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aily Sale entry " sheetId="1" state="visible" r:id="rId1"/>
    <sheet xmlns:r="http://schemas.openxmlformats.org/officeDocument/2006/relationships" name="Sales &amp; Collection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AR &amp; AP" sheetId="4" state="visible" r:id="rId4"/>
    <sheet xmlns:r="http://schemas.openxmlformats.org/officeDocument/2006/relationships" name="Debtor Daily" sheetId="5" state="visible" r:id="rId5"/>
    <sheet xmlns:r="http://schemas.openxmlformats.org/officeDocument/2006/relationships" name="Opening Balance" sheetId="6" state="visible" r:id="rId6"/>
    <sheet xmlns:r="http://schemas.openxmlformats.org/officeDocument/2006/relationships" name="Bank Statement" sheetId="7" state="visible" r:id="rId7"/>
    <sheet xmlns:r="http://schemas.openxmlformats.org/officeDocument/2006/relationships" name="Cheque on Hand" sheetId="8" state="visible" r:id="rId8"/>
    <sheet xmlns:r="http://schemas.openxmlformats.org/officeDocument/2006/relationships" name="Debtor Summary" sheetId="9" state="visible" r:id="rId9"/>
    <sheet xmlns:r="http://schemas.openxmlformats.org/officeDocument/2006/relationships" name="Debtor Statement" sheetId="10" state="visible" r:id="rId10"/>
    <sheet xmlns:r="http://schemas.openxmlformats.org/officeDocument/2006/relationships" name="Debto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;[Red]-#,##0.00"/>
    <numFmt numFmtId="166" formatCode="0.0000000"/>
  </numFmts>
  <fonts count="8">
    <font>
      <name val="Aptos Narrow"/>
      <family val="2"/>
      <color theme="1"/>
      <sz val="11"/>
      <scheme val="minor"/>
    </font>
    <font>
      <name val="Aptos Narrow"/>
      <b val="1"/>
      <color rgb="001F4E78"/>
      <sz val="11"/>
    </font>
    <font>
      <name val="Aptos Narrow"/>
      <i val="1"/>
      <color rgb="007F7F7F"/>
      <sz val="9"/>
    </font>
    <font>
      <name val="Aptos Narrow"/>
      <b val="1"/>
      <sz val="11"/>
    </font>
    <font>
      <name val="Aptos Narrow"/>
      <b val="1"/>
      <sz val="14"/>
    </font>
    <font>
      <color rgb="00999999"/>
    </font>
    <font>
      <i val="1"/>
      <color rgb="00666666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</border>
    <border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1" fontId="0" fillId="0" borderId="0" pivotButton="0" quotePrefix="0" xfId="0"/>
    <xf numFmtId="165" fontId="0" fillId="0" borderId="1" pivotButton="0" quotePrefix="0" xfId="0"/>
    <xf numFmtId="0" fontId="1" fillId="0" borderId="0" pivotButton="0" quotePrefix="0" xfId="0"/>
    <xf numFmtId="165" fontId="1" fillId="0" borderId="0" pivotButton="0" quotePrefix="0" xfId="0"/>
    <xf numFmtId="0" fontId="0" fillId="0" borderId="2" pivotButton="0" quotePrefix="0" xfId="0"/>
    <xf numFmtId="165" fontId="0" fillId="0" borderId="2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3" fillId="4" borderId="0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3" pivotButton="0" quotePrefix="0" xfId="0"/>
    <xf numFmtId="165" fontId="3" fillId="0" borderId="3" pivotButton="0" quotePrefix="0" xfId="0"/>
    <xf numFmtId="165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center" wrapText="1"/>
    </xf>
    <xf numFmtId="165" fontId="0" fillId="4" borderId="0" pivotButton="0" quotePrefix="0" xfId="0"/>
    <xf numFmtId="0" fontId="0" fillId="4" borderId="0" pivotButton="0" quotePrefix="0" xfId="0"/>
    <xf numFmtId="0" fontId="0" fillId="2" borderId="0" pivotButton="0" quotePrefix="0" xfId="0"/>
    <xf numFmtId="1" fontId="0" fillId="4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vertical="top" wrapText="1"/>
    </xf>
    <xf numFmtId="166" fontId="5" fillId="0" borderId="0" pivotButton="0" quotePrefix="0" xfId="0"/>
    <xf numFmtId="0" fontId="3" fillId="4" borderId="0" applyProtection="1" pivotButton="0" quotePrefix="0" xfId="0">
      <protection locked="0" hidden="0"/>
    </xf>
    <xf numFmtId="0" fontId="3" fillId="3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dxfs count="4">
    <dxf>
      <font>
        <b val="1"/>
        <color rgb="00FFFFFF"/>
      </font>
      <fill>
        <patternFill patternType="solid">
          <bgColor rgb="00FF0000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AUTO 自动: total of Cash/Cheque collections keyed in "Debtor Entry" for this date. (Debtor Entry 当天现金/支票收款合计)</t>
      </text>
    </comment>
    <comment ref="F1" authorId="0" shapeId="0">
      <text>
        <t>Key in each day (usually same as yesterday c/f). 每天自行输入。</t>
      </text>
    </comment>
    <comment ref="H1" authorId="0" shapeId="0">
      <text>
        <t>Include cash received from debtors (they are also listed in the peach table). 包括从债务人收到的现金(也要记在桃色表)。</t>
      </text>
    </comment>
    <comment ref="J1" authorId="0" shapeId="0">
      <text>
        <t>Include cheques received from debtors (they are also listed in the peach table). 包括从债务人收到的支票(也要记在桃色表)。</t>
      </text>
    </comment>
    <comment ref="K1" authorId="0" shapeId="0">
      <text>
        <t>TNG / e-wallet sales received (no buyer). Goes to Bank balance, AR &amp; AP and Sales &amp; Collection (TNG collection). TNG电子钱包收款(无买家):进银行余额、AR&amp;AP及Sales &amp; Collection。</t>
      </text>
    </comment>
    <comment ref="O1" authorId="0" shapeId="0">
      <text>
        <t>DEBTOR ENTRY 债务人记录: one row per buyer per transaction. Credit Sale 赊销 = buyer takes goods on credit; Collection 收款 = buyer pays Cash/Cheque (feeds Credit Collection). Discount 折扣 (optional 可选, any amount 金额不限): key the discount given to the buyer on the Collection row; balance drops by Amount + Discount 欠款减少=付款+折扣. Cheque stays in Cheque on hand until you fill Bank-in date 存入日期 (then it moves into the bank automatically 自动转入银行). Online payments go in the green table. 网上付款请填右边绿色表格。This table is independent of the daily rows. 此表与左边每日记录互相独立。</t>
      </text>
    </comment>
    <comment ref="X1" authorId="0" shapeId="0">
      <text>
        <t>BANK STATEMENT 银行记录: one row per bank transaction (3 buyers pay online = 3 rows). Types: Online collection 网上收款 (pick buyer), Cheque deposit 支票存入 (only when cheques are banked in; fill Cheque unit), Cash deposit 现金存入, Other deposit 其他存入, Withdrawal 提取 (e.g. salary). 每笔银行交易一行。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H1" authorId="0" shapeId="0">
      <text>
        <t>右边 = 调整后. Right side = same day after balancing. Small difference: c/f petty cash adjusted. Big short: Misc Charges + Different. Big over: Cash Sales - Different. Total(C) = Total(D).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C1" authorId="0" shapeId="0">
      <text>
        <t>AUTO from Daily Sale entry (Cheque unit). Reduces when a buyer cheque gets a Bank-in date (peach table) or a Cheque deposit row (green table). 买家支票填存入日期(桃色表)或绿色表Cheque deposit才减少。</t>
      </text>
    </comment>
    <comment ref="F1" authorId="0" shapeId="0">
      <text>
        <t>Advance salary of the current month; restarts on the 1st of each month (after salary is paid). 当月预支薪水,每月1号重新计算。</t>
      </text>
    </comment>
    <comment ref="G1" authorId="0" shapeId="0">
      <text>
        <t>Loose cash = (opening loose + cumulative cash collection) MOD step. Each full RM5,000 moves into Cash in hand. 每满RM5,000转入手头现金。</t>
      </text>
    </comment>
    <comment ref="K1" authorId="0" shapeId="0">
      <text>
        <t>0 = everything ties. Salary/expenses paid from the bank are excluded automatically. 0=全部吻合,从银行付的薪水/开支已自动排除。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2" authorId="0" shapeId="0">
      <text>
        <t>AUTO 自动: names of buyers who paid online that day (from the green table). 当天网上付款的买家(来自绿色表)。Amounts: Bank Statement / Debtor Statement 金额见银行记录/债务人对账单。</t>
      </text>
    </comment>
    <comment ref="E2" authorId="0" shapeId="0">
      <text>
        <t>每日销售 = Total (C) 减 b/f petty cash. Daily sale = Total (C) less b/f petty cash. (Total (C) already contains b/f petty cash; it is added back once in Total collection, so it is not counted twice.) TNG sales are included in daily sale. 每日销售已包含TNG。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AE1501"/>
  <sheetViews>
    <sheetView workbookViewId="0">
      <pane xSplit="1" ySplit="1" topLeftCell="B2" activePane="bottomRight" state="frozen"/>
      <selection pane="topRight"/>
      <selection pane="bottomLeft"/>
      <selection pane="bottomRight" activeCell="I2" sqref="I2"/>
    </sheetView>
  </sheetViews>
  <sheetFormatPr baseColWidth="8" defaultRowHeight="14.4"/>
  <cols>
    <col width="12" customWidth="1" min="1" max="1"/>
    <col width="12" customWidth="1" min="2" max="2"/>
    <col width="11.77734375" bestFit="1" customWidth="1" min="3" max="3"/>
    <col width="12.5546875" bestFit="1" customWidth="1" min="4" max="4"/>
    <col width="14.44140625" bestFit="1" customWidth="1" min="5" max="5"/>
    <col width="11.6640625" bestFit="1" customWidth="1" min="6" max="7"/>
    <col width="12" customWidth="1" min="7" max="7"/>
    <col width="13.44140625" bestFit="1" customWidth="1" min="8" max="8"/>
    <col width="12" bestFit="1" customWidth="1" min="9" max="9"/>
    <col width="19.6640625" bestFit="1" customWidth="1" min="10" max="10"/>
    <col width="17.3" bestFit="1" customWidth="1" min="11" max="11"/>
    <col width="17.3" customWidth="1" min="12" max="12"/>
    <col width="17.3" customWidth="1" min="13" max="13"/>
    <col width="3" customWidth="1" min="14" max="14"/>
    <col width="12" customWidth="1" min="15" max="15"/>
    <col width="28" customWidth="1" min="16" max="16"/>
    <col width="14" customWidth="1" min="17" max="17"/>
    <col width="10" customWidth="1" min="18" max="18"/>
    <col width="14" customWidth="1" min="19" max="19"/>
    <col width="16" customWidth="1" min="20" max="20"/>
    <col width="30" customWidth="1" min="21" max="21"/>
    <col width="16" customWidth="1" min="22" max="22"/>
    <col width="3" customWidth="1" min="23" max="23"/>
    <col width="12" customWidth="1" min="24" max="24"/>
    <col width="34" customWidth="1" min="25" max="25"/>
    <col width="18" customWidth="1" min="26" max="26"/>
    <col width="26" customWidth="1" min="27" max="27"/>
    <col width="12" customWidth="1" min="28" max="28"/>
    <col width="14" customWidth="1" min="29" max="29"/>
    <col width="14" customWidth="1" min="30" max="30"/>
    <col width="16" customWidth="1" min="31" max="31"/>
  </cols>
  <sheetData>
    <row r="1" ht="34" customHeight="1">
      <c r="A1" s="2" t="inlineStr">
        <is>
          <t>Date
日期</t>
        </is>
      </c>
      <c r="B1" s="2" t="inlineStr">
        <is>
          <t>Cash sale
现金销售</t>
        </is>
      </c>
      <c r="C1" s="2" t="inlineStr">
        <is>
          <t>Misc Charges
杂项费用</t>
        </is>
      </c>
      <c r="D1" s="2" t="inlineStr">
        <is>
          <t>Other Charges
其他费用</t>
        </is>
      </c>
      <c r="E1" s="2" t="inlineStr">
        <is>
          <t>Credit Collection
赊账收款</t>
        </is>
      </c>
      <c r="F1" s="2" t="inlineStr">
        <is>
          <t>b/f petty cash
上日备用金结转</t>
        </is>
      </c>
      <c r="G1" s="2" t="inlineStr">
        <is>
          <t>c/f petty cash
今日备用金结转</t>
        </is>
      </c>
      <c r="H1" s="2" t="inlineStr">
        <is>
          <t>Cash collection
现金收款</t>
        </is>
      </c>
      <c r="I1" s="2" t="inlineStr">
        <is>
          <t>Cheque(unit)
支票(张数)</t>
        </is>
      </c>
      <c r="J1" s="2" t="inlineStr">
        <is>
          <t>Cheque collection
支票收款</t>
        </is>
      </c>
      <c r="K1" s="2" t="inlineStr">
        <is>
          <t>TNG
TNG收款</t>
        </is>
      </c>
      <c r="L1" s="2" t="inlineStr">
        <is>
          <t>Advance Salary_M
预支薪水_M</t>
        </is>
      </c>
      <c r="M1" s="2" t="inlineStr">
        <is>
          <t>Advance Salary_H
预支薪水_H</t>
        </is>
      </c>
      <c r="O1" s="3" t="inlineStr">
        <is>
          <t>Date
日期</t>
        </is>
      </c>
      <c r="P1" s="3" t="inlineStr">
        <is>
          <t>Buyer
买家</t>
        </is>
      </c>
      <c r="Q1" s="3" t="inlineStr">
        <is>
          <t>Type
类别</t>
        </is>
      </c>
      <c r="R1" s="3" t="inlineStr">
        <is>
          <t>Mode
方式</t>
        </is>
      </c>
      <c r="S1" s="3" t="inlineStr">
        <is>
          <t>Amount
金额</t>
        </is>
      </c>
      <c r="T1" s="3" t="inlineStr">
        <is>
          <t>Discount (optional)
折扣(可选)</t>
        </is>
      </c>
      <c r="U1" s="3" t="inlineStr">
        <is>
          <t>Remarks
备注</t>
        </is>
      </c>
      <c r="V1" s="3" t="inlineStr">
        <is>
          <t>Bank-in date
存入日期 (cheque)</t>
        </is>
      </c>
      <c r="X1" s="4" t="inlineStr">
        <is>
          <t>Date
日期</t>
        </is>
      </c>
      <c r="Y1" s="4" t="inlineStr">
        <is>
          <t>Description
说明</t>
        </is>
      </c>
      <c r="Z1" s="4" t="inlineStr">
        <is>
          <t>Type
类别</t>
        </is>
      </c>
      <c r="AA1" s="4" t="inlineStr">
        <is>
          <t>Debtor name
债务人</t>
        </is>
      </c>
      <c r="AB1" s="4" t="inlineStr">
        <is>
          <t>Cheque (unit)
支票(张数)</t>
        </is>
      </c>
      <c r="AC1" s="4" t="inlineStr">
        <is>
          <t>Deposit
存入</t>
        </is>
      </c>
      <c r="AD1" s="4" t="inlineStr">
        <is>
          <t>Withdrawal
提取</t>
        </is>
      </c>
      <c r="AE1" s="4" t="inlineStr">
        <is>
          <t>Balance
余额</t>
        </is>
      </c>
    </row>
    <row r="2">
      <c r="A2" s="5" t="n"/>
      <c r="B2" s="6" t="n"/>
      <c r="C2" s="6" t="n"/>
      <c r="D2" s="6" t="n"/>
      <c r="E2" s="7">
        <f>IF(A2="","",SUMPRODUCT(('Daily Sale entry '!$O$2:$O$1501=A2)*('Daily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" s="6" t="n"/>
      <c r="G2" s="6" t="n"/>
      <c r="H2" s="6" t="n"/>
      <c r="I2" s="8" t="n"/>
      <c r="J2" s="6" t="n"/>
      <c r="K2" s="6" t="n"/>
      <c r="L2" s="6" t="n"/>
      <c r="M2" s="6" t="n"/>
      <c r="O2" s="5" t="n"/>
      <c r="S2" s="6" t="n"/>
      <c r="V2" s="5" t="n"/>
      <c r="X2" s="5" t="n"/>
      <c r="AC2" s="6" t="n"/>
      <c r="AD2" s="6" t="n"/>
      <c r="AE2" s="7">
        <f>IF(X2="","",ROUND('Opening Balance'!$B$4+SUM($AC$2:AC2)-SUM($AD$2:AD2)+SUMPRODUCT(($Q$2:$Q$1501="Collection 收款")*($R$2:$R$1501="Cheque 支票")*($V$2:$V$1501&lt;&gt;"")*($V$2:$V$1501&lt;=X2)*($S$2:$S$1501-'Opening Balance'!$B$15*($R$2:$R$1501="Cheque 支票")*($S$2:$S$1501-TRUNC($S$2:$S$1501))))-'Opening Balance'!$B$15*SUMPRODUCT(($Z$2:Z2="Online collection 网上收款")*($AA$2:AA2&lt;&gt;"")*($AC$2:AC2-TRUNC($AC$2:AC2))),2))</f>
        <v/>
      </c>
    </row>
    <row r="3">
      <c r="A3" s="5" t="n"/>
      <c r="B3" s="6" t="n"/>
      <c r="C3" s="6" t="n"/>
      <c r="D3" s="6" t="n"/>
      <c r="E3" s="7">
        <f>IF(A3="","",SUMPRODUCT(('Daily Sale entry '!$O$2:$O$1501=A3)*('Daily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" s="6" t="n"/>
      <c r="G3" s="6" t="n"/>
      <c r="H3" s="6" t="n"/>
      <c r="I3" s="8" t="n"/>
      <c r="J3" s="6" t="n"/>
      <c r="K3" s="6" t="n"/>
      <c r="L3" s="6" t="n"/>
      <c r="M3" s="6" t="n"/>
      <c r="O3" s="5" t="n"/>
      <c r="S3" s="6" t="n"/>
      <c r="V3" s="5" t="n"/>
      <c r="X3" s="5" t="n"/>
      <c r="AC3" s="6" t="n"/>
      <c r="AD3" s="6" t="n"/>
      <c r="AE3" s="7">
        <f>IF(X3="","",ROUND('Opening Balance'!$B$4+SUM($AC$2:AC3)-SUM($AD$2:AD3)+SUMPRODUCT(($Q$2:$Q$1501="Collection 收款")*($R$2:$R$1501="Cheque 支票")*($V$2:$V$1501&lt;&gt;"")*($V$2:$V$1501&lt;=X3)*($S$2:$S$1501-'Opening Balance'!$B$15*($R$2:$R$1501="Cheque 支票")*($S$2:$S$1501-TRUNC($S$2:$S$1501))))-'Opening Balance'!$B$15*SUMPRODUCT(($Z$2:Z3="Online collection 网上收款")*($AA$2:AA3&lt;&gt;"")*($AC$2:AC3-TRUNC($AC$2:AC3))),2))</f>
        <v/>
      </c>
    </row>
    <row r="4">
      <c r="A4" s="5" t="n"/>
      <c r="B4" s="6" t="n"/>
      <c r="C4" s="6" t="n"/>
      <c r="D4" s="6" t="n"/>
      <c r="E4" s="7">
        <f>IF(A4="","",SUMPRODUCT(('Daily Sale entry '!$O$2:$O$1501=A4)*('Daily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" s="6" t="n"/>
      <c r="G4" s="6" t="n"/>
      <c r="H4" s="6" t="n"/>
      <c r="I4" s="8" t="n"/>
      <c r="J4" s="6" t="n"/>
      <c r="K4" s="6" t="n"/>
      <c r="L4" s="6" t="n"/>
      <c r="M4" s="6" t="n"/>
      <c r="O4" s="5" t="n"/>
      <c r="S4" s="6" t="n"/>
      <c r="V4" s="5" t="n"/>
      <c r="X4" s="5" t="n"/>
      <c r="AC4" s="6" t="n"/>
      <c r="AD4" s="6" t="n"/>
      <c r="AE4" s="7">
        <f>IF(X4="","",ROUND('Opening Balance'!$B$4+SUM($AC$2:AC4)-SUM($AD$2:AD4)+SUMPRODUCT(($Q$2:$Q$1501="Collection 收款")*($R$2:$R$1501="Cheque 支票")*($V$2:$V$1501&lt;&gt;"")*($V$2:$V$1501&lt;=X4)*($S$2:$S$1501-'Opening Balance'!$B$15*($R$2:$R$1501="Cheque 支票")*($S$2:$S$1501-TRUNC($S$2:$S$1501))))-'Opening Balance'!$B$15*SUMPRODUCT(($Z$2:Z4="Online collection 网上收款")*($AA$2:AA4&lt;&gt;"")*($AC$2:AC4-TRUNC($AC$2:AC4))),2))</f>
        <v/>
      </c>
    </row>
    <row r="5">
      <c r="A5" s="5" t="n"/>
      <c r="B5" s="6" t="n"/>
      <c r="C5" s="6" t="n"/>
      <c r="D5" s="6" t="n"/>
      <c r="E5" s="7">
        <f>IF(A5="","",SUMPRODUCT(('Daily Sale entry '!$O$2:$O$1501=A5)*('Daily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" s="6" t="n"/>
      <c r="G5" s="6" t="n"/>
      <c r="H5" s="6" t="n"/>
      <c r="I5" s="8" t="n"/>
      <c r="J5" s="6" t="n"/>
      <c r="K5" s="6" t="n"/>
      <c r="L5" s="6" t="n"/>
      <c r="M5" s="6" t="n"/>
      <c r="O5" s="5" t="n"/>
      <c r="S5" s="6" t="n"/>
      <c r="V5" s="5" t="n"/>
      <c r="X5" s="5" t="n"/>
      <c r="AC5" s="6" t="n"/>
      <c r="AD5" s="6" t="n"/>
      <c r="AE5" s="7">
        <f>IF(X5="","",ROUND('Opening Balance'!$B$4+SUM($AC$2:AC5)-SUM($AD$2:AD5)+SUMPRODUCT(($Q$2:$Q$1501="Collection 收款")*($R$2:$R$1501="Cheque 支票")*($V$2:$V$1501&lt;&gt;"")*($V$2:$V$1501&lt;=X5)*($S$2:$S$1501-'Opening Balance'!$B$15*($R$2:$R$1501="Cheque 支票")*($S$2:$S$1501-TRUNC($S$2:$S$1501))))-'Opening Balance'!$B$15*SUMPRODUCT(($Z$2:Z5="Online collection 网上收款")*($AA$2:AA5&lt;&gt;"")*($AC$2:AC5-TRUNC($AC$2:AC5))),2))</f>
        <v/>
      </c>
    </row>
    <row r="6">
      <c r="A6" s="5" t="n"/>
      <c r="B6" s="6" t="n"/>
      <c r="C6" s="6" t="n"/>
      <c r="D6" s="6" t="n"/>
      <c r="E6" s="7">
        <f>IF(A6="","",SUMPRODUCT(('Daily Sale entry '!$O$2:$O$1501=A6)*('Daily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" s="6" t="n"/>
      <c r="G6" s="6" t="n"/>
      <c r="H6" s="6" t="n"/>
      <c r="I6" s="8" t="n"/>
      <c r="J6" s="6" t="n"/>
      <c r="K6" s="6" t="n"/>
      <c r="L6" s="6" t="n"/>
      <c r="M6" s="6" t="n"/>
      <c r="O6" s="5" t="n"/>
      <c r="S6" s="6" t="n"/>
      <c r="V6" s="5" t="n"/>
      <c r="X6" s="5" t="n"/>
      <c r="AC6" s="6" t="n"/>
      <c r="AD6" s="6" t="n"/>
      <c r="AE6" s="7">
        <f>IF(X6="","",ROUND('Opening Balance'!$B$4+SUM($AC$2:AC6)-SUM($AD$2:AD6)+SUMPRODUCT(($Q$2:$Q$1501="Collection 收款")*($R$2:$R$1501="Cheque 支票")*($V$2:$V$1501&lt;&gt;"")*($V$2:$V$1501&lt;=X6)*($S$2:$S$1501-'Opening Balance'!$B$15*($R$2:$R$1501="Cheque 支票")*($S$2:$S$1501-TRUNC($S$2:$S$1501))))-'Opening Balance'!$B$15*SUMPRODUCT(($Z$2:Z6="Online collection 网上收款")*($AA$2:AA6&lt;&gt;"")*($AC$2:AC6-TRUNC($AC$2:AC6))),2))</f>
        <v/>
      </c>
    </row>
    <row r="7">
      <c r="A7" s="5" t="n"/>
      <c r="B7" s="6" t="n"/>
      <c r="C7" s="6" t="n"/>
      <c r="D7" s="6" t="n"/>
      <c r="E7" s="7">
        <f>IF(A7="","",SUMPRODUCT(('Daily Sale entry '!$O$2:$O$1501=A7)*('Daily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" s="6" t="n"/>
      <c r="G7" s="6" t="n"/>
      <c r="H7" s="6" t="n"/>
      <c r="I7" s="8" t="n"/>
      <c r="J7" s="6" t="n"/>
      <c r="K7" s="6" t="n"/>
      <c r="L7" s="6" t="n"/>
      <c r="M7" s="6" t="n"/>
      <c r="O7" s="5" t="n"/>
      <c r="S7" s="6" t="n"/>
      <c r="V7" s="5" t="n"/>
      <c r="X7" s="5" t="n"/>
      <c r="AC7" s="6" t="n"/>
      <c r="AD7" s="6" t="n"/>
      <c r="AE7" s="7">
        <f>IF(X7="","",ROUND('Opening Balance'!$B$4+SUM($AC$2:AC7)-SUM($AD$2:AD7)+SUMPRODUCT(($Q$2:$Q$1501="Collection 收款")*($R$2:$R$1501="Cheque 支票")*($V$2:$V$1501&lt;&gt;"")*($V$2:$V$1501&lt;=X7)*($S$2:$S$1501-'Opening Balance'!$B$15*($R$2:$R$1501="Cheque 支票")*($S$2:$S$1501-TRUNC($S$2:$S$1501))))-'Opening Balance'!$B$15*SUMPRODUCT(($Z$2:Z7="Online collection 网上收款")*($AA$2:AA7&lt;&gt;"")*($AC$2:AC7-TRUNC($AC$2:AC7))),2))</f>
        <v/>
      </c>
    </row>
    <row r="8">
      <c r="A8" s="5" t="n"/>
      <c r="B8" s="6" t="n"/>
      <c r="C8" s="6" t="n"/>
      <c r="D8" s="6" t="n"/>
      <c r="E8" s="7">
        <f>IF(A8="","",SUMPRODUCT(('Daily Sale entry '!$O$2:$O$1501=A8)*('Daily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" s="6" t="n"/>
      <c r="G8" s="6" t="n"/>
      <c r="H8" s="6" t="n"/>
      <c r="I8" s="8" t="n"/>
      <c r="J8" s="6" t="n"/>
      <c r="K8" s="6" t="n"/>
      <c r="L8" s="6" t="n"/>
      <c r="M8" s="6" t="n"/>
      <c r="O8" s="5" t="n"/>
      <c r="S8" s="6" t="n"/>
      <c r="V8" s="5" t="n"/>
      <c r="X8" s="5" t="n"/>
      <c r="AC8" s="6" t="n"/>
      <c r="AD8" s="6" t="n"/>
      <c r="AE8" s="7">
        <f>IF(X8="","",ROUND('Opening Balance'!$B$4+SUM($AC$2:AC8)-SUM($AD$2:AD8)+SUMPRODUCT(($Q$2:$Q$1501="Collection 收款")*($R$2:$R$1501="Cheque 支票")*($V$2:$V$1501&lt;&gt;"")*($V$2:$V$1501&lt;=X8)*($S$2:$S$1501-'Opening Balance'!$B$15*($R$2:$R$1501="Cheque 支票")*($S$2:$S$1501-TRUNC($S$2:$S$1501))))-'Opening Balance'!$B$15*SUMPRODUCT(($Z$2:Z8="Online collection 网上收款")*($AA$2:AA8&lt;&gt;"")*($AC$2:AC8-TRUNC($AC$2:AC8))),2))</f>
        <v/>
      </c>
    </row>
    <row r="9">
      <c r="A9" s="5" t="n"/>
      <c r="B9" s="6" t="n"/>
      <c r="C9" s="6" t="n"/>
      <c r="D9" s="6" t="n"/>
      <c r="E9" s="7">
        <f>IF(A9="","",SUMPRODUCT(('Daily Sale entry '!$O$2:$O$1501=A9)*('Daily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" s="6" t="n"/>
      <c r="G9" s="6" t="n"/>
      <c r="H9" s="6" t="n"/>
      <c r="I9" s="8" t="n"/>
      <c r="J9" s="6" t="n"/>
      <c r="K9" s="6" t="n"/>
      <c r="L9" s="6" t="n"/>
      <c r="M9" s="6" t="n"/>
      <c r="O9" s="5" t="n"/>
      <c r="S9" s="6" t="n"/>
      <c r="V9" s="5" t="n"/>
      <c r="X9" s="5" t="n"/>
      <c r="AC9" s="6" t="n"/>
      <c r="AD9" s="6" t="n"/>
      <c r="AE9" s="7">
        <f>IF(X9="","",ROUND('Opening Balance'!$B$4+SUM($AC$2:AC9)-SUM($AD$2:AD9)+SUMPRODUCT(($Q$2:$Q$1501="Collection 收款")*($R$2:$R$1501="Cheque 支票")*($V$2:$V$1501&lt;&gt;"")*($V$2:$V$1501&lt;=X9)*($S$2:$S$1501-'Opening Balance'!$B$15*($R$2:$R$1501="Cheque 支票")*($S$2:$S$1501-TRUNC($S$2:$S$1501))))-'Opening Balance'!$B$15*SUMPRODUCT(($Z$2:Z9="Online collection 网上收款")*($AA$2:AA9&lt;&gt;"")*($AC$2:AC9-TRUNC($AC$2:AC9))),2))</f>
        <v/>
      </c>
    </row>
    <row r="10">
      <c r="A10" s="5" t="n"/>
      <c r="B10" s="6" t="n"/>
      <c r="C10" s="6" t="n"/>
      <c r="D10" s="6" t="n"/>
      <c r="E10" s="7">
        <f>IF(A10="","",SUMPRODUCT(('Daily Sale entry '!$O$2:$O$1501=A10)*('Daily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" s="6" t="n"/>
      <c r="G10" s="6" t="n"/>
      <c r="H10" s="6" t="n"/>
      <c r="I10" s="8" t="n"/>
      <c r="J10" s="6" t="n"/>
      <c r="K10" s="6" t="n"/>
      <c r="L10" s="6" t="n"/>
      <c r="M10" s="6" t="n"/>
      <c r="O10" s="5" t="n"/>
      <c r="S10" s="6" t="n"/>
      <c r="V10" s="5" t="n"/>
      <c r="X10" s="5" t="n"/>
      <c r="AC10" s="6" t="n"/>
      <c r="AD10" s="6" t="n"/>
      <c r="AE10" s="7">
        <f>IF(X10="","",ROUND('Opening Balance'!$B$4+SUM($AC$2:AC10)-SUM($AD$2:AD10)+SUMPRODUCT(($Q$2:$Q$1501="Collection 收款")*($R$2:$R$1501="Cheque 支票")*($V$2:$V$1501&lt;&gt;"")*($V$2:$V$1501&lt;=X10)*($S$2:$S$1501-'Opening Balance'!$B$15*($R$2:$R$1501="Cheque 支票")*($S$2:$S$1501-TRUNC($S$2:$S$1501))))-'Opening Balance'!$B$15*SUMPRODUCT(($Z$2:Z10="Online collection 网上收款")*($AA$2:AA10&lt;&gt;"")*($AC$2:AC10-TRUNC($AC$2:AC10))),2))</f>
        <v/>
      </c>
    </row>
    <row r="11">
      <c r="A11" s="5" t="n"/>
      <c r="B11" s="6" t="n"/>
      <c r="C11" s="6" t="n"/>
      <c r="D11" s="6" t="n"/>
      <c r="E11" s="7">
        <f>IF(A11="","",SUMPRODUCT(('Daily Sale entry '!$O$2:$O$1501=A11)*('Daily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" s="6" t="n"/>
      <c r="G11" s="6" t="n"/>
      <c r="H11" s="6" t="n"/>
      <c r="I11" s="8" t="n"/>
      <c r="J11" s="6" t="n"/>
      <c r="K11" s="6" t="n"/>
      <c r="L11" s="6" t="n"/>
      <c r="M11" s="6" t="n"/>
      <c r="O11" s="5" t="n"/>
      <c r="S11" s="6" t="n"/>
      <c r="V11" s="5" t="n"/>
      <c r="X11" s="5" t="n"/>
      <c r="AC11" s="6" t="n"/>
      <c r="AD11" s="6" t="n"/>
      <c r="AE11" s="7">
        <f>IF(X11="","",ROUND('Opening Balance'!$B$4+SUM($AC$2:AC11)-SUM($AD$2:AD11)+SUMPRODUCT(($Q$2:$Q$1501="Collection 收款")*($R$2:$R$1501="Cheque 支票")*($V$2:$V$1501&lt;&gt;"")*($V$2:$V$1501&lt;=X11)*($S$2:$S$1501-'Opening Balance'!$B$15*($R$2:$R$1501="Cheque 支票")*($S$2:$S$1501-TRUNC($S$2:$S$1501))))-'Opening Balance'!$B$15*SUMPRODUCT(($Z$2:Z11="Online collection 网上收款")*($AA$2:AA11&lt;&gt;"")*($AC$2:AC11-TRUNC($AC$2:AC11))),2))</f>
        <v/>
      </c>
    </row>
    <row r="12">
      <c r="A12" s="5" t="n"/>
      <c r="B12" s="6" t="n"/>
      <c r="C12" s="6" t="n"/>
      <c r="D12" s="6" t="n"/>
      <c r="E12" s="7">
        <f>IF(A12="","",SUMPRODUCT(('Daily Sale entry '!$O$2:$O$1501=A12)*('Daily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" s="6" t="n"/>
      <c r="G12" s="6" t="n"/>
      <c r="H12" s="6" t="n"/>
      <c r="I12" s="8" t="n"/>
      <c r="J12" s="6" t="n"/>
      <c r="K12" s="6" t="n"/>
      <c r="L12" s="6" t="n"/>
      <c r="M12" s="6" t="n"/>
      <c r="O12" s="5" t="n"/>
      <c r="S12" s="6" t="n"/>
      <c r="V12" s="5" t="n"/>
      <c r="X12" s="5" t="n"/>
      <c r="AC12" s="6" t="n"/>
      <c r="AD12" s="6" t="n"/>
      <c r="AE12" s="7">
        <f>IF(X12="","",ROUND('Opening Balance'!$B$4+SUM($AC$2:AC12)-SUM($AD$2:AD12)+SUMPRODUCT(($Q$2:$Q$1501="Collection 收款")*($R$2:$R$1501="Cheque 支票")*($V$2:$V$1501&lt;&gt;"")*($V$2:$V$1501&lt;=X12)*($S$2:$S$1501-'Opening Balance'!$B$15*($R$2:$R$1501="Cheque 支票")*($S$2:$S$1501-TRUNC($S$2:$S$1501))))-'Opening Balance'!$B$15*SUMPRODUCT(($Z$2:Z12="Online collection 网上收款")*($AA$2:AA12&lt;&gt;"")*($AC$2:AC12-TRUNC($AC$2:AC12))),2))</f>
        <v/>
      </c>
    </row>
    <row r="13">
      <c r="A13" s="5" t="n"/>
      <c r="B13" s="6" t="n"/>
      <c r="C13" s="6" t="n"/>
      <c r="D13" s="6" t="n"/>
      <c r="E13" s="7">
        <f>IF(A13="","",SUMPRODUCT(('Daily Sale entry '!$O$2:$O$1501=A13)*('Daily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" s="6" t="n"/>
      <c r="G13" s="6" t="n"/>
      <c r="H13" s="6" t="n"/>
      <c r="I13" s="8" t="n"/>
      <c r="J13" s="6" t="n"/>
      <c r="K13" s="6" t="n"/>
      <c r="L13" s="6" t="n"/>
      <c r="M13" s="6" t="n"/>
      <c r="O13" s="5" t="n"/>
      <c r="S13" s="6" t="n"/>
      <c r="V13" s="5" t="n"/>
      <c r="X13" s="5" t="n"/>
      <c r="AC13" s="6" t="n"/>
      <c r="AD13" s="6" t="n"/>
      <c r="AE13" s="7">
        <f>IF(X13="","",ROUND('Opening Balance'!$B$4+SUM($AC$2:AC13)-SUM($AD$2:AD13)+SUMPRODUCT(($Q$2:$Q$1501="Collection 收款")*($R$2:$R$1501="Cheque 支票")*($V$2:$V$1501&lt;&gt;"")*($V$2:$V$1501&lt;=X13)*($S$2:$S$1501-'Opening Balance'!$B$15*($R$2:$R$1501="Cheque 支票")*($S$2:$S$1501-TRUNC($S$2:$S$1501))))-'Opening Balance'!$B$15*SUMPRODUCT(($Z$2:Z13="Online collection 网上收款")*($AA$2:AA13&lt;&gt;"")*($AC$2:AC13-TRUNC($AC$2:AC13))),2))</f>
        <v/>
      </c>
    </row>
    <row r="14">
      <c r="A14" s="5" t="n"/>
      <c r="B14" s="6" t="n"/>
      <c r="C14" s="6" t="n"/>
      <c r="D14" s="6" t="n"/>
      <c r="E14" s="7">
        <f>IF(A14="","",SUMPRODUCT(('Daily Sale entry '!$O$2:$O$1501=A14)*('Daily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" s="6" t="n"/>
      <c r="G14" s="6" t="n"/>
      <c r="H14" s="6" t="n"/>
      <c r="I14" s="8" t="n"/>
      <c r="J14" s="6" t="n"/>
      <c r="K14" s="6" t="n"/>
      <c r="L14" s="6" t="n"/>
      <c r="M14" s="6" t="n"/>
      <c r="O14" s="5" t="n"/>
      <c r="S14" s="6" t="n"/>
      <c r="V14" s="5" t="n"/>
      <c r="X14" s="5" t="n"/>
      <c r="AC14" s="6" t="n"/>
      <c r="AD14" s="6" t="n"/>
      <c r="AE14" s="7">
        <f>IF(X14="","",ROUND('Opening Balance'!$B$4+SUM($AC$2:AC14)-SUM($AD$2:AD14)+SUMPRODUCT(($Q$2:$Q$1501="Collection 收款")*($R$2:$R$1501="Cheque 支票")*($V$2:$V$1501&lt;&gt;"")*($V$2:$V$1501&lt;=X14)*($S$2:$S$1501-'Opening Balance'!$B$15*($R$2:$R$1501="Cheque 支票")*($S$2:$S$1501-TRUNC($S$2:$S$1501))))-'Opening Balance'!$B$15*SUMPRODUCT(($Z$2:Z14="Online collection 网上收款")*($AA$2:AA14&lt;&gt;"")*($AC$2:AC14-TRUNC($AC$2:AC14))),2))</f>
        <v/>
      </c>
    </row>
    <row r="15">
      <c r="A15" s="5" t="n"/>
      <c r="B15" s="6" t="n"/>
      <c r="C15" s="6" t="n"/>
      <c r="D15" s="6" t="n"/>
      <c r="E15" s="7">
        <f>IF(A15="","",SUMPRODUCT(('Daily Sale entry '!$O$2:$O$1501=A15)*('Daily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" s="6" t="n"/>
      <c r="G15" s="6" t="n"/>
      <c r="H15" s="6" t="n"/>
      <c r="I15" s="8" t="n"/>
      <c r="J15" s="6" t="n"/>
      <c r="K15" s="6" t="n"/>
      <c r="L15" s="6" t="n"/>
      <c r="M15" s="6" t="n"/>
      <c r="O15" s="5" t="n"/>
      <c r="S15" s="6" t="n"/>
      <c r="V15" s="5" t="n"/>
      <c r="X15" s="5" t="n"/>
      <c r="AC15" s="6" t="n"/>
      <c r="AD15" s="6" t="n"/>
      <c r="AE15" s="7">
        <f>IF(X15="","",ROUND('Opening Balance'!$B$4+SUM($AC$2:AC15)-SUM($AD$2:AD15)+SUMPRODUCT(($Q$2:$Q$1501="Collection 收款")*($R$2:$R$1501="Cheque 支票")*($V$2:$V$1501&lt;&gt;"")*($V$2:$V$1501&lt;=X15)*($S$2:$S$1501-'Opening Balance'!$B$15*($R$2:$R$1501="Cheque 支票")*($S$2:$S$1501-TRUNC($S$2:$S$1501))))-'Opening Balance'!$B$15*SUMPRODUCT(($Z$2:Z15="Online collection 网上收款")*($AA$2:AA15&lt;&gt;"")*($AC$2:AC15-TRUNC($AC$2:AC15))),2))</f>
        <v/>
      </c>
    </row>
    <row r="16">
      <c r="A16" s="5" t="n"/>
      <c r="B16" s="6" t="n"/>
      <c r="C16" s="6" t="n"/>
      <c r="D16" s="6" t="n"/>
      <c r="E16" s="7">
        <f>IF(A16="","",SUMPRODUCT(('Daily Sale entry '!$O$2:$O$1501=A16)*('Daily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" s="6" t="n"/>
      <c r="G16" s="6" t="n"/>
      <c r="H16" s="6" t="n"/>
      <c r="I16" s="8" t="n"/>
      <c r="J16" s="6" t="n"/>
      <c r="K16" s="6" t="n"/>
      <c r="L16" s="6" t="n"/>
      <c r="M16" s="6" t="n"/>
      <c r="O16" s="5" t="n"/>
      <c r="S16" s="6" t="n"/>
      <c r="V16" s="5" t="n"/>
      <c r="X16" s="5" t="n"/>
      <c r="AC16" s="6" t="n"/>
      <c r="AD16" s="6" t="n"/>
      <c r="AE16" s="7">
        <f>IF(X16="","",ROUND('Opening Balance'!$B$4+SUM($AC$2:AC16)-SUM($AD$2:AD16)+SUMPRODUCT(($Q$2:$Q$1501="Collection 收款")*($R$2:$R$1501="Cheque 支票")*($V$2:$V$1501&lt;&gt;"")*($V$2:$V$1501&lt;=X16)*($S$2:$S$1501-'Opening Balance'!$B$15*($R$2:$R$1501="Cheque 支票")*($S$2:$S$1501-TRUNC($S$2:$S$1501))))-'Opening Balance'!$B$15*SUMPRODUCT(($Z$2:Z16="Online collection 网上收款")*($AA$2:AA16&lt;&gt;"")*($AC$2:AC16-TRUNC($AC$2:AC16))),2))</f>
        <v/>
      </c>
    </row>
    <row r="17">
      <c r="A17" s="5" t="n"/>
      <c r="B17" s="6" t="n"/>
      <c r="C17" s="6" t="n"/>
      <c r="D17" s="6" t="n"/>
      <c r="E17" s="7">
        <f>IF(A17="","",SUMPRODUCT(('Daily Sale entry '!$O$2:$O$1501=A17)*('Daily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" s="6" t="n"/>
      <c r="G17" s="6" t="n"/>
      <c r="H17" s="6" t="n"/>
      <c r="I17" s="8" t="n"/>
      <c r="J17" s="6" t="n"/>
      <c r="K17" s="6" t="n"/>
      <c r="L17" s="6" t="n"/>
      <c r="M17" s="6" t="n"/>
      <c r="O17" s="5" t="n"/>
      <c r="S17" s="6" t="n"/>
      <c r="V17" s="5" t="n"/>
      <c r="X17" s="5" t="n"/>
      <c r="AC17" s="6" t="n"/>
      <c r="AD17" s="6" t="n"/>
      <c r="AE17" s="7">
        <f>IF(X17="","",ROUND('Opening Balance'!$B$4+SUM($AC$2:AC17)-SUM($AD$2:AD17)+SUMPRODUCT(($Q$2:$Q$1501="Collection 收款")*($R$2:$R$1501="Cheque 支票")*($V$2:$V$1501&lt;&gt;"")*($V$2:$V$1501&lt;=X17)*($S$2:$S$1501-'Opening Balance'!$B$15*($R$2:$R$1501="Cheque 支票")*($S$2:$S$1501-TRUNC($S$2:$S$1501))))-'Opening Balance'!$B$15*SUMPRODUCT(($Z$2:Z17="Online collection 网上收款")*($AA$2:AA17&lt;&gt;"")*($AC$2:AC17-TRUNC($AC$2:AC17))),2))</f>
        <v/>
      </c>
    </row>
    <row r="18">
      <c r="A18" s="5" t="n"/>
      <c r="B18" s="6" t="n"/>
      <c r="C18" s="6" t="n"/>
      <c r="D18" s="6" t="n"/>
      <c r="E18" s="7">
        <f>IF(A18="","",SUMPRODUCT(('Daily Sale entry '!$O$2:$O$1501=A18)*('Daily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" s="6" t="n"/>
      <c r="G18" s="6" t="n"/>
      <c r="H18" s="6" t="n"/>
      <c r="I18" s="8" t="n"/>
      <c r="J18" s="6" t="n"/>
      <c r="K18" s="6" t="n"/>
      <c r="L18" s="6" t="n"/>
      <c r="M18" s="6" t="n"/>
      <c r="O18" s="5" t="n"/>
      <c r="S18" s="6" t="n"/>
      <c r="V18" s="5" t="n"/>
      <c r="X18" s="5" t="n"/>
      <c r="AC18" s="6" t="n"/>
      <c r="AD18" s="6" t="n"/>
      <c r="AE18" s="7">
        <f>IF(X18="","",ROUND('Opening Balance'!$B$4+SUM($AC$2:AC18)-SUM($AD$2:AD18)+SUMPRODUCT(($Q$2:$Q$1501="Collection 收款")*($R$2:$R$1501="Cheque 支票")*($V$2:$V$1501&lt;&gt;"")*($V$2:$V$1501&lt;=X18)*($S$2:$S$1501-'Opening Balance'!$B$15*($R$2:$R$1501="Cheque 支票")*($S$2:$S$1501-TRUNC($S$2:$S$1501))))-'Opening Balance'!$B$15*SUMPRODUCT(($Z$2:Z18="Online collection 网上收款")*($AA$2:AA18&lt;&gt;"")*($AC$2:AC18-TRUNC($AC$2:AC18))),2))</f>
        <v/>
      </c>
    </row>
    <row r="19">
      <c r="A19" s="5" t="n"/>
      <c r="B19" s="6" t="n"/>
      <c r="C19" s="6" t="n"/>
      <c r="D19" s="6" t="n"/>
      <c r="E19" s="7">
        <f>IF(A19="","",SUMPRODUCT(('Daily Sale entry '!$O$2:$O$1501=A19)*('Daily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" s="6" t="n"/>
      <c r="G19" s="6" t="n"/>
      <c r="H19" s="6" t="n"/>
      <c r="I19" s="8" t="n"/>
      <c r="J19" s="6" t="n"/>
      <c r="K19" s="6" t="n"/>
      <c r="L19" s="6" t="n"/>
      <c r="M19" s="6" t="n"/>
      <c r="O19" s="5" t="n"/>
      <c r="S19" s="6" t="n"/>
      <c r="V19" s="5" t="n"/>
      <c r="X19" s="5" t="n"/>
      <c r="AC19" s="6" t="n"/>
      <c r="AD19" s="6" t="n"/>
      <c r="AE19" s="7">
        <f>IF(X19="","",ROUND('Opening Balance'!$B$4+SUM($AC$2:AC19)-SUM($AD$2:AD19)+SUMPRODUCT(($Q$2:$Q$1501="Collection 收款")*($R$2:$R$1501="Cheque 支票")*($V$2:$V$1501&lt;&gt;"")*($V$2:$V$1501&lt;=X19)*($S$2:$S$1501-'Opening Balance'!$B$15*($R$2:$R$1501="Cheque 支票")*($S$2:$S$1501-TRUNC($S$2:$S$1501))))-'Opening Balance'!$B$15*SUMPRODUCT(($Z$2:Z19="Online collection 网上收款")*($AA$2:AA19&lt;&gt;"")*($AC$2:AC19-TRUNC($AC$2:AC19))),2))</f>
        <v/>
      </c>
    </row>
    <row r="20">
      <c r="A20" s="5" t="n"/>
      <c r="B20" s="6" t="n"/>
      <c r="C20" s="6" t="n"/>
      <c r="D20" s="6" t="n"/>
      <c r="E20" s="7">
        <f>IF(A20="","",SUMPRODUCT(('Daily Sale entry '!$O$2:$O$1501=A20)*('Daily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" s="6" t="n"/>
      <c r="G20" s="6" t="n"/>
      <c r="H20" s="6" t="n"/>
      <c r="I20" s="8" t="n"/>
      <c r="J20" s="6" t="n"/>
      <c r="K20" s="6" t="n"/>
      <c r="L20" s="6" t="n"/>
      <c r="M20" s="6" t="n"/>
      <c r="O20" s="5" t="n"/>
      <c r="S20" s="6" t="n"/>
      <c r="V20" s="5" t="n"/>
      <c r="X20" s="5" t="n"/>
      <c r="AC20" s="6" t="n"/>
      <c r="AD20" s="6" t="n"/>
      <c r="AE20" s="7">
        <f>IF(X20="","",ROUND('Opening Balance'!$B$4+SUM($AC$2:AC20)-SUM($AD$2:AD20)+SUMPRODUCT(($Q$2:$Q$1501="Collection 收款")*($R$2:$R$1501="Cheque 支票")*($V$2:$V$1501&lt;&gt;"")*($V$2:$V$1501&lt;=X20)*($S$2:$S$1501-'Opening Balance'!$B$15*($R$2:$R$1501="Cheque 支票")*($S$2:$S$1501-TRUNC($S$2:$S$1501))))-'Opening Balance'!$B$15*SUMPRODUCT(($Z$2:Z20="Online collection 网上收款")*($AA$2:AA20&lt;&gt;"")*($AC$2:AC20-TRUNC($AC$2:AC20))),2))</f>
        <v/>
      </c>
    </row>
    <row r="21">
      <c r="A21" s="5" t="n"/>
      <c r="B21" s="6" t="n"/>
      <c r="C21" s="6" t="n"/>
      <c r="D21" s="6" t="n"/>
      <c r="E21" s="7">
        <f>IF(A21="","",SUMPRODUCT(('Daily Sale entry '!$O$2:$O$1501=A21)*('Daily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" s="6" t="n"/>
      <c r="G21" s="6" t="n"/>
      <c r="H21" s="6" t="n"/>
      <c r="I21" s="8" t="n"/>
      <c r="J21" s="6" t="n"/>
      <c r="K21" s="6" t="n"/>
      <c r="L21" s="6" t="n"/>
      <c r="M21" s="6" t="n"/>
      <c r="O21" s="5" t="n"/>
      <c r="S21" s="6" t="n"/>
      <c r="V21" s="5" t="n"/>
      <c r="X21" s="5" t="n"/>
      <c r="AC21" s="6" t="n"/>
      <c r="AD21" s="6" t="n"/>
      <c r="AE21" s="7">
        <f>IF(X21="","",ROUND('Opening Balance'!$B$4+SUM($AC$2:AC21)-SUM($AD$2:AD21)+SUMPRODUCT(($Q$2:$Q$1501="Collection 收款")*($R$2:$R$1501="Cheque 支票")*($V$2:$V$1501&lt;&gt;"")*($V$2:$V$1501&lt;=X21)*($S$2:$S$1501-'Opening Balance'!$B$15*($R$2:$R$1501="Cheque 支票")*($S$2:$S$1501-TRUNC($S$2:$S$1501))))-'Opening Balance'!$B$15*SUMPRODUCT(($Z$2:Z21="Online collection 网上收款")*($AA$2:AA21&lt;&gt;"")*($AC$2:AC21-TRUNC($AC$2:AC21))),2))</f>
        <v/>
      </c>
    </row>
    <row r="22">
      <c r="A22" s="5" t="n"/>
      <c r="B22" s="6" t="n"/>
      <c r="C22" s="6" t="n"/>
      <c r="D22" s="6" t="n"/>
      <c r="E22" s="7">
        <f>IF(A22="","",SUMPRODUCT(('Daily Sale entry '!$O$2:$O$1501=A22)*('Daily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" s="6" t="n"/>
      <c r="G22" s="6" t="n"/>
      <c r="H22" s="6" t="n"/>
      <c r="I22" s="8" t="n"/>
      <c r="J22" s="6" t="n"/>
      <c r="K22" s="6" t="n"/>
      <c r="L22" s="6" t="n"/>
      <c r="M22" s="6" t="n"/>
      <c r="O22" s="5" t="n"/>
      <c r="S22" s="6" t="n"/>
      <c r="V22" s="5" t="n"/>
      <c r="X22" s="5" t="n"/>
      <c r="AC22" s="6" t="n"/>
      <c r="AD22" s="6" t="n"/>
      <c r="AE22" s="7">
        <f>IF(X22="","",ROUND('Opening Balance'!$B$4+SUM($AC$2:AC22)-SUM($AD$2:AD22)+SUMPRODUCT(($Q$2:$Q$1501="Collection 收款")*($R$2:$R$1501="Cheque 支票")*($V$2:$V$1501&lt;&gt;"")*($V$2:$V$1501&lt;=X22)*($S$2:$S$1501-'Opening Balance'!$B$15*($R$2:$R$1501="Cheque 支票")*($S$2:$S$1501-TRUNC($S$2:$S$1501))))-'Opening Balance'!$B$15*SUMPRODUCT(($Z$2:Z22="Online collection 网上收款")*($AA$2:AA22&lt;&gt;"")*($AC$2:AC22-TRUNC($AC$2:AC22))),2))</f>
        <v/>
      </c>
    </row>
    <row r="23">
      <c r="A23" s="5" t="n"/>
      <c r="B23" s="6" t="n"/>
      <c r="C23" s="6" t="n"/>
      <c r="D23" s="6" t="n"/>
      <c r="E23" s="7">
        <f>IF(A23="","",SUMPRODUCT(('Daily Sale entry '!$O$2:$O$1501=A23)*('Daily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" s="6" t="n"/>
      <c r="G23" s="6" t="n"/>
      <c r="H23" s="6" t="n"/>
      <c r="I23" s="8" t="n"/>
      <c r="J23" s="6" t="n"/>
      <c r="K23" s="6" t="n"/>
      <c r="L23" s="6" t="n"/>
      <c r="M23" s="6" t="n"/>
      <c r="O23" s="5" t="n"/>
      <c r="S23" s="6" t="n"/>
      <c r="V23" s="5" t="n"/>
      <c r="X23" s="5" t="n"/>
      <c r="AC23" s="6" t="n"/>
      <c r="AD23" s="6" t="n"/>
      <c r="AE23" s="7">
        <f>IF(X23="","",ROUND('Opening Balance'!$B$4+SUM($AC$2:AC23)-SUM($AD$2:AD23)+SUMPRODUCT(($Q$2:$Q$1501="Collection 收款")*($R$2:$R$1501="Cheque 支票")*($V$2:$V$1501&lt;&gt;"")*($V$2:$V$1501&lt;=X23)*($S$2:$S$1501-'Opening Balance'!$B$15*($R$2:$R$1501="Cheque 支票")*($S$2:$S$1501-TRUNC($S$2:$S$1501))))-'Opening Balance'!$B$15*SUMPRODUCT(($Z$2:Z23="Online collection 网上收款")*($AA$2:AA23&lt;&gt;"")*($AC$2:AC23-TRUNC($AC$2:AC23))),2))</f>
        <v/>
      </c>
    </row>
    <row r="24">
      <c r="A24" s="5" t="n"/>
      <c r="B24" s="6" t="n"/>
      <c r="C24" s="6" t="n"/>
      <c r="D24" s="6" t="n"/>
      <c r="E24" s="7">
        <f>IF(A24="","",SUMPRODUCT(('Daily Sale entry '!$O$2:$O$1501=A24)*('Daily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" s="6" t="n"/>
      <c r="G24" s="6" t="n"/>
      <c r="H24" s="6" t="n"/>
      <c r="I24" s="8" t="n"/>
      <c r="J24" s="6" t="n"/>
      <c r="K24" s="6" t="n"/>
      <c r="L24" s="6" t="n"/>
      <c r="M24" s="6" t="n"/>
      <c r="O24" s="5" t="n"/>
      <c r="S24" s="6" t="n"/>
      <c r="V24" s="5" t="n"/>
      <c r="X24" s="5" t="n"/>
      <c r="AC24" s="6" t="n"/>
      <c r="AD24" s="6" t="n"/>
      <c r="AE24" s="7">
        <f>IF(X24="","",ROUND('Opening Balance'!$B$4+SUM($AC$2:AC24)-SUM($AD$2:AD24)+SUMPRODUCT(($Q$2:$Q$1501="Collection 收款")*($R$2:$R$1501="Cheque 支票")*($V$2:$V$1501&lt;&gt;"")*($V$2:$V$1501&lt;=X24)*($S$2:$S$1501-'Opening Balance'!$B$15*($R$2:$R$1501="Cheque 支票")*($S$2:$S$1501-TRUNC($S$2:$S$1501))))-'Opening Balance'!$B$15*SUMPRODUCT(($Z$2:Z24="Online collection 网上收款")*($AA$2:AA24&lt;&gt;"")*($AC$2:AC24-TRUNC($AC$2:AC24))),2))</f>
        <v/>
      </c>
    </row>
    <row r="25">
      <c r="A25" s="5" t="n"/>
      <c r="B25" s="6" t="n"/>
      <c r="C25" s="6" t="n"/>
      <c r="D25" s="6" t="n"/>
      <c r="E25" s="7">
        <f>IF(A25="","",SUMPRODUCT(('Daily Sale entry '!$O$2:$O$1501=A25)*('Daily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" s="6" t="n"/>
      <c r="G25" s="6" t="n"/>
      <c r="H25" s="6" t="n"/>
      <c r="I25" s="8" t="n"/>
      <c r="J25" s="6" t="n"/>
      <c r="K25" s="6" t="n"/>
      <c r="L25" s="6" t="n"/>
      <c r="M25" s="6" t="n"/>
      <c r="O25" s="5" t="n"/>
      <c r="S25" s="6" t="n"/>
      <c r="V25" s="5" t="n"/>
      <c r="X25" s="5" t="n"/>
      <c r="AC25" s="6" t="n"/>
      <c r="AD25" s="6" t="n"/>
      <c r="AE25" s="7">
        <f>IF(X25="","",ROUND('Opening Balance'!$B$4+SUM($AC$2:AC25)-SUM($AD$2:AD25)+SUMPRODUCT(($Q$2:$Q$1501="Collection 收款")*($R$2:$R$1501="Cheque 支票")*($V$2:$V$1501&lt;&gt;"")*($V$2:$V$1501&lt;=X25)*($S$2:$S$1501-'Opening Balance'!$B$15*($R$2:$R$1501="Cheque 支票")*($S$2:$S$1501-TRUNC($S$2:$S$1501))))-'Opening Balance'!$B$15*SUMPRODUCT(($Z$2:Z25="Online collection 网上收款")*($AA$2:AA25&lt;&gt;"")*($AC$2:AC25-TRUNC($AC$2:AC25))),2))</f>
        <v/>
      </c>
    </row>
    <row r="26">
      <c r="A26" s="5" t="n"/>
      <c r="B26" s="6" t="n"/>
      <c r="C26" s="6" t="n"/>
      <c r="D26" s="6" t="n"/>
      <c r="E26" s="7">
        <f>IF(A26="","",SUMPRODUCT(('Daily Sale entry '!$O$2:$O$1501=A26)*('Daily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" s="6" t="n"/>
      <c r="G26" s="6" t="n"/>
      <c r="H26" s="6" t="n"/>
      <c r="I26" s="8" t="n"/>
      <c r="J26" s="6" t="n"/>
      <c r="K26" s="6" t="n"/>
      <c r="L26" s="6" t="n"/>
      <c r="M26" s="6" t="n"/>
      <c r="O26" s="5" t="n"/>
      <c r="S26" s="6" t="n"/>
      <c r="V26" s="5" t="n"/>
      <c r="X26" s="5" t="n"/>
      <c r="AC26" s="6" t="n"/>
      <c r="AD26" s="6" t="n"/>
      <c r="AE26" s="7">
        <f>IF(X26="","",ROUND('Opening Balance'!$B$4+SUM($AC$2:AC26)-SUM($AD$2:AD26)+SUMPRODUCT(($Q$2:$Q$1501="Collection 收款")*($R$2:$R$1501="Cheque 支票")*($V$2:$V$1501&lt;&gt;"")*($V$2:$V$1501&lt;=X26)*($S$2:$S$1501-'Opening Balance'!$B$15*($R$2:$R$1501="Cheque 支票")*($S$2:$S$1501-TRUNC($S$2:$S$1501))))-'Opening Balance'!$B$15*SUMPRODUCT(($Z$2:Z26="Online collection 网上收款")*($AA$2:AA26&lt;&gt;"")*($AC$2:AC26-TRUNC($AC$2:AC26))),2))</f>
        <v/>
      </c>
    </row>
    <row r="27">
      <c r="A27" s="5" t="n"/>
      <c r="B27" s="6" t="n"/>
      <c r="C27" s="6" t="n"/>
      <c r="D27" s="6" t="n"/>
      <c r="E27" s="7">
        <f>IF(A27="","",SUMPRODUCT(('Daily Sale entry '!$O$2:$O$1501=A27)*('Daily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" s="6" t="n"/>
      <c r="G27" s="6" t="n"/>
      <c r="H27" s="6" t="n"/>
      <c r="I27" s="8" t="n"/>
      <c r="J27" s="6" t="n"/>
      <c r="K27" s="6" t="n"/>
      <c r="L27" s="6" t="n"/>
      <c r="M27" s="6" t="n"/>
      <c r="O27" s="5" t="n"/>
      <c r="S27" s="6" t="n"/>
      <c r="V27" s="5" t="n"/>
      <c r="X27" s="5" t="n"/>
      <c r="AC27" s="6" t="n"/>
      <c r="AD27" s="6" t="n"/>
      <c r="AE27" s="7">
        <f>IF(X27="","",ROUND('Opening Balance'!$B$4+SUM($AC$2:AC27)-SUM($AD$2:AD27)+SUMPRODUCT(($Q$2:$Q$1501="Collection 收款")*($R$2:$R$1501="Cheque 支票")*($V$2:$V$1501&lt;&gt;"")*($V$2:$V$1501&lt;=X27)*($S$2:$S$1501-'Opening Balance'!$B$15*($R$2:$R$1501="Cheque 支票")*($S$2:$S$1501-TRUNC($S$2:$S$1501))))-'Opening Balance'!$B$15*SUMPRODUCT(($Z$2:Z27="Online collection 网上收款")*($AA$2:AA27&lt;&gt;"")*($AC$2:AC27-TRUNC($AC$2:AC27))),2))</f>
        <v/>
      </c>
    </row>
    <row r="28">
      <c r="A28" s="5" t="n"/>
      <c r="B28" s="6" t="n"/>
      <c r="C28" s="6" t="n"/>
      <c r="D28" s="6" t="n"/>
      <c r="E28" s="7">
        <f>IF(A28="","",SUMPRODUCT(('Daily Sale entry '!$O$2:$O$1501=A28)*('Daily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" s="6" t="n"/>
      <c r="G28" s="6" t="n"/>
      <c r="H28" s="6" t="n"/>
      <c r="I28" s="8" t="n"/>
      <c r="J28" s="6" t="n"/>
      <c r="K28" s="6" t="n"/>
      <c r="L28" s="6" t="n"/>
      <c r="M28" s="6" t="n"/>
      <c r="O28" s="5" t="n"/>
      <c r="S28" s="6" t="n"/>
      <c r="V28" s="5" t="n"/>
      <c r="X28" s="5" t="n"/>
      <c r="AC28" s="6" t="n"/>
      <c r="AD28" s="6" t="n"/>
      <c r="AE28" s="7">
        <f>IF(X28="","",ROUND('Opening Balance'!$B$4+SUM($AC$2:AC28)-SUM($AD$2:AD28)+SUMPRODUCT(($Q$2:$Q$1501="Collection 收款")*($R$2:$R$1501="Cheque 支票")*($V$2:$V$1501&lt;&gt;"")*($V$2:$V$1501&lt;=X28)*($S$2:$S$1501-'Opening Balance'!$B$15*($R$2:$R$1501="Cheque 支票")*($S$2:$S$1501-TRUNC($S$2:$S$1501))))-'Opening Balance'!$B$15*SUMPRODUCT(($Z$2:Z28="Online collection 网上收款")*($AA$2:AA28&lt;&gt;"")*($AC$2:AC28-TRUNC($AC$2:AC28))),2))</f>
        <v/>
      </c>
    </row>
    <row r="29">
      <c r="A29" s="5" t="n"/>
      <c r="B29" s="6" t="n"/>
      <c r="C29" s="6" t="n"/>
      <c r="D29" s="6" t="n"/>
      <c r="E29" s="7">
        <f>IF(A29="","",SUMPRODUCT(('Daily Sale entry '!$O$2:$O$1501=A29)*('Daily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" s="6" t="n"/>
      <c r="G29" s="6" t="n"/>
      <c r="H29" s="6" t="n"/>
      <c r="I29" s="8" t="n"/>
      <c r="J29" s="6" t="n"/>
      <c r="K29" s="6" t="n"/>
      <c r="L29" s="6" t="n"/>
      <c r="M29" s="6" t="n"/>
      <c r="O29" s="5" t="n"/>
      <c r="S29" s="6" t="n"/>
      <c r="V29" s="5" t="n"/>
      <c r="X29" s="5" t="n"/>
      <c r="AC29" s="6" t="n"/>
      <c r="AD29" s="6" t="n"/>
      <c r="AE29" s="7">
        <f>IF(X29="","",ROUND('Opening Balance'!$B$4+SUM($AC$2:AC29)-SUM($AD$2:AD29)+SUMPRODUCT(($Q$2:$Q$1501="Collection 收款")*($R$2:$R$1501="Cheque 支票")*($V$2:$V$1501&lt;&gt;"")*($V$2:$V$1501&lt;=X29)*($S$2:$S$1501-'Opening Balance'!$B$15*($R$2:$R$1501="Cheque 支票")*($S$2:$S$1501-TRUNC($S$2:$S$1501))))-'Opening Balance'!$B$15*SUMPRODUCT(($Z$2:Z29="Online collection 网上收款")*($AA$2:AA29&lt;&gt;"")*($AC$2:AC29-TRUNC($AC$2:AC29))),2))</f>
        <v/>
      </c>
    </row>
    <row r="30">
      <c r="A30" s="5" t="n"/>
      <c r="B30" s="6" t="n"/>
      <c r="C30" s="6" t="n"/>
      <c r="D30" s="6" t="n"/>
      <c r="E30" s="7">
        <f>IF(A30="","",SUMPRODUCT(('Daily Sale entry '!$O$2:$O$1501=A30)*('Daily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" s="6" t="n"/>
      <c r="G30" s="6" t="n"/>
      <c r="H30" s="6" t="n"/>
      <c r="I30" s="8" t="n"/>
      <c r="J30" s="6" t="n"/>
      <c r="K30" s="6" t="n"/>
      <c r="L30" s="6" t="n"/>
      <c r="M30" s="6" t="n"/>
      <c r="O30" s="5" t="n"/>
      <c r="S30" s="6" t="n"/>
      <c r="V30" s="5" t="n"/>
      <c r="X30" s="5" t="n"/>
      <c r="AC30" s="6" t="n"/>
      <c r="AD30" s="6" t="n"/>
      <c r="AE30" s="7">
        <f>IF(X30="","",ROUND('Opening Balance'!$B$4+SUM($AC$2:AC30)-SUM($AD$2:AD30)+SUMPRODUCT(($Q$2:$Q$1501="Collection 收款")*($R$2:$R$1501="Cheque 支票")*($V$2:$V$1501&lt;&gt;"")*($V$2:$V$1501&lt;=X30)*($S$2:$S$1501-'Opening Balance'!$B$15*($R$2:$R$1501="Cheque 支票")*($S$2:$S$1501-TRUNC($S$2:$S$1501))))-'Opening Balance'!$B$15*SUMPRODUCT(($Z$2:Z30="Online collection 网上收款")*($AA$2:AA30&lt;&gt;"")*($AC$2:AC30-TRUNC($AC$2:AC30))),2))</f>
        <v/>
      </c>
    </row>
    <row r="31">
      <c r="A31" s="5" t="n"/>
      <c r="B31" s="6" t="n"/>
      <c r="C31" s="6" t="n"/>
      <c r="D31" s="6" t="n"/>
      <c r="E31" s="7">
        <f>IF(A31="","",SUMPRODUCT(('Daily Sale entry '!$O$2:$O$1501=A31)*('Daily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" s="6" t="n"/>
      <c r="G31" s="6" t="n"/>
      <c r="H31" s="6" t="n"/>
      <c r="I31" s="8" t="n"/>
      <c r="J31" s="6" t="n"/>
      <c r="K31" s="6" t="n"/>
      <c r="L31" s="6" t="n"/>
      <c r="M31" s="6" t="n"/>
      <c r="O31" s="5" t="n"/>
      <c r="S31" s="6" t="n"/>
      <c r="V31" s="5" t="n"/>
      <c r="X31" s="5" t="n"/>
      <c r="AC31" s="6" t="n"/>
      <c r="AD31" s="6" t="n"/>
      <c r="AE31" s="7">
        <f>IF(X31="","",ROUND('Opening Balance'!$B$4+SUM($AC$2:AC31)-SUM($AD$2:AD31)+SUMPRODUCT(($Q$2:$Q$1501="Collection 收款")*($R$2:$R$1501="Cheque 支票")*($V$2:$V$1501&lt;&gt;"")*($V$2:$V$1501&lt;=X31)*($S$2:$S$1501-'Opening Balance'!$B$15*($R$2:$R$1501="Cheque 支票")*($S$2:$S$1501-TRUNC($S$2:$S$1501))))-'Opening Balance'!$B$15*SUMPRODUCT(($Z$2:Z31="Online collection 网上收款")*($AA$2:AA31&lt;&gt;"")*($AC$2:AC31-TRUNC($AC$2:AC31))),2))</f>
        <v/>
      </c>
    </row>
    <row r="32">
      <c r="A32" s="5" t="n"/>
      <c r="B32" s="6" t="n"/>
      <c r="C32" s="6" t="n"/>
      <c r="D32" s="6" t="n"/>
      <c r="E32" s="7">
        <f>IF(A32="","",SUMPRODUCT(('Daily Sale entry '!$O$2:$O$1501=A32)*('Daily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" s="6" t="n"/>
      <c r="G32" s="6" t="n"/>
      <c r="H32" s="6" t="n"/>
      <c r="I32" s="8" t="n"/>
      <c r="J32" s="6" t="n"/>
      <c r="K32" s="6" t="n"/>
      <c r="L32" s="6" t="n"/>
      <c r="M32" s="6" t="n"/>
      <c r="O32" s="5" t="n"/>
      <c r="S32" s="6" t="n"/>
      <c r="V32" s="5" t="n"/>
      <c r="X32" s="5" t="n"/>
      <c r="AC32" s="6" t="n"/>
      <c r="AD32" s="6" t="n"/>
      <c r="AE32" s="7">
        <f>IF(X32="","",ROUND('Opening Balance'!$B$4+SUM($AC$2:AC32)-SUM($AD$2:AD32)+SUMPRODUCT(($Q$2:$Q$1501="Collection 收款")*($R$2:$R$1501="Cheque 支票")*($V$2:$V$1501&lt;&gt;"")*($V$2:$V$1501&lt;=X32)*($S$2:$S$1501-'Opening Balance'!$B$15*($R$2:$R$1501="Cheque 支票")*($S$2:$S$1501-TRUNC($S$2:$S$1501))))-'Opening Balance'!$B$15*SUMPRODUCT(($Z$2:Z32="Online collection 网上收款")*($AA$2:AA32&lt;&gt;"")*($AC$2:AC32-TRUNC($AC$2:AC32))),2))</f>
        <v/>
      </c>
    </row>
    <row r="33">
      <c r="A33" s="5" t="n"/>
      <c r="B33" s="6" t="n"/>
      <c r="C33" s="6" t="n"/>
      <c r="D33" s="6" t="n"/>
      <c r="E33" s="7">
        <f>IF(A33="","",SUMPRODUCT(('Daily Sale entry '!$O$2:$O$1501=A33)*('Daily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" s="6" t="n"/>
      <c r="G33" s="6" t="n"/>
      <c r="H33" s="6" t="n"/>
      <c r="I33" s="8" t="n"/>
      <c r="J33" s="6" t="n"/>
      <c r="K33" s="6" t="n"/>
      <c r="L33" s="6" t="n"/>
      <c r="M33" s="6" t="n"/>
      <c r="O33" s="5" t="n"/>
      <c r="S33" s="6" t="n"/>
      <c r="V33" s="5" t="n"/>
      <c r="X33" s="5" t="n"/>
      <c r="AC33" s="6" t="n"/>
      <c r="AD33" s="6" t="n"/>
      <c r="AE33" s="7">
        <f>IF(X33="","",ROUND('Opening Balance'!$B$4+SUM($AC$2:AC33)-SUM($AD$2:AD33)+SUMPRODUCT(($Q$2:$Q$1501="Collection 收款")*($R$2:$R$1501="Cheque 支票")*($V$2:$V$1501&lt;&gt;"")*($V$2:$V$1501&lt;=X33)*($S$2:$S$1501-'Opening Balance'!$B$15*($R$2:$R$1501="Cheque 支票")*($S$2:$S$1501-TRUNC($S$2:$S$1501))))-'Opening Balance'!$B$15*SUMPRODUCT(($Z$2:Z33="Online collection 网上收款")*($AA$2:AA33&lt;&gt;"")*($AC$2:AC33-TRUNC($AC$2:AC33))),2))</f>
        <v/>
      </c>
    </row>
    <row r="34">
      <c r="A34" s="5" t="n"/>
      <c r="B34" s="6" t="n"/>
      <c r="C34" s="6" t="n"/>
      <c r="D34" s="6" t="n"/>
      <c r="E34" s="7">
        <f>IF(A34="","",SUMPRODUCT(('Daily Sale entry '!$O$2:$O$1501=A34)*('Daily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" s="6" t="n"/>
      <c r="G34" s="6" t="n"/>
      <c r="H34" s="6" t="n"/>
      <c r="I34" s="8" t="n"/>
      <c r="J34" s="6" t="n"/>
      <c r="K34" s="6" t="n"/>
      <c r="L34" s="6" t="n"/>
      <c r="M34" s="6" t="n"/>
      <c r="O34" s="5" t="n"/>
      <c r="S34" s="6" t="n"/>
      <c r="V34" s="5" t="n"/>
      <c r="X34" s="5" t="n"/>
      <c r="AC34" s="6" t="n"/>
      <c r="AD34" s="6" t="n"/>
      <c r="AE34" s="7">
        <f>IF(X34="","",ROUND('Opening Balance'!$B$4+SUM($AC$2:AC34)-SUM($AD$2:AD34)+SUMPRODUCT(($Q$2:$Q$1501="Collection 收款")*($R$2:$R$1501="Cheque 支票")*($V$2:$V$1501&lt;&gt;"")*($V$2:$V$1501&lt;=X34)*($S$2:$S$1501-'Opening Balance'!$B$15*($R$2:$R$1501="Cheque 支票")*($S$2:$S$1501-TRUNC($S$2:$S$1501))))-'Opening Balance'!$B$15*SUMPRODUCT(($Z$2:Z34="Online collection 网上收款")*($AA$2:AA34&lt;&gt;"")*($AC$2:AC34-TRUNC($AC$2:AC34))),2))</f>
        <v/>
      </c>
    </row>
    <row r="35">
      <c r="A35" s="5" t="n"/>
      <c r="B35" s="6" t="n"/>
      <c r="C35" s="6" t="n"/>
      <c r="D35" s="6" t="n"/>
      <c r="E35" s="7">
        <f>IF(A35="","",SUMPRODUCT(('Daily Sale entry '!$O$2:$O$1501=A35)*('Daily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" s="6" t="n"/>
      <c r="G35" s="6" t="n"/>
      <c r="H35" s="6" t="n"/>
      <c r="I35" s="8" t="n"/>
      <c r="J35" s="6" t="n"/>
      <c r="K35" s="6" t="n"/>
      <c r="L35" s="6" t="n"/>
      <c r="M35" s="6" t="n"/>
      <c r="O35" s="5" t="n"/>
      <c r="S35" s="6" t="n"/>
      <c r="V35" s="5" t="n"/>
      <c r="X35" s="5" t="n"/>
      <c r="AC35" s="6" t="n"/>
      <c r="AD35" s="6" t="n"/>
      <c r="AE35" s="7">
        <f>IF(X35="","",ROUND('Opening Balance'!$B$4+SUM($AC$2:AC35)-SUM($AD$2:AD35)+SUMPRODUCT(($Q$2:$Q$1501="Collection 收款")*($R$2:$R$1501="Cheque 支票")*($V$2:$V$1501&lt;&gt;"")*($V$2:$V$1501&lt;=X35)*($S$2:$S$1501-'Opening Balance'!$B$15*($R$2:$R$1501="Cheque 支票")*($S$2:$S$1501-TRUNC($S$2:$S$1501))))-'Opening Balance'!$B$15*SUMPRODUCT(($Z$2:Z35="Online collection 网上收款")*($AA$2:AA35&lt;&gt;"")*($AC$2:AC35-TRUNC($AC$2:AC35))),2))</f>
        <v/>
      </c>
    </row>
    <row r="36">
      <c r="A36" s="5" t="n"/>
      <c r="B36" s="6" t="n"/>
      <c r="C36" s="6" t="n"/>
      <c r="D36" s="6" t="n"/>
      <c r="E36" s="7">
        <f>IF(A36="","",SUMPRODUCT(('Daily Sale entry '!$O$2:$O$1501=A36)*('Daily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" s="6" t="n"/>
      <c r="G36" s="6" t="n"/>
      <c r="H36" s="6" t="n"/>
      <c r="I36" s="8" t="n"/>
      <c r="J36" s="6" t="n"/>
      <c r="K36" s="6" t="n"/>
      <c r="L36" s="6" t="n"/>
      <c r="M36" s="6" t="n"/>
      <c r="O36" s="5" t="n"/>
      <c r="S36" s="6" t="n"/>
      <c r="V36" s="5" t="n"/>
      <c r="X36" s="5" t="n"/>
      <c r="AC36" s="6" t="n"/>
      <c r="AD36" s="6" t="n"/>
      <c r="AE36" s="7">
        <f>IF(X36="","",ROUND('Opening Balance'!$B$4+SUM($AC$2:AC36)-SUM($AD$2:AD36)+SUMPRODUCT(($Q$2:$Q$1501="Collection 收款")*($R$2:$R$1501="Cheque 支票")*($V$2:$V$1501&lt;&gt;"")*($V$2:$V$1501&lt;=X36)*($S$2:$S$1501-'Opening Balance'!$B$15*($R$2:$R$1501="Cheque 支票")*($S$2:$S$1501-TRUNC($S$2:$S$1501))))-'Opening Balance'!$B$15*SUMPRODUCT(($Z$2:Z36="Online collection 网上收款")*($AA$2:AA36&lt;&gt;"")*($AC$2:AC36-TRUNC($AC$2:AC36))),2))</f>
        <v/>
      </c>
    </row>
    <row r="37">
      <c r="A37" s="5" t="n"/>
      <c r="B37" s="6" t="n"/>
      <c r="C37" s="6" t="n"/>
      <c r="D37" s="6" t="n"/>
      <c r="E37" s="7">
        <f>IF(A37="","",SUMPRODUCT(('Daily Sale entry '!$O$2:$O$1501=A37)*('Daily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7" s="6" t="n"/>
      <c r="G37" s="6" t="n"/>
      <c r="H37" s="6" t="n"/>
      <c r="I37" s="8" t="n"/>
      <c r="J37" s="6" t="n"/>
      <c r="K37" s="6" t="n"/>
      <c r="L37" s="6" t="n"/>
      <c r="M37" s="6" t="n"/>
      <c r="O37" s="5" t="n"/>
      <c r="S37" s="6" t="n"/>
      <c r="V37" s="5" t="n"/>
      <c r="X37" s="5" t="n"/>
      <c r="AC37" s="6" t="n"/>
      <c r="AD37" s="6" t="n"/>
      <c r="AE37" s="7">
        <f>IF(X37="","",ROUND('Opening Balance'!$B$4+SUM($AC$2:AC37)-SUM($AD$2:AD37)+SUMPRODUCT(($Q$2:$Q$1501="Collection 收款")*($R$2:$R$1501="Cheque 支票")*($V$2:$V$1501&lt;&gt;"")*($V$2:$V$1501&lt;=X37)*($S$2:$S$1501-'Opening Balance'!$B$15*($R$2:$R$1501="Cheque 支票")*($S$2:$S$1501-TRUNC($S$2:$S$1501))))-'Opening Balance'!$B$15*SUMPRODUCT(($Z$2:Z37="Online collection 网上收款")*($AA$2:AA37&lt;&gt;"")*($AC$2:AC37-TRUNC($AC$2:AC37))),2))</f>
        <v/>
      </c>
    </row>
    <row r="38">
      <c r="A38" s="5" t="n"/>
      <c r="B38" s="6" t="n"/>
      <c r="C38" s="6" t="n"/>
      <c r="D38" s="6" t="n"/>
      <c r="E38" s="7">
        <f>IF(A38="","",SUMPRODUCT(('Daily Sale entry '!$O$2:$O$1501=A38)*('Daily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8" s="6" t="n"/>
      <c r="G38" s="6" t="n"/>
      <c r="H38" s="6" t="n"/>
      <c r="I38" s="8" t="n"/>
      <c r="J38" s="6" t="n"/>
      <c r="K38" s="6" t="n"/>
      <c r="L38" s="6" t="n"/>
      <c r="M38" s="6" t="n"/>
      <c r="O38" s="5" t="n"/>
      <c r="S38" s="6" t="n"/>
      <c r="V38" s="5" t="n"/>
      <c r="X38" s="5" t="n"/>
      <c r="AC38" s="6" t="n"/>
      <c r="AD38" s="6" t="n"/>
      <c r="AE38" s="7">
        <f>IF(X38="","",ROUND('Opening Balance'!$B$4+SUM($AC$2:AC38)-SUM($AD$2:AD38)+SUMPRODUCT(($Q$2:$Q$1501="Collection 收款")*($R$2:$R$1501="Cheque 支票")*($V$2:$V$1501&lt;&gt;"")*($V$2:$V$1501&lt;=X38)*($S$2:$S$1501-'Opening Balance'!$B$15*($R$2:$R$1501="Cheque 支票")*($S$2:$S$1501-TRUNC($S$2:$S$1501))))-'Opening Balance'!$B$15*SUMPRODUCT(($Z$2:Z38="Online collection 网上收款")*($AA$2:AA38&lt;&gt;"")*($AC$2:AC38-TRUNC($AC$2:AC38))),2))</f>
        <v/>
      </c>
    </row>
    <row r="39">
      <c r="A39" s="5" t="n"/>
      <c r="B39" s="6" t="n"/>
      <c r="C39" s="6" t="n"/>
      <c r="D39" s="6" t="n"/>
      <c r="E39" s="7">
        <f>IF(A39="","",SUMPRODUCT(('Daily Sale entry '!$O$2:$O$1501=A39)*('Daily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9" s="6" t="n"/>
      <c r="G39" s="6" t="n"/>
      <c r="H39" s="6" t="n"/>
      <c r="I39" s="8" t="n"/>
      <c r="J39" s="6" t="n"/>
      <c r="K39" s="6" t="n"/>
      <c r="L39" s="6" t="n"/>
      <c r="M39" s="6" t="n"/>
      <c r="O39" s="5" t="n"/>
      <c r="S39" s="6" t="n"/>
      <c r="V39" s="5" t="n"/>
      <c r="X39" s="5" t="n"/>
      <c r="AC39" s="6" t="n"/>
      <c r="AD39" s="6" t="n"/>
      <c r="AE39" s="7">
        <f>IF(X39="","",ROUND('Opening Balance'!$B$4+SUM($AC$2:AC39)-SUM($AD$2:AD39)+SUMPRODUCT(($Q$2:$Q$1501="Collection 收款")*($R$2:$R$1501="Cheque 支票")*($V$2:$V$1501&lt;&gt;"")*($V$2:$V$1501&lt;=X39)*($S$2:$S$1501-'Opening Balance'!$B$15*($R$2:$R$1501="Cheque 支票")*($S$2:$S$1501-TRUNC($S$2:$S$1501))))-'Opening Balance'!$B$15*SUMPRODUCT(($Z$2:Z39="Online collection 网上收款")*($AA$2:AA39&lt;&gt;"")*($AC$2:AC39-TRUNC($AC$2:AC39))),2))</f>
        <v/>
      </c>
    </row>
    <row r="40">
      <c r="A40" s="5" t="n"/>
      <c r="B40" s="6" t="n"/>
      <c r="C40" s="6" t="n"/>
      <c r="D40" s="6" t="n"/>
      <c r="E40" s="7">
        <f>IF(A40="","",SUMPRODUCT(('Daily Sale entry '!$O$2:$O$1501=A40)*('Daily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0" s="6" t="n"/>
      <c r="G40" s="6" t="n"/>
      <c r="H40" s="6" t="n"/>
      <c r="I40" s="8" t="n"/>
      <c r="J40" s="6" t="n"/>
      <c r="K40" s="6" t="n"/>
      <c r="L40" s="6" t="n"/>
      <c r="M40" s="6" t="n"/>
      <c r="O40" s="5" t="n"/>
      <c r="S40" s="6" t="n"/>
      <c r="V40" s="5" t="n"/>
      <c r="X40" s="5" t="n"/>
      <c r="AC40" s="6" t="n"/>
      <c r="AD40" s="6" t="n"/>
      <c r="AE40" s="7">
        <f>IF(X40="","",ROUND('Opening Balance'!$B$4+SUM($AC$2:AC40)-SUM($AD$2:AD40)+SUMPRODUCT(($Q$2:$Q$1501="Collection 收款")*($R$2:$R$1501="Cheque 支票")*($V$2:$V$1501&lt;&gt;"")*($V$2:$V$1501&lt;=X40)*($S$2:$S$1501-'Opening Balance'!$B$15*($R$2:$R$1501="Cheque 支票")*($S$2:$S$1501-TRUNC($S$2:$S$1501))))-'Opening Balance'!$B$15*SUMPRODUCT(($Z$2:Z40="Online collection 网上收款")*($AA$2:AA40&lt;&gt;"")*($AC$2:AC40-TRUNC($AC$2:AC40))),2))</f>
        <v/>
      </c>
    </row>
    <row r="41">
      <c r="A41" s="5" t="n"/>
      <c r="B41" s="6" t="n"/>
      <c r="C41" s="6" t="n"/>
      <c r="D41" s="6" t="n"/>
      <c r="E41" s="7">
        <f>IF(A41="","",SUMPRODUCT(('Daily Sale entry '!$O$2:$O$1501=A41)*('Daily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1" s="6" t="n"/>
      <c r="G41" s="6" t="n"/>
      <c r="H41" s="6" t="n"/>
      <c r="I41" s="8" t="n"/>
      <c r="J41" s="6" t="n"/>
      <c r="K41" s="6" t="n"/>
      <c r="L41" s="6" t="n"/>
      <c r="M41" s="6" t="n"/>
      <c r="O41" s="5" t="n"/>
      <c r="S41" s="6" t="n"/>
      <c r="V41" s="5" t="n"/>
      <c r="X41" s="5" t="n"/>
      <c r="AC41" s="6" t="n"/>
      <c r="AD41" s="6" t="n"/>
      <c r="AE41" s="7">
        <f>IF(X41="","",ROUND('Opening Balance'!$B$4+SUM($AC$2:AC41)-SUM($AD$2:AD41)+SUMPRODUCT(($Q$2:$Q$1501="Collection 收款")*($R$2:$R$1501="Cheque 支票")*($V$2:$V$1501&lt;&gt;"")*($V$2:$V$1501&lt;=X41)*($S$2:$S$1501-'Opening Balance'!$B$15*($R$2:$R$1501="Cheque 支票")*($S$2:$S$1501-TRUNC($S$2:$S$1501))))-'Opening Balance'!$B$15*SUMPRODUCT(($Z$2:Z41="Online collection 网上收款")*($AA$2:AA41&lt;&gt;"")*($AC$2:AC41-TRUNC($AC$2:AC41))),2))</f>
        <v/>
      </c>
    </row>
    <row r="42">
      <c r="A42" s="5" t="n"/>
      <c r="B42" s="6" t="n"/>
      <c r="C42" s="6" t="n"/>
      <c r="D42" s="6" t="n"/>
      <c r="E42" s="7">
        <f>IF(A42="","",SUMPRODUCT(('Daily Sale entry '!$O$2:$O$1501=A42)*('Daily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2" s="6" t="n"/>
      <c r="G42" s="6" t="n"/>
      <c r="H42" s="6" t="n"/>
      <c r="I42" s="8" t="n"/>
      <c r="J42" s="6" t="n"/>
      <c r="K42" s="6" t="n"/>
      <c r="L42" s="6" t="n"/>
      <c r="M42" s="6" t="n"/>
      <c r="O42" s="5" t="n"/>
      <c r="S42" s="6" t="n"/>
      <c r="V42" s="5" t="n"/>
      <c r="X42" s="5" t="n"/>
      <c r="AC42" s="6" t="n"/>
      <c r="AD42" s="6" t="n"/>
      <c r="AE42" s="7">
        <f>IF(X42="","",ROUND('Opening Balance'!$B$4+SUM($AC$2:AC42)-SUM($AD$2:AD42)+SUMPRODUCT(($Q$2:$Q$1501="Collection 收款")*($R$2:$R$1501="Cheque 支票")*($V$2:$V$1501&lt;&gt;"")*($V$2:$V$1501&lt;=X42)*($S$2:$S$1501-'Opening Balance'!$B$15*($R$2:$R$1501="Cheque 支票")*($S$2:$S$1501-TRUNC($S$2:$S$1501))))-'Opening Balance'!$B$15*SUMPRODUCT(($Z$2:Z42="Online collection 网上收款")*($AA$2:AA42&lt;&gt;"")*($AC$2:AC42-TRUNC($AC$2:AC42))),2))</f>
        <v/>
      </c>
    </row>
    <row r="43">
      <c r="A43" s="5" t="n"/>
      <c r="B43" s="6" t="n"/>
      <c r="C43" s="6" t="n"/>
      <c r="D43" s="6" t="n"/>
      <c r="E43" s="7">
        <f>IF(A43="","",SUMPRODUCT(('Daily Sale entry '!$O$2:$O$1501=A43)*('Daily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3" s="6" t="n"/>
      <c r="G43" s="6" t="n"/>
      <c r="H43" s="6" t="n"/>
      <c r="I43" s="8" t="n"/>
      <c r="J43" s="6" t="n"/>
      <c r="K43" s="6" t="n"/>
      <c r="L43" s="6" t="n"/>
      <c r="M43" s="6" t="n"/>
      <c r="O43" s="5" t="n"/>
      <c r="S43" s="6" t="n"/>
      <c r="V43" s="5" t="n"/>
      <c r="X43" s="5" t="n"/>
      <c r="AC43" s="6" t="n"/>
      <c r="AD43" s="6" t="n"/>
      <c r="AE43" s="7">
        <f>IF(X43="","",ROUND('Opening Balance'!$B$4+SUM($AC$2:AC43)-SUM($AD$2:AD43)+SUMPRODUCT(($Q$2:$Q$1501="Collection 收款")*($R$2:$R$1501="Cheque 支票")*($V$2:$V$1501&lt;&gt;"")*($V$2:$V$1501&lt;=X43)*($S$2:$S$1501-'Opening Balance'!$B$15*($R$2:$R$1501="Cheque 支票")*($S$2:$S$1501-TRUNC($S$2:$S$1501))))-'Opening Balance'!$B$15*SUMPRODUCT(($Z$2:Z43="Online collection 网上收款")*($AA$2:AA43&lt;&gt;"")*($AC$2:AC43-TRUNC($AC$2:AC43))),2))</f>
        <v/>
      </c>
    </row>
    <row r="44">
      <c r="A44" s="5" t="n"/>
      <c r="B44" s="6" t="n"/>
      <c r="C44" s="6" t="n"/>
      <c r="D44" s="6" t="n"/>
      <c r="E44" s="7">
        <f>IF(A44="","",SUMPRODUCT(('Daily Sale entry '!$O$2:$O$1501=A44)*('Daily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4" s="6" t="n"/>
      <c r="G44" s="6" t="n"/>
      <c r="H44" s="6" t="n"/>
      <c r="I44" s="8" t="n"/>
      <c r="J44" s="6" t="n"/>
      <c r="K44" s="6" t="n"/>
      <c r="L44" s="6" t="n"/>
      <c r="M44" s="6" t="n"/>
      <c r="O44" s="5" t="n"/>
      <c r="S44" s="6" t="n"/>
      <c r="V44" s="5" t="n"/>
      <c r="X44" s="5" t="n"/>
      <c r="AC44" s="6" t="n"/>
      <c r="AD44" s="6" t="n"/>
      <c r="AE44" s="7">
        <f>IF(X44="","",ROUND('Opening Balance'!$B$4+SUM($AC$2:AC44)-SUM($AD$2:AD44)+SUMPRODUCT(($Q$2:$Q$1501="Collection 收款")*($R$2:$R$1501="Cheque 支票")*($V$2:$V$1501&lt;&gt;"")*($V$2:$V$1501&lt;=X44)*($S$2:$S$1501-'Opening Balance'!$B$15*($R$2:$R$1501="Cheque 支票")*($S$2:$S$1501-TRUNC($S$2:$S$1501))))-'Opening Balance'!$B$15*SUMPRODUCT(($Z$2:Z44="Online collection 网上收款")*($AA$2:AA44&lt;&gt;"")*($AC$2:AC44-TRUNC($AC$2:AC44))),2))</f>
        <v/>
      </c>
    </row>
    <row r="45">
      <c r="A45" s="5" t="n"/>
      <c r="B45" s="6" t="n"/>
      <c r="C45" s="6" t="n"/>
      <c r="D45" s="6" t="n"/>
      <c r="E45" s="7">
        <f>IF(A45="","",SUMPRODUCT(('Daily Sale entry '!$O$2:$O$1501=A45)*('Daily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5" s="6" t="n"/>
      <c r="G45" s="6" t="n"/>
      <c r="H45" s="6" t="n"/>
      <c r="I45" s="8" t="n"/>
      <c r="J45" s="6" t="n"/>
      <c r="K45" s="6" t="n"/>
      <c r="L45" s="6" t="n"/>
      <c r="M45" s="6" t="n"/>
      <c r="O45" s="5" t="n"/>
      <c r="S45" s="6" t="n"/>
      <c r="V45" s="5" t="n"/>
      <c r="X45" s="5" t="n"/>
      <c r="AC45" s="6" t="n"/>
      <c r="AD45" s="6" t="n"/>
      <c r="AE45" s="7">
        <f>IF(X45="","",ROUND('Opening Balance'!$B$4+SUM($AC$2:AC45)-SUM($AD$2:AD45)+SUMPRODUCT(($Q$2:$Q$1501="Collection 收款")*($R$2:$R$1501="Cheque 支票")*($V$2:$V$1501&lt;&gt;"")*($V$2:$V$1501&lt;=X45)*($S$2:$S$1501-'Opening Balance'!$B$15*($R$2:$R$1501="Cheque 支票")*($S$2:$S$1501-TRUNC($S$2:$S$1501))))-'Opening Balance'!$B$15*SUMPRODUCT(($Z$2:Z45="Online collection 网上收款")*($AA$2:AA45&lt;&gt;"")*($AC$2:AC45-TRUNC($AC$2:AC45))),2))</f>
        <v/>
      </c>
    </row>
    <row r="46">
      <c r="A46" s="5" t="n"/>
      <c r="B46" s="6" t="n"/>
      <c r="C46" s="6" t="n"/>
      <c r="D46" s="6" t="n"/>
      <c r="E46" s="7">
        <f>IF(A46="","",SUMPRODUCT(('Daily Sale entry '!$O$2:$O$1501=A46)*('Daily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6" s="6" t="n"/>
      <c r="G46" s="6" t="n"/>
      <c r="H46" s="6" t="n"/>
      <c r="I46" s="8" t="n"/>
      <c r="J46" s="6" t="n"/>
      <c r="K46" s="6" t="n"/>
      <c r="L46" s="6" t="n"/>
      <c r="M46" s="6" t="n"/>
      <c r="O46" s="5" t="n"/>
      <c r="S46" s="6" t="n"/>
      <c r="V46" s="5" t="n"/>
      <c r="X46" s="5" t="n"/>
      <c r="AC46" s="6" t="n"/>
      <c r="AD46" s="6" t="n"/>
      <c r="AE46" s="7">
        <f>IF(X46="","",ROUND('Opening Balance'!$B$4+SUM($AC$2:AC46)-SUM($AD$2:AD46)+SUMPRODUCT(($Q$2:$Q$1501="Collection 收款")*($R$2:$R$1501="Cheque 支票")*($V$2:$V$1501&lt;&gt;"")*($V$2:$V$1501&lt;=X46)*($S$2:$S$1501-'Opening Balance'!$B$15*($R$2:$R$1501="Cheque 支票")*($S$2:$S$1501-TRUNC($S$2:$S$1501))))-'Opening Balance'!$B$15*SUMPRODUCT(($Z$2:Z46="Online collection 网上收款")*($AA$2:AA46&lt;&gt;"")*($AC$2:AC46-TRUNC($AC$2:AC46))),2))</f>
        <v/>
      </c>
    </row>
    <row r="47">
      <c r="A47" s="5" t="n"/>
      <c r="B47" s="6" t="n"/>
      <c r="C47" s="6" t="n"/>
      <c r="D47" s="6" t="n"/>
      <c r="E47" s="7">
        <f>IF(A47="","",SUMPRODUCT(('Daily Sale entry '!$O$2:$O$1501=A47)*('Daily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7" s="6" t="n"/>
      <c r="G47" s="6" t="n"/>
      <c r="H47" s="6" t="n"/>
      <c r="I47" s="8" t="n"/>
      <c r="J47" s="6" t="n"/>
      <c r="K47" s="6" t="n"/>
      <c r="L47" s="6" t="n"/>
      <c r="M47" s="6" t="n"/>
      <c r="O47" s="5" t="n"/>
      <c r="S47" s="6" t="n"/>
      <c r="V47" s="5" t="n"/>
      <c r="X47" s="5" t="n"/>
      <c r="AC47" s="6" t="n"/>
      <c r="AD47" s="6" t="n"/>
      <c r="AE47" s="7">
        <f>IF(X47="","",ROUND('Opening Balance'!$B$4+SUM($AC$2:AC47)-SUM($AD$2:AD47)+SUMPRODUCT(($Q$2:$Q$1501="Collection 收款")*($R$2:$R$1501="Cheque 支票")*($V$2:$V$1501&lt;&gt;"")*($V$2:$V$1501&lt;=X47)*($S$2:$S$1501-'Opening Balance'!$B$15*($R$2:$R$1501="Cheque 支票")*($S$2:$S$1501-TRUNC($S$2:$S$1501))))-'Opening Balance'!$B$15*SUMPRODUCT(($Z$2:Z47="Online collection 网上收款")*($AA$2:AA47&lt;&gt;"")*($AC$2:AC47-TRUNC($AC$2:AC47))),2))</f>
        <v/>
      </c>
    </row>
    <row r="48">
      <c r="A48" s="5" t="n"/>
      <c r="B48" s="6" t="n"/>
      <c r="C48" s="6" t="n"/>
      <c r="D48" s="6" t="n"/>
      <c r="E48" s="7">
        <f>IF(A48="","",SUMPRODUCT(('Daily Sale entry '!$O$2:$O$1501=A48)*('Daily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8" s="6" t="n"/>
      <c r="G48" s="6" t="n"/>
      <c r="H48" s="6" t="n"/>
      <c r="I48" s="8" t="n"/>
      <c r="J48" s="6" t="n"/>
      <c r="K48" s="6" t="n"/>
      <c r="L48" s="6" t="n"/>
      <c r="M48" s="6" t="n"/>
      <c r="O48" s="5" t="n"/>
      <c r="S48" s="6" t="n"/>
      <c r="V48" s="5" t="n"/>
      <c r="X48" s="5" t="n"/>
      <c r="AC48" s="6" t="n"/>
      <c r="AD48" s="6" t="n"/>
      <c r="AE48" s="7">
        <f>IF(X48="","",ROUND('Opening Balance'!$B$4+SUM($AC$2:AC48)-SUM($AD$2:AD48)+SUMPRODUCT(($Q$2:$Q$1501="Collection 收款")*($R$2:$R$1501="Cheque 支票")*($V$2:$V$1501&lt;&gt;"")*($V$2:$V$1501&lt;=X48)*($S$2:$S$1501-'Opening Balance'!$B$15*($R$2:$R$1501="Cheque 支票")*($S$2:$S$1501-TRUNC($S$2:$S$1501))))-'Opening Balance'!$B$15*SUMPRODUCT(($Z$2:Z48="Online collection 网上收款")*($AA$2:AA48&lt;&gt;"")*($AC$2:AC48-TRUNC($AC$2:AC48))),2))</f>
        <v/>
      </c>
    </row>
    <row r="49">
      <c r="A49" s="5" t="n"/>
      <c r="B49" s="6" t="n"/>
      <c r="C49" s="6" t="n"/>
      <c r="D49" s="6" t="n"/>
      <c r="E49" s="7">
        <f>IF(A49="","",SUMPRODUCT(('Daily Sale entry '!$O$2:$O$1501=A49)*('Daily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49" s="6" t="n"/>
      <c r="G49" s="6" t="n"/>
      <c r="H49" s="6" t="n"/>
      <c r="I49" s="8" t="n"/>
      <c r="J49" s="6" t="n"/>
      <c r="K49" s="6" t="n"/>
      <c r="L49" s="6" t="n"/>
      <c r="M49" s="6" t="n"/>
      <c r="O49" s="5" t="n"/>
      <c r="S49" s="6" t="n"/>
      <c r="V49" s="5" t="n"/>
      <c r="X49" s="5" t="n"/>
      <c r="AC49" s="6" t="n"/>
      <c r="AD49" s="6" t="n"/>
      <c r="AE49" s="7">
        <f>IF(X49="","",ROUND('Opening Balance'!$B$4+SUM($AC$2:AC49)-SUM($AD$2:AD49)+SUMPRODUCT(($Q$2:$Q$1501="Collection 收款")*($R$2:$R$1501="Cheque 支票")*($V$2:$V$1501&lt;&gt;"")*($V$2:$V$1501&lt;=X49)*($S$2:$S$1501-'Opening Balance'!$B$15*($R$2:$R$1501="Cheque 支票")*($S$2:$S$1501-TRUNC($S$2:$S$1501))))-'Opening Balance'!$B$15*SUMPRODUCT(($Z$2:Z49="Online collection 网上收款")*($AA$2:AA49&lt;&gt;"")*($AC$2:AC49-TRUNC($AC$2:AC49))),2))</f>
        <v/>
      </c>
    </row>
    <row r="50">
      <c r="A50" s="5" t="n"/>
      <c r="B50" s="6" t="n"/>
      <c r="C50" s="6" t="n"/>
      <c r="D50" s="6" t="n"/>
      <c r="E50" s="7">
        <f>IF(A50="","",SUMPRODUCT(('Daily Sale entry '!$O$2:$O$1501=A50)*('Daily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0" s="6" t="n"/>
      <c r="G50" s="6" t="n"/>
      <c r="H50" s="6" t="n"/>
      <c r="I50" s="8" t="n"/>
      <c r="J50" s="6" t="n"/>
      <c r="K50" s="6" t="n"/>
      <c r="L50" s="6" t="n"/>
      <c r="M50" s="6" t="n"/>
      <c r="O50" s="5" t="n"/>
      <c r="S50" s="6" t="n"/>
      <c r="V50" s="5" t="n"/>
      <c r="X50" s="5" t="n"/>
      <c r="AC50" s="6" t="n"/>
      <c r="AD50" s="6" t="n"/>
      <c r="AE50" s="7">
        <f>IF(X50="","",ROUND('Opening Balance'!$B$4+SUM($AC$2:AC50)-SUM($AD$2:AD50)+SUMPRODUCT(($Q$2:$Q$1501="Collection 收款")*($R$2:$R$1501="Cheque 支票")*($V$2:$V$1501&lt;&gt;"")*($V$2:$V$1501&lt;=X50)*($S$2:$S$1501-'Opening Balance'!$B$15*($R$2:$R$1501="Cheque 支票")*($S$2:$S$1501-TRUNC($S$2:$S$1501))))-'Opening Balance'!$B$15*SUMPRODUCT(($Z$2:Z50="Online collection 网上收款")*($AA$2:AA50&lt;&gt;"")*($AC$2:AC50-TRUNC($AC$2:AC50))),2))</f>
        <v/>
      </c>
    </row>
    <row r="51">
      <c r="A51" s="5" t="n"/>
      <c r="B51" s="6" t="n"/>
      <c r="C51" s="6" t="n"/>
      <c r="D51" s="6" t="n"/>
      <c r="E51" s="7">
        <f>IF(A51="","",SUMPRODUCT(('Daily Sale entry '!$O$2:$O$1501=A51)*('Daily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1" s="6" t="n"/>
      <c r="G51" s="6" t="n"/>
      <c r="H51" s="6" t="n"/>
      <c r="I51" s="8" t="n"/>
      <c r="J51" s="6" t="n"/>
      <c r="K51" s="6" t="n"/>
      <c r="L51" s="6" t="n"/>
      <c r="M51" s="6" t="n"/>
      <c r="O51" s="5" t="n"/>
      <c r="S51" s="6" t="n"/>
      <c r="V51" s="5" t="n"/>
      <c r="X51" s="5" t="n"/>
      <c r="AC51" s="6" t="n"/>
      <c r="AD51" s="6" t="n"/>
      <c r="AE51" s="7">
        <f>IF(X51="","",ROUND('Opening Balance'!$B$4+SUM($AC$2:AC51)-SUM($AD$2:AD51)+SUMPRODUCT(($Q$2:$Q$1501="Collection 收款")*($R$2:$R$1501="Cheque 支票")*($V$2:$V$1501&lt;&gt;"")*($V$2:$V$1501&lt;=X51)*($S$2:$S$1501-'Opening Balance'!$B$15*($R$2:$R$1501="Cheque 支票")*($S$2:$S$1501-TRUNC($S$2:$S$1501))))-'Opening Balance'!$B$15*SUMPRODUCT(($Z$2:Z51="Online collection 网上收款")*($AA$2:AA51&lt;&gt;"")*($AC$2:AC51-TRUNC($AC$2:AC51))),2))</f>
        <v/>
      </c>
    </row>
    <row r="52">
      <c r="A52" s="5" t="n"/>
      <c r="B52" s="6" t="n"/>
      <c r="C52" s="6" t="n"/>
      <c r="D52" s="6" t="n"/>
      <c r="E52" s="7">
        <f>IF(A52="","",SUMPRODUCT(('Daily Sale entry '!$O$2:$O$1501=A52)*('Daily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2" s="6" t="n"/>
      <c r="G52" s="6" t="n"/>
      <c r="H52" s="6" t="n"/>
      <c r="I52" s="8" t="n"/>
      <c r="J52" s="6" t="n"/>
      <c r="K52" s="6" t="n"/>
      <c r="L52" s="6" t="n"/>
      <c r="M52" s="6" t="n"/>
      <c r="O52" s="5" t="n"/>
      <c r="S52" s="6" t="n"/>
      <c r="V52" s="5" t="n"/>
      <c r="X52" s="5" t="n"/>
      <c r="AC52" s="6" t="n"/>
      <c r="AD52" s="6" t="n"/>
      <c r="AE52" s="7">
        <f>IF(X52="","",ROUND('Opening Balance'!$B$4+SUM($AC$2:AC52)-SUM($AD$2:AD52)+SUMPRODUCT(($Q$2:$Q$1501="Collection 收款")*($R$2:$R$1501="Cheque 支票")*($V$2:$V$1501&lt;&gt;"")*($V$2:$V$1501&lt;=X52)*($S$2:$S$1501-'Opening Balance'!$B$15*($R$2:$R$1501="Cheque 支票")*($S$2:$S$1501-TRUNC($S$2:$S$1501))))-'Opening Balance'!$B$15*SUMPRODUCT(($Z$2:Z52="Online collection 网上收款")*($AA$2:AA52&lt;&gt;"")*($AC$2:AC52-TRUNC($AC$2:AC52))),2))</f>
        <v/>
      </c>
    </row>
    <row r="53">
      <c r="A53" s="5" t="n"/>
      <c r="B53" s="6" t="n"/>
      <c r="C53" s="6" t="n"/>
      <c r="D53" s="6" t="n"/>
      <c r="E53" s="7">
        <f>IF(A53="","",SUMPRODUCT(('Daily Sale entry '!$O$2:$O$1501=A53)*('Daily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3" s="6" t="n"/>
      <c r="G53" s="6" t="n"/>
      <c r="H53" s="6" t="n"/>
      <c r="I53" s="8" t="n"/>
      <c r="J53" s="6" t="n"/>
      <c r="K53" s="6" t="n"/>
      <c r="L53" s="6" t="n"/>
      <c r="M53" s="6" t="n"/>
      <c r="O53" s="5" t="n"/>
      <c r="S53" s="6" t="n"/>
      <c r="V53" s="5" t="n"/>
      <c r="X53" s="5" t="n"/>
      <c r="AC53" s="6" t="n"/>
      <c r="AD53" s="6" t="n"/>
      <c r="AE53" s="7">
        <f>IF(X53="","",ROUND('Opening Balance'!$B$4+SUM($AC$2:AC53)-SUM($AD$2:AD53)+SUMPRODUCT(($Q$2:$Q$1501="Collection 收款")*($R$2:$R$1501="Cheque 支票")*($V$2:$V$1501&lt;&gt;"")*($V$2:$V$1501&lt;=X53)*($S$2:$S$1501-'Opening Balance'!$B$15*($R$2:$R$1501="Cheque 支票")*($S$2:$S$1501-TRUNC($S$2:$S$1501))))-'Opening Balance'!$B$15*SUMPRODUCT(($Z$2:Z53="Online collection 网上收款")*($AA$2:AA53&lt;&gt;"")*($AC$2:AC53-TRUNC($AC$2:AC53))),2))</f>
        <v/>
      </c>
    </row>
    <row r="54">
      <c r="A54" s="5" t="n"/>
      <c r="B54" s="6" t="n"/>
      <c r="C54" s="6" t="n"/>
      <c r="D54" s="6" t="n"/>
      <c r="E54" s="7">
        <f>IF(A54="","",SUMPRODUCT(('Daily Sale entry '!$O$2:$O$1501=A54)*('Daily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4" s="6" t="n"/>
      <c r="G54" s="6" t="n"/>
      <c r="H54" s="6" t="n"/>
      <c r="I54" s="8" t="n"/>
      <c r="J54" s="6" t="n"/>
      <c r="K54" s="6" t="n"/>
      <c r="L54" s="6" t="n"/>
      <c r="M54" s="6" t="n"/>
      <c r="O54" s="5" t="n"/>
      <c r="S54" s="6" t="n"/>
      <c r="V54" s="5" t="n"/>
      <c r="X54" s="5" t="n"/>
      <c r="AC54" s="6" t="n"/>
      <c r="AD54" s="6" t="n"/>
      <c r="AE54" s="7">
        <f>IF(X54="","",ROUND('Opening Balance'!$B$4+SUM($AC$2:AC54)-SUM($AD$2:AD54)+SUMPRODUCT(($Q$2:$Q$1501="Collection 收款")*($R$2:$R$1501="Cheque 支票")*($V$2:$V$1501&lt;&gt;"")*($V$2:$V$1501&lt;=X54)*($S$2:$S$1501-'Opening Balance'!$B$15*($R$2:$R$1501="Cheque 支票")*($S$2:$S$1501-TRUNC($S$2:$S$1501))))-'Opening Balance'!$B$15*SUMPRODUCT(($Z$2:Z54="Online collection 网上收款")*($AA$2:AA54&lt;&gt;"")*($AC$2:AC54-TRUNC($AC$2:AC54))),2))</f>
        <v/>
      </c>
    </row>
    <row r="55">
      <c r="A55" s="5" t="n"/>
      <c r="B55" s="6" t="n"/>
      <c r="C55" s="6" t="n"/>
      <c r="D55" s="6" t="n"/>
      <c r="E55" s="7">
        <f>IF(A55="","",SUMPRODUCT(('Daily Sale entry '!$O$2:$O$1501=A55)*('Daily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5" s="6" t="n"/>
      <c r="G55" s="6" t="n"/>
      <c r="H55" s="6" t="n"/>
      <c r="I55" s="8" t="n"/>
      <c r="J55" s="6" t="n"/>
      <c r="K55" s="6" t="n"/>
      <c r="L55" s="6" t="n"/>
      <c r="M55" s="6" t="n"/>
      <c r="O55" s="5" t="n"/>
      <c r="S55" s="6" t="n"/>
      <c r="V55" s="5" t="n"/>
      <c r="X55" s="5" t="n"/>
      <c r="AC55" s="6" t="n"/>
      <c r="AD55" s="6" t="n"/>
      <c r="AE55" s="7">
        <f>IF(X55="","",ROUND('Opening Balance'!$B$4+SUM($AC$2:AC55)-SUM($AD$2:AD55)+SUMPRODUCT(($Q$2:$Q$1501="Collection 收款")*($R$2:$R$1501="Cheque 支票")*($V$2:$V$1501&lt;&gt;"")*($V$2:$V$1501&lt;=X55)*($S$2:$S$1501-'Opening Balance'!$B$15*($R$2:$R$1501="Cheque 支票")*($S$2:$S$1501-TRUNC($S$2:$S$1501))))-'Opening Balance'!$B$15*SUMPRODUCT(($Z$2:Z55="Online collection 网上收款")*($AA$2:AA55&lt;&gt;"")*($AC$2:AC55-TRUNC($AC$2:AC55))),2))</f>
        <v/>
      </c>
    </row>
    <row r="56">
      <c r="A56" s="5" t="n"/>
      <c r="B56" s="6" t="n"/>
      <c r="C56" s="6" t="n"/>
      <c r="D56" s="6" t="n"/>
      <c r="E56" s="7">
        <f>IF(A56="","",SUMPRODUCT(('Daily Sale entry '!$O$2:$O$1501=A56)*('Daily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6" s="6" t="n"/>
      <c r="G56" s="6" t="n"/>
      <c r="H56" s="6" t="n"/>
      <c r="I56" s="8" t="n"/>
      <c r="J56" s="6" t="n"/>
      <c r="K56" s="6" t="n"/>
      <c r="L56" s="6" t="n"/>
      <c r="M56" s="6" t="n"/>
      <c r="O56" s="5" t="n"/>
      <c r="S56" s="6" t="n"/>
      <c r="V56" s="5" t="n"/>
      <c r="X56" s="5" t="n"/>
      <c r="AC56" s="6" t="n"/>
      <c r="AD56" s="6" t="n"/>
      <c r="AE56" s="7">
        <f>IF(X56="","",ROUND('Opening Balance'!$B$4+SUM($AC$2:AC56)-SUM($AD$2:AD56)+SUMPRODUCT(($Q$2:$Q$1501="Collection 收款")*($R$2:$R$1501="Cheque 支票")*($V$2:$V$1501&lt;&gt;"")*($V$2:$V$1501&lt;=X56)*($S$2:$S$1501-'Opening Balance'!$B$15*($R$2:$R$1501="Cheque 支票")*($S$2:$S$1501-TRUNC($S$2:$S$1501))))-'Opening Balance'!$B$15*SUMPRODUCT(($Z$2:Z56="Online collection 网上收款")*($AA$2:AA56&lt;&gt;"")*($AC$2:AC56-TRUNC($AC$2:AC56))),2))</f>
        <v/>
      </c>
    </row>
    <row r="57">
      <c r="A57" s="5" t="n"/>
      <c r="B57" s="6" t="n"/>
      <c r="C57" s="6" t="n"/>
      <c r="D57" s="6" t="n"/>
      <c r="E57" s="7">
        <f>IF(A57="","",SUMPRODUCT(('Daily Sale entry '!$O$2:$O$1501=A57)*('Daily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7" s="6" t="n"/>
      <c r="G57" s="6" t="n"/>
      <c r="H57" s="6" t="n"/>
      <c r="I57" s="8" t="n"/>
      <c r="J57" s="6" t="n"/>
      <c r="K57" s="6" t="n"/>
      <c r="L57" s="6" t="n"/>
      <c r="M57" s="6" t="n"/>
      <c r="O57" s="5" t="n"/>
      <c r="S57" s="6" t="n"/>
      <c r="V57" s="5" t="n"/>
      <c r="X57" s="5" t="n"/>
      <c r="AC57" s="6" t="n"/>
      <c r="AD57" s="6" t="n"/>
      <c r="AE57" s="7">
        <f>IF(X57="","",ROUND('Opening Balance'!$B$4+SUM($AC$2:AC57)-SUM($AD$2:AD57)+SUMPRODUCT(($Q$2:$Q$1501="Collection 收款")*($R$2:$R$1501="Cheque 支票")*($V$2:$V$1501&lt;&gt;"")*($V$2:$V$1501&lt;=X57)*($S$2:$S$1501-'Opening Balance'!$B$15*($R$2:$R$1501="Cheque 支票")*($S$2:$S$1501-TRUNC($S$2:$S$1501))))-'Opening Balance'!$B$15*SUMPRODUCT(($Z$2:Z57="Online collection 网上收款")*($AA$2:AA57&lt;&gt;"")*($AC$2:AC57-TRUNC($AC$2:AC57))),2))</f>
        <v/>
      </c>
    </row>
    <row r="58">
      <c r="A58" s="5" t="n"/>
      <c r="B58" s="6" t="n"/>
      <c r="C58" s="6" t="n"/>
      <c r="D58" s="6" t="n"/>
      <c r="E58" s="7">
        <f>IF(A58="","",SUMPRODUCT(('Daily Sale entry '!$O$2:$O$1501=A58)*('Daily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8" s="6" t="n"/>
      <c r="G58" s="6" t="n"/>
      <c r="H58" s="6" t="n"/>
      <c r="I58" s="8" t="n"/>
      <c r="J58" s="6" t="n"/>
      <c r="K58" s="6" t="n"/>
      <c r="L58" s="6" t="n"/>
      <c r="M58" s="6" t="n"/>
      <c r="O58" s="5" t="n"/>
      <c r="S58" s="6" t="n"/>
      <c r="V58" s="5" t="n"/>
      <c r="X58" s="5" t="n"/>
      <c r="AC58" s="6" t="n"/>
      <c r="AD58" s="6" t="n"/>
      <c r="AE58" s="7">
        <f>IF(X58="","",ROUND('Opening Balance'!$B$4+SUM($AC$2:AC58)-SUM($AD$2:AD58)+SUMPRODUCT(($Q$2:$Q$1501="Collection 收款")*($R$2:$R$1501="Cheque 支票")*($V$2:$V$1501&lt;&gt;"")*($V$2:$V$1501&lt;=X58)*($S$2:$S$1501-'Opening Balance'!$B$15*($R$2:$R$1501="Cheque 支票")*($S$2:$S$1501-TRUNC($S$2:$S$1501))))-'Opening Balance'!$B$15*SUMPRODUCT(($Z$2:Z58="Online collection 网上收款")*($AA$2:AA58&lt;&gt;"")*($AC$2:AC58-TRUNC($AC$2:AC58))),2))</f>
        <v/>
      </c>
    </row>
    <row r="59">
      <c r="A59" s="5" t="n"/>
      <c r="B59" s="6" t="n"/>
      <c r="C59" s="6" t="n"/>
      <c r="D59" s="6" t="n"/>
      <c r="E59" s="7">
        <f>IF(A59="","",SUMPRODUCT(('Daily Sale entry '!$O$2:$O$1501=A59)*('Daily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59" s="6" t="n"/>
      <c r="G59" s="6" t="n"/>
      <c r="H59" s="6" t="n"/>
      <c r="I59" s="8" t="n"/>
      <c r="J59" s="6" t="n"/>
      <c r="K59" s="6" t="n"/>
      <c r="L59" s="6" t="n"/>
      <c r="M59" s="6" t="n"/>
      <c r="O59" s="5" t="n"/>
      <c r="S59" s="6" t="n"/>
      <c r="V59" s="5" t="n"/>
      <c r="X59" s="5" t="n"/>
      <c r="AC59" s="6" t="n"/>
      <c r="AD59" s="6" t="n"/>
      <c r="AE59" s="7">
        <f>IF(X59="","",ROUND('Opening Balance'!$B$4+SUM($AC$2:AC59)-SUM($AD$2:AD59)+SUMPRODUCT(($Q$2:$Q$1501="Collection 收款")*($R$2:$R$1501="Cheque 支票")*($V$2:$V$1501&lt;&gt;"")*($V$2:$V$1501&lt;=X59)*($S$2:$S$1501-'Opening Balance'!$B$15*($R$2:$R$1501="Cheque 支票")*($S$2:$S$1501-TRUNC($S$2:$S$1501))))-'Opening Balance'!$B$15*SUMPRODUCT(($Z$2:Z59="Online collection 网上收款")*($AA$2:AA59&lt;&gt;"")*($AC$2:AC59-TRUNC($AC$2:AC59))),2))</f>
        <v/>
      </c>
    </row>
    <row r="60">
      <c r="A60" s="5" t="n"/>
      <c r="B60" s="6" t="n"/>
      <c r="C60" s="6" t="n"/>
      <c r="D60" s="6" t="n"/>
      <c r="E60" s="7">
        <f>IF(A60="","",SUMPRODUCT(('Daily Sale entry '!$O$2:$O$1501=A60)*('Daily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0" s="6" t="n"/>
      <c r="G60" s="6" t="n"/>
      <c r="H60" s="6" t="n"/>
      <c r="I60" s="8" t="n"/>
      <c r="J60" s="6" t="n"/>
      <c r="K60" s="6" t="n"/>
      <c r="L60" s="6" t="n"/>
      <c r="M60" s="6" t="n"/>
      <c r="O60" s="5" t="n"/>
      <c r="S60" s="6" t="n"/>
      <c r="V60" s="5" t="n"/>
      <c r="X60" s="5" t="n"/>
      <c r="AC60" s="6" t="n"/>
      <c r="AD60" s="6" t="n"/>
      <c r="AE60" s="7">
        <f>IF(X60="","",ROUND('Opening Balance'!$B$4+SUM($AC$2:AC60)-SUM($AD$2:AD60)+SUMPRODUCT(($Q$2:$Q$1501="Collection 收款")*($R$2:$R$1501="Cheque 支票")*($V$2:$V$1501&lt;&gt;"")*($V$2:$V$1501&lt;=X60)*($S$2:$S$1501-'Opening Balance'!$B$15*($R$2:$R$1501="Cheque 支票")*($S$2:$S$1501-TRUNC($S$2:$S$1501))))-'Opening Balance'!$B$15*SUMPRODUCT(($Z$2:Z60="Online collection 网上收款")*($AA$2:AA60&lt;&gt;"")*($AC$2:AC60-TRUNC($AC$2:AC60))),2))</f>
        <v/>
      </c>
    </row>
    <row r="61">
      <c r="A61" s="5" t="n"/>
      <c r="B61" s="6" t="n"/>
      <c r="C61" s="6" t="n"/>
      <c r="D61" s="6" t="n"/>
      <c r="E61" s="7">
        <f>IF(A61="","",SUMPRODUCT(('Daily Sale entry '!$O$2:$O$1501=A61)*('Daily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1" s="6" t="n"/>
      <c r="G61" s="6" t="n"/>
      <c r="H61" s="6" t="n"/>
      <c r="I61" s="8" t="n"/>
      <c r="J61" s="6" t="n"/>
      <c r="K61" s="6" t="n"/>
      <c r="L61" s="6" t="n"/>
      <c r="M61" s="6" t="n"/>
      <c r="O61" s="5" t="n"/>
      <c r="S61" s="6" t="n"/>
      <c r="V61" s="5" t="n"/>
      <c r="X61" s="5" t="n"/>
      <c r="AC61" s="6" t="n"/>
      <c r="AD61" s="6" t="n"/>
      <c r="AE61" s="7">
        <f>IF(X61="","",ROUND('Opening Balance'!$B$4+SUM($AC$2:AC61)-SUM($AD$2:AD61)+SUMPRODUCT(($Q$2:$Q$1501="Collection 收款")*($R$2:$R$1501="Cheque 支票")*($V$2:$V$1501&lt;&gt;"")*($V$2:$V$1501&lt;=X61)*($S$2:$S$1501-'Opening Balance'!$B$15*($R$2:$R$1501="Cheque 支票")*($S$2:$S$1501-TRUNC($S$2:$S$1501))))-'Opening Balance'!$B$15*SUMPRODUCT(($Z$2:Z61="Online collection 网上收款")*($AA$2:AA61&lt;&gt;"")*($AC$2:AC61-TRUNC($AC$2:AC61))),2))</f>
        <v/>
      </c>
    </row>
    <row r="62">
      <c r="A62" s="5" t="n"/>
      <c r="B62" s="6" t="n"/>
      <c r="C62" s="6" t="n"/>
      <c r="D62" s="6" t="n"/>
      <c r="E62" s="7">
        <f>IF(A62="","",SUMPRODUCT(('Daily Sale entry '!$O$2:$O$1501=A62)*('Daily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2" s="6" t="n"/>
      <c r="G62" s="6" t="n"/>
      <c r="H62" s="6" t="n"/>
      <c r="I62" s="8" t="n"/>
      <c r="J62" s="6" t="n"/>
      <c r="K62" s="6" t="n"/>
      <c r="L62" s="6" t="n"/>
      <c r="M62" s="6" t="n"/>
      <c r="O62" s="5" t="n"/>
      <c r="S62" s="6" t="n"/>
      <c r="V62" s="5" t="n"/>
      <c r="X62" s="5" t="n"/>
      <c r="AC62" s="6" t="n"/>
      <c r="AD62" s="6" t="n"/>
      <c r="AE62" s="7">
        <f>IF(X62="","",ROUND('Opening Balance'!$B$4+SUM($AC$2:AC62)-SUM($AD$2:AD62)+SUMPRODUCT(($Q$2:$Q$1501="Collection 收款")*($R$2:$R$1501="Cheque 支票")*($V$2:$V$1501&lt;&gt;"")*($V$2:$V$1501&lt;=X62)*($S$2:$S$1501-'Opening Balance'!$B$15*($R$2:$R$1501="Cheque 支票")*($S$2:$S$1501-TRUNC($S$2:$S$1501))))-'Opening Balance'!$B$15*SUMPRODUCT(($Z$2:Z62="Online collection 网上收款")*($AA$2:AA62&lt;&gt;"")*($AC$2:AC62-TRUNC($AC$2:AC62))),2))</f>
        <v/>
      </c>
    </row>
    <row r="63">
      <c r="A63" s="5" t="n"/>
      <c r="B63" s="6" t="n"/>
      <c r="C63" s="6" t="n"/>
      <c r="D63" s="6" t="n"/>
      <c r="E63" s="7">
        <f>IF(A63="","",SUMPRODUCT(('Daily Sale entry '!$O$2:$O$1501=A63)*('Daily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3" s="6" t="n"/>
      <c r="G63" s="6" t="n"/>
      <c r="H63" s="6" t="n"/>
      <c r="I63" s="8" t="n"/>
      <c r="J63" s="6" t="n"/>
      <c r="K63" s="6" t="n"/>
      <c r="L63" s="6" t="n"/>
      <c r="M63" s="6" t="n"/>
      <c r="O63" s="5" t="n"/>
      <c r="S63" s="6" t="n"/>
      <c r="V63" s="5" t="n"/>
      <c r="X63" s="5" t="n"/>
      <c r="AC63" s="6" t="n"/>
      <c r="AD63" s="6" t="n"/>
      <c r="AE63" s="7">
        <f>IF(X63="","",ROUND('Opening Balance'!$B$4+SUM($AC$2:AC63)-SUM($AD$2:AD63)+SUMPRODUCT(($Q$2:$Q$1501="Collection 收款")*($R$2:$R$1501="Cheque 支票")*($V$2:$V$1501&lt;&gt;"")*($V$2:$V$1501&lt;=X63)*($S$2:$S$1501-'Opening Balance'!$B$15*($R$2:$R$1501="Cheque 支票")*($S$2:$S$1501-TRUNC($S$2:$S$1501))))-'Opening Balance'!$B$15*SUMPRODUCT(($Z$2:Z63="Online collection 网上收款")*($AA$2:AA63&lt;&gt;"")*($AC$2:AC63-TRUNC($AC$2:AC63))),2))</f>
        <v/>
      </c>
    </row>
    <row r="64">
      <c r="A64" s="5" t="n"/>
      <c r="B64" s="6" t="n"/>
      <c r="C64" s="6" t="n"/>
      <c r="D64" s="6" t="n"/>
      <c r="E64" s="7">
        <f>IF(A64="","",SUMPRODUCT(('Daily Sale entry '!$O$2:$O$1501=A64)*('Daily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4" s="6" t="n"/>
      <c r="G64" s="6" t="n"/>
      <c r="H64" s="6" t="n"/>
      <c r="I64" s="8" t="n"/>
      <c r="J64" s="6" t="n"/>
      <c r="K64" s="6" t="n"/>
      <c r="L64" s="6" t="n"/>
      <c r="M64" s="6" t="n"/>
      <c r="O64" s="5" t="n"/>
      <c r="S64" s="6" t="n"/>
      <c r="V64" s="5" t="n"/>
      <c r="X64" s="5" t="n"/>
      <c r="AC64" s="6" t="n"/>
      <c r="AD64" s="6" t="n"/>
      <c r="AE64" s="7">
        <f>IF(X64="","",ROUND('Opening Balance'!$B$4+SUM($AC$2:AC64)-SUM($AD$2:AD64)+SUMPRODUCT(($Q$2:$Q$1501="Collection 收款")*($R$2:$R$1501="Cheque 支票")*($V$2:$V$1501&lt;&gt;"")*($V$2:$V$1501&lt;=X64)*($S$2:$S$1501-'Opening Balance'!$B$15*($R$2:$R$1501="Cheque 支票")*($S$2:$S$1501-TRUNC($S$2:$S$1501))))-'Opening Balance'!$B$15*SUMPRODUCT(($Z$2:Z64="Online collection 网上收款")*($AA$2:AA64&lt;&gt;"")*($AC$2:AC64-TRUNC($AC$2:AC64))),2))</f>
        <v/>
      </c>
    </row>
    <row r="65">
      <c r="A65" s="5" t="n"/>
      <c r="B65" s="6" t="n"/>
      <c r="C65" s="6" t="n"/>
      <c r="D65" s="6" t="n"/>
      <c r="E65" s="7">
        <f>IF(A65="","",SUMPRODUCT(('Daily Sale entry '!$O$2:$O$1501=A65)*('Daily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5" s="6" t="n"/>
      <c r="G65" s="6" t="n"/>
      <c r="H65" s="6" t="n"/>
      <c r="I65" s="8" t="n"/>
      <c r="J65" s="6" t="n"/>
      <c r="K65" s="6" t="n"/>
      <c r="L65" s="6" t="n"/>
      <c r="M65" s="6" t="n"/>
      <c r="O65" s="5" t="n"/>
      <c r="S65" s="6" t="n"/>
      <c r="V65" s="5" t="n"/>
      <c r="X65" s="5" t="n"/>
      <c r="AC65" s="6" t="n"/>
      <c r="AD65" s="6" t="n"/>
      <c r="AE65" s="7">
        <f>IF(X65="","",ROUND('Opening Balance'!$B$4+SUM($AC$2:AC65)-SUM($AD$2:AD65)+SUMPRODUCT(($Q$2:$Q$1501="Collection 收款")*($R$2:$R$1501="Cheque 支票")*($V$2:$V$1501&lt;&gt;"")*($V$2:$V$1501&lt;=X65)*($S$2:$S$1501-'Opening Balance'!$B$15*($R$2:$R$1501="Cheque 支票")*($S$2:$S$1501-TRUNC($S$2:$S$1501))))-'Opening Balance'!$B$15*SUMPRODUCT(($Z$2:Z65="Online collection 网上收款")*($AA$2:AA65&lt;&gt;"")*($AC$2:AC65-TRUNC($AC$2:AC65))),2))</f>
        <v/>
      </c>
    </row>
    <row r="66">
      <c r="A66" s="5" t="n"/>
      <c r="B66" s="6" t="n"/>
      <c r="C66" s="6" t="n"/>
      <c r="D66" s="6" t="n"/>
      <c r="E66" s="7">
        <f>IF(A66="","",SUMPRODUCT(('Daily Sale entry '!$O$2:$O$1501=A66)*('Daily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6" s="6" t="n"/>
      <c r="G66" s="6" t="n"/>
      <c r="H66" s="6" t="n"/>
      <c r="I66" s="8" t="n"/>
      <c r="J66" s="6" t="n"/>
      <c r="K66" s="6" t="n"/>
      <c r="L66" s="6" t="n"/>
      <c r="M66" s="6" t="n"/>
      <c r="O66" s="5" t="n"/>
      <c r="S66" s="6" t="n"/>
      <c r="V66" s="5" t="n"/>
      <c r="X66" s="5" t="n"/>
      <c r="AC66" s="6" t="n"/>
      <c r="AD66" s="6" t="n"/>
      <c r="AE66" s="7">
        <f>IF(X66="","",ROUND('Opening Balance'!$B$4+SUM($AC$2:AC66)-SUM($AD$2:AD66)+SUMPRODUCT(($Q$2:$Q$1501="Collection 收款")*($R$2:$R$1501="Cheque 支票")*($V$2:$V$1501&lt;&gt;"")*($V$2:$V$1501&lt;=X66)*($S$2:$S$1501-'Opening Balance'!$B$15*($R$2:$R$1501="Cheque 支票")*($S$2:$S$1501-TRUNC($S$2:$S$1501))))-'Opening Balance'!$B$15*SUMPRODUCT(($Z$2:Z66="Online collection 网上收款")*($AA$2:AA66&lt;&gt;"")*($AC$2:AC66-TRUNC($AC$2:AC66))),2))</f>
        <v/>
      </c>
    </row>
    <row r="67">
      <c r="A67" s="5" t="n"/>
      <c r="B67" s="6" t="n"/>
      <c r="C67" s="6" t="n"/>
      <c r="D67" s="6" t="n"/>
      <c r="E67" s="7">
        <f>IF(A67="","",SUMPRODUCT(('Daily Sale entry '!$O$2:$O$1501=A67)*('Daily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7" s="6" t="n"/>
      <c r="G67" s="6" t="n"/>
      <c r="H67" s="6" t="n"/>
      <c r="I67" s="8" t="n"/>
      <c r="J67" s="6" t="n"/>
      <c r="K67" s="6" t="n"/>
      <c r="L67" s="6" t="n"/>
      <c r="M67" s="6" t="n"/>
      <c r="O67" s="5" t="n"/>
      <c r="S67" s="6" t="n"/>
      <c r="V67" s="5" t="n"/>
      <c r="X67" s="5" t="n"/>
      <c r="AC67" s="6" t="n"/>
      <c r="AD67" s="6" t="n"/>
      <c r="AE67" s="7">
        <f>IF(X67="","",ROUND('Opening Balance'!$B$4+SUM($AC$2:AC67)-SUM($AD$2:AD67)+SUMPRODUCT(($Q$2:$Q$1501="Collection 收款")*($R$2:$R$1501="Cheque 支票")*($V$2:$V$1501&lt;&gt;"")*($V$2:$V$1501&lt;=X67)*($S$2:$S$1501-'Opening Balance'!$B$15*($R$2:$R$1501="Cheque 支票")*($S$2:$S$1501-TRUNC($S$2:$S$1501))))-'Opening Balance'!$B$15*SUMPRODUCT(($Z$2:Z67="Online collection 网上收款")*($AA$2:AA67&lt;&gt;"")*($AC$2:AC67-TRUNC($AC$2:AC67))),2))</f>
        <v/>
      </c>
    </row>
    <row r="68">
      <c r="A68" s="5" t="n"/>
      <c r="B68" s="6" t="n"/>
      <c r="C68" s="6" t="n"/>
      <c r="D68" s="6" t="n"/>
      <c r="E68" s="7">
        <f>IF(A68="","",SUMPRODUCT(('Daily Sale entry '!$O$2:$O$1501=A68)*('Daily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8" s="6" t="n"/>
      <c r="G68" s="6" t="n"/>
      <c r="H68" s="6" t="n"/>
      <c r="I68" s="8" t="n"/>
      <c r="J68" s="6" t="n"/>
      <c r="K68" s="6" t="n"/>
      <c r="L68" s="6" t="n"/>
      <c r="M68" s="6" t="n"/>
      <c r="O68" s="5" t="n"/>
      <c r="S68" s="6" t="n"/>
      <c r="V68" s="5" t="n"/>
      <c r="X68" s="5" t="n"/>
      <c r="AC68" s="6" t="n"/>
      <c r="AD68" s="6" t="n"/>
      <c r="AE68" s="7">
        <f>IF(X68="","",ROUND('Opening Balance'!$B$4+SUM($AC$2:AC68)-SUM($AD$2:AD68)+SUMPRODUCT(($Q$2:$Q$1501="Collection 收款")*($R$2:$R$1501="Cheque 支票")*($V$2:$V$1501&lt;&gt;"")*($V$2:$V$1501&lt;=X68)*($S$2:$S$1501-'Opening Balance'!$B$15*($R$2:$R$1501="Cheque 支票")*($S$2:$S$1501-TRUNC($S$2:$S$1501))))-'Opening Balance'!$B$15*SUMPRODUCT(($Z$2:Z68="Online collection 网上收款")*($AA$2:AA68&lt;&gt;"")*($AC$2:AC68-TRUNC($AC$2:AC68))),2))</f>
        <v/>
      </c>
    </row>
    <row r="69">
      <c r="A69" s="5" t="n"/>
      <c r="B69" s="6" t="n"/>
      <c r="C69" s="6" t="n"/>
      <c r="D69" s="6" t="n"/>
      <c r="E69" s="7">
        <f>IF(A69="","",SUMPRODUCT(('Daily Sale entry '!$O$2:$O$1501=A69)*('Daily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69" s="6" t="n"/>
      <c r="G69" s="6" t="n"/>
      <c r="H69" s="6" t="n"/>
      <c r="I69" s="8" t="n"/>
      <c r="J69" s="6" t="n"/>
      <c r="K69" s="6" t="n"/>
      <c r="L69" s="6" t="n"/>
      <c r="M69" s="6" t="n"/>
      <c r="O69" s="5" t="n"/>
      <c r="S69" s="6" t="n"/>
      <c r="V69" s="5" t="n"/>
      <c r="X69" s="5" t="n"/>
      <c r="AC69" s="6" t="n"/>
      <c r="AD69" s="6" t="n"/>
      <c r="AE69" s="7">
        <f>IF(X69="","",ROUND('Opening Balance'!$B$4+SUM($AC$2:AC69)-SUM($AD$2:AD69)+SUMPRODUCT(($Q$2:$Q$1501="Collection 收款")*($R$2:$R$1501="Cheque 支票")*($V$2:$V$1501&lt;&gt;"")*($V$2:$V$1501&lt;=X69)*($S$2:$S$1501-'Opening Balance'!$B$15*($R$2:$R$1501="Cheque 支票")*($S$2:$S$1501-TRUNC($S$2:$S$1501))))-'Opening Balance'!$B$15*SUMPRODUCT(($Z$2:Z69="Online collection 网上收款")*($AA$2:AA69&lt;&gt;"")*($AC$2:AC69-TRUNC($AC$2:AC69))),2))</f>
        <v/>
      </c>
    </row>
    <row r="70">
      <c r="A70" s="5" t="n"/>
      <c r="B70" s="6" t="n"/>
      <c r="C70" s="6" t="n"/>
      <c r="D70" s="6" t="n"/>
      <c r="E70" s="7">
        <f>IF(A70="","",SUMPRODUCT(('Daily Sale entry '!$O$2:$O$1501=A70)*('Daily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0" s="6" t="n"/>
      <c r="G70" s="6" t="n"/>
      <c r="H70" s="6" t="n"/>
      <c r="I70" s="8" t="n"/>
      <c r="J70" s="6" t="n"/>
      <c r="K70" s="6" t="n"/>
      <c r="L70" s="6" t="n"/>
      <c r="M70" s="6" t="n"/>
      <c r="O70" s="5" t="n"/>
      <c r="S70" s="6" t="n"/>
      <c r="V70" s="5" t="n"/>
      <c r="X70" s="5" t="n"/>
      <c r="AC70" s="6" t="n"/>
      <c r="AD70" s="6" t="n"/>
      <c r="AE70" s="7">
        <f>IF(X70="","",ROUND('Opening Balance'!$B$4+SUM($AC$2:AC70)-SUM($AD$2:AD70)+SUMPRODUCT(($Q$2:$Q$1501="Collection 收款")*($R$2:$R$1501="Cheque 支票")*($V$2:$V$1501&lt;&gt;"")*($V$2:$V$1501&lt;=X70)*($S$2:$S$1501-'Opening Balance'!$B$15*($R$2:$R$1501="Cheque 支票")*($S$2:$S$1501-TRUNC($S$2:$S$1501))))-'Opening Balance'!$B$15*SUMPRODUCT(($Z$2:Z70="Online collection 网上收款")*($AA$2:AA70&lt;&gt;"")*($AC$2:AC70-TRUNC($AC$2:AC70))),2))</f>
        <v/>
      </c>
    </row>
    <row r="71">
      <c r="A71" s="5" t="n"/>
      <c r="B71" s="6" t="n"/>
      <c r="C71" s="6" t="n"/>
      <c r="D71" s="6" t="n"/>
      <c r="E71" s="7">
        <f>IF(A71="","",SUMPRODUCT(('Daily Sale entry '!$O$2:$O$1501=A71)*('Daily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1" s="6" t="n"/>
      <c r="G71" s="6" t="n"/>
      <c r="H71" s="6" t="n"/>
      <c r="I71" s="8" t="n"/>
      <c r="J71" s="6" t="n"/>
      <c r="K71" s="6" t="n"/>
      <c r="L71" s="6" t="n"/>
      <c r="M71" s="6" t="n"/>
      <c r="O71" s="5" t="n"/>
      <c r="S71" s="6" t="n"/>
      <c r="V71" s="5" t="n"/>
      <c r="X71" s="5" t="n"/>
      <c r="AC71" s="6" t="n"/>
      <c r="AD71" s="6" t="n"/>
      <c r="AE71" s="7">
        <f>IF(X71="","",ROUND('Opening Balance'!$B$4+SUM($AC$2:AC71)-SUM($AD$2:AD71)+SUMPRODUCT(($Q$2:$Q$1501="Collection 收款")*($R$2:$R$1501="Cheque 支票")*($V$2:$V$1501&lt;&gt;"")*($V$2:$V$1501&lt;=X71)*($S$2:$S$1501-'Opening Balance'!$B$15*($R$2:$R$1501="Cheque 支票")*($S$2:$S$1501-TRUNC($S$2:$S$1501))))-'Opening Balance'!$B$15*SUMPRODUCT(($Z$2:Z71="Online collection 网上收款")*($AA$2:AA71&lt;&gt;"")*($AC$2:AC71-TRUNC($AC$2:AC71))),2))</f>
        <v/>
      </c>
    </row>
    <row r="72">
      <c r="A72" s="5" t="n"/>
      <c r="B72" s="6" t="n"/>
      <c r="C72" s="6" t="n"/>
      <c r="D72" s="6" t="n"/>
      <c r="E72" s="7">
        <f>IF(A72="","",SUMPRODUCT(('Daily Sale entry '!$O$2:$O$1501=A72)*('Daily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2" s="6" t="n"/>
      <c r="G72" s="6" t="n"/>
      <c r="H72" s="6" t="n"/>
      <c r="I72" s="8" t="n"/>
      <c r="J72" s="6" t="n"/>
      <c r="K72" s="6" t="n"/>
      <c r="L72" s="6" t="n"/>
      <c r="M72" s="6" t="n"/>
      <c r="O72" s="5" t="n"/>
      <c r="S72" s="6" t="n"/>
      <c r="V72" s="5" t="n"/>
      <c r="X72" s="5" t="n"/>
      <c r="AC72" s="6" t="n"/>
      <c r="AD72" s="6" t="n"/>
      <c r="AE72" s="7">
        <f>IF(X72="","",ROUND('Opening Balance'!$B$4+SUM($AC$2:AC72)-SUM($AD$2:AD72)+SUMPRODUCT(($Q$2:$Q$1501="Collection 收款")*($R$2:$R$1501="Cheque 支票")*($V$2:$V$1501&lt;&gt;"")*($V$2:$V$1501&lt;=X72)*($S$2:$S$1501-'Opening Balance'!$B$15*($R$2:$R$1501="Cheque 支票")*($S$2:$S$1501-TRUNC($S$2:$S$1501))))-'Opening Balance'!$B$15*SUMPRODUCT(($Z$2:Z72="Online collection 网上收款")*($AA$2:AA72&lt;&gt;"")*($AC$2:AC72-TRUNC($AC$2:AC72))),2))</f>
        <v/>
      </c>
    </row>
    <row r="73">
      <c r="A73" s="5" t="n"/>
      <c r="B73" s="6" t="n"/>
      <c r="C73" s="6" t="n"/>
      <c r="D73" s="6" t="n"/>
      <c r="E73" s="7">
        <f>IF(A73="","",SUMPRODUCT(('Daily Sale entry '!$O$2:$O$1501=A73)*('Daily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3" s="6" t="n"/>
      <c r="G73" s="6" t="n"/>
      <c r="H73" s="6" t="n"/>
      <c r="I73" s="8" t="n"/>
      <c r="J73" s="6" t="n"/>
      <c r="K73" s="6" t="n"/>
      <c r="L73" s="6" t="n"/>
      <c r="M73" s="6" t="n"/>
      <c r="O73" s="5" t="n"/>
      <c r="S73" s="6" t="n"/>
      <c r="V73" s="5" t="n"/>
      <c r="X73" s="5" t="n"/>
      <c r="AC73" s="6" t="n"/>
      <c r="AD73" s="6" t="n"/>
      <c r="AE73" s="7">
        <f>IF(X73="","",ROUND('Opening Balance'!$B$4+SUM($AC$2:AC73)-SUM($AD$2:AD73)+SUMPRODUCT(($Q$2:$Q$1501="Collection 收款")*($R$2:$R$1501="Cheque 支票")*($V$2:$V$1501&lt;&gt;"")*($V$2:$V$1501&lt;=X73)*($S$2:$S$1501-'Opening Balance'!$B$15*($R$2:$R$1501="Cheque 支票")*($S$2:$S$1501-TRUNC($S$2:$S$1501))))-'Opening Balance'!$B$15*SUMPRODUCT(($Z$2:Z73="Online collection 网上收款")*($AA$2:AA73&lt;&gt;"")*($AC$2:AC73-TRUNC($AC$2:AC73))),2))</f>
        <v/>
      </c>
    </row>
    <row r="74">
      <c r="A74" s="5" t="n"/>
      <c r="B74" s="6" t="n"/>
      <c r="C74" s="6" t="n"/>
      <c r="D74" s="6" t="n"/>
      <c r="E74" s="7">
        <f>IF(A74="","",SUMPRODUCT(('Daily Sale entry '!$O$2:$O$1501=A74)*('Daily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4" s="6" t="n"/>
      <c r="G74" s="6" t="n"/>
      <c r="H74" s="6" t="n"/>
      <c r="I74" s="8" t="n"/>
      <c r="J74" s="6" t="n"/>
      <c r="K74" s="6" t="n"/>
      <c r="L74" s="6" t="n"/>
      <c r="M74" s="6" t="n"/>
      <c r="O74" s="5" t="n"/>
      <c r="S74" s="6" t="n"/>
      <c r="V74" s="5" t="n"/>
      <c r="X74" s="5" t="n"/>
      <c r="AC74" s="6" t="n"/>
      <c r="AD74" s="6" t="n"/>
      <c r="AE74" s="7">
        <f>IF(X74="","",ROUND('Opening Balance'!$B$4+SUM($AC$2:AC74)-SUM($AD$2:AD74)+SUMPRODUCT(($Q$2:$Q$1501="Collection 收款")*($R$2:$R$1501="Cheque 支票")*($V$2:$V$1501&lt;&gt;"")*($V$2:$V$1501&lt;=X74)*($S$2:$S$1501-'Opening Balance'!$B$15*($R$2:$R$1501="Cheque 支票")*($S$2:$S$1501-TRUNC($S$2:$S$1501))))-'Opening Balance'!$B$15*SUMPRODUCT(($Z$2:Z74="Online collection 网上收款")*($AA$2:AA74&lt;&gt;"")*($AC$2:AC74-TRUNC($AC$2:AC74))),2))</f>
        <v/>
      </c>
    </row>
    <row r="75">
      <c r="A75" s="5" t="n"/>
      <c r="B75" s="6" t="n"/>
      <c r="C75" s="6" t="n"/>
      <c r="D75" s="6" t="n"/>
      <c r="E75" s="7">
        <f>IF(A75="","",SUMPRODUCT(('Daily Sale entry '!$O$2:$O$1501=A75)*('Daily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5" s="6" t="n"/>
      <c r="G75" s="6" t="n"/>
      <c r="H75" s="6" t="n"/>
      <c r="I75" s="8" t="n"/>
      <c r="J75" s="6" t="n"/>
      <c r="K75" s="6" t="n"/>
      <c r="L75" s="6" t="n"/>
      <c r="M75" s="6" t="n"/>
      <c r="O75" s="5" t="n"/>
      <c r="S75" s="6" t="n"/>
      <c r="V75" s="5" t="n"/>
      <c r="X75" s="5" t="n"/>
      <c r="AC75" s="6" t="n"/>
      <c r="AD75" s="6" t="n"/>
      <c r="AE75" s="7">
        <f>IF(X75="","",ROUND('Opening Balance'!$B$4+SUM($AC$2:AC75)-SUM($AD$2:AD75)+SUMPRODUCT(($Q$2:$Q$1501="Collection 收款")*($R$2:$R$1501="Cheque 支票")*($V$2:$V$1501&lt;&gt;"")*($V$2:$V$1501&lt;=X75)*($S$2:$S$1501-'Opening Balance'!$B$15*($R$2:$R$1501="Cheque 支票")*($S$2:$S$1501-TRUNC($S$2:$S$1501))))-'Opening Balance'!$B$15*SUMPRODUCT(($Z$2:Z75="Online collection 网上收款")*($AA$2:AA75&lt;&gt;"")*($AC$2:AC75-TRUNC($AC$2:AC75))),2))</f>
        <v/>
      </c>
    </row>
    <row r="76">
      <c r="A76" s="5" t="n"/>
      <c r="B76" s="6" t="n"/>
      <c r="C76" s="6" t="n"/>
      <c r="D76" s="6" t="n"/>
      <c r="E76" s="7">
        <f>IF(A76="","",SUMPRODUCT(('Daily Sale entry '!$O$2:$O$1501=A76)*('Daily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6" s="6" t="n"/>
      <c r="G76" s="6" t="n"/>
      <c r="H76" s="6" t="n"/>
      <c r="I76" s="8" t="n"/>
      <c r="J76" s="6" t="n"/>
      <c r="K76" s="6" t="n"/>
      <c r="L76" s="6" t="n"/>
      <c r="M76" s="6" t="n"/>
      <c r="O76" s="5" t="n"/>
      <c r="S76" s="6" t="n"/>
      <c r="V76" s="5" t="n"/>
      <c r="X76" s="5" t="n"/>
      <c r="AC76" s="6" t="n"/>
      <c r="AD76" s="6" t="n"/>
      <c r="AE76" s="7">
        <f>IF(X76="","",ROUND('Opening Balance'!$B$4+SUM($AC$2:AC76)-SUM($AD$2:AD76)+SUMPRODUCT(($Q$2:$Q$1501="Collection 收款")*($R$2:$R$1501="Cheque 支票")*($V$2:$V$1501&lt;&gt;"")*($V$2:$V$1501&lt;=X76)*($S$2:$S$1501-'Opening Balance'!$B$15*($R$2:$R$1501="Cheque 支票")*($S$2:$S$1501-TRUNC($S$2:$S$1501))))-'Opening Balance'!$B$15*SUMPRODUCT(($Z$2:Z76="Online collection 网上收款")*($AA$2:AA76&lt;&gt;"")*($AC$2:AC76-TRUNC($AC$2:AC76))),2))</f>
        <v/>
      </c>
    </row>
    <row r="77">
      <c r="A77" s="5" t="n"/>
      <c r="B77" s="6" t="n"/>
      <c r="C77" s="6" t="n"/>
      <c r="D77" s="6" t="n"/>
      <c r="E77" s="7">
        <f>IF(A77="","",SUMPRODUCT(('Daily Sale entry '!$O$2:$O$1501=A77)*('Daily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7" s="6" t="n"/>
      <c r="G77" s="6" t="n"/>
      <c r="H77" s="6" t="n"/>
      <c r="I77" s="8" t="n"/>
      <c r="J77" s="6" t="n"/>
      <c r="K77" s="6" t="n"/>
      <c r="L77" s="6" t="n"/>
      <c r="M77" s="6" t="n"/>
      <c r="O77" s="5" t="n"/>
      <c r="S77" s="6" t="n"/>
      <c r="V77" s="5" t="n"/>
      <c r="X77" s="5" t="n"/>
      <c r="AC77" s="6" t="n"/>
      <c r="AD77" s="6" t="n"/>
      <c r="AE77" s="7">
        <f>IF(X77="","",ROUND('Opening Balance'!$B$4+SUM($AC$2:AC77)-SUM($AD$2:AD77)+SUMPRODUCT(($Q$2:$Q$1501="Collection 收款")*($R$2:$R$1501="Cheque 支票")*($V$2:$V$1501&lt;&gt;"")*($V$2:$V$1501&lt;=X77)*($S$2:$S$1501-'Opening Balance'!$B$15*($R$2:$R$1501="Cheque 支票")*($S$2:$S$1501-TRUNC($S$2:$S$1501))))-'Opening Balance'!$B$15*SUMPRODUCT(($Z$2:Z77="Online collection 网上收款")*($AA$2:AA77&lt;&gt;"")*($AC$2:AC77-TRUNC($AC$2:AC77))),2))</f>
        <v/>
      </c>
    </row>
    <row r="78">
      <c r="A78" s="5" t="n"/>
      <c r="B78" s="6" t="n"/>
      <c r="C78" s="6" t="n"/>
      <c r="D78" s="6" t="n"/>
      <c r="E78" s="7">
        <f>IF(A78="","",SUMPRODUCT(('Daily Sale entry '!$O$2:$O$1501=A78)*('Daily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8" s="6" t="n"/>
      <c r="G78" s="6" t="n"/>
      <c r="H78" s="6" t="n"/>
      <c r="I78" s="8" t="n"/>
      <c r="J78" s="6" t="n"/>
      <c r="K78" s="6" t="n"/>
      <c r="L78" s="6" t="n"/>
      <c r="M78" s="6" t="n"/>
      <c r="O78" s="5" t="n"/>
      <c r="S78" s="6" t="n"/>
      <c r="V78" s="5" t="n"/>
      <c r="X78" s="5" t="n"/>
      <c r="AC78" s="6" t="n"/>
      <c r="AD78" s="6" t="n"/>
      <c r="AE78" s="7">
        <f>IF(X78="","",ROUND('Opening Balance'!$B$4+SUM($AC$2:AC78)-SUM($AD$2:AD78)+SUMPRODUCT(($Q$2:$Q$1501="Collection 收款")*($R$2:$R$1501="Cheque 支票")*($V$2:$V$1501&lt;&gt;"")*($V$2:$V$1501&lt;=X78)*($S$2:$S$1501-'Opening Balance'!$B$15*($R$2:$R$1501="Cheque 支票")*($S$2:$S$1501-TRUNC($S$2:$S$1501))))-'Opening Balance'!$B$15*SUMPRODUCT(($Z$2:Z78="Online collection 网上收款")*($AA$2:AA78&lt;&gt;"")*($AC$2:AC78-TRUNC($AC$2:AC78))),2))</f>
        <v/>
      </c>
    </row>
    <row r="79">
      <c r="A79" s="5" t="n"/>
      <c r="B79" s="6" t="n"/>
      <c r="C79" s="6" t="n"/>
      <c r="D79" s="6" t="n"/>
      <c r="E79" s="7">
        <f>IF(A79="","",SUMPRODUCT(('Daily Sale entry '!$O$2:$O$1501=A79)*('Daily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79" s="6" t="n"/>
      <c r="G79" s="6" t="n"/>
      <c r="H79" s="6" t="n"/>
      <c r="I79" s="8" t="n"/>
      <c r="J79" s="6" t="n"/>
      <c r="K79" s="6" t="n"/>
      <c r="L79" s="6" t="n"/>
      <c r="M79" s="6" t="n"/>
      <c r="O79" s="5" t="n"/>
      <c r="S79" s="6" t="n"/>
      <c r="V79" s="5" t="n"/>
      <c r="X79" s="5" t="n"/>
      <c r="AC79" s="6" t="n"/>
      <c r="AD79" s="6" t="n"/>
      <c r="AE79" s="7">
        <f>IF(X79="","",ROUND('Opening Balance'!$B$4+SUM($AC$2:AC79)-SUM($AD$2:AD79)+SUMPRODUCT(($Q$2:$Q$1501="Collection 收款")*($R$2:$R$1501="Cheque 支票")*($V$2:$V$1501&lt;&gt;"")*($V$2:$V$1501&lt;=X79)*($S$2:$S$1501-'Opening Balance'!$B$15*($R$2:$R$1501="Cheque 支票")*($S$2:$S$1501-TRUNC($S$2:$S$1501))))-'Opening Balance'!$B$15*SUMPRODUCT(($Z$2:Z79="Online collection 网上收款")*($AA$2:AA79&lt;&gt;"")*($AC$2:AC79-TRUNC($AC$2:AC79))),2))</f>
        <v/>
      </c>
    </row>
    <row r="80">
      <c r="A80" s="5" t="n"/>
      <c r="B80" s="6" t="n"/>
      <c r="C80" s="6" t="n"/>
      <c r="D80" s="6" t="n"/>
      <c r="E80" s="7">
        <f>IF(A80="","",SUMPRODUCT(('Daily Sale entry '!$O$2:$O$1501=A80)*('Daily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0" s="6" t="n"/>
      <c r="G80" s="6" t="n"/>
      <c r="H80" s="6" t="n"/>
      <c r="I80" s="8" t="n"/>
      <c r="J80" s="6" t="n"/>
      <c r="K80" s="6" t="n"/>
      <c r="L80" s="6" t="n"/>
      <c r="M80" s="6" t="n"/>
      <c r="O80" s="5" t="n"/>
      <c r="S80" s="6" t="n"/>
      <c r="V80" s="5" t="n"/>
      <c r="X80" s="5" t="n"/>
      <c r="AC80" s="6" t="n"/>
      <c r="AD80" s="6" t="n"/>
      <c r="AE80" s="7">
        <f>IF(X80="","",ROUND('Opening Balance'!$B$4+SUM($AC$2:AC80)-SUM($AD$2:AD80)+SUMPRODUCT(($Q$2:$Q$1501="Collection 收款")*($R$2:$R$1501="Cheque 支票")*($V$2:$V$1501&lt;&gt;"")*($V$2:$V$1501&lt;=X80)*($S$2:$S$1501-'Opening Balance'!$B$15*($R$2:$R$1501="Cheque 支票")*($S$2:$S$1501-TRUNC($S$2:$S$1501))))-'Opening Balance'!$B$15*SUMPRODUCT(($Z$2:Z80="Online collection 网上收款")*($AA$2:AA80&lt;&gt;"")*($AC$2:AC80-TRUNC($AC$2:AC80))),2))</f>
        <v/>
      </c>
    </row>
    <row r="81">
      <c r="A81" s="5" t="n"/>
      <c r="B81" s="6" t="n"/>
      <c r="C81" s="6" t="n"/>
      <c r="D81" s="6" t="n"/>
      <c r="E81" s="7">
        <f>IF(A81="","",SUMPRODUCT(('Daily Sale entry '!$O$2:$O$1501=A81)*('Daily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1" s="6" t="n"/>
      <c r="G81" s="6" t="n"/>
      <c r="H81" s="6" t="n"/>
      <c r="I81" s="8" t="n"/>
      <c r="J81" s="6" t="n"/>
      <c r="K81" s="6" t="n"/>
      <c r="L81" s="6" t="n"/>
      <c r="M81" s="6" t="n"/>
      <c r="O81" s="5" t="n"/>
      <c r="S81" s="6" t="n"/>
      <c r="V81" s="5" t="n"/>
      <c r="X81" s="5" t="n"/>
      <c r="AC81" s="6" t="n"/>
      <c r="AD81" s="6" t="n"/>
      <c r="AE81" s="7">
        <f>IF(X81="","",ROUND('Opening Balance'!$B$4+SUM($AC$2:AC81)-SUM($AD$2:AD81)+SUMPRODUCT(($Q$2:$Q$1501="Collection 收款")*($R$2:$R$1501="Cheque 支票")*($V$2:$V$1501&lt;&gt;"")*($V$2:$V$1501&lt;=X81)*($S$2:$S$1501-'Opening Balance'!$B$15*($R$2:$R$1501="Cheque 支票")*($S$2:$S$1501-TRUNC($S$2:$S$1501))))-'Opening Balance'!$B$15*SUMPRODUCT(($Z$2:Z81="Online collection 网上收款")*($AA$2:AA81&lt;&gt;"")*($AC$2:AC81-TRUNC($AC$2:AC81))),2))</f>
        <v/>
      </c>
    </row>
    <row r="82">
      <c r="A82" s="5" t="n"/>
      <c r="B82" s="6" t="n"/>
      <c r="C82" s="6" t="n"/>
      <c r="D82" s="6" t="n"/>
      <c r="E82" s="7">
        <f>IF(A82="","",SUMPRODUCT(('Daily Sale entry '!$O$2:$O$1501=A82)*('Daily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2" s="6" t="n"/>
      <c r="G82" s="6" t="n"/>
      <c r="H82" s="6" t="n"/>
      <c r="I82" s="8" t="n"/>
      <c r="J82" s="6" t="n"/>
      <c r="K82" s="6" t="n"/>
      <c r="L82" s="6" t="n"/>
      <c r="M82" s="6" t="n"/>
      <c r="O82" s="5" t="n"/>
      <c r="S82" s="6" t="n"/>
      <c r="V82" s="5" t="n"/>
      <c r="X82" s="5" t="n"/>
      <c r="AC82" s="6" t="n"/>
      <c r="AD82" s="6" t="n"/>
      <c r="AE82" s="7">
        <f>IF(X82="","",ROUND('Opening Balance'!$B$4+SUM($AC$2:AC82)-SUM($AD$2:AD82)+SUMPRODUCT(($Q$2:$Q$1501="Collection 收款")*($R$2:$R$1501="Cheque 支票")*($V$2:$V$1501&lt;&gt;"")*($V$2:$V$1501&lt;=X82)*($S$2:$S$1501-'Opening Balance'!$B$15*($R$2:$R$1501="Cheque 支票")*($S$2:$S$1501-TRUNC($S$2:$S$1501))))-'Opening Balance'!$B$15*SUMPRODUCT(($Z$2:Z82="Online collection 网上收款")*($AA$2:AA82&lt;&gt;"")*($AC$2:AC82-TRUNC($AC$2:AC82))),2))</f>
        <v/>
      </c>
    </row>
    <row r="83">
      <c r="A83" s="5" t="n"/>
      <c r="B83" s="6" t="n"/>
      <c r="C83" s="6" t="n"/>
      <c r="D83" s="6" t="n"/>
      <c r="E83" s="7">
        <f>IF(A83="","",SUMPRODUCT(('Daily Sale entry '!$O$2:$O$1501=A83)*('Daily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3" s="6" t="n"/>
      <c r="G83" s="6" t="n"/>
      <c r="H83" s="6" t="n"/>
      <c r="I83" s="8" t="n"/>
      <c r="J83" s="6" t="n"/>
      <c r="K83" s="6" t="n"/>
      <c r="L83" s="6" t="n"/>
      <c r="M83" s="6" t="n"/>
      <c r="O83" s="5" t="n"/>
      <c r="S83" s="6" t="n"/>
      <c r="V83" s="5" t="n"/>
      <c r="X83" s="5" t="n"/>
      <c r="AC83" s="6" t="n"/>
      <c r="AD83" s="6" t="n"/>
      <c r="AE83" s="7">
        <f>IF(X83="","",ROUND('Opening Balance'!$B$4+SUM($AC$2:AC83)-SUM($AD$2:AD83)+SUMPRODUCT(($Q$2:$Q$1501="Collection 收款")*($R$2:$R$1501="Cheque 支票")*($V$2:$V$1501&lt;&gt;"")*($V$2:$V$1501&lt;=X83)*($S$2:$S$1501-'Opening Balance'!$B$15*($R$2:$R$1501="Cheque 支票")*($S$2:$S$1501-TRUNC($S$2:$S$1501))))-'Opening Balance'!$B$15*SUMPRODUCT(($Z$2:Z83="Online collection 网上收款")*($AA$2:AA83&lt;&gt;"")*($AC$2:AC83-TRUNC($AC$2:AC83))),2))</f>
        <v/>
      </c>
    </row>
    <row r="84">
      <c r="A84" s="5" t="n"/>
      <c r="B84" s="6" t="n"/>
      <c r="C84" s="6" t="n"/>
      <c r="D84" s="6" t="n"/>
      <c r="E84" s="7">
        <f>IF(A84="","",SUMPRODUCT(('Daily Sale entry '!$O$2:$O$1501=A84)*('Daily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4" s="6" t="n"/>
      <c r="G84" s="6" t="n"/>
      <c r="H84" s="6" t="n"/>
      <c r="I84" s="8" t="n"/>
      <c r="J84" s="6" t="n"/>
      <c r="K84" s="6" t="n"/>
      <c r="L84" s="6" t="n"/>
      <c r="M84" s="6" t="n"/>
      <c r="O84" s="5" t="n"/>
      <c r="S84" s="6" t="n"/>
      <c r="V84" s="5" t="n"/>
      <c r="X84" s="5" t="n"/>
      <c r="AC84" s="6" t="n"/>
      <c r="AD84" s="6" t="n"/>
      <c r="AE84" s="7">
        <f>IF(X84="","",ROUND('Opening Balance'!$B$4+SUM($AC$2:AC84)-SUM($AD$2:AD84)+SUMPRODUCT(($Q$2:$Q$1501="Collection 收款")*($R$2:$R$1501="Cheque 支票")*($V$2:$V$1501&lt;&gt;"")*($V$2:$V$1501&lt;=X84)*($S$2:$S$1501-'Opening Balance'!$B$15*($R$2:$R$1501="Cheque 支票")*($S$2:$S$1501-TRUNC($S$2:$S$1501))))-'Opening Balance'!$B$15*SUMPRODUCT(($Z$2:Z84="Online collection 网上收款")*($AA$2:AA84&lt;&gt;"")*($AC$2:AC84-TRUNC($AC$2:AC84))),2))</f>
        <v/>
      </c>
    </row>
    <row r="85">
      <c r="A85" s="5" t="n"/>
      <c r="B85" s="6" t="n"/>
      <c r="C85" s="6" t="n"/>
      <c r="D85" s="6" t="n"/>
      <c r="E85" s="7">
        <f>IF(A85="","",SUMPRODUCT(('Daily Sale entry '!$O$2:$O$1501=A85)*('Daily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5" s="6" t="n"/>
      <c r="G85" s="6" t="n"/>
      <c r="H85" s="6" t="n"/>
      <c r="I85" s="8" t="n"/>
      <c r="J85" s="6" t="n"/>
      <c r="K85" s="6" t="n"/>
      <c r="L85" s="6" t="n"/>
      <c r="M85" s="6" t="n"/>
      <c r="O85" s="5" t="n"/>
      <c r="S85" s="6" t="n"/>
      <c r="V85" s="5" t="n"/>
      <c r="X85" s="5" t="n"/>
      <c r="AC85" s="6" t="n"/>
      <c r="AD85" s="6" t="n"/>
      <c r="AE85" s="7">
        <f>IF(X85="","",ROUND('Opening Balance'!$B$4+SUM($AC$2:AC85)-SUM($AD$2:AD85)+SUMPRODUCT(($Q$2:$Q$1501="Collection 收款")*($R$2:$R$1501="Cheque 支票")*($V$2:$V$1501&lt;&gt;"")*($V$2:$V$1501&lt;=X85)*($S$2:$S$1501-'Opening Balance'!$B$15*($R$2:$R$1501="Cheque 支票")*($S$2:$S$1501-TRUNC($S$2:$S$1501))))-'Opening Balance'!$B$15*SUMPRODUCT(($Z$2:Z85="Online collection 网上收款")*($AA$2:AA85&lt;&gt;"")*($AC$2:AC85-TRUNC($AC$2:AC85))),2))</f>
        <v/>
      </c>
    </row>
    <row r="86">
      <c r="A86" s="5" t="n"/>
      <c r="B86" s="6" t="n"/>
      <c r="C86" s="6" t="n"/>
      <c r="D86" s="6" t="n"/>
      <c r="E86" s="7">
        <f>IF(A86="","",SUMPRODUCT(('Daily Sale entry '!$O$2:$O$1501=A86)*('Daily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6" s="6" t="n"/>
      <c r="G86" s="6" t="n"/>
      <c r="H86" s="6" t="n"/>
      <c r="I86" s="8" t="n"/>
      <c r="J86" s="6" t="n"/>
      <c r="K86" s="6" t="n"/>
      <c r="L86" s="6" t="n"/>
      <c r="M86" s="6" t="n"/>
      <c r="O86" s="5" t="n"/>
      <c r="S86" s="6" t="n"/>
      <c r="V86" s="5" t="n"/>
      <c r="X86" s="5" t="n"/>
      <c r="AC86" s="6" t="n"/>
      <c r="AD86" s="6" t="n"/>
      <c r="AE86" s="7">
        <f>IF(X86="","",ROUND('Opening Balance'!$B$4+SUM($AC$2:AC86)-SUM($AD$2:AD86)+SUMPRODUCT(($Q$2:$Q$1501="Collection 收款")*($R$2:$R$1501="Cheque 支票")*($V$2:$V$1501&lt;&gt;"")*($V$2:$V$1501&lt;=X86)*($S$2:$S$1501-'Opening Balance'!$B$15*($R$2:$R$1501="Cheque 支票")*($S$2:$S$1501-TRUNC($S$2:$S$1501))))-'Opening Balance'!$B$15*SUMPRODUCT(($Z$2:Z86="Online collection 网上收款")*($AA$2:AA86&lt;&gt;"")*($AC$2:AC86-TRUNC($AC$2:AC86))),2))</f>
        <v/>
      </c>
    </row>
    <row r="87">
      <c r="A87" s="5" t="n"/>
      <c r="B87" s="6" t="n"/>
      <c r="C87" s="6" t="n"/>
      <c r="D87" s="6" t="n"/>
      <c r="E87" s="7">
        <f>IF(A87="","",SUMPRODUCT(('Daily Sale entry '!$O$2:$O$1501=A87)*('Daily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7" s="6" t="n"/>
      <c r="G87" s="6" t="n"/>
      <c r="H87" s="6" t="n"/>
      <c r="I87" s="8" t="n"/>
      <c r="J87" s="6" t="n"/>
      <c r="K87" s="6" t="n"/>
      <c r="L87" s="6" t="n"/>
      <c r="M87" s="6" t="n"/>
      <c r="O87" s="5" t="n"/>
      <c r="S87" s="6" t="n"/>
      <c r="V87" s="5" t="n"/>
      <c r="X87" s="5" t="n"/>
      <c r="AC87" s="6" t="n"/>
      <c r="AD87" s="6" t="n"/>
      <c r="AE87" s="7">
        <f>IF(X87="","",ROUND('Opening Balance'!$B$4+SUM($AC$2:AC87)-SUM($AD$2:AD87)+SUMPRODUCT(($Q$2:$Q$1501="Collection 收款")*($R$2:$R$1501="Cheque 支票")*($V$2:$V$1501&lt;&gt;"")*($V$2:$V$1501&lt;=X87)*($S$2:$S$1501-'Opening Balance'!$B$15*($R$2:$R$1501="Cheque 支票")*($S$2:$S$1501-TRUNC($S$2:$S$1501))))-'Opening Balance'!$B$15*SUMPRODUCT(($Z$2:Z87="Online collection 网上收款")*($AA$2:AA87&lt;&gt;"")*($AC$2:AC87-TRUNC($AC$2:AC87))),2))</f>
        <v/>
      </c>
    </row>
    <row r="88">
      <c r="A88" s="5" t="n"/>
      <c r="B88" s="6" t="n"/>
      <c r="C88" s="6" t="n"/>
      <c r="D88" s="6" t="n"/>
      <c r="E88" s="7">
        <f>IF(A88="","",SUMPRODUCT(('Daily Sale entry '!$O$2:$O$1501=A88)*('Daily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8" s="6" t="n"/>
      <c r="G88" s="6" t="n"/>
      <c r="H88" s="6" t="n"/>
      <c r="I88" s="8" t="n"/>
      <c r="J88" s="6" t="n"/>
      <c r="K88" s="6" t="n"/>
      <c r="L88" s="6" t="n"/>
      <c r="M88" s="6" t="n"/>
      <c r="O88" s="5" t="n"/>
      <c r="S88" s="6" t="n"/>
      <c r="V88" s="5" t="n"/>
      <c r="X88" s="5" t="n"/>
      <c r="AC88" s="6" t="n"/>
      <c r="AD88" s="6" t="n"/>
      <c r="AE88" s="7">
        <f>IF(X88="","",ROUND('Opening Balance'!$B$4+SUM($AC$2:AC88)-SUM($AD$2:AD88)+SUMPRODUCT(($Q$2:$Q$1501="Collection 收款")*($R$2:$R$1501="Cheque 支票")*($V$2:$V$1501&lt;&gt;"")*($V$2:$V$1501&lt;=X88)*($S$2:$S$1501-'Opening Balance'!$B$15*($R$2:$R$1501="Cheque 支票")*($S$2:$S$1501-TRUNC($S$2:$S$1501))))-'Opening Balance'!$B$15*SUMPRODUCT(($Z$2:Z88="Online collection 网上收款")*($AA$2:AA88&lt;&gt;"")*($AC$2:AC88-TRUNC($AC$2:AC88))),2))</f>
        <v/>
      </c>
    </row>
    <row r="89">
      <c r="A89" s="5" t="n"/>
      <c r="B89" s="6" t="n"/>
      <c r="C89" s="6" t="n"/>
      <c r="D89" s="6" t="n"/>
      <c r="E89" s="7">
        <f>IF(A89="","",SUMPRODUCT(('Daily Sale entry '!$O$2:$O$1501=A89)*('Daily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89" s="6" t="n"/>
      <c r="G89" s="6" t="n"/>
      <c r="H89" s="6" t="n"/>
      <c r="I89" s="8" t="n"/>
      <c r="J89" s="6" t="n"/>
      <c r="K89" s="6" t="n"/>
      <c r="L89" s="6" t="n"/>
      <c r="M89" s="6" t="n"/>
      <c r="O89" s="5" t="n"/>
      <c r="S89" s="6" t="n"/>
      <c r="V89" s="5" t="n"/>
      <c r="X89" s="5" t="n"/>
      <c r="AC89" s="6" t="n"/>
      <c r="AD89" s="6" t="n"/>
      <c r="AE89" s="7">
        <f>IF(X89="","",ROUND('Opening Balance'!$B$4+SUM($AC$2:AC89)-SUM($AD$2:AD89)+SUMPRODUCT(($Q$2:$Q$1501="Collection 收款")*($R$2:$R$1501="Cheque 支票")*($V$2:$V$1501&lt;&gt;"")*($V$2:$V$1501&lt;=X89)*($S$2:$S$1501-'Opening Balance'!$B$15*($R$2:$R$1501="Cheque 支票")*($S$2:$S$1501-TRUNC($S$2:$S$1501))))-'Opening Balance'!$B$15*SUMPRODUCT(($Z$2:Z89="Online collection 网上收款")*($AA$2:AA89&lt;&gt;"")*($AC$2:AC89-TRUNC($AC$2:AC89))),2))</f>
        <v/>
      </c>
    </row>
    <row r="90">
      <c r="A90" s="5" t="n"/>
      <c r="B90" s="6" t="n"/>
      <c r="C90" s="6" t="n"/>
      <c r="D90" s="6" t="n"/>
      <c r="E90" s="7">
        <f>IF(A90="","",SUMPRODUCT(('Daily Sale entry '!$O$2:$O$1501=A90)*('Daily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0" s="6" t="n"/>
      <c r="G90" s="6" t="n"/>
      <c r="H90" s="6" t="n"/>
      <c r="I90" s="8" t="n"/>
      <c r="J90" s="6" t="n"/>
      <c r="K90" s="6" t="n"/>
      <c r="L90" s="6" t="n"/>
      <c r="M90" s="6" t="n"/>
      <c r="O90" s="5" t="n"/>
      <c r="S90" s="6" t="n"/>
      <c r="V90" s="5" t="n"/>
      <c r="X90" s="5" t="n"/>
      <c r="AC90" s="6" t="n"/>
      <c r="AD90" s="6" t="n"/>
      <c r="AE90" s="7">
        <f>IF(X90="","",ROUND('Opening Balance'!$B$4+SUM($AC$2:AC90)-SUM($AD$2:AD90)+SUMPRODUCT(($Q$2:$Q$1501="Collection 收款")*($R$2:$R$1501="Cheque 支票")*($V$2:$V$1501&lt;&gt;"")*($V$2:$V$1501&lt;=X90)*($S$2:$S$1501-'Opening Balance'!$B$15*($R$2:$R$1501="Cheque 支票")*($S$2:$S$1501-TRUNC($S$2:$S$1501))))-'Opening Balance'!$B$15*SUMPRODUCT(($Z$2:Z90="Online collection 网上收款")*($AA$2:AA90&lt;&gt;"")*($AC$2:AC90-TRUNC($AC$2:AC90))),2))</f>
        <v/>
      </c>
    </row>
    <row r="91">
      <c r="A91" s="5" t="n"/>
      <c r="B91" s="6" t="n"/>
      <c r="C91" s="6" t="n"/>
      <c r="D91" s="6" t="n"/>
      <c r="E91" s="7">
        <f>IF(A91="","",SUMPRODUCT(('Daily Sale entry '!$O$2:$O$1501=A91)*('Daily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1" s="6" t="n"/>
      <c r="G91" s="6" t="n"/>
      <c r="H91" s="6" t="n"/>
      <c r="I91" s="8" t="n"/>
      <c r="J91" s="6" t="n"/>
      <c r="K91" s="6" t="n"/>
      <c r="L91" s="6" t="n"/>
      <c r="M91" s="6" t="n"/>
      <c r="O91" s="5" t="n"/>
      <c r="S91" s="6" t="n"/>
      <c r="V91" s="5" t="n"/>
      <c r="X91" s="5" t="n"/>
      <c r="AC91" s="6" t="n"/>
      <c r="AD91" s="6" t="n"/>
      <c r="AE91" s="7">
        <f>IF(X91="","",ROUND('Opening Balance'!$B$4+SUM($AC$2:AC91)-SUM($AD$2:AD91)+SUMPRODUCT(($Q$2:$Q$1501="Collection 收款")*($R$2:$R$1501="Cheque 支票")*($V$2:$V$1501&lt;&gt;"")*($V$2:$V$1501&lt;=X91)*($S$2:$S$1501-'Opening Balance'!$B$15*($R$2:$R$1501="Cheque 支票")*($S$2:$S$1501-TRUNC($S$2:$S$1501))))-'Opening Balance'!$B$15*SUMPRODUCT(($Z$2:Z91="Online collection 网上收款")*($AA$2:AA91&lt;&gt;"")*($AC$2:AC91-TRUNC($AC$2:AC91))),2))</f>
        <v/>
      </c>
    </row>
    <row r="92">
      <c r="A92" s="5" t="n"/>
      <c r="B92" s="6" t="n"/>
      <c r="C92" s="6" t="n"/>
      <c r="D92" s="6" t="n"/>
      <c r="E92" s="7">
        <f>IF(A92="","",SUMPRODUCT(('Daily Sale entry '!$O$2:$O$1501=A92)*('Daily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2" s="6" t="n"/>
      <c r="G92" s="6" t="n"/>
      <c r="H92" s="6" t="n"/>
      <c r="I92" s="8" t="n"/>
      <c r="J92" s="6" t="n"/>
      <c r="K92" s="6" t="n"/>
      <c r="L92" s="6" t="n"/>
      <c r="M92" s="6" t="n"/>
      <c r="O92" s="5" t="n"/>
      <c r="S92" s="6" t="n"/>
      <c r="V92" s="5" t="n"/>
      <c r="X92" s="5" t="n"/>
      <c r="AC92" s="6" t="n"/>
      <c r="AD92" s="6" t="n"/>
      <c r="AE92" s="7">
        <f>IF(X92="","",ROUND('Opening Balance'!$B$4+SUM($AC$2:AC92)-SUM($AD$2:AD92)+SUMPRODUCT(($Q$2:$Q$1501="Collection 收款")*($R$2:$R$1501="Cheque 支票")*($V$2:$V$1501&lt;&gt;"")*($V$2:$V$1501&lt;=X92)*($S$2:$S$1501-'Opening Balance'!$B$15*($R$2:$R$1501="Cheque 支票")*($S$2:$S$1501-TRUNC($S$2:$S$1501))))-'Opening Balance'!$B$15*SUMPRODUCT(($Z$2:Z92="Online collection 网上收款")*($AA$2:AA92&lt;&gt;"")*($AC$2:AC92-TRUNC($AC$2:AC92))),2))</f>
        <v/>
      </c>
    </row>
    <row r="93">
      <c r="A93" s="5" t="n"/>
      <c r="B93" s="6" t="n"/>
      <c r="C93" s="6" t="n"/>
      <c r="D93" s="6" t="n"/>
      <c r="E93" s="7">
        <f>IF(A93="","",SUMPRODUCT(('Daily Sale entry '!$O$2:$O$1501=A93)*('Daily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3" s="6" t="n"/>
      <c r="G93" s="6" t="n"/>
      <c r="H93" s="6" t="n"/>
      <c r="I93" s="8" t="n"/>
      <c r="J93" s="6" t="n"/>
      <c r="K93" s="6" t="n"/>
      <c r="L93" s="6" t="n"/>
      <c r="M93" s="6" t="n"/>
      <c r="O93" s="5" t="n"/>
      <c r="S93" s="6" t="n"/>
      <c r="V93" s="5" t="n"/>
      <c r="X93" s="5" t="n"/>
      <c r="AC93" s="6" t="n"/>
      <c r="AD93" s="6" t="n"/>
      <c r="AE93" s="7">
        <f>IF(X93="","",ROUND('Opening Balance'!$B$4+SUM($AC$2:AC93)-SUM($AD$2:AD93)+SUMPRODUCT(($Q$2:$Q$1501="Collection 收款")*($R$2:$R$1501="Cheque 支票")*($V$2:$V$1501&lt;&gt;"")*($V$2:$V$1501&lt;=X93)*($S$2:$S$1501-'Opening Balance'!$B$15*($R$2:$R$1501="Cheque 支票")*($S$2:$S$1501-TRUNC($S$2:$S$1501))))-'Opening Balance'!$B$15*SUMPRODUCT(($Z$2:Z93="Online collection 网上收款")*($AA$2:AA93&lt;&gt;"")*($AC$2:AC93-TRUNC($AC$2:AC93))),2))</f>
        <v/>
      </c>
    </row>
    <row r="94">
      <c r="A94" s="5" t="n"/>
      <c r="B94" s="6" t="n"/>
      <c r="C94" s="6" t="n"/>
      <c r="D94" s="6" t="n"/>
      <c r="E94" s="7">
        <f>IF(A94="","",SUMPRODUCT(('Daily Sale entry '!$O$2:$O$1501=A94)*('Daily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4" s="6" t="n"/>
      <c r="G94" s="6" t="n"/>
      <c r="H94" s="6" t="n"/>
      <c r="I94" s="8" t="n"/>
      <c r="J94" s="6" t="n"/>
      <c r="K94" s="6" t="n"/>
      <c r="L94" s="6" t="n"/>
      <c r="M94" s="6" t="n"/>
      <c r="O94" s="5" t="n"/>
      <c r="S94" s="6" t="n"/>
      <c r="V94" s="5" t="n"/>
      <c r="X94" s="5" t="n"/>
      <c r="AC94" s="6" t="n"/>
      <c r="AD94" s="6" t="n"/>
      <c r="AE94" s="7">
        <f>IF(X94="","",ROUND('Opening Balance'!$B$4+SUM($AC$2:AC94)-SUM($AD$2:AD94)+SUMPRODUCT(($Q$2:$Q$1501="Collection 收款")*($R$2:$R$1501="Cheque 支票")*($V$2:$V$1501&lt;&gt;"")*($V$2:$V$1501&lt;=X94)*($S$2:$S$1501-'Opening Balance'!$B$15*($R$2:$R$1501="Cheque 支票")*($S$2:$S$1501-TRUNC($S$2:$S$1501))))-'Opening Balance'!$B$15*SUMPRODUCT(($Z$2:Z94="Online collection 网上收款")*($AA$2:AA94&lt;&gt;"")*($AC$2:AC94-TRUNC($AC$2:AC94))),2))</f>
        <v/>
      </c>
    </row>
    <row r="95">
      <c r="A95" s="5" t="n"/>
      <c r="B95" s="6" t="n"/>
      <c r="C95" s="6" t="n"/>
      <c r="D95" s="6" t="n"/>
      <c r="E95" s="7">
        <f>IF(A95="","",SUMPRODUCT(('Daily Sale entry '!$O$2:$O$1501=A95)*('Daily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5" s="6" t="n"/>
      <c r="G95" s="6" t="n"/>
      <c r="H95" s="6" t="n"/>
      <c r="I95" s="8" t="n"/>
      <c r="J95" s="6" t="n"/>
      <c r="K95" s="6" t="n"/>
      <c r="L95" s="6" t="n"/>
      <c r="M95" s="6" t="n"/>
      <c r="O95" s="5" t="n"/>
      <c r="S95" s="6" t="n"/>
      <c r="V95" s="5" t="n"/>
      <c r="X95" s="5" t="n"/>
      <c r="AC95" s="6" t="n"/>
      <c r="AD95" s="6" t="n"/>
      <c r="AE95" s="7">
        <f>IF(X95="","",ROUND('Opening Balance'!$B$4+SUM($AC$2:AC95)-SUM($AD$2:AD95)+SUMPRODUCT(($Q$2:$Q$1501="Collection 收款")*($R$2:$R$1501="Cheque 支票")*($V$2:$V$1501&lt;&gt;"")*($V$2:$V$1501&lt;=X95)*($S$2:$S$1501-'Opening Balance'!$B$15*($R$2:$R$1501="Cheque 支票")*($S$2:$S$1501-TRUNC($S$2:$S$1501))))-'Opening Balance'!$B$15*SUMPRODUCT(($Z$2:Z95="Online collection 网上收款")*($AA$2:AA95&lt;&gt;"")*($AC$2:AC95-TRUNC($AC$2:AC95))),2))</f>
        <v/>
      </c>
    </row>
    <row r="96">
      <c r="A96" s="5" t="n"/>
      <c r="B96" s="6" t="n"/>
      <c r="C96" s="6" t="n"/>
      <c r="D96" s="6" t="n"/>
      <c r="E96" s="7">
        <f>IF(A96="","",SUMPRODUCT(('Daily Sale entry '!$O$2:$O$1501=A96)*('Daily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6" s="6" t="n"/>
      <c r="G96" s="6" t="n"/>
      <c r="H96" s="6" t="n"/>
      <c r="I96" s="8" t="n"/>
      <c r="J96" s="6" t="n"/>
      <c r="K96" s="6" t="n"/>
      <c r="L96" s="6" t="n"/>
      <c r="M96" s="6" t="n"/>
      <c r="O96" s="5" t="n"/>
      <c r="S96" s="6" t="n"/>
      <c r="V96" s="5" t="n"/>
      <c r="X96" s="5" t="n"/>
      <c r="AC96" s="6" t="n"/>
      <c r="AD96" s="6" t="n"/>
      <c r="AE96" s="7">
        <f>IF(X96="","",ROUND('Opening Balance'!$B$4+SUM($AC$2:AC96)-SUM($AD$2:AD96)+SUMPRODUCT(($Q$2:$Q$1501="Collection 收款")*($R$2:$R$1501="Cheque 支票")*($V$2:$V$1501&lt;&gt;"")*($V$2:$V$1501&lt;=X96)*($S$2:$S$1501-'Opening Balance'!$B$15*($R$2:$R$1501="Cheque 支票")*($S$2:$S$1501-TRUNC($S$2:$S$1501))))-'Opening Balance'!$B$15*SUMPRODUCT(($Z$2:Z96="Online collection 网上收款")*($AA$2:AA96&lt;&gt;"")*($AC$2:AC96-TRUNC($AC$2:AC96))),2))</f>
        <v/>
      </c>
    </row>
    <row r="97">
      <c r="A97" s="5" t="n"/>
      <c r="B97" s="6" t="n"/>
      <c r="C97" s="6" t="n"/>
      <c r="D97" s="6" t="n"/>
      <c r="E97" s="7">
        <f>IF(A97="","",SUMPRODUCT(('Daily Sale entry '!$O$2:$O$1501=A97)*('Daily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7" s="6" t="n"/>
      <c r="G97" s="6" t="n"/>
      <c r="H97" s="6" t="n"/>
      <c r="I97" s="8" t="n"/>
      <c r="J97" s="6" t="n"/>
      <c r="K97" s="6" t="n"/>
      <c r="L97" s="6" t="n"/>
      <c r="M97" s="6" t="n"/>
      <c r="O97" s="5" t="n"/>
      <c r="S97" s="6" t="n"/>
      <c r="V97" s="5" t="n"/>
      <c r="X97" s="5" t="n"/>
      <c r="AC97" s="6" t="n"/>
      <c r="AD97" s="6" t="n"/>
      <c r="AE97" s="7">
        <f>IF(X97="","",ROUND('Opening Balance'!$B$4+SUM($AC$2:AC97)-SUM($AD$2:AD97)+SUMPRODUCT(($Q$2:$Q$1501="Collection 收款")*($R$2:$R$1501="Cheque 支票")*($V$2:$V$1501&lt;&gt;"")*($V$2:$V$1501&lt;=X97)*($S$2:$S$1501-'Opening Balance'!$B$15*($R$2:$R$1501="Cheque 支票")*($S$2:$S$1501-TRUNC($S$2:$S$1501))))-'Opening Balance'!$B$15*SUMPRODUCT(($Z$2:Z97="Online collection 网上收款")*($AA$2:AA97&lt;&gt;"")*($AC$2:AC97-TRUNC($AC$2:AC97))),2))</f>
        <v/>
      </c>
    </row>
    <row r="98">
      <c r="A98" s="5" t="n"/>
      <c r="B98" s="6" t="n"/>
      <c r="C98" s="6" t="n"/>
      <c r="D98" s="6" t="n"/>
      <c r="E98" s="7">
        <f>IF(A98="","",SUMPRODUCT(('Daily Sale entry '!$O$2:$O$1501=A98)*('Daily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8" s="6" t="n"/>
      <c r="G98" s="6" t="n"/>
      <c r="H98" s="6" t="n"/>
      <c r="I98" s="8" t="n"/>
      <c r="J98" s="6" t="n"/>
      <c r="K98" s="6" t="n"/>
      <c r="L98" s="6" t="n"/>
      <c r="M98" s="6" t="n"/>
      <c r="O98" s="5" t="n"/>
      <c r="S98" s="6" t="n"/>
      <c r="V98" s="5" t="n"/>
      <c r="X98" s="5" t="n"/>
      <c r="AC98" s="6" t="n"/>
      <c r="AD98" s="6" t="n"/>
      <c r="AE98" s="7">
        <f>IF(X98="","",ROUND('Opening Balance'!$B$4+SUM($AC$2:AC98)-SUM($AD$2:AD98)+SUMPRODUCT(($Q$2:$Q$1501="Collection 收款")*($R$2:$R$1501="Cheque 支票")*($V$2:$V$1501&lt;&gt;"")*($V$2:$V$1501&lt;=X98)*($S$2:$S$1501-'Opening Balance'!$B$15*($R$2:$R$1501="Cheque 支票")*($S$2:$S$1501-TRUNC($S$2:$S$1501))))-'Opening Balance'!$B$15*SUMPRODUCT(($Z$2:Z98="Online collection 网上收款")*($AA$2:AA98&lt;&gt;"")*($AC$2:AC98-TRUNC($AC$2:AC98))),2))</f>
        <v/>
      </c>
    </row>
    <row r="99">
      <c r="A99" s="5" t="n"/>
      <c r="B99" s="6" t="n"/>
      <c r="C99" s="6" t="n"/>
      <c r="D99" s="6" t="n"/>
      <c r="E99" s="7">
        <f>IF(A99="","",SUMPRODUCT(('Daily Sale entry '!$O$2:$O$1501=A99)*('Daily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99" s="6" t="n"/>
      <c r="G99" s="6" t="n"/>
      <c r="H99" s="6" t="n"/>
      <c r="I99" s="8" t="n"/>
      <c r="J99" s="6" t="n"/>
      <c r="K99" s="6" t="n"/>
      <c r="L99" s="6" t="n"/>
      <c r="M99" s="6" t="n"/>
      <c r="O99" s="5" t="n"/>
      <c r="S99" s="6" t="n"/>
      <c r="V99" s="5" t="n"/>
      <c r="X99" s="5" t="n"/>
      <c r="AC99" s="6" t="n"/>
      <c r="AD99" s="6" t="n"/>
      <c r="AE99" s="7">
        <f>IF(X99="","",ROUND('Opening Balance'!$B$4+SUM($AC$2:AC99)-SUM($AD$2:AD99)+SUMPRODUCT(($Q$2:$Q$1501="Collection 收款")*($R$2:$R$1501="Cheque 支票")*($V$2:$V$1501&lt;&gt;"")*($V$2:$V$1501&lt;=X99)*($S$2:$S$1501-'Opening Balance'!$B$15*($R$2:$R$1501="Cheque 支票")*($S$2:$S$1501-TRUNC($S$2:$S$1501))))-'Opening Balance'!$B$15*SUMPRODUCT(($Z$2:Z99="Online collection 网上收款")*($AA$2:AA99&lt;&gt;"")*($AC$2:AC99-TRUNC($AC$2:AC99))),2))</f>
        <v/>
      </c>
    </row>
    <row r="100">
      <c r="A100" s="5" t="n"/>
      <c r="B100" s="6" t="n"/>
      <c r="C100" s="6" t="n"/>
      <c r="D100" s="6" t="n"/>
      <c r="E100" s="7">
        <f>IF(A100="","",SUMPRODUCT(('Daily Sale entry '!$O$2:$O$1501=A100)*('Daily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0" s="6" t="n"/>
      <c r="G100" s="6" t="n"/>
      <c r="H100" s="6" t="n"/>
      <c r="I100" s="8" t="n"/>
      <c r="J100" s="6" t="n"/>
      <c r="K100" s="6" t="n"/>
      <c r="L100" s="6" t="n"/>
      <c r="M100" s="6" t="n"/>
      <c r="O100" s="5" t="n"/>
      <c r="S100" s="6" t="n"/>
      <c r="V100" s="5" t="n"/>
      <c r="X100" s="5" t="n"/>
      <c r="AC100" s="6" t="n"/>
      <c r="AD100" s="6" t="n"/>
      <c r="AE100" s="7">
        <f>IF(X100="","",ROUND('Opening Balance'!$B$4+SUM($AC$2:AC100)-SUM($AD$2:AD100)+SUMPRODUCT(($Q$2:$Q$1501="Collection 收款")*($R$2:$R$1501="Cheque 支票")*($V$2:$V$1501&lt;&gt;"")*($V$2:$V$1501&lt;=X100)*($S$2:$S$1501-'Opening Balance'!$B$15*($R$2:$R$1501="Cheque 支票")*($S$2:$S$1501-TRUNC($S$2:$S$1501))))-'Opening Balance'!$B$15*SUMPRODUCT(($Z$2:Z100="Online collection 网上收款")*($AA$2:AA100&lt;&gt;"")*($AC$2:AC100-TRUNC($AC$2:AC100))),2))</f>
        <v/>
      </c>
    </row>
    <row r="101">
      <c r="A101" s="5" t="n"/>
      <c r="B101" s="6" t="n"/>
      <c r="C101" s="6" t="n"/>
      <c r="D101" s="6" t="n"/>
      <c r="E101" s="7">
        <f>IF(A101="","",SUMPRODUCT(('Daily Sale entry '!$O$2:$O$1501=A101)*('Daily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1" s="6" t="n"/>
      <c r="G101" s="6" t="n"/>
      <c r="H101" s="6" t="n"/>
      <c r="I101" s="8" t="n"/>
      <c r="J101" s="6" t="n"/>
      <c r="K101" s="6" t="n"/>
      <c r="L101" s="6" t="n"/>
      <c r="M101" s="6" t="n"/>
      <c r="O101" s="5" t="n"/>
      <c r="S101" s="6" t="n"/>
      <c r="V101" s="5" t="n"/>
      <c r="X101" s="5" t="n"/>
      <c r="AC101" s="6" t="n"/>
      <c r="AD101" s="6" t="n"/>
      <c r="AE101" s="7">
        <f>IF(X101="","",ROUND('Opening Balance'!$B$4+SUM($AC$2:AC101)-SUM($AD$2:AD101)+SUMPRODUCT(($Q$2:$Q$1501="Collection 收款")*($R$2:$R$1501="Cheque 支票")*($V$2:$V$1501&lt;&gt;"")*($V$2:$V$1501&lt;=X101)*($S$2:$S$1501-'Opening Balance'!$B$15*($R$2:$R$1501="Cheque 支票")*($S$2:$S$1501-TRUNC($S$2:$S$1501))))-'Opening Balance'!$B$15*SUMPRODUCT(($Z$2:Z101="Online collection 网上收款")*($AA$2:AA101&lt;&gt;"")*($AC$2:AC101-TRUNC($AC$2:AC101))),2))</f>
        <v/>
      </c>
    </row>
    <row r="102">
      <c r="A102" s="5" t="n"/>
      <c r="B102" s="6" t="n"/>
      <c r="C102" s="6" t="n"/>
      <c r="D102" s="6" t="n"/>
      <c r="E102" s="7">
        <f>IF(A102="","",SUMPRODUCT(('Daily Sale entry '!$O$2:$O$1501=A102)*('Daily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2" s="6" t="n"/>
      <c r="G102" s="6" t="n"/>
      <c r="H102" s="6" t="n"/>
      <c r="I102" s="8" t="n"/>
      <c r="J102" s="6" t="n"/>
      <c r="K102" s="6" t="n"/>
      <c r="L102" s="6" t="n"/>
      <c r="M102" s="6" t="n"/>
      <c r="O102" s="5" t="n"/>
      <c r="S102" s="6" t="n"/>
      <c r="V102" s="5" t="n"/>
      <c r="X102" s="5" t="n"/>
      <c r="AC102" s="6" t="n"/>
      <c r="AD102" s="6" t="n"/>
      <c r="AE102" s="7">
        <f>IF(X102="","",ROUND('Opening Balance'!$B$4+SUM($AC$2:AC102)-SUM($AD$2:AD102)+SUMPRODUCT(($Q$2:$Q$1501="Collection 收款")*($R$2:$R$1501="Cheque 支票")*($V$2:$V$1501&lt;&gt;"")*($V$2:$V$1501&lt;=X102)*($S$2:$S$1501-'Opening Balance'!$B$15*($R$2:$R$1501="Cheque 支票")*($S$2:$S$1501-TRUNC($S$2:$S$1501))))-'Opening Balance'!$B$15*SUMPRODUCT(($Z$2:Z102="Online collection 网上收款")*($AA$2:AA102&lt;&gt;"")*($AC$2:AC102-TRUNC($AC$2:AC102))),2))</f>
        <v/>
      </c>
    </row>
    <row r="103">
      <c r="A103" s="5" t="n"/>
      <c r="B103" s="6" t="n"/>
      <c r="C103" s="6" t="n"/>
      <c r="D103" s="6" t="n"/>
      <c r="E103" s="7">
        <f>IF(A103="","",SUMPRODUCT(('Daily Sale entry '!$O$2:$O$1501=A103)*('Daily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3" s="6" t="n"/>
      <c r="G103" s="6" t="n"/>
      <c r="H103" s="6" t="n"/>
      <c r="I103" s="8" t="n"/>
      <c r="J103" s="6" t="n"/>
      <c r="K103" s="6" t="n"/>
      <c r="L103" s="6" t="n"/>
      <c r="M103" s="6" t="n"/>
      <c r="O103" s="5" t="n"/>
      <c r="S103" s="6" t="n"/>
      <c r="V103" s="5" t="n"/>
      <c r="X103" s="5" t="n"/>
      <c r="AC103" s="6" t="n"/>
      <c r="AD103" s="6" t="n"/>
      <c r="AE103" s="7">
        <f>IF(X103="","",ROUND('Opening Balance'!$B$4+SUM($AC$2:AC103)-SUM($AD$2:AD103)+SUMPRODUCT(($Q$2:$Q$1501="Collection 收款")*($R$2:$R$1501="Cheque 支票")*($V$2:$V$1501&lt;&gt;"")*($V$2:$V$1501&lt;=X103)*($S$2:$S$1501-'Opening Balance'!$B$15*($R$2:$R$1501="Cheque 支票")*($S$2:$S$1501-TRUNC($S$2:$S$1501))))-'Opening Balance'!$B$15*SUMPRODUCT(($Z$2:Z103="Online collection 网上收款")*($AA$2:AA103&lt;&gt;"")*($AC$2:AC103-TRUNC($AC$2:AC103))),2))</f>
        <v/>
      </c>
    </row>
    <row r="104">
      <c r="A104" s="5" t="n"/>
      <c r="B104" s="6" t="n"/>
      <c r="C104" s="6" t="n"/>
      <c r="D104" s="6" t="n"/>
      <c r="E104" s="7">
        <f>IF(A104="","",SUMPRODUCT(('Daily Sale entry '!$O$2:$O$1501=A104)*('Daily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4" s="6" t="n"/>
      <c r="G104" s="6" t="n"/>
      <c r="H104" s="6" t="n"/>
      <c r="I104" s="8" t="n"/>
      <c r="J104" s="6" t="n"/>
      <c r="K104" s="6" t="n"/>
      <c r="L104" s="6" t="n"/>
      <c r="M104" s="6" t="n"/>
      <c r="O104" s="5" t="n"/>
      <c r="S104" s="6" t="n"/>
      <c r="V104" s="5" t="n"/>
      <c r="X104" s="5" t="n"/>
      <c r="AC104" s="6" t="n"/>
      <c r="AD104" s="6" t="n"/>
      <c r="AE104" s="7">
        <f>IF(X104="","",ROUND('Opening Balance'!$B$4+SUM($AC$2:AC104)-SUM($AD$2:AD104)+SUMPRODUCT(($Q$2:$Q$1501="Collection 收款")*($R$2:$R$1501="Cheque 支票")*($V$2:$V$1501&lt;&gt;"")*($V$2:$V$1501&lt;=X104)*($S$2:$S$1501-'Opening Balance'!$B$15*($R$2:$R$1501="Cheque 支票")*($S$2:$S$1501-TRUNC($S$2:$S$1501))))-'Opening Balance'!$B$15*SUMPRODUCT(($Z$2:Z104="Online collection 网上收款")*($AA$2:AA104&lt;&gt;"")*($AC$2:AC104-TRUNC($AC$2:AC104))),2))</f>
        <v/>
      </c>
    </row>
    <row r="105">
      <c r="A105" s="5" t="n"/>
      <c r="B105" s="6" t="n"/>
      <c r="C105" s="6" t="n"/>
      <c r="D105" s="6" t="n"/>
      <c r="E105" s="7">
        <f>IF(A105="","",SUMPRODUCT(('Daily Sale entry '!$O$2:$O$1501=A105)*('Daily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5" s="6" t="n"/>
      <c r="G105" s="6" t="n"/>
      <c r="H105" s="6" t="n"/>
      <c r="I105" s="8" t="n"/>
      <c r="J105" s="6" t="n"/>
      <c r="K105" s="6" t="n"/>
      <c r="L105" s="6" t="n"/>
      <c r="M105" s="6" t="n"/>
      <c r="O105" s="5" t="n"/>
      <c r="S105" s="6" t="n"/>
      <c r="V105" s="5" t="n"/>
      <c r="X105" s="5" t="n"/>
      <c r="AC105" s="6" t="n"/>
      <c r="AD105" s="6" t="n"/>
      <c r="AE105" s="7">
        <f>IF(X105="","",ROUND('Opening Balance'!$B$4+SUM($AC$2:AC105)-SUM($AD$2:AD105)+SUMPRODUCT(($Q$2:$Q$1501="Collection 收款")*($R$2:$R$1501="Cheque 支票")*($V$2:$V$1501&lt;&gt;"")*($V$2:$V$1501&lt;=X105)*($S$2:$S$1501-'Opening Balance'!$B$15*($R$2:$R$1501="Cheque 支票")*($S$2:$S$1501-TRUNC($S$2:$S$1501))))-'Opening Balance'!$B$15*SUMPRODUCT(($Z$2:Z105="Online collection 网上收款")*($AA$2:AA105&lt;&gt;"")*($AC$2:AC105-TRUNC($AC$2:AC105))),2))</f>
        <v/>
      </c>
    </row>
    <row r="106">
      <c r="A106" s="5" t="n"/>
      <c r="B106" s="6" t="n"/>
      <c r="C106" s="6" t="n"/>
      <c r="D106" s="6" t="n"/>
      <c r="E106" s="7">
        <f>IF(A106="","",SUMPRODUCT(('Daily Sale entry '!$O$2:$O$1501=A106)*('Daily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6" s="6" t="n"/>
      <c r="G106" s="6" t="n"/>
      <c r="H106" s="6" t="n"/>
      <c r="I106" s="8" t="n"/>
      <c r="J106" s="6" t="n"/>
      <c r="K106" s="6" t="n"/>
      <c r="L106" s="6" t="n"/>
      <c r="M106" s="6" t="n"/>
      <c r="O106" s="5" t="n"/>
      <c r="S106" s="6" t="n"/>
      <c r="V106" s="5" t="n"/>
      <c r="X106" s="5" t="n"/>
      <c r="AC106" s="6" t="n"/>
      <c r="AD106" s="6" t="n"/>
      <c r="AE106" s="7">
        <f>IF(X106="","",ROUND('Opening Balance'!$B$4+SUM($AC$2:AC106)-SUM($AD$2:AD106)+SUMPRODUCT(($Q$2:$Q$1501="Collection 收款")*($R$2:$R$1501="Cheque 支票")*($V$2:$V$1501&lt;&gt;"")*($V$2:$V$1501&lt;=X106)*($S$2:$S$1501-'Opening Balance'!$B$15*($R$2:$R$1501="Cheque 支票")*($S$2:$S$1501-TRUNC($S$2:$S$1501))))-'Opening Balance'!$B$15*SUMPRODUCT(($Z$2:Z106="Online collection 网上收款")*($AA$2:AA106&lt;&gt;"")*($AC$2:AC106-TRUNC($AC$2:AC106))),2))</f>
        <v/>
      </c>
    </row>
    <row r="107">
      <c r="A107" s="5" t="n"/>
      <c r="B107" s="6" t="n"/>
      <c r="C107" s="6" t="n"/>
      <c r="D107" s="6" t="n"/>
      <c r="E107" s="7">
        <f>IF(A107="","",SUMPRODUCT(('Daily Sale entry '!$O$2:$O$1501=A107)*('Daily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7" s="6" t="n"/>
      <c r="G107" s="6" t="n"/>
      <c r="H107" s="6" t="n"/>
      <c r="I107" s="8" t="n"/>
      <c r="J107" s="6" t="n"/>
      <c r="K107" s="6" t="n"/>
      <c r="L107" s="6" t="n"/>
      <c r="M107" s="6" t="n"/>
      <c r="O107" s="5" t="n"/>
      <c r="S107" s="6" t="n"/>
      <c r="V107" s="5" t="n"/>
      <c r="X107" s="5" t="n"/>
      <c r="AC107" s="6" t="n"/>
      <c r="AD107" s="6" t="n"/>
      <c r="AE107" s="7">
        <f>IF(X107="","",ROUND('Opening Balance'!$B$4+SUM($AC$2:AC107)-SUM($AD$2:AD107)+SUMPRODUCT(($Q$2:$Q$1501="Collection 收款")*($R$2:$R$1501="Cheque 支票")*($V$2:$V$1501&lt;&gt;"")*($V$2:$V$1501&lt;=X107)*($S$2:$S$1501-'Opening Balance'!$B$15*($R$2:$R$1501="Cheque 支票")*($S$2:$S$1501-TRUNC($S$2:$S$1501))))-'Opening Balance'!$B$15*SUMPRODUCT(($Z$2:Z107="Online collection 网上收款")*($AA$2:AA107&lt;&gt;"")*($AC$2:AC107-TRUNC($AC$2:AC107))),2))</f>
        <v/>
      </c>
    </row>
    <row r="108">
      <c r="A108" s="5" t="n"/>
      <c r="B108" s="6" t="n"/>
      <c r="C108" s="6" t="n"/>
      <c r="D108" s="6" t="n"/>
      <c r="E108" s="7">
        <f>IF(A108="","",SUMPRODUCT(('Daily Sale entry '!$O$2:$O$1501=A108)*('Daily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8" s="6" t="n"/>
      <c r="G108" s="6" t="n"/>
      <c r="H108" s="6" t="n"/>
      <c r="I108" s="8" t="n"/>
      <c r="J108" s="6" t="n"/>
      <c r="K108" s="6" t="n"/>
      <c r="L108" s="6" t="n"/>
      <c r="M108" s="6" t="n"/>
      <c r="O108" s="5" t="n"/>
      <c r="S108" s="6" t="n"/>
      <c r="V108" s="5" t="n"/>
      <c r="X108" s="5" t="n"/>
      <c r="AC108" s="6" t="n"/>
      <c r="AD108" s="6" t="n"/>
      <c r="AE108" s="7">
        <f>IF(X108="","",ROUND('Opening Balance'!$B$4+SUM($AC$2:AC108)-SUM($AD$2:AD108)+SUMPRODUCT(($Q$2:$Q$1501="Collection 收款")*($R$2:$R$1501="Cheque 支票")*($V$2:$V$1501&lt;&gt;"")*($V$2:$V$1501&lt;=X108)*($S$2:$S$1501-'Opening Balance'!$B$15*($R$2:$R$1501="Cheque 支票")*($S$2:$S$1501-TRUNC($S$2:$S$1501))))-'Opening Balance'!$B$15*SUMPRODUCT(($Z$2:Z108="Online collection 网上收款")*($AA$2:AA108&lt;&gt;"")*($AC$2:AC108-TRUNC($AC$2:AC108))),2))</f>
        <v/>
      </c>
    </row>
    <row r="109">
      <c r="A109" s="5" t="n"/>
      <c r="B109" s="6" t="n"/>
      <c r="C109" s="6" t="n"/>
      <c r="D109" s="6" t="n"/>
      <c r="E109" s="7">
        <f>IF(A109="","",SUMPRODUCT(('Daily Sale entry '!$O$2:$O$1501=A109)*('Daily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09" s="6" t="n"/>
      <c r="G109" s="6" t="n"/>
      <c r="H109" s="6" t="n"/>
      <c r="I109" s="8" t="n"/>
      <c r="J109" s="6" t="n"/>
      <c r="K109" s="6" t="n"/>
      <c r="L109" s="6" t="n"/>
      <c r="M109" s="6" t="n"/>
      <c r="O109" s="5" t="n"/>
      <c r="S109" s="6" t="n"/>
      <c r="V109" s="5" t="n"/>
      <c r="X109" s="5" t="n"/>
      <c r="AC109" s="6" t="n"/>
      <c r="AD109" s="6" t="n"/>
      <c r="AE109" s="7">
        <f>IF(X109="","",ROUND('Opening Balance'!$B$4+SUM($AC$2:AC109)-SUM($AD$2:AD109)+SUMPRODUCT(($Q$2:$Q$1501="Collection 收款")*($R$2:$R$1501="Cheque 支票")*($V$2:$V$1501&lt;&gt;"")*($V$2:$V$1501&lt;=X109)*($S$2:$S$1501-'Opening Balance'!$B$15*($R$2:$R$1501="Cheque 支票")*($S$2:$S$1501-TRUNC($S$2:$S$1501))))-'Opening Balance'!$B$15*SUMPRODUCT(($Z$2:Z109="Online collection 网上收款")*($AA$2:AA109&lt;&gt;"")*($AC$2:AC109-TRUNC($AC$2:AC109))),2))</f>
        <v/>
      </c>
    </row>
    <row r="110">
      <c r="A110" s="5" t="n"/>
      <c r="B110" s="6" t="n"/>
      <c r="C110" s="6" t="n"/>
      <c r="D110" s="6" t="n"/>
      <c r="E110" s="7">
        <f>IF(A110="","",SUMPRODUCT(('Daily Sale entry '!$O$2:$O$1501=A110)*('Daily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0" s="6" t="n"/>
      <c r="G110" s="6" t="n"/>
      <c r="H110" s="6" t="n"/>
      <c r="I110" s="8" t="n"/>
      <c r="J110" s="6" t="n"/>
      <c r="K110" s="6" t="n"/>
      <c r="L110" s="6" t="n"/>
      <c r="M110" s="6" t="n"/>
      <c r="O110" s="5" t="n"/>
      <c r="S110" s="6" t="n"/>
      <c r="V110" s="5" t="n"/>
      <c r="X110" s="5" t="n"/>
      <c r="AC110" s="6" t="n"/>
      <c r="AD110" s="6" t="n"/>
      <c r="AE110" s="7">
        <f>IF(X110="","",ROUND('Opening Balance'!$B$4+SUM($AC$2:AC110)-SUM($AD$2:AD110)+SUMPRODUCT(($Q$2:$Q$1501="Collection 收款")*($R$2:$R$1501="Cheque 支票")*($V$2:$V$1501&lt;&gt;"")*($V$2:$V$1501&lt;=X110)*($S$2:$S$1501-'Opening Balance'!$B$15*($R$2:$R$1501="Cheque 支票")*($S$2:$S$1501-TRUNC($S$2:$S$1501))))-'Opening Balance'!$B$15*SUMPRODUCT(($Z$2:Z110="Online collection 网上收款")*($AA$2:AA110&lt;&gt;"")*($AC$2:AC110-TRUNC($AC$2:AC110))),2))</f>
        <v/>
      </c>
    </row>
    <row r="111">
      <c r="A111" s="5" t="n"/>
      <c r="B111" s="6" t="n"/>
      <c r="C111" s="6" t="n"/>
      <c r="D111" s="6" t="n"/>
      <c r="E111" s="7">
        <f>IF(A111="","",SUMPRODUCT(('Daily Sale entry '!$O$2:$O$1501=A111)*('Daily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1" s="6" t="n"/>
      <c r="G111" s="6" t="n"/>
      <c r="H111" s="6" t="n"/>
      <c r="I111" s="8" t="n"/>
      <c r="J111" s="6" t="n"/>
      <c r="K111" s="6" t="n"/>
      <c r="L111" s="6" t="n"/>
      <c r="M111" s="6" t="n"/>
      <c r="O111" s="5" t="n"/>
      <c r="S111" s="6" t="n"/>
      <c r="V111" s="5" t="n"/>
      <c r="X111" s="5" t="n"/>
      <c r="AC111" s="6" t="n"/>
      <c r="AD111" s="6" t="n"/>
      <c r="AE111" s="7">
        <f>IF(X111="","",ROUND('Opening Balance'!$B$4+SUM($AC$2:AC111)-SUM($AD$2:AD111)+SUMPRODUCT(($Q$2:$Q$1501="Collection 收款")*($R$2:$R$1501="Cheque 支票")*($V$2:$V$1501&lt;&gt;"")*($V$2:$V$1501&lt;=X111)*($S$2:$S$1501-'Opening Balance'!$B$15*($R$2:$R$1501="Cheque 支票")*($S$2:$S$1501-TRUNC($S$2:$S$1501))))-'Opening Balance'!$B$15*SUMPRODUCT(($Z$2:Z111="Online collection 网上收款")*($AA$2:AA111&lt;&gt;"")*($AC$2:AC111-TRUNC($AC$2:AC111))),2))</f>
        <v/>
      </c>
    </row>
    <row r="112">
      <c r="A112" s="5" t="n"/>
      <c r="B112" s="6" t="n"/>
      <c r="C112" s="6" t="n"/>
      <c r="D112" s="6" t="n"/>
      <c r="E112" s="7">
        <f>IF(A112="","",SUMPRODUCT(('Daily Sale entry '!$O$2:$O$1501=A112)*('Daily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2" s="6" t="n"/>
      <c r="G112" s="6" t="n"/>
      <c r="H112" s="6" t="n"/>
      <c r="I112" s="8" t="n"/>
      <c r="J112" s="6" t="n"/>
      <c r="K112" s="6" t="n"/>
      <c r="L112" s="6" t="n"/>
      <c r="M112" s="6" t="n"/>
      <c r="O112" s="5" t="n"/>
      <c r="S112" s="6" t="n"/>
      <c r="V112" s="5" t="n"/>
      <c r="X112" s="5" t="n"/>
      <c r="AC112" s="6" t="n"/>
      <c r="AD112" s="6" t="n"/>
      <c r="AE112" s="7">
        <f>IF(X112="","",ROUND('Opening Balance'!$B$4+SUM($AC$2:AC112)-SUM($AD$2:AD112)+SUMPRODUCT(($Q$2:$Q$1501="Collection 收款")*($R$2:$R$1501="Cheque 支票")*($V$2:$V$1501&lt;&gt;"")*($V$2:$V$1501&lt;=X112)*($S$2:$S$1501-'Opening Balance'!$B$15*($R$2:$R$1501="Cheque 支票")*($S$2:$S$1501-TRUNC($S$2:$S$1501))))-'Opening Balance'!$B$15*SUMPRODUCT(($Z$2:Z112="Online collection 网上收款")*($AA$2:AA112&lt;&gt;"")*($AC$2:AC112-TRUNC($AC$2:AC112))),2))</f>
        <v/>
      </c>
    </row>
    <row r="113">
      <c r="A113" s="5" t="n"/>
      <c r="B113" s="6" t="n"/>
      <c r="C113" s="6" t="n"/>
      <c r="D113" s="6" t="n"/>
      <c r="E113" s="7">
        <f>IF(A113="","",SUMPRODUCT(('Daily Sale entry '!$O$2:$O$1501=A113)*('Daily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3" s="6" t="n"/>
      <c r="G113" s="6" t="n"/>
      <c r="H113" s="6" t="n"/>
      <c r="I113" s="8" t="n"/>
      <c r="J113" s="6" t="n"/>
      <c r="K113" s="6" t="n"/>
      <c r="L113" s="6" t="n"/>
      <c r="M113" s="6" t="n"/>
      <c r="O113" s="5" t="n"/>
      <c r="S113" s="6" t="n"/>
      <c r="V113" s="5" t="n"/>
      <c r="X113" s="5" t="n"/>
      <c r="AC113" s="6" t="n"/>
      <c r="AD113" s="6" t="n"/>
      <c r="AE113" s="7">
        <f>IF(X113="","",ROUND('Opening Balance'!$B$4+SUM($AC$2:AC113)-SUM($AD$2:AD113)+SUMPRODUCT(($Q$2:$Q$1501="Collection 收款")*($R$2:$R$1501="Cheque 支票")*($V$2:$V$1501&lt;&gt;"")*($V$2:$V$1501&lt;=X113)*($S$2:$S$1501-'Opening Balance'!$B$15*($R$2:$R$1501="Cheque 支票")*($S$2:$S$1501-TRUNC($S$2:$S$1501))))-'Opening Balance'!$B$15*SUMPRODUCT(($Z$2:Z113="Online collection 网上收款")*($AA$2:AA113&lt;&gt;"")*($AC$2:AC113-TRUNC($AC$2:AC113))),2))</f>
        <v/>
      </c>
    </row>
    <row r="114">
      <c r="A114" s="5" t="n"/>
      <c r="B114" s="6" t="n"/>
      <c r="C114" s="6" t="n"/>
      <c r="D114" s="6" t="n"/>
      <c r="E114" s="7">
        <f>IF(A114="","",SUMPRODUCT(('Daily Sale entry '!$O$2:$O$1501=A114)*('Daily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4" s="6" t="n"/>
      <c r="G114" s="6" t="n"/>
      <c r="H114" s="6" t="n"/>
      <c r="I114" s="8" t="n"/>
      <c r="J114" s="6" t="n"/>
      <c r="K114" s="6" t="n"/>
      <c r="L114" s="6" t="n"/>
      <c r="M114" s="6" t="n"/>
      <c r="O114" s="5" t="n"/>
      <c r="S114" s="6" t="n"/>
      <c r="V114" s="5" t="n"/>
      <c r="X114" s="5" t="n"/>
      <c r="AC114" s="6" t="n"/>
      <c r="AD114" s="6" t="n"/>
      <c r="AE114" s="7">
        <f>IF(X114="","",ROUND('Opening Balance'!$B$4+SUM($AC$2:AC114)-SUM($AD$2:AD114)+SUMPRODUCT(($Q$2:$Q$1501="Collection 收款")*($R$2:$R$1501="Cheque 支票")*($V$2:$V$1501&lt;&gt;"")*($V$2:$V$1501&lt;=X114)*($S$2:$S$1501-'Opening Balance'!$B$15*($R$2:$R$1501="Cheque 支票")*($S$2:$S$1501-TRUNC($S$2:$S$1501))))-'Opening Balance'!$B$15*SUMPRODUCT(($Z$2:Z114="Online collection 网上收款")*($AA$2:AA114&lt;&gt;"")*($AC$2:AC114-TRUNC($AC$2:AC114))),2))</f>
        <v/>
      </c>
    </row>
    <row r="115">
      <c r="A115" s="5" t="n"/>
      <c r="B115" s="6" t="n"/>
      <c r="C115" s="6" t="n"/>
      <c r="D115" s="6" t="n"/>
      <c r="E115" s="7">
        <f>IF(A115="","",SUMPRODUCT(('Daily Sale entry '!$O$2:$O$1501=A115)*('Daily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5" s="6" t="n"/>
      <c r="G115" s="6" t="n"/>
      <c r="H115" s="6" t="n"/>
      <c r="I115" s="8" t="n"/>
      <c r="J115" s="6" t="n"/>
      <c r="K115" s="6" t="n"/>
      <c r="L115" s="6" t="n"/>
      <c r="M115" s="6" t="n"/>
      <c r="O115" s="5" t="n"/>
      <c r="S115" s="6" t="n"/>
      <c r="V115" s="5" t="n"/>
      <c r="X115" s="5" t="n"/>
      <c r="AC115" s="6" t="n"/>
      <c r="AD115" s="6" t="n"/>
      <c r="AE115" s="7">
        <f>IF(X115="","",ROUND('Opening Balance'!$B$4+SUM($AC$2:AC115)-SUM($AD$2:AD115)+SUMPRODUCT(($Q$2:$Q$1501="Collection 收款")*($R$2:$R$1501="Cheque 支票")*($V$2:$V$1501&lt;&gt;"")*($V$2:$V$1501&lt;=X115)*($S$2:$S$1501-'Opening Balance'!$B$15*($R$2:$R$1501="Cheque 支票")*($S$2:$S$1501-TRUNC($S$2:$S$1501))))-'Opening Balance'!$B$15*SUMPRODUCT(($Z$2:Z115="Online collection 网上收款")*($AA$2:AA115&lt;&gt;"")*($AC$2:AC115-TRUNC($AC$2:AC115))),2))</f>
        <v/>
      </c>
    </row>
    <row r="116">
      <c r="A116" s="5" t="n"/>
      <c r="B116" s="6" t="n"/>
      <c r="C116" s="6" t="n"/>
      <c r="D116" s="6" t="n"/>
      <c r="E116" s="7">
        <f>IF(A116="","",SUMPRODUCT(('Daily Sale entry '!$O$2:$O$1501=A116)*('Daily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6" s="6" t="n"/>
      <c r="G116" s="6" t="n"/>
      <c r="H116" s="6" t="n"/>
      <c r="I116" s="8" t="n"/>
      <c r="J116" s="6" t="n"/>
      <c r="K116" s="6" t="n"/>
      <c r="L116" s="6" t="n"/>
      <c r="M116" s="6" t="n"/>
      <c r="O116" s="5" t="n"/>
      <c r="S116" s="6" t="n"/>
      <c r="V116" s="5" t="n"/>
      <c r="X116" s="5" t="n"/>
      <c r="AC116" s="6" t="n"/>
      <c r="AD116" s="6" t="n"/>
      <c r="AE116" s="7">
        <f>IF(X116="","",ROUND('Opening Balance'!$B$4+SUM($AC$2:AC116)-SUM($AD$2:AD116)+SUMPRODUCT(($Q$2:$Q$1501="Collection 收款")*($R$2:$R$1501="Cheque 支票")*($V$2:$V$1501&lt;&gt;"")*($V$2:$V$1501&lt;=X116)*($S$2:$S$1501-'Opening Balance'!$B$15*($R$2:$R$1501="Cheque 支票")*($S$2:$S$1501-TRUNC($S$2:$S$1501))))-'Opening Balance'!$B$15*SUMPRODUCT(($Z$2:Z116="Online collection 网上收款")*($AA$2:AA116&lt;&gt;"")*($AC$2:AC116-TRUNC($AC$2:AC116))),2))</f>
        <v/>
      </c>
    </row>
    <row r="117">
      <c r="A117" s="5" t="n"/>
      <c r="B117" s="6" t="n"/>
      <c r="C117" s="6" t="n"/>
      <c r="D117" s="6" t="n"/>
      <c r="E117" s="7">
        <f>IF(A117="","",SUMPRODUCT(('Daily Sale entry '!$O$2:$O$1501=A117)*('Daily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7" s="6" t="n"/>
      <c r="G117" s="6" t="n"/>
      <c r="H117" s="6" t="n"/>
      <c r="I117" s="8" t="n"/>
      <c r="J117" s="6" t="n"/>
      <c r="K117" s="6" t="n"/>
      <c r="L117" s="6" t="n"/>
      <c r="M117" s="6" t="n"/>
      <c r="O117" s="5" t="n"/>
      <c r="S117" s="6" t="n"/>
      <c r="V117" s="5" t="n"/>
      <c r="X117" s="5" t="n"/>
      <c r="AC117" s="6" t="n"/>
      <c r="AD117" s="6" t="n"/>
      <c r="AE117" s="7">
        <f>IF(X117="","",ROUND('Opening Balance'!$B$4+SUM($AC$2:AC117)-SUM($AD$2:AD117)+SUMPRODUCT(($Q$2:$Q$1501="Collection 收款")*($R$2:$R$1501="Cheque 支票")*($V$2:$V$1501&lt;&gt;"")*($V$2:$V$1501&lt;=X117)*($S$2:$S$1501-'Opening Balance'!$B$15*($R$2:$R$1501="Cheque 支票")*($S$2:$S$1501-TRUNC($S$2:$S$1501))))-'Opening Balance'!$B$15*SUMPRODUCT(($Z$2:Z117="Online collection 网上收款")*($AA$2:AA117&lt;&gt;"")*($AC$2:AC117-TRUNC($AC$2:AC117))),2))</f>
        <v/>
      </c>
    </row>
    <row r="118">
      <c r="A118" s="5" t="n"/>
      <c r="B118" s="6" t="n"/>
      <c r="C118" s="6" t="n"/>
      <c r="D118" s="6" t="n"/>
      <c r="E118" s="7">
        <f>IF(A118="","",SUMPRODUCT(('Daily Sale entry '!$O$2:$O$1501=A118)*('Daily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8" s="6" t="n"/>
      <c r="G118" s="6" t="n"/>
      <c r="H118" s="6" t="n"/>
      <c r="I118" s="8" t="n"/>
      <c r="J118" s="6" t="n"/>
      <c r="K118" s="6" t="n"/>
      <c r="L118" s="6" t="n"/>
      <c r="M118" s="6" t="n"/>
      <c r="O118" s="5" t="n"/>
      <c r="S118" s="6" t="n"/>
      <c r="V118" s="5" t="n"/>
      <c r="X118" s="5" t="n"/>
      <c r="AC118" s="6" t="n"/>
      <c r="AD118" s="6" t="n"/>
      <c r="AE118" s="7">
        <f>IF(X118="","",ROUND('Opening Balance'!$B$4+SUM($AC$2:AC118)-SUM($AD$2:AD118)+SUMPRODUCT(($Q$2:$Q$1501="Collection 收款")*($R$2:$R$1501="Cheque 支票")*($V$2:$V$1501&lt;&gt;"")*($V$2:$V$1501&lt;=X118)*($S$2:$S$1501-'Opening Balance'!$B$15*($R$2:$R$1501="Cheque 支票")*($S$2:$S$1501-TRUNC($S$2:$S$1501))))-'Opening Balance'!$B$15*SUMPRODUCT(($Z$2:Z118="Online collection 网上收款")*($AA$2:AA118&lt;&gt;"")*($AC$2:AC118-TRUNC($AC$2:AC118))),2))</f>
        <v/>
      </c>
    </row>
    <row r="119">
      <c r="A119" s="5" t="n"/>
      <c r="B119" s="6" t="n"/>
      <c r="C119" s="6" t="n"/>
      <c r="D119" s="6" t="n"/>
      <c r="E119" s="7">
        <f>IF(A119="","",SUMPRODUCT(('Daily Sale entry '!$O$2:$O$1501=A119)*('Daily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19" s="6" t="n"/>
      <c r="G119" s="6" t="n"/>
      <c r="H119" s="6" t="n"/>
      <c r="I119" s="8" t="n"/>
      <c r="J119" s="6" t="n"/>
      <c r="K119" s="6" t="n"/>
      <c r="L119" s="6" t="n"/>
      <c r="M119" s="6" t="n"/>
      <c r="O119" s="5" t="n"/>
      <c r="S119" s="6" t="n"/>
      <c r="V119" s="5" t="n"/>
      <c r="X119" s="5" t="n"/>
      <c r="AC119" s="6" t="n"/>
      <c r="AD119" s="6" t="n"/>
      <c r="AE119" s="7">
        <f>IF(X119="","",ROUND('Opening Balance'!$B$4+SUM($AC$2:AC119)-SUM($AD$2:AD119)+SUMPRODUCT(($Q$2:$Q$1501="Collection 收款")*($R$2:$R$1501="Cheque 支票")*($V$2:$V$1501&lt;&gt;"")*($V$2:$V$1501&lt;=X119)*($S$2:$S$1501-'Opening Balance'!$B$15*($R$2:$R$1501="Cheque 支票")*($S$2:$S$1501-TRUNC($S$2:$S$1501))))-'Opening Balance'!$B$15*SUMPRODUCT(($Z$2:Z119="Online collection 网上收款")*($AA$2:AA119&lt;&gt;"")*($AC$2:AC119-TRUNC($AC$2:AC119))),2))</f>
        <v/>
      </c>
    </row>
    <row r="120">
      <c r="A120" s="5" t="n"/>
      <c r="B120" s="6" t="n"/>
      <c r="C120" s="6" t="n"/>
      <c r="D120" s="6" t="n"/>
      <c r="E120" s="7">
        <f>IF(A120="","",SUMPRODUCT(('Daily Sale entry '!$O$2:$O$1501=A120)*('Daily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0" s="6" t="n"/>
      <c r="G120" s="6" t="n"/>
      <c r="H120" s="6" t="n"/>
      <c r="I120" s="8" t="n"/>
      <c r="J120" s="6" t="n"/>
      <c r="K120" s="6" t="n"/>
      <c r="L120" s="6" t="n"/>
      <c r="M120" s="6" t="n"/>
      <c r="O120" s="5" t="n"/>
      <c r="S120" s="6" t="n"/>
      <c r="V120" s="5" t="n"/>
      <c r="X120" s="5" t="n"/>
      <c r="AC120" s="6" t="n"/>
      <c r="AD120" s="6" t="n"/>
      <c r="AE120" s="7">
        <f>IF(X120="","",ROUND('Opening Balance'!$B$4+SUM($AC$2:AC120)-SUM($AD$2:AD120)+SUMPRODUCT(($Q$2:$Q$1501="Collection 收款")*($R$2:$R$1501="Cheque 支票")*($V$2:$V$1501&lt;&gt;"")*($V$2:$V$1501&lt;=X120)*($S$2:$S$1501-'Opening Balance'!$B$15*($R$2:$R$1501="Cheque 支票")*($S$2:$S$1501-TRUNC($S$2:$S$1501))))-'Opening Balance'!$B$15*SUMPRODUCT(($Z$2:Z120="Online collection 网上收款")*($AA$2:AA120&lt;&gt;"")*($AC$2:AC120-TRUNC($AC$2:AC120))),2))</f>
        <v/>
      </c>
    </row>
    <row r="121">
      <c r="A121" s="5" t="n"/>
      <c r="B121" s="6" t="n"/>
      <c r="C121" s="6" t="n"/>
      <c r="D121" s="6" t="n"/>
      <c r="E121" s="7">
        <f>IF(A121="","",SUMPRODUCT(('Daily Sale entry '!$O$2:$O$1501=A121)*('Daily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1" s="6" t="n"/>
      <c r="G121" s="6" t="n"/>
      <c r="H121" s="6" t="n"/>
      <c r="I121" s="8" t="n"/>
      <c r="J121" s="6" t="n"/>
      <c r="K121" s="6" t="n"/>
      <c r="L121" s="6" t="n"/>
      <c r="M121" s="6" t="n"/>
      <c r="O121" s="5" t="n"/>
      <c r="S121" s="6" t="n"/>
      <c r="V121" s="5" t="n"/>
      <c r="X121" s="5" t="n"/>
      <c r="AC121" s="6" t="n"/>
      <c r="AD121" s="6" t="n"/>
      <c r="AE121" s="7">
        <f>IF(X121="","",ROUND('Opening Balance'!$B$4+SUM($AC$2:AC121)-SUM($AD$2:AD121)+SUMPRODUCT(($Q$2:$Q$1501="Collection 收款")*($R$2:$R$1501="Cheque 支票")*($V$2:$V$1501&lt;&gt;"")*($V$2:$V$1501&lt;=X121)*($S$2:$S$1501-'Opening Balance'!$B$15*($R$2:$R$1501="Cheque 支票")*($S$2:$S$1501-TRUNC($S$2:$S$1501))))-'Opening Balance'!$B$15*SUMPRODUCT(($Z$2:Z121="Online collection 网上收款")*($AA$2:AA121&lt;&gt;"")*($AC$2:AC121-TRUNC($AC$2:AC121))),2))</f>
        <v/>
      </c>
    </row>
    <row r="122">
      <c r="A122" s="5" t="n"/>
      <c r="B122" s="6" t="n"/>
      <c r="C122" s="6" t="n"/>
      <c r="D122" s="6" t="n"/>
      <c r="E122" s="7">
        <f>IF(A122="","",SUMPRODUCT(('Daily Sale entry '!$O$2:$O$1501=A122)*('Daily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2" s="6" t="n"/>
      <c r="G122" s="6" t="n"/>
      <c r="H122" s="6" t="n"/>
      <c r="I122" s="8" t="n"/>
      <c r="J122" s="6" t="n"/>
      <c r="K122" s="6" t="n"/>
      <c r="L122" s="6" t="n"/>
      <c r="M122" s="6" t="n"/>
      <c r="O122" s="5" t="n"/>
      <c r="S122" s="6" t="n"/>
      <c r="V122" s="5" t="n"/>
      <c r="X122" s="5" t="n"/>
      <c r="AC122" s="6" t="n"/>
      <c r="AD122" s="6" t="n"/>
      <c r="AE122" s="7">
        <f>IF(X122="","",ROUND('Opening Balance'!$B$4+SUM($AC$2:AC122)-SUM($AD$2:AD122)+SUMPRODUCT(($Q$2:$Q$1501="Collection 收款")*($R$2:$R$1501="Cheque 支票")*($V$2:$V$1501&lt;&gt;"")*($V$2:$V$1501&lt;=X122)*($S$2:$S$1501-'Opening Balance'!$B$15*($R$2:$R$1501="Cheque 支票")*($S$2:$S$1501-TRUNC($S$2:$S$1501))))-'Opening Balance'!$B$15*SUMPRODUCT(($Z$2:Z122="Online collection 网上收款")*($AA$2:AA122&lt;&gt;"")*($AC$2:AC122-TRUNC($AC$2:AC122))),2))</f>
        <v/>
      </c>
    </row>
    <row r="123">
      <c r="A123" s="5" t="n"/>
      <c r="B123" s="6" t="n"/>
      <c r="C123" s="6" t="n"/>
      <c r="D123" s="6" t="n"/>
      <c r="E123" s="7">
        <f>IF(A123="","",SUMPRODUCT(('Daily Sale entry '!$O$2:$O$1501=A123)*('Daily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3" s="6" t="n"/>
      <c r="G123" s="6" t="n"/>
      <c r="H123" s="6" t="n"/>
      <c r="I123" s="8" t="n"/>
      <c r="J123" s="6" t="n"/>
      <c r="K123" s="6" t="n"/>
      <c r="L123" s="6" t="n"/>
      <c r="M123" s="6" t="n"/>
      <c r="O123" s="5" t="n"/>
      <c r="S123" s="6" t="n"/>
      <c r="V123" s="5" t="n"/>
      <c r="X123" s="5" t="n"/>
      <c r="AC123" s="6" t="n"/>
      <c r="AD123" s="6" t="n"/>
      <c r="AE123" s="7">
        <f>IF(X123="","",ROUND('Opening Balance'!$B$4+SUM($AC$2:AC123)-SUM($AD$2:AD123)+SUMPRODUCT(($Q$2:$Q$1501="Collection 收款")*($R$2:$R$1501="Cheque 支票")*($V$2:$V$1501&lt;&gt;"")*($V$2:$V$1501&lt;=X123)*($S$2:$S$1501-'Opening Balance'!$B$15*($R$2:$R$1501="Cheque 支票")*($S$2:$S$1501-TRUNC($S$2:$S$1501))))-'Opening Balance'!$B$15*SUMPRODUCT(($Z$2:Z123="Online collection 网上收款")*($AA$2:AA123&lt;&gt;"")*($AC$2:AC123-TRUNC($AC$2:AC123))),2))</f>
        <v/>
      </c>
    </row>
    <row r="124">
      <c r="A124" s="5" t="n"/>
      <c r="B124" s="6" t="n"/>
      <c r="C124" s="6" t="n"/>
      <c r="D124" s="6" t="n"/>
      <c r="E124" s="7">
        <f>IF(A124="","",SUMPRODUCT(('Daily Sale entry '!$O$2:$O$1501=A124)*('Daily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4" s="6" t="n"/>
      <c r="G124" s="6" t="n"/>
      <c r="H124" s="6" t="n"/>
      <c r="I124" s="8" t="n"/>
      <c r="J124" s="6" t="n"/>
      <c r="K124" s="6" t="n"/>
      <c r="L124" s="6" t="n"/>
      <c r="M124" s="6" t="n"/>
      <c r="O124" s="5" t="n"/>
      <c r="S124" s="6" t="n"/>
      <c r="V124" s="5" t="n"/>
      <c r="X124" s="5" t="n"/>
      <c r="AC124" s="6" t="n"/>
      <c r="AD124" s="6" t="n"/>
      <c r="AE124" s="7">
        <f>IF(X124="","",ROUND('Opening Balance'!$B$4+SUM($AC$2:AC124)-SUM($AD$2:AD124)+SUMPRODUCT(($Q$2:$Q$1501="Collection 收款")*($R$2:$R$1501="Cheque 支票")*($V$2:$V$1501&lt;&gt;"")*($V$2:$V$1501&lt;=X124)*($S$2:$S$1501-'Opening Balance'!$B$15*($R$2:$R$1501="Cheque 支票")*($S$2:$S$1501-TRUNC($S$2:$S$1501))))-'Opening Balance'!$B$15*SUMPRODUCT(($Z$2:Z124="Online collection 网上收款")*($AA$2:AA124&lt;&gt;"")*($AC$2:AC124-TRUNC($AC$2:AC124))),2))</f>
        <v/>
      </c>
    </row>
    <row r="125">
      <c r="A125" s="5" t="n"/>
      <c r="B125" s="6" t="n"/>
      <c r="C125" s="6" t="n"/>
      <c r="D125" s="6" t="n"/>
      <c r="E125" s="7">
        <f>IF(A125="","",SUMPRODUCT(('Daily Sale entry '!$O$2:$O$1501=A125)*('Daily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5" s="6" t="n"/>
      <c r="G125" s="6" t="n"/>
      <c r="H125" s="6" t="n"/>
      <c r="I125" s="8" t="n"/>
      <c r="J125" s="6" t="n"/>
      <c r="K125" s="6" t="n"/>
      <c r="L125" s="6" t="n"/>
      <c r="M125" s="6" t="n"/>
      <c r="O125" s="5" t="n"/>
      <c r="S125" s="6" t="n"/>
      <c r="V125" s="5" t="n"/>
      <c r="X125" s="5" t="n"/>
      <c r="AC125" s="6" t="n"/>
      <c r="AD125" s="6" t="n"/>
      <c r="AE125" s="7">
        <f>IF(X125="","",ROUND('Opening Balance'!$B$4+SUM($AC$2:AC125)-SUM($AD$2:AD125)+SUMPRODUCT(($Q$2:$Q$1501="Collection 收款")*($R$2:$R$1501="Cheque 支票")*($V$2:$V$1501&lt;&gt;"")*($V$2:$V$1501&lt;=X125)*($S$2:$S$1501-'Opening Balance'!$B$15*($R$2:$R$1501="Cheque 支票")*($S$2:$S$1501-TRUNC($S$2:$S$1501))))-'Opening Balance'!$B$15*SUMPRODUCT(($Z$2:Z125="Online collection 网上收款")*($AA$2:AA125&lt;&gt;"")*($AC$2:AC125-TRUNC($AC$2:AC125))),2))</f>
        <v/>
      </c>
    </row>
    <row r="126">
      <c r="A126" s="5" t="n"/>
      <c r="B126" s="6" t="n"/>
      <c r="C126" s="6" t="n"/>
      <c r="D126" s="6" t="n"/>
      <c r="E126" s="7">
        <f>IF(A126="","",SUMPRODUCT(('Daily Sale entry '!$O$2:$O$1501=A126)*('Daily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6" s="6" t="n"/>
      <c r="G126" s="6" t="n"/>
      <c r="H126" s="6" t="n"/>
      <c r="I126" s="8" t="n"/>
      <c r="J126" s="6" t="n"/>
      <c r="K126" s="6" t="n"/>
      <c r="L126" s="6" t="n"/>
      <c r="M126" s="6" t="n"/>
      <c r="O126" s="5" t="n"/>
      <c r="S126" s="6" t="n"/>
      <c r="V126" s="5" t="n"/>
      <c r="X126" s="5" t="n"/>
      <c r="AC126" s="6" t="n"/>
      <c r="AD126" s="6" t="n"/>
      <c r="AE126" s="7">
        <f>IF(X126="","",ROUND('Opening Balance'!$B$4+SUM($AC$2:AC126)-SUM($AD$2:AD126)+SUMPRODUCT(($Q$2:$Q$1501="Collection 收款")*($R$2:$R$1501="Cheque 支票")*($V$2:$V$1501&lt;&gt;"")*($V$2:$V$1501&lt;=X126)*($S$2:$S$1501-'Opening Balance'!$B$15*($R$2:$R$1501="Cheque 支票")*($S$2:$S$1501-TRUNC($S$2:$S$1501))))-'Opening Balance'!$B$15*SUMPRODUCT(($Z$2:Z126="Online collection 网上收款")*($AA$2:AA126&lt;&gt;"")*($AC$2:AC126-TRUNC($AC$2:AC126))),2))</f>
        <v/>
      </c>
    </row>
    <row r="127">
      <c r="A127" s="5" t="n"/>
      <c r="B127" s="6" t="n"/>
      <c r="C127" s="6" t="n"/>
      <c r="D127" s="6" t="n"/>
      <c r="E127" s="7">
        <f>IF(A127="","",SUMPRODUCT(('Daily Sale entry '!$O$2:$O$1501=A127)*('Daily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7" s="6" t="n"/>
      <c r="G127" s="6" t="n"/>
      <c r="H127" s="6" t="n"/>
      <c r="I127" s="8" t="n"/>
      <c r="J127" s="6" t="n"/>
      <c r="K127" s="6" t="n"/>
      <c r="L127" s="6" t="n"/>
      <c r="M127" s="6" t="n"/>
      <c r="O127" s="5" t="n"/>
      <c r="S127" s="6" t="n"/>
      <c r="V127" s="5" t="n"/>
      <c r="X127" s="5" t="n"/>
      <c r="AC127" s="6" t="n"/>
      <c r="AD127" s="6" t="n"/>
      <c r="AE127" s="7">
        <f>IF(X127="","",ROUND('Opening Balance'!$B$4+SUM($AC$2:AC127)-SUM($AD$2:AD127)+SUMPRODUCT(($Q$2:$Q$1501="Collection 收款")*($R$2:$R$1501="Cheque 支票")*($V$2:$V$1501&lt;&gt;"")*($V$2:$V$1501&lt;=X127)*($S$2:$S$1501-'Opening Balance'!$B$15*($R$2:$R$1501="Cheque 支票")*($S$2:$S$1501-TRUNC($S$2:$S$1501))))-'Opening Balance'!$B$15*SUMPRODUCT(($Z$2:Z127="Online collection 网上收款")*($AA$2:AA127&lt;&gt;"")*($AC$2:AC127-TRUNC($AC$2:AC127))),2))</f>
        <v/>
      </c>
    </row>
    <row r="128">
      <c r="A128" s="5" t="n"/>
      <c r="B128" s="6" t="n"/>
      <c r="C128" s="6" t="n"/>
      <c r="D128" s="6" t="n"/>
      <c r="E128" s="7">
        <f>IF(A128="","",SUMPRODUCT(('Daily Sale entry '!$O$2:$O$1501=A128)*('Daily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8" s="6" t="n"/>
      <c r="G128" s="6" t="n"/>
      <c r="H128" s="6" t="n"/>
      <c r="I128" s="8" t="n"/>
      <c r="J128" s="6" t="n"/>
      <c r="K128" s="6" t="n"/>
      <c r="L128" s="6" t="n"/>
      <c r="M128" s="6" t="n"/>
      <c r="O128" s="5" t="n"/>
      <c r="S128" s="6" t="n"/>
      <c r="V128" s="5" t="n"/>
      <c r="X128" s="5" t="n"/>
      <c r="AC128" s="6" t="n"/>
      <c r="AD128" s="6" t="n"/>
      <c r="AE128" s="7">
        <f>IF(X128="","",ROUND('Opening Balance'!$B$4+SUM($AC$2:AC128)-SUM($AD$2:AD128)+SUMPRODUCT(($Q$2:$Q$1501="Collection 收款")*($R$2:$R$1501="Cheque 支票")*($V$2:$V$1501&lt;&gt;"")*($V$2:$V$1501&lt;=X128)*($S$2:$S$1501-'Opening Balance'!$B$15*($R$2:$R$1501="Cheque 支票")*($S$2:$S$1501-TRUNC($S$2:$S$1501))))-'Opening Balance'!$B$15*SUMPRODUCT(($Z$2:Z128="Online collection 网上收款")*($AA$2:AA128&lt;&gt;"")*($AC$2:AC128-TRUNC($AC$2:AC128))),2))</f>
        <v/>
      </c>
    </row>
    <row r="129">
      <c r="A129" s="5" t="n"/>
      <c r="B129" s="6" t="n"/>
      <c r="C129" s="6" t="n"/>
      <c r="D129" s="6" t="n"/>
      <c r="E129" s="7">
        <f>IF(A129="","",SUMPRODUCT(('Daily Sale entry '!$O$2:$O$1501=A129)*('Daily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29" s="6" t="n"/>
      <c r="G129" s="6" t="n"/>
      <c r="H129" s="6" t="n"/>
      <c r="I129" s="8" t="n"/>
      <c r="J129" s="6" t="n"/>
      <c r="K129" s="6" t="n"/>
      <c r="L129" s="6" t="n"/>
      <c r="M129" s="6" t="n"/>
      <c r="O129" s="5" t="n"/>
      <c r="S129" s="6" t="n"/>
      <c r="V129" s="5" t="n"/>
      <c r="X129" s="5" t="n"/>
      <c r="AC129" s="6" t="n"/>
      <c r="AD129" s="6" t="n"/>
      <c r="AE129" s="7">
        <f>IF(X129="","",ROUND('Opening Balance'!$B$4+SUM($AC$2:AC129)-SUM($AD$2:AD129)+SUMPRODUCT(($Q$2:$Q$1501="Collection 收款")*($R$2:$R$1501="Cheque 支票")*($V$2:$V$1501&lt;&gt;"")*($V$2:$V$1501&lt;=X129)*($S$2:$S$1501-'Opening Balance'!$B$15*($R$2:$R$1501="Cheque 支票")*($S$2:$S$1501-TRUNC($S$2:$S$1501))))-'Opening Balance'!$B$15*SUMPRODUCT(($Z$2:Z129="Online collection 网上收款")*($AA$2:AA129&lt;&gt;"")*($AC$2:AC129-TRUNC($AC$2:AC129))),2))</f>
        <v/>
      </c>
    </row>
    <row r="130">
      <c r="A130" s="5" t="n"/>
      <c r="B130" s="6" t="n"/>
      <c r="C130" s="6" t="n"/>
      <c r="D130" s="6" t="n"/>
      <c r="E130" s="7">
        <f>IF(A130="","",SUMPRODUCT(('Daily Sale entry '!$O$2:$O$1501=A130)*('Daily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0" s="6" t="n"/>
      <c r="G130" s="6" t="n"/>
      <c r="H130" s="6" t="n"/>
      <c r="I130" s="8" t="n"/>
      <c r="J130" s="6" t="n"/>
      <c r="K130" s="6" t="n"/>
      <c r="L130" s="6" t="n"/>
      <c r="M130" s="6" t="n"/>
      <c r="O130" s="5" t="n"/>
      <c r="S130" s="6" t="n"/>
      <c r="V130" s="5" t="n"/>
      <c r="X130" s="5" t="n"/>
      <c r="AC130" s="6" t="n"/>
      <c r="AD130" s="6" t="n"/>
      <c r="AE130" s="7">
        <f>IF(X130="","",ROUND('Opening Balance'!$B$4+SUM($AC$2:AC130)-SUM($AD$2:AD130)+SUMPRODUCT(($Q$2:$Q$1501="Collection 收款")*($R$2:$R$1501="Cheque 支票")*($V$2:$V$1501&lt;&gt;"")*($V$2:$V$1501&lt;=X130)*($S$2:$S$1501-'Opening Balance'!$B$15*($R$2:$R$1501="Cheque 支票")*($S$2:$S$1501-TRUNC($S$2:$S$1501))))-'Opening Balance'!$B$15*SUMPRODUCT(($Z$2:Z130="Online collection 网上收款")*($AA$2:AA130&lt;&gt;"")*($AC$2:AC130-TRUNC($AC$2:AC130))),2))</f>
        <v/>
      </c>
    </row>
    <row r="131">
      <c r="A131" s="5" t="n"/>
      <c r="B131" s="6" t="n"/>
      <c r="C131" s="6" t="n"/>
      <c r="D131" s="6" t="n"/>
      <c r="E131" s="7">
        <f>IF(A131="","",SUMPRODUCT(('Daily Sale entry '!$O$2:$O$1501=A131)*('Daily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1" s="6" t="n"/>
      <c r="G131" s="6" t="n"/>
      <c r="H131" s="6" t="n"/>
      <c r="I131" s="8" t="n"/>
      <c r="J131" s="6" t="n"/>
      <c r="K131" s="6" t="n"/>
      <c r="L131" s="6" t="n"/>
      <c r="M131" s="6" t="n"/>
      <c r="O131" s="5" t="n"/>
      <c r="S131" s="6" t="n"/>
      <c r="V131" s="5" t="n"/>
      <c r="X131" s="5" t="n"/>
      <c r="AC131" s="6" t="n"/>
      <c r="AD131" s="6" t="n"/>
      <c r="AE131" s="7">
        <f>IF(X131="","",ROUND('Opening Balance'!$B$4+SUM($AC$2:AC131)-SUM($AD$2:AD131)+SUMPRODUCT(($Q$2:$Q$1501="Collection 收款")*($R$2:$R$1501="Cheque 支票")*($V$2:$V$1501&lt;&gt;"")*($V$2:$V$1501&lt;=X131)*($S$2:$S$1501-'Opening Balance'!$B$15*($R$2:$R$1501="Cheque 支票")*($S$2:$S$1501-TRUNC($S$2:$S$1501))))-'Opening Balance'!$B$15*SUMPRODUCT(($Z$2:Z131="Online collection 网上收款")*($AA$2:AA131&lt;&gt;"")*($AC$2:AC131-TRUNC($AC$2:AC131))),2))</f>
        <v/>
      </c>
    </row>
    <row r="132">
      <c r="A132" s="5" t="n"/>
      <c r="B132" s="6" t="n"/>
      <c r="C132" s="6" t="n"/>
      <c r="D132" s="6" t="n"/>
      <c r="E132" s="7">
        <f>IF(A132="","",SUMPRODUCT(('Daily Sale entry '!$O$2:$O$1501=A132)*('Daily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2" s="6" t="n"/>
      <c r="G132" s="6" t="n"/>
      <c r="H132" s="6" t="n"/>
      <c r="I132" s="8" t="n"/>
      <c r="J132" s="6" t="n"/>
      <c r="K132" s="6" t="n"/>
      <c r="L132" s="6" t="n"/>
      <c r="M132" s="6" t="n"/>
      <c r="O132" s="5" t="n"/>
      <c r="S132" s="6" t="n"/>
      <c r="V132" s="5" t="n"/>
      <c r="X132" s="5" t="n"/>
      <c r="AC132" s="6" t="n"/>
      <c r="AD132" s="6" t="n"/>
      <c r="AE132" s="7">
        <f>IF(X132="","",ROUND('Opening Balance'!$B$4+SUM($AC$2:AC132)-SUM($AD$2:AD132)+SUMPRODUCT(($Q$2:$Q$1501="Collection 收款")*($R$2:$R$1501="Cheque 支票")*($V$2:$V$1501&lt;&gt;"")*($V$2:$V$1501&lt;=X132)*($S$2:$S$1501-'Opening Balance'!$B$15*($R$2:$R$1501="Cheque 支票")*($S$2:$S$1501-TRUNC($S$2:$S$1501))))-'Opening Balance'!$B$15*SUMPRODUCT(($Z$2:Z132="Online collection 网上收款")*($AA$2:AA132&lt;&gt;"")*($AC$2:AC132-TRUNC($AC$2:AC132))),2))</f>
        <v/>
      </c>
    </row>
    <row r="133">
      <c r="A133" s="5" t="n"/>
      <c r="B133" s="6" t="n"/>
      <c r="C133" s="6" t="n"/>
      <c r="D133" s="6" t="n"/>
      <c r="E133" s="7">
        <f>IF(A133="","",SUMPRODUCT(('Daily Sale entry '!$O$2:$O$1501=A133)*('Daily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3" s="6" t="n"/>
      <c r="G133" s="6" t="n"/>
      <c r="H133" s="6" t="n"/>
      <c r="I133" s="8" t="n"/>
      <c r="J133" s="6" t="n"/>
      <c r="K133" s="6" t="n"/>
      <c r="L133" s="6" t="n"/>
      <c r="M133" s="6" t="n"/>
      <c r="O133" s="5" t="n"/>
      <c r="S133" s="6" t="n"/>
      <c r="V133" s="5" t="n"/>
      <c r="X133" s="5" t="n"/>
      <c r="AC133" s="6" t="n"/>
      <c r="AD133" s="6" t="n"/>
      <c r="AE133" s="7">
        <f>IF(X133="","",ROUND('Opening Balance'!$B$4+SUM($AC$2:AC133)-SUM($AD$2:AD133)+SUMPRODUCT(($Q$2:$Q$1501="Collection 收款")*($R$2:$R$1501="Cheque 支票")*($V$2:$V$1501&lt;&gt;"")*($V$2:$V$1501&lt;=X133)*($S$2:$S$1501-'Opening Balance'!$B$15*($R$2:$R$1501="Cheque 支票")*($S$2:$S$1501-TRUNC($S$2:$S$1501))))-'Opening Balance'!$B$15*SUMPRODUCT(($Z$2:Z133="Online collection 网上收款")*($AA$2:AA133&lt;&gt;"")*($AC$2:AC133-TRUNC($AC$2:AC133))),2))</f>
        <v/>
      </c>
    </row>
    <row r="134">
      <c r="A134" s="5" t="n"/>
      <c r="B134" s="6" t="n"/>
      <c r="C134" s="6" t="n"/>
      <c r="D134" s="6" t="n"/>
      <c r="E134" s="7">
        <f>IF(A134="","",SUMPRODUCT(('Daily Sale entry '!$O$2:$O$1501=A134)*('Daily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4" s="6" t="n"/>
      <c r="G134" s="6" t="n"/>
      <c r="H134" s="6" t="n"/>
      <c r="I134" s="8" t="n"/>
      <c r="J134" s="6" t="n"/>
      <c r="K134" s="6" t="n"/>
      <c r="L134" s="6" t="n"/>
      <c r="M134" s="6" t="n"/>
      <c r="O134" s="5" t="n"/>
      <c r="S134" s="6" t="n"/>
      <c r="V134" s="5" t="n"/>
      <c r="X134" s="5" t="n"/>
      <c r="AC134" s="6" t="n"/>
      <c r="AD134" s="6" t="n"/>
      <c r="AE134" s="7">
        <f>IF(X134="","",ROUND('Opening Balance'!$B$4+SUM($AC$2:AC134)-SUM($AD$2:AD134)+SUMPRODUCT(($Q$2:$Q$1501="Collection 收款")*($R$2:$R$1501="Cheque 支票")*($V$2:$V$1501&lt;&gt;"")*($V$2:$V$1501&lt;=X134)*($S$2:$S$1501-'Opening Balance'!$B$15*($R$2:$R$1501="Cheque 支票")*($S$2:$S$1501-TRUNC($S$2:$S$1501))))-'Opening Balance'!$B$15*SUMPRODUCT(($Z$2:Z134="Online collection 网上收款")*($AA$2:AA134&lt;&gt;"")*($AC$2:AC134-TRUNC($AC$2:AC134))),2))</f>
        <v/>
      </c>
    </row>
    <row r="135">
      <c r="A135" s="5" t="n"/>
      <c r="B135" s="6" t="n"/>
      <c r="C135" s="6" t="n"/>
      <c r="D135" s="6" t="n"/>
      <c r="E135" s="7">
        <f>IF(A135="","",SUMPRODUCT(('Daily Sale entry '!$O$2:$O$1501=A135)*('Daily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5" s="6" t="n"/>
      <c r="G135" s="6" t="n"/>
      <c r="H135" s="6" t="n"/>
      <c r="I135" s="8" t="n"/>
      <c r="J135" s="6" t="n"/>
      <c r="K135" s="6" t="n"/>
      <c r="L135" s="6" t="n"/>
      <c r="M135" s="6" t="n"/>
      <c r="O135" s="5" t="n"/>
      <c r="S135" s="6" t="n"/>
      <c r="V135" s="5" t="n"/>
      <c r="X135" s="5" t="n"/>
      <c r="AC135" s="6" t="n"/>
      <c r="AD135" s="6" t="n"/>
      <c r="AE135" s="7">
        <f>IF(X135="","",ROUND('Opening Balance'!$B$4+SUM($AC$2:AC135)-SUM($AD$2:AD135)+SUMPRODUCT(($Q$2:$Q$1501="Collection 收款")*($R$2:$R$1501="Cheque 支票")*($V$2:$V$1501&lt;&gt;"")*($V$2:$V$1501&lt;=X135)*($S$2:$S$1501-'Opening Balance'!$B$15*($R$2:$R$1501="Cheque 支票")*($S$2:$S$1501-TRUNC($S$2:$S$1501))))-'Opening Balance'!$B$15*SUMPRODUCT(($Z$2:Z135="Online collection 网上收款")*($AA$2:AA135&lt;&gt;"")*($AC$2:AC135-TRUNC($AC$2:AC135))),2))</f>
        <v/>
      </c>
    </row>
    <row r="136">
      <c r="A136" s="5" t="n"/>
      <c r="B136" s="6" t="n"/>
      <c r="C136" s="6" t="n"/>
      <c r="D136" s="6" t="n"/>
      <c r="E136" s="7">
        <f>IF(A136="","",SUMPRODUCT(('Daily Sale entry '!$O$2:$O$1501=A136)*('Daily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6" s="6" t="n"/>
      <c r="G136" s="6" t="n"/>
      <c r="H136" s="6" t="n"/>
      <c r="I136" s="8" t="n"/>
      <c r="J136" s="6" t="n"/>
      <c r="K136" s="6" t="n"/>
      <c r="L136" s="6" t="n"/>
      <c r="M136" s="6" t="n"/>
      <c r="O136" s="5" t="n"/>
      <c r="S136" s="6" t="n"/>
      <c r="V136" s="5" t="n"/>
      <c r="X136" s="5" t="n"/>
      <c r="AC136" s="6" t="n"/>
      <c r="AD136" s="6" t="n"/>
      <c r="AE136" s="7">
        <f>IF(X136="","",ROUND('Opening Balance'!$B$4+SUM($AC$2:AC136)-SUM($AD$2:AD136)+SUMPRODUCT(($Q$2:$Q$1501="Collection 收款")*($R$2:$R$1501="Cheque 支票")*($V$2:$V$1501&lt;&gt;"")*($V$2:$V$1501&lt;=X136)*($S$2:$S$1501-'Opening Balance'!$B$15*($R$2:$R$1501="Cheque 支票")*($S$2:$S$1501-TRUNC($S$2:$S$1501))))-'Opening Balance'!$B$15*SUMPRODUCT(($Z$2:Z136="Online collection 网上收款")*($AA$2:AA136&lt;&gt;"")*($AC$2:AC136-TRUNC($AC$2:AC136))),2))</f>
        <v/>
      </c>
    </row>
    <row r="137">
      <c r="A137" s="5" t="n"/>
      <c r="B137" s="6" t="n"/>
      <c r="C137" s="6" t="n"/>
      <c r="D137" s="6" t="n"/>
      <c r="E137" s="7">
        <f>IF(A137="","",SUMPRODUCT(('Daily Sale entry '!$O$2:$O$1501=A137)*('Daily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7" s="6" t="n"/>
      <c r="G137" s="6" t="n"/>
      <c r="H137" s="6" t="n"/>
      <c r="I137" s="8" t="n"/>
      <c r="J137" s="6" t="n"/>
      <c r="K137" s="6" t="n"/>
      <c r="L137" s="6" t="n"/>
      <c r="M137" s="6" t="n"/>
      <c r="O137" s="5" t="n"/>
      <c r="S137" s="6" t="n"/>
      <c r="V137" s="5" t="n"/>
      <c r="X137" s="5" t="n"/>
      <c r="AC137" s="6" t="n"/>
      <c r="AD137" s="6" t="n"/>
      <c r="AE137" s="7">
        <f>IF(X137="","",ROUND('Opening Balance'!$B$4+SUM($AC$2:AC137)-SUM($AD$2:AD137)+SUMPRODUCT(($Q$2:$Q$1501="Collection 收款")*($R$2:$R$1501="Cheque 支票")*($V$2:$V$1501&lt;&gt;"")*($V$2:$V$1501&lt;=X137)*($S$2:$S$1501-'Opening Balance'!$B$15*($R$2:$R$1501="Cheque 支票")*($S$2:$S$1501-TRUNC($S$2:$S$1501))))-'Opening Balance'!$B$15*SUMPRODUCT(($Z$2:Z137="Online collection 网上收款")*($AA$2:AA137&lt;&gt;"")*($AC$2:AC137-TRUNC($AC$2:AC137))),2))</f>
        <v/>
      </c>
    </row>
    <row r="138">
      <c r="A138" s="5" t="n"/>
      <c r="B138" s="6" t="n"/>
      <c r="C138" s="6" t="n"/>
      <c r="D138" s="6" t="n"/>
      <c r="E138" s="7">
        <f>IF(A138="","",SUMPRODUCT(('Daily Sale entry '!$O$2:$O$1501=A138)*('Daily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8" s="6" t="n"/>
      <c r="G138" s="6" t="n"/>
      <c r="H138" s="6" t="n"/>
      <c r="I138" s="8" t="n"/>
      <c r="J138" s="6" t="n"/>
      <c r="K138" s="6" t="n"/>
      <c r="L138" s="6" t="n"/>
      <c r="M138" s="6" t="n"/>
      <c r="O138" s="5" t="n"/>
      <c r="S138" s="6" t="n"/>
      <c r="V138" s="5" t="n"/>
      <c r="X138" s="5" t="n"/>
      <c r="AC138" s="6" t="n"/>
      <c r="AD138" s="6" t="n"/>
      <c r="AE138" s="7">
        <f>IF(X138="","",ROUND('Opening Balance'!$B$4+SUM($AC$2:AC138)-SUM($AD$2:AD138)+SUMPRODUCT(($Q$2:$Q$1501="Collection 收款")*($R$2:$R$1501="Cheque 支票")*($V$2:$V$1501&lt;&gt;"")*($V$2:$V$1501&lt;=X138)*($S$2:$S$1501-'Opening Balance'!$B$15*($R$2:$R$1501="Cheque 支票")*($S$2:$S$1501-TRUNC($S$2:$S$1501))))-'Opening Balance'!$B$15*SUMPRODUCT(($Z$2:Z138="Online collection 网上收款")*($AA$2:AA138&lt;&gt;"")*($AC$2:AC138-TRUNC($AC$2:AC138))),2))</f>
        <v/>
      </c>
    </row>
    <row r="139">
      <c r="A139" s="5" t="n"/>
      <c r="B139" s="6" t="n"/>
      <c r="C139" s="6" t="n"/>
      <c r="D139" s="6" t="n"/>
      <c r="E139" s="7">
        <f>IF(A139="","",SUMPRODUCT(('Daily Sale entry '!$O$2:$O$1501=A139)*('Daily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39" s="6" t="n"/>
      <c r="G139" s="6" t="n"/>
      <c r="H139" s="6" t="n"/>
      <c r="I139" s="8" t="n"/>
      <c r="J139" s="6" t="n"/>
      <c r="K139" s="6" t="n"/>
      <c r="L139" s="6" t="n"/>
      <c r="M139" s="6" t="n"/>
      <c r="O139" s="5" t="n"/>
      <c r="S139" s="6" t="n"/>
      <c r="V139" s="5" t="n"/>
      <c r="X139" s="5" t="n"/>
      <c r="AC139" s="6" t="n"/>
      <c r="AD139" s="6" t="n"/>
      <c r="AE139" s="7">
        <f>IF(X139="","",ROUND('Opening Balance'!$B$4+SUM($AC$2:AC139)-SUM($AD$2:AD139)+SUMPRODUCT(($Q$2:$Q$1501="Collection 收款")*($R$2:$R$1501="Cheque 支票")*($V$2:$V$1501&lt;&gt;"")*($V$2:$V$1501&lt;=X139)*($S$2:$S$1501-'Opening Balance'!$B$15*($R$2:$R$1501="Cheque 支票")*($S$2:$S$1501-TRUNC($S$2:$S$1501))))-'Opening Balance'!$B$15*SUMPRODUCT(($Z$2:Z139="Online collection 网上收款")*($AA$2:AA139&lt;&gt;"")*($AC$2:AC139-TRUNC($AC$2:AC139))),2))</f>
        <v/>
      </c>
    </row>
    <row r="140">
      <c r="A140" s="5" t="n"/>
      <c r="B140" s="6" t="n"/>
      <c r="C140" s="6" t="n"/>
      <c r="D140" s="6" t="n"/>
      <c r="E140" s="7">
        <f>IF(A140="","",SUMPRODUCT(('Daily Sale entry '!$O$2:$O$1501=A140)*('Daily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0" s="6" t="n"/>
      <c r="G140" s="6" t="n"/>
      <c r="H140" s="6" t="n"/>
      <c r="I140" s="8" t="n"/>
      <c r="J140" s="6" t="n"/>
      <c r="K140" s="6" t="n"/>
      <c r="L140" s="6" t="n"/>
      <c r="M140" s="6" t="n"/>
      <c r="O140" s="5" t="n"/>
      <c r="S140" s="6" t="n"/>
      <c r="V140" s="5" t="n"/>
      <c r="X140" s="5" t="n"/>
      <c r="AC140" s="6" t="n"/>
      <c r="AD140" s="6" t="n"/>
      <c r="AE140" s="7">
        <f>IF(X140="","",ROUND('Opening Balance'!$B$4+SUM($AC$2:AC140)-SUM($AD$2:AD140)+SUMPRODUCT(($Q$2:$Q$1501="Collection 收款")*($R$2:$R$1501="Cheque 支票")*($V$2:$V$1501&lt;&gt;"")*($V$2:$V$1501&lt;=X140)*($S$2:$S$1501-'Opening Balance'!$B$15*($R$2:$R$1501="Cheque 支票")*($S$2:$S$1501-TRUNC($S$2:$S$1501))))-'Opening Balance'!$B$15*SUMPRODUCT(($Z$2:Z140="Online collection 网上收款")*($AA$2:AA140&lt;&gt;"")*($AC$2:AC140-TRUNC($AC$2:AC140))),2))</f>
        <v/>
      </c>
    </row>
    <row r="141">
      <c r="A141" s="5" t="n"/>
      <c r="B141" s="6" t="n"/>
      <c r="C141" s="6" t="n"/>
      <c r="D141" s="6" t="n"/>
      <c r="E141" s="7">
        <f>IF(A141="","",SUMPRODUCT(('Daily Sale entry '!$O$2:$O$1501=A141)*('Daily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1" s="6" t="n"/>
      <c r="G141" s="6" t="n"/>
      <c r="H141" s="6" t="n"/>
      <c r="I141" s="8" t="n"/>
      <c r="J141" s="6" t="n"/>
      <c r="K141" s="6" t="n"/>
      <c r="L141" s="6" t="n"/>
      <c r="M141" s="6" t="n"/>
      <c r="O141" s="5" t="n"/>
      <c r="S141" s="6" t="n"/>
      <c r="V141" s="5" t="n"/>
      <c r="X141" s="5" t="n"/>
      <c r="AC141" s="6" t="n"/>
      <c r="AD141" s="6" t="n"/>
      <c r="AE141" s="7">
        <f>IF(X141="","",ROUND('Opening Balance'!$B$4+SUM($AC$2:AC141)-SUM($AD$2:AD141)+SUMPRODUCT(($Q$2:$Q$1501="Collection 收款")*($R$2:$R$1501="Cheque 支票")*($V$2:$V$1501&lt;&gt;"")*($V$2:$V$1501&lt;=X141)*($S$2:$S$1501-'Opening Balance'!$B$15*($R$2:$R$1501="Cheque 支票")*($S$2:$S$1501-TRUNC($S$2:$S$1501))))-'Opening Balance'!$B$15*SUMPRODUCT(($Z$2:Z141="Online collection 网上收款")*($AA$2:AA141&lt;&gt;"")*($AC$2:AC141-TRUNC($AC$2:AC141))),2))</f>
        <v/>
      </c>
    </row>
    <row r="142">
      <c r="A142" s="5" t="n"/>
      <c r="B142" s="6" t="n"/>
      <c r="C142" s="6" t="n"/>
      <c r="D142" s="6" t="n"/>
      <c r="E142" s="7">
        <f>IF(A142="","",SUMPRODUCT(('Daily Sale entry '!$O$2:$O$1501=A142)*('Daily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2" s="6" t="n"/>
      <c r="G142" s="6" t="n"/>
      <c r="H142" s="6" t="n"/>
      <c r="I142" s="8" t="n"/>
      <c r="J142" s="6" t="n"/>
      <c r="K142" s="6" t="n"/>
      <c r="L142" s="6" t="n"/>
      <c r="M142" s="6" t="n"/>
      <c r="O142" s="5" t="n"/>
      <c r="S142" s="6" t="n"/>
      <c r="V142" s="5" t="n"/>
      <c r="X142" s="5" t="n"/>
      <c r="AC142" s="6" t="n"/>
      <c r="AD142" s="6" t="n"/>
      <c r="AE142" s="7">
        <f>IF(X142="","",ROUND('Opening Balance'!$B$4+SUM($AC$2:AC142)-SUM($AD$2:AD142)+SUMPRODUCT(($Q$2:$Q$1501="Collection 收款")*($R$2:$R$1501="Cheque 支票")*($V$2:$V$1501&lt;&gt;"")*($V$2:$V$1501&lt;=X142)*($S$2:$S$1501-'Opening Balance'!$B$15*($R$2:$R$1501="Cheque 支票")*($S$2:$S$1501-TRUNC($S$2:$S$1501))))-'Opening Balance'!$B$15*SUMPRODUCT(($Z$2:Z142="Online collection 网上收款")*($AA$2:AA142&lt;&gt;"")*($AC$2:AC142-TRUNC($AC$2:AC142))),2))</f>
        <v/>
      </c>
    </row>
    <row r="143">
      <c r="A143" s="5" t="n"/>
      <c r="B143" s="6" t="n"/>
      <c r="C143" s="6" t="n"/>
      <c r="D143" s="6" t="n"/>
      <c r="E143" s="7">
        <f>IF(A143="","",SUMPRODUCT(('Daily Sale entry '!$O$2:$O$1501=A143)*('Daily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3" s="6" t="n"/>
      <c r="G143" s="6" t="n"/>
      <c r="H143" s="6" t="n"/>
      <c r="I143" s="8" t="n"/>
      <c r="J143" s="6" t="n"/>
      <c r="K143" s="6" t="n"/>
      <c r="L143" s="6" t="n"/>
      <c r="M143" s="6" t="n"/>
      <c r="O143" s="5" t="n"/>
      <c r="S143" s="6" t="n"/>
      <c r="V143" s="5" t="n"/>
      <c r="X143" s="5" t="n"/>
      <c r="AC143" s="6" t="n"/>
      <c r="AD143" s="6" t="n"/>
      <c r="AE143" s="7">
        <f>IF(X143="","",ROUND('Opening Balance'!$B$4+SUM($AC$2:AC143)-SUM($AD$2:AD143)+SUMPRODUCT(($Q$2:$Q$1501="Collection 收款")*($R$2:$R$1501="Cheque 支票")*($V$2:$V$1501&lt;&gt;"")*($V$2:$V$1501&lt;=X143)*($S$2:$S$1501-'Opening Balance'!$B$15*($R$2:$R$1501="Cheque 支票")*($S$2:$S$1501-TRUNC($S$2:$S$1501))))-'Opening Balance'!$B$15*SUMPRODUCT(($Z$2:Z143="Online collection 网上收款")*($AA$2:AA143&lt;&gt;"")*($AC$2:AC143-TRUNC($AC$2:AC143))),2))</f>
        <v/>
      </c>
    </row>
    <row r="144">
      <c r="A144" s="5" t="n"/>
      <c r="B144" s="6" t="n"/>
      <c r="C144" s="6" t="n"/>
      <c r="D144" s="6" t="n"/>
      <c r="E144" s="7">
        <f>IF(A144="","",SUMPRODUCT(('Daily Sale entry '!$O$2:$O$1501=A144)*('Daily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4" s="6" t="n"/>
      <c r="G144" s="6" t="n"/>
      <c r="H144" s="6" t="n"/>
      <c r="I144" s="8" t="n"/>
      <c r="J144" s="6" t="n"/>
      <c r="K144" s="6" t="n"/>
      <c r="L144" s="6" t="n"/>
      <c r="M144" s="6" t="n"/>
      <c r="O144" s="5" t="n"/>
      <c r="S144" s="6" t="n"/>
      <c r="V144" s="5" t="n"/>
      <c r="X144" s="5" t="n"/>
      <c r="AC144" s="6" t="n"/>
      <c r="AD144" s="6" t="n"/>
      <c r="AE144" s="7">
        <f>IF(X144="","",ROUND('Opening Balance'!$B$4+SUM($AC$2:AC144)-SUM($AD$2:AD144)+SUMPRODUCT(($Q$2:$Q$1501="Collection 收款")*($R$2:$R$1501="Cheque 支票")*($V$2:$V$1501&lt;&gt;"")*($V$2:$V$1501&lt;=X144)*($S$2:$S$1501-'Opening Balance'!$B$15*($R$2:$R$1501="Cheque 支票")*($S$2:$S$1501-TRUNC($S$2:$S$1501))))-'Opening Balance'!$B$15*SUMPRODUCT(($Z$2:Z144="Online collection 网上收款")*($AA$2:AA144&lt;&gt;"")*($AC$2:AC144-TRUNC($AC$2:AC144))),2))</f>
        <v/>
      </c>
    </row>
    <row r="145">
      <c r="A145" s="5" t="n"/>
      <c r="B145" s="6" t="n"/>
      <c r="C145" s="6" t="n"/>
      <c r="D145" s="6" t="n"/>
      <c r="E145" s="7">
        <f>IF(A145="","",SUMPRODUCT(('Daily Sale entry '!$O$2:$O$1501=A145)*('Daily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5" s="6" t="n"/>
      <c r="G145" s="6" t="n"/>
      <c r="H145" s="6" t="n"/>
      <c r="I145" s="8" t="n"/>
      <c r="J145" s="6" t="n"/>
      <c r="K145" s="6" t="n"/>
      <c r="L145" s="6" t="n"/>
      <c r="M145" s="6" t="n"/>
      <c r="O145" s="5" t="n"/>
      <c r="S145" s="6" t="n"/>
      <c r="V145" s="5" t="n"/>
      <c r="X145" s="5" t="n"/>
      <c r="AC145" s="6" t="n"/>
      <c r="AD145" s="6" t="n"/>
      <c r="AE145" s="7">
        <f>IF(X145="","",ROUND('Opening Balance'!$B$4+SUM($AC$2:AC145)-SUM($AD$2:AD145)+SUMPRODUCT(($Q$2:$Q$1501="Collection 收款")*($R$2:$R$1501="Cheque 支票")*($V$2:$V$1501&lt;&gt;"")*($V$2:$V$1501&lt;=X145)*($S$2:$S$1501-'Opening Balance'!$B$15*($R$2:$R$1501="Cheque 支票")*($S$2:$S$1501-TRUNC($S$2:$S$1501))))-'Opening Balance'!$B$15*SUMPRODUCT(($Z$2:Z145="Online collection 网上收款")*($AA$2:AA145&lt;&gt;"")*($AC$2:AC145-TRUNC($AC$2:AC145))),2))</f>
        <v/>
      </c>
    </row>
    <row r="146">
      <c r="A146" s="5" t="n"/>
      <c r="B146" s="6" t="n"/>
      <c r="C146" s="6" t="n"/>
      <c r="D146" s="6" t="n"/>
      <c r="E146" s="7">
        <f>IF(A146="","",SUMPRODUCT(('Daily Sale entry '!$O$2:$O$1501=A146)*('Daily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6" s="6" t="n"/>
      <c r="G146" s="6" t="n"/>
      <c r="H146" s="6" t="n"/>
      <c r="I146" s="8" t="n"/>
      <c r="J146" s="6" t="n"/>
      <c r="K146" s="6" t="n"/>
      <c r="L146" s="6" t="n"/>
      <c r="M146" s="6" t="n"/>
      <c r="O146" s="5" t="n"/>
      <c r="S146" s="6" t="n"/>
      <c r="V146" s="5" t="n"/>
      <c r="X146" s="5" t="n"/>
      <c r="AC146" s="6" t="n"/>
      <c r="AD146" s="6" t="n"/>
      <c r="AE146" s="7">
        <f>IF(X146="","",ROUND('Opening Balance'!$B$4+SUM($AC$2:AC146)-SUM($AD$2:AD146)+SUMPRODUCT(($Q$2:$Q$1501="Collection 收款")*($R$2:$R$1501="Cheque 支票")*($V$2:$V$1501&lt;&gt;"")*($V$2:$V$1501&lt;=X146)*($S$2:$S$1501-'Opening Balance'!$B$15*($R$2:$R$1501="Cheque 支票")*($S$2:$S$1501-TRUNC($S$2:$S$1501))))-'Opening Balance'!$B$15*SUMPRODUCT(($Z$2:Z146="Online collection 网上收款")*($AA$2:AA146&lt;&gt;"")*($AC$2:AC146-TRUNC($AC$2:AC146))),2))</f>
        <v/>
      </c>
    </row>
    <row r="147">
      <c r="A147" s="5" t="n"/>
      <c r="B147" s="6" t="n"/>
      <c r="C147" s="6" t="n"/>
      <c r="D147" s="6" t="n"/>
      <c r="E147" s="7">
        <f>IF(A147="","",SUMPRODUCT(('Daily Sale entry '!$O$2:$O$1501=A147)*('Daily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7" s="6" t="n"/>
      <c r="G147" s="6" t="n"/>
      <c r="H147" s="6" t="n"/>
      <c r="I147" s="8" t="n"/>
      <c r="J147" s="6" t="n"/>
      <c r="K147" s="6" t="n"/>
      <c r="L147" s="6" t="n"/>
      <c r="M147" s="6" t="n"/>
      <c r="O147" s="5" t="n"/>
      <c r="S147" s="6" t="n"/>
      <c r="V147" s="5" t="n"/>
      <c r="X147" s="5" t="n"/>
      <c r="AC147" s="6" t="n"/>
      <c r="AD147" s="6" t="n"/>
      <c r="AE147" s="7">
        <f>IF(X147="","",ROUND('Opening Balance'!$B$4+SUM($AC$2:AC147)-SUM($AD$2:AD147)+SUMPRODUCT(($Q$2:$Q$1501="Collection 收款")*($R$2:$R$1501="Cheque 支票")*($V$2:$V$1501&lt;&gt;"")*($V$2:$V$1501&lt;=X147)*($S$2:$S$1501-'Opening Balance'!$B$15*($R$2:$R$1501="Cheque 支票")*($S$2:$S$1501-TRUNC($S$2:$S$1501))))-'Opening Balance'!$B$15*SUMPRODUCT(($Z$2:Z147="Online collection 网上收款")*($AA$2:AA147&lt;&gt;"")*($AC$2:AC147-TRUNC($AC$2:AC147))),2))</f>
        <v/>
      </c>
    </row>
    <row r="148">
      <c r="A148" s="5" t="n"/>
      <c r="B148" s="6" t="n"/>
      <c r="C148" s="6" t="n"/>
      <c r="D148" s="6" t="n"/>
      <c r="E148" s="7">
        <f>IF(A148="","",SUMPRODUCT(('Daily Sale entry '!$O$2:$O$1501=A148)*('Daily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8" s="6" t="n"/>
      <c r="G148" s="6" t="n"/>
      <c r="H148" s="6" t="n"/>
      <c r="I148" s="8" t="n"/>
      <c r="J148" s="6" t="n"/>
      <c r="K148" s="6" t="n"/>
      <c r="L148" s="6" t="n"/>
      <c r="M148" s="6" t="n"/>
      <c r="O148" s="5" t="n"/>
      <c r="S148" s="6" t="n"/>
      <c r="V148" s="5" t="n"/>
      <c r="X148" s="5" t="n"/>
      <c r="AC148" s="6" t="n"/>
      <c r="AD148" s="6" t="n"/>
      <c r="AE148" s="7">
        <f>IF(X148="","",ROUND('Opening Balance'!$B$4+SUM($AC$2:AC148)-SUM($AD$2:AD148)+SUMPRODUCT(($Q$2:$Q$1501="Collection 收款")*($R$2:$R$1501="Cheque 支票")*($V$2:$V$1501&lt;&gt;"")*($V$2:$V$1501&lt;=X148)*($S$2:$S$1501-'Opening Balance'!$B$15*($R$2:$R$1501="Cheque 支票")*($S$2:$S$1501-TRUNC($S$2:$S$1501))))-'Opening Balance'!$B$15*SUMPRODUCT(($Z$2:Z148="Online collection 网上收款")*($AA$2:AA148&lt;&gt;"")*($AC$2:AC148-TRUNC($AC$2:AC148))),2))</f>
        <v/>
      </c>
    </row>
    <row r="149">
      <c r="A149" s="5" t="n"/>
      <c r="B149" s="6" t="n"/>
      <c r="C149" s="6" t="n"/>
      <c r="D149" s="6" t="n"/>
      <c r="E149" s="7">
        <f>IF(A149="","",SUMPRODUCT(('Daily Sale entry '!$O$2:$O$1501=A149)*('Daily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49" s="6" t="n"/>
      <c r="G149" s="6" t="n"/>
      <c r="H149" s="6" t="n"/>
      <c r="I149" s="8" t="n"/>
      <c r="J149" s="6" t="n"/>
      <c r="K149" s="6" t="n"/>
      <c r="L149" s="6" t="n"/>
      <c r="M149" s="6" t="n"/>
      <c r="O149" s="5" t="n"/>
      <c r="S149" s="6" t="n"/>
      <c r="V149" s="5" t="n"/>
      <c r="X149" s="5" t="n"/>
      <c r="AC149" s="6" t="n"/>
      <c r="AD149" s="6" t="n"/>
      <c r="AE149" s="7">
        <f>IF(X149="","",ROUND('Opening Balance'!$B$4+SUM($AC$2:AC149)-SUM($AD$2:AD149)+SUMPRODUCT(($Q$2:$Q$1501="Collection 收款")*($R$2:$R$1501="Cheque 支票")*($V$2:$V$1501&lt;&gt;"")*($V$2:$V$1501&lt;=X149)*($S$2:$S$1501-'Opening Balance'!$B$15*($R$2:$R$1501="Cheque 支票")*($S$2:$S$1501-TRUNC($S$2:$S$1501))))-'Opening Balance'!$B$15*SUMPRODUCT(($Z$2:Z149="Online collection 网上收款")*($AA$2:AA149&lt;&gt;"")*($AC$2:AC149-TRUNC($AC$2:AC149))),2))</f>
        <v/>
      </c>
    </row>
    <row r="150">
      <c r="A150" s="5" t="n"/>
      <c r="B150" s="6" t="n"/>
      <c r="C150" s="6" t="n"/>
      <c r="D150" s="6" t="n"/>
      <c r="E150" s="7">
        <f>IF(A150="","",SUMPRODUCT(('Daily Sale entry '!$O$2:$O$1501=A150)*('Daily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0" s="6" t="n"/>
      <c r="G150" s="6" t="n"/>
      <c r="H150" s="6" t="n"/>
      <c r="I150" s="8" t="n"/>
      <c r="J150" s="6" t="n"/>
      <c r="K150" s="6" t="n"/>
      <c r="L150" s="6" t="n"/>
      <c r="M150" s="6" t="n"/>
      <c r="O150" s="5" t="n"/>
      <c r="S150" s="6" t="n"/>
      <c r="V150" s="5" t="n"/>
      <c r="X150" s="5" t="n"/>
      <c r="AC150" s="6" t="n"/>
      <c r="AD150" s="6" t="n"/>
      <c r="AE150" s="7">
        <f>IF(X150="","",ROUND('Opening Balance'!$B$4+SUM($AC$2:AC150)-SUM($AD$2:AD150)+SUMPRODUCT(($Q$2:$Q$1501="Collection 收款")*($R$2:$R$1501="Cheque 支票")*($V$2:$V$1501&lt;&gt;"")*($V$2:$V$1501&lt;=X150)*($S$2:$S$1501-'Opening Balance'!$B$15*($R$2:$R$1501="Cheque 支票")*($S$2:$S$1501-TRUNC($S$2:$S$1501))))-'Opening Balance'!$B$15*SUMPRODUCT(($Z$2:Z150="Online collection 网上收款")*($AA$2:AA150&lt;&gt;"")*($AC$2:AC150-TRUNC($AC$2:AC150))),2))</f>
        <v/>
      </c>
    </row>
    <row r="151">
      <c r="A151" s="5" t="n"/>
      <c r="B151" s="6" t="n"/>
      <c r="C151" s="6" t="n"/>
      <c r="D151" s="6" t="n"/>
      <c r="E151" s="7">
        <f>IF(A151="","",SUMPRODUCT(('Daily Sale entry '!$O$2:$O$1501=A151)*('Daily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1" s="6" t="n"/>
      <c r="G151" s="6" t="n"/>
      <c r="H151" s="6" t="n"/>
      <c r="I151" s="8" t="n"/>
      <c r="J151" s="6" t="n"/>
      <c r="K151" s="6" t="n"/>
      <c r="L151" s="6" t="n"/>
      <c r="M151" s="6" t="n"/>
      <c r="O151" s="5" t="n"/>
      <c r="S151" s="6" t="n"/>
      <c r="V151" s="5" t="n"/>
      <c r="X151" s="5" t="n"/>
      <c r="AC151" s="6" t="n"/>
      <c r="AD151" s="6" t="n"/>
      <c r="AE151" s="7">
        <f>IF(X151="","",ROUND('Opening Balance'!$B$4+SUM($AC$2:AC151)-SUM($AD$2:AD151)+SUMPRODUCT(($Q$2:$Q$1501="Collection 收款")*($R$2:$R$1501="Cheque 支票")*($V$2:$V$1501&lt;&gt;"")*($V$2:$V$1501&lt;=X151)*($S$2:$S$1501-'Opening Balance'!$B$15*($R$2:$R$1501="Cheque 支票")*($S$2:$S$1501-TRUNC($S$2:$S$1501))))-'Opening Balance'!$B$15*SUMPRODUCT(($Z$2:Z151="Online collection 网上收款")*($AA$2:AA151&lt;&gt;"")*($AC$2:AC151-TRUNC($AC$2:AC151))),2))</f>
        <v/>
      </c>
    </row>
    <row r="152">
      <c r="A152" s="5" t="n"/>
      <c r="B152" s="6" t="n"/>
      <c r="C152" s="6" t="n"/>
      <c r="D152" s="6" t="n"/>
      <c r="E152" s="7">
        <f>IF(A152="","",SUMPRODUCT(('Daily Sale entry '!$O$2:$O$1501=A152)*('Daily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2" s="6" t="n"/>
      <c r="G152" s="6" t="n"/>
      <c r="H152" s="6" t="n"/>
      <c r="I152" s="8" t="n"/>
      <c r="J152" s="6" t="n"/>
      <c r="K152" s="6" t="n"/>
      <c r="L152" s="6" t="n"/>
      <c r="M152" s="6" t="n"/>
      <c r="O152" s="5" t="n"/>
      <c r="S152" s="6" t="n"/>
      <c r="V152" s="5" t="n"/>
      <c r="X152" s="5" t="n"/>
      <c r="AC152" s="6" t="n"/>
      <c r="AD152" s="6" t="n"/>
      <c r="AE152" s="7">
        <f>IF(X152="","",ROUND('Opening Balance'!$B$4+SUM($AC$2:AC152)-SUM($AD$2:AD152)+SUMPRODUCT(($Q$2:$Q$1501="Collection 收款")*($R$2:$R$1501="Cheque 支票")*($V$2:$V$1501&lt;&gt;"")*($V$2:$V$1501&lt;=X152)*($S$2:$S$1501-'Opening Balance'!$B$15*($R$2:$R$1501="Cheque 支票")*($S$2:$S$1501-TRUNC($S$2:$S$1501))))-'Opening Balance'!$B$15*SUMPRODUCT(($Z$2:Z152="Online collection 网上收款")*($AA$2:AA152&lt;&gt;"")*($AC$2:AC152-TRUNC($AC$2:AC152))),2))</f>
        <v/>
      </c>
    </row>
    <row r="153">
      <c r="A153" s="5" t="n"/>
      <c r="B153" s="6" t="n"/>
      <c r="C153" s="6" t="n"/>
      <c r="D153" s="6" t="n"/>
      <c r="E153" s="7">
        <f>IF(A153="","",SUMPRODUCT(('Daily Sale entry '!$O$2:$O$1501=A153)*('Daily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3" s="6" t="n"/>
      <c r="G153" s="6" t="n"/>
      <c r="H153" s="6" t="n"/>
      <c r="I153" s="8" t="n"/>
      <c r="J153" s="6" t="n"/>
      <c r="K153" s="6" t="n"/>
      <c r="L153" s="6" t="n"/>
      <c r="M153" s="6" t="n"/>
      <c r="O153" s="5" t="n"/>
      <c r="S153" s="6" t="n"/>
      <c r="V153" s="5" t="n"/>
      <c r="X153" s="5" t="n"/>
      <c r="AC153" s="6" t="n"/>
      <c r="AD153" s="6" t="n"/>
      <c r="AE153" s="7">
        <f>IF(X153="","",ROUND('Opening Balance'!$B$4+SUM($AC$2:AC153)-SUM($AD$2:AD153)+SUMPRODUCT(($Q$2:$Q$1501="Collection 收款")*($R$2:$R$1501="Cheque 支票")*($V$2:$V$1501&lt;&gt;"")*($V$2:$V$1501&lt;=X153)*($S$2:$S$1501-'Opening Balance'!$B$15*($R$2:$R$1501="Cheque 支票")*($S$2:$S$1501-TRUNC($S$2:$S$1501))))-'Opening Balance'!$B$15*SUMPRODUCT(($Z$2:Z153="Online collection 网上收款")*($AA$2:AA153&lt;&gt;"")*($AC$2:AC153-TRUNC($AC$2:AC153))),2))</f>
        <v/>
      </c>
    </row>
    <row r="154">
      <c r="A154" s="5" t="n"/>
      <c r="B154" s="6" t="n"/>
      <c r="C154" s="6" t="n"/>
      <c r="D154" s="6" t="n"/>
      <c r="E154" s="7">
        <f>IF(A154="","",SUMPRODUCT(('Daily Sale entry '!$O$2:$O$1501=A154)*('Daily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4" s="6" t="n"/>
      <c r="G154" s="6" t="n"/>
      <c r="H154" s="6" t="n"/>
      <c r="I154" s="8" t="n"/>
      <c r="J154" s="6" t="n"/>
      <c r="K154" s="6" t="n"/>
      <c r="L154" s="6" t="n"/>
      <c r="M154" s="6" t="n"/>
      <c r="O154" s="5" t="n"/>
      <c r="S154" s="6" t="n"/>
      <c r="V154" s="5" t="n"/>
      <c r="X154" s="5" t="n"/>
      <c r="AC154" s="6" t="n"/>
      <c r="AD154" s="6" t="n"/>
      <c r="AE154" s="7">
        <f>IF(X154="","",ROUND('Opening Balance'!$B$4+SUM($AC$2:AC154)-SUM($AD$2:AD154)+SUMPRODUCT(($Q$2:$Q$1501="Collection 收款")*($R$2:$R$1501="Cheque 支票")*($V$2:$V$1501&lt;&gt;"")*($V$2:$V$1501&lt;=X154)*($S$2:$S$1501-'Opening Balance'!$B$15*($R$2:$R$1501="Cheque 支票")*($S$2:$S$1501-TRUNC($S$2:$S$1501))))-'Opening Balance'!$B$15*SUMPRODUCT(($Z$2:Z154="Online collection 网上收款")*($AA$2:AA154&lt;&gt;"")*($AC$2:AC154-TRUNC($AC$2:AC154))),2))</f>
        <v/>
      </c>
    </row>
    <row r="155">
      <c r="A155" s="5" t="n"/>
      <c r="B155" s="6" t="n"/>
      <c r="C155" s="6" t="n"/>
      <c r="D155" s="6" t="n"/>
      <c r="E155" s="7">
        <f>IF(A155="","",SUMPRODUCT(('Daily Sale entry '!$O$2:$O$1501=A155)*('Daily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5" s="6" t="n"/>
      <c r="G155" s="6" t="n"/>
      <c r="H155" s="6" t="n"/>
      <c r="I155" s="8" t="n"/>
      <c r="J155" s="6" t="n"/>
      <c r="K155" s="6" t="n"/>
      <c r="L155" s="6" t="n"/>
      <c r="M155" s="6" t="n"/>
      <c r="O155" s="5" t="n"/>
      <c r="S155" s="6" t="n"/>
      <c r="V155" s="5" t="n"/>
      <c r="X155" s="5" t="n"/>
      <c r="AC155" s="6" t="n"/>
      <c r="AD155" s="6" t="n"/>
      <c r="AE155" s="7">
        <f>IF(X155="","",ROUND('Opening Balance'!$B$4+SUM($AC$2:AC155)-SUM($AD$2:AD155)+SUMPRODUCT(($Q$2:$Q$1501="Collection 收款")*($R$2:$R$1501="Cheque 支票")*($V$2:$V$1501&lt;&gt;"")*($V$2:$V$1501&lt;=X155)*($S$2:$S$1501-'Opening Balance'!$B$15*($R$2:$R$1501="Cheque 支票")*($S$2:$S$1501-TRUNC($S$2:$S$1501))))-'Opening Balance'!$B$15*SUMPRODUCT(($Z$2:Z155="Online collection 网上收款")*($AA$2:AA155&lt;&gt;"")*($AC$2:AC155-TRUNC($AC$2:AC155))),2))</f>
        <v/>
      </c>
    </row>
    <row r="156">
      <c r="A156" s="5" t="n"/>
      <c r="B156" s="6" t="n"/>
      <c r="C156" s="6" t="n"/>
      <c r="D156" s="6" t="n"/>
      <c r="E156" s="7">
        <f>IF(A156="","",SUMPRODUCT(('Daily Sale entry '!$O$2:$O$1501=A156)*('Daily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6" s="6" t="n"/>
      <c r="G156" s="6" t="n"/>
      <c r="H156" s="6" t="n"/>
      <c r="I156" s="8" t="n"/>
      <c r="J156" s="6" t="n"/>
      <c r="K156" s="6" t="n"/>
      <c r="L156" s="6" t="n"/>
      <c r="M156" s="6" t="n"/>
      <c r="O156" s="5" t="n"/>
      <c r="S156" s="6" t="n"/>
      <c r="V156" s="5" t="n"/>
      <c r="X156" s="5" t="n"/>
      <c r="AC156" s="6" t="n"/>
      <c r="AD156" s="6" t="n"/>
      <c r="AE156" s="7">
        <f>IF(X156="","",ROUND('Opening Balance'!$B$4+SUM($AC$2:AC156)-SUM($AD$2:AD156)+SUMPRODUCT(($Q$2:$Q$1501="Collection 收款")*($R$2:$R$1501="Cheque 支票")*($V$2:$V$1501&lt;&gt;"")*($V$2:$V$1501&lt;=X156)*($S$2:$S$1501-'Opening Balance'!$B$15*($R$2:$R$1501="Cheque 支票")*($S$2:$S$1501-TRUNC($S$2:$S$1501))))-'Opening Balance'!$B$15*SUMPRODUCT(($Z$2:Z156="Online collection 网上收款")*($AA$2:AA156&lt;&gt;"")*($AC$2:AC156-TRUNC($AC$2:AC156))),2))</f>
        <v/>
      </c>
    </row>
    <row r="157">
      <c r="A157" s="5" t="n"/>
      <c r="B157" s="6" t="n"/>
      <c r="C157" s="6" t="n"/>
      <c r="D157" s="6" t="n"/>
      <c r="E157" s="7">
        <f>IF(A157="","",SUMPRODUCT(('Daily Sale entry '!$O$2:$O$1501=A157)*('Daily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7" s="6" t="n"/>
      <c r="G157" s="6" t="n"/>
      <c r="H157" s="6" t="n"/>
      <c r="I157" s="8" t="n"/>
      <c r="J157" s="6" t="n"/>
      <c r="K157" s="6" t="n"/>
      <c r="L157" s="6" t="n"/>
      <c r="M157" s="6" t="n"/>
      <c r="O157" s="5" t="n"/>
      <c r="S157" s="6" t="n"/>
      <c r="V157" s="5" t="n"/>
      <c r="X157" s="5" t="n"/>
      <c r="AC157" s="6" t="n"/>
      <c r="AD157" s="6" t="n"/>
      <c r="AE157" s="7">
        <f>IF(X157="","",ROUND('Opening Balance'!$B$4+SUM($AC$2:AC157)-SUM($AD$2:AD157)+SUMPRODUCT(($Q$2:$Q$1501="Collection 收款")*($R$2:$R$1501="Cheque 支票")*($V$2:$V$1501&lt;&gt;"")*($V$2:$V$1501&lt;=X157)*($S$2:$S$1501-'Opening Balance'!$B$15*($R$2:$R$1501="Cheque 支票")*($S$2:$S$1501-TRUNC($S$2:$S$1501))))-'Opening Balance'!$B$15*SUMPRODUCT(($Z$2:Z157="Online collection 网上收款")*($AA$2:AA157&lt;&gt;"")*($AC$2:AC157-TRUNC($AC$2:AC157))),2))</f>
        <v/>
      </c>
    </row>
    <row r="158">
      <c r="A158" s="5" t="n"/>
      <c r="B158" s="6" t="n"/>
      <c r="C158" s="6" t="n"/>
      <c r="D158" s="6" t="n"/>
      <c r="E158" s="7">
        <f>IF(A158="","",SUMPRODUCT(('Daily Sale entry '!$O$2:$O$1501=A158)*('Daily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8" s="6" t="n"/>
      <c r="G158" s="6" t="n"/>
      <c r="H158" s="6" t="n"/>
      <c r="I158" s="8" t="n"/>
      <c r="J158" s="6" t="n"/>
      <c r="K158" s="6" t="n"/>
      <c r="L158" s="6" t="n"/>
      <c r="M158" s="6" t="n"/>
      <c r="O158" s="5" t="n"/>
      <c r="S158" s="6" t="n"/>
      <c r="V158" s="5" t="n"/>
      <c r="X158" s="5" t="n"/>
      <c r="AC158" s="6" t="n"/>
      <c r="AD158" s="6" t="n"/>
      <c r="AE158" s="7">
        <f>IF(X158="","",ROUND('Opening Balance'!$B$4+SUM($AC$2:AC158)-SUM($AD$2:AD158)+SUMPRODUCT(($Q$2:$Q$1501="Collection 收款")*($R$2:$R$1501="Cheque 支票")*($V$2:$V$1501&lt;&gt;"")*($V$2:$V$1501&lt;=X158)*($S$2:$S$1501-'Opening Balance'!$B$15*($R$2:$R$1501="Cheque 支票")*($S$2:$S$1501-TRUNC($S$2:$S$1501))))-'Opening Balance'!$B$15*SUMPRODUCT(($Z$2:Z158="Online collection 网上收款")*($AA$2:AA158&lt;&gt;"")*($AC$2:AC158-TRUNC($AC$2:AC158))),2))</f>
        <v/>
      </c>
    </row>
    <row r="159">
      <c r="A159" s="5" t="n"/>
      <c r="B159" s="6" t="n"/>
      <c r="C159" s="6" t="n"/>
      <c r="D159" s="6" t="n"/>
      <c r="E159" s="7">
        <f>IF(A159="","",SUMPRODUCT(('Daily Sale entry '!$O$2:$O$1501=A159)*('Daily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59" s="6" t="n"/>
      <c r="G159" s="6" t="n"/>
      <c r="H159" s="6" t="n"/>
      <c r="I159" s="8" t="n"/>
      <c r="J159" s="6" t="n"/>
      <c r="K159" s="6" t="n"/>
      <c r="L159" s="6" t="n"/>
      <c r="M159" s="6" t="n"/>
      <c r="O159" s="5" t="n"/>
      <c r="S159" s="6" t="n"/>
      <c r="V159" s="5" t="n"/>
      <c r="X159" s="5" t="n"/>
      <c r="AC159" s="6" t="n"/>
      <c r="AD159" s="6" t="n"/>
      <c r="AE159" s="7">
        <f>IF(X159="","",ROUND('Opening Balance'!$B$4+SUM($AC$2:AC159)-SUM($AD$2:AD159)+SUMPRODUCT(($Q$2:$Q$1501="Collection 收款")*($R$2:$R$1501="Cheque 支票")*($V$2:$V$1501&lt;&gt;"")*($V$2:$V$1501&lt;=X159)*($S$2:$S$1501-'Opening Balance'!$B$15*($R$2:$R$1501="Cheque 支票")*($S$2:$S$1501-TRUNC($S$2:$S$1501))))-'Opening Balance'!$B$15*SUMPRODUCT(($Z$2:Z159="Online collection 网上收款")*($AA$2:AA159&lt;&gt;"")*($AC$2:AC159-TRUNC($AC$2:AC159))),2))</f>
        <v/>
      </c>
    </row>
    <row r="160">
      <c r="A160" s="5" t="n"/>
      <c r="B160" s="6" t="n"/>
      <c r="C160" s="6" t="n"/>
      <c r="D160" s="6" t="n"/>
      <c r="E160" s="7">
        <f>IF(A160="","",SUMPRODUCT(('Daily Sale entry '!$O$2:$O$1501=A160)*('Daily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0" s="6" t="n"/>
      <c r="G160" s="6" t="n"/>
      <c r="H160" s="6" t="n"/>
      <c r="I160" s="8" t="n"/>
      <c r="J160" s="6" t="n"/>
      <c r="K160" s="6" t="n"/>
      <c r="L160" s="6" t="n"/>
      <c r="M160" s="6" t="n"/>
      <c r="O160" s="5" t="n"/>
      <c r="S160" s="6" t="n"/>
      <c r="V160" s="5" t="n"/>
      <c r="X160" s="5" t="n"/>
      <c r="AC160" s="6" t="n"/>
      <c r="AD160" s="6" t="n"/>
      <c r="AE160" s="7">
        <f>IF(X160="","",ROUND('Opening Balance'!$B$4+SUM($AC$2:AC160)-SUM($AD$2:AD160)+SUMPRODUCT(($Q$2:$Q$1501="Collection 收款")*($R$2:$R$1501="Cheque 支票")*($V$2:$V$1501&lt;&gt;"")*($V$2:$V$1501&lt;=X160)*($S$2:$S$1501-'Opening Balance'!$B$15*($R$2:$R$1501="Cheque 支票")*($S$2:$S$1501-TRUNC($S$2:$S$1501))))-'Opening Balance'!$B$15*SUMPRODUCT(($Z$2:Z160="Online collection 网上收款")*($AA$2:AA160&lt;&gt;"")*($AC$2:AC160-TRUNC($AC$2:AC160))),2))</f>
        <v/>
      </c>
    </row>
    <row r="161">
      <c r="A161" s="5" t="n"/>
      <c r="B161" s="6" t="n"/>
      <c r="C161" s="6" t="n"/>
      <c r="D161" s="6" t="n"/>
      <c r="E161" s="7">
        <f>IF(A161="","",SUMPRODUCT(('Daily Sale entry '!$O$2:$O$1501=A161)*('Daily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1" s="6" t="n"/>
      <c r="G161" s="6" t="n"/>
      <c r="H161" s="6" t="n"/>
      <c r="I161" s="8" t="n"/>
      <c r="J161" s="6" t="n"/>
      <c r="K161" s="6" t="n"/>
      <c r="L161" s="6" t="n"/>
      <c r="M161" s="6" t="n"/>
      <c r="O161" s="5" t="n"/>
      <c r="S161" s="6" t="n"/>
      <c r="V161" s="5" t="n"/>
      <c r="X161" s="5" t="n"/>
      <c r="AC161" s="6" t="n"/>
      <c r="AD161" s="6" t="n"/>
      <c r="AE161" s="7">
        <f>IF(X161="","",ROUND('Opening Balance'!$B$4+SUM($AC$2:AC161)-SUM($AD$2:AD161)+SUMPRODUCT(($Q$2:$Q$1501="Collection 收款")*($R$2:$R$1501="Cheque 支票")*($V$2:$V$1501&lt;&gt;"")*($V$2:$V$1501&lt;=X161)*($S$2:$S$1501-'Opening Balance'!$B$15*($R$2:$R$1501="Cheque 支票")*($S$2:$S$1501-TRUNC($S$2:$S$1501))))-'Opening Balance'!$B$15*SUMPRODUCT(($Z$2:Z161="Online collection 网上收款")*($AA$2:AA161&lt;&gt;"")*($AC$2:AC161-TRUNC($AC$2:AC161))),2))</f>
        <v/>
      </c>
    </row>
    <row r="162">
      <c r="A162" s="5" t="n"/>
      <c r="B162" s="6" t="n"/>
      <c r="C162" s="6" t="n"/>
      <c r="D162" s="6" t="n"/>
      <c r="E162" s="7">
        <f>IF(A162="","",SUMPRODUCT(('Daily Sale entry '!$O$2:$O$1501=A162)*('Daily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2" s="6" t="n"/>
      <c r="G162" s="6" t="n"/>
      <c r="H162" s="6" t="n"/>
      <c r="I162" s="8" t="n"/>
      <c r="J162" s="6" t="n"/>
      <c r="K162" s="6" t="n"/>
      <c r="L162" s="6" t="n"/>
      <c r="M162" s="6" t="n"/>
      <c r="O162" s="5" t="n"/>
      <c r="S162" s="6" t="n"/>
      <c r="V162" s="5" t="n"/>
      <c r="X162" s="5" t="n"/>
      <c r="AC162" s="6" t="n"/>
      <c r="AD162" s="6" t="n"/>
      <c r="AE162" s="7">
        <f>IF(X162="","",ROUND('Opening Balance'!$B$4+SUM($AC$2:AC162)-SUM($AD$2:AD162)+SUMPRODUCT(($Q$2:$Q$1501="Collection 收款")*($R$2:$R$1501="Cheque 支票")*($V$2:$V$1501&lt;&gt;"")*($V$2:$V$1501&lt;=X162)*($S$2:$S$1501-'Opening Balance'!$B$15*($R$2:$R$1501="Cheque 支票")*($S$2:$S$1501-TRUNC($S$2:$S$1501))))-'Opening Balance'!$B$15*SUMPRODUCT(($Z$2:Z162="Online collection 网上收款")*($AA$2:AA162&lt;&gt;"")*($AC$2:AC162-TRUNC($AC$2:AC162))),2))</f>
        <v/>
      </c>
    </row>
    <row r="163">
      <c r="A163" s="5" t="n"/>
      <c r="B163" s="6" t="n"/>
      <c r="C163" s="6" t="n"/>
      <c r="D163" s="6" t="n"/>
      <c r="E163" s="7">
        <f>IF(A163="","",SUMPRODUCT(('Daily Sale entry '!$O$2:$O$1501=A163)*('Daily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3" s="6" t="n"/>
      <c r="G163" s="6" t="n"/>
      <c r="H163" s="6" t="n"/>
      <c r="I163" s="8" t="n"/>
      <c r="J163" s="6" t="n"/>
      <c r="K163" s="6" t="n"/>
      <c r="L163" s="6" t="n"/>
      <c r="M163" s="6" t="n"/>
      <c r="O163" s="5" t="n"/>
      <c r="S163" s="6" t="n"/>
      <c r="V163" s="5" t="n"/>
      <c r="X163" s="5" t="n"/>
      <c r="AC163" s="6" t="n"/>
      <c r="AD163" s="6" t="n"/>
      <c r="AE163" s="7">
        <f>IF(X163="","",ROUND('Opening Balance'!$B$4+SUM($AC$2:AC163)-SUM($AD$2:AD163)+SUMPRODUCT(($Q$2:$Q$1501="Collection 收款")*($R$2:$R$1501="Cheque 支票")*($V$2:$V$1501&lt;&gt;"")*($V$2:$V$1501&lt;=X163)*($S$2:$S$1501-'Opening Balance'!$B$15*($R$2:$R$1501="Cheque 支票")*($S$2:$S$1501-TRUNC($S$2:$S$1501))))-'Opening Balance'!$B$15*SUMPRODUCT(($Z$2:Z163="Online collection 网上收款")*($AA$2:AA163&lt;&gt;"")*($AC$2:AC163-TRUNC($AC$2:AC163))),2))</f>
        <v/>
      </c>
    </row>
    <row r="164">
      <c r="A164" s="5" t="n"/>
      <c r="B164" s="6" t="n"/>
      <c r="C164" s="6" t="n"/>
      <c r="D164" s="6" t="n"/>
      <c r="E164" s="7">
        <f>IF(A164="","",SUMPRODUCT(('Daily Sale entry '!$O$2:$O$1501=A164)*('Daily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4" s="6" t="n"/>
      <c r="G164" s="6" t="n"/>
      <c r="H164" s="6" t="n"/>
      <c r="I164" s="8" t="n"/>
      <c r="J164" s="6" t="n"/>
      <c r="K164" s="6" t="n"/>
      <c r="L164" s="6" t="n"/>
      <c r="M164" s="6" t="n"/>
      <c r="O164" s="5" t="n"/>
      <c r="S164" s="6" t="n"/>
      <c r="V164" s="5" t="n"/>
      <c r="X164" s="5" t="n"/>
      <c r="AC164" s="6" t="n"/>
      <c r="AD164" s="6" t="n"/>
      <c r="AE164" s="7">
        <f>IF(X164="","",ROUND('Opening Balance'!$B$4+SUM($AC$2:AC164)-SUM($AD$2:AD164)+SUMPRODUCT(($Q$2:$Q$1501="Collection 收款")*($R$2:$R$1501="Cheque 支票")*($V$2:$V$1501&lt;&gt;"")*($V$2:$V$1501&lt;=X164)*($S$2:$S$1501-'Opening Balance'!$B$15*($R$2:$R$1501="Cheque 支票")*($S$2:$S$1501-TRUNC($S$2:$S$1501))))-'Opening Balance'!$B$15*SUMPRODUCT(($Z$2:Z164="Online collection 网上收款")*($AA$2:AA164&lt;&gt;"")*($AC$2:AC164-TRUNC($AC$2:AC164))),2))</f>
        <v/>
      </c>
    </row>
    <row r="165">
      <c r="A165" s="5" t="n"/>
      <c r="B165" s="6" t="n"/>
      <c r="C165" s="6" t="n"/>
      <c r="D165" s="6" t="n"/>
      <c r="E165" s="7">
        <f>IF(A165="","",SUMPRODUCT(('Daily Sale entry '!$O$2:$O$1501=A165)*('Daily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5" s="6" t="n"/>
      <c r="G165" s="6" t="n"/>
      <c r="H165" s="6" t="n"/>
      <c r="I165" s="8" t="n"/>
      <c r="J165" s="6" t="n"/>
      <c r="K165" s="6" t="n"/>
      <c r="L165" s="6" t="n"/>
      <c r="M165" s="6" t="n"/>
      <c r="O165" s="5" t="n"/>
      <c r="S165" s="6" t="n"/>
      <c r="V165" s="5" t="n"/>
      <c r="X165" s="5" t="n"/>
      <c r="AC165" s="6" t="n"/>
      <c r="AD165" s="6" t="n"/>
      <c r="AE165" s="7">
        <f>IF(X165="","",ROUND('Opening Balance'!$B$4+SUM($AC$2:AC165)-SUM($AD$2:AD165)+SUMPRODUCT(($Q$2:$Q$1501="Collection 收款")*($R$2:$R$1501="Cheque 支票")*($V$2:$V$1501&lt;&gt;"")*($V$2:$V$1501&lt;=X165)*($S$2:$S$1501-'Opening Balance'!$B$15*($R$2:$R$1501="Cheque 支票")*($S$2:$S$1501-TRUNC($S$2:$S$1501))))-'Opening Balance'!$B$15*SUMPRODUCT(($Z$2:Z165="Online collection 网上收款")*($AA$2:AA165&lt;&gt;"")*($AC$2:AC165-TRUNC($AC$2:AC165))),2))</f>
        <v/>
      </c>
    </row>
    <row r="166">
      <c r="A166" s="5" t="n"/>
      <c r="B166" s="6" t="n"/>
      <c r="C166" s="6" t="n"/>
      <c r="D166" s="6" t="n"/>
      <c r="E166" s="7">
        <f>IF(A166="","",SUMPRODUCT(('Daily Sale entry '!$O$2:$O$1501=A166)*('Daily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6" s="6" t="n"/>
      <c r="G166" s="6" t="n"/>
      <c r="H166" s="6" t="n"/>
      <c r="I166" s="8" t="n"/>
      <c r="J166" s="6" t="n"/>
      <c r="K166" s="6" t="n"/>
      <c r="L166" s="6" t="n"/>
      <c r="M166" s="6" t="n"/>
      <c r="O166" s="5" t="n"/>
      <c r="S166" s="6" t="n"/>
      <c r="V166" s="5" t="n"/>
      <c r="X166" s="5" t="n"/>
      <c r="AC166" s="6" t="n"/>
      <c r="AD166" s="6" t="n"/>
      <c r="AE166" s="7">
        <f>IF(X166="","",ROUND('Opening Balance'!$B$4+SUM($AC$2:AC166)-SUM($AD$2:AD166)+SUMPRODUCT(($Q$2:$Q$1501="Collection 收款")*($R$2:$R$1501="Cheque 支票")*($V$2:$V$1501&lt;&gt;"")*($V$2:$V$1501&lt;=X166)*($S$2:$S$1501-'Opening Balance'!$B$15*($R$2:$R$1501="Cheque 支票")*($S$2:$S$1501-TRUNC($S$2:$S$1501))))-'Opening Balance'!$B$15*SUMPRODUCT(($Z$2:Z166="Online collection 网上收款")*($AA$2:AA166&lt;&gt;"")*($AC$2:AC166-TRUNC($AC$2:AC166))),2))</f>
        <v/>
      </c>
    </row>
    <row r="167">
      <c r="A167" s="5" t="n"/>
      <c r="B167" s="6" t="n"/>
      <c r="C167" s="6" t="n"/>
      <c r="D167" s="6" t="n"/>
      <c r="E167" s="7">
        <f>IF(A167="","",SUMPRODUCT(('Daily Sale entry '!$O$2:$O$1501=A167)*('Daily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7" s="6" t="n"/>
      <c r="G167" s="6" t="n"/>
      <c r="H167" s="6" t="n"/>
      <c r="I167" s="8" t="n"/>
      <c r="J167" s="6" t="n"/>
      <c r="K167" s="6" t="n"/>
      <c r="L167" s="6" t="n"/>
      <c r="M167" s="6" t="n"/>
      <c r="O167" s="5" t="n"/>
      <c r="S167" s="6" t="n"/>
      <c r="V167" s="5" t="n"/>
      <c r="X167" s="5" t="n"/>
      <c r="AC167" s="6" t="n"/>
      <c r="AD167" s="6" t="n"/>
      <c r="AE167" s="7">
        <f>IF(X167="","",ROUND('Opening Balance'!$B$4+SUM($AC$2:AC167)-SUM($AD$2:AD167)+SUMPRODUCT(($Q$2:$Q$1501="Collection 收款")*($R$2:$R$1501="Cheque 支票")*($V$2:$V$1501&lt;&gt;"")*($V$2:$V$1501&lt;=X167)*($S$2:$S$1501-'Opening Balance'!$B$15*($R$2:$R$1501="Cheque 支票")*($S$2:$S$1501-TRUNC($S$2:$S$1501))))-'Opening Balance'!$B$15*SUMPRODUCT(($Z$2:Z167="Online collection 网上收款")*($AA$2:AA167&lt;&gt;"")*($AC$2:AC167-TRUNC($AC$2:AC167))),2))</f>
        <v/>
      </c>
    </row>
    <row r="168">
      <c r="A168" s="5" t="n"/>
      <c r="B168" s="6" t="n"/>
      <c r="C168" s="6" t="n"/>
      <c r="D168" s="6" t="n"/>
      <c r="E168" s="7">
        <f>IF(A168="","",SUMPRODUCT(('Daily Sale entry '!$O$2:$O$1501=A168)*('Daily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8" s="6" t="n"/>
      <c r="G168" s="6" t="n"/>
      <c r="H168" s="6" t="n"/>
      <c r="I168" s="8" t="n"/>
      <c r="J168" s="6" t="n"/>
      <c r="K168" s="6" t="n"/>
      <c r="L168" s="6" t="n"/>
      <c r="M168" s="6" t="n"/>
      <c r="O168" s="5" t="n"/>
      <c r="S168" s="6" t="n"/>
      <c r="V168" s="5" t="n"/>
      <c r="X168" s="5" t="n"/>
      <c r="AC168" s="6" t="n"/>
      <c r="AD168" s="6" t="n"/>
      <c r="AE168" s="7">
        <f>IF(X168="","",ROUND('Opening Balance'!$B$4+SUM($AC$2:AC168)-SUM($AD$2:AD168)+SUMPRODUCT(($Q$2:$Q$1501="Collection 收款")*($R$2:$R$1501="Cheque 支票")*($V$2:$V$1501&lt;&gt;"")*($V$2:$V$1501&lt;=X168)*($S$2:$S$1501-'Opening Balance'!$B$15*($R$2:$R$1501="Cheque 支票")*($S$2:$S$1501-TRUNC($S$2:$S$1501))))-'Opening Balance'!$B$15*SUMPRODUCT(($Z$2:Z168="Online collection 网上收款")*($AA$2:AA168&lt;&gt;"")*($AC$2:AC168-TRUNC($AC$2:AC168))),2))</f>
        <v/>
      </c>
    </row>
    <row r="169">
      <c r="A169" s="5" t="n"/>
      <c r="B169" s="6" t="n"/>
      <c r="C169" s="6" t="n"/>
      <c r="D169" s="6" t="n"/>
      <c r="E169" s="7">
        <f>IF(A169="","",SUMPRODUCT(('Daily Sale entry '!$O$2:$O$1501=A169)*('Daily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69" s="6" t="n"/>
      <c r="G169" s="6" t="n"/>
      <c r="H169" s="6" t="n"/>
      <c r="I169" s="8" t="n"/>
      <c r="J169" s="6" t="n"/>
      <c r="K169" s="6" t="n"/>
      <c r="L169" s="6" t="n"/>
      <c r="M169" s="6" t="n"/>
      <c r="O169" s="5" t="n"/>
      <c r="S169" s="6" t="n"/>
      <c r="V169" s="5" t="n"/>
      <c r="X169" s="5" t="n"/>
      <c r="AC169" s="6" t="n"/>
      <c r="AD169" s="6" t="n"/>
      <c r="AE169" s="7">
        <f>IF(X169="","",ROUND('Opening Balance'!$B$4+SUM($AC$2:AC169)-SUM($AD$2:AD169)+SUMPRODUCT(($Q$2:$Q$1501="Collection 收款")*($R$2:$R$1501="Cheque 支票")*($V$2:$V$1501&lt;&gt;"")*($V$2:$V$1501&lt;=X169)*($S$2:$S$1501-'Opening Balance'!$B$15*($R$2:$R$1501="Cheque 支票")*($S$2:$S$1501-TRUNC($S$2:$S$1501))))-'Opening Balance'!$B$15*SUMPRODUCT(($Z$2:Z169="Online collection 网上收款")*($AA$2:AA169&lt;&gt;"")*($AC$2:AC169-TRUNC($AC$2:AC169))),2))</f>
        <v/>
      </c>
    </row>
    <row r="170">
      <c r="A170" s="5" t="n"/>
      <c r="B170" s="6" t="n"/>
      <c r="C170" s="6" t="n"/>
      <c r="D170" s="6" t="n"/>
      <c r="E170" s="7">
        <f>IF(A170="","",SUMPRODUCT(('Daily Sale entry '!$O$2:$O$1501=A170)*('Daily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0" s="6" t="n"/>
      <c r="G170" s="6" t="n"/>
      <c r="H170" s="6" t="n"/>
      <c r="I170" s="8" t="n"/>
      <c r="J170" s="6" t="n"/>
      <c r="K170" s="6" t="n"/>
      <c r="L170" s="6" t="n"/>
      <c r="M170" s="6" t="n"/>
      <c r="O170" s="5" t="n"/>
      <c r="S170" s="6" t="n"/>
      <c r="V170" s="5" t="n"/>
      <c r="X170" s="5" t="n"/>
      <c r="AC170" s="6" t="n"/>
      <c r="AD170" s="6" t="n"/>
      <c r="AE170" s="7">
        <f>IF(X170="","",ROUND('Opening Balance'!$B$4+SUM($AC$2:AC170)-SUM($AD$2:AD170)+SUMPRODUCT(($Q$2:$Q$1501="Collection 收款")*($R$2:$R$1501="Cheque 支票")*($V$2:$V$1501&lt;&gt;"")*($V$2:$V$1501&lt;=X170)*($S$2:$S$1501-'Opening Balance'!$B$15*($R$2:$R$1501="Cheque 支票")*($S$2:$S$1501-TRUNC($S$2:$S$1501))))-'Opening Balance'!$B$15*SUMPRODUCT(($Z$2:Z170="Online collection 网上收款")*($AA$2:AA170&lt;&gt;"")*($AC$2:AC170-TRUNC($AC$2:AC170))),2))</f>
        <v/>
      </c>
    </row>
    <row r="171">
      <c r="A171" s="5" t="n"/>
      <c r="B171" s="6" t="n"/>
      <c r="C171" s="6" t="n"/>
      <c r="D171" s="6" t="n"/>
      <c r="E171" s="7">
        <f>IF(A171="","",SUMPRODUCT(('Daily Sale entry '!$O$2:$O$1501=A171)*('Daily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1" s="6" t="n"/>
      <c r="G171" s="6" t="n"/>
      <c r="H171" s="6" t="n"/>
      <c r="I171" s="8" t="n"/>
      <c r="J171" s="6" t="n"/>
      <c r="K171" s="6" t="n"/>
      <c r="L171" s="6" t="n"/>
      <c r="M171" s="6" t="n"/>
      <c r="O171" s="5" t="n"/>
      <c r="S171" s="6" t="n"/>
      <c r="V171" s="5" t="n"/>
      <c r="X171" s="5" t="n"/>
      <c r="AC171" s="6" t="n"/>
      <c r="AD171" s="6" t="n"/>
      <c r="AE171" s="7">
        <f>IF(X171="","",ROUND('Opening Balance'!$B$4+SUM($AC$2:AC171)-SUM($AD$2:AD171)+SUMPRODUCT(($Q$2:$Q$1501="Collection 收款")*($R$2:$R$1501="Cheque 支票")*($V$2:$V$1501&lt;&gt;"")*($V$2:$V$1501&lt;=X171)*($S$2:$S$1501-'Opening Balance'!$B$15*($R$2:$R$1501="Cheque 支票")*($S$2:$S$1501-TRUNC($S$2:$S$1501))))-'Opening Balance'!$B$15*SUMPRODUCT(($Z$2:Z171="Online collection 网上收款")*($AA$2:AA171&lt;&gt;"")*($AC$2:AC171-TRUNC($AC$2:AC171))),2))</f>
        <v/>
      </c>
    </row>
    <row r="172">
      <c r="A172" s="5" t="n"/>
      <c r="B172" s="6" t="n"/>
      <c r="C172" s="6" t="n"/>
      <c r="D172" s="6" t="n"/>
      <c r="E172" s="7">
        <f>IF(A172="","",SUMPRODUCT(('Daily Sale entry '!$O$2:$O$1501=A172)*('Daily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2" s="6" t="n"/>
      <c r="G172" s="6" t="n"/>
      <c r="H172" s="6" t="n"/>
      <c r="I172" s="8" t="n"/>
      <c r="J172" s="6" t="n"/>
      <c r="K172" s="6" t="n"/>
      <c r="L172" s="6" t="n"/>
      <c r="M172" s="6" t="n"/>
      <c r="O172" s="5" t="n"/>
      <c r="S172" s="6" t="n"/>
      <c r="V172" s="5" t="n"/>
      <c r="X172" s="5" t="n"/>
      <c r="AC172" s="6" t="n"/>
      <c r="AD172" s="6" t="n"/>
      <c r="AE172" s="7">
        <f>IF(X172="","",ROUND('Opening Balance'!$B$4+SUM($AC$2:AC172)-SUM($AD$2:AD172)+SUMPRODUCT(($Q$2:$Q$1501="Collection 收款")*($R$2:$R$1501="Cheque 支票")*($V$2:$V$1501&lt;&gt;"")*($V$2:$V$1501&lt;=X172)*($S$2:$S$1501-'Opening Balance'!$B$15*($R$2:$R$1501="Cheque 支票")*($S$2:$S$1501-TRUNC($S$2:$S$1501))))-'Opening Balance'!$B$15*SUMPRODUCT(($Z$2:Z172="Online collection 网上收款")*($AA$2:AA172&lt;&gt;"")*($AC$2:AC172-TRUNC($AC$2:AC172))),2))</f>
        <v/>
      </c>
    </row>
    <row r="173">
      <c r="A173" s="5" t="n"/>
      <c r="B173" s="6" t="n"/>
      <c r="C173" s="6" t="n"/>
      <c r="D173" s="6" t="n"/>
      <c r="E173" s="7">
        <f>IF(A173="","",SUMPRODUCT(('Daily Sale entry '!$O$2:$O$1501=A173)*('Daily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3" s="6" t="n"/>
      <c r="G173" s="6" t="n"/>
      <c r="H173" s="6" t="n"/>
      <c r="I173" s="8" t="n"/>
      <c r="J173" s="6" t="n"/>
      <c r="K173" s="6" t="n"/>
      <c r="L173" s="6" t="n"/>
      <c r="M173" s="6" t="n"/>
      <c r="O173" s="5" t="n"/>
      <c r="S173" s="6" t="n"/>
      <c r="V173" s="5" t="n"/>
      <c r="X173" s="5" t="n"/>
      <c r="AC173" s="6" t="n"/>
      <c r="AD173" s="6" t="n"/>
      <c r="AE173" s="7">
        <f>IF(X173="","",ROUND('Opening Balance'!$B$4+SUM($AC$2:AC173)-SUM($AD$2:AD173)+SUMPRODUCT(($Q$2:$Q$1501="Collection 收款")*($R$2:$R$1501="Cheque 支票")*($V$2:$V$1501&lt;&gt;"")*($V$2:$V$1501&lt;=X173)*($S$2:$S$1501-'Opening Balance'!$B$15*($R$2:$R$1501="Cheque 支票")*($S$2:$S$1501-TRUNC($S$2:$S$1501))))-'Opening Balance'!$B$15*SUMPRODUCT(($Z$2:Z173="Online collection 网上收款")*($AA$2:AA173&lt;&gt;"")*($AC$2:AC173-TRUNC($AC$2:AC173))),2))</f>
        <v/>
      </c>
    </row>
    <row r="174">
      <c r="A174" s="5" t="n"/>
      <c r="B174" s="6" t="n"/>
      <c r="C174" s="6" t="n"/>
      <c r="D174" s="6" t="n"/>
      <c r="E174" s="7">
        <f>IF(A174="","",SUMPRODUCT(('Daily Sale entry '!$O$2:$O$1501=A174)*('Daily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4" s="6" t="n"/>
      <c r="G174" s="6" t="n"/>
      <c r="H174" s="6" t="n"/>
      <c r="I174" s="8" t="n"/>
      <c r="J174" s="6" t="n"/>
      <c r="K174" s="6" t="n"/>
      <c r="L174" s="6" t="n"/>
      <c r="M174" s="6" t="n"/>
      <c r="O174" s="5" t="n"/>
      <c r="S174" s="6" t="n"/>
      <c r="V174" s="5" t="n"/>
      <c r="X174" s="5" t="n"/>
      <c r="AC174" s="6" t="n"/>
      <c r="AD174" s="6" t="n"/>
      <c r="AE174" s="7">
        <f>IF(X174="","",ROUND('Opening Balance'!$B$4+SUM($AC$2:AC174)-SUM($AD$2:AD174)+SUMPRODUCT(($Q$2:$Q$1501="Collection 收款")*($R$2:$R$1501="Cheque 支票")*($V$2:$V$1501&lt;&gt;"")*($V$2:$V$1501&lt;=X174)*($S$2:$S$1501-'Opening Balance'!$B$15*($R$2:$R$1501="Cheque 支票")*($S$2:$S$1501-TRUNC($S$2:$S$1501))))-'Opening Balance'!$B$15*SUMPRODUCT(($Z$2:Z174="Online collection 网上收款")*($AA$2:AA174&lt;&gt;"")*($AC$2:AC174-TRUNC($AC$2:AC174))),2))</f>
        <v/>
      </c>
    </row>
    <row r="175">
      <c r="A175" s="5" t="n"/>
      <c r="B175" s="6" t="n"/>
      <c r="C175" s="6" t="n"/>
      <c r="D175" s="6" t="n"/>
      <c r="E175" s="7">
        <f>IF(A175="","",SUMPRODUCT(('Daily Sale entry '!$O$2:$O$1501=A175)*('Daily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5" s="6" t="n"/>
      <c r="G175" s="6" t="n"/>
      <c r="H175" s="6" t="n"/>
      <c r="I175" s="8" t="n"/>
      <c r="J175" s="6" t="n"/>
      <c r="K175" s="6" t="n"/>
      <c r="L175" s="6" t="n"/>
      <c r="M175" s="6" t="n"/>
      <c r="O175" s="5" t="n"/>
      <c r="S175" s="6" t="n"/>
      <c r="V175" s="5" t="n"/>
      <c r="X175" s="5" t="n"/>
      <c r="AC175" s="6" t="n"/>
      <c r="AD175" s="6" t="n"/>
      <c r="AE175" s="7">
        <f>IF(X175="","",ROUND('Opening Balance'!$B$4+SUM($AC$2:AC175)-SUM($AD$2:AD175)+SUMPRODUCT(($Q$2:$Q$1501="Collection 收款")*($R$2:$R$1501="Cheque 支票")*($V$2:$V$1501&lt;&gt;"")*($V$2:$V$1501&lt;=X175)*($S$2:$S$1501-'Opening Balance'!$B$15*($R$2:$R$1501="Cheque 支票")*($S$2:$S$1501-TRUNC($S$2:$S$1501))))-'Opening Balance'!$B$15*SUMPRODUCT(($Z$2:Z175="Online collection 网上收款")*($AA$2:AA175&lt;&gt;"")*($AC$2:AC175-TRUNC($AC$2:AC175))),2))</f>
        <v/>
      </c>
    </row>
    <row r="176">
      <c r="A176" s="5" t="n"/>
      <c r="B176" s="6" t="n"/>
      <c r="C176" s="6" t="n"/>
      <c r="D176" s="6" t="n"/>
      <c r="E176" s="7">
        <f>IF(A176="","",SUMPRODUCT(('Daily Sale entry '!$O$2:$O$1501=A176)*('Daily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6" s="6" t="n"/>
      <c r="G176" s="6" t="n"/>
      <c r="H176" s="6" t="n"/>
      <c r="I176" s="8" t="n"/>
      <c r="J176" s="6" t="n"/>
      <c r="K176" s="6" t="n"/>
      <c r="L176" s="6" t="n"/>
      <c r="M176" s="6" t="n"/>
      <c r="O176" s="5" t="n"/>
      <c r="S176" s="6" t="n"/>
      <c r="V176" s="5" t="n"/>
      <c r="X176" s="5" t="n"/>
      <c r="AC176" s="6" t="n"/>
      <c r="AD176" s="6" t="n"/>
      <c r="AE176" s="7">
        <f>IF(X176="","",ROUND('Opening Balance'!$B$4+SUM($AC$2:AC176)-SUM($AD$2:AD176)+SUMPRODUCT(($Q$2:$Q$1501="Collection 收款")*($R$2:$R$1501="Cheque 支票")*($V$2:$V$1501&lt;&gt;"")*($V$2:$V$1501&lt;=X176)*($S$2:$S$1501-'Opening Balance'!$B$15*($R$2:$R$1501="Cheque 支票")*($S$2:$S$1501-TRUNC($S$2:$S$1501))))-'Opening Balance'!$B$15*SUMPRODUCT(($Z$2:Z176="Online collection 网上收款")*($AA$2:AA176&lt;&gt;"")*($AC$2:AC176-TRUNC($AC$2:AC176))),2))</f>
        <v/>
      </c>
    </row>
    <row r="177">
      <c r="A177" s="5" t="n"/>
      <c r="B177" s="6" t="n"/>
      <c r="C177" s="6" t="n"/>
      <c r="D177" s="6" t="n"/>
      <c r="E177" s="7">
        <f>IF(A177="","",SUMPRODUCT(('Daily Sale entry '!$O$2:$O$1501=A177)*('Daily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7" s="6" t="n"/>
      <c r="G177" s="6" t="n"/>
      <c r="H177" s="6" t="n"/>
      <c r="I177" s="8" t="n"/>
      <c r="J177" s="6" t="n"/>
      <c r="K177" s="6" t="n"/>
      <c r="L177" s="6" t="n"/>
      <c r="M177" s="6" t="n"/>
      <c r="O177" s="5" t="n"/>
      <c r="S177" s="6" t="n"/>
      <c r="V177" s="5" t="n"/>
      <c r="X177" s="5" t="n"/>
      <c r="AC177" s="6" t="n"/>
      <c r="AD177" s="6" t="n"/>
      <c r="AE177" s="7">
        <f>IF(X177="","",ROUND('Opening Balance'!$B$4+SUM($AC$2:AC177)-SUM($AD$2:AD177)+SUMPRODUCT(($Q$2:$Q$1501="Collection 收款")*($R$2:$R$1501="Cheque 支票")*($V$2:$V$1501&lt;&gt;"")*($V$2:$V$1501&lt;=X177)*($S$2:$S$1501-'Opening Balance'!$B$15*($R$2:$R$1501="Cheque 支票")*($S$2:$S$1501-TRUNC($S$2:$S$1501))))-'Opening Balance'!$B$15*SUMPRODUCT(($Z$2:Z177="Online collection 网上收款")*($AA$2:AA177&lt;&gt;"")*($AC$2:AC177-TRUNC($AC$2:AC177))),2))</f>
        <v/>
      </c>
    </row>
    <row r="178">
      <c r="A178" s="5" t="n"/>
      <c r="B178" s="6" t="n"/>
      <c r="C178" s="6" t="n"/>
      <c r="D178" s="6" t="n"/>
      <c r="E178" s="7">
        <f>IF(A178="","",SUMPRODUCT(('Daily Sale entry '!$O$2:$O$1501=A178)*('Daily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8" s="6" t="n"/>
      <c r="G178" s="6" t="n"/>
      <c r="H178" s="6" t="n"/>
      <c r="I178" s="8" t="n"/>
      <c r="J178" s="6" t="n"/>
      <c r="K178" s="6" t="n"/>
      <c r="L178" s="6" t="n"/>
      <c r="M178" s="6" t="n"/>
      <c r="O178" s="5" t="n"/>
      <c r="S178" s="6" t="n"/>
      <c r="V178" s="5" t="n"/>
      <c r="X178" s="5" t="n"/>
      <c r="AC178" s="6" t="n"/>
      <c r="AD178" s="6" t="n"/>
      <c r="AE178" s="7">
        <f>IF(X178="","",ROUND('Opening Balance'!$B$4+SUM($AC$2:AC178)-SUM($AD$2:AD178)+SUMPRODUCT(($Q$2:$Q$1501="Collection 收款")*($R$2:$R$1501="Cheque 支票")*($V$2:$V$1501&lt;&gt;"")*($V$2:$V$1501&lt;=X178)*($S$2:$S$1501-'Opening Balance'!$B$15*($R$2:$R$1501="Cheque 支票")*($S$2:$S$1501-TRUNC($S$2:$S$1501))))-'Opening Balance'!$B$15*SUMPRODUCT(($Z$2:Z178="Online collection 网上收款")*($AA$2:AA178&lt;&gt;"")*($AC$2:AC178-TRUNC($AC$2:AC178))),2))</f>
        <v/>
      </c>
    </row>
    <row r="179">
      <c r="A179" s="5" t="n"/>
      <c r="B179" s="6" t="n"/>
      <c r="C179" s="6" t="n"/>
      <c r="D179" s="6" t="n"/>
      <c r="E179" s="7">
        <f>IF(A179="","",SUMPRODUCT(('Daily Sale entry '!$O$2:$O$1501=A179)*('Daily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79" s="6" t="n"/>
      <c r="G179" s="6" t="n"/>
      <c r="H179" s="6" t="n"/>
      <c r="I179" s="8" t="n"/>
      <c r="J179" s="6" t="n"/>
      <c r="K179" s="6" t="n"/>
      <c r="L179" s="6" t="n"/>
      <c r="M179" s="6" t="n"/>
      <c r="O179" s="5" t="n"/>
      <c r="S179" s="6" t="n"/>
      <c r="V179" s="5" t="n"/>
      <c r="X179" s="5" t="n"/>
      <c r="AC179" s="6" t="n"/>
      <c r="AD179" s="6" t="n"/>
      <c r="AE179" s="7">
        <f>IF(X179="","",ROUND('Opening Balance'!$B$4+SUM($AC$2:AC179)-SUM($AD$2:AD179)+SUMPRODUCT(($Q$2:$Q$1501="Collection 收款")*($R$2:$R$1501="Cheque 支票")*($V$2:$V$1501&lt;&gt;"")*($V$2:$V$1501&lt;=X179)*($S$2:$S$1501-'Opening Balance'!$B$15*($R$2:$R$1501="Cheque 支票")*($S$2:$S$1501-TRUNC($S$2:$S$1501))))-'Opening Balance'!$B$15*SUMPRODUCT(($Z$2:Z179="Online collection 网上收款")*($AA$2:AA179&lt;&gt;"")*($AC$2:AC179-TRUNC($AC$2:AC179))),2))</f>
        <v/>
      </c>
    </row>
    <row r="180">
      <c r="A180" s="5" t="n"/>
      <c r="B180" s="6" t="n"/>
      <c r="C180" s="6" t="n"/>
      <c r="D180" s="6" t="n"/>
      <c r="E180" s="7">
        <f>IF(A180="","",SUMPRODUCT(('Daily Sale entry '!$O$2:$O$1501=A180)*('Daily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0" s="6" t="n"/>
      <c r="G180" s="6" t="n"/>
      <c r="H180" s="6" t="n"/>
      <c r="I180" s="8" t="n"/>
      <c r="J180" s="6" t="n"/>
      <c r="K180" s="6" t="n"/>
      <c r="L180" s="6" t="n"/>
      <c r="M180" s="6" t="n"/>
      <c r="O180" s="5" t="n"/>
      <c r="S180" s="6" t="n"/>
      <c r="V180" s="5" t="n"/>
      <c r="X180" s="5" t="n"/>
      <c r="AC180" s="6" t="n"/>
      <c r="AD180" s="6" t="n"/>
      <c r="AE180" s="7">
        <f>IF(X180="","",ROUND('Opening Balance'!$B$4+SUM($AC$2:AC180)-SUM($AD$2:AD180)+SUMPRODUCT(($Q$2:$Q$1501="Collection 收款")*($R$2:$R$1501="Cheque 支票")*($V$2:$V$1501&lt;&gt;"")*($V$2:$V$1501&lt;=X180)*($S$2:$S$1501-'Opening Balance'!$B$15*($R$2:$R$1501="Cheque 支票")*($S$2:$S$1501-TRUNC($S$2:$S$1501))))-'Opening Balance'!$B$15*SUMPRODUCT(($Z$2:Z180="Online collection 网上收款")*($AA$2:AA180&lt;&gt;"")*($AC$2:AC180-TRUNC($AC$2:AC180))),2))</f>
        <v/>
      </c>
    </row>
    <row r="181">
      <c r="A181" s="5" t="n"/>
      <c r="B181" s="6" t="n"/>
      <c r="C181" s="6" t="n"/>
      <c r="D181" s="6" t="n"/>
      <c r="E181" s="7">
        <f>IF(A181="","",SUMPRODUCT(('Daily Sale entry '!$O$2:$O$1501=A181)*('Daily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1" s="6" t="n"/>
      <c r="G181" s="6" t="n"/>
      <c r="H181" s="6" t="n"/>
      <c r="I181" s="8" t="n"/>
      <c r="J181" s="6" t="n"/>
      <c r="K181" s="6" t="n"/>
      <c r="L181" s="6" t="n"/>
      <c r="M181" s="6" t="n"/>
      <c r="O181" s="5" t="n"/>
      <c r="S181" s="6" t="n"/>
      <c r="V181" s="5" t="n"/>
      <c r="X181" s="5" t="n"/>
      <c r="AC181" s="6" t="n"/>
      <c r="AD181" s="6" t="n"/>
      <c r="AE181" s="7">
        <f>IF(X181="","",ROUND('Opening Balance'!$B$4+SUM($AC$2:AC181)-SUM($AD$2:AD181)+SUMPRODUCT(($Q$2:$Q$1501="Collection 收款")*($R$2:$R$1501="Cheque 支票")*($V$2:$V$1501&lt;&gt;"")*($V$2:$V$1501&lt;=X181)*($S$2:$S$1501-'Opening Balance'!$B$15*($R$2:$R$1501="Cheque 支票")*($S$2:$S$1501-TRUNC($S$2:$S$1501))))-'Opening Balance'!$B$15*SUMPRODUCT(($Z$2:Z181="Online collection 网上收款")*($AA$2:AA181&lt;&gt;"")*($AC$2:AC181-TRUNC($AC$2:AC181))),2))</f>
        <v/>
      </c>
    </row>
    <row r="182">
      <c r="A182" s="5" t="n"/>
      <c r="B182" s="6" t="n"/>
      <c r="C182" s="6" t="n"/>
      <c r="D182" s="6" t="n"/>
      <c r="E182" s="7">
        <f>IF(A182="","",SUMPRODUCT(('Daily Sale entry '!$O$2:$O$1501=A182)*('Daily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2" s="6" t="n"/>
      <c r="G182" s="6" t="n"/>
      <c r="H182" s="6" t="n"/>
      <c r="I182" s="8" t="n"/>
      <c r="J182" s="6" t="n"/>
      <c r="K182" s="6" t="n"/>
      <c r="L182" s="6" t="n"/>
      <c r="M182" s="6" t="n"/>
      <c r="O182" s="5" t="n"/>
      <c r="S182" s="6" t="n"/>
      <c r="V182" s="5" t="n"/>
      <c r="X182" s="5" t="n"/>
      <c r="AC182" s="6" t="n"/>
      <c r="AD182" s="6" t="n"/>
      <c r="AE182" s="7">
        <f>IF(X182="","",ROUND('Opening Balance'!$B$4+SUM($AC$2:AC182)-SUM($AD$2:AD182)+SUMPRODUCT(($Q$2:$Q$1501="Collection 收款")*($R$2:$R$1501="Cheque 支票")*($V$2:$V$1501&lt;&gt;"")*($V$2:$V$1501&lt;=X182)*($S$2:$S$1501-'Opening Balance'!$B$15*($R$2:$R$1501="Cheque 支票")*($S$2:$S$1501-TRUNC($S$2:$S$1501))))-'Opening Balance'!$B$15*SUMPRODUCT(($Z$2:Z182="Online collection 网上收款")*($AA$2:AA182&lt;&gt;"")*($AC$2:AC182-TRUNC($AC$2:AC182))),2))</f>
        <v/>
      </c>
    </row>
    <row r="183">
      <c r="A183" s="5" t="n"/>
      <c r="B183" s="6" t="n"/>
      <c r="C183" s="6" t="n"/>
      <c r="D183" s="6" t="n"/>
      <c r="E183" s="7">
        <f>IF(A183="","",SUMPRODUCT(('Daily Sale entry '!$O$2:$O$1501=A183)*('Daily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3" s="6" t="n"/>
      <c r="G183" s="6" t="n"/>
      <c r="H183" s="6" t="n"/>
      <c r="I183" s="8" t="n"/>
      <c r="J183" s="6" t="n"/>
      <c r="K183" s="6" t="n"/>
      <c r="L183" s="6" t="n"/>
      <c r="M183" s="6" t="n"/>
      <c r="O183" s="5" t="n"/>
      <c r="S183" s="6" t="n"/>
      <c r="V183" s="5" t="n"/>
      <c r="X183" s="5" t="n"/>
      <c r="AC183" s="6" t="n"/>
      <c r="AD183" s="6" t="n"/>
      <c r="AE183" s="7">
        <f>IF(X183="","",ROUND('Opening Balance'!$B$4+SUM($AC$2:AC183)-SUM($AD$2:AD183)+SUMPRODUCT(($Q$2:$Q$1501="Collection 收款")*($R$2:$R$1501="Cheque 支票")*($V$2:$V$1501&lt;&gt;"")*($V$2:$V$1501&lt;=X183)*($S$2:$S$1501-'Opening Balance'!$B$15*($R$2:$R$1501="Cheque 支票")*($S$2:$S$1501-TRUNC($S$2:$S$1501))))-'Opening Balance'!$B$15*SUMPRODUCT(($Z$2:Z183="Online collection 网上收款")*($AA$2:AA183&lt;&gt;"")*($AC$2:AC183-TRUNC($AC$2:AC183))),2))</f>
        <v/>
      </c>
    </row>
    <row r="184">
      <c r="A184" s="5" t="n"/>
      <c r="B184" s="6" t="n"/>
      <c r="C184" s="6" t="n"/>
      <c r="D184" s="6" t="n"/>
      <c r="E184" s="7">
        <f>IF(A184="","",SUMPRODUCT(('Daily Sale entry '!$O$2:$O$1501=A184)*('Daily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4" s="6" t="n"/>
      <c r="G184" s="6" t="n"/>
      <c r="H184" s="6" t="n"/>
      <c r="I184" s="8" t="n"/>
      <c r="J184" s="6" t="n"/>
      <c r="K184" s="6" t="n"/>
      <c r="L184" s="6" t="n"/>
      <c r="M184" s="6" t="n"/>
      <c r="O184" s="5" t="n"/>
      <c r="S184" s="6" t="n"/>
      <c r="V184" s="5" t="n"/>
      <c r="X184" s="5" t="n"/>
      <c r="AC184" s="6" t="n"/>
      <c r="AD184" s="6" t="n"/>
      <c r="AE184" s="7">
        <f>IF(X184="","",ROUND('Opening Balance'!$B$4+SUM($AC$2:AC184)-SUM($AD$2:AD184)+SUMPRODUCT(($Q$2:$Q$1501="Collection 收款")*($R$2:$R$1501="Cheque 支票")*($V$2:$V$1501&lt;&gt;"")*($V$2:$V$1501&lt;=X184)*($S$2:$S$1501-'Opening Balance'!$B$15*($R$2:$R$1501="Cheque 支票")*($S$2:$S$1501-TRUNC($S$2:$S$1501))))-'Opening Balance'!$B$15*SUMPRODUCT(($Z$2:Z184="Online collection 网上收款")*($AA$2:AA184&lt;&gt;"")*($AC$2:AC184-TRUNC($AC$2:AC184))),2))</f>
        <v/>
      </c>
    </row>
    <row r="185">
      <c r="A185" s="5" t="n"/>
      <c r="B185" s="6" t="n"/>
      <c r="C185" s="6" t="n"/>
      <c r="D185" s="6" t="n"/>
      <c r="E185" s="7">
        <f>IF(A185="","",SUMPRODUCT(('Daily Sale entry '!$O$2:$O$1501=A185)*('Daily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5" s="6" t="n"/>
      <c r="G185" s="6" t="n"/>
      <c r="H185" s="6" t="n"/>
      <c r="I185" s="8" t="n"/>
      <c r="J185" s="6" t="n"/>
      <c r="K185" s="6" t="n"/>
      <c r="L185" s="6" t="n"/>
      <c r="M185" s="6" t="n"/>
      <c r="O185" s="5" t="n"/>
      <c r="S185" s="6" t="n"/>
      <c r="V185" s="5" t="n"/>
      <c r="X185" s="5" t="n"/>
      <c r="AC185" s="6" t="n"/>
      <c r="AD185" s="6" t="n"/>
      <c r="AE185" s="7">
        <f>IF(X185="","",ROUND('Opening Balance'!$B$4+SUM($AC$2:AC185)-SUM($AD$2:AD185)+SUMPRODUCT(($Q$2:$Q$1501="Collection 收款")*($R$2:$R$1501="Cheque 支票")*($V$2:$V$1501&lt;&gt;"")*($V$2:$V$1501&lt;=X185)*($S$2:$S$1501-'Opening Balance'!$B$15*($R$2:$R$1501="Cheque 支票")*($S$2:$S$1501-TRUNC($S$2:$S$1501))))-'Opening Balance'!$B$15*SUMPRODUCT(($Z$2:Z185="Online collection 网上收款")*($AA$2:AA185&lt;&gt;"")*($AC$2:AC185-TRUNC($AC$2:AC185))),2))</f>
        <v/>
      </c>
    </row>
    <row r="186">
      <c r="A186" s="5" t="n"/>
      <c r="B186" s="6" t="n"/>
      <c r="C186" s="6" t="n"/>
      <c r="D186" s="6" t="n"/>
      <c r="E186" s="7">
        <f>IF(A186="","",SUMPRODUCT(('Daily Sale entry '!$O$2:$O$1501=A186)*('Daily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6" s="6" t="n"/>
      <c r="G186" s="6" t="n"/>
      <c r="H186" s="6" t="n"/>
      <c r="I186" s="8" t="n"/>
      <c r="J186" s="6" t="n"/>
      <c r="K186" s="6" t="n"/>
      <c r="L186" s="6" t="n"/>
      <c r="M186" s="6" t="n"/>
      <c r="O186" s="5" t="n"/>
      <c r="S186" s="6" t="n"/>
      <c r="V186" s="5" t="n"/>
      <c r="X186" s="5" t="n"/>
      <c r="AC186" s="6" t="n"/>
      <c r="AD186" s="6" t="n"/>
      <c r="AE186" s="7">
        <f>IF(X186="","",ROUND('Opening Balance'!$B$4+SUM($AC$2:AC186)-SUM($AD$2:AD186)+SUMPRODUCT(($Q$2:$Q$1501="Collection 收款")*($R$2:$R$1501="Cheque 支票")*($V$2:$V$1501&lt;&gt;"")*($V$2:$V$1501&lt;=X186)*($S$2:$S$1501-'Opening Balance'!$B$15*($R$2:$R$1501="Cheque 支票")*($S$2:$S$1501-TRUNC($S$2:$S$1501))))-'Opening Balance'!$B$15*SUMPRODUCT(($Z$2:Z186="Online collection 网上收款")*($AA$2:AA186&lt;&gt;"")*($AC$2:AC186-TRUNC($AC$2:AC186))),2))</f>
        <v/>
      </c>
    </row>
    <row r="187">
      <c r="A187" s="5" t="n"/>
      <c r="B187" s="6" t="n"/>
      <c r="C187" s="6" t="n"/>
      <c r="D187" s="6" t="n"/>
      <c r="E187" s="7">
        <f>IF(A187="","",SUMPRODUCT(('Daily Sale entry '!$O$2:$O$1501=A187)*('Daily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7" s="6" t="n"/>
      <c r="G187" s="6" t="n"/>
      <c r="H187" s="6" t="n"/>
      <c r="I187" s="8" t="n"/>
      <c r="J187" s="6" t="n"/>
      <c r="K187" s="6" t="n"/>
      <c r="L187" s="6" t="n"/>
      <c r="M187" s="6" t="n"/>
      <c r="O187" s="5" t="n"/>
      <c r="S187" s="6" t="n"/>
      <c r="V187" s="5" t="n"/>
      <c r="X187" s="5" t="n"/>
      <c r="AC187" s="6" t="n"/>
      <c r="AD187" s="6" t="n"/>
      <c r="AE187" s="7">
        <f>IF(X187="","",ROUND('Opening Balance'!$B$4+SUM($AC$2:AC187)-SUM($AD$2:AD187)+SUMPRODUCT(($Q$2:$Q$1501="Collection 收款")*($R$2:$R$1501="Cheque 支票")*($V$2:$V$1501&lt;&gt;"")*($V$2:$V$1501&lt;=X187)*($S$2:$S$1501-'Opening Balance'!$B$15*($R$2:$R$1501="Cheque 支票")*($S$2:$S$1501-TRUNC($S$2:$S$1501))))-'Opening Balance'!$B$15*SUMPRODUCT(($Z$2:Z187="Online collection 网上收款")*($AA$2:AA187&lt;&gt;"")*($AC$2:AC187-TRUNC($AC$2:AC187))),2))</f>
        <v/>
      </c>
    </row>
    <row r="188">
      <c r="A188" s="5" t="n"/>
      <c r="B188" s="6" t="n"/>
      <c r="C188" s="6" t="n"/>
      <c r="D188" s="6" t="n"/>
      <c r="E188" s="7">
        <f>IF(A188="","",SUMPRODUCT(('Daily Sale entry '!$O$2:$O$1501=A188)*('Daily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8" s="6" t="n"/>
      <c r="G188" s="6" t="n"/>
      <c r="H188" s="6" t="n"/>
      <c r="I188" s="8" t="n"/>
      <c r="J188" s="6" t="n"/>
      <c r="K188" s="6" t="n"/>
      <c r="L188" s="6" t="n"/>
      <c r="M188" s="6" t="n"/>
      <c r="O188" s="5" t="n"/>
      <c r="S188" s="6" t="n"/>
      <c r="V188" s="5" t="n"/>
      <c r="X188" s="5" t="n"/>
      <c r="AC188" s="6" t="n"/>
      <c r="AD188" s="6" t="n"/>
      <c r="AE188" s="7">
        <f>IF(X188="","",ROUND('Opening Balance'!$B$4+SUM($AC$2:AC188)-SUM($AD$2:AD188)+SUMPRODUCT(($Q$2:$Q$1501="Collection 收款")*($R$2:$R$1501="Cheque 支票")*($V$2:$V$1501&lt;&gt;"")*($V$2:$V$1501&lt;=X188)*($S$2:$S$1501-'Opening Balance'!$B$15*($R$2:$R$1501="Cheque 支票")*($S$2:$S$1501-TRUNC($S$2:$S$1501))))-'Opening Balance'!$B$15*SUMPRODUCT(($Z$2:Z188="Online collection 网上收款")*($AA$2:AA188&lt;&gt;"")*($AC$2:AC188-TRUNC($AC$2:AC188))),2))</f>
        <v/>
      </c>
    </row>
    <row r="189">
      <c r="A189" s="5" t="n"/>
      <c r="B189" s="6" t="n"/>
      <c r="C189" s="6" t="n"/>
      <c r="D189" s="6" t="n"/>
      <c r="E189" s="7">
        <f>IF(A189="","",SUMPRODUCT(('Daily Sale entry '!$O$2:$O$1501=A189)*('Daily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89" s="6" t="n"/>
      <c r="G189" s="6" t="n"/>
      <c r="H189" s="6" t="n"/>
      <c r="I189" s="8" t="n"/>
      <c r="J189" s="6" t="n"/>
      <c r="K189" s="6" t="n"/>
      <c r="L189" s="6" t="n"/>
      <c r="M189" s="6" t="n"/>
      <c r="O189" s="5" t="n"/>
      <c r="S189" s="6" t="n"/>
      <c r="V189" s="5" t="n"/>
      <c r="X189" s="5" t="n"/>
      <c r="AC189" s="6" t="n"/>
      <c r="AD189" s="6" t="n"/>
      <c r="AE189" s="7">
        <f>IF(X189="","",ROUND('Opening Balance'!$B$4+SUM($AC$2:AC189)-SUM($AD$2:AD189)+SUMPRODUCT(($Q$2:$Q$1501="Collection 收款")*($R$2:$R$1501="Cheque 支票")*($V$2:$V$1501&lt;&gt;"")*($V$2:$V$1501&lt;=X189)*($S$2:$S$1501-'Opening Balance'!$B$15*($R$2:$R$1501="Cheque 支票")*($S$2:$S$1501-TRUNC($S$2:$S$1501))))-'Opening Balance'!$B$15*SUMPRODUCT(($Z$2:Z189="Online collection 网上收款")*($AA$2:AA189&lt;&gt;"")*($AC$2:AC189-TRUNC($AC$2:AC189))),2))</f>
        <v/>
      </c>
    </row>
    <row r="190">
      <c r="A190" s="5" t="n"/>
      <c r="B190" s="6" t="n"/>
      <c r="C190" s="6" t="n"/>
      <c r="D190" s="6" t="n"/>
      <c r="E190" s="7">
        <f>IF(A190="","",SUMPRODUCT(('Daily Sale entry '!$O$2:$O$1501=A190)*('Daily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0" s="6" t="n"/>
      <c r="G190" s="6" t="n"/>
      <c r="H190" s="6" t="n"/>
      <c r="I190" s="8" t="n"/>
      <c r="J190" s="6" t="n"/>
      <c r="K190" s="6" t="n"/>
      <c r="L190" s="6" t="n"/>
      <c r="M190" s="6" t="n"/>
      <c r="O190" s="5" t="n"/>
      <c r="S190" s="6" t="n"/>
      <c r="V190" s="5" t="n"/>
      <c r="X190" s="5" t="n"/>
      <c r="AC190" s="6" t="n"/>
      <c r="AD190" s="6" t="n"/>
      <c r="AE190" s="7">
        <f>IF(X190="","",ROUND('Opening Balance'!$B$4+SUM($AC$2:AC190)-SUM($AD$2:AD190)+SUMPRODUCT(($Q$2:$Q$1501="Collection 收款")*($R$2:$R$1501="Cheque 支票")*($V$2:$V$1501&lt;&gt;"")*($V$2:$V$1501&lt;=X190)*($S$2:$S$1501-'Opening Balance'!$B$15*($R$2:$R$1501="Cheque 支票")*($S$2:$S$1501-TRUNC($S$2:$S$1501))))-'Opening Balance'!$B$15*SUMPRODUCT(($Z$2:Z190="Online collection 网上收款")*($AA$2:AA190&lt;&gt;"")*($AC$2:AC190-TRUNC($AC$2:AC190))),2))</f>
        <v/>
      </c>
    </row>
    <row r="191">
      <c r="A191" s="5" t="n"/>
      <c r="B191" s="6" t="n"/>
      <c r="C191" s="6" t="n"/>
      <c r="D191" s="6" t="n"/>
      <c r="E191" s="7">
        <f>IF(A191="","",SUMPRODUCT(('Daily Sale entry '!$O$2:$O$1501=A191)*('Daily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1" s="6" t="n"/>
      <c r="G191" s="6" t="n"/>
      <c r="H191" s="6" t="n"/>
      <c r="I191" s="8" t="n"/>
      <c r="J191" s="6" t="n"/>
      <c r="K191" s="6" t="n"/>
      <c r="L191" s="6" t="n"/>
      <c r="M191" s="6" t="n"/>
      <c r="O191" s="5" t="n"/>
      <c r="S191" s="6" t="n"/>
      <c r="V191" s="5" t="n"/>
      <c r="X191" s="5" t="n"/>
      <c r="AC191" s="6" t="n"/>
      <c r="AD191" s="6" t="n"/>
      <c r="AE191" s="7">
        <f>IF(X191="","",ROUND('Opening Balance'!$B$4+SUM($AC$2:AC191)-SUM($AD$2:AD191)+SUMPRODUCT(($Q$2:$Q$1501="Collection 收款")*($R$2:$R$1501="Cheque 支票")*($V$2:$V$1501&lt;&gt;"")*($V$2:$V$1501&lt;=X191)*($S$2:$S$1501-'Opening Balance'!$B$15*($R$2:$R$1501="Cheque 支票")*($S$2:$S$1501-TRUNC($S$2:$S$1501))))-'Opening Balance'!$B$15*SUMPRODUCT(($Z$2:Z191="Online collection 网上收款")*($AA$2:AA191&lt;&gt;"")*($AC$2:AC191-TRUNC($AC$2:AC191))),2))</f>
        <v/>
      </c>
    </row>
    <row r="192">
      <c r="A192" s="5" t="n"/>
      <c r="B192" s="6" t="n"/>
      <c r="C192" s="6" t="n"/>
      <c r="D192" s="6" t="n"/>
      <c r="E192" s="7">
        <f>IF(A192="","",SUMPRODUCT(('Daily Sale entry '!$O$2:$O$1501=A192)*('Daily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2" s="6" t="n"/>
      <c r="G192" s="6" t="n"/>
      <c r="H192" s="6" t="n"/>
      <c r="I192" s="8" t="n"/>
      <c r="J192" s="6" t="n"/>
      <c r="K192" s="6" t="n"/>
      <c r="L192" s="6" t="n"/>
      <c r="M192" s="6" t="n"/>
      <c r="O192" s="5" t="n"/>
      <c r="S192" s="6" t="n"/>
      <c r="V192" s="5" t="n"/>
      <c r="X192" s="5" t="n"/>
      <c r="AC192" s="6" t="n"/>
      <c r="AD192" s="6" t="n"/>
      <c r="AE192" s="7">
        <f>IF(X192="","",ROUND('Opening Balance'!$B$4+SUM($AC$2:AC192)-SUM($AD$2:AD192)+SUMPRODUCT(($Q$2:$Q$1501="Collection 收款")*($R$2:$R$1501="Cheque 支票")*($V$2:$V$1501&lt;&gt;"")*($V$2:$V$1501&lt;=X192)*($S$2:$S$1501-'Opening Balance'!$B$15*($R$2:$R$1501="Cheque 支票")*($S$2:$S$1501-TRUNC($S$2:$S$1501))))-'Opening Balance'!$B$15*SUMPRODUCT(($Z$2:Z192="Online collection 网上收款")*($AA$2:AA192&lt;&gt;"")*($AC$2:AC192-TRUNC($AC$2:AC192))),2))</f>
        <v/>
      </c>
    </row>
    <row r="193">
      <c r="A193" s="5" t="n"/>
      <c r="B193" s="6" t="n"/>
      <c r="C193" s="6" t="n"/>
      <c r="D193" s="6" t="n"/>
      <c r="E193" s="7">
        <f>IF(A193="","",SUMPRODUCT(('Daily Sale entry '!$O$2:$O$1501=A193)*('Daily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3" s="6" t="n"/>
      <c r="G193" s="6" t="n"/>
      <c r="H193" s="6" t="n"/>
      <c r="I193" s="8" t="n"/>
      <c r="J193" s="6" t="n"/>
      <c r="K193" s="6" t="n"/>
      <c r="L193" s="6" t="n"/>
      <c r="M193" s="6" t="n"/>
      <c r="O193" s="5" t="n"/>
      <c r="S193" s="6" t="n"/>
      <c r="V193" s="5" t="n"/>
      <c r="X193" s="5" t="n"/>
      <c r="AC193" s="6" t="n"/>
      <c r="AD193" s="6" t="n"/>
      <c r="AE193" s="7">
        <f>IF(X193="","",ROUND('Opening Balance'!$B$4+SUM($AC$2:AC193)-SUM($AD$2:AD193)+SUMPRODUCT(($Q$2:$Q$1501="Collection 收款")*($R$2:$R$1501="Cheque 支票")*($V$2:$V$1501&lt;&gt;"")*($V$2:$V$1501&lt;=X193)*($S$2:$S$1501-'Opening Balance'!$B$15*($R$2:$R$1501="Cheque 支票")*($S$2:$S$1501-TRUNC($S$2:$S$1501))))-'Opening Balance'!$B$15*SUMPRODUCT(($Z$2:Z193="Online collection 网上收款")*($AA$2:AA193&lt;&gt;"")*($AC$2:AC193-TRUNC($AC$2:AC193))),2))</f>
        <v/>
      </c>
    </row>
    <row r="194">
      <c r="A194" s="5" t="n"/>
      <c r="B194" s="6" t="n"/>
      <c r="C194" s="6" t="n"/>
      <c r="D194" s="6" t="n"/>
      <c r="E194" s="7">
        <f>IF(A194="","",SUMPRODUCT(('Daily Sale entry '!$O$2:$O$1501=A194)*('Daily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4" s="6" t="n"/>
      <c r="G194" s="6" t="n"/>
      <c r="H194" s="6" t="n"/>
      <c r="I194" s="8" t="n"/>
      <c r="J194" s="6" t="n"/>
      <c r="K194" s="6" t="n"/>
      <c r="L194" s="6" t="n"/>
      <c r="M194" s="6" t="n"/>
      <c r="O194" s="5" t="n"/>
      <c r="S194" s="6" t="n"/>
      <c r="V194" s="5" t="n"/>
      <c r="X194" s="5" t="n"/>
      <c r="AC194" s="6" t="n"/>
      <c r="AD194" s="6" t="n"/>
      <c r="AE194" s="7">
        <f>IF(X194="","",ROUND('Opening Balance'!$B$4+SUM($AC$2:AC194)-SUM($AD$2:AD194)+SUMPRODUCT(($Q$2:$Q$1501="Collection 收款")*($R$2:$R$1501="Cheque 支票")*($V$2:$V$1501&lt;&gt;"")*($V$2:$V$1501&lt;=X194)*($S$2:$S$1501-'Opening Balance'!$B$15*($R$2:$R$1501="Cheque 支票")*($S$2:$S$1501-TRUNC($S$2:$S$1501))))-'Opening Balance'!$B$15*SUMPRODUCT(($Z$2:Z194="Online collection 网上收款")*($AA$2:AA194&lt;&gt;"")*($AC$2:AC194-TRUNC($AC$2:AC194))),2))</f>
        <v/>
      </c>
    </row>
    <row r="195">
      <c r="A195" s="5" t="n"/>
      <c r="B195" s="6" t="n"/>
      <c r="C195" s="6" t="n"/>
      <c r="D195" s="6" t="n"/>
      <c r="E195" s="7">
        <f>IF(A195="","",SUMPRODUCT(('Daily Sale entry '!$O$2:$O$1501=A195)*('Daily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5" s="6" t="n"/>
      <c r="G195" s="6" t="n"/>
      <c r="H195" s="6" t="n"/>
      <c r="I195" s="8" t="n"/>
      <c r="J195" s="6" t="n"/>
      <c r="K195" s="6" t="n"/>
      <c r="L195" s="6" t="n"/>
      <c r="M195" s="6" t="n"/>
      <c r="O195" s="5" t="n"/>
      <c r="S195" s="6" t="n"/>
      <c r="V195" s="5" t="n"/>
      <c r="X195" s="5" t="n"/>
      <c r="AC195" s="6" t="n"/>
      <c r="AD195" s="6" t="n"/>
      <c r="AE195" s="7">
        <f>IF(X195="","",ROUND('Opening Balance'!$B$4+SUM($AC$2:AC195)-SUM($AD$2:AD195)+SUMPRODUCT(($Q$2:$Q$1501="Collection 收款")*($R$2:$R$1501="Cheque 支票")*($V$2:$V$1501&lt;&gt;"")*($V$2:$V$1501&lt;=X195)*($S$2:$S$1501-'Opening Balance'!$B$15*($R$2:$R$1501="Cheque 支票")*($S$2:$S$1501-TRUNC($S$2:$S$1501))))-'Opening Balance'!$B$15*SUMPRODUCT(($Z$2:Z195="Online collection 网上收款")*($AA$2:AA195&lt;&gt;"")*($AC$2:AC195-TRUNC($AC$2:AC195))),2))</f>
        <v/>
      </c>
    </row>
    <row r="196">
      <c r="A196" s="5" t="n"/>
      <c r="B196" s="6" t="n"/>
      <c r="C196" s="6" t="n"/>
      <c r="D196" s="6" t="n"/>
      <c r="E196" s="7">
        <f>IF(A196="","",SUMPRODUCT(('Daily Sale entry '!$O$2:$O$1501=A196)*('Daily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6" s="6" t="n"/>
      <c r="G196" s="6" t="n"/>
      <c r="H196" s="6" t="n"/>
      <c r="I196" s="8" t="n"/>
      <c r="J196" s="6" t="n"/>
      <c r="K196" s="6" t="n"/>
      <c r="L196" s="6" t="n"/>
      <c r="M196" s="6" t="n"/>
      <c r="O196" s="5" t="n"/>
      <c r="S196" s="6" t="n"/>
      <c r="V196" s="5" t="n"/>
      <c r="X196" s="5" t="n"/>
      <c r="AC196" s="6" t="n"/>
      <c r="AD196" s="6" t="n"/>
      <c r="AE196" s="7">
        <f>IF(X196="","",ROUND('Opening Balance'!$B$4+SUM($AC$2:AC196)-SUM($AD$2:AD196)+SUMPRODUCT(($Q$2:$Q$1501="Collection 收款")*($R$2:$R$1501="Cheque 支票")*($V$2:$V$1501&lt;&gt;"")*($V$2:$V$1501&lt;=X196)*($S$2:$S$1501-'Opening Balance'!$B$15*($R$2:$R$1501="Cheque 支票")*($S$2:$S$1501-TRUNC($S$2:$S$1501))))-'Opening Balance'!$B$15*SUMPRODUCT(($Z$2:Z196="Online collection 网上收款")*($AA$2:AA196&lt;&gt;"")*($AC$2:AC196-TRUNC($AC$2:AC196))),2))</f>
        <v/>
      </c>
    </row>
    <row r="197">
      <c r="A197" s="5" t="n"/>
      <c r="B197" s="6" t="n"/>
      <c r="C197" s="6" t="n"/>
      <c r="D197" s="6" t="n"/>
      <c r="E197" s="7">
        <f>IF(A197="","",SUMPRODUCT(('Daily Sale entry '!$O$2:$O$1501=A197)*('Daily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7" s="6" t="n"/>
      <c r="G197" s="6" t="n"/>
      <c r="H197" s="6" t="n"/>
      <c r="I197" s="8" t="n"/>
      <c r="J197" s="6" t="n"/>
      <c r="K197" s="6" t="n"/>
      <c r="L197" s="6" t="n"/>
      <c r="M197" s="6" t="n"/>
      <c r="O197" s="5" t="n"/>
      <c r="S197" s="6" t="n"/>
      <c r="V197" s="5" t="n"/>
      <c r="X197" s="5" t="n"/>
      <c r="AC197" s="6" t="n"/>
      <c r="AD197" s="6" t="n"/>
      <c r="AE197" s="7">
        <f>IF(X197="","",ROUND('Opening Balance'!$B$4+SUM($AC$2:AC197)-SUM($AD$2:AD197)+SUMPRODUCT(($Q$2:$Q$1501="Collection 收款")*($R$2:$R$1501="Cheque 支票")*($V$2:$V$1501&lt;&gt;"")*($V$2:$V$1501&lt;=X197)*($S$2:$S$1501-'Opening Balance'!$B$15*($R$2:$R$1501="Cheque 支票")*($S$2:$S$1501-TRUNC($S$2:$S$1501))))-'Opening Balance'!$B$15*SUMPRODUCT(($Z$2:Z197="Online collection 网上收款")*($AA$2:AA197&lt;&gt;"")*($AC$2:AC197-TRUNC($AC$2:AC197))),2))</f>
        <v/>
      </c>
    </row>
    <row r="198">
      <c r="A198" s="5" t="n"/>
      <c r="B198" s="6" t="n"/>
      <c r="C198" s="6" t="n"/>
      <c r="D198" s="6" t="n"/>
      <c r="E198" s="7">
        <f>IF(A198="","",SUMPRODUCT(('Daily Sale entry '!$O$2:$O$1501=A198)*('Daily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8" s="6" t="n"/>
      <c r="G198" s="6" t="n"/>
      <c r="H198" s="6" t="n"/>
      <c r="I198" s="8" t="n"/>
      <c r="J198" s="6" t="n"/>
      <c r="K198" s="6" t="n"/>
      <c r="L198" s="6" t="n"/>
      <c r="M198" s="6" t="n"/>
      <c r="O198" s="5" t="n"/>
      <c r="S198" s="6" t="n"/>
      <c r="V198" s="5" t="n"/>
      <c r="X198" s="5" t="n"/>
      <c r="AC198" s="6" t="n"/>
      <c r="AD198" s="6" t="n"/>
      <c r="AE198" s="7">
        <f>IF(X198="","",ROUND('Opening Balance'!$B$4+SUM($AC$2:AC198)-SUM($AD$2:AD198)+SUMPRODUCT(($Q$2:$Q$1501="Collection 收款")*($R$2:$R$1501="Cheque 支票")*($V$2:$V$1501&lt;&gt;"")*($V$2:$V$1501&lt;=X198)*($S$2:$S$1501-'Opening Balance'!$B$15*($R$2:$R$1501="Cheque 支票")*($S$2:$S$1501-TRUNC($S$2:$S$1501))))-'Opening Balance'!$B$15*SUMPRODUCT(($Z$2:Z198="Online collection 网上收款")*($AA$2:AA198&lt;&gt;"")*($AC$2:AC198-TRUNC($AC$2:AC198))),2))</f>
        <v/>
      </c>
    </row>
    <row r="199">
      <c r="A199" s="5" t="n"/>
      <c r="B199" s="6" t="n"/>
      <c r="C199" s="6" t="n"/>
      <c r="D199" s="6" t="n"/>
      <c r="E199" s="7">
        <f>IF(A199="","",SUMPRODUCT(('Daily Sale entry '!$O$2:$O$1501=A199)*('Daily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199" s="6" t="n"/>
      <c r="G199" s="6" t="n"/>
      <c r="H199" s="6" t="n"/>
      <c r="I199" s="8" t="n"/>
      <c r="J199" s="6" t="n"/>
      <c r="K199" s="6" t="n"/>
      <c r="L199" s="6" t="n"/>
      <c r="M199" s="6" t="n"/>
      <c r="O199" s="5" t="n"/>
      <c r="S199" s="6" t="n"/>
      <c r="V199" s="5" t="n"/>
      <c r="X199" s="5" t="n"/>
      <c r="AC199" s="6" t="n"/>
      <c r="AD199" s="6" t="n"/>
      <c r="AE199" s="7">
        <f>IF(X199="","",ROUND('Opening Balance'!$B$4+SUM($AC$2:AC199)-SUM($AD$2:AD199)+SUMPRODUCT(($Q$2:$Q$1501="Collection 收款")*($R$2:$R$1501="Cheque 支票")*($V$2:$V$1501&lt;&gt;"")*($V$2:$V$1501&lt;=X199)*($S$2:$S$1501-'Opening Balance'!$B$15*($R$2:$R$1501="Cheque 支票")*($S$2:$S$1501-TRUNC($S$2:$S$1501))))-'Opening Balance'!$B$15*SUMPRODUCT(($Z$2:Z199="Online collection 网上收款")*($AA$2:AA199&lt;&gt;"")*($AC$2:AC199-TRUNC($AC$2:AC199))),2))</f>
        <v/>
      </c>
    </row>
    <row r="200">
      <c r="A200" s="5" t="n"/>
      <c r="B200" s="6" t="n"/>
      <c r="C200" s="6" t="n"/>
      <c r="D200" s="6" t="n"/>
      <c r="E200" s="7">
        <f>IF(A200="","",SUMPRODUCT(('Daily Sale entry '!$O$2:$O$1501=A200)*('Daily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0" s="6" t="n"/>
      <c r="G200" s="6" t="n"/>
      <c r="H200" s="6" t="n"/>
      <c r="I200" s="8" t="n"/>
      <c r="J200" s="6" t="n"/>
      <c r="K200" s="6" t="n"/>
      <c r="L200" s="6" t="n"/>
      <c r="M200" s="6" t="n"/>
      <c r="O200" s="5" t="n"/>
      <c r="S200" s="6" t="n"/>
      <c r="V200" s="5" t="n"/>
      <c r="X200" s="5" t="n"/>
      <c r="AC200" s="6" t="n"/>
      <c r="AD200" s="6" t="n"/>
      <c r="AE200" s="7">
        <f>IF(X200="","",ROUND('Opening Balance'!$B$4+SUM($AC$2:AC200)-SUM($AD$2:AD200)+SUMPRODUCT(($Q$2:$Q$1501="Collection 收款")*($R$2:$R$1501="Cheque 支票")*($V$2:$V$1501&lt;&gt;"")*($V$2:$V$1501&lt;=X200)*($S$2:$S$1501-'Opening Balance'!$B$15*($R$2:$R$1501="Cheque 支票")*($S$2:$S$1501-TRUNC($S$2:$S$1501))))-'Opening Balance'!$B$15*SUMPRODUCT(($Z$2:Z200="Online collection 网上收款")*($AA$2:AA200&lt;&gt;"")*($AC$2:AC200-TRUNC($AC$2:AC200))),2))</f>
        <v/>
      </c>
    </row>
    <row r="201">
      <c r="A201" s="5" t="n"/>
      <c r="B201" s="6" t="n"/>
      <c r="C201" s="6" t="n"/>
      <c r="D201" s="6" t="n"/>
      <c r="E201" s="7">
        <f>IF(A201="","",SUMPRODUCT(('Daily Sale entry '!$O$2:$O$1501=A201)*('Daily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1" s="6" t="n"/>
      <c r="G201" s="6" t="n"/>
      <c r="H201" s="6" t="n"/>
      <c r="I201" s="8" t="n"/>
      <c r="J201" s="6" t="n"/>
      <c r="K201" s="6" t="n"/>
      <c r="L201" s="6" t="n"/>
      <c r="M201" s="6" t="n"/>
      <c r="O201" s="5" t="n"/>
      <c r="S201" s="6" t="n"/>
      <c r="V201" s="5" t="n"/>
      <c r="X201" s="5" t="n"/>
      <c r="AC201" s="6" t="n"/>
      <c r="AD201" s="6" t="n"/>
      <c r="AE201" s="7">
        <f>IF(X201="","",ROUND('Opening Balance'!$B$4+SUM($AC$2:AC201)-SUM($AD$2:AD201)+SUMPRODUCT(($Q$2:$Q$1501="Collection 收款")*($R$2:$R$1501="Cheque 支票")*($V$2:$V$1501&lt;&gt;"")*($V$2:$V$1501&lt;=X201)*($S$2:$S$1501-'Opening Balance'!$B$15*($R$2:$R$1501="Cheque 支票")*($S$2:$S$1501-TRUNC($S$2:$S$1501))))-'Opening Balance'!$B$15*SUMPRODUCT(($Z$2:Z201="Online collection 网上收款")*($AA$2:AA201&lt;&gt;"")*($AC$2:AC201-TRUNC($AC$2:AC201))),2))</f>
        <v/>
      </c>
    </row>
    <row r="202">
      <c r="A202" s="5" t="n"/>
      <c r="B202" s="6" t="n"/>
      <c r="C202" s="6" t="n"/>
      <c r="D202" s="6" t="n"/>
      <c r="E202" s="7">
        <f>IF(A202="","",SUMPRODUCT(('Daily Sale entry '!$O$2:$O$1501=A202)*('Daily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2" s="6" t="n"/>
      <c r="G202" s="6" t="n"/>
      <c r="H202" s="6" t="n"/>
      <c r="I202" s="8" t="n"/>
      <c r="J202" s="6" t="n"/>
      <c r="K202" s="6" t="n"/>
      <c r="L202" s="6" t="n"/>
      <c r="M202" s="6" t="n"/>
      <c r="O202" s="5" t="n"/>
      <c r="S202" s="6" t="n"/>
      <c r="V202" s="5" t="n"/>
      <c r="X202" s="5" t="n"/>
      <c r="AC202" s="6" t="n"/>
      <c r="AD202" s="6" t="n"/>
      <c r="AE202" s="7">
        <f>IF(X202="","",ROUND('Opening Balance'!$B$4+SUM($AC$2:AC202)-SUM($AD$2:AD202)+SUMPRODUCT(($Q$2:$Q$1501="Collection 收款")*($R$2:$R$1501="Cheque 支票")*($V$2:$V$1501&lt;&gt;"")*($V$2:$V$1501&lt;=X202)*($S$2:$S$1501-'Opening Balance'!$B$15*($R$2:$R$1501="Cheque 支票")*($S$2:$S$1501-TRUNC($S$2:$S$1501))))-'Opening Balance'!$B$15*SUMPRODUCT(($Z$2:Z202="Online collection 网上收款")*($AA$2:AA202&lt;&gt;"")*($AC$2:AC202-TRUNC($AC$2:AC202))),2))</f>
        <v/>
      </c>
    </row>
    <row r="203">
      <c r="A203" s="5" t="n"/>
      <c r="B203" s="6" t="n"/>
      <c r="C203" s="6" t="n"/>
      <c r="D203" s="6" t="n"/>
      <c r="E203" s="7">
        <f>IF(A203="","",SUMPRODUCT(('Daily Sale entry '!$O$2:$O$1501=A203)*('Daily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3" s="6" t="n"/>
      <c r="G203" s="6" t="n"/>
      <c r="H203" s="6" t="n"/>
      <c r="I203" s="8" t="n"/>
      <c r="J203" s="6" t="n"/>
      <c r="K203" s="6" t="n"/>
      <c r="L203" s="6" t="n"/>
      <c r="M203" s="6" t="n"/>
      <c r="O203" s="5" t="n"/>
      <c r="S203" s="6" t="n"/>
      <c r="V203" s="5" t="n"/>
      <c r="X203" s="5" t="n"/>
      <c r="AC203" s="6" t="n"/>
      <c r="AD203" s="6" t="n"/>
      <c r="AE203" s="7">
        <f>IF(X203="","",ROUND('Opening Balance'!$B$4+SUM($AC$2:AC203)-SUM($AD$2:AD203)+SUMPRODUCT(($Q$2:$Q$1501="Collection 收款")*($R$2:$R$1501="Cheque 支票")*($V$2:$V$1501&lt;&gt;"")*($V$2:$V$1501&lt;=X203)*($S$2:$S$1501-'Opening Balance'!$B$15*($R$2:$R$1501="Cheque 支票")*($S$2:$S$1501-TRUNC($S$2:$S$1501))))-'Opening Balance'!$B$15*SUMPRODUCT(($Z$2:Z203="Online collection 网上收款")*($AA$2:AA203&lt;&gt;"")*($AC$2:AC203-TRUNC($AC$2:AC203))),2))</f>
        <v/>
      </c>
    </row>
    <row r="204">
      <c r="A204" s="5" t="n"/>
      <c r="B204" s="6" t="n"/>
      <c r="C204" s="6" t="n"/>
      <c r="D204" s="6" t="n"/>
      <c r="E204" s="7">
        <f>IF(A204="","",SUMPRODUCT(('Daily Sale entry '!$O$2:$O$1501=A204)*('Daily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4" s="6" t="n"/>
      <c r="G204" s="6" t="n"/>
      <c r="H204" s="6" t="n"/>
      <c r="I204" s="8" t="n"/>
      <c r="J204" s="6" t="n"/>
      <c r="K204" s="6" t="n"/>
      <c r="L204" s="6" t="n"/>
      <c r="M204" s="6" t="n"/>
      <c r="O204" s="5" t="n"/>
      <c r="S204" s="6" t="n"/>
      <c r="V204" s="5" t="n"/>
      <c r="X204" s="5" t="n"/>
      <c r="AC204" s="6" t="n"/>
      <c r="AD204" s="6" t="n"/>
      <c r="AE204" s="7">
        <f>IF(X204="","",ROUND('Opening Balance'!$B$4+SUM($AC$2:AC204)-SUM($AD$2:AD204)+SUMPRODUCT(($Q$2:$Q$1501="Collection 收款")*($R$2:$R$1501="Cheque 支票")*($V$2:$V$1501&lt;&gt;"")*($V$2:$V$1501&lt;=X204)*($S$2:$S$1501-'Opening Balance'!$B$15*($R$2:$R$1501="Cheque 支票")*($S$2:$S$1501-TRUNC($S$2:$S$1501))))-'Opening Balance'!$B$15*SUMPRODUCT(($Z$2:Z204="Online collection 网上收款")*($AA$2:AA204&lt;&gt;"")*($AC$2:AC204-TRUNC($AC$2:AC204))),2))</f>
        <v/>
      </c>
    </row>
    <row r="205">
      <c r="A205" s="5" t="n"/>
      <c r="B205" s="6" t="n"/>
      <c r="C205" s="6" t="n"/>
      <c r="D205" s="6" t="n"/>
      <c r="E205" s="7">
        <f>IF(A205="","",SUMPRODUCT(('Daily Sale entry '!$O$2:$O$1501=A205)*('Daily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5" s="6" t="n"/>
      <c r="G205" s="6" t="n"/>
      <c r="H205" s="6" t="n"/>
      <c r="I205" s="8" t="n"/>
      <c r="J205" s="6" t="n"/>
      <c r="K205" s="6" t="n"/>
      <c r="L205" s="6" t="n"/>
      <c r="M205" s="6" t="n"/>
      <c r="O205" s="5" t="n"/>
      <c r="S205" s="6" t="n"/>
      <c r="V205" s="5" t="n"/>
      <c r="X205" s="5" t="n"/>
      <c r="AC205" s="6" t="n"/>
      <c r="AD205" s="6" t="n"/>
      <c r="AE205" s="7">
        <f>IF(X205="","",ROUND('Opening Balance'!$B$4+SUM($AC$2:AC205)-SUM($AD$2:AD205)+SUMPRODUCT(($Q$2:$Q$1501="Collection 收款")*($R$2:$R$1501="Cheque 支票")*($V$2:$V$1501&lt;&gt;"")*($V$2:$V$1501&lt;=X205)*($S$2:$S$1501-'Opening Balance'!$B$15*($R$2:$R$1501="Cheque 支票")*($S$2:$S$1501-TRUNC($S$2:$S$1501))))-'Opening Balance'!$B$15*SUMPRODUCT(($Z$2:Z205="Online collection 网上收款")*($AA$2:AA205&lt;&gt;"")*($AC$2:AC205-TRUNC($AC$2:AC205))),2))</f>
        <v/>
      </c>
    </row>
    <row r="206">
      <c r="A206" s="5" t="n"/>
      <c r="B206" s="6" t="n"/>
      <c r="C206" s="6" t="n"/>
      <c r="D206" s="6" t="n"/>
      <c r="E206" s="7">
        <f>IF(A206="","",SUMPRODUCT(('Daily Sale entry '!$O$2:$O$1501=A206)*('Daily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6" s="6" t="n"/>
      <c r="G206" s="6" t="n"/>
      <c r="H206" s="6" t="n"/>
      <c r="I206" s="8" t="n"/>
      <c r="J206" s="6" t="n"/>
      <c r="K206" s="6" t="n"/>
      <c r="L206" s="6" t="n"/>
      <c r="M206" s="6" t="n"/>
      <c r="O206" s="5" t="n"/>
      <c r="S206" s="6" t="n"/>
      <c r="V206" s="5" t="n"/>
      <c r="X206" s="5" t="n"/>
      <c r="AC206" s="6" t="n"/>
      <c r="AD206" s="6" t="n"/>
      <c r="AE206" s="7">
        <f>IF(X206="","",ROUND('Opening Balance'!$B$4+SUM($AC$2:AC206)-SUM($AD$2:AD206)+SUMPRODUCT(($Q$2:$Q$1501="Collection 收款")*($R$2:$R$1501="Cheque 支票")*($V$2:$V$1501&lt;&gt;"")*($V$2:$V$1501&lt;=X206)*($S$2:$S$1501-'Opening Balance'!$B$15*($R$2:$R$1501="Cheque 支票")*($S$2:$S$1501-TRUNC($S$2:$S$1501))))-'Opening Balance'!$B$15*SUMPRODUCT(($Z$2:Z206="Online collection 网上收款")*($AA$2:AA206&lt;&gt;"")*($AC$2:AC206-TRUNC($AC$2:AC206))),2))</f>
        <v/>
      </c>
    </row>
    <row r="207">
      <c r="A207" s="5" t="n"/>
      <c r="B207" s="6" t="n"/>
      <c r="C207" s="6" t="n"/>
      <c r="D207" s="6" t="n"/>
      <c r="E207" s="7">
        <f>IF(A207="","",SUMPRODUCT(('Daily Sale entry '!$O$2:$O$1501=A207)*('Daily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7" s="6" t="n"/>
      <c r="G207" s="6" t="n"/>
      <c r="H207" s="6" t="n"/>
      <c r="I207" s="8" t="n"/>
      <c r="J207" s="6" t="n"/>
      <c r="K207" s="6" t="n"/>
      <c r="L207" s="6" t="n"/>
      <c r="M207" s="6" t="n"/>
      <c r="O207" s="5" t="n"/>
      <c r="S207" s="6" t="n"/>
      <c r="V207" s="5" t="n"/>
      <c r="X207" s="5" t="n"/>
      <c r="AC207" s="6" t="n"/>
      <c r="AD207" s="6" t="n"/>
      <c r="AE207" s="7">
        <f>IF(X207="","",ROUND('Opening Balance'!$B$4+SUM($AC$2:AC207)-SUM($AD$2:AD207)+SUMPRODUCT(($Q$2:$Q$1501="Collection 收款")*($R$2:$R$1501="Cheque 支票")*($V$2:$V$1501&lt;&gt;"")*($V$2:$V$1501&lt;=X207)*($S$2:$S$1501-'Opening Balance'!$B$15*($R$2:$R$1501="Cheque 支票")*($S$2:$S$1501-TRUNC($S$2:$S$1501))))-'Opening Balance'!$B$15*SUMPRODUCT(($Z$2:Z207="Online collection 网上收款")*($AA$2:AA207&lt;&gt;"")*($AC$2:AC207-TRUNC($AC$2:AC207))),2))</f>
        <v/>
      </c>
    </row>
    <row r="208">
      <c r="A208" s="5" t="n"/>
      <c r="B208" s="6" t="n"/>
      <c r="C208" s="6" t="n"/>
      <c r="D208" s="6" t="n"/>
      <c r="E208" s="7">
        <f>IF(A208="","",SUMPRODUCT(('Daily Sale entry '!$O$2:$O$1501=A208)*('Daily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8" s="6" t="n"/>
      <c r="G208" s="6" t="n"/>
      <c r="H208" s="6" t="n"/>
      <c r="I208" s="8" t="n"/>
      <c r="J208" s="6" t="n"/>
      <c r="K208" s="6" t="n"/>
      <c r="L208" s="6" t="n"/>
      <c r="M208" s="6" t="n"/>
      <c r="O208" s="5" t="n"/>
      <c r="S208" s="6" t="n"/>
      <c r="V208" s="5" t="n"/>
      <c r="X208" s="5" t="n"/>
      <c r="AC208" s="6" t="n"/>
      <c r="AD208" s="6" t="n"/>
      <c r="AE208" s="7">
        <f>IF(X208="","",ROUND('Opening Balance'!$B$4+SUM($AC$2:AC208)-SUM($AD$2:AD208)+SUMPRODUCT(($Q$2:$Q$1501="Collection 收款")*($R$2:$R$1501="Cheque 支票")*($V$2:$V$1501&lt;&gt;"")*($V$2:$V$1501&lt;=X208)*($S$2:$S$1501-'Opening Balance'!$B$15*($R$2:$R$1501="Cheque 支票")*($S$2:$S$1501-TRUNC($S$2:$S$1501))))-'Opening Balance'!$B$15*SUMPRODUCT(($Z$2:Z208="Online collection 网上收款")*($AA$2:AA208&lt;&gt;"")*($AC$2:AC208-TRUNC($AC$2:AC208))),2))</f>
        <v/>
      </c>
    </row>
    <row r="209">
      <c r="A209" s="5" t="n"/>
      <c r="B209" s="6" t="n"/>
      <c r="C209" s="6" t="n"/>
      <c r="D209" s="6" t="n"/>
      <c r="E209" s="7">
        <f>IF(A209="","",SUMPRODUCT(('Daily Sale entry '!$O$2:$O$1501=A209)*('Daily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09" s="6" t="n"/>
      <c r="G209" s="6" t="n"/>
      <c r="H209" s="6" t="n"/>
      <c r="I209" s="8" t="n"/>
      <c r="J209" s="6" t="n"/>
      <c r="K209" s="6" t="n"/>
      <c r="L209" s="6" t="n"/>
      <c r="M209" s="6" t="n"/>
      <c r="O209" s="5" t="n"/>
      <c r="S209" s="6" t="n"/>
      <c r="V209" s="5" t="n"/>
      <c r="X209" s="5" t="n"/>
      <c r="AC209" s="6" t="n"/>
      <c r="AD209" s="6" t="n"/>
      <c r="AE209" s="7">
        <f>IF(X209="","",ROUND('Opening Balance'!$B$4+SUM($AC$2:AC209)-SUM($AD$2:AD209)+SUMPRODUCT(($Q$2:$Q$1501="Collection 收款")*($R$2:$R$1501="Cheque 支票")*($V$2:$V$1501&lt;&gt;"")*($V$2:$V$1501&lt;=X209)*($S$2:$S$1501-'Opening Balance'!$B$15*($R$2:$R$1501="Cheque 支票")*($S$2:$S$1501-TRUNC($S$2:$S$1501))))-'Opening Balance'!$B$15*SUMPRODUCT(($Z$2:Z209="Online collection 网上收款")*($AA$2:AA209&lt;&gt;"")*($AC$2:AC209-TRUNC($AC$2:AC209))),2))</f>
        <v/>
      </c>
    </row>
    <row r="210">
      <c r="A210" s="5" t="n"/>
      <c r="B210" s="6" t="n"/>
      <c r="C210" s="6" t="n"/>
      <c r="D210" s="6" t="n"/>
      <c r="E210" s="7">
        <f>IF(A210="","",SUMPRODUCT(('Daily Sale entry '!$O$2:$O$1501=A210)*('Daily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0" s="6" t="n"/>
      <c r="G210" s="6" t="n"/>
      <c r="H210" s="6" t="n"/>
      <c r="I210" s="8" t="n"/>
      <c r="J210" s="6" t="n"/>
      <c r="K210" s="6" t="n"/>
      <c r="L210" s="6" t="n"/>
      <c r="M210" s="6" t="n"/>
      <c r="O210" s="5" t="n"/>
      <c r="S210" s="6" t="n"/>
      <c r="V210" s="5" t="n"/>
      <c r="X210" s="5" t="n"/>
      <c r="AC210" s="6" t="n"/>
      <c r="AD210" s="6" t="n"/>
      <c r="AE210" s="7">
        <f>IF(X210="","",ROUND('Opening Balance'!$B$4+SUM($AC$2:AC210)-SUM($AD$2:AD210)+SUMPRODUCT(($Q$2:$Q$1501="Collection 收款")*($R$2:$R$1501="Cheque 支票")*($V$2:$V$1501&lt;&gt;"")*($V$2:$V$1501&lt;=X210)*($S$2:$S$1501-'Opening Balance'!$B$15*($R$2:$R$1501="Cheque 支票")*($S$2:$S$1501-TRUNC($S$2:$S$1501))))-'Opening Balance'!$B$15*SUMPRODUCT(($Z$2:Z210="Online collection 网上收款")*($AA$2:AA210&lt;&gt;"")*($AC$2:AC210-TRUNC($AC$2:AC210))),2))</f>
        <v/>
      </c>
    </row>
    <row r="211">
      <c r="A211" s="5" t="n"/>
      <c r="B211" s="6" t="n"/>
      <c r="C211" s="6" t="n"/>
      <c r="D211" s="6" t="n"/>
      <c r="E211" s="7">
        <f>IF(A211="","",SUMPRODUCT(('Daily Sale entry '!$O$2:$O$1501=A211)*('Daily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1" s="6" t="n"/>
      <c r="G211" s="6" t="n"/>
      <c r="H211" s="6" t="n"/>
      <c r="I211" s="8" t="n"/>
      <c r="J211" s="6" t="n"/>
      <c r="K211" s="6" t="n"/>
      <c r="L211" s="6" t="n"/>
      <c r="M211" s="6" t="n"/>
      <c r="O211" s="5" t="n"/>
      <c r="S211" s="6" t="n"/>
      <c r="V211" s="5" t="n"/>
      <c r="X211" s="5" t="n"/>
      <c r="AC211" s="6" t="n"/>
      <c r="AD211" s="6" t="n"/>
      <c r="AE211" s="7">
        <f>IF(X211="","",ROUND('Opening Balance'!$B$4+SUM($AC$2:AC211)-SUM($AD$2:AD211)+SUMPRODUCT(($Q$2:$Q$1501="Collection 收款")*($R$2:$R$1501="Cheque 支票")*($V$2:$V$1501&lt;&gt;"")*($V$2:$V$1501&lt;=X211)*($S$2:$S$1501-'Opening Balance'!$B$15*($R$2:$R$1501="Cheque 支票")*($S$2:$S$1501-TRUNC($S$2:$S$1501))))-'Opening Balance'!$B$15*SUMPRODUCT(($Z$2:Z211="Online collection 网上收款")*($AA$2:AA211&lt;&gt;"")*($AC$2:AC211-TRUNC($AC$2:AC211))),2))</f>
        <v/>
      </c>
    </row>
    <row r="212">
      <c r="A212" s="5" t="n"/>
      <c r="B212" s="6" t="n"/>
      <c r="C212" s="6" t="n"/>
      <c r="D212" s="6" t="n"/>
      <c r="E212" s="7">
        <f>IF(A212="","",SUMPRODUCT(('Daily Sale entry '!$O$2:$O$1501=A212)*('Daily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2" s="6" t="n"/>
      <c r="G212" s="6" t="n"/>
      <c r="H212" s="6" t="n"/>
      <c r="I212" s="8" t="n"/>
      <c r="J212" s="6" t="n"/>
      <c r="K212" s="6" t="n"/>
      <c r="L212" s="6" t="n"/>
      <c r="M212" s="6" t="n"/>
      <c r="O212" s="5" t="n"/>
      <c r="S212" s="6" t="n"/>
      <c r="V212" s="5" t="n"/>
      <c r="X212" s="5" t="n"/>
      <c r="AC212" s="6" t="n"/>
      <c r="AD212" s="6" t="n"/>
      <c r="AE212" s="7">
        <f>IF(X212="","",ROUND('Opening Balance'!$B$4+SUM($AC$2:AC212)-SUM($AD$2:AD212)+SUMPRODUCT(($Q$2:$Q$1501="Collection 收款")*($R$2:$R$1501="Cheque 支票")*($V$2:$V$1501&lt;&gt;"")*($V$2:$V$1501&lt;=X212)*($S$2:$S$1501-'Opening Balance'!$B$15*($R$2:$R$1501="Cheque 支票")*($S$2:$S$1501-TRUNC($S$2:$S$1501))))-'Opening Balance'!$B$15*SUMPRODUCT(($Z$2:Z212="Online collection 网上收款")*($AA$2:AA212&lt;&gt;"")*($AC$2:AC212-TRUNC($AC$2:AC212))),2))</f>
        <v/>
      </c>
    </row>
    <row r="213">
      <c r="A213" s="5" t="n"/>
      <c r="B213" s="6" t="n"/>
      <c r="C213" s="6" t="n"/>
      <c r="D213" s="6" t="n"/>
      <c r="E213" s="7">
        <f>IF(A213="","",SUMPRODUCT(('Daily Sale entry '!$O$2:$O$1501=A213)*('Daily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3" s="6" t="n"/>
      <c r="G213" s="6" t="n"/>
      <c r="H213" s="6" t="n"/>
      <c r="I213" s="8" t="n"/>
      <c r="J213" s="6" t="n"/>
      <c r="K213" s="6" t="n"/>
      <c r="L213" s="6" t="n"/>
      <c r="M213" s="6" t="n"/>
      <c r="O213" s="5" t="n"/>
      <c r="S213" s="6" t="n"/>
      <c r="V213" s="5" t="n"/>
      <c r="X213" s="5" t="n"/>
      <c r="AC213" s="6" t="n"/>
      <c r="AD213" s="6" t="n"/>
      <c r="AE213" s="7">
        <f>IF(X213="","",ROUND('Opening Balance'!$B$4+SUM($AC$2:AC213)-SUM($AD$2:AD213)+SUMPRODUCT(($Q$2:$Q$1501="Collection 收款")*($R$2:$R$1501="Cheque 支票")*($V$2:$V$1501&lt;&gt;"")*($V$2:$V$1501&lt;=X213)*($S$2:$S$1501-'Opening Balance'!$B$15*($R$2:$R$1501="Cheque 支票")*($S$2:$S$1501-TRUNC($S$2:$S$1501))))-'Opening Balance'!$B$15*SUMPRODUCT(($Z$2:Z213="Online collection 网上收款")*($AA$2:AA213&lt;&gt;"")*($AC$2:AC213-TRUNC($AC$2:AC213))),2))</f>
        <v/>
      </c>
    </row>
    <row r="214">
      <c r="A214" s="5" t="n"/>
      <c r="B214" s="6" t="n"/>
      <c r="C214" s="6" t="n"/>
      <c r="D214" s="6" t="n"/>
      <c r="E214" s="7">
        <f>IF(A214="","",SUMPRODUCT(('Daily Sale entry '!$O$2:$O$1501=A214)*('Daily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4" s="6" t="n"/>
      <c r="G214" s="6" t="n"/>
      <c r="H214" s="6" t="n"/>
      <c r="I214" s="8" t="n"/>
      <c r="J214" s="6" t="n"/>
      <c r="K214" s="6" t="n"/>
      <c r="L214" s="6" t="n"/>
      <c r="M214" s="6" t="n"/>
      <c r="O214" s="5" t="n"/>
      <c r="S214" s="6" t="n"/>
      <c r="V214" s="5" t="n"/>
      <c r="X214" s="5" t="n"/>
      <c r="AC214" s="6" t="n"/>
      <c r="AD214" s="6" t="n"/>
      <c r="AE214" s="7">
        <f>IF(X214="","",ROUND('Opening Balance'!$B$4+SUM($AC$2:AC214)-SUM($AD$2:AD214)+SUMPRODUCT(($Q$2:$Q$1501="Collection 收款")*($R$2:$R$1501="Cheque 支票")*($V$2:$V$1501&lt;&gt;"")*($V$2:$V$1501&lt;=X214)*($S$2:$S$1501-'Opening Balance'!$B$15*($R$2:$R$1501="Cheque 支票")*($S$2:$S$1501-TRUNC($S$2:$S$1501))))-'Opening Balance'!$B$15*SUMPRODUCT(($Z$2:Z214="Online collection 网上收款")*($AA$2:AA214&lt;&gt;"")*($AC$2:AC214-TRUNC($AC$2:AC214))),2))</f>
        <v/>
      </c>
    </row>
    <row r="215">
      <c r="A215" s="5" t="n"/>
      <c r="B215" s="6" t="n"/>
      <c r="C215" s="6" t="n"/>
      <c r="D215" s="6" t="n"/>
      <c r="E215" s="7">
        <f>IF(A215="","",SUMPRODUCT(('Daily Sale entry '!$O$2:$O$1501=A215)*('Daily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5" s="6" t="n"/>
      <c r="G215" s="6" t="n"/>
      <c r="H215" s="6" t="n"/>
      <c r="I215" s="8" t="n"/>
      <c r="J215" s="6" t="n"/>
      <c r="K215" s="6" t="n"/>
      <c r="L215" s="6" t="n"/>
      <c r="M215" s="6" t="n"/>
      <c r="O215" s="5" t="n"/>
      <c r="S215" s="6" t="n"/>
      <c r="V215" s="5" t="n"/>
      <c r="X215" s="5" t="n"/>
      <c r="AC215" s="6" t="n"/>
      <c r="AD215" s="6" t="n"/>
      <c r="AE215" s="7">
        <f>IF(X215="","",ROUND('Opening Balance'!$B$4+SUM($AC$2:AC215)-SUM($AD$2:AD215)+SUMPRODUCT(($Q$2:$Q$1501="Collection 收款")*($R$2:$R$1501="Cheque 支票")*($V$2:$V$1501&lt;&gt;"")*($V$2:$V$1501&lt;=X215)*($S$2:$S$1501-'Opening Balance'!$B$15*($R$2:$R$1501="Cheque 支票")*($S$2:$S$1501-TRUNC($S$2:$S$1501))))-'Opening Balance'!$B$15*SUMPRODUCT(($Z$2:Z215="Online collection 网上收款")*($AA$2:AA215&lt;&gt;"")*($AC$2:AC215-TRUNC($AC$2:AC215))),2))</f>
        <v/>
      </c>
    </row>
    <row r="216">
      <c r="A216" s="5" t="n"/>
      <c r="B216" s="6" t="n"/>
      <c r="C216" s="6" t="n"/>
      <c r="D216" s="6" t="n"/>
      <c r="E216" s="7">
        <f>IF(A216="","",SUMPRODUCT(('Daily Sale entry '!$O$2:$O$1501=A216)*('Daily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6" s="6" t="n"/>
      <c r="G216" s="6" t="n"/>
      <c r="H216" s="6" t="n"/>
      <c r="I216" s="8" t="n"/>
      <c r="J216" s="6" t="n"/>
      <c r="K216" s="6" t="n"/>
      <c r="L216" s="6" t="n"/>
      <c r="M216" s="6" t="n"/>
      <c r="O216" s="5" t="n"/>
      <c r="S216" s="6" t="n"/>
      <c r="V216" s="5" t="n"/>
      <c r="X216" s="5" t="n"/>
      <c r="AC216" s="6" t="n"/>
      <c r="AD216" s="6" t="n"/>
      <c r="AE216" s="7">
        <f>IF(X216="","",ROUND('Opening Balance'!$B$4+SUM($AC$2:AC216)-SUM($AD$2:AD216)+SUMPRODUCT(($Q$2:$Q$1501="Collection 收款")*($R$2:$R$1501="Cheque 支票")*($V$2:$V$1501&lt;&gt;"")*($V$2:$V$1501&lt;=X216)*($S$2:$S$1501-'Opening Balance'!$B$15*($R$2:$R$1501="Cheque 支票")*($S$2:$S$1501-TRUNC($S$2:$S$1501))))-'Opening Balance'!$B$15*SUMPRODUCT(($Z$2:Z216="Online collection 网上收款")*($AA$2:AA216&lt;&gt;"")*($AC$2:AC216-TRUNC($AC$2:AC216))),2))</f>
        <v/>
      </c>
    </row>
    <row r="217">
      <c r="A217" s="5" t="n"/>
      <c r="B217" s="6" t="n"/>
      <c r="C217" s="6" t="n"/>
      <c r="D217" s="6" t="n"/>
      <c r="E217" s="7">
        <f>IF(A217="","",SUMPRODUCT(('Daily Sale entry '!$O$2:$O$1501=A217)*('Daily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7" s="6" t="n"/>
      <c r="G217" s="6" t="n"/>
      <c r="H217" s="6" t="n"/>
      <c r="I217" s="8" t="n"/>
      <c r="J217" s="6" t="n"/>
      <c r="K217" s="6" t="n"/>
      <c r="L217" s="6" t="n"/>
      <c r="M217" s="6" t="n"/>
      <c r="O217" s="5" t="n"/>
      <c r="S217" s="6" t="n"/>
      <c r="V217" s="5" t="n"/>
      <c r="X217" s="5" t="n"/>
      <c r="AC217" s="6" t="n"/>
      <c r="AD217" s="6" t="n"/>
      <c r="AE217" s="7">
        <f>IF(X217="","",ROUND('Opening Balance'!$B$4+SUM($AC$2:AC217)-SUM($AD$2:AD217)+SUMPRODUCT(($Q$2:$Q$1501="Collection 收款")*($R$2:$R$1501="Cheque 支票")*($V$2:$V$1501&lt;&gt;"")*($V$2:$V$1501&lt;=X217)*($S$2:$S$1501-'Opening Balance'!$B$15*($R$2:$R$1501="Cheque 支票")*($S$2:$S$1501-TRUNC($S$2:$S$1501))))-'Opening Balance'!$B$15*SUMPRODUCT(($Z$2:Z217="Online collection 网上收款")*($AA$2:AA217&lt;&gt;"")*($AC$2:AC217-TRUNC($AC$2:AC217))),2))</f>
        <v/>
      </c>
    </row>
    <row r="218">
      <c r="A218" s="5" t="n"/>
      <c r="B218" s="6" t="n"/>
      <c r="C218" s="6" t="n"/>
      <c r="D218" s="6" t="n"/>
      <c r="E218" s="7">
        <f>IF(A218="","",SUMPRODUCT(('Daily Sale entry '!$O$2:$O$1501=A218)*('Daily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8" s="6" t="n"/>
      <c r="G218" s="6" t="n"/>
      <c r="H218" s="6" t="n"/>
      <c r="I218" s="8" t="n"/>
      <c r="J218" s="6" t="n"/>
      <c r="K218" s="6" t="n"/>
      <c r="L218" s="6" t="n"/>
      <c r="M218" s="6" t="n"/>
      <c r="O218" s="5" t="n"/>
      <c r="S218" s="6" t="n"/>
      <c r="V218" s="5" t="n"/>
      <c r="X218" s="5" t="n"/>
      <c r="AC218" s="6" t="n"/>
      <c r="AD218" s="6" t="n"/>
      <c r="AE218" s="7">
        <f>IF(X218="","",ROUND('Opening Balance'!$B$4+SUM($AC$2:AC218)-SUM($AD$2:AD218)+SUMPRODUCT(($Q$2:$Q$1501="Collection 收款")*($R$2:$R$1501="Cheque 支票")*($V$2:$V$1501&lt;&gt;"")*($V$2:$V$1501&lt;=X218)*($S$2:$S$1501-'Opening Balance'!$B$15*($R$2:$R$1501="Cheque 支票")*($S$2:$S$1501-TRUNC($S$2:$S$1501))))-'Opening Balance'!$B$15*SUMPRODUCT(($Z$2:Z218="Online collection 网上收款")*($AA$2:AA218&lt;&gt;"")*($AC$2:AC218-TRUNC($AC$2:AC218))),2))</f>
        <v/>
      </c>
    </row>
    <row r="219">
      <c r="A219" s="5" t="n"/>
      <c r="B219" s="6" t="n"/>
      <c r="C219" s="6" t="n"/>
      <c r="D219" s="6" t="n"/>
      <c r="E219" s="7">
        <f>IF(A219="","",SUMPRODUCT(('Daily Sale entry '!$O$2:$O$1501=A219)*('Daily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19" s="6" t="n"/>
      <c r="G219" s="6" t="n"/>
      <c r="H219" s="6" t="n"/>
      <c r="I219" s="8" t="n"/>
      <c r="J219" s="6" t="n"/>
      <c r="K219" s="6" t="n"/>
      <c r="L219" s="6" t="n"/>
      <c r="M219" s="6" t="n"/>
      <c r="O219" s="5" t="n"/>
      <c r="S219" s="6" t="n"/>
      <c r="V219" s="5" t="n"/>
      <c r="X219" s="5" t="n"/>
      <c r="AC219" s="6" t="n"/>
      <c r="AD219" s="6" t="n"/>
      <c r="AE219" s="7">
        <f>IF(X219="","",ROUND('Opening Balance'!$B$4+SUM($AC$2:AC219)-SUM($AD$2:AD219)+SUMPRODUCT(($Q$2:$Q$1501="Collection 收款")*($R$2:$R$1501="Cheque 支票")*($V$2:$V$1501&lt;&gt;"")*($V$2:$V$1501&lt;=X219)*($S$2:$S$1501-'Opening Balance'!$B$15*($R$2:$R$1501="Cheque 支票")*($S$2:$S$1501-TRUNC($S$2:$S$1501))))-'Opening Balance'!$B$15*SUMPRODUCT(($Z$2:Z219="Online collection 网上收款")*($AA$2:AA219&lt;&gt;"")*($AC$2:AC219-TRUNC($AC$2:AC219))),2))</f>
        <v/>
      </c>
    </row>
    <row r="220">
      <c r="A220" s="5" t="n"/>
      <c r="B220" s="6" t="n"/>
      <c r="C220" s="6" t="n"/>
      <c r="D220" s="6" t="n"/>
      <c r="E220" s="7">
        <f>IF(A220="","",SUMPRODUCT(('Daily Sale entry '!$O$2:$O$1501=A220)*('Daily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0" s="6" t="n"/>
      <c r="G220" s="6" t="n"/>
      <c r="H220" s="6" t="n"/>
      <c r="I220" s="8" t="n"/>
      <c r="J220" s="6" t="n"/>
      <c r="K220" s="6" t="n"/>
      <c r="L220" s="6" t="n"/>
      <c r="M220" s="6" t="n"/>
      <c r="O220" s="5" t="n"/>
      <c r="S220" s="6" t="n"/>
      <c r="V220" s="5" t="n"/>
      <c r="X220" s="5" t="n"/>
      <c r="AC220" s="6" t="n"/>
      <c r="AD220" s="6" t="n"/>
      <c r="AE220" s="7">
        <f>IF(X220="","",ROUND('Opening Balance'!$B$4+SUM($AC$2:AC220)-SUM($AD$2:AD220)+SUMPRODUCT(($Q$2:$Q$1501="Collection 收款")*($R$2:$R$1501="Cheque 支票")*($V$2:$V$1501&lt;&gt;"")*($V$2:$V$1501&lt;=X220)*($S$2:$S$1501-'Opening Balance'!$B$15*($R$2:$R$1501="Cheque 支票")*($S$2:$S$1501-TRUNC($S$2:$S$1501))))-'Opening Balance'!$B$15*SUMPRODUCT(($Z$2:Z220="Online collection 网上收款")*($AA$2:AA220&lt;&gt;"")*($AC$2:AC220-TRUNC($AC$2:AC220))),2))</f>
        <v/>
      </c>
    </row>
    <row r="221">
      <c r="A221" s="5" t="n"/>
      <c r="B221" s="6" t="n"/>
      <c r="C221" s="6" t="n"/>
      <c r="D221" s="6" t="n"/>
      <c r="E221" s="7">
        <f>IF(A221="","",SUMPRODUCT(('Daily Sale entry '!$O$2:$O$1501=A221)*('Daily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1" s="6" t="n"/>
      <c r="G221" s="6" t="n"/>
      <c r="H221" s="6" t="n"/>
      <c r="I221" s="8" t="n"/>
      <c r="J221" s="6" t="n"/>
      <c r="K221" s="6" t="n"/>
      <c r="L221" s="6" t="n"/>
      <c r="M221" s="6" t="n"/>
      <c r="O221" s="5" t="n"/>
      <c r="S221" s="6" t="n"/>
      <c r="V221" s="5" t="n"/>
      <c r="X221" s="5" t="n"/>
      <c r="AC221" s="6" t="n"/>
      <c r="AD221" s="6" t="n"/>
      <c r="AE221" s="7">
        <f>IF(X221="","",ROUND('Opening Balance'!$B$4+SUM($AC$2:AC221)-SUM($AD$2:AD221)+SUMPRODUCT(($Q$2:$Q$1501="Collection 收款")*($R$2:$R$1501="Cheque 支票")*($V$2:$V$1501&lt;&gt;"")*($V$2:$V$1501&lt;=X221)*($S$2:$S$1501-'Opening Balance'!$B$15*($R$2:$R$1501="Cheque 支票")*($S$2:$S$1501-TRUNC($S$2:$S$1501))))-'Opening Balance'!$B$15*SUMPRODUCT(($Z$2:Z221="Online collection 网上收款")*($AA$2:AA221&lt;&gt;"")*($AC$2:AC221-TRUNC($AC$2:AC221))),2))</f>
        <v/>
      </c>
    </row>
    <row r="222">
      <c r="A222" s="5" t="n"/>
      <c r="B222" s="6" t="n"/>
      <c r="C222" s="6" t="n"/>
      <c r="D222" s="6" t="n"/>
      <c r="E222" s="7">
        <f>IF(A222="","",SUMPRODUCT(('Daily Sale entry '!$O$2:$O$1501=A222)*('Daily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2" s="6" t="n"/>
      <c r="G222" s="6" t="n"/>
      <c r="H222" s="6" t="n"/>
      <c r="I222" s="8" t="n"/>
      <c r="J222" s="6" t="n"/>
      <c r="K222" s="6" t="n"/>
      <c r="L222" s="6" t="n"/>
      <c r="M222" s="6" t="n"/>
      <c r="O222" s="5" t="n"/>
      <c r="S222" s="6" t="n"/>
      <c r="V222" s="5" t="n"/>
      <c r="X222" s="5" t="n"/>
      <c r="AC222" s="6" t="n"/>
      <c r="AD222" s="6" t="n"/>
      <c r="AE222" s="7">
        <f>IF(X222="","",ROUND('Opening Balance'!$B$4+SUM($AC$2:AC222)-SUM($AD$2:AD222)+SUMPRODUCT(($Q$2:$Q$1501="Collection 收款")*($R$2:$R$1501="Cheque 支票")*($V$2:$V$1501&lt;&gt;"")*($V$2:$V$1501&lt;=X222)*($S$2:$S$1501-'Opening Balance'!$B$15*($R$2:$R$1501="Cheque 支票")*($S$2:$S$1501-TRUNC($S$2:$S$1501))))-'Opening Balance'!$B$15*SUMPRODUCT(($Z$2:Z222="Online collection 网上收款")*($AA$2:AA222&lt;&gt;"")*($AC$2:AC222-TRUNC($AC$2:AC222))),2))</f>
        <v/>
      </c>
    </row>
    <row r="223">
      <c r="A223" s="5" t="n"/>
      <c r="B223" s="6" t="n"/>
      <c r="C223" s="6" t="n"/>
      <c r="D223" s="6" t="n"/>
      <c r="E223" s="7">
        <f>IF(A223="","",SUMPRODUCT(('Daily Sale entry '!$O$2:$O$1501=A223)*('Daily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3" s="6" t="n"/>
      <c r="G223" s="6" t="n"/>
      <c r="H223" s="6" t="n"/>
      <c r="I223" s="8" t="n"/>
      <c r="J223" s="6" t="n"/>
      <c r="K223" s="6" t="n"/>
      <c r="L223" s="6" t="n"/>
      <c r="M223" s="6" t="n"/>
      <c r="O223" s="5" t="n"/>
      <c r="S223" s="6" t="n"/>
      <c r="V223" s="5" t="n"/>
      <c r="X223" s="5" t="n"/>
      <c r="AC223" s="6" t="n"/>
      <c r="AD223" s="6" t="n"/>
      <c r="AE223" s="7">
        <f>IF(X223="","",ROUND('Opening Balance'!$B$4+SUM($AC$2:AC223)-SUM($AD$2:AD223)+SUMPRODUCT(($Q$2:$Q$1501="Collection 收款")*($R$2:$R$1501="Cheque 支票")*($V$2:$V$1501&lt;&gt;"")*($V$2:$V$1501&lt;=X223)*($S$2:$S$1501-'Opening Balance'!$B$15*($R$2:$R$1501="Cheque 支票")*($S$2:$S$1501-TRUNC($S$2:$S$1501))))-'Opening Balance'!$B$15*SUMPRODUCT(($Z$2:Z223="Online collection 网上收款")*($AA$2:AA223&lt;&gt;"")*($AC$2:AC223-TRUNC($AC$2:AC223))),2))</f>
        <v/>
      </c>
    </row>
    <row r="224">
      <c r="A224" s="5" t="n"/>
      <c r="B224" s="6" t="n"/>
      <c r="C224" s="6" t="n"/>
      <c r="D224" s="6" t="n"/>
      <c r="E224" s="7">
        <f>IF(A224="","",SUMPRODUCT(('Daily Sale entry '!$O$2:$O$1501=A224)*('Daily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4" s="6" t="n"/>
      <c r="G224" s="6" t="n"/>
      <c r="H224" s="6" t="n"/>
      <c r="I224" s="8" t="n"/>
      <c r="J224" s="6" t="n"/>
      <c r="K224" s="6" t="n"/>
      <c r="L224" s="6" t="n"/>
      <c r="M224" s="6" t="n"/>
      <c r="O224" s="5" t="n"/>
      <c r="S224" s="6" t="n"/>
      <c r="V224" s="5" t="n"/>
      <c r="X224" s="5" t="n"/>
      <c r="AC224" s="6" t="n"/>
      <c r="AD224" s="6" t="n"/>
      <c r="AE224" s="7">
        <f>IF(X224="","",ROUND('Opening Balance'!$B$4+SUM($AC$2:AC224)-SUM($AD$2:AD224)+SUMPRODUCT(($Q$2:$Q$1501="Collection 收款")*($R$2:$R$1501="Cheque 支票")*($V$2:$V$1501&lt;&gt;"")*($V$2:$V$1501&lt;=X224)*($S$2:$S$1501-'Opening Balance'!$B$15*($R$2:$R$1501="Cheque 支票")*($S$2:$S$1501-TRUNC($S$2:$S$1501))))-'Opening Balance'!$B$15*SUMPRODUCT(($Z$2:Z224="Online collection 网上收款")*($AA$2:AA224&lt;&gt;"")*($AC$2:AC224-TRUNC($AC$2:AC224))),2))</f>
        <v/>
      </c>
    </row>
    <row r="225">
      <c r="A225" s="5" t="n"/>
      <c r="B225" s="6" t="n"/>
      <c r="C225" s="6" t="n"/>
      <c r="D225" s="6" t="n"/>
      <c r="E225" s="7">
        <f>IF(A225="","",SUMPRODUCT(('Daily Sale entry '!$O$2:$O$1501=A225)*('Daily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5" s="6" t="n"/>
      <c r="G225" s="6" t="n"/>
      <c r="H225" s="6" t="n"/>
      <c r="I225" s="8" t="n"/>
      <c r="J225" s="6" t="n"/>
      <c r="K225" s="6" t="n"/>
      <c r="L225" s="6" t="n"/>
      <c r="M225" s="6" t="n"/>
      <c r="O225" s="5" t="n"/>
      <c r="S225" s="6" t="n"/>
      <c r="V225" s="5" t="n"/>
      <c r="X225" s="5" t="n"/>
      <c r="AC225" s="6" t="n"/>
      <c r="AD225" s="6" t="n"/>
      <c r="AE225" s="7">
        <f>IF(X225="","",ROUND('Opening Balance'!$B$4+SUM($AC$2:AC225)-SUM($AD$2:AD225)+SUMPRODUCT(($Q$2:$Q$1501="Collection 收款")*($R$2:$R$1501="Cheque 支票")*($V$2:$V$1501&lt;&gt;"")*($V$2:$V$1501&lt;=X225)*($S$2:$S$1501-'Opening Balance'!$B$15*($R$2:$R$1501="Cheque 支票")*($S$2:$S$1501-TRUNC($S$2:$S$1501))))-'Opening Balance'!$B$15*SUMPRODUCT(($Z$2:Z225="Online collection 网上收款")*($AA$2:AA225&lt;&gt;"")*($AC$2:AC225-TRUNC($AC$2:AC225))),2))</f>
        <v/>
      </c>
    </row>
    <row r="226">
      <c r="A226" s="5" t="n"/>
      <c r="B226" s="6" t="n"/>
      <c r="C226" s="6" t="n"/>
      <c r="D226" s="6" t="n"/>
      <c r="E226" s="7">
        <f>IF(A226="","",SUMPRODUCT(('Daily Sale entry '!$O$2:$O$1501=A226)*('Daily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6" s="6" t="n"/>
      <c r="G226" s="6" t="n"/>
      <c r="H226" s="6" t="n"/>
      <c r="I226" s="8" t="n"/>
      <c r="J226" s="6" t="n"/>
      <c r="K226" s="6" t="n"/>
      <c r="L226" s="6" t="n"/>
      <c r="M226" s="6" t="n"/>
      <c r="O226" s="5" t="n"/>
      <c r="S226" s="6" t="n"/>
      <c r="V226" s="5" t="n"/>
      <c r="X226" s="5" t="n"/>
      <c r="AC226" s="6" t="n"/>
      <c r="AD226" s="6" t="n"/>
      <c r="AE226" s="7">
        <f>IF(X226="","",ROUND('Opening Balance'!$B$4+SUM($AC$2:AC226)-SUM($AD$2:AD226)+SUMPRODUCT(($Q$2:$Q$1501="Collection 收款")*($R$2:$R$1501="Cheque 支票")*($V$2:$V$1501&lt;&gt;"")*($V$2:$V$1501&lt;=X226)*($S$2:$S$1501-'Opening Balance'!$B$15*($R$2:$R$1501="Cheque 支票")*($S$2:$S$1501-TRUNC($S$2:$S$1501))))-'Opening Balance'!$B$15*SUMPRODUCT(($Z$2:Z226="Online collection 网上收款")*($AA$2:AA226&lt;&gt;"")*($AC$2:AC226-TRUNC($AC$2:AC226))),2))</f>
        <v/>
      </c>
    </row>
    <row r="227">
      <c r="A227" s="5" t="n"/>
      <c r="B227" s="6" t="n"/>
      <c r="C227" s="6" t="n"/>
      <c r="D227" s="6" t="n"/>
      <c r="E227" s="7">
        <f>IF(A227="","",SUMPRODUCT(('Daily Sale entry '!$O$2:$O$1501=A227)*('Daily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7" s="6" t="n"/>
      <c r="G227" s="6" t="n"/>
      <c r="H227" s="6" t="n"/>
      <c r="I227" s="8" t="n"/>
      <c r="J227" s="6" t="n"/>
      <c r="K227" s="6" t="n"/>
      <c r="L227" s="6" t="n"/>
      <c r="M227" s="6" t="n"/>
      <c r="O227" s="5" t="n"/>
      <c r="S227" s="6" t="n"/>
      <c r="V227" s="5" t="n"/>
      <c r="X227" s="5" t="n"/>
      <c r="AC227" s="6" t="n"/>
      <c r="AD227" s="6" t="n"/>
      <c r="AE227" s="7">
        <f>IF(X227="","",ROUND('Opening Balance'!$B$4+SUM($AC$2:AC227)-SUM($AD$2:AD227)+SUMPRODUCT(($Q$2:$Q$1501="Collection 收款")*($R$2:$R$1501="Cheque 支票")*($V$2:$V$1501&lt;&gt;"")*($V$2:$V$1501&lt;=X227)*($S$2:$S$1501-'Opening Balance'!$B$15*($R$2:$R$1501="Cheque 支票")*($S$2:$S$1501-TRUNC($S$2:$S$1501))))-'Opening Balance'!$B$15*SUMPRODUCT(($Z$2:Z227="Online collection 网上收款")*($AA$2:AA227&lt;&gt;"")*($AC$2:AC227-TRUNC($AC$2:AC227))),2))</f>
        <v/>
      </c>
    </row>
    <row r="228">
      <c r="A228" s="5" t="n"/>
      <c r="B228" s="6" t="n"/>
      <c r="C228" s="6" t="n"/>
      <c r="D228" s="6" t="n"/>
      <c r="E228" s="7">
        <f>IF(A228="","",SUMPRODUCT(('Daily Sale entry '!$O$2:$O$1501=A228)*('Daily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8" s="6" t="n"/>
      <c r="G228" s="6" t="n"/>
      <c r="H228" s="6" t="n"/>
      <c r="I228" s="8" t="n"/>
      <c r="J228" s="6" t="n"/>
      <c r="K228" s="6" t="n"/>
      <c r="L228" s="6" t="n"/>
      <c r="M228" s="6" t="n"/>
      <c r="O228" s="5" t="n"/>
      <c r="S228" s="6" t="n"/>
      <c r="V228" s="5" t="n"/>
      <c r="X228" s="5" t="n"/>
      <c r="AC228" s="6" t="n"/>
      <c r="AD228" s="6" t="n"/>
      <c r="AE228" s="7">
        <f>IF(X228="","",ROUND('Opening Balance'!$B$4+SUM($AC$2:AC228)-SUM($AD$2:AD228)+SUMPRODUCT(($Q$2:$Q$1501="Collection 收款")*($R$2:$R$1501="Cheque 支票")*($V$2:$V$1501&lt;&gt;"")*($V$2:$V$1501&lt;=X228)*($S$2:$S$1501-'Opening Balance'!$B$15*($R$2:$R$1501="Cheque 支票")*($S$2:$S$1501-TRUNC($S$2:$S$1501))))-'Opening Balance'!$B$15*SUMPRODUCT(($Z$2:Z228="Online collection 网上收款")*($AA$2:AA228&lt;&gt;"")*($AC$2:AC228-TRUNC($AC$2:AC228))),2))</f>
        <v/>
      </c>
    </row>
    <row r="229">
      <c r="A229" s="5" t="n"/>
      <c r="B229" s="6" t="n"/>
      <c r="C229" s="6" t="n"/>
      <c r="D229" s="6" t="n"/>
      <c r="E229" s="7">
        <f>IF(A229="","",SUMPRODUCT(('Daily Sale entry '!$O$2:$O$1501=A229)*('Daily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29" s="6" t="n"/>
      <c r="G229" s="6" t="n"/>
      <c r="H229" s="6" t="n"/>
      <c r="I229" s="8" t="n"/>
      <c r="J229" s="6" t="n"/>
      <c r="K229" s="6" t="n"/>
      <c r="L229" s="6" t="n"/>
      <c r="M229" s="6" t="n"/>
      <c r="O229" s="5" t="n"/>
      <c r="S229" s="6" t="n"/>
      <c r="V229" s="5" t="n"/>
      <c r="X229" s="5" t="n"/>
      <c r="AC229" s="6" t="n"/>
      <c r="AD229" s="6" t="n"/>
      <c r="AE229" s="7">
        <f>IF(X229="","",ROUND('Opening Balance'!$B$4+SUM($AC$2:AC229)-SUM($AD$2:AD229)+SUMPRODUCT(($Q$2:$Q$1501="Collection 收款")*($R$2:$R$1501="Cheque 支票")*($V$2:$V$1501&lt;&gt;"")*($V$2:$V$1501&lt;=X229)*($S$2:$S$1501-'Opening Balance'!$B$15*($R$2:$R$1501="Cheque 支票")*($S$2:$S$1501-TRUNC($S$2:$S$1501))))-'Opening Balance'!$B$15*SUMPRODUCT(($Z$2:Z229="Online collection 网上收款")*($AA$2:AA229&lt;&gt;"")*($AC$2:AC229-TRUNC($AC$2:AC229))),2))</f>
        <v/>
      </c>
    </row>
    <row r="230">
      <c r="A230" s="5" t="n"/>
      <c r="B230" s="6" t="n"/>
      <c r="C230" s="6" t="n"/>
      <c r="D230" s="6" t="n"/>
      <c r="E230" s="7">
        <f>IF(A230="","",SUMPRODUCT(('Daily Sale entry '!$O$2:$O$1501=A230)*('Daily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0" s="6" t="n"/>
      <c r="G230" s="6" t="n"/>
      <c r="H230" s="6" t="n"/>
      <c r="I230" s="8" t="n"/>
      <c r="J230" s="6" t="n"/>
      <c r="K230" s="6" t="n"/>
      <c r="L230" s="6" t="n"/>
      <c r="M230" s="6" t="n"/>
      <c r="O230" s="5" t="n"/>
      <c r="S230" s="6" t="n"/>
      <c r="V230" s="5" t="n"/>
      <c r="X230" s="5" t="n"/>
      <c r="AC230" s="6" t="n"/>
      <c r="AD230" s="6" t="n"/>
      <c r="AE230" s="7">
        <f>IF(X230="","",ROUND('Opening Balance'!$B$4+SUM($AC$2:AC230)-SUM($AD$2:AD230)+SUMPRODUCT(($Q$2:$Q$1501="Collection 收款")*($R$2:$R$1501="Cheque 支票")*($V$2:$V$1501&lt;&gt;"")*($V$2:$V$1501&lt;=X230)*($S$2:$S$1501-'Opening Balance'!$B$15*($R$2:$R$1501="Cheque 支票")*($S$2:$S$1501-TRUNC($S$2:$S$1501))))-'Opening Balance'!$B$15*SUMPRODUCT(($Z$2:Z230="Online collection 网上收款")*($AA$2:AA230&lt;&gt;"")*($AC$2:AC230-TRUNC($AC$2:AC230))),2))</f>
        <v/>
      </c>
    </row>
    <row r="231">
      <c r="A231" s="5" t="n"/>
      <c r="B231" s="6" t="n"/>
      <c r="C231" s="6" t="n"/>
      <c r="D231" s="6" t="n"/>
      <c r="E231" s="7">
        <f>IF(A231="","",SUMPRODUCT(('Daily Sale entry '!$O$2:$O$1501=A231)*('Daily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1" s="6" t="n"/>
      <c r="G231" s="6" t="n"/>
      <c r="H231" s="6" t="n"/>
      <c r="I231" s="8" t="n"/>
      <c r="J231" s="6" t="n"/>
      <c r="K231" s="6" t="n"/>
      <c r="L231" s="6" t="n"/>
      <c r="M231" s="6" t="n"/>
      <c r="O231" s="5" t="n"/>
      <c r="S231" s="6" t="n"/>
      <c r="V231" s="5" t="n"/>
      <c r="X231" s="5" t="n"/>
      <c r="AC231" s="6" t="n"/>
      <c r="AD231" s="6" t="n"/>
      <c r="AE231" s="7">
        <f>IF(X231="","",ROUND('Opening Balance'!$B$4+SUM($AC$2:AC231)-SUM($AD$2:AD231)+SUMPRODUCT(($Q$2:$Q$1501="Collection 收款")*($R$2:$R$1501="Cheque 支票")*($V$2:$V$1501&lt;&gt;"")*($V$2:$V$1501&lt;=X231)*($S$2:$S$1501-'Opening Balance'!$B$15*($R$2:$R$1501="Cheque 支票")*($S$2:$S$1501-TRUNC($S$2:$S$1501))))-'Opening Balance'!$B$15*SUMPRODUCT(($Z$2:Z231="Online collection 网上收款")*($AA$2:AA231&lt;&gt;"")*($AC$2:AC231-TRUNC($AC$2:AC231))),2))</f>
        <v/>
      </c>
    </row>
    <row r="232">
      <c r="A232" s="5" t="n"/>
      <c r="B232" s="6" t="n"/>
      <c r="C232" s="6" t="n"/>
      <c r="D232" s="6" t="n"/>
      <c r="E232" s="7">
        <f>IF(A232="","",SUMPRODUCT(('Daily Sale entry '!$O$2:$O$1501=A232)*('Daily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2" s="6" t="n"/>
      <c r="G232" s="6" t="n"/>
      <c r="H232" s="6" t="n"/>
      <c r="I232" s="8" t="n"/>
      <c r="J232" s="6" t="n"/>
      <c r="K232" s="6" t="n"/>
      <c r="L232" s="6" t="n"/>
      <c r="M232" s="6" t="n"/>
      <c r="O232" s="5" t="n"/>
      <c r="S232" s="6" t="n"/>
      <c r="V232" s="5" t="n"/>
      <c r="X232" s="5" t="n"/>
      <c r="AC232" s="6" t="n"/>
      <c r="AD232" s="6" t="n"/>
      <c r="AE232" s="7">
        <f>IF(X232="","",ROUND('Opening Balance'!$B$4+SUM($AC$2:AC232)-SUM($AD$2:AD232)+SUMPRODUCT(($Q$2:$Q$1501="Collection 收款")*($R$2:$R$1501="Cheque 支票")*($V$2:$V$1501&lt;&gt;"")*($V$2:$V$1501&lt;=X232)*($S$2:$S$1501-'Opening Balance'!$B$15*($R$2:$R$1501="Cheque 支票")*($S$2:$S$1501-TRUNC($S$2:$S$1501))))-'Opening Balance'!$B$15*SUMPRODUCT(($Z$2:Z232="Online collection 网上收款")*($AA$2:AA232&lt;&gt;"")*($AC$2:AC232-TRUNC($AC$2:AC232))),2))</f>
        <v/>
      </c>
    </row>
    <row r="233">
      <c r="A233" s="5" t="n"/>
      <c r="B233" s="6" t="n"/>
      <c r="C233" s="6" t="n"/>
      <c r="D233" s="6" t="n"/>
      <c r="E233" s="7">
        <f>IF(A233="","",SUMPRODUCT(('Daily Sale entry '!$O$2:$O$1501=A233)*('Daily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3" s="6" t="n"/>
      <c r="G233" s="6" t="n"/>
      <c r="H233" s="6" t="n"/>
      <c r="I233" s="8" t="n"/>
      <c r="J233" s="6" t="n"/>
      <c r="K233" s="6" t="n"/>
      <c r="L233" s="6" t="n"/>
      <c r="M233" s="6" t="n"/>
      <c r="O233" s="5" t="n"/>
      <c r="S233" s="6" t="n"/>
      <c r="V233" s="5" t="n"/>
      <c r="X233" s="5" t="n"/>
      <c r="AC233" s="6" t="n"/>
      <c r="AD233" s="6" t="n"/>
      <c r="AE233" s="7">
        <f>IF(X233="","",ROUND('Opening Balance'!$B$4+SUM($AC$2:AC233)-SUM($AD$2:AD233)+SUMPRODUCT(($Q$2:$Q$1501="Collection 收款")*($R$2:$R$1501="Cheque 支票")*($V$2:$V$1501&lt;&gt;"")*($V$2:$V$1501&lt;=X233)*($S$2:$S$1501-'Opening Balance'!$B$15*($R$2:$R$1501="Cheque 支票")*($S$2:$S$1501-TRUNC($S$2:$S$1501))))-'Opening Balance'!$B$15*SUMPRODUCT(($Z$2:Z233="Online collection 网上收款")*($AA$2:AA233&lt;&gt;"")*($AC$2:AC233-TRUNC($AC$2:AC233))),2))</f>
        <v/>
      </c>
    </row>
    <row r="234">
      <c r="A234" s="5" t="n"/>
      <c r="B234" s="6" t="n"/>
      <c r="C234" s="6" t="n"/>
      <c r="D234" s="6" t="n"/>
      <c r="E234" s="7">
        <f>IF(A234="","",SUMPRODUCT(('Daily Sale entry '!$O$2:$O$1501=A234)*('Daily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4" s="6" t="n"/>
      <c r="G234" s="6" t="n"/>
      <c r="H234" s="6" t="n"/>
      <c r="I234" s="8" t="n"/>
      <c r="J234" s="6" t="n"/>
      <c r="K234" s="6" t="n"/>
      <c r="L234" s="6" t="n"/>
      <c r="M234" s="6" t="n"/>
      <c r="O234" s="5" t="n"/>
      <c r="S234" s="6" t="n"/>
      <c r="V234" s="5" t="n"/>
      <c r="X234" s="5" t="n"/>
      <c r="AC234" s="6" t="n"/>
      <c r="AD234" s="6" t="n"/>
      <c r="AE234" s="7">
        <f>IF(X234="","",ROUND('Opening Balance'!$B$4+SUM($AC$2:AC234)-SUM($AD$2:AD234)+SUMPRODUCT(($Q$2:$Q$1501="Collection 收款")*($R$2:$R$1501="Cheque 支票")*($V$2:$V$1501&lt;&gt;"")*($V$2:$V$1501&lt;=X234)*($S$2:$S$1501-'Opening Balance'!$B$15*($R$2:$R$1501="Cheque 支票")*($S$2:$S$1501-TRUNC($S$2:$S$1501))))-'Opening Balance'!$B$15*SUMPRODUCT(($Z$2:Z234="Online collection 网上收款")*($AA$2:AA234&lt;&gt;"")*($AC$2:AC234-TRUNC($AC$2:AC234))),2))</f>
        <v/>
      </c>
    </row>
    <row r="235">
      <c r="A235" s="5" t="n"/>
      <c r="B235" s="6" t="n"/>
      <c r="C235" s="6" t="n"/>
      <c r="D235" s="6" t="n"/>
      <c r="E235" s="7">
        <f>IF(A235="","",SUMPRODUCT(('Daily Sale entry '!$O$2:$O$1501=A235)*('Daily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5" s="6" t="n"/>
      <c r="G235" s="6" t="n"/>
      <c r="H235" s="6" t="n"/>
      <c r="I235" s="8" t="n"/>
      <c r="J235" s="6" t="n"/>
      <c r="K235" s="6" t="n"/>
      <c r="L235" s="6" t="n"/>
      <c r="M235" s="6" t="n"/>
      <c r="O235" s="5" t="n"/>
      <c r="S235" s="6" t="n"/>
      <c r="V235" s="5" t="n"/>
      <c r="X235" s="5" t="n"/>
      <c r="AC235" s="6" t="n"/>
      <c r="AD235" s="6" t="n"/>
      <c r="AE235" s="7">
        <f>IF(X235="","",ROUND('Opening Balance'!$B$4+SUM($AC$2:AC235)-SUM($AD$2:AD235)+SUMPRODUCT(($Q$2:$Q$1501="Collection 收款")*($R$2:$R$1501="Cheque 支票")*($V$2:$V$1501&lt;&gt;"")*($V$2:$V$1501&lt;=X235)*($S$2:$S$1501-'Opening Balance'!$B$15*($R$2:$R$1501="Cheque 支票")*($S$2:$S$1501-TRUNC($S$2:$S$1501))))-'Opening Balance'!$B$15*SUMPRODUCT(($Z$2:Z235="Online collection 网上收款")*($AA$2:AA235&lt;&gt;"")*($AC$2:AC235-TRUNC($AC$2:AC235))),2))</f>
        <v/>
      </c>
    </row>
    <row r="236">
      <c r="A236" s="5" t="n"/>
      <c r="B236" s="6" t="n"/>
      <c r="C236" s="6" t="n"/>
      <c r="D236" s="6" t="n"/>
      <c r="E236" s="7">
        <f>IF(A236="","",SUMPRODUCT(('Daily Sale entry '!$O$2:$O$1501=A236)*('Daily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6" s="6" t="n"/>
      <c r="G236" s="6" t="n"/>
      <c r="H236" s="6" t="n"/>
      <c r="I236" s="8" t="n"/>
      <c r="J236" s="6" t="n"/>
      <c r="K236" s="6" t="n"/>
      <c r="L236" s="6" t="n"/>
      <c r="M236" s="6" t="n"/>
      <c r="O236" s="5" t="n"/>
      <c r="S236" s="6" t="n"/>
      <c r="V236" s="5" t="n"/>
      <c r="X236" s="5" t="n"/>
      <c r="AC236" s="6" t="n"/>
      <c r="AD236" s="6" t="n"/>
      <c r="AE236" s="7">
        <f>IF(X236="","",ROUND('Opening Balance'!$B$4+SUM($AC$2:AC236)-SUM($AD$2:AD236)+SUMPRODUCT(($Q$2:$Q$1501="Collection 收款")*($R$2:$R$1501="Cheque 支票")*($V$2:$V$1501&lt;&gt;"")*($V$2:$V$1501&lt;=X236)*($S$2:$S$1501-'Opening Balance'!$B$15*($R$2:$R$1501="Cheque 支票")*($S$2:$S$1501-TRUNC($S$2:$S$1501))))-'Opening Balance'!$B$15*SUMPRODUCT(($Z$2:Z236="Online collection 网上收款")*($AA$2:AA236&lt;&gt;"")*($AC$2:AC236-TRUNC($AC$2:AC236))),2))</f>
        <v/>
      </c>
    </row>
    <row r="237">
      <c r="A237" s="5" t="n"/>
      <c r="B237" s="6" t="n"/>
      <c r="C237" s="6" t="n"/>
      <c r="D237" s="6" t="n"/>
      <c r="E237" s="7">
        <f>IF(A237="","",SUMPRODUCT(('Daily Sale entry '!$O$2:$O$1501=A237)*('Daily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7" s="6" t="n"/>
      <c r="G237" s="6" t="n"/>
      <c r="H237" s="6" t="n"/>
      <c r="I237" s="8" t="n"/>
      <c r="J237" s="6" t="n"/>
      <c r="K237" s="6" t="n"/>
      <c r="L237" s="6" t="n"/>
      <c r="M237" s="6" t="n"/>
      <c r="O237" s="5" t="n"/>
      <c r="S237" s="6" t="n"/>
      <c r="V237" s="5" t="n"/>
      <c r="X237" s="5" t="n"/>
      <c r="AC237" s="6" t="n"/>
      <c r="AD237" s="6" t="n"/>
      <c r="AE237" s="7">
        <f>IF(X237="","",ROUND('Opening Balance'!$B$4+SUM($AC$2:AC237)-SUM($AD$2:AD237)+SUMPRODUCT(($Q$2:$Q$1501="Collection 收款")*($R$2:$R$1501="Cheque 支票")*($V$2:$V$1501&lt;&gt;"")*($V$2:$V$1501&lt;=X237)*($S$2:$S$1501-'Opening Balance'!$B$15*($R$2:$R$1501="Cheque 支票")*($S$2:$S$1501-TRUNC($S$2:$S$1501))))-'Opening Balance'!$B$15*SUMPRODUCT(($Z$2:Z237="Online collection 网上收款")*($AA$2:AA237&lt;&gt;"")*($AC$2:AC237-TRUNC($AC$2:AC237))),2))</f>
        <v/>
      </c>
    </row>
    <row r="238">
      <c r="A238" s="5" t="n"/>
      <c r="B238" s="6" t="n"/>
      <c r="C238" s="6" t="n"/>
      <c r="D238" s="6" t="n"/>
      <c r="E238" s="7">
        <f>IF(A238="","",SUMPRODUCT(('Daily Sale entry '!$O$2:$O$1501=A238)*('Daily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8" s="6" t="n"/>
      <c r="G238" s="6" t="n"/>
      <c r="H238" s="6" t="n"/>
      <c r="I238" s="8" t="n"/>
      <c r="J238" s="6" t="n"/>
      <c r="K238" s="6" t="n"/>
      <c r="L238" s="6" t="n"/>
      <c r="M238" s="6" t="n"/>
      <c r="O238" s="5" t="n"/>
      <c r="S238" s="6" t="n"/>
      <c r="V238" s="5" t="n"/>
      <c r="X238" s="5" t="n"/>
      <c r="AC238" s="6" t="n"/>
      <c r="AD238" s="6" t="n"/>
      <c r="AE238" s="7">
        <f>IF(X238="","",ROUND('Opening Balance'!$B$4+SUM($AC$2:AC238)-SUM($AD$2:AD238)+SUMPRODUCT(($Q$2:$Q$1501="Collection 收款")*($R$2:$R$1501="Cheque 支票")*($V$2:$V$1501&lt;&gt;"")*($V$2:$V$1501&lt;=X238)*($S$2:$S$1501-'Opening Balance'!$B$15*($R$2:$R$1501="Cheque 支票")*($S$2:$S$1501-TRUNC($S$2:$S$1501))))-'Opening Balance'!$B$15*SUMPRODUCT(($Z$2:Z238="Online collection 网上收款")*($AA$2:AA238&lt;&gt;"")*($AC$2:AC238-TRUNC($AC$2:AC238))),2))</f>
        <v/>
      </c>
    </row>
    <row r="239">
      <c r="A239" s="5" t="n"/>
      <c r="B239" s="6" t="n"/>
      <c r="C239" s="6" t="n"/>
      <c r="D239" s="6" t="n"/>
      <c r="E239" s="7">
        <f>IF(A239="","",SUMPRODUCT(('Daily Sale entry '!$O$2:$O$1501=A239)*('Daily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39" s="6" t="n"/>
      <c r="G239" s="6" t="n"/>
      <c r="H239" s="6" t="n"/>
      <c r="I239" s="8" t="n"/>
      <c r="J239" s="6" t="n"/>
      <c r="K239" s="6" t="n"/>
      <c r="L239" s="6" t="n"/>
      <c r="M239" s="6" t="n"/>
      <c r="O239" s="5" t="n"/>
      <c r="S239" s="6" t="n"/>
      <c r="V239" s="5" t="n"/>
      <c r="X239" s="5" t="n"/>
      <c r="AC239" s="6" t="n"/>
      <c r="AD239" s="6" t="n"/>
      <c r="AE239" s="7">
        <f>IF(X239="","",ROUND('Opening Balance'!$B$4+SUM($AC$2:AC239)-SUM($AD$2:AD239)+SUMPRODUCT(($Q$2:$Q$1501="Collection 收款")*($R$2:$R$1501="Cheque 支票")*($V$2:$V$1501&lt;&gt;"")*($V$2:$V$1501&lt;=X239)*($S$2:$S$1501-'Opening Balance'!$B$15*($R$2:$R$1501="Cheque 支票")*($S$2:$S$1501-TRUNC($S$2:$S$1501))))-'Opening Balance'!$B$15*SUMPRODUCT(($Z$2:Z239="Online collection 网上收款")*($AA$2:AA239&lt;&gt;"")*($AC$2:AC239-TRUNC($AC$2:AC239))),2))</f>
        <v/>
      </c>
    </row>
    <row r="240">
      <c r="A240" s="5" t="n"/>
      <c r="B240" s="6" t="n"/>
      <c r="C240" s="6" t="n"/>
      <c r="D240" s="6" t="n"/>
      <c r="E240" s="7">
        <f>IF(A240="","",SUMPRODUCT(('Daily Sale entry '!$O$2:$O$1501=A240)*('Daily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0" s="6" t="n"/>
      <c r="G240" s="6" t="n"/>
      <c r="H240" s="6" t="n"/>
      <c r="I240" s="8" t="n"/>
      <c r="J240" s="6" t="n"/>
      <c r="K240" s="6" t="n"/>
      <c r="L240" s="6" t="n"/>
      <c r="M240" s="6" t="n"/>
      <c r="O240" s="5" t="n"/>
      <c r="S240" s="6" t="n"/>
      <c r="V240" s="5" t="n"/>
      <c r="X240" s="5" t="n"/>
      <c r="AC240" s="6" t="n"/>
      <c r="AD240" s="6" t="n"/>
      <c r="AE240" s="7">
        <f>IF(X240="","",ROUND('Opening Balance'!$B$4+SUM($AC$2:AC240)-SUM($AD$2:AD240)+SUMPRODUCT(($Q$2:$Q$1501="Collection 收款")*($R$2:$R$1501="Cheque 支票")*($V$2:$V$1501&lt;&gt;"")*($V$2:$V$1501&lt;=X240)*($S$2:$S$1501-'Opening Balance'!$B$15*($R$2:$R$1501="Cheque 支票")*($S$2:$S$1501-TRUNC($S$2:$S$1501))))-'Opening Balance'!$B$15*SUMPRODUCT(($Z$2:Z240="Online collection 网上收款")*($AA$2:AA240&lt;&gt;"")*($AC$2:AC240-TRUNC($AC$2:AC240))),2))</f>
        <v/>
      </c>
    </row>
    <row r="241">
      <c r="A241" s="5" t="n"/>
      <c r="B241" s="6" t="n"/>
      <c r="C241" s="6" t="n"/>
      <c r="D241" s="6" t="n"/>
      <c r="E241" s="7">
        <f>IF(A241="","",SUMPRODUCT(('Daily Sale entry '!$O$2:$O$1501=A241)*('Daily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1" s="6" t="n"/>
      <c r="G241" s="6" t="n"/>
      <c r="H241" s="6" t="n"/>
      <c r="I241" s="8" t="n"/>
      <c r="J241" s="6" t="n"/>
      <c r="K241" s="6" t="n"/>
      <c r="L241" s="6" t="n"/>
      <c r="M241" s="6" t="n"/>
      <c r="O241" s="5" t="n"/>
      <c r="S241" s="6" t="n"/>
      <c r="V241" s="5" t="n"/>
      <c r="X241" s="5" t="n"/>
      <c r="AC241" s="6" t="n"/>
      <c r="AD241" s="6" t="n"/>
      <c r="AE241" s="7">
        <f>IF(X241="","",ROUND('Opening Balance'!$B$4+SUM($AC$2:AC241)-SUM($AD$2:AD241)+SUMPRODUCT(($Q$2:$Q$1501="Collection 收款")*($R$2:$R$1501="Cheque 支票")*($V$2:$V$1501&lt;&gt;"")*($V$2:$V$1501&lt;=X241)*($S$2:$S$1501-'Opening Balance'!$B$15*($R$2:$R$1501="Cheque 支票")*($S$2:$S$1501-TRUNC($S$2:$S$1501))))-'Opening Balance'!$B$15*SUMPRODUCT(($Z$2:Z241="Online collection 网上收款")*($AA$2:AA241&lt;&gt;"")*($AC$2:AC241-TRUNC($AC$2:AC241))),2))</f>
        <v/>
      </c>
    </row>
    <row r="242">
      <c r="A242" s="5" t="n"/>
      <c r="B242" s="6" t="n"/>
      <c r="C242" s="6" t="n"/>
      <c r="D242" s="6" t="n"/>
      <c r="E242" s="7">
        <f>IF(A242="","",SUMPRODUCT(('Daily Sale entry '!$O$2:$O$1501=A242)*('Daily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2" s="6" t="n"/>
      <c r="G242" s="6" t="n"/>
      <c r="H242" s="6" t="n"/>
      <c r="I242" s="8" t="n"/>
      <c r="J242" s="6" t="n"/>
      <c r="K242" s="6" t="n"/>
      <c r="L242" s="6" t="n"/>
      <c r="M242" s="6" t="n"/>
      <c r="O242" s="5" t="n"/>
      <c r="S242" s="6" t="n"/>
      <c r="V242" s="5" t="n"/>
      <c r="X242" s="5" t="n"/>
      <c r="AC242" s="6" t="n"/>
      <c r="AD242" s="6" t="n"/>
      <c r="AE242" s="7">
        <f>IF(X242="","",ROUND('Opening Balance'!$B$4+SUM($AC$2:AC242)-SUM($AD$2:AD242)+SUMPRODUCT(($Q$2:$Q$1501="Collection 收款")*($R$2:$R$1501="Cheque 支票")*($V$2:$V$1501&lt;&gt;"")*($V$2:$V$1501&lt;=X242)*($S$2:$S$1501-'Opening Balance'!$B$15*($R$2:$R$1501="Cheque 支票")*($S$2:$S$1501-TRUNC($S$2:$S$1501))))-'Opening Balance'!$B$15*SUMPRODUCT(($Z$2:Z242="Online collection 网上收款")*($AA$2:AA242&lt;&gt;"")*($AC$2:AC242-TRUNC($AC$2:AC242))),2))</f>
        <v/>
      </c>
    </row>
    <row r="243">
      <c r="A243" s="5" t="n"/>
      <c r="B243" s="6" t="n"/>
      <c r="C243" s="6" t="n"/>
      <c r="D243" s="6" t="n"/>
      <c r="E243" s="7">
        <f>IF(A243="","",SUMPRODUCT(('Daily Sale entry '!$O$2:$O$1501=A243)*('Daily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3" s="6" t="n"/>
      <c r="G243" s="6" t="n"/>
      <c r="H243" s="6" t="n"/>
      <c r="I243" s="8" t="n"/>
      <c r="J243" s="6" t="n"/>
      <c r="K243" s="6" t="n"/>
      <c r="L243" s="6" t="n"/>
      <c r="M243" s="6" t="n"/>
      <c r="O243" s="5" t="n"/>
      <c r="S243" s="6" t="n"/>
      <c r="V243" s="5" t="n"/>
      <c r="X243" s="5" t="n"/>
      <c r="AC243" s="6" t="n"/>
      <c r="AD243" s="6" t="n"/>
      <c r="AE243" s="7">
        <f>IF(X243="","",ROUND('Opening Balance'!$B$4+SUM($AC$2:AC243)-SUM($AD$2:AD243)+SUMPRODUCT(($Q$2:$Q$1501="Collection 收款")*($R$2:$R$1501="Cheque 支票")*($V$2:$V$1501&lt;&gt;"")*($V$2:$V$1501&lt;=X243)*($S$2:$S$1501-'Opening Balance'!$B$15*($R$2:$R$1501="Cheque 支票")*($S$2:$S$1501-TRUNC($S$2:$S$1501))))-'Opening Balance'!$B$15*SUMPRODUCT(($Z$2:Z243="Online collection 网上收款")*($AA$2:AA243&lt;&gt;"")*($AC$2:AC243-TRUNC($AC$2:AC243))),2))</f>
        <v/>
      </c>
    </row>
    <row r="244">
      <c r="A244" s="5" t="n"/>
      <c r="B244" s="6" t="n"/>
      <c r="C244" s="6" t="n"/>
      <c r="D244" s="6" t="n"/>
      <c r="E244" s="7">
        <f>IF(A244="","",SUMPRODUCT(('Daily Sale entry '!$O$2:$O$1501=A244)*('Daily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4" s="6" t="n"/>
      <c r="G244" s="6" t="n"/>
      <c r="H244" s="6" t="n"/>
      <c r="I244" s="8" t="n"/>
      <c r="J244" s="6" t="n"/>
      <c r="K244" s="6" t="n"/>
      <c r="L244" s="6" t="n"/>
      <c r="M244" s="6" t="n"/>
      <c r="O244" s="5" t="n"/>
      <c r="S244" s="6" t="n"/>
      <c r="V244" s="5" t="n"/>
      <c r="X244" s="5" t="n"/>
      <c r="AC244" s="6" t="n"/>
      <c r="AD244" s="6" t="n"/>
      <c r="AE244" s="7">
        <f>IF(X244="","",ROUND('Opening Balance'!$B$4+SUM($AC$2:AC244)-SUM($AD$2:AD244)+SUMPRODUCT(($Q$2:$Q$1501="Collection 收款")*($R$2:$R$1501="Cheque 支票")*($V$2:$V$1501&lt;&gt;"")*($V$2:$V$1501&lt;=X244)*($S$2:$S$1501-'Opening Balance'!$B$15*($R$2:$R$1501="Cheque 支票")*($S$2:$S$1501-TRUNC($S$2:$S$1501))))-'Opening Balance'!$B$15*SUMPRODUCT(($Z$2:Z244="Online collection 网上收款")*($AA$2:AA244&lt;&gt;"")*($AC$2:AC244-TRUNC($AC$2:AC244))),2))</f>
        <v/>
      </c>
    </row>
    <row r="245">
      <c r="A245" s="5" t="n"/>
      <c r="B245" s="6" t="n"/>
      <c r="C245" s="6" t="n"/>
      <c r="D245" s="6" t="n"/>
      <c r="E245" s="7">
        <f>IF(A245="","",SUMPRODUCT(('Daily Sale entry '!$O$2:$O$1501=A245)*('Daily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5" s="6" t="n"/>
      <c r="G245" s="6" t="n"/>
      <c r="H245" s="6" t="n"/>
      <c r="I245" s="8" t="n"/>
      <c r="J245" s="6" t="n"/>
      <c r="K245" s="6" t="n"/>
      <c r="L245" s="6" t="n"/>
      <c r="M245" s="6" t="n"/>
      <c r="O245" s="5" t="n"/>
      <c r="S245" s="6" t="n"/>
      <c r="V245" s="5" t="n"/>
      <c r="X245" s="5" t="n"/>
      <c r="AC245" s="6" t="n"/>
      <c r="AD245" s="6" t="n"/>
      <c r="AE245" s="7">
        <f>IF(X245="","",ROUND('Opening Balance'!$B$4+SUM($AC$2:AC245)-SUM($AD$2:AD245)+SUMPRODUCT(($Q$2:$Q$1501="Collection 收款")*($R$2:$R$1501="Cheque 支票")*($V$2:$V$1501&lt;&gt;"")*($V$2:$V$1501&lt;=X245)*($S$2:$S$1501-'Opening Balance'!$B$15*($R$2:$R$1501="Cheque 支票")*($S$2:$S$1501-TRUNC($S$2:$S$1501))))-'Opening Balance'!$B$15*SUMPRODUCT(($Z$2:Z245="Online collection 网上收款")*($AA$2:AA245&lt;&gt;"")*($AC$2:AC245-TRUNC($AC$2:AC245))),2))</f>
        <v/>
      </c>
    </row>
    <row r="246">
      <c r="A246" s="5" t="n"/>
      <c r="B246" s="6" t="n"/>
      <c r="C246" s="6" t="n"/>
      <c r="D246" s="6" t="n"/>
      <c r="E246" s="7">
        <f>IF(A246="","",SUMPRODUCT(('Daily Sale entry '!$O$2:$O$1501=A246)*('Daily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6" s="6" t="n"/>
      <c r="G246" s="6" t="n"/>
      <c r="H246" s="6" t="n"/>
      <c r="I246" s="8" t="n"/>
      <c r="J246" s="6" t="n"/>
      <c r="K246" s="6" t="n"/>
      <c r="L246" s="6" t="n"/>
      <c r="M246" s="6" t="n"/>
      <c r="O246" s="5" t="n"/>
      <c r="S246" s="6" t="n"/>
      <c r="V246" s="5" t="n"/>
      <c r="X246" s="5" t="n"/>
      <c r="AC246" s="6" t="n"/>
      <c r="AD246" s="6" t="n"/>
      <c r="AE246" s="7">
        <f>IF(X246="","",ROUND('Opening Balance'!$B$4+SUM($AC$2:AC246)-SUM($AD$2:AD246)+SUMPRODUCT(($Q$2:$Q$1501="Collection 收款")*($R$2:$R$1501="Cheque 支票")*($V$2:$V$1501&lt;&gt;"")*($V$2:$V$1501&lt;=X246)*($S$2:$S$1501-'Opening Balance'!$B$15*($R$2:$R$1501="Cheque 支票")*($S$2:$S$1501-TRUNC($S$2:$S$1501))))-'Opening Balance'!$B$15*SUMPRODUCT(($Z$2:Z246="Online collection 网上收款")*($AA$2:AA246&lt;&gt;"")*($AC$2:AC246-TRUNC($AC$2:AC246))),2))</f>
        <v/>
      </c>
    </row>
    <row r="247">
      <c r="A247" s="5" t="n"/>
      <c r="B247" s="6" t="n"/>
      <c r="C247" s="6" t="n"/>
      <c r="D247" s="6" t="n"/>
      <c r="E247" s="7">
        <f>IF(A247="","",SUMPRODUCT(('Daily Sale entry '!$O$2:$O$1501=A247)*('Daily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7" s="6" t="n"/>
      <c r="G247" s="6" t="n"/>
      <c r="H247" s="6" t="n"/>
      <c r="I247" s="8" t="n"/>
      <c r="J247" s="6" t="n"/>
      <c r="K247" s="6" t="n"/>
      <c r="L247" s="6" t="n"/>
      <c r="M247" s="6" t="n"/>
      <c r="O247" s="5" t="n"/>
      <c r="S247" s="6" t="n"/>
      <c r="V247" s="5" t="n"/>
      <c r="X247" s="5" t="n"/>
      <c r="AC247" s="6" t="n"/>
      <c r="AD247" s="6" t="n"/>
      <c r="AE247" s="7">
        <f>IF(X247="","",ROUND('Opening Balance'!$B$4+SUM($AC$2:AC247)-SUM($AD$2:AD247)+SUMPRODUCT(($Q$2:$Q$1501="Collection 收款")*($R$2:$R$1501="Cheque 支票")*($V$2:$V$1501&lt;&gt;"")*($V$2:$V$1501&lt;=X247)*($S$2:$S$1501-'Opening Balance'!$B$15*($R$2:$R$1501="Cheque 支票")*($S$2:$S$1501-TRUNC($S$2:$S$1501))))-'Opening Balance'!$B$15*SUMPRODUCT(($Z$2:Z247="Online collection 网上收款")*($AA$2:AA247&lt;&gt;"")*($AC$2:AC247-TRUNC($AC$2:AC247))),2))</f>
        <v/>
      </c>
    </row>
    <row r="248">
      <c r="A248" s="5" t="n"/>
      <c r="B248" s="6" t="n"/>
      <c r="C248" s="6" t="n"/>
      <c r="D248" s="6" t="n"/>
      <c r="E248" s="7">
        <f>IF(A248="","",SUMPRODUCT(('Daily Sale entry '!$O$2:$O$1501=A248)*('Daily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8" s="6" t="n"/>
      <c r="G248" s="6" t="n"/>
      <c r="H248" s="6" t="n"/>
      <c r="I248" s="8" t="n"/>
      <c r="J248" s="6" t="n"/>
      <c r="K248" s="6" t="n"/>
      <c r="L248" s="6" t="n"/>
      <c r="M248" s="6" t="n"/>
      <c r="O248" s="5" t="n"/>
      <c r="S248" s="6" t="n"/>
      <c r="V248" s="5" t="n"/>
      <c r="X248" s="5" t="n"/>
      <c r="AC248" s="6" t="n"/>
      <c r="AD248" s="6" t="n"/>
      <c r="AE248" s="7">
        <f>IF(X248="","",ROUND('Opening Balance'!$B$4+SUM($AC$2:AC248)-SUM($AD$2:AD248)+SUMPRODUCT(($Q$2:$Q$1501="Collection 收款")*($R$2:$R$1501="Cheque 支票")*($V$2:$V$1501&lt;&gt;"")*($V$2:$V$1501&lt;=X248)*($S$2:$S$1501-'Opening Balance'!$B$15*($R$2:$R$1501="Cheque 支票")*($S$2:$S$1501-TRUNC($S$2:$S$1501))))-'Opening Balance'!$B$15*SUMPRODUCT(($Z$2:Z248="Online collection 网上收款")*($AA$2:AA248&lt;&gt;"")*($AC$2:AC248-TRUNC($AC$2:AC248))),2))</f>
        <v/>
      </c>
    </row>
    <row r="249">
      <c r="A249" s="5" t="n"/>
      <c r="B249" s="6" t="n"/>
      <c r="C249" s="6" t="n"/>
      <c r="D249" s="6" t="n"/>
      <c r="E249" s="7">
        <f>IF(A249="","",SUMPRODUCT(('Daily Sale entry '!$O$2:$O$1501=A249)*('Daily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49" s="6" t="n"/>
      <c r="G249" s="6" t="n"/>
      <c r="H249" s="6" t="n"/>
      <c r="I249" s="8" t="n"/>
      <c r="J249" s="6" t="n"/>
      <c r="K249" s="6" t="n"/>
      <c r="L249" s="6" t="n"/>
      <c r="M249" s="6" t="n"/>
      <c r="O249" s="5" t="n"/>
      <c r="S249" s="6" t="n"/>
      <c r="V249" s="5" t="n"/>
      <c r="X249" s="5" t="n"/>
      <c r="AC249" s="6" t="n"/>
      <c r="AD249" s="6" t="n"/>
      <c r="AE249" s="7">
        <f>IF(X249="","",ROUND('Opening Balance'!$B$4+SUM($AC$2:AC249)-SUM($AD$2:AD249)+SUMPRODUCT(($Q$2:$Q$1501="Collection 收款")*($R$2:$R$1501="Cheque 支票")*($V$2:$V$1501&lt;&gt;"")*($V$2:$V$1501&lt;=X249)*($S$2:$S$1501-'Opening Balance'!$B$15*($R$2:$R$1501="Cheque 支票")*($S$2:$S$1501-TRUNC($S$2:$S$1501))))-'Opening Balance'!$B$15*SUMPRODUCT(($Z$2:Z249="Online collection 网上收款")*($AA$2:AA249&lt;&gt;"")*($AC$2:AC249-TRUNC($AC$2:AC249))),2))</f>
        <v/>
      </c>
    </row>
    <row r="250">
      <c r="A250" s="5" t="n"/>
      <c r="B250" s="6" t="n"/>
      <c r="C250" s="6" t="n"/>
      <c r="D250" s="6" t="n"/>
      <c r="E250" s="7">
        <f>IF(A250="","",SUMPRODUCT(('Daily Sale entry '!$O$2:$O$1501=A250)*('Daily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0" s="6" t="n"/>
      <c r="G250" s="6" t="n"/>
      <c r="H250" s="6" t="n"/>
      <c r="I250" s="8" t="n"/>
      <c r="J250" s="6" t="n"/>
      <c r="K250" s="6" t="n"/>
      <c r="L250" s="6" t="n"/>
      <c r="M250" s="6" t="n"/>
      <c r="O250" s="5" t="n"/>
      <c r="S250" s="6" t="n"/>
      <c r="V250" s="5" t="n"/>
      <c r="X250" s="5" t="n"/>
      <c r="AC250" s="6" t="n"/>
      <c r="AD250" s="6" t="n"/>
      <c r="AE250" s="7">
        <f>IF(X250="","",ROUND('Opening Balance'!$B$4+SUM($AC$2:AC250)-SUM($AD$2:AD250)+SUMPRODUCT(($Q$2:$Q$1501="Collection 收款")*($R$2:$R$1501="Cheque 支票")*($V$2:$V$1501&lt;&gt;"")*($V$2:$V$1501&lt;=X250)*($S$2:$S$1501-'Opening Balance'!$B$15*($R$2:$R$1501="Cheque 支票")*($S$2:$S$1501-TRUNC($S$2:$S$1501))))-'Opening Balance'!$B$15*SUMPRODUCT(($Z$2:Z250="Online collection 网上收款")*($AA$2:AA250&lt;&gt;"")*($AC$2:AC250-TRUNC($AC$2:AC250))),2))</f>
        <v/>
      </c>
    </row>
    <row r="251">
      <c r="A251" s="5" t="n"/>
      <c r="B251" s="6" t="n"/>
      <c r="C251" s="6" t="n"/>
      <c r="D251" s="6" t="n"/>
      <c r="E251" s="7">
        <f>IF(A251="","",SUMPRODUCT(('Daily Sale entry '!$O$2:$O$1501=A251)*('Daily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1" s="6" t="n"/>
      <c r="G251" s="6" t="n"/>
      <c r="H251" s="6" t="n"/>
      <c r="I251" s="8" t="n"/>
      <c r="J251" s="6" t="n"/>
      <c r="K251" s="6" t="n"/>
      <c r="L251" s="6" t="n"/>
      <c r="M251" s="6" t="n"/>
      <c r="O251" s="5" t="n"/>
      <c r="S251" s="6" t="n"/>
      <c r="V251" s="5" t="n"/>
      <c r="X251" s="5" t="n"/>
      <c r="AC251" s="6" t="n"/>
      <c r="AD251" s="6" t="n"/>
      <c r="AE251" s="7">
        <f>IF(X251="","",ROUND('Opening Balance'!$B$4+SUM($AC$2:AC251)-SUM($AD$2:AD251)+SUMPRODUCT(($Q$2:$Q$1501="Collection 收款")*($R$2:$R$1501="Cheque 支票")*($V$2:$V$1501&lt;&gt;"")*($V$2:$V$1501&lt;=X251)*($S$2:$S$1501-'Opening Balance'!$B$15*($R$2:$R$1501="Cheque 支票")*($S$2:$S$1501-TRUNC($S$2:$S$1501))))-'Opening Balance'!$B$15*SUMPRODUCT(($Z$2:Z251="Online collection 网上收款")*($AA$2:AA251&lt;&gt;"")*($AC$2:AC251-TRUNC($AC$2:AC251))),2))</f>
        <v/>
      </c>
    </row>
    <row r="252">
      <c r="A252" s="5" t="n"/>
      <c r="B252" s="6" t="n"/>
      <c r="C252" s="6" t="n"/>
      <c r="D252" s="6" t="n"/>
      <c r="E252" s="7">
        <f>IF(A252="","",SUMPRODUCT(('Daily Sale entry '!$O$2:$O$1501=A252)*('Daily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2" s="6" t="n"/>
      <c r="G252" s="6" t="n"/>
      <c r="H252" s="6" t="n"/>
      <c r="I252" s="8" t="n"/>
      <c r="J252" s="6" t="n"/>
      <c r="K252" s="6" t="n"/>
      <c r="L252" s="6" t="n"/>
      <c r="M252" s="6" t="n"/>
      <c r="O252" s="5" t="n"/>
      <c r="S252" s="6" t="n"/>
      <c r="V252" s="5" t="n"/>
      <c r="X252" s="5" t="n"/>
      <c r="AC252" s="6" t="n"/>
      <c r="AD252" s="6" t="n"/>
      <c r="AE252" s="7">
        <f>IF(X252="","",ROUND('Opening Balance'!$B$4+SUM($AC$2:AC252)-SUM($AD$2:AD252)+SUMPRODUCT(($Q$2:$Q$1501="Collection 收款")*($R$2:$R$1501="Cheque 支票")*($V$2:$V$1501&lt;&gt;"")*($V$2:$V$1501&lt;=X252)*($S$2:$S$1501-'Opening Balance'!$B$15*($R$2:$R$1501="Cheque 支票")*($S$2:$S$1501-TRUNC($S$2:$S$1501))))-'Opening Balance'!$B$15*SUMPRODUCT(($Z$2:Z252="Online collection 网上收款")*($AA$2:AA252&lt;&gt;"")*($AC$2:AC252-TRUNC($AC$2:AC252))),2))</f>
        <v/>
      </c>
    </row>
    <row r="253">
      <c r="A253" s="5" t="n"/>
      <c r="B253" s="6" t="n"/>
      <c r="C253" s="6" t="n"/>
      <c r="D253" s="6" t="n"/>
      <c r="E253" s="7">
        <f>IF(A253="","",SUMPRODUCT(('Daily Sale entry '!$O$2:$O$1501=A253)*('Daily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3" s="6" t="n"/>
      <c r="G253" s="6" t="n"/>
      <c r="H253" s="6" t="n"/>
      <c r="I253" s="8" t="n"/>
      <c r="J253" s="6" t="n"/>
      <c r="K253" s="6" t="n"/>
      <c r="L253" s="6" t="n"/>
      <c r="M253" s="6" t="n"/>
      <c r="O253" s="5" t="n"/>
      <c r="S253" s="6" t="n"/>
      <c r="V253" s="5" t="n"/>
      <c r="X253" s="5" t="n"/>
      <c r="AC253" s="6" t="n"/>
      <c r="AD253" s="6" t="n"/>
      <c r="AE253" s="7">
        <f>IF(X253="","",ROUND('Opening Balance'!$B$4+SUM($AC$2:AC253)-SUM($AD$2:AD253)+SUMPRODUCT(($Q$2:$Q$1501="Collection 收款")*($R$2:$R$1501="Cheque 支票")*($V$2:$V$1501&lt;&gt;"")*($V$2:$V$1501&lt;=X253)*($S$2:$S$1501-'Opening Balance'!$B$15*($R$2:$R$1501="Cheque 支票")*($S$2:$S$1501-TRUNC($S$2:$S$1501))))-'Opening Balance'!$B$15*SUMPRODUCT(($Z$2:Z253="Online collection 网上收款")*($AA$2:AA253&lt;&gt;"")*($AC$2:AC253-TRUNC($AC$2:AC253))),2))</f>
        <v/>
      </c>
    </row>
    <row r="254">
      <c r="A254" s="5" t="n"/>
      <c r="B254" s="6" t="n"/>
      <c r="C254" s="6" t="n"/>
      <c r="D254" s="6" t="n"/>
      <c r="E254" s="7">
        <f>IF(A254="","",SUMPRODUCT(('Daily Sale entry '!$O$2:$O$1501=A254)*('Daily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4" s="6" t="n"/>
      <c r="G254" s="6" t="n"/>
      <c r="H254" s="6" t="n"/>
      <c r="I254" s="8" t="n"/>
      <c r="J254" s="6" t="n"/>
      <c r="K254" s="6" t="n"/>
      <c r="L254" s="6" t="n"/>
      <c r="M254" s="6" t="n"/>
      <c r="O254" s="5" t="n"/>
      <c r="S254" s="6" t="n"/>
      <c r="V254" s="5" t="n"/>
      <c r="X254" s="5" t="n"/>
      <c r="AC254" s="6" t="n"/>
      <c r="AD254" s="6" t="n"/>
      <c r="AE254" s="7">
        <f>IF(X254="","",ROUND('Opening Balance'!$B$4+SUM($AC$2:AC254)-SUM($AD$2:AD254)+SUMPRODUCT(($Q$2:$Q$1501="Collection 收款")*($R$2:$R$1501="Cheque 支票")*($V$2:$V$1501&lt;&gt;"")*($V$2:$V$1501&lt;=X254)*($S$2:$S$1501-'Opening Balance'!$B$15*($R$2:$R$1501="Cheque 支票")*($S$2:$S$1501-TRUNC($S$2:$S$1501))))-'Opening Balance'!$B$15*SUMPRODUCT(($Z$2:Z254="Online collection 网上收款")*($AA$2:AA254&lt;&gt;"")*($AC$2:AC254-TRUNC($AC$2:AC254))),2))</f>
        <v/>
      </c>
    </row>
    <row r="255">
      <c r="A255" s="5" t="n"/>
      <c r="B255" s="6" t="n"/>
      <c r="C255" s="6" t="n"/>
      <c r="D255" s="6" t="n"/>
      <c r="E255" s="7">
        <f>IF(A255="","",SUMPRODUCT(('Daily Sale entry '!$O$2:$O$1501=A255)*('Daily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5" s="6" t="n"/>
      <c r="G255" s="6" t="n"/>
      <c r="H255" s="6" t="n"/>
      <c r="I255" s="8" t="n"/>
      <c r="J255" s="6" t="n"/>
      <c r="K255" s="6" t="n"/>
      <c r="L255" s="6" t="n"/>
      <c r="M255" s="6" t="n"/>
      <c r="O255" s="5" t="n"/>
      <c r="S255" s="6" t="n"/>
      <c r="V255" s="5" t="n"/>
      <c r="X255" s="5" t="n"/>
      <c r="AC255" s="6" t="n"/>
      <c r="AD255" s="6" t="n"/>
      <c r="AE255" s="7">
        <f>IF(X255="","",ROUND('Opening Balance'!$B$4+SUM($AC$2:AC255)-SUM($AD$2:AD255)+SUMPRODUCT(($Q$2:$Q$1501="Collection 收款")*($R$2:$R$1501="Cheque 支票")*($V$2:$V$1501&lt;&gt;"")*($V$2:$V$1501&lt;=X255)*($S$2:$S$1501-'Opening Balance'!$B$15*($R$2:$R$1501="Cheque 支票")*($S$2:$S$1501-TRUNC($S$2:$S$1501))))-'Opening Balance'!$B$15*SUMPRODUCT(($Z$2:Z255="Online collection 网上收款")*($AA$2:AA255&lt;&gt;"")*($AC$2:AC255-TRUNC($AC$2:AC255))),2))</f>
        <v/>
      </c>
    </row>
    <row r="256">
      <c r="A256" s="5" t="n"/>
      <c r="B256" s="6" t="n"/>
      <c r="C256" s="6" t="n"/>
      <c r="D256" s="6" t="n"/>
      <c r="E256" s="7">
        <f>IF(A256="","",SUMPRODUCT(('Daily Sale entry '!$O$2:$O$1501=A256)*('Daily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6" s="6" t="n"/>
      <c r="G256" s="6" t="n"/>
      <c r="H256" s="6" t="n"/>
      <c r="I256" s="8" t="n"/>
      <c r="J256" s="6" t="n"/>
      <c r="K256" s="6" t="n"/>
      <c r="L256" s="6" t="n"/>
      <c r="M256" s="6" t="n"/>
      <c r="O256" s="5" t="n"/>
      <c r="S256" s="6" t="n"/>
      <c r="V256" s="5" t="n"/>
      <c r="X256" s="5" t="n"/>
      <c r="AC256" s="6" t="n"/>
      <c r="AD256" s="6" t="n"/>
      <c r="AE256" s="7">
        <f>IF(X256="","",ROUND('Opening Balance'!$B$4+SUM($AC$2:AC256)-SUM($AD$2:AD256)+SUMPRODUCT(($Q$2:$Q$1501="Collection 收款")*($R$2:$R$1501="Cheque 支票")*($V$2:$V$1501&lt;&gt;"")*($V$2:$V$1501&lt;=X256)*($S$2:$S$1501-'Opening Balance'!$B$15*($R$2:$R$1501="Cheque 支票")*($S$2:$S$1501-TRUNC($S$2:$S$1501))))-'Opening Balance'!$B$15*SUMPRODUCT(($Z$2:Z256="Online collection 网上收款")*($AA$2:AA256&lt;&gt;"")*($AC$2:AC256-TRUNC($AC$2:AC256))),2))</f>
        <v/>
      </c>
    </row>
    <row r="257">
      <c r="A257" s="5" t="n"/>
      <c r="B257" s="6" t="n"/>
      <c r="C257" s="6" t="n"/>
      <c r="D257" s="6" t="n"/>
      <c r="E257" s="7">
        <f>IF(A257="","",SUMPRODUCT(('Daily Sale entry '!$O$2:$O$1501=A257)*('Daily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7" s="6" t="n"/>
      <c r="G257" s="6" t="n"/>
      <c r="H257" s="6" t="n"/>
      <c r="I257" s="8" t="n"/>
      <c r="J257" s="6" t="n"/>
      <c r="K257" s="6" t="n"/>
      <c r="L257" s="6" t="n"/>
      <c r="M257" s="6" t="n"/>
      <c r="O257" s="5" t="n"/>
      <c r="S257" s="6" t="n"/>
      <c r="V257" s="5" t="n"/>
      <c r="X257" s="5" t="n"/>
      <c r="AC257" s="6" t="n"/>
      <c r="AD257" s="6" t="n"/>
      <c r="AE257" s="7">
        <f>IF(X257="","",ROUND('Opening Balance'!$B$4+SUM($AC$2:AC257)-SUM($AD$2:AD257)+SUMPRODUCT(($Q$2:$Q$1501="Collection 收款")*($R$2:$R$1501="Cheque 支票")*($V$2:$V$1501&lt;&gt;"")*($V$2:$V$1501&lt;=X257)*($S$2:$S$1501-'Opening Balance'!$B$15*($R$2:$R$1501="Cheque 支票")*($S$2:$S$1501-TRUNC($S$2:$S$1501))))-'Opening Balance'!$B$15*SUMPRODUCT(($Z$2:Z257="Online collection 网上收款")*($AA$2:AA257&lt;&gt;"")*($AC$2:AC257-TRUNC($AC$2:AC257))),2))</f>
        <v/>
      </c>
    </row>
    <row r="258">
      <c r="A258" s="5" t="n"/>
      <c r="B258" s="6" t="n"/>
      <c r="C258" s="6" t="n"/>
      <c r="D258" s="6" t="n"/>
      <c r="E258" s="7">
        <f>IF(A258="","",SUMPRODUCT(('Daily Sale entry '!$O$2:$O$1501=A258)*('Daily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8" s="6" t="n"/>
      <c r="G258" s="6" t="n"/>
      <c r="H258" s="6" t="n"/>
      <c r="I258" s="8" t="n"/>
      <c r="J258" s="6" t="n"/>
      <c r="K258" s="6" t="n"/>
      <c r="L258" s="6" t="n"/>
      <c r="M258" s="6" t="n"/>
      <c r="O258" s="5" t="n"/>
      <c r="S258" s="6" t="n"/>
      <c r="V258" s="5" t="n"/>
      <c r="X258" s="5" t="n"/>
      <c r="AC258" s="6" t="n"/>
      <c r="AD258" s="6" t="n"/>
      <c r="AE258" s="7">
        <f>IF(X258="","",ROUND('Opening Balance'!$B$4+SUM($AC$2:AC258)-SUM($AD$2:AD258)+SUMPRODUCT(($Q$2:$Q$1501="Collection 收款")*($R$2:$R$1501="Cheque 支票")*($V$2:$V$1501&lt;&gt;"")*($V$2:$V$1501&lt;=X258)*($S$2:$S$1501-'Opening Balance'!$B$15*($R$2:$R$1501="Cheque 支票")*($S$2:$S$1501-TRUNC($S$2:$S$1501))))-'Opening Balance'!$B$15*SUMPRODUCT(($Z$2:Z258="Online collection 网上收款")*($AA$2:AA258&lt;&gt;"")*($AC$2:AC258-TRUNC($AC$2:AC258))),2))</f>
        <v/>
      </c>
    </row>
    <row r="259">
      <c r="A259" s="5" t="n"/>
      <c r="B259" s="6" t="n"/>
      <c r="C259" s="6" t="n"/>
      <c r="D259" s="6" t="n"/>
      <c r="E259" s="7">
        <f>IF(A259="","",SUMPRODUCT(('Daily Sale entry '!$O$2:$O$1501=A259)*('Daily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59" s="6" t="n"/>
      <c r="G259" s="6" t="n"/>
      <c r="H259" s="6" t="n"/>
      <c r="I259" s="8" t="n"/>
      <c r="J259" s="6" t="n"/>
      <c r="K259" s="6" t="n"/>
      <c r="L259" s="6" t="n"/>
      <c r="M259" s="6" t="n"/>
      <c r="O259" s="5" t="n"/>
      <c r="S259" s="6" t="n"/>
      <c r="V259" s="5" t="n"/>
      <c r="X259" s="5" t="n"/>
      <c r="AC259" s="6" t="n"/>
      <c r="AD259" s="6" t="n"/>
      <c r="AE259" s="7">
        <f>IF(X259="","",ROUND('Opening Balance'!$B$4+SUM($AC$2:AC259)-SUM($AD$2:AD259)+SUMPRODUCT(($Q$2:$Q$1501="Collection 收款")*($R$2:$R$1501="Cheque 支票")*($V$2:$V$1501&lt;&gt;"")*($V$2:$V$1501&lt;=X259)*($S$2:$S$1501-'Opening Balance'!$B$15*($R$2:$R$1501="Cheque 支票")*($S$2:$S$1501-TRUNC($S$2:$S$1501))))-'Opening Balance'!$B$15*SUMPRODUCT(($Z$2:Z259="Online collection 网上收款")*($AA$2:AA259&lt;&gt;"")*($AC$2:AC259-TRUNC($AC$2:AC259))),2))</f>
        <v/>
      </c>
    </row>
    <row r="260">
      <c r="A260" s="5" t="n"/>
      <c r="B260" s="6" t="n"/>
      <c r="C260" s="6" t="n"/>
      <c r="D260" s="6" t="n"/>
      <c r="E260" s="7">
        <f>IF(A260="","",SUMPRODUCT(('Daily Sale entry '!$O$2:$O$1501=A260)*('Daily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0" s="6" t="n"/>
      <c r="G260" s="6" t="n"/>
      <c r="H260" s="6" t="n"/>
      <c r="I260" s="8" t="n"/>
      <c r="J260" s="6" t="n"/>
      <c r="K260" s="6" t="n"/>
      <c r="L260" s="6" t="n"/>
      <c r="M260" s="6" t="n"/>
      <c r="O260" s="5" t="n"/>
      <c r="S260" s="6" t="n"/>
      <c r="V260" s="5" t="n"/>
      <c r="X260" s="5" t="n"/>
      <c r="AC260" s="6" t="n"/>
      <c r="AD260" s="6" t="n"/>
      <c r="AE260" s="7">
        <f>IF(X260="","",ROUND('Opening Balance'!$B$4+SUM($AC$2:AC260)-SUM($AD$2:AD260)+SUMPRODUCT(($Q$2:$Q$1501="Collection 收款")*($R$2:$R$1501="Cheque 支票")*($V$2:$V$1501&lt;&gt;"")*($V$2:$V$1501&lt;=X260)*($S$2:$S$1501-'Opening Balance'!$B$15*($R$2:$R$1501="Cheque 支票")*($S$2:$S$1501-TRUNC($S$2:$S$1501))))-'Opening Balance'!$B$15*SUMPRODUCT(($Z$2:Z260="Online collection 网上收款")*($AA$2:AA260&lt;&gt;"")*($AC$2:AC260-TRUNC($AC$2:AC260))),2))</f>
        <v/>
      </c>
    </row>
    <row r="261">
      <c r="A261" s="5" t="n"/>
      <c r="B261" s="6" t="n"/>
      <c r="C261" s="6" t="n"/>
      <c r="D261" s="6" t="n"/>
      <c r="E261" s="7">
        <f>IF(A261="","",SUMPRODUCT(('Daily Sale entry '!$O$2:$O$1501=A261)*('Daily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1" s="6" t="n"/>
      <c r="G261" s="6" t="n"/>
      <c r="H261" s="6" t="n"/>
      <c r="I261" s="8" t="n"/>
      <c r="J261" s="6" t="n"/>
      <c r="K261" s="6" t="n"/>
      <c r="L261" s="6" t="n"/>
      <c r="M261" s="6" t="n"/>
      <c r="O261" s="5" t="n"/>
      <c r="S261" s="6" t="n"/>
      <c r="V261" s="5" t="n"/>
      <c r="X261" s="5" t="n"/>
      <c r="AC261" s="6" t="n"/>
      <c r="AD261" s="6" t="n"/>
      <c r="AE261" s="7">
        <f>IF(X261="","",ROUND('Opening Balance'!$B$4+SUM($AC$2:AC261)-SUM($AD$2:AD261)+SUMPRODUCT(($Q$2:$Q$1501="Collection 收款")*($R$2:$R$1501="Cheque 支票")*($V$2:$V$1501&lt;&gt;"")*($V$2:$V$1501&lt;=X261)*($S$2:$S$1501-'Opening Balance'!$B$15*($R$2:$R$1501="Cheque 支票")*($S$2:$S$1501-TRUNC($S$2:$S$1501))))-'Opening Balance'!$B$15*SUMPRODUCT(($Z$2:Z261="Online collection 网上收款")*($AA$2:AA261&lt;&gt;"")*($AC$2:AC261-TRUNC($AC$2:AC261))),2))</f>
        <v/>
      </c>
    </row>
    <row r="262">
      <c r="A262" s="5" t="n"/>
      <c r="B262" s="6" t="n"/>
      <c r="C262" s="6" t="n"/>
      <c r="D262" s="6" t="n"/>
      <c r="E262" s="7">
        <f>IF(A262="","",SUMPRODUCT(('Daily Sale entry '!$O$2:$O$1501=A262)*('Daily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2" s="6" t="n"/>
      <c r="G262" s="6" t="n"/>
      <c r="H262" s="6" t="n"/>
      <c r="I262" s="8" t="n"/>
      <c r="J262" s="6" t="n"/>
      <c r="K262" s="6" t="n"/>
      <c r="L262" s="6" t="n"/>
      <c r="M262" s="6" t="n"/>
      <c r="O262" s="5" t="n"/>
      <c r="S262" s="6" t="n"/>
      <c r="V262" s="5" t="n"/>
      <c r="X262" s="5" t="n"/>
      <c r="AC262" s="6" t="n"/>
      <c r="AD262" s="6" t="n"/>
      <c r="AE262" s="7">
        <f>IF(X262="","",ROUND('Opening Balance'!$B$4+SUM($AC$2:AC262)-SUM($AD$2:AD262)+SUMPRODUCT(($Q$2:$Q$1501="Collection 收款")*($R$2:$R$1501="Cheque 支票")*($V$2:$V$1501&lt;&gt;"")*($V$2:$V$1501&lt;=X262)*($S$2:$S$1501-'Opening Balance'!$B$15*($R$2:$R$1501="Cheque 支票")*($S$2:$S$1501-TRUNC($S$2:$S$1501))))-'Opening Balance'!$B$15*SUMPRODUCT(($Z$2:Z262="Online collection 网上收款")*($AA$2:AA262&lt;&gt;"")*($AC$2:AC262-TRUNC($AC$2:AC262))),2))</f>
        <v/>
      </c>
    </row>
    <row r="263">
      <c r="A263" s="5" t="n"/>
      <c r="B263" s="6" t="n"/>
      <c r="C263" s="6" t="n"/>
      <c r="D263" s="6" t="n"/>
      <c r="E263" s="7">
        <f>IF(A263="","",SUMPRODUCT(('Daily Sale entry '!$O$2:$O$1501=A263)*('Daily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3" s="6" t="n"/>
      <c r="G263" s="6" t="n"/>
      <c r="H263" s="6" t="n"/>
      <c r="I263" s="8" t="n"/>
      <c r="J263" s="6" t="n"/>
      <c r="K263" s="6" t="n"/>
      <c r="L263" s="6" t="n"/>
      <c r="M263" s="6" t="n"/>
      <c r="O263" s="5" t="n"/>
      <c r="S263" s="6" t="n"/>
      <c r="V263" s="5" t="n"/>
      <c r="X263" s="5" t="n"/>
      <c r="AC263" s="6" t="n"/>
      <c r="AD263" s="6" t="n"/>
      <c r="AE263" s="7">
        <f>IF(X263="","",ROUND('Opening Balance'!$B$4+SUM($AC$2:AC263)-SUM($AD$2:AD263)+SUMPRODUCT(($Q$2:$Q$1501="Collection 收款")*($R$2:$R$1501="Cheque 支票")*($V$2:$V$1501&lt;&gt;"")*($V$2:$V$1501&lt;=X263)*($S$2:$S$1501-'Opening Balance'!$B$15*($R$2:$R$1501="Cheque 支票")*($S$2:$S$1501-TRUNC($S$2:$S$1501))))-'Opening Balance'!$B$15*SUMPRODUCT(($Z$2:Z263="Online collection 网上收款")*($AA$2:AA263&lt;&gt;"")*($AC$2:AC263-TRUNC($AC$2:AC263))),2))</f>
        <v/>
      </c>
    </row>
    <row r="264">
      <c r="A264" s="5" t="n"/>
      <c r="B264" s="6" t="n"/>
      <c r="C264" s="6" t="n"/>
      <c r="D264" s="6" t="n"/>
      <c r="E264" s="7">
        <f>IF(A264="","",SUMPRODUCT(('Daily Sale entry '!$O$2:$O$1501=A264)*('Daily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4" s="6" t="n"/>
      <c r="G264" s="6" t="n"/>
      <c r="H264" s="6" t="n"/>
      <c r="I264" s="8" t="n"/>
      <c r="J264" s="6" t="n"/>
      <c r="K264" s="6" t="n"/>
      <c r="L264" s="6" t="n"/>
      <c r="M264" s="6" t="n"/>
      <c r="O264" s="5" t="n"/>
      <c r="S264" s="6" t="n"/>
      <c r="V264" s="5" t="n"/>
      <c r="X264" s="5" t="n"/>
      <c r="AC264" s="6" t="n"/>
      <c r="AD264" s="6" t="n"/>
      <c r="AE264" s="7">
        <f>IF(X264="","",ROUND('Opening Balance'!$B$4+SUM($AC$2:AC264)-SUM($AD$2:AD264)+SUMPRODUCT(($Q$2:$Q$1501="Collection 收款")*($R$2:$R$1501="Cheque 支票")*($V$2:$V$1501&lt;&gt;"")*($V$2:$V$1501&lt;=X264)*($S$2:$S$1501-'Opening Balance'!$B$15*($R$2:$R$1501="Cheque 支票")*($S$2:$S$1501-TRUNC($S$2:$S$1501))))-'Opening Balance'!$B$15*SUMPRODUCT(($Z$2:Z264="Online collection 网上收款")*($AA$2:AA264&lt;&gt;"")*($AC$2:AC264-TRUNC($AC$2:AC264))),2))</f>
        <v/>
      </c>
    </row>
    <row r="265">
      <c r="A265" s="5" t="n"/>
      <c r="B265" s="6" t="n"/>
      <c r="C265" s="6" t="n"/>
      <c r="D265" s="6" t="n"/>
      <c r="E265" s="7">
        <f>IF(A265="","",SUMPRODUCT(('Daily Sale entry '!$O$2:$O$1501=A265)*('Daily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5" s="6" t="n"/>
      <c r="G265" s="6" t="n"/>
      <c r="H265" s="6" t="n"/>
      <c r="I265" s="8" t="n"/>
      <c r="J265" s="6" t="n"/>
      <c r="K265" s="6" t="n"/>
      <c r="L265" s="6" t="n"/>
      <c r="M265" s="6" t="n"/>
      <c r="O265" s="5" t="n"/>
      <c r="S265" s="6" t="n"/>
      <c r="V265" s="5" t="n"/>
      <c r="X265" s="5" t="n"/>
      <c r="AC265" s="6" t="n"/>
      <c r="AD265" s="6" t="n"/>
      <c r="AE265" s="7">
        <f>IF(X265="","",ROUND('Opening Balance'!$B$4+SUM($AC$2:AC265)-SUM($AD$2:AD265)+SUMPRODUCT(($Q$2:$Q$1501="Collection 收款")*($R$2:$R$1501="Cheque 支票")*($V$2:$V$1501&lt;&gt;"")*($V$2:$V$1501&lt;=X265)*($S$2:$S$1501-'Opening Balance'!$B$15*($R$2:$R$1501="Cheque 支票")*($S$2:$S$1501-TRUNC($S$2:$S$1501))))-'Opening Balance'!$B$15*SUMPRODUCT(($Z$2:Z265="Online collection 网上收款")*($AA$2:AA265&lt;&gt;"")*($AC$2:AC265-TRUNC($AC$2:AC265))),2))</f>
        <v/>
      </c>
    </row>
    <row r="266">
      <c r="A266" s="5" t="n"/>
      <c r="B266" s="6" t="n"/>
      <c r="C266" s="6" t="n"/>
      <c r="D266" s="6" t="n"/>
      <c r="E266" s="7">
        <f>IF(A266="","",SUMPRODUCT(('Daily Sale entry '!$O$2:$O$1501=A266)*('Daily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6" s="6" t="n"/>
      <c r="G266" s="6" t="n"/>
      <c r="H266" s="6" t="n"/>
      <c r="I266" s="8" t="n"/>
      <c r="J266" s="6" t="n"/>
      <c r="K266" s="6" t="n"/>
      <c r="L266" s="6" t="n"/>
      <c r="M266" s="6" t="n"/>
      <c r="O266" s="5" t="n"/>
      <c r="S266" s="6" t="n"/>
      <c r="V266" s="5" t="n"/>
      <c r="X266" s="5" t="n"/>
      <c r="AC266" s="6" t="n"/>
      <c r="AD266" s="6" t="n"/>
      <c r="AE266" s="7">
        <f>IF(X266="","",ROUND('Opening Balance'!$B$4+SUM($AC$2:AC266)-SUM($AD$2:AD266)+SUMPRODUCT(($Q$2:$Q$1501="Collection 收款")*($R$2:$R$1501="Cheque 支票")*($V$2:$V$1501&lt;&gt;"")*($V$2:$V$1501&lt;=X266)*($S$2:$S$1501-'Opening Balance'!$B$15*($R$2:$R$1501="Cheque 支票")*($S$2:$S$1501-TRUNC($S$2:$S$1501))))-'Opening Balance'!$B$15*SUMPRODUCT(($Z$2:Z266="Online collection 网上收款")*($AA$2:AA266&lt;&gt;"")*($AC$2:AC266-TRUNC($AC$2:AC266))),2))</f>
        <v/>
      </c>
    </row>
    <row r="267">
      <c r="A267" s="5" t="n"/>
      <c r="B267" s="6" t="n"/>
      <c r="C267" s="6" t="n"/>
      <c r="D267" s="6" t="n"/>
      <c r="E267" s="7">
        <f>IF(A267="","",SUMPRODUCT(('Daily Sale entry '!$O$2:$O$1501=A267)*('Daily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7" s="6" t="n"/>
      <c r="G267" s="6" t="n"/>
      <c r="H267" s="6" t="n"/>
      <c r="I267" s="8" t="n"/>
      <c r="J267" s="6" t="n"/>
      <c r="K267" s="6" t="n"/>
      <c r="L267" s="6" t="n"/>
      <c r="M267" s="6" t="n"/>
      <c r="O267" s="5" t="n"/>
      <c r="S267" s="6" t="n"/>
      <c r="V267" s="5" t="n"/>
      <c r="X267" s="5" t="n"/>
      <c r="AC267" s="6" t="n"/>
      <c r="AD267" s="6" t="n"/>
      <c r="AE267" s="7">
        <f>IF(X267="","",ROUND('Opening Balance'!$B$4+SUM($AC$2:AC267)-SUM($AD$2:AD267)+SUMPRODUCT(($Q$2:$Q$1501="Collection 收款")*($R$2:$R$1501="Cheque 支票")*($V$2:$V$1501&lt;&gt;"")*($V$2:$V$1501&lt;=X267)*($S$2:$S$1501-'Opening Balance'!$B$15*($R$2:$R$1501="Cheque 支票")*($S$2:$S$1501-TRUNC($S$2:$S$1501))))-'Opening Balance'!$B$15*SUMPRODUCT(($Z$2:Z267="Online collection 网上收款")*($AA$2:AA267&lt;&gt;"")*($AC$2:AC267-TRUNC($AC$2:AC267))),2))</f>
        <v/>
      </c>
    </row>
    <row r="268">
      <c r="A268" s="5" t="n"/>
      <c r="B268" s="6" t="n"/>
      <c r="C268" s="6" t="n"/>
      <c r="D268" s="6" t="n"/>
      <c r="E268" s="7">
        <f>IF(A268="","",SUMPRODUCT(('Daily Sale entry '!$O$2:$O$1501=A268)*('Daily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8" s="6" t="n"/>
      <c r="G268" s="6" t="n"/>
      <c r="H268" s="6" t="n"/>
      <c r="I268" s="8" t="n"/>
      <c r="J268" s="6" t="n"/>
      <c r="K268" s="6" t="n"/>
      <c r="L268" s="6" t="n"/>
      <c r="M268" s="6" t="n"/>
      <c r="O268" s="5" t="n"/>
      <c r="S268" s="6" t="n"/>
      <c r="V268" s="5" t="n"/>
      <c r="X268" s="5" t="n"/>
      <c r="AC268" s="6" t="n"/>
      <c r="AD268" s="6" t="n"/>
      <c r="AE268" s="7">
        <f>IF(X268="","",ROUND('Opening Balance'!$B$4+SUM($AC$2:AC268)-SUM($AD$2:AD268)+SUMPRODUCT(($Q$2:$Q$1501="Collection 收款")*($R$2:$R$1501="Cheque 支票")*($V$2:$V$1501&lt;&gt;"")*($V$2:$V$1501&lt;=X268)*($S$2:$S$1501-'Opening Balance'!$B$15*($R$2:$R$1501="Cheque 支票")*($S$2:$S$1501-TRUNC($S$2:$S$1501))))-'Opening Balance'!$B$15*SUMPRODUCT(($Z$2:Z268="Online collection 网上收款")*($AA$2:AA268&lt;&gt;"")*($AC$2:AC268-TRUNC($AC$2:AC268))),2))</f>
        <v/>
      </c>
    </row>
    <row r="269">
      <c r="A269" s="5" t="n"/>
      <c r="B269" s="6" t="n"/>
      <c r="C269" s="6" t="n"/>
      <c r="D269" s="6" t="n"/>
      <c r="E269" s="7">
        <f>IF(A269="","",SUMPRODUCT(('Daily Sale entry '!$O$2:$O$1501=A269)*('Daily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69" s="6" t="n"/>
      <c r="G269" s="6" t="n"/>
      <c r="H269" s="6" t="n"/>
      <c r="I269" s="8" t="n"/>
      <c r="J269" s="6" t="n"/>
      <c r="K269" s="6" t="n"/>
      <c r="L269" s="6" t="n"/>
      <c r="M269" s="6" t="n"/>
      <c r="O269" s="5" t="n"/>
      <c r="S269" s="6" t="n"/>
      <c r="V269" s="5" t="n"/>
      <c r="X269" s="5" t="n"/>
      <c r="AC269" s="6" t="n"/>
      <c r="AD269" s="6" t="n"/>
      <c r="AE269" s="7">
        <f>IF(X269="","",ROUND('Opening Balance'!$B$4+SUM($AC$2:AC269)-SUM($AD$2:AD269)+SUMPRODUCT(($Q$2:$Q$1501="Collection 收款")*($R$2:$R$1501="Cheque 支票")*($V$2:$V$1501&lt;&gt;"")*($V$2:$V$1501&lt;=X269)*($S$2:$S$1501-'Opening Balance'!$B$15*($R$2:$R$1501="Cheque 支票")*($S$2:$S$1501-TRUNC($S$2:$S$1501))))-'Opening Balance'!$B$15*SUMPRODUCT(($Z$2:Z269="Online collection 网上收款")*($AA$2:AA269&lt;&gt;"")*($AC$2:AC269-TRUNC($AC$2:AC269))),2))</f>
        <v/>
      </c>
    </row>
    <row r="270">
      <c r="A270" s="5" t="n"/>
      <c r="B270" s="6" t="n"/>
      <c r="C270" s="6" t="n"/>
      <c r="D270" s="6" t="n"/>
      <c r="E270" s="7">
        <f>IF(A270="","",SUMPRODUCT(('Daily Sale entry '!$O$2:$O$1501=A270)*('Daily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0" s="6" t="n"/>
      <c r="G270" s="6" t="n"/>
      <c r="H270" s="6" t="n"/>
      <c r="I270" s="8" t="n"/>
      <c r="J270" s="6" t="n"/>
      <c r="K270" s="6" t="n"/>
      <c r="L270" s="6" t="n"/>
      <c r="M270" s="6" t="n"/>
      <c r="O270" s="5" t="n"/>
      <c r="S270" s="6" t="n"/>
      <c r="V270" s="5" t="n"/>
      <c r="X270" s="5" t="n"/>
      <c r="AC270" s="6" t="n"/>
      <c r="AD270" s="6" t="n"/>
      <c r="AE270" s="7">
        <f>IF(X270="","",ROUND('Opening Balance'!$B$4+SUM($AC$2:AC270)-SUM($AD$2:AD270)+SUMPRODUCT(($Q$2:$Q$1501="Collection 收款")*($R$2:$R$1501="Cheque 支票")*($V$2:$V$1501&lt;&gt;"")*($V$2:$V$1501&lt;=X270)*($S$2:$S$1501-'Opening Balance'!$B$15*($R$2:$R$1501="Cheque 支票")*($S$2:$S$1501-TRUNC($S$2:$S$1501))))-'Opening Balance'!$B$15*SUMPRODUCT(($Z$2:Z270="Online collection 网上收款")*($AA$2:AA270&lt;&gt;"")*($AC$2:AC270-TRUNC($AC$2:AC270))),2))</f>
        <v/>
      </c>
    </row>
    <row r="271">
      <c r="A271" s="5" t="n"/>
      <c r="B271" s="6" t="n"/>
      <c r="C271" s="6" t="n"/>
      <c r="D271" s="6" t="n"/>
      <c r="E271" s="7">
        <f>IF(A271="","",SUMPRODUCT(('Daily Sale entry '!$O$2:$O$1501=A271)*('Daily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1" s="6" t="n"/>
      <c r="G271" s="6" t="n"/>
      <c r="H271" s="6" t="n"/>
      <c r="I271" s="8" t="n"/>
      <c r="J271" s="6" t="n"/>
      <c r="K271" s="6" t="n"/>
      <c r="L271" s="6" t="n"/>
      <c r="M271" s="6" t="n"/>
      <c r="O271" s="5" t="n"/>
      <c r="S271" s="6" t="n"/>
      <c r="V271" s="5" t="n"/>
      <c r="X271" s="5" t="n"/>
      <c r="AC271" s="6" t="n"/>
      <c r="AD271" s="6" t="n"/>
      <c r="AE271" s="7">
        <f>IF(X271="","",ROUND('Opening Balance'!$B$4+SUM($AC$2:AC271)-SUM($AD$2:AD271)+SUMPRODUCT(($Q$2:$Q$1501="Collection 收款")*($R$2:$R$1501="Cheque 支票")*($V$2:$V$1501&lt;&gt;"")*($V$2:$V$1501&lt;=X271)*($S$2:$S$1501-'Opening Balance'!$B$15*($R$2:$R$1501="Cheque 支票")*($S$2:$S$1501-TRUNC($S$2:$S$1501))))-'Opening Balance'!$B$15*SUMPRODUCT(($Z$2:Z271="Online collection 网上收款")*($AA$2:AA271&lt;&gt;"")*($AC$2:AC271-TRUNC($AC$2:AC271))),2))</f>
        <v/>
      </c>
    </row>
    <row r="272">
      <c r="A272" s="5" t="n"/>
      <c r="B272" s="6" t="n"/>
      <c r="C272" s="6" t="n"/>
      <c r="D272" s="6" t="n"/>
      <c r="E272" s="7">
        <f>IF(A272="","",SUMPRODUCT(('Daily Sale entry '!$O$2:$O$1501=A272)*('Daily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2" s="6" t="n"/>
      <c r="G272" s="6" t="n"/>
      <c r="H272" s="6" t="n"/>
      <c r="I272" s="8" t="n"/>
      <c r="J272" s="6" t="n"/>
      <c r="K272" s="6" t="n"/>
      <c r="L272" s="6" t="n"/>
      <c r="M272" s="6" t="n"/>
      <c r="O272" s="5" t="n"/>
      <c r="S272" s="6" t="n"/>
      <c r="V272" s="5" t="n"/>
      <c r="X272" s="5" t="n"/>
      <c r="AC272" s="6" t="n"/>
      <c r="AD272" s="6" t="n"/>
      <c r="AE272" s="7">
        <f>IF(X272="","",ROUND('Opening Balance'!$B$4+SUM($AC$2:AC272)-SUM($AD$2:AD272)+SUMPRODUCT(($Q$2:$Q$1501="Collection 收款")*($R$2:$R$1501="Cheque 支票")*($V$2:$V$1501&lt;&gt;"")*($V$2:$V$1501&lt;=X272)*($S$2:$S$1501-'Opening Balance'!$B$15*($R$2:$R$1501="Cheque 支票")*($S$2:$S$1501-TRUNC($S$2:$S$1501))))-'Opening Balance'!$B$15*SUMPRODUCT(($Z$2:Z272="Online collection 网上收款")*($AA$2:AA272&lt;&gt;"")*($AC$2:AC272-TRUNC($AC$2:AC272))),2))</f>
        <v/>
      </c>
    </row>
    <row r="273">
      <c r="A273" s="5" t="n"/>
      <c r="B273" s="6" t="n"/>
      <c r="C273" s="6" t="n"/>
      <c r="D273" s="6" t="n"/>
      <c r="E273" s="7">
        <f>IF(A273="","",SUMPRODUCT(('Daily Sale entry '!$O$2:$O$1501=A273)*('Daily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3" s="6" t="n"/>
      <c r="G273" s="6" t="n"/>
      <c r="H273" s="6" t="n"/>
      <c r="I273" s="8" t="n"/>
      <c r="J273" s="6" t="n"/>
      <c r="K273" s="6" t="n"/>
      <c r="L273" s="6" t="n"/>
      <c r="M273" s="6" t="n"/>
      <c r="O273" s="5" t="n"/>
      <c r="S273" s="6" t="n"/>
      <c r="V273" s="5" t="n"/>
      <c r="X273" s="5" t="n"/>
      <c r="AC273" s="6" t="n"/>
      <c r="AD273" s="6" t="n"/>
      <c r="AE273" s="7">
        <f>IF(X273="","",ROUND('Opening Balance'!$B$4+SUM($AC$2:AC273)-SUM($AD$2:AD273)+SUMPRODUCT(($Q$2:$Q$1501="Collection 收款")*($R$2:$R$1501="Cheque 支票")*($V$2:$V$1501&lt;&gt;"")*($V$2:$V$1501&lt;=X273)*($S$2:$S$1501-'Opening Balance'!$B$15*($R$2:$R$1501="Cheque 支票")*($S$2:$S$1501-TRUNC($S$2:$S$1501))))-'Opening Balance'!$B$15*SUMPRODUCT(($Z$2:Z273="Online collection 网上收款")*($AA$2:AA273&lt;&gt;"")*($AC$2:AC273-TRUNC($AC$2:AC273))),2))</f>
        <v/>
      </c>
    </row>
    <row r="274">
      <c r="A274" s="5" t="n"/>
      <c r="B274" s="6" t="n"/>
      <c r="C274" s="6" t="n"/>
      <c r="D274" s="6" t="n"/>
      <c r="E274" s="7">
        <f>IF(A274="","",SUMPRODUCT(('Daily Sale entry '!$O$2:$O$1501=A274)*('Daily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4" s="6" t="n"/>
      <c r="G274" s="6" t="n"/>
      <c r="H274" s="6" t="n"/>
      <c r="I274" s="8" t="n"/>
      <c r="J274" s="6" t="n"/>
      <c r="K274" s="6" t="n"/>
      <c r="L274" s="6" t="n"/>
      <c r="M274" s="6" t="n"/>
      <c r="O274" s="5" t="n"/>
      <c r="S274" s="6" t="n"/>
      <c r="V274" s="5" t="n"/>
      <c r="X274" s="5" t="n"/>
      <c r="AC274" s="6" t="n"/>
      <c r="AD274" s="6" t="n"/>
      <c r="AE274" s="7">
        <f>IF(X274="","",ROUND('Opening Balance'!$B$4+SUM($AC$2:AC274)-SUM($AD$2:AD274)+SUMPRODUCT(($Q$2:$Q$1501="Collection 收款")*($R$2:$R$1501="Cheque 支票")*($V$2:$V$1501&lt;&gt;"")*($V$2:$V$1501&lt;=X274)*($S$2:$S$1501-'Opening Balance'!$B$15*($R$2:$R$1501="Cheque 支票")*($S$2:$S$1501-TRUNC($S$2:$S$1501))))-'Opening Balance'!$B$15*SUMPRODUCT(($Z$2:Z274="Online collection 网上收款")*($AA$2:AA274&lt;&gt;"")*($AC$2:AC274-TRUNC($AC$2:AC274))),2))</f>
        <v/>
      </c>
    </row>
    <row r="275">
      <c r="A275" s="5" t="n"/>
      <c r="B275" s="6" t="n"/>
      <c r="C275" s="6" t="n"/>
      <c r="D275" s="6" t="n"/>
      <c r="E275" s="7">
        <f>IF(A275="","",SUMPRODUCT(('Daily Sale entry '!$O$2:$O$1501=A275)*('Daily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5" s="6" t="n"/>
      <c r="G275" s="6" t="n"/>
      <c r="H275" s="6" t="n"/>
      <c r="I275" s="8" t="n"/>
      <c r="J275" s="6" t="n"/>
      <c r="K275" s="6" t="n"/>
      <c r="L275" s="6" t="n"/>
      <c r="M275" s="6" t="n"/>
      <c r="O275" s="5" t="n"/>
      <c r="S275" s="6" t="n"/>
      <c r="V275" s="5" t="n"/>
      <c r="X275" s="5" t="n"/>
      <c r="AC275" s="6" t="n"/>
      <c r="AD275" s="6" t="n"/>
      <c r="AE275" s="7">
        <f>IF(X275="","",ROUND('Opening Balance'!$B$4+SUM($AC$2:AC275)-SUM($AD$2:AD275)+SUMPRODUCT(($Q$2:$Q$1501="Collection 收款")*($R$2:$R$1501="Cheque 支票")*($V$2:$V$1501&lt;&gt;"")*($V$2:$V$1501&lt;=X275)*($S$2:$S$1501-'Opening Balance'!$B$15*($R$2:$R$1501="Cheque 支票")*($S$2:$S$1501-TRUNC($S$2:$S$1501))))-'Opening Balance'!$B$15*SUMPRODUCT(($Z$2:Z275="Online collection 网上收款")*($AA$2:AA275&lt;&gt;"")*($AC$2:AC275-TRUNC($AC$2:AC275))),2))</f>
        <v/>
      </c>
    </row>
    <row r="276">
      <c r="A276" s="5" t="n"/>
      <c r="B276" s="6" t="n"/>
      <c r="C276" s="6" t="n"/>
      <c r="D276" s="6" t="n"/>
      <c r="E276" s="7">
        <f>IF(A276="","",SUMPRODUCT(('Daily Sale entry '!$O$2:$O$1501=A276)*('Daily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6" s="6" t="n"/>
      <c r="G276" s="6" t="n"/>
      <c r="H276" s="6" t="n"/>
      <c r="I276" s="8" t="n"/>
      <c r="J276" s="6" t="n"/>
      <c r="K276" s="6" t="n"/>
      <c r="L276" s="6" t="n"/>
      <c r="M276" s="6" t="n"/>
      <c r="O276" s="5" t="n"/>
      <c r="S276" s="6" t="n"/>
      <c r="V276" s="5" t="n"/>
      <c r="X276" s="5" t="n"/>
      <c r="AC276" s="6" t="n"/>
      <c r="AD276" s="6" t="n"/>
      <c r="AE276" s="7">
        <f>IF(X276="","",ROUND('Opening Balance'!$B$4+SUM($AC$2:AC276)-SUM($AD$2:AD276)+SUMPRODUCT(($Q$2:$Q$1501="Collection 收款")*($R$2:$R$1501="Cheque 支票")*($V$2:$V$1501&lt;&gt;"")*($V$2:$V$1501&lt;=X276)*($S$2:$S$1501-'Opening Balance'!$B$15*($R$2:$R$1501="Cheque 支票")*($S$2:$S$1501-TRUNC($S$2:$S$1501))))-'Opening Balance'!$B$15*SUMPRODUCT(($Z$2:Z276="Online collection 网上收款")*($AA$2:AA276&lt;&gt;"")*($AC$2:AC276-TRUNC($AC$2:AC276))),2))</f>
        <v/>
      </c>
    </row>
    <row r="277">
      <c r="A277" s="5" t="n"/>
      <c r="B277" s="6" t="n"/>
      <c r="C277" s="6" t="n"/>
      <c r="D277" s="6" t="n"/>
      <c r="E277" s="7">
        <f>IF(A277="","",SUMPRODUCT(('Daily Sale entry '!$O$2:$O$1501=A277)*('Daily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7" s="6" t="n"/>
      <c r="G277" s="6" t="n"/>
      <c r="H277" s="6" t="n"/>
      <c r="I277" s="8" t="n"/>
      <c r="J277" s="6" t="n"/>
      <c r="K277" s="6" t="n"/>
      <c r="L277" s="6" t="n"/>
      <c r="M277" s="6" t="n"/>
      <c r="O277" s="5" t="n"/>
      <c r="S277" s="6" t="n"/>
      <c r="V277" s="5" t="n"/>
      <c r="X277" s="5" t="n"/>
      <c r="AC277" s="6" t="n"/>
      <c r="AD277" s="6" t="n"/>
      <c r="AE277" s="7">
        <f>IF(X277="","",ROUND('Opening Balance'!$B$4+SUM($AC$2:AC277)-SUM($AD$2:AD277)+SUMPRODUCT(($Q$2:$Q$1501="Collection 收款")*($R$2:$R$1501="Cheque 支票")*($V$2:$V$1501&lt;&gt;"")*($V$2:$V$1501&lt;=X277)*($S$2:$S$1501-'Opening Balance'!$B$15*($R$2:$R$1501="Cheque 支票")*($S$2:$S$1501-TRUNC($S$2:$S$1501))))-'Opening Balance'!$B$15*SUMPRODUCT(($Z$2:Z277="Online collection 网上收款")*($AA$2:AA277&lt;&gt;"")*($AC$2:AC277-TRUNC($AC$2:AC277))),2))</f>
        <v/>
      </c>
    </row>
    <row r="278">
      <c r="A278" s="5" t="n"/>
      <c r="B278" s="6" t="n"/>
      <c r="C278" s="6" t="n"/>
      <c r="D278" s="6" t="n"/>
      <c r="E278" s="7">
        <f>IF(A278="","",SUMPRODUCT(('Daily Sale entry '!$O$2:$O$1501=A278)*('Daily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8" s="6" t="n"/>
      <c r="G278" s="6" t="n"/>
      <c r="H278" s="6" t="n"/>
      <c r="I278" s="8" t="n"/>
      <c r="J278" s="6" t="n"/>
      <c r="K278" s="6" t="n"/>
      <c r="L278" s="6" t="n"/>
      <c r="M278" s="6" t="n"/>
      <c r="O278" s="5" t="n"/>
      <c r="S278" s="6" t="n"/>
      <c r="V278" s="5" t="n"/>
      <c r="X278" s="5" t="n"/>
      <c r="AC278" s="6" t="n"/>
      <c r="AD278" s="6" t="n"/>
      <c r="AE278" s="7">
        <f>IF(X278="","",ROUND('Opening Balance'!$B$4+SUM($AC$2:AC278)-SUM($AD$2:AD278)+SUMPRODUCT(($Q$2:$Q$1501="Collection 收款")*($R$2:$R$1501="Cheque 支票")*($V$2:$V$1501&lt;&gt;"")*($V$2:$V$1501&lt;=X278)*($S$2:$S$1501-'Opening Balance'!$B$15*($R$2:$R$1501="Cheque 支票")*($S$2:$S$1501-TRUNC($S$2:$S$1501))))-'Opening Balance'!$B$15*SUMPRODUCT(($Z$2:Z278="Online collection 网上收款")*($AA$2:AA278&lt;&gt;"")*($AC$2:AC278-TRUNC($AC$2:AC278))),2))</f>
        <v/>
      </c>
    </row>
    <row r="279">
      <c r="A279" s="5" t="n"/>
      <c r="B279" s="6" t="n"/>
      <c r="C279" s="6" t="n"/>
      <c r="D279" s="6" t="n"/>
      <c r="E279" s="7">
        <f>IF(A279="","",SUMPRODUCT(('Daily Sale entry '!$O$2:$O$1501=A279)*('Daily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79" s="6" t="n"/>
      <c r="G279" s="6" t="n"/>
      <c r="H279" s="6" t="n"/>
      <c r="I279" s="8" t="n"/>
      <c r="J279" s="6" t="n"/>
      <c r="K279" s="6" t="n"/>
      <c r="L279" s="6" t="n"/>
      <c r="M279" s="6" t="n"/>
      <c r="O279" s="5" t="n"/>
      <c r="S279" s="6" t="n"/>
      <c r="V279" s="5" t="n"/>
      <c r="X279" s="5" t="n"/>
      <c r="AC279" s="6" t="n"/>
      <c r="AD279" s="6" t="n"/>
      <c r="AE279" s="7">
        <f>IF(X279="","",ROUND('Opening Balance'!$B$4+SUM($AC$2:AC279)-SUM($AD$2:AD279)+SUMPRODUCT(($Q$2:$Q$1501="Collection 收款")*($R$2:$R$1501="Cheque 支票")*($V$2:$V$1501&lt;&gt;"")*($V$2:$V$1501&lt;=X279)*($S$2:$S$1501-'Opening Balance'!$B$15*($R$2:$R$1501="Cheque 支票")*($S$2:$S$1501-TRUNC($S$2:$S$1501))))-'Opening Balance'!$B$15*SUMPRODUCT(($Z$2:Z279="Online collection 网上收款")*($AA$2:AA279&lt;&gt;"")*($AC$2:AC279-TRUNC($AC$2:AC279))),2))</f>
        <v/>
      </c>
    </row>
    <row r="280">
      <c r="A280" s="5" t="n"/>
      <c r="B280" s="6" t="n"/>
      <c r="C280" s="6" t="n"/>
      <c r="D280" s="6" t="n"/>
      <c r="E280" s="7">
        <f>IF(A280="","",SUMPRODUCT(('Daily Sale entry '!$O$2:$O$1501=A280)*('Daily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0" s="6" t="n"/>
      <c r="G280" s="6" t="n"/>
      <c r="H280" s="6" t="n"/>
      <c r="I280" s="8" t="n"/>
      <c r="J280" s="6" t="n"/>
      <c r="K280" s="6" t="n"/>
      <c r="L280" s="6" t="n"/>
      <c r="M280" s="6" t="n"/>
      <c r="O280" s="5" t="n"/>
      <c r="S280" s="6" t="n"/>
      <c r="V280" s="5" t="n"/>
      <c r="X280" s="5" t="n"/>
      <c r="AC280" s="6" t="n"/>
      <c r="AD280" s="6" t="n"/>
      <c r="AE280" s="7">
        <f>IF(X280="","",ROUND('Opening Balance'!$B$4+SUM($AC$2:AC280)-SUM($AD$2:AD280)+SUMPRODUCT(($Q$2:$Q$1501="Collection 收款")*($R$2:$R$1501="Cheque 支票")*($V$2:$V$1501&lt;&gt;"")*($V$2:$V$1501&lt;=X280)*($S$2:$S$1501-'Opening Balance'!$B$15*($R$2:$R$1501="Cheque 支票")*($S$2:$S$1501-TRUNC($S$2:$S$1501))))-'Opening Balance'!$B$15*SUMPRODUCT(($Z$2:Z280="Online collection 网上收款")*($AA$2:AA280&lt;&gt;"")*($AC$2:AC280-TRUNC($AC$2:AC280))),2))</f>
        <v/>
      </c>
    </row>
    <row r="281">
      <c r="A281" s="5" t="n"/>
      <c r="B281" s="6" t="n"/>
      <c r="C281" s="6" t="n"/>
      <c r="D281" s="6" t="n"/>
      <c r="E281" s="7">
        <f>IF(A281="","",SUMPRODUCT(('Daily Sale entry '!$O$2:$O$1501=A281)*('Daily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1" s="6" t="n"/>
      <c r="G281" s="6" t="n"/>
      <c r="H281" s="6" t="n"/>
      <c r="I281" s="8" t="n"/>
      <c r="J281" s="6" t="n"/>
      <c r="K281" s="6" t="n"/>
      <c r="L281" s="6" t="n"/>
      <c r="M281" s="6" t="n"/>
      <c r="O281" s="5" t="n"/>
      <c r="S281" s="6" t="n"/>
      <c r="V281" s="5" t="n"/>
      <c r="X281" s="5" t="n"/>
      <c r="AC281" s="6" t="n"/>
      <c r="AD281" s="6" t="n"/>
      <c r="AE281" s="7">
        <f>IF(X281="","",ROUND('Opening Balance'!$B$4+SUM($AC$2:AC281)-SUM($AD$2:AD281)+SUMPRODUCT(($Q$2:$Q$1501="Collection 收款")*($R$2:$R$1501="Cheque 支票")*($V$2:$V$1501&lt;&gt;"")*($V$2:$V$1501&lt;=X281)*($S$2:$S$1501-'Opening Balance'!$B$15*($R$2:$R$1501="Cheque 支票")*($S$2:$S$1501-TRUNC($S$2:$S$1501))))-'Opening Balance'!$B$15*SUMPRODUCT(($Z$2:Z281="Online collection 网上收款")*($AA$2:AA281&lt;&gt;"")*($AC$2:AC281-TRUNC($AC$2:AC281))),2))</f>
        <v/>
      </c>
    </row>
    <row r="282">
      <c r="A282" s="5" t="n"/>
      <c r="B282" s="6" t="n"/>
      <c r="C282" s="6" t="n"/>
      <c r="D282" s="6" t="n"/>
      <c r="E282" s="7">
        <f>IF(A282="","",SUMPRODUCT(('Daily Sale entry '!$O$2:$O$1501=A282)*('Daily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2" s="6" t="n"/>
      <c r="G282" s="6" t="n"/>
      <c r="H282" s="6" t="n"/>
      <c r="I282" s="8" t="n"/>
      <c r="J282" s="6" t="n"/>
      <c r="K282" s="6" t="n"/>
      <c r="L282" s="6" t="n"/>
      <c r="M282" s="6" t="n"/>
      <c r="O282" s="5" t="n"/>
      <c r="S282" s="6" t="n"/>
      <c r="V282" s="5" t="n"/>
      <c r="X282" s="5" t="n"/>
      <c r="AC282" s="6" t="n"/>
      <c r="AD282" s="6" t="n"/>
      <c r="AE282" s="7">
        <f>IF(X282="","",ROUND('Opening Balance'!$B$4+SUM($AC$2:AC282)-SUM($AD$2:AD282)+SUMPRODUCT(($Q$2:$Q$1501="Collection 收款")*($R$2:$R$1501="Cheque 支票")*($V$2:$V$1501&lt;&gt;"")*($V$2:$V$1501&lt;=X282)*($S$2:$S$1501-'Opening Balance'!$B$15*($R$2:$R$1501="Cheque 支票")*($S$2:$S$1501-TRUNC($S$2:$S$1501))))-'Opening Balance'!$B$15*SUMPRODUCT(($Z$2:Z282="Online collection 网上收款")*($AA$2:AA282&lt;&gt;"")*($AC$2:AC282-TRUNC($AC$2:AC282))),2))</f>
        <v/>
      </c>
    </row>
    <row r="283">
      <c r="A283" s="5" t="n"/>
      <c r="B283" s="6" t="n"/>
      <c r="C283" s="6" t="n"/>
      <c r="D283" s="6" t="n"/>
      <c r="E283" s="7">
        <f>IF(A283="","",SUMPRODUCT(('Daily Sale entry '!$O$2:$O$1501=A283)*('Daily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3" s="6" t="n"/>
      <c r="G283" s="6" t="n"/>
      <c r="H283" s="6" t="n"/>
      <c r="I283" s="8" t="n"/>
      <c r="J283" s="6" t="n"/>
      <c r="K283" s="6" t="n"/>
      <c r="L283" s="6" t="n"/>
      <c r="M283" s="6" t="n"/>
      <c r="O283" s="5" t="n"/>
      <c r="S283" s="6" t="n"/>
      <c r="V283" s="5" t="n"/>
      <c r="X283" s="5" t="n"/>
      <c r="AC283" s="6" t="n"/>
      <c r="AD283" s="6" t="n"/>
      <c r="AE283" s="7">
        <f>IF(X283="","",ROUND('Opening Balance'!$B$4+SUM($AC$2:AC283)-SUM($AD$2:AD283)+SUMPRODUCT(($Q$2:$Q$1501="Collection 收款")*($R$2:$R$1501="Cheque 支票")*($V$2:$V$1501&lt;&gt;"")*($V$2:$V$1501&lt;=X283)*($S$2:$S$1501-'Opening Balance'!$B$15*($R$2:$R$1501="Cheque 支票")*($S$2:$S$1501-TRUNC($S$2:$S$1501))))-'Opening Balance'!$B$15*SUMPRODUCT(($Z$2:Z283="Online collection 网上收款")*($AA$2:AA283&lt;&gt;"")*($AC$2:AC283-TRUNC($AC$2:AC283))),2))</f>
        <v/>
      </c>
    </row>
    <row r="284">
      <c r="A284" s="5" t="n"/>
      <c r="B284" s="6" t="n"/>
      <c r="C284" s="6" t="n"/>
      <c r="D284" s="6" t="n"/>
      <c r="E284" s="7">
        <f>IF(A284="","",SUMPRODUCT(('Daily Sale entry '!$O$2:$O$1501=A284)*('Daily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4" s="6" t="n"/>
      <c r="G284" s="6" t="n"/>
      <c r="H284" s="6" t="n"/>
      <c r="I284" s="8" t="n"/>
      <c r="J284" s="6" t="n"/>
      <c r="K284" s="6" t="n"/>
      <c r="L284" s="6" t="n"/>
      <c r="M284" s="6" t="n"/>
      <c r="O284" s="5" t="n"/>
      <c r="S284" s="6" t="n"/>
      <c r="V284" s="5" t="n"/>
      <c r="X284" s="5" t="n"/>
      <c r="AC284" s="6" t="n"/>
      <c r="AD284" s="6" t="n"/>
      <c r="AE284" s="7">
        <f>IF(X284="","",ROUND('Opening Balance'!$B$4+SUM($AC$2:AC284)-SUM($AD$2:AD284)+SUMPRODUCT(($Q$2:$Q$1501="Collection 收款")*($R$2:$R$1501="Cheque 支票")*($V$2:$V$1501&lt;&gt;"")*($V$2:$V$1501&lt;=X284)*($S$2:$S$1501-'Opening Balance'!$B$15*($R$2:$R$1501="Cheque 支票")*($S$2:$S$1501-TRUNC($S$2:$S$1501))))-'Opening Balance'!$B$15*SUMPRODUCT(($Z$2:Z284="Online collection 网上收款")*($AA$2:AA284&lt;&gt;"")*($AC$2:AC284-TRUNC($AC$2:AC284))),2))</f>
        <v/>
      </c>
    </row>
    <row r="285">
      <c r="A285" s="5" t="n"/>
      <c r="B285" s="6" t="n"/>
      <c r="C285" s="6" t="n"/>
      <c r="D285" s="6" t="n"/>
      <c r="E285" s="7">
        <f>IF(A285="","",SUMPRODUCT(('Daily Sale entry '!$O$2:$O$1501=A285)*('Daily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5" s="6" t="n"/>
      <c r="G285" s="6" t="n"/>
      <c r="H285" s="6" t="n"/>
      <c r="I285" s="8" t="n"/>
      <c r="J285" s="6" t="n"/>
      <c r="K285" s="6" t="n"/>
      <c r="L285" s="6" t="n"/>
      <c r="M285" s="6" t="n"/>
      <c r="O285" s="5" t="n"/>
      <c r="S285" s="6" t="n"/>
      <c r="V285" s="5" t="n"/>
      <c r="X285" s="5" t="n"/>
      <c r="AC285" s="6" t="n"/>
      <c r="AD285" s="6" t="n"/>
      <c r="AE285" s="7">
        <f>IF(X285="","",ROUND('Opening Balance'!$B$4+SUM($AC$2:AC285)-SUM($AD$2:AD285)+SUMPRODUCT(($Q$2:$Q$1501="Collection 收款")*($R$2:$R$1501="Cheque 支票")*($V$2:$V$1501&lt;&gt;"")*($V$2:$V$1501&lt;=X285)*($S$2:$S$1501-'Opening Balance'!$B$15*($R$2:$R$1501="Cheque 支票")*($S$2:$S$1501-TRUNC($S$2:$S$1501))))-'Opening Balance'!$B$15*SUMPRODUCT(($Z$2:Z285="Online collection 网上收款")*($AA$2:AA285&lt;&gt;"")*($AC$2:AC285-TRUNC($AC$2:AC285))),2))</f>
        <v/>
      </c>
    </row>
    <row r="286">
      <c r="A286" s="5" t="n"/>
      <c r="B286" s="6" t="n"/>
      <c r="C286" s="6" t="n"/>
      <c r="D286" s="6" t="n"/>
      <c r="E286" s="7">
        <f>IF(A286="","",SUMPRODUCT(('Daily Sale entry '!$O$2:$O$1501=A286)*('Daily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6" s="6" t="n"/>
      <c r="G286" s="6" t="n"/>
      <c r="H286" s="6" t="n"/>
      <c r="I286" s="8" t="n"/>
      <c r="J286" s="6" t="n"/>
      <c r="K286" s="6" t="n"/>
      <c r="L286" s="6" t="n"/>
      <c r="M286" s="6" t="n"/>
      <c r="O286" s="5" t="n"/>
      <c r="S286" s="6" t="n"/>
      <c r="V286" s="5" t="n"/>
      <c r="X286" s="5" t="n"/>
      <c r="AC286" s="6" t="n"/>
      <c r="AD286" s="6" t="n"/>
      <c r="AE286" s="7">
        <f>IF(X286="","",ROUND('Opening Balance'!$B$4+SUM($AC$2:AC286)-SUM($AD$2:AD286)+SUMPRODUCT(($Q$2:$Q$1501="Collection 收款")*($R$2:$R$1501="Cheque 支票")*($V$2:$V$1501&lt;&gt;"")*($V$2:$V$1501&lt;=X286)*($S$2:$S$1501-'Opening Balance'!$B$15*($R$2:$R$1501="Cheque 支票")*($S$2:$S$1501-TRUNC($S$2:$S$1501))))-'Opening Balance'!$B$15*SUMPRODUCT(($Z$2:Z286="Online collection 网上收款")*($AA$2:AA286&lt;&gt;"")*($AC$2:AC286-TRUNC($AC$2:AC286))),2))</f>
        <v/>
      </c>
    </row>
    <row r="287">
      <c r="A287" s="5" t="n"/>
      <c r="B287" s="6" t="n"/>
      <c r="C287" s="6" t="n"/>
      <c r="D287" s="6" t="n"/>
      <c r="E287" s="7">
        <f>IF(A287="","",SUMPRODUCT(('Daily Sale entry '!$O$2:$O$1501=A287)*('Daily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7" s="6" t="n"/>
      <c r="G287" s="6" t="n"/>
      <c r="H287" s="6" t="n"/>
      <c r="I287" s="8" t="n"/>
      <c r="J287" s="6" t="n"/>
      <c r="K287" s="6" t="n"/>
      <c r="L287" s="6" t="n"/>
      <c r="M287" s="6" t="n"/>
      <c r="O287" s="5" t="n"/>
      <c r="S287" s="6" t="n"/>
      <c r="V287" s="5" t="n"/>
      <c r="X287" s="5" t="n"/>
      <c r="AC287" s="6" t="n"/>
      <c r="AD287" s="6" t="n"/>
      <c r="AE287" s="7">
        <f>IF(X287="","",ROUND('Opening Balance'!$B$4+SUM($AC$2:AC287)-SUM($AD$2:AD287)+SUMPRODUCT(($Q$2:$Q$1501="Collection 收款")*($R$2:$R$1501="Cheque 支票")*($V$2:$V$1501&lt;&gt;"")*($V$2:$V$1501&lt;=X287)*($S$2:$S$1501-'Opening Balance'!$B$15*($R$2:$R$1501="Cheque 支票")*($S$2:$S$1501-TRUNC($S$2:$S$1501))))-'Opening Balance'!$B$15*SUMPRODUCT(($Z$2:Z287="Online collection 网上收款")*($AA$2:AA287&lt;&gt;"")*($AC$2:AC287-TRUNC($AC$2:AC287))),2))</f>
        <v/>
      </c>
    </row>
    <row r="288">
      <c r="A288" s="5" t="n"/>
      <c r="B288" s="6" t="n"/>
      <c r="C288" s="6" t="n"/>
      <c r="D288" s="6" t="n"/>
      <c r="E288" s="7">
        <f>IF(A288="","",SUMPRODUCT(('Daily Sale entry '!$O$2:$O$1501=A288)*('Daily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8" s="6" t="n"/>
      <c r="G288" s="6" t="n"/>
      <c r="H288" s="6" t="n"/>
      <c r="I288" s="8" t="n"/>
      <c r="J288" s="6" t="n"/>
      <c r="K288" s="6" t="n"/>
      <c r="L288" s="6" t="n"/>
      <c r="M288" s="6" t="n"/>
      <c r="O288" s="5" t="n"/>
      <c r="S288" s="6" t="n"/>
      <c r="V288" s="5" t="n"/>
      <c r="X288" s="5" t="n"/>
      <c r="AC288" s="6" t="n"/>
      <c r="AD288" s="6" t="n"/>
      <c r="AE288" s="7">
        <f>IF(X288="","",ROUND('Opening Balance'!$B$4+SUM($AC$2:AC288)-SUM($AD$2:AD288)+SUMPRODUCT(($Q$2:$Q$1501="Collection 收款")*($R$2:$R$1501="Cheque 支票")*($V$2:$V$1501&lt;&gt;"")*($V$2:$V$1501&lt;=X288)*($S$2:$S$1501-'Opening Balance'!$B$15*($R$2:$R$1501="Cheque 支票")*($S$2:$S$1501-TRUNC($S$2:$S$1501))))-'Opening Balance'!$B$15*SUMPRODUCT(($Z$2:Z288="Online collection 网上收款")*($AA$2:AA288&lt;&gt;"")*($AC$2:AC288-TRUNC($AC$2:AC288))),2))</f>
        <v/>
      </c>
    </row>
    <row r="289">
      <c r="A289" s="5" t="n"/>
      <c r="B289" s="6" t="n"/>
      <c r="C289" s="6" t="n"/>
      <c r="D289" s="6" t="n"/>
      <c r="E289" s="7">
        <f>IF(A289="","",SUMPRODUCT(('Daily Sale entry '!$O$2:$O$1501=A289)*('Daily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89" s="6" t="n"/>
      <c r="G289" s="6" t="n"/>
      <c r="H289" s="6" t="n"/>
      <c r="I289" s="8" t="n"/>
      <c r="J289" s="6" t="n"/>
      <c r="K289" s="6" t="n"/>
      <c r="L289" s="6" t="n"/>
      <c r="M289" s="6" t="n"/>
      <c r="O289" s="5" t="n"/>
      <c r="S289" s="6" t="n"/>
      <c r="V289" s="5" t="n"/>
      <c r="X289" s="5" t="n"/>
      <c r="AC289" s="6" t="n"/>
      <c r="AD289" s="6" t="n"/>
      <c r="AE289" s="7">
        <f>IF(X289="","",ROUND('Opening Balance'!$B$4+SUM($AC$2:AC289)-SUM($AD$2:AD289)+SUMPRODUCT(($Q$2:$Q$1501="Collection 收款")*($R$2:$R$1501="Cheque 支票")*($V$2:$V$1501&lt;&gt;"")*($V$2:$V$1501&lt;=X289)*($S$2:$S$1501-'Opening Balance'!$B$15*($R$2:$R$1501="Cheque 支票")*($S$2:$S$1501-TRUNC($S$2:$S$1501))))-'Opening Balance'!$B$15*SUMPRODUCT(($Z$2:Z289="Online collection 网上收款")*($AA$2:AA289&lt;&gt;"")*($AC$2:AC289-TRUNC($AC$2:AC289))),2))</f>
        <v/>
      </c>
    </row>
    <row r="290">
      <c r="A290" s="5" t="n"/>
      <c r="B290" s="6" t="n"/>
      <c r="C290" s="6" t="n"/>
      <c r="D290" s="6" t="n"/>
      <c r="E290" s="7">
        <f>IF(A290="","",SUMPRODUCT(('Daily Sale entry '!$O$2:$O$1501=A290)*('Daily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0" s="6" t="n"/>
      <c r="G290" s="6" t="n"/>
      <c r="H290" s="6" t="n"/>
      <c r="I290" s="8" t="n"/>
      <c r="J290" s="6" t="n"/>
      <c r="K290" s="6" t="n"/>
      <c r="L290" s="6" t="n"/>
      <c r="M290" s="6" t="n"/>
      <c r="O290" s="5" t="n"/>
      <c r="S290" s="6" t="n"/>
      <c r="V290" s="5" t="n"/>
      <c r="X290" s="5" t="n"/>
      <c r="AC290" s="6" t="n"/>
      <c r="AD290" s="6" t="n"/>
      <c r="AE290" s="7">
        <f>IF(X290="","",ROUND('Opening Balance'!$B$4+SUM($AC$2:AC290)-SUM($AD$2:AD290)+SUMPRODUCT(($Q$2:$Q$1501="Collection 收款")*($R$2:$R$1501="Cheque 支票")*($V$2:$V$1501&lt;&gt;"")*($V$2:$V$1501&lt;=X290)*($S$2:$S$1501-'Opening Balance'!$B$15*($R$2:$R$1501="Cheque 支票")*($S$2:$S$1501-TRUNC($S$2:$S$1501))))-'Opening Balance'!$B$15*SUMPRODUCT(($Z$2:Z290="Online collection 网上收款")*($AA$2:AA290&lt;&gt;"")*($AC$2:AC290-TRUNC($AC$2:AC290))),2))</f>
        <v/>
      </c>
    </row>
    <row r="291">
      <c r="A291" s="5" t="n"/>
      <c r="B291" s="6" t="n"/>
      <c r="C291" s="6" t="n"/>
      <c r="D291" s="6" t="n"/>
      <c r="E291" s="7">
        <f>IF(A291="","",SUMPRODUCT(('Daily Sale entry '!$O$2:$O$1501=A291)*('Daily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1" s="6" t="n"/>
      <c r="G291" s="6" t="n"/>
      <c r="H291" s="6" t="n"/>
      <c r="I291" s="8" t="n"/>
      <c r="J291" s="6" t="n"/>
      <c r="K291" s="6" t="n"/>
      <c r="L291" s="6" t="n"/>
      <c r="M291" s="6" t="n"/>
      <c r="O291" s="5" t="n"/>
      <c r="S291" s="6" t="n"/>
      <c r="V291" s="5" t="n"/>
      <c r="X291" s="5" t="n"/>
      <c r="AC291" s="6" t="n"/>
      <c r="AD291" s="6" t="n"/>
      <c r="AE291" s="7">
        <f>IF(X291="","",ROUND('Opening Balance'!$B$4+SUM($AC$2:AC291)-SUM($AD$2:AD291)+SUMPRODUCT(($Q$2:$Q$1501="Collection 收款")*($R$2:$R$1501="Cheque 支票")*($V$2:$V$1501&lt;&gt;"")*($V$2:$V$1501&lt;=X291)*($S$2:$S$1501-'Opening Balance'!$B$15*($R$2:$R$1501="Cheque 支票")*($S$2:$S$1501-TRUNC($S$2:$S$1501))))-'Opening Balance'!$B$15*SUMPRODUCT(($Z$2:Z291="Online collection 网上收款")*($AA$2:AA291&lt;&gt;"")*($AC$2:AC291-TRUNC($AC$2:AC291))),2))</f>
        <v/>
      </c>
    </row>
    <row r="292">
      <c r="A292" s="5" t="n"/>
      <c r="B292" s="6" t="n"/>
      <c r="C292" s="6" t="n"/>
      <c r="D292" s="6" t="n"/>
      <c r="E292" s="7">
        <f>IF(A292="","",SUMPRODUCT(('Daily Sale entry '!$O$2:$O$1501=A292)*('Daily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2" s="6" t="n"/>
      <c r="G292" s="6" t="n"/>
      <c r="H292" s="6" t="n"/>
      <c r="I292" s="8" t="n"/>
      <c r="J292" s="6" t="n"/>
      <c r="K292" s="6" t="n"/>
      <c r="L292" s="6" t="n"/>
      <c r="M292" s="6" t="n"/>
      <c r="O292" s="5" t="n"/>
      <c r="S292" s="6" t="n"/>
      <c r="V292" s="5" t="n"/>
      <c r="X292" s="5" t="n"/>
      <c r="AC292" s="6" t="n"/>
      <c r="AD292" s="6" t="n"/>
      <c r="AE292" s="7">
        <f>IF(X292="","",ROUND('Opening Balance'!$B$4+SUM($AC$2:AC292)-SUM($AD$2:AD292)+SUMPRODUCT(($Q$2:$Q$1501="Collection 收款")*($R$2:$R$1501="Cheque 支票")*($V$2:$V$1501&lt;&gt;"")*($V$2:$V$1501&lt;=X292)*($S$2:$S$1501-'Opening Balance'!$B$15*($R$2:$R$1501="Cheque 支票")*($S$2:$S$1501-TRUNC($S$2:$S$1501))))-'Opening Balance'!$B$15*SUMPRODUCT(($Z$2:Z292="Online collection 网上收款")*($AA$2:AA292&lt;&gt;"")*($AC$2:AC292-TRUNC($AC$2:AC292))),2))</f>
        <v/>
      </c>
    </row>
    <row r="293">
      <c r="A293" s="5" t="n"/>
      <c r="B293" s="6" t="n"/>
      <c r="C293" s="6" t="n"/>
      <c r="D293" s="6" t="n"/>
      <c r="E293" s="7">
        <f>IF(A293="","",SUMPRODUCT(('Daily Sale entry '!$O$2:$O$1501=A293)*('Daily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3" s="6" t="n"/>
      <c r="G293" s="6" t="n"/>
      <c r="H293" s="6" t="n"/>
      <c r="I293" s="8" t="n"/>
      <c r="J293" s="6" t="n"/>
      <c r="K293" s="6" t="n"/>
      <c r="L293" s="6" t="n"/>
      <c r="M293" s="6" t="n"/>
      <c r="O293" s="5" t="n"/>
      <c r="S293" s="6" t="n"/>
      <c r="V293" s="5" t="n"/>
      <c r="X293" s="5" t="n"/>
      <c r="AC293" s="6" t="n"/>
      <c r="AD293" s="6" t="n"/>
      <c r="AE293" s="7">
        <f>IF(X293="","",ROUND('Opening Balance'!$B$4+SUM($AC$2:AC293)-SUM($AD$2:AD293)+SUMPRODUCT(($Q$2:$Q$1501="Collection 收款")*($R$2:$R$1501="Cheque 支票")*($V$2:$V$1501&lt;&gt;"")*($V$2:$V$1501&lt;=X293)*($S$2:$S$1501-'Opening Balance'!$B$15*($R$2:$R$1501="Cheque 支票")*($S$2:$S$1501-TRUNC($S$2:$S$1501))))-'Opening Balance'!$B$15*SUMPRODUCT(($Z$2:Z293="Online collection 网上收款")*($AA$2:AA293&lt;&gt;"")*($AC$2:AC293-TRUNC($AC$2:AC293))),2))</f>
        <v/>
      </c>
    </row>
    <row r="294">
      <c r="A294" s="5" t="n"/>
      <c r="B294" s="6" t="n"/>
      <c r="C294" s="6" t="n"/>
      <c r="D294" s="6" t="n"/>
      <c r="E294" s="7">
        <f>IF(A294="","",SUMPRODUCT(('Daily Sale entry '!$O$2:$O$1501=A294)*('Daily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4" s="6" t="n"/>
      <c r="G294" s="6" t="n"/>
      <c r="H294" s="6" t="n"/>
      <c r="I294" s="8" t="n"/>
      <c r="J294" s="6" t="n"/>
      <c r="K294" s="6" t="n"/>
      <c r="L294" s="6" t="n"/>
      <c r="M294" s="6" t="n"/>
      <c r="O294" s="5" t="n"/>
      <c r="S294" s="6" t="n"/>
      <c r="V294" s="5" t="n"/>
      <c r="X294" s="5" t="n"/>
      <c r="AC294" s="6" t="n"/>
      <c r="AD294" s="6" t="n"/>
      <c r="AE294" s="7">
        <f>IF(X294="","",ROUND('Opening Balance'!$B$4+SUM($AC$2:AC294)-SUM($AD$2:AD294)+SUMPRODUCT(($Q$2:$Q$1501="Collection 收款")*($R$2:$R$1501="Cheque 支票")*($V$2:$V$1501&lt;&gt;"")*($V$2:$V$1501&lt;=X294)*($S$2:$S$1501-'Opening Balance'!$B$15*($R$2:$R$1501="Cheque 支票")*($S$2:$S$1501-TRUNC($S$2:$S$1501))))-'Opening Balance'!$B$15*SUMPRODUCT(($Z$2:Z294="Online collection 网上收款")*($AA$2:AA294&lt;&gt;"")*($AC$2:AC294-TRUNC($AC$2:AC294))),2))</f>
        <v/>
      </c>
    </row>
    <row r="295">
      <c r="A295" s="5" t="n"/>
      <c r="B295" s="6" t="n"/>
      <c r="C295" s="6" t="n"/>
      <c r="D295" s="6" t="n"/>
      <c r="E295" s="7">
        <f>IF(A295="","",SUMPRODUCT(('Daily Sale entry '!$O$2:$O$1501=A295)*('Daily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5" s="6" t="n"/>
      <c r="G295" s="6" t="n"/>
      <c r="H295" s="6" t="n"/>
      <c r="I295" s="8" t="n"/>
      <c r="J295" s="6" t="n"/>
      <c r="K295" s="6" t="n"/>
      <c r="L295" s="6" t="n"/>
      <c r="M295" s="6" t="n"/>
      <c r="O295" s="5" t="n"/>
      <c r="S295" s="6" t="n"/>
      <c r="V295" s="5" t="n"/>
      <c r="X295" s="5" t="n"/>
      <c r="AC295" s="6" t="n"/>
      <c r="AD295" s="6" t="n"/>
      <c r="AE295" s="7">
        <f>IF(X295="","",ROUND('Opening Balance'!$B$4+SUM($AC$2:AC295)-SUM($AD$2:AD295)+SUMPRODUCT(($Q$2:$Q$1501="Collection 收款")*($R$2:$R$1501="Cheque 支票")*($V$2:$V$1501&lt;&gt;"")*($V$2:$V$1501&lt;=X295)*($S$2:$S$1501-'Opening Balance'!$B$15*($R$2:$R$1501="Cheque 支票")*($S$2:$S$1501-TRUNC($S$2:$S$1501))))-'Opening Balance'!$B$15*SUMPRODUCT(($Z$2:Z295="Online collection 网上收款")*($AA$2:AA295&lt;&gt;"")*($AC$2:AC295-TRUNC($AC$2:AC295))),2))</f>
        <v/>
      </c>
    </row>
    <row r="296">
      <c r="A296" s="5" t="n"/>
      <c r="B296" s="6" t="n"/>
      <c r="C296" s="6" t="n"/>
      <c r="D296" s="6" t="n"/>
      <c r="E296" s="7">
        <f>IF(A296="","",SUMPRODUCT(('Daily Sale entry '!$O$2:$O$1501=A296)*('Daily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6" s="6" t="n"/>
      <c r="G296" s="6" t="n"/>
      <c r="H296" s="6" t="n"/>
      <c r="I296" s="8" t="n"/>
      <c r="J296" s="6" t="n"/>
      <c r="K296" s="6" t="n"/>
      <c r="L296" s="6" t="n"/>
      <c r="M296" s="6" t="n"/>
      <c r="O296" s="5" t="n"/>
      <c r="S296" s="6" t="n"/>
      <c r="V296" s="5" t="n"/>
      <c r="X296" s="5" t="n"/>
      <c r="AC296" s="6" t="n"/>
      <c r="AD296" s="6" t="n"/>
      <c r="AE296" s="7">
        <f>IF(X296="","",ROUND('Opening Balance'!$B$4+SUM($AC$2:AC296)-SUM($AD$2:AD296)+SUMPRODUCT(($Q$2:$Q$1501="Collection 收款")*($R$2:$R$1501="Cheque 支票")*($V$2:$V$1501&lt;&gt;"")*($V$2:$V$1501&lt;=X296)*($S$2:$S$1501-'Opening Balance'!$B$15*($R$2:$R$1501="Cheque 支票")*($S$2:$S$1501-TRUNC($S$2:$S$1501))))-'Opening Balance'!$B$15*SUMPRODUCT(($Z$2:Z296="Online collection 网上收款")*($AA$2:AA296&lt;&gt;"")*($AC$2:AC296-TRUNC($AC$2:AC296))),2))</f>
        <v/>
      </c>
    </row>
    <row r="297">
      <c r="A297" s="5" t="n"/>
      <c r="B297" s="6" t="n"/>
      <c r="C297" s="6" t="n"/>
      <c r="D297" s="6" t="n"/>
      <c r="E297" s="7">
        <f>IF(A297="","",SUMPRODUCT(('Daily Sale entry '!$O$2:$O$1501=A297)*('Daily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7" s="6" t="n"/>
      <c r="G297" s="6" t="n"/>
      <c r="H297" s="6" t="n"/>
      <c r="I297" s="8" t="n"/>
      <c r="J297" s="6" t="n"/>
      <c r="K297" s="6" t="n"/>
      <c r="L297" s="6" t="n"/>
      <c r="M297" s="6" t="n"/>
      <c r="O297" s="5" t="n"/>
      <c r="S297" s="6" t="n"/>
      <c r="V297" s="5" t="n"/>
      <c r="X297" s="5" t="n"/>
      <c r="AC297" s="6" t="n"/>
      <c r="AD297" s="6" t="n"/>
      <c r="AE297" s="7">
        <f>IF(X297="","",ROUND('Opening Balance'!$B$4+SUM($AC$2:AC297)-SUM($AD$2:AD297)+SUMPRODUCT(($Q$2:$Q$1501="Collection 收款")*($R$2:$R$1501="Cheque 支票")*($V$2:$V$1501&lt;&gt;"")*($V$2:$V$1501&lt;=X297)*($S$2:$S$1501-'Opening Balance'!$B$15*($R$2:$R$1501="Cheque 支票")*($S$2:$S$1501-TRUNC($S$2:$S$1501))))-'Opening Balance'!$B$15*SUMPRODUCT(($Z$2:Z297="Online collection 网上收款")*($AA$2:AA297&lt;&gt;"")*($AC$2:AC297-TRUNC($AC$2:AC297))),2))</f>
        <v/>
      </c>
    </row>
    <row r="298">
      <c r="A298" s="5" t="n"/>
      <c r="B298" s="6" t="n"/>
      <c r="C298" s="6" t="n"/>
      <c r="D298" s="6" t="n"/>
      <c r="E298" s="7">
        <f>IF(A298="","",SUMPRODUCT(('Daily Sale entry '!$O$2:$O$1501=A298)*('Daily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8" s="6" t="n"/>
      <c r="G298" s="6" t="n"/>
      <c r="H298" s="6" t="n"/>
      <c r="I298" s="8" t="n"/>
      <c r="J298" s="6" t="n"/>
      <c r="K298" s="6" t="n"/>
      <c r="L298" s="6" t="n"/>
      <c r="M298" s="6" t="n"/>
      <c r="O298" s="5" t="n"/>
      <c r="S298" s="6" t="n"/>
      <c r="V298" s="5" t="n"/>
      <c r="X298" s="5" t="n"/>
      <c r="AC298" s="6" t="n"/>
      <c r="AD298" s="6" t="n"/>
      <c r="AE298" s="7">
        <f>IF(X298="","",ROUND('Opening Balance'!$B$4+SUM($AC$2:AC298)-SUM($AD$2:AD298)+SUMPRODUCT(($Q$2:$Q$1501="Collection 收款")*($R$2:$R$1501="Cheque 支票")*($V$2:$V$1501&lt;&gt;"")*($V$2:$V$1501&lt;=X298)*($S$2:$S$1501-'Opening Balance'!$B$15*($R$2:$R$1501="Cheque 支票")*($S$2:$S$1501-TRUNC($S$2:$S$1501))))-'Opening Balance'!$B$15*SUMPRODUCT(($Z$2:Z298="Online collection 网上收款")*($AA$2:AA298&lt;&gt;"")*($AC$2:AC298-TRUNC($AC$2:AC298))),2))</f>
        <v/>
      </c>
    </row>
    <row r="299">
      <c r="A299" s="5" t="n"/>
      <c r="B299" s="6" t="n"/>
      <c r="C299" s="6" t="n"/>
      <c r="D299" s="6" t="n"/>
      <c r="E299" s="7">
        <f>IF(A299="","",SUMPRODUCT(('Daily Sale entry '!$O$2:$O$1501=A299)*('Daily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299" s="6" t="n"/>
      <c r="G299" s="6" t="n"/>
      <c r="H299" s="6" t="n"/>
      <c r="I299" s="8" t="n"/>
      <c r="J299" s="6" t="n"/>
      <c r="K299" s="6" t="n"/>
      <c r="L299" s="6" t="n"/>
      <c r="M299" s="6" t="n"/>
      <c r="O299" s="5" t="n"/>
      <c r="S299" s="6" t="n"/>
      <c r="V299" s="5" t="n"/>
      <c r="X299" s="5" t="n"/>
      <c r="AC299" s="6" t="n"/>
      <c r="AD299" s="6" t="n"/>
      <c r="AE299" s="7">
        <f>IF(X299="","",ROUND('Opening Balance'!$B$4+SUM($AC$2:AC299)-SUM($AD$2:AD299)+SUMPRODUCT(($Q$2:$Q$1501="Collection 收款")*($R$2:$R$1501="Cheque 支票")*($V$2:$V$1501&lt;&gt;"")*($V$2:$V$1501&lt;=X299)*($S$2:$S$1501-'Opening Balance'!$B$15*($R$2:$R$1501="Cheque 支票")*($S$2:$S$1501-TRUNC($S$2:$S$1501))))-'Opening Balance'!$B$15*SUMPRODUCT(($Z$2:Z299="Online collection 网上收款")*($AA$2:AA299&lt;&gt;"")*($AC$2:AC299-TRUNC($AC$2:AC299))),2))</f>
        <v/>
      </c>
    </row>
    <row r="300">
      <c r="A300" s="5" t="n"/>
      <c r="B300" s="6" t="n"/>
      <c r="C300" s="6" t="n"/>
      <c r="D300" s="6" t="n"/>
      <c r="E300" s="7">
        <f>IF(A300="","",SUMPRODUCT(('Daily Sale entry '!$O$2:$O$1501=A300)*('Daily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0" s="6" t="n"/>
      <c r="G300" s="6" t="n"/>
      <c r="H300" s="6" t="n"/>
      <c r="I300" s="8" t="n"/>
      <c r="J300" s="6" t="n"/>
      <c r="K300" s="6" t="n"/>
      <c r="L300" s="6" t="n"/>
      <c r="M300" s="6" t="n"/>
      <c r="O300" s="5" t="n"/>
      <c r="S300" s="6" t="n"/>
      <c r="V300" s="5" t="n"/>
      <c r="X300" s="5" t="n"/>
      <c r="AC300" s="6" t="n"/>
      <c r="AD300" s="6" t="n"/>
      <c r="AE300" s="7">
        <f>IF(X300="","",ROUND('Opening Balance'!$B$4+SUM($AC$2:AC300)-SUM($AD$2:AD300)+SUMPRODUCT(($Q$2:$Q$1501="Collection 收款")*($R$2:$R$1501="Cheque 支票")*($V$2:$V$1501&lt;&gt;"")*($V$2:$V$1501&lt;=X300)*($S$2:$S$1501-'Opening Balance'!$B$15*($R$2:$R$1501="Cheque 支票")*($S$2:$S$1501-TRUNC($S$2:$S$1501))))-'Opening Balance'!$B$15*SUMPRODUCT(($Z$2:Z300="Online collection 网上收款")*($AA$2:AA300&lt;&gt;"")*($AC$2:AC300-TRUNC($AC$2:AC300))),2))</f>
        <v/>
      </c>
    </row>
    <row r="301">
      <c r="A301" s="5" t="n"/>
      <c r="B301" s="6" t="n"/>
      <c r="C301" s="6" t="n"/>
      <c r="D301" s="6" t="n"/>
      <c r="E301" s="7">
        <f>IF(A301="","",SUMPRODUCT(('Daily Sale entry '!$O$2:$O$1501=A301)*('Daily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1" s="6" t="n"/>
      <c r="G301" s="6" t="n"/>
      <c r="H301" s="6" t="n"/>
      <c r="I301" s="8" t="n"/>
      <c r="J301" s="6" t="n"/>
      <c r="K301" s="6" t="n"/>
      <c r="L301" s="6" t="n"/>
      <c r="M301" s="6" t="n"/>
      <c r="O301" s="5" t="n"/>
      <c r="S301" s="6" t="n"/>
      <c r="V301" s="5" t="n"/>
      <c r="X301" s="5" t="n"/>
      <c r="AC301" s="6" t="n"/>
      <c r="AD301" s="6" t="n"/>
      <c r="AE301" s="7">
        <f>IF(X301="","",ROUND('Opening Balance'!$B$4+SUM($AC$2:AC301)-SUM($AD$2:AD301)+SUMPRODUCT(($Q$2:$Q$1501="Collection 收款")*($R$2:$R$1501="Cheque 支票")*($V$2:$V$1501&lt;&gt;"")*($V$2:$V$1501&lt;=X301)*($S$2:$S$1501-'Opening Balance'!$B$15*($R$2:$R$1501="Cheque 支票")*($S$2:$S$1501-TRUNC($S$2:$S$1501))))-'Opening Balance'!$B$15*SUMPRODUCT(($Z$2:Z301="Online collection 网上收款")*($AA$2:AA301&lt;&gt;"")*($AC$2:AC301-TRUNC($AC$2:AC301))),2))</f>
        <v/>
      </c>
    </row>
    <row r="302">
      <c r="A302" s="5" t="n"/>
      <c r="B302" s="6" t="n"/>
      <c r="C302" s="6" t="n"/>
      <c r="D302" s="6" t="n"/>
      <c r="E302" s="7">
        <f>IF(A302="","",SUMPRODUCT(('Daily Sale entry '!$O$2:$O$1501=A302)*('Daily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2" s="6" t="n"/>
      <c r="G302" s="6" t="n"/>
      <c r="H302" s="6" t="n"/>
      <c r="I302" s="8" t="n"/>
      <c r="J302" s="6" t="n"/>
      <c r="K302" s="6" t="n"/>
      <c r="L302" s="6" t="n"/>
      <c r="M302" s="6" t="n"/>
      <c r="O302" s="5" t="n"/>
      <c r="S302" s="6" t="n"/>
      <c r="V302" s="5" t="n"/>
      <c r="X302" s="5" t="n"/>
      <c r="AC302" s="6" t="n"/>
      <c r="AD302" s="6" t="n"/>
      <c r="AE302" s="7">
        <f>IF(X302="","",ROUND('Opening Balance'!$B$4+SUM($AC$2:AC302)-SUM($AD$2:AD302)+SUMPRODUCT(($Q$2:$Q$1501="Collection 收款")*($R$2:$R$1501="Cheque 支票")*($V$2:$V$1501&lt;&gt;"")*($V$2:$V$1501&lt;=X302)*($S$2:$S$1501-'Opening Balance'!$B$15*($R$2:$R$1501="Cheque 支票")*($S$2:$S$1501-TRUNC($S$2:$S$1501))))-'Opening Balance'!$B$15*SUMPRODUCT(($Z$2:Z302="Online collection 网上收款")*($AA$2:AA302&lt;&gt;"")*($AC$2:AC302-TRUNC($AC$2:AC302))),2))</f>
        <v/>
      </c>
    </row>
    <row r="303">
      <c r="A303" s="5" t="n"/>
      <c r="B303" s="6" t="n"/>
      <c r="C303" s="6" t="n"/>
      <c r="D303" s="6" t="n"/>
      <c r="E303" s="7">
        <f>IF(A303="","",SUMPRODUCT(('Daily Sale entry '!$O$2:$O$1501=A303)*('Daily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3" s="6" t="n"/>
      <c r="G303" s="6" t="n"/>
      <c r="H303" s="6" t="n"/>
      <c r="I303" s="8" t="n"/>
      <c r="J303" s="6" t="n"/>
      <c r="K303" s="6" t="n"/>
      <c r="L303" s="6" t="n"/>
      <c r="M303" s="6" t="n"/>
      <c r="O303" s="5" t="n"/>
      <c r="S303" s="6" t="n"/>
      <c r="V303" s="5" t="n"/>
      <c r="X303" s="5" t="n"/>
      <c r="AC303" s="6" t="n"/>
      <c r="AD303" s="6" t="n"/>
      <c r="AE303" s="7">
        <f>IF(X303="","",ROUND('Opening Balance'!$B$4+SUM($AC$2:AC303)-SUM($AD$2:AD303)+SUMPRODUCT(($Q$2:$Q$1501="Collection 收款")*($R$2:$R$1501="Cheque 支票")*($V$2:$V$1501&lt;&gt;"")*($V$2:$V$1501&lt;=X303)*($S$2:$S$1501-'Opening Balance'!$B$15*($R$2:$R$1501="Cheque 支票")*($S$2:$S$1501-TRUNC($S$2:$S$1501))))-'Opening Balance'!$B$15*SUMPRODUCT(($Z$2:Z303="Online collection 网上收款")*($AA$2:AA303&lt;&gt;"")*($AC$2:AC303-TRUNC($AC$2:AC303))),2))</f>
        <v/>
      </c>
    </row>
    <row r="304">
      <c r="A304" s="5" t="n"/>
      <c r="B304" s="6" t="n"/>
      <c r="C304" s="6" t="n"/>
      <c r="D304" s="6" t="n"/>
      <c r="E304" s="7">
        <f>IF(A304="","",SUMPRODUCT(('Daily Sale entry '!$O$2:$O$1501=A304)*('Daily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4" s="6" t="n"/>
      <c r="G304" s="6" t="n"/>
      <c r="H304" s="6" t="n"/>
      <c r="I304" s="8" t="n"/>
      <c r="J304" s="6" t="n"/>
      <c r="K304" s="6" t="n"/>
      <c r="L304" s="6" t="n"/>
      <c r="M304" s="6" t="n"/>
      <c r="O304" s="5" t="n"/>
      <c r="S304" s="6" t="n"/>
      <c r="V304" s="5" t="n"/>
      <c r="X304" s="5" t="n"/>
      <c r="AC304" s="6" t="n"/>
      <c r="AD304" s="6" t="n"/>
      <c r="AE304" s="7">
        <f>IF(X304="","",ROUND('Opening Balance'!$B$4+SUM($AC$2:AC304)-SUM($AD$2:AD304)+SUMPRODUCT(($Q$2:$Q$1501="Collection 收款")*($R$2:$R$1501="Cheque 支票")*($V$2:$V$1501&lt;&gt;"")*($V$2:$V$1501&lt;=X304)*($S$2:$S$1501-'Opening Balance'!$B$15*($R$2:$R$1501="Cheque 支票")*($S$2:$S$1501-TRUNC($S$2:$S$1501))))-'Opening Balance'!$B$15*SUMPRODUCT(($Z$2:Z304="Online collection 网上收款")*($AA$2:AA304&lt;&gt;"")*($AC$2:AC304-TRUNC($AC$2:AC304))),2))</f>
        <v/>
      </c>
    </row>
    <row r="305">
      <c r="A305" s="5" t="n"/>
      <c r="B305" s="6" t="n"/>
      <c r="C305" s="6" t="n"/>
      <c r="D305" s="6" t="n"/>
      <c r="E305" s="7">
        <f>IF(A305="","",SUMPRODUCT(('Daily Sale entry '!$O$2:$O$1501=A305)*('Daily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5" s="6" t="n"/>
      <c r="G305" s="6" t="n"/>
      <c r="H305" s="6" t="n"/>
      <c r="I305" s="8" t="n"/>
      <c r="J305" s="6" t="n"/>
      <c r="K305" s="6" t="n"/>
      <c r="L305" s="6" t="n"/>
      <c r="M305" s="6" t="n"/>
      <c r="O305" s="5" t="n"/>
      <c r="S305" s="6" t="n"/>
      <c r="V305" s="5" t="n"/>
      <c r="X305" s="5" t="n"/>
      <c r="AC305" s="6" t="n"/>
      <c r="AD305" s="6" t="n"/>
      <c r="AE305" s="7">
        <f>IF(X305="","",ROUND('Opening Balance'!$B$4+SUM($AC$2:AC305)-SUM($AD$2:AD305)+SUMPRODUCT(($Q$2:$Q$1501="Collection 收款")*($R$2:$R$1501="Cheque 支票")*($V$2:$V$1501&lt;&gt;"")*($V$2:$V$1501&lt;=X305)*($S$2:$S$1501-'Opening Balance'!$B$15*($R$2:$R$1501="Cheque 支票")*($S$2:$S$1501-TRUNC($S$2:$S$1501))))-'Opening Balance'!$B$15*SUMPRODUCT(($Z$2:Z305="Online collection 网上收款")*($AA$2:AA305&lt;&gt;"")*($AC$2:AC305-TRUNC($AC$2:AC305))),2))</f>
        <v/>
      </c>
    </row>
    <row r="306">
      <c r="A306" s="5" t="n"/>
      <c r="B306" s="6" t="n"/>
      <c r="C306" s="6" t="n"/>
      <c r="D306" s="6" t="n"/>
      <c r="E306" s="7">
        <f>IF(A306="","",SUMPRODUCT(('Daily Sale entry '!$O$2:$O$1501=A306)*('Daily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6" s="6" t="n"/>
      <c r="G306" s="6" t="n"/>
      <c r="H306" s="6" t="n"/>
      <c r="I306" s="8" t="n"/>
      <c r="J306" s="6" t="n"/>
      <c r="K306" s="6" t="n"/>
      <c r="L306" s="6" t="n"/>
      <c r="M306" s="6" t="n"/>
      <c r="O306" s="5" t="n"/>
      <c r="S306" s="6" t="n"/>
      <c r="V306" s="5" t="n"/>
      <c r="X306" s="5" t="n"/>
      <c r="AC306" s="6" t="n"/>
      <c r="AD306" s="6" t="n"/>
      <c r="AE306" s="7">
        <f>IF(X306="","",ROUND('Opening Balance'!$B$4+SUM($AC$2:AC306)-SUM($AD$2:AD306)+SUMPRODUCT(($Q$2:$Q$1501="Collection 收款")*($R$2:$R$1501="Cheque 支票")*($V$2:$V$1501&lt;&gt;"")*($V$2:$V$1501&lt;=X306)*($S$2:$S$1501-'Opening Balance'!$B$15*($R$2:$R$1501="Cheque 支票")*($S$2:$S$1501-TRUNC($S$2:$S$1501))))-'Opening Balance'!$B$15*SUMPRODUCT(($Z$2:Z306="Online collection 网上收款")*($AA$2:AA306&lt;&gt;"")*($AC$2:AC306-TRUNC($AC$2:AC306))),2))</f>
        <v/>
      </c>
    </row>
    <row r="307">
      <c r="A307" s="5" t="n"/>
      <c r="B307" s="6" t="n"/>
      <c r="C307" s="6" t="n"/>
      <c r="D307" s="6" t="n"/>
      <c r="E307" s="7">
        <f>IF(A307="","",SUMPRODUCT(('Daily Sale entry '!$O$2:$O$1501=A307)*('Daily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7" s="6" t="n"/>
      <c r="G307" s="6" t="n"/>
      <c r="H307" s="6" t="n"/>
      <c r="I307" s="8" t="n"/>
      <c r="J307" s="6" t="n"/>
      <c r="K307" s="6" t="n"/>
      <c r="L307" s="6" t="n"/>
      <c r="M307" s="6" t="n"/>
      <c r="O307" s="5" t="n"/>
      <c r="S307" s="6" t="n"/>
      <c r="V307" s="5" t="n"/>
      <c r="X307" s="5" t="n"/>
      <c r="AC307" s="6" t="n"/>
      <c r="AD307" s="6" t="n"/>
      <c r="AE307" s="7">
        <f>IF(X307="","",ROUND('Opening Balance'!$B$4+SUM($AC$2:AC307)-SUM($AD$2:AD307)+SUMPRODUCT(($Q$2:$Q$1501="Collection 收款")*($R$2:$R$1501="Cheque 支票")*($V$2:$V$1501&lt;&gt;"")*($V$2:$V$1501&lt;=X307)*($S$2:$S$1501-'Opening Balance'!$B$15*($R$2:$R$1501="Cheque 支票")*($S$2:$S$1501-TRUNC($S$2:$S$1501))))-'Opening Balance'!$B$15*SUMPRODUCT(($Z$2:Z307="Online collection 网上收款")*($AA$2:AA307&lt;&gt;"")*($AC$2:AC307-TRUNC($AC$2:AC307))),2))</f>
        <v/>
      </c>
    </row>
    <row r="308">
      <c r="A308" s="5" t="n"/>
      <c r="B308" s="6" t="n"/>
      <c r="C308" s="6" t="n"/>
      <c r="D308" s="6" t="n"/>
      <c r="E308" s="7">
        <f>IF(A308="","",SUMPRODUCT(('Daily Sale entry '!$O$2:$O$1501=A308)*('Daily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8" s="6" t="n"/>
      <c r="G308" s="6" t="n"/>
      <c r="H308" s="6" t="n"/>
      <c r="I308" s="8" t="n"/>
      <c r="J308" s="6" t="n"/>
      <c r="K308" s="6" t="n"/>
      <c r="L308" s="6" t="n"/>
      <c r="M308" s="6" t="n"/>
      <c r="O308" s="5" t="n"/>
      <c r="S308" s="6" t="n"/>
      <c r="V308" s="5" t="n"/>
      <c r="X308" s="5" t="n"/>
      <c r="AC308" s="6" t="n"/>
      <c r="AD308" s="6" t="n"/>
      <c r="AE308" s="7">
        <f>IF(X308="","",ROUND('Opening Balance'!$B$4+SUM($AC$2:AC308)-SUM($AD$2:AD308)+SUMPRODUCT(($Q$2:$Q$1501="Collection 收款")*($R$2:$R$1501="Cheque 支票")*($V$2:$V$1501&lt;&gt;"")*($V$2:$V$1501&lt;=X308)*($S$2:$S$1501-'Opening Balance'!$B$15*($R$2:$R$1501="Cheque 支票")*($S$2:$S$1501-TRUNC($S$2:$S$1501))))-'Opening Balance'!$B$15*SUMPRODUCT(($Z$2:Z308="Online collection 网上收款")*($AA$2:AA308&lt;&gt;"")*($AC$2:AC308-TRUNC($AC$2:AC308))),2))</f>
        <v/>
      </c>
    </row>
    <row r="309">
      <c r="A309" s="5" t="n"/>
      <c r="B309" s="6" t="n"/>
      <c r="C309" s="6" t="n"/>
      <c r="D309" s="6" t="n"/>
      <c r="E309" s="7">
        <f>IF(A309="","",SUMPRODUCT(('Daily Sale entry '!$O$2:$O$1501=A309)*('Daily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09" s="6" t="n"/>
      <c r="G309" s="6" t="n"/>
      <c r="H309" s="6" t="n"/>
      <c r="I309" s="8" t="n"/>
      <c r="J309" s="6" t="n"/>
      <c r="K309" s="6" t="n"/>
      <c r="L309" s="6" t="n"/>
      <c r="M309" s="6" t="n"/>
      <c r="O309" s="5" t="n"/>
      <c r="S309" s="6" t="n"/>
      <c r="V309" s="5" t="n"/>
      <c r="X309" s="5" t="n"/>
      <c r="AC309" s="6" t="n"/>
      <c r="AD309" s="6" t="n"/>
      <c r="AE309" s="7">
        <f>IF(X309="","",ROUND('Opening Balance'!$B$4+SUM($AC$2:AC309)-SUM($AD$2:AD309)+SUMPRODUCT(($Q$2:$Q$1501="Collection 收款")*($R$2:$R$1501="Cheque 支票")*($V$2:$V$1501&lt;&gt;"")*($V$2:$V$1501&lt;=X309)*($S$2:$S$1501-'Opening Balance'!$B$15*($R$2:$R$1501="Cheque 支票")*($S$2:$S$1501-TRUNC($S$2:$S$1501))))-'Opening Balance'!$B$15*SUMPRODUCT(($Z$2:Z309="Online collection 网上收款")*($AA$2:AA309&lt;&gt;"")*($AC$2:AC309-TRUNC($AC$2:AC309))),2))</f>
        <v/>
      </c>
    </row>
    <row r="310">
      <c r="A310" s="5" t="n"/>
      <c r="B310" s="6" t="n"/>
      <c r="C310" s="6" t="n"/>
      <c r="D310" s="6" t="n"/>
      <c r="E310" s="7">
        <f>IF(A310="","",SUMPRODUCT(('Daily Sale entry '!$O$2:$O$1501=A310)*('Daily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0" s="6" t="n"/>
      <c r="G310" s="6" t="n"/>
      <c r="H310" s="6" t="n"/>
      <c r="I310" s="8" t="n"/>
      <c r="J310" s="6" t="n"/>
      <c r="K310" s="6" t="n"/>
      <c r="L310" s="6" t="n"/>
      <c r="M310" s="6" t="n"/>
      <c r="O310" s="5" t="n"/>
      <c r="S310" s="6" t="n"/>
      <c r="V310" s="5" t="n"/>
      <c r="X310" s="5" t="n"/>
      <c r="AC310" s="6" t="n"/>
      <c r="AD310" s="6" t="n"/>
      <c r="AE310" s="7">
        <f>IF(X310="","",ROUND('Opening Balance'!$B$4+SUM($AC$2:AC310)-SUM($AD$2:AD310)+SUMPRODUCT(($Q$2:$Q$1501="Collection 收款")*($R$2:$R$1501="Cheque 支票")*($V$2:$V$1501&lt;&gt;"")*($V$2:$V$1501&lt;=X310)*($S$2:$S$1501-'Opening Balance'!$B$15*($R$2:$R$1501="Cheque 支票")*($S$2:$S$1501-TRUNC($S$2:$S$1501))))-'Opening Balance'!$B$15*SUMPRODUCT(($Z$2:Z310="Online collection 网上收款")*($AA$2:AA310&lt;&gt;"")*($AC$2:AC310-TRUNC($AC$2:AC310))),2))</f>
        <v/>
      </c>
    </row>
    <row r="311">
      <c r="A311" s="5" t="n"/>
      <c r="B311" s="6" t="n"/>
      <c r="C311" s="6" t="n"/>
      <c r="D311" s="6" t="n"/>
      <c r="E311" s="7">
        <f>IF(A311="","",SUMPRODUCT(('Daily Sale entry '!$O$2:$O$1501=A311)*('Daily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1" s="6" t="n"/>
      <c r="G311" s="6" t="n"/>
      <c r="H311" s="6" t="n"/>
      <c r="I311" s="8" t="n"/>
      <c r="J311" s="6" t="n"/>
      <c r="K311" s="6" t="n"/>
      <c r="L311" s="6" t="n"/>
      <c r="M311" s="6" t="n"/>
      <c r="O311" s="5" t="n"/>
      <c r="S311" s="6" t="n"/>
      <c r="V311" s="5" t="n"/>
      <c r="X311" s="5" t="n"/>
      <c r="AC311" s="6" t="n"/>
      <c r="AD311" s="6" t="n"/>
      <c r="AE311" s="7">
        <f>IF(X311="","",ROUND('Opening Balance'!$B$4+SUM($AC$2:AC311)-SUM($AD$2:AD311)+SUMPRODUCT(($Q$2:$Q$1501="Collection 收款")*($R$2:$R$1501="Cheque 支票")*($V$2:$V$1501&lt;&gt;"")*($V$2:$V$1501&lt;=X311)*($S$2:$S$1501-'Opening Balance'!$B$15*($R$2:$R$1501="Cheque 支票")*($S$2:$S$1501-TRUNC($S$2:$S$1501))))-'Opening Balance'!$B$15*SUMPRODUCT(($Z$2:Z311="Online collection 网上收款")*($AA$2:AA311&lt;&gt;"")*($AC$2:AC311-TRUNC($AC$2:AC311))),2))</f>
        <v/>
      </c>
    </row>
    <row r="312">
      <c r="A312" s="5" t="n"/>
      <c r="B312" s="6" t="n"/>
      <c r="C312" s="6" t="n"/>
      <c r="D312" s="6" t="n"/>
      <c r="E312" s="7">
        <f>IF(A312="","",SUMPRODUCT(('Daily Sale entry '!$O$2:$O$1501=A312)*('Daily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2" s="6" t="n"/>
      <c r="G312" s="6" t="n"/>
      <c r="H312" s="6" t="n"/>
      <c r="I312" s="8" t="n"/>
      <c r="J312" s="6" t="n"/>
      <c r="K312" s="6" t="n"/>
      <c r="L312" s="6" t="n"/>
      <c r="M312" s="6" t="n"/>
      <c r="O312" s="5" t="n"/>
      <c r="S312" s="6" t="n"/>
      <c r="V312" s="5" t="n"/>
      <c r="X312" s="5" t="n"/>
      <c r="AC312" s="6" t="n"/>
      <c r="AD312" s="6" t="n"/>
      <c r="AE312" s="7">
        <f>IF(X312="","",ROUND('Opening Balance'!$B$4+SUM($AC$2:AC312)-SUM($AD$2:AD312)+SUMPRODUCT(($Q$2:$Q$1501="Collection 收款")*($R$2:$R$1501="Cheque 支票")*($V$2:$V$1501&lt;&gt;"")*($V$2:$V$1501&lt;=X312)*($S$2:$S$1501-'Opening Balance'!$B$15*($R$2:$R$1501="Cheque 支票")*($S$2:$S$1501-TRUNC($S$2:$S$1501))))-'Opening Balance'!$B$15*SUMPRODUCT(($Z$2:Z312="Online collection 网上收款")*($AA$2:AA312&lt;&gt;"")*($AC$2:AC312-TRUNC($AC$2:AC312))),2))</f>
        <v/>
      </c>
    </row>
    <row r="313">
      <c r="A313" s="5" t="n"/>
      <c r="B313" s="6" t="n"/>
      <c r="C313" s="6" t="n"/>
      <c r="D313" s="6" t="n"/>
      <c r="E313" s="7">
        <f>IF(A313="","",SUMPRODUCT(('Daily Sale entry '!$O$2:$O$1501=A313)*('Daily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3" s="6" t="n"/>
      <c r="G313" s="6" t="n"/>
      <c r="H313" s="6" t="n"/>
      <c r="I313" s="8" t="n"/>
      <c r="J313" s="6" t="n"/>
      <c r="K313" s="6" t="n"/>
      <c r="L313" s="6" t="n"/>
      <c r="M313" s="6" t="n"/>
      <c r="O313" s="5" t="n"/>
      <c r="S313" s="6" t="n"/>
      <c r="V313" s="5" t="n"/>
      <c r="X313" s="5" t="n"/>
      <c r="AC313" s="6" t="n"/>
      <c r="AD313" s="6" t="n"/>
      <c r="AE313" s="7">
        <f>IF(X313="","",ROUND('Opening Balance'!$B$4+SUM($AC$2:AC313)-SUM($AD$2:AD313)+SUMPRODUCT(($Q$2:$Q$1501="Collection 收款")*($R$2:$R$1501="Cheque 支票")*($V$2:$V$1501&lt;&gt;"")*($V$2:$V$1501&lt;=X313)*($S$2:$S$1501-'Opening Balance'!$B$15*($R$2:$R$1501="Cheque 支票")*($S$2:$S$1501-TRUNC($S$2:$S$1501))))-'Opening Balance'!$B$15*SUMPRODUCT(($Z$2:Z313="Online collection 网上收款")*($AA$2:AA313&lt;&gt;"")*($AC$2:AC313-TRUNC($AC$2:AC313))),2))</f>
        <v/>
      </c>
    </row>
    <row r="314">
      <c r="A314" s="5" t="n"/>
      <c r="B314" s="6" t="n"/>
      <c r="C314" s="6" t="n"/>
      <c r="D314" s="6" t="n"/>
      <c r="E314" s="7">
        <f>IF(A314="","",SUMPRODUCT(('Daily Sale entry '!$O$2:$O$1501=A314)*('Daily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4" s="6" t="n"/>
      <c r="G314" s="6" t="n"/>
      <c r="H314" s="6" t="n"/>
      <c r="I314" s="8" t="n"/>
      <c r="J314" s="6" t="n"/>
      <c r="K314" s="6" t="n"/>
      <c r="L314" s="6" t="n"/>
      <c r="M314" s="6" t="n"/>
      <c r="O314" s="5" t="n"/>
      <c r="S314" s="6" t="n"/>
      <c r="V314" s="5" t="n"/>
      <c r="X314" s="5" t="n"/>
      <c r="AC314" s="6" t="n"/>
      <c r="AD314" s="6" t="n"/>
      <c r="AE314" s="7">
        <f>IF(X314="","",ROUND('Opening Balance'!$B$4+SUM($AC$2:AC314)-SUM($AD$2:AD314)+SUMPRODUCT(($Q$2:$Q$1501="Collection 收款")*($R$2:$R$1501="Cheque 支票")*($V$2:$V$1501&lt;&gt;"")*($V$2:$V$1501&lt;=X314)*($S$2:$S$1501-'Opening Balance'!$B$15*($R$2:$R$1501="Cheque 支票")*($S$2:$S$1501-TRUNC($S$2:$S$1501))))-'Opening Balance'!$B$15*SUMPRODUCT(($Z$2:Z314="Online collection 网上收款")*($AA$2:AA314&lt;&gt;"")*($AC$2:AC314-TRUNC($AC$2:AC314))),2))</f>
        <v/>
      </c>
    </row>
    <row r="315">
      <c r="A315" s="5" t="n"/>
      <c r="B315" s="6" t="n"/>
      <c r="C315" s="6" t="n"/>
      <c r="D315" s="6" t="n"/>
      <c r="E315" s="7">
        <f>IF(A315="","",SUMPRODUCT(('Daily Sale entry '!$O$2:$O$1501=A315)*('Daily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5" s="6" t="n"/>
      <c r="G315" s="6" t="n"/>
      <c r="H315" s="6" t="n"/>
      <c r="I315" s="8" t="n"/>
      <c r="J315" s="6" t="n"/>
      <c r="K315" s="6" t="n"/>
      <c r="L315" s="6" t="n"/>
      <c r="M315" s="6" t="n"/>
      <c r="O315" s="5" t="n"/>
      <c r="S315" s="6" t="n"/>
      <c r="V315" s="5" t="n"/>
      <c r="X315" s="5" t="n"/>
      <c r="AC315" s="6" t="n"/>
      <c r="AD315" s="6" t="n"/>
      <c r="AE315" s="7">
        <f>IF(X315="","",ROUND('Opening Balance'!$B$4+SUM($AC$2:AC315)-SUM($AD$2:AD315)+SUMPRODUCT(($Q$2:$Q$1501="Collection 收款")*($R$2:$R$1501="Cheque 支票")*($V$2:$V$1501&lt;&gt;"")*($V$2:$V$1501&lt;=X315)*($S$2:$S$1501-'Opening Balance'!$B$15*($R$2:$R$1501="Cheque 支票")*($S$2:$S$1501-TRUNC($S$2:$S$1501))))-'Opening Balance'!$B$15*SUMPRODUCT(($Z$2:Z315="Online collection 网上收款")*($AA$2:AA315&lt;&gt;"")*($AC$2:AC315-TRUNC($AC$2:AC315))),2))</f>
        <v/>
      </c>
    </row>
    <row r="316">
      <c r="A316" s="5" t="n"/>
      <c r="B316" s="6" t="n"/>
      <c r="C316" s="6" t="n"/>
      <c r="D316" s="6" t="n"/>
      <c r="E316" s="7">
        <f>IF(A316="","",SUMPRODUCT(('Daily Sale entry '!$O$2:$O$1501=A316)*('Daily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6" s="6" t="n"/>
      <c r="G316" s="6" t="n"/>
      <c r="H316" s="6" t="n"/>
      <c r="I316" s="8" t="n"/>
      <c r="J316" s="6" t="n"/>
      <c r="K316" s="6" t="n"/>
      <c r="L316" s="6" t="n"/>
      <c r="M316" s="6" t="n"/>
      <c r="O316" s="5" t="n"/>
      <c r="S316" s="6" t="n"/>
      <c r="V316" s="5" t="n"/>
      <c r="X316" s="5" t="n"/>
      <c r="AC316" s="6" t="n"/>
      <c r="AD316" s="6" t="n"/>
      <c r="AE316" s="7">
        <f>IF(X316="","",ROUND('Opening Balance'!$B$4+SUM($AC$2:AC316)-SUM($AD$2:AD316)+SUMPRODUCT(($Q$2:$Q$1501="Collection 收款")*($R$2:$R$1501="Cheque 支票")*($V$2:$V$1501&lt;&gt;"")*($V$2:$V$1501&lt;=X316)*($S$2:$S$1501-'Opening Balance'!$B$15*($R$2:$R$1501="Cheque 支票")*($S$2:$S$1501-TRUNC($S$2:$S$1501))))-'Opening Balance'!$B$15*SUMPRODUCT(($Z$2:Z316="Online collection 网上收款")*($AA$2:AA316&lt;&gt;"")*($AC$2:AC316-TRUNC($AC$2:AC316))),2))</f>
        <v/>
      </c>
    </row>
    <row r="317">
      <c r="A317" s="5" t="n"/>
      <c r="B317" s="6" t="n"/>
      <c r="C317" s="6" t="n"/>
      <c r="D317" s="6" t="n"/>
      <c r="E317" s="7">
        <f>IF(A317="","",SUMPRODUCT(('Daily Sale entry '!$O$2:$O$1501=A317)*('Daily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7" s="6" t="n"/>
      <c r="G317" s="6" t="n"/>
      <c r="H317" s="6" t="n"/>
      <c r="I317" s="8" t="n"/>
      <c r="J317" s="6" t="n"/>
      <c r="K317" s="6" t="n"/>
      <c r="L317" s="6" t="n"/>
      <c r="M317" s="6" t="n"/>
      <c r="O317" s="5" t="n"/>
      <c r="S317" s="6" t="n"/>
      <c r="V317" s="5" t="n"/>
      <c r="X317" s="5" t="n"/>
      <c r="AC317" s="6" t="n"/>
      <c r="AD317" s="6" t="n"/>
      <c r="AE317" s="7">
        <f>IF(X317="","",ROUND('Opening Balance'!$B$4+SUM($AC$2:AC317)-SUM($AD$2:AD317)+SUMPRODUCT(($Q$2:$Q$1501="Collection 收款")*($R$2:$R$1501="Cheque 支票")*($V$2:$V$1501&lt;&gt;"")*($V$2:$V$1501&lt;=X317)*($S$2:$S$1501-'Opening Balance'!$B$15*($R$2:$R$1501="Cheque 支票")*($S$2:$S$1501-TRUNC($S$2:$S$1501))))-'Opening Balance'!$B$15*SUMPRODUCT(($Z$2:Z317="Online collection 网上收款")*($AA$2:AA317&lt;&gt;"")*($AC$2:AC317-TRUNC($AC$2:AC317))),2))</f>
        <v/>
      </c>
    </row>
    <row r="318">
      <c r="A318" s="5" t="n"/>
      <c r="B318" s="6" t="n"/>
      <c r="C318" s="6" t="n"/>
      <c r="D318" s="6" t="n"/>
      <c r="E318" s="7">
        <f>IF(A318="","",SUMPRODUCT(('Daily Sale entry '!$O$2:$O$1501=A318)*('Daily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8" s="6" t="n"/>
      <c r="G318" s="6" t="n"/>
      <c r="H318" s="6" t="n"/>
      <c r="I318" s="8" t="n"/>
      <c r="J318" s="6" t="n"/>
      <c r="K318" s="6" t="n"/>
      <c r="L318" s="6" t="n"/>
      <c r="M318" s="6" t="n"/>
      <c r="O318" s="5" t="n"/>
      <c r="S318" s="6" t="n"/>
      <c r="V318" s="5" t="n"/>
      <c r="X318" s="5" t="n"/>
      <c r="AC318" s="6" t="n"/>
      <c r="AD318" s="6" t="n"/>
      <c r="AE318" s="7">
        <f>IF(X318="","",ROUND('Opening Balance'!$B$4+SUM($AC$2:AC318)-SUM($AD$2:AD318)+SUMPRODUCT(($Q$2:$Q$1501="Collection 收款")*($R$2:$R$1501="Cheque 支票")*($V$2:$V$1501&lt;&gt;"")*($V$2:$V$1501&lt;=X318)*($S$2:$S$1501-'Opening Balance'!$B$15*($R$2:$R$1501="Cheque 支票")*($S$2:$S$1501-TRUNC($S$2:$S$1501))))-'Opening Balance'!$B$15*SUMPRODUCT(($Z$2:Z318="Online collection 网上收款")*($AA$2:AA318&lt;&gt;"")*($AC$2:AC318-TRUNC($AC$2:AC318))),2))</f>
        <v/>
      </c>
    </row>
    <row r="319">
      <c r="A319" s="5" t="n"/>
      <c r="B319" s="6" t="n"/>
      <c r="C319" s="6" t="n"/>
      <c r="D319" s="6" t="n"/>
      <c r="E319" s="7">
        <f>IF(A319="","",SUMPRODUCT(('Daily Sale entry '!$O$2:$O$1501=A319)*('Daily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19" s="6" t="n"/>
      <c r="G319" s="6" t="n"/>
      <c r="H319" s="6" t="n"/>
      <c r="I319" s="8" t="n"/>
      <c r="J319" s="6" t="n"/>
      <c r="K319" s="6" t="n"/>
      <c r="L319" s="6" t="n"/>
      <c r="M319" s="6" t="n"/>
      <c r="O319" s="5" t="n"/>
      <c r="S319" s="6" t="n"/>
      <c r="V319" s="5" t="n"/>
      <c r="X319" s="5" t="n"/>
      <c r="AC319" s="6" t="n"/>
      <c r="AD319" s="6" t="n"/>
      <c r="AE319" s="7">
        <f>IF(X319="","",ROUND('Opening Balance'!$B$4+SUM($AC$2:AC319)-SUM($AD$2:AD319)+SUMPRODUCT(($Q$2:$Q$1501="Collection 收款")*($R$2:$R$1501="Cheque 支票")*($V$2:$V$1501&lt;&gt;"")*($V$2:$V$1501&lt;=X319)*($S$2:$S$1501-'Opening Balance'!$B$15*($R$2:$R$1501="Cheque 支票")*($S$2:$S$1501-TRUNC($S$2:$S$1501))))-'Opening Balance'!$B$15*SUMPRODUCT(($Z$2:Z319="Online collection 网上收款")*($AA$2:AA319&lt;&gt;"")*($AC$2:AC319-TRUNC($AC$2:AC319))),2))</f>
        <v/>
      </c>
    </row>
    <row r="320">
      <c r="A320" s="5" t="n"/>
      <c r="B320" s="6" t="n"/>
      <c r="C320" s="6" t="n"/>
      <c r="D320" s="6" t="n"/>
      <c r="E320" s="7">
        <f>IF(A320="","",SUMPRODUCT(('Daily Sale entry '!$O$2:$O$1501=A320)*('Daily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0" s="6" t="n"/>
      <c r="G320" s="6" t="n"/>
      <c r="H320" s="6" t="n"/>
      <c r="I320" s="8" t="n"/>
      <c r="J320" s="6" t="n"/>
      <c r="K320" s="6" t="n"/>
      <c r="L320" s="6" t="n"/>
      <c r="M320" s="6" t="n"/>
      <c r="O320" s="5" t="n"/>
      <c r="S320" s="6" t="n"/>
      <c r="V320" s="5" t="n"/>
      <c r="X320" s="5" t="n"/>
      <c r="AC320" s="6" t="n"/>
      <c r="AD320" s="6" t="n"/>
      <c r="AE320" s="7">
        <f>IF(X320="","",ROUND('Opening Balance'!$B$4+SUM($AC$2:AC320)-SUM($AD$2:AD320)+SUMPRODUCT(($Q$2:$Q$1501="Collection 收款")*($R$2:$R$1501="Cheque 支票")*($V$2:$V$1501&lt;&gt;"")*($V$2:$V$1501&lt;=X320)*($S$2:$S$1501-'Opening Balance'!$B$15*($R$2:$R$1501="Cheque 支票")*($S$2:$S$1501-TRUNC($S$2:$S$1501))))-'Opening Balance'!$B$15*SUMPRODUCT(($Z$2:Z320="Online collection 网上收款")*($AA$2:AA320&lt;&gt;"")*($AC$2:AC320-TRUNC($AC$2:AC320))),2))</f>
        <v/>
      </c>
    </row>
    <row r="321">
      <c r="A321" s="5" t="n"/>
      <c r="B321" s="6" t="n"/>
      <c r="C321" s="6" t="n"/>
      <c r="D321" s="6" t="n"/>
      <c r="E321" s="7">
        <f>IF(A321="","",SUMPRODUCT(('Daily Sale entry '!$O$2:$O$1501=A321)*('Daily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1" s="6" t="n"/>
      <c r="G321" s="6" t="n"/>
      <c r="H321" s="6" t="n"/>
      <c r="I321" s="8" t="n"/>
      <c r="J321" s="6" t="n"/>
      <c r="K321" s="6" t="n"/>
      <c r="L321" s="6" t="n"/>
      <c r="M321" s="6" t="n"/>
      <c r="O321" s="5" t="n"/>
      <c r="S321" s="6" t="n"/>
      <c r="V321" s="5" t="n"/>
      <c r="X321" s="5" t="n"/>
      <c r="AC321" s="6" t="n"/>
      <c r="AD321" s="6" t="n"/>
      <c r="AE321" s="7">
        <f>IF(X321="","",ROUND('Opening Balance'!$B$4+SUM($AC$2:AC321)-SUM($AD$2:AD321)+SUMPRODUCT(($Q$2:$Q$1501="Collection 收款")*($R$2:$R$1501="Cheque 支票")*($V$2:$V$1501&lt;&gt;"")*($V$2:$V$1501&lt;=X321)*($S$2:$S$1501-'Opening Balance'!$B$15*($R$2:$R$1501="Cheque 支票")*($S$2:$S$1501-TRUNC($S$2:$S$1501))))-'Opening Balance'!$B$15*SUMPRODUCT(($Z$2:Z321="Online collection 网上收款")*($AA$2:AA321&lt;&gt;"")*($AC$2:AC321-TRUNC($AC$2:AC321))),2))</f>
        <v/>
      </c>
    </row>
    <row r="322">
      <c r="A322" s="5" t="n"/>
      <c r="B322" s="6" t="n"/>
      <c r="C322" s="6" t="n"/>
      <c r="D322" s="6" t="n"/>
      <c r="E322" s="7">
        <f>IF(A322="","",SUMPRODUCT(('Daily Sale entry '!$O$2:$O$1501=A322)*('Daily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2" s="6" t="n"/>
      <c r="G322" s="6" t="n"/>
      <c r="H322" s="6" t="n"/>
      <c r="I322" s="8" t="n"/>
      <c r="J322" s="6" t="n"/>
      <c r="K322" s="6" t="n"/>
      <c r="L322" s="6" t="n"/>
      <c r="M322" s="6" t="n"/>
      <c r="O322" s="5" t="n"/>
      <c r="S322" s="6" t="n"/>
      <c r="V322" s="5" t="n"/>
      <c r="X322" s="5" t="n"/>
      <c r="AC322" s="6" t="n"/>
      <c r="AD322" s="6" t="n"/>
      <c r="AE322" s="7">
        <f>IF(X322="","",ROUND('Opening Balance'!$B$4+SUM($AC$2:AC322)-SUM($AD$2:AD322)+SUMPRODUCT(($Q$2:$Q$1501="Collection 收款")*($R$2:$R$1501="Cheque 支票")*($V$2:$V$1501&lt;&gt;"")*($V$2:$V$1501&lt;=X322)*($S$2:$S$1501-'Opening Balance'!$B$15*($R$2:$R$1501="Cheque 支票")*($S$2:$S$1501-TRUNC($S$2:$S$1501))))-'Opening Balance'!$B$15*SUMPRODUCT(($Z$2:Z322="Online collection 网上收款")*($AA$2:AA322&lt;&gt;"")*($AC$2:AC322-TRUNC($AC$2:AC322))),2))</f>
        <v/>
      </c>
    </row>
    <row r="323">
      <c r="A323" s="5" t="n"/>
      <c r="B323" s="6" t="n"/>
      <c r="C323" s="6" t="n"/>
      <c r="D323" s="6" t="n"/>
      <c r="E323" s="7">
        <f>IF(A323="","",SUMPRODUCT(('Daily Sale entry '!$O$2:$O$1501=A323)*('Daily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3" s="6" t="n"/>
      <c r="G323" s="6" t="n"/>
      <c r="H323" s="6" t="n"/>
      <c r="I323" s="8" t="n"/>
      <c r="J323" s="6" t="n"/>
      <c r="K323" s="6" t="n"/>
      <c r="L323" s="6" t="n"/>
      <c r="M323" s="6" t="n"/>
      <c r="O323" s="5" t="n"/>
      <c r="S323" s="6" t="n"/>
      <c r="V323" s="5" t="n"/>
      <c r="X323" s="5" t="n"/>
      <c r="AC323" s="6" t="n"/>
      <c r="AD323" s="6" t="n"/>
      <c r="AE323" s="7">
        <f>IF(X323="","",ROUND('Opening Balance'!$B$4+SUM($AC$2:AC323)-SUM($AD$2:AD323)+SUMPRODUCT(($Q$2:$Q$1501="Collection 收款")*($R$2:$R$1501="Cheque 支票")*($V$2:$V$1501&lt;&gt;"")*($V$2:$V$1501&lt;=X323)*($S$2:$S$1501-'Opening Balance'!$B$15*($R$2:$R$1501="Cheque 支票")*($S$2:$S$1501-TRUNC($S$2:$S$1501))))-'Opening Balance'!$B$15*SUMPRODUCT(($Z$2:Z323="Online collection 网上收款")*($AA$2:AA323&lt;&gt;"")*($AC$2:AC323-TRUNC($AC$2:AC323))),2))</f>
        <v/>
      </c>
    </row>
    <row r="324">
      <c r="A324" s="5" t="n"/>
      <c r="B324" s="6" t="n"/>
      <c r="C324" s="6" t="n"/>
      <c r="D324" s="6" t="n"/>
      <c r="E324" s="7">
        <f>IF(A324="","",SUMPRODUCT(('Daily Sale entry '!$O$2:$O$1501=A324)*('Daily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4" s="6" t="n"/>
      <c r="G324" s="6" t="n"/>
      <c r="H324" s="6" t="n"/>
      <c r="I324" s="8" t="n"/>
      <c r="J324" s="6" t="n"/>
      <c r="K324" s="6" t="n"/>
      <c r="L324" s="6" t="n"/>
      <c r="M324" s="6" t="n"/>
      <c r="O324" s="5" t="n"/>
      <c r="S324" s="6" t="n"/>
      <c r="V324" s="5" t="n"/>
      <c r="X324" s="5" t="n"/>
      <c r="AC324" s="6" t="n"/>
      <c r="AD324" s="6" t="n"/>
      <c r="AE324" s="7">
        <f>IF(X324="","",ROUND('Opening Balance'!$B$4+SUM($AC$2:AC324)-SUM($AD$2:AD324)+SUMPRODUCT(($Q$2:$Q$1501="Collection 收款")*($R$2:$R$1501="Cheque 支票")*($V$2:$V$1501&lt;&gt;"")*($V$2:$V$1501&lt;=X324)*($S$2:$S$1501-'Opening Balance'!$B$15*($R$2:$R$1501="Cheque 支票")*($S$2:$S$1501-TRUNC($S$2:$S$1501))))-'Opening Balance'!$B$15*SUMPRODUCT(($Z$2:Z324="Online collection 网上收款")*($AA$2:AA324&lt;&gt;"")*($AC$2:AC324-TRUNC($AC$2:AC324))),2))</f>
        <v/>
      </c>
    </row>
    <row r="325">
      <c r="A325" s="5" t="n"/>
      <c r="B325" s="6" t="n"/>
      <c r="C325" s="6" t="n"/>
      <c r="D325" s="6" t="n"/>
      <c r="E325" s="7">
        <f>IF(A325="","",SUMPRODUCT(('Daily Sale entry '!$O$2:$O$1501=A325)*('Daily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5" s="6" t="n"/>
      <c r="G325" s="6" t="n"/>
      <c r="H325" s="6" t="n"/>
      <c r="I325" s="8" t="n"/>
      <c r="J325" s="6" t="n"/>
      <c r="K325" s="6" t="n"/>
      <c r="L325" s="6" t="n"/>
      <c r="M325" s="6" t="n"/>
      <c r="O325" s="5" t="n"/>
      <c r="S325" s="6" t="n"/>
      <c r="V325" s="5" t="n"/>
      <c r="X325" s="5" t="n"/>
      <c r="AC325" s="6" t="n"/>
      <c r="AD325" s="6" t="n"/>
      <c r="AE325" s="7">
        <f>IF(X325="","",ROUND('Opening Balance'!$B$4+SUM($AC$2:AC325)-SUM($AD$2:AD325)+SUMPRODUCT(($Q$2:$Q$1501="Collection 收款")*($R$2:$R$1501="Cheque 支票")*($V$2:$V$1501&lt;&gt;"")*($V$2:$V$1501&lt;=X325)*($S$2:$S$1501-'Opening Balance'!$B$15*($R$2:$R$1501="Cheque 支票")*($S$2:$S$1501-TRUNC($S$2:$S$1501))))-'Opening Balance'!$B$15*SUMPRODUCT(($Z$2:Z325="Online collection 网上收款")*($AA$2:AA325&lt;&gt;"")*($AC$2:AC325-TRUNC($AC$2:AC325))),2))</f>
        <v/>
      </c>
    </row>
    <row r="326">
      <c r="A326" s="5" t="n"/>
      <c r="B326" s="6" t="n"/>
      <c r="C326" s="6" t="n"/>
      <c r="D326" s="6" t="n"/>
      <c r="E326" s="7">
        <f>IF(A326="","",SUMPRODUCT(('Daily Sale entry '!$O$2:$O$1501=A326)*('Daily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6" s="6" t="n"/>
      <c r="G326" s="6" t="n"/>
      <c r="H326" s="6" t="n"/>
      <c r="I326" s="8" t="n"/>
      <c r="J326" s="6" t="n"/>
      <c r="K326" s="6" t="n"/>
      <c r="L326" s="6" t="n"/>
      <c r="M326" s="6" t="n"/>
      <c r="O326" s="5" t="n"/>
      <c r="S326" s="6" t="n"/>
      <c r="V326" s="5" t="n"/>
      <c r="X326" s="5" t="n"/>
      <c r="AC326" s="6" t="n"/>
      <c r="AD326" s="6" t="n"/>
      <c r="AE326" s="7">
        <f>IF(X326="","",ROUND('Opening Balance'!$B$4+SUM($AC$2:AC326)-SUM($AD$2:AD326)+SUMPRODUCT(($Q$2:$Q$1501="Collection 收款")*($R$2:$R$1501="Cheque 支票")*($V$2:$V$1501&lt;&gt;"")*($V$2:$V$1501&lt;=X326)*($S$2:$S$1501-'Opening Balance'!$B$15*($R$2:$R$1501="Cheque 支票")*($S$2:$S$1501-TRUNC($S$2:$S$1501))))-'Opening Balance'!$B$15*SUMPRODUCT(($Z$2:Z326="Online collection 网上收款")*($AA$2:AA326&lt;&gt;"")*($AC$2:AC326-TRUNC($AC$2:AC326))),2))</f>
        <v/>
      </c>
    </row>
    <row r="327">
      <c r="A327" s="5" t="n"/>
      <c r="B327" s="6" t="n"/>
      <c r="C327" s="6" t="n"/>
      <c r="D327" s="6" t="n"/>
      <c r="E327" s="7">
        <f>IF(A327="","",SUMPRODUCT(('Daily Sale entry '!$O$2:$O$1501=A327)*('Daily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7" s="6" t="n"/>
      <c r="G327" s="6" t="n"/>
      <c r="H327" s="6" t="n"/>
      <c r="I327" s="8" t="n"/>
      <c r="J327" s="6" t="n"/>
      <c r="K327" s="6" t="n"/>
      <c r="L327" s="6" t="n"/>
      <c r="M327" s="6" t="n"/>
      <c r="O327" s="5" t="n"/>
      <c r="S327" s="6" t="n"/>
      <c r="V327" s="5" t="n"/>
      <c r="X327" s="5" t="n"/>
      <c r="AC327" s="6" t="n"/>
      <c r="AD327" s="6" t="n"/>
      <c r="AE327" s="7">
        <f>IF(X327="","",ROUND('Opening Balance'!$B$4+SUM($AC$2:AC327)-SUM($AD$2:AD327)+SUMPRODUCT(($Q$2:$Q$1501="Collection 收款")*($R$2:$R$1501="Cheque 支票")*($V$2:$V$1501&lt;&gt;"")*($V$2:$V$1501&lt;=X327)*($S$2:$S$1501-'Opening Balance'!$B$15*($R$2:$R$1501="Cheque 支票")*($S$2:$S$1501-TRUNC($S$2:$S$1501))))-'Opening Balance'!$B$15*SUMPRODUCT(($Z$2:Z327="Online collection 网上收款")*($AA$2:AA327&lt;&gt;"")*($AC$2:AC327-TRUNC($AC$2:AC327))),2))</f>
        <v/>
      </c>
    </row>
    <row r="328">
      <c r="A328" s="5" t="n"/>
      <c r="B328" s="6" t="n"/>
      <c r="C328" s="6" t="n"/>
      <c r="D328" s="6" t="n"/>
      <c r="E328" s="7">
        <f>IF(A328="","",SUMPRODUCT(('Daily Sale entry '!$O$2:$O$1501=A328)*('Daily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8" s="6" t="n"/>
      <c r="G328" s="6" t="n"/>
      <c r="H328" s="6" t="n"/>
      <c r="I328" s="8" t="n"/>
      <c r="J328" s="6" t="n"/>
      <c r="K328" s="6" t="n"/>
      <c r="L328" s="6" t="n"/>
      <c r="M328" s="6" t="n"/>
      <c r="O328" s="5" t="n"/>
      <c r="S328" s="6" t="n"/>
      <c r="V328" s="5" t="n"/>
      <c r="X328" s="5" t="n"/>
      <c r="AC328" s="6" t="n"/>
      <c r="AD328" s="6" t="n"/>
      <c r="AE328" s="7">
        <f>IF(X328="","",ROUND('Opening Balance'!$B$4+SUM($AC$2:AC328)-SUM($AD$2:AD328)+SUMPRODUCT(($Q$2:$Q$1501="Collection 收款")*($R$2:$R$1501="Cheque 支票")*($V$2:$V$1501&lt;&gt;"")*($V$2:$V$1501&lt;=X328)*($S$2:$S$1501-'Opening Balance'!$B$15*($R$2:$R$1501="Cheque 支票")*($S$2:$S$1501-TRUNC($S$2:$S$1501))))-'Opening Balance'!$B$15*SUMPRODUCT(($Z$2:Z328="Online collection 网上收款")*($AA$2:AA328&lt;&gt;"")*($AC$2:AC328-TRUNC($AC$2:AC328))),2))</f>
        <v/>
      </c>
    </row>
    <row r="329">
      <c r="A329" s="5" t="n"/>
      <c r="B329" s="6" t="n"/>
      <c r="C329" s="6" t="n"/>
      <c r="D329" s="6" t="n"/>
      <c r="E329" s="7">
        <f>IF(A329="","",SUMPRODUCT(('Daily Sale entry '!$O$2:$O$1501=A329)*('Daily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29" s="6" t="n"/>
      <c r="G329" s="6" t="n"/>
      <c r="H329" s="6" t="n"/>
      <c r="I329" s="8" t="n"/>
      <c r="J329" s="6" t="n"/>
      <c r="K329" s="6" t="n"/>
      <c r="L329" s="6" t="n"/>
      <c r="M329" s="6" t="n"/>
      <c r="O329" s="5" t="n"/>
      <c r="S329" s="6" t="n"/>
      <c r="V329" s="5" t="n"/>
      <c r="X329" s="5" t="n"/>
      <c r="AC329" s="6" t="n"/>
      <c r="AD329" s="6" t="n"/>
      <c r="AE329" s="7">
        <f>IF(X329="","",ROUND('Opening Balance'!$B$4+SUM($AC$2:AC329)-SUM($AD$2:AD329)+SUMPRODUCT(($Q$2:$Q$1501="Collection 收款")*($R$2:$R$1501="Cheque 支票")*($V$2:$V$1501&lt;&gt;"")*($V$2:$V$1501&lt;=X329)*($S$2:$S$1501-'Opening Balance'!$B$15*($R$2:$R$1501="Cheque 支票")*($S$2:$S$1501-TRUNC($S$2:$S$1501))))-'Opening Balance'!$B$15*SUMPRODUCT(($Z$2:Z329="Online collection 网上收款")*($AA$2:AA329&lt;&gt;"")*($AC$2:AC329-TRUNC($AC$2:AC329))),2))</f>
        <v/>
      </c>
    </row>
    <row r="330">
      <c r="A330" s="5" t="n"/>
      <c r="B330" s="6" t="n"/>
      <c r="C330" s="6" t="n"/>
      <c r="D330" s="6" t="n"/>
      <c r="E330" s="7">
        <f>IF(A330="","",SUMPRODUCT(('Daily Sale entry '!$O$2:$O$1501=A330)*('Daily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0" s="6" t="n"/>
      <c r="G330" s="6" t="n"/>
      <c r="H330" s="6" t="n"/>
      <c r="I330" s="8" t="n"/>
      <c r="J330" s="6" t="n"/>
      <c r="K330" s="6" t="n"/>
      <c r="L330" s="6" t="n"/>
      <c r="M330" s="6" t="n"/>
      <c r="O330" s="5" t="n"/>
      <c r="S330" s="6" t="n"/>
      <c r="V330" s="5" t="n"/>
      <c r="X330" s="5" t="n"/>
      <c r="AC330" s="6" t="n"/>
      <c r="AD330" s="6" t="n"/>
      <c r="AE330" s="7">
        <f>IF(X330="","",ROUND('Opening Balance'!$B$4+SUM($AC$2:AC330)-SUM($AD$2:AD330)+SUMPRODUCT(($Q$2:$Q$1501="Collection 收款")*($R$2:$R$1501="Cheque 支票")*($V$2:$V$1501&lt;&gt;"")*($V$2:$V$1501&lt;=X330)*($S$2:$S$1501-'Opening Balance'!$B$15*($R$2:$R$1501="Cheque 支票")*($S$2:$S$1501-TRUNC($S$2:$S$1501))))-'Opening Balance'!$B$15*SUMPRODUCT(($Z$2:Z330="Online collection 网上收款")*($AA$2:AA330&lt;&gt;"")*($AC$2:AC330-TRUNC($AC$2:AC330))),2))</f>
        <v/>
      </c>
    </row>
    <row r="331">
      <c r="A331" s="5" t="n"/>
      <c r="B331" s="6" t="n"/>
      <c r="C331" s="6" t="n"/>
      <c r="D331" s="6" t="n"/>
      <c r="E331" s="7">
        <f>IF(A331="","",SUMPRODUCT(('Daily Sale entry '!$O$2:$O$1501=A331)*('Daily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1" s="6" t="n"/>
      <c r="G331" s="6" t="n"/>
      <c r="H331" s="6" t="n"/>
      <c r="I331" s="8" t="n"/>
      <c r="J331" s="6" t="n"/>
      <c r="K331" s="6" t="n"/>
      <c r="L331" s="6" t="n"/>
      <c r="M331" s="6" t="n"/>
      <c r="O331" s="5" t="n"/>
      <c r="S331" s="6" t="n"/>
      <c r="V331" s="5" t="n"/>
      <c r="X331" s="5" t="n"/>
      <c r="AC331" s="6" t="n"/>
      <c r="AD331" s="6" t="n"/>
      <c r="AE331" s="7">
        <f>IF(X331="","",ROUND('Opening Balance'!$B$4+SUM($AC$2:AC331)-SUM($AD$2:AD331)+SUMPRODUCT(($Q$2:$Q$1501="Collection 收款")*($R$2:$R$1501="Cheque 支票")*($V$2:$V$1501&lt;&gt;"")*($V$2:$V$1501&lt;=X331)*($S$2:$S$1501-'Opening Balance'!$B$15*($R$2:$R$1501="Cheque 支票")*($S$2:$S$1501-TRUNC($S$2:$S$1501))))-'Opening Balance'!$B$15*SUMPRODUCT(($Z$2:Z331="Online collection 网上收款")*($AA$2:AA331&lt;&gt;"")*($AC$2:AC331-TRUNC($AC$2:AC331))),2))</f>
        <v/>
      </c>
    </row>
    <row r="332">
      <c r="A332" s="5" t="n"/>
      <c r="B332" s="6" t="n"/>
      <c r="C332" s="6" t="n"/>
      <c r="D332" s="6" t="n"/>
      <c r="E332" s="7">
        <f>IF(A332="","",SUMPRODUCT(('Daily Sale entry '!$O$2:$O$1501=A332)*('Daily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2" s="6" t="n"/>
      <c r="G332" s="6" t="n"/>
      <c r="H332" s="6" t="n"/>
      <c r="I332" s="8" t="n"/>
      <c r="J332" s="6" t="n"/>
      <c r="K332" s="6" t="n"/>
      <c r="L332" s="6" t="n"/>
      <c r="M332" s="6" t="n"/>
      <c r="O332" s="5" t="n"/>
      <c r="S332" s="6" t="n"/>
      <c r="V332" s="5" t="n"/>
      <c r="X332" s="5" t="n"/>
      <c r="AC332" s="6" t="n"/>
      <c r="AD332" s="6" t="n"/>
      <c r="AE332" s="7">
        <f>IF(X332="","",ROUND('Opening Balance'!$B$4+SUM($AC$2:AC332)-SUM($AD$2:AD332)+SUMPRODUCT(($Q$2:$Q$1501="Collection 收款")*($R$2:$R$1501="Cheque 支票")*($V$2:$V$1501&lt;&gt;"")*($V$2:$V$1501&lt;=X332)*($S$2:$S$1501-'Opening Balance'!$B$15*($R$2:$R$1501="Cheque 支票")*($S$2:$S$1501-TRUNC($S$2:$S$1501))))-'Opening Balance'!$B$15*SUMPRODUCT(($Z$2:Z332="Online collection 网上收款")*($AA$2:AA332&lt;&gt;"")*($AC$2:AC332-TRUNC($AC$2:AC332))),2))</f>
        <v/>
      </c>
    </row>
    <row r="333">
      <c r="A333" s="5" t="n"/>
      <c r="B333" s="6" t="n"/>
      <c r="C333" s="6" t="n"/>
      <c r="D333" s="6" t="n"/>
      <c r="E333" s="7">
        <f>IF(A333="","",SUMPRODUCT(('Daily Sale entry '!$O$2:$O$1501=A333)*('Daily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3" s="6" t="n"/>
      <c r="G333" s="6" t="n"/>
      <c r="H333" s="6" t="n"/>
      <c r="I333" s="8" t="n"/>
      <c r="J333" s="6" t="n"/>
      <c r="K333" s="6" t="n"/>
      <c r="L333" s="6" t="n"/>
      <c r="M333" s="6" t="n"/>
      <c r="O333" s="5" t="n"/>
      <c r="S333" s="6" t="n"/>
      <c r="V333" s="5" t="n"/>
      <c r="X333" s="5" t="n"/>
      <c r="AC333" s="6" t="n"/>
      <c r="AD333" s="6" t="n"/>
      <c r="AE333" s="7">
        <f>IF(X333="","",ROUND('Opening Balance'!$B$4+SUM($AC$2:AC333)-SUM($AD$2:AD333)+SUMPRODUCT(($Q$2:$Q$1501="Collection 收款")*($R$2:$R$1501="Cheque 支票")*($V$2:$V$1501&lt;&gt;"")*($V$2:$V$1501&lt;=X333)*($S$2:$S$1501-'Opening Balance'!$B$15*($R$2:$R$1501="Cheque 支票")*($S$2:$S$1501-TRUNC($S$2:$S$1501))))-'Opening Balance'!$B$15*SUMPRODUCT(($Z$2:Z333="Online collection 网上收款")*($AA$2:AA333&lt;&gt;"")*($AC$2:AC333-TRUNC($AC$2:AC333))),2))</f>
        <v/>
      </c>
    </row>
    <row r="334">
      <c r="A334" s="5" t="n"/>
      <c r="B334" s="6" t="n"/>
      <c r="C334" s="6" t="n"/>
      <c r="D334" s="6" t="n"/>
      <c r="E334" s="7">
        <f>IF(A334="","",SUMPRODUCT(('Daily Sale entry '!$O$2:$O$1501=A334)*('Daily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4" s="6" t="n"/>
      <c r="G334" s="6" t="n"/>
      <c r="H334" s="6" t="n"/>
      <c r="I334" s="8" t="n"/>
      <c r="J334" s="6" t="n"/>
      <c r="K334" s="6" t="n"/>
      <c r="L334" s="6" t="n"/>
      <c r="M334" s="6" t="n"/>
      <c r="O334" s="5" t="n"/>
      <c r="S334" s="6" t="n"/>
      <c r="V334" s="5" t="n"/>
      <c r="X334" s="5" t="n"/>
      <c r="AC334" s="6" t="n"/>
      <c r="AD334" s="6" t="n"/>
      <c r="AE334" s="7">
        <f>IF(X334="","",ROUND('Opening Balance'!$B$4+SUM($AC$2:AC334)-SUM($AD$2:AD334)+SUMPRODUCT(($Q$2:$Q$1501="Collection 收款")*($R$2:$R$1501="Cheque 支票")*($V$2:$V$1501&lt;&gt;"")*($V$2:$V$1501&lt;=X334)*($S$2:$S$1501-'Opening Balance'!$B$15*($R$2:$R$1501="Cheque 支票")*($S$2:$S$1501-TRUNC($S$2:$S$1501))))-'Opening Balance'!$B$15*SUMPRODUCT(($Z$2:Z334="Online collection 网上收款")*($AA$2:AA334&lt;&gt;"")*($AC$2:AC334-TRUNC($AC$2:AC334))),2))</f>
        <v/>
      </c>
    </row>
    <row r="335">
      <c r="A335" s="5" t="n"/>
      <c r="B335" s="6" t="n"/>
      <c r="C335" s="6" t="n"/>
      <c r="D335" s="6" t="n"/>
      <c r="E335" s="7">
        <f>IF(A335="","",SUMPRODUCT(('Daily Sale entry '!$O$2:$O$1501=A335)*('Daily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5" s="6" t="n"/>
      <c r="G335" s="6" t="n"/>
      <c r="H335" s="6" t="n"/>
      <c r="I335" s="8" t="n"/>
      <c r="J335" s="6" t="n"/>
      <c r="K335" s="6" t="n"/>
      <c r="L335" s="6" t="n"/>
      <c r="M335" s="6" t="n"/>
      <c r="O335" s="5" t="n"/>
      <c r="S335" s="6" t="n"/>
      <c r="V335" s="5" t="n"/>
      <c r="X335" s="5" t="n"/>
      <c r="AC335" s="6" t="n"/>
      <c r="AD335" s="6" t="n"/>
      <c r="AE335" s="7">
        <f>IF(X335="","",ROUND('Opening Balance'!$B$4+SUM($AC$2:AC335)-SUM($AD$2:AD335)+SUMPRODUCT(($Q$2:$Q$1501="Collection 收款")*($R$2:$R$1501="Cheque 支票")*($V$2:$V$1501&lt;&gt;"")*($V$2:$V$1501&lt;=X335)*($S$2:$S$1501-'Opening Balance'!$B$15*($R$2:$R$1501="Cheque 支票")*($S$2:$S$1501-TRUNC($S$2:$S$1501))))-'Opening Balance'!$B$15*SUMPRODUCT(($Z$2:Z335="Online collection 网上收款")*($AA$2:AA335&lt;&gt;"")*($AC$2:AC335-TRUNC($AC$2:AC335))),2))</f>
        <v/>
      </c>
    </row>
    <row r="336">
      <c r="A336" s="5" t="n"/>
      <c r="B336" s="6" t="n"/>
      <c r="C336" s="6" t="n"/>
      <c r="D336" s="6" t="n"/>
      <c r="E336" s="7">
        <f>IF(A336="","",SUMPRODUCT(('Daily Sale entry '!$O$2:$O$1501=A336)*('Daily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6" s="6" t="n"/>
      <c r="G336" s="6" t="n"/>
      <c r="H336" s="6" t="n"/>
      <c r="I336" s="8" t="n"/>
      <c r="J336" s="6" t="n"/>
      <c r="K336" s="6" t="n"/>
      <c r="L336" s="6" t="n"/>
      <c r="M336" s="6" t="n"/>
      <c r="O336" s="5" t="n"/>
      <c r="S336" s="6" t="n"/>
      <c r="V336" s="5" t="n"/>
      <c r="X336" s="5" t="n"/>
      <c r="AC336" s="6" t="n"/>
      <c r="AD336" s="6" t="n"/>
      <c r="AE336" s="7">
        <f>IF(X336="","",ROUND('Opening Balance'!$B$4+SUM($AC$2:AC336)-SUM($AD$2:AD336)+SUMPRODUCT(($Q$2:$Q$1501="Collection 收款")*($R$2:$R$1501="Cheque 支票")*($V$2:$V$1501&lt;&gt;"")*($V$2:$V$1501&lt;=X336)*($S$2:$S$1501-'Opening Balance'!$B$15*($R$2:$R$1501="Cheque 支票")*($S$2:$S$1501-TRUNC($S$2:$S$1501))))-'Opening Balance'!$B$15*SUMPRODUCT(($Z$2:Z336="Online collection 网上收款")*($AA$2:AA336&lt;&gt;"")*($AC$2:AC336-TRUNC($AC$2:AC336))),2))</f>
        <v/>
      </c>
    </row>
    <row r="337">
      <c r="A337" s="5" t="n"/>
      <c r="B337" s="6" t="n"/>
      <c r="C337" s="6" t="n"/>
      <c r="D337" s="6" t="n"/>
      <c r="E337" s="7">
        <f>IF(A337="","",SUMPRODUCT(('Daily Sale entry '!$O$2:$O$1501=A337)*('Daily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7" s="6" t="n"/>
      <c r="G337" s="6" t="n"/>
      <c r="H337" s="6" t="n"/>
      <c r="I337" s="8" t="n"/>
      <c r="J337" s="6" t="n"/>
      <c r="K337" s="6" t="n"/>
      <c r="L337" s="6" t="n"/>
      <c r="M337" s="6" t="n"/>
      <c r="O337" s="5" t="n"/>
      <c r="S337" s="6" t="n"/>
      <c r="V337" s="5" t="n"/>
      <c r="X337" s="5" t="n"/>
      <c r="AC337" s="6" t="n"/>
      <c r="AD337" s="6" t="n"/>
      <c r="AE337" s="7">
        <f>IF(X337="","",ROUND('Opening Balance'!$B$4+SUM($AC$2:AC337)-SUM($AD$2:AD337)+SUMPRODUCT(($Q$2:$Q$1501="Collection 收款")*($R$2:$R$1501="Cheque 支票")*($V$2:$V$1501&lt;&gt;"")*($V$2:$V$1501&lt;=X337)*($S$2:$S$1501-'Opening Balance'!$B$15*($R$2:$R$1501="Cheque 支票")*($S$2:$S$1501-TRUNC($S$2:$S$1501))))-'Opening Balance'!$B$15*SUMPRODUCT(($Z$2:Z337="Online collection 网上收款")*($AA$2:AA337&lt;&gt;"")*($AC$2:AC337-TRUNC($AC$2:AC337))),2))</f>
        <v/>
      </c>
    </row>
    <row r="338">
      <c r="A338" s="5" t="n"/>
      <c r="B338" s="6" t="n"/>
      <c r="C338" s="6" t="n"/>
      <c r="D338" s="6" t="n"/>
      <c r="E338" s="7">
        <f>IF(A338="","",SUMPRODUCT(('Daily Sale entry '!$O$2:$O$1501=A338)*('Daily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8" s="6" t="n"/>
      <c r="G338" s="6" t="n"/>
      <c r="H338" s="6" t="n"/>
      <c r="I338" s="8" t="n"/>
      <c r="J338" s="6" t="n"/>
      <c r="K338" s="6" t="n"/>
      <c r="L338" s="6" t="n"/>
      <c r="M338" s="6" t="n"/>
      <c r="O338" s="5" t="n"/>
      <c r="S338" s="6" t="n"/>
      <c r="V338" s="5" t="n"/>
      <c r="X338" s="5" t="n"/>
      <c r="AC338" s="6" t="n"/>
      <c r="AD338" s="6" t="n"/>
      <c r="AE338" s="7">
        <f>IF(X338="","",ROUND('Opening Balance'!$B$4+SUM($AC$2:AC338)-SUM($AD$2:AD338)+SUMPRODUCT(($Q$2:$Q$1501="Collection 收款")*($R$2:$R$1501="Cheque 支票")*($V$2:$V$1501&lt;&gt;"")*($V$2:$V$1501&lt;=X338)*($S$2:$S$1501-'Opening Balance'!$B$15*($R$2:$R$1501="Cheque 支票")*($S$2:$S$1501-TRUNC($S$2:$S$1501))))-'Opening Balance'!$B$15*SUMPRODUCT(($Z$2:Z338="Online collection 网上收款")*($AA$2:AA338&lt;&gt;"")*($AC$2:AC338-TRUNC($AC$2:AC338))),2))</f>
        <v/>
      </c>
    </row>
    <row r="339">
      <c r="A339" s="5" t="n"/>
      <c r="B339" s="6" t="n"/>
      <c r="C339" s="6" t="n"/>
      <c r="D339" s="6" t="n"/>
      <c r="E339" s="7">
        <f>IF(A339="","",SUMPRODUCT(('Daily Sale entry '!$O$2:$O$1501=A339)*('Daily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39" s="6" t="n"/>
      <c r="G339" s="6" t="n"/>
      <c r="H339" s="6" t="n"/>
      <c r="I339" s="8" t="n"/>
      <c r="J339" s="6" t="n"/>
      <c r="K339" s="6" t="n"/>
      <c r="L339" s="6" t="n"/>
      <c r="M339" s="6" t="n"/>
      <c r="O339" s="5" t="n"/>
      <c r="S339" s="6" t="n"/>
      <c r="V339" s="5" t="n"/>
      <c r="X339" s="5" t="n"/>
      <c r="AC339" s="6" t="n"/>
      <c r="AD339" s="6" t="n"/>
      <c r="AE339" s="7">
        <f>IF(X339="","",ROUND('Opening Balance'!$B$4+SUM($AC$2:AC339)-SUM($AD$2:AD339)+SUMPRODUCT(($Q$2:$Q$1501="Collection 收款")*($R$2:$R$1501="Cheque 支票")*($V$2:$V$1501&lt;&gt;"")*($V$2:$V$1501&lt;=X339)*($S$2:$S$1501-'Opening Balance'!$B$15*($R$2:$R$1501="Cheque 支票")*($S$2:$S$1501-TRUNC($S$2:$S$1501))))-'Opening Balance'!$B$15*SUMPRODUCT(($Z$2:Z339="Online collection 网上收款")*($AA$2:AA339&lt;&gt;"")*($AC$2:AC339-TRUNC($AC$2:AC339))),2))</f>
        <v/>
      </c>
    </row>
    <row r="340">
      <c r="A340" s="5" t="n"/>
      <c r="B340" s="6" t="n"/>
      <c r="C340" s="6" t="n"/>
      <c r="D340" s="6" t="n"/>
      <c r="E340" s="7">
        <f>IF(A340="","",SUMPRODUCT(('Daily Sale entry '!$O$2:$O$1501=A340)*('Daily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0" s="6" t="n"/>
      <c r="G340" s="6" t="n"/>
      <c r="H340" s="6" t="n"/>
      <c r="I340" s="8" t="n"/>
      <c r="J340" s="6" t="n"/>
      <c r="K340" s="6" t="n"/>
      <c r="L340" s="6" t="n"/>
      <c r="M340" s="6" t="n"/>
      <c r="O340" s="5" t="n"/>
      <c r="S340" s="6" t="n"/>
      <c r="V340" s="5" t="n"/>
      <c r="X340" s="5" t="n"/>
      <c r="AC340" s="6" t="n"/>
      <c r="AD340" s="6" t="n"/>
      <c r="AE340" s="7">
        <f>IF(X340="","",ROUND('Opening Balance'!$B$4+SUM($AC$2:AC340)-SUM($AD$2:AD340)+SUMPRODUCT(($Q$2:$Q$1501="Collection 收款")*($R$2:$R$1501="Cheque 支票")*($V$2:$V$1501&lt;&gt;"")*($V$2:$V$1501&lt;=X340)*($S$2:$S$1501-'Opening Balance'!$B$15*($R$2:$R$1501="Cheque 支票")*($S$2:$S$1501-TRUNC($S$2:$S$1501))))-'Opening Balance'!$B$15*SUMPRODUCT(($Z$2:Z340="Online collection 网上收款")*($AA$2:AA340&lt;&gt;"")*($AC$2:AC340-TRUNC($AC$2:AC340))),2))</f>
        <v/>
      </c>
    </row>
    <row r="341">
      <c r="A341" s="5" t="n"/>
      <c r="B341" s="6" t="n"/>
      <c r="C341" s="6" t="n"/>
      <c r="D341" s="6" t="n"/>
      <c r="E341" s="7">
        <f>IF(A341="","",SUMPRODUCT(('Daily Sale entry '!$O$2:$O$1501=A341)*('Daily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1" s="6" t="n"/>
      <c r="G341" s="6" t="n"/>
      <c r="H341" s="6" t="n"/>
      <c r="I341" s="8" t="n"/>
      <c r="J341" s="6" t="n"/>
      <c r="K341" s="6" t="n"/>
      <c r="L341" s="6" t="n"/>
      <c r="M341" s="6" t="n"/>
      <c r="O341" s="5" t="n"/>
      <c r="S341" s="6" t="n"/>
      <c r="V341" s="5" t="n"/>
      <c r="X341" s="5" t="n"/>
      <c r="AC341" s="6" t="n"/>
      <c r="AD341" s="6" t="n"/>
      <c r="AE341" s="7">
        <f>IF(X341="","",ROUND('Opening Balance'!$B$4+SUM($AC$2:AC341)-SUM($AD$2:AD341)+SUMPRODUCT(($Q$2:$Q$1501="Collection 收款")*($R$2:$R$1501="Cheque 支票")*($V$2:$V$1501&lt;&gt;"")*($V$2:$V$1501&lt;=X341)*($S$2:$S$1501-'Opening Balance'!$B$15*($R$2:$R$1501="Cheque 支票")*($S$2:$S$1501-TRUNC($S$2:$S$1501))))-'Opening Balance'!$B$15*SUMPRODUCT(($Z$2:Z341="Online collection 网上收款")*($AA$2:AA341&lt;&gt;"")*($AC$2:AC341-TRUNC($AC$2:AC341))),2))</f>
        <v/>
      </c>
    </row>
    <row r="342">
      <c r="A342" s="5" t="n"/>
      <c r="B342" s="6" t="n"/>
      <c r="C342" s="6" t="n"/>
      <c r="D342" s="6" t="n"/>
      <c r="E342" s="7">
        <f>IF(A342="","",SUMPRODUCT(('Daily Sale entry '!$O$2:$O$1501=A342)*('Daily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2" s="6" t="n"/>
      <c r="G342" s="6" t="n"/>
      <c r="H342" s="6" t="n"/>
      <c r="I342" s="8" t="n"/>
      <c r="J342" s="6" t="n"/>
      <c r="K342" s="6" t="n"/>
      <c r="L342" s="6" t="n"/>
      <c r="M342" s="6" t="n"/>
      <c r="O342" s="5" t="n"/>
      <c r="S342" s="6" t="n"/>
      <c r="V342" s="5" t="n"/>
      <c r="X342" s="5" t="n"/>
      <c r="AC342" s="6" t="n"/>
      <c r="AD342" s="6" t="n"/>
      <c r="AE342" s="7">
        <f>IF(X342="","",ROUND('Opening Balance'!$B$4+SUM($AC$2:AC342)-SUM($AD$2:AD342)+SUMPRODUCT(($Q$2:$Q$1501="Collection 收款")*($R$2:$R$1501="Cheque 支票")*($V$2:$V$1501&lt;&gt;"")*($V$2:$V$1501&lt;=X342)*($S$2:$S$1501-'Opening Balance'!$B$15*($R$2:$R$1501="Cheque 支票")*($S$2:$S$1501-TRUNC($S$2:$S$1501))))-'Opening Balance'!$B$15*SUMPRODUCT(($Z$2:Z342="Online collection 网上收款")*($AA$2:AA342&lt;&gt;"")*($AC$2:AC342-TRUNC($AC$2:AC342))),2))</f>
        <v/>
      </c>
    </row>
    <row r="343">
      <c r="A343" s="5" t="n"/>
      <c r="B343" s="6" t="n"/>
      <c r="C343" s="6" t="n"/>
      <c r="D343" s="6" t="n"/>
      <c r="E343" s="7">
        <f>IF(A343="","",SUMPRODUCT(('Daily Sale entry '!$O$2:$O$1501=A343)*('Daily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3" s="6" t="n"/>
      <c r="G343" s="6" t="n"/>
      <c r="H343" s="6" t="n"/>
      <c r="I343" s="8" t="n"/>
      <c r="J343" s="6" t="n"/>
      <c r="K343" s="6" t="n"/>
      <c r="L343" s="6" t="n"/>
      <c r="M343" s="6" t="n"/>
      <c r="O343" s="5" t="n"/>
      <c r="S343" s="6" t="n"/>
      <c r="V343" s="5" t="n"/>
      <c r="X343" s="5" t="n"/>
      <c r="AC343" s="6" t="n"/>
      <c r="AD343" s="6" t="n"/>
      <c r="AE343" s="7">
        <f>IF(X343="","",ROUND('Opening Balance'!$B$4+SUM($AC$2:AC343)-SUM($AD$2:AD343)+SUMPRODUCT(($Q$2:$Q$1501="Collection 收款")*($R$2:$R$1501="Cheque 支票")*($V$2:$V$1501&lt;&gt;"")*($V$2:$V$1501&lt;=X343)*($S$2:$S$1501-'Opening Balance'!$B$15*($R$2:$R$1501="Cheque 支票")*($S$2:$S$1501-TRUNC($S$2:$S$1501))))-'Opening Balance'!$B$15*SUMPRODUCT(($Z$2:Z343="Online collection 网上收款")*($AA$2:AA343&lt;&gt;"")*($AC$2:AC343-TRUNC($AC$2:AC343))),2))</f>
        <v/>
      </c>
    </row>
    <row r="344">
      <c r="A344" s="5" t="n"/>
      <c r="B344" s="6" t="n"/>
      <c r="C344" s="6" t="n"/>
      <c r="D344" s="6" t="n"/>
      <c r="E344" s="7">
        <f>IF(A344="","",SUMPRODUCT(('Daily Sale entry '!$O$2:$O$1501=A344)*('Daily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4" s="6" t="n"/>
      <c r="G344" s="6" t="n"/>
      <c r="H344" s="6" t="n"/>
      <c r="I344" s="8" t="n"/>
      <c r="J344" s="6" t="n"/>
      <c r="K344" s="6" t="n"/>
      <c r="L344" s="6" t="n"/>
      <c r="M344" s="6" t="n"/>
      <c r="O344" s="5" t="n"/>
      <c r="S344" s="6" t="n"/>
      <c r="V344" s="5" t="n"/>
      <c r="X344" s="5" t="n"/>
      <c r="AC344" s="6" t="n"/>
      <c r="AD344" s="6" t="n"/>
      <c r="AE344" s="7">
        <f>IF(X344="","",ROUND('Opening Balance'!$B$4+SUM($AC$2:AC344)-SUM($AD$2:AD344)+SUMPRODUCT(($Q$2:$Q$1501="Collection 收款")*($R$2:$R$1501="Cheque 支票")*($V$2:$V$1501&lt;&gt;"")*($V$2:$V$1501&lt;=X344)*($S$2:$S$1501-'Opening Balance'!$B$15*($R$2:$R$1501="Cheque 支票")*($S$2:$S$1501-TRUNC($S$2:$S$1501))))-'Opening Balance'!$B$15*SUMPRODUCT(($Z$2:Z344="Online collection 网上收款")*($AA$2:AA344&lt;&gt;"")*($AC$2:AC344-TRUNC($AC$2:AC344))),2))</f>
        <v/>
      </c>
    </row>
    <row r="345">
      <c r="A345" s="5" t="n"/>
      <c r="B345" s="6" t="n"/>
      <c r="C345" s="6" t="n"/>
      <c r="D345" s="6" t="n"/>
      <c r="E345" s="7">
        <f>IF(A345="","",SUMPRODUCT(('Daily Sale entry '!$O$2:$O$1501=A345)*('Daily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5" s="6" t="n"/>
      <c r="G345" s="6" t="n"/>
      <c r="H345" s="6" t="n"/>
      <c r="I345" s="8" t="n"/>
      <c r="J345" s="6" t="n"/>
      <c r="K345" s="6" t="n"/>
      <c r="L345" s="6" t="n"/>
      <c r="M345" s="6" t="n"/>
      <c r="O345" s="5" t="n"/>
      <c r="S345" s="6" t="n"/>
      <c r="V345" s="5" t="n"/>
      <c r="X345" s="5" t="n"/>
      <c r="AC345" s="6" t="n"/>
      <c r="AD345" s="6" t="n"/>
      <c r="AE345" s="7">
        <f>IF(X345="","",ROUND('Opening Balance'!$B$4+SUM($AC$2:AC345)-SUM($AD$2:AD345)+SUMPRODUCT(($Q$2:$Q$1501="Collection 收款")*($R$2:$R$1501="Cheque 支票")*($V$2:$V$1501&lt;&gt;"")*($V$2:$V$1501&lt;=X345)*($S$2:$S$1501-'Opening Balance'!$B$15*($R$2:$R$1501="Cheque 支票")*($S$2:$S$1501-TRUNC($S$2:$S$1501))))-'Opening Balance'!$B$15*SUMPRODUCT(($Z$2:Z345="Online collection 网上收款")*($AA$2:AA345&lt;&gt;"")*($AC$2:AC345-TRUNC($AC$2:AC345))),2))</f>
        <v/>
      </c>
    </row>
    <row r="346">
      <c r="A346" s="5" t="n"/>
      <c r="B346" s="6" t="n"/>
      <c r="C346" s="6" t="n"/>
      <c r="D346" s="6" t="n"/>
      <c r="E346" s="7">
        <f>IF(A346="","",SUMPRODUCT(('Daily Sale entry '!$O$2:$O$1501=A346)*('Daily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6" s="6" t="n"/>
      <c r="G346" s="6" t="n"/>
      <c r="H346" s="6" t="n"/>
      <c r="I346" s="8" t="n"/>
      <c r="J346" s="6" t="n"/>
      <c r="K346" s="6" t="n"/>
      <c r="L346" s="6" t="n"/>
      <c r="M346" s="6" t="n"/>
      <c r="O346" s="5" t="n"/>
      <c r="S346" s="6" t="n"/>
      <c r="V346" s="5" t="n"/>
      <c r="X346" s="5" t="n"/>
      <c r="AC346" s="6" t="n"/>
      <c r="AD346" s="6" t="n"/>
      <c r="AE346" s="7">
        <f>IF(X346="","",ROUND('Opening Balance'!$B$4+SUM($AC$2:AC346)-SUM($AD$2:AD346)+SUMPRODUCT(($Q$2:$Q$1501="Collection 收款")*($R$2:$R$1501="Cheque 支票")*($V$2:$V$1501&lt;&gt;"")*($V$2:$V$1501&lt;=X346)*($S$2:$S$1501-'Opening Balance'!$B$15*($R$2:$R$1501="Cheque 支票")*($S$2:$S$1501-TRUNC($S$2:$S$1501))))-'Opening Balance'!$B$15*SUMPRODUCT(($Z$2:Z346="Online collection 网上收款")*($AA$2:AA346&lt;&gt;"")*($AC$2:AC346-TRUNC($AC$2:AC346))),2))</f>
        <v/>
      </c>
    </row>
    <row r="347">
      <c r="A347" s="5" t="n"/>
      <c r="B347" s="6" t="n"/>
      <c r="C347" s="6" t="n"/>
      <c r="D347" s="6" t="n"/>
      <c r="E347" s="7">
        <f>IF(A347="","",SUMPRODUCT(('Daily Sale entry '!$O$2:$O$1501=A347)*('Daily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7" s="6" t="n"/>
      <c r="G347" s="6" t="n"/>
      <c r="H347" s="6" t="n"/>
      <c r="I347" s="8" t="n"/>
      <c r="J347" s="6" t="n"/>
      <c r="K347" s="6" t="n"/>
      <c r="L347" s="6" t="n"/>
      <c r="M347" s="6" t="n"/>
      <c r="O347" s="5" t="n"/>
      <c r="S347" s="6" t="n"/>
      <c r="V347" s="5" t="n"/>
      <c r="X347" s="5" t="n"/>
      <c r="AC347" s="6" t="n"/>
      <c r="AD347" s="6" t="n"/>
      <c r="AE347" s="7">
        <f>IF(X347="","",ROUND('Opening Balance'!$B$4+SUM($AC$2:AC347)-SUM($AD$2:AD347)+SUMPRODUCT(($Q$2:$Q$1501="Collection 收款")*($R$2:$R$1501="Cheque 支票")*($V$2:$V$1501&lt;&gt;"")*($V$2:$V$1501&lt;=X347)*($S$2:$S$1501-'Opening Balance'!$B$15*($R$2:$R$1501="Cheque 支票")*($S$2:$S$1501-TRUNC($S$2:$S$1501))))-'Opening Balance'!$B$15*SUMPRODUCT(($Z$2:Z347="Online collection 网上收款")*($AA$2:AA347&lt;&gt;"")*($AC$2:AC347-TRUNC($AC$2:AC347))),2))</f>
        <v/>
      </c>
    </row>
    <row r="348">
      <c r="A348" s="5" t="n"/>
      <c r="B348" s="6" t="n"/>
      <c r="C348" s="6" t="n"/>
      <c r="D348" s="6" t="n"/>
      <c r="E348" s="7">
        <f>IF(A348="","",SUMPRODUCT(('Daily Sale entry '!$O$2:$O$1501=A348)*('Daily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8" s="6" t="n"/>
      <c r="G348" s="6" t="n"/>
      <c r="H348" s="6" t="n"/>
      <c r="I348" s="8" t="n"/>
      <c r="J348" s="6" t="n"/>
      <c r="K348" s="6" t="n"/>
      <c r="L348" s="6" t="n"/>
      <c r="M348" s="6" t="n"/>
      <c r="O348" s="5" t="n"/>
      <c r="S348" s="6" t="n"/>
      <c r="V348" s="5" t="n"/>
      <c r="X348" s="5" t="n"/>
      <c r="AC348" s="6" t="n"/>
      <c r="AD348" s="6" t="n"/>
      <c r="AE348" s="7">
        <f>IF(X348="","",ROUND('Opening Balance'!$B$4+SUM($AC$2:AC348)-SUM($AD$2:AD348)+SUMPRODUCT(($Q$2:$Q$1501="Collection 收款")*($R$2:$R$1501="Cheque 支票")*($V$2:$V$1501&lt;&gt;"")*($V$2:$V$1501&lt;=X348)*($S$2:$S$1501-'Opening Balance'!$B$15*($R$2:$R$1501="Cheque 支票")*($S$2:$S$1501-TRUNC($S$2:$S$1501))))-'Opening Balance'!$B$15*SUMPRODUCT(($Z$2:Z348="Online collection 网上收款")*($AA$2:AA348&lt;&gt;"")*($AC$2:AC348-TRUNC($AC$2:AC348))),2))</f>
        <v/>
      </c>
    </row>
    <row r="349">
      <c r="A349" s="5" t="n"/>
      <c r="B349" s="6" t="n"/>
      <c r="C349" s="6" t="n"/>
      <c r="D349" s="6" t="n"/>
      <c r="E349" s="7">
        <f>IF(A349="","",SUMPRODUCT(('Daily Sale entry '!$O$2:$O$1501=A349)*('Daily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49" s="6" t="n"/>
      <c r="G349" s="6" t="n"/>
      <c r="H349" s="6" t="n"/>
      <c r="I349" s="8" t="n"/>
      <c r="J349" s="6" t="n"/>
      <c r="K349" s="6" t="n"/>
      <c r="L349" s="6" t="n"/>
      <c r="M349" s="6" t="n"/>
      <c r="O349" s="5" t="n"/>
      <c r="S349" s="6" t="n"/>
      <c r="V349" s="5" t="n"/>
      <c r="X349" s="5" t="n"/>
      <c r="AC349" s="6" t="n"/>
      <c r="AD349" s="6" t="n"/>
      <c r="AE349" s="7">
        <f>IF(X349="","",ROUND('Opening Balance'!$B$4+SUM($AC$2:AC349)-SUM($AD$2:AD349)+SUMPRODUCT(($Q$2:$Q$1501="Collection 收款")*($R$2:$R$1501="Cheque 支票")*($V$2:$V$1501&lt;&gt;"")*($V$2:$V$1501&lt;=X349)*($S$2:$S$1501-'Opening Balance'!$B$15*($R$2:$R$1501="Cheque 支票")*($S$2:$S$1501-TRUNC($S$2:$S$1501))))-'Opening Balance'!$B$15*SUMPRODUCT(($Z$2:Z349="Online collection 网上收款")*($AA$2:AA349&lt;&gt;"")*($AC$2:AC349-TRUNC($AC$2:AC349))),2))</f>
        <v/>
      </c>
    </row>
    <row r="350">
      <c r="A350" s="5" t="n"/>
      <c r="B350" s="6" t="n"/>
      <c r="C350" s="6" t="n"/>
      <c r="D350" s="6" t="n"/>
      <c r="E350" s="7">
        <f>IF(A350="","",SUMPRODUCT(('Daily Sale entry '!$O$2:$O$1501=A350)*('Daily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0" s="6" t="n"/>
      <c r="G350" s="6" t="n"/>
      <c r="H350" s="6" t="n"/>
      <c r="I350" s="8" t="n"/>
      <c r="J350" s="6" t="n"/>
      <c r="K350" s="6" t="n"/>
      <c r="L350" s="6" t="n"/>
      <c r="M350" s="6" t="n"/>
      <c r="O350" s="5" t="n"/>
      <c r="S350" s="6" t="n"/>
      <c r="V350" s="5" t="n"/>
      <c r="X350" s="5" t="n"/>
      <c r="AC350" s="6" t="n"/>
      <c r="AD350" s="6" t="n"/>
      <c r="AE350" s="7">
        <f>IF(X350="","",ROUND('Opening Balance'!$B$4+SUM($AC$2:AC350)-SUM($AD$2:AD350)+SUMPRODUCT(($Q$2:$Q$1501="Collection 收款")*($R$2:$R$1501="Cheque 支票")*($V$2:$V$1501&lt;&gt;"")*($V$2:$V$1501&lt;=X350)*($S$2:$S$1501-'Opening Balance'!$B$15*($R$2:$R$1501="Cheque 支票")*($S$2:$S$1501-TRUNC($S$2:$S$1501))))-'Opening Balance'!$B$15*SUMPRODUCT(($Z$2:Z350="Online collection 网上收款")*($AA$2:AA350&lt;&gt;"")*($AC$2:AC350-TRUNC($AC$2:AC350))),2))</f>
        <v/>
      </c>
    </row>
    <row r="351">
      <c r="A351" s="5" t="n"/>
      <c r="B351" s="6" t="n"/>
      <c r="C351" s="6" t="n"/>
      <c r="D351" s="6" t="n"/>
      <c r="E351" s="7">
        <f>IF(A351="","",SUMPRODUCT(('Daily Sale entry '!$O$2:$O$1501=A351)*('Daily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1" s="6" t="n"/>
      <c r="G351" s="6" t="n"/>
      <c r="H351" s="6" t="n"/>
      <c r="I351" s="8" t="n"/>
      <c r="J351" s="6" t="n"/>
      <c r="K351" s="6" t="n"/>
      <c r="L351" s="6" t="n"/>
      <c r="M351" s="6" t="n"/>
      <c r="O351" s="5" t="n"/>
      <c r="S351" s="6" t="n"/>
      <c r="V351" s="5" t="n"/>
      <c r="X351" s="5" t="n"/>
      <c r="AC351" s="6" t="n"/>
      <c r="AD351" s="6" t="n"/>
      <c r="AE351" s="7">
        <f>IF(X351="","",ROUND('Opening Balance'!$B$4+SUM($AC$2:AC351)-SUM($AD$2:AD351)+SUMPRODUCT(($Q$2:$Q$1501="Collection 收款")*($R$2:$R$1501="Cheque 支票")*($V$2:$V$1501&lt;&gt;"")*($V$2:$V$1501&lt;=X351)*($S$2:$S$1501-'Opening Balance'!$B$15*($R$2:$R$1501="Cheque 支票")*($S$2:$S$1501-TRUNC($S$2:$S$1501))))-'Opening Balance'!$B$15*SUMPRODUCT(($Z$2:Z351="Online collection 网上收款")*($AA$2:AA351&lt;&gt;"")*($AC$2:AC351-TRUNC($AC$2:AC351))),2))</f>
        <v/>
      </c>
    </row>
    <row r="352">
      <c r="A352" s="5" t="n"/>
      <c r="B352" s="6" t="n"/>
      <c r="C352" s="6" t="n"/>
      <c r="D352" s="6" t="n"/>
      <c r="E352" s="7">
        <f>IF(A352="","",SUMPRODUCT(('Daily Sale entry '!$O$2:$O$1501=A352)*('Daily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2" s="6" t="n"/>
      <c r="G352" s="6" t="n"/>
      <c r="H352" s="6" t="n"/>
      <c r="I352" s="8" t="n"/>
      <c r="J352" s="6" t="n"/>
      <c r="K352" s="6" t="n"/>
      <c r="L352" s="6" t="n"/>
      <c r="M352" s="6" t="n"/>
      <c r="O352" s="5" t="n"/>
      <c r="S352" s="6" t="n"/>
      <c r="V352" s="5" t="n"/>
      <c r="X352" s="5" t="n"/>
      <c r="AC352" s="6" t="n"/>
      <c r="AD352" s="6" t="n"/>
      <c r="AE352" s="7">
        <f>IF(X352="","",ROUND('Opening Balance'!$B$4+SUM($AC$2:AC352)-SUM($AD$2:AD352)+SUMPRODUCT(($Q$2:$Q$1501="Collection 收款")*($R$2:$R$1501="Cheque 支票")*($V$2:$V$1501&lt;&gt;"")*($V$2:$V$1501&lt;=X352)*($S$2:$S$1501-'Opening Balance'!$B$15*($R$2:$R$1501="Cheque 支票")*($S$2:$S$1501-TRUNC($S$2:$S$1501))))-'Opening Balance'!$B$15*SUMPRODUCT(($Z$2:Z352="Online collection 网上收款")*($AA$2:AA352&lt;&gt;"")*($AC$2:AC352-TRUNC($AC$2:AC352))),2))</f>
        <v/>
      </c>
    </row>
    <row r="353">
      <c r="A353" s="5" t="n"/>
      <c r="B353" s="6" t="n"/>
      <c r="C353" s="6" t="n"/>
      <c r="D353" s="6" t="n"/>
      <c r="E353" s="7">
        <f>IF(A353="","",SUMPRODUCT(('Daily Sale entry '!$O$2:$O$1501=A353)*('Daily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3" s="6" t="n"/>
      <c r="G353" s="6" t="n"/>
      <c r="H353" s="6" t="n"/>
      <c r="I353" s="8" t="n"/>
      <c r="J353" s="6" t="n"/>
      <c r="K353" s="6" t="n"/>
      <c r="L353" s="6" t="n"/>
      <c r="M353" s="6" t="n"/>
      <c r="O353" s="5" t="n"/>
      <c r="S353" s="6" t="n"/>
      <c r="V353" s="5" t="n"/>
      <c r="X353" s="5" t="n"/>
      <c r="AC353" s="6" t="n"/>
      <c r="AD353" s="6" t="n"/>
      <c r="AE353" s="7">
        <f>IF(X353="","",ROUND('Opening Balance'!$B$4+SUM($AC$2:AC353)-SUM($AD$2:AD353)+SUMPRODUCT(($Q$2:$Q$1501="Collection 收款")*($R$2:$R$1501="Cheque 支票")*($V$2:$V$1501&lt;&gt;"")*($V$2:$V$1501&lt;=X353)*($S$2:$S$1501-'Opening Balance'!$B$15*($R$2:$R$1501="Cheque 支票")*($S$2:$S$1501-TRUNC($S$2:$S$1501))))-'Opening Balance'!$B$15*SUMPRODUCT(($Z$2:Z353="Online collection 网上收款")*($AA$2:AA353&lt;&gt;"")*($AC$2:AC353-TRUNC($AC$2:AC353))),2))</f>
        <v/>
      </c>
    </row>
    <row r="354">
      <c r="A354" s="5" t="n"/>
      <c r="B354" s="6" t="n"/>
      <c r="C354" s="6" t="n"/>
      <c r="D354" s="6" t="n"/>
      <c r="E354" s="7">
        <f>IF(A354="","",SUMPRODUCT(('Daily Sale entry '!$O$2:$O$1501=A354)*('Daily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4" s="6" t="n"/>
      <c r="G354" s="6" t="n"/>
      <c r="H354" s="6" t="n"/>
      <c r="I354" s="8" t="n"/>
      <c r="J354" s="6" t="n"/>
      <c r="K354" s="6" t="n"/>
      <c r="L354" s="6" t="n"/>
      <c r="M354" s="6" t="n"/>
      <c r="O354" s="5" t="n"/>
      <c r="S354" s="6" t="n"/>
      <c r="V354" s="5" t="n"/>
      <c r="X354" s="5" t="n"/>
      <c r="AC354" s="6" t="n"/>
      <c r="AD354" s="6" t="n"/>
      <c r="AE354" s="7">
        <f>IF(X354="","",ROUND('Opening Balance'!$B$4+SUM($AC$2:AC354)-SUM($AD$2:AD354)+SUMPRODUCT(($Q$2:$Q$1501="Collection 收款")*($R$2:$R$1501="Cheque 支票")*($V$2:$V$1501&lt;&gt;"")*($V$2:$V$1501&lt;=X354)*($S$2:$S$1501-'Opening Balance'!$B$15*($R$2:$R$1501="Cheque 支票")*($S$2:$S$1501-TRUNC($S$2:$S$1501))))-'Opening Balance'!$B$15*SUMPRODUCT(($Z$2:Z354="Online collection 网上收款")*($AA$2:AA354&lt;&gt;"")*($AC$2:AC354-TRUNC($AC$2:AC354))),2))</f>
        <v/>
      </c>
    </row>
    <row r="355">
      <c r="A355" s="5" t="n"/>
      <c r="B355" s="6" t="n"/>
      <c r="C355" s="6" t="n"/>
      <c r="D355" s="6" t="n"/>
      <c r="E355" s="7">
        <f>IF(A355="","",SUMPRODUCT(('Daily Sale entry '!$O$2:$O$1501=A355)*('Daily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5" s="6" t="n"/>
      <c r="G355" s="6" t="n"/>
      <c r="H355" s="6" t="n"/>
      <c r="I355" s="8" t="n"/>
      <c r="J355" s="6" t="n"/>
      <c r="K355" s="6" t="n"/>
      <c r="L355" s="6" t="n"/>
      <c r="M355" s="6" t="n"/>
      <c r="O355" s="5" t="n"/>
      <c r="S355" s="6" t="n"/>
      <c r="V355" s="5" t="n"/>
      <c r="X355" s="5" t="n"/>
      <c r="AC355" s="6" t="n"/>
      <c r="AD355" s="6" t="n"/>
      <c r="AE355" s="7">
        <f>IF(X355="","",ROUND('Opening Balance'!$B$4+SUM($AC$2:AC355)-SUM($AD$2:AD355)+SUMPRODUCT(($Q$2:$Q$1501="Collection 收款")*($R$2:$R$1501="Cheque 支票")*($V$2:$V$1501&lt;&gt;"")*($V$2:$V$1501&lt;=X355)*($S$2:$S$1501-'Opening Balance'!$B$15*($R$2:$R$1501="Cheque 支票")*($S$2:$S$1501-TRUNC($S$2:$S$1501))))-'Opening Balance'!$B$15*SUMPRODUCT(($Z$2:Z355="Online collection 网上收款")*($AA$2:AA355&lt;&gt;"")*($AC$2:AC355-TRUNC($AC$2:AC355))),2))</f>
        <v/>
      </c>
    </row>
    <row r="356">
      <c r="A356" s="5" t="n"/>
      <c r="B356" s="6" t="n"/>
      <c r="C356" s="6" t="n"/>
      <c r="D356" s="6" t="n"/>
      <c r="E356" s="7">
        <f>IF(A356="","",SUMPRODUCT(('Daily Sale entry '!$O$2:$O$1501=A356)*('Daily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6" s="6" t="n"/>
      <c r="G356" s="6" t="n"/>
      <c r="H356" s="6" t="n"/>
      <c r="I356" s="8" t="n"/>
      <c r="J356" s="6" t="n"/>
      <c r="K356" s="6" t="n"/>
      <c r="L356" s="6" t="n"/>
      <c r="M356" s="6" t="n"/>
      <c r="O356" s="5" t="n"/>
      <c r="S356" s="6" t="n"/>
      <c r="V356" s="5" t="n"/>
      <c r="X356" s="5" t="n"/>
      <c r="AC356" s="6" t="n"/>
      <c r="AD356" s="6" t="n"/>
      <c r="AE356" s="7">
        <f>IF(X356="","",ROUND('Opening Balance'!$B$4+SUM($AC$2:AC356)-SUM($AD$2:AD356)+SUMPRODUCT(($Q$2:$Q$1501="Collection 收款")*($R$2:$R$1501="Cheque 支票")*($V$2:$V$1501&lt;&gt;"")*($V$2:$V$1501&lt;=X356)*($S$2:$S$1501-'Opening Balance'!$B$15*($R$2:$R$1501="Cheque 支票")*($S$2:$S$1501-TRUNC($S$2:$S$1501))))-'Opening Balance'!$B$15*SUMPRODUCT(($Z$2:Z356="Online collection 网上收款")*($AA$2:AA356&lt;&gt;"")*($AC$2:AC356-TRUNC($AC$2:AC356))),2))</f>
        <v/>
      </c>
    </row>
    <row r="357">
      <c r="A357" s="5" t="n"/>
      <c r="B357" s="6" t="n"/>
      <c r="C357" s="6" t="n"/>
      <c r="D357" s="6" t="n"/>
      <c r="E357" s="7">
        <f>IF(A357="","",SUMPRODUCT(('Daily Sale entry '!$O$2:$O$1501=A357)*('Daily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7" s="6" t="n"/>
      <c r="G357" s="6" t="n"/>
      <c r="H357" s="6" t="n"/>
      <c r="I357" s="8" t="n"/>
      <c r="J357" s="6" t="n"/>
      <c r="K357" s="6" t="n"/>
      <c r="L357" s="6" t="n"/>
      <c r="M357" s="6" t="n"/>
      <c r="O357" s="5" t="n"/>
      <c r="S357" s="6" t="n"/>
      <c r="V357" s="5" t="n"/>
      <c r="X357" s="5" t="n"/>
      <c r="AC357" s="6" t="n"/>
      <c r="AD357" s="6" t="n"/>
      <c r="AE357" s="7">
        <f>IF(X357="","",ROUND('Opening Balance'!$B$4+SUM($AC$2:AC357)-SUM($AD$2:AD357)+SUMPRODUCT(($Q$2:$Q$1501="Collection 收款")*($R$2:$R$1501="Cheque 支票")*($V$2:$V$1501&lt;&gt;"")*($V$2:$V$1501&lt;=X357)*($S$2:$S$1501-'Opening Balance'!$B$15*($R$2:$R$1501="Cheque 支票")*($S$2:$S$1501-TRUNC($S$2:$S$1501))))-'Opening Balance'!$B$15*SUMPRODUCT(($Z$2:Z357="Online collection 网上收款")*($AA$2:AA357&lt;&gt;"")*($AC$2:AC357-TRUNC($AC$2:AC357))),2))</f>
        <v/>
      </c>
    </row>
    <row r="358">
      <c r="A358" s="5" t="n"/>
      <c r="B358" s="6" t="n"/>
      <c r="C358" s="6" t="n"/>
      <c r="D358" s="6" t="n"/>
      <c r="E358" s="7">
        <f>IF(A358="","",SUMPRODUCT(('Daily Sale entry '!$O$2:$O$1501=A358)*('Daily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8" s="6" t="n"/>
      <c r="G358" s="6" t="n"/>
      <c r="H358" s="6" t="n"/>
      <c r="I358" s="8" t="n"/>
      <c r="J358" s="6" t="n"/>
      <c r="K358" s="6" t="n"/>
      <c r="L358" s="6" t="n"/>
      <c r="M358" s="6" t="n"/>
      <c r="O358" s="5" t="n"/>
      <c r="S358" s="6" t="n"/>
      <c r="V358" s="5" t="n"/>
      <c r="X358" s="5" t="n"/>
      <c r="AC358" s="6" t="n"/>
      <c r="AD358" s="6" t="n"/>
      <c r="AE358" s="7">
        <f>IF(X358="","",ROUND('Opening Balance'!$B$4+SUM($AC$2:AC358)-SUM($AD$2:AD358)+SUMPRODUCT(($Q$2:$Q$1501="Collection 收款")*($R$2:$R$1501="Cheque 支票")*($V$2:$V$1501&lt;&gt;"")*($V$2:$V$1501&lt;=X358)*($S$2:$S$1501-'Opening Balance'!$B$15*($R$2:$R$1501="Cheque 支票")*($S$2:$S$1501-TRUNC($S$2:$S$1501))))-'Opening Balance'!$B$15*SUMPRODUCT(($Z$2:Z358="Online collection 网上收款")*($AA$2:AA358&lt;&gt;"")*($AC$2:AC358-TRUNC($AC$2:AC358))),2))</f>
        <v/>
      </c>
    </row>
    <row r="359">
      <c r="A359" s="5" t="n"/>
      <c r="B359" s="6" t="n"/>
      <c r="C359" s="6" t="n"/>
      <c r="D359" s="6" t="n"/>
      <c r="E359" s="7">
        <f>IF(A359="","",SUMPRODUCT(('Daily Sale entry '!$O$2:$O$1501=A359)*('Daily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59" s="6" t="n"/>
      <c r="G359" s="6" t="n"/>
      <c r="H359" s="6" t="n"/>
      <c r="I359" s="8" t="n"/>
      <c r="J359" s="6" t="n"/>
      <c r="K359" s="6" t="n"/>
      <c r="L359" s="6" t="n"/>
      <c r="M359" s="6" t="n"/>
      <c r="O359" s="5" t="n"/>
      <c r="S359" s="6" t="n"/>
      <c r="V359" s="5" t="n"/>
      <c r="X359" s="5" t="n"/>
      <c r="AC359" s="6" t="n"/>
      <c r="AD359" s="6" t="n"/>
      <c r="AE359" s="7">
        <f>IF(X359="","",ROUND('Opening Balance'!$B$4+SUM($AC$2:AC359)-SUM($AD$2:AD359)+SUMPRODUCT(($Q$2:$Q$1501="Collection 收款")*($R$2:$R$1501="Cheque 支票")*($V$2:$V$1501&lt;&gt;"")*($V$2:$V$1501&lt;=X359)*($S$2:$S$1501-'Opening Balance'!$B$15*($R$2:$R$1501="Cheque 支票")*($S$2:$S$1501-TRUNC($S$2:$S$1501))))-'Opening Balance'!$B$15*SUMPRODUCT(($Z$2:Z359="Online collection 网上收款")*($AA$2:AA359&lt;&gt;"")*($AC$2:AC359-TRUNC($AC$2:AC359))),2))</f>
        <v/>
      </c>
    </row>
    <row r="360">
      <c r="A360" s="5" t="n"/>
      <c r="B360" s="6" t="n"/>
      <c r="C360" s="6" t="n"/>
      <c r="D360" s="6" t="n"/>
      <c r="E360" s="7">
        <f>IF(A360="","",SUMPRODUCT(('Daily Sale entry '!$O$2:$O$1501=A360)*('Daily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0" s="6" t="n"/>
      <c r="G360" s="6" t="n"/>
      <c r="H360" s="6" t="n"/>
      <c r="I360" s="8" t="n"/>
      <c r="J360" s="6" t="n"/>
      <c r="K360" s="6" t="n"/>
      <c r="L360" s="6" t="n"/>
      <c r="M360" s="6" t="n"/>
      <c r="O360" s="5" t="n"/>
      <c r="S360" s="6" t="n"/>
      <c r="V360" s="5" t="n"/>
      <c r="X360" s="5" t="n"/>
      <c r="AC360" s="6" t="n"/>
      <c r="AD360" s="6" t="n"/>
      <c r="AE360" s="7">
        <f>IF(X360="","",ROUND('Opening Balance'!$B$4+SUM($AC$2:AC360)-SUM($AD$2:AD360)+SUMPRODUCT(($Q$2:$Q$1501="Collection 收款")*($R$2:$R$1501="Cheque 支票")*($V$2:$V$1501&lt;&gt;"")*($V$2:$V$1501&lt;=X360)*($S$2:$S$1501-'Opening Balance'!$B$15*($R$2:$R$1501="Cheque 支票")*($S$2:$S$1501-TRUNC($S$2:$S$1501))))-'Opening Balance'!$B$15*SUMPRODUCT(($Z$2:Z360="Online collection 网上收款")*($AA$2:AA360&lt;&gt;"")*($AC$2:AC360-TRUNC($AC$2:AC360))),2))</f>
        <v/>
      </c>
    </row>
    <row r="361">
      <c r="A361" s="5" t="n"/>
      <c r="B361" s="6" t="n"/>
      <c r="C361" s="6" t="n"/>
      <c r="D361" s="6" t="n"/>
      <c r="E361" s="7">
        <f>IF(A361="","",SUMPRODUCT(('Daily Sale entry '!$O$2:$O$1501=A361)*('Daily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1" s="6" t="n"/>
      <c r="G361" s="6" t="n"/>
      <c r="H361" s="6" t="n"/>
      <c r="I361" s="8" t="n"/>
      <c r="J361" s="6" t="n"/>
      <c r="K361" s="6" t="n"/>
      <c r="L361" s="6" t="n"/>
      <c r="M361" s="6" t="n"/>
      <c r="O361" s="5" t="n"/>
      <c r="S361" s="6" t="n"/>
      <c r="V361" s="5" t="n"/>
      <c r="X361" s="5" t="n"/>
      <c r="AC361" s="6" t="n"/>
      <c r="AD361" s="6" t="n"/>
      <c r="AE361" s="7">
        <f>IF(X361="","",ROUND('Opening Balance'!$B$4+SUM($AC$2:AC361)-SUM($AD$2:AD361)+SUMPRODUCT(($Q$2:$Q$1501="Collection 收款")*($R$2:$R$1501="Cheque 支票")*($V$2:$V$1501&lt;&gt;"")*($V$2:$V$1501&lt;=X361)*($S$2:$S$1501-'Opening Balance'!$B$15*($R$2:$R$1501="Cheque 支票")*($S$2:$S$1501-TRUNC($S$2:$S$1501))))-'Opening Balance'!$B$15*SUMPRODUCT(($Z$2:Z361="Online collection 网上收款")*($AA$2:AA361&lt;&gt;"")*($AC$2:AC361-TRUNC($AC$2:AC361))),2))</f>
        <v/>
      </c>
    </row>
    <row r="362">
      <c r="A362" s="5" t="n"/>
      <c r="B362" s="6" t="n"/>
      <c r="C362" s="6" t="n"/>
      <c r="D362" s="6" t="n"/>
      <c r="E362" s="7">
        <f>IF(A362="","",SUMPRODUCT(('Daily Sale entry '!$O$2:$O$1501=A362)*('Daily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2" s="6" t="n"/>
      <c r="G362" s="6" t="n"/>
      <c r="H362" s="6" t="n"/>
      <c r="I362" s="8" t="n"/>
      <c r="J362" s="6" t="n"/>
      <c r="K362" s="6" t="n"/>
      <c r="L362" s="6" t="n"/>
      <c r="M362" s="6" t="n"/>
      <c r="O362" s="5" t="n"/>
      <c r="S362" s="6" t="n"/>
      <c r="V362" s="5" t="n"/>
      <c r="X362" s="5" t="n"/>
      <c r="AC362" s="6" t="n"/>
      <c r="AD362" s="6" t="n"/>
      <c r="AE362" s="7">
        <f>IF(X362="","",ROUND('Opening Balance'!$B$4+SUM($AC$2:AC362)-SUM($AD$2:AD362)+SUMPRODUCT(($Q$2:$Q$1501="Collection 收款")*($R$2:$R$1501="Cheque 支票")*($V$2:$V$1501&lt;&gt;"")*($V$2:$V$1501&lt;=X362)*($S$2:$S$1501-'Opening Balance'!$B$15*($R$2:$R$1501="Cheque 支票")*($S$2:$S$1501-TRUNC($S$2:$S$1501))))-'Opening Balance'!$B$15*SUMPRODUCT(($Z$2:Z362="Online collection 网上收款")*($AA$2:AA362&lt;&gt;"")*($AC$2:AC362-TRUNC($AC$2:AC362))),2))</f>
        <v/>
      </c>
    </row>
    <row r="363">
      <c r="A363" s="5" t="n"/>
      <c r="B363" s="6" t="n"/>
      <c r="C363" s="6" t="n"/>
      <c r="D363" s="6" t="n"/>
      <c r="E363" s="7">
        <f>IF(A363="","",SUMPRODUCT(('Daily Sale entry '!$O$2:$O$1501=A363)*('Daily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3" s="6" t="n"/>
      <c r="G363" s="6" t="n"/>
      <c r="H363" s="6" t="n"/>
      <c r="I363" s="8" t="n"/>
      <c r="J363" s="6" t="n"/>
      <c r="K363" s="6" t="n"/>
      <c r="L363" s="6" t="n"/>
      <c r="M363" s="6" t="n"/>
      <c r="O363" s="5" t="n"/>
      <c r="S363" s="6" t="n"/>
      <c r="V363" s="5" t="n"/>
      <c r="X363" s="5" t="n"/>
      <c r="AC363" s="6" t="n"/>
      <c r="AD363" s="6" t="n"/>
      <c r="AE363" s="7">
        <f>IF(X363="","",ROUND('Opening Balance'!$B$4+SUM($AC$2:AC363)-SUM($AD$2:AD363)+SUMPRODUCT(($Q$2:$Q$1501="Collection 收款")*($R$2:$R$1501="Cheque 支票")*($V$2:$V$1501&lt;&gt;"")*($V$2:$V$1501&lt;=X363)*($S$2:$S$1501-'Opening Balance'!$B$15*($R$2:$R$1501="Cheque 支票")*($S$2:$S$1501-TRUNC($S$2:$S$1501))))-'Opening Balance'!$B$15*SUMPRODUCT(($Z$2:Z363="Online collection 网上收款")*($AA$2:AA363&lt;&gt;"")*($AC$2:AC363-TRUNC($AC$2:AC363))),2))</f>
        <v/>
      </c>
    </row>
    <row r="364">
      <c r="A364" s="5" t="n"/>
      <c r="B364" s="6" t="n"/>
      <c r="C364" s="6" t="n"/>
      <c r="D364" s="6" t="n"/>
      <c r="E364" s="7">
        <f>IF(A364="","",SUMPRODUCT(('Daily Sale entry '!$O$2:$O$1501=A364)*('Daily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4" s="6" t="n"/>
      <c r="G364" s="6" t="n"/>
      <c r="H364" s="6" t="n"/>
      <c r="I364" s="8" t="n"/>
      <c r="J364" s="6" t="n"/>
      <c r="K364" s="6" t="n"/>
      <c r="L364" s="6" t="n"/>
      <c r="M364" s="6" t="n"/>
      <c r="O364" s="5" t="n"/>
      <c r="S364" s="6" t="n"/>
      <c r="V364" s="5" t="n"/>
      <c r="X364" s="5" t="n"/>
      <c r="AC364" s="6" t="n"/>
      <c r="AD364" s="6" t="n"/>
      <c r="AE364" s="7">
        <f>IF(X364="","",ROUND('Opening Balance'!$B$4+SUM($AC$2:AC364)-SUM($AD$2:AD364)+SUMPRODUCT(($Q$2:$Q$1501="Collection 收款")*($R$2:$R$1501="Cheque 支票")*($V$2:$V$1501&lt;&gt;"")*($V$2:$V$1501&lt;=X364)*($S$2:$S$1501-'Opening Balance'!$B$15*($R$2:$R$1501="Cheque 支票")*($S$2:$S$1501-TRUNC($S$2:$S$1501))))-'Opening Balance'!$B$15*SUMPRODUCT(($Z$2:Z364="Online collection 网上收款")*($AA$2:AA364&lt;&gt;"")*($AC$2:AC364-TRUNC($AC$2:AC364))),2))</f>
        <v/>
      </c>
    </row>
    <row r="365">
      <c r="A365" s="5" t="n"/>
      <c r="B365" s="6" t="n"/>
      <c r="C365" s="6" t="n"/>
      <c r="D365" s="6" t="n"/>
      <c r="E365" s="7">
        <f>IF(A365="","",SUMPRODUCT(('Daily Sale entry '!$O$2:$O$1501=A365)*('Daily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5" s="6" t="n"/>
      <c r="G365" s="6" t="n"/>
      <c r="H365" s="6" t="n"/>
      <c r="I365" s="8" t="n"/>
      <c r="J365" s="6" t="n"/>
      <c r="K365" s="6" t="n"/>
      <c r="L365" s="6" t="n"/>
      <c r="M365" s="6" t="n"/>
      <c r="O365" s="5" t="n"/>
      <c r="S365" s="6" t="n"/>
      <c r="V365" s="5" t="n"/>
      <c r="X365" s="5" t="n"/>
      <c r="AC365" s="6" t="n"/>
      <c r="AD365" s="6" t="n"/>
      <c r="AE365" s="7">
        <f>IF(X365="","",ROUND('Opening Balance'!$B$4+SUM($AC$2:AC365)-SUM($AD$2:AD365)+SUMPRODUCT(($Q$2:$Q$1501="Collection 收款")*($R$2:$R$1501="Cheque 支票")*($V$2:$V$1501&lt;&gt;"")*($V$2:$V$1501&lt;=X365)*($S$2:$S$1501-'Opening Balance'!$B$15*($R$2:$R$1501="Cheque 支票")*($S$2:$S$1501-TRUNC($S$2:$S$1501))))-'Opening Balance'!$B$15*SUMPRODUCT(($Z$2:Z365="Online collection 网上收款")*($AA$2:AA365&lt;&gt;"")*($AC$2:AC365-TRUNC($AC$2:AC365))),2))</f>
        <v/>
      </c>
    </row>
    <row r="366">
      <c r="A366" s="5" t="n"/>
      <c r="B366" s="6" t="n"/>
      <c r="C366" s="6" t="n"/>
      <c r="D366" s="6" t="n"/>
      <c r="E366" s="7">
        <f>IF(A366="","",SUMPRODUCT(('Daily Sale entry '!$O$2:$O$1501=A366)*('Daily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6" s="6" t="n"/>
      <c r="G366" s="6" t="n"/>
      <c r="H366" s="6" t="n"/>
      <c r="I366" s="8" t="n"/>
      <c r="J366" s="6" t="n"/>
      <c r="K366" s="6" t="n"/>
      <c r="L366" s="6" t="n"/>
      <c r="M366" s="6" t="n"/>
      <c r="O366" s="5" t="n"/>
      <c r="S366" s="6" t="n"/>
      <c r="V366" s="5" t="n"/>
      <c r="X366" s="5" t="n"/>
      <c r="AC366" s="6" t="n"/>
      <c r="AD366" s="6" t="n"/>
      <c r="AE366" s="7">
        <f>IF(X366="","",ROUND('Opening Balance'!$B$4+SUM($AC$2:AC366)-SUM($AD$2:AD366)+SUMPRODUCT(($Q$2:$Q$1501="Collection 收款")*($R$2:$R$1501="Cheque 支票")*($V$2:$V$1501&lt;&gt;"")*($V$2:$V$1501&lt;=X366)*($S$2:$S$1501-'Opening Balance'!$B$15*($R$2:$R$1501="Cheque 支票")*($S$2:$S$1501-TRUNC($S$2:$S$1501))))-'Opening Balance'!$B$15*SUMPRODUCT(($Z$2:Z366="Online collection 网上收款")*($AA$2:AA366&lt;&gt;"")*($AC$2:AC366-TRUNC($AC$2:AC366))),2))</f>
        <v/>
      </c>
    </row>
    <row r="367">
      <c r="A367" s="5" t="n"/>
      <c r="B367" s="6" t="n"/>
      <c r="C367" s="6" t="n"/>
      <c r="D367" s="6" t="n"/>
      <c r="E367" s="7">
        <f>IF(A367="","",SUMPRODUCT(('Daily Sale entry '!$O$2:$O$1501=A367)*('Daily Sale entry '!$Q$2:$Q$1501="Collection 收款")*('Daily Sale entry '!$S$2:$S$1501-'Opening Balance'!$B$15*('Daily Sale entry '!$R$2:$R$1501="Cheque 支票")*('Daily Sale entry '!$S$2:$S$1501-TRUNC('Daily Sale entry '!$S$2:$S$1501)))))</f>
        <v/>
      </c>
      <c r="F367" s="6" t="n"/>
      <c r="G367" s="6" t="n"/>
      <c r="H367" s="6" t="n"/>
      <c r="I367" s="8" t="n"/>
      <c r="J367" s="6" t="n"/>
      <c r="K367" s="6" t="n"/>
      <c r="L367" s="6" t="n"/>
      <c r="M367" s="6" t="n"/>
      <c r="O367" s="5" t="n"/>
      <c r="S367" s="6" t="n"/>
      <c r="V367" s="5" t="n"/>
      <c r="X367" s="5" t="n"/>
      <c r="AC367" s="6" t="n"/>
      <c r="AD367" s="6" t="n"/>
      <c r="AE367" s="7">
        <f>IF(X367="","",ROUND('Opening Balance'!$B$4+SUM($AC$2:AC367)-SUM($AD$2:AD367)+SUMPRODUCT(($Q$2:$Q$1501="Collection 收款")*($R$2:$R$1501="Cheque 支票")*($V$2:$V$1501&lt;&gt;"")*($V$2:$V$1501&lt;=X367)*($S$2:$S$1501-'Opening Balance'!$B$15*($R$2:$R$1501="Cheque 支票")*($S$2:$S$1501-TRUNC($S$2:$S$1501))))-'Opening Balance'!$B$15*SUMPRODUCT(($Z$2:Z367="Online collection 网上收款")*($AA$2:AA367&lt;&gt;"")*($AC$2:AC367-TRUNC($AC$2:AC367))),2))</f>
        <v/>
      </c>
    </row>
    <row r="368">
      <c r="O368" s="5" t="n"/>
      <c r="S368" s="6" t="n"/>
      <c r="V368" s="5" t="n"/>
      <c r="X368" s="5" t="n"/>
      <c r="AC368" s="6" t="n"/>
      <c r="AD368" s="6" t="n"/>
      <c r="AE368" s="7">
        <f>IF(X368="","",ROUND('Opening Balance'!$B$4+SUM($AC$2:AC368)-SUM($AD$2:AD368)+SUMPRODUCT(($Q$2:$Q$1501="Collection 收款")*($R$2:$R$1501="Cheque 支票")*($V$2:$V$1501&lt;&gt;"")*($V$2:$V$1501&lt;=X368)*($S$2:$S$1501-'Opening Balance'!$B$15*($R$2:$R$1501="Cheque 支票")*($S$2:$S$1501-TRUNC($S$2:$S$1501))))-'Opening Balance'!$B$15*SUMPRODUCT(($Z$2:Z368="Online collection 网上收款")*($AA$2:AA368&lt;&gt;"")*($AC$2:AC368-TRUNC($AC$2:AC368))),2))</f>
        <v/>
      </c>
    </row>
    <row r="369">
      <c r="O369" s="5" t="n"/>
      <c r="S369" s="6" t="n"/>
      <c r="V369" s="5" t="n"/>
      <c r="X369" s="5" t="n"/>
      <c r="AC369" s="6" t="n"/>
      <c r="AD369" s="6" t="n"/>
      <c r="AE369" s="7">
        <f>IF(X369="","",ROUND('Opening Balance'!$B$4+SUM($AC$2:AC369)-SUM($AD$2:AD369)+SUMPRODUCT(($Q$2:$Q$1501="Collection 收款")*($R$2:$R$1501="Cheque 支票")*($V$2:$V$1501&lt;&gt;"")*($V$2:$V$1501&lt;=X369)*($S$2:$S$1501-'Opening Balance'!$B$15*($R$2:$R$1501="Cheque 支票")*($S$2:$S$1501-TRUNC($S$2:$S$1501))))-'Opening Balance'!$B$15*SUMPRODUCT(($Z$2:Z369="Online collection 网上收款")*($AA$2:AA369&lt;&gt;"")*($AC$2:AC369-TRUNC($AC$2:AC369))),2))</f>
        <v/>
      </c>
    </row>
    <row r="370">
      <c r="O370" s="5" t="n"/>
      <c r="S370" s="6" t="n"/>
      <c r="V370" s="5" t="n"/>
      <c r="X370" s="5" t="n"/>
      <c r="AC370" s="6" t="n"/>
      <c r="AD370" s="6" t="n"/>
      <c r="AE370" s="7">
        <f>IF(X370="","",ROUND('Opening Balance'!$B$4+SUM($AC$2:AC370)-SUM($AD$2:AD370)+SUMPRODUCT(($Q$2:$Q$1501="Collection 收款")*($R$2:$R$1501="Cheque 支票")*($V$2:$V$1501&lt;&gt;"")*($V$2:$V$1501&lt;=X370)*($S$2:$S$1501-'Opening Balance'!$B$15*($R$2:$R$1501="Cheque 支票")*($S$2:$S$1501-TRUNC($S$2:$S$1501))))-'Opening Balance'!$B$15*SUMPRODUCT(($Z$2:Z370="Online collection 网上收款")*($AA$2:AA370&lt;&gt;"")*($AC$2:AC370-TRUNC($AC$2:AC370))),2))</f>
        <v/>
      </c>
    </row>
    <row r="371">
      <c r="O371" s="5" t="n"/>
      <c r="S371" s="6" t="n"/>
      <c r="V371" s="5" t="n"/>
      <c r="X371" s="5" t="n"/>
      <c r="AC371" s="6" t="n"/>
      <c r="AD371" s="6" t="n"/>
      <c r="AE371" s="7">
        <f>IF(X371="","",ROUND('Opening Balance'!$B$4+SUM($AC$2:AC371)-SUM($AD$2:AD371)+SUMPRODUCT(($Q$2:$Q$1501="Collection 收款")*($R$2:$R$1501="Cheque 支票")*($V$2:$V$1501&lt;&gt;"")*($V$2:$V$1501&lt;=X371)*($S$2:$S$1501-'Opening Balance'!$B$15*($R$2:$R$1501="Cheque 支票")*($S$2:$S$1501-TRUNC($S$2:$S$1501))))-'Opening Balance'!$B$15*SUMPRODUCT(($Z$2:Z371="Online collection 网上收款")*($AA$2:AA371&lt;&gt;"")*($AC$2:AC371-TRUNC($AC$2:AC371))),2))</f>
        <v/>
      </c>
    </row>
    <row r="372">
      <c r="O372" s="5" t="n"/>
      <c r="S372" s="6" t="n"/>
      <c r="V372" s="5" t="n"/>
      <c r="X372" s="5" t="n"/>
      <c r="AC372" s="6" t="n"/>
      <c r="AD372" s="6" t="n"/>
      <c r="AE372" s="7">
        <f>IF(X372="","",ROUND('Opening Balance'!$B$4+SUM($AC$2:AC372)-SUM($AD$2:AD372)+SUMPRODUCT(($Q$2:$Q$1501="Collection 收款")*($R$2:$R$1501="Cheque 支票")*($V$2:$V$1501&lt;&gt;"")*($V$2:$V$1501&lt;=X372)*($S$2:$S$1501-'Opening Balance'!$B$15*($R$2:$R$1501="Cheque 支票")*($S$2:$S$1501-TRUNC($S$2:$S$1501))))-'Opening Balance'!$B$15*SUMPRODUCT(($Z$2:Z372="Online collection 网上收款")*($AA$2:AA372&lt;&gt;"")*($AC$2:AC372-TRUNC($AC$2:AC372))),2))</f>
        <v/>
      </c>
    </row>
    <row r="373">
      <c r="O373" s="5" t="n"/>
      <c r="S373" s="6" t="n"/>
      <c r="V373" s="5" t="n"/>
      <c r="X373" s="5" t="n"/>
      <c r="AC373" s="6" t="n"/>
      <c r="AD373" s="6" t="n"/>
      <c r="AE373" s="7">
        <f>IF(X373="","",ROUND('Opening Balance'!$B$4+SUM($AC$2:AC373)-SUM($AD$2:AD373)+SUMPRODUCT(($Q$2:$Q$1501="Collection 收款")*($R$2:$R$1501="Cheque 支票")*($V$2:$V$1501&lt;&gt;"")*($V$2:$V$1501&lt;=X373)*($S$2:$S$1501-'Opening Balance'!$B$15*($R$2:$R$1501="Cheque 支票")*($S$2:$S$1501-TRUNC($S$2:$S$1501))))-'Opening Balance'!$B$15*SUMPRODUCT(($Z$2:Z373="Online collection 网上收款")*($AA$2:AA373&lt;&gt;"")*($AC$2:AC373-TRUNC($AC$2:AC373))),2))</f>
        <v/>
      </c>
    </row>
    <row r="374">
      <c r="O374" s="5" t="n"/>
      <c r="S374" s="6" t="n"/>
      <c r="V374" s="5" t="n"/>
      <c r="X374" s="5" t="n"/>
      <c r="AC374" s="6" t="n"/>
      <c r="AD374" s="6" t="n"/>
      <c r="AE374" s="7">
        <f>IF(X374="","",ROUND('Opening Balance'!$B$4+SUM($AC$2:AC374)-SUM($AD$2:AD374)+SUMPRODUCT(($Q$2:$Q$1501="Collection 收款")*($R$2:$R$1501="Cheque 支票")*($V$2:$V$1501&lt;&gt;"")*($V$2:$V$1501&lt;=X374)*($S$2:$S$1501-'Opening Balance'!$B$15*($R$2:$R$1501="Cheque 支票")*($S$2:$S$1501-TRUNC($S$2:$S$1501))))-'Opening Balance'!$B$15*SUMPRODUCT(($Z$2:Z374="Online collection 网上收款")*($AA$2:AA374&lt;&gt;"")*($AC$2:AC374-TRUNC($AC$2:AC374))),2))</f>
        <v/>
      </c>
    </row>
    <row r="375">
      <c r="O375" s="5" t="n"/>
      <c r="S375" s="6" t="n"/>
      <c r="V375" s="5" t="n"/>
      <c r="X375" s="5" t="n"/>
      <c r="AC375" s="6" t="n"/>
      <c r="AD375" s="6" t="n"/>
      <c r="AE375" s="7">
        <f>IF(X375="","",ROUND('Opening Balance'!$B$4+SUM($AC$2:AC375)-SUM($AD$2:AD375)+SUMPRODUCT(($Q$2:$Q$1501="Collection 收款")*($R$2:$R$1501="Cheque 支票")*($V$2:$V$1501&lt;&gt;"")*($V$2:$V$1501&lt;=X375)*($S$2:$S$1501-'Opening Balance'!$B$15*($R$2:$R$1501="Cheque 支票")*($S$2:$S$1501-TRUNC($S$2:$S$1501))))-'Opening Balance'!$B$15*SUMPRODUCT(($Z$2:Z375="Online collection 网上收款")*($AA$2:AA375&lt;&gt;"")*($AC$2:AC375-TRUNC($AC$2:AC375))),2))</f>
        <v/>
      </c>
    </row>
    <row r="376">
      <c r="O376" s="5" t="n"/>
      <c r="S376" s="6" t="n"/>
      <c r="V376" s="5" t="n"/>
      <c r="X376" s="5" t="n"/>
      <c r="AC376" s="6" t="n"/>
      <c r="AD376" s="6" t="n"/>
      <c r="AE376" s="7">
        <f>IF(X376="","",ROUND('Opening Balance'!$B$4+SUM($AC$2:AC376)-SUM($AD$2:AD376)+SUMPRODUCT(($Q$2:$Q$1501="Collection 收款")*($R$2:$R$1501="Cheque 支票")*($V$2:$V$1501&lt;&gt;"")*($V$2:$V$1501&lt;=X376)*($S$2:$S$1501-'Opening Balance'!$B$15*($R$2:$R$1501="Cheque 支票")*($S$2:$S$1501-TRUNC($S$2:$S$1501))))-'Opening Balance'!$B$15*SUMPRODUCT(($Z$2:Z376="Online collection 网上收款")*($AA$2:AA376&lt;&gt;"")*($AC$2:AC376-TRUNC($AC$2:AC376))),2))</f>
        <v/>
      </c>
    </row>
    <row r="377">
      <c r="O377" s="5" t="n"/>
      <c r="S377" s="6" t="n"/>
      <c r="V377" s="5" t="n"/>
      <c r="X377" s="5" t="n"/>
      <c r="AC377" s="6" t="n"/>
      <c r="AD377" s="6" t="n"/>
      <c r="AE377" s="7">
        <f>IF(X377="","",ROUND('Opening Balance'!$B$4+SUM($AC$2:AC377)-SUM($AD$2:AD377)+SUMPRODUCT(($Q$2:$Q$1501="Collection 收款")*($R$2:$R$1501="Cheque 支票")*($V$2:$V$1501&lt;&gt;"")*($V$2:$V$1501&lt;=X377)*($S$2:$S$1501-'Opening Balance'!$B$15*($R$2:$R$1501="Cheque 支票")*($S$2:$S$1501-TRUNC($S$2:$S$1501))))-'Opening Balance'!$B$15*SUMPRODUCT(($Z$2:Z377="Online collection 网上收款")*($AA$2:AA377&lt;&gt;"")*($AC$2:AC377-TRUNC($AC$2:AC377))),2))</f>
        <v/>
      </c>
    </row>
    <row r="378">
      <c r="O378" s="5" t="n"/>
      <c r="S378" s="6" t="n"/>
      <c r="V378" s="5" t="n"/>
      <c r="X378" s="5" t="n"/>
      <c r="AC378" s="6" t="n"/>
      <c r="AD378" s="6" t="n"/>
      <c r="AE378" s="7">
        <f>IF(X378="","",ROUND('Opening Balance'!$B$4+SUM($AC$2:AC378)-SUM($AD$2:AD378)+SUMPRODUCT(($Q$2:$Q$1501="Collection 收款")*($R$2:$R$1501="Cheque 支票")*($V$2:$V$1501&lt;&gt;"")*($V$2:$V$1501&lt;=X378)*($S$2:$S$1501-'Opening Balance'!$B$15*($R$2:$R$1501="Cheque 支票")*($S$2:$S$1501-TRUNC($S$2:$S$1501))))-'Opening Balance'!$B$15*SUMPRODUCT(($Z$2:Z378="Online collection 网上收款")*($AA$2:AA378&lt;&gt;"")*($AC$2:AC378-TRUNC($AC$2:AC378))),2))</f>
        <v/>
      </c>
    </row>
    <row r="379">
      <c r="O379" s="5" t="n"/>
      <c r="S379" s="6" t="n"/>
      <c r="V379" s="5" t="n"/>
      <c r="X379" s="5" t="n"/>
      <c r="AC379" s="6" t="n"/>
      <c r="AD379" s="6" t="n"/>
      <c r="AE379" s="7">
        <f>IF(X379="","",ROUND('Opening Balance'!$B$4+SUM($AC$2:AC379)-SUM($AD$2:AD379)+SUMPRODUCT(($Q$2:$Q$1501="Collection 收款")*($R$2:$R$1501="Cheque 支票")*($V$2:$V$1501&lt;&gt;"")*($V$2:$V$1501&lt;=X379)*($S$2:$S$1501-'Opening Balance'!$B$15*($R$2:$R$1501="Cheque 支票")*($S$2:$S$1501-TRUNC($S$2:$S$1501))))-'Opening Balance'!$B$15*SUMPRODUCT(($Z$2:Z379="Online collection 网上收款")*($AA$2:AA379&lt;&gt;"")*($AC$2:AC379-TRUNC($AC$2:AC379))),2))</f>
        <v/>
      </c>
    </row>
    <row r="380">
      <c r="O380" s="5" t="n"/>
      <c r="S380" s="6" t="n"/>
      <c r="V380" s="5" t="n"/>
      <c r="X380" s="5" t="n"/>
      <c r="AC380" s="6" t="n"/>
      <c r="AD380" s="6" t="n"/>
      <c r="AE380" s="7">
        <f>IF(X380="","",ROUND('Opening Balance'!$B$4+SUM($AC$2:AC380)-SUM($AD$2:AD380)+SUMPRODUCT(($Q$2:$Q$1501="Collection 收款")*($R$2:$R$1501="Cheque 支票")*($V$2:$V$1501&lt;&gt;"")*($V$2:$V$1501&lt;=X380)*($S$2:$S$1501-'Opening Balance'!$B$15*($R$2:$R$1501="Cheque 支票")*($S$2:$S$1501-TRUNC($S$2:$S$1501))))-'Opening Balance'!$B$15*SUMPRODUCT(($Z$2:Z380="Online collection 网上收款")*($AA$2:AA380&lt;&gt;"")*($AC$2:AC380-TRUNC($AC$2:AC380))),2))</f>
        <v/>
      </c>
    </row>
    <row r="381">
      <c r="O381" s="5" t="n"/>
      <c r="S381" s="6" t="n"/>
      <c r="V381" s="5" t="n"/>
      <c r="X381" s="5" t="n"/>
      <c r="AC381" s="6" t="n"/>
      <c r="AD381" s="6" t="n"/>
      <c r="AE381" s="7">
        <f>IF(X381="","",ROUND('Opening Balance'!$B$4+SUM($AC$2:AC381)-SUM($AD$2:AD381)+SUMPRODUCT(($Q$2:$Q$1501="Collection 收款")*($R$2:$R$1501="Cheque 支票")*($V$2:$V$1501&lt;&gt;"")*($V$2:$V$1501&lt;=X381)*($S$2:$S$1501-'Opening Balance'!$B$15*($R$2:$R$1501="Cheque 支票")*($S$2:$S$1501-TRUNC($S$2:$S$1501))))-'Opening Balance'!$B$15*SUMPRODUCT(($Z$2:Z381="Online collection 网上收款")*($AA$2:AA381&lt;&gt;"")*($AC$2:AC381-TRUNC($AC$2:AC381))),2))</f>
        <v/>
      </c>
    </row>
    <row r="382">
      <c r="O382" s="5" t="n"/>
      <c r="S382" s="6" t="n"/>
      <c r="V382" s="5" t="n"/>
      <c r="X382" s="5" t="n"/>
      <c r="AC382" s="6" t="n"/>
      <c r="AD382" s="6" t="n"/>
      <c r="AE382" s="7">
        <f>IF(X382="","",ROUND('Opening Balance'!$B$4+SUM($AC$2:AC382)-SUM($AD$2:AD382)+SUMPRODUCT(($Q$2:$Q$1501="Collection 收款")*($R$2:$R$1501="Cheque 支票")*($V$2:$V$1501&lt;&gt;"")*($V$2:$V$1501&lt;=X382)*($S$2:$S$1501-'Opening Balance'!$B$15*($R$2:$R$1501="Cheque 支票")*($S$2:$S$1501-TRUNC($S$2:$S$1501))))-'Opening Balance'!$B$15*SUMPRODUCT(($Z$2:Z382="Online collection 网上收款")*($AA$2:AA382&lt;&gt;"")*($AC$2:AC382-TRUNC($AC$2:AC382))),2))</f>
        <v/>
      </c>
    </row>
    <row r="383">
      <c r="O383" s="5" t="n"/>
      <c r="S383" s="6" t="n"/>
      <c r="V383" s="5" t="n"/>
      <c r="X383" s="5" t="n"/>
      <c r="AC383" s="6" t="n"/>
      <c r="AD383" s="6" t="n"/>
      <c r="AE383" s="7">
        <f>IF(X383="","",ROUND('Opening Balance'!$B$4+SUM($AC$2:AC383)-SUM($AD$2:AD383)+SUMPRODUCT(($Q$2:$Q$1501="Collection 收款")*($R$2:$R$1501="Cheque 支票")*($V$2:$V$1501&lt;&gt;"")*($V$2:$V$1501&lt;=X383)*($S$2:$S$1501-'Opening Balance'!$B$15*($R$2:$R$1501="Cheque 支票")*($S$2:$S$1501-TRUNC($S$2:$S$1501))))-'Opening Balance'!$B$15*SUMPRODUCT(($Z$2:Z383="Online collection 网上收款")*($AA$2:AA383&lt;&gt;"")*($AC$2:AC383-TRUNC($AC$2:AC383))),2))</f>
        <v/>
      </c>
    </row>
    <row r="384">
      <c r="O384" s="5" t="n"/>
      <c r="S384" s="6" t="n"/>
      <c r="V384" s="5" t="n"/>
      <c r="X384" s="5" t="n"/>
      <c r="AC384" s="6" t="n"/>
      <c r="AD384" s="6" t="n"/>
      <c r="AE384" s="7">
        <f>IF(X384="","",ROUND('Opening Balance'!$B$4+SUM($AC$2:AC384)-SUM($AD$2:AD384)+SUMPRODUCT(($Q$2:$Q$1501="Collection 收款")*($R$2:$R$1501="Cheque 支票")*($V$2:$V$1501&lt;&gt;"")*($V$2:$V$1501&lt;=X384)*($S$2:$S$1501-'Opening Balance'!$B$15*($R$2:$R$1501="Cheque 支票")*($S$2:$S$1501-TRUNC($S$2:$S$1501))))-'Opening Balance'!$B$15*SUMPRODUCT(($Z$2:Z384="Online collection 网上收款")*($AA$2:AA384&lt;&gt;"")*($AC$2:AC384-TRUNC($AC$2:AC384))),2))</f>
        <v/>
      </c>
    </row>
    <row r="385">
      <c r="O385" s="5" t="n"/>
      <c r="S385" s="6" t="n"/>
      <c r="V385" s="5" t="n"/>
      <c r="X385" s="5" t="n"/>
      <c r="AC385" s="6" t="n"/>
      <c r="AD385" s="6" t="n"/>
      <c r="AE385" s="7">
        <f>IF(X385="","",ROUND('Opening Balance'!$B$4+SUM($AC$2:AC385)-SUM($AD$2:AD385)+SUMPRODUCT(($Q$2:$Q$1501="Collection 收款")*($R$2:$R$1501="Cheque 支票")*($V$2:$V$1501&lt;&gt;"")*($V$2:$V$1501&lt;=X385)*($S$2:$S$1501-'Opening Balance'!$B$15*($R$2:$R$1501="Cheque 支票")*($S$2:$S$1501-TRUNC($S$2:$S$1501))))-'Opening Balance'!$B$15*SUMPRODUCT(($Z$2:Z385="Online collection 网上收款")*($AA$2:AA385&lt;&gt;"")*($AC$2:AC385-TRUNC($AC$2:AC385))),2))</f>
        <v/>
      </c>
    </row>
    <row r="386">
      <c r="O386" s="5" t="n"/>
      <c r="S386" s="6" t="n"/>
      <c r="V386" s="5" t="n"/>
      <c r="X386" s="5" t="n"/>
      <c r="AC386" s="6" t="n"/>
      <c r="AD386" s="6" t="n"/>
      <c r="AE386" s="7">
        <f>IF(X386="","",ROUND('Opening Balance'!$B$4+SUM($AC$2:AC386)-SUM($AD$2:AD386)+SUMPRODUCT(($Q$2:$Q$1501="Collection 收款")*($R$2:$R$1501="Cheque 支票")*($V$2:$V$1501&lt;&gt;"")*($V$2:$V$1501&lt;=X386)*($S$2:$S$1501-'Opening Balance'!$B$15*($R$2:$R$1501="Cheque 支票")*($S$2:$S$1501-TRUNC($S$2:$S$1501))))-'Opening Balance'!$B$15*SUMPRODUCT(($Z$2:Z386="Online collection 网上收款")*($AA$2:AA386&lt;&gt;"")*($AC$2:AC386-TRUNC($AC$2:AC386))),2))</f>
        <v/>
      </c>
    </row>
    <row r="387">
      <c r="O387" s="5" t="n"/>
      <c r="S387" s="6" t="n"/>
      <c r="V387" s="5" t="n"/>
      <c r="X387" s="5" t="n"/>
      <c r="AC387" s="6" t="n"/>
      <c r="AD387" s="6" t="n"/>
      <c r="AE387" s="7">
        <f>IF(X387="","",ROUND('Opening Balance'!$B$4+SUM($AC$2:AC387)-SUM($AD$2:AD387)+SUMPRODUCT(($Q$2:$Q$1501="Collection 收款")*($R$2:$R$1501="Cheque 支票")*($V$2:$V$1501&lt;&gt;"")*($V$2:$V$1501&lt;=X387)*($S$2:$S$1501-'Opening Balance'!$B$15*($R$2:$R$1501="Cheque 支票")*($S$2:$S$1501-TRUNC($S$2:$S$1501))))-'Opening Balance'!$B$15*SUMPRODUCT(($Z$2:Z387="Online collection 网上收款")*($AA$2:AA387&lt;&gt;"")*($AC$2:AC387-TRUNC($AC$2:AC387))),2))</f>
        <v/>
      </c>
    </row>
    <row r="388">
      <c r="O388" s="5" t="n"/>
      <c r="S388" s="6" t="n"/>
      <c r="V388" s="5" t="n"/>
      <c r="X388" s="5" t="n"/>
      <c r="AC388" s="6" t="n"/>
      <c r="AD388" s="6" t="n"/>
      <c r="AE388" s="7">
        <f>IF(X388="","",ROUND('Opening Balance'!$B$4+SUM($AC$2:AC388)-SUM($AD$2:AD388)+SUMPRODUCT(($Q$2:$Q$1501="Collection 收款")*($R$2:$R$1501="Cheque 支票")*($V$2:$V$1501&lt;&gt;"")*($V$2:$V$1501&lt;=X388)*($S$2:$S$1501-'Opening Balance'!$B$15*($R$2:$R$1501="Cheque 支票")*($S$2:$S$1501-TRUNC($S$2:$S$1501))))-'Opening Balance'!$B$15*SUMPRODUCT(($Z$2:Z388="Online collection 网上收款")*($AA$2:AA388&lt;&gt;"")*($AC$2:AC388-TRUNC($AC$2:AC388))),2))</f>
        <v/>
      </c>
    </row>
    <row r="389">
      <c r="O389" s="5" t="n"/>
      <c r="S389" s="6" t="n"/>
      <c r="V389" s="5" t="n"/>
      <c r="X389" s="5" t="n"/>
      <c r="AC389" s="6" t="n"/>
      <c r="AD389" s="6" t="n"/>
      <c r="AE389" s="7">
        <f>IF(X389="","",ROUND('Opening Balance'!$B$4+SUM($AC$2:AC389)-SUM($AD$2:AD389)+SUMPRODUCT(($Q$2:$Q$1501="Collection 收款")*($R$2:$R$1501="Cheque 支票")*($V$2:$V$1501&lt;&gt;"")*($V$2:$V$1501&lt;=X389)*($S$2:$S$1501-'Opening Balance'!$B$15*($R$2:$R$1501="Cheque 支票")*($S$2:$S$1501-TRUNC($S$2:$S$1501))))-'Opening Balance'!$B$15*SUMPRODUCT(($Z$2:Z389="Online collection 网上收款")*($AA$2:AA389&lt;&gt;"")*($AC$2:AC389-TRUNC($AC$2:AC389))),2))</f>
        <v/>
      </c>
    </row>
    <row r="390">
      <c r="O390" s="5" t="n"/>
      <c r="S390" s="6" t="n"/>
      <c r="V390" s="5" t="n"/>
      <c r="X390" s="5" t="n"/>
      <c r="AC390" s="6" t="n"/>
      <c r="AD390" s="6" t="n"/>
      <c r="AE390" s="7">
        <f>IF(X390="","",ROUND('Opening Balance'!$B$4+SUM($AC$2:AC390)-SUM($AD$2:AD390)+SUMPRODUCT(($Q$2:$Q$1501="Collection 收款")*($R$2:$R$1501="Cheque 支票")*($V$2:$V$1501&lt;&gt;"")*($V$2:$V$1501&lt;=X390)*($S$2:$S$1501-'Opening Balance'!$B$15*($R$2:$R$1501="Cheque 支票")*($S$2:$S$1501-TRUNC($S$2:$S$1501))))-'Opening Balance'!$B$15*SUMPRODUCT(($Z$2:Z390="Online collection 网上收款")*($AA$2:AA390&lt;&gt;"")*($AC$2:AC390-TRUNC($AC$2:AC390))),2))</f>
        <v/>
      </c>
    </row>
    <row r="391">
      <c r="O391" s="5" t="n"/>
      <c r="S391" s="6" t="n"/>
      <c r="V391" s="5" t="n"/>
      <c r="X391" s="5" t="n"/>
      <c r="AC391" s="6" t="n"/>
      <c r="AD391" s="6" t="n"/>
      <c r="AE391" s="7">
        <f>IF(X391="","",ROUND('Opening Balance'!$B$4+SUM($AC$2:AC391)-SUM($AD$2:AD391)+SUMPRODUCT(($Q$2:$Q$1501="Collection 收款")*($R$2:$R$1501="Cheque 支票")*($V$2:$V$1501&lt;&gt;"")*($V$2:$V$1501&lt;=X391)*($S$2:$S$1501-'Opening Balance'!$B$15*($R$2:$R$1501="Cheque 支票")*($S$2:$S$1501-TRUNC($S$2:$S$1501))))-'Opening Balance'!$B$15*SUMPRODUCT(($Z$2:Z391="Online collection 网上收款")*($AA$2:AA391&lt;&gt;"")*($AC$2:AC391-TRUNC($AC$2:AC391))),2))</f>
        <v/>
      </c>
    </row>
    <row r="392">
      <c r="O392" s="5" t="n"/>
      <c r="S392" s="6" t="n"/>
      <c r="V392" s="5" t="n"/>
      <c r="X392" s="5" t="n"/>
      <c r="AC392" s="6" t="n"/>
      <c r="AD392" s="6" t="n"/>
      <c r="AE392" s="7">
        <f>IF(X392="","",ROUND('Opening Balance'!$B$4+SUM($AC$2:AC392)-SUM($AD$2:AD392)+SUMPRODUCT(($Q$2:$Q$1501="Collection 收款")*($R$2:$R$1501="Cheque 支票")*($V$2:$V$1501&lt;&gt;"")*($V$2:$V$1501&lt;=X392)*($S$2:$S$1501-'Opening Balance'!$B$15*($R$2:$R$1501="Cheque 支票")*($S$2:$S$1501-TRUNC($S$2:$S$1501))))-'Opening Balance'!$B$15*SUMPRODUCT(($Z$2:Z392="Online collection 网上收款")*($AA$2:AA392&lt;&gt;"")*($AC$2:AC392-TRUNC($AC$2:AC392))),2))</f>
        <v/>
      </c>
    </row>
    <row r="393">
      <c r="O393" s="5" t="n"/>
      <c r="S393" s="6" t="n"/>
      <c r="V393" s="5" t="n"/>
      <c r="X393" s="5" t="n"/>
      <c r="AC393" s="6" t="n"/>
      <c r="AD393" s="6" t="n"/>
      <c r="AE393" s="7">
        <f>IF(X393="","",ROUND('Opening Balance'!$B$4+SUM($AC$2:AC393)-SUM($AD$2:AD393)+SUMPRODUCT(($Q$2:$Q$1501="Collection 收款")*($R$2:$R$1501="Cheque 支票")*($V$2:$V$1501&lt;&gt;"")*($V$2:$V$1501&lt;=X393)*($S$2:$S$1501-'Opening Balance'!$B$15*($R$2:$R$1501="Cheque 支票")*($S$2:$S$1501-TRUNC($S$2:$S$1501))))-'Opening Balance'!$B$15*SUMPRODUCT(($Z$2:Z393="Online collection 网上收款")*($AA$2:AA393&lt;&gt;"")*($AC$2:AC393-TRUNC($AC$2:AC393))),2))</f>
        <v/>
      </c>
    </row>
    <row r="394">
      <c r="O394" s="5" t="n"/>
      <c r="S394" s="6" t="n"/>
      <c r="V394" s="5" t="n"/>
      <c r="X394" s="5" t="n"/>
      <c r="AC394" s="6" t="n"/>
      <c r="AD394" s="6" t="n"/>
      <c r="AE394" s="7">
        <f>IF(X394="","",ROUND('Opening Balance'!$B$4+SUM($AC$2:AC394)-SUM($AD$2:AD394)+SUMPRODUCT(($Q$2:$Q$1501="Collection 收款")*($R$2:$R$1501="Cheque 支票")*($V$2:$V$1501&lt;&gt;"")*($V$2:$V$1501&lt;=X394)*($S$2:$S$1501-'Opening Balance'!$B$15*($R$2:$R$1501="Cheque 支票")*($S$2:$S$1501-TRUNC($S$2:$S$1501))))-'Opening Balance'!$B$15*SUMPRODUCT(($Z$2:Z394="Online collection 网上收款")*($AA$2:AA394&lt;&gt;"")*($AC$2:AC394-TRUNC($AC$2:AC394))),2))</f>
        <v/>
      </c>
    </row>
    <row r="395">
      <c r="O395" s="5" t="n"/>
      <c r="S395" s="6" t="n"/>
      <c r="V395" s="5" t="n"/>
      <c r="X395" s="5" t="n"/>
      <c r="AC395" s="6" t="n"/>
      <c r="AD395" s="6" t="n"/>
      <c r="AE395" s="7">
        <f>IF(X395="","",ROUND('Opening Balance'!$B$4+SUM($AC$2:AC395)-SUM($AD$2:AD395)+SUMPRODUCT(($Q$2:$Q$1501="Collection 收款")*($R$2:$R$1501="Cheque 支票")*($V$2:$V$1501&lt;&gt;"")*($V$2:$V$1501&lt;=X395)*($S$2:$S$1501-'Opening Balance'!$B$15*($R$2:$R$1501="Cheque 支票")*($S$2:$S$1501-TRUNC($S$2:$S$1501))))-'Opening Balance'!$B$15*SUMPRODUCT(($Z$2:Z395="Online collection 网上收款")*($AA$2:AA395&lt;&gt;"")*($AC$2:AC395-TRUNC($AC$2:AC395))),2))</f>
        <v/>
      </c>
    </row>
    <row r="396">
      <c r="O396" s="5" t="n"/>
      <c r="S396" s="6" t="n"/>
      <c r="V396" s="5" t="n"/>
      <c r="X396" s="5" t="n"/>
      <c r="AC396" s="6" t="n"/>
      <c r="AD396" s="6" t="n"/>
      <c r="AE396" s="7">
        <f>IF(X396="","",ROUND('Opening Balance'!$B$4+SUM($AC$2:AC396)-SUM($AD$2:AD396)+SUMPRODUCT(($Q$2:$Q$1501="Collection 收款")*($R$2:$R$1501="Cheque 支票")*($V$2:$V$1501&lt;&gt;"")*($V$2:$V$1501&lt;=X396)*($S$2:$S$1501-'Opening Balance'!$B$15*($R$2:$R$1501="Cheque 支票")*($S$2:$S$1501-TRUNC($S$2:$S$1501))))-'Opening Balance'!$B$15*SUMPRODUCT(($Z$2:Z396="Online collection 网上收款")*($AA$2:AA396&lt;&gt;"")*($AC$2:AC396-TRUNC($AC$2:AC396))),2))</f>
        <v/>
      </c>
    </row>
    <row r="397">
      <c r="O397" s="5" t="n"/>
      <c r="S397" s="6" t="n"/>
      <c r="V397" s="5" t="n"/>
      <c r="X397" s="5" t="n"/>
      <c r="AC397" s="6" t="n"/>
      <c r="AD397" s="6" t="n"/>
      <c r="AE397" s="7">
        <f>IF(X397="","",ROUND('Opening Balance'!$B$4+SUM($AC$2:AC397)-SUM($AD$2:AD397)+SUMPRODUCT(($Q$2:$Q$1501="Collection 收款")*($R$2:$R$1501="Cheque 支票")*($V$2:$V$1501&lt;&gt;"")*($V$2:$V$1501&lt;=X397)*($S$2:$S$1501-'Opening Balance'!$B$15*($R$2:$R$1501="Cheque 支票")*($S$2:$S$1501-TRUNC($S$2:$S$1501))))-'Opening Balance'!$B$15*SUMPRODUCT(($Z$2:Z397="Online collection 网上收款")*($AA$2:AA397&lt;&gt;"")*($AC$2:AC397-TRUNC($AC$2:AC397))),2))</f>
        <v/>
      </c>
    </row>
    <row r="398">
      <c r="O398" s="5" t="n"/>
      <c r="S398" s="6" t="n"/>
      <c r="V398" s="5" t="n"/>
      <c r="X398" s="5" t="n"/>
      <c r="AC398" s="6" t="n"/>
      <c r="AD398" s="6" t="n"/>
      <c r="AE398" s="7">
        <f>IF(X398="","",ROUND('Opening Balance'!$B$4+SUM($AC$2:AC398)-SUM($AD$2:AD398)+SUMPRODUCT(($Q$2:$Q$1501="Collection 收款")*($R$2:$R$1501="Cheque 支票")*($V$2:$V$1501&lt;&gt;"")*($V$2:$V$1501&lt;=X398)*($S$2:$S$1501-'Opening Balance'!$B$15*($R$2:$R$1501="Cheque 支票")*($S$2:$S$1501-TRUNC($S$2:$S$1501))))-'Opening Balance'!$B$15*SUMPRODUCT(($Z$2:Z398="Online collection 网上收款")*($AA$2:AA398&lt;&gt;"")*($AC$2:AC398-TRUNC($AC$2:AC398))),2))</f>
        <v/>
      </c>
    </row>
    <row r="399">
      <c r="O399" s="5" t="n"/>
      <c r="S399" s="6" t="n"/>
      <c r="V399" s="5" t="n"/>
      <c r="X399" s="5" t="n"/>
      <c r="AC399" s="6" t="n"/>
      <c r="AD399" s="6" t="n"/>
      <c r="AE399" s="7">
        <f>IF(X399="","",ROUND('Opening Balance'!$B$4+SUM($AC$2:AC399)-SUM($AD$2:AD399)+SUMPRODUCT(($Q$2:$Q$1501="Collection 收款")*($R$2:$R$1501="Cheque 支票")*($V$2:$V$1501&lt;&gt;"")*($V$2:$V$1501&lt;=X399)*($S$2:$S$1501-'Opening Balance'!$B$15*($R$2:$R$1501="Cheque 支票")*($S$2:$S$1501-TRUNC($S$2:$S$1501))))-'Opening Balance'!$B$15*SUMPRODUCT(($Z$2:Z399="Online collection 网上收款")*($AA$2:AA399&lt;&gt;"")*($AC$2:AC399-TRUNC($AC$2:AC399))),2))</f>
        <v/>
      </c>
    </row>
    <row r="400">
      <c r="O400" s="5" t="n"/>
      <c r="S400" s="6" t="n"/>
      <c r="V400" s="5" t="n"/>
      <c r="X400" s="5" t="n"/>
      <c r="AC400" s="6" t="n"/>
      <c r="AD400" s="6" t="n"/>
      <c r="AE400" s="7">
        <f>IF(X400="","",ROUND('Opening Balance'!$B$4+SUM($AC$2:AC400)-SUM($AD$2:AD400)+SUMPRODUCT(($Q$2:$Q$1501="Collection 收款")*($R$2:$R$1501="Cheque 支票")*($V$2:$V$1501&lt;&gt;"")*($V$2:$V$1501&lt;=X400)*($S$2:$S$1501-'Opening Balance'!$B$15*($R$2:$R$1501="Cheque 支票")*($S$2:$S$1501-TRUNC($S$2:$S$1501))))-'Opening Balance'!$B$15*SUMPRODUCT(($Z$2:Z400="Online collection 网上收款")*($AA$2:AA400&lt;&gt;"")*($AC$2:AC400-TRUNC($AC$2:AC400))),2))</f>
        <v/>
      </c>
    </row>
    <row r="401">
      <c r="O401" s="5" t="n"/>
      <c r="S401" s="6" t="n"/>
      <c r="V401" s="5" t="n"/>
      <c r="X401" s="5" t="n"/>
      <c r="AC401" s="6" t="n"/>
      <c r="AD401" s="6" t="n"/>
      <c r="AE401" s="7">
        <f>IF(X401="","",ROUND('Opening Balance'!$B$4+SUM($AC$2:AC401)-SUM($AD$2:AD401)+SUMPRODUCT(($Q$2:$Q$1501="Collection 收款")*($R$2:$R$1501="Cheque 支票")*($V$2:$V$1501&lt;&gt;"")*($V$2:$V$1501&lt;=X401)*($S$2:$S$1501-'Opening Balance'!$B$15*($R$2:$R$1501="Cheque 支票")*($S$2:$S$1501-TRUNC($S$2:$S$1501))))-'Opening Balance'!$B$15*SUMPRODUCT(($Z$2:Z401="Online collection 网上收款")*($AA$2:AA401&lt;&gt;"")*($AC$2:AC401-TRUNC($AC$2:AC401))),2))</f>
        <v/>
      </c>
    </row>
    <row r="402">
      <c r="O402" s="5" t="n"/>
      <c r="S402" s="6" t="n"/>
      <c r="V402" s="5" t="n"/>
      <c r="X402" s="5" t="n"/>
      <c r="AC402" s="6" t="n"/>
      <c r="AD402" s="6" t="n"/>
      <c r="AE402" s="7">
        <f>IF(X402="","",ROUND('Opening Balance'!$B$4+SUM($AC$2:AC402)-SUM($AD$2:AD402)+SUMPRODUCT(($Q$2:$Q$1501="Collection 收款")*($R$2:$R$1501="Cheque 支票")*($V$2:$V$1501&lt;&gt;"")*($V$2:$V$1501&lt;=X402)*($S$2:$S$1501-'Opening Balance'!$B$15*($R$2:$R$1501="Cheque 支票")*($S$2:$S$1501-TRUNC($S$2:$S$1501))))-'Opening Balance'!$B$15*SUMPRODUCT(($Z$2:Z402="Online collection 网上收款")*($AA$2:AA402&lt;&gt;"")*($AC$2:AC402-TRUNC($AC$2:AC402))),2))</f>
        <v/>
      </c>
    </row>
    <row r="403">
      <c r="O403" s="5" t="n"/>
      <c r="S403" s="6" t="n"/>
      <c r="V403" s="5" t="n"/>
      <c r="X403" s="5" t="n"/>
      <c r="AC403" s="6" t="n"/>
      <c r="AD403" s="6" t="n"/>
      <c r="AE403" s="7">
        <f>IF(X403="","",ROUND('Opening Balance'!$B$4+SUM($AC$2:AC403)-SUM($AD$2:AD403)+SUMPRODUCT(($Q$2:$Q$1501="Collection 收款")*($R$2:$R$1501="Cheque 支票")*($V$2:$V$1501&lt;&gt;"")*($V$2:$V$1501&lt;=X403)*($S$2:$S$1501-'Opening Balance'!$B$15*($R$2:$R$1501="Cheque 支票")*($S$2:$S$1501-TRUNC($S$2:$S$1501))))-'Opening Balance'!$B$15*SUMPRODUCT(($Z$2:Z403="Online collection 网上收款")*($AA$2:AA403&lt;&gt;"")*($AC$2:AC403-TRUNC($AC$2:AC403))),2))</f>
        <v/>
      </c>
    </row>
    <row r="404">
      <c r="O404" s="5" t="n"/>
      <c r="S404" s="6" t="n"/>
      <c r="V404" s="5" t="n"/>
      <c r="X404" s="5" t="n"/>
      <c r="AC404" s="6" t="n"/>
      <c r="AD404" s="6" t="n"/>
      <c r="AE404" s="7">
        <f>IF(X404="","",ROUND('Opening Balance'!$B$4+SUM($AC$2:AC404)-SUM($AD$2:AD404)+SUMPRODUCT(($Q$2:$Q$1501="Collection 收款")*($R$2:$R$1501="Cheque 支票")*($V$2:$V$1501&lt;&gt;"")*($V$2:$V$1501&lt;=X404)*($S$2:$S$1501-'Opening Balance'!$B$15*($R$2:$R$1501="Cheque 支票")*($S$2:$S$1501-TRUNC($S$2:$S$1501))))-'Opening Balance'!$B$15*SUMPRODUCT(($Z$2:Z404="Online collection 网上收款")*($AA$2:AA404&lt;&gt;"")*($AC$2:AC404-TRUNC($AC$2:AC404))),2))</f>
        <v/>
      </c>
    </row>
    <row r="405">
      <c r="O405" s="5" t="n"/>
      <c r="S405" s="6" t="n"/>
      <c r="V405" s="5" t="n"/>
      <c r="X405" s="5" t="n"/>
      <c r="AC405" s="6" t="n"/>
      <c r="AD405" s="6" t="n"/>
      <c r="AE405" s="7">
        <f>IF(X405="","",ROUND('Opening Balance'!$B$4+SUM($AC$2:AC405)-SUM($AD$2:AD405)+SUMPRODUCT(($Q$2:$Q$1501="Collection 收款")*($R$2:$R$1501="Cheque 支票")*($V$2:$V$1501&lt;&gt;"")*($V$2:$V$1501&lt;=X405)*($S$2:$S$1501-'Opening Balance'!$B$15*($R$2:$R$1501="Cheque 支票")*($S$2:$S$1501-TRUNC($S$2:$S$1501))))-'Opening Balance'!$B$15*SUMPRODUCT(($Z$2:Z405="Online collection 网上收款")*($AA$2:AA405&lt;&gt;"")*($AC$2:AC405-TRUNC($AC$2:AC405))),2))</f>
        <v/>
      </c>
    </row>
    <row r="406">
      <c r="O406" s="5" t="n"/>
      <c r="S406" s="6" t="n"/>
      <c r="V406" s="5" t="n"/>
      <c r="X406" s="5" t="n"/>
      <c r="AC406" s="6" t="n"/>
      <c r="AD406" s="6" t="n"/>
      <c r="AE406" s="7">
        <f>IF(X406="","",ROUND('Opening Balance'!$B$4+SUM($AC$2:AC406)-SUM($AD$2:AD406)+SUMPRODUCT(($Q$2:$Q$1501="Collection 收款")*($R$2:$R$1501="Cheque 支票")*($V$2:$V$1501&lt;&gt;"")*($V$2:$V$1501&lt;=X406)*($S$2:$S$1501-'Opening Balance'!$B$15*($R$2:$R$1501="Cheque 支票")*($S$2:$S$1501-TRUNC($S$2:$S$1501))))-'Opening Balance'!$B$15*SUMPRODUCT(($Z$2:Z406="Online collection 网上收款")*($AA$2:AA406&lt;&gt;"")*($AC$2:AC406-TRUNC($AC$2:AC406))),2))</f>
        <v/>
      </c>
    </row>
    <row r="407">
      <c r="O407" s="5" t="n"/>
      <c r="S407" s="6" t="n"/>
      <c r="V407" s="5" t="n"/>
      <c r="X407" s="5" t="n"/>
      <c r="AC407" s="6" t="n"/>
      <c r="AD407" s="6" t="n"/>
      <c r="AE407" s="7">
        <f>IF(X407="","",ROUND('Opening Balance'!$B$4+SUM($AC$2:AC407)-SUM($AD$2:AD407)+SUMPRODUCT(($Q$2:$Q$1501="Collection 收款")*($R$2:$R$1501="Cheque 支票")*($V$2:$V$1501&lt;&gt;"")*($V$2:$V$1501&lt;=X407)*($S$2:$S$1501-'Opening Balance'!$B$15*($R$2:$R$1501="Cheque 支票")*($S$2:$S$1501-TRUNC($S$2:$S$1501))))-'Opening Balance'!$B$15*SUMPRODUCT(($Z$2:Z407="Online collection 网上收款")*($AA$2:AA407&lt;&gt;"")*($AC$2:AC407-TRUNC($AC$2:AC407))),2))</f>
        <v/>
      </c>
    </row>
    <row r="408">
      <c r="O408" s="5" t="n"/>
      <c r="S408" s="6" t="n"/>
      <c r="V408" s="5" t="n"/>
      <c r="X408" s="5" t="n"/>
      <c r="AC408" s="6" t="n"/>
      <c r="AD408" s="6" t="n"/>
      <c r="AE408" s="7">
        <f>IF(X408="","",ROUND('Opening Balance'!$B$4+SUM($AC$2:AC408)-SUM($AD$2:AD408)+SUMPRODUCT(($Q$2:$Q$1501="Collection 收款")*($R$2:$R$1501="Cheque 支票")*($V$2:$V$1501&lt;&gt;"")*($V$2:$V$1501&lt;=X408)*($S$2:$S$1501-'Opening Balance'!$B$15*($R$2:$R$1501="Cheque 支票")*($S$2:$S$1501-TRUNC($S$2:$S$1501))))-'Opening Balance'!$B$15*SUMPRODUCT(($Z$2:Z408="Online collection 网上收款")*($AA$2:AA408&lt;&gt;"")*($AC$2:AC408-TRUNC($AC$2:AC408))),2))</f>
        <v/>
      </c>
    </row>
    <row r="409">
      <c r="O409" s="5" t="n"/>
      <c r="S409" s="6" t="n"/>
      <c r="V409" s="5" t="n"/>
      <c r="X409" s="5" t="n"/>
      <c r="AC409" s="6" t="n"/>
      <c r="AD409" s="6" t="n"/>
      <c r="AE409" s="7">
        <f>IF(X409="","",ROUND('Opening Balance'!$B$4+SUM($AC$2:AC409)-SUM($AD$2:AD409)+SUMPRODUCT(($Q$2:$Q$1501="Collection 收款")*($R$2:$R$1501="Cheque 支票")*($V$2:$V$1501&lt;&gt;"")*($V$2:$V$1501&lt;=X409)*($S$2:$S$1501-'Opening Balance'!$B$15*($R$2:$R$1501="Cheque 支票")*($S$2:$S$1501-TRUNC($S$2:$S$1501))))-'Opening Balance'!$B$15*SUMPRODUCT(($Z$2:Z409="Online collection 网上收款")*($AA$2:AA409&lt;&gt;"")*($AC$2:AC409-TRUNC($AC$2:AC409))),2))</f>
        <v/>
      </c>
    </row>
    <row r="410">
      <c r="O410" s="5" t="n"/>
      <c r="S410" s="6" t="n"/>
      <c r="V410" s="5" t="n"/>
      <c r="X410" s="5" t="n"/>
      <c r="AC410" s="6" t="n"/>
      <c r="AD410" s="6" t="n"/>
      <c r="AE410" s="7">
        <f>IF(X410="","",ROUND('Opening Balance'!$B$4+SUM($AC$2:AC410)-SUM($AD$2:AD410)+SUMPRODUCT(($Q$2:$Q$1501="Collection 收款")*($R$2:$R$1501="Cheque 支票")*($V$2:$V$1501&lt;&gt;"")*($V$2:$V$1501&lt;=X410)*($S$2:$S$1501-'Opening Balance'!$B$15*($R$2:$R$1501="Cheque 支票")*($S$2:$S$1501-TRUNC($S$2:$S$1501))))-'Opening Balance'!$B$15*SUMPRODUCT(($Z$2:Z410="Online collection 网上收款")*($AA$2:AA410&lt;&gt;"")*($AC$2:AC410-TRUNC($AC$2:AC410))),2))</f>
        <v/>
      </c>
    </row>
    <row r="411">
      <c r="O411" s="5" t="n"/>
      <c r="S411" s="6" t="n"/>
      <c r="V411" s="5" t="n"/>
      <c r="X411" s="5" t="n"/>
      <c r="AC411" s="6" t="n"/>
      <c r="AD411" s="6" t="n"/>
      <c r="AE411" s="7">
        <f>IF(X411="","",ROUND('Opening Balance'!$B$4+SUM($AC$2:AC411)-SUM($AD$2:AD411)+SUMPRODUCT(($Q$2:$Q$1501="Collection 收款")*($R$2:$R$1501="Cheque 支票")*($V$2:$V$1501&lt;&gt;"")*($V$2:$V$1501&lt;=X411)*($S$2:$S$1501-'Opening Balance'!$B$15*($R$2:$R$1501="Cheque 支票")*($S$2:$S$1501-TRUNC($S$2:$S$1501))))-'Opening Balance'!$B$15*SUMPRODUCT(($Z$2:Z411="Online collection 网上收款")*($AA$2:AA411&lt;&gt;"")*($AC$2:AC411-TRUNC($AC$2:AC411))),2))</f>
        <v/>
      </c>
    </row>
    <row r="412">
      <c r="O412" s="5" t="n"/>
      <c r="S412" s="6" t="n"/>
      <c r="V412" s="5" t="n"/>
      <c r="X412" s="5" t="n"/>
      <c r="AC412" s="6" t="n"/>
      <c r="AD412" s="6" t="n"/>
      <c r="AE412" s="7">
        <f>IF(X412="","",ROUND('Opening Balance'!$B$4+SUM($AC$2:AC412)-SUM($AD$2:AD412)+SUMPRODUCT(($Q$2:$Q$1501="Collection 收款")*($R$2:$R$1501="Cheque 支票")*($V$2:$V$1501&lt;&gt;"")*($V$2:$V$1501&lt;=X412)*($S$2:$S$1501-'Opening Balance'!$B$15*($R$2:$R$1501="Cheque 支票")*($S$2:$S$1501-TRUNC($S$2:$S$1501))))-'Opening Balance'!$B$15*SUMPRODUCT(($Z$2:Z412="Online collection 网上收款")*($AA$2:AA412&lt;&gt;"")*($AC$2:AC412-TRUNC($AC$2:AC412))),2))</f>
        <v/>
      </c>
    </row>
    <row r="413">
      <c r="O413" s="5" t="n"/>
      <c r="S413" s="6" t="n"/>
      <c r="V413" s="5" t="n"/>
      <c r="X413" s="5" t="n"/>
      <c r="AC413" s="6" t="n"/>
      <c r="AD413" s="6" t="n"/>
      <c r="AE413" s="7">
        <f>IF(X413="","",ROUND('Opening Balance'!$B$4+SUM($AC$2:AC413)-SUM($AD$2:AD413)+SUMPRODUCT(($Q$2:$Q$1501="Collection 收款")*($R$2:$R$1501="Cheque 支票")*($V$2:$V$1501&lt;&gt;"")*($V$2:$V$1501&lt;=X413)*($S$2:$S$1501-'Opening Balance'!$B$15*($R$2:$R$1501="Cheque 支票")*($S$2:$S$1501-TRUNC($S$2:$S$1501))))-'Opening Balance'!$B$15*SUMPRODUCT(($Z$2:Z413="Online collection 网上收款")*($AA$2:AA413&lt;&gt;"")*($AC$2:AC413-TRUNC($AC$2:AC413))),2))</f>
        <v/>
      </c>
    </row>
    <row r="414">
      <c r="O414" s="5" t="n"/>
      <c r="S414" s="6" t="n"/>
      <c r="V414" s="5" t="n"/>
      <c r="X414" s="5" t="n"/>
      <c r="AC414" s="6" t="n"/>
      <c r="AD414" s="6" t="n"/>
      <c r="AE414" s="7">
        <f>IF(X414="","",ROUND('Opening Balance'!$B$4+SUM($AC$2:AC414)-SUM($AD$2:AD414)+SUMPRODUCT(($Q$2:$Q$1501="Collection 收款")*($R$2:$R$1501="Cheque 支票")*($V$2:$V$1501&lt;&gt;"")*($V$2:$V$1501&lt;=X414)*($S$2:$S$1501-'Opening Balance'!$B$15*($R$2:$R$1501="Cheque 支票")*($S$2:$S$1501-TRUNC($S$2:$S$1501))))-'Opening Balance'!$B$15*SUMPRODUCT(($Z$2:Z414="Online collection 网上收款")*($AA$2:AA414&lt;&gt;"")*($AC$2:AC414-TRUNC($AC$2:AC414))),2))</f>
        <v/>
      </c>
    </row>
    <row r="415">
      <c r="O415" s="5" t="n"/>
      <c r="S415" s="6" t="n"/>
      <c r="V415" s="5" t="n"/>
      <c r="X415" s="5" t="n"/>
      <c r="AC415" s="6" t="n"/>
      <c r="AD415" s="6" t="n"/>
      <c r="AE415" s="7">
        <f>IF(X415="","",ROUND('Opening Balance'!$B$4+SUM($AC$2:AC415)-SUM($AD$2:AD415)+SUMPRODUCT(($Q$2:$Q$1501="Collection 收款")*($R$2:$R$1501="Cheque 支票")*($V$2:$V$1501&lt;&gt;"")*($V$2:$V$1501&lt;=X415)*($S$2:$S$1501-'Opening Balance'!$B$15*($R$2:$R$1501="Cheque 支票")*($S$2:$S$1501-TRUNC($S$2:$S$1501))))-'Opening Balance'!$B$15*SUMPRODUCT(($Z$2:Z415="Online collection 网上收款")*($AA$2:AA415&lt;&gt;"")*($AC$2:AC415-TRUNC($AC$2:AC415))),2))</f>
        <v/>
      </c>
    </row>
    <row r="416">
      <c r="O416" s="5" t="n"/>
      <c r="S416" s="6" t="n"/>
      <c r="V416" s="5" t="n"/>
      <c r="X416" s="5" t="n"/>
      <c r="AC416" s="6" t="n"/>
      <c r="AD416" s="6" t="n"/>
      <c r="AE416" s="7">
        <f>IF(X416="","",ROUND('Opening Balance'!$B$4+SUM($AC$2:AC416)-SUM($AD$2:AD416)+SUMPRODUCT(($Q$2:$Q$1501="Collection 收款")*($R$2:$R$1501="Cheque 支票")*($V$2:$V$1501&lt;&gt;"")*($V$2:$V$1501&lt;=X416)*($S$2:$S$1501-'Opening Balance'!$B$15*($R$2:$R$1501="Cheque 支票")*($S$2:$S$1501-TRUNC($S$2:$S$1501))))-'Opening Balance'!$B$15*SUMPRODUCT(($Z$2:Z416="Online collection 网上收款")*($AA$2:AA416&lt;&gt;"")*($AC$2:AC416-TRUNC($AC$2:AC416))),2))</f>
        <v/>
      </c>
    </row>
    <row r="417">
      <c r="O417" s="5" t="n"/>
      <c r="S417" s="6" t="n"/>
      <c r="V417" s="5" t="n"/>
      <c r="X417" s="5" t="n"/>
      <c r="AC417" s="6" t="n"/>
      <c r="AD417" s="6" t="n"/>
      <c r="AE417" s="7">
        <f>IF(X417="","",ROUND('Opening Balance'!$B$4+SUM($AC$2:AC417)-SUM($AD$2:AD417)+SUMPRODUCT(($Q$2:$Q$1501="Collection 收款")*($R$2:$R$1501="Cheque 支票")*($V$2:$V$1501&lt;&gt;"")*($V$2:$V$1501&lt;=X417)*($S$2:$S$1501-'Opening Balance'!$B$15*($R$2:$R$1501="Cheque 支票")*($S$2:$S$1501-TRUNC($S$2:$S$1501))))-'Opening Balance'!$B$15*SUMPRODUCT(($Z$2:Z417="Online collection 网上收款")*($AA$2:AA417&lt;&gt;"")*($AC$2:AC417-TRUNC($AC$2:AC417))),2))</f>
        <v/>
      </c>
    </row>
    <row r="418">
      <c r="O418" s="5" t="n"/>
      <c r="S418" s="6" t="n"/>
      <c r="V418" s="5" t="n"/>
      <c r="X418" s="5" t="n"/>
      <c r="AC418" s="6" t="n"/>
      <c r="AD418" s="6" t="n"/>
      <c r="AE418" s="7">
        <f>IF(X418="","",ROUND('Opening Balance'!$B$4+SUM($AC$2:AC418)-SUM($AD$2:AD418)+SUMPRODUCT(($Q$2:$Q$1501="Collection 收款")*($R$2:$R$1501="Cheque 支票")*($V$2:$V$1501&lt;&gt;"")*($V$2:$V$1501&lt;=X418)*($S$2:$S$1501-'Opening Balance'!$B$15*($R$2:$R$1501="Cheque 支票")*($S$2:$S$1501-TRUNC($S$2:$S$1501))))-'Opening Balance'!$B$15*SUMPRODUCT(($Z$2:Z418="Online collection 网上收款")*($AA$2:AA418&lt;&gt;"")*($AC$2:AC418-TRUNC($AC$2:AC418))),2))</f>
        <v/>
      </c>
    </row>
    <row r="419">
      <c r="O419" s="5" t="n"/>
      <c r="S419" s="6" t="n"/>
      <c r="V419" s="5" t="n"/>
      <c r="X419" s="5" t="n"/>
      <c r="AC419" s="6" t="n"/>
      <c r="AD419" s="6" t="n"/>
      <c r="AE419" s="7">
        <f>IF(X419="","",ROUND('Opening Balance'!$B$4+SUM($AC$2:AC419)-SUM($AD$2:AD419)+SUMPRODUCT(($Q$2:$Q$1501="Collection 收款")*($R$2:$R$1501="Cheque 支票")*($V$2:$V$1501&lt;&gt;"")*($V$2:$V$1501&lt;=X419)*($S$2:$S$1501-'Opening Balance'!$B$15*($R$2:$R$1501="Cheque 支票")*($S$2:$S$1501-TRUNC($S$2:$S$1501))))-'Opening Balance'!$B$15*SUMPRODUCT(($Z$2:Z419="Online collection 网上收款")*($AA$2:AA419&lt;&gt;"")*($AC$2:AC419-TRUNC($AC$2:AC419))),2))</f>
        <v/>
      </c>
    </row>
    <row r="420">
      <c r="O420" s="5" t="n"/>
      <c r="S420" s="6" t="n"/>
      <c r="V420" s="5" t="n"/>
      <c r="X420" s="5" t="n"/>
      <c r="AC420" s="6" t="n"/>
      <c r="AD420" s="6" t="n"/>
      <c r="AE420" s="7">
        <f>IF(X420="","",ROUND('Opening Balance'!$B$4+SUM($AC$2:AC420)-SUM($AD$2:AD420)+SUMPRODUCT(($Q$2:$Q$1501="Collection 收款")*($R$2:$R$1501="Cheque 支票")*($V$2:$V$1501&lt;&gt;"")*($V$2:$V$1501&lt;=X420)*($S$2:$S$1501-'Opening Balance'!$B$15*($R$2:$R$1501="Cheque 支票")*($S$2:$S$1501-TRUNC($S$2:$S$1501))))-'Opening Balance'!$B$15*SUMPRODUCT(($Z$2:Z420="Online collection 网上收款")*($AA$2:AA420&lt;&gt;"")*($AC$2:AC420-TRUNC($AC$2:AC420))),2))</f>
        <v/>
      </c>
    </row>
    <row r="421">
      <c r="O421" s="5" t="n"/>
      <c r="S421" s="6" t="n"/>
      <c r="V421" s="5" t="n"/>
      <c r="X421" s="5" t="n"/>
      <c r="AC421" s="6" t="n"/>
      <c r="AD421" s="6" t="n"/>
      <c r="AE421" s="7">
        <f>IF(X421="","",ROUND('Opening Balance'!$B$4+SUM($AC$2:AC421)-SUM($AD$2:AD421)+SUMPRODUCT(($Q$2:$Q$1501="Collection 收款")*($R$2:$R$1501="Cheque 支票")*($V$2:$V$1501&lt;&gt;"")*($V$2:$V$1501&lt;=X421)*($S$2:$S$1501-'Opening Balance'!$B$15*($R$2:$R$1501="Cheque 支票")*($S$2:$S$1501-TRUNC($S$2:$S$1501))))-'Opening Balance'!$B$15*SUMPRODUCT(($Z$2:Z421="Online collection 网上收款")*($AA$2:AA421&lt;&gt;"")*($AC$2:AC421-TRUNC($AC$2:AC421))),2))</f>
        <v/>
      </c>
    </row>
    <row r="422">
      <c r="O422" s="5" t="n"/>
      <c r="S422" s="6" t="n"/>
      <c r="V422" s="5" t="n"/>
      <c r="X422" s="5" t="n"/>
      <c r="AC422" s="6" t="n"/>
      <c r="AD422" s="6" t="n"/>
      <c r="AE422" s="7">
        <f>IF(X422="","",ROUND('Opening Balance'!$B$4+SUM($AC$2:AC422)-SUM($AD$2:AD422)+SUMPRODUCT(($Q$2:$Q$1501="Collection 收款")*($R$2:$R$1501="Cheque 支票")*($V$2:$V$1501&lt;&gt;"")*($V$2:$V$1501&lt;=X422)*($S$2:$S$1501-'Opening Balance'!$B$15*($R$2:$R$1501="Cheque 支票")*($S$2:$S$1501-TRUNC($S$2:$S$1501))))-'Opening Balance'!$B$15*SUMPRODUCT(($Z$2:Z422="Online collection 网上收款")*($AA$2:AA422&lt;&gt;"")*($AC$2:AC422-TRUNC($AC$2:AC422))),2))</f>
        <v/>
      </c>
    </row>
    <row r="423">
      <c r="O423" s="5" t="n"/>
      <c r="S423" s="6" t="n"/>
      <c r="V423" s="5" t="n"/>
      <c r="X423" s="5" t="n"/>
      <c r="AC423" s="6" t="n"/>
      <c r="AD423" s="6" t="n"/>
      <c r="AE423" s="7">
        <f>IF(X423="","",ROUND('Opening Balance'!$B$4+SUM($AC$2:AC423)-SUM($AD$2:AD423)+SUMPRODUCT(($Q$2:$Q$1501="Collection 收款")*($R$2:$R$1501="Cheque 支票")*($V$2:$V$1501&lt;&gt;"")*($V$2:$V$1501&lt;=X423)*($S$2:$S$1501-'Opening Balance'!$B$15*($R$2:$R$1501="Cheque 支票")*($S$2:$S$1501-TRUNC($S$2:$S$1501))))-'Opening Balance'!$B$15*SUMPRODUCT(($Z$2:Z423="Online collection 网上收款")*($AA$2:AA423&lt;&gt;"")*($AC$2:AC423-TRUNC($AC$2:AC423))),2))</f>
        <v/>
      </c>
    </row>
    <row r="424">
      <c r="O424" s="5" t="n"/>
      <c r="S424" s="6" t="n"/>
      <c r="V424" s="5" t="n"/>
      <c r="X424" s="5" t="n"/>
      <c r="AC424" s="6" t="n"/>
      <c r="AD424" s="6" t="n"/>
      <c r="AE424" s="7">
        <f>IF(X424="","",ROUND('Opening Balance'!$B$4+SUM($AC$2:AC424)-SUM($AD$2:AD424)+SUMPRODUCT(($Q$2:$Q$1501="Collection 收款")*($R$2:$R$1501="Cheque 支票")*($V$2:$V$1501&lt;&gt;"")*($V$2:$V$1501&lt;=X424)*($S$2:$S$1501-'Opening Balance'!$B$15*($R$2:$R$1501="Cheque 支票")*($S$2:$S$1501-TRUNC($S$2:$S$1501))))-'Opening Balance'!$B$15*SUMPRODUCT(($Z$2:Z424="Online collection 网上收款")*($AA$2:AA424&lt;&gt;"")*($AC$2:AC424-TRUNC($AC$2:AC424))),2))</f>
        <v/>
      </c>
    </row>
    <row r="425">
      <c r="O425" s="5" t="n"/>
      <c r="S425" s="6" t="n"/>
      <c r="V425" s="5" t="n"/>
      <c r="X425" s="5" t="n"/>
      <c r="AC425" s="6" t="n"/>
      <c r="AD425" s="6" t="n"/>
      <c r="AE425" s="7">
        <f>IF(X425="","",ROUND('Opening Balance'!$B$4+SUM($AC$2:AC425)-SUM($AD$2:AD425)+SUMPRODUCT(($Q$2:$Q$1501="Collection 收款")*($R$2:$R$1501="Cheque 支票")*($V$2:$V$1501&lt;&gt;"")*($V$2:$V$1501&lt;=X425)*($S$2:$S$1501-'Opening Balance'!$B$15*($R$2:$R$1501="Cheque 支票")*($S$2:$S$1501-TRUNC($S$2:$S$1501))))-'Opening Balance'!$B$15*SUMPRODUCT(($Z$2:Z425="Online collection 网上收款")*($AA$2:AA425&lt;&gt;"")*($AC$2:AC425-TRUNC($AC$2:AC425))),2))</f>
        <v/>
      </c>
    </row>
    <row r="426">
      <c r="O426" s="5" t="n"/>
      <c r="S426" s="6" t="n"/>
      <c r="V426" s="5" t="n"/>
      <c r="X426" s="5" t="n"/>
      <c r="AC426" s="6" t="n"/>
      <c r="AD426" s="6" t="n"/>
      <c r="AE426" s="7">
        <f>IF(X426="","",ROUND('Opening Balance'!$B$4+SUM($AC$2:AC426)-SUM($AD$2:AD426)+SUMPRODUCT(($Q$2:$Q$1501="Collection 收款")*($R$2:$R$1501="Cheque 支票")*($V$2:$V$1501&lt;&gt;"")*($V$2:$V$1501&lt;=X426)*($S$2:$S$1501-'Opening Balance'!$B$15*($R$2:$R$1501="Cheque 支票")*($S$2:$S$1501-TRUNC($S$2:$S$1501))))-'Opening Balance'!$B$15*SUMPRODUCT(($Z$2:Z426="Online collection 网上收款")*($AA$2:AA426&lt;&gt;"")*($AC$2:AC426-TRUNC($AC$2:AC426))),2))</f>
        <v/>
      </c>
    </row>
    <row r="427">
      <c r="O427" s="5" t="n"/>
      <c r="S427" s="6" t="n"/>
      <c r="V427" s="5" t="n"/>
      <c r="X427" s="5" t="n"/>
      <c r="AC427" s="6" t="n"/>
      <c r="AD427" s="6" t="n"/>
      <c r="AE427" s="7">
        <f>IF(X427="","",ROUND('Opening Balance'!$B$4+SUM($AC$2:AC427)-SUM($AD$2:AD427)+SUMPRODUCT(($Q$2:$Q$1501="Collection 收款")*($R$2:$R$1501="Cheque 支票")*($V$2:$V$1501&lt;&gt;"")*($V$2:$V$1501&lt;=X427)*($S$2:$S$1501-'Opening Balance'!$B$15*($R$2:$R$1501="Cheque 支票")*($S$2:$S$1501-TRUNC($S$2:$S$1501))))-'Opening Balance'!$B$15*SUMPRODUCT(($Z$2:Z427="Online collection 网上收款")*($AA$2:AA427&lt;&gt;"")*($AC$2:AC427-TRUNC($AC$2:AC427))),2))</f>
        <v/>
      </c>
    </row>
    <row r="428">
      <c r="O428" s="5" t="n"/>
      <c r="S428" s="6" t="n"/>
      <c r="V428" s="5" t="n"/>
      <c r="X428" s="5" t="n"/>
      <c r="AC428" s="6" t="n"/>
      <c r="AD428" s="6" t="n"/>
      <c r="AE428" s="7">
        <f>IF(X428="","",ROUND('Opening Balance'!$B$4+SUM($AC$2:AC428)-SUM($AD$2:AD428)+SUMPRODUCT(($Q$2:$Q$1501="Collection 收款")*($R$2:$R$1501="Cheque 支票")*($V$2:$V$1501&lt;&gt;"")*($V$2:$V$1501&lt;=X428)*($S$2:$S$1501-'Opening Balance'!$B$15*($R$2:$R$1501="Cheque 支票")*($S$2:$S$1501-TRUNC($S$2:$S$1501))))-'Opening Balance'!$B$15*SUMPRODUCT(($Z$2:Z428="Online collection 网上收款")*($AA$2:AA428&lt;&gt;"")*($AC$2:AC428-TRUNC($AC$2:AC428))),2))</f>
        <v/>
      </c>
    </row>
    <row r="429">
      <c r="O429" s="5" t="n"/>
      <c r="S429" s="6" t="n"/>
      <c r="V429" s="5" t="n"/>
      <c r="X429" s="5" t="n"/>
      <c r="AC429" s="6" t="n"/>
      <c r="AD429" s="6" t="n"/>
      <c r="AE429" s="7">
        <f>IF(X429="","",ROUND('Opening Balance'!$B$4+SUM($AC$2:AC429)-SUM($AD$2:AD429)+SUMPRODUCT(($Q$2:$Q$1501="Collection 收款")*($R$2:$R$1501="Cheque 支票")*($V$2:$V$1501&lt;&gt;"")*($V$2:$V$1501&lt;=X429)*($S$2:$S$1501-'Opening Balance'!$B$15*($R$2:$R$1501="Cheque 支票")*($S$2:$S$1501-TRUNC($S$2:$S$1501))))-'Opening Balance'!$B$15*SUMPRODUCT(($Z$2:Z429="Online collection 网上收款")*($AA$2:AA429&lt;&gt;"")*($AC$2:AC429-TRUNC($AC$2:AC429))),2))</f>
        <v/>
      </c>
    </row>
    <row r="430">
      <c r="O430" s="5" t="n"/>
      <c r="S430" s="6" t="n"/>
      <c r="V430" s="5" t="n"/>
      <c r="X430" s="5" t="n"/>
      <c r="AC430" s="6" t="n"/>
      <c r="AD430" s="6" t="n"/>
      <c r="AE430" s="7">
        <f>IF(X430="","",ROUND('Opening Balance'!$B$4+SUM($AC$2:AC430)-SUM($AD$2:AD430)+SUMPRODUCT(($Q$2:$Q$1501="Collection 收款")*($R$2:$R$1501="Cheque 支票")*($V$2:$V$1501&lt;&gt;"")*($V$2:$V$1501&lt;=X430)*($S$2:$S$1501-'Opening Balance'!$B$15*($R$2:$R$1501="Cheque 支票")*($S$2:$S$1501-TRUNC($S$2:$S$1501))))-'Opening Balance'!$B$15*SUMPRODUCT(($Z$2:Z430="Online collection 网上收款")*($AA$2:AA430&lt;&gt;"")*($AC$2:AC430-TRUNC($AC$2:AC430))),2))</f>
        <v/>
      </c>
    </row>
    <row r="431">
      <c r="O431" s="5" t="n"/>
      <c r="S431" s="6" t="n"/>
      <c r="V431" s="5" t="n"/>
      <c r="X431" s="5" t="n"/>
      <c r="AC431" s="6" t="n"/>
      <c r="AD431" s="6" t="n"/>
      <c r="AE431" s="7">
        <f>IF(X431="","",ROUND('Opening Balance'!$B$4+SUM($AC$2:AC431)-SUM($AD$2:AD431)+SUMPRODUCT(($Q$2:$Q$1501="Collection 收款")*($R$2:$R$1501="Cheque 支票")*($V$2:$V$1501&lt;&gt;"")*($V$2:$V$1501&lt;=X431)*($S$2:$S$1501-'Opening Balance'!$B$15*($R$2:$R$1501="Cheque 支票")*($S$2:$S$1501-TRUNC($S$2:$S$1501))))-'Opening Balance'!$B$15*SUMPRODUCT(($Z$2:Z431="Online collection 网上收款")*($AA$2:AA431&lt;&gt;"")*($AC$2:AC431-TRUNC($AC$2:AC431))),2))</f>
        <v/>
      </c>
    </row>
    <row r="432">
      <c r="O432" s="5" t="n"/>
      <c r="S432" s="6" t="n"/>
      <c r="V432" s="5" t="n"/>
      <c r="X432" s="5" t="n"/>
      <c r="AC432" s="6" t="n"/>
      <c r="AD432" s="6" t="n"/>
      <c r="AE432" s="7">
        <f>IF(X432="","",ROUND('Opening Balance'!$B$4+SUM($AC$2:AC432)-SUM($AD$2:AD432)+SUMPRODUCT(($Q$2:$Q$1501="Collection 收款")*($R$2:$R$1501="Cheque 支票")*($V$2:$V$1501&lt;&gt;"")*($V$2:$V$1501&lt;=X432)*($S$2:$S$1501-'Opening Balance'!$B$15*($R$2:$R$1501="Cheque 支票")*($S$2:$S$1501-TRUNC($S$2:$S$1501))))-'Opening Balance'!$B$15*SUMPRODUCT(($Z$2:Z432="Online collection 网上收款")*($AA$2:AA432&lt;&gt;"")*($AC$2:AC432-TRUNC($AC$2:AC432))),2))</f>
        <v/>
      </c>
    </row>
    <row r="433">
      <c r="O433" s="5" t="n"/>
      <c r="S433" s="6" t="n"/>
      <c r="V433" s="5" t="n"/>
      <c r="X433" s="5" t="n"/>
      <c r="AC433" s="6" t="n"/>
      <c r="AD433" s="6" t="n"/>
      <c r="AE433" s="7">
        <f>IF(X433="","",ROUND('Opening Balance'!$B$4+SUM($AC$2:AC433)-SUM($AD$2:AD433)+SUMPRODUCT(($Q$2:$Q$1501="Collection 收款")*($R$2:$R$1501="Cheque 支票")*($V$2:$V$1501&lt;&gt;"")*($V$2:$V$1501&lt;=X433)*($S$2:$S$1501-'Opening Balance'!$B$15*($R$2:$R$1501="Cheque 支票")*($S$2:$S$1501-TRUNC($S$2:$S$1501))))-'Opening Balance'!$B$15*SUMPRODUCT(($Z$2:Z433="Online collection 网上收款")*($AA$2:AA433&lt;&gt;"")*($AC$2:AC433-TRUNC($AC$2:AC433))),2))</f>
        <v/>
      </c>
    </row>
    <row r="434">
      <c r="O434" s="5" t="n"/>
      <c r="S434" s="6" t="n"/>
      <c r="V434" s="5" t="n"/>
      <c r="X434" s="5" t="n"/>
      <c r="AC434" s="6" t="n"/>
      <c r="AD434" s="6" t="n"/>
      <c r="AE434" s="7">
        <f>IF(X434="","",ROUND('Opening Balance'!$B$4+SUM($AC$2:AC434)-SUM($AD$2:AD434)+SUMPRODUCT(($Q$2:$Q$1501="Collection 收款")*($R$2:$R$1501="Cheque 支票")*($V$2:$V$1501&lt;&gt;"")*($V$2:$V$1501&lt;=X434)*($S$2:$S$1501-'Opening Balance'!$B$15*($R$2:$R$1501="Cheque 支票")*($S$2:$S$1501-TRUNC($S$2:$S$1501))))-'Opening Balance'!$B$15*SUMPRODUCT(($Z$2:Z434="Online collection 网上收款")*($AA$2:AA434&lt;&gt;"")*($AC$2:AC434-TRUNC($AC$2:AC434))),2))</f>
        <v/>
      </c>
    </row>
    <row r="435">
      <c r="O435" s="5" t="n"/>
      <c r="S435" s="6" t="n"/>
      <c r="V435" s="5" t="n"/>
      <c r="X435" s="5" t="n"/>
      <c r="AC435" s="6" t="n"/>
      <c r="AD435" s="6" t="n"/>
      <c r="AE435" s="7">
        <f>IF(X435="","",ROUND('Opening Balance'!$B$4+SUM($AC$2:AC435)-SUM($AD$2:AD435)+SUMPRODUCT(($Q$2:$Q$1501="Collection 收款")*($R$2:$R$1501="Cheque 支票")*($V$2:$V$1501&lt;&gt;"")*($V$2:$V$1501&lt;=X435)*($S$2:$S$1501-'Opening Balance'!$B$15*($R$2:$R$1501="Cheque 支票")*($S$2:$S$1501-TRUNC($S$2:$S$1501))))-'Opening Balance'!$B$15*SUMPRODUCT(($Z$2:Z435="Online collection 网上收款")*($AA$2:AA435&lt;&gt;"")*($AC$2:AC435-TRUNC($AC$2:AC435))),2))</f>
        <v/>
      </c>
    </row>
    <row r="436">
      <c r="O436" s="5" t="n"/>
      <c r="S436" s="6" t="n"/>
      <c r="V436" s="5" t="n"/>
      <c r="X436" s="5" t="n"/>
      <c r="AC436" s="6" t="n"/>
      <c r="AD436" s="6" t="n"/>
      <c r="AE436" s="7">
        <f>IF(X436="","",ROUND('Opening Balance'!$B$4+SUM($AC$2:AC436)-SUM($AD$2:AD436)+SUMPRODUCT(($Q$2:$Q$1501="Collection 收款")*($R$2:$R$1501="Cheque 支票")*($V$2:$V$1501&lt;&gt;"")*($V$2:$V$1501&lt;=X436)*($S$2:$S$1501-'Opening Balance'!$B$15*($R$2:$R$1501="Cheque 支票")*($S$2:$S$1501-TRUNC($S$2:$S$1501))))-'Opening Balance'!$B$15*SUMPRODUCT(($Z$2:Z436="Online collection 网上收款")*($AA$2:AA436&lt;&gt;"")*($AC$2:AC436-TRUNC($AC$2:AC436))),2))</f>
        <v/>
      </c>
    </row>
    <row r="437">
      <c r="O437" s="5" t="n"/>
      <c r="S437" s="6" t="n"/>
      <c r="V437" s="5" t="n"/>
      <c r="X437" s="5" t="n"/>
      <c r="AC437" s="6" t="n"/>
      <c r="AD437" s="6" t="n"/>
      <c r="AE437" s="7">
        <f>IF(X437="","",ROUND('Opening Balance'!$B$4+SUM($AC$2:AC437)-SUM($AD$2:AD437)+SUMPRODUCT(($Q$2:$Q$1501="Collection 收款")*($R$2:$R$1501="Cheque 支票")*($V$2:$V$1501&lt;&gt;"")*($V$2:$V$1501&lt;=X437)*($S$2:$S$1501-'Opening Balance'!$B$15*($R$2:$R$1501="Cheque 支票")*($S$2:$S$1501-TRUNC($S$2:$S$1501))))-'Opening Balance'!$B$15*SUMPRODUCT(($Z$2:Z437="Online collection 网上收款")*($AA$2:AA437&lt;&gt;"")*($AC$2:AC437-TRUNC($AC$2:AC437))),2))</f>
        <v/>
      </c>
    </row>
    <row r="438">
      <c r="O438" s="5" t="n"/>
      <c r="S438" s="6" t="n"/>
      <c r="V438" s="5" t="n"/>
      <c r="X438" s="5" t="n"/>
      <c r="AC438" s="6" t="n"/>
      <c r="AD438" s="6" t="n"/>
      <c r="AE438" s="7">
        <f>IF(X438="","",ROUND('Opening Balance'!$B$4+SUM($AC$2:AC438)-SUM($AD$2:AD438)+SUMPRODUCT(($Q$2:$Q$1501="Collection 收款")*($R$2:$R$1501="Cheque 支票")*($V$2:$V$1501&lt;&gt;"")*($V$2:$V$1501&lt;=X438)*($S$2:$S$1501-'Opening Balance'!$B$15*($R$2:$R$1501="Cheque 支票")*($S$2:$S$1501-TRUNC($S$2:$S$1501))))-'Opening Balance'!$B$15*SUMPRODUCT(($Z$2:Z438="Online collection 网上收款")*($AA$2:AA438&lt;&gt;"")*($AC$2:AC438-TRUNC($AC$2:AC438))),2))</f>
        <v/>
      </c>
    </row>
    <row r="439">
      <c r="O439" s="5" t="n"/>
      <c r="S439" s="6" t="n"/>
      <c r="V439" s="5" t="n"/>
      <c r="X439" s="5" t="n"/>
      <c r="AC439" s="6" t="n"/>
      <c r="AD439" s="6" t="n"/>
      <c r="AE439" s="7">
        <f>IF(X439="","",ROUND('Opening Balance'!$B$4+SUM($AC$2:AC439)-SUM($AD$2:AD439)+SUMPRODUCT(($Q$2:$Q$1501="Collection 收款")*($R$2:$R$1501="Cheque 支票")*($V$2:$V$1501&lt;&gt;"")*($V$2:$V$1501&lt;=X439)*($S$2:$S$1501-'Opening Balance'!$B$15*($R$2:$R$1501="Cheque 支票")*($S$2:$S$1501-TRUNC($S$2:$S$1501))))-'Opening Balance'!$B$15*SUMPRODUCT(($Z$2:Z439="Online collection 网上收款")*($AA$2:AA439&lt;&gt;"")*($AC$2:AC439-TRUNC($AC$2:AC439))),2))</f>
        <v/>
      </c>
    </row>
    <row r="440">
      <c r="O440" s="5" t="n"/>
      <c r="S440" s="6" t="n"/>
      <c r="V440" s="5" t="n"/>
      <c r="X440" s="5" t="n"/>
      <c r="AC440" s="6" t="n"/>
      <c r="AD440" s="6" t="n"/>
      <c r="AE440" s="7">
        <f>IF(X440="","",ROUND('Opening Balance'!$B$4+SUM($AC$2:AC440)-SUM($AD$2:AD440)+SUMPRODUCT(($Q$2:$Q$1501="Collection 收款")*($R$2:$R$1501="Cheque 支票")*($V$2:$V$1501&lt;&gt;"")*($V$2:$V$1501&lt;=X440)*($S$2:$S$1501-'Opening Balance'!$B$15*($R$2:$R$1501="Cheque 支票")*($S$2:$S$1501-TRUNC($S$2:$S$1501))))-'Opening Balance'!$B$15*SUMPRODUCT(($Z$2:Z440="Online collection 网上收款")*($AA$2:AA440&lt;&gt;"")*($AC$2:AC440-TRUNC($AC$2:AC440))),2))</f>
        <v/>
      </c>
    </row>
    <row r="441">
      <c r="O441" s="5" t="n"/>
      <c r="S441" s="6" t="n"/>
      <c r="V441" s="5" t="n"/>
      <c r="X441" s="5" t="n"/>
      <c r="AC441" s="6" t="n"/>
      <c r="AD441" s="6" t="n"/>
      <c r="AE441" s="7">
        <f>IF(X441="","",ROUND('Opening Balance'!$B$4+SUM($AC$2:AC441)-SUM($AD$2:AD441)+SUMPRODUCT(($Q$2:$Q$1501="Collection 收款")*($R$2:$R$1501="Cheque 支票")*($V$2:$V$1501&lt;&gt;"")*($V$2:$V$1501&lt;=X441)*($S$2:$S$1501-'Opening Balance'!$B$15*($R$2:$R$1501="Cheque 支票")*($S$2:$S$1501-TRUNC($S$2:$S$1501))))-'Opening Balance'!$B$15*SUMPRODUCT(($Z$2:Z441="Online collection 网上收款")*($AA$2:AA441&lt;&gt;"")*($AC$2:AC441-TRUNC($AC$2:AC441))),2))</f>
        <v/>
      </c>
    </row>
    <row r="442">
      <c r="O442" s="5" t="n"/>
      <c r="S442" s="6" t="n"/>
      <c r="V442" s="5" t="n"/>
      <c r="X442" s="5" t="n"/>
      <c r="AC442" s="6" t="n"/>
      <c r="AD442" s="6" t="n"/>
      <c r="AE442" s="7">
        <f>IF(X442="","",ROUND('Opening Balance'!$B$4+SUM($AC$2:AC442)-SUM($AD$2:AD442)+SUMPRODUCT(($Q$2:$Q$1501="Collection 收款")*($R$2:$R$1501="Cheque 支票")*($V$2:$V$1501&lt;&gt;"")*($V$2:$V$1501&lt;=X442)*($S$2:$S$1501-'Opening Balance'!$B$15*($R$2:$R$1501="Cheque 支票")*($S$2:$S$1501-TRUNC($S$2:$S$1501))))-'Opening Balance'!$B$15*SUMPRODUCT(($Z$2:Z442="Online collection 网上收款")*($AA$2:AA442&lt;&gt;"")*($AC$2:AC442-TRUNC($AC$2:AC442))),2))</f>
        <v/>
      </c>
    </row>
    <row r="443">
      <c r="O443" s="5" t="n"/>
      <c r="S443" s="6" t="n"/>
      <c r="V443" s="5" t="n"/>
      <c r="X443" s="5" t="n"/>
      <c r="AC443" s="6" t="n"/>
      <c r="AD443" s="6" t="n"/>
      <c r="AE443" s="7">
        <f>IF(X443="","",ROUND('Opening Balance'!$B$4+SUM($AC$2:AC443)-SUM($AD$2:AD443)+SUMPRODUCT(($Q$2:$Q$1501="Collection 收款")*($R$2:$R$1501="Cheque 支票")*($V$2:$V$1501&lt;&gt;"")*($V$2:$V$1501&lt;=X443)*($S$2:$S$1501-'Opening Balance'!$B$15*($R$2:$R$1501="Cheque 支票")*($S$2:$S$1501-TRUNC($S$2:$S$1501))))-'Opening Balance'!$B$15*SUMPRODUCT(($Z$2:Z443="Online collection 网上收款")*($AA$2:AA443&lt;&gt;"")*($AC$2:AC443-TRUNC($AC$2:AC443))),2))</f>
        <v/>
      </c>
    </row>
    <row r="444">
      <c r="O444" s="5" t="n"/>
      <c r="S444" s="6" t="n"/>
      <c r="V444" s="5" t="n"/>
      <c r="X444" s="5" t="n"/>
      <c r="AC444" s="6" t="n"/>
      <c r="AD444" s="6" t="n"/>
      <c r="AE444" s="7">
        <f>IF(X444="","",ROUND('Opening Balance'!$B$4+SUM($AC$2:AC444)-SUM($AD$2:AD444)+SUMPRODUCT(($Q$2:$Q$1501="Collection 收款")*($R$2:$R$1501="Cheque 支票")*($V$2:$V$1501&lt;&gt;"")*($V$2:$V$1501&lt;=X444)*($S$2:$S$1501-'Opening Balance'!$B$15*($R$2:$R$1501="Cheque 支票")*($S$2:$S$1501-TRUNC($S$2:$S$1501))))-'Opening Balance'!$B$15*SUMPRODUCT(($Z$2:Z444="Online collection 网上收款")*($AA$2:AA444&lt;&gt;"")*($AC$2:AC444-TRUNC($AC$2:AC444))),2))</f>
        <v/>
      </c>
    </row>
    <row r="445">
      <c r="O445" s="5" t="n"/>
      <c r="S445" s="6" t="n"/>
      <c r="V445" s="5" t="n"/>
      <c r="X445" s="5" t="n"/>
      <c r="AC445" s="6" t="n"/>
      <c r="AD445" s="6" t="n"/>
      <c r="AE445" s="7">
        <f>IF(X445="","",ROUND('Opening Balance'!$B$4+SUM($AC$2:AC445)-SUM($AD$2:AD445)+SUMPRODUCT(($Q$2:$Q$1501="Collection 收款")*($R$2:$R$1501="Cheque 支票")*($V$2:$V$1501&lt;&gt;"")*($V$2:$V$1501&lt;=X445)*($S$2:$S$1501-'Opening Balance'!$B$15*($R$2:$R$1501="Cheque 支票")*($S$2:$S$1501-TRUNC($S$2:$S$1501))))-'Opening Balance'!$B$15*SUMPRODUCT(($Z$2:Z445="Online collection 网上收款")*($AA$2:AA445&lt;&gt;"")*($AC$2:AC445-TRUNC($AC$2:AC445))),2))</f>
        <v/>
      </c>
    </row>
    <row r="446">
      <c r="O446" s="5" t="n"/>
      <c r="S446" s="6" t="n"/>
      <c r="V446" s="5" t="n"/>
      <c r="X446" s="5" t="n"/>
      <c r="AC446" s="6" t="n"/>
      <c r="AD446" s="6" t="n"/>
      <c r="AE446" s="7">
        <f>IF(X446="","",ROUND('Opening Balance'!$B$4+SUM($AC$2:AC446)-SUM($AD$2:AD446)+SUMPRODUCT(($Q$2:$Q$1501="Collection 收款")*($R$2:$R$1501="Cheque 支票")*($V$2:$V$1501&lt;&gt;"")*($V$2:$V$1501&lt;=X446)*($S$2:$S$1501-'Opening Balance'!$B$15*($R$2:$R$1501="Cheque 支票")*($S$2:$S$1501-TRUNC($S$2:$S$1501))))-'Opening Balance'!$B$15*SUMPRODUCT(($Z$2:Z446="Online collection 网上收款")*($AA$2:AA446&lt;&gt;"")*($AC$2:AC446-TRUNC($AC$2:AC446))),2))</f>
        <v/>
      </c>
    </row>
    <row r="447">
      <c r="O447" s="5" t="n"/>
      <c r="S447" s="6" t="n"/>
      <c r="V447" s="5" t="n"/>
      <c r="X447" s="5" t="n"/>
      <c r="AC447" s="6" t="n"/>
      <c r="AD447" s="6" t="n"/>
      <c r="AE447" s="7">
        <f>IF(X447="","",ROUND('Opening Balance'!$B$4+SUM($AC$2:AC447)-SUM($AD$2:AD447)+SUMPRODUCT(($Q$2:$Q$1501="Collection 收款")*($R$2:$R$1501="Cheque 支票")*($V$2:$V$1501&lt;&gt;"")*($V$2:$V$1501&lt;=X447)*($S$2:$S$1501-'Opening Balance'!$B$15*($R$2:$R$1501="Cheque 支票")*($S$2:$S$1501-TRUNC($S$2:$S$1501))))-'Opening Balance'!$B$15*SUMPRODUCT(($Z$2:Z447="Online collection 网上收款")*($AA$2:AA447&lt;&gt;"")*($AC$2:AC447-TRUNC($AC$2:AC447))),2))</f>
        <v/>
      </c>
    </row>
    <row r="448">
      <c r="O448" s="5" t="n"/>
      <c r="S448" s="6" t="n"/>
      <c r="V448" s="5" t="n"/>
      <c r="X448" s="5" t="n"/>
      <c r="AC448" s="6" t="n"/>
      <c r="AD448" s="6" t="n"/>
      <c r="AE448" s="7">
        <f>IF(X448="","",ROUND('Opening Balance'!$B$4+SUM($AC$2:AC448)-SUM($AD$2:AD448)+SUMPRODUCT(($Q$2:$Q$1501="Collection 收款")*($R$2:$R$1501="Cheque 支票")*($V$2:$V$1501&lt;&gt;"")*($V$2:$V$1501&lt;=X448)*($S$2:$S$1501-'Opening Balance'!$B$15*($R$2:$R$1501="Cheque 支票")*($S$2:$S$1501-TRUNC($S$2:$S$1501))))-'Opening Balance'!$B$15*SUMPRODUCT(($Z$2:Z448="Online collection 网上收款")*($AA$2:AA448&lt;&gt;"")*($AC$2:AC448-TRUNC($AC$2:AC448))),2))</f>
        <v/>
      </c>
    </row>
    <row r="449">
      <c r="O449" s="5" t="n"/>
      <c r="S449" s="6" t="n"/>
      <c r="V449" s="5" t="n"/>
      <c r="X449" s="5" t="n"/>
      <c r="AC449" s="6" t="n"/>
      <c r="AD449" s="6" t="n"/>
      <c r="AE449" s="7">
        <f>IF(X449="","",ROUND('Opening Balance'!$B$4+SUM($AC$2:AC449)-SUM($AD$2:AD449)+SUMPRODUCT(($Q$2:$Q$1501="Collection 收款")*($R$2:$R$1501="Cheque 支票")*($V$2:$V$1501&lt;&gt;"")*($V$2:$V$1501&lt;=X449)*($S$2:$S$1501-'Opening Balance'!$B$15*($R$2:$R$1501="Cheque 支票")*($S$2:$S$1501-TRUNC($S$2:$S$1501))))-'Opening Balance'!$B$15*SUMPRODUCT(($Z$2:Z449="Online collection 网上收款")*($AA$2:AA449&lt;&gt;"")*($AC$2:AC449-TRUNC($AC$2:AC449))),2))</f>
        <v/>
      </c>
    </row>
    <row r="450">
      <c r="O450" s="5" t="n"/>
      <c r="S450" s="6" t="n"/>
      <c r="V450" s="5" t="n"/>
      <c r="X450" s="5" t="n"/>
      <c r="AC450" s="6" t="n"/>
      <c r="AD450" s="6" t="n"/>
      <c r="AE450" s="7">
        <f>IF(X450="","",ROUND('Opening Balance'!$B$4+SUM($AC$2:AC450)-SUM($AD$2:AD450)+SUMPRODUCT(($Q$2:$Q$1501="Collection 收款")*($R$2:$R$1501="Cheque 支票")*($V$2:$V$1501&lt;&gt;"")*($V$2:$V$1501&lt;=X450)*($S$2:$S$1501-'Opening Balance'!$B$15*($R$2:$R$1501="Cheque 支票")*($S$2:$S$1501-TRUNC($S$2:$S$1501))))-'Opening Balance'!$B$15*SUMPRODUCT(($Z$2:Z450="Online collection 网上收款")*($AA$2:AA450&lt;&gt;"")*($AC$2:AC450-TRUNC($AC$2:AC450))),2))</f>
        <v/>
      </c>
    </row>
    <row r="451">
      <c r="O451" s="5" t="n"/>
      <c r="S451" s="6" t="n"/>
      <c r="V451" s="5" t="n"/>
      <c r="X451" s="5" t="n"/>
      <c r="AC451" s="6" t="n"/>
      <c r="AD451" s="6" t="n"/>
      <c r="AE451" s="7">
        <f>IF(X451="","",ROUND('Opening Balance'!$B$4+SUM($AC$2:AC451)-SUM($AD$2:AD451)+SUMPRODUCT(($Q$2:$Q$1501="Collection 收款")*($R$2:$R$1501="Cheque 支票")*($V$2:$V$1501&lt;&gt;"")*($V$2:$V$1501&lt;=X451)*($S$2:$S$1501-'Opening Balance'!$B$15*($R$2:$R$1501="Cheque 支票")*($S$2:$S$1501-TRUNC($S$2:$S$1501))))-'Opening Balance'!$B$15*SUMPRODUCT(($Z$2:Z451="Online collection 网上收款")*($AA$2:AA451&lt;&gt;"")*($AC$2:AC451-TRUNC($AC$2:AC451))),2))</f>
        <v/>
      </c>
    </row>
    <row r="452">
      <c r="O452" s="5" t="n"/>
      <c r="S452" s="6" t="n"/>
      <c r="V452" s="5" t="n"/>
      <c r="X452" s="5" t="n"/>
      <c r="AC452" s="6" t="n"/>
      <c r="AD452" s="6" t="n"/>
      <c r="AE452" s="7">
        <f>IF(X452="","",ROUND('Opening Balance'!$B$4+SUM($AC$2:AC452)-SUM($AD$2:AD452)+SUMPRODUCT(($Q$2:$Q$1501="Collection 收款")*($R$2:$R$1501="Cheque 支票")*($V$2:$V$1501&lt;&gt;"")*($V$2:$V$1501&lt;=X452)*($S$2:$S$1501-'Opening Balance'!$B$15*($R$2:$R$1501="Cheque 支票")*($S$2:$S$1501-TRUNC($S$2:$S$1501))))-'Opening Balance'!$B$15*SUMPRODUCT(($Z$2:Z452="Online collection 网上收款")*($AA$2:AA452&lt;&gt;"")*($AC$2:AC452-TRUNC($AC$2:AC452))),2))</f>
        <v/>
      </c>
    </row>
    <row r="453">
      <c r="O453" s="5" t="n"/>
      <c r="S453" s="6" t="n"/>
      <c r="V453" s="5" t="n"/>
      <c r="X453" s="5" t="n"/>
      <c r="AC453" s="6" t="n"/>
      <c r="AD453" s="6" t="n"/>
      <c r="AE453" s="7">
        <f>IF(X453="","",ROUND('Opening Balance'!$B$4+SUM($AC$2:AC453)-SUM($AD$2:AD453)+SUMPRODUCT(($Q$2:$Q$1501="Collection 收款")*($R$2:$R$1501="Cheque 支票")*($V$2:$V$1501&lt;&gt;"")*($V$2:$V$1501&lt;=X453)*($S$2:$S$1501-'Opening Balance'!$B$15*($R$2:$R$1501="Cheque 支票")*($S$2:$S$1501-TRUNC($S$2:$S$1501))))-'Opening Balance'!$B$15*SUMPRODUCT(($Z$2:Z453="Online collection 网上收款")*($AA$2:AA453&lt;&gt;"")*($AC$2:AC453-TRUNC($AC$2:AC453))),2))</f>
        <v/>
      </c>
    </row>
    <row r="454">
      <c r="O454" s="5" t="n"/>
      <c r="S454" s="6" t="n"/>
      <c r="V454" s="5" t="n"/>
      <c r="X454" s="5" t="n"/>
      <c r="AC454" s="6" t="n"/>
      <c r="AD454" s="6" t="n"/>
      <c r="AE454" s="7">
        <f>IF(X454="","",ROUND('Opening Balance'!$B$4+SUM($AC$2:AC454)-SUM($AD$2:AD454)+SUMPRODUCT(($Q$2:$Q$1501="Collection 收款")*($R$2:$R$1501="Cheque 支票")*($V$2:$V$1501&lt;&gt;"")*($V$2:$V$1501&lt;=X454)*($S$2:$S$1501-'Opening Balance'!$B$15*($R$2:$R$1501="Cheque 支票")*($S$2:$S$1501-TRUNC($S$2:$S$1501))))-'Opening Balance'!$B$15*SUMPRODUCT(($Z$2:Z454="Online collection 网上收款")*($AA$2:AA454&lt;&gt;"")*($AC$2:AC454-TRUNC($AC$2:AC454))),2))</f>
        <v/>
      </c>
    </row>
    <row r="455">
      <c r="O455" s="5" t="n"/>
      <c r="S455" s="6" t="n"/>
      <c r="V455" s="5" t="n"/>
      <c r="X455" s="5" t="n"/>
      <c r="AC455" s="6" t="n"/>
      <c r="AD455" s="6" t="n"/>
      <c r="AE455" s="7">
        <f>IF(X455="","",ROUND('Opening Balance'!$B$4+SUM($AC$2:AC455)-SUM($AD$2:AD455)+SUMPRODUCT(($Q$2:$Q$1501="Collection 收款")*($R$2:$R$1501="Cheque 支票")*($V$2:$V$1501&lt;&gt;"")*($V$2:$V$1501&lt;=X455)*($S$2:$S$1501-'Opening Balance'!$B$15*($R$2:$R$1501="Cheque 支票")*($S$2:$S$1501-TRUNC($S$2:$S$1501))))-'Opening Balance'!$B$15*SUMPRODUCT(($Z$2:Z455="Online collection 网上收款")*($AA$2:AA455&lt;&gt;"")*($AC$2:AC455-TRUNC($AC$2:AC455))),2))</f>
        <v/>
      </c>
    </row>
    <row r="456">
      <c r="O456" s="5" t="n"/>
      <c r="S456" s="6" t="n"/>
      <c r="V456" s="5" t="n"/>
      <c r="X456" s="5" t="n"/>
      <c r="AC456" s="6" t="n"/>
      <c r="AD456" s="6" t="n"/>
      <c r="AE456" s="7">
        <f>IF(X456="","",ROUND('Opening Balance'!$B$4+SUM($AC$2:AC456)-SUM($AD$2:AD456)+SUMPRODUCT(($Q$2:$Q$1501="Collection 收款")*($R$2:$R$1501="Cheque 支票")*($V$2:$V$1501&lt;&gt;"")*($V$2:$V$1501&lt;=X456)*($S$2:$S$1501-'Opening Balance'!$B$15*($R$2:$R$1501="Cheque 支票")*($S$2:$S$1501-TRUNC($S$2:$S$1501))))-'Opening Balance'!$B$15*SUMPRODUCT(($Z$2:Z456="Online collection 网上收款")*($AA$2:AA456&lt;&gt;"")*($AC$2:AC456-TRUNC($AC$2:AC456))),2))</f>
        <v/>
      </c>
    </row>
    <row r="457">
      <c r="O457" s="5" t="n"/>
      <c r="S457" s="6" t="n"/>
      <c r="V457" s="5" t="n"/>
      <c r="X457" s="5" t="n"/>
      <c r="AC457" s="6" t="n"/>
      <c r="AD457" s="6" t="n"/>
      <c r="AE457" s="7">
        <f>IF(X457="","",ROUND('Opening Balance'!$B$4+SUM($AC$2:AC457)-SUM($AD$2:AD457)+SUMPRODUCT(($Q$2:$Q$1501="Collection 收款")*($R$2:$R$1501="Cheque 支票")*($V$2:$V$1501&lt;&gt;"")*($V$2:$V$1501&lt;=X457)*($S$2:$S$1501-'Opening Balance'!$B$15*($R$2:$R$1501="Cheque 支票")*($S$2:$S$1501-TRUNC($S$2:$S$1501))))-'Opening Balance'!$B$15*SUMPRODUCT(($Z$2:Z457="Online collection 网上收款")*($AA$2:AA457&lt;&gt;"")*($AC$2:AC457-TRUNC($AC$2:AC457))),2))</f>
        <v/>
      </c>
    </row>
    <row r="458">
      <c r="O458" s="5" t="n"/>
      <c r="S458" s="6" t="n"/>
      <c r="V458" s="5" t="n"/>
      <c r="X458" s="5" t="n"/>
      <c r="AC458" s="6" t="n"/>
      <c r="AD458" s="6" t="n"/>
      <c r="AE458" s="7">
        <f>IF(X458="","",ROUND('Opening Balance'!$B$4+SUM($AC$2:AC458)-SUM($AD$2:AD458)+SUMPRODUCT(($Q$2:$Q$1501="Collection 收款")*($R$2:$R$1501="Cheque 支票")*($V$2:$V$1501&lt;&gt;"")*($V$2:$V$1501&lt;=X458)*($S$2:$S$1501-'Opening Balance'!$B$15*($R$2:$R$1501="Cheque 支票")*($S$2:$S$1501-TRUNC($S$2:$S$1501))))-'Opening Balance'!$B$15*SUMPRODUCT(($Z$2:Z458="Online collection 网上收款")*($AA$2:AA458&lt;&gt;"")*($AC$2:AC458-TRUNC($AC$2:AC458))),2))</f>
        <v/>
      </c>
    </row>
    <row r="459">
      <c r="O459" s="5" t="n"/>
      <c r="S459" s="6" t="n"/>
      <c r="V459" s="5" t="n"/>
      <c r="X459" s="5" t="n"/>
      <c r="AC459" s="6" t="n"/>
      <c r="AD459" s="6" t="n"/>
      <c r="AE459" s="7">
        <f>IF(X459="","",ROUND('Opening Balance'!$B$4+SUM($AC$2:AC459)-SUM($AD$2:AD459)+SUMPRODUCT(($Q$2:$Q$1501="Collection 收款")*($R$2:$R$1501="Cheque 支票")*($V$2:$V$1501&lt;&gt;"")*($V$2:$V$1501&lt;=X459)*($S$2:$S$1501-'Opening Balance'!$B$15*($R$2:$R$1501="Cheque 支票")*($S$2:$S$1501-TRUNC($S$2:$S$1501))))-'Opening Balance'!$B$15*SUMPRODUCT(($Z$2:Z459="Online collection 网上收款")*($AA$2:AA459&lt;&gt;"")*($AC$2:AC459-TRUNC($AC$2:AC459))),2))</f>
        <v/>
      </c>
    </row>
    <row r="460">
      <c r="O460" s="5" t="n"/>
      <c r="S460" s="6" t="n"/>
      <c r="V460" s="5" t="n"/>
      <c r="X460" s="5" t="n"/>
      <c r="AC460" s="6" t="n"/>
      <c r="AD460" s="6" t="n"/>
      <c r="AE460" s="7">
        <f>IF(X460="","",ROUND('Opening Balance'!$B$4+SUM($AC$2:AC460)-SUM($AD$2:AD460)+SUMPRODUCT(($Q$2:$Q$1501="Collection 收款")*($R$2:$R$1501="Cheque 支票")*($V$2:$V$1501&lt;&gt;"")*($V$2:$V$1501&lt;=X460)*($S$2:$S$1501-'Opening Balance'!$B$15*($R$2:$R$1501="Cheque 支票")*($S$2:$S$1501-TRUNC($S$2:$S$1501))))-'Opening Balance'!$B$15*SUMPRODUCT(($Z$2:Z460="Online collection 网上收款")*($AA$2:AA460&lt;&gt;"")*($AC$2:AC460-TRUNC($AC$2:AC460))),2))</f>
        <v/>
      </c>
    </row>
    <row r="461">
      <c r="O461" s="5" t="n"/>
      <c r="S461" s="6" t="n"/>
      <c r="V461" s="5" t="n"/>
      <c r="X461" s="5" t="n"/>
      <c r="AC461" s="6" t="n"/>
      <c r="AD461" s="6" t="n"/>
      <c r="AE461" s="7">
        <f>IF(X461="","",ROUND('Opening Balance'!$B$4+SUM($AC$2:AC461)-SUM($AD$2:AD461)+SUMPRODUCT(($Q$2:$Q$1501="Collection 收款")*($R$2:$R$1501="Cheque 支票")*($V$2:$V$1501&lt;&gt;"")*($V$2:$V$1501&lt;=X461)*($S$2:$S$1501-'Opening Balance'!$B$15*($R$2:$R$1501="Cheque 支票")*($S$2:$S$1501-TRUNC($S$2:$S$1501))))-'Opening Balance'!$B$15*SUMPRODUCT(($Z$2:Z461="Online collection 网上收款")*($AA$2:AA461&lt;&gt;"")*($AC$2:AC461-TRUNC($AC$2:AC461))),2))</f>
        <v/>
      </c>
    </row>
    <row r="462">
      <c r="O462" s="5" t="n"/>
      <c r="S462" s="6" t="n"/>
      <c r="V462" s="5" t="n"/>
      <c r="X462" s="5" t="n"/>
      <c r="AC462" s="6" t="n"/>
      <c r="AD462" s="6" t="n"/>
      <c r="AE462" s="7">
        <f>IF(X462="","",ROUND('Opening Balance'!$B$4+SUM($AC$2:AC462)-SUM($AD$2:AD462)+SUMPRODUCT(($Q$2:$Q$1501="Collection 收款")*($R$2:$R$1501="Cheque 支票")*($V$2:$V$1501&lt;&gt;"")*($V$2:$V$1501&lt;=X462)*($S$2:$S$1501-'Opening Balance'!$B$15*($R$2:$R$1501="Cheque 支票")*($S$2:$S$1501-TRUNC($S$2:$S$1501))))-'Opening Balance'!$B$15*SUMPRODUCT(($Z$2:Z462="Online collection 网上收款")*($AA$2:AA462&lt;&gt;"")*($AC$2:AC462-TRUNC($AC$2:AC462))),2))</f>
        <v/>
      </c>
    </row>
    <row r="463">
      <c r="O463" s="5" t="n"/>
      <c r="S463" s="6" t="n"/>
      <c r="V463" s="5" t="n"/>
      <c r="X463" s="5" t="n"/>
      <c r="AC463" s="6" t="n"/>
      <c r="AD463" s="6" t="n"/>
      <c r="AE463" s="7">
        <f>IF(X463="","",ROUND('Opening Balance'!$B$4+SUM($AC$2:AC463)-SUM($AD$2:AD463)+SUMPRODUCT(($Q$2:$Q$1501="Collection 收款")*($R$2:$R$1501="Cheque 支票")*($V$2:$V$1501&lt;&gt;"")*($V$2:$V$1501&lt;=X463)*($S$2:$S$1501-'Opening Balance'!$B$15*($R$2:$R$1501="Cheque 支票")*($S$2:$S$1501-TRUNC($S$2:$S$1501))))-'Opening Balance'!$B$15*SUMPRODUCT(($Z$2:Z463="Online collection 网上收款")*($AA$2:AA463&lt;&gt;"")*($AC$2:AC463-TRUNC($AC$2:AC463))),2))</f>
        <v/>
      </c>
    </row>
    <row r="464">
      <c r="O464" s="5" t="n"/>
      <c r="S464" s="6" t="n"/>
      <c r="V464" s="5" t="n"/>
      <c r="X464" s="5" t="n"/>
      <c r="AC464" s="6" t="n"/>
      <c r="AD464" s="6" t="n"/>
      <c r="AE464" s="7">
        <f>IF(X464="","",ROUND('Opening Balance'!$B$4+SUM($AC$2:AC464)-SUM($AD$2:AD464)+SUMPRODUCT(($Q$2:$Q$1501="Collection 收款")*($R$2:$R$1501="Cheque 支票")*($V$2:$V$1501&lt;&gt;"")*($V$2:$V$1501&lt;=X464)*($S$2:$S$1501-'Opening Balance'!$B$15*($R$2:$R$1501="Cheque 支票")*($S$2:$S$1501-TRUNC($S$2:$S$1501))))-'Opening Balance'!$B$15*SUMPRODUCT(($Z$2:Z464="Online collection 网上收款")*($AA$2:AA464&lt;&gt;"")*($AC$2:AC464-TRUNC($AC$2:AC464))),2))</f>
        <v/>
      </c>
    </row>
    <row r="465">
      <c r="O465" s="5" t="n"/>
      <c r="S465" s="6" t="n"/>
      <c r="V465" s="5" t="n"/>
      <c r="X465" s="5" t="n"/>
      <c r="AC465" s="6" t="n"/>
      <c r="AD465" s="6" t="n"/>
      <c r="AE465" s="7">
        <f>IF(X465="","",ROUND('Opening Balance'!$B$4+SUM($AC$2:AC465)-SUM($AD$2:AD465)+SUMPRODUCT(($Q$2:$Q$1501="Collection 收款")*($R$2:$R$1501="Cheque 支票")*($V$2:$V$1501&lt;&gt;"")*($V$2:$V$1501&lt;=X465)*($S$2:$S$1501-'Opening Balance'!$B$15*($R$2:$R$1501="Cheque 支票")*($S$2:$S$1501-TRUNC($S$2:$S$1501))))-'Opening Balance'!$B$15*SUMPRODUCT(($Z$2:Z465="Online collection 网上收款")*($AA$2:AA465&lt;&gt;"")*($AC$2:AC465-TRUNC($AC$2:AC465))),2))</f>
        <v/>
      </c>
    </row>
    <row r="466">
      <c r="O466" s="5" t="n"/>
      <c r="S466" s="6" t="n"/>
      <c r="V466" s="5" t="n"/>
      <c r="X466" s="5" t="n"/>
      <c r="AC466" s="6" t="n"/>
      <c r="AD466" s="6" t="n"/>
      <c r="AE466" s="7">
        <f>IF(X466="","",ROUND('Opening Balance'!$B$4+SUM($AC$2:AC466)-SUM($AD$2:AD466)+SUMPRODUCT(($Q$2:$Q$1501="Collection 收款")*($R$2:$R$1501="Cheque 支票")*($V$2:$V$1501&lt;&gt;"")*($V$2:$V$1501&lt;=X466)*($S$2:$S$1501-'Opening Balance'!$B$15*($R$2:$R$1501="Cheque 支票")*($S$2:$S$1501-TRUNC($S$2:$S$1501))))-'Opening Balance'!$B$15*SUMPRODUCT(($Z$2:Z466="Online collection 网上收款")*($AA$2:AA466&lt;&gt;"")*($AC$2:AC466-TRUNC($AC$2:AC466))),2))</f>
        <v/>
      </c>
    </row>
    <row r="467">
      <c r="O467" s="5" t="n"/>
      <c r="S467" s="6" t="n"/>
      <c r="V467" s="5" t="n"/>
      <c r="X467" s="5" t="n"/>
      <c r="AC467" s="6" t="n"/>
      <c r="AD467" s="6" t="n"/>
      <c r="AE467" s="7">
        <f>IF(X467="","",ROUND('Opening Balance'!$B$4+SUM($AC$2:AC467)-SUM($AD$2:AD467)+SUMPRODUCT(($Q$2:$Q$1501="Collection 收款")*($R$2:$R$1501="Cheque 支票")*($V$2:$V$1501&lt;&gt;"")*($V$2:$V$1501&lt;=X467)*($S$2:$S$1501-'Opening Balance'!$B$15*($R$2:$R$1501="Cheque 支票")*($S$2:$S$1501-TRUNC($S$2:$S$1501))))-'Opening Balance'!$B$15*SUMPRODUCT(($Z$2:Z467="Online collection 网上收款")*($AA$2:AA467&lt;&gt;"")*($AC$2:AC467-TRUNC($AC$2:AC467))),2))</f>
        <v/>
      </c>
    </row>
    <row r="468">
      <c r="O468" s="5" t="n"/>
      <c r="S468" s="6" t="n"/>
      <c r="V468" s="5" t="n"/>
      <c r="X468" s="5" t="n"/>
      <c r="AC468" s="6" t="n"/>
      <c r="AD468" s="6" t="n"/>
      <c r="AE468" s="7">
        <f>IF(X468="","",ROUND('Opening Balance'!$B$4+SUM($AC$2:AC468)-SUM($AD$2:AD468)+SUMPRODUCT(($Q$2:$Q$1501="Collection 收款")*($R$2:$R$1501="Cheque 支票")*($V$2:$V$1501&lt;&gt;"")*($V$2:$V$1501&lt;=X468)*($S$2:$S$1501-'Opening Balance'!$B$15*($R$2:$R$1501="Cheque 支票")*($S$2:$S$1501-TRUNC($S$2:$S$1501))))-'Opening Balance'!$B$15*SUMPRODUCT(($Z$2:Z468="Online collection 网上收款")*($AA$2:AA468&lt;&gt;"")*($AC$2:AC468-TRUNC($AC$2:AC468))),2))</f>
        <v/>
      </c>
    </row>
    <row r="469">
      <c r="O469" s="5" t="n"/>
      <c r="S469" s="6" t="n"/>
      <c r="V469" s="5" t="n"/>
      <c r="X469" s="5" t="n"/>
      <c r="AC469" s="6" t="n"/>
      <c r="AD469" s="6" t="n"/>
      <c r="AE469" s="7">
        <f>IF(X469="","",ROUND('Opening Balance'!$B$4+SUM($AC$2:AC469)-SUM($AD$2:AD469)+SUMPRODUCT(($Q$2:$Q$1501="Collection 收款")*($R$2:$R$1501="Cheque 支票")*($V$2:$V$1501&lt;&gt;"")*($V$2:$V$1501&lt;=X469)*($S$2:$S$1501-'Opening Balance'!$B$15*($R$2:$R$1501="Cheque 支票")*($S$2:$S$1501-TRUNC($S$2:$S$1501))))-'Opening Balance'!$B$15*SUMPRODUCT(($Z$2:Z469="Online collection 网上收款")*($AA$2:AA469&lt;&gt;"")*($AC$2:AC469-TRUNC($AC$2:AC469))),2))</f>
        <v/>
      </c>
    </row>
    <row r="470">
      <c r="O470" s="5" t="n"/>
      <c r="S470" s="6" t="n"/>
      <c r="V470" s="5" t="n"/>
      <c r="X470" s="5" t="n"/>
      <c r="AC470" s="6" t="n"/>
      <c r="AD470" s="6" t="n"/>
      <c r="AE470" s="7">
        <f>IF(X470="","",ROUND('Opening Balance'!$B$4+SUM($AC$2:AC470)-SUM($AD$2:AD470)+SUMPRODUCT(($Q$2:$Q$1501="Collection 收款")*($R$2:$R$1501="Cheque 支票")*($V$2:$V$1501&lt;&gt;"")*($V$2:$V$1501&lt;=X470)*($S$2:$S$1501-'Opening Balance'!$B$15*($R$2:$R$1501="Cheque 支票")*($S$2:$S$1501-TRUNC($S$2:$S$1501))))-'Opening Balance'!$B$15*SUMPRODUCT(($Z$2:Z470="Online collection 网上收款")*($AA$2:AA470&lt;&gt;"")*($AC$2:AC470-TRUNC($AC$2:AC470))),2))</f>
        <v/>
      </c>
    </row>
    <row r="471">
      <c r="O471" s="5" t="n"/>
      <c r="S471" s="6" t="n"/>
      <c r="V471" s="5" t="n"/>
      <c r="X471" s="5" t="n"/>
      <c r="AC471" s="6" t="n"/>
      <c r="AD471" s="6" t="n"/>
      <c r="AE471" s="7">
        <f>IF(X471="","",ROUND('Opening Balance'!$B$4+SUM($AC$2:AC471)-SUM($AD$2:AD471)+SUMPRODUCT(($Q$2:$Q$1501="Collection 收款")*($R$2:$R$1501="Cheque 支票")*($V$2:$V$1501&lt;&gt;"")*($V$2:$V$1501&lt;=X471)*($S$2:$S$1501-'Opening Balance'!$B$15*($R$2:$R$1501="Cheque 支票")*($S$2:$S$1501-TRUNC($S$2:$S$1501))))-'Opening Balance'!$B$15*SUMPRODUCT(($Z$2:Z471="Online collection 网上收款")*($AA$2:AA471&lt;&gt;"")*($AC$2:AC471-TRUNC($AC$2:AC471))),2))</f>
        <v/>
      </c>
    </row>
    <row r="472">
      <c r="O472" s="5" t="n"/>
      <c r="S472" s="6" t="n"/>
      <c r="V472" s="5" t="n"/>
      <c r="X472" s="5" t="n"/>
      <c r="AC472" s="6" t="n"/>
      <c r="AD472" s="6" t="n"/>
      <c r="AE472" s="7">
        <f>IF(X472="","",ROUND('Opening Balance'!$B$4+SUM($AC$2:AC472)-SUM($AD$2:AD472)+SUMPRODUCT(($Q$2:$Q$1501="Collection 收款")*($R$2:$R$1501="Cheque 支票")*($V$2:$V$1501&lt;&gt;"")*($V$2:$V$1501&lt;=X472)*($S$2:$S$1501-'Opening Balance'!$B$15*($R$2:$R$1501="Cheque 支票")*($S$2:$S$1501-TRUNC($S$2:$S$1501))))-'Opening Balance'!$B$15*SUMPRODUCT(($Z$2:Z472="Online collection 网上收款")*($AA$2:AA472&lt;&gt;"")*($AC$2:AC472-TRUNC($AC$2:AC472))),2))</f>
        <v/>
      </c>
    </row>
    <row r="473">
      <c r="O473" s="5" t="n"/>
      <c r="S473" s="6" t="n"/>
      <c r="V473" s="5" t="n"/>
      <c r="X473" s="5" t="n"/>
      <c r="AC473" s="6" t="n"/>
      <c r="AD473" s="6" t="n"/>
      <c r="AE473" s="7">
        <f>IF(X473="","",ROUND('Opening Balance'!$B$4+SUM($AC$2:AC473)-SUM($AD$2:AD473)+SUMPRODUCT(($Q$2:$Q$1501="Collection 收款")*($R$2:$R$1501="Cheque 支票")*($V$2:$V$1501&lt;&gt;"")*($V$2:$V$1501&lt;=X473)*($S$2:$S$1501-'Opening Balance'!$B$15*($R$2:$R$1501="Cheque 支票")*($S$2:$S$1501-TRUNC($S$2:$S$1501))))-'Opening Balance'!$B$15*SUMPRODUCT(($Z$2:Z473="Online collection 网上收款")*($AA$2:AA473&lt;&gt;"")*($AC$2:AC473-TRUNC($AC$2:AC473))),2))</f>
        <v/>
      </c>
    </row>
    <row r="474">
      <c r="O474" s="5" t="n"/>
      <c r="S474" s="6" t="n"/>
      <c r="V474" s="5" t="n"/>
      <c r="X474" s="5" t="n"/>
      <c r="AC474" s="6" t="n"/>
      <c r="AD474" s="6" t="n"/>
      <c r="AE474" s="7">
        <f>IF(X474="","",ROUND('Opening Balance'!$B$4+SUM($AC$2:AC474)-SUM($AD$2:AD474)+SUMPRODUCT(($Q$2:$Q$1501="Collection 收款")*($R$2:$R$1501="Cheque 支票")*($V$2:$V$1501&lt;&gt;"")*($V$2:$V$1501&lt;=X474)*($S$2:$S$1501-'Opening Balance'!$B$15*($R$2:$R$1501="Cheque 支票")*($S$2:$S$1501-TRUNC($S$2:$S$1501))))-'Opening Balance'!$B$15*SUMPRODUCT(($Z$2:Z474="Online collection 网上收款")*($AA$2:AA474&lt;&gt;"")*($AC$2:AC474-TRUNC($AC$2:AC474))),2))</f>
        <v/>
      </c>
    </row>
    <row r="475">
      <c r="O475" s="5" t="n"/>
      <c r="S475" s="6" t="n"/>
      <c r="V475" s="5" t="n"/>
      <c r="X475" s="5" t="n"/>
      <c r="AC475" s="6" t="n"/>
      <c r="AD475" s="6" t="n"/>
      <c r="AE475" s="7">
        <f>IF(X475="","",ROUND('Opening Balance'!$B$4+SUM($AC$2:AC475)-SUM($AD$2:AD475)+SUMPRODUCT(($Q$2:$Q$1501="Collection 收款")*($R$2:$R$1501="Cheque 支票")*($V$2:$V$1501&lt;&gt;"")*($V$2:$V$1501&lt;=X475)*($S$2:$S$1501-'Opening Balance'!$B$15*($R$2:$R$1501="Cheque 支票")*($S$2:$S$1501-TRUNC($S$2:$S$1501))))-'Opening Balance'!$B$15*SUMPRODUCT(($Z$2:Z475="Online collection 网上收款")*($AA$2:AA475&lt;&gt;"")*($AC$2:AC475-TRUNC($AC$2:AC475))),2))</f>
        <v/>
      </c>
    </row>
    <row r="476">
      <c r="O476" s="5" t="n"/>
      <c r="S476" s="6" t="n"/>
      <c r="V476" s="5" t="n"/>
      <c r="X476" s="5" t="n"/>
      <c r="AC476" s="6" t="n"/>
      <c r="AD476" s="6" t="n"/>
      <c r="AE476" s="7">
        <f>IF(X476="","",ROUND('Opening Balance'!$B$4+SUM($AC$2:AC476)-SUM($AD$2:AD476)+SUMPRODUCT(($Q$2:$Q$1501="Collection 收款")*($R$2:$R$1501="Cheque 支票")*($V$2:$V$1501&lt;&gt;"")*($V$2:$V$1501&lt;=X476)*($S$2:$S$1501-'Opening Balance'!$B$15*($R$2:$R$1501="Cheque 支票")*($S$2:$S$1501-TRUNC($S$2:$S$1501))))-'Opening Balance'!$B$15*SUMPRODUCT(($Z$2:Z476="Online collection 网上收款")*($AA$2:AA476&lt;&gt;"")*($AC$2:AC476-TRUNC($AC$2:AC476))),2))</f>
        <v/>
      </c>
    </row>
    <row r="477">
      <c r="O477" s="5" t="n"/>
      <c r="S477" s="6" t="n"/>
      <c r="V477" s="5" t="n"/>
      <c r="X477" s="5" t="n"/>
      <c r="AC477" s="6" t="n"/>
      <c r="AD477" s="6" t="n"/>
      <c r="AE477" s="7">
        <f>IF(X477="","",ROUND('Opening Balance'!$B$4+SUM($AC$2:AC477)-SUM($AD$2:AD477)+SUMPRODUCT(($Q$2:$Q$1501="Collection 收款")*($R$2:$R$1501="Cheque 支票")*($V$2:$V$1501&lt;&gt;"")*($V$2:$V$1501&lt;=X477)*($S$2:$S$1501-'Opening Balance'!$B$15*($R$2:$R$1501="Cheque 支票")*($S$2:$S$1501-TRUNC($S$2:$S$1501))))-'Opening Balance'!$B$15*SUMPRODUCT(($Z$2:Z477="Online collection 网上收款")*($AA$2:AA477&lt;&gt;"")*($AC$2:AC477-TRUNC($AC$2:AC477))),2))</f>
        <v/>
      </c>
    </row>
    <row r="478">
      <c r="O478" s="5" t="n"/>
      <c r="S478" s="6" t="n"/>
      <c r="V478" s="5" t="n"/>
      <c r="X478" s="5" t="n"/>
      <c r="AC478" s="6" t="n"/>
      <c r="AD478" s="6" t="n"/>
      <c r="AE478" s="7">
        <f>IF(X478="","",ROUND('Opening Balance'!$B$4+SUM($AC$2:AC478)-SUM($AD$2:AD478)+SUMPRODUCT(($Q$2:$Q$1501="Collection 收款")*($R$2:$R$1501="Cheque 支票")*($V$2:$V$1501&lt;&gt;"")*($V$2:$V$1501&lt;=X478)*($S$2:$S$1501-'Opening Balance'!$B$15*($R$2:$R$1501="Cheque 支票")*($S$2:$S$1501-TRUNC($S$2:$S$1501))))-'Opening Balance'!$B$15*SUMPRODUCT(($Z$2:Z478="Online collection 网上收款")*($AA$2:AA478&lt;&gt;"")*($AC$2:AC478-TRUNC($AC$2:AC478))),2))</f>
        <v/>
      </c>
    </row>
    <row r="479">
      <c r="O479" s="5" t="n"/>
      <c r="S479" s="6" t="n"/>
      <c r="V479" s="5" t="n"/>
      <c r="X479" s="5" t="n"/>
      <c r="AC479" s="6" t="n"/>
      <c r="AD479" s="6" t="n"/>
      <c r="AE479" s="7">
        <f>IF(X479="","",ROUND('Opening Balance'!$B$4+SUM($AC$2:AC479)-SUM($AD$2:AD479)+SUMPRODUCT(($Q$2:$Q$1501="Collection 收款")*($R$2:$R$1501="Cheque 支票")*($V$2:$V$1501&lt;&gt;"")*($V$2:$V$1501&lt;=X479)*($S$2:$S$1501-'Opening Balance'!$B$15*($R$2:$R$1501="Cheque 支票")*($S$2:$S$1501-TRUNC($S$2:$S$1501))))-'Opening Balance'!$B$15*SUMPRODUCT(($Z$2:Z479="Online collection 网上收款")*($AA$2:AA479&lt;&gt;"")*($AC$2:AC479-TRUNC($AC$2:AC479))),2))</f>
        <v/>
      </c>
    </row>
    <row r="480">
      <c r="O480" s="5" t="n"/>
      <c r="S480" s="6" t="n"/>
      <c r="V480" s="5" t="n"/>
      <c r="X480" s="5" t="n"/>
      <c r="AC480" s="6" t="n"/>
      <c r="AD480" s="6" t="n"/>
      <c r="AE480" s="7">
        <f>IF(X480="","",ROUND('Opening Balance'!$B$4+SUM($AC$2:AC480)-SUM($AD$2:AD480)+SUMPRODUCT(($Q$2:$Q$1501="Collection 收款")*($R$2:$R$1501="Cheque 支票")*($V$2:$V$1501&lt;&gt;"")*($V$2:$V$1501&lt;=X480)*($S$2:$S$1501-'Opening Balance'!$B$15*($R$2:$R$1501="Cheque 支票")*($S$2:$S$1501-TRUNC($S$2:$S$1501))))-'Opening Balance'!$B$15*SUMPRODUCT(($Z$2:Z480="Online collection 网上收款")*($AA$2:AA480&lt;&gt;"")*($AC$2:AC480-TRUNC($AC$2:AC480))),2))</f>
        <v/>
      </c>
    </row>
    <row r="481">
      <c r="O481" s="5" t="n"/>
      <c r="S481" s="6" t="n"/>
      <c r="V481" s="5" t="n"/>
      <c r="X481" s="5" t="n"/>
      <c r="AC481" s="6" t="n"/>
      <c r="AD481" s="6" t="n"/>
      <c r="AE481" s="7">
        <f>IF(X481="","",ROUND('Opening Balance'!$B$4+SUM($AC$2:AC481)-SUM($AD$2:AD481)+SUMPRODUCT(($Q$2:$Q$1501="Collection 收款")*($R$2:$R$1501="Cheque 支票")*($V$2:$V$1501&lt;&gt;"")*($V$2:$V$1501&lt;=X481)*($S$2:$S$1501-'Opening Balance'!$B$15*($R$2:$R$1501="Cheque 支票")*($S$2:$S$1501-TRUNC($S$2:$S$1501))))-'Opening Balance'!$B$15*SUMPRODUCT(($Z$2:Z481="Online collection 网上收款")*($AA$2:AA481&lt;&gt;"")*($AC$2:AC481-TRUNC($AC$2:AC481))),2))</f>
        <v/>
      </c>
    </row>
    <row r="482">
      <c r="O482" s="5" t="n"/>
      <c r="S482" s="6" t="n"/>
      <c r="V482" s="5" t="n"/>
      <c r="X482" s="5" t="n"/>
      <c r="AC482" s="6" t="n"/>
      <c r="AD482" s="6" t="n"/>
      <c r="AE482" s="7">
        <f>IF(X482="","",ROUND('Opening Balance'!$B$4+SUM($AC$2:AC482)-SUM($AD$2:AD482)+SUMPRODUCT(($Q$2:$Q$1501="Collection 收款")*($R$2:$R$1501="Cheque 支票")*($V$2:$V$1501&lt;&gt;"")*($V$2:$V$1501&lt;=X482)*($S$2:$S$1501-'Opening Balance'!$B$15*($R$2:$R$1501="Cheque 支票")*($S$2:$S$1501-TRUNC($S$2:$S$1501))))-'Opening Balance'!$B$15*SUMPRODUCT(($Z$2:Z482="Online collection 网上收款")*($AA$2:AA482&lt;&gt;"")*($AC$2:AC482-TRUNC($AC$2:AC482))),2))</f>
        <v/>
      </c>
    </row>
    <row r="483">
      <c r="O483" s="5" t="n"/>
      <c r="S483" s="6" t="n"/>
      <c r="V483" s="5" t="n"/>
      <c r="X483" s="5" t="n"/>
      <c r="AC483" s="6" t="n"/>
      <c r="AD483" s="6" t="n"/>
      <c r="AE483" s="7">
        <f>IF(X483="","",ROUND('Opening Balance'!$B$4+SUM($AC$2:AC483)-SUM($AD$2:AD483)+SUMPRODUCT(($Q$2:$Q$1501="Collection 收款")*($R$2:$R$1501="Cheque 支票")*($V$2:$V$1501&lt;&gt;"")*($V$2:$V$1501&lt;=X483)*($S$2:$S$1501-'Opening Balance'!$B$15*($R$2:$R$1501="Cheque 支票")*($S$2:$S$1501-TRUNC($S$2:$S$1501))))-'Opening Balance'!$B$15*SUMPRODUCT(($Z$2:Z483="Online collection 网上收款")*($AA$2:AA483&lt;&gt;"")*($AC$2:AC483-TRUNC($AC$2:AC483))),2))</f>
        <v/>
      </c>
    </row>
    <row r="484">
      <c r="O484" s="5" t="n"/>
      <c r="S484" s="6" t="n"/>
      <c r="V484" s="5" t="n"/>
      <c r="X484" s="5" t="n"/>
      <c r="AC484" s="6" t="n"/>
      <c r="AD484" s="6" t="n"/>
      <c r="AE484" s="7">
        <f>IF(X484="","",ROUND('Opening Balance'!$B$4+SUM($AC$2:AC484)-SUM($AD$2:AD484)+SUMPRODUCT(($Q$2:$Q$1501="Collection 收款")*($R$2:$R$1501="Cheque 支票")*($V$2:$V$1501&lt;&gt;"")*($V$2:$V$1501&lt;=X484)*($S$2:$S$1501-'Opening Balance'!$B$15*($R$2:$R$1501="Cheque 支票")*($S$2:$S$1501-TRUNC($S$2:$S$1501))))-'Opening Balance'!$B$15*SUMPRODUCT(($Z$2:Z484="Online collection 网上收款")*($AA$2:AA484&lt;&gt;"")*($AC$2:AC484-TRUNC($AC$2:AC484))),2))</f>
        <v/>
      </c>
    </row>
    <row r="485">
      <c r="O485" s="5" t="n"/>
      <c r="S485" s="6" t="n"/>
      <c r="V485" s="5" t="n"/>
      <c r="X485" s="5" t="n"/>
      <c r="AC485" s="6" t="n"/>
      <c r="AD485" s="6" t="n"/>
      <c r="AE485" s="7">
        <f>IF(X485="","",ROUND('Opening Balance'!$B$4+SUM($AC$2:AC485)-SUM($AD$2:AD485)+SUMPRODUCT(($Q$2:$Q$1501="Collection 收款")*($R$2:$R$1501="Cheque 支票")*($V$2:$V$1501&lt;&gt;"")*($V$2:$V$1501&lt;=X485)*($S$2:$S$1501-'Opening Balance'!$B$15*($R$2:$R$1501="Cheque 支票")*($S$2:$S$1501-TRUNC($S$2:$S$1501))))-'Opening Balance'!$B$15*SUMPRODUCT(($Z$2:Z485="Online collection 网上收款")*($AA$2:AA485&lt;&gt;"")*($AC$2:AC485-TRUNC($AC$2:AC485))),2))</f>
        <v/>
      </c>
    </row>
    <row r="486">
      <c r="O486" s="5" t="n"/>
      <c r="S486" s="6" t="n"/>
      <c r="V486" s="5" t="n"/>
      <c r="X486" s="5" t="n"/>
      <c r="AC486" s="6" t="n"/>
      <c r="AD486" s="6" t="n"/>
      <c r="AE486" s="7">
        <f>IF(X486="","",ROUND('Opening Balance'!$B$4+SUM($AC$2:AC486)-SUM($AD$2:AD486)+SUMPRODUCT(($Q$2:$Q$1501="Collection 收款")*($R$2:$R$1501="Cheque 支票")*($V$2:$V$1501&lt;&gt;"")*($V$2:$V$1501&lt;=X486)*($S$2:$S$1501-'Opening Balance'!$B$15*($R$2:$R$1501="Cheque 支票")*($S$2:$S$1501-TRUNC($S$2:$S$1501))))-'Opening Balance'!$B$15*SUMPRODUCT(($Z$2:Z486="Online collection 网上收款")*($AA$2:AA486&lt;&gt;"")*($AC$2:AC486-TRUNC($AC$2:AC486))),2))</f>
        <v/>
      </c>
    </row>
    <row r="487">
      <c r="O487" s="5" t="n"/>
      <c r="S487" s="6" t="n"/>
      <c r="V487" s="5" t="n"/>
      <c r="X487" s="5" t="n"/>
      <c r="AC487" s="6" t="n"/>
      <c r="AD487" s="6" t="n"/>
      <c r="AE487" s="7">
        <f>IF(X487="","",ROUND('Opening Balance'!$B$4+SUM($AC$2:AC487)-SUM($AD$2:AD487)+SUMPRODUCT(($Q$2:$Q$1501="Collection 收款")*($R$2:$R$1501="Cheque 支票")*($V$2:$V$1501&lt;&gt;"")*($V$2:$V$1501&lt;=X487)*($S$2:$S$1501-'Opening Balance'!$B$15*($R$2:$R$1501="Cheque 支票")*($S$2:$S$1501-TRUNC($S$2:$S$1501))))-'Opening Balance'!$B$15*SUMPRODUCT(($Z$2:Z487="Online collection 网上收款")*($AA$2:AA487&lt;&gt;"")*($AC$2:AC487-TRUNC($AC$2:AC487))),2))</f>
        <v/>
      </c>
    </row>
    <row r="488">
      <c r="O488" s="5" t="n"/>
      <c r="S488" s="6" t="n"/>
      <c r="V488" s="5" t="n"/>
      <c r="X488" s="5" t="n"/>
      <c r="AC488" s="6" t="n"/>
      <c r="AD488" s="6" t="n"/>
      <c r="AE488" s="7">
        <f>IF(X488="","",ROUND('Opening Balance'!$B$4+SUM($AC$2:AC488)-SUM($AD$2:AD488)+SUMPRODUCT(($Q$2:$Q$1501="Collection 收款")*($R$2:$R$1501="Cheque 支票")*($V$2:$V$1501&lt;&gt;"")*($V$2:$V$1501&lt;=X488)*($S$2:$S$1501-'Opening Balance'!$B$15*($R$2:$R$1501="Cheque 支票")*($S$2:$S$1501-TRUNC($S$2:$S$1501))))-'Opening Balance'!$B$15*SUMPRODUCT(($Z$2:Z488="Online collection 网上收款")*($AA$2:AA488&lt;&gt;"")*($AC$2:AC488-TRUNC($AC$2:AC488))),2))</f>
        <v/>
      </c>
    </row>
    <row r="489">
      <c r="O489" s="5" t="n"/>
      <c r="S489" s="6" t="n"/>
      <c r="V489" s="5" t="n"/>
      <c r="X489" s="5" t="n"/>
      <c r="AC489" s="6" t="n"/>
      <c r="AD489" s="6" t="n"/>
      <c r="AE489" s="7">
        <f>IF(X489="","",ROUND('Opening Balance'!$B$4+SUM($AC$2:AC489)-SUM($AD$2:AD489)+SUMPRODUCT(($Q$2:$Q$1501="Collection 收款")*($R$2:$R$1501="Cheque 支票")*($V$2:$V$1501&lt;&gt;"")*($V$2:$V$1501&lt;=X489)*($S$2:$S$1501-'Opening Balance'!$B$15*($R$2:$R$1501="Cheque 支票")*($S$2:$S$1501-TRUNC($S$2:$S$1501))))-'Opening Balance'!$B$15*SUMPRODUCT(($Z$2:Z489="Online collection 网上收款")*($AA$2:AA489&lt;&gt;"")*($AC$2:AC489-TRUNC($AC$2:AC489))),2))</f>
        <v/>
      </c>
    </row>
    <row r="490">
      <c r="O490" s="5" t="n"/>
      <c r="S490" s="6" t="n"/>
      <c r="V490" s="5" t="n"/>
      <c r="X490" s="5" t="n"/>
      <c r="AC490" s="6" t="n"/>
      <c r="AD490" s="6" t="n"/>
      <c r="AE490" s="7">
        <f>IF(X490="","",ROUND('Opening Balance'!$B$4+SUM($AC$2:AC490)-SUM($AD$2:AD490)+SUMPRODUCT(($Q$2:$Q$1501="Collection 收款")*($R$2:$R$1501="Cheque 支票")*($V$2:$V$1501&lt;&gt;"")*($V$2:$V$1501&lt;=X490)*($S$2:$S$1501-'Opening Balance'!$B$15*($R$2:$R$1501="Cheque 支票")*($S$2:$S$1501-TRUNC($S$2:$S$1501))))-'Opening Balance'!$B$15*SUMPRODUCT(($Z$2:Z490="Online collection 网上收款")*($AA$2:AA490&lt;&gt;"")*($AC$2:AC490-TRUNC($AC$2:AC490))),2))</f>
        <v/>
      </c>
    </row>
    <row r="491">
      <c r="O491" s="5" t="n"/>
      <c r="S491" s="6" t="n"/>
      <c r="V491" s="5" t="n"/>
      <c r="X491" s="5" t="n"/>
      <c r="AC491" s="6" t="n"/>
      <c r="AD491" s="6" t="n"/>
      <c r="AE491" s="7">
        <f>IF(X491="","",ROUND('Opening Balance'!$B$4+SUM($AC$2:AC491)-SUM($AD$2:AD491)+SUMPRODUCT(($Q$2:$Q$1501="Collection 收款")*($R$2:$R$1501="Cheque 支票")*($V$2:$V$1501&lt;&gt;"")*($V$2:$V$1501&lt;=X491)*($S$2:$S$1501-'Opening Balance'!$B$15*($R$2:$R$1501="Cheque 支票")*($S$2:$S$1501-TRUNC($S$2:$S$1501))))-'Opening Balance'!$B$15*SUMPRODUCT(($Z$2:Z491="Online collection 网上收款")*($AA$2:AA491&lt;&gt;"")*($AC$2:AC491-TRUNC($AC$2:AC491))),2))</f>
        <v/>
      </c>
    </row>
    <row r="492">
      <c r="O492" s="5" t="n"/>
      <c r="S492" s="6" t="n"/>
      <c r="V492" s="5" t="n"/>
      <c r="X492" s="5" t="n"/>
      <c r="AC492" s="6" t="n"/>
      <c r="AD492" s="6" t="n"/>
      <c r="AE492" s="7">
        <f>IF(X492="","",ROUND('Opening Balance'!$B$4+SUM($AC$2:AC492)-SUM($AD$2:AD492)+SUMPRODUCT(($Q$2:$Q$1501="Collection 收款")*($R$2:$R$1501="Cheque 支票")*($V$2:$V$1501&lt;&gt;"")*($V$2:$V$1501&lt;=X492)*($S$2:$S$1501-'Opening Balance'!$B$15*($R$2:$R$1501="Cheque 支票")*($S$2:$S$1501-TRUNC($S$2:$S$1501))))-'Opening Balance'!$B$15*SUMPRODUCT(($Z$2:Z492="Online collection 网上收款")*($AA$2:AA492&lt;&gt;"")*($AC$2:AC492-TRUNC($AC$2:AC492))),2))</f>
        <v/>
      </c>
    </row>
    <row r="493">
      <c r="O493" s="5" t="n"/>
      <c r="S493" s="6" t="n"/>
      <c r="V493" s="5" t="n"/>
      <c r="X493" s="5" t="n"/>
      <c r="AC493" s="6" t="n"/>
      <c r="AD493" s="6" t="n"/>
      <c r="AE493" s="7">
        <f>IF(X493="","",ROUND('Opening Balance'!$B$4+SUM($AC$2:AC493)-SUM($AD$2:AD493)+SUMPRODUCT(($Q$2:$Q$1501="Collection 收款")*($R$2:$R$1501="Cheque 支票")*($V$2:$V$1501&lt;&gt;"")*($V$2:$V$1501&lt;=X493)*($S$2:$S$1501-'Opening Balance'!$B$15*($R$2:$R$1501="Cheque 支票")*($S$2:$S$1501-TRUNC($S$2:$S$1501))))-'Opening Balance'!$B$15*SUMPRODUCT(($Z$2:Z493="Online collection 网上收款")*($AA$2:AA493&lt;&gt;"")*($AC$2:AC493-TRUNC($AC$2:AC493))),2))</f>
        <v/>
      </c>
    </row>
    <row r="494">
      <c r="O494" s="5" t="n"/>
      <c r="S494" s="6" t="n"/>
      <c r="V494" s="5" t="n"/>
      <c r="X494" s="5" t="n"/>
      <c r="AC494" s="6" t="n"/>
      <c r="AD494" s="6" t="n"/>
      <c r="AE494" s="7">
        <f>IF(X494="","",ROUND('Opening Balance'!$B$4+SUM($AC$2:AC494)-SUM($AD$2:AD494)+SUMPRODUCT(($Q$2:$Q$1501="Collection 收款")*($R$2:$R$1501="Cheque 支票")*($V$2:$V$1501&lt;&gt;"")*($V$2:$V$1501&lt;=X494)*($S$2:$S$1501-'Opening Balance'!$B$15*($R$2:$R$1501="Cheque 支票")*($S$2:$S$1501-TRUNC($S$2:$S$1501))))-'Opening Balance'!$B$15*SUMPRODUCT(($Z$2:Z494="Online collection 网上收款")*($AA$2:AA494&lt;&gt;"")*($AC$2:AC494-TRUNC($AC$2:AC494))),2))</f>
        <v/>
      </c>
    </row>
    <row r="495">
      <c r="O495" s="5" t="n"/>
      <c r="S495" s="6" t="n"/>
      <c r="V495" s="5" t="n"/>
      <c r="X495" s="5" t="n"/>
      <c r="AC495" s="6" t="n"/>
      <c r="AD495" s="6" t="n"/>
      <c r="AE495" s="7">
        <f>IF(X495="","",ROUND('Opening Balance'!$B$4+SUM($AC$2:AC495)-SUM($AD$2:AD495)+SUMPRODUCT(($Q$2:$Q$1501="Collection 收款")*($R$2:$R$1501="Cheque 支票")*($V$2:$V$1501&lt;&gt;"")*($V$2:$V$1501&lt;=X495)*($S$2:$S$1501-'Opening Balance'!$B$15*($R$2:$R$1501="Cheque 支票")*($S$2:$S$1501-TRUNC($S$2:$S$1501))))-'Opening Balance'!$B$15*SUMPRODUCT(($Z$2:Z495="Online collection 网上收款")*($AA$2:AA495&lt;&gt;"")*($AC$2:AC495-TRUNC($AC$2:AC495))),2))</f>
        <v/>
      </c>
    </row>
    <row r="496">
      <c r="O496" s="5" t="n"/>
      <c r="S496" s="6" t="n"/>
      <c r="V496" s="5" t="n"/>
      <c r="X496" s="5" t="n"/>
      <c r="AC496" s="6" t="n"/>
      <c r="AD496" s="6" t="n"/>
      <c r="AE496" s="7">
        <f>IF(X496="","",ROUND('Opening Balance'!$B$4+SUM($AC$2:AC496)-SUM($AD$2:AD496)+SUMPRODUCT(($Q$2:$Q$1501="Collection 收款")*($R$2:$R$1501="Cheque 支票")*($V$2:$V$1501&lt;&gt;"")*($V$2:$V$1501&lt;=X496)*($S$2:$S$1501-'Opening Balance'!$B$15*($R$2:$R$1501="Cheque 支票")*($S$2:$S$1501-TRUNC($S$2:$S$1501))))-'Opening Balance'!$B$15*SUMPRODUCT(($Z$2:Z496="Online collection 网上收款")*($AA$2:AA496&lt;&gt;"")*($AC$2:AC496-TRUNC($AC$2:AC496))),2))</f>
        <v/>
      </c>
    </row>
    <row r="497">
      <c r="O497" s="5" t="n"/>
      <c r="S497" s="6" t="n"/>
      <c r="V497" s="5" t="n"/>
      <c r="X497" s="5" t="n"/>
      <c r="AC497" s="6" t="n"/>
      <c r="AD497" s="6" t="n"/>
      <c r="AE497" s="7">
        <f>IF(X497="","",ROUND('Opening Balance'!$B$4+SUM($AC$2:AC497)-SUM($AD$2:AD497)+SUMPRODUCT(($Q$2:$Q$1501="Collection 收款")*($R$2:$R$1501="Cheque 支票")*($V$2:$V$1501&lt;&gt;"")*($V$2:$V$1501&lt;=X497)*($S$2:$S$1501-'Opening Balance'!$B$15*($R$2:$R$1501="Cheque 支票")*($S$2:$S$1501-TRUNC($S$2:$S$1501))))-'Opening Balance'!$B$15*SUMPRODUCT(($Z$2:Z497="Online collection 网上收款")*($AA$2:AA497&lt;&gt;"")*($AC$2:AC497-TRUNC($AC$2:AC497))),2))</f>
        <v/>
      </c>
    </row>
    <row r="498">
      <c r="O498" s="5" t="n"/>
      <c r="S498" s="6" t="n"/>
      <c r="V498" s="5" t="n"/>
      <c r="X498" s="5" t="n"/>
      <c r="AC498" s="6" t="n"/>
      <c r="AD498" s="6" t="n"/>
      <c r="AE498" s="7">
        <f>IF(X498="","",ROUND('Opening Balance'!$B$4+SUM($AC$2:AC498)-SUM($AD$2:AD498)+SUMPRODUCT(($Q$2:$Q$1501="Collection 收款")*($R$2:$R$1501="Cheque 支票")*($V$2:$V$1501&lt;&gt;"")*($V$2:$V$1501&lt;=X498)*($S$2:$S$1501-'Opening Balance'!$B$15*($R$2:$R$1501="Cheque 支票")*($S$2:$S$1501-TRUNC($S$2:$S$1501))))-'Opening Balance'!$B$15*SUMPRODUCT(($Z$2:Z498="Online collection 网上收款")*($AA$2:AA498&lt;&gt;"")*($AC$2:AC498-TRUNC($AC$2:AC498))),2))</f>
        <v/>
      </c>
    </row>
    <row r="499">
      <c r="O499" s="5" t="n"/>
      <c r="S499" s="6" t="n"/>
      <c r="V499" s="5" t="n"/>
      <c r="X499" s="5" t="n"/>
      <c r="AC499" s="6" t="n"/>
      <c r="AD499" s="6" t="n"/>
      <c r="AE499" s="7">
        <f>IF(X499="","",ROUND('Opening Balance'!$B$4+SUM($AC$2:AC499)-SUM($AD$2:AD499)+SUMPRODUCT(($Q$2:$Q$1501="Collection 收款")*($R$2:$R$1501="Cheque 支票")*($V$2:$V$1501&lt;&gt;"")*($V$2:$V$1501&lt;=X499)*($S$2:$S$1501-'Opening Balance'!$B$15*($R$2:$R$1501="Cheque 支票")*($S$2:$S$1501-TRUNC($S$2:$S$1501))))-'Opening Balance'!$B$15*SUMPRODUCT(($Z$2:Z499="Online collection 网上收款")*($AA$2:AA499&lt;&gt;"")*($AC$2:AC499-TRUNC($AC$2:AC499))),2))</f>
        <v/>
      </c>
    </row>
    <row r="500">
      <c r="O500" s="5" t="n"/>
      <c r="S500" s="6" t="n"/>
      <c r="V500" s="5" t="n"/>
      <c r="X500" s="5" t="n"/>
      <c r="AC500" s="6" t="n"/>
      <c r="AD500" s="6" t="n"/>
      <c r="AE500" s="7">
        <f>IF(X500="","",ROUND('Opening Balance'!$B$4+SUM($AC$2:AC500)-SUM($AD$2:AD500)+SUMPRODUCT(($Q$2:$Q$1501="Collection 收款")*($R$2:$R$1501="Cheque 支票")*($V$2:$V$1501&lt;&gt;"")*($V$2:$V$1501&lt;=X500)*($S$2:$S$1501-'Opening Balance'!$B$15*($R$2:$R$1501="Cheque 支票")*($S$2:$S$1501-TRUNC($S$2:$S$1501))))-'Opening Balance'!$B$15*SUMPRODUCT(($Z$2:Z500="Online collection 网上收款")*($AA$2:AA500&lt;&gt;"")*($AC$2:AC500-TRUNC($AC$2:AC500))),2))</f>
        <v/>
      </c>
    </row>
    <row r="501">
      <c r="O501" s="5" t="n"/>
      <c r="S501" s="6" t="n"/>
      <c r="V501" s="5" t="n"/>
      <c r="X501" s="5" t="n"/>
      <c r="AC501" s="6" t="n"/>
      <c r="AD501" s="6" t="n"/>
      <c r="AE501" s="7">
        <f>IF(X501="","",ROUND('Opening Balance'!$B$4+SUM($AC$2:AC501)-SUM($AD$2:AD501)+SUMPRODUCT(($Q$2:$Q$1501="Collection 收款")*($R$2:$R$1501="Cheque 支票")*($V$2:$V$1501&lt;&gt;"")*($V$2:$V$1501&lt;=X501)*($S$2:$S$1501-'Opening Balance'!$B$15*($R$2:$R$1501="Cheque 支票")*($S$2:$S$1501-TRUNC($S$2:$S$1501))))-'Opening Balance'!$B$15*SUMPRODUCT(($Z$2:Z501="Online collection 网上收款")*($AA$2:AA501&lt;&gt;"")*($AC$2:AC501-TRUNC($AC$2:AC501))),2))</f>
        <v/>
      </c>
    </row>
    <row r="502">
      <c r="O502" s="5" t="n"/>
      <c r="S502" s="6" t="n"/>
      <c r="V502" s="5" t="n"/>
      <c r="X502" s="5" t="n"/>
      <c r="AC502" s="6" t="n"/>
      <c r="AD502" s="6" t="n"/>
      <c r="AE502" s="7">
        <f>IF(X502="","",ROUND('Opening Balance'!$B$4+SUM($AC$2:AC502)-SUM($AD$2:AD502)+SUMPRODUCT(($Q$2:$Q$1501="Collection 收款")*($R$2:$R$1501="Cheque 支票")*($V$2:$V$1501&lt;&gt;"")*($V$2:$V$1501&lt;=X502)*($S$2:$S$1501-'Opening Balance'!$B$15*($R$2:$R$1501="Cheque 支票")*($S$2:$S$1501-TRUNC($S$2:$S$1501))))-'Opening Balance'!$B$15*SUMPRODUCT(($Z$2:Z502="Online collection 网上收款")*($AA$2:AA502&lt;&gt;"")*($AC$2:AC502-TRUNC($AC$2:AC502))),2))</f>
        <v/>
      </c>
    </row>
    <row r="503">
      <c r="O503" s="5" t="n"/>
      <c r="S503" s="6" t="n"/>
      <c r="V503" s="5" t="n"/>
      <c r="X503" s="5" t="n"/>
      <c r="AC503" s="6" t="n"/>
      <c r="AD503" s="6" t="n"/>
      <c r="AE503" s="7">
        <f>IF(X503="","",ROUND('Opening Balance'!$B$4+SUM($AC$2:AC503)-SUM($AD$2:AD503)+SUMPRODUCT(($Q$2:$Q$1501="Collection 收款")*($R$2:$R$1501="Cheque 支票")*($V$2:$V$1501&lt;&gt;"")*($V$2:$V$1501&lt;=X503)*($S$2:$S$1501-'Opening Balance'!$B$15*($R$2:$R$1501="Cheque 支票")*($S$2:$S$1501-TRUNC($S$2:$S$1501))))-'Opening Balance'!$B$15*SUMPRODUCT(($Z$2:Z503="Online collection 网上收款")*($AA$2:AA503&lt;&gt;"")*($AC$2:AC503-TRUNC($AC$2:AC503))),2))</f>
        <v/>
      </c>
    </row>
    <row r="504">
      <c r="O504" s="5" t="n"/>
      <c r="S504" s="6" t="n"/>
      <c r="V504" s="5" t="n"/>
      <c r="X504" s="5" t="n"/>
      <c r="AC504" s="6" t="n"/>
      <c r="AD504" s="6" t="n"/>
      <c r="AE504" s="7">
        <f>IF(X504="","",ROUND('Opening Balance'!$B$4+SUM($AC$2:AC504)-SUM($AD$2:AD504)+SUMPRODUCT(($Q$2:$Q$1501="Collection 收款")*($R$2:$R$1501="Cheque 支票")*($V$2:$V$1501&lt;&gt;"")*($V$2:$V$1501&lt;=X504)*($S$2:$S$1501-'Opening Balance'!$B$15*($R$2:$R$1501="Cheque 支票")*($S$2:$S$1501-TRUNC($S$2:$S$1501))))-'Opening Balance'!$B$15*SUMPRODUCT(($Z$2:Z504="Online collection 网上收款")*($AA$2:AA504&lt;&gt;"")*($AC$2:AC504-TRUNC($AC$2:AC504))),2))</f>
        <v/>
      </c>
    </row>
    <row r="505">
      <c r="O505" s="5" t="n"/>
      <c r="S505" s="6" t="n"/>
      <c r="V505" s="5" t="n"/>
      <c r="X505" s="5" t="n"/>
      <c r="AC505" s="6" t="n"/>
      <c r="AD505" s="6" t="n"/>
      <c r="AE505" s="7">
        <f>IF(X505="","",ROUND('Opening Balance'!$B$4+SUM($AC$2:AC505)-SUM($AD$2:AD505)+SUMPRODUCT(($Q$2:$Q$1501="Collection 收款")*($R$2:$R$1501="Cheque 支票")*($V$2:$V$1501&lt;&gt;"")*($V$2:$V$1501&lt;=X505)*($S$2:$S$1501-'Opening Balance'!$B$15*($R$2:$R$1501="Cheque 支票")*($S$2:$S$1501-TRUNC($S$2:$S$1501))))-'Opening Balance'!$B$15*SUMPRODUCT(($Z$2:Z505="Online collection 网上收款")*($AA$2:AA505&lt;&gt;"")*($AC$2:AC505-TRUNC($AC$2:AC505))),2))</f>
        <v/>
      </c>
    </row>
    <row r="506">
      <c r="O506" s="5" t="n"/>
      <c r="S506" s="6" t="n"/>
      <c r="V506" s="5" t="n"/>
      <c r="X506" s="5" t="n"/>
      <c r="AC506" s="6" t="n"/>
      <c r="AD506" s="6" t="n"/>
      <c r="AE506" s="7">
        <f>IF(X506="","",ROUND('Opening Balance'!$B$4+SUM($AC$2:AC506)-SUM($AD$2:AD506)+SUMPRODUCT(($Q$2:$Q$1501="Collection 收款")*($R$2:$R$1501="Cheque 支票")*($V$2:$V$1501&lt;&gt;"")*($V$2:$V$1501&lt;=X506)*($S$2:$S$1501-'Opening Balance'!$B$15*($R$2:$R$1501="Cheque 支票")*($S$2:$S$1501-TRUNC($S$2:$S$1501))))-'Opening Balance'!$B$15*SUMPRODUCT(($Z$2:Z506="Online collection 网上收款")*($AA$2:AA506&lt;&gt;"")*($AC$2:AC506-TRUNC($AC$2:AC506))),2))</f>
        <v/>
      </c>
    </row>
    <row r="507">
      <c r="O507" s="5" t="n"/>
      <c r="S507" s="6" t="n"/>
      <c r="V507" s="5" t="n"/>
      <c r="X507" s="5" t="n"/>
      <c r="AC507" s="6" t="n"/>
      <c r="AD507" s="6" t="n"/>
      <c r="AE507" s="7">
        <f>IF(X507="","",ROUND('Opening Balance'!$B$4+SUM($AC$2:AC507)-SUM($AD$2:AD507)+SUMPRODUCT(($Q$2:$Q$1501="Collection 收款")*($R$2:$R$1501="Cheque 支票")*($V$2:$V$1501&lt;&gt;"")*($V$2:$V$1501&lt;=X507)*($S$2:$S$1501-'Opening Balance'!$B$15*($R$2:$R$1501="Cheque 支票")*($S$2:$S$1501-TRUNC($S$2:$S$1501))))-'Opening Balance'!$B$15*SUMPRODUCT(($Z$2:Z507="Online collection 网上收款")*($AA$2:AA507&lt;&gt;"")*($AC$2:AC507-TRUNC($AC$2:AC507))),2))</f>
        <v/>
      </c>
    </row>
    <row r="508">
      <c r="O508" s="5" t="n"/>
      <c r="S508" s="6" t="n"/>
      <c r="V508" s="5" t="n"/>
      <c r="X508" s="5" t="n"/>
      <c r="AC508" s="6" t="n"/>
      <c r="AD508" s="6" t="n"/>
      <c r="AE508" s="7">
        <f>IF(X508="","",ROUND('Opening Balance'!$B$4+SUM($AC$2:AC508)-SUM($AD$2:AD508)+SUMPRODUCT(($Q$2:$Q$1501="Collection 收款")*($R$2:$R$1501="Cheque 支票")*($V$2:$V$1501&lt;&gt;"")*($V$2:$V$1501&lt;=X508)*($S$2:$S$1501-'Opening Balance'!$B$15*($R$2:$R$1501="Cheque 支票")*($S$2:$S$1501-TRUNC($S$2:$S$1501))))-'Opening Balance'!$B$15*SUMPRODUCT(($Z$2:Z508="Online collection 网上收款")*($AA$2:AA508&lt;&gt;"")*($AC$2:AC508-TRUNC($AC$2:AC508))),2))</f>
        <v/>
      </c>
    </row>
    <row r="509">
      <c r="O509" s="5" t="n"/>
      <c r="S509" s="6" t="n"/>
      <c r="V509" s="5" t="n"/>
      <c r="X509" s="5" t="n"/>
      <c r="AC509" s="6" t="n"/>
      <c r="AD509" s="6" t="n"/>
      <c r="AE509" s="7">
        <f>IF(X509="","",ROUND('Opening Balance'!$B$4+SUM($AC$2:AC509)-SUM($AD$2:AD509)+SUMPRODUCT(($Q$2:$Q$1501="Collection 收款")*($R$2:$R$1501="Cheque 支票")*($V$2:$V$1501&lt;&gt;"")*($V$2:$V$1501&lt;=X509)*($S$2:$S$1501-'Opening Balance'!$B$15*($R$2:$R$1501="Cheque 支票")*($S$2:$S$1501-TRUNC($S$2:$S$1501))))-'Opening Balance'!$B$15*SUMPRODUCT(($Z$2:Z509="Online collection 网上收款")*($AA$2:AA509&lt;&gt;"")*($AC$2:AC509-TRUNC($AC$2:AC509))),2))</f>
        <v/>
      </c>
    </row>
    <row r="510">
      <c r="O510" s="5" t="n"/>
      <c r="S510" s="6" t="n"/>
      <c r="V510" s="5" t="n"/>
      <c r="X510" s="5" t="n"/>
      <c r="AC510" s="6" t="n"/>
      <c r="AD510" s="6" t="n"/>
      <c r="AE510" s="7">
        <f>IF(X510="","",ROUND('Opening Balance'!$B$4+SUM($AC$2:AC510)-SUM($AD$2:AD510)+SUMPRODUCT(($Q$2:$Q$1501="Collection 收款")*($R$2:$R$1501="Cheque 支票")*($V$2:$V$1501&lt;&gt;"")*($V$2:$V$1501&lt;=X510)*($S$2:$S$1501-'Opening Balance'!$B$15*($R$2:$R$1501="Cheque 支票")*($S$2:$S$1501-TRUNC($S$2:$S$1501))))-'Opening Balance'!$B$15*SUMPRODUCT(($Z$2:Z510="Online collection 网上收款")*($AA$2:AA510&lt;&gt;"")*($AC$2:AC510-TRUNC($AC$2:AC510))),2))</f>
        <v/>
      </c>
    </row>
    <row r="511">
      <c r="O511" s="5" t="n"/>
      <c r="S511" s="6" t="n"/>
      <c r="V511" s="5" t="n"/>
      <c r="X511" s="5" t="n"/>
      <c r="AC511" s="6" t="n"/>
      <c r="AD511" s="6" t="n"/>
      <c r="AE511" s="7">
        <f>IF(X511="","",ROUND('Opening Balance'!$B$4+SUM($AC$2:AC511)-SUM($AD$2:AD511)+SUMPRODUCT(($Q$2:$Q$1501="Collection 收款")*($R$2:$R$1501="Cheque 支票")*($V$2:$V$1501&lt;&gt;"")*($V$2:$V$1501&lt;=X511)*($S$2:$S$1501-'Opening Balance'!$B$15*($R$2:$R$1501="Cheque 支票")*($S$2:$S$1501-TRUNC($S$2:$S$1501))))-'Opening Balance'!$B$15*SUMPRODUCT(($Z$2:Z511="Online collection 网上收款")*($AA$2:AA511&lt;&gt;"")*($AC$2:AC511-TRUNC($AC$2:AC511))),2))</f>
        <v/>
      </c>
    </row>
    <row r="512">
      <c r="O512" s="5" t="n"/>
      <c r="S512" s="6" t="n"/>
      <c r="V512" s="5" t="n"/>
      <c r="X512" s="5" t="n"/>
      <c r="AC512" s="6" t="n"/>
      <c r="AD512" s="6" t="n"/>
      <c r="AE512" s="7">
        <f>IF(X512="","",ROUND('Opening Balance'!$B$4+SUM($AC$2:AC512)-SUM($AD$2:AD512)+SUMPRODUCT(($Q$2:$Q$1501="Collection 收款")*($R$2:$R$1501="Cheque 支票")*($V$2:$V$1501&lt;&gt;"")*($V$2:$V$1501&lt;=X512)*($S$2:$S$1501-'Opening Balance'!$B$15*($R$2:$R$1501="Cheque 支票")*($S$2:$S$1501-TRUNC($S$2:$S$1501))))-'Opening Balance'!$B$15*SUMPRODUCT(($Z$2:Z512="Online collection 网上收款")*($AA$2:AA512&lt;&gt;"")*($AC$2:AC512-TRUNC($AC$2:AC512))),2))</f>
        <v/>
      </c>
    </row>
    <row r="513">
      <c r="O513" s="5" t="n"/>
      <c r="S513" s="6" t="n"/>
      <c r="V513" s="5" t="n"/>
      <c r="X513" s="5" t="n"/>
      <c r="AC513" s="6" t="n"/>
      <c r="AD513" s="6" t="n"/>
      <c r="AE513" s="7">
        <f>IF(X513="","",ROUND('Opening Balance'!$B$4+SUM($AC$2:AC513)-SUM($AD$2:AD513)+SUMPRODUCT(($Q$2:$Q$1501="Collection 收款")*($R$2:$R$1501="Cheque 支票")*($V$2:$V$1501&lt;&gt;"")*($V$2:$V$1501&lt;=X513)*($S$2:$S$1501-'Opening Balance'!$B$15*($R$2:$R$1501="Cheque 支票")*($S$2:$S$1501-TRUNC($S$2:$S$1501))))-'Opening Balance'!$B$15*SUMPRODUCT(($Z$2:Z513="Online collection 网上收款")*($AA$2:AA513&lt;&gt;"")*($AC$2:AC513-TRUNC($AC$2:AC513))),2))</f>
        <v/>
      </c>
    </row>
    <row r="514">
      <c r="O514" s="5" t="n"/>
      <c r="S514" s="6" t="n"/>
      <c r="V514" s="5" t="n"/>
      <c r="X514" s="5" t="n"/>
      <c r="AC514" s="6" t="n"/>
      <c r="AD514" s="6" t="n"/>
      <c r="AE514" s="7">
        <f>IF(X514="","",ROUND('Opening Balance'!$B$4+SUM($AC$2:AC514)-SUM($AD$2:AD514)+SUMPRODUCT(($Q$2:$Q$1501="Collection 收款")*($R$2:$R$1501="Cheque 支票")*($V$2:$V$1501&lt;&gt;"")*($V$2:$V$1501&lt;=X514)*($S$2:$S$1501-'Opening Balance'!$B$15*($R$2:$R$1501="Cheque 支票")*($S$2:$S$1501-TRUNC($S$2:$S$1501))))-'Opening Balance'!$B$15*SUMPRODUCT(($Z$2:Z514="Online collection 网上收款")*($AA$2:AA514&lt;&gt;"")*($AC$2:AC514-TRUNC($AC$2:AC514))),2))</f>
        <v/>
      </c>
    </row>
    <row r="515">
      <c r="O515" s="5" t="n"/>
      <c r="S515" s="6" t="n"/>
      <c r="V515" s="5" t="n"/>
      <c r="X515" s="5" t="n"/>
      <c r="AC515" s="6" t="n"/>
      <c r="AD515" s="6" t="n"/>
      <c r="AE515" s="7">
        <f>IF(X515="","",ROUND('Opening Balance'!$B$4+SUM($AC$2:AC515)-SUM($AD$2:AD515)+SUMPRODUCT(($Q$2:$Q$1501="Collection 收款")*($R$2:$R$1501="Cheque 支票")*($V$2:$V$1501&lt;&gt;"")*($V$2:$V$1501&lt;=X515)*($S$2:$S$1501-'Opening Balance'!$B$15*($R$2:$R$1501="Cheque 支票")*($S$2:$S$1501-TRUNC($S$2:$S$1501))))-'Opening Balance'!$B$15*SUMPRODUCT(($Z$2:Z515="Online collection 网上收款")*($AA$2:AA515&lt;&gt;"")*($AC$2:AC515-TRUNC($AC$2:AC515))),2))</f>
        <v/>
      </c>
    </row>
    <row r="516">
      <c r="O516" s="5" t="n"/>
      <c r="S516" s="6" t="n"/>
      <c r="V516" s="5" t="n"/>
      <c r="X516" s="5" t="n"/>
      <c r="AC516" s="6" t="n"/>
      <c r="AD516" s="6" t="n"/>
      <c r="AE516" s="7">
        <f>IF(X516="","",ROUND('Opening Balance'!$B$4+SUM($AC$2:AC516)-SUM($AD$2:AD516)+SUMPRODUCT(($Q$2:$Q$1501="Collection 收款")*($R$2:$R$1501="Cheque 支票")*($V$2:$V$1501&lt;&gt;"")*($V$2:$V$1501&lt;=X516)*($S$2:$S$1501-'Opening Balance'!$B$15*($R$2:$R$1501="Cheque 支票")*($S$2:$S$1501-TRUNC($S$2:$S$1501))))-'Opening Balance'!$B$15*SUMPRODUCT(($Z$2:Z516="Online collection 网上收款")*($AA$2:AA516&lt;&gt;"")*($AC$2:AC516-TRUNC($AC$2:AC516))),2))</f>
        <v/>
      </c>
    </row>
    <row r="517">
      <c r="O517" s="5" t="n"/>
      <c r="S517" s="6" t="n"/>
      <c r="V517" s="5" t="n"/>
      <c r="X517" s="5" t="n"/>
      <c r="AC517" s="6" t="n"/>
      <c r="AD517" s="6" t="n"/>
      <c r="AE517" s="7">
        <f>IF(X517="","",ROUND('Opening Balance'!$B$4+SUM($AC$2:AC517)-SUM($AD$2:AD517)+SUMPRODUCT(($Q$2:$Q$1501="Collection 收款")*($R$2:$R$1501="Cheque 支票")*($V$2:$V$1501&lt;&gt;"")*($V$2:$V$1501&lt;=X517)*($S$2:$S$1501-'Opening Balance'!$B$15*($R$2:$R$1501="Cheque 支票")*($S$2:$S$1501-TRUNC($S$2:$S$1501))))-'Opening Balance'!$B$15*SUMPRODUCT(($Z$2:Z517="Online collection 网上收款")*($AA$2:AA517&lt;&gt;"")*($AC$2:AC517-TRUNC($AC$2:AC517))),2))</f>
        <v/>
      </c>
    </row>
    <row r="518">
      <c r="O518" s="5" t="n"/>
      <c r="S518" s="6" t="n"/>
      <c r="V518" s="5" t="n"/>
      <c r="X518" s="5" t="n"/>
      <c r="AC518" s="6" t="n"/>
      <c r="AD518" s="6" t="n"/>
      <c r="AE518" s="7">
        <f>IF(X518="","",ROUND('Opening Balance'!$B$4+SUM($AC$2:AC518)-SUM($AD$2:AD518)+SUMPRODUCT(($Q$2:$Q$1501="Collection 收款")*($R$2:$R$1501="Cheque 支票")*($V$2:$V$1501&lt;&gt;"")*($V$2:$V$1501&lt;=X518)*($S$2:$S$1501-'Opening Balance'!$B$15*($R$2:$R$1501="Cheque 支票")*($S$2:$S$1501-TRUNC($S$2:$S$1501))))-'Opening Balance'!$B$15*SUMPRODUCT(($Z$2:Z518="Online collection 网上收款")*($AA$2:AA518&lt;&gt;"")*($AC$2:AC518-TRUNC($AC$2:AC518))),2))</f>
        <v/>
      </c>
    </row>
    <row r="519">
      <c r="O519" s="5" t="n"/>
      <c r="S519" s="6" t="n"/>
      <c r="V519" s="5" t="n"/>
      <c r="X519" s="5" t="n"/>
      <c r="AC519" s="6" t="n"/>
      <c r="AD519" s="6" t="n"/>
      <c r="AE519" s="7">
        <f>IF(X519="","",ROUND('Opening Balance'!$B$4+SUM($AC$2:AC519)-SUM($AD$2:AD519)+SUMPRODUCT(($Q$2:$Q$1501="Collection 收款")*($R$2:$R$1501="Cheque 支票")*($V$2:$V$1501&lt;&gt;"")*($V$2:$V$1501&lt;=X519)*($S$2:$S$1501-'Opening Balance'!$B$15*($R$2:$R$1501="Cheque 支票")*($S$2:$S$1501-TRUNC($S$2:$S$1501))))-'Opening Balance'!$B$15*SUMPRODUCT(($Z$2:Z519="Online collection 网上收款")*($AA$2:AA519&lt;&gt;"")*($AC$2:AC519-TRUNC($AC$2:AC519))),2))</f>
        <v/>
      </c>
    </row>
    <row r="520">
      <c r="O520" s="5" t="n"/>
      <c r="S520" s="6" t="n"/>
      <c r="V520" s="5" t="n"/>
      <c r="X520" s="5" t="n"/>
      <c r="AC520" s="6" t="n"/>
      <c r="AD520" s="6" t="n"/>
      <c r="AE520" s="7">
        <f>IF(X520="","",ROUND('Opening Balance'!$B$4+SUM($AC$2:AC520)-SUM($AD$2:AD520)+SUMPRODUCT(($Q$2:$Q$1501="Collection 收款")*($R$2:$R$1501="Cheque 支票")*($V$2:$V$1501&lt;&gt;"")*($V$2:$V$1501&lt;=X520)*($S$2:$S$1501-'Opening Balance'!$B$15*($R$2:$R$1501="Cheque 支票")*($S$2:$S$1501-TRUNC($S$2:$S$1501))))-'Opening Balance'!$B$15*SUMPRODUCT(($Z$2:Z520="Online collection 网上收款")*($AA$2:AA520&lt;&gt;"")*($AC$2:AC520-TRUNC($AC$2:AC520))),2))</f>
        <v/>
      </c>
    </row>
    <row r="521">
      <c r="O521" s="5" t="n"/>
      <c r="S521" s="6" t="n"/>
      <c r="V521" s="5" t="n"/>
      <c r="X521" s="5" t="n"/>
      <c r="AC521" s="6" t="n"/>
      <c r="AD521" s="6" t="n"/>
      <c r="AE521" s="7">
        <f>IF(X521="","",ROUND('Opening Balance'!$B$4+SUM($AC$2:AC521)-SUM($AD$2:AD521)+SUMPRODUCT(($Q$2:$Q$1501="Collection 收款")*($R$2:$R$1501="Cheque 支票")*($V$2:$V$1501&lt;&gt;"")*($V$2:$V$1501&lt;=X521)*($S$2:$S$1501-'Opening Balance'!$B$15*($R$2:$R$1501="Cheque 支票")*($S$2:$S$1501-TRUNC($S$2:$S$1501))))-'Opening Balance'!$B$15*SUMPRODUCT(($Z$2:Z521="Online collection 网上收款")*($AA$2:AA521&lt;&gt;"")*($AC$2:AC521-TRUNC($AC$2:AC521))),2))</f>
        <v/>
      </c>
    </row>
    <row r="522">
      <c r="O522" s="5" t="n"/>
      <c r="S522" s="6" t="n"/>
      <c r="V522" s="5" t="n"/>
      <c r="X522" s="5" t="n"/>
      <c r="AC522" s="6" t="n"/>
      <c r="AD522" s="6" t="n"/>
      <c r="AE522" s="7">
        <f>IF(X522="","",ROUND('Opening Balance'!$B$4+SUM($AC$2:AC522)-SUM($AD$2:AD522)+SUMPRODUCT(($Q$2:$Q$1501="Collection 收款")*($R$2:$R$1501="Cheque 支票")*($V$2:$V$1501&lt;&gt;"")*($V$2:$V$1501&lt;=X522)*($S$2:$S$1501-'Opening Balance'!$B$15*($R$2:$R$1501="Cheque 支票")*($S$2:$S$1501-TRUNC($S$2:$S$1501))))-'Opening Balance'!$B$15*SUMPRODUCT(($Z$2:Z522="Online collection 网上收款")*($AA$2:AA522&lt;&gt;"")*($AC$2:AC522-TRUNC($AC$2:AC522))),2))</f>
        <v/>
      </c>
    </row>
    <row r="523">
      <c r="O523" s="5" t="n"/>
      <c r="S523" s="6" t="n"/>
      <c r="V523" s="5" t="n"/>
      <c r="X523" s="5" t="n"/>
      <c r="AC523" s="6" t="n"/>
      <c r="AD523" s="6" t="n"/>
      <c r="AE523" s="7">
        <f>IF(X523="","",ROUND('Opening Balance'!$B$4+SUM($AC$2:AC523)-SUM($AD$2:AD523)+SUMPRODUCT(($Q$2:$Q$1501="Collection 收款")*($R$2:$R$1501="Cheque 支票")*($V$2:$V$1501&lt;&gt;"")*($V$2:$V$1501&lt;=X523)*($S$2:$S$1501-'Opening Balance'!$B$15*($R$2:$R$1501="Cheque 支票")*($S$2:$S$1501-TRUNC($S$2:$S$1501))))-'Opening Balance'!$B$15*SUMPRODUCT(($Z$2:Z523="Online collection 网上收款")*($AA$2:AA523&lt;&gt;"")*($AC$2:AC523-TRUNC($AC$2:AC523))),2))</f>
        <v/>
      </c>
    </row>
    <row r="524">
      <c r="O524" s="5" t="n"/>
      <c r="S524" s="6" t="n"/>
      <c r="V524" s="5" t="n"/>
      <c r="X524" s="5" t="n"/>
      <c r="AC524" s="6" t="n"/>
      <c r="AD524" s="6" t="n"/>
      <c r="AE524" s="7">
        <f>IF(X524="","",ROUND('Opening Balance'!$B$4+SUM($AC$2:AC524)-SUM($AD$2:AD524)+SUMPRODUCT(($Q$2:$Q$1501="Collection 收款")*($R$2:$R$1501="Cheque 支票")*($V$2:$V$1501&lt;&gt;"")*($V$2:$V$1501&lt;=X524)*($S$2:$S$1501-'Opening Balance'!$B$15*($R$2:$R$1501="Cheque 支票")*($S$2:$S$1501-TRUNC($S$2:$S$1501))))-'Opening Balance'!$B$15*SUMPRODUCT(($Z$2:Z524="Online collection 网上收款")*($AA$2:AA524&lt;&gt;"")*($AC$2:AC524-TRUNC($AC$2:AC524))),2))</f>
        <v/>
      </c>
    </row>
    <row r="525">
      <c r="O525" s="5" t="n"/>
      <c r="S525" s="6" t="n"/>
      <c r="V525" s="5" t="n"/>
      <c r="X525" s="5" t="n"/>
      <c r="AC525" s="6" t="n"/>
      <c r="AD525" s="6" t="n"/>
      <c r="AE525" s="7">
        <f>IF(X525="","",ROUND('Opening Balance'!$B$4+SUM($AC$2:AC525)-SUM($AD$2:AD525)+SUMPRODUCT(($Q$2:$Q$1501="Collection 收款")*($R$2:$R$1501="Cheque 支票")*($V$2:$V$1501&lt;&gt;"")*($V$2:$V$1501&lt;=X525)*($S$2:$S$1501-'Opening Balance'!$B$15*($R$2:$R$1501="Cheque 支票")*($S$2:$S$1501-TRUNC($S$2:$S$1501))))-'Opening Balance'!$B$15*SUMPRODUCT(($Z$2:Z525="Online collection 网上收款")*($AA$2:AA525&lt;&gt;"")*($AC$2:AC525-TRUNC($AC$2:AC525))),2))</f>
        <v/>
      </c>
    </row>
    <row r="526">
      <c r="O526" s="5" t="n"/>
      <c r="S526" s="6" t="n"/>
      <c r="V526" s="5" t="n"/>
      <c r="X526" s="5" t="n"/>
      <c r="AC526" s="6" t="n"/>
      <c r="AD526" s="6" t="n"/>
      <c r="AE526" s="7">
        <f>IF(X526="","",ROUND('Opening Balance'!$B$4+SUM($AC$2:AC526)-SUM($AD$2:AD526)+SUMPRODUCT(($Q$2:$Q$1501="Collection 收款")*($R$2:$R$1501="Cheque 支票")*($V$2:$V$1501&lt;&gt;"")*($V$2:$V$1501&lt;=X526)*($S$2:$S$1501-'Opening Balance'!$B$15*($R$2:$R$1501="Cheque 支票")*($S$2:$S$1501-TRUNC($S$2:$S$1501))))-'Opening Balance'!$B$15*SUMPRODUCT(($Z$2:Z526="Online collection 网上收款")*($AA$2:AA526&lt;&gt;"")*($AC$2:AC526-TRUNC($AC$2:AC526))),2))</f>
        <v/>
      </c>
    </row>
    <row r="527">
      <c r="O527" s="5" t="n"/>
      <c r="S527" s="6" t="n"/>
      <c r="V527" s="5" t="n"/>
      <c r="X527" s="5" t="n"/>
      <c r="AC527" s="6" t="n"/>
      <c r="AD527" s="6" t="n"/>
      <c r="AE527" s="7">
        <f>IF(X527="","",ROUND('Opening Balance'!$B$4+SUM($AC$2:AC527)-SUM($AD$2:AD527)+SUMPRODUCT(($Q$2:$Q$1501="Collection 收款")*($R$2:$R$1501="Cheque 支票")*($V$2:$V$1501&lt;&gt;"")*($V$2:$V$1501&lt;=X527)*($S$2:$S$1501-'Opening Balance'!$B$15*($R$2:$R$1501="Cheque 支票")*($S$2:$S$1501-TRUNC($S$2:$S$1501))))-'Opening Balance'!$B$15*SUMPRODUCT(($Z$2:Z527="Online collection 网上收款")*($AA$2:AA527&lt;&gt;"")*($AC$2:AC527-TRUNC($AC$2:AC527))),2))</f>
        <v/>
      </c>
    </row>
    <row r="528">
      <c r="O528" s="5" t="n"/>
      <c r="S528" s="6" t="n"/>
      <c r="V528" s="5" t="n"/>
      <c r="X528" s="5" t="n"/>
      <c r="AC528" s="6" t="n"/>
      <c r="AD528" s="6" t="n"/>
      <c r="AE528" s="7">
        <f>IF(X528="","",ROUND('Opening Balance'!$B$4+SUM($AC$2:AC528)-SUM($AD$2:AD528)+SUMPRODUCT(($Q$2:$Q$1501="Collection 收款")*($R$2:$R$1501="Cheque 支票")*($V$2:$V$1501&lt;&gt;"")*($V$2:$V$1501&lt;=X528)*($S$2:$S$1501-'Opening Balance'!$B$15*($R$2:$R$1501="Cheque 支票")*($S$2:$S$1501-TRUNC($S$2:$S$1501))))-'Opening Balance'!$B$15*SUMPRODUCT(($Z$2:Z528="Online collection 网上收款")*($AA$2:AA528&lt;&gt;"")*($AC$2:AC528-TRUNC($AC$2:AC528))),2))</f>
        <v/>
      </c>
    </row>
    <row r="529">
      <c r="O529" s="5" t="n"/>
      <c r="S529" s="6" t="n"/>
      <c r="V529" s="5" t="n"/>
      <c r="X529" s="5" t="n"/>
      <c r="AC529" s="6" t="n"/>
      <c r="AD529" s="6" t="n"/>
      <c r="AE529" s="7">
        <f>IF(X529="","",ROUND('Opening Balance'!$B$4+SUM($AC$2:AC529)-SUM($AD$2:AD529)+SUMPRODUCT(($Q$2:$Q$1501="Collection 收款")*($R$2:$R$1501="Cheque 支票")*($V$2:$V$1501&lt;&gt;"")*($V$2:$V$1501&lt;=X529)*($S$2:$S$1501-'Opening Balance'!$B$15*($R$2:$R$1501="Cheque 支票")*($S$2:$S$1501-TRUNC($S$2:$S$1501))))-'Opening Balance'!$B$15*SUMPRODUCT(($Z$2:Z529="Online collection 网上收款")*($AA$2:AA529&lt;&gt;"")*($AC$2:AC529-TRUNC($AC$2:AC529))),2))</f>
        <v/>
      </c>
    </row>
    <row r="530">
      <c r="O530" s="5" t="n"/>
      <c r="S530" s="6" t="n"/>
      <c r="V530" s="5" t="n"/>
      <c r="X530" s="5" t="n"/>
      <c r="AC530" s="6" t="n"/>
      <c r="AD530" s="6" t="n"/>
      <c r="AE530" s="7">
        <f>IF(X530="","",ROUND('Opening Balance'!$B$4+SUM($AC$2:AC530)-SUM($AD$2:AD530)+SUMPRODUCT(($Q$2:$Q$1501="Collection 收款")*($R$2:$R$1501="Cheque 支票")*($V$2:$V$1501&lt;&gt;"")*($V$2:$V$1501&lt;=X530)*($S$2:$S$1501-'Opening Balance'!$B$15*($R$2:$R$1501="Cheque 支票")*($S$2:$S$1501-TRUNC($S$2:$S$1501))))-'Opening Balance'!$B$15*SUMPRODUCT(($Z$2:Z530="Online collection 网上收款")*($AA$2:AA530&lt;&gt;"")*($AC$2:AC530-TRUNC($AC$2:AC530))),2))</f>
        <v/>
      </c>
    </row>
    <row r="531">
      <c r="O531" s="5" t="n"/>
      <c r="S531" s="6" t="n"/>
      <c r="V531" s="5" t="n"/>
      <c r="X531" s="5" t="n"/>
      <c r="AC531" s="6" t="n"/>
      <c r="AD531" s="6" t="n"/>
      <c r="AE531" s="7">
        <f>IF(X531="","",ROUND('Opening Balance'!$B$4+SUM($AC$2:AC531)-SUM($AD$2:AD531)+SUMPRODUCT(($Q$2:$Q$1501="Collection 收款")*($R$2:$R$1501="Cheque 支票")*($V$2:$V$1501&lt;&gt;"")*($V$2:$V$1501&lt;=X531)*($S$2:$S$1501-'Opening Balance'!$B$15*($R$2:$R$1501="Cheque 支票")*($S$2:$S$1501-TRUNC($S$2:$S$1501))))-'Opening Balance'!$B$15*SUMPRODUCT(($Z$2:Z531="Online collection 网上收款")*($AA$2:AA531&lt;&gt;"")*($AC$2:AC531-TRUNC($AC$2:AC531))),2))</f>
        <v/>
      </c>
    </row>
    <row r="532">
      <c r="O532" s="5" t="n"/>
      <c r="S532" s="6" t="n"/>
      <c r="V532" s="5" t="n"/>
      <c r="X532" s="5" t="n"/>
      <c r="AC532" s="6" t="n"/>
      <c r="AD532" s="6" t="n"/>
      <c r="AE532" s="7">
        <f>IF(X532="","",ROUND('Opening Balance'!$B$4+SUM($AC$2:AC532)-SUM($AD$2:AD532)+SUMPRODUCT(($Q$2:$Q$1501="Collection 收款")*($R$2:$R$1501="Cheque 支票")*($V$2:$V$1501&lt;&gt;"")*($V$2:$V$1501&lt;=X532)*($S$2:$S$1501-'Opening Balance'!$B$15*($R$2:$R$1501="Cheque 支票")*($S$2:$S$1501-TRUNC($S$2:$S$1501))))-'Opening Balance'!$B$15*SUMPRODUCT(($Z$2:Z532="Online collection 网上收款")*($AA$2:AA532&lt;&gt;"")*($AC$2:AC532-TRUNC($AC$2:AC532))),2))</f>
        <v/>
      </c>
    </row>
    <row r="533">
      <c r="O533" s="5" t="n"/>
      <c r="S533" s="6" t="n"/>
      <c r="V533" s="5" t="n"/>
      <c r="X533" s="5" t="n"/>
      <c r="AC533" s="6" t="n"/>
      <c r="AD533" s="6" t="n"/>
      <c r="AE533" s="7">
        <f>IF(X533="","",ROUND('Opening Balance'!$B$4+SUM($AC$2:AC533)-SUM($AD$2:AD533)+SUMPRODUCT(($Q$2:$Q$1501="Collection 收款")*($R$2:$R$1501="Cheque 支票")*($V$2:$V$1501&lt;&gt;"")*($V$2:$V$1501&lt;=X533)*($S$2:$S$1501-'Opening Balance'!$B$15*($R$2:$R$1501="Cheque 支票")*($S$2:$S$1501-TRUNC($S$2:$S$1501))))-'Opening Balance'!$B$15*SUMPRODUCT(($Z$2:Z533="Online collection 网上收款")*($AA$2:AA533&lt;&gt;"")*($AC$2:AC533-TRUNC($AC$2:AC533))),2))</f>
        <v/>
      </c>
    </row>
    <row r="534">
      <c r="O534" s="5" t="n"/>
      <c r="S534" s="6" t="n"/>
      <c r="V534" s="5" t="n"/>
      <c r="X534" s="5" t="n"/>
      <c r="AC534" s="6" t="n"/>
      <c r="AD534" s="6" t="n"/>
      <c r="AE534" s="7">
        <f>IF(X534="","",ROUND('Opening Balance'!$B$4+SUM($AC$2:AC534)-SUM($AD$2:AD534)+SUMPRODUCT(($Q$2:$Q$1501="Collection 收款")*($R$2:$R$1501="Cheque 支票")*($V$2:$V$1501&lt;&gt;"")*($V$2:$V$1501&lt;=X534)*($S$2:$S$1501-'Opening Balance'!$B$15*($R$2:$R$1501="Cheque 支票")*($S$2:$S$1501-TRUNC($S$2:$S$1501))))-'Opening Balance'!$B$15*SUMPRODUCT(($Z$2:Z534="Online collection 网上收款")*($AA$2:AA534&lt;&gt;"")*($AC$2:AC534-TRUNC($AC$2:AC534))),2))</f>
        <v/>
      </c>
    </row>
    <row r="535">
      <c r="O535" s="5" t="n"/>
      <c r="S535" s="6" t="n"/>
      <c r="V535" s="5" t="n"/>
      <c r="X535" s="5" t="n"/>
      <c r="AC535" s="6" t="n"/>
      <c r="AD535" s="6" t="n"/>
      <c r="AE535" s="7">
        <f>IF(X535="","",ROUND('Opening Balance'!$B$4+SUM($AC$2:AC535)-SUM($AD$2:AD535)+SUMPRODUCT(($Q$2:$Q$1501="Collection 收款")*($R$2:$R$1501="Cheque 支票")*($V$2:$V$1501&lt;&gt;"")*($V$2:$V$1501&lt;=X535)*($S$2:$S$1501-'Opening Balance'!$B$15*($R$2:$R$1501="Cheque 支票")*($S$2:$S$1501-TRUNC($S$2:$S$1501))))-'Opening Balance'!$B$15*SUMPRODUCT(($Z$2:Z535="Online collection 网上收款")*($AA$2:AA535&lt;&gt;"")*($AC$2:AC535-TRUNC($AC$2:AC535))),2))</f>
        <v/>
      </c>
    </row>
    <row r="536">
      <c r="O536" s="5" t="n"/>
      <c r="S536" s="6" t="n"/>
      <c r="V536" s="5" t="n"/>
      <c r="X536" s="5" t="n"/>
      <c r="AC536" s="6" t="n"/>
      <c r="AD536" s="6" t="n"/>
      <c r="AE536" s="7">
        <f>IF(X536="","",ROUND('Opening Balance'!$B$4+SUM($AC$2:AC536)-SUM($AD$2:AD536)+SUMPRODUCT(($Q$2:$Q$1501="Collection 收款")*($R$2:$R$1501="Cheque 支票")*($V$2:$V$1501&lt;&gt;"")*($V$2:$V$1501&lt;=X536)*($S$2:$S$1501-'Opening Balance'!$B$15*($R$2:$R$1501="Cheque 支票")*($S$2:$S$1501-TRUNC($S$2:$S$1501))))-'Opening Balance'!$B$15*SUMPRODUCT(($Z$2:Z536="Online collection 网上收款")*($AA$2:AA536&lt;&gt;"")*($AC$2:AC536-TRUNC($AC$2:AC536))),2))</f>
        <v/>
      </c>
    </row>
    <row r="537">
      <c r="O537" s="5" t="n"/>
      <c r="S537" s="6" t="n"/>
      <c r="V537" s="5" t="n"/>
      <c r="X537" s="5" t="n"/>
      <c r="AC537" s="6" t="n"/>
      <c r="AD537" s="6" t="n"/>
      <c r="AE537" s="7">
        <f>IF(X537="","",ROUND('Opening Balance'!$B$4+SUM($AC$2:AC537)-SUM($AD$2:AD537)+SUMPRODUCT(($Q$2:$Q$1501="Collection 收款")*($R$2:$R$1501="Cheque 支票")*($V$2:$V$1501&lt;&gt;"")*($V$2:$V$1501&lt;=X537)*($S$2:$S$1501-'Opening Balance'!$B$15*($R$2:$R$1501="Cheque 支票")*($S$2:$S$1501-TRUNC($S$2:$S$1501))))-'Opening Balance'!$B$15*SUMPRODUCT(($Z$2:Z537="Online collection 网上收款")*($AA$2:AA537&lt;&gt;"")*($AC$2:AC537-TRUNC($AC$2:AC537))),2))</f>
        <v/>
      </c>
    </row>
    <row r="538">
      <c r="O538" s="5" t="n"/>
      <c r="S538" s="6" t="n"/>
      <c r="V538" s="5" t="n"/>
      <c r="X538" s="5" t="n"/>
      <c r="AC538" s="6" t="n"/>
      <c r="AD538" s="6" t="n"/>
      <c r="AE538" s="7">
        <f>IF(X538="","",ROUND('Opening Balance'!$B$4+SUM($AC$2:AC538)-SUM($AD$2:AD538)+SUMPRODUCT(($Q$2:$Q$1501="Collection 收款")*($R$2:$R$1501="Cheque 支票")*($V$2:$V$1501&lt;&gt;"")*($V$2:$V$1501&lt;=X538)*($S$2:$S$1501-'Opening Balance'!$B$15*($R$2:$R$1501="Cheque 支票")*($S$2:$S$1501-TRUNC($S$2:$S$1501))))-'Opening Balance'!$B$15*SUMPRODUCT(($Z$2:Z538="Online collection 网上收款")*($AA$2:AA538&lt;&gt;"")*($AC$2:AC538-TRUNC($AC$2:AC538))),2))</f>
        <v/>
      </c>
    </row>
    <row r="539">
      <c r="O539" s="5" t="n"/>
      <c r="S539" s="6" t="n"/>
      <c r="V539" s="5" t="n"/>
      <c r="X539" s="5" t="n"/>
      <c r="AC539" s="6" t="n"/>
      <c r="AD539" s="6" t="n"/>
      <c r="AE539" s="7">
        <f>IF(X539="","",ROUND('Opening Balance'!$B$4+SUM($AC$2:AC539)-SUM($AD$2:AD539)+SUMPRODUCT(($Q$2:$Q$1501="Collection 收款")*($R$2:$R$1501="Cheque 支票")*($V$2:$V$1501&lt;&gt;"")*($V$2:$V$1501&lt;=X539)*($S$2:$S$1501-'Opening Balance'!$B$15*($R$2:$R$1501="Cheque 支票")*($S$2:$S$1501-TRUNC($S$2:$S$1501))))-'Opening Balance'!$B$15*SUMPRODUCT(($Z$2:Z539="Online collection 网上收款")*($AA$2:AA539&lt;&gt;"")*($AC$2:AC539-TRUNC($AC$2:AC539))),2))</f>
        <v/>
      </c>
    </row>
    <row r="540">
      <c r="O540" s="5" t="n"/>
      <c r="S540" s="6" t="n"/>
      <c r="V540" s="5" t="n"/>
      <c r="X540" s="5" t="n"/>
      <c r="AC540" s="6" t="n"/>
      <c r="AD540" s="6" t="n"/>
      <c r="AE540" s="7">
        <f>IF(X540="","",ROUND('Opening Balance'!$B$4+SUM($AC$2:AC540)-SUM($AD$2:AD540)+SUMPRODUCT(($Q$2:$Q$1501="Collection 收款")*($R$2:$R$1501="Cheque 支票")*($V$2:$V$1501&lt;&gt;"")*($V$2:$V$1501&lt;=X540)*($S$2:$S$1501-'Opening Balance'!$B$15*($R$2:$R$1501="Cheque 支票")*($S$2:$S$1501-TRUNC($S$2:$S$1501))))-'Opening Balance'!$B$15*SUMPRODUCT(($Z$2:Z540="Online collection 网上收款")*($AA$2:AA540&lt;&gt;"")*($AC$2:AC540-TRUNC($AC$2:AC540))),2))</f>
        <v/>
      </c>
    </row>
    <row r="541">
      <c r="O541" s="5" t="n"/>
      <c r="S541" s="6" t="n"/>
      <c r="V541" s="5" t="n"/>
      <c r="X541" s="5" t="n"/>
      <c r="AC541" s="6" t="n"/>
      <c r="AD541" s="6" t="n"/>
      <c r="AE541" s="7">
        <f>IF(X541="","",ROUND('Opening Balance'!$B$4+SUM($AC$2:AC541)-SUM($AD$2:AD541)+SUMPRODUCT(($Q$2:$Q$1501="Collection 收款")*($R$2:$R$1501="Cheque 支票")*($V$2:$V$1501&lt;&gt;"")*($V$2:$V$1501&lt;=X541)*($S$2:$S$1501-'Opening Balance'!$B$15*($R$2:$R$1501="Cheque 支票")*($S$2:$S$1501-TRUNC($S$2:$S$1501))))-'Opening Balance'!$B$15*SUMPRODUCT(($Z$2:Z541="Online collection 网上收款")*($AA$2:AA541&lt;&gt;"")*($AC$2:AC541-TRUNC($AC$2:AC541))),2))</f>
        <v/>
      </c>
    </row>
    <row r="542">
      <c r="O542" s="5" t="n"/>
      <c r="S542" s="6" t="n"/>
      <c r="V542" s="5" t="n"/>
      <c r="X542" s="5" t="n"/>
      <c r="AC542" s="6" t="n"/>
      <c r="AD542" s="6" t="n"/>
      <c r="AE542" s="7">
        <f>IF(X542="","",ROUND('Opening Balance'!$B$4+SUM($AC$2:AC542)-SUM($AD$2:AD542)+SUMPRODUCT(($Q$2:$Q$1501="Collection 收款")*($R$2:$R$1501="Cheque 支票")*($V$2:$V$1501&lt;&gt;"")*($V$2:$V$1501&lt;=X542)*($S$2:$S$1501-'Opening Balance'!$B$15*($R$2:$R$1501="Cheque 支票")*($S$2:$S$1501-TRUNC($S$2:$S$1501))))-'Opening Balance'!$B$15*SUMPRODUCT(($Z$2:Z542="Online collection 网上收款")*($AA$2:AA542&lt;&gt;"")*($AC$2:AC542-TRUNC($AC$2:AC542))),2))</f>
        <v/>
      </c>
    </row>
    <row r="543">
      <c r="O543" s="5" t="n"/>
      <c r="S543" s="6" t="n"/>
      <c r="V543" s="5" t="n"/>
      <c r="X543" s="5" t="n"/>
      <c r="AC543" s="6" t="n"/>
      <c r="AD543" s="6" t="n"/>
      <c r="AE543" s="7">
        <f>IF(X543="","",ROUND('Opening Balance'!$B$4+SUM($AC$2:AC543)-SUM($AD$2:AD543)+SUMPRODUCT(($Q$2:$Q$1501="Collection 收款")*($R$2:$R$1501="Cheque 支票")*($V$2:$V$1501&lt;&gt;"")*($V$2:$V$1501&lt;=X543)*($S$2:$S$1501-'Opening Balance'!$B$15*($R$2:$R$1501="Cheque 支票")*($S$2:$S$1501-TRUNC($S$2:$S$1501))))-'Opening Balance'!$B$15*SUMPRODUCT(($Z$2:Z543="Online collection 网上收款")*($AA$2:AA543&lt;&gt;"")*($AC$2:AC543-TRUNC($AC$2:AC543))),2))</f>
        <v/>
      </c>
    </row>
    <row r="544">
      <c r="O544" s="5" t="n"/>
      <c r="S544" s="6" t="n"/>
      <c r="V544" s="5" t="n"/>
      <c r="X544" s="5" t="n"/>
      <c r="AC544" s="6" t="n"/>
      <c r="AD544" s="6" t="n"/>
      <c r="AE544" s="7">
        <f>IF(X544="","",ROUND('Opening Balance'!$B$4+SUM($AC$2:AC544)-SUM($AD$2:AD544)+SUMPRODUCT(($Q$2:$Q$1501="Collection 收款")*($R$2:$R$1501="Cheque 支票")*($V$2:$V$1501&lt;&gt;"")*($V$2:$V$1501&lt;=X544)*($S$2:$S$1501-'Opening Balance'!$B$15*($R$2:$R$1501="Cheque 支票")*($S$2:$S$1501-TRUNC($S$2:$S$1501))))-'Opening Balance'!$B$15*SUMPRODUCT(($Z$2:Z544="Online collection 网上收款")*($AA$2:AA544&lt;&gt;"")*($AC$2:AC544-TRUNC($AC$2:AC544))),2))</f>
        <v/>
      </c>
    </row>
    <row r="545">
      <c r="O545" s="5" t="n"/>
      <c r="S545" s="6" t="n"/>
      <c r="V545" s="5" t="n"/>
      <c r="X545" s="5" t="n"/>
      <c r="AC545" s="6" t="n"/>
      <c r="AD545" s="6" t="n"/>
      <c r="AE545" s="7">
        <f>IF(X545="","",ROUND('Opening Balance'!$B$4+SUM($AC$2:AC545)-SUM($AD$2:AD545)+SUMPRODUCT(($Q$2:$Q$1501="Collection 收款")*($R$2:$R$1501="Cheque 支票")*($V$2:$V$1501&lt;&gt;"")*($V$2:$V$1501&lt;=X545)*($S$2:$S$1501-'Opening Balance'!$B$15*($R$2:$R$1501="Cheque 支票")*($S$2:$S$1501-TRUNC($S$2:$S$1501))))-'Opening Balance'!$B$15*SUMPRODUCT(($Z$2:Z545="Online collection 网上收款")*($AA$2:AA545&lt;&gt;"")*($AC$2:AC545-TRUNC($AC$2:AC545))),2))</f>
        <v/>
      </c>
    </row>
    <row r="546">
      <c r="O546" s="5" t="n"/>
      <c r="S546" s="6" t="n"/>
      <c r="V546" s="5" t="n"/>
      <c r="X546" s="5" t="n"/>
      <c r="AC546" s="6" t="n"/>
      <c r="AD546" s="6" t="n"/>
      <c r="AE546" s="7">
        <f>IF(X546="","",ROUND('Opening Balance'!$B$4+SUM($AC$2:AC546)-SUM($AD$2:AD546)+SUMPRODUCT(($Q$2:$Q$1501="Collection 收款")*($R$2:$R$1501="Cheque 支票")*($V$2:$V$1501&lt;&gt;"")*($V$2:$V$1501&lt;=X546)*($S$2:$S$1501-'Opening Balance'!$B$15*($R$2:$R$1501="Cheque 支票")*($S$2:$S$1501-TRUNC($S$2:$S$1501))))-'Opening Balance'!$B$15*SUMPRODUCT(($Z$2:Z546="Online collection 网上收款")*($AA$2:AA546&lt;&gt;"")*($AC$2:AC546-TRUNC($AC$2:AC546))),2))</f>
        <v/>
      </c>
    </row>
    <row r="547">
      <c r="O547" s="5" t="n"/>
      <c r="S547" s="6" t="n"/>
      <c r="V547" s="5" t="n"/>
      <c r="X547" s="5" t="n"/>
      <c r="AC547" s="6" t="n"/>
      <c r="AD547" s="6" t="n"/>
      <c r="AE547" s="7">
        <f>IF(X547="","",ROUND('Opening Balance'!$B$4+SUM($AC$2:AC547)-SUM($AD$2:AD547)+SUMPRODUCT(($Q$2:$Q$1501="Collection 收款")*($R$2:$R$1501="Cheque 支票")*($V$2:$V$1501&lt;&gt;"")*($V$2:$V$1501&lt;=X547)*($S$2:$S$1501-'Opening Balance'!$B$15*($R$2:$R$1501="Cheque 支票")*($S$2:$S$1501-TRUNC($S$2:$S$1501))))-'Opening Balance'!$B$15*SUMPRODUCT(($Z$2:Z547="Online collection 网上收款")*($AA$2:AA547&lt;&gt;"")*($AC$2:AC547-TRUNC($AC$2:AC547))),2))</f>
        <v/>
      </c>
    </row>
    <row r="548">
      <c r="O548" s="5" t="n"/>
      <c r="S548" s="6" t="n"/>
      <c r="V548" s="5" t="n"/>
      <c r="X548" s="5" t="n"/>
      <c r="AC548" s="6" t="n"/>
      <c r="AD548" s="6" t="n"/>
      <c r="AE548" s="7">
        <f>IF(X548="","",ROUND('Opening Balance'!$B$4+SUM($AC$2:AC548)-SUM($AD$2:AD548)+SUMPRODUCT(($Q$2:$Q$1501="Collection 收款")*($R$2:$R$1501="Cheque 支票")*($V$2:$V$1501&lt;&gt;"")*($V$2:$V$1501&lt;=X548)*($S$2:$S$1501-'Opening Balance'!$B$15*($R$2:$R$1501="Cheque 支票")*($S$2:$S$1501-TRUNC($S$2:$S$1501))))-'Opening Balance'!$B$15*SUMPRODUCT(($Z$2:Z548="Online collection 网上收款")*($AA$2:AA548&lt;&gt;"")*($AC$2:AC548-TRUNC($AC$2:AC548))),2))</f>
        <v/>
      </c>
    </row>
    <row r="549">
      <c r="O549" s="5" t="n"/>
      <c r="S549" s="6" t="n"/>
      <c r="V549" s="5" t="n"/>
      <c r="X549" s="5" t="n"/>
      <c r="AC549" s="6" t="n"/>
      <c r="AD549" s="6" t="n"/>
      <c r="AE549" s="7">
        <f>IF(X549="","",ROUND('Opening Balance'!$B$4+SUM($AC$2:AC549)-SUM($AD$2:AD549)+SUMPRODUCT(($Q$2:$Q$1501="Collection 收款")*($R$2:$R$1501="Cheque 支票")*($V$2:$V$1501&lt;&gt;"")*($V$2:$V$1501&lt;=X549)*($S$2:$S$1501-'Opening Balance'!$B$15*($R$2:$R$1501="Cheque 支票")*($S$2:$S$1501-TRUNC($S$2:$S$1501))))-'Opening Balance'!$B$15*SUMPRODUCT(($Z$2:Z549="Online collection 网上收款")*($AA$2:AA549&lt;&gt;"")*($AC$2:AC549-TRUNC($AC$2:AC549))),2))</f>
        <v/>
      </c>
    </row>
    <row r="550">
      <c r="O550" s="5" t="n"/>
      <c r="S550" s="6" t="n"/>
      <c r="V550" s="5" t="n"/>
      <c r="X550" s="5" t="n"/>
      <c r="AC550" s="6" t="n"/>
      <c r="AD550" s="6" t="n"/>
      <c r="AE550" s="7">
        <f>IF(X550="","",ROUND('Opening Balance'!$B$4+SUM($AC$2:AC550)-SUM($AD$2:AD550)+SUMPRODUCT(($Q$2:$Q$1501="Collection 收款")*($R$2:$R$1501="Cheque 支票")*($V$2:$V$1501&lt;&gt;"")*($V$2:$V$1501&lt;=X550)*($S$2:$S$1501-'Opening Balance'!$B$15*($R$2:$R$1501="Cheque 支票")*($S$2:$S$1501-TRUNC($S$2:$S$1501))))-'Opening Balance'!$B$15*SUMPRODUCT(($Z$2:Z550="Online collection 网上收款")*($AA$2:AA550&lt;&gt;"")*($AC$2:AC550-TRUNC($AC$2:AC550))),2))</f>
        <v/>
      </c>
    </row>
    <row r="551">
      <c r="O551" s="5" t="n"/>
      <c r="S551" s="6" t="n"/>
      <c r="V551" s="5" t="n"/>
      <c r="X551" s="5" t="n"/>
      <c r="AC551" s="6" t="n"/>
      <c r="AD551" s="6" t="n"/>
      <c r="AE551" s="7">
        <f>IF(X551="","",ROUND('Opening Balance'!$B$4+SUM($AC$2:AC551)-SUM($AD$2:AD551)+SUMPRODUCT(($Q$2:$Q$1501="Collection 收款")*($R$2:$R$1501="Cheque 支票")*($V$2:$V$1501&lt;&gt;"")*($V$2:$V$1501&lt;=X551)*($S$2:$S$1501-'Opening Balance'!$B$15*($R$2:$R$1501="Cheque 支票")*($S$2:$S$1501-TRUNC($S$2:$S$1501))))-'Opening Balance'!$B$15*SUMPRODUCT(($Z$2:Z551="Online collection 网上收款")*($AA$2:AA551&lt;&gt;"")*($AC$2:AC551-TRUNC($AC$2:AC551))),2))</f>
        <v/>
      </c>
    </row>
    <row r="552">
      <c r="O552" s="5" t="n"/>
      <c r="S552" s="6" t="n"/>
      <c r="V552" s="5" t="n"/>
      <c r="X552" s="5" t="n"/>
      <c r="AC552" s="6" t="n"/>
      <c r="AD552" s="6" t="n"/>
      <c r="AE552" s="7">
        <f>IF(X552="","",ROUND('Opening Balance'!$B$4+SUM($AC$2:AC552)-SUM($AD$2:AD552)+SUMPRODUCT(($Q$2:$Q$1501="Collection 收款")*($R$2:$R$1501="Cheque 支票")*($V$2:$V$1501&lt;&gt;"")*($V$2:$V$1501&lt;=X552)*($S$2:$S$1501-'Opening Balance'!$B$15*($R$2:$R$1501="Cheque 支票")*($S$2:$S$1501-TRUNC($S$2:$S$1501))))-'Opening Balance'!$B$15*SUMPRODUCT(($Z$2:Z552="Online collection 网上收款")*($AA$2:AA552&lt;&gt;"")*($AC$2:AC552-TRUNC($AC$2:AC552))),2))</f>
        <v/>
      </c>
    </row>
    <row r="553">
      <c r="O553" s="5" t="n"/>
      <c r="S553" s="6" t="n"/>
      <c r="V553" s="5" t="n"/>
      <c r="X553" s="5" t="n"/>
      <c r="AC553" s="6" t="n"/>
      <c r="AD553" s="6" t="n"/>
      <c r="AE553" s="7">
        <f>IF(X553="","",ROUND('Opening Balance'!$B$4+SUM($AC$2:AC553)-SUM($AD$2:AD553)+SUMPRODUCT(($Q$2:$Q$1501="Collection 收款")*($R$2:$R$1501="Cheque 支票")*($V$2:$V$1501&lt;&gt;"")*($V$2:$V$1501&lt;=X553)*($S$2:$S$1501-'Opening Balance'!$B$15*($R$2:$R$1501="Cheque 支票")*($S$2:$S$1501-TRUNC($S$2:$S$1501))))-'Opening Balance'!$B$15*SUMPRODUCT(($Z$2:Z553="Online collection 网上收款")*($AA$2:AA553&lt;&gt;"")*($AC$2:AC553-TRUNC($AC$2:AC553))),2))</f>
        <v/>
      </c>
    </row>
    <row r="554">
      <c r="O554" s="5" t="n"/>
      <c r="S554" s="6" t="n"/>
      <c r="V554" s="5" t="n"/>
      <c r="X554" s="5" t="n"/>
      <c r="AC554" s="6" t="n"/>
      <c r="AD554" s="6" t="n"/>
      <c r="AE554" s="7">
        <f>IF(X554="","",ROUND('Opening Balance'!$B$4+SUM($AC$2:AC554)-SUM($AD$2:AD554)+SUMPRODUCT(($Q$2:$Q$1501="Collection 收款")*($R$2:$R$1501="Cheque 支票")*($V$2:$V$1501&lt;&gt;"")*($V$2:$V$1501&lt;=X554)*($S$2:$S$1501-'Opening Balance'!$B$15*($R$2:$R$1501="Cheque 支票")*($S$2:$S$1501-TRUNC($S$2:$S$1501))))-'Opening Balance'!$B$15*SUMPRODUCT(($Z$2:Z554="Online collection 网上收款")*($AA$2:AA554&lt;&gt;"")*($AC$2:AC554-TRUNC($AC$2:AC554))),2))</f>
        <v/>
      </c>
    </row>
    <row r="555">
      <c r="O555" s="5" t="n"/>
      <c r="S555" s="6" t="n"/>
      <c r="V555" s="5" t="n"/>
      <c r="X555" s="5" t="n"/>
      <c r="AC555" s="6" t="n"/>
      <c r="AD555" s="6" t="n"/>
      <c r="AE555" s="7">
        <f>IF(X555="","",ROUND('Opening Balance'!$B$4+SUM($AC$2:AC555)-SUM($AD$2:AD555)+SUMPRODUCT(($Q$2:$Q$1501="Collection 收款")*($R$2:$R$1501="Cheque 支票")*($V$2:$V$1501&lt;&gt;"")*($V$2:$V$1501&lt;=X555)*($S$2:$S$1501-'Opening Balance'!$B$15*($R$2:$R$1501="Cheque 支票")*($S$2:$S$1501-TRUNC($S$2:$S$1501))))-'Opening Balance'!$B$15*SUMPRODUCT(($Z$2:Z555="Online collection 网上收款")*($AA$2:AA555&lt;&gt;"")*($AC$2:AC555-TRUNC($AC$2:AC555))),2))</f>
        <v/>
      </c>
    </row>
    <row r="556">
      <c r="O556" s="5" t="n"/>
      <c r="S556" s="6" t="n"/>
      <c r="V556" s="5" t="n"/>
      <c r="X556" s="5" t="n"/>
      <c r="AC556" s="6" t="n"/>
      <c r="AD556" s="6" t="n"/>
      <c r="AE556" s="7">
        <f>IF(X556="","",ROUND('Opening Balance'!$B$4+SUM($AC$2:AC556)-SUM($AD$2:AD556)+SUMPRODUCT(($Q$2:$Q$1501="Collection 收款")*($R$2:$R$1501="Cheque 支票")*($V$2:$V$1501&lt;&gt;"")*($V$2:$V$1501&lt;=X556)*($S$2:$S$1501-'Opening Balance'!$B$15*($R$2:$R$1501="Cheque 支票")*($S$2:$S$1501-TRUNC($S$2:$S$1501))))-'Opening Balance'!$B$15*SUMPRODUCT(($Z$2:Z556="Online collection 网上收款")*($AA$2:AA556&lt;&gt;"")*($AC$2:AC556-TRUNC($AC$2:AC556))),2))</f>
        <v/>
      </c>
    </row>
    <row r="557">
      <c r="O557" s="5" t="n"/>
      <c r="S557" s="6" t="n"/>
      <c r="V557" s="5" t="n"/>
      <c r="X557" s="5" t="n"/>
      <c r="AC557" s="6" t="n"/>
      <c r="AD557" s="6" t="n"/>
      <c r="AE557" s="7">
        <f>IF(X557="","",ROUND('Opening Balance'!$B$4+SUM($AC$2:AC557)-SUM($AD$2:AD557)+SUMPRODUCT(($Q$2:$Q$1501="Collection 收款")*($R$2:$R$1501="Cheque 支票")*($V$2:$V$1501&lt;&gt;"")*($V$2:$V$1501&lt;=X557)*($S$2:$S$1501-'Opening Balance'!$B$15*($R$2:$R$1501="Cheque 支票")*($S$2:$S$1501-TRUNC($S$2:$S$1501))))-'Opening Balance'!$B$15*SUMPRODUCT(($Z$2:Z557="Online collection 网上收款")*($AA$2:AA557&lt;&gt;"")*($AC$2:AC557-TRUNC($AC$2:AC557))),2))</f>
        <v/>
      </c>
    </row>
    <row r="558">
      <c r="O558" s="5" t="n"/>
      <c r="S558" s="6" t="n"/>
      <c r="V558" s="5" t="n"/>
      <c r="X558" s="5" t="n"/>
      <c r="AC558" s="6" t="n"/>
      <c r="AD558" s="6" t="n"/>
      <c r="AE558" s="7">
        <f>IF(X558="","",ROUND('Opening Balance'!$B$4+SUM($AC$2:AC558)-SUM($AD$2:AD558)+SUMPRODUCT(($Q$2:$Q$1501="Collection 收款")*($R$2:$R$1501="Cheque 支票")*($V$2:$V$1501&lt;&gt;"")*($V$2:$V$1501&lt;=X558)*($S$2:$S$1501-'Opening Balance'!$B$15*($R$2:$R$1501="Cheque 支票")*($S$2:$S$1501-TRUNC($S$2:$S$1501))))-'Opening Balance'!$B$15*SUMPRODUCT(($Z$2:Z558="Online collection 网上收款")*($AA$2:AA558&lt;&gt;"")*($AC$2:AC558-TRUNC($AC$2:AC558))),2))</f>
        <v/>
      </c>
    </row>
    <row r="559">
      <c r="O559" s="5" t="n"/>
      <c r="S559" s="6" t="n"/>
      <c r="V559" s="5" t="n"/>
      <c r="X559" s="5" t="n"/>
      <c r="AC559" s="6" t="n"/>
      <c r="AD559" s="6" t="n"/>
      <c r="AE559" s="7">
        <f>IF(X559="","",ROUND('Opening Balance'!$B$4+SUM($AC$2:AC559)-SUM($AD$2:AD559)+SUMPRODUCT(($Q$2:$Q$1501="Collection 收款")*($R$2:$R$1501="Cheque 支票")*($V$2:$V$1501&lt;&gt;"")*($V$2:$V$1501&lt;=X559)*($S$2:$S$1501-'Opening Balance'!$B$15*($R$2:$R$1501="Cheque 支票")*($S$2:$S$1501-TRUNC($S$2:$S$1501))))-'Opening Balance'!$B$15*SUMPRODUCT(($Z$2:Z559="Online collection 网上收款")*($AA$2:AA559&lt;&gt;"")*($AC$2:AC559-TRUNC($AC$2:AC559))),2))</f>
        <v/>
      </c>
    </row>
    <row r="560">
      <c r="O560" s="5" t="n"/>
      <c r="S560" s="6" t="n"/>
      <c r="V560" s="5" t="n"/>
      <c r="X560" s="5" t="n"/>
      <c r="AC560" s="6" t="n"/>
      <c r="AD560" s="6" t="n"/>
      <c r="AE560" s="7">
        <f>IF(X560="","",ROUND('Opening Balance'!$B$4+SUM($AC$2:AC560)-SUM($AD$2:AD560)+SUMPRODUCT(($Q$2:$Q$1501="Collection 收款")*($R$2:$R$1501="Cheque 支票")*($V$2:$V$1501&lt;&gt;"")*($V$2:$V$1501&lt;=X560)*($S$2:$S$1501-'Opening Balance'!$B$15*($R$2:$R$1501="Cheque 支票")*($S$2:$S$1501-TRUNC($S$2:$S$1501))))-'Opening Balance'!$B$15*SUMPRODUCT(($Z$2:Z560="Online collection 网上收款")*($AA$2:AA560&lt;&gt;"")*($AC$2:AC560-TRUNC($AC$2:AC560))),2))</f>
        <v/>
      </c>
    </row>
    <row r="561">
      <c r="O561" s="5" t="n"/>
      <c r="S561" s="6" t="n"/>
      <c r="V561" s="5" t="n"/>
      <c r="X561" s="5" t="n"/>
      <c r="AC561" s="6" t="n"/>
      <c r="AD561" s="6" t="n"/>
      <c r="AE561" s="7">
        <f>IF(X561="","",ROUND('Opening Balance'!$B$4+SUM($AC$2:AC561)-SUM($AD$2:AD561)+SUMPRODUCT(($Q$2:$Q$1501="Collection 收款")*($R$2:$R$1501="Cheque 支票")*($V$2:$V$1501&lt;&gt;"")*($V$2:$V$1501&lt;=X561)*($S$2:$S$1501-'Opening Balance'!$B$15*($R$2:$R$1501="Cheque 支票")*($S$2:$S$1501-TRUNC($S$2:$S$1501))))-'Opening Balance'!$B$15*SUMPRODUCT(($Z$2:Z561="Online collection 网上收款")*($AA$2:AA561&lt;&gt;"")*($AC$2:AC561-TRUNC($AC$2:AC561))),2))</f>
        <v/>
      </c>
    </row>
    <row r="562">
      <c r="O562" s="5" t="n"/>
      <c r="S562" s="6" t="n"/>
      <c r="V562" s="5" t="n"/>
      <c r="X562" s="5" t="n"/>
      <c r="AC562" s="6" t="n"/>
      <c r="AD562" s="6" t="n"/>
      <c r="AE562" s="7">
        <f>IF(X562="","",ROUND('Opening Balance'!$B$4+SUM($AC$2:AC562)-SUM($AD$2:AD562)+SUMPRODUCT(($Q$2:$Q$1501="Collection 收款")*($R$2:$R$1501="Cheque 支票")*($V$2:$V$1501&lt;&gt;"")*($V$2:$V$1501&lt;=X562)*($S$2:$S$1501-'Opening Balance'!$B$15*($R$2:$R$1501="Cheque 支票")*($S$2:$S$1501-TRUNC($S$2:$S$1501))))-'Opening Balance'!$B$15*SUMPRODUCT(($Z$2:Z562="Online collection 网上收款")*($AA$2:AA562&lt;&gt;"")*($AC$2:AC562-TRUNC($AC$2:AC562))),2))</f>
        <v/>
      </c>
    </row>
    <row r="563">
      <c r="O563" s="5" t="n"/>
      <c r="S563" s="6" t="n"/>
      <c r="V563" s="5" t="n"/>
      <c r="X563" s="5" t="n"/>
      <c r="AC563" s="6" t="n"/>
      <c r="AD563" s="6" t="n"/>
      <c r="AE563" s="7">
        <f>IF(X563="","",ROUND('Opening Balance'!$B$4+SUM($AC$2:AC563)-SUM($AD$2:AD563)+SUMPRODUCT(($Q$2:$Q$1501="Collection 收款")*($R$2:$R$1501="Cheque 支票")*($V$2:$V$1501&lt;&gt;"")*($V$2:$V$1501&lt;=X563)*($S$2:$S$1501-'Opening Balance'!$B$15*($R$2:$R$1501="Cheque 支票")*($S$2:$S$1501-TRUNC($S$2:$S$1501))))-'Opening Balance'!$B$15*SUMPRODUCT(($Z$2:Z563="Online collection 网上收款")*($AA$2:AA563&lt;&gt;"")*($AC$2:AC563-TRUNC($AC$2:AC563))),2))</f>
        <v/>
      </c>
    </row>
    <row r="564">
      <c r="O564" s="5" t="n"/>
      <c r="S564" s="6" t="n"/>
      <c r="V564" s="5" t="n"/>
      <c r="X564" s="5" t="n"/>
      <c r="AC564" s="6" t="n"/>
      <c r="AD564" s="6" t="n"/>
      <c r="AE564" s="7">
        <f>IF(X564="","",ROUND('Opening Balance'!$B$4+SUM($AC$2:AC564)-SUM($AD$2:AD564)+SUMPRODUCT(($Q$2:$Q$1501="Collection 收款")*($R$2:$R$1501="Cheque 支票")*($V$2:$V$1501&lt;&gt;"")*($V$2:$V$1501&lt;=X564)*($S$2:$S$1501-'Opening Balance'!$B$15*($R$2:$R$1501="Cheque 支票")*($S$2:$S$1501-TRUNC($S$2:$S$1501))))-'Opening Balance'!$B$15*SUMPRODUCT(($Z$2:Z564="Online collection 网上收款")*($AA$2:AA564&lt;&gt;"")*($AC$2:AC564-TRUNC($AC$2:AC564))),2))</f>
        <v/>
      </c>
    </row>
    <row r="565">
      <c r="O565" s="5" t="n"/>
      <c r="S565" s="6" t="n"/>
      <c r="V565" s="5" t="n"/>
      <c r="X565" s="5" t="n"/>
      <c r="AC565" s="6" t="n"/>
      <c r="AD565" s="6" t="n"/>
      <c r="AE565" s="7">
        <f>IF(X565="","",ROUND('Opening Balance'!$B$4+SUM($AC$2:AC565)-SUM($AD$2:AD565)+SUMPRODUCT(($Q$2:$Q$1501="Collection 收款")*($R$2:$R$1501="Cheque 支票")*($V$2:$V$1501&lt;&gt;"")*($V$2:$V$1501&lt;=X565)*($S$2:$S$1501-'Opening Balance'!$B$15*($R$2:$R$1501="Cheque 支票")*($S$2:$S$1501-TRUNC($S$2:$S$1501))))-'Opening Balance'!$B$15*SUMPRODUCT(($Z$2:Z565="Online collection 网上收款")*($AA$2:AA565&lt;&gt;"")*($AC$2:AC565-TRUNC($AC$2:AC565))),2))</f>
        <v/>
      </c>
    </row>
    <row r="566">
      <c r="O566" s="5" t="n"/>
      <c r="S566" s="6" t="n"/>
      <c r="V566" s="5" t="n"/>
      <c r="X566" s="5" t="n"/>
      <c r="AC566" s="6" t="n"/>
      <c r="AD566" s="6" t="n"/>
      <c r="AE566" s="7">
        <f>IF(X566="","",ROUND('Opening Balance'!$B$4+SUM($AC$2:AC566)-SUM($AD$2:AD566)+SUMPRODUCT(($Q$2:$Q$1501="Collection 收款")*($R$2:$R$1501="Cheque 支票")*($V$2:$V$1501&lt;&gt;"")*($V$2:$V$1501&lt;=X566)*($S$2:$S$1501-'Opening Balance'!$B$15*($R$2:$R$1501="Cheque 支票")*($S$2:$S$1501-TRUNC($S$2:$S$1501))))-'Opening Balance'!$B$15*SUMPRODUCT(($Z$2:Z566="Online collection 网上收款")*($AA$2:AA566&lt;&gt;"")*($AC$2:AC566-TRUNC($AC$2:AC566))),2))</f>
        <v/>
      </c>
    </row>
    <row r="567">
      <c r="O567" s="5" t="n"/>
      <c r="S567" s="6" t="n"/>
      <c r="V567" s="5" t="n"/>
      <c r="X567" s="5" t="n"/>
      <c r="AC567" s="6" t="n"/>
      <c r="AD567" s="6" t="n"/>
      <c r="AE567" s="7">
        <f>IF(X567="","",ROUND('Opening Balance'!$B$4+SUM($AC$2:AC567)-SUM($AD$2:AD567)+SUMPRODUCT(($Q$2:$Q$1501="Collection 收款")*($R$2:$R$1501="Cheque 支票")*($V$2:$V$1501&lt;&gt;"")*($V$2:$V$1501&lt;=X567)*($S$2:$S$1501-'Opening Balance'!$B$15*($R$2:$R$1501="Cheque 支票")*($S$2:$S$1501-TRUNC($S$2:$S$1501))))-'Opening Balance'!$B$15*SUMPRODUCT(($Z$2:Z567="Online collection 网上收款")*($AA$2:AA567&lt;&gt;"")*($AC$2:AC567-TRUNC($AC$2:AC567))),2))</f>
        <v/>
      </c>
    </row>
    <row r="568">
      <c r="O568" s="5" t="n"/>
      <c r="S568" s="6" t="n"/>
      <c r="V568" s="5" t="n"/>
      <c r="X568" s="5" t="n"/>
      <c r="AC568" s="6" t="n"/>
      <c r="AD568" s="6" t="n"/>
      <c r="AE568" s="7">
        <f>IF(X568="","",ROUND('Opening Balance'!$B$4+SUM($AC$2:AC568)-SUM($AD$2:AD568)+SUMPRODUCT(($Q$2:$Q$1501="Collection 收款")*($R$2:$R$1501="Cheque 支票")*($V$2:$V$1501&lt;&gt;"")*($V$2:$V$1501&lt;=X568)*($S$2:$S$1501-'Opening Balance'!$B$15*($R$2:$R$1501="Cheque 支票")*($S$2:$S$1501-TRUNC($S$2:$S$1501))))-'Opening Balance'!$B$15*SUMPRODUCT(($Z$2:Z568="Online collection 网上收款")*($AA$2:AA568&lt;&gt;"")*($AC$2:AC568-TRUNC($AC$2:AC568))),2))</f>
        <v/>
      </c>
    </row>
    <row r="569">
      <c r="O569" s="5" t="n"/>
      <c r="S569" s="6" t="n"/>
      <c r="V569" s="5" t="n"/>
      <c r="X569" s="5" t="n"/>
      <c r="AC569" s="6" t="n"/>
      <c r="AD569" s="6" t="n"/>
      <c r="AE569" s="7">
        <f>IF(X569="","",ROUND('Opening Balance'!$B$4+SUM($AC$2:AC569)-SUM($AD$2:AD569)+SUMPRODUCT(($Q$2:$Q$1501="Collection 收款")*($R$2:$R$1501="Cheque 支票")*($V$2:$V$1501&lt;&gt;"")*($V$2:$V$1501&lt;=X569)*($S$2:$S$1501-'Opening Balance'!$B$15*($R$2:$R$1501="Cheque 支票")*($S$2:$S$1501-TRUNC($S$2:$S$1501))))-'Opening Balance'!$B$15*SUMPRODUCT(($Z$2:Z569="Online collection 网上收款")*($AA$2:AA569&lt;&gt;"")*($AC$2:AC569-TRUNC($AC$2:AC569))),2))</f>
        <v/>
      </c>
    </row>
    <row r="570">
      <c r="O570" s="5" t="n"/>
      <c r="S570" s="6" t="n"/>
      <c r="V570" s="5" t="n"/>
      <c r="X570" s="5" t="n"/>
      <c r="AC570" s="6" t="n"/>
      <c r="AD570" s="6" t="n"/>
      <c r="AE570" s="7">
        <f>IF(X570="","",ROUND('Opening Balance'!$B$4+SUM($AC$2:AC570)-SUM($AD$2:AD570)+SUMPRODUCT(($Q$2:$Q$1501="Collection 收款")*($R$2:$R$1501="Cheque 支票")*($V$2:$V$1501&lt;&gt;"")*($V$2:$V$1501&lt;=X570)*($S$2:$S$1501-'Opening Balance'!$B$15*($R$2:$R$1501="Cheque 支票")*($S$2:$S$1501-TRUNC($S$2:$S$1501))))-'Opening Balance'!$B$15*SUMPRODUCT(($Z$2:Z570="Online collection 网上收款")*($AA$2:AA570&lt;&gt;"")*($AC$2:AC570-TRUNC($AC$2:AC570))),2))</f>
        <v/>
      </c>
    </row>
    <row r="571">
      <c r="O571" s="5" t="n"/>
      <c r="S571" s="6" t="n"/>
      <c r="V571" s="5" t="n"/>
      <c r="X571" s="5" t="n"/>
      <c r="AC571" s="6" t="n"/>
      <c r="AD571" s="6" t="n"/>
      <c r="AE571" s="7">
        <f>IF(X571="","",ROUND('Opening Balance'!$B$4+SUM($AC$2:AC571)-SUM($AD$2:AD571)+SUMPRODUCT(($Q$2:$Q$1501="Collection 收款")*($R$2:$R$1501="Cheque 支票")*($V$2:$V$1501&lt;&gt;"")*($V$2:$V$1501&lt;=X571)*($S$2:$S$1501-'Opening Balance'!$B$15*($R$2:$R$1501="Cheque 支票")*($S$2:$S$1501-TRUNC($S$2:$S$1501))))-'Opening Balance'!$B$15*SUMPRODUCT(($Z$2:Z571="Online collection 网上收款")*($AA$2:AA571&lt;&gt;"")*($AC$2:AC571-TRUNC($AC$2:AC571))),2))</f>
        <v/>
      </c>
    </row>
    <row r="572">
      <c r="O572" s="5" t="n"/>
      <c r="S572" s="6" t="n"/>
      <c r="V572" s="5" t="n"/>
      <c r="X572" s="5" t="n"/>
      <c r="AC572" s="6" t="n"/>
      <c r="AD572" s="6" t="n"/>
      <c r="AE572" s="7">
        <f>IF(X572="","",ROUND('Opening Balance'!$B$4+SUM($AC$2:AC572)-SUM($AD$2:AD572)+SUMPRODUCT(($Q$2:$Q$1501="Collection 收款")*($R$2:$R$1501="Cheque 支票")*($V$2:$V$1501&lt;&gt;"")*($V$2:$V$1501&lt;=X572)*($S$2:$S$1501-'Opening Balance'!$B$15*($R$2:$R$1501="Cheque 支票")*($S$2:$S$1501-TRUNC($S$2:$S$1501))))-'Opening Balance'!$B$15*SUMPRODUCT(($Z$2:Z572="Online collection 网上收款")*($AA$2:AA572&lt;&gt;"")*($AC$2:AC572-TRUNC($AC$2:AC572))),2))</f>
        <v/>
      </c>
    </row>
    <row r="573">
      <c r="O573" s="5" t="n"/>
      <c r="S573" s="6" t="n"/>
      <c r="V573" s="5" t="n"/>
      <c r="X573" s="5" t="n"/>
      <c r="AC573" s="6" t="n"/>
      <c r="AD573" s="6" t="n"/>
      <c r="AE573" s="7">
        <f>IF(X573="","",ROUND('Opening Balance'!$B$4+SUM($AC$2:AC573)-SUM($AD$2:AD573)+SUMPRODUCT(($Q$2:$Q$1501="Collection 收款")*($R$2:$R$1501="Cheque 支票")*($V$2:$V$1501&lt;&gt;"")*($V$2:$V$1501&lt;=X573)*($S$2:$S$1501-'Opening Balance'!$B$15*($R$2:$R$1501="Cheque 支票")*($S$2:$S$1501-TRUNC($S$2:$S$1501))))-'Opening Balance'!$B$15*SUMPRODUCT(($Z$2:Z573="Online collection 网上收款")*($AA$2:AA573&lt;&gt;"")*($AC$2:AC573-TRUNC($AC$2:AC573))),2))</f>
        <v/>
      </c>
    </row>
    <row r="574">
      <c r="O574" s="5" t="n"/>
      <c r="S574" s="6" t="n"/>
      <c r="V574" s="5" t="n"/>
      <c r="X574" s="5" t="n"/>
      <c r="AC574" s="6" t="n"/>
      <c r="AD574" s="6" t="n"/>
      <c r="AE574" s="7">
        <f>IF(X574="","",ROUND('Opening Balance'!$B$4+SUM($AC$2:AC574)-SUM($AD$2:AD574)+SUMPRODUCT(($Q$2:$Q$1501="Collection 收款")*($R$2:$R$1501="Cheque 支票")*($V$2:$V$1501&lt;&gt;"")*($V$2:$V$1501&lt;=X574)*($S$2:$S$1501-'Opening Balance'!$B$15*($R$2:$R$1501="Cheque 支票")*($S$2:$S$1501-TRUNC($S$2:$S$1501))))-'Opening Balance'!$B$15*SUMPRODUCT(($Z$2:Z574="Online collection 网上收款")*($AA$2:AA574&lt;&gt;"")*($AC$2:AC574-TRUNC($AC$2:AC574))),2))</f>
        <v/>
      </c>
    </row>
    <row r="575">
      <c r="O575" s="5" t="n"/>
      <c r="S575" s="6" t="n"/>
      <c r="V575" s="5" t="n"/>
      <c r="X575" s="5" t="n"/>
      <c r="AC575" s="6" t="n"/>
      <c r="AD575" s="6" t="n"/>
      <c r="AE575" s="7">
        <f>IF(X575="","",ROUND('Opening Balance'!$B$4+SUM($AC$2:AC575)-SUM($AD$2:AD575)+SUMPRODUCT(($Q$2:$Q$1501="Collection 收款")*($R$2:$R$1501="Cheque 支票")*($V$2:$V$1501&lt;&gt;"")*($V$2:$V$1501&lt;=X575)*($S$2:$S$1501-'Opening Balance'!$B$15*($R$2:$R$1501="Cheque 支票")*($S$2:$S$1501-TRUNC($S$2:$S$1501))))-'Opening Balance'!$B$15*SUMPRODUCT(($Z$2:Z575="Online collection 网上收款")*($AA$2:AA575&lt;&gt;"")*($AC$2:AC575-TRUNC($AC$2:AC575))),2))</f>
        <v/>
      </c>
    </row>
    <row r="576">
      <c r="O576" s="5" t="n"/>
      <c r="S576" s="6" t="n"/>
      <c r="V576" s="5" t="n"/>
      <c r="X576" s="5" t="n"/>
      <c r="AC576" s="6" t="n"/>
      <c r="AD576" s="6" t="n"/>
      <c r="AE576" s="7">
        <f>IF(X576="","",ROUND('Opening Balance'!$B$4+SUM($AC$2:AC576)-SUM($AD$2:AD576)+SUMPRODUCT(($Q$2:$Q$1501="Collection 收款")*($R$2:$R$1501="Cheque 支票")*($V$2:$V$1501&lt;&gt;"")*($V$2:$V$1501&lt;=X576)*($S$2:$S$1501-'Opening Balance'!$B$15*($R$2:$R$1501="Cheque 支票")*($S$2:$S$1501-TRUNC($S$2:$S$1501))))-'Opening Balance'!$B$15*SUMPRODUCT(($Z$2:Z576="Online collection 网上收款")*($AA$2:AA576&lt;&gt;"")*($AC$2:AC576-TRUNC($AC$2:AC576))),2))</f>
        <v/>
      </c>
    </row>
    <row r="577">
      <c r="O577" s="5" t="n"/>
      <c r="S577" s="6" t="n"/>
      <c r="V577" s="5" t="n"/>
      <c r="X577" s="5" t="n"/>
      <c r="AC577" s="6" t="n"/>
      <c r="AD577" s="6" t="n"/>
      <c r="AE577" s="7">
        <f>IF(X577="","",ROUND('Opening Balance'!$B$4+SUM($AC$2:AC577)-SUM($AD$2:AD577)+SUMPRODUCT(($Q$2:$Q$1501="Collection 收款")*($R$2:$R$1501="Cheque 支票")*($V$2:$V$1501&lt;&gt;"")*($V$2:$V$1501&lt;=X577)*($S$2:$S$1501-'Opening Balance'!$B$15*($R$2:$R$1501="Cheque 支票")*($S$2:$S$1501-TRUNC($S$2:$S$1501))))-'Opening Balance'!$B$15*SUMPRODUCT(($Z$2:Z577="Online collection 网上收款")*($AA$2:AA577&lt;&gt;"")*($AC$2:AC577-TRUNC($AC$2:AC577))),2))</f>
        <v/>
      </c>
    </row>
    <row r="578">
      <c r="O578" s="5" t="n"/>
      <c r="S578" s="6" t="n"/>
      <c r="V578" s="5" t="n"/>
      <c r="X578" s="5" t="n"/>
      <c r="AC578" s="6" t="n"/>
      <c r="AD578" s="6" t="n"/>
      <c r="AE578" s="7">
        <f>IF(X578="","",ROUND('Opening Balance'!$B$4+SUM($AC$2:AC578)-SUM($AD$2:AD578)+SUMPRODUCT(($Q$2:$Q$1501="Collection 收款")*($R$2:$R$1501="Cheque 支票")*($V$2:$V$1501&lt;&gt;"")*($V$2:$V$1501&lt;=X578)*($S$2:$S$1501-'Opening Balance'!$B$15*($R$2:$R$1501="Cheque 支票")*($S$2:$S$1501-TRUNC($S$2:$S$1501))))-'Opening Balance'!$B$15*SUMPRODUCT(($Z$2:Z578="Online collection 网上收款")*($AA$2:AA578&lt;&gt;"")*($AC$2:AC578-TRUNC($AC$2:AC578))),2))</f>
        <v/>
      </c>
    </row>
    <row r="579">
      <c r="O579" s="5" t="n"/>
      <c r="S579" s="6" t="n"/>
      <c r="V579" s="5" t="n"/>
      <c r="X579" s="5" t="n"/>
      <c r="AC579" s="6" t="n"/>
      <c r="AD579" s="6" t="n"/>
      <c r="AE579" s="7">
        <f>IF(X579="","",ROUND('Opening Balance'!$B$4+SUM($AC$2:AC579)-SUM($AD$2:AD579)+SUMPRODUCT(($Q$2:$Q$1501="Collection 收款")*($R$2:$R$1501="Cheque 支票")*($V$2:$V$1501&lt;&gt;"")*($V$2:$V$1501&lt;=X579)*($S$2:$S$1501-'Opening Balance'!$B$15*($R$2:$R$1501="Cheque 支票")*($S$2:$S$1501-TRUNC($S$2:$S$1501))))-'Opening Balance'!$B$15*SUMPRODUCT(($Z$2:Z579="Online collection 网上收款")*($AA$2:AA579&lt;&gt;"")*($AC$2:AC579-TRUNC($AC$2:AC579))),2))</f>
        <v/>
      </c>
    </row>
    <row r="580">
      <c r="O580" s="5" t="n"/>
      <c r="S580" s="6" t="n"/>
      <c r="V580" s="5" t="n"/>
      <c r="X580" s="5" t="n"/>
      <c r="AC580" s="6" t="n"/>
      <c r="AD580" s="6" t="n"/>
      <c r="AE580" s="7">
        <f>IF(X580="","",ROUND('Opening Balance'!$B$4+SUM($AC$2:AC580)-SUM($AD$2:AD580)+SUMPRODUCT(($Q$2:$Q$1501="Collection 收款")*($R$2:$R$1501="Cheque 支票")*($V$2:$V$1501&lt;&gt;"")*($V$2:$V$1501&lt;=X580)*($S$2:$S$1501-'Opening Balance'!$B$15*($R$2:$R$1501="Cheque 支票")*($S$2:$S$1501-TRUNC($S$2:$S$1501))))-'Opening Balance'!$B$15*SUMPRODUCT(($Z$2:Z580="Online collection 网上收款")*($AA$2:AA580&lt;&gt;"")*($AC$2:AC580-TRUNC($AC$2:AC580))),2))</f>
        <v/>
      </c>
    </row>
    <row r="581">
      <c r="O581" s="5" t="n"/>
      <c r="S581" s="6" t="n"/>
      <c r="V581" s="5" t="n"/>
      <c r="X581" s="5" t="n"/>
      <c r="AC581" s="6" t="n"/>
      <c r="AD581" s="6" t="n"/>
      <c r="AE581" s="7">
        <f>IF(X581="","",ROUND('Opening Balance'!$B$4+SUM($AC$2:AC581)-SUM($AD$2:AD581)+SUMPRODUCT(($Q$2:$Q$1501="Collection 收款")*($R$2:$R$1501="Cheque 支票")*($V$2:$V$1501&lt;&gt;"")*($V$2:$V$1501&lt;=X581)*($S$2:$S$1501-'Opening Balance'!$B$15*($R$2:$R$1501="Cheque 支票")*($S$2:$S$1501-TRUNC($S$2:$S$1501))))-'Opening Balance'!$B$15*SUMPRODUCT(($Z$2:Z581="Online collection 网上收款")*($AA$2:AA581&lt;&gt;"")*($AC$2:AC581-TRUNC($AC$2:AC581))),2))</f>
        <v/>
      </c>
    </row>
    <row r="582">
      <c r="O582" s="5" t="n"/>
      <c r="S582" s="6" t="n"/>
      <c r="V582" s="5" t="n"/>
      <c r="X582" s="5" t="n"/>
      <c r="AC582" s="6" t="n"/>
      <c r="AD582" s="6" t="n"/>
      <c r="AE582" s="7">
        <f>IF(X582="","",ROUND('Opening Balance'!$B$4+SUM($AC$2:AC582)-SUM($AD$2:AD582)+SUMPRODUCT(($Q$2:$Q$1501="Collection 收款")*($R$2:$R$1501="Cheque 支票")*($V$2:$V$1501&lt;&gt;"")*($V$2:$V$1501&lt;=X582)*($S$2:$S$1501-'Opening Balance'!$B$15*($R$2:$R$1501="Cheque 支票")*($S$2:$S$1501-TRUNC($S$2:$S$1501))))-'Opening Balance'!$B$15*SUMPRODUCT(($Z$2:Z582="Online collection 网上收款")*($AA$2:AA582&lt;&gt;"")*($AC$2:AC582-TRUNC($AC$2:AC582))),2))</f>
        <v/>
      </c>
    </row>
    <row r="583">
      <c r="O583" s="5" t="n"/>
      <c r="S583" s="6" t="n"/>
      <c r="V583" s="5" t="n"/>
      <c r="X583" s="5" t="n"/>
      <c r="AC583" s="6" t="n"/>
      <c r="AD583" s="6" t="n"/>
      <c r="AE583" s="7">
        <f>IF(X583="","",ROUND('Opening Balance'!$B$4+SUM($AC$2:AC583)-SUM($AD$2:AD583)+SUMPRODUCT(($Q$2:$Q$1501="Collection 收款")*($R$2:$R$1501="Cheque 支票")*($V$2:$V$1501&lt;&gt;"")*($V$2:$V$1501&lt;=X583)*($S$2:$S$1501-'Opening Balance'!$B$15*($R$2:$R$1501="Cheque 支票")*($S$2:$S$1501-TRUNC($S$2:$S$1501))))-'Opening Balance'!$B$15*SUMPRODUCT(($Z$2:Z583="Online collection 网上收款")*($AA$2:AA583&lt;&gt;"")*($AC$2:AC583-TRUNC($AC$2:AC583))),2))</f>
        <v/>
      </c>
    </row>
    <row r="584">
      <c r="O584" s="5" t="n"/>
      <c r="S584" s="6" t="n"/>
      <c r="V584" s="5" t="n"/>
      <c r="X584" s="5" t="n"/>
      <c r="AC584" s="6" t="n"/>
      <c r="AD584" s="6" t="n"/>
      <c r="AE584" s="7">
        <f>IF(X584="","",ROUND('Opening Balance'!$B$4+SUM($AC$2:AC584)-SUM($AD$2:AD584)+SUMPRODUCT(($Q$2:$Q$1501="Collection 收款")*($R$2:$R$1501="Cheque 支票")*($V$2:$V$1501&lt;&gt;"")*($V$2:$V$1501&lt;=X584)*($S$2:$S$1501-'Opening Balance'!$B$15*($R$2:$R$1501="Cheque 支票")*($S$2:$S$1501-TRUNC($S$2:$S$1501))))-'Opening Balance'!$B$15*SUMPRODUCT(($Z$2:Z584="Online collection 网上收款")*($AA$2:AA584&lt;&gt;"")*($AC$2:AC584-TRUNC($AC$2:AC584))),2))</f>
        <v/>
      </c>
    </row>
    <row r="585">
      <c r="O585" s="5" t="n"/>
      <c r="S585" s="6" t="n"/>
      <c r="V585" s="5" t="n"/>
      <c r="X585" s="5" t="n"/>
      <c r="AC585" s="6" t="n"/>
      <c r="AD585" s="6" t="n"/>
      <c r="AE585" s="7">
        <f>IF(X585="","",ROUND('Opening Balance'!$B$4+SUM($AC$2:AC585)-SUM($AD$2:AD585)+SUMPRODUCT(($Q$2:$Q$1501="Collection 收款")*($R$2:$R$1501="Cheque 支票")*($V$2:$V$1501&lt;&gt;"")*($V$2:$V$1501&lt;=X585)*($S$2:$S$1501-'Opening Balance'!$B$15*($R$2:$R$1501="Cheque 支票")*($S$2:$S$1501-TRUNC($S$2:$S$1501))))-'Opening Balance'!$B$15*SUMPRODUCT(($Z$2:Z585="Online collection 网上收款")*($AA$2:AA585&lt;&gt;"")*($AC$2:AC585-TRUNC($AC$2:AC585))),2))</f>
        <v/>
      </c>
    </row>
    <row r="586">
      <c r="O586" s="5" t="n"/>
      <c r="S586" s="6" t="n"/>
      <c r="V586" s="5" t="n"/>
      <c r="X586" s="5" t="n"/>
      <c r="AC586" s="6" t="n"/>
      <c r="AD586" s="6" t="n"/>
      <c r="AE586" s="7">
        <f>IF(X586="","",ROUND('Opening Balance'!$B$4+SUM($AC$2:AC586)-SUM($AD$2:AD586)+SUMPRODUCT(($Q$2:$Q$1501="Collection 收款")*($R$2:$R$1501="Cheque 支票")*($V$2:$V$1501&lt;&gt;"")*($V$2:$V$1501&lt;=X586)*($S$2:$S$1501-'Opening Balance'!$B$15*($R$2:$R$1501="Cheque 支票")*($S$2:$S$1501-TRUNC($S$2:$S$1501))))-'Opening Balance'!$B$15*SUMPRODUCT(($Z$2:Z586="Online collection 网上收款")*($AA$2:AA586&lt;&gt;"")*($AC$2:AC586-TRUNC($AC$2:AC586))),2))</f>
        <v/>
      </c>
    </row>
    <row r="587">
      <c r="O587" s="5" t="n"/>
      <c r="S587" s="6" t="n"/>
      <c r="V587" s="5" t="n"/>
      <c r="X587" s="5" t="n"/>
      <c r="AC587" s="6" t="n"/>
      <c r="AD587" s="6" t="n"/>
      <c r="AE587" s="7">
        <f>IF(X587="","",ROUND('Opening Balance'!$B$4+SUM($AC$2:AC587)-SUM($AD$2:AD587)+SUMPRODUCT(($Q$2:$Q$1501="Collection 收款")*($R$2:$R$1501="Cheque 支票")*($V$2:$V$1501&lt;&gt;"")*($V$2:$V$1501&lt;=X587)*($S$2:$S$1501-'Opening Balance'!$B$15*($R$2:$R$1501="Cheque 支票")*($S$2:$S$1501-TRUNC($S$2:$S$1501))))-'Opening Balance'!$B$15*SUMPRODUCT(($Z$2:Z587="Online collection 网上收款")*($AA$2:AA587&lt;&gt;"")*($AC$2:AC587-TRUNC($AC$2:AC587))),2))</f>
        <v/>
      </c>
    </row>
    <row r="588">
      <c r="O588" s="5" t="n"/>
      <c r="S588" s="6" t="n"/>
      <c r="V588" s="5" t="n"/>
      <c r="X588" s="5" t="n"/>
      <c r="AC588" s="6" t="n"/>
      <c r="AD588" s="6" t="n"/>
      <c r="AE588" s="7">
        <f>IF(X588="","",ROUND('Opening Balance'!$B$4+SUM($AC$2:AC588)-SUM($AD$2:AD588)+SUMPRODUCT(($Q$2:$Q$1501="Collection 收款")*($R$2:$R$1501="Cheque 支票")*($V$2:$V$1501&lt;&gt;"")*($V$2:$V$1501&lt;=X588)*($S$2:$S$1501-'Opening Balance'!$B$15*($R$2:$R$1501="Cheque 支票")*($S$2:$S$1501-TRUNC($S$2:$S$1501))))-'Opening Balance'!$B$15*SUMPRODUCT(($Z$2:Z588="Online collection 网上收款")*($AA$2:AA588&lt;&gt;"")*($AC$2:AC588-TRUNC($AC$2:AC588))),2))</f>
        <v/>
      </c>
    </row>
    <row r="589">
      <c r="O589" s="5" t="n"/>
      <c r="S589" s="6" t="n"/>
      <c r="V589" s="5" t="n"/>
      <c r="X589" s="5" t="n"/>
      <c r="AC589" s="6" t="n"/>
      <c r="AD589" s="6" t="n"/>
      <c r="AE589" s="7">
        <f>IF(X589="","",ROUND('Opening Balance'!$B$4+SUM($AC$2:AC589)-SUM($AD$2:AD589)+SUMPRODUCT(($Q$2:$Q$1501="Collection 收款")*($R$2:$R$1501="Cheque 支票")*($V$2:$V$1501&lt;&gt;"")*($V$2:$V$1501&lt;=X589)*($S$2:$S$1501-'Opening Balance'!$B$15*($R$2:$R$1501="Cheque 支票")*($S$2:$S$1501-TRUNC($S$2:$S$1501))))-'Opening Balance'!$B$15*SUMPRODUCT(($Z$2:Z589="Online collection 网上收款")*($AA$2:AA589&lt;&gt;"")*($AC$2:AC589-TRUNC($AC$2:AC589))),2))</f>
        <v/>
      </c>
    </row>
    <row r="590">
      <c r="O590" s="5" t="n"/>
      <c r="S590" s="6" t="n"/>
      <c r="V590" s="5" t="n"/>
      <c r="X590" s="5" t="n"/>
      <c r="AC590" s="6" t="n"/>
      <c r="AD590" s="6" t="n"/>
      <c r="AE590" s="7">
        <f>IF(X590="","",ROUND('Opening Balance'!$B$4+SUM($AC$2:AC590)-SUM($AD$2:AD590)+SUMPRODUCT(($Q$2:$Q$1501="Collection 收款")*($R$2:$R$1501="Cheque 支票")*($V$2:$V$1501&lt;&gt;"")*($V$2:$V$1501&lt;=X590)*($S$2:$S$1501-'Opening Balance'!$B$15*($R$2:$R$1501="Cheque 支票")*($S$2:$S$1501-TRUNC($S$2:$S$1501))))-'Opening Balance'!$B$15*SUMPRODUCT(($Z$2:Z590="Online collection 网上收款")*($AA$2:AA590&lt;&gt;"")*($AC$2:AC590-TRUNC($AC$2:AC590))),2))</f>
        <v/>
      </c>
    </row>
    <row r="591">
      <c r="O591" s="5" t="n"/>
      <c r="S591" s="6" t="n"/>
      <c r="V591" s="5" t="n"/>
      <c r="X591" s="5" t="n"/>
      <c r="AC591" s="6" t="n"/>
      <c r="AD591" s="6" t="n"/>
      <c r="AE591" s="7">
        <f>IF(X591="","",ROUND('Opening Balance'!$B$4+SUM($AC$2:AC591)-SUM($AD$2:AD591)+SUMPRODUCT(($Q$2:$Q$1501="Collection 收款")*($R$2:$R$1501="Cheque 支票")*($V$2:$V$1501&lt;&gt;"")*($V$2:$V$1501&lt;=X591)*($S$2:$S$1501-'Opening Balance'!$B$15*($R$2:$R$1501="Cheque 支票")*($S$2:$S$1501-TRUNC($S$2:$S$1501))))-'Opening Balance'!$B$15*SUMPRODUCT(($Z$2:Z591="Online collection 网上收款")*($AA$2:AA591&lt;&gt;"")*($AC$2:AC591-TRUNC($AC$2:AC591))),2))</f>
        <v/>
      </c>
    </row>
    <row r="592">
      <c r="O592" s="5" t="n"/>
      <c r="S592" s="6" t="n"/>
      <c r="V592" s="5" t="n"/>
      <c r="X592" s="5" t="n"/>
      <c r="AC592" s="6" t="n"/>
      <c r="AD592" s="6" t="n"/>
      <c r="AE592" s="7">
        <f>IF(X592="","",ROUND('Opening Balance'!$B$4+SUM($AC$2:AC592)-SUM($AD$2:AD592)+SUMPRODUCT(($Q$2:$Q$1501="Collection 收款")*($R$2:$R$1501="Cheque 支票")*($V$2:$V$1501&lt;&gt;"")*($V$2:$V$1501&lt;=X592)*($S$2:$S$1501-'Opening Balance'!$B$15*($R$2:$R$1501="Cheque 支票")*($S$2:$S$1501-TRUNC($S$2:$S$1501))))-'Opening Balance'!$B$15*SUMPRODUCT(($Z$2:Z592="Online collection 网上收款")*($AA$2:AA592&lt;&gt;"")*($AC$2:AC592-TRUNC($AC$2:AC592))),2))</f>
        <v/>
      </c>
    </row>
    <row r="593">
      <c r="O593" s="5" t="n"/>
      <c r="S593" s="6" t="n"/>
      <c r="V593" s="5" t="n"/>
      <c r="X593" s="5" t="n"/>
      <c r="AC593" s="6" t="n"/>
      <c r="AD593" s="6" t="n"/>
      <c r="AE593" s="7">
        <f>IF(X593="","",ROUND('Opening Balance'!$B$4+SUM($AC$2:AC593)-SUM($AD$2:AD593)+SUMPRODUCT(($Q$2:$Q$1501="Collection 收款")*($R$2:$R$1501="Cheque 支票")*($V$2:$V$1501&lt;&gt;"")*($V$2:$V$1501&lt;=X593)*($S$2:$S$1501-'Opening Balance'!$B$15*($R$2:$R$1501="Cheque 支票")*($S$2:$S$1501-TRUNC($S$2:$S$1501))))-'Opening Balance'!$B$15*SUMPRODUCT(($Z$2:Z593="Online collection 网上收款")*($AA$2:AA593&lt;&gt;"")*($AC$2:AC593-TRUNC($AC$2:AC593))),2))</f>
        <v/>
      </c>
    </row>
    <row r="594">
      <c r="O594" s="5" t="n"/>
      <c r="S594" s="6" t="n"/>
      <c r="V594" s="5" t="n"/>
      <c r="X594" s="5" t="n"/>
      <c r="AC594" s="6" t="n"/>
      <c r="AD594" s="6" t="n"/>
      <c r="AE594" s="7">
        <f>IF(X594="","",ROUND('Opening Balance'!$B$4+SUM($AC$2:AC594)-SUM($AD$2:AD594)+SUMPRODUCT(($Q$2:$Q$1501="Collection 收款")*($R$2:$R$1501="Cheque 支票")*($V$2:$V$1501&lt;&gt;"")*($V$2:$V$1501&lt;=X594)*($S$2:$S$1501-'Opening Balance'!$B$15*($R$2:$R$1501="Cheque 支票")*($S$2:$S$1501-TRUNC($S$2:$S$1501))))-'Opening Balance'!$B$15*SUMPRODUCT(($Z$2:Z594="Online collection 网上收款")*($AA$2:AA594&lt;&gt;"")*($AC$2:AC594-TRUNC($AC$2:AC594))),2))</f>
        <v/>
      </c>
    </row>
    <row r="595">
      <c r="O595" s="5" t="n"/>
      <c r="S595" s="6" t="n"/>
      <c r="V595" s="5" t="n"/>
      <c r="X595" s="5" t="n"/>
      <c r="AC595" s="6" t="n"/>
      <c r="AD595" s="6" t="n"/>
      <c r="AE595" s="7">
        <f>IF(X595="","",ROUND('Opening Balance'!$B$4+SUM($AC$2:AC595)-SUM($AD$2:AD595)+SUMPRODUCT(($Q$2:$Q$1501="Collection 收款")*($R$2:$R$1501="Cheque 支票")*($V$2:$V$1501&lt;&gt;"")*($V$2:$V$1501&lt;=X595)*($S$2:$S$1501-'Opening Balance'!$B$15*($R$2:$R$1501="Cheque 支票")*($S$2:$S$1501-TRUNC($S$2:$S$1501))))-'Opening Balance'!$B$15*SUMPRODUCT(($Z$2:Z595="Online collection 网上收款")*($AA$2:AA595&lt;&gt;"")*($AC$2:AC595-TRUNC($AC$2:AC595))),2))</f>
        <v/>
      </c>
    </row>
    <row r="596">
      <c r="O596" s="5" t="n"/>
      <c r="S596" s="6" t="n"/>
      <c r="V596" s="5" t="n"/>
      <c r="X596" s="5" t="n"/>
      <c r="AC596" s="6" t="n"/>
      <c r="AD596" s="6" t="n"/>
      <c r="AE596" s="7">
        <f>IF(X596="","",ROUND('Opening Balance'!$B$4+SUM($AC$2:AC596)-SUM($AD$2:AD596)+SUMPRODUCT(($Q$2:$Q$1501="Collection 收款")*($R$2:$R$1501="Cheque 支票")*($V$2:$V$1501&lt;&gt;"")*($V$2:$V$1501&lt;=X596)*($S$2:$S$1501-'Opening Balance'!$B$15*($R$2:$R$1501="Cheque 支票")*($S$2:$S$1501-TRUNC($S$2:$S$1501))))-'Opening Balance'!$B$15*SUMPRODUCT(($Z$2:Z596="Online collection 网上收款")*($AA$2:AA596&lt;&gt;"")*($AC$2:AC596-TRUNC($AC$2:AC596))),2))</f>
        <v/>
      </c>
    </row>
    <row r="597">
      <c r="O597" s="5" t="n"/>
      <c r="S597" s="6" t="n"/>
      <c r="V597" s="5" t="n"/>
      <c r="X597" s="5" t="n"/>
      <c r="AC597" s="6" t="n"/>
      <c r="AD597" s="6" t="n"/>
      <c r="AE597" s="7">
        <f>IF(X597="","",ROUND('Opening Balance'!$B$4+SUM($AC$2:AC597)-SUM($AD$2:AD597)+SUMPRODUCT(($Q$2:$Q$1501="Collection 收款")*($R$2:$R$1501="Cheque 支票")*($V$2:$V$1501&lt;&gt;"")*($V$2:$V$1501&lt;=X597)*($S$2:$S$1501-'Opening Balance'!$B$15*($R$2:$R$1501="Cheque 支票")*($S$2:$S$1501-TRUNC($S$2:$S$1501))))-'Opening Balance'!$B$15*SUMPRODUCT(($Z$2:Z597="Online collection 网上收款")*($AA$2:AA597&lt;&gt;"")*($AC$2:AC597-TRUNC($AC$2:AC597))),2))</f>
        <v/>
      </c>
    </row>
    <row r="598">
      <c r="O598" s="5" t="n"/>
      <c r="S598" s="6" t="n"/>
      <c r="V598" s="5" t="n"/>
      <c r="X598" s="5" t="n"/>
      <c r="AC598" s="6" t="n"/>
      <c r="AD598" s="6" t="n"/>
      <c r="AE598" s="7">
        <f>IF(X598="","",ROUND('Opening Balance'!$B$4+SUM($AC$2:AC598)-SUM($AD$2:AD598)+SUMPRODUCT(($Q$2:$Q$1501="Collection 收款")*($R$2:$R$1501="Cheque 支票")*($V$2:$V$1501&lt;&gt;"")*($V$2:$V$1501&lt;=X598)*($S$2:$S$1501-'Opening Balance'!$B$15*($R$2:$R$1501="Cheque 支票")*($S$2:$S$1501-TRUNC($S$2:$S$1501))))-'Opening Balance'!$B$15*SUMPRODUCT(($Z$2:Z598="Online collection 网上收款")*($AA$2:AA598&lt;&gt;"")*($AC$2:AC598-TRUNC($AC$2:AC598))),2))</f>
        <v/>
      </c>
    </row>
    <row r="599">
      <c r="O599" s="5" t="n"/>
      <c r="S599" s="6" t="n"/>
      <c r="V599" s="5" t="n"/>
      <c r="X599" s="5" t="n"/>
      <c r="AC599" s="6" t="n"/>
      <c r="AD599" s="6" t="n"/>
      <c r="AE599" s="7">
        <f>IF(X599="","",ROUND('Opening Balance'!$B$4+SUM($AC$2:AC599)-SUM($AD$2:AD599)+SUMPRODUCT(($Q$2:$Q$1501="Collection 收款")*($R$2:$R$1501="Cheque 支票")*($V$2:$V$1501&lt;&gt;"")*($V$2:$V$1501&lt;=X599)*($S$2:$S$1501-'Opening Balance'!$B$15*($R$2:$R$1501="Cheque 支票")*($S$2:$S$1501-TRUNC($S$2:$S$1501))))-'Opening Balance'!$B$15*SUMPRODUCT(($Z$2:Z599="Online collection 网上收款")*($AA$2:AA599&lt;&gt;"")*($AC$2:AC599-TRUNC($AC$2:AC599))),2))</f>
        <v/>
      </c>
    </row>
    <row r="600">
      <c r="O600" s="5" t="n"/>
      <c r="S600" s="6" t="n"/>
      <c r="V600" s="5" t="n"/>
      <c r="X600" s="5" t="n"/>
      <c r="AC600" s="6" t="n"/>
      <c r="AD600" s="6" t="n"/>
      <c r="AE600" s="7">
        <f>IF(X600="","",ROUND('Opening Balance'!$B$4+SUM($AC$2:AC600)-SUM($AD$2:AD600)+SUMPRODUCT(($Q$2:$Q$1501="Collection 收款")*($R$2:$R$1501="Cheque 支票")*($V$2:$V$1501&lt;&gt;"")*($V$2:$V$1501&lt;=X600)*($S$2:$S$1501-'Opening Balance'!$B$15*($R$2:$R$1501="Cheque 支票")*($S$2:$S$1501-TRUNC($S$2:$S$1501))))-'Opening Balance'!$B$15*SUMPRODUCT(($Z$2:Z600="Online collection 网上收款")*($AA$2:AA600&lt;&gt;"")*($AC$2:AC600-TRUNC($AC$2:AC600))),2))</f>
        <v/>
      </c>
    </row>
    <row r="601">
      <c r="O601" s="5" t="n"/>
      <c r="S601" s="6" t="n"/>
      <c r="V601" s="5" t="n"/>
      <c r="X601" s="5" t="n"/>
      <c r="AC601" s="6" t="n"/>
      <c r="AD601" s="6" t="n"/>
      <c r="AE601" s="7">
        <f>IF(X601="","",ROUND('Opening Balance'!$B$4+SUM($AC$2:AC601)-SUM($AD$2:AD601)+SUMPRODUCT(($Q$2:$Q$1501="Collection 收款")*($R$2:$R$1501="Cheque 支票")*($V$2:$V$1501&lt;&gt;"")*($V$2:$V$1501&lt;=X601)*($S$2:$S$1501-'Opening Balance'!$B$15*($R$2:$R$1501="Cheque 支票")*($S$2:$S$1501-TRUNC($S$2:$S$1501))))-'Opening Balance'!$B$15*SUMPRODUCT(($Z$2:Z601="Online collection 网上收款")*($AA$2:AA601&lt;&gt;"")*($AC$2:AC601-TRUNC($AC$2:AC601))),2))</f>
        <v/>
      </c>
    </row>
    <row r="602">
      <c r="O602" s="5" t="n"/>
      <c r="S602" s="6" t="n"/>
      <c r="V602" s="5" t="n"/>
      <c r="X602" s="5" t="n"/>
      <c r="AC602" s="6" t="n"/>
      <c r="AD602" s="6" t="n"/>
      <c r="AE602" s="7">
        <f>IF(X602="","",ROUND('Opening Balance'!$B$4+SUM($AC$2:AC602)-SUM($AD$2:AD602)+SUMPRODUCT(($Q$2:$Q$1501="Collection 收款")*($R$2:$R$1501="Cheque 支票")*($V$2:$V$1501&lt;&gt;"")*($V$2:$V$1501&lt;=X602)*($S$2:$S$1501-'Opening Balance'!$B$15*($R$2:$R$1501="Cheque 支票")*($S$2:$S$1501-TRUNC($S$2:$S$1501))))-'Opening Balance'!$B$15*SUMPRODUCT(($Z$2:Z602="Online collection 网上收款")*($AA$2:AA602&lt;&gt;"")*($AC$2:AC602-TRUNC($AC$2:AC602))),2))</f>
        <v/>
      </c>
    </row>
    <row r="603">
      <c r="O603" s="5" t="n"/>
      <c r="S603" s="6" t="n"/>
      <c r="V603" s="5" t="n"/>
      <c r="X603" s="5" t="n"/>
      <c r="AC603" s="6" t="n"/>
      <c r="AD603" s="6" t="n"/>
      <c r="AE603" s="7">
        <f>IF(X603="","",ROUND('Opening Balance'!$B$4+SUM($AC$2:AC603)-SUM($AD$2:AD603)+SUMPRODUCT(($Q$2:$Q$1501="Collection 收款")*($R$2:$R$1501="Cheque 支票")*($V$2:$V$1501&lt;&gt;"")*($V$2:$V$1501&lt;=X603)*($S$2:$S$1501-'Opening Balance'!$B$15*($R$2:$R$1501="Cheque 支票")*($S$2:$S$1501-TRUNC($S$2:$S$1501))))-'Opening Balance'!$B$15*SUMPRODUCT(($Z$2:Z603="Online collection 网上收款")*($AA$2:AA603&lt;&gt;"")*($AC$2:AC603-TRUNC($AC$2:AC603))),2))</f>
        <v/>
      </c>
    </row>
    <row r="604">
      <c r="O604" s="5" t="n"/>
      <c r="S604" s="6" t="n"/>
      <c r="V604" s="5" t="n"/>
      <c r="X604" s="5" t="n"/>
      <c r="AC604" s="6" t="n"/>
      <c r="AD604" s="6" t="n"/>
      <c r="AE604" s="7">
        <f>IF(X604="","",ROUND('Opening Balance'!$B$4+SUM($AC$2:AC604)-SUM($AD$2:AD604)+SUMPRODUCT(($Q$2:$Q$1501="Collection 收款")*($R$2:$R$1501="Cheque 支票")*($V$2:$V$1501&lt;&gt;"")*($V$2:$V$1501&lt;=X604)*($S$2:$S$1501-'Opening Balance'!$B$15*($R$2:$R$1501="Cheque 支票")*($S$2:$S$1501-TRUNC($S$2:$S$1501))))-'Opening Balance'!$B$15*SUMPRODUCT(($Z$2:Z604="Online collection 网上收款")*($AA$2:AA604&lt;&gt;"")*($AC$2:AC604-TRUNC($AC$2:AC604))),2))</f>
        <v/>
      </c>
    </row>
    <row r="605">
      <c r="O605" s="5" t="n"/>
      <c r="S605" s="6" t="n"/>
      <c r="V605" s="5" t="n"/>
      <c r="X605" s="5" t="n"/>
      <c r="AC605" s="6" t="n"/>
      <c r="AD605" s="6" t="n"/>
      <c r="AE605" s="7">
        <f>IF(X605="","",ROUND('Opening Balance'!$B$4+SUM($AC$2:AC605)-SUM($AD$2:AD605)+SUMPRODUCT(($Q$2:$Q$1501="Collection 收款")*($R$2:$R$1501="Cheque 支票")*($V$2:$V$1501&lt;&gt;"")*($V$2:$V$1501&lt;=X605)*($S$2:$S$1501-'Opening Balance'!$B$15*($R$2:$R$1501="Cheque 支票")*($S$2:$S$1501-TRUNC($S$2:$S$1501))))-'Opening Balance'!$B$15*SUMPRODUCT(($Z$2:Z605="Online collection 网上收款")*($AA$2:AA605&lt;&gt;"")*($AC$2:AC605-TRUNC($AC$2:AC605))),2))</f>
        <v/>
      </c>
    </row>
    <row r="606">
      <c r="O606" s="5" t="n"/>
      <c r="S606" s="6" t="n"/>
      <c r="V606" s="5" t="n"/>
      <c r="X606" s="5" t="n"/>
      <c r="AC606" s="6" t="n"/>
      <c r="AD606" s="6" t="n"/>
      <c r="AE606" s="7">
        <f>IF(X606="","",ROUND('Opening Balance'!$B$4+SUM($AC$2:AC606)-SUM($AD$2:AD606)+SUMPRODUCT(($Q$2:$Q$1501="Collection 收款")*($R$2:$R$1501="Cheque 支票")*($V$2:$V$1501&lt;&gt;"")*($V$2:$V$1501&lt;=X606)*($S$2:$S$1501-'Opening Balance'!$B$15*($R$2:$R$1501="Cheque 支票")*($S$2:$S$1501-TRUNC($S$2:$S$1501))))-'Opening Balance'!$B$15*SUMPRODUCT(($Z$2:Z606="Online collection 网上收款")*($AA$2:AA606&lt;&gt;"")*($AC$2:AC606-TRUNC($AC$2:AC606))),2))</f>
        <v/>
      </c>
    </row>
    <row r="607">
      <c r="O607" s="5" t="n"/>
      <c r="S607" s="6" t="n"/>
      <c r="V607" s="5" t="n"/>
      <c r="X607" s="5" t="n"/>
      <c r="AC607" s="6" t="n"/>
      <c r="AD607" s="6" t="n"/>
      <c r="AE607" s="7">
        <f>IF(X607="","",ROUND('Opening Balance'!$B$4+SUM($AC$2:AC607)-SUM($AD$2:AD607)+SUMPRODUCT(($Q$2:$Q$1501="Collection 收款")*($R$2:$R$1501="Cheque 支票")*($V$2:$V$1501&lt;&gt;"")*($V$2:$V$1501&lt;=X607)*($S$2:$S$1501-'Opening Balance'!$B$15*($R$2:$R$1501="Cheque 支票")*($S$2:$S$1501-TRUNC($S$2:$S$1501))))-'Opening Balance'!$B$15*SUMPRODUCT(($Z$2:Z607="Online collection 网上收款")*($AA$2:AA607&lt;&gt;"")*($AC$2:AC607-TRUNC($AC$2:AC607))),2))</f>
        <v/>
      </c>
    </row>
    <row r="608">
      <c r="O608" s="5" t="n"/>
      <c r="S608" s="6" t="n"/>
      <c r="V608" s="5" t="n"/>
      <c r="X608" s="5" t="n"/>
      <c r="AC608" s="6" t="n"/>
      <c r="AD608" s="6" t="n"/>
      <c r="AE608" s="7">
        <f>IF(X608="","",ROUND('Opening Balance'!$B$4+SUM($AC$2:AC608)-SUM($AD$2:AD608)+SUMPRODUCT(($Q$2:$Q$1501="Collection 收款")*($R$2:$R$1501="Cheque 支票")*($V$2:$V$1501&lt;&gt;"")*($V$2:$V$1501&lt;=X608)*($S$2:$S$1501-'Opening Balance'!$B$15*($R$2:$R$1501="Cheque 支票")*($S$2:$S$1501-TRUNC($S$2:$S$1501))))-'Opening Balance'!$B$15*SUMPRODUCT(($Z$2:Z608="Online collection 网上收款")*($AA$2:AA608&lt;&gt;"")*($AC$2:AC608-TRUNC($AC$2:AC608))),2))</f>
        <v/>
      </c>
    </row>
    <row r="609">
      <c r="O609" s="5" t="n"/>
      <c r="S609" s="6" t="n"/>
      <c r="V609" s="5" t="n"/>
      <c r="X609" s="5" t="n"/>
      <c r="AC609" s="6" t="n"/>
      <c r="AD609" s="6" t="n"/>
      <c r="AE609" s="7">
        <f>IF(X609="","",ROUND('Opening Balance'!$B$4+SUM($AC$2:AC609)-SUM($AD$2:AD609)+SUMPRODUCT(($Q$2:$Q$1501="Collection 收款")*($R$2:$R$1501="Cheque 支票")*($V$2:$V$1501&lt;&gt;"")*($V$2:$V$1501&lt;=X609)*($S$2:$S$1501-'Opening Balance'!$B$15*($R$2:$R$1501="Cheque 支票")*($S$2:$S$1501-TRUNC($S$2:$S$1501))))-'Opening Balance'!$B$15*SUMPRODUCT(($Z$2:Z609="Online collection 网上收款")*($AA$2:AA609&lt;&gt;"")*($AC$2:AC609-TRUNC($AC$2:AC609))),2))</f>
        <v/>
      </c>
    </row>
    <row r="610">
      <c r="O610" s="5" t="n"/>
      <c r="S610" s="6" t="n"/>
      <c r="V610" s="5" t="n"/>
      <c r="X610" s="5" t="n"/>
      <c r="AC610" s="6" t="n"/>
      <c r="AD610" s="6" t="n"/>
      <c r="AE610" s="7">
        <f>IF(X610="","",ROUND('Opening Balance'!$B$4+SUM($AC$2:AC610)-SUM($AD$2:AD610)+SUMPRODUCT(($Q$2:$Q$1501="Collection 收款")*($R$2:$R$1501="Cheque 支票")*($V$2:$V$1501&lt;&gt;"")*($V$2:$V$1501&lt;=X610)*($S$2:$S$1501-'Opening Balance'!$B$15*($R$2:$R$1501="Cheque 支票")*($S$2:$S$1501-TRUNC($S$2:$S$1501))))-'Opening Balance'!$B$15*SUMPRODUCT(($Z$2:Z610="Online collection 网上收款")*($AA$2:AA610&lt;&gt;"")*($AC$2:AC610-TRUNC($AC$2:AC610))),2))</f>
        <v/>
      </c>
    </row>
    <row r="611">
      <c r="O611" s="5" t="n"/>
      <c r="S611" s="6" t="n"/>
      <c r="V611" s="5" t="n"/>
      <c r="X611" s="5" t="n"/>
      <c r="AC611" s="6" t="n"/>
      <c r="AD611" s="6" t="n"/>
      <c r="AE611" s="7">
        <f>IF(X611="","",ROUND('Opening Balance'!$B$4+SUM($AC$2:AC611)-SUM($AD$2:AD611)+SUMPRODUCT(($Q$2:$Q$1501="Collection 收款")*($R$2:$R$1501="Cheque 支票")*($V$2:$V$1501&lt;&gt;"")*($V$2:$V$1501&lt;=X611)*($S$2:$S$1501-'Opening Balance'!$B$15*($R$2:$R$1501="Cheque 支票")*($S$2:$S$1501-TRUNC($S$2:$S$1501))))-'Opening Balance'!$B$15*SUMPRODUCT(($Z$2:Z611="Online collection 网上收款")*($AA$2:AA611&lt;&gt;"")*($AC$2:AC611-TRUNC($AC$2:AC611))),2))</f>
        <v/>
      </c>
    </row>
    <row r="612">
      <c r="O612" s="5" t="n"/>
      <c r="S612" s="6" t="n"/>
      <c r="V612" s="5" t="n"/>
      <c r="X612" s="5" t="n"/>
      <c r="AC612" s="6" t="n"/>
      <c r="AD612" s="6" t="n"/>
      <c r="AE612" s="7">
        <f>IF(X612="","",ROUND('Opening Balance'!$B$4+SUM($AC$2:AC612)-SUM($AD$2:AD612)+SUMPRODUCT(($Q$2:$Q$1501="Collection 收款")*($R$2:$R$1501="Cheque 支票")*($V$2:$V$1501&lt;&gt;"")*($V$2:$V$1501&lt;=X612)*($S$2:$S$1501-'Opening Balance'!$B$15*($R$2:$R$1501="Cheque 支票")*($S$2:$S$1501-TRUNC($S$2:$S$1501))))-'Opening Balance'!$B$15*SUMPRODUCT(($Z$2:Z612="Online collection 网上收款")*($AA$2:AA612&lt;&gt;"")*($AC$2:AC612-TRUNC($AC$2:AC612))),2))</f>
        <v/>
      </c>
    </row>
    <row r="613">
      <c r="O613" s="5" t="n"/>
      <c r="S613" s="6" t="n"/>
      <c r="V613" s="5" t="n"/>
      <c r="X613" s="5" t="n"/>
      <c r="AC613" s="6" t="n"/>
      <c r="AD613" s="6" t="n"/>
      <c r="AE613" s="7">
        <f>IF(X613="","",ROUND('Opening Balance'!$B$4+SUM($AC$2:AC613)-SUM($AD$2:AD613)+SUMPRODUCT(($Q$2:$Q$1501="Collection 收款")*($R$2:$R$1501="Cheque 支票")*($V$2:$V$1501&lt;&gt;"")*($V$2:$V$1501&lt;=X613)*($S$2:$S$1501-'Opening Balance'!$B$15*($R$2:$R$1501="Cheque 支票")*($S$2:$S$1501-TRUNC($S$2:$S$1501))))-'Opening Balance'!$B$15*SUMPRODUCT(($Z$2:Z613="Online collection 网上收款")*($AA$2:AA613&lt;&gt;"")*($AC$2:AC613-TRUNC($AC$2:AC613))),2))</f>
        <v/>
      </c>
    </row>
    <row r="614">
      <c r="O614" s="5" t="n"/>
      <c r="S614" s="6" t="n"/>
      <c r="V614" s="5" t="n"/>
      <c r="X614" s="5" t="n"/>
      <c r="AC614" s="6" t="n"/>
      <c r="AD614" s="6" t="n"/>
      <c r="AE614" s="7">
        <f>IF(X614="","",ROUND('Opening Balance'!$B$4+SUM($AC$2:AC614)-SUM($AD$2:AD614)+SUMPRODUCT(($Q$2:$Q$1501="Collection 收款")*($R$2:$R$1501="Cheque 支票")*($V$2:$V$1501&lt;&gt;"")*($V$2:$V$1501&lt;=X614)*($S$2:$S$1501-'Opening Balance'!$B$15*($R$2:$R$1501="Cheque 支票")*($S$2:$S$1501-TRUNC($S$2:$S$1501))))-'Opening Balance'!$B$15*SUMPRODUCT(($Z$2:Z614="Online collection 网上收款")*($AA$2:AA614&lt;&gt;"")*($AC$2:AC614-TRUNC($AC$2:AC614))),2))</f>
        <v/>
      </c>
    </row>
    <row r="615">
      <c r="O615" s="5" t="n"/>
      <c r="S615" s="6" t="n"/>
      <c r="V615" s="5" t="n"/>
      <c r="X615" s="5" t="n"/>
      <c r="AC615" s="6" t="n"/>
      <c r="AD615" s="6" t="n"/>
      <c r="AE615" s="7">
        <f>IF(X615="","",ROUND('Opening Balance'!$B$4+SUM($AC$2:AC615)-SUM($AD$2:AD615)+SUMPRODUCT(($Q$2:$Q$1501="Collection 收款")*($R$2:$R$1501="Cheque 支票")*($V$2:$V$1501&lt;&gt;"")*($V$2:$V$1501&lt;=X615)*($S$2:$S$1501-'Opening Balance'!$B$15*($R$2:$R$1501="Cheque 支票")*($S$2:$S$1501-TRUNC($S$2:$S$1501))))-'Opening Balance'!$B$15*SUMPRODUCT(($Z$2:Z615="Online collection 网上收款")*($AA$2:AA615&lt;&gt;"")*($AC$2:AC615-TRUNC($AC$2:AC615))),2))</f>
        <v/>
      </c>
    </row>
    <row r="616">
      <c r="O616" s="5" t="n"/>
      <c r="S616" s="6" t="n"/>
      <c r="V616" s="5" t="n"/>
      <c r="X616" s="5" t="n"/>
      <c r="AC616" s="6" t="n"/>
      <c r="AD616" s="6" t="n"/>
      <c r="AE616" s="7">
        <f>IF(X616="","",ROUND('Opening Balance'!$B$4+SUM($AC$2:AC616)-SUM($AD$2:AD616)+SUMPRODUCT(($Q$2:$Q$1501="Collection 收款")*($R$2:$R$1501="Cheque 支票")*($V$2:$V$1501&lt;&gt;"")*($V$2:$V$1501&lt;=X616)*($S$2:$S$1501-'Opening Balance'!$B$15*($R$2:$R$1501="Cheque 支票")*($S$2:$S$1501-TRUNC($S$2:$S$1501))))-'Opening Balance'!$B$15*SUMPRODUCT(($Z$2:Z616="Online collection 网上收款")*($AA$2:AA616&lt;&gt;"")*($AC$2:AC616-TRUNC($AC$2:AC616))),2))</f>
        <v/>
      </c>
    </row>
    <row r="617">
      <c r="O617" s="5" t="n"/>
      <c r="S617" s="6" t="n"/>
      <c r="V617" s="5" t="n"/>
      <c r="X617" s="5" t="n"/>
      <c r="AC617" s="6" t="n"/>
      <c r="AD617" s="6" t="n"/>
      <c r="AE617" s="7">
        <f>IF(X617="","",ROUND('Opening Balance'!$B$4+SUM($AC$2:AC617)-SUM($AD$2:AD617)+SUMPRODUCT(($Q$2:$Q$1501="Collection 收款")*($R$2:$R$1501="Cheque 支票")*($V$2:$V$1501&lt;&gt;"")*($V$2:$V$1501&lt;=X617)*($S$2:$S$1501-'Opening Balance'!$B$15*($R$2:$R$1501="Cheque 支票")*($S$2:$S$1501-TRUNC($S$2:$S$1501))))-'Opening Balance'!$B$15*SUMPRODUCT(($Z$2:Z617="Online collection 网上收款")*($AA$2:AA617&lt;&gt;"")*($AC$2:AC617-TRUNC($AC$2:AC617))),2))</f>
        <v/>
      </c>
    </row>
    <row r="618">
      <c r="O618" s="5" t="n"/>
      <c r="S618" s="6" t="n"/>
      <c r="V618" s="5" t="n"/>
      <c r="X618" s="5" t="n"/>
      <c r="AC618" s="6" t="n"/>
      <c r="AD618" s="6" t="n"/>
      <c r="AE618" s="7">
        <f>IF(X618="","",ROUND('Opening Balance'!$B$4+SUM($AC$2:AC618)-SUM($AD$2:AD618)+SUMPRODUCT(($Q$2:$Q$1501="Collection 收款")*($R$2:$R$1501="Cheque 支票")*($V$2:$V$1501&lt;&gt;"")*($V$2:$V$1501&lt;=X618)*($S$2:$S$1501-'Opening Balance'!$B$15*($R$2:$R$1501="Cheque 支票")*($S$2:$S$1501-TRUNC($S$2:$S$1501))))-'Opening Balance'!$B$15*SUMPRODUCT(($Z$2:Z618="Online collection 网上收款")*($AA$2:AA618&lt;&gt;"")*($AC$2:AC618-TRUNC($AC$2:AC618))),2))</f>
        <v/>
      </c>
    </row>
    <row r="619">
      <c r="O619" s="5" t="n"/>
      <c r="S619" s="6" t="n"/>
      <c r="V619" s="5" t="n"/>
      <c r="X619" s="5" t="n"/>
      <c r="AC619" s="6" t="n"/>
      <c r="AD619" s="6" t="n"/>
      <c r="AE619" s="7">
        <f>IF(X619="","",ROUND('Opening Balance'!$B$4+SUM($AC$2:AC619)-SUM($AD$2:AD619)+SUMPRODUCT(($Q$2:$Q$1501="Collection 收款")*($R$2:$R$1501="Cheque 支票")*($V$2:$V$1501&lt;&gt;"")*($V$2:$V$1501&lt;=X619)*($S$2:$S$1501-'Opening Balance'!$B$15*($R$2:$R$1501="Cheque 支票")*($S$2:$S$1501-TRUNC($S$2:$S$1501))))-'Opening Balance'!$B$15*SUMPRODUCT(($Z$2:Z619="Online collection 网上收款")*($AA$2:AA619&lt;&gt;"")*($AC$2:AC619-TRUNC($AC$2:AC619))),2))</f>
        <v/>
      </c>
    </row>
    <row r="620">
      <c r="O620" s="5" t="n"/>
      <c r="S620" s="6" t="n"/>
      <c r="V620" s="5" t="n"/>
      <c r="X620" s="5" t="n"/>
      <c r="AC620" s="6" t="n"/>
      <c r="AD620" s="6" t="n"/>
      <c r="AE620" s="7">
        <f>IF(X620="","",ROUND('Opening Balance'!$B$4+SUM($AC$2:AC620)-SUM($AD$2:AD620)+SUMPRODUCT(($Q$2:$Q$1501="Collection 收款")*($R$2:$R$1501="Cheque 支票")*($V$2:$V$1501&lt;&gt;"")*($V$2:$V$1501&lt;=X620)*($S$2:$S$1501-'Opening Balance'!$B$15*($R$2:$R$1501="Cheque 支票")*($S$2:$S$1501-TRUNC($S$2:$S$1501))))-'Opening Balance'!$B$15*SUMPRODUCT(($Z$2:Z620="Online collection 网上收款")*($AA$2:AA620&lt;&gt;"")*($AC$2:AC620-TRUNC($AC$2:AC620))),2))</f>
        <v/>
      </c>
    </row>
    <row r="621">
      <c r="O621" s="5" t="n"/>
      <c r="S621" s="6" t="n"/>
      <c r="V621" s="5" t="n"/>
      <c r="X621" s="5" t="n"/>
      <c r="AC621" s="6" t="n"/>
      <c r="AD621" s="6" t="n"/>
      <c r="AE621" s="7">
        <f>IF(X621="","",ROUND('Opening Balance'!$B$4+SUM($AC$2:AC621)-SUM($AD$2:AD621)+SUMPRODUCT(($Q$2:$Q$1501="Collection 收款")*($R$2:$R$1501="Cheque 支票")*($V$2:$V$1501&lt;&gt;"")*($V$2:$V$1501&lt;=X621)*($S$2:$S$1501-'Opening Balance'!$B$15*($R$2:$R$1501="Cheque 支票")*($S$2:$S$1501-TRUNC($S$2:$S$1501))))-'Opening Balance'!$B$15*SUMPRODUCT(($Z$2:Z621="Online collection 网上收款")*($AA$2:AA621&lt;&gt;"")*($AC$2:AC621-TRUNC($AC$2:AC621))),2))</f>
        <v/>
      </c>
    </row>
    <row r="622">
      <c r="O622" s="5" t="n"/>
      <c r="S622" s="6" t="n"/>
      <c r="V622" s="5" t="n"/>
      <c r="X622" s="5" t="n"/>
      <c r="AC622" s="6" t="n"/>
      <c r="AD622" s="6" t="n"/>
      <c r="AE622" s="7">
        <f>IF(X622="","",ROUND('Opening Balance'!$B$4+SUM($AC$2:AC622)-SUM($AD$2:AD622)+SUMPRODUCT(($Q$2:$Q$1501="Collection 收款")*($R$2:$R$1501="Cheque 支票")*($V$2:$V$1501&lt;&gt;"")*($V$2:$V$1501&lt;=X622)*($S$2:$S$1501-'Opening Balance'!$B$15*($R$2:$R$1501="Cheque 支票")*($S$2:$S$1501-TRUNC($S$2:$S$1501))))-'Opening Balance'!$B$15*SUMPRODUCT(($Z$2:Z622="Online collection 网上收款")*($AA$2:AA622&lt;&gt;"")*($AC$2:AC622-TRUNC($AC$2:AC622))),2))</f>
        <v/>
      </c>
    </row>
    <row r="623">
      <c r="O623" s="5" t="n"/>
      <c r="S623" s="6" t="n"/>
      <c r="V623" s="5" t="n"/>
      <c r="X623" s="5" t="n"/>
      <c r="AC623" s="6" t="n"/>
      <c r="AD623" s="6" t="n"/>
      <c r="AE623" s="7">
        <f>IF(X623="","",ROUND('Opening Balance'!$B$4+SUM($AC$2:AC623)-SUM($AD$2:AD623)+SUMPRODUCT(($Q$2:$Q$1501="Collection 收款")*($R$2:$R$1501="Cheque 支票")*($V$2:$V$1501&lt;&gt;"")*($V$2:$V$1501&lt;=X623)*($S$2:$S$1501-'Opening Balance'!$B$15*($R$2:$R$1501="Cheque 支票")*($S$2:$S$1501-TRUNC($S$2:$S$1501))))-'Opening Balance'!$B$15*SUMPRODUCT(($Z$2:Z623="Online collection 网上收款")*($AA$2:AA623&lt;&gt;"")*($AC$2:AC623-TRUNC($AC$2:AC623))),2))</f>
        <v/>
      </c>
    </row>
    <row r="624">
      <c r="O624" s="5" t="n"/>
      <c r="S624" s="6" t="n"/>
      <c r="V624" s="5" t="n"/>
      <c r="X624" s="5" t="n"/>
      <c r="AC624" s="6" t="n"/>
      <c r="AD624" s="6" t="n"/>
      <c r="AE624" s="7">
        <f>IF(X624="","",ROUND('Opening Balance'!$B$4+SUM($AC$2:AC624)-SUM($AD$2:AD624)+SUMPRODUCT(($Q$2:$Q$1501="Collection 收款")*($R$2:$R$1501="Cheque 支票")*($V$2:$V$1501&lt;&gt;"")*($V$2:$V$1501&lt;=X624)*($S$2:$S$1501-'Opening Balance'!$B$15*($R$2:$R$1501="Cheque 支票")*($S$2:$S$1501-TRUNC($S$2:$S$1501))))-'Opening Balance'!$B$15*SUMPRODUCT(($Z$2:Z624="Online collection 网上收款")*($AA$2:AA624&lt;&gt;"")*($AC$2:AC624-TRUNC($AC$2:AC624))),2))</f>
        <v/>
      </c>
    </row>
    <row r="625">
      <c r="O625" s="5" t="n"/>
      <c r="S625" s="6" t="n"/>
      <c r="V625" s="5" t="n"/>
      <c r="X625" s="5" t="n"/>
      <c r="AC625" s="6" t="n"/>
      <c r="AD625" s="6" t="n"/>
      <c r="AE625" s="7">
        <f>IF(X625="","",ROUND('Opening Balance'!$B$4+SUM($AC$2:AC625)-SUM($AD$2:AD625)+SUMPRODUCT(($Q$2:$Q$1501="Collection 收款")*($R$2:$R$1501="Cheque 支票")*($V$2:$V$1501&lt;&gt;"")*($V$2:$V$1501&lt;=X625)*($S$2:$S$1501-'Opening Balance'!$B$15*($R$2:$R$1501="Cheque 支票")*($S$2:$S$1501-TRUNC($S$2:$S$1501))))-'Opening Balance'!$B$15*SUMPRODUCT(($Z$2:Z625="Online collection 网上收款")*($AA$2:AA625&lt;&gt;"")*($AC$2:AC625-TRUNC($AC$2:AC625))),2))</f>
        <v/>
      </c>
    </row>
    <row r="626">
      <c r="O626" s="5" t="n"/>
      <c r="S626" s="6" t="n"/>
      <c r="V626" s="5" t="n"/>
      <c r="X626" s="5" t="n"/>
      <c r="AC626" s="6" t="n"/>
      <c r="AD626" s="6" t="n"/>
      <c r="AE626" s="7">
        <f>IF(X626="","",ROUND('Opening Balance'!$B$4+SUM($AC$2:AC626)-SUM($AD$2:AD626)+SUMPRODUCT(($Q$2:$Q$1501="Collection 收款")*($R$2:$R$1501="Cheque 支票")*($V$2:$V$1501&lt;&gt;"")*($V$2:$V$1501&lt;=X626)*($S$2:$S$1501-'Opening Balance'!$B$15*($R$2:$R$1501="Cheque 支票")*($S$2:$S$1501-TRUNC($S$2:$S$1501))))-'Opening Balance'!$B$15*SUMPRODUCT(($Z$2:Z626="Online collection 网上收款")*($AA$2:AA626&lt;&gt;"")*($AC$2:AC626-TRUNC($AC$2:AC626))),2))</f>
        <v/>
      </c>
    </row>
    <row r="627">
      <c r="O627" s="5" t="n"/>
      <c r="S627" s="6" t="n"/>
      <c r="V627" s="5" t="n"/>
      <c r="X627" s="5" t="n"/>
      <c r="AC627" s="6" t="n"/>
      <c r="AD627" s="6" t="n"/>
      <c r="AE627" s="7">
        <f>IF(X627="","",ROUND('Opening Balance'!$B$4+SUM($AC$2:AC627)-SUM($AD$2:AD627)+SUMPRODUCT(($Q$2:$Q$1501="Collection 收款")*($R$2:$R$1501="Cheque 支票")*($V$2:$V$1501&lt;&gt;"")*($V$2:$V$1501&lt;=X627)*($S$2:$S$1501-'Opening Balance'!$B$15*($R$2:$R$1501="Cheque 支票")*($S$2:$S$1501-TRUNC($S$2:$S$1501))))-'Opening Balance'!$B$15*SUMPRODUCT(($Z$2:Z627="Online collection 网上收款")*($AA$2:AA627&lt;&gt;"")*($AC$2:AC627-TRUNC($AC$2:AC627))),2))</f>
        <v/>
      </c>
    </row>
    <row r="628">
      <c r="O628" s="5" t="n"/>
      <c r="S628" s="6" t="n"/>
      <c r="V628" s="5" t="n"/>
      <c r="X628" s="5" t="n"/>
      <c r="AC628" s="6" t="n"/>
      <c r="AD628" s="6" t="n"/>
      <c r="AE628" s="7">
        <f>IF(X628="","",ROUND('Opening Balance'!$B$4+SUM($AC$2:AC628)-SUM($AD$2:AD628)+SUMPRODUCT(($Q$2:$Q$1501="Collection 收款")*($R$2:$R$1501="Cheque 支票")*($V$2:$V$1501&lt;&gt;"")*($V$2:$V$1501&lt;=X628)*($S$2:$S$1501-'Opening Balance'!$B$15*($R$2:$R$1501="Cheque 支票")*($S$2:$S$1501-TRUNC($S$2:$S$1501))))-'Opening Balance'!$B$15*SUMPRODUCT(($Z$2:Z628="Online collection 网上收款")*($AA$2:AA628&lt;&gt;"")*($AC$2:AC628-TRUNC($AC$2:AC628))),2))</f>
        <v/>
      </c>
    </row>
    <row r="629">
      <c r="O629" s="5" t="n"/>
      <c r="S629" s="6" t="n"/>
      <c r="V629" s="5" t="n"/>
      <c r="X629" s="5" t="n"/>
      <c r="AC629" s="6" t="n"/>
      <c r="AD629" s="6" t="n"/>
      <c r="AE629" s="7">
        <f>IF(X629="","",ROUND('Opening Balance'!$B$4+SUM($AC$2:AC629)-SUM($AD$2:AD629)+SUMPRODUCT(($Q$2:$Q$1501="Collection 收款")*($R$2:$R$1501="Cheque 支票")*($V$2:$V$1501&lt;&gt;"")*($V$2:$V$1501&lt;=X629)*($S$2:$S$1501-'Opening Balance'!$B$15*($R$2:$R$1501="Cheque 支票")*($S$2:$S$1501-TRUNC($S$2:$S$1501))))-'Opening Balance'!$B$15*SUMPRODUCT(($Z$2:Z629="Online collection 网上收款")*($AA$2:AA629&lt;&gt;"")*($AC$2:AC629-TRUNC($AC$2:AC629))),2))</f>
        <v/>
      </c>
    </row>
    <row r="630">
      <c r="O630" s="5" t="n"/>
      <c r="S630" s="6" t="n"/>
      <c r="V630" s="5" t="n"/>
      <c r="X630" s="5" t="n"/>
      <c r="AC630" s="6" t="n"/>
      <c r="AD630" s="6" t="n"/>
      <c r="AE630" s="7">
        <f>IF(X630="","",ROUND('Opening Balance'!$B$4+SUM($AC$2:AC630)-SUM($AD$2:AD630)+SUMPRODUCT(($Q$2:$Q$1501="Collection 收款")*($R$2:$R$1501="Cheque 支票")*($V$2:$V$1501&lt;&gt;"")*($V$2:$V$1501&lt;=X630)*($S$2:$S$1501-'Opening Balance'!$B$15*($R$2:$R$1501="Cheque 支票")*($S$2:$S$1501-TRUNC($S$2:$S$1501))))-'Opening Balance'!$B$15*SUMPRODUCT(($Z$2:Z630="Online collection 网上收款")*($AA$2:AA630&lt;&gt;"")*($AC$2:AC630-TRUNC($AC$2:AC630))),2))</f>
        <v/>
      </c>
    </row>
    <row r="631">
      <c r="O631" s="5" t="n"/>
      <c r="S631" s="6" t="n"/>
      <c r="V631" s="5" t="n"/>
      <c r="X631" s="5" t="n"/>
      <c r="AC631" s="6" t="n"/>
      <c r="AD631" s="6" t="n"/>
      <c r="AE631" s="7">
        <f>IF(X631="","",ROUND('Opening Balance'!$B$4+SUM($AC$2:AC631)-SUM($AD$2:AD631)+SUMPRODUCT(($Q$2:$Q$1501="Collection 收款")*($R$2:$R$1501="Cheque 支票")*($V$2:$V$1501&lt;&gt;"")*($V$2:$V$1501&lt;=X631)*($S$2:$S$1501-'Opening Balance'!$B$15*($R$2:$R$1501="Cheque 支票")*($S$2:$S$1501-TRUNC($S$2:$S$1501))))-'Opening Balance'!$B$15*SUMPRODUCT(($Z$2:Z631="Online collection 网上收款")*($AA$2:AA631&lt;&gt;"")*($AC$2:AC631-TRUNC($AC$2:AC631))),2))</f>
        <v/>
      </c>
    </row>
    <row r="632">
      <c r="O632" s="5" t="n"/>
      <c r="S632" s="6" t="n"/>
      <c r="V632" s="5" t="n"/>
      <c r="X632" s="5" t="n"/>
      <c r="AC632" s="6" t="n"/>
      <c r="AD632" s="6" t="n"/>
      <c r="AE632" s="7">
        <f>IF(X632="","",ROUND('Opening Balance'!$B$4+SUM($AC$2:AC632)-SUM($AD$2:AD632)+SUMPRODUCT(($Q$2:$Q$1501="Collection 收款")*($R$2:$R$1501="Cheque 支票")*($V$2:$V$1501&lt;&gt;"")*($V$2:$V$1501&lt;=X632)*($S$2:$S$1501-'Opening Balance'!$B$15*($R$2:$R$1501="Cheque 支票")*($S$2:$S$1501-TRUNC($S$2:$S$1501))))-'Opening Balance'!$B$15*SUMPRODUCT(($Z$2:Z632="Online collection 网上收款")*($AA$2:AA632&lt;&gt;"")*($AC$2:AC632-TRUNC($AC$2:AC632))),2))</f>
        <v/>
      </c>
    </row>
    <row r="633">
      <c r="O633" s="5" t="n"/>
      <c r="S633" s="6" t="n"/>
      <c r="V633" s="5" t="n"/>
      <c r="X633" s="5" t="n"/>
      <c r="AC633" s="6" t="n"/>
      <c r="AD633" s="6" t="n"/>
      <c r="AE633" s="7">
        <f>IF(X633="","",ROUND('Opening Balance'!$B$4+SUM($AC$2:AC633)-SUM($AD$2:AD633)+SUMPRODUCT(($Q$2:$Q$1501="Collection 收款")*($R$2:$R$1501="Cheque 支票")*($V$2:$V$1501&lt;&gt;"")*($V$2:$V$1501&lt;=X633)*($S$2:$S$1501-'Opening Balance'!$B$15*($R$2:$R$1501="Cheque 支票")*($S$2:$S$1501-TRUNC($S$2:$S$1501))))-'Opening Balance'!$B$15*SUMPRODUCT(($Z$2:Z633="Online collection 网上收款")*($AA$2:AA633&lt;&gt;"")*($AC$2:AC633-TRUNC($AC$2:AC633))),2))</f>
        <v/>
      </c>
    </row>
    <row r="634">
      <c r="O634" s="5" t="n"/>
      <c r="S634" s="6" t="n"/>
      <c r="V634" s="5" t="n"/>
      <c r="X634" s="5" t="n"/>
      <c r="AC634" s="6" t="n"/>
      <c r="AD634" s="6" t="n"/>
      <c r="AE634" s="7">
        <f>IF(X634="","",ROUND('Opening Balance'!$B$4+SUM($AC$2:AC634)-SUM($AD$2:AD634)+SUMPRODUCT(($Q$2:$Q$1501="Collection 收款")*($R$2:$R$1501="Cheque 支票")*($V$2:$V$1501&lt;&gt;"")*($V$2:$V$1501&lt;=X634)*($S$2:$S$1501-'Opening Balance'!$B$15*($R$2:$R$1501="Cheque 支票")*($S$2:$S$1501-TRUNC($S$2:$S$1501))))-'Opening Balance'!$B$15*SUMPRODUCT(($Z$2:Z634="Online collection 网上收款")*($AA$2:AA634&lt;&gt;"")*($AC$2:AC634-TRUNC($AC$2:AC634))),2))</f>
        <v/>
      </c>
    </row>
    <row r="635">
      <c r="O635" s="5" t="n"/>
      <c r="S635" s="6" t="n"/>
      <c r="V635" s="5" t="n"/>
      <c r="X635" s="5" t="n"/>
      <c r="AC635" s="6" t="n"/>
      <c r="AD635" s="6" t="n"/>
      <c r="AE635" s="7">
        <f>IF(X635="","",ROUND('Opening Balance'!$B$4+SUM($AC$2:AC635)-SUM($AD$2:AD635)+SUMPRODUCT(($Q$2:$Q$1501="Collection 收款")*($R$2:$R$1501="Cheque 支票")*($V$2:$V$1501&lt;&gt;"")*($V$2:$V$1501&lt;=X635)*($S$2:$S$1501-'Opening Balance'!$B$15*($R$2:$R$1501="Cheque 支票")*($S$2:$S$1501-TRUNC($S$2:$S$1501))))-'Opening Balance'!$B$15*SUMPRODUCT(($Z$2:Z635="Online collection 网上收款")*($AA$2:AA635&lt;&gt;"")*($AC$2:AC635-TRUNC($AC$2:AC635))),2))</f>
        <v/>
      </c>
    </row>
    <row r="636">
      <c r="O636" s="5" t="n"/>
      <c r="S636" s="6" t="n"/>
      <c r="V636" s="5" t="n"/>
      <c r="X636" s="5" t="n"/>
      <c r="AC636" s="6" t="n"/>
      <c r="AD636" s="6" t="n"/>
      <c r="AE636" s="7">
        <f>IF(X636="","",ROUND('Opening Balance'!$B$4+SUM($AC$2:AC636)-SUM($AD$2:AD636)+SUMPRODUCT(($Q$2:$Q$1501="Collection 收款")*($R$2:$R$1501="Cheque 支票")*($V$2:$V$1501&lt;&gt;"")*($V$2:$V$1501&lt;=X636)*($S$2:$S$1501-'Opening Balance'!$B$15*($R$2:$R$1501="Cheque 支票")*($S$2:$S$1501-TRUNC($S$2:$S$1501))))-'Opening Balance'!$B$15*SUMPRODUCT(($Z$2:Z636="Online collection 网上收款")*($AA$2:AA636&lt;&gt;"")*($AC$2:AC636-TRUNC($AC$2:AC636))),2))</f>
        <v/>
      </c>
    </row>
    <row r="637">
      <c r="O637" s="5" t="n"/>
      <c r="S637" s="6" t="n"/>
      <c r="V637" s="5" t="n"/>
      <c r="X637" s="5" t="n"/>
      <c r="AC637" s="6" t="n"/>
      <c r="AD637" s="6" t="n"/>
      <c r="AE637" s="7">
        <f>IF(X637="","",ROUND('Opening Balance'!$B$4+SUM($AC$2:AC637)-SUM($AD$2:AD637)+SUMPRODUCT(($Q$2:$Q$1501="Collection 收款")*($R$2:$R$1501="Cheque 支票")*($V$2:$V$1501&lt;&gt;"")*($V$2:$V$1501&lt;=X637)*($S$2:$S$1501-'Opening Balance'!$B$15*($R$2:$R$1501="Cheque 支票")*($S$2:$S$1501-TRUNC($S$2:$S$1501))))-'Opening Balance'!$B$15*SUMPRODUCT(($Z$2:Z637="Online collection 网上收款")*($AA$2:AA637&lt;&gt;"")*($AC$2:AC637-TRUNC($AC$2:AC637))),2))</f>
        <v/>
      </c>
    </row>
    <row r="638">
      <c r="O638" s="5" t="n"/>
      <c r="S638" s="6" t="n"/>
      <c r="V638" s="5" t="n"/>
      <c r="X638" s="5" t="n"/>
      <c r="AC638" s="6" t="n"/>
      <c r="AD638" s="6" t="n"/>
      <c r="AE638" s="7">
        <f>IF(X638="","",ROUND('Opening Balance'!$B$4+SUM($AC$2:AC638)-SUM($AD$2:AD638)+SUMPRODUCT(($Q$2:$Q$1501="Collection 收款")*($R$2:$R$1501="Cheque 支票")*($V$2:$V$1501&lt;&gt;"")*($V$2:$V$1501&lt;=X638)*($S$2:$S$1501-'Opening Balance'!$B$15*($R$2:$R$1501="Cheque 支票")*($S$2:$S$1501-TRUNC($S$2:$S$1501))))-'Opening Balance'!$B$15*SUMPRODUCT(($Z$2:Z638="Online collection 网上收款")*($AA$2:AA638&lt;&gt;"")*($AC$2:AC638-TRUNC($AC$2:AC638))),2))</f>
        <v/>
      </c>
    </row>
    <row r="639">
      <c r="O639" s="5" t="n"/>
      <c r="S639" s="6" t="n"/>
      <c r="V639" s="5" t="n"/>
      <c r="X639" s="5" t="n"/>
      <c r="AC639" s="6" t="n"/>
      <c r="AD639" s="6" t="n"/>
      <c r="AE639" s="7">
        <f>IF(X639="","",ROUND('Opening Balance'!$B$4+SUM($AC$2:AC639)-SUM($AD$2:AD639)+SUMPRODUCT(($Q$2:$Q$1501="Collection 收款")*($R$2:$R$1501="Cheque 支票")*($V$2:$V$1501&lt;&gt;"")*($V$2:$V$1501&lt;=X639)*($S$2:$S$1501-'Opening Balance'!$B$15*($R$2:$R$1501="Cheque 支票")*($S$2:$S$1501-TRUNC($S$2:$S$1501))))-'Opening Balance'!$B$15*SUMPRODUCT(($Z$2:Z639="Online collection 网上收款")*($AA$2:AA639&lt;&gt;"")*($AC$2:AC639-TRUNC($AC$2:AC639))),2))</f>
        <v/>
      </c>
    </row>
    <row r="640">
      <c r="O640" s="5" t="n"/>
      <c r="S640" s="6" t="n"/>
      <c r="V640" s="5" t="n"/>
      <c r="X640" s="5" t="n"/>
      <c r="AC640" s="6" t="n"/>
      <c r="AD640" s="6" t="n"/>
      <c r="AE640" s="7">
        <f>IF(X640="","",ROUND('Opening Balance'!$B$4+SUM($AC$2:AC640)-SUM($AD$2:AD640)+SUMPRODUCT(($Q$2:$Q$1501="Collection 收款")*($R$2:$R$1501="Cheque 支票")*($V$2:$V$1501&lt;&gt;"")*($V$2:$V$1501&lt;=X640)*($S$2:$S$1501-'Opening Balance'!$B$15*($R$2:$R$1501="Cheque 支票")*($S$2:$S$1501-TRUNC($S$2:$S$1501))))-'Opening Balance'!$B$15*SUMPRODUCT(($Z$2:Z640="Online collection 网上收款")*($AA$2:AA640&lt;&gt;"")*($AC$2:AC640-TRUNC($AC$2:AC640))),2))</f>
        <v/>
      </c>
    </row>
    <row r="641">
      <c r="O641" s="5" t="n"/>
      <c r="S641" s="6" t="n"/>
      <c r="V641" s="5" t="n"/>
      <c r="X641" s="5" t="n"/>
      <c r="AC641" s="6" t="n"/>
      <c r="AD641" s="6" t="n"/>
      <c r="AE641" s="7">
        <f>IF(X641="","",ROUND('Opening Balance'!$B$4+SUM($AC$2:AC641)-SUM($AD$2:AD641)+SUMPRODUCT(($Q$2:$Q$1501="Collection 收款")*($R$2:$R$1501="Cheque 支票")*($V$2:$V$1501&lt;&gt;"")*($V$2:$V$1501&lt;=X641)*($S$2:$S$1501-'Opening Balance'!$B$15*($R$2:$R$1501="Cheque 支票")*($S$2:$S$1501-TRUNC($S$2:$S$1501))))-'Opening Balance'!$B$15*SUMPRODUCT(($Z$2:Z641="Online collection 网上收款")*($AA$2:AA641&lt;&gt;"")*($AC$2:AC641-TRUNC($AC$2:AC641))),2))</f>
        <v/>
      </c>
    </row>
    <row r="642">
      <c r="O642" s="5" t="n"/>
      <c r="S642" s="6" t="n"/>
      <c r="V642" s="5" t="n"/>
      <c r="X642" s="5" t="n"/>
      <c r="AC642" s="6" t="n"/>
      <c r="AD642" s="6" t="n"/>
      <c r="AE642" s="7">
        <f>IF(X642="","",ROUND('Opening Balance'!$B$4+SUM($AC$2:AC642)-SUM($AD$2:AD642)+SUMPRODUCT(($Q$2:$Q$1501="Collection 收款")*($R$2:$R$1501="Cheque 支票")*($V$2:$V$1501&lt;&gt;"")*($V$2:$V$1501&lt;=X642)*($S$2:$S$1501-'Opening Balance'!$B$15*($R$2:$R$1501="Cheque 支票")*($S$2:$S$1501-TRUNC($S$2:$S$1501))))-'Opening Balance'!$B$15*SUMPRODUCT(($Z$2:Z642="Online collection 网上收款")*($AA$2:AA642&lt;&gt;"")*($AC$2:AC642-TRUNC($AC$2:AC642))),2))</f>
        <v/>
      </c>
    </row>
    <row r="643">
      <c r="O643" s="5" t="n"/>
      <c r="S643" s="6" t="n"/>
      <c r="V643" s="5" t="n"/>
      <c r="X643" s="5" t="n"/>
      <c r="AC643" s="6" t="n"/>
      <c r="AD643" s="6" t="n"/>
      <c r="AE643" s="7">
        <f>IF(X643="","",ROUND('Opening Balance'!$B$4+SUM($AC$2:AC643)-SUM($AD$2:AD643)+SUMPRODUCT(($Q$2:$Q$1501="Collection 收款")*($R$2:$R$1501="Cheque 支票")*($V$2:$V$1501&lt;&gt;"")*($V$2:$V$1501&lt;=X643)*($S$2:$S$1501-'Opening Balance'!$B$15*($R$2:$R$1501="Cheque 支票")*($S$2:$S$1501-TRUNC($S$2:$S$1501))))-'Opening Balance'!$B$15*SUMPRODUCT(($Z$2:Z643="Online collection 网上收款")*($AA$2:AA643&lt;&gt;"")*($AC$2:AC643-TRUNC($AC$2:AC643))),2))</f>
        <v/>
      </c>
    </row>
    <row r="644">
      <c r="O644" s="5" t="n"/>
      <c r="S644" s="6" t="n"/>
      <c r="V644" s="5" t="n"/>
      <c r="X644" s="5" t="n"/>
      <c r="AC644" s="6" t="n"/>
      <c r="AD644" s="6" t="n"/>
      <c r="AE644" s="7">
        <f>IF(X644="","",ROUND('Opening Balance'!$B$4+SUM($AC$2:AC644)-SUM($AD$2:AD644)+SUMPRODUCT(($Q$2:$Q$1501="Collection 收款")*($R$2:$R$1501="Cheque 支票")*($V$2:$V$1501&lt;&gt;"")*($V$2:$V$1501&lt;=X644)*($S$2:$S$1501-'Opening Balance'!$B$15*($R$2:$R$1501="Cheque 支票")*($S$2:$S$1501-TRUNC($S$2:$S$1501))))-'Opening Balance'!$B$15*SUMPRODUCT(($Z$2:Z644="Online collection 网上收款")*($AA$2:AA644&lt;&gt;"")*($AC$2:AC644-TRUNC($AC$2:AC644))),2))</f>
        <v/>
      </c>
    </row>
    <row r="645">
      <c r="O645" s="5" t="n"/>
      <c r="S645" s="6" t="n"/>
      <c r="V645" s="5" t="n"/>
      <c r="X645" s="5" t="n"/>
      <c r="AC645" s="6" t="n"/>
      <c r="AD645" s="6" t="n"/>
      <c r="AE645" s="7">
        <f>IF(X645="","",ROUND('Opening Balance'!$B$4+SUM($AC$2:AC645)-SUM($AD$2:AD645)+SUMPRODUCT(($Q$2:$Q$1501="Collection 收款")*($R$2:$R$1501="Cheque 支票")*($V$2:$V$1501&lt;&gt;"")*($V$2:$V$1501&lt;=X645)*($S$2:$S$1501-'Opening Balance'!$B$15*($R$2:$R$1501="Cheque 支票")*($S$2:$S$1501-TRUNC($S$2:$S$1501))))-'Opening Balance'!$B$15*SUMPRODUCT(($Z$2:Z645="Online collection 网上收款")*($AA$2:AA645&lt;&gt;"")*($AC$2:AC645-TRUNC($AC$2:AC645))),2))</f>
        <v/>
      </c>
    </row>
    <row r="646">
      <c r="O646" s="5" t="n"/>
      <c r="S646" s="6" t="n"/>
      <c r="V646" s="5" t="n"/>
      <c r="X646" s="5" t="n"/>
      <c r="AC646" s="6" t="n"/>
      <c r="AD646" s="6" t="n"/>
      <c r="AE646" s="7">
        <f>IF(X646="","",ROUND('Opening Balance'!$B$4+SUM($AC$2:AC646)-SUM($AD$2:AD646)+SUMPRODUCT(($Q$2:$Q$1501="Collection 收款")*($R$2:$R$1501="Cheque 支票")*($V$2:$V$1501&lt;&gt;"")*($V$2:$V$1501&lt;=X646)*($S$2:$S$1501-'Opening Balance'!$B$15*($R$2:$R$1501="Cheque 支票")*($S$2:$S$1501-TRUNC($S$2:$S$1501))))-'Opening Balance'!$B$15*SUMPRODUCT(($Z$2:Z646="Online collection 网上收款")*($AA$2:AA646&lt;&gt;"")*($AC$2:AC646-TRUNC($AC$2:AC646))),2))</f>
        <v/>
      </c>
    </row>
    <row r="647">
      <c r="O647" s="5" t="n"/>
      <c r="S647" s="6" t="n"/>
      <c r="V647" s="5" t="n"/>
      <c r="X647" s="5" t="n"/>
      <c r="AC647" s="6" t="n"/>
      <c r="AD647" s="6" t="n"/>
      <c r="AE647" s="7">
        <f>IF(X647="","",ROUND('Opening Balance'!$B$4+SUM($AC$2:AC647)-SUM($AD$2:AD647)+SUMPRODUCT(($Q$2:$Q$1501="Collection 收款")*($R$2:$R$1501="Cheque 支票")*($V$2:$V$1501&lt;&gt;"")*($V$2:$V$1501&lt;=X647)*($S$2:$S$1501-'Opening Balance'!$B$15*($R$2:$R$1501="Cheque 支票")*($S$2:$S$1501-TRUNC($S$2:$S$1501))))-'Opening Balance'!$B$15*SUMPRODUCT(($Z$2:Z647="Online collection 网上收款")*($AA$2:AA647&lt;&gt;"")*($AC$2:AC647-TRUNC($AC$2:AC647))),2))</f>
        <v/>
      </c>
    </row>
    <row r="648">
      <c r="O648" s="5" t="n"/>
      <c r="S648" s="6" t="n"/>
      <c r="V648" s="5" t="n"/>
      <c r="X648" s="5" t="n"/>
      <c r="AC648" s="6" t="n"/>
      <c r="AD648" s="6" t="n"/>
      <c r="AE648" s="7">
        <f>IF(X648="","",ROUND('Opening Balance'!$B$4+SUM($AC$2:AC648)-SUM($AD$2:AD648)+SUMPRODUCT(($Q$2:$Q$1501="Collection 收款")*($R$2:$R$1501="Cheque 支票")*($V$2:$V$1501&lt;&gt;"")*($V$2:$V$1501&lt;=X648)*($S$2:$S$1501-'Opening Balance'!$B$15*($R$2:$R$1501="Cheque 支票")*($S$2:$S$1501-TRUNC($S$2:$S$1501))))-'Opening Balance'!$B$15*SUMPRODUCT(($Z$2:Z648="Online collection 网上收款")*($AA$2:AA648&lt;&gt;"")*($AC$2:AC648-TRUNC($AC$2:AC648))),2))</f>
        <v/>
      </c>
    </row>
    <row r="649">
      <c r="O649" s="5" t="n"/>
      <c r="S649" s="6" t="n"/>
      <c r="V649" s="5" t="n"/>
      <c r="X649" s="5" t="n"/>
      <c r="AC649" s="6" t="n"/>
      <c r="AD649" s="6" t="n"/>
      <c r="AE649" s="7">
        <f>IF(X649="","",ROUND('Opening Balance'!$B$4+SUM($AC$2:AC649)-SUM($AD$2:AD649)+SUMPRODUCT(($Q$2:$Q$1501="Collection 收款")*($R$2:$R$1501="Cheque 支票")*($V$2:$V$1501&lt;&gt;"")*($V$2:$V$1501&lt;=X649)*($S$2:$S$1501-'Opening Balance'!$B$15*($R$2:$R$1501="Cheque 支票")*($S$2:$S$1501-TRUNC($S$2:$S$1501))))-'Opening Balance'!$B$15*SUMPRODUCT(($Z$2:Z649="Online collection 网上收款")*($AA$2:AA649&lt;&gt;"")*($AC$2:AC649-TRUNC($AC$2:AC649))),2))</f>
        <v/>
      </c>
    </row>
    <row r="650">
      <c r="O650" s="5" t="n"/>
      <c r="S650" s="6" t="n"/>
      <c r="V650" s="5" t="n"/>
      <c r="X650" s="5" t="n"/>
      <c r="AC650" s="6" t="n"/>
      <c r="AD650" s="6" t="n"/>
      <c r="AE650" s="7">
        <f>IF(X650="","",ROUND('Opening Balance'!$B$4+SUM($AC$2:AC650)-SUM($AD$2:AD650)+SUMPRODUCT(($Q$2:$Q$1501="Collection 收款")*($R$2:$R$1501="Cheque 支票")*($V$2:$V$1501&lt;&gt;"")*($V$2:$V$1501&lt;=X650)*($S$2:$S$1501-'Opening Balance'!$B$15*($R$2:$R$1501="Cheque 支票")*($S$2:$S$1501-TRUNC($S$2:$S$1501))))-'Opening Balance'!$B$15*SUMPRODUCT(($Z$2:Z650="Online collection 网上收款")*($AA$2:AA650&lt;&gt;"")*($AC$2:AC650-TRUNC($AC$2:AC650))),2))</f>
        <v/>
      </c>
    </row>
    <row r="651">
      <c r="O651" s="5" t="n"/>
      <c r="S651" s="6" t="n"/>
      <c r="V651" s="5" t="n"/>
      <c r="X651" s="5" t="n"/>
      <c r="AC651" s="6" t="n"/>
      <c r="AD651" s="6" t="n"/>
      <c r="AE651" s="7">
        <f>IF(X651="","",ROUND('Opening Balance'!$B$4+SUM($AC$2:AC651)-SUM($AD$2:AD651)+SUMPRODUCT(($Q$2:$Q$1501="Collection 收款")*($R$2:$R$1501="Cheque 支票")*($V$2:$V$1501&lt;&gt;"")*($V$2:$V$1501&lt;=X651)*($S$2:$S$1501-'Opening Balance'!$B$15*($R$2:$R$1501="Cheque 支票")*($S$2:$S$1501-TRUNC($S$2:$S$1501))))-'Opening Balance'!$B$15*SUMPRODUCT(($Z$2:Z651="Online collection 网上收款")*($AA$2:AA651&lt;&gt;"")*($AC$2:AC651-TRUNC($AC$2:AC651))),2))</f>
        <v/>
      </c>
    </row>
    <row r="652">
      <c r="O652" s="5" t="n"/>
      <c r="S652" s="6" t="n"/>
      <c r="V652" s="5" t="n"/>
      <c r="X652" s="5" t="n"/>
      <c r="AC652" s="6" t="n"/>
      <c r="AD652" s="6" t="n"/>
      <c r="AE652" s="7">
        <f>IF(X652="","",ROUND('Opening Balance'!$B$4+SUM($AC$2:AC652)-SUM($AD$2:AD652)+SUMPRODUCT(($Q$2:$Q$1501="Collection 收款")*($R$2:$R$1501="Cheque 支票")*($V$2:$V$1501&lt;&gt;"")*($V$2:$V$1501&lt;=X652)*($S$2:$S$1501-'Opening Balance'!$B$15*($R$2:$R$1501="Cheque 支票")*($S$2:$S$1501-TRUNC($S$2:$S$1501))))-'Opening Balance'!$B$15*SUMPRODUCT(($Z$2:Z652="Online collection 网上收款")*($AA$2:AA652&lt;&gt;"")*($AC$2:AC652-TRUNC($AC$2:AC652))),2))</f>
        <v/>
      </c>
    </row>
    <row r="653">
      <c r="O653" s="5" t="n"/>
      <c r="S653" s="6" t="n"/>
      <c r="V653" s="5" t="n"/>
      <c r="X653" s="5" t="n"/>
      <c r="AC653" s="6" t="n"/>
      <c r="AD653" s="6" t="n"/>
      <c r="AE653" s="7">
        <f>IF(X653="","",ROUND('Opening Balance'!$B$4+SUM($AC$2:AC653)-SUM($AD$2:AD653)+SUMPRODUCT(($Q$2:$Q$1501="Collection 收款")*($R$2:$R$1501="Cheque 支票")*($V$2:$V$1501&lt;&gt;"")*($V$2:$V$1501&lt;=X653)*($S$2:$S$1501-'Opening Balance'!$B$15*($R$2:$R$1501="Cheque 支票")*($S$2:$S$1501-TRUNC($S$2:$S$1501))))-'Opening Balance'!$B$15*SUMPRODUCT(($Z$2:Z653="Online collection 网上收款")*($AA$2:AA653&lt;&gt;"")*($AC$2:AC653-TRUNC($AC$2:AC653))),2))</f>
        <v/>
      </c>
    </row>
    <row r="654">
      <c r="O654" s="5" t="n"/>
      <c r="S654" s="6" t="n"/>
      <c r="V654" s="5" t="n"/>
      <c r="X654" s="5" t="n"/>
      <c r="AC654" s="6" t="n"/>
      <c r="AD654" s="6" t="n"/>
      <c r="AE654" s="7">
        <f>IF(X654="","",ROUND('Opening Balance'!$B$4+SUM($AC$2:AC654)-SUM($AD$2:AD654)+SUMPRODUCT(($Q$2:$Q$1501="Collection 收款")*($R$2:$R$1501="Cheque 支票")*($V$2:$V$1501&lt;&gt;"")*($V$2:$V$1501&lt;=X654)*($S$2:$S$1501-'Opening Balance'!$B$15*($R$2:$R$1501="Cheque 支票")*($S$2:$S$1501-TRUNC($S$2:$S$1501))))-'Opening Balance'!$B$15*SUMPRODUCT(($Z$2:Z654="Online collection 网上收款")*($AA$2:AA654&lt;&gt;"")*($AC$2:AC654-TRUNC($AC$2:AC654))),2))</f>
        <v/>
      </c>
    </row>
    <row r="655">
      <c r="O655" s="5" t="n"/>
      <c r="S655" s="6" t="n"/>
      <c r="V655" s="5" t="n"/>
      <c r="X655" s="5" t="n"/>
      <c r="AC655" s="6" t="n"/>
      <c r="AD655" s="6" t="n"/>
      <c r="AE655" s="7">
        <f>IF(X655="","",ROUND('Opening Balance'!$B$4+SUM($AC$2:AC655)-SUM($AD$2:AD655)+SUMPRODUCT(($Q$2:$Q$1501="Collection 收款")*($R$2:$R$1501="Cheque 支票")*($V$2:$V$1501&lt;&gt;"")*($V$2:$V$1501&lt;=X655)*($S$2:$S$1501-'Opening Balance'!$B$15*($R$2:$R$1501="Cheque 支票")*($S$2:$S$1501-TRUNC($S$2:$S$1501))))-'Opening Balance'!$B$15*SUMPRODUCT(($Z$2:Z655="Online collection 网上收款")*($AA$2:AA655&lt;&gt;"")*($AC$2:AC655-TRUNC($AC$2:AC655))),2))</f>
        <v/>
      </c>
    </row>
    <row r="656">
      <c r="O656" s="5" t="n"/>
      <c r="S656" s="6" t="n"/>
      <c r="V656" s="5" t="n"/>
      <c r="X656" s="5" t="n"/>
      <c r="AC656" s="6" t="n"/>
      <c r="AD656" s="6" t="n"/>
      <c r="AE656" s="7">
        <f>IF(X656="","",ROUND('Opening Balance'!$B$4+SUM($AC$2:AC656)-SUM($AD$2:AD656)+SUMPRODUCT(($Q$2:$Q$1501="Collection 收款")*($R$2:$R$1501="Cheque 支票")*($V$2:$V$1501&lt;&gt;"")*($V$2:$V$1501&lt;=X656)*($S$2:$S$1501-'Opening Balance'!$B$15*($R$2:$R$1501="Cheque 支票")*($S$2:$S$1501-TRUNC($S$2:$S$1501))))-'Opening Balance'!$B$15*SUMPRODUCT(($Z$2:Z656="Online collection 网上收款")*($AA$2:AA656&lt;&gt;"")*($AC$2:AC656-TRUNC($AC$2:AC656))),2))</f>
        <v/>
      </c>
    </row>
    <row r="657">
      <c r="O657" s="5" t="n"/>
      <c r="S657" s="6" t="n"/>
      <c r="V657" s="5" t="n"/>
      <c r="X657" s="5" t="n"/>
      <c r="AC657" s="6" t="n"/>
      <c r="AD657" s="6" t="n"/>
      <c r="AE657" s="7">
        <f>IF(X657="","",ROUND('Opening Balance'!$B$4+SUM($AC$2:AC657)-SUM($AD$2:AD657)+SUMPRODUCT(($Q$2:$Q$1501="Collection 收款")*($R$2:$R$1501="Cheque 支票")*($V$2:$V$1501&lt;&gt;"")*($V$2:$V$1501&lt;=X657)*($S$2:$S$1501-'Opening Balance'!$B$15*($R$2:$R$1501="Cheque 支票")*($S$2:$S$1501-TRUNC($S$2:$S$1501))))-'Opening Balance'!$B$15*SUMPRODUCT(($Z$2:Z657="Online collection 网上收款")*($AA$2:AA657&lt;&gt;"")*($AC$2:AC657-TRUNC($AC$2:AC657))),2))</f>
        <v/>
      </c>
    </row>
    <row r="658">
      <c r="O658" s="5" t="n"/>
      <c r="S658" s="6" t="n"/>
      <c r="V658" s="5" t="n"/>
      <c r="X658" s="5" t="n"/>
      <c r="AC658" s="6" t="n"/>
      <c r="AD658" s="6" t="n"/>
      <c r="AE658" s="7">
        <f>IF(X658="","",ROUND('Opening Balance'!$B$4+SUM($AC$2:AC658)-SUM($AD$2:AD658)+SUMPRODUCT(($Q$2:$Q$1501="Collection 收款")*($R$2:$R$1501="Cheque 支票")*($V$2:$V$1501&lt;&gt;"")*($V$2:$V$1501&lt;=X658)*($S$2:$S$1501-'Opening Balance'!$B$15*($R$2:$R$1501="Cheque 支票")*($S$2:$S$1501-TRUNC($S$2:$S$1501))))-'Opening Balance'!$B$15*SUMPRODUCT(($Z$2:Z658="Online collection 网上收款")*($AA$2:AA658&lt;&gt;"")*($AC$2:AC658-TRUNC($AC$2:AC658))),2))</f>
        <v/>
      </c>
    </row>
    <row r="659">
      <c r="O659" s="5" t="n"/>
      <c r="S659" s="6" t="n"/>
      <c r="V659" s="5" t="n"/>
      <c r="X659" s="5" t="n"/>
      <c r="AC659" s="6" t="n"/>
      <c r="AD659" s="6" t="n"/>
      <c r="AE659" s="7">
        <f>IF(X659="","",ROUND('Opening Balance'!$B$4+SUM($AC$2:AC659)-SUM($AD$2:AD659)+SUMPRODUCT(($Q$2:$Q$1501="Collection 收款")*($R$2:$R$1501="Cheque 支票")*($V$2:$V$1501&lt;&gt;"")*($V$2:$V$1501&lt;=X659)*($S$2:$S$1501-'Opening Balance'!$B$15*($R$2:$R$1501="Cheque 支票")*($S$2:$S$1501-TRUNC($S$2:$S$1501))))-'Opening Balance'!$B$15*SUMPRODUCT(($Z$2:Z659="Online collection 网上收款")*($AA$2:AA659&lt;&gt;"")*($AC$2:AC659-TRUNC($AC$2:AC659))),2))</f>
        <v/>
      </c>
    </row>
    <row r="660">
      <c r="O660" s="5" t="n"/>
      <c r="S660" s="6" t="n"/>
      <c r="V660" s="5" t="n"/>
      <c r="X660" s="5" t="n"/>
      <c r="AC660" s="6" t="n"/>
      <c r="AD660" s="6" t="n"/>
      <c r="AE660" s="7">
        <f>IF(X660="","",ROUND('Opening Balance'!$B$4+SUM($AC$2:AC660)-SUM($AD$2:AD660)+SUMPRODUCT(($Q$2:$Q$1501="Collection 收款")*($R$2:$R$1501="Cheque 支票")*($V$2:$V$1501&lt;&gt;"")*($V$2:$V$1501&lt;=X660)*($S$2:$S$1501-'Opening Balance'!$B$15*($R$2:$R$1501="Cheque 支票")*($S$2:$S$1501-TRUNC($S$2:$S$1501))))-'Opening Balance'!$B$15*SUMPRODUCT(($Z$2:Z660="Online collection 网上收款")*($AA$2:AA660&lt;&gt;"")*($AC$2:AC660-TRUNC($AC$2:AC660))),2))</f>
        <v/>
      </c>
    </row>
    <row r="661">
      <c r="O661" s="5" t="n"/>
      <c r="S661" s="6" t="n"/>
      <c r="V661" s="5" t="n"/>
      <c r="X661" s="5" t="n"/>
      <c r="AC661" s="6" t="n"/>
      <c r="AD661" s="6" t="n"/>
      <c r="AE661" s="7">
        <f>IF(X661="","",ROUND('Opening Balance'!$B$4+SUM($AC$2:AC661)-SUM($AD$2:AD661)+SUMPRODUCT(($Q$2:$Q$1501="Collection 收款")*($R$2:$R$1501="Cheque 支票")*($V$2:$V$1501&lt;&gt;"")*($V$2:$V$1501&lt;=X661)*($S$2:$S$1501-'Opening Balance'!$B$15*($R$2:$R$1501="Cheque 支票")*($S$2:$S$1501-TRUNC($S$2:$S$1501))))-'Opening Balance'!$B$15*SUMPRODUCT(($Z$2:Z661="Online collection 网上收款")*($AA$2:AA661&lt;&gt;"")*($AC$2:AC661-TRUNC($AC$2:AC661))),2))</f>
        <v/>
      </c>
    </row>
    <row r="662">
      <c r="O662" s="5" t="n"/>
      <c r="S662" s="6" t="n"/>
      <c r="V662" s="5" t="n"/>
      <c r="X662" s="5" t="n"/>
      <c r="AC662" s="6" t="n"/>
      <c r="AD662" s="6" t="n"/>
      <c r="AE662" s="7">
        <f>IF(X662="","",ROUND('Opening Balance'!$B$4+SUM($AC$2:AC662)-SUM($AD$2:AD662)+SUMPRODUCT(($Q$2:$Q$1501="Collection 收款")*($R$2:$R$1501="Cheque 支票")*($V$2:$V$1501&lt;&gt;"")*($V$2:$V$1501&lt;=X662)*($S$2:$S$1501-'Opening Balance'!$B$15*($R$2:$R$1501="Cheque 支票")*($S$2:$S$1501-TRUNC($S$2:$S$1501))))-'Opening Balance'!$B$15*SUMPRODUCT(($Z$2:Z662="Online collection 网上收款")*($AA$2:AA662&lt;&gt;"")*($AC$2:AC662-TRUNC($AC$2:AC662))),2))</f>
        <v/>
      </c>
    </row>
    <row r="663">
      <c r="O663" s="5" t="n"/>
      <c r="S663" s="6" t="n"/>
      <c r="V663" s="5" t="n"/>
      <c r="X663" s="5" t="n"/>
      <c r="AC663" s="6" t="n"/>
      <c r="AD663" s="6" t="n"/>
      <c r="AE663" s="7">
        <f>IF(X663="","",ROUND('Opening Balance'!$B$4+SUM($AC$2:AC663)-SUM($AD$2:AD663)+SUMPRODUCT(($Q$2:$Q$1501="Collection 收款")*($R$2:$R$1501="Cheque 支票")*($V$2:$V$1501&lt;&gt;"")*($V$2:$V$1501&lt;=X663)*($S$2:$S$1501-'Opening Balance'!$B$15*($R$2:$R$1501="Cheque 支票")*($S$2:$S$1501-TRUNC($S$2:$S$1501))))-'Opening Balance'!$B$15*SUMPRODUCT(($Z$2:Z663="Online collection 网上收款")*($AA$2:AA663&lt;&gt;"")*($AC$2:AC663-TRUNC($AC$2:AC663))),2))</f>
        <v/>
      </c>
    </row>
    <row r="664">
      <c r="O664" s="5" t="n"/>
      <c r="S664" s="6" t="n"/>
      <c r="V664" s="5" t="n"/>
      <c r="X664" s="5" t="n"/>
      <c r="AC664" s="6" t="n"/>
      <c r="AD664" s="6" t="n"/>
      <c r="AE664" s="7">
        <f>IF(X664="","",ROUND('Opening Balance'!$B$4+SUM($AC$2:AC664)-SUM($AD$2:AD664)+SUMPRODUCT(($Q$2:$Q$1501="Collection 收款")*($R$2:$R$1501="Cheque 支票")*($V$2:$V$1501&lt;&gt;"")*($V$2:$V$1501&lt;=X664)*($S$2:$S$1501-'Opening Balance'!$B$15*($R$2:$R$1501="Cheque 支票")*($S$2:$S$1501-TRUNC($S$2:$S$1501))))-'Opening Balance'!$B$15*SUMPRODUCT(($Z$2:Z664="Online collection 网上收款")*($AA$2:AA664&lt;&gt;"")*($AC$2:AC664-TRUNC($AC$2:AC664))),2))</f>
        <v/>
      </c>
    </row>
    <row r="665">
      <c r="O665" s="5" t="n"/>
      <c r="S665" s="6" t="n"/>
      <c r="V665" s="5" t="n"/>
      <c r="X665" s="5" t="n"/>
      <c r="AC665" s="6" t="n"/>
      <c r="AD665" s="6" t="n"/>
      <c r="AE665" s="7">
        <f>IF(X665="","",ROUND('Opening Balance'!$B$4+SUM($AC$2:AC665)-SUM($AD$2:AD665)+SUMPRODUCT(($Q$2:$Q$1501="Collection 收款")*($R$2:$R$1501="Cheque 支票")*($V$2:$V$1501&lt;&gt;"")*($V$2:$V$1501&lt;=X665)*($S$2:$S$1501-'Opening Balance'!$B$15*($R$2:$R$1501="Cheque 支票")*($S$2:$S$1501-TRUNC($S$2:$S$1501))))-'Opening Balance'!$B$15*SUMPRODUCT(($Z$2:Z665="Online collection 网上收款")*($AA$2:AA665&lt;&gt;"")*($AC$2:AC665-TRUNC($AC$2:AC665))),2))</f>
        <v/>
      </c>
    </row>
    <row r="666">
      <c r="O666" s="5" t="n"/>
      <c r="S666" s="6" t="n"/>
      <c r="V666" s="5" t="n"/>
      <c r="X666" s="5" t="n"/>
      <c r="AC666" s="6" t="n"/>
      <c r="AD666" s="6" t="n"/>
      <c r="AE666" s="7">
        <f>IF(X666="","",ROUND('Opening Balance'!$B$4+SUM($AC$2:AC666)-SUM($AD$2:AD666)+SUMPRODUCT(($Q$2:$Q$1501="Collection 收款")*($R$2:$R$1501="Cheque 支票")*($V$2:$V$1501&lt;&gt;"")*($V$2:$V$1501&lt;=X666)*($S$2:$S$1501-'Opening Balance'!$B$15*($R$2:$R$1501="Cheque 支票")*($S$2:$S$1501-TRUNC($S$2:$S$1501))))-'Opening Balance'!$B$15*SUMPRODUCT(($Z$2:Z666="Online collection 网上收款")*($AA$2:AA666&lt;&gt;"")*($AC$2:AC666-TRUNC($AC$2:AC666))),2))</f>
        <v/>
      </c>
    </row>
    <row r="667">
      <c r="O667" s="5" t="n"/>
      <c r="S667" s="6" t="n"/>
      <c r="V667" s="5" t="n"/>
      <c r="X667" s="5" t="n"/>
      <c r="AC667" s="6" t="n"/>
      <c r="AD667" s="6" t="n"/>
      <c r="AE667" s="7">
        <f>IF(X667="","",ROUND('Opening Balance'!$B$4+SUM($AC$2:AC667)-SUM($AD$2:AD667)+SUMPRODUCT(($Q$2:$Q$1501="Collection 收款")*($R$2:$R$1501="Cheque 支票")*($V$2:$V$1501&lt;&gt;"")*($V$2:$V$1501&lt;=X667)*($S$2:$S$1501-'Opening Balance'!$B$15*($R$2:$R$1501="Cheque 支票")*($S$2:$S$1501-TRUNC($S$2:$S$1501))))-'Opening Balance'!$B$15*SUMPRODUCT(($Z$2:Z667="Online collection 网上收款")*($AA$2:AA667&lt;&gt;"")*($AC$2:AC667-TRUNC($AC$2:AC667))),2))</f>
        <v/>
      </c>
    </row>
    <row r="668">
      <c r="O668" s="5" t="n"/>
      <c r="S668" s="6" t="n"/>
      <c r="V668" s="5" t="n"/>
      <c r="X668" s="5" t="n"/>
      <c r="AC668" s="6" t="n"/>
      <c r="AD668" s="6" t="n"/>
      <c r="AE668" s="7">
        <f>IF(X668="","",ROUND('Opening Balance'!$B$4+SUM($AC$2:AC668)-SUM($AD$2:AD668)+SUMPRODUCT(($Q$2:$Q$1501="Collection 收款")*($R$2:$R$1501="Cheque 支票")*($V$2:$V$1501&lt;&gt;"")*($V$2:$V$1501&lt;=X668)*($S$2:$S$1501-'Opening Balance'!$B$15*($R$2:$R$1501="Cheque 支票")*($S$2:$S$1501-TRUNC($S$2:$S$1501))))-'Opening Balance'!$B$15*SUMPRODUCT(($Z$2:Z668="Online collection 网上收款")*($AA$2:AA668&lt;&gt;"")*($AC$2:AC668-TRUNC($AC$2:AC668))),2))</f>
        <v/>
      </c>
    </row>
    <row r="669">
      <c r="O669" s="5" t="n"/>
      <c r="S669" s="6" t="n"/>
      <c r="V669" s="5" t="n"/>
      <c r="X669" s="5" t="n"/>
      <c r="AC669" s="6" t="n"/>
      <c r="AD669" s="6" t="n"/>
      <c r="AE669" s="7">
        <f>IF(X669="","",ROUND('Opening Balance'!$B$4+SUM($AC$2:AC669)-SUM($AD$2:AD669)+SUMPRODUCT(($Q$2:$Q$1501="Collection 收款")*($R$2:$R$1501="Cheque 支票")*($V$2:$V$1501&lt;&gt;"")*($V$2:$V$1501&lt;=X669)*($S$2:$S$1501-'Opening Balance'!$B$15*($R$2:$R$1501="Cheque 支票")*($S$2:$S$1501-TRUNC($S$2:$S$1501))))-'Opening Balance'!$B$15*SUMPRODUCT(($Z$2:Z669="Online collection 网上收款")*($AA$2:AA669&lt;&gt;"")*($AC$2:AC669-TRUNC($AC$2:AC669))),2))</f>
        <v/>
      </c>
    </row>
    <row r="670">
      <c r="O670" s="5" t="n"/>
      <c r="S670" s="6" t="n"/>
      <c r="V670" s="5" t="n"/>
      <c r="X670" s="5" t="n"/>
      <c r="AC670" s="6" t="n"/>
      <c r="AD670" s="6" t="n"/>
      <c r="AE670" s="7">
        <f>IF(X670="","",ROUND('Opening Balance'!$B$4+SUM($AC$2:AC670)-SUM($AD$2:AD670)+SUMPRODUCT(($Q$2:$Q$1501="Collection 收款")*($R$2:$R$1501="Cheque 支票")*($V$2:$V$1501&lt;&gt;"")*($V$2:$V$1501&lt;=X670)*($S$2:$S$1501-'Opening Balance'!$B$15*($R$2:$R$1501="Cheque 支票")*($S$2:$S$1501-TRUNC($S$2:$S$1501))))-'Opening Balance'!$B$15*SUMPRODUCT(($Z$2:Z670="Online collection 网上收款")*($AA$2:AA670&lt;&gt;"")*($AC$2:AC670-TRUNC($AC$2:AC670))),2))</f>
        <v/>
      </c>
    </row>
    <row r="671">
      <c r="O671" s="5" t="n"/>
      <c r="S671" s="6" t="n"/>
      <c r="V671" s="5" t="n"/>
      <c r="X671" s="5" t="n"/>
      <c r="AC671" s="6" t="n"/>
      <c r="AD671" s="6" t="n"/>
      <c r="AE671" s="7">
        <f>IF(X671="","",ROUND('Opening Balance'!$B$4+SUM($AC$2:AC671)-SUM($AD$2:AD671)+SUMPRODUCT(($Q$2:$Q$1501="Collection 收款")*($R$2:$R$1501="Cheque 支票")*($V$2:$V$1501&lt;&gt;"")*($V$2:$V$1501&lt;=X671)*($S$2:$S$1501-'Opening Balance'!$B$15*($R$2:$R$1501="Cheque 支票")*($S$2:$S$1501-TRUNC($S$2:$S$1501))))-'Opening Balance'!$B$15*SUMPRODUCT(($Z$2:Z671="Online collection 网上收款")*($AA$2:AA671&lt;&gt;"")*($AC$2:AC671-TRUNC($AC$2:AC671))),2))</f>
        <v/>
      </c>
    </row>
    <row r="672">
      <c r="O672" s="5" t="n"/>
      <c r="S672" s="6" t="n"/>
      <c r="V672" s="5" t="n"/>
      <c r="X672" s="5" t="n"/>
      <c r="AC672" s="6" t="n"/>
      <c r="AD672" s="6" t="n"/>
      <c r="AE672" s="7">
        <f>IF(X672="","",ROUND('Opening Balance'!$B$4+SUM($AC$2:AC672)-SUM($AD$2:AD672)+SUMPRODUCT(($Q$2:$Q$1501="Collection 收款")*($R$2:$R$1501="Cheque 支票")*($V$2:$V$1501&lt;&gt;"")*($V$2:$V$1501&lt;=X672)*($S$2:$S$1501-'Opening Balance'!$B$15*($R$2:$R$1501="Cheque 支票")*($S$2:$S$1501-TRUNC($S$2:$S$1501))))-'Opening Balance'!$B$15*SUMPRODUCT(($Z$2:Z672="Online collection 网上收款")*($AA$2:AA672&lt;&gt;"")*($AC$2:AC672-TRUNC($AC$2:AC672))),2))</f>
        <v/>
      </c>
    </row>
    <row r="673">
      <c r="O673" s="5" t="n"/>
      <c r="S673" s="6" t="n"/>
      <c r="V673" s="5" t="n"/>
      <c r="X673" s="5" t="n"/>
      <c r="AC673" s="6" t="n"/>
      <c r="AD673" s="6" t="n"/>
      <c r="AE673" s="7">
        <f>IF(X673="","",ROUND('Opening Balance'!$B$4+SUM($AC$2:AC673)-SUM($AD$2:AD673)+SUMPRODUCT(($Q$2:$Q$1501="Collection 收款")*($R$2:$R$1501="Cheque 支票")*($V$2:$V$1501&lt;&gt;"")*($V$2:$V$1501&lt;=X673)*($S$2:$S$1501-'Opening Balance'!$B$15*($R$2:$R$1501="Cheque 支票")*($S$2:$S$1501-TRUNC($S$2:$S$1501))))-'Opening Balance'!$B$15*SUMPRODUCT(($Z$2:Z673="Online collection 网上收款")*($AA$2:AA673&lt;&gt;"")*($AC$2:AC673-TRUNC($AC$2:AC673))),2))</f>
        <v/>
      </c>
    </row>
    <row r="674">
      <c r="O674" s="5" t="n"/>
      <c r="S674" s="6" t="n"/>
      <c r="V674" s="5" t="n"/>
      <c r="X674" s="5" t="n"/>
      <c r="AC674" s="6" t="n"/>
      <c r="AD674" s="6" t="n"/>
      <c r="AE674" s="7">
        <f>IF(X674="","",ROUND('Opening Balance'!$B$4+SUM($AC$2:AC674)-SUM($AD$2:AD674)+SUMPRODUCT(($Q$2:$Q$1501="Collection 收款")*($R$2:$R$1501="Cheque 支票")*($V$2:$V$1501&lt;&gt;"")*($V$2:$V$1501&lt;=X674)*($S$2:$S$1501-'Opening Balance'!$B$15*($R$2:$R$1501="Cheque 支票")*($S$2:$S$1501-TRUNC($S$2:$S$1501))))-'Opening Balance'!$B$15*SUMPRODUCT(($Z$2:Z674="Online collection 网上收款")*($AA$2:AA674&lt;&gt;"")*($AC$2:AC674-TRUNC($AC$2:AC674))),2))</f>
        <v/>
      </c>
    </row>
    <row r="675">
      <c r="O675" s="5" t="n"/>
      <c r="S675" s="6" t="n"/>
      <c r="V675" s="5" t="n"/>
      <c r="X675" s="5" t="n"/>
      <c r="AC675" s="6" t="n"/>
      <c r="AD675" s="6" t="n"/>
      <c r="AE675" s="7">
        <f>IF(X675="","",ROUND('Opening Balance'!$B$4+SUM($AC$2:AC675)-SUM($AD$2:AD675)+SUMPRODUCT(($Q$2:$Q$1501="Collection 收款")*($R$2:$R$1501="Cheque 支票")*($V$2:$V$1501&lt;&gt;"")*($V$2:$V$1501&lt;=X675)*($S$2:$S$1501-'Opening Balance'!$B$15*($R$2:$R$1501="Cheque 支票")*($S$2:$S$1501-TRUNC($S$2:$S$1501))))-'Opening Balance'!$B$15*SUMPRODUCT(($Z$2:Z675="Online collection 网上收款")*($AA$2:AA675&lt;&gt;"")*($AC$2:AC675-TRUNC($AC$2:AC675))),2))</f>
        <v/>
      </c>
    </row>
    <row r="676">
      <c r="O676" s="5" t="n"/>
      <c r="S676" s="6" t="n"/>
      <c r="V676" s="5" t="n"/>
      <c r="X676" s="5" t="n"/>
      <c r="AC676" s="6" t="n"/>
      <c r="AD676" s="6" t="n"/>
      <c r="AE676" s="7">
        <f>IF(X676="","",ROUND('Opening Balance'!$B$4+SUM($AC$2:AC676)-SUM($AD$2:AD676)+SUMPRODUCT(($Q$2:$Q$1501="Collection 收款")*($R$2:$R$1501="Cheque 支票")*($V$2:$V$1501&lt;&gt;"")*($V$2:$V$1501&lt;=X676)*($S$2:$S$1501-'Opening Balance'!$B$15*($R$2:$R$1501="Cheque 支票")*($S$2:$S$1501-TRUNC($S$2:$S$1501))))-'Opening Balance'!$B$15*SUMPRODUCT(($Z$2:Z676="Online collection 网上收款")*($AA$2:AA676&lt;&gt;"")*($AC$2:AC676-TRUNC($AC$2:AC676))),2))</f>
        <v/>
      </c>
    </row>
    <row r="677">
      <c r="O677" s="5" t="n"/>
      <c r="S677" s="6" t="n"/>
      <c r="V677" s="5" t="n"/>
      <c r="X677" s="5" t="n"/>
      <c r="AC677" s="6" t="n"/>
      <c r="AD677" s="6" t="n"/>
      <c r="AE677" s="7">
        <f>IF(X677="","",ROUND('Opening Balance'!$B$4+SUM($AC$2:AC677)-SUM($AD$2:AD677)+SUMPRODUCT(($Q$2:$Q$1501="Collection 收款")*($R$2:$R$1501="Cheque 支票")*($V$2:$V$1501&lt;&gt;"")*($V$2:$V$1501&lt;=X677)*($S$2:$S$1501-'Opening Balance'!$B$15*($R$2:$R$1501="Cheque 支票")*($S$2:$S$1501-TRUNC($S$2:$S$1501))))-'Opening Balance'!$B$15*SUMPRODUCT(($Z$2:Z677="Online collection 网上收款")*($AA$2:AA677&lt;&gt;"")*($AC$2:AC677-TRUNC($AC$2:AC677))),2))</f>
        <v/>
      </c>
    </row>
    <row r="678">
      <c r="O678" s="5" t="n"/>
      <c r="S678" s="6" t="n"/>
      <c r="V678" s="5" t="n"/>
      <c r="X678" s="5" t="n"/>
      <c r="AC678" s="6" t="n"/>
      <c r="AD678" s="6" t="n"/>
      <c r="AE678" s="7">
        <f>IF(X678="","",ROUND('Opening Balance'!$B$4+SUM($AC$2:AC678)-SUM($AD$2:AD678)+SUMPRODUCT(($Q$2:$Q$1501="Collection 收款")*($R$2:$R$1501="Cheque 支票")*($V$2:$V$1501&lt;&gt;"")*($V$2:$V$1501&lt;=X678)*($S$2:$S$1501-'Opening Balance'!$B$15*($R$2:$R$1501="Cheque 支票")*($S$2:$S$1501-TRUNC($S$2:$S$1501))))-'Opening Balance'!$B$15*SUMPRODUCT(($Z$2:Z678="Online collection 网上收款")*($AA$2:AA678&lt;&gt;"")*($AC$2:AC678-TRUNC($AC$2:AC678))),2))</f>
        <v/>
      </c>
    </row>
    <row r="679">
      <c r="O679" s="5" t="n"/>
      <c r="S679" s="6" t="n"/>
      <c r="V679" s="5" t="n"/>
      <c r="X679" s="5" t="n"/>
      <c r="AC679" s="6" t="n"/>
      <c r="AD679" s="6" t="n"/>
      <c r="AE679" s="7">
        <f>IF(X679="","",ROUND('Opening Balance'!$B$4+SUM($AC$2:AC679)-SUM($AD$2:AD679)+SUMPRODUCT(($Q$2:$Q$1501="Collection 收款")*($R$2:$R$1501="Cheque 支票")*($V$2:$V$1501&lt;&gt;"")*($V$2:$V$1501&lt;=X679)*($S$2:$S$1501-'Opening Balance'!$B$15*($R$2:$R$1501="Cheque 支票")*($S$2:$S$1501-TRUNC($S$2:$S$1501))))-'Opening Balance'!$B$15*SUMPRODUCT(($Z$2:Z679="Online collection 网上收款")*($AA$2:AA679&lt;&gt;"")*($AC$2:AC679-TRUNC($AC$2:AC679))),2))</f>
        <v/>
      </c>
    </row>
    <row r="680">
      <c r="O680" s="5" t="n"/>
      <c r="S680" s="6" t="n"/>
      <c r="V680" s="5" t="n"/>
      <c r="X680" s="5" t="n"/>
      <c r="AC680" s="6" t="n"/>
      <c r="AD680" s="6" t="n"/>
      <c r="AE680" s="7">
        <f>IF(X680="","",ROUND('Opening Balance'!$B$4+SUM($AC$2:AC680)-SUM($AD$2:AD680)+SUMPRODUCT(($Q$2:$Q$1501="Collection 收款")*($R$2:$R$1501="Cheque 支票")*($V$2:$V$1501&lt;&gt;"")*($V$2:$V$1501&lt;=X680)*($S$2:$S$1501-'Opening Balance'!$B$15*($R$2:$R$1501="Cheque 支票")*($S$2:$S$1501-TRUNC($S$2:$S$1501))))-'Opening Balance'!$B$15*SUMPRODUCT(($Z$2:Z680="Online collection 网上收款")*($AA$2:AA680&lt;&gt;"")*($AC$2:AC680-TRUNC($AC$2:AC680))),2))</f>
        <v/>
      </c>
    </row>
    <row r="681">
      <c r="O681" s="5" t="n"/>
      <c r="S681" s="6" t="n"/>
      <c r="V681" s="5" t="n"/>
      <c r="X681" s="5" t="n"/>
      <c r="AC681" s="6" t="n"/>
      <c r="AD681" s="6" t="n"/>
      <c r="AE681" s="7">
        <f>IF(X681="","",ROUND('Opening Balance'!$B$4+SUM($AC$2:AC681)-SUM($AD$2:AD681)+SUMPRODUCT(($Q$2:$Q$1501="Collection 收款")*($R$2:$R$1501="Cheque 支票")*($V$2:$V$1501&lt;&gt;"")*($V$2:$V$1501&lt;=X681)*($S$2:$S$1501-'Opening Balance'!$B$15*($R$2:$R$1501="Cheque 支票")*($S$2:$S$1501-TRUNC($S$2:$S$1501))))-'Opening Balance'!$B$15*SUMPRODUCT(($Z$2:Z681="Online collection 网上收款")*($AA$2:AA681&lt;&gt;"")*($AC$2:AC681-TRUNC($AC$2:AC681))),2))</f>
        <v/>
      </c>
    </row>
    <row r="682">
      <c r="O682" s="5" t="n"/>
      <c r="S682" s="6" t="n"/>
      <c r="V682" s="5" t="n"/>
      <c r="X682" s="5" t="n"/>
      <c r="AC682" s="6" t="n"/>
      <c r="AD682" s="6" t="n"/>
      <c r="AE682" s="7">
        <f>IF(X682="","",ROUND('Opening Balance'!$B$4+SUM($AC$2:AC682)-SUM($AD$2:AD682)+SUMPRODUCT(($Q$2:$Q$1501="Collection 收款")*($R$2:$R$1501="Cheque 支票")*($V$2:$V$1501&lt;&gt;"")*($V$2:$V$1501&lt;=X682)*($S$2:$S$1501-'Opening Balance'!$B$15*($R$2:$R$1501="Cheque 支票")*($S$2:$S$1501-TRUNC($S$2:$S$1501))))-'Opening Balance'!$B$15*SUMPRODUCT(($Z$2:Z682="Online collection 网上收款")*($AA$2:AA682&lt;&gt;"")*($AC$2:AC682-TRUNC($AC$2:AC682))),2))</f>
        <v/>
      </c>
    </row>
    <row r="683">
      <c r="O683" s="5" t="n"/>
      <c r="S683" s="6" t="n"/>
      <c r="V683" s="5" t="n"/>
      <c r="X683" s="5" t="n"/>
      <c r="AC683" s="6" t="n"/>
      <c r="AD683" s="6" t="n"/>
      <c r="AE683" s="7">
        <f>IF(X683="","",ROUND('Opening Balance'!$B$4+SUM($AC$2:AC683)-SUM($AD$2:AD683)+SUMPRODUCT(($Q$2:$Q$1501="Collection 收款")*($R$2:$R$1501="Cheque 支票")*($V$2:$V$1501&lt;&gt;"")*($V$2:$V$1501&lt;=X683)*($S$2:$S$1501-'Opening Balance'!$B$15*($R$2:$R$1501="Cheque 支票")*($S$2:$S$1501-TRUNC($S$2:$S$1501))))-'Opening Balance'!$B$15*SUMPRODUCT(($Z$2:Z683="Online collection 网上收款")*($AA$2:AA683&lt;&gt;"")*($AC$2:AC683-TRUNC($AC$2:AC683))),2))</f>
        <v/>
      </c>
    </row>
    <row r="684">
      <c r="O684" s="5" t="n"/>
      <c r="S684" s="6" t="n"/>
      <c r="V684" s="5" t="n"/>
      <c r="X684" s="5" t="n"/>
      <c r="AC684" s="6" t="n"/>
      <c r="AD684" s="6" t="n"/>
      <c r="AE684" s="7">
        <f>IF(X684="","",ROUND('Opening Balance'!$B$4+SUM($AC$2:AC684)-SUM($AD$2:AD684)+SUMPRODUCT(($Q$2:$Q$1501="Collection 收款")*($R$2:$R$1501="Cheque 支票")*($V$2:$V$1501&lt;&gt;"")*($V$2:$V$1501&lt;=X684)*($S$2:$S$1501-'Opening Balance'!$B$15*($R$2:$R$1501="Cheque 支票")*($S$2:$S$1501-TRUNC($S$2:$S$1501))))-'Opening Balance'!$B$15*SUMPRODUCT(($Z$2:Z684="Online collection 网上收款")*($AA$2:AA684&lt;&gt;"")*($AC$2:AC684-TRUNC($AC$2:AC684))),2))</f>
        <v/>
      </c>
    </row>
    <row r="685">
      <c r="O685" s="5" t="n"/>
      <c r="S685" s="6" t="n"/>
      <c r="V685" s="5" t="n"/>
      <c r="X685" s="5" t="n"/>
      <c r="AC685" s="6" t="n"/>
      <c r="AD685" s="6" t="n"/>
      <c r="AE685" s="7">
        <f>IF(X685="","",ROUND('Opening Balance'!$B$4+SUM($AC$2:AC685)-SUM($AD$2:AD685)+SUMPRODUCT(($Q$2:$Q$1501="Collection 收款")*($R$2:$R$1501="Cheque 支票")*($V$2:$V$1501&lt;&gt;"")*($V$2:$V$1501&lt;=X685)*($S$2:$S$1501-'Opening Balance'!$B$15*($R$2:$R$1501="Cheque 支票")*($S$2:$S$1501-TRUNC($S$2:$S$1501))))-'Opening Balance'!$B$15*SUMPRODUCT(($Z$2:Z685="Online collection 网上收款")*($AA$2:AA685&lt;&gt;"")*($AC$2:AC685-TRUNC($AC$2:AC685))),2))</f>
        <v/>
      </c>
    </row>
    <row r="686">
      <c r="O686" s="5" t="n"/>
      <c r="S686" s="6" t="n"/>
      <c r="V686" s="5" t="n"/>
      <c r="X686" s="5" t="n"/>
      <c r="AC686" s="6" t="n"/>
      <c r="AD686" s="6" t="n"/>
      <c r="AE686" s="7">
        <f>IF(X686="","",ROUND('Opening Balance'!$B$4+SUM($AC$2:AC686)-SUM($AD$2:AD686)+SUMPRODUCT(($Q$2:$Q$1501="Collection 收款")*($R$2:$R$1501="Cheque 支票")*($V$2:$V$1501&lt;&gt;"")*($V$2:$V$1501&lt;=X686)*($S$2:$S$1501-'Opening Balance'!$B$15*($R$2:$R$1501="Cheque 支票")*($S$2:$S$1501-TRUNC($S$2:$S$1501))))-'Opening Balance'!$B$15*SUMPRODUCT(($Z$2:Z686="Online collection 网上收款")*($AA$2:AA686&lt;&gt;"")*($AC$2:AC686-TRUNC($AC$2:AC686))),2))</f>
        <v/>
      </c>
    </row>
    <row r="687">
      <c r="O687" s="5" t="n"/>
      <c r="S687" s="6" t="n"/>
      <c r="V687" s="5" t="n"/>
      <c r="X687" s="5" t="n"/>
      <c r="AC687" s="6" t="n"/>
      <c r="AD687" s="6" t="n"/>
      <c r="AE687" s="7">
        <f>IF(X687="","",ROUND('Opening Balance'!$B$4+SUM($AC$2:AC687)-SUM($AD$2:AD687)+SUMPRODUCT(($Q$2:$Q$1501="Collection 收款")*($R$2:$R$1501="Cheque 支票")*($V$2:$V$1501&lt;&gt;"")*($V$2:$V$1501&lt;=X687)*($S$2:$S$1501-'Opening Balance'!$B$15*($R$2:$R$1501="Cheque 支票")*($S$2:$S$1501-TRUNC($S$2:$S$1501))))-'Opening Balance'!$B$15*SUMPRODUCT(($Z$2:Z687="Online collection 网上收款")*($AA$2:AA687&lt;&gt;"")*($AC$2:AC687-TRUNC($AC$2:AC687))),2))</f>
        <v/>
      </c>
    </row>
    <row r="688">
      <c r="O688" s="5" t="n"/>
      <c r="S688" s="6" t="n"/>
      <c r="V688" s="5" t="n"/>
      <c r="X688" s="5" t="n"/>
      <c r="AC688" s="6" t="n"/>
      <c r="AD688" s="6" t="n"/>
      <c r="AE688" s="7">
        <f>IF(X688="","",ROUND('Opening Balance'!$B$4+SUM($AC$2:AC688)-SUM($AD$2:AD688)+SUMPRODUCT(($Q$2:$Q$1501="Collection 收款")*($R$2:$R$1501="Cheque 支票")*($V$2:$V$1501&lt;&gt;"")*($V$2:$V$1501&lt;=X688)*($S$2:$S$1501-'Opening Balance'!$B$15*($R$2:$R$1501="Cheque 支票")*($S$2:$S$1501-TRUNC($S$2:$S$1501))))-'Opening Balance'!$B$15*SUMPRODUCT(($Z$2:Z688="Online collection 网上收款")*($AA$2:AA688&lt;&gt;"")*($AC$2:AC688-TRUNC($AC$2:AC688))),2))</f>
        <v/>
      </c>
    </row>
    <row r="689">
      <c r="O689" s="5" t="n"/>
      <c r="S689" s="6" t="n"/>
      <c r="V689" s="5" t="n"/>
      <c r="X689" s="5" t="n"/>
      <c r="AC689" s="6" t="n"/>
      <c r="AD689" s="6" t="n"/>
      <c r="AE689" s="7">
        <f>IF(X689="","",ROUND('Opening Balance'!$B$4+SUM($AC$2:AC689)-SUM($AD$2:AD689)+SUMPRODUCT(($Q$2:$Q$1501="Collection 收款")*($R$2:$R$1501="Cheque 支票")*($V$2:$V$1501&lt;&gt;"")*($V$2:$V$1501&lt;=X689)*($S$2:$S$1501-'Opening Balance'!$B$15*($R$2:$R$1501="Cheque 支票")*($S$2:$S$1501-TRUNC($S$2:$S$1501))))-'Opening Balance'!$B$15*SUMPRODUCT(($Z$2:Z689="Online collection 网上收款")*($AA$2:AA689&lt;&gt;"")*($AC$2:AC689-TRUNC($AC$2:AC689))),2))</f>
        <v/>
      </c>
    </row>
    <row r="690">
      <c r="O690" s="5" t="n"/>
      <c r="S690" s="6" t="n"/>
      <c r="V690" s="5" t="n"/>
      <c r="X690" s="5" t="n"/>
      <c r="AC690" s="6" t="n"/>
      <c r="AD690" s="6" t="n"/>
      <c r="AE690" s="7">
        <f>IF(X690="","",ROUND('Opening Balance'!$B$4+SUM($AC$2:AC690)-SUM($AD$2:AD690)+SUMPRODUCT(($Q$2:$Q$1501="Collection 收款")*($R$2:$R$1501="Cheque 支票")*($V$2:$V$1501&lt;&gt;"")*($V$2:$V$1501&lt;=X690)*($S$2:$S$1501-'Opening Balance'!$B$15*($R$2:$R$1501="Cheque 支票")*($S$2:$S$1501-TRUNC($S$2:$S$1501))))-'Opening Balance'!$B$15*SUMPRODUCT(($Z$2:Z690="Online collection 网上收款")*($AA$2:AA690&lt;&gt;"")*($AC$2:AC690-TRUNC($AC$2:AC690))),2))</f>
        <v/>
      </c>
    </row>
    <row r="691">
      <c r="O691" s="5" t="n"/>
      <c r="S691" s="6" t="n"/>
      <c r="V691" s="5" t="n"/>
      <c r="X691" s="5" t="n"/>
      <c r="AC691" s="6" t="n"/>
      <c r="AD691" s="6" t="n"/>
      <c r="AE691" s="7">
        <f>IF(X691="","",ROUND('Opening Balance'!$B$4+SUM($AC$2:AC691)-SUM($AD$2:AD691)+SUMPRODUCT(($Q$2:$Q$1501="Collection 收款")*($R$2:$R$1501="Cheque 支票")*($V$2:$V$1501&lt;&gt;"")*($V$2:$V$1501&lt;=X691)*($S$2:$S$1501-'Opening Balance'!$B$15*($R$2:$R$1501="Cheque 支票")*($S$2:$S$1501-TRUNC($S$2:$S$1501))))-'Opening Balance'!$B$15*SUMPRODUCT(($Z$2:Z691="Online collection 网上收款")*($AA$2:AA691&lt;&gt;"")*($AC$2:AC691-TRUNC($AC$2:AC691))),2))</f>
        <v/>
      </c>
    </row>
    <row r="692">
      <c r="O692" s="5" t="n"/>
      <c r="S692" s="6" t="n"/>
      <c r="V692" s="5" t="n"/>
      <c r="X692" s="5" t="n"/>
      <c r="AC692" s="6" t="n"/>
      <c r="AD692" s="6" t="n"/>
      <c r="AE692" s="7">
        <f>IF(X692="","",ROUND('Opening Balance'!$B$4+SUM($AC$2:AC692)-SUM($AD$2:AD692)+SUMPRODUCT(($Q$2:$Q$1501="Collection 收款")*($R$2:$R$1501="Cheque 支票")*($V$2:$V$1501&lt;&gt;"")*($V$2:$V$1501&lt;=X692)*($S$2:$S$1501-'Opening Balance'!$B$15*($R$2:$R$1501="Cheque 支票")*($S$2:$S$1501-TRUNC($S$2:$S$1501))))-'Opening Balance'!$B$15*SUMPRODUCT(($Z$2:Z692="Online collection 网上收款")*($AA$2:AA692&lt;&gt;"")*($AC$2:AC692-TRUNC($AC$2:AC692))),2))</f>
        <v/>
      </c>
    </row>
    <row r="693">
      <c r="O693" s="5" t="n"/>
      <c r="S693" s="6" t="n"/>
      <c r="V693" s="5" t="n"/>
      <c r="X693" s="5" t="n"/>
      <c r="AC693" s="6" t="n"/>
      <c r="AD693" s="6" t="n"/>
      <c r="AE693" s="7">
        <f>IF(X693="","",ROUND('Opening Balance'!$B$4+SUM($AC$2:AC693)-SUM($AD$2:AD693)+SUMPRODUCT(($Q$2:$Q$1501="Collection 收款")*($R$2:$R$1501="Cheque 支票")*($V$2:$V$1501&lt;&gt;"")*($V$2:$V$1501&lt;=X693)*($S$2:$S$1501-'Opening Balance'!$B$15*($R$2:$R$1501="Cheque 支票")*($S$2:$S$1501-TRUNC($S$2:$S$1501))))-'Opening Balance'!$B$15*SUMPRODUCT(($Z$2:Z693="Online collection 网上收款")*($AA$2:AA693&lt;&gt;"")*($AC$2:AC693-TRUNC($AC$2:AC693))),2))</f>
        <v/>
      </c>
    </row>
    <row r="694">
      <c r="O694" s="5" t="n"/>
      <c r="S694" s="6" t="n"/>
      <c r="V694" s="5" t="n"/>
      <c r="X694" s="5" t="n"/>
      <c r="AC694" s="6" t="n"/>
      <c r="AD694" s="6" t="n"/>
      <c r="AE694" s="7">
        <f>IF(X694="","",ROUND('Opening Balance'!$B$4+SUM($AC$2:AC694)-SUM($AD$2:AD694)+SUMPRODUCT(($Q$2:$Q$1501="Collection 收款")*($R$2:$R$1501="Cheque 支票")*($V$2:$V$1501&lt;&gt;"")*($V$2:$V$1501&lt;=X694)*($S$2:$S$1501-'Opening Balance'!$B$15*($R$2:$R$1501="Cheque 支票")*($S$2:$S$1501-TRUNC($S$2:$S$1501))))-'Opening Balance'!$B$15*SUMPRODUCT(($Z$2:Z694="Online collection 网上收款")*($AA$2:AA694&lt;&gt;"")*($AC$2:AC694-TRUNC($AC$2:AC694))),2))</f>
        <v/>
      </c>
    </row>
    <row r="695">
      <c r="O695" s="5" t="n"/>
      <c r="S695" s="6" t="n"/>
      <c r="V695" s="5" t="n"/>
      <c r="X695" s="5" t="n"/>
      <c r="AC695" s="6" t="n"/>
      <c r="AD695" s="6" t="n"/>
      <c r="AE695" s="7">
        <f>IF(X695="","",ROUND('Opening Balance'!$B$4+SUM($AC$2:AC695)-SUM($AD$2:AD695)+SUMPRODUCT(($Q$2:$Q$1501="Collection 收款")*($R$2:$R$1501="Cheque 支票")*($V$2:$V$1501&lt;&gt;"")*($V$2:$V$1501&lt;=X695)*($S$2:$S$1501-'Opening Balance'!$B$15*($R$2:$R$1501="Cheque 支票")*($S$2:$S$1501-TRUNC($S$2:$S$1501))))-'Opening Balance'!$B$15*SUMPRODUCT(($Z$2:Z695="Online collection 网上收款")*($AA$2:AA695&lt;&gt;"")*($AC$2:AC695-TRUNC($AC$2:AC695))),2))</f>
        <v/>
      </c>
    </row>
    <row r="696">
      <c r="O696" s="5" t="n"/>
      <c r="S696" s="6" t="n"/>
      <c r="V696" s="5" t="n"/>
      <c r="X696" s="5" t="n"/>
      <c r="AC696" s="6" t="n"/>
      <c r="AD696" s="6" t="n"/>
      <c r="AE696" s="7">
        <f>IF(X696="","",ROUND('Opening Balance'!$B$4+SUM($AC$2:AC696)-SUM($AD$2:AD696)+SUMPRODUCT(($Q$2:$Q$1501="Collection 收款")*($R$2:$R$1501="Cheque 支票")*($V$2:$V$1501&lt;&gt;"")*($V$2:$V$1501&lt;=X696)*($S$2:$S$1501-'Opening Balance'!$B$15*($R$2:$R$1501="Cheque 支票")*($S$2:$S$1501-TRUNC($S$2:$S$1501))))-'Opening Balance'!$B$15*SUMPRODUCT(($Z$2:Z696="Online collection 网上收款")*($AA$2:AA696&lt;&gt;"")*($AC$2:AC696-TRUNC($AC$2:AC696))),2))</f>
        <v/>
      </c>
    </row>
    <row r="697">
      <c r="O697" s="5" t="n"/>
      <c r="S697" s="6" t="n"/>
      <c r="V697" s="5" t="n"/>
      <c r="X697" s="5" t="n"/>
      <c r="AC697" s="6" t="n"/>
      <c r="AD697" s="6" t="n"/>
      <c r="AE697" s="7">
        <f>IF(X697="","",ROUND('Opening Balance'!$B$4+SUM($AC$2:AC697)-SUM($AD$2:AD697)+SUMPRODUCT(($Q$2:$Q$1501="Collection 收款")*($R$2:$R$1501="Cheque 支票")*($V$2:$V$1501&lt;&gt;"")*($V$2:$V$1501&lt;=X697)*($S$2:$S$1501-'Opening Balance'!$B$15*($R$2:$R$1501="Cheque 支票")*($S$2:$S$1501-TRUNC($S$2:$S$1501))))-'Opening Balance'!$B$15*SUMPRODUCT(($Z$2:Z697="Online collection 网上收款")*($AA$2:AA697&lt;&gt;"")*($AC$2:AC697-TRUNC($AC$2:AC697))),2))</f>
        <v/>
      </c>
    </row>
    <row r="698">
      <c r="O698" s="5" t="n"/>
      <c r="S698" s="6" t="n"/>
      <c r="V698" s="5" t="n"/>
      <c r="X698" s="5" t="n"/>
      <c r="AC698" s="6" t="n"/>
      <c r="AD698" s="6" t="n"/>
      <c r="AE698" s="7">
        <f>IF(X698="","",ROUND('Opening Balance'!$B$4+SUM($AC$2:AC698)-SUM($AD$2:AD698)+SUMPRODUCT(($Q$2:$Q$1501="Collection 收款")*($R$2:$R$1501="Cheque 支票")*($V$2:$V$1501&lt;&gt;"")*($V$2:$V$1501&lt;=X698)*($S$2:$S$1501-'Opening Balance'!$B$15*($R$2:$R$1501="Cheque 支票")*($S$2:$S$1501-TRUNC($S$2:$S$1501))))-'Opening Balance'!$B$15*SUMPRODUCT(($Z$2:Z698="Online collection 网上收款")*($AA$2:AA698&lt;&gt;"")*($AC$2:AC698-TRUNC($AC$2:AC698))),2))</f>
        <v/>
      </c>
    </row>
    <row r="699">
      <c r="O699" s="5" t="n"/>
      <c r="S699" s="6" t="n"/>
      <c r="V699" s="5" t="n"/>
      <c r="X699" s="5" t="n"/>
      <c r="AC699" s="6" t="n"/>
      <c r="AD699" s="6" t="n"/>
      <c r="AE699" s="7">
        <f>IF(X699="","",ROUND('Opening Balance'!$B$4+SUM($AC$2:AC699)-SUM($AD$2:AD699)+SUMPRODUCT(($Q$2:$Q$1501="Collection 收款")*($R$2:$R$1501="Cheque 支票")*($V$2:$V$1501&lt;&gt;"")*($V$2:$V$1501&lt;=X699)*($S$2:$S$1501-'Opening Balance'!$B$15*($R$2:$R$1501="Cheque 支票")*($S$2:$S$1501-TRUNC($S$2:$S$1501))))-'Opening Balance'!$B$15*SUMPRODUCT(($Z$2:Z699="Online collection 网上收款")*($AA$2:AA699&lt;&gt;"")*($AC$2:AC699-TRUNC($AC$2:AC699))),2))</f>
        <v/>
      </c>
    </row>
    <row r="700">
      <c r="O700" s="5" t="n"/>
      <c r="S700" s="6" t="n"/>
      <c r="V700" s="5" t="n"/>
      <c r="X700" s="5" t="n"/>
      <c r="AC700" s="6" t="n"/>
      <c r="AD700" s="6" t="n"/>
      <c r="AE700" s="7">
        <f>IF(X700="","",ROUND('Opening Balance'!$B$4+SUM($AC$2:AC700)-SUM($AD$2:AD700)+SUMPRODUCT(($Q$2:$Q$1501="Collection 收款")*($R$2:$R$1501="Cheque 支票")*($V$2:$V$1501&lt;&gt;"")*($V$2:$V$1501&lt;=X700)*($S$2:$S$1501-'Opening Balance'!$B$15*($R$2:$R$1501="Cheque 支票")*($S$2:$S$1501-TRUNC($S$2:$S$1501))))-'Opening Balance'!$B$15*SUMPRODUCT(($Z$2:Z700="Online collection 网上收款")*($AA$2:AA700&lt;&gt;"")*($AC$2:AC700-TRUNC($AC$2:AC700))),2))</f>
        <v/>
      </c>
    </row>
    <row r="701">
      <c r="O701" s="5" t="n"/>
      <c r="S701" s="6" t="n"/>
      <c r="V701" s="5" t="n"/>
      <c r="X701" s="5" t="n"/>
      <c r="AC701" s="6" t="n"/>
      <c r="AD701" s="6" t="n"/>
      <c r="AE701" s="7">
        <f>IF(X701="","",ROUND('Opening Balance'!$B$4+SUM($AC$2:AC701)-SUM($AD$2:AD701)+SUMPRODUCT(($Q$2:$Q$1501="Collection 收款")*($R$2:$R$1501="Cheque 支票")*($V$2:$V$1501&lt;&gt;"")*($V$2:$V$1501&lt;=X701)*($S$2:$S$1501-'Opening Balance'!$B$15*($R$2:$R$1501="Cheque 支票")*($S$2:$S$1501-TRUNC($S$2:$S$1501))))-'Opening Balance'!$B$15*SUMPRODUCT(($Z$2:Z701="Online collection 网上收款")*($AA$2:AA701&lt;&gt;"")*($AC$2:AC701-TRUNC($AC$2:AC701))),2))</f>
        <v/>
      </c>
    </row>
    <row r="702">
      <c r="O702" s="5" t="n"/>
      <c r="S702" s="6" t="n"/>
      <c r="V702" s="5" t="n"/>
      <c r="X702" s="5" t="n"/>
      <c r="AC702" s="6" t="n"/>
      <c r="AD702" s="6" t="n"/>
      <c r="AE702" s="7">
        <f>IF(X702="","",ROUND('Opening Balance'!$B$4+SUM($AC$2:AC702)-SUM($AD$2:AD702)+SUMPRODUCT(($Q$2:$Q$1501="Collection 收款")*($R$2:$R$1501="Cheque 支票")*($V$2:$V$1501&lt;&gt;"")*($V$2:$V$1501&lt;=X702)*($S$2:$S$1501-'Opening Balance'!$B$15*($R$2:$R$1501="Cheque 支票")*($S$2:$S$1501-TRUNC($S$2:$S$1501))))-'Opening Balance'!$B$15*SUMPRODUCT(($Z$2:Z702="Online collection 网上收款")*($AA$2:AA702&lt;&gt;"")*($AC$2:AC702-TRUNC($AC$2:AC702))),2))</f>
        <v/>
      </c>
    </row>
    <row r="703">
      <c r="O703" s="5" t="n"/>
      <c r="S703" s="6" t="n"/>
      <c r="V703" s="5" t="n"/>
      <c r="X703" s="5" t="n"/>
      <c r="AC703" s="6" t="n"/>
      <c r="AD703" s="6" t="n"/>
      <c r="AE703" s="7">
        <f>IF(X703="","",ROUND('Opening Balance'!$B$4+SUM($AC$2:AC703)-SUM($AD$2:AD703)+SUMPRODUCT(($Q$2:$Q$1501="Collection 收款")*($R$2:$R$1501="Cheque 支票")*($V$2:$V$1501&lt;&gt;"")*($V$2:$V$1501&lt;=X703)*($S$2:$S$1501-'Opening Balance'!$B$15*($R$2:$R$1501="Cheque 支票")*($S$2:$S$1501-TRUNC($S$2:$S$1501))))-'Opening Balance'!$B$15*SUMPRODUCT(($Z$2:Z703="Online collection 网上收款")*($AA$2:AA703&lt;&gt;"")*($AC$2:AC703-TRUNC($AC$2:AC703))),2))</f>
        <v/>
      </c>
    </row>
    <row r="704">
      <c r="O704" s="5" t="n"/>
      <c r="S704" s="6" t="n"/>
      <c r="V704" s="5" t="n"/>
      <c r="X704" s="5" t="n"/>
      <c r="AC704" s="6" t="n"/>
      <c r="AD704" s="6" t="n"/>
      <c r="AE704" s="7">
        <f>IF(X704="","",ROUND('Opening Balance'!$B$4+SUM($AC$2:AC704)-SUM($AD$2:AD704)+SUMPRODUCT(($Q$2:$Q$1501="Collection 收款")*($R$2:$R$1501="Cheque 支票")*($V$2:$V$1501&lt;&gt;"")*($V$2:$V$1501&lt;=X704)*($S$2:$S$1501-'Opening Balance'!$B$15*($R$2:$R$1501="Cheque 支票")*($S$2:$S$1501-TRUNC($S$2:$S$1501))))-'Opening Balance'!$B$15*SUMPRODUCT(($Z$2:Z704="Online collection 网上收款")*($AA$2:AA704&lt;&gt;"")*($AC$2:AC704-TRUNC($AC$2:AC704))),2))</f>
        <v/>
      </c>
    </row>
    <row r="705">
      <c r="O705" s="5" t="n"/>
      <c r="S705" s="6" t="n"/>
      <c r="V705" s="5" t="n"/>
      <c r="X705" s="5" t="n"/>
      <c r="AC705" s="6" t="n"/>
      <c r="AD705" s="6" t="n"/>
      <c r="AE705" s="7">
        <f>IF(X705="","",ROUND('Opening Balance'!$B$4+SUM($AC$2:AC705)-SUM($AD$2:AD705)+SUMPRODUCT(($Q$2:$Q$1501="Collection 收款")*($R$2:$R$1501="Cheque 支票")*($V$2:$V$1501&lt;&gt;"")*($V$2:$V$1501&lt;=X705)*($S$2:$S$1501-'Opening Balance'!$B$15*($R$2:$R$1501="Cheque 支票")*($S$2:$S$1501-TRUNC($S$2:$S$1501))))-'Opening Balance'!$B$15*SUMPRODUCT(($Z$2:Z705="Online collection 网上收款")*($AA$2:AA705&lt;&gt;"")*($AC$2:AC705-TRUNC($AC$2:AC705))),2))</f>
        <v/>
      </c>
    </row>
    <row r="706">
      <c r="O706" s="5" t="n"/>
      <c r="S706" s="6" t="n"/>
      <c r="V706" s="5" t="n"/>
      <c r="X706" s="5" t="n"/>
      <c r="AC706" s="6" t="n"/>
      <c r="AD706" s="6" t="n"/>
      <c r="AE706" s="7">
        <f>IF(X706="","",ROUND('Opening Balance'!$B$4+SUM($AC$2:AC706)-SUM($AD$2:AD706)+SUMPRODUCT(($Q$2:$Q$1501="Collection 收款")*($R$2:$R$1501="Cheque 支票")*($V$2:$V$1501&lt;&gt;"")*($V$2:$V$1501&lt;=X706)*($S$2:$S$1501-'Opening Balance'!$B$15*($R$2:$R$1501="Cheque 支票")*($S$2:$S$1501-TRUNC($S$2:$S$1501))))-'Opening Balance'!$B$15*SUMPRODUCT(($Z$2:Z706="Online collection 网上收款")*($AA$2:AA706&lt;&gt;"")*($AC$2:AC706-TRUNC($AC$2:AC706))),2))</f>
        <v/>
      </c>
    </row>
    <row r="707">
      <c r="O707" s="5" t="n"/>
      <c r="S707" s="6" t="n"/>
      <c r="V707" s="5" t="n"/>
      <c r="X707" s="5" t="n"/>
      <c r="AC707" s="6" t="n"/>
      <c r="AD707" s="6" t="n"/>
      <c r="AE707" s="7">
        <f>IF(X707="","",ROUND('Opening Balance'!$B$4+SUM($AC$2:AC707)-SUM($AD$2:AD707)+SUMPRODUCT(($Q$2:$Q$1501="Collection 收款")*($R$2:$R$1501="Cheque 支票")*($V$2:$V$1501&lt;&gt;"")*($V$2:$V$1501&lt;=X707)*($S$2:$S$1501-'Opening Balance'!$B$15*($R$2:$R$1501="Cheque 支票")*($S$2:$S$1501-TRUNC($S$2:$S$1501))))-'Opening Balance'!$B$15*SUMPRODUCT(($Z$2:Z707="Online collection 网上收款")*($AA$2:AA707&lt;&gt;"")*($AC$2:AC707-TRUNC($AC$2:AC707))),2))</f>
        <v/>
      </c>
    </row>
    <row r="708">
      <c r="O708" s="5" t="n"/>
      <c r="S708" s="6" t="n"/>
      <c r="V708" s="5" t="n"/>
      <c r="X708" s="5" t="n"/>
      <c r="AC708" s="6" t="n"/>
      <c r="AD708" s="6" t="n"/>
      <c r="AE708" s="7">
        <f>IF(X708="","",ROUND('Opening Balance'!$B$4+SUM($AC$2:AC708)-SUM($AD$2:AD708)+SUMPRODUCT(($Q$2:$Q$1501="Collection 收款")*($R$2:$R$1501="Cheque 支票")*($V$2:$V$1501&lt;&gt;"")*($V$2:$V$1501&lt;=X708)*($S$2:$S$1501-'Opening Balance'!$B$15*($R$2:$R$1501="Cheque 支票")*($S$2:$S$1501-TRUNC($S$2:$S$1501))))-'Opening Balance'!$B$15*SUMPRODUCT(($Z$2:Z708="Online collection 网上收款")*($AA$2:AA708&lt;&gt;"")*($AC$2:AC708-TRUNC($AC$2:AC708))),2))</f>
        <v/>
      </c>
    </row>
    <row r="709">
      <c r="O709" s="5" t="n"/>
      <c r="S709" s="6" t="n"/>
      <c r="V709" s="5" t="n"/>
      <c r="X709" s="5" t="n"/>
      <c r="AC709" s="6" t="n"/>
      <c r="AD709" s="6" t="n"/>
      <c r="AE709" s="7">
        <f>IF(X709="","",ROUND('Opening Balance'!$B$4+SUM($AC$2:AC709)-SUM($AD$2:AD709)+SUMPRODUCT(($Q$2:$Q$1501="Collection 收款")*($R$2:$R$1501="Cheque 支票")*($V$2:$V$1501&lt;&gt;"")*($V$2:$V$1501&lt;=X709)*($S$2:$S$1501-'Opening Balance'!$B$15*($R$2:$R$1501="Cheque 支票")*($S$2:$S$1501-TRUNC($S$2:$S$1501))))-'Opening Balance'!$B$15*SUMPRODUCT(($Z$2:Z709="Online collection 网上收款")*($AA$2:AA709&lt;&gt;"")*($AC$2:AC709-TRUNC($AC$2:AC709))),2))</f>
        <v/>
      </c>
    </row>
    <row r="710">
      <c r="O710" s="5" t="n"/>
      <c r="S710" s="6" t="n"/>
      <c r="V710" s="5" t="n"/>
      <c r="X710" s="5" t="n"/>
      <c r="AC710" s="6" t="n"/>
      <c r="AD710" s="6" t="n"/>
      <c r="AE710" s="7">
        <f>IF(X710="","",ROUND('Opening Balance'!$B$4+SUM($AC$2:AC710)-SUM($AD$2:AD710)+SUMPRODUCT(($Q$2:$Q$1501="Collection 收款")*($R$2:$R$1501="Cheque 支票")*($V$2:$V$1501&lt;&gt;"")*($V$2:$V$1501&lt;=X710)*($S$2:$S$1501-'Opening Balance'!$B$15*($R$2:$R$1501="Cheque 支票")*($S$2:$S$1501-TRUNC($S$2:$S$1501))))-'Opening Balance'!$B$15*SUMPRODUCT(($Z$2:Z710="Online collection 网上收款")*($AA$2:AA710&lt;&gt;"")*($AC$2:AC710-TRUNC($AC$2:AC710))),2))</f>
        <v/>
      </c>
    </row>
    <row r="711">
      <c r="O711" s="5" t="n"/>
      <c r="S711" s="6" t="n"/>
      <c r="V711" s="5" t="n"/>
      <c r="X711" s="5" t="n"/>
      <c r="AC711" s="6" t="n"/>
      <c r="AD711" s="6" t="n"/>
      <c r="AE711" s="7">
        <f>IF(X711="","",ROUND('Opening Balance'!$B$4+SUM($AC$2:AC711)-SUM($AD$2:AD711)+SUMPRODUCT(($Q$2:$Q$1501="Collection 收款")*($R$2:$R$1501="Cheque 支票")*($V$2:$V$1501&lt;&gt;"")*($V$2:$V$1501&lt;=X711)*($S$2:$S$1501-'Opening Balance'!$B$15*($R$2:$R$1501="Cheque 支票")*($S$2:$S$1501-TRUNC($S$2:$S$1501))))-'Opening Balance'!$B$15*SUMPRODUCT(($Z$2:Z711="Online collection 网上收款")*($AA$2:AA711&lt;&gt;"")*($AC$2:AC711-TRUNC($AC$2:AC711))),2))</f>
        <v/>
      </c>
    </row>
    <row r="712">
      <c r="O712" s="5" t="n"/>
      <c r="S712" s="6" t="n"/>
      <c r="V712" s="5" t="n"/>
      <c r="X712" s="5" t="n"/>
      <c r="AC712" s="6" t="n"/>
      <c r="AD712" s="6" t="n"/>
      <c r="AE712" s="7">
        <f>IF(X712="","",ROUND('Opening Balance'!$B$4+SUM($AC$2:AC712)-SUM($AD$2:AD712)+SUMPRODUCT(($Q$2:$Q$1501="Collection 收款")*($R$2:$R$1501="Cheque 支票")*($V$2:$V$1501&lt;&gt;"")*($V$2:$V$1501&lt;=X712)*($S$2:$S$1501-'Opening Balance'!$B$15*($R$2:$R$1501="Cheque 支票")*($S$2:$S$1501-TRUNC($S$2:$S$1501))))-'Opening Balance'!$B$15*SUMPRODUCT(($Z$2:Z712="Online collection 网上收款")*($AA$2:AA712&lt;&gt;"")*($AC$2:AC712-TRUNC($AC$2:AC712))),2))</f>
        <v/>
      </c>
    </row>
    <row r="713">
      <c r="O713" s="5" t="n"/>
      <c r="S713" s="6" t="n"/>
      <c r="V713" s="5" t="n"/>
      <c r="X713" s="5" t="n"/>
      <c r="AC713" s="6" t="n"/>
      <c r="AD713" s="6" t="n"/>
      <c r="AE713" s="7">
        <f>IF(X713="","",ROUND('Opening Balance'!$B$4+SUM($AC$2:AC713)-SUM($AD$2:AD713)+SUMPRODUCT(($Q$2:$Q$1501="Collection 收款")*($R$2:$R$1501="Cheque 支票")*($V$2:$V$1501&lt;&gt;"")*($V$2:$V$1501&lt;=X713)*($S$2:$S$1501-'Opening Balance'!$B$15*($R$2:$R$1501="Cheque 支票")*($S$2:$S$1501-TRUNC($S$2:$S$1501))))-'Opening Balance'!$B$15*SUMPRODUCT(($Z$2:Z713="Online collection 网上收款")*($AA$2:AA713&lt;&gt;"")*($AC$2:AC713-TRUNC($AC$2:AC713))),2))</f>
        <v/>
      </c>
    </row>
    <row r="714">
      <c r="O714" s="5" t="n"/>
      <c r="S714" s="6" t="n"/>
      <c r="V714" s="5" t="n"/>
      <c r="X714" s="5" t="n"/>
      <c r="AC714" s="6" t="n"/>
      <c r="AD714" s="6" t="n"/>
      <c r="AE714" s="7">
        <f>IF(X714="","",ROUND('Opening Balance'!$B$4+SUM($AC$2:AC714)-SUM($AD$2:AD714)+SUMPRODUCT(($Q$2:$Q$1501="Collection 收款")*($R$2:$R$1501="Cheque 支票")*($V$2:$V$1501&lt;&gt;"")*($V$2:$V$1501&lt;=X714)*($S$2:$S$1501-'Opening Balance'!$B$15*($R$2:$R$1501="Cheque 支票")*($S$2:$S$1501-TRUNC($S$2:$S$1501))))-'Opening Balance'!$B$15*SUMPRODUCT(($Z$2:Z714="Online collection 网上收款")*($AA$2:AA714&lt;&gt;"")*($AC$2:AC714-TRUNC($AC$2:AC714))),2))</f>
        <v/>
      </c>
    </row>
    <row r="715">
      <c r="O715" s="5" t="n"/>
      <c r="S715" s="6" t="n"/>
      <c r="V715" s="5" t="n"/>
      <c r="X715" s="5" t="n"/>
      <c r="AC715" s="6" t="n"/>
      <c r="AD715" s="6" t="n"/>
      <c r="AE715" s="7">
        <f>IF(X715="","",ROUND('Opening Balance'!$B$4+SUM($AC$2:AC715)-SUM($AD$2:AD715)+SUMPRODUCT(($Q$2:$Q$1501="Collection 收款")*($R$2:$R$1501="Cheque 支票")*($V$2:$V$1501&lt;&gt;"")*($V$2:$V$1501&lt;=X715)*($S$2:$S$1501-'Opening Balance'!$B$15*($R$2:$R$1501="Cheque 支票")*($S$2:$S$1501-TRUNC($S$2:$S$1501))))-'Opening Balance'!$B$15*SUMPRODUCT(($Z$2:Z715="Online collection 网上收款")*($AA$2:AA715&lt;&gt;"")*($AC$2:AC715-TRUNC($AC$2:AC715))),2))</f>
        <v/>
      </c>
    </row>
    <row r="716">
      <c r="O716" s="5" t="n"/>
      <c r="S716" s="6" t="n"/>
      <c r="V716" s="5" t="n"/>
      <c r="X716" s="5" t="n"/>
      <c r="AC716" s="6" t="n"/>
      <c r="AD716" s="6" t="n"/>
      <c r="AE716" s="7">
        <f>IF(X716="","",ROUND('Opening Balance'!$B$4+SUM($AC$2:AC716)-SUM($AD$2:AD716)+SUMPRODUCT(($Q$2:$Q$1501="Collection 收款")*($R$2:$R$1501="Cheque 支票")*($V$2:$V$1501&lt;&gt;"")*($V$2:$V$1501&lt;=X716)*($S$2:$S$1501-'Opening Balance'!$B$15*($R$2:$R$1501="Cheque 支票")*($S$2:$S$1501-TRUNC($S$2:$S$1501))))-'Opening Balance'!$B$15*SUMPRODUCT(($Z$2:Z716="Online collection 网上收款")*($AA$2:AA716&lt;&gt;"")*($AC$2:AC716-TRUNC($AC$2:AC716))),2))</f>
        <v/>
      </c>
    </row>
    <row r="717">
      <c r="O717" s="5" t="n"/>
      <c r="S717" s="6" t="n"/>
      <c r="V717" s="5" t="n"/>
      <c r="X717" s="5" t="n"/>
      <c r="AC717" s="6" t="n"/>
      <c r="AD717" s="6" t="n"/>
      <c r="AE717" s="7">
        <f>IF(X717="","",ROUND('Opening Balance'!$B$4+SUM($AC$2:AC717)-SUM($AD$2:AD717)+SUMPRODUCT(($Q$2:$Q$1501="Collection 收款")*($R$2:$R$1501="Cheque 支票")*($V$2:$V$1501&lt;&gt;"")*($V$2:$V$1501&lt;=X717)*($S$2:$S$1501-'Opening Balance'!$B$15*($R$2:$R$1501="Cheque 支票")*($S$2:$S$1501-TRUNC($S$2:$S$1501))))-'Opening Balance'!$B$15*SUMPRODUCT(($Z$2:Z717="Online collection 网上收款")*($AA$2:AA717&lt;&gt;"")*($AC$2:AC717-TRUNC($AC$2:AC717))),2))</f>
        <v/>
      </c>
    </row>
    <row r="718">
      <c r="O718" s="5" t="n"/>
      <c r="S718" s="6" t="n"/>
      <c r="V718" s="5" t="n"/>
      <c r="X718" s="5" t="n"/>
      <c r="AC718" s="6" t="n"/>
      <c r="AD718" s="6" t="n"/>
      <c r="AE718" s="7">
        <f>IF(X718="","",ROUND('Opening Balance'!$B$4+SUM($AC$2:AC718)-SUM($AD$2:AD718)+SUMPRODUCT(($Q$2:$Q$1501="Collection 收款")*($R$2:$R$1501="Cheque 支票")*($V$2:$V$1501&lt;&gt;"")*($V$2:$V$1501&lt;=X718)*($S$2:$S$1501-'Opening Balance'!$B$15*($R$2:$R$1501="Cheque 支票")*($S$2:$S$1501-TRUNC($S$2:$S$1501))))-'Opening Balance'!$B$15*SUMPRODUCT(($Z$2:Z718="Online collection 网上收款")*($AA$2:AA718&lt;&gt;"")*($AC$2:AC718-TRUNC($AC$2:AC718))),2))</f>
        <v/>
      </c>
    </row>
    <row r="719">
      <c r="O719" s="5" t="n"/>
      <c r="S719" s="6" t="n"/>
      <c r="V719" s="5" t="n"/>
      <c r="X719" s="5" t="n"/>
      <c r="AC719" s="6" t="n"/>
      <c r="AD719" s="6" t="n"/>
      <c r="AE719" s="7">
        <f>IF(X719="","",ROUND('Opening Balance'!$B$4+SUM($AC$2:AC719)-SUM($AD$2:AD719)+SUMPRODUCT(($Q$2:$Q$1501="Collection 收款")*($R$2:$R$1501="Cheque 支票")*($V$2:$V$1501&lt;&gt;"")*($V$2:$V$1501&lt;=X719)*($S$2:$S$1501-'Opening Balance'!$B$15*($R$2:$R$1501="Cheque 支票")*($S$2:$S$1501-TRUNC($S$2:$S$1501))))-'Opening Balance'!$B$15*SUMPRODUCT(($Z$2:Z719="Online collection 网上收款")*($AA$2:AA719&lt;&gt;"")*($AC$2:AC719-TRUNC($AC$2:AC719))),2))</f>
        <v/>
      </c>
    </row>
    <row r="720">
      <c r="O720" s="5" t="n"/>
      <c r="S720" s="6" t="n"/>
      <c r="V720" s="5" t="n"/>
      <c r="X720" s="5" t="n"/>
      <c r="AC720" s="6" t="n"/>
      <c r="AD720" s="6" t="n"/>
      <c r="AE720" s="7">
        <f>IF(X720="","",ROUND('Opening Balance'!$B$4+SUM($AC$2:AC720)-SUM($AD$2:AD720)+SUMPRODUCT(($Q$2:$Q$1501="Collection 收款")*($R$2:$R$1501="Cheque 支票")*($V$2:$V$1501&lt;&gt;"")*($V$2:$V$1501&lt;=X720)*($S$2:$S$1501-'Opening Balance'!$B$15*($R$2:$R$1501="Cheque 支票")*($S$2:$S$1501-TRUNC($S$2:$S$1501))))-'Opening Balance'!$B$15*SUMPRODUCT(($Z$2:Z720="Online collection 网上收款")*($AA$2:AA720&lt;&gt;"")*($AC$2:AC720-TRUNC($AC$2:AC720))),2))</f>
        <v/>
      </c>
    </row>
    <row r="721">
      <c r="O721" s="5" t="n"/>
      <c r="S721" s="6" t="n"/>
      <c r="V721" s="5" t="n"/>
      <c r="X721" s="5" t="n"/>
      <c r="AC721" s="6" t="n"/>
      <c r="AD721" s="6" t="n"/>
      <c r="AE721" s="7">
        <f>IF(X721="","",ROUND('Opening Balance'!$B$4+SUM($AC$2:AC721)-SUM($AD$2:AD721)+SUMPRODUCT(($Q$2:$Q$1501="Collection 收款")*($R$2:$R$1501="Cheque 支票")*($V$2:$V$1501&lt;&gt;"")*($V$2:$V$1501&lt;=X721)*($S$2:$S$1501-'Opening Balance'!$B$15*($R$2:$R$1501="Cheque 支票")*($S$2:$S$1501-TRUNC($S$2:$S$1501))))-'Opening Balance'!$B$15*SUMPRODUCT(($Z$2:Z721="Online collection 网上收款")*($AA$2:AA721&lt;&gt;"")*($AC$2:AC721-TRUNC($AC$2:AC721))),2))</f>
        <v/>
      </c>
    </row>
    <row r="722">
      <c r="O722" s="5" t="n"/>
      <c r="S722" s="6" t="n"/>
      <c r="V722" s="5" t="n"/>
      <c r="X722" s="5" t="n"/>
      <c r="AC722" s="6" t="n"/>
      <c r="AD722" s="6" t="n"/>
      <c r="AE722" s="7">
        <f>IF(X722="","",ROUND('Opening Balance'!$B$4+SUM($AC$2:AC722)-SUM($AD$2:AD722)+SUMPRODUCT(($Q$2:$Q$1501="Collection 收款")*($R$2:$R$1501="Cheque 支票")*($V$2:$V$1501&lt;&gt;"")*($V$2:$V$1501&lt;=X722)*($S$2:$S$1501-'Opening Balance'!$B$15*($R$2:$R$1501="Cheque 支票")*($S$2:$S$1501-TRUNC($S$2:$S$1501))))-'Opening Balance'!$B$15*SUMPRODUCT(($Z$2:Z722="Online collection 网上收款")*($AA$2:AA722&lt;&gt;"")*($AC$2:AC722-TRUNC($AC$2:AC722))),2))</f>
        <v/>
      </c>
    </row>
    <row r="723">
      <c r="O723" s="5" t="n"/>
      <c r="S723" s="6" t="n"/>
      <c r="V723" s="5" t="n"/>
      <c r="X723" s="5" t="n"/>
      <c r="AC723" s="6" t="n"/>
      <c r="AD723" s="6" t="n"/>
      <c r="AE723" s="7">
        <f>IF(X723="","",ROUND('Opening Balance'!$B$4+SUM($AC$2:AC723)-SUM($AD$2:AD723)+SUMPRODUCT(($Q$2:$Q$1501="Collection 收款")*($R$2:$R$1501="Cheque 支票")*($V$2:$V$1501&lt;&gt;"")*($V$2:$V$1501&lt;=X723)*($S$2:$S$1501-'Opening Balance'!$B$15*($R$2:$R$1501="Cheque 支票")*($S$2:$S$1501-TRUNC($S$2:$S$1501))))-'Opening Balance'!$B$15*SUMPRODUCT(($Z$2:Z723="Online collection 网上收款")*($AA$2:AA723&lt;&gt;"")*($AC$2:AC723-TRUNC($AC$2:AC723))),2))</f>
        <v/>
      </c>
    </row>
    <row r="724">
      <c r="O724" s="5" t="n"/>
      <c r="S724" s="6" t="n"/>
      <c r="V724" s="5" t="n"/>
      <c r="X724" s="5" t="n"/>
      <c r="AC724" s="6" t="n"/>
      <c r="AD724" s="6" t="n"/>
      <c r="AE724" s="7">
        <f>IF(X724="","",ROUND('Opening Balance'!$B$4+SUM($AC$2:AC724)-SUM($AD$2:AD724)+SUMPRODUCT(($Q$2:$Q$1501="Collection 收款")*($R$2:$R$1501="Cheque 支票")*($V$2:$V$1501&lt;&gt;"")*($V$2:$V$1501&lt;=X724)*($S$2:$S$1501-'Opening Balance'!$B$15*($R$2:$R$1501="Cheque 支票")*($S$2:$S$1501-TRUNC($S$2:$S$1501))))-'Opening Balance'!$B$15*SUMPRODUCT(($Z$2:Z724="Online collection 网上收款")*($AA$2:AA724&lt;&gt;"")*($AC$2:AC724-TRUNC($AC$2:AC724))),2))</f>
        <v/>
      </c>
    </row>
    <row r="725">
      <c r="O725" s="5" t="n"/>
      <c r="S725" s="6" t="n"/>
      <c r="V725" s="5" t="n"/>
      <c r="X725" s="5" t="n"/>
      <c r="AC725" s="6" t="n"/>
      <c r="AD725" s="6" t="n"/>
      <c r="AE725" s="7">
        <f>IF(X725="","",ROUND('Opening Balance'!$B$4+SUM($AC$2:AC725)-SUM($AD$2:AD725)+SUMPRODUCT(($Q$2:$Q$1501="Collection 收款")*($R$2:$R$1501="Cheque 支票")*($V$2:$V$1501&lt;&gt;"")*($V$2:$V$1501&lt;=X725)*($S$2:$S$1501-'Opening Balance'!$B$15*($R$2:$R$1501="Cheque 支票")*($S$2:$S$1501-TRUNC($S$2:$S$1501))))-'Opening Balance'!$B$15*SUMPRODUCT(($Z$2:Z725="Online collection 网上收款")*($AA$2:AA725&lt;&gt;"")*($AC$2:AC725-TRUNC($AC$2:AC725))),2))</f>
        <v/>
      </c>
    </row>
    <row r="726">
      <c r="O726" s="5" t="n"/>
      <c r="S726" s="6" t="n"/>
      <c r="V726" s="5" t="n"/>
      <c r="X726" s="5" t="n"/>
      <c r="AC726" s="6" t="n"/>
      <c r="AD726" s="6" t="n"/>
      <c r="AE726" s="7">
        <f>IF(X726="","",ROUND('Opening Balance'!$B$4+SUM($AC$2:AC726)-SUM($AD$2:AD726)+SUMPRODUCT(($Q$2:$Q$1501="Collection 收款")*($R$2:$R$1501="Cheque 支票")*($V$2:$V$1501&lt;&gt;"")*($V$2:$V$1501&lt;=X726)*($S$2:$S$1501-'Opening Balance'!$B$15*($R$2:$R$1501="Cheque 支票")*($S$2:$S$1501-TRUNC($S$2:$S$1501))))-'Opening Balance'!$B$15*SUMPRODUCT(($Z$2:Z726="Online collection 网上收款")*($AA$2:AA726&lt;&gt;"")*($AC$2:AC726-TRUNC($AC$2:AC726))),2))</f>
        <v/>
      </c>
    </row>
    <row r="727">
      <c r="O727" s="5" t="n"/>
      <c r="S727" s="6" t="n"/>
      <c r="V727" s="5" t="n"/>
      <c r="X727" s="5" t="n"/>
      <c r="AC727" s="6" t="n"/>
      <c r="AD727" s="6" t="n"/>
      <c r="AE727" s="7">
        <f>IF(X727="","",ROUND('Opening Balance'!$B$4+SUM($AC$2:AC727)-SUM($AD$2:AD727)+SUMPRODUCT(($Q$2:$Q$1501="Collection 收款")*($R$2:$R$1501="Cheque 支票")*($V$2:$V$1501&lt;&gt;"")*($V$2:$V$1501&lt;=X727)*($S$2:$S$1501-'Opening Balance'!$B$15*($R$2:$R$1501="Cheque 支票")*($S$2:$S$1501-TRUNC($S$2:$S$1501))))-'Opening Balance'!$B$15*SUMPRODUCT(($Z$2:Z727="Online collection 网上收款")*($AA$2:AA727&lt;&gt;"")*($AC$2:AC727-TRUNC($AC$2:AC727))),2))</f>
        <v/>
      </c>
    </row>
    <row r="728">
      <c r="O728" s="5" t="n"/>
      <c r="S728" s="6" t="n"/>
      <c r="V728" s="5" t="n"/>
      <c r="X728" s="5" t="n"/>
      <c r="AC728" s="6" t="n"/>
      <c r="AD728" s="6" t="n"/>
      <c r="AE728" s="7">
        <f>IF(X728="","",ROUND('Opening Balance'!$B$4+SUM($AC$2:AC728)-SUM($AD$2:AD728)+SUMPRODUCT(($Q$2:$Q$1501="Collection 收款")*($R$2:$R$1501="Cheque 支票")*($V$2:$V$1501&lt;&gt;"")*($V$2:$V$1501&lt;=X728)*($S$2:$S$1501-'Opening Balance'!$B$15*($R$2:$R$1501="Cheque 支票")*($S$2:$S$1501-TRUNC($S$2:$S$1501))))-'Opening Balance'!$B$15*SUMPRODUCT(($Z$2:Z728="Online collection 网上收款")*($AA$2:AA728&lt;&gt;"")*($AC$2:AC728-TRUNC($AC$2:AC728))),2))</f>
        <v/>
      </c>
    </row>
    <row r="729">
      <c r="O729" s="5" t="n"/>
      <c r="S729" s="6" t="n"/>
      <c r="V729" s="5" t="n"/>
      <c r="X729" s="5" t="n"/>
      <c r="AC729" s="6" t="n"/>
      <c r="AD729" s="6" t="n"/>
      <c r="AE729" s="7">
        <f>IF(X729="","",ROUND('Opening Balance'!$B$4+SUM($AC$2:AC729)-SUM($AD$2:AD729)+SUMPRODUCT(($Q$2:$Q$1501="Collection 收款")*($R$2:$R$1501="Cheque 支票")*($V$2:$V$1501&lt;&gt;"")*($V$2:$V$1501&lt;=X729)*($S$2:$S$1501-'Opening Balance'!$B$15*($R$2:$R$1501="Cheque 支票")*($S$2:$S$1501-TRUNC($S$2:$S$1501))))-'Opening Balance'!$B$15*SUMPRODUCT(($Z$2:Z729="Online collection 网上收款")*($AA$2:AA729&lt;&gt;"")*($AC$2:AC729-TRUNC($AC$2:AC729))),2))</f>
        <v/>
      </c>
    </row>
    <row r="730">
      <c r="O730" s="5" t="n"/>
      <c r="S730" s="6" t="n"/>
      <c r="V730" s="5" t="n"/>
      <c r="X730" s="5" t="n"/>
      <c r="AC730" s="6" t="n"/>
      <c r="AD730" s="6" t="n"/>
      <c r="AE730" s="7">
        <f>IF(X730="","",ROUND('Opening Balance'!$B$4+SUM($AC$2:AC730)-SUM($AD$2:AD730)+SUMPRODUCT(($Q$2:$Q$1501="Collection 收款")*($R$2:$R$1501="Cheque 支票")*($V$2:$V$1501&lt;&gt;"")*($V$2:$V$1501&lt;=X730)*($S$2:$S$1501-'Opening Balance'!$B$15*($R$2:$R$1501="Cheque 支票")*($S$2:$S$1501-TRUNC($S$2:$S$1501))))-'Opening Balance'!$B$15*SUMPRODUCT(($Z$2:Z730="Online collection 网上收款")*($AA$2:AA730&lt;&gt;"")*($AC$2:AC730-TRUNC($AC$2:AC730))),2))</f>
        <v/>
      </c>
    </row>
    <row r="731">
      <c r="O731" s="5" t="n"/>
      <c r="S731" s="6" t="n"/>
      <c r="V731" s="5" t="n"/>
      <c r="X731" s="5" t="n"/>
      <c r="AC731" s="6" t="n"/>
      <c r="AD731" s="6" t="n"/>
      <c r="AE731" s="7">
        <f>IF(X731="","",ROUND('Opening Balance'!$B$4+SUM($AC$2:AC731)-SUM($AD$2:AD731)+SUMPRODUCT(($Q$2:$Q$1501="Collection 收款")*($R$2:$R$1501="Cheque 支票")*($V$2:$V$1501&lt;&gt;"")*($V$2:$V$1501&lt;=X731)*($S$2:$S$1501-'Opening Balance'!$B$15*($R$2:$R$1501="Cheque 支票")*($S$2:$S$1501-TRUNC($S$2:$S$1501))))-'Opening Balance'!$B$15*SUMPRODUCT(($Z$2:Z731="Online collection 网上收款")*($AA$2:AA731&lt;&gt;"")*($AC$2:AC731-TRUNC($AC$2:AC731))),2))</f>
        <v/>
      </c>
    </row>
    <row r="732">
      <c r="O732" s="5" t="n"/>
      <c r="S732" s="6" t="n"/>
      <c r="V732" s="5" t="n"/>
      <c r="X732" s="5" t="n"/>
      <c r="AC732" s="6" t="n"/>
      <c r="AD732" s="6" t="n"/>
      <c r="AE732" s="7">
        <f>IF(X732="","",ROUND('Opening Balance'!$B$4+SUM($AC$2:AC732)-SUM($AD$2:AD732)+SUMPRODUCT(($Q$2:$Q$1501="Collection 收款")*($R$2:$R$1501="Cheque 支票")*($V$2:$V$1501&lt;&gt;"")*($V$2:$V$1501&lt;=X732)*($S$2:$S$1501-'Opening Balance'!$B$15*($R$2:$R$1501="Cheque 支票")*($S$2:$S$1501-TRUNC($S$2:$S$1501))))-'Opening Balance'!$B$15*SUMPRODUCT(($Z$2:Z732="Online collection 网上收款")*($AA$2:AA732&lt;&gt;"")*($AC$2:AC732-TRUNC($AC$2:AC732))),2))</f>
        <v/>
      </c>
    </row>
    <row r="733">
      <c r="O733" s="5" t="n"/>
      <c r="S733" s="6" t="n"/>
      <c r="V733" s="5" t="n"/>
      <c r="X733" s="5" t="n"/>
      <c r="AC733" s="6" t="n"/>
      <c r="AD733" s="6" t="n"/>
      <c r="AE733" s="7">
        <f>IF(X733="","",ROUND('Opening Balance'!$B$4+SUM($AC$2:AC733)-SUM($AD$2:AD733)+SUMPRODUCT(($Q$2:$Q$1501="Collection 收款")*($R$2:$R$1501="Cheque 支票")*($V$2:$V$1501&lt;&gt;"")*($V$2:$V$1501&lt;=X733)*($S$2:$S$1501-'Opening Balance'!$B$15*($R$2:$R$1501="Cheque 支票")*($S$2:$S$1501-TRUNC($S$2:$S$1501))))-'Opening Balance'!$B$15*SUMPRODUCT(($Z$2:Z733="Online collection 网上收款")*($AA$2:AA733&lt;&gt;"")*($AC$2:AC733-TRUNC($AC$2:AC733))),2))</f>
        <v/>
      </c>
    </row>
    <row r="734">
      <c r="O734" s="5" t="n"/>
      <c r="S734" s="6" t="n"/>
      <c r="V734" s="5" t="n"/>
      <c r="X734" s="5" t="n"/>
      <c r="AC734" s="6" t="n"/>
      <c r="AD734" s="6" t="n"/>
      <c r="AE734" s="7">
        <f>IF(X734="","",ROUND('Opening Balance'!$B$4+SUM($AC$2:AC734)-SUM($AD$2:AD734)+SUMPRODUCT(($Q$2:$Q$1501="Collection 收款")*($R$2:$R$1501="Cheque 支票")*($V$2:$V$1501&lt;&gt;"")*($V$2:$V$1501&lt;=X734)*($S$2:$S$1501-'Opening Balance'!$B$15*($R$2:$R$1501="Cheque 支票")*($S$2:$S$1501-TRUNC($S$2:$S$1501))))-'Opening Balance'!$B$15*SUMPRODUCT(($Z$2:Z734="Online collection 网上收款")*($AA$2:AA734&lt;&gt;"")*($AC$2:AC734-TRUNC($AC$2:AC734))),2))</f>
        <v/>
      </c>
    </row>
    <row r="735">
      <c r="O735" s="5" t="n"/>
      <c r="S735" s="6" t="n"/>
      <c r="V735" s="5" t="n"/>
      <c r="X735" s="5" t="n"/>
      <c r="AC735" s="6" t="n"/>
      <c r="AD735" s="6" t="n"/>
      <c r="AE735" s="7">
        <f>IF(X735="","",ROUND('Opening Balance'!$B$4+SUM($AC$2:AC735)-SUM($AD$2:AD735)+SUMPRODUCT(($Q$2:$Q$1501="Collection 收款")*($R$2:$R$1501="Cheque 支票")*($V$2:$V$1501&lt;&gt;"")*($V$2:$V$1501&lt;=X735)*($S$2:$S$1501-'Opening Balance'!$B$15*($R$2:$R$1501="Cheque 支票")*($S$2:$S$1501-TRUNC($S$2:$S$1501))))-'Opening Balance'!$B$15*SUMPRODUCT(($Z$2:Z735="Online collection 网上收款")*($AA$2:AA735&lt;&gt;"")*($AC$2:AC735-TRUNC($AC$2:AC735))),2))</f>
        <v/>
      </c>
    </row>
    <row r="736">
      <c r="O736" s="5" t="n"/>
      <c r="S736" s="6" t="n"/>
      <c r="V736" s="5" t="n"/>
      <c r="X736" s="5" t="n"/>
      <c r="AC736" s="6" t="n"/>
      <c r="AD736" s="6" t="n"/>
      <c r="AE736" s="7">
        <f>IF(X736="","",ROUND('Opening Balance'!$B$4+SUM($AC$2:AC736)-SUM($AD$2:AD736)+SUMPRODUCT(($Q$2:$Q$1501="Collection 收款")*($R$2:$R$1501="Cheque 支票")*($V$2:$V$1501&lt;&gt;"")*($V$2:$V$1501&lt;=X736)*($S$2:$S$1501-'Opening Balance'!$B$15*($R$2:$R$1501="Cheque 支票")*($S$2:$S$1501-TRUNC($S$2:$S$1501))))-'Opening Balance'!$B$15*SUMPRODUCT(($Z$2:Z736="Online collection 网上收款")*($AA$2:AA736&lt;&gt;"")*($AC$2:AC736-TRUNC($AC$2:AC736))),2))</f>
        <v/>
      </c>
    </row>
    <row r="737">
      <c r="O737" s="5" t="n"/>
      <c r="S737" s="6" t="n"/>
      <c r="V737" s="5" t="n"/>
      <c r="X737" s="5" t="n"/>
      <c r="AC737" s="6" t="n"/>
      <c r="AD737" s="6" t="n"/>
      <c r="AE737" s="7">
        <f>IF(X737="","",ROUND('Opening Balance'!$B$4+SUM($AC$2:AC737)-SUM($AD$2:AD737)+SUMPRODUCT(($Q$2:$Q$1501="Collection 收款")*($R$2:$R$1501="Cheque 支票")*($V$2:$V$1501&lt;&gt;"")*($V$2:$V$1501&lt;=X737)*($S$2:$S$1501-'Opening Balance'!$B$15*($R$2:$R$1501="Cheque 支票")*($S$2:$S$1501-TRUNC($S$2:$S$1501))))-'Opening Balance'!$B$15*SUMPRODUCT(($Z$2:Z737="Online collection 网上收款")*($AA$2:AA737&lt;&gt;"")*($AC$2:AC737-TRUNC($AC$2:AC737))),2))</f>
        <v/>
      </c>
    </row>
    <row r="738">
      <c r="O738" s="5" t="n"/>
      <c r="S738" s="6" t="n"/>
      <c r="V738" s="5" t="n"/>
      <c r="X738" s="5" t="n"/>
      <c r="AC738" s="6" t="n"/>
      <c r="AD738" s="6" t="n"/>
      <c r="AE738" s="7">
        <f>IF(X738="","",ROUND('Opening Balance'!$B$4+SUM($AC$2:AC738)-SUM($AD$2:AD738)+SUMPRODUCT(($Q$2:$Q$1501="Collection 收款")*($R$2:$R$1501="Cheque 支票")*($V$2:$V$1501&lt;&gt;"")*($V$2:$V$1501&lt;=X738)*($S$2:$S$1501-'Opening Balance'!$B$15*($R$2:$R$1501="Cheque 支票")*($S$2:$S$1501-TRUNC($S$2:$S$1501))))-'Opening Balance'!$B$15*SUMPRODUCT(($Z$2:Z738="Online collection 网上收款")*($AA$2:AA738&lt;&gt;"")*($AC$2:AC738-TRUNC($AC$2:AC738))),2))</f>
        <v/>
      </c>
    </row>
    <row r="739">
      <c r="O739" s="5" t="n"/>
      <c r="S739" s="6" t="n"/>
      <c r="V739" s="5" t="n"/>
      <c r="X739" s="5" t="n"/>
      <c r="AC739" s="6" t="n"/>
      <c r="AD739" s="6" t="n"/>
      <c r="AE739" s="7">
        <f>IF(X739="","",ROUND('Opening Balance'!$B$4+SUM($AC$2:AC739)-SUM($AD$2:AD739)+SUMPRODUCT(($Q$2:$Q$1501="Collection 收款")*($R$2:$R$1501="Cheque 支票")*($V$2:$V$1501&lt;&gt;"")*($V$2:$V$1501&lt;=X739)*($S$2:$S$1501-'Opening Balance'!$B$15*($R$2:$R$1501="Cheque 支票")*($S$2:$S$1501-TRUNC($S$2:$S$1501))))-'Opening Balance'!$B$15*SUMPRODUCT(($Z$2:Z739="Online collection 网上收款")*($AA$2:AA739&lt;&gt;"")*($AC$2:AC739-TRUNC($AC$2:AC739))),2))</f>
        <v/>
      </c>
    </row>
    <row r="740">
      <c r="O740" s="5" t="n"/>
      <c r="S740" s="6" t="n"/>
      <c r="V740" s="5" t="n"/>
      <c r="X740" s="5" t="n"/>
      <c r="AC740" s="6" t="n"/>
      <c r="AD740" s="6" t="n"/>
      <c r="AE740" s="7">
        <f>IF(X740="","",ROUND('Opening Balance'!$B$4+SUM($AC$2:AC740)-SUM($AD$2:AD740)+SUMPRODUCT(($Q$2:$Q$1501="Collection 收款")*($R$2:$R$1501="Cheque 支票")*($V$2:$V$1501&lt;&gt;"")*($V$2:$V$1501&lt;=X740)*($S$2:$S$1501-'Opening Balance'!$B$15*($R$2:$R$1501="Cheque 支票")*($S$2:$S$1501-TRUNC($S$2:$S$1501))))-'Opening Balance'!$B$15*SUMPRODUCT(($Z$2:Z740="Online collection 网上收款")*($AA$2:AA740&lt;&gt;"")*($AC$2:AC740-TRUNC($AC$2:AC740))),2))</f>
        <v/>
      </c>
    </row>
    <row r="741">
      <c r="O741" s="5" t="n"/>
      <c r="S741" s="6" t="n"/>
      <c r="V741" s="5" t="n"/>
      <c r="X741" s="5" t="n"/>
      <c r="AC741" s="6" t="n"/>
      <c r="AD741" s="6" t="n"/>
      <c r="AE741" s="7">
        <f>IF(X741="","",ROUND('Opening Balance'!$B$4+SUM($AC$2:AC741)-SUM($AD$2:AD741)+SUMPRODUCT(($Q$2:$Q$1501="Collection 收款")*($R$2:$R$1501="Cheque 支票")*($V$2:$V$1501&lt;&gt;"")*($V$2:$V$1501&lt;=X741)*($S$2:$S$1501-'Opening Balance'!$B$15*($R$2:$R$1501="Cheque 支票")*($S$2:$S$1501-TRUNC($S$2:$S$1501))))-'Opening Balance'!$B$15*SUMPRODUCT(($Z$2:Z741="Online collection 网上收款")*($AA$2:AA741&lt;&gt;"")*($AC$2:AC741-TRUNC($AC$2:AC741))),2))</f>
        <v/>
      </c>
    </row>
    <row r="742">
      <c r="O742" s="5" t="n"/>
      <c r="S742" s="6" t="n"/>
      <c r="V742" s="5" t="n"/>
      <c r="X742" s="5" t="n"/>
      <c r="AC742" s="6" t="n"/>
      <c r="AD742" s="6" t="n"/>
      <c r="AE742" s="7">
        <f>IF(X742="","",ROUND('Opening Balance'!$B$4+SUM($AC$2:AC742)-SUM($AD$2:AD742)+SUMPRODUCT(($Q$2:$Q$1501="Collection 收款")*($R$2:$R$1501="Cheque 支票")*($V$2:$V$1501&lt;&gt;"")*($V$2:$V$1501&lt;=X742)*($S$2:$S$1501-'Opening Balance'!$B$15*($R$2:$R$1501="Cheque 支票")*($S$2:$S$1501-TRUNC($S$2:$S$1501))))-'Opening Balance'!$B$15*SUMPRODUCT(($Z$2:Z742="Online collection 网上收款")*($AA$2:AA742&lt;&gt;"")*($AC$2:AC742-TRUNC($AC$2:AC742))),2))</f>
        <v/>
      </c>
    </row>
    <row r="743">
      <c r="O743" s="5" t="n"/>
      <c r="S743" s="6" t="n"/>
      <c r="V743" s="5" t="n"/>
      <c r="X743" s="5" t="n"/>
      <c r="AC743" s="6" t="n"/>
      <c r="AD743" s="6" t="n"/>
      <c r="AE743" s="7">
        <f>IF(X743="","",ROUND('Opening Balance'!$B$4+SUM($AC$2:AC743)-SUM($AD$2:AD743)+SUMPRODUCT(($Q$2:$Q$1501="Collection 收款")*($R$2:$R$1501="Cheque 支票")*($V$2:$V$1501&lt;&gt;"")*($V$2:$V$1501&lt;=X743)*($S$2:$S$1501-'Opening Balance'!$B$15*($R$2:$R$1501="Cheque 支票")*($S$2:$S$1501-TRUNC($S$2:$S$1501))))-'Opening Balance'!$B$15*SUMPRODUCT(($Z$2:Z743="Online collection 网上收款")*($AA$2:AA743&lt;&gt;"")*($AC$2:AC743-TRUNC($AC$2:AC743))),2))</f>
        <v/>
      </c>
    </row>
    <row r="744">
      <c r="O744" s="5" t="n"/>
      <c r="S744" s="6" t="n"/>
      <c r="V744" s="5" t="n"/>
      <c r="X744" s="5" t="n"/>
      <c r="AC744" s="6" t="n"/>
      <c r="AD744" s="6" t="n"/>
      <c r="AE744" s="7">
        <f>IF(X744="","",ROUND('Opening Balance'!$B$4+SUM($AC$2:AC744)-SUM($AD$2:AD744)+SUMPRODUCT(($Q$2:$Q$1501="Collection 收款")*($R$2:$R$1501="Cheque 支票")*($V$2:$V$1501&lt;&gt;"")*($V$2:$V$1501&lt;=X744)*($S$2:$S$1501-'Opening Balance'!$B$15*($R$2:$R$1501="Cheque 支票")*($S$2:$S$1501-TRUNC($S$2:$S$1501))))-'Opening Balance'!$B$15*SUMPRODUCT(($Z$2:Z744="Online collection 网上收款")*($AA$2:AA744&lt;&gt;"")*($AC$2:AC744-TRUNC($AC$2:AC744))),2))</f>
        <v/>
      </c>
    </row>
    <row r="745">
      <c r="O745" s="5" t="n"/>
      <c r="S745" s="6" t="n"/>
      <c r="V745" s="5" t="n"/>
      <c r="X745" s="5" t="n"/>
      <c r="AC745" s="6" t="n"/>
      <c r="AD745" s="6" t="n"/>
      <c r="AE745" s="7">
        <f>IF(X745="","",ROUND('Opening Balance'!$B$4+SUM($AC$2:AC745)-SUM($AD$2:AD745)+SUMPRODUCT(($Q$2:$Q$1501="Collection 收款")*($R$2:$R$1501="Cheque 支票")*($V$2:$V$1501&lt;&gt;"")*($V$2:$V$1501&lt;=X745)*($S$2:$S$1501-'Opening Balance'!$B$15*($R$2:$R$1501="Cheque 支票")*($S$2:$S$1501-TRUNC($S$2:$S$1501))))-'Opening Balance'!$B$15*SUMPRODUCT(($Z$2:Z745="Online collection 网上收款")*($AA$2:AA745&lt;&gt;"")*($AC$2:AC745-TRUNC($AC$2:AC745))),2))</f>
        <v/>
      </c>
    </row>
    <row r="746">
      <c r="O746" s="5" t="n"/>
      <c r="S746" s="6" t="n"/>
      <c r="V746" s="5" t="n"/>
      <c r="X746" s="5" t="n"/>
      <c r="AC746" s="6" t="n"/>
      <c r="AD746" s="6" t="n"/>
      <c r="AE746" s="7">
        <f>IF(X746="","",ROUND('Opening Balance'!$B$4+SUM($AC$2:AC746)-SUM($AD$2:AD746)+SUMPRODUCT(($Q$2:$Q$1501="Collection 收款")*($R$2:$R$1501="Cheque 支票")*($V$2:$V$1501&lt;&gt;"")*($V$2:$V$1501&lt;=X746)*($S$2:$S$1501-'Opening Balance'!$B$15*($R$2:$R$1501="Cheque 支票")*($S$2:$S$1501-TRUNC($S$2:$S$1501))))-'Opening Balance'!$B$15*SUMPRODUCT(($Z$2:Z746="Online collection 网上收款")*($AA$2:AA746&lt;&gt;"")*($AC$2:AC746-TRUNC($AC$2:AC746))),2))</f>
        <v/>
      </c>
    </row>
    <row r="747">
      <c r="O747" s="5" t="n"/>
      <c r="S747" s="6" t="n"/>
      <c r="V747" s="5" t="n"/>
      <c r="X747" s="5" t="n"/>
      <c r="AC747" s="6" t="n"/>
      <c r="AD747" s="6" t="n"/>
      <c r="AE747" s="7">
        <f>IF(X747="","",ROUND('Opening Balance'!$B$4+SUM($AC$2:AC747)-SUM($AD$2:AD747)+SUMPRODUCT(($Q$2:$Q$1501="Collection 收款")*($R$2:$R$1501="Cheque 支票")*($V$2:$V$1501&lt;&gt;"")*($V$2:$V$1501&lt;=X747)*($S$2:$S$1501-'Opening Balance'!$B$15*($R$2:$R$1501="Cheque 支票")*($S$2:$S$1501-TRUNC($S$2:$S$1501))))-'Opening Balance'!$B$15*SUMPRODUCT(($Z$2:Z747="Online collection 网上收款")*($AA$2:AA747&lt;&gt;"")*($AC$2:AC747-TRUNC($AC$2:AC747))),2))</f>
        <v/>
      </c>
    </row>
    <row r="748">
      <c r="O748" s="5" t="n"/>
      <c r="S748" s="6" t="n"/>
      <c r="V748" s="5" t="n"/>
      <c r="X748" s="5" t="n"/>
      <c r="AC748" s="6" t="n"/>
      <c r="AD748" s="6" t="n"/>
      <c r="AE748" s="7">
        <f>IF(X748="","",ROUND('Opening Balance'!$B$4+SUM($AC$2:AC748)-SUM($AD$2:AD748)+SUMPRODUCT(($Q$2:$Q$1501="Collection 收款")*($R$2:$R$1501="Cheque 支票")*($V$2:$V$1501&lt;&gt;"")*($V$2:$V$1501&lt;=X748)*($S$2:$S$1501-'Opening Balance'!$B$15*($R$2:$R$1501="Cheque 支票")*($S$2:$S$1501-TRUNC($S$2:$S$1501))))-'Opening Balance'!$B$15*SUMPRODUCT(($Z$2:Z748="Online collection 网上收款")*($AA$2:AA748&lt;&gt;"")*($AC$2:AC748-TRUNC($AC$2:AC748))),2))</f>
        <v/>
      </c>
    </row>
    <row r="749">
      <c r="O749" s="5" t="n"/>
      <c r="S749" s="6" t="n"/>
      <c r="V749" s="5" t="n"/>
      <c r="X749" s="5" t="n"/>
      <c r="AC749" s="6" t="n"/>
      <c r="AD749" s="6" t="n"/>
      <c r="AE749" s="7">
        <f>IF(X749="","",ROUND('Opening Balance'!$B$4+SUM($AC$2:AC749)-SUM($AD$2:AD749)+SUMPRODUCT(($Q$2:$Q$1501="Collection 收款")*($R$2:$R$1501="Cheque 支票")*($V$2:$V$1501&lt;&gt;"")*($V$2:$V$1501&lt;=X749)*($S$2:$S$1501-'Opening Balance'!$B$15*($R$2:$R$1501="Cheque 支票")*($S$2:$S$1501-TRUNC($S$2:$S$1501))))-'Opening Balance'!$B$15*SUMPRODUCT(($Z$2:Z749="Online collection 网上收款")*($AA$2:AA749&lt;&gt;"")*($AC$2:AC749-TRUNC($AC$2:AC749))),2))</f>
        <v/>
      </c>
    </row>
    <row r="750">
      <c r="O750" s="5" t="n"/>
      <c r="S750" s="6" t="n"/>
      <c r="V750" s="5" t="n"/>
      <c r="X750" s="5" t="n"/>
      <c r="AC750" s="6" t="n"/>
      <c r="AD750" s="6" t="n"/>
      <c r="AE750" s="7">
        <f>IF(X750="","",ROUND('Opening Balance'!$B$4+SUM($AC$2:AC750)-SUM($AD$2:AD750)+SUMPRODUCT(($Q$2:$Q$1501="Collection 收款")*($R$2:$R$1501="Cheque 支票")*($V$2:$V$1501&lt;&gt;"")*($V$2:$V$1501&lt;=X750)*($S$2:$S$1501-'Opening Balance'!$B$15*($R$2:$R$1501="Cheque 支票")*($S$2:$S$1501-TRUNC($S$2:$S$1501))))-'Opening Balance'!$B$15*SUMPRODUCT(($Z$2:Z750="Online collection 网上收款")*($AA$2:AA750&lt;&gt;"")*($AC$2:AC750-TRUNC($AC$2:AC750))),2))</f>
        <v/>
      </c>
    </row>
    <row r="751">
      <c r="O751" s="5" t="n"/>
      <c r="S751" s="6" t="n"/>
      <c r="V751" s="5" t="n"/>
      <c r="X751" s="5" t="n"/>
      <c r="AC751" s="6" t="n"/>
      <c r="AD751" s="6" t="n"/>
      <c r="AE751" s="7">
        <f>IF(X751="","",ROUND('Opening Balance'!$B$4+SUM($AC$2:AC751)-SUM($AD$2:AD751)+SUMPRODUCT(($Q$2:$Q$1501="Collection 收款")*($R$2:$R$1501="Cheque 支票")*($V$2:$V$1501&lt;&gt;"")*($V$2:$V$1501&lt;=X751)*($S$2:$S$1501-'Opening Balance'!$B$15*($R$2:$R$1501="Cheque 支票")*($S$2:$S$1501-TRUNC($S$2:$S$1501))))-'Opening Balance'!$B$15*SUMPRODUCT(($Z$2:Z751="Online collection 网上收款")*($AA$2:AA751&lt;&gt;"")*($AC$2:AC751-TRUNC($AC$2:AC751))),2))</f>
        <v/>
      </c>
    </row>
    <row r="752">
      <c r="O752" s="5" t="n"/>
      <c r="S752" s="6" t="n"/>
      <c r="V752" s="5" t="n"/>
      <c r="X752" s="5" t="n"/>
      <c r="AC752" s="6" t="n"/>
      <c r="AD752" s="6" t="n"/>
      <c r="AE752" s="7">
        <f>IF(X752="","",ROUND('Opening Balance'!$B$4+SUM($AC$2:AC752)-SUM($AD$2:AD752)+SUMPRODUCT(($Q$2:$Q$1501="Collection 收款")*($R$2:$R$1501="Cheque 支票")*($V$2:$V$1501&lt;&gt;"")*($V$2:$V$1501&lt;=X752)*($S$2:$S$1501-'Opening Balance'!$B$15*($R$2:$R$1501="Cheque 支票")*($S$2:$S$1501-TRUNC($S$2:$S$1501))))-'Opening Balance'!$B$15*SUMPRODUCT(($Z$2:Z752="Online collection 网上收款")*($AA$2:AA752&lt;&gt;"")*($AC$2:AC752-TRUNC($AC$2:AC752))),2))</f>
        <v/>
      </c>
    </row>
    <row r="753">
      <c r="O753" s="5" t="n"/>
      <c r="S753" s="6" t="n"/>
      <c r="V753" s="5" t="n"/>
      <c r="X753" s="5" t="n"/>
      <c r="AC753" s="6" t="n"/>
      <c r="AD753" s="6" t="n"/>
      <c r="AE753" s="7">
        <f>IF(X753="","",ROUND('Opening Balance'!$B$4+SUM($AC$2:AC753)-SUM($AD$2:AD753)+SUMPRODUCT(($Q$2:$Q$1501="Collection 收款")*($R$2:$R$1501="Cheque 支票")*($V$2:$V$1501&lt;&gt;"")*($V$2:$V$1501&lt;=X753)*($S$2:$S$1501-'Opening Balance'!$B$15*($R$2:$R$1501="Cheque 支票")*($S$2:$S$1501-TRUNC($S$2:$S$1501))))-'Opening Balance'!$B$15*SUMPRODUCT(($Z$2:Z753="Online collection 网上收款")*($AA$2:AA753&lt;&gt;"")*($AC$2:AC753-TRUNC($AC$2:AC753))),2))</f>
        <v/>
      </c>
    </row>
    <row r="754">
      <c r="O754" s="5" t="n"/>
      <c r="S754" s="6" t="n"/>
      <c r="V754" s="5" t="n"/>
      <c r="X754" s="5" t="n"/>
      <c r="AC754" s="6" t="n"/>
      <c r="AD754" s="6" t="n"/>
      <c r="AE754" s="7">
        <f>IF(X754="","",ROUND('Opening Balance'!$B$4+SUM($AC$2:AC754)-SUM($AD$2:AD754)+SUMPRODUCT(($Q$2:$Q$1501="Collection 收款")*($R$2:$R$1501="Cheque 支票")*($V$2:$V$1501&lt;&gt;"")*($V$2:$V$1501&lt;=X754)*($S$2:$S$1501-'Opening Balance'!$B$15*($R$2:$R$1501="Cheque 支票")*($S$2:$S$1501-TRUNC($S$2:$S$1501))))-'Opening Balance'!$B$15*SUMPRODUCT(($Z$2:Z754="Online collection 网上收款")*($AA$2:AA754&lt;&gt;"")*($AC$2:AC754-TRUNC($AC$2:AC754))),2))</f>
        <v/>
      </c>
    </row>
    <row r="755">
      <c r="O755" s="5" t="n"/>
      <c r="S755" s="6" t="n"/>
      <c r="V755" s="5" t="n"/>
      <c r="X755" s="5" t="n"/>
      <c r="AC755" s="6" t="n"/>
      <c r="AD755" s="6" t="n"/>
      <c r="AE755" s="7">
        <f>IF(X755="","",ROUND('Opening Balance'!$B$4+SUM($AC$2:AC755)-SUM($AD$2:AD755)+SUMPRODUCT(($Q$2:$Q$1501="Collection 收款")*($R$2:$R$1501="Cheque 支票")*($V$2:$V$1501&lt;&gt;"")*($V$2:$V$1501&lt;=X755)*($S$2:$S$1501-'Opening Balance'!$B$15*($R$2:$R$1501="Cheque 支票")*($S$2:$S$1501-TRUNC($S$2:$S$1501))))-'Opening Balance'!$B$15*SUMPRODUCT(($Z$2:Z755="Online collection 网上收款")*($AA$2:AA755&lt;&gt;"")*($AC$2:AC755-TRUNC($AC$2:AC755))),2))</f>
        <v/>
      </c>
    </row>
    <row r="756">
      <c r="O756" s="5" t="n"/>
      <c r="S756" s="6" t="n"/>
      <c r="V756" s="5" t="n"/>
      <c r="X756" s="5" t="n"/>
      <c r="AC756" s="6" t="n"/>
      <c r="AD756" s="6" t="n"/>
      <c r="AE756" s="7">
        <f>IF(X756="","",ROUND('Opening Balance'!$B$4+SUM($AC$2:AC756)-SUM($AD$2:AD756)+SUMPRODUCT(($Q$2:$Q$1501="Collection 收款")*($R$2:$R$1501="Cheque 支票")*($V$2:$V$1501&lt;&gt;"")*($V$2:$V$1501&lt;=X756)*($S$2:$S$1501-'Opening Balance'!$B$15*($R$2:$R$1501="Cheque 支票")*($S$2:$S$1501-TRUNC($S$2:$S$1501))))-'Opening Balance'!$B$15*SUMPRODUCT(($Z$2:Z756="Online collection 网上收款")*($AA$2:AA756&lt;&gt;"")*($AC$2:AC756-TRUNC($AC$2:AC756))),2))</f>
        <v/>
      </c>
    </row>
    <row r="757">
      <c r="O757" s="5" t="n"/>
      <c r="S757" s="6" t="n"/>
      <c r="V757" s="5" t="n"/>
      <c r="X757" s="5" t="n"/>
      <c r="AC757" s="6" t="n"/>
      <c r="AD757" s="6" t="n"/>
      <c r="AE757" s="7">
        <f>IF(X757="","",ROUND('Opening Balance'!$B$4+SUM($AC$2:AC757)-SUM($AD$2:AD757)+SUMPRODUCT(($Q$2:$Q$1501="Collection 收款")*($R$2:$R$1501="Cheque 支票")*($V$2:$V$1501&lt;&gt;"")*($V$2:$V$1501&lt;=X757)*($S$2:$S$1501-'Opening Balance'!$B$15*($R$2:$R$1501="Cheque 支票")*($S$2:$S$1501-TRUNC($S$2:$S$1501))))-'Opening Balance'!$B$15*SUMPRODUCT(($Z$2:Z757="Online collection 网上收款")*($AA$2:AA757&lt;&gt;"")*($AC$2:AC757-TRUNC($AC$2:AC757))),2))</f>
        <v/>
      </c>
    </row>
    <row r="758">
      <c r="O758" s="5" t="n"/>
      <c r="S758" s="6" t="n"/>
      <c r="V758" s="5" t="n"/>
      <c r="X758" s="5" t="n"/>
      <c r="AC758" s="6" t="n"/>
      <c r="AD758" s="6" t="n"/>
      <c r="AE758" s="7">
        <f>IF(X758="","",ROUND('Opening Balance'!$B$4+SUM($AC$2:AC758)-SUM($AD$2:AD758)+SUMPRODUCT(($Q$2:$Q$1501="Collection 收款")*($R$2:$R$1501="Cheque 支票")*($V$2:$V$1501&lt;&gt;"")*($V$2:$V$1501&lt;=X758)*($S$2:$S$1501-'Opening Balance'!$B$15*($R$2:$R$1501="Cheque 支票")*($S$2:$S$1501-TRUNC($S$2:$S$1501))))-'Opening Balance'!$B$15*SUMPRODUCT(($Z$2:Z758="Online collection 网上收款")*($AA$2:AA758&lt;&gt;"")*($AC$2:AC758-TRUNC($AC$2:AC758))),2))</f>
        <v/>
      </c>
    </row>
    <row r="759">
      <c r="O759" s="5" t="n"/>
      <c r="S759" s="6" t="n"/>
      <c r="V759" s="5" t="n"/>
      <c r="X759" s="5" t="n"/>
      <c r="AC759" s="6" t="n"/>
      <c r="AD759" s="6" t="n"/>
      <c r="AE759" s="7">
        <f>IF(X759="","",ROUND('Opening Balance'!$B$4+SUM($AC$2:AC759)-SUM($AD$2:AD759)+SUMPRODUCT(($Q$2:$Q$1501="Collection 收款")*($R$2:$R$1501="Cheque 支票")*($V$2:$V$1501&lt;&gt;"")*($V$2:$V$1501&lt;=X759)*($S$2:$S$1501-'Opening Balance'!$B$15*($R$2:$R$1501="Cheque 支票")*($S$2:$S$1501-TRUNC($S$2:$S$1501))))-'Opening Balance'!$B$15*SUMPRODUCT(($Z$2:Z759="Online collection 网上收款")*($AA$2:AA759&lt;&gt;"")*($AC$2:AC759-TRUNC($AC$2:AC759))),2))</f>
        <v/>
      </c>
    </row>
    <row r="760">
      <c r="O760" s="5" t="n"/>
      <c r="S760" s="6" t="n"/>
      <c r="V760" s="5" t="n"/>
      <c r="X760" s="5" t="n"/>
      <c r="AC760" s="6" t="n"/>
      <c r="AD760" s="6" t="n"/>
      <c r="AE760" s="7">
        <f>IF(X760="","",ROUND('Opening Balance'!$B$4+SUM($AC$2:AC760)-SUM($AD$2:AD760)+SUMPRODUCT(($Q$2:$Q$1501="Collection 收款")*($R$2:$R$1501="Cheque 支票")*($V$2:$V$1501&lt;&gt;"")*($V$2:$V$1501&lt;=X760)*($S$2:$S$1501-'Opening Balance'!$B$15*($R$2:$R$1501="Cheque 支票")*($S$2:$S$1501-TRUNC($S$2:$S$1501))))-'Opening Balance'!$B$15*SUMPRODUCT(($Z$2:Z760="Online collection 网上收款")*($AA$2:AA760&lt;&gt;"")*($AC$2:AC760-TRUNC($AC$2:AC760))),2))</f>
        <v/>
      </c>
    </row>
    <row r="761">
      <c r="O761" s="5" t="n"/>
      <c r="S761" s="6" t="n"/>
      <c r="V761" s="5" t="n"/>
      <c r="X761" s="5" t="n"/>
      <c r="AC761" s="6" t="n"/>
      <c r="AD761" s="6" t="n"/>
      <c r="AE761" s="7">
        <f>IF(X761="","",ROUND('Opening Balance'!$B$4+SUM($AC$2:AC761)-SUM($AD$2:AD761)+SUMPRODUCT(($Q$2:$Q$1501="Collection 收款")*($R$2:$R$1501="Cheque 支票")*($V$2:$V$1501&lt;&gt;"")*($V$2:$V$1501&lt;=X761)*($S$2:$S$1501-'Opening Balance'!$B$15*($R$2:$R$1501="Cheque 支票")*($S$2:$S$1501-TRUNC($S$2:$S$1501))))-'Opening Balance'!$B$15*SUMPRODUCT(($Z$2:Z761="Online collection 网上收款")*($AA$2:AA761&lt;&gt;"")*($AC$2:AC761-TRUNC($AC$2:AC761))),2))</f>
        <v/>
      </c>
    </row>
    <row r="762">
      <c r="O762" s="5" t="n"/>
      <c r="S762" s="6" t="n"/>
      <c r="V762" s="5" t="n"/>
      <c r="X762" s="5" t="n"/>
      <c r="AC762" s="6" t="n"/>
      <c r="AD762" s="6" t="n"/>
      <c r="AE762" s="7">
        <f>IF(X762="","",ROUND('Opening Balance'!$B$4+SUM($AC$2:AC762)-SUM($AD$2:AD762)+SUMPRODUCT(($Q$2:$Q$1501="Collection 收款")*($R$2:$R$1501="Cheque 支票")*($V$2:$V$1501&lt;&gt;"")*($V$2:$V$1501&lt;=X762)*($S$2:$S$1501-'Opening Balance'!$B$15*($R$2:$R$1501="Cheque 支票")*($S$2:$S$1501-TRUNC($S$2:$S$1501))))-'Opening Balance'!$B$15*SUMPRODUCT(($Z$2:Z762="Online collection 网上收款")*($AA$2:AA762&lt;&gt;"")*($AC$2:AC762-TRUNC($AC$2:AC762))),2))</f>
        <v/>
      </c>
    </row>
    <row r="763">
      <c r="O763" s="5" t="n"/>
      <c r="S763" s="6" t="n"/>
      <c r="V763" s="5" t="n"/>
      <c r="X763" s="5" t="n"/>
      <c r="AC763" s="6" t="n"/>
      <c r="AD763" s="6" t="n"/>
      <c r="AE763" s="7">
        <f>IF(X763="","",ROUND('Opening Balance'!$B$4+SUM($AC$2:AC763)-SUM($AD$2:AD763)+SUMPRODUCT(($Q$2:$Q$1501="Collection 收款")*($R$2:$R$1501="Cheque 支票")*($V$2:$V$1501&lt;&gt;"")*($V$2:$V$1501&lt;=X763)*($S$2:$S$1501-'Opening Balance'!$B$15*($R$2:$R$1501="Cheque 支票")*($S$2:$S$1501-TRUNC($S$2:$S$1501))))-'Opening Balance'!$B$15*SUMPRODUCT(($Z$2:Z763="Online collection 网上收款")*($AA$2:AA763&lt;&gt;"")*($AC$2:AC763-TRUNC($AC$2:AC763))),2))</f>
        <v/>
      </c>
    </row>
    <row r="764">
      <c r="O764" s="5" t="n"/>
      <c r="S764" s="6" t="n"/>
      <c r="V764" s="5" t="n"/>
      <c r="X764" s="5" t="n"/>
      <c r="AC764" s="6" t="n"/>
      <c r="AD764" s="6" t="n"/>
      <c r="AE764" s="7">
        <f>IF(X764="","",ROUND('Opening Balance'!$B$4+SUM($AC$2:AC764)-SUM($AD$2:AD764)+SUMPRODUCT(($Q$2:$Q$1501="Collection 收款")*($R$2:$R$1501="Cheque 支票")*($V$2:$V$1501&lt;&gt;"")*($V$2:$V$1501&lt;=X764)*($S$2:$S$1501-'Opening Balance'!$B$15*($R$2:$R$1501="Cheque 支票")*($S$2:$S$1501-TRUNC($S$2:$S$1501))))-'Opening Balance'!$B$15*SUMPRODUCT(($Z$2:Z764="Online collection 网上收款")*($AA$2:AA764&lt;&gt;"")*($AC$2:AC764-TRUNC($AC$2:AC764))),2))</f>
        <v/>
      </c>
    </row>
    <row r="765">
      <c r="O765" s="5" t="n"/>
      <c r="S765" s="6" t="n"/>
      <c r="V765" s="5" t="n"/>
      <c r="X765" s="5" t="n"/>
      <c r="AC765" s="6" t="n"/>
      <c r="AD765" s="6" t="n"/>
      <c r="AE765" s="7">
        <f>IF(X765="","",ROUND('Opening Balance'!$B$4+SUM($AC$2:AC765)-SUM($AD$2:AD765)+SUMPRODUCT(($Q$2:$Q$1501="Collection 收款")*($R$2:$R$1501="Cheque 支票")*($V$2:$V$1501&lt;&gt;"")*($V$2:$V$1501&lt;=X765)*($S$2:$S$1501-'Opening Balance'!$B$15*($R$2:$R$1501="Cheque 支票")*($S$2:$S$1501-TRUNC($S$2:$S$1501))))-'Opening Balance'!$B$15*SUMPRODUCT(($Z$2:Z765="Online collection 网上收款")*($AA$2:AA765&lt;&gt;"")*($AC$2:AC765-TRUNC($AC$2:AC765))),2))</f>
        <v/>
      </c>
    </row>
    <row r="766">
      <c r="O766" s="5" t="n"/>
      <c r="S766" s="6" t="n"/>
      <c r="V766" s="5" t="n"/>
      <c r="X766" s="5" t="n"/>
      <c r="AC766" s="6" t="n"/>
      <c r="AD766" s="6" t="n"/>
      <c r="AE766" s="7">
        <f>IF(X766="","",ROUND('Opening Balance'!$B$4+SUM($AC$2:AC766)-SUM($AD$2:AD766)+SUMPRODUCT(($Q$2:$Q$1501="Collection 收款")*($R$2:$R$1501="Cheque 支票")*($V$2:$V$1501&lt;&gt;"")*($V$2:$V$1501&lt;=X766)*($S$2:$S$1501-'Opening Balance'!$B$15*($R$2:$R$1501="Cheque 支票")*($S$2:$S$1501-TRUNC($S$2:$S$1501))))-'Opening Balance'!$B$15*SUMPRODUCT(($Z$2:Z766="Online collection 网上收款")*($AA$2:AA766&lt;&gt;"")*($AC$2:AC766-TRUNC($AC$2:AC766))),2))</f>
        <v/>
      </c>
    </row>
    <row r="767">
      <c r="O767" s="5" t="n"/>
      <c r="S767" s="6" t="n"/>
      <c r="V767" s="5" t="n"/>
      <c r="X767" s="5" t="n"/>
      <c r="AC767" s="6" t="n"/>
      <c r="AD767" s="6" t="n"/>
      <c r="AE767" s="7">
        <f>IF(X767="","",ROUND('Opening Balance'!$B$4+SUM($AC$2:AC767)-SUM($AD$2:AD767)+SUMPRODUCT(($Q$2:$Q$1501="Collection 收款")*($R$2:$R$1501="Cheque 支票")*($V$2:$V$1501&lt;&gt;"")*($V$2:$V$1501&lt;=X767)*($S$2:$S$1501-'Opening Balance'!$B$15*($R$2:$R$1501="Cheque 支票")*($S$2:$S$1501-TRUNC($S$2:$S$1501))))-'Opening Balance'!$B$15*SUMPRODUCT(($Z$2:Z767="Online collection 网上收款")*($AA$2:AA767&lt;&gt;"")*($AC$2:AC767-TRUNC($AC$2:AC767))),2))</f>
        <v/>
      </c>
    </row>
    <row r="768">
      <c r="O768" s="5" t="n"/>
      <c r="S768" s="6" t="n"/>
      <c r="V768" s="5" t="n"/>
      <c r="X768" s="5" t="n"/>
      <c r="AC768" s="6" t="n"/>
      <c r="AD768" s="6" t="n"/>
      <c r="AE768" s="7">
        <f>IF(X768="","",ROUND('Opening Balance'!$B$4+SUM($AC$2:AC768)-SUM($AD$2:AD768)+SUMPRODUCT(($Q$2:$Q$1501="Collection 收款")*($R$2:$R$1501="Cheque 支票")*($V$2:$V$1501&lt;&gt;"")*($V$2:$V$1501&lt;=X768)*($S$2:$S$1501-'Opening Balance'!$B$15*($R$2:$R$1501="Cheque 支票")*($S$2:$S$1501-TRUNC($S$2:$S$1501))))-'Opening Balance'!$B$15*SUMPRODUCT(($Z$2:Z768="Online collection 网上收款")*($AA$2:AA768&lt;&gt;"")*($AC$2:AC768-TRUNC($AC$2:AC768))),2))</f>
        <v/>
      </c>
    </row>
    <row r="769">
      <c r="O769" s="5" t="n"/>
      <c r="S769" s="6" t="n"/>
      <c r="V769" s="5" t="n"/>
      <c r="X769" s="5" t="n"/>
      <c r="AC769" s="6" t="n"/>
      <c r="AD769" s="6" t="n"/>
      <c r="AE769" s="7">
        <f>IF(X769="","",ROUND('Opening Balance'!$B$4+SUM($AC$2:AC769)-SUM($AD$2:AD769)+SUMPRODUCT(($Q$2:$Q$1501="Collection 收款")*($R$2:$R$1501="Cheque 支票")*($V$2:$V$1501&lt;&gt;"")*($V$2:$V$1501&lt;=X769)*($S$2:$S$1501-'Opening Balance'!$B$15*($R$2:$R$1501="Cheque 支票")*($S$2:$S$1501-TRUNC($S$2:$S$1501))))-'Opening Balance'!$B$15*SUMPRODUCT(($Z$2:Z769="Online collection 网上收款")*($AA$2:AA769&lt;&gt;"")*($AC$2:AC769-TRUNC($AC$2:AC769))),2))</f>
        <v/>
      </c>
    </row>
    <row r="770">
      <c r="O770" s="5" t="n"/>
      <c r="S770" s="6" t="n"/>
      <c r="V770" s="5" t="n"/>
      <c r="X770" s="5" t="n"/>
      <c r="AC770" s="6" t="n"/>
      <c r="AD770" s="6" t="n"/>
      <c r="AE770" s="7">
        <f>IF(X770="","",ROUND('Opening Balance'!$B$4+SUM($AC$2:AC770)-SUM($AD$2:AD770)+SUMPRODUCT(($Q$2:$Q$1501="Collection 收款")*($R$2:$R$1501="Cheque 支票")*($V$2:$V$1501&lt;&gt;"")*($V$2:$V$1501&lt;=X770)*($S$2:$S$1501-'Opening Balance'!$B$15*($R$2:$R$1501="Cheque 支票")*($S$2:$S$1501-TRUNC($S$2:$S$1501))))-'Opening Balance'!$B$15*SUMPRODUCT(($Z$2:Z770="Online collection 网上收款")*($AA$2:AA770&lt;&gt;"")*($AC$2:AC770-TRUNC($AC$2:AC770))),2))</f>
        <v/>
      </c>
    </row>
    <row r="771">
      <c r="O771" s="5" t="n"/>
      <c r="S771" s="6" t="n"/>
      <c r="V771" s="5" t="n"/>
      <c r="X771" s="5" t="n"/>
      <c r="AC771" s="6" t="n"/>
      <c r="AD771" s="6" t="n"/>
      <c r="AE771" s="7">
        <f>IF(X771="","",ROUND('Opening Balance'!$B$4+SUM($AC$2:AC771)-SUM($AD$2:AD771)+SUMPRODUCT(($Q$2:$Q$1501="Collection 收款")*($R$2:$R$1501="Cheque 支票")*($V$2:$V$1501&lt;&gt;"")*($V$2:$V$1501&lt;=X771)*($S$2:$S$1501-'Opening Balance'!$B$15*($R$2:$R$1501="Cheque 支票")*($S$2:$S$1501-TRUNC($S$2:$S$1501))))-'Opening Balance'!$B$15*SUMPRODUCT(($Z$2:Z771="Online collection 网上收款")*($AA$2:AA771&lt;&gt;"")*($AC$2:AC771-TRUNC($AC$2:AC771))),2))</f>
        <v/>
      </c>
    </row>
    <row r="772">
      <c r="O772" s="5" t="n"/>
      <c r="S772" s="6" t="n"/>
      <c r="V772" s="5" t="n"/>
      <c r="X772" s="5" t="n"/>
      <c r="AC772" s="6" t="n"/>
      <c r="AD772" s="6" t="n"/>
      <c r="AE772" s="7">
        <f>IF(X772="","",ROUND('Opening Balance'!$B$4+SUM($AC$2:AC772)-SUM($AD$2:AD772)+SUMPRODUCT(($Q$2:$Q$1501="Collection 收款")*($R$2:$R$1501="Cheque 支票")*($V$2:$V$1501&lt;&gt;"")*($V$2:$V$1501&lt;=X772)*($S$2:$S$1501-'Opening Balance'!$B$15*($R$2:$R$1501="Cheque 支票")*($S$2:$S$1501-TRUNC($S$2:$S$1501))))-'Opening Balance'!$B$15*SUMPRODUCT(($Z$2:Z772="Online collection 网上收款")*($AA$2:AA772&lt;&gt;"")*($AC$2:AC772-TRUNC($AC$2:AC772))),2))</f>
        <v/>
      </c>
    </row>
    <row r="773">
      <c r="O773" s="5" t="n"/>
      <c r="S773" s="6" t="n"/>
      <c r="V773" s="5" t="n"/>
      <c r="X773" s="5" t="n"/>
      <c r="AC773" s="6" t="n"/>
      <c r="AD773" s="6" t="n"/>
      <c r="AE773" s="7">
        <f>IF(X773="","",ROUND('Opening Balance'!$B$4+SUM($AC$2:AC773)-SUM($AD$2:AD773)+SUMPRODUCT(($Q$2:$Q$1501="Collection 收款")*($R$2:$R$1501="Cheque 支票")*($V$2:$V$1501&lt;&gt;"")*($V$2:$V$1501&lt;=X773)*($S$2:$S$1501-'Opening Balance'!$B$15*($R$2:$R$1501="Cheque 支票")*($S$2:$S$1501-TRUNC($S$2:$S$1501))))-'Opening Balance'!$B$15*SUMPRODUCT(($Z$2:Z773="Online collection 网上收款")*($AA$2:AA773&lt;&gt;"")*($AC$2:AC773-TRUNC($AC$2:AC773))),2))</f>
        <v/>
      </c>
    </row>
    <row r="774">
      <c r="O774" s="5" t="n"/>
      <c r="S774" s="6" t="n"/>
      <c r="V774" s="5" t="n"/>
      <c r="X774" s="5" t="n"/>
      <c r="AC774" s="6" t="n"/>
      <c r="AD774" s="6" t="n"/>
      <c r="AE774" s="7">
        <f>IF(X774="","",ROUND('Opening Balance'!$B$4+SUM($AC$2:AC774)-SUM($AD$2:AD774)+SUMPRODUCT(($Q$2:$Q$1501="Collection 收款")*($R$2:$R$1501="Cheque 支票")*($V$2:$V$1501&lt;&gt;"")*($V$2:$V$1501&lt;=X774)*($S$2:$S$1501-'Opening Balance'!$B$15*($R$2:$R$1501="Cheque 支票")*($S$2:$S$1501-TRUNC($S$2:$S$1501))))-'Opening Balance'!$B$15*SUMPRODUCT(($Z$2:Z774="Online collection 网上收款")*($AA$2:AA774&lt;&gt;"")*($AC$2:AC774-TRUNC($AC$2:AC774))),2))</f>
        <v/>
      </c>
    </row>
    <row r="775">
      <c r="O775" s="5" t="n"/>
      <c r="S775" s="6" t="n"/>
      <c r="V775" s="5" t="n"/>
      <c r="X775" s="5" t="n"/>
      <c r="AC775" s="6" t="n"/>
      <c r="AD775" s="6" t="n"/>
      <c r="AE775" s="7">
        <f>IF(X775="","",ROUND('Opening Balance'!$B$4+SUM($AC$2:AC775)-SUM($AD$2:AD775)+SUMPRODUCT(($Q$2:$Q$1501="Collection 收款")*($R$2:$R$1501="Cheque 支票")*($V$2:$V$1501&lt;&gt;"")*($V$2:$V$1501&lt;=X775)*($S$2:$S$1501-'Opening Balance'!$B$15*($R$2:$R$1501="Cheque 支票")*($S$2:$S$1501-TRUNC($S$2:$S$1501))))-'Opening Balance'!$B$15*SUMPRODUCT(($Z$2:Z775="Online collection 网上收款")*($AA$2:AA775&lt;&gt;"")*($AC$2:AC775-TRUNC($AC$2:AC775))),2))</f>
        <v/>
      </c>
    </row>
    <row r="776">
      <c r="O776" s="5" t="n"/>
      <c r="S776" s="6" t="n"/>
      <c r="V776" s="5" t="n"/>
      <c r="X776" s="5" t="n"/>
      <c r="AC776" s="6" t="n"/>
      <c r="AD776" s="6" t="n"/>
      <c r="AE776" s="7">
        <f>IF(X776="","",ROUND('Opening Balance'!$B$4+SUM($AC$2:AC776)-SUM($AD$2:AD776)+SUMPRODUCT(($Q$2:$Q$1501="Collection 收款")*($R$2:$R$1501="Cheque 支票")*($V$2:$V$1501&lt;&gt;"")*($V$2:$V$1501&lt;=X776)*($S$2:$S$1501-'Opening Balance'!$B$15*($R$2:$R$1501="Cheque 支票")*($S$2:$S$1501-TRUNC($S$2:$S$1501))))-'Opening Balance'!$B$15*SUMPRODUCT(($Z$2:Z776="Online collection 网上收款")*($AA$2:AA776&lt;&gt;"")*($AC$2:AC776-TRUNC($AC$2:AC776))),2))</f>
        <v/>
      </c>
    </row>
    <row r="777">
      <c r="O777" s="5" t="n"/>
      <c r="S777" s="6" t="n"/>
      <c r="V777" s="5" t="n"/>
      <c r="X777" s="5" t="n"/>
      <c r="AC777" s="6" t="n"/>
      <c r="AD777" s="6" t="n"/>
      <c r="AE777" s="7">
        <f>IF(X777="","",ROUND('Opening Balance'!$B$4+SUM($AC$2:AC777)-SUM($AD$2:AD777)+SUMPRODUCT(($Q$2:$Q$1501="Collection 收款")*($R$2:$R$1501="Cheque 支票")*($V$2:$V$1501&lt;&gt;"")*($V$2:$V$1501&lt;=X777)*($S$2:$S$1501-'Opening Balance'!$B$15*($R$2:$R$1501="Cheque 支票")*($S$2:$S$1501-TRUNC($S$2:$S$1501))))-'Opening Balance'!$B$15*SUMPRODUCT(($Z$2:Z777="Online collection 网上收款")*($AA$2:AA777&lt;&gt;"")*($AC$2:AC777-TRUNC($AC$2:AC777))),2))</f>
        <v/>
      </c>
    </row>
    <row r="778">
      <c r="O778" s="5" t="n"/>
      <c r="S778" s="6" t="n"/>
      <c r="V778" s="5" t="n"/>
      <c r="X778" s="5" t="n"/>
      <c r="AC778" s="6" t="n"/>
      <c r="AD778" s="6" t="n"/>
      <c r="AE778" s="7">
        <f>IF(X778="","",ROUND('Opening Balance'!$B$4+SUM($AC$2:AC778)-SUM($AD$2:AD778)+SUMPRODUCT(($Q$2:$Q$1501="Collection 收款")*($R$2:$R$1501="Cheque 支票")*($V$2:$V$1501&lt;&gt;"")*($V$2:$V$1501&lt;=X778)*($S$2:$S$1501-'Opening Balance'!$B$15*($R$2:$R$1501="Cheque 支票")*($S$2:$S$1501-TRUNC($S$2:$S$1501))))-'Opening Balance'!$B$15*SUMPRODUCT(($Z$2:Z778="Online collection 网上收款")*($AA$2:AA778&lt;&gt;"")*($AC$2:AC778-TRUNC($AC$2:AC778))),2))</f>
        <v/>
      </c>
    </row>
    <row r="779">
      <c r="O779" s="5" t="n"/>
      <c r="S779" s="6" t="n"/>
      <c r="V779" s="5" t="n"/>
      <c r="X779" s="5" t="n"/>
      <c r="AC779" s="6" t="n"/>
      <c r="AD779" s="6" t="n"/>
      <c r="AE779" s="7">
        <f>IF(X779="","",ROUND('Opening Balance'!$B$4+SUM($AC$2:AC779)-SUM($AD$2:AD779)+SUMPRODUCT(($Q$2:$Q$1501="Collection 收款")*($R$2:$R$1501="Cheque 支票")*($V$2:$V$1501&lt;&gt;"")*($V$2:$V$1501&lt;=X779)*($S$2:$S$1501-'Opening Balance'!$B$15*($R$2:$R$1501="Cheque 支票")*($S$2:$S$1501-TRUNC($S$2:$S$1501))))-'Opening Balance'!$B$15*SUMPRODUCT(($Z$2:Z779="Online collection 网上收款")*($AA$2:AA779&lt;&gt;"")*($AC$2:AC779-TRUNC($AC$2:AC779))),2))</f>
        <v/>
      </c>
    </row>
    <row r="780">
      <c r="O780" s="5" t="n"/>
      <c r="S780" s="6" t="n"/>
      <c r="V780" s="5" t="n"/>
      <c r="X780" s="5" t="n"/>
      <c r="AC780" s="6" t="n"/>
      <c r="AD780" s="6" t="n"/>
      <c r="AE780" s="7">
        <f>IF(X780="","",ROUND('Opening Balance'!$B$4+SUM($AC$2:AC780)-SUM($AD$2:AD780)+SUMPRODUCT(($Q$2:$Q$1501="Collection 收款")*($R$2:$R$1501="Cheque 支票")*($V$2:$V$1501&lt;&gt;"")*($V$2:$V$1501&lt;=X780)*($S$2:$S$1501-'Opening Balance'!$B$15*($R$2:$R$1501="Cheque 支票")*($S$2:$S$1501-TRUNC($S$2:$S$1501))))-'Opening Balance'!$B$15*SUMPRODUCT(($Z$2:Z780="Online collection 网上收款")*($AA$2:AA780&lt;&gt;"")*($AC$2:AC780-TRUNC($AC$2:AC780))),2))</f>
        <v/>
      </c>
    </row>
    <row r="781">
      <c r="O781" s="5" t="n"/>
      <c r="S781" s="6" t="n"/>
      <c r="V781" s="5" t="n"/>
      <c r="X781" s="5" t="n"/>
      <c r="AC781" s="6" t="n"/>
      <c r="AD781" s="6" t="n"/>
      <c r="AE781" s="7">
        <f>IF(X781="","",ROUND('Opening Balance'!$B$4+SUM($AC$2:AC781)-SUM($AD$2:AD781)+SUMPRODUCT(($Q$2:$Q$1501="Collection 收款")*($R$2:$R$1501="Cheque 支票")*($V$2:$V$1501&lt;&gt;"")*($V$2:$V$1501&lt;=X781)*($S$2:$S$1501-'Opening Balance'!$B$15*($R$2:$R$1501="Cheque 支票")*($S$2:$S$1501-TRUNC($S$2:$S$1501))))-'Opening Balance'!$B$15*SUMPRODUCT(($Z$2:Z781="Online collection 网上收款")*($AA$2:AA781&lt;&gt;"")*($AC$2:AC781-TRUNC($AC$2:AC781))),2))</f>
        <v/>
      </c>
    </row>
    <row r="782">
      <c r="O782" s="5" t="n"/>
      <c r="S782" s="6" t="n"/>
      <c r="V782" s="5" t="n"/>
      <c r="X782" s="5" t="n"/>
      <c r="AC782" s="6" t="n"/>
      <c r="AD782" s="6" t="n"/>
      <c r="AE782" s="7">
        <f>IF(X782="","",ROUND('Opening Balance'!$B$4+SUM($AC$2:AC782)-SUM($AD$2:AD782)+SUMPRODUCT(($Q$2:$Q$1501="Collection 收款")*($R$2:$R$1501="Cheque 支票")*($V$2:$V$1501&lt;&gt;"")*($V$2:$V$1501&lt;=X782)*($S$2:$S$1501-'Opening Balance'!$B$15*($R$2:$R$1501="Cheque 支票")*($S$2:$S$1501-TRUNC($S$2:$S$1501))))-'Opening Balance'!$B$15*SUMPRODUCT(($Z$2:Z782="Online collection 网上收款")*($AA$2:AA782&lt;&gt;"")*($AC$2:AC782-TRUNC($AC$2:AC782))),2))</f>
        <v/>
      </c>
    </row>
    <row r="783">
      <c r="O783" s="5" t="n"/>
      <c r="S783" s="6" t="n"/>
      <c r="V783" s="5" t="n"/>
      <c r="X783" s="5" t="n"/>
      <c r="AC783" s="6" t="n"/>
      <c r="AD783" s="6" t="n"/>
      <c r="AE783" s="7">
        <f>IF(X783="","",ROUND('Opening Balance'!$B$4+SUM($AC$2:AC783)-SUM($AD$2:AD783)+SUMPRODUCT(($Q$2:$Q$1501="Collection 收款")*($R$2:$R$1501="Cheque 支票")*($V$2:$V$1501&lt;&gt;"")*($V$2:$V$1501&lt;=X783)*($S$2:$S$1501-'Opening Balance'!$B$15*($R$2:$R$1501="Cheque 支票")*($S$2:$S$1501-TRUNC($S$2:$S$1501))))-'Opening Balance'!$B$15*SUMPRODUCT(($Z$2:Z783="Online collection 网上收款")*($AA$2:AA783&lt;&gt;"")*($AC$2:AC783-TRUNC($AC$2:AC783))),2))</f>
        <v/>
      </c>
    </row>
    <row r="784">
      <c r="O784" s="5" t="n"/>
      <c r="S784" s="6" t="n"/>
      <c r="V784" s="5" t="n"/>
      <c r="X784" s="5" t="n"/>
      <c r="AC784" s="6" t="n"/>
      <c r="AD784" s="6" t="n"/>
      <c r="AE784" s="7">
        <f>IF(X784="","",ROUND('Opening Balance'!$B$4+SUM($AC$2:AC784)-SUM($AD$2:AD784)+SUMPRODUCT(($Q$2:$Q$1501="Collection 收款")*($R$2:$R$1501="Cheque 支票")*($V$2:$V$1501&lt;&gt;"")*($V$2:$V$1501&lt;=X784)*($S$2:$S$1501-'Opening Balance'!$B$15*($R$2:$R$1501="Cheque 支票")*($S$2:$S$1501-TRUNC($S$2:$S$1501))))-'Opening Balance'!$B$15*SUMPRODUCT(($Z$2:Z784="Online collection 网上收款")*($AA$2:AA784&lt;&gt;"")*($AC$2:AC784-TRUNC($AC$2:AC784))),2))</f>
        <v/>
      </c>
    </row>
    <row r="785">
      <c r="O785" s="5" t="n"/>
      <c r="S785" s="6" t="n"/>
      <c r="V785" s="5" t="n"/>
      <c r="X785" s="5" t="n"/>
      <c r="AC785" s="6" t="n"/>
      <c r="AD785" s="6" t="n"/>
      <c r="AE785" s="7">
        <f>IF(X785="","",ROUND('Opening Balance'!$B$4+SUM($AC$2:AC785)-SUM($AD$2:AD785)+SUMPRODUCT(($Q$2:$Q$1501="Collection 收款")*($R$2:$R$1501="Cheque 支票")*($V$2:$V$1501&lt;&gt;"")*($V$2:$V$1501&lt;=X785)*($S$2:$S$1501-'Opening Balance'!$B$15*($R$2:$R$1501="Cheque 支票")*($S$2:$S$1501-TRUNC($S$2:$S$1501))))-'Opening Balance'!$B$15*SUMPRODUCT(($Z$2:Z785="Online collection 网上收款")*($AA$2:AA785&lt;&gt;"")*($AC$2:AC785-TRUNC($AC$2:AC785))),2))</f>
        <v/>
      </c>
    </row>
    <row r="786">
      <c r="O786" s="5" t="n"/>
      <c r="S786" s="6" t="n"/>
      <c r="V786" s="5" t="n"/>
      <c r="X786" s="5" t="n"/>
      <c r="AC786" s="6" t="n"/>
      <c r="AD786" s="6" t="n"/>
      <c r="AE786" s="7">
        <f>IF(X786="","",ROUND('Opening Balance'!$B$4+SUM($AC$2:AC786)-SUM($AD$2:AD786)+SUMPRODUCT(($Q$2:$Q$1501="Collection 收款")*($R$2:$R$1501="Cheque 支票")*($V$2:$V$1501&lt;&gt;"")*($V$2:$V$1501&lt;=X786)*($S$2:$S$1501-'Opening Balance'!$B$15*($R$2:$R$1501="Cheque 支票")*($S$2:$S$1501-TRUNC($S$2:$S$1501))))-'Opening Balance'!$B$15*SUMPRODUCT(($Z$2:Z786="Online collection 网上收款")*($AA$2:AA786&lt;&gt;"")*($AC$2:AC786-TRUNC($AC$2:AC786))),2))</f>
        <v/>
      </c>
    </row>
    <row r="787">
      <c r="O787" s="5" t="n"/>
      <c r="S787" s="6" t="n"/>
      <c r="V787" s="5" t="n"/>
      <c r="X787" s="5" t="n"/>
      <c r="AC787" s="6" t="n"/>
      <c r="AD787" s="6" t="n"/>
      <c r="AE787" s="7">
        <f>IF(X787="","",ROUND('Opening Balance'!$B$4+SUM($AC$2:AC787)-SUM($AD$2:AD787)+SUMPRODUCT(($Q$2:$Q$1501="Collection 收款")*($R$2:$R$1501="Cheque 支票")*($V$2:$V$1501&lt;&gt;"")*($V$2:$V$1501&lt;=X787)*($S$2:$S$1501-'Opening Balance'!$B$15*($R$2:$R$1501="Cheque 支票")*($S$2:$S$1501-TRUNC($S$2:$S$1501))))-'Opening Balance'!$B$15*SUMPRODUCT(($Z$2:Z787="Online collection 网上收款")*($AA$2:AA787&lt;&gt;"")*($AC$2:AC787-TRUNC($AC$2:AC787))),2))</f>
        <v/>
      </c>
    </row>
    <row r="788">
      <c r="O788" s="5" t="n"/>
      <c r="S788" s="6" t="n"/>
      <c r="V788" s="5" t="n"/>
      <c r="X788" s="5" t="n"/>
      <c r="AC788" s="6" t="n"/>
      <c r="AD788" s="6" t="n"/>
      <c r="AE788" s="7">
        <f>IF(X788="","",ROUND('Opening Balance'!$B$4+SUM($AC$2:AC788)-SUM($AD$2:AD788)+SUMPRODUCT(($Q$2:$Q$1501="Collection 收款")*($R$2:$R$1501="Cheque 支票")*($V$2:$V$1501&lt;&gt;"")*($V$2:$V$1501&lt;=X788)*($S$2:$S$1501-'Opening Balance'!$B$15*($R$2:$R$1501="Cheque 支票")*($S$2:$S$1501-TRUNC($S$2:$S$1501))))-'Opening Balance'!$B$15*SUMPRODUCT(($Z$2:Z788="Online collection 网上收款")*($AA$2:AA788&lt;&gt;"")*($AC$2:AC788-TRUNC($AC$2:AC788))),2))</f>
        <v/>
      </c>
    </row>
    <row r="789">
      <c r="O789" s="5" t="n"/>
      <c r="S789" s="6" t="n"/>
      <c r="V789" s="5" t="n"/>
      <c r="X789" s="5" t="n"/>
      <c r="AC789" s="6" t="n"/>
      <c r="AD789" s="6" t="n"/>
      <c r="AE789" s="7">
        <f>IF(X789="","",ROUND('Opening Balance'!$B$4+SUM($AC$2:AC789)-SUM($AD$2:AD789)+SUMPRODUCT(($Q$2:$Q$1501="Collection 收款")*($R$2:$R$1501="Cheque 支票")*($V$2:$V$1501&lt;&gt;"")*($V$2:$V$1501&lt;=X789)*($S$2:$S$1501-'Opening Balance'!$B$15*($R$2:$R$1501="Cheque 支票")*($S$2:$S$1501-TRUNC($S$2:$S$1501))))-'Opening Balance'!$B$15*SUMPRODUCT(($Z$2:Z789="Online collection 网上收款")*($AA$2:AA789&lt;&gt;"")*($AC$2:AC789-TRUNC($AC$2:AC789))),2))</f>
        <v/>
      </c>
    </row>
    <row r="790">
      <c r="O790" s="5" t="n"/>
      <c r="S790" s="6" t="n"/>
      <c r="V790" s="5" t="n"/>
      <c r="X790" s="5" t="n"/>
      <c r="AC790" s="6" t="n"/>
      <c r="AD790" s="6" t="n"/>
      <c r="AE790" s="7">
        <f>IF(X790="","",ROUND('Opening Balance'!$B$4+SUM($AC$2:AC790)-SUM($AD$2:AD790)+SUMPRODUCT(($Q$2:$Q$1501="Collection 收款")*($R$2:$R$1501="Cheque 支票")*($V$2:$V$1501&lt;&gt;"")*($V$2:$V$1501&lt;=X790)*($S$2:$S$1501-'Opening Balance'!$B$15*($R$2:$R$1501="Cheque 支票")*($S$2:$S$1501-TRUNC($S$2:$S$1501))))-'Opening Balance'!$B$15*SUMPRODUCT(($Z$2:Z790="Online collection 网上收款")*($AA$2:AA790&lt;&gt;"")*($AC$2:AC790-TRUNC($AC$2:AC790))),2))</f>
        <v/>
      </c>
    </row>
    <row r="791">
      <c r="O791" s="5" t="n"/>
      <c r="S791" s="6" t="n"/>
      <c r="V791" s="5" t="n"/>
      <c r="X791" s="5" t="n"/>
      <c r="AC791" s="6" t="n"/>
      <c r="AD791" s="6" t="n"/>
      <c r="AE791" s="7">
        <f>IF(X791="","",ROUND('Opening Balance'!$B$4+SUM($AC$2:AC791)-SUM($AD$2:AD791)+SUMPRODUCT(($Q$2:$Q$1501="Collection 收款")*($R$2:$R$1501="Cheque 支票")*($V$2:$V$1501&lt;&gt;"")*($V$2:$V$1501&lt;=X791)*($S$2:$S$1501-'Opening Balance'!$B$15*($R$2:$R$1501="Cheque 支票")*($S$2:$S$1501-TRUNC($S$2:$S$1501))))-'Opening Balance'!$B$15*SUMPRODUCT(($Z$2:Z791="Online collection 网上收款")*($AA$2:AA791&lt;&gt;"")*($AC$2:AC791-TRUNC($AC$2:AC791))),2))</f>
        <v/>
      </c>
    </row>
    <row r="792">
      <c r="O792" s="5" t="n"/>
      <c r="S792" s="6" t="n"/>
      <c r="V792" s="5" t="n"/>
      <c r="X792" s="5" t="n"/>
      <c r="AC792" s="6" t="n"/>
      <c r="AD792" s="6" t="n"/>
      <c r="AE792" s="7">
        <f>IF(X792="","",ROUND('Opening Balance'!$B$4+SUM($AC$2:AC792)-SUM($AD$2:AD792)+SUMPRODUCT(($Q$2:$Q$1501="Collection 收款")*($R$2:$R$1501="Cheque 支票")*($V$2:$V$1501&lt;&gt;"")*($V$2:$V$1501&lt;=X792)*($S$2:$S$1501-'Opening Balance'!$B$15*($R$2:$R$1501="Cheque 支票")*($S$2:$S$1501-TRUNC($S$2:$S$1501))))-'Opening Balance'!$B$15*SUMPRODUCT(($Z$2:Z792="Online collection 网上收款")*($AA$2:AA792&lt;&gt;"")*($AC$2:AC792-TRUNC($AC$2:AC792))),2))</f>
        <v/>
      </c>
    </row>
    <row r="793">
      <c r="O793" s="5" t="n"/>
      <c r="S793" s="6" t="n"/>
      <c r="V793" s="5" t="n"/>
      <c r="X793" s="5" t="n"/>
      <c r="AC793" s="6" t="n"/>
      <c r="AD793" s="6" t="n"/>
      <c r="AE793" s="7">
        <f>IF(X793="","",ROUND('Opening Balance'!$B$4+SUM($AC$2:AC793)-SUM($AD$2:AD793)+SUMPRODUCT(($Q$2:$Q$1501="Collection 收款")*($R$2:$R$1501="Cheque 支票")*($V$2:$V$1501&lt;&gt;"")*($V$2:$V$1501&lt;=X793)*($S$2:$S$1501-'Opening Balance'!$B$15*($R$2:$R$1501="Cheque 支票")*($S$2:$S$1501-TRUNC($S$2:$S$1501))))-'Opening Balance'!$B$15*SUMPRODUCT(($Z$2:Z793="Online collection 网上收款")*($AA$2:AA793&lt;&gt;"")*($AC$2:AC793-TRUNC($AC$2:AC793))),2))</f>
        <v/>
      </c>
    </row>
    <row r="794">
      <c r="O794" s="5" t="n"/>
      <c r="S794" s="6" t="n"/>
      <c r="V794" s="5" t="n"/>
      <c r="X794" s="5" t="n"/>
      <c r="AC794" s="6" t="n"/>
      <c r="AD794" s="6" t="n"/>
      <c r="AE794" s="7">
        <f>IF(X794="","",ROUND('Opening Balance'!$B$4+SUM($AC$2:AC794)-SUM($AD$2:AD794)+SUMPRODUCT(($Q$2:$Q$1501="Collection 收款")*($R$2:$R$1501="Cheque 支票")*($V$2:$V$1501&lt;&gt;"")*($V$2:$V$1501&lt;=X794)*($S$2:$S$1501-'Opening Balance'!$B$15*($R$2:$R$1501="Cheque 支票")*($S$2:$S$1501-TRUNC($S$2:$S$1501))))-'Opening Balance'!$B$15*SUMPRODUCT(($Z$2:Z794="Online collection 网上收款")*($AA$2:AA794&lt;&gt;"")*($AC$2:AC794-TRUNC($AC$2:AC794))),2))</f>
        <v/>
      </c>
    </row>
    <row r="795">
      <c r="O795" s="5" t="n"/>
      <c r="S795" s="6" t="n"/>
      <c r="V795" s="5" t="n"/>
      <c r="X795" s="5" t="n"/>
      <c r="AC795" s="6" t="n"/>
      <c r="AD795" s="6" t="n"/>
      <c r="AE795" s="7">
        <f>IF(X795="","",ROUND('Opening Balance'!$B$4+SUM($AC$2:AC795)-SUM($AD$2:AD795)+SUMPRODUCT(($Q$2:$Q$1501="Collection 收款")*($R$2:$R$1501="Cheque 支票")*($V$2:$V$1501&lt;&gt;"")*($V$2:$V$1501&lt;=X795)*($S$2:$S$1501-'Opening Balance'!$B$15*($R$2:$R$1501="Cheque 支票")*($S$2:$S$1501-TRUNC($S$2:$S$1501))))-'Opening Balance'!$B$15*SUMPRODUCT(($Z$2:Z795="Online collection 网上收款")*($AA$2:AA795&lt;&gt;"")*($AC$2:AC795-TRUNC($AC$2:AC795))),2))</f>
        <v/>
      </c>
    </row>
    <row r="796">
      <c r="O796" s="5" t="n"/>
      <c r="S796" s="6" t="n"/>
      <c r="V796" s="5" t="n"/>
      <c r="X796" s="5" t="n"/>
      <c r="AC796" s="6" t="n"/>
      <c r="AD796" s="6" t="n"/>
      <c r="AE796" s="7">
        <f>IF(X796="","",ROUND('Opening Balance'!$B$4+SUM($AC$2:AC796)-SUM($AD$2:AD796)+SUMPRODUCT(($Q$2:$Q$1501="Collection 收款")*($R$2:$R$1501="Cheque 支票")*($V$2:$V$1501&lt;&gt;"")*($V$2:$V$1501&lt;=X796)*($S$2:$S$1501-'Opening Balance'!$B$15*($R$2:$R$1501="Cheque 支票")*($S$2:$S$1501-TRUNC($S$2:$S$1501))))-'Opening Balance'!$B$15*SUMPRODUCT(($Z$2:Z796="Online collection 网上收款")*($AA$2:AA796&lt;&gt;"")*($AC$2:AC796-TRUNC($AC$2:AC796))),2))</f>
        <v/>
      </c>
    </row>
    <row r="797">
      <c r="O797" s="5" t="n"/>
      <c r="S797" s="6" t="n"/>
      <c r="V797" s="5" t="n"/>
      <c r="X797" s="5" t="n"/>
      <c r="AC797" s="6" t="n"/>
      <c r="AD797" s="6" t="n"/>
      <c r="AE797" s="7">
        <f>IF(X797="","",ROUND('Opening Balance'!$B$4+SUM($AC$2:AC797)-SUM($AD$2:AD797)+SUMPRODUCT(($Q$2:$Q$1501="Collection 收款")*($R$2:$R$1501="Cheque 支票")*($V$2:$V$1501&lt;&gt;"")*($V$2:$V$1501&lt;=X797)*($S$2:$S$1501-'Opening Balance'!$B$15*($R$2:$R$1501="Cheque 支票")*($S$2:$S$1501-TRUNC($S$2:$S$1501))))-'Opening Balance'!$B$15*SUMPRODUCT(($Z$2:Z797="Online collection 网上收款")*($AA$2:AA797&lt;&gt;"")*($AC$2:AC797-TRUNC($AC$2:AC797))),2))</f>
        <v/>
      </c>
    </row>
    <row r="798">
      <c r="O798" s="5" t="n"/>
      <c r="S798" s="6" t="n"/>
      <c r="V798" s="5" t="n"/>
      <c r="X798" s="5" t="n"/>
      <c r="AC798" s="6" t="n"/>
      <c r="AD798" s="6" t="n"/>
      <c r="AE798" s="7">
        <f>IF(X798="","",ROUND('Opening Balance'!$B$4+SUM($AC$2:AC798)-SUM($AD$2:AD798)+SUMPRODUCT(($Q$2:$Q$1501="Collection 收款")*($R$2:$R$1501="Cheque 支票")*($V$2:$V$1501&lt;&gt;"")*($V$2:$V$1501&lt;=X798)*($S$2:$S$1501-'Opening Balance'!$B$15*($R$2:$R$1501="Cheque 支票")*($S$2:$S$1501-TRUNC($S$2:$S$1501))))-'Opening Balance'!$B$15*SUMPRODUCT(($Z$2:Z798="Online collection 网上收款")*($AA$2:AA798&lt;&gt;"")*($AC$2:AC798-TRUNC($AC$2:AC798))),2))</f>
        <v/>
      </c>
    </row>
    <row r="799">
      <c r="O799" s="5" t="n"/>
      <c r="S799" s="6" t="n"/>
      <c r="V799" s="5" t="n"/>
      <c r="X799" s="5" t="n"/>
      <c r="AC799" s="6" t="n"/>
      <c r="AD799" s="6" t="n"/>
      <c r="AE799" s="7">
        <f>IF(X799="","",ROUND('Opening Balance'!$B$4+SUM($AC$2:AC799)-SUM($AD$2:AD799)+SUMPRODUCT(($Q$2:$Q$1501="Collection 收款")*($R$2:$R$1501="Cheque 支票")*($V$2:$V$1501&lt;&gt;"")*($V$2:$V$1501&lt;=X799)*($S$2:$S$1501-'Opening Balance'!$B$15*($R$2:$R$1501="Cheque 支票")*($S$2:$S$1501-TRUNC($S$2:$S$1501))))-'Opening Balance'!$B$15*SUMPRODUCT(($Z$2:Z799="Online collection 网上收款")*($AA$2:AA799&lt;&gt;"")*($AC$2:AC799-TRUNC($AC$2:AC799))),2))</f>
        <v/>
      </c>
    </row>
    <row r="800">
      <c r="O800" s="5" t="n"/>
      <c r="S800" s="6" t="n"/>
      <c r="V800" s="5" t="n"/>
      <c r="X800" s="5" t="n"/>
      <c r="AC800" s="6" t="n"/>
      <c r="AD800" s="6" t="n"/>
      <c r="AE800" s="7">
        <f>IF(X800="","",ROUND('Opening Balance'!$B$4+SUM($AC$2:AC800)-SUM($AD$2:AD800)+SUMPRODUCT(($Q$2:$Q$1501="Collection 收款")*($R$2:$R$1501="Cheque 支票")*($V$2:$V$1501&lt;&gt;"")*($V$2:$V$1501&lt;=X800)*($S$2:$S$1501-'Opening Balance'!$B$15*($R$2:$R$1501="Cheque 支票")*($S$2:$S$1501-TRUNC($S$2:$S$1501))))-'Opening Balance'!$B$15*SUMPRODUCT(($Z$2:Z800="Online collection 网上收款")*($AA$2:AA800&lt;&gt;"")*($AC$2:AC800-TRUNC($AC$2:AC800))),2))</f>
        <v/>
      </c>
    </row>
    <row r="801">
      <c r="O801" s="5" t="n"/>
      <c r="S801" s="6" t="n"/>
      <c r="V801" s="5" t="n"/>
      <c r="X801" s="5" t="n"/>
      <c r="AC801" s="6" t="n"/>
      <c r="AD801" s="6" t="n"/>
      <c r="AE801" s="7">
        <f>IF(X801="","",ROUND('Opening Balance'!$B$4+SUM($AC$2:AC801)-SUM($AD$2:AD801)+SUMPRODUCT(($Q$2:$Q$1501="Collection 收款")*($R$2:$R$1501="Cheque 支票")*($V$2:$V$1501&lt;&gt;"")*($V$2:$V$1501&lt;=X801)*($S$2:$S$1501-'Opening Balance'!$B$15*($R$2:$R$1501="Cheque 支票")*($S$2:$S$1501-TRUNC($S$2:$S$1501))))-'Opening Balance'!$B$15*SUMPRODUCT(($Z$2:Z801="Online collection 网上收款")*($AA$2:AA801&lt;&gt;"")*($AC$2:AC801-TRUNC($AC$2:AC801))),2))</f>
        <v/>
      </c>
    </row>
    <row r="802">
      <c r="O802" s="5" t="n"/>
      <c r="S802" s="6" t="n"/>
      <c r="V802" s="5" t="n"/>
      <c r="X802" s="5" t="n"/>
      <c r="AC802" s="6" t="n"/>
      <c r="AD802" s="6" t="n"/>
      <c r="AE802" s="7">
        <f>IF(X802="","",ROUND('Opening Balance'!$B$4+SUM($AC$2:AC802)-SUM($AD$2:AD802)+SUMPRODUCT(($Q$2:$Q$1501="Collection 收款")*($R$2:$R$1501="Cheque 支票")*($V$2:$V$1501&lt;&gt;"")*($V$2:$V$1501&lt;=X802)*($S$2:$S$1501-'Opening Balance'!$B$15*($R$2:$R$1501="Cheque 支票")*($S$2:$S$1501-TRUNC($S$2:$S$1501))))-'Opening Balance'!$B$15*SUMPRODUCT(($Z$2:Z802="Online collection 网上收款")*($AA$2:AA802&lt;&gt;"")*($AC$2:AC802-TRUNC($AC$2:AC802))),2))</f>
        <v/>
      </c>
    </row>
    <row r="803">
      <c r="O803" s="5" t="n"/>
      <c r="S803" s="6" t="n"/>
      <c r="V803" s="5" t="n"/>
      <c r="X803" s="5" t="n"/>
      <c r="AC803" s="6" t="n"/>
      <c r="AD803" s="6" t="n"/>
      <c r="AE803" s="7">
        <f>IF(X803="","",ROUND('Opening Balance'!$B$4+SUM($AC$2:AC803)-SUM($AD$2:AD803)+SUMPRODUCT(($Q$2:$Q$1501="Collection 收款")*($R$2:$R$1501="Cheque 支票")*($V$2:$V$1501&lt;&gt;"")*($V$2:$V$1501&lt;=X803)*($S$2:$S$1501-'Opening Balance'!$B$15*($R$2:$R$1501="Cheque 支票")*($S$2:$S$1501-TRUNC($S$2:$S$1501))))-'Opening Balance'!$B$15*SUMPRODUCT(($Z$2:Z803="Online collection 网上收款")*($AA$2:AA803&lt;&gt;"")*($AC$2:AC803-TRUNC($AC$2:AC803))),2))</f>
        <v/>
      </c>
    </row>
    <row r="804">
      <c r="O804" s="5" t="n"/>
      <c r="S804" s="6" t="n"/>
      <c r="V804" s="5" t="n"/>
      <c r="X804" s="5" t="n"/>
      <c r="AC804" s="6" t="n"/>
      <c r="AD804" s="6" t="n"/>
      <c r="AE804" s="7">
        <f>IF(X804="","",ROUND('Opening Balance'!$B$4+SUM($AC$2:AC804)-SUM($AD$2:AD804)+SUMPRODUCT(($Q$2:$Q$1501="Collection 收款")*($R$2:$R$1501="Cheque 支票")*($V$2:$V$1501&lt;&gt;"")*($V$2:$V$1501&lt;=X804)*($S$2:$S$1501-'Opening Balance'!$B$15*($R$2:$R$1501="Cheque 支票")*($S$2:$S$1501-TRUNC($S$2:$S$1501))))-'Opening Balance'!$B$15*SUMPRODUCT(($Z$2:Z804="Online collection 网上收款")*($AA$2:AA804&lt;&gt;"")*($AC$2:AC804-TRUNC($AC$2:AC804))),2))</f>
        <v/>
      </c>
    </row>
    <row r="805">
      <c r="O805" s="5" t="n"/>
      <c r="S805" s="6" t="n"/>
      <c r="V805" s="5" t="n"/>
      <c r="X805" s="5" t="n"/>
      <c r="AC805" s="6" t="n"/>
      <c r="AD805" s="6" t="n"/>
      <c r="AE805" s="7">
        <f>IF(X805="","",ROUND('Opening Balance'!$B$4+SUM($AC$2:AC805)-SUM($AD$2:AD805)+SUMPRODUCT(($Q$2:$Q$1501="Collection 收款")*($R$2:$R$1501="Cheque 支票")*($V$2:$V$1501&lt;&gt;"")*($V$2:$V$1501&lt;=X805)*($S$2:$S$1501-'Opening Balance'!$B$15*($R$2:$R$1501="Cheque 支票")*($S$2:$S$1501-TRUNC($S$2:$S$1501))))-'Opening Balance'!$B$15*SUMPRODUCT(($Z$2:Z805="Online collection 网上收款")*($AA$2:AA805&lt;&gt;"")*($AC$2:AC805-TRUNC($AC$2:AC805))),2))</f>
        <v/>
      </c>
    </row>
    <row r="806">
      <c r="O806" s="5" t="n"/>
      <c r="S806" s="6" t="n"/>
      <c r="V806" s="5" t="n"/>
      <c r="X806" s="5" t="n"/>
      <c r="AC806" s="6" t="n"/>
      <c r="AD806" s="6" t="n"/>
      <c r="AE806" s="7">
        <f>IF(X806="","",ROUND('Opening Balance'!$B$4+SUM($AC$2:AC806)-SUM($AD$2:AD806)+SUMPRODUCT(($Q$2:$Q$1501="Collection 收款")*($R$2:$R$1501="Cheque 支票")*($V$2:$V$1501&lt;&gt;"")*($V$2:$V$1501&lt;=X806)*($S$2:$S$1501-'Opening Balance'!$B$15*($R$2:$R$1501="Cheque 支票")*($S$2:$S$1501-TRUNC($S$2:$S$1501))))-'Opening Balance'!$B$15*SUMPRODUCT(($Z$2:Z806="Online collection 网上收款")*($AA$2:AA806&lt;&gt;"")*($AC$2:AC806-TRUNC($AC$2:AC806))),2))</f>
        <v/>
      </c>
    </row>
    <row r="807">
      <c r="O807" s="5" t="n"/>
      <c r="S807" s="6" t="n"/>
      <c r="V807" s="5" t="n"/>
      <c r="X807" s="5" t="n"/>
      <c r="AC807" s="6" t="n"/>
      <c r="AD807" s="6" t="n"/>
      <c r="AE807" s="7">
        <f>IF(X807="","",ROUND('Opening Balance'!$B$4+SUM($AC$2:AC807)-SUM($AD$2:AD807)+SUMPRODUCT(($Q$2:$Q$1501="Collection 收款")*($R$2:$R$1501="Cheque 支票")*($V$2:$V$1501&lt;&gt;"")*($V$2:$V$1501&lt;=X807)*($S$2:$S$1501-'Opening Balance'!$B$15*($R$2:$R$1501="Cheque 支票")*($S$2:$S$1501-TRUNC($S$2:$S$1501))))-'Opening Balance'!$B$15*SUMPRODUCT(($Z$2:Z807="Online collection 网上收款")*($AA$2:AA807&lt;&gt;"")*($AC$2:AC807-TRUNC($AC$2:AC807))),2))</f>
        <v/>
      </c>
    </row>
    <row r="808">
      <c r="O808" s="5" t="n"/>
      <c r="S808" s="6" t="n"/>
      <c r="V808" s="5" t="n"/>
      <c r="X808" s="5" t="n"/>
      <c r="AC808" s="6" t="n"/>
      <c r="AD808" s="6" t="n"/>
      <c r="AE808" s="7">
        <f>IF(X808="","",ROUND('Opening Balance'!$B$4+SUM($AC$2:AC808)-SUM($AD$2:AD808)+SUMPRODUCT(($Q$2:$Q$1501="Collection 收款")*($R$2:$R$1501="Cheque 支票")*($V$2:$V$1501&lt;&gt;"")*($V$2:$V$1501&lt;=X808)*($S$2:$S$1501-'Opening Balance'!$B$15*($R$2:$R$1501="Cheque 支票")*($S$2:$S$1501-TRUNC($S$2:$S$1501))))-'Opening Balance'!$B$15*SUMPRODUCT(($Z$2:Z808="Online collection 网上收款")*($AA$2:AA808&lt;&gt;"")*($AC$2:AC808-TRUNC($AC$2:AC808))),2))</f>
        <v/>
      </c>
    </row>
    <row r="809">
      <c r="O809" s="5" t="n"/>
      <c r="S809" s="6" t="n"/>
      <c r="V809" s="5" t="n"/>
      <c r="X809" s="5" t="n"/>
      <c r="AC809" s="6" t="n"/>
      <c r="AD809" s="6" t="n"/>
      <c r="AE809" s="7">
        <f>IF(X809="","",ROUND('Opening Balance'!$B$4+SUM($AC$2:AC809)-SUM($AD$2:AD809)+SUMPRODUCT(($Q$2:$Q$1501="Collection 收款")*($R$2:$R$1501="Cheque 支票")*($V$2:$V$1501&lt;&gt;"")*($V$2:$V$1501&lt;=X809)*($S$2:$S$1501-'Opening Balance'!$B$15*($R$2:$R$1501="Cheque 支票")*($S$2:$S$1501-TRUNC($S$2:$S$1501))))-'Opening Balance'!$B$15*SUMPRODUCT(($Z$2:Z809="Online collection 网上收款")*($AA$2:AA809&lt;&gt;"")*($AC$2:AC809-TRUNC($AC$2:AC809))),2))</f>
        <v/>
      </c>
    </row>
    <row r="810">
      <c r="O810" s="5" t="n"/>
      <c r="S810" s="6" t="n"/>
      <c r="V810" s="5" t="n"/>
      <c r="X810" s="5" t="n"/>
      <c r="AC810" s="6" t="n"/>
      <c r="AD810" s="6" t="n"/>
      <c r="AE810" s="7">
        <f>IF(X810="","",ROUND('Opening Balance'!$B$4+SUM($AC$2:AC810)-SUM($AD$2:AD810)+SUMPRODUCT(($Q$2:$Q$1501="Collection 收款")*($R$2:$R$1501="Cheque 支票")*($V$2:$V$1501&lt;&gt;"")*($V$2:$V$1501&lt;=X810)*($S$2:$S$1501-'Opening Balance'!$B$15*($R$2:$R$1501="Cheque 支票")*($S$2:$S$1501-TRUNC($S$2:$S$1501))))-'Opening Balance'!$B$15*SUMPRODUCT(($Z$2:Z810="Online collection 网上收款")*($AA$2:AA810&lt;&gt;"")*($AC$2:AC810-TRUNC($AC$2:AC810))),2))</f>
        <v/>
      </c>
    </row>
    <row r="811">
      <c r="O811" s="5" t="n"/>
      <c r="S811" s="6" t="n"/>
      <c r="V811" s="5" t="n"/>
      <c r="X811" s="5" t="n"/>
      <c r="AC811" s="6" t="n"/>
      <c r="AD811" s="6" t="n"/>
      <c r="AE811" s="7">
        <f>IF(X811="","",ROUND('Opening Balance'!$B$4+SUM($AC$2:AC811)-SUM($AD$2:AD811)+SUMPRODUCT(($Q$2:$Q$1501="Collection 收款")*($R$2:$R$1501="Cheque 支票")*($V$2:$V$1501&lt;&gt;"")*($V$2:$V$1501&lt;=X811)*($S$2:$S$1501-'Opening Balance'!$B$15*($R$2:$R$1501="Cheque 支票")*($S$2:$S$1501-TRUNC($S$2:$S$1501))))-'Opening Balance'!$B$15*SUMPRODUCT(($Z$2:Z811="Online collection 网上收款")*($AA$2:AA811&lt;&gt;"")*($AC$2:AC811-TRUNC($AC$2:AC811))),2))</f>
        <v/>
      </c>
    </row>
    <row r="812">
      <c r="O812" s="5" t="n"/>
      <c r="S812" s="6" t="n"/>
      <c r="V812" s="5" t="n"/>
      <c r="X812" s="5" t="n"/>
      <c r="AC812" s="6" t="n"/>
      <c r="AD812" s="6" t="n"/>
      <c r="AE812" s="7">
        <f>IF(X812="","",ROUND('Opening Balance'!$B$4+SUM($AC$2:AC812)-SUM($AD$2:AD812)+SUMPRODUCT(($Q$2:$Q$1501="Collection 收款")*($R$2:$R$1501="Cheque 支票")*($V$2:$V$1501&lt;&gt;"")*($V$2:$V$1501&lt;=X812)*($S$2:$S$1501-'Opening Balance'!$B$15*($R$2:$R$1501="Cheque 支票")*($S$2:$S$1501-TRUNC($S$2:$S$1501))))-'Opening Balance'!$B$15*SUMPRODUCT(($Z$2:Z812="Online collection 网上收款")*($AA$2:AA812&lt;&gt;"")*($AC$2:AC812-TRUNC($AC$2:AC812))),2))</f>
        <v/>
      </c>
    </row>
    <row r="813">
      <c r="O813" s="5" t="n"/>
      <c r="S813" s="6" t="n"/>
      <c r="V813" s="5" t="n"/>
      <c r="X813" s="5" t="n"/>
      <c r="AC813" s="6" t="n"/>
      <c r="AD813" s="6" t="n"/>
      <c r="AE813" s="7">
        <f>IF(X813="","",ROUND('Opening Balance'!$B$4+SUM($AC$2:AC813)-SUM($AD$2:AD813)+SUMPRODUCT(($Q$2:$Q$1501="Collection 收款")*($R$2:$R$1501="Cheque 支票")*($V$2:$V$1501&lt;&gt;"")*($V$2:$V$1501&lt;=X813)*($S$2:$S$1501-'Opening Balance'!$B$15*($R$2:$R$1501="Cheque 支票")*($S$2:$S$1501-TRUNC($S$2:$S$1501))))-'Opening Balance'!$B$15*SUMPRODUCT(($Z$2:Z813="Online collection 网上收款")*($AA$2:AA813&lt;&gt;"")*($AC$2:AC813-TRUNC($AC$2:AC813))),2))</f>
        <v/>
      </c>
    </row>
    <row r="814">
      <c r="O814" s="5" t="n"/>
      <c r="S814" s="6" t="n"/>
      <c r="V814" s="5" t="n"/>
      <c r="X814" s="5" t="n"/>
      <c r="AC814" s="6" t="n"/>
      <c r="AD814" s="6" t="n"/>
      <c r="AE814" s="7">
        <f>IF(X814="","",ROUND('Opening Balance'!$B$4+SUM($AC$2:AC814)-SUM($AD$2:AD814)+SUMPRODUCT(($Q$2:$Q$1501="Collection 收款")*($R$2:$R$1501="Cheque 支票")*($V$2:$V$1501&lt;&gt;"")*($V$2:$V$1501&lt;=X814)*($S$2:$S$1501-'Opening Balance'!$B$15*($R$2:$R$1501="Cheque 支票")*($S$2:$S$1501-TRUNC($S$2:$S$1501))))-'Opening Balance'!$B$15*SUMPRODUCT(($Z$2:Z814="Online collection 网上收款")*($AA$2:AA814&lt;&gt;"")*($AC$2:AC814-TRUNC($AC$2:AC814))),2))</f>
        <v/>
      </c>
    </row>
    <row r="815">
      <c r="O815" s="5" t="n"/>
      <c r="S815" s="6" t="n"/>
      <c r="V815" s="5" t="n"/>
      <c r="X815" s="5" t="n"/>
      <c r="AC815" s="6" t="n"/>
      <c r="AD815" s="6" t="n"/>
      <c r="AE815" s="7">
        <f>IF(X815="","",ROUND('Opening Balance'!$B$4+SUM($AC$2:AC815)-SUM($AD$2:AD815)+SUMPRODUCT(($Q$2:$Q$1501="Collection 收款")*($R$2:$R$1501="Cheque 支票")*($V$2:$V$1501&lt;&gt;"")*($V$2:$V$1501&lt;=X815)*($S$2:$S$1501-'Opening Balance'!$B$15*($R$2:$R$1501="Cheque 支票")*($S$2:$S$1501-TRUNC($S$2:$S$1501))))-'Opening Balance'!$B$15*SUMPRODUCT(($Z$2:Z815="Online collection 网上收款")*($AA$2:AA815&lt;&gt;"")*($AC$2:AC815-TRUNC($AC$2:AC815))),2))</f>
        <v/>
      </c>
    </row>
    <row r="816">
      <c r="O816" s="5" t="n"/>
      <c r="S816" s="6" t="n"/>
      <c r="V816" s="5" t="n"/>
      <c r="X816" s="5" t="n"/>
      <c r="AC816" s="6" t="n"/>
      <c r="AD816" s="6" t="n"/>
      <c r="AE816" s="7">
        <f>IF(X816="","",ROUND('Opening Balance'!$B$4+SUM($AC$2:AC816)-SUM($AD$2:AD816)+SUMPRODUCT(($Q$2:$Q$1501="Collection 收款")*($R$2:$R$1501="Cheque 支票")*($V$2:$V$1501&lt;&gt;"")*($V$2:$V$1501&lt;=X816)*($S$2:$S$1501-'Opening Balance'!$B$15*($R$2:$R$1501="Cheque 支票")*($S$2:$S$1501-TRUNC($S$2:$S$1501))))-'Opening Balance'!$B$15*SUMPRODUCT(($Z$2:Z816="Online collection 网上收款")*($AA$2:AA816&lt;&gt;"")*($AC$2:AC816-TRUNC($AC$2:AC816))),2))</f>
        <v/>
      </c>
    </row>
    <row r="817">
      <c r="O817" s="5" t="n"/>
      <c r="S817" s="6" t="n"/>
      <c r="V817" s="5" t="n"/>
      <c r="X817" s="5" t="n"/>
      <c r="AC817" s="6" t="n"/>
      <c r="AD817" s="6" t="n"/>
      <c r="AE817" s="7">
        <f>IF(X817="","",ROUND('Opening Balance'!$B$4+SUM($AC$2:AC817)-SUM($AD$2:AD817)+SUMPRODUCT(($Q$2:$Q$1501="Collection 收款")*($R$2:$R$1501="Cheque 支票")*($V$2:$V$1501&lt;&gt;"")*($V$2:$V$1501&lt;=X817)*($S$2:$S$1501-'Opening Balance'!$B$15*($R$2:$R$1501="Cheque 支票")*($S$2:$S$1501-TRUNC($S$2:$S$1501))))-'Opening Balance'!$B$15*SUMPRODUCT(($Z$2:Z817="Online collection 网上收款")*($AA$2:AA817&lt;&gt;"")*($AC$2:AC817-TRUNC($AC$2:AC817))),2))</f>
        <v/>
      </c>
    </row>
    <row r="818">
      <c r="O818" s="5" t="n"/>
      <c r="S818" s="6" t="n"/>
      <c r="V818" s="5" t="n"/>
      <c r="X818" s="5" t="n"/>
      <c r="AC818" s="6" t="n"/>
      <c r="AD818" s="6" t="n"/>
      <c r="AE818" s="7">
        <f>IF(X818="","",ROUND('Opening Balance'!$B$4+SUM($AC$2:AC818)-SUM($AD$2:AD818)+SUMPRODUCT(($Q$2:$Q$1501="Collection 收款")*($R$2:$R$1501="Cheque 支票")*($V$2:$V$1501&lt;&gt;"")*($V$2:$V$1501&lt;=X818)*($S$2:$S$1501-'Opening Balance'!$B$15*($R$2:$R$1501="Cheque 支票")*($S$2:$S$1501-TRUNC($S$2:$S$1501))))-'Opening Balance'!$B$15*SUMPRODUCT(($Z$2:Z818="Online collection 网上收款")*($AA$2:AA818&lt;&gt;"")*($AC$2:AC818-TRUNC($AC$2:AC818))),2))</f>
        <v/>
      </c>
    </row>
    <row r="819">
      <c r="O819" s="5" t="n"/>
      <c r="S819" s="6" t="n"/>
      <c r="V819" s="5" t="n"/>
      <c r="X819" s="5" t="n"/>
      <c r="AC819" s="6" t="n"/>
      <c r="AD819" s="6" t="n"/>
      <c r="AE819" s="7">
        <f>IF(X819="","",ROUND('Opening Balance'!$B$4+SUM($AC$2:AC819)-SUM($AD$2:AD819)+SUMPRODUCT(($Q$2:$Q$1501="Collection 收款")*($R$2:$R$1501="Cheque 支票")*($V$2:$V$1501&lt;&gt;"")*($V$2:$V$1501&lt;=X819)*($S$2:$S$1501-'Opening Balance'!$B$15*($R$2:$R$1501="Cheque 支票")*($S$2:$S$1501-TRUNC($S$2:$S$1501))))-'Opening Balance'!$B$15*SUMPRODUCT(($Z$2:Z819="Online collection 网上收款")*($AA$2:AA819&lt;&gt;"")*($AC$2:AC819-TRUNC($AC$2:AC819))),2))</f>
        <v/>
      </c>
    </row>
    <row r="820">
      <c r="O820" s="5" t="n"/>
      <c r="S820" s="6" t="n"/>
      <c r="V820" s="5" t="n"/>
      <c r="X820" s="5" t="n"/>
      <c r="AC820" s="6" t="n"/>
      <c r="AD820" s="6" t="n"/>
      <c r="AE820" s="7">
        <f>IF(X820="","",ROUND('Opening Balance'!$B$4+SUM($AC$2:AC820)-SUM($AD$2:AD820)+SUMPRODUCT(($Q$2:$Q$1501="Collection 收款")*($R$2:$R$1501="Cheque 支票")*($V$2:$V$1501&lt;&gt;"")*($V$2:$V$1501&lt;=X820)*($S$2:$S$1501-'Opening Balance'!$B$15*($R$2:$R$1501="Cheque 支票")*($S$2:$S$1501-TRUNC($S$2:$S$1501))))-'Opening Balance'!$B$15*SUMPRODUCT(($Z$2:Z820="Online collection 网上收款")*($AA$2:AA820&lt;&gt;"")*($AC$2:AC820-TRUNC($AC$2:AC820))),2))</f>
        <v/>
      </c>
    </row>
    <row r="821">
      <c r="O821" s="5" t="n"/>
      <c r="S821" s="6" t="n"/>
      <c r="V821" s="5" t="n"/>
      <c r="X821" s="5" t="n"/>
      <c r="AC821" s="6" t="n"/>
      <c r="AD821" s="6" t="n"/>
      <c r="AE821" s="7">
        <f>IF(X821="","",ROUND('Opening Balance'!$B$4+SUM($AC$2:AC821)-SUM($AD$2:AD821)+SUMPRODUCT(($Q$2:$Q$1501="Collection 收款")*($R$2:$R$1501="Cheque 支票")*($V$2:$V$1501&lt;&gt;"")*($V$2:$V$1501&lt;=X821)*($S$2:$S$1501-'Opening Balance'!$B$15*($R$2:$R$1501="Cheque 支票")*($S$2:$S$1501-TRUNC($S$2:$S$1501))))-'Opening Balance'!$B$15*SUMPRODUCT(($Z$2:Z821="Online collection 网上收款")*($AA$2:AA821&lt;&gt;"")*($AC$2:AC821-TRUNC($AC$2:AC821))),2))</f>
        <v/>
      </c>
    </row>
    <row r="822">
      <c r="O822" s="5" t="n"/>
      <c r="S822" s="6" t="n"/>
      <c r="V822" s="5" t="n"/>
      <c r="X822" s="5" t="n"/>
      <c r="AC822" s="6" t="n"/>
      <c r="AD822" s="6" t="n"/>
      <c r="AE822" s="7">
        <f>IF(X822="","",ROUND('Opening Balance'!$B$4+SUM($AC$2:AC822)-SUM($AD$2:AD822)+SUMPRODUCT(($Q$2:$Q$1501="Collection 收款")*($R$2:$R$1501="Cheque 支票")*($V$2:$V$1501&lt;&gt;"")*($V$2:$V$1501&lt;=X822)*($S$2:$S$1501-'Opening Balance'!$B$15*($R$2:$R$1501="Cheque 支票")*($S$2:$S$1501-TRUNC($S$2:$S$1501))))-'Opening Balance'!$B$15*SUMPRODUCT(($Z$2:Z822="Online collection 网上收款")*($AA$2:AA822&lt;&gt;"")*($AC$2:AC822-TRUNC($AC$2:AC822))),2))</f>
        <v/>
      </c>
    </row>
    <row r="823">
      <c r="O823" s="5" t="n"/>
      <c r="S823" s="6" t="n"/>
      <c r="V823" s="5" t="n"/>
      <c r="X823" s="5" t="n"/>
      <c r="AC823" s="6" t="n"/>
      <c r="AD823" s="6" t="n"/>
      <c r="AE823" s="7">
        <f>IF(X823="","",ROUND('Opening Balance'!$B$4+SUM($AC$2:AC823)-SUM($AD$2:AD823)+SUMPRODUCT(($Q$2:$Q$1501="Collection 收款")*($R$2:$R$1501="Cheque 支票")*($V$2:$V$1501&lt;&gt;"")*($V$2:$V$1501&lt;=X823)*($S$2:$S$1501-'Opening Balance'!$B$15*($R$2:$R$1501="Cheque 支票")*($S$2:$S$1501-TRUNC($S$2:$S$1501))))-'Opening Balance'!$B$15*SUMPRODUCT(($Z$2:Z823="Online collection 网上收款")*($AA$2:AA823&lt;&gt;"")*($AC$2:AC823-TRUNC($AC$2:AC823))),2))</f>
        <v/>
      </c>
    </row>
    <row r="824">
      <c r="O824" s="5" t="n"/>
      <c r="S824" s="6" t="n"/>
      <c r="V824" s="5" t="n"/>
      <c r="X824" s="5" t="n"/>
      <c r="AC824" s="6" t="n"/>
      <c r="AD824" s="6" t="n"/>
      <c r="AE824" s="7">
        <f>IF(X824="","",ROUND('Opening Balance'!$B$4+SUM($AC$2:AC824)-SUM($AD$2:AD824)+SUMPRODUCT(($Q$2:$Q$1501="Collection 收款")*($R$2:$R$1501="Cheque 支票")*($V$2:$V$1501&lt;&gt;"")*($V$2:$V$1501&lt;=X824)*($S$2:$S$1501-'Opening Balance'!$B$15*($R$2:$R$1501="Cheque 支票")*($S$2:$S$1501-TRUNC($S$2:$S$1501))))-'Opening Balance'!$B$15*SUMPRODUCT(($Z$2:Z824="Online collection 网上收款")*($AA$2:AA824&lt;&gt;"")*($AC$2:AC824-TRUNC($AC$2:AC824))),2))</f>
        <v/>
      </c>
    </row>
    <row r="825">
      <c r="O825" s="5" t="n"/>
      <c r="S825" s="6" t="n"/>
      <c r="V825" s="5" t="n"/>
      <c r="X825" s="5" t="n"/>
      <c r="AC825" s="6" t="n"/>
      <c r="AD825" s="6" t="n"/>
      <c r="AE825" s="7">
        <f>IF(X825="","",ROUND('Opening Balance'!$B$4+SUM($AC$2:AC825)-SUM($AD$2:AD825)+SUMPRODUCT(($Q$2:$Q$1501="Collection 收款")*($R$2:$R$1501="Cheque 支票")*($V$2:$V$1501&lt;&gt;"")*($V$2:$V$1501&lt;=X825)*($S$2:$S$1501-'Opening Balance'!$B$15*($R$2:$R$1501="Cheque 支票")*($S$2:$S$1501-TRUNC($S$2:$S$1501))))-'Opening Balance'!$B$15*SUMPRODUCT(($Z$2:Z825="Online collection 网上收款")*($AA$2:AA825&lt;&gt;"")*($AC$2:AC825-TRUNC($AC$2:AC825))),2))</f>
        <v/>
      </c>
    </row>
    <row r="826">
      <c r="O826" s="5" t="n"/>
      <c r="S826" s="6" t="n"/>
      <c r="V826" s="5" t="n"/>
      <c r="X826" s="5" t="n"/>
      <c r="AC826" s="6" t="n"/>
      <c r="AD826" s="6" t="n"/>
      <c r="AE826" s="7">
        <f>IF(X826="","",ROUND('Opening Balance'!$B$4+SUM($AC$2:AC826)-SUM($AD$2:AD826)+SUMPRODUCT(($Q$2:$Q$1501="Collection 收款")*($R$2:$R$1501="Cheque 支票")*($V$2:$V$1501&lt;&gt;"")*($V$2:$V$1501&lt;=X826)*($S$2:$S$1501-'Opening Balance'!$B$15*($R$2:$R$1501="Cheque 支票")*($S$2:$S$1501-TRUNC($S$2:$S$1501))))-'Opening Balance'!$B$15*SUMPRODUCT(($Z$2:Z826="Online collection 网上收款")*($AA$2:AA826&lt;&gt;"")*($AC$2:AC826-TRUNC($AC$2:AC826))),2))</f>
        <v/>
      </c>
    </row>
    <row r="827">
      <c r="O827" s="5" t="n"/>
      <c r="S827" s="6" t="n"/>
      <c r="V827" s="5" t="n"/>
      <c r="X827" s="5" t="n"/>
      <c r="AC827" s="6" t="n"/>
      <c r="AD827" s="6" t="n"/>
      <c r="AE827" s="7">
        <f>IF(X827="","",ROUND('Opening Balance'!$B$4+SUM($AC$2:AC827)-SUM($AD$2:AD827)+SUMPRODUCT(($Q$2:$Q$1501="Collection 收款")*($R$2:$R$1501="Cheque 支票")*($V$2:$V$1501&lt;&gt;"")*($V$2:$V$1501&lt;=X827)*($S$2:$S$1501-'Opening Balance'!$B$15*($R$2:$R$1501="Cheque 支票")*($S$2:$S$1501-TRUNC($S$2:$S$1501))))-'Opening Balance'!$B$15*SUMPRODUCT(($Z$2:Z827="Online collection 网上收款")*($AA$2:AA827&lt;&gt;"")*($AC$2:AC827-TRUNC($AC$2:AC827))),2))</f>
        <v/>
      </c>
    </row>
    <row r="828">
      <c r="O828" s="5" t="n"/>
      <c r="S828" s="6" t="n"/>
      <c r="V828" s="5" t="n"/>
      <c r="X828" s="5" t="n"/>
      <c r="AC828" s="6" t="n"/>
      <c r="AD828" s="6" t="n"/>
      <c r="AE828" s="7">
        <f>IF(X828="","",ROUND('Opening Balance'!$B$4+SUM($AC$2:AC828)-SUM($AD$2:AD828)+SUMPRODUCT(($Q$2:$Q$1501="Collection 收款")*($R$2:$R$1501="Cheque 支票")*($V$2:$V$1501&lt;&gt;"")*($V$2:$V$1501&lt;=X828)*($S$2:$S$1501-'Opening Balance'!$B$15*($R$2:$R$1501="Cheque 支票")*($S$2:$S$1501-TRUNC($S$2:$S$1501))))-'Opening Balance'!$B$15*SUMPRODUCT(($Z$2:Z828="Online collection 网上收款")*($AA$2:AA828&lt;&gt;"")*($AC$2:AC828-TRUNC($AC$2:AC828))),2))</f>
        <v/>
      </c>
    </row>
    <row r="829">
      <c r="O829" s="5" t="n"/>
      <c r="S829" s="6" t="n"/>
      <c r="V829" s="5" t="n"/>
      <c r="X829" s="5" t="n"/>
      <c r="AC829" s="6" t="n"/>
      <c r="AD829" s="6" t="n"/>
      <c r="AE829" s="7">
        <f>IF(X829="","",ROUND('Opening Balance'!$B$4+SUM($AC$2:AC829)-SUM($AD$2:AD829)+SUMPRODUCT(($Q$2:$Q$1501="Collection 收款")*($R$2:$R$1501="Cheque 支票")*($V$2:$V$1501&lt;&gt;"")*($V$2:$V$1501&lt;=X829)*($S$2:$S$1501-'Opening Balance'!$B$15*($R$2:$R$1501="Cheque 支票")*($S$2:$S$1501-TRUNC($S$2:$S$1501))))-'Opening Balance'!$B$15*SUMPRODUCT(($Z$2:Z829="Online collection 网上收款")*($AA$2:AA829&lt;&gt;"")*($AC$2:AC829-TRUNC($AC$2:AC829))),2))</f>
        <v/>
      </c>
    </row>
    <row r="830">
      <c r="O830" s="5" t="n"/>
      <c r="S830" s="6" t="n"/>
      <c r="V830" s="5" t="n"/>
      <c r="X830" s="5" t="n"/>
      <c r="AC830" s="6" t="n"/>
      <c r="AD830" s="6" t="n"/>
      <c r="AE830" s="7">
        <f>IF(X830="","",ROUND('Opening Balance'!$B$4+SUM($AC$2:AC830)-SUM($AD$2:AD830)+SUMPRODUCT(($Q$2:$Q$1501="Collection 收款")*($R$2:$R$1501="Cheque 支票")*($V$2:$V$1501&lt;&gt;"")*($V$2:$V$1501&lt;=X830)*($S$2:$S$1501-'Opening Balance'!$B$15*($R$2:$R$1501="Cheque 支票")*($S$2:$S$1501-TRUNC($S$2:$S$1501))))-'Opening Balance'!$B$15*SUMPRODUCT(($Z$2:Z830="Online collection 网上收款")*($AA$2:AA830&lt;&gt;"")*($AC$2:AC830-TRUNC($AC$2:AC830))),2))</f>
        <v/>
      </c>
    </row>
    <row r="831">
      <c r="O831" s="5" t="n"/>
      <c r="S831" s="6" t="n"/>
      <c r="V831" s="5" t="n"/>
      <c r="X831" s="5" t="n"/>
      <c r="AC831" s="6" t="n"/>
      <c r="AD831" s="6" t="n"/>
      <c r="AE831" s="7">
        <f>IF(X831="","",ROUND('Opening Balance'!$B$4+SUM($AC$2:AC831)-SUM($AD$2:AD831)+SUMPRODUCT(($Q$2:$Q$1501="Collection 收款")*($R$2:$R$1501="Cheque 支票")*($V$2:$V$1501&lt;&gt;"")*($V$2:$V$1501&lt;=X831)*($S$2:$S$1501-'Opening Balance'!$B$15*($R$2:$R$1501="Cheque 支票")*($S$2:$S$1501-TRUNC($S$2:$S$1501))))-'Opening Balance'!$B$15*SUMPRODUCT(($Z$2:Z831="Online collection 网上收款")*($AA$2:AA831&lt;&gt;"")*($AC$2:AC831-TRUNC($AC$2:AC831))),2))</f>
        <v/>
      </c>
    </row>
    <row r="832">
      <c r="O832" s="5" t="n"/>
      <c r="S832" s="6" t="n"/>
      <c r="V832" s="5" t="n"/>
      <c r="X832" s="5" t="n"/>
      <c r="AC832" s="6" t="n"/>
      <c r="AD832" s="6" t="n"/>
      <c r="AE832" s="7">
        <f>IF(X832="","",ROUND('Opening Balance'!$B$4+SUM($AC$2:AC832)-SUM($AD$2:AD832)+SUMPRODUCT(($Q$2:$Q$1501="Collection 收款")*($R$2:$R$1501="Cheque 支票")*($V$2:$V$1501&lt;&gt;"")*($V$2:$V$1501&lt;=X832)*($S$2:$S$1501-'Opening Balance'!$B$15*($R$2:$R$1501="Cheque 支票")*($S$2:$S$1501-TRUNC($S$2:$S$1501))))-'Opening Balance'!$B$15*SUMPRODUCT(($Z$2:Z832="Online collection 网上收款")*($AA$2:AA832&lt;&gt;"")*($AC$2:AC832-TRUNC($AC$2:AC832))),2))</f>
        <v/>
      </c>
    </row>
    <row r="833">
      <c r="O833" s="5" t="n"/>
      <c r="S833" s="6" t="n"/>
      <c r="V833" s="5" t="n"/>
      <c r="X833" s="5" t="n"/>
      <c r="AC833" s="6" t="n"/>
      <c r="AD833" s="6" t="n"/>
      <c r="AE833" s="7">
        <f>IF(X833="","",ROUND('Opening Balance'!$B$4+SUM($AC$2:AC833)-SUM($AD$2:AD833)+SUMPRODUCT(($Q$2:$Q$1501="Collection 收款")*($R$2:$R$1501="Cheque 支票")*($V$2:$V$1501&lt;&gt;"")*($V$2:$V$1501&lt;=X833)*($S$2:$S$1501-'Opening Balance'!$B$15*($R$2:$R$1501="Cheque 支票")*($S$2:$S$1501-TRUNC($S$2:$S$1501))))-'Opening Balance'!$B$15*SUMPRODUCT(($Z$2:Z833="Online collection 网上收款")*($AA$2:AA833&lt;&gt;"")*($AC$2:AC833-TRUNC($AC$2:AC833))),2))</f>
        <v/>
      </c>
    </row>
    <row r="834">
      <c r="O834" s="5" t="n"/>
      <c r="S834" s="6" t="n"/>
      <c r="V834" s="5" t="n"/>
      <c r="X834" s="5" t="n"/>
      <c r="AC834" s="6" t="n"/>
      <c r="AD834" s="6" t="n"/>
      <c r="AE834" s="7">
        <f>IF(X834="","",ROUND('Opening Balance'!$B$4+SUM($AC$2:AC834)-SUM($AD$2:AD834)+SUMPRODUCT(($Q$2:$Q$1501="Collection 收款")*($R$2:$R$1501="Cheque 支票")*($V$2:$V$1501&lt;&gt;"")*($V$2:$V$1501&lt;=X834)*($S$2:$S$1501-'Opening Balance'!$B$15*($R$2:$R$1501="Cheque 支票")*($S$2:$S$1501-TRUNC($S$2:$S$1501))))-'Opening Balance'!$B$15*SUMPRODUCT(($Z$2:Z834="Online collection 网上收款")*($AA$2:AA834&lt;&gt;"")*($AC$2:AC834-TRUNC($AC$2:AC834))),2))</f>
        <v/>
      </c>
    </row>
    <row r="835">
      <c r="O835" s="5" t="n"/>
      <c r="S835" s="6" t="n"/>
      <c r="V835" s="5" t="n"/>
      <c r="X835" s="5" t="n"/>
      <c r="AC835" s="6" t="n"/>
      <c r="AD835" s="6" t="n"/>
      <c r="AE835" s="7">
        <f>IF(X835="","",ROUND('Opening Balance'!$B$4+SUM($AC$2:AC835)-SUM($AD$2:AD835)+SUMPRODUCT(($Q$2:$Q$1501="Collection 收款")*($R$2:$R$1501="Cheque 支票")*($V$2:$V$1501&lt;&gt;"")*($V$2:$V$1501&lt;=X835)*($S$2:$S$1501-'Opening Balance'!$B$15*($R$2:$R$1501="Cheque 支票")*($S$2:$S$1501-TRUNC($S$2:$S$1501))))-'Opening Balance'!$B$15*SUMPRODUCT(($Z$2:Z835="Online collection 网上收款")*($AA$2:AA835&lt;&gt;"")*($AC$2:AC835-TRUNC($AC$2:AC835))),2))</f>
        <v/>
      </c>
    </row>
    <row r="836">
      <c r="O836" s="5" t="n"/>
      <c r="S836" s="6" t="n"/>
      <c r="V836" s="5" t="n"/>
      <c r="X836" s="5" t="n"/>
      <c r="AC836" s="6" t="n"/>
      <c r="AD836" s="6" t="n"/>
      <c r="AE836" s="7">
        <f>IF(X836="","",ROUND('Opening Balance'!$B$4+SUM($AC$2:AC836)-SUM($AD$2:AD836)+SUMPRODUCT(($Q$2:$Q$1501="Collection 收款")*($R$2:$R$1501="Cheque 支票")*($V$2:$V$1501&lt;&gt;"")*($V$2:$V$1501&lt;=X836)*($S$2:$S$1501-'Opening Balance'!$B$15*($R$2:$R$1501="Cheque 支票")*($S$2:$S$1501-TRUNC($S$2:$S$1501))))-'Opening Balance'!$B$15*SUMPRODUCT(($Z$2:Z836="Online collection 网上收款")*($AA$2:AA836&lt;&gt;"")*($AC$2:AC836-TRUNC($AC$2:AC836))),2))</f>
        <v/>
      </c>
    </row>
    <row r="837">
      <c r="O837" s="5" t="n"/>
      <c r="S837" s="6" t="n"/>
      <c r="V837" s="5" t="n"/>
      <c r="X837" s="5" t="n"/>
      <c r="AC837" s="6" t="n"/>
      <c r="AD837" s="6" t="n"/>
      <c r="AE837" s="7">
        <f>IF(X837="","",ROUND('Opening Balance'!$B$4+SUM($AC$2:AC837)-SUM($AD$2:AD837)+SUMPRODUCT(($Q$2:$Q$1501="Collection 收款")*($R$2:$R$1501="Cheque 支票")*($V$2:$V$1501&lt;&gt;"")*($V$2:$V$1501&lt;=X837)*($S$2:$S$1501-'Opening Balance'!$B$15*($R$2:$R$1501="Cheque 支票")*($S$2:$S$1501-TRUNC($S$2:$S$1501))))-'Opening Balance'!$B$15*SUMPRODUCT(($Z$2:Z837="Online collection 网上收款")*($AA$2:AA837&lt;&gt;"")*($AC$2:AC837-TRUNC($AC$2:AC837))),2))</f>
        <v/>
      </c>
    </row>
    <row r="838">
      <c r="O838" s="5" t="n"/>
      <c r="S838" s="6" t="n"/>
      <c r="V838" s="5" t="n"/>
      <c r="X838" s="5" t="n"/>
      <c r="AC838" s="6" t="n"/>
      <c r="AD838" s="6" t="n"/>
      <c r="AE838" s="7">
        <f>IF(X838="","",ROUND('Opening Balance'!$B$4+SUM($AC$2:AC838)-SUM($AD$2:AD838)+SUMPRODUCT(($Q$2:$Q$1501="Collection 收款")*($R$2:$R$1501="Cheque 支票")*($V$2:$V$1501&lt;&gt;"")*($V$2:$V$1501&lt;=X838)*($S$2:$S$1501-'Opening Balance'!$B$15*($R$2:$R$1501="Cheque 支票")*($S$2:$S$1501-TRUNC($S$2:$S$1501))))-'Opening Balance'!$B$15*SUMPRODUCT(($Z$2:Z838="Online collection 网上收款")*($AA$2:AA838&lt;&gt;"")*($AC$2:AC838-TRUNC($AC$2:AC838))),2))</f>
        <v/>
      </c>
    </row>
    <row r="839">
      <c r="O839" s="5" t="n"/>
      <c r="S839" s="6" t="n"/>
      <c r="V839" s="5" t="n"/>
      <c r="X839" s="5" t="n"/>
      <c r="AC839" s="6" t="n"/>
      <c r="AD839" s="6" t="n"/>
      <c r="AE839" s="7">
        <f>IF(X839="","",ROUND('Opening Balance'!$B$4+SUM($AC$2:AC839)-SUM($AD$2:AD839)+SUMPRODUCT(($Q$2:$Q$1501="Collection 收款")*($R$2:$R$1501="Cheque 支票")*($V$2:$V$1501&lt;&gt;"")*($V$2:$V$1501&lt;=X839)*($S$2:$S$1501-'Opening Balance'!$B$15*($R$2:$R$1501="Cheque 支票")*($S$2:$S$1501-TRUNC($S$2:$S$1501))))-'Opening Balance'!$B$15*SUMPRODUCT(($Z$2:Z839="Online collection 网上收款")*($AA$2:AA839&lt;&gt;"")*($AC$2:AC839-TRUNC($AC$2:AC839))),2))</f>
        <v/>
      </c>
    </row>
    <row r="840">
      <c r="O840" s="5" t="n"/>
      <c r="S840" s="6" t="n"/>
      <c r="V840" s="5" t="n"/>
      <c r="X840" s="5" t="n"/>
      <c r="AC840" s="6" t="n"/>
      <c r="AD840" s="6" t="n"/>
      <c r="AE840" s="7">
        <f>IF(X840="","",ROUND('Opening Balance'!$B$4+SUM($AC$2:AC840)-SUM($AD$2:AD840)+SUMPRODUCT(($Q$2:$Q$1501="Collection 收款")*($R$2:$R$1501="Cheque 支票")*($V$2:$V$1501&lt;&gt;"")*($V$2:$V$1501&lt;=X840)*($S$2:$S$1501-'Opening Balance'!$B$15*($R$2:$R$1501="Cheque 支票")*($S$2:$S$1501-TRUNC($S$2:$S$1501))))-'Opening Balance'!$B$15*SUMPRODUCT(($Z$2:Z840="Online collection 网上收款")*($AA$2:AA840&lt;&gt;"")*($AC$2:AC840-TRUNC($AC$2:AC840))),2))</f>
        <v/>
      </c>
    </row>
    <row r="841">
      <c r="O841" s="5" t="n"/>
      <c r="S841" s="6" t="n"/>
      <c r="V841" s="5" t="n"/>
      <c r="X841" s="5" t="n"/>
      <c r="AC841" s="6" t="n"/>
      <c r="AD841" s="6" t="n"/>
      <c r="AE841" s="7">
        <f>IF(X841="","",ROUND('Opening Balance'!$B$4+SUM($AC$2:AC841)-SUM($AD$2:AD841)+SUMPRODUCT(($Q$2:$Q$1501="Collection 收款")*($R$2:$R$1501="Cheque 支票")*($V$2:$V$1501&lt;&gt;"")*($V$2:$V$1501&lt;=X841)*($S$2:$S$1501-'Opening Balance'!$B$15*($R$2:$R$1501="Cheque 支票")*($S$2:$S$1501-TRUNC($S$2:$S$1501))))-'Opening Balance'!$B$15*SUMPRODUCT(($Z$2:Z841="Online collection 网上收款")*($AA$2:AA841&lt;&gt;"")*($AC$2:AC841-TRUNC($AC$2:AC841))),2))</f>
        <v/>
      </c>
    </row>
    <row r="842">
      <c r="O842" s="5" t="n"/>
      <c r="S842" s="6" t="n"/>
      <c r="V842" s="5" t="n"/>
      <c r="X842" s="5" t="n"/>
      <c r="AC842" s="6" t="n"/>
      <c r="AD842" s="6" t="n"/>
      <c r="AE842" s="7">
        <f>IF(X842="","",ROUND('Opening Balance'!$B$4+SUM($AC$2:AC842)-SUM($AD$2:AD842)+SUMPRODUCT(($Q$2:$Q$1501="Collection 收款")*($R$2:$R$1501="Cheque 支票")*($V$2:$V$1501&lt;&gt;"")*($V$2:$V$1501&lt;=X842)*($S$2:$S$1501-'Opening Balance'!$B$15*($R$2:$R$1501="Cheque 支票")*($S$2:$S$1501-TRUNC($S$2:$S$1501))))-'Opening Balance'!$B$15*SUMPRODUCT(($Z$2:Z842="Online collection 网上收款")*($AA$2:AA842&lt;&gt;"")*($AC$2:AC842-TRUNC($AC$2:AC842))),2))</f>
        <v/>
      </c>
    </row>
    <row r="843">
      <c r="O843" s="5" t="n"/>
      <c r="S843" s="6" t="n"/>
      <c r="V843" s="5" t="n"/>
      <c r="X843" s="5" t="n"/>
      <c r="AC843" s="6" t="n"/>
      <c r="AD843" s="6" t="n"/>
      <c r="AE843" s="7">
        <f>IF(X843="","",ROUND('Opening Balance'!$B$4+SUM($AC$2:AC843)-SUM($AD$2:AD843)+SUMPRODUCT(($Q$2:$Q$1501="Collection 收款")*($R$2:$R$1501="Cheque 支票")*($V$2:$V$1501&lt;&gt;"")*($V$2:$V$1501&lt;=X843)*($S$2:$S$1501-'Opening Balance'!$B$15*($R$2:$R$1501="Cheque 支票")*($S$2:$S$1501-TRUNC($S$2:$S$1501))))-'Opening Balance'!$B$15*SUMPRODUCT(($Z$2:Z843="Online collection 网上收款")*($AA$2:AA843&lt;&gt;"")*($AC$2:AC843-TRUNC($AC$2:AC843))),2))</f>
        <v/>
      </c>
    </row>
    <row r="844">
      <c r="O844" s="5" t="n"/>
      <c r="S844" s="6" t="n"/>
      <c r="V844" s="5" t="n"/>
      <c r="X844" s="5" t="n"/>
      <c r="AC844" s="6" t="n"/>
      <c r="AD844" s="6" t="n"/>
      <c r="AE844" s="7">
        <f>IF(X844="","",ROUND('Opening Balance'!$B$4+SUM($AC$2:AC844)-SUM($AD$2:AD844)+SUMPRODUCT(($Q$2:$Q$1501="Collection 收款")*($R$2:$R$1501="Cheque 支票")*($V$2:$V$1501&lt;&gt;"")*($V$2:$V$1501&lt;=X844)*($S$2:$S$1501-'Opening Balance'!$B$15*($R$2:$R$1501="Cheque 支票")*($S$2:$S$1501-TRUNC($S$2:$S$1501))))-'Opening Balance'!$B$15*SUMPRODUCT(($Z$2:Z844="Online collection 网上收款")*($AA$2:AA844&lt;&gt;"")*($AC$2:AC844-TRUNC($AC$2:AC844))),2))</f>
        <v/>
      </c>
    </row>
    <row r="845">
      <c r="O845" s="5" t="n"/>
      <c r="S845" s="6" t="n"/>
      <c r="V845" s="5" t="n"/>
      <c r="X845" s="5" t="n"/>
      <c r="AC845" s="6" t="n"/>
      <c r="AD845" s="6" t="n"/>
      <c r="AE845" s="7">
        <f>IF(X845="","",ROUND('Opening Balance'!$B$4+SUM($AC$2:AC845)-SUM($AD$2:AD845)+SUMPRODUCT(($Q$2:$Q$1501="Collection 收款")*($R$2:$R$1501="Cheque 支票")*($V$2:$V$1501&lt;&gt;"")*($V$2:$V$1501&lt;=X845)*($S$2:$S$1501-'Opening Balance'!$B$15*($R$2:$R$1501="Cheque 支票")*($S$2:$S$1501-TRUNC($S$2:$S$1501))))-'Opening Balance'!$B$15*SUMPRODUCT(($Z$2:Z845="Online collection 网上收款")*($AA$2:AA845&lt;&gt;"")*($AC$2:AC845-TRUNC($AC$2:AC845))),2))</f>
        <v/>
      </c>
    </row>
    <row r="846">
      <c r="O846" s="5" t="n"/>
      <c r="S846" s="6" t="n"/>
      <c r="V846" s="5" t="n"/>
      <c r="X846" s="5" t="n"/>
      <c r="AC846" s="6" t="n"/>
      <c r="AD846" s="6" t="n"/>
      <c r="AE846" s="7">
        <f>IF(X846="","",ROUND('Opening Balance'!$B$4+SUM($AC$2:AC846)-SUM($AD$2:AD846)+SUMPRODUCT(($Q$2:$Q$1501="Collection 收款")*($R$2:$R$1501="Cheque 支票")*($V$2:$V$1501&lt;&gt;"")*($V$2:$V$1501&lt;=X846)*($S$2:$S$1501-'Opening Balance'!$B$15*($R$2:$R$1501="Cheque 支票")*($S$2:$S$1501-TRUNC($S$2:$S$1501))))-'Opening Balance'!$B$15*SUMPRODUCT(($Z$2:Z846="Online collection 网上收款")*($AA$2:AA846&lt;&gt;"")*($AC$2:AC846-TRUNC($AC$2:AC846))),2))</f>
        <v/>
      </c>
    </row>
    <row r="847">
      <c r="O847" s="5" t="n"/>
      <c r="S847" s="6" t="n"/>
      <c r="V847" s="5" t="n"/>
      <c r="X847" s="5" t="n"/>
      <c r="AC847" s="6" t="n"/>
      <c r="AD847" s="6" t="n"/>
      <c r="AE847" s="7">
        <f>IF(X847="","",ROUND('Opening Balance'!$B$4+SUM($AC$2:AC847)-SUM($AD$2:AD847)+SUMPRODUCT(($Q$2:$Q$1501="Collection 收款")*($R$2:$R$1501="Cheque 支票")*($V$2:$V$1501&lt;&gt;"")*($V$2:$V$1501&lt;=X847)*($S$2:$S$1501-'Opening Balance'!$B$15*($R$2:$R$1501="Cheque 支票")*($S$2:$S$1501-TRUNC($S$2:$S$1501))))-'Opening Balance'!$B$15*SUMPRODUCT(($Z$2:Z847="Online collection 网上收款")*($AA$2:AA847&lt;&gt;"")*($AC$2:AC847-TRUNC($AC$2:AC847))),2))</f>
        <v/>
      </c>
    </row>
    <row r="848">
      <c r="O848" s="5" t="n"/>
      <c r="S848" s="6" t="n"/>
      <c r="V848" s="5" t="n"/>
      <c r="X848" s="5" t="n"/>
      <c r="AC848" s="6" t="n"/>
      <c r="AD848" s="6" t="n"/>
      <c r="AE848" s="7">
        <f>IF(X848="","",ROUND('Opening Balance'!$B$4+SUM($AC$2:AC848)-SUM($AD$2:AD848)+SUMPRODUCT(($Q$2:$Q$1501="Collection 收款")*($R$2:$R$1501="Cheque 支票")*($V$2:$V$1501&lt;&gt;"")*($V$2:$V$1501&lt;=X848)*($S$2:$S$1501-'Opening Balance'!$B$15*($R$2:$R$1501="Cheque 支票")*($S$2:$S$1501-TRUNC($S$2:$S$1501))))-'Opening Balance'!$B$15*SUMPRODUCT(($Z$2:Z848="Online collection 网上收款")*($AA$2:AA848&lt;&gt;"")*($AC$2:AC848-TRUNC($AC$2:AC848))),2))</f>
        <v/>
      </c>
    </row>
    <row r="849">
      <c r="O849" s="5" t="n"/>
      <c r="S849" s="6" t="n"/>
      <c r="V849" s="5" t="n"/>
      <c r="X849" s="5" t="n"/>
      <c r="AC849" s="6" t="n"/>
      <c r="AD849" s="6" t="n"/>
      <c r="AE849" s="7">
        <f>IF(X849="","",ROUND('Opening Balance'!$B$4+SUM($AC$2:AC849)-SUM($AD$2:AD849)+SUMPRODUCT(($Q$2:$Q$1501="Collection 收款")*($R$2:$R$1501="Cheque 支票")*($V$2:$V$1501&lt;&gt;"")*($V$2:$V$1501&lt;=X849)*($S$2:$S$1501-'Opening Balance'!$B$15*($R$2:$R$1501="Cheque 支票")*($S$2:$S$1501-TRUNC($S$2:$S$1501))))-'Opening Balance'!$B$15*SUMPRODUCT(($Z$2:Z849="Online collection 网上收款")*($AA$2:AA849&lt;&gt;"")*($AC$2:AC849-TRUNC($AC$2:AC849))),2))</f>
        <v/>
      </c>
    </row>
    <row r="850">
      <c r="O850" s="5" t="n"/>
      <c r="S850" s="6" t="n"/>
      <c r="V850" s="5" t="n"/>
      <c r="X850" s="5" t="n"/>
      <c r="AC850" s="6" t="n"/>
      <c r="AD850" s="6" t="n"/>
      <c r="AE850" s="7">
        <f>IF(X850="","",ROUND('Opening Balance'!$B$4+SUM($AC$2:AC850)-SUM($AD$2:AD850)+SUMPRODUCT(($Q$2:$Q$1501="Collection 收款")*($R$2:$R$1501="Cheque 支票")*($V$2:$V$1501&lt;&gt;"")*($V$2:$V$1501&lt;=X850)*($S$2:$S$1501-'Opening Balance'!$B$15*($R$2:$R$1501="Cheque 支票")*($S$2:$S$1501-TRUNC($S$2:$S$1501))))-'Opening Balance'!$B$15*SUMPRODUCT(($Z$2:Z850="Online collection 网上收款")*($AA$2:AA850&lt;&gt;"")*($AC$2:AC850-TRUNC($AC$2:AC850))),2))</f>
        <v/>
      </c>
    </row>
    <row r="851">
      <c r="O851" s="5" t="n"/>
      <c r="S851" s="6" t="n"/>
      <c r="V851" s="5" t="n"/>
      <c r="X851" s="5" t="n"/>
      <c r="AC851" s="6" t="n"/>
      <c r="AD851" s="6" t="n"/>
      <c r="AE851" s="7">
        <f>IF(X851="","",ROUND('Opening Balance'!$B$4+SUM($AC$2:AC851)-SUM($AD$2:AD851)+SUMPRODUCT(($Q$2:$Q$1501="Collection 收款")*($R$2:$R$1501="Cheque 支票")*($V$2:$V$1501&lt;&gt;"")*($V$2:$V$1501&lt;=X851)*($S$2:$S$1501-'Opening Balance'!$B$15*($R$2:$R$1501="Cheque 支票")*($S$2:$S$1501-TRUNC($S$2:$S$1501))))-'Opening Balance'!$B$15*SUMPRODUCT(($Z$2:Z851="Online collection 网上收款")*($AA$2:AA851&lt;&gt;"")*($AC$2:AC851-TRUNC($AC$2:AC851))),2))</f>
        <v/>
      </c>
    </row>
    <row r="852">
      <c r="O852" s="5" t="n"/>
      <c r="S852" s="6" t="n"/>
      <c r="V852" s="5" t="n"/>
      <c r="X852" s="5" t="n"/>
      <c r="AC852" s="6" t="n"/>
      <c r="AD852" s="6" t="n"/>
      <c r="AE852" s="7">
        <f>IF(X852="","",ROUND('Opening Balance'!$B$4+SUM($AC$2:AC852)-SUM($AD$2:AD852)+SUMPRODUCT(($Q$2:$Q$1501="Collection 收款")*($R$2:$R$1501="Cheque 支票")*($V$2:$V$1501&lt;&gt;"")*($V$2:$V$1501&lt;=X852)*($S$2:$S$1501-'Opening Balance'!$B$15*($R$2:$R$1501="Cheque 支票")*($S$2:$S$1501-TRUNC($S$2:$S$1501))))-'Opening Balance'!$B$15*SUMPRODUCT(($Z$2:Z852="Online collection 网上收款")*($AA$2:AA852&lt;&gt;"")*($AC$2:AC852-TRUNC($AC$2:AC852))),2))</f>
        <v/>
      </c>
    </row>
    <row r="853">
      <c r="O853" s="5" t="n"/>
      <c r="S853" s="6" t="n"/>
      <c r="V853" s="5" t="n"/>
      <c r="X853" s="5" t="n"/>
      <c r="AC853" s="6" t="n"/>
      <c r="AD853" s="6" t="n"/>
      <c r="AE853" s="7">
        <f>IF(X853="","",ROUND('Opening Balance'!$B$4+SUM($AC$2:AC853)-SUM($AD$2:AD853)+SUMPRODUCT(($Q$2:$Q$1501="Collection 收款")*($R$2:$R$1501="Cheque 支票")*($V$2:$V$1501&lt;&gt;"")*($V$2:$V$1501&lt;=X853)*($S$2:$S$1501-'Opening Balance'!$B$15*($R$2:$R$1501="Cheque 支票")*($S$2:$S$1501-TRUNC($S$2:$S$1501))))-'Opening Balance'!$B$15*SUMPRODUCT(($Z$2:Z853="Online collection 网上收款")*($AA$2:AA853&lt;&gt;"")*($AC$2:AC853-TRUNC($AC$2:AC853))),2))</f>
        <v/>
      </c>
    </row>
    <row r="854">
      <c r="O854" s="5" t="n"/>
      <c r="S854" s="6" t="n"/>
      <c r="V854" s="5" t="n"/>
      <c r="X854" s="5" t="n"/>
      <c r="AC854" s="6" t="n"/>
      <c r="AD854" s="6" t="n"/>
      <c r="AE854" s="7">
        <f>IF(X854="","",ROUND('Opening Balance'!$B$4+SUM($AC$2:AC854)-SUM($AD$2:AD854)+SUMPRODUCT(($Q$2:$Q$1501="Collection 收款")*($R$2:$R$1501="Cheque 支票")*($V$2:$V$1501&lt;&gt;"")*($V$2:$V$1501&lt;=X854)*($S$2:$S$1501-'Opening Balance'!$B$15*($R$2:$R$1501="Cheque 支票")*($S$2:$S$1501-TRUNC($S$2:$S$1501))))-'Opening Balance'!$B$15*SUMPRODUCT(($Z$2:Z854="Online collection 网上收款")*($AA$2:AA854&lt;&gt;"")*($AC$2:AC854-TRUNC($AC$2:AC854))),2))</f>
        <v/>
      </c>
    </row>
    <row r="855">
      <c r="O855" s="5" t="n"/>
      <c r="S855" s="6" t="n"/>
      <c r="V855" s="5" t="n"/>
      <c r="X855" s="5" t="n"/>
      <c r="AC855" s="6" t="n"/>
      <c r="AD855" s="6" t="n"/>
      <c r="AE855" s="7">
        <f>IF(X855="","",ROUND('Opening Balance'!$B$4+SUM($AC$2:AC855)-SUM($AD$2:AD855)+SUMPRODUCT(($Q$2:$Q$1501="Collection 收款")*($R$2:$R$1501="Cheque 支票")*($V$2:$V$1501&lt;&gt;"")*($V$2:$V$1501&lt;=X855)*($S$2:$S$1501-'Opening Balance'!$B$15*($R$2:$R$1501="Cheque 支票")*($S$2:$S$1501-TRUNC($S$2:$S$1501))))-'Opening Balance'!$B$15*SUMPRODUCT(($Z$2:Z855="Online collection 网上收款")*($AA$2:AA855&lt;&gt;"")*($AC$2:AC855-TRUNC($AC$2:AC855))),2))</f>
        <v/>
      </c>
    </row>
    <row r="856">
      <c r="O856" s="5" t="n"/>
      <c r="S856" s="6" t="n"/>
      <c r="V856" s="5" t="n"/>
      <c r="X856" s="5" t="n"/>
      <c r="AC856" s="6" t="n"/>
      <c r="AD856" s="6" t="n"/>
      <c r="AE856" s="7">
        <f>IF(X856="","",ROUND('Opening Balance'!$B$4+SUM($AC$2:AC856)-SUM($AD$2:AD856)+SUMPRODUCT(($Q$2:$Q$1501="Collection 收款")*($R$2:$R$1501="Cheque 支票")*($V$2:$V$1501&lt;&gt;"")*($V$2:$V$1501&lt;=X856)*($S$2:$S$1501-'Opening Balance'!$B$15*($R$2:$R$1501="Cheque 支票")*($S$2:$S$1501-TRUNC($S$2:$S$1501))))-'Opening Balance'!$B$15*SUMPRODUCT(($Z$2:Z856="Online collection 网上收款")*($AA$2:AA856&lt;&gt;"")*($AC$2:AC856-TRUNC($AC$2:AC856))),2))</f>
        <v/>
      </c>
    </row>
    <row r="857">
      <c r="O857" s="5" t="n"/>
      <c r="S857" s="6" t="n"/>
      <c r="V857" s="5" t="n"/>
      <c r="X857" s="5" t="n"/>
      <c r="AC857" s="6" t="n"/>
      <c r="AD857" s="6" t="n"/>
      <c r="AE857" s="7">
        <f>IF(X857="","",ROUND('Opening Balance'!$B$4+SUM($AC$2:AC857)-SUM($AD$2:AD857)+SUMPRODUCT(($Q$2:$Q$1501="Collection 收款")*($R$2:$R$1501="Cheque 支票")*($V$2:$V$1501&lt;&gt;"")*($V$2:$V$1501&lt;=X857)*($S$2:$S$1501-'Opening Balance'!$B$15*($R$2:$R$1501="Cheque 支票")*($S$2:$S$1501-TRUNC($S$2:$S$1501))))-'Opening Balance'!$B$15*SUMPRODUCT(($Z$2:Z857="Online collection 网上收款")*($AA$2:AA857&lt;&gt;"")*($AC$2:AC857-TRUNC($AC$2:AC857))),2))</f>
        <v/>
      </c>
    </row>
    <row r="858">
      <c r="O858" s="5" t="n"/>
      <c r="S858" s="6" t="n"/>
      <c r="V858" s="5" t="n"/>
      <c r="X858" s="5" t="n"/>
      <c r="AC858" s="6" t="n"/>
      <c r="AD858" s="6" t="n"/>
      <c r="AE858" s="7">
        <f>IF(X858="","",ROUND('Opening Balance'!$B$4+SUM($AC$2:AC858)-SUM($AD$2:AD858)+SUMPRODUCT(($Q$2:$Q$1501="Collection 收款")*($R$2:$R$1501="Cheque 支票")*($V$2:$V$1501&lt;&gt;"")*($V$2:$V$1501&lt;=X858)*($S$2:$S$1501-'Opening Balance'!$B$15*($R$2:$R$1501="Cheque 支票")*($S$2:$S$1501-TRUNC($S$2:$S$1501))))-'Opening Balance'!$B$15*SUMPRODUCT(($Z$2:Z858="Online collection 网上收款")*($AA$2:AA858&lt;&gt;"")*($AC$2:AC858-TRUNC($AC$2:AC858))),2))</f>
        <v/>
      </c>
    </row>
    <row r="859">
      <c r="O859" s="5" t="n"/>
      <c r="S859" s="6" t="n"/>
      <c r="V859" s="5" t="n"/>
      <c r="X859" s="5" t="n"/>
      <c r="AC859" s="6" t="n"/>
      <c r="AD859" s="6" t="n"/>
      <c r="AE859" s="7">
        <f>IF(X859="","",ROUND('Opening Balance'!$B$4+SUM($AC$2:AC859)-SUM($AD$2:AD859)+SUMPRODUCT(($Q$2:$Q$1501="Collection 收款")*($R$2:$R$1501="Cheque 支票")*($V$2:$V$1501&lt;&gt;"")*($V$2:$V$1501&lt;=X859)*($S$2:$S$1501-'Opening Balance'!$B$15*($R$2:$R$1501="Cheque 支票")*($S$2:$S$1501-TRUNC($S$2:$S$1501))))-'Opening Balance'!$B$15*SUMPRODUCT(($Z$2:Z859="Online collection 网上收款")*($AA$2:AA859&lt;&gt;"")*($AC$2:AC859-TRUNC($AC$2:AC859))),2))</f>
        <v/>
      </c>
    </row>
    <row r="860">
      <c r="O860" s="5" t="n"/>
      <c r="S860" s="6" t="n"/>
      <c r="V860" s="5" t="n"/>
      <c r="X860" s="5" t="n"/>
      <c r="AC860" s="6" t="n"/>
      <c r="AD860" s="6" t="n"/>
      <c r="AE860" s="7">
        <f>IF(X860="","",ROUND('Opening Balance'!$B$4+SUM($AC$2:AC860)-SUM($AD$2:AD860)+SUMPRODUCT(($Q$2:$Q$1501="Collection 收款")*($R$2:$R$1501="Cheque 支票")*($V$2:$V$1501&lt;&gt;"")*($V$2:$V$1501&lt;=X860)*($S$2:$S$1501-'Opening Balance'!$B$15*($R$2:$R$1501="Cheque 支票")*($S$2:$S$1501-TRUNC($S$2:$S$1501))))-'Opening Balance'!$B$15*SUMPRODUCT(($Z$2:Z860="Online collection 网上收款")*($AA$2:AA860&lt;&gt;"")*($AC$2:AC860-TRUNC($AC$2:AC860))),2))</f>
        <v/>
      </c>
    </row>
    <row r="861">
      <c r="O861" s="5" t="n"/>
      <c r="S861" s="6" t="n"/>
      <c r="V861" s="5" t="n"/>
      <c r="X861" s="5" t="n"/>
      <c r="AC861" s="6" t="n"/>
      <c r="AD861" s="6" t="n"/>
      <c r="AE861" s="7">
        <f>IF(X861="","",ROUND('Opening Balance'!$B$4+SUM($AC$2:AC861)-SUM($AD$2:AD861)+SUMPRODUCT(($Q$2:$Q$1501="Collection 收款")*($R$2:$R$1501="Cheque 支票")*($V$2:$V$1501&lt;&gt;"")*($V$2:$V$1501&lt;=X861)*($S$2:$S$1501-'Opening Balance'!$B$15*($R$2:$R$1501="Cheque 支票")*($S$2:$S$1501-TRUNC($S$2:$S$1501))))-'Opening Balance'!$B$15*SUMPRODUCT(($Z$2:Z861="Online collection 网上收款")*($AA$2:AA861&lt;&gt;"")*($AC$2:AC861-TRUNC($AC$2:AC861))),2))</f>
        <v/>
      </c>
    </row>
    <row r="862">
      <c r="O862" s="5" t="n"/>
      <c r="S862" s="6" t="n"/>
      <c r="V862" s="5" t="n"/>
      <c r="X862" s="5" t="n"/>
      <c r="AC862" s="6" t="n"/>
      <c r="AD862" s="6" t="n"/>
      <c r="AE862" s="7">
        <f>IF(X862="","",ROUND('Opening Balance'!$B$4+SUM($AC$2:AC862)-SUM($AD$2:AD862)+SUMPRODUCT(($Q$2:$Q$1501="Collection 收款")*($R$2:$R$1501="Cheque 支票")*($V$2:$V$1501&lt;&gt;"")*($V$2:$V$1501&lt;=X862)*($S$2:$S$1501-'Opening Balance'!$B$15*($R$2:$R$1501="Cheque 支票")*($S$2:$S$1501-TRUNC($S$2:$S$1501))))-'Opening Balance'!$B$15*SUMPRODUCT(($Z$2:Z862="Online collection 网上收款")*($AA$2:AA862&lt;&gt;"")*($AC$2:AC862-TRUNC($AC$2:AC862))),2))</f>
        <v/>
      </c>
    </row>
    <row r="863">
      <c r="O863" s="5" t="n"/>
      <c r="S863" s="6" t="n"/>
      <c r="V863" s="5" t="n"/>
      <c r="X863" s="5" t="n"/>
      <c r="AC863" s="6" t="n"/>
      <c r="AD863" s="6" t="n"/>
      <c r="AE863" s="7">
        <f>IF(X863="","",ROUND('Opening Balance'!$B$4+SUM($AC$2:AC863)-SUM($AD$2:AD863)+SUMPRODUCT(($Q$2:$Q$1501="Collection 收款")*($R$2:$R$1501="Cheque 支票")*($V$2:$V$1501&lt;&gt;"")*($V$2:$V$1501&lt;=X863)*($S$2:$S$1501-'Opening Balance'!$B$15*($R$2:$R$1501="Cheque 支票")*($S$2:$S$1501-TRUNC($S$2:$S$1501))))-'Opening Balance'!$B$15*SUMPRODUCT(($Z$2:Z863="Online collection 网上收款")*($AA$2:AA863&lt;&gt;"")*($AC$2:AC863-TRUNC($AC$2:AC863))),2))</f>
        <v/>
      </c>
    </row>
    <row r="864">
      <c r="O864" s="5" t="n"/>
      <c r="S864" s="6" t="n"/>
      <c r="V864" s="5" t="n"/>
      <c r="X864" s="5" t="n"/>
      <c r="AC864" s="6" t="n"/>
      <c r="AD864" s="6" t="n"/>
      <c r="AE864" s="7">
        <f>IF(X864="","",ROUND('Opening Balance'!$B$4+SUM($AC$2:AC864)-SUM($AD$2:AD864)+SUMPRODUCT(($Q$2:$Q$1501="Collection 收款")*($R$2:$R$1501="Cheque 支票")*($V$2:$V$1501&lt;&gt;"")*($V$2:$V$1501&lt;=X864)*($S$2:$S$1501-'Opening Balance'!$B$15*($R$2:$R$1501="Cheque 支票")*($S$2:$S$1501-TRUNC($S$2:$S$1501))))-'Opening Balance'!$B$15*SUMPRODUCT(($Z$2:Z864="Online collection 网上收款")*($AA$2:AA864&lt;&gt;"")*($AC$2:AC864-TRUNC($AC$2:AC864))),2))</f>
        <v/>
      </c>
    </row>
    <row r="865">
      <c r="O865" s="5" t="n"/>
      <c r="S865" s="6" t="n"/>
      <c r="V865" s="5" t="n"/>
      <c r="X865" s="5" t="n"/>
      <c r="AC865" s="6" t="n"/>
      <c r="AD865" s="6" t="n"/>
      <c r="AE865" s="7">
        <f>IF(X865="","",ROUND('Opening Balance'!$B$4+SUM($AC$2:AC865)-SUM($AD$2:AD865)+SUMPRODUCT(($Q$2:$Q$1501="Collection 收款")*($R$2:$R$1501="Cheque 支票")*($V$2:$V$1501&lt;&gt;"")*($V$2:$V$1501&lt;=X865)*($S$2:$S$1501-'Opening Balance'!$B$15*($R$2:$R$1501="Cheque 支票")*($S$2:$S$1501-TRUNC($S$2:$S$1501))))-'Opening Balance'!$B$15*SUMPRODUCT(($Z$2:Z865="Online collection 网上收款")*($AA$2:AA865&lt;&gt;"")*($AC$2:AC865-TRUNC($AC$2:AC865))),2))</f>
        <v/>
      </c>
    </row>
    <row r="866">
      <c r="O866" s="5" t="n"/>
      <c r="S866" s="6" t="n"/>
      <c r="V866" s="5" t="n"/>
      <c r="X866" s="5" t="n"/>
      <c r="AC866" s="6" t="n"/>
      <c r="AD866" s="6" t="n"/>
      <c r="AE866" s="7">
        <f>IF(X866="","",ROUND('Opening Balance'!$B$4+SUM($AC$2:AC866)-SUM($AD$2:AD866)+SUMPRODUCT(($Q$2:$Q$1501="Collection 收款")*($R$2:$R$1501="Cheque 支票")*($V$2:$V$1501&lt;&gt;"")*($V$2:$V$1501&lt;=X866)*($S$2:$S$1501-'Opening Balance'!$B$15*($R$2:$R$1501="Cheque 支票")*($S$2:$S$1501-TRUNC($S$2:$S$1501))))-'Opening Balance'!$B$15*SUMPRODUCT(($Z$2:Z866="Online collection 网上收款")*($AA$2:AA866&lt;&gt;"")*($AC$2:AC866-TRUNC($AC$2:AC866))),2))</f>
        <v/>
      </c>
    </row>
    <row r="867">
      <c r="O867" s="5" t="n"/>
      <c r="S867" s="6" t="n"/>
      <c r="V867" s="5" t="n"/>
      <c r="X867" s="5" t="n"/>
      <c r="AC867" s="6" t="n"/>
      <c r="AD867" s="6" t="n"/>
      <c r="AE867" s="7">
        <f>IF(X867="","",ROUND('Opening Balance'!$B$4+SUM($AC$2:AC867)-SUM($AD$2:AD867)+SUMPRODUCT(($Q$2:$Q$1501="Collection 收款")*($R$2:$R$1501="Cheque 支票")*($V$2:$V$1501&lt;&gt;"")*($V$2:$V$1501&lt;=X867)*($S$2:$S$1501-'Opening Balance'!$B$15*($R$2:$R$1501="Cheque 支票")*($S$2:$S$1501-TRUNC($S$2:$S$1501))))-'Opening Balance'!$B$15*SUMPRODUCT(($Z$2:Z867="Online collection 网上收款")*($AA$2:AA867&lt;&gt;"")*($AC$2:AC867-TRUNC($AC$2:AC867))),2))</f>
        <v/>
      </c>
    </row>
    <row r="868">
      <c r="O868" s="5" t="n"/>
      <c r="S868" s="6" t="n"/>
      <c r="V868" s="5" t="n"/>
      <c r="X868" s="5" t="n"/>
      <c r="AC868" s="6" t="n"/>
      <c r="AD868" s="6" t="n"/>
      <c r="AE868" s="7">
        <f>IF(X868="","",ROUND('Opening Balance'!$B$4+SUM($AC$2:AC868)-SUM($AD$2:AD868)+SUMPRODUCT(($Q$2:$Q$1501="Collection 收款")*($R$2:$R$1501="Cheque 支票")*($V$2:$V$1501&lt;&gt;"")*($V$2:$V$1501&lt;=X868)*($S$2:$S$1501-'Opening Balance'!$B$15*($R$2:$R$1501="Cheque 支票")*($S$2:$S$1501-TRUNC($S$2:$S$1501))))-'Opening Balance'!$B$15*SUMPRODUCT(($Z$2:Z868="Online collection 网上收款")*($AA$2:AA868&lt;&gt;"")*($AC$2:AC868-TRUNC($AC$2:AC868))),2))</f>
        <v/>
      </c>
    </row>
    <row r="869">
      <c r="O869" s="5" t="n"/>
      <c r="S869" s="6" t="n"/>
      <c r="V869" s="5" t="n"/>
      <c r="X869" s="5" t="n"/>
      <c r="AC869" s="6" t="n"/>
      <c r="AD869" s="6" t="n"/>
      <c r="AE869" s="7">
        <f>IF(X869="","",ROUND('Opening Balance'!$B$4+SUM($AC$2:AC869)-SUM($AD$2:AD869)+SUMPRODUCT(($Q$2:$Q$1501="Collection 收款")*($R$2:$R$1501="Cheque 支票")*($V$2:$V$1501&lt;&gt;"")*($V$2:$V$1501&lt;=X869)*($S$2:$S$1501-'Opening Balance'!$B$15*($R$2:$R$1501="Cheque 支票")*($S$2:$S$1501-TRUNC($S$2:$S$1501))))-'Opening Balance'!$B$15*SUMPRODUCT(($Z$2:Z869="Online collection 网上收款")*($AA$2:AA869&lt;&gt;"")*($AC$2:AC869-TRUNC($AC$2:AC869))),2))</f>
        <v/>
      </c>
    </row>
    <row r="870">
      <c r="O870" s="5" t="n"/>
      <c r="S870" s="6" t="n"/>
      <c r="V870" s="5" t="n"/>
      <c r="X870" s="5" t="n"/>
      <c r="AC870" s="6" t="n"/>
      <c r="AD870" s="6" t="n"/>
      <c r="AE870" s="7">
        <f>IF(X870="","",ROUND('Opening Balance'!$B$4+SUM($AC$2:AC870)-SUM($AD$2:AD870)+SUMPRODUCT(($Q$2:$Q$1501="Collection 收款")*($R$2:$R$1501="Cheque 支票")*($V$2:$V$1501&lt;&gt;"")*($V$2:$V$1501&lt;=X870)*($S$2:$S$1501-'Opening Balance'!$B$15*($R$2:$R$1501="Cheque 支票")*($S$2:$S$1501-TRUNC($S$2:$S$1501))))-'Opening Balance'!$B$15*SUMPRODUCT(($Z$2:Z870="Online collection 网上收款")*($AA$2:AA870&lt;&gt;"")*($AC$2:AC870-TRUNC($AC$2:AC870))),2))</f>
        <v/>
      </c>
    </row>
    <row r="871">
      <c r="O871" s="5" t="n"/>
      <c r="S871" s="6" t="n"/>
      <c r="V871" s="5" t="n"/>
      <c r="X871" s="5" t="n"/>
      <c r="AC871" s="6" t="n"/>
      <c r="AD871" s="6" t="n"/>
      <c r="AE871" s="7">
        <f>IF(X871="","",ROUND('Opening Balance'!$B$4+SUM($AC$2:AC871)-SUM($AD$2:AD871)+SUMPRODUCT(($Q$2:$Q$1501="Collection 收款")*($R$2:$R$1501="Cheque 支票")*($V$2:$V$1501&lt;&gt;"")*($V$2:$V$1501&lt;=X871)*($S$2:$S$1501-'Opening Balance'!$B$15*($R$2:$R$1501="Cheque 支票")*($S$2:$S$1501-TRUNC($S$2:$S$1501))))-'Opening Balance'!$B$15*SUMPRODUCT(($Z$2:Z871="Online collection 网上收款")*($AA$2:AA871&lt;&gt;"")*($AC$2:AC871-TRUNC($AC$2:AC871))),2))</f>
        <v/>
      </c>
    </row>
    <row r="872">
      <c r="O872" s="5" t="n"/>
      <c r="S872" s="6" t="n"/>
      <c r="V872" s="5" t="n"/>
      <c r="X872" s="5" t="n"/>
      <c r="AC872" s="6" t="n"/>
      <c r="AD872" s="6" t="n"/>
      <c r="AE872" s="7">
        <f>IF(X872="","",ROUND('Opening Balance'!$B$4+SUM($AC$2:AC872)-SUM($AD$2:AD872)+SUMPRODUCT(($Q$2:$Q$1501="Collection 收款")*($R$2:$R$1501="Cheque 支票")*($V$2:$V$1501&lt;&gt;"")*($V$2:$V$1501&lt;=X872)*($S$2:$S$1501-'Opening Balance'!$B$15*($R$2:$R$1501="Cheque 支票")*($S$2:$S$1501-TRUNC($S$2:$S$1501))))-'Opening Balance'!$B$15*SUMPRODUCT(($Z$2:Z872="Online collection 网上收款")*($AA$2:AA872&lt;&gt;"")*($AC$2:AC872-TRUNC($AC$2:AC872))),2))</f>
        <v/>
      </c>
    </row>
    <row r="873">
      <c r="O873" s="5" t="n"/>
      <c r="S873" s="6" t="n"/>
      <c r="V873" s="5" t="n"/>
      <c r="X873" s="5" t="n"/>
      <c r="AC873" s="6" t="n"/>
      <c r="AD873" s="6" t="n"/>
      <c r="AE873" s="7">
        <f>IF(X873="","",ROUND('Opening Balance'!$B$4+SUM($AC$2:AC873)-SUM($AD$2:AD873)+SUMPRODUCT(($Q$2:$Q$1501="Collection 收款")*($R$2:$R$1501="Cheque 支票")*($V$2:$V$1501&lt;&gt;"")*($V$2:$V$1501&lt;=X873)*($S$2:$S$1501-'Opening Balance'!$B$15*($R$2:$R$1501="Cheque 支票")*($S$2:$S$1501-TRUNC($S$2:$S$1501))))-'Opening Balance'!$B$15*SUMPRODUCT(($Z$2:Z873="Online collection 网上收款")*($AA$2:AA873&lt;&gt;"")*($AC$2:AC873-TRUNC($AC$2:AC873))),2))</f>
        <v/>
      </c>
    </row>
    <row r="874">
      <c r="O874" s="5" t="n"/>
      <c r="S874" s="6" t="n"/>
      <c r="V874" s="5" t="n"/>
      <c r="X874" s="5" t="n"/>
      <c r="AC874" s="6" t="n"/>
      <c r="AD874" s="6" t="n"/>
      <c r="AE874" s="7">
        <f>IF(X874="","",ROUND('Opening Balance'!$B$4+SUM($AC$2:AC874)-SUM($AD$2:AD874)+SUMPRODUCT(($Q$2:$Q$1501="Collection 收款")*($R$2:$R$1501="Cheque 支票")*($V$2:$V$1501&lt;&gt;"")*($V$2:$V$1501&lt;=X874)*($S$2:$S$1501-'Opening Balance'!$B$15*($R$2:$R$1501="Cheque 支票")*($S$2:$S$1501-TRUNC($S$2:$S$1501))))-'Opening Balance'!$B$15*SUMPRODUCT(($Z$2:Z874="Online collection 网上收款")*($AA$2:AA874&lt;&gt;"")*($AC$2:AC874-TRUNC($AC$2:AC874))),2))</f>
        <v/>
      </c>
    </row>
    <row r="875">
      <c r="O875" s="5" t="n"/>
      <c r="S875" s="6" t="n"/>
      <c r="V875" s="5" t="n"/>
      <c r="X875" s="5" t="n"/>
      <c r="AC875" s="6" t="n"/>
      <c r="AD875" s="6" t="n"/>
      <c r="AE875" s="7">
        <f>IF(X875="","",ROUND('Opening Balance'!$B$4+SUM($AC$2:AC875)-SUM($AD$2:AD875)+SUMPRODUCT(($Q$2:$Q$1501="Collection 收款")*($R$2:$R$1501="Cheque 支票")*($V$2:$V$1501&lt;&gt;"")*($V$2:$V$1501&lt;=X875)*($S$2:$S$1501-'Opening Balance'!$B$15*($R$2:$R$1501="Cheque 支票")*($S$2:$S$1501-TRUNC($S$2:$S$1501))))-'Opening Balance'!$B$15*SUMPRODUCT(($Z$2:Z875="Online collection 网上收款")*($AA$2:AA875&lt;&gt;"")*($AC$2:AC875-TRUNC($AC$2:AC875))),2))</f>
        <v/>
      </c>
    </row>
    <row r="876">
      <c r="O876" s="5" t="n"/>
      <c r="S876" s="6" t="n"/>
      <c r="V876" s="5" t="n"/>
      <c r="X876" s="5" t="n"/>
      <c r="AC876" s="6" t="n"/>
      <c r="AD876" s="6" t="n"/>
      <c r="AE876" s="7">
        <f>IF(X876="","",ROUND('Opening Balance'!$B$4+SUM($AC$2:AC876)-SUM($AD$2:AD876)+SUMPRODUCT(($Q$2:$Q$1501="Collection 收款")*($R$2:$R$1501="Cheque 支票")*($V$2:$V$1501&lt;&gt;"")*($V$2:$V$1501&lt;=X876)*($S$2:$S$1501-'Opening Balance'!$B$15*($R$2:$R$1501="Cheque 支票")*($S$2:$S$1501-TRUNC($S$2:$S$1501))))-'Opening Balance'!$B$15*SUMPRODUCT(($Z$2:Z876="Online collection 网上收款")*($AA$2:AA876&lt;&gt;"")*($AC$2:AC876-TRUNC($AC$2:AC876))),2))</f>
        <v/>
      </c>
    </row>
    <row r="877">
      <c r="O877" s="5" t="n"/>
      <c r="S877" s="6" t="n"/>
      <c r="V877" s="5" t="n"/>
      <c r="X877" s="5" t="n"/>
      <c r="AC877" s="6" t="n"/>
      <c r="AD877" s="6" t="n"/>
      <c r="AE877" s="7">
        <f>IF(X877="","",ROUND('Opening Balance'!$B$4+SUM($AC$2:AC877)-SUM($AD$2:AD877)+SUMPRODUCT(($Q$2:$Q$1501="Collection 收款")*($R$2:$R$1501="Cheque 支票")*($V$2:$V$1501&lt;&gt;"")*($V$2:$V$1501&lt;=X877)*($S$2:$S$1501-'Opening Balance'!$B$15*($R$2:$R$1501="Cheque 支票")*($S$2:$S$1501-TRUNC($S$2:$S$1501))))-'Opening Balance'!$B$15*SUMPRODUCT(($Z$2:Z877="Online collection 网上收款")*($AA$2:AA877&lt;&gt;"")*($AC$2:AC877-TRUNC($AC$2:AC877))),2))</f>
        <v/>
      </c>
    </row>
    <row r="878">
      <c r="O878" s="5" t="n"/>
      <c r="S878" s="6" t="n"/>
      <c r="V878" s="5" t="n"/>
      <c r="X878" s="5" t="n"/>
      <c r="AC878" s="6" t="n"/>
      <c r="AD878" s="6" t="n"/>
      <c r="AE878" s="7">
        <f>IF(X878="","",ROUND('Opening Balance'!$B$4+SUM($AC$2:AC878)-SUM($AD$2:AD878)+SUMPRODUCT(($Q$2:$Q$1501="Collection 收款")*($R$2:$R$1501="Cheque 支票")*($V$2:$V$1501&lt;&gt;"")*($V$2:$V$1501&lt;=X878)*($S$2:$S$1501-'Opening Balance'!$B$15*($R$2:$R$1501="Cheque 支票")*($S$2:$S$1501-TRUNC($S$2:$S$1501))))-'Opening Balance'!$B$15*SUMPRODUCT(($Z$2:Z878="Online collection 网上收款")*($AA$2:AA878&lt;&gt;"")*($AC$2:AC878-TRUNC($AC$2:AC878))),2))</f>
        <v/>
      </c>
    </row>
    <row r="879">
      <c r="O879" s="5" t="n"/>
      <c r="S879" s="6" t="n"/>
      <c r="V879" s="5" t="n"/>
      <c r="X879" s="5" t="n"/>
      <c r="AC879" s="6" t="n"/>
      <c r="AD879" s="6" t="n"/>
      <c r="AE879" s="7">
        <f>IF(X879="","",ROUND('Opening Balance'!$B$4+SUM($AC$2:AC879)-SUM($AD$2:AD879)+SUMPRODUCT(($Q$2:$Q$1501="Collection 收款")*($R$2:$R$1501="Cheque 支票")*($V$2:$V$1501&lt;&gt;"")*($V$2:$V$1501&lt;=X879)*($S$2:$S$1501-'Opening Balance'!$B$15*($R$2:$R$1501="Cheque 支票")*($S$2:$S$1501-TRUNC($S$2:$S$1501))))-'Opening Balance'!$B$15*SUMPRODUCT(($Z$2:Z879="Online collection 网上收款")*($AA$2:AA879&lt;&gt;"")*($AC$2:AC879-TRUNC($AC$2:AC879))),2))</f>
        <v/>
      </c>
    </row>
    <row r="880">
      <c r="O880" s="5" t="n"/>
      <c r="S880" s="6" t="n"/>
      <c r="V880" s="5" t="n"/>
      <c r="X880" s="5" t="n"/>
      <c r="AC880" s="6" t="n"/>
      <c r="AD880" s="6" t="n"/>
      <c r="AE880" s="7">
        <f>IF(X880="","",ROUND('Opening Balance'!$B$4+SUM($AC$2:AC880)-SUM($AD$2:AD880)+SUMPRODUCT(($Q$2:$Q$1501="Collection 收款")*($R$2:$R$1501="Cheque 支票")*($V$2:$V$1501&lt;&gt;"")*($V$2:$V$1501&lt;=X880)*($S$2:$S$1501-'Opening Balance'!$B$15*($R$2:$R$1501="Cheque 支票")*($S$2:$S$1501-TRUNC($S$2:$S$1501))))-'Opening Balance'!$B$15*SUMPRODUCT(($Z$2:Z880="Online collection 网上收款")*($AA$2:AA880&lt;&gt;"")*($AC$2:AC880-TRUNC($AC$2:AC880))),2))</f>
        <v/>
      </c>
    </row>
    <row r="881">
      <c r="O881" s="5" t="n"/>
      <c r="S881" s="6" t="n"/>
      <c r="V881" s="5" t="n"/>
      <c r="X881" s="5" t="n"/>
      <c r="AC881" s="6" t="n"/>
      <c r="AD881" s="6" t="n"/>
      <c r="AE881" s="7">
        <f>IF(X881="","",ROUND('Opening Balance'!$B$4+SUM($AC$2:AC881)-SUM($AD$2:AD881)+SUMPRODUCT(($Q$2:$Q$1501="Collection 收款")*($R$2:$R$1501="Cheque 支票")*($V$2:$V$1501&lt;&gt;"")*($V$2:$V$1501&lt;=X881)*($S$2:$S$1501-'Opening Balance'!$B$15*($R$2:$R$1501="Cheque 支票")*($S$2:$S$1501-TRUNC($S$2:$S$1501))))-'Opening Balance'!$B$15*SUMPRODUCT(($Z$2:Z881="Online collection 网上收款")*($AA$2:AA881&lt;&gt;"")*($AC$2:AC881-TRUNC($AC$2:AC881))),2))</f>
        <v/>
      </c>
    </row>
    <row r="882">
      <c r="O882" s="5" t="n"/>
      <c r="S882" s="6" t="n"/>
      <c r="V882" s="5" t="n"/>
      <c r="X882" s="5" t="n"/>
      <c r="AC882" s="6" t="n"/>
      <c r="AD882" s="6" t="n"/>
      <c r="AE882" s="7">
        <f>IF(X882="","",ROUND('Opening Balance'!$B$4+SUM($AC$2:AC882)-SUM($AD$2:AD882)+SUMPRODUCT(($Q$2:$Q$1501="Collection 收款")*($R$2:$R$1501="Cheque 支票")*($V$2:$V$1501&lt;&gt;"")*($V$2:$V$1501&lt;=X882)*($S$2:$S$1501-'Opening Balance'!$B$15*($R$2:$R$1501="Cheque 支票")*($S$2:$S$1501-TRUNC($S$2:$S$1501))))-'Opening Balance'!$B$15*SUMPRODUCT(($Z$2:Z882="Online collection 网上收款")*($AA$2:AA882&lt;&gt;"")*($AC$2:AC882-TRUNC($AC$2:AC882))),2))</f>
        <v/>
      </c>
    </row>
    <row r="883">
      <c r="O883" s="5" t="n"/>
      <c r="S883" s="6" t="n"/>
      <c r="V883" s="5" t="n"/>
      <c r="X883" s="5" t="n"/>
      <c r="AC883" s="6" t="n"/>
      <c r="AD883" s="6" t="n"/>
      <c r="AE883" s="7">
        <f>IF(X883="","",ROUND('Opening Balance'!$B$4+SUM($AC$2:AC883)-SUM($AD$2:AD883)+SUMPRODUCT(($Q$2:$Q$1501="Collection 收款")*($R$2:$R$1501="Cheque 支票")*($V$2:$V$1501&lt;&gt;"")*($V$2:$V$1501&lt;=X883)*($S$2:$S$1501-'Opening Balance'!$B$15*($R$2:$R$1501="Cheque 支票")*($S$2:$S$1501-TRUNC($S$2:$S$1501))))-'Opening Balance'!$B$15*SUMPRODUCT(($Z$2:Z883="Online collection 网上收款")*($AA$2:AA883&lt;&gt;"")*($AC$2:AC883-TRUNC($AC$2:AC883))),2))</f>
        <v/>
      </c>
    </row>
    <row r="884">
      <c r="O884" s="5" t="n"/>
      <c r="S884" s="6" t="n"/>
      <c r="V884" s="5" t="n"/>
      <c r="X884" s="5" t="n"/>
      <c r="AC884" s="6" t="n"/>
      <c r="AD884" s="6" t="n"/>
      <c r="AE884" s="7">
        <f>IF(X884="","",ROUND('Opening Balance'!$B$4+SUM($AC$2:AC884)-SUM($AD$2:AD884)+SUMPRODUCT(($Q$2:$Q$1501="Collection 收款")*($R$2:$R$1501="Cheque 支票")*($V$2:$V$1501&lt;&gt;"")*($V$2:$V$1501&lt;=X884)*($S$2:$S$1501-'Opening Balance'!$B$15*($R$2:$R$1501="Cheque 支票")*($S$2:$S$1501-TRUNC($S$2:$S$1501))))-'Opening Balance'!$B$15*SUMPRODUCT(($Z$2:Z884="Online collection 网上收款")*($AA$2:AA884&lt;&gt;"")*($AC$2:AC884-TRUNC($AC$2:AC884))),2))</f>
        <v/>
      </c>
    </row>
    <row r="885">
      <c r="O885" s="5" t="n"/>
      <c r="S885" s="6" t="n"/>
      <c r="V885" s="5" t="n"/>
      <c r="X885" s="5" t="n"/>
      <c r="AC885" s="6" t="n"/>
      <c r="AD885" s="6" t="n"/>
      <c r="AE885" s="7">
        <f>IF(X885="","",ROUND('Opening Balance'!$B$4+SUM($AC$2:AC885)-SUM($AD$2:AD885)+SUMPRODUCT(($Q$2:$Q$1501="Collection 收款")*($R$2:$R$1501="Cheque 支票")*($V$2:$V$1501&lt;&gt;"")*($V$2:$V$1501&lt;=X885)*($S$2:$S$1501-'Opening Balance'!$B$15*($R$2:$R$1501="Cheque 支票")*($S$2:$S$1501-TRUNC($S$2:$S$1501))))-'Opening Balance'!$B$15*SUMPRODUCT(($Z$2:Z885="Online collection 网上收款")*($AA$2:AA885&lt;&gt;"")*($AC$2:AC885-TRUNC($AC$2:AC885))),2))</f>
        <v/>
      </c>
    </row>
    <row r="886">
      <c r="O886" s="5" t="n"/>
      <c r="S886" s="6" t="n"/>
      <c r="V886" s="5" t="n"/>
      <c r="X886" s="5" t="n"/>
      <c r="AC886" s="6" t="n"/>
      <c r="AD886" s="6" t="n"/>
      <c r="AE886" s="7">
        <f>IF(X886="","",ROUND('Opening Balance'!$B$4+SUM($AC$2:AC886)-SUM($AD$2:AD886)+SUMPRODUCT(($Q$2:$Q$1501="Collection 收款")*($R$2:$R$1501="Cheque 支票")*($V$2:$V$1501&lt;&gt;"")*($V$2:$V$1501&lt;=X886)*($S$2:$S$1501-'Opening Balance'!$B$15*($R$2:$R$1501="Cheque 支票")*($S$2:$S$1501-TRUNC($S$2:$S$1501))))-'Opening Balance'!$B$15*SUMPRODUCT(($Z$2:Z886="Online collection 网上收款")*($AA$2:AA886&lt;&gt;"")*($AC$2:AC886-TRUNC($AC$2:AC886))),2))</f>
        <v/>
      </c>
    </row>
    <row r="887">
      <c r="O887" s="5" t="n"/>
      <c r="S887" s="6" t="n"/>
      <c r="V887" s="5" t="n"/>
      <c r="X887" s="5" t="n"/>
      <c r="AC887" s="6" t="n"/>
      <c r="AD887" s="6" t="n"/>
      <c r="AE887" s="7">
        <f>IF(X887="","",ROUND('Opening Balance'!$B$4+SUM($AC$2:AC887)-SUM($AD$2:AD887)+SUMPRODUCT(($Q$2:$Q$1501="Collection 收款")*($R$2:$R$1501="Cheque 支票")*($V$2:$V$1501&lt;&gt;"")*($V$2:$V$1501&lt;=X887)*($S$2:$S$1501-'Opening Balance'!$B$15*($R$2:$R$1501="Cheque 支票")*($S$2:$S$1501-TRUNC($S$2:$S$1501))))-'Opening Balance'!$B$15*SUMPRODUCT(($Z$2:Z887="Online collection 网上收款")*($AA$2:AA887&lt;&gt;"")*($AC$2:AC887-TRUNC($AC$2:AC887))),2))</f>
        <v/>
      </c>
    </row>
    <row r="888">
      <c r="O888" s="5" t="n"/>
      <c r="S888" s="6" t="n"/>
      <c r="V888" s="5" t="n"/>
      <c r="X888" s="5" t="n"/>
      <c r="AC888" s="6" t="n"/>
      <c r="AD888" s="6" t="n"/>
      <c r="AE888" s="7">
        <f>IF(X888="","",ROUND('Opening Balance'!$B$4+SUM($AC$2:AC888)-SUM($AD$2:AD888)+SUMPRODUCT(($Q$2:$Q$1501="Collection 收款")*($R$2:$R$1501="Cheque 支票")*($V$2:$V$1501&lt;&gt;"")*($V$2:$V$1501&lt;=X888)*($S$2:$S$1501-'Opening Balance'!$B$15*($R$2:$R$1501="Cheque 支票")*($S$2:$S$1501-TRUNC($S$2:$S$1501))))-'Opening Balance'!$B$15*SUMPRODUCT(($Z$2:Z888="Online collection 网上收款")*($AA$2:AA888&lt;&gt;"")*($AC$2:AC888-TRUNC($AC$2:AC888))),2))</f>
        <v/>
      </c>
    </row>
    <row r="889">
      <c r="O889" s="5" t="n"/>
      <c r="S889" s="6" t="n"/>
      <c r="V889" s="5" t="n"/>
      <c r="X889" s="5" t="n"/>
      <c r="AC889" s="6" t="n"/>
      <c r="AD889" s="6" t="n"/>
      <c r="AE889" s="7">
        <f>IF(X889="","",ROUND('Opening Balance'!$B$4+SUM($AC$2:AC889)-SUM($AD$2:AD889)+SUMPRODUCT(($Q$2:$Q$1501="Collection 收款")*($R$2:$R$1501="Cheque 支票")*($V$2:$V$1501&lt;&gt;"")*($V$2:$V$1501&lt;=X889)*($S$2:$S$1501-'Opening Balance'!$B$15*($R$2:$R$1501="Cheque 支票")*($S$2:$S$1501-TRUNC($S$2:$S$1501))))-'Opening Balance'!$B$15*SUMPRODUCT(($Z$2:Z889="Online collection 网上收款")*($AA$2:AA889&lt;&gt;"")*($AC$2:AC889-TRUNC($AC$2:AC889))),2))</f>
        <v/>
      </c>
    </row>
    <row r="890">
      <c r="O890" s="5" t="n"/>
      <c r="S890" s="6" t="n"/>
      <c r="V890" s="5" t="n"/>
      <c r="X890" s="5" t="n"/>
      <c r="AC890" s="6" t="n"/>
      <c r="AD890" s="6" t="n"/>
      <c r="AE890" s="7">
        <f>IF(X890="","",ROUND('Opening Balance'!$B$4+SUM($AC$2:AC890)-SUM($AD$2:AD890)+SUMPRODUCT(($Q$2:$Q$1501="Collection 收款")*($R$2:$R$1501="Cheque 支票")*($V$2:$V$1501&lt;&gt;"")*($V$2:$V$1501&lt;=X890)*($S$2:$S$1501-'Opening Balance'!$B$15*($R$2:$R$1501="Cheque 支票")*($S$2:$S$1501-TRUNC($S$2:$S$1501))))-'Opening Balance'!$B$15*SUMPRODUCT(($Z$2:Z890="Online collection 网上收款")*($AA$2:AA890&lt;&gt;"")*($AC$2:AC890-TRUNC($AC$2:AC890))),2))</f>
        <v/>
      </c>
    </row>
    <row r="891">
      <c r="O891" s="5" t="n"/>
      <c r="S891" s="6" t="n"/>
      <c r="V891" s="5" t="n"/>
      <c r="X891" s="5" t="n"/>
      <c r="AC891" s="6" t="n"/>
      <c r="AD891" s="6" t="n"/>
      <c r="AE891" s="7">
        <f>IF(X891="","",ROUND('Opening Balance'!$B$4+SUM($AC$2:AC891)-SUM($AD$2:AD891)+SUMPRODUCT(($Q$2:$Q$1501="Collection 收款")*($R$2:$R$1501="Cheque 支票")*($V$2:$V$1501&lt;&gt;"")*($V$2:$V$1501&lt;=X891)*($S$2:$S$1501-'Opening Balance'!$B$15*($R$2:$R$1501="Cheque 支票")*($S$2:$S$1501-TRUNC($S$2:$S$1501))))-'Opening Balance'!$B$15*SUMPRODUCT(($Z$2:Z891="Online collection 网上收款")*($AA$2:AA891&lt;&gt;"")*($AC$2:AC891-TRUNC($AC$2:AC891))),2))</f>
        <v/>
      </c>
    </row>
    <row r="892">
      <c r="O892" s="5" t="n"/>
      <c r="S892" s="6" t="n"/>
      <c r="V892" s="5" t="n"/>
      <c r="X892" s="5" t="n"/>
      <c r="AC892" s="6" t="n"/>
      <c r="AD892" s="6" t="n"/>
      <c r="AE892" s="7">
        <f>IF(X892="","",ROUND('Opening Balance'!$B$4+SUM($AC$2:AC892)-SUM($AD$2:AD892)+SUMPRODUCT(($Q$2:$Q$1501="Collection 收款")*($R$2:$R$1501="Cheque 支票")*($V$2:$V$1501&lt;&gt;"")*($V$2:$V$1501&lt;=X892)*($S$2:$S$1501-'Opening Balance'!$B$15*($R$2:$R$1501="Cheque 支票")*($S$2:$S$1501-TRUNC($S$2:$S$1501))))-'Opening Balance'!$B$15*SUMPRODUCT(($Z$2:Z892="Online collection 网上收款")*($AA$2:AA892&lt;&gt;"")*($AC$2:AC892-TRUNC($AC$2:AC892))),2))</f>
        <v/>
      </c>
    </row>
    <row r="893">
      <c r="O893" s="5" t="n"/>
      <c r="S893" s="6" t="n"/>
      <c r="V893" s="5" t="n"/>
      <c r="X893" s="5" t="n"/>
      <c r="AC893" s="6" t="n"/>
      <c r="AD893" s="6" t="n"/>
      <c r="AE893" s="7">
        <f>IF(X893="","",ROUND('Opening Balance'!$B$4+SUM($AC$2:AC893)-SUM($AD$2:AD893)+SUMPRODUCT(($Q$2:$Q$1501="Collection 收款")*($R$2:$R$1501="Cheque 支票")*($V$2:$V$1501&lt;&gt;"")*($V$2:$V$1501&lt;=X893)*($S$2:$S$1501-'Opening Balance'!$B$15*($R$2:$R$1501="Cheque 支票")*($S$2:$S$1501-TRUNC($S$2:$S$1501))))-'Opening Balance'!$B$15*SUMPRODUCT(($Z$2:Z893="Online collection 网上收款")*($AA$2:AA893&lt;&gt;"")*($AC$2:AC893-TRUNC($AC$2:AC893))),2))</f>
        <v/>
      </c>
    </row>
    <row r="894">
      <c r="O894" s="5" t="n"/>
      <c r="S894" s="6" t="n"/>
      <c r="V894" s="5" t="n"/>
      <c r="X894" s="5" t="n"/>
      <c r="AC894" s="6" t="n"/>
      <c r="AD894" s="6" t="n"/>
      <c r="AE894" s="7">
        <f>IF(X894="","",ROUND('Opening Balance'!$B$4+SUM($AC$2:AC894)-SUM($AD$2:AD894)+SUMPRODUCT(($Q$2:$Q$1501="Collection 收款")*($R$2:$R$1501="Cheque 支票")*($V$2:$V$1501&lt;&gt;"")*($V$2:$V$1501&lt;=X894)*($S$2:$S$1501-'Opening Balance'!$B$15*($R$2:$R$1501="Cheque 支票")*($S$2:$S$1501-TRUNC($S$2:$S$1501))))-'Opening Balance'!$B$15*SUMPRODUCT(($Z$2:Z894="Online collection 网上收款")*($AA$2:AA894&lt;&gt;"")*($AC$2:AC894-TRUNC($AC$2:AC894))),2))</f>
        <v/>
      </c>
    </row>
    <row r="895">
      <c r="O895" s="5" t="n"/>
      <c r="S895" s="6" t="n"/>
      <c r="V895" s="5" t="n"/>
      <c r="X895" s="5" t="n"/>
      <c r="AC895" s="6" t="n"/>
      <c r="AD895" s="6" t="n"/>
      <c r="AE895" s="7">
        <f>IF(X895="","",ROUND('Opening Balance'!$B$4+SUM($AC$2:AC895)-SUM($AD$2:AD895)+SUMPRODUCT(($Q$2:$Q$1501="Collection 收款")*($R$2:$R$1501="Cheque 支票")*($V$2:$V$1501&lt;&gt;"")*($V$2:$V$1501&lt;=X895)*($S$2:$S$1501-'Opening Balance'!$B$15*($R$2:$R$1501="Cheque 支票")*($S$2:$S$1501-TRUNC($S$2:$S$1501))))-'Opening Balance'!$B$15*SUMPRODUCT(($Z$2:Z895="Online collection 网上收款")*($AA$2:AA895&lt;&gt;"")*($AC$2:AC895-TRUNC($AC$2:AC895))),2))</f>
        <v/>
      </c>
    </row>
    <row r="896">
      <c r="O896" s="5" t="n"/>
      <c r="S896" s="6" t="n"/>
      <c r="V896" s="5" t="n"/>
      <c r="X896" s="5" t="n"/>
      <c r="AC896" s="6" t="n"/>
      <c r="AD896" s="6" t="n"/>
      <c r="AE896" s="7">
        <f>IF(X896="","",ROUND('Opening Balance'!$B$4+SUM($AC$2:AC896)-SUM($AD$2:AD896)+SUMPRODUCT(($Q$2:$Q$1501="Collection 收款")*($R$2:$R$1501="Cheque 支票")*($V$2:$V$1501&lt;&gt;"")*($V$2:$V$1501&lt;=X896)*($S$2:$S$1501-'Opening Balance'!$B$15*($R$2:$R$1501="Cheque 支票")*($S$2:$S$1501-TRUNC($S$2:$S$1501))))-'Opening Balance'!$B$15*SUMPRODUCT(($Z$2:Z896="Online collection 网上收款")*($AA$2:AA896&lt;&gt;"")*($AC$2:AC896-TRUNC($AC$2:AC896))),2))</f>
        <v/>
      </c>
    </row>
    <row r="897">
      <c r="O897" s="5" t="n"/>
      <c r="S897" s="6" t="n"/>
      <c r="V897" s="5" t="n"/>
      <c r="X897" s="5" t="n"/>
      <c r="AC897" s="6" t="n"/>
      <c r="AD897" s="6" t="n"/>
      <c r="AE897" s="7">
        <f>IF(X897="","",ROUND('Opening Balance'!$B$4+SUM($AC$2:AC897)-SUM($AD$2:AD897)+SUMPRODUCT(($Q$2:$Q$1501="Collection 收款")*($R$2:$R$1501="Cheque 支票")*($V$2:$V$1501&lt;&gt;"")*($V$2:$V$1501&lt;=X897)*($S$2:$S$1501-'Opening Balance'!$B$15*($R$2:$R$1501="Cheque 支票")*($S$2:$S$1501-TRUNC($S$2:$S$1501))))-'Opening Balance'!$B$15*SUMPRODUCT(($Z$2:Z897="Online collection 网上收款")*($AA$2:AA897&lt;&gt;"")*($AC$2:AC897-TRUNC($AC$2:AC897))),2))</f>
        <v/>
      </c>
    </row>
    <row r="898">
      <c r="O898" s="5" t="n"/>
      <c r="S898" s="6" t="n"/>
      <c r="V898" s="5" t="n"/>
      <c r="X898" s="5" t="n"/>
      <c r="AC898" s="6" t="n"/>
      <c r="AD898" s="6" t="n"/>
      <c r="AE898" s="7">
        <f>IF(X898="","",ROUND('Opening Balance'!$B$4+SUM($AC$2:AC898)-SUM($AD$2:AD898)+SUMPRODUCT(($Q$2:$Q$1501="Collection 收款")*($R$2:$R$1501="Cheque 支票")*($V$2:$V$1501&lt;&gt;"")*($V$2:$V$1501&lt;=X898)*($S$2:$S$1501-'Opening Balance'!$B$15*($R$2:$R$1501="Cheque 支票")*($S$2:$S$1501-TRUNC($S$2:$S$1501))))-'Opening Balance'!$B$15*SUMPRODUCT(($Z$2:Z898="Online collection 网上收款")*($AA$2:AA898&lt;&gt;"")*($AC$2:AC898-TRUNC($AC$2:AC898))),2))</f>
        <v/>
      </c>
    </row>
    <row r="899">
      <c r="O899" s="5" t="n"/>
      <c r="S899" s="6" t="n"/>
      <c r="V899" s="5" t="n"/>
      <c r="X899" s="5" t="n"/>
      <c r="AC899" s="6" t="n"/>
      <c r="AD899" s="6" t="n"/>
      <c r="AE899" s="7">
        <f>IF(X899="","",ROUND('Opening Balance'!$B$4+SUM($AC$2:AC899)-SUM($AD$2:AD899)+SUMPRODUCT(($Q$2:$Q$1501="Collection 收款")*($R$2:$R$1501="Cheque 支票")*($V$2:$V$1501&lt;&gt;"")*($V$2:$V$1501&lt;=X899)*($S$2:$S$1501-'Opening Balance'!$B$15*($R$2:$R$1501="Cheque 支票")*($S$2:$S$1501-TRUNC($S$2:$S$1501))))-'Opening Balance'!$B$15*SUMPRODUCT(($Z$2:Z899="Online collection 网上收款")*($AA$2:AA899&lt;&gt;"")*($AC$2:AC899-TRUNC($AC$2:AC899))),2))</f>
        <v/>
      </c>
    </row>
    <row r="900">
      <c r="O900" s="5" t="n"/>
      <c r="S900" s="6" t="n"/>
      <c r="V900" s="5" t="n"/>
      <c r="X900" s="5" t="n"/>
      <c r="AC900" s="6" t="n"/>
      <c r="AD900" s="6" t="n"/>
      <c r="AE900" s="7">
        <f>IF(X900="","",ROUND('Opening Balance'!$B$4+SUM($AC$2:AC900)-SUM($AD$2:AD900)+SUMPRODUCT(($Q$2:$Q$1501="Collection 收款")*($R$2:$R$1501="Cheque 支票")*($V$2:$V$1501&lt;&gt;"")*($V$2:$V$1501&lt;=X900)*($S$2:$S$1501-'Opening Balance'!$B$15*($R$2:$R$1501="Cheque 支票")*($S$2:$S$1501-TRUNC($S$2:$S$1501))))-'Opening Balance'!$B$15*SUMPRODUCT(($Z$2:Z900="Online collection 网上收款")*($AA$2:AA900&lt;&gt;"")*($AC$2:AC900-TRUNC($AC$2:AC900))),2))</f>
        <v/>
      </c>
    </row>
    <row r="901">
      <c r="O901" s="5" t="n"/>
      <c r="S901" s="6" t="n"/>
      <c r="V901" s="5" t="n"/>
      <c r="X901" s="5" t="n"/>
      <c r="AC901" s="6" t="n"/>
      <c r="AD901" s="6" t="n"/>
      <c r="AE901" s="7">
        <f>IF(X901="","",ROUND('Opening Balance'!$B$4+SUM($AC$2:AC901)-SUM($AD$2:AD901)+SUMPRODUCT(($Q$2:$Q$1501="Collection 收款")*($R$2:$R$1501="Cheque 支票")*($V$2:$V$1501&lt;&gt;"")*($V$2:$V$1501&lt;=X901)*($S$2:$S$1501-'Opening Balance'!$B$15*($R$2:$R$1501="Cheque 支票")*($S$2:$S$1501-TRUNC($S$2:$S$1501))))-'Opening Balance'!$B$15*SUMPRODUCT(($Z$2:Z901="Online collection 网上收款")*($AA$2:AA901&lt;&gt;"")*($AC$2:AC901-TRUNC($AC$2:AC901))),2))</f>
        <v/>
      </c>
    </row>
    <row r="902">
      <c r="O902" s="5" t="n"/>
      <c r="S902" s="6" t="n"/>
      <c r="V902" s="5" t="n"/>
      <c r="X902" s="5" t="n"/>
      <c r="AC902" s="6" t="n"/>
      <c r="AD902" s="6" t="n"/>
      <c r="AE902" s="7">
        <f>IF(X902="","",ROUND('Opening Balance'!$B$4+SUM($AC$2:AC902)-SUM($AD$2:AD902)+SUMPRODUCT(($Q$2:$Q$1501="Collection 收款")*($R$2:$R$1501="Cheque 支票")*($V$2:$V$1501&lt;&gt;"")*($V$2:$V$1501&lt;=X902)*($S$2:$S$1501-'Opening Balance'!$B$15*($R$2:$R$1501="Cheque 支票")*($S$2:$S$1501-TRUNC($S$2:$S$1501))))-'Opening Balance'!$B$15*SUMPRODUCT(($Z$2:Z902="Online collection 网上收款")*($AA$2:AA902&lt;&gt;"")*($AC$2:AC902-TRUNC($AC$2:AC902))),2))</f>
        <v/>
      </c>
    </row>
    <row r="903">
      <c r="O903" s="5" t="n"/>
      <c r="S903" s="6" t="n"/>
      <c r="V903" s="5" t="n"/>
      <c r="X903" s="5" t="n"/>
      <c r="AC903" s="6" t="n"/>
      <c r="AD903" s="6" t="n"/>
      <c r="AE903" s="7">
        <f>IF(X903="","",ROUND('Opening Balance'!$B$4+SUM($AC$2:AC903)-SUM($AD$2:AD903)+SUMPRODUCT(($Q$2:$Q$1501="Collection 收款")*($R$2:$R$1501="Cheque 支票")*($V$2:$V$1501&lt;&gt;"")*($V$2:$V$1501&lt;=X903)*($S$2:$S$1501-'Opening Balance'!$B$15*($R$2:$R$1501="Cheque 支票")*($S$2:$S$1501-TRUNC($S$2:$S$1501))))-'Opening Balance'!$B$15*SUMPRODUCT(($Z$2:Z903="Online collection 网上收款")*($AA$2:AA903&lt;&gt;"")*($AC$2:AC903-TRUNC($AC$2:AC903))),2))</f>
        <v/>
      </c>
    </row>
    <row r="904">
      <c r="O904" s="5" t="n"/>
      <c r="S904" s="6" t="n"/>
      <c r="V904" s="5" t="n"/>
      <c r="X904" s="5" t="n"/>
      <c r="AC904" s="6" t="n"/>
      <c r="AD904" s="6" t="n"/>
      <c r="AE904" s="7">
        <f>IF(X904="","",ROUND('Opening Balance'!$B$4+SUM($AC$2:AC904)-SUM($AD$2:AD904)+SUMPRODUCT(($Q$2:$Q$1501="Collection 收款")*($R$2:$R$1501="Cheque 支票")*($V$2:$V$1501&lt;&gt;"")*($V$2:$V$1501&lt;=X904)*($S$2:$S$1501-'Opening Balance'!$B$15*($R$2:$R$1501="Cheque 支票")*($S$2:$S$1501-TRUNC($S$2:$S$1501))))-'Opening Balance'!$B$15*SUMPRODUCT(($Z$2:Z904="Online collection 网上收款")*($AA$2:AA904&lt;&gt;"")*($AC$2:AC904-TRUNC($AC$2:AC904))),2))</f>
        <v/>
      </c>
    </row>
    <row r="905">
      <c r="O905" s="5" t="n"/>
      <c r="S905" s="6" t="n"/>
      <c r="V905" s="5" t="n"/>
      <c r="X905" s="5" t="n"/>
      <c r="AC905" s="6" t="n"/>
      <c r="AD905" s="6" t="n"/>
      <c r="AE905" s="7">
        <f>IF(X905="","",ROUND('Opening Balance'!$B$4+SUM($AC$2:AC905)-SUM($AD$2:AD905)+SUMPRODUCT(($Q$2:$Q$1501="Collection 收款")*($R$2:$R$1501="Cheque 支票")*($V$2:$V$1501&lt;&gt;"")*($V$2:$V$1501&lt;=X905)*($S$2:$S$1501-'Opening Balance'!$B$15*($R$2:$R$1501="Cheque 支票")*($S$2:$S$1501-TRUNC($S$2:$S$1501))))-'Opening Balance'!$B$15*SUMPRODUCT(($Z$2:Z905="Online collection 网上收款")*($AA$2:AA905&lt;&gt;"")*($AC$2:AC905-TRUNC($AC$2:AC905))),2))</f>
        <v/>
      </c>
    </row>
    <row r="906">
      <c r="O906" s="5" t="n"/>
      <c r="S906" s="6" t="n"/>
      <c r="V906" s="5" t="n"/>
      <c r="X906" s="5" t="n"/>
      <c r="AC906" s="6" t="n"/>
      <c r="AD906" s="6" t="n"/>
      <c r="AE906" s="7">
        <f>IF(X906="","",ROUND('Opening Balance'!$B$4+SUM($AC$2:AC906)-SUM($AD$2:AD906)+SUMPRODUCT(($Q$2:$Q$1501="Collection 收款")*($R$2:$R$1501="Cheque 支票")*($V$2:$V$1501&lt;&gt;"")*($V$2:$V$1501&lt;=X906)*($S$2:$S$1501-'Opening Balance'!$B$15*($R$2:$R$1501="Cheque 支票")*($S$2:$S$1501-TRUNC($S$2:$S$1501))))-'Opening Balance'!$B$15*SUMPRODUCT(($Z$2:Z906="Online collection 网上收款")*($AA$2:AA906&lt;&gt;"")*($AC$2:AC906-TRUNC($AC$2:AC906))),2))</f>
        <v/>
      </c>
    </row>
    <row r="907">
      <c r="O907" s="5" t="n"/>
      <c r="S907" s="6" t="n"/>
      <c r="V907" s="5" t="n"/>
      <c r="X907" s="5" t="n"/>
      <c r="AC907" s="6" t="n"/>
      <c r="AD907" s="6" t="n"/>
      <c r="AE907" s="7">
        <f>IF(X907="","",ROUND('Opening Balance'!$B$4+SUM($AC$2:AC907)-SUM($AD$2:AD907)+SUMPRODUCT(($Q$2:$Q$1501="Collection 收款")*($R$2:$R$1501="Cheque 支票")*($V$2:$V$1501&lt;&gt;"")*($V$2:$V$1501&lt;=X907)*($S$2:$S$1501-'Opening Balance'!$B$15*($R$2:$R$1501="Cheque 支票")*($S$2:$S$1501-TRUNC($S$2:$S$1501))))-'Opening Balance'!$B$15*SUMPRODUCT(($Z$2:Z907="Online collection 网上收款")*($AA$2:AA907&lt;&gt;"")*($AC$2:AC907-TRUNC($AC$2:AC907))),2))</f>
        <v/>
      </c>
    </row>
    <row r="908">
      <c r="O908" s="5" t="n"/>
      <c r="S908" s="6" t="n"/>
      <c r="V908" s="5" t="n"/>
      <c r="X908" s="5" t="n"/>
      <c r="AC908" s="6" t="n"/>
      <c r="AD908" s="6" t="n"/>
      <c r="AE908" s="7">
        <f>IF(X908="","",ROUND('Opening Balance'!$B$4+SUM($AC$2:AC908)-SUM($AD$2:AD908)+SUMPRODUCT(($Q$2:$Q$1501="Collection 收款")*($R$2:$R$1501="Cheque 支票")*($V$2:$V$1501&lt;&gt;"")*($V$2:$V$1501&lt;=X908)*($S$2:$S$1501-'Opening Balance'!$B$15*($R$2:$R$1501="Cheque 支票")*($S$2:$S$1501-TRUNC($S$2:$S$1501))))-'Opening Balance'!$B$15*SUMPRODUCT(($Z$2:Z908="Online collection 网上收款")*($AA$2:AA908&lt;&gt;"")*($AC$2:AC908-TRUNC($AC$2:AC908))),2))</f>
        <v/>
      </c>
    </row>
    <row r="909">
      <c r="O909" s="5" t="n"/>
      <c r="S909" s="6" t="n"/>
      <c r="V909" s="5" t="n"/>
      <c r="X909" s="5" t="n"/>
      <c r="AC909" s="6" t="n"/>
      <c r="AD909" s="6" t="n"/>
      <c r="AE909" s="7">
        <f>IF(X909="","",ROUND('Opening Balance'!$B$4+SUM($AC$2:AC909)-SUM($AD$2:AD909)+SUMPRODUCT(($Q$2:$Q$1501="Collection 收款")*($R$2:$R$1501="Cheque 支票")*($V$2:$V$1501&lt;&gt;"")*($V$2:$V$1501&lt;=X909)*($S$2:$S$1501-'Opening Balance'!$B$15*($R$2:$R$1501="Cheque 支票")*($S$2:$S$1501-TRUNC($S$2:$S$1501))))-'Opening Balance'!$B$15*SUMPRODUCT(($Z$2:Z909="Online collection 网上收款")*($AA$2:AA909&lt;&gt;"")*($AC$2:AC909-TRUNC($AC$2:AC909))),2))</f>
        <v/>
      </c>
    </row>
    <row r="910">
      <c r="O910" s="5" t="n"/>
      <c r="S910" s="6" t="n"/>
      <c r="V910" s="5" t="n"/>
      <c r="X910" s="5" t="n"/>
      <c r="AC910" s="6" t="n"/>
      <c r="AD910" s="6" t="n"/>
      <c r="AE910" s="7">
        <f>IF(X910="","",ROUND('Opening Balance'!$B$4+SUM($AC$2:AC910)-SUM($AD$2:AD910)+SUMPRODUCT(($Q$2:$Q$1501="Collection 收款")*($R$2:$R$1501="Cheque 支票")*($V$2:$V$1501&lt;&gt;"")*($V$2:$V$1501&lt;=X910)*($S$2:$S$1501-'Opening Balance'!$B$15*($R$2:$R$1501="Cheque 支票")*($S$2:$S$1501-TRUNC($S$2:$S$1501))))-'Opening Balance'!$B$15*SUMPRODUCT(($Z$2:Z910="Online collection 网上收款")*($AA$2:AA910&lt;&gt;"")*($AC$2:AC910-TRUNC($AC$2:AC910))),2))</f>
        <v/>
      </c>
    </row>
    <row r="911">
      <c r="O911" s="5" t="n"/>
      <c r="S911" s="6" t="n"/>
      <c r="V911" s="5" t="n"/>
      <c r="X911" s="5" t="n"/>
      <c r="AC911" s="6" t="n"/>
      <c r="AD911" s="6" t="n"/>
      <c r="AE911" s="7">
        <f>IF(X911="","",ROUND('Opening Balance'!$B$4+SUM($AC$2:AC911)-SUM($AD$2:AD911)+SUMPRODUCT(($Q$2:$Q$1501="Collection 收款")*($R$2:$R$1501="Cheque 支票")*($V$2:$V$1501&lt;&gt;"")*($V$2:$V$1501&lt;=X911)*($S$2:$S$1501-'Opening Balance'!$B$15*($R$2:$R$1501="Cheque 支票")*($S$2:$S$1501-TRUNC($S$2:$S$1501))))-'Opening Balance'!$B$15*SUMPRODUCT(($Z$2:Z911="Online collection 网上收款")*($AA$2:AA911&lt;&gt;"")*($AC$2:AC911-TRUNC($AC$2:AC911))),2))</f>
        <v/>
      </c>
    </row>
    <row r="912">
      <c r="O912" s="5" t="n"/>
      <c r="S912" s="6" t="n"/>
      <c r="V912" s="5" t="n"/>
      <c r="X912" s="5" t="n"/>
      <c r="AC912" s="6" t="n"/>
      <c r="AD912" s="6" t="n"/>
      <c r="AE912" s="7">
        <f>IF(X912="","",ROUND('Opening Balance'!$B$4+SUM($AC$2:AC912)-SUM($AD$2:AD912)+SUMPRODUCT(($Q$2:$Q$1501="Collection 收款")*($R$2:$R$1501="Cheque 支票")*($V$2:$V$1501&lt;&gt;"")*($V$2:$V$1501&lt;=X912)*($S$2:$S$1501-'Opening Balance'!$B$15*($R$2:$R$1501="Cheque 支票")*($S$2:$S$1501-TRUNC($S$2:$S$1501))))-'Opening Balance'!$B$15*SUMPRODUCT(($Z$2:Z912="Online collection 网上收款")*($AA$2:AA912&lt;&gt;"")*($AC$2:AC912-TRUNC($AC$2:AC912))),2))</f>
        <v/>
      </c>
    </row>
    <row r="913">
      <c r="O913" s="5" t="n"/>
      <c r="S913" s="6" t="n"/>
      <c r="V913" s="5" t="n"/>
      <c r="X913" s="5" t="n"/>
      <c r="AC913" s="6" t="n"/>
      <c r="AD913" s="6" t="n"/>
      <c r="AE913" s="7">
        <f>IF(X913="","",ROUND('Opening Balance'!$B$4+SUM($AC$2:AC913)-SUM($AD$2:AD913)+SUMPRODUCT(($Q$2:$Q$1501="Collection 收款")*($R$2:$R$1501="Cheque 支票")*($V$2:$V$1501&lt;&gt;"")*($V$2:$V$1501&lt;=X913)*($S$2:$S$1501-'Opening Balance'!$B$15*($R$2:$R$1501="Cheque 支票")*($S$2:$S$1501-TRUNC($S$2:$S$1501))))-'Opening Balance'!$B$15*SUMPRODUCT(($Z$2:Z913="Online collection 网上收款")*($AA$2:AA913&lt;&gt;"")*($AC$2:AC913-TRUNC($AC$2:AC913))),2))</f>
        <v/>
      </c>
    </row>
    <row r="914">
      <c r="O914" s="5" t="n"/>
      <c r="S914" s="6" t="n"/>
      <c r="V914" s="5" t="n"/>
      <c r="X914" s="5" t="n"/>
      <c r="AC914" s="6" t="n"/>
      <c r="AD914" s="6" t="n"/>
      <c r="AE914" s="7">
        <f>IF(X914="","",ROUND('Opening Balance'!$B$4+SUM($AC$2:AC914)-SUM($AD$2:AD914)+SUMPRODUCT(($Q$2:$Q$1501="Collection 收款")*($R$2:$R$1501="Cheque 支票")*($V$2:$V$1501&lt;&gt;"")*($V$2:$V$1501&lt;=X914)*($S$2:$S$1501-'Opening Balance'!$B$15*($R$2:$R$1501="Cheque 支票")*($S$2:$S$1501-TRUNC($S$2:$S$1501))))-'Opening Balance'!$B$15*SUMPRODUCT(($Z$2:Z914="Online collection 网上收款")*($AA$2:AA914&lt;&gt;"")*($AC$2:AC914-TRUNC($AC$2:AC914))),2))</f>
        <v/>
      </c>
    </row>
    <row r="915">
      <c r="O915" s="5" t="n"/>
      <c r="S915" s="6" t="n"/>
      <c r="V915" s="5" t="n"/>
      <c r="X915" s="5" t="n"/>
      <c r="AC915" s="6" t="n"/>
      <c r="AD915" s="6" t="n"/>
      <c r="AE915" s="7">
        <f>IF(X915="","",ROUND('Opening Balance'!$B$4+SUM($AC$2:AC915)-SUM($AD$2:AD915)+SUMPRODUCT(($Q$2:$Q$1501="Collection 收款")*($R$2:$R$1501="Cheque 支票")*($V$2:$V$1501&lt;&gt;"")*($V$2:$V$1501&lt;=X915)*($S$2:$S$1501-'Opening Balance'!$B$15*($R$2:$R$1501="Cheque 支票")*($S$2:$S$1501-TRUNC($S$2:$S$1501))))-'Opening Balance'!$B$15*SUMPRODUCT(($Z$2:Z915="Online collection 网上收款")*($AA$2:AA915&lt;&gt;"")*($AC$2:AC915-TRUNC($AC$2:AC915))),2))</f>
        <v/>
      </c>
    </row>
    <row r="916">
      <c r="O916" s="5" t="n"/>
      <c r="S916" s="6" t="n"/>
      <c r="V916" s="5" t="n"/>
      <c r="X916" s="5" t="n"/>
      <c r="AC916" s="6" t="n"/>
      <c r="AD916" s="6" t="n"/>
      <c r="AE916" s="7">
        <f>IF(X916="","",ROUND('Opening Balance'!$B$4+SUM($AC$2:AC916)-SUM($AD$2:AD916)+SUMPRODUCT(($Q$2:$Q$1501="Collection 收款")*($R$2:$R$1501="Cheque 支票")*($V$2:$V$1501&lt;&gt;"")*($V$2:$V$1501&lt;=X916)*($S$2:$S$1501-'Opening Balance'!$B$15*($R$2:$R$1501="Cheque 支票")*($S$2:$S$1501-TRUNC($S$2:$S$1501))))-'Opening Balance'!$B$15*SUMPRODUCT(($Z$2:Z916="Online collection 网上收款")*($AA$2:AA916&lt;&gt;"")*($AC$2:AC916-TRUNC($AC$2:AC916))),2))</f>
        <v/>
      </c>
    </row>
    <row r="917">
      <c r="O917" s="5" t="n"/>
      <c r="S917" s="6" t="n"/>
      <c r="V917" s="5" t="n"/>
      <c r="X917" s="5" t="n"/>
      <c r="AC917" s="6" t="n"/>
      <c r="AD917" s="6" t="n"/>
      <c r="AE917" s="7">
        <f>IF(X917="","",ROUND('Opening Balance'!$B$4+SUM($AC$2:AC917)-SUM($AD$2:AD917)+SUMPRODUCT(($Q$2:$Q$1501="Collection 收款")*($R$2:$R$1501="Cheque 支票")*($V$2:$V$1501&lt;&gt;"")*($V$2:$V$1501&lt;=X917)*($S$2:$S$1501-'Opening Balance'!$B$15*($R$2:$R$1501="Cheque 支票")*($S$2:$S$1501-TRUNC($S$2:$S$1501))))-'Opening Balance'!$B$15*SUMPRODUCT(($Z$2:Z917="Online collection 网上收款")*($AA$2:AA917&lt;&gt;"")*($AC$2:AC917-TRUNC($AC$2:AC917))),2))</f>
        <v/>
      </c>
    </row>
    <row r="918">
      <c r="O918" s="5" t="n"/>
      <c r="S918" s="6" t="n"/>
      <c r="V918" s="5" t="n"/>
      <c r="X918" s="5" t="n"/>
      <c r="AC918" s="6" t="n"/>
      <c r="AD918" s="6" t="n"/>
      <c r="AE918" s="7">
        <f>IF(X918="","",ROUND('Opening Balance'!$B$4+SUM($AC$2:AC918)-SUM($AD$2:AD918)+SUMPRODUCT(($Q$2:$Q$1501="Collection 收款")*($R$2:$R$1501="Cheque 支票")*($V$2:$V$1501&lt;&gt;"")*($V$2:$V$1501&lt;=X918)*($S$2:$S$1501-'Opening Balance'!$B$15*($R$2:$R$1501="Cheque 支票")*($S$2:$S$1501-TRUNC($S$2:$S$1501))))-'Opening Balance'!$B$15*SUMPRODUCT(($Z$2:Z918="Online collection 网上收款")*($AA$2:AA918&lt;&gt;"")*($AC$2:AC918-TRUNC($AC$2:AC918))),2))</f>
        <v/>
      </c>
    </row>
    <row r="919">
      <c r="O919" s="5" t="n"/>
      <c r="S919" s="6" t="n"/>
      <c r="V919" s="5" t="n"/>
      <c r="X919" s="5" t="n"/>
      <c r="AC919" s="6" t="n"/>
      <c r="AD919" s="6" t="n"/>
      <c r="AE919" s="7">
        <f>IF(X919="","",ROUND('Opening Balance'!$B$4+SUM($AC$2:AC919)-SUM($AD$2:AD919)+SUMPRODUCT(($Q$2:$Q$1501="Collection 收款")*($R$2:$R$1501="Cheque 支票")*($V$2:$V$1501&lt;&gt;"")*($V$2:$V$1501&lt;=X919)*($S$2:$S$1501-'Opening Balance'!$B$15*($R$2:$R$1501="Cheque 支票")*($S$2:$S$1501-TRUNC($S$2:$S$1501))))-'Opening Balance'!$B$15*SUMPRODUCT(($Z$2:Z919="Online collection 网上收款")*($AA$2:AA919&lt;&gt;"")*($AC$2:AC919-TRUNC($AC$2:AC919))),2))</f>
        <v/>
      </c>
    </row>
    <row r="920">
      <c r="O920" s="5" t="n"/>
      <c r="S920" s="6" t="n"/>
      <c r="V920" s="5" t="n"/>
      <c r="X920" s="5" t="n"/>
      <c r="AC920" s="6" t="n"/>
      <c r="AD920" s="6" t="n"/>
      <c r="AE920" s="7">
        <f>IF(X920="","",ROUND('Opening Balance'!$B$4+SUM($AC$2:AC920)-SUM($AD$2:AD920)+SUMPRODUCT(($Q$2:$Q$1501="Collection 收款")*($R$2:$R$1501="Cheque 支票")*($V$2:$V$1501&lt;&gt;"")*($V$2:$V$1501&lt;=X920)*($S$2:$S$1501-'Opening Balance'!$B$15*($R$2:$R$1501="Cheque 支票")*($S$2:$S$1501-TRUNC($S$2:$S$1501))))-'Opening Balance'!$B$15*SUMPRODUCT(($Z$2:Z920="Online collection 网上收款")*($AA$2:AA920&lt;&gt;"")*($AC$2:AC920-TRUNC($AC$2:AC920))),2))</f>
        <v/>
      </c>
    </row>
    <row r="921">
      <c r="O921" s="5" t="n"/>
      <c r="S921" s="6" t="n"/>
      <c r="V921" s="5" t="n"/>
      <c r="X921" s="5" t="n"/>
      <c r="AC921" s="6" t="n"/>
      <c r="AD921" s="6" t="n"/>
      <c r="AE921" s="7">
        <f>IF(X921="","",ROUND('Opening Balance'!$B$4+SUM($AC$2:AC921)-SUM($AD$2:AD921)+SUMPRODUCT(($Q$2:$Q$1501="Collection 收款")*($R$2:$R$1501="Cheque 支票")*($V$2:$V$1501&lt;&gt;"")*($V$2:$V$1501&lt;=X921)*($S$2:$S$1501-'Opening Balance'!$B$15*($R$2:$R$1501="Cheque 支票")*($S$2:$S$1501-TRUNC($S$2:$S$1501))))-'Opening Balance'!$B$15*SUMPRODUCT(($Z$2:Z921="Online collection 网上收款")*($AA$2:AA921&lt;&gt;"")*($AC$2:AC921-TRUNC($AC$2:AC921))),2))</f>
        <v/>
      </c>
    </row>
    <row r="922">
      <c r="O922" s="5" t="n"/>
      <c r="S922" s="6" t="n"/>
      <c r="V922" s="5" t="n"/>
      <c r="X922" s="5" t="n"/>
      <c r="AC922" s="6" t="n"/>
      <c r="AD922" s="6" t="n"/>
      <c r="AE922" s="7">
        <f>IF(X922="","",ROUND('Opening Balance'!$B$4+SUM($AC$2:AC922)-SUM($AD$2:AD922)+SUMPRODUCT(($Q$2:$Q$1501="Collection 收款")*($R$2:$R$1501="Cheque 支票")*($V$2:$V$1501&lt;&gt;"")*($V$2:$V$1501&lt;=X922)*($S$2:$S$1501-'Opening Balance'!$B$15*($R$2:$R$1501="Cheque 支票")*($S$2:$S$1501-TRUNC($S$2:$S$1501))))-'Opening Balance'!$B$15*SUMPRODUCT(($Z$2:Z922="Online collection 网上收款")*($AA$2:AA922&lt;&gt;"")*($AC$2:AC922-TRUNC($AC$2:AC922))),2))</f>
        <v/>
      </c>
    </row>
    <row r="923">
      <c r="O923" s="5" t="n"/>
      <c r="S923" s="6" t="n"/>
      <c r="V923" s="5" t="n"/>
      <c r="X923" s="5" t="n"/>
      <c r="AC923" s="6" t="n"/>
      <c r="AD923" s="6" t="n"/>
      <c r="AE923" s="7">
        <f>IF(X923="","",ROUND('Opening Balance'!$B$4+SUM($AC$2:AC923)-SUM($AD$2:AD923)+SUMPRODUCT(($Q$2:$Q$1501="Collection 收款")*($R$2:$R$1501="Cheque 支票")*($V$2:$V$1501&lt;&gt;"")*($V$2:$V$1501&lt;=X923)*($S$2:$S$1501-'Opening Balance'!$B$15*($R$2:$R$1501="Cheque 支票")*($S$2:$S$1501-TRUNC($S$2:$S$1501))))-'Opening Balance'!$B$15*SUMPRODUCT(($Z$2:Z923="Online collection 网上收款")*($AA$2:AA923&lt;&gt;"")*($AC$2:AC923-TRUNC($AC$2:AC923))),2))</f>
        <v/>
      </c>
    </row>
    <row r="924">
      <c r="O924" s="5" t="n"/>
      <c r="S924" s="6" t="n"/>
      <c r="V924" s="5" t="n"/>
      <c r="X924" s="5" t="n"/>
      <c r="AC924" s="6" t="n"/>
      <c r="AD924" s="6" t="n"/>
      <c r="AE924" s="7">
        <f>IF(X924="","",ROUND('Opening Balance'!$B$4+SUM($AC$2:AC924)-SUM($AD$2:AD924)+SUMPRODUCT(($Q$2:$Q$1501="Collection 收款")*($R$2:$R$1501="Cheque 支票")*($V$2:$V$1501&lt;&gt;"")*($V$2:$V$1501&lt;=X924)*($S$2:$S$1501-'Opening Balance'!$B$15*($R$2:$R$1501="Cheque 支票")*($S$2:$S$1501-TRUNC($S$2:$S$1501))))-'Opening Balance'!$B$15*SUMPRODUCT(($Z$2:Z924="Online collection 网上收款")*($AA$2:AA924&lt;&gt;"")*($AC$2:AC924-TRUNC($AC$2:AC924))),2))</f>
        <v/>
      </c>
    </row>
    <row r="925">
      <c r="O925" s="5" t="n"/>
      <c r="S925" s="6" t="n"/>
      <c r="V925" s="5" t="n"/>
      <c r="X925" s="5" t="n"/>
      <c r="AC925" s="6" t="n"/>
      <c r="AD925" s="6" t="n"/>
      <c r="AE925" s="7">
        <f>IF(X925="","",ROUND('Opening Balance'!$B$4+SUM($AC$2:AC925)-SUM($AD$2:AD925)+SUMPRODUCT(($Q$2:$Q$1501="Collection 收款")*($R$2:$R$1501="Cheque 支票")*($V$2:$V$1501&lt;&gt;"")*($V$2:$V$1501&lt;=X925)*($S$2:$S$1501-'Opening Balance'!$B$15*($R$2:$R$1501="Cheque 支票")*($S$2:$S$1501-TRUNC($S$2:$S$1501))))-'Opening Balance'!$B$15*SUMPRODUCT(($Z$2:Z925="Online collection 网上收款")*($AA$2:AA925&lt;&gt;"")*($AC$2:AC925-TRUNC($AC$2:AC925))),2))</f>
        <v/>
      </c>
    </row>
    <row r="926">
      <c r="O926" s="5" t="n"/>
      <c r="S926" s="6" t="n"/>
      <c r="V926" s="5" t="n"/>
      <c r="X926" s="5" t="n"/>
      <c r="AC926" s="6" t="n"/>
      <c r="AD926" s="6" t="n"/>
      <c r="AE926" s="7">
        <f>IF(X926="","",ROUND('Opening Balance'!$B$4+SUM($AC$2:AC926)-SUM($AD$2:AD926)+SUMPRODUCT(($Q$2:$Q$1501="Collection 收款")*($R$2:$R$1501="Cheque 支票")*($V$2:$V$1501&lt;&gt;"")*($V$2:$V$1501&lt;=X926)*($S$2:$S$1501-'Opening Balance'!$B$15*($R$2:$R$1501="Cheque 支票")*($S$2:$S$1501-TRUNC($S$2:$S$1501))))-'Opening Balance'!$B$15*SUMPRODUCT(($Z$2:Z926="Online collection 网上收款")*($AA$2:AA926&lt;&gt;"")*($AC$2:AC926-TRUNC($AC$2:AC926))),2))</f>
        <v/>
      </c>
    </row>
    <row r="927">
      <c r="O927" s="5" t="n"/>
      <c r="S927" s="6" t="n"/>
      <c r="V927" s="5" t="n"/>
      <c r="X927" s="5" t="n"/>
      <c r="AC927" s="6" t="n"/>
      <c r="AD927" s="6" t="n"/>
      <c r="AE927" s="7">
        <f>IF(X927="","",ROUND('Opening Balance'!$B$4+SUM($AC$2:AC927)-SUM($AD$2:AD927)+SUMPRODUCT(($Q$2:$Q$1501="Collection 收款")*($R$2:$R$1501="Cheque 支票")*($V$2:$V$1501&lt;&gt;"")*($V$2:$V$1501&lt;=X927)*($S$2:$S$1501-'Opening Balance'!$B$15*($R$2:$R$1501="Cheque 支票")*($S$2:$S$1501-TRUNC($S$2:$S$1501))))-'Opening Balance'!$B$15*SUMPRODUCT(($Z$2:Z927="Online collection 网上收款")*($AA$2:AA927&lt;&gt;"")*($AC$2:AC927-TRUNC($AC$2:AC927))),2))</f>
        <v/>
      </c>
    </row>
    <row r="928">
      <c r="O928" s="5" t="n"/>
      <c r="S928" s="6" t="n"/>
      <c r="V928" s="5" t="n"/>
      <c r="X928" s="5" t="n"/>
      <c r="AC928" s="6" t="n"/>
      <c r="AD928" s="6" t="n"/>
      <c r="AE928" s="7">
        <f>IF(X928="","",ROUND('Opening Balance'!$B$4+SUM($AC$2:AC928)-SUM($AD$2:AD928)+SUMPRODUCT(($Q$2:$Q$1501="Collection 收款")*($R$2:$R$1501="Cheque 支票")*($V$2:$V$1501&lt;&gt;"")*($V$2:$V$1501&lt;=X928)*($S$2:$S$1501-'Opening Balance'!$B$15*($R$2:$R$1501="Cheque 支票")*($S$2:$S$1501-TRUNC($S$2:$S$1501))))-'Opening Balance'!$B$15*SUMPRODUCT(($Z$2:Z928="Online collection 网上收款")*($AA$2:AA928&lt;&gt;"")*($AC$2:AC928-TRUNC($AC$2:AC928))),2))</f>
        <v/>
      </c>
    </row>
    <row r="929">
      <c r="O929" s="5" t="n"/>
      <c r="S929" s="6" t="n"/>
      <c r="V929" s="5" t="n"/>
      <c r="X929" s="5" t="n"/>
      <c r="AC929" s="6" t="n"/>
      <c r="AD929" s="6" t="n"/>
      <c r="AE929" s="7">
        <f>IF(X929="","",ROUND('Opening Balance'!$B$4+SUM($AC$2:AC929)-SUM($AD$2:AD929)+SUMPRODUCT(($Q$2:$Q$1501="Collection 收款")*($R$2:$R$1501="Cheque 支票")*($V$2:$V$1501&lt;&gt;"")*($V$2:$V$1501&lt;=X929)*($S$2:$S$1501-'Opening Balance'!$B$15*($R$2:$R$1501="Cheque 支票")*($S$2:$S$1501-TRUNC($S$2:$S$1501))))-'Opening Balance'!$B$15*SUMPRODUCT(($Z$2:Z929="Online collection 网上收款")*($AA$2:AA929&lt;&gt;"")*($AC$2:AC929-TRUNC($AC$2:AC929))),2))</f>
        <v/>
      </c>
    </row>
    <row r="930">
      <c r="O930" s="5" t="n"/>
      <c r="S930" s="6" t="n"/>
      <c r="V930" s="5" t="n"/>
      <c r="X930" s="5" t="n"/>
      <c r="AC930" s="6" t="n"/>
      <c r="AD930" s="6" t="n"/>
      <c r="AE930" s="7">
        <f>IF(X930="","",ROUND('Opening Balance'!$B$4+SUM($AC$2:AC930)-SUM($AD$2:AD930)+SUMPRODUCT(($Q$2:$Q$1501="Collection 收款")*($R$2:$R$1501="Cheque 支票")*($V$2:$V$1501&lt;&gt;"")*($V$2:$V$1501&lt;=X930)*($S$2:$S$1501-'Opening Balance'!$B$15*($R$2:$R$1501="Cheque 支票")*($S$2:$S$1501-TRUNC($S$2:$S$1501))))-'Opening Balance'!$B$15*SUMPRODUCT(($Z$2:Z930="Online collection 网上收款")*($AA$2:AA930&lt;&gt;"")*($AC$2:AC930-TRUNC($AC$2:AC930))),2))</f>
        <v/>
      </c>
    </row>
    <row r="931">
      <c r="O931" s="5" t="n"/>
      <c r="S931" s="6" t="n"/>
      <c r="V931" s="5" t="n"/>
      <c r="X931" s="5" t="n"/>
      <c r="AC931" s="6" t="n"/>
      <c r="AD931" s="6" t="n"/>
      <c r="AE931" s="7">
        <f>IF(X931="","",ROUND('Opening Balance'!$B$4+SUM($AC$2:AC931)-SUM($AD$2:AD931)+SUMPRODUCT(($Q$2:$Q$1501="Collection 收款")*($R$2:$R$1501="Cheque 支票")*($V$2:$V$1501&lt;&gt;"")*($V$2:$V$1501&lt;=X931)*($S$2:$S$1501-'Opening Balance'!$B$15*($R$2:$R$1501="Cheque 支票")*($S$2:$S$1501-TRUNC($S$2:$S$1501))))-'Opening Balance'!$B$15*SUMPRODUCT(($Z$2:Z931="Online collection 网上收款")*($AA$2:AA931&lt;&gt;"")*($AC$2:AC931-TRUNC($AC$2:AC931))),2))</f>
        <v/>
      </c>
    </row>
    <row r="932">
      <c r="O932" s="5" t="n"/>
      <c r="S932" s="6" t="n"/>
      <c r="V932" s="5" t="n"/>
      <c r="X932" s="5" t="n"/>
      <c r="AC932" s="6" t="n"/>
      <c r="AD932" s="6" t="n"/>
      <c r="AE932" s="7">
        <f>IF(X932="","",ROUND('Opening Balance'!$B$4+SUM($AC$2:AC932)-SUM($AD$2:AD932)+SUMPRODUCT(($Q$2:$Q$1501="Collection 收款")*($R$2:$R$1501="Cheque 支票")*($V$2:$V$1501&lt;&gt;"")*($V$2:$V$1501&lt;=X932)*($S$2:$S$1501-'Opening Balance'!$B$15*($R$2:$R$1501="Cheque 支票")*($S$2:$S$1501-TRUNC($S$2:$S$1501))))-'Opening Balance'!$B$15*SUMPRODUCT(($Z$2:Z932="Online collection 网上收款")*($AA$2:AA932&lt;&gt;"")*($AC$2:AC932-TRUNC($AC$2:AC932))),2))</f>
        <v/>
      </c>
    </row>
    <row r="933">
      <c r="O933" s="5" t="n"/>
      <c r="S933" s="6" t="n"/>
      <c r="V933" s="5" t="n"/>
      <c r="X933" s="5" t="n"/>
      <c r="AC933" s="6" t="n"/>
      <c r="AD933" s="6" t="n"/>
      <c r="AE933" s="7">
        <f>IF(X933="","",ROUND('Opening Balance'!$B$4+SUM($AC$2:AC933)-SUM($AD$2:AD933)+SUMPRODUCT(($Q$2:$Q$1501="Collection 收款")*($R$2:$R$1501="Cheque 支票")*($V$2:$V$1501&lt;&gt;"")*($V$2:$V$1501&lt;=X933)*($S$2:$S$1501-'Opening Balance'!$B$15*($R$2:$R$1501="Cheque 支票")*($S$2:$S$1501-TRUNC($S$2:$S$1501))))-'Opening Balance'!$B$15*SUMPRODUCT(($Z$2:Z933="Online collection 网上收款")*($AA$2:AA933&lt;&gt;"")*($AC$2:AC933-TRUNC($AC$2:AC933))),2))</f>
        <v/>
      </c>
    </row>
    <row r="934">
      <c r="O934" s="5" t="n"/>
      <c r="S934" s="6" t="n"/>
      <c r="V934" s="5" t="n"/>
      <c r="X934" s="5" t="n"/>
      <c r="AC934" s="6" t="n"/>
      <c r="AD934" s="6" t="n"/>
      <c r="AE934" s="7">
        <f>IF(X934="","",ROUND('Opening Balance'!$B$4+SUM($AC$2:AC934)-SUM($AD$2:AD934)+SUMPRODUCT(($Q$2:$Q$1501="Collection 收款")*($R$2:$R$1501="Cheque 支票")*($V$2:$V$1501&lt;&gt;"")*($V$2:$V$1501&lt;=X934)*($S$2:$S$1501-'Opening Balance'!$B$15*($R$2:$R$1501="Cheque 支票")*($S$2:$S$1501-TRUNC($S$2:$S$1501))))-'Opening Balance'!$B$15*SUMPRODUCT(($Z$2:Z934="Online collection 网上收款")*($AA$2:AA934&lt;&gt;"")*($AC$2:AC934-TRUNC($AC$2:AC934))),2))</f>
        <v/>
      </c>
    </row>
    <row r="935">
      <c r="O935" s="5" t="n"/>
      <c r="S935" s="6" t="n"/>
      <c r="V935" s="5" t="n"/>
      <c r="X935" s="5" t="n"/>
      <c r="AC935" s="6" t="n"/>
      <c r="AD935" s="6" t="n"/>
      <c r="AE935" s="7">
        <f>IF(X935="","",ROUND('Opening Balance'!$B$4+SUM($AC$2:AC935)-SUM($AD$2:AD935)+SUMPRODUCT(($Q$2:$Q$1501="Collection 收款")*($R$2:$R$1501="Cheque 支票")*($V$2:$V$1501&lt;&gt;"")*($V$2:$V$1501&lt;=X935)*($S$2:$S$1501-'Opening Balance'!$B$15*($R$2:$R$1501="Cheque 支票")*($S$2:$S$1501-TRUNC($S$2:$S$1501))))-'Opening Balance'!$B$15*SUMPRODUCT(($Z$2:Z935="Online collection 网上收款")*($AA$2:AA935&lt;&gt;"")*($AC$2:AC935-TRUNC($AC$2:AC935))),2))</f>
        <v/>
      </c>
    </row>
    <row r="936">
      <c r="O936" s="5" t="n"/>
      <c r="S936" s="6" t="n"/>
      <c r="V936" s="5" t="n"/>
      <c r="X936" s="5" t="n"/>
      <c r="AC936" s="6" t="n"/>
      <c r="AD936" s="6" t="n"/>
      <c r="AE936" s="7">
        <f>IF(X936="","",ROUND('Opening Balance'!$B$4+SUM($AC$2:AC936)-SUM($AD$2:AD936)+SUMPRODUCT(($Q$2:$Q$1501="Collection 收款")*($R$2:$R$1501="Cheque 支票")*($V$2:$V$1501&lt;&gt;"")*($V$2:$V$1501&lt;=X936)*($S$2:$S$1501-'Opening Balance'!$B$15*($R$2:$R$1501="Cheque 支票")*($S$2:$S$1501-TRUNC($S$2:$S$1501))))-'Opening Balance'!$B$15*SUMPRODUCT(($Z$2:Z936="Online collection 网上收款")*($AA$2:AA936&lt;&gt;"")*($AC$2:AC936-TRUNC($AC$2:AC936))),2))</f>
        <v/>
      </c>
    </row>
    <row r="937">
      <c r="O937" s="5" t="n"/>
      <c r="S937" s="6" t="n"/>
      <c r="V937" s="5" t="n"/>
      <c r="X937" s="5" t="n"/>
      <c r="AC937" s="6" t="n"/>
      <c r="AD937" s="6" t="n"/>
      <c r="AE937" s="7">
        <f>IF(X937="","",ROUND('Opening Balance'!$B$4+SUM($AC$2:AC937)-SUM($AD$2:AD937)+SUMPRODUCT(($Q$2:$Q$1501="Collection 收款")*($R$2:$R$1501="Cheque 支票")*($V$2:$V$1501&lt;&gt;"")*($V$2:$V$1501&lt;=X937)*($S$2:$S$1501-'Opening Balance'!$B$15*($R$2:$R$1501="Cheque 支票")*($S$2:$S$1501-TRUNC($S$2:$S$1501))))-'Opening Balance'!$B$15*SUMPRODUCT(($Z$2:Z937="Online collection 网上收款")*($AA$2:AA937&lt;&gt;"")*($AC$2:AC937-TRUNC($AC$2:AC937))),2))</f>
        <v/>
      </c>
    </row>
    <row r="938">
      <c r="O938" s="5" t="n"/>
      <c r="S938" s="6" t="n"/>
      <c r="V938" s="5" t="n"/>
      <c r="X938" s="5" t="n"/>
      <c r="AC938" s="6" t="n"/>
      <c r="AD938" s="6" t="n"/>
      <c r="AE938" s="7">
        <f>IF(X938="","",ROUND('Opening Balance'!$B$4+SUM($AC$2:AC938)-SUM($AD$2:AD938)+SUMPRODUCT(($Q$2:$Q$1501="Collection 收款")*($R$2:$R$1501="Cheque 支票")*($V$2:$V$1501&lt;&gt;"")*($V$2:$V$1501&lt;=X938)*($S$2:$S$1501-'Opening Balance'!$B$15*($R$2:$R$1501="Cheque 支票")*($S$2:$S$1501-TRUNC($S$2:$S$1501))))-'Opening Balance'!$B$15*SUMPRODUCT(($Z$2:Z938="Online collection 网上收款")*($AA$2:AA938&lt;&gt;"")*($AC$2:AC938-TRUNC($AC$2:AC938))),2))</f>
        <v/>
      </c>
    </row>
    <row r="939">
      <c r="O939" s="5" t="n"/>
      <c r="S939" s="6" t="n"/>
      <c r="V939" s="5" t="n"/>
      <c r="X939" s="5" t="n"/>
      <c r="AC939" s="6" t="n"/>
      <c r="AD939" s="6" t="n"/>
      <c r="AE939" s="7">
        <f>IF(X939="","",ROUND('Opening Balance'!$B$4+SUM($AC$2:AC939)-SUM($AD$2:AD939)+SUMPRODUCT(($Q$2:$Q$1501="Collection 收款")*($R$2:$R$1501="Cheque 支票")*($V$2:$V$1501&lt;&gt;"")*($V$2:$V$1501&lt;=X939)*($S$2:$S$1501-'Opening Balance'!$B$15*($R$2:$R$1501="Cheque 支票")*($S$2:$S$1501-TRUNC($S$2:$S$1501))))-'Opening Balance'!$B$15*SUMPRODUCT(($Z$2:Z939="Online collection 网上收款")*($AA$2:AA939&lt;&gt;"")*($AC$2:AC939-TRUNC($AC$2:AC939))),2))</f>
        <v/>
      </c>
    </row>
    <row r="940">
      <c r="O940" s="5" t="n"/>
      <c r="S940" s="6" t="n"/>
      <c r="V940" s="5" t="n"/>
      <c r="X940" s="5" t="n"/>
      <c r="AC940" s="6" t="n"/>
      <c r="AD940" s="6" t="n"/>
      <c r="AE940" s="7">
        <f>IF(X940="","",ROUND('Opening Balance'!$B$4+SUM($AC$2:AC940)-SUM($AD$2:AD940)+SUMPRODUCT(($Q$2:$Q$1501="Collection 收款")*($R$2:$R$1501="Cheque 支票")*($V$2:$V$1501&lt;&gt;"")*($V$2:$V$1501&lt;=X940)*($S$2:$S$1501-'Opening Balance'!$B$15*($R$2:$R$1501="Cheque 支票")*($S$2:$S$1501-TRUNC($S$2:$S$1501))))-'Opening Balance'!$B$15*SUMPRODUCT(($Z$2:Z940="Online collection 网上收款")*($AA$2:AA940&lt;&gt;"")*($AC$2:AC940-TRUNC($AC$2:AC940))),2))</f>
        <v/>
      </c>
    </row>
    <row r="941">
      <c r="O941" s="5" t="n"/>
      <c r="S941" s="6" t="n"/>
      <c r="V941" s="5" t="n"/>
      <c r="X941" s="5" t="n"/>
      <c r="AC941" s="6" t="n"/>
      <c r="AD941" s="6" t="n"/>
      <c r="AE941" s="7">
        <f>IF(X941="","",ROUND('Opening Balance'!$B$4+SUM($AC$2:AC941)-SUM($AD$2:AD941)+SUMPRODUCT(($Q$2:$Q$1501="Collection 收款")*($R$2:$R$1501="Cheque 支票")*($V$2:$V$1501&lt;&gt;"")*($V$2:$V$1501&lt;=X941)*($S$2:$S$1501-'Opening Balance'!$B$15*($R$2:$R$1501="Cheque 支票")*($S$2:$S$1501-TRUNC($S$2:$S$1501))))-'Opening Balance'!$B$15*SUMPRODUCT(($Z$2:Z941="Online collection 网上收款")*($AA$2:AA941&lt;&gt;"")*($AC$2:AC941-TRUNC($AC$2:AC941))),2))</f>
        <v/>
      </c>
    </row>
    <row r="942">
      <c r="O942" s="5" t="n"/>
      <c r="S942" s="6" t="n"/>
      <c r="V942" s="5" t="n"/>
      <c r="X942" s="5" t="n"/>
      <c r="AC942" s="6" t="n"/>
      <c r="AD942" s="6" t="n"/>
      <c r="AE942" s="7">
        <f>IF(X942="","",ROUND('Opening Balance'!$B$4+SUM($AC$2:AC942)-SUM($AD$2:AD942)+SUMPRODUCT(($Q$2:$Q$1501="Collection 收款")*($R$2:$R$1501="Cheque 支票")*($V$2:$V$1501&lt;&gt;"")*($V$2:$V$1501&lt;=X942)*($S$2:$S$1501-'Opening Balance'!$B$15*($R$2:$R$1501="Cheque 支票")*($S$2:$S$1501-TRUNC($S$2:$S$1501))))-'Opening Balance'!$B$15*SUMPRODUCT(($Z$2:Z942="Online collection 网上收款")*($AA$2:AA942&lt;&gt;"")*($AC$2:AC942-TRUNC($AC$2:AC942))),2))</f>
        <v/>
      </c>
    </row>
    <row r="943">
      <c r="O943" s="5" t="n"/>
      <c r="S943" s="6" t="n"/>
      <c r="V943" s="5" t="n"/>
      <c r="X943" s="5" t="n"/>
      <c r="AC943" s="6" t="n"/>
      <c r="AD943" s="6" t="n"/>
      <c r="AE943" s="7">
        <f>IF(X943="","",ROUND('Opening Balance'!$B$4+SUM($AC$2:AC943)-SUM($AD$2:AD943)+SUMPRODUCT(($Q$2:$Q$1501="Collection 收款")*($R$2:$R$1501="Cheque 支票")*($V$2:$V$1501&lt;&gt;"")*($V$2:$V$1501&lt;=X943)*($S$2:$S$1501-'Opening Balance'!$B$15*($R$2:$R$1501="Cheque 支票")*($S$2:$S$1501-TRUNC($S$2:$S$1501))))-'Opening Balance'!$B$15*SUMPRODUCT(($Z$2:Z943="Online collection 网上收款")*($AA$2:AA943&lt;&gt;"")*($AC$2:AC943-TRUNC($AC$2:AC943))),2))</f>
        <v/>
      </c>
    </row>
    <row r="944">
      <c r="O944" s="5" t="n"/>
      <c r="S944" s="6" t="n"/>
      <c r="V944" s="5" t="n"/>
      <c r="X944" s="5" t="n"/>
      <c r="AC944" s="6" t="n"/>
      <c r="AD944" s="6" t="n"/>
      <c r="AE944" s="7">
        <f>IF(X944="","",ROUND('Opening Balance'!$B$4+SUM($AC$2:AC944)-SUM($AD$2:AD944)+SUMPRODUCT(($Q$2:$Q$1501="Collection 收款")*($R$2:$R$1501="Cheque 支票")*($V$2:$V$1501&lt;&gt;"")*($V$2:$V$1501&lt;=X944)*($S$2:$S$1501-'Opening Balance'!$B$15*($R$2:$R$1501="Cheque 支票")*($S$2:$S$1501-TRUNC($S$2:$S$1501))))-'Opening Balance'!$B$15*SUMPRODUCT(($Z$2:Z944="Online collection 网上收款")*($AA$2:AA944&lt;&gt;"")*($AC$2:AC944-TRUNC($AC$2:AC944))),2))</f>
        <v/>
      </c>
    </row>
    <row r="945">
      <c r="O945" s="5" t="n"/>
      <c r="S945" s="6" t="n"/>
      <c r="V945" s="5" t="n"/>
      <c r="X945" s="5" t="n"/>
      <c r="AC945" s="6" t="n"/>
      <c r="AD945" s="6" t="n"/>
      <c r="AE945" s="7">
        <f>IF(X945="","",ROUND('Opening Balance'!$B$4+SUM($AC$2:AC945)-SUM($AD$2:AD945)+SUMPRODUCT(($Q$2:$Q$1501="Collection 收款")*($R$2:$R$1501="Cheque 支票")*($V$2:$V$1501&lt;&gt;"")*($V$2:$V$1501&lt;=X945)*($S$2:$S$1501-'Opening Balance'!$B$15*($R$2:$R$1501="Cheque 支票")*($S$2:$S$1501-TRUNC($S$2:$S$1501))))-'Opening Balance'!$B$15*SUMPRODUCT(($Z$2:Z945="Online collection 网上收款")*($AA$2:AA945&lt;&gt;"")*($AC$2:AC945-TRUNC($AC$2:AC945))),2))</f>
        <v/>
      </c>
    </row>
    <row r="946">
      <c r="O946" s="5" t="n"/>
      <c r="S946" s="6" t="n"/>
      <c r="V946" s="5" t="n"/>
      <c r="X946" s="5" t="n"/>
      <c r="AC946" s="6" t="n"/>
      <c r="AD946" s="6" t="n"/>
      <c r="AE946" s="7">
        <f>IF(X946="","",ROUND('Opening Balance'!$B$4+SUM($AC$2:AC946)-SUM($AD$2:AD946)+SUMPRODUCT(($Q$2:$Q$1501="Collection 收款")*($R$2:$R$1501="Cheque 支票")*($V$2:$V$1501&lt;&gt;"")*($V$2:$V$1501&lt;=X946)*($S$2:$S$1501-'Opening Balance'!$B$15*($R$2:$R$1501="Cheque 支票")*($S$2:$S$1501-TRUNC($S$2:$S$1501))))-'Opening Balance'!$B$15*SUMPRODUCT(($Z$2:Z946="Online collection 网上收款")*($AA$2:AA946&lt;&gt;"")*($AC$2:AC946-TRUNC($AC$2:AC946))),2))</f>
        <v/>
      </c>
    </row>
    <row r="947">
      <c r="O947" s="5" t="n"/>
      <c r="S947" s="6" t="n"/>
      <c r="V947" s="5" t="n"/>
      <c r="X947" s="5" t="n"/>
      <c r="AC947" s="6" t="n"/>
      <c r="AD947" s="6" t="n"/>
      <c r="AE947" s="7">
        <f>IF(X947="","",ROUND('Opening Balance'!$B$4+SUM($AC$2:AC947)-SUM($AD$2:AD947)+SUMPRODUCT(($Q$2:$Q$1501="Collection 收款")*($R$2:$R$1501="Cheque 支票")*($V$2:$V$1501&lt;&gt;"")*($V$2:$V$1501&lt;=X947)*($S$2:$S$1501-'Opening Balance'!$B$15*($R$2:$R$1501="Cheque 支票")*($S$2:$S$1501-TRUNC($S$2:$S$1501))))-'Opening Balance'!$B$15*SUMPRODUCT(($Z$2:Z947="Online collection 网上收款")*($AA$2:AA947&lt;&gt;"")*($AC$2:AC947-TRUNC($AC$2:AC947))),2))</f>
        <v/>
      </c>
    </row>
    <row r="948">
      <c r="O948" s="5" t="n"/>
      <c r="S948" s="6" t="n"/>
      <c r="V948" s="5" t="n"/>
      <c r="X948" s="5" t="n"/>
      <c r="AC948" s="6" t="n"/>
      <c r="AD948" s="6" t="n"/>
      <c r="AE948" s="7">
        <f>IF(X948="","",ROUND('Opening Balance'!$B$4+SUM($AC$2:AC948)-SUM($AD$2:AD948)+SUMPRODUCT(($Q$2:$Q$1501="Collection 收款")*($R$2:$R$1501="Cheque 支票")*($V$2:$V$1501&lt;&gt;"")*($V$2:$V$1501&lt;=X948)*($S$2:$S$1501-'Opening Balance'!$B$15*($R$2:$R$1501="Cheque 支票")*($S$2:$S$1501-TRUNC($S$2:$S$1501))))-'Opening Balance'!$B$15*SUMPRODUCT(($Z$2:Z948="Online collection 网上收款")*($AA$2:AA948&lt;&gt;"")*($AC$2:AC948-TRUNC($AC$2:AC948))),2))</f>
        <v/>
      </c>
    </row>
    <row r="949">
      <c r="O949" s="5" t="n"/>
      <c r="S949" s="6" t="n"/>
      <c r="V949" s="5" t="n"/>
      <c r="X949" s="5" t="n"/>
      <c r="AC949" s="6" t="n"/>
      <c r="AD949" s="6" t="n"/>
      <c r="AE949" s="7">
        <f>IF(X949="","",ROUND('Opening Balance'!$B$4+SUM($AC$2:AC949)-SUM($AD$2:AD949)+SUMPRODUCT(($Q$2:$Q$1501="Collection 收款")*($R$2:$R$1501="Cheque 支票")*($V$2:$V$1501&lt;&gt;"")*($V$2:$V$1501&lt;=X949)*($S$2:$S$1501-'Opening Balance'!$B$15*($R$2:$R$1501="Cheque 支票")*($S$2:$S$1501-TRUNC($S$2:$S$1501))))-'Opening Balance'!$B$15*SUMPRODUCT(($Z$2:Z949="Online collection 网上收款")*($AA$2:AA949&lt;&gt;"")*($AC$2:AC949-TRUNC($AC$2:AC949))),2))</f>
        <v/>
      </c>
    </row>
    <row r="950">
      <c r="O950" s="5" t="n"/>
      <c r="S950" s="6" t="n"/>
      <c r="V950" s="5" t="n"/>
      <c r="X950" s="5" t="n"/>
      <c r="AC950" s="6" t="n"/>
      <c r="AD950" s="6" t="n"/>
      <c r="AE950" s="7">
        <f>IF(X950="","",ROUND('Opening Balance'!$B$4+SUM($AC$2:AC950)-SUM($AD$2:AD950)+SUMPRODUCT(($Q$2:$Q$1501="Collection 收款")*($R$2:$R$1501="Cheque 支票")*($V$2:$V$1501&lt;&gt;"")*($V$2:$V$1501&lt;=X950)*($S$2:$S$1501-'Opening Balance'!$B$15*($R$2:$R$1501="Cheque 支票")*($S$2:$S$1501-TRUNC($S$2:$S$1501))))-'Opening Balance'!$B$15*SUMPRODUCT(($Z$2:Z950="Online collection 网上收款")*($AA$2:AA950&lt;&gt;"")*($AC$2:AC950-TRUNC($AC$2:AC950))),2))</f>
        <v/>
      </c>
    </row>
    <row r="951">
      <c r="O951" s="5" t="n"/>
      <c r="S951" s="6" t="n"/>
      <c r="V951" s="5" t="n"/>
      <c r="X951" s="5" t="n"/>
      <c r="AC951" s="6" t="n"/>
      <c r="AD951" s="6" t="n"/>
      <c r="AE951" s="7">
        <f>IF(X951="","",ROUND('Opening Balance'!$B$4+SUM($AC$2:AC951)-SUM($AD$2:AD951)+SUMPRODUCT(($Q$2:$Q$1501="Collection 收款")*($R$2:$R$1501="Cheque 支票")*($V$2:$V$1501&lt;&gt;"")*($V$2:$V$1501&lt;=X951)*($S$2:$S$1501-'Opening Balance'!$B$15*($R$2:$R$1501="Cheque 支票")*($S$2:$S$1501-TRUNC($S$2:$S$1501))))-'Opening Balance'!$B$15*SUMPRODUCT(($Z$2:Z951="Online collection 网上收款")*($AA$2:AA951&lt;&gt;"")*($AC$2:AC951-TRUNC($AC$2:AC951))),2))</f>
        <v/>
      </c>
    </row>
    <row r="952">
      <c r="O952" s="5" t="n"/>
      <c r="S952" s="6" t="n"/>
      <c r="V952" s="5" t="n"/>
      <c r="X952" s="5" t="n"/>
      <c r="AC952" s="6" t="n"/>
      <c r="AD952" s="6" t="n"/>
      <c r="AE952" s="7">
        <f>IF(X952="","",ROUND('Opening Balance'!$B$4+SUM($AC$2:AC952)-SUM($AD$2:AD952)+SUMPRODUCT(($Q$2:$Q$1501="Collection 收款")*($R$2:$R$1501="Cheque 支票")*($V$2:$V$1501&lt;&gt;"")*($V$2:$V$1501&lt;=X952)*($S$2:$S$1501-'Opening Balance'!$B$15*($R$2:$R$1501="Cheque 支票")*($S$2:$S$1501-TRUNC($S$2:$S$1501))))-'Opening Balance'!$B$15*SUMPRODUCT(($Z$2:Z952="Online collection 网上收款")*($AA$2:AA952&lt;&gt;"")*($AC$2:AC952-TRUNC($AC$2:AC952))),2))</f>
        <v/>
      </c>
    </row>
    <row r="953">
      <c r="O953" s="5" t="n"/>
      <c r="S953" s="6" t="n"/>
      <c r="V953" s="5" t="n"/>
      <c r="X953" s="5" t="n"/>
      <c r="AC953" s="6" t="n"/>
      <c r="AD953" s="6" t="n"/>
      <c r="AE953" s="7">
        <f>IF(X953="","",ROUND('Opening Balance'!$B$4+SUM($AC$2:AC953)-SUM($AD$2:AD953)+SUMPRODUCT(($Q$2:$Q$1501="Collection 收款")*($R$2:$R$1501="Cheque 支票")*($V$2:$V$1501&lt;&gt;"")*($V$2:$V$1501&lt;=X953)*($S$2:$S$1501-'Opening Balance'!$B$15*($R$2:$R$1501="Cheque 支票")*($S$2:$S$1501-TRUNC($S$2:$S$1501))))-'Opening Balance'!$B$15*SUMPRODUCT(($Z$2:Z953="Online collection 网上收款")*($AA$2:AA953&lt;&gt;"")*($AC$2:AC953-TRUNC($AC$2:AC953))),2))</f>
        <v/>
      </c>
    </row>
    <row r="954">
      <c r="O954" s="5" t="n"/>
      <c r="S954" s="6" t="n"/>
      <c r="V954" s="5" t="n"/>
      <c r="X954" s="5" t="n"/>
      <c r="AC954" s="6" t="n"/>
      <c r="AD954" s="6" t="n"/>
      <c r="AE954" s="7">
        <f>IF(X954="","",ROUND('Opening Balance'!$B$4+SUM($AC$2:AC954)-SUM($AD$2:AD954)+SUMPRODUCT(($Q$2:$Q$1501="Collection 收款")*($R$2:$R$1501="Cheque 支票")*($V$2:$V$1501&lt;&gt;"")*($V$2:$V$1501&lt;=X954)*($S$2:$S$1501-'Opening Balance'!$B$15*($R$2:$R$1501="Cheque 支票")*($S$2:$S$1501-TRUNC($S$2:$S$1501))))-'Opening Balance'!$B$15*SUMPRODUCT(($Z$2:Z954="Online collection 网上收款")*($AA$2:AA954&lt;&gt;"")*($AC$2:AC954-TRUNC($AC$2:AC954))),2))</f>
        <v/>
      </c>
    </row>
    <row r="955">
      <c r="O955" s="5" t="n"/>
      <c r="S955" s="6" t="n"/>
      <c r="V955" s="5" t="n"/>
      <c r="X955" s="5" t="n"/>
      <c r="AC955" s="6" t="n"/>
      <c r="AD955" s="6" t="n"/>
      <c r="AE955" s="7">
        <f>IF(X955="","",ROUND('Opening Balance'!$B$4+SUM($AC$2:AC955)-SUM($AD$2:AD955)+SUMPRODUCT(($Q$2:$Q$1501="Collection 收款")*($R$2:$R$1501="Cheque 支票")*($V$2:$V$1501&lt;&gt;"")*($V$2:$V$1501&lt;=X955)*($S$2:$S$1501-'Opening Balance'!$B$15*($R$2:$R$1501="Cheque 支票")*($S$2:$S$1501-TRUNC($S$2:$S$1501))))-'Opening Balance'!$B$15*SUMPRODUCT(($Z$2:Z955="Online collection 网上收款")*($AA$2:AA955&lt;&gt;"")*($AC$2:AC955-TRUNC($AC$2:AC955))),2))</f>
        <v/>
      </c>
    </row>
    <row r="956">
      <c r="O956" s="5" t="n"/>
      <c r="S956" s="6" t="n"/>
      <c r="V956" s="5" t="n"/>
      <c r="X956" s="5" t="n"/>
      <c r="AC956" s="6" t="n"/>
      <c r="AD956" s="6" t="n"/>
      <c r="AE956" s="7">
        <f>IF(X956="","",ROUND('Opening Balance'!$B$4+SUM($AC$2:AC956)-SUM($AD$2:AD956)+SUMPRODUCT(($Q$2:$Q$1501="Collection 收款")*($R$2:$R$1501="Cheque 支票")*($V$2:$V$1501&lt;&gt;"")*($V$2:$V$1501&lt;=X956)*($S$2:$S$1501-'Opening Balance'!$B$15*($R$2:$R$1501="Cheque 支票")*($S$2:$S$1501-TRUNC($S$2:$S$1501))))-'Opening Balance'!$B$15*SUMPRODUCT(($Z$2:Z956="Online collection 网上收款")*($AA$2:AA956&lt;&gt;"")*($AC$2:AC956-TRUNC($AC$2:AC956))),2))</f>
        <v/>
      </c>
    </row>
    <row r="957">
      <c r="O957" s="5" t="n"/>
      <c r="S957" s="6" t="n"/>
      <c r="V957" s="5" t="n"/>
      <c r="X957" s="5" t="n"/>
      <c r="AC957" s="6" t="n"/>
      <c r="AD957" s="6" t="n"/>
      <c r="AE957" s="7">
        <f>IF(X957="","",ROUND('Opening Balance'!$B$4+SUM($AC$2:AC957)-SUM($AD$2:AD957)+SUMPRODUCT(($Q$2:$Q$1501="Collection 收款")*($R$2:$R$1501="Cheque 支票")*($V$2:$V$1501&lt;&gt;"")*($V$2:$V$1501&lt;=X957)*($S$2:$S$1501-'Opening Balance'!$B$15*($R$2:$R$1501="Cheque 支票")*($S$2:$S$1501-TRUNC($S$2:$S$1501))))-'Opening Balance'!$B$15*SUMPRODUCT(($Z$2:Z957="Online collection 网上收款")*($AA$2:AA957&lt;&gt;"")*($AC$2:AC957-TRUNC($AC$2:AC957))),2))</f>
        <v/>
      </c>
    </row>
    <row r="958">
      <c r="O958" s="5" t="n"/>
      <c r="S958" s="6" t="n"/>
      <c r="V958" s="5" t="n"/>
      <c r="X958" s="5" t="n"/>
      <c r="AC958" s="6" t="n"/>
      <c r="AD958" s="6" t="n"/>
      <c r="AE958" s="7">
        <f>IF(X958="","",ROUND('Opening Balance'!$B$4+SUM($AC$2:AC958)-SUM($AD$2:AD958)+SUMPRODUCT(($Q$2:$Q$1501="Collection 收款")*($R$2:$R$1501="Cheque 支票")*($V$2:$V$1501&lt;&gt;"")*($V$2:$V$1501&lt;=X958)*($S$2:$S$1501-'Opening Balance'!$B$15*($R$2:$R$1501="Cheque 支票")*($S$2:$S$1501-TRUNC($S$2:$S$1501))))-'Opening Balance'!$B$15*SUMPRODUCT(($Z$2:Z958="Online collection 网上收款")*($AA$2:AA958&lt;&gt;"")*($AC$2:AC958-TRUNC($AC$2:AC958))),2))</f>
        <v/>
      </c>
    </row>
    <row r="959">
      <c r="O959" s="5" t="n"/>
      <c r="S959" s="6" t="n"/>
      <c r="V959" s="5" t="n"/>
      <c r="X959" s="5" t="n"/>
      <c r="AC959" s="6" t="n"/>
      <c r="AD959" s="6" t="n"/>
      <c r="AE959" s="7">
        <f>IF(X959="","",ROUND('Opening Balance'!$B$4+SUM($AC$2:AC959)-SUM($AD$2:AD959)+SUMPRODUCT(($Q$2:$Q$1501="Collection 收款")*($R$2:$R$1501="Cheque 支票")*($V$2:$V$1501&lt;&gt;"")*($V$2:$V$1501&lt;=X959)*($S$2:$S$1501-'Opening Balance'!$B$15*($R$2:$R$1501="Cheque 支票")*($S$2:$S$1501-TRUNC($S$2:$S$1501))))-'Opening Balance'!$B$15*SUMPRODUCT(($Z$2:Z959="Online collection 网上收款")*($AA$2:AA959&lt;&gt;"")*($AC$2:AC959-TRUNC($AC$2:AC959))),2))</f>
        <v/>
      </c>
    </row>
    <row r="960">
      <c r="O960" s="5" t="n"/>
      <c r="S960" s="6" t="n"/>
      <c r="V960" s="5" t="n"/>
      <c r="X960" s="5" t="n"/>
      <c r="AC960" s="6" t="n"/>
      <c r="AD960" s="6" t="n"/>
      <c r="AE960" s="7">
        <f>IF(X960="","",ROUND('Opening Balance'!$B$4+SUM($AC$2:AC960)-SUM($AD$2:AD960)+SUMPRODUCT(($Q$2:$Q$1501="Collection 收款")*($R$2:$R$1501="Cheque 支票")*($V$2:$V$1501&lt;&gt;"")*($V$2:$V$1501&lt;=X960)*($S$2:$S$1501-'Opening Balance'!$B$15*($R$2:$R$1501="Cheque 支票")*($S$2:$S$1501-TRUNC($S$2:$S$1501))))-'Opening Balance'!$B$15*SUMPRODUCT(($Z$2:Z960="Online collection 网上收款")*($AA$2:AA960&lt;&gt;"")*($AC$2:AC960-TRUNC($AC$2:AC960))),2))</f>
        <v/>
      </c>
    </row>
    <row r="961">
      <c r="O961" s="5" t="n"/>
      <c r="S961" s="6" t="n"/>
      <c r="V961" s="5" t="n"/>
      <c r="X961" s="5" t="n"/>
      <c r="AC961" s="6" t="n"/>
      <c r="AD961" s="6" t="n"/>
      <c r="AE961" s="7">
        <f>IF(X961="","",ROUND('Opening Balance'!$B$4+SUM($AC$2:AC961)-SUM($AD$2:AD961)+SUMPRODUCT(($Q$2:$Q$1501="Collection 收款")*($R$2:$R$1501="Cheque 支票")*($V$2:$V$1501&lt;&gt;"")*($V$2:$V$1501&lt;=X961)*($S$2:$S$1501-'Opening Balance'!$B$15*($R$2:$R$1501="Cheque 支票")*($S$2:$S$1501-TRUNC($S$2:$S$1501))))-'Opening Balance'!$B$15*SUMPRODUCT(($Z$2:Z961="Online collection 网上收款")*($AA$2:AA961&lt;&gt;"")*($AC$2:AC961-TRUNC($AC$2:AC961))),2))</f>
        <v/>
      </c>
    </row>
    <row r="962">
      <c r="O962" s="5" t="n"/>
      <c r="S962" s="6" t="n"/>
      <c r="V962" s="5" t="n"/>
      <c r="X962" s="5" t="n"/>
      <c r="AC962" s="6" t="n"/>
      <c r="AD962" s="6" t="n"/>
      <c r="AE962" s="7">
        <f>IF(X962="","",ROUND('Opening Balance'!$B$4+SUM($AC$2:AC962)-SUM($AD$2:AD962)+SUMPRODUCT(($Q$2:$Q$1501="Collection 收款")*($R$2:$R$1501="Cheque 支票")*($V$2:$V$1501&lt;&gt;"")*($V$2:$V$1501&lt;=X962)*($S$2:$S$1501-'Opening Balance'!$B$15*($R$2:$R$1501="Cheque 支票")*($S$2:$S$1501-TRUNC($S$2:$S$1501))))-'Opening Balance'!$B$15*SUMPRODUCT(($Z$2:Z962="Online collection 网上收款")*($AA$2:AA962&lt;&gt;"")*($AC$2:AC962-TRUNC($AC$2:AC962))),2))</f>
        <v/>
      </c>
    </row>
    <row r="963">
      <c r="O963" s="5" t="n"/>
      <c r="S963" s="6" t="n"/>
      <c r="V963" s="5" t="n"/>
      <c r="X963" s="5" t="n"/>
      <c r="AC963" s="6" t="n"/>
      <c r="AD963" s="6" t="n"/>
      <c r="AE963" s="7">
        <f>IF(X963="","",ROUND('Opening Balance'!$B$4+SUM($AC$2:AC963)-SUM($AD$2:AD963)+SUMPRODUCT(($Q$2:$Q$1501="Collection 收款")*($R$2:$R$1501="Cheque 支票")*($V$2:$V$1501&lt;&gt;"")*($V$2:$V$1501&lt;=X963)*($S$2:$S$1501-'Opening Balance'!$B$15*($R$2:$R$1501="Cheque 支票")*($S$2:$S$1501-TRUNC($S$2:$S$1501))))-'Opening Balance'!$B$15*SUMPRODUCT(($Z$2:Z963="Online collection 网上收款")*($AA$2:AA963&lt;&gt;"")*($AC$2:AC963-TRUNC($AC$2:AC963))),2))</f>
        <v/>
      </c>
    </row>
    <row r="964">
      <c r="O964" s="5" t="n"/>
      <c r="S964" s="6" t="n"/>
      <c r="V964" s="5" t="n"/>
      <c r="X964" s="5" t="n"/>
      <c r="AC964" s="6" t="n"/>
      <c r="AD964" s="6" t="n"/>
      <c r="AE964" s="7">
        <f>IF(X964="","",ROUND('Opening Balance'!$B$4+SUM($AC$2:AC964)-SUM($AD$2:AD964)+SUMPRODUCT(($Q$2:$Q$1501="Collection 收款")*($R$2:$R$1501="Cheque 支票")*($V$2:$V$1501&lt;&gt;"")*($V$2:$V$1501&lt;=X964)*($S$2:$S$1501-'Opening Balance'!$B$15*($R$2:$R$1501="Cheque 支票")*($S$2:$S$1501-TRUNC($S$2:$S$1501))))-'Opening Balance'!$B$15*SUMPRODUCT(($Z$2:Z964="Online collection 网上收款")*($AA$2:AA964&lt;&gt;"")*($AC$2:AC964-TRUNC($AC$2:AC964))),2))</f>
        <v/>
      </c>
    </row>
    <row r="965">
      <c r="O965" s="5" t="n"/>
      <c r="S965" s="6" t="n"/>
      <c r="V965" s="5" t="n"/>
      <c r="X965" s="5" t="n"/>
      <c r="AC965" s="6" t="n"/>
      <c r="AD965" s="6" t="n"/>
      <c r="AE965" s="7">
        <f>IF(X965="","",ROUND('Opening Balance'!$B$4+SUM($AC$2:AC965)-SUM($AD$2:AD965)+SUMPRODUCT(($Q$2:$Q$1501="Collection 收款")*($R$2:$R$1501="Cheque 支票")*($V$2:$V$1501&lt;&gt;"")*($V$2:$V$1501&lt;=X965)*($S$2:$S$1501-'Opening Balance'!$B$15*($R$2:$R$1501="Cheque 支票")*($S$2:$S$1501-TRUNC($S$2:$S$1501))))-'Opening Balance'!$B$15*SUMPRODUCT(($Z$2:Z965="Online collection 网上收款")*($AA$2:AA965&lt;&gt;"")*($AC$2:AC965-TRUNC($AC$2:AC965))),2))</f>
        <v/>
      </c>
    </row>
    <row r="966">
      <c r="O966" s="5" t="n"/>
      <c r="S966" s="6" t="n"/>
      <c r="V966" s="5" t="n"/>
      <c r="X966" s="5" t="n"/>
      <c r="AC966" s="6" t="n"/>
      <c r="AD966" s="6" t="n"/>
      <c r="AE966" s="7">
        <f>IF(X966="","",ROUND('Opening Balance'!$B$4+SUM($AC$2:AC966)-SUM($AD$2:AD966)+SUMPRODUCT(($Q$2:$Q$1501="Collection 收款")*($R$2:$R$1501="Cheque 支票")*($V$2:$V$1501&lt;&gt;"")*($V$2:$V$1501&lt;=X966)*($S$2:$S$1501-'Opening Balance'!$B$15*($R$2:$R$1501="Cheque 支票")*($S$2:$S$1501-TRUNC($S$2:$S$1501))))-'Opening Balance'!$B$15*SUMPRODUCT(($Z$2:Z966="Online collection 网上收款")*($AA$2:AA966&lt;&gt;"")*($AC$2:AC966-TRUNC($AC$2:AC966))),2))</f>
        <v/>
      </c>
    </row>
    <row r="967">
      <c r="O967" s="5" t="n"/>
      <c r="S967" s="6" t="n"/>
      <c r="V967" s="5" t="n"/>
      <c r="X967" s="5" t="n"/>
      <c r="AC967" s="6" t="n"/>
      <c r="AD967" s="6" t="n"/>
      <c r="AE967" s="7">
        <f>IF(X967="","",ROUND('Opening Balance'!$B$4+SUM($AC$2:AC967)-SUM($AD$2:AD967)+SUMPRODUCT(($Q$2:$Q$1501="Collection 收款")*($R$2:$R$1501="Cheque 支票")*($V$2:$V$1501&lt;&gt;"")*($V$2:$V$1501&lt;=X967)*($S$2:$S$1501-'Opening Balance'!$B$15*($R$2:$R$1501="Cheque 支票")*($S$2:$S$1501-TRUNC($S$2:$S$1501))))-'Opening Balance'!$B$15*SUMPRODUCT(($Z$2:Z967="Online collection 网上收款")*($AA$2:AA967&lt;&gt;"")*($AC$2:AC967-TRUNC($AC$2:AC967))),2))</f>
        <v/>
      </c>
    </row>
    <row r="968">
      <c r="O968" s="5" t="n"/>
      <c r="S968" s="6" t="n"/>
      <c r="V968" s="5" t="n"/>
      <c r="X968" s="5" t="n"/>
      <c r="AC968" s="6" t="n"/>
      <c r="AD968" s="6" t="n"/>
      <c r="AE968" s="7">
        <f>IF(X968="","",ROUND('Opening Balance'!$B$4+SUM($AC$2:AC968)-SUM($AD$2:AD968)+SUMPRODUCT(($Q$2:$Q$1501="Collection 收款")*($R$2:$R$1501="Cheque 支票")*($V$2:$V$1501&lt;&gt;"")*($V$2:$V$1501&lt;=X968)*($S$2:$S$1501-'Opening Balance'!$B$15*($R$2:$R$1501="Cheque 支票")*($S$2:$S$1501-TRUNC($S$2:$S$1501))))-'Opening Balance'!$B$15*SUMPRODUCT(($Z$2:Z968="Online collection 网上收款")*($AA$2:AA968&lt;&gt;"")*($AC$2:AC968-TRUNC($AC$2:AC968))),2))</f>
        <v/>
      </c>
    </row>
    <row r="969">
      <c r="O969" s="5" t="n"/>
      <c r="S969" s="6" t="n"/>
      <c r="V969" s="5" t="n"/>
      <c r="X969" s="5" t="n"/>
      <c r="AC969" s="6" t="n"/>
      <c r="AD969" s="6" t="n"/>
      <c r="AE969" s="7">
        <f>IF(X969="","",ROUND('Opening Balance'!$B$4+SUM($AC$2:AC969)-SUM($AD$2:AD969)+SUMPRODUCT(($Q$2:$Q$1501="Collection 收款")*($R$2:$R$1501="Cheque 支票")*($V$2:$V$1501&lt;&gt;"")*($V$2:$V$1501&lt;=X969)*($S$2:$S$1501-'Opening Balance'!$B$15*($R$2:$R$1501="Cheque 支票")*($S$2:$S$1501-TRUNC($S$2:$S$1501))))-'Opening Balance'!$B$15*SUMPRODUCT(($Z$2:Z969="Online collection 网上收款")*($AA$2:AA969&lt;&gt;"")*($AC$2:AC969-TRUNC($AC$2:AC969))),2))</f>
        <v/>
      </c>
    </row>
    <row r="970">
      <c r="O970" s="5" t="n"/>
      <c r="S970" s="6" t="n"/>
      <c r="V970" s="5" t="n"/>
      <c r="X970" s="5" t="n"/>
      <c r="AC970" s="6" t="n"/>
      <c r="AD970" s="6" t="n"/>
      <c r="AE970" s="7">
        <f>IF(X970="","",ROUND('Opening Balance'!$B$4+SUM($AC$2:AC970)-SUM($AD$2:AD970)+SUMPRODUCT(($Q$2:$Q$1501="Collection 收款")*($R$2:$R$1501="Cheque 支票")*($V$2:$V$1501&lt;&gt;"")*($V$2:$V$1501&lt;=X970)*($S$2:$S$1501-'Opening Balance'!$B$15*($R$2:$R$1501="Cheque 支票")*($S$2:$S$1501-TRUNC($S$2:$S$1501))))-'Opening Balance'!$B$15*SUMPRODUCT(($Z$2:Z970="Online collection 网上收款")*($AA$2:AA970&lt;&gt;"")*($AC$2:AC970-TRUNC($AC$2:AC970))),2))</f>
        <v/>
      </c>
    </row>
    <row r="971">
      <c r="O971" s="5" t="n"/>
      <c r="S971" s="6" t="n"/>
      <c r="V971" s="5" t="n"/>
      <c r="X971" s="5" t="n"/>
      <c r="AC971" s="6" t="n"/>
      <c r="AD971" s="6" t="n"/>
      <c r="AE971" s="7">
        <f>IF(X971="","",ROUND('Opening Balance'!$B$4+SUM($AC$2:AC971)-SUM($AD$2:AD971)+SUMPRODUCT(($Q$2:$Q$1501="Collection 收款")*($R$2:$R$1501="Cheque 支票")*($V$2:$V$1501&lt;&gt;"")*($V$2:$V$1501&lt;=X971)*($S$2:$S$1501-'Opening Balance'!$B$15*($R$2:$R$1501="Cheque 支票")*($S$2:$S$1501-TRUNC($S$2:$S$1501))))-'Opening Balance'!$B$15*SUMPRODUCT(($Z$2:Z971="Online collection 网上收款")*($AA$2:AA971&lt;&gt;"")*($AC$2:AC971-TRUNC($AC$2:AC971))),2))</f>
        <v/>
      </c>
    </row>
    <row r="972">
      <c r="O972" s="5" t="n"/>
      <c r="S972" s="6" t="n"/>
      <c r="V972" s="5" t="n"/>
      <c r="X972" s="5" t="n"/>
      <c r="AC972" s="6" t="n"/>
      <c r="AD972" s="6" t="n"/>
      <c r="AE972" s="7">
        <f>IF(X972="","",ROUND('Opening Balance'!$B$4+SUM($AC$2:AC972)-SUM($AD$2:AD972)+SUMPRODUCT(($Q$2:$Q$1501="Collection 收款")*($R$2:$R$1501="Cheque 支票")*($V$2:$V$1501&lt;&gt;"")*($V$2:$V$1501&lt;=X972)*($S$2:$S$1501-'Opening Balance'!$B$15*($R$2:$R$1501="Cheque 支票")*($S$2:$S$1501-TRUNC($S$2:$S$1501))))-'Opening Balance'!$B$15*SUMPRODUCT(($Z$2:Z972="Online collection 网上收款")*($AA$2:AA972&lt;&gt;"")*($AC$2:AC972-TRUNC($AC$2:AC972))),2))</f>
        <v/>
      </c>
    </row>
    <row r="973">
      <c r="O973" s="5" t="n"/>
      <c r="S973" s="6" t="n"/>
      <c r="V973" s="5" t="n"/>
      <c r="X973" s="5" t="n"/>
      <c r="AC973" s="6" t="n"/>
      <c r="AD973" s="6" t="n"/>
      <c r="AE973" s="7">
        <f>IF(X973="","",ROUND('Opening Balance'!$B$4+SUM($AC$2:AC973)-SUM($AD$2:AD973)+SUMPRODUCT(($Q$2:$Q$1501="Collection 收款")*($R$2:$R$1501="Cheque 支票")*($V$2:$V$1501&lt;&gt;"")*($V$2:$V$1501&lt;=X973)*($S$2:$S$1501-'Opening Balance'!$B$15*($R$2:$R$1501="Cheque 支票")*($S$2:$S$1501-TRUNC($S$2:$S$1501))))-'Opening Balance'!$B$15*SUMPRODUCT(($Z$2:Z973="Online collection 网上收款")*($AA$2:AA973&lt;&gt;"")*($AC$2:AC973-TRUNC($AC$2:AC973))),2))</f>
        <v/>
      </c>
    </row>
    <row r="974">
      <c r="O974" s="5" t="n"/>
      <c r="S974" s="6" t="n"/>
      <c r="V974" s="5" t="n"/>
      <c r="X974" s="5" t="n"/>
      <c r="AC974" s="6" t="n"/>
      <c r="AD974" s="6" t="n"/>
      <c r="AE974" s="7">
        <f>IF(X974="","",ROUND('Opening Balance'!$B$4+SUM($AC$2:AC974)-SUM($AD$2:AD974)+SUMPRODUCT(($Q$2:$Q$1501="Collection 收款")*($R$2:$R$1501="Cheque 支票")*($V$2:$V$1501&lt;&gt;"")*($V$2:$V$1501&lt;=X974)*($S$2:$S$1501-'Opening Balance'!$B$15*($R$2:$R$1501="Cheque 支票")*($S$2:$S$1501-TRUNC($S$2:$S$1501))))-'Opening Balance'!$B$15*SUMPRODUCT(($Z$2:Z974="Online collection 网上收款")*($AA$2:AA974&lt;&gt;"")*($AC$2:AC974-TRUNC($AC$2:AC974))),2))</f>
        <v/>
      </c>
    </row>
    <row r="975">
      <c r="O975" s="5" t="n"/>
      <c r="S975" s="6" t="n"/>
      <c r="V975" s="5" t="n"/>
      <c r="X975" s="5" t="n"/>
      <c r="AC975" s="6" t="n"/>
      <c r="AD975" s="6" t="n"/>
      <c r="AE975" s="7">
        <f>IF(X975="","",ROUND('Opening Balance'!$B$4+SUM($AC$2:AC975)-SUM($AD$2:AD975)+SUMPRODUCT(($Q$2:$Q$1501="Collection 收款")*($R$2:$R$1501="Cheque 支票")*($V$2:$V$1501&lt;&gt;"")*($V$2:$V$1501&lt;=X975)*($S$2:$S$1501-'Opening Balance'!$B$15*($R$2:$R$1501="Cheque 支票")*($S$2:$S$1501-TRUNC($S$2:$S$1501))))-'Opening Balance'!$B$15*SUMPRODUCT(($Z$2:Z975="Online collection 网上收款")*($AA$2:AA975&lt;&gt;"")*($AC$2:AC975-TRUNC($AC$2:AC975))),2))</f>
        <v/>
      </c>
    </row>
    <row r="976">
      <c r="O976" s="5" t="n"/>
      <c r="S976" s="6" t="n"/>
      <c r="V976" s="5" t="n"/>
      <c r="X976" s="5" t="n"/>
      <c r="AC976" s="6" t="n"/>
      <c r="AD976" s="6" t="n"/>
      <c r="AE976" s="7">
        <f>IF(X976="","",ROUND('Opening Balance'!$B$4+SUM($AC$2:AC976)-SUM($AD$2:AD976)+SUMPRODUCT(($Q$2:$Q$1501="Collection 收款")*($R$2:$R$1501="Cheque 支票")*($V$2:$V$1501&lt;&gt;"")*($V$2:$V$1501&lt;=X976)*($S$2:$S$1501-'Opening Balance'!$B$15*($R$2:$R$1501="Cheque 支票")*($S$2:$S$1501-TRUNC($S$2:$S$1501))))-'Opening Balance'!$B$15*SUMPRODUCT(($Z$2:Z976="Online collection 网上收款")*($AA$2:AA976&lt;&gt;"")*($AC$2:AC976-TRUNC($AC$2:AC976))),2))</f>
        <v/>
      </c>
    </row>
    <row r="977">
      <c r="O977" s="5" t="n"/>
      <c r="S977" s="6" t="n"/>
      <c r="V977" s="5" t="n"/>
      <c r="X977" s="5" t="n"/>
      <c r="AC977" s="6" t="n"/>
      <c r="AD977" s="6" t="n"/>
      <c r="AE977" s="7">
        <f>IF(X977="","",ROUND('Opening Balance'!$B$4+SUM($AC$2:AC977)-SUM($AD$2:AD977)+SUMPRODUCT(($Q$2:$Q$1501="Collection 收款")*($R$2:$R$1501="Cheque 支票")*($V$2:$V$1501&lt;&gt;"")*($V$2:$V$1501&lt;=X977)*($S$2:$S$1501-'Opening Balance'!$B$15*($R$2:$R$1501="Cheque 支票")*($S$2:$S$1501-TRUNC($S$2:$S$1501))))-'Opening Balance'!$B$15*SUMPRODUCT(($Z$2:Z977="Online collection 网上收款")*($AA$2:AA977&lt;&gt;"")*($AC$2:AC977-TRUNC($AC$2:AC977))),2))</f>
        <v/>
      </c>
    </row>
    <row r="978">
      <c r="O978" s="5" t="n"/>
      <c r="S978" s="6" t="n"/>
      <c r="V978" s="5" t="n"/>
      <c r="X978" s="5" t="n"/>
      <c r="AC978" s="6" t="n"/>
      <c r="AD978" s="6" t="n"/>
      <c r="AE978" s="7">
        <f>IF(X978="","",ROUND('Opening Balance'!$B$4+SUM($AC$2:AC978)-SUM($AD$2:AD978)+SUMPRODUCT(($Q$2:$Q$1501="Collection 收款")*($R$2:$R$1501="Cheque 支票")*($V$2:$V$1501&lt;&gt;"")*($V$2:$V$1501&lt;=X978)*($S$2:$S$1501-'Opening Balance'!$B$15*($R$2:$R$1501="Cheque 支票")*($S$2:$S$1501-TRUNC($S$2:$S$1501))))-'Opening Balance'!$B$15*SUMPRODUCT(($Z$2:Z978="Online collection 网上收款")*($AA$2:AA978&lt;&gt;"")*($AC$2:AC978-TRUNC($AC$2:AC978))),2))</f>
        <v/>
      </c>
    </row>
    <row r="979">
      <c r="O979" s="5" t="n"/>
      <c r="S979" s="6" t="n"/>
      <c r="V979" s="5" t="n"/>
      <c r="X979" s="5" t="n"/>
      <c r="AC979" s="6" t="n"/>
      <c r="AD979" s="6" t="n"/>
      <c r="AE979" s="7">
        <f>IF(X979="","",ROUND('Opening Balance'!$B$4+SUM($AC$2:AC979)-SUM($AD$2:AD979)+SUMPRODUCT(($Q$2:$Q$1501="Collection 收款")*($R$2:$R$1501="Cheque 支票")*($V$2:$V$1501&lt;&gt;"")*($V$2:$V$1501&lt;=X979)*($S$2:$S$1501-'Opening Balance'!$B$15*($R$2:$R$1501="Cheque 支票")*($S$2:$S$1501-TRUNC($S$2:$S$1501))))-'Opening Balance'!$B$15*SUMPRODUCT(($Z$2:Z979="Online collection 网上收款")*($AA$2:AA979&lt;&gt;"")*($AC$2:AC979-TRUNC($AC$2:AC979))),2))</f>
        <v/>
      </c>
    </row>
    <row r="980">
      <c r="O980" s="5" t="n"/>
      <c r="S980" s="6" t="n"/>
      <c r="V980" s="5" t="n"/>
      <c r="X980" s="5" t="n"/>
      <c r="AC980" s="6" t="n"/>
      <c r="AD980" s="6" t="n"/>
      <c r="AE980" s="7">
        <f>IF(X980="","",ROUND('Opening Balance'!$B$4+SUM($AC$2:AC980)-SUM($AD$2:AD980)+SUMPRODUCT(($Q$2:$Q$1501="Collection 收款")*($R$2:$R$1501="Cheque 支票")*($V$2:$V$1501&lt;&gt;"")*($V$2:$V$1501&lt;=X980)*($S$2:$S$1501-'Opening Balance'!$B$15*($R$2:$R$1501="Cheque 支票")*($S$2:$S$1501-TRUNC($S$2:$S$1501))))-'Opening Balance'!$B$15*SUMPRODUCT(($Z$2:Z980="Online collection 网上收款")*($AA$2:AA980&lt;&gt;"")*($AC$2:AC980-TRUNC($AC$2:AC980))),2))</f>
        <v/>
      </c>
    </row>
    <row r="981">
      <c r="O981" s="5" t="n"/>
      <c r="S981" s="6" t="n"/>
      <c r="V981" s="5" t="n"/>
      <c r="X981" s="5" t="n"/>
      <c r="AC981" s="6" t="n"/>
      <c r="AD981" s="6" t="n"/>
      <c r="AE981" s="7">
        <f>IF(X981="","",ROUND('Opening Balance'!$B$4+SUM($AC$2:AC981)-SUM($AD$2:AD981)+SUMPRODUCT(($Q$2:$Q$1501="Collection 收款")*($R$2:$R$1501="Cheque 支票")*($V$2:$V$1501&lt;&gt;"")*($V$2:$V$1501&lt;=X981)*($S$2:$S$1501-'Opening Balance'!$B$15*($R$2:$R$1501="Cheque 支票")*($S$2:$S$1501-TRUNC($S$2:$S$1501))))-'Opening Balance'!$B$15*SUMPRODUCT(($Z$2:Z981="Online collection 网上收款")*($AA$2:AA981&lt;&gt;"")*($AC$2:AC981-TRUNC($AC$2:AC981))),2))</f>
        <v/>
      </c>
    </row>
    <row r="982">
      <c r="O982" s="5" t="n"/>
      <c r="S982" s="6" t="n"/>
      <c r="V982" s="5" t="n"/>
      <c r="X982" s="5" t="n"/>
      <c r="AC982" s="6" t="n"/>
      <c r="AD982" s="6" t="n"/>
      <c r="AE982" s="7">
        <f>IF(X982="","",ROUND('Opening Balance'!$B$4+SUM($AC$2:AC982)-SUM($AD$2:AD982)+SUMPRODUCT(($Q$2:$Q$1501="Collection 收款")*($R$2:$R$1501="Cheque 支票")*($V$2:$V$1501&lt;&gt;"")*($V$2:$V$1501&lt;=X982)*($S$2:$S$1501-'Opening Balance'!$B$15*($R$2:$R$1501="Cheque 支票")*($S$2:$S$1501-TRUNC($S$2:$S$1501))))-'Opening Balance'!$B$15*SUMPRODUCT(($Z$2:Z982="Online collection 网上收款")*($AA$2:AA982&lt;&gt;"")*($AC$2:AC982-TRUNC($AC$2:AC982))),2))</f>
        <v/>
      </c>
    </row>
    <row r="983">
      <c r="O983" s="5" t="n"/>
      <c r="S983" s="6" t="n"/>
      <c r="V983" s="5" t="n"/>
      <c r="X983" s="5" t="n"/>
      <c r="AC983" s="6" t="n"/>
      <c r="AD983" s="6" t="n"/>
      <c r="AE983" s="7">
        <f>IF(X983="","",ROUND('Opening Balance'!$B$4+SUM($AC$2:AC983)-SUM($AD$2:AD983)+SUMPRODUCT(($Q$2:$Q$1501="Collection 收款")*($R$2:$R$1501="Cheque 支票")*($V$2:$V$1501&lt;&gt;"")*($V$2:$V$1501&lt;=X983)*($S$2:$S$1501-'Opening Balance'!$B$15*($R$2:$R$1501="Cheque 支票")*($S$2:$S$1501-TRUNC($S$2:$S$1501))))-'Opening Balance'!$B$15*SUMPRODUCT(($Z$2:Z983="Online collection 网上收款")*($AA$2:AA983&lt;&gt;"")*($AC$2:AC983-TRUNC($AC$2:AC983))),2))</f>
        <v/>
      </c>
    </row>
    <row r="984">
      <c r="O984" s="5" t="n"/>
      <c r="S984" s="6" t="n"/>
      <c r="V984" s="5" t="n"/>
      <c r="X984" s="5" t="n"/>
      <c r="AC984" s="6" t="n"/>
      <c r="AD984" s="6" t="n"/>
      <c r="AE984" s="7">
        <f>IF(X984="","",ROUND('Opening Balance'!$B$4+SUM($AC$2:AC984)-SUM($AD$2:AD984)+SUMPRODUCT(($Q$2:$Q$1501="Collection 收款")*($R$2:$R$1501="Cheque 支票")*($V$2:$V$1501&lt;&gt;"")*($V$2:$V$1501&lt;=X984)*($S$2:$S$1501-'Opening Balance'!$B$15*($R$2:$R$1501="Cheque 支票")*($S$2:$S$1501-TRUNC($S$2:$S$1501))))-'Opening Balance'!$B$15*SUMPRODUCT(($Z$2:Z984="Online collection 网上收款")*($AA$2:AA984&lt;&gt;"")*($AC$2:AC984-TRUNC($AC$2:AC984))),2))</f>
        <v/>
      </c>
    </row>
    <row r="985">
      <c r="O985" s="5" t="n"/>
      <c r="S985" s="6" t="n"/>
      <c r="V985" s="5" t="n"/>
      <c r="X985" s="5" t="n"/>
      <c r="AC985" s="6" t="n"/>
      <c r="AD985" s="6" t="n"/>
      <c r="AE985" s="7">
        <f>IF(X985="","",ROUND('Opening Balance'!$B$4+SUM($AC$2:AC985)-SUM($AD$2:AD985)+SUMPRODUCT(($Q$2:$Q$1501="Collection 收款")*($R$2:$R$1501="Cheque 支票")*($V$2:$V$1501&lt;&gt;"")*($V$2:$V$1501&lt;=X985)*($S$2:$S$1501-'Opening Balance'!$B$15*($R$2:$R$1501="Cheque 支票")*($S$2:$S$1501-TRUNC($S$2:$S$1501))))-'Opening Balance'!$B$15*SUMPRODUCT(($Z$2:Z985="Online collection 网上收款")*($AA$2:AA985&lt;&gt;"")*($AC$2:AC985-TRUNC($AC$2:AC985))),2))</f>
        <v/>
      </c>
    </row>
    <row r="986">
      <c r="O986" s="5" t="n"/>
      <c r="S986" s="6" t="n"/>
      <c r="V986" s="5" t="n"/>
      <c r="X986" s="5" t="n"/>
      <c r="AC986" s="6" t="n"/>
      <c r="AD986" s="6" t="n"/>
      <c r="AE986" s="7">
        <f>IF(X986="","",ROUND('Opening Balance'!$B$4+SUM($AC$2:AC986)-SUM($AD$2:AD986)+SUMPRODUCT(($Q$2:$Q$1501="Collection 收款")*($R$2:$R$1501="Cheque 支票")*($V$2:$V$1501&lt;&gt;"")*($V$2:$V$1501&lt;=X986)*($S$2:$S$1501-'Opening Balance'!$B$15*($R$2:$R$1501="Cheque 支票")*($S$2:$S$1501-TRUNC($S$2:$S$1501))))-'Opening Balance'!$B$15*SUMPRODUCT(($Z$2:Z986="Online collection 网上收款")*($AA$2:AA986&lt;&gt;"")*($AC$2:AC986-TRUNC($AC$2:AC986))),2))</f>
        <v/>
      </c>
    </row>
    <row r="987">
      <c r="O987" s="5" t="n"/>
      <c r="S987" s="6" t="n"/>
      <c r="V987" s="5" t="n"/>
      <c r="X987" s="5" t="n"/>
      <c r="AC987" s="6" t="n"/>
      <c r="AD987" s="6" t="n"/>
      <c r="AE987" s="7">
        <f>IF(X987="","",ROUND('Opening Balance'!$B$4+SUM($AC$2:AC987)-SUM($AD$2:AD987)+SUMPRODUCT(($Q$2:$Q$1501="Collection 收款")*($R$2:$R$1501="Cheque 支票")*($V$2:$V$1501&lt;&gt;"")*($V$2:$V$1501&lt;=X987)*($S$2:$S$1501-'Opening Balance'!$B$15*($R$2:$R$1501="Cheque 支票")*($S$2:$S$1501-TRUNC($S$2:$S$1501))))-'Opening Balance'!$B$15*SUMPRODUCT(($Z$2:Z987="Online collection 网上收款")*($AA$2:AA987&lt;&gt;"")*($AC$2:AC987-TRUNC($AC$2:AC987))),2))</f>
        <v/>
      </c>
    </row>
    <row r="988">
      <c r="O988" s="5" t="n"/>
      <c r="S988" s="6" t="n"/>
      <c r="V988" s="5" t="n"/>
      <c r="X988" s="5" t="n"/>
      <c r="AC988" s="6" t="n"/>
      <c r="AD988" s="6" t="n"/>
      <c r="AE988" s="7">
        <f>IF(X988="","",ROUND('Opening Balance'!$B$4+SUM($AC$2:AC988)-SUM($AD$2:AD988)+SUMPRODUCT(($Q$2:$Q$1501="Collection 收款")*($R$2:$R$1501="Cheque 支票")*($V$2:$V$1501&lt;&gt;"")*($V$2:$V$1501&lt;=X988)*($S$2:$S$1501-'Opening Balance'!$B$15*($R$2:$R$1501="Cheque 支票")*($S$2:$S$1501-TRUNC($S$2:$S$1501))))-'Opening Balance'!$B$15*SUMPRODUCT(($Z$2:Z988="Online collection 网上收款")*($AA$2:AA988&lt;&gt;"")*($AC$2:AC988-TRUNC($AC$2:AC988))),2))</f>
        <v/>
      </c>
    </row>
    <row r="989">
      <c r="O989" s="5" t="n"/>
      <c r="S989" s="6" t="n"/>
      <c r="V989" s="5" t="n"/>
      <c r="X989" s="5" t="n"/>
      <c r="AC989" s="6" t="n"/>
      <c r="AD989" s="6" t="n"/>
      <c r="AE989" s="7">
        <f>IF(X989="","",ROUND('Opening Balance'!$B$4+SUM($AC$2:AC989)-SUM($AD$2:AD989)+SUMPRODUCT(($Q$2:$Q$1501="Collection 收款")*($R$2:$R$1501="Cheque 支票")*($V$2:$V$1501&lt;&gt;"")*($V$2:$V$1501&lt;=X989)*($S$2:$S$1501-'Opening Balance'!$B$15*($R$2:$R$1501="Cheque 支票")*($S$2:$S$1501-TRUNC($S$2:$S$1501))))-'Opening Balance'!$B$15*SUMPRODUCT(($Z$2:Z989="Online collection 网上收款")*($AA$2:AA989&lt;&gt;"")*($AC$2:AC989-TRUNC($AC$2:AC989))),2))</f>
        <v/>
      </c>
    </row>
    <row r="990">
      <c r="O990" s="5" t="n"/>
      <c r="S990" s="6" t="n"/>
      <c r="V990" s="5" t="n"/>
      <c r="X990" s="5" t="n"/>
      <c r="AC990" s="6" t="n"/>
      <c r="AD990" s="6" t="n"/>
      <c r="AE990" s="7">
        <f>IF(X990="","",ROUND('Opening Balance'!$B$4+SUM($AC$2:AC990)-SUM($AD$2:AD990)+SUMPRODUCT(($Q$2:$Q$1501="Collection 收款")*($R$2:$R$1501="Cheque 支票")*($V$2:$V$1501&lt;&gt;"")*($V$2:$V$1501&lt;=X990)*($S$2:$S$1501-'Opening Balance'!$B$15*($R$2:$R$1501="Cheque 支票")*($S$2:$S$1501-TRUNC($S$2:$S$1501))))-'Opening Balance'!$B$15*SUMPRODUCT(($Z$2:Z990="Online collection 网上收款")*($AA$2:AA990&lt;&gt;"")*($AC$2:AC990-TRUNC($AC$2:AC990))),2))</f>
        <v/>
      </c>
    </row>
    <row r="991">
      <c r="O991" s="5" t="n"/>
      <c r="S991" s="6" t="n"/>
      <c r="V991" s="5" t="n"/>
      <c r="X991" s="5" t="n"/>
      <c r="AC991" s="6" t="n"/>
      <c r="AD991" s="6" t="n"/>
      <c r="AE991" s="7">
        <f>IF(X991="","",ROUND('Opening Balance'!$B$4+SUM($AC$2:AC991)-SUM($AD$2:AD991)+SUMPRODUCT(($Q$2:$Q$1501="Collection 收款")*($R$2:$R$1501="Cheque 支票")*($V$2:$V$1501&lt;&gt;"")*($V$2:$V$1501&lt;=X991)*($S$2:$S$1501-'Opening Balance'!$B$15*($R$2:$R$1501="Cheque 支票")*($S$2:$S$1501-TRUNC($S$2:$S$1501))))-'Opening Balance'!$B$15*SUMPRODUCT(($Z$2:Z991="Online collection 网上收款")*($AA$2:AA991&lt;&gt;"")*($AC$2:AC991-TRUNC($AC$2:AC991))),2))</f>
        <v/>
      </c>
    </row>
    <row r="992">
      <c r="O992" s="5" t="n"/>
      <c r="S992" s="6" t="n"/>
      <c r="V992" s="5" t="n"/>
      <c r="X992" s="5" t="n"/>
      <c r="AC992" s="6" t="n"/>
      <c r="AD992" s="6" t="n"/>
      <c r="AE992" s="7">
        <f>IF(X992="","",ROUND('Opening Balance'!$B$4+SUM($AC$2:AC992)-SUM($AD$2:AD992)+SUMPRODUCT(($Q$2:$Q$1501="Collection 收款")*($R$2:$R$1501="Cheque 支票")*($V$2:$V$1501&lt;&gt;"")*($V$2:$V$1501&lt;=X992)*($S$2:$S$1501-'Opening Balance'!$B$15*($R$2:$R$1501="Cheque 支票")*($S$2:$S$1501-TRUNC($S$2:$S$1501))))-'Opening Balance'!$B$15*SUMPRODUCT(($Z$2:Z992="Online collection 网上收款")*($AA$2:AA992&lt;&gt;"")*($AC$2:AC992-TRUNC($AC$2:AC992))),2))</f>
        <v/>
      </c>
    </row>
    <row r="993">
      <c r="O993" s="5" t="n"/>
      <c r="S993" s="6" t="n"/>
      <c r="V993" s="5" t="n"/>
      <c r="X993" s="5" t="n"/>
      <c r="AC993" s="6" t="n"/>
      <c r="AD993" s="6" t="n"/>
      <c r="AE993" s="7">
        <f>IF(X993="","",ROUND('Opening Balance'!$B$4+SUM($AC$2:AC993)-SUM($AD$2:AD993)+SUMPRODUCT(($Q$2:$Q$1501="Collection 收款")*($R$2:$R$1501="Cheque 支票")*($V$2:$V$1501&lt;&gt;"")*($V$2:$V$1501&lt;=X993)*($S$2:$S$1501-'Opening Balance'!$B$15*($R$2:$R$1501="Cheque 支票")*($S$2:$S$1501-TRUNC($S$2:$S$1501))))-'Opening Balance'!$B$15*SUMPRODUCT(($Z$2:Z993="Online collection 网上收款")*($AA$2:AA993&lt;&gt;"")*($AC$2:AC993-TRUNC($AC$2:AC993))),2))</f>
        <v/>
      </c>
    </row>
    <row r="994">
      <c r="O994" s="5" t="n"/>
      <c r="S994" s="6" t="n"/>
      <c r="V994" s="5" t="n"/>
      <c r="X994" s="5" t="n"/>
      <c r="AC994" s="6" t="n"/>
      <c r="AD994" s="6" t="n"/>
      <c r="AE994" s="7">
        <f>IF(X994="","",ROUND('Opening Balance'!$B$4+SUM($AC$2:AC994)-SUM($AD$2:AD994)+SUMPRODUCT(($Q$2:$Q$1501="Collection 收款")*($R$2:$R$1501="Cheque 支票")*($V$2:$V$1501&lt;&gt;"")*($V$2:$V$1501&lt;=X994)*($S$2:$S$1501-'Opening Balance'!$B$15*($R$2:$R$1501="Cheque 支票")*($S$2:$S$1501-TRUNC($S$2:$S$1501))))-'Opening Balance'!$B$15*SUMPRODUCT(($Z$2:Z994="Online collection 网上收款")*($AA$2:AA994&lt;&gt;"")*($AC$2:AC994-TRUNC($AC$2:AC994))),2))</f>
        <v/>
      </c>
    </row>
    <row r="995">
      <c r="O995" s="5" t="n"/>
      <c r="S995" s="6" t="n"/>
      <c r="V995" s="5" t="n"/>
      <c r="X995" s="5" t="n"/>
      <c r="AC995" s="6" t="n"/>
      <c r="AD995" s="6" t="n"/>
      <c r="AE995" s="7">
        <f>IF(X995="","",ROUND('Opening Balance'!$B$4+SUM($AC$2:AC995)-SUM($AD$2:AD995)+SUMPRODUCT(($Q$2:$Q$1501="Collection 收款")*($R$2:$R$1501="Cheque 支票")*($V$2:$V$1501&lt;&gt;"")*($V$2:$V$1501&lt;=X995)*($S$2:$S$1501-'Opening Balance'!$B$15*($R$2:$R$1501="Cheque 支票")*($S$2:$S$1501-TRUNC($S$2:$S$1501))))-'Opening Balance'!$B$15*SUMPRODUCT(($Z$2:Z995="Online collection 网上收款")*($AA$2:AA995&lt;&gt;"")*($AC$2:AC995-TRUNC($AC$2:AC995))),2))</f>
        <v/>
      </c>
    </row>
    <row r="996">
      <c r="O996" s="5" t="n"/>
      <c r="S996" s="6" t="n"/>
      <c r="V996" s="5" t="n"/>
      <c r="X996" s="5" t="n"/>
      <c r="AC996" s="6" t="n"/>
      <c r="AD996" s="6" t="n"/>
      <c r="AE996" s="7">
        <f>IF(X996="","",ROUND('Opening Balance'!$B$4+SUM($AC$2:AC996)-SUM($AD$2:AD996)+SUMPRODUCT(($Q$2:$Q$1501="Collection 收款")*($R$2:$R$1501="Cheque 支票")*($V$2:$V$1501&lt;&gt;"")*($V$2:$V$1501&lt;=X996)*($S$2:$S$1501-'Opening Balance'!$B$15*($R$2:$R$1501="Cheque 支票")*($S$2:$S$1501-TRUNC($S$2:$S$1501))))-'Opening Balance'!$B$15*SUMPRODUCT(($Z$2:Z996="Online collection 网上收款")*($AA$2:AA996&lt;&gt;"")*($AC$2:AC996-TRUNC($AC$2:AC996))),2))</f>
        <v/>
      </c>
    </row>
    <row r="997">
      <c r="O997" s="5" t="n"/>
      <c r="S997" s="6" t="n"/>
      <c r="V997" s="5" t="n"/>
      <c r="X997" s="5" t="n"/>
      <c r="AC997" s="6" t="n"/>
      <c r="AD997" s="6" t="n"/>
      <c r="AE997" s="7">
        <f>IF(X997="","",ROUND('Opening Balance'!$B$4+SUM($AC$2:AC997)-SUM($AD$2:AD997)+SUMPRODUCT(($Q$2:$Q$1501="Collection 收款")*($R$2:$R$1501="Cheque 支票")*($V$2:$V$1501&lt;&gt;"")*($V$2:$V$1501&lt;=X997)*($S$2:$S$1501-'Opening Balance'!$B$15*($R$2:$R$1501="Cheque 支票")*($S$2:$S$1501-TRUNC($S$2:$S$1501))))-'Opening Balance'!$B$15*SUMPRODUCT(($Z$2:Z997="Online collection 网上收款")*($AA$2:AA997&lt;&gt;"")*($AC$2:AC997-TRUNC($AC$2:AC997))),2))</f>
        <v/>
      </c>
    </row>
    <row r="998">
      <c r="O998" s="5" t="n"/>
      <c r="S998" s="6" t="n"/>
      <c r="V998" s="5" t="n"/>
      <c r="X998" s="5" t="n"/>
      <c r="AC998" s="6" t="n"/>
      <c r="AD998" s="6" t="n"/>
      <c r="AE998" s="7">
        <f>IF(X998="","",ROUND('Opening Balance'!$B$4+SUM($AC$2:AC998)-SUM($AD$2:AD998)+SUMPRODUCT(($Q$2:$Q$1501="Collection 收款")*($R$2:$R$1501="Cheque 支票")*($V$2:$V$1501&lt;&gt;"")*($V$2:$V$1501&lt;=X998)*($S$2:$S$1501-'Opening Balance'!$B$15*($R$2:$R$1501="Cheque 支票")*($S$2:$S$1501-TRUNC($S$2:$S$1501))))-'Opening Balance'!$B$15*SUMPRODUCT(($Z$2:Z998="Online collection 网上收款")*($AA$2:AA998&lt;&gt;"")*($AC$2:AC998-TRUNC($AC$2:AC998))),2))</f>
        <v/>
      </c>
    </row>
    <row r="999">
      <c r="O999" s="5" t="n"/>
      <c r="S999" s="6" t="n"/>
      <c r="V999" s="5" t="n"/>
      <c r="X999" s="5" t="n"/>
      <c r="AC999" s="6" t="n"/>
      <c r="AD999" s="6" t="n"/>
      <c r="AE999" s="7">
        <f>IF(X999="","",ROUND('Opening Balance'!$B$4+SUM($AC$2:AC999)-SUM($AD$2:AD999)+SUMPRODUCT(($Q$2:$Q$1501="Collection 收款")*($R$2:$R$1501="Cheque 支票")*($V$2:$V$1501&lt;&gt;"")*($V$2:$V$1501&lt;=X999)*($S$2:$S$1501-'Opening Balance'!$B$15*($R$2:$R$1501="Cheque 支票")*($S$2:$S$1501-TRUNC($S$2:$S$1501))))-'Opening Balance'!$B$15*SUMPRODUCT(($Z$2:Z999="Online collection 网上收款")*($AA$2:AA999&lt;&gt;"")*($AC$2:AC999-TRUNC($AC$2:AC999))),2))</f>
        <v/>
      </c>
    </row>
    <row r="1000">
      <c r="O1000" s="5" t="n"/>
      <c r="S1000" s="6" t="n"/>
      <c r="V1000" s="5" t="n"/>
      <c r="X1000" s="5" t="n"/>
      <c r="AC1000" s="6" t="n"/>
      <c r="AD1000" s="6" t="n"/>
      <c r="AE1000" s="7">
        <f>IF(X1000="","",ROUND('Opening Balance'!$B$4+SUM($AC$2:AC1000)-SUM($AD$2:AD1000)+SUMPRODUCT(($Q$2:$Q$1501="Collection 收款")*($R$2:$R$1501="Cheque 支票")*($V$2:$V$1501&lt;&gt;"")*($V$2:$V$1501&lt;=X1000)*($S$2:$S$1501-'Opening Balance'!$B$15*($R$2:$R$1501="Cheque 支票")*($S$2:$S$1501-TRUNC($S$2:$S$1501))))-'Opening Balance'!$B$15*SUMPRODUCT(($Z$2:Z1000="Online collection 网上收款")*($AA$2:AA1000&lt;&gt;"")*($AC$2:AC1000-TRUNC($AC$2:AC1000))),2))</f>
        <v/>
      </c>
    </row>
    <row r="1001">
      <c r="O1001" s="5" t="n"/>
      <c r="S1001" s="6" t="n"/>
      <c r="V1001" s="5" t="n"/>
      <c r="X1001" s="5" t="n"/>
      <c r="AC1001" s="6" t="n"/>
      <c r="AD1001" s="6" t="n"/>
      <c r="AE1001" s="7">
        <f>IF(X1001="","",ROUND('Opening Balance'!$B$4+SUM($AC$2:AC1001)-SUM($AD$2:AD1001)+SUMPRODUCT(($Q$2:$Q$1501="Collection 收款")*($R$2:$R$1501="Cheque 支票")*($V$2:$V$1501&lt;&gt;"")*($V$2:$V$1501&lt;=X1001)*($S$2:$S$1501-'Opening Balance'!$B$15*($R$2:$R$1501="Cheque 支票")*($S$2:$S$1501-TRUNC($S$2:$S$1501))))-'Opening Balance'!$B$15*SUMPRODUCT(($Z$2:Z1001="Online collection 网上收款")*($AA$2:AA1001&lt;&gt;"")*($AC$2:AC1001-TRUNC($AC$2:AC1001))),2))</f>
        <v/>
      </c>
    </row>
    <row r="1002">
      <c r="O1002" s="5" t="n"/>
      <c r="S1002" s="6" t="n"/>
      <c r="V1002" s="5" t="n"/>
      <c r="X1002" s="5" t="n"/>
      <c r="AC1002" s="6" t="n"/>
      <c r="AD1002" s="6" t="n"/>
      <c r="AE1002" s="7">
        <f>IF(X1002="","",ROUND('Opening Balance'!$B$4+SUM($AC$2:AC1002)-SUM($AD$2:AD1002)+SUMPRODUCT(($Q$2:$Q$1501="Collection 收款")*($R$2:$R$1501="Cheque 支票")*($V$2:$V$1501&lt;&gt;"")*($V$2:$V$1501&lt;=X1002)*($S$2:$S$1501-'Opening Balance'!$B$15*($R$2:$R$1501="Cheque 支票")*($S$2:$S$1501-TRUNC($S$2:$S$1501))))-'Opening Balance'!$B$15*SUMPRODUCT(($Z$2:Z1002="Online collection 网上收款")*($AA$2:AA1002&lt;&gt;"")*($AC$2:AC1002-TRUNC($AC$2:AC1002))),2))</f>
        <v/>
      </c>
    </row>
    <row r="1003">
      <c r="O1003" s="5" t="n"/>
      <c r="S1003" s="6" t="n"/>
      <c r="V1003" s="5" t="n"/>
      <c r="X1003" s="5" t="n"/>
      <c r="AC1003" s="6" t="n"/>
      <c r="AD1003" s="6" t="n"/>
      <c r="AE1003" s="7">
        <f>IF(X1003="","",ROUND('Opening Balance'!$B$4+SUM($AC$2:AC1003)-SUM($AD$2:AD1003)+SUMPRODUCT(($Q$2:$Q$1501="Collection 收款")*($R$2:$R$1501="Cheque 支票")*($V$2:$V$1501&lt;&gt;"")*($V$2:$V$1501&lt;=X1003)*($S$2:$S$1501-'Opening Balance'!$B$15*($R$2:$R$1501="Cheque 支票")*($S$2:$S$1501-TRUNC($S$2:$S$1501))))-'Opening Balance'!$B$15*SUMPRODUCT(($Z$2:Z1003="Online collection 网上收款")*($AA$2:AA1003&lt;&gt;"")*($AC$2:AC1003-TRUNC($AC$2:AC1003))),2))</f>
        <v/>
      </c>
    </row>
    <row r="1004">
      <c r="O1004" s="5" t="n"/>
      <c r="S1004" s="6" t="n"/>
      <c r="V1004" s="5" t="n"/>
      <c r="X1004" s="5" t="n"/>
      <c r="AC1004" s="6" t="n"/>
      <c r="AD1004" s="6" t="n"/>
      <c r="AE1004" s="7">
        <f>IF(X1004="","",ROUND('Opening Balance'!$B$4+SUM($AC$2:AC1004)-SUM($AD$2:AD1004)+SUMPRODUCT(($Q$2:$Q$1501="Collection 收款")*($R$2:$R$1501="Cheque 支票")*($V$2:$V$1501&lt;&gt;"")*($V$2:$V$1501&lt;=X1004)*($S$2:$S$1501-'Opening Balance'!$B$15*($R$2:$R$1501="Cheque 支票")*($S$2:$S$1501-TRUNC($S$2:$S$1501))))-'Opening Balance'!$B$15*SUMPRODUCT(($Z$2:Z1004="Online collection 网上收款")*($AA$2:AA1004&lt;&gt;"")*($AC$2:AC1004-TRUNC($AC$2:AC1004))),2))</f>
        <v/>
      </c>
    </row>
    <row r="1005">
      <c r="O1005" s="5" t="n"/>
      <c r="S1005" s="6" t="n"/>
      <c r="V1005" s="5" t="n"/>
      <c r="X1005" s="5" t="n"/>
      <c r="AC1005" s="6" t="n"/>
      <c r="AD1005" s="6" t="n"/>
      <c r="AE1005" s="7">
        <f>IF(X1005="","",ROUND('Opening Balance'!$B$4+SUM($AC$2:AC1005)-SUM($AD$2:AD1005)+SUMPRODUCT(($Q$2:$Q$1501="Collection 收款")*($R$2:$R$1501="Cheque 支票")*($V$2:$V$1501&lt;&gt;"")*($V$2:$V$1501&lt;=X1005)*($S$2:$S$1501-'Opening Balance'!$B$15*($R$2:$R$1501="Cheque 支票")*($S$2:$S$1501-TRUNC($S$2:$S$1501))))-'Opening Balance'!$B$15*SUMPRODUCT(($Z$2:Z1005="Online collection 网上收款")*($AA$2:AA1005&lt;&gt;"")*($AC$2:AC1005-TRUNC($AC$2:AC1005))),2))</f>
        <v/>
      </c>
    </row>
    <row r="1006">
      <c r="O1006" s="5" t="n"/>
      <c r="S1006" s="6" t="n"/>
      <c r="V1006" s="5" t="n"/>
      <c r="X1006" s="5" t="n"/>
      <c r="AC1006" s="6" t="n"/>
      <c r="AD1006" s="6" t="n"/>
      <c r="AE1006" s="7">
        <f>IF(X1006="","",ROUND('Opening Balance'!$B$4+SUM($AC$2:AC1006)-SUM($AD$2:AD1006)+SUMPRODUCT(($Q$2:$Q$1501="Collection 收款")*($R$2:$R$1501="Cheque 支票")*($V$2:$V$1501&lt;&gt;"")*($V$2:$V$1501&lt;=X1006)*($S$2:$S$1501-'Opening Balance'!$B$15*($R$2:$R$1501="Cheque 支票")*($S$2:$S$1501-TRUNC($S$2:$S$1501))))-'Opening Balance'!$B$15*SUMPRODUCT(($Z$2:Z1006="Online collection 网上收款")*($AA$2:AA1006&lt;&gt;"")*($AC$2:AC1006-TRUNC($AC$2:AC1006))),2))</f>
        <v/>
      </c>
    </row>
    <row r="1007">
      <c r="O1007" s="5" t="n"/>
      <c r="S1007" s="6" t="n"/>
      <c r="V1007" s="5" t="n"/>
      <c r="X1007" s="5" t="n"/>
      <c r="AC1007" s="6" t="n"/>
      <c r="AD1007" s="6" t="n"/>
      <c r="AE1007" s="7">
        <f>IF(X1007="","",ROUND('Opening Balance'!$B$4+SUM($AC$2:AC1007)-SUM($AD$2:AD1007)+SUMPRODUCT(($Q$2:$Q$1501="Collection 收款")*($R$2:$R$1501="Cheque 支票")*($V$2:$V$1501&lt;&gt;"")*($V$2:$V$1501&lt;=X1007)*($S$2:$S$1501-'Opening Balance'!$B$15*($R$2:$R$1501="Cheque 支票")*($S$2:$S$1501-TRUNC($S$2:$S$1501))))-'Opening Balance'!$B$15*SUMPRODUCT(($Z$2:Z1007="Online collection 网上收款")*($AA$2:AA1007&lt;&gt;"")*($AC$2:AC1007-TRUNC($AC$2:AC1007))),2))</f>
        <v/>
      </c>
    </row>
    <row r="1008">
      <c r="O1008" s="5" t="n"/>
      <c r="S1008" s="6" t="n"/>
      <c r="V1008" s="5" t="n"/>
      <c r="X1008" s="5" t="n"/>
      <c r="AC1008" s="6" t="n"/>
      <c r="AD1008" s="6" t="n"/>
      <c r="AE1008" s="7">
        <f>IF(X1008="","",ROUND('Opening Balance'!$B$4+SUM($AC$2:AC1008)-SUM($AD$2:AD1008)+SUMPRODUCT(($Q$2:$Q$1501="Collection 收款")*($R$2:$R$1501="Cheque 支票")*($V$2:$V$1501&lt;&gt;"")*($V$2:$V$1501&lt;=X1008)*($S$2:$S$1501-'Opening Balance'!$B$15*($R$2:$R$1501="Cheque 支票")*($S$2:$S$1501-TRUNC($S$2:$S$1501))))-'Opening Balance'!$B$15*SUMPRODUCT(($Z$2:Z1008="Online collection 网上收款")*($AA$2:AA1008&lt;&gt;"")*($AC$2:AC1008-TRUNC($AC$2:AC1008))),2))</f>
        <v/>
      </c>
    </row>
    <row r="1009">
      <c r="O1009" s="5" t="n"/>
      <c r="S1009" s="6" t="n"/>
      <c r="V1009" s="5" t="n"/>
      <c r="X1009" s="5" t="n"/>
      <c r="AC1009" s="6" t="n"/>
      <c r="AD1009" s="6" t="n"/>
      <c r="AE1009" s="7">
        <f>IF(X1009="","",ROUND('Opening Balance'!$B$4+SUM($AC$2:AC1009)-SUM($AD$2:AD1009)+SUMPRODUCT(($Q$2:$Q$1501="Collection 收款")*($R$2:$R$1501="Cheque 支票")*($V$2:$V$1501&lt;&gt;"")*($V$2:$V$1501&lt;=X1009)*($S$2:$S$1501-'Opening Balance'!$B$15*($R$2:$R$1501="Cheque 支票")*($S$2:$S$1501-TRUNC($S$2:$S$1501))))-'Opening Balance'!$B$15*SUMPRODUCT(($Z$2:Z1009="Online collection 网上收款")*($AA$2:AA1009&lt;&gt;"")*($AC$2:AC1009-TRUNC($AC$2:AC1009))),2))</f>
        <v/>
      </c>
    </row>
    <row r="1010">
      <c r="O1010" s="5" t="n"/>
      <c r="S1010" s="6" t="n"/>
      <c r="V1010" s="5" t="n"/>
      <c r="X1010" s="5" t="n"/>
      <c r="AC1010" s="6" t="n"/>
      <c r="AD1010" s="6" t="n"/>
      <c r="AE1010" s="7">
        <f>IF(X1010="","",ROUND('Opening Balance'!$B$4+SUM($AC$2:AC1010)-SUM($AD$2:AD1010)+SUMPRODUCT(($Q$2:$Q$1501="Collection 收款")*($R$2:$R$1501="Cheque 支票")*($V$2:$V$1501&lt;&gt;"")*($V$2:$V$1501&lt;=X1010)*($S$2:$S$1501-'Opening Balance'!$B$15*($R$2:$R$1501="Cheque 支票")*($S$2:$S$1501-TRUNC($S$2:$S$1501))))-'Opening Balance'!$B$15*SUMPRODUCT(($Z$2:Z1010="Online collection 网上收款")*($AA$2:AA1010&lt;&gt;"")*($AC$2:AC1010-TRUNC($AC$2:AC1010))),2))</f>
        <v/>
      </c>
    </row>
    <row r="1011">
      <c r="O1011" s="5" t="n"/>
      <c r="S1011" s="6" t="n"/>
      <c r="V1011" s="5" t="n"/>
      <c r="X1011" s="5" t="n"/>
      <c r="AC1011" s="6" t="n"/>
      <c r="AD1011" s="6" t="n"/>
      <c r="AE1011" s="7">
        <f>IF(X1011="","",ROUND('Opening Balance'!$B$4+SUM($AC$2:AC1011)-SUM($AD$2:AD1011)+SUMPRODUCT(($Q$2:$Q$1501="Collection 收款")*($R$2:$R$1501="Cheque 支票")*($V$2:$V$1501&lt;&gt;"")*($V$2:$V$1501&lt;=X1011)*($S$2:$S$1501-'Opening Balance'!$B$15*($R$2:$R$1501="Cheque 支票")*($S$2:$S$1501-TRUNC($S$2:$S$1501))))-'Opening Balance'!$B$15*SUMPRODUCT(($Z$2:Z1011="Online collection 网上收款")*($AA$2:AA1011&lt;&gt;"")*($AC$2:AC1011-TRUNC($AC$2:AC1011))),2))</f>
        <v/>
      </c>
    </row>
    <row r="1012">
      <c r="O1012" s="5" t="n"/>
      <c r="S1012" s="6" t="n"/>
      <c r="V1012" s="5" t="n"/>
      <c r="X1012" s="5" t="n"/>
      <c r="AC1012" s="6" t="n"/>
      <c r="AD1012" s="6" t="n"/>
      <c r="AE1012" s="7">
        <f>IF(X1012="","",ROUND('Opening Balance'!$B$4+SUM($AC$2:AC1012)-SUM($AD$2:AD1012)+SUMPRODUCT(($Q$2:$Q$1501="Collection 收款")*($R$2:$R$1501="Cheque 支票")*($V$2:$V$1501&lt;&gt;"")*($V$2:$V$1501&lt;=X1012)*($S$2:$S$1501-'Opening Balance'!$B$15*($R$2:$R$1501="Cheque 支票")*($S$2:$S$1501-TRUNC($S$2:$S$1501))))-'Opening Balance'!$B$15*SUMPRODUCT(($Z$2:Z1012="Online collection 网上收款")*($AA$2:AA1012&lt;&gt;"")*($AC$2:AC1012-TRUNC($AC$2:AC1012))),2))</f>
        <v/>
      </c>
    </row>
    <row r="1013">
      <c r="O1013" s="5" t="n"/>
      <c r="S1013" s="6" t="n"/>
      <c r="V1013" s="5" t="n"/>
      <c r="X1013" s="5" t="n"/>
      <c r="AC1013" s="6" t="n"/>
      <c r="AD1013" s="6" t="n"/>
      <c r="AE1013" s="7">
        <f>IF(X1013="","",ROUND('Opening Balance'!$B$4+SUM($AC$2:AC1013)-SUM($AD$2:AD1013)+SUMPRODUCT(($Q$2:$Q$1501="Collection 收款")*($R$2:$R$1501="Cheque 支票")*($V$2:$V$1501&lt;&gt;"")*($V$2:$V$1501&lt;=X1013)*($S$2:$S$1501-'Opening Balance'!$B$15*($R$2:$R$1501="Cheque 支票")*($S$2:$S$1501-TRUNC($S$2:$S$1501))))-'Opening Balance'!$B$15*SUMPRODUCT(($Z$2:Z1013="Online collection 网上收款")*($AA$2:AA1013&lt;&gt;"")*($AC$2:AC1013-TRUNC($AC$2:AC1013))),2))</f>
        <v/>
      </c>
    </row>
    <row r="1014">
      <c r="O1014" s="5" t="n"/>
      <c r="S1014" s="6" t="n"/>
      <c r="V1014" s="5" t="n"/>
      <c r="X1014" s="5" t="n"/>
      <c r="AC1014" s="6" t="n"/>
      <c r="AD1014" s="6" t="n"/>
      <c r="AE1014" s="7">
        <f>IF(X1014="","",ROUND('Opening Balance'!$B$4+SUM($AC$2:AC1014)-SUM($AD$2:AD1014)+SUMPRODUCT(($Q$2:$Q$1501="Collection 收款")*($R$2:$R$1501="Cheque 支票")*($V$2:$V$1501&lt;&gt;"")*($V$2:$V$1501&lt;=X1014)*($S$2:$S$1501-'Opening Balance'!$B$15*($R$2:$R$1501="Cheque 支票")*($S$2:$S$1501-TRUNC($S$2:$S$1501))))-'Opening Balance'!$B$15*SUMPRODUCT(($Z$2:Z1014="Online collection 网上收款")*($AA$2:AA1014&lt;&gt;"")*($AC$2:AC1014-TRUNC($AC$2:AC1014))),2))</f>
        <v/>
      </c>
    </row>
    <row r="1015">
      <c r="O1015" s="5" t="n"/>
      <c r="S1015" s="6" t="n"/>
      <c r="V1015" s="5" t="n"/>
      <c r="X1015" s="5" t="n"/>
      <c r="AC1015" s="6" t="n"/>
      <c r="AD1015" s="6" t="n"/>
      <c r="AE1015" s="7">
        <f>IF(X1015="","",ROUND('Opening Balance'!$B$4+SUM($AC$2:AC1015)-SUM($AD$2:AD1015)+SUMPRODUCT(($Q$2:$Q$1501="Collection 收款")*($R$2:$R$1501="Cheque 支票")*($V$2:$V$1501&lt;&gt;"")*($V$2:$V$1501&lt;=X1015)*($S$2:$S$1501-'Opening Balance'!$B$15*($R$2:$R$1501="Cheque 支票")*($S$2:$S$1501-TRUNC($S$2:$S$1501))))-'Opening Balance'!$B$15*SUMPRODUCT(($Z$2:Z1015="Online collection 网上收款")*($AA$2:AA1015&lt;&gt;"")*($AC$2:AC1015-TRUNC($AC$2:AC1015))),2))</f>
        <v/>
      </c>
    </row>
    <row r="1016">
      <c r="O1016" s="5" t="n"/>
      <c r="S1016" s="6" t="n"/>
      <c r="V1016" s="5" t="n"/>
      <c r="X1016" s="5" t="n"/>
      <c r="AC1016" s="6" t="n"/>
      <c r="AD1016" s="6" t="n"/>
      <c r="AE1016" s="7">
        <f>IF(X1016="","",ROUND('Opening Balance'!$B$4+SUM($AC$2:AC1016)-SUM($AD$2:AD1016)+SUMPRODUCT(($Q$2:$Q$1501="Collection 收款")*($R$2:$R$1501="Cheque 支票")*($V$2:$V$1501&lt;&gt;"")*($V$2:$V$1501&lt;=X1016)*($S$2:$S$1501-'Opening Balance'!$B$15*($R$2:$R$1501="Cheque 支票")*($S$2:$S$1501-TRUNC($S$2:$S$1501))))-'Opening Balance'!$B$15*SUMPRODUCT(($Z$2:Z1016="Online collection 网上收款")*($AA$2:AA1016&lt;&gt;"")*($AC$2:AC1016-TRUNC($AC$2:AC1016))),2))</f>
        <v/>
      </c>
    </row>
    <row r="1017">
      <c r="O1017" s="5" t="n"/>
      <c r="S1017" s="6" t="n"/>
      <c r="V1017" s="5" t="n"/>
      <c r="X1017" s="5" t="n"/>
      <c r="AC1017" s="6" t="n"/>
      <c r="AD1017" s="6" t="n"/>
      <c r="AE1017" s="7">
        <f>IF(X1017="","",ROUND('Opening Balance'!$B$4+SUM($AC$2:AC1017)-SUM($AD$2:AD1017)+SUMPRODUCT(($Q$2:$Q$1501="Collection 收款")*($R$2:$R$1501="Cheque 支票")*($V$2:$V$1501&lt;&gt;"")*($V$2:$V$1501&lt;=X1017)*($S$2:$S$1501-'Opening Balance'!$B$15*($R$2:$R$1501="Cheque 支票")*($S$2:$S$1501-TRUNC($S$2:$S$1501))))-'Opening Balance'!$B$15*SUMPRODUCT(($Z$2:Z1017="Online collection 网上收款")*($AA$2:AA1017&lt;&gt;"")*($AC$2:AC1017-TRUNC($AC$2:AC1017))),2))</f>
        <v/>
      </c>
    </row>
    <row r="1018">
      <c r="O1018" s="5" t="n"/>
      <c r="S1018" s="6" t="n"/>
      <c r="V1018" s="5" t="n"/>
      <c r="X1018" s="5" t="n"/>
      <c r="AC1018" s="6" t="n"/>
      <c r="AD1018" s="6" t="n"/>
      <c r="AE1018" s="7">
        <f>IF(X1018="","",ROUND('Opening Balance'!$B$4+SUM($AC$2:AC1018)-SUM($AD$2:AD1018)+SUMPRODUCT(($Q$2:$Q$1501="Collection 收款")*($R$2:$R$1501="Cheque 支票")*($V$2:$V$1501&lt;&gt;"")*($V$2:$V$1501&lt;=X1018)*($S$2:$S$1501-'Opening Balance'!$B$15*($R$2:$R$1501="Cheque 支票")*($S$2:$S$1501-TRUNC($S$2:$S$1501))))-'Opening Balance'!$B$15*SUMPRODUCT(($Z$2:Z1018="Online collection 网上收款")*($AA$2:AA1018&lt;&gt;"")*($AC$2:AC1018-TRUNC($AC$2:AC1018))),2))</f>
        <v/>
      </c>
    </row>
    <row r="1019">
      <c r="O1019" s="5" t="n"/>
      <c r="S1019" s="6" t="n"/>
      <c r="V1019" s="5" t="n"/>
      <c r="X1019" s="5" t="n"/>
      <c r="AC1019" s="6" t="n"/>
      <c r="AD1019" s="6" t="n"/>
      <c r="AE1019" s="7">
        <f>IF(X1019="","",ROUND('Opening Balance'!$B$4+SUM($AC$2:AC1019)-SUM($AD$2:AD1019)+SUMPRODUCT(($Q$2:$Q$1501="Collection 收款")*($R$2:$R$1501="Cheque 支票")*($V$2:$V$1501&lt;&gt;"")*($V$2:$V$1501&lt;=X1019)*($S$2:$S$1501-'Opening Balance'!$B$15*($R$2:$R$1501="Cheque 支票")*($S$2:$S$1501-TRUNC($S$2:$S$1501))))-'Opening Balance'!$B$15*SUMPRODUCT(($Z$2:Z1019="Online collection 网上收款")*($AA$2:AA1019&lt;&gt;"")*($AC$2:AC1019-TRUNC($AC$2:AC1019))),2))</f>
        <v/>
      </c>
    </row>
    <row r="1020">
      <c r="O1020" s="5" t="n"/>
      <c r="S1020" s="6" t="n"/>
      <c r="V1020" s="5" t="n"/>
      <c r="X1020" s="5" t="n"/>
      <c r="AC1020" s="6" t="n"/>
      <c r="AD1020" s="6" t="n"/>
      <c r="AE1020" s="7">
        <f>IF(X1020="","",ROUND('Opening Balance'!$B$4+SUM($AC$2:AC1020)-SUM($AD$2:AD1020)+SUMPRODUCT(($Q$2:$Q$1501="Collection 收款")*($R$2:$R$1501="Cheque 支票")*($V$2:$V$1501&lt;&gt;"")*($V$2:$V$1501&lt;=X1020)*($S$2:$S$1501-'Opening Balance'!$B$15*($R$2:$R$1501="Cheque 支票")*($S$2:$S$1501-TRUNC($S$2:$S$1501))))-'Opening Balance'!$B$15*SUMPRODUCT(($Z$2:Z1020="Online collection 网上收款")*($AA$2:AA1020&lt;&gt;"")*($AC$2:AC1020-TRUNC($AC$2:AC1020))),2))</f>
        <v/>
      </c>
    </row>
    <row r="1021">
      <c r="O1021" s="5" t="n"/>
      <c r="S1021" s="6" t="n"/>
      <c r="V1021" s="5" t="n"/>
      <c r="X1021" s="5" t="n"/>
      <c r="AC1021" s="6" t="n"/>
      <c r="AD1021" s="6" t="n"/>
      <c r="AE1021" s="7">
        <f>IF(X1021="","",ROUND('Opening Balance'!$B$4+SUM($AC$2:AC1021)-SUM($AD$2:AD1021)+SUMPRODUCT(($Q$2:$Q$1501="Collection 收款")*($R$2:$R$1501="Cheque 支票")*($V$2:$V$1501&lt;&gt;"")*($V$2:$V$1501&lt;=X1021)*($S$2:$S$1501-'Opening Balance'!$B$15*($R$2:$R$1501="Cheque 支票")*($S$2:$S$1501-TRUNC($S$2:$S$1501))))-'Opening Balance'!$B$15*SUMPRODUCT(($Z$2:Z1021="Online collection 网上收款")*($AA$2:AA1021&lt;&gt;"")*($AC$2:AC1021-TRUNC($AC$2:AC1021))),2))</f>
        <v/>
      </c>
    </row>
    <row r="1022">
      <c r="O1022" s="5" t="n"/>
      <c r="S1022" s="6" t="n"/>
      <c r="V1022" s="5" t="n"/>
      <c r="X1022" s="5" t="n"/>
      <c r="AC1022" s="6" t="n"/>
      <c r="AD1022" s="6" t="n"/>
      <c r="AE1022" s="7">
        <f>IF(X1022="","",ROUND('Opening Balance'!$B$4+SUM($AC$2:AC1022)-SUM($AD$2:AD1022)+SUMPRODUCT(($Q$2:$Q$1501="Collection 收款")*($R$2:$R$1501="Cheque 支票")*($V$2:$V$1501&lt;&gt;"")*($V$2:$V$1501&lt;=X1022)*($S$2:$S$1501-'Opening Balance'!$B$15*($R$2:$R$1501="Cheque 支票")*($S$2:$S$1501-TRUNC($S$2:$S$1501))))-'Opening Balance'!$B$15*SUMPRODUCT(($Z$2:Z1022="Online collection 网上收款")*($AA$2:AA1022&lt;&gt;"")*($AC$2:AC1022-TRUNC($AC$2:AC1022))),2))</f>
        <v/>
      </c>
    </row>
    <row r="1023">
      <c r="O1023" s="5" t="n"/>
      <c r="S1023" s="6" t="n"/>
      <c r="V1023" s="5" t="n"/>
      <c r="X1023" s="5" t="n"/>
      <c r="AC1023" s="6" t="n"/>
      <c r="AD1023" s="6" t="n"/>
      <c r="AE1023" s="7">
        <f>IF(X1023="","",ROUND('Opening Balance'!$B$4+SUM($AC$2:AC1023)-SUM($AD$2:AD1023)+SUMPRODUCT(($Q$2:$Q$1501="Collection 收款")*($R$2:$R$1501="Cheque 支票")*($V$2:$V$1501&lt;&gt;"")*($V$2:$V$1501&lt;=X1023)*($S$2:$S$1501-'Opening Balance'!$B$15*($R$2:$R$1501="Cheque 支票")*($S$2:$S$1501-TRUNC($S$2:$S$1501))))-'Opening Balance'!$B$15*SUMPRODUCT(($Z$2:Z1023="Online collection 网上收款")*($AA$2:AA1023&lt;&gt;"")*($AC$2:AC1023-TRUNC($AC$2:AC1023))),2))</f>
        <v/>
      </c>
    </row>
    <row r="1024">
      <c r="O1024" s="5" t="n"/>
      <c r="S1024" s="6" t="n"/>
      <c r="V1024" s="5" t="n"/>
      <c r="X1024" s="5" t="n"/>
      <c r="AC1024" s="6" t="n"/>
      <c r="AD1024" s="6" t="n"/>
      <c r="AE1024" s="7">
        <f>IF(X1024="","",ROUND('Opening Balance'!$B$4+SUM($AC$2:AC1024)-SUM($AD$2:AD1024)+SUMPRODUCT(($Q$2:$Q$1501="Collection 收款")*($R$2:$R$1501="Cheque 支票")*($V$2:$V$1501&lt;&gt;"")*($V$2:$V$1501&lt;=X1024)*($S$2:$S$1501-'Opening Balance'!$B$15*($R$2:$R$1501="Cheque 支票")*($S$2:$S$1501-TRUNC($S$2:$S$1501))))-'Opening Balance'!$B$15*SUMPRODUCT(($Z$2:Z1024="Online collection 网上收款")*($AA$2:AA1024&lt;&gt;"")*($AC$2:AC1024-TRUNC($AC$2:AC1024))),2))</f>
        <v/>
      </c>
    </row>
    <row r="1025">
      <c r="O1025" s="5" t="n"/>
      <c r="S1025" s="6" t="n"/>
      <c r="V1025" s="5" t="n"/>
      <c r="X1025" s="5" t="n"/>
      <c r="AC1025" s="6" t="n"/>
      <c r="AD1025" s="6" t="n"/>
      <c r="AE1025" s="7">
        <f>IF(X1025="","",ROUND('Opening Balance'!$B$4+SUM($AC$2:AC1025)-SUM($AD$2:AD1025)+SUMPRODUCT(($Q$2:$Q$1501="Collection 收款")*($R$2:$R$1501="Cheque 支票")*($V$2:$V$1501&lt;&gt;"")*($V$2:$V$1501&lt;=X1025)*($S$2:$S$1501-'Opening Balance'!$B$15*($R$2:$R$1501="Cheque 支票")*($S$2:$S$1501-TRUNC($S$2:$S$1501))))-'Opening Balance'!$B$15*SUMPRODUCT(($Z$2:Z1025="Online collection 网上收款")*($AA$2:AA1025&lt;&gt;"")*($AC$2:AC1025-TRUNC($AC$2:AC1025))),2))</f>
        <v/>
      </c>
    </row>
    <row r="1026">
      <c r="O1026" s="5" t="n"/>
      <c r="S1026" s="6" t="n"/>
      <c r="V1026" s="5" t="n"/>
      <c r="X1026" s="5" t="n"/>
      <c r="AC1026" s="6" t="n"/>
      <c r="AD1026" s="6" t="n"/>
      <c r="AE1026" s="7">
        <f>IF(X1026="","",ROUND('Opening Balance'!$B$4+SUM($AC$2:AC1026)-SUM($AD$2:AD1026)+SUMPRODUCT(($Q$2:$Q$1501="Collection 收款")*($R$2:$R$1501="Cheque 支票")*($V$2:$V$1501&lt;&gt;"")*($V$2:$V$1501&lt;=X1026)*($S$2:$S$1501-'Opening Balance'!$B$15*($R$2:$R$1501="Cheque 支票")*($S$2:$S$1501-TRUNC($S$2:$S$1501))))-'Opening Balance'!$B$15*SUMPRODUCT(($Z$2:Z1026="Online collection 网上收款")*($AA$2:AA1026&lt;&gt;"")*($AC$2:AC1026-TRUNC($AC$2:AC1026))),2))</f>
        <v/>
      </c>
    </row>
    <row r="1027">
      <c r="O1027" s="5" t="n"/>
      <c r="S1027" s="6" t="n"/>
      <c r="V1027" s="5" t="n"/>
      <c r="X1027" s="5" t="n"/>
      <c r="AC1027" s="6" t="n"/>
      <c r="AD1027" s="6" t="n"/>
      <c r="AE1027" s="7">
        <f>IF(X1027="","",ROUND('Opening Balance'!$B$4+SUM($AC$2:AC1027)-SUM($AD$2:AD1027)+SUMPRODUCT(($Q$2:$Q$1501="Collection 收款")*($R$2:$R$1501="Cheque 支票")*($V$2:$V$1501&lt;&gt;"")*($V$2:$V$1501&lt;=X1027)*($S$2:$S$1501-'Opening Balance'!$B$15*($R$2:$R$1501="Cheque 支票")*($S$2:$S$1501-TRUNC($S$2:$S$1501))))-'Opening Balance'!$B$15*SUMPRODUCT(($Z$2:Z1027="Online collection 网上收款")*($AA$2:AA1027&lt;&gt;"")*($AC$2:AC1027-TRUNC($AC$2:AC1027))),2))</f>
        <v/>
      </c>
    </row>
    <row r="1028">
      <c r="O1028" s="5" t="n"/>
      <c r="S1028" s="6" t="n"/>
      <c r="V1028" s="5" t="n"/>
      <c r="X1028" s="5" t="n"/>
      <c r="AC1028" s="6" t="n"/>
      <c r="AD1028" s="6" t="n"/>
      <c r="AE1028" s="7">
        <f>IF(X1028="","",ROUND('Opening Balance'!$B$4+SUM($AC$2:AC1028)-SUM($AD$2:AD1028)+SUMPRODUCT(($Q$2:$Q$1501="Collection 收款")*($R$2:$R$1501="Cheque 支票")*($V$2:$V$1501&lt;&gt;"")*($V$2:$V$1501&lt;=X1028)*($S$2:$S$1501-'Opening Balance'!$B$15*($R$2:$R$1501="Cheque 支票")*($S$2:$S$1501-TRUNC($S$2:$S$1501))))-'Opening Balance'!$B$15*SUMPRODUCT(($Z$2:Z1028="Online collection 网上收款")*($AA$2:AA1028&lt;&gt;"")*($AC$2:AC1028-TRUNC($AC$2:AC1028))),2))</f>
        <v/>
      </c>
    </row>
    <row r="1029">
      <c r="O1029" s="5" t="n"/>
      <c r="S1029" s="6" t="n"/>
      <c r="V1029" s="5" t="n"/>
      <c r="X1029" s="5" t="n"/>
      <c r="AC1029" s="6" t="n"/>
      <c r="AD1029" s="6" t="n"/>
      <c r="AE1029" s="7">
        <f>IF(X1029="","",ROUND('Opening Balance'!$B$4+SUM($AC$2:AC1029)-SUM($AD$2:AD1029)+SUMPRODUCT(($Q$2:$Q$1501="Collection 收款")*($R$2:$R$1501="Cheque 支票")*($V$2:$V$1501&lt;&gt;"")*($V$2:$V$1501&lt;=X1029)*($S$2:$S$1501-'Opening Balance'!$B$15*($R$2:$R$1501="Cheque 支票")*($S$2:$S$1501-TRUNC($S$2:$S$1501))))-'Opening Balance'!$B$15*SUMPRODUCT(($Z$2:Z1029="Online collection 网上收款")*($AA$2:AA1029&lt;&gt;"")*($AC$2:AC1029-TRUNC($AC$2:AC1029))),2))</f>
        <v/>
      </c>
    </row>
    <row r="1030">
      <c r="O1030" s="5" t="n"/>
      <c r="S1030" s="6" t="n"/>
      <c r="V1030" s="5" t="n"/>
      <c r="X1030" s="5" t="n"/>
      <c r="AC1030" s="6" t="n"/>
      <c r="AD1030" s="6" t="n"/>
      <c r="AE1030" s="7">
        <f>IF(X1030="","",ROUND('Opening Balance'!$B$4+SUM($AC$2:AC1030)-SUM($AD$2:AD1030)+SUMPRODUCT(($Q$2:$Q$1501="Collection 收款")*($R$2:$R$1501="Cheque 支票")*($V$2:$V$1501&lt;&gt;"")*($V$2:$V$1501&lt;=X1030)*($S$2:$S$1501-'Opening Balance'!$B$15*($R$2:$R$1501="Cheque 支票")*($S$2:$S$1501-TRUNC($S$2:$S$1501))))-'Opening Balance'!$B$15*SUMPRODUCT(($Z$2:Z1030="Online collection 网上收款")*($AA$2:AA1030&lt;&gt;"")*($AC$2:AC1030-TRUNC($AC$2:AC1030))),2))</f>
        <v/>
      </c>
    </row>
    <row r="1031">
      <c r="O1031" s="5" t="n"/>
      <c r="S1031" s="6" t="n"/>
      <c r="V1031" s="5" t="n"/>
      <c r="X1031" s="5" t="n"/>
      <c r="AC1031" s="6" t="n"/>
      <c r="AD1031" s="6" t="n"/>
      <c r="AE1031" s="7">
        <f>IF(X1031="","",ROUND('Opening Balance'!$B$4+SUM($AC$2:AC1031)-SUM($AD$2:AD1031)+SUMPRODUCT(($Q$2:$Q$1501="Collection 收款")*($R$2:$R$1501="Cheque 支票")*($V$2:$V$1501&lt;&gt;"")*($V$2:$V$1501&lt;=X1031)*($S$2:$S$1501-'Opening Balance'!$B$15*($R$2:$R$1501="Cheque 支票")*($S$2:$S$1501-TRUNC($S$2:$S$1501))))-'Opening Balance'!$B$15*SUMPRODUCT(($Z$2:Z1031="Online collection 网上收款")*($AA$2:AA1031&lt;&gt;"")*($AC$2:AC1031-TRUNC($AC$2:AC1031))),2))</f>
        <v/>
      </c>
    </row>
    <row r="1032">
      <c r="O1032" s="5" t="n"/>
      <c r="S1032" s="6" t="n"/>
      <c r="V1032" s="5" t="n"/>
      <c r="X1032" s="5" t="n"/>
      <c r="AC1032" s="6" t="n"/>
      <c r="AD1032" s="6" t="n"/>
      <c r="AE1032" s="7">
        <f>IF(X1032="","",ROUND('Opening Balance'!$B$4+SUM($AC$2:AC1032)-SUM($AD$2:AD1032)+SUMPRODUCT(($Q$2:$Q$1501="Collection 收款")*($R$2:$R$1501="Cheque 支票")*($V$2:$V$1501&lt;&gt;"")*($V$2:$V$1501&lt;=X1032)*($S$2:$S$1501-'Opening Balance'!$B$15*($R$2:$R$1501="Cheque 支票")*($S$2:$S$1501-TRUNC($S$2:$S$1501))))-'Opening Balance'!$B$15*SUMPRODUCT(($Z$2:Z1032="Online collection 网上收款")*($AA$2:AA1032&lt;&gt;"")*($AC$2:AC1032-TRUNC($AC$2:AC1032))),2))</f>
        <v/>
      </c>
    </row>
    <row r="1033">
      <c r="O1033" s="5" t="n"/>
      <c r="S1033" s="6" t="n"/>
      <c r="V1033" s="5" t="n"/>
      <c r="X1033" s="5" t="n"/>
      <c r="AC1033" s="6" t="n"/>
      <c r="AD1033" s="6" t="n"/>
      <c r="AE1033" s="7">
        <f>IF(X1033="","",ROUND('Opening Balance'!$B$4+SUM($AC$2:AC1033)-SUM($AD$2:AD1033)+SUMPRODUCT(($Q$2:$Q$1501="Collection 收款")*($R$2:$R$1501="Cheque 支票")*($V$2:$V$1501&lt;&gt;"")*($V$2:$V$1501&lt;=X1033)*($S$2:$S$1501-'Opening Balance'!$B$15*($R$2:$R$1501="Cheque 支票")*($S$2:$S$1501-TRUNC($S$2:$S$1501))))-'Opening Balance'!$B$15*SUMPRODUCT(($Z$2:Z1033="Online collection 网上收款")*($AA$2:AA1033&lt;&gt;"")*($AC$2:AC1033-TRUNC($AC$2:AC1033))),2))</f>
        <v/>
      </c>
    </row>
    <row r="1034">
      <c r="O1034" s="5" t="n"/>
      <c r="S1034" s="6" t="n"/>
      <c r="V1034" s="5" t="n"/>
      <c r="X1034" s="5" t="n"/>
      <c r="AC1034" s="6" t="n"/>
      <c r="AD1034" s="6" t="n"/>
      <c r="AE1034" s="7">
        <f>IF(X1034="","",ROUND('Opening Balance'!$B$4+SUM($AC$2:AC1034)-SUM($AD$2:AD1034)+SUMPRODUCT(($Q$2:$Q$1501="Collection 收款")*($R$2:$R$1501="Cheque 支票")*($V$2:$V$1501&lt;&gt;"")*($V$2:$V$1501&lt;=X1034)*($S$2:$S$1501-'Opening Balance'!$B$15*($R$2:$R$1501="Cheque 支票")*($S$2:$S$1501-TRUNC($S$2:$S$1501))))-'Opening Balance'!$B$15*SUMPRODUCT(($Z$2:Z1034="Online collection 网上收款")*($AA$2:AA1034&lt;&gt;"")*($AC$2:AC1034-TRUNC($AC$2:AC1034))),2))</f>
        <v/>
      </c>
    </row>
    <row r="1035">
      <c r="O1035" s="5" t="n"/>
      <c r="S1035" s="6" t="n"/>
      <c r="V1035" s="5" t="n"/>
      <c r="X1035" s="5" t="n"/>
      <c r="AC1035" s="6" t="n"/>
      <c r="AD1035" s="6" t="n"/>
      <c r="AE1035" s="7">
        <f>IF(X1035="","",ROUND('Opening Balance'!$B$4+SUM($AC$2:AC1035)-SUM($AD$2:AD1035)+SUMPRODUCT(($Q$2:$Q$1501="Collection 收款")*($R$2:$R$1501="Cheque 支票")*($V$2:$V$1501&lt;&gt;"")*($V$2:$V$1501&lt;=X1035)*($S$2:$S$1501-'Opening Balance'!$B$15*($R$2:$R$1501="Cheque 支票")*($S$2:$S$1501-TRUNC($S$2:$S$1501))))-'Opening Balance'!$B$15*SUMPRODUCT(($Z$2:Z1035="Online collection 网上收款")*($AA$2:AA1035&lt;&gt;"")*($AC$2:AC1035-TRUNC($AC$2:AC1035))),2))</f>
        <v/>
      </c>
    </row>
    <row r="1036">
      <c r="O1036" s="5" t="n"/>
      <c r="S1036" s="6" t="n"/>
      <c r="V1036" s="5" t="n"/>
      <c r="X1036" s="5" t="n"/>
      <c r="AC1036" s="6" t="n"/>
      <c r="AD1036" s="6" t="n"/>
      <c r="AE1036" s="7">
        <f>IF(X1036="","",ROUND('Opening Balance'!$B$4+SUM($AC$2:AC1036)-SUM($AD$2:AD1036)+SUMPRODUCT(($Q$2:$Q$1501="Collection 收款")*($R$2:$R$1501="Cheque 支票")*($V$2:$V$1501&lt;&gt;"")*($V$2:$V$1501&lt;=X1036)*($S$2:$S$1501-'Opening Balance'!$B$15*($R$2:$R$1501="Cheque 支票")*($S$2:$S$1501-TRUNC($S$2:$S$1501))))-'Opening Balance'!$B$15*SUMPRODUCT(($Z$2:Z1036="Online collection 网上收款")*($AA$2:AA1036&lt;&gt;"")*($AC$2:AC1036-TRUNC($AC$2:AC1036))),2))</f>
        <v/>
      </c>
    </row>
    <row r="1037">
      <c r="O1037" s="5" t="n"/>
      <c r="S1037" s="6" t="n"/>
      <c r="V1037" s="5" t="n"/>
      <c r="X1037" s="5" t="n"/>
      <c r="AC1037" s="6" t="n"/>
      <c r="AD1037" s="6" t="n"/>
      <c r="AE1037" s="7">
        <f>IF(X1037="","",ROUND('Opening Balance'!$B$4+SUM($AC$2:AC1037)-SUM($AD$2:AD1037)+SUMPRODUCT(($Q$2:$Q$1501="Collection 收款")*($R$2:$R$1501="Cheque 支票")*($V$2:$V$1501&lt;&gt;"")*($V$2:$V$1501&lt;=X1037)*($S$2:$S$1501-'Opening Balance'!$B$15*($R$2:$R$1501="Cheque 支票")*($S$2:$S$1501-TRUNC($S$2:$S$1501))))-'Opening Balance'!$B$15*SUMPRODUCT(($Z$2:Z1037="Online collection 网上收款")*($AA$2:AA1037&lt;&gt;"")*($AC$2:AC1037-TRUNC($AC$2:AC1037))),2))</f>
        <v/>
      </c>
    </row>
    <row r="1038">
      <c r="O1038" s="5" t="n"/>
      <c r="S1038" s="6" t="n"/>
      <c r="V1038" s="5" t="n"/>
      <c r="X1038" s="5" t="n"/>
      <c r="AC1038" s="6" t="n"/>
      <c r="AD1038" s="6" t="n"/>
      <c r="AE1038" s="7">
        <f>IF(X1038="","",ROUND('Opening Balance'!$B$4+SUM($AC$2:AC1038)-SUM($AD$2:AD1038)+SUMPRODUCT(($Q$2:$Q$1501="Collection 收款")*($R$2:$R$1501="Cheque 支票")*($V$2:$V$1501&lt;&gt;"")*($V$2:$V$1501&lt;=X1038)*($S$2:$S$1501-'Opening Balance'!$B$15*($R$2:$R$1501="Cheque 支票")*($S$2:$S$1501-TRUNC($S$2:$S$1501))))-'Opening Balance'!$B$15*SUMPRODUCT(($Z$2:Z1038="Online collection 网上收款")*($AA$2:AA1038&lt;&gt;"")*($AC$2:AC1038-TRUNC($AC$2:AC1038))),2))</f>
        <v/>
      </c>
    </row>
    <row r="1039">
      <c r="O1039" s="5" t="n"/>
      <c r="S1039" s="6" t="n"/>
      <c r="V1039" s="5" t="n"/>
      <c r="X1039" s="5" t="n"/>
      <c r="AC1039" s="6" t="n"/>
      <c r="AD1039" s="6" t="n"/>
      <c r="AE1039" s="7">
        <f>IF(X1039="","",ROUND('Opening Balance'!$B$4+SUM($AC$2:AC1039)-SUM($AD$2:AD1039)+SUMPRODUCT(($Q$2:$Q$1501="Collection 收款")*($R$2:$R$1501="Cheque 支票")*($V$2:$V$1501&lt;&gt;"")*($V$2:$V$1501&lt;=X1039)*($S$2:$S$1501-'Opening Balance'!$B$15*($R$2:$R$1501="Cheque 支票")*($S$2:$S$1501-TRUNC($S$2:$S$1501))))-'Opening Balance'!$B$15*SUMPRODUCT(($Z$2:Z1039="Online collection 网上收款")*($AA$2:AA1039&lt;&gt;"")*($AC$2:AC1039-TRUNC($AC$2:AC1039))),2))</f>
        <v/>
      </c>
    </row>
    <row r="1040">
      <c r="O1040" s="5" t="n"/>
      <c r="S1040" s="6" t="n"/>
      <c r="V1040" s="5" t="n"/>
      <c r="X1040" s="5" t="n"/>
      <c r="AC1040" s="6" t="n"/>
      <c r="AD1040" s="6" t="n"/>
      <c r="AE1040" s="7">
        <f>IF(X1040="","",ROUND('Opening Balance'!$B$4+SUM($AC$2:AC1040)-SUM($AD$2:AD1040)+SUMPRODUCT(($Q$2:$Q$1501="Collection 收款")*($R$2:$R$1501="Cheque 支票")*($V$2:$V$1501&lt;&gt;"")*($V$2:$V$1501&lt;=X1040)*($S$2:$S$1501-'Opening Balance'!$B$15*($R$2:$R$1501="Cheque 支票")*($S$2:$S$1501-TRUNC($S$2:$S$1501))))-'Opening Balance'!$B$15*SUMPRODUCT(($Z$2:Z1040="Online collection 网上收款")*($AA$2:AA1040&lt;&gt;"")*($AC$2:AC1040-TRUNC($AC$2:AC1040))),2))</f>
        <v/>
      </c>
    </row>
    <row r="1041">
      <c r="O1041" s="5" t="n"/>
      <c r="S1041" s="6" t="n"/>
      <c r="V1041" s="5" t="n"/>
      <c r="X1041" s="5" t="n"/>
      <c r="AC1041" s="6" t="n"/>
      <c r="AD1041" s="6" t="n"/>
      <c r="AE1041" s="7">
        <f>IF(X1041="","",ROUND('Opening Balance'!$B$4+SUM($AC$2:AC1041)-SUM($AD$2:AD1041)+SUMPRODUCT(($Q$2:$Q$1501="Collection 收款")*($R$2:$R$1501="Cheque 支票")*($V$2:$V$1501&lt;&gt;"")*($V$2:$V$1501&lt;=X1041)*($S$2:$S$1501-'Opening Balance'!$B$15*($R$2:$R$1501="Cheque 支票")*($S$2:$S$1501-TRUNC($S$2:$S$1501))))-'Opening Balance'!$B$15*SUMPRODUCT(($Z$2:Z1041="Online collection 网上收款")*($AA$2:AA1041&lt;&gt;"")*($AC$2:AC1041-TRUNC($AC$2:AC1041))),2))</f>
        <v/>
      </c>
    </row>
    <row r="1042">
      <c r="O1042" s="5" t="n"/>
      <c r="S1042" s="6" t="n"/>
      <c r="V1042" s="5" t="n"/>
      <c r="X1042" s="5" t="n"/>
      <c r="AC1042" s="6" t="n"/>
      <c r="AD1042" s="6" t="n"/>
      <c r="AE1042" s="7">
        <f>IF(X1042="","",ROUND('Opening Balance'!$B$4+SUM($AC$2:AC1042)-SUM($AD$2:AD1042)+SUMPRODUCT(($Q$2:$Q$1501="Collection 收款")*($R$2:$R$1501="Cheque 支票")*($V$2:$V$1501&lt;&gt;"")*($V$2:$V$1501&lt;=X1042)*($S$2:$S$1501-'Opening Balance'!$B$15*($R$2:$R$1501="Cheque 支票")*($S$2:$S$1501-TRUNC($S$2:$S$1501))))-'Opening Balance'!$B$15*SUMPRODUCT(($Z$2:Z1042="Online collection 网上收款")*($AA$2:AA1042&lt;&gt;"")*($AC$2:AC1042-TRUNC($AC$2:AC1042))),2))</f>
        <v/>
      </c>
    </row>
    <row r="1043">
      <c r="O1043" s="5" t="n"/>
      <c r="S1043" s="6" t="n"/>
      <c r="V1043" s="5" t="n"/>
      <c r="X1043" s="5" t="n"/>
      <c r="AC1043" s="6" t="n"/>
      <c r="AD1043" s="6" t="n"/>
      <c r="AE1043" s="7">
        <f>IF(X1043="","",ROUND('Opening Balance'!$B$4+SUM($AC$2:AC1043)-SUM($AD$2:AD1043)+SUMPRODUCT(($Q$2:$Q$1501="Collection 收款")*($R$2:$R$1501="Cheque 支票")*($V$2:$V$1501&lt;&gt;"")*($V$2:$V$1501&lt;=X1043)*($S$2:$S$1501-'Opening Balance'!$B$15*($R$2:$R$1501="Cheque 支票")*($S$2:$S$1501-TRUNC($S$2:$S$1501))))-'Opening Balance'!$B$15*SUMPRODUCT(($Z$2:Z1043="Online collection 网上收款")*($AA$2:AA1043&lt;&gt;"")*($AC$2:AC1043-TRUNC($AC$2:AC1043))),2))</f>
        <v/>
      </c>
    </row>
    <row r="1044">
      <c r="O1044" s="5" t="n"/>
      <c r="S1044" s="6" t="n"/>
      <c r="V1044" s="5" t="n"/>
      <c r="X1044" s="5" t="n"/>
      <c r="AC1044" s="6" t="n"/>
      <c r="AD1044" s="6" t="n"/>
      <c r="AE1044" s="7">
        <f>IF(X1044="","",ROUND('Opening Balance'!$B$4+SUM($AC$2:AC1044)-SUM($AD$2:AD1044)+SUMPRODUCT(($Q$2:$Q$1501="Collection 收款")*($R$2:$R$1501="Cheque 支票")*($V$2:$V$1501&lt;&gt;"")*($V$2:$V$1501&lt;=X1044)*($S$2:$S$1501-'Opening Balance'!$B$15*($R$2:$R$1501="Cheque 支票")*($S$2:$S$1501-TRUNC($S$2:$S$1501))))-'Opening Balance'!$B$15*SUMPRODUCT(($Z$2:Z1044="Online collection 网上收款")*($AA$2:AA1044&lt;&gt;"")*($AC$2:AC1044-TRUNC($AC$2:AC1044))),2))</f>
        <v/>
      </c>
    </row>
    <row r="1045">
      <c r="O1045" s="5" t="n"/>
      <c r="S1045" s="6" t="n"/>
      <c r="V1045" s="5" t="n"/>
      <c r="X1045" s="5" t="n"/>
      <c r="AC1045" s="6" t="n"/>
      <c r="AD1045" s="6" t="n"/>
      <c r="AE1045" s="7">
        <f>IF(X1045="","",ROUND('Opening Balance'!$B$4+SUM($AC$2:AC1045)-SUM($AD$2:AD1045)+SUMPRODUCT(($Q$2:$Q$1501="Collection 收款")*($R$2:$R$1501="Cheque 支票")*($V$2:$V$1501&lt;&gt;"")*($V$2:$V$1501&lt;=X1045)*($S$2:$S$1501-'Opening Balance'!$B$15*($R$2:$R$1501="Cheque 支票")*($S$2:$S$1501-TRUNC($S$2:$S$1501))))-'Opening Balance'!$B$15*SUMPRODUCT(($Z$2:Z1045="Online collection 网上收款")*($AA$2:AA1045&lt;&gt;"")*($AC$2:AC1045-TRUNC($AC$2:AC1045))),2))</f>
        <v/>
      </c>
    </row>
    <row r="1046">
      <c r="O1046" s="5" t="n"/>
      <c r="S1046" s="6" t="n"/>
      <c r="V1046" s="5" t="n"/>
      <c r="X1046" s="5" t="n"/>
      <c r="AC1046" s="6" t="n"/>
      <c r="AD1046" s="6" t="n"/>
      <c r="AE1046" s="7">
        <f>IF(X1046="","",ROUND('Opening Balance'!$B$4+SUM($AC$2:AC1046)-SUM($AD$2:AD1046)+SUMPRODUCT(($Q$2:$Q$1501="Collection 收款")*($R$2:$R$1501="Cheque 支票")*($V$2:$V$1501&lt;&gt;"")*($V$2:$V$1501&lt;=X1046)*($S$2:$S$1501-'Opening Balance'!$B$15*($R$2:$R$1501="Cheque 支票")*($S$2:$S$1501-TRUNC($S$2:$S$1501))))-'Opening Balance'!$B$15*SUMPRODUCT(($Z$2:Z1046="Online collection 网上收款")*($AA$2:AA1046&lt;&gt;"")*($AC$2:AC1046-TRUNC($AC$2:AC1046))),2))</f>
        <v/>
      </c>
    </row>
    <row r="1047">
      <c r="O1047" s="5" t="n"/>
      <c r="S1047" s="6" t="n"/>
      <c r="V1047" s="5" t="n"/>
      <c r="X1047" s="5" t="n"/>
      <c r="AC1047" s="6" t="n"/>
      <c r="AD1047" s="6" t="n"/>
      <c r="AE1047" s="7">
        <f>IF(X1047="","",ROUND('Opening Balance'!$B$4+SUM($AC$2:AC1047)-SUM($AD$2:AD1047)+SUMPRODUCT(($Q$2:$Q$1501="Collection 收款")*($R$2:$R$1501="Cheque 支票")*($V$2:$V$1501&lt;&gt;"")*($V$2:$V$1501&lt;=X1047)*($S$2:$S$1501-'Opening Balance'!$B$15*($R$2:$R$1501="Cheque 支票")*($S$2:$S$1501-TRUNC($S$2:$S$1501))))-'Opening Balance'!$B$15*SUMPRODUCT(($Z$2:Z1047="Online collection 网上收款")*($AA$2:AA1047&lt;&gt;"")*($AC$2:AC1047-TRUNC($AC$2:AC1047))),2))</f>
        <v/>
      </c>
    </row>
    <row r="1048">
      <c r="O1048" s="5" t="n"/>
      <c r="S1048" s="6" t="n"/>
      <c r="V1048" s="5" t="n"/>
      <c r="X1048" s="5" t="n"/>
      <c r="AC1048" s="6" t="n"/>
      <c r="AD1048" s="6" t="n"/>
      <c r="AE1048" s="7">
        <f>IF(X1048="","",ROUND('Opening Balance'!$B$4+SUM($AC$2:AC1048)-SUM($AD$2:AD1048)+SUMPRODUCT(($Q$2:$Q$1501="Collection 收款")*($R$2:$R$1501="Cheque 支票")*($V$2:$V$1501&lt;&gt;"")*($V$2:$V$1501&lt;=X1048)*($S$2:$S$1501-'Opening Balance'!$B$15*($R$2:$R$1501="Cheque 支票")*($S$2:$S$1501-TRUNC($S$2:$S$1501))))-'Opening Balance'!$B$15*SUMPRODUCT(($Z$2:Z1048="Online collection 网上收款")*($AA$2:AA1048&lt;&gt;"")*($AC$2:AC1048-TRUNC($AC$2:AC1048))),2))</f>
        <v/>
      </c>
    </row>
    <row r="1049">
      <c r="O1049" s="5" t="n"/>
      <c r="S1049" s="6" t="n"/>
      <c r="V1049" s="5" t="n"/>
      <c r="X1049" s="5" t="n"/>
      <c r="AC1049" s="6" t="n"/>
      <c r="AD1049" s="6" t="n"/>
      <c r="AE1049" s="7">
        <f>IF(X1049="","",ROUND('Opening Balance'!$B$4+SUM($AC$2:AC1049)-SUM($AD$2:AD1049)+SUMPRODUCT(($Q$2:$Q$1501="Collection 收款")*($R$2:$R$1501="Cheque 支票")*($V$2:$V$1501&lt;&gt;"")*($V$2:$V$1501&lt;=X1049)*($S$2:$S$1501-'Opening Balance'!$B$15*($R$2:$R$1501="Cheque 支票")*($S$2:$S$1501-TRUNC($S$2:$S$1501))))-'Opening Balance'!$B$15*SUMPRODUCT(($Z$2:Z1049="Online collection 网上收款")*($AA$2:AA1049&lt;&gt;"")*($AC$2:AC1049-TRUNC($AC$2:AC1049))),2))</f>
        <v/>
      </c>
    </row>
    <row r="1050">
      <c r="O1050" s="5" t="n"/>
      <c r="S1050" s="6" t="n"/>
      <c r="V1050" s="5" t="n"/>
      <c r="X1050" s="5" t="n"/>
      <c r="AC1050" s="6" t="n"/>
      <c r="AD1050" s="6" t="n"/>
      <c r="AE1050" s="7">
        <f>IF(X1050="","",ROUND('Opening Balance'!$B$4+SUM($AC$2:AC1050)-SUM($AD$2:AD1050)+SUMPRODUCT(($Q$2:$Q$1501="Collection 收款")*($R$2:$R$1501="Cheque 支票")*($V$2:$V$1501&lt;&gt;"")*($V$2:$V$1501&lt;=X1050)*($S$2:$S$1501-'Opening Balance'!$B$15*($R$2:$R$1501="Cheque 支票")*($S$2:$S$1501-TRUNC($S$2:$S$1501))))-'Opening Balance'!$B$15*SUMPRODUCT(($Z$2:Z1050="Online collection 网上收款")*($AA$2:AA1050&lt;&gt;"")*($AC$2:AC1050-TRUNC($AC$2:AC1050))),2))</f>
        <v/>
      </c>
    </row>
    <row r="1051">
      <c r="O1051" s="5" t="n"/>
      <c r="S1051" s="6" t="n"/>
      <c r="V1051" s="5" t="n"/>
      <c r="X1051" s="5" t="n"/>
      <c r="AC1051" s="6" t="n"/>
      <c r="AD1051" s="6" t="n"/>
      <c r="AE1051" s="7">
        <f>IF(X1051="","",ROUND('Opening Balance'!$B$4+SUM($AC$2:AC1051)-SUM($AD$2:AD1051)+SUMPRODUCT(($Q$2:$Q$1501="Collection 收款")*($R$2:$R$1501="Cheque 支票")*($V$2:$V$1501&lt;&gt;"")*($V$2:$V$1501&lt;=X1051)*($S$2:$S$1501-'Opening Balance'!$B$15*($R$2:$R$1501="Cheque 支票")*($S$2:$S$1501-TRUNC($S$2:$S$1501))))-'Opening Balance'!$B$15*SUMPRODUCT(($Z$2:Z1051="Online collection 网上收款")*($AA$2:AA1051&lt;&gt;"")*($AC$2:AC1051-TRUNC($AC$2:AC1051))),2))</f>
        <v/>
      </c>
    </row>
    <row r="1052">
      <c r="O1052" s="5" t="n"/>
      <c r="S1052" s="6" t="n"/>
      <c r="V1052" s="5" t="n"/>
      <c r="X1052" s="5" t="n"/>
      <c r="AC1052" s="6" t="n"/>
      <c r="AD1052" s="6" t="n"/>
      <c r="AE1052" s="7">
        <f>IF(X1052="","",ROUND('Opening Balance'!$B$4+SUM($AC$2:AC1052)-SUM($AD$2:AD1052)+SUMPRODUCT(($Q$2:$Q$1501="Collection 收款")*($R$2:$R$1501="Cheque 支票")*($V$2:$V$1501&lt;&gt;"")*($V$2:$V$1501&lt;=X1052)*($S$2:$S$1501-'Opening Balance'!$B$15*($R$2:$R$1501="Cheque 支票")*($S$2:$S$1501-TRUNC($S$2:$S$1501))))-'Opening Balance'!$B$15*SUMPRODUCT(($Z$2:Z1052="Online collection 网上收款")*($AA$2:AA1052&lt;&gt;"")*($AC$2:AC1052-TRUNC($AC$2:AC1052))),2))</f>
        <v/>
      </c>
    </row>
    <row r="1053">
      <c r="O1053" s="5" t="n"/>
      <c r="S1053" s="6" t="n"/>
      <c r="V1053" s="5" t="n"/>
      <c r="X1053" s="5" t="n"/>
      <c r="AC1053" s="6" t="n"/>
      <c r="AD1053" s="6" t="n"/>
      <c r="AE1053" s="7">
        <f>IF(X1053="","",ROUND('Opening Balance'!$B$4+SUM($AC$2:AC1053)-SUM($AD$2:AD1053)+SUMPRODUCT(($Q$2:$Q$1501="Collection 收款")*($R$2:$R$1501="Cheque 支票")*($V$2:$V$1501&lt;&gt;"")*($V$2:$V$1501&lt;=X1053)*($S$2:$S$1501-'Opening Balance'!$B$15*($R$2:$R$1501="Cheque 支票")*($S$2:$S$1501-TRUNC($S$2:$S$1501))))-'Opening Balance'!$B$15*SUMPRODUCT(($Z$2:Z1053="Online collection 网上收款")*($AA$2:AA1053&lt;&gt;"")*($AC$2:AC1053-TRUNC($AC$2:AC1053))),2))</f>
        <v/>
      </c>
    </row>
    <row r="1054">
      <c r="O1054" s="5" t="n"/>
      <c r="S1054" s="6" t="n"/>
      <c r="V1054" s="5" t="n"/>
      <c r="X1054" s="5" t="n"/>
      <c r="AC1054" s="6" t="n"/>
      <c r="AD1054" s="6" t="n"/>
      <c r="AE1054" s="7">
        <f>IF(X1054="","",ROUND('Opening Balance'!$B$4+SUM($AC$2:AC1054)-SUM($AD$2:AD1054)+SUMPRODUCT(($Q$2:$Q$1501="Collection 收款")*($R$2:$R$1501="Cheque 支票")*($V$2:$V$1501&lt;&gt;"")*($V$2:$V$1501&lt;=X1054)*($S$2:$S$1501-'Opening Balance'!$B$15*($R$2:$R$1501="Cheque 支票")*($S$2:$S$1501-TRUNC($S$2:$S$1501))))-'Opening Balance'!$B$15*SUMPRODUCT(($Z$2:Z1054="Online collection 网上收款")*($AA$2:AA1054&lt;&gt;"")*($AC$2:AC1054-TRUNC($AC$2:AC1054))),2))</f>
        <v/>
      </c>
    </row>
    <row r="1055">
      <c r="O1055" s="5" t="n"/>
      <c r="S1055" s="6" t="n"/>
      <c r="V1055" s="5" t="n"/>
      <c r="X1055" s="5" t="n"/>
      <c r="AC1055" s="6" t="n"/>
      <c r="AD1055" s="6" t="n"/>
      <c r="AE1055" s="7">
        <f>IF(X1055="","",ROUND('Opening Balance'!$B$4+SUM($AC$2:AC1055)-SUM($AD$2:AD1055)+SUMPRODUCT(($Q$2:$Q$1501="Collection 收款")*($R$2:$R$1501="Cheque 支票")*($V$2:$V$1501&lt;&gt;"")*($V$2:$V$1501&lt;=X1055)*($S$2:$S$1501-'Opening Balance'!$B$15*($R$2:$R$1501="Cheque 支票")*($S$2:$S$1501-TRUNC($S$2:$S$1501))))-'Opening Balance'!$B$15*SUMPRODUCT(($Z$2:Z1055="Online collection 网上收款")*($AA$2:AA1055&lt;&gt;"")*($AC$2:AC1055-TRUNC($AC$2:AC1055))),2))</f>
        <v/>
      </c>
    </row>
    <row r="1056">
      <c r="O1056" s="5" t="n"/>
      <c r="S1056" s="6" t="n"/>
      <c r="V1056" s="5" t="n"/>
      <c r="X1056" s="5" t="n"/>
      <c r="AC1056" s="6" t="n"/>
      <c r="AD1056" s="6" t="n"/>
      <c r="AE1056" s="7">
        <f>IF(X1056="","",ROUND('Opening Balance'!$B$4+SUM($AC$2:AC1056)-SUM($AD$2:AD1056)+SUMPRODUCT(($Q$2:$Q$1501="Collection 收款")*($R$2:$R$1501="Cheque 支票")*($V$2:$V$1501&lt;&gt;"")*($V$2:$V$1501&lt;=X1056)*($S$2:$S$1501-'Opening Balance'!$B$15*($R$2:$R$1501="Cheque 支票")*($S$2:$S$1501-TRUNC($S$2:$S$1501))))-'Opening Balance'!$B$15*SUMPRODUCT(($Z$2:Z1056="Online collection 网上收款")*($AA$2:AA1056&lt;&gt;"")*($AC$2:AC1056-TRUNC($AC$2:AC1056))),2))</f>
        <v/>
      </c>
    </row>
    <row r="1057">
      <c r="O1057" s="5" t="n"/>
      <c r="S1057" s="6" t="n"/>
      <c r="V1057" s="5" t="n"/>
      <c r="X1057" s="5" t="n"/>
      <c r="AC1057" s="6" t="n"/>
      <c r="AD1057" s="6" t="n"/>
      <c r="AE1057" s="7">
        <f>IF(X1057="","",ROUND('Opening Balance'!$B$4+SUM($AC$2:AC1057)-SUM($AD$2:AD1057)+SUMPRODUCT(($Q$2:$Q$1501="Collection 收款")*($R$2:$R$1501="Cheque 支票")*($V$2:$V$1501&lt;&gt;"")*($V$2:$V$1501&lt;=X1057)*($S$2:$S$1501-'Opening Balance'!$B$15*($R$2:$R$1501="Cheque 支票")*($S$2:$S$1501-TRUNC($S$2:$S$1501))))-'Opening Balance'!$B$15*SUMPRODUCT(($Z$2:Z1057="Online collection 网上收款")*($AA$2:AA1057&lt;&gt;"")*($AC$2:AC1057-TRUNC($AC$2:AC1057))),2))</f>
        <v/>
      </c>
    </row>
    <row r="1058">
      <c r="O1058" s="5" t="n"/>
      <c r="S1058" s="6" t="n"/>
      <c r="V1058" s="5" t="n"/>
      <c r="X1058" s="5" t="n"/>
      <c r="AC1058" s="6" t="n"/>
      <c r="AD1058" s="6" t="n"/>
      <c r="AE1058" s="7">
        <f>IF(X1058="","",ROUND('Opening Balance'!$B$4+SUM($AC$2:AC1058)-SUM($AD$2:AD1058)+SUMPRODUCT(($Q$2:$Q$1501="Collection 收款")*($R$2:$R$1501="Cheque 支票")*($V$2:$V$1501&lt;&gt;"")*($V$2:$V$1501&lt;=X1058)*($S$2:$S$1501-'Opening Balance'!$B$15*($R$2:$R$1501="Cheque 支票")*($S$2:$S$1501-TRUNC($S$2:$S$1501))))-'Opening Balance'!$B$15*SUMPRODUCT(($Z$2:Z1058="Online collection 网上收款")*($AA$2:AA1058&lt;&gt;"")*($AC$2:AC1058-TRUNC($AC$2:AC1058))),2))</f>
        <v/>
      </c>
    </row>
    <row r="1059">
      <c r="O1059" s="5" t="n"/>
      <c r="S1059" s="6" t="n"/>
      <c r="V1059" s="5" t="n"/>
      <c r="X1059" s="5" t="n"/>
      <c r="AC1059" s="6" t="n"/>
      <c r="AD1059" s="6" t="n"/>
      <c r="AE1059" s="7">
        <f>IF(X1059="","",ROUND('Opening Balance'!$B$4+SUM($AC$2:AC1059)-SUM($AD$2:AD1059)+SUMPRODUCT(($Q$2:$Q$1501="Collection 收款")*($R$2:$R$1501="Cheque 支票")*($V$2:$V$1501&lt;&gt;"")*($V$2:$V$1501&lt;=X1059)*($S$2:$S$1501-'Opening Balance'!$B$15*($R$2:$R$1501="Cheque 支票")*($S$2:$S$1501-TRUNC($S$2:$S$1501))))-'Opening Balance'!$B$15*SUMPRODUCT(($Z$2:Z1059="Online collection 网上收款")*($AA$2:AA1059&lt;&gt;"")*($AC$2:AC1059-TRUNC($AC$2:AC1059))),2))</f>
        <v/>
      </c>
    </row>
    <row r="1060">
      <c r="O1060" s="5" t="n"/>
      <c r="S1060" s="6" t="n"/>
      <c r="V1060" s="5" t="n"/>
      <c r="X1060" s="5" t="n"/>
      <c r="AC1060" s="6" t="n"/>
      <c r="AD1060" s="6" t="n"/>
      <c r="AE1060" s="7">
        <f>IF(X1060="","",ROUND('Opening Balance'!$B$4+SUM($AC$2:AC1060)-SUM($AD$2:AD1060)+SUMPRODUCT(($Q$2:$Q$1501="Collection 收款")*($R$2:$R$1501="Cheque 支票")*($V$2:$V$1501&lt;&gt;"")*($V$2:$V$1501&lt;=X1060)*($S$2:$S$1501-'Opening Balance'!$B$15*($R$2:$R$1501="Cheque 支票")*($S$2:$S$1501-TRUNC($S$2:$S$1501))))-'Opening Balance'!$B$15*SUMPRODUCT(($Z$2:Z1060="Online collection 网上收款")*($AA$2:AA1060&lt;&gt;"")*($AC$2:AC1060-TRUNC($AC$2:AC1060))),2))</f>
        <v/>
      </c>
    </row>
    <row r="1061">
      <c r="O1061" s="5" t="n"/>
      <c r="S1061" s="6" t="n"/>
      <c r="V1061" s="5" t="n"/>
      <c r="X1061" s="5" t="n"/>
      <c r="AC1061" s="6" t="n"/>
      <c r="AD1061" s="6" t="n"/>
      <c r="AE1061" s="7">
        <f>IF(X1061="","",ROUND('Opening Balance'!$B$4+SUM($AC$2:AC1061)-SUM($AD$2:AD1061)+SUMPRODUCT(($Q$2:$Q$1501="Collection 收款")*($R$2:$R$1501="Cheque 支票")*($V$2:$V$1501&lt;&gt;"")*($V$2:$V$1501&lt;=X1061)*($S$2:$S$1501-'Opening Balance'!$B$15*($R$2:$R$1501="Cheque 支票")*($S$2:$S$1501-TRUNC($S$2:$S$1501))))-'Opening Balance'!$B$15*SUMPRODUCT(($Z$2:Z1061="Online collection 网上收款")*($AA$2:AA1061&lt;&gt;"")*($AC$2:AC1061-TRUNC($AC$2:AC1061))),2))</f>
        <v/>
      </c>
    </row>
    <row r="1062">
      <c r="O1062" s="5" t="n"/>
      <c r="S1062" s="6" t="n"/>
      <c r="V1062" s="5" t="n"/>
      <c r="X1062" s="5" t="n"/>
      <c r="AC1062" s="6" t="n"/>
      <c r="AD1062" s="6" t="n"/>
      <c r="AE1062" s="7">
        <f>IF(X1062="","",ROUND('Opening Balance'!$B$4+SUM($AC$2:AC1062)-SUM($AD$2:AD1062)+SUMPRODUCT(($Q$2:$Q$1501="Collection 收款")*($R$2:$R$1501="Cheque 支票")*($V$2:$V$1501&lt;&gt;"")*($V$2:$V$1501&lt;=X1062)*($S$2:$S$1501-'Opening Balance'!$B$15*($R$2:$R$1501="Cheque 支票")*($S$2:$S$1501-TRUNC($S$2:$S$1501))))-'Opening Balance'!$B$15*SUMPRODUCT(($Z$2:Z1062="Online collection 网上收款")*($AA$2:AA1062&lt;&gt;"")*($AC$2:AC1062-TRUNC($AC$2:AC1062))),2))</f>
        <v/>
      </c>
    </row>
    <row r="1063">
      <c r="O1063" s="5" t="n"/>
      <c r="S1063" s="6" t="n"/>
      <c r="V1063" s="5" t="n"/>
      <c r="X1063" s="5" t="n"/>
      <c r="AC1063" s="6" t="n"/>
      <c r="AD1063" s="6" t="n"/>
      <c r="AE1063" s="7">
        <f>IF(X1063="","",ROUND('Opening Balance'!$B$4+SUM($AC$2:AC1063)-SUM($AD$2:AD1063)+SUMPRODUCT(($Q$2:$Q$1501="Collection 收款")*($R$2:$R$1501="Cheque 支票")*($V$2:$V$1501&lt;&gt;"")*($V$2:$V$1501&lt;=X1063)*($S$2:$S$1501-'Opening Balance'!$B$15*($R$2:$R$1501="Cheque 支票")*($S$2:$S$1501-TRUNC($S$2:$S$1501))))-'Opening Balance'!$B$15*SUMPRODUCT(($Z$2:Z1063="Online collection 网上收款")*($AA$2:AA1063&lt;&gt;"")*($AC$2:AC1063-TRUNC($AC$2:AC1063))),2))</f>
        <v/>
      </c>
    </row>
    <row r="1064">
      <c r="O1064" s="5" t="n"/>
      <c r="S1064" s="6" t="n"/>
      <c r="V1064" s="5" t="n"/>
      <c r="X1064" s="5" t="n"/>
      <c r="AC1064" s="6" t="n"/>
      <c r="AD1064" s="6" t="n"/>
      <c r="AE1064" s="7">
        <f>IF(X1064="","",ROUND('Opening Balance'!$B$4+SUM($AC$2:AC1064)-SUM($AD$2:AD1064)+SUMPRODUCT(($Q$2:$Q$1501="Collection 收款")*($R$2:$R$1501="Cheque 支票")*($V$2:$V$1501&lt;&gt;"")*($V$2:$V$1501&lt;=X1064)*($S$2:$S$1501-'Opening Balance'!$B$15*($R$2:$R$1501="Cheque 支票")*($S$2:$S$1501-TRUNC($S$2:$S$1501))))-'Opening Balance'!$B$15*SUMPRODUCT(($Z$2:Z1064="Online collection 网上收款")*($AA$2:AA1064&lt;&gt;"")*($AC$2:AC1064-TRUNC($AC$2:AC1064))),2))</f>
        <v/>
      </c>
    </row>
    <row r="1065">
      <c r="O1065" s="5" t="n"/>
      <c r="S1065" s="6" t="n"/>
      <c r="V1065" s="5" t="n"/>
      <c r="X1065" s="5" t="n"/>
      <c r="AC1065" s="6" t="n"/>
      <c r="AD1065" s="6" t="n"/>
      <c r="AE1065" s="7">
        <f>IF(X1065="","",ROUND('Opening Balance'!$B$4+SUM($AC$2:AC1065)-SUM($AD$2:AD1065)+SUMPRODUCT(($Q$2:$Q$1501="Collection 收款")*($R$2:$R$1501="Cheque 支票")*($V$2:$V$1501&lt;&gt;"")*($V$2:$V$1501&lt;=X1065)*($S$2:$S$1501-'Opening Balance'!$B$15*($R$2:$R$1501="Cheque 支票")*($S$2:$S$1501-TRUNC($S$2:$S$1501))))-'Opening Balance'!$B$15*SUMPRODUCT(($Z$2:Z1065="Online collection 网上收款")*($AA$2:AA1065&lt;&gt;"")*($AC$2:AC1065-TRUNC($AC$2:AC1065))),2))</f>
        <v/>
      </c>
    </row>
    <row r="1066">
      <c r="O1066" s="5" t="n"/>
      <c r="S1066" s="6" t="n"/>
      <c r="V1066" s="5" t="n"/>
      <c r="X1066" s="5" t="n"/>
      <c r="AC1066" s="6" t="n"/>
      <c r="AD1066" s="6" t="n"/>
      <c r="AE1066" s="7">
        <f>IF(X1066="","",ROUND('Opening Balance'!$B$4+SUM($AC$2:AC1066)-SUM($AD$2:AD1066)+SUMPRODUCT(($Q$2:$Q$1501="Collection 收款")*($R$2:$R$1501="Cheque 支票")*($V$2:$V$1501&lt;&gt;"")*($V$2:$V$1501&lt;=X1066)*($S$2:$S$1501-'Opening Balance'!$B$15*($R$2:$R$1501="Cheque 支票")*($S$2:$S$1501-TRUNC($S$2:$S$1501))))-'Opening Balance'!$B$15*SUMPRODUCT(($Z$2:Z1066="Online collection 网上收款")*($AA$2:AA1066&lt;&gt;"")*($AC$2:AC1066-TRUNC($AC$2:AC1066))),2))</f>
        <v/>
      </c>
    </row>
    <row r="1067">
      <c r="O1067" s="5" t="n"/>
      <c r="S1067" s="6" t="n"/>
      <c r="V1067" s="5" t="n"/>
      <c r="X1067" s="5" t="n"/>
      <c r="AC1067" s="6" t="n"/>
      <c r="AD1067" s="6" t="n"/>
      <c r="AE1067" s="7">
        <f>IF(X1067="","",ROUND('Opening Balance'!$B$4+SUM($AC$2:AC1067)-SUM($AD$2:AD1067)+SUMPRODUCT(($Q$2:$Q$1501="Collection 收款")*($R$2:$R$1501="Cheque 支票")*($V$2:$V$1501&lt;&gt;"")*($V$2:$V$1501&lt;=X1067)*($S$2:$S$1501-'Opening Balance'!$B$15*($R$2:$R$1501="Cheque 支票")*($S$2:$S$1501-TRUNC($S$2:$S$1501))))-'Opening Balance'!$B$15*SUMPRODUCT(($Z$2:Z1067="Online collection 网上收款")*($AA$2:AA1067&lt;&gt;"")*($AC$2:AC1067-TRUNC($AC$2:AC1067))),2))</f>
        <v/>
      </c>
    </row>
    <row r="1068">
      <c r="O1068" s="5" t="n"/>
      <c r="S1068" s="6" t="n"/>
      <c r="V1068" s="5" t="n"/>
      <c r="X1068" s="5" t="n"/>
      <c r="AC1068" s="6" t="n"/>
      <c r="AD1068" s="6" t="n"/>
      <c r="AE1068" s="7">
        <f>IF(X1068="","",ROUND('Opening Balance'!$B$4+SUM($AC$2:AC1068)-SUM($AD$2:AD1068)+SUMPRODUCT(($Q$2:$Q$1501="Collection 收款")*($R$2:$R$1501="Cheque 支票")*($V$2:$V$1501&lt;&gt;"")*($V$2:$V$1501&lt;=X1068)*($S$2:$S$1501-'Opening Balance'!$B$15*($R$2:$R$1501="Cheque 支票")*($S$2:$S$1501-TRUNC($S$2:$S$1501))))-'Opening Balance'!$B$15*SUMPRODUCT(($Z$2:Z1068="Online collection 网上收款")*($AA$2:AA1068&lt;&gt;"")*($AC$2:AC1068-TRUNC($AC$2:AC1068))),2))</f>
        <v/>
      </c>
    </row>
    <row r="1069">
      <c r="O1069" s="5" t="n"/>
      <c r="S1069" s="6" t="n"/>
      <c r="V1069" s="5" t="n"/>
      <c r="X1069" s="5" t="n"/>
      <c r="AC1069" s="6" t="n"/>
      <c r="AD1069" s="6" t="n"/>
      <c r="AE1069" s="7">
        <f>IF(X1069="","",ROUND('Opening Balance'!$B$4+SUM($AC$2:AC1069)-SUM($AD$2:AD1069)+SUMPRODUCT(($Q$2:$Q$1501="Collection 收款")*($R$2:$R$1501="Cheque 支票")*($V$2:$V$1501&lt;&gt;"")*($V$2:$V$1501&lt;=X1069)*($S$2:$S$1501-'Opening Balance'!$B$15*($R$2:$R$1501="Cheque 支票")*($S$2:$S$1501-TRUNC($S$2:$S$1501))))-'Opening Balance'!$B$15*SUMPRODUCT(($Z$2:Z1069="Online collection 网上收款")*($AA$2:AA1069&lt;&gt;"")*($AC$2:AC1069-TRUNC($AC$2:AC1069))),2))</f>
        <v/>
      </c>
    </row>
    <row r="1070">
      <c r="O1070" s="5" t="n"/>
      <c r="S1070" s="6" t="n"/>
      <c r="V1070" s="5" t="n"/>
      <c r="X1070" s="5" t="n"/>
      <c r="AC1070" s="6" t="n"/>
      <c r="AD1070" s="6" t="n"/>
      <c r="AE1070" s="7">
        <f>IF(X1070="","",ROUND('Opening Balance'!$B$4+SUM($AC$2:AC1070)-SUM($AD$2:AD1070)+SUMPRODUCT(($Q$2:$Q$1501="Collection 收款")*($R$2:$R$1501="Cheque 支票")*($V$2:$V$1501&lt;&gt;"")*($V$2:$V$1501&lt;=X1070)*($S$2:$S$1501-'Opening Balance'!$B$15*($R$2:$R$1501="Cheque 支票")*($S$2:$S$1501-TRUNC($S$2:$S$1501))))-'Opening Balance'!$B$15*SUMPRODUCT(($Z$2:Z1070="Online collection 网上收款")*($AA$2:AA1070&lt;&gt;"")*($AC$2:AC1070-TRUNC($AC$2:AC1070))),2))</f>
        <v/>
      </c>
    </row>
    <row r="1071">
      <c r="O1071" s="5" t="n"/>
      <c r="S1071" s="6" t="n"/>
      <c r="V1071" s="5" t="n"/>
      <c r="X1071" s="5" t="n"/>
      <c r="AC1071" s="6" t="n"/>
      <c r="AD1071" s="6" t="n"/>
      <c r="AE1071" s="7">
        <f>IF(X1071="","",ROUND('Opening Balance'!$B$4+SUM($AC$2:AC1071)-SUM($AD$2:AD1071)+SUMPRODUCT(($Q$2:$Q$1501="Collection 收款")*($R$2:$R$1501="Cheque 支票")*($V$2:$V$1501&lt;&gt;"")*($V$2:$V$1501&lt;=X1071)*($S$2:$S$1501-'Opening Balance'!$B$15*($R$2:$R$1501="Cheque 支票")*($S$2:$S$1501-TRUNC($S$2:$S$1501))))-'Opening Balance'!$B$15*SUMPRODUCT(($Z$2:Z1071="Online collection 网上收款")*($AA$2:AA1071&lt;&gt;"")*($AC$2:AC1071-TRUNC($AC$2:AC1071))),2))</f>
        <v/>
      </c>
    </row>
    <row r="1072">
      <c r="O1072" s="5" t="n"/>
      <c r="S1072" s="6" t="n"/>
      <c r="V1072" s="5" t="n"/>
      <c r="X1072" s="5" t="n"/>
      <c r="AC1072" s="6" t="n"/>
      <c r="AD1072" s="6" t="n"/>
      <c r="AE1072" s="7">
        <f>IF(X1072="","",ROUND('Opening Balance'!$B$4+SUM($AC$2:AC1072)-SUM($AD$2:AD1072)+SUMPRODUCT(($Q$2:$Q$1501="Collection 收款")*($R$2:$R$1501="Cheque 支票")*($V$2:$V$1501&lt;&gt;"")*($V$2:$V$1501&lt;=X1072)*($S$2:$S$1501-'Opening Balance'!$B$15*($R$2:$R$1501="Cheque 支票")*($S$2:$S$1501-TRUNC($S$2:$S$1501))))-'Opening Balance'!$B$15*SUMPRODUCT(($Z$2:Z1072="Online collection 网上收款")*($AA$2:AA1072&lt;&gt;"")*($AC$2:AC1072-TRUNC($AC$2:AC1072))),2))</f>
        <v/>
      </c>
    </row>
    <row r="1073">
      <c r="O1073" s="5" t="n"/>
      <c r="S1073" s="6" t="n"/>
      <c r="V1073" s="5" t="n"/>
      <c r="X1073" s="5" t="n"/>
      <c r="AC1073" s="6" t="n"/>
      <c r="AD1073" s="6" t="n"/>
      <c r="AE1073" s="7">
        <f>IF(X1073="","",ROUND('Opening Balance'!$B$4+SUM($AC$2:AC1073)-SUM($AD$2:AD1073)+SUMPRODUCT(($Q$2:$Q$1501="Collection 收款")*($R$2:$R$1501="Cheque 支票")*($V$2:$V$1501&lt;&gt;"")*($V$2:$V$1501&lt;=X1073)*($S$2:$S$1501-'Opening Balance'!$B$15*($R$2:$R$1501="Cheque 支票")*($S$2:$S$1501-TRUNC($S$2:$S$1501))))-'Opening Balance'!$B$15*SUMPRODUCT(($Z$2:Z1073="Online collection 网上收款")*($AA$2:AA1073&lt;&gt;"")*($AC$2:AC1073-TRUNC($AC$2:AC1073))),2))</f>
        <v/>
      </c>
    </row>
    <row r="1074">
      <c r="O1074" s="5" t="n"/>
      <c r="S1074" s="6" t="n"/>
      <c r="V1074" s="5" t="n"/>
      <c r="X1074" s="5" t="n"/>
      <c r="AC1074" s="6" t="n"/>
      <c r="AD1074" s="6" t="n"/>
      <c r="AE1074" s="7">
        <f>IF(X1074="","",ROUND('Opening Balance'!$B$4+SUM($AC$2:AC1074)-SUM($AD$2:AD1074)+SUMPRODUCT(($Q$2:$Q$1501="Collection 收款")*($R$2:$R$1501="Cheque 支票")*($V$2:$V$1501&lt;&gt;"")*($V$2:$V$1501&lt;=X1074)*($S$2:$S$1501-'Opening Balance'!$B$15*($R$2:$R$1501="Cheque 支票")*($S$2:$S$1501-TRUNC($S$2:$S$1501))))-'Opening Balance'!$B$15*SUMPRODUCT(($Z$2:Z1074="Online collection 网上收款")*($AA$2:AA1074&lt;&gt;"")*($AC$2:AC1074-TRUNC($AC$2:AC1074))),2))</f>
        <v/>
      </c>
    </row>
    <row r="1075">
      <c r="O1075" s="5" t="n"/>
      <c r="S1075" s="6" t="n"/>
      <c r="V1075" s="5" t="n"/>
      <c r="X1075" s="5" t="n"/>
      <c r="AC1075" s="6" t="n"/>
      <c r="AD1075" s="6" t="n"/>
      <c r="AE1075" s="7">
        <f>IF(X1075="","",ROUND('Opening Balance'!$B$4+SUM($AC$2:AC1075)-SUM($AD$2:AD1075)+SUMPRODUCT(($Q$2:$Q$1501="Collection 收款")*($R$2:$R$1501="Cheque 支票")*($V$2:$V$1501&lt;&gt;"")*($V$2:$V$1501&lt;=X1075)*($S$2:$S$1501-'Opening Balance'!$B$15*($R$2:$R$1501="Cheque 支票")*($S$2:$S$1501-TRUNC($S$2:$S$1501))))-'Opening Balance'!$B$15*SUMPRODUCT(($Z$2:Z1075="Online collection 网上收款")*($AA$2:AA1075&lt;&gt;"")*($AC$2:AC1075-TRUNC($AC$2:AC1075))),2))</f>
        <v/>
      </c>
    </row>
    <row r="1076">
      <c r="O1076" s="5" t="n"/>
      <c r="S1076" s="6" t="n"/>
      <c r="V1076" s="5" t="n"/>
      <c r="X1076" s="5" t="n"/>
      <c r="AC1076" s="6" t="n"/>
      <c r="AD1076" s="6" t="n"/>
      <c r="AE1076" s="7">
        <f>IF(X1076="","",ROUND('Opening Balance'!$B$4+SUM($AC$2:AC1076)-SUM($AD$2:AD1076)+SUMPRODUCT(($Q$2:$Q$1501="Collection 收款")*($R$2:$R$1501="Cheque 支票")*($V$2:$V$1501&lt;&gt;"")*($V$2:$V$1501&lt;=X1076)*($S$2:$S$1501-'Opening Balance'!$B$15*($R$2:$R$1501="Cheque 支票")*($S$2:$S$1501-TRUNC($S$2:$S$1501))))-'Opening Balance'!$B$15*SUMPRODUCT(($Z$2:Z1076="Online collection 网上收款")*($AA$2:AA1076&lt;&gt;"")*($AC$2:AC1076-TRUNC($AC$2:AC1076))),2))</f>
        <v/>
      </c>
    </row>
    <row r="1077">
      <c r="O1077" s="5" t="n"/>
      <c r="S1077" s="6" t="n"/>
      <c r="V1077" s="5" t="n"/>
      <c r="X1077" s="5" t="n"/>
      <c r="AC1077" s="6" t="n"/>
      <c r="AD1077" s="6" t="n"/>
      <c r="AE1077" s="7">
        <f>IF(X1077="","",ROUND('Opening Balance'!$B$4+SUM($AC$2:AC1077)-SUM($AD$2:AD1077)+SUMPRODUCT(($Q$2:$Q$1501="Collection 收款")*($R$2:$R$1501="Cheque 支票")*($V$2:$V$1501&lt;&gt;"")*($V$2:$V$1501&lt;=X1077)*($S$2:$S$1501-'Opening Balance'!$B$15*($R$2:$R$1501="Cheque 支票")*($S$2:$S$1501-TRUNC($S$2:$S$1501))))-'Opening Balance'!$B$15*SUMPRODUCT(($Z$2:Z1077="Online collection 网上收款")*($AA$2:AA1077&lt;&gt;"")*($AC$2:AC1077-TRUNC($AC$2:AC1077))),2))</f>
        <v/>
      </c>
    </row>
    <row r="1078">
      <c r="O1078" s="5" t="n"/>
      <c r="S1078" s="6" t="n"/>
      <c r="V1078" s="5" t="n"/>
      <c r="X1078" s="5" t="n"/>
      <c r="AC1078" s="6" t="n"/>
      <c r="AD1078" s="6" t="n"/>
      <c r="AE1078" s="7">
        <f>IF(X1078="","",ROUND('Opening Balance'!$B$4+SUM($AC$2:AC1078)-SUM($AD$2:AD1078)+SUMPRODUCT(($Q$2:$Q$1501="Collection 收款")*($R$2:$R$1501="Cheque 支票")*($V$2:$V$1501&lt;&gt;"")*($V$2:$V$1501&lt;=X1078)*($S$2:$S$1501-'Opening Balance'!$B$15*($R$2:$R$1501="Cheque 支票")*($S$2:$S$1501-TRUNC($S$2:$S$1501))))-'Opening Balance'!$B$15*SUMPRODUCT(($Z$2:Z1078="Online collection 网上收款")*($AA$2:AA1078&lt;&gt;"")*($AC$2:AC1078-TRUNC($AC$2:AC1078))),2))</f>
        <v/>
      </c>
    </row>
    <row r="1079">
      <c r="O1079" s="5" t="n"/>
      <c r="S1079" s="6" t="n"/>
      <c r="V1079" s="5" t="n"/>
      <c r="X1079" s="5" t="n"/>
      <c r="AC1079" s="6" t="n"/>
      <c r="AD1079" s="6" t="n"/>
      <c r="AE1079" s="7">
        <f>IF(X1079="","",ROUND('Opening Balance'!$B$4+SUM($AC$2:AC1079)-SUM($AD$2:AD1079)+SUMPRODUCT(($Q$2:$Q$1501="Collection 收款")*($R$2:$R$1501="Cheque 支票")*($V$2:$V$1501&lt;&gt;"")*($V$2:$V$1501&lt;=X1079)*($S$2:$S$1501-'Opening Balance'!$B$15*($R$2:$R$1501="Cheque 支票")*($S$2:$S$1501-TRUNC($S$2:$S$1501))))-'Opening Balance'!$B$15*SUMPRODUCT(($Z$2:Z1079="Online collection 网上收款")*($AA$2:AA1079&lt;&gt;"")*($AC$2:AC1079-TRUNC($AC$2:AC1079))),2))</f>
        <v/>
      </c>
    </row>
    <row r="1080">
      <c r="O1080" s="5" t="n"/>
      <c r="S1080" s="6" t="n"/>
      <c r="V1080" s="5" t="n"/>
      <c r="X1080" s="5" t="n"/>
      <c r="AC1080" s="6" t="n"/>
      <c r="AD1080" s="6" t="n"/>
      <c r="AE1080" s="7">
        <f>IF(X1080="","",ROUND('Opening Balance'!$B$4+SUM($AC$2:AC1080)-SUM($AD$2:AD1080)+SUMPRODUCT(($Q$2:$Q$1501="Collection 收款")*($R$2:$R$1501="Cheque 支票")*($V$2:$V$1501&lt;&gt;"")*($V$2:$V$1501&lt;=X1080)*($S$2:$S$1501-'Opening Balance'!$B$15*($R$2:$R$1501="Cheque 支票")*($S$2:$S$1501-TRUNC($S$2:$S$1501))))-'Opening Balance'!$B$15*SUMPRODUCT(($Z$2:Z1080="Online collection 网上收款")*($AA$2:AA1080&lt;&gt;"")*($AC$2:AC1080-TRUNC($AC$2:AC1080))),2))</f>
        <v/>
      </c>
    </row>
    <row r="1081">
      <c r="O1081" s="5" t="n"/>
      <c r="S1081" s="6" t="n"/>
      <c r="V1081" s="5" t="n"/>
      <c r="X1081" s="5" t="n"/>
      <c r="AC1081" s="6" t="n"/>
      <c r="AD1081" s="6" t="n"/>
      <c r="AE1081" s="7">
        <f>IF(X1081="","",ROUND('Opening Balance'!$B$4+SUM($AC$2:AC1081)-SUM($AD$2:AD1081)+SUMPRODUCT(($Q$2:$Q$1501="Collection 收款")*($R$2:$R$1501="Cheque 支票")*($V$2:$V$1501&lt;&gt;"")*($V$2:$V$1501&lt;=X1081)*($S$2:$S$1501-'Opening Balance'!$B$15*($R$2:$R$1501="Cheque 支票")*($S$2:$S$1501-TRUNC($S$2:$S$1501))))-'Opening Balance'!$B$15*SUMPRODUCT(($Z$2:Z1081="Online collection 网上收款")*($AA$2:AA1081&lt;&gt;"")*($AC$2:AC1081-TRUNC($AC$2:AC1081))),2))</f>
        <v/>
      </c>
    </row>
    <row r="1082">
      <c r="O1082" s="5" t="n"/>
      <c r="S1082" s="6" t="n"/>
      <c r="V1082" s="5" t="n"/>
      <c r="X1082" s="5" t="n"/>
      <c r="AC1082" s="6" t="n"/>
      <c r="AD1082" s="6" t="n"/>
      <c r="AE1082" s="7">
        <f>IF(X1082="","",ROUND('Opening Balance'!$B$4+SUM($AC$2:AC1082)-SUM($AD$2:AD1082)+SUMPRODUCT(($Q$2:$Q$1501="Collection 收款")*($R$2:$R$1501="Cheque 支票")*($V$2:$V$1501&lt;&gt;"")*($V$2:$V$1501&lt;=X1082)*($S$2:$S$1501-'Opening Balance'!$B$15*($R$2:$R$1501="Cheque 支票")*($S$2:$S$1501-TRUNC($S$2:$S$1501))))-'Opening Balance'!$B$15*SUMPRODUCT(($Z$2:Z1082="Online collection 网上收款")*($AA$2:AA1082&lt;&gt;"")*($AC$2:AC1082-TRUNC($AC$2:AC1082))),2))</f>
        <v/>
      </c>
    </row>
    <row r="1083">
      <c r="O1083" s="5" t="n"/>
      <c r="S1083" s="6" t="n"/>
      <c r="V1083" s="5" t="n"/>
      <c r="X1083" s="5" t="n"/>
      <c r="AC1083" s="6" t="n"/>
      <c r="AD1083" s="6" t="n"/>
      <c r="AE1083" s="7">
        <f>IF(X1083="","",ROUND('Opening Balance'!$B$4+SUM($AC$2:AC1083)-SUM($AD$2:AD1083)+SUMPRODUCT(($Q$2:$Q$1501="Collection 收款")*($R$2:$R$1501="Cheque 支票")*($V$2:$V$1501&lt;&gt;"")*($V$2:$V$1501&lt;=X1083)*($S$2:$S$1501-'Opening Balance'!$B$15*($R$2:$R$1501="Cheque 支票")*($S$2:$S$1501-TRUNC($S$2:$S$1501))))-'Opening Balance'!$B$15*SUMPRODUCT(($Z$2:Z1083="Online collection 网上收款")*($AA$2:AA1083&lt;&gt;"")*($AC$2:AC1083-TRUNC($AC$2:AC1083))),2))</f>
        <v/>
      </c>
    </row>
    <row r="1084">
      <c r="O1084" s="5" t="n"/>
      <c r="S1084" s="6" t="n"/>
      <c r="V1084" s="5" t="n"/>
      <c r="X1084" s="5" t="n"/>
      <c r="AC1084" s="6" t="n"/>
      <c r="AD1084" s="6" t="n"/>
      <c r="AE1084" s="7">
        <f>IF(X1084="","",ROUND('Opening Balance'!$B$4+SUM($AC$2:AC1084)-SUM($AD$2:AD1084)+SUMPRODUCT(($Q$2:$Q$1501="Collection 收款")*($R$2:$R$1501="Cheque 支票")*($V$2:$V$1501&lt;&gt;"")*($V$2:$V$1501&lt;=X1084)*($S$2:$S$1501-'Opening Balance'!$B$15*($R$2:$R$1501="Cheque 支票")*($S$2:$S$1501-TRUNC($S$2:$S$1501))))-'Opening Balance'!$B$15*SUMPRODUCT(($Z$2:Z1084="Online collection 网上收款")*($AA$2:AA1084&lt;&gt;"")*($AC$2:AC1084-TRUNC($AC$2:AC1084))),2))</f>
        <v/>
      </c>
    </row>
    <row r="1085">
      <c r="O1085" s="5" t="n"/>
      <c r="S1085" s="6" t="n"/>
      <c r="V1085" s="5" t="n"/>
      <c r="X1085" s="5" t="n"/>
      <c r="AC1085" s="6" t="n"/>
      <c r="AD1085" s="6" t="n"/>
      <c r="AE1085" s="7">
        <f>IF(X1085="","",ROUND('Opening Balance'!$B$4+SUM($AC$2:AC1085)-SUM($AD$2:AD1085)+SUMPRODUCT(($Q$2:$Q$1501="Collection 收款")*($R$2:$R$1501="Cheque 支票")*($V$2:$V$1501&lt;&gt;"")*($V$2:$V$1501&lt;=X1085)*($S$2:$S$1501-'Opening Balance'!$B$15*($R$2:$R$1501="Cheque 支票")*($S$2:$S$1501-TRUNC($S$2:$S$1501))))-'Opening Balance'!$B$15*SUMPRODUCT(($Z$2:Z1085="Online collection 网上收款")*($AA$2:AA1085&lt;&gt;"")*($AC$2:AC1085-TRUNC($AC$2:AC1085))),2))</f>
        <v/>
      </c>
    </row>
    <row r="1086">
      <c r="O1086" s="5" t="n"/>
      <c r="S1086" s="6" t="n"/>
      <c r="V1086" s="5" t="n"/>
      <c r="X1086" s="5" t="n"/>
      <c r="AC1086" s="6" t="n"/>
      <c r="AD1086" s="6" t="n"/>
      <c r="AE1086" s="7">
        <f>IF(X1086="","",ROUND('Opening Balance'!$B$4+SUM($AC$2:AC1086)-SUM($AD$2:AD1086)+SUMPRODUCT(($Q$2:$Q$1501="Collection 收款")*($R$2:$R$1501="Cheque 支票")*($V$2:$V$1501&lt;&gt;"")*($V$2:$V$1501&lt;=X1086)*($S$2:$S$1501-'Opening Balance'!$B$15*($R$2:$R$1501="Cheque 支票")*($S$2:$S$1501-TRUNC($S$2:$S$1501))))-'Opening Balance'!$B$15*SUMPRODUCT(($Z$2:Z1086="Online collection 网上收款")*($AA$2:AA1086&lt;&gt;"")*($AC$2:AC1086-TRUNC($AC$2:AC1086))),2))</f>
        <v/>
      </c>
    </row>
    <row r="1087">
      <c r="O1087" s="5" t="n"/>
      <c r="S1087" s="6" t="n"/>
      <c r="V1087" s="5" t="n"/>
      <c r="X1087" s="5" t="n"/>
      <c r="AC1087" s="6" t="n"/>
      <c r="AD1087" s="6" t="n"/>
      <c r="AE1087" s="7">
        <f>IF(X1087="","",ROUND('Opening Balance'!$B$4+SUM($AC$2:AC1087)-SUM($AD$2:AD1087)+SUMPRODUCT(($Q$2:$Q$1501="Collection 收款")*($R$2:$R$1501="Cheque 支票")*($V$2:$V$1501&lt;&gt;"")*($V$2:$V$1501&lt;=X1087)*($S$2:$S$1501-'Opening Balance'!$B$15*($R$2:$R$1501="Cheque 支票")*($S$2:$S$1501-TRUNC($S$2:$S$1501))))-'Opening Balance'!$B$15*SUMPRODUCT(($Z$2:Z1087="Online collection 网上收款")*($AA$2:AA1087&lt;&gt;"")*($AC$2:AC1087-TRUNC($AC$2:AC1087))),2))</f>
        <v/>
      </c>
    </row>
    <row r="1088">
      <c r="O1088" s="5" t="n"/>
      <c r="S1088" s="6" t="n"/>
      <c r="V1088" s="5" t="n"/>
      <c r="X1088" s="5" t="n"/>
      <c r="AC1088" s="6" t="n"/>
      <c r="AD1088" s="6" t="n"/>
      <c r="AE1088" s="7">
        <f>IF(X1088="","",ROUND('Opening Balance'!$B$4+SUM($AC$2:AC1088)-SUM($AD$2:AD1088)+SUMPRODUCT(($Q$2:$Q$1501="Collection 收款")*($R$2:$R$1501="Cheque 支票")*($V$2:$V$1501&lt;&gt;"")*($V$2:$V$1501&lt;=X1088)*($S$2:$S$1501-'Opening Balance'!$B$15*($R$2:$R$1501="Cheque 支票")*($S$2:$S$1501-TRUNC($S$2:$S$1501))))-'Opening Balance'!$B$15*SUMPRODUCT(($Z$2:Z1088="Online collection 网上收款")*($AA$2:AA1088&lt;&gt;"")*($AC$2:AC1088-TRUNC($AC$2:AC1088))),2))</f>
        <v/>
      </c>
    </row>
    <row r="1089">
      <c r="O1089" s="5" t="n"/>
      <c r="S1089" s="6" t="n"/>
      <c r="V1089" s="5" t="n"/>
      <c r="X1089" s="5" t="n"/>
      <c r="AC1089" s="6" t="n"/>
      <c r="AD1089" s="6" t="n"/>
      <c r="AE1089" s="7">
        <f>IF(X1089="","",ROUND('Opening Balance'!$B$4+SUM($AC$2:AC1089)-SUM($AD$2:AD1089)+SUMPRODUCT(($Q$2:$Q$1501="Collection 收款")*($R$2:$R$1501="Cheque 支票")*($V$2:$V$1501&lt;&gt;"")*($V$2:$V$1501&lt;=X1089)*($S$2:$S$1501-'Opening Balance'!$B$15*($R$2:$R$1501="Cheque 支票")*($S$2:$S$1501-TRUNC($S$2:$S$1501))))-'Opening Balance'!$B$15*SUMPRODUCT(($Z$2:Z1089="Online collection 网上收款")*($AA$2:AA1089&lt;&gt;"")*($AC$2:AC1089-TRUNC($AC$2:AC1089))),2))</f>
        <v/>
      </c>
    </row>
    <row r="1090">
      <c r="O1090" s="5" t="n"/>
      <c r="S1090" s="6" t="n"/>
      <c r="V1090" s="5" t="n"/>
      <c r="X1090" s="5" t="n"/>
      <c r="AC1090" s="6" t="n"/>
      <c r="AD1090" s="6" t="n"/>
      <c r="AE1090" s="7">
        <f>IF(X1090="","",ROUND('Opening Balance'!$B$4+SUM($AC$2:AC1090)-SUM($AD$2:AD1090)+SUMPRODUCT(($Q$2:$Q$1501="Collection 收款")*($R$2:$R$1501="Cheque 支票")*($V$2:$V$1501&lt;&gt;"")*($V$2:$V$1501&lt;=X1090)*($S$2:$S$1501-'Opening Balance'!$B$15*($R$2:$R$1501="Cheque 支票")*($S$2:$S$1501-TRUNC($S$2:$S$1501))))-'Opening Balance'!$B$15*SUMPRODUCT(($Z$2:Z1090="Online collection 网上收款")*($AA$2:AA1090&lt;&gt;"")*($AC$2:AC1090-TRUNC($AC$2:AC1090))),2))</f>
        <v/>
      </c>
    </row>
    <row r="1091">
      <c r="O1091" s="5" t="n"/>
      <c r="S1091" s="6" t="n"/>
      <c r="V1091" s="5" t="n"/>
      <c r="X1091" s="5" t="n"/>
      <c r="AC1091" s="6" t="n"/>
      <c r="AD1091" s="6" t="n"/>
      <c r="AE1091" s="7">
        <f>IF(X1091="","",ROUND('Opening Balance'!$B$4+SUM($AC$2:AC1091)-SUM($AD$2:AD1091)+SUMPRODUCT(($Q$2:$Q$1501="Collection 收款")*($R$2:$R$1501="Cheque 支票")*($V$2:$V$1501&lt;&gt;"")*($V$2:$V$1501&lt;=X1091)*($S$2:$S$1501-'Opening Balance'!$B$15*($R$2:$R$1501="Cheque 支票")*($S$2:$S$1501-TRUNC($S$2:$S$1501))))-'Opening Balance'!$B$15*SUMPRODUCT(($Z$2:Z1091="Online collection 网上收款")*($AA$2:AA1091&lt;&gt;"")*($AC$2:AC1091-TRUNC($AC$2:AC1091))),2))</f>
        <v/>
      </c>
    </row>
    <row r="1092">
      <c r="O1092" s="5" t="n"/>
      <c r="S1092" s="6" t="n"/>
      <c r="V1092" s="5" t="n"/>
      <c r="X1092" s="5" t="n"/>
      <c r="AC1092" s="6" t="n"/>
      <c r="AD1092" s="6" t="n"/>
      <c r="AE1092" s="7">
        <f>IF(X1092="","",ROUND('Opening Balance'!$B$4+SUM($AC$2:AC1092)-SUM($AD$2:AD1092)+SUMPRODUCT(($Q$2:$Q$1501="Collection 收款")*($R$2:$R$1501="Cheque 支票")*($V$2:$V$1501&lt;&gt;"")*($V$2:$V$1501&lt;=X1092)*($S$2:$S$1501-'Opening Balance'!$B$15*($R$2:$R$1501="Cheque 支票")*($S$2:$S$1501-TRUNC($S$2:$S$1501))))-'Opening Balance'!$B$15*SUMPRODUCT(($Z$2:Z1092="Online collection 网上收款")*($AA$2:AA1092&lt;&gt;"")*($AC$2:AC1092-TRUNC($AC$2:AC1092))),2))</f>
        <v/>
      </c>
    </row>
    <row r="1093">
      <c r="O1093" s="5" t="n"/>
      <c r="S1093" s="6" t="n"/>
      <c r="V1093" s="5" t="n"/>
      <c r="X1093" s="5" t="n"/>
      <c r="AC1093" s="6" t="n"/>
      <c r="AD1093" s="6" t="n"/>
      <c r="AE1093" s="7">
        <f>IF(X1093="","",ROUND('Opening Balance'!$B$4+SUM($AC$2:AC1093)-SUM($AD$2:AD1093)+SUMPRODUCT(($Q$2:$Q$1501="Collection 收款")*($R$2:$R$1501="Cheque 支票")*($V$2:$V$1501&lt;&gt;"")*($V$2:$V$1501&lt;=X1093)*($S$2:$S$1501-'Opening Balance'!$B$15*($R$2:$R$1501="Cheque 支票")*($S$2:$S$1501-TRUNC($S$2:$S$1501))))-'Opening Balance'!$B$15*SUMPRODUCT(($Z$2:Z1093="Online collection 网上收款")*($AA$2:AA1093&lt;&gt;"")*($AC$2:AC1093-TRUNC($AC$2:AC1093))),2))</f>
        <v/>
      </c>
    </row>
    <row r="1094">
      <c r="O1094" s="5" t="n"/>
      <c r="S1094" s="6" t="n"/>
      <c r="V1094" s="5" t="n"/>
      <c r="X1094" s="5" t="n"/>
      <c r="AC1094" s="6" t="n"/>
      <c r="AD1094" s="6" t="n"/>
      <c r="AE1094" s="7">
        <f>IF(X1094="","",ROUND('Opening Balance'!$B$4+SUM($AC$2:AC1094)-SUM($AD$2:AD1094)+SUMPRODUCT(($Q$2:$Q$1501="Collection 收款")*($R$2:$R$1501="Cheque 支票")*($V$2:$V$1501&lt;&gt;"")*($V$2:$V$1501&lt;=X1094)*($S$2:$S$1501-'Opening Balance'!$B$15*($R$2:$R$1501="Cheque 支票")*($S$2:$S$1501-TRUNC($S$2:$S$1501))))-'Opening Balance'!$B$15*SUMPRODUCT(($Z$2:Z1094="Online collection 网上收款")*($AA$2:AA1094&lt;&gt;"")*($AC$2:AC1094-TRUNC($AC$2:AC1094))),2))</f>
        <v/>
      </c>
    </row>
    <row r="1095">
      <c r="O1095" s="5" t="n"/>
      <c r="S1095" s="6" t="n"/>
      <c r="V1095" s="5" t="n"/>
      <c r="X1095" s="5" t="n"/>
      <c r="AC1095" s="6" t="n"/>
      <c r="AD1095" s="6" t="n"/>
      <c r="AE1095" s="7">
        <f>IF(X1095="","",ROUND('Opening Balance'!$B$4+SUM($AC$2:AC1095)-SUM($AD$2:AD1095)+SUMPRODUCT(($Q$2:$Q$1501="Collection 收款")*($R$2:$R$1501="Cheque 支票")*($V$2:$V$1501&lt;&gt;"")*($V$2:$V$1501&lt;=X1095)*($S$2:$S$1501-'Opening Balance'!$B$15*($R$2:$R$1501="Cheque 支票")*($S$2:$S$1501-TRUNC($S$2:$S$1501))))-'Opening Balance'!$B$15*SUMPRODUCT(($Z$2:Z1095="Online collection 网上收款")*($AA$2:AA1095&lt;&gt;"")*($AC$2:AC1095-TRUNC($AC$2:AC1095))),2))</f>
        <v/>
      </c>
    </row>
    <row r="1096">
      <c r="O1096" s="5" t="n"/>
      <c r="S1096" s="6" t="n"/>
      <c r="V1096" s="5" t="n"/>
      <c r="X1096" s="5" t="n"/>
      <c r="AC1096" s="6" t="n"/>
      <c r="AD1096" s="6" t="n"/>
      <c r="AE1096" s="7">
        <f>IF(X1096="","",ROUND('Opening Balance'!$B$4+SUM($AC$2:AC1096)-SUM($AD$2:AD1096)+SUMPRODUCT(($Q$2:$Q$1501="Collection 收款")*($R$2:$R$1501="Cheque 支票")*($V$2:$V$1501&lt;&gt;"")*($V$2:$V$1501&lt;=X1096)*($S$2:$S$1501-'Opening Balance'!$B$15*($R$2:$R$1501="Cheque 支票")*($S$2:$S$1501-TRUNC($S$2:$S$1501))))-'Opening Balance'!$B$15*SUMPRODUCT(($Z$2:Z1096="Online collection 网上收款")*($AA$2:AA1096&lt;&gt;"")*($AC$2:AC1096-TRUNC($AC$2:AC1096))),2))</f>
        <v/>
      </c>
    </row>
    <row r="1097">
      <c r="O1097" s="5" t="n"/>
      <c r="S1097" s="6" t="n"/>
      <c r="V1097" s="5" t="n"/>
      <c r="X1097" s="5" t="n"/>
      <c r="AC1097" s="6" t="n"/>
      <c r="AD1097" s="6" t="n"/>
      <c r="AE1097" s="7">
        <f>IF(X1097="","",ROUND('Opening Balance'!$B$4+SUM($AC$2:AC1097)-SUM($AD$2:AD1097)+SUMPRODUCT(($Q$2:$Q$1501="Collection 收款")*($R$2:$R$1501="Cheque 支票")*($V$2:$V$1501&lt;&gt;"")*($V$2:$V$1501&lt;=X1097)*($S$2:$S$1501-'Opening Balance'!$B$15*($R$2:$R$1501="Cheque 支票")*($S$2:$S$1501-TRUNC($S$2:$S$1501))))-'Opening Balance'!$B$15*SUMPRODUCT(($Z$2:Z1097="Online collection 网上收款")*($AA$2:AA1097&lt;&gt;"")*($AC$2:AC1097-TRUNC($AC$2:AC1097))),2))</f>
        <v/>
      </c>
    </row>
    <row r="1098">
      <c r="O1098" s="5" t="n"/>
      <c r="S1098" s="6" t="n"/>
      <c r="V1098" s="5" t="n"/>
      <c r="X1098" s="5" t="n"/>
      <c r="AC1098" s="6" t="n"/>
      <c r="AD1098" s="6" t="n"/>
      <c r="AE1098" s="7">
        <f>IF(X1098="","",ROUND('Opening Balance'!$B$4+SUM($AC$2:AC1098)-SUM($AD$2:AD1098)+SUMPRODUCT(($Q$2:$Q$1501="Collection 收款")*($R$2:$R$1501="Cheque 支票")*($V$2:$V$1501&lt;&gt;"")*($V$2:$V$1501&lt;=X1098)*($S$2:$S$1501-'Opening Balance'!$B$15*($R$2:$R$1501="Cheque 支票")*($S$2:$S$1501-TRUNC($S$2:$S$1501))))-'Opening Balance'!$B$15*SUMPRODUCT(($Z$2:Z1098="Online collection 网上收款")*($AA$2:AA1098&lt;&gt;"")*($AC$2:AC1098-TRUNC($AC$2:AC1098))),2))</f>
        <v/>
      </c>
    </row>
    <row r="1099">
      <c r="O1099" s="5" t="n"/>
      <c r="S1099" s="6" t="n"/>
      <c r="V1099" s="5" t="n"/>
      <c r="X1099" s="5" t="n"/>
      <c r="AC1099" s="6" t="n"/>
      <c r="AD1099" s="6" t="n"/>
      <c r="AE1099" s="7">
        <f>IF(X1099="","",ROUND('Opening Balance'!$B$4+SUM($AC$2:AC1099)-SUM($AD$2:AD1099)+SUMPRODUCT(($Q$2:$Q$1501="Collection 收款")*($R$2:$R$1501="Cheque 支票")*($V$2:$V$1501&lt;&gt;"")*($V$2:$V$1501&lt;=X1099)*($S$2:$S$1501-'Opening Balance'!$B$15*($R$2:$R$1501="Cheque 支票")*($S$2:$S$1501-TRUNC($S$2:$S$1501))))-'Opening Balance'!$B$15*SUMPRODUCT(($Z$2:Z1099="Online collection 网上收款")*($AA$2:AA1099&lt;&gt;"")*($AC$2:AC1099-TRUNC($AC$2:AC1099))),2))</f>
        <v/>
      </c>
    </row>
    <row r="1100">
      <c r="O1100" s="5" t="n"/>
      <c r="S1100" s="6" t="n"/>
      <c r="V1100" s="5" t="n"/>
      <c r="X1100" s="5" t="n"/>
      <c r="AC1100" s="6" t="n"/>
      <c r="AD1100" s="6" t="n"/>
      <c r="AE1100" s="7">
        <f>IF(X1100="","",ROUND('Opening Balance'!$B$4+SUM($AC$2:AC1100)-SUM($AD$2:AD1100)+SUMPRODUCT(($Q$2:$Q$1501="Collection 收款")*($R$2:$R$1501="Cheque 支票")*($V$2:$V$1501&lt;&gt;"")*($V$2:$V$1501&lt;=X1100)*($S$2:$S$1501-'Opening Balance'!$B$15*($R$2:$R$1501="Cheque 支票")*($S$2:$S$1501-TRUNC($S$2:$S$1501))))-'Opening Balance'!$B$15*SUMPRODUCT(($Z$2:Z1100="Online collection 网上收款")*($AA$2:AA1100&lt;&gt;"")*($AC$2:AC1100-TRUNC($AC$2:AC1100))),2))</f>
        <v/>
      </c>
    </row>
    <row r="1101">
      <c r="O1101" s="5" t="n"/>
      <c r="S1101" s="6" t="n"/>
      <c r="V1101" s="5" t="n"/>
      <c r="X1101" s="5" t="n"/>
      <c r="AC1101" s="6" t="n"/>
      <c r="AD1101" s="6" t="n"/>
      <c r="AE1101" s="7">
        <f>IF(X1101="","",ROUND('Opening Balance'!$B$4+SUM($AC$2:AC1101)-SUM($AD$2:AD1101)+SUMPRODUCT(($Q$2:$Q$1501="Collection 收款")*($R$2:$R$1501="Cheque 支票")*($V$2:$V$1501&lt;&gt;"")*($V$2:$V$1501&lt;=X1101)*($S$2:$S$1501-'Opening Balance'!$B$15*($R$2:$R$1501="Cheque 支票")*($S$2:$S$1501-TRUNC($S$2:$S$1501))))-'Opening Balance'!$B$15*SUMPRODUCT(($Z$2:Z1101="Online collection 网上收款")*($AA$2:AA1101&lt;&gt;"")*($AC$2:AC1101-TRUNC($AC$2:AC1101))),2))</f>
        <v/>
      </c>
    </row>
    <row r="1102">
      <c r="O1102" s="5" t="n"/>
      <c r="S1102" s="6" t="n"/>
      <c r="V1102" s="5" t="n"/>
      <c r="X1102" s="5" t="n"/>
      <c r="AC1102" s="6" t="n"/>
      <c r="AD1102" s="6" t="n"/>
      <c r="AE1102" s="7">
        <f>IF(X1102="","",ROUND('Opening Balance'!$B$4+SUM($AC$2:AC1102)-SUM($AD$2:AD1102)+SUMPRODUCT(($Q$2:$Q$1501="Collection 收款")*($R$2:$R$1501="Cheque 支票")*($V$2:$V$1501&lt;&gt;"")*($V$2:$V$1501&lt;=X1102)*($S$2:$S$1501-'Opening Balance'!$B$15*($R$2:$R$1501="Cheque 支票")*($S$2:$S$1501-TRUNC($S$2:$S$1501))))-'Opening Balance'!$B$15*SUMPRODUCT(($Z$2:Z1102="Online collection 网上收款")*($AA$2:AA1102&lt;&gt;"")*($AC$2:AC1102-TRUNC($AC$2:AC1102))),2))</f>
        <v/>
      </c>
    </row>
    <row r="1103">
      <c r="O1103" s="5" t="n"/>
      <c r="S1103" s="6" t="n"/>
      <c r="V1103" s="5" t="n"/>
      <c r="X1103" s="5" t="n"/>
      <c r="AC1103" s="6" t="n"/>
      <c r="AD1103" s="6" t="n"/>
      <c r="AE1103" s="7">
        <f>IF(X1103="","",ROUND('Opening Balance'!$B$4+SUM($AC$2:AC1103)-SUM($AD$2:AD1103)+SUMPRODUCT(($Q$2:$Q$1501="Collection 收款")*($R$2:$R$1501="Cheque 支票")*($V$2:$V$1501&lt;&gt;"")*($V$2:$V$1501&lt;=X1103)*($S$2:$S$1501-'Opening Balance'!$B$15*($R$2:$R$1501="Cheque 支票")*($S$2:$S$1501-TRUNC($S$2:$S$1501))))-'Opening Balance'!$B$15*SUMPRODUCT(($Z$2:Z1103="Online collection 网上收款")*($AA$2:AA1103&lt;&gt;"")*($AC$2:AC1103-TRUNC($AC$2:AC1103))),2))</f>
        <v/>
      </c>
    </row>
    <row r="1104">
      <c r="O1104" s="5" t="n"/>
      <c r="S1104" s="6" t="n"/>
      <c r="V1104" s="5" t="n"/>
      <c r="X1104" s="5" t="n"/>
      <c r="AC1104" s="6" t="n"/>
      <c r="AD1104" s="6" t="n"/>
      <c r="AE1104" s="7">
        <f>IF(X1104="","",ROUND('Opening Balance'!$B$4+SUM($AC$2:AC1104)-SUM($AD$2:AD1104)+SUMPRODUCT(($Q$2:$Q$1501="Collection 收款")*($R$2:$R$1501="Cheque 支票")*($V$2:$V$1501&lt;&gt;"")*($V$2:$V$1501&lt;=X1104)*($S$2:$S$1501-'Opening Balance'!$B$15*($R$2:$R$1501="Cheque 支票")*($S$2:$S$1501-TRUNC($S$2:$S$1501))))-'Opening Balance'!$B$15*SUMPRODUCT(($Z$2:Z1104="Online collection 网上收款")*($AA$2:AA1104&lt;&gt;"")*($AC$2:AC1104-TRUNC($AC$2:AC1104))),2))</f>
        <v/>
      </c>
    </row>
    <row r="1105">
      <c r="O1105" s="5" t="n"/>
      <c r="S1105" s="6" t="n"/>
      <c r="V1105" s="5" t="n"/>
      <c r="X1105" s="5" t="n"/>
      <c r="AC1105" s="6" t="n"/>
      <c r="AD1105" s="6" t="n"/>
      <c r="AE1105" s="7">
        <f>IF(X1105="","",ROUND('Opening Balance'!$B$4+SUM($AC$2:AC1105)-SUM($AD$2:AD1105)+SUMPRODUCT(($Q$2:$Q$1501="Collection 收款")*($R$2:$R$1501="Cheque 支票")*($V$2:$V$1501&lt;&gt;"")*($V$2:$V$1501&lt;=X1105)*($S$2:$S$1501-'Opening Balance'!$B$15*($R$2:$R$1501="Cheque 支票")*($S$2:$S$1501-TRUNC($S$2:$S$1501))))-'Opening Balance'!$B$15*SUMPRODUCT(($Z$2:Z1105="Online collection 网上收款")*($AA$2:AA1105&lt;&gt;"")*($AC$2:AC1105-TRUNC($AC$2:AC1105))),2))</f>
        <v/>
      </c>
    </row>
    <row r="1106">
      <c r="O1106" s="5" t="n"/>
      <c r="S1106" s="6" t="n"/>
      <c r="V1106" s="5" t="n"/>
      <c r="X1106" s="5" t="n"/>
      <c r="AC1106" s="6" t="n"/>
      <c r="AD1106" s="6" t="n"/>
      <c r="AE1106" s="7">
        <f>IF(X1106="","",ROUND('Opening Balance'!$B$4+SUM($AC$2:AC1106)-SUM($AD$2:AD1106)+SUMPRODUCT(($Q$2:$Q$1501="Collection 收款")*($R$2:$R$1501="Cheque 支票")*($V$2:$V$1501&lt;&gt;"")*($V$2:$V$1501&lt;=X1106)*($S$2:$S$1501-'Opening Balance'!$B$15*($R$2:$R$1501="Cheque 支票")*($S$2:$S$1501-TRUNC($S$2:$S$1501))))-'Opening Balance'!$B$15*SUMPRODUCT(($Z$2:Z1106="Online collection 网上收款")*($AA$2:AA1106&lt;&gt;"")*($AC$2:AC1106-TRUNC($AC$2:AC1106))),2))</f>
        <v/>
      </c>
    </row>
    <row r="1107">
      <c r="O1107" s="5" t="n"/>
      <c r="S1107" s="6" t="n"/>
      <c r="V1107" s="5" t="n"/>
      <c r="X1107" s="5" t="n"/>
      <c r="AC1107" s="6" t="n"/>
      <c r="AD1107" s="6" t="n"/>
      <c r="AE1107" s="7">
        <f>IF(X1107="","",ROUND('Opening Balance'!$B$4+SUM($AC$2:AC1107)-SUM($AD$2:AD1107)+SUMPRODUCT(($Q$2:$Q$1501="Collection 收款")*($R$2:$R$1501="Cheque 支票")*($V$2:$V$1501&lt;&gt;"")*($V$2:$V$1501&lt;=X1107)*($S$2:$S$1501-'Opening Balance'!$B$15*($R$2:$R$1501="Cheque 支票")*($S$2:$S$1501-TRUNC($S$2:$S$1501))))-'Opening Balance'!$B$15*SUMPRODUCT(($Z$2:Z1107="Online collection 网上收款")*($AA$2:AA1107&lt;&gt;"")*($AC$2:AC1107-TRUNC($AC$2:AC1107))),2))</f>
        <v/>
      </c>
    </row>
    <row r="1108">
      <c r="O1108" s="5" t="n"/>
      <c r="S1108" s="6" t="n"/>
      <c r="V1108" s="5" t="n"/>
      <c r="X1108" s="5" t="n"/>
      <c r="AC1108" s="6" t="n"/>
      <c r="AD1108" s="6" t="n"/>
      <c r="AE1108" s="7">
        <f>IF(X1108="","",ROUND('Opening Balance'!$B$4+SUM($AC$2:AC1108)-SUM($AD$2:AD1108)+SUMPRODUCT(($Q$2:$Q$1501="Collection 收款")*($R$2:$R$1501="Cheque 支票")*($V$2:$V$1501&lt;&gt;"")*($V$2:$V$1501&lt;=X1108)*($S$2:$S$1501-'Opening Balance'!$B$15*($R$2:$R$1501="Cheque 支票")*($S$2:$S$1501-TRUNC($S$2:$S$1501))))-'Opening Balance'!$B$15*SUMPRODUCT(($Z$2:Z1108="Online collection 网上收款")*($AA$2:AA1108&lt;&gt;"")*($AC$2:AC1108-TRUNC($AC$2:AC1108))),2))</f>
        <v/>
      </c>
    </row>
    <row r="1109">
      <c r="O1109" s="5" t="n"/>
      <c r="S1109" s="6" t="n"/>
      <c r="V1109" s="5" t="n"/>
      <c r="X1109" s="5" t="n"/>
      <c r="AC1109" s="6" t="n"/>
      <c r="AD1109" s="6" t="n"/>
      <c r="AE1109" s="7">
        <f>IF(X1109="","",ROUND('Opening Balance'!$B$4+SUM($AC$2:AC1109)-SUM($AD$2:AD1109)+SUMPRODUCT(($Q$2:$Q$1501="Collection 收款")*($R$2:$R$1501="Cheque 支票")*($V$2:$V$1501&lt;&gt;"")*($V$2:$V$1501&lt;=X1109)*($S$2:$S$1501-'Opening Balance'!$B$15*($R$2:$R$1501="Cheque 支票")*($S$2:$S$1501-TRUNC($S$2:$S$1501))))-'Opening Balance'!$B$15*SUMPRODUCT(($Z$2:Z1109="Online collection 网上收款")*($AA$2:AA1109&lt;&gt;"")*($AC$2:AC1109-TRUNC($AC$2:AC1109))),2))</f>
        <v/>
      </c>
    </row>
    <row r="1110">
      <c r="O1110" s="5" t="n"/>
      <c r="S1110" s="6" t="n"/>
      <c r="V1110" s="5" t="n"/>
      <c r="X1110" s="5" t="n"/>
      <c r="AC1110" s="6" t="n"/>
      <c r="AD1110" s="6" t="n"/>
      <c r="AE1110" s="7">
        <f>IF(X1110="","",ROUND('Opening Balance'!$B$4+SUM($AC$2:AC1110)-SUM($AD$2:AD1110)+SUMPRODUCT(($Q$2:$Q$1501="Collection 收款")*($R$2:$R$1501="Cheque 支票")*($V$2:$V$1501&lt;&gt;"")*($V$2:$V$1501&lt;=X1110)*($S$2:$S$1501-'Opening Balance'!$B$15*($R$2:$R$1501="Cheque 支票")*($S$2:$S$1501-TRUNC($S$2:$S$1501))))-'Opening Balance'!$B$15*SUMPRODUCT(($Z$2:Z1110="Online collection 网上收款")*($AA$2:AA1110&lt;&gt;"")*($AC$2:AC1110-TRUNC($AC$2:AC1110))),2))</f>
        <v/>
      </c>
    </row>
    <row r="1111">
      <c r="O1111" s="5" t="n"/>
      <c r="S1111" s="6" t="n"/>
      <c r="V1111" s="5" t="n"/>
      <c r="X1111" s="5" t="n"/>
      <c r="AC1111" s="6" t="n"/>
      <c r="AD1111" s="6" t="n"/>
      <c r="AE1111" s="7">
        <f>IF(X1111="","",ROUND('Opening Balance'!$B$4+SUM($AC$2:AC1111)-SUM($AD$2:AD1111)+SUMPRODUCT(($Q$2:$Q$1501="Collection 收款")*($R$2:$R$1501="Cheque 支票")*($V$2:$V$1501&lt;&gt;"")*($V$2:$V$1501&lt;=X1111)*($S$2:$S$1501-'Opening Balance'!$B$15*($R$2:$R$1501="Cheque 支票")*($S$2:$S$1501-TRUNC($S$2:$S$1501))))-'Opening Balance'!$B$15*SUMPRODUCT(($Z$2:Z1111="Online collection 网上收款")*($AA$2:AA1111&lt;&gt;"")*($AC$2:AC1111-TRUNC($AC$2:AC1111))),2))</f>
        <v/>
      </c>
    </row>
    <row r="1112">
      <c r="O1112" s="5" t="n"/>
      <c r="S1112" s="6" t="n"/>
      <c r="V1112" s="5" t="n"/>
      <c r="X1112" s="5" t="n"/>
      <c r="AC1112" s="6" t="n"/>
      <c r="AD1112" s="6" t="n"/>
      <c r="AE1112" s="7">
        <f>IF(X1112="","",ROUND('Opening Balance'!$B$4+SUM($AC$2:AC1112)-SUM($AD$2:AD1112)+SUMPRODUCT(($Q$2:$Q$1501="Collection 收款")*($R$2:$R$1501="Cheque 支票")*($V$2:$V$1501&lt;&gt;"")*($V$2:$V$1501&lt;=X1112)*($S$2:$S$1501-'Opening Balance'!$B$15*($R$2:$R$1501="Cheque 支票")*($S$2:$S$1501-TRUNC($S$2:$S$1501))))-'Opening Balance'!$B$15*SUMPRODUCT(($Z$2:Z1112="Online collection 网上收款")*($AA$2:AA1112&lt;&gt;"")*($AC$2:AC1112-TRUNC($AC$2:AC1112))),2))</f>
        <v/>
      </c>
    </row>
    <row r="1113">
      <c r="O1113" s="5" t="n"/>
      <c r="S1113" s="6" t="n"/>
      <c r="V1113" s="5" t="n"/>
      <c r="X1113" s="5" t="n"/>
      <c r="AC1113" s="6" t="n"/>
      <c r="AD1113" s="6" t="n"/>
      <c r="AE1113" s="7">
        <f>IF(X1113="","",ROUND('Opening Balance'!$B$4+SUM($AC$2:AC1113)-SUM($AD$2:AD1113)+SUMPRODUCT(($Q$2:$Q$1501="Collection 收款")*($R$2:$R$1501="Cheque 支票")*($V$2:$V$1501&lt;&gt;"")*($V$2:$V$1501&lt;=X1113)*($S$2:$S$1501-'Opening Balance'!$B$15*($R$2:$R$1501="Cheque 支票")*($S$2:$S$1501-TRUNC($S$2:$S$1501))))-'Opening Balance'!$B$15*SUMPRODUCT(($Z$2:Z1113="Online collection 网上收款")*($AA$2:AA1113&lt;&gt;"")*($AC$2:AC1113-TRUNC($AC$2:AC1113))),2))</f>
        <v/>
      </c>
    </row>
    <row r="1114">
      <c r="O1114" s="5" t="n"/>
      <c r="S1114" s="6" t="n"/>
      <c r="V1114" s="5" t="n"/>
      <c r="X1114" s="5" t="n"/>
      <c r="AC1114" s="6" t="n"/>
      <c r="AD1114" s="6" t="n"/>
      <c r="AE1114" s="7">
        <f>IF(X1114="","",ROUND('Opening Balance'!$B$4+SUM($AC$2:AC1114)-SUM($AD$2:AD1114)+SUMPRODUCT(($Q$2:$Q$1501="Collection 收款")*($R$2:$R$1501="Cheque 支票")*($V$2:$V$1501&lt;&gt;"")*($V$2:$V$1501&lt;=X1114)*($S$2:$S$1501-'Opening Balance'!$B$15*($R$2:$R$1501="Cheque 支票")*($S$2:$S$1501-TRUNC($S$2:$S$1501))))-'Opening Balance'!$B$15*SUMPRODUCT(($Z$2:Z1114="Online collection 网上收款")*($AA$2:AA1114&lt;&gt;"")*($AC$2:AC1114-TRUNC($AC$2:AC1114))),2))</f>
        <v/>
      </c>
    </row>
    <row r="1115">
      <c r="O1115" s="5" t="n"/>
      <c r="S1115" s="6" t="n"/>
      <c r="V1115" s="5" t="n"/>
      <c r="X1115" s="5" t="n"/>
      <c r="AC1115" s="6" t="n"/>
      <c r="AD1115" s="6" t="n"/>
      <c r="AE1115" s="7">
        <f>IF(X1115="","",ROUND('Opening Balance'!$B$4+SUM($AC$2:AC1115)-SUM($AD$2:AD1115)+SUMPRODUCT(($Q$2:$Q$1501="Collection 收款")*($R$2:$R$1501="Cheque 支票")*($V$2:$V$1501&lt;&gt;"")*($V$2:$V$1501&lt;=X1115)*($S$2:$S$1501-'Opening Balance'!$B$15*($R$2:$R$1501="Cheque 支票")*($S$2:$S$1501-TRUNC($S$2:$S$1501))))-'Opening Balance'!$B$15*SUMPRODUCT(($Z$2:Z1115="Online collection 网上收款")*($AA$2:AA1115&lt;&gt;"")*($AC$2:AC1115-TRUNC($AC$2:AC1115))),2))</f>
        <v/>
      </c>
    </row>
    <row r="1116">
      <c r="O1116" s="5" t="n"/>
      <c r="S1116" s="6" t="n"/>
      <c r="V1116" s="5" t="n"/>
      <c r="X1116" s="5" t="n"/>
      <c r="AC1116" s="6" t="n"/>
      <c r="AD1116" s="6" t="n"/>
      <c r="AE1116" s="7">
        <f>IF(X1116="","",ROUND('Opening Balance'!$B$4+SUM($AC$2:AC1116)-SUM($AD$2:AD1116)+SUMPRODUCT(($Q$2:$Q$1501="Collection 收款")*($R$2:$R$1501="Cheque 支票")*($V$2:$V$1501&lt;&gt;"")*($V$2:$V$1501&lt;=X1116)*($S$2:$S$1501-'Opening Balance'!$B$15*($R$2:$R$1501="Cheque 支票")*($S$2:$S$1501-TRUNC($S$2:$S$1501))))-'Opening Balance'!$B$15*SUMPRODUCT(($Z$2:Z1116="Online collection 网上收款")*($AA$2:AA1116&lt;&gt;"")*($AC$2:AC1116-TRUNC($AC$2:AC1116))),2))</f>
        <v/>
      </c>
    </row>
    <row r="1117">
      <c r="O1117" s="5" t="n"/>
      <c r="S1117" s="6" t="n"/>
      <c r="V1117" s="5" t="n"/>
      <c r="X1117" s="5" t="n"/>
      <c r="AC1117" s="6" t="n"/>
      <c r="AD1117" s="6" t="n"/>
      <c r="AE1117" s="7">
        <f>IF(X1117="","",ROUND('Opening Balance'!$B$4+SUM($AC$2:AC1117)-SUM($AD$2:AD1117)+SUMPRODUCT(($Q$2:$Q$1501="Collection 收款")*($R$2:$R$1501="Cheque 支票")*($V$2:$V$1501&lt;&gt;"")*($V$2:$V$1501&lt;=X1117)*($S$2:$S$1501-'Opening Balance'!$B$15*($R$2:$R$1501="Cheque 支票")*($S$2:$S$1501-TRUNC($S$2:$S$1501))))-'Opening Balance'!$B$15*SUMPRODUCT(($Z$2:Z1117="Online collection 网上收款")*($AA$2:AA1117&lt;&gt;"")*($AC$2:AC1117-TRUNC($AC$2:AC1117))),2))</f>
        <v/>
      </c>
    </row>
    <row r="1118">
      <c r="O1118" s="5" t="n"/>
      <c r="S1118" s="6" t="n"/>
      <c r="V1118" s="5" t="n"/>
      <c r="X1118" s="5" t="n"/>
      <c r="AC1118" s="6" t="n"/>
      <c r="AD1118" s="6" t="n"/>
      <c r="AE1118" s="7">
        <f>IF(X1118="","",ROUND('Opening Balance'!$B$4+SUM($AC$2:AC1118)-SUM($AD$2:AD1118)+SUMPRODUCT(($Q$2:$Q$1501="Collection 收款")*($R$2:$R$1501="Cheque 支票")*($V$2:$V$1501&lt;&gt;"")*($V$2:$V$1501&lt;=X1118)*($S$2:$S$1501-'Opening Balance'!$B$15*($R$2:$R$1501="Cheque 支票")*($S$2:$S$1501-TRUNC($S$2:$S$1501))))-'Opening Balance'!$B$15*SUMPRODUCT(($Z$2:Z1118="Online collection 网上收款")*($AA$2:AA1118&lt;&gt;"")*($AC$2:AC1118-TRUNC($AC$2:AC1118))),2))</f>
        <v/>
      </c>
    </row>
    <row r="1119">
      <c r="O1119" s="5" t="n"/>
      <c r="S1119" s="6" t="n"/>
      <c r="V1119" s="5" t="n"/>
      <c r="X1119" s="5" t="n"/>
      <c r="AC1119" s="6" t="n"/>
      <c r="AD1119" s="6" t="n"/>
      <c r="AE1119" s="7">
        <f>IF(X1119="","",ROUND('Opening Balance'!$B$4+SUM($AC$2:AC1119)-SUM($AD$2:AD1119)+SUMPRODUCT(($Q$2:$Q$1501="Collection 收款")*($R$2:$R$1501="Cheque 支票")*($V$2:$V$1501&lt;&gt;"")*($V$2:$V$1501&lt;=X1119)*($S$2:$S$1501-'Opening Balance'!$B$15*($R$2:$R$1501="Cheque 支票")*($S$2:$S$1501-TRUNC($S$2:$S$1501))))-'Opening Balance'!$B$15*SUMPRODUCT(($Z$2:Z1119="Online collection 网上收款")*($AA$2:AA1119&lt;&gt;"")*($AC$2:AC1119-TRUNC($AC$2:AC1119))),2))</f>
        <v/>
      </c>
    </row>
    <row r="1120">
      <c r="O1120" s="5" t="n"/>
      <c r="S1120" s="6" t="n"/>
      <c r="V1120" s="5" t="n"/>
      <c r="X1120" s="5" t="n"/>
      <c r="AC1120" s="6" t="n"/>
      <c r="AD1120" s="6" t="n"/>
      <c r="AE1120" s="7">
        <f>IF(X1120="","",ROUND('Opening Balance'!$B$4+SUM($AC$2:AC1120)-SUM($AD$2:AD1120)+SUMPRODUCT(($Q$2:$Q$1501="Collection 收款")*($R$2:$R$1501="Cheque 支票")*($V$2:$V$1501&lt;&gt;"")*($V$2:$V$1501&lt;=X1120)*($S$2:$S$1501-'Opening Balance'!$B$15*($R$2:$R$1501="Cheque 支票")*($S$2:$S$1501-TRUNC($S$2:$S$1501))))-'Opening Balance'!$B$15*SUMPRODUCT(($Z$2:Z1120="Online collection 网上收款")*($AA$2:AA1120&lt;&gt;"")*($AC$2:AC1120-TRUNC($AC$2:AC1120))),2))</f>
        <v/>
      </c>
    </row>
    <row r="1121">
      <c r="O1121" s="5" t="n"/>
      <c r="S1121" s="6" t="n"/>
      <c r="V1121" s="5" t="n"/>
      <c r="X1121" s="5" t="n"/>
      <c r="AC1121" s="6" t="n"/>
      <c r="AD1121" s="6" t="n"/>
      <c r="AE1121" s="7">
        <f>IF(X1121="","",ROUND('Opening Balance'!$B$4+SUM($AC$2:AC1121)-SUM($AD$2:AD1121)+SUMPRODUCT(($Q$2:$Q$1501="Collection 收款")*($R$2:$R$1501="Cheque 支票")*($V$2:$V$1501&lt;&gt;"")*($V$2:$V$1501&lt;=X1121)*($S$2:$S$1501-'Opening Balance'!$B$15*($R$2:$R$1501="Cheque 支票")*($S$2:$S$1501-TRUNC($S$2:$S$1501))))-'Opening Balance'!$B$15*SUMPRODUCT(($Z$2:Z1121="Online collection 网上收款")*($AA$2:AA1121&lt;&gt;"")*($AC$2:AC1121-TRUNC($AC$2:AC1121))),2))</f>
        <v/>
      </c>
    </row>
    <row r="1122">
      <c r="O1122" s="5" t="n"/>
      <c r="S1122" s="6" t="n"/>
      <c r="V1122" s="5" t="n"/>
      <c r="X1122" s="5" t="n"/>
      <c r="AC1122" s="6" t="n"/>
      <c r="AD1122" s="6" t="n"/>
      <c r="AE1122" s="7">
        <f>IF(X1122="","",ROUND('Opening Balance'!$B$4+SUM($AC$2:AC1122)-SUM($AD$2:AD1122)+SUMPRODUCT(($Q$2:$Q$1501="Collection 收款")*($R$2:$R$1501="Cheque 支票")*($V$2:$V$1501&lt;&gt;"")*($V$2:$V$1501&lt;=X1122)*($S$2:$S$1501-'Opening Balance'!$B$15*($R$2:$R$1501="Cheque 支票")*($S$2:$S$1501-TRUNC($S$2:$S$1501))))-'Opening Balance'!$B$15*SUMPRODUCT(($Z$2:Z1122="Online collection 网上收款")*($AA$2:AA1122&lt;&gt;"")*($AC$2:AC1122-TRUNC($AC$2:AC1122))),2))</f>
        <v/>
      </c>
    </row>
    <row r="1123">
      <c r="O1123" s="5" t="n"/>
      <c r="S1123" s="6" t="n"/>
      <c r="V1123" s="5" t="n"/>
      <c r="X1123" s="5" t="n"/>
      <c r="AC1123" s="6" t="n"/>
      <c r="AD1123" s="6" t="n"/>
      <c r="AE1123" s="7">
        <f>IF(X1123="","",ROUND('Opening Balance'!$B$4+SUM($AC$2:AC1123)-SUM($AD$2:AD1123)+SUMPRODUCT(($Q$2:$Q$1501="Collection 收款")*($R$2:$R$1501="Cheque 支票")*($V$2:$V$1501&lt;&gt;"")*($V$2:$V$1501&lt;=X1123)*($S$2:$S$1501-'Opening Balance'!$B$15*($R$2:$R$1501="Cheque 支票")*($S$2:$S$1501-TRUNC($S$2:$S$1501))))-'Opening Balance'!$B$15*SUMPRODUCT(($Z$2:Z1123="Online collection 网上收款")*($AA$2:AA1123&lt;&gt;"")*($AC$2:AC1123-TRUNC($AC$2:AC1123))),2))</f>
        <v/>
      </c>
    </row>
    <row r="1124">
      <c r="O1124" s="5" t="n"/>
      <c r="S1124" s="6" t="n"/>
      <c r="V1124" s="5" t="n"/>
      <c r="X1124" s="5" t="n"/>
      <c r="AC1124" s="6" t="n"/>
      <c r="AD1124" s="6" t="n"/>
      <c r="AE1124" s="7">
        <f>IF(X1124="","",ROUND('Opening Balance'!$B$4+SUM($AC$2:AC1124)-SUM($AD$2:AD1124)+SUMPRODUCT(($Q$2:$Q$1501="Collection 收款")*($R$2:$R$1501="Cheque 支票")*($V$2:$V$1501&lt;&gt;"")*($V$2:$V$1501&lt;=X1124)*($S$2:$S$1501-'Opening Balance'!$B$15*($R$2:$R$1501="Cheque 支票")*($S$2:$S$1501-TRUNC($S$2:$S$1501))))-'Opening Balance'!$B$15*SUMPRODUCT(($Z$2:Z1124="Online collection 网上收款")*($AA$2:AA1124&lt;&gt;"")*($AC$2:AC1124-TRUNC($AC$2:AC1124))),2))</f>
        <v/>
      </c>
    </row>
    <row r="1125">
      <c r="O1125" s="5" t="n"/>
      <c r="S1125" s="6" t="n"/>
      <c r="V1125" s="5" t="n"/>
      <c r="X1125" s="5" t="n"/>
      <c r="AC1125" s="6" t="n"/>
      <c r="AD1125" s="6" t="n"/>
      <c r="AE1125" s="7">
        <f>IF(X1125="","",ROUND('Opening Balance'!$B$4+SUM($AC$2:AC1125)-SUM($AD$2:AD1125)+SUMPRODUCT(($Q$2:$Q$1501="Collection 收款")*($R$2:$R$1501="Cheque 支票")*($V$2:$V$1501&lt;&gt;"")*($V$2:$V$1501&lt;=X1125)*($S$2:$S$1501-'Opening Balance'!$B$15*($R$2:$R$1501="Cheque 支票")*($S$2:$S$1501-TRUNC($S$2:$S$1501))))-'Opening Balance'!$B$15*SUMPRODUCT(($Z$2:Z1125="Online collection 网上收款")*($AA$2:AA1125&lt;&gt;"")*($AC$2:AC1125-TRUNC($AC$2:AC1125))),2))</f>
        <v/>
      </c>
    </row>
    <row r="1126">
      <c r="O1126" s="5" t="n"/>
      <c r="S1126" s="6" t="n"/>
      <c r="V1126" s="5" t="n"/>
      <c r="X1126" s="5" t="n"/>
      <c r="AC1126" s="6" t="n"/>
      <c r="AD1126" s="6" t="n"/>
      <c r="AE1126" s="7">
        <f>IF(X1126="","",ROUND('Opening Balance'!$B$4+SUM($AC$2:AC1126)-SUM($AD$2:AD1126)+SUMPRODUCT(($Q$2:$Q$1501="Collection 收款")*($R$2:$R$1501="Cheque 支票")*($V$2:$V$1501&lt;&gt;"")*($V$2:$V$1501&lt;=X1126)*($S$2:$S$1501-'Opening Balance'!$B$15*($R$2:$R$1501="Cheque 支票")*($S$2:$S$1501-TRUNC($S$2:$S$1501))))-'Opening Balance'!$B$15*SUMPRODUCT(($Z$2:Z1126="Online collection 网上收款")*($AA$2:AA1126&lt;&gt;"")*($AC$2:AC1126-TRUNC($AC$2:AC1126))),2))</f>
        <v/>
      </c>
    </row>
    <row r="1127">
      <c r="O1127" s="5" t="n"/>
      <c r="S1127" s="6" t="n"/>
      <c r="V1127" s="5" t="n"/>
      <c r="X1127" s="5" t="n"/>
      <c r="AC1127" s="6" t="n"/>
      <c r="AD1127" s="6" t="n"/>
      <c r="AE1127" s="7">
        <f>IF(X1127="","",ROUND('Opening Balance'!$B$4+SUM($AC$2:AC1127)-SUM($AD$2:AD1127)+SUMPRODUCT(($Q$2:$Q$1501="Collection 收款")*($R$2:$R$1501="Cheque 支票")*($V$2:$V$1501&lt;&gt;"")*($V$2:$V$1501&lt;=X1127)*($S$2:$S$1501-'Opening Balance'!$B$15*($R$2:$R$1501="Cheque 支票")*($S$2:$S$1501-TRUNC($S$2:$S$1501))))-'Opening Balance'!$B$15*SUMPRODUCT(($Z$2:Z1127="Online collection 网上收款")*($AA$2:AA1127&lt;&gt;"")*($AC$2:AC1127-TRUNC($AC$2:AC1127))),2))</f>
        <v/>
      </c>
    </row>
    <row r="1128">
      <c r="O1128" s="5" t="n"/>
      <c r="S1128" s="6" t="n"/>
      <c r="V1128" s="5" t="n"/>
      <c r="X1128" s="5" t="n"/>
      <c r="AC1128" s="6" t="n"/>
      <c r="AD1128" s="6" t="n"/>
      <c r="AE1128" s="7">
        <f>IF(X1128="","",ROUND('Opening Balance'!$B$4+SUM($AC$2:AC1128)-SUM($AD$2:AD1128)+SUMPRODUCT(($Q$2:$Q$1501="Collection 收款")*($R$2:$R$1501="Cheque 支票")*($V$2:$V$1501&lt;&gt;"")*($V$2:$V$1501&lt;=X1128)*($S$2:$S$1501-'Opening Balance'!$B$15*($R$2:$R$1501="Cheque 支票")*($S$2:$S$1501-TRUNC($S$2:$S$1501))))-'Opening Balance'!$B$15*SUMPRODUCT(($Z$2:Z1128="Online collection 网上收款")*($AA$2:AA1128&lt;&gt;"")*($AC$2:AC1128-TRUNC($AC$2:AC1128))),2))</f>
        <v/>
      </c>
    </row>
    <row r="1129">
      <c r="O1129" s="5" t="n"/>
      <c r="S1129" s="6" t="n"/>
      <c r="V1129" s="5" t="n"/>
      <c r="X1129" s="5" t="n"/>
      <c r="AC1129" s="6" t="n"/>
      <c r="AD1129" s="6" t="n"/>
      <c r="AE1129" s="7">
        <f>IF(X1129="","",ROUND('Opening Balance'!$B$4+SUM($AC$2:AC1129)-SUM($AD$2:AD1129)+SUMPRODUCT(($Q$2:$Q$1501="Collection 收款")*($R$2:$R$1501="Cheque 支票")*($V$2:$V$1501&lt;&gt;"")*($V$2:$V$1501&lt;=X1129)*($S$2:$S$1501-'Opening Balance'!$B$15*($R$2:$R$1501="Cheque 支票")*($S$2:$S$1501-TRUNC($S$2:$S$1501))))-'Opening Balance'!$B$15*SUMPRODUCT(($Z$2:Z1129="Online collection 网上收款")*($AA$2:AA1129&lt;&gt;"")*($AC$2:AC1129-TRUNC($AC$2:AC1129))),2))</f>
        <v/>
      </c>
    </row>
    <row r="1130">
      <c r="O1130" s="5" t="n"/>
      <c r="S1130" s="6" t="n"/>
      <c r="V1130" s="5" t="n"/>
      <c r="X1130" s="5" t="n"/>
      <c r="AC1130" s="6" t="n"/>
      <c r="AD1130" s="6" t="n"/>
      <c r="AE1130" s="7">
        <f>IF(X1130="","",ROUND('Opening Balance'!$B$4+SUM($AC$2:AC1130)-SUM($AD$2:AD1130)+SUMPRODUCT(($Q$2:$Q$1501="Collection 收款")*($R$2:$R$1501="Cheque 支票")*($V$2:$V$1501&lt;&gt;"")*($V$2:$V$1501&lt;=X1130)*($S$2:$S$1501-'Opening Balance'!$B$15*($R$2:$R$1501="Cheque 支票")*($S$2:$S$1501-TRUNC($S$2:$S$1501))))-'Opening Balance'!$B$15*SUMPRODUCT(($Z$2:Z1130="Online collection 网上收款")*($AA$2:AA1130&lt;&gt;"")*($AC$2:AC1130-TRUNC($AC$2:AC1130))),2))</f>
        <v/>
      </c>
    </row>
    <row r="1131">
      <c r="O1131" s="5" t="n"/>
      <c r="S1131" s="6" t="n"/>
      <c r="V1131" s="5" t="n"/>
      <c r="X1131" s="5" t="n"/>
      <c r="AC1131" s="6" t="n"/>
      <c r="AD1131" s="6" t="n"/>
      <c r="AE1131" s="7">
        <f>IF(X1131="","",ROUND('Opening Balance'!$B$4+SUM($AC$2:AC1131)-SUM($AD$2:AD1131)+SUMPRODUCT(($Q$2:$Q$1501="Collection 收款")*($R$2:$R$1501="Cheque 支票")*($V$2:$V$1501&lt;&gt;"")*($V$2:$V$1501&lt;=X1131)*($S$2:$S$1501-'Opening Balance'!$B$15*($R$2:$R$1501="Cheque 支票")*($S$2:$S$1501-TRUNC($S$2:$S$1501))))-'Opening Balance'!$B$15*SUMPRODUCT(($Z$2:Z1131="Online collection 网上收款")*($AA$2:AA1131&lt;&gt;"")*($AC$2:AC1131-TRUNC($AC$2:AC1131))),2))</f>
        <v/>
      </c>
    </row>
    <row r="1132">
      <c r="O1132" s="5" t="n"/>
      <c r="S1132" s="6" t="n"/>
      <c r="V1132" s="5" t="n"/>
      <c r="X1132" s="5" t="n"/>
      <c r="AC1132" s="6" t="n"/>
      <c r="AD1132" s="6" t="n"/>
      <c r="AE1132" s="7">
        <f>IF(X1132="","",ROUND('Opening Balance'!$B$4+SUM($AC$2:AC1132)-SUM($AD$2:AD1132)+SUMPRODUCT(($Q$2:$Q$1501="Collection 收款")*($R$2:$R$1501="Cheque 支票")*($V$2:$V$1501&lt;&gt;"")*($V$2:$V$1501&lt;=X1132)*($S$2:$S$1501-'Opening Balance'!$B$15*($R$2:$R$1501="Cheque 支票")*($S$2:$S$1501-TRUNC($S$2:$S$1501))))-'Opening Balance'!$B$15*SUMPRODUCT(($Z$2:Z1132="Online collection 网上收款")*($AA$2:AA1132&lt;&gt;"")*($AC$2:AC1132-TRUNC($AC$2:AC1132))),2))</f>
        <v/>
      </c>
    </row>
    <row r="1133">
      <c r="O1133" s="5" t="n"/>
      <c r="S1133" s="6" t="n"/>
      <c r="V1133" s="5" t="n"/>
      <c r="X1133" s="5" t="n"/>
      <c r="AC1133" s="6" t="n"/>
      <c r="AD1133" s="6" t="n"/>
      <c r="AE1133" s="7">
        <f>IF(X1133="","",ROUND('Opening Balance'!$B$4+SUM($AC$2:AC1133)-SUM($AD$2:AD1133)+SUMPRODUCT(($Q$2:$Q$1501="Collection 收款")*($R$2:$R$1501="Cheque 支票")*($V$2:$V$1501&lt;&gt;"")*($V$2:$V$1501&lt;=X1133)*($S$2:$S$1501-'Opening Balance'!$B$15*($R$2:$R$1501="Cheque 支票")*($S$2:$S$1501-TRUNC($S$2:$S$1501))))-'Opening Balance'!$B$15*SUMPRODUCT(($Z$2:Z1133="Online collection 网上收款")*($AA$2:AA1133&lt;&gt;"")*($AC$2:AC1133-TRUNC($AC$2:AC1133))),2))</f>
        <v/>
      </c>
    </row>
    <row r="1134">
      <c r="O1134" s="5" t="n"/>
      <c r="S1134" s="6" t="n"/>
      <c r="V1134" s="5" t="n"/>
      <c r="X1134" s="5" t="n"/>
      <c r="AC1134" s="6" t="n"/>
      <c r="AD1134" s="6" t="n"/>
      <c r="AE1134" s="7">
        <f>IF(X1134="","",ROUND('Opening Balance'!$B$4+SUM($AC$2:AC1134)-SUM($AD$2:AD1134)+SUMPRODUCT(($Q$2:$Q$1501="Collection 收款")*($R$2:$R$1501="Cheque 支票")*($V$2:$V$1501&lt;&gt;"")*($V$2:$V$1501&lt;=X1134)*($S$2:$S$1501-'Opening Balance'!$B$15*($R$2:$R$1501="Cheque 支票")*($S$2:$S$1501-TRUNC($S$2:$S$1501))))-'Opening Balance'!$B$15*SUMPRODUCT(($Z$2:Z1134="Online collection 网上收款")*($AA$2:AA1134&lt;&gt;"")*($AC$2:AC1134-TRUNC($AC$2:AC1134))),2))</f>
        <v/>
      </c>
    </row>
    <row r="1135">
      <c r="O1135" s="5" t="n"/>
      <c r="S1135" s="6" t="n"/>
      <c r="V1135" s="5" t="n"/>
      <c r="X1135" s="5" t="n"/>
      <c r="AC1135" s="6" t="n"/>
      <c r="AD1135" s="6" t="n"/>
      <c r="AE1135" s="7">
        <f>IF(X1135="","",ROUND('Opening Balance'!$B$4+SUM($AC$2:AC1135)-SUM($AD$2:AD1135)+SUMPRODUCT(($Q$2:$Q$1501="Collection 收款")*($R$2:$R$1501="Cheque 支票")*($V$2:$V$1501&lt;&gt;"")*($V$2:$V$1501&lt;=X1135)*($S$2:$S$1501-'Opening Balance'!$B$15*($R$2:$R$1501="Cheque 支票")*($S$2:$S$1501-TRUNC($S$2:$S$1501))))-'Opening Balance'!$B$15*SUMPRODUCT(($Z$2:Z1135="Online collection 网上收款")*($AA$2:AA1135&lt;&gt;"")*($AC$2:AC1135-TRUNC($AC$2:AC1135))),2))</f>
        <v/>
      </c>
    </row>
    <row r="1136">
      <c r="O1136" s="5" t="n"/>
      <c r="S1136" s="6" t="n"/>
      <c r="V1136" s="5" t="n"/>
      <c r="X1136" s="5" t="n"/>
      <c r="AC1136" s="6" t="n"/>
      <c r="AD1136" s="6" t="n"/>
      <c r="AE1136" s="7">
        <f>IF(X1136="","",ROUND('Opening Balance'!$B$4+SUM($AC$2:AC1136)-SUM($AD$2:AD1136)+SUMPRODUCT(($Q$2:$Q$1501="Collection 收款")*($R$2:$R$1501="Cheque 支票")*($V$2:$V$1501&lt;&gt;"")*($V$2:$V$1501&lt;=X1136)*($S$2:$S$1501-'Opening Balance'!$B$15*($R$2:$R$1501="Cheque 支票")*($S$2:$S$1501-TRUNC($S$2:$S$1501))))-'Opening Balance'!$B$15*SUMPRODUCT(($Z$2:Z1136="Online collection 网上收款")*($AA$2:AA1136&lt;&gt;"")*($AC$2:AC1136-TRUNC($AC$2:AC1136))),2))</f>
        <v/>
      </c>
    </row>
    <row r="1137">
      <c r="O1137" s="5" t="n"/>
      <c r="S1137" s="6" t="n"/>
      <c r="V1137" s="5" t="n"/>
      <c r="X1137" s="5" t="n"/>
      <c r="AC1137" s="6" t="n"/>
      <c r="AD1137" s="6" t="n"/>
      <c r="AE1137" s="7">
        <f>IF(X1137="","",ROUND('Opening Balance'!$B$4+SUM($AC$2:AC1137)-SUM($AD$2:AD1137)+SUMPRODUCT(($Q$2:$Q$1501="Collection 收款")*($R$2:$R$1501="Cheque 支票")*($V$2:$V$1501&lt;&gt;"")*($V$2:$V$1501&lt;=X1137)*($S$2:$S$1501-'Opening Balance'!$B$15*($R$2:$R$1501="Cheque 支票")*($S$2:$S$1501-TRUNC($S$2:$S$1501))))-'Opening Balance'!$B$15*SUMPRODUCT(($Z$2:Z1137="Online collection 网上收款")*($AA$2:AA1137&lt;&gt;"")*($AC$2:AC1137-TRUNC($AC$2:AC1137))),2))</f>
        <v/>
      </c>
    </row>
    <row r="1138">
      <c r="O1138" s="5" t="n"/>
      <c r="S1138" s="6" t="n"/>
      <c r="V1138" s="5" t="n"/>
      <c r="X1138" s="5" t="n"/>
      <c r="AC1138" s="6" t="n"/>
      <c r="AD1138" s="6" t="n"/>
      <c r="AE1138" s="7">
        <f>IF(X1138="","",ROUND('Opening Balance'!$B$4+SUM($AC$2:AC1138)-SUM($AD$2:AD1138)+SUMPRODUCT(($Q$2:$Q$1501="Collection 收款")*($R$2:$R$1501="Cheque 支票")*($V$2:$V$1501&lt;&gt;"")*($V$2:$V$1501&lt;=X1138)*($S$2:$S$1501-'Opening Balance'!$B$15*($R$2:$R$1501="Cheque 支票")*($S$2:$S$1501-TRUNC($S$2:$S$1501))))-'Opening Balance'!$B$15*SUMPRODUCT(($Z$2:Z1138="Online collection 网上收款")*($AA$2:AA1138&lt;&gt;"")*($AC$2:AC1138-TRUNC($AC$2:AC1138))),2))</f>
        <v/>
      </c>
    </row>
    <row r="1139">
      <c r="O1139" s="5" t="n"/>
      <c r="S1139" s="6" t="n"/>
      <c r="V1139" s="5" t="n"/>
      <c r="X1139" s="5" t="n"/>
      <c r="AC1139" s="6" t="n"/>
      <c r="AD1139" s="6" t="n"/>
      <c r="AE1139" s="7">
        <f>IF(X1139="","",ROUND('Opening Balance'!$B$4+SUM($AC$2:AC1139)-SUM($AD$2:AD1139)+SUMPRODUCT(($Q$2:$Q$1501="Collection 收款")*($R$2:$R$1501="Cheque 支票")*($V$2:$V$1501&lt;&gt;"")*($V$2:$V$1501&lt;=X1139)*($S$2:$S$1501-'Opening Balance'!$B$15*($R$2:$R$1501="Cheque 支票")*($S$2:$S$1501-TRUNC($S$2:$S$1501))))-'Opening Balance'!$B$15*SUMPRODUCT(($Z$2:Z1139="Online collection 网上收款")*($AA$2:AA1139&lt;&gt;"")*($AC$2:AC1139-TRUNC($AC$2:AC1139))),2))</f>
        <v/>
      </c>
    </row>
    <row r="1140">
      <c r="O1140" s="5" t="n"/>
      <c r="S1140" s="6" t="n"/>
      <c r="V1140" s="5" t="n"/>
      <c r="X1140" s="5" t="n"/>
      <c r="AC1140" s="6" t="n"/>
      <c r="AD1140" s="6" t="n"/>
      <c r="AE1140" s="7">
        <f>IF(X1140="","",ROUND('Opening Balance'!$B$4+SUM($AC$2:AC1140)-SUM($AD$2:AD1140)+SUMPRODUCT(($Q$2:$Q$1501="Collection 收款")*($R$2:$R$1501="Cheque 支票")*($V$2:$V$1501&lt;&gt;"")*($V$2:$V$1501&lt;=X1140)*($S$2:$S$1501-'Opening Balance'!$B$15*($R$2:$R$1501="Cheque 支票")*($S$2:$S$1501-TRUNC($S$2:$S$1501))))-'Opening Balance'!$B$15*SUMPRODUCT(($Z$2:Z1140="Online collection 网上收款")*($AA$2:AA1140&lt;&gt;"")*($AC$2:AC1140-TRUNC($AC$2:AC1140))),2))</f>
        <v/>
      </c>
    </row>
    <row r="1141">
      <c r="O1141" s="5" t="n"/>
      <c r="S1141" s="6" t="n"/>
      <c r="V1141" s="5" t="n"/>
      <c r="X1141" s="5" t="n"/>
      <c r="AC1141" s="6" t="n"/>
      <c r="AD1141" s="6" t="n"/>
      <c r="AE1141" s="7">
        <f>IF(X1141="","",ROUND('Opening Balance'!$B$4+SUM($AC$2:AC1141)-SUM($AD$2:AD1141)+SUMPRODUCT(($Q$2:$Q$1501="Collection 收款")*($R$2:$R$1501="Cheque 支票")*($V$2:$V$1501&lt;&gt;"")*($V$2:$V$1501&lt;=X1141)*($S$2:$S$1501-'Opening Balance'!$B$15*($R$2:$R$1501="Cheque 支票")*($S$2:$S$1501-TRUNC($S$2:$S$1501))))-'Opening Balance'!$B$15*SUMPRODUCT(($Z$2:Z1141="Online collection 网上收款")*($AA$2:AA1141&lt;&gt;"")*($AC$2:AC1141-TRUNC($AC$2:AC1141))),2))</f>
        <v/>
      </c>
    </row>
    <row r="1142">
      <c r="O1142" s="5" t="n"/>
      <c r="S1142" s="6" t="n"/>
      <c r="V1142" s="5" t="n"/>
      <c r="X1142" s="5" t="n"/>
      <c r="AC1142" s="6" t="n"/>
      <c r="AD1142" s="6" t="n"/>
      <c r="AE1142" s="7">
        <f>IF(X1142="","",ROUND('Opening Balance'!$B$4+SUM($AC$2:AC1142)-SUM($AD$2:AD1142)+SUMPRODUCT(($Q$2:$Q$1501="Collection 收款")*($R$2:$R$1501="Cheque 支票")*($V$2:$V$1501&lt;&gt;"")*($V$2:$V$1501&lt;=X1142)*($S$2:$S$1501-'Opening Balance'!$B$15*($R$2:$R$1501="Cheque 支票")*($S$2:$S$1501-TRUNC($S$2:$S$1501))))-'Opening Balance'!$B$15*SUMPRODUCT(($Z$2:Z1142="Online collection 网上收款")*($AA$2:AA1142&lt;&gt;"")*($AC$2:AC1142-TRUNC($AC$2:AC1142))),2))</f>
        <v/>
      </c>
    </row>
    <row r="1143">
      <c r="O1143" s="5" t="n"/>
      <c r="S1143" s="6" t="n"/>
      <c r="V1143" s="5" t="n"/>
      <c r="X1143" s="5" t="n"/>
      <c r="AC1143" s="6" t="n"/>
      <c r="AD1143" s="6" t="n"/>
      <c r="AE1143" s="7">
        <f>IF(X1143="","",ROUND('Opening Balance'!$B$4+SUM($AC$2:AC1143)-SUM($AD$2:AD1143)+SUMPRODUCT(($Q$2:$Q$1501="Collection 收款")*($R$2:$R$1501="Cheque 支票")*($V$2:$V$1501&lt;&gt;"")*($V$2:$V$1501&lt;=X1143)*($S$2:$S$1501-'Opening Balance'!$B$15*($R$2:$R$1501="Cheque 支票")*($S$2:$S$1501-TRUNC($S$2:$S$1501))))-'Opening Balance'!$B$15*SUMPRODUCT(($Z$2:Z1143="Online collection 网上收款")*($AA$2:AA1143&lt;&gt;"")*($AC$2:AC1143-TRUNC($AC$2:AC1143))),2))</f>
        <v/>
      </c>
    </row>
    <row r="1144">
      <c r="O1144" s="5" t="n"/>
      <c r="S1144" s="6" t="n"/>
      <c r="V1144" s="5" t="n"/>
      <c r="X1144" s="5" t="n"/>
      <c r="AC1144" s="6" t="n"/>
      <c r="AD1144" s="6" t="n"/>
      <c r="AE1144" s="7">
        <f>IF(X1144="","",ROUND('Opening Balance'!$B$4+SUM($AC$2:AC1144)-SUM($AD$2:AD1144)+SUMPRODUCT(($Q$2:$Q$1501="Collection 收款")*($R$2:$R$1501="Cheque 支票")*($V$2:$V$1501&lt;&gt;"")*($V$2:$V$1501&lt;=X1144)*($S$2:$S$1501-'Opening Balance'!$B$15*($R$2:$R$1501="Cheque 支票")*($S$2:$S$1501-TRUNC($S$2:$S$1501))))-'Opening Balance'!$B$15*SUMPRODUCT(($Z$2:Z1144="Online collection 网上收款")*($AA$2:AA1144&lt;&gt;"")*($AC$2:AC1144-TRUNC($AC$2:AC1144))),2))</f>
        <v/>
      </c>
    </row>
    <row r="1145">
      <c r="O1145" s="5" t="n"/>
      <c r="S1145" s="6" t="n"/>
      <c r="V1145" s="5" t="n"/>
      <c r="X1145" s="5" t="n"/>
      <c r="AC1145" s="6" t="n"/>
      <c r="AD1145" s="6" t="n"/>
      <c r="AE1145" s="7">
        <f>IF(X1145="","",ROUND('Opening Balance'!$B$4+SUM($AC$2:AC1145)-SUM($AD$2:AD1145)+SUMPRODUCT(($Q$2:$Q$1501="Collection 收款")*($R$2:$R$1501="Cheque 支票")*($V$2:$V$1501&lt;&gt;"")*($V$2:$V$1501&lt;=X1145)*($S$2:$S$1501-'Opening Balance'!$B$15*($R$2:$R$1501="Cheque 支票")*($S$2:$S$1501-TRUNC($S$2:$S$1501))))-'Opening Balance'!$B$15*SUMPRODUCT(($Z$2:Z1145="Online collection 网上收款")*($AA$2:AA1145&lt;&gt;"")*($AC$2:AC1145-TRUNC($AC$2:AC1145))),2))</f>
        <v/>
      </c>
    </row>
    <row r="1146">
      <c r="O1146" s="5" t="n"/>
      <c r="S1146" s="6" t="n"/>
      <c r="V1146" s="5" t="n"/>
      <c r="X1146" s="5" t="n"/>
      <c r="AC1146" s="6" t="n"/>
      <c r="AD1146" s="6" t="n"/>
      <c r="AE1146" s="7">
        <f>IF(X1146="","",ROUND('Opening Balance'!$B$4+SUM($AC$2:AC1146)-SUM($AD$2:AD1146)+SUMPRODUCT(($Q$2:$Q$1501="Collection 收款")*($R$2:$R$1501="Cheque 支票")*($V$2:$V$1501&lt;&gt;"")*($V$2:$V$1501&lt;=X1146)*($S$2:$S$1501-'Opening Balance'!$B$15*($R$2:$R$1501="Cheque 支票")*($S$2:$S$1501-TRUNC($S$2:$S$1501))))-'Opening Balance'!$B$15*SUMPRODUCT(($Z$2:Z1146="Online collection 网上收款")*($AA$2:AA1146&lt;&gt;"")*($AC$2:AC1146-TRUNC($AC$2:AC1146))),2))</f>
        <v/>
      </c>
    </row>
    <row r="1147">
      <c r="O1147" s="5" t="n"/>
      <c r="S1147" s="6" t="n"/>
      <c r="V1147" s="5" t="n"/>
      <c r="X1147" s="5" t="n"/>
      <c r="AC1147" s="6" t="n"/>
      <c r="AD1147" s="6" t="n"/>
      <c r="AE1147" s="7">
        <f>IF(X1147="","",ROUND('Opening Balance'!$B$4+SUM($AC$2:AC1147)-SUM($AD$2:AD1147)+SUMPRODUCT(($Q$2:$Q$1501="Collection 收款")*($R$2:$R$1501="Cheque 支票")*($V$2:$V$1501&lt;&gt;"")*($V$2:$V$1501&lt;=X1147)*($S$2:$S$1501-'Opening Balance'!$B$15*($R$2:$R$1501="Cheque 支票")*($S$2:$S$1501-TRUNC($S$2:$S$1501))))-'Opening Balance'!$B$15*SUMPRODUCT(($Z$2:Z1147="Online collection 网上收款")*($AA$2:AA1147&lt;&gt;"")*($AC$2:AC1147-TRUNC($AC$2:AC1147))),2))</f>
        <v/>
      </c>
    </row>
    <row r="1148">
      <c r="O1148" s="5" t="n"/>
      <c r="S1148" s="6" t="n"/>
      <c r="V1148" s="5" t="n"/>
      <c r="X1148" s="5" t="n"/>
      <c r="AC1148" s="6" t="n"/>
      <c r="AD1148" s="6" t="n"/>
      <c r="AE1148" s="7">
        <f>IF(X1148="","",ROUND('Opening Balance'!$B$4+SUM($AC$2:AC1148)-SUM($AD$2:AD1148)+SUMPRODUCT(($Q$2:$Q$1501="Collection 收款")*($R$2:$R$1501="Cheque 支票")*($V$2:$V$1501&lt;&gt;"")*($V$2:$V$1501&lt;=X1148)*($S$2:$S$1501-'Opening Balance'!$B$15*($R$2:$R$1501="Cheque 支票")*($S$2:$S$1501-TRUNC($S$2:$S$1501))))-'Opening Balance'!$B$15*SUMPRODUCT(($Z$2:Z1148="Online collection 网上收款")*($AA$2:AA1148&lt;&gt;"")*($AC$2:AC1148-TRUNC($AC$2:AC1148))),2))</f>
        <v/>
      </c>
    </row>
    <row r="1149">
      <c r="O1149" s="5" t="n"/>
      <c r="S1149" s="6" t="n"/>
      <c r="V1149" s="5" t="n"/>
      <c r="X1149" s="5" t="n"/>
      <c r="AC1149" s="6" t="n"/>
      <c r="AD1149" s="6" t="n"/>
      <c r="AE1149" s="7">
        <f>IF(X1149="","",ROUND('Opening Balance'!$B$4+SUM($AC$2:AC1149)-SUM($AD$2:AD1149)+SUMPRODUCT(($Q$2:$Q$1501="Collection 收款")*($R$2:$R$1501="Cheque 支票")*($V$2:$V$1501&lt;&gt;"")*($V$2:$V$1501&lt;=X1149)*($S$2:$S$1501-'Opening Balance'!$B$15*($R$2:$R$1501="Cheque 支票")*($S$2:$S$1501-TRUNC($S$2:$S$1501))))-'Opening Balance'!$B$15*SUMPRODUCT(($Z$2:Z1149="Online collection 网上收款")*($AA$2:AA1149&lt;&gt;"")*($AC$2:AC1149-TRUNC($AC$2:AC1149))),2))</f>
        <v/>
      </c>
    </row>
    <row r="1150">
      <c r="O1150" s="5" t="n"/>
      <c r="S1150" s="6" t="n"/>
      <c r="V1150" s="5" t="n"/>
      <c r="X1150" s="5" t="n"/>
      <c r="AC1150" s="6" t="n"/>
      <c r="AD1150" s="6" t="n"/>
      <c r="AE1150" s="7">
        <f>IF(X1150="","",ROUND('Opening Balance'!$B$4+SUM($AC$2:AC1150)-SUM($AD$2:AD1150)+SUMPRODUCT(($Q$2:$Q$1501="Collection 收款")*($R$2:$R$1501="Cheque 支票")*($V$2:$V$1501&lt;&gt;"")*($V$2:$V$1501&lt;=X1150)*($S$2:$S$1501-'Opening Balance'!$B$15*($R$2:$R$1501="Cheque 支票")*($S$2:$S$1501-TRUNC($S$2:$S$1501))))-'Opening Balance'!$B$15*SUMPRODUCT(($Z$2:Z1150="Online collection 网上收款")*($AA$2:AA1150&lt;&gt;"")*($AC$2:AC1150-TRUNC($AC$2:AC1150))),2))</f>
        <v/>
      </c>
    </row>
    <row r="1151">
      <c r="O1151" s="5" t="n"/>
      <c r="S1151" s="6" t="n"/>
      <c r="V1151" s="5" t="n"/>
      <c r="X1151" s="5" t="n"/>
      <c r="AC1151" s="6" t="n"/>
      <c r="AD1151" s="6" t="n"/>
      <c r="AE1151" s="7">
        <f>IF(X1151="","",ROUND('Opening Balance'!$B$4+SUM($AC$2:AC1151)-SUM($AD$2:AD1151)+SUMPRODUCT(($Q$2:$Q$1501="Collection 收款")*($R$2:$R$1501="Cheque 支票")*($V$2:$V$1501&lt;&gt;"")*($V$2:$V$1501&lt;=X1151)*($S$2:$S$1501-'Opening Balance'!$B$15*($R$2:$R$1501="Cheque 支票")*($S$2:$S$1501-TRUNC($S$2:$S$1501))))-'Opening Balance'!$B$15*SUMPRODUCT(($Z$2:Z1151="Online collection 网上收款")*($AA$2:AA1151&lt;&gt;"")*($AC$2:AC1151-TRUNC($AC$2:AC1151))),2))</f>
        <v/>
      </c>
    </row>
    <row r="1152">
      <c r="O1152" s="5" t="n"/>
      <c r="S1152" s="6" t="n"/>
      <c r="V1152" s="5" t="n"/>
      <c r="X1152" s="5" t="n"/>
      <c r="AC1152" s="6" t="n"/>
      <c r="AD1152" s="6" t="n"/>
      <c r="AE1152" s="7">
        <f>IF(X1152="","",ROUND('Opening Balance'!$B$4+SUM($AC$2:AC1152)-SUM($AD$2:AD1152)+SUMPRODUCT(($Q$2:$Q$1501="Collection 收款")*($R$2:$R$1501="Cheque 支票")*($V$2:$V$1501&lt;&gt;"")*($V$2:$V$1501&lt;=X1152)*($S$2:$S$1501-'Opening Balance'!$B$15*($R$2:$R$1501="Cheque 支票")*($S$2:$S$1501-TRUNC($S$2:$S$1501))))-'Opening Balance'!$B$15*SUMPRODUCT(($Z$2:Z1152="Online collection 网上收款")*($AA$2:AA1152&lt;&gt;"")*($AC$2:AC1152-TRUNC($AC$2:AC1152))),2))</f>
        <v/>
      </c>
    </row>
    <row r="1153">
      <c r="O1153" s="5" t="n"/>
      <c r="S1153" s="6" t="n"/>
      <c r="V1153" s="5" t="n"/>
      <c r="X1153" s="5" t="n"/>
      <c r="AC1153" s="6" t="n"/>
      <c r="AD1153" s="6" t="n"/>
      <c r="AE1153" s="7">
        <f>IF(X1153="","",ROUND('Opening Balance'!$B$4+SUM($AC$2:AC1153)-SUM($AD$2:AD1153)+SUMPRODUCT(($Q$2:$Q$1501="Collection 收款")*($R$2:$R$1501="Cheque 支票")*($V$2:$V$1501&lt;&gt;"")*($V$2:$V$1501&lt;=X1153)*($S$2:$S$1501-'Opening Balance'!$B$15*($R$2:$R$1501="Cheque 支票")*($S$2:$S$1501-TRUNC($S$2:$S$1501))))-'Opening Balance'!$B$15*SUMPRODUCT(($Z$2:Z1153="Online collection 网上收款")*($AA$2:AA1153&lt;&gt;"")*($AC$2:AC1153-TRUNC($AC$2:AC1153))),2))</f>
        <v/>
      </c>
    </row>
    <row r="1154">
      <c r="O1154" s="5" t="n"/>
      <c r="S1154" s="6" t="n"/>
      <c r="V1154" s="5" t="n"/>
      <c r="X1154" s="5" t="n"/>
      <c r="AC1154" s="6" t="n"/>
      <c r="AD1154" s="6" t="n"/>
      <c r="AE1154" s="7">
        <f>IF(X1154="","",ROUND('Opening Balance'!$B$4+SUM($AC$2:AC1154)-SUM($AD$2:AD1154)+SUMPRODUCT(($Q$2:$Q$1501="Collection 收款")*($R$2:$R$1501="Cheque 支票")*($V$2:$V$1501&lt;&gt;"")*($V$2:$V$1501&lt;=X1154)*($S$2:$S$1501-'Opening Balance'!$B$15*($R$2:$R$1501="Cheque 支票")*($S$2:$S$1501-TRUNC($S$2:$S$1501))))-'Opening Balance'!$B$15*SUMPRODUCT(($Z$2:Z1154="Online collection 网上收款")*($AA$2:AA1154&lt;&gt;"")*($AC$2:AC1154-TRUNC($AC$2:AC1154))),2))</f>
        <v/>
      </c>
    </row>
    <row r="1155">
      <c r="O1155" s="5" t="n"/>
      <c r="S1155" s="6" t="n"/>
      <c r="V1155" s="5" t="n"/>
      <c r="X1155" s="5" t="n"/>
      <c r="AC1155" s="6" t="n"/>
      <c r="AD1155" s="6" t="n"/>
      <c r="AE1155" s="7">
        <f>IF(X1155="","",ROUND('Opening Balance'!$B$4+SUM($AC$2:AC1155)-SUM($AD$2:AD1155)+SUMPRODUCT(($Q$2:$Q$1501="Collection 收款")*($R$2:$R$1501="Cheque 支票")*($V$2:$V$1501&lt;&gt;"")*($V$2:$V$1501&lt;=X1155)*($S$2:$S$1501-'Opening Balance'!$B$15*($R$2:$R$1501="Cheque 支票")*($S$2:$S$1501-TRUNC($S$2:$S$1501))))-'Opening Balance'!$B$15*SUMPRODUCT(($Z$2:Z1155="Online collection 网上收款")*($AA$2:AA1155&lt;&gt;"")*($AC$2:AC1155-TRUNC($AC$2:AC1155))),2))</f>
        <v/>
      </c>
    </row>
    <row r="1156">
      <c r="O1156" s="5" t="n"/>
      <c r="S1156" s="6" t="n"/>
      <c r="V1156" s="5" t="n"/>
      <c r="X1156" s="5" t="n"/>
      <c r="AC1156" s="6" t="n"/>
      <c r="AD1156" s="6" t="n"/>
      <c r="AE1156" s="7">
        <f>IF(X1156="","",ROUND('Opening Balance'!$B$4+SUM($AC$2:AC1156)-SUM($AD$2:AD1156)+SUMPRODUCT(($Q$2:$Q$1501="Collection 收款")*($R$2:$R$1501="Cheque 支票")*($V$2:$V$1501&lt;&gt;"")*($V$2:$V$1501&lt;=X1156)*($S$2:$S$1501-'Opening Balance'!$B$15*($R$2:$R$1501="Cheque 支票")*($S$2:$S$1501-TRUNC($S$2:$S$1501))))-'Opening Balance'!$B$15*SUMPRODUCT(($Z$2:Z1156="Online collection 网上收款")*($AA$2:AA1156&lt;&gt;"")*($AC$2:AC1156-TRUNC($AC$2:AC1156))),2))</f>
        <v/>
      </c>
    </row>
    <row r="1157">
      <c r="O1157" s="5" t="n"/>
      <c r="S1157" s="6" t="n"/>
      <c r="V1157" s="5" t="n"/>
      <c r="X1157" s="5" t="n"/>
      <c r="AC1157" s="6" t="n"/>
      <c r="AD1157" s="6" t="n"/>
      <c r="AE1157" s="7">
        <f>IF(X1157="","",ROUND('Opening Balance'!$B$4+SUM($AC$2:AC1157)-SUM($AD$2:AD1157)+SUMPRODUCT(($Q$2:$Q$1501="Collection 收款")*($R$2:$R$1501="Cheque 支票")*($V$2:$V$1501&lt;&gt;"")*($V$2:$V$1501&lt;=X1157)*($S$2:$S$1501-'Opening Balance'!$B$15*($R$2:$R$1501="Cheque 支票")*($S$2:$S$1501-TRUNC($S$2:$S$1501))))-'Opening Balance'!$B$15*SUMPRODUCT(($Z$2:Z1157="Online collection 网上收款")*($AA$2:AA1157&lt;&gt;"")*($AC$2:AC1157-TRUNC($AC$2:AC1157))),2))</f>
        <v/>
      </c>
    </row>
    <row r="1158">
      <c r="O1158" s="5" t="n"/>
      <c r="S1158" s="6" t="n"/>
      <c r="V1158" s="5" t="n"/>
      <c r="X1158" s="5" t="n"/>
      <c r="AC1158" s="6" t="n"/>
      <c r="AD1158" s="6" t="n"/>
      <c r="AE1158" s="7">
        <f>IF(X1158="","",ROUND('Opening Balance'!$B$4+SUM($AC$2:AC1158)-SUM($AD$2:AD1158)+SUMPRODUCT(($Q$2:$Q$1501="Collection 收款")*($R$2:$R$1501="Cheque 支票")*($V$2:$V$1501&lt;&gt;"")*($V$2:$V$1501&lt;=X1158)*($S$2:$S$1501-'Opening Balance'!$B$15*($R$2:$R$1501="Cheque 支票")*($S$2:$S$1501-TRUNC($S$2:$S$1501))))-'Opening Balance'!$B$15*SUMPRODUCT(($Z$2:Z1158="Online collection 网上收款")*($AA$2:AA1158&lt;&gt;"")*($AC$2:AC1158-TRUNC($AC$2:AC1158))),2))</f>
        <v/>
      </c>
    </row>
    <row r="1159">
      <c r="O1159" s="5" t="n"/>
      <c r="S1159" s="6" t="n"/>
      <c r="V1159" s="5" t="n"/>
      <c r="X1159" s="5" t="n"/>
      <c r="AC1159" s="6" t="n"/>
      <c r="AD1159" s="6" t="n"/>
      <c r="AE1159" s="7">
        <f>IF(X1159="","",ROUND('Opening Balance'!$B$4+SUM($AC$2:AC1159)-SUM($AD$2:AD1159)+SUMPRODUCT(($Q$2:$Q$1501="Collection 收款")*($R$2:$R$1501="Cheque 支票")*($V$2:$V$1501&lt;&gt;"")*($V$2:$V$1501&lt;=X1159)*($S$2:$S$1501-'Opening Balance'!$B$15*($R$2:$R$1501="Cheque 支票")*($S$2:$S$1501-TRUNC($S$2:$S$1501))))-'Opening Balance'!$B$15*SUMPRODUCT(($Z$2:Z1159="Online collection 网上收款")*($AA$2:AA1159&lt;&gt;"")*($AC$2:AC1159-TRUNC($AC$2:AC1159))),2))</f>
        <v/>
      </c>
    </row>
    <row r="1160">
      <c r="O1160" s="5" t="n"/>
      <c r="S1160" s="6" t="n"/>
      <c r="V1160" s="5" t="n"/>
      <c r="X1160" s="5" t="n"/>
      <c r="AC1160" s="6" t="n"/>
      <c r="AD1160" s="6" t="n"/>
      <c r="AE1160" s="7">
        <f>IF(X1160="","",ROUND('Opening Balance'!$B$4+SUM($AC$2:AC1160)-SUM($AD$2:AD1160)+SUMPRODUCT(($Q$2:$Q$1501="Collection 收款")*($R$2:$R$1501="Cheque 支票")*($V$2:$V$1501&lt;&gt;"")*($V$2:$V$1501&lt;=X1160)*($S$2:$S$1501-'Opening Balance'!$B$15*($R$2:$R$1501="Cheque 支票")*($S$2:$S$1501-TRUNC($S$2:$S$1501))))-'Opening Balance'!$B$15*SUMPRODUCT(($Z$2:Z1160="Online collection 网上收款")*($AA$2:AA1160&lt;&gt;"")*($AC$2:AC1160-TRUNC($AC$2:AC1160))),2))</f>
        <v/>
      </c>
    </row>
    <row r="1161">
      <c r="O1161" s="5" t="n"/>
      <c r="S1161" s="6" t="n"/>
      <c r="V1161" s="5" t="n"/>
      <c r="X1161" s="5" t="n"/>
      <c r="AC1161" s="6" t="n"/>
      <c r="AD1161" s="6" t="n"/>
      <c r="AE1161" s="7">
        <f>IF(X1161="","",ROUND('Opening Balance'!$B$4+SUM($AC$2:AC1161)-SUM($AD$2:AD1161)+SUMPRODUCT(($Q$2:$Q$1501="Collection 收款")*($R$2:$R$1501="Cheque 支票")*($V$2:$V$1501&lt;&gt;"")*($V$2:$V$1501&lt;=X1161)*($S$2:$S$1501-'Opening Balance'!$B$15*($R$2:$R$1501="Cheque 支票")*($S$2:$S$1501-TRUNC($S$2:$S$1501))))-'Opening Balance'!$B$15*SUMPRODUCT(($Z$2:Z1161="Online collection 网上收款")*($AA$2:AA1161&lt;&gt;"")*($AC$2:AC1161-TRUNC($AC$2:AC1161))),2))</f>
        <v/>
      </c>
    </row>
    <row r="1162">
      <c r="O1162" s="5" t="n"/>
      <c r="S1162" s="6" t="n"/>
      <c r="V1162" s="5" t="n"/>
      <c r="X1162" s="5" t="n"/>
      <c r="AC1162" s="6" t="n"/>
      <c r="AD1162" s="6" t="n"/>
      <c r="AE1162" s="7">
        <f>IF(X1162="","",ROUND('Opening Balance'!$B$4+SUM($AC$2:AC1162)-SUM($AD$2:AD1162)+SUMPRODUCT(($Q$2:$Q$1501="Collection 收款")*($R$2:$R$1501="Cheque 支票")*($V$2:$V$1501&lt;&gt;"")*($V$2:$V$1501&lt;=X1162)*($S$2:$S$1501-'Opening Balance'!$B$15*($R$2:$R$1501="Cheque 支票")*($S$2:$S$1501-TRUNC($S$2:$S$1501))))-'Opening Balance'!$B$15*SUMPRODUCT(($Z$2:Z1162="Online collection 网上收款")*($AA$2:AA1162&lt;&gt;"")*($AC$2:AC1162-TRUNC($AC$2:AC1162))),2))</f>
        <v/>
      </c>
    </row>
    <row r="1163">
      <c r="O1163" s="5" t="n"/>
      <c r="S1163" s="6" t="n"/>
      <c r="V1163" s="5" t="n"/>
      <c r="X1163" s="5" t="n"/>
      <c r="AC1163" s="6" t="n"/>
      <c r="AD1163" s="6" t="n"/>
      <c r="AE1163" s="7">
        <f>IF(X1163="","",ROUND('Opening Balance'!$B$4+SUM($AC$2:AC1163)-SUM($AD$2:AD1163)+SUMPRODUCT(($Q$2:$Q$1501="Collection 收款")*($R$2:$R$1501="Cheque 支票")*($V$2:$V$1501&lt;&gt;"")*($V$2:$V$1501&lt;=X1163)*($S$2:$S$1501-'Opening Balance'!$B$15*($R$2:$R$1501="Cheque 支票")*($S$2:$S$1501-TRUNC($S$2:$S$1501))))-'Opening Balance'!$B$15*SUMPRODUCT(($Z$2:Z1163="Online collection 网上收款")*($AA$2:AA1163&lt;&gt;"")*($AC$2:AC1163-TRUNC($AC$2:AC1163))),2))</f>
        <v/>
      </c>
    </row>
    <row r="1164">
      <c r="O1164" s="5" t="n"/>
      <c r="S1164" s="6" t="n"/>
      <c r="V1164" s="5" t="n"/>
      <c r="X1164" s="5" t="n"/>
      <c r="AC1164" s="6" t="n"/>
      <c r="AD1164" s="6" t="n"/>
      <c r="AE1164" s="7">
        <f>IF(X1164="","",ROUND('Opening Balance'!$B$4+SUM($AC$2:AC1164)-SUM($AD$2:AD1164)+SUMPRODUCT(($Q$2:$Q$1501="Collection 收款")*($R$2:$R$1501="Cheque 支票")*($V$2:$V$1501&lt;&gt;"")*($V$2:$V$1501&lt;=X1164)*($S$2:$S$1501-'Opening Balance'!$B$15*($R$2:$R$1501="Cheque 支票")*($S$2:$S$1501-TRUNC($S$2:$S$1501))))-'Opening Balance'!$B$15*SUMPRODUCT(($Z$2:Z1164="Online collection 网上收款")*($AA$2:AA1164&lt;&gt;"")*($AC$2:AC1164-TRUNC($AC$2:AC1164))),2))</f>
        <v/>
      </c>
    </row>
    <row r="1165">
      <c r="O1165" s="5" t="n"/>
      <c r="S1165" s="6" t="n"/>
      <c r="V1165" s="5" t="n"/>
      <c r="X1165" s="5" t="n"/>
      <c r="AC1165" s="6" t="n"/>
      <c r="AD1165" s="6" t="n"/>
      <c r="AE1165" s="7">
        <f>IF(X1165="","",ROUND('Opening Balance'!$B$4+SUM($AC$2:AC1165)-SUM($AD$2:AD1165)+SUMPRODUCT(($Q$2:$Q$1501="Collection 收款")*($R$2:$R$1501="Cheque 支票")*($V$2:$V$1501&lt;&gt;"")*($V$2:$V$1501&lt;=X1165)*($S$2:$S$1501-'Opening Balance'!$B$15*($R$2:$R$1501="Cheque 支票")*($S$2:$S$1501-TRUNC($S$2:$S$1501))))-'Opening Balance'!$B$15*SUMPRODUCT(($Z$2:Z1165="Online collection 网上收款")*($AA$2:AA1165&lt;&gt;"")*($AC$2:AC1165-TRUNC($AC$2:AC1165))),2))</f>
        <v/>
      </c>
    </row>
    <row r="1166">
      <c r="O1166" s="5" t="n"/>
      <c r="S1166" s="6" t="n"/>
      <c r="V1166" s="5" t="n"/>
      <c r="X1166" s="5" t="n"/>
      <c r="AC1166" s="6" t="n"/>
      <c r="AD1166" s="6" t="n"/>
      <c r="AE1166" s="7">
        <f>IF(X1166="","",ROUND('Opening Balance'!$B$4+SUM($AC$2:AC1166)-SUM($AD$2:AD1166)+SUMPRODUCT(($Q$2:$Q$1501="Collection 收款")*($R$2:$R$1501="Cheque 支票")*($V$2:$V$1501&lt;&gt;"")*($V$2:$V$1501&lt;=X1166)*($S$2:$S$1501-'Opening Balance'!$B$15*($R$2:$R$1501="Cheque 支票")*($S$2:$S$1501-TRUNC($S$2:$S$1501))))-'Opening Balance'!$B$15*SUMPRODUCT(($Z$2:Z1166="Online collection 网上收款")*($AA$2:AA1166&lt;&gt;"")*($AC$2:AC1166-TRUNC($AC$2:AC1166))),2))</f>
        <v/>
      </c>
    </row>
    <row r="1167">
      <c r="O1167" s="5" t="n"/>
      <c r="S1167" s="6" t="n"/>
      <c r="V1167" s="5" t="n"/>
      <c r="X1167" s="5" t="n"/>
      <c r="AC1167" s="6" t="n"/>
      <c r="AD1167" s="6" t="n"/>
      <c r="AE1167" s="7">
        <f>IF(X1167="","",ROUND('Opening Balance'!$B$4+SUM($AC$2:AC1167)-SUM($AD$2:AD1167)+SUMPRODUCT(($Q$2:$Q$1501="Collection 收款")*($R$2:$R$1501="Cheque 支票")*($V$2:$V$1501&lt;&gt;"")*($V$2:$V$1501&lt;=X1167)*($S$2:$S$1501-'Opening Balance'!$B$15*($R$2:$R$1501="Cheque 支票")*($S$2:$S$1501-TRUNC($S$2:$S$1501))))-'Opening Balance'!$B$15*SUMPRODUCT(($Z$2:Z1167="Online collection 网上收款")*($AA$2:AA1167&lt;&gt;"")*($AC$2:AC1167-TRUNC($AC$2:AC1167))),2))</f>
        <v/>
      </c>
    </row>
    <row r="1168">
      <c r="O1168" s="5" t="n"/>
      <c r="S1168" s="6" t="n"/>
      <c r="V1168" s="5" t="n"/>
      <c r="X1168" s="5" t="n"/>
      <c r="AC1168" s="6" t="n"/>
      <c r="AD1168" s="6" t="n"/>
      <c r="AE1168" s="7">
        <f>IF(X1168="","",ROUND('Opening Balance'!$B$4+SUM($AC$2:AC1168)-SUM($AD$2:AD1168)+SUMPRODUCT(($Q$2:$Q$1501="Collection 收款")*($R$2:$R$1501="Cheque 支票")*($V$2:$V$1501&lt;&gt;"")*($V$2:$V$1501&lt;=X1168)*($S$2:$S$1501-'Opening Balance'!$B$15*($R$2:$R$1501="Cheque 支票")*($S$2:$S$1501-TRUNC($S$2:$S$1501))))-'Opening Balance'!$B$15*SUMPRODUCT(($Z$2:Z1168="Online collection 网上收款")*($AA$2:AA1168&lt;&gt;"")*($AC$2:AC1168-TRUNC($AC$2:AC1168))),2))</f>
        <v/>
      </c>
    </row>
    <row r="1169">
      <c r="O1169" s="5" t="n"/>
      <c r="S1169" s="6" t="n"/>
      <c r="V1169" s="5" t="n"/>
      <c r="X1169" s="5" t="n"/>
      <c r="AC1169" s="6" t="n"/>
      <c r="AD1169" s="6" t="n"/>
      <c r="AE1169" s="7">
        <f>IF(X1169="","",ROUND('Opening Balance'!$B$4+SUM($AC$2:AC1169)-SUM($AD$2:AD1169)+SUMPRODUCT(($Q$2:$Q$1501="Collection 收款")*($R$2:$R$1501="Cheque 支票")*($V$2:$V$1501&lt;&gt;"")*($V$2:$V$1501&lt;=X1169)*($S$2:$S$1501-'Opening Balance'!$B$15*($R$2:$R$1501="Cheque 支票")*($S$2:$S$1501-TRUNC($S$2:$S$1501))))-'Opening Balance'!$B$15*SUMPRODUCT(($Z$2:Z1169="Online collection 网上收款")*($AA$2:AA1169&lt;&gt;"")*($AC$2:AC1169-TRUNC($AC$2:AC1169))),2))</f>
        <v/>
      </c>
    </row>
    <row r="1170">
      <c r="O1170" s="5" t="n"/>
      <c r="S1170" s="6" t="n"/>
      <c r="V1170" s="5" t="n"/>
      <c r="X1170" s="5" t="n"/>
      <c r="AC1170" s="6" t="n"/>
      <c r="AD1170" s="6" t="n"/>
      <c r="AE1170" s="7">
        <f>IF(X1170="","",ROUND('Opening Balance'!$B$4+SUM($AC$2:AC1170)-SUM($AD$2:AD1170)+SUMPRODUCT(($Q$2:$Q$1501="Collection 收款")*($R$2:$R$1501="Cheque 支票")*($V$2:$V$1501&lt;&gt;"")*($V$2:$V$1501&lt;=X1170)*($S$2:$S$1501-'Opening Balance'!$B$15*($R$2:$R$1501="Cheque 支票")*($S$2:$S$1501-TRUNC($S$2:$S$1501))))-'Opening Balance'!$B$15*SUMPRODUCT(($Z$2:Z1170="Online collection 网上收款")*($AA$2:AA1170&lt;&gt;"")*($AC$2:AC1170-TRUNC($AC$2:AC1170))),2))</f>
        <v/>
      </c>
    </row>
    <row r="1171">
      <c r="O1171" s="5" t="n"/>
      <c r="S1171" s="6" t="n"/>
      <c r="V1171" s="5" t="n"/>
      <c r="X1171" s="5" t="n"/>
      <c r="AC1171" s="6" t="n"/>
      <c r="AD1171" s="6" t="n"/>
      <c r="AE1171" s="7">
        <f>IF(X1171="","",ROUND('Opening Balance'!$B$4+SUM($AC$2:AC1171)-SUM($AD$2:AD1171)+SUMPRODUCT(($Q$2:$Q$1501="Collection 收款")*($R$2:$R$1501="Cheque 支票")*($V$2:$V$1501&lt;&gt;"")*($V$2:$V$1501&lt;=X1171)*($S$2:$S$1501-'Opening Balance'!$B$15*($R$2:$R$1501="Cheque 支票")*($S$2:$S$1501-TRUNC($S$2:$S$1501))))-'Opening Balance'!$B$15*SUMPRODUCT(($Z$2:Z1171="Online collection 网上收款")*($AA$2:AA1171&lt;&gt;"")*($AC$2:AC1171-TRUNC($AC$2:AC1171))),2))</f>
        <v/>
      </c>
    </row>
    <row r="1172">
      <c r="O1172" s="5" t="n"/>
      <c r="S1172" s="6" t="n"/>
      <c r="V1172" s="5" t="n"/>
      <c r="X1172" s="5" t="n"/>
      <c r="AC1172" s="6" t="n"/>
      <c r="AD1172" s="6" t="n"/>
      <c r="AE1172" s="7">
        <f>IF(X1172="","",ROUND('Opening Balance'!$B$4+SUM($AC$2:AC1172)-SUM($AD$2:AD1172)+SUMPRODUCT(($Q$2:$Q$1501="Collection 收款")*($R$2:$R$1501="Cheque 支票")*($V$2:$V$1501&lt;&gt;"")*($V$2:$V$1501&lt;=X1172)*($S$2:$S$1501-'Opening Balance'!$B$15*($R$2:$R$1501="Cheque 支票")*($S$2:$S$1501-TRUNC($S$2:$S$1501))))-'Opening Balance'!$B$15*SUMPRODUCT(($Z$2:Z1172="Online collection 网上收款")*($AA$2:AA1172&lt;&gt;"")*($AC$2:AC1172-TRUNC($AC$2:AC1172))),2))</f>
        <v/>
      </c>
    </row>
    <row r="1173">
      <c r="O1173" s="5" t="n"/>
      <c r="S1173" s="6" t="n"/>
      <c r="V1173" s="5" t="n"/>
      <c r="X1173" s="5" t="n"/>
      <c r="AC1173" s="6" t="n"/>
      <c r="AD1173" s="6" t="n"/>
      <c r="AE1173" s="7">
        <f>IF(X1173="","",ROUND('Opening Balance'!$B$4+SUM($AC$2:AC1173)-SUM($AD$2:AD1173)+SUMPRODUCT(($Q$2:$Q$1501="Collection 收款")*($R$2:$R$1501="Cheque 支票")*($V$2:$V$1501&lt;&gt;"")*($V$2:$V$1501&lt;=X1173)*($S$2:$S$1501-'Opening Balance'!$B$15*($R$2:$R$1501="Cheque 支票")*($S$2:$S$1501-TRUNC($S$2:$S$1501))))-'Opening Balance'!$B$15*SUMPRODUCT(($Z$2:Z1173="Online collection 网上收款")*($AA$2:AA1173&lt;&gt;"")*($AC$2:AC1173-TRUNC($AC$2:AC1173))),2))</f>
        <v/>
      </c>
    </row>
    <row r="1174">
      <c r="O1174" s="5" t="n"/>
      <c r="S1174" s="6" t="n"/>
      <c r="V1174" s="5" t="n"/>
      <c r="X1174" s="5" t="n"/>
      <c r="AC1174" s="6" t="n"/>
      <c r="AD1174" s="6" t="n"/>
      <c r="AE1174" s="7">
        <f>IF(X1174="","",ROUND('Opening Balance'!$B$4+SUM($AC$2:AC1174)-SUM($AD$2:AD1174)+SUMPRODUCT(($Q$2:$Q$1501="Collection 收款")*($R$2:$R$1501="Cheque 支票")*($V$2:$V$1501&lt;&gt;"")*($V$2:$V$1501&lt;=X1174)*($S$2:$S$1501-'Opening Balance'!$B$15*($R$2:$R$1501="Cheque 支票")*($S$2:$S$1501-TRUNC($S$2:$S$1501))))-'Opening Balance'!$B$15*SUMPRODUCT(($Z$2:Z1174="Online collection 网上收款")*($AA$2:AA1174&lt;&gt;"")*($AC$2:AC1174-TRUNC($AC$2:AC1174))),2))</f>
        <v/>
      </c>
    </row>
    <row r="1175">
      <c r="O1175" s="5" t="n"/>
      <c r="S1175" s="6" t="n"/>
      <c r="V1175" s="5" t="n"/>
      <c r="X1175" s="5" t="n"/>
      <c r="AC1175" s="6" t="n"/>
      <c r="AD1175" s="6" t="n"/>
      <c r="AE1175" s="7">
        <f>IF(X1175="","",ROUND('Opening Balance'!$B$4+SUM($AC$2:AC1175)-SUM($AD$2:AD1175)+SUMPRODUCT(($Q$2:$Q$1501="Collection 收款")*($R$2:$R$1501="Cheque 支票")*($V$2:$V$1501&lt;&gt;"")*($V$2:$V$1501&lt;=X1175)*($S$2:$S$1501-'Opening Balance'!$B$15*($R$2:$R$1501="Cheque 支票")*($S$2:$S$1501-TRUNC($S$2:$S$1501))))-'Opening Balance'!$B$15*SUMPRODUCT(($Z$2:Z1175="Online collection 网上收款")*($AA$2:AA1175&lt;&gt;"")*($AC$2:AC1175-TRUNC($AC$2:AC1175))),2))</f>
        <v/>
      </c>
    </row>
    <row r="1176">
      <c r="O1176" s="5" t="n"/>
      <c r="S1176" s="6" t="n"/>
      <c r="V1176" s="5" t="n"/>
      <c r="X1176" s="5" t="n"/>
      <c r="AC1176" s="6" t="n"/>
      <c r="AD1176" s="6" t="n"/>
      <c r="AE1176" s="7">
        <f>IF(X1176="","",ROUND('Opening Balance'!$B$4+SUM($AC$2:AC1176)-SUM($AD$2:AD1176)+SUMPRODUCT(($Q$2:$Q$1501="Collection 收款")*($R$2:$R$1501="Cheque 支票")*($V$2:$V$1501&lt;&gt;"")*($V$2:$V$1501&lt;=X1176)*($S$2:$S$1501-'Opening Balance'!$B$15*($R$2:$R$1501="Cheque 支票")*($S$2:$S$1501-TRUNC($S$2:$S$1501))))-'Opening Balance'!$B$15*SUMPRODUCT(($Z$2:Z1176="Online collection 网上收款")*($AA$2:AA1176&lt;&gt;"")*($AC$2:AC1176-TRUNC($AC$2:AC1176))),2))</f>
        <v/>
      </c>
    </row>
    <row r="1177">
      <c r="O1177" s="5" t="n"/>
      <c r="S1177" s="6" t="n"/>
      <c r="V1177" s="5" t="n"/>
      <c r="X1177" s="5" t="n"/>
      <c r="AC1177" s="6" t="n"/>
      <c r="AD1177" s="6" t="n"/>
      <c r="AE1177" s="7">
        <f>IF(X1177="","",ROUND('Opening Balance'!$B$4+SUM($AC$2:AC1177)-SUM($AD$2:AD1177)+SUMPRODUCT(($Q$2:$Q$1501="Collection 收款")*($R$2:$R$1501="Cheque 支票")*($V$2:$V$1501&lt;&gt;"")*($V$2:$V$1501&lt;=X1177)*($S$2:$S$1501-'Opening Balance'!$B$15*($R$2:$R$1501="Cheque 支票")*($S$2:$S$1501-TRUNC($S$2:$S$1501))))-'Opening Balance'!$B$15*SUMPRODUCT(($Z$2:Z1177="Online collection 网上收款")*($AA$2:AA1177&lt;&gt;"")*($AC$2:AC1177-TRUNC($AC$2:AC1177))),2))</f>
        <v/>
      </c>
    </row>
    <row r="1178">
      <c r="O1178" s="5" t="n"/>
      <c r="S1178" s="6" t="n"/>
      <c r="V1178" s="5" t="n"/>
      <c r="X1178" s="5" t="n"/>
      <c r="AC1178" s="6" t="n"/>
      <c r="AD1178" s="6" t="n"/>
      <c r="AE1178" s="7">
        <f>IF(X1178="","",ROUND('Opening Balance'!$B$4+SUM($AC$2:AC1178)-SUM($AD$2:AD1178)+SUMPRODUCT(($Q$2:$Q$1501="Collection 收款")*($R$2:$R$1501="Cheque 支票")*($V$2:$V$1501&lt;&gt;"")*($V$2:$V$1501&lt;=X1178)*($S$2:$S$1501-'Opening Balance'!$B$15*($R$2:$R$1501="Cheque 支票")*($S$2:$S$1501-TRUNC($S$2:$S$1501))))-'Opening Balance'!$B$15*SUMPRODUCT(($Z$2:Z1178="Online collection 网上收款")*($AA$2:AA1178&lt;&gt;"")*($AC$2:AC1178-TRUNC($AC$2:AC1178))),2))</f>
        <v/>
      </c>
    </row>
    <row r="1179">
      <c r="O1179" s="5" t="n"/>
      <c r="S1179" s="6" t="n"/>
      <c r="V1179" s="5" t="n"/>
      <c r="X1179" s="5" t="n"/>
      <c r="AC1179" s="6" t="n"/>
      <c r="AD1179" s="6" t="n"/>
      <c r="AE1179" s="7">
        <f>IF(X1179="","",ROUND('Opening Balance'!$B$4+SUM($AC$2:AC1179)-SUM($AD$2:AD1179)+SUMPRODUCT(($Q$2:$Q$1501="Collection 收款")*($R$2:$R$1501="Cheque 支票")*($V$2:$V$1501&lt;&gt;"")*($V$2:$V$1501&lt;=X1179)*($S$2:$S$1501-'Opening Balance'!$B$15*($R$2:$R$1501="Cheque 支票")*($S$2:$S$1501-TRUNC($S$2:$S$1501))))-'Opening Balance'!$B$15*SUMPRODUCT(($Z$2:Z1179="Online collection 网上收款")*($AA$2:AA1179&lt;&gt;"")*($AC$2:AC1179-TRUNC($AC$2:AC1179))),2))</f>
        <v/>
      </c>
    </row>
    <row r="1180">
      <c r="O1180" s="5" t="n"/>
      <c r="S1180" s="6" t="n"/>
      <c r="V1180" s="5" t="n"/>
      <c r="X1180" s="5" t="n"/>
      <c r="AC1180" s="6" t="n"/>
      <c r="AD1180" s="6" t="n"/>
      <c r="AE1180" s="7">
        <f>IF(X1180="","",ROUND('Opening Balance'!$B$4+SUM($AC$2:AC1180)-SUM($AD$2:AD1180)+SUMPRODUCT(($Q$2:$Q$1501="Collection 收款")*($R$2:$R$1501="Cheque 支票")*($V$2:$V$1501&lt;&gt;"")*($V$2:$V$1501&lt;=X1180)*($S$2:$S$1501-'Opening Balance'!$B$15*($R$2:$R$1501="Cheque 支票")*($S$2:$S$1501-TRUNC($S$2:$S$1501))))-'Opening Balance'!$B$15*SUMPRODUCT(($Z$2:Z1180="Online collection 网上收款")*($AA$2:AA1180&lt;&gt;"")*($AC$2:AC1180-TRUNC($AC$2:AC1180))),2))</f>
        <v/>
      </c>
    </row>
    <row r="1181">
      <c r="O1181" s="5" t="n"/>
      <c r="S1181" s="6" t="n"/>
      <c r="V1181" s="5" t="n"/>
      <c r="X1181" s="5" t="n"/>
      <c r="AC1181" s="6" t="n"/>
      <c r="AD1181" s="6" t="n"/>
      <c r="AE1181" s="7">
        <f>IF(X1181="","",ROUND('Opening Balance'!$B$4+SUM($AC$2:AC1181)-SUM($AD$2:AD1181)+SUMPRODUCT(($Q$2:$Q$1501="Collection 收款")*($R$2:$R$1501="Cheque 支票")*($V$2:$V$1501&lt;&gt;"")*($V$2:$V$1501&lt;=X1181)*($S$2:$S$1501-'Opening Balance'!$B$15*($R$2:$R$1501="Cheque 支票")*($S$2:$S$1501-TRUNC($S$2:$S$1501))))-'Opening Balance'!$B$15*SUMPRODUCT(($Z$2:Z1181="Online collection 网上收款")*($AA$2:AA1181&lt;&gt;"")*($AC$2:AC1181-TRUNC($AC$2:AC1181))),2))</f>
        <v/>
      </c>
    </row>
    <row r="1182">
      <c r="O1182" s="5" t="n"/>
      <c r="S1182" s="6" t="n"/>
      <c r="V1182" s="5" t="n"/>
      <c r="X1182" s="5" t="n"/>
      <c r="AC1182" s="6" t="n"/>
      <c r="AD1182" s="6" t="n"/>
      <c r="AE1182" s="7">
        <f>IF(X1182="","",ROUND('Opening Balance'!$B$4+SUM($AC$2:AC1182)-SUM($AD$2:AD1182)+SUMPRODUCT(($Q$2:$Q$1501="Collection 收款")*($R$2:$R$1501="Cheque 支票")*($V$2:$V$1501&lt;&gt;"")*($V$2:$V$1501&lt;=X1182)*($S$2:$S$1501-'Opening Balance'!$B$15*($R$2:$R$1501="Cheque 支票")*($S$2:$S$1501-TRUNC($S$2:$S$1501))))-'Opening Balance'!$B$15*SUMPRODUCT(($Z$2:Z1182="Online collection 网上收款")*($AA$2:AA1182&lt;&gt;"")*($AC$2:AC1182-TRUNC($AC$2:AC1182))),2))</f>
        <v/>
      </c>
    </row>
    <row r="1183">
      <c r="O1183" s="5" t="n"/>
      <c r="S1183" s="6" t="n"/>
      <c r="V1183" s="5" t="n"/>
      <c r="X1183" s="5" t="n"/>
      <c r="AC1183" s="6" t="n"/>
      <c r="AD1183" s="6" t="n"/>
      <c r="AE1183" s="7">
        <f>IF(X1183="","",ROUND('Opening Balance'!$B$4+SUM($AC$2:AC1183)-SUM($AD$2:AD1183)+SUMPRODUCT(($Q$2:$Q$1501="Collection 收款")*($R$2:$R$1501="Cheque 支票")*($V$2:$V$1501&lt;&gt;"")*($V$2:$V$1501&lt;=X1183)*($S$2:$S$1501-'Opening Balance'!$B$15*($R$2:$R$1501="Cheque 支票")*($S$2:$S$1501-TRUNC($S$2:$S$1501))))-'Opening Balance'!$B$15*SUMPRODUCT(($Z$2:Z1183="Online collection 网上收款")*($AA$2:AA1183&lt;&gt;"")*($AC$2:AC1183-TRUNC($AC$2:AC1183))),2))</f>
        <v/>
      </c>
    </row>
    <row r="1184">
      <c r="O1184" s="5" t="n"/>
      <c r="S1184" s="6" t="n"/>
      <c r="V1184" s="5" t="n"/>
      <c r="X1184" s="5" t="n"/>
      <c r="AC1184" s="6" t="n"/>
      <c r="AD1184" s="6" t="n"/>
      <c r="AE1184" s="7">
        <f>IF(X1184="","",ROUND('Opening Balance'!$B$4+SUM($AC$2:AC1184)-SUM($AD$2:AD1184)+SUMPRODUCT(($Q$2:$Q$1501="Collection 收款")*($R$2:$R$1501="Cheque 支票")*($V$2:$V$1501&lt;&gt;"")*($V$2:$V$1501&lt;=X1184)*($S$2:$S$1501-'Opening Balance'!$B$15*($R$2:$R$1501="Cheque 支票")*($S$2:$S$1501-TRUNC($S$2:$S$1501))))-'Opening Balance'!$B$15*SUMPRODUCT(($Z$2:Z1184="Online collection 网上收款")*($AA$2:AA1184&lt;&gt;"")*($AC$2:AC1184-TRUNC($AC$2:AC1184))),2))</f>
        <v/>
      </c>
    </row>
    <row r="1185">
      <c r="O1185" s="5" t="n"/>
      <c r="S1185" s="6" t="n"/>
      <c r="V1185" s="5" t="n"/>
      <c r="X1185" s="5" t="n"/>
      <c r="AC1185" s="6" t="n"/>
      <c r="AD1185" s="6" t="n"/>
      <c r="AE1185" s="7">
        <f>IF(X1185="","",ROUND('Opening Balance'!$B$4+SUM($AC$2:AC1185)-SUM($AD$2:AD1185)+SUMPRODUCT(($Q$2:$Q$1501="Collection 收款")*($R$2:$R$1501="Cheque 支票")*($V$2:$V$1501&lt;&gt;"")*($V$2:$V$1501&lt;=X1185)*($S$2:$S$1501-'Opening Balance'!$B$15*($R$2:$R$1501="Cheque 支票")*($S$2:$S$1501-TRUNC($S$2:$S$1501))))-'Opening Balance'!$B$15*SUMPRODUCT(($Z$2:Z1185="Online collection 网上收款")*($AA$2:AA1185&lt;&gt;"")*($AC$2:AC1185-TRUNC($AC$2:AC1185))),2))</f>
        <v/>
      </c>
    </row>
    <row r="1186">
      <c r="O1186" s="5" t="n"/>
      <c r="S1186" s="6" t="n"/>
      <c r="V1186" s="5" t="n"/>
      <c r="X1186" s="5" t="n"/>
      <c r="AC1186" s="6" t="n"/>
      <c r="AD1186" s="6" t="n"/>
      <c r="AE1186" s="7">
        <f>IF(X1186="","",ROUND('Opening Balance'!$B$4+SUM($AC$2:AC1186)-SUM($AD$2:AD1186)+SUMPRODUCT(($Q$2:$Q$1501="Collection 收款")*($R$2:$R$1501="Cheque 支票")*($V$2:$V$1501&lt;&gt;"")*($V$2:$V$1501&lt;=X1186)*($S$2:$S$1501-'Opening Balance'!$B$15*($R$2:$R$1501="Cheque 支票")*($S$2:$S$1501-TRUNC($S$2:$S$1501))))-'Opening Balance'!$B$15*SUMPRODUCT(($Z$2:Z1186="Online collection 网上收款")*($AA$2:AA1186&lt;&gt;"")*($AC$2:AC1186-TRUNC($AC$2:AC1186))),2))</f>
        <v/>
      </c>
    </row>
    <row r="1187">
      <c r="O1187" s="5" t="n"/>
      <c r="S1187" s="6" t="n"/>
      <c r="V1187" s="5" t="n"/>
      <c r="X1187" s="5" t="n"/>
      <c r="AC1187" s="6" t="n"/>
      <c r="AD1187" s="6" t="n"/>
      <c r="AE1187" s="7">
        <f>IF(X1187="","",ROUND('Opening Balance'!$B$4+SUM($AC$2:AC1187)-SUM($AD$2:AD1187)+SUMPRODUCT(($Q$2:$Q$1501="Collection 收款")*($R$2:$R$1501="Cheque 支票")*($V$2:$V$1501&lt;&gt;"")*($V$2:$V$1501&lt;=X1187)*($S$2:$S$1501-'Opening Balance'!$B$15*($R$2:$R$1501="Cheque 支票")*($S$2:$S$1501-TRUNC($S$2:$S$1501))))-'Opening Balance'!$B$15*SUMPRODUCT(($Z$2:Z1187="Online collection 网上收款")*($AA$2:AA1187&lt;&gt;"")*($AC$2:AC1187-TRUNC($AC$2:AC1187))),2))</f>
        <v/>
      </c>
    </row>
    <row r="1188">
      <c r="O1188" s="5" t="n"/>
      <c r="S1188" s="6" t="n"/>
      <c r="V1188" s="5" t="n"/>
      <c r="X1188" s="5" t="n"/>
      <c r="AC1188" s="6" t="n"/>
      <c r="AD1188" s="6" t="n"/>
      <c r="AE1188" s="7">
        <f>IF(X1188="","",ROUND('Opening Balance'!$B$4+SUM($AC$2:AC1188)-SUM($AD$2:AD1188)+SUMPRODUCT(($Q$2:$Q$1501="Collection 收款")*($R$2:$R$1501="Cheque 支票")*($V$2:$V$1501&lt;&gt;"")*($V$2:$V$1501&lt;=X1188)*($S$2:$S$1501-'Opening Balance'!$B$15*($R$2:$R$1501="Cheque 支票")*($S$2:$S$1501-TRUNC($S$2:$S$1501))))-'Opening Balance'!$B$15*SUMPRODUCT(($Z$2:Z1188="Online collection 网上收款")*($AA$2:AA1188&lt;&gt;"")*($AC$2:AC1188-TRUNC($AC$2:AC1188))),2))</f>
        <v/>
      </c>
    </row>
    <row r="1189">
      <c r="O1189" s="5" t="n"/>
      <c r="S1189" s="6" t="n"/>
      <c r="V1189" s="5" t="n"/>
      <c r="X1189" s="5" t="n"/>
      <c r="AC1189" s="6" t="n"/>
      <c r="AD1189" s="6" t="n"/>
      <c r="AE1189" s="7">
        <f>IF(X1189="","",ROUND('Opening Balance'!$B$4+SUM($AC$2:AC1189)-SUM($AD$2:AD1189)+SUMPRODUCT(($Q$2:$Q$1501="Collection 收款")*($R$2:$R$1501="Cheque 支票")*($V$2:$V$1501&lt;&gt;"")*($V$2:$V$1501&lt;=X1189)*($S$2:$S$1501-'Opening Balance'!$B$15*($R$2:$R$1501="Cheque 支票")*($S$2:$S$1501-TRUNC($S$2:$S$1501))))-'Opening Balance'!$B$15*SUMPRODUCT(($Z$2:Z1189="Online collection 网上收款")*($AA$2:AA1189&lt;&gt;"")*($AC$2:AC1189-TRUNC($AC$2:AC1189))),2))</f>
        <v/>
      </c>
    </row>
    <row r="1190">
      <c r="O1190" s="5" t="n"/>
      <c r="S1190" s="6" t="n"/>
      <c r="V1190" s="5" t="n"/>
      <c r="X1190" s="5" t="n"/>
      <c r="AC1190" s="6" t="n"/>
      <c r="AD1190" s="6" t="n"/>
      <c r="AE1190" s="7">
        <f>IF(X1190="","",ROUND('Opening Balance'!$B$4+SUM($AC$2:AC1190)-SUM($AD$2:AD1190)+SUMPRODUCT(($Q$2:$Q$1501="Collection 收款")*($R$2:$R$1501="Cheque 支票")*($V$2:$V$1501&lt;&gt;"")*($V$2:$V$1501&lt;=X1190)*($S$2:$S$1501-'Opening Balance'!$B$15*($R$2:$R$1501="Cheque 支票")*($S$2:$S$1501-TRUNC($S$2:$S$1501))))-'Opening Balance'!$B$15*SUMPRODUCT(($Z$2:Z1190="Online collection 网上收款")*($AA$2:AA1190&lt;&gt;"")*($AC$2:AC1190-TRUNC($AC$2:AC1190))),2))</f>
        <v/>
      </c>
    </row>
    <row r="1191">
      <c r="O1191" s="5" t="n"/>
      <c r="S1191" s="6" t="n"/>
      <c r="V1191" s="5" t="n"/>
      <c r="X1191" s="5" t="n"/>
      <c r="AC1191" s="6" t="n"/>
      <c r="AD1191" s="6" t="n"/>
      <c r="AE1191" s="7">
        <f>IF(X1191="","",ROUND('Opening Balance'!$B$4+SUM($AC$2:AC1191)-SUM($AD$2:AD1191)+SUMPRODUCT(($Q$2:$Q$1501="Collection 收款")*($R$2:$R$1501="Cheque 支票")*($V$2:$V$1501&lt;&gt;"")*($V$2:$V$1501&lt;=X1191)*($S$2:$S$1501-'Opening Balance'!$B$15*($R$2:$R$1501="Cheque 支票")*($S$2:$S$1501-TRUNC($S$2:$S$1501))))-'Opening Balance'!$B$15*SUMPRODUCT(($Z$2:Z1191="Online collection 网上收款")*($AA$2:AA1191&lt;&gt;"")*($AC$2:AC1191-TRUNC($AC$2:AC1191))),2))</f>
        <v/>
      </c>
    </row>
    <row r="1192">
      <c r="O1192" s="5" t="n"/>
      <c r="S1192" s="6" t="n"/>
      <c r="V1192" s="5" t="n"/>
      <c r="X1192" s="5" t="n"/>
      <c r="AC1192" s="6" t="n"/>
      <c r="AD1192" s="6" t="n"/>
      <c r="AE1192" s="7">
        <f>IF(X1192="","",ROUND('Opening Balance'!$B$4+SUM($AC$2:AC1192)-SUM($AD$2:AD1192)+SUMPRODUCT(($Q$2:$Q$1501="Collection 收款")*($R$2:$R$1501="Cheque 支票")*($V$2:$V$1501&lt;&gt;"")*($V$2:$V$1501&lt;=X1192)*($S$2:$S$1501-'Opening Balance'!$B$15*($R$2:$R$1501="Cheque 支票")*($S$2:$S$1501-TRUNC($S$2:$S$1501))))-'Opening Balance'!$B$15*SUMPRODUCT(($Z$2:Z1192="Online collection 网上收款")*($AA$2:AA1192&lt;&gt;"")*($AC$2:AC1192-TRUNC($AC$2:AC1192))),2))</f>
        <v/>
      </c>
    </row>
    <row r="1193">
      <c r="O1193" s="5" t="n"/>
      <c r="S1193" s="6" t="n"/>
      <c r="V1193" s="5" t="n"/>
      <c r="X1193" s="5" t="n"/>
      <c r="AC1193" s="6" t="n"/>
      <c r="AD1193" s="6" t="n"/>
      <c r="AE1193" s="7">
        <f>IF(X1193="","",ROUND('Opening Balance'!$B$4+SUM($AC$2:AC1193)-SUM($AD$2:AD1193)+SUMPRODUCT(($Q$2:$Q$1501="Collection 收款")*($R$2:$R$1501="Cheque 支票")*($V$2:$V$1501&lt;&gt;"")*($V$2:$V$1501&lt;=X1193)*($S$2:$S$1501-'Opening Balance'!$B$15*($R$2:$R$1501="Cheque 支票")*($S$2:$S$1501-TRUNC($S$2:$S$1501))))-'Opening Balance'!$B$15*SUMPRODUCT(($Z$2:Z1193="Online collection 网上收款")*($AA$2:AA1193&lt;&gt;"")*($AC$2:AC1193-TRUNC($AC$2:AC1193))),2))</f>
        <v/>
      </c>
    </row>
    <row r="1194">
      <c r="O1194" s="5" t="n"/>
      <c r="S1194" s="6" t="n"/>
      <c r="V1194" s="5" t="n"/>
      <c r="X1194" s="5" t="n"/>
      <c r="AC1194" s="6" t="n"/>
      <c r="AD1194" s="6" t="n"/>
      <c r="AE1194" s="7">
        <f>IF(X1194="","",ROUND('Opening Balance'!$B$4+SUM($AC$2:AC1194)-SUM($AD$2:AD1194)+SUMPRODUCT(($Q$2:$Q$1501="Collection 收款")*($R$2:$R$1501="Cheque 支票")*($V$2:$V$1501&lt;&gt;"")*($V$2:$V$1501&lt;=X1194)*($S$2:$S$1501-'Opening Balance'!$B$15*($R$2:$R$1501="Cheque 支票")*($S$2:$S$1501-TRUNC($S$2:$S$1501))))-'Opening Balance'!$B$15*SUMPRODUCT(($Z$2:Z1194="Online collection 网上收款")*($AA$2:AA1194&lt;&gt;"")*($AC$2:AC1194-TRUNC($AC$2:AC1194))),2))</f>
        <v/>
      </c>
    </row>
    <row r="1195">
      <c r="O1195" s="5" t="n"/>
      <c r="S1195" s="6" t="n"/>
      <c r="V1195" s="5" t="n"/>
      <c r="X1195" s="5" t="n"/>
      <c r="AC1195" s="6" t="n"/>
      <c r="AD1195" s="6" t="n"/>
      <c r="AE1195" s="7">
        <f>IF(X1195="","",ROUND('Opening Balance'!$B$4+SUM($AC$2:AC1195)-SUM($AD$2:AD1195)+SUMPRODUCT(($Q$2:$Q$1501="Collection 收款")*($R$2:$R$1501="Cheque 支票")*($V$2:$V$1501&lt;&gt;"")*($V$2:$V$1501&lt;=X1195)*($S$2:$S$1501-'Opening Balance'!$B$15*($R$2:$R$1501="Cheque 支票")*($S$2:$S$1501-TRUNC($S$2:$S$1501))))-'Opening Balance'!$B$15*SUMPRODUCT(($Z$2:Z1195="Online collection 网上收款")*($AA$2:AA1195&lt;&gt;"")*($AC$2:AC1195-TRUNC($AC$2:AC1195))),2))</f>
        <v/>
      </c>
    </row>
    <row r="1196">
      <c r="O1196" s="5" t="n"/>
      <c r="S1196" s="6" t="n"/>
      <c r="V1196" s="5" t="n"/>
      <c r="X1196" s="5" t="n"/>
      <c r="AC1196" s="6" t="n"/>
      <c r="AD1196" s="6" t="n"/>
      <c r="AE1196" s="7">
        <f>IF(X1196="","",ROUND('Opening Balance'!$B$4+SUM($AC$2:AC1196)-SUM($AD$2:AD1196)+SUMPRODUCT(($Q$2:$Q$1501="Collection 收款")*($R$2:$R$1501="Cheque 支票")*($V$2:$V$1501&lt;&gt;"")*($V$2:$V$1501&lt;=X1196)*($S$2:$S$1501-'Opening Balance'!$B$15*($R$2:$R$1501="Cheque 支票")*($S$2:$S$1501-TRUNC($S$2:$S$1501))))-'Opening Balance'!$B$15*SUMPRODUCT(($Z$2:Z1196="Online collection 网上收款")*($AA$2:AA1196&lt;&gt;"")*($AC$2:AC1196-TRUNC($AC$2:AC1196))),2))</f>
        <v/>
      </c>
    </row>
    <row r="1197">
      <c r="O1197" s="5" t="n"/>
      <c r="S1197" s="6" t="n"/>
      <c r="V1197" s="5" t="n"/>
      <c r="X1197" s="5" t="n"/>
      <c r="AC1197" s="6" t="n"/>
      <c r="AD1197" s="6" t="n"/>
      <c r="AE1197" s="7">
        <f>IF(X1197="","",ROUND('Opening Balance'!$B$4+SUM($AC$2:AC1197)-SUM($AD$2:AD1197)+SUMPRODUCT(($Q$2:$Q$1501="Collection 收款")*($R$2:$R$1501="Cheque 支票")*($V$2:$V$1501&lt;&gt;"")*($V$2:$V$1501&lt;=X1197)*($S$2:$S$1501-'Opening Balance'!$B$15*($R$2:$R$1501="Cheque 支票")*($S$2:$S$1501-TRUNC($S$2:$S$1501))))-'Opening Balance'!$B$15*SUMPRODUCT(($Z$2:Z1197="Online collection 网上收款")*($AA$2:AA1197&lt;&gt;"")*($AC$2:AC1197-TRUNC($AC$2:AC1197))),2))</f>
        <v/>
      </c>
    </row>
    <row r="1198">
      <c r="O1198" s="5" t="n"/>
      <c r="S1198" s="6" t="n"/>
      <c r="V1198" s="5" t="n"/>
      <c r="X1198" s="5" t="n"/>
      <c r="AC1198" s="6" t="n"/>
      <c r="AD1198" s="6" t="n"/>
      <c r="AE1198" s="7">
        <f>IF(X1198="","",ROUND('Opening Balance'!$B$4+SUM($AC$2:AC1198)-SUM($AD$2:AD1198)+SUMPRODUCT(($Q$2:$Q$1501="Collection 收款")*($R$2:$R$1501="Cheque 支票")*($V$2:$V$1501&lt;&gt;"")*($V$2:$V$1501&lt;=X1198)*($S$2:$S$1501-'Opening Balance'!$B$15*($R$2:$R$1501="Cheque 支票")*($S$2:$S$1501-TRUNC($S$2:$S$1501))))-'Opening Balance'!$B$15*SUMPRODUCT(($Z$2:Z1198="Online collection 网上收款")*($AA$2:AA1198&lt;&gt;"")*($AC$2:AC1198-TRUNC($AC$2:AC1198))),2))</f>
        <v/>
      </c>
    </row>
    <row r="1199">
      <c r="O1199" s="5" t="n"/>
      <c r="S1199" s="6" t="n"/>
      <c r="V1199" s="5" t="n"/>
      <c r="X1199" s="5" t="n"/>
      <c r="AC1199" s="6" t="n"/>
      <c r="AD1199" s="6" t="n"/>
      <c r="AE1199" s="7">
        <f>IF(X1199="","",ROUND('Opening Balance'!$B$4+SUM($AC$2:AC1199)-SUM($AD$2:AD1199)+SUMPRODUCT(($Q$2:$Q$1501="Collection 收款")*($R$2:$R$1501="Cheque 支票")*($V$2:$V$1501&lt;&gt;"")*($V$2:$V$1501&lt;=X1199)*($S$2:$S$1501-'Opening Balance'!$B$15*($R$2:$R$1501="Cheque 支票")*($S$2:$S$1501-TRUNC($S$2:$S$1501))))-'Opening Balance'!$B$15*SUMPRODUCT(($Z$2:Z1199="Online collection 网上收款")*($AA$2:AA1199&lt;&gt;"")*($AC$2:AC1199-TRUNC($AC$2:AC1199))),2))</f>
        <v/>
      </c>
    </row>
    <row r="1200">
      <c r="O1200" s="5" t="n"/>
      <c r="S1200" s="6" t="n"/>
      <c r="V1200" s="5" t="n"/>
      <c r="X1200" s="5" t="n"/>
      <c r="AC1200" s="6" t="n"/>
      <c r="AD1200" s="6" t="n"/>
      <c r="AE1200" s="7">
        <f>IF(X1200="","",ROUND('Opening Balance'!$B$4+SUM($AC$2:AC1200)-SUM($AD$2:AD1200)+SUMPRODUCT(($Q$2:$Q$1501="Collection 收款")*($R$2:$R$1501="Cheque 支票")*($V$2:$V$1501&lt;&gt;"")*($V$2:$V$1501&lt;=X1200)*($S$2:$S$1501-'Opening Balance'!$B$15*($R$2:$R$1501="Cheque 支票")*($S$2:$S$1501-TRUNC($S$2:$S$1501))))-'Opening Balance'!$B$15*SUMPRODUCT(($Z$2:Z1200="Online collection 网上收款")*($AA$2:AA1200&lt;&gt;"")*($AC$2:AC1200-TRUNC($AC$2:AC1200))),2))</f>
        <v/>
      </c>
    </row>
    <row r="1201">
      <c r="O1201" s="5" t="n"/>
      <c r="S1201" s="6" t="n"/>
      <c r="V1201" s="5" t="n"/>
      <c r="X1201" s="5" t="n"/>
      <c r="AC1201" s="6" t="n"/>
      <c r="AD1201" s="6" t="n"/>
      <c r="AE1201" s="7">
        <f>IF(X1201="","",ROUND('Opening Balance'!$B$4+SUM($AC$2:AC1201)-SUM($AD$2:AD1201)+SUMPRODUCT(($Q$2:$Q$1501="Collection 收款")*($R$2:$R$1501="Cheque 支票")*($V$2:$V$1501&lt;&gt;"")*($V$2:$V$1501&lt;=X1201)*($S$2:$S$1501-'Opening Balance'!$B$15*($R$2:$R$1501="Cheque 支票")*($S$2:$S$1501-TRUNC($S$2:$S$1501))))-'Opening Balance'!$B$15*SUMPRODUCT(($Z$2:Z1201="Online collection 网上收款")*($AA$2:AA1201&lt;&gt;"")*($AC$2:AC1201-TRUNC($AC$2:AC1201))),2))</f>
        <v/>
      </c>
    </row>
    <row r="1202">
      <c r="O1202" s="5" t="n"/>
      <c r="S1202" s="6" t="n"/>
      <c r="V1202" s="5" t="n"/>
      <c r="X1202" s="5" t="n"/>
      <c r="AC1202" s="6" t="n"/>
      <c r="AD1202" s="6" t="n"/>
      <c r="AE1202" s="7">
        <f>IF(X1202="","",ROUND('Opening Balance'!$B$4+SUM($AC$2:AC1202)-SUM($AD$2:AD1202)+SUMPRODUCT(($Q$2:$Q$1501="Collection 收款")*($R$2:$R$1501="Cheque 支票")*($V$2:$V$1501&lt;&gt;"")*($V$2:$V$1501&lt;=X1202)*($S$2:$S$1501-'Opening Balance'!$B$15*($R$2:$R$1501="Cheque 支票")*($S$2:$S$1501-TRUNC($S$2:$S$1501))))-'Opening Balance'!$B$15*SUMPRODUCT(($Z$2:Z1202="Online collection 网上收款")*($AA$2:AA1202&lt;&gt;"")*($AC$2:AC1202-TRUNC($AC$2:AC1202))),2))</f>
        <v/>
      </c>
    </row>
    <row r="1203">
      <c r="O1203" s="5" t="n"/>
      <c r="S1203" s="6" t="n"/>
      <c r="V1203" s="5" t="n"/>
      <c r="X1203" s="5" t="n"/>
      <c r="AC1203" s="6" t="n"/>
      <c r="AD1203" s="6" t="n"/>
      <c r="AE1203" s="7">
        <f>IF(X1203="","",ROUND('Opening Balance'!$B$4+SUM($AC$2:AC1203)-SUM($AD$2:AD1203)+SUMPRODUCT(($Q$2:$Q$1501="Collection 收款")*($R$2:$R$1501="Cheque 支票")*($V$2:$V$1501&lt;&gt;"")*($V$2:$V$1501&lt;=X1203)*($S$2:$S$1501-'Opening Balance'!$B$15*($R$2:$R$1501="Cheque 支票")*($S$2:$S$1501-TRUNC($S$2:$S$1501))))-'Opening Balance'!$B$15*SUMPRODUCT(($Z$2:Z1203="Online collection 网上收款")*($AA$2:AA1203&lt;&gt;"")*($AC$2:AC1203-TRUNC($AC$2:AC1203))),2))</f>
        <v/>
      </c>
    </row>
    <row r="1204">
      <c r="O1204" s="5" t="n"/>
      <c r="S1204" s="6" t="n"/>
      <c r="V1204" s="5" t="n"/>
      <c r="X1204" s="5" t="n"/>
      <c r="AC1204" s="6" t="n"/>
      <c r="AD1204" s="6" t="n"/>
      <c r="AE1204" s="7">
        <f>IF(X1204="","",ROUND('Opening Balance'!$B$4+SUM($AC$2:AC1204)-SUM($AD$2:AD1204)+SUMPRODUCT(($Q$2:$Q$1501="Collection 收款")*($R$2:$R$1501="Cheque 支票")*($V$2:$V$1501&lt;&gt;"")*($V$2:$V$1501&lt;=X1204)*($S$2:$S$1501-'Opening Balance'!$B$15*($R$2:$R$1501="Cheque 支票")*($S$2:$S$1501-TRUNC($S$2:$S$1501))))-'Opening Balance'!$B$15*SUMPRODUCT(($Z$2:Z1204="Online collection 网上收款")*($AA$2:AA1204&lt;&gt;"")*($AC$2:AC1204-TRUNC($AC$2:AC1204))),2))</f>
        <v/>
      </c>
    </row>
    <row r="1205">
      <c r="O1205" s="5" t="n"/>
      <c r="S1205" s="6" t="n"/>
      <c r="V1205" s="5" t="n"/>
      <c r="X1205" s="5" t="n"/>
      <c r="AC1205" s="6" t="n"/>
      <c r="AD1205" s="6" t="n"/>
      <c r="AE1205" s="7">
        <f>IF(X1205="","",ROUND('Opening Balance'!$B$4+SUM($AC$2:AC1205)-SUM($AD$2:AD1205)+SUMPRODUCT(($Q$2:$Q$1501="Collection 收款")*($R$2:$R$1501="Cheque 支票")*($V$2:$V$1501&lt;&gt;"")*($V$2:$V$1501&lt;=X1205)*($S$2:$S$1501-'Opening Balance'!$B$15*($R$2:$R$1501="Cheque 支票")*($S$2:$S$1501-TRUNC($S$2:$S$1501))))-'Opening Balance'!$B$15*SUMPRODUCT(($Z$2:Z1205="Online collection 网上收款")*($AA$2:AA1205&lt;&gt;"")*($AC$2:AC1205-TRUNC($AC$2:AC1205))),2))</f>
        <v/>
      </c>
    </row>
    <row r="1206">
      <c r="O1206" s="5" t="n"/>
      <c r="S1206" s="6" t="n"/>
      <c r="V1206" s="5" t="n"/>
      <c r="X1206" s="5" t="n"/>
      <c r="AC1206" s="6" t="n"/>
      <c r="AD1206" s="6" t="n"/>
      <c r="AE1206" s="7">
        <f>IF(X1206="","",ROUND('Opening Balance'!$B$4+SUM($AC$2:AC1206)-SUM($AD$2:AD1206)+SUMPRODUCT(($Q$2:$Q$1501="Collection 收款")*($R$2:$R$1501="Cheque 支票")*($V$2:$V$1501&lt;&gt;"")*($V$2:$V$1501&lt;=X1206)*($S$2:$S$1501-'Opening Balance'!$B$15*($R$2:$R$1501="Cheque 支票")*($S$2:$S$1501-TRUNC($S$2:$S$1501))))-'Opening Balance'!$B$15*SUMPRODUCT(($Z$2:Z1206="Online collection 网上收款")*($AA$2:AA1206&lt;&gt;"")*($AC$2:AC1206-TRUNC($AC$2:AC1206))),2))</f>
        <v/>
      </c>
    </row>
    <row r="1207">
      <c r="O1207" s="5" t="n"/>
      <c r="S1207" s="6" t="n"/>
      <c r="V1207" s="5" t="n"/>
      <c r="X1207" s="5" t="n"/>
      <c r="AC1207" s="6" t="n"/>
      <c r="AD1207" s="6" t="n"/>
      <c r="AE1207" s="7">
        <f>IF(X1207="","",ROUND('Opening Balance'!$B$4+SUM($AC$2:AC1207)-SUM($AD$2:AD1207)+SUMPRODUCT(($Q$2:$Q$1501="Collection 收款")*($R$2:$R$1501="Cheque 支票")*($V$2:$V$1501&lt;&gt;"")*($V$2:$V$1501&lt;=X1207)*($S$2:$S$1501-'Opening Balance'!$B$15*($R$2:$R$1501="Cheque 支票")*($S$2:$S$1501-TRUNC($S$2:$S$1501))))-'Opening Balance'!$B$15*SUMPRODUCT(($Z$2:Z1207="Online collection 网上收款")*($AA$2:AA1207&lt;&gt;"")*($AC$2:AC1207-TRUNC($AC$2:AC1207))),2))</f>
        <v/>
      </c>
    </row>
    <row r="1208">
      <c r="O1208" s="5" t="n"/>
      <c r="S1208" s="6" t="n"/>
      <c r="V1208" s="5" t="n"/>
      <c r="X1208" s="5" t="n"/>
      <c r="AC1208" s="6" t="n"/>
      <c r="AD1208" s="6" t="n"/>
      <c r="AE1208" s="7">
        <f>IF(X1208="","",ROUND('Opening Balance'!$B$4+SUM($AC$2:AC1208)-SUM($AD$2:AD1208)+SUMPRODUCT(($Q$2:$Q$1501="Collection 收款")*($R$2:$R$1501="Cheque 支票")*($V$2:$V$1501&lt;&gt;"")*($V$2:$V$1501&lt;=X1208)*($S$2:$S$1501-'Opening Balance'!$B$15*($R$2:$R$1501="Cheque 支票")*($S$2:$S$1501-TRUNC($S$2:$S$1501))))-'Opening Balance'!$B$15*SUMPRODUCT(($Z$2:Z1208="Online collection 网上收款")*($AA$2:AA1208&lt;&gt;"")*($AC$2:AC1208-TRUNC($AC$2:AC1208))),2))</f>
        <v/>
      </c>
    </row>
    <row r="1209">
      <c r="O1209" s="5" t="n"/>
      <c r="S1209" s="6" t="n"/>
      <c r="V1209" s="5" t="n"/>
      <c r="X1209" s="5" t="n"/>
      <c r="AC1209" s="6" t="n"/>
      <c r="AD1209" s="6" t="n"/>
      <c r="AE1209" s="7">
        <f>IF(X1209="","",ROUND('Opening Balance'!$B$4+SUM($AC$2:AC1209)-SUM($AD$2:AD1209)+SUMPRODUCT(($Q$2:$Q$1501="Collection 收款")*($R$2:$R$1501="Cheque 支票")*($V$2:$V$1501&lt;&gt;"")*($V$2:$V$1501&lt;=X1209)*($S$2:$S$1501-'Opening Balance'!$B$15*($R$2:$R$1501="Cheque 支票")*($S$2:$S$1501-TRUNC($S$2:$S$1501))))-'Opening Balance'!$B$15*SUMPRODUCT(($Z$2:Z1209="Online collection 网上收款")*($AA$2:AA1209&lt;&gt;"")*($AC$2:AC1209-TRUNC($AC$2:AC1209))),2))</f>
        <v/>
      </c>
    </row>
    <row r="1210">
      <c r="O1210" s="5" t="n"/>
      <c r="S1210" s="6" t="n"/>
      <c r="V1210" s="5" t="n"/>
      <c r="X1210" s="5" t="n"/>
      <c r="AC1210" s="6" t="n"/>
      <c r="AD1210" s="6" t="n"/>
      <c r="AE1210" s="7">
        <f>IF(X1210="","",ROUND('Opening Balance'!$B$4+SUM($AC$2:AC1210)-SUM($AD$2:AD1210)+SUMPRODUCT(($Q$2:$Q$1501="Collection 收款")*($R$2:$R$1501="Cheque 支票")*($V$2:$V$1501&lt;&gt;"")*($V$2:$V$1501&lt;=X1210)*($S$2:$S$1501-'Opening Balance'!$B$15*($R$2:$R$1501="Cheque 支票")*($S$2:$S$1501-TRUNC($S$2:$S$1501))))-'Opening Balance'!$B$15*SUMPRODUCT(($Z$2:Z1210="Online collection 网上收款")*($AA$2:AA1210&lt;&gt;"")*($AC$2:AC1210-TRUNC($AC$2:AC1210))),2))</f>
        <v/>
      </c>
    </row>
    <row r="1211">
      <c r="O1211" s="5" t="n"/>
      <c r="S1211" s="6" t="n"/>
      <c r="V1211" s="5" t="n"/>
      <c r="X1211" s="5" t="n"/>
      <c r="AC1211" s="6" t="n"/>
      <c r="AD1211" s="6" t="n"/>
      <c r="AE1211" s="7">
        <f>IF(X1211="","",ROUND('Opening Balance'!$B$4+SUM($AC$2:AC1211)-SUM($AD$2:AD1211)+SUMPRODUCT(($Q$2:$Q$1501="Collection 收款")*($R$2:$R$1501="Cheque 支票")*($V$2:$V$1501&lt;&gt;"")*($V$2:$V$1501&lt;=X1211)*($S$2:$S$1501-'Opening Balance'!$B$15*($R$2:$R$1501="Cheque 支票")*($S$2:$S$1501-TRUNC($S$2:$S$1501))))-'Opening Balance'!$B$15*SUMPRODUCT(($Z$2:Z1211="Online collection 网上收款")*($AA$2:AA1211&lt;&gt;"")*($AC$2:AC1211-TRUNC($AC$2:AC1211))),2))</f>
        <v/>
      </c>
    </row>
    <row r="1212">
      <c r="O1212" s="5" t="n"/>
      <c r="S1212" s="6" t="n"/>
      <c r="V1212" s="5" t="n"/>
      <c r="X1212" s="5" t="n"/>
      <c r="AC1212" s="6" t="n"/>
      <c r="AD1212" s="6" t="n"/>
      <c r="AE1212" s="7">
        <f>IF(X1212="","",ROUND('Opening Balance'!$B$4+SUM($AC$2:AC1212)-SUM($AD$2:AD1212)+SUMPRODUCT(($Q$2:$Q$1501="Collection 收款")*($R$2:$R$1501="Cheque 支票")*($V$2:$V$1501&lt;&gt;"")*($V$2:$V$1501&lt;=X1212)*($S$2:$S$1501-'Opening Balance'!$B$15*($R$2:$R$1501="Cheque 支票")*($S$2:$S$1501-TRUNC($S$2:$S$1501))))-'Opening Balance'!$B$15*SUMPRODUCT(($Z$2:Z1212="Online collection 网上收款")*($AA$2:AA1212&lt;&gt;"")*($AC$2:AC1212-TRUNC($AC$2:AC1212))),2))</f>
        <v/>
      </c>
    </row>
    <row r="1213">
      <c r="O1213" s="5" t="n"/>
      <c r="S1213" s="6" t="n"/>
      <c r="V1213" s="5" t="n"/>
      <c r="X1213" s="5" t="n"/>
      <c r="AC1213" s="6" t="n"/>
      <c r="AD1213" s="6" t="n"/>
      <c r="AE1213" s="7">
        <f>IF(X1213="","",ROUND('Opening Balance'!$B$4+SUM($AC$2:AC1213)-SUM($AD$2:AD1213)+SUMPRODUCT(($Q$2:$Q$1501="Collection 收款")*($R$2:$R$1501="Cheque 支票")*($V$2:$V$1501&lt;&gt;"")*($V$2:$V$1501&lt;=X1213)*($S$2:$S$1501-'Opening Balance'!$B$15*($R$2:$R$1501="Cheque 支票")*($S$2:$S$1501-TRUNC($S$2:$S$1501))))-'Opening Balance'!$B$15*SUMPRODUCT(($Z$2:Z1213="Online collection 网上收款")*($AA$2:AA1213&lt;&gt;"")*($AC$2:AC1213-TRUNC($AC$2:AC1213))),2))</f>
        <v/>
      </c>
    </row>
    <row r="1214">
      <c r="O1214" s="5" t="n"/>
      <c r="S1214" s="6" t="n"/>
      <c r="V1214" s="5" t="n"/>
      <c r="X1214" s="5" t="n"/>
      <c r="AC1214" s="6" t="n"/>
      <c r="AD1214" s="6" t="n"/>
      <c r="AE1214" s="7">
        <f>IF(X1214="","",ROUND('Opening Balance'!$B$4+SUM($AC$2:AC1214)-SUM($AD$2:AD1214)+SUMPRODUCT(($Q$2:$Q$1501="Collection 收款")*($R$2:$R$1501="Cheque 支票")*($V$2:$V$1501&lt;&gt;"")*($V$2:$V$1501&lt;=X1214)*($S$2:$S$1501-'Opening Balance'!$B$15*($R$2:$R$1501="Cheque 支票")*($S$2:$S$1501-TRUNC($S$2:$S$1501))))-'Opening Balance'!$B$15*SUMPRODUCT(($Z$2:Z1214="Online collection 网上收款")*($AA$2:AA1214&lt;&gt;"")*($AC$2:AC1214-TRUNC($AC$2:AC1214))),2))</f>
        <v/>
      </c>
    </row>
    <row r="1215">
      <c r="O1215" s="5" t="n"/>
      <c r="S1215" s="6" t="n"/>
      <c r="V1215" s="5" t="n"/>
      <c r="X1215" s="5" t="n"/>
      <c r="AC1215" s="6" t="n"/>
      <c r="AD1215" s="6" t="n"/>
      <c r="AE1215" s="7">
        <f>IF(X1215="","",ROUND('Opening Balance'!$B$4+SUM($AC$2:AC1215)-SUM($AD$2:AD1215)+SUMPRODUCT(($Q$2:$Q$1501="Collection 收款")*($R$2:$R$1501="Cheque 支票")*($V$2:$V$1501&lt;&gt;"")*($V$2:$V$1501&lt;=X1215)*($S$2:$S$1501-'Opening Balance'!$B$15*($R$2:$R$1501="Cheque 支票")*($S$2:$S$1501-TRUNC($S$2:$S$1501))))-'Opening Balance'!$B$15*SUMPRODUCT(($Z$2:Z1215="Online collection 网上收款")*($AA$2:AA1215&lt;&gt;"")*($AC$2:AC1215-TRUNC($AC$2:AC1215))),2))</f>
        <v/>
      </c>
    </row>
    <row r="1216">
      <c r="O1216" s="5" t="n"/>
      <c r="S1216" s="6" t="n"/>
      <c r="V1216" s="5" t="n"/>
      <c r="X1216" s="5" t="n"/>
      <c r="AC1216" s="6" t="n"/>
      <c r="AD1216" s="6" t="n"/>
      <c r="AE1216" s="7">
        <f>IF(X1216="","",ROUND('Opening Balance'!$B$4+SUM($AC$2:AC1216)-SUM($AD$2:AD1216)+SUMPRODUCT(($Q$2:$Q$1501="Collection 收款")*($R$2:$R$1501="Cheque 支票")*($V$2:$V$1501&lt;&gt;"")*($V$2:$V$1501&lt;=X1216)*($S$2:$S$1501-'Opening Balance'!$B$15*($R$2:$R$1501="Cheque 支票")*($S$2:$S$1501-TRUNC($S$2:$S$1501))))-'Opening Balance'!$B$15*SUMPRODUCT(($Z$2:Z1216="Online collection 网上收款")*($AA$2:AA1216&lt;&gt;"")*($AC$2:AC1216-TRUNC($AC$2:AC1216))),2))</f>
        <v/>
      </c>
    </row>
    <row r="1217">
      <c r="O1217" s="5" t="n"/>
      <c r="S1217" s="6" t="n"/>
      <c r="V1217" s="5" t="n"/>
      <c r="X1217" s="5" t="n"/>
      <c r="AC1217" s="6" t="n"/>
      <c r="AD1217" s="6" t="n"/>
      <c r="AE1217" s="7">
        <f>IF(X1217="","",ROUND('Opening Balance'!$B$4+SUM($AC$2:AC1217)-SUM($AD$2:AD1217)+SUMPRODUCT(($Q$2:$Q$1501="Collection 收款")*($R$2:$R$1501="Cheque 支票")*($V$2:$V$1501&lt;&gt;"")*($V$2:$V$1501&lt;=X1217)*($S$2:$S$1501-'Opening Balance'!$B$15*($R$2:$R$1501="Cheque 支票")*($S$2:$S$1501-TRUNC($S$2:$S$1501))))-'Opening Balance'!$B$15*SUMPRODUCT(($Z$2:Z1217="Online collection 网上收款")*($AA$2:AA1217&lt;&gt;"")*($AC$2:AC1217-TRUNC($AC$2:AC1217))),2))</f>
        <v/>
      </c>
    </row>
    <row r="1218">
      <c r="O1218" s="5" t="n"/>
      <c r="S1218" s="6" t="n"/>
      <c r="V1218" s="5" t="n"/>
      <c r="X1218" s="5" t="n"/>
      <c r="AC1218" s="6" t="n"/>
      <c r="AD1218" s="6" t="n"/>
      <c r="AE1218" s="7">
        <f>IF(X1218="","",ROUND('Opening Balance'!$B$4+SUM($AC$2:AC1218)-SUM($AD$2:AD1218)+SUMPRODUCT(($Q$2:$Q$1501="Collection 收款")*($R$2:$R$1501="Cheque 支票")*($V$2:$V$1501&lt;&gt;"")*($V$2:$V$1501&lt;=X1218)*($S$2:$S$1501-'Opening Balance'!$B$15*($R$2:$R$1501="Cheque 支票")*($S$2:$S$1501-TRUNC($S$2:$S$1501))))-'Opening Balance'!$B$15*SUMPRODUCT(($Z$2:Z1218="Online collection 网上收款")*($AA$2:AA1218&lt;&gt;"")*($AC$2:AC1218-TRUNC($AC$2:AC1218))),2))</f>
        <v/>
      </c>
    </row>
    <row r="1219">
      <c r="O1219" s="5" t="n"/>
      <c r="S1219" s="6" t="n"/>
      <c r="V1219" s="5" t="n"/>
      <c r="X1219" s="5" t="n"/>
      <c r="AC1219" s="6" t="n"/>
      <c r="AD1219" s="6" t="n"/>
      <c r="AE1219" s="7">
        <f>IF(X1219="","",ROUND('Opening Balance'!$B$4+SUM($AC$2:AC1219)-SUM($AD$2:AD1219)+SUMPRODUCT(($Q$2:$Q$1501="Collection 收款")*($R$2:$R$1501="Cheque 支票")*($V$2:$V$1501&lt;&gt;"")*($V$2:$V$1501&lt;=X1219)*($S$2:$S$1501-'Opening Balance'!$B$15*($R$2:$R$1501="Cheque 支票")*($S$2:$S$1501-TRUNC($S$2:$S$1501))))-'Opening Balance'!$B$15*SUMPRODUCT(($Z$2:Z1219="Online collection 网上收款")*($AA$2:AA1219&lt;&gt;"")*($AC$2:AC1219-TRUNC($AC$2:AC1219))),2))</f>
        <v/>
      </c>
    </row>
    <row r="1220">
      <c r="O1220" s="5" t="n"/>
      <c r="S1220" s="6" t="n"/>
      <c r="V1220" s="5" t="n"/>
      <c r="X1220" s="5" t="n"/>
      <c r="AC1220" s="6" t="n"/>
      <c r="AD1220" s="6" t="n"/>
      <c r="AE1220" s="7">
        <f>IF(X1220="","",ROUND('Opening Balance'!$B$4+SUM($AC$2:AC1220)-SUM($AD$2:AD1220)+SUMPRODUCT(($Q$2:$Q$1501="Collection 收款")*($R$2:$R$1501="Cheque 支票")*($V$2:$V$1501&lt;&gt;"")*($V$2:$V$1501&lt;=X1220)*($S$2:$S$1501-'Opening Balance'!$B$15*($R$2:$R$1501="Cheque 支票")*($S$2:$S$1501-TRUNC($S$2:$S$1501))))-'Opening Balance'!$B$15*SUMPRODUCT(($Z$2:Z1220="Online collection 网上收款")*($AA$2:AA1220&lt;&gt;"")*($AC$2:AC1220-TRUNC($AC$2:AC1220))),2))</f>
        <v/>
      </c>
    </row>
    <row r="1221">
      <c r="O1221" s="5" t="n"/>
      <c r="S1221" s="6" t="n"/>
      <c r="V1221" s="5" t="n"/>
      <c r="X1221" s="5" t="n"/>
      <c r="AC1221" s="6" t="n"/>
      <c r="AD1221" s="6" t="n"/>
      <c r="AE1221" s="7">
        <f>IF(X1221="","",ROUND('Opening Balance'!$B$4+SUM($AC$2:AC1221)-SUM($AD$2:AD1221)+SUMPRODUCT(($Q$2:$Q$1501="Collection 收款")*($R$2:$R$1501="Cheque 支票")*($V$2:$V$1501&lt;&gt;"")*($V$2:$V$1501&lt;=X1221)*($S$2:$S$1501-'Opening Balance'!$B$15*($R$2:$R$1501="Cheque 支票")*($S$2:$S$1501-TRUNC($S$2:$S$1501))))-'Opening Balance'!$B$15*SUMPRODUCT(($Z$2:Z1221="Online collection 网上收款")*($AA$2:AA1221&lt;&gt;"")*($AC$2:AC1221-TRUNC($AC$2:AC1221))),2))</f>
        <v/>
      </c>
    </row>
    <row r="1222">
      <c r="O1222" s="5" t="n"/>
      <c r="S1222" s="6" t="n"/>
      <c r="V1222" s="5" t="n"/>
      <c r="X1222" s="5" t="n"/>
      <c r="AC1222" s="6" t="n"/>
      <c r="AD1222" s="6" t="n"/>
      <c r="AE1222" s="7">
        <f>IF(X1222="","",ROUND('Opening Balance'!$B$4+SUM($AC$2:AC1222)-SUM($AD$2:AD1222)+SUMPRODUCT(($Q$2:$Q$1501="Collection 收款")*($R$2:$R$1501="Cheque 支票")*($V$2:$V$1501&lt;&gt;"")*($V$2:$V$1501&lt;=X1222)*($S$2:$S$1501-'Opening Balance'!$B$15*($R$2:$R$1501="Cheque 支票")*($S$2:$S$1501-TRUNC($S$2:$S$1501))))-'Opening Balance'!$B$15*SUMPRODUCT(($Z$2:Z1222="Online collection 网上收款")*($AA$2:AA1222&lt;&gt;"")*($AC$2:AC1222-TRUNC($AC$2:AC1222))),2))</f>
        <v/>
      </c>
    </row>
    <row r="1223">
      <c r="O1223" s="5" t="n"/>
      <c r="S1223" s="6" t="n"/>
      <c r="V1223" s="5" t="n"/>
      <c r="X1223" s="5" t="n"/>
      <c r="AC1223" s="6" t="n"/>
      <c r="AD1223" s="6" t="n"/>
      <c r="AE1223" s="7">
        <f>IF(X1223="","",ROUND('Opening Balance'!$B$4+SUM($AC$2:AC1223)-SUM($AD$2:AD1223)+SUMPRODUCT(($Q$2:$Q$1501="Collection 收款")*($R$2:$R$1501="Cheque 支票")*($V$2:$V$1501&lt;&gt;"")*($V$2:$V$1501&lt;=X1223)*($S$2:$S$1501-'Opening Balance'!$B$15*($R$2:$R$1501="Cheque 支票")*($S$2:$S$1501-TRUNC($S$2:$S$1501))))-'Opening Balance'!$B$15*SUMPRODUCT(($Z$2:Z1223="Online collection 网上收款")*($AA$2:AA1223&lt;&gt;"")*($AC$2:AC1223-TRUNC($AC$2:AC1223))),2))</f>
        <v/>
      </c>
    </row>
    <row r="1224">
      <c r="O1224" s="5" t="n"/>
      <c r="S1224" s="6" t="n"/>
      <c r="V1224" s="5" t="n"/>
      <c r="X1224" s="5" t="n"/>
      <c r="AC1224" s="6" t="n"/>
      <c r="AD1224" s="6" t="n"/>
      <c r="AE1224" s="7">
        <f>IF(X1224="","",ROUND('Opening Balance'!$B$4+SUM($AC$2:AC1224)-SUM($AD$2:AD1224)+SUMPRODUCT(($Q$2:$Q$1501="Collection 收款")*($R$2:$R$1501="Cheque 支票")*($V$2:$V$1501&lt;&gt;"")*($V$2:$V$1501&lt;=X1224)*($S$2:$S$1501-'Opening Balance'!$B$15*($R$2:$R$1501="Cheque 支票")*($S$2:$S$1501-TRUNC($S$2:$S$1501))))-'Opening Balance'!$B$15*SUMPRODUCT(($Z$2:Z1224="Online collection 网上收款")*($AA$2:AA1224&lt;&gt;"")*($AC$2:AC1224-TRUNC($AC$2:AC1224))),2))</f>
        <v/>
      </c>
    </row>
    <row r="1225">
      <c r="O1225" s="5" t="n"/>
      <c r="S1225" s="6" t="n"/>
      <c r="V1225" s="5" t="n"/>
      <c r="X1225" s="5" t="n"/>
      <c r="AC1225" s="6" t="n"/>
      <c r="AD1225" s="6" t="n"/>
      <c r="AE1225" s="7">
        <f>IF(X1225="","",ROUND('Opening Balance'!$B$4+SUM($AC$2:AC1225)-SUM($AD$2:AD1225)+SUMPRODUCT(($Q$2:$Q$1501="Collection 收款")*($R$2:$R$1501="Cheque 支票")*($V$2:$V$1501&lt;&gt;"")*($V$2:$V$1501&lt;=X1225)*($S$2:$S$1501-'Opening Balance'!$B$15*($R$2:$R$1501="Cheque 支票")*($S$2:$S$1501-TRUNC($S$2:$S$1501))))-'Opening Balance'!$B$15*SUMPRODUCT(($Z$2:Z1225="Online collection 网上收款")*($AA$2:AA1225&lt;&gt;"")*($AC$2:AC1225-TRUNC($AC$2:AC1225))),2))</f>
        <v/>
      </c>
    </row>
    <row r="1226">
      <c r="O1226" s="5" t="n"/>
      <c r="S1226" s="6" t="n"/>
      <c r="V1226" s="5" t="n"/>
      <c r="X1226" s="5" t="n"/>
      <c r="AC1226" s="6" t="n"/>
      <c r="AD1226" s="6" t="n"/>
      <c r="AE1226" s="7">
        <f>IF(X1226="","",ROUND('Opening Balance'!$B$4+SUM($AC$2:AC1226)-SUM($AD$2:AD1226)+SUMPRODUCT(($Q$2:$Q$1501="Collection 收款")*($R$2:$R$1501="Cheque 支票")*($V$2:$V$1501&lt;&gt;"")*($V$2:$V$1501&lt;=X1226)*($S$2:$S$1501-'Opening Balance'!$B$15*($R$2:$R$1501="Cheque 支票")*($S$2:$S$1501-TRUNC($S$2:$S$1501))))-'Opening Balance'!$B$15*SUMPRODUCT(($Z$2:Z1226="Online collection 网上收款")*($AA$2:AA1226&lt;&gt;"")*($AC$2:AC1226-TRUNC($AC$2:AC1226))),2))</f>
        <v/>
      </c>
    </row>
    <row r="1227">
      <c r="O1227" s="5" t="n"/>
      <c r="S1227" s="6" t="n"/>
      <c r="V1227" s="5" t="n"/>
      <c r="X1227" s="5" t="n"/>
      <c r="AC1227" s="6" t="n"/>
      <c r="AD1227" s="6" t="n"/>
      <c r="AE1227" s="7">
        <f>IF(X1227="","",ROUND('Opening Balance'!$B$4+SUM($AC$2:AC1227)-SUM($AD$2:AD1227)+SUMPRODUCT(($Q$2:$Q$1501="Collection 收款")*($R$2:$R$1501="Cheque 支票")*($V$2:$V$1501&lt;&gt;"")*($V$2:$V$1501&lt;=X1227)*($S$2:$S$1501-'Opening Balance'!$B$15*($R$2:$R$1501="Cheque 支票")*($S$2:$S$1501-TRUNC($S$2:$S$1501))))-'Opening Balance'!$B$15*SUMPRODUCT(($Z$2:Z1227="Online collection 网上收款")*($AA$2:AA1227&lt;&gt;"")*($AC$2:AC1227-TRUNC($AC$2:AC1227))),2))</f>
        <v/>
      </c>
    </row>
    <row r="1228">
      <c r="O1228" s="5" t="n"/>
      <c r="S1228" s="6" t="n"/>
      <c r="V1228" s="5" t="n"/>
      <c r="X1228" s="5" t="n"/>
      <c r="AC1228" s="6" t="n"/>
      <c r="AD1228" s="6" t="n"/>
      <c r="AE1228" s="7">
        <f>IF(X1228="","",ROUND('Opening Balance'!$B$4+SUM($AC$2:AC1228)-SUM($AD$2:AD1228)+SUMPRODUCT(($Q$2:$Q$1501="Collection 收款")*($R$2:$R$1501="Cheque 支票")*($V$2:$V$1501&lt;&gt;"")*($V$2:$V$1501&lt;=X1228)*($S$2:$S$1501-'Opening Balance'!$B$15*($R$2:$R$1501="Cheque 支票")*($S$2:$S$1501-TRUNC($S$2:$S$1501))))-'Opening Balance'!$B$15*SUMPRODUCT(($Z$2:Z1228="Online collection 网上收款")*($AA$2:AA1228&lt;&gt;"")*($AC$2:AC1228-TRUNC($AC$2:AC1228))),2))</f>
        <v/>
      </c>
    </row>
    <row r="1229">
      <c r="O1229" s="5" t="n"/>
      <c r="S1229" s="6" t="n"/>
      <c r="V1229" s="5" t="n"/>
      <c r="X1229" s="5" t="n"/>
      <c r="AC1229" s="6" t="n"/>
      <c r="AD1229" s="6" t="n"/>
      <c r="AE1229" s="7">
        <f>IF(X1229="","",ROUND('Opening Balance'!$B$4+SUM($AC$2:AC1229)-SUM($AD$2:AD1229)+SUMPRODUCT(($Q$2:$Q$1501="Collection 收款")*($R$2:$R$1501="Cheque 支票")*($V$2:$V$1501&lt;&gt;"")*($V$2:$V$1501&lt;=X1229)*($S$2:$S$1501-'Opening Balance'!$B$15*($R$2:$R$1501="Cheque 支票")*($S$2:$S$1501-TRUNC($S$2:$S$1501))))-'Opening Balance'!$B$15*SUMPRODUCT(($Z$2:Z1229="Online collection 网上收款")*($AA$2:AA1229&lt;&gt;"")*($AC$2:AC1229-TRUNC($AC$2:AC1229))),2))</f>
        <v/>
      </c>
    </row>
    <row r="1230">
      <c r="O1230" s="5" t="n"/>
      <c r="S1230" s="6" t="n"/>
      <c r="V1230" s="5" t="n"/>
      <c r="X1230" s="5" t="n"/>
      <c r="AC1230" s="6" t="n"/>
      <c r="AD1230" s="6" t="n"/>
      <c r="AE1230" s="7">
        <f>IF(X1230="","",ROUND('Opening Balance'!$B$4+SUM($AC$2:AC1230)-SUM($AD$2:AD1230)+SUMPRODUCT(($Q$2:$Q$1501="Collection 收款")*($R$2:$R$1501="Cheque 支票")*($V$2:$V$1501&lt;&gt;"")*($V$2:$V$1501&lt;=X1230)*($S$2:$S$1501-'Opening Balance'!$B$15*($R$2:$R$1501="Cheque 支票")*($S$2:$S$1501-TRUNC($S$2:$S$1501))))-'Opening Balance'!$B$15*SUMPRODUCT(($Z$2:Z1230="Online collection 网上收款")*($AA$2:AA1230&lt;&gt;"")*($AC$2:AC1230-TRUNC($AC$2:AC1230))),2))</f>
        <v/>
      </c>
    </row>
    <row r="1231">
      <c r="O1231" s="5" t="n"/>
      <c r="S1231" s="6" t="n"/>
      <c r="V1231" s="5" t="n"/>
      <c r="X1231" s="5" t="n"/>
      <c r="AC1231" s="6" t="n"/>
      <c r="AD1231" s="6" t="n"/>
      <c r="AE1231" s="7">
        <f>IF(X1231="","",ROUND('Opening Balance'!$B$4+SUM($AC$2:AC1231)-SUM($AD$2:AD1231)+SUMPRODUCT(($Q$2:$Q$1501="Collection 收款")*($R$2:$R$1501="Cheque 支票")*($V$2:$V$1501&lt;&gt;"")*($V$2:$V$1501&lt;=X1231)*($S$2:$S$1501-'Opening Balance'!$B$15*($R$2:$R$1501="Cheque 支票")*($S$2:$S$1501-TRUNC($S$2:$S$1501))))-'Opening Balance'!$B$15*SUMPRODUCT(($Z$2:Z1231="Online collection 网上收款")*($AA$2:AA1231&lt;&gt;"")*($AC$2:AC1231-TRUNC($AC$2:AC1231))),2))</f>
        <v/>
      </c>
    </row>
    <row r="1232">
      <c r="O1232" s="5" t="n"/>
      <c r="S1232" s="6" t="n"/>
      <c r="V1232" s="5" t="n"/>
      <c r="X1232" s="5" t="n"/>
      <c r="AC1232" s="6" t="n"/>
      <c r="AD1232" s="6" t="n"/>
      <c r="AE1232" s="7">
        <f>IF(X1232="","",ROUND('Opening Balance'!$B$4+SUM($AC$2:AC1232)-SUM($AD$2:AD1232)+SUMPRODUCT(($Q$2:$Q$1501="Collection 收款")*($R$2:$R$1501="Cheque 支票")*($V$2:$V$1501&lt;&gt;"")*($V$2:$V$1501&lt;=X1232)*($S$2:$S$1501-'Opening Balance'!$B$15*($R$2:$R$1501="Cheque 支票")*($S$2:$S$1501-TRUNC($S$2:$S$1501))))-'Opening Balance'!$B$15*SUMPRODUCT(($Z$2:Z1232="Online collection 网上收款")*($AA$2:AA1232&lt;&gt;"")*($AC$2:AC1232-TRUNC($AC$2:AC1232))),2))</f>
        <v/>
      </c>
    </row>
    <row r="1233">
      <c r="O1233" s="5" t="n"/>
      <c r="S1233" s="6" t="n"/>
      <c r="V1233" s="5" t="n"/>
      <c r="X1233" s="5" t="n"/>
      <c r="AC1233" s="6" t="n"/>
      <c r="AD1233" s="6" t="n"/>
      <c r="AE1233" s="7">
        <f>IF(X1233="","",ROUND('Opening Balance'!$B$4+SUM($AC$2:AC1233)-SUM($AD$2:AD1233)+SUMPRODUCT(($Q$2:$Q$1501="Collection 收款")*($R$2:$R$1501="Cheque 支票")*($V$2:$V$1501&lt;&gt;"")*($V$2:$V$1501&lt;=X1233)*($S$2:$S$1501-'Opening Balance'!$B$15*($R$2:$R$1501="Cheque 支票")*($S$2:$S$1501-TRUNC($S$2:$S$1501))))-'Opening Balance'!$B$15*SUMPRODUCT(($Z$2:Z1233="Online collection 网上收款")*($AA$2:AA1233&lt;&gt;"")*($AC$2:AC1233-TRUNC($AC$2:AC1233))),2))</f>
        <v/>
      </c>
    </row>
    <row r="1234">
      <c r="O1234" s="5" t="n"/>
      <c r="S1234" s="6" t="n"/>
      <c r="V1234" s="5" t="n"/>
      <c r="X1234" s="5" t="n"/>
      <c r="AC1234" s="6" t="n"/>
      <c r="AD1234" s="6" t="n"/>
      <c r="AE1234" s="7">
        <f>IF(X1234="","",ROUND('Opening Balance'!$B$4+SUM($AC$2:AC1234)-SUM($AD$2:AD1234)+SUMPRODUCT(($Q$2:$Q$1501="Collection 收款")*($R$2:$R$1501="Cheque 支票")*($V$2:$V$1501&lt;&gt;"")*($V$2:$V$1501&lt;=X1234)*($S$2:$S$1501-'Opening Balance'!$B$15*($R$2:$R$1501="Cheque 支票")*($S$2:$S$1501-TRUNC($S$2:$S$1501))))-'Opening Balance'!$B$15*SUMPRODUCT(($Z$2:Z1234="Online collection 网上收款")*($AA$2:AA1234&lt;&gt;"")*($AC$2:AC1234-TRUNC($AC$2:AC1234))),2))</f>
        <v/>
      </c>
    </row>
    <row r="1235">
      <c r="O1235" s="5" t="n"/>
      <c r="S1235" s="6" t="n"/>
      <c r="V1235" s="5" t="n"/>
      <c r="X1235" s="5" t="n"/>
      <c r="AC1235" s="6" t="n"/>
      <c r="AD1235" s="6" t="n"/>
      <c r="AE1235" s="7">
        <f>IF(X1235="","",ROUND('Opening Balance'!$B$4+SUM($AC$2:AC1235)-SUM($AD$2:AD1235)+SUMPRODUCT(($Q$2:$Q$1501="Collection 收款")*($R$2:$R$1501="Cheque 支票")*($V$2:$V$1501&lt;&gt;"")*($V$2:$V$1501&lt;=X1235)*($S$2:$S$1501-'Opening Balance'!$B$15*($R$2:$R$1501="Cheque 支票")*($S$2:$S$1501-TRUNC($S$2:$S$1501))))-'Opening Balance'!$B$15*SUMPRODUCT(($Z$2:Z1235="Online collection 网上收款")*($AA$2:AA1235&lt;&gt;"")*($AC$2:AC1235-TRUNC($AC$2:AC1235))),2))</f>
        <v/>
      </c>
    </row>
    <row r="1236">
      <c r="O1236" s="5" t="n"/>
      <c r="S1236" s="6" t="n"/>
      <c r="V1236" s="5" t="n"/>
      <c r="X1236" s="5" t="n"/>
      <c r="AC1236" s="6" t="n"/>
      <c r="AD1236" s="6" t="n"/>
      <c r="AE1236" s="7">
        <f>IF(X1236="","",ROUND('Opening Balance'!$B$4+SUM($AC$2:AC1236)-SUM($AD$2:AD1236)+SUMPRODUCT(($Q$2:$Q$1501="Collection 收款")*($R$2:$R$1501="Cheque 支票")*($V$2:$V$1501&lt;&gt;"")*($V$2:$V$1501&lt;=X1236)*($S$2:$S$1501-'Opening Balance'!$B$15*($R$2:$R$1501="Cheque 支票")*($S$2:$S$1501-TRUNC($S$2:$S$1501))))-'Opening Balance'!$B$15*SUMPRODUCT(($Z$2:Z1236="Online collection 网上收款")*($AA$2:AA1236&lt;&gt;"")*($AC$2:AC1236-TRUNC($AC$2:AC1236))),2))</f>
        <v/>
      </c>
    </row>
    <row r="1237">
      <c r="O1237" s="5" t="n"/>
      <c r="S1237" s="6" t="n"/>
      <c r="V1237" s="5" t="n"/>
      <c r="X1237" s="5" t="n"/>
      <c r="AC1237" s="6" t="n"/>
      <c r="AD1237" s="6" t="n"/>
      <c r="AE1237" s="7">
        <f>IF(X1237="","",ROUND('Opening Balance'!$B$4+SUM($AC$2:AC1237)-SUM($AD$2:AD1237)+SUMPRODUCT(($Q$2:$Q$1501="Collection 收款")*($R$2:$R$1501="Cheque 支票")*($V$2:$V$1501&lt;&gt;"")*($V$2:$V$1501&lt;=X1237)*($S$2:$S$1501-'Opening Balance'!$B$15*($R$2:$R$1501="Cheque 支票")*($S$2:$S$1501-TRUNC($S$2:$S$1501))))-'Opening Balance'!$B$15*SUMPRODUCT(($Z$2:Z1237="Online collection 网上收款")*($AA$2:AA1237&lt;&gt;"")*($AC$2:AC1237-TRUNC($AC$2:AC1237))),2))</f>
        <v/>
      </c>
    </row>
    <row r="1238">
      <c r="O1238" s="5" t="n"/>
      <c r="S1238" s="6" t="n"/>
      <c r="V1238" s="5" t="n"/>
      <c r="X1238" s="5" t="n"/>
      <c r="AC1238" s="6" t="n"/>
      <c r="AD1238" s="6" t="n"/>
      <c r="AE1238" s="7">
        <f>IF(X1238="","",ROUND('Opening Balance'!$B$4+SUM($AC$2:AC1238)-SUM($AD$2:AD1238)+SUMPRODUCT(($Q$2:$Q$1501="Collection 收款")*($R$2:$R$1501="Cheque 支票")*($V$2:$V$1501&lt;&gt;"")*($V$2:$V$1501&lt;=X1238)*($S$2:$S$1501-'Opening Balance'!$B$15*($R$2:$R$1501="Cheque 支票")*($S$2:$S$1501-TRUNC($S$2:$S$1501))))-'Opening Balance'!$B$15*SUMPRODUCT(($Z$2:Z1238="Online collection 网上收款")*($AA$2:AA1238&lt;&gt;"")*($AC$2:AC1238-TRUNC($AC$2:AC1238))),2))</f>
        <v/>
      </c>
    </row>
    <row r="1239">
      <c r="O1239" s="5" t="n"/>
      <c r="S1239" s="6" t="n"/>
      <c r="V1239" s="5" t="n"/>
      <c r="X1239" s="5" t="n"/>
      <c r="AC1239" s="6" t="n"/>
      <c r="AD1239" s="6" t="n"/>
      <c r="AE1239" s="7">
        <f>IF(X1239="","",ROUND('Opening Balance'!$B$4+SUM($AC$2:AC1239)-SUM($AD$2:AD1239)+SUMPRODUCT(($Q$2:$Q$1501="Collection 收款")*($R$2:$R$1501="Cheque 支票")*($V$2:$V$1501&lt;&gt;"")*($V$2:$V$1501&lt;=X1239)*($S$2:$S$1501-'Opening Balance'!$B$15*($R$2:$R$1501="Cheque 支票")*($S$2:$S$1501-TRUNC($S$2:$S$1501))))-'Opening Balance'!$B$15*SUMPRODUCT(($Z$2:Z1239="Online collection 网上收款")*($AA$2:AA1239&lt;&gt;"")*($AC$2:AC1239-TRUNC($AC$2:AC1239))),2))</f>
        <v/>
      </c>
    </row>
    <row r="1240">
      <c r="O1240" s="5" t="n"/>
      <c r="S1240" s="6" t="n"/>
      <c r="V1240" s="5" t="n"/>
      <c r="X1240" s="5" t="n"/>
      <c r="AC1240" s="6" t="n"/>
      <c r="AD1240" s="6" t="n"/>
      <c r="AE1240" s="7">
        <f>IF(X1240="","",ROUND('Opening Balance'!$B$4+SUM($AC$2:AC1240)-SUM($AD$2:AD1240)+SUMPRODUCT(($Q$2:$Q$1501="Collection 收款")*($R$2:$R$1501="Cheque 支票")*($V$2:$V$1501&lt;&gt;"")*($V$2:$V$1501&lt;=X1240)*($S$2:$S$1501-'Opening Balance'!$B$15*($R$2:$R$1501="Cheque 支票")*($S$2:$S$1501-TRUNC($S$2:$S$1501))))-'Opening Balance'!$B$15*SUMPRODUCT(($Z$2:Z1240="Online collection 网上收款")*($AA$2:AA1240&lt;&gt;"")*($AC$2:AC1240-TRUNC($AC$2:AC1240))),2))</f>
        <v/>
      </c>
    </row>
    <row r="1241">
      <c r="O1241" s="5" t="n"/>
      <c r="S1241" s="6" t="n"/>
      <c r="V1241" s="5" t="n"/>
      <c r="X1241" s="5" t="n"/>
      <c r="AC1241" s="6" t="n"/>
      <c r="AD1241" s="6" t="n"/>
      <c r="AE1241" s="7">
        <f>IF(X1241="","",ROUND('Opening Balance'!$B$4+SUM($AC$2:AC1241)-SUM($AD$2:AD1241)+SUMPRODUCT(($Q$2:$Q$1501="Collection 收款")*($R$2:$R$1501="Cheque 支票")*($V$2:$V$1501&lt;&gt;"")*($V$2:$V$1501&lt;=X1241)*($S$2:$S$1501-'Opening Balance'!$B$15*($R$2:$R$1501="Cheque 支票")*($S$2:$S$1501-TRUNC($S$2:$S$1501))))-'Opening Balance'!$B$15*SUMPRODUCT(($Z$2:Z1241="Online collection 网上收款")*($AA$2:AA1241&lt;&gt;"")*($AC$2:AC1241-TRUNC($AC$2:AC1241))),2))</f>
        <v/>
      </c>
    </row>
    <row r="1242">
      <c r="O1242" s="5" t="n"/>
      <c r="S1242" s="6" t="n"/>
      <c r="V1242" s="5" t="n"/>
      <c r="X1242" s="5" t="n"/>
      <c r="AC1242" s="6" t="n"/>
      <c r="AD1242" s="6" t="n"/>
      <c r="AE1242" s="7">
        <f>IF(X1242="","",ROUND('Opening Balance'!$B$4+SUM($AC$2:AC1242)-SUM($AD$2:AD1242)+SUMPRODUCT(($Q$2:$Q$1501="Collection 收款")*($R$2:$R$1501="Cheque 支票")*($V$2:$V$1501&lt;&gt;"")*($V$2:$V$1501&lt;=X1242)*($S$2:$S$1501-'Opening Balance'!$B$15*($R$2:$R$1501="Cheque 支票")*($S$2:$S$1501-TRUNC($S$2:$S$1501))))-'Opening Balance'!$B$15*SUMPRODUCT(($Z$2:Z1242="Online collection 网上收款")*($AA$2:AA1242&lt;&gt;"")*($AC$2:AC1242-TRUNC($AC$2:AC1242))),2))</f>
        <v/>
      </c>
    </row>
    <row r="1243">
      <c r="O1243" s="5" t="n"/>
      <c r="S1243" s="6" t="n"/>
      <c r="V1243" s="5" t="n"/>
      <c r="X1243" s="5" t="n"/>
      <c r="AC1243" s="6" t="n"/>
      <c r="AD1243" s="6" t="n"/>
      <c r="AE1243" s="7">
        <f>IF(X1243="","",ROUND('Opening Balance'!$B$4+SUM($AC$2:AC1243)-SUM($AD$2:AD1243)+SUMPRODUCT(($Q$2:$Q$1501="Collection 收款")*($R$2:$R$1501="Cheque 支票")*($V$2:$V$1501&lt;&gt;"")*($V$2:$V$1501&lt;=X1243)*($S$2:$S$1501-'Opening Balance'!$B$15*($R$2:$R$1501="Cheque 支票")*($S$2:$S$1501-TRUNC($S$2:$S$1501))))-'Opening Balance'!$B$15*SUMPRODUCT(($Z$2:Z1243="Online collection 网上收款")*($AA$2:AA1243&lt;&gt;"")*($AC$2:AC1243-TRUNC($AC$2:AC1243))),2))</f>
        <v/>
      </c>
    </row>
    <row r="1244">
      <c r="O1244" s="5" t="n"/>
      <c r="S1244" s="6" t="n"/>
      <c r="V1244" s="5" t="n"/>
      <c r="X1244" s="5" t="n"/>
      <c r="AC1244" s="6" t="n"/>
      <c r="AD1244" s="6" t="n"/>
      <c r="AE1244" s="7">
        <f>IF(X1244="","",ROUND('Opening Balance'!$B$4+SUM($AC$2:AC1244)-SUM($AD$2:AD1244)+SUMPRODUCT(($Q$2:$Q$1501="Collection 收款")*($R$2:$R$1501="Cheque 支票")*($V$2:$V$1501&lt;&gt;"")*($V$2:$V$1501&lt;=X1244)*($S$2:$S$1501-'Opening Balance'!$B$15*($R$2:$R$1501="Cheque 支票")*($S$2:$S$1501-TRUNC($S$2:$S$1501))))-'Opening Balance'!$B$15*SUMPRODUCT(($Z$2:Z1244="Online collection 网上收款")*($AA$2:AA1244&lt;&gt;"")*($AC$2:AC1244-TRUNC($AC$2:AC1244))),2))</f>
        <v/>
      </c>
    </row>
    <row r="1245">
      <c r="O1245" s="5" t="n"/>
      <c r="S1245" s="6" t="n"/>
      <c r="V1245" s="5" t="n"/>
      <c r="X1245" s="5" t="n"/>
      <c r="AC1245" s="6" t="n"/>
      <c r="AD1245" s="6" t="n"/>
      <c r="AE1245" s="7">
        <f>IF(X1245="","",ROUND('Opening Balance'!$B$4+SUM($AC$2:AC1245)-SUM($AD$2:AD1245)+SUMPRODUCT(($Q$2:$Q$1501="Collection 收款")*($R$2:$R$1501="Cheque 支票")*($V$2:$V$1501&lt;&gt;"")*($V$2:$V$1501&lt;=X1245)*($S$2:$S$1501-'Opening Balance'!$B$15*($R$2:$R$1501="Cheque 支票")*($S$2:$S$1501-TRUNC($S$2:$S$1501))))-'Opening Balance'!$B$15*SUMPRODUCT(($Z$2:Z1245="Online collection 网上收款")*($AA$2:AA1245&lt;&gt;"")*($AC$2:AC1245-TRUNC($AC$2:AC1245))),2))</f>
        <v/>
      </c>
    </row>
    <row r="1246">
      <c r="O1246" s="5" t="n"/>
      <c r="S1246" s="6" t="n"/>
      <c r="V1246" s="5" t="n"/>
      <c r="X1246" s="5" t="n"/>
      <c r="AC1246" s="6" t="n"/>
      <c r="AD1246" s="6" t="n"/>
      <c r="AE1246" s="7">
        <f>IF(X1246="","",ROUND('Opening Balance'!$B$4+SUM($AC$2:AC1246)-SUM($AD$2:AD1246)+SUMPRODUCT(($Q$2:$Q$1501="Collection 收款")*($R$2:$R$1501="Cheque 支票")*($V$2:$V$1501&lt;&gt;"")*($V$2:$V$1501&lt;=X1246)*($S$2:$S$1501-'Opening Balance'!$B$15*($R$2:$R$1501="Cheque 支票")*($S$2:$S$1501-TRUNC($S$2:$S$1501))))-'Opening Balance'!$B$15*SUMPRODUCT(($Z$2:Z1246="Online collection 网上收款")*($AA$2:AA1246&lt;&gt;"")*($AC$2:AC1246-TRUNC($AC$2:AC1246))),2))</f>
        <v/>
      </c>
    </row>
    <row r="1247">
      <c r="O1247" s="5" t="n"/>
      <c r="S1247" s="6" t="n"/>
      <c r="V1247" s="5" t="n"/>
      <c r="X1247" s="5" t="n"/>
      <c r="AC1247" s="6" t="n"/>
      <c r="AD1247" s="6" t="n"/>
      <c r="AE1247" s="7">
        <f>IF(X1247="","",ROUND('Opening Balance'!$B$4+SUM($AC$2:AC1247)-SUM($AD$2:AD1247)+SUMPRODUCT(($Q$2:$Q$1501="Collection 收款")*($R$2:$R$1501="Cheque 支票")*($V$2:$V$1501&lt;&gt;"")*($V$2:$V$1501&lt;=X1247)*($S$2:$S$1501-'Opening Balance'!$B$15*($R$2:$R$1501="Cheque 支票")*($S$2:$S$1501-TRUNC($S$2:$S$1501))))-'Opening Balance'!$B$15*SUMPRODUCT(($Z$2:Z1247="Online collection 网上收款")*($AA$2:AA1247&lt;&gt;"")*($AC$2:AC1247-TRUNC($AC$2:AC1247))),2))</f>
        <v/>
      </c>
    </row>
    <row r="1248">
      <c r="O1248" s="5" t="n"/>
      <c r="S1248" s="6" t="n"/>
      <c r="V1248" s="5" t="n"/>
      <c r="X1248" s="5" t="n"/>
      <c r="AC1248" s="6" t="n"/>
      <c r="AD1248" s="6" t="n"/>
      <c r="AE1248" s="7">
        <f>IF(X1248="","",ROUND('Opening Balance'!$B$4+SUM($AC$2:AC1248)-SUM($AD$2:AD1248)+SUMPRODUCT(($Q$2:$Q$1501="Collection 收款")*($R$2:$R$1501="Cheque 支票")*($V$2:$V$1501&lt;&gt;"")*($V$2:$V$1501&lt;=X1248)*($S$2:$S$1501-'Opening Balance'!$B$15*($R$2:$R$1501="Cheque 支票")*($S$2:$S$1501-TRUNC($S$2:$S$1501))))-'Opening Balance'!$B$15*SUMPRODUCT(($Z$2:Z1248="Online collection 网上收款")*($AA$2:AA1248&lt;&gt;"")*($AC$2:AC1248-TRUNC($AC$2:AC1248))),2))</f>
        <v/>
      </c>
    </row>
    <row r="1249">
      <c r="O1249" s="5" t="n"/>
      <c r="S1249" s="6" t="n"/>
      <c r="V1249" s="5" t="n"/>
      <c r="X1249" s="5" t="n"/>
      <c r="AC1249" s="6" t="n"/>
      <c r="AD1249" s="6" t="n"/>
      <c r="AE1249" s="7">
        <f>IF(X1249="","",ROUND('Opening Balance'!$B$4+SUM($AC$2:AC1249)-SUM($AD$2:AD1249)+SUMPRODUCT(($Q$2:$Q$1501="Collection 收款")*($R$2:$R$1501="Cheque 支票")*($V$2:$V$1501&lt;&gt;"")*($V$2:$V$1501&lt;=X1249)*($S$2:$S$1501-'Opening Balance'!$B$15*($R$2:$R$1501="Cheque 支票")*($S$2:$S$1501-TRUNC($S$2:$S$1501))))-'Opening Balance'!$B$15*SUMPRODUCT(($Z$2:Z1249="Online collection 网上收款")*($AA$2:AA1249&lt;&gt;"")*($AC$2:AC1249-TRUNC($AC$2:AC1249))),2))</f>
        <v/>
      </c>
    </row>
    <row r="1250">
      <c r="O1250" s="5" t="n"/>
      <c r="S1250" s="6" t="n"/>
      <c r="V1250" s="5" t="n"/>
      <c r="X1250" s="5" t="n"/>
      <c r="AC1250" s="6" t="n"/>
      <c r="AD1250" s="6" t="n"/>
      <c r="AE1250" s="7">
        <f>IF(X1250="","",ROUND('Opening Balance'!$B$4+SUM($AC$2:AC1250)-SUM($AD$2:AD1250)+SUMPRODUCT(($Q$2:$Q$1501="Collection 收款")*($R$2:$R$1501="Cheque 支票")*($V$2:$V$1501&lt;&gt;"")*($V$2:$V$1501&lt;=X1250)*($S$2:$S$1501-'Opening Balance'!$B$15*($R$2:$R$1501="Cheque 支票")*($S$2:$S$1501-TRUNC($S$2:$S$1501))))-'Opening Balance'!$B$15*SUMPRODUCT(($Z$2:Z1250="Online collection 网上收款")*($AA$2:AA1250&lt;&gt;"")*($AC$2:AC1250-TRUNC($AC$2:AC1250))),2))</f>
        <v/>
      </c>
    </row>
    <row r="1251">
      <c r="O1251" s="5" t="n"/>
      <c r="S1251" s="6" t="n"/>
      <c r="V1251" s="5" t="n"/>
      <c r="X1251" s="5" t="n"/>
      <c r="AC1251" s="6" t="n"/>
      <c r="AD1251" s="6" t="n"/>
      <c r="AE1251" s="7">
        <f>IF(X1251="","",ROUND('Opening Balance'!$B$4+SUM($AC$2:AC1251)-SUM($AD$2:AD1251)+SUMPRODUCT(($Q$2:$Q$1501="Collection 收款")*($R$2:$R$1501="Cheque 支票")*($V$2:$V$1501&lt;&gt;"")*($V$2:$V$1501&lt;=X1251)*($S$2:$S$1501-'Opening Balance'!$B$15*($R$2:$R$1501="Cheque 支票")*($S$2:$S$1501-TRUNC($S$2:$S$1501))))-'Opening Balance'!$B$15*SUMPRODUCT(($Z$2:Z1251="Online collection 网上收款")*($AA$2:AA1251&lt;&gt;"")*($AC$2:AC1251-TRUNC($AC$2:AC1251))),2))</f>
        <v/>
      </c>
    </row>
    <row r="1252">
      <c r="O1252" s="5" t="n"/>
      <c r="S1252" s="6" t="n"/>
      <c r="V1252" s="5" t="n"/>
      <c r="X1252" s="5" t="n"/>
      <c r="AC1252" s="6" t="n"/>
      <c r="AD1252" s="6" t="n"/>
      <c r="AE1252" s="7">
        <f>IF(X1252="","",ROUND('Opening Balance'!$B$4+SUM($AC$2:AC1252)-SUM($AD$2:AD1252)+SUMPRODUCT(($Q$2:$Q$1501="Collection 收款")*($R$2:$R$1501="Cheque 支票")*($V$2:$V$1501&lt;&gt;"")*($V$2:$V$1501&lt;=X1252)*($S$2:$S$1501-'Opening Balance'!$B$15*($R$2:$R$1501="Cheque 支票")*($S$2:$S$1501-TRUNC($S$2:$S$1501))))-'Opening Balance'!$B$15*SUMPRODUCT(($Z$2:Z1252="Online collection 网上收款")*($AA$2:AA1252&lt;&gt;"")*($AC$2:AC1252-TRUNC($AC$2:AC1252))),2))</f>
        <v/>
      </c>
    </row>
    <row r="1253">
      <c r="O1253" s="5" t="n"/>
      <c r="S1253" s="6" t="n"/>
      <c r="V1253" s="5" t="n"/>
      <c r="X1253" s="5" t="n"/>
      <c r="AC1253" s="6" t="n"/>
      <c r="AD1253" s="6" t="n"/>
      <c r="AE1253" s="7">
        <f>IF(X1253="","",ROUND('Opening Balance'!$B$4+SUM($AC$2:AC1253)-SUM($AD$2:AD1253)+SUMPRODUCT(($Q$2:$Q$1501="Collection 收款")*($R$2:$R$1501="Cheque 支票")*($V$2:$V$1501&lt;&gt;"")*($V$2:$V$1501&lt;=X1253)*($S$2:$S$1501-'Opening Balance'!$B$15*($R$2:$R$1501="Cheque 支票")*($S$2:$S$1501-TRUNC($S$2:$S$1501))))-'Opening Balance'!$B$15*SUMPRODUCT(($Z$2:Z1253="Online collection 网上收款")*($AA$2:AA1253&lt;&gt;"")*($AC$2:AC1253-TRUNC($AC$2:AC1253))),2))</f>
        <v/>
      </c>
    </row>
    <row r="1254">
      <c r="O1254" s="5" t="n"/>
      <c r="S1254" s="6" t="n"/>
      <c r="V1254" s="5" t="n"/>
      <c r="X1254" s="5" t="n"/>
      <c r="AC1254" s="6" t="n"/>
      <c r="AD1254" s="6" t="n"/>
      <c r="AE1254" s="7">
        <f>IF(X1254="","",ROUND('Opening Balance'!$B$4+SUM($AC$2:AC1254)-SUM($AD$2:AD1254)+SUMPRODUCT(($Q$2:$Q$1501="Collection 收款")*($R$2:$R$1501="Cheque 支票")*($V$2:$V$1501&lt;&gt;"")*($V$2:$V$1501&lt;=X1254)*($S$2:$S$1501-'Opening Balance'!$B$15*($R$2:$R$1501="Cheque 支票")*($S$2:$S$1501-TRUNC($S$2:$S$1501))))-'Opening Balance'!$B$15*SUMPRODUCT(($Z$2:Z1254="Online collection 网上收款")*($AA$2:AA1254&lt;&gt;"")*($AC$2:AC1254-TRUNC($AC$2:AC1254))),2))</f>
        <v/>
      </c>
    </row>
    <row r="1255">
      <c r="O1255" s="5" t="n"/>
      <c r="S1255" s="6" t="n"/>
      <c r="V1255" s="5" t="n"/>
      <c r="X1255" s="5" t="n"/>
      <c r="AC1255" s="6" t="n"/>
      <c r="AD1255" s="6" t="n"/>
      <c r="AE1255" s="7">
        <f>IF(X1255="","",ROUND('Opening Balance'!$B$4+SUM($AC$2:AC1255)-SUM($AD$2:AD1255)+SUMPRODUCT(($Q$2:$Q$1501="Collection 收款")*($R$2:$R$1501="Cheque 支票")*($V$2:$V$1501&lt;&gt;"")*($V$2:$V$1501&lt;=X1255)*($S$2:$S$1501-'Opening Balance'!$B$15*($R$2:$R$1501="Cheque 支票")*($S$2:$S$1501-TRUNC($S$2:$S$1501))))-'Opening Balance'!$B$15*SUMPRODUCT(($Z$2:Z1255="Online collection 网上收款")*($AA$2:AA1255&lt;&gt;"")*($AC$2:AC1255-TRUNC($AC$2:AC1255))),2))</f>
        <v/>
      </c>
    </row>
    <row r="1256">
      <c r="O1256" s="5" t="n"/>
      <c r="S1256" s="6" t="n"/>
      <c r="V1256" s="5" t="n"/>
      <c r="X1256" s="5" t="n"/>
      <c r="AC1256" s="6" t="n"/>
      <c r="AD1256" s="6" t="n"/>
      <c r="AE1256" s="7">
        <f>IF(X1256="","",ROUND('Opening Balance'!$B$4+SUM($AC$2:AC1256)-SUM($AD$2:AD1256)+SUMPRODUCT(($Q$2:$Q$1501="Collection 收款")*($R$2:$R$1501="Cheque 支票")*($V$2:$V$1501&lt;&gt;"")*($V$2:$V$1501&lt;=X1256)*($S$2:$S$1501-'Opening Balance'!$B$15*($R$2:$R$1501="Cheque 支票")*($S$2:$S$1501-TRUNC($S$2:$S$1501))))-'Opening Balance'!$B$15*SUMPRODUCT(($Z$2:Z1256="Online collection 网上收款")*($AA$2:AA1256&lt;&gt;"")*($AC$2:AC1256-TRUNC($AC$2:AC1256))),2))</f>
        <v/>
      </c>
    </row>
    <row r="1257">
      <c r="O1257" s="5" t="n"/>
      <c r="S1257" s="6" t="n"/>
      <c r="V1257" s="5" t="n"/>
      <c r="X1257" s="5" t="n"/>
      <c r="AC1257" s="6" t="n"/>
      <c r="AD1257" s="6" t="n"/>
      <c r="AE1257" s="7">
        <f>IF(X1257="","",ROUND('Opening Balance'!$B$4+SUM($AC$2:AC1257)-SUM($AD$2:AD1257)+SUMPRODUCT(($Q$2:$Q$1501="Collection 收款")*($R$2:$R$1501="Cheque 支票")*($V$2:$V$1501&lt;&gt;"")*($V$2:$V$1501&lt;=X1257)*($S$2:$S$1501-'Opening Balance'!$B$15*($R$2:$R$1501="Cheque 支票")*($S$2:$S$1501-TRUNC($S$2:$S$1501))))-'Opening Balance'!$B$15*SUMPRODUCT(($Z$2:Z1257="Online collection 网上收款")*($AA$2:AA1257&lt;&gt;"")*($AC$2:AC1257-TRUNC($AC$2:AC1257))),2))</f>
        <v/>
      </c>
    </row>
    <row r="1258">
      <c r="O1258" s="5" t="n"/>
      <c r="S1258" s="6" t="n"/>
      <c r="V1258" s="5" t="n"/>
      <c r="X1258" s="5" t="n"/>
      <c r="AC1258" s="6" t="n"/>
      <c r="AD1258" s="6" t="n"/>
      <c r="AE1258" s="7">
        <f>IF(X1258="","",ROUND('Opening Balance'!$B$4+SUM($AC$2:AC1258)-SUM($AD$2:AD1258)+SUMPRODUCT(($Q$2:$Q$1501="Collection 收款")*($R$2:$R$1501="Cheque 支票")*($V$2:$V$1501&lt;&gt;"")*($V$2:$V$1501&lt;=X1258)*($S$2:$S$1501-'Opening Balance'!$B$15*($R$2:$R$1501="Cheque 支票")*($S$2:$S$1501-TRUNC($S$2:$S$1501))))-'Opening Balance'!$B$15*SUMPRODUCT(($Z$2:Z1258="Online collection 网上收款")*($AA$2:AA1258&lt;&gt;"")*($AC$2:AC1258-TRUNC($AC$2:AC1258))),2))</f>
        <v/>
      </c>
    </row>
    <row r="1259">
      <c r="O1259" s="5" t="n"/>
      <c r="S1259" s="6" t="n"/>
      <c r="V1259" s="5" t="n"/>
      <c r="X1259" s="5" t="n"/>
      <c r="AC1259" s="6" t="n"/>
      <c r="AD1259" s="6" t="n"/>
      <c r="AE1259" s="7">
        <f>IF(X1259="","",ROUND('Opening Balance'!$B$4+SUM($AC$2:AC1259)-SUM($AD$2:AD1259)+SUMPRODUCT(($Q$2:$Q$1501="Collection 收款")*($R$2:$R$1501="Cheque 支票")*($V$2:$V$1501&lt;&gt;"")*($V$2:$V$1501&lt;=X1259)*($S$2:$S$1501-'Opening Balance'!$B$15*($R$2:$R$1501="Cheque 支票")*($S$2:$S$1501-TRUNC($S$2:$S$1501))))-'Opening Balance'!$B$15*SUMPRODUCT(($Z$2:Z1259="Online collection 网上收款")*($AA$2:AA1259&lt;&gt;"")*($AC$2:AC1259-TRUNC($AC$2:AC1259))),2))</f>
        <v/>
      </c>
    </row>
    <row r="1260">
      <c r="O1260" s="5" t="n"/>
      <c r="S1260" s="6" t="n"/>
      <c r="V1260" s="5" t="n"/>
      <c r="X1260" s="5" t="n"/>
      <c r="AC1260" s="6" t="n"/>
      <c r="AD1260" s="6" t="n"/>
      <c r="AE1260" s="7">
        <f>IF(X1260="","",ROUND('Opening Balance'!$B$4+SUM($AC$2:AC1260)-SUM($AD$2:AD1260)+SUMPRODUCT(($Q$2:$Q$1501="Collection 收款")*($R$2:$R$1501="Cheque 支票")*($V$2:$V$1501&lt;&gt;"")*($V$2:$V$1501&lt;=X1260)*($S$2:$S$1501-'Opening Balance'!$B$15*($R$2:$R$1501="Cheque 支票")*($S$2:$S$1501-TRUNC($S$2:$S$1501))))-'Opening Balance'!$B$15*SUMPRODUCT(($Z$2:Z1260="Online collection 网上收款")*($AA$2:AA1260&lt;&gt;"")*($AC$2:AC1260-TRUNC($AC$2:AC1260))),2))</f>
        <v/>
      </c>
    </row>
    <row r="1261">
      <c r="O1261" s="5" t="n"/>
      <c r="S1261" s="6" t="n"/>
      <c r="V1261" s="5" t="n"/>
      <c r="X1261" s="5" t="n"/>
      <c r="AC1261" s="6" t="n"/>
      <c r="AD1261" s="6" t="n"/>
      <c r="AE1261" s="7">
        <f>IF(X1261="","",ROUND('Opening Balance'!$B$4+SUM($AC$2:AC1261)-SUM($AD$2:AD1261)+SUMPRODUCT(($Q$2:$Q$1501="Collection 收款")*($R$2:$R$1501="Cheque 支票")*($V$2:$V$1501&lt;&gt;"")*($V$2:$V$1501&lt;=X1261)*($S$2:$S$1501-'Opening Balance'!$B$15*($R$2:$R$1501="Cheque 支票")*($S$2:$S$1501-TRUNC($S$2:$S$1501))))-'Opening Balance'!$B$15*SUMPRODUCT(($Z$2:Z1261="Online collection 网上收款")*($AA$2:AA1261&lt;&gt;"")*($AC$2:AC1261-TRUNC($AC$2:AC1261))),2))</f>
        <v/>
      </c>
    </row>
    <row r="1262">
      <c r="O1262" s="5" t="n"/>
      <c r="S1262" s="6" t="n"/>
      <c r="V1262" s="5" t="n"/>
      <c r="X1262" s="5" t="n"/>
      <c r="AC1262" s="6" t="n"/>
      <c r="AD1262" s="6" t="n"/>
      <c r="AE1262" s="7">
        <f>IF(X1262="","",ROUND('Opening Balance'!$B$4+SUM($AC$2:AC1262)-SUM($AD$2:AD1262)+SUMPRODUCT(($Q$2:$Q$1501="Collection 收款")*($R$2:$R$1501="Cheque 支票")*($V$2:$V$1501&lt;&gt;"")*($V$2:$V$1501&lt;=X1262)*($S$2:$S$1501-'Opening Balance'!$B$15*($R$2:$R$1501="Cheque 支票")*($S$2:$S$1501-TRUNC($S$2:$S$1501))))-'Opening Balance'!$B$15*SUMPRODUCT(($Z$2:Z1262="Online collection 网上收款")*($AA$2:AA1262&lt;&gt;"")*($AC$2:AC1262-TRUNC($AC$2:AC1262))),2))</f>
        <v/>
      </c>
    </row>
    <row r="1263">
      <c r="O1263" s="5" t="n"/>
      <c r="S1263" s="6" t="n"/>
      <c r="V1263" s="5" t="n"/>
      <c r="X1263" s="5" t="n"/>
      <c r="AC1263" s="6" t="n"/>
      <c r="AD1263" s="6" t="n"/>
      <c r="AE1263" s="7">
        <f>IF(X1263="","",ROUND('Opening Balance'!$B$4+SUM($AC$2:AC1263)-SUM($AD$2:AD1263)+SUMPRODUCT(($Q$2:$Q$1501="Collection 收款")*($R$2:$R$1501="Cheque 支票")*($V$2:$V$1501&lt;&gt;"")*($V$2:$V$1501&lt;=X1263)*($S$2:$S$1501-'Opening Balance'!$B$15*($R$2:$R$1501="Cheque 支票")*($S$2:$S$1501-TRUNC($S$2:$S$1501))))-'Opening Balance'!$B$15*SUMPRODUCT(($Z$2:Z1263="Online collection 网上收款")*($AA$2:AA1263&lt;&gt;"")*($AC$2:AC1263-TRUNC($AC$2:AC1263))),2))</f>
        <v/>
      </c>
    </row>
    <row r="1264">
      <c r="O1264" s="5" t="n"/>
      <c r="S1264" s="6" t="n"/>
      <c r="V1264" s="5" t="n"/>
      <c r="X1264" s="5" t="n"/>
      <c r="AC1264" s="6" t="n"/>
      <c r="AD1264" s="6" t="n"/>
      <c r="AE1264" s="7">
        <f>IF(X1264="","",ROUND('Opening Balance'!$B$4+SUM($AC$2:AC1264)-SUM($AD$2:AD1264)+SUMPRODUCT(($Q$2:$Q$1501="Collection 收款")*($R$2:$R$1501="Cheque 支票")*($V$2:$V$1501&lt;&gt;"")*($V$2:$V$1501&lt;=X1264)*($S$2:$S$1501-'Opening Balance'!$B$15*($R$2:$R$1501="Cheque 支票")*($S$2:$S$1501-TRUNC($S$2:$S$1501))))-'Opening Balance'!$B$15*SUMPRODUCT(($Z$2:Z1264="Online collection 网上收款")*($AA$2:AA1264&lt;&gt;"")*($AC$2:AC1264-TRUNC($AC$2:AC1264))),2))</f>
        <v/>
      </c>
    </row>
    <row r="1265">
      <c r="O1265" s="5" t="n"/>
      <c r="S1265" s="6" t="n"/>
      <c r="V1265" s="5" t="n"/>
      <c r="X1265" s="5" t="n"/>
      <c r="AC1265" s="6" t="n"/>
      <c r="AD1265" s="6" t="n"/>
      <c r="AE1265" s="7">
        <f>IF(X1265="","",ROUND('Opening Balance'!$B$4+SUM($AC$2:AC1265)-SUM($AD$2:AD1265)+SUMPRODUCT(($Q$2:$Q$1501="Collection 收款")*($R$2:$R$1501="Cheque 支票")*($V$2:$V$1501&lt;&gt;"")*($V$2:$V$1501&lt;=X1265)*($S$2:$S$1501-'Opening Balance'!$B$15*($R$2:$R$1501="Cheque 支票")*($S$2:$S$1501-TRUNC($S$2:$S$1501))))-'Opening Balance'!$B$15*SUMPRODUCT(($Z$2:Z1265="Online collection 网上收款")*($AA$2:AA1265&lt;&gt;"")*($AC$2:AC1265-TRUNC($AC$2:AC1265))),2))</f>
        <v/>
      </c>
    </row>
    <row r="1266">
      <c r="O1266" s="5" t="n"/>
      <c r="S1266" s="6" t="n"/>
      <c r="V1266" s="5" t="n"/>
      <c r="X1266" s="5" t="n"/>
      <c r="AC1266" s="6" t="n"/>
      <c r="AD1266" s="6" t="n"/>
      <c r="AE1266" s="7">
        <f>IF(X1266="","",ROUND('Opening Balance'!$B$4+SUM($AC$2:AC1266)-SUM($AD$2:AD1266)+SUMPRODUCT(($Q$2:$Q$1501="Collection 收款")*($R$2:$R$1501="Cheque 支票")*($V$2:$V$1501&lt;&gt;"")*($V$2:$V$1501&lt;=X1266)*($S$2:$S$1501-'Opening Balance'!$B$15*($R$2:$R$1501="Cheque 支票")*($S$2:$S$1501-TRUNC($S$2:$S$1501))))-'Opening Balance'!$B$15*SUMPRODUCT(($Z$2:Z1266="Online collection 网上收款")*($AA$2:AA1266&lt;&gt;"")*($AC$2:AC1266-TRUNC($AC$2:AC1266))),2))</f>
        <v/>
      </c>
    </row>
    <row r="1267">
      <c r="O1267" s="5" t="n"/>
      <c r="S1267" s="6" t="n"/>
      <c r="V1267" s="5" t="n"/>
      <c r="X1267" s="5" t="n"/>
      <c r="AC1267" s="6" t="n"/>
      <c r="AD1267" s="6" t="n"/>
      <c r="AE1267" s="7">
        <f>IF(X1267="","",ROUND('Opening Balance'!$B$4+SUM($AC$2:AC1267)-SUM($AD$2:AD1267)+SUMPRODUCT(($Q$2:$Q$1501="Collection 收款")*($R$2:$R$1501="Cheque 支票")*($V$2:$V$1501&lt;&gt;"")*($V$2:$V$1501&lt;=X1267)*($S$2:$S$1501-'Opening Balance'!$B$15*($R$2:$R$1501="Cheque 支票")*($S$2:$S$1501-TRUNC($S$2:$S$1501))))-'Opening Balance'!$B$15*SUMPRODUCT(($Z$2:Z1267="Online collection 网上收款")*($AA$2:AA1267&lt;&gt;"")*($AC$2:AC1267-TRUNC($AC$2:AC1267))),2))</f>
        <v/>
      </c>
    </row>
    <row r="1268">
      <c r="O1268" s="5" t="n"/>
      <c r="S1268" s="6" t="n"/>
      <c r="V1268" s="5" t="n"/>
      <c r="X1268" s="5" t="n"/>
      <c r="AC1268" s="6" t="n"/>
      <c r="AD1268" s="6" t="n"/>
      <c r="AE1268" s="7">
        <f>IF(X1268="","",ROUND('Opening Balance'!$B$4+SUM($AC$2:AC1268)-SUM($AD$2:AD1268)+SUMPRODUCT(($Q$2:$Q$1501="Collection 收款")*($R$2:$R$1501="Cheque 支票")*($V$2:$V$1501&lt;&gt;"")*($V$2:$V$1501&lt;=X1268)*($S$2:$S$1501-'Opening Balance'!$B$15*($R$2:$R$1501="Cheque 支票")*($S$2:$S$1501-TRUNC($S$2:$S$1501))))-'Opening Balance'!$B$15*SUMPRODUCT(($Z$2:Z1268="Online collection 网上收款")*($AA$2:AA1268&lt;&gt;"")*($AC$2:AC1268-TRUNC($AC$2:AC1268))),2))</f>
        <v/>
      </c>
    </row>
    <row r="1269">
      <c r="O1269" s="5" t="n"/>
      <c r="S1269" s="6" t="n"/>
      <c r="V1269" s="5" t="n"/>
      <c r="X1269" s="5" t="n"/>
      <c r="AC1269" s="6" t="n"/>
      <c r="AD1269" s="6" t="n"/>
      <c r="AE1269" s="7">
        <f>IF(X1269="","",ROUND('Opening Balance'!$B$4+SUM($AC$2:AC1269)-SUM($AD$2:AD1269)+SUMPRODUCT(($Q$2:$Q$1501="Collection 收款")*($R$2:$R$1501="Cheque 支票")*($V$2:$V$1501&lt;&gt;"")*($V$2:$V$1501&lt;=X1269)*($S$2:$S$1501-'Opening Balance'!$B$15*($R$2:$R$1501="Cheque 支票")*($S$2:$S$1501-TRUNC($S$2:$S$1501))))-'Opening Balance'!$B$15*SUMPRODUCT(($Z$2:Z1269="Online collection 网上收款")*($AA$2:AA1269&lt;&gt;"")*($AC$2:AC1269-TRUNC($AC$2:AC1269))),2))</f>
        <v/>
      </c>
    </row>
    <row r="1270">
      <c r="O1270" s="5" t="n"/>
      <c r="S1270" s="6" t="n"/>
      <c r="V1270" s="5" t="n"/>
      <c r="X1270" s="5" t="n"/>
      <c r="AC1270" s="6" t="n"/>
      <c r="AD1270" s="6" t="n"/>
      <c r="AE1270" s="7">
        <f>IF(X1270="","",ROUND('Opening Balance'!$B$4+SUM($AC$2:AC1270)-SUM($AD$2:AD1270)+SUMPRODUCT(($Q$2:$Q$1501="Collection 收款")*($R$2:$R$1501="Cheque 支票")*($V$2:$V$1501&lt;&gt;"")*($V$2:$V$1501&lt;=X1270)*($S$2:$S$1501-'Opening Balance'!$B$15*($R$2:$R$1501="Cheque 支票")*($S$2:$S$1501-TRUNC($S$2:$S$1501))))-'Opening Balance'!$B$15*SUMPRODUCT(($Z$2:Z1270="Online collection 网上收款")*($AA$2:AA1270&lt;&gt;"")*($AC$2:AC1270-TRUNC($AC$2:AC1270))),2))</f>
        <v/>
      </c>
    </row>
    <row r="1271">
      <c r="O1271" s="5" t="n"/>
      <c r="S1271" s="6" t="n"/>
      <c r="V1271" s="5" t="n"/>
      <c r="X1271" s="5" t="n"/>
      <c r="AC1271" s="6" t="n"/>
      <c r="AD1271" s="6" t="n"/>
      <c r="AE1271" s="7">
        <f>IF(X1271="","",ROUND('Opening Balance'!$B$4+SUM($AC$2:AC1271)-SUM($AD$2:AD1271)+SUMPRODUCT(($Q$2:$Q$1501="Collection 收款")*($R$2:$R$1501="Cheque 支票")*($V$2:$V$1501&lt;&gt;"")*($V$2:$V$1501&lt;=X1271)*($S$2:$S$1501-'Opening Balance'!$B$15*($R$2:$R$1501="Cheque 支票")*($S$2:$S$1501-TRUNC($S$2:$S$1501))))-'Opening Balance'!$B$15*SUMPRODUCT(($Z$2:Z1271="Online collection 网上收款")*($AA$2:AA1271&lt;&gt;"")*($AC$2:AC1271-TRUNC($AC$2:AC1271))),2))</f>
        <v/>
      </c>
    </row>
    <row r="1272">
      <c r="O1272" s="5" t="n"/>
      <c r="S1272" s="6" t="n"/>
      <c r="V1272" s="5" t="n"/>
      <c r="X1272" s="5" t="n"/>
      <c r="AC1272" s="6" t="n"/>
      <c r="AD1272" s="6" t="n"/>
      <c r="AE1272" s="7">
        <f>IF(X1272="","",ROUND('Opening Balance'!$B$4+SUM($AC$2:AC1272)-SUM($AD$2:AD1272)+SUMPRODUCT(($Q$2:$Q$1501="Collection 收款")*($R$2:$R$1501="Cheque 支票")*($V$2:$V$1501&lt;&gt;"")*($V$2:$V$1501&lt;=X1272)*($S$2:$S$1501-'Opening Balance'!$B$15*($R$2:$R$1501="Cheque 支票")*($S$2:$S$1501-TRUNC($S$2:$S$1501))))-'Opening Balance'!$B$15*SUMPRODUCT(($Z$2:Z1272="Online collection 网上收款")*($AA$2:AA1272&lt;&gt;"")*($AC$2:AC1272-TRUNC($AC$2:AC1272))),2))</f>
        <v/>
      </c>
    </row>
    <row r="1273">
      <c r="O1273" s="5" t="n"/>
      <c r="S1273" s="6" t="n"/>
      <c r="V1273" s="5" t="n"/>
      <c r="X1273" s="5" t="n"/>
      <c r="AC1273" s="6" t="n"/>
      <c r="AD1273" s="6" t="n"/>
      <c r="AE1273" s="7">
        <f>IF(X1273="","",ROUND('Opening Balance'!$B$4+SUM($AC$2:AC1273)-SUM($AD$2:AD1273)+SUMPRODUCT(($Q$2:$Q$1501="Collection 收款")*($R$2:$R$1501="Cheque 支票")*($V$2:$V$1501&lt;&gt;"")*($V$2:$V$1501&lt;=X1273)*($S$2:$S$1501-'Opening Balance'!$B$15*($R$2:$R$1501="Cheque 支票")*($S$2:$S$1501-TRUNC($S$2:$S$1501))))-'Opening Balance'!$B$15*SUMPRODUCT(($Z$2:Z1273="Online collection 网上收款")*($AA$2:AA1273&lt;&gt;"")*($AC$2:AC1273-TRUNC($AC$2:AC1273))),2))</f>
        <v/>
      </c>
    </row>
    <row r="1274">
      <c r="O1274" s="5" t="n"/>
      <c r="S1274" s="6" t="n"/>
      <c r="V1274" s="5" t="n"/>
      <c r="X1274" s="5" t="n"/>
      <c r="AC1274" s="6" t="n"/>
      <c r="AD1274" s="6" t="n"/>
      <c r="AE1274" s="7">
        <f>IF(X1274="","",ROUND('Opening Balance'!$B$4+SUM($AC$2:AC1274)-SUM($AD$2:AD1274)+SUMPRODUCT(($Q$2:$Q$1501="Collection 收款")*($R$2:$R$1501="Cheque 支票")*($V$2:$V$1501&lt;&gt;"")*($V$2:$V$1501&lt;=X1274)*($S$2:$S$1501-'Opening Balance'!$B$15*($R$2:$R$1501="Cheque 支票")*($S$2:$S$1501-TRUNC($S$2:$S$1501))))-'Opening Balance'!$B$15*SUMPRODUCT(($Z$2:Z1274="Online collection 网上收款")*($AA$2:AA1274&lt;&gt;"")*($AC$2:AC1274-TRUNC($AC$2:AC1274))),2))</f>
        <v/>
      </c>
    </row>
    <row r="1275">
      <c r="O1275" s="5" t="n"/>
      <c r="S1275" s="6" t="n"/>
      <c r="V1275" s="5" t="n"/>
      <c r="X1275" s="5" t="n"/>
      <c r="AC1275" s="6" t="n"/>
      <c r="AD1275" s="6" t="n"/>
      <c r="AE1275" s="7">
        <f>IF(X1275="","",ROUND('Opening Balance'!$B$4+SUM($AC$2:AC1275)-SUM($AD$2:AD1275)+SUMPRODUCT(($Q$2:$Q$1501="Collection 收款")*($R$2:$R$1501="Cheque 支票")*($V$2:$V$1501&lt;&gt;"")*($V$2:$V$1501&lt;=X1275)*($S$2:$S$1501-'Opening Balance'!$B$15*($R$2:$R$1501="Cheque 支票")*($S$2:$S$1501-TRUNC($S$2:$S$1501))))-'Opening Balance'!$B$15*SUMPRODUCT(($Z$2:Z1275="Online collection 网上收款")*($AA$2:AA1275&lt;&gt;"")*($AC$2:AC1275-TRUNC($AC$2:AC1275))),2))</f>
        <v/>
      </c>
    </row>
    <row r="1276">
      <c r="O1276" s="5" t="n"/>
      <c r="S1276" s="6" t="n"/>
      <c r="V1276" s="5" t="n"/>
      <c r="X1276" s="5" t="n"/>
      <c r="AC1276" s="6" t="n"/>
      <c r="AD1276" s="6" t="n"/>
      <c r="AE1276" s="7">
        <f>IF(X1276="","",ROUND('Opening Balance'!$B$4+SUM($AC$2:AC1276)-SUM($AD$2:AD1276)+SUMPRODUCT(($Q$2:$Q$1501="Collection 收款")*($R$2:$R$1501="Cheque 支票")*($V$2:$V$1501&lt;&gt;"")*($V$2:$V$1501&lt;=X1276)*($S$2:$S$1501-'Opening Balance'!$B$15*($R$2:$R$1501="Cheque 支票")*($S$2:$S$1501-TRUNC($S$2:$S$1501))))-'Opening Balance'!$B$15*SUMPRODUCT(($Z$2:Z1276="Online collection 网上收款")*($AA$2:AA1276&lt;&gt;"")*($AC$2:AC1276-TRUNC($AC$2:AC1276))),2))</f>
        <v/>
      </c>
    </row>
    <row r="1277">
      <c r="O1277" s="5" t="n"/>
      <c r="S1277" s="6" t="n"/>
      <c r="V1277" s="5" t="n"/>
      <c r="X1277" s="5" t="n"/>
      <c r="AC1277" s="6" t="n"/>
      <c r="AD1277" s="6" t="n"/>
      <c r="AE1277" s="7">
        <f>IF(X1277="","",ROUND('Opening Balance'!$B$4+SUM($AC$2:AC1277)-SUM($AD$2:AD1277)+SUMPRODUCT(($Q$2:$Q$1501="Collection 收款")*($R$2:$R$1501="Cheque 支票")*($V$2:$V$1501&lt;&gt;"")*($V$2:$V$1501&lt;=X1277)*($S$2:$S$1501-'Opening Balance'!$B$15*($R$2:$R$1501="Cheque 支票")*($S$2:$S$1501-TRUNC($S$2:$S$1501))))-'Opening Balance'!$B$15*SUMPRODUCT(($Z$2:Z1277="Online collection 网上收款")*($AA$2:AA1277&lt;&gt;"")*($AC$2:AC1277-TRUNC($AC$2:AC1277))),2))</f>
        <v/>
      </c>
    </row>
    <row r="1278">
      <c r="O1278" s="5" t="n"/>
      <c r="S1278" s="6" t="n"/>
      <c r="V1278" s="5" t="n"/>
      <c r="X1278" s="5" t="n"/>
      <c r="AC1278" s="6" t="n"/>
      <c r="AD1278" s="6" t="n"/>
      <c r="AE1278" s="7">
        <f>IF(X1278="","",ROUND('Opening Balance'!$B$4+SUM($AC$2:AC1278)-SUM($AD$2:AD1278)+SUMPRODUCT(($Q$2:$Q$1501="Collection 收款")*($R$2:$R$1501="Cheque 支票")*($V$2:$V$1501&lt;&gt;"")*($V$2:$V$1501&lt;=X1278)*($S$2:$S$1501-'Opening Balance'!$B$15*($R$2:$R$1501="Cheque 支票")*($S$2:$S$1501-TRUNC($S$2:$S$1501))))-'Opening Balance'!$B$15*SUMPRODUCT(($Z$2:Z1278="Online collection 网上收款")*($AA$2:AA1278&lt;&gt;"")*($AC$2:AC1278-TRUNC($AC$2:AC1278))),2))</f>
        <v/>
      </c>
    </row>
    <row r="1279">
      <c r="O1279" s="5" t="n"/>
      <c r="S1279" s="6" t="n"/>
      <c r="V1279" s="5" t="n"/>
      <c r="X1279" s="5" t="n"/>
      <c r="AC1279" s="6" t="n"/>
      <c r="AD1279" s="6" t="n"/>
      <c r="AE1279" s="7">
        <f>IF(X1279="","",ROUND('Opening Balance'!$B$4+SUM($AC$2:AC1279)-SUM($AD$2:AD1279)+SUMPRODUCT(($Q$2:$Q$1501="Collection 收款")*($R$2:$R$1501="Cheque 支票")*($V$2:$V$1501&lt;&gt;"")*($V$2:$V$1501&lt;=X1279)*($S$2:$S$1501-'Opening Balance'!$B$15*($R$2:$R$1501="Cheque 支票")*($S$2:$S$1501-TRUNC($S$2:$S$1501))))-'Opening Balance'!$B$15*SUMPRODUCT(($Z$2:Z1279="Online collection 网上收款")*($AA$2:AA1279&lt;&gt;"")*($AC$2:AC1279-TRUNC($AC$2:AC1279))),2))</f>
        <v/>
      </c>
    </row>
    <row r="1280">
      <c r="O1280" s="5" t="n"/>
      <c r="S1280" s="6" t="n"/>
      <c r="V1280" s="5" t="n"/>
      <c r="X1280" s="5" t="n"/>
      <c r="AC1280" s="6" t="n"/>
      <c r="AD1280" s="6" t="n"/>
      <c r="AE1280" s="7">
        <f>IF(X1280="","",ROUND('Opening Balance'!$B$4+SUM($AC$2:AC1280)-SUM($AD$2:AD1280)+SUMPRODUCT(($Q$2:$Q$1501="Collection 收款")*($R$2:$R$1501="Cheque 支票")*($V$2:$V$1501&lt;&gt;"")*($V$2:$V$1501&lt;=X1280)*($S$2:$S$1501-'Opening Balance'!$B$15*($R$2:$R$1501="Cheque 支票")*($S$2:$S$1501-TRUNC($S$2:$S$1501))))-'Opening Balance'!$B$15*SUMPRODUCT(($Z$2:Z1280="Online collection 网上收款")*($AA$2:AA1280&lt;&gt;"")*($AC$2:AC1280-TRUNC($AC$2:AC1280))),2))</f>
        <v/>
      </c>
    </row>
    <row r="1281">
      <c r="O1281" s="5" t="n"/>
      <c r="S1281" s="6" t="n"/>
      <c r="V1281" s="5" t="n"/>
      <c r="X1281" s="5" t="n"/>
      <c r="AC1281" s="6" t="n"/>
      <c r="AD1281" s="6" t="n"/>
      <c r="AE1281" s="7">
        <f>IF(X1281="","",ROUND('Opening Balance'!$B$4+SUM($AC$2:AC1281)-SUM($AD$2:AD1281)+SUMPRODUCT(($Q$2:$Q$1501="Collection 收款")*($R$2:$R$1501="Cheque 支票")*($V$2:$V$1501&lt;&gt;"")*($V$2:$V$1501&lt;=X1281)*($S$2:$S$1501-'Opening Balance'!$B$15*($R$2:$R$1501="Cheque 支票")*($S$2:$S$1501-TRUNC($S$2:$S$1501))))-'Opening Balance'!$B$15*SUMPRODUCT(($Z$2:Z1281="Online collection 网上收款")*($AA$2:AA1281&lt;&gt;"")*($AC$2:AC1281-TRUNC($AC$2:AC1281))),2))</f>
        <v/>
      </c>
    </row>
    <row r="1282">
      <c r="O1282" s="5" t="n"/>
      <c r="S1282" s="6" t="n"/>
      <c r="V1282" s="5" t="n"/>
      <c r="X1282" s="5" t="n"/>
      <c r="AC1282" s="6" t="n"/>
      <c r="AD1282" s="6" t="n"/>
      <c r="AE1282" s="7">
        <f>IF(X1282="","",ROUND('Opening Balance'!$B$4+SUM($AC$2:AC1282)-SUM($AD$2:AD1282)+SUMPRODUCT(($Q$2:$Q$1501="Collection 收款")*($R$2:$R$1501="Cheque 支票")*($V$2:$V$1501&lt;&gt;"")*($V$2:$V$1501&lt;=X1282)*($S$2:$S$1501-'Opening Balance'!$B$15*($R$2:$R$1501="Cheque 支票")*($S$2:$S$1501-TRUNC($S$2:$S$1501))))-'Opening Balance'!$B$15*SUMPRODUCT(($Z$2:Z1282="Online collection 网上收款")*($AA$2:AA1282&lt;&gt;"")*($AC$2:AC1282-TRUNC($AC$2:AC1282))),2))</f>
        <v/>
      </c>
    </row>
    <row r="1283">
      <c r="O1283" s="5" t="n"/>
      <c r="S1283" s="6" t="n"/>
      <c r="V1283" s="5" t="n"/>
      <c r="X1283" s="5" t="n"/>
      <c r="AC1283" s="6" t="n"/>
      <c r="AD1283" s="6" t="n"/>
      <c r="AE1283" s="7">
        <f>IF(X1283="","",ROUND('Opening Balance'!$B$4+SUM($AC$2:AC1283)-SUM($AD$2:AD1283)+SUMPRODUCT(($Q$2:$Q$1501="Collection 收款")*($R$2:$R$1501="Cheque 支票")*($V$2:$V$1501&lt;&gt;"")*($V$2:$V$1501&lt;=X1283)*($S$2:$S$1501-'Opening Balance'!$B$15*($R$2:$R$1501="Cheque 支票")*($S$2:$S$1501-TRUNC($S$2:$S$1501))))-'Opening Balance'!$B$15*SUMPRODUCT(($Z$2:Z1283="Online collection 网上收款")*($AA$2:AA1283&lt;&gt;"")*($AC$2:AC1283-TRUNC($AC$2:AC1283))),2))</f>
        <v/>
      </c>
    </row>
    <row r="1284">
      <c r="O1284" s="5" t="n"/>
      <c r="S1284" s="6" t="n"/>
      <c r="V1284" s="5" t="n"/>
      <c r="X1284" s="5" t="n"/>
      <c r="AC1284" s="6" t="n"/>
      <c r="AD1284" s="6" t="n"/>
      <c r="AE1284" s="7">
        <f>IF(X1284="","",ROUND('Opening Balance'!$B$4+SUM($AC$2:AC1284)-SUM($AD$2:AD1284)+SUMPRODUCT(($Q$2:$Q$1501="Collection 收款")*($R$2:$R$1501="Cheque 支票")*($V$2:$V$1501&lt;&gt;"")*($V$2:$V$1501&lt;=X1284)*($S$2:$S$1501-'Opening Balance'!$B$15*($R$2:$R$1501="Cheque 支票")*($S$2:$S$1501-TRUNC($S$2:$S$1501))))-'Opening Balance'!$B$15*SUMPRODUCT(($Z$2:Z1284="Online collection 网上收款")*($AA$2:AA1284&lt;&gt;"")*($AC$2:AC1284-TRUNC($AC$2:AC1284))),2))</f>
        <v/>
      </c>
    </row>
    <row r="1285">
      <c r="O1285" s="5" t="n"/>
      <c r="S1285" s="6" t="n"/>
      <c r="V1285" s="5" t="n"/>
      <c r="X1285" s="5" t="n"/>
      <c r="AC1285" s="6" t="n"/>
      <c r="AD1285" s="6" t="n"/>
      <c r="AE1285" s="7">
        <f>IF(X1285="","",ROUND('Opening Balance'!$B$4+SUM($AC$2:AC1285)-SUM($AD$2:AD1285)+SUMPRODUCT(($Q$2:$Q$1501="Collection 收款")*($R$2:$R$1501="Cheque 支票")*($V$2:$V$1501&lt;&gt;"")*($V$2:$V$1501&lt;=X1285)*($S$2:$S$1501-'Opening Balance'!$B$15*($R$2:$R$1501="Cheque 支票")*($S$2:$S$1501-TRUNC($S$2:$S$1501))))-'Opening Balance'!$B$15*SUMPRODUCT(($Z$2:Z1285="Online collection 网上收款")*($AA$2:AA1285&lt;&gt;"")*($AC$2:AC1285-TRUNC($AC$2:AC1285))),2))</f>
        <v/>
      </c>
    </row>
    <row r="1286">
      <c r="O1286" s="5" t="n"/>
      <c r="S1286" s="6" t="n"/>
      <c r="V1286" s="5" t="n"/>
      <c r="X1286" s="5" t="n"/>
      <c r="AC1286" s="6" t="n"/>
      <c r="AD1286" s="6" t="n"/>
      <c r="AE1286" s="7">
        <f>IF(X1286="","",ROUND('Opening Balance'!$B$4+SUM($AC$2:AC1286)-SUM($AD$2:AD1286)+SUMPRODUCT(($Q$2:$Q$1501="Collection 收款")*($R$2:$R$1501="Cheque 支票")*($V$2:$V$1501&lt;&gt;"")*($V$2:$V$1501&lt;=X1286)*($S$2:$S$1501-'Opening Balance'!$B$15*($R$2:$R$1501="Cheque 支票")*($S$2:$S$1501-TRUNC($S$2:$S$1501))))-'Opening Balance'!$B$15*SUMPRODUCT(($Z$2:Z1286="Online collection 网上收款")*($AA$2:AA1286&lt;&gt;"")*($AC$2:AC1286-TRUNC($AC$2:AC1286))),2))</f>
        <v/>
      </c>
    </row>
    <row r="1287">
      <c r="O1287" s="5" t="n"/>
      <c r="S1287" s="6" t="n"/>
      <c r="V1287" s="5" t="n"/>
      <c r="X1287" s="5" t="n"/>
      <c r="AC1287" s="6" t="n"/>
      <c r="AD1287" s="6" t="n"/>
      <c r="AE1287" s="7">
        <f>IF(X1287="","",ROUND('Opening Balance'!$B$4+SUM($AC$2:AC1287)-SUM($AD$2:AD1287)+SUMPRODUCT(($Q$2:$Q$1501="Collection 收款")*($R$2:$R$1501="Cheque 支票")*($V$2:$V$1501&lt;&gt;"")*($V$2:$V$1501&lt;=X1287)*($S$2:$S$1501-'Opening Balance'!$B$15*($R$2:$R$1501="Cheque 支票")*($S$2:$S$1501-TRUNC($S$2:$S$1501))))-'Opening Balance'!$B$15*SUMPRODUCT(($Z$2:Z1287="Online collection 网上收款")*($AA$2:AA1287&lt;&gt;"")*($AC$2:AC1287-TRUNC($AC$2:AC1287))),2))</f>
        <v/>
      </c>
    </row>
    <row r="1288">
      <c r="O1288" s="5" t="n"/>
      <c r="S1288" s="6" t="n"/>
      <c r="V1288" s="5" t="n"/>
      <c r="X1288" s="5" t="n"/>
      <c r="AC1288" s="6" t="n"/>
      <c r="AD1288" s="6" t="n"/>
      <c r="AE1288" s="7">
        <f>IF(X1288="","",ROUND('Opening Balance'!$B$4+SUM($AC$2:AC1288)-SUM($AD$2:AD1288)+SUMPRODUCT(($Q$2:$Q$1501="Collection 收款")*($R$2:$R$1501="Cheque 支票")*($V$2:$V$1501&lt;&gt;"")*($V$2:$V$1501&lt;=X1288)*($S$2:$S$1501-'Opening Balance'!$B$15*($R$2:$R$1501="Cheque 支票")*($S$2:$S$1501-TRUNC($S$2:$S$1501))))-'Opening Balance'!$B$15*SUMPRODUCT(($Z$2:Z1288="Online collection 网上收款")*($AA$2:AA1288&lt;&gt;"")*($AC$2:AC1288-TRUNC($AC$2:AC1288))),2))</f>
        <v/>
      </c>
    </row>
    <row r="1289">
      <c r="O1289" s="5" t="n"/>
      <c r="S1289" s="6" t="n"/>
      <c r="V1289" s="5" t="n"/>
      <c r="X1289" s="5" t="n"/>
      <c r="AC1289" s="6" t="n"/>
      <c r="AD1289" s="6" t="n"/>
      <c r="AE1289" s="7">
        <f>IF(X1289="","",ROUND('Opening Balance'!$B$4+SUM($AC$2:AC1289)-SUM($AD$2:AD1289)+SUMPRODUCT(($Q$2:$Q$1501="Collection 收款")*($R$2:$R$1501="Cheque 支票")*($V$2:$V$1501&lt;&gt;"")*($V$2:$V$1501&lt;=X1289)*($S$2:$S$1501-'Opening Balance'!$B$15*($R$2:$R$1501="Cheque 支票")*($S$2:$S$1501-TRUNC($S$2:$S$1501))))-'Opening Balance'!$B$15*SUMPRODUCT(($Z$2:Z1289="Online collection 网上收款")*($AA$2:AA1289&lt;&gt;"")*($AC$2:AC1289-TRUNC($AC$2:AC1289))),2))</f>
        <v/>
      </c>
    </row>
    <row r="1290">
      <c r="O1290" s="5" t="n"/>
      <c r="S1290" s="6" t="n"/>
      <c r="V1290" s="5" t="n"/>
      <c r="X1290" s="5" t="n"/>
      <c r="AC1290" s="6" t="n"/>
      <c r="AD1290" s="6" t="n"/>
      <c r="AE1290" s="7">
        <f>IF(X1290="","",ROUND('Opening Balance'!$B$4+SUM($AC$2:AC1290)-SUM($AD$2:AD1290)+SUMPRODUCT(($Q$2:$Q$1501="Collection 收款")*($R$2:$R$1501="Cheque 支票")*($V$2:$V$1501&lt;&gt;"")*($V$2:$V$1501&lt;=X1290)*($S$2:$S$1501-'Opening Balance'!$B$15*($R$2:$R$1501="Cheque 支票")*($S$2:$S$1501-TRUNC($S$2:$S$1501))))-'Opening Balance'!$B$15*SUMPRODUCT(($Z$2:Z1290="Online collection 网上收款")*($AA$2:AA1290&lt;&gt;"")*($AC$2:AC1290-TRUNC($AC$2:AC1290))),2))</f>
        <v/>
      </c>
    </row>
    <row r="1291">
      <c r="O1291" s="5" t="n"/>
      <c r="S1291" s="6" t="n"/>
      <c r="V1291" s="5" t="n"/>
      <c r="X1291" s="5" t="n"/>
      <c r="AC1291" s="6" t="n"/>
      <c r="AD1291" s="6" t="n"/>
      <c r="AE1291" s="7">
        <f>IF(X1291="","",ROUND('Opening Balance'!$B$4+SUM($AC$2:AC1291)-SUM($AD$2:AD1291)+SUMPRODUCT(($Q$2:$Q$1501="Collection 收款")*($R$2:$R$1501="Cheque 支票")*($V$2:$V$1501&lt;&gt;"")*($V$2:$V$1501&lt;=X1291)*($S$2:$S$1501-'Opening Balance'!$B$15*($R$2:$R$1501="Cheque 支票")*($S$2:$S$1501-TRUNC($S$2:$S$1501))))-'Opening Balance'!$B$15*SUMPRODUCT(($Z$2:Z1291="Online collection 网上收款")*($AA$2:AA1291&lt;&gt;"")*($AC$2:AC1291-TRUNC($AC$2:AC1291))),2))</f>
        <v/>
      </c>
    </row>
    <row r="1292">
      <c r="O1292" s="5" t="n"/>
      <c r="S1292" s="6" t="n"/>
      <c r="V1292" s="5" t="n"/>
      <c r="X1292" s="5" t="n"/>
      <c r="AC1292" s="6" t="n"/>
      <c r="AD1292" s="6" t="n"/>
      <c r="AE1292" s="7">
        <f>IF(X1292="","",ROUND('Opening Balance'!$B$4+SUM($AC$2:AC1292)-SUM($AD$2:AD1292)+SUMPRODUCT(($Q$2:$Q$1501="Collection 收款")*($R$2:$R$1501="Cheque 支票")*($V$2:$V$1501&lt;&gt;"")*($V$2:$V$1501&lt;=X1292)*($S$2:$S$1501-'Opening Balance'!$B$15*($R$2:$R$1501="Cheque 支票")*($S$2:$S$1501-TRUNC($S$2:$S$1501))))-'Opening Balance'!$B$15*SUMPRODUCT(($Z$2:Z1292="Online collection 网上收款")*($AA$2:AA1292&lt;&gt;"")*($AC$2:AC1292-TRUNC($AC$2:AC1292))),2))</f>
        <v/>
      </c>
    </row>
    <row r="1293">
      <c r="O1293" s="5" t="n"/>
      <c r="S1293" s="6" t="n"/>
      <c r="V1293" s="5" t="n"/>
      <c r="X1293" s="5" t="n"/>
      <c r="AC1293" s="6" t="n"/>
      <c r="AD1293" s="6" t="n"/>
      <c r="AE1293" s="7">
        <f>IF(X1293="","",ROUND('Opening Balance'!$B$4+SUM($AC$2:AC1293)-SUM($AD$2:AD1293)+SUMPRODUCT(($Q$2:$Q$1501="Collection 收款")*($R$2:$R$1501="Cheque 支票")*($V$2:$V$1501&lt;&gt;"")*($V$2:$V$1501&lt;=X1293)*($S$2:$S$1501-'Opening Balance'!$B$15*($R$2:$R$1501="Cheque 支票")*($S$2:$S$1501-TRUNC($S$2:$S$1501))))-'Opening Balance'!$B$15*SUMPRODUCT(($Z$2:Z1293="Online collection 网上收款")*($AA$2:AA1293&lt;&gt;"")*($AC$2:AC1293-TRUNC($AC$2:AC1293))),2))</f>
        <v/>
      </c>
    </row>
    <row r="1294">
      <c r="O1294" s="5" t="n"/>
      <c r="S1294" s="6" t="n"/>
      <c r="V1294" s="5" t="n"/>
      <c r="X1294" s="5" t="n"/>
      <c r="AC1294" s="6" t="n"/>
      <c r="AD1294" s="6" t="n"/>
      <c r="AE1294" s="7">
        <f>IF(X1294="","",ROUND('Opening Balance'!$B$4+SUM($AC$2:AC1294)-SUM($AD$2:AD1294)+SUMPRODUCT(($Q$2:$Q$1501="Collection 收款")*($R$2:$R$1501="Cheque 支票")*($V$2:$V$1501&lt;&gt;"")*($V$2:$V$1501&lt;=X1294)*($S$2:$S$1501-'Opening Balance'!$B$15*($R$2:$R$1501="Cheque 支票")*($S$2:$S$1501-TRUNC($S$2:$S$1501))))-'Opening Balance'!$B$15*SUMPRODUCT(($Z$2:Z1294="Online collection 网上收款")*($AA$2:AA1294&lt;&gt;"")*($AC$2:AC1294-TRUNC($AC$2:AC1294))),2))</f>
        <v/>
      </c>
    </row>
    <row r="1295">
      <c r="O1295" s="5" t="n"/>
      <c r="S1295" s="6" t="n"/>
      <c r="V1295" s="5" t="n"/>
      <c r="X1295" s="5" t="n"/>
      <c r="AC1295" s="6" t="n"/>
      <c r="AD1295" s="6" t="n"/>
      <c r="AE1295" s="7">
        <f>IF(X1295="","",ROUND('Opening Balance'!$B$4+SUM($AC$2:AC1295)-SUM($AD$2:AD1295)+SUMPRODUCT(($Q$2:$Q$1501="Collection 收款")*($R$2:$R$1501="Cheque 支票")*($V$2:$V$1501&lt;&gt;"")*($V$2:$V$1501&lt;=X1295)*($S$2:$S$1501-'Opening Balance'!$B$15*($R$2:$R$1501="Cheque 支票")*($S$2:$S$1501-TRUNC($S$2:$S$1501))))-'Opening Balance'!$B$15*SUMPRODUCT(($Z$2:Z1295="Online collection 网上收款")*($AA$2:AA1295&lt;&gt;"")*($AC$2:AC1295-TRUNC($AC$2:AC1295))),2))</f>
        <v/>
      </c>
    </row>
    <row r="1296">
      <c r="O1296" s="5" t="n"/>
      <c r="S1296" s="6" t="n"/>
      <c r="V1296" s="5" t="n"/>
      <c r="X1296" s="5" t="n"/>
      <c r="AC1296" s="6" t="n"/>
      <c r="AD1296" s="6" t="n"/>
      <c r="AE1296" s="7">
        <f>IF(X1296="","",ROUND('Opening Balance'!$B$4+SUM($AC$2:AC1296)-SUM($AD$2:AD1296)+SUMPRODUCT(($Q$2:$Q$1501="Collection 收款")*($R$2:$R$1501="Cheque 支票")*($V$2:$V$1501&lt;&gt;"")*($V$2:$V$1501&lt;=X1296)*($S$2:$S$1501-'Opening Balance'!$B$15*($R$2:$R$1501="Cheque 支票")*($S$2:$S$1501-TRUNC($S$2:$S$1501))))-'Opening Balance'!$B$15*SUMPRODUCT(($Z$2:Z1296="Online collection 网上收款")*($AA$2:AA1296&lt;&gt;"")*($AC$2:AC1296-TRUNC($AC$2:AC1296))),2))</f>
        <v/>
      </c>
    </row>
    <row r="1297">
      <c r="O1297" s="5" t="n"/>
      <c r="S1297" s="6" t="n"/>
      <c r="V1297" s="5" t="n"/>
      <c r="X1297" s="5" t="n"/>
      <c r="AC1297" s="6" t="n"/>
      <c r="AD1297" s="6" t="n"/>
      <c r="AE1297" s="7">
        <f>IF(X1297="","",ROUND('Opening Balance'!$B$4+SUM($AC$2:AC1297)-SUM($AD$2:AD1297)+SUMPRODUCT(($Q$2:$Q$1501="Collection 收款")*($R$2:$R$1501="Cheque 支票")*($V$2:$V$1501&lt;&gt;"")*($V$2:$V$1501&lt;=X1297)*($S$2:$S$1501-'Opening Balance'!$B$15*($R$2:$R$1501="Cheque 支票")*($S$2:$S$1501-TRUNC($S$2:$S$1501))))-'Opening Balance'!$B$15*SUMPRODUCT(($Z$2:Z1297="Online collection 网上收款")*($AA$2:AA1297&lt;&gt;"")*($AC$2:AC1297-TRUNC($AC$2:AC1297))),2))</f>
        <v/>
      </c>
    </row>
    <row r="1298">
      <c r="O1298" s="5" t="n"/>
      <c r="S1298" s="6" t="n"/>
      <c r="V1298" s="5" t="n"/>
      <c r="X1298" s="5" t="n"/>
      <c r="AC1298" s="6" t="n"/>
      <c r="AD1298" s="6" t="n"/>
      <c r="AE1298" s="7">
        <f>IF(X1298="","",ROUND('Opening Balance'!$B$4+SUM($AC$2:AC1298)-SUM($AD$2:AD1298)+SUMPRODUCT(($Q$2:$Q$1501="Collection 收款")*($R$2:$R$1501="Cheque 支票")*($V$2:$V$1501&lt;&gt;"")*($V$2:$V$1501&lt;=X1298)*($S$2:$S$1501-'Opening Balance'!$B$15*($R$2:$R$1501="Cheque 支票")*($S$2:$S$1501-TRUNC($S$2:$S$1501))))-'Opening Balance'!$B$15*SUMPRODUCT(($Z$2:Z1298="Online collection 网上收款")*($AA$2:AA1298&lt;&gt;"")*($AC$2:AC1298-TRUNC($AC$2:AC1298))),2))</f>
        <v/>
      </c>
    </row>
    <row r="1299">
      <c r="O1299" s="5" t="n"/>
      <c r="S1299" s="6" t="n"/>
      <c r="V1299" s="5" t="n"/>
      <c r="X1299" s="5" t="n"/>
      <c r="AC1299" s="6" t="n"/>
      <c r="AD1299" s="6" t="n"/>
      <c r="AE1299" s="7">
        <f>IF(X1299="","",ROUND('Opening Balance'!$B$4+SUM($AC$2:AC1299)-SUM($AD$2:AD1299)+SUMPRODUCT(($Q$2:$Q$1501="Collection 收款")*($R$2:$R$1501="Cheque 支票")*($V$2:$V$1501&lt;&gt;"")*($V$2:$V$1501&lt;=X1299)*($S$2:$S$1501-'Opening Balance'!$B$15*($R$2:$R$1501="Cheque 支票")*($S$2:$S$1501-TRUNC($S$2:$S$1501))))-'Opening Balance'!$B$15*SUMPRODUCT(($Z$2:Z1299="Online collection 网上收款")*($AA$2:AA1299&lt;&gt;"")*($AC$2:AC1299-TRUNC($AC$2:AC1299))),2))</f>
        <v/>
      </c>
    </row>
    <row r="1300">
      <c r="O1300" s="5" t="n"/>
      <c r="S1300" s="6" t="n"/>
      <c r="V1300" s="5" t="n"/>
      <c r="X1300" s="5" t="n"/>
      <c r="AC1300" s="6" t="n"/>
      <c r="AD1300" s="6" t="n"/>
      <c r="AE1300" s="7">
        <f>IF(X1300="","",ROUND('Opening Balance'!$B$4+SUM($AC$2:AC1300)-SUM($AD$2:AD1300)+SUMPRODUCT(($Q$2:$Q$1501="Collection 收款")*($R$2:$R$1501="Cheque 支票")*($V$2:$V$1501&lt;&gt;"")*($V$2:$V$1501&lt;=X1300)*($S$2:$S$1501-'Opening Balance'!$B$15*($R$2:$R$1501="Cheque 支票")*($S$2:$S$1501-TRUNC($S$2:$S$1501))))-'Opening Balance'!$B$15*SUMPRODUCT(($Z$2:Z1300="Online collection 网上收款")*($AA$2:AA1300&lt;&gt;"")*($AC$2:AC1300-TRUNC($AC$2:AC1300))),2))</f>
        <v/>
      </c>
    </row>
    <row r="1301">
      <c r="O1301" s="5" t="n"/>
      <c r="S1301" s="6" t="n"/>
      <c r="V1301" s="5" t="n"/>
      <c r="X1301" s="5" t="n"/>
      <c r="AC1301" s="6" t="n"/>
      <c r="AD1301" s="6" t="n"/>
      <c r="AE1301" s="7">
        <f>IF(X1301="","",ROUND('Opening Balance'!$B$4+SUM($AC$2:AC1301)-SUM($AD$2:AD1301)+SUMPRODUCT(($Q$2:$Q$1501="Collection 收款")*($R$2:$R$1501="Cheque 支票")*($V$2:$V$1501&lt;&gt;"")*($V$2:$V$1501&lt;=X1301)*($S$2:$S$1501-'Opening Balance'!$B$15*($R$2:$R$1501="Cheque 支票")*($S$2:$S$1501-TRUNC($S$2:$S$1501))))-'Opening Balance'!$B$15*SUMPRODUCT(($Z$2:Z1301="Online collection 网上收款")*($AA$2:AA1301&lt;&gt;"")*($AC$2:AC1301-TRUNC($AC$2:AC1301))),2))</f>
        <v/>
      </c>
    </row>
    <row r="1302">
      <c r="O1302" s="5" t="n"/>
      <c r="S1302" s="6" t="n"/>
      <c r="V1302" s="5" t="n"/>
      <c r="X1302" s="5" t="n"/>
      <c r="AC1302" s="6" t="n"/>
      <c r="AD1302" s="6" t="n"/>
      <c r="AE1302" s="7">
        <f>IF(X1302="","",ROUND('Opening Balance'!$B$4+SUM($AC$2:AC1302)-SUM($AD$2:AD1302)+SUMPRODUCT(($Q$2:$Q$1501="Collection 收款")*($R$2:$R$1501="Cheque 支票")*($V$2:$V$1501&lt;&gt;"")*($V$2:$V$1501&lt;=X1302)*($S$2:$S$1501-'Opening Balance'!$B$15*($R$2:$R$1501="Cheque 支票")*($S$2:$S$1501-TRUNC($S$2:$S$1501))))-'Opening Balance'!$B$15*SUMPRODUCT(($Z$2:Z1302="Online collection 网上收款")*($AA$2:AA1302&lt;&gt;"")*($AC$2:AC1302-TRUNC($AC$2:AC1302))),2))</f>
        <v/>
      </c>
    </row>
    <row r="1303">
      <c r="O1303" s="5" t="n"/>
      <c r="S1303" s="6" t="n"/>
      <c r="V1303" s="5" t="n"/>
      <c r="X1303" s="5" t="n"/>
      <c r="AC1303" s="6" t="n"/>
      <c r="AD1303" s="6" t="n"/>
      <c r="AE1303" s="7">
        <f>IF(X1303="","",ROUND('Opening Balance'!$B$4+SUM($AC$2:AC1303)-SUM($AD$2:AD1303)+SUMPRODUCT(($Q$2:$Q$1501="Collection 收款")*($R$2:$R$1501="Cheque 支票")*($V$2:$V$1501&lt;&gt;"")*($V$2:$V$1501&lt;=X1303)*($S$2:$S$1501-'Opening Balance'!$B$15*($R$2:$R$1501="Cheque 支票")*($S$2:$S$1501-TRUNC($S$2:$S$1501))))-'Opening Balance'!$B$15*SUMPRODUCT(($Z$2:Z1303="Online collection 网上收款")*($AA$2:AA1303&lt;&gt;"")*($AC$2:AC1303-TRUNC($AC$2:AC1303))),2))</f>
        <v/>
      </c>
    </row>
    <row r="1304">
      <c r="O1304" s="5" t="n"/>
      <c r="S1304" s="6" t="n"/>
      <c r="V1304" s="5" t="n"/>
      <c r="X1304" s="5" t="n"/>
      <c r="AC1304" s="6" t="n"/>
      <c r="AD1304" s="6" t="n"/>
      <c r="AE1304" s="7">
        <f>IF(X1304="","",ROUND('Opening Balance'!$B$4+SUM($AC$2:AC1304)-SUM($AD$2:AD1304)+SUMPRODUCT(($Q$2:$Q$1501="Collection 收款")*($R$2:$R$1501="Cheque 支票")*($V$2:$V$1501&lt;&gt;"")*($V$2:$V$1501&lt;=X1304)*($S$2:$S$1501-'Opening Balance'!$B$15*($R$2:$R$1501="Cheque 支票")*($S$2:$S$1501-TRUNC($S$2:$S$1501))))-'Opening Balance'!$B$15*SUMPRODUCT(($Z$2:Z1304="Online collection 网上收款")*($AA$2:AA1304&lt;&gt;"")*($AC$2:AC1304-TRUNC($AC$2:AC1304))),2))</f>
        <v/>
      </c>
    </row>
    <row r="1305">
      <c r="O1305" s="5" t="n"/>
      <c r="S1305" s="6" t="n"/>
      <c r="V1305" s="5" t="n"/>
      <c r="X1305" s="5" t="n"/>
      <c r="AC1305" s="6" t="n"/>
      <c r="AD1305" s="6" t="n"/>
      <c r="AE1305" s="7">
        <f>IF(X1305="","",ROUND('Opening Balance'!$B$4+SUM($AC$2:AC1305)-SUM($AD$2:AD1305)+SUMPRODUCT(($Q$2:$Q$1501="Collection 收款")*($R$2:$R$1501="Cheque 支票")*($V$2:$V$1501&lt;&gt;"")*($V$2:$V$1501&lt;=X1305)*($S$2:$S$1501-'Opening Balance'!$B$15*($R$2:$R$1501="Cheque 支票")*($S$2:$S$1501-TRUNC($S$2:$S$1501))))-'Opening Balance'!$B$15*SUMPRODUCT(($Z$2:Z1305="Online collection 网上收款")*($AA$2:AA1305&lt;&gt;"")*($AC$2:AC1305-TRUNC($AC$2:AC1305))),2))</f>
        <v/>
      </c>
    </row>
    <row r="1306">
      <c r="O1306" s="5" t="n"/>
      <c r="S1306" s="6" t="n"/>
      <c r="V1306" s="5" t="n"/>
      <c r="X1306" s="5" t="n"/>
      <c r="AC1306" s="6" t="n"/>
      <c r="AD1306" s="6" t="n"/>
      <c r="AE1306" s="7">
        <f>IF(X1306="","",ROUND('Opening Balance'!$B$4+SUM($AC$2:AC1306)-SUM($AD$2:AD1306)+SUMPRODUCT(($Q$2:$Q$1501="Collection 收款")*($R$2:$R$1501="Cheque 支票")*($V$2:$V$1501&lt;&gt;"")*($V$2:$V$1501&lt;=X1306)*($S$2:$S$1501-'Opening Balance'!$B$15*($R$2:$R$1501="Cheque 支票")*($S$2:$S$1501-TRUNC($S$2:$S$1501))))-'Opening Balance'!$B$15*SUMPRODUCT(($Z$2:Z1306="Online collection 网上收款")*($AA$2:AA1306&lt;&gt;"")*($AC$2:AC1306-TRUNC($AC$2:AC1306))),2))</f>
        <v/>
      </c>
    </row>
    <row r="1307">
      <c r="O1307" s="5" t="n"/>
      <c r="S1307" s="6" t="n"/>
      <c r="V1307" s="5" t="n"/>
      <c r="X1307" s="5" t="n"/>
      <c r="AC1307" s="6" t="n"/>
      <c r="AD1307" s="6" t="n"/>
      <c r="AE1307" s="7">
        <f>IF(X1307="","",ROUND('Opening Balance'!$B$4+SUM($AC$2:AC1307)-SUM($AD$2:AD1307)+SUMPRODUCT(($Q$2:$Q$1501="Collection 收款")*($R$2:$R$1501="Cheque 支票")*($V$2:$V$1501&lt;&gt;"")*($V$2:$V$1501&lt;=X1307)*($S$2:$S$1501-'Opening Balance'!$B$15*($R$2:$R$1501="Cheque 支票")*($S$2:$S$1501-TRUNC($S$2:$S$1501))))-'Opening Balance'!$B$15*SUMPRODUCT(($Z$2:Z1307="Online collection 网上收款")*($AA$2:AA1307&lt;&gt;"")*($AC$2:AC1307-TRUNC($AC$2:AC1307))),2))</f>
        <v/>
      </c>
    </row>
    <row r="1308">
      <c r="O1308" s="5" t="n"/>
      <c r="S1308" s="6" t="n"/>
      <c r="V1308" s="5" t="n"/>
      <c r="X1308" s="5" t="n"/>
      <c r="AC1308" s="6" t="n"/>
      <c r="AD1308" s="6" t="n"/>
      <c r="AE1308" s="7">
        <f>IF(X1308="","",ROUND('Opening Balance'!$B$4+SUM($AC$2:AC1308)-SUM($AD$2:AD1308)+SUMPRODUCT(($Q$2:$Q$1501="Collection 收款")*($R$2:$R$1501="Cheque 支票")*($V$2:$V$1501&lt;&gt;"")*($V$2:$V$1501&lt;=X1308)*($S$2:$S$1501-'Opening Balance'!$B$15*($R$2:$R$1501="Cheque 支票")*($S$2:$S$1501-TRUNC($S$2:$S$1501))))-'Opening Balance'!$B$15*SUMPRODUCT(($Z$2:Z1308="Online collection 网上收款")*($AA$2:AA1308&lt;&gt;"")*($AC$2:AC1308-TRUNC($AC$2:AC1308))),2))</f>
        <v/>
      </c>
    </row>
    <row r="1309">
      <c r="O1309" s="5" t="n"/>
      <c r="S1309" s="6" t="n"/>
      <c r="V1309" s="5" t="n"/>
      <c r="X1309" s="5" t="n"/>
      <c r="AC1309" s="6" t="n"/>
      <c r="AD1309" s="6" t="n"/>
      <c r="AE1309" s="7">
        <f>IF(X1309="","",ROUND('Opening Balance'!$B$4+SUM($AC$2:AC1309)-SUM($AD$2:AD1309)+SUMPRODUCT(($Q$2:$Q$1501="Collection 收款")*($R$2:$R$1501="Cheque 支票")*($V$2:$V$1501&lt;&gt;"")*($V$2:$V$1501&lt;=X1309)*($S$2:$S$1501-'Opening Balance'!$B$15*($R$2:$R$1501="Cheque 支票")*($S$2:$S$1501-TRUNC($S$2:$S$1501))))-'Opening Balance'!$B$15*SUMPRODUCT(($Z$2:Z1309="Online collection 网上收款")*($AA$2:AA1309&lt;&gt;"")*($AC$2:AC1309-TRUNC($AC$2:AC1309))),2))</f>
        <v/>
      </c>
    </row>
    <row r="1310">
      <c r="O1310" s="5" t="n"/>
      <c r="S1310" s="6" t="n"/>
      <c r="V1310" s="5" t="n"/>
      <c r="X1310" s="5" t="n"/>
      <c r="AC1310" s="6" t="n"/>
      <c r="AD1310" s="6" t="n"/>
      <c r="AE1310" s="7">
        <f>IF(X1310="","",ROUND('Opening Balance'!$B$4+SUM($AC$2:AC1310)-SUM($AD$2:AD1310)+SUMPRODUCT(($Q$2:$Q$1501="Collection 收款")*($R$2:$R$1501="Cheque 支票")*($V$2:$V$1501&lt;&gt;"")*($V$2:$V$1501&lt;=X1310)*($S$2:$S$1501-'Opening Balance'!$B$15*($R$2:$R$1501="Cheque 支票")*($S$2:$S$1501-TRUNC($S$2:$S$1501))))-'Opening Balance'!$B$15*SUMPRODUCT(($Z$2:Z1310="Online collection 网上收款")*($AA$2:AA1310&lt;&gt;"")*($AC$2:AC1310-TRUNC($AC$2:AC1310))),2))</f>
        <v/>
      </c>
    </row>
    <row r="1311">
      <c r="O1311" s="5" t="n"/>
      <c r="S1311" s="6" t="n"/>
      <c r="V1311" s="5" t="n"/>
      <c r="X1311" s="5" t="n"/>
      <c r="AC1311" s="6" t="n"/>
      <c r="AD1311" s="6" t="n"/>
      <c r="AE1311" s="7">
        <f>IF(X1311="","",ROUND('Opening Balance'!$B$4+SUM($AC$2:AC1311)-SUM($AD$2:AD1311)+SUMPRODUCT(($Q$2:$Q$1501="Collection 收款")*($R$2:$R$1501="Cheque 支票")*($V$2:$V$1501&lt;&gt;"")*($V$2:$V$1501&lt;=X1311)*($S$2:$S$1501-'Opening Balance'!$B$15*($R$2:$R$1501="Cheque 支票")*($S$2:$S$1501-TRUNC($S$2:$S$1501))))-'Opening Balance'!$B$15*SUMPRODUCT(($Z$2:Z1311="Online collection 网上收款")*($AA$2:AA1311&lt;&gt;"")*($AC$2:AC1311-TRUNC($AC$2:AC1311))),2))</f>
        <v/>
      </c>
    </row>
    <row r="1312">
      <c r="O1312" s="5" t="n"/>
      <c r="S1312" s="6" t="n"/>
      <c r="V1312" s="5" t="n"/>
      <c r="X1312" s="5" t="n"/>
      <c r="AC1312" s="6" t="n"/>
      <c r="AD1312" s="6" t="n"/>
      <c r="AE1312" s="7">
        <f>IF(X1312="","",ROUND('Opening Balance'!$B$4+SUM($AC$2:AC1312)-SUM($AD$2:AD1312)+SUMPRODUCT(($Q$2:$Q$1501="Collection 收款")*($R$2:$R$1501="Cheque 支票")*($V$2:$V$1501&lt;&gt;"")*($V$2:$V$1501&lt;=X1312)*($S$2:$S$1501-'Opening Balance'!$B$15*($R$2:$R$1501="Cheque 支票")*($S$2:$S$1501-TRUNC($S$2:$S$1501))))-'Opening Balance'!$B$15*SUMPRODUCT(($Z$2:Z1312="Online collection 网上收款")*($AA$2:AA1312&lt;&gt;"")*($AC$2:AC1312-TRUNC($AC$2:AC1312))),2))</f>
        <v/>
      </c>
    </row>
    <row r="1313">
      <c r="O1313" s="5" t="n"/>
      <c r="S1313" s="6" t="n"/>
      <c r="V1313" s="5" t="n"/>
      <c r="X1313" s="5" t="n"/>
      <c r="AC1313" s="6" t="n"/>
      <c r="AD1313" s="6" t="n"/>
      <c r="AE1313" s="7">
        <f>IF(X1313="","",ROUND('Opening Balance'!$B$4+SUM($AC$2:AC1313)-SUM($AD$2:AD1313)+SUMPRODUCT(($Q$2:$Q$1501="Collection 收款")*($R$2:$R$1501="Cheque 支票")*($V$2:$V$1501&lt;&gt;"")*($V$2:$V$1501&lt;=X1313)*($S$2:$S$1501-'Opening Balance'!$B$15*($R$2:$R$1501="Cheque 支票")*($S$2:$S$1501-TRUNC($S$2:$S$1501))))-'Opening Balance'!$B$15*SUMPRODUCT(($Z$2:Z1313="Online collection 网上收款")*($AA$2:AA1313&lt;&gt;"")*($AC$2:AC1313-TRUNC($AC$2:AC1313))),2))</f>
        <v/>
      </c>
    </row>
    <row r="1314">
      <c r="O1314" s="5" t="n"/>
      <c r="S1314" s="6" t="n"/>
      <c r="V1314" s="5" t="n"/>
      <c r="X1314" s="5" t="n"/>
      <c r="AC1314" s="6" t="n"/>
      <c r="AD1314" s="6" t="n"/>
      <c r="AE1314" s="7">
        <f>IF(X1314="","",ROUND('Opening Balance'!$B$4+SUM($AC$2:AC1314)-SUM($AD$2:AD1314)+SUMPRODUCT(($Q$2:$Q$1501="Collection 收款")*($R$2:$R$1501="Cheque 支票")*($V$2:$V$1501&lt;&gt;"")*($V$2:$V$1501&lt;=X1314)*($S$2:$S$1501-'Opening Balance'!$B$15*($R$2:$R$1501="Cheque 支票")*($S$2:$S$1501-TRUNC($S$2:$S$1501))))-'Opening Balance'!$B$15*SUMPRODUCT(($Z$2:Z1314="Online collection 网上收款")*($AA$2:AA1314&lt;&gt;"")*($AC$2:AC1314-TRUNC($AC$2:AC1314))),2))</f>
        <v/>
      </c>
    </row>
    <row r="1315">
      <c r="O1315" s="5" t="n"/>
      <c r="S1315" s="6" t="n"/>
      <c r="V1315" s="5" t="n"/>
      <c r="X1315" s="5" t="n"/>
      <c r="AC1315" s="6" t="n"/>
      <c r="AD1315" s="6" t="n"/>
      <c r="AE1315" s="7">
        <f>IF(X1315="","",ROUND('Opening Balance'!$B$4+SUM($AC$2:AC1315)-SUM($AD$2:AD1315)+SUMPRODUCT(($Q$2:$Q$1501="Collection 收款")*($R$2:$R$1501="Cheque 支票")*($V$2:$V$1501&lt;&gt;"")*($V$2:$V$1501&lt;=X1315)*($S$2:$S$1501-'Opening Balance'!$B$15*($R$2:$R$1501="Cheque 支票")*($S$2:$S$1501-TRUNC($S$2:$S$1501))))-'Opening Balance'!$B$15*SUMPRODUCT(($Z$2:Z1315="Online collection 网上收款")*($AA$2:AA1315&lt;&gt;"")*($AC$2:AC1315-TRUNC($AC$2:AC1315))),2))</f>
        <v/>
      </c>
    </row>
    <row r="1316">
      <c r="O1316" s="5" t="n"/>
      <c r="S1316" s="6" t="n"/>
      <c r="V1316" s="5" t="n"/>
      <c r="X1316" s="5" t="n"/>
      <c r="AC1316" s="6" t="n"/>
      <c r="AD1316" s="6" t="n"/>
      <c r="AE1316" s="7">
        <f>IF(X1316="","",ROUND('Opening Balance'!$B$4+SUM($AC$2:AC1316)-SUM($AD$2:AD1316)+SUMPRODUCT(($Q$2:$Q$1501="Collection 收款")*($R$2:$R$1501="Cheque 支票")*($V$2:$V$1501&lt;&gt;"")*($V$2:$V$1501&lt;=X1316)*($S$2:$S$1501-'Opening Balance'!$B$15*($R$2:$R$1501="Cheque 支票")*($S$2:$S$1501-TRUNC($S$2:$S$1501))))-'Opening Balance'!$B$15*SUMPRODUCT(($Z$2:Z1316="Online collection 网上收款")*($AA$2:AA1316&lt;&gt;"")*($AC$2:AC1316-TRUNC($AC$2:AC1316))),2))</f>
        <v/>
      </c>
    </row>
    <row r="1317">
      <c r="O1317" s="5" t="n"/>
      <c r="S1317" s="6" t="n"/>
      <c r="V1317" s="5" t="n"/>
      <c r="X1317" s="5" t="n"/>
      <c r="AC1317" s="6" t="n"/>
      <c r="AD1317" s="6" t="n"/>
      <c r="AE1317" s="7">
        <f>IF(X1317="","",ROUND('Opening Balance'!$B$4+SUM($AC$2:AC1317)-SUM($AD$2:AD1317)+SUMPRODUCT(($Q$2:$Q$1501="Collection 收款")*($R$2:$R$1501="Cheque 支票")*($V$2:$V$1501&lt;&gt;"")*($V$2:$V$1501&lt;=X1317)*($S$2:$S$1501-'Opening Balance'!$B$15*($R$2:$R$1501="Cheque 支票")*($S$2:$S$1501-TRUNC($S$2:$S$1501))))-'Opening Balance'!$B$15*SUMPRODUCT(($Z$2:Z1317="Online collection 网上收款")*($AA$2:AA1317&lt;&gt;"")*($AC$2:AC1317-TRUNC($AC$2:AC1317))),2))</f>
        <v/>
      </c>
    </row>
    <row r="1318">
      <c r="O1318" s="5" t="n"/>
      <c r="S1318" s="6" t="n"/>
      <c r="V1318" s="5" t="n"/>
      <c r="X1318" s="5" t="n"/>
      <c r="AC1318" s="6" t="n"/>
      <c r="AD1318" s="6" t="n"/>
      <c r="AE1318" s="7">
        <f>IF(X1318="","",ROUND('Opening Balance'!$B$4+SUM($AC$2:AC1318)-SUM($AD$2:AD1318)+SUMPRODUCT(($Q$2:$Q$1501="Collection 收款")*($R$2:$R$1501="Cheque 支票")*($V$2:$V$1501&lt;&gt;"")*($V$2:$V$1501&lt;=X1318)*($S$2:$S$1501-'Opening Balance'!$B$15*($R$2:$R$1501="Cheque 支票")*($S$2:$S$1501-TRUNC($S$2:$S$1501))))-'Opening Balance'!$B$15*SUMPRODUCT(($Z$2:Z1318="Online collection 网上收款")*($AA$2:AA1318&lt;&gt;"")*($AC$2:AC1318-TRUNC($AC$2:AC1318))),2))</f>
        <v/>
      </c>
    </row>
    <row r="1319">
      <c r="O1319" s="5" t="n"/>
      <c r="S1319" s="6" t="n"/>
      <c r="V1319" s="5" t="n"/>
      <c r="X1319" s="5" t="n"/>
      <c r="AC1319" s="6" t="n"/>
      <c r="AD1319" s="6" t="n"/>
      <c r="AE1319" s="7">
        <f>IF(X1319="","",ROUND('Opening Balance'!$B$4+SUM($AC$2:AC1319)-SUM($AD$2:AD1319)+SUMPRODUCT(($Q$2:$Q$1501="Collection 收款")*($R$2:$R$1501="Cheque 支票")*($V$2:$V$1501&lt;&gt;"")*($V$2:$V$1501&lt;=X1319)*($S$2:$S$1501-'Opening Balance'!$B$15*($R$2:$R$1501="Cheque 支票")*($S$2:$S$1501-TRUNC($S$2:$S$1501))))-'Opening Balance'!$B$15*SUMPRODUCT(($Z$2:Z1319="Online collection 网上收款")*($AA$2:AA1319&lt;&gt;"")*($AC$2:AC1319-TRUNC($AC$2:AC1319))),2))</f>
        <v/>
      </c>
    </row>
    <row r="1320">
      <c r="O1320" s="5" t="n"/>
      <c r="S1320" s="6" t="n"/>
      <c r="V1320" s="5" t="n"/>
      <c r="X1320" s="5" t="n"/>
      <c r="AC1320" s="6" t="n"/>
      <c r="AD1320" s="6" t="n"/>
      <c r="AE1320" s="7">
        <f>IF(X1320="","",ROUND('Opening Balance'!$B$4+SUM($AC$2:AC1320)-SUM($AD$2:AD1320)+SUMPRODUCT(($Q$2:$Q$1501="Collection 收款")*($R$2:$R$1501="Cheque 支票")*($V$2:$V$1501&lt;&gt;"")*($V$2:$V$1501&lt;=X1320)*($S$2:$S$1501-'Opening Balance'!$B$15*($R$2:$R$1501="Cheque 支票")*($S$2:$S$1501-TRUNC($S$2:$S$1501))))-'Opening Balance'!$B$15*SUMPRODUCT(($Z$2:Z1320="Online collection 网上收款")*($AA$2:AA1320&lt;&gt;"")*($AC$2:AC1320-TRUNC($AC$2:AC1320))),2))</f>
        <v/>
      </c>
    </row>
    <row r="1321">
      <c r="O1321" s="5" t="n"/>
      <c r="S1321" s="6" t="n"/>
      <c r="V1321" s="5" t="n"/>
      <c r="X1321" s="5" t="n"/>
      <c r="AC1321" s="6" t="n"/>
      <c r="AD1321" s="6" t="n"/>
      <c r="AE1321" s="7">
        <f>IF(X1321="","",ROUND('Opening Balance'!$B$4+SUM($AC$2:AC1321)-SUM($AD$2:AD1321)+SUMPRODUCT(($Q$2:$Q$1501="Collection 收款")*($R$2:$R$1501="Cheque 支票")*($V$2:$V$1501&lt;&gt;"")*($V$2:$V$1501&lt;=X1321)*($S$2:$S$1501-'Opening Balance'!$B$15*($R$2:$R$1501="Cheque 支票")*($S$2:$S$1501-TRUNC($S$2:$S$1501))))-'Opening Balance'!$B$15*SUMPRODUCT(($Z$2:Z1321="Online collection 网上收款")*($AA$2:AA1321&lt;&gt;"")*($AC$2:AC1321-TRUNC($AC$2:AC1321))),2))</f>
        <v/>
      </c>
    </row>
    <row r="1322">
      <c r="O1322" s="5" t="n"/>
      <c r="S1322" s="6" t="n"/>
      <c r="V1322" s="5" t="n"/>
      <c r="X1322" s="5" t="n"/>
      <c r="AC1322" s="6" t="n"/>
      <c r="AD1322" s="6" t="n"/>
      <c r="AE1322" s="7">
        <f>IF(X1322="","",ROUND('Opening Balance'!$B$4+SUM($AC$2:AC1322)-SUM($AD$2:AD1322)+SUMPRODUCT(($Q$2:$Q$1501="Collection 收款")*($R$2:$R$1501="Cheque 支票")*($V$2:$V$1501&lt;&gt;"")*($V$2:$V$1501&lt;=X1322)*($S$2:$S$1501-'Opening Balance'!$B$15*($R$2:$R$1501="Cheque 支票")*($S$2:$S$1501-TRUNC($S$2:$S$1501))))-'Opening Balance'!$B$15*SUMPRODUCT(($Z$2:Z1322="Online collection 网上收款")*($AA$2:AA1322&lt;&gt;"")*($AC$2:AC1322-TRUNC($AC$2:AC1322))),2))</f>
        <v/>
      </c>
    </row>
    <row r="1323">
      <c r="O1323" s="5" t="n"/>
      <c r="S1323" s="6" t="n"/>
      <c r="V1323" s="5" t="n"/>
      <c r="X1323" s="5" t="n"/>
      <c r="AC1323" s="6" t="n"/>
      <c r="AD1323" s="6" t="n"/>
      <c r="AE1323" s="7">
        <f>IF(X1323="","",ROUND('Opening Balance'!$B$4+SUM($AC$2:AC1323)-SUM($AD$2:AD1323)+SUMPRODUCT(($Q$2:$Q$1501="Collection 收款")*($R$2:$R$1501="Cheque 支票")*($V$2:$V$1501&lt;&gt;"")*($V$2:$V$1501&lt;=X1323)*($S$2:$S$1501-'Opening Balance'!$B$15*($R$2:$R$1501="Cheque 支票")*($S$2:$S$1501-TRUNC($S$2:$S$1501))))-'Opening Balance'!$B$15*SUMPRODUCT(($Z$2:Z1323="Online collection 网上收款")*($AA$2:AA1323&lt;&gt;"")*($AC$2:AC1323-TRUNC($AC$2:AC1323))),2))</f>
        <v/>
      </c>
    </row>
    <row r="1324">
      <c r="O1324" s="5" t="n"/>
      <c r="S1324" s="6" t="n"/>
      <c r="V1324" s="5" t="n"/>
      <c r="X1324" s="5" t="n"/>
      <c r="AC1324" s="6" t="n"/>
      <c r="AD1324" s="6" t="n"/>
      <c r="AE1324" s="7">
        <f>IF(X1324="","",ROUND('Opening Balance'!$B$4+SUM($AC$2:AC1324)-SUM($AD$2:AD1324)+SUMPRODUCT(($Q$2:$Q$1501="Collection 收款")*($R$2:$R$1501="Cheque 支票")*($V$2:$V$1501&lt;&gt;"")*($V$2:$V$1501&lt;=X1324)*($S$2:$S$1501-'Opening Balance'!$B$15*($R$2:$R$1501="Cheque 支票")*($S$2:$S$1501-TRUNC($S$2:$S$1501))))-'Opening Balance'!$B$15*SUMPRODUCT(($Z$2:Z1324="Online collection 网上收款")*($AA$2:AA1324&lt;&gt;"")*($AC$2:AC1324-TRUNC($AC$2:AC1324))),2))</f>
        <v/>
      </c>
    </row>
    <row r="1325">
      <c r="O1325" s="5" t="n"/>
      <c r="S1325" s="6" t="n"/>
      <c r="V1325" s="5" t="n"/>
      <c r="X1325" s="5" t="n"/>
      <c r="AC1325" s="6" t="n"/>
      <c r="AD1325" s="6" t="n"/>
      <c r="AE1325" s="7">
        <f>IF(X1325="","",ROUND('Opening Balance'!$B$4+SUM($AC$2:AC1325)-SUM($AD$2:AD1325)+SUMPRODUCT(($Q$2:$Q$1501="Collection 收款")*($R$2:$R$1501="Cheque 支票")*($V$2:$V$1501&lt;&gt;"")*($V$2:$V$1501&lt;=X1325)*($S$2:$S$1501-'Opening Balance'!$B$15*($R$2:$R$1501="Cheque 支票")*($S$2:$S$1501-TRUNC($S$2:$S$1501))))-'Opening Balance'!$B$15*SUMPRODUCT(($Z$2:Z1325="Online collection 网上收款")*($AA$2:AA1325&lt;&gt;"")*($AC$2:AC1325-TRUNC($AC$2:AC1325))),2))</f>
        <v/>
      </c>
    </row>
    <row r="1326">
      <c r="O1326" s="5" t="n"/>
      <c r="S1326" s="6" t="n"/>
      <c r="V1326" s="5" t="n"/>
      <c r="X1326" s="5" t="n"/>
      <c r="AC1326" s="6" t="n"/>
      <c r="AD1326" s="6" t="n"/>
      <c r="AE1326" s="7">
        <f>IF(X1326="","",ROUND('Opening Balance'!$B$4+SUM($AC$2:AC1326)-SUM($AD$2:AD1326)+SUMPRODUCT(($Q$2:$Q$1501="Collection 收款")*($R$2:$R$1501="Cheque 支票")*($V$2:$V$1501&lt;&gt;"")*($V$2:$V$1501&lt;=X1326)*($S$2:$S$1501-'Opening Balance'!$B$15*($R$2:$R$1501="Cheque 支票")*($S$2:$S$1501-TRUNC($S$2:$S$1501))))-'Opening Balance'!$B$15*SUMPRODUCT(($Z$2:Z1326="Online collection 网上收款")*($AA$2:AA1326&lt;&gt;"")*($AC$2:AC1326-TRUNC($AC$2:AC1326))),2))</f>
        <v/>
      </c>
    </row>
    <row r="1327">
      <c r="O1327" s="5" t="n"/>
      <c r="S1327" s="6" t="n"/>
      <c r="V1327" s="5" t="n"/>
      <c r="X1327" s="5" t="n"/>
      <c r="AC1327" s="6" t="n"/>
      <c r="AD1327" s="6" t="n"/>
      <c r="AE1327" s="7">
        <f>IF(X1327="","",ROUND('Opening Balance'!$B$4+SUM($AC$2:AC1327)-SUM($AD$2:AD1327)+SUMPRODUCT(($Q$2:$Q$1501="Collection 收款")*($R$2:$R$1501="Cheque 支票")*($V$2:$V$1501&lt;&gt;"")*($V$2:$V$1501&lt;=X1327)*($S$2:$S$1501-'Opening Balance'!$B$15*($R$2:$R$1501="Cheque 支票")*($S$2:$S$1501-TRUNC($S$2:$S$1501))))-'Opening Balance'!$B$15*SUMPRODUCT(($Z$2:Z1327="Online collection 网上收款")*($AA$2:AA1327&lt;&gt;"")*($AC$2:AC1327-TRUNC($AC$2:AC1327))),2))</f>
        <v/>
      </c>
    </row>
    <row r="1328">
      <c r="O1328" s="5" t="n"/>
      <c r="S1328" s="6" t="n"/>
      <c r="V1328" s="5" t="n"/>
      <c r="X1328" s="5" t="n"/>
      <c r="AC1328" s="6" t="n"/>
      <c r="AD1328" s="6" t="n"/>
      <c r="AE1328" s="7">
        <f>IF(X1328="","",ROUND('Opening Balance'!$B$4+SUM($AC$2:AC1328)-SUM($AD$2:AD1328)+SUMPRODUCT(($Q$2:$Q$1501="Collection 收款")*($R$2:$R$1501="Cheque 支票")*($V$2:$V$1501&lt;&gt;"")*($V$2:$V$1501&lt;=X1328)*($S$2:$S$1501-'Opening Balance'!$B$15*($R$2:$R$1501="Cheque 支票")*($S$2:$S$1501-TRUNC($S$2:$S$1501))))-'Opening Balance'!$B$15*SUMPRODUCT(($Z$2:Z1328="Online collection 网上收款")*($AA$2:AA1328&lt;&gt;"")*($AC$2:AC1328-TRUNC($AC$2:AC1328))),2))</f>
        <v/>
      </c>
    </row>
    <row r="1329">
      <c r="O1329" s="5" t="n"/>
      <c r="S1329" s="6" t="n"/>
      <c r="V1329" s="5" t="n"/>
      <c r="X1329" s="5" t="n"/>
      <c r="AC1329" s="6" t="n"/>
      <c r="AD1329" s="6" t="n"/>
      <c r="AE1329" s="7">
        <f>IF(X1329="","",ROUND('Opening Balance'!$B$4+SUM($AC$2:AC1329)-SUM($AD$2:AD1329)+SUMPRODUCT(($Q$2:$Q$1501="Collection 收款")*($R$2:$R$1501="Cheque 支票")*($V$2:$V$1501&lt;&gt;"")*($V$2:$V$1501&lt;=X1329)*($S$2:$S$1501-'Opening Balance'!$B$15*($R$2:$R$1501="Cheque 支票")*($S$2:$S$1501-TRUNC($S$2:$S$1501))))-'Opening Balance'!$B$15*SUMPRODUCT(($Z$2:Z1329="Online collection 网上收款")*($AA$2:AA1329&lt;&gt;"")*($AC$2:AC1329-TRUNC($AC$2:AC1329))),2))</f>
        <v/>
      </c>
    </row>
    <row r="1330">
      <c r="O1330" s="5" t="n"/>
      <c r="S1330" s="6" t="n"/>
      <c r="V1330" s="5" t="n"/>
      <c r="X1330" s="5" t="n"/>
      <c r="AC1330" s="6" t="n"/>
      <c r="AD1330" s="6" t="n"/>
      <c r="AE1330" s="7">
        <f>IF(X1330="","",ROUND('Opening Balance'!$B$4+SUM($AC$2:AC1330)-SUM($AD$2:AD1330)+SUMPRODUCT(($Q$2:$Q$1501="Collection 收款")*($R$2:$R$1501="Cheque 支票")*($V$2:$V$1501&lt;&gt;"")*($V$2:$V$1501&lt;=X1330)*($S$2:$S$1501-'Opening Balance'!$B$15*($R$2:$R$1501="Cheque 支票")*($S$2:$S$1501-TRUNC($S$2:$S$1501))))-'Opening Balance'!$B$15*SUMPRODUCT(($Z$2:Z1330="Online collection 网上收款")*($AA$2:AA1330&lt;&gt;"")*($AC$2:AC1330-TRUNC($AC$2:AC1330))),2))</f>
        <v/>
      </c>
    </row>
    <row r="1331">
      <c r="O1331" s="5" t="n"/>
      <c r="S1331" s="6" t="n"/>
      <c r="V1331" s="5" t="n"/>
      <c r="X1331" s="5" t="n"/>
      <c r="AC1331" s="6" t="n"/>
      <c r="AD1331" s="6" t="n"/>
      <c r="AE1331" s="7">
        <f>IF(X1331="","",ROUND('Opening Balance'!$B$4+SUM($AC$2:AC1331)-SUM($AD$2:AD1331)+SUMPRODUCT(($Q$2:$Q$1501="Collection 收款")*($R$2:$R$1501="Cheque 支票")*($V$2:$V$1501&lt;&gt;"")*($V$2:$V$1501&lt;=X1331)*($S$2:$S$1501-'Opening Balance'!$B$15*($R$2:$R$1501="Cheque 支票")*($S$2:$S$1501-TRUNC($S$2:$S$1501))))-'Opening Balance'!$B$15*SUMPRODUCT(($Z$2:Z1331="Online collection 网上收款")*($AA$2:AA1331&lt;&gt;"")*($AC$2:AC1331-TRUNC($AC$2:AC1331))),2))</f>
        <v/>
      </c>
    </row>
    <row r="1332">
      <c r="O1332" s="5" t="n"/>
      <c r="S1332" s="6" t="n"/>
      <c r="V1332" s="5" t="n"/>
      <c r="X1332" s="5" t="n"/>
      <c r="AC1332" s="6" t="n"/>
      <c r="AD1332" s="6" t="n"/>
      <c r="AE1332" s="7">
        <f>IF(X1332="","",ROUND('Opening Balance'!$B$4+SUM($AC$2:AC1332)-SUM($AD$2:AD1332)+SUMPRODUCT(($Q$2:$Q$1501="Collection 收款")*($R$2:$R$1501="Cheque 支票")*($V$2:$V$1501&lt;&gt;"")*($V$2:$V$1501&lt;=X1332)*($S$2:$S$1501-'Opening Balance'!$B$15*($R$2:$R$1501="Cheque 支票")*($S$2:$S$1501-TRUNC($S$2:$S$1501))))-'Opening Balance'!$B$15*SUMPRODUCT(($Z$2:Z1332="Online collection 网上收款")*($AA$2:AA1332&lt;&gt;"")*($AC$2:AC1332-TRUNC($AC$2:AC1332))),2))</f>
        <v/>
      </c>
    </row>
    <row r="1333">
      <c r="O1333" s="5" t="n"/>
      <c r="S1333" s="6" t="n"/>
      <c r="V1333" s="5" t="n"/>
      <c r="X1333" s="5" t="n"/>
      <c r="AC1333" s="6" t="n"/>
      <c r="AD1333" s="6" t="n"/>
      <c r="AE1333" s="7">
        <f>IF(X1333="","",ROUND('Opening Balance'!$B$4+SUM($AC$2:AC1333)-SUM($AD$2:AD1333)+SUMPRODUCT(($Q$2:$Q$1501="Collection 收款")*($R$2:$R$1501="Cheque 支票")*($V$2:$V$1501&lt;&gt;"")*($V$2:$V$1501&lt;=X1333)*($S$2:$S$1501-'Opening Balance'!$B$15*($R$2:$R$1501="Cheque 支票")*($S$2:$S$1501-TRUNC($S$2:$S$1501))))-'Opening Balance'!$B$15*SUMPRODUCT(($Z$2:Z1333="Online collection 网上收款")*($AA$2:AA1333&lt;&gt;"")*($AC$2:AC1333-TRUNC($AC$2:AC1333))),2))</f>
        <v/>
      </c>
    </row>
    <row r="1334">
      <c r="O1334" s="5" t="n"/>
      <c r="S1334" s="6" t="n"/>
      <c r="V1334" s="5" t="n"/>
      <c r="X1334" s="5" t="n"/>
      <c r="AC1334" s="6" t="n"/>
      <c r="AD1334" s="6" t="n"/>
      <c r="AE1334" s="7">
        <f>IF(X1334="","",ROUND('Opening Balance'!$B$4+SUM($AC$2:AC1334)-SUM($AD$2:AD1334)+SUMPRODUCT(($Q$2:$Q$1501="Collection 收款")*($R$2:$R$1501="Cheque 支票")*($V$2:$V$1501&lt;&gt;"")*($V$2:$V$1501&lt;=X1334)*($S$2:$S$1501-'Opening Balance'!$B$15*($R$2:$R$1501="Cheque 支票")*($S$2:$S$1501-TRUNC($S$2:$S$1501))))-'Opening Balance'!$B$15*SUMPRODUCT(($Z$2:Z1334="Online collection 网上收款")*($AA$2:AA1334&lt;&gt;"")*($AC$2:AC1334-TRUNC($AC$2:AC1334))),2))</f>
        <v/>
      </c>
    </row>
    <row r="1335">
      <c r="O1335" s="5" t="n"/>
      <c r="S1335" s="6" t="n"/>
      <c r="V1335" s="5" t="n"/>
      <c r="X1335" s="5" t="n"/>
      <c r="AC1335" s="6" t="n"/>
      <c r="AD1335" s="6" t="n"/>
      <c r="AE1335" s="7">
        <f>IF(X1335="","",ROUND('Opening Balance'!$B$4+SUM($AC$2:AC1335)-SUM($AD$2:AD1335)+SUMPRODUCT(($Q$2:$Q$1501="Collection 收款")*($R$2:$R$1501="Cheque 支票")*($V$2:$V$1501&lt;&gt;"")*($V$2:$V$1501&lt;=X1335)*($S$2:$S$1501-'Opening Balance'!$B$15*($R$2:$R$1501="Cheque 支票")*($S$2:$S$1501-TRUNC($S$2:$S$1501))))-'Opening Balance'!$B$15*SUMPRODUCT(($Z$2:Z1335="Online collection 网上收款")*($AA$2:AA1335&lt;&gt;"")*($AC$2:AC1335-TRUNC($AC$2:AC1335))),2))</f>
        <v/>
      </c>
    </row>
    <row r="1336">
      <c r="O1336" s="5" t="n"/>
      <c r="S1336" s="6" t="n"/>
      <c r="V1336" s="5" t="n"/>
      <c r="X1336" s="5" t="n"/>
      <c r="AC1336" s="6" t="n"/>
      <c r="AD1336" s="6" t="n"/>
      <c r="AE1336" s="7">
        <f>IF(X1336="","",ROUND('Opening Balance'!$B$4+SUM($AC$2:AC1336)-SUM($AD$2:AD1336)+SUMPRODUCT(($Q$2:$Q$1501="Collection 收款")*($R$2:$R$1501="Cheque 支票")*($V$2:$V$1501&lt;&gt;"")*($V$2:$V$1501&lt;=X1336)*($S$2:$S$1501-'Opening Balance'!$B$15*($R$2:$R$1501="Cheque 支票")*($S$2:$S$1501-TRUNC($S$2:$S$1501))))-'Opening Balance'!$B$15*SUMPRODUCT(($Z$2:Z1336="Online collection 网上收款")*($AA$2:AA1336&lt;&gt;"")*($AC$2:AC1336-TRUNC($AC$2:AC1336))),2))</f>
        <v/>
      </c>
    </row>
    <row r="1337">
      <c r="O1337" s="5" t="n"/>
      <c r="S1337" s="6" t="n"/>
      <c r="V1337" s="5" t="n"/>
      <c r="X1337" s="5" t="n"/>
      <c r="AC1337" s="6" t="n"/>
      <c r="AD1337" s="6" t="n"/>
      <c r="AE1337" s="7">
        <f>IF(X1337="","",ROUND('Opening Balance'!$B$4+SUM($AC$2:AC1337)-SUM($AD$2:AD1337)+SUMPRODUCT(($Q$2:$Q$1501="Collection 收款")*($R$2:$R$1501="Cheque 支票")*($V$2:$V$1501&lt;&gt;"")*($V$2:$V$1501&lt;=X1337)*($S$2:$S$1501-'Opening Balance'!$B$15*($R$2:$R$1501="Cheque 支票")*($S$2:$S$1501-TRUNC($S$2:$S$1501))))-'Opening Balance'!$B$15*SUMPRODUCT(($Z$2:Z1337="Online collection 网上收款")*($AA$2:AA1337&lt;&gt;"")*($AC$2:AC1337-TRUNC($AC$2:AC1337))),2))</f>
        <v/>
      </c>
    </row>
    <row r="1338">
      <c r="O1338" s="5" t="n"/>
      <c r="S1338" s="6" t="n"/>
      <c r="V1338" s="5" t="n"/>
      <c r="X1338" s="5" t="n"/>
      <c r="AC1338" s="6" t="n"/>
      <c r="AD1338" s="6" t="n"/>
      <c r="AE1338" s="7">
        <f>IF(X1338="","",ROUND('Opening Balance'!$B$4+SUM($AC$2:AC1338)-SUM($AD$2:AD1338)+SUMPRODUCT(($Q$2:$Q$1501="Collection 收款")*($R$2:$R$1501="Cheque 支票")*($V$2:$V$1501&lt;&gt;"")*($V$2:$V$1501&lt;=X1338)*($S$2:$S$1501-'Opening Balance'!$B$15*($R$2:$R$1501="Cheque 支票")*($S$2:$S$1501-TRUNC($S$2:$S$1501))))-'Opening Balance'!$B$15*SUMPRODUCT(($Z$2:Z1338="Online collection 网上收款")*($AA$2:AA1338&lt;&gt;"")*($AC$2:AC1338-TRUNC($AC$2:AC1338))),2))</f>
        <v/>
      </c>
    </row>
    <row r="1339">
      <c r="O1339" s="5" t="n"/>
      <c r="S1339" s="6" t="n"/>
      <c r="V1339" s="5" t="n"/>
      <c r="X1339" s="5" t="n"/>
      <c r="AC1339" s="6" t="n"/>
      <c r="AD1339" s="6" t="n"/>
      <c r="AE1339" s="7">
        <f>IF(X1339="","",ROUND('Opening Balance'!$B$4+SUM($AC$2:AC1339)-SUM($AD$2:AD1339)+SUMPRODUCT(($Q$2:$Q$1501="Collection 收款")*($R$2:$R$1501="Cheque 支票")*($V$2:$V$1501&lt;&gt;"")*($V$2:$V$1501&lt;=X1339)*($S$2:$S$1501-'Opening Balance'!$B$15*($R$2:$R$1501="Cheque 支票")*($S$2:$S$1501-TRUNC($S$2:$S$1501))))-'Opening Balance'!$B$15*SUMPRODUCT(($Z$2:Z1339="Online collection 网上收款")*($AA$2:AA1339&lt;&gt;"")*($AC$2:AC1339-TRUNC($AC$2:AC1339))),2))</f>
        <v/>
      </c>
    </row>
    <row r="1340">
      <c r="O1340" s="5" t="n"/>
      <c r="S1340" s="6" t="n"/>
      <c r="V1340" s="5" t="n"/>
      <c r="X1340" s="5" t="n"/>
      <c r="AC1340" s="6" t="n"/>
      <c r="AD1340" s="6" t="n"/>
      <c r="AE1340" s="7">
        <f>IF(X1340="","",ROUND('Opening Balance'!$B$4+SUM($AC$2:AC1340)-SUM($AD$2:AD1340)+SUMPRODUCT(($Q$2:$Q$1501="Collection 收款")*($R$2:$R$1501="Cheque 支票")*($V$2:$V$1501&lt;&gt;"")*($V$2:$V$1501&lt;=X1340)*($S$2:$S$1501-'Opening Balance'!$B$15*($R$2:$R$1501="Cheque 支票")*($S$2:$S$1501-TRUNC($S$2:$S$1501))))-'Opening Balance'!$B$15*SUMPRODUCT(($Z$2:Z1340="Online collection 网上收款")*($AA$2:AA1340&lt;&gt;"")*($AC$2:AC1340-TRUNC($AC$2:AC1340))),2))</f>
        <v/>
      </c>
    </row>
    <row r="1341">
      <c r="O1341" s="5" t="n"/>
      <c r="S1341" s="6" t="n"/>
      <c r="V1341" s="5" t="n"/>
      <c r="X1341" s="5" t="n"/>
      <c r="AC1341" s="6" t="n"/>
      <c r="AD1341" s="6" t="n"/>
      <c r="AE1341" s="7">
        <f>IF(X1341="","",ROUND('Opening Balance'!$B$4+SUM($AC$2:AC1341)-SUM($AD$2:AD1341)+SUMPRODUCT(($Q$2:$Q$1501="Collection 收款")*($R$2:$R$1501="Cheque 支票")*($V$2:$V$1501&lt;&gt;"")*($V$2:$V$1501&lt;=X1341)*($S$2:$S$1501-'Opening Balance'!$B$15*($R$2:$R$1501="Cheque 支票")*($S$2:$S$1501-TRUNC($S$2:$S$1501))))-'Opening Balance'!$B$15*SUMPRODUCT(($Z$2:Z1341="Online collection 网上收款")*($AA$2:AA1341&lt;&gt;"")*($AC$2:AC1341-TRUNC($AC$2:AC1341))),2))</f>
        <v/>
      </c>
    </row>
    <row r="1342">
      <c r="O1342" s="5" t="n"/>
      <c r="S1342" s="6" t="n"/>
      <c r="V1342" s="5" t="n"/>
      <c r="X1342" s="5" t="n"/>
      <c r="AC1342" s="6" t="n"/>
      <c r="AD1342" s="6" t="n"/>
      <c r="AE1342" s="7">
        <f>IF(X1342="","",ROUND('Opening Balance'!$B$4+SUM($AC$2:AC1342)-SUM($AD$2:AD1342)+SUMPRODUCT(($Q$2:$Q$1501="Collection 收款")*($R$2:$R$1501="Cheque 支票")*($V$2:$V$1501&lt;&gt;"")*($V$2:$V$1501&lt;=X1342)*($S$2:$S$1501-'Opening Balance'!$B$15*($R$2:$R$1501="Cheque 支票")*($S$2:$S$1501-TRUNC($S$2:$S$1501))))-'Opening Balance'!$B$15*SUMPRODUCT(($Z$2:Z1342="Online collection 网上收款")*($AA$2:AA1342&lt;&gt;"")*($AC$2:AC1342-TRUNC($AC$2:AC1342))),2))</f>
        <v/>
      </c>
    </row>
    <row r="1343">
      <c r="O1343" s="5" t="n"/>
      <c r="S1343" s="6" t="n"/>
      <c r="V1343" s="5" t="n"/>
      <c r="X1343" s="5" t="n"/>
      <c r="AC1343" s="6" t="n"/>
      <c r="AD1343" s="6" t="n"/>
      <c r="AE1343" s="7">
        <f>IF(X1343="","",ROUND('Opening Balance'!$B$4+SUM($AC$2:AC1343)-SUM($AD$2:AD1343)+SUMPRODUCT(($Q$2:$Q$1501="Collection 收款")*($R$2:$R$1501="Cheque 支票")*($V$2:$V$1501&lt;&gt;"")*($V$2:$V$1501&lt;=X1343)*($S$2:$S$1501-'Opening Balance'!$B$15*($R$2:$R$1501="Cheque 支票")*($S$2:$S$1501-TRUNC($S$2:$S$1501))))-'Opening Balance'!$B$15*SUMPRODUCT(($Z$2:Z1343="Online collection 网上收款")*($AA$2:AA1343&lt;&gt;"")*($AC$2:AC1343-TRUNC($AC$2:AC1343))),2))</f>
        <v/>
      </c>
    </row>
    <row r="1344">
      <c r="O1344" s="5" t="n"/>
      <c r="S1344" s="6" t="n"/>
      <c r="V1344" s="5" t="n"/>
      <c r="X1344" s="5" t="n"/>
      <c r="AC1344" s="6" t="n"/>
      <c r="AD1344" s="6" t="n"/>
      <c r="AE1344" s="7">
        <f>IF(X1344="","",ROUND('Opening Balance'!$B$4+SUM($AC$2:AC1344)-SUM($AD$2:AD1344)+SUMPRODUCT(($Q$2:$Q$1501="Collection 收款")*($R$2:$R$1501="Cheque 支票")*($V$2:$V$1501&lt;&gt;"")*($V$2:$V$1501&lt;=X1344)*($S$2:$S$1501-'Opening Balance'!$B$15*($R$2:$R$1501="Cheque 支票")*($S$2:$S$1501-TRUNC($S$2:$S$1501))))-'Opening Balance'!$B$15*SUMPRODUCT(($Z$2:Z1344="Online collection 网上收款")*($AA$2:AA1344&lt;&gt;"")*($AC$2:AC1344-TRUNC($AC$2:AC1344))),2))</f>
        <v/>
      </c>
    </row>
    <row r="1345">
      <c r="O1345" s="5" t="n"/>
      <c r="S1345" s="6" t="n"/>
      <c r="V1345" s="5" t="n"/>
      <c r="X1345" s="5" t="n"/>
      <c r="AC1345" s="6" t="n"/>
      <c r="AD1345" s="6" t="n"/>
      <c r="AE1345" s="7">
        <f>IF(X1345="","",ROUND('Opening Balance'!$B$4+SUM($AC$2:AC1345)-SUM($AD$2:AD1345)+SUMPRODUCT(($Q$2:$Q$1501="Collection 收款")*($R$2:$R$1501="Cheque 支票")*($V$2:$V$1501&lt;&gt;"")*($V$2:$V$1501&lt;=X1345)*($S$2:$S$1501-'Opening Balance'!$B$15*($R$2:$R$1501="Cheque 支票")*($S$2:$S$1501-TRUNC($S$2:$S$1501))))-'Opening Balance'!$B$15*SUMPRODUCT(($Z$2:Z1345="Online collection 网上收款")*($AA$2:AA1345&lt;&gt;"")*($AC$2:AC1345-TRUNC($AC$2:AC1345))),2))</f>
        <v/>
      </c>
    </row>
    <row r="1346">
      <c r="O1346" s="5" t="n"/>
      <c r="S1346" s="6" t="n"/>
      <c r="V1346" s="5" t="n"/>
      <c r="X1346" s="5" t="n"/>
      <c r="AC1346" s="6" t="n"/>
      <c r="AD1346" s="6" t="n"/>
      <c r="AE1346" s="7">
        <f>IF(X1346="","",ROUND('Opening Balance'!$B$4+SUM($AC$2:AC1346)-SUM($AD$2:AD1346)+SUMPRODUCT(($Q$2:$Q$1501="Collection 收款")*($R$2:$R$1501="Cheque 支票")*($V$2:$V$1501&lt;&gt;"")*($V$2:$V$1501&lt;=X1346)*($S$2:$S$1501-'Opening Balance'!$B$15*($R$2:$R$1501="Cheque 支票")*($S$2:$S$1501-TRUNC($S$2:$S$1501))))-'Opening Balance'!$B$15*SUMPRODUCT(($Z$2:Z1346="Online collection 网上收款")*($AA$2:AA1346&lt;&gt;"")*($AC$2:AC1346-TRUNC($AC$2:AC1346))),2))</f>
        <v/>
      </c>
    </row>
    <row r="1347">
      <c r="O1347" s="5" t="n"/>
      <c r="S1347" s="6" t="n"/>
      <c r="V1347" s="5" t="n"/>
      <c r="X1347" s="5" t="n"/>
      <c r="AC1347" s="6" t="n"/>
      <c r="AD1347" s="6" t="n"/>
      <c r="AE1347" s="7">
        <f>IF(X1347="","",ROUND('Opening Balance'!$B$4+SUM($AC$2:AC1347)-SUM($AD$2:AD1347)+SUMPRODUCT(($Q$2:$Q$1501="Collection 收款")*($R$2:$R$1501="Cheque 支票")*($V$2:$V$1501&lt;&gt;"")*($V$2:$V$1501&lt;=X1347)*($S$2:$S$1501-'Opening Balance'!$B$15*($R$2:$R$1501="Cheque 支票")*($S$2:$S$1501-TRUNC($S$2:$S$1501))))-'Opening Balance'!$B$15*SUMPRODUCT(($Z$2:Z1347="Online collection 网上收款")*($AA$2:AA1347&lt;&gt;"")*($AC$2:AC1347-TRUNC($AC$2:AC1347))),2))</f>
        <v/>
      </c>
    </row>
    <row r="1348">
      <c r="O1348" s="5" t="n"/>
      <c r="S1348" s="6" t="n"/>
      <c r="V1348" s="5" t="n"/>
      <c r="X1348" s="5" t="n"/>
      <c r="AC1348" s="6" t="n"/>
      <c r="AD1348" s="6" t="n"/>
      <c r="AE1348" s="7">
        <f>IF(X1348="","",ROUND('Opening Balance'!$B$4+SUM($AC$2:AC1348)-SUM($AD$2:AD1348)+SUMPRODUCT(($Q$2:$Q$1501="Collection 收款")*($R$2:$R$1501="Cheque 支票")*($V$2:$V$1501&lt;&gt;"")*($V$2:$V$1501&lt;=X1348)*($S$2:$S$1501-'Opening Balance'!$B$15*($R$2:$R$1501="Cheque 支票")*($S$2:$S$1501-TRUNC($S$2:$S$1501))))-'Opening Balance'!$B$15*SUMPRODUCT(($Z$2:Z1348="Online collection 网上收款")*($AA$2:AA1348&lt;&gt;"")*($AC$2:AC1348-TRUNC($AC$2:AC1348))),2))</f>
        <v/>
      </c>
    </row>
    <row r="1349">
      <c r="O1349" s="5" t="n"/>
      <c r="S1349" s="6" t="n"/>
      <c r="V1349" s="5" t="n"/>
      <c r="X1349" s="5" t="n"/>
      <c r="AC1349" s="6" t="n"/>
      <c r="AD1349" s="6" t="n"/>
      <c r="AE1349" s="7">
        <f>IF(X1349="","",ROUND('Opening Balance'!$B$4+SUM($AC$2:AC1349)-SUM($AD$2:AD1349)+SUMPRODUCT(($Q$2:$Q$1501="Collection 收款")*($R$2:$R$1501="Cheque 支票")*($V$2:$V$1501&lt;&gt;"")*($V$2:$V$1501&lt;=X1349)*($S$2:$S$1501-'Opening Balance'!$B$15*($R$2:$R$1501="Cheque 支票")*($S$2:$S$1501-TRUNC($S$2:$S$1501))))-'Opening Balance'!$B$15*SUMPRODUCT(($Z$2:Z1349="Online collection 网上收款")*($AA$2:AA1349&lt;&gt;"")*($AC$2:AC1349-TRUNC($AC$2:AC1349))),2))</f>
        <v/>
      </c>
    </row>
    <row r="1350">
      <c r="O1350" s="5" t="n"/>
      <c r="S1350" s="6" t="n"/>
      <c r="V1350" s="5" t="n"/>
      <c r="X1350" s="5" t="n"/>
      <c r="AC1350" s="6" t="n"/>
      <c r="AD1350" s="6" t="n"/>
      <c r="AE1350" s="7">
        <f>IF(X1350="","",ROUND('Opening Balance'!$B$4+SUM($AC$2:AC1350)-SUM($AD$2:AD1350)+SUMPRODUCT(($Q$2:$Q$1501="Collection 收款")*($R$2:$R$1501="Cheque 支票")*($V$2:$V$1501&lt;&gt;"")*($V$2:$V$1501&lt;=X1350)*($S$2:$S$1501-'Opening Balance'!$B$15*($R$2:$R$1501="Cheque 支票")*($S$2:$S$1501-TRUNC($S$2:$S$1501))))-'Opening Balance'!$B$15*SUMPRODUCT(($Z$2:Z1350="Online collection 网上收款")*($AA$2:AA1350&lt;&gt;"")*($AC$2:AC1350-TRUNC($AC$2:AC1350))),2))</f>
        <v/>
      </c>
    </row>
    <row r="1351">
      <c r="O1351" s="5" t="n"/>
      <c r="S1351" s="6" t="n"/>
      <c r="V1351" s="5" t="n"/>
      <c r="X1351" s="5" t="n"/>
      <c r="AC1351" s="6" t="n"/>
      <c r="AD1351" s="6" t="n"/>
      <c r="AE1351" s="7">
        <f>IF(X1351="","",ROUND('Opening Balance'!$B$4+SUM($AC$2:AC1351)-SUM($AD$2:AD1351)+SUMPRODUCT(($Q$2:$Q$1501="Collection 收款")*($R$2:$R$1501="Cheque 支票")*($V$2:$V$1501&lt;&gt;"")*($V$2:$V$1501&lt;=X1351)*($S$2:$S$1501-'Opening Balance'!$B$15*($R$2:$R$1501="Cheque 支票")*($S$2:$S$1501-TRUNC($S$2:$S$1501))))-'Opening Balance'!$B$15*SUMPRODUCT(($Z$2:Z1351="Online collection 网上收款")*($AA$2:AA1351&lt;&gt;"")*($AC$2:AC1351-TRUNC($AC$2:AC1351))),2))</f>
        <v/>
      </c>
    </row>
    <row r="1352">
      <c r="O1352" s="5" t="n"/>
      <c r="S1352" s="6" t="n"/>
      <c r="V1352" s="5" t="n"/>
      <c r="X1352" s="5" t="n"/>
      <c r="AC1352" s="6" t="n"/>
      <c r="AD1352" s="6" t="n"/>
      <c r="AE1352" s="7">
        <f>IF(X1352="","",ROUND('Opening Balance'!$B$4+SUM($AC$2:AC1352)-SUM($AD$2:AD1352)+SUMPRODUCT(($Q$2:$Q$1501="Collection 收款")*($R$2:$R$1501="Cheque 支票")*($V$2:$V$1501&lt;&gt;"")*($V$2:$V$1501&lt;=X1352)*($S$2:$S$1501-'Opening Balance'!$B$15*($R$2:$R$1501="Cheque 支票")*($S$2:$S$1501-TRUNC($S$2:$S$1501))))-'Opening Balance'!$B$15*SUMPRODUCT(($Z$2:Z1352="Online collection 网上收款")*($AA$2:AA1352&lt;&gt;"")*($AC$2:AC1352-TRUNC($AC$2:AC1352))),2))</f>
        <v/>
      </c>
    </row>
    <row r="1353">
      <c r="O1353" s="5" t="n"/>
      <c r="S1353" s="6" t="n"/>
      <c r="V1353" s="5" t="n"/>
      <c r="X1353" s="5" t="n"/>
      <c r="AC1353" s="6" t="n"/>
      <c r="AD1353" s="6" t="n"/>
      <c r="AE1353" s="7">
        <f>IF(X1353="","",ROUND('Opening Balance'!$B$4+SUM($AC$2:AC1353)-SUM($AD$2:AD1353)+SUMPRODUCT(($Q$2:$Q$1501="Collection 收款")*($R$2:$R$1501="Cheque 支票")*($V$2:$V$1501&lt;&gt;"")*($V$2:$V$1501&lt;=X1353)*($S$2:$S$1501-'Opening Balance'!$B$15*($R$2:$R$1501="Cheque 支票")*($S$2:$S$1501-TRUNC($S$2:$S$1501))))-'Opening Balance'!$B$15*SUMPRODUCT(($Z$2:Z1353="Online collection 网上收款")*($AA$2:AA1353&lt;&gt;"")*($AC$2:AC1353-TRUNC($AC$2:AC1353))),2))</f>
        <v/>
      </c>
    </row>
    <row r="1354">
      <c r="O1354" s="5" t="n"/>
      <c r="S1354" s="6" t="n"/>
      <c r="V1354" s="5" t="n"/>
      <c r="X1354" s="5" t="n"/>
      <c r="AC1354" s="6" t="n"/>
      <c r="AD1354" s="6" t="n"/>
      <c r="AE1354" s="7">
        <f>IF(X1354="","",ROUND('Opening Balance'!$B$4+SUM($AC$2:AC1354)-SUM($AD$2:AD1354)+SUMPRODUCT(($Q$2:$Q$1501="Collection 收款")*($R$2:$R$1501="Cheque 支票")*($V$2:$V$1501&lt;&gt;"")*($V$2:$V$1501&lt;=X1354)*($S$2:$S$1501-'Opening Balance'!$B$15*($R$2:$R$1501="Cheque 支票")*($S$2:$S$1501-TRUNC($S$2:$S$1501))))-'Opening Balance'!$B$15*SUMPRODUCT(($Z$2:Z1354="Online collection 网上收款")*($AA$2:AA1354&lt;&gt;"")*($AC$2:AC1354-TRUNC($AC$2:AC1354))),2))</f>
        <v/>
      </c>
    </row>
    <row r="1355">
      <c r="O1355" s="5" t="n"/>
      <c r="S1355" s="6" t="n"/>
      <c r="V1355" s="5" t="n"/>
      <c r="X1355" s="5" t="n"/>
      <c r="AC1355" s="6" t="n"/>
      <c r="AD1355" s="6" t="n"/>
      <c r="AE1355" s="7">
        <f>IF(X1355="","",ROUND('Opening Balance'!$B$4+SUM($AC$2:AC1355)-SUM($AD$2:AD1355)+SUMPRODUCT(($Q$2:$Q$1501="Collection 收款")*($R$2:$R$1501="Cheque 支票")*($V$2:$V$1501&lt;&gt;"")*($V$2:$V$1501&lt;=X1355)*($S$2:$S$1501-'Opening Balance'!$B$15*($R$2:$R$1501="Cheque 支票")*($S$2:$S$1501-TRUNC($S$2:$S$1501))))-'Opening Balance'!$B$15*SUMPRODUCT(($Z$2:Z1355="Online collection 网上收款")*($AA$2:AA1355&lt;&gt;"")*($AC$2:AC1355-TRUNC($AC$2:AC1355))),2))</f>
        <v/>
      </c>
    </row>
    <row r="1356">
      <c r="O1356" s="5" t="n"/>
      <c r="S1356" s="6" t="n"/>
      <c r="V1356" s="5" t="n"/>
      <c r="X1356" s="5" t="n"/>
      <c r="AC1356" s="6" t="n"/>
      <c r="AD1356" s="6" t="n"/>
      <c r="AE1356" s="7">
        <f>IF(X1356="","",ROUND('Opening Balance'!$B$4+SUM($AC$2:AC1356)-SUM($AD$2:AD1356)+SUMPRODUCT(($Q$2:$Q$1501="Collection 收款")*($R$2:$R$1501="Cheque 支票")*($V$2:$V$1501&lt;&gt;"")*($V$2:$V$1501&lt;=X1356)*($S$2:$S$1501-'Opening Balance'!$B$15*($R$2:$R$1501="Cheque 支票")*($S$2:$S$1501-TRUNC($S$2:$S$1501))))-'Opening Balance'!$B$15*SUMPRODUCT(($Z$2:Z1356="Online collection 网上收款")*($AA$2:AA1356&lt;&gt;"")*($AC$2:AC1356-TRUNC($AC$2:AC1356))),2))</f>
        <v/>
      </c>
    </row>
    <row r="1357">
      <c r="O1357" s="5" t="n"/>
      <c r="S1357" s="6" t="n"/>
      <c r="V1357" s="5" t="n"/>
      <c r="X1357" s="5" t="n"/>
      <c r="AC1357" s="6" t="n"/>
      <c r="AD1357" s="6" t="n"/>
      <c r="AE1357" s="7">
        <f>IF(X1357="","",ROUND('Opening Balance'!$B$4+SUM($AC$2:AC1357)-SUM($AD$2:AD1357)+SUMPRODUCT(($Q$2:$Q$1501="Collection 收款")*($R$2:$R$1501="Cheque 支票")*($V$2:$V$1501&lt;&gt;"")*($V$2:$V$1501&lt;=X1357)*($S$2:$S$1501-'Opening Balance'!$B$15*($R$2:$R$1501="Cheque 支票")*($S$2:$S$1501-TRUNC($S$2:$S$1501))))-'Opening Balance'!$B$15*SUMPRODUCT(($Z$2:Z1357="Online collection 网上收款")*($AA$2:AA1357&lt;&gt;"")*($AC$2:AC1357-TRUNC($AC$2:AC1357))),2))</f>
        <v/>
      </c>
    </row>
    <row r="1358">
      <c r="O1358" s="5" t="n"/>
      <c r="S1358" s="6" t="n"/>
      <c r="V1358" s="5" t="n"/>
      <c r="X1358" s="5" t="n"/>
      <c r="AC1358" s="6" t="n"/>
      <c r="AD1358" s="6" t="n"/>
      <c r="AE1358" s="7">
        <f>IF(X1358="","",ROUND('Opening Balance'!$B$4+SUM($AC$2:AC1358)-SUM($AD$2:AD1358)+SUMPRODUCT(($Q$2:$Q$1501="Collection 收款")*($R$2:$R$1501="Cheque 支票")*($V$2:$V$1501&lt;&gt;"")*($V$2:$V$1501&lt;=X1358)*($S$2:$S$1501-'Opening Balance'!$B$15*($R$2:$R$1501="Cheque 支票")*($S$2:$S$1501-TRUNC($S$2:$S$1501))))-'Opening Balance'!$B$15*SUMPRODUCT(($Z$2:Z1358="Online collection 网上收款")*($AA$2:AA1358&lt;&gt;"")*($AC$2:AC1358-TRUNC($AC$2:AC1358))),2))</f>
        <v/>
      </c>
    </row>
    <row r="1359">
      <c r="O1359" s="5" t="n"/>
      <c r="S1359" s="6" t="n"/>
      <c r="V1359" s="5" t="n"/>
      <c r="X1359" s="5" t="n"/>
      <c r="AC1359" s="6" t="n"/>
      <c r="AD1359" s="6" t="n"/>
      <c r="AE1359" s="7">
        <f>IF(X1359="","",ROUND('Opening Balance'!$B$4+SUM($AC$2:AC1359)-SUM($AD$2:AD1359)+SUMPRODUCT(($Q$2:$Q$1501="Collection 收款")*($R$2:$R$1501="Cheque 支票")*($V$2:$V$1501&lt;&gt;"")*($V$2:$V$1501&lt;=X1359)*($S$2:$S$1501-'Opening Balance'!$B$15*($R$2:$R$1501="Cheque 支票")*($S$2:$S$1501-TRUNC($S$2:$S$1501))))-'Opening Balance'!$B$15*SUMPRODUCT(($Z$2:Z1359="Online collection 网上收款")*($AA$2:AA1359&lt;&gt;"")*($AC$2:AC1359-TRUNC($AC$2:AC1359))),2))</f>
        <v/>
      </c>
    </row>
    <row r="1360">
      <c r="O1360" s="5" t="n"/>
      <c r="S1360" s="6" t="n"/>
      <c r="V1360" s="5" t="n"/>
      <c r="X1360" s="5" t="n"/>
      <c r="AC1360" s="6" t="n"/>
      <c r="AD1360" s="6" t="n"/>
      <c r="AE1360" s="7">
        <f>IF(X1360="","",ROUND('Opening Balance'!$B$4+SUM($AC$2:AC1360)-SUM($AD$2:AD1360)+SUMPRODUCT(($Q$2:$Q$1501="Collection 收款")*($R$2:$R$1501="Cheque 支票")*($V$2:$V$1501&lt;&gt;"")*($V$2:$V$1501&lt;=X1360)*($S$2:$S$1501-'Opening Balance'!$B$15*($R$2:$R$1501="Cheque 支票")*($S$2:$S$1501-TRUNC($S$2:$S$1501))))-'Opening Balance'!$B$15*SUMPRODUCT(($Z$2:Z1360="Online collection 网上收款")*($AA$2:AA1360&lt;&gt;"")*($AC$2:AC1360-TRUNC($AC$2:AC1360))),2))</f>
        <v/>
      </c>
    </row>
    <row r="1361">
      <c r="O1361" s="5" t="n"/>
      <c r="S1361" s="6" t="n"/>
      <c r="V1361" s="5" t="n"/>
      <c r="X1361" s="5" t="n"/>
      <c r="AC1361" s="6" t="n"/>
      <c r="AD1361" s="6" t="n"/>
      <c r="AE1361" s="7">
        <f>IF(X1361="","",ROUND('Opening Balance'!$B$4+SUM($AC$2:AC1361)-SUM($AD$2:AD1361)+SUMPRODUCT(($Q$2:$Q$1501="Collection 收款")*($R$2:$R$1501="Cheque 支票")*($V$2:$V$1501&lt;&gt;"")*($V$2:$V$1501&lt;=X1361)*($S$2:$S$1501-'Opening Balance'!$B$15*($R$2:$R$1501="Cheque 支票")*($S$2:$S$1501-TRUNC($S$2:$S$1501))))-'Opening Balance'!$B$15*SUMPRODUCT(($Z$2:Z1361="Online collection 网上收款")*($AA$2:AA1361&lt;&gt;"")*($AC$2:AC1361-TRUNC($AC$2:AC1361))),2))</f>
        <v/>
      </c>
    </row>
    <row r="1362">
      <c r="O1362" s="5" t="n"/>
      <c r="S1362" s="6" t="n"/>
      <c r="V1362" s="5" t="n"/>
      <c r="X1362" s="5" t="n"/>
      <c r="AC1362" s="6" t="n"/>
      <c r="AD1362" s="6" t="n"/>
      <c r="AE1362" s="7">
        <f>IF(X1362="","",ROUND('Opening Balance'!$B$4+SUM($AC$2:AC1362)-SUM($AD$2:AD1362)+SUMPRODUCT(($Q$2:$Q$1501="Collection 收款")*($R$2:$R$1501="Cheque 支票")*($V$2:$V$1501&lt;&gt;"")*($V$2:$V$1501&lt;=X1362)*($S$2:$S$1501-'Opening Balance'!$B$15*($R$2:$R$1501="Cheque 支票")*($S$2:$S$1501-TRUNC($S$2:$S$1501))))-'Opening Balance'!$B$15*SUMPRODUCT(($Z$2:Z1362="Online collection 网上收款")*($AA$2:AA1362&lt;&gt;"")*($AC$2:AC1362-TRUNC($AC$2:AC1362))),2))</f>
        <v/>
      </c>
    </row>
    <row r="1363">
      <c r="O1363" s="5" t="n"/>
      <c r="S1363" s="6" t="n"/>
      <c r="V1363" s="5" t="n"/>
      <c r="X1363" s="5" t="n"/>
      <c r="AC1363" s="6" t="n"/>
      <c r="AD1363" s="6" t="n"/>
      <c r="AE1363" s="7">
        <f>IF(X1363="","",ROUND('Opening Balance'!$B$4+SUM($AC$2:AC1363)-SUM($AD$2:AD1363)+SUMPRODUCT(($Q$2:$Q$1501="Collection 收款")*($R$2:$R$1501="Cheque 支票")*($V$2:$V$1501&lt;&gt;"")*($V$2:$V$1501&lt;=X1363)*($S$2:$S$1501-'Opening Balance'!$B$15*($R$2:$R$1501="Cheque 支票")*($S$2:$S$1501-TRUNC($S$2:$S$1501))))-'Opening Balance'!$B$15*SUMPRODUCT(($Z$2:Z1363="Online collection 网上收款")*($AA$2:AA1363&lt;&gt;"")*($AC$2:AC1363-TRUNC($AC$2:AC1363))),2))</f>
        <v/>
      </c>
    </row>
    <row r="1364">
      <c r="O1364" s="5" t="n"/>
      <c r="S1364" s="6" t="n"/>
      <c r="V1364" s="5" t="n"/>
      <c r="X1364" s="5" t="n"/>
      <c r="AC1364" s="6" t="n"/>
      <c r="AD1364" s="6" t="n"/>
      <c r="AE1364" s="7">
        <f>IF(X1364="","",ROUND('Opening Balance'!$B$4+SUM($AC$2:AC1364)-SUM($AD$2:AD1364)+SUMPRODUCT(($Q$2:$Q$1501="Collection 收款")*($R$2:$R$1501="Cheque 支票")*($V$2:$V$1501&lt;&gt;"")*($V$2:$V$1501&lt;=X1364)*($S$2:$S$1501-'Opening Balance'!$B$15*($R$2:$R$1501="Cheque 支票")*($S$2:$S$1501-TRUNC($S$2:$S$1501))))-'Opening Balance'!$B$15*SUMPRODUCT(($Z$2:Z1364="Online collection 网上收款")*($AA$2:AA1364&lt;&gt;"")*($AC$2:AC1364-TRUNC($AC$2:AC1364))),2))</f>
        <v/>
      </c>
    </row>
    <row r="1365">
      <c r="O1365" s="5" t="n"/>
      <c r="S1365" s="6" t="n"/>
      <c r="V1365" s="5" t="n"/>
      <c r="X1365" s="5" t="n"/>
      <c r="AC1365" s="6" t="n"/>
      <c r="AD1365" s="6" t="n"/>
      <c r="AE1365" s="7">
        <f>IF(X1365="","",ROUND('Opening Balance'!$B$4+SUM($AC$2:AC1365)-SUM($AD$2:AD1365)+SUMPRODUCT(($Q$2:$Q$1501="Collection 收款")*($R$2:$R$1501="Cheque 支票")*($V$2:$V$1501&lt;&gt;"")*($V$2:$V$1501&lt;=X1365)*($S$2:$S$1501-'Opening Balance'!$B$15*($R$2:$R$1501="Cheque 支票")*($S$2:$S$1501-TRUNC($S$2:$S$1501))))-'Opening Balance'!$B$15*SUMPRODUCT(($Z$2:Z1365="Online collection 网上收款")*($AA$2:AA1365&lt;&gt;"")*($AC$2:AC1365-TRUNC($AC$2:AC1365))),2))</f>
        <v/>
      </c>
    </row>
    <row r="1366">
      <c r="O1366" s="5" t="n"/>
      <c r="S1366" s="6" t="n"/>
      <c r="V1366" s="5" t="n"/>
      <c r="X1366" s="5" t="n"/>
      <c r="AC1366" s="6" t="n"/>
      <c r="AD1366" s="6" t="n"/>
      <c r="AE1366" s="7">
        <f>IF(X1366="","",ROUND('Opening Balance'!$B$4+SUM($AC$2:AC1366)-SUM($AD$2:AD1366)+SUMPRODUCT(($Q$2:$Q$1501="Collection 收款")*($R$2:$R$1501="Cheque 支票")*($V$2:$V$1501&lt;&gt;"")*($V$2:$V$1501&lt;=X1366)*($S$2:$S$1501-'Opening Balance'!$B$15*($R$2:$R$1501="Cheque 支票")*($S$2:$S$1501-TRUNC($S$2:$S$1501))))-'Opening Balance'!$B$15*SUMPRODUCT(($Z$2:Z1366="Online collection 网上收款")*($AA$2:AA1366&lt;&gt;"")*($AC$2:AC1366-TRUNC($AC$2:AC1366))),2))</f>
        <v/>
      </c>
    </row>
    <row r="1367">
      <c r="O1367" s="5" t="n"/>
      <c r="S1367" s="6" t="n"/>
      <c r="V1367" s="5" t="n"/>
      <c r="X1367" s="5" t="n"/>
      <c r="AC1367" s="6" t="n"/>
      <c r="AD1367" s="6" t="n"/>
      <c r="AE1367" s="7">
        <f>IF(X1367="","",ROUND('Opening Balance'!$B$4+SUM($AC$2:AC1367)-SUM($AD$2:AD1367)+SUMPRODUCT(($Q$2:$Q$1501="Collection 收款")*($R$2:$R$1501="Cheque 支票")*($V$2:$V$1501&lt;&gt;"")*($V$2:$V$1501&lt;=X1367)*($S$2:$S$1501-'Opening Balance'!$B$15*($R$2:$R$1501="Cheque 支票")*($S$2:$S$1501-TRUNC($S$2:$S$1501))))-'Opening Balance'!$B$15*SUMPRODUCT(($Z$2:Z1367="Online collection 网上收款")*($AA$2:AA1367&lt;&gt;"")*($AC$2:AC1367-TRUNC($AC$2:AC1367))),2))</f>
        <v/>
      </c>
    </row>
    <row r="1368">
      <c r="O1368" s="5" t="n"/>
      <c r="S1368" s="6" t="n"/>
      <c r="V1368" s="5" t="n"/>
      <c r="X1368" s="5" t="n"/>
      <c r="AC1368" s="6" t="n"/>
      <c r="AD1368" s="6" t="n"/>
      <c r="AE1368" s="7">
        <f>IF(X1368="","",ROUND('Opening Balance'!$B$4+SUM($AC$2:AC1368)-SUM($AD$2:AD1368)+SUMPRODUCT(($Q$2:$Q$1501="Collection 收款")*($R$2:$R$1501="Cheque 支票")*($V$2:$V$1501&lt;&gt;"")*($V$2:$V$1501&lt;=X1368)*($S$2:$S$1501-'Opening Balance'!$B$15*($R$2:$R$1501="Cheque 支票")*($S$2:$S$1501-TRUNC($S$2:$S$1501))))-'Opening Balance'!$B$15*SUMPRODUCT(($Z$2:Z1368="Online collection 网上收款")*($AA$2:AA1368&lt;&gt;"")*($AC$2:AC1368-TRUNC($AC$2:AC1368))),2))</f>
        <v/>
      </c>
    </row>
    <row r="1369">
      <c r="O1369" s="5" t="n"/>
      <c r="S1369" s="6" t="n"/>
      <c r="V1369" s="5" t="n"/>
      <c r="X1369" s="5" t="n"/>
      <c r="AC1369" s="6" t="n"/>
      <c r="AD1369" s="6" t="n"/>
      <c r="AE1369" s="7">
        <f>IF(X1369="","",ROUND('Opening Balance'!$B$4+SUM($AC$2:AC1369)-SUM($AD$2:AD1369)+SUMPRODUCT(($Q$2:$Q$1501="Collection 收款")*($R$2:$R$1501="Cheque 支票")*($V$2:$V$1501&lt;&gt;"")*($V$2:$V$1501&lt;=X1369)*($S$2:$S$1501-'Opening Balance'!$B$15*($R$2:$R$1501="Cheque 支票")*($S$2:$S$1501-TRUNC($S$2:$S$1501))))-'Opening Balance'!$B$15*SUMPRODUCT(($Z$2:Z1369="Online collection 网上收款")*($AA$2:AA1369&lt;&gt;"")*($AC$2:AC1369-TRUNC($AC$2:AC1369))),2))</f>
        <v/>
      </c>
    </row>
    <row r="1370">
      <c r="O1370" s="5" t="n"/>
      <c r="S1370" s="6" t="n"/>
      <c r="V1370" s="5" t="n"/>
      <c r="X1370" s="5" t="n"/>
      <c r="AC1370" s="6" t="n"/>
      <c r="AD1370" s="6" t="n"/>
      <c r="AE1370" s="7">
        <f>IF(X1370="","",ROUND('Opening Balance'!$B$4+SUM($AC$2:AC1370)-SUM($AD$2:AD1370)+SUMPRODUCT(($Q$2:$Q$1501="Collection 收款")*($R$2:$R$1501="Cheque 支票")*($V$2:$V$1501&lt;&gt;"")*($V$2:$V$1501&lt;=X1370)*($S$2:$S$1501-'Opening Balance'!$B$15*($R$2:$R$1501="Cheque 支票")*($S$2:$S$1501-TRUNC($S$2:$S$1501))))-'Opening Balance'!$B$15*SUMPRODUCT(($Z$2:Z1370="Online collection 网上收款")*($AA$2:AA1370&lt;&gt;"")*($AC$2:AC1370-TRUNC($AC$2:AC1370))),2))</f>
        <v/>
      </c>
    </row>
    <row r="1371">
      <c r="O1371" s="5" t="n"/>
      <c r="S1371" s="6" t="n"/>
      <c r="V1371" s="5" t="n"/>
      <c r="X1371" s="5" t="n"/>
      <c r="AC1371" s="6" t="n"/>
      <c r="AD1371" s="6" t="n"/>
      <c r="AE1371" s="7">
        <f>IF(X1371="","",ROUND('Opening Balance'!$B$4+SUM($AC$2:AC1371)-SUM($AD$2:AD1371)+SUMPRODUCT(($Q$2:$Q$1501="Collection 收款")*($R$2:$R$1501="Cheque 支票")*($V$2:$V$1501&lt;&gt;"")*($V$2:$V$1501&lt;=X1371)*($S$2:$S$1501-'Opening Balance'!$B$15*($R$2:$R$1501="Cheque 支票")*($S$2:$S$1501-TRUNC($S$2:$S$1501))))-'Opening Balance'!$B$15*SUMPRODUCT(($Z$2:Z1371="Online collection 网上收款")*($AA$2:AA1371&lt;&gt;"")*($AC$2:AC1371-TRUNC($AC$2:AC1371))),2))</f>
        <v/>
      </c>
    </row>
    <row r="1372">
      <c r="O1372" s="5" t="n"/>
      <c r="S1372" s="6" t="n"/>
      <c r="V1372" s="5" t="n"/>
      <c r="X1372" s="5" t="n"/>
      <c r="AC1372" s="6" t="n"/>
      <c r="AD1372" s="6" t="n"/>
      <c r="AE1372" s="7">
        <f>IF(X1372="","",ROUND('Opening Balance'!$B$4+SUM($AC$2:AC1372)-SUM($AD$2:AD1372)+SUMPRODUCT(($Q$2:$Q$1501="Collection 收款")*($R$2:$R$1501="Cheque 支票")*($V$2:$V$1501&lt;&gt;"")*($V$2:$V$1501&lt;=X1372)*($S$2:$S$1501-'Opening Balance'!$B$15*($R$2:$R$1501="Cheque 支票")*($S$2:$S$1501-TRUNC($S$2:$S$1501))))-'Opening Balance'!$B$15*SUMPRODUCT(($Z$2:Z1372="Online collection 网上收款")*($AA$2:AA1372&lt;&gt;"")*($AC$2:AC1372-TRUNC($AC$2:AC1372))),2))</f>
        <v/>
      </c>
    </row>
    <row r="1373">
      <c r="O1373" s="5" t="n"/>
      <c r="S1373" s="6" t="n"/>
      <c r="V1373" s="5" t="n"/>
      <c r="X1373" s="5" t="n"/>
      <c r="AC1373" s="6" t="n"/>
      <c r="AD1373" s="6" t="n"/>
      <c r="AE1373" s="7">
        <f>IF(X1373="","",ROUND('Opening Balance'!$B$4+SUM($AC$2:AC1373)-SUM($AD$2:AD1373)+SUMPRODUCT(($Q$2:$Q$1501="Collection 收款")*($R$2:$R$1501="Cheque 支票")*($V$2:$V$1501&lt;&gt;"")*($V$2:$V$1501&lt;=X1373)*($S$2:$S$1501-'Opening Balance'!$B$15*($R$2:$R$1501="Cheque 支票")*($S$2:$S$1501-TRUNC($S$2:$S$1501))))-'Opening Balance'!$B$15*SUMPRODUCT(($Z$2:Z1373="Online collection 网上收款")*($AA$2:AA1373&lt;&gt;"")*($AC$2:AC1373-TRUNC($AC$2:AC1373))),2))</f>
        <v/>
      </c>
    </row>
    <row r="1374">
      <c r="O1374" s="5" t="n"/>
      <c r="S1374" s="6" t="n"/>
      <c r="V1374" s="5" t="n"/>
      <c r="X1374" s="5" t="n"/>
      <c r="AC1374" s="6" t="n"/>
      <c r="AD1374" s="6" t="n"/>
      <c r="AE1374" s="7">
        <f>IF(X1374="","",ROUND('Opening Balance'!$B$4+SUM($AC$2:AC1374)-SUM($AD$2:AD1374)+SUMPRODUCT(($Q$2:$Q$1501="Collection 收款")*($R$2:$R$1501="Cheque 支票")*($V$2:$V$1501&lt;&gt;"")*($V$2:$V$1501&lt;=X1374)*($S$2:$S$1501-'Opening Balance'!$B$15*($R$2:$R$1501="Cheque 支票")*($S$2:$S$1501-TRUNC($S$2:$S$1501))))-'Opening Balance'!$B$15*SUMPRODUCT(($Z$2:Z1374="Online collection 网上收款")*($AA$2:AA1374&lt;&gt;"")*($AC$2:AC1374-TRUNC($AC$2:AC1374))),2))</f>
        <v/>
      </c>
    </row>
    <row r="1375">
      <c r="O1375" s="5" t="n"/>
      <c r="S1375" s="6" t="n"/>
      <c r="V1375" s="5" t="n"/>
      <c r="X1375" s="5" t="n"/>
      <c r="AC1375" s="6" t="n"/>
      <c r="AD1375" s="6" t="n"/>
      <c r="AE1375" s="7">
        <f>IF(X1375="","",ROUND('Opening Balance'!$B$4+SUM($AC$2:AC1375)-SUM($AD$2:AD1375)+SUMPRODUCT(($Q$2:$Q$1501="Collection 收款")*($R$2:$R$1501="Cheque 支票")*($V$2:$V$1501&lt;&gt;"")*($V$2:$V$1501&lt;=X1375)*($S$2:$S$1501-'Opening Balance'!$B$15*($R$2:$R$1501="Cheque 支票")*($S$2:$S$1501-TRUNC($S$2:$S$1501))))-'Opening Balance'!$B$15*SUMPRODUCT(($Z$2:Z1375="Online collection 网上收款")*($AA$2:AA1375&lt;&gt;"")*($AC$2:AC1375-TRUNC($AC$2:AC1375))),2))</f>
        <v/>
      </c>
    </row>
    <row r="1376">
      <c r="O1376" s="5" t="n"/>
      <c r="S1376" s="6" t="n"/>
      <c r="V1376" s="5" t="n"/>
      <c r="X1376" s="5" t="n"/>
      <c r="AC1376" s="6" t="n"/>
      <c r="AD1376" s="6" t="n"/>
      <c r="AE1376" s="7">
        <f>IF(X1376="","",ROUND('Opening Balance'!$B$4+SUM($AC$2:AC1376)-SUM($AD$2:AD1376)+SUMPRODUCT(($Q$2:$Q$1501="Collection 收款")*($R$2:$R$1501="Cheque 支票")*($V$2:$V$1501&lt;&gt;"")*($V$2:$V$1501&lt;=X1376)*($S$2:$S$1501-'Opening Balance'!$B$15*($R$2:$R$1501="Cheque 支票")*($S$2:$S$1501-TRUNC($S$2:$S$1501))))-'Opening Balance'!$B$15*SUMPRODUCT(($Z$2:Z1376="Online collection 网上收款")*($AA$2:AA1376&lt;&gt;"")*($AC$2:AC1376-TRUNC($AC$2:AC1376))),2))</f>
        <v/>
      </c>
    </row>
    <row r="1377">
      <c r="O1377" s="5" t="n"/>
      <c r="S1377" s="6" t="n"/>
      <c r="V1377" s="5" t="n"/>
      <c r="X1377" s="5" t="n"/>
      <c r="AC1377" s="6" t="n"/>
      <c r="AD1377" s="6" t="n"/>
      <c r="AE1377" s="7">
        <f>IF(X1377="","",ROUND('Opening Balance'!$B$4+SUM($AC$2:AC1377)-SUM($AD$2:AD1377)+SUMPRODUCT(($Q$2:$Q$1501="Collection 收款")*($R$2:$R$1501="Cheque 支票")*($V$2:$V$1501&lt;&gt;"")*($V$2:$V$1501&lt;=X1377)*($S$2:$S$1501-'Opening Balance'!$B$15*($R$2:$R$1501="Cheque 支票")*($S$2:$S$1501-TRUNC($S$2:$S$1501))))-'Opening Balance'!$B$15*SUMPRODUCT(($Z$2:Z1377="Online collection 网上收款")*($AA$2:AA1377&lt;&gt;"")*($AC$2:AC1377-TRUNC($AC$2:AC1377))),2))</f>
        <v/>
      </c>
    </row>
    <row r="1378">
      <c r="O1378" s="5" t="n"/>
      <c r="S1378" s="6" t="n"/>
      <c r="V1378" s="5" t="n"/>
      <c r="X1378" s="5" t="n"/>
      <c r="AC1378" s="6" t="n"/>
      <c r="AD1378" s="6" t="n"/>
      <c r="AE1378" s="7">
        <f>IF(X1378="","",ROUND('Opening Balance'!$B$4+SUM($AC$2:AC1378)-SUM($AD$2:AD1378)+SUMPRODUCT(($Q$2:$Q$1501="Collection 收款")*($R$2:$R$1501="Cheque 支票")*($V$2:$V$1501&lt;&gt;"")*($V$2:$V$1501&lt;=X1378)*($S$2:$S$1501-'Opening Balance'!$B$15*($R$2:$R$1501="Cheque 支票")*($S$2:$S$1501-TRUNC($S$2:$S$1501))))-'Opening Balance'!$B$15*SUMPRODUCT(($Z$2:Z1378="Online collection 网上收款")*($AA$2:AA1378&lt;&gt;"")*($AC$2:AC1378-TRUNC($AC$2:AC1378))),2))</f>
        <v/>
      </c>
    </row>
    <row r="1379">
      <c r="O1379" s="5" t="n"/>
      <c r="S1379" s="6" t="n"/>
      <c r="V1379" s="5" t="n"/>
      <c r="X1379" s="5" t="n"/>
      <c r="AC1379" s="6" t="n"/>
      <c r="AD1379" s="6" t="n"/>
      <c r="AE1379" s="7">
        <f>IF(X1379="","",ROUND('Opening Balance'!$B$4+SUM($AC$2:AC1379)-SUM($AD$2:AD1379)+SUMPRODUCT(($Q$2:$Q$1501="Collection 收款")*($R$2:$R$1501="Cheque 支票")*($V$2:$V$1501&lt;&gt;"")*($V$2:$V$1501&lt;=X1379)*($S$2:$S$1501-'Opening Balance'!$B$15*($R$2:$R$1501="Cheque 支票")*($S$2:$S$1501-TRUNC($S$2:$S$1501))))-'Opening Balance'!$B$15*SUMPRODUCT(($Z$2:Z1379="Online collection 网上收款")*($AA$2:AA1379&lt;&gt;"")*($AC$2:AC1379-TRUNC($AC$2:AC1379))),2))</f>
        <v/>
      </c>
    </row>
    <row r="1380">
      <c r="O1380" s="5" t="n"/>
      <c r="S1380" s="6" t="n"/>
      <c r="V1380" s="5" t="n"/>
      <c r="X1380" s="5" t="n"/>
      <c r="AC1380" s="6" t="n"/>
      <c r="AD1380" s="6" t="n"/>
      <c r="AE1380" s="7">
        <f>IF(X1380="","",ROUND('Opening Balance'!$B$4+SUM($AC$2:AC1380)-SUM($AD$2:AD1380)+SUMPRODUCT(($Q$2:$Q$1501="Collection 收款")*($R$2:$R$1501="Cheque 支票")*($V$2:$V$1501&lt;&gt;"")*($V$2:$V$1501&lt;=X1380)*($S$2:$S$1501-'Opening Balance'!$B$15*($R$2:$R$1501="Cheque 支票")*($S$2:$S$1501-TRUNC($S$2:$S$1501))))-'Opening Balance'!$B$15*SUMPRODUCT(($Z$2:Z1380="Online collection 网上收款")*($AA$2:AA1380&lt;&gt;"")*($AC$2:AC1380-TRUNC($AC$2:AC1380))),2))</f>
        <v/>
      </c>
    </row>
    <row r="1381">
      <c r="O1381" s="5" t="n"/>
      <c r="S1381" s="6" t="n"/>
      <c r="V1381" s="5" t="n"/>
      <c r="X1381" s="5" t="n"/>
      <c r="AC1381" s="6" t="n"/>
      <c r="AD1381" s="6" t="n"/>
      <c r="AE1381" s="7">
        <f>IF(X1381="","",ROUND('Opening Balance'!$B$4+SUM($AC$2:AC1381)-SUM($AD$2:AD1381)+SUMPRODUCT(($Q$2:$Q$1501="Collection 收款")*($R$2:$R$1501="Cheque 支票")*($V$2:$V$1501&lt;&gt;"")*($V$2:$V$1501&lt;=X1381)*($S$2:$S$1501-'Opening Balance'!$B$15*($R$2:$R$1501="Cheque 支票")*($S$2:$S$1501-TRUNC($S$2:$S$1501))))-'Opening Balance'!$B$15*SUMPRODUCT(($Z$2:Z1381="Online collection 网上收款")*($AA$2:AA1381&lt;&gt;"")*($AC$2:AC1381-TRUNC($AC$2:AC1381))),2))</f>
        <v/>
      </c>
    </row>
    <row r="1382">
      <c r="O1382" s="5" t="n"/>
      <c r="S1382" s="6" t="n"/>
      <c r="V1382" s="5" t="n"/>
      <c r="X1382" s="5" t="n"/>
      <c r="AC1382" s="6" t="n"/>
      <c r="AD1382" s="6" t="n"/>
      <c r="AE1382" s="7">
        <f>IF(X1382="","",ROUND('Opening Balance'!$B$4+SUM($AC$2:AC1382)-SUM($AD$2:AD1382)+SUMPRODUCT(($Q$2:$Q$1501="Collection 收款")*($R$2:$R$1501="Cheque 支票")*($V$2:$V$1501&lt;&gt;"")*($V$2:$V$1501&lt;=X1382)*($S$2:$S$1501-'Opening Balance'!$B$15*($R$2:$R$1501="Cheque 支票")*($S$2:$S$1501-TRUNC($S$2:$S$1501))))-'Opening Balance'!$B$15*SUMPRODUCT(($Z$2:Z1382="Online collection 网上收款")*($AA$2:AA1382&lt;&gt;"")*($AC$2:AC1382-TRUNC($AC$2:AC1382))),2))</f>
        <v/>
      </c>
    </row>
    <row r="1383">
      <c r="O1383" s="5" t="n"/>
      <c r="S1383" s="6" t="n"/>
      <c r="V1383" s="5" t="n"/>
      <c r="X1383" s="5" t="n"/>
      <c r="AC1383" s="6" t="n"/>
      <c r="AD1383" s="6" t="n"/>
      <c r="AE1383" s="7">
        <f>IF(X1383="","",ROUND('Opening Balance'!$B$4+SUM($AC$2:AC1383)-SUM($AD$2:AD1383)+SUMPRODUCT(($Q$2:$Q$1501="Collection 收款")*($R$2:$R$1501="Cheque 支票")*($V$2:$V$1501&lt;&gt;"")*($V$2:$V$1501&lt;=X1383)*($S$2:$S$1501-'Opening Balance'!$B$15*($R$2:$R$1501="Cheque 支票")*($S$2:$S$1501-TRUNC($S$2:$S$1501))))-'Opening Balance'!$B$15*SUMPRODUCT(($Z$2:Z1383="Online collection 网上收款")*($AA$2:AA1383&lt;&gt;"")*($AC$2:AC1383-TRUNC($AC$2:AC1383))),2))</f>
        <v/>
      </c>
    </row>
    <row r="1384">
      <c r="O1384" s="5" t="n"/>
      <c r="S1384" s="6" t="n"/>
      <c r="V1384" s="5" t="n"/>
      <c r="X1384" s="5" t="n"/>
      <c r="AC1384" s="6" t="n"/>
      <c r="AD1384" s="6" t="n"/>
      <c r="AE1384" s="7">
        <f>IF(X1384="","",ROUND('Opening Balance'!$B$4+SUM($AC$2:AC1384)-SUM($AD$2:AD1384)+SUMPRODUCT(($Q$2:$Q$1501="Collection 收款")*($R$2:$R$1501="Cheque 支票")*($V$2:$V$1501&lt;&gt;"")*($V$2:$V$1501&lt;=X1384)*($S$2:$S$1501-'Opening Balance'!$B$15*($R$2:$R$1501="Cheque 支票")*($S$2:$S$1501-TRUNC($S$2:$S$1501))))-'Opening Balance'!$B$15*SUMPRODUCT(($Z$2:Z1384="Online collection 网上收款")*($AA$2:AA1384&lt;&gt;"")*($AC$2:AC1384-TRUNC($AC$2:AC1384))),2))</f>
        <v/>
      </c>
    </row>
    <row r="1385">
      <c r="O1385" s="5" t="n"/>
      <c r="S1385" s="6" t="n"/>
      <c r="V1385" s="5" t="n"/>
      <c r="X1385" s="5" t="n"/>
      <c r="AC1385" s="6" t="n"/>
      <c r="AD1385" s="6" t="n"/>
      <c r="AE1385" s="7">
        <f>IF(X1385="","",ROUND('Opening Balance'!$B$4+SUM($AC$2:AC1385)-SUM($AD$2:AD1385)+SUMPRODUCT(($Q$2:$Q$1501="Collection 收款")*($R$2:$R$1501="Cheque 支票")*($V$2:$V$1501&lt;&gt;"")*($V$2:$V$1501&lt;=X1385)*($S$2:$S$1501-'Opening Balance'!$B$15*($R$2:$R$1501="Cheque 支票")*($S$2:$S$1501-TRUNC($S$2:$S$1501))))-'Opening Balance'!$B$15*SUMPRODUCT(($Z$2:Z1385="Online collection 网上收款")*($AA$2:AA1385&lt;&gt;"")*($AC$2:AC1385-TRUNC($AC$2:AC1385))),2))</f>
        <v/>
      </c>
    </row>
    <row r="1386">
      <c r="O1386" s="5" t="n"/>
      <c r="S1386" s="6" t="n"/>
      <c r="V1386" s="5" t="n"/>
      <c r="X1386" s="5" t="n"/>
      <c r="AC1386" s="6" t="n"/>
      <c r="AD1386" s="6" t="n"/>
      <c r="AE1386" s="7">
        <f>IF(X1386="","",ROUND('Opening Balance'!$B$4+SUM($AC$2:AC1386)-SUM($AD$2:AD1386)+SUMPRODUCT(($Q$2:$Q$1501="Collection 收款")*($R$2:$R$1501="Cheque 支票")*($V$2:$V$1501&lt;&gt;"")*($V$2:$V$1501&lt;=X1386)*($S$2:$S$1501-'Opening Balance'!$B$15*($R$2:$R$1501="Cheque 支票")*($S$2:$S$1501-TRUNC($S$2:$S$1501))))-'Opening Balance'!$B$15*SUMPRODUCT(($Z$2:Z1386="Online collection 网上收款")*($AA$2:AA1386&lt;&gt;"")*($AC$2:AC1386-TRUNC($AC$2:AC1386))),2))</f>
        <v/>
      </c>
    </row>
    <row r="1387">
      <c r="O1387" s="5" t="n"/>
      <c r="S1387" s="6" t="n"/>
      <c r="V1387" s="5" t="n"/>
      <c r="X1387" s="5" t="n"/>
      <c r="AC1387" s="6" t="n"/>
      <c r="AD1387" s="6" t="n"/>
      <c r="AE1387" s="7">
        <f>IF(X1387="","",ROUND('Opening Balance'!$B$4+SUM($AC$2:AC1387)-SUM($AD$2:AD1387)+SUMPRODUCT(($Q$2:$Q$1501="Collection 收款")*($R$2:$R$1501="Cheque 支票")*($V$2:$V$1501&lt;&gt;"")*($V$2:$V$1501&lt;=X1387)*($S$2:$S$1501-'Opening Balance'!$B$15*($R$2:$R$1501="Cheque 支票")*($S$2:$S$1501-TRUNC($S$2:$S$1501))))-'Opening Balance'!$B$15*SUMPRODUCT(($Z$2:Z1387="Online collection 网上收款")*($AA$2:AA1387&lt;&gt;"")*($AC$2:AC1387-TRUNC($AC$2:AC1387))),2))</f>
        <v/>
      </c>
    </row>
    <row r="1388">
      <c r="O1388" s="5" t="n"/>
      <c r="S1388" s="6" t="n"/>
      <c r="V1388" s="5" t="n"/>
      <c r="X1388" s="5" t="n"/>
      <c r="AC1388" s="6" t="n"/>
      <c r="AD1388" s="6" t="n"/>
      <c r="AE1388" s="7">
        <f>IF(X1388="","",ROUND('Opening Balance'!$B$4+SUM($AC$2:AC1388)-SUM($AD$2:AD1388)+SUMPRODUCT(($Q$2:$Q$1501="Collection 收款")*($R$2:$R$1501="Cheque 支票")*($V$2:$V$1501&lt;&gt;"")*($V$2:$V$1501&lt;=X1388)*($S$2:$S$1501-'Opening Balance'!$B$15*($R$2:$R$1501="Cheque 支票")*($S$2:$S$1501-TRUNC($S$2:$S$1501))))-'Opening Balance'!$B$15*SUMPRODUCT(($Z$2:Z1388="Online collection 网上收款")*($AA$2:AA1388&lt;&gt;"")*($AC$2:AC1388-TRUNC($AC$2:AC1388))),2))</f>
        <v/>
      </c>
    </row>
    <row r="1389">
      <c r="O1389" s="5" t="n"/>
      <c r="S1389" s="6" t="n"/>
      <c r="V1389" s="5" t="n"/>
      <c r="X1389" s="5" t="n"/>
      <c r="AC1389" s="6" t="n"/>
      <c r="AD1389" s="6" t="n"/>
      <c r="AE1389" s="7">
        <f>IF(X1389="","",ROUND('Opening Balance'!$B$4+SUM($AC$2:AC1389)-SUM($AD$2:AD1389)+SUMPRODUCT(($Q$2:$Q$1501="Collection 收款")*($R$2:$R$1501="Cheque 支票")*($V$2:$V$1501&lt;&gt;"")*($V$2:$V$1501&lt;=X1389)*($S$2:$S$1501-'Opening Balance'!$B$15*($R$2:$R$1501="Cheque 支票")*($S$2:$S$1501-TRUNC($S$2:$S$1501))))-'Opening Balance'!$B$15*SUMPRODUCT(($Z$2:Z1389="Online collection 网上收款")*($AA$2:AA1389&lt;&gt;"")*($AC$2:AC1389-TRUNC($AC$2:AC1389))),2))</f>
        <v/>
      </c>
    </row>
    <row r="1390">
      <c r="O1390" s="5" t="n"/>
      <c r="S1390" s="6" t="n"/>
      <c r="V1390" s="5" t="n"/>
      <c r="X1390" s="5" t="n"/>
      <c r="AC1390" s="6" t="n"/>
      <c r="AD1390" s="6" t="n"/>
      <c r="AE1390" s="7">
        <f>IF(X1390="","",ROUND('Opening Balance'!$B$4+SUM($AC$2:AC1390)-SUM($AD$2:AD1390)+SUMPRODUCT(($Q$2:$Q$1501="Collection 收款")*($R$2:$R$1501="Cheque 支票")*($V$2:$V$1501&lt;&gt;"")*($V$2:$V$1501&lt;=X1390)*($S$2:$S$1501-'Opening Balance'!$B$15*($R$2:$R$1501="Cheque 支票")*($S$2:$S$1501-TRUNC($S$2:$S$1501))))-'Opening Balance'!$B$15*SUMPRODUCT(($Z$2:Z1390="Online collection 网上收款")*($AA$2:AA1390&lt;&gt;"")*($AC$2:AC1390-TRUNC($AC$2:AC1390))),2))</f>
        <v/>
      </c>
    </row>
    <row r="1391">
      <c r="O1391" s="5" t="n"/>
      <c r="S1391" s="6" t="n"/>
      <c r="V1391" s="5" t="n"/>
      <c r="X1391" s="5" t="n"/>
      <c r="AC1391" s="6" t="n"/>
      <c r="AD1391" s="6" t="n"/>
      <c r="AE1391" s="7">
        <f>IF(X1391="","",ROUND('Opening Balance'!$B$4+SUM($AC$2:AC1391)-SUM($AD$2:AD1391)+SUMPRODUCT(($Q$2:$Q$1501="Collection 收款")*($R$2:$R$1501="Cheque 支票")*($V$2:$V$1501&lt;&gt;"")*($V$2:$V$1501&lt;=X1391)*($S$2:$S$1501-'Opening Balance'!$B$15*($R$2:$R$1501="Cheque 支票")*($S$2:$S$1501-TRUNC($S$2:$S$1501))))-'Opening Balance'!$B$15*SUMPRODUCT(($Z$2:Z1391="Online collection 网上收款")*($AA$2:AA1391&lt;&gt;"")*($AC$2:AC1391-TRUNC($AC$2:AC1391))),2))</f>
        <v/>
      </c>
    </row>
    <row r="1392">
      <c r="O1392" s="5" t="n"/>
      <c r="S1392" s="6" t="n"/>
      <c r="V1392" s="5" t="n"/>
      <c r="X1392" s="5" t="n"/>
      <c r="AC1392" s="6" t="n"/>
      <c r="AD1392" s="6" t="n"/>
      <c r="AE1392" s="7">
        <f>IF(X1392="","",ROUND('Opening Balance'!$B$4+SUM($AC$2:AC1392)-SUM($AD$2:AD1392)+SUMPRODUCT(($Q$2:$Q$1501="Collection 收款")*($R$2:$R$1501="Cheque 支票")*($V$2:$V$1501&lt;&gt;"")*($V$2:$V$1501&lt;=X1392)*($S$2:$S$1501-'Opening Balance'!$B$15*($R$2:$R$1501="Cheque 支票")*($S$2:$S$1501-TRUNC($S$2:$S$1501))))-'Opening Balance'!$B$15*SUMPRODUCT(($Z$2:Z1392="Online collection 网上收款")*($AA$2:AA1392&lt;&gt;"")*($AC$2:AC1392-TRUNC($AC$2:AC1392))),2))</f>
        <v/>
      </c>
    </row>
    <row r="1393">
      <c r="O1393" s="5" t="n"/>
      <c r="S1393" s="6" t="n"/>
      <c r="V1393" s="5" t="n"/>
      <c r="X1393" s="5" t="n"/>
      <c r="AC1393" s="6" t="n"/>
      <c r="AD1393" s="6" t="n"/>
      <c r="AE1393" s="7">
        <f>IF(X1393="","",ROUND('Opening Balance'!$B$4+SUM($AC$2:AC1393)-SUM($AD$2:AD1393)+SUMPRODUCT(($Q$2:$Q$1501="Collection 收款")*($R$2:$R$1501="Cheque 支票")*($V$2:$V$1501&lt;&gt;"")*($V$2:$V$1501&lt;=X1393)*($S$2:$S$1501-'Opening Balance'!$B$15*($R$2:$R$1501="Cheque 支票")*($S$2:$S$1501-TRUNC($S$2:$S$1501))))-'Opening Balance'!$B$15*SUMPRODUCT(($Z$2:Z1393="Online collection 网上收款")*($AA$2:AA1393&lt;&gt;"")*($AC$2:AC1393-TRUNC($AC$2:AC1393))),2))</f>
        <v/>
      </c>
    </row>
    <row r="1394">
      <c r="O1394" s="5" t="n"/>
      <c r="S1394" s="6" t="n"/>
      <c r="V1394" s="5" t="n"/>
      <c r="X1394" s="5" t="n"/>
      <c r="AC1394" s="6" t="n"/>
      <c r="AD1394" s="6" t="n"/>
      <c r="AE1394" s="7">
        <f>IF(X1394="","",ROUND('Opening Balance'!$B$4+SUM($AC$2:AC1394)-SUM($AD$2:AD1394)+SUMPRODUCT(($Q$2:$Q$1501="Collection 收款")*($R$2:$R$1501="Cheque 支票")*($V$2:$V$1501&lt;&gt;"")*($V$2:$V$1501&lt;=X1394)*($S$2:$S$1501-'Opening Balance'!$B$15*($R$2:$R$1501="Cheque 支票")*($S$2:$S$1501-TRUNC($S$2:$S$1501))))-'Opening Balance'!$B$15*SUMPRODUCT(($Z$2:Z1394="Online collection 网上收款")*($AA$2:AA1394&lt;&gt;"")*($AC$2:AC1394-TRUNC($AC$2:AC1394))),2))</f>
        <v/>
      </c>
    </row>
    <row r="1395">
      <c r="O1395" s="5" t="n"/>
      <c r="S1395" s="6" t="n"/>
      <c r="V1395" s="5" t="n"/>
      <c r="X1395" s="5" t="n"/>
      <c r="AC1395" s="6" t="n"/>
      <c r="AD1395" s="6" t="n"/>
      <c r="AE1395" s="7">
        <f>IF(X1395="","",ROUND('Opening Balance'!$B$4+SUM($AC$2:AC1395)-SUM($AD$2:AD1395)+SUMPRODUCT(($Q$2:$Q$1501="Collection 收款")*($R$2:$R$1501="Cheque 支票")*($V$2:$V$1501&lt;&gt;"")*($V$2:$V$1501&lt;=X1395)*($S$2:$S$1501-'Opening Balance'!$B$15*($R$2:$R$1501="Cheque 支票")*($S$2:$S$1501-TRUNC($S$2:$S$1501))))-'Opening Balance'!$B$15*SUMPRODUCT(($Z$2:Z1395="Online collection 网上收款")*($AA$2:AA1395&lt;&gt;"")*($AC$2:AC1395-TRUNC($AC$2:AC1395))),2))</f>
        <v/>
      </c>
    </row>
    <row r="1396">
      <c r="O1396" s="5" t="n"/>
      <c r="S1396" s="6" t="n"/>
      <c r="V1396" s="5" t="n"/>
      <c r="X1396" s="5" t="n"/>
      <c r="AC1396" s="6" t="n"/>
      <c r="AD1396" s="6" t="n"/>
      <c r="AE1396" s="7">
        <f>IF(X1396="","",ROUND('Opening Balance'!$B$4+SUM($AC$2:AC1396)-SUM($AD$2:AD1396)+SUMPRODUCT(($Q$2:$Q$1501="Collection 收款")*($R$2:$R$1501="Cheque 支票")*($V$2:$V$1501&lt;&gt;"")*($V$2:$V$1501&lt;=X1396)*($S$2:$S$1501-'Opening Balance'!$B$15*($R$2:$R$1501="Cheque 支票")*($S$2:$S$1501-TRUNC($S$2:$S$1501))))-'Opening Balance'!$B$15*SUMPRODUCT(($Z$2:Z1396="Online collection 网上收款")*($AA$2:AA1396&lt;&gt;"")*($AC$2:AC1396-TRUNC($AC$2:AC1396))),2))</f>
        <v/>
      </c>
    </row>
    <row r="1397">
      <c r="O1397" s="5" t="n"/>
      <c r="S1397" s="6" t="n"/>
      <c r="V1397" s="5" t="n"/>
      <c r="X1397" s="5" t="n"/>
      <c r="AC1397" s="6" t="n"/>
      <c r="AD1397" s="6" t="n"/>
      <c r="AE1397" s="7">
        <f>IF(X1397="","",ROUND('Opening Balance'!$B$4+SUM($AC$2:AC1397)-SUM($AD$2:AD1397)+SUMPRODUCT(($Q$2:$Q$1501="Collection 收款")*($R$2:$R$1501="Cheque 支票")*($V$2:$V$1501&lt;&gt;"")*($V$2:$V$1501&lt;=X1397)*($S$2:$S$1501-'Opening Balance'!$B$15*($R$2:$R$1501="Cheque 支票")*($S$2:$S$1501-TRUNC($S$2:$S$1501))))-'Opening Balance'!$B$15*SUMPRODUCT(($Z$2:Z1397="Online collection 网上收款")*($AA$2:AA1397&lt;&gt;"")*($AC$2:AC1397-TRUNC($AC$2:AC1397))),2))</f>
        <v/>
      </c>
    </row>
    <row r="1398">
      <c r="O1398" s="5" t="n"/>
      <c r="S1398" s="6" t="n"/>
      <c r="V1398" s="5" t="n"/>
      <c r="X1398" s="5" t="n"/>
      <c r="AC1398" s="6" t="n"/>
      <c r="AD1398" s="6" t="n"/>
      <c r="AE1398" s="7">
        <f>IF(X1398="","",ROUND('Opening Balance'!$B$4+SUM($AC$2:AC1398)-SUM($AD$2:AD1398)+SUMPRODUCT(($Q$2:$Q$1501="Collection 收款")*($R$2:$R$1501="Cheque 支票")*($V$2:$V$1501&lt;&gt;"")*($V$2:$V$1501&lt;=X1398)*($S$2:$S$1501-'Opening Balance'!$B$15*($R$2:$R$1501="Cheque 支票")*($S$2:$S$1501-TRUNC($S$2:$S$1501))))-'Opening Balance'!$B$15*SUMPRODUCT(($Z$2:Z1398="Online collection 网上收款")*($AA$2:AA1398&lt;&gt;"")*($AC$2:AC1398-TRUNC($AC$2:AC1398))),2))</f>
        <v/>
      </c>
    </row>
    <row r="1399">
      <c r="O1399" s="5" t="n"/>
      <c r="S1399" s="6" t="n"/>
      <c r="V1399" s="5" t="n"/>
      <c r="X1399" s="5" t="n"/>
      <c r="AC1399" s="6" t="n"/>
      <c r="AD1399" s="6" t="n"/>
      <c r="AE1399" s="7">
        <f>IF(X1399="","",ROUND('Opening Balance'!$B$4+SUM($AC$2:AC1399)-SUM($AD$2:AD1399)+SUMPRODUCT(($Q$2:$Q$1501="Collection 收款")*($R$2:$R$1501="Cheque 支票")*($V$2:$V$1501&lt;&gt;"")*($V$2:$V$1501&lt;=X1399)*($S$2:$S$1501-'Opening Balance'!$B$15*($R$2:$R$1501="Cheque 支票")*($S$2:$S$1501-TRUNC($S$2:$S$1501))))-'Opening Balance'!$B$15*SUMPRODUCT(($Z$2:Z1399="Online collection 网上收款")*($AA$2:AA1399&lt;&gt;"")*($AC$2:AC1399-TRUNC($AC$2:AC1399))),2))</f>
        <v/>
      </c>
    </row>
    <row r="1400">
      <c r="O1400" s="5" t="n"/>
      <c r="S1400" s="6" t="n"/>
      <c r="V1400" s="5" t="n"/>
      <c r="X1400" s="5" t="n"/>
      <c r="AC1400" s="6" t="n"/>
      <c r="AD1400" s="6" t="n"/>
      <c r="AE1400" s="7">
        <f>IF(X1400="","",ROUND('Opening Balance'!$B$4+SUM($AC$2:AC1400)-SUM($AD$2:AD1400)+SUMPRODUCT(($Q$2:$Q$1501="Collection 收款")*($R$2:$R$1501="Cheque 支票")*($V$2:$V$1501&lt;&gt;"")*($V$2:$V$1501&lt;=X1400)*($S$2:$S$1501-'Opening Balance'!$B$15*($R$2:$R$1501="Cheque 支票")*($S$2:$S$1501-TRUNC($S$2:$S$1501))))-'Opening Balance'!$B$15*SUMPRODUCT(($Z$2:Z1400="Online collection 网上收款")*($AA$2:AA1400&lt;&gt;"")*($AC$2:AC1400-TRUNC($AC$2:AC1400))),2))</f>
        <v/>
      </c>
    </row>
    <row r="1401">
      <c r="O1401" s="5" t="n"/>
      <c r="S1401" s="6" t="n"/>
      <c r="V1401" s="5" t="n"/>
      <c r="X1401" s="5" t="n"/>
      <c r="AC1401" s="6" t="n"/>
      <c r="AD1401" s="6" t="n"/>
      <c r="AE1401" s="7">
        <f>IF(X1401="","",ROUND('Opening Balance'!$B$4+SUM($AC$2:AC1401)-SUM($AD$2:AD1401)+SUMPRODUCT(($Q$2:$Q$1501="Collection 收款")*($R$2:$R$1501="Cheque 支票")*($V$2:$V$1501&lt;&gt;"")*($V$2:$V$1501&lt;=X1401)*($S$2:$S$1501-'Opening Balance'!$B$15*($R$2:$R$1501="Cheque 支票")*($S$2:$S$1501-TRUNC($S$2:$S$1501))))-'Opening Balance'!$B$15*SUMPRODUCT(($Z$2:Z1401="Online collection 网上收款")*($AA$2:AA1401&lt;&gt;"")*($AC$2:AC1401-TRUNC($AC$2:AC1401))),2))</f>
        <v/>
      </c>
    </row>
    <row r="1402">
      <c r="O1402" s="5" t="n"/>
      <c r="S1402" s="6" t="n"/>
      <c r="V1402" s="5" t="n"/>
      <c r="X1402" s="5" t="n"/>
      <c r="AC1402" s="6" t="n"/>
      <c r="AD1402" s="6" t="n"/>
      <c r="AE1402" s="7">
        <f>IF(X1402="","",ROUND('Opening Balance'!$B$4+SUM($AC$2:AC1402)-SUM($AD$2:AD1402)+SUMPRODUCT(($Q$2:$Q$1501="Collection 收款")*($R$2:$R$1501="Cheque 支票")*($V$2:$V$1501&lt;&gt;"")*($V$2:$V$1501&lt;=X1402)*($S$2:$S$1501-'Opening Balance'!$B$15*($R$2:$R$1501="Cheque 支票")*($S$2:$S$1501-TRUNC($S$2:$S$1501))))-'Opening Balance'!$B$15*SUMPRODUCT(($Z$2:Z1402="Online collection 网上收款")*($AA$2:AA1402&lt;&gt;"")*($AC$2:AC1402-TRUNC($AC$2:AC1402))),2))</f>
        <v/>
      </c>
    </row>
    <row r="1403">
      <c r="O1403" s="5" t="n"/>
      <c r="S1403" s="6" t="n"/>
      <c r="V1403" s="5" t="n"/>
      <c r="X1403" s="5" t="n"/>
      <c r="AC1403" s="6" t="n"/>
      <c r="AD1403" s="6" t="n"/>
      <c r="AE1403" s="7">
        <f>IF(X1403="","",ROUND('Opening Balance'!$B$4+SUM($AC$2:AC1403)-SUM($AD$2:AD1403)+SUMPRODUCT(($Q$2:$Q$1501="Collection 收款")*($R$2:$R$1501="Cheque 支票")*($V$2:$V$1501&lt;&gt;"")*($V$2:$V$1501&lt;=X1403)*($S$2:$S$1501-'Opening Balance'!$B$15*($R$2:$R$1501="Cheque 支票")*($S$2:$S$1501-TRUNC($S$2:$S$1501))))-'Opening Balance'!$B$15*SUMPRODUCT(($Z$2:Z1403="Online collection 网上收款")*($AA$2:AA1403&lt;&gt;"")*($AC$2:AC1403-TRUNC($AC$2:AC1403))),2))</f>
        <v/>
      </c>
    </row>
    <row r="1404">
      <c r="O1404" s="5" t="n"/>
      <c r="S1404" s="6" t="n"/>
      <c r="V1404" s="5" t="n"/>
      <c r="X1404" s="5" t="n"/>
      <c r="AC1404" s="6" t="n"/>
      <c r="AD1404" s="6" t="n"/>
      <c r="AE1404" s="7">
        <f>IF(X1404="","",ROUND('Opening Balance'!$B$4+SUM($AC$2:AC1404)-SUM($AD$2:AD1404)+SUMPRODUCT(($Q$2:$Q$1501="Collection 收款")*($R$2:$R$1501="Cheque 支票")*($V$2:$V$1501&lt;&gt;"")*($V$2:$V$1501&lt;=X1404)*($S$2:$S$1501-'Opening Balance'!$B$15*($R$2:$R$1501="Cheque 支票")*($S$2:$S$1501-TRUNC($S$2:$S$1501))))-'Opening Balance'!$B$15*SUMPRODUCT(($Z$2:Z1404="Online collection 网上收款")*($AA$2:AA1404&lt;&gt;"")*($AC$2:AC1404-TRUNC($AC$2:AC1404))),2))</f>
        <v/>
      </c>
    </row>
    <row r="1405">
      <c r="O1405" s="5" t="n"/>
      <c r="S1405" s="6" t="n"/>
      <c r="V1405" s="5" t="n"/>
      <c r="X1405" s="5" t="n"/>
      <c r="AC1405" s="6" t="n"/>
      <c r="AD1405" s="6" t="n"/>
      <c r="AE1405" s="7">
        <f>IF(X1405="","",ROUND('Opening Balance'!$B$4+SUM($AC$2:AC1405)-SUM($AD$2:AD1405)+SUMPRODUCT(($Q$2:$Q$1501="Collection 收款")*($R$2:$R$1501="Cheque 支票")*($V$2:$V$1501&lt;&gt;"")*($V$2:$V$1501&lt;=X1405)*($S$2:$S$1501-'Opening Balance'!$B$15*($R$2:$R$1501="Cheque 支票")*($S$2:$S$1501-TRUNC($S$2:$S$1501))))-'Opening Balance'!$B$15*SUMPRODUCT(($Z$2:Z1405="Online collection 网上收款")*($AA$2:AA1405&lt;&gt;"")*($AC$2:AC1405-TRUNC($AC$2:AC1405))),2))</f>
        <v/>
      </c>
    </row>
    <row r="1406">
      <c r="O1406" s="5" t="n"/>
      <c r="S1406" s="6" t="n"/>
      <c r="V1406" s="5" t="n"/>
      <c r="X1406" s="5" t="n"/>
      <c r="AC1406" s="6" t="n"/>
      <c r="AD1406" s="6" t="n"/>
      <c r="AE1406" s="7">
        <f>IF(X1406="","",ROUND('Opening Balance'!$B$4+SUM($AC$2:AC1406)-SUM($AD$2:AD1406)+SUMPRODUCT(($Q$2:$Q$1501="Collection 收款")*($R$2:$R$1501="Cheque 支票")*($V$2:$V$1501&lt;&gt;"")*($V$2:$V$1501&lt;=X1406)*($S$2:$S$1501-'Opening Balance'!$B$15*($R$2:$R$1501="Cheque 支票")*($S$2:$S$1501-TRUNC($S$2:$S$1501))))-'Opening Balance'!$B$15*SUMPRODUCT(($Z$2:Z1406="Online collection 网上收款")*($AA$2:AA1406&lt;&gt;"")*($AC$2:AC1406-TRUNC($AC$2:AC1406))),2))</f>
        <v/>
      </c>
    </row>
    <row r="1407">
      <c r="O1407" s="5" t="n"/>
      <c r="S1407" s="6" t="n"/>
      <c r="V1407" s="5" t="n"/>
      <c r="X1407" s="5" t="n"/>
      <c r="AC1407" s="6" t="n"/>
      <c r="AD1407" s="6" t="n"/>
      <c r="AE1407" s="7">
        <f>IF(X1407="","",ROUND('Opening Balance'!$B$4+SUM($AC$2:AC1407)-SUM($AD$2:AD1407)+SUMPRODUCT(($Q$2:$Q$1501="Collection 收款")*($R$2:$R$1501="Cheque 支票")*($V$2:$V$1501&lt;&gt;"")*($V$2:$V$1501&lt;=X1407)*($S$2:$S$1501-'Opening Balance'!$B$15*($R$2:$R$1501="Cheque 支票")*($S$2:$S$1501-TRUNC($S$2:$S$1501))))-'Opening Balance'!$B$15*SUMPRODUCT(($Z$2:Z1407="Online collection 网上收款")*($AA$2:AA1407&lt;&gt;"")*($AC$2:AC1407-TRUNC($AC$2:AC1407))),2))</f>
        <v/>
      </c>
    </row>
    <row r="1408">
      <c r="O1408" s="5" t="n"/>
      <c r="S1408" s="6" t="n"/>
      <c r="V1408" s="5" t="n"/>
      <c r="X1408" s="5" t="n"/>
      <c r="AC1408" s="6" t="n"/>
      <c r="AD1408" s="6" t="n"/>
      <c r="AE1408" s="7">
        <f>IF(X1408="","",ROUND('Opening Balance'!$B$4+SUM($AC$2:AC1408)-SUM($AD$2:AD1408)+SUMPRODUCT(($Q$2:$Q$1501="Collection 收款")*($R$2:$R$1501="Cheque 支票")*($V$2:$V$1501&lt;&gt;"")*($V$2:$V$1501&lt;=X1408)*($S$2:$S$1501-'Opening Balance'!$B$15*($R$2:$R$1501="Cheque 支票")*($S$2:$S$1501-TRUNC($S$2:$S$1501))))-'Opening Balance'!$B$15*SUMPRODUCT(($Z$2:Z1408="Online collection 网上收款")*($AA$2:AA1408&lt;&gt;"")*($AC$2:AC1408-TRUNC($AC$2:AC1408))),2))</f>
        <v/>
      </c>
    </row>
    <row r="1409">
      <c r="O1409" s="5" t="n"/>
      <c r="S1409" s="6" t="n"/>
      <c r="V1409" s="5" t="n"/>
      <c r="X1409" s="5" t="n"/>
      <c r="AC1409" s="6" t="n"/>
      <c r="AD1409" s="6" t="n"/>
      <c r="AE1409" s="7">
        <f>IF(X1409="","",ROUND('Opening Balance'!$B$4+SUM($AC$2:AC1409)-SUM($AD$2:AD1409)+SUMPRODUCT(($Q$2:$Q$1501="Collection 收款")*($R$2:$R$1501="Cheque 支票")*($V$2:$V$1501&lt;&gt;"")*($V$2:$V$1501&lt;=X1409)*($S$2:$S$1501-'Opening Balance'!$B$15*($R$2:$R$1501="Cheque 支票")*($S$2:$S$1501-TRUNC($S$2:$S$1501))))-'Opening Balance'!$B$15*SUMPRODUCT(($Z$2:Z1409="Online collection 网上收款")*($AA$2:AA1409&lt;&gt;"")*($AC$2:AC1409-TRUNC($AC$2:AC1409))),2))</f>
        <v/>
      </c>
    </row>
    <row r="1410">
      <c r="O1410" s="5" t="n"/>
      <c r="S1410" s="6" t="n"/>
      <c r="V1410" s="5" t="n"/>
      <c r="X1410" s="5" t="n"/>
      <c r="AC1410" s="6" t="n"/>
      <c r="AD1410" s="6" t="n"/>
      <c r="AE1410" s="7">
        <f>IF(X1410="","",ROUND('Opening Balance'!$B$4+SUM($AC$2:AC1410)-SUM($AD$2:AD1410)+SUMPRODUCT(($Q$2:$Q$1501="Collection 收款")*($R$2:$R$1501="Cheque 支票")*($V$2:$V$1501&lt;&gt;"")*($V$2:$V$1501&lt;=X1410)*($S$2:$S$1501-'Opening Balance'!$B$15*($R$2:$R$1501="Cheque 支票")*($S$2:$S$1501-TRUNC($S$2:$S$1501))))-'Opening Balance'!$B$15*SUMPRODUCT(($Z$2:Z1410="Online collection 网上收款")*($AA$2:AA1410&lt;&gt;"")*($AC$2:AC1410-TRUNC($AC$2:AC1410))),2))</f>
        <v/>
      </c>
    </row>
    <row r="1411">
      <c r="O1411" s="5" t="n"/>
      <c r="S1411" s="6" t="n"/>
      <c r="V1411" s="5" t="n"/>
      <c r="X1411" s="5" t="n"/>
      <c r="AC1411" s="6" t="n"/>
      <c r="AD1411" s="6" t="n"/>
      <c r="AE1411" s="7">
        <f>IF(X1411="","",ROUND('Opening Balance'!$B$4+SUM($AC$2:AC1411)-SUM($AD$2:AD1411)+SUMPRODUCT(($Q$2:$Q$1501="Collection 收款")*($R$2:$R$1501="Cheque 支票")*($V$2:$V$1501&lt;&gt;"")*($V$2:$V$1501&lt;=X1411)*($S$2:$S$1501-'Opening Balance'!$B$15*($R$2:$R$1501="Cheque 支票")*($S$2:$S$1501-TRUNC($S$2:$S$1501))))-'Opening Balance'!$B$15*SUMPRODUCT(($Z$2:Z1411="Online collection 网上收款")*($AA$2:AA1411&lt;&gt;"")*($AC$2:AC1411-TRUNC($AC$2:AC1411))),2))</f>
        <v/>
      </c>
    </row>
    <row r="1412">
      <c r="O1412" s="5" t="n"/>
      <c r="S1412" s="6" t="n"/>
      <c r="V1412" s="5" t="n"/>
      <c r="X1412" s="5" t="n"/>
      <c r="AC1412" s="6" t="n"/>
      <c r="AD1412" s="6" t="n"/>
      <c r="AE1412" s="7">
        <f>IF(X1412="","",ROUND('Opening Balance'!$B$4+SUM($AC$2:AC1412)-SUM($AD$2:AD1412)+SUMPRODUCT(($Q$2:$Q$1501="Collection 收款")*($R$2:$R$1501="Cheque 支票")*($V$2:$V$1501&lt;&gt;"")*($V$2:$V$1501&lt;=X1412)*($S$2:$S$1501-'Opening Balance'!$B$15*($R$2:$R$1501="Cheque 支票")*($S$2:$S$1501-TRUNC($S$2:$S$1501))))-'Opening Balance'!$B$15*SUMPRODUCT(($Z$2:Z1412="Online collection 网上收款")*($AA$2:AA1412&lt;&gt;"")*($AC$2:AC1412-TRUNC($AC$2:AC1412))),2))</f>
        <v/>
      </c>
    </row>
    <row r="1413">
      <c r="O1413" s="5" t="n"/>
      <c r="S1413" s="6" t="n"/>
      <c r="V1413" s="5" t="n"/>
      <c r="X1413" s="5" t="n"/>
      <c r="AC1413" s="6" t="n"/>
      <c r="AD1413" s="6" t="n"/>
      <c r="AE1413" s="7">
        <f>IF(X1413="","",ROUND('Opening Balance'!$B$4+SUM($AC$2:AC1413)-SUM($AD$2:AD1413)+SUMPRODUCT(($Q$2:$Q$1501="Collection 收款")*($R$2:$R$1501="Cheque 支票")*($V$2:$V$1501&lt;&gt;"")*($V$2:$V$1501&lt;=X1413)*($S$2:$S$1501-'Opening Balance'!$B$15*($R$2:$R$1501="Cheque 支票")*($S$2:$S$1501-TRUNC($S$2:$S$1501))))-'Opening Balance'!$B$15*SUMPRODUCT(($Z$2:Z1413="Online collection 网上收款")*($AA$2:AA1413&lt;&gt;"")*($AC$2:AC1413-TRUNC($AC$2:AC1413))),2))</f>
        <v/>
      </c>
    </row>
    <row r="1414">
      <c r="O1414" s="5" t="n"/>
      <c r="S1414" s="6" t="n"/>
      <c r="V1414" s="5" t="n"/>
      <c r="X1414" s="5" t="n"/>
      <c r="AC1414" s="6" t="n"/>
      <c r="AD1414" s="6" t="n"/>
      <c r="AE1414" s="7">
        <f>IF(X1414="","",ROUND('Opening Balance'!$B$4+SUM($AC$2:AC1414)-SUM($AD$2:AD1414)+SUMPRODUCT(($Q$2:$Q$1501="Collection 收款")*($R$2:$R$1501="Cheque 支票")*($V$2:$V$1501&lt;&gt;"")*($V$2:$V$1501&lt;=X1414)*($S$2:$S$1501-'Opening Balance'!$B$15*($R$2:$R$1501="Cheque 支票")*($S$2:$S$1501-TRUNC($S$2:$S$1501))))-'Opening Balance'!$B$15*SUMPRODUCT(($Z$2:Z1414="Online collection 网上收款")*($AA$2:AA1414&lt;&gt;"")*($AC$2:AC1414-TRUNC($AC$2:AC1414))),2))</f>
        <v/>
      </c>
    </row>
    <row r="1415">
      <c r="O1415" s="5" t="n"/>
      <c r="S1415" s="6" t="n"/>
      <c r="V1415" s="5" t="n"/>
      <c r="X1415" s="5" t="n"/>
      <c r="AC1415" s="6" t="n"/>
      <c r="AD1415" s="6" t="n"/>
      <c r="AE1415" s="7">
        <f>IF(X1415="","",ROUND('Opening Balance'!$B$4+SUM($AC$2:AC1415)-SUM($AD$2:AD1415)+SUMPRODUCT(($Q$2:$Q$1501="Collection 收款")*($R$2:$R$1501="Cheque 支票")*($V$2:$V$1501&lt;&gt;"")*($V$2:$V$1501&lt;=X1415)*($S$2:$S$1501-'Opening Balance'!$B$15*($R$2:$R$1501="Cheque 支票")*($S$2:$S$1501-TRUNC($S$2:$S$1501))))-'Opening Balance'!$B$15*SUMPRODUCT(($Z$2:Z1415="Online collection 网上收款")*($AA$2:AA1415&lt;&gt;"")*($AC$2:AC1415-TRUNC($AC$2:AC1415))),2))</f>
        <v/>
      </c>
    </row>
    <row r="1416">
      <c r="O1416" s="5" t="n"/>
      <c r="S1416" s="6" t="n"/>
      <c r="V1416" s="5" t="n"/>
      <c r="X1416" s="5" t="n"/>
      <c r="AC1416" s="6" t="n"/>
      <c r="AD1416" s="6" t="n"/>
      <c r="AE1416" s="7">
        <f>IF(X1416="","",ROUND('Opening Balance'!$B$4+SUM($AC$2:AC1416)-SUM($AD$2:AD1416)+SUMPRODUCT(($Q$2:$Q$1501="Collection 收款")*($R$2:$R$1501="Cheque 支票")*($V$2:$V$1501&lt;&gt;"")*($V$2:$V$1501&lt;=X1416)*($S$2:$S$1501-'Opening Balance'!$B$15*($R$2:$R$1501="Cheque 支票")*($S$2:$S$1501-TRUNC($S$2:$S$1501))))-'Opening Balance'!$B$15*SUMPRODUCT(($Z$2:Z1416="Online collection 网上收款")*($AA$2:AA1416&lt;&gt;"")*($AC$2:AC1416-TRUNC($AC$2:AC1416))),2))</f>
        <v/>
      </c>
    </row>
    <row r="1417">
      <c r="O1417" s="5" t="n"/>
      <c r="S1417" s="6" t="n"/>
      <c r="V1417" s="5" t="n"/>
      <c r="X1417" s="5" t="n"/>
      <c r="AC1417" s="6" t="n"/>
      <c r="AD1417" s="6" t="n"/>
      <c r="AE1417" s="7">
        <f>IF(X1417="","",ROUND('Opening Balance'!$B$4+SUM($AC$2:AC1417)-SUM($AD$2:AD1417)+SUMPRODUCT(($Q$2:$Q$1501="Collection 收款")*($R$2:$R$1501="Cheque 支票")*($V$2:$V$1501&lt;&gt;"")*($V$2:$V$1501&lt;=X1417)*($S$2:$S$1501-'Opening Balance'!$B$15*($R$2:$R$1501="Cheque 支票")*($S$2:$S$1501-TRUNC($S$2:$S$1501))))-'Opening Balance'!$B$15*SUMPRODUCT(($Z$2:Z1417="Online collection 网上收款")*($AA$2:AA1417&lt;&gt;"")*($AC$2:AC1417-TRUNC($AC$2:AC1417))),2))</f>
        <v/>
      </c>
    </row>
    <row r="1418">
      <c r="O1418" s="5" t="n"/>
      <c r="S1418" s="6" t="n"/>
      <c r="V1418" s="5" t="n"/>
      <c r="X1418" s="5" t="n"/>
      <c r="AC1418" s="6" t="n"/>
      <c r="AD1418" s="6" t="n"/>
      <c r="AE1418" s="7">
        <f>IF(X1418="","",ROUND('Opening Balance'!$B$4+SUM($AC$2:AC1418)-SUM($AD$2:AD1418)+SUMPRODUCT(($Q$2:$Q$1501="Collection 收款")*($R$2:$R$1501="Cheque 支票")*($V$2:$V$1501&lt;&gt;"")*($V$2:$V$1501&lt;=X1418)*($S$2:$S$1501-'Opening Balance'!$B$15*($R$2:$R$1501="Cheque 支票")*($S$2:$S$1501-TRUNC($S$2:$S$1501))))-'Opening Balance'!$B$15*SUMPRODUCT(($Z$2:Z1418="Online collection 网上收款")*($AA$2:AA1418&lt;&gt;"")*($AC$2:AC1418-TRUNC($AC$2:AC1418))),2))</f>
        <v/>
      </c>
    </row>
    <row r="1419">
      <c r="O1419" s="5" t="n"/>
      <c r="S1419" s="6" t="n"/>
      <c r="V1419" s="5" t="n"/>
      <c r="X1419" s="5" t="n"/>
      <c r="AC1419" s="6" t="n"/>
      <c r="AD1419" s="6" t="n"/>
      <c r="AE1419" s="7">
        <f>IF(X1419="","",ROUND('Opening Balance'!$B$4+SUM($AC$2:AC1419)-SUM($AD$2:AD1419)+SUMPRODUCT(($Q$2:$Q$1501="Collection 收款")*($R$2:$R$1501="Cheque 支票")*($V$2:$V$1501&lt;&gt;"")*($V$2:$V$1501&lt;=X1419)*($S$2:$S$1501-'Opening Balance'!$B$15*($R$2:$R$1501="Cheque 支票")*($S$2:$S$1501-TRUNC($S$2:$S$1501))))-'Opening Balance'!$B$15*SUMPRODUCT(($Z$2:Z1419="Online collection 网上收款")*($AA$2:AA1419&lt;&gt;"")*($AC$2:AC1419-TRUNC($AC$2:AC1419))),2))</f>
        <v/>
      </c>
    </row>
    <row r="1420">
      <c r="O1420" s="5" t="n"/>
      <c r="S1420" s="6" t="n"/>
      <c r="V1420" s="5" t="n"/>
      <c r="X1420" s="5" t="n"/>
      <c r="AC1420" s="6" t="n"/>
      <c r="AD1420" s="6" t="n"/>
      <c r="AE1420" s="7">
        <f>IF(X1420="","",ROUND('Opening Balance'!$B$4+SUM($AC$2:AC1420)-SUM($AD$2:AD1420)+SUMPRODUCT(($Q$2:$Q$1501="Collection 收款")*($R$2:$R$1501="Cheque 支票")*($V$2:$V$1501&lt;&gt;"")*($V$2:$V$1501&lt;=X1420)*($S$2:$S$1501-'Opening Balance'!$B$15*($R$2:$R$1501="Cheque 支票")*($S$2:$S$1501-TRUNC($S$2:$S$1501))))-'Opening Balance'!$B$15*SUMPRODUCT(($Z$2:Z1420="Online collection 网上收款")*($AA$2:AA1420&lt;&gt;"")*($AC$2:AC1420-TRUNC($AC$2:AC1420))),2))</f>
        <v/>
      </c>
    </row>
    <row r="1421">
      <c r="O1421" s="5" t="n"/>
      <c r="S1421" s="6" t="n"/>
      <c r="V1421" s="5" t="n"/>
      <c r="X1421" s="5" t="n"/>
      <c r="AC1421" s="6" t="n"/>
      <c r="AD1421" s="6" t="n"/>
      <c r="AE1421" s="7">
        <f>IF(X1421="","",ROUND('Opening Balance'!$B$4+SUM($AC$2:AC1421)-SUM($AD$2:AD1421)+SUMPRODUCT(($Q$2:$Q$1501="Collection 收款")*($R$2:$R$1501="Cheque 支票")*($V$2:$V$1501&lt;&gt;"")*($V$2:$V$1501&lt;=X1421)*($S$2:$S$1501-'Opening Balance'!$B$15*($R$2:$R$1501="Cheque 支票")*($S$2:$S$1501-TRUNC($S$2:$S$1501))))-'Opening Balance'!$B$15*SUMPRODUCT(($Z$2:Z1421="Online collection 网上收款")*($AA$2:AA1421&lt;&gt;"")*($AC$2:AC1421-TRUNC($AC$2:AC1421))),2))</f>
        <v/>
      </c>
    </row>
    <row r="1422">
      <c r="O1422" s="5" t="n"/>
      <c r="S1422" s="6" t="n"/>
      <c r="V1422" s="5" t="n"/>
      <c r="X1422" s="5" t="n"/>
      <c r="AC1422" s="6" t="n"/>
      <c r="AD1422" s="6" t="n"/>
      <c r="AE1422" s="7">
        <f>IF(X1422="","",ROUND('Opening Balance'!$B$4+SUM($AC$2:AC1422)-SUM($AD$2:AD1422)+SUMPRODUCT(($Q$2:$Q$1501="Collection 收款")*($R$2:$R$1501="Cheque 支票")*($V$2:$V$1501&lt;&gt;"")*($V$2:$V$1501&lt;=X1422)*($S$2:$S$1501-'Opening Balance'!$B$15*($R$2:$R$1501="Cheque 支票")*($S$2:$S$1501-TRUNC($S$2:$S$1501))))-'Opening Balance'!$B$15*SUMPRODUCT(($Z$2:Z1422="Online collection 网上收款")*($AA$2:AA1422&lt;&gt;"")*($AC$2:AC1422-TRUNC($AC$2:AC1422))),2))</f>
        <v/>
      </c>
    </row>
    <row r="1423">
      <c r="O1423" s="5" t="n"/>
      <c r="S1423" s="6" t="n"/>
      <c r="V1423" s="5" t="n"/>
      <c r="X1423" s="5" t="n"/>
      <c r="AC1423" s="6" t="n"/>
      <c r="AD1423" s="6" t="n"/>
      <c r="AE1423" s="7">
        <f>IF(X1423="","",ROUND('Opening Balance'!$B$4+SUM($AC$2:AC1423)-SUM($AD$2:AD1423)+SUMPRODUCT(($Q$2:$Q$1501="Collection 收款")*($R$2:$R$1501="Cheque 支票")*($V$2:$V$1501&lt;&gt;"")*($V$2:$V$1501&lt;=X1423)*($S$2:$S$1501-'Opening Balance'!$B$15*($R$2:$R$1501="Cheque 支票")*($S$2:$S$1501-TRUNC($S$2:$S$1501))))-'Opening Balance'!$B$15*SUMPRODUCT(($Z$2:Z1423="Online collection 网上收款")*($AA$2:AA1423&lt;&gt;"")*($AC$2:AC1423-TRUNC($AC$2:AC1423))),2))</f>
        <v/>
      </c>
    </row>
    <row r="1424">
      <c r="O1424" s="5" t="n"/>
      <c r="S1424" s="6" t="n"/>
      <c r="V1424" s="5" t="n"/>
      <c r="X1424" s="5" t="n"/>
      <c r="AC1424" s="6" t="n"/>
      <c r="AD1424" s="6" t="n"/>
      <c r="AE1424" s="7">
        <f>IF(X1424="","",ROUND('Opening Balance'!$B$4+SUM($AC$2:AC1424)-SUM($AD$2:AD1424)+SUMPRODUCT(($Q$2:$Q$1501="Collection 收款")*($R$2:$R$1501="Cheque 支票")*($V$2:$V$1501&lt;&gt;"")*($V$2:$V$1501&lt;=X1424)*($S$2:$S$1501-'Opening Balance'!$B$15*($R$2:$R$1501="Cheque 支票")*($S$2:$S$1501-TRUNC($S$2:$S$1501))))-'Opening Balance'!$B$15*SUMPRODUCT(($Z$2:Z1424="Online collection 网上收款")*($AA$2:AA1424&lt;&gt;"")*($AC$2:AC1424-TRUNC($AC$2:AC1424))),2))</f>
        <v/>
      </c>
    </row>
    <row r="1425">
      <c r="O1425" s="5" t="n"/>
      <c r="S1425" s="6" t="n"/>
      <c r="V1425" s="5" t="n"/>
      <c r="X1425" s="5" t="n"/>
      <c r="AC1425" s="6" t="n"/>
      <c r="AD1425" s="6" t="n"/>
      <c r="AE1425" s="7">
        <f>IF(X1425="","",ROUND('Opening Balance'!$B$4+SUM($AC$2:AC1425)-SUM($AD$2:AD1425)+SUMPRODUCT(($Q$2:$Q$1501="Collection 收款")*($R$2:$R$1501="Cheque 支票")*($V$2:$V$1501&lt;&gt;"")*($V$2:$V$1501&lt;=X1425)*($S$2:$S$1501-'Opening Balance'!$B$15*($R$2:$R$1501="Cheque 支票")*($S$2:$S$1501-TRUNC($S$2:$S$1501))))-'Opening Balance'!$B$15*SUMPRODUCT(($Z$2:Z1425="Online collection 网上收款")*($AA$2:AA1425&lt;&gt;"")*($AC$2:AC1425-TRUNC($AC$2:AC1425))),2))</f>
        <v/>
      </c>
    </row>
    <row r="1426">
      <c r="O1426" s="5" t="n"/>
      <c r="S1426" s="6" t="n"/>
      <c r="V1426" s="5" t="n"/>
      <c r="X1426" s="5" t="n"/>
      <c r="AC1426" s="6" t="n"/>
      <c r="AD1426" s="6" t="n"/>
      <c r="AE1426" s="7">
        <f>IF(X1426="","",ROUND('Opening Balance'!$B$4+SUM($AC$2:AC1426)-SUM($AD$2:AD1426)+SUMPRODUCT(($Q$2:$Q$1501="Collection 收款")*($R$2:$R$1501="Cheque 支票")*($V$2:$V$1501&lt;&gt;"")*($V$2:$V$1501&lt;=X1426)*($S$2:$S$1501-'Opening Balance'!$B$15*($R$2:$R$1501="Cheque 支票")*($S$2:$S$1501-TRUNC($S$2:$S$1501))))-'Opening Balance'!$B$15*SUMPRODUCT(($Z$2:Z1426="Online collection 网上收款")*($AA$2:AA1426&lt;&gt;"")*($AC$2:AC1426-TRUNC($AC$2:AC1426))),2))</f>
        <v/>
      </c>
    </row>
    <row r="1427">
      <c r="O1427" s="5" t="n"/>
      <c r="S1427" s="6" t="n"/>
      <c r="V1427" s="5" t="n"/>
      <c r="X1427" s="5" t="n"/>
      <c r="AC1427" s="6" t="n"/>
      <c r="AD1427" s="6" t="n"/>
      <c r="AE1427" s="7">
        <f>IF(X1427="","",ROUND('Opening Balance'!$B$4+SUM($AC$2:AC1427)-SUM($AD$2:AD1427)+SUMPRODUCT(($Q$2:$Q$1501="Collection 收款")*($R$2:$R$1501="Cheque 支票")*($V$2:$V$1501&lt;&gt;"")*($V$2:$V$1501&lt;=X1427)*($S$2:$S$1501-'Opening Balance'!$B$15*($R$2:$R$1501="Cheque 支票")*($S$2:$S$1501-TRUNC($S$2:$S$1501))))-'Opening Balance'!$B$15*SUMPRODUCT(($Z$2:Z1427="Online collection 网上收款")*($AA$2:AA1427&lt;&gt;"")*($AC$2:AC1427-TRUNC($AC$2:AC1427))),2))</f>
        <v/>
      </c>
    </row>
    <row r="1428">
      <c r="O1428" s="5" t="n"/>
      <c r="S1428" s="6" t="n"/>
      <c r="V1428" s="5" t="n"/>
      <c r="X1428" s="5" t="n"/>
      <c r="AC1428" s="6" t="n"/>
      <c r="AD1428" s="6" t="n"/>
      <c r="AE1428" s="7">
        <f>IF(X1428="","",ROUND('Opening Balance'!$B$4+SUM($AC$2:AC1428)-SUM($AD$2:AD1428)+SUMPRODUCT(($Q$2:$Q$1501="Collection 收款")*($R$2:$R$1501="Cheque 支票")*($V$2:$V$1501&lt;&gt;"")*($V$2:$V$1501&lt;=X1428)*($S$2:$S$1501-'Opening Balance'!$B$15*($R$2:$R$1501="Cheque 支票")*($S$2:$S$1501-TRUNC($S$2:$S$1501))))-'Opening Balance'!$B$15*SUMPRODUCT(($Z$2:Z1428="Online collection 网上收款")*($AA$2:AA1428&lt;&gt;"")*($AC$2:AC1428-TRUNC($AC$2:AC1428))),2))</f>
        <v/>
      </c>
    </row>
    <row r="1429">
      <c r="O1429" s="5" t="n"/>
      <c r="S1429" s="6" t="n"/>
      <c r="V1429" s="5" t="n"/>
      <c r="X1429" s="5" t="n"/>
      <c r="AC1429" s="6" t="n"/>
      <c r="AD1429" s="6" t="n"/>
      <c r="AE1429" s="7">
        <f>IF(X1429="","",ROUND('Opening Balance'!$B$4+SUM($AC$2:AC1429)-SUM($AD$2:AD1429)+SUMPRODUCT(($Q$2:$Q$1501="Collection 收款")*($R$2:$R$1501="Cheque 支票")*($V$2:$V$1501&lt;&gt;"")*($V$2:$V$1501&lt;=X1429)*($S$2:$S$1501-'Opening Balance'!$B$15*($R$2:$R$1501="Cheque 支票")*($S$2:$S$1501-TRUNC($S$2:$S$1501))))-'Opening Balance'!$B$15*SUMPRODUCT(($Z$2:Z1429="Online collection 网上收款")*($AA$2:AA1429&lt;&gt;"")*($AC$2:AC1429-TRUNC($AC$2:AC1429))),2))</f>
        <v/>
      </c>
    </row>
    <row r="1430">
      <c r="O1430" s="5" t="n"/>
      <c r="S1430" s="6" t="n"/>
      <c r="V1430" s="5" t="n"/>
      <c r="X1430" s="5" t="n"/>
      <c r="AC1430" s="6" t="n"/>
      <c r="AD1430" s="6" t="n"/>
      <c r="AE1430" s="7">
        <f>IF(X1430="","",ROUND('Opening Balance'!$B$4+SUM($AC$2:AC1430)-SUM($AD$2:AD1430)+SUMPRODUCT(($Q$2:$Q$1501="Collection 收款")*($R$2:$R$1501="Cheque 支票")*($V$2:$V$1501&lt;&gt;"")*($V$2:$V$1501&lt;=X1430)*($S$2:$S$1501-'Opening Balance'!$B$15*($R$2:$R$1501="Cheque 支票")*($S$2:$S$1501-TRUNC($S$2:$S$1501))))-'Opening Balance'!$B$15*SUMPRODUCT(($Z$2:Z1430="Online collection 网上收款")*($AA$2:AA1430&lt;&gt;"")*($AC$2:AC1430-TRUNC($AC$2:AC1430))),2))</f>
        <v/>
      </c>
    </row>
    <row r="1431">
      <c r="O1431" s="5" t="n"/>
      <c r="S1431" s="6" t="n"/>
      <c r="V1431" s="5" t="n"/>
      <c r="X1431" s="5" t="n"/>
      <c r="AC1431" s="6" t="n"/>
      <c r="AD1431" s="6" t="n"/>
      <c r="AE1431" s="7">
        <f>IF(X1431="","",ROUND('Opening Balance'!$B$4+SUM($AC$2:AC1431)-SUM($AD$2:AD1431)+SUMPRODUCT(($Q$2:$Q$1501="Collection 收款")*($R$2:$R$1501="Cheque 支票")*($V$2:$V$1501&lt;&gt;"")*($V$2:$V$1501&lt;=X1431)*($S$2:$S$1501-'Opening Balance'!$B$15*($R$2:$R$1501="Cheque 支票")*($S$2:$S$1501-TRUNC($S$2:$S$1501))))-'Opening Balance'!$B$15*SUMPRODUCT(($Z$2:Z1431="Online collection 网上收款")*($AA$2:AA1431&lt;&gt;"")*($AC$2:AC1431-TRUNC($AC$2:AC1431))),2))</f>
        <v/>
      </c>
    </row>
    <row r="1432">
      <c r="O1432" s="5" t="n"/>
      <c r="S1432" s="6" t="n"/>
      <c r="V1432" s="5" t="n"/>
      <c r="X1432" s="5" t="n"/>
      <c r="AC1432" s="6" t="n"/>
      <c r="AD1432" s="6" t="n"/>
      <c r="AE1432" s="7">
        <f>IF(X1432="","",ROUND('Opening Balance'!$B$4+SUM($AC$2:AC1432)-SUM($AD$2:AD1432)+SUMPRODUCT(($Q$2:$Q$1501="Collection 收款")*($R$2:$R$1501="Cheque 支票")*($V$2:$V$1501&lt;&gt;"")*($V$2:$V$1501&lt;=X1432)*($S$2:$S$1501-'Opening Balance'!$B$15*($R$2:$R$1501="Cheque 支票")*($S$2:$S$1501-TRUNC($S$2:$S$1501))))-'Opening Balance'!$B$15*SUMPRODUCT(($Z$2:Z1432="Online collection 网上收款")*($AA$2:AA1432&lt;&gt;"")*($AC$2:AC1432-TRUNC($AC$2:AC1432))),2))</f>
        <v/>
      </c>
    </row>
    <row r="1433">
      <c r="O1433" s="5" t="n"/>
      <c r="S1433" s="6" t="n"/>
      <c r="V1433" s="5" t="n"/>
      <c r="X1433" s="5" t="n"/>
      <c r="AC1433" s="6" t="n"/>
      <c r="AD1433" s="6" t="n"/>
      <c r="AE1433" s="7">
        <f>IF(X1433="","",ROUND('Opening Balance'!$B$4+SUM($AC$2:AC1433)-SUM($AD$2:AD1433)+SUMPRODUCT(($Q$2:$Q$1501="Collection 收款")*($R$2:$R$1501="Cheque 支票")*($V$2:$V$1501&lt;&gt;"")*($V$2:$V$1501&lt;=X1433)*($S$2:$S$1501-'Opening Balance'!$B$15*($R$2:$R$1501="Cheque 支票")*($S$2:$S$1501-TRUNC($S$2:$S$1501))))-'Opening Balance'!$B$15*SUMPRODUCT(($Z$2:Z1433="Online collection 网上收款")*($AA$2:AA1433&lt;&gt;"")*($AC$2:AC1433-TRUNC($AC$2:AC1433))),2))</f>
        <v/>
      </c>
    </row>
    <row r="1434">
      <c r="O1434" s="5" t="n"/>
      <c r="S1434" s="6" t="n"/>
      <c r="V1434" s="5" t="n"/>
      <c r="X1434" s="5" t="n"/>
      <c r="AC1434" s="6" t="n"/>
      <c r="AD1434" s="6" t="n"/>
      <c r="AE1434" s="7">
        <f>IF(X1434="","",ROUND('Opening Balance'!$B$4+SUM($AC$2:AC1434)-SUM($AD$2:AD1434)+SUMPRODUCT(($Q$2:$Q$1501="Collection 收款")*($R$2:$R$1501="Cheque 支票")*($V$2:$V$1501&lt;&gt;"")*($V$2:$V$1501&lt;=X1434)*($S$2:$S$1501-'Opening Balance'!$B$15*($R$2:$R$1501="Cheque 支票")*($S$2:$S$1501-TRUNC($S$2:$S$1501))))-'Opening Balance'!$B$15*SUMPRODUCT(($Z$2:Z1434="Online collection 网上收款")*($AA$2:AA1434&lt;&gt;"")*($AC$2:AC1434-TRUNC($AC$2:AC1434))),2))</f>
        <v/>
      </c>
    </row>
    <row r="1435">
      <c r="O1435" s="5" t="n"/>
      <c r="S1435" s="6" t="n"/>
      <c r="V1435" s="5" t="n"/>
      <c r="X1435" s="5" t="n"/>
      <c r="AC1435" s="6" t="n"/>
      <c r="AD1435" s="6" t="n"/>
      <c r="AE1435" s="7">
        <f>IF(X1435="","",ROUND('Opening Balance'!$B$4+SUM($AC$2:AC1435)-SUM($AD$2:AD1435)+SUMPRODUCT(($Q$2:$Q$1501="Collection 收款")*($R$2:$R$1501="Cheque 支票")*($V$2:$V$1501&lt;&gt;"")*($V$2:$V$1501&lt;=X1435)*($S$2:$S$1501-'Opening Balance'!$B$15*($R$2:$R$1501="Cheque 支票")*($S$2:$S$1501-TRUNC($S$2:$S$1501))))-'Opening Balance'!$B$15*SUMPRODUCT(($Z$2:Z1435="Online collection 网上收款")*($AA$2:AA1435&lt;&gt;"")*($AC$2:AC1435-TRUNC($AC$2:AC1435))),2))</f>
        <v/>
      </c>
    </row>
    <row r="1436">
      <c r="O1436" s="5" t="n"/>
      <c r="S1436" s="6" t="n"/>
      <c r="V1436" s="5" t="n"/>
      <c r="X1436" s="5" t="n"/>
      <c r="AC1436" s="6" t="n"/>
      <c r="AD1436" s="6" t="n"/>
      <c r="AE1436" s="7">
        <f>IF(X1436="","",ROUND('Opening Balance'!$B$4+SUM($AC$2:AC1436)-SUM($AD$2:AD1436)+SUMPRODUCT(($Q$2:$Q$1501="Collection 收款")*($R$2:$R$1501="Cheque 支票")*($V$2:$V$1501&lt;&gt;"")*($V$2:$V$1501&lt;=X1436)*($S$2:$S$1501-'Opening Balance'!$B$15*($R$2:$R$1501="Cheque 支票")*($S$2:$S$1501-TRUNC($S$2:$S$1501))))-'Opening Balance'!$B$15*SUMPRODUCT(($Z$2:Z1436="Online collection 网上收款")*($AA$2:AA1436&lt;&gt;"")*($AC$2:AC1436-TRUNC($AC$2:AC1436))),2))</f>
        <v/>
      </c>
    </row>
    <row r="1437">
      <c r="O1437" s="5" t="n"/>
      <c r="S1437" s="6" t="n"/>
      <c r="V1437" s="5" t="n"/>
      <c r="X1437" s="5" t="n"/>
      <c r="AC1437" s="6" t="n"/>
      <c r="AD1437" s="6" t="n"/>
      <c r="AE1437" s="7">
        <f>IF(X1437="","",ROUND('Opening Balance'!$B$4+SUM($AC$2:AC1437)-SUM($AD$2:AD1437)+SUMPRODUCT(($Q$2:$Q$1501="Collection 收款")*($R$2:$R$1501="Cheque 支票")*($V$2:$V$1501&lt;&gt;"")*($V$2:$V$1501&lt;=X1437)*($S$2:$S$1501-'Opening Balance'!$B$15*($R$2:$R$1501="Cheque 支票")*($S$2:$S$1501-TRUNC($S$2:$S$1501))))-'Opening Balance'!$B$15*SUMPRODUCT(($Z$2:Z1437="Online collection 网上收款")*($AA$2:AA1437&lt;&gt;"")*($AC$2:AC1437-TRUNC($AC$2:AC1437))),2))</f>
        <v/>
      </c>
    </row>
    <row r="1438">
      <c r="O1438" s="5" t="n"/>
      <c r="S1438" s="6" t="n"/>
      <c r="V1438" s="5" t="n"/>
      <c r="X1438" s="5" t="n"/>
      <c r="AC1438" s="6" t="n"/>
      <c r="AD1438" s="6" t="n"/>
      <c r="AE1438" s="7">
        <f>IF(X1438="","",ROUND('Opening Balance'!$B$4+SUM($AC$2:AC1438)-SUM($AD$2:AD1438)+SUMPRODUCT(($Q$2:$Q$1501="Collection 收款")*($R$2:$R$1501="Cheque 支票")*($V$2:$V$1501&lt;&gt;"")*($V$2:$V$1501&lt;=X1438)*($S$2:$S$1501-'Opening Balance'!$B$15*($R$2:$R$1501="Cheque 支票")*($S$2:$S$1501-TRUNC($S$2:$S$1501))))-'Opening Balance'!$B$15*SUMPRODUCT(($Z$2:Z1438="Online collection 网上收款")*($AA$2:AA1438&lt;&gt;"")*($AC$2:AC1438-TRUNC($AC$2:AC1438))),2))</f>
        <v/>
      </c>
    </row>
    <row r="1439">
      <c r="O1439" s="5" t="n"/>
      <c r="S1439" s="6" t="n"/>
      <c r="V1439" s="5" t="n"/>
      <c r="X1439" s="5" t="n"/>
      <c r="AC1439" s="6" t="n"/>
      <c r="AD1439" s="6" t="n"/>
      <c r="AE1439" s="7">
        <f>IF(X1439="","",ROUND('Opening Balance'!$B$4+SUM($AC$2:AC1439)-SUM($AD$2:AD1439)+SUMPRODUCT(($Q$2:$Q$1501="Collection 收款")*($R$2:$R$1501="Cheque 支票")*($V$2:$V$1501&lt;&gt;"")*($V$2:$V$1501&lt;=X1439)*($S$2:$S$1501-'Opening Balance'!$B$15*($R$2:$R$1501="Cheque 支票")*($S$2:$S$1501-TRUNC($S$2:$S$1501))))-'Opening Balance'!$B$15*SUMPRODUCT(($Z$2:Z1439="Online collection 网上收款")*($AA$2:AA1439&lt;&gt;"")*($AC$2:AC1439-TRUNC($AC$2:AC1439))),2))</f>
        <v/>
      </c>
    </row>
    <row r="1440">
      <c r="O1440" s="5" t="n"/>
      <c r="S1440" s="6" t="n"/>
      <c r="V1440" s="5" t="n"/>
      <c r="X1440" s="5" t="n"/>
      <c r="AC1440" s="6" t="n"/>
      <c r="AD1440" s="6" t="n"/>
      <c r="AE1440" s="7">
        <f>IF(X1440="","",ROUND('Opening Balance'!$B$4+SUM($AC$2:AC1440)-SUM($AD$2:AD1440)+SUMPRODUCT(($Q$2:$Q$1501="Collection 收款")*($R$2:$R$1501="Cheque 支票")*($V$2:$V$1501&lt;&gt;"")*($V$2:$V$1501&lt;=X1440)*($S$2:$S$1501-'Opening Balance'!$B$15*($R$2:$R$1501="Cheque 支票")*($S$2:$S$1501-TRUNC($S$2:$S$1501))))-'Opening Balance'!$B$15*SUMPRODUCT(($Z$2:Z1440="Online collection 网上收款")*($AA$2:AA1440&lt;&gt;"")*($AC$2:AC1440-TRUNC($AC$2:AC1440))),2))</f>
        <v/>
      </c>
    </row>
    <row r="1441">
      <c r="O1441" s="5" t="n"/>
      <c r="S1441" s="6" t="n"/>
      <c r="V1441" s="5" t="n"/>
      <c r="X1441" s="5" t="n"/>
      <c r="AC1441" s="6" t="n"/>
      <c r="AD1441" s="6" t="n"/>
      <c r="AE1441" s="7">
        <f>IF(X1441="","",ROUND('Opening Balance'!$B$4+SUM($AC$2:AC1441)-SUM($AD$2:AD1441)+SUMPRODUCT(($Q$2:$Q$1501="Collection 收款")*($R$2:$R$1501="Cheque 支票")*($V$2:$V$1501&lt;&gt;"")*($V$2:$V$1501&lt;=X1441)*($S$2:$S$1501-'Opening Balance'!$B$15*($R$2:$R$1501="Cheque 支票")*($S$2:$S$1501-TRUNC($S$2:$S$1501))))-'Opening Balance'!$B$15*SUMPRODUCT(($Z$2:Z1441="Online collection 网上收款")*($AA$2:AA1441&lt;&gt;"")*($AC$2:AC1441-TRUNC($AC$2:AC1441))),2))</f>
        <v/>
      </c>
    </row>
    <row r="1442">
      <c r="O1442" s="5" t="n"/>
      <c r="S1442" s="6" t="n"/>
      <c r="V1442" s="5" t="n"/>
      <c r="X1442" s="5" t="n"/>
      <c r="AC1442" s="6" t="n"/>
      <c r="AD1442" s="6" t="n"/>
      <c r="AE1442" s="7">
        <f>IF(X1442="","",ROUND('Opening Balance'!$B$4+SUM($AC$2:AC1442)-SUM($AD$2:AD1442)+SUMPRODUCT(($Q$2:$Q$1501="Collection 收款")*($R$2:$R$1501="Cheque 支票")*($V$2:$V$1501&lt;&gt;"")*($V$2:$V$1501&lt;=X1442)*($S$2:$S$1501-'Opening Balance'!$B$15*($R$2:$R$1501="Cheque 支票")*($S$2:$S$1501-TRUNC($S$2:$S$1501))))-'Opening Balance'!$B$15*SUMPRODUCT(($Z$2:Z1442="Online collection 网上收款")*($AA$2:AA1442&lt;&gt;"")*($AC$2:AC1442-TRUNC($AC$2:AC1442))),2))</f>
        <v/>
      </c>
    </row>
    <row r="1443">
      <c r="O1443" s="5" t="n"/>
      <c r="S1443" s="6" t="n"/>
      <c r="V1443" s="5" t="n"/>
      <c r="X1443" s="5" t="n"/>
      <c r="AC1443" s="6" t="n"/>
      <c r="AD1443" s="6" t="n"/>
      <c r="AE1443" s="7">
        <f>IF(X1443="","",ROUND('Opening Balance'!$B$4+SUM($AC$2:AC1443)-SUM($AD$2:AD1443)+SUMPRODUCT(($Q$2:$Q$1501="Collection 收款")*($R$2:$R$1501="Cheque 支票")*($V$2:$V$1501&lt;&gt;"")*($V$2:$V$1501&lt;=X1443)*($S$2:$S$1501-'Opening Balance'!$B$15*($R$2:$R$1501="Cheque 支票")*($S$2:$S$1501-TRUNC($S$2:$S$1501))))-'Opening Balance'!$B$15*SUMPRODUCT(($Z$2:Z1443="Online collection 网上收款")*($AA$2:AA1443&lt;&gt;"")*($AC$2:AC1443-TRUNC($AC$2:AC1443))),2))</f>
        <v/>
      </c>
    </row>
    <row r="1444">
      <c r="O1444" s="5" t="n"/>
      <c r="S1444" s="6" t="n"/>
      <c r="V1444" s="5" t="n"/>
      <c r="X1444" s="5" t="n"/>
      <c r="AC1444" s="6" t="n"/>
      <c r="AD1444" s="6" t="n"/>
      <c r="AE1444" s="7">
        <f>IF(X1444="","",ROUND('Opening Balance'!$B$4+SUM($AC$2:AC1444)-SUM($AD$2:AD1444)+SUMPRODUCT(($Q$2:$Q$1501="Collection 收款")*($R$2:$R$1501="Cheque 支票")*($V$2:$V$1501&lt;&gt;"")*($V$2:$V$1501&lt;=X1444)*($S$2:$S$1501-'Opening Balance'!$B$15*($R$2:$R$1501="Cheque 支票")*($S$2:$S$1501-TRUNC($S$2:$S$1501))))-'Opening Balance'!$B$15*SUMPRODUCT(($Z$2:Z1444="Online collection 网上收款")*($AA$2:AA1444&lt;&gt;"")*($AC$2:AC1444-TRUNC($AC$2:AC1444))),2))</f>
        <v/>
      </c>
    </row>
    <row r="1445">
      <c r="O1445" s="5" t="n"/>
      <c r="S1445" s="6" t="n"/>
      <c r="V1445" s="5" t="n"/>
      <c r="X1445" s="5" t="n"/>
      <c r="AC1445" s="6" t="n"/>
      <c r="AD1445" s="6" t="n"/>
      <c r="AE1445" s="7">
        <f>IF(X1445="","",ROUND('Opening Balance'!$B$4+SUM($AC$2:AC1445)-SUM($AD$2:AD1445)+SUMPRODUCT(($Q$2:$Q$1501="Collection 收款")*($R$2:$R$1501="Cheque 支票")*($V$2:$V$1501&lt;&gt;"")*($V$2:$V$1501&lt;=X1445)*($S$2:$S$1501-'Opening Balance'!$B$15*($R$2:$R$1501="Cheque 支票")*($S$2:$S$1501-TRUNC($S$2:$S$1501))))-'Opening Balance'!$B$15*SUMPRODUCT(($Z$2:Z1445="Online collection 网上收款")*($AA$2:AA1445&lt;&gt;"")*($AC$2:AC1445-TRUNC($AC$2:AC1445))),2))</f>
        <v/>
      </c>
    </row>
    <row r="1446">
      <c r="O1446" s="5" t="n"/>
      <c r="S1446" s="6" t="n"/>
      <c r="V1446" s="5" t="n"/>
      <c r="X1446" s="5" t="n"/>
      <c r="AC1446" s="6" t="n"/>
      <c r="AD1446" s="6" t="n"/>
      <c r="AE1446" s="7">
        <f>IF(X1446="","",ROUND('Opening Balance'!$B$4+SUM($AC$2:AC1446)-SUM($AD$2:AD1446)+SUMPRODUCT(($Q$2:$Q$1501="Collection 收款")*($R$2:$R$1501="Cheque 支票")*($V$2:$V$1501&lt;&gt;"")*($V$2:$V$1501&lt;=X1446)*($S$2:$S$1501-'Opening Balance'!$B$15*($R$2:$R$1501="Cheque 支票")*($S$2:$S$1501-TRUNC($S$2:$S$1501))))-'Opening Balance'!$B$15*SUMPRODUCT(($Z$2:Z1446="Online collection 网上收款")*($AA$2:AA1446&lt;&gt;"")*($AC$2:AC1446-TRUNC($AC$2:AC1446))),2))</f>
        <v/>
      </c>
    </row>
    <row r="1447">
      <c r="O1447" s="5" t="n"/>
      <c r="S1447" s="6" t="n"/>
      <c r="V1447" s="5" t="n"/>
      <c r="X1447" s="5" t="n"/>
      <c r="AC1447" s="6" t="n"/>
      <c r="AD1447" s="6" t="n"/>
      <c r="AE1447" s="7">
        <f>IF(X1447="","",ROUND('Opening Balance'!$B$4+SUM($AC$2:AC1447)-SUM($AD$2:AD1447)+SUMPRODUCT(($Q$2:$Q$1501="Collection 收款")*($R$2:$R$1501="Cheque 支票")*($V$2:$V$1501&lt;&gt;"")*($V$2:$V$1501&lt;=X1447)*($S$2:$S$1501-'Opening Balance'!$B$15*($R$2:$R$1501="Cheque 支票")*($S$2:$S$1501-TRUNC($S$2:$S$1501))))-'Opening Balance'!$B$15*SUMPRODUCT(($Z$2:Z1447="Online collection 网上收款")*($AA$2:AA1447&lt;&gt;"")*($AC$2:AC1447-TRUNC($AC$2:AC1447))),2))</f>
        <v/>
      </c>
    </row>
    <row r="1448">
      <c r="O1448" s="5" t="n"/>
      <c r="S1448" s="6" t="n"/>
      <c r="V1448" s="5" t="n"/>
      <c r="X1448" s="5" t="n"/>
      <c r="AC1448" s="6" t="n"/>
      <c r="AD1448" s="6" t="n"/>
      <c r="AE1448" s="7">
        <f>IF(X1448="","",ROUND('Opening Balance'!$B$4+SUM($AC$2:AC1448)-SUM($AD$2:AD1448)+SUMPRODUCT(($Q$2:$Q$1501="Collection 收款")*($R$2:$R$1501="Cheque 支票")*($V$2:$V$1501&lt;&gt;"")*($V$2:$V$1501&lt;=X1448)*($S$2:$S$1501-'Opening Balance'!$B$15*($R$2:$R$1501="Cheque 支票")*($S$2:$S$1501-TRUNC($S$2:$S$1501))))-'Opening Balance'!$B$15*SUMPRODUCT(($Z$2:Z1448="Online collection 网上收款")*($AA$2:AA1448&lt;&gt;"")*($AC$2:AC1448-TRUNC($AC$2:AC1448))),2))</f>
        <v/>
      </c>
    </row>
    <row r="1449">
      <c r="O1449" s="5" t="n"/>
      <c r="S1449" s="6" t="n"/>
      <c r="V1449" s="5" t="n"/>
      <c r="X1449" s="5" t="n"/>
      <c r="AC1449" s="6" t="n"/>
      <c r="AD1449" s="6" t="n"/>
      <c r="AE1449" s="7">
        <f>IF(X1449="","",ROUND('Opening Balance'!$B$4+SUM($AC$2:AC1449)-SUM($AD$2:AD1449)+SUMPRODUCT(($Q$2:$Q$1501="Collection 收款")*($R$2:$R$1501="Cheque 支票")*($V$2:$V$1501&lt;&gt;"")*($V$2:$V$1501&lt;=X1449)*($S$2:$S$1501-'Opening Balance'!$B$15*($R$2:$R$1501="Cheque 支票")*($S$2:$S$1501-TRUNC($S$2:$S$1501))))-'Opening Balance'!$B$15*SUMPRODUCT(($Z$2:Z1449="Online collection 网上收款")*($AA$2:AA1449&lt;&gt;"")*($AC$2:AC1449-TRUNC($AC$2:AC1449))),2))</f>
        <v/>
      </c>
    </row>
    <row r="1450">
      <c r="O1450" s="5" t="n"/>
      <c r="S1450" s="6" t="n"/>
      <c r="V1450" s="5" t="n"/>
      <c r="X1450" s="5" t="n"/>
      <c r="AC1450" s="6" t="n"/>
      <c r="AD1450" s="6" t="n"/>
      <c r="AE1450" s="7">
        <f>IF(X1450="","",ROUND('Opening Balance'!$B$4+SUM($AC$2:AC1450)-SUM($AD$2:AD1450)+SUMPRODUCT(($Q$2:$Q$1501="Collection 收款")*($R$2:$R$1501="Cheque 支票")*($V$2:$V$1501&lt;&gt;"")*($V$2:$V$1501&lt;=X1450)*($S$2:$S$1501-'Opening Balance'!$B$15*($R$2:$R$1501="Cheque 支票")*($S$2:$S$1501-TRUNC($S$2:$S$1501))))-'Opening Balance'!$B$15*SUMPRODUCT(($Z$2:Z1450="Online collection 网上收款")*($AA$2:AA1450&lt;&gt;"")*($AC$2:AC1450-TRUNC($AC$2:AC1450))),2))</f>
        <v/>
      </c>
    </row>
    <row r="1451">
      <c r="O1451" s="5" t="n"/>
      <c r="S1451" s="6" t="n"/>
      <c r="V1451" s="5" t="n"/>
      <c r="X1451" s="5" t="n"/>
      <c r="AC1451" s="6" t="n"/>
      <c r="AD1451" s="6" t="n"/>
      <c r="AE1451" s="7">
        <f>IF(X1451="","",ROUND('Opening Balance'!$B$4+SUM($AC$2:AC1451)-SUM($AD$2:AD1451)+SUMPRODUCT(($Q$2:$Q$1501="Collection 收款")*($R$2:$R$1501="Cheque 支票")*($V$2:$V$1501&lt;&gt;"")*($V$2:$V$1501&lt;=X1451)*($S$2:$S$1501-'Opening Balance'!$B$15*($R$2:$R$1501="Cheque 支票")*($S$2:$S$1501-TRUNC($S$2:$S$1501))))-'Opening Balance'!$B$15*SUMPRODUCT(($Z$2:Z1451="Online collection 网上收款")*($AA$2:AA1451&lt;&gt;"")*($AC$2:AC1451-TRUNC($AC$2:AC1451))),2))</f>
        <v/>
      </c>
    </row>
    <row r="1452">
      <c r="O1452" s="5" t="n"/>
      <c r="S1452" s="6" t="n"/>
      <c r="V1452" s="5" t="n"/>
      <c r="X1452" s="5" t="n"/>
      <c r="AC1452" s="6" t="n"/>
      <c r="AD1452" s="6" t="n"/>
      <c r="AE1452" s="7">
        <f>IF(X1452="","",ROUND('Opening Balance'!$B$4+SUM($AC$2:AC1452)-SUM($AD$2:AD1452)+SUMPRODUCT(($Q$2:$Q$1501="Collection 收款")*($R$2:$R$1501="Cheque 支票")*($V$2:$V$1501&lt;&gt;"")*($V$2:$V$1501&lt;=X1452)*($S$2:$S$1501-'Opening Balance'!$B$15*($R$2:$R$1501="Cheque 支票")*($S$2:$S$1501-TRUNC($S$2:$S$1501))))-'Opening Balance'!$B$15*SUMPRODUCT(($Z$2:Z1452="Online collection 网上收款")*($AA$2:AA1452&lt;&gt;"")*($AC$2:AC1452-TRUNC($AC$2:AC1452))),2))</f>
        <v/>
      </c>
    </row>
    <row r="1453">
      <c r="O1453" s="5" t="n"/>
      <c r="S1453" s="6" t="n"/>
      <c r="V1453" s="5" t="n"/>
      <c r="X1453" s="5" t="n"/>
      <c r="AC1453" s="6" t="n"/>
      <c r="AD1453" s="6" t="n"/>
      <c r="AE1453" s="7">
        <f>IF(X1453="","",ROUND('Opening Balance'!$B$4+SUM($AC$2:AC1453)-SUM($AD$2:AD1453)+SUMPRODUCT(($Q$2:$Q$1501="Collection 收款")*($R$2:$R$1501="Cheque 支票")*($V$2:$V$1501&lt;&gt;"")*($V$2:$V$1501&lt;=X1453)*($S$2:$S$1501-'Opening Balance'!$B$15*($R$2:$R$1501="Cheque 支票")*($S$2:$S$1501-TRUNC($S$2:$S$1501))))-'Opening Balance'!$B$15*SUMPRODUCT(($Z$2:Z1453="Online collection 网上收款")*($AA$2:AA1453&lt;&gt;"")*($AC$2:AC1453-TRUNC($AC$2:AC1453))),2))</f>
        <v/>
      </c>
    </row>
    <row r="1454">
      <c r="O1454" s="5" t="n"/>
      <c r="S1454" s="6" t="n"/>
      <c r="V1454" s="5" t="n"/>
      <c r="X1454" s="5" t="n"/>
      <c r="AC1454" s="6" t="n"/>
      <c r="AD1454" s="6" t="n"/>
      <c r="AE1454" s="7">
        <f>IF(X1454="","",ROUND('Opening Balance'!$B$4+SUM($AC$2:AC1454)-SUM($AD$2:AD1454)+SUMPRODUCT(($Q$2:$Q$1501="Collection 收款")*($R$2:$R$1501="Cheque 支票")*($V$2:$V$1501&lt;&gt;"")*($V$2:$V$1501&lt;=X1454)*($S$2:$S$1501-'Opening Balance'!$B$15*($R$2:$R$1501="Cheque 支票")*($S$2:$S$1501-TRUNC($S$2:$S$1501))))-'Opening Balance'!$B$15*SUMPRODUCT(($Z$2:Z1454="Online collection 网上收款")*($AA$2:AA1454&lt;&gt;"")*($AC$2:AC1454-TRUNC($AC$2:AC1454))),2))</f>
        <v/>
      </c>
    </row>
    <row r="1455">
      <c r="O1455" s="5" t="n"/>
      <c r="S1455" s="6" t="n"/>
      <c r="V1455" s="5" t="n"/>
      <c r="X1455" s="5" t="n"/>
      <c r="AC1455" s="6" t="n"/>
      <c r="AD1455" s="6" t="n"/>
      <c r="AE1455" s="7">
        <f>IF(X1455="","",ROUND('Opening Balance'!$B$4+SUM($AC$2:AC1455)-SUM($AD$2:AD1455)+SUMPRODUCT(($Q$2:$Q$1501="Collection 收款")*($R$2:$R$1501="Cheque 支票")*($V$2:$V$1501&lt;&gt;"")*($V$2:$V$1501&lt;=X1455)*($S$2:$S$1501-'Opening Balance'!$B$15*($R$2:$R$1501="Cheque 支票")*($S$2:$S$1501-TRUNC($S$2:$S$1501))))-'Opening Balance'!$B$15*SUMPRODUCT(($Z$2:Z1455="Online collection 网上收款")*($AA$2:AA1455&lt;&gt;"")*($AC$2:AC1455-TRUNC($AC$2:AC1455))),2))</f>
        <v/>
      </c>
    </row>
    <row r="1456">
      <c r="O1456" s="5" t="n"/>
      <c r="S1456" s="6" t="n"/>
      <c r="V1456" s="5" t="n"/>
      <c r="X1456" s="5" t="n"/>
      <c r="AC1456" s="6" t="n"/>
      <c r="AD1456" s="6" t="n"/>
      <c r="AE1456" s="7">
        <f>IF(X1456="","",ROUND('Opening Balance'!$B$4+SUM($AC$2:AC1456)-SUM($AD$2:AD1456)+SUMPRODUCT(($Q$2:$Q$1501="Collection 收款")*($R$2:$R$1501="Cheque 支票")*($V$2:$V$1501&lt;&gt;"")*($V$2:$V$1501&lt;=X1456)*($S$2:$S$1501-'Opening Balance'!$B$15*($R$2:$R$1501="Cheque 支票")*($S$2:$S$1501-TRUNC($S$2:$S$1501))))-'Opening Balance'!$B$15*SUMPRODUCT(($Z$2:Z1456="Online collection 网上收款")*($AA$2:AA1456&lt;&gt;"")*($AC$2:AC1456-TRUNC($AC$2:AC1456))),2))</f>
        <v/>
      </c>
    </row>
    <row r="1457">
      <c r="O1457" s="5" t="n"/>
      <c r="S1457" s="6" t="n"/>
      <c r="V1457" s="5" t="n"/>
      <c r="X1457" s="5" t="n"/>
      <c r="AC1457" s="6" t="n"/>
      <c r="AD1457" s="6" t="n"/>
      <c r="AE1457" s="7">
        <f>IF(X1457="","",ROUND('Opening Balance'!$B$4+SUM($AC$2:AC1457)-SUM($AD$2:AD1457)+SUMPRODUCT(($Q$2:$Q$1501="Collection 收款")*($R$2:$R$1501="Cheque 支票")*($V$2:$V$1501&lt;&gt;"")*($V$2:$V$1501&lt;=X1457)*($S$2:$S$1501-'Opening Balance'!$B$15*($R$2:$R$1501="Cheque 支票")*($S$2:$S$1501-TRUNC($S$2:$S$1501))))-'Opening Balance'!$B$15*SUMPRODUCT(($Z$2:Z1457="Online collection 网上收款")*($AA$2:AA1457&lt;&gt;"")*($AC$2:AC1457-TRUNC($AC$2:AC1457))),2))</f>
        <v/>
      </c>
    </row>
    <row r="1458">
      <c r="O1458" s="5" t="n"/>
      <c r="S1458" s="6" t="n"/>
      <c r="V1458" s="5" t="n"/>
      <c r="X1458" s="5" t="n"/>
      <c r="AC1458" s="6" t="n"/>
      <c r="AD1458" s="6" t="n"/>
      <c r="AE1458" s="7">
        <f>IF(X1458="","",ROUND('Opening Balance'!$B$4+SUM($AC$2:AC1458)-SUM($AD$2:AD1458)+SUMPRODUCT(($Q$2:$Q$1501="Collection 收款")*($R$2:$R$1501="Cheque 支票")*($V$2:$V$1501&lt;&gt;"")*($V$2:$V$1501&lt;=X1458)*($S$2:$S$1501-'Opening Balance'!$B$15*($R$2:$R$1501="Cheque 支票")*($S$2:$S$1501-TRUNC($S$2:$S$1501))))-'Opening Balance'!$B$15*SUMPRODUCT(($Z$2:Z1458="Online collection 网上收款")*($AA$2:AA1458&lt;&gt;"")*($AC$2:AC1458-TRUNC($AC$2:AC1458))),2))</f>
        <v/>
      </c>
    </row>
    <row r="1459">
      <c r="O1459" s="5" t="n"/>
      <c r="S1459" s="6" t="n"/>
      <c r="V1459" s="5" t="n"/>
      <c r="X1459" s="5" t="n"/>
      <c r="AC1459" s="6" t="n"/>
      <c r="AD1459" s="6" t="n"/>
      <c r="AE1459" s="7">
        <f>IF(X1459="","",ROUND('Opening Balance'!$B$4+SUM($AC$2:AC1459)-SUM($AD$2:AD1459)+SUMPRODUCT(($Q$2:$Q$1501="Collection 收款")*($R$2:$R$1501="Cheque 支票")*($V$2:$V$1501&lt;&gt;"")*($V$2:$V$1501&lt;=X1459)*($S$2:$S$1501-'Opening Balance'!$B$15*($R$2:$R$1501="Cheque 支票")*($S$2:$S$1501-TRUNC($S$2:$S$1501))))-'Opening Balance'!$B$15*SUMPRODUCT(($Z$2:Z1459="Online collection 网上收款")*($AA$2:AA1459&lt;&gt;"")*($AC$2:AC1459-TRUNC($AC$2:AC1459))),2))</f>
        <v/>
      </c>
    </row>
    <row r="1460">
      <c r="O1460" s="5" t="n"/>
      <c r="S1460" s="6" t="n"/>
      <c r="V1460" s="5" t="n"/>
      <c r="X1460" s="5" t="n"/>
      <c r="AC1460" s="6" t="n"/>
      <c r="AD1460" s="6" t="n"/>
      <c r="AE1460" s="7">
        <f>IF(X1460="","",ROUND('Opening Balance'!$B$4+SUM($AC$2:AC1460)-SUM($AD$2:AD1460)+SUMPRODUCT(($Q$2:$Q$1501="Collection 收款")*($R$2:$R$1501="Cheque 支票")*($V$2:$V$1501&lt;&gt;"")*($V$2:$V$1501&lt;=X1460)*($S$2:$S$1501-'Opening Balance'!$B$15*($R$2:$R$1501="Cheque 支票")*($S$2:$S$1501-TRUNC($S$2:$S$1501))))-'Opening Balance'!$B$15*SUMPRODUCT(($Z$2:Z1460="Online collection 网上收款")*($AA$2:AA1460&lt;&gt;"")*($AC$2:AC1460-TRUNC($AC$2:AC1460))),2))</f>
        <v/>
      </c>
    </row>
    <row r="1461">
      <c r="O1461" s="5" t="n"/>
      <c r="S1461" s="6" t="n"/>
      <c r="V1461" s="5" t="n"/>
      <c r="X1461" s="5" t="n"/>
      <c r="AC1461" s="6" t="n"/>
      <c r="AD1461" s="6" t="n"/>
      <c r="AE1461" s="7">
        <f>IF(X1461="","",ROUND('Opening Balance'!$B$4+SUM($AC$2:AC1461)-SUM($AD$2:AD1461)+SUMPRODUCT(($Q$2:$Q$1501="Collection 收款")*($R$2:$R$1501="Cheque 支票")*($V$2:$V$1501&lt;&gt;"")*($V$2:$V$1501&lt;=X1461)*($S$2:$S$1501-'Opening Balance'!$B$15*($R$2:$R$1501="Cheque 支票")*($S$2:$S$1501-TRUNC($S$2:$S$1501))))-'Opening Balance'!$B$15*SUMPRODUCT(($Z$2:Z1461="Online collection 网上收款")*($AA$2:AA1461&lt;&gt;"")*($AC$2:AC1461-TRUNC($AC$2:AC1461))),2))</f>
        <v/>
      </c>
    </row>
    <row r="1462">
      <c r="O1462" s="5" t="n"/>
      <c r="S1462" s="6" t="n"/>
      <c r="V1462" s="5" t="n"/>
      <c r="X1462" s="5" t="n"/>
      <c r="AC1462" s="6" t="n"/>
      <c r="AD1462" s="6" t="n"/>
      <c r="AE1462" s="7">
        <f>IF(X1462="","",ROUND('Opening Balance'!$B$4+SUM($AC$2:AC1462)-SUM($AD$2:AD1462)+SUMPRODUCT(($Q$2:$Q$1501="Collection 收款")*($R$2:$R$1501="Cheque 支票")*($V$2:$V$1501&lt;&gt;"")*($V$2:$V$1501&lt;=X1462)*($S$2:$S$1501-'Opening Balance'!$B$15*($R$2:$R$1501="Cheque 支票")*($S$2:$S$1501-TRUNC($S$2:$S$1501))))-'Opening Balance'!$B$15*SUMPRODUCT(($Z$2:Z1462="Online collection 网上收款")*($AA$2:AA1462&lt;&gt;"")*($AC$2:AC1462-TRUNC($AC$2:AC1462))),2))</f>
        <v/>
      </c>
    </row>
    <row r="1463">
      <c r="O1463" s="5" t="n"/>
      <c r="S1463" s="6" t="n"/>
      <c r="V1463" s="5" t="n"/>
      <c r="X1463" s="5" t="n"/>
      <c r="AC1463" s="6" t="n"/>
      <c r="AD1463" s="6" t="n"/>
      <c r="AE1463" s="7">
        <f>IF(X1463="","",ROUND('Opening Balance'!$B$4+SUM($AC$2:AC1463)-SUM($AD$2:AD1463)+SUMPRODUCT(($Q$2:$Q$1501="Collection 收款")*($R$2:$R$1501="Cheque 支票")*($V$2:$V$1501&lt;&gt;"")*($V$2:$V$1501&lt;=X1463)*($S$2:$S$1501-'Opening Balance'!$B$15*($R$2:$R$1501="Cheque 支票")*($S$2:$S$1501-TRUNC($S$2:$S$1501))))-'Opening Balance'!$B$15*SUMPRODUCT(($Z$2:Z1463="Online collection 网上收款")*($AA$2:AA1463&lt;&gt;"")*($AC$2:AC1463-TRUNC($AC$2:AC1463))),2))</f>
        <v/>
      </c>
    </row>
    <row r="1464">
      <c r="O1464" s="5" t="n"/>
      <c r="S1464" s="6" t="n"/>
      <c r="V1464" s="5" t="n"/>
      <c r="X1464" s="5" t="n"/>
      <c r="AC1464" s="6" t="n"/>
      <c r="AD1464" s="6" t="n"/>
      <c r="AE1464" s="7">
        <f>IF(X1464="","",ROUND('Opening Balance'!$B$4+SUM($AC$2:AC1464)-SUM($AD$2:AD1464)+SUMPRODUCT(($Q$2:$Q$1501="Collection 收款")*($R$2:$R$1501="Cheque 支票")*($V$2:$V$1501&lt;&gt;"")*($V$2:$V$1501&lt;=X1464)*($S$2:$S$1501-'Opening Balance'!$B$15*($R$2:$R$1501="Cheque 支票")*($S$2:$S$1501-TRUNC($S$2:$S$1501))))-'Opening Balance'!$B$15*SUMPRODUCT(($Z$2:Z1464="Online collection 网上收款")*($AA$2:AA1464&lt;&gt;"")*($AC$2:AC1464-TRUNC($AC$2:AC1464))),2))</f>
        <v/>
      </c>
    </row>
    <row r="1465">
      <c r="O1465" s="5" t="n"/>
      <c r="S1465" s="6" t="n"/>
      <c r="V1465" s="5" t="n"/>
      <c r="X1465" s="5" t="n"/>
      <c r="AC1465" s="6" t="n"/>
      <c r="AD1465" s="6" t="n"/>
      <c r="AE1465" s="7">
        <f>IF(X1465="","",ROUND('Opening Balance'!$B$4+SUM($AC$2:AC1465)-SUM($AD$2:AD1465)+SUMPRODUCT(($Q$2:$Q$1501="Collection 收款")*($R$2:$R$1501="Cheque 支票")*($V$2:$V$1501&lt;&gt;"")*($V$2:$V$1501&lt;=X1465)*($S$2:$S$1501-'Opening Balance'!$B$15*($R$2:$R$1501="Cheque 支票")*($S$2:$S$1501-TRUNC($S$2:$S$1501))))-'Opening Balance'!$B$15*SUMPRODUCT(($Z$2:Z1465="Online collection 网上收款")*($AA$2:AA1465&lt;&gt;"")*($AC$2:AC1465-TRUNC($AC$2:AC1465))),2))</f>
        <v/>
      </c>
    </row>
    <row r="1466">
      <c r="O1466" s="5" t="n"/>
      <c r="S1466" s="6" t="n"/>
      <c r="V1466" s="5" t="n"/>
      <c r="X1466" s="5" t="n"/>
      <c r="AC1466" s="6" t="n"/>
      <c r="AD1466" s="6" t="n"/>
      <c r="AE1466" s="7">
        <f>IF(X1466="","",ROUND('Opening Balance'!$B$4+SUM($AC$2:AC1466)-SUM($AD$2:AD1466)+SUMPRODUCT(($Q$2:$Q$1501="Collection 收款")*($R$2:$R$1501="Cheque 支票")*($V$2:$V$1501&lt;&gt;"")*($V$2:$V$1501&lt;=X1466)*($S$2:$S$1501-'Opening Balance'!$B$15*($R$2:$R$1501="Cheque 支票")*($S$2:$S$1501-TRUNC($S$2:$S$1501))))-'Opening Balance'!$B$15*SUMPRODUCT(($Z$2:Z1466="Online collection 网上收款")*($AA$2:AA1466&lt;&gt;"")*($AC$2:AC1466-TRUNC($AC$2:AC1466))),2))</f>
        <v/>
      </c>
    </row>
    <row r="1467">
      <c r="O1467" s="5" t="n"/>
      <c r="S1467" s="6" t="n"/>
      <c r="V1467" s="5" t="n"/>
      <c r="X1467" s="5" t="n"/>
      <c r="AC1467" s="6" t="n"/>
      <c r="AD1467" s="6" t="n"/>
      <c r="AE1467" s="7">
        <f>IF(X1467="","",ROUND('Opening Balance'!$B$4+SUM($AC$2:AC1467)-SUM($AD$2:AD1467)+SUMPRODUCT(($Q$2:$Q$1501="Collection 收款")*($R$2:$R$1501="Cheque 支票")*($V$2:$V$1501&lt;&gt;"")*($V$2:$V$1501&lt;=X1467)*($S$2:$S$1501-'Opening Balance'!$B$15*($R$2:$R$1501="Cheque 支票")*($S$2:$S$1501-TRUNC($S$2:$S$1501))))-'Opening Balance'!$B$15*SUMPRODUCT(($Z$2:Z1467="Online collection 网上收款")*($AA$2:AA1467&lt;&gt;"")*($AC$2:AC1467-TRUNC($AC$2:AC1467))),2))</f>
        <v/>
      </c>
    </row>
    <row r="1468">
      <c r="O1468" s="5" t="n"/>
      <c r="S1468" s="6" t="n"/>
      <c r="V1468" s="5" t="n"/>
      <c r="X1468" s="5" t="n"/>
      <c r="AC1468" s="6" t="n"/>
      <c r="AD1468" s="6" t="n"/>
      <c r="AE1468" s="7">
        <f>IF(X1468="","",ROUND('Opening Balance'!$B$4+SUM($AC$2:AC1468)-SUM($AD$2:AD1468)+SUMPRODUCT(($Q$2:$Q$1501="Collection 收款")*($R$2:$R$1501="Cheque 支票")*($V$2:$V$1501&lt;&gt;"")*($V$2:$V$1501&lt;=X1468)*($S$2:$S$1501-'Opening Balance'!$B$15*($R$2:$R$1501="Cheque 支票")*($S$2:$S$1501-TRUNC($S$2:$S$1501))))-'Opening Balance'!$B$15*SUMPRODUCT(($Z$2:Z1468="Online collection 网上收款")*($AA$2:AA1468&lt;&gt;"")*($AC$2:AC1468-TRUNC($AC$2:AC1468))),2))</f>
        <v/>
      </c>
    </row>
    <row r="1469">
      <c r="O1469" s="5" t="n"/>
      <c r="S1469" s="6" t="n"/>
      <c r="V1469" s="5" t="n"/>
      <c r="X1469" s="5" t="n"/>
      <c r="AC1469" s="6" t="n"/>
      <c r="AD1469" s="6" t="n"/>
      <c r="AE1469" s="7">
        <f>IF(X1469="","",ROUND('Opening Balance'!$B$4+SUM($AC$2:AC1469)-SUM($AD$2:AD1469)+SUMPRODUCT(($Q$2:$Q$1501="Collection 收款")*($R$2:$R$1501="Cheque 支票")*($V$2:$V$1501&lt;&gt;"")*($V$2:$V$1501&lt;=X1469)*($S$2:$S$1501-'Opening Balance'!$B$15*($R$2:$R$1501="Cheque 支票")*($S$2:$S$1501-TRUNC($S$2:$S$1501))))-'Opening Balance'!$B$15*SUMPRODUCT(($Z$2:Z1469="Online collection 网上收款")*($AA$2:AA1469&lt;&gt;"")*($AC$2:AC1469-TRUNC($AC$2:AC1469))),2))</f>
        <v/>
      </c>
    </row>
    <row r="1470">
      <c r="O1470" s="5" t="n"/>
      <c r="S1470" s="6" t="n"/>
      <c r="V1470" s="5" t="n"/>
      <c r="X1470" s="5" t="n"/>
      <c r="AC1470" s="6" t="n"/>
      <c r="AD1470" s="6" t="n"/>
      <c r="AE1470" s="7">
        <f>IF(X1470="","",ROUND('Opening Balance'!$B$4+SUM($AC$2:AC1470)-SUM($AD$2:AD1470)+SUMPRODUCT(($Q$2:$Q$1501="Collection 收款")*($R$2:$R$1501="Cheque 支票")*($V$2:$V$1501&lt;&gt;"")*($V$2:$V$1501&lt;=X1470)*($S$2:$S$1501-'Opening Balance'!$B$15*($R$2:$R$1501="Cheque 支票")*($S$2:$S$1501-TRUNC($S$2:$S$1501))))-'Opening Balance'!$B$15*SUMPRODUCT(($Z$2:Z1470="Online collection 网上收款")*($AA$2:AA1470&lt;&gt;"")*($AC$2:AC1470-TRUNC($AC$2:AC1470))),2))</f>
        <v/>
      </c>
    </row>
    <row r="1471">
      <c r="O1471" s="5" t="n"/>
      <c r="S1471" s="6" t="n"/>
      <c r="V1471" s="5" t="n"/>
      <c r="X1471" s="5" t="n"/>
      <c r="AC1471" s="6" t="n"/>
      <c r="AD1471" s="6" t="n"/>
      <c r="AE1471" s="7">
        <f>IF(X1471="","",ROUND('Opening Balance'!$B$4+SUM($AC$2:AC1471)-SUM($AD$2:AD1471)+SUMPRODUCT(($Q$2:$Q$1501="Collection 收款")*($R$2:$R$1501="Cheque 支票")*($V$2:$V$1501&lt;&gt;"")*($V$2:$V$1501&lt;=X1471)*($S$2:$S$1501-'Opening Balance'!$B$15*($R$2:$R$1501="Cheque 支票")*($S$2:$S$1501-TRUNC($S$2:$S$1501))))-'Opening Balance'!$B$15*SUMPRODUCT(($Z$2:Z1471="Online collection 网上收款")*($AA$2:AA1471&lt;&gt;"")*($AC$2:AC1471-TRUNC($AC$2:AC1471))),2))</f>
        <v/>
      </c>
    </row>
    <row r="1472">
      <c r="O1472" s="5" t="n"/>
      <c r="S1472" s="6" t="n"/>
      <c r="V1472" s="5" t="n"/>
      <c r="X1472" s="5" t="n"/>
      <c r="AC1472" s="6" t="n"/>
      <c r="AD1472" s="6" t="n"/>
      <c r="AE1472" s="7">
        <f>IF(X1472="","",ROUND('Opening Balance'!$B$4+SUM($AC$2:AC1472)-SUM($AD$2:AD1472)+SUMPRODUCT(($Q$2:$Q$1501="Collection 收款")*($R$2:$R$1501="Cheque 支票")*($V$2:$V$1501&lt;&gt;"")*($V$2:$V$1501&lt;=X1472)*($S$2:$S$1501-'Opening Balance'!$B$15*($R$2:$R$1501="Cheque 支票")*($S$2:$S$1501-TRUNC($S$2:$S$1501))))-'Opening Balance'!$B$15*SUMPRODUCT(($Z$2:Z1472="Online collection 网上收款")*($AA$2:AA1472&lt;&gt;"")*($AC$2:AC1472-TRUNC($AC$2:AC1472))),2))</f>
        <v/>
      </c>
    </row>
    <row r="1473">
      <c r="O1473" s="5" t="n"/>
      <c r="S1473" s="6" t="n"/>
      <c r="V1473" s="5" t="n"/>
      <c r="X1473" s="5" t="n"/>
      <c r="AC1473" s="6" t="n"/>
      <c r="AD1473" s="6" t="n"/>
      <c r="AE1473" s="7">
        <f>IF(X1473="","",ROUND('Opening Balance'!$B$4+SUM($AC$2:AC1473)-SUM($AD$2:AD1473)+SUMPRODUCT(($Q$2:$Q$1501="Collection 收款")*($R$2:$R$1501="Cheque 支票")*($V$2:$V$1501&lt;&gt;"")*($V$2:$V$1501&lt;=X1473)*($S$2:$S$1501-'Opening Balance'!$B$15*($R$2:$R$1501="Cheque 支票")*($S$2:$S$1501-TRUNC($S$2:$S$1501))))-'Opening Balance'!$B$15*SUMPRODUCT(($Z$2:Z1473="Online collection 网上收款")*($AA$2:AA1473&lt;&gt;"")*($AC$2:AC1473-TRUNC($AC$2:AC1473))),2))</f>
        <v/>
      </c>
    </row>
    <row r="1474">
      <c r="O1474" s="5" t="n"/>
      <c r="S1474" s="6" t="n"/>
      <c r="V1474" s="5" t="n"/>
      <c r="X1474" s="5" t="n"/>
      <c r="AC1474" s="6" t="n"/>
      <c r="AD1474" s="6" t="n"/>
      <c r="AE1474" s="7">
        <f>IF(X1474="","",ROUND('Opening Balance'!$B$4+SUM($AC$2:AC1474)-SUM($AD$2:AD1474)+SUMPRODUCT(($Q$2:$Q$1501="Collection 收款")*($R$2:$R$1501="Cheque 支票")*($V$2:$V$1501&lt;&gt;"")*($V$2:$V$1501&lt;=X1474)*($S$2:$S$1501-'Opening Balance'!$B$15*($R$2:$R$1501="Cheque 支票")*($S$2:$S$1501-TRUNC($S$2:$S$1501))))-'Opening Balance'!$B$15*SUMPRODUCT(($Z$2:Z1474="Online collection 网上收款")*($AA$2:AA1474&lt;&gt;"")*($AC$2:AC1474-TRUNC($AC$2:AC1474))),2))</f>
        <v/>
      </c>
    </row>
    <row r="1475">
      <c r="O1475" s="5" t="n"/>
      <c r="S1475" s="6" t="n"/>
      <c r="V1475" s="5" t="n"/>
      <c r="X1475" s="5" t="n"/>
      <c r="AC1475" s="6" t="n"/>
      <c r="AD1475" s="6" t="n"/>
      <c r="AE1475" s="7">
        <f>IF(X1475="","",ROUND('Opening Balance'!$B$4+SUM($AC$2:AC1475)-SUM($AD$2:AD1475)+SUMPRODUCT(($Q$2:$Q$1501="Collection 收款")*($R$2:$R$1501="Cheque 支票")*($V$2:$V$1501&lt;&gt;"")*($V$2:$V$1501&lt;=X1475)*($S$2:$S$1501-'Opening Balance'!$B$15*($R$2:$R$1501="Cheque 支票")*($S$2:$S$1501-TRUNC($S$2:$S$1501))))-'Opening Balance'!$B$15*SUMPRODUCT(($Z$2:Z1475="Online collection 网上收款")*($AA$2:AA1475&lt;&gt;"")*($AC$2:AC1475-TRUNC($AC$2:AC1475))),2))</f>
        <v/>
      </c>
    </row>
    <row r="1476">
      <c r="O1476" s="5" t="n"/>
      <c r="S1476" s="6" t="n"/>
      <c r="V1476" s="5" t="n"/>
      <c r="X1476" s="5" t="n"/>
      <c r="AC1476" s="6" t="n"/>
      <c r="AD1476" s="6" t="n"/>
      <c r="AE1476" s="7">
        <f>IF(X1476="","",ROUND('Opening Balance'!$B$4+SUM($AC$2:AC1476)-SUM($AD$2:AD1476)+SUMPRODUCT(($Q$2:$Q$1501="Collection 收款")*($R$2:$R$1501="Cheque 支票")*($V$2:$V$1501&lt;&gt;"")*($V$2:$V$1501&lt;=X1476)*($S$2:$S$1501-'Opening Balance'!$B$15*($R$2:$R$1501="Cheque 支票")*($S$2:$S$1501-TRUNC($S$2:$S$1501))))-'Opening Balance'!$B$15*SUMPRODUCT(($Z$2:Z1476="Online collection 网上收款")*($AA$2:AA1476&lt;&gt;"")*($AC$2:AC1476-TRUNC($AC$2:AC1476))),2))</f>
        <v/>
      </c>
    </row>
    <row r="1477">
      <c r="O1477" s="5" t="n"/>
      <c r="S1477" s="6" t="n"/>
      <c r="V1477" s="5" t="n"/>
      <c r="X1477" s="5" t="n"/>
      <c r="AC1477" s="6" t="n"/>
      <c r="AD1477" s="6" t="n"/>
      <c r="AE1477" s="7">
        <f>IF(X1477="","",ROUND('Opening Balance'!$B$4+SUM($AC$2:AC1477)-SUM($AD$2:AD1477)+SUMPRODUCT(($Q$2:$Q$1501="Collection 收款")*($R$2:$R$1501="Cheque 支票")*($V$2:$V$1501&lt;&gt;"")*($V$2:$V$1501&lt;=X1477)*($S$2:$S$1501-'Opening Balance'!$B$15*($R$2:$R$1501="Cheque 支票")*($S$2:$S$1501-TRUNC($S$2:$S$1501))))-'Opening Balance'!$B$15*SUMPRODUCT(($Z$2:Z1477="Online collection 网上收款")*($AA$2:AA1477&lt;&gt;"")*($AC$2:AC1477-TRUNC($AC$2:AC1477))),2))</f>
        <v/>
      </c>
    </row>
    <row r="1478">
      <c r="O1478" s="5" t="n"/>
      <c r="S1478" s="6" t="n"/>
      <c r="V1478" s="5" t="n"/>
      <c r="X1478" s="5" t="n"/>
      <c r="AC1478" s="6" t="n"/>
      <c r="AD1478" s="6" t="n"/>
      <c r="AE1478" s="7">
        <f>IF(X1478="","",ROUND('Opening Balance'!$B$4+SUM($AC$2:AC1478)-SUM($AD$2:AD1478)+SUMPRODUCT(($Q$2:$Q$1501="Collection 收款")*($R$2:$R$1501="Cheque 支票")*($V$2:$V$1501&lt;&gt;"")*($V$2:$V$1501&lt;=X1478)*($S$2:$S$1501-'Opening Balance'!$B$15*($R$2:$R$1501="Cheque 支票")*($S$2:$S$1501-TRUNC($S$2:$S$1501))))-'Opening Balance'!$B$15*SUMPRODUCT(($Z$2:Z1478="Online collection 网上收款")*($AA$2:AA1478&lt;&gt;"")*($AC$2:AC1478-TRUNC($AC$2:AC1478))),2))</f>
        <v/>
      </c>
    </row>
    <row r="1479">
      <c r="O1479" s="5" t="n"/>
      <c r="S1479" s="6" t="n"/>
      <c r="V1479" s="5" t="n"/>
      <c r="X1479" s="5" t="n"/>
      <c r="AC1479" s="6" t="n"/>
      <c r="AD1479" s="6" t="n"/>
      <c r="AE1479" s="7">
        <f>IF(X1479="","",ROUND('Opening Balance'!$B$4+SUM($AC$2:AC1479)-SUM($AD$2:AD1479)+SUMPRODUCT(($Q$2:$Q$1501="Collection 收款")*($R$2:$R$1501="Cheque 支票")*($V$2:$V$1501&lt;&gt;"")*($V$2:$V$1501&lt;=X1479)*($S$2:$S$1501-'Opening Balance'!$B$15*($R$2:$R$1501="Cheque 支票")*($S$2:$S$1501-TRUNC($S$2:$S$1501))))-'Opening Balance'!$B$15*SUMPRODUCT(($Z$2:Z1479="Online collection 网上收款")*($AA$2:AA1479&lt;&gt;"")*($AC$2:AC1479-TRUNC($AC$2:AC1479))),2))</f>
        <v/>
      </c>
    </row>
    <row r="1480">
      <c r="O1480" s="5" t="n"/>
      <c r="S1480" s="6" t="n"/>
      <c r="V1480" s="5" t="n"/>
      <c r="X1480" s="5" t="n"/>
      <c r="AC1480" s="6" t="n"/>
      <c r="AD1480" s="6" t="n"/>
      <c r="AE1480" s="7">
        <f>IF(X1480="","",ROUND('Opening Balance'!$B$4+SUM($AC$2:AC1480)-SUM($AD$2:AD1480)+SUMPRODUCT(($Q$2:$Q$1501="Collection 收款")*($R$2:$R$1501="Cheque 支票")*($V$2:$V$1501&lt;&gt;"")*($V$2:$V$1501&lt;=X1480)*($S$2:$S$1501-'Opening Balance'!$B$15*($R$2:$R$1501="Cheque 支票")*($S$2:$S$1501-TRUNC($S$2:$S$1501))))-'Opening Balance'!$B$15*SUMPRODUCT(($Z$2:Z1480="Online collection 网上收款")*($AA$2:AA1480&lt;&gt;"")*($AC$2:AC1480-TRUNC($AC$2:AC1480))),2))</f>
        <v/>
      </c>
    </row>
    <row r="1481">
      <c r="O1481" s="5" t="n"/>
      <c r="S1481" s="6" t="n"/>
      <c r="V1481" s="5" t="n"/>
      <c r="X1481" s="5" t="n"/>
      <c r="AC1481" s="6" t="n"/>
      <c r="AD1481" s="6" t="n"/>
      <c r="AE1481" s="7">
        <f>IF(X1481="","",ROUND('Opening Balance'!$B$4+SUM($AC$2:AC1481)-SUM($AD$2:AD1481)+SUMPRODUCT(($Q$2:$Q$1501="Collection 收款")*($R$2:$R$1501="Cheque 支票")*($V$2:$V$1501&lt;&gt;"")*($V$2:$V$1501&lt;=X1481)*($S$2:$S$1501-'Opening Balance'!$B$15*($R$2:$R$1501="Cheque 支票")*($S$2:$S$1501-TRUNC($S$2:$S$1501))))-'Opening Balance'!$B$15*SUMPRODUCT(($Z$2:Z1481="Online collection 网上收款")*($AA$2:AA1481&lt;&gt;"")*($AC$2:AC1481-TRUNC($AC$2:AC1481))),2))</f>
        <v/>
      </c>
    </row>
    <row r="1482">
      <c r="O1482" s="5" t="n"/>
      <c r="S1482" s="6" t="n"/>
      <c r="V1482" s="5" t="n"/>
      <c r="X1482" s="5" t="n"/>
      <c r="AC1482" s="6" t="n"/>
      <c r="AD1482" s="6" t="n"/>
      <c r="AE1482" s="7">
        <f>IF(X1482="","",ROUND('Opening Balance'!$B$4+SUM($AC$2:AC1482)-SUM($AD$2:AD1482)+SUMPRODUCT(($Q$2:$Q$1501="Collection 收款")*($R$2:$R$1501="Cheque 支票")*($V$2:$V$1501&lt;&gt;"")*($V$2:$V$1501&lt;=X1482)*($S$2:$S$1501-'Opening Balance'!$B$15*($R$2:$R$1501="Cheque 支票")*($S$2:$S$1501-TRUNC($S$2:$S$1501))))-'Opening Balance'!$B$15*SUMPRODUCT(($Z$2:Z1482="Online collection 网上收款")*($AA$2:AA1482&lt;&gt;"")*($AC$2:AC1482-TRUNC($AC$2:AC1482))),2))</f>
        <v/>
      </c>
    </row>
    <row r="1483">
      <c r="O1483" s="5" t="n"/>
      <c r="S1483" s="6" t="n"/>
      <c r="V1483" s="5" t="n"/>
      <c r="X1483" s="5" t="n"/>
      <c r="AC1483" s="6" t="n"/>
      <c r="AD1483" s="6" t="n"/>
      <c r="AE1483" s="7">
        <f>IF(X1483="","",ROUND('Opening Balance'!$B$4+SUM($AC$2:AC1483)-SUM($AD$2:AD1483)+SUMPRODUCT(($Q$2:$Q$1501="Collection 收款")*($R$2:$R$1501="Cheque 支票")*($V$2:$V$1501&lt;&gt;"")*($V$2:$V$1501&lt;=X1483)*($S$2:$S$1501-'Opening Balance'!$B$15*($R$2:$R$1501="Cheque 支票")*($S$2:$S$1501-TRUNC($S$2:$S$1501))))-'Opening Balance'!$B$15*SUMPRODUCT(($Z$2:Z1483="Online collection 网上收款")*($AA$2:AA1483&lt;&gt;"")*($AC$2:AC1483-TRUNC($AC$2:AC1483))),2))</f>
        <v/>
      </c>
    </row>
    <row r="1484">
      <c r="O1484" s="5" t="n"/>
      <c r="S1484" s="6" t="n"/>
      <c r="V1484" s="5" t="n"/>
      <c r="X1484" s="5" t="n"/>
      <c r="AC1484" s="6" t="n"/>
      <c r="AD1484" s="6" t="n"/>
      <c r="AE1484" s="7">
        <f>IF(X1484="","",ROUND('Opening Balance'!$B$4+SUM($AC$2:AC1484)-SUM($AD$2:AD1484)+SUMPRODUCT(($Q$2:$Q$1501="Collection 收款")*($R$2:$R$1501="Cheque 支票")*($V$2:$V$1501&lt;&gt;"")*($V$2:$V$1501&lt;=X1484)*($S$2:$S$1501-'Opening Balance'!$B$15*($R$2:$R$1501="Cheque 支票")*($S$2:$S$1501-TRUNC($S$2:$S$1501))))-'Opening Balance'!$B$15*SUMPRODUCT(($Z$2:Z1484="Online collection 网上收款")*($AA$2:AA1484&lt;&gt;"")*($AC$2:AC1484-TRUNC($AC$2:AC1484))),2))</f>
        <v/>
      </c>
    </row>
    <row r="1485">
      <c r="O1485" s="5" t="n"/>
      <c r="S1485" s="6" t="n"/>
      <c r="V1485" s="5" t="n"/>
      <c r="X1485" s="5" t="n"/>
      <c r="AC1485" s="6" t="n"/>
      <c r="AD1485" s="6" t="n"/>
      <c r="AE1485" s="7">
        <f>IF(X1485="","",ROUND('Opening Balance'!$B$4+SUM($AC$2:AC1485)-SUM($AD$2:AD1485)+SUMPRODUCT(($Q$2:$Q$1501="Collection 收款")*($R$2:$R$1501="Cheque 支票")*($V$2:$V$1501&lt;&gt;"")*($V$2:$V$1501&lt;=X1485)*($S$2:$S$1501-'Opening Balance'!$B$15*($R$2:$R$1501="Cheque 支票")*($S$2:$S$1501-TRUNC($S$2:$S$1501))))-'Opening Balance'!$B$15*SUMPRODUCT(($Z$2:Z1485="Online collection 网上收款")*($AA$2:AA1485&lt;&gt;"")*($AC$2:AC1485-TRUNC($AC$2:AC1485))),2))</f>
        <v/>
      </c>
    </row>
    <row r="1486">
      <c r="O1486" s="5" t="n"/>
      <c r="S1486" s="6" t="n"/>
      <c r="V1486" s="5" t="n"/>
      <c r="X1486" s="5" t="n"/>
      <c r="AC1486" s="6" t="n"/>
      <c r="AD1486" s="6" t="n"/>
      <c r="AE1486" s="7">
        <f>IF(X1486="","",ROUND('Opening Balance'!$B$4+SUM($AC$2:AC1486)-SUM($AD$2:AD1486)+SUMPRODUCT(($Q$2:$Q$1501="Collection 收款")*($R$2:$R$1501="Cheque 支票")*($V$2:$V$1501&lt;&gt;"")*($V$2:$V$1501&lt;=X1486)*($S$2:$S$1501-'Opening Balance'!$B$15*($R$2:$R$1501="Cheque 支票")*($S$2:$S$1501-TRUNC($S$2:$S$1501))))-'Opening Balance'!$B$15*SUMPRODUCT(($Z$2:Z1486="Online collection 网上收款")*($AA$2:AA1486&lt;&gt;"")*($AC$2:AC1486-TRUNC($AC$2:AC1486))),2))</f>
        <v/>
      </c>
    </row>
    <row r="1487">
      <c r="O1487" s="5" t="n"/>
      <c r="S1487" s="6" t="n"/>
      <c r="V1487" s="5" t="n"/>
      <c r="X1487" s="5" t="n"/>
      <c r="AC1487" s="6" t="n"/>
      <c r="AD1487" s="6" t="n"/>
      <c r="AE1487" s="7">
        <f>IF(X1487="","",ROUND('Opening Balance'!$B$4+SUM($AC$2:AC1487)-SUM($AD$2:AD1487)+SUMPRODUCT(($Q$2:$Q$1501="Collection 收款")*($R$2:$R$1501="Cheque 支票")*($V$2:$V$1501&lt;&gt;"")*($V$2:$V$1501&lt;=X1487)*($S$2:$S$1501-'Opening Balance'!$B$15*($R$2:$R$1501="Cheque 支票")*($S$2:$S$1501-TRUNC($S$2:$S$1501))))-'Opening Balance'!$B$15*SUMPRODUCT(($Z$2:Z1487="Online collection 网上收款")*($AA$2:AA1487&lt;&gt;"")*($AC$2:AC1487-TRUNC($AC$2:AC1487))),2))</f>
        <v/>
      </c>
    </row>
    <row r="1488">
      <c r="O1488" s="5" t="n"/>
      <c r="S1488" s="6" t="n"/>
      <c r="V1488" s="5" t="n"/>
      <c r="X1488" s="5" t="n"/>
      <c r="AC1488" s="6" t="n"/>
      <c r="AD1488" s="6" t="n"/>
      <c r="AE1488" s="7">
        <f>IF(X1488="","",ROUND('Opening Balance'!$B$4+SUM($AC$2:AC1488)-SUM($AD$2:AD1488)+SUMPRODUCT(($Q$2:$Q$1501="Collection 收款")*($R$2:$R$1501="Cheque 支票")*($V$2:$V$1501&lt;&gt;"")*($V$2:$V$1501&lt;=X1488)*($S$2:$S$1501-'Opening Balance'!$B$15*($R$2:$R$1501="Cheque 支票")*($S$2:$S$1501-TRUNC($S$2:$S$1501))))-'Opening Balance'!$B$15*SUMPRODUCT(($Z$2:Z1488="Online collection 网上收款")*($AA$2:AA1488&lt;&gt;"")*($AC$2:AC1488-TRUNC($AC$2:AC1488))),2))</f>
        <v/>
      </c>
    </row>
    <row r="1489">
      <c r="O1489" s="5" t="n"/>
      <c r="S1489" s="6" t="n"/>
      <c r="V1489" s="5" t="n"/>
      <c r="X1489" s="5" t="n"/>
      <c r="AC1489" s="6" t="n"/>
      <c r="AD1489" s="6" t="n"/>
      <c r="AE1489" s="7">
        <f>IF(X1489="","",ROUND('Opening Balance'!$B$4+SUM($AC$2:AC1489)-SUM($AD$2:AD1489)+SUMPRODUCT(($Q$2:$Q$1501="Collection 收款")*($R$2:$R$1501="Cheque 支票")*($V$2:$V$1501&lt;&gt;"")*($V$2:$V$1501&lt;=X1489)*($S$2:$S$1501-'Opening Balance'!$B$15*($R$2:$R$1501="Cheque 支票")*($S$2:$S$1501-TRUNC($S$2:$S$1501))))-'Opening Balance'!$B$15*SUMPRODUCT(($Z$2:Z1489="Online collection 网上收款")*($AA$2:AA1489&lt;&gt;"")*($AC$2:AC1489-TRUNC($AC$2:AC1489))),2))</f>
        <v/>
      </c>
    </row>
    <row r="1490">
      <c r="O1490" s="5" t="n"/>
      <c r="S1490" s="6" t="n"/>
      <c r="V1490" s="5" t="n"/>
      <c r="X1490" s="5" t="n"/>
      <c r="AC1490" s="6" t="n"/>
      <c r="AD1490" s="6" t="n"/>
      <c r="AE1490" s="7">
        <f>IF(X1490="","",ROUND('Opening Balance'!$B$4+SUM($AC$2:AC1490)-SUM($AD$2:AD1490)+SUMPRODUCT(($Q$2:$Q$1501="Collection 收款")*($R$2:$R$1501="Cheque 支票")*($V$2:$V$1501&lt;&gt;"")*($V$2:$V$1501&lt;=X1490)*($S$2:$S$1501-'Opening Balance'!$B$15*($R$2:$R$1501="Cheque 支票")*($S$2:$S$1501-TRUNC($S$2:$S$1501))))-'Opening Balance'!$B$15*SUMPRODUCT(($Z$2:Z1490="Online collection 网上收款")*($AA$2:AA1490&lt;&gt;"")*($AC$2:AC1490-TRUNC($AC$2:AC1490))),2))</f>
        <v/>
      </c>
    </row>
    <row r="1491">
      <c r="O1491" s="5" t="n"/>
      <c r="S1491" s="6" t="n"/>
      <c r="V1491" s="5" t="n"/>
      <c r="X1491" s="5" t="n"/>
      <c r="AC1491" s="6" t="n"/>
      <c r="AD1491" s="6" t="n"/>
      <c r="AE1491" s="7">
        <f>IF(X1491="","",ROUND('Opening Balance'!$B$4+SUM($AC$2:AC1491)-SUM($AD$2:AD1491)+SUMPRODUCT(($Q$2:$Q$1501="Collection 收款")*($R$2:$R$1501="Cheque 支票")*($V$2:$V$1501&lt;&gt;"")*($V$2:$V$1501&lt;=X1491)*($S$2:$S$1501-'Opening Balance'!$B$15*($R$2:$R$1501="Cheque 支票")*($S$2:$S$1501-TRUNC($S$2:$S$1501))))-'Opening Balance'!$B$15*SUMPRODUCT(($Z$2:Z1491="Online collection 网上收款")*($AA$2:AA1491&lt;&gt;"")*($AC$2:AC1491-TRUNC($AC$2:AC1491))),2))</f>
        <v/>
      </c>
    </row>
    <row r="1492">
      <c r="O1492" s="5" t="n"/>
      <c r="S1492" s="6" t="n"/>
      <c r="V1492" s="5" t="n"/>
      <c r="X1492" s="5" t="n"/>
      <c r="AC1492" s="6" t="n"/>
      <c r="AD1492" s="6" t="n"/>
      <c r="AE1492" s="7">
        <f>IF(X1492="","",ROUND('Opening Balance'!$B$4+SUM($AC$2:AC1492)-SUM($AD$2:AD1492)+SUMPRODUCT(($Q$2:$Q$1501="Collection 收款")*($R$2:$R$1501="Cheque 支票")*($V$2:$V$1501&lt;&gt;"")*($V$2:$V$1501&lt;=X1492)*($S$2:$S$1501-'Opening Balance'!$B$15*($R$2:$R$1501="Cheque 支票")*($S$2:$S$1501-TRUNC($S$2:$S$1501))))-'Opening Balance'!$B$15*SUMPRODUCT(($Z$2:Z1492="Online collection 网上收款")*($AA$2:AA1492&lt;&gt;"")*($AC$2:AC1492-TRUNC($AC$2:AC1492))),2))</f>
        <v/>
      </c>
    </row>
    <row r="1493">
      <c r="O1493" s="5" t="n"/>
      <c r="S1493" s="6" t="n"/>
      <c r="V1493" s="5" t="n"/>
      <c r="X1493" s="5" t="n"/>
      <c r="AC1493" s="6" t="n"/>
      <c r="AD1493" s="6" t="n"/>
      <c r="AE1493" s="7">
        <f>IF(X1493="","",ROUND('Opening Balance'!$B$4+SUM($AC$2:AC1493)-SUM($AD$2:AD1493)+SUMPRODUCT(($Q$2:$Q$1501="Collection 收款")*($R$2:$R$1501="Cheque 支票")*($V$2:$V$1501&lt;&gt;"")*($V$2:$V$1501&lt;=X1493)*($S$2:$S$1501-'Opening Balance'!$B$15*($R$2:$R$1501="Cheque 支票")*($S$2:$S$1501-TRUNC($S$2:$S$1501))))-'Opening Balance'!$B$15*SUMPRODUCT(($Z$2:Z1493="Online collection 网上收款")*($AA$2:AA1493&lt;&gt;"")*($AC$2:AC1493-TRUNC($AC$2:AC1493))),2))</f>
        <v/>
      </c>
    </row>
    <row r="1494">
      <c r="O1494" s="5" t="n"/>
      <c r="S1494" s="6" t="n"/>
      <c r="V1494" s="5" t="n"/>
      <c r="X1494" s="5" t="n"/>
      <c r="AC1494" s="6" t="n"/>
      <c r="AD1494" s="6" t="n"/>
      <c r="AE1494" s="7">
        <f>IF(X1494="","",ROUND('Opening Balance'!$B$4+SUM($AC$2:AC1494)-SUM($AD$2:AD1494)+SUMPRODUCT(($Q$2:$Q$1501="Collection 收款")*($R$2:$R$1501="Cheque 支票")*($V$2:$V$1501&lt;&gt;"")*($V$2:$V$1501&lt;=X1494)*($S$2:$S$1501-'Opening Balance'!$B$15*($R$2:$R$1501="Cheque 支票")*($S$2:$S$1501-TRUNC($S$2:$S$1501))))-'Opening Balance'!$B$15*SUMPRODUCT(($Z$2:Z1494="Online collection 网上收款")*($AA$2:AA1494&lt;&gt;"")*($AC$2:AC1494-TRUNC($AC$2:AC1494))),2))</f>
        <v/>
      </c>
    </row>
    <row r="1495">
      <c r="O1495" s="5" t="n"/>
      <c r="S1495" s="6" t="n"/>
      <c r="V1495" s="5" t="n"/>
      <c r="X1495" s="5" t="n"/>
      <c r="AC1495" s="6" t="n"/>
      <c r="AD1495" s="6" t="n"/>
      <c r="AE1495" s="7">
        <f>IF(X1495="","",ROUND('Opening Balance'!$B$4+SUM($AC$2:AC1495)-SUM($AD$2:AD1495)+SUMPRODUCT(($Q$2:$Q$1501="Collection 收款")*($R$2:$R$1501="Cheque 支票")*($V$2:$V$1501&lt;&gt;"")*($V$2:$V$1501&lt;=X1495)*($S$2:$S$1501-'Opening Balance'!$B$15*($R$2:$R$1501="Cheque 支票")*($S$2:$S$1501-TRUNC($S$2:$S$1501))))-'Opening Balance'!$B$15*SUMPRODUCT(($Z$2:Z1495="Online collection 网上收款")*($AA$2:AA1495&lt;&gt;"")*($AC$2:AC1495-TRUNC($AC$2:AC1495))),2))</f>
        <v/>
      </c>
    </row>
    <row r="1496">
      <c r="O1496" s="5" t="n"/>
      <c r="S1496" s="6" t="n"/>
      <c r="V1496" s="5" t="n"/>
      <c r="X1496" s="5" t="n"/>
      <c r="AC1496" s="6" t="n"/>
      <c r="AD1496" s="6" t="n"/>
      <c r="AE1496" s="7">
        <f>IF(X1496="","",ROUND('Opening Balance'!$B$4+SUM($AC$2:AC1496)-SUM($AD$2:AD1496)+SUMPRODUCT(($Q$2:$Q$1501="Collection 收款")*($R$2:$R$1501="Cheque 支票")*($V$2:$V$1501&lt;&gt;"")*($V$2:$V$1501&lt;=X1496)*($S$2:$S$1501-'Opening Balance'!$B$15*($R$2:$R$1501="Cheque 支票")*($S$2:$S$1501-TRUNC($S$2:$S$1501))))-'Opening Balance'!$B$15*SUMPRODUCT(($Z$2:Z1496="Online collection 网上收款")*($AA$2:AA1496&lt;&gt;"")*($AC$2:AC1496-TRUNC($AC$2:AC1496))),2))</f>
        <v/>
      </c>
    </row>
    <row r="1497">
      <c r="O1497" s="5" t="n"/>
      <c r="S1497" s="6" t="n"/>
      <c r="V1497" s="5" t="n"/>
      <c r="X1497" s="5" t="n"/>
      <c r="AC1497" s="6" t="n"/>
      <c r="AD1497" s="6" t="n"/>
      <c r="AE1497" s="7">
        <f>IF(X1497="","",ROUND('Opening Balance'!$B$4+SUM($AC$2:AC1497)-SUM($AD$2:AD1497)+SUMPRODUCT(($Q$2:$Q$1501="Collection 收款")*($R$2:$R$1501="Cheque 支票")*($V$2:$V$1501&lt;&gt;"")*($V$2:$V$1501&lt;=X1497)*($S$2:$S$1501-'Opening Balance'!$B$15*($R$2:$R$1501="Cheque 支票")*($S$2:$S$1501-TRUNC($S$2:$S$1501))))-'Opening Balance'!$B$15*SUMPRODUCT(($Z$2:Z1497="Online collection 网上收款")*($AA$2:AA1497&lt;&gt;"")*($AC$2:AC1497-TRUNC($AC$2:AC1497))),2))</f>
        <v/>
      </c>
    </row>
    <row r="1498">
      <c r="O1498" s="5" t="n"/>
      <c r="S1498" s="6" t="n"/>
      <c r="V1498" s="5" t="n"/>
      <c r="X1498" s="5" t="n"/>
      <c r="AC1498" s="6" t="n"/>
      <c r="AD1498" s="6" t="n"/>
      <c r="AE1498" s="7">
        <f>IF(X1498="","",ROUND('Opening Balance'!$B$4+SUM($AC$2:AC1498)-SUM($AD$2:AD1498)+SUMPRODUCT(($Q$2:$Q$1501="Collection 收款")*($R$2:$R$1501="Cheque 支票")*($V$2:$V$1501&lt;&gt;"")*($V$2:$V$1501&lt;=X1498)*($S$2:$S$1501-'Opening Balance'!$B$15*($R$2:$R$1501="Cheque 支票")*($S$2:$S$1501-TRUNC($S$2:$S$1501))))-'Opening Balance'!$B$15*SUMPRODUCT(($Z$2:Z1498="Online collection 网上收款")*($AA$2:AA1498&lt;&gt;"")*($AC$2:AC1498-TRUNC($AC$2:AC1498))),2))</f>
        <v/>
      </c>
    </row>
    <row r="1499">
      <c r="O1499" s="5" t="n"/>
      <c r="S1499" s="6" t="n"/>
      <c r="V1499" s="5" t="n"/>
      <c r="X1499" s="5" t="n"/>
      <c r="AC1499" s="6" t="n"/>
      <c r="AD1499" s="6" t="n"/>
      <c r="AE1499" s="7">
        <f>IF(X1499="","",ROUND('Opening Balance'!$B$4+SUM($AC$2:AC1499)-SUM($AD$2:AD1499)+SUMPRODUCT(($Q$2:$Q$1501="Collection 收款")*($R$2:$R$1501="Cheque 支票")*($V$2:$V$1501&lt;&gt;"")*($V$2:$V$1501&lt;=X1499)*($S$2:$S$1501-'Opening Balance'!$B$15*($R$2:$R$1501="Cheque 支票")*($S$2:$S$1501-TRUNC($S$2:$S$1501))))-'Opening Balance'!$B$15*SUMPRODUCT(($Z$2:Z1499="Online collection 网上收款")*($AA$2:AA1499&lt;&gt;"")*($AC$2:AC1499-TRUNC($AC$2:AC1499))),2))</f>
        <v/>
      </c>
    </row>
    <row r="1500">
      <c r="O1500" s="5" t="n"/>
      <c r="S1500" s="6" t="n"/>
      <c r="V1500" s="5" t="n"/>
      <c r="X1500" s="5" t="n"/>
      <c r="AC1500" s="6" t="n"/>
      <c r="AD1500" s="6" t="n"/>
      <c r="AE1500" s="7">
        <f>IF(X1500="","",ROUND('Opening Balance'!$B$4+SUM($AC$2:AC1500)-SUM($AD$2:AD1500)+SUMPRODUCT(($Q$2:$Q$1501="Collection 收款")*($R$2:$R$1501="Cheque 支票")*($V$2:$V$1501&lt;&gt;"")*($V$2:$V$1501&lt;=X1500)*($S$2:$S$1501-'Opening Balance'!$B$15*($R$2:$R$1501="Cheque 支票")*($S$2:$S$1501-TRUNC($S$2:$S$1501))))-'Opening Balance'!$B$15*SUMPRODUCT(($Z$2:Z1500="Online collection 网上收款")*($AA$2:AA1500&lt;&gt;"")*($AC$2:AC1500-TRUNC($AC$2:AC1500))),2))</f>
        <v/>
      </c>
    </row>
    <row r="1501">
      <c r="O1501" s="5" t="n"/>
      <c r="S1501" s="6" t="n"/>
      <c r="V1501" s="5" t="n"/>
      <c r="X1501" s="5" t="n"/>
      <c r="AC1501" s="6" t="n"/>
      <c r="AD1501" s="6" t="n"/>
      <c r="AE1501" s="7">
        <f>IF(X1501="","",ROUND('Opening Balance'!$B$4+SUM($AC$2:AC1501)-SUM($AD$2:AD1501)+SUMPRODUCT(($Q$2:$Q$1501="Collection 收款")*($R$2:$R$1501="Cheque 支票")*($V$2:$V$1501&lt;&gt;"")*($V$2:$V$1501&lt;=X1501)*($S$2:$S$1501-'Opening Balance'!$B$15*($R$2:$R$1501="Cheque 支票")*($S$2:$S$1501-TRUNC($S$2:$S$1501))))-'Opening Balance'!$B$15*SUMPRODUCT(($Z$2:Z1501="Online collection 网上收款")*($AA$2:AA1501&lt;&gt;"")*($AC$2:AC1501-TRUNC($AC$2:AC1501))),2))</f>
        <v/>
      </c>
    </row>
  </sheetData>
  <dataValidations count="23">
    <dataValidation sqref="P2:P1501" showDropDown="0" showInputMessage="0" showErrorMessage="1" allowBlank="1" errorTitle="Buyer not in list" error="Add the buyer in sheet Opening Balance (Buyer list) first. 请先在 Opening Balance 表加入买家。" type="list">
      <formula1>='Opening Balance'!$I$4:$I$303</formula1>
    </dataValidation>
    <dataValidation sqref="Q2:Q1501" showDropDown="0" showInputMessage="0" showErrorMessage="0" allowBlank="1" type="list">
      <formula1>"Credit Sale 赊销,Collection 收款"</formula1>
    </dataValidation>
    <dataValidation sqref="R2:R1501" showDropDown="0" showInputMessage="0" showErrorMessage="0" allowBlank="1" type="list">
      <formula1>"Cash 现金,Cheque 支票"</formula1>
    </dataValidation>
    <dataValidation sqref="Z2:Z1501" showDropDown="0" showInputMessage="0" showErrorMessage="0" allowBlank="1" type="list">
      <formula1>"Online collection 网上收款,Cheque deposit 支票存入,Cash deposit 现金存入,Other deposit 其他存入,Withdrawal 提取"</formula1>
    </dataValidation>
    <dataValidation sqref="AA2:AA1501" showDropDown="0" showInputMessage="0" showErrorMessage="0" allowBlank="1" type="list">
      <formula1>='Opening Balance'!$I$4:$I$303</formula1>
    </dataValidation>
    <dataValidation sqref="B2:B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C2:C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D2:D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F2:F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G2:G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H2:H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J2:J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K2:K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L2:L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M2:M367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I2:I367" showDropDown="0" showInputMessage="0" showErrorMessage="1" allowBlank="1" errorTitle="Numbers only 只能输入数字" error="Please enter an amount (numbers only). 请只输入金额(数字)。" type="whole" errorStyle="stop" operator="between">
      <formula1>-999999999</formula1>
      <formula2>999999999</formula2>
    </dataValidation>
    <dataValidation sqref="A2:A367" showDropDown="0" showInputMessage="0" showErrorMessage="1" allowBlank="1" errorTitle="Date only 只能输入日期" error="Please enter a date, e.g. 13.10.2026. 请输入日期,例如 13.10.2026。" type="date" errorStyle="stop" operator="between">
      <formula1>36526</formula1>
      <formula2>73415</formula2>
    </dataValidation>
    <dataValidation sqref="S2:T1501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O2:O1501" showDropDown="0" showInputMessage="0" showErrorMessage="1" allowBlank="1" errorTitle="Date only 只能输入日期" error="Please enter a date, e.g. 13.10.2026. 请输入日期,例如 13.10.2026。" type="date" errorStyle="stop" operator="between">
      <formula1>36526</formula1>
      <formula2>73415</formula2>
    </dataValidation>
    <dataValidation sqref="V2:V1501" showDropDown="0" showInputMessage="0" showErrorMessage="1" allowBlank="1" errorTitle="Date only 只能输入日期" error="Please enter a date, e.g. 13.10.2026. 请输入日期,例如 13.10.2026。" type="date" errorStyle="stop" operator="between">
      <formula1>36526</formula1>
      <formula2>73415</formula2>
    </dataValidation>
    <dataValidation sqref="X2:X1501" showDropDown="0" showInputMessage="0" showErrorMessage="1" allowBlank="1" errorTitle="Date only 只能输入日期" error="Please enter a date, e.g. 13.10.2026. 请输入日期,例如 13.10.2026。" type="date" errorStyle="stop" operator="between">
      <formula1>36526</formula1>
      <formula2>73415</formula2>
    </dataValidation>
    <dataValidation sqref="AC2:AD1501" showDropDown="0" showInputMessage="0" showErrorMessage="1" allowBlank="1" errorTitle="Numbers only 只能输入数字" error="Please enter an amount (numbers only). 请只输入金额(数字)。" type="decimal" errorStyle="stop" operator="between">
      <formula1>-999999999</formula1>
      <formula2>999999999</formula2>
    </dataValidation>
    <dataValidation sqref="AB2:AB1501" showDropDown="0" showInputMessage="0" showErrorMessage="1" allowBlank="1" errorTitle="Numbers only 只能输入数字" error="Please enter an amount (numbers only). 请只输入金额(数字)。" type="whole" errorStyle="stop" operator="between">
      <formula1>-999999999</formula1>
      <formula2>999999999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5122"/>
  <sheetViews>
    <sheetView tabSelected="1" zoomScaleNormal="100" workbookViewId="0">
      <selection activeCell="K10" sqref="K10"/>
    </sheetView>
  </sheetViews>
  <sheetFormatPr baseColWidth="8" defaultRowHeight="14.4"/>
  <cols>
    <col width="40" bestFit="1" customWidth="1" min="1" max="1"/>
    <col width="14" customWidth="1" min="2" max="2"/>
    <col width="30" bestFit="1" customWidth="1" min="4" max="4"/>
    <col width="14" customWidth="1" min="5" max="5"/>
    <col width="40" customWidth="1" min="8" max="8"/>
    <col width="14" customWidth="1" min="9" max="9"/>
    <col width="30" customWidth="1" min="11" max="11"/>
    <col width="14" customWidth="1" min="12" max="12"/>
  </cols>
  <sheetData>
    <row r="1">
      <c r="A1" t="inlineStr">
        <is>
          <t>Date 日期</t>
        </is>
      </c>
      <c r="B1" s="5">
        <f>IF('Daily Sale entry '!$A2="","",'Daily Sale entry '!$A2)</f>
        <v/>
      </c>
      <c r="H1" t="inlineStr">
        <is>
          <t>After 调整后 (After)</t>
        </is>
      </c>
      <c r="I1" s="5">
        <f>IF($B1="","",B1)</f>
        <v/>
      </c>
    </row>
    <row r="2">
      <c r="A2" t="inlineStr">
        <is>
          <t>Cash Sales 现金销售</t>
        </is>
      </c>
      <c r="B2" s="6">
        <f>IF($B1="","",'Daily Sale entry '!B2)</f>
        <v/>
      </c>
      <c r="D2" t="inlineStr">
        <is>
          <t>c/f petty cash 今日备用金结转</t>
        </is>
      </c>
      <c r="E2" s="6">
        <f>IF($B1="","",'Daily Sale entry '!G2)</f>
        <v/>
      </c>
      <c r="H2" t="inlineStr">
        <is>
          <t>Cash Sales 现金销售</t>
        </is>
      </c>
      <c r="I2" s="6">
        <f>IF($B1="","",IF(AND(ABS(B12)&gt;'Opening Balance'!$B$13,B12&lt;0),ROUND(B2-B12,2),B2))</f>
        <v/>
      </c>
      <c r="K2" t="inlineStr">
        <is>
          <t>c/f petty cash 今日备用金结转</t>
        </is>
      </c>
      <c r="L2" s="6">
        <f>IF($B1="","",IF(ABS(B12)&lt;='Opening Balance'!$B$13,ROUND(E2+B12,2),E2))</f>
        <v/>
      </c>
    </row>
    <row r="3">
      <c r="A3" t="inlineStr">
        <is>
          <t>Misc Charges 杂项费用</t>
        </is>
      </c>
      <c r="B3" s="6">
        <f>IF($B1="","",'Daily Sale entry '!C2)</f>
        <v/>
      </c>
      <c r="D3" t="inlineStr">
        <is>
          <t>cash collection 现金收款</t>
        </is>
      </c>
      <c r="E3" s="6">
        <f>IF($B1="","",'Daily Sale entry '!H2)</f>
        <v/>
      </c>
      <c r="H3" t="inlineStr">
        <is>
          <t>Misc Charges 杂项费用</t>
        </is>
      </c>
      <c r="I3" s="6">
        <f>IF($B1="","",IF(AND(ABS(B12)&gt;'Opening Balance'!$B$13,B12&gt;0),ROUND(B3+B12,2),B3))</f>
        <v/>
      </c>
      <c r="K3" t="inlineStr">
        <is>
          <t>cash collection 现金收款</t>
        </is>
      </c>
      <c r="L3" s="6">
        <f>IF($B1="","",E3)</f>
        <v/>
      </c>
    </row>
    <row r="4">
      <c r="A4" s="1" t="inlineStr">
        <is>
          <t>Other Charges 其他费用</t>
        </is>
      </c>
      <c r="B4" s="9">
        <f>IF($B1="","",'Daily Sale entry '!D2)</f>
        <v/>
      </c>
      <c r="D4" s="1" t="inlineStr">
        <is>
          <t>Cheque Collection 支票收款</t>
        </is>
      </c>
      <c r="E4" s="9">
        <f>IF($B1="","",'Daily Sale entry '!J2)</f>
        <v/>
      </c>
      <c r="H4" s="1" t="inlineStr">
        <is>
          <t>Other Charges 其他费用</t>
        </is>
      </c>
      <c r="I4" s="9">
        <f>IF($B1="","",B4)</f>
        <v/>
      </c>
      <c r="K4" s="1" t="inlineStr">
        <is>
          <t>Cheque Collection 支票收款</t>
        </is>
      </c>
      <c r="L4" s="9">
        <f>IF($B1="","",E4)</f>
        <v/>
      </c>
    </row>
    <row r="5">
      <c r="A5" s="10" t="inlineStr">
        <is>
          <t>Amount 金额  (Cash Sales - Misc - Other)</t>
        </is>
      </c>
      <c r="B5" s="11">
        <f>IF($B1="","",ROUND(B2-B3-B4,2))</f>
        <v/>
      </c>
      <c r="D5" s="12" t="inlineStr">
        <is>
          <t>TNG collection TNG收款</t>
        </is>
      </c>
      <c r="E5" s="13">
        <f>IF($B1="","",'Daily Sale entry '!K2)</f>
        <v/>
      </c>
      <c r="H5" s="10" t="inlineStr">
        <is>
          <t>Amount 金额  (Cash Sales - Misc - Other)</t>
        </is>
      </c>
      <c r="I5" s="11">
        <f>IF($B1="","",ROUND(I2-I3-I4,2))</f>
        <v/>
      </c>
      <c r="K5" s="12" t="inlineStr">
        <is>
          <t>TNG collection TNG收款</t>
        </is>
      </c>
      <c r="L5" s="13">
        <f>IF($B1="","",E5)</f>
        <v/>
      </c>
    </row>
    <row r="6">
      <c r="A6" t="inlineStr">
        <is>
          <t>Credit Collection 赊账收款</t>
        </is>
      </c>
      <c r="B6" s="6">
        <f>IF($B1="","",'Daily Sale entry '!E2)</f>
        <v/>
      </c>
      <c r="D6" t="inlineStr">
        <is>
          <t>Advance Salary_M 预支薪水_M</t>
        </is>
      </c>
      <c r="E6" s="6">
        <f>IF($B1="","",'Daily Sale entry '!L2)</f>
        <v/>
      </c>
      <c r="H6" t="inlineStr">
        <is>
          <t>Credit Collection 赊账收款</t>
        </is>
      </c>
      <c r="I6" s="6">
        <f>IF($B1="","",B6)</f>
        <v/>
      </c>
      <c r="K6" t="inlineStr">
        <is>
          <t>Advance Salary_M 预支薪水_M</t>
        </is>
      </c>
      <c r="L6" s="6">
        <f>IF($B1="","",E6)</f>
        <v/>
      </c>
    </row>
    <row r="7">
      <c r="A7" s="10" t="inlineStr">
        <is>
          <t>Amount 2 金额2  (Amount + Credit Collection)</t>
        </is>
      </c>
      <c r="B7" s="11">
        <f>IF($B1="","",ROUND(B5+B6,2))</f>
        <v/>
      </c>
      <c r="D7" t="inlineStr">
        <is>
          <t>Advance Salary_H 预支薪水_H</t>
        </is>
      </c>
      <c r="E7" s="6">
        <f>IF($B1="","",'Daily Sale entry '!M2)</f>
        <v/>
      </c>
      <c r="H7" s="10" t="inlineStr">
        <is>
          <t>Amount 2 金额2  (Amount + Credit Collection)</t>
        </is>
      </c>
      <c r="I7" s="11">
        <f>IF($B1="","",ROUND(I5+I6,2))</f>
        <v/>
      </c>
      <c r="K7" t="inlineStr">
        <is>
          <t>Advance Salary_H 预支薪水_H</t>
        </is>
      </c>
      <c r="L7" s="6">
        <f>IF($B1="","",E7)</f>
        <v/>
      </c>
    </row>
    <row r="8"/>
    <row r="9">
      <c r="A9" s="1" t="inlineStr">
        <is>
          <t>b/f petty cash 上日备用金结转</t>
        </is>
      </c>
      <c r="B9" s="9">
        <f>IF($B1="","",'Daily Sale entry '!F2)</f>
        <v/>
      </c>
      <c r="D9" s="1" t="n"/>
      <c r="E9" s="1" t="n"/>
      <c r="H9" s="1" t="inlineStr">
        <is>
          <t>b/f petty cash 上日备用金结转</t>
        </is>
      </c>
      <c r="I9" s="9">
        <f>IF($B1="","",B9)</f>
        <v/>
      </c>
      <c r="K9" s="1" t="n"/>
      <c r="L9" s="1" t="n"/>
    </row>
    <row r="10">
      <c r="A10" t="inlineStr">
        <is>
          <t>Total (A) 总计 (A)</t>
        </is>
      </c>
      <c r="B10" s="6">
        <f>IF($B1="","",ROUND(B7+B9,2))</f>
        <v/>
      </c>
      <c r="D10" t="inlineStr">
        <is>
          <t>Total(B) 总计 (B)</t>
        </is>
      </c>
      <c r="E10" s="6">
        <f>IF($B1="","",ROUND(E2+E3+E4+E5+E6+E7,2))</f>
        <v/>
      </c>
      <c r="H10" t="inlineStr">
        <is>
          <t>Total© 总计 (C)</t>
        </is>
      </c>
      <c r="I10" s="6">
        <f>IF($B1="","",ROUND(I7+I9,2))</f>
        <v/>
      </c>
      <c r="K10" t="inlineStr">
        <is>
          <t>Total(D) 总计 (D)</t>
        </is>
      </c>
      <c r="L10" s="6">
        <f>IF($B1="","",ROUND(L2+L3+L4+L5+L6+L7,2))</f>
        <v/>
      </c>
    </row>
    <row r="11">
      <c r="A11" s="14" t="inlineStr">
        <is>
          <t>Total = Amount 2 + b/f petty cash  (金额2 + 上日备用金)</t>
        </is>
      </c>
      <c r="H11" s="14" t="inlineStr">
        <is>
          <t>Total = Amount 2 + b/f petty cash  (金额2 + 上日备用金)</t>
        </is>
      </c>
    </row>
    <row r="12">
      <c r="A12" t="inlineStr">
        <is>
          <t>Different 差额</t>
        </is>
      </c>
      <c r="B12" s="6">
        <f>IF($B1="","",ROUND(B10-E10,2))</f>
        <v/>
      </c>
      <c r="D12">
        <f>IF($B1="","",IF(ABS(B12)&gt;'Opening Balance'!$B$16,"ALERT 警报: Different over RM"&amp;'Opening Balance'!$B$16&amp;" 差额超过RM"&amp;'Opening Balance'!$B$16&amp;" - please check 请检查",IF(B12=0,"Tied 平衡",IF(ABS(B12)&lt;='Opening Balance'!$B$13,"Small difference 小额差额: adjusted on c/f petty cash 已调整备用金",IF(B12&gt;0,"Short 短收: added to Misc Charges 已加入杂项费用","Over 多收: added to Cash Sales 已加入现金销售")))))</f>
        <v/>
      </c>
      <c r="H12" t="inlineStr">
        <is>
          <t>Different 差额</t>
        </is>
      </c>
      <c r="I12" s="6">
        <f>IF($B1="","",ROUND(I10-L10,2))</f>
        <v/>
      </c>
    </row>
    <row r="13"/>
    <row r="14"/>
    <row r="15">
      <c r="A15" t="inlineStr">
        <is>
          <t>Date 日期</t>
        </is>
      </c>
      <c r="B15" s="5">
        <f>IF('Daily Sale entry '!$A3="","",'Daily Sale entry '!$A3)</f>
        <v/>
      </c>
      <c r="H15" t="inlineStr">
        <is>
          <t>After 调整后 (After)</t>
        </is>
      </c>
      <c r="I15" s="5">
        <f>IF($B15="","",B15)</f>
        <v/>
      </c>
    </row>
    <row r="16">
      <c r="A16" t="inlineStr">
        <is>
          <t>Cash Sales 现金销售</t>
        </is>
      </c>
      <c r="B16" s="6">
        <f>IF($B15="","",'Daily Sale entry '!B3)</f>
        <v/>
      </c>
      <c r="D16" t="inlineStr">
        <is>
          <t>c/f petty cash 今日备用金结转</t>
        </is>
      </c>
      <c r="E16" s="6">
        <f>IF($B15="","",'Daily Sale entry '!G3)</f>
        <v/>
      </c>
      <c r="H16" t="inlineStr">
        <is>
          <t>Cash Sales 现金销售</t>
        </is>
      </c>
      <c r="I16" s="6">
        <f>IF($B15="","",IF(AND(ABS(B26)&gt;'Opening Balance'!$B$13,B26&lt;0),ROUND(B16-B26,2),B16))</f>
        <v/>
      </c>
      <c r="K16" t="inlineStr">
        <is>
          <t>c/f petty cash 今日备用金结转</t>
        </is>
      </c>
      <c r="L16" s="6">
        <f>IF($B15="","",IF(ABS(B26)&lt;='Opening Balance'!$B$13,ROUND(E16+B26,2),E16))</f>
        <v/>
      </c>
    </row>
    <row r="17">
      <c r="A17" t="inlineStr">
        <is>
          <t>Misc Charges 杂项费用</t>
        </is>
      </c>
      <c r="B17" s="6">
        <f>IF($B15="","",'Daily Sale entry '!C3)</f>
        <v/>
      </c>
      <c r="D17" t="inlineStr">
        <is>
          <t>cash collection 现金收款</t>
        </is>
      </c>
      <c r="E17" s="6">
        <f>IF($B15="","",'Daily Sale entry '!H3)</f>
        <v/>
      </c>
      <c r="H17" t="inlineStr">
        <is>
          <t>Misc Charges 杂项费用</t>
        </is>
      </c>
      <c r="I17" s="6">
        <f>IF($B15="","",IF(AND(ABS(B26)&gt;'Opening Balance'!$B$13,B26&gt;0),ROUND(B17+B26,2),B17))</f>
        <v/>
      </c>
      <c r="K17" t="inlineStr">
        <is>
          <t>cash collection 现金收款</t>
        </is>
      </c>
      <c r="L17" s="6">
        <f>IF($B15="","",E17)</f>
        <v/>
      </c>
    </row>
    <row r="18">
      <c r="A18" s="1" t="inlineStr">
        <is>
          <t>Other Charges 其他费用</t>
        </is>
      </c>
      <c r="B18" s="9">
        <f>IF($B15="","",'Daily Sale entry '!D3)</f>
        <v/>
      </c>
      <c r="D18" s="1" t="inlineStr">
        <is>
          <t>Cheque Collection 支票收款</t>
        </is>
      </c>
      <c r="E18" s="9">
        <f>IF($B15="","",'Daily Sale entry '!J3)</f>
        <v/>
      </c>
      <c r="H18" s="1" t="inlineStr">
        <is>
          <t>Other Charges 其他费用</t>
        </is>
      </c>
      <c r="I18" s="9">
        <f>IF($B15="","",B18)</f>
        <v/>
      </c>
      <c r="K18" s="1" t="inlineStr">
        <is>
          <t>Cheque Collection 支票收款</t>
        </is>
      </c>
      <c r="L18" s="9">
        <f>IF($B15="","",E18)</f>
        <v/>
      </c>
    </row>
    <row r="19">
      <c r="A19" s="10" t="inlineStr">
        <is>
          <t>Amount 金额  (Cash Sales - Misc - Other)</t>
        </is>
      </c>
      <c r="B19" s="11">
        <f>IF($B15="","",ROUND(B16-B17-B18,2))</f>
        <v/>
      </c>
      <c r="D19" s="12" t="inlineStr">
        <is>
          <t>TNG collection TNG收款</t>
        </is>
      </c>
      <c r="E19" s="13">
        <f>IF($B15="","",'Daily Sale entry '!K3)</f>
        <v/>
      </c>
      <c r="H19" s="10" t="inlineStr">
        <is>
          <t>Amount 金额  (Cash Sales - Misc - Other)</t>
        </is>
      </c>
      <c r="I19" s="11">
        <f>IF($B15="","",ROUND(I16-I17-I18,2))</f>
        <v/>
      </c>
      <c r="K19" s="12" t="inlineStr">
        <is>
          <t>TNG collection TNG收款</t>
        </is>
      </c>
      <c r="L19" s="13">
        <f>IF($B15="","",E19)</f>
        <v/>
      </c>
    </row>
    <row r="20">
      <c r="A20" t="inlineStr">
        <is>
          <t>Credit Collection 赊账收款</t>
        </is>
      </c>
      <c r="B20" s="6">
        <f>IF($B15="","",'Daily Sale entry '!E3)</f>
        <v/>
      </c>
      <c r="D20" t="inlineStr">
        <is>
          <t>Advance Salary_M 预支薪水_M</t>
        </is>
      </c>
      <c r="E20" s="6">
        <f>IF($B15="","",'Daily Sale entry '!L3)</f>
        <v/>
      </c>
      <c r="H20" t="inlineStr">
        <is>
          <t>Credit Collection 赊账收款</t>
        </is>
      </c>
      <c r="I20" s="6">
        <f>IF($B15="","",B20)</f>
        <v/>
      </c>
      <c r="K20" t="inlineStr">
        <is>
          <t>Advance Salary_M 预支薪水_M</t>
        </is>
      </c>
      <c r="L20" s="6">
        <f>IF($B15="","",E20)</f>
        <v/>
      </c>
    </row>
    <row r="21">
      <c r="A21" s="10" t="inlineStr">
        <is>
          <t>Amount 2 金额2  (Amount + Credit Collection)</t>
        </is>
      </c>
      <c r="B21" s="11">
        <f>IF($B15="","",ROUND(B19+B20,2))</f>
        <v/>
      </c>
      <c r="D21" t="inlineStr">
        <is>
          <t>Advance Salary_H 预支薪水_H</t>
        </is>
      </c>
      <c r="E21" s="6">
        <f>IF($B15="","",'Daily Sale entry '!M3)</f>
        <v/>
      </c>
      <c r="H21" s="10" t="inlineStr">
        <is>
          <t>Amount 2 金额2  (Amount + Credit Collection)</t>
        </is>
      </c>
      <c r="I21" s="11">
        <f>IF($B15="","",ROUND(I19+I20,2))</f>
        <v/>
      </c>
      <c r="K21" t="inlineStr">
        <is>
          <t>Advance Salary_H 预支薪水_H</t>
        </is>
      </c>
      <c r="L21" s="6">
        <f>IF($B15="","",E21)</f>
        <v/>
      </c>
    </row>
    <row r="22"/>
    <row r="23">
      <c r="A23" s="1" t="inlineStr">
        <is>
          <t>b/f petty cash 上日备用金结转</t>
        </is>
      </c>
      <c r="B23" s="9">
        <f>IF($B15="","",'Daily Sale entry '!F3)</f>
        <v/>
      </c>
      <c r="D23" s="1" t="n"/>
      <c r="E23" s="1" t="n"/>
      <c r="H23" s="1" t="inlineStr">
        <is>
          <t>b/f petty cash 上日备用金结转</t>
        </is>
      </c>
      <c r="I23" s="9">
        <f>IF($B15="","",B23)</f>
        <v/>
      </c>
      <c r="K23" s="1" t="n"/>
      <c r="L23" s="1" t="n"/>
    </row>
    <row r="24">
      <c r="A24" t="inlineStr">
        <is>
          <t>Total (A) 总计 (A)</t>
        </is>
      </c>
      <c r="B24" s="6">
        <f>IF($B15="","",ROUND(B21+B23,2))</f>
        <v/>
      </c>
      <c r="D24" t="inlineStr">
        <is>
          <t>Total(B) 总计 (B)</t>
        </is>
      </c>
      <c r="E24" s="6">
        <f>IF($B15="","",ROUND(E16+E17+E18+E19+E20+E21,2))</f>
        <v/>
      </c>
      <c r="H24" t="inlineStr">
        <is>
          <t>Total© 总计 (C)</t>
        </is>
      </c>
      <c r="I24" s="6">
        <f>IF($B15="","",ROUND(I21+I23,2))</f>
        <v/>
      </c>
      <c r="K24" t="inlineStr">
        <is>
          <t>Total(D) 总计 (D)</t>
        </is>
      </c>
      <c r="L24" s="6">
        <f>IF($B15="","",ROUND(L16+L17+L18+L19+L20+L21,2))</f>
        <v/>
      </c>
    </row>
    <row r="25">
      <c r="A25" s="14" t="inlineStr">
        <is>
          <t>Total = Amount 2 + b/f petty cash  (金额2 + 上日备用金)</t>
        </is>
      </c>
      <c r="H25" s="14" t="inlineStr">
        <is>
          <t>Total = Amount 2 + b/f petty cash  (金额2 + 上日备用金)</t>
        </is>
      </c>
    </row>
    <row r="26">
      <c r="A26" t="inlineStr">
        <is>
          <t>Different 差额</t>
        </is>
      </c>
      <c r="B26" s="6">
        <f>IF($B15="","",ROUND(B24-E24,2))</f>
        <v/>
      </c>
      <c r="D26">
        <f>IF($B15="","",IF(ABS(B26)&gt;'Opening Balance'!$B$16,"ALERT 警报: Different over RM"&amp;'Opening Balance'!$B$16&amp;" 差额超过RM"&amp;'Opening Balance'!$B$16&amp;" - please check 请检查",IF(B26=0,"Tied 平衡",IF(ABS(B26)&lt;='Opening Balance'!$B$13,"Small difference 小额差额: adjusted on c/f petty cash 已调整备用金",IF(B26&gt;0,"Short 短收: added to Misc Charges 已加入杂项费用","Over 多收: added to Cash Sales 已加入现金销售")))))</f>
        <v/>
      </c>
      <c r="H26" t="inlineStr">
        <is>
          <t>Different 差额</t>
        </is>
      </c>
      <c r="I26" s="6">
        <f>IF($B15="","",ROUND(I24-L24,2))</f>
        <v/>
      </c>
    </row>
    <row r="27"/>
    <row r="28"/>
    <row r="29">
      <c r="A29" t="inlineStr">
        <is>
          <t>Date 日期</t>
        </is>
      </c>
      <c r="B29" s="5">
        <f>IF('Daily Sale entry '!$A4="","",'Daily Sale entry '!$A4)</f>
        <v/>
      </c>
      <c r="H29" t="inlineStr">
        <is>
          <t>After 调整后 (After)</t>
        </is>
      </c>
      <c r="I29" s="5">
        <f>IF($B29="","",B29)</f>
        <v/>
      </c>
    </row>
    <row r="30">
      <c r="A30" t="inlineStr">
        <is>
          <t>Cash Sales 现金销售</t>
        </is>
      </c>
      <c r="B30" s="6">
        <f>IF($B29="","",'Daily Sale entry '!B4)</f>
        <v/>
      </c>
      <c r="D30" t="inlineStr">
        <is>
          <t>c/f petty cash 今日备用金结转</t>
        </is>
      </c>
      <c r="E30" s="6">
        <f>IF($B29="","",'Daily Sale entry '!G4)</f>
        <v/>
      </c>
      <c r="H30" t="inlineStr">
        <is>
          <t>Cash Sales 现金销售</t>
        </is>
      </c>
      <c r="I30" s="6">
        <f>IF($B29="","",IF(AND(ABS(B40)&gt;'Opening Balance'!$B$13,B40&lt;0),ROUND(B30-B40,2),B30))</f>
        <v/>
      </c>
      <c r="K30" t="inlineStr">
        <is>
          <t>c/f petty cash 今日备用金结转</t>
        </is>
      </c>
      <c r="L30" s="6">
        <f>IF($B29="","",IF(ABS(B40)&lt;='Opening Balance'!$B$13,ROUND(E30+B40,2),E30))</f>
        <v/>
      </c>
    </row>
    <row r="31">
      <c r="A31" t="inlineStr">
        <is>
          <t>Misc Charges 杂项费用</t>
        </is>
      </c>
      <c r="B31" s="6">
        <f>IF($B29="","",'Daily Sale entry '!C4)</f>
        <v/>
      </c>
      <c r="D31" t="inlineStr">
        <is>
          <t>cash collection 现金收款</t>
        </is>
      </c>
      <c r="E31" s="6">
        <f>IF($B29="","",'Daily Sale entry '!H4)</f>
        <v/>
      </c>
      <c r="H31" t="inlineStr">
        <is>
          <t>Misc Charges 杂项费用</t>
        </is>
      </c>
      <c r="I31" s="6">
        <f>IF($B29="","",IF(AND(ABS(B40)&gt;'Opening Balance'!$B$13,B40&gt;0),ROUND(B31+B40,2),B31))</f>
        <v/>
      </c>
      <c r="K31" t="inlineStr">
        <is>
          <t>cash collection 现金收款</t>
        </is>
      </c>
      <c r="L31" s="6">
        <f>IF($B29="","",E31)</f>
        <v/>
      </c>
    </row>
    <row r="32">
      <c r="A32" s="1" t="inlineStr">
        <is>
          <t>Other Charges 其他费用</t>
        </is>
      </c>
      <c r="B32" s="9">
        <f>IF($B29="","",'Daily Sale entry '!D4)</f>
        <v/>
      </c>
      <c r="D32" s="1" t="inlineStr">
        <is>
          <t>Cheque Collection 支票收款</t>
        </is>
      </c>
      <c r="E32" s="9">
        <f>IF($B29="","",'Daily Sale entry '!J4)</f>
        <v/>
      </c>
      <c r="H32" s="1" t="inlineStr">
        <is>
          <t>Other Charges 其他费用</t>
        </is>
      </c>
      <c r="I32" s="9">
        <f>IF($B29="","",B32)</f>
        <v/>
      </c>
      <c r="K32" s="1" t="inlineStr">
        <is>
          <t>Cheque Collection 支票收款</t>
        </is>
      </c>
      <c r="L32" s="9">
        <f>IF($B29="","",E32)</f>
        <v/>
      </c>
    </row>
    <row r="33">
      <c r="A33" s="10" t="inlineStr">
        <is>
          <t>Amount 金额  (Cash Sales - Misc - Other)</t>
        </is>
      </c>
      <c r="B33" s="11">
        <f>IF($B29="","",ROUND(B30-B31-B32,2))</f>
        <v/>
      </c>
      <c r="D33" s="12" t="inlineStr">
        <is>
          <t>TNG collection TNG收款</t>
        </is>
      </c>
      <c r="E33" s="13">
        <f>IF($B29="","",'Daily Sale entry '!K4)</f>
        <v/>
      </c>
      <c r="H33" s="10" t="inlineStr">
        <is>
          <t>Amount 金额  (Cash Sales - Misc - Other)</t>
        </is>
      </c>
      <c r="I33" s="11">
        <f>IF($B29="","",ROUND(I30-I31-I32,2))</f>
        <v/>
      </c>
      <c r="K33" s="12" t="inlineStr">
        <is>
          <t>TNG collection TNG收款</t>
        </is>
      </c>
      <c r="L33" s="13">
        <f>IF($B29="","",E33)</f>
        <v/>
      </c>
    </row>
    <row r="34">
      <c r="A34" t="inlineStr">
        <is>
          <t>Credit Collection 赊账收款</t>
        </is>
      </c>
      <c r="B34" s="6">
        <f>IF($B29="","",'Daily Sale entry '!E4)</f>
        <v/>
      </c>
      <c r="D34" t="inlineStr">
        <is>
          <t>Advance Salary_M 预支薪水_M</t>
        </is>
      </c>
      <c r="E34" s="6">
        <f>IF($B29="","",'Daily Sale entry '!L4)</f>
        <v/>
      </c>
      <c r="H34" t="inlineStr">
        <is>
          <t>Credit Collection 赊账收款</t>
        </is>
      </c>
      <c r="I34" s="6">
        <f>IF($B29="","",B34)</f>
        <v/>
      </c>
      <c r="K34" t="inlineStr">
        <is>
          <t>Advance Salary_M 预支薪水_M</t>
        </is>
      </c>
      <c r="L34" s="6">
        <f>IF($B29="","",E34)</f>
        <v/>
      </c>
    </row>
    <row r="35">
      <c r="A35" s="10" t="inlineStr">
        <is>
          <t>Amount 2 金额2  (Amount + Credit Collection)</t>
        </is>
      </c>
      <c r="B35" s="11">
        <f>IF($B29="","",ROUND(B33+B34,2))</f>
        <v/>
      </c>
      <c r="D35" t="inlineStr">
        <is>
          <t>Advance Salary_H 预支薪水_H</t>
        </is>
      </c>
      <c r="E35" s="6">
        <f>IF($B29="","",'Daily Sale entry '!M4)</f>
        <v/>
      </c>
      <c r="H35" s="10" t="inlineStr">
        <is>
          <t>Amount 2 金额2  (Amount + Credit Collection)</t>
        </is>
      </c>
      <c r="I35" s="11">
        <f>IF($B29="","",ROUND(I33+I34,2))</f>
        <v/>
      </c>
      <c r="K35" t="inlineStr">
        <is>
          <t>Advance Salary_H 预支薪水_H</t>
        </is>
      </c>
      <c r="L35" s="6">
        <f>IF($B29="","",E35)</f>
        <v/>
      </c>
    </row>
    <row r="36"/>
    <row r="37">
      <c r="A37" s="1" t="inlineStr">
        <is>
          <t>b/f petty cash 上日备用金结转</t>
        </is>
      </c>
      <c r="B37" s="9">
        <f>IF($B29="","",'Daily Sale entry '!F4)</f>
        <v/>
      </c>
      <c r="D37" s="1" t="n"/>
      <c r="E37" s="1" t="n"/>
      <c r="H37" s="1" t="inlineStr">
        <is>
          <t>b/f petty cash 上日备用金结转</t>
        </is>
      </c>
      <c r="I37" s="9">
        <f>IF($B29="","",B37)</f>
        <v/>
      </c>
      <c r="K37" s="1" t="n"/>
      <c r="L37" s="1" t="n"/>
    </row>
    <row r="38">
      <c r="A38" t="inlineStr">
        <is>
          <t>Total (A) 总计 (A)</t>
        </is>
      </c>
      <c r="B38" s="6">
        <f>IF($B29="","",ROUND(B35+B37,2))</f>
        <v/>
      </c>
      <c r="D38" t="inlineStr">
        <is>
          <t>Total(B) 总计 (B)</t>
        </is>
      </c>
      <c r="E38" s="6">
        <f>IF($B29="","",ROUND(E30+E31+E32+E33+E34+E35,2))</f>
        <v/>
      </c>
      <c r="H38" t="inlineStr">
        <is>
          <t>Total© 总计 (C)</t>
        </is>
      </c>
      <c r="I38" s="6">
        <f>IF($B29="","",ROUND(I35+I37,2))</f>
        <v/>
      </c>
      <c r="K38" t="inlineStr">
        <is>
          <t>Total(D) 总计 (D)</t>
        </is>
      </c>
      <c r="L38" s="6">
        <f>IF($B29="","",ROUND(L30+L31+L32+L33+L34+L35,2))</f>
        <v/>
      </c>
    </row>
    <row r="39">
      <c r="A39" s="14" t="inlineStr">
        <is>
          <t>Total = Amount 2 + b/f petty cash  (金额2 + 上日备用金)</t>
        </is>
      </c>
      <c r="H39" s="14" t="inlineStr">
        <is>
          <t>Total = Amount 2 + b/f petty cash  (金额2 + 上日备用金)</t>
        </is>
      </c>
    </row>
    <row r="40">
      <c r="A40" t="inlineStr">
        <is>
          <t>Different 差额</t>
        </is>
      </c>
      <c r="B40" s="6">
        <f>IF($B29="","",ROUND(B38-E38,2))</f>
        <v/>
      </c>
      <c r="D40">
        <f>IF($B29="","",IF(ABS(B40)&gt;'Opening Balance'!$B$16,"ALERT 警报: Different over RM"&amp;'Opening Balance'!$B$16&amp;" 差额超过RM"&amp;'Opening Balance'!$B$16&amp;" - please check 请检查",IF(B40=0,"Tied 平衡",IF(ABS(B40)&lt;='Opening Balance'!$B$13,"Small difference 小额差额: adjusted on c/f petty cash 已调整备用金",IF(B40&gt;0,"Short 短收: added to Misc Charges 已加入杂项费用","Over 多收: added to Cash Sales 已加入现金销售")))))</f>
        <v/>
      </c>
      <c r="H40" t="inlineStr">
        <is>
          <t>Different 差额</t>
        </is>
      </c>
      <c r="I40" s="6">
        <f>IF($B29="","",ROUND(I38-L38,2))</f>
        <v/>
      </c>
    </row>
    <row r="41"/>
    <row r="42"/>
    <row r="43">
      <c r="A43" t="inlineStr">
        <is>
          <t>Date 日期</t>
        </is>
      </c>
      <c r="B43" s="5">
        <f>IF('Daily Sale entry '!$A5="","",'Daily Sale entry '!$A5)</f>
        <v/>
      </c>
      <c r="H43" t="inlineStr">
        <is>
          <t>After 调整后 (After)</t>
        </is>
      </c>
      <c r="I43" s="5">
        <f>IF($B43="","",B43)</f>
        <v/>
      </c>
    </row>
    <row r="44">
      <c r="A44" t="inlineStr">
        <is>
          <t>Cash Sales 现金销售</t>
        </is>
      </c>
      <c r="B44" s="6">
        <f>IF($B43="","",'Daily Sale entry '!B5)</f>
        <v/>
      </c>
      <c r="D44" t="inlineStr">
        <is>
          <t>c/f petty cash 今日备用金结转</t>
        </is>
      </c>
      <c r="E44" s="6">
        <f>IF($B43="","",'Daily Sale entry '!G5)</f>
        <v/>
      </c>
      <c r="H44" t="inlineStr">
        <is>
          <t>Cash Sales 现金销售</t>
        </is>
      </c>
      <c r="I44" s="6">
        <f>IF($B43="","",IF(AND(ABS(B54)&gt;'Opening Balance'!$B$13,B54&lt;0),ROUND(B44-B54,2),B44))</f>
        <v/>
      </c>
      <c r="K44" t="inlineStr">
        <is>
          <t>c/f petty cash 今日备用金结转</t>
        </is>
      </c>
      <c r="L44" s="6">
        <f>IF($B43="","",IF(ABS(B54)&lt;='Opening Balance'!$B$13,ROUND(E44+B54,2),E44))</f>
        <v/>
      </c>
    </row>
    <row r="45">
      <c r="A45" t="inlineStr">
        <is>
          <t>Misc Charges 杂项费用</t>
        </is>
      </c>
      <c r="B45" s="6">
        <f>IF($B43="","",'Daily Sale entry '!C5)</f>
        <v/>
      </c>
      <c r="D45" t="inlineStr">
        <is>
          <t>cash collection 现金收款</t>
        </is>
      </c>
      <c r="E45" s="6">
        <f>IF($B43="","",'Daily Sale entry '!H5)</f>
        <v/>
      </c>
      <c r="H45" t="inlineStr">
        <is>
          <t>Misc Charges 杂项费用</t>
        </is>
      </c>
      <c r="I45" s="6">
        <f>IF($B43="","",IF(AND(ABS(B54)&gt;'Opening Balance'!$B$13,B54&gt;0),ROUND(B45+B54,2),B45))</f>
        <v/>
      </c>
      <c r="K45" t="inlineStr">
        <is>
          <t>cash collection 现金收款</t>
        </is>
      </c>
      <c r="L45" s="6">
        <f>IF($B43="","",E45)</f>
        <v/>
      </c>
    </row>
    <row r="46">
      <c r="A46" s="1" t="inlineStr">
        <is>
          <t>Other Charges 其他费用</t>
        </is>
      </c>
      <c r="B46" s="9">
        <f>IF($B43="","",'Daily Sale entry '!D5)</f>
        <v/>
      </c>
      <c r="D46" s="1" t="inlineStr">
        <is>
          <t>Cheque Collection 支票收款</t>
        </is>
      </c>
      <c r="E46" s="9">
        <f>IF($B43="","",'Daily Sale entry '!J5)</f>
        <v/>
      </c>
      <c r="H46" s="1" t="inlineStr">
        <is>
          <t>Other Charges 其他费用</t>
        </is>
      </c>
      <c r="I46" s="9">
        <f>IF($B43="","",B46)</f>
        <v/>
      </c>
      <c r="K46" s="1" t="inlineStr">
        <is>
          <t>Cheque Collection 支票收款</t>
        </is>
      </c>
      <c r="L46" s="9">
        <f>IF($B43="","",E46)</f>
        <v/>
      </c>
    </row>
    <row r="47">
      <c r="A47" s="10" t="inlineStr">
        <is>
          <t>Amount 金额  (Cash Sales - Misc - Other)</t>
        </is>
      </c>
      <c r="B47" s="11">
        <f>IF($B43="","",ROUND(B44-B45-B46,2))</f>
        <v/>
      </c>
      <c r="D47" s="12" t="inlineStr">
        <is>
          <t>TNG collection TNG收款</t>
        </is>
      </c>
      <c r="E47" s="13">
        <f>IF($B43="","",'Daily Sale entry '!K5)</f>
        <v/>
      </c>
      <c r="H47" s="10" t="inlineStr">
        <is>
          <t>Amount 金额  (Cash Sales - Misc - Other)</t>
        </is>
      </c>
      <c r="I47" s="11">
        <f>IF($B43="","",ROUND(I44-I45-I46,2))</f>
        <v/>
      </c>
      <c r="K47" s="12" t="inlineStr">
        <is>
          <t>TNG collection TNG收款</t>
        </is>
      </c>
      <c r="L47" s="13">
        <f>IF($B43="","",E47)</f>
        <v/>
      </c>
    </row>
    <row r="48">
      <c r="A48" t="inlineStr">
        <is>
          <t>Credit Collection 赊账收款</t>
        </is>
      </c>
      <c r="B48" s="6">
        <f>IF($B43="","",'Daily Sale entry '!E5)</f>
        <v/>
      </c>
      <c r="D48" t="inlineStr">
        <is>
          <t>Advance Salary_M 预支薪水_M</t>
        </is>
      </c>
      <c r="E48" s="6">
        <f>IF($B43="","",'Daily Sale entry '!L5)</f>
        <v/>
      </c>
      <c r="H48" t="inlineStr">
        <is>
          <t>Credit Collection 赊账收款</t>
        </is>
      </c>
      <c r="I48" s="6">
        <f>IF($B43="","",B48)</f>
        <v/>
      </c>
      <c r="K48" t="inlineStr">
        <is>
          <t>Advance Salary_M 预支薪水_M</t>
        </is>
      </c>
      <c r="L48" s="6">
        <f>IF($B43="","",E48)</f>
        <v/>
      </c>
    </row>
    <row r="49">
      <c r="A49" s="10" t="inlineStr">
        <is>
          <t>Amount 2 金额2  (Amount + Credit Collection)</t>
        </is>
      </c>
      <c r="B49" s="11">
        <f>IF($B43="","",ROUND(B47+B48,2))</f>
        <v/>
      </c>
      <c r="D49" t="inlineStr">
        <is>
          <t>Advance Salary_H 预支薪水_H</t>
        </is>
      </c>
      <c r="E49" s="6">
        <f>IF($B43="","",'Daily Sale entry '!M5)</f>
        <v/>
      </c>
      <c r="H49" s="10" t="inlineStr">
        <is>
          <t>Amount 2 金额2  (Amount + Credit Collection)</t>
        </is>
      </c>
      <c r="I49" s="11">
        <f>IF($B43="","",ROUND(I47+I48,2))</f>
        <v/>
      </c>
      <c r="K49" t="inlineStr">
        <is>
          <t>Advance Salary_H 预支薪水_H</t>
        </is>
      </c>
      <c r="L49" s="6">
        <f>IF($B43="","",E49)</f>
        <v/>
      </c>
    </row>
    <row r="50"/>
    <row r="51">
      <c r="A51" s="1" t="inlineStr">
        <is>
          <t>b/f petty cash 上日备用金结转</t>
        </is>
      </c>
      <c r="B51" s="9">
        <f>IF($B43="","",'Daily Sale entry '!F5)</f>
        <v/>
      </c>
      <c r="D51" s="1" t="n"/>
      <c r="E51" s="1" t="n"/>
      <c r="H51" s="1" t="inlineStr">
        <is>
          <t>b/f petty cash 上日备用金结转</t>
        </is>
      </c>
      <c r="I51" s="9">
        <f>IF($B43="","",B51)</f>
        <v/>
      </c>
      <c r="K51" s="1" t="n"/>
      <c r="L51" s="1" t="n"/>
    </row>
    <row r="52">
      <c r="A52" t="inlineStr">
        <is>
          <t>Total (A) 总计 (A)</t>
        </is>
      </c>
      <c r="B52" s="6">
        <f>IF($B43="","",ROUND(B49+B51,2))</f>
        <v/>
      </c>
      <c r="D52" t="inlineStr">
        <is>
          <t>Total(B) 总计 (B)</t>
        </is>
      </c>
      <c r="E52" s="6">
        <f>IF($B43="","",ROUND(E44+E45+E46+E47+E48+E49,2))</f>
        <v/>
      </c>
      <c r="H52" t="inlineStr">
        <is>
          <t>Total© 总计 (C)</t>
        </is>
      </c>
      <c r="I52" s="6">
        <f>IF($B43="","",ROUND(I49+I51,2))</f>
        <v/>
      </c>
      <c r="K52" t="inlineStr">
        <is>
          <t>Total(D) 总计 (D)</t>
        </is>
      </c>
      <c r="L52" s="6">
        <f>IF($B43="","",ROUND(L44+L45+L46+L47+L48+L49,2))</f>
        <v/>
      </c>
    </row>
    <row r="53">
      <c r="A53" s="14" t="inlineStr">
        <is>
          <t>Total = Amount 2 + b/f petty cash  (金额2 + 上日备用金)</t>
        </is>
      </c>
      <c r="H53" s="14" t="inlineStr">
        <is>
          <t>Total = Amount 2 + b/f petty cash  (金额2 + 上日备用金)</t>
        </is>
      </c>
    </row>
    <row r="54">
      <c r="A54" t="inlineStr">
        <is>
          <t>Different 差额</t>
        </is>
      </c>
      <c r="B54" s="6">
        <f>IF($B43="","",ROUND(B52-E52,2))</f>
        <v/>
      </c>
      <c r="D54">
        <f>IF($B43="","",IF(ABS(B54)&gt;'Opening Balance'!$B$16,"ALERT 警报: Different over RM"&amp;'Opening Balance'!$B$16&amp;" 差额超过RM"&amp;'Opening Balance'!$B$16&amp;" - please check 请检查",IF(B54=0,"Tied 平衡",IF(ABS(B54)&lt;='Opening Balance'!$B$13,"Small difference 小额差额: adjusted on c/f petty cash 已调整备用金",IF(B54&gt;0,"Short 短收: added to Misc Charges 已加入杂项费用","Over 多收: added to Cash Sales 已加入现金销售")))))</f>
        <v/>
      </c>
      <c r="H54" t="inlineStr">
        <is>
          <t>Different 差额</t>
        </is>
      </c>
      <c r="I54" s="6">
        <f>IF($B43="","",ROUND(I52-L52,2))</f>
        <v/>
      </c>
    </row>
    <row r="55"/>
    <row r="56"/>
    <row r="57">
      <c r="A57" t="inlineStr">
        <is>
          <t>Date 日期</t>
        </is>
      </c>
      <c r="B57" s="5">
        <f>IF('Daily Sale entry '!$A6="","",'Daily Sale entry '!$A6)</f>
        <v/>
      </c>
      <c r="H57" t="inlineStr">
        <is>
          <t>After 调整后 (After)</t>
        </is>
      </c>
      <c r="I57" s="5">
        <f>IF($B57="","",B57)</f>
        <v/>
      </c>
    </row>
    <row r="58">
      <c r="A58" t="inlineStr">
        <is>
          <t>Cash Sales 现金销售</t>
        </is>
      </c>
      <c r="B58" s="6">
        <f>IF($B57="","",'Daily Sale entry '!B6)</f>
        <v/>
      </c>
      <c r="D58" t="inlineStr">
        <is>
          <t>c/f petty cash 今日备用金结转</t>
        </is>
      </c>
      <c r="E58" s="6">
        <f>IF($B57="","",'Daily Sale entry '!G6)</f>
        <v/>
      </c>
      <c r="H58" t="inlineStr">
        <is>
          <t>Cash Sales 现金销售</t>
        </is>
      </c>
      <c r="I58" s="6">
        <f>IF($B57="","",IF(AND(ABS(B68)&gt;'Opening Balance'!$B$13,B68&lt;0),ROUND(B58-B68,2),B58))</f>
        <v/>
      </c>
      <c r="K58" t="inlineStr">
        <is>
          <t>c/f petty cash 今日备用金结转</t>
        </is>
      </c>
      <c r="L58" s="6">
        <f>IF($B57="","",IF(ABS(B68)&lt;='Opening Balance'!$B$13,ROUND(E58+B68,2),E58))</f>
        <v/>
      </c>
    </row>
    <row r="59">
      <c r="A59" t="inlineStr">
        <is>
          <t>Misc Charges 杂项费用</t>
        </is>
      </c>
      <c r="B59" s="6">
        <f>IF($B57="","",'Daily Sale entry '!C6)</f>
        <v/>
      </c>
      <c r="D59" t="inlineStr">
        <is>
          <t>cash collection 现金收款</t>
        </is>
      </c>
      <c r="E59" s="6">
        <f>IF($B57="","",'Daily Sale entry '!H6)</f>
        <v/>
      </c>
      <c r="H59" t="inlineStr">
        <is>
          <t>Misc Charges 杂项费用</t>
        </is>
      </c>
      <c r="I59" s="6">
        <f>IF($B57="","",IF(AND(ABS(B68)&gt;'Opening Balance'!$B$13,B68&gt;0),ROUND(B59+B68,2),B59))</f>
        <v/>
      </c>
      <c r="K59" t="inlineStr">
        <is>
          <t>cash collection 现金收款</t>
        </is>
      </c>
      <c r="L59" s="6">
        <f>IF($B57="","",E59)</f>
        <v/>
      </c>
    </row>
    <row r="60">
      <c r="A60" s="1" t="inlineStr">
        <is>
          <t>Other Charges 其他费用</t>
        </is>
      </c>
      <c r="B60" s="9">
        <f>IF($B57="","",'Daily Sale entry '!D6)</f>
        <v/>
      </c>
      <c r="D60" s="1" t="inlineStr">
        <is>
          <t>Cheque Collection 支票收款</t>
        </is>
      </c>
      <c r="E60" s="9">
        <f>IF($B57="","",'Daily Sale entry '!J6)</f>
        <v/>
      </c>
      <c r="H60" s="1" t="inlineStr">
        <is>
          <t>Other Charges 其他费用</t>
        </is>
      </c>
      <c r="I60" s="9">
        <f>IF($B57="","",B60)</f>
        <v/>
      </c>
      <c r="K60" s="1" t="inlineStr">
        <is>
          <t>Cheque Collection 支票收款</t>
        </is>
      </c>
      <c r="L60" s="9">
        <f>IF($B57="","",E60)</f>
        <v/>
      </c>
    </row>
    <row r="61">
      <c r="A61" s="10" t="inlineStr">
        <is>
          <t>Amount 金额  (Cash Sales - Misc - Other)</t>
        </is>
      </c>
      <c r="B61" s="11">
        <f>IF($B57="","",ROUND(B58-B59-B60,2))</f>
        <v/>
      </c>
      <c r="D61" s="12" t="inlineStr">
        <is>
          <t>TNG collection TNG收款</t>
        </is>
      </c>
      <c r="E61" s="13">
        <f>IF($B57="","",'Daily Sale entry '!K6)</f>
        <v/>
      </c>
      <c r="H61" s="10" t="inlineStr">
        <is>
          <t>Amount 金额  (Cash Sales - Misc - Other)</t>
        </is>
      </c>
      <c r="I61" s="11">
        <f>IF($B57="","",ROUND(I58-I59-I60,2))</f>
        <v/>
      </c>
      <c r="K61" s="12" t="inlineStr">
        <is>
          <t>TNG collection TNG收款</t>
        </is>
      </c>
      <c r="L61" s="13">
        <f>IF($B57="","",E61)</f>
        <v/>
      </c>
    </row>
    <row r="62">
      <c r="A62" t="inlineStr">
        <is>
          <t>Credit Collection 赊账收款</t>
        </is>
      </c>
      <c r="B62" s="6">
        <f>IF($B57="","",'Daily Sale entry '!E6)</f>
        <v/>
      </c>
      <c r="D62" t="inlineStr">
        <is>
          <t>Advance Salary_M 预支薪水_M</t>
        </is>
      </c>
      <c r="E62" s="6">
        <f>IF($B57="","",'Daily Sale entry '!L6)</f>
        <v/>
      </c>
      <c r="H62" t="inlineStr">
        <is>
          <t>Credit Collection 赊账收款</t>
        </is>
      </c>
      <c r="I62" s="6">
        <f>IF($B57="","",B62)</f>
        <v/>
      </c>
      <c r="K62" t="inlineStr">
        <is>
          <t>Advance Salary_M 预支薪水_M</t>
        </is>
      </c>
      <c r="L62" s="6">
        <f>IF($B57="","",E62)</f>
        <v/>
      </c>
    </row>
    <row r="63">
      <c r="A63" s="10" t="inlineStr">
        <is>
          <t>Amount 2 金额2  (Amount + Credit Collection)</t>
        </is>
      </c>
      <c r="B63" s="11">
        <f>IF($B57="","",ROUND(B61+B62,2))</f>
        <v/>
      </c>
      <c r="D63" t="inlineStr">
        <is>
          <t>Advance Salary_H 预支薪水_H</t>
        </is>
      </c>
      <c r="E63" s="6">
        <f>IF($B57="","",'Daily Sale entry '!M6)</f>
        <v/>
      </c>
      <c r="H63" s="10" t="inlineStr">
        <is>
          <t>Amount 2 金额2  (Amount + Credit Collection)</t>
        </is>
      </c>
      <c r="I63" s="11">
        <f>IF($B57="","",ROUND(I61+I62,2))</f>
        <v/>
      </c>
      <c r="K63" t="inlineStr">
        <is>
          <t>Advance Salary_H 预支薪水_H</t>
        </is>
      </c>
      <c r="L63" s="6">
        <f>IF($B57="","",E63)</f>
        <v/>
      </c>
    </row>
    <row r="64"/>
    <row r="65">
      <c r="A65" s="1" t="inlineStr">
        <is>
          <t>b/f petty cash 上日备用金结转</t>
        </is>
      </c>
      <c r="B65" s="9">
        <f>IF($B57="","",'Daily Sale entry '!F6)</f>
        <v/>
      </c>
      <c r="D65" s="1" t="n"/>
      <c r="E65" s="1" t="n"/>
      <c r="H65" s="1" t="inlineStr">
        <is>
          <t>b/f petty cash 上日备用金结转</t>
        </is>
      </c>
      <c r="I65" s="9">
        <f>IF($B57="","",B65)</f>
        <v/>
      </c>
      <c r="K65" s="1" t="n"/>
      <c r="L65" s="1" t="n"/>
    </row>
    <row r="66">
      <c r="A66" t="inlineStr">
        <is>
          <t>Total (A) 总计 (A)</t>
        </is>
      </c>
      <c r="B66" s="6">
        <f>IF($B57="","",ROUND(B63+B65,2))</f>
        <v/>
      </c>
      <c r="D66" t="inlineStr">
        <is>
          <t>Total(B) 总计 (B)</t>
        </is>
      </c>
      <c r="E66" s="6">
        <f>IF($B57="","",ROUND(E58+E59+E60+E61+E62+E63,2))</f>
        <v/>
      </c>
      <c r="H66" t="inlineStr">
        <is>
          <t>Total© 总计 (C)</t>
        </is>
      </c>
      <c r="I66" s="6">
        <f>IF($B57="","",ROUND(I63+I65,2))</f>
        <v/>
      </c>
      <c r="K66" t="inlineStr">
        <is>
          <t>Total(D) 总计 (D)</t>
        </is>
      </c>
      <c r="L66" s="6">
        <f>IF($B57="","",ROUND(L58+L59+L60+L61+L62+L63,2))</f>
        <v/>
      </c>
    </row>
    <row r="67">
      <c r="A67" s="14" t="inlineStr">
        <is>
          <t>Total = Amount 2 + b/f petty cash  (金额2 + 上日备用金)</t>
        </is>
      </c>
      <c r="H67" s="14" t="inlineStr">
        <is>
          <t>Total = Amount 2 + b/f petty cash  (金额2 + 上日备用金)</t>
        </is>
      </c>
    </row>
    <row r="68">
      <c r="A68" t="inlineStr">
        <is>
          <t>Different 差额</t>
        </is>
      </c>
      <c r="B68" s="6">
        <f>IF($B57="","",ROUND(B66-E66,2))</f>
        <v/>
      </c>
      <c r="D68">
        <f>IF($B57="","",IF(ABS(B68)&gt;'Opening Balance'!$B$16,"ALERT 警报: Different over RM"&amp;'Opening Balance'!$B$16&amp;" 差额超过RM"&amp;'Opening Balance'!$B$16&amp;" - please check 请检查",IF(B68=0,"Tied 平衡",IF(ABS(B68)&lt;='Opening Balance'!$B$13,"Small difference 小额差额: adjusted on c/f petty cash 已调整备用金",IF(B68&gt;0,"Short 短收: added to Misc Charges 已加入杂项费用","Over 多收: added to Cash Sales 已加入现金销售")))))</f>
        <v/>
      </c>
      <c r="H68" t="inlineStr">
        <is>
          <t>Different 差额</t>
        </is>
      </c>
      <c r="I68" s="6">
        <f>IF($B57="","",ROUND(I66-L66,2))</f>
        <v/>
      </c>
    </row>
    <row r="69"/>
    <row r="70"/>
    <row r="71">
      <c r="A71" t="inlineStr">
        <is>
          <t>Date 日期</t>
        </is>
      </c>
      <c r="B71" s="5">
        <f>IF('Daily Sale entry '!$A7="","",'Daily Sale entry '!$A7)</f>
        <v/>
      </c>
      <c r="H71" t="inlineStr">
        <is>
          <t>After 调整后 (After)</t>
        </is>
      </c>
      <c r="I71" s="5">
        <f>IF($B71="","",B71)</f>
        <v/>
      </c>
    </row>
    <row r="72">
      <c r="A72" t="inlineStr">
        <is>
          <t>Cash Sales 现金销售</t>
        </is>
      </c>
      <c r="B72" s="6">
        <f>IF($B71="","",'Daily Sale entry '!B7)</f>
        <v/>
      </c>
      <c r="D72" t="inlineStr">
        <is>
          <t>c/f petty cash 今日备用金结转</t>
        </is>
      </c>
      <c r="E72" s="6">
        <f>IF($B71="","",'Daily Sale entry '!G7)</f>
        <v/>
      </c>
      <c r="H72" t="inlineStr">
        <is>
          <t>Cash Sales 现金销售</t>
        </is>
      </c>
      <c r="I72" s="6">
        <f>IF($B71="","",IF(AND(ABS(B82)&gt;'Opening Balance'!$B$13,B82&lt;0),ROUND(B72-B82,2),B72))</f>
        <v/>
      </c>
      <c r="K72" t="inlineStr">
        <is>
          <t>c/f petty cash 今日备用金结转</t>
        </is>
      </c>
      <c r="L72" s="6">
        <f>IF($B71="","",IF(ABS(B82)&lt;='Opening Balance'!$B$13,ROUND(E72+B82,2),E72))</f>
        <v/>
      </c>
    </row>
    <row r="73">
      <c r="A73" t="inlineStr">
        <is>
          <t>Misc Charges 杂项费用</t>
        </is>
      </c>
      <c r="B73" s="6">
        <f>IF($B71="","",'Daily Sale entry '!C7)</f>
        <v/>
      </c>
      <c r="D73" t="inlineStr">
        <is>
          <t>cash collection 现金收款</t>
        </is>
      </c>
      <c r="E73" s="6">
        <f>IF($B71="","",'Daily Sale entry '!H7)</f>
        <v/>
      </c>
      <c r="H73" t="inlineStr">
        <is>
          <t>Misc Charges 杂项费用</t>
        </is>
      </c>
      <c r="I73" s="6">
        <f>IF($B71="","",IF(AND(ABS(B82)&gt;'Opening Balance'!$B$13,B82&gt;0),ROUND(B73+B82,2),B73))</f>
        <v/>
      </c>
      <c r="K73" t="inlineStr">
        <is>
          <t>cash collection 现金收款</t>
        </is>
      </c>
      <c r="L73" s="6">
        <f>IF($B71="","",E73)</f>
        <v/>
      </c>
    </row>
    <row r="74">
      <c r="A74" s="1" t="inlineStr">
        <is>
          <t>Other Charges 其他费用</t>
        </is>
      </c>
      <c r="B74" s="9">
        <f>IF($B71="","",'Daily Sale entry '!D7)</f>
        <v/>
      </c>
      <c r="D74" s="1" t="inlineStr">
        <is>
          <t>Cheque Collection 支票收款</t>
        </is>
      </c>
      <c r="E74" s="9">
        <f>IF($B71="","",'Daily Sale entry '!J7)</f>
        <v/>
      </c>
      <c r="H74" s="1" t="inlineStr">
        <is>
          <t>Other Charges 其他费用</t>
        </is>
      </c>
      <c r="I74" s="9">
        <f>IF($B71="","",B74)</f>
        <v/>
      </c>
      <c r="K74" s="1" t="inlineStr">
        <is>
          <t>Cheque Collection 支票收款</t>
        </is>
      </c>
      <c r="L74" s="9">
        <f>IF($B71="","",E74)</f>
        <v/>
      </c>
    </row>
    <row r="75">
      <c r="A75" s="10" t="inlineStr">
        <is>
          <t>Amount 金额  (Cash Sales - Misc - Other)</t>
        </is>
      </c>
      <c r="B75" s="11">
        <f>IF($B71="","",ROUND(B72-B73-B74,2))</f>
        <v/>
      </c>
      <c r="D75" s="12" t="inlineStr">
        <is>
          <t>TNG collection TNG收款</t>
        </is>
      </c>
      <c r="E75" s="13">
        <f>IF($B71="","",'Daily Sale entry '!K7)</f>
        <v/>
      </c>
      <c r="H75" s="10" t="inlineStr">
        <is>
          <t>Amount 金额  (Cash Sales - Misc - Other)</t>
        </is>
      </c>
      <c r="I75" s="11">
        <f>IF($B71="","",ROUND(I72-I73-I74,2))</f>
        <v/>
      </c>
      <c r="K75" s="12" t="inlineStr">
        <is>
          <t>TNG collection TNG收款</t>
        </is>
      </c>
      <c r="L75" s="13">
        <f>IF($B71="","",E75)</f>
        <v/>
      </c>
    </row>
    <row r="76">
      <c r="A76" t="inlineStr">
        <is>
          <t>Credit Collection 赊账收款</t>
        </is>
      </c>
      <c r="B76" s="6">
        <f>IF($B71="","",'Daily Sale entry '!E7)</f>
        <v/>
      </c>
      <c r="D76" t="inlineStr">
        <is>
          <t>Advance Salary_M 预支薪水_M</t>
        </is>
      </c>
      <c r="E76" s="6">
        <f>IF($B71="","",'Daily Sale entry '!L7)</f>
        <v/>
      </c>
      <c r="H76" t="inlineStr">
        <is>
          <t>Credit Collection 赊账收款</t>
        </is>
      </c>
      <c r="I76" s="6">
        <f>IF($B71="","",B76)</f>
        <v/>
      </c>
      <c r="K76" t="inlineStr">
        <is>
          <t>Advance Salary_M 预支薪水_M</t>
        </is>
      </c>
      <c r="L76" s="6">
        <f>IF($B71="","",E76)</f>
        <v/>
      </c>
    </row>
    <row r="77">
      <c r="A77" s="10" t="inlineStr">
        <is>
          <t>Amount 2 金额2  (Amount + Credit Collection)</t>
        </is>
      </c>
      <c r="B77" s="11">
        <f>IF($B71="","",ROUND(B75+B76,2))</f>
        <v/>
      </c>
      <c r="D77" t="inlineStr">
        <is>
          <t>Advance Salary_H 预支薪水_H</t>
        </is>
      </c>
      <c r="E77" s="6">
        <f>IF($B71="","",'Daily Sale entry '!M7)</f>
        <v/>
      </c>
      <c r="H77" s="10" t="inlineStr">
        <is>
          <t>Amount 2 金额2  (Amount + Credit Collection)</t>
        </is>
      </c>
      <c r="I77" s="11">
        <f>IF($B71="","",ROUND(I75+I76,2))</f>
        <v/>
      </c>
      <c r="K77" t="inlineStr">
        <is>
          <t>Advance Salary_H 预支薪水_H</t>
        </is>
      </c>
      <c r="L77" s="6">
        <f>IF($B71="","",E77)</f>
        <v/>
      </c>
    </row>
    <row r="78"/>
    <row r="79">
      <c r="A79" s="1" t="inlineStr">
        <is>
          <t>b/f petty cash 上日备用金结转</t>
        </is>
      </c>
      <c r="B79" s="9">
        <f>IF($B71="","",'Daily Sale entry '!F7)</f>
        <v/>
      </c>
      <c r="D79" s="1" t="n"/>
      <c r="E79" s="1" t="n"/>
      <c r="H79" s="1" t="inlineStr">
        <is>
          <t>b/f petty cash 上日备用金结转</t>
        </is>
      </c>
      <c r="I79" s="9">
        <f>IF($B71="","",B79)</f>
        <v/>
      </c>
      <c r="K79" s="1" t="n"/>
      <c r="L79" s="1" t="n"/>
    </row>
    <row r="80">
      <c r="A80" t="inlineStr">
        <is>
          <t>Total (A) 总计 (A)</t>
        </is>
      </c>
      <c r="B80" s="6">
        <f>IF($B71="","",ROUND(B77+B79,2))</f>
        <v/>
      </c>
      <c r="D80" t="inlineStr">
        <is>
          <t>Total(B) 总计 (B)</t>
        </is>
      </c>
      <c r="E80" s="6">
        <f>IF($B71="","",ROUND(E72+E73+E74+E75+E76+E77,2))</f>
        <v/>
      </c>
      <c r="H80" t="inlineStr">
        <is>
          <t>Total© 总计 (C)</t>
        </is>
      </c>
      <c r="I80" s="6">
        <f>IF($B71="","",ROUND(I77+I79,2))</f>
        <v/>
      </c>
      <c r="K80" t="inlineStr">
        <is>
          <t>Total(D) 总计 (D)</t>
        </is>
      </c>
      <c r="L80" s="6">
        <f>IF($B71="","",ROUND(L72+L73+L74+L75+L76+L77,2))</f>
        <v/>
      </c>
    </row>
    <row r="81">
      <c r="A81" s="14" t="inlineStr">
        <is>
          <t>Total = Amount 2 + b/f petty cash  (金额2 + 上日备用金)</t>
        </is>
      </c>
      <c r="H81" s="14" t="inlineStr">
        <is>
          <t>Total = Amount 2 + b/f petty cash  (金额2 + 上日备用金)</t>
        </is>
      </c>
    </row>
    <row r="82">
      <c r="A82" t="inlineStr">
        <is>
          <t>Different 差额</t>
        </is>
      </c>
      <c r="B82" s="6">
        <f>IF($B71="","",ROUND(B80-E80,2))</f>
        <v/>
      </c>
      <c r="D82">
        <f>IF($B71="","",IF(ABS(B82)&gt;'Opening Balance'!$B$16,"ALERT 警报: Different over RM"&amp;'Opening Balance'!$B$16&amp;" 差额超过RM"&amp;'Opening Balance'!$B$16&amp;" - please check 请检查",IF(B82=0,"Tied 平衡",IF(ABS(B82)&lt;='Opening Balance'!$B$13,"Small difference 小额差额: adjusted on c/f petty cash 已调整备用金",IF(B82&gt;0,"Short 短收: added to Misc Charges 已加入杂项费用","Over 多收: added to Cash Sales 已加入现金销售")))))</f>
        <v/>
      </c>
      <c r="H82" t="inlineStr">
        <is>
          <t>Different 差额</t>
        </is>
      </c>
      <c r="I82" s="6">
        <f>IF($B71="","",ROUND(I80-L80,2))</f>
        <v/>
      </c>
    </row>
    <row r="83"/>
    <row r="84"/>
    <row r="85">
      <c r="A85" t="inlineStr">
        <is>
          <t>Date 日期</t>
        </is>
      </c>
      <c r="B85" s="5">
        <f>IF('Daily Sale entry '!$A8="","",'Daily Sale entry '!$A8)</f>
        <v/>
      </c>
      <c r="H85" t="inlineStr">
        <is>
          <t>After 调整后 (After)</t>
        </is>
      </c>
      <c r="I85" s="5">
        <f>IF($B85="","",B85)</f>
        <v/>
      </c>
    </row>
    <row r="86">
      <c r="A86" t="inlineStr">
        <is>
          <t>Cash Sales 现金销售</t>
        </is>
      </c>
      <c r="B86" s="6">
        <f>IF($B85="","",'Daily Sale entry '!B8)</f>
        <v/>
      </c>
      <c r="D86" t="inlineStr">
        <is>
          <t>c/f petty cash 今日备用金结转</t>
        </is>
      </c>
      <c r="E86" s="6">
        <f>IF($B85="","",'Daily Sale entry '!G8)</f>
        <v/>
      </c>
      <c r="H86" t="inlineStr">
        <is>
          <t>Cash Sales 现金销售</t>
        </is>
      </c>
      <c r="I86" s="6">
        <f>IF($B85="","",IF(AND(ABS(B96)&gt;'Opening Balance'!$B$13,B96&lt;0),ROUND(B86-B96,2),B86))</f>
        <v/>
      </c>
      <c r="K86" t="inlineStr">
        <is>
          <t>c/f petty cash 今日备用金结转</t>
        </is>
      </c>
      <c r="L86" s="6">
        <f>IF($B85="","",IF(ABS(B96)&lt;='Opening Balance'!$B$13,ROUND(E86+B96,2),E86))</f>
        <v/>
      </c>
    </row>
    <row r="87">
      <c r="A87" t="inlineStr">
        <is>
          <t>Misc Charges 杂项费用</t>
        </is>
      </c>
      <c r="B87" s="6">
        <f>IF($B85="","",'Daily Sale entry '!C8)</f>
        <v/>
      </c>
      <c r="D87" t="inlineStr">
        <is>
          <t>cash collection 现金收款</t>
        </is>
      </c>
      <c r="E87" s="6">
        <f>IF($B85="","",'Daily Sale entry '!H8)</f>
        <v/>
      </c>
      <c r="H87" t="inlineStr">
        <is>
          <t>Misc Charges 杂项费用</t>
        </is>
      </c>
      <c r="I87" s="6">
        <f>IF($B85="","",IF(AND(ABS(B96)&gt;'Opening Balance'!$B$13,B96&gt;0),ROUND(B87+B96,2),B87))</f>
        <v/>
      </c>
      <c r="K87" t="inlineStr">
        <is>
          <t>cash collection 现金收款</t>
        </is>
      </c>
      <c r="L87" s="6">
        <f>IF($B85="","",E87)</f>
        <v/>
      </c>
    </row>
    <row r="88">
      <c r="A88" s="1" t="inlineStr">
        <is>
          <t>Other Charges 其他费用</t>
        </is>
      </c>
      <c r="B88" s="9">
        <f>IF($B85="","",'Daily Sale entry '!D8)</f>
        <v/>
      </c>
      <c r="D88" s="1" t="inlineStr">
        <is>
          <t>Cheque Collection 支票收款</t>
        </is>
      </c>
      <c r="E88" s="9">
        <f>IF($B85="","",'Daily Sale entry '!J8)</f>
        <v/>
      </c>
      <c r="H88" s="1" t="inlineStr">
        <is>
          <t>Other Charges 其他费用</t>
        </is>
      </c>
      <c r="I88" s="9">
        <f>IF($B85="","",B88)</f>
        <v/>
      </c>
      <c r="K88" s="1" t="inlineStr">
        <is>
          <t>Cheque Collection 支票收款</t>
        </is>
      </c>
      <c r="L88" s="9">
        <f>IF($B85="","",E88)</f>
        <v/>
      </c>
    </row>
    <row r="89">
      <c r="A89" s="10" t="inlineStr">
        <is>
          <t>Amount 金额  (Cash Sales - Misc - Other)</t>
        </is>
      </c>
      <c r="B89" s="11">
        <f>IF($B85="","",ROUND(B86-B87-B88,2))</f>
        <v/>
      </c>
      <c r="D89" s="12" t="inlineStr">
        <is>
          <t>TNG collection TNG收款</t>
        </is>
      </c>
      <c r="E89" s="13">
        <f>IF($B85="","",'Daily Sale entry '!K8)</f>
        <v/>
      </c>
      <c r="H89" s="10" t="inlineStr">
        <is>
          <t>Amount 金额  (Cash Sales - Misc - Other)</t>
        </is>
      </c>
      <c r="I89" s="11">
        <f>IF($B85="","",ROUND(I86-I87-I88,2))</f>
        <v/>
      </c>
      <c r="K89" s="12" t="inlineStr">
        <is>
          <t>TNG collection TNG收款</t>
        </is>
      </c>
      <c r="L89" s="13">
        <f>IF($B85="","",E89)</f>
        <v/>
      </c>
    </row>
    <row r="90">
      <c r="A90" t="inlineStr">
        <is>
          <t>Credit Collection 赊账收款</t>
        </is>
      </c>
      <c r="B90" s="6">
        <f>IF($B85="","",'Daily Sale entry '!E8)</f>
        <v/>
      </c>
      <c r="D90" t="inlineStr">
        <is>
          <t>Advance Salary_M 预支薪水_M</t>
        </is>
      </c>
      <c r="E90" s="6">
        <f>IF($B85="","",'Daily Sale entry '!L8)</f>
        <v/>
      </c>
      <c r="H90" t="inlineStr">
        <is>
          <t>Credit Collection 赊账收款</t>
        </is>
      </c>
      <c r="I90" s="6">
        <f>IF($B85="","",B90)</f>
        <v/>
      </c>
      <c r="K90" t="inlineStr">
        <is>
          <t>Advance Salary_M 预支薪水_M</t>
        </is>
      </c>
      <c r="L90" s="6">
        <f>IF($B85="","",E90)</f>
        <v/>
      </c>
    </row>
    <row r="91">
      <c r="A91" s="10" t="inlineStr">
        <is>
          <t>Amount 2 金额2  (Amount + Credit Collection)</t>
        </is>
      </c>
      <c r="B91" s="11">
        <f>IF($B85="","",ROUND(B89+B90,2))</f>
        <v/>
      </c>
      <c r="D91" t="inlineStr">
        <is>
          <t>Advance Salary_H 预支薪水_H</t>
        </is>
      </c>
      <c r="E91" s="6">
        <f>IF($B85="","",'Daily Sale entry '!M8)</f>
        <v/>
      </c>
      <c r="H91" s="10" t="inlineStr">
        <is>
          <t>Amount 2 金额2  (Amount + Credit Collection)</t>
        </is>
      </c>
      <c r="I91" s="11">
        <f>IF($B85="","",ROUND(I89+I90,2))</f>
        <v/>
      </c>
      <c r="K91" t="inlineStr">
        <is>
          <t>Advance Salary_H 预支薪水_H</t>
        </is>
      </c>
      <c r="L91" s="6">
        <f>IF($B85="","",E91)</f>
        <v/>
      </c>
    </row>
    <row r="92"/>
    <row r="93">
      <c r="A93" s="1" t="inlineStr">
        <is>
          <t>b/f petty cash 上日备用金结转</t>
        </is>
      </c>
      <c r="B93" s="9">
        <f>IF($B85="","",'Daily Sale entry '!F8)</f>
        <v/>
      </c>
      <c r="D93" s="1" t="n"/>
      <c r="E93" s="1" t="n"/>
      <c r="H93" s="1" t="inlineStr">
        <is>
          <t>b/f petty cash 上日备用金结转</t>
        </is>
      </c>
      <c r="I93" s="9">
        <f>IF($B85="","",B93)</f>
        <v/>
      </c>
      <c r="K93" s="1" t="n"/>
      <c r="L93" s="1" t="n"/>
    </row>
    <row r="94">
      <c r="A94" t="inlineStr">
        <is>
          <t>Total (A) 总计 (A)</t>
        </is>
      </c>
      <c r="B94" s="6">
        <f>IF($B85="","",ROUND(B91+B93,2))</f>
        <v/>
      </c>
      <c r="D94" t="inlineStr">
        <is>
          <t>Total(B) 总计 (B)</t>
        </is>
      </c>
      <c r="E94" s="6">
        <f>IF($B85="","",ROUND(E86+E87+E88+E89+E90+E91,2))</f>
        <v/>
      </c>
      <c r="H94" t="inlineStr">
        <is>
          <t>Total© 总计 (C)</t>
        </is>
      </c>
      <c r="I94" s="6">
        <f>IF($B85="","",ROUND(I91+I93,2))</f>
        <v/>
      </c>
      <c r="K94" t="inlineStr">
        <is>
          <t>Total(D) 总计 (D)</t>
        </is>
      </c>
      <c r="L94" s="6">
        <f>IF($B85="","",ROUND(L86+L87+L88+L89+L90+L91,2))</f>
        <v/>
      </c>
    </row>
    <row r="95">
      <c r="A95" s="14" t="inlineStr">
        <is>
          <t>Total = Amount 2 + b/f petty cash  (金额2 + 上日备用金)</t>
        </is>
      </c>
      <c r="H95" s="14" t="inlineStr">
        <is>
          <t>Total = Amount 2 + b/f petty cash  (金额2 + 上日备用金)</t>
        </is>
      </c>
    </row>
    <row r="96">
      <c r="A96" t="inlineStr">
        <is>
          <t>Different 差额</t>
        </is>
      </c>
      <c r="B96" s="6">
        <f>IF($B85="","",ROUND(B94-E94,2))</f>
        <v/>
      </c>
      <c r="D96">
        <f>IF($B85="","",IF(ABS(B96)&gt;'Opening Balance'!$B$16,"ALERT 警报: Different over RM"&amp;'Opening Balance'!$B$16&amp;" 差额超过RM"&amp;'Opening Balance'!$B$16&amp;" - please check 请检查",IF(B96=0,"Tied 平衡",IF(ABS(B96)&lt;='Opening Balance'!$B$13,"Small difference 小额差额: adjusted on c/f petty cash 已调整备用金",IF(B96&gt;0,"Short 短收: added to Misc Charges 已加入杂项费用","Over 多收: added to Cash Sales 已加入现金销售")))))</f>
        <v/>
      </c>
      <c r="H96" t="inlineStr">
        <is>
          <t>Different 差额</t>
        </is>
      </c>
      <c r="I96" s="6">
        <f>IF($B85="","",ROUND(I94-L94,2))</f>
        <v/>
      </c>
    </row>
    <row r="97"/>
    <row r="98"/>
    <row r="99">
      <c r="A99" t="inlineStr">
        <is>
          <t>Date 日期</t>
        </is>
      </c>
      <c r="B99" s="5">
        <f>IF('Daily Sale entry '!$A9="","",'Daily Sale entry '!$A9)</f>
        <v/>
      </c>
      <c r="H99" t="inlineStr">
        <is>
          <t>After 调整后 (After)</t>
        </is>
      </c>
      <c r="I99" s="5">
        <f>IF($B99="","",B99)</f>
        <v/>
      </c>
    </row>
    <row r="100">
      <c r="A100" t="inlineStr">
        <is>
          <t>Cash Sales 现金销售</t>
        </is>
      </c>
      <c r="B100" s="6">
        <f>IF($B99="","",'Daily Sale entry '!B9)</f>
        <v/>
      </c>
      <c r="D100" t="inlineStr">
        <is>
          <t>c/f petty cash 今日备用金结转</t>
        </is>
      </c>
      <c r="E100" s="6">
        <f>IF($B99="","",'Daily Sale entry '!G9)</f>
        <v/>
      </c>
      <c r="H100" t="inlineStr">
        <is>
          <t>Cash Sales 现金销售</t>
        </is>
      </c>
      <c r="I100" s="6">
        <f>IF($B99="","",IF(AND(ABS(B110)&gt;'Opening Balance'!$B$13,B110&lt;0),ROUND(B100-B110,2),B100))</f>
        <v/>
      </c>
      <c r="K100" t="inlineStr">
        <is>
          <t>c/f petty cash 今日备用金结转</t>
        </is>
      </c>
      <c r="L100" s="6">
        <f>IF($B99="","",IF(ABS(B110)&lt;='Opening Balance'!$B$13,ROUND(E100+B110,2),E100))</f>
        <v/>
      </c>
    </row>
    <row r="101">
      <c r="A101" t="inlineStr">
        <is>
          <t>Misc Charges 杂项费用</t>
        </is>
      </c>
      <c r="B101" s="6">
        <f>IF($B99="","",'Daily Sale entry '!C9)</f>
        <v/>
      </c>
      <c r="D101" t="inlineStr">
        <is>
          <t>cash collection 现金收款</t>
        </is>
      </c>
      <c r="E101" s="6">
        <f>IF($B99="","",'Daily Sale entry '!H9)</f>
        <v/>
      </c>
      <c r="H101" t="inlineStr">
        <is>
          <t>Misc Charges 杂项费用</t>
        </is>
      </c>
      <c r="I101" s="6">
        <f>IF($B99="","",IF(AND(ABS(B110)&gt;'Opening Balance'!$B$13,B110&gt;0),ROUND(B101+B110,2),B101))</f>
        <v/>
      </c>
      <c r="K101" t="inlineStr">
        <is>
          <t>cash collection 现金收款</t>
        </is>
      </c>
      <c r="L101" s="6">
        <f>IF($B99="","",E101)</f>
        <v/>
      </c>
    </row>
    <row r="102">
      <c r="A102" s="1" t="inlineStr">
        <is>
          <t>Other Charges 其他费用</t>
        </is>
      </c>
      <c r="B102" s="9">
        <f>IF($B99="","",'Daily Sale entry '!D9)</f>
        <v/>
      </c>
      <c r="D102" s="1" t="inlineStr">
        <is>
          <t>Cheque Collection 支票收款</t>
        </is>
      </c>
      <c r="E102" s="9">
        <f>IF($B99="","",'Daily Sale entry '!J9)</f>
        <v/>
      </c>
      <c r="H102" s="1" t="inlineStr">
        <is>
          <t>Other Charges 其他费用</t>
        </is>
      </c>
      <c r="I102" s="9">
        <f>IF($B99="","",B102)</f>
        <v/>
      </c>
      <c r="K102" s="1" t="inlineStr">
        <is>
          <t>Cheque Collection 支票收款</t>
        </is>
      </c>
      <c r="L102" s="9">
        <f>IF($B99="","",E102)</f>
        <v/>
      </c>
    </row>
    <row r="103">
      <c r="A103" s="10" t="inlineStr">
        <is>
          <t>Amount 金额  (Cash Sales - Misc - Other)</t>
        </is>
      </c>
      <c r="B103" s="11">
        <f>IF($B99="","",ROUND(B100-B101-B102,2))</f>
        <v/>
      </c>
      <c r="D103" s="12" t="inlineStr">
        <is>
          <t>TNG collection TNG收款</t>
        </is>
      </c>
      <c r="E103" s="13">
        <f>IF($B99="","",'Daily Sale entry '!K9)</f>
        <v/>
      </c>
      <c r="H103" s="10" t="inlineStr">
        <is>
          <t>Amount 金额  (Cash Sales - Misc - Other)</t>
        </is>
      </c>
      <c r="I103" s="11">
        <f>IF($B99="","",ROUND(I100-I101-I102,2))</f>
        <v/>
      </c>
      <c r="K103" s="12" t="inlineStr">
        <is>
          <t>TNG collection TNG收款</t>
        </is>
      </c>
      <c r="L103" s="13">
        <f>IF($B99="","",E103)</f>
        <v/>
      </c>
    </row>
    <row r="104">
      <c r="A104" t="inlineStr">
        <is>
          <t>Credit Collection 赊账收款</t>
        </is>
      </c>
      <c r="B104" s="6">
        <f>IF($B99="","",'Daily Sale entry '!E9)</f>
        <v/>
      </c>
      <c r="D104" t="inlineStr">
        <is>
          <t>Advance Salary_M 预支薪水_M</t>
        </is>
      </c>
      <c r="E104" s="6">
        <f>IF($B99="","",'Daily Sale entry '!L9)</f>
        <v/>
      </c>
      <c r="H104" t="inlineStr">
        <is>
          <t>Credit Collection 赊账收款</t>
        </is>
      </c>
      <c r="I104" s="6">
        <f>IF($B99="","",B104)</f>
        <v/>
      </c>
      <c r="K104" t="inlineStr">
        <is>
          <t>Advance Salary_M 预支薪水_M</t>
        </is>
      </c>
      <c r="L104" s="6">
        <f>IF($B99="","",E104)</f>
        <v/>
      </c>
    </row>
    <row r="105">
      <c r="A105" s="10" t="inlineStr">
        <is>
          <t>Amount 2 金额2  (Amount + Credit Collection)</t>
        </is>
      </c>
      <c r="B105" s="11">
        <f>IF($B99="","",ROUND(B103+B104,2))</f>
        <v/>
      </c>
      <c r="D105" t="inlineStr">
        <is>
          <t>Advance Salary_H 预支薪水_H</t>
        </is>
      </c>
      <c r="E105" s="6">
        <f>IF($B99="","",'Daily Sale entry '!M9)</f>
        <v/>
      </c>
      <c r="H105" s="10" t="inlineStr">
        <is>
          <t>Amount 2 金额2  (Amount + Credit Collection)</t>
        </is>
      </c>
      <c r="I105" s="11">
        <f>IF($B99="","",ROUND(I103+I104,2))</f>
        <v/>
      </c>
      <c r="K105" t="inlineStr">
        <is>
          <t>Advance Salary_H 预支薪水_H</t>
        </is>
      </c>
      <c r="L105" s="6">
        <f>IF($B99="","",E105)</f>
        <v/>
      </c>
    </row>
    <row r="106"/>
    <row r="107">
      <c r="A107" s="1" t="inlineStr">
        <is>
          <t>b/f petty cash 上日备用金结转</t>
        </is>
      </c>
      <c r="B107" s="9">
        <f>IF($B99="","",'Daily Sale entry '!F9)</f>
        <v/>
      </c>
      <c r="D107" s="1" t="n"/>
      <c r="E107" s="1" t="n"/>
      <c r="H107" s="1" t="inlineStr">
        <is>
          <t>b/f petty cash 上日备用金结转</t>
        </is>
      </c>
      <c r="I107" s="9">
        <f>IF($B99="","",B107)</f>
        <v/>
      </c>
      <c r="K107" s="1" t="n"/>
      <c r="L107" s="1" t="n"/>
    </row>
    <row r="108">
      <c r="A108" t="inlineStr">
        <is>
          <t>Total (A) 总计 (A)</t>
        </is>
      </c>
      <c r="B108" s="6">
        <f>IF($B99="","",ROUND(B105+B107,2))</f>
        <v/>
      </c>
      <c r="D108" t="inlineStr">
        <is>
          <t>Total(B) 总计 (B)</t>
        </is>
      </c>
      <c r="E108" s="6">
        <f>IF($B99="","",ROUND(E100+E101+E102+E103+E104+E105,2))</f>
        <v/>
      </c>
      <c r="H108" t="inlineStr">
        <is>
          <t>Total© 总计 (C)</t>
        </is>
      </c>
      <c r="I108" s="6">
        <f>IF($B99="","",ROUND(I105+I107,2))</f>
        <v/>
      </c>
      <c r="K108" t="inlineStr">
        <is>
          <t>Total(D) 总计 (D)</t>
        </is>
      </c>
      <c r="L108" s="6">
        <f>IF($B99="","",ROUND(L100+L101+L102+L103+L104+L105,2))</f>
        <v/>
      </c>
    </row>
    <row r="109">
      <c r="A109" s="14" t="inlineStr">
        <is>
          <t>Total = Amount 2 + b/f petty cash  (金额2 + 上日备用金)</t>
        </is>
      </c>
      <c r="H109" s="14" t="inlineStr">
        <is>
          <t>Total = Amount 2 + b/f petty cash  (金额2 + 上日备用金)</t>
        </is>
      </c>
    </row>
    <row r="110">
      <c r="A110" t="inlineStr">
        <is>
          <t>Different 差额</t>
        </is>
      </c>
      <c r="B110" s="6">
        <f>IF($B99="","",ROUND(B108-E108,2))</f>
        <v/>
      </c>
      <c r="D110">
        <f>IF($B99="","",IF(ABS(B110)&gt;'Opening Balance'!$B$16,"ALERT 警报: Different over RM"&amp;'Opening Balance'!$B$16&amp;" 差额超过RM"&amp;'Opening Balance'!$B$16&amp;" - please check 请检查",IF(B110=0,"Tied 平衡",IF(ABS(B110)&lt;='Opening Balance'!$B$13,"Small difference 小额差额: adjusted on c/f petty cash 已调整备用金",IF(B110&gt;0,"Short 短收: added to Misc Charges 已加入杂项费用","Over 多收: added to Cash Sales 已加入现金销售")))))</f>
        <v/>
      </c>
      <c r="H110" t="inlineStr">
        <is>
          <t>Different 差额</t>
        </is>
      </c>
      <c r="I110" s="6">
        <f>IF($B99="","",ROUND(I108-L108,2))</f>
        <v/>
      </c>
    </row>
    <row r="111"/>
    <row r="112"/>
    <row r="113">
      <c r="A113" t="inlineStr">
        <is>
          <t>Date 日期</t>
        </is>
      </c>
      <c r="B113" s="5">
        <f>IF('Daily Sale entry '!$A10="","",'Daily Sale entry '!$A10)</f>
        <v/>
      </c>
      <c r="H113" t="inlineStr">
        <is>
          <t>After 调整后 (After)</t>
        </is>
      </c>
      <c r="I113" s="5">
        <f>IF($B113="","",B113)</f>
        <v/>
      </c>
    </row>
    <row r="114">
      <c r="A114" t="inlineStr">
        <is>
          <t>Cash Sales 现金销售</t>
        </is>
      </c>
      <c r="B114" s="6">
        <f>IF($B113="","",'Daily Sale entry '!B10)</f>
        <v/>
      </c>
      <c r="D114" t="inlineStr">
        <is>
          <t>c/f petty cash 今日备用金结转</t>
        </is>
      </c>
      <c r="E114" s="6">
        <f>IF($B113="","",'Daily Sale entry '!G10)</f>
        <v/>
      </c>
      <c r="H114" t="inlineStr">
        <is>
          <t>Cash Sales 现金销售</t>
        </is>
      </c>
      <c r="I114" s="6">
        <f>IF($B113="","",IF(AND(ABS(B124)&gt;'Opening Balance'!$B$13,B124&lt;0),ROUND(B114-B124,2),B114))</f>
        <v/>
      </c>
      <c r="K114" t="inlineStr">
        <is>
          <t>c/f petty cash 今日备用金结转</t>
        </is>
      </c>
      <c r="L114" s="6">
        <f>IF($B113="","",IF(ABS(B124)&lt;='Opening Balance'!$B$13,ROUND(E114+B124,2),E114))</f>
        <v/>
      </c>
    </row>
    <row r="115">
      <c r="A115" t="inlineStr">
        <is>
          <t>Misc Charges 杂项费用</t>
        </is>
      </c>
      <c r="B115" s="6">
        <f>IF($B113="","",'Daily Sale entry '!C10)</f>
        <v/>
      </c>
      <c r="D115" t="inlineStr">
        <is>
          <t>cash collection 现金收款</t>
        </is>
      </c>
      <c r="E115" s="6">
        <f>IF($B113="","",'Daily Sale entry '!H10)</f>
        <v/>
      </c>
      <c r="H115" t="inlineStr">
        <is>
          <t>Misc Charges 杂项费用</t>
        </is>
      </c>
      <c r="I115" s="6">
        <f>IF($B113="","",IF(AND(ABS(B124)&gt;'Opening Balance'!$B$13,B124&gt;0),ROUND(B115+B124,2),B115))</f>
        <v/>
      </c>
      <c r="K115" t="inlineStr">
        <is>
          <t>cash collection 现金收款</t>
        </is>
      </c>
      <c r="L115" s="6">
        <f>IF($B113="","",E115)</f>
        <v/>
      </c>
    </row>
    <row r="116">
      <c r="A116" s="1" t="inlineStr">
        <is>
          <t>Other Charges 其他费用</t>
        </is>
      </c>
      <c r="B116" s="9">
        <f>IF($B113="","",'Daily Sale entry '!D10)</f>
        <v/>
      </c>
      <c r="D116" s="1" t="inlineStr">
        <is>
          <t>Cheque Collection 支票收款</t>
        </is>
      </c>
      <c r="E116" s="9">
        <f>IF($B113="","",'Daily Sale entry '!J10)</f>
        <v/>
      </c>
      <c r="H116" s="1" t="inlineStr">
        <is>
          <t>Other Charges 其他费用</t>
        </is>
      </c>
      <c r="I116" s="9">
        <f>IF($B113="","",B116)</f>
        <v/>
      </c>
      <c r="K116" s="1" t="inlineStr">
        <is>
          <t>Cheque Collection 支票收款</t>
        </is>
      </c>
      <c r="L116" s="9">
        <f>IF($B113="","",E116)</f>
        <v/>
      </c>
    </row>
    <row r="117">
      <c r="A117" s="10" t="inlineStr">
        <is>
          <t>Amount 金额  (Cash Sales - Misc - Other)</t>
        </is>
      </c>
      <c r="B117" s="11">
        <f>IF($B113="","",ROUND(B114-B115-B116,2))</f>
        <v/>
      </c>
      <c r="D117" s="12" t="inlineStr">
        <is>
          <t>TNG collection TNG收款</t>
        </is>
      </c>
      <c r="E117" s="13">
        <f>IF($B113="","",'Daily Sale entry '!K10)</f>
        <v/>
      </c>
      <c r="H117" s="10" t="inlineStr">
        <is>
          <t>Amount 金额  (Cash Sales - Misc - Other)</t>
        </is>
      </c>
      <c r="I117" s="11">
        <f>IF($B113="","",ROUND(I114-I115-I116,2))</f>
        <v/>
      </c>
      <c r="K117" s="12" t="inlineStr">
        <is>
          <t>TNG collection TNG收款</t>
        </is>
      </c>
      <c r="L117" s="13">
        <f>IF($B113="","",E117)</f>
        <v/>
      </c>
    </row>
    <row r="118">
      <c r="A118" t="inlineStr">
        <is>
          <t>Credit Collection 赊账收款</t>
        </is>
      </c>
      <c r="B118" s="6">
        <f>IF($B113="","",'Daily Sale entry '!E10)</f>
        <v/>
      </c>
      <c r="D118" t="inlineStr">
        <is>
          <t>Advance Salary_M 预支薪水_M</t>
        </is>
      </c>
      <c r="E118" s="6">
        <f>IF($B113="","",'Daily Sale entry '!L10)</f>
        <v/>
      </c>
      <c r="H118" t="inlineStr">
        <is>
          <t>Credit Collection 赊账收款</t>
        </is>
      </c>
      <c r="I118" s="6">
        <f>IF($B113="","",B118)</f>
        <v/>
      </c>
      <c r="K118" t="inlineStr">
        <is>
          <t>Advance Salary_M 预支薪水_M</t>
        </is>
      </c>
      <c r="L118" s="6">
        <f>IF($B113="","",E118)</f>
        <v/>
      </c>
    </row>
    <row r="119">
      <c r="A119" s="10" t="inlineStr">
        <is>
          <t>Amount 2 金额2  (Amount + Credit Collection)</t>
        </is>
      </c>
      <c r="B119" s="11">
        <f>IF($B113="","",ROUND(B117+B118,2))</f>
        <v/>
      </c>
      <c r="D119" t="inlineStr">
        <is>
          <t>Advance Salary_H 预支薪水_H</t>
        </is>
      </c>
      <c r="E119" s="6">
        <f>IF($B113="","",'Daily Sale entry '!M10)</f>
        <v/>
      </c>
      <c r="H119" s="10" t="inlineStr">
        <is>
          <t>Amount 2 金额2  (Amount + Credit Collection)</t>
        </is>
      </c>
      <c r="I119" s="11">
        <f>IF($B113="","",ROUND(I117+I118,2))</f>
        <v/>
      </c>
      <c r="K119" t="inlineStr">
        <is>
          <t>Advance Salary_H 预支薪水_H</t>
        </is>
      </c>
      <c r="L119" s="6">
        <f>IF($B113="","",E119)</f>
        <v/>
      </c>
    </row>
    <row r="120"/>
    <row r="121">
      <c r="A121" s="1" t="inlineStr">
        <is>
          <t>b/f petty cash 上日备用金结转</t>
        </is>
      </c>
      <c r="B121" s="9">
        <f>IF($B113="","",'Daily Sale entry '!F10)</f>
        <v/>
      </c>
      <c r="D121" s="1" t="n"/>
      <c r="E121" s="1" t="n"/>
      <c r="H121" s="1" t="inlineStr">
        <is>
          <t>b/f petty cash 上日备用金结转</t>
        </is>
      </c>
      <c r="I121" s="9">
        <f>IF($B113="","",B121)</f>
        <v/>
      </c>
      <c r="K121" s="1" t="n"/>
      <c r="L121" s="1" t="n"/>
    </row>
    <row r="122">
      <c r="A122" t="inlineStr">
        <is>
          <t>Total (A) 总计 (A)</t>
        </is>
      </c>
      <c r="B122" s="6">
        <f>IF($B113="","",ROUND(B119+B121,2))</f>
        <v/>
      </c>
      <c r="D122" t="inlineStr">
        <is>
          <t>Total(B) 总计 (B)</t>
        </is>
      </c>
      <c r="E122" s="6">
        <f>IF($B113="","",ROUND(E114+E115+E116+E117+E118+E119,2))</f>
        <v/>
      </c>
      <c r="H122" t="inlineStr">
        <is>
          <t>Total© 总计 (C)</t>
        </is>
      </c>
      <c r="I122" s="6">
        <f>IF($B113="","",ROUND(I119+I121,2))</f>
        <v/>
      </c>
      <c r="K122" t="inlineStr">
        <is>
          <t>Total(D) 总计 (D)</t>
        </is>
      </c>
      <c r="L122" s="6">
        <f>IF($B113="","",ROUND(L114+L115+L116+L117+L118+L119,2))</f>
        <v/>
      </c>
    </row>
    <row r="123">
      <c r="A123" s="14" t="inlineStr">
        <is>
          <t>Total = Amount 2 + b/f petty cash  (金额2 + 上日备用金)</t>
        </is>
      </c>
      <c r="H123" s="14" t="inlineStr">
        <is>
          <t>Total = Amount 2 + b/f petty cash  (金额2 + 上日备用金)</t>
        </is>
      </c>
    </row>
    <row r="124">
      <c r="A124" t="inlineStr">
        <is>
          <t>Different 差额</t>
        </is>
      </c>
      <c r="B124" s="6">
        <f>IF($B113="","",ROUND(B122-E122,2))</f>
        <v/>
      </c>
      <c r="D124">
        <f>IF($B113="","",IF(ABS(B124)&gt;'Opening Balance'!$B$16,"ALERT 警报: Different over RM"&amp;'Opening Balance'!$B$16&amp;" 差额超过RM"&amp;'Opening Balance'!$B$16&amp;" - please check 请检查",IF(B124=0,"Tied 平衡",IF(ABS(B124)&lt;='Opening Balance'!$B$13,"Small difference 小额差额: adjusted on c/f petty cash 已调整备用金",IF(B124&gt;0,"Short 短收: added to Misc Charges 已加入杂项费用","Over 多收: added to Cash Sales 已加入现金销售")))))</f>
        <v/>
      </c>
      <c r="H124" t="inlineStr">
        <is>
          <t>Different 差额</t>
        </is>
      </c>
      <c r="I124" s="6">
        <f>IF($B113="","",ROUND(I122-L122,2))</f>
        <v/>
      </c>
    </row>
    <row r="125"/>
    <row r="126"/>
    <row r="127">
      <c r="A127" t="inlineStr">
        <is>
          <t>Date 日期</t>
        </is>
      </c>
      <c r="B127" s="5">
        <f>IF('Daily Sale entry '!$A11="","",'Daily Sale entry '!$A11)</f>
        <v/>
      </c>
      <c r="H127" t="inlineStr">
        <is>
          <t>After 调整后 (After)</t>
        </is>
      </c>
      <c r="I127" s="5">
        <f>IF($B127="","",B127)</f>
        <v/>
      </c>
    </row>
    <row r="128">
      <c r="A128" t="inlineStr">
        <is>
          <t>Cash Sales 现金销售</t>
        </is>
      </c>
      <c r="B128" s="6">
        <f>IF($B127="","",'Daily Sale entry '!B11)</f>
        <v/>
      </c>
      <c r="D128" t="inlineStr">
        <is>
          <t>c/f petty cash 今日备用金结转</t>
        </is>
      </c>
      <c r="E128" s="6">
        <f>IF($B127="","",'Daily Sale entry '!G11)</f>
        <v/>
      </c>
      <c r="H128" t="inlineStr">
        <is>
          <t>Cash Sales 现金销售</t>
        </is>
      </c>
      <c r="I128" s="6">
        <f>IF($B127="","",IF(AND(ABS(B138)&gt;'Opening Balance'!$B$13,B138&lt;0),ROUND(B128-B138,2),B128))</f>
        <v/>
      </c>
      <c r="K128" t="inlineStr">
        <is>
          <t>c/f petty cash 今日备用金结转</t>
        </is>
      </c>
      <c r="L128" s="6">
        <f>IF($B127="","",IF(ABS(B138)&lt;='Opening Balance'!$B$13,ROUND(E128+B138,2),E128))</f>
        <v/>
      </c>
    </row>
    <row r="129">
      <c r="A129" t="inlineStr">
        <is>
          <t>Misc Charges 杂项费用</t>
        </is>
      </c>
      <c r="B129" s="6">
        <f>IF($B127="","",'Daily Sale entry '!C11)</f>
        <v/>
      </c>
      <c r="D129" t="inlineStr">
        <is>
          <t>cash collection 现金收款</t>
        </is>
      </c>
      <c r="E129" s="6">
        <f>IF($B127="","",'Daily Sale entry '!H11)</f>
        <v/>
      </c>
      <c r="H129" t="inlineStr">
        <is>
          <t>Misc Charges 杂项费用</t>
        </is>
      </c>
      <c r="I129" s="6">
        <f>IF($B127="","",IF(AND(ABS(B138)&gt;'Opening Balance'!$B$13,B138&gt;0),ROUND(B129+B138,2),B129))</f>
        <v/>
      </c>
      <c r="K129" t="inlineStr">
        <is>
          <t>cash collection 现金收款</t>
        </is>
      </c>
      <c r="L129" s="6">
        <f>IF($B127="","",E129)</f>
        <v/>
      </c>
    </row>
    <row r="130">
      <c r="A130" s="1" t="inlineStr">
        <is>
          <t>Other Charges 其他费用</t>
        </is>
      </c>
      <c r="B130" s="9">
        <f>IF($B127="","",'Daily Sale entry '!D11)</f>
        <v/>
      </c>
      <c r="D130" s="1" t="inlineStr">
        <is>
          <t>Cheque Collection 支票收款</t>
        </is>
      </c>
      <c r="E130" s="9">
        <f>IF($B127="","",'Daily Sale entry '!J11)</f>
        <v/>
      </c>
      <c r="H130" s="1" t="inlineStr">
        <is>
          <t>Other Charges 其他费用</t>
        </is>
      </c>
      <c r="I130" s="9">
        <f>IF($B127="","",B130)</f>
        <v/>
      </c>
      <c r="K130" s="1" t="inlineStr">
        <is>
          <t>Cheque Collection 支票收款</t>
        </is>
      </c>
      <c r="L130" s="9">
        <f>IF($B127="","",E130)</f>
        <v/>
      </c>
    </row>
    <row r="131">
      <c r="A131" s="10" t="inlineStr">
        <is>
          <t>Amount 金额  (Cash Sales - Misc - Other)</t>
        </is>
      </c>
      <c r="B131" s="11">
        <f>IF($B127="","",ROUND(B128-B129-B130,2))</f>
        <v/>
      </c>
      <c r="D131" s="12" t="inlineStr">
        <is>
          <t>TNG collection TNG收款</t>
        </is>
      </c>
      <c r="E131" s="13">
        <f>IF($B127="","",'Daily Sale entry '!K11)</f>
        <v/>
      </c>
      <c r="H131" s="10" t="inlineStr">
        <is>
          <t>Amount 金额  (Cash Sales - Misc - Other)</t>
        </is>
      </c>
      <c r="I131" s="11">
        <f>IF($B127="","",ROUND(I128-I129-I130,2))</f>
        <v/>
      </c>
      <c r="K131" s="12" t="inlineStr">
        <is>
          <t>TNG collection TNG收款</t>
        </is>
      </c>
      <c r="L131" s="13">
        <f>IF($B127="","",E131)</f>
        <v/>
      </c>
    </row>
    <row r="132">
      <c r="A132" t="inlineStr">
        <is>
          <t>Credit Collection 赊账收款</t>
        </is>
      </c>
      <c r="B132" s="6">
        <f>IF($B127="","",'Daily Sale entry '!E11)</f>
        <v/>
      </c>
      <c r="D132" t="inlineStr">
        <is>
          <t>Advance Salary_M 预支薪水_M</t>
        </is>
      </c>
      <c r="E132" s="6">
        <f>IF($B127="","",'Daily Sale entry '!L11)</f>
        <v/>
      </c>
      <c r="H132" t="inlineStr">
        <is>
          <t>Credit Collection 赊账收款</t>
        </is>
      </c>
      <c r="I132" s="6">
        <f>IF($B127="","",B132)</f>
        <v/>
      </c>
      <c r="K132" t="inlineStr">
        <is>
          <t>Advance Salary_M 预支薪水_M</t>
        </is>
      </c>
      <c r="L132" s="6">
        <f>IF($B127="","",E132)</f>
        <v/>
      </c>
    </row>
    <row r="133">
      <c r="A133" s="10" t="inlineStr">
        <is>
          <t>Amount 2 金额2  (Amount + Credit Collection)</t>
        </is>
      </c>
      <c r="B133" s="11">
        <f>IF($B127="","",ROUND(B131+B132,2))</f>
        <v/>
      </c>
      <c r="D133" t="inlineStr">
        <is>
          <t>Advance Salary_H 预支薪水_H</t>
        </is>
      </c>
      <c r="E133" s="6">
        <f>IF($B127="","",'Daily Sale entry '!M11)</f>
        <v/>
      </c>
      <c r="H133" s="10" t="inlineStr">
        <is>
          <t>Amount 2 金额2  (Amount + Credit Collection)</t>
        </is>
      </c>
      <c r="I133" s="11">
        <f>IF($B127="","",ROUND(I131+I132,2))</f>
        <v/>
      </c>
      <c r="K133" t="inlineStr">
        <is>
          <t>Advance Salary_H 预支薪水_H</t>
        </is>
      </c>
      <c r="L133" s="6">
        <f>IF($B127="","",E133)</f>
        <v/>
      </c>
    </row>
    <row r="134"/>
    <row r="135">
      <c r="A135" s="1" t="inlineStr">
        <is>
          <t>b/f petty cash 上日备用金结转</t>
        </is>
      </c>
      <c r="B135" s="9">
        <f>IF($B127="","",'Daily Sale entry '!F11)</f>
        <v/>
      </c>
      <c r="D135" s="1" t="n"/>
      <c r="E135" s="1" t="n"/>
      <c r="H135" s="1" t="inlineStr">
        <is>
          <t>b/f petty cash 上日备用金结转</t>
        </is>
      </c>
      <c r="I135" s="9">
        <f>IF($B127="","",B135)</f>
        <v/>
      </c>
      <c r="K135" s="1" t="n"/>
      <c r="L135" s="1" t="n"/>
    </row>
    <row r="136">
      <c r="A136" t="inlineStr">
        <is>
          <t>Total (A) 总计 (A)</t>
        </is>
      </c>
      <c r="B136" s="6">
        <f>IF($B127="","",ROUND(B133+B135,2))</f>
        <v/>
      </c>
      <c r="D136" t="inlineStr">
        <is>
          <t>Total(B) 总计 (B)</t>
        </is>
      </c>
      <c r="E136" s="6">
        <f>IF($B127="","",ROUND(E128+E129+E130+E131+E132+E133,2))</f>
        <v/>
      </c>
      <c r="H136" t="inlineStr">
        <is>
          <t>Total© 总计 (C)</t>
        </is>
      </c>
      <c r="I136" s="6">
        <f>IF($B127="","",ROUND(I133+I135,2))</f>
        <v/>
      </c>
      <c r="K136" t="inlineStr">
        <is>
          <t>Total(D) 总计 (D)</t>
        </is>
      </c>
      <c r="L136" s="6">
        <f>IF($B127="","",ROUND(L128+L129+L130+L131+L132+L133,2))</f>
        <v/>
      </c>
    </row>
    <row r="137">
      <c r="A137" s="14" t="inlineStr">
        <is>
          <t>Total = Amount 2 + b/f petty cash  (金额2 + 上日备用金)</t>
        </is>
      </c>
      <c r="H137" s="14" t="inlineStr">
        <is>
          <t>Total = Amount 2 + b/f petty cash  (金额2 + 上日备用金)</t>
        </is>
      </c>
    </row>
    <row r="138">
      <c r="A138" t="inlineStr">
        <is>
          <t>Different 差额</t>
        </is>
      </c>
      <c r="B138" s="6">
        <f>IF($B127="","",ROUND(B136-E136,2))</f>
        <v/>
      </c>
      <c r="D138">
        <f>IF($B127="","",IF(ABS(B138)&gt;'Opening Balance'!$B$16,"ALERT 警报: Different over RM"&amp;'Opening Balance'!$B$16&amp;" 差额超过RM"&amp;'Opening Balance'!$B$16&amp;" - please check 请检查",IF(B138=0,"Tied 平衡",IF(ABS(B138)&lt;='Opening Balance'!$B$13,"Small difference 小额差额: adjusted on c/f petty cash 已调整备用金",IF(B138&gt;0,"Short 短收: added to Misc Charges 已加入杂项费用","Over 多收: added to Cash Sales 已加入现金销售")))))</f>
        <v/>
      </c>
      <c r="H138" t="inlineStr">
        <is>
          <t>Different 差额</t>
        </is>
      </c>
      <c r="I138" s="6">
        <f>IF($B127="","",ROUND(I136-L136,2))</f>
        <v/>
      </c>
    </row>
    <row r="139"/>
    <row r="140"/>
    <row r="141">
      <c r="A141" t="inlineStr">
        <is>
          <t>Date 日期</t>
        </is>
      </c>
      <c r="B141" s="5">
        <f>IF('Daily Sale entry '!$A12="","",'Daily Sale entry '!$A12)</f>
        <v/>
      </c>
      <c r="H141" t="inlineStr">
        <is>
          <t>After 调整后 (After)</t>
        </is>
      </c>
      <c r="I141" s="5">
        <f>IF($B141="","",B141)</f>
        <v/>
      </c>
    </row>
    <row r="142">
      <c r="A142" t="inlineStr">
        <is>
          <t>Cash Sales 现金销售</t>
        </is>
      </c>
      <c r="B142" s="6">
        <f>IF($B141="","",'Daily Sale entry '!B12)</f>
        <v/>
      </c>
      <c r="D142" t="inlineStr">
        <is>
          <t>c/f petty cash 今日备用金结转</t>
        </is>
      </c>
      <c r="E142" s="6">
        <f>IF($B141="","",'Daily Sale entry '!G12)</f>
        <v/>
      </c>
      <c r="H142" t="inlineStr">
        <is>
          <t>Cash Sales 现金销售</t>
        </is>
      </c>
      <c r="I142" s="6">
        <f>IF($B141="","",IF(AND(ABS(B152)&gt;'Opening Balance'!$B$13,B152&lt;0),ROUND(B142-B152,2),B142))</f>
        <v/>
      </c>
      <c r="K142" t="inlineStr">
        <is>
          <t>c/f petty cash 今日备用金结转</t>
        </is>
      </c>
      <c r="L142" s="6">
        <f>IF($B141="","",IF(ABS(B152)&lt;='Opening Balance'!$B$13,ROUND(E142+B152,2),E142))</f>
        <v/>
      </c>
    </row>
    <row r="143">
      <c r="A143" t="inlineStr">
        <is>
          <t>Misc Charges 杂项费用</t>
        </is>
      </c>
      <c r="B143" s="6">
        <f>IF($B141="","",'Daily Sale entry '!C12)</f>
        <v/>
      </c>
      <c r="D143" t="inlineStr">
        <is>
          <t>cash collection 现金收款</t>
        </is>
      </c>
      <c r="E143" s="6">
        <f>IF($B141="","",'Daily Sale entry '!H12)</f>
        <v/>
      </c>
      <c r="H143" t="inlineStr">
        <is>
          <t>Misc Charges 杂项费用</t>
        </is>
      </c>
      <c r="I143" s="6">
        <f>IF($B141="","",IF(AND(ABS(B152)&gt;'Opening Balance'!$B$13,B152&gt;0),ROUND(B143+B152,2),B143))</f>
        <v/>
      </c>
      <c r="K143" t="inlineStr">
        <is>
          <t>cash collection 现金收款</t>
        </is>
      </c>
      <c r="L143" s="6">
        <f>IF($B141="","",E143)</f>
        <v/>
      </c>
    </row>
    <row r="144">
      <c r="A144" s="1" t="inlineStr">
        <is>
          <t>Other Charges 其他费用</t>
        </is>
      </c>
      <c r="B144" s="9">
        <f>IF($B141="","",'Daily Sale entry '!D12)</f>
        <v/>
      </c>
      <c r="D144" s="1" t="inlineStr">
        <is>
          <t>Cheque Collection 支票收款</t>
        </is>
      </c>
      <c r="E144" s="9">
        <f>IF($B141="","",'Daily Sale entry '!J12)</f>
        <v/>
      </c>
      <c r="H144" s="1" t="inlineStr">
        <is>
          <t>Other Charges 其他费用</t>
        </is>
      </c>
      <c r="I144" s="9">
        <f>IF($B141="","",B144)</f>
        <v/>
      </c>
      <c r="K144" s="1" t="inlineStr">
        <is>
          <t>Cheque Collection 支票收款</t>
        </is>
      </c>
      <c r="L144" s="9">
        <f>IF($B141="","",E144)</f>
        <v/>
      </c>
    </row>
    <row r="145">
      <c r="A145" s="10" t="inlineStr">
        <is>
          <t>Amount 金额  (Cash Sales - Misc - Other)</t>
        </is>
      </c>
      <c r="B145" s="11">
        <f>IF($B141="","",ROUND(B142-B143-B144,2))</f>
        <v/>
      </c>
      <c r="D145" s="12" t="inlineStr">
        <is>
          <t>TNG collection TNG收款</t>
        </is>
      </c>
      <c r="E145" s="13">
        <f>IF($B141="","",'Daily Sale entry '!K12)</f>
        <v/>
      </c>
      <c r="H145" s="10" t="inlineStr">
        <is>
          <t>Amount 金额  (Cash Sales - Misc - Other)</t>
        </is>
      </c>
      <c r="I145" s="11">
        <f>IF($B141="","",ROUND(I142-I143-I144,2))</f>
        <v/>
      </c>
      <c r="K145" s="12" t="inlineStr">
        <is>
          <t>TNG collection TNG收款</t>
        </is>
      </c>
      <c r="L145" s="13">
        <f>IF($B141="","",E145)</f>
        <v/>
      </c>
    </row>
    <row r="146">
      <c r="A146" t="inlineStr">
        <is>
          <t>Credit Collection 赊账收款</t>
        </is>
      </c>
      <c r="B146" s="6">
        <f>IF($B141="","",'Daily Sale entry '!E12)</f>
        <v/>
      </c>
      <c r="D146" t="inlineStr">
        <is>
          <t>Advance Salary_M 预支薪水_M</t>
        </is>
      </c>
      <c r="E146" s="6">
        <f>IF($B141="","",'Daily Sale entry '!L12)</f>
        <v/>
      </c>
      <c r="H146" t="inlineStr">
        <is>
          <t>Credit Collection 赊账收款</t>
        </is>
      </c>
      <c r="I146" s="6">
        <f>IF($B141="","",B146)</f>
        <v/>
      </c>
      <c r="K146" t="inlineStr">
        <is>
          <t>Advance Salary_M 预支薪水_M</t>
        </is>
      </c>
      <c r="L146" s="6">
        <f>IF($B141="","",E146)</f>
        <v/>
      </c>
    </row>
    <row r="147">
      <c r="A147" s="10" t="inlineStr">
        <is>
          <t>Amount 2 金额2  (Amount + Credit Collection)</t>
        </is>
      </c>
      <c r="B147" s="11">
        <f>IF($B141="","",ROUND(B145+B146,2))</f>
        <v/>
      </c>
      <c r="D147" t="inlineStr">
        <is>
          <t>Advance Salary_H 预支薪水_H</t>
        </is>
      </c>
      <c r="E147" s="6">
        <f>IF($B141="","",'Daily Sale entry '!M12)</f>
        <v/>
      </c>
      <c r="H147" s="10" t="inlineStr">
        <is>
          <t>Amount 2 金额2  (Amount + Credit Collection)</t>
        </is>
      </c>
      <c r="I147" s="11">
        <f>IF($B141="","",ROUND(I145+I146,2))</f>
        <v/>
      </c>
      <c r="K147" t="inlineStr">
        <is>
          <t>Advance Salary_H 预支薪水_H</t>
        </is>
      </c>
      <c r="L147" s="6">
        <f>IF($B141="","",E147)</f>
        <v/>
      </c>
    </row>
    <row r="148"/>
    <row r="149">
      <c r="A149" s="1" t="inlineStr">
        <is>
          <t>b/f petty cash 上日备用金结转</t>
        </is>
      </c>
      <c r="B149" s="9">
        <f>IF($B141="","",'Daily Sale entry '!F12)</f>
        <v/>
      </c>
      <c r="D149" s="1" t="n"/>
      <c r="E149" s="1" t="n"/>
      <c r="H149" s="1" t="inlineStr">
        <is>
          <t>b/f petty cash 上日备用金结转</t>
        </is>
      </c>
      <c r="I149" s="9">
        <f>IF($B141="","",B149)</f>
        <v/>
      </c>
      <c r="K149" s="1" t="n"/>
      <c r="L149" s="1" t="n"/>
    </row>
    <row r="150">
      <c r="A150" t="inlineStr">
        <is>
          <t>Total (A) 总计 (A)</t>
        </is>
      </c>
      <c r="B150" s="6">
        <f>IF($B141="","",ROUND(B147+B149,2))</f>
        <v/>
      </c>
      <c r="D150" t="inlineStr">
        <is>
          <t>Total(B) 总计 (B)</t>
        </is>
      </c>
      <c r="E150" s="6">
        <f>IF($B141="","",ROUND(E142+E143+E144+E145+E146+E147,2))</f>
        <v/>
      </c>
      <c r="H150" t="inlineStr">
        <is>
          <t>Total© 总计 (C)</t>
        </is>
      </c>
      <c r="I150" s="6">
        <f>IF($B141="","",ROUND(I147+I149,2))</f>
        <v/>
      </c>
      <c r="K150" t="inlineStr">
        <is>
          <t>Total(D) 总计 (D)</t>
        </is>
      </c>
      <c r="L150" s="6">
        <f>IF($B141="","",ROUND(L142+L143+L144+L145+L146+L147,2))</f>
        <v/>
      </c>
    </row>
    <row r="151">
      <c r="A151" s="14" t="inlineStr">
        <is>
          <t>Total = Amount 2 + b/f petty cash  (金额2 + 上日备用金)</t>
        </is>
      </c>
      <c r="H151" s="14" t="inlineStr">
        <is>
          <t>Total = Amount 2 + b/f petty cash  (金额2 + 上日备用金)</t>
        </is>
      </c>
    </row>
    <row r="152">
      <c r="A152" t="inlineStr">
        <is>
          <t>Different 差额</t>
        </is>
      </c>
      <c r="B152" s="6">
        <f>IF($B141="","",ROUND(B150-E150,2))</f>
        <v/>
      </c>
      <c r="D152">
        <f>IF($B141="","",IF(ABS(B152)&gt;'Opening Balance'!$B$16,"ALERT 警报: Different over RM"&amp;'Opening Balance'!$B$16&amp;" 差额超过RM"&amp;'Opening Balance'!$B$16&amp;" - please check 请检查",IF(B152=0,"Tied 平衡",IF(ABS(B152)&lt;='Opening Balance'!$B$13,"Small difference 小额差额: adjusted on c/f petty cash 已调整备用金",IF(B152&gt;0,"Short 短收: added to Misc Charges 已加入杂项费用","Over 多收: added to Cash Sales 已加入现金销售")))))</f>
        <v/>
      </c>
      <c r="H152" t="inlineStr">
        <is>
          <t>Different 差额</t>
        </is>
      </c>
      <c r="I152" s="6">
        <f>IF($B141="","",ROUND(I150-L150,2))</f>
        <v/>
      </c>
    </row>
    <row r="153"/>
    <row r="154"/>
    <row r="155">
      <c r="A155" t="inlineStr">
        <is>
          <t>Date 日期</t>
        </is>
      </c>
      <c r="B155" s="5">
        <f>IF('Daily Sale entry '!$A13="","",'Daily Sale entry '!$A13)</f>
        <v/>
      </c>
      <c r="H155" t="inlineStr">
        <is>
          <t>After 调整后 (After)</t>
        </is>
      </c>
      <c r="I155" s="5">
        <f>IF($B155="","",B155)</f>
        <v/>
      </c>
    </row>
    <row r="156">
      <c r="A156" t="inlineStr">
        <is>
          <t>Cash Sales 现金销售</t>
        </is>
      </c>
      <c r="B156" s="6">
        <f>IF($B155="","",'Daily Sale entry '!B13)</f>
        <v/>
      </c>
      <c r="D156" t="inlineStr">
        <is>
          <t>c/f petty cash 今日备用金结转</t>
        </is>
      </c>
      <c r="E156" s="6">
        <f>IF($B155="","",'Daily Sale entry '!G13)</f>
        <v/>
      </c>
      <c r="H156" t="inlineStr">
        <is>
          <t>Cash Sales 现金销售</t>
        </is>
      </c>
      <c r="I156" s="6">
        <f>IF($B155="","",IF(AND(ABS(B166)&gt;'Opening Balance'!$B$13,B166&lt;0),ROUND(B156-B166,2),B156))</f>
        <v/>
      </c>
      <c r="K156" t="inlineStr">
        <is>
          <t>c/f petty cash 今日备用金结转</t>
        </is>
      </c>
      <c r="L156" s="6">
        <f>IF($B155="","",IF(ABS(B166)&lt;='Opening Balance'!$B$13,ROUND(E156+B166,2),E156))</f>
        <v/>
      </c>
    </row>
    <row r="157">
      <c r="A157" t="inlineStr">
        <is>
          <t>Misc Charges 杂项费用</t>
        </is>
      </c>
      <c r="B157" s="6">
        <f>IF($B155="","",'Daily Sale entry '!C13)</f>
        <v/>
      </c>
      <c r="D157" t="inlineStr">
        <is>
          <t>cash collection 现金收款</t>
        </is>
      </c>
      <c r="E157" s="6">
        <f>IF($B155="","",'Daily Sale entry '!H13)</f>
        <v/>
      </c>
      <c r="H157" t="inlineStr">
        <is>
          <t>Misc Charges 杂项费用</t>
        </is>
      </c>
      <c r="I157" s="6">
        <f>IF($B155="","",IF(AND(ABS(B166)&gt;'Opening Balance'!$B$13,B166&gt;0),ROUND(B157+B166,2),B157))</f>
        <v/>
      </c>
      <c r="K157" t="inlineStr">
        <is>
          <t>cash collection 现金收款</t>
        </is>
      </c>
      <c r="L157" s="6">
        <f>IF($B155="","",E157)</f>
        <v/>
      </c>
    </row>
    <row r="158">
      <c r="A158" s="1" t="inlineStr">
        <is>
          <t>Other Charges 其他费用</t>
        </is>
      </c>
      <c r="B158" s="9">
        <f>IF($B155="","",'Daily Sale entry '!D13)</f>
        <v/>
      </c>
      <c r="D158" s="1" t="inlineStr">
        <is>
          <t>Cheque Collection 支票收款</t>
        </is>
      </c>
      <c r="E158" s="9">
        <f>IF($B155="","",'Daily Sale entry '!J13)</f>
        <v/>
      </c>
      <c r="H158" s="1" t="inlineStr">
        <is>
          <t>Other Charges 其他费用</t>
        </is>
      </c>
      <c r="I158" s="9">
        <f>IF($B155="","",B158)</f>
        <v/>
      </c>
      <c r="K158" s="1" t="inlineStr">
        <is>
          <t>Cheque Collection 支票收款</t>
        </is>
      </c>
      <c r="L158" s="9">
        <f>IF($B155="","",E158)</f>
        <v/>
      </c>
    </row>
    <row r="159">
      <c r="A159" s="10" t="inlineStr">
        <is>
          <t>Amount 金额  (Cash Sales - Misc - Other)</t>
        </is>
      </c>
      <c r="B159" s="11">
        <f>IF($B155="","",ROUND(B156-B157-B158,2))</f>
        <v/>
      </c>
      <c r="D159" s="12" t="inlineStr">
        <is>
          <t>TNG collection TNG收款</t>
        </is>
      </c>
      <c r="E159" s="13">
        <f>IF($B155="","",'Daily Sale entry '!K13)</f>
        <v/>
      </c>
      <c r="H159" s="10" t="inlineStr">
        <is>
          <t>Amount 金额  (Cash Sales - Misc - Other)</t>
        </is>
      </c>
      <c r="I159" s="11">
        <f>IF($B155="","",ROUND(I156-I157-I158,2))</f>
        <v/>
      </c>
      <c r="K159" s="12" t="inlineStr">
        <is>
          <t>TNG collection TNG收款</t>
        </is>
      </c>
      <c r="L159" s="13">
        <f>IF($B155="","",E159)</f>
        <v/>
      </c>
    </row>
    <row r="160">
      <c r="A160" t="inlineStr">
        <is>
          <t>Credit Collection 赊账收款</t>
        </is>
      </c>
      <c r="B160" s="6">
        <f>IF($B155="","",'Daily Sale entry '!E13)</f>
        <v/>
      </c>
      <c r="D160" t="inlineStr">
        <is>
          <t>Advance Salary_M 预支薪水_M</t>
        </is>
      </c>
      <c r="E160" s="6">
        <f>IF($B155="","",'Daily Sale entry '!L13)</f>
        <v/>
      </c>
      <c r="H160" t="inlineStr">
        <is>
          <t>Credit Collection 赊账收款</t>
        </is>
      </c>
      <c r="I160" s="6">
        <f>IF($B155="","",B160)</f>
        <v/>
      </c>
      <c r="K160" t="inlineStr">
        <is>
          <t>Advance Salary_M 预支薪水_M</t>
        </is>
      </c>
      <c r="L160" s="6">
        <f>IF($B155="","",E160)</f>
        <v/>
      </c>
    </row>
    <row r="161">
      <c r="A161" s="10" t="inlineStr">
        <is>
          <t>Amount 2 金额2  (Amount + Credit Collection)</t>
        </is>
      </c>
      <c r="B161" s="11">
        <f>IF($B155="","",ROUND(B159+B160,2))</f>
        <v/>
      </c>
      <c r="D161" t="inlineStr">
        <is>
          <t>Advance Salary_H 预支薪水_H</t>
        </is>
      </c>
      <c r="E161" s="6">
        <f>IF($B155="","",'Daily Sale entry '!M13)</f>
        <v/>
      </c>
      <c r="H161" s="10" t="inlineStr">
        <is>
          <t>Amount 2 金额2  (Amount + Credit Collection)</t>
        </is>
      </c>
      <c r="I161" s="11">
        <f>IF($B155="","",ROUND(I159+I160,2))</f>
        <v/>
      </c>
      <c r="K161" t="inlineStr">
        <is>
          <t>Advance Salary_H 预支薪水_H</t>
        </is>
      </c>
      <c r="L161" s="6">
        <f>IF($B155="","",E161)</f>
        <v/>
      </c>
    </row>
    <row r="162"/>
    <row r="163">
      <c r="A163" s="1" t="inlineStr">
        <is>
          <t>b/f petty cash 上日备用金结转</t>
        </is>
      </c>
      <c r="B163" s="9">
        <f>IF($B155="","",'Daily Sale entry '!F13)</f>
        <v/>
      </c>
      <c r="D163" s="1" t="n"/>
      <c r="E163" s="1" t="n"/>
      <c r="H163" s="1" t="inlineStr">
        <is>
          <t>b/f petty cash 上日备用金结转</t>
        </is>
      </c>
      <c r="I163" s="9">
        <f>IF($B155="","",B163)</f>
        <v/>
      </c>
      <c r="K163" s="1" t="n"/>
      <c r="L163" s="1" t="n"/>
    </row>
    <row r="164">
      <c r="A164" t="inlineStr">
        <is>
          <t>Total (A) 总计 (A)</t>
        </is>
      </c>
      <c r="B164" s="6">
        <f>IF($B155="","",ROUND(B161+B163,2))</f>
        <v/>
      </c>
      <c r="D164" t="inlineStr">
        <is>
          <t>Total(B) 总计 (B)</t>
        </is>
      </c>
      <c r="E164" s="6">
        <f>IF($B155="","",ROUND(E156+E157+E158+E159+E160+E161,2))</f>
        <v/>
      </c>
      <c r="H164" t="inlineStr">
        <is>
          <t>Total© 总计 (C)</t>
        </is>
      </c>
      <c r="I164" s="6">
        <f>IF($B155="","",ROUND(I161+I163,2))</f>
        <v/>
      </c>
      <c r="K164" t="inlineStr">
        <is>
          <t>Total(D) 总计 (D)</t>
        </is>
      </c>
      <c r="L164" s="6">
        <f>IF($B155="","",ROUND(L156+L157+L158+L159+L160+L161,2))</f>
        <v/>
      </c>
    </row>
    <row r="165">
      <c r="A165" s="14" t="inlineStr">
        <is>
          <t>Total = Amount 2 + b/f petty cash  (金额2 + 上日备用金)</t>
        </is>
      </c>
      <c r="H165" s="14" t="inlineStr">
        <is>
          <t>Total = Amount 2 + b/f petty cash  (金额2 + 上日备用金)</t>
        </is>
      </c>
    </row>
    <row r="166">
      <c r="A166" t="inlineStr">
        <is>
          <t>Different 差额</t>
        </is>
      </c>
      <c r="B166" s="6">
        <f>IF($B155="","",ROUND(B164-E164,2))</f>
        <v/>
      </c>
      <c r="D166">
        <f>IF($B155="","",IF(ABS(B166)&gt;'Opening Balance'!$B$16,"ALERT 警报: Different over RM"&amp;'Opening Balance'!$B$16&amp;" 差额超过RM"&amp;'Opening Balance'!$B$16&amp;" - please check 请检查",IF(B166=0,"Tied 平衡",IF(ABS(B166)&lt;='Opening Balance'!$B$13,"Small difference 小额差额: adjusted on c/f petty cash 已调整备用金",IF(B166&gt;0,"Short 短收: added to Misc Charges 已加入杂项费用","Over 多收: added to Cash Sales 已加入现金销售")))))</f>
        <v/>
      </c>
      <c r="H166" t="inlineStr">
        <is>
          <t>Different 差额</t>
        </is>
      </c>
      <c r="I166" s="6">
        <f>IF($B155="","",ROUND(I164-L164,2))</f>
        <v/>
      </c>
    </row>
    <row r="167"/>
    <row r="168"/>
    <row r="169">
      <c r="A169" t="inlineStr">
        <is>
          <t>Date 日期</t>
        </is>
      </c>
      <c r="B169" s="5">
        <f>IF('Daily Sale entry '!$A14="","",'Daily Sale entry '!$A14)</f>
        <v/>
      </c>
      <c r="H169" t="inlineStr">
        <is>
          <t>After 调整后 (After)</t>
        </is>
      </c>
      <c r="I169" s="5">
        <f>IF($B169="","",B169)</f>
        <v/>
      </c>
    </row>
    <row r="170">
      <c r="A170" t="inlineStr">
        <is>
          <t>Cash Sales 现金销售</t>
        </is>
      </c>
      <c r="B170" s="6">
        <f>IF($B169="","",'Daily Sale entry '!B14)</f>
        <v/>
      </c>
      <c r="D170" t="inlineStr">
        <is>
          <t>c/f petty cash 今日备用金结转</t>
        </is>
      </c>
      <c r="E170" s="6">
        <f>IF($B169="","",'Daily Sale entry '!G14)</f>
        <v/>
      </c>
      <c r="H170" t="inlineStr">
        <is>
          <t>Cash Sales 现金销售</t>
        </is>
      </c>
      <c r="I170" s="6">
        <f>IF($B169="","",IF(AND(ABS(B180)&gt;'Opening Balance'!$B$13,B180&lt;0),ROUND(B170-B180,2),B170))</f>
        <v/>
      </c>
      <c r="K170" t="inlineStr">
        <is>
          <t>c/f petty cash 今日备用金结转</t>
        </is>
      </c>
      <c r="L170" s="6">
        <f>IF($B169="","",IF(ABS(B180)&lt;='Opening Balance'!$B$13,ROUND(E170+B180,2),E170))</f>
        <v/>
      </c>
    </row>
    <row r="171">
      <c r="A171" t="inlineStr">
        <is>
          <t>Misc Charges 杂项费用</t>
        </is>
      </c>
      <c r="B171" s="6">
        <f>IF($B169="","",'Daily Sale entry '!C14)</f>
        <v/>
      </c>
      <c r="D171" t="inlineStr">
        <is>
          <t>cash collection 现金收款</t>
        </is>
      </c>
      <c r="E171" s="6">
        <f>IF($B169="","",'Daily Sale entry '!H14)</f>
        <v/>
      </c>
      <c r="H171" t="inlineStr">
        <is>
          <t>Misc Charges 杂项费用</t>
        </is>
      </c>
      <c r="I171" s="6">
        <f>IF($B169="","",IF(AND(ABS(B180)&gt;'Opening Balance'!$B$13,B180&gt;0),ROUND(B171+B180,2),B171))</f>
        <v/>
      </c>
      <c r="K171" t="inlineStr">
        <is>
          <t>cash collection 现金收款</t>
        </is>
      </c>
      <c r="L171" s="6">
        <f>IF($B169="","",E171)</f>
        <v/>
      </c>
    </row>
    <row r="172">
      <c r="A172" s="1" t="inlineStr">
        <is>
          <t>Other Charges 其他费用</t>
        </is>
      </c>
      <c r="B172" s="9">
        <f>IF($B169="","",'Daily Sale entry '!D14)</f>
        <v/>
      </c>
      <c r="D172" s="1" t="inlineStr">
        <is>
          <t>Cheque Collection 支票收款</t>
        </is>
      </c>
      <c r="E172" s="9">
        <f>IF($B169="","",'Daily Sale entry '!J14)</f>
        <v/>
      </c>
      <c r="H172" s="1" t="inlineStr">
        <is>
          <t>Other Charges 其他费用</t>
        </is>
      </c>
      <c r="I172" s="9">
        <f>IF($B169="","",B172)</f>
        <v/>
      </c>
      <c r="K172" s="1" t="inlineStr">
        <is>
          <t>Cheque Collection 支票收款</t>
        </is>
      </c>
      <c r="L172" s="9">
        <f>IF($B169="","",E172)</f>
        <v/>
      </c>
    </row>
    <row r="173">
      <c r="A173" s="10" t="inlineStr">
        <is>
          <t>Amount 金额  (Cash Sales - Misc - Other)</t>
        </is>
      </c>
      <c r="B173" s="11">
        <f>IF($B169="","",ROUND(B170-B171-B172,2))</f>
        <v/>
      </c>
      <c r="D173" s="12" t="inlineStr">
        <is>
          <t>TNG collection TNG收款</t>
        </is>
      </c>
      <c r="E173" s="13">
        <f>IF($B169="","",'Daily Sale entry '!K14)</f>
        <v/>
      </c>
      <c r="H173" s="10" t="inlineStr">
        <is>
          <t>Amount 金额  (Cash Sales - Misc - Other)</t>
        </is>
      </c>
      <c r="I173" s="11">
        <f>IF($B169="","",ROUND(I170-I171-I172,2))</f>
        <v/>
      </c>
      <c r="K173" s="12" t="inlineStr">
        <is>
          <t>TNG collection TNG收款</t>
        </is>
      </c>
      <c r="L173" s="13">
        <f>IF($B169="","",E173)</f>
        <v/>
      </c>
    </row>
    <row r="174">
      <c r="A174" t="inlineStr">
        <is>
          <t>Credit Collection 赊账收款</t>
        </is>
      </c>
      <c r="B174" s="6">
        <f>IF($B169="","",'Daily Sale entry '!E14)</f>
        <v/>
      </c>
      <c r="D174" t="inlineStr">
        <is>
          <t>Advance Salary_M 预支薪水_M</t>
        </is>
      </c>
      <c r="E174" s="6">
        <f>IF($B169="","",'Daily Sale entry '!L14)</f>
        <v/>
      </c>
      <c r="H174" t="inlineStr">
        <is>
          <t>Credit Collection 赊账收款</t>
        </is>
      </c>
      <c r="I174" s="6">
        <f>IF($B169="","",B174)</f>
        <v/>
      </c>
      <c r="K174" t="inlineStr">
        <is>
          <t>Advance Salary_M 预支薪水_M</t>
        </is>
      </c>
      <c r="L174" s="6">
        <f>IF($B169="","",E174)</f>
        <v/>
      </c>
    </row>
    <row r="175">
      <c r="A175" s="10" t="inlineStr">
        <is>
          <t>Amount 2 金额2  (Amount + Credit Collection)</t>
        </is>
      </c>
      <c r="B175" s="11">
        <f>IF($B169="","",ROUND(B173+B174,2))</f>
        <v/>
      </c>
      <c r="D175" t="inlineStr">
        <is>
          <t>Advance Salary_H 预支薪水_H</t>
        </is>
      </c>
      <c r="E175" s="6">
        <f>IF($B169="","",'Daily Sale entry '!M14)</f>
        <v/>
      </c>
      <c r="H175" s="10" t="inlineStr">
        <is>
          <t>Amount 2 金额2  (Amount + Credit Collection)</t>
        </is>
      </c>
      <c r="I175" s="11">
        <f>IF($B169="","",ROUND(I173+I174,2))</f>
        <v/>
      </c>
      <c r="K175" t="inlineStr">
        <is>
          <t>Advance Salary_H 预支薪水_H</t>
        </is>
      </c>
      <c r="L175" s="6">
        <f>IF($B169="","",E175)</f>
        <v/>
      </c>
    </row>
    <row r="176"/>
    <row r="177">
      <c r="A177" s="1" t="inlineStr">
        <is>
          <t>b/f petty cash 上日备用金结转</t>
        </is>
      </c>
      <c r="B177" s="9">
        <f>IF($B169="","",'Daily Sale entry '!F14)</f>
        <v/>
      </c>
      <c r="D177" s="1" t="n"/>
      <c r="E177" s="1" t="n"/>
      <c r="H177" s="1" t="inlineStr">
        <is>
          <t>b/f petty cash 上日备用金结转</t>
        </is>
      </c>
      <c r="I177" s="9">
        <f>IF($B169="","",B177)</f>
        <v/>
      </c>
      <c r="K177" s="1" t="n"/>
      <c r="L177" s="1" t="n"/>
    </row>
    <row r="178">
      <c r="A178" t="inlineStr">
        <is>
          <t>Total (A) 总计 (A)</t>
        </is>
      </c>
      <c r="B178" s="6">
        <f>IF($B169="","",ROUND(B175+B177,2))</f>
        <v/>
      </c>
      <c r="D178" t="inlineStr">
        <is>
          <t>Total(B) 总计 (B)</t>
        </is>
      </c>
      <c r="E178" s="6">
        <f>IF($B169="","",ROUND(E170+E171+E172+E173+E174+E175,2))</f>
        <v/>
      </c>
      <c r="H178" t="inlineStr">
        <is>
          <t>Total© 总计 (C)</t>
        </is>
      </c>
      <c r="I178" s="6">
        <f>IF($B169="","",ROUND(I175+I177,2))</f>
        <v/>
      </c>
      <c r="K178" t="inlineStr">
        <is>
          <t>Total(D) 总计 (D)</t>
        </is>
      </c>
      <c r="L178" s="6">
        <f>IF($B169="","",ROUND(L170+L171+L172+L173+L174+L175,2))</f>
        <v/>
      </c>
    </row>
    <row r="179">
      <c r="A179" s="14" t="inlineStr">
        <is>
          <t>Total = Amount 2 + b/f petty cash  (金额2 + 上日备用金)</t>
        </is>
      </c>
      <c r="H179" s="14" t="inlineStr">
        <is>
          <t>Total = Amount 2 + b/f petty cash  (金额2 + 上日备用金)</t>
        </is>
      </c>
    </row>
    <row r="180">
      <c r="A180" t="inlineStr">
        <is>
          <t>Different 差额</t>
        </is>
      </c>
      <c r="B180" s="6">
        <f>IF($B169="","",ROUND(B178-E178,2))</f>
        <v/>
      </c>
      <c r="D180">
        <f>IF($B169="","",IF(ABS(B180)&gt;'Opening Balance'!$B$16,"ALERT 警报: Different over RM"&amp;'Opening Balance'!$B$16&amp;" 差额超过RM"&amp;'Opening Balance'!$B$16&amp;" - please check 请检查",IF(B180=0,"Tied 平衡",IF(ABS(B180)&lt;='Opening Balance'!$B$13,"Small difference 小额差额: adjusted on c/f petty cash 已调整备用金",IF(B180&gt;0,"Short 短收: added to Misc Charges 已加入杂项费用","Over 多收: added to Cash Sales 已加入现金销售")))))</f>
        <v/>
      </c>
      <c r="H180" t="inlineStr">
        <is>
          <t>Different 差额</t>
        </is>
      </c>
      <c r="I180" s="6">
        <f>IF($B169="","",ROUND(I178-L178,2))</f>
        <v/>
      </c>
    </row>
    <row r="181"/>
    <row r="182"/>
    <row r="183">
      <c r="A183" t="inlineStr">
        <is>
          <t>Date 日期</t>
        </is>
      </c>
      <c r="B183" s="5">
        <f>IF('Daily Sale entry '!$A15="","",'Daily Sale entry '!$A15)</f>
        <v/>
      </c>
      <c r="H183" t="inlineStr">
        <is>
          <t>After 调整后 (After)</t>
        </is>
      </c>
      <c r="I183" s="5">
        <f>IF($B183="","",B183)</f>
        <v/>
      </c>
    </row>
    <row r="184">
      <c r="A184" t="inlineStr">
        <is>
          <t>Cash Sales 现金销售</t>
        </is>
      </c>
      <c r="B184" s="6">
        <f>IF($B183="","",'Daily Sale entry '!B15)</f>
        <v/>
      </c>
      <c r="D184" t="inlineStr">
        <is>
          <t>c/f petty cash 今日备用金结转</t>
        </is>
      </c>
      <c r="E184" s="6">
        <f>IF($B183="","",'Daily Sale entry '!G15)</f>
        <v/>
      </c>
      <c r="H184" t="inlineStr">
        <is>
          <t>Cash Sales 现金销售</t>
        </is>
      </c>
      <c r="I184" s="6">
        <f>IF($B183="","",IF(AND(ABS(B194)&gt;'Opening Balance'!$B$13,B194&lt;0),ROUND(B184-B194,2),B184))</f>
        <v/>
      </c>
      <c r="K184" t="inlineStr">
        <is>
          <t>c/f petty cash 今日备用金结转</t>
        </is>
      </c>
      <c r="L184" s="6">
        <f>IF($B183="","",IF(ABS(B194)&lt;='Opening Balance'!$B$13,ROUND(E184+B194,2),E184))</f>
        <v/>
      </c>
    </row>
    <row r="185">
      <c r="A185" t="inlineStr">
        <is>
          <t>Misc Charges 杂项费用</t>
        </is>
      </c>
      <c r="B185" s="6">
        <f>IF($B183="","",'Daily Sale entry '!C15)</f>
        <v/>
      </c>
      <c r="D185" t="inlineStr">
        <is>
          <t>cash collection 现金收款</t>
        </is>
      </c>
      <c r="E185" s="6">
        <f>IF($B183="","",'Daily Sale entry '!H15)</f>
        <v/>
      </c>
      <c r="H185" t="inlineStr">
        <is>
          <t>Misc Charges 杂项费用</t>
        </is>
      </c>
      <c r="I185" s="6">
        <f>IF($B183="","",IF(AND(ABS(B194)&gt;'Opening Balance'!$B$13,B194&gt;0),ROUND(B185+B194,2),B185))</f>
        <v/>
      </c>
      <c r="K185" t="inlineStr">
        <is>
          <t>cash collection 现金收款</t>
        </is>
      </c>
      <c r="L185" s="6">
        <f>IF($B183="","",E185)</f>
        <v/>
      </c>
    </row>
    <row r="186">
      <c r="A186" s="1" t="inlineStr">
        <is>
          <t>Other Charges 其他费用</t>
        </is>
      </c>
      <c r="B186" s="9">
        <f>IF($B183="","",'Daily Sale entry '!D15)</f>
        <v/>
      </c>
      <c r="D186" s="1" t="inlineStr">
        <is>
          <t>Cheque Collection 支票收款</t>
        </is>
      </c>
      <c r="E186" s="9">
        <f>IF($B183="","",'Daily Sale entry '!J15)</f>
        <v/>
      </c>
      <c r="H186" s="1" t="inlineStr">
        <is>
          <t>Other Charges 其他费用</t>
        </is>
      </c>
      <c r="I186" s="9">
        <f>IF($B183="","",B186)</f>
        <v/>
      </c>
      <c r="K186" s="1" t="inlineStr">
        <is>
          <t>Cheque Collection 支票收款</t>
        </is>
      </c>
      <c r="L186" s="9">
        <f>IF($B183="","",E186)</f>
        <v/>
      </c>
    </row>
    <row r="187">
      <c r="A187" s="10" t="inlineStr">
        <is>
          <t>Amount 金额  (Cash Sales - Misc - Other)</t>
        </is>
      </c>
      <c r="B187" s="11">
        <f>IF($B183="","",ROUND(B184-B185-B186,2))</f>
        <v/>
      </c>
      <c r="D187" s="12" t="inlineStr">
        <is>
          <t>TNG collection TNG收款</t>
        </is>
      </c>
      <c r="E187" s="13">
        <f>IF($B183="","",'Daily Sale entry '!K15)</f>
        <v/>
      </c>
      <c r="H187" s="10" t="inlineStr">
        <is>
          <t>Amount 金额  (Cash Sales - Misc - Other)</t>
        </is>
      </c>
      <c r="I187" s="11">
        <f>IF($B183="","",ROUND(I184-I185-I186,2))</f>
        <v/>
      </c>
      <c r="K187" s="12" t="inlineStr">
        <is>
          <t>TNG collection TNG收款</t>
        </is>
      </c>
      <c r="L187" s="13">
        <f>IF($B183="","",E187)</f>
        <v/>
      </c>
    </row>
    <row r="188">
      <c r="A188" t="inlineStr">
        <is>
          <t>Credit Collection 赊账收款</t>
        </is>
      </c>
      <c r="B188" s="6">
        <f>IF($B183="","",'Daily Sale entry '!E15)</f>
        <v/>
      </c>
      <c r="D188" t="inlineStr">
        <is>
          <t>Advance Salary_M 预支薪水_M</t>
        </is>
      </c>
      <c r="E188" s="6">
        <f>IF($B183="","",'Daily Sale entry '!L15)</f>
        <v/>
      </c>
      <c r="H188" t="inlineStr">
        <is>
          <t>Credit Collection 赊账收款</t>
        </is>
      </c>
      <c r="I188" s="6">
        <f>IF($B183="","",B188)</f>
        <v/>
      </c>
      <c r="K188" t="inlineStr">
        <is>
          <t>Advance Salary_M 预支薪水_M</t>
        </is>
      </c>
      <c r="L188" s="6">
        <f>IF($B183="","",E188)</f>
        <v/>
      </c>
    </row>
    <row r="189">
      <c r="A189" s="10" t="inlineStr">
        <is>
          <t>Amount 2 金额2  (Amount + Credit Collection)</t>
        </is>
      </c>
      <c r="B189" s="11">
        <f>IF($B183="","",ROUND(B187+B188,2))</f>
        <v/>
      </c>
      <c r="D189" t="inlineStr">
        <is>
          <t>Advance Salary_H 预支薪水_H</t>
        </is>
      </c>
      <c r="E189" s="6">
        <f>IF($B183="","",'Daily Sale entry '!M15)</f>
        <v/>
      </c>
      <c r="H189" s="10" t="inlineStr">
        <is>
          <t>Amount 2 金额2  (Amount + Credit Collection)</t>
        </is>
      </c>
      <c r="I189" s="11">
        <f>IF($B183="","",ROUND(I187+I188,2))</f>
        <v/>
      </c>
      <c r="K189" t="inlineStr">
        <is>
          <t>Advance Salary_H 预支薪水_H</t>
        </is>
      </c>
      <c r="L189" s="6">
        <f>IF($B183="","",E189)</f>
        <v/>
      </c>
    </row>
    <row r="190"/>
    <row r="191">
      <c r="A191" s="1" t="inlineStr">
        <is>
          <t>b/f petty cash 上日备用金结转</t>
        </is>
      </c>
      <c r="B191" s="9">
        <f>IF($B183="","",'Daily Sale entry '!F15)</f>
        <v/>
      </c>
      <c r="D191" s="1" t="n"/>
      <c r="E191" s="1" t="n"/>
      <c r="H191" s="1" t="inlineStr">
        <is>
          <t>b/f petty cash 上日备用金结转</t>
        </is>
      </c>
      <c r="I191" s="9">
        <f>IF($B183="","",B191)</f>
        <v/>
      </c>
      <c r="K191" s="1" t="n"/>
      <c r="L191" s="1" t="n"/>
    </row>
    <row r="192">
      <c r="A192" t="inlineStr">
        <is>
          <t>Total (A) 总计 (A)</t>
        </is>
      </c>
      <c r="B192" s="6">
        <f>IF($B183="","",ROUND(B189+B191,2))</f>
        <v/>
      </c>
      <c r="D192" t="inlineStr">
        <is>
          <t>Total(B) 总计 (B)</t>
        </is>
      </c>
      <c r="E192" s="6">
        <f>IF($B183="","",ROUND(E184+E185+E186+E187+E188+E189,2))</f>
        <v/>
      </c>
      <c r="H192" t="inlineStr">
        <is>
          <t>Total© 总计 (C)</t>
        </is>
      </c>
      <c r="I192" s="6">
        <f>IF($B183="","",ROUND(I189+I191,2))</f>
        <v/>
      </c>
      <c r="K192" t="inlineStr">
        <is>
          <t>Total(D) 总计 (D)</t>
        </is>
      </c>
      <c r="L192" s="6">
        <f>IF($B183="","",ROUND(L184+L185+L186+L187+L188+L189,2))</f>
        <v/>
      </c>
    </row>
    <row r="193">
      <c r="A193" s="14" t="inlineStr">
        <is>
          <t>Total = Amount 2 + b/f petty cash  (金额2 + 上日备用金)</t>
        </is>
      </c>
      <c r="H193" s="14" t="inlineStr">
        <is>
          <t>Total = Amount 2 + b/f petty cash  (金额2 + 上日备用金)</t>
        </is>
      </c>
    </row>
    <row r="194">
      <c r="A194" t="inlineStr">
        <is>
          <t>Different 差额</t>
        </is>
      </c>
      <c r="B194" s="6">
        <f>IF($B183="","",ROUND(B192-E192,2))</f>
        <v/>
      </c>
      <c r="D194">
        <f>IF($B183="","",IF(ABS(B194)&gt;'Opening Balance'!$B$16,"ALERT 警报: Different over RM"&amp;'Opening Balance'!$B$16&amp;" 差额超过RM"&amp;'Opening Balance'!$B$16&amp;" - please check 请检查",IF(B194=0,"Tied 平衡",IF(ABS(B194)&lt;='Opening Balance'!$B$13,"Small difference 小额差额: adjusted on c/f petty cash 已调整备用金",IF(B194&gt;0,"Short 短收: added to Misc Charges 已加入杂项费用","Over 多收: added to Cash Sales 已加入现金销售")))))</f>
        <v/>
      </c>
      <c r="H194" t="inlineStr">
        <is>
          <t>Different 差额</t>
        </is>
      </c>
      <c r="I194" s="6">
        <f>IF($B183="","",ROUND(I192-L192,2))</f>
        <v/>
      </c>
    </row>
    <row r="195"/>
    <row r="196"/>
    <row r="197">
      <c r="A197" t="inlineStr">
        <is>
          <t>Date 日期</t>
        </is>
      </c>
      <c r="B197" s="5">
        <f>IF('Daily Sale entry '!$A16="","",'Daily Sale entry '!$A16)</f>
        <v/>
      </c>
      <c r="H197" t="inlineStr">
        <is>
          <t>After 调整后 (After)</t>
        </is>
      </c>
      <c r="I197" s="5">
        <f>IF($B197="","",B197)</f>
        <v/>
      </c>
    </row>
    <row r="198">
      <c r="A198" t="inlineStr">
        <is>
          <t>Cash Sales 现金销售</t>
        </is>
      </c>
      <c r="B198" s="6">
        <f>IF($B197="","",'Daily Sale entry '!B16)</f>
        <v/>
      </c>
      <c r="D198" t="inlineStr">
        <is>
          <t>c/f petty cash 今日备用金结转</t>
        </is>
      </c>
      <c r="E198" s="6">
        <f>IF($B197="","",'Daily Sale entry '!G16)</f>
        <v/>
      </c>
      <c r="H198" t="inlineStr">
        <is>
          <t>Cash Sales 现金销售</t>
        </is>
      </c>
      <c r="I198" s="6">
        <f>IF($B197="","",IF(AND(ABS(B208)&gt;'Opening Balance'!$B$13,B208&lt;0),ROUND(B198-B208,2),B198))</f>
        <v/>
      </c>
      <c r="K198" t="inlineStr">
        <is>
          <t>c/f petty cash 今日备用金结转</t>
        </is>
      </c>
      <c r="L198" s="6">
        <f>IF($B197="","",IF(ABS(B208)&lt;='Opening Balance'!$B$13,ROUND(E198+B208,2),E198))</f>
        <v/>
      </c>
    </row>
    <row r="199">
      <c r="A199" t="inlineStr">
        <is>
          <t>Misc Charges 杂项费用</t>
        </is>
      </c>
      <c r="B199" s="6">
        <f>IF($B197="","",'Daily Sale entry '!C16)</f>
        <v/>
      </c>
      <c r="D199" t="inlineStr">
        <is>
          <t>cash collection 现金收款</t>
        </is>
      </c>
      <c r="E199" s="6">
        <f>IF($B197="","",'Daily Sale entry '!H16)</f>
        <v/>
      </c>
      <c r="H199" t="inlineStr">
        <is>
          <t>Misc Charges 杂项费用</t>
        </is>
      </c>
      <c r="I199" s="6">
        <f>IF($B197="","",IF(AND(ABS(B208)&gt;'Opening Balance'!$B$13,B208&gt;0),ROUND(B199+B208,2),B199))</f>
        <v/>
      </c>
      <c r="K199" t="inlineStr">
        <is>
          <t>cash collection 现金收款</t>
        </is>
      </c>
      <c r="L199" s="6">
        <f>IF($B197="","",E199)</f>
        <v/>
      </c>
    </row>
    <row r="200">
      <c r="A200" s="1" t="inlineStr">
        <is>
          <t>Other Charges 其他费用</t>
        </is>
      </c>
      <c r="B200" s="9">
        <f>IF($B197="","",'Daily Sale entry '!D16)</f>
        <v/>
      </c>
      <c r="D200" s="1" t="inlineStr">
        <is>
          <t>Cheque Collection 支票收款</t>
        </is>
      </c>
      <c r="E200" s="9">
        <f>IF($B197="","",'Daily Sale entry '!J16)</f>
        <v/>
      </c>
      <c r="H200" s="1" t="inlineStr">
        <is>
          <t>Other Charges 其他费用</t>
        </is>
      </c>
      <c r="I200" s="9">
        <f>IF($B197="","",B200)</f>
        <v/>
      </c>
      <c r="K200" s="1" t="inlineStr">
        <is>
          <t>Cheque Collection 支票收款</t>
        </is>
      </c>
      <c r="L200" s="9">
        <f>IF($B197="","",E200)</f>
        <v/>
      </c>
    </row>
    <row r="201">
      <c r="A201" s="10" t="inlineStr">
        <is>
          <t>Amount 金额  (Cash Sales - Misc - Other)</t>
        </is>
      </c>
      <c r="B201" s="11">
        <f>IF($B197="","",ROUND(B198-B199-B200,2))</f>
        <v/>
      </c>
      <c r="D201" s="12" t="inlineStr">
        <is>
          <t>TNG collection TNG收款</t>
        </is>
      </c>
      <c r="E201" s="13">
        <f>IF($B197="","",'Daily Sale entry '!K16)</f>
        <v/>
      </c>
      <c r="H201" s="10" t="inlineStr">
        <is>
          <t>Amount 金额  (Cash Sales - Misc - Other)</t>
        </is>
      </c>
      <c r="I201" s="11">
        <f>IF($B197="","",ROUND(I198-I199-I200,2))</f>
        <v/>
      </c>
      <c r="K201" s="12" t="inlineStr">
        <is>
          <t>TNG collection TNG收款</t>
        </is>
      </c>
      <c r="L201" s="13">
        <f>IF($B197="","",E201)</f>
        <v/>
      </c>
    </row>
    <row r="202">
      <c r="A202" t="inlineStr">
        <is>
          <t>Credit Collection 赊账收款</t>
        </is>
      </c>
      <c r="B202" s="6">
        <f>IF($B197="","",'Daily Sale entry '!E16)</f>
        <v/>
      </c>
      <c r="D202" t="inlineStr">
        <is>
          <t>Advance Salary_M 预支薪水_M</t>
        </is>
      </c>
      <c r="E202" s="6">
        <f>IF($B197="","",'Daily Sale entry '!L16)</f>
        <v/>
      </c>
      <c r="H202" t="inlineStr">
        <is>
          <t>Credit Collection 赊账收款</t>
        </is>
      </c>
      <c r="I202" s="6">
        <f>IF($B197="","",B202)</f>
        <v/>
      </c>
      <c r="K202" t="inlineStr">
        <is>
          <t>Advance Salary_M 预支薪水_M</t>
        </is>
      </c>
      <c r="L202" s="6">
        <f>IF($B197="","",E202)</f>
        <v/>
      </c>
    </row>
    <row r="203">
      <c r="A203" s="10" t="inlineStr">
        <is>
          <t>Amount 2 金额2  (Amount + Credit Collection)</t>
        </is>
      </c>
      <c r="B203" s="11">
        <f>IF($B197="","",ROUND(B201+B202,2))</f>
        <v/>
      </c>
      <c r="D203" t="inlineStr">
        <is>
          <t>Advance Salary_H 预支薪水_H</t>
        </is>
      </c>
      <c r="E203" s="6">
        <f>IF($B197="","",'Daily Sale entry '!M16)</f>
        <v/>
      </c>
      <c r="H203" s="10" t="inlineStr">
        <is>
          <t>Amount 2 金额2  (Amount + Credit Collection)</t>
        </is>
      </c>
      <c r="I203" s="11">
        <f>IF($B197="","",ROUND(I201+I202,2))</f>
        <v/>
      </c>
      <c r="K203" t="inlineStr">
        <is>
          <t>Advance Salary_H 预支薪水_H</t>
        </is>
      </c>
      <c r="L203" s="6">
        <f>IF($B197="","",E203)</f>
        <v/>
      </c>
    </row>
    <row r="204"/>
    <row r="205">
      <c r="A205" s="1" t="inlineStr">
        <is>
          <t>b/f petty cash 上日备用金结转</t>
        </is>
      </c>
      <c r="B205" s="9">
        <f>IF($B197="","",'Daily Sale entry '!F16)</f>
        <v/>
      </c>
      <c r="D205" s="1" t="n"/>
      <c r="E205" s="1" t="n"/>
      <c r="H205" s="1" t="inlineStr">
        <is>
          <t>b/f petty cash 上日备用金结转</t>
        </is>
      </c>
      <c r="I205" s="9">
        <f>IF($B197="","",B205)</f>
        <v/>
      </c>
      <c r="K205" s="1" t="n"/>
      <c r="L205" s="1" t="n"/>
    </row>
    <row r="206">
      <c r="A206" t="inlineStr">
        <is>
          <t>Total (A) 总计 (A)</t>
        </is>
      </c>
      <c r="B206" s="6">
        <f>IF($B197="","",ROUND(B203+B205,2))</f>
        <v/>
      </c>
      <c r="D206" t="inlineStr">
        <is>
          <t>Total(B) 总计 (B)</t>
        </is>
      </c>
      <c r="E206" s="6">
        <f>IF($B197="","",ROUND(E198+E199+E200+E201+E202+E203,2))</f>
        <v/>
      </c>
      <c r="H206" t="inlineStr">
        <is>
          <t>Total© 总计 (C)</t>
        </is>
      </c>
      <c r="I206" s="6">
        <f>IF($B197="","",ROUND(I203+I205,2))</f>
        <v/>
      </c>
      <c r="K206" t="inlineStr">
        <is>
          <t>Total(D) 总计 (D)</t>
        </is>
      </c>
      <c r="L206" s="6">
        <f>IF($B197="","",ROUND(L198+L199+L200+L201+L202+L203,2))</f>
        <v/>
      </c>
    </row>
    <row r="207">
      <c r="A207" s="14" t="inlineStr">
        <is>
          <t>Total = Amount 2 + b/f petty cash  (金额2 + 上日备用金)</t>
        </is>
      </c>
      <c r="H207" s="14" t="inlineStr">
        <is>
          <t>Total = Amount 2 + b/f petty cash  (金额2 + 上日备用金)</t>
        </is>
      </c>
    </row>
    <row r="208">
      <c r="A208" t="inlineStr">
        <is>
          <t>Different 差额</t>
        </is>
      </c>
      <c r="B208" s="6">
        <f>IF($B197="","",ROUND(B206-E206,2))</f>
        <v/>
      </c>
      <c r="D208">
        <f>IF($B197="","",IF(ABS(B208)&gt;'Opening Balance'!$B$16,"ALERT 警报: Different over RM"&amp;'Opening Balance'!$B$16&amp;" 差额超过RM"&amp;'Opening Balance'!$B$16&amp;" - please check 请检查",IF(B208=0,"Tied 平衡",IF(ABS(B208)&lt;='Opening Balance'!$B$13,"Small difference 小额差额: adjusted on c/f petty cash 已调整备用金",IF(B208&gt;0,"Short 短收: added to Misc Charges 已加入杂项费用","Over 多收: added to Cash Sales 已加入现金销售")))))</f>
        <v/>
      </c>
      <c r="H208" t="inlineStr">
        <is>
          <t>Different 差额</t>
        </is>
      </c>
      <c r="I208" s="6">
        <f>IF($B197="","",ROUND(I206-L206,2))</f>
        <v/>
      </c>
    </row>
    <row r="209"/>
    <row r="210"/>
    <row r="211">
      <c r="A211" t="inlineStr">
        <is>
          <t>Date 日期</t>
        </is>
      </c>
      <c r="B211" s="5">
        <f>IF('Daily Sale entry '!$A17="","",'Daily Sale entry '!$A17)</f>
        <v/>
      </c>
      <c r="H211" t="inlineStr">
        <is>
          <t>After 调整后 (After)</t>
        </is>
      </c>
      <c r="I211" s="5">
        <f>IF($B211="","",B211)</f>
        <v/>
      </c>
    </row>
    <row r="212">
      <c r="A212" t="inlineStr">
        <is>
          <t>Cash Sales 现金销售</t>
        </is>
      </c>
      <c r="B212" s="6">
        <f>IF($B211="","",'Daily Sale entry '!B17)</f>
        <v/>
      </c>
      <c r="D212" t="inlineStr">
        <is>
          <t>c/f petty cash 今日备用金结转</t>
        </is>
      </c>
      <c r="E212" s="6">
        <f>IF($B211="","",'Daily Sale entry '!G17)</f>
        <v/>
      </c>
      <c r="H212" t="inlineStr">
        <is>
          <t>Cash Sales 现金销售</t>
        </is>
      </c>
      <c r="I212" s="6">
        <f>IF($B211="","",IF(AND(ABS(B222)&gt;'Opening Balance'!$B$13,B222&lt;0),ROUND(B212-B222,2),B212))</f>
        <v/>
      </c>
      <c r="K212" t="inlineStr">
        <is>
          <t>c/f petty cash 今日备用金结转</t>
        </is>
      </c>
      <c r="L212" s="6">
        <f>IF($B211="","",IF(ABS(B222)&lt;='Opening Balance'!$B$13,ROUND(E212+B222,2),E212))</f>
        <v/>
      </c>
    </row>
    <row r="213">
      <c r="A213" t="inlineStr">
        <is>
          <t>Misc Charges 杂项费用</t>
        </is>
      </c>
      <c r="B213" s="6">
        <f>IF($B211="","",'Daily Sale entry '!C17)</f>
        <v/>
      </c>
      <c r="D213" t="inlineStr">
        <is>
          <t>cash collection 现金收款</t>
        </is>
      </c>
      <c r="E213" s="6">
        <f>IF($B211="","",'Daily Sale entry '!H17)</f>
        <v/>
      </c>
      <c r="H213" t="inlineStr">
        <is>
          <t>Misc Charges 杂项费用</t>
        </is>
      </c>
      <c r="I213" s="6">
        <f>IF($B211="","",IF(AND(ABS(B222)&gt;'Opening Balance'!$B$13,B222&gt;0),ROUND(B213+B222,2),B213))</f>
        <v/>
      </c>
      <c r="K213" t="inlineStr">
        <is>
          <t>cash collection 现金收款</t>
        </is>
      </c>
      <c r="L213" s="6">
        <f>IF($B211="","",E213)</f>
        <v/>
      </c>
    </row>
    <row r="214">
      <c r="A214" s="1" t="inlineStr">
        <is>
          <t>Other Charges 其他费用</t>
        </is>
      </c>
      <c r="B214" s="9">
        <f>IF($B211="","",'Daily Sale entry '!D17)</f>
        <v/>
      </c>
      <c r="D214" s="1" t="inlineStr">
        <is>
          <t>Cheque Collection 支票收款</t>
        </is>
      </c>
      <c r="E214" s="9">
        <f>IF($B211="","",'Daily Sale entry '!J17)</f>
        <v/>
      </c>
      <c r="H214" s="1" t="inlineStr">
        <is>
          <t>Other Charges 其他费用</t>
        </is>
      </c>
      <c r="I214" s="9">
        <f>IF($B211="","",B214)</f>
        <v/>
      </c>
      <c r="K214" s="1" t="inlineStr">
        <is>
          <t>Cheque Collection 支票收款</t>
        </is>
      </c>
      <c r="L214" s="9">
        <f>IF($B211="","",E214)</f>
        <v/>
      </c>
    </row>
    <row r="215">
      <c r="A215" s="10" t="inlineStr">
        <is>
          <t>Amount 金额  (Cash Sales - Misc - Other)</t>
        </is>
      </c>
      <c r="B215" s="11">
        <f>IF($B211="","",ROUND(B212-B213-B214,2))</f>
        <v/>
      </c>
      <c r="D215" s="12" t="inlineStr">
        <is>
          <t>TNG collection TNG收款</t>
        </is>
      </c>
      <c r="E215" s="13">
        <f>IF($B211="","",'Daily Sale entry '!K17)</f>
        <v/>
      </c>
      <c r="H215" s="10" t="inlineStr">
        <is>
          <t>Amount 金额  (Cash Sales - Misc - Other)</t>
        </is>
      </c>
      <c r="I215" s="11">
        <f>IF($B211="","",ROUND(I212-I213-I214,2))</f>
        <v/>
      </c>
      <c r="K215" s="12" t="inlineStr">
        <is>
          <t>TNG collection TNG收款</t>
        </is>
      </c>
      <c r="L215" s="13">
        <f>IF($B211="","",E215)</f>
        <v/>
      </c>
    </row>
    <row r="216">
      <c r="A216" t="inlineStr">
        <is>
          <t>Credit Collection 赊账收款</t>
        </is>
      </c>
      <c r="B216" s="6">
        <f>IF($B211="","",'Daily Sale entry '!E17)</f>
        <v/>
      </c>
      <c r="D216" t="inlineStr">
        <is>
          <t>Advance Salary_M 预支薪水_M</t>
        </is>
      </c>
      <c r="E216" s="6">
        <f>IF($B211="","",'Daily Sale entry '!L17)</f>
        <v/>
      </c>
      <c r="H216" t="inlineStr">
        <is>
          <t>Credit Collection 赊账收款</t>
        </is>
      </c>
      <c r="I216" s="6">
        <f>IF($B211="","",B216)</f>
        <v/>
      </c>
      <c r="K216" t="inlineStr">
        <is>
          <t>Advance Salary_M 预支薪水_M</t>
        </is>
      </c>
      <c r="L216" s="6">
        <f>IF($B211="","",E216)</f>
        <v/>
      </c>
    </row>
    <row r="217">
      <c r="A217" s="10" t="inlineStr">
        <is>
          <t>Amount 2 金额2  (Amount + Credit Collection)</t>
        </is>
      </c>
      <c r="B217" s="11">
        <f>IF($B211="","",ROUND(B215+B216,2))</f>
        <v/>
      </c>
      <c r="D217" t="inlineStr">
        <is>
          <t>Advance Salary_H 预支薪水_H</t>
        </is>
      </c>
      <c r="E217" s="6">
        <f>IF($B211="","",'Daily Sale entry '!M17)</f>
        <v/>
      </c>
      <c r="H217" s="10" t="inlineStr">
        <is>
          <t>Amount 2 金额2  (Amount + Credit Collection)</t>
        </is>
      </c>
      <c r="I217" s="11">
        <f>IF($B211="","",ROUND(I215+I216,2))</f>
        <v/>
      </c>
      <c r="K217" t="inlineStr">
        <is>
          <t>Advance Salary_H 预支薪水_H</t>
        </is>
      </c>
      <c r="L217" s="6">
        <f>IF($B211="","",E217)</f>
        <v/>
      </c>
    </row>
    <row r="218"/>
    <row r="219">
      <c r="A219" s="1" t="inlineStr">
        <is>
          <t>b/f petty cash 上日备用金结转</t>
        </is>
      </c>
      <c r="B219" s="9">
        <f>IF($B211="","",'Daily Sale entry '!F17)</f>
        <v/>
      </c>
      <c r="D219" s="1" t="n"/>
      <c r="E219" s="1" t="n"/>
      <c r="H219" s="1" t="inlineStr">
        <is>
          <t>b/f petty cash 上日备用金结转</t>
        </is>
      </c>
      <c r="I219" s="9">
        <f>IF($B211="","",B219)</f>
        <v/>
      </c>
      <c r="K219" s="1" t="n"/>
      <c r="L219" s="1" t="n"/>
    </row>
    <row r="220">
      <c r="A220" t="inlineStr">
        <is>
          <t>Total (A) 总计 (A)</t>
        </is>
      </c>
      <c r="B220" s="6">
        <f>IF($B211="","",ROUND(B217+B219,2))</f>
        <v/>
      </c>
      <c r="D220" t="inlineStr">
        <is>
          <t>Total(B) 总计 (B)</t>
        </is>
      </c>
      <c r="E220" s="6">
        <f>IF($B211="","",ROUND(E212+E213+E214+E215+E216+E217,2))</f>
        <v/>
      </c>
      <c r="H220" t="inlineStr">
        <is>
          <t>Total© 总计 (C)</t>
        </is>
      </c>
      <c r="I220" s="6">
        <f>IF($B211="","",ROUND(I217+I219,2))</f>
        <v/>
      </c>
      <c r="K220" t="inlineStr">
        <is>
          <t>Total(D) 总计 (D)</t>
        </is>
      </c>
      <c r="L220" s="6">
        <f>IF($B211="","",ROUND(L212+L213+L214+L215+L216+L217,2))</f>
        <v/>
      </c>
    </row>
    <row r="221">
      <c r="A221" s="14" t="inlineStr">
        <is>
          <t>Total = Amount 2 + b/f petty cash  (金额2 + 上日备用金)</t>
        </is>
      </c>
      <c r="H221" s="14" t="inlineStr">
        <is>
          <t>Total = Amount 2 + b/f petty cash  (金额2 + 上日备用金)</t>
        </is>
      </c>
    </row>
    <row r="222">
      <c r="A222" t="inlineStr">
        <is>
          <t>Different 差额</t>
        </is>
      </c>
      <c r="B222" s="6">
        <f>IF($B211="","",ROUND(B220-E220,2))</f>
        <v/>
      </c>
      <c r="D222">
        <f>IF($B211="","",IF(ABS(B222)&gt;'Opening Balance'!$B$16,"ALERT 警报: Different over RM"&amp;'Opening Balance'!$B$16&amp;" 差额超过RM"&amp;'Opening Balance'!$B$16&amp;" - please check 请检查",IF(B222=0,"Tied 平衡",IF(ABS(B222)&lt;='Opening Balance'!$B$13,"Small difference 小额差额: adjusted on c/f petty cash 已调整备用金",IF(B222&gt;0,"Short 短收: added to Misc Charges 已加入杂项费用","Over 多收: added to Cash Sales 已加入现金销售")))))</f>
        <v/>
      </c>
      <c r="H222" t="inlineStr">
        <is>
          <t>Different 差额</t>
        </is>
      </c>
      <c r="I222" s="6">
        <f>IF($B211="","",ROUND(I220-L220,2))</f>
        <v/>
      </c>
    </row>
    <row r="223"/>
    <row r="224"/>
    <row r="225">
      <c r="A225" t="inlineStr">
        <is>
          <t>Date 日期</t>
        </is>
      </c>
      <c r="B225" s="5">
        <f>IF('Daily Sale entry '!$A18="","",'Daily Sale entry '!$A18)</f>
        <v/>
      </c>
      <c r="H225" t="inlineStr">
        <is>
          <t>After 调整后 (After)</t>
        </is>
      </c>
      <c r="I225" s="5">
        <f>IF($B225="","",B225)</f>
        <v/>
      </c>
    </row>
    <row r="226">
      <c r="A226" t="inlineStr">
        <is>
          <t>Cash Sales 现金销售</t>
        </is>
      </c>
      <c r="B226" s="6">
        <f>IF($B225="","",'Daily Sale entry '!B18)</f>
        <v/>
      </c>
      <c r="D226" t="inlineStr">
        <is>
          <t>c/f petty cash 今日备用金结转</t>
        </is>
      </c>
      <c r="E226" s="6">
        <f>IF($B225="","",'Daily Sale entry '!G18)</f>
        <v/>
      </c>
      <c r="H226" t="inlineStr">
        <is>
          <t>Cash Sales 现金销售</t>
        </is>
      </c>
      <c r="I226" s="6">
        <f>IF($B225="","",IF(AND(ABS(B236)&gt;'Opening Balance'!$B$13,B236&lt;0),ROUND(B226-B236,2),B226))</f>
        <v/>
      </c>
      <c r="K226" t="inlineStr">
        <is>
          <t>c/f petty cash 今日备用金结转</t>
        </is>
      </c>
      <c r="L226" s="6">
        <f>IF($B225="","",IF(ABS(B236)&lt;='Opening Balance'!$B$13,ROUND(E226+B236,2),E226))</f>
        <v/>
      </c>
    </row>
    <row r="227">
      <c r="A227" t="inlineStr">
        <is>
          <t>Misc Charges 杂项费用</t>
        </is>
      </c>
      <c r="B227" s="6">
        <f>IF($B225="","",'Daily Sale entry '!C18)</f>
        <v/>
      </c>
      <c r="D227" t="inlineStr">
        <is>
          <t>cash collection 现金收款</t>
        </is>
      </c>
      <c r="E227" s="6">
        <f>IF($B225="","",'Daily Sale entry '!H18)</f>
        <v/>
      </c>
      <c r="H227" t="inlineStr">
        <is>
          <t>Misc Charges 杂项费用</t>
        </is>
      </c>
      <c r="I227" s="6">
        <f>IF($B225="","",IF(AND(ABS(B236)&gt;'Opening Balance'!$B$13,B236&gt;0),ROUND(B227+B236,2),B227))</f>
        <v/>
      </c>
      <c r="K227" t="inlineStr">
        <is>
          <t>cash collection 现金收款</t>
        </is>
      </c>
      <c r="L227" s="6">
        <f>IF($B225="","",E227)</f>
        <v/>
      </c>
    </row>
    <row r="228">
      <c r="A228" s="1" t="inlineStr">
        <is>
          <t>Other Charges 其他费用</t>
        </is>
      </c>
      <c r="B228" s="9">
        <f>IF($B225="","",'Daily Sale entry '!D18)</f>
        <v/>
      </c>
      <c r="D228" s="1" t="inlineStr">
        <is>
          <t>Cheque Collection 支票收款</t>
        </is>
      </c>
      <c r="E228" s="9">
        <f>IF($B225="","",'Daily Sale entry '!J18)</f>
        <v/>
      </c>
      <c r="H228" s="1" t="inlineStr">
        <is>
          <t>Other Charges 其他费用</t>
        </is>
      </c>
      <c r="I228" s="9">
        <f>IF($B225="","",B228)</f>
        <v/>
      </c>
      <c r="K228" s="1" t="inlineStr">
        <is>
          <t>Cheque Collection 支票收款</t>
        </is>
      </c>
      <c r="L228" s="9">
        <f>IF($B225="","",E228)</f>
        <v/>
      </c>
    </row>
    <row r="229">
      <c r="A229" s="10" t="inlineStr">
        <is>
          <t>Amount 金额  (Cash Sales - Misc - Other)</t>
        </is>
      </c>
      <c r="B229" s="11">
        <f>IF($B225="","",ROUND(B226-B227-B228,2))</f>
        <v/>
      </c>
      <c r="D229" s="12" t="inlineStr">
        <is>
          <t>TNG collection TNG收款</t>
        </is>
      </c>
      <c r="E229" s="13">
        <f>IF($B225="","",'Daily Sale entry '!K18)</f>
        <v/>
      </c>
      <c r="H229" s="10" t="inlineStr">
        <is>
          <t>Amount 金额  (Cash Sales - Misc - Other)</t>
        </is>
      </c>
      <c r="I229" s="11">
        <f>IF($B225="","",ROUND(I226-I227-I228,2))</f>
        <v/>
      </c>
      <c r="K229" s="12" t="inlineStr">
        <is>
          <t>TNG collection TNG收款</t>
        </is>
      </c>
      <c r="L229" s="13">
        <f>IF($B225="","",E229)</f>
        <v/>
      </c>
    </row>
    <row r="230">
      <c r="A230" t="inlineStr">
        <is>
          <t>Credit Collection 赊账收款</t>
        </is>
      </c>
      <c r="B230" s="6">
        <f>IF($B225="","",'Daily Sale entry '!E18)</f>
        <v/>
      </c>
      <c r="D230" t="inlineStr">
        <is>
          <t>Advance Salary_M 预支薪水_M</t>
        </is>
      </c>
      <c r="E230" s="6">
        <f>IF($B225="","",'Daily Sale entry '!L18)</f>
        <v/>
      </c>
      <c r="H230" t="inlineStr">
        <is>
          <t>Credit Collection 赊账收款</t>
        </is>
      </c>
      <c r="I230" s="6">
        <f>IF($B225="","",B230)</f>
        <v/>
      </c>
      <c r="K230" t="inlineStr">
        <is>
          <t>Advance Salary_M 预支薪水_M</t>
        </is>
      </c>
      <c r="L230" s="6">
        <f>IF($B225="","",E230)</f>
        <v/>
      </c>
    </row>
    <row r="231">
      <c r="A231" s="10" t="inlineStr">
        <is>
          <t>Amount 2 金额2  (Amount + Credit Collection)</t>
        </is>
      </c>
      <c r="B231" s="11">
        <f>IF($B225="","",ROUND(B229+B230,2))</f>
        <v/>
      </c>
      <c r="D231" t="inlineStr">
        <is>
          <t>Advance Salary_H 预支薪水_H</t>
        </is>
      </c>
      <c r="E231" s="6">
        <f>IF($B225="","",'Daily Sale entry '!M18)</f>
        <v/>
      </c>
      <c r="H231" s="10" t="inlineStr">
        <is>
          <t>Amount 2 金额2  (Amount + Credit Collection)</t>
        </is>
      </c>
      <c r="I231" s="11">
        <f>IF($B225="","",ROUND(I229+I230,2))</f>
        <v/>
      </c>
      <c r="K231" t="inlineStr">
        <is>
          <t>Advance Salary_H 预支薪水_H</t>
        </is>
      </c>
      <c r="L231" s="6">
        <f>IF($B225="","",E231)</f>
        <v/>
      </c>
    </row>
    <row r="232"/>
    <row r="233">
      <c r="A233" s="1" t="inlineStr">
        <is>
          <t>b/f petty cash 上日备用金结转</t>
        </is>
      </c>
      <c r="B233" s="9">
        <f>IF($B225="","",'Daily Sale entry '!F18)</f>
        <v/>
      </c>
      <c r="D233" s="1" t="n"/>
      <c r="E233" s="1" t="n"/>
      <c r="H233" s="1" t="inlineStr">
        <is>
          <t>b/f petty cash 上日备用金结转</t>
        </is>
      </c>
      <c r="I233" s="9">
        <f>IF($B225="","",B233)</f>
        <v/>
      </c>
      <c r="K233" s="1" t="n"/>
      <c r="L233" s="1" t="n"/>
    </row>
    <row r="234">
      <c r="A234" t="inlineStr">
        <is>
          <t>Total (A) 总计 (A)</t>
        </is>
      </c>
      <c r="B234" s="6">
        <f>IF($B225="","",ROUND(B231+B233,2))</f>
        <v/>
      </c>
      <c r="D234" t="inlineStr">
        <is>
          <t>Total(B) 总计 (B)</t>
        </is>
      </c>
      <c r="E234" s="6">
        <f>IF($B225="","",ROUND(E226+E227+E228+E229+E230+E231,2))</f>
        <v/>
      </c>
      <c r="H234" t="inlineStr">
        <is>
          <t>Total© 总计 (C)</t>
        </is>
      </c>
      <c r="I234" s="6">
        <f>IF($B225="","",ROUND(I231+I233,2))</f>
        <v/>
      </c>
      <c r="K234" t="inlineStr">
        <is>
          <t>Total(D) 总计 (D)</t>
        </is>
      </c>
      <c r="L234" s="6">
        <f>IF($B225="","",ROUND(L226+L227+L228+L229+L230+L231,2))</f>
        <v/>
      </c>
    </row>
    <row r="235">
      <c r="A235" s="14" t="inlineStr">
        <is>
          <t>Total = Amount 2 + b/f petty cash  (金额2 + 上日备用金)</t>
        </is>
      </c>
      <c r="H235" s="14" t="inlineStr">
        <is>
          <t>Total = Amount 2 + b/f petty cash  (金额2 + 上日备用金)</t>
        </is>
      </c>
    </row>
    <row r="236">
      <c r="A236" t="inlineStr">
        <is>
          <t>Different 差额</t>
        </is>
      </c>
      <c r="B236" s="6">
        <f>IF($B225="","",ROUND(B234-E234,2))</f>
        <v/>
      </c>
      <c r="D236">
        <f>IF($B225="","",IF(ABS(B236)&gt;'Opening Balance'!$B$16,"ALERT 警报: Different over RM"&amp;'Opening Balance'!$B$16&amp;" 差额超过RM"&amp;'Opening Balance'!$B$16&amp;" - please check 请检查",IF(B236=0,"Tied 平衡",IF(ABS(B236)&lt;='Opening Balance'!$B$13,"Small difference 小额差额: adjusted on c/f petty cash 已调整备用金",IF(B236&gt;0,"Short 短收: added to Misc Charges 已加入杂项费用","Over 多收: added to Cash Sales 已加入现金销售")))))</f>
        <v/>
      </c>
      <c r="H236" t="inlineStr">
        <is>
          <t>Different 差额</t>
        </is>
      </c>
      <c r="I236" s="6">
        <f>IF($B225="","",ROUND(I234-L234,2))</f>
        <v/>
      </c>
    </row>
    <row r="237"/>
    <row r="238"/>
    <row r="239">
      <c r="A239" t="inlineStr">
        <is>
          <t>Date 日期</t>
        </is>
      </c>
      <c r="B239" s="5">
        <f>IF('Daily Sale entry '!$A19="","",'Daily Sale entry '!$A19)</f>
        <v/>
      </c>
      <c r="H239" t="inlineStr">
        <is>
          <t>After 调整后 (After)</t>
        </is>
      </c>
      <c r="I239" s="5">
        <f>IF($B239="","",B239)</f>
        <v/>
      </c>
    </row>
    <row r="240">
      <c r="A240" t="inlineStr">
        <is>
          <t>Cash Sales 现金销售</t>
        </is>
      </c>
      <c r="B240" s="6">
        <f>IF($B239="","",'Daily Sale entry '!B19)</f>
        <v/>
      </c>
      <c r="D240" t="inlineStr">
        <is>
          <t>c/f petty cash 今日备用金结转</t>
        </is>
      </c>
      <c r="E240" s="6">
        <f>IF($B239="","",'Daily Sale entry '!G19)</f>
        <v/>
      </c>
      <c r="H240" t="inlineStr">
        <is>
          <t>Cash Sales 现金销售</t>
        </is>
      </c>
      <c r="I240" s="6">
        <f>IF($B239="","",IF(AND(ABS(B250)&gt;'Opening Balance'!$B$13,B250&lt;0),ROUND(B240-B250,2),B240))</f>
        <v/>
      </c>
      <c r="K240" t="inlineStr">
        <is>
          <t>c/f petty cash 今日备用金结转</t>
        </is>
      </c>
      <c r="L240" s="6">
        <f>IF($B239="","",IF(ABS(B250)&lt;='Opening Balance'!$B$13,ROUND(E240+B250,2),E240))</f>
        <v/>
      </c>
    </row>
    <row r="241">
      <c r="A241" t="inlineStr">
        <is>
          <t>Misc Charges 杂项费用</t>
        </is>
      </c>
      <c r="B241" s="6">
        <f>IF($B239="","",'Daily Sale entry '!C19)</f>
        <v/>
      </c>
      <c r="D241" t="inlineStr">
        <is>
          <t>cash collection 现金收款</t>
        </is>
      </c>
      <c r="E241" s="6">
        <f>IF($B239="","",'Daily Sale entry '!H19)</f>
        <v/>
      </c>
      <c r="H241" t="inlineStr">
        <is>
          <t>Misc Charges 杂项费用</t>
        </is>
      </c>
      <c r="I241" s="6">
        <f>IF($B239="","",IF(AND(ABS(B250)&gt;'Opening Balance'!$B$13,B250&gt;0),ROUND(B241+B250,2),B241))</f>
        <v/>
      </c>
      <c r="K241" t="inlineStr">
        <is>
          <t>cash collection 现金收款</t>
        </is>
      </c>
      <c r="L241" s="6">
        <f>IF($B239="","",E241)</f>
        <v/>
      </c>
    </row>
    <row r="242">
      <c r="A242" s="1" t="inlineStr">
        <is>
          <t>Other Charges 其他费用</t>
        </is>
      </c>
      <c r="B242" s="9">
        <f>IF($B239="","",'Daily Sale entry '!D19)</f>
        <v/>
      </c>
      <c r="D242" s="1" t="inlineStr">
        <is>
          <t>Cheque Collection 支票收款</t>
        </is>
      </c>
      <c r="E242" s="9">
        <f>IF($B239="","",'Daily Sale entry '!J19)</f>
        <v/>
      </c>
      <c r="H242" s="1" t="inlineStr">
        <is>
          <t>Other Charges 其他费用</t>
        </is>
      </c>
      <c r="I242" s="9">
        <f>IF($B239="","",B242)</f>
        <v/>
      </c>
      <c r="K242" s="1" t="inlineStr">
        <is>
          <t>Cheque Collection 支票收款</t>
        </is>
      </c>
      <c r="L242" s="9">
        <f>IF($B239="","",E242)</f>
        <v/>
      </c>
    </row>
    <row r="243">
      <c r="A243" s="10" t="inlineStr">
        <is>
          <t>Amount 金额  (Cash Sales - Misc - Other)</t>
        </is>
      </c>
      <c r="B243" s="11">
        <f>IF($B239="","",ROUND(B240-B241-B242,2))</f>
        <v/>
      </c>
      <c r="D243" s="12" t="inlineStr">
        <is>
          <t>TNG collection TNG收款</t>
        </is>
      </c>
      <c r="E243" s="13">
        <f>IF($B239="","",'Daily Sale entry '!K19)</f>
        <v/>
      </c>
      <c r="H243" s="10" t="inlineStr">
        <is>
          <t>Amount 金额  (Cash Sales - Misc - Other)</t>
        </is>
      </c>
      <c r="I243" s="11">
        <f>IF($B239="","",ROUND(I240-I241-I242,2))</f>
        <v/>
      </c>
      <c r="K243" s="12" t="inlineStr">
        <is>
          <t>TNG collection TNG收款</t>
        </is>
      </c>
      <c r="L243" s="13">
        <f>IF($B239="","",E243)</f>
        <v/>
      </c>
    </row>
    <row r="244">
      <c r="A244" t="inlineStr">
        <is>
          <t>Credit Collection 赊账收款</t>
        </is>
      </c>
      <c r="B244" s="6">
        <f>IF($B239="","",'Daily Sale entry '!E19)</f>
        <v/>
      </c>
      <c r="D244" t="inlineStr">
        <is>
          <t>Advance Salary_M 预支薪水_M</t>
        </is>
      </c>
      <c r="E244" s="6">
        <f>IF($B239="","",'Daily Sale entry '!L19)</f>
        <v/>
      </c>
      <c r="H244" t="inlineStr">
        <is>
          <t>Credit Collection 赊账收款</t>
        </is>
      </c>
      <c r="I244" s="6">
        <f>IF($B239="","",B244)</f>
        <v/>
      </c>
      <c r="K244" t="inlineStr">
        <is>
          <t>Advance Salary_M 预支薪水_M</t>
        </is>
      </c>
      <c r="L244" s="6">
        <f>IF($B239="","",E244)</f>
        <v/>
      </c>
    </row>
    <row r="245">
      <c r="A245" s="10" t="inlineStr">
        <is>
          <t>Amount 2 金额2  (Amount + Credit Collection)</t>
        </is>
      </c>
      <c r="B245" s="11">
        <f>IF($B239="","",ROUND(B243+B244,2))</f>
        <v/>
      </c>
      <c r="D245" t="inlineStr">
        <is>
          <t>Advance Salary_H 预支薪水_H</t>
        </is>
      </c>
      <c r="E245" s="6">
        <f>IF($B239="","",'Daily Sale entry '!M19)</f>
        <v/>
      </c>
      <c r="H245" s="10" t="inlineStr">
        <is>
          <t>Amount 2 金额2  (Amount + Credit Collection)</t>
        </is>
      </c>
      <c r="I245" s="11">
        <f>IF($B239="","",ROUND(I243+I244,2))</f>
        <v/>
      </c>
      <c r="K245" t="inlineStr">
        <is>
          <t>Advance Salary_H 预支薪水_H</t>
        </is>
      </c>
      <c r="L245" s="6">
        <f>IF($B239="","",E245)</f>
        <v/>
      </c>
    </row>
    <row r="246"/>
    <row r="247">
      <c r="A247" s="1" t="inlineStr">
        <is>
          <t>b/f petty cash 上日备用金结转</t>
        </is>
      </c>
      <c r="B247" s="9">
        <f>IF($B239="","",'Daily Sale entry '!F19)</f>
        <v/>
      </c>
      <c r="D247" s="1" t="n"/>
      <c r="E247" s="1" t="n"/>
      <c r="H247" s="1" t="inlineStr">
        <is>
          <t>b/f petty cash 上日备用金结转</t>
        </is>
      </c>
      <c r="I247" s="9">
        <f>IF($B239="","",B247)</f>
        <v/>
      </c>
      <c r="K247" s="1" t="n"/>
      <c r="L247" s="1" t="n"/>
    </row>
    <row r="248">
      <c r="A248" t="inlineStr">
        <is>
          <t>Total (A) 总计 (A)</t>
        </is>
      </c>
      <c r="B248" s="6">
        <f>IF($B239="","",ROUND(B245+B247,2))</f>
        <v/>
      </c>
      <c r="D248" t="inlineStr">
        <is>
          <t>Total(B) 总计 (B)</t>
        </is>
      </c>
      <c r="E248" s="6">
        <f>IF($B239="","",ROUND(E240+E241+E242+E243+E244+E245,2))</f>
        <v/>
      </c>
      <c r="H248" t="inlineStr">
        <is>
          <t>Total© 总计 (C)</t>
        </is>
      </c>
      <c r="I248" s="6">
        <f>IF($B239="","",ROUND(I245+I247,2))</f>
        <v/>
      </c>
      <c r="K248" t="inlineStr">
        <is>
          <t>Total(D) 总计 (D)</t>
        </is>
      </c>
      <c r="L248" s="6">
        <f>IF($B239="","",ROUND(L240+L241+L242+L243+L244+L245,2))</f>
        <v/>
      </c>
    </row>
    <row r="249">
      <c r="A249" s="14" t="inlineStr">
        <is>
          <t>Total = Amount 2 + b/f petty cash  (金额2 + 上日备用金)</t>
        </is>
      </c>
      <c r="H249" s="14" t="inlineStr">
        <is>
          <t>Total = Amount 2 + b/f petty cash  (金额2 + 上日备用金)</t>
        </is>
      </c>
    </row>
    <row r="250">
      <c r="A250" t="inlineStr">
        <is>
          <t>Different 差额</t>
        </is>
      </c>
      <c r="B250" s="6">
        <f>IF($B239="","",ROUND(B248-E248,2))</f>
        <v/>
      </c>
      <c r="D250">
        <f>IF($B239="","",IF(ABS(B250)&gt;'Opening Balance'!$B$16,"ALERT 警报: Different over RM"&amp;'Opening Balance'!$B$16&amp;" 差额超过RM"&amp;'Opening Balance'!$B$16&amp;" - please check 请检查",IF(B250=0,"Tied 平衡",IF(ABS(B250)&lt;='Opening Balance'!$B$13,"Small difference 小额差额: adjusted on c/f petty cash 已调整备用金",IF(B250&gt;0,"Short 短收: added to Misc Charges 已加入杂项费用","Over 多收: added to Cash Sales 已加入现金销售")))))</f>
        <v/>
      </c>
      <c r="H250" t="inlineStr">
        <is>
          <t>Different 差额</t>
        </is>
      </c>
      <c r="I250" s="6">
        <f>IF($B239="","",ROUND(I248-L248,2))</f>
        <v/>
      </c>
    </row>
    <row r="251"/>
    <row r="252"/>
    <row r="253">
      <c r="A253" t="inlineStr">
        <is>
          <t>Date 日期</t>
        </is>
      </c>
      <c r="B253" s="5">
        <f>IF('Daily Sale entry '!$A20="","",'Daily Sale entry '!$A20)</f>
        <v/>
      </c>
      <c r="H253" t="inlineStr">
        <is>
          <t>After 调整后 (After)</t>
        </is>
      </c>
      <c r="I253" s="5">
        <f>IF($B253="","",B253)</f>
        <v/>
      </c>
    </row>
    <row r="254">
      <c r="A254" t="inlineStr">
        <is>
          <t>Cash Sales 现金销售</t>
        </is>
      </c>
      <c r="B254" s="6">
        <f>IF($B253="","",'Daily Sale entry '!B20)</f>
        <v/>
      </c>
      <c r="D254" t="inlineStr">
        <is>
          <t>c/f petty cash 今日备用金结转</t>
        </is>
      </c>
      <c r="E254" s="6">
        <f>IF($B253="","",'Daily Sale entry '!G20)</f>
        <v/>
      </c>
      <c r="H254" t="inlineStr">
        <is>
          <t>Cash Sales 现金销售</t>
        </is>
      </c>
      <c r="I254" s="6">
        <f>IF($B253="","",IF(AND(ABS(B264)&gt;'Opening Balance'!$B$13,B264&lt;0),ROUND(B254-B264,2),B254))</f>
        <v/>
      </c>
      <c r="K254" t="inlineStr">
        <is>
          <t>c/f petty cash 今日备用金结转</t>
        </is>
      </c>
      <c r="L254" s="6">
        <f>IF($B253="","",IF(ABS(B264)&lt;='Opening Balance'!$B$13,ROUND(E254+B264,2),E254))</f>
        <v/>
      </c>
    </row>
    <row r="255">
      <c r="A255" t="inlineStr">
        <is>
          <t>Misc Charges 杂项费用</t>
        </is>
      </c>
      <c r="B255" s="6">
        <f>IF($B253="","",'Daily Sale entry '!C20)</f>
        <v/>
      </c>
      <c r="D255" t="inlineStr">
        <is>
          <t>cash collection 现金收款</t>
        </is>
      </c>
      <c r="E255" s="6">
        <f>IF($B253="","",'Daily Sale entry '!H20)</f>
        <v/>
      </c>
      <c r="H255" t="inlineStr">
        <is>
          <t>Misc Charges 杂项费用</t>
        </is>
      </c>
      <c r="I255" s="6">
        <f>IF($B253="","",IF(AND(ABS(B264)&gt;'Opening Balance'!$B$13,B264&gt;0),ROUND(B255+B264,2),B255))</f>
        <v/>
      </c>
      <c r="K255" t="inlineStr">
        <is>
          <t>cash collection 现金收款</t>
        </is>
      </c>
      <c r="L255" s="6">
        <f>IF($B253="","",E255)</f>
        <v/>
      </c>
    </row>
    <row r="256">
      <c r="A256" s="1" t="inlineStr">
        <is>
          <t>Other Charges 其他费用</t>
        </is>
      </c>
      <c r="B256" s="9">
        <f>IF($B253="","",'Daily Sale entry '!D20)</f>
        <v/>
      </c>
      <c r="D256" s="1" t="inlineStr">
        <is>
          <t>Cheque Collection 支票收款</t>
        </is>
      </c>
      <c r="E256" s="9">
        <f>IF($B253="","",'Daily Sale entry '!J20)</f>
        <v/>
      </c>
      <c r="H256" s="1" t="inlineStr">
        <is>
          <t>Other Charges 其他费用</t>
        </is>
      </c>
      <c r="I256" s="9">
        <f>IF($B253="","",B256)</f>
        <v/>
      </c>
      <c r="K256" s="1" t="inlineStr">
        <is>
          <t>Cheque Collection 支票收款</t>
        </is>
      </c>
      <c r="L256" s="9">
        <f>IF($B253="","",E256)</f>
        <v/>
      </c>
    </row>
    <row r="257">
      <c r="A257" s="10" t="inlineStr">
        <is>
          <t>Amount 金额  (Cash Sales - Misc - Other)</t>
        </is>
      </c>
      <c r="B257" s="11">
        <f>IF($B253="","",ROUND(B254-B255-B256,2))</f>
        <v/>
      </c>
      <c r="D257" s="12" t="inlineStr">
        <is>
          <t>TNG collection TNG收款</t>
        </is>
      </c>
      <c r="E257" s="13">
        <f>IF($B253="","",'Daily Sale entry '!K20)</f>
        <v/>
      </c>
      <c r="H257" s="10" t="inlineStr">
        <is>
          <t>Amount 金额  (Cash Sales - Misc - Other)</t>
        </is>
      </c>
      <c r="I257" s="11">
        <f>IF($B253="","",ROUND(I254-I255-I256,2))</f>
        <v/>
      </c>
      <c r="K257" s="12" t="inlineStr">
        <is>
          <t>TNG collection TNG收款</t>
        </is>
      </c>
      <c r="L257" s="13">
        <f>IF($B253="","",E257)</f>
        <v/>
      </c>
    </row>
    <row r="258">
      <c r="A258" t="inlineStr">
        <is>
          <t>Credit Collection 赊账收款</t>
        </is>
      </c>
      <c r="B258" s="6">
        <f>IF($B253="","",'Daily Sale entry '!E20)</f>
        <v/>
      </c>
      <c r="D258" t="inlineStr">
        <is>
          <t>Advance Salary_M 预支薪水_M</t>
        </is>
      </c>
      <c r="E258" s="6">
        <f>IF($B253="","",'Daily Sale entry '!L20)</f>
        <v/>
      </c>
      <c r="H258" t="inlineStr">
        <is>
          <t>Credit Collection 赊账收款</t>
        </is>
      </c>
      <c r="I258" s="6">
        <f>IF($B253="","",B258)</f>
        <v/>
      </c>
      <c r="K258" t="inlineStr">
        <is>
          <t>Advance Salary_M 预支薪水_M</t>
        </is>
      </c>
      <c r="L258" s="6">
        <f>IF($B253="","",E258)</f>
        <v/>
      </c>
    </row>
    <row r="259">
      <c r="A259" s="10" t="inlineStr">
        <is>
          <t>Amount 2 金额2  (Amount + Credit Collection)</t>
        </is>
      </c>
      <c r="B259" s="11">
        <f>IF($B253="","",ROUND(B257+B258,2))</f>
        <v/>
      </c>
      <c r="D259" t="inlineStr">
        <is>
          <t>Advance Salary_H 预支薪水_H</t>
        </is>
      </c>
      <c r="E259" s="6">
        <f>IF($B253="","",'Daily Sale entry '!M20)</f>
        <v/>
      </c>
      <c r="H259" s="10" t="inlineStr">
        <is>
          <t>Amount 2 金额2  (Amount + Credit Collection)</t>
        </is>
      </c>
      <c r="I259" s="11">
        <f>IF($B253="","",ROUND(I257+I258,2))</f>
        <v/>
      </c>
      <c r="K259" t="inlineStr">
        <is>
          <t>Advance Salary_H 预支薪水_H</t>
        </is>
      </c>
      <c r="L259" s="6">
        <f>IF($B253="","",E259)</f>
        <v/>
      </c>
    </row>
    <row r="260"/>
    <row r="261">
      <c r="A261" s="1" t="inlineStr">
        <is>
          <t>b/f petty cash 上日备用金结转</t>
        </is>
      </c>
      <c r="B261" s="9">
        <f>IF($B253="","",'Daily Sale entry '!F20)</f>
        <v/>
      </c>
      <c r="D261" s="1" t="n"/>
      <c r="E261" s="1" t="n"/>
      <c r="H261" s="1" t="inlineStr">
        <is>
          <t>b/f petty cash 上日备用金结转</t>
        </is>
      </c>
      <c r="I261" s="9">
        <f>IF($B253="","",B261)</f>
        <v/>
      </c>
      <c r="K261" s="1" t="n"/>
      <c r="L261" s="1" t="n"/>
    </row>
    <row r="262">
      <c r="A262" t="inlineStr">
        <is>
          <t>Total (A) 总计 (A)</t>
        </is>
      </c>
      <c r="B262" s="6">
        <f>IF($B253="","",ROUND(B259+B261,2))</f>
        <v/>
      </c>
      <c r="D262" t="inlineStr">
        <is>
          <t>Total(B) 总计 (B)</t>
        </is>
      </c>
      <c r="E262" s="6">
        <f>IF($B253="","",ROUND(E254+E255+E256+E257+E258+E259,2))</f>
        <v/>
      </c>
      <c r="H262" t="inlineStr">
        <is>
          <t>Total© 总计 (C)</t>
        </is>
      </c>
      <c r="I262" s="6">
        <f>IF($B253="","",ROUND(I259+I261,2))</f>
        <v/>
      </c>
      <c r="K262" t="inlineStr">
        <is>
          <t>Total(D) 总计 (D)</t>
        </is>
      </c>
      <c r="L262" s="6">
        <f>IF($B253="","",ROUND(L254+L255+L256+L257+L258+L259,2))</f>
        <v/>
      </c>
    </row>
    <row r="263">
      <c r="A263" s="14" t="inlineStr">
        <is>
          <t>Total = Amount 2 + b/f petty cash  (金额2 + 上日备用金)</t>
        </is>
      </c>
      <c r="H263" s="14" t="inlineStr">
        <is>
          <t>Total = Amount 2 + b/f petty cash  (金额2 + 上日备用金)</t>
        </is>
      </c>
    </row>
    <row r="264">
      <c r="A264" t="inlineStr">
        <is>
          <t>Different 差额</t>
        </is>
      </c>
      <c r="B264" s="6">
        <f>IF($B253="","",ROUND(B262-E262,2))</f>
        <v/>
      </c>
      <c r="D264">
        <f>IF($B253="","",IF(ABS(B264)&gt;'Opening Balance'!$B$16,"ALERT 警报: Different over RM"&amp;'Opening Balance'!$B$16&amp;" 差额超过RM"&amp;'Opening Balance'!$B$16&amp;" - please check 请检查",IF(B264=0,"Tied 平衡",IF(ABS(B264)&lt;='Opening Balance'!$B$13,"Small difference 小额差额: adjusted on c/f petty cash 已调整备用金",IF(B264&gt;0,"Short 短收: added to Misc Charges 已加入杂项费用","Over 多收: added to Cash Sales 已加入现金销售")))))</f>
        <v/>
      </c>
      <c r="H264" t="inlineStr">
        <is>
          <t>Different 差额</t>
        </is>
      </c>
      <c r="I264" s="6">
        <f>IF($B253="","",ROUND(I262-L262,2))</f>
        <v/>
      </c>
    </row>
    <row r="265"/>
    <row r="266"/>
    <row r="267">
      <c r="A267" t="inlineStr">
        <is>
          <t>Date 日期</t>
        </is>
      </c>
      <c r="B267" s="5">
        <f>IF('Daily Sale entry '!$A21="","",'Daily Sale entry '!$A21)</f>
        <v/>
      </c>
      <c r="H267" t="inlineStr">
        <is>
          <t>After 调整后 (After)</t>
        </is>
      </c>
      <c r="I267" s="5">
        <f>IF($B267="","",B267)</f>
        <v/>
      </c>
    </row>
    <row r="268">
      <c r="A268" t="inlineStr">
        <is>
          <t>Cash Sales 现金销售</t>
        </is>
      </c>
      <c r="B268" s="6">
        <f>IF($B267="","",'Daily Sale entry '!B21)</f>
        <v/>
      </c>
      <c r="D268" t="inlineStr">
        <is>
          <t>c/f petty cash 今日备用金结转</t>
        </is>
      </c>
      <c r="E268" s="6">
        <f>IF($B267="","",'Daily Sale entry '!G21)</f>
        <v/>
      </c>
      <c r="H268" t="inlineStr">
        <is>
          <t>Cash Sales 现金销售</t>
        </is>
      </c>
      <c r="I268" s="6">
        <f>IF($B267="","",IF(AND(ABS(B278)&gt;'Opening Balance'!$B$13,B278&lt;0),ROUND(B268-B278,2),B268))</f>
        <v/>
      </c>
      <c r="K268" t="inlineStr">
        <is>
          <t>c/f petty cash 今日备用金结转</t>
        </is>
      </c>
      <c r="L268" s="6">
        <f>IF($B267="","",IF(ABS(B278)&lt;='Opening Balance'!$B$13,ROUND(E268+B278,2),E268))</f>
        <v/>
      </c>
    </row>
    <row r="269">
      <c r="A269" t="inlineStr">
        <is>
          <t>Misc Charges 杂项费用</t>
        </is>
      </c>
      <c r="B269" s="6">
        <f>IF($B267="","",'Daily Sale entry '!C21)</f>
        <v/>
      </c>
      <c r="D269" t="inlineStr">
        <is>
          <t>cash collection 现金收款</t>
        </is>
      </c>
      <c r="E269" s="6">
        <f>IF($B267="","",'Daily Sale entry '!H21)</f>
        <v/>
      </c>
      <c r="H269" t="inlineStr">
        <is>
          <t>Misc Charges 杂项费用</t>
        </is>
      </c>
      <c r="I269" s="6">
        <f>IF($B267="","",IF(AND(ABS(B278)&gt;'Opening Balance'!$B$13,B278&gt;0),ROUND(B269+B278,2),B269))</f>
        <v/>
      </c>
      <c r="K269" t="inlineStr">
        <is>
          <t>cash collection 现金收款</t>
        </is>
      </c>
      <c r="L269" s="6">
        <f>IF($B267="","",E269)</f>
        <v/>
      </c>
    </row>
    <row r="270">
      <c r="A270" s="1" t="inlineStr">
        <is>
          <t>Other Charges 其他费用</t>
        </is>
      </c>
      <c r="B270" s="9">
        <f>IF($B267="","",'Daily Sale entry '!D21)</f>
        <v/>
      </c>
      <c r="D270" s="1" t="inlineStr">
        <is>
          <t>Cheque Collection 支票收款</t>
        </is>
      </c>
      <c r="E270" s="9">
        <f>IF($B267="","",'Daily Sale entry '!J21)</f>
        <v/>
      </c>
      <c r="H270" s="1" t="inlineStr">
        <is>
          <t>Other Charges 其他费用</t>
        </is>
      </c>
      <c r="I270" s="9">
        <f>IF($B267="","",B270)</f>
        <v/>
      </c>
      <c r="K270" s="1" t="inlineStr">
        <is>
          <t>Cheque Collection 支票收款</t>
        </is>
      </c>
      <c r="L270" s="9">
        <f>IF($B267="","",E270)</f>
        <v/>
      </c>
    </row>
    <row r="271">
      <c r="A271" s="10" t="inlineStr">
        <is>
          <t>Amount 金额  (Cash Sales - Misc - Other)</t>
        </is>
      </c>
      <c r="B271" s="11">
        <f>IF($B267="","",ROUND(B268-B269-B270,2))</f>
        <v/>
      </c>
      <c r="D271" s="12" t="inlineStr">
        <is>
          <t>TNG collection TNG收款</t>
        </is>
      </c>
      <c r="E271" s="13">
        <f>IF($B267="","",'Daily Sale entry '!K21)</f>
        <v/>
      </c>
      <c r="H271" s="10" t="inlineStr">
        <is>
          <t>Amount 金额  (Cash Sales - Misc - Other)</t>
        </is>
      </c>
      <c r="I271" s="11">
        <f>IF($B267="","",ROUND(I268-I269-I270,2))</f>
        <v/>
      </c>
      <c r="K271" s="12" t="inlineStr">
        <is>
          <t>TNG collection TNG收款</t>
        </is>
      </c>
      <c r="L271" s="13">
        <f>IF($B267="","",E271)</f>
        <v/>
      </c>
    </row>
    <row r="272">
      <c r="A272" t="inlineStr">
        <is>
          <t>Credit Collection 赊账收款</t>
        </is>
      </c>
      <c r="B272" s="6">
        <f>IF($B267="","",'Daily Sale entry '!E21)</f>
        <v/>
      </c>
      <c r="D272" t="inlineStr">
        <is>
          <t>Advance Salary_M 预支薪水_M</t>
        </is>
      </c>
      <c r="E272" s="6">
        <f>IF($B267="","",'Daily Sale entry '!L21)</f>
        <v/>
      </c>
      <c r="H272" t="inlineStr">
        <is>
          <t>Credit Collection 赊账收款</t>
        </is>
      </c>
      <c r="I272" s="6">
        <f>IF($B267="","",B272)</f>
        <v/>
      </c>
      <c r="K272" t="inlineStr">
        <is>
          <t>Advance Salary_M 预支薪水_M</t>
        </is>
      </c>
      <c r="L272" s="6">
        <f>IF($B267="","",E272)</f>
        <v/>
      </c>
    </row>
    <row r="273">
      <c r="A273" s="10" t="inlineStr">
        <is>
          <t>Amount 2 金额2  (Amount + Credit Collection)</t>
        </is>
      </c>
      <c r="B273" s="11">
        <f>IF($B267="","",ROUND(B271+B272,2))</f>
        <v/>
      </c>
      <c r="D273" t="inlineStr">
        <is>
          <t>Advance Salary_H 预支薪水_H</t>
        </is>
      </c>
      <c r="E273" s="6">
        <f>IF($B267="","",'Daily Sale entry '!M21)</f>
        <v/>
      </c>
      <c r="H273" s="10" t="inlineStr">
        <is>
          <t>Amount 2 金额2  (Amount + Credit Collection)</t>
        </is>
      </c>
      <c r="I273" s="11">
        <f>IF($B267="","",ROUND(I271+I272,2))</f>
        <v/>
      </c>
      <c r="K273" t="inlineStr">
        <is>
          <t>Advance Salary_H 预支薪水_H</t>
        </is>
      </c>
      <c r="L273" s="6">
        <f>IF($B267="","",E273)</f>
        <v/>
      </c>
    </row>
    <row r="274"/>
    <row r="275">
      <c r="A275" s="1" t="inlineStr">
        <is>
          <t>b/f petty cash 上日备用金结转</t>
        </is>
      </c>
      <c r="B275" s="9">
        <f>IF($B267="","",'Daily Sale entry '!F21)</f>
        <v/>
      </c>
      <c r="D275" s="1" t="n"/>
      <c r="E275" s="1" t="n"/>
      <c r="H275" s="1" t="inlineStr">
        <is>
          <t>b/f petty cash 上日备用金结转</t>
        </is>
      </c>
      <c r="I275" s="9">
        <f>IF($B267="","",B275)</f>
        <v/>
      </c>
      <c r="K275" s="1" t="n"/>
      <c r="L275" s="1" t="n"/>
    </row>
    <row r="276">
      <c r="A276" t="inlineStr">
        <is>
          <t>Total (A) 总计 (A)</t>
        </is>
      </c>
      <c r="B276" s="6">
        <f>IF($B267="","",ROUND(B273+B275,2))</f>
        <v/>
      </c>
      <c r="D276" t="inlineStr">
        <is>
          <t>Total(B) 总计 (B)</t>
        </is>
      </c>
      <c r="E276" s="6">
        <f>IF($B267="","",ROUND(E268+E269+E270+E271+E272+E273,2))</f>
        <v/>
      </c>
      <c r="H276" t="inlineStr">
        <is>
          <t>Total© 总计 (C)</t>
        </is>
      </c>
      <c r="I276" s="6">
        <f>IF($B267="","",ROUND(I273+I275,2))</f>
        <v/>
      </c>
      <c r="K276" t="inlineStr">
        <is>
          <t>Total(D) 总计 (D)</t>
        </is>
      </c>
      <c r="L276" s="6">
        <f>IF($B267="","",ROUND(L268+L269+L270+L271+L272+L273,2))</f>
        <v/>
      </c>
    </row>
    <row r="277">
      <c r="A277" s="14" t="inlineStr">
        <is>
          <t>Total = Amount 2 + b/f petty cash  (金额2 + 上日备用金)</t>
        </is>
      </c>
      <c r="H277" s="14" t="inlineStr">
        <is>
          <t>Total = Amount 2 + b/f petty cash  (金额2 + 上日备用金)</t>
        </is>
      </c>
    </row>
    <row r="278">
      <c r="A278" t="inlineStr">
        <is>
          <t>Different 差额</t>
        </is>
      </c>
      <c r="B278" s="6">
        <f>IF($B267="","",ROUND(B276-E276,2))</f>
        <v/>
      </c>
      <c r="D278">
        <f>IF($B267="","",IF(ABS(B278)&gt;'Opening Balance'!$B$16,"ALERT 警报: Different over RM"&amp;'Opening Balance'!$B$16&amp;" 差额超过RM"&amp;'Opening Balance'!$B$16&amp;" - please check 请检查",IF(B278=0,"Tied 平衡",IF(ABS(B278)&lt;='Opening Balance'!$B$13,"Small difference 小额差额: adjusted on c/f petty cash 已调整备用金",IF(B278&gt;0,"Short 短收: added to Misc Charges 已加入杂项费用","Over 多收: added to Cash Sales 已加入现金销售")))))</f>
        <v/>
      </c>
      <c r="H278" t="inlineStr">
        <is>
          <t>Different 差额</t>
        </is>
      </c>
      <c r="I278" s="6">
        <f>IF($B267="","",ROUND(I276-L276,2))</f>
        <v/>
      </c>
    </row>
    <row r="279"/>
    <row r="280"/>
    <row r="281">
      <c r="A281" t="inlineStr">
        <is>
          <t>Date 日期</t>
        </is>
      </c>
      <c r="B281" s="5">
        <f>IF('Daily Sale entry '!$A22="","",'Daily Sale entry '!$A22)</f>
        <v/>
      </c>
      <c r="H281" t="inlineStr">
        <is>
          <t>After 调整后 (After)</t>
        </is>
      </c>
      <c r="I281" s="5">
        <f>IF($B281="","",B281)</f>
        <v/>
      </c>
    </row>
    <row r="282">
      <c r="A282" t="inlineStr">
        <is>
          <t>Cash Sales 现金销售</t>
        </is>
      </c>
      <c r="B282" s="6">
        <f>IF($B281="","",'Daily Sale entry '!B22)</f>
        <v/>
      </c>
      <c r="D282" t="inlineStr">
        <is>
          <t>c/f petty cash 今日备用金结转</t>
        </is>
      </c>
      <c r="E282" s="6">
        <f>IF($B281="","",'Daily Sale entry '!G22)</f>
        <v/>
      </c>
      <c r="H282" t="inlineStr">
        <is>
          <t>Cash Sales 现金销售</t>
        </is>
      </c>
      <c r="I282" s="6">
        <f>IF($B281="","",IF(AND(ABS(B292)&gt;'Opening Balance'!$B$13,B292&lt;0),ROUND(B282-B292,2),B282))</f>
        <v/>
      </c>
      <c r="K282" t="inlineStr">
        <is>
          <t>c/f petty cash 今日备用金结转</t>
        </is>
      </c>
      <c r="L282" s="6">
        <f>IF($B281="","",IF(ABS(B292)&lt;='Opening Balance'!$B$13,ROUND(E282+B292,2),E282))</f>
        <v/>
      </c>
    </row>
    <row r="283">
      <c r="A283" t="inlineStr">
        <is>
          <t>Misc Charges 杂项费用</t>
        </is>
      </c>
      <c r="B283" s="6">
        <f>IF($B281="","",'Daily Sale entry '!C22)</f>
        <v/>
      </c>
      <c r="D283" t="inlineStr">
        <is>
          <t>cash collection 现金收款</t>
        </is>
      </c>
      <c r="E283" s="6">
        <f>IF($B281="","",'Daily Sale entry '!H22)</f>
        <v/>
      </c>
      <c r="H283" t="inlineStr">
        <is>
          <t>Misc Charges 杂项费用</t>
        </is>
      </c>
      <c r="I283" s="6">
        <f>IF($B281="","",IF(AND(ABS(B292)&gt;'Opening Balance'!$B$13,B292&gt;0),ROUND(B283+B292,2),B283))</f>
        <v/>
      </c>
      <c r="K283" t="inlineStr">
        <is>
          <t>cash collection 现金收款</t>
        </is>
      </c>
      <c r="L283" s="6">
        <f>IF($B281="","",E283)</f>
        <v/>
      </c>
    </row>
    <row r="284">
      <c r="A284" s="1" t="inlineStr">
        <is>
          <t>Other Charges 其他费用</t>
        </is>
      </c>
      <c r="B284" s="9">
        <f>IF($B281="","",'Daily Sale entry '!D22)</f>
        <v/>
      </c>
      <c r="D284" s="1" t="inlineStr">
        <is>
          <t>Cheque Collection 支票收款</t>
        </is>
      </c>
      <c r="E284" s="9">
        <f>IF($B281="","",'Daily Sale entry '!J22)</f>
        <v/>
      </c>
      <c r="H284" s="1" t="inlineStr">
        <is>
          <t>Other Charges 其他费用</t>
        </is>
      </c>
      <c r="I284" s="9">
        <f>IF($B281="","",B284)</f>
        <v/>
      </c>
      <c r="K284" s="1" t="inlineStr">
        <is>
          <t>Cheque Collection 支票收款</t>
        </is>
      </c>
      <c r="L284" s="9">
        <f>IF($B281="","",E284)</f>
        <v/>
      </c>
    </row>
    <row r="285">
      <c r="A285" s="10" t="inlineStr">
        <is>
          <t>Amount 金额  (Cash Sales - Misc - Other)</t>
        </is>
      </c>
      <c r="B285" s="11">
        <f>IF($B281="","",ROUND(B282-B283-B284,2))</f>
        <v/>
      </c>
      <c r="D285" s="12" t="inlineStr">
        <is>
          <t>TNG collection TNG收款</t>
        </is>
      </c>
      <c r="E285" s="13">
        <f>IF($B281="","",'Daily Sale entry '!K22)</f>
        <v/>
      </c>
      <c r="H285" s="10" t="inlineStr">
        <is>
          <t>Amount 金额  (Cash Sales - Misc - Other)</t>
        </is>
      </c>
      <c r="I285" s="11">
        <f>IF($B281="","",ROUND(I282-I283-I284,2))</f>
        <v/>
      </c>
      <c r="K285" s="12" t="inlineStr">
        <is>
          <t>TNG collection TNG收款</t>
        </is>
      </c>
      <c r="L285" s="13">
        <f>IF($B281="","",E285)</f>
        <v/>
      </c>
    </row>
    <row r="286">
      <c r="A286" t="inlineStr">
        <is>
          <t>Credit Collection 赊账收款</t>
        </is>
      </c>
      <c r="B286" s="6">
        <f>IF($B281="","",'Daily Sale entry '!E22)</f>
        <v/>
      </c>
      <c r="D286" t="inlineStr">
        <is>
          <t>Advance Salary_M 预支薪水_M</t>
        </is>
      </c>
      <c r="E286" s="6">
        <f>IF($B281="","",'Daily Sale entry '!L22)</f>
        <v/>
      </c>
      <c r="H286" t="inlineStr">
        <is>
          <t>Credit Collection 赊账收款</t>
        </is>
      </c>
      <c r="I286" s="6">
        <f>IF($B281="","",B286)</f>
        <v/>
      </c>
      <c r="K286" t="inlineStr">
        <is>
          <t>Advance Salary_M 预支薪水_M</t>
        </is>
      </c>
      <c r="L286" s="6">
        <f>IF($B281="","",E286)</f>
        <v/>
      </c>
    </row>
    <row r="287">
      <c r="A287" s="10" t="inlineStr">
        <is>
          <t>Amount 2 金额2  (Amount + Credit Collection)</t>
        </is>
      </c>
      <c r="B287" s="11">
        <f>IF($B281="","",ROUND(B285+B286,2))</f>
        <v/>
      </c>
      <c r="D287" t="inlineStr">
        <is>
          <t>Advance Salary_H 预支薪水_H</t>
        </is>
      </c>
      <c r="E287" s="6">
        <f>IF($B281="","",'Daily Sale entry '!M22)</f>
        <v/>
      </c>
      <c r="H287" s="10" t="inlineStr">
        <is>
          <t>Amount 2 金额2  (Amount + Credit Collection)</t>
        </is>
      </c>
      <c r="I287" s="11">
        <f>IF($B281="","",ROUND(I285+I286,2))</f>
        <v/>
      </c>
      <c r="K287" t="inlineStr">
        <is>
          <t>Advance Salary_H 预支薪水_H</t>
        </is>
      </c>
      <c r="L287" s="6">
        <f>IF($B281="","",E287)</f>
        <v/>
      </c>
    </row>
    <row r="288"/>
    <row r="289">
      <c r="A289" s="1" t="inlineStr">
        <is>
          <t>b/f petty cash 上日备用金结转</t>
        </is>
      </c>
      <c r="B289" s="9">
        <f>IF($B281="","",'Daily Sale entry '!F22)</f>
        <v/>
      </c>
      <c r="D289" s="1" t="n"/>
      <c r="E289" s="1" t="n"/>
      <c r="H289" s="1" t="inlineStr">
        <is>
          <t>b/f petty cash 上日备用金结转</t>
        </is>
      </c>
      <c r="I289" s="9">
        <f>IF($B281="","",B289)</f>
        <v/>
      </c>
      <c r="K289" s="1" t="n"/>
      <c r="L289" s="1" t="n"/>
    </row>
    <row r="290">
      <c r="A290" t="inlineStr">
        <is>
          <t>Total (A) 总计 (A)</t>
        </is>
      </c>
      <c r="B290" s="6">
        <f>IF($B281="","",ROUND(B287+B289,2))</f>
        <v/>
      </c>
      <c r="D290" t="inlineStr">
        <is>
          <t>Total(B) 总计 (B)</t>
        </is>
      </c>
      <c r="E290" s="6">
        <f>IF($B281="","",ROUND(E282+E283+E284+E285+E286+E287,2))</f>
        <v/>
      </c>
      <c r="H290" t="inlineStr">
        <is>
          <t>Total© 总计 (C)</t>
        </is>
      </c>
      <c r="I290" s="6">
        <f>IF($B281="","",ROUND(I287+I289,2))</f>
        <v/>
      </c>
      <c r="K290" t="inlineStr">
        <is>
          <t>Total(D) 总计 (D)</t>
        </is>
      </c>
      <c r="L290" s="6">
        <f>IF($B281="","",ROUND(L282+L283+L284+L285+L286+L287,2))</f>
        <v/>
      </c>
    </row>
    <row r="291">
      <c r="A291" s="14" t="inlineStr">
        <is>
          <t>Total = Amount 2 + b/f petty cash  (金额2 + 上日备用金)</t>
        </is>
      </c>
      <c r="H291" s="14" t="inlineStr">
        <is>
          <t>Total = Amount 2 + b/f petty cash  (金额2 + 上日备用金)</t>
        </is>
      </c>
    </row>
    <row r="292">
      <c r="A292" t="inlineStr">
        <is>
          <t>Different 差额</t>
        </is>
      </c>
      <c r="B292" s="6">
        <f>IF($B281="","",ROUND(B290-E290,2))</f>
        <v/>
      </c>
      <c r="D292">
        <f>IF($B281="","",IF(ABS(B292)&gt;'Opening Balance'!$B$16,"ALERT 警报: Different over RM"&amp;'Opening Balance'!$B$16&amp;" 差额超过RM"&amp;'Opening Balance'!$B$16&amp;" - please check 请检查",IF(B292=0,"Tied 平衡",IF(ABS(B292)&lt;='Opening Balance'!$B$13,"Small difference 小额差额: adjusted on c/f petty cash 已调整备用金",IF(B292&gt;0,"Short 短收: added to Misc Charges 已加入杂项费用","Over 多收: added to Cash Sales 已加入现金销售")))))</f>
        <v/>
      </c>
      <c r="H292" t="inlineStr">
        <is>
          <t>Different 差额</t>
        </is>
      </c>
      <c r="I292" s="6">
        <f>IF($B281="","",ROUND(I290-L290,2))</f>
        <v/>
      </c>
    </row>
    <row r="293"/>
    <row r="294"/>
    <row r="295">
      <c r="A295" t="inlineStr">
        <is>
          <t>Date 日期</t>
        </is>
      </c>
      <c r="B295" s="5">
        <f>IF('Daily Sale entry '!$A23="","",'Daily Sale entry '!$A23)</f>
        <v/>
      </c>
      <c r="H295" t="inlineStr">
        <is>
          <t>After 调整后 (After)</t>
        </is>
      </c>
      <c r="I295" s="5">
        <f>IF($B295="","",B295)</f>
        <v/>
      </c>
    </row>
    <row r="296">
      <c r="A296" t="inlineStr">
        <is>
          <t>Cash Sales 现金销售</t>
        </is>
      </c>
      <c r="B296" s="6">
        <f>IF($B295="","",'Daily Sale entry '!B23)</f>
        <v/>
      </c>
      <c r="D296" t="inlineStr">
        <is>
          <t>c/f petty cash 今日备用金结转</t>
        </is>
      </c>
      <c r="E296" s="6">
        <f>IF($B295="","",'Daily Sale entry '!G23)</f>
        <v/>
      </c>
      <c r="H296" t="inlineStr">
        <is>
          <t>Cash Sales 现金销售</t>
        </is>
      </c>
      <c r="I296" s="6">
        <f>IF($B295="","",IF(AND(ABS(B306)&gt;'Opening Balance'!$B$13,B306&lt;0),ROUND(B296-B306,2),B296))</f>
        <v/>
      </c>
      <c r="K296" t="inlineStr">
        <is>
          <t>c/f petty cash 今日备用金结转</t>
        </is>
      </c>
      <c r="L296" s="6">
        <f>IF($B295="","",IF(ABS(B306)&lt;='Opening Balance'!$B$13,ROUND(E296+B306,2),E296))</f>
        <v/>
      </c>
    </row>
    <row r="297">
      <c r="A297" t="inlineStr">
        <is>
          <t>Misc Charges 杂项费用</t>
        </is>
      </c>
      <c r="B297" s="6">
        <f>IF($B295="","",'Daily Sale entry '!C23)</f>
        <v/>
      </c>
      <c r="D297" t="inlineStr">
        <is>
          <t>cash collection 现金收款</t>
        </is>
      </c>
      <c r="E297" s="6">
        <f>IF($B295="","",'Daily Sale entry '!H23)</f>
        <v/>
      </c>
      <c r="H297" t="inlineStr">
        <is>
          <t>Misc Charges 杂项费用</t>
        </is>
      </c>
      <c r="I297" s="6">
        <f>IF($B295="","",IF(AND(ABS(B306)&gt;'Opening Balance'!$B$13,B306&gt;0),ROUND(B297+B306,2),B297))</f>
        <v/>
      </c>
      <c r="K297" t="inlineStr">
        <is>
          <t>cash collection 现金收款</t>
        </is>
      </c>
      <c r="L297" s="6">
        <f>IF($B295="","",E297)</f>
        <v/>
      </c>
    </row>
    <row r="298">
      <c r="A298" s="1" t="inlineStr">
        <is>
          <t>Other Charges 其他费用</t>
        </is>
      </c>
      <c r="B298" s="9">
        <f>IF($B295="","",'Daily Sale entry '!D23)</f>
        <v/>
      </c>
      <c r="D298" s="1" t="inlineStr">
        <is>
          <t>Cheque Collection 支票收款</t>
        </is>
      </c>
      <c r="E298" s="9">
        <f>IF($B295="","",'Daily Sale entry '!J23)</f>
        <v/>
      </c>
      <c r="H298" s="1" t="inlineStr">
        <is>
          <t>Other Charges 其他费用</t>
        </is>
      </c>
      <c r="I298" s="9">
        <f>IF($B295="","",B298)</f>
        <v/>
      </c>
      <c r="K298" s="1" t="inlineStr">
        <is>
          <t>Cheque Collection 支票收款</t>
        </is>
      </c>
      <c r="L298" s="9">
        <f>IF($B295="","",E298)</f>
        <v/>
      </c>
    </row>
    <row r="299">
      <c r="A299" s="10" t="inlineStr">
        <is>
          <t>Amount 金额  (Cash Sales - Misc - Other)</t>
        </is>
      </c>
      <c r="B299" s="11">
        <f>IF($B295="","",ROUND(B296-B297-B298,2))</f>
        <v/>
      </c>
      <c r="D299" s="12" t="inlineStr">
        <is>
          <t>TNG collection TNG收款</t>
        </is>
      </c>
      <c r="E299" s="13">
        <f>IF($B295="","",'Daily Sale entry '!K23)</f>
        <v/>
      </c>
      <c r="H299" s="10" t="inlineStr">
        <is>
          <t>Amount 金额  (Cash Sales - Misc - Other)</t>
        </is>
      </c>
      <c r="I299" s="11">
        <f>IF($B295="","",ROUND(I296-I297-I298,2))</f>
        <v/>
      </c>
      <c r="K299" s="12" t="inlineStr">
        <is>
          <t>TNG collection TNG收款</t>
        </is>
      </c>
      <c r="L299" s="13">
        <f>IF($B295="","",E299)</f>
        <v/>
      </c>
    </row>
    <row r="300">
      <c r="A300" t="inlineStr">
        <is>
          <t>Credit Collection 赊账收款</t>
        </is>
      </c>
      <c r="B300" s="6">
        <f>IF($B295="","",'Daily Sale entry '!E23)</f>
        <v/>
      </c>
      <c r="D300" t="inlineStr">
        <is>
          <t>Advance Salary_M 预支薪水_M</t>
        </is>
      </c>
      <c r="E300" s="6">
        <f>IF($B295="","",'Daily Sale entry '!L23)</f>
        <v/>
      </c>
      <c r="H300" t="inlineStr">
        <is>
          <t>Credit Collection 赊账收款</t>
        </is>
      </c>
      <c r="I300" s="6">
        <f>IF($B295="","",B300)</f>
        <v/>
      </c>
      <c r="K300" t="inlineStr">
        <is>
          <t>Advance Salary_M 预支薪水_M</t>
        </is>
      </c>
      <c r="L300" s="6">
        <f>IF($B295="","",E300)</f>
        <v/>
      </c>
    </row>
    <row r="301">
      <c r="A301" s="10" t="inlineStr">
        <is>
          <t>Amount 2 金额2  (Amount + Credit Collection)</t>
        </is>
      </c>
      <c r="B301" s="11">
        <f>IF($B295="","",ROUND(B299+B300,2))</f>
        <v/>
      </c>
      <c r="D301" t="inlineStr">
        <is>
          <t>Advance Salary_H 预支薪水_H</t>
        </is>
      </c>
      <c r="E301" s="6">
        <f>IF($B295="","",'Daily Sale entry '!M23)</f>
        <v/>
      </c>
      <c r="H301" s="10" t="inlineStr">
        <is>
          <t>Amount 2 金额2  (Amount + Credit Collection)</t>
        </is>
      </c>
      <c r="I301" s="11">
        <f>IF($B295="","",ROUND(I299+I300,2))</f>
        <v/>
      </c>
      <c r="K301" t="inlineStr">
        <is>
          <t>Advance Salary_H 预支薪水_H</t>
        </is>
      </c>
      <c r="L301" s="6">
        <f>IF($B295="","",E301)</f>
        <v/>
      </c>
    </row>
    <row r="302"/>
    <row r="303">
      <c r="A303" s="1" t="inlineStr">
        <is>
          <t>b/f petty cash 上日备用金结转</t>
        </is>
      </c>
      <c r="B303" s="9">
        <f>IF($B295="","",'Daily Sale entry '!F23)</f>
        <v/>
      </c>
      <c r="D303" s="1" t="n"/>
      <c r="E303" s="1" t="n"/>
      <c r="H303" s="1" t="inlineStr">
        <is>
          <t>b/f petty cash 上日备用金结转</t>
        </is>
      </c>
      <c r="I303" s="9">
        <f>IF($B295="","",B303)</f>
        <v/>
      </c>
      <c r="K303" s="1" t="n"/>
      <c r="L303" s="1" t="n"/>
    </row>
    <row r="304">
      <c r="A304" t="inlineStr">
        <is>
          <t>Total (A) 总计 (A)</t>
        </is>
      </c>
      <c r="B304" s="6">
        <f>IF($B295="","",ROUND(B301+B303,2))</f>
        <v/>
      </c>
      <c r="D304" t="inlineStr">
        <is>
          <t>Total(B) 总计 (B)</t>
        </is>
      </c>
      <c r="E304" s="6">
        <f>IF($B295="","",ROUND(E296+E297+E298+E299+E300+E301,2))</f>
        <v/>
      </c>
      <c r="H304" t="inlineStr">
        <is>
          <t>Total© 总计 (C)</t>
        </is>
      </c>
      <c r="I304" s="6">
        <f>IF($B295="","",ROUND(I301+I303,2))</f>
        <v/>
      </c>
      <c r="K304" t="inlineStr">
        <is>
          <t>Total(D) 总计 (D)</t>
        </is>
      </c>
      <c r="L304" s="6">
        <f>IF($B295="","",ROUND(L296+L297+L298+L299+L300+L301,2))</f>
        <v/>
      </c>
    </row>
    <row r="305">
      <c r="A305" s="14" t="inlineStr">
        <is>
          <t>Total = Amount 2 + b/f petty cash  (金额2 + 上日备用金)</t>
        </is>
      </c>
      <c r="H305" s="14" t="inlineStr">
        <is>
          <t>Total = Amount 2 + b/f petty cash  (金额2 + 上日备用金)</t>
        </is>
      </c>
    </row>
    <row r="306">
      <c r="A306" t="inlineStr">
        <is>
          <t>Different 差额</t>
        </is>
      </c>
      <c r="B306" s="6">
        <f>IF($B295="","",ROUND(B304-E304,2))</f>
        <v/>
      </c>
      <c r="D306">
        <f>IF($B295="","",IF(ABS(B306)&gt;'Opening Balance'!$B$16,"ALERT 警报: Different over RM"&amp;'Opening Balance'!$B$16&amp;" 差额超过RM"&amp;'Opening Balance'!$B$16&amp;" - please check 请检查",IF(B306=0,"Tied 平衡",IF(ABS(B306)&lt;='Opening Balance'!$B$13,"Small difference 小额差额: adjusted on c/f petty cash 已调整备用金",IF(B306&gt;0,"Short 短收: added to Misc Charges 已加入杂项费用","Over 多收: added to Cash Sales 已加入现金销售")))))</f>
        <v/>
      </c>
      <c r="H306" t="inlineStr">
        <is>
          <t>Different 差额</t>
        </is>
      </c>
      <c r="I306" s="6">
        <f>IF($B295="","",ROUND(I304-L304,2))</f>
        <v/>
      </c>
    </row>
    <row r="307"/>
    <row r="308"/>
    <row r="309">
      <c r="A309" t="inlineStr">
        <is>
          <t>Date 日期</t>
        </is>
      </c>
      <c r="B309" s="5">
        <f>IF('Daily Sale entry '!$A24="","",'Daily Sale entry '!$A24)</f>
        <v/>
      </c>
      <c r="H309" t="inlineStr">
        <is>
          <t>After 调整后 (After)</t>
        </is>
      </c>
      <c r="I309" s="5">
        <f>IF($B309="","",B309)</f>
        <v/>
      </c>
    </row>
    <row r="310">
      <c r="A310" t="inlineStr">
        <is>
          <t>Cash Sales 现金销售</t>
        </is>
      </c>
      <c r="B310" s="6">
        <f>IF($B309="","",'Daily Sale entry '!B24)</f>
        <v/>
      </c>
      <c r="D310" t="inlineStr">
        <is>
          <t>c/f petty cash 今日备用金结转</t>
        </is>
      </c>
      <c r="E310" s="6">
        <f>IF($B309="","",'Daily Sale entry '!G24)</f>
        <v/>
      </c>
      <c r="H310" t="inlineStr">
        <is>
          <t>Cash Sales 现金销售</t>
        </is>
      </c>
      <c r="I310" s="6">
        <f>IF($B309="","",IF(AND(ABS(B320)&gt;'Opening Balance'!$B$13,B320&lt;0),ROUND(B310-B320,2),B310))</f>
        <v/>
      </c>
      <c r="K310" t="inlineStr">
        <is>
          <t>c/f petty cash 今日备用金结转</t>
        </is>
      </c>
      <c r="L310" s="6">
        <f>IF($B309="","",IF(ABS(B320)&lt;='Opening Balance'!$B$13,ROUND(E310+B320,2),E310))</f>
        <v/>
      </c>
    </row>
    <row r="311">
      <c r="A311" t="inlineStr">
        <is>
          <t>Misc Charges 杂项费用</t>
        </is>
      </c>
      <c r="B311" s="6">
        <f>IF($B309="","",'Daily Sale entry '!C24)</f>
        <v/>
      </c>
      <c r="D311" t="inlineStr">
        <is>
          <t>cash collection 现金收款</t>
        </is>
      </c>
      <c r="E311" s="6">
        <f>IF($B309="","",'Daily Sale entry '!H24)</f>
        <v/>
      </c>
      <c r="H311" t="inlineStr">
        <is>
          <t>Misc Charges 杂项费用</t>
        </is>
      </c>
      <c r="I311" s="6">
        <f>IF($B309="","",IF(AND(ABS(B320)&gt;'Opening Balance'!$B$13,B320&gt;0),ROUND(B311+B320,2),B311))</f>
        <v/>
      </c>
      <c r="K311" t="inlineStr">
        <is>
          <t>cash collection 现金收款</t>
        </is>
      </c>
      <c r="L311" s="6">
        <f>IF($B309="","",E311)</f>
        <v/>
      </c>
    </row>
    <row r="312">
      <c r="A312" s="1" t="inlineStr">
        <is>
          <t>Other Charges 其他费用</t>
        </is>
      </c>
      <c r="B312" s="9">
        <f>IF($B309="","",'Daily Sale entry '!D24)</f>
        <v/>
      </c>
      <c r="D312" s="1" t="inlineStr">
        <is>
          <t>Cheque Collection 支票收款</t>
        </is>
      </c>
      <c r="E312" s="9">
        <f>IF($B309="","",'Daily Sale entry '!J24)</f>
        <v/>
      </c>
      <c r="H312" s="1" t="inlineStr">
        <is>
          <t>Other Charges 其他费用</t>
        </is>
      </c>
      <c r="I312" s="9">
        <f>IF($B309="","",B312)</f>
        <v/>
      </c>
      <c r="K312" s="1" t="inlineStr">
        <is>
          <t>Cheque Collection 支票收款</t>
        </is>
      </c>
      <c r="L312" s="9">
        <f>IF($B309="","",E312)</f>
        <v/>
      </c>
    </row>
    <row r="313">
      <c r="A313" s="10" t="inlineStr">
        <is>
          <t>Amount 金额  (Cash Sales - Misc - Other)</t>
        </is>
      </c>
      <c r="B313" s="11">
        <f>IF($B309="","",ROUND(B310-B311-B312,2))</f>
        <v/>
      </c>
      <c r="D313" s="12" t="inlineStr">
        <is>
          <t>TNG collection TNG收款</t>
        </is>
      </c>
      <c r="E313" s="13">
        <f>IF($B309="","",'Daily Sale entry '!K24)</f>
        <v/>
      </c>
      <c r="H313" s="10" t="inlineStr">
        <is>
          <t>Amount 金额  (Cash Sales - Misc - Other)</t>
        </is>
      </c>
      <c r="I313" s="11">
        <f>IF($B309="","",ROUND(I310-I311-I312,2))</f>
        <v/>
      </c>
      <c r="K313" s="12" t="inlineStr">
        <is>
          <t>TNG collection TNG收款</t>
        </is>
      </c>
      <c r="L313" s="13">
        <f>IF($B309="","",E313)</f>
        <v/>
      </c>
    </row>
    <row r="314">
      <c r="A314" t="inlineStr">
        <is>
          <t>Credit Collection 赊账收款</t>
        </is>
      </c>
      <c r="B314" s="6">
        <f>IF($B309="","",'Daily Sale entry '!E24)</f>
        <v/>
      </c>
      <c r="D314" t="inlineStr">
        <is>
          <t>Advance Salary_M 预支薪水_M</t>
        </is>
      </c>
      <c r="E314" s="6">
        <f>IF($B309="","",'Daily Sale entry '!L24)</f>
        <v/>
      </c>
      <c r="H314" t="inlineStr">
        <is>
          <t>Credit Collection 赊账收款</t>
        </is>
      </c>
      <c r="I314" s="6">
        <f>IF($B309="","",B314)</f>
        <v/>
      </c>
      <c r="K314" t="inlineStr">
        <is>
          <t>Advance Salary_M 预支薪水_M</t>
        </is>
      </c>
      <c r="L314" s="6">
        <f>IF($B309="","",E314)</f>
        <v/>
      </c>
    </row>
    <row r="315">
      <c r="A315" s="10" t="inlineStr">
        <is>
          <t>Amount 2 金额2  (Amount + Credit Collection)</t>
        </is>
      </c>
      <c r="B315" s="11">
        <f>IF($B309="","",ROUND(B313+B314,2))</f>
        <v/>
      </c>
      <c r="D315" t="inlineStr">
        <is>
          <t>Advance Salary_H 预支薪水_H</t>
        </is>
      </c>
      <c r="E315" s="6">
        <f>IF($B309="","",'Daily Sale entry '!M24)</f>
        <v/>
      </c>
      <c r="H315" s="10" t="inlineStr">
        <is>
          <t>Amount 2 金额2  (Amount + Credit Collection)</t>
        </is>
      </c>
      <c r="I315" s="11">
        <f>IF($B309="","",ROUND(I313+I314,2))</f>
        <v/>
      </c>
      <c r="K315" t="inlineStr">
        <is>
          <t>Advance Salary_H 预支薪水_H</t>
        </is>
      </c>
      <c r="L315" s="6">
        <f>IF($B309="","",E315)</f>
        <v/>
      </c>
    </row>
    <row r="316"/>
    <row r="317">
      <c r="A317" s="1" t="inlineStr">
        <is>
          <t>b/f petty cash 上日备用金结转</t>
        </is>
      </c>
      <c r="B317" s="9">
        <f>IF($B309="","",'Daily Sale entry '!F24)</f>
        <v/>
      </c>
      <c r="D317" s="1" t="n"/>
      <c r="E317" s="1" t="n"/>
      <c r="H317" s="1" t="inlineStr">
        <is>
          <t>b/f petty cash 上日备用金结转</t>
        </is>
      </c>
      <c r="I317" s="9">
        <f>IF($B309="","",B317)</f>
        <v/>
      </c>
      <c r="K317" s="1" t="n"/>
      <c r="L317" s="1" t="n"/>
    </row>
    <row r="318">
      <c r="A318" t="inlineStr">
        <is>
          <t>Total (A) 总计 (A)</t>
        </is>
      </c>
      <c r="B318" s="6">
        <f>IF($B309="","",ROUND(B315+B317,2))</f>
        <v/>
      </c>
      <c r="D318" t="inlineStr">
        <is>
          <t>Total(B) 总计 (B)</t>
        </is>
      </c>
      <c r="E318" s="6">
        <f>IF($B309="","",ROUND(E310+E311+E312+E313+E314+E315,2))</f>
        <v/>
      </c>
      <c r="H318" t="inlineStr">
        <is>
          <t>Total© 总计 (C)</t>
        </is>
      </c>
      <c r="I318" s="6">
        <f>IF($B309="","",ROUND(I315+I317,2))</f>
        <v/>
      </c>
      <c r="K318" t="inlineStr">
        <is>
          <t>Total(D) 总计 (D)</t>
        </is>
      </c>
      <c r="L318" s="6">
        <f>IF($B309="","",ROUND(L310+L311+L312+L313+L314+L315,2))</f>
        <v/>
      </c>
    </row>
    <row r="319">
      <c r="A319" s="14" t="inlineStr">
        <is>
          <t>Total = Amount 2 + b/f petty cash  (金额2 + 上日备用金)</t>
        </is>
      </c>
      <c r="H319" s="14" t="inlineStr">
        <is>
          <t>Total = Amount 2 + b/f petty cash  (金额2 + 上日备用金)</t>
        </is>
      </c>
    </row>
    <row r="320">
      <c r="A320" t="inlineStr">
        <is>
          <t>Different 差额</t>
        </is>
      </c>
      <c r="B320" s="6">
        <f>IF($B309="","",ROUND(B318-E318,2))</f>
        <v/>
      </c>
      <c r="D320">
        <f>IF($B309="","",IF(ABS(B320)&gt;'Opening Balance'!$B$16,"ALERT 警报: Different over RM"&amp;'Opening Balance'!$B$16&amp;" 差额超过RM"&amp;'Opening Balance'!$B$16&amp;" - please check 请检查",IF(B320=0,"Tied 平衡",IF(ABS(B320)&lt;='Opening Balance'!$B$13,"Small difference 小额差额: adjusted on c/f petty cash 已调整备用金",IF(B320&gt;0,"Short 短收: added to Misc Charges 已加入杂项费用","Over 多收: added to Cash Sales 已加入现金销售")))))</f>
        <v/>
      </c>
      <c r="H320" t="inlineStr">
        <is>
          <t>Different 差额</t>
        </is>
      </c>
      <c r="I320" s="6">
        <f>IF($B309="","",ROUND(I318-L318,2))</f>
        <v/>
      </c>
    </row>
    <row r="321"/>
    <row r="322"/>
    <row r="323">
      <c r="A323" t="inlineStr">
        <is>
          <t>Date 日期</t>
        </is>
      </c>
      <c r="B323" s="5">
        <f>IF('Daily Sale entry '!$A25="","",'Daily Sale entry '!$A25)</f>
        <v/>
      </c>
      <c r="H323" t="inlineStr">
        <is>
          <t>After 调整后 (After)</t>
        </is>
      </c>
      <c r="I323" s="5">
        <f>IF($B323="","",B323)</f>
        <v/>
      </c>
    </row>
    <row r="324">
      <c r="A324" t="inlineStr">
        <is>
          <t>Cash Sales 现金销售</t>
        </is>
      </c>
      <c r="B324" s="6">
        <f>IF($B323="","",'Daily Sale entry '!B25)</f>
        <v/>
      </c>
      <c r="D324" t="inlineStr">
        <is>
          <t>c/f petty cash 今日备用金结转</t>
        </is>
      </c>
      <c r="E324" s="6">
        <f>IF($B323="","",'Daily Sale entry '!G25)</f>
        <v/>
      </c>
      <c r="H324" t="inlineStr">
        <is>
          <t>Cash Sales 现金销售</t>
        </is>
      </c>
      <c r="I324" s="6">
        <f>IF($B323="","",IF(AND(ABS(B334)&gt;'Opening Balance'!$B$13,B334&lt;0),ROUND(B324-B334,2),B324))</f>
        <v/>
      </c>
      <c r="K324" t="inlineStr">
        <is>
          <t>c/f petty cash 今日备用金结转</t>
        </is>
      </c>
      <c r="L324" s="6">
        <f>IF($B323="","",IF(ABS(B334)&lt;='Opening Balance'!$B$13,ROUND(E324+B334,2),E324))</f>
        <v/>
      </c>
    </row>
    <row r="325">
      <c r="A325" t="inlineStr">
        <is>
          <t>Misc Charges 杂项费用</t>
        </is>
      </c>
      <c r="B325" s="6">
        <f>IF($B323="","",'Daily Sale entry '!C25)</f>
        <v/>
      </c>
      <c r="D325" t="inlineStr">
        <is>
          <t>cash collection 现金收款</t>
        </is>
      </c>
      <c r="E325" s="6">
        <f>IF($B323="","",'Daily Sale entry '!H25)</f>
        <v/>
      </c>
      <c r="H325" t="inlineStr">
        <is>
          <t>Misc Charges 杂项费用</t>
        </is>
      </c>
      <c r="I325" s="6">
        <f>IF($B323="","",IF(AND(ABS(B334)&gt;'Opening Balance'!$B$13,B334&gt;0),ROUND(B325+B334,2),B325))</f>
        <v/>
      </c>
      <c r="K325" t="inlineStr">
        <is>
          <t>cash collection 现金收款</t>
        </is>
      </c>
      <c r="L325" s="6">
        <f>IF($B323="","",E325)</f>
        <v/>
      </c>
    </row>
    <row r="326">
      <c r="A326" s="1" t="inlineStr">
        <is>
          <t>Other Charges 其他费用</t>
        </is>
      </c>
      <c r="B326" s="9">
        <f>IF($B323="","",'Daily Sale entry '!D25)</f>
        <v/>
      </c>
      <c r="D326" s="1" t="inlineStr">
        <is>
          <t>Cheque Collection 支票收款</t>
        </is>
      </c>
      <c r="E326" s="9">
        <f>IF($B323="","",'Daily Sale entry '!J25)</f>
        <v/>
      </c>
      <c r="H326" s="1" t="inlineStr">
        <is>
          <t>Other Charges 其他费用</t>
        </is>
      </c>
      <c r="I326" s="9">
        <f>IF($B323="","",B326)</f>
        <v/>
      </c>
      <c r="K326" s="1" t="inlineStr">
        <is>
          <t>Cheque Collection 支票收款</t>
        </is>
      </c>
      <c r="L326" s="9">
        <f>IF($B323="","",E326)</f>
        <v/>
      </c>
    </row>
    <row r="327">
      <c r="A327" s="10" t="inlineStr">
        <is>
          <t>Amount 金额  (Cash Sales - Misc - Other)</t>
        </is>
      </c>
      <c r="B327" s="11">
        <f>IF($B323="","",ROUND(B324-B325-B326,2))</f>
        <v/>
      </c>
      <c r="D327" s="12" t="inlineStr">
        <is>
          <t>TNG collection TNG收款</t>
        </is>
      </c>
      <c r="E327" s="13">
        <f>IF($B323="","",'Daily Sale entry '!K25)</f>
        <v/>
      </c>
      <c r="H327" s="10" t="inlineStr">
        <is>
          <t>Amount 金额  (Cash Sales - Misc - Other)</t>
        </is>
      </c>
      <c r="I327" s="11">
        <f>IF($B323="","",ROUND(I324-I325-I326,2))</f>
        <v/>
      </c>
      <c r="K327" s="12" t="inlineStr">
        <is>
          <t>TNG collection TNG收款</t>
        </is>
      </c>
      <c r="L327" s="13">
        <f>IF($B323="","",E327)</f>
        <v/>
      </c>
    </row>
    <row r="328">
      <c r="A328" t="inlineStr">
        <is>
          <t>Credit Collection 赊账收款</t>
        </is>
      </c>
      <c r="B328" s="6">
        <f>IF($B323="","",'Daily Sale entry '!E25)</f>
        <v/>
      </c>
      <c r="D328" t="inlineStr">
        <is>
          <t>Advance Salary_M 预支薪水_M</t>
        </is>
      </c>
      <c r="E328" s="6">
        <f>IF($B323="","",'Daily Sale entry '!L25)</f>
        <v/>
      </c>
      <c r="H328" t="inlineStr">
        <is>
          <t>Credit Collection 赊账收款</t>
        </is>
      </c>
      <c r="I328" s="6">
        <f>IF($B323="","",B328)</f>
        <v/>
      </c>
      <c r="K328" t="inlineStr">
        <is>
          <t>Advance Salary_M 预支薪水_M</t>
        </is>
      </c>
      <c r="L328" s="6">
        <f>IF($B323="","",E328)</f>
        <v/>
      </c>
    </row>
    <row r="329">
      <c r="A329" s="10" t="inlineStr">
        <is>
          <t>Amount 2 金额2  (Amount + Credit Collection)</t>
        </is>
      </c>
      <c r="B329" s="11">
        <f>IF($B323="","",ROUND(B327+B328,2))</f>
        <v/>
      </c>
      <c r="D329" t="inlineStr">
        <is>
          <t>Advance Salary_H 预支薪水_H</t>
        </is>
      </c>
      <c r="E329" s="6">
        <f>IF($B323="","",'Daily Sale entry '!M25)</f>
        <v/>
      </c>
      <c r="H329" s="10" t="inlineStr">
        <is>
          <t>Amount 2 金额2  (Amount + Credit Collection)</t>
        </is>
      </c>
      <c r="I329" s="11">
        <f>IF($B323="","",ROUND(I327+I328,2))</f>
        <v/>
      </c>
      <c r="K329" t="inlineStr">
        <is>
          <t>Advance Salary_H 预支薪水_H</t>
        </is>
      </c>
      <c r="L329" s="6">
        <f>IF($B323="","",E329)</f>
        <v/>
      </c>
    </row>
    <row r="330"/>
    <row r="331">
      <c r="A331" s="1" t="inlineStr">
        <is>
          <t>b/f petty cash 上日备用金结转</t>
        </is>
      </c>
      <c r="B331" s="9">
        <f>IF($B323="","",'Daily Sale entry '!F25)</f>
        <v/>
      </c>
      <c r="D331" s="1" t="n"/>
      <c r="E331" s="1" t="n"/>
      <c r="H331" s="1" t="inlineStr">
        <is>
          <t>b/f petty cash 上日备用金结转</t>
        </is>
      </c>
      <c r="I331" s="9">
        <f>IF($B323="","",B331)</f>
        <v/>
      </c>
      <c r="K331" s="1" t="n"/>
      <c r="L331" s="1" t="n"/>
    </row>
    <row r="332">
      <c r="A332" t="inlineStr">
        <is>
          <t>Total (A) 总计 (A)</t>
        </is>
      </c>
      <c r="B332" s="6">
        <f>IF($B323="","",ROUND(B329+B331,2))</f>
        <v/>
      </c>
      <c r="D332" t="inlineStr">
        <is>
          <t>Total(B) 总计 (B)</t>
        </is>
      </c>
      <c r="E332" s="6">
        <f>IF($B323="","",ROUND(E324+E325+E326+E327+E328+E329,2))</f>
        <v/>
      </c>
      <c r="H332" t="inlineStr">
        <is>
          <t>Total© 总计 (C)</t>
        </is>
      </c>
      <c r="I332" s="6">
        <f>IF($B323="","",ROUND(I329+I331,2))</f>
        <v/>
      </c>
      <c r="K332" t="inlineStr">
        <is>
          <t>Total(D) 总计 (D)</t>
        </is>
      </c>
      <c r="L332" s="6">
        <f>IF($B323="","",ROUND(L324+L325+L326+L327+L328+L329,2))</f>
        <v/>
      </c>
    </row>
    <row r="333">
      <c r="A333" s="14" t="inlineStr">
        <is>
          <t>Total = Amount 2 + b/f petty cash  (金额2 + 上日备用金)</t>
        </is>
      </c>
      <c r="H333" s="14" t="inlineStr">
        <is>
          <t>Total = Amount 2 + b/f petty cash  (金额2 + 上日备用金)</t>
        </is>
      </c>
    </row>
    <row r="334">
      <c r="A334" t="inlineStr">
        <is>
          <t>Different 差额</t>
        </is>
      </c>
      <c r="B334" s="6">
        <f>IF($B323="","",ROUND(B332-E332,2))</f>
        <v/>
      </c>
      <c r="D334">
        <f>IF($B323="","",IF(ABS(B334)&gt;'Opening Balance'!$B$16,"ALERT 警报: Different over RM"&amp;'Opening Balance'!$B$16&amp;" 差额超过RM"&amp;'Opening Balance'!$B$16&amp;" - please check 请检查",IF(B334=0,"Tied 平衡",IF(ABS(B334)&lt;='Opening Balance'!$B$13,"Small difference 小额差额: adjusted on c/f petty cash 已调整备用金",IF(B334&gt;0,"Short 短收: added to Misc Charges 已加入杂项费用","Over 多收: added to Cash Sales 已加入现金销售")))))</f>
        <v/>
      </c>
      <c r="H334" t="inlineStr">
        <is>
          <t>Different 差额</t>
        </is>
      </c>
      <c r="I334" s="6">
        <f>IF($B323="","",ROUND(I332-L332,2))</f>
        <v/>
      </c>
    </row>
    <row r="335"/>
    <row r="336"/>
    <row r="337">
      <c r="A337" t="inlineStr">
        <is>
          <t>Date 日期</t>
        </is>
      </c>
      <c r="B337" s="5">
        <f>IF('Daily Sale entry '!$A26="","",'Daily Sale entry '!$A26)</f>
        <v/>
      </c>
      <c r="H337" t="inlineStr">
        <is>
          <t>After 调整后 (After)</t>
        </is>
      </c>
      <c r="I337" s="5">
        <f>IF($B337="","",B337)</f>
        <v/>
      </c>
    </row>
    <row r="338">
      <c r="A338" t="inlineStr">
        <is>
          <t>Cash Sales 现金销售</t>
        </is>
      </c>
      <c r="B338" s="6">
        <f>IF($B337="","",'Daily Sale entry '!B26)</f>
        <v/>
      </c>
      <c r="D338" t="inlineStr">
        <is>
          <t>c/f petty cash 今日备用金结转</t>
        </is>
      </c>
      <c r="E338" s="6">
        <f>IF($B337="","",'Daily Sale entry '!G26)</f>
        <v/>
      </c>
      <c r="H338" t="inlineStr">
        <is>
          <t>Cash Sales 现金销售</t>
        </is>
      </c>
      <c r="I338" s="6">
        <f>IF($B337="","",IF(AND(ABS(B348)&gt;'Opening Balance'!$B$13,B348&lt;0),ROUND(B338-B348,2),B338))</f>
        <v/>
      </c>
      <c r="K338" t="inlineStr">
        <is>
          <t>c/f petty cash 今日备用金结转</t>
        </is>
      </c>
      <c r="L338" s="6">
        <f>IF($B337="","",IF(ABS(B348)&lt;='Opening Balance'!$B$13,ROUND(E338+B348,2),E338))</f>
        <v/>
      </c>
    </row>
    <row r="339">
      <c r="A339" t="inlineStr">
        <is>
          <t>Misc Charges 杂项费用</t>
        </is>
      </c>
      <c r="B339" s="6">
        <f>IF($B337="","",'Daily Sale entry '!C26)</f>
        <v/>
      </c>
      <c r="D339" t="inlineStr">
        <is>
          <t>cash collection 现金收款</t>
        </is>
      </c>
      <c r="E339" s="6">
        <f>IF($B337="","",'Daily Sale entry '!H26)</f>
        <v/>
      </c>
      <c r="H339" t="inlineStr">
        <is>
          <t>Misc Charges 杂项费用</t>
        </is>
      </c>
      <c r="I339" s="6">
        <f>IF($B337="","",IF(AND(ABS(B348)&gt;'Opening Balance'!$B$13,B348&gt;0),ROUND(B339+B348,2),B339))</f>
        <v/>
      </c>
      <c r="K339" t="inlineStr">
        <is>
          <t>cash collection 现金收款</t>
        </is>
      </c>
      <c r="L339" s="6">
        <f>IF($B337="","",E339)</f>
        <v/>
      </c>
    </row>
    <row r="340">
      <c r="A340" s="1" t="inlineStr">
        <is>
          <t>Other Charges 其他费用</t>
        </is>
      </c>
      <c r="B340" s="9">
        <f>IF($B337="","",'Daily Sale entry '!D26)</f>
        <v/>
      </c>
      <c r="D340" s="1" t="inlineStr">
        <is>
          <t>Cheque Collection 支票收款</t>
        </is>
      </c>
      <c r="E340" s="9">
        <f>IF($B337="","",'Daily Sale entry '!J26)</f>
        <v/>
      </c>
      <c r="H340" s="1" t="inlineStr">
        <is>
          <t>Other Charges 其他费用</t>
        </is>
      </c>
      <c r="I340" s="9">
        <f>IF($B337="","",B340)</f>
        <v/>
      </c>
      <c r="K340" s="1" t="inlineStr">
        <is>
          <t>Cheque Collection 支票收款</t>
        </is>
      </c>
      <c r="L340" s="9">
        <f>IF($B337="","",E340)</f>
        <v/>
      </c>
    </row>
    <row r="341">
      <c r="A341" s="10" t="inlineStr">
        <is>
          <t>Amount 金额  (Cash Sales - Misc - Other)</t>
        </is>
      </c>
      <c r="B341" s="11">
        <f>IF($B337="","",ROUND(B338-B339-B340,2))</f>
        <v/>
      </c>
      <c r="D341" s="12" t="inlineStr">
        <is>
          <t>TNG collection TNG收款</t>
        </is>
      </c>
      <c r="E341" s="13">
        <f>IF($B337="","",'Daily Sale entry '!K26)</f>
        <v/>
      </c>
      <c r="H341" s="10" t="inlineStr">
        <is>
          <t>Amount 金额  (Cash Sales - Misc - Other)</t>
        </is>
      </c>
      <c r="I341" s="11">
        <f>IF($B337="","",ROUND(I338-I339-I340,2))</f>
        <v/>
      </c>
      <c r="K341" s="12" t="inlineStr">
        <is>
          <t>TNG collection TNG收款</t>
        </is>
      </c>
      <c r="L341" s="13">
        <f>IF($B337="","",E341)</f>
        <v/>
      </c>
    </row>
    <row r="342">
      <c r="A342" t="inlineStr">
        <is>
          <t>Credit Collection 赊账收款</t>
        </is>
      </c>
      <c r="B342" s="6">
        <f>IF($B337="","",'Daily Sale entry '!E26)</f>
        <v/>
      </c>
      <c r="D342" t="inlineStr">
        <is>
          <t>Advance Salary_M 预支薪水_M</t>
        </is>
      </c>
      <c r="E342" s="6">
        <f>IF($B337="","",'Daily Sale entry '!L26)</f>
        <v/>
      </c>
      <c r="H342" t="inlineStr">
        <is>
          <t>Credit Collection 赊账收款</t>
        </is>
      </c>
      <c r="I342" s="6">
        <f>IF($B337="","",B342)</f>
        <v/>
      </c>
      <c r="K342" t="inlineStr">
        <is>
          <t>Advance Salary_M 预支薪水_M</t>
        </is>
      </c>
      <c r="L342" s="6">
        <f>IF($B337="","",E342)</f>
        <v/>
      </c>
    </row>
    <row r="343">
      <c r="A343" s="10" t="inlineStr">
        <is>
          <t>Amount 2 金额2  (Amount + Credit Collection)</t>
        </is>
      </c>
      <c r="B343" s="11">
        <f>IF($B337="","",ROUND(B341+B342,2))</f>
        <v/>
      </c>
      <c r="D343" t="inlineStr">
        <is>
          <t>Advance Salary_H 预支薪水_H</t>
        </is>
      </c>
      <c r="E343" s="6">
        <f>IF($B337="","",'Daily Sale entry '!M26)</f>
        <v/>
      </c>
      <c r="H343" s="10" t="inlineStr">
        <is>
          <t>Amount 2 金额2  (Amount + Credit Collection)</t>
        </is>
      </c>
      <c r="I343" s="11">
        <f>IF($B337="","",ROUND(I341+I342,2))</f>
        <v/>
      </c>
      <c r="K343" t="inlineStr">
        <is>
          <t>Advance Salary_H 预支薪水_H</t>
        </is>
      </c>
      <c r="L343" s="6">
        <f>IF($B337="","",E343)</f>
        <v/>
      </c>
    </row>
    <row r="344"/>
    <row r="345">
      <c r="A345" s="1" t="inlineStr">
        <is>
          <t>b/f petty cash 上日备用金结转</t>
        </is>
      </c>
      <c r="B345" s="9">
        <f>IF($B337="","",'Daily Sale entry '!F26)</f>
        <v/>
      </c>
      <c r="D345" s="1" t="n"/>
      <c r="E345" s="1" t="n"/>
      <c r="H345" s="1" t="inlineStr">
        <is>
          <t>b/f petty cash 上日备用金结转</t>
        </is>
      </c>
      <c r="I345" s="9">
        <f>IF($B337="","",B345)</f>
        <v/>
      </c>
      <c r="K345" s="1" t="n"/>
      <c r="L345" s="1" t="n"/>
    </row>
    <row r="346">
      <c r="A346" t="inlineStr">
        <is>
          <t>Total (A) 总计 (A)</t>
        </is>
      </c>
      <c r="B346" s="6">
        <f>IF($B337="","",ROUND(B343+B345,2))</f>
        <v/>
      </c>
      <c r="D346" t="inlineStr">
        <is>
          <t>Total(B) 总计 (B)</t>
        </is>
      </c>
      <c r="E346" s="6">
        <f>IF($B337="","",ROUND(E338+E339+E340+E341+E342+E343,2))</f>
        <v/>
      </c>
      <c r="H346" t="inlineStr">
        <is>
          <t>Total© 总计 (C)</t>
        </is>
      </c>
      <c r="I346" s="6">
        <f>IF($B337="","",ROUND(I343+I345,2))</f>
        <v/>
      </c>
      <c r="K346" t="inlineStr">
        <is>
          <t>Total(D) 总计 (D)</t>
        </is>
      </c>
      <c r="L346" s="6">
        <f>IF($B337="","",ROUND(L338+L339+L340+L341+L342+L343,2))</f>
        <v/>
      </c>
    </row>
    <row r="347">
      <c r="A347" s="14" t="inlineStr">
        <is>
          <t>Total = Amount 2 + b/f petty cash  (金额2 + 上日备用金)</t>
        </is>
      </c>
      <c r="H347" s="14" t="inlineStr">
        <is>
          <t>Total = Amount 2 + b/f petty cash  (金额2 + 上日备用金)</t>
        </is>
      </c>
    </row>
    <row r="348">
      <c r="A348" t="inlineStr">
        <is>
          <t>Different 差额</t>
        </is>
      </c>
      <c r="B348" s="6">
        <f>IF($B337="","",ROUND(B346-E346,2))</f>
        <v/>
      </c>
      <c r="D348">
        <f>IF($B337="","",IF(ABS(B348)&gt;'Opening Balance'!$B$16,"ALERT 警报: Different over RM"&amp;'Opening Balance'!$B$16&amp;" 差额超过RM"&amp;'Opening Balance'!$B$16&amp;" - please check 请检查",IF(B348=0,"Tied 平衡",IF(ABS(B348)&lt;='Opening Balance'!$B$13,"Small difference 小额差额: adjusted on c/f petty cash 已调整备用金",IF(B348&gt;0,"Short 短收: added to Misc Charges 已加入杂项费用","Over 多收: added to Cash Sales 已加入现金销售")))))</f>
        <v/>
      </c>
      <c r="H348" t="inlineStr">
        <is>
          <t>Different 差额</t>
        </is>
      </c>
      <c r="I348" s="6">
        <f>IF($B337="","",ROUND(I346-L346,2))</f>
        <v/>
      </c>
    </row>
    <row r="349"/>
    <row r="350"/>
    <row r="351">
      <c r="A351" t="inlineStr">
        <is>
          <t>Date 日期</t>
        </is>
      </c>
      <c r="B351" s="5">
        <f>IF('Daily Sale entry '!$A27="","",'Daily Sale entry '!$A27)</f>
        <v/>
      </c>
      <c r="H351" t="inlineStr">
        <is>
          <t>After 调整后 (After)</t>
        </is>
      </c>
      <c r="I351" s="5">
        <f>IF($B351="","",B351)</f>
        <v/>
      </c>
    </row>
    <row r="352">
      <c r="A352" t="inlineStr">
        <is>
          <t>Cash Sales 现金销售</t>
        </is>
      </c>
      <c r="B352" s="6">
        <f>IF($B351="","",'Daily Sale entry '!B27)</f>
        <v/>
      </c>
      <c r="D352" t="inlineStr">
        <is>
          <t>c/f petty cash 今日备用金结转</t>
        </is>
      </c>
      <c r="E352" s="6">
        <f>IF($B351="","",'Daily Sale entry '!G27)</f>
        <v/>
      </c>
      <c r="H352" t="inlineStr">
        <is>
          <t>Cash Sales 现金销售</t>
        </is>
      </c>
      <c r="I352" s="6">
        <f>IF($B351="","",IF(AND(ABS(B362)&gt;'Opening Balance'!$B$13,B362&lt;0),ROUND(B352-B362,2),B352))</f>
        <v/>
      </c>
      <c r="K352" t="inlineStr">
        <is>
          <t>c/f petty cash 今日备用金结转</t>
        </is>
      </c>
      <c r="L352" s="6">
        <f>IF($B351="","",IF(ABS(B362)&lt;='Opening Balance'!$B$13,ROUND(E352+B362,2),E352))</f>
        <v/>
      </c>
    </row>
    <row r="353">
      <c r="A353" t="inlineStr">
        <is>
          <t>Misc Charges 杂项费用</t>
        </is>
      </c>
      <c r="B353" s="6">
        <f>IF($B351="","",'Daily Sale entry '!C27)</f>
        <v/>
      </c>
      <c r="D353" t="inlineStr">
        <is>
          <t>cash collection 现金收款</t>
        </is>
      </c>
      <c r="E353" s="6">
        <f>IF($B351="","",'Daily Sale entry '!H27)</f>
        <v/>
      </c>
      <c r="H353" t="inlineStr">
        <is>
          <t>Misc Charges 杂项费用</t>
        </is>
      </c>
      <c r="I353" s="6">
        <f>IF($B351="","",IF(AND(ABS(B362)&gt;'Opening Balance'!$B$13,B362&gt;0),ROUND(B353+B362,2),B353))</f>
        <v/>
      </c>
      <c r="K353" t="inlineStr">
        <is>
          <t>cash collection 现金收款</t>
        </is>
      </c>
      <c r="L353" s="6">
        <f>IF($B351="","",E353)</f>
        <v/>
      </c>
    </row>
    <row r="354">
      <c r="A354" s="1" t="inlineStr">
        <is>
          <t>Other Charges 其他费用</t>
        </is>
      </c>
      <c r="B354" s="9">
        <f>IF($B351="","",'Daily Sale entry '!D27)</f>
        <v/>
      </c>
      <c r="D354" s="1" t="inlineStr">
        <is>
          <t>Cheque Collection 支票收款</t>
        </is>
      </c>
      <c r="E354" s="9">
        <f>IF($B351="","",'Daily Sale entry '!J27)</f>
        <v/>
      </c>
      <c r="H354" s="1" t="inlineStr">
        <is>
          <t>Other Charges 其他费用</t>
        </is>
      </c>
      <c r="I354" s="9">
        <f>IF($B351="","",B354)</f>
        <v/>
      </c>
      <c r="K354" s="1" t="inlineStr">
        <is>
          <t>Cheque Collection 支票收款</t>
        </is>
      </c>
      <c r="L354" s="9">
        <f>IF($B351="","",E354)</f>
        <v/>
      </c>
    </row>
    <row r="355">
      <c r="A355" s="10" t="inlineStr">
        <is>
          <t>Amount 金额  (Cash Sales - Misc - Other)</t>
        </is>
      </c>
      <c r="B355" s="11">
        <f>IF($B351="","",ROUND(B352-B353-B354,2))</f>
        <v/>
      </c>
      <c r="D355" s="12" t="inlineStr">
        <is>
          <t>TNG collection TNG收款</t>
        </is>
      </c>
      <c r="E355" s="13">
        <f>IF($B351="","",'Daily Sale entry '!K27)</f>
        <v/>
      </c>
      <c r="H355" s="10" t="inlineStr">
        <is>
          <t>Amount 金额  (Cash Sales - Misc - Other)</t>
        </is>
      </c>
      <c r="I355" s="11">
        <f>IF($B351="","",ROUND(I352-I353-I354,2))</f>
        <v/>
      </c>
      <c r="K355" s="12" t="inlineStr">
        <is>
          <t>TNG collection TNG收款</t>
        </is>
      </c>
      <c r="L355" s="13">
        <f>IF($B351="","",E355)</f>
        <v/>
      </c>
    </row>
    <row r="356">
      <c r="A356" t="inlineStr">
        <is>
          <t>Credit Collection 赊账收款</t>
        </is>
      </c>
      <c r="B356" s="6">
        <f>IF($B351="","",'Daily Sale entry '!E27)</f>
        <v/>
      </c>
      <c r="D356" t="inlineStr">
        <is>
          <t>Advance Salary_M 预支薪水_M</t>
        </is>
      </c>
      <c r="E356" s="6">
        <f>IF($B351="","",'Daily Sale entry '!L27)</f>
        <v/>
      </c>
      <c r="H356" t="inlineStr">
        <is>
          <t>Credit Collection 赊账收款</t>
        </is>
      </c>
      <c r="I356" s="6">
        <f>IF($B351="","",B356)</f>
        <v/>
      </c>
      <c r="K356" t="inlineStr">
        <is>
          <t>Advance Salary_M 预支薪水_M</t>
        </is>
      </c>
      <c r="L356" s="6">
        <f>IF($B351="","",E356)</f>
        <v/>
      </c>
    </row>
    <row r="357">
      <c r="A357" s="10" t="inlineStr">
        <is>
          <t>Amount 2 金额2  (Amount + Credit Collection)</t>
        </is>
      </c>
      <c r="B357" s="11">
        <f>IF($B351="","",ROUND(B355+B356,2))</f>
        <v/>
      </c>
      <c r="D357" t="inlineStr">
        <is>
          <t>Advance Salary_H 预支薪水_H</t>
        </is>
      </c>
      <c r="E357" s="6">
        <f>IF($B351="","",'Daily Sale entry '!M27)</f>
        <v/>
      </c>
      <c r="H357" s="10" t="inlineStr">
        <is>
          <t>Amount 2 金额2  (Amount + Credit Collection)</t>
        </is>
      </c>
      <c r="I357" s="11">
        <f>IF($B351="","",ROUND(I355+I356,2))</f>
        <v/>
      </c>
      <c r="K357" t="inlineStr">
        <is>
          <t>Advance Salary_H 预支薪水_H</t>
        </is>
      </c>
      <c r="L357" s="6">
        <f>IF($B351="","",E357)</f>
        <v/>
      </c>
    </row>
    <row r="358"/>
    <row r="359">
      <c r="A359" s="1" t="inlineStr">
        <is>
          <t>b/f petty cash 上日备用金结转</t>
        </is>
      </c>
      <c r="B359" s="9">
        <f>IF($B351="","",'Daily Sale entry '!F27)</f>
        <v/>
      </c>
      <c r="D359" s="1" t="n"/>
      <c r="E359" s="1" t="n"/>
      <c r="H359" s="1" t="inlineStr">
        <is>
          <t>b/f petty cash 上日备用金结转</t>
        </is>
      </c>
      <c r="I359" s="9">
        <f>IF($B351="","",B359)</f>
        <v/>
      </c>
      <c r="K359" s="1" t="n"/>
      <c r="L359" s="1" t="n"/>
    </row>
    <row r="360">
      <c r="A360" t="inlineStr">
        <is>
          <t>Total (A) 总计 (A)</t>
        </is>
      </c>
      <c r="B360" s="6">
        <f>IF($B351="","",ROUND(B357+B359,2))</f>
        <v/>
      </c>
      <c r="D360" t="inlineStr">
        <is>
          <t>Total(B) 总计 (B)</t>
        </is>
      </c>
      <c r="E360" s="6">
        <f>IF($B351="","",ROUND(E352+E353+E354+E355+E356+E357,2))</f>
        <v/>
      </c>
      <c r="H360" t="inlineStr">
        <is>
          <t>Total© 总计 (C)</t>
        </is>
      </c>
      <c r="I360" s="6">
        <f>IF($B351="","",ROUND(I357+I359,2))</f>
        <v/>
      </c>
      <c r="K360" t="inlineStr">
        <is>
          <t>Total(D) 总计 (D)</t>
        </is>
      </c>
      <c r="L360" s="6">
        <f>IF($B351="","",ROUND(L352+L353+L354+L355+L356+L357,2))</f>
        <v/>
      </c>
    </row>
    <row r="361">
      <c r="A361" s="14" t="inlineStr">
        <is>
          <t>Total = Amount 2 + b/f petty cash  (金额2 + 上日备用金)</t>
        </is>
      </c>
      <c r="H361" s="14" t="inlineStr">
        <is>
          <t>Total = Amount 2 + b/f petty cash  (金额2 + 上日备用金)</t>
        </is>
      </c>
    </row>
    <row r="362">
      <c r="A362" t="inlineStr">
        <is>
          <t>Different 差额</t>
        </is>
      </c>
      <c r="B362" s="6">
        <f>IF($B351="","",ROUND(B360-E360,2))</f>
        <v/>
      </c>
      <c r="D362">
        <f>IF($B351="","",IF(ABS(B362)&gt;'Opening Balance'!$B$16,"ALERT 警报: Different over RM"&amp;'Opening Balance'!$B$16&amp;" 差额超过RM"&amp;'Opening Balance'!$B$16&amp;" - please check 请检查",IF(B362=0,"Tied 平衡",IF(ABS(B362)&lt;='Opening Balance'!$B$13,"Small difference 小额差额: adjusted on c/f petty cash 已调整备用金",IF(B362&gt;0,"Short 短收: added to Misc Charges 已加入杂项费用","Over 多收: added to Cash Sales 已加入现金销售")))))</f>
        <v/>
      </c>
      <c r="H362" t="inlineStr">
        <is>
          <t>Different 差额</t>
        </is>
      </c>
      <c r="I362" s="6">
        <f>IF($B351="","",ROUND(I360-L360,2))</f>
        <v/>
      </c>
    </row>
    <row r="363"/>
    <row r="364"/>
    <row r="365">
      <c r="A365" t="inlineStr">
        <is>
          <t>Date 日期</t>
        </is>
      </c>
      <c r="B365" s="5">
        <f>IF('Daily Sale entry '!$A28="","",'Daily Sale entry '!$A28)</f>
        <v/>
      </c>
      <c r="H365" t="inlineStr">
        <is>
          <t>After 调整后 (After)</t>
        </is>
      </c>
      <c r="I365" s="5">
        <f>IF($B365="","",B365)</f>
        <v/>
      </c>
    </row>
    <row r="366">
      <c r="A366" t="inlineStr">
        <is>
          <t>Cash Sales 现金销售</t>
        </is>
      </c>
      <c r="B366" s="6">
        <f>IF($B365="","",'Daily Sale entry '!B28)</f>
        <v/>
      </c>
      <c r="D366" t="inlineStr">
        <is>
          <t>c/f petty cash 今日备用金结转</t>
        </is>
      </c>
      <c r="E366" s="6">
        <f>IF($B365="","",'Daily Sale entry '!G28)</f>
        <v/>
      </c>
      <c r="H366" t="inlineStr">
        <is>
          <t>Cash Sales 现金销售</t>
        </is>
      </c>
      <c r="I366" s="6">
        <f>IF($B365="","",IF(AND(ABS(B376)&gt;'Opening Balance'!$B$13,B376&lt;0),ROUND(B366-B376,2),B366))</f>
        <v/>
      </c>
      <c r="K366" t="inlineStr">
        <is>
          <t>c/f petty cash 今日备用金结转</t>
        </is>
      </c>
      <c r="L366" s="6">
        <f>IF($B365="","",IF(ABS(B376)&lt;='Opening Balance'!$B$13,ROUND(E366+B376,2),E366))</f>
        <v/>
      </c>
    </row>
    <row r="367">
      <c r="A367" t="inlineStr">
        <is>
          <t>Misc Charges 杂项费用</t>
        </is>
      </c>
      <c r="B367" s="6">
        <f>IF($B365="","",'Daily Sale entry '!C28)</f>
        <v/>
      </c>
      <c r="D367" t="inlineStr">
        <is>
          <t>cash collection 现金收款</t>
        </is>
      </c>
      <c r="E367" s="6">
        <f>IF($B365="","",'Daily Sale entry '!H28)</f>
        <v/>
      </c>
      <c r="H367" t="inlineStr">
        <is>
          <t>Misc Charges 杂项费用</t>
        </is>
      </c>
      <c r="I367" s="6">
        <f>IF($B365="","",IF(AND(ABS(B376)&gt;'Opening Balance'!$B$13,B376&gt;0),ROUND(B367+B376,2),B367))</f>
        <v/>
      </c>
      <c r="K367" t="inlineStr">
        <is>
          <t>cash collection 现金收款</t>
        </is>
      </c>
      <c r="L367" s="6">
        <f>IF($B365="","",E367)</f>
        <v/>
      </c>
    </row>
    <row r="368">
      <c r="A368" s="1" t="inlineStr">
        <is>
          <t>Other Charges 其他费用</t>
        </is>
      </c>
      <c r="B368" s="9">
        <f>IF($B365="","",'Daily Sale entry '!D28)</f>
        <v/>
      </c>
      <c r="D368" s="1" t="inlineStr">
        <is>
          <t>Cheque Collection 支票收款</t>
        </is>
      </c>
      <c r="E368" s="9">
        <f>IF($B365="","",'Daily Sale entry '!J28)</f>
        <v/>
      </c>
      <c r="H368" s="1" t="inlineStr">
        <is>
          <t>Other Charges 其他费用</t>
        </is>
      </c>
      <c r="I368" s="9">
        <f>IF($B365="","",B368)</f>
        <v/>
      </c>
      <c r="K368" s="1" t="inlineStr">
        <is>
          <t>Cheque Collection 支票收款</t>
        </is>
      </c>
      <c r="L368" s="9">
        <f>IF($B365="","",E368)</f>
        <v/>
      </c>
    </row>
    <row r="369">
      <c r="A369" s="10" t="inlineStr">
        <is>
          <t>Amount 金额  (Cash Sales - Misc - Other)</t>
        </is>
      </c>
      <c r="B369" s="11">
        <f>IF($B365="","",ROUND(B366-B367-B368,2))</f>
        <v/>
      </c>
      <c r="D369" s="12" t="inlineStr">
        <is>
          <t>TNG collection TNG收款</t>
        </is>
      </c>
      <c r="E369" s="13">
        <f>IF($B365="","",'Daily Sale entry '!K28)</f>
        <v/>
      </c>
      <c r="H369" s="10" t="inlineStr">
        <is>
          <t>Amount 金额  (Cash Sales - Misc - Other)</t>
        </is>
      </c>
      <c r="I369" s="11">
        <f>IF($B365="","",ROUND(I366-I367-I368,2))</f>
        <v/>
      </c>
      <c r="K369" s="12" t="inlineStr">
        <is>
          <t>TNG collection TNG收款</t>
        </is>
      </c>
      <c r="L369" s="13">
        <f>IF($B365="","",E369)</f>
        <v/>
      </c>
    </row>
    <row r="370">
      <c r="A370" t="inlineStr">
        <is>
          <t>Credit Collection 赊账收款</t>
        </is>
      </c>
      <c r="B370" s="6">
        <f>IF($B365="","",'Daily Sale entry '!E28)</f>
        <v/>
      </c>
      <c r="D370" t="inlineStr">
        <is>
          <t>Advance Salary_M 预支薪水_M</t>
        </is>
      </c>
      <c r="E370" s="6">
        <f>IF($B365="","",'Daily Sale entry '!L28)</f>
        <v/>
      </c>
      <c r="H370" t="inlineStr">
        <is>
          <t>Credit Collection 赊账收款</t>
        </is>
      </c>
      <c r="I370" s="6">
        <f>IF($B365="","",B370)</f>
        <v/>
      </c>
      <c r="K370" t="inlineStr">
        <is>
          <t>Advance Salary_M 预支薪水_M</t>
        </is>
      </c>
      <c r="L370" s="6">
        <f>IF($B365="","",E370)</f>
        <v/>
      </c>
    </row>
    <row r="371">
      <c r="A371" s="10" t="inlineStr">
        <is>
          <t>Amount 2 金额2  (Amount + Credit Collection)</t>
        </is>
      </c>
      <c r="B371" s="11">
        <f>IF($B365="","",ROUND(B369+B370,2))</f>
        <v/>
      </c>
      <c r="D371" t="inlineStr">
        <is>
          <t>Advance Salary_H 预支薪水_H</t>
        </is>
      </c>
      <c r="E371" s="6">
        <f>IF($B365="","",'Daily Sale entry '!M28)</f>
        <v/>
      </c>
      <c r="H371" s="10" t="inlineStr">
        <is>
          <t>Amount 2 金额2  (Amount + Credit Collection)</t>
        </is>
      </c>
      <c r="I371" s="11">
        <f>IF($B365="","",ROUND(I369+I370,2))</f>
        <v/>
      </c>
      <c r="K371" t="inlineStr">
        <is>
          <t>Advance Salary_H 预支薪水_H</t>
        </is>
      </c>
      <c r="L371" s="6">
        <f>IF($B365="","",E371)</f>
        <v/>
      </c>
    </row>
    <row r="372"/>
    <row r="373">
      <c r="A373" s="1" t="inlineStr">
        <is>
          <t>b/f petty cash 上日备用金结转</t>
        </is>
      </c>
      <c r="B373" s="9">
        <f>IF($B365="","",'Daily Sale entry '!F28)</f>
        <v/>
      </c>
      <c r="D373" s="1" t="n"/>
      <c r="E373" s="1" t="n"/>
      <c r="H373" s="1" t="inlineStr">
        <is>
          <t>b/f petty cash 上日备用金结转</t>
        </is>
      </c>
      <c r="I373" s="9">
        <f>IF($B365="","",B373)</f>
        <v/>
      </c>
      <c r="K373" s="1" t="n"/>
      <c r="L373" s="1" t="n"/>
    </row>
    <row r="374">
      <c r="A374" t="inlineStr">
        <is>
          <t>Total (A) 总计 (A)</t>
        </is>
      </c>
      <c r="B374" s="6">
        <f>IF($B365="","",ROUND(B371+B373,2))</f>
        <v/>
      </c>
      <c r="D374" t="inlineStr">
        <is>
          <t>Total(B) 总计 (B)</t>
        </is>
      </c>
      <c r="E374" s="6">
        <f>IF($B365="","",ROUND(E366+E367+E368+E369+E370+E371,2))</f>
        <v/>
      </c>
      <c r="H374" t="inlineStr">
        <is>
          <t>Total© 总计 (C)</t>
        </is>
      </c>
      <c r="I374" s="6">
        <f>IF($B365="","",ROUND(I371+I373,2))</f>
        <v/>
      </c>
      <c r="K374" t="inlineStr">
        <is>
          <t>Total(D) 总计 (D)</t>
        </is>
      </c>
      <c r="L374" s="6">
        <f>IF($B365="","",ROUND(L366+L367+L368+L369+L370+L371,2))</f>
        <v/>
      </c>
    </row>
    <row r="375">
      <c r="A375" s="14" t="inlineStr">
        <is>
          <t>Total = Amount 2 + b/f petty cash  (金额2 + 上日备用金)</t>
        </is>
      </c>
      <c r="H375" s="14" t="inlineStr">
        <is>
          <t>Total = Amount 2 + b/f petty cash  (金额2 + 上日备用金)</t>
        </is>
      </c>
    </row>
    <row r="376">
      <c r="A376" t="inlineStr">
        <is>
          <t>Different 差额</t>
        </is>
      </c>
      <c r="B376" s="6">
        <f>IF($B365="","",ROUND(B374-E374,2))</f>
        <v/>
      </c>
      <c r="D376">
        <f>IF($B365="","",IF(ABS(B376)&gt;'Opening Balance'!$B$16,"ALERT 警报: Different over RM"&amp;'Opening Balance'!$B$16&amp;" 差额超过RM"&amp;'Opening Balance'!$B$16&amp;" - please check 请检查",IF(B376=0,"Tied 平衡",IF(ABS(B376)&lt;='Opening Balance'!$B$13,"Small difference 小额差额: adjusted on c/f petty cash 已调整备用金",IF(B376&gt;0,"Short 短收: added to Misc Charges 已加入杂项费用","Over 多收: added to Cash Sales 已加入现金销售")))))</f>
        <v/>
      </c>
      <c r="H376" t="inlineStr">
        <is>
          <t>Different 差额</t>
        </is>
      </c>
      <c r="I376" s="6">
        <f>IF($B365="","",ROUND(I374-L374,2))</f>
        <v/>
      </c>
    </row>
    <row r="377"/>
    <row r="378"/>
    <row r="379">
      <c r="A379" t="inlineStr">
        <is>
          <t>Date 日期</t>
        </is>
      </c>
      <c r="B379" s="5">
        <f>IF('Daily Sale entry '!$A29="","",'Daily Sale entry '!$A29)</f>
        <v/>
      </c>
      <c r="H379" t="inlineStr">
        <is>
          <t>After 调整后 (After)</t>
        </is>
      </c>
      <c r="I379" s="5">
        <f>IF($B379="","",B379)</f>
        <v/>
      </c>
    </row>
    <row r="380">
      <c r="A380" t="inlineStr">
        <is>
          <t>Cash Sales 现金销售</t>
        </is>
      </c>
      <c r="B380" s="6">
        <f>IF($B379="","",'Daily Sale entry '!B29)</f>
        <v/>
      </c>
      <c r="D380" t="inlineStr">
        <is>
          <t>c/f petty cash 今日备用金结转</t>
        </is>
      </c>
      <c r="E380" s="6">
        <f>IF($B379="","",'Daily Sale entry '!G29)</f>
        <v/>
      </c>
      <c r="H380" t="inlineStr">
        <is>
          <t>Cash Sales 现金销售</t>
        </is>
      </c>
      <c r="I380" s="6">
        <f>IF($B379="","",IF(AND(ABS(B390)&gt;'Opening Balance'!$B$13,B390&lt;0),ROUND(B380-B390,2),B380))</f>
        <v/>
      </c>
      <c r="K380" t="inlineStr">
        <is>
          <t>c/f petty cash 今日备用金结转</t>
        </is>
      </c>
      <c r="L380" s="6">
        <f>IF($B379="","",IF(ABS(B390)&lt;='Opening Balance'!$B$13,ROUND(E380+B390,2),E380))</f>
        <v/>
      </c>
    </row>
    <row r="381">
      <c r="A381" t="inlineStr">
        <is>
          <t>Misc Charges 杂项费用</t>
        </is>
      </c>
      <c r="B381" s="6">
        <f>IF($B379="","",'Daily Sale entry '!C29)</f>
        <v/>
      </c>
      <c r="D381" t="inlineStr">
        <is>
          <t>cash collection 现金收款</t>
        </is>
      </c>
      <c r="E381" s="6">
        <f>IF($B379="","",'Daily Sale entry '!H29)</f>
        <v/>
      </c>
      <c r="H381" t="inlineStr">
        <is>
          <t>Misc Charges 杂项费用</t>
        </is>
      </c>
      <c r="I381" s="6">
        <f>IF($B379="","",IF(AND(ABS(B390)&gt;'Opening Balance'!$B$13,B390&gt;0),ROUND(B381+B390,2),B381))</f>
        <v/>
      </c>
      <c r="K381" t="inlineStr">
        <is>
          <t>cash collection 现金收款</t>
        </is>
      </c>
      <c r="L381" s="6">
        <f>IF($B379="","",E381)</f>
        <v/>
      </c>
    </row>
    <row r="382">
      <c r="A382" s="1" t="inlineStr">
        <is>
          <t>Other Charges 其他费用</t>
        </is>
      </c>
      <c r="B382" s="9">
        <f>IF($B379="","",'Daily Sale entry '!D29)</f>
        <v/>
      </c>
      <c r="D382" s="1" t="inlineStr">
        <is>
          <t>Cheque Collection 支票收款</t>
        </is>
      </c>
      <c r="E382" s="9">
        <f>IF($B379="","",'Daily Sale entry '!J29)</f>
        <v/>
      </c>
      <c r="H382" s="1" t="inlineStr">
        <is>
          <t>Other Charges 其他费用</t>
        </is>
      </c>
      <c r="I382" s="9">
        <f>IF($B379="","",B382)</f>
        <v/>
      </c>
      <c r="K382" s="1" t="inlineStr">
        <is>
          <t>Cheque Collection 支票收款</t>
        </is>
      </c>
      <c r="L382" s="9">
        <f>IF($B379="","",E382)</f>
        <v/>
      </c>
    </row>
    <row r="383">
      <c r="A383" s="10" t="inlineStr">
        <is>
          <t>Amount 金额  (Cash Sales - Misc - Other)</t>
        </is>
      </c>
      <c r="B383" s="11">
        <f>IF($B379="","",ROUND(B380-B381-B382,2))</f>
        <v/>
      </c>
      <c r="D383" s="12" t="inlineStr">
        <is>
          <t>TNG collection TNG收款</t>
        </is>
      </c>
      <c r="E383" s="13">
        <f>IF($B379="","",'Daily Sale entry '!K29)</f>
        <v/>
      </c>
      <c r="H383" s="10" t="inlineStr">
        <is>
          <t>Amount 金额  (Cash Sales - Misc - Other)</t>
        </is>
      </c>
      <c r="I383" s="11">
        <f>IF($B379="","",ROUND(I380-I381-I382,2))</f>
        <v/>
      </c>
      <c r="K383" s="12" t="inlineStr">
        <is>
          <t>TNG collection TNG收款</t>
        </is>
      </c>
      <c r="L383" s="13">
        <f>IF($B379="","",E383)</f>
        <v/>
      </c>
    </row>
    <row r="384">
      <c r="A384" t="inlineStr">
        <is>
          <t>Credit Collection 赊账收款</t>
        </is>
      </c>
      <c r="B384" s="6">
        <f>IF($B379="","",'Daily Sale entry '!E29)</f>
        <v/>
      </c>
      <c r="D384" t="inlineStr">
        <is>
          <t>Advance Salary_M 预支薪水_M</t>
        </is>
      </c>
      <c r="E384" s="6">
        <f>IF($B379="","",'Daily Sale entry '!L29)</f>
        <v/>
      </c>
      <c r="H384" t="inlineStr">
        <is>
          <t>Credit Collection 赊账收款</t>
        </is>
      </c>
      <c r="I384" s="6">
        <f>IF($B379="","",B384)</f>
        <v/>
      </c>
      <c r="K384" t="inlineStr">
        <is>
          <t>Advance Salary_M 预支薪水_M</t>
        </is>
      </c>
      <c r="L384" s="6">
        <f>IF($B379="","",E384)</f>
        <v/>
      </c>
    </row>
    <row r="385">
      <c r="A385" s="10" t="inlineStr">
        <is>
          <t>Amount 2 金额2  (Amount + Credit Collection)</t>
        </is>
      </c>
      <c r="B385" s="11">
        <f>IF($B379="","",ROUND(B383+B384,2))</f>
        <v/>
      </c>
      <c r="D385" t="inlineStr">
        <is>
          <t>Advance Salary_H 预支薪水_H</t>
        </is>
      </c>
      <c r="E385" s="6">
        <f>IF($B379="","",'Daily Sale entry '!M29)</f>
        <v/>
      </c>
      <c r="H385" s="10" t="inlineStr">
        <is>
          <t>Amount 2 金额2  (Amount + Credit Collection)</t>
        </is>
      </c>
      <c r="I385" s="11">
        <f>IF($B379="","",ROUND(I383+I384,2))</f>
        <v/>
      </c>
      <c r="K385" t="inlineStr">
        <is>
          <t>Advance Salary_H 预支薪水_H</t>
        </is>
      </c>
      <c r="L385" s="6">
        <f>IF($B379="","",E385)</f>
        <v/>
      </c>
    </row>
    <row r="386"/>
    <row r="387">
      <c r="A387" s="1" t="inlineStr">
        <is>
          <t>b/f petty cash 上日备用金结转</t>
        </is>
      </c>
      <c r="B387" s="9">
        <f>IF($B379="","",'Daily Sale entry '!F29)</f>
        <v/>
      </c>
      <c r="D387" s="1" t="n"/>
      <c r="E387" s="1" t="n"/>
      <c r="H387" s="1" t="inlineStr">
        <is>
          <t>b/f petty cash 上日备用金结转</t>
        </is>
      </c>
      <c r="I387" s="9">
        <f>IF($B379="","",B387)</f>
        <v/>
      </c>
      <c r="K387" s="1" t="n"/>
      <c r="L387" s="1" t="n"/>
    </row>
    <row r="388">
      <c r="A388" t="inlineStr">
        <is>
          <t>Total (A) 总计 (A)</t>
        </is>
      </c>
      <c r="B388" s="6">
        <f>IF($B379="","",ROUND(B385+B387,2))</f>
        <v/>
      </c>
      <c r="D388" t="inlineStr">
        <is>
          <t>Total(B) 总计 (B)</t>
        </is>
      </c>
      <c r="E388" s="6">
        <f>IF($B379="","",ROUND(E380+E381+E382+E383+E384+E385,2))</f>
        <v/>
      </c>
      <c r="H388" t="inlineStr">
        <is>
          <t>Total© 总计 (C)</t>
        </is>
      </c>
      <c r="I388" s="6">
        <f>IF($B379="","",ROUND(I385+I387,2))</f>
        <v/>
      </c>
      <c r="K388" t="inlineStr">
        <is>
          <t>Total(D) 总计 (D)</t>
        </is>
      </c>
      <c r="L388" s="6">
        <f>IF($B379="","",ROUND(L380+L381+L382+L383+L384+L385,2))</f>
        <v/>
      </c>
    </row>
    <row r="389">
      <c r="A389" s="14" t="inlineStr">
        <is>
          <t>Total = Amount 2 + b/f petty cash  (金额2 + 上日备用金)</t>
        </is>
      </c>
      <c r="H389" s="14" t="inlineStr">
        <is>
          <t>Total = Amount 2 + b/f petty cash  (金额2 + 上日备用金)</t>
        </is>
      </c>
    </row>
    <row r="390">
      <c r="A390" t="inlineStr">
        <is>
          <t>Different 差额</t>
        </is>
      </c>
      <c r="B390" s="6">
        <f>IF($B379="","",ROUND(B388-E388,2))</f>
        <v/>
      </c>
      <c r="D390">
        <f>IF($B379="","",IF(ABS(B390)&gt;'Opening Balance'!$B$16,"ALERT 警报: Different over RM"&amp;'Opening Balance'!$B$16&amp;" 差额超过RM"&amp;'Opening Balance'!$B$16&amp;" - please check 请检查",IF(B390=0,"Tied 平衡",IF(ABS(B390)&lt;='Opening Balance'!$B$13,"Small difference 小额差额: adjusted on c/f petty cash 已调整备用金",IF(B390&gt;0,"Short 短收: added to Misc Charges 已加入杂项费用","Over 多收: added to Cash Sales 已加入现金销售")))))</f>
        <v/>
      </c>
      <c r="H390" t="inlineStr">
        <is>
          <t>Different 差额</t>
        </is>
      </c>
      <c r="I390" s="6">
        <f>IF($B379="","",ROUND(I388-L388,2))</f>
        <v/>
      </c>
    </row>
    <row r="391"/>
    <row r="392"/>
    <row r="393">
      <c r="A393" t="inlineStr">
        <is>
          <t>Date 日期</t>
        </is>
      </c>
      <c r="B393" s="5">
        <f>IF('Daily Sale entry '!$A30="","",'Daily Sale entry '!$A30)</f>
        <v/>
      </c>
      <c r="H393" t="inlineStr">
        <is>
          <t>After 调整后 (After)</t>
        </is>
      </c>
      <c r="I393" s="5">
        <f>IF($B393="","",B393)</f>
        <v/>
      </c>
    </row>
    <row r="394">
      <c r="A394" t="inlineStr">
        <is>
          <t>Cash Sales 现金销售</t>
        </is>
      </c>
      <c r="B394" s="6">
        <f>IF($B393="","",'Daily Sale entry '!B30)</f>
        <v/>
      </c>
      <c r="D394" t="inlineStr">
        <is>
          <t>c/f petty cash 今日备用金结转</t>
        </is>
      </c>
      <c r="E394" s="6">
        <f>IF($B393="","",'Daily Sale entry '!G30)</f>
        <v/>
      </c>
      <c r="H394" t="inlineStr">
        <is>
          <t>Cash Sales 现金销售</t>
        </is>
      </c>
      <c r="I394" s="6">
        <f>IF($B393="","",IF(AND(ABS(B404)&gt;'Opening Balance'!$B$13,B404&lt;0),ROUND(B394-B404,2),B394))</f>
        <v/>
      </c>
      <c r="K394" t="inlineStr">
        <is>
          <t>c/f petty cash 今日备用金结转</t>
        </is>
      </c>
      <c r="L394" s="6">
        <f>IF($B393="","",IF(ABS(B404)&lt;='Opening Balance'!$B$13,ROUND(E394+B404,2),E394))</f>
        <v/>
      </c>
    </row>
    <row r="395">
      <c r="A395" t="inlineStr">
        <is>
          <t>Misc Charges 杂项费用</t>
        </is>
      </c>
      <c r="B395" s="6">
        <f>IF($B393="","",'Daily Sale entry '!C30)</f>
        <v/>
      </c>
      <c r="D395" t="inlineStr">
        <is>
          <t>cash collection 现金收款</t>
        </is>
      </c>
      <c r="E395" s="6">
        <f>IF($B393="","",'Daily Sale entry '!H30)</f>
        <v/>
      </c>
      <c r="H395" t="inlineStr">
        <is>
          <t>Misc Charges 杂项费用</t>
        </is>
      </c>
      <c r="I395" s="6">
        <f>IF($B393="","",IF(AND(ABS(B404)&gt;'Opening Balance'!$B$13,B404&gt;0),ROUND(B395+B404,2),B395))</f>
        <v/>
      </c>
      <c r="K395" t="inlineStr">
        <is>
          <t>cash collection 现金收款</t>
        </is>
      </c>
      <c r="L395" s="6">
        <f>IF($B393="","",E395)</f>
        <v/>
      </c>
    </row>
    <row r="396">
      <c r="A396" s="1" t="inlineStr">
        <is>
          <t>Other Charges 其他费用</t>
        </is>
      </c>
      <c r="B396" s="9">
        <f>IF($B393="","",'Daily Sale entry '!D30)</f>
        <v/>
      </c>
      <c r="D396" s="1" t="inlineStr">
        <is>
          <t>Cheque Collection 支票收款</t>
        </is>
      </c>
      <c r="E396" s="9">
        <f>IF($B393="","",'Daily Sale entry '!J30)</f>
        <v/>
      </c>
      <c r="H396" s="1" t="inlineStr">
        <is>
          <t>Other Charges 其他费用</t>
        </is>
      </c>
      <c r="I396" s="9">
        <f>IF($B393="","",B396)</f>
        <v/>
      </c>
      <c r="K396" s="1" t="inlineStr">
        <is>
          <t>Cheque Collection 支票收款</t>
        </is>
      </c>
      <c r="L396" s="9">
        <f>IF($B393="","",E396)</f>
        <v/>
      </c>
    </row>
    <row r="397">
      <c r="A397" s="10" t="inlineStr">
        <is>
          <t>Amount 金额  (Cash Sales - Misc - Other)</t>
        </is>
      </c>
      <c r="B397" s="11">
        <f>IF($B393="","",ROUND(B394-B395-B396,2))</f>
        <v/>
      </c>
      <c r="D397" s="12" t="inlineStr">
        <is>
          <t>TNG collection TNG收款</t>
        </is>
      </c>
      <c r="E397" s="13">
        <f>IF($B393="","",'Daily Sale entry '!K30)</f>
        <v/>
      </c>
      <c r="H397" s="10" t="inlineStr">
        <is>
          <t>Amount 金额  (Cash Sales - Misc - Other)</t>
        </is>
      </c>
      <c r="I397" s="11">
        <f>IF($B393="","",ROUND(I394-I395-I396,2))</f>
        <v/>
      </c>
      <c r="K397" s="12" t="inlineStr">
        <is>
          <t>TNG collection TNG收款</t>
        </is>
      </c>
      <c r="L397" s="13">
        <f>IF($B393="","",E397)</f>
        <v/>
      </c>
    </row>
    <row r="398">
      <c r="A398" t="inlineStr">
        <is>
          <t>Credit Collection 赊账收款</t>
        </is>
      </c>
      <c r="B398" s="6">
        <f>IF($B393="","",'Daily Sale entry '!E30)</f>
        <v/>
      </c>
      <c r="D398" t="inlineStr">
        <is>
          <t>Advance Salary_M 预支薪水_M</t>
        </is>
      </c>
      <c r="E398" s="6">
        <f>IF($B393="","",'Daily Sale entry '!L30)</f>
        <v/>
      </c>
      <c r="H398" t="inlineStr">
        <is>
          <t>Credit Collection 赊账收款</t>
        </is>
      </c>
      <c r="I398" s="6">
        <f>IF($B393="","",B398)</f>
        <v/>
      </c>
      <c r="K398" t="inlineStr">
        <is>
          <t>Advance Salary_M 预支薪水_M</t>
        </is>
      </c>
      <c r="L398" s="6">
        <f>IF($B393="","",E398)</f>
        <v/>
      </c>
    </row>
    <row r="399">
      <c r="A399" s="10" t="inlineStr">
        <is>
          <t>Amount 2 金额2  (Amount + Credit Collection)</t>
        </is>
      </c>
      <c r="B399" s="11">
        <f>IF($B393="","",ROUND(B397+B398,2))</f>
        <v/>
      </c>
      <c r="D399" t="inlineStr">
        <is>
          <t>Advance Salary_H 预支薪水_H</t>
        </is>
      </c>
      <c r="E399" s="6">
        <f>IF($B393="","",'Daily Sale entry '!M30)</f>
        <v/>
      </c>
      <c r="H399" s="10" t="inlineStr">
        <is>
          <t>Amount 2 金额2  (Amount + Credit Collection)</t>
        </is>
      </c>
      <c r="I399" s="11">
        <f>IF($B393="","",ROUND(I397+I398,2))</f>
        <v/>
      </c>
      <c r="K399" t="inlineStr">
        <is>
          <t>Advance Salary_H 预支薪水_H</t>
        </is>
      </c>
      <c r="L399" s="6">
        <f>IF($B393="","",E399)</f>
        <v/>
      </c>
    </row>
    <row r="400"/>
    <row r="401">
      <c r="A401" s="1" t="inlineStr">
        <is>
          <t>b/f petty cash 上日备用金结转</t>
        </is>
      </c>
      <c r="B401" s="9">
        <f>IF($B393="","",'Daily Sale entry '!F30)</f>
        <v/>
      </c>
      <c r="D401" s="1" t="n"/>
      <c r="E401" s="1" t="n"/>
      <c r="H401" s="1" t="inlineStr">
        <is>
          <t>b/f petty cash 上日备用金结转</t>
        </is>
      </c>
      <c r="I401" s="9">
        <f>IF($B393="","",B401)</f>
        <v/>
      </c>
      <c r="K401" s="1" t="n"/>
      <c r="L401" s="1" t="n"/>
    </row>
    <row r="402">
      <c r="A402" t="inlineStr">
        <is>
          <t>Total (A) 总计 (A)</t>
        </is>
      </c>
      <c r="B402" s="6">
        <f>IF($B393="","",ROUND(B399+B401,2))</f>
        <v/>
      </c>
      <c r="D402" t="inlineStr">
        <is>
          <t>Total(B) 总计 (B)</t>
        </is>
      </c>
      <c r="E402" s="6">
        <f>IF($B393="","",ROUND(E394+E395+E396+E397+E398+E399,2))</f>
        <v/>
      </c>
      <c r="H402" t="inlineStr">
        <is>
          <t>Total© 总计 (C)</t>
        </is>
      </c>
      <c r="I402" s="6">
        <f>IF($B393="","",ROUND(I399+I401,2))</f>
        <v/>
      </c>
      <c r="K402" t="inlineStr">
        <is>
          <t>Total(D) 总计 (D)</t>
        </is>
      </c>
      <c r="L402" s="6">
        <f>IF($B393="","",ROUND(L394+L395+L396+L397+L398+L399,2))</f>
        <v/>
      </c>
    </row>
    <row r="403">
      <c r="A403" s="14" t="inlineStr">
        <is>
          <t>Total = Amount 2 + b/f petty cash  (金额2 + 上日备用金)</t>
        </is>
      </c>
      <c r="H403" s="14" t="inlineStr">
        <is>
          <t>Total = Amount 2 + b/f petty cash  (金额2 + 上日备用金)</t>
        </is>
      </c>
    </row>
    <row r="404">
      <c r="A404" t="inlineStr">
        <is>
          <t>Different 差额</t>
        </is>
      </c>
      <c r="B404" s="6">
        <f>IF($B393="","",ROUND(B402-E402,2))</f>
        <v/>
      </c>
      <c r="D404">
        <f>IF($B393="","",IF(ABS(B404)&gt;'Opening Balance'!$B$16,"ALERT 警报: Different over RM"&amp;'Opening Balance'!$B$16&amp;" 差额超过RM"&amp;'Opening Balance'!$B$16&amp;" - please check 请检查",IF(B404=0,"Tied 平衡",IF(ABS(B404)&lt;='Opening Balance'!$B$13,"Small difference 小额差额: adjusted on c/f petty cash 已调整备用金",IF(B404&gt;0,"Short 短收: added to Misc Charges 已加入杂项费用","Over 多收: added to Cash Sales 已加入现金销售")))))</f>
        <v/>
      </c>
      <c r="H404" t="inlineStr">
        <is>
          <t>Different 差额</t>
        </is>
      </c>
      <c r="I404" s="6">
        <f>IF($B393="","",ROUND(I402-L402,2))</f>
        <v/>
      </c>
    </row>
    <row r="405"/>
    <row r="406"/>
    <row r="407">
      <c r="A407" t="inlineStr">
        <is>
          <t>Date 日期</t>
        </is>
      </c>
      <c r="B407" s="5">
        <f>IF('Daily Sale entry '!$A31="","",'Daily Sale entry '!$A31)</f>
        <v/>
      </c>
      <c r="H407" t="inlineStr">
        <is>
          <t>After 调整后 (After)</t>
        </is>
      </c>
      <c r="I407" s="5">
        <f>IF($B407="","",B407)</f>
        <v/>
      </c>
    </row>
    <row r="408">
      <c r="A408" t="inlineStr">
        <is>
          <t>Cash Sales 现金销售</t>
        </is>
      </c>
      <c r="B408" s="6">
        <f>IF($B407="","",'Daily Sale entry '!B31)</f>
        <v/>
      </c>
      <c r="D408" t="inlineStr">
        <is>
          <t>c/f petty cash 今日备用金结转</t>
        </is>
      </c>
      <c r="E408" s="6">
        <f>IF($B407="","",'Daily Sale entry '!G31)</f>
        <v/>
      </c>
      <c r="H408" t="inlineStr">
        <is>
          <t>Cash Sales 现金销售</t>
        </is>
      </c>
      <c r="I408" s="6">
        <f>IF($B407="","",IF(AND(ABS(B418)&gt;'Opening Balance'!$B$13,B418&lt;0),ROUND(B408-B418,2),B408))</f>
        <v/>
      </c>
      <c r="K408" t="inlineStr">
        <is>
          <t>c/f petty cash 今日备用金结转</t>
        </is>
      </c>
      <c r="L408" s="6">
        <f>IF($B407="","",IF(ABS(B418)&lt;='Opening Balance'!$B$13,ROUND(E408+B418,2),E408))</f>
        <v/>
      </c>
    </row>
    <row r="409">
      <c r="A409" t="inlineStr">
        <is>
          <t>Misc Charges 杂项费用</t>
        </is>
      </c>
      <c r="B409" s="6">
        <f>IF($B407="","",'Daily Sale entry '!C31)</f>
        <v/>
      </c>
      <c r="D409" t="inlineStr">
        <is>
          <t>cash collection 现金收款</t>
        </is>
      </c>
      <c r="E409" s="6">
        <f>IF($B407="","",'Daily Sale entry '!H31)</f>
        <v/>
      </c>
      <c r="H409" t="inlineStr">
        <is>
          <t>Misc Charges 杂项费用</t>
        </is>
      </c>
      <c r="I409" s="6">
        <f>IF($B407="","",IF(AND(ABS(B418)&gt;'Opening Balance'!$B$13,B418&gt;0),ROUND(B409+B418,2),B409))</f>
        <v/>
      </c>
      <c r="K409" t="inlineStr">
        <is>
          <t>cash collection 现金收款</t>
        </is>
      </c>
      <c r="L409" s="6">
        <f>IF($B407="","",E409)</f>
        <v/>
      </c>
    </row>
    <row r="410">
      <c r="A410" s="1" t="inlineStr">
        <is>
          <t>Other Charges 其他费用</t>
        </is>
      </c>
      <c r="B410" s="9">
        <f>IF($B407="","",'Daily Sale entry '!D31)</f>
        <v/>
      </c>
      <c r="D410" s="1" t="inlineStr">
        <is>
          <t>Cheque Collection 支票收款</t>
        </is>
      </c>
      <c r="E410" s="9">
        <f>IF($B407="","",'Daily Sale entry '!J31)</f>
        <v/>
      </c>
      <c r="H410" s="1" t="inlineStr">
        <is>
          <t>Other Charges 其他费用</t>
        </is>
      </c>
      <c r="I410" s="9">
        <f>IF($B407="","",B410)</f>
        <v/>
      </c>
      <c r="K410" s="1" t="inlineStr">
        <is>
          <t>Cheque Collection 支票收款</t>
        </is>
      </c>
      <c r="L410" s="9">
        <f>IF($B407="","",E410)</f>
        <v/>
      </c>
    </row>
    <row r="411">
      <c r="A411" s="10" t="inlineStr">
        <is>
          <t>Amount 金额  (Cash Sales - Misc - Other)</t>
        </is>
      </c>
      <c r="B411" s="11">
        <f>IF($B407="","",ROUND(B408-B409-B410,2))</f>
        <v/>
      </c>
      <c r="D411" s="12" t="inlineStr">
        <is>
          <t>TNG collection TNG收款</t>
        </is>
      </c>
      <c r="E411" s="13">
        <f>IF($B407="","",'Daily Sale entry '!K31)</f>
        <v/>
      </c>
      <c r="H411" s="10" t="inlineStr">
        <is>
          <t>Amount 金额  (Cash Sales - Misc - Other)</t>
        </is>
      </c>
      <c r="I411" s="11">
        <f>IF($B407="","",ROUND(I408-I409-I410,2))</f>
        <v/>
      </c>
      <c r="K411" s="12" t="inlineStr">
        <is>
          <t>TNG collection TNG收款</t>
        </is>
      </c>
      <c r="L411" s="13">
        <f>IF($B407="","",E411)</f>
        <v/>
      </c>
    </row>
    <row r="412">
      <c r="A412" t="inlineStr">
        <is>
          <t>Credit Collection 赊账收款</t>
        </is>
      </c>
      <c r="B412" s="6">
        <f>IF($B407="","",'Daily Sale entry '!E31)</f>
        <v/>
      </c>
      <c r="D412" t="inlineStr">
        <is>
          <t>Advance Salary_M 预支薪水_M</t>
        </is>
      </c>
      <c r="E412" s="6">
        <f>IF($B407="","",'Daily Sale entry '!L31)</f>
        <v/>
      </c>
      <c r="H412" t="inlineStr">
        <is>
          <t>Credit Collection 赊账收款</t>
        </is>
      </c>
      <c r="I412" s="6">
        <f>IF($B407="","",B412)</f>
        <v/>
      </c>
      <c r="K412" t="inlineStr">
        <is>
          <t>Advance Salary_M 预支薪水_M</t>
        </is>
      </c>
      <c r="L412" s="6">
        <f>IF($B407="","",E412)</f>
        <v/>
      </c>
    </row>
    <row r="413">
      <c r="A413" s="10" t="inlineStr">
        <is>
          <t>Amount 2 金额2  (Amount + Credit Collection)</t>
        </is>
      </c>
      <c r="B413" s="11">
        <f>IF($B407="","",ROUND(B411+B412,2))</f>
        <v/>
      </c>
      <c r="D413" t="inlineStr">
        <is>
          <t>Advance Salary_H 预支薪水_H</t>
        </is>
      </c>
      <c r="E413" s="6">
        <f>IF($B407="","",'Daily Sale entry '!M31)</f>
        <v/>
      </c>
      <c r="H413" s="10" t="inlineStr">
        <is>
          <t>Amount 2 金额2  (Amount + Credit Collection)</t>
        </is>
      </c>
      <c r="I413" s="11">
        <f>IF($B407="","",ROUND(I411+I412,2))</f>
        <v/>
      </c>
      <c r="K413" t="inlineStr">
        <is>
          <t>Advance Salary_H 预支薪水_H</t>
        </is>
      </c>
      <c r="L413" s="6">
        <f>IF($B407="","",E413)</f>
        <v/>
      </c>
    </row>
    <row r="414"/>
    <row r="415">
      <c r="A415" s="1" t="inlineStr">
        <is>
          <t>b/f petty cash 上日备用金结转</t>
        </is>
      </c>
      <c r="B415" s="9">
        <f>IF($B407="","",'Daily Sale entry '!F31)</f>
        <v/>
      </c>
      <c r="D415" s="1" t="n"/>
      <c r="E415" s="1" t="n"/>
      <c r="H415" s="1" t="inlineStr">
        <is>
          <t>b/f petty cash 上日备用金结转</t>
        </is>
      </c>
      <c r="I415" s="9">
        <f>IF($B407="","",B415)</f>
        <v/>
      </c>
      <c r="K415" s="1" t="n"/>
      <c r="L415" s="1" t="n"/>
    </row>
    <row r="416">
      <c r="A416" t="inlineStr">
        <is>
          <t>Total (A) 总计 (A)</t>
        </is>
      </c>
      <c r="B416" s="6">
        <f>IF($B407="","",ROUND(B413+B415,2))</f>
        <v/>
      </c>
      <c r="D416" t="inlineStr">
        <is>
          <t>Total(B) 总计 (B)</t>
        </is>
      </c>
      <c r="E416" s="6">
        <f>IF($B407="","",ROUND(E408+E409+E410+E411+E412+E413,2))</f>
        <v/>
      </c>
      <c r="H416" t="inlineStr">
        <is>
          <t>Total© 总计 (C)</t>
        </is>
      </c>
      <c r="I416" s="6">
        <f>IF($B407="","",ROUND(I413+I415,2))</f>
        <v/>
      </c>
      <c r="K416" t="inlineStr">
        <is>
          <t>Total(D) 总计 (D)</t>
        </is>
      </c>
      <c r="L416" s="6">
        <f>IF($B407="","",ROUND(L408+L409+L410+L411+L412+L413,2))</f>
        <v/>
      </c>
    </row>
    <row r="417">
      <c r="A417" s="14" t="inlineStr">
        <is>
          <t>Total = Amount 2 + b/f petty cash  (金额2 + 上日备用金)</t>
        </is>
      </c>
      <c r="H417" s="14" t="inlineStr">
        <is>
          <t>Total = Amount 2 + b/f petty cash  (金额2 + 上日备用金)</t>
        </is>
      </c>
    </row>
    <row r="418">
      <c r="A418" t="inlineStr">
        <is>
          <t>Different 差额</t>
        </is>
      </c>
      <c r="B418" s="6">
        <f>IF($B407="","",ROUND(B416-E416,2))</f>
        <v/>
      </c>
      <c r="D418">
        <f>IF($B407="","",IF(ABS(B418)&gt;'Opening Balance'!$B$16,"ALERT 警报: Different over RM"&amp;'Opening Balance'!$B$16&amp;" 差额超过RM"&amp;'Opening Balance'!$B$16&amp;" - please check 请检查",IF(B418=0,"Tied 平衡",IF(ABS(B418)&lt;='Opening Balance'!$B$13,"Small difference 小额差额: adjusted on c/f petty cash 已调整备用金",IF(B418&gt;0,"Short 短收: added to Misc Charges 已加入杂项费用","Over 多收: added to Cash Sales 已加入现金销售")))))</f>
        <v/>
      </c>
      <c r="H418" t="inlineStr">
        <is>
          <t>Different 差额</t>
        </is>
      </c>
      <c r="I418" s="6">
        <f>IF($B407="","",ROUND(I416-L416,2))</f>
        <v/>
      </c>
    </row>
    <row r="419"/>
    <row r="420"/>
    <row r="421">
      <c r="A421" t="inlineStr">
        <is>
          <t>Date 日期</t>
        </is>
      </c>
      <c r="B421" s="5">
        <f>IF('Daily Sale entry '!$A32="","",'Daily Sale entry '!$A32)</f>
        <v/>
      </c>
      <c r="H421" t="inlineStr">
        <is>
          <t>After 调整后 (After)</t>
        </is>
      </c>
      <c r="I421" s="5">
        <f>IF($B421="","",B421)</f>
        <v/>
      </c>
    </row>
    <row r="422">
      <c r="A422" t="inlineStr">
        <is>
          <t>Cash Sales 现金销售</t>
        </is>
      </c>
      <c r="B422" s="6">
        <f>IF($B421="","",'Daily Sale entry '!B32)</f>
        <v/>
      </c>
      <c r="D422" t="inlineStr">
        <is>
          <t>c/f petty cash 今日备用金结转</t>
        </is>
      </c>
      <c r="E422" s="6">
        <f>IF($B421="","",'Daily Sale entry '!G32)</f>
        <v/>
      </c>
      <c r="H422" t="inlineStr">
        <is>
          <t>Cash Sales 现金销售</t>
        </is>
      </c>
      <c r="I422" s="6">
        <f>IF($B421="","",IF(AND(ABS(B432)&gt;'Opening Balance'!$B$13,B432&lt;0),ROUND(B422-B432,2),B422))</f>
        <v/>
      </c>
      <c r="K422" t="inlineStr">
        <is>
          <t>c/f petty cash 今日备用金结转</t>
        </is>
      </c>
      <c r="L422" s="6">
        <f>IF($B421="","",IF(ABS(B432)&lt;='Opening Balance'!$B$13,ROUND(E422+B432,2),E422))</f>
        <v/>
      </c>
    </row>
    <row r="423">
      <c r="A423" t="inlineStr">
        <is>
          <t>Misc Charges 杂项费用</t>
        </is>
      </c>
      <c r="B423" s="6">
        <f>IF($B421="","",'Daily Sale entry '!C32)</f>
        <v/>
      </c>
      <c r="D423" t="inlineStr">
        <is>
          <t>cash collection 现金收款</t>
        </is>
      </c>
      <c r="E423" s="6">
        <f>IF($B421="","",'Daily Sale entry '!H32)</f>
        <v/>
      </c>
      <c r="H423" t="inlineStr">
        <is>
          <t>Misc Charges 杂项费用</t>
        </is>
      </c>
      <c r="I423" s="6">
        <f>IF($B421="","",IF(AND(ABS(B432)&gt;'Opening Balance'!$B$13,B432&gt;0),ROUND(B423+B432,2),B423))</f>
        <v/>
      </c>
      <c r="K423" t="inlineStr">
        <is>
          <t>cash collection 现金收款</t>
        </is>
      </c>
      <c r="L423" s="6">
        <f>IF($B421="","",E423)</f>
        <v/>
      </c>
    </row>
    <row r="424">
      <c r="A424" s="1" t="inlineStr">
        <is>
          <t>Other Charges 其他费用</t>
        </is>
      </c>
      <c r="B424" s="9">
        <f>IF($B421="","",'Daily Sale entry '!D32)</f>
        <v/>
      </c>
      <c r="D424" s="1" t="inlineStr">
        <is>
          <t>Cheque Collection 支票收款</t>
        </is>
      </c>
      <c r="E424" s="9">
        <f>IF($B421="","",'Daily Sale entry '!J32)</f>
        <v/>
      </c>
      <c r="H424" s="1" t="inlineStr">
        <is>
          <t>Other Charges 其他费用</t>
        </is>
      </c>
      <c r="I424" s="9">
        <f>IF($B421="","",B424)</f>
        <v/>
      </c>
      <c r="K424" s="1" t="inlineStr">
        <is>
          <t>Cheque Collection 支票收款</t>
        </is>
      </c>
      <c r="L424" s="9">
        <f>IF($B421="","",E424)</f>
        <v/>
      </c>
    </row>
    <row r="425">
      <c r="A425" s="10" t="inlineStr">
        <is>
          <t>Amount 金额  (Cash Sales - Misc - Other)</t>
        </is>
      </c>
      <c r="B425" s="11">
        <f>IF($B421="","",ROUND(B422-B423-B424,2))</f>
        <v/>
      </c>
      <c r="D425" s="12" t="inlineStr">
        <is>
          <t>TNG collection TNG收款</t>
        </is>
      </c>
      <c r="E425" s="13">
        <f>IF($B421="","",'Daily Sale entry '!K32)</f>
        <v/>
      </c>
      <c r="H425" s="10" t="inlineStr">
        <is>
          <t>Amount 金额  (Cash Sales - Misc - Other)</t>
        </is>
      </c>
      <c r="I425" s="11">
        <f>IF($B421="","",ROUND(I422-I423-I424,2))</f>
        <v/>
      </c>
      <c r="K425" s="12" t="inlineStr">
        <is>
          <t>TNG collection TNG收款</t>
        </is>
      </c>
      <c r="L425" s="13">
        <f>IF($B421="","",E425)</f>
        <v/>
      </c>
    </row>
    <row r="426">
      <c r="A426" t="inlineStr">
        <is>
          <t>Credit Collection 赊账收款</t>
        </is>
      </c>
      <c r="B426" s="6">
        <f>IF($B421="","",'Daily Sale entry '!E32)</f>
        <v/>
      </c>
      <c r="D426" t="inlineStr">
        <is>
          <t>Advance Salary_M 预支薪水_M</t>
        </is>
      </c>
      <c r="E426" s="6">
        <f>IF($B421="","",'Daily Sale entry '!L32)</f>
        <v/>
      </c>
      <c r="H426" t="inlineStr">
        <is>
          <t>Credit Collection 赊账收款</t>
        </is>
      </c>
      <c r="I426" s="6">
        <f>IF($B421="","",B426)</f>
        <v/>
      </c>
      <c r="K426" t="inlineStr">
        <is>
          <t>Advance Salary_M 预支薪水_M</t>
        </is>
      </c>
      <c r="L426" s="6">
        <f>IF($B421="","",E426)</f>
        <v/>
      </c>
    </row>
    <row r="427">
      <c r="A427" s="10" t="inlineStr">
        <is>
          <t>Amount 2 金额2  (Amount + Credit Collection)</t>
        </is>
      </c>
      <c r="B427" s="11">
        <f>IF($B421="","",ROUND(B425+B426,2))</f>
        <v/>
      </c>
      <c r="D427" t="inlineStr">
        <is>
          <t>Advance Salary_H 预支薪水_H</t>
        </is>
      </c>
      <c r="E427" s="6">
        <f>IF($B421="","",'Daily Sale entry '!M32)</f>
        <v/>
      </c>
      <c r="H427" s="10" t="inlineStr">
        <is>
          <t>Amount 2 金额2  (Amount + Credit Collection)</t>
        </is>
      </c>
      <c r="I427" s="11">
        <f>IF($B421="","",ROUND(I425+I426,2))</f>
        <v/>
      </c>
      <c r="K427" t="inlineStr">
        <is>
          <t>Advance Salary_H 预支薪水_H</t>
        </is>
      </c>
      <c r="L427" s="6">
        <f>IF($B421="","",E427)</f>
        <v/>
      </c>
    </row>
    <row r="428"/>
    <row r="429">
      <c r="A429" s="1" t="inlineStr">
        <is>
          <t>b/f petty cash 上日备用金结转</t>
        </is>
      </c>
      <c r="B429" s="9">
        <f>IF($B421="","",'Daily Sale entry '!F32)</f>
        <v/>
      </c>
      <c r="D429" s="1" t="n"/>
      <c r="E429" s="1" t="n"/>
      <c r="H429" s="1" t="inlineStr">
        <is>
          <t>b/f petty cash 上日备用金结转</t>
        </is>
      </c>
      <c r="I429" s="9">
        <f>IF($B421="","",B429)</f>
        <v/>
      </c>
      <c r="K429" s="1" t="n"/>
      <c r="L429" s="1" t="n"/>
    </row>
    <row r="430">
      <c r="A430" t="inlineStr">
        <is>
          <t>Total (A) 总计 (A)</t>
        </is>
      </c>
      <c r="B430" s="6">
        <f>IF($B421="","",ROUND(B427+B429,2))</f>
        <v/>
      </c>
      <c r="D430" t="inlineStr">
        <is>
          <t>Total(B) 总计 (B)</t>
        </is>
      </c>
      <c r="E430" s="6">
        <f>IF($B421="","",ROUND(E422+E423+E424+E425+E426+E427,2))</f>
        <v/>
      </c>
      <c r="H430" t="inlineStr">
        <is>
          <t>Total© 总计 (C)</t>
        </is>
      </c>
      <c r="I430" s="6">
        <f>IF($B421="","",ROUND(I427+I429,2))</f>
        <v/>
      </c>
      <c r="K430" t="inlineStr">
        <is>
          <t>Total(D) 总计 (D)</t>
        </is>
      </c>
      <c r="L430" s="6">
        <f>IF($B421="","",ROUND(L422+L423+L424+L425+L426+L427,2))</f>
        <v/>
      </c>
    </row>
    <row r="431">
      <c r="A431" s="14" t="inlineStr">
        <is>
          <t>Total = Amount 2 + b/f petty cash  (金额2 + 上日备用金)</t>
        </is>
      </c>
      <c r="H431" s="14" t="inlineStr">
        <is>
          <t>Total = Amount 2 + b/f petty cash  (金额2 + 上日备用金)</t>
        </is>
      </c>
    </row>
    <row r="432">
      <c r="A432" t="inlineStr">
        <is>
          <t>Different 差额</t>
        </is>
      </c>
      <c r="B432" s="6">
        <f>IF($B421="","",ROUND(B430-E430,2))</f>
        <v/>
      </c>
      <c r="D432">
        <f>IF($B421="","",IF(ABS(B432)&gt;'Opening Balance'!$B$16,"ALERT 警报: Different over RM"&amp;'Opening Balance'!$B$16&amp;" 差额超过RM"&amp;'Opening Balance'!$B$16&amp;" - please check 请检查",IF(B432=0,"Tied 平衡",IF(ABS(B432)&lt;='Opening Balance'!$B$13,"Small difference 小额差额: adjusted on c/f petty cash 已调整备用金",IF(B432&gt;0,"Short 短收: added to Misc Charges 已加入杂项费用","Over 多收: added to Cash Sales 已加入现金销售")))))</f>
        <v/>
      </c>
      <c r="H432" t="inlineStr">
        <is>
          <t>Different 差额</t>
        </is>
      </c>
      <c r="I432" s="6">
        <f>IF($B421="","",ROUND(I430-L430,2))</f>
        <v/>
      </c>
    </row>
    <row r="433"/>
    <row r="434"/>
    <row r="435">
      <c r="A435" t="inlineStr">
        <is>
          <t>Date 日期</t>
        </is>
      </c>
      <c r="B435" s="5">
        <f>IF('Daily Sale entry '!$A33="","",'Daily Sale entry '!$A33)</f>
        <v/>
      </c>
      <c r="H435" t="inlineStr">
        <is>
          <t>After 调整后 (After)</t>
        </is>
      </c>
      <c r="I435" s="5">
        <f>IF($B435="","",B435)</f>
        <v/>
      </c>
    </row>
    <row r="436">
      <c r="A436" t="inlineStr">
        <is>
          <t>Cash Sales 现金销售</t>
        </is>
      </c>
      <c r="B436" s="6">
        <f>IF($B435="","",'Daily Sale entry '!B33)</f>
        <v/>
      </c>
      <c r="D436" t="inlineStr">
        <is>
          <t>c/f petty cash 今日备用金结转</t>
        </is>
      </c>
      <c r="E436" s="6">
        <f>IF($B435="","",'Daily Sale entry '!G33)</f>
        <v/>
      </c>
      <c r="H436" t="inlineStr">
        <is>
          <t>Cash Sales 现金销售</t>
        </is>
      </c>
      <c r="I436" s="6">
        <f>IF($B435="","",IF(AND(ABS(B446)&gt;'Opening Balance'!$B$13,B446&lt;0),ROUND(B436-B446,2),B436))</f>
        <v/>
      </c>
      <c r="K436" t="inlineStr">
        <is>
          <t>c/f petty cash 今日备用金结转</t>
        </is>
      </c>
      <c r="L436" s="6">
        <f>IF($B435="","",IF(ABS(B446)&lt;='Opening Balance'!$B$13,ROUND(E436+B446,2),E436))</f>
        <v/>
      </c>
    </row>
    <row r="437">
      <c r="A437" t="inlineStr">
        <is>
          <t>Misc Charges 杂项费用</t>
        </is>
      </c>
      <c r="B437" s="6">
        <f>IF($B435="","",'Daily Sale entry '!C33)</f>
        <v/>
      </c>
      <c r="D437" t="inlineStr">
        <is>
          <t>cash collection 现金收款</t>
        </is>
      </c>
      <c r="E437" s="6">
        <f>IF($B435="","",'Daily Sale entry '!H33)</f>
        <v/>
      </c>
      <c r="H437" t="inlineStr">
        <is>
          <t>Misc Charges 杂项费用</t>
        </is>
      </c>
      <c r="I437" s="6">
        <f>IF($B435="","",IF(AND(ABS(B446)&gt;'Opening Balance'!$B$13,B446&gt;0),ROUND(B437+B446,2),B437))</f>
        <v/>
      </c>
      <c r="K437" t="inlineStr">
        <is>
          <t>cash collection 现金收款</t>
        </is>
      </c>
      <c r="L437" s="6">
        <f>IF($B435="","",E437)</f>
        <v/>
      </c>
    </row>
    <row r="438">
      <c r="A438" s="1" t="inlineStr">
        <is>
          <t>Other Charges 其他费用</t>
        </is>
      </c>
      <c r="B438" s="9">
        <f>IF($B435="","",'Daily Sale entry '!D33)</f>
        <v/>
      </c>
      <c r="D438" s="1" t="inlineStr">
        <is>
          <t>Cheque Collection 支票收款</t>
        </is>
      </c>
      <c r="E438" s="9">
        <f>IF($B435="","",'Daily Sale entry '!J33)</f>
        <v/>
      </c>
      <c r="H438" s="1" t="inlineStr">
        <is>
          <t>Other Charges 其他费用</t>
        </is>
      </c>
      <c r="I438" s="9">
        <f>IF($B435="","",B438)</f>
        <v/>
      </c>
      <c r="K438" s="1" t="inlineStr">
        <is>
          <t>Cheque Collection 支票收款</t>
        </is>
      </c>
      <c r="L438" s="9">
        <f>IF($B435="","",E438)</f>
        <v/>
      </c>
    </row>
    <row r="439">
      <c r="A439" s="10" t="inlineStr">
        <is>
          <t>Amount 金额  (Cash Sales - Misc - Other)</t>
        </is>
      </c>
      <c r="B439" s="11">
        <f>IF($B435="","",ROUND(B436-B437-B438,2))</f>
        <v/>
      </c>
      <c r="D439" s="12" t="inlineStr">
        <is>
          <t>TNG collection TNG收款</t>
        </is>
      </c>
      <c r="E439" s="13">
        <f>IF($B435="","",'Daily Sale entry '!K33)</f>
        <v/>
      </c>
      <c r="H439" s="10" t="inlineStr">
        <is>
          <t>Amount 金额  (Cash Sales - Misc - Other)</t>
        </is>
      </c>
      <c r="I439" s="11">
        <f>IF($B435="","",ROUND(I436-I437-I438,2))</f>
        <v/>
      </c>
      <c r="K439" s="12" t="inlineStr">
        <is>
          <t>TNG collection TNG收款</t>
        </is>
      </c>
      <c r="L439" s="13">
        <f>IF($B435="","",E439)</f>
        <v/>
      </c>
    </row>
    <row r="440">
      <c r="A440" t="inlineStr">
        <is>
          <t>Credit Collection 赊账收款</t>
        </is>
      </c>
      <c r="B440" s="6">
        <f>IF($B435="","",'Daily Sale entry '!E33)</f>
        <v/>
      </c>
      <c r="D440" t="inlineStr">
        <is>
          <t>Advance Salary_M 预支薪水_M</t>
        </is>
      </c>
      <c r="E440" s="6">
        <f>IF($B435="","",'Daily Sale entry '!L33)</f>
        <v/>
      </c>
      <c r="H440" t="inlineStr">
        <is>
          <t>Credit Collection 赊账收款</t>
        </is>
      </c>
      <c r="I440" s="6">
        <f>IF($B435="","",B440)</f>
        <v/>
      </c>
      <c r="K440" t="inlineStr">
        <is>
          <t>Advance Salary_M 预支薪水_M</t>
        </is>
      </c>
      <c r="L440" s="6">
        <f>IF($B435="","",E440)</f>
        <v/>
      </c>
    </row>
    <row r="441">
      <c r="A441" s="10" t="inlineStr">
        <is>
          <t>Amount 2 金额2  (Amount + Credit Collection)</t>
        </is>
      </c>
      <c r="B441" s="11">
        <f>IF($B435="","",ROUND(B439+B440,2))</f>
        <v/>
      </c>
      <c r="D441" t="inlineStr">
        <is>
          <t>Advance Salary_H 预支薪水_H</t>
        </is>
      </c>
      <c r="E441" s="6">
        <f>IF($B435="","",'Daily Sale entry '!M33)</f>
        <v/>
      </c>
      <c r="H441" s="10" t="inlineStr">
        <is>
          <t>Amount 2 金额2  (Amount + Credit Collection)</t>
        </is>
      </c>
      <c r="I441" s="11">
        <f>IF($B435="","",ROUND(I439+I440,2))</f>
        <v/>
      </c>
      <c r="K441" t="inlineStr">
        <is>
          <t>Advance Salary_H 预支薪水_H</t>
        </is>
      </c>
      <c r="L441" s="6">
        <f>IF($B435="","",E441)</f>
        <v/>
      </c>
    </row>
    <row r="442"/>
    <row r="443">
      <c r="A443" s="1" t="inlineStr">
        <is>
          <t>b/f petty cash 上日备用金结转</t>
        </is>
      </c>
      <c r="B443" s="9">
        <f>IF($B435="","",'Daily Sale entry '!F33)</f>
        <v/>
      </c>
      <c r="D443" s="1" t="n"/>
      <c r="E443" s="1" t="n"/>
      <c r="H443" s="1" t="inlineStr">
        <is>
          <t>b/f petty cash 上日备用金结转</t>
        </is>
      </c>
      <c r="I443" s="9">
        <f>IF($B435="","",B443)</f>
        <v/>
      </c>
      <c r="K443" s="1" t="n"/>
      <c r="L443" s="1" t="n"/>
    </row>
    <row r="444">
      <c r="A444" t="inlineStr">
        <is>
          <t>Total (A) 总计 (A)</t>
        </is>
      </c>
      <c r="B444" s="6">
        <f>IF($B435="","",ROUND(B441+B443,2))</f>
        <v/>
      </c>
      <c r="D444" t="inlineStr">
        <is>
          <t>Total(B) 总计 (B)</t>
        </is>
      </c>
      <c r="E444" s="6">
        <f>IF($B435="","",ROUND(E436+E437+E438+E439+E440+E441,2))</f>
        <v/>
      </c>
      <c r="H444" t="inlineStr">
        <is>
          <t>Total© 总计 (C)</t>
        </is>
      </c>
      <c r="I444" s="6">
        <f>IF($B435="","",ROUND(I441+I443,2))</f>
        <v/>
      </c>
      <c r="K444" t="inlineStr">
        <is>
          <t>Total(D) 总计 (D)</t>
        </is>
      </c>
      <c r="L444" s="6">
        <f>IF($B435="","",ROUND(L436+L437+L438+L439+L440+L441,2))</f>
        <v/>
      </c>
    </row>
    <row r="445">
      <c r="A445" s="14" t="inlineStr">
        <is>
          <t>Total = Amount 2 + b/f petty cash  (金额2 + 上日备用金)</t>
        </is>
      </c>
      <c r="H445" s="14" t="inlineStr">
        <is>
          <t>Total = Amount 2 + b/f petty cash  (金额2 + 上日备用金)</t>
        </is>
      </c>
    </row>
    <row r="446">
      <c r="A446" t="inlineStr">
        <is>
          <t>Different 差额</t>
        </is>
      </c>
      <c r="B446" s="6">
        <f>IF($B435="","",ROUND(B444-E444,2))</f>
        <v/>
      </c>
      <c r="D446">
        <f>IF($B435="","",IF(ABS(B446)&gt;'Opening Balance'!$B$16,"ALERT 警报: Different over RM"&amp;'Opening Balance'!$B$16&amp;" 差额超过RM"&amp;'Opening Balance'!$B$16&amp;" - please check 请检查",IF(B446=0,"Tied 平衡",IF(ABS(B446)&lt;='Opening Balance'!$B$13,"Small difference 小额差额: adjusted on c/f petty cash 已调整备用金",IF(B446&gt;0,"Short 短收: added to Misc Charges 已加入杂项费用","Over 多收: added to Cash Sales 已加入现金销售")))))</f>
        <v/>
      </c>
      <c r="H446" t="inlineStr">
        <is>
          <t>Different 差额</t>
        </is>
      </c>
      <c r="I446" s="6">
        <f>IF($B435="","",ROUND(I444-L444,2))</f>
        <v/>
      </c>
    </row>
    <row r="447"/>
    <row r="448"/>
    <row r="449">
      <c r="A449" t="inlineStr">
        <is>
          <t>Date 日期</t>
        </is>
      </c>
      <c r="B449" s="5">
        <f>IF('Daily Sale entry '!$A34="","",'Daily Sale entry '!$A34)</f>
        <v/>
      </c>
      <c r="H449" t="inlineStr">
        <is>
          <t>After 调整后 (After)</t>
        </is>
      </c>
      <c r="I449" s="5">
        <f>IF($B449="","",B449)</f>
        <v/>
      </c>
    </row>
    <row r="450">
      <c r="A450" t="inlineStr">
        <is>
          <t>Cash Sales 现金销售</t>
        </is>
      </c>
      <c r="B450" s="6">
        <f>IF($B449="","",'Daily Sale entry '!B34)</f>
        <v/>
      </c>
      <c r="D450" t="inlineStr">
        <is>
          <t>c/f petty cash 今日备用金结转</t>
        </is>
      </c>
      <c r="E450" s="6">
        <f>IF($B449="","",'Daily Sale entry '!G34)</f>
        <v/>
      </c>
      <c r="H450" t="inlineStr">
        <is>
          <t>Cash Sales 现金销售</t>
        </is>
      </c>
      <c r="I450" s="6">
        <f>IF($B449="","",IF(AND(ABS(B460)&gt;'Opening Balance'!$B$13,B460&lt;0),ROUND(B450-B460,2),B450))</f>
        <v/>
      </c>
      <c r="K450" t="inlineStr">
        <is>
          <t>c/f petty cash 今日备用金结转</t>
        </is>
      </c>
      <c r="L450" s="6">
        <f>IF($B449="","",IF(ABS(B460)&lt;='Opening Balance'!$B$13,ROUND(E450+B460,2),E450))</f>
        <v/>
      </c>
    </row>
    <row r="451">
      <c r="A451" t="inlineStr">
        <is>
          <t>Misc Charges 杂项费用</t>
        </is>
      </c>
      <c r="B451" s="6">
        <f>IF($B449="","",'Daily Sale entry '!C34)</f>
        <v/>
      </c>
      <c r="D451" t="inlineStr">
        <is>
          <t>cash collection 现金收款</t>
        </is>
      </c>
      <c r="E451" s="6">
        <f>IF($B449="","",'Daily Sale entry '!H34)</f>
        <v/>
      </c>
      <c r="H451" t="inlineStr">
        <is>
          <t>Misc Charges 杂项费用</t>
        </is>
      </c>
      <c r="I451" s="6">
        <f>IF($B449="","",IF(AND(ABS(B460)&gt;'Opening Balance'!$B$13,B460&gt;0),ROUND(B451+B460,2),B451))</f>
        <v/>
      </c>
      <c r="K451" t="inlineStr">
        <is>
          <t>cash collection 现金收款</t>
        </is>
      </c>
      <c r="L451" s="6">
        <f>IF($B449="","",E451)</f>
        <v/>
      </c>
    </row>
    <row r="452">
      <c r="A452" s="1" t="inlineStr">
        <is>
          <t>Other Charges 其他费用</t>
        </is>
      </c>
      <c r="B452" s="9">
        <f>IF($B449="","",'Daily Sale entry '!D34)</f>
        <v/>
      </c>
      <c r="D452" s="1" t="inlineStr">
        <is>
          <t>Cheque Collection 支票收款</t>
        </is>
      </c>
      <c r="E452" s="9">
        <f>IF($B449="","",'Daily Sale entry '!J34)</f>
        <v/>
      </c>
      <c r="H452" s="1" t="inlineStr">
        <is>
          <t>Other Charges 其他费用</t>
        </is>
      </c>
      <c r="I452" s="9">
        <f>IF($B449="","",B452)</f>
        <v/>
      </c>
      <c r="K452" s="1" t="inlineStr">
        <is>
          <t>Cheque Collection 支票收款</t>
        </is>
      </c>
      <c r="L452" s="9">
        <f>IF($B449="","",E452)</f>
        <v/>
      </c>
    </row>
    <row r="453">
      <c r="A453" s="10" t="inlineStr">
        <is>
          <t>Amount 金额  (Cash Sales - Misc - Other)</t>
        </is>
      </c>
      <c r="B453" s="11">
        <f>IF($B449="","",ROUND(B450-B451-B452,2))</f>
        <v/>
      </c>
      <c r="D453" s="12" t="inlineStr">
        <is>
          <t>TNG collection TNG收款</t>
        </is>
      </c>
      <c r="E453" s="13">
        <f>IF($B449="","",'Daily Sale entry '!K34)</f>
        <v/>
      </c>
      <c r="H453" s="10" t="inlineStr">
        <is>
          <t>Amount 金额  (Cash Sales - Misc - Other)</t>
        </is>
      </c>
      <c r="I453" s="11">
        <f>IF($B449="","",ROUND(I450-I451-I452,2))</f>
        <v/>
      </c>
      <c r="K453" s="12" t="inlineStr">
        <is>
          <t>TNG collection TNG收款</t>
        </is>
      </c>
      <c r="L453" s="13">
        <f>IF($B449="","",E453)</f>
        <v/>
      </c>
    </row>
    <row r="454">
      <c r="A454" t="inlineStr">
        <is>
          <t>Credit Collection 赊账收款</t>
        </is>
      </c>
      <c r="B454" s="6">
        <f>IF($B449="","",'Daily Sale entry '!E34)</f>
        <v/>
      </c>
      <c r="D454" t="inlineStr">
        <is>
          <t>Advance Salary_M 预支薪水_M</t>
        </is>
      </c>
      <c r="E454" s="6">
        <f>IF($B449="","",'Daily Sale entry '!L34)</f>
        <v/>
      </c>
      <c r="H454" t="inlineStr">
        <is>
          <t>Credit Collection 赊账收款</t>
        </is>
      </c>
      <c r="I454" s="6">
        <f>IF($B449="","",B454)</f>
        <v/>
      </c>
      <c r="K454" t="inlineStr">
        <is>
          <t>Advance Salary_M 预支薪水_M</t>
        </is>
      </c>
      <c r="L454" s="6">
        <f>IF($B449="","",E454)</f>
        <v/>
      </c>
    </row>
    <row r="455">
      <c r="A455" s="10" t="inlineStr">
        <is>
          <t>Amount 2 金额2  (Amount + Credit Collection)</t>
        </is>
      </c>
      <c r="B455" s="11">
        <f>IF($B449="","",ROUND(B453+B454,2))</f>
        <v/>
      </c>
      <c r="D455" t="inlineStr">
        <is>
          <t>Advance Salary_H 预支薪水_H</t>
        </is>
      </c>
      <c r="E455" s="6">
        <f>IF($B449="","",'Daily Sale entry '!M34)</f>
        <v/>
      </c>
      <c r="H455" s="10" t="inlineStr">
        <is>
          <t>Amount 2 金额2  (Amount + Credit Collection)</t>
        </is>
      </c>
      <c r="I455" s="11">
        <f>IF($B449="","",ROUND(I453+I454,2))</f>
        <v/>
      </c>
      <c r="K455" t="inlineStr">
        <is>
          <t>Advance Salary_H 预支薪水_H</t>
        </is>
      </c>
      <c r="L455" s="6">
        <f>IF($B449="","",E455)</f>
        <v/>
      </c>
    </row>
    <row r="456"/>
    <row r="457">
      <c r="A457" s="1" t="inlineStr">
        <is>
          <t>b/f petty cash 上日备用金结转</t>
        </is>
      </c>
      <c r="B457" s="9">
        <f>IF($B449="","",'Daily Sale entry '!F34)</f>
        <v/>
      </c>
      <c r="D457" s="1" t="n"/>
      <c r="E457" s="1" t="n"/>
      <c r="H457" s="1" t="inlineStr">
        <is>
          <t>b/f petty cash 上日备用金结转</t>
        </is>
      </c>
      <c r="I457" s="9">
        <f>IF($B449="","",B457)</f>
        <v/>
      </c>
      <c r="K457" s="1" t="n"/>
      <c r="L457" s="1" t="n"/>
    </row>
    <row r="458">
      <c r="A458" t="inlineStr">
        <is>
          <t>Total (A) 总计 (A)</t>
        </is>
      </c>
      <c r="B458" s="6">
        <f>IF($B449="","",ROUND(B455+B457,2))</f>
        <v/>
      </c>
      <c r="D458" t="inlineStr">
        <is>
          <t>Total(B) 总计 (B)</t>
        </is>
      </c>
      <c r="E458" s="6">
        <f>IF($B449="","",ROUND(E450+E451+E452+E453+E454+E455,2))</f>
        <v/>
      </c>
      <c r="H458" t="inlineStr">
        <is>
          <t>Total© 总计 (C)</t>
        </is>
      </c>
      <c r="I458" s="6">
        <f>IF($B449="","",ROUND(I455+I457,2))</f>
        <v/>
      </c>
      <c r="K458" t="inlineStr">
        <is>
          <t>Total(D) 总计 (D)</t>
        </is>
      </c>
      <c r="L458" s="6">
        <f>IF($B449="","",ROUND(L450+L451+L452+L453+L454+L455,2))</f>
        <v/>
      </c>
    </row>
    <row r="459">
      <c r="A459" s="14" t="inlineStr">
        <is>
          <t>Total = Amount 2 + b/f petty cash  (金额2 + 上日备用金)</t>
        </is>
      </c>
      <c r="H459" s="14" t="inlineStr">
        <is>
          <t>Total = Amount 2 + b/f petty cash  (金额2 + 上日备用金)</t>
        </is>
      </c>
    </row>
    <row r="460">
      <c r="A460" t="inlineStr">
        <is>
          <t>Different 差额</t>
        </is>
      </c>
      <c r="B460" s="6">
        <f>IF($B449="","",ROUND(B458-E458,2))</f>
        <v/>
      </c>
      <c r="D460">
        <f>IF($B449="","",IF(ABS(B460)&gt;'Opening Balance'!$B$16,"ALERT 警报: Different over RM"&amp;'Opening Balance'!$B$16&amp;" 差额超过RM"&amp;'Opening Balance'!$B$16&amp;" - please check 请检查",IF(B460=0,"Tied 平衡",IF(ABS(B460)&lt;='Opening Balance'!$B$13,"Small difference 小额差额: adjusted on c/f petty cash 已调整备用金",IF(B460&gt;0,"Short 短收: added to Misc Charges 已加入杂项费用","Over 多收: added to Cash Sales 已加入现金销售")))))</f>
        <v/>
      </c>
      <c r="H460" t="inlineStr">
        <is>
          <t>Different 差额</t>
        </is>
      </c>
      <c r="I460" s="6">
        <f>IF($B449="","",ROUND(I458-L458,2))</f>
        <v/>
      </c>
    </row>
    <row r="461"/>
    <row r="462"/>
    <row r="463">
      <c r="A463" t="inlineStr">
        <is>
          <t>Date 日期</t>
        </is>
      </c>
      <c r="B463" s="5">
        <f>IF('Daily Sale entry '!$A35="","",'Daily Sale entry '!$A35)</f>
        <v/>
      </c>
      <c r="H463" t="inlineStr">
        <is>
          <t>After 调整后 (After)</t>
        </is>
      </c>
      <c r="I463" s="5">
        <f>IF($B463="","",B463)</f>
        <v/>
      </c>
    </row>
    <row r="464">
      <c r="A464" t="inlineStr">
        <is>
          <t>Cash Sales 现金销售</t>
        </is>
      </c>
      <c r="B464" s="6">
        <f>IF($B463="","",'Daily Sale entry '!B35)</f>
        <v/>
      </c>
      <c r="D464" t="inlineStr">
        <is>
          <t>c/f petty cash 今日备用金结转</t>
        </is>
      </c>
      <c r="E464" s="6">
        <f>IF($B463="","",'Daily Sale entry '!G35)</f>
        <v/>
      </c>
      <c r="H464" t="inlineStr">
        <is>
          <t>Cash Sales 现金销售</t>
        </is>
      </c>
      <c r="I464" s="6">
        <f>IF($B463="","",IF(AND(ABS(B474)&gt;'Opening Balance'!$B$13,B474&lt;0),ROUND(B464-B474,2),B464))</f>
        <v/>
      </c>
      <c r="K464" t="inlineStr">
        <is>
          <t>c/f petty cash 今日备用金结转</t>
        </is>
      </c>
      <c r="L464" s="6">
        <f>IF($B463="","",IF(ABS(B474)&lt;='Opening Balance'!$B$13,ROUND(E464+B474,2),E464))</f>
        <v/>
      </c>
    </row>
    <row r="465">
      <c r="A465" t="inlineStr">
        <is>
          <t>Misc Charges 杂项费用</t>
        </is>
      </c>
      <c r="B465" s="6">
        <f>IF($B463="","",'Daily Sale entry '!C35)</f>
        <v/>
      </c>
      <c r="D465" t="inlineStr">
        <is>
          <t>cash collection 现金收款</t>
        </is>
      </c>
      <c r="E465" s="6">
        <f>IF($B463="","",'Daily Sale entry '!H35)</f>
        <v/>
      </c>
      <c r="H465" t="inlineStr">
        <is>
          <t>Misc Charges 杂项费用</t>
        </is>
      </c>
      <c r="I465" s="6">
        <f>IF($B463="","",IF(AND(ABS(B474)&gt;'Opening Balance'!$B$13,B474&gt;0),ROUND(B465+B474,2),B465))</f>
        <v/>
      </c>
      <c r="K465" t="inlineStr">
        <is>
          <t>cash collection 现金收款</t>
        </is>
      </c>
      <c r="L465" s="6">
        <f>IF($B463="","",E465)</f>
        <v/>
      </c>
    </row>
    <row r="466">
      <c r="A466" s="1" t="inlineStr">
        <is>
          <t>Other Charges 其他费用</t>
        </is>
      </c>
      <c r="B466" s="9">
        <f>IF($B463="","",'Daily Sale entry '!D35)</f>
        <v/>
      </c>
      <c r="D466" s="1" t="inlineStr">
        <is>
          <t>Cheque Collection 支票收款</t>
        </is>
      </c>
      <c r="E466" s="9">
        <f>IF($B463="","",'Daily Sale entry '!J35)</f>
        <v/>
      </c>
      <c r="H466" s="1" t="inlineStr">
        <is>
          <t>Other Charges 其他费用</t>
        </is>
      </c>
      <c r="I466" s="9">
        <f>IF($B463="","",B466)</f>
        <v/>
      </c>
      <c r="K466" s="1" t="inlineStr">
        <is>
          <t>Cheque Collection 支票收款</t>
        </is>
      </c>
      <c r="L466" s="9">
        <f>IF($B463="","",E466)</f>
        <v/>
      </c>
    </row>
    <row r="467">
      <c r="A467" s="10" t="inlineStr">
        <is>
          <t>Amount 金额  (Cash Sales - Misc - Other)</t>
        </is>
      </c>
      <c r="B467" s="11">
        <f>IF($B463="","",ROUND(B464-B465-B466,2))</f>
        <v/>
      </c>
      <c r="D467" s="12" t="inlineStr">
        <is>
          <t>TNG collection TNG收款</t>
        </is>
      </c>
      <c r="E467" s="13">
        <f>IF($B463="","",'Daily Sale entry '!K35)</f>
        <v/>
      </c>
      <c r="H467" s="10" t="inlineStr">
        <is>
          <t>Amount 金额  (Cash Sales - Misc - Other)</t>
        </is>
      </c>
      <c r="I467" s="11">
        <f>IF($B463="","",ROUND(I464-I465-I466,2))</f>
        <v/>
      </c>
      <c r="K467" s="12" t="inlineStr">
        <is>
          <t>TNG collection TNG收款</t>
        </is>
      </c>
      <c r="L467" s="13">
        <f>IF($B463="","",E467)</f>
        <v/>
      </c>
    </row>
    <row r="468">
      <c r="A468" t="inlineStr">
        <is>
          <t>Credit Collection 赊账收款</t>
        </is>
      </c>
      <c r="B468" s="6">
        <f>IF($B463="","",'Daily Sale entry '!E35)</f>
        <v/>
      </c>
      <c r="D468" t="inlineStr">
        <is>
          <t>Advance Salary_M 预支薪水_M</t>
        </is>
      </c>
      <c r="E468" s="6">
        <f>IF($B463="","",'Daily Sale entry '!L35)</f>
        <v/>
      </c>
      <c r="H468" t="inlineStr">
        <is>
          <t>Credit Collection 赊账收款</t>
        </is>
      </c>
      <c r="I468" s="6">
        <f>IF($B463="","",B468)</f>
        <v/>
      </c>
      <c r="K468" t="inlineStr">
        <is>
          <t>Advance Salary_M 预支薪水_M</t>
        </is>
      </c>
      <c r="L468" s="6">
        <f>IF($B463="","",E468)</f>
        <v/>
      </c>
    </row>
    <row r="469">
      <c r="A469" s="10" t="inlineStr">
        <is>
          <t>Amount 2 金额2  (Amount + Credit Collection)</t>
        </is>
      </c>
      <c r="B469" s="11">
        <f>IF($B463="","",ROUND(B467+B468,2))</f>
        <v/>
      </c>
      <c r="D469" t="inlineStr">
        <is>
          <t>Advance Salary_H 预支薪水_H</t>
        </is>
      </c>
      <c r="E469" s="6">
        <f>IF($B463="","",'Daily Sale entry '!M35)</f>
        <v/>
      </c>
      <c r="H469" s="10" t="inlineStr">
        <is>
          <t>Amount 2 金额2  (Amount + Credit Collection)</t>
        </is>
      </c>
      <c r="I469" s="11">
        <f>IF($B463="","",ROUND(I467+I468,2))</f>
        <v/>
      </c>
      <c r="K469" t="inlineStr">
        <is>
          <t>Advance Salary_H 预支薪水_H</t>
        </is>
      </c>
      <c r="L469" s="6">
        <f>IF($B463="","",E469)</f>
        <v/>
      </c>
    </row>
    <row r="470"/>
    <row r="471">
      <c r="A471" s="1" t="inlineStr">
        <is>
          <t>b/f petty cash 上日备用金结转</t>
        </is>
      </c>
      <c r="B471" s="9">
        <f>IF($B463="","",'Daily Sale entry '!F35)</f>
        <v/>
      </c>
      <c r="D471" s="1" t="n"/>
      <c r="E471" s="1" t="n"/>
      <c r="H471" s="1" t="inlineStr">
        <is>
          <t>b/f petty cash 上日备用金结转</t>
        </is>
      </c>
      <c r="I471" s="9">
        <f>IF($B463="","",B471)</f>
        <v/>
      </c>
      <c r="K471" s="1" t="n"/>
      <c r="L471" s="1" t="n"/>
    </row>
    <row r="472">
      <c r="A472" t="inlineStr">
        <is>
          <t>Total (A) 总计 (A)</t>
        </is>
      </c>
      <c r="B472" s="6">
        <f>IF($B463="","",ROUND(B469+B471,2))</f>
        <v/>
      </c>
      <c r="D472" t="inlineStr">
        <is>
          <t>Total(B) 总计 (B)</t>
        </is>
      </c>
      <c r="E472" s="6">
        <f>IF($B463="","",ROUND(E464+E465+E466+E467+E468+E469,2))</f>
        <v/>
      </c>
      <c r="H472" t="inlineStr">
        <is>
          <t>Total© 总计 (C)</t>
        </is>
      </c>
      <c r="I472" s="6">
        <f>IF($B463="","",ROUND(I469+I471,2))</f>
        <v/>
      </c>
      <c r="K472" t="inlineStr">
        <is>
          <t>Total(D) 总计 (D)</t>
        </is>
      </c>
      <c r="L472" s="6">
        <f>IF($B463="","",ROUND(L464+L465+L466+L467+L468+L469,2))</f>
        <v/>
      </c>
    </row>
    <row r="473">
      <c r="A473" s="14" t="inlineStr">
        <is>
          <t>Total = Amount 2 + b/f petty cash  (金额2 + 上日备用金)</t>
        </is>
      </c>
      <c r="H473" s="14" t="inlineStr">
        <is>
          <t>Total = Amount 2 + b/f petty cash  (金额2 + 上日备用金)</t>
        </is>
      </c>
    </row>
    <row r="474">
      <c r="A474" t="inlineStr">
        <is>
          <t>Different 差额</t>
        </is>
      </c>
      <c r="B474" s="6">
        <f>IF($B463="","",ROUND(B472-E472,2))</f>
        <v/>
      </c>
      <c r="D474">
        <f>IF($B463="","",IF(ABS(B474)&gt;'Opening Balance'!$B$16,"ALERT 警报: Different over RM"&amp;'Opening Balance'!$B$16&amp;" 差额超过RM"&amp;'Opening Balance'!$B$16&amp;" - please check 请检查",IF(B474=0,"Tied 平衡",IF(ABS(B474)&lt;='Opening Balance'!$B$13,"Small difference 小额差额: adjusted on c/f petty cash 已调整备用金",IF(B474&gt;0,"Short 短收: added to Misc Charges 已加入杂项费用","Over 多收: added to Cash Sales 已加入现金销售")))))</f>
        <v/>
      </c>
      <c r="H474" t="inlineStr">
        <is>
          <t>Different 差额</t>
        </is>
      </c>
      <c r="I474" s="6">
        <f>IF($B463="","",ROUND(I472-L472,2))</f>
        <v/>
      </c>
    </row>
    <row r="475"/>
    <row r="476"/>
    <row r="477">
      <c r="A477" t="inlineStr">
        <is>
          <t>Date 日期</t>
        </is>
      </c>
      <c r="B477" s="5">
        <f>IF('Daily Sale entry '!$A36="","",'Daily Sale entry '!$A36)</f>
        <v/>
      </c>
      <c r="H477" t="inlineStr">
        <is>
          <t>After 调整后 (After)</t>
        </is>
      </c>
      <c r="I477" s="5">
        <f>IF($B477="","",B477)</f>
        <v/>
      </c>
    </row>
    <row r="478">
      <c r="A478" t="inlineStr">
        <is>
          <t>Cash Sales 现金销售</t>
        </is>
      </c>
      <c r="B478" s="6">
        <f>IF($B477="","",'Daily Sale entry '!B36)</f>
        <v/>
      </c>
      <c r="D478" t="inlineStr">
        <is>
          <t>c/f petty cash 今日备用金结转</t>
        </is>
      </c>
      <c r="E478" s="6">
        <f>IF($B477="","",'Daily Sale entry '!G36)</f>
        <v/>
      </c>
      <c r="H478" t="inlineStr">
        <is>
          <t>Cash Sales 现金销售</t>
        </is>
      </c>
      <c r="I478" s="6">
        <f>IF($B477="","",IF(AND(ABS(B488)&gt;'Opening Balance'!$B$13,B488&lt;0),ROUND(B478-B488,2),B478))</f>
        <v/>
      </c>
      <c r="K478" t="inlineStr">
        <is>
          <t>c/f petty cash 今日备用金结转</t>
        </is>
      </c>
      <c r="L478" s="6">
        <f>IF($B477="","",IF(ABS(B488)&lt;='Opening Balance'!$B$13,ROUND(E478+B488,2),E478))</f>
        <v/>
      </c>
    </row>
    <row r="479">
      <c r="A479" t="inlineStr">
        <is>
          <t>Misc Charges 杂项费用</t>
        </is>
      </c>
      <c r="B479" s="6">
        <f>IF($B477="","",'Daily Sale entry '!C36)</f>
        <v/>
      </c>
      <c r="D479" t="inlineStr">
        <is>
          <t>cash collection 现金收款</t>
        </is>
      </c>
      <c r="E479" s="6">
        <f>IF($B477="","",'Daily Sale entry '!H36)</f>
        <v/>
      </c>
      <c r="H479" t="inlineStr">
        <is>
          <t>Misc Charges 杂项费用</t>
        </is>
      </c>
      <c r="I479" s="6">
        <f>IF($B477="","",IF(AND(ABS(B488)&gt;'Opening Balance'!$B$13,B488&gt;0),ROUND(B479+B488,2),B479))</f>
        <v/>
      </c>
      <c r="K479" t="inlineStr">
        <is>
          <t>cash collection 现金收款</t>
        </is>
      </c>
      <c r="L479" s="6">
        <f>IF($B477="","",E479)</f>
        <v/>
      </c>
    </row>
    <row r="480">
      <c r="A480" s="1" t="inlineStr">
        <is>
          <t>Other Charges 其他费用</t>
        </is>
      </c>
      <c r="B480" s="9">
        <f>IF($B477="","",'Daily Sale entry '!D36)</f>
        <v/>
      </c>
      <c r="D480" s="1" t="inlineStr">
        <is>
          <t>Cheque Collection 支票收款</t>
        </is>
      </c>
      <c r="E480" s="9">
        <f>IF($B477="","",'Daily Sale entry '!J36)</f>
        <v/>
      </c>
      <c r="H480" s="1" t="inlineStr">
        <is>
          <t>Other Charges 其他费用</t>
        </is>
      </c>
      <c r="I480" s="9">
        <f>IF($B477="","",B480)</f>
        <v/>
      </c>
      <c r="K480" s="1" t="inlineStr">
        <is>
          <t>Cheque Collection 支票收款</t>
        </is>
      </c>
      <c r="L480" s="9">
        <f>IF($B477="","",E480)</f>
        <v/>
      </c>
    </row>
    <row r="481">
      <c r="A481" s="10" t="inlineStr">
        <is>
          <t>Amount 金额  (Cash Sales - Misc - Other)</t>
        </is>
      </c>
      <c r="B481" s="11">
        <f>IF($B477="","",ROUND(B478-B479-B480,2))</f>
        <v/>
      </c>
      <c r="D481" s="12" t="inlineStr">
        <is>
          <t>TNG collection TNG收款</t>
        </is>
      </c>
      <c r="E481" s="13">
        <f>IF($B477="","",'Daily Sale entry '!K36)</f>
        <v/>
      </c>
      <c r="H481" s="10" t="inlineStr">
        <is>
          <t>Amount 金额  (Cash Sales - Misc - Other)</t>
        </is>
      </c>
      <c r="I481" s="11">
        <f>IF($B477="","",ROUND(I478-I479-I480,2))</f>
        <v/>
      </c>
      <c r="K481" s="12" t="inlineStr">
        <is>
          <t>TNG collection TNG收款</t>
        </is>
      </c>
      <c r="L481" s="13">
        <f>IF($B477="","",E481)</f>
        <v/>
      </c>
    </row>
    <row r="482">
      <c r="A482" t="inlineStr">
        <is>
          <t>Credit Collection 赊账收款</t>
        </is>
      </c>
      <c r="B482" s="6">
        <f>IF($B477="","",'Daily Sale entry '!E36)</f>
        <v/>
      </c>
      <c r="D482" t="inlineStr">
        <is>
          <t>Advance Salary_M 预支薪水_M</t>
        </is>
      </c>
      <c r="E482" s="6">
        <f>IF($B477="","",'Daily Sale entry '!L36)</f>
        <v/>
      </c>
      <c r="H482" t="inlineStr">
        <is>
          <t>Credit Collection 赊账收款</t>
        </is>
      </c>
      <c r="I482" s="6">
        <f>IF($B477="","",B482)</f>
        <v/>
      </c>
      <c r="K482" t="inlineStr">
        <is>
          <t>Advance Salary_M 预支薪水_M</t>
        </is>
      </c>
      <c r="L482" s="6">
        <f>IF($B477="","",E482)</f>
        <v/>
      </c>
    </row>
    <row r="483">
      <c r="A483" s="10" t="inlineStr">
        <is>
          <t>Amount 2 金额2  (Amount + Credit Collection)</t>
        </is>
      </c>
      <c r="B483" s="11">
        <f>IF($B477="","",ROUND(B481+B482,2))</f>
        <v/>
      </c>
      <c r="D483" t="inlineStr">
        <is>
          <t>Advance Salary_H 预支薪水_H</t>
        </is>
      </c>
      <c r="E483" s="6">
        <f>IF($B477="","",'Daily Sale entry '!M36)</f>
        <v/>
      </c>
      <c r="H483" s="10" t="inlineStr">
        <is>
          <t>Amount 2 金额2  (Amount + Credit Collection)</t>
        </is>
      </c>
      <c r="I483" s="11">
        <f>IF($B477="","",ROUND(I481+I482,2))</f>
        <v/>
      </c>
      <c r="K483" t="inlineStr">
        <is>
          <t>Advance Salary_H 预支薪水_H</t>
        </is>
      </c>
      <c r="L483" s="6">
        <f>IF($B477="","",E483)</f>
        <v/>
      </c>
    </row>
    <row r="484"/>
    <row r="485">
      <c r="A485" s="1" t="inlineStr">
        <is>
          <t>b/f petty cash 上日备用金结转</t>
        </is>
      </c>
      <c r="B485" s="9">
        <f>IF($B477="","",'Daily Sale entry '!F36)</f>
        <v/>
      </c>
      <c r="D485" s="1" t="n"/>
      <c r="E485" s="1" t="n"/>
      <c r="H485" s="1" t="inlineStr">
        <is>
          <t>b/f petty cash 上日备用金结转</t>
        </is>
      </c>
      <c r="I485" s="9">
        <f>IF($B477="","",B485)</f>
        <v/>
      </c>
      <c r="K485" s="1" t="n"/>
      <c r="L485" s="1" t="n"/>
    </row>
    <row r="486">
      <c r="A486" t="inlineStr">
        <is>
          <t>Total (A) 总计 (A)</t>
        </is>
      </c>
      <c r="B486" s="6">
        <f>IF($B477="","",ROUND(B483+B485,2))</f>
        <v/>
      </c>
      <c r="D486" t="inlineStr">
        <is>
          <t>Total(B) 总计 (B)</t>
        </is>
      </c>
      <c r="E486" s="6">
        <f>IF($B477="","",ROUND(E478+E479+E480+E481+E482+E483,2))</f>
        <v/>
      </c>
      <c r="H486" t="inlineStr">
        <is>
          <t>Total© 总计 (C)</t>
        </is>
      </c>
      <c r="I486" s="6">
        <f>IF($B477="","",ROUND(I483+I485,2))</f>
        <v/>
      </c>
      <c r="K486" t="inlineStr">
        <is>
          <t>Total(D) 总计 (D)</t>
        </is>
      </c>
      <c r="L486" s="6">
        <f>IF($B477="","",ROUND(L478+L479+L480+L481+L482+L483,2))</f>
        <v/>
      </c>
    </row>
    <row r="487">
      <c r="A487" s="14" t="inlineStr">
        <is>
          <t>Total = Amount 2 + b/f petty cash  (金额2 + 上日备用金)</t>
        </is>
      </c>
      <c r="H487" s="14" t="inlineStr">
        <is>
          <t>Total = Amount 2 + b/f petty cash  (金额2 + 上日备用金)</t>
        </is>
      </c>
    </row>
    <row r="488">
      <c r="A488" t="inlineStr">
        <is>
          <t>Different 差额</t>
        </is>
      </c>
      <c r="B488" s="6">
        <f>IF($B477="","",ROUND(B486-E486,2))</f>
        <v/>
      </c>
      <c r="D488">
        <f>IF($B477="","",IF(ABS(B488)&gt;'Opening Balance'!$B$16,"ALERT 警报: Different over RM"&amp;'Opening Balance'!$B$16&amp;" 差额超过RM"&amp;'Opening Balance'!$B$16&amp;" - please check 请检查",IF(B488=0,"Tied 平衡",IF(ABS(B488)&lt;='Opening Balance'!$B$13,"Small difference 小额差额: adjusted on c/f petty cash 已调整备用金",IF(B488&gt;0,"Short 短收: added to Misc Charges 已加入杂项费用","Over 多收: added to Cash Sales 已加入现金销售")))))</f>
        <v/>
      </c>
      <c r="H488" t="inlineStr">
        <is>
          <t>Different 差额</t>
        </is>
      </c>
      <c r="I488" s="6">
        <f>IF($B477="","",ROUND(I486-L486,2))</f>
        <v/>
      </c>
    </row>
    <row r="489"/>
    <row r="490"/>
    <row r="491">
      <c r="A491" t="inlineStr">
        <is>
          <t>Date 日期</t>
        </is>
      </c>
      <c r="B491" s="5">
        <f>IF('Daily Sale entry '!$A37="","",'Daily Sale entry '!$A37)</f>
        <v/>
      </c>
      <c r="H491" t="inlineStr">
        <is>
          <t>After 调整后 (After)</t>
        </is>
      </c>
      <c r="I491" s="5">
        <f>IF($B491="","",B491)</f>
        <v/>
      </c>
    </row>
    <row r="492">
      <c r="A492" t="inlineStr">
        <is>
          <t>Cash Sales 现金销售</t>
        </is>
      </c>
      <c r="B492" s="6">
        <f>IF($B491="","",'Daily Sale entry '!B37)</f>
        <v/>
      </c>
      <c r="D492" t="inlineStr">
        <is>
          <t>c/f petty cash 今日备用金结转</t>
        </is>
      </c>
      <c r="E492" s="6">
        <f>IF($B491="","",'Daily Sale entry '!G37)</f>
        <v/>
      </c>
      <c r="H492" t="inlineStr">
        <is>
          <t>Cash Sales 现金销售</t>
        </is>
      </c>
      <c r="I492" s="6">
        <f>IF($B491="","",IF(AND(ABS(B502)&gt;'Opening Balance'!$B$13,B502&lt;0),ROUND(B492-B502,2),B492))</f>
        <v/>
      </c>
      <c r="K492" t="inlineStr">
        <is>
          <t>c/f petty cash 今日备用金结转</t>
        </is>
      </c>
      <c r="L492" s="6">
        <f>IF($B491="","",IF(ABS(B502)&lt;='Opening Balance'!$B$13,ROUND(E492+B502,2),E492))</f>
        <v/>
      </c>
    </row>
    <row r="493">
      <c r="A493" t="inlineStr">
        <is>
          <t>Misc Charges 杂项费用</t>
        </is>
      </c>
      <c r="B493" s="6">
        <f>IF($B491="","",'Daily Sale entry '!C37)</f>
        <v/>
      </c>
      <c r="D493" t="inlineStr">
        <is>
          <t>cash collection 现金收款</t>
        </is>
      </c>
      <c r="E493" s="6">
        <f>IF($B491="","",'Daily Sale entry '!H37)</f>
        <v/>
      </c>
      <c r="H493" t="inlineStr">
        <is>
          <t>Misc Charges 杂项费用</t>
        </is>
      </c>
      <c r="I493" s="6">
        <f>IF($B491="","",IF(AND(ABS(B502)&gt;'Opening Balance'!$B$13,B502&gt;0),ROUND(B493+B502,2),B493))</f>
        <v/>
      </c>
      <c r="K493" t="inlineStr">
        <is>
          <t>cash collection 现金收款</t>
        </is>
      </c>
      <c r="L493" s="6">
        <f>IF($B491="","",E493)</f>
        <v/>
      </c>
    </row>
    <row r="494">
      <c r="A494" s="1" t="inlineStr">
        <is>
          <t>Other Charges 其他费用</t>
        </is>
      </c>
      <c r="B494" s="9">
        <f>IF($B491="","",'Daily Sale entry '!D37)</f>
        <v/>
      </c>
      <c r="D494" s="1" t="inlineStr">
        <is>
          <t>Cheque Collection 支票收款</t>
        </is>
      </c>
      <c r="E494" s="9">
        <f>IF($B491="","",'Daily Sale entry '!J37)</f>
        <v/>
      </c>
      <c r="H494" s="1" t="inlineStr">
        <is>
          <t>Other Charges 其他费用</t>
        </is>
      </c>
      <c r="I494" s="9">
        <f>IF($B491="","",B494)</f>
        <v/>
      </c>
      <c r="K494" s="1" t="inlineStr">
        <is>
          <t>Cheque Collection 支票收款</t>
        </is>
      </c>
      <c r="L494" s="9">
        <f>IF($B491="","",E494)</f>
        <v/>
      </c>
    </row>
    <row r="495">
      <c r="A495" s="10" t="inlineStr">
        <is>
          <t>Amount 金额  (Cash Sales - Misc - Other)</t>
        </is>
      </c>
      <c r="B495" s="11">
        <f>IF($B491="","",ROUND(B492-B493-B494,2))</f>
        <v/>
      </c>
      <c r="D495" s="12" t="inlineStr">
        <is>
          <t>TNG collection TNG收款</t>
        </is>
      </c>
      <c r="E495" s="13">
        <f>IF($B491="","",'Daily Sale entry '!K37)</f>
        <v/>
      </c>
      <c r="H495" s="10" t="inlineStr">
        <is>
          <t>Amount 金额  (Cash Sales - Misc - Other)</t>
        </is>
      </c>
      <c r="I495" s="11">
        <f>IF($B491="","",ROUND(I492-I493-I494,2))</f>
        <v/>
      </c>
      <c r="K495" s="12" t="inlineStr">
        <is>
          <t>TNG collection TNG收款</t>
        </is>
      </c>
      <c r="L495" s="13">
        <f>IF($B491="","",E495)</f>
        <v/>
      </c>
    </row>
    <row r="496">
      <c r="A496" t="inlineStr">
        <is>
          <t>Credit Collection 赊账收款</t>
        </is>
      </c>
      <c r="B496" s="6">
        <f>IF($B491="","",'Daily Sale entry '!E37)</f>
        <v/>
      </c>
      <c r="D496" t="inlineStr">
        <is>
          <t>Advance Salary_M 预支薪水_M</t>
        </is>
      </c>
      <c r="E496" s="6">
        <f>IF($B491="","",'Daily Sale entry '!L37)</f>
        <v/>
      </c>
      <c r="H496" t="inlineStr">
        <is>
          <t>Credit Collection 赊账收款</t>
        </is>
      </c>
      <c r="I496" s="6">
        <f>IF($B491="","",B496)</f>
        <v/>
      </c>
      <c r="K496" t="inlineStr">
        <is>
          <t>Advance Salary_M 预支薪水_M</t>
        </is>
      </c>
      <c r="L496" s="6">
        <f>IF($B491="","",E496)</f>
        <v/>
      </c>
    </row>
    <row r="497">
      <c r="A497" s="10" t="inlineStr">
        <is>
          <t>Amount 2 金额2  (Amount + Credit Collection)</t>
        </is>
      </c>
      <c r="B497" s="11">
        <f>IF($B491="","",ROUND(B495+B496,2))</f>
        <v/>
      </c>
      <c r="D497" t="inlineStr">
        <is>
          <t>Advance Salary_H 预支薪水_H</t>
        </is>
      </c>
      <c r="E497" s="6">
        <f>IF($B491="","",'Daily Sale entry '!M37)</f>
        <v/>
      </c>
      <c r="H497" s="10" t="inlineStr">
        <is>
          <t>Amount 2 金额2  (Amount + Credit Collection)</t>
        </is>
      </c>
      <c r="I497" s="11">
        <f>IF($B491="","",ROUND(I495+I496,2))</f>
        <v/>
      </c>
      <c r="K497" t="inlineStr">
        <is>
          <t>Advance Salary_H 预支薪水_H</t>
        </is>
      </c>
      <c r="L497" s="6">
        <f>IF($B491="","",E497)</f>
        <v/>
      </c>
    </row>
    <row r="498"/>
    <row r="499">
      <c r="A499" s="1" t="inlineStr">
        <is>
          <t>b/f petty cash 上日备用金结转</t>
        </is>
      </c>
      <c r="B499" s="9">
        <f>IF($B491="","",'Daily Sale entry '!F37)</f>
        <v/>
      </c>
      <c r="D499" s="1" t="n"/>
      <c r="E499" s="1" t="n"/>
      <c r="H499" s="1" t="inlineStr">
        <is>
          <t>b/f petty cash 上日备用金结转</t>
        </is>
      </c>
      <c r="I499" s="9">
        <f>IF($B491="","",B499)</f>
        <v/>
      </c>
      <c r="K499" s="1" t="n"/>
      <c r="L499" s="1" t="n"/>
    </row>
    <row r="500">
      <c r="A500" t="inlineStr">
        <is>
          <t>Total (A) 总计 (A)</t>
        </is>
      </c>
      <c r="B500" s="6">
        <f>IF($B491="","",ROUND(B497+B499,2))</f>
        <v/>
      </c>
      <c r="D500" t="inlineStr">
        <is>
          <t>Total(B) 总计 (B)</t>
        </is>
      </c>
      <c r="E500" s="6">
        <f>IF($B491="","",ROUND(E492+E493+E494+E495+E496+E497,2))</f>
        <v/>
      </c>
      <c r="H500" t="inlineStr">
        <is>
          <t>Total© 总计 (C)</t>
        </is>
      </c>
      <c r="I500" s="6">
        <f>IF($B491="","",ROUND(I497+I499,2))</f>
        <v/>
      </c>
      <c r="K500" t="inlineStr">
        <is>
          <t>Total(D) 总计 (D)</t>
        </is>
      </c>
      <c r="L500" s="6">
        <f>IF($B491="","",ROUND(L492+L493+L494+L495+L496+L497,2))</f>
        <v/>
      </c>
    </row>
    <row r="501">
      <c r="A501" s="14" t="inlineStr">
        <is>
          <t>Total = Amount 2 + b/f petty cash  (金额2 + 上日备用金)</t>
        </is>
      </c>
      <c r="H501" s="14" t="inlineStr">
        <is>
          <t>Total = Amount 2 + b/f petty cash  (金额2 + 上日备用金)</t>
        </is>
      </c>
    </row>
    <row r="502">
      <c r="A502" t="inlineStr">
        <is>
          <t>Different 差额</t>
        </is>
      </c>
      <c r="B502" s="6">
        <f>IF($B491="","",ROUND(B500-E500,2))</f>
        <v/>
      </c>
      <c r="D502">
        <f>IF($B491="","",IF(ABS(B502)&gt;'Opening Balance'!$B$16,"ALERT 警报: Different over RM"&amp;'Opening Balance'!$B$16&amp;" 差额超过RM"&amp;'Opening Balance'!$B$16&amp;" - please check 请检查",IF(B502=0,"Tied 平衡",IF(ABS(B502)&lt;='Opening Balance'!$B$13,"Small difference 小额差额: adjusted on c/f petty cash 已调整备用金",IF(B502&gt;0,"Short 短收: added to Misc Charges 已加入杂项费用","Over 多收: added to Cash Sales 已加入现金销售")))))</f>
        <v/>
      </c>
      <c r="H502" t="inlineStr">
        <is>
          <t>Different 差额</t>
        </is>
      </c>
      <c r="I502" s="6">
        <f>IF($B491="","",ROUND(I500-L500,2))</f>
        <v/>
      </c>
    </row>
    <row r="503"/>
    <row r="504"/>
    <row r="505">
      <c r="A505" t="inlineStr">
        <is>
          <t>Date 日期</t>
        </is>
      </c>
      <c r="B505" s="5">
        <f>IF('Daily Sale entry '!$A38="","",'Daily Sale entry '!$A38)</f>
        <v/>
      </c>
      <c r="H505" t="inlineStr">
        <is>
          <t>After 调整后 (After)</t>
        </is>
      </c>
      <c r="I505" s="5">
        <f>IF($B505="","",B505)</f>
        <v/>
      </c>
    </row>
    <row r="506">
      <c r="A506" t="inlineStr">
        <is>
          <t>Cash Sales 现金销售</t>
        </is>
      </c>
      <c r="B506" s="6">
        <f>IF($B505="","",'Daily Sale entry '!B38)</f>
        <v/>
      </c>
      <c r="D506" t="inlineStr">
        <is>
          <t>c/f petty cash 今日备用金结转</t>
        </is>
      </c>
      <c r="E506" s="6">
        <f>IF($B505="","",'Daily Sale entry '!G38)</f>
        <v/>
      </c>
      <c r="H506" t="inlineStr">
        <is>
          <t>Cash Sales 现金销售</t>
        </is>
      </c>
      <c r="I506" s="6">
        <f>IF($B505="","",IF(AND(ABS(B516)&gt;'Opening Balance'!$B$13,B516&lt;0),ROUND(B506-B516,2),B506))</f>
        <v/>
      </c>
      <c r="K506" t="inlineStr">
        <is>
          <t>c/f petty cash 今日备用金结转</t>
        </is>
      </c>
      <c r="L506" s="6">
        <f>IF($B505="","",IF(ABS(B516)&lt;='Opening Balance'!$B$13,ROUND(E506+B516,2),E506))</f>
        <v/>
      </c>
    </row>
    <row r="507">
      <c r="A507" t="inlineStr">
        <is>
          <t>Misc Charges 杂项费用</t>
        </is>
      </c>
      <c r="B507" s="6">
        <f>IF($B505="","",'Daily Sale entry '!C38)</f>
        <v/>
      </c>
      <c r="D507" t="inlineStr">
        <is>
          <t>cash collection 现金收款</t>
        </is>
      </c>
      <c r="E507" s="6">
        <f>IF($B505="","",'Daily Sale entry '!H38)</f>
        <v/>
      </c>
      <c r="H507" t="inlineStr">
        <is>
          <t>Misc Charges 杂项费用</t>
        </is>
      </c>
      <c r="I507" s="6">
        <f>IF($B505="","",IF(AND(ABS(B516)&gt;'Opening Balance'!$B$13,B516&gt;0),ROUND(B507+B516,2),B507))</f>
        <v/>
      </c>
      <c r="K507" t="inlineStr">
        <is>
          <t>cash collection 现金收款</t>
        </is>
      </c>
      <c r="L507" s="6">
        <f>IF($B505="","",E507)</f>
        <v/>
      </c>
    </row>
    <row r="508">
      <c r="A508" s="1" t="inlineStr">
        <is>
          <t>Other Charges 其他费用</t>
        </is>
      </c>
      <c r="B508" s="9">
        <f>IF($B505="","",'Daily Sale entry '!D38)</f>
        <v/>
      </c>
      <c r="D508" s="1" t="inlineStr">
        <is>
          <t>Cheque Collection 支票收款</t>
        </is>
      </c>
      <c r="E508" s="9">
        <f>IF($B505="","",'Daily Sale entry '!J38)</f>
        <v/>
      </c>
      <c r="H508" s="1" t="inlineStr">
        <is>
          <t>Other Charges 其他费用</t>
        </is>
      </c>
      <c r="I508" s="9">
        <f>IF($B505="","",B508)</f>
        <v/>
      </c>
      <c r="K508" s="1" t="inlineStr">
        <is>
          <t>Cheque Collection 支票收款</t>
        </is>
      </c>
      <c r="L508" s="9">
        <f>IF($B505="","",E508)</f>
        <v/>
      </c>
    </row>
    <row r="509">
      <c r="A509" s="10" t="inlineStr">
        <is>
          <t>Amount 金额  (Cash Sales - Misc - Other)</t>
        </is>
      </c>
      <c r="B509" s="11">
        <f>IF($B505="","",ROUND(B506-B507-B508,2))</f>
        <v/>
      </c>
      <c r="D509" s="12" t="inlineStr">
        <is>
          <t>TNG collection TNG收款</t>
        </is>
      </c>
      <c r="E509" s="13">
        <f>IF($B505="","",'Daily Sale entry '!K38)</f>
        <v/>
      </c>
      <c r="H509" s="10" t="inlineStr">
        <is>
          <t>Amount 金额  (Cash Sales - Misc - Other)</t>
        </is>
      </c>
      <c r="I509" s="11">
        <f>IF($B505="","",ROUND(I506-I507-I508,2))</f>
        <v/>
      </c>
      <c r="K509" s="12" t="inlineStr">
        <is>
          <t>TNG collection TNG收款</t>
        </is>
      </c>
      <c r="L509" s="13">
        <f>IF($B505="","",E509)</f>
        <v/>
      </c>
    </row>
    <row r="510">
      <c r="A510" t="inlineStr">
        <is>
          <t>Credit Collection 赊账收款</t>
        </is>
      </c>
      <c r="B510" s="6">
        <f>IF($B505="","",'Daily Sale entry '!E38)</f>
        <v/>
      </c>
      <c r="D510" t="inlineStr">
        <is>
          <t>Advance Salary_M 预支薪水_M</t>
        </is>
      </c>
      <c r="E510" s="6">
        <f>IF($B505="","",'Daily Sale entry '!L38)</f>
        <v/>
      </c>
      <c r="H510" t="inlineStr">
        <is>
          <t>Credit Collection 赊账收款</t>
        </is>
      </c>
      <c r="I510" s="6">
        <f>IF($B505="","",B510)</f>
        <v/>
      </c>
      <c r="K510" t="inlineStr">
        <is>
          <t>Advance Salary_M 预支薪水_M</t>
        </is>
      </c>
      <c r="L510" s="6">
        <f>IF($B505="","",E510)</f>
        <v/>
      </c>
    </row>
    <row r="511">
      <c r="A511" s="10" t="inlineStr">
        <is>
          <t>Amount 2 金额2  (Amount + Credit Collection)</t>
        </is>
      </c>
      <c r="B511" s="11">
        <f>IF($B505="","",ROUND(B509+B510,2))</f>
        <v/>
      </c>
      <c r="D511" t="inlineStr">
        <is>
          <t>Advance Salary_H 预支薪水_H</t>
        </is>
      </c>
      <c r="E511" s="6">
        <f>IF($B505="","",'Daily Sale entry '!M38)</f>
        <v/>
      </c>
      <c r="H511" s="10" t="inlineStr">
        <is>
          <t>Amount 2 金额2  (Amount + Credit Collection)</t>
        </is>
      </c>
      <c r="I511" s="11">
        <f>IF($B505="","",ROUND(I509+I510,2))</f>
        <v/>
      </c>
      <c r="K511" t="inlineStr">
        <is>
          <t>Advance Salary_H 预支薪水_H</t>
        </is>
      </c>
      <c r="L511" s="6">
        <f>IF($B505="","",E511)</f>
        <v/>
      </c>
    </row>
    <row r="512"/>
    <row r="513">
      <c r="A513" s="1" t="inlineStr">
        <is>
          <t>b/f petty cash 上日备用金结转</t>
        </is>
      </c>
      <c r="B513" s="9">
        <f>IF($B505="","",'Daily Sale entry '!F38)</f>
        <v/>
      </c>
      <c r="D513" s="1" t="n"/>
      <c r="E513" s="1" t="n"/>
      <c r="H513" s="1" t="inlineStr">
        <is>
          <t>b/f petty cash 上日备用金结转</t>
        </is>
      </c>
      <c r="I513" s="9">
        <f>IF($B505="","",B513)</f>
        <v/>
      </c>
      <c r="K513" s="1" t="n"/>
      <c r="L513" s="1" t="n"/>
    </row>
    <row r="514">
      <c r="A514" t="inlineStr">
        <is>
          <t>Total (A) 总计 (A)</t>
        </is>
      </c>
      <c r="B514" s="6">
        <f>IF($B505="","",ROUND(B511+B513,2))</f>
        <v/>
      </c>
      <c r="D514" t="inlineStr">
        <is>
          <t>Total(B) 总计 (B)</t>
        </is>
      </c>
      <c r="E514" s="6">
        <f>IF($B505="","",ROUND(E506+E507+E508+E509+E510+E511,2))</f>
        <v/>
      </c>
      <c r="H514" t="inlineStr">
        <is>
          <t>Total© 总计 (C)</t>
        </is>
      </c>
      <c r="I514" s="6">
        <f>IF($B505="","",ROUND(I511+I513,2))</f>
        <v/>
      </c>
      <c r="K514" t="inlineStr">
        <is>
          <t>Total(D) 总计 (D)</t>
        </is>
      </c>
      <c r="L514" s="6">
        <f>IF($B505="","",ROUND(L506+L507+L508+L509+L510+L511,2))</f>
        <v/>
      </c>
    </row>
    <row r="515">
      <c r="A515" s="14" t="inlineStr">
        <is>
          <t>Total = Amount 2 + b/f petty cash  (金额2 + 上日备用金)</t>
        </is>
      </c>
      <c r="H515" s="14" t="inlineStr">
        <is>
          <t>Total = Amount 2 + b/f petty cash  (金额2 + 上日备用金)</t>
        </is>
      </c>
    </row>
    <row r="516">
      <c r="A516" t="inlineStr">
        <is>
          <t>Different 差额</t>
        </is>
      </c>
      <c r="B516" s="6">
        <f>IF($B505="","",ROUND(B514-E514,2))</f>
        <v/>
      </c>
      <c r="D516">
        <f>IF($B505="","",IF(ABS(B516)&gt;'Opening Balance'!$B$16,"ALERT 警报: Different over RM"&amp;'Opening Balance'!$B$16&amp;" 差额超过RM"&amp;'Opening Balance'!$B$16&amp;" - please check 请检查",IF(B516=0,"Tied 平衡",IF(ABS(B516)&lt;='Opening Balance'!$B$13,"Small difference 小额差额: adjusted on c/f petty cash 已调整备用金",IF(B516&gt;0,"Short 短收: added to Misc Charges 已加入杂项费用","Over 多收: added to Cash Sales 已加入现金销售")))))</f>
        <v/>
      </c>
      <c r="H516" t="inlineStr">
        <is>
          <t>Different 差额</t>
        </is>
      </c>
      <c r="I516" s="6">
        <f>IF($B505="","",ROUND(I514-L514,2))</f>
        <v/>
      </c>
    </row>
    <row r="517"/>
    <row r="518"/>
    <row r="519">
      <c r="A519" t="inlineStr">
        <is>
          <t>Date 日期</t>
        </is>
      </c>
      <c r="B519" s="5">
        <f>IF('Daily Sale entry '!$A39="","",'Daily Sale entry '!$A39)</f>
        <v/>
      </c>
      <c r="H519" t="inlineStr">
        <is>
          <t>After 调整后 (After)</t>
        </is>
      </c>
      <c r="I519" s="5">
        <f>IF($B519="","",B519)</f>
        <v/>
      </c>
    </row>
    <row r="520">
      <c r="A520" t="inlineStr">
        <is>
          <t>Cash Sales 现金销售</t>
        </is>
      </c>
      <c r="B520" s="6">
        <f>IF($B519="","",'Daily Sale entry '!B39)</f>
        <v/>
      </c>
      <c r="D520" t="inlineStr">
        <is>
          <t>c/f petty cash 今日备用金结转</t>
        </is>
      </c>
      <c r="E520" s="6">
        <f>IF($B519="","",'Daily Sale entry '!G39)</f>
        <v/>
      </c>
      <c r="H520" t="inlineStr">
        <is>
          <t>Cash Sales 现金销售</t>
        </is>
      </c>
      <c r="I520" s="6">
        <f>IF($B519="","",IF(AND(ABS(B530)&gt;'Opening Balance'!$B$13,B530&lt;0),ROUND(B520-B530,2),B520))</f>
        <v/>
      </c>
      <c r="K520" t="inlineStr">
        <is>
          <t>c/f petty cash 今日备用金结转</t>
        </is>
      </c>
      <c r="L520" s="6">
        <f>IF($B519="","",IF(ABS(B530)&lt;='Opening Balance'!$B$13,ROUND(E520+B530,2),E520))</f>
        <v/>
      </c>
    </row>
    <row r="521">
      <c r="A521" t="inlineStr">
        <is>
          <t>Misc Charges 杂项费用</t>
        </is>
      </c>
      <c r="B521" s="6">
        <f>IF($B519="","",'Daily Sale entry '!C39)</f>
        <v/>
      </c>
      <c r="D521" t="inlineStr">
        <is>
          <t>cash collection 现金收款</t>
        </is>
      </c>
      <c r="E521" s="6">
        <f>IF($B519="","",'Daily Sale entry '!H39)</f>
        <v/>
      </c>
      <c r="H521" t="inlineStr">
        <is>
          <t>Misc Charges 杂项费用</t>
        </is>
      </c>
      <c r="I521" s="6">
        <f>IF($B519="","",IF(AND(ABS(B530)&gt;'Opening Balance'!$B$13,B530&gt;0),ROUND(B521+B530,2),B521))</f>
        <v/>
      </c>
      <c r="K521" t="inlineStr">
        <is>
          <t>cash collection 现金收款</t>
        </is>
      </c>
      <c r="L521" s="6">
        <f>IF($B519="","",E521)</f>
        <v/>
      </c>
    </row>
    <row r="522">
      <c r="A522" s="1" t="inlineStr">
        <is>
          <t>Other Charges 其他费用</t>
        </is>
      </c>
      <c r="B522" s="9">
        <f>IF($B519="","",'Daily Sale entry '!D39)</f>
        <v/>
      </c>
      <c r="D522" s="1" t="inlineStr">
        <is>
          <t>Cheque Collection 支票收款</t>
        </is>
      </c>
      <c r="E522" s="9">
        <f>IF($B519="","",'Daily Sale entry '!J39)</f>
        <v/>
      </c>
      <c r="H522" s="1" t="inlineStr">
        <is>
          <t>Other Charges 其他费用</t>
        </is>
      </c>
      <c r="I522" s="9">
        <f>IF($B519="","",B522)</f>
        <v/>
      </c>
      <c r="K522" s="1" t="inlineStr">
        <is>
          <t>Cheque Collection 支票收款</t>
        </is>
      </c>
      <c r="L522" s="9">
        <f>IF($B519="","",E522)</f>
        <v/>
      </c>
    </row>
    <row r="523">
      <c r="A523" s="10" t="inlineStr">
        <is>
          <t>Amount 金额  (Cash Sales - Misc - Other)</t>
        </is>
      </c>
      <c r="B523" s="11">
        <f>IF($B519="","",ROUND(B520-B521-B522,2))</f>
        <v/>
      </c>
      <c r="D523" s="12" t="inlineStr">
        <is>
          <t>TNG collection TNG收款</t>
        </is>
      </c>
      <c r="E523" s="13">
        <f>IF($B519="","",'Daily Sale entry '!K39)</f>
        <v/>
      </c>
      <c r="H523" s="10" t="inlineStr">
        <is>
          <t>Amount 金额  (Cash Sales - Misc - Other)</t>
        </is>
      </c>
      <c r="I523" s="11">
        <f>IF($B519="","",ROUND(I520-I521-I522,2))</f>
        <v/>
      </c>
      <c r="K523" s="12" t="inlineStr">
        <is>
          <t>TNG collection TNG收款</t>
        </is>
      </c>
      <c r="L523" s="13">
        <f>IF($B519="","",E523)</f>
        <v/>
      </c>
    </row>
    <row r="524">
      <c r="A524" t="inlineStr">
        <is>
          <t>Credit Collection 赊账收款</t>
        </is>
      </c>
      <c r="B524" s="6">
        <f>IF($B519="","",'Daily Sale entry '!E39)</f>
        <v/>
      </c>
      <c r="D524" t="inlineStr">
        <is>
          <t>Advance Salary_M 预支薪水_M</t>
        </is>
      </c>
      <c r="E524" s="6">
        <f>IF($B519="","",'Daily Sale entry '!L39)</f>
        <v/>
      </c>
      <c r="H524" t="inlineStr">
        <is>
          <t>Credit Collection 赊账收款</t>
        </is>
      </c>
      <c r="I524" s="6">
        <f>IF($B519="","",B524)</f>
        <v/>
      </c>
      <c r="K524" t="inlineStr">
        <is>
          <t>Advance Salary_M 预支薪水_M</t>
        </is>
      </c>
      <c r="L524" s="6">
        <f>IF($B519="","",E524)</f>
        <v/>
      </c>
    </row>
    <row r="525">
      <c r="A525" s="10" t="inlineStr">
        <is>
          <t>Amount 2 金额2  (Amount + Credit Collection)</t>
        </is>
      </c>
      <c r="B525" s="11">
        <f>IF($B519="","",ROUND(B523+B524,2))</f>
        <v/>
      </c>
      <c r="D525" t="inlineStr">
        <is>
          <t>Advance Salary_H 预支薪水_H</t>
        </is>
      </c>
      <c r="E525" s="6">
        <f>IF($B519="","",'Daily Sale entry '!M39)</f>
        <v/>
      </c>
      <c r="H525" s="10" t="inlineStr">
        <is>
          <t>Amount 2 金额2  (Amount + Credit Collection)</t>
        </is>
      </c>
      <c r="I525" s="11">
        <f>IF($B519="","",ROUND(I523+I524,2))</f>
        <v/>
      </c>
      <c r="K525" t="inlineStr">
        <is>
          <t>Advance Salary_H 预支薪水_H</t>
        </is>
      </c>
      <c r="L525" s="6">
        <f>IF($B519="","",E525)</f>
        <v/>
      </c>
    </row>
    <row r="526"/>
    <row r="527">
      <c r="A527" s="1" t="inlineStr">
        <is>
          <t>b/f petty cash 上日备用金结转</t>
        </is>
      </c>
      <c r="B527" s="9">
        <f>IF($B519="","",'Daily Sale entry '!F39)</f>
        <v/>
      </c>
      <c r="D527" s="1" t="n"/>
      <c r="E527" s="1" t="n"/>
      <c r="H527" s="1" t="inlineStr">
        <is>
          <t>b/f petty cash 上日备用金结转</t>
        </is>
      </c>
      <c r="I527" s="9">
        <f>IF($B519="","",B527)</f>
        <v/>
      </c>
      <c r="K527" s="1" t="n"/>
      <c r="L527" s="1" t="n"/>
    </row>
    <row r="528">
      <c r="A528" t="inlineStr">
        <is>
          <t>Total (A) 总计 (A)</t>
        </is>
      </c>
      <c r="B528" s="6">
        <f>IF($B519="","",ROUND(B525+B527,2))</f>
        <v/>
      </c>
      <c r="D528" t="inlineStr">
        <is>
          <t>Total(B) 总计 (B)</t>
        </is>
      </c>
      <c r="E528" s="6">
        <f>IF($B519="","",ROUND(E520+E521+E522+E523+E524+E525,2))</f>
        <v/>
      </c>
      <c r="H528" t="inlineStr">
        <is>
          <t>Total© 总计 (C)</t>
        </is>
      </c>
      <c r="I528" s="6">
        <f>IF($B519="","",ROUND(I525+I527,2))</f>
        <v/>
      </c>
      <c r="K528" t="inlineStr">
        <is>
          <t>Total(D) 总计 (D)</t>
        </is>
      </c>
      <c r="L528" s="6">
        <f>IF($B519="","",ROUND(L520+L521+L522+L523+L524+L525,2))</f>
        <v/>
      </c>
    </row>
    <row r="529">
      <c r="A529" s="14" t="inlineStr">
        <is>
          <t>Total = Amount 2 + b/f petty cash  (金额2 + 上日备用金)</t>
        </is>
      </c>
      <c r="H529" s="14" t="inlineStr">
        <is>
          <t>Total = Amount 2 + b/f petty cash  (金额2 + 上日备用金)</t>
        </is>
      </c>
    </row>
    <row r="530">
      <c r="A530" t="inlineStr">
        <is>
          <t>Different 差额</t>
        </is>
      </c>
      <c r="B530" s="6">
        <f>IF($B519="","",ROUND(B528-E528,2))</f>
        <v/>
      </c>
      <c r="D530">
        <f>IF($B519="","",IF(ABS(B530)&gt;'Opening Balance'!$B$16,"ALERT 警报: Different over RM"&amp;'Opening Balance'!$B$16&amp;" 差额超过RM"&amp;'Opening Balance'!$B$16&amp;" - please check 请检查",IF(B530=0,"Tied 平衡",IF(ABS(B530)&lt;='Opening Balance'!$B$13,"Small difference 小额差额: adjusted on c/f petty cash 已调整备用金",IF(B530&gt;0,"Short 短收: added to Misc Charges 已加入杂项费用","Over 多收: added to Cash Sales 已加入现金销售")))))</f>
        <v/>
      </c>
      <c r="H530" t="inlineStr">
        <is>
          <t>Different 差额</t>
        </is>
      </c>
      <c r="I530" s="6">
        <f>IF($B519="","",ROUND(I528-L528,2))</f>
        <v/>
      </c>
    </row>
    <row r="531"/>
    <row r="532"/>
    <row r="533">
      <c r="A533" t="inlineStr">
        <is>
          <t>Date 日期</t>
        </is>
      </c>
      <c r="B533" s="5">
        <f>IF('Daily Sale entry '!$A40="","",'Daily Sale entry '!$A40)</f>
        <v/>
      </c>
      <c r="H533" t="inlineStr">
        <is>
          <t>After 调整后 (After)</t>
        </is>
      </c>
      <c r="I533" s="5">
        <f>IF($B533="","",B533)</f>
        <v/>
      </c>
    </row>
    <row r="534">
      <c r="A534" t="inlineStr">
        <is>
          <t>Cash Sales 现金销售</t>
        </is>
      </c>
      <c r="B534" s="6">
        <f>IF($B533="","",'Daily Sale entry '!B40)</f>
        <v/>
      </c>
      <c r="D534" t="inlineStr">
        <is>
          <t>c/f petty cash 今日备用金结转</t>
        </is>
      </c>
      <c r="E534" s="6">
        <f>IF($B533="","",'Daily Sale entry '!G40)</f>
        <v/>
      </c>
      <c r="H534" t="inlineStr">
        <is>
          <t>Cash Sales 现金销售</t>
        </is>
      </c>
      <c r="I534" s="6">
        <f>IF($B533="","",IF(AND(ABS(B544)&gt;'Opening Balance'!$B$13,B544&lt;0),ROUND(B534-B544,2),B534))</f>
        <v/>
      </c>
      <c r="K534" t="inlineStr">
        <is>
          <t>c/f petty cash 今日备用金结转</t>
        </is>
      </c>
      <c r="L534" s="6">
        <f>IF($B533="","",IF(ABS(B544)&lt;='Opening Balance'!$B$13,ROUND(E534+B544,2),E534))</f>
        <v/>
      </c>
    </row>
    <row r="535">
      <c r="A535" t="inlineStr">
        <is>
          <t>Misc Charges 杂项费用</t>
        </is>
      </c>
      <c r="B535" s="6">
        <f>IF($B533="","",'Daily Sale entry '!C40)</f>
        <v/>
      </c>
      <c r="D535" t="inlineStr">
        <is>
          <t>cash collection 现金收款</t>
        </is>
      </c>
      <c r="E535" s="6">
        <f>IF($B533="","",'Daily Sale entry '!H40)</f>
        <v/>
      </c>
      <c r="H535" t="inlineStr">
        <is>
          <t>Misc Charges 杂项费用</t>
        </is>
      </c>
      <c r="I535" s="6">
        <f>IF($B533="","",IF(AND(ABS(B544)&gt;'Opening Balance'!$B$13,B544&gt;0),ROUND(B535+B544,2),B535))</f>
        <v/>
      </c>
      <c r="K535" t="inlineStr">
        <is>
          <t>cash collection 现金收款</t>
        </is>
      </c>
      <c r="L535" s="6">
        <f>IF($B533="","",E535)</f>
        <v/>
      </c>
    </row>
    <row r="536">
      <c r="A536" s="1" t="inlineStr">
        <is>
          <t>Other Charges 其他费用</t>
        </is>
      </c>
      <c r="B536" s="9">
        <f>IF($B533="","",'Daily Sale entry '!D40)</f>
        <v/>
      </c>
      <c r="D536" s="1" t="inlineStr">
        <is>
          <t>Cheque Collection 支票收款</t>
        </is>
      </c>
      <c r="E536" s="9">
        <f>IF($B533="","",'Daily Sale entry '!J40)</f>
        <v/>
      </c>
      <c r="H536" s="1" t="inlineStr">
        <is>
          <t>Other Charges 其他费用</t>
        </is>
      </c>
      <c r="I536" s="9">
        <f>IF($B533="","",B536)</f>
        <v/>
      </c>
      <c r="K536" s="1" t="inlineStr">
        <is>
          <t>Cheque Collection 支票收款</t>
        </is>
      </c>
      <c r="L536" s="9">
        <f>IF($B533="","",E536)</f>
        <v/>
      </c>
    </row>
    <row r="537">
      <c r="A537" s="10" t="inlineStr">
        <is>
          <t>Amount 金额  (Cash Sales - Misc - Other)</t>
        </is>
      </c>
      <c r="B537" s="11">
        <f>IF($B533="","",ROUND(B534-B535-B536,2))</f>
        <v/>
      </c>
      <c r="D537" s="12" t="inlineStr">
        <is>
          <t>TNG collection TNG收款</t>
        </is>
      </c>
      <c r="E537" s="13">
        <f>IF($B533="","",'Daily Sale entry '!K40)</f>
        <v/>
      </c>
      <c r="H537" s="10" t="inlineStr">
        <is>
          <t>Amount 金额  (Cash Sales - Misc - Other)</t>
        </is>
      </c>
      <c r="I537" s="11">
        <f>IF($B533="","",ROUND(I534-I535-I536,2))</f>
        <v/>
      </c>
      <c r="K537" s="12" t="inlineStr">
        <is>
          <t>TNG collection TNG收款</t>
        </is>
      </c>
      <c r="L537" s="13">
        <f>IF($B533="","",E537)</f>
        <v/>
      </c>
    </row>
    <row r="538">
      <c r="A538" t="inlineStr">
        <is>
          <t>Credit Collection 赊账收款</t>
        </is>
      </c>
      <c r="B538" s="6">
        <f>IF($B533="","",'Daily Sale entry '!E40)</f>
        <v/>
      </c>
      <c r="D538" t="inlineStr">
        <is>
          <t>Advance Salary_M 预支薪水_M</t>
        </is>
      </c>
      <c r="E538" s="6">
        <f>IF($B533="","",'Daily Sale entry '!L40)</f>
        <v/>
      </c>
      <c r="H538" t="inlineStr">
        <is>
          <t>Credit Collection 赊账收款</t>
        </is>
      </c>
      <c r="I538" s="6">
        <f>IF($B533="","",B538)</f>
        <v/>
      </c>
      <c r="K538" t="inlineStr">
        <is>
          <t>Advance Salary_M 预支薪水_M</t>
        </is>
      </c>
      <c r="L538" s="6">
        <f>IF($B533="","",E538)</f>
        <v/>
      </c>
    </row>
    <row r="539">
      <c r="A539" s="10" t="inlineStr">
        <is>
          <t>Amount 2 金额2  (Amount + Credit Collection)</t>
        </is>
      </c>
      <c r="B539" s="11">
        <f>IF($B533="","",ROUND(B537+B538,2))</f>
        <v/>
      </c>
      <c r="D539" t="inlineStr">
        <is>
          <t>Advance Salary_H 预支薪水_H</t>
        </is>
      </c>
      <c r="E539" s="6">
        <f>IF($B533="","",'Daily Sale entry '!M40)</f>
        <v/>
      </c>
      <c r="H539" s="10" t="inlineStr">
        <is>
          <t>Amount 2 金额2  (Amount + Credit Collection)</t>
        </is>
      </c>
      <c r="I539" s="11">
        <f>IF($B533="","",ROUND(I537+I538,2))</f>
        <v/>
      </c>
      <c r="K539" t="inlineStr">
        <is>
          <t>Advance Salary_H 预支薪水_H</t>
        </is>
      </c>
      <c r="L539" s="6">
        <f>IF($B533="","",E539)</f>
        <v/>
      </c>
    </row>
    <row r="540"/>
    <row r="541">
      <c r="A541" s="1" t="inlineStr">
        <is>
          <t>b/f petty cash 上日备用金结转</t>
        </is>
      </c>
      <c r="B541" s="9">
        <f>IF($B533="","",'Daily Sale entry '!F40)</f>
        <v/>
      </c>
      <c r="D541" s="1" t="n"/>
      <c r="E541" s="1" t="n"/>
      <c r="H541" s="1" t="inlineStr">
        <is>
          <t>b/f petty cash 上日备用金结转</t>
        </is>
      </c>
      <c r="I541" s="9">
        <f>IF($B533="","",B541)</f>
        <v/>
      </c>
      <c r="K541" s="1" t="n"/>
      <c r="L541" s="1" t="n"/>
    </row>
    <row r="542">
      <c r="A542" t="inlineStr">
        <is>
          <t>Total (A) 总计 (A)</t>
        </is>
      </c>
      <c r="B542" s="6">
        <f>IF($B533="","",ROUND(B539+B541,2))</f>
        <v/>
      </c>
      <c r="D542" t="inlineStr">
        <is>
          <t>Total(B) 总计 (B)</t>
        </is>
      </c>
      <c r="E542" s="6">
        <f>IF($B533="","",ROUND(E534+E535+E536+E537+E538+E539,2))</f>
        <v/>
      </c>
      <c r="H542" t="inlineStr">
        <is>
          <t>Total© 总计 (C)</t>
        </is>
      </c>
      <c r="I542" s="6">
        <f>IF($B533="","",ROUND(I539+I541,2))</f>
        <v/>
      </c>
      <c r="K542" t="inlineStr">
        <is>
          <t>Total(D) 总计 (D)</t>
        </is>
      </c>
      <c r="L542" s="6">
        <f>IF($B533="","",ROUND(L534+L535+L536+L537+L538+L539,2))</f>
        <v/>
      </c>
    </row>
    <row r="543">
      <c r="A543" s="14" t="inlineStr">
        <is>
          <t>Total = Amount 2 + b/f petty cash  (金额2 + 上日备用金)</t>
        </is>
      </c>
      <c r="H543" s="14" t="inlineStr">
        <is>
          <t>Total = Amount 2 + b/f petty cash  (金额2 + 上日备用金)</t>
        </is>
      </c>
    </row>
    <row r="544">
      <c r="A544" t="inlineStr">
        <is>
          <t>Different 差额</t>
        </is>
      </c>
      <c r="B544" s="6">
        <f>IF($B533="","",ROUND(B542-E542,2))</f>
        <v/>
      </c>
      <c r="D544">
        <f>IF($B533="","",IF(ABS(B544)&gt;'Opening Balance'!$B$16,"ALERT 警报: Different over RM"&amp;'Opening Balance'!$B$16&amp;" 差额超过RM"&amp;'Opening Balance'!$B$16&amp;" - please check 请检查",IF(B544=0,"Tied 平衡",IF(ABS(B544)&lt;='Opening Balance'!$B$13,"Small difference 小额差额: adjusted on c/f petty cash 已调整备用金",IF(B544&gt;0,"Short 短收: added to Misc Charges 已加入杂项费用","Over 多收: added to Cash Sales 已加入现金销售")))))</f>
        <v/>
      </c>
      <c r="H544" t="inlineStr">
        <is>
          <t>Different 差额</t>
        </is>
      </c>
      <c r="I544" s="6">
        <f>IF($B533="","",ROUND(I542-L542,2))</f>
        <v/>
      </c>
    </row>
    <row r="545"/>
    <row r="546"/>
    <row r="547">
      <c r="A547" t="inlineStr">
        <is>
          <t>Date 日期</t>
        </is>
      </c>
      <c r="B547" s="5">
        <f>IF('Daily Sale entry '!$A41="","",'Daily Sale entry '!$A41)</f>
        <v/>
      </c>
      <c r="H547" t="inlineStr">
        <is>
          <t>After 调整后 (After)</t>
        </is>
      </c>
      <c r="I547" s="5">
        <f>IF($B547="","",B547)</f>
        <v/>
      </c>
    </row>
    <row r="548">
      <c r="A548" t="inlineStr">
        <is>
          <t>Cash Sales 现金销售</t>
        </is>
      </c>
      <c r="B548" s="6">
        <f>IF($B547="","",'Daily Sale entry '!B41)</f>
        <v/>
      </c>
      <c r="D548" t="inlineStr">
        <is>
          <t>c/f petty cash 今日备用金结转</t>
        </is>
      </c>
      <c r="E548" s="6">
        <f>IF($B547="","",'Daily Sale entry '!G41)</f>
        <v/>
      </c>
      <c r="H548" t="inlineStr">
        <is>
          <t>Cash Sales 现金销售</t>
        </is>
      </c>
      <c r="I548" s="6">
        <f>IF($B547="","",IF(AND(ABS(B558)&gt;'Opening Balance'!$B$13,B558&lt;0),ROUND(B548-B558,2),B548))</f>
        <v/>
      </c>
      <c r="K548" t="inlineStr">
        <is>
          <t>c/f petty cash 今日备用金结转</t>
        </is>
      </c>
      <c r="L548" s="6">
        <f>IF($B547="","",IF(ABS(B558)&lt;='Opening Balance'!$B$13,ROUND(E548+B558,2),E548))</f>
        <v/>
      </c>
    </row>
    <row r="549">
      <c r="A549" t="inlineStr">
        <is>
          <t>Misc Charges 杂项费用</t>
        </is>
      </c>
      <c r="B549" s="6">
        <f>IF($B547="","",'Daily Sale entry '!C41)</f>
        <v/>
      </c>
      <c r="D549" t="inlineStr">
        <is>
          <t>cash collection 现金收款</t>
        </is>
      </c>
      <c r="E549" s="6">
        <f>IF($B547="","",'Daily Sale entry '!H41)</f>
        <v/>
      </c>
      <c r="H549" t="inlineStr">
        <is>
          <t>Misc Charges 杂项费用</t>
        </is>
      </c>
      <c r="I549" s="6">
        <f>IF($B547="","",IF(AND(ABS(B558)&gt;'Opening Balance'!$B$13,B558&gt;0),ROUND(B549+B558,2),B549))</f>
        <v/>
      </c>
      <c r="K549" t="inlineStr">
        <is>
          <t>cash collection 现金收款</t>
        </is>
      </c>
      <c r="L549" s="6">
        <f>IF($B547="","",E549)</f>
        <v/>
      </c>
    </row>
    <row r="550">
      <c r="A550" s="1" t="inlineStr">
        <is>
          <t>Other Charges 其他费用</t>
        </is>
      </c>
      <c r="B550" s="9">
        <f>IF($B547="","",'Daily Sale entry '!D41)</f>
        <v/>
      </c>
      <c r="D550" s="1" t="inlineStr">
        <is>
          <t>Cheque Collection 支票收款</t>
        </is>
      </c>
      <c r="E550" s="9">
        <f>IF($B547="","",'Daily Sale entry '!J41)</f>
        <v/>
      </c>
      <c r="H550" s="1" t="inlineStr">
        <is>
          <t>Other Charges 其他费用</t>
        </is>
      </c>
      <c r="I550" s="9">
        <f>IF($B547="","",B550)</f>
        <v/>
      </c>
      <c r="K550" s="1" t="inlineStr">
        <is>
          <t>Cheque Collection 支票收款</t>
        </is>
      </c>
      <c r="L550" s="9">
        <f>IF($B547="","",E550)</f>
        <v/>
      </c>
    </row>
    <row r="551">
      <c r="A551" s="10" t="inlineStr">
        <is>
          <t>Amount 金额  (Cash Sales - Misc - Other)</t>
        </is>
      </c>
      <c r="B551" s="11">
        <f>IF($B547="","",ROUND(B548-B549-B550,2))</f>
        <v/>
      </c>
      <c r="D551" s="12" t="inlineStr">
        <is>
          <t>TNG collection TNG收款</t>
        </is>
      </c>
      <c r="E551" s="13">
        <f>IF($B547="","",'Daily Sale entry '!K41)</f>
        <v/>
      </c>
      <c r="H551" s="10" t="inlineStr">
        <is>
          <t>Amount 金额  (Cash Sales - Misc - Other)</t>
        </is>
      </c>
      <c r="I551" s="11">
        <f>IF($B547="","",ROUND(I548-I549-I550,2))</f>
        <v/>
      </c>
      <c r="K551" s="12" t="inlineStr">
        <is>
          <t>TNG collection TNG收款</t>
        </is>
      </c>
      <c r="L551" s="13">
        <f>IF($B547="","",E551)</f>
        <v/>
      </c>
    </row>
    <row r="552">
      <c r="A552" t="inlineStr">
        <is>
          <t>Credit Collection 赊账收款</t>
        </is>
      </c>
      <c r="B552" s="6">
        <f>IF($B547="","",'Daily Sale entry '!E41)</f>
        <v/>
      </c>
      <c r="D552" t="inlineStr">
        <is>
          <t>Advance Salary_M 预支薪水_M</t>
        </is>
      </c>
      <c r="E552" s="6">
        <f>IF($B547="","",'Daily Sale entry '!L41)</f>
        <v/>
      </c>
      <c r="H552" t="inlineStr">
        <is>
          <t>Credit Collection 赊账收款</t>
        </is>
      </c>
      <c r="I552" s="6">
        <f>IF($B547="","",B552)</f>
        <v/>
      </c>
      <c r="K552" t="inlineStr">
        <is>
          <t>Advance Salary_M 预支薪水_M</t>
        </is>
      </c>
      <c r="L552" s="6">
        <f>IF($B547="","",E552)</f>
        <v/>
      </c>
    </row>
    <row r="553">
      <c r="A553" s="10" t="inlineStr">
        <is>
          <t>Amount 2 金额2  (Amount + Credit Collection)</t>
        </is>
      </c>
      <c r="B553" s="11">
        <f>IF($B547="","",ROUND(B551+B552,2))</f>
        <v/>
      </c>
      <c r="D553" t="inlineStr">
        <is>
          <t>Advance Salary_H 预支薪水_H</t>
        </is>
      </c>
      <c r="E553" s="6">
        <f>IF($B547="","",'Daily Sale entry '!M41)</f>
        <v/>
      </c>
      <c r="H553" s="10" t="inlineStr">
        <is>
          <t>Amount 2 金额2  (Amount + Credit Collection)</t>
        </is>
      </c>
      <c r="I553" s="11">
        <f>IF($B547="","",ROUND(I551+I552,2))</f>
        <v/>
      </c>
      <c r="K553" t="inlineStr">
        <is>
          <t>Advance Salary_H 预支薪水_H</t>
        </is>
      </c>
      <c r="L553" s="6">
        <f>IF($B547="","",E553)</f>
        <v/>
      </c>
    </row>
    <row r="554"/>
    <row r="555">
      <c r="A555" s="1" t="inlineStr">
        <is>
          <t>b/f petty cash 上日备用金结转</t>
        </is>
      </c>
      <c r="B555" s="9">
        <f>IF($B547="","",'Daily Sale entry '!F41)</f>
        <v/>
      </c>
      <c r="D555" s="1" t="n"/>
      <c r="E555" s="1" t="n"/>
      <c r="H555" s="1" t="inlineStr">
        <is>
          <t>b/f petty cash 上日备用金结转</t>
        </is>
      </c>
      <c r="I555" s="9">
        <f>IF($B547="","",B555)</f>
        <v/>
      </c>
      <c r="K555" s="1" t="n"/>
      <c r="L555" s="1" t="n"/>
    </row>
    <row r="556">
      <c r="A556" t="inlineStr">
        <is>
          <t>Total (A) 总计 (A)</t>
        </is>
      </c>
      <c r="B556" s="6">
        <f>IF($B547="","",ROUND(B553+B555,2))</f>
        <v/>
      </c>
      <c r="D556" t="inlineStr">
        <is>
          <t>Total(B) 总计 (B)</t>
        </is>
      </c>
      <c r="E556" s="6">
        <f>IF($B547="","",ROUND(E548+E549+E550+E551+E552+E553,2))</f>
        <v/>
      </c>
      <c r="H556" t="inlineStr">
        <is>
          <t>Total© 总计 (C)</t>
        </is>
      </c>
      <c r="I556" s="6">
        <f>IF($B547="","",ROUND(I553+I555,2))</f>
        <v/>
      </c>
      <c r="K556" t="inlineStr">
        <is>
          <t>Total(D) 总计 (D)</t>
        </is>
      </c>
      <c r="L556" s="6">
        <f>IF($B547="","",ROUND(L548+L549+L550+L551+L552+L553,2))</f>
        <v/>
      </c>
    </row>
    <row r="557">
      <c r="A557" s="14" t="inlineStr">
        <is>
          <t>Total = Amount 2 + b/f petty cash  (金额2 + 上日备用金)</t>
        </is>
      </c>
      <c r="H557" s="14" t="inlineStr">
        <is>
          <t>Total = Amount 2 + b/f petty cash  (金额2 + 上日备用金)</t>
        </is>
      </c>
    </row>
    <row r="558">
      <c r="A558" t="inlineStr">
        <is>
          <t>Different 差额</t>
        </is>
      </c>
      <c r="B558" s="6">
        <f>IF($B547="","",ROUND(B556-E556,2))</f>
        <v/>
      </c>
      <c r="D558">
        <f>IF($B547="","",IF(ABS(B558)&gt;'Opening Balance'!$B$16,"ALERT 警报: Different over RM"&amp;'Opening Balance'!$B$16&amp;" 差额超过RM"&amp;'Opening Balance'!$B$16&amp;" - please check 请检查",IF(B558=0,"Tied 平衡",IF(ABS(B558)&lt;='Opening Balance'!$B$13,"Small difference 小额差额: adjusted on c/f petty cash 已调整备用金",IF(B558&gt;0,"Short 短收: added to Misc Charges 已加入杂项费用","Over 多收: added to Cash Sales 已加入现金销售")))))</f>
        <v/>
      </c>
      <c r="H558" t="inlineStr">
        <is>
          <t>Different 差额</t>
        </is>
      </c>
      <c r="I558" s="6">
        <f>IF($B547="","",ROUND(I556-L556,2))</f>
        <v/>
      </c>
    </row>
    <row r="559"/>
    <row r="560"/>
    <row r="561">
      <c r="A561" t="inlineStr">
        <is>
          <t>Date 日期</t>
        </is>
      </c>
      <c r="B561" s="5">
        <f>IF('Daily Sale entry '!$A42="","",'Daily Sale entry '!$A42)</f>
        <v/>
      </c>
      <c r="H561" t="inlineStr">
        <is>
          <t>After 调整后 (After)</t>
        </is>
      </c>
      <c r="I561" s="5">
        <f>IF($B561="","",B561)</f>
        <v/>
      </c>
    </row>
    <row r="562">
      <c r="A562" t="inlineStr">
        <is>
          <t>Cash Sales 现金销售</t>
        </is>
      </c>
      <c r="B562" s="6">
        <f>IF($B561="","",'Daily Sale entry '!B42)</f>
        <v/>
      </c>
      <c r="D562" t="inlineStr">
        <is>
          <t>c/f petty cash 今日备用金结转</t>
        </is>
      </c>
      <c r="E562" s="6">
        <f>IF($B561="","",'Daily Sale entry '!G42)</f>
        <v/>
      </c>
      <c r="H562" t="inlineStr">
        <is>
          <t>Cash Sales 现金销售</t>
        </is>
      </c>
      <c r="I562" s="6">
        <f>IF($B561="","",IF(AND(ABS(B572)&gt;'Opening Balance'!$B$13,B572&lt;0),ROUND(B562-B572,2),B562))</f>
        <v/>
      </c>
      <c r="K562" t="inlineStr">
        <is>
          <t>c/f petty cash 今日备用金结转</t>
        </is>
      </c>
      <c r="L562" s="6">
        <f>IF($B561="","",IF(ABS(B572)&lt;='Opening Balance'!$B$13,ROUND(E562+B572,2),E562))</f>
        <v/>
      </c>
    </row>
    <row r="563">
      <c r="A563" t="inlineStr">
        <is>
          <t>Misc Charges 杂项费用</t>
        </is>
      </c>
      <c r="B563" s="6">
        <f>IF($B561="","",'Daily Sale entry '!C42)</f>
        <v/>
      </c>
      <c r="D563" t="inlineStr">
        <is>
          <t>cash collection 现金收款</t>
        </is>
      </c>
      <c r="E563" s="6">
        <f>IF($B561="","",'Daily Sale entry '!H42)</f>
        <v/>
      </c>
      <c r="H563" t="inlineStr">
        <is>
          <t>Misc Charges 杂项费用</t>
        </is>
      </c>
      <c r="I563" s="6">
        <f>IF($B561="","",IF(AND(ABS(B572)&gt;'Opening Balance'!$B$13,B572&gt;0),ROUND(B563+B572,2),B563))</f>
        <v/>
      </c>
      <c r="K563" t="inlineStr">
        <is>
          <t>cash collection 现金收款</t>
        </is>
      </c>
      <c r="L563" s="6">
        <f>IF($B561="","",E563)</f>
        <v/>
      </c>
    </row>
    <row r="564">
      <c r="A564" s="1" t="inlineStr">
        <is>
          <t>Other Charges 其他费用</t>
        </is>
      </c>
      <c r="B564" s="9">
        <f>IF($B561="","",'Daily Sale entry '!D42)</f>
        <v/>
      </c>
      <c r="D564" s="1" t="inlineStr">
        <is>
          <t>Cheque Collection 支票收款</t>
        </is>
      </c>
      <c r="E564" s="9">
        <f>IF($B561="","",'Daily Sale entry '!J42)</f>
        <v/>
      </c>
      <c r="H564" s="1" t="inlineStr">
        <is>
          <t>Other Charges 其他费用</t>
        </is>
      </c>
      <c r="I564" s="9">
        <f>IF($B561="","",B564)</f>
        <v/>
      </c>
      <c r="K564" s="1" t="inlineStr">
        <is>
          <t>Cheque Collection 支票收款</t>
        </is>
      </c>
      <c r="L564" s="9">
        <f>IF($B561="","",E564)</f>
        <v/>
      </c>
    </row>
    <row r="565">
      <c r="A565" s="10" t="inlineStr">
        <is>
          <t>Amount 金额  (Cash Sales - Misc - Other)</t>
        </is>
      </c>
      <c r="B565" s="11">
        <f>IF($B561="","",ROUND(B562-B563-B564,2))</f>
        <v/>
      </c>
      <c r="D565" s="12" t="inlineStr">
        <is>
          <t>TNG collection TNG收款</t>
        </is>
      </c>
      <c r="E565" s="13">
        <f>IF($B561="","",'Daily Sale entry '!K42)</f>
        <v/>
      </c>
      <c r="H565" s="10" t="inlineStr">
        <is>
          <t>Amount 金额  (Cash Sales - Misc - Other)</t>
        </is>
      </c>
      <c r="I565" s="11">
        <f>IF($B561="","",ROUND(I562-I563-I564,2))</f>
        <v/>
      </c>
      <c r="K565" s="12" t="inlineStr">
        <is>
          <t>TNG collection TNG收款</t>
        </is>
      </c>
      <c r="L565" s="13">
        <f>IF($B561="","",E565)</f>
        <v/>
      </c>
    </row>
    <row r="566">
      <c r="A566" t="inlineStr">
        <is>
          <t>Credit Collection 赊账收款</t>
        </is>
      </c>
      <c r="B566" s="6">
        <f>IF($B561="","",'Daily Sale entry '!E42)</f>
        <v/>
      </c>
      <c r="D566" t="inlineStr">
        <is>
          <t>Advance Salary_M 预支薪水_M</t>
        </is>
      </c>
      <c r="E566" s="6">
        <f>IF($B561="","",'Daily Sale entry '!L42)</f>
        <v/>
      </c>
      <c r="H566" t="inlineStr">
        <is>
          <t>Credit Collection 赊账收款</t>
        </is>
      </c>
      <c r="I566" s="6">
        <f>IF($B561="","",B566)</f>
        <v/>
      </c>
      <c r="K566" t="inlineStr">
        <is>
          <t>Advance Salary_M 预支薪水_M</t>
        </is>
      </c>
      <c r="L566" s="6">
        <f>IF($B561="","",E566)</f>
        <v/>
      </c>
    </row>
    <row r="567">
      <c r="A567" s="10" t="inlineStr">
        <is>
          <t>Amount 2 金额2  (Amount + Credit Collection)</t>
        </is>
      </c>
      <c r="B567" s="11">
        <f>IF($B561="","",ROUND(B565+B566,2))</f>
        <v/>
      </c>
      <c r="D567" t="inlineStr">
        <is>
          <t>Advance Salary_H 预支薪水_H</t>
        </is>
      </c>
      <c r="E567" s="6">
        <f>IF($B561="","",'Daily Sale entry '!M42)</f>
        <v/>
      </c>
      <c r="H567" s="10" t="inlineStr">
        <is>
          <t>Amount 2 金额2  (Amount + Credit Collection)</t>
        </is>
      </c>
      <c r="I567" s="11">
        <f>IF($B561="","",ROUND(I565+I566,2))</f>
        <v/>
      </c>
      <c r="K567" t="inlineStr">
        <is>
          <t>Advance Salary_H 预支薪水_H</t>
        </is>
      </c>
      <c r="L567" s="6">
        <f>IF($B561="","",E567)</f>
        <v/>
      </c>
    </row>
    <row r="568"/>
    <row r="569">
      <c r="A569" s="1" t="inlineStr">
        <is>
          <t>b/f petty cash 上日备用金结转</t>
        </is>
      </c>
      <c r="B569" s="9">
        <f>IF($B561="","",'Daily Sale entry '!F42)</f>
        <v/>
      </c>
      <c r="D569" s="1" t="n"/>
      <c r="E569" s="1" t="n"/>
      <c r="H569" s="1" t="inlineStr">
        <is>
          <t>b/f petty cash 上日备用金结转</t>
        </is>
      </c>
      <c r="I569" s="9">
        <f>IF($B561="","",B569)</f>
        <v/>
      </c>
      <c r="K569" s="1" t="n"/>
      <c r="L569" s="1" t="n"/>
    </row>
    <row r="570">
      <c r="A570" t="inlineStr">
        <is>
          <t>Total (A) 总计 (A)</t>
        </is>
      </c>
      <c r="B570" s="6">
        <f>IF($B561="","",ROUND(B567+B569,2))</f>
        <v/>
      </c>
      <c r="D570" t="inlineStr">
        <is>
          <t>Total(B) 总计 (B)</t>
        </is>
      </c>
      <c r="E570" s="6">
        <f>IF($B561="","",ROUND(E562+E563+E564+E565+E566+E567,2))</f>
        <v/>
      </c>
      <c r="H570" t="inlineStr">
        <is>
          <t>Total© 总计 (C)</t>
        </is>
      </c>
      <c r="I570" s="6">
        <f>IF($B561="","",ROUND(I567+I569,2))</f>
        <v/>
      </c>
      <c r="K570" t="inlineStr">
        <is>
          <t>Total(D) 总计 (D)</t>
        </is>
      </c>
      <c r="L570" s="6">
        <f>IF($B561="","",ROUND(L562+L563+L564+L565+L566+L567,2))</f>
        <v/>
      </c>
    </row>
    <row r="571">
      <c r="A571" s="14" t="inlineStr">
        <is>
          <t>Total = Amount 2 + b/f petty cash  (金额2 + 上日备用金)</t>
        </is>
      </c>
      <c r="H571" s="14" t="inlineStr">
        <is>
          <t>Total = Amount 2 + b/f petty cash  (金额2 + 上日备用金)</t>
        </is>
      </c>
    </row>
    <row r="572">
      <c r="A572" t="inlineStr">
        <is>
          <t>Different 差额</t>
        </is>
      </c>
      <c r="B572" s="6">
        <f>IF($B561="","",ROUND(B570-E570,2))</f>
        <v/>
      </c>
      <c r="D572">
        <f>IF($B561="","",IF(ABS(B572)&gt;'Opening Balance'!$B$16,"ALERT 警报: Different over RM"&amp;'Opening Balance'!$B$16&amp;" 差额超过RM"&amp;'Opening Balance'!$B$16&amp;" - please check 请检查",IF(B572=0,"Tied 平衡",IF(ABS(B572)&lt;='Opening Balance'!$B$13,"Small difference 小额差额: adjusted on c/f petty cash 已调整备用金",IF(B572&gt;0,"Short 短收: added to Misc Charges 已加入杂项费用","Over 多收: added to Cash Sales 已加入现金销售")))))</f>
        <v/>
      </c>
      <c r="H572" t="inlineStr">
        <is>
          <t>Different 差额</t>
        </is>
      </c>
      <c r="I572" s="6">
        <f>IF($B561="","",ROUND(I570-L570,2))</f>
        <v/>
      </c>
    </row>
    <row r="573"/>
    <row r="574"/>
    <row r="575">
      <c r="A575" t="inlineStr">
        <is>
          <t>Date 日期</t>
        </is>
      </c>
      <c r="B575" s="5">
        <f>IF('Daily Sale entry '!$A43="","",'Daily Sale entry '!$A43)</f>
        <v/>
      </c>
      <c r="H575" t="inlineStr">
        <is>
          <t>After 调整后 (After)</t>
        </is>
      </c>
      <c r="I575" s="5">
        <f>IF($B575="","",B575)</f>
        <v/>
      </c>
    </row>
    <row r="576">
      <c r="A576" t="inlineStr">
        <is>
          <t>Cash Sales 现金销售</t>
        </is>
      </c>
      <c r="B576" s="6">
        <f>IF($B575="","",'Daily Sale entry '!B43)</f>
        <v/>
      </c>
      <c r="D576" t="inlineStr">
        <is>
          <t>c/f petty cash 今日备用金结转</t>
        </is>
      </c>
      <c r="E576" s="6">
        <f>IF($B575="","",'Daily Sale entry '!G43)</f>
        <v/>
      </c>
      <c r="H576" t="inlineStr">
        <is>
          <t>Cash Sales 现金销售</t>
        </is>
      </c>
      <c r="I576" s="6">
        <f>IF($B575="","",IF(AND(ABS(B586)&gt;'Opening Balance'!$B$13,B586&lt;0),ROUND(B576-B586,2),B576))</f>
        <v/>
      </c>
      <c r="K576" t="inlineStr">
        <is>
          <t>c/f petty cash 今日备用金结转</t>
        </is>
      </c>
      <c r="L576" s="6">
        <f>IF($B575="","",IF(ABS(B586)&lt;='Opening Balance'!$B$13,ROUND(E576+B586,2),E576))</f>
        <v/>
      </c>
    </row>
    <row r="577">
      <c r="A577" t="inlineStr">
        <is>
          <t>Misc Charges 杂项费用</t>
        </is>
      </c>
      <c r="B577" s="6">
        <f>IF($B575="","",'Daily Sale entry '!C43)</f>
        <v/>
      </c>
      <c r="D577" t="inlineStr">
        <is>
          <t>cash collection 现金收款</t>
        </is>
      </c>
      <c r="E577" s="6">
        <f>IF($B575="","",'Daily Sale entry '!H43)</f>
        <v/>
      </c>
      <c r="H577" t="inlineStr">
        <is>
          <t>Misc Charges 杂项费用</t>
        </is>
      </c>
      <c r="I577" s="6">
        <f>IF($B575="","",IF(AND(ABS(B586)&gt;'Opening Balance'!$B$13,B586&gt;0),ROUND(B577+B586,2),B577))</f>
        <v/>
      </c>
      <c r="K577" t="inlineStr">
        <is>
          <t>cash collection 现金收款</t>
        </is>
      </c>
      <c r="L577" s="6">
        <f>IF($B575="","",E577)</f>
        <v/>
      </c>
    </row>
    <row r="578">
      <c r="A578" s="1" t="inlineStr">
        <is>
          <t>Other Charges 其他费用</t>
        </is>
      </c>
      <c r="B578" s="9">
        <f>IF($B575="","",'Daily Sale entry '!D43)</f>
        <v/>
      </c>
      <c r="D578" s="1" t="inlineStr">
        <is>
          <t>Cheque Collection 支票收款</t>
        </is>
      </c>
      <c r="E578" s="9">
        <f>IF($B575="","",'Daily Sale entry '!J43)</f>
        <v/>
      </c>
      <c r="H578" s="1" t="inlineStr">
        <is>
          <t>Other Charges 其他费用</t>
        </is>
      </c>
      <c r="I578" s="9">
        <f>IF($B575="","",B578)</f>
        <v/>
      </c>
      <c r="K578" s="1" t="inlineStr">
        <is>
          <t>Cheque Collection 支票收款</t>
        </is>
      </c>
      <c r="L578" s="9">
        <f>IF($B575="","",E578)</f>
        <v/>
      </c>
    </row>
    <row r="579">
      <c r="A579" s="10" t="inlineStr">
        <is>
          <t>Amount 金额  (Cash Sales - Misc - Other)</t>
        </is>
      </c>
      <c r="B579" s="11">
        <f>IF($B575="","",ROUND(B576-B577-B578,2))</f>
        <v/>
      </c>
      <c r="D579" s="12" t="inlineStr">
        <is>
          <t>TNG collection TNG收款</t>
        </is>
      </c>
      <c r="E579" s="13">
        <f>IF($B575="","",'Daily Sale entry '!K43)</f>
        <v/>
      </c>
      <c r="H579" s="10" t="inlineStr">
        <is>
          <t>Amount 金额  (Cash Sales - Misc - Other)</t>
        </is>
      </c>
      <c r="I579" s="11">
        <f>IF($B575="","",ROUND(I576-I577-I578,2))</f>
        <v/>
      </c>
      <c r="K579" s="12" t="inlineStr">
        <is>
          <t>TNG collection TNG收款</t>
        </is>
      </c>
      <c r="L579" s="13">
        <f>IF($B575="","",E579)</f>
        <v/>
      </c>
    </row>
    <row r="580">
      <c r="A580" t="inlineStr">
        <is>
          <t>Credit Collection 赊账收款</t>
        </is>
      </c>
      <c r="B580" s="6">
        <f>IF($B575="","",'Daily Sale entry '!E43)</f>
        <v/>
      </c>
      <c r="D580" t="inlineStr">
        <is>
          <t>Advance Salary_M 预支薪水_M</t>
        </is>
      </c>
      <c r="E580" s="6">
        <f>IF($B575="","",'Daily Sale entry '!L43)</f>
        <v/>
      </c>
      <c r="H580" t="inlineStr">
        <is>
          <t>Credit Collection 赊账收款</t>
        </is>
      </c>
      <c r="I580" s="6">
        <f>IF($B575="","",B580)</f>
        <v/>
      </c>
      <c r="K580" t="inlineStr">
        <is>
          <t>Advance Salary_M 预支薪水_M</t>
        </is>
      </c>
      <c r="L580" s="6">
        <f>IF($B575="","",E580)</f>
        <v/>
      </c>
    </row>
    <row r="581">
      <c r="A581" s="10" t="inlineStr">
        <is>
          <t>Amount 2 金额2  (Amount + Credit Collection)</t>
        </is>
      </c>
      <c r="B581" s="11">
        <f>IF($B575="","",ROUND(B579+B580,2))</f>
        <v/>
      </c>
      <c r="D581" t="inlineStr">
        <is>
          <t>Advance Salary_H 预支薪水_H</t>
        </is>
      </c>
      <c r="E581" s="6">
        <f>IF($B575="","",'Daily Sale entry '!M43)</f>
        <v/>
      </c>
      <c r="H581" s="10" t="inlineStr">
        <is>
          <t>Amount 2 金额2  (Amount + Credit Collection)</t>
        </is>
      </c>
      <c r="I581" s="11">
        <f>IF($B575="","",ROUND(I579+I580,2))</f>
        <v/>
      </c>
      <c r="K581" t="inlineStr">
        <is>
          <t>Advance Salary_H 预支薪水_H</t>
        </is>
      </c>
      <c r="L581" s="6">
        <f>IF($B575="","",E581)</f>
        <v/>
      </c>
    </row>
    <row r="582"/>
    <row r="583">
      <c r="A583" s="1" t="inlineStr">
        <is>
          <t>b/f petty cash 上日备用金结转</t>
        </is>
      </c>
      <c r="B583" s="9">
        <f>IF($B575="","",'Daily Sale entry '!F43)</f>
        <v/>
      </c>
      <c r="D583" s="1" t="n"/>
      <c r="E583" s="1" t="n"/>
      <c r="H583" s="1" t="inlineStr">
        <is>
          <t>b/f petty cash 上日备用金结转</t>
        </is>
      </c>
      <c r="I583" s="9">
        <f>IF($B575="","",B583)</f>
        <v/>
      </c>
      <c r="K583" s="1" t="n"/>
      <c r="L583" s="1" t="n"/>
    </row>
    <row r="584">
      <c r="A584" t="inlineStr">
        <is>
          <t>Total (A) 总计 (A)</t>
        </is>
      </c>
      <c r="B584" s="6">
        <f>IF($B575="","",ROUND(B581+B583,2))</f>
        <v/>
      </c>
      <c r="D584" t="inlineStr">
        <is>
          <t>Total(B) 总计 (B)</t>
        </is>
      </c>
      <c r="E584" s="6">
        <f>IF($B575="","",ROUND(E576+E577+E578+E579+E580+E581,2))</f>
        <v/>
      </c>
      <c r="H584" t="inlineStr">
        <is>
          <t>Total© 总计 (C)</t>
        </is>
      </c>
      <c r="I584" s="6">
        <f>IF($B575="","",ROUND(I581+I583,2))</f>
        <v/>
      </c>
      <c r="K584" t="inlineStr">
        <is>
          <t>Total(D) 总计 (D)</t>
        </is>
      </c>
      <c r="L584" s="6">
        <f>IF($B575="","",ROUND(L576+L577+L578+L579+L580+L581,2))</f>
        <v/>
      </c>
    </row>
    <row r="585">
      <c r="A585" s="14" t="inlineStr">
        <is>
          <t>Total = Amount 2 + b/f petty cash  (金额2 + 上日备用金)</t>
        </is>
      </c>
      <c r="H585" s="14" t="inlineStr">
        <is>
          <t>Total = Amount 2 + b/f petty cash  (金额2 + 上日备用金)</t>
        </is>
      </c>
    </row>
    <row r="586">
      <c r="A586" t="inlineStr">
        <is>
          <t>Different 差额</t>
        </is>
      </c>
      <c r="B586" s="6">
        <f>IF($B575="","",ROUND(B584-E584,2))</f>
        <v/>
      </c>
      <c r="D586">
        <f>IF($B575="","",IF(ABS(B586)&gt;'Opening Balance'!$B$16,"ALERT 警报: Different over RM"&amp;'Opening Balance'!$B$16&amp;" 差额超过RM"&amp;'Opening Balance'!$B$16&amp;" - please check 请检查",IF(B586=0,"Tied 平衡",IF(ABS(B586)&lt;='Opening Balance'!$B$13,"Small difference 小额差额: adjusted on c/f petty cash 已调整备用金",IF(B586&gt;0,"Short 短收: added to Misc Charges 已加入杂项费用","Over 多收: added to Cash Sales 已加入现金销售")))))</f>
        <v/>
      </c>
      <c r="H586" t="inlineStr">
        <is>
          <t>Different 差额</t>
        </is>
      </c>
      <c r="I586" s="6">
        <f>IF($B575="","",ROUND(I584-L584,2))</f>
        <v/>
      </c>
    </row>
    <row r="587"/>
    <row r="588"/>
    <row r="589">
      <c r="A589" t="inlineStr">
        <is>
          <t>Date 日期</t>
        </is>
      </c>
      <c r="B589" s="5">
        <f>IF('Daily Sale entry '!$A44="","",'Daily Sale entry '!$A44)</f>
        <v/>
      </c>
      <c r="H589" t="inlineStr">
        <is>
          <t>After 调整后 (After)</t>
        </is>
      </c>
      <c r="I589" s="5">
        <f>IF($B589="","",B589)</f>
        <v/>
      </c>
    </row>
    <row r="590">
      <c r="A590" t="inlineStr">
        <is>
          <t>Cash Sales 现金销售</t>
        </is>
      </c>
      <c r="B590" s="6">
        <f>IF($B589="","",'Daily Sale entry '!B44)</f>
        <v/>
      </c>
      <c r="D590" t="inlineStr">
        <is>
          <t>c/f petty cash 今日备用金结转</t>
        </is>
      </c>
      <c r="E590" s="6">
        <f>IF($B589="","",'Daily Sale entry '!G44)</f>
        <v/>
      </c>
      <c r="H590" t="inlineStr">
        <is>
          <t>Cash Sales 现金销售</t>
        </is>
      </c>
      <c r="I590" s="6">
        <f>IF($B589="","",IF(AND(ABS(B600)&gt;'Opening Balance'!$B$13,B600&lt;0),ROUND(B590-B600,2),B590))</f>
        <v/>
      </c>
      <c r="K590" t="inlineStr">
        <is>
          <t>c/f petty cash 今日备用金结转</t>
        </is>
      </c>
      <c r="L590" s="6">
        <f>IF($B589="","",IF(ABS(B600)&lt;='Opening Balance'!$B$13,ROUND(E590+B600,2),E590))</f>
        <v/>
      </c>
    </row>
    <row r="591">
      <c r="A591" t="inlineStr">
        <is>
          <t>Misc Charges 杂项费用</t>
        </is>
      </c>
      <c r="B591" s="6">
        <f>IF($B589="","",'Daily Sale entry '!C44)</f>
        <v/>
      </c>
      <c r="D591" t="inlineStr">
        <is>
          <t>cash collection 现金收款</t>
        </is>
      </c>
      <c r="E591" s="6">
        <f>IF($B589="","",'Daily Sale entry '!H44)</f>
        <v/>
      </c>
      <c r="H591" t="inlineStr">
        <is>
          <t>Misc Charges 杂项费用</t>
        </is>
      </c>
      <c r="I591" s="6">
        <f>IF($B589="","",IF(AND(ABS(B600)&gt;'Opening Balance'!$B$13,B600&gt;0),ROUND(B591+B600,2),B591))</f>
        <v/>
      </c>
      <c r="K591" t="inlineStr">
        <is>
          <t>cash collection 现金收款</t>
        </is>
      </c>
      <c r="L591" s="6">
        <f>IF($B589="","",E591)</f>
        <v/>
      </c>
    </row>
    <row r="592">
      <c r="A592" s="1" t="inlineStr">
        <is>
          <t>Other Charges 其他费用</t>
        </is>
      </c>
      <c r="B592" s="9">
        <f>IF($B589="","",'Daily Sale entry '!D44)</f>
        <v/>
      </c>
      <c r="D592" s="1" t="inlineStr">
        <is>
          <t>Cheque Collection 支票收款</t>
        </is>
      </c>
      <c r="E592" s="9">
        <f>IF($B589="","",'Daily Sale entry '!J44)</f>
        <v/>
      </c>
      <c r="H592" s="1" t="inlineStr">
        <is>
          <t>Other Charges 其他费用</t>
        </is>
      </c>
      <c r="I592" s="9">
        <f>IF($B589="","",B592)</f>
        <v/>
      </c>
      <c r="K592" s="1" t="inlineStr">
        <is>
          <t>Cheque Collection 支票收款</t>
        </is>
      </c>
      <c r="L592" s="9">
        <f>IF($B589="","",E592)</f>
        <v/>
      </c>
    </row>
    <row r="593">
      <c r="A593" s="10" t="inlineStr">
        <is>
          <t>Amount 金额  (Cash Sales - Misc - Other)</t>
        </is>
      </c>
      <c r="B593" s="11">
        <f>IF($B589="","",ROUND(B590-B591-B592,2))</f>
        <v/>
      </c>
      <c r="D593" s="12" t="inlineStr">
        <is>
          <t>TNG collection TNG收款</t>
        </is>
      </c>
      <c r="E593" s="13">
        <f>IF($B589="","",'Daily Sale entry '!K44)</f>
        <v/>
      </c>
      <c r="H593" s="10" t="inlineStr">
        <is>
          <t>Amount 金额  (Cash Sales - Misc - Other)</t>
        </is>
      </c>
      <c r="I593" s="11">
        <f>IF($B589="","",ROUND(I590-I591-I592,2))</f>
        <v/>
      </c>
      <c r="K593" s="12" t="inlineStr">
        <is>
          <t>TNG collection TNG收款</t>
        </is>
      </c>
      <c r="L593" s="13">
        <f>IF($B589="","",E593)</f>
        <v/>
      </c>
    </row>
    <row r="594">
      <c r="A594" t="inlineStr">
        <is>
          <t>Credit Collection 赊账收款</t>
        </is>
      </c>
      <c r="B594" s="6">
        <f>IF($B589="","",'Daily Sale entry '!E44)</f>
        <v/>
      </c>
      <c r="D594" t="inlineStr">
        <is>
          <t>Advance Salary_M 预支薪水_M</t>
        </is>
      </c>
      <c r="E594" s="6">
        <f>IF($B589="","",'Daily Sale entry '!L44)</f>
        <v/>
      </c>
      <c r="H594" t="inlineStr">
        <is>
          <t>Credit Collection 赊账收款</t>
        </is>
      </c>
      <c r="I594" s="6">
        <f>IF($B589="","",B594)</f>
        <v/>
      </c>
      <c r="K594" t="inlineStr">
        <is>
          <t>Advance Salary_M 预支薪水_M</t>
        </is>
      </c>
      <c r="L594" s="6">
        <f>IF($B589="","",E594)</f>
        <v/>
      </c>
    </row>
    <row r="595">
      <c r="A595" s="10" t="inlineStr">
        <is>
          <t>Amount 2 金额2  (Amount + Credit Collection)</t>
        </is>
      </c>
      <c r="B595" s="11">
        <f>IF($B589="","",ROUND(B593+B594,2))</f>
        <v/>
      </c>
      <c r="D595" t="inlineStr">
        <is>
          <t>Advance Salary_H 预支薪水_H</t>
        </is>
      </c>
      <c r="E595" s="6">
        <f>IF($B589="","",'Daily Sale entry '!M44)</f>
        <v/>
      </c>
      <c r="H595" s="10" t="inlineStr">
        <is>
          <t>Amount 2 金额2  (Amount + Credit Collection)</t>
        </is>
      </c>
      <c r="I595" s="11">
        <f>IF($B589="","",ROUND(I593+I594,2))</f>
        <v/>
      </c>
      <c r="K595" t="inlineStr">
        <is>
          <t>Advance Salary_H 预支薪水_H</t>
        </is>
      </c>
      <c r="L595" s="6">
        <f>IF($B589="","",E595)</f>
        <v/>
      </c>
    </row>
    <row r="596"/>
    <row r="597">
      <c r="A597" s="1" t="inlineStr">
        <is>
          <t>b/f petty cash 上日备用金结转</t>
        </is>
      </c>
      <c r="B597" s="9">
        <f>IF($B589="","",'Daily Sale entry '!F44)</f>
        <v/>
      </c>
      <c r="D597" s="1" t="n"/>
      <c r="E597" s="1" t="n"/>
      <c r="H597" s="1" t="inlineStr">
        <is>
          <t>b/f petty cash 上日备用金结转</t>
        </is>
      </c>
      <c r="I597" s="9">
        <f>IF($B589="","",B597)</f>
        <v/>
      </c>
      <c r="K597" s="1" t="n"/>
      <c r="L597" s="1" t="n"/>
    </row>
    <row r="598">
      <c r="A598" t="inlineStr">
        <is>
          <t>Total (A) 总计 (A)</t>
        </is>
      </c>
      <c r="B598" s="6">
        <f>IF($B589="","",ROUND(B595+B597,2))</f>
        <v/>
      </c>
      <c r="D598" t="inlineStr">
        <is>
          <t>Total(B) 总计 (B)</t>
        </is>
      </c>
      <c r="E598" s="6">
        <f>IF($B589="","",ROUND(E590+E591+E592+E593+E594+E595,2))</f>
        <v/>
      </c>
      <c r="H598" t="inlineStr">
        <is>
          <t>Total© 总计 (C)</t>
        </is>
      </c>
      <c r="I598" s="6">
        <f>IF($B589="","",ROUND(I595+I597,2))</f>
        <v/>
      </c>
      <c r="K598" t="inlineStr">
        <is>
          <t>Total(D) 总计 (D)</t>
        </is>
      </c>
      <c r="L598" s="6">
        <f>IF($B589="","",ROUND(L590+L591+L592+L593+L594+L595,2))</f>
        <v/>
      </c>
    </row>
    <row r="599">
      <c r="A599" s="14" t="inlineStr">
        <is>
          <t>Total = Amount 2 + b/f petty cash  (金额2 + 上日备用金)</t>
        </is>
      </c>
      <c r="H599" s="14" t="inlineStr">
        <is>
          <t>Total = Amount 2 + b/f petty cash  (金额2 + 上日备用金)</t>
        </is>
      </c>
    </row>
    <row r="600">
      <c r="A600" t="inlineStr">
        <is>
          <t>Different 差额</t>
        </is>
      </c>
      <c r="B600" s="6">
        <f>IF($B589="","",ROUND(B598-E598,2))</f>
        <v/>
      </c>
      <c r="D600">
        <f>IF($B589="","",IF(ABS(B600)&gt;'Opening Balance'!$B$16,"ALERT 警报: Different over RM"&amp;'Opening Balance'!$B$16&amp;" 差额超过RM"&amp;'Opening Balance'!$B$16&amp;" - please check 请检查",IF(B600=0,"Tied 平衡",IF(ABS(B600)&lt;='Opening Balance'!$B$13,"Small difference 小额差额: adjusted on c/f petty cash 已调整备用金",IF(B600&gt;0,"Short 短收: added to Misc Charges 已加入杂项费用","Over 多收: added to Cash Sales 已加入现金销售")))))</f>
        <v/>
      </c>
      <c r="H600" t="inlineStr">
        <is>
          <t>Different 差额</t>
        </is>
      </c>
      <c r="I600" s="6">
        <f>IF($B589="","",ROUND(I598-L598,2))</f>
        <v/>
      </c>
    </row>
    <row r="601"/>
    <row r="602"/>
    <row r="603">
      <c r="A603" t="inlineStr">
        <is>
          <t>Date 日期</t>
        </is>
      </c>
      <c r="B603" s="5">
        <f>IF('Daily Sale entry '!$A45="","",'Daily Sale entry '!$A45)</f>
        <v/>
      </c>
      <c r="H603" t="inlineStr">
        <is>
          <t>After 调整后 (After)</t>
        </is>
      </c>
      <c r="I603" s="5">
        <f>IF($B603="","",B603)</f>
        <v/>
      </c>
    </row>
    <row r="604">
      <c r="A604" t="inlineStr">
        <is>
          <t>Cash Sales 现金销售</t>
        </is>
      </c>
      <c r="B604" s="6">
        <f>IF($B603="","",'Daily Sale entry '!B45)</f>
        <v/>
      </c>
      <c r="D604" t="inlineStr">
        <is>
          <t>c/f petty cash 今日备用金结转</t>
        </is>
      </c>
      <c r="E604" s="6">
        <f>IF($B603="","",'Daily Sale entry '!G45)</f>
        <v/>
      </c>
      <c r="H604" t="inlineStr">
        <is>
          <t>Cash Sales 现金销售</t>
        </is>
      </c>
      <c r="I604" s="6">
        <f>IF($B603="","",IF(AND(ABS(B614)&gt;'Opening Balance'!$B$13,B614&lt;0),ROUND(B604-B614,2),B604))</f>
        <v/>
      </c>
      <c r="K604" t="inlineStr">
        <is>
          <t>c/f petty cash 今日备用金结转</t>
        </is>
      </c>
      <c r="L604" s="6">
        <f>IF($B603="","",IF(ABS(B614)&lt;='Opening Balance'!$B$13,ROUND(E604+B614,2),E604))</f>
        <v/>
      </c>
    </row>
    <row r="605">
      <c r="A605" t="inlineStr">
        <is>
          <t>Misc Charges 杂项费用</t>
        </is>
      </c>
      <c r="B605" s="6">
        <f>IF($B603="","",'Daily Sale entry '!C45)</f>
        <v/>
      </c>
      <c r="D605" t="inlineStr">
        <is>
          <t>cash collection 现金收款</t>
        </is>
      </c>
      <c r="E605" s="6">
        <f>IF($B603="","",'Daily Sale entry '!H45)</f>
        <v/>
      </c>
      <c r="H605" t="inlineStr">
        <is>
          <t>Misc Charges 杂项费用</t>
        </is>
      </c>
      <c r="I605" s="6">
        <f>IF($B603="","",IF(AND(ABS(B614)&gt;'Opening Balance'!$B$13,B614&gt;0),ROUND(B605+B614,2),B605))</f>
        <v/>
      </c>
      <c r="K605" t="inlineStr">
        <is>
          <t>cash collection 现金收款</t>
        </is>
      </c>
      <c r="L605" s="6">
        <f>IF($B603="","",E605)</f>
        <v/>
      </c>
    </row>
    <row r="606">
      <c r="A606" s="1" t="inlineStr">
        <is>
          <t>Other Charges 其他费用</t>
        </is>
      </c>
      <c r="B606" s="9">
        <f>IF($B603="","",'Daily Sale entry '!D45)</f>
        <v/>
      </c>
      <c r="D606" s="1" t="inlineStr">
        <is>
          <t>Cheque Collection 支票收款</t>
        </is>
      </c>
      <c r="E606" s="9">
        <f>IF($B603="","",'Daily Sale entry '!J45)</f>
        <v/>
      </c>
      <c r="H606" s="1" t="inlineStr">
        <is>
          <t>Other Charges 其他费用</t>
        </is>
      </c>
      <c r="I606" s="9">
        <f>IF($B603="","",B606)</f>
        <v/>
      </c>
      <c r="K606" s="1" t="inlineStr">
        <is>
          <t>Cheque Collection 支票收款</t>
        </is>
      </c>
      <c r="L606" s="9">
        <f>IF($B603="","",E606)</f>
        <v/>
      </c>
    </row>
    <row r="607">
      <c r="A607" s="10" t="inlineStr">
        <is>
          <t>Amount 金额  (Cash Sales - Misc - Other)</t>
        </is>
      </c>
      <c r="B607" s="11">
        <f>IF($B603="","",ROUND(B604-B605-B606,2))</f>
        <v/>
      </c>
      <c r="D607" s="12" t="inlineStr">
        <is>
          <t>TNG collection TNG收款</t>
        </is>
      </c>
      <c r="E607" s="13">
        <f>IF($B603="","",'Daily Sale entry '!K45)</f>
        <v/>
      </c>
      <c r="H607" s="10" t="inlineStr">
        <is>
          <t>Amount 金额  (Cash Sales - Misc - Other)</t>
        </is>
      </c>
      <c r="I607" s="11">
        <f>IF($B603="","",ROUND(I604-I605-I606,2))</f>
        <v/>
      </c>
      <c r="K607" s="12" t="inlineStr">
        <is>
          <t>TNG collection TNG收款</t>
        </is>
      </c>
      <c r="L607" s="13">
        <f>IF($B603="","",E607)</f>
        <v/>
      </c>
    </row>
    <row r="608">
      <c r="A608" t="inlineStr">
        <is>
          <t>Credit Collection 赊账收款</t>
        </is>
      </c>
      <c r="B608" s="6">
        <f>IF($B603="","",'Daily Sale entry '!E45)</f>
        <v/>
      </c>
      <c r="D608" t="inlineStr">
        <is>
          <t>Advance Salary_M 预支薪水_M</t>
        </is>
      </c>
      <c r="E608" s="6">
        <f>IF($B603="","",'Daily Sale entry '!L45)</f>
        <v/>
      </c>
      <c r="H608" t="inlineStr">
        <is>
          <t>Credit Collection 赊账收款</t>
        </is>
      </c>
      <c r="I608" s="6">
        <f>IF($B603="","",B608)</f>
        <v/>
      </c>
      <c r="K608" t="inlineStr">
        <is>
          <t>Advance Salary_M 预支薪水_M</t>
        </is>
      </c>
      <c r="L608" s="6">
        <f>IF($B603="","",E608)</f>
        <v/>
      </c>
    </row>
    <row r="609">
      <c r="A609" s="10" t="inlineStr">
        <is>
          <t>Amount 2 金额2  (Amount + Credit Collection)</t>
        </is>
      </c>
      <c r="B609" s="11">
        <f>IF($B603="","",ROUND(B607+B608,2))</f>
        <v/>
      </c>
      <c r="D609" t="inlineStr">
        <is>
          <t>Advance Salary_H 预支薪水_H</t>
        </is>
      </c>
      <c r="E609" s="6">
        <f>IF($B603="","",'Daily Sale entry '!M45)</f>
        <v/>
      </c>
      <c r="H609" s="10" t="inlineStr">
        <is>
          <t>Amount 2 金额2  (Amount + Credit Collection)</t>
        </is>
      </c>
      <c r="I609" s="11">
        <f>IF($B603="","",ROUND(I607+I608,2))</f>
        <v/>
      </c>
      <c r="K609" t="inlineStr">
        <is>
          <t>Advance Salary_H 预支薪水_H</t>
        </is>
      </c>
      <c r="L609" s="6">
        <f>IF($B603="","",E609)</f>
        <v/>
      </c>
    </row>
    <row r="610"/>
    <row r="611">
      <c r="A611" s="1" t="inlineStr">
        <is>
          <t>b/f petty cash 上日备用金结转</t>
        </is>
      </c>
      <c r="B611" s="9">
        <f>IF($B603="","",'Daily Sale entry '!F45)</f>
        <v/>
      </c>
      <c r="D611" s="1" t="n"/>
      <c r="E611" s="1" t="n"/>
      <c r="H611" s="1" t="inlineStr">
        <is>
          <t>b/f petty cash 上日备用金结转</t>
        </is>
      </c>
      <c r="I611" s="9">
        <f>IF($B603="","",B611)</f>
        <v/>
      </c>
      <c r="K611" s="1" t="n"/>
      <c r="L611" s="1" t="n"/>
    </row>
    <row r="612">
      <c r="A612" t="inlineStr">
        <is>
          <t>Total (A) 总计 (A)</t>
        </is>
      </c>
      <c r="B612" s="6">
        <f>IF($B603="","",ROUND(B609+B611,2))</f>
        <v/>
      </c>
      <c r="D612" t="inlineStr">
        <is>
          <t>Total(B) 总计 (B)</t>
        </is>
      </c>
      <c r="E612" s="6">
        <f>IF($B603="","",ROUND(E604+E605+E606+E607+E608+E609,2))</f>
        <v/>
      </c>
      <c r="H612" t="inlineStr">
        <is>
          <t>Total© 总计 (C)</t>
        </is>
      </c>
      <c r="I612" s="6">
        <f>IF($B603="","",ROUND(I609+I611,2))</f>
        <v/>
      </c>
      <c r="K612" t="inlineStr">
        <is>
          <t>Total(D) 总计 (D)</t>
        </is>
      </c>
      <c r="L612" s="6">
        <f>IF($B603="","",ROUND(L604+L605+L606+L607+L608+L609,2))</f>
        <v/>
      </c>
    </row>
    <row r="613">
      <c r="A613" s="14" t="inlineStr">
        <is>
          <t>Total = Amount 2 + b/f petty cash  (金额2 + 上日备用金)</t>
        </is>
      </c>
      <c r="H613" s="14" t="inlineStr">
        <is>
          <t>Total = Amount 2 + b/f petty cash  (金额2 + 上日备用金)</t>
        </is>
      </c>
    </row>
    <row r="614">
      <c r="A614" t="inlineStr">
        <is>
          <t>Different 差额</t>
        </is>
      </c>
      <c r="B614" s="6">
        <f>IF($B603="","",ROUND(B612-E612,2))</f>
        <v/>
      </c>
      <c r="D614">
        <f>IF($B603="","",IF(ABS(B614)&gt;'Opening Balance'!$B$16,"ALERT 警报: Different over RM"&amp;'Opening Balance'!$B$16&amp;" 差额超过RM"&amp;'Opening Balance'!$B$16&amp;" - please check 请检查",IF(B614=0,"Tied 平衡",IF(ABS(B614)&lt;='Opening Balance'!$B$13,"Small difference 小额差额: adjusted on c/f petty cash 已调整备用金",IF(B614&gt;0,"Short 短收: added to Misc Charges 已加入杂项费用","Over 多收: added to Cash Sales 已加入现金销售")))))</f>
        <v/>
      </c>
      <c r="H614" t="inlineStr">
        <is>
          <t>Different 差额</t>
        </is>
      </c>
      <c r="I614" s="6">
        <f>IF($B603="","",ROUND(I612-L612,2))</f>
        <v/>
      </c>
    </row>
    <row r="615"/>
    <row r="616"/>
    <row r="617">
      <c r="A617" t="inlineStr">
        <is>
          <t>Date 日期</t>
        </is>
      </c>
      <c r="B617" s="5">
        <f>IF('Daily Sale entry '!$A46="","",'Daily Sale entry '!$A46)</f>
        <v/>
      </c>
      <c r="H617" t="inlineStr">
        <is>
          <t>After 调整后 (After)</t>
        </is>
      </c>
      <c r="I617" s="5">
        <f>IF($B617="","",B617)</f>
        <v/>
      </c>
    </row>
    <row r="618">
      <c r="A618" t="inlineStr">
        <is>
          <t>Cash Sales 现金销售</t>
        </is>
      </c>
      <c r="B618" s="6">
        <f>IF($B617="","",'Daily Sale entry '!B46)</f>
        <v/>
      </c>
      <c r="D618" t="inlineStr">
        <is>
          <t>c/f petty cash 今日备用金结转</t>
        </is>
      </c>
      <c r="E618" s="6">
        <f>IF($B617="","",'Daily Sale entry '!G46)</f>
        <v/>
      </c>
      <c r="H618" t="inlineStr">
        <is>
          <t>Cash Sales 现金销售</t>
        </is>
      </c>
      <c r="I618" s="6">
        <f>IF($B617="","",IF(AND(ABS(B628)&gt;'Opening Balance'!$B$13,B628&lt;0),ROUND(B618-B628,2),B618))</f>
        <v/>
      </c>
      <c r="K618" t="inlineStr">
        <is>
          <t>c/f petty cash 今日备用金结转</t>
        </is>
      </c>
      <c r="L618" s="6">
        <f>IF($B617="","",IF(ABS(B628)&lt;='Opening Balance'!$B$13,ROUND(E618+B628,2),E618))</f>
        <v/>
      </c>
    </row>
    <row r="619">
      <c r="A619" t="inlineStr">
        <is>
          <t>Misc Charges 杂项费用</t>
        </is>
      </c>
      <c r="B619" s="6">
        <f>IF($B617="","",'Daily Sale entry '!C46)</f>
        <v/>
      </c>
      <c r="D619" t="inlineStr">
        <is>
          <t>cash collection 现金收款</t>
        </is>
      </c>
      <c r="E619" s="6">
        <f>IF($B617="","",'Daily Sale entry '!H46)</f>
        <v/>
      </c>
      <c r="H619" t="inlineStr">
        <is>
          <t>Misc Charges 杂项费用</t>
        </is>
      </c>
      <c r="I619" s="6">
        <f>IF($B617="","",IF(AND(ABS(B628)&gt;'Opening Balance'!$B$13,B628&gt;0),ROUND(B619+B628,2),B619))</f>
        <v/>
      </c>
      <c r="K619" t="inlineStr">
        <is>
          <t>cash collection 现金收款</t>
        </is>
      </c>
      <c r="L619" s="6">
        <f>IF($B617="","",E619)</f>
        <v/>
      </c>
    </row>
    <row r="620">
      <c r="A620" s="1" t="inlineStr">
        <is>
          <t>Other Charges 其他费用</t>
        </is>
      </c>
      <c r="B620" s="9">
        <f>IF($B617="","",'Daily Sale entry '!D46)</f>
        <v/>
      </c>
      <c r="D620" s="1" t="inlineStr">
        <is>
          <t>Cheque Collection 支票收款</t>
        </is>
      </c>
      <c r="E620" s="9">
        <f>IF($B617="","",'Daily Sale entry '!J46)</f>
        <v/>
      </c>
      <c r="H620" s="1" t="inlineStr">
        <is>
          <t>Other Charges 其他费用</t>
        </is>
      </c>
      <c r="I620" s="9">
        <f>IF($B617="","",B620)</f>
        <v/>
      </c>
      <c r="K620" s="1" t="inlineStr">
        <is>
          <t>Cheque Collection 支票收款</t>
        </is>
      </c>
      <c r="L620" s="9">
        <f>IF($B617="","",E620)</f>
        <v/>
      </c>
    </row>
    <row r="621">
      <c r="A621" s="10" t="inlineStr">
        <is>
          <t>Amount 金额  (Cash Sales - Misc - Other)</t>
        </is>
      </c>
      <c r="B621" s="11">
        <f>IF($B617="","",ROUND(B618-B619-B620,2))</f>
        <v/>
      </c>
      <c r="D621" s="12" t="inlineStr">
        <is>
          <t>TNG collection TNG收款</t>
        </is>
      </c>
      <c r="E621" s="13">
        <f>IF($B617="","",'Daily Sale entry '!K46)</f>
        <v/>
      </c>
      <c r="H621" s="10" t="inlineStr">
        <is>
          <t>Amount 金额  (Cash Sales - Misc - Other)</t>
        </is>
      </c>
      <c r="I621" s="11">
        <f>IF($B617="","",ROUND(I618-I619-I620,2))</f>
        <v/>
      </c>
      <c r="K621" s="12" t="inlineStr">
        <is>
          <t>TNG collection TNG收款</t>
        </is>
      </c>
      <c r="L621" s="13">
        <f>IF($B617="","",E621)</f>
        <v/>
      </c>
    </row>
    <row r="622">
      <c r="A622" t="inlineStr">
        <is>
          <t>Credit Collection 赊账收款</t>
        </is>
      </c>
      <c r="B622" s="6">
        <f>IF($B617="","",'Daily Sale entry '!E46)</f>
        <v/>
      </c>
      <c r="D622" t="inlineStr">
        <is>
          <t>Advance Salary_M 预支薪水_M</t>
        </is>
      </c>
      <c r="E622" s="6">
        <f>IF($B617="","",'Daily Sale entry '!L46)</f>
        <v/>
      </c>
      <c r="H622" t="inlineStr">
        <is>
          <t>Credit Collection 赊账收款</t>
        </is>
      </c>
      <c r="I622" s="6">
        <f>IF($B617="","",B622)</f>
        <v/>
      </c>
      <c r="K622" t="inlineStr">
        <is>
          <t>Advance Salary_M 预支薪水_M</t>
        </is>
      </c>
      <c r="L622" s="6">
        <f>IF($B617="","",E622)</f>
        <v/>
      </c>
    </row>
    <row r="623">
      <c r="A623" s="10" t="inlineStr">
        <is>
          <t>Amount 2 金额2  (Amount + Credit Collection)</t>
        </is>
      </c>
      <c r="B623" s="11">
        <f>IF($B617="","",ROUND(B621+B622,2))</f>
        <v/>
      </c>
      <c r="D623" t="inlineStr">
        <is>
          <t>Advance Salary_H 预支薪水_H</t>
        </is>
      </c>
      <c r="E623" s="6">
        <f>IF($B617="","",'Daily Sale entry '!M46)</f>
        <v/>
      </c>
      <c r="H623" s="10" t="inlineStr">
        <is>
          <t>Amount 2 金额2  (Amount + Credit Collection)</t>
        </is>
      </c>
      <c r="I623" s="11">
        <f>IF($B617="","",ROUND(I621+I622,2))</f>
        <v/>
      </c>
      <c r="K623" t="inlineStr">
        <is>
          <t>Advance Salary_H 预支薪水_H</t>
        </is>
      </c>
      <c r="L623" s="6">
        <f>IF($B617="","",E623)</f>
        <v/>
      </c>
    </row>
    <row r="624"/>
    <row r="625">
      <c r="A625" s="1" t="inlineStr">
        <is>
          <t>b/f petty cash 上日备用金结转</t>
        </is>
      </c>
      <c r="B625" s="9">
        <f>IF($B617="","",'Daily Sale entry '!F46)</f>
        <v/>
      </c>
      <c r="D625" s="1" t="n"/>
      <c r="E625" s="1" t="n"/>
      <c r="H625" s="1" t="inlineStr">
        <is>
          <t>b/f petty cash 上日备用金结转</t>
        </is>
      </c>
      <c r="I625" s="9">
        <f>IF($B617="","",B625)</f>
        <v/>
      </c>
      <c r="K625" s="1" t="n"/>
      <c r="L625" s="1" t="n"/>
    </row>
    <row r="626">
      <c r="A626" t="inlineStr">
        <is>
          <t>Total (A) 总计 (A)</t>
        </is>
      </c>
      <c r="B626" s="6">
        <f>IF($B617="","",ROUND(B623+B625,2))</f>
        <v/>
      </c>
      <c r="D626" t="inlineStr">
        <is>
          <t>Total(B) 总计 (B)</t>
        </is>
      </c>
      <c r="E626" s="6">
        <f>IF($B617="","",ROUND(E618+E619+E620+E621+E622+E623,2))</f>
        <v/>
      </c>
      <c r="H626" t="inlineStr">
        <is>
          <t>Total© 总计 (C)</t>
        </is>
      </c>
      <c r="I626" s="6">
        <f>IF($B617="","",ROUND(I623+I625,2))</f>
        <v/>
      </c>
      <c r="K626" t="inlineStr">
        <is>
          <t>Total(D) 总计 (D)</t>
        </is>
      </c>
      <c r="L626" s="6">
        <f>IF($B617="","",ROUND(L618+L619+L620+L621+L622+L623,2))</f>
        <v/>
      </c>
    </row>
    <row r="627">
      <c r="A627" s="14" t="inlineStr">
        <is>
          <t>Total = Amount 2 + b/f petty cash  (金额2 + 上日备用金)</t>
        </is>
      </c>
      <c r="H627" s="14" t="inlineStr">
        <is>
          <t>Total = Amount 2 + b/f petty cash  (金额2 + 上日备用金)</t>
        </is>
      </c>
    </row>
    <row r="628">
      <c r="A628" t="inlineStr">
        <is>
          <t>Different 差额</t>
        </is>
      </c>
      <c r="B628" s="6">
        <f>IF($B617="","",ROUND(B626-E626,2))</f>
        <v/>
      </c>
      <c r="D628">
        <f>IF($B617="","",IF(ABS(B628)&gt;'Opening Balance'!$B$16,"ALERT 警报: Different over RM"&amp;'Opening Balance'!$B$16&amp;" 差额超过RM"&amp;'Opening Balance'!$B$16&amp;" - please check 请检查",IF(B628=0,"Tied 平衡",IF(ABS(B628)&lt;='Opening Balance'!$B$13,"Small difference 小额差额: adjusted on c/f petty cash 已调整备用金",IF(B628&gt;0,"Short 短收: added to Misc Charges 已加入杂项费用","Over 多收: added to Cash Sales 已加入现金销售")))))</f>
        <v/>
      </c>
      <c r="H628" t="inlineStr">
        <is>
          <t>Different 差额</t>
        </is>
      </c>
      <c r="I628" s="6">
        <f>IF($B617="","",ROUND(I626-L626,2))</f>
        <v/>
      </c>
    </row>
    <row r="629"/>
    <row r="630"/>
    <row r="631">
      <c r="A631" t="inlineStr">
        <is>
          <t>Date 日期</t>
        </is>
      </c>
      <c r="B631" s="5">
        <f>IF('Daily Sale entry '!$A47="","",'Daily Sale entry '!$A47)</f>
        <v/>
      </c>
      <c r="H631" t="inlineStr">
        <is>
          <t>After 调整后 (After)</t>
        </is>
      </c>
      <c r="I631" s="5">
        <f>IF($B631="","",B631)</f>
        <v/>
      </c>
    </row>
    <row r="632">
      <c r="A632" t="inlineStr">
        <is>
          <t>Cash Sales 现金销售</t>
        </is>
      </c>
      <c r="B632" s="6">
        <f>IF($B631="","",'Daily Sale entry '!B47)</f>
        <v/>
      </c>
      <c r="D632" t="inlineStr">
        <is>
          <t>c/f petty cash 今日备用金结转</t>
        </is>
      </c>
      <c r="E632" s="6">
        <f>IF($B631="","",'Daily Sale entry '!G47)</f>
        <v/>
      </c>
      <c r="H632" t="inlineStr">
        <is>
          <t>Cash Sales 现金销售</t>
        </is>
      </c>
      <c r="I632" s="6">
        <f>IF($B631="","",IF(AND(ABS(B642)&gt;'Opening Balance'!$B$13,B642&lt;0),ROUND(B632-B642,2),B632))</f>
        <v/>
      </c>
      <c r="K632" t="inlineStr">
        <is>
          <t>c/f petty cash 今日备用金结转</t>
        </is>
      </c>
      <c r="L632" s="6">
        <f>IF($B631="","",IF(ABS(B642)&lt;='Opening Balance'!$B$13,ROUND(E632+B642,2),E632))</f>
        <v/>
      </c>
    </row>
    <row r="633">
      <c r="A633" t="inlineStr">
        <is>
          <t>Misc Charges 杂项费用</t>
        </is>
      </c>
      <c r="B633" s="6">
        <f>IF($B631="","",'Daily Sale entry '!C47)</f>
        <v/>
      </c>
      <c r="D633" t="inlineStr">
        <is>
          <t>cash collection 现金收款</t>
        </is>
      </c>
      <c r="E633" s="6">
        <f>IF($B631="","",'Daily Sale entry '!H47)</f>
        <v/>
      </c>
      <c r="H633" t="inlineStr">
        <is>
          <t>Misc Charges 杂项费用</t>
        </is>
      </c>
      <c r="I633" s="6">
        <f>IF($B631="","",IF(AND(ABS(B642)&gt;'Opening Balance'!$B$13,B642&gt;0),ROUND(B633+B642,2),B633))</f>
        <v/>
      </c>
      <c r="K633" t="inlineStr">
        <is>
          <t>cash collection 现金收款</t>
        </is>
      </c>
      <c r="L633" s="6">
        <f>IF($B631="","",E633)</f>
        <v/>
      </c>
    </row>
    <row r="634">
      <c r="A634" s="1" t="inlineStr">
        <is>
          <t>Other Charges 其他费用</t>
        </is>
      </c>
      <c r="B634" s="9">
        <f>IF($B631="","",'Daily Sale entry '!D47)</f>
        <v/>
      </c>
      <c r="D634" s="1" t="inlineStr">
        <is>
          <t>Cheque Collection 支票收款</t>
        </is>
      </c>
      <c r="E634" s="9">
        <f>IF($B631="","",'Daily Sale entry '!J47)</f>
        <v/>
      </c>
      <c r="H634" s="1" t="inlineStr">
        <is>
          <t>Other Charges 其他费用</t>
        </is>
      </c>
      <c r="I634" s="9">
        <f>IF($B631="","",B634)</f>
        <v/>
      </c>
      <c r="K634" s="1" t="inlineStr">
        <is>
          <t>Cheque Collection 支票收款</t>
        </is>
      </c>
      <c r="L634" s="9">
        <f>IF($B631="","",E634)</f>
        <v/>
      </c>
    </row>
    <row r="635">
      <c r="A635" s="10" t="inlineStr">
        <is>
          <t>Amount 金额  (Cash Sales - Misc - Other)</t>
        </is>
      </c>
      <c r="B635" s="11">
        <f>IF($B631="","",ROUND(B632-B633-B634,2))</f>
        <v/>
      </c>
      <c r="D635" s="12" t="inlineStr">
        <is>
          <t>TNG collection TNG收款</t>
        </is>
      </c>
      <c r="E635" s="13">
        <f>IF($B631="","",'Daily Sale entry '!K47)</f>
        <v/>
      </c>
      <c r="H635" s="10" t="inlineStr">
        <is>
          <t>Amount 金额  (Cash Sales - Misc - Other)</t>
        </is>
      </c>
      <c r="I635" s="11">
        <f>IF($B631="","",ROUND(I632-I633-I634,2))</f>
        <v/>
      </c>
      <c r="K635" s="12" t="inlineStr">
        <is>
          <t>TNG collection TNG收款</t>
        </is>
      </c>
      <c r="L635" s="13">
        <f>IF($B631="","",E635)</f>
        <v/>
      </c>
    </row>
    <row r="636">
      <c r="A636" t="inlineStr">
        <is>
          <t>Credit Collection 赊账收款</t>
        </is>
      </c>
      <c r="B636" s="6">
        <f>IF($B631="","",'Daily Sale entry '!E47)</f>
        <v/>
      </c>
      <c r="D636" t="inlineStr">
        <is>
          <t>Advance Salary_M 预支薪水_M</t>
        </is>
      </c>
      <c r="E636" s="6">
        <f>IF($B631="","",'Daily Sale entry '!L47)</f>
        <v/>
      </c>
      <c r="H636" t="inlineStr">
        <is>
          <t>Credit Collection 赊账收款</t>
        </is>
      </c>
      <c r="I636" s="6">
        <f>IF($B631="","",B636)</f>
        <v/>
      </c>
      <c r="K636" t="inlineStr">
        <is>
          <t>Advance Salary_M 预支薪水_M</t>
        </is>
      </c>
      <c r="L636" s="6">
        <f>IF($B631="","",E636)</f>
        <v/>
      </c>
    </row>
    <row r="637">
      <c r="A637" s="10" t="inlineStr">
        <is>
          <t>Amount 2 金额2  (Amount + Credit Collection)</t>
        </is>
      </c>
      <c r="B637" s="11">
        <f>IF($B631="","",ROUND(B635+B636,2))</f>
        <v/>
      </c>
      <c r="D637" t="inlineStr">
        <is>
          <t>Advance Salary_H 预支薪水_H</t>
        </is>
      </c>
      <c r="E637" s="6">
        <f>IF($B631="","",'Daily Sale entry '!M47)</f>
        <v/>
      </c>
      <c r="H637" s="10" t="inlineStr">
        <is>
          <t>Amount 2 金额2  (Amount + Credit Collection)</t>
        </is>
      </c>
      <c r="I637" s="11">
        <f>IF($B631="","",ROUND(I635+I636,2))</f>
        <v/>
      </c>
      <c r="K637" t="inlineStr">
        <is>
          <t>Advance Salary_H 预支薪水_H</t>
        </is>
      </c>
      <c r="L637" s="6">
        <f>IF($B631="","",E637)</f>
        <v/>
      </c>
    </row>
    <row r="638"/>
    <row r="639">
      <c r="A639" s="1" t="inlineStr">
        <is>
          <t>b/f petty cash 上日备用金结转</t>
        </is>
      </c>
      <c r="B639" s="9">
        <f>IF($B631="","",'Daily Sale entry '!F47)</f>
        <v/>
      </c>
      <c r="D639" s="1" t="n"/>
      <c r="E639" s="1" t="n"/>
      <c r="H639" s="1" t="inlineStr">
        <is>
          <t>b/f petty cash 上日备用金结转</t>
        </is>
      </c>
      <c r="I639" s="9">
        <f>IF($B631="","",B639)</f>
        <v/>
      </c>
      <c r="K639" s="1" t="n"/>
      <c r="L639" s="1" t="n"/>
    </row>
    <row r="640">
      <c r="A640" t="inlineStr">
        <is>
          <t>Total (A) 总计 (A)</t>
        </is>
      </c>
      <c r="B640" s="6">
        <f>IF($B631="","",ROUND(B637+B639,2))</f>
        <v/>
      </c>
      <c r="D640" t="inlineStr">
        <is>
          <t>Total(B) 总计 (B)</t>
        </is>
      </c>
      <c r="E640" s="6">
        <f>IF($B631="","",ROUND(E632+E633+E634+E635+E636+E637,2))</f>
        <v/>
      </c>
      <c r="H640" t="inlineStr">
        <is>
          <t>Total© 总计 (C)</t>
        </is>
      </c>
      <c r="I640" s="6">
        <f>IF($B631="","",ROUND(I637+I639,2))</f>
        <v/>
      </c>
      <c r="K640" t="inlineStr">
        <is>
          <t>Total(D) 总计 (D)</t>
        </is>
      </c>
      <c r="L640" s="6">
        <f>IF($B631="","",ROUND(L632+L633+L634+L635+L636+L637,2))</f>
        <v/>
      </c>
    </row>
    <row r="641">
      <c r="A641" s="14" t="inlineStr">
        <is>
          <t>Total = Amount 2 + b/f petty cash  (金额2 + 上日备用金)</t>
        </is>
      </c>
      <c r="H641" s="14" t="inlineStr">
        <is>
          <t>Total = Amount 2 + b/f petty cash  (金额2 + 上日备用金)</t>
        </is>
      </c>
    </row>
    <row r="642">
      <c r="A642" t="inlineStr">
        <is>
          <t>Different 差额</t>
        </is>
      </c>
      <c r="B642" s="6">
        <f>IF($B631="","",ROUND(B640-E640,2))</f>
        <v/>
      </c>
      <c r="D642">
        <f>IF($B631="","",IF(ABS(B642)&gt;'Opening Balance'!$B$16,"ALERT 警报: Different over RM"&amp;'Opening Balance'!$B$16&amp;" 差额超过RM"&amp;'Opening Balance'!$B$16&amp;" - please check 请检查",IF(B642=0,"Tied 平衡",IF(ABS(B642)&lt;='Opening Balance'!$B$13,"Small difference 小额差额: adjusted on c/f petty cash 已调整备用金",IF(B642&gt;0,"Short 短收: added to Misc Charges 已加入杂项费用","Over 多收: added to Cash Sales 已加入现金销售")))))</f>
        <v/>
      </c>
      <c r="H642" t="inlineStr">
        <is>
          <t>Different 差额</t>
        </is>
      </c>
      <c r="I642" s="6">
        <f>IF($B631="","",ROUND(I640-L640,2))</f>
        <v/>
      </c>
    </row>
    <row r="643"/>
    <row r="644"/>
    <row r="645">
      <c r="A645" t="inlineStr">
        <is>
          <t>Date 日期</t>
        </is>
      </c>
      <c r="B645" s="5">
        <f>IF('Daily Sale entry '!$A48="","",'Daily Sale entry '!$A48)</f>
        <v/>
      </c>
      <c r="H645" t="inlineStr">
        <is>
          <t>After 调整后 (After)</t>
        </is>
      </c>
      <c r="I645" s="5">
        <f>IF($B645="","",B645)</f>
        <v/>
      </c>
    </row>
    <row r="646">
      <c r="A646" t="inlineStr">
        <is>
          <t>Cash Sales 现金销售</t>
        </is>
      </c>
      <c r="B646" s="6">
        <f>IF($B645="","",'Daily Sale entry '!B48)</f>
        <v/>
      </c>
      <c r="D646" t="inlineStr">
        <is>
          <t>c/f petty cash 今日备用金结转</t>
        </is>
      </c>
      <c r="E646" s="6">
        <f>IF($B645="","",'Daily Sale entry '!G48)</f>
        <v/>
      </c>
      <c r="H646" t="inlineStr">
        <is>
          <t>Cash Sales 现金销售</t>
        </is>
      </c>
      <c r="I646" s="6">
        <f>IF($B645="","",IF(AND(ABS(B656)&gt;'Opening Balance'!$B$13,B656&lt;0),ROUND(B646-B656,2),B646))</f>
        <v/>
      </c>
      <c r="K646" t="inlineStr">
        <is>
          <t>c/f petty cash 今日备用金结转</t>
        </is>
      </c>
      <c r="L646" s="6">
        <f>IF($B645="","",IF(ABS(B656)&lt;='Opening Balance'!$B$13,ROUND(E646+B656,2),E646))</f>
        <v/>
      </c>
    </row>
    <row r="647">
      <c r="A647" t="inlineStr">
        <is>
          <t>Misc Charges 杂项费用</t>
        </is>
      </c>
      <c r="B647" s="6">
        <f>IF($B645="","",'Daily Sale entry '!C48)</f>
        <v/>
      </c>
      <c r="D647" t="inlineStr">
        <is>
          <t>cash collection 现金收款</t>
        </is>
      </c>
      <c r="E647" s="6">
        <f>IF($B645="","",'Daily Sale entry '!H48)</f>
        <v/>
      </c>
      <c r="H647" t="inlineStr">
        <is>
          <t>Misc Charges 杂项费用</t>
        </is>
      </c>
      <c r="I647" s="6">
        <f>IF($B645="","",IF(AND(ABS(B656)&gt;'Opening Balance'!$B$13,B656&gt;0),ROUND(B647+B656,2),B647))</f>
        <v/>
      </c>
      <c r="K647" t="inlineStr">
        <is>
          <t>cash collection 现金收款</t>
        </is>
      </c>
      <c r="L647" s="6">
        <f>IF($B645="","",E647)</f>
        <v/>
      </c>
    </row>
    <row r="648">
      <c r="A648" s="1" t="inlineStr">
        <is>
          <t>Other Charges 其他费用</t>
        </is>
      </c>
      <c r="B648" s="9">
        <f>IF($B645="","",'Daily Sale entry '!D48)</f>
        <v/>
      </c>
      <c r="D648" s="1" t="inlineStr">
        <is>
          <t>Cheque Collection 支票收款</t>
        </is>
      </c>
      <c r="E648" s="9">
        <f>IF($B645="","",'Daily Sale entry '!J48)</f>
        <v/>
      </c>
      <c r="H648" s="1" t="inlineStr">
        <is>
          <t>Other Charges 其他费用</t>
        </is>
      </c>
      <c r="I648" s="9">
        <f>IF($B645="","",B648)</f>
        <v/>
      </c>
      <c r="K648" s="1" t="inlineStr">
        <is>
          <t>Cheque Collection 支票收款</t>
        </is>
      </c>
      <c r="L648" s="9">
        <f>IF($B645="","",E648)</f>
        <v/>
      </c>
    </row>
    <row r="649">
      <c r="A649" s="10" t="inlineStr">
        <is>
          <t>Amount 金额  (Cash Sales - Misc - Other)</t>
        </is>
      </c>
      <c r="B649" s="11">
        <f>IF($B645="","",ROUND(B646-B647-B648,2))</f>
        <v/>
      </c>
      <c r="D649" s="12" t="inlineStr">
        <is>
          <t>TNG collection TNG收款</t>
        </is>
      </c>
      <c r="E649" s="13">
        <f>IF($B645="","",'Daily Sale entry '!K48)</f>
        <v/>
      </c>
      <c r="H649" s="10" t="inlineStr">
        <is>
          <t>Amount 金额  (Cash Sales - Misc - Other)</t>
        </is>
      </c>
      <c r="I649" s="11">
        <f>IF($B645="","",ROUND(I646-I647-I648,2))</f>
        <v/>
      </c>
      <c r="K649" s="12" t="inlineStr">
        <is>
          <t>TNG collection TNG收款</t>
        </is>
      </c>
      <c r="L649" s="13">
        <f>IF($B645="","",E649)</f>
        <v/>
      </c>
    </row>
    <row r="650">
      <c r="A650" t="inlineStr">
        <is>
          <t>Credit Collection 赊账收款</t>
        </is>
      </c>
      <c r="B650" s="6">
        <f>IF($B645="","",'Daily Sale entry '!E48)</f>
        <v/>
      </c>
      <c r="D650" t="inlineStr">
        <is>
          <t>Advance Salary_M 预支薪水_M</t>
        </is>
      </c>
      <c r="E650" s="6">
        <f>IF($B645="","",'Daily Sale entry '!L48)</f>
        <v/>
      </c>
      <c r="H650" t="inlineStr">
        <is>
          <t>Credit Collection 赊账收款</t>
        </is>
      </c>
      <c r="I650" s="6">
        <f>IF($B645="","",B650)</f>
        <v/>
      </c>
      <c r="K650" t="inlineStr">
        <is>
          <t>Advance Salary_M 预支薪水_M</t>
        </is>
      </c>
      <c r="L650" s="6">
        <f>IF($B645="","",E650)</f>
        <v/>
      </c>
    </row>
    <row r="651">
      <c r="A651" s="10" t="inlineStr">
        <is>
          <t>Amount 2 金额2  (Amount + Credit Collection)</t>
        </is>
      </c>
      <c r="B651" s="11">
        <f>IF($B645="","",ROUND(B649+B650,2))</f>
        <v/>
      </c>
      <c r="D651" t="inlineStr">
        <is>
          <t>Advance Salary_H 预支薪水_H</t>
        </is>
      </c>
      <c r="E651" s="6">
        <f>IF($B645="","",'Daily Sale entry '!M48)</f>
        <v/>
      </c>
      <c r="H651" s="10" t="inlineStr">
        <is>
          <t>Amount 2 金额2  (Amount + Credit Collection)</t>
        </is>
      </c>
      <c r="I651" s="11">
        <f>IF($B645="","",ROUND(I649+I650,2))</f>
        <v/>
      </c>
      <c r="K651" t="inlineStr">
        <is>
          <t>Advance Salary_H 预支薪水_H</t>
        </is>
      </c>
      <c r="L651" s="6">
        <f>IF($B645="","",E651)</f>
        <v/>
      </c>
    </row>
    <row r="652"/>
    <row r="653">
      <c r="A653" s="1" t="inlineStr">
        <is>
          <t>b/f petty cash 上日备用金结转</t>
        </is>
      </c>
      <c r="B653" s="9">
        <f>IF($B645="","",'Daily Sale entry '!F48)</f>
        <v/>
      </c>
      <c r="D653" s="1" t="n"/>
      <c r="E653" s="1" t="n"/>
      <c r="H653" s="1" t="inlineStr">
        <is>
          <t>b/f petty cash 上日备用金结转</t>
        </is>
      </c>
      <c r="I653" s="9">
        <f>IF($B645="","",B653)</f>
        <v/>
      </c>
      <c r="K653" s="1" t="n"/>
      <c r="L653" s="1" t="n"/>
    </row>
    <row r="654">
      <c r="A654" t="inlineStr">
        <is>
          <t>Total (A) 总计 (A)</t>
        </is>
      </c>
      <c r="B654" s="6">
        <f>IF($B645="","",ROUND(B651+B653,2))</f>
        <v/>
      </c>
      <c r="D654" t="inlineStr">
        <is>
          <t>Total(B) 总计 (B)</t>
        </is>
      </c>
      <c r="E654" s="6">
        <f>IF($B645="","",ROUND(E646+E647+E648+E649+E650+E651,2))</f>
        <v/>
      </c>
      <c r="H654" t="inlineStr">
        <is>
          <t>Total© 总计 (C)</t>
        </is>
      </c>
      <c r="I654" s="6">
        <f>IF($B645="","",ROUND(I651+I653,2))</f>
        <v/>
      </c>
      <c r="K654" t="inlineStr">
        <is>
          <t>Total(D) 总计 (D)</t>
        </is>
      </c>
      <c r="L654" s="6">
        <f>IF($B645="","",ROUND(L646+L647+L648+L649+L650+L651,2))</f>
        <v/>
      </c>
    </row>
    <row r="655">
      <c r="A655" s="14" t="inlineStr">
        <is>
          <t>Total = Amount 2 + b/f petty cash  (金额2 + 上日备用金)</t>
        </is>
      </c>
      <c r="H655" s="14" t="inlineStr">
        <is>
          <t>Total = Amount 2 + b/f petty cash  (金额2 + 上日备用金)</t>
        </is>
      </c>
    </row>
    <row r="656">
      <c r="A656" t="inlineStr">
        <is>
          <t>Different 差额</t>
        </is>
      </c>
      <c r="B656" s="6">
        <f>IF($B645="","",ROUND(B654-E654,2))</f>
        <v/>
      </c>
      <c r="D656">
        <f>IF($B645="","",IF(ABS(B656)&gt;'Opening Balance'!$B$16,"ALERT 警报: Different over RM"&amp;'Opening Balance'!$B$16&amp;" 差额超过RM"&amp;'Opening Balance'!$B$16&amp;" - please check 请检查",IF(B656=0,"Tied 平衡",IF(ABS(B656)&lt;='Opening Balance'!$B$13,"Small difference 小额差额: adjusted on c/f petty cash 已调整备用金",IF(B656&gt;0,"Short 短收: added to Misc Charges 已加入杂项费用","Over 多收: added to Cash Sales 已加入现金销售")))))</f>
        <v/>
      </c>
      <c r="H656" t="inlineStr">
        <is>
          <t>Different 差额</t>
        </is>
      </c>
      <c r="I656" s="6">
        <f>IF($B645="","",ROUND(I654-L654,2))</f>
        <v/>
      </c>
    </row>
    <row r="657"/>
    <row r="658"/>
    <row r="659">
      <c r="A659" t="inlineStr">
        <is>
          <t>Date 日期</t>
        </is>
      </c>
      <c r="B659" s="5">
        <f>IF('Daily Sale entry '!$A49="","",'Daily Sale entry '!$A49)</f>
        <v/>
      </c>
      <c r="H659" t="inlineStr">
        <is>
          <t>After 调整后 (After)</t>
        </is>
      </c>
      <c r="I659" s="5">
        <f>IF($B659="","",B659)</f>
        <v/>
      </c>
    </row>
    <row r="660">
      <c r="A660" t="inlineStr">
        <is>
          <t>Cash Sales 现金销售</t>
        </is>
      </c>
      <c r="B660" s="6">
        <f>IF($B659="","",'Daily Sale entry '!B49)</f>
        <v/>
      </c>
      <c r="D660" t="inlineStr">
        <is>
          <t>c/f petty cash 今日备用金结转</t>
        </is>
      </c>
      <c r="E660" s="6">
        <f>IF($B659="","",'Daily Sale entry '!G49)</f>
        <v/>
      </c>
      <c r="H660" t="inlineStr">
        <is>
          <t>Cash Sales 现金销售</t>
        </is>
      </c>
      <c r="I660" s="6">
        <f>IF($B659="","",IF(AND(ABS(B670)&gt;'Opening Balance'!$B$13,B670&lt;0),ROUND(B660-B670,2),B660))</f>
        <v/>
      </c>
      <c r="K660" t="inlineStr">
        <is>
          <t>c/f petty cash 今日备用金结转</t>
        </is>
      </c>
      <c r="L660" s="6">
        <f>IF($B659="","",IF(ABS(B670)&lt;='Opening Balance'!$B$13,ROUND(E660+B670,2),E660))</f>
        <v/>
      </c>
    </row>
    <row r="661">
      <c r="A661" t="inlineStr">
        <is>
          <t>Misc Charges 杂项费用</t>
        </is>
      </c>
      <c r="B661" s="6">
        <f>IF($B659="","",'Daily Sale entry '!C49)</f>
        <v/>
      </c>
      <c r="D661" t="inlineStr">
        <is>
          <t>cash collection 现金收款</t>
        </is>
      </c>
      <c r="E661" s="6">
        <f>IF($B659="","",'Daily Sale entry '!H49)</f>
        <v/>
      </c>
      <c r="H661" t="inlineStr">
        <is>
          <t>Misc Charges 杂项费用</t>
        </is>
      </c>
      <c r="I661" s="6">
        <f>IF($B659="","",IF(AND(ABS(B670)&gt;'Opening Balance'!$B$13,B670&gt;0),ROUND(B661+B670,2),B661))</f>
        <v/>
      </c>
      <c r="K661" t="inlineStr">
        <is>
          <t>cash collection 现金收款</t>
        </is>
      </c>
      <c r="L661" s="6">
        <f>IF($B659="","",E661)</f>
        <v/>
      </c>
    </row>
    <row r="662">
      <c r="A662" s="1" t="inlineStr">
        <is>
          <t>Other Charges 其他费用</t>
        </is>
      </c>
      <c r="B662" s="9">
        <f>IF($B659="","",'Daily Sale entry '!D49)</f>
        <v/>
      </c>
      <c r="D662" s="1" t="inlineStr">
        <is>
          <t>Cheque Collection 支票收款</t>
        </is>
      </c>
      <c r="E662" s="9">
        <f>IF($B659="","",'Daily Sale entry '!J49)</f>
        <v/>
      </c>
      <c r="H662" s="1" t="inlineStr">
        <is>
          <t>Other Charges 其他费用</t>
        </is>
      </c>
      <c r="I662" s="9">
        <f>IF($B659="","",B662)</f>
        <v/>
      </c>
      <c r="K662" s="1" t="inlineStr">
        <is>
          <t>Cheque Collection 支票收款</t>
        </is>
      </c>
      <c r="L662" s="9">
        <f>IF($B659="","",E662)</f>
        <v/>
      </c>
    </row>
    <row r="663">
      <c r="A663" s="10" t="inlineStr">
        <is>
          <t>Amount 金额  (Cash Sales - Misc - Other)</t>
        </is>
      </c>
      <c r="B663" s="11">
        <f>IF($B659="","",ROUND(B660-B661-B662,2))</f>
        <v/>
      </c>
      <c r="D663" s="12" t="inlineStr">
        <is>
          <t>TNG collection TNG收款</t>
        </is>
      </c>
      <c r="E663" s="13">
        <f>IF($B659="","",'Daily Sale entry '!K49)</f>
        <v/>
      </c>
      <c r="H663" s="10" t="inlineStr">
        <is>
          <t>Amount 金额  (Cash Sales - Misc - Other)</t>
        </is>
      </c>
      <c r="I663" s="11">
        <f>IF($B659="","",ROUND(I660-I661-I662,2))</f>
        <v/>
      </c>
      <c r="K663" s="12" t="inlineStr">
        <is>
          <t>TNG collection TNG收款</t>
        </is>
      </c>
      <c r="L663" s="13">
        <f>IF($B659="","",E663)</f>
        <v/>
      </c>
    </row>
    <row r="664">
      <c r="A664" t="inlineStr">
        <is>
          <t>Credit Collection 赊账收款</t>
        </is>
      </c>
      <c r="B664" s="6">
        <f>IF($B659="","",'Daily Sale entry '!E49)</f>
        <v/>
      </c>
      <c r="D664" t="inlineStr">
        <is>
          <t>Advance Salary_M 预支薪水_M</t>
        </is>
      </c>
      <c r="E664" s="6">
        <f>IF($B659="","",'Daily Sale entry '!L49)</f>
        <v/>
      </c>
      <c r="H664" t="inlineStr">
        <is>
          <t>Credit Collection 赊账收款</t>
        </is>
      </c>
      <c r="I664" s="6">
        <f>IF($B659="","",B664)</f>
        <v/>
      </c>
      <c r="K664" t="inlineStr">
        <is>
          <t>Advance Salary_M 预支薪水_M</t>
        </is>
      </c>
      <c r="L664" s="6">
        <f>IF($B659="","",E664)</f>
        <v/>
      </c>
    </row>
    <row r="665">
      <c r="A665" s="10" t="inlineStr">
        <is>
          <t>Amount 2 金额2  (Amount + Credit Collection)</t>
        </is>
      </c>
      <c r="B665" s="11">
        <f>IF($B659="","",ROUND(B663+B664,2))</f>
        <v/>
      </c>
      <c r="D665" t="inlineStr">
        <is>
          <t>Advance Salary_H 预支薪水_H</t>
        </is>
      </c>
      <c r="E665" s="6">
        <f>IF($B659="","",'Daily Sale entry '!M49)</f>
        <v/>
      </c>
      <c r="H665" s="10" t="inlineStr">
        <is>
          <t>Amount 2 金额2  (Amount + Credit Collection)</t>
        </is>
      </c>
      <c r="I665" s="11">
        <f>IF($B659="","",ROUND(I663+I664,2))</f>
        <v/>
      </c>
      <c r="K665" t="inlineStr">
        <is>
          <t>Advance Salary_H 预支薪水_H</t>
        </is>
      </c>
      <c r="L665" s="6">
        <f>IF($B659="","",E665)</f>
        <v/>
      </c>
    </row>
    <row r="666"/>
    <row r="667">
      <c r="A667" s="1" t="inlineStr">
        <is>
          <t>b/f petty cash 上日备用金结转</t>
        </is>
      </c>
      <c r="B667" s="9">
        <f>IF($B659="","",'Daily Sale entry '!F49)</f>
        <v/>
      </c>
      <c r="D667" s="1" t="n"/>
      <c r="E667" s="1" t="n"/>
      <c r="H667" s="1" t="inlineStr">
        <is>
          <t>b/f petty cash 上日备用金结转</t>
        </is>
      </c>
      <c r="I667" s="9">
        <f>IF($B659="","",B667)</f>
        <v/>
      </c>
      <c r="K667" s="1" t="n"/>
      <c r="L667" s="1" t="n"/>
    </row>
    <row r="668">
      <c r="A668" t="inlineStr">
        <is>
          <t>Total (A) 总计 (A)</t>
        </is>
      </c>
      <c r="B668" s="6">
        <f>IF($B659="","",ROUND(B665+B667,2))</f>
        <v/>
      </c>
      <c r="D668" t="inlineStr">
        <is>
          <t>Total(B) 总计 (B)</t>
        </is>
      </c>
      <c r="E668" s="6">
        <f>IF($B659="","",ROUND(E660+E661+E662+E663+E664+E665,2))</f>
        <v/>
      </c>
      <c r="H668" t="inlineStr">
        <is>
          <t>Total© 总计 (C)</t>
        </is>
      </c>
      <c r="I668" s="6">
        <f>IF($B659="","",ROUND(I665+I667,2))</f>
        <v/>
      </c>
      <c r="K668" t="inlineStr">
        <is>
          <t>Total(D) 总计 (D)</t>
        </is>
      </c>
      <c r="L668" s="6">
        <f>IF($B659="","",ROUND(L660+L661+L662+L663+L664+L665,2))</f>
        <v/>
      </c>
    </row>
    <row r="669">
      <c r="A669" s="14" t="inlineStr">
        <is>
          <t>Total = Amount 2 + b/f petty cash  (金额2 + 上日备用金)</t>
        </is>
      </c>
      <c r="H669" s="14" t="inlineStr">
        <is>
          <t>Total = Amount 2 + b/f petty cash  (金额2 + 上日备用金)</t>
        </is>
      </c>
    </row>
    <row r="670">
      <c r="A670" t="inlineStr">
        <is>
          <t>Different 差额</t>
        </is>
      </c>
      <c r="B670" s="6">
        <f>IF($B659="","",ROUND(B668-E668,2))</f>
        <v/>
      </c>
      <c r="D670">
        <f>IF($B659="","",IF(ABS(B670)&gt;'Opening Balance'!$B$16,"ALERT 警报: Different over RM"&amp;'Opening Balance'!$B$16&amp;" 差额超过RM"&amp;'Opening Balance'!$B$16&amp;" - please check 请检查",IF(B670=0,"Tied 平衡",IF(ABS(B670)&lt;='Opening Balance'!$B$13,"Small difference 小额差额: adjusted on c/f petty cash 已调整备用金",IF(B670&gt;0,"Short 短收: added to Misc Charges 已加入杂项费用","Over 多收: added to Cash Sales 已加入现金销售")))))</f>
        <v/>
      </c>
      <c r="H670" t="inlineStr">
        <is>
          <t>Different 差额</t>
        </is>
      </c>
      <c r="I670" s="6">
        <f>IF($B659="","",ROUND(I668-L668,2))</f>
        <v/>
      </c>
    </row>
    <row r="671"/>
    <row r="672"/>
    <row r="673">
      <c r="A673" t="inlineStr">
        <is>
          <t>Date 日期</t>
        </is>
      </c>
      <c r="B673" s="5">
        <f>IF('Daily Sale entry '!$A50="","",'Daily Sale entry '!$A50)</f>
        <v/>
      </c>
      <c r="H673" t="inlineStr">
        <is>
          <t>After 调整后 (After)</t>
        </is>
      </c>
      <c r="I673" s="5">
        <f>IF($B673="","",B673)</f>
        <v/>
      </c>
    </row>
    <row r="674">
      <c r="A674" t="inlineStr">
        <is>
          <t>Cash Sales 现金销售</t>
        </is>
      </c>
      <c r="B674" s="6">
        <f>IF($B673="","",'Daily Sale entry '!B50)</f>
        <v/>
      </c>
      <c r="D674" t="inlineStr">
        <is>
          <t>c/f petty cash 今日备用金结转</t>
        </is>
      </c>
      <c r="E674" s="6">
        <f>IF($B673="","",'Daily Sale entry '!G50)</f>
        <v/>
      </c>
      <c r="H674" t="inlineStr">
        <is>
          <t>Cash Sales 现金销售</t>
        </is>
      </c>
      <c r="I674" s="6">
        <f>IF($B673="","",IF(AND(ABS(B684)&gt;'Opening Balance'!$B$13,B684&lt;0),ROUND(B674-B684,2),B674))</f>
        <v/>
      </c>
      <c r="K674" t="inlineStr">
        <is>
          <t>c/f petty cash 今日备用金结转</t>
        </is>
      </c>
      <c r="L674" s="6">
        <f>IF($B673="","",IF(ABS(B684)&lt;='Opening Balance'!$B$13,ROUND(E674+B684,2),E674))</f>
        <v/>
      </c>
    </row>
    <row r="675">
      <c r="A675" t="inlineStr">
        <is>
          <t>Misc Charges 杂项费用</t>
        </is>
      </c>
      <c r="B675" s="6">
        <f>IF($B673="","",'Daily Sale entry '!C50)</f>
        <v/>
      </c>
      <c r="D675" t="inlineStr">
        <is>
          <t>cash collection 现金收款</t>
        </is>
      </c>
      <c r="E675" s="6">
        <f>IF($B673="","",'Daily Sale entry '!H50)</f>
        <v/>
      </c>
      <c r="H675" t="inlineStr">
        <is>
          <t>Misc Charges 杂项费用</t>
        </is>
      </c>
      <c r="I675" s="6">
        <f>IF($B673="","",IF(AND(ABS(B684)&gt;'Opening Balance'!$B$13,B684&gt;0),ROUND(B675+B684,2),B675))</f>
        <v/>
      </c>
      <c r="K675" t="inlineStr">
        <is>
          <t>cash collection 现金收款</t>
        </is>
      </c>
      <c r="L675" s="6">
        <f>IF($B673="","",E675)</f>
        <v/>
      </c>
    </row>
    <row r="676">
      <c r="A676" s="1" t="inlineStr">
        <is>
          <t>Other Charges 其他费用</t>
        </is>
      </c>
      <c r="B676" s="9">
        <f>IF($B673="","",'Daily Sale entry '!D50)</f>
        <v/>
      </c>
      <c r="D676" s="1" t="inlineStr">
        <is>
          <t>Cheque Collection 支票收款</t>
        </is>
      </c>
      <c r="E676" s="9">
        <f>IF($B673="","",'Daily Sale entry '!J50)</f>
        <v/>
      </c>
      <c r="H676" s="1" t="inlineStr">
        <is>
          <t>Other Charges 其他费用</t>
        </is>
      </c>
      <c r="I676" s="9">
        <f>IF($B673="","",B676)</f>
        <v/>
      </c>
      <c r="K676" s="1" t="inlineStr">
        <is>
          <t>Cheque Collection 支票收款</t>
        </is>
      </c>
      <c r="L676" s="9">
        <f>IF($B673="","",E676)</f>
        <v/>
      </c>
    </row>
    <row r="677">
      <c r="A677" s="10" t="inlineStr">
        <is>
          <t>Amount 金额  (Cash Sales - Misc - Other)</t>
        </is>
      </c>
      <c r="B677" s="11">
        <f>IF($B673="","",ROUND(B674-B675-B676,2))</f>
        <v/>
      </c>
      <c r="D677" s="12" t="inlineStr">
        <is>
          <t>TNG collection TNG收款</t>
        </is>
      </c>
      <c r="E677" s="13">
        <f>IF($B673="","",'Daily Sale entry '!K50)</f>
        <v/>
      </c>
      <c r="H677" s="10" t="inlineStr">
        <is>
          <t>Amount 金额  (Cash Sales - Misc - Other)</t>
        </is>
      </c>
      <c r="I677" s="11">
        <f>IF($B673="","",ROUND(I674-I675-I676,2))</f>
        <v/>
      </c>
      <c r="K677" s="12" t="inlineStr">
        <is>
          <t>TNG collection TNG收款</t>
        </is>
      </c>
      <c r="L677" s="13">
        <f>IF($B673="","",E677)</f>
        <v/>
      </c>
    </row>
    <row r="678">
      <c r="A678" t="inlineStr">
        <is>
          <t>Credit Collection 赊账收款</t>
        </is>
      </c>
      <c r="B678" s="6">
        <f>IF($B673="","",'Daily Sale entry '!E50)</f>
        <v/>
      </c>
      <c r="D678" t="inlineStr">
        <is>
          <t>Advance Salary_M 预支薪水_M</t>
        </is>
      </c>
      <c r="E678" s="6">
        <f>IF($B673="","",'Daily Sale entry '!L50)</f>
        <v/>
      </c>
      <c r="H678" t="inlineStr">
        <is>
          <t>Credit Collection 赊账收款</t>
        </is>
      </c>
      <c r="I678" s="6">
        <f>IF($B673="","",B678)</f>
        <v/>
      </c>
      <c r="K678" t="inlineStr">
        <is>
          <t>Advance Salary_M 预支薪水_M</t>
        </is>
      </c>
      <c r="L678" s="6">
        <f>IF($B673="","",E678)</f>
        <v/>
      </c>
    </row>
    <row r="679">
      <c r="A679" s="10" t="inlineStr">
        <is>
          <t>Amount 2 金额2  (Amount + Credit Collection)</t>
        </is>
      </c>
      <c r="B679" s="11">
        <f>IF($B673="","",ROUND(B677+B678,2))</f>
        <v/>
      </c>
      <c r="D679" t="inlineStr">
        <is>
          <t>Advance Salary_H 预支薪水_H</t>
        </is>
      </c>
      <c r="E679" s="6">
        <f>IF($B673="","",'Daily Sale entry '!M50)</f>
        <v/>
      </c>
      <c r="H679" s="10" t="inlineStr">
        <is>
          <t>Amount 2 金额2  (Amount + Credit Collection)</t>
        </is>
      </c>
      <c r="I679" s="11">
        <f>IF($B673="","",ROUND(I677+I678,2))</f>
        <v/>
      </c>
      <c r="K679" t="inlineStr">
        <is>
          <t>Advance Salary_H 预支薪水_H</t>
        </is>
      </c>
      <c r="L679" s="6">
        <f>IF($B673="","",E679)</f>
        <v/>
      </c>
    </row>
    <row r="680"/>
    <row r="681">
      <c r="A681" s="1" t="inlineStr">
        <is>
          <t>b/f petty cash 上日备用金结转</t>
        </is>
      </c>
      <c r="B681" s="9">
        <f>IF($B673="","",'Daily Sale entry '!F50)</f>
        <v/>
      </c>
      <c r="D681" s="1" t="n"/>
      <c r="E681" s="1" t="n"/>
      <c r="H681" s="1" t="inlineStr">
        <is>
          <t>b/f petty cash 上日备用金结转</t>
        </is>
      </c>
      <c r="I681" s="9">
        <f>IF($B673="","",B681)</f>
        <v/>
      </c>
      <c r="K681" s="1" t="n"/>
      <c r="L681" s="1" t="n"/>
    </row>
    <row r="682">
      <c r="A682" t="inlineStr">
        <is>
          <t>Total (A) 总计 (A)</t>
        </is>
      </c>
      <c r="B682" s="6">
        <f>IF($B673="","",ROUND(B679+B681,2))</f>
        <v/>
      </c>
      <c r="D682" t="inlineStr">
        <is>
          <t>Total(B) 总计 (B)</t>
        </is>
      </c>
      <c r="E682" s="6">
        <f>IF($B673="","",ROUND(E674+E675+E676+E677+E678+E679,2))</f>
        <v/>
      </c>
      <c r="H682" t="inlineStr">
        <is>
          <t>Total© 总计 (C)</t>
        </is>
      </c>
      <c r="I682" s="6">
        <f>IF($B673="","",ROUND(I679+I681,2))</f>
        <v/>
      </c>
      <c r="K682" t="inlineStr">
        <is>
          <t>Total(D) 总计 (D)</t>
        </is>
      </c>
      <c r="L682" s="6">
        <f>IF($B673="","",ROUND(L674+L675+L676+L677+L678+L679,2))</f>
        <v/>
      </c>
    </row>
    <row r="683">
      <c r="A683" s="14" t="inlineStr">
        <is>
          <t>Total = Amount 2 + b/f petty cash  (金额2 + 上日备用金)</t>
        </is>
      </c>
      <c r="H683" s="14" t="inlineStr">
        <is>
          <t>Total = Amount 2 + b/f petty cash  (金额2 + 上日备用金)</t>
        </is>
      </c>
    </row>
    <row r="684">
      <c r="A684" t="inlineStr">
        <is>
          <t>Different 差额</t>
        </is>
      </c>
      <c r="B684" s="6">
        <f>IF($B673="","",ROUND(B682-E682,2))</f>
        <v/>
      </c>
      <c r="D684">
        <f>IF($B673="","",IF(ABS(B684)&gt;'Opening Balance'!$B$16,"ALERT 警报: Different over RM"&amp;'Opening Balance'!$B$16&amp;" 差额超过RM"&amp;'Opening Balance'!$B$16&amp;" - please check 请检查",IF(B684=0,"Tied 平衡",IF(ABS(B684)&lt;='Opening Balance'!$B$13,"Small difference 小额差额: adjusted on c/f petty cash 已调整备用金",IF(B684&gt;0,"Short 短收: added to Misc Charges 已加入杂项费用","Over 多收: added to Cash Sales 已加入现金销售")))))</f>
        <v/>
      </c>
      <c r="H684" t="inlineStr">
        <is>
          <t>Different 差额</t>
        </is>
      </c>
      <c r="I684" s="6">
        <f>IF($B673="","",ROUND(I682-L682,2))</f>
        <v/>
      </c>
    </row>
    <row r="685"/>
    <row r="686"/>
    <row r="687">
      <c r="A687" t="inlineStr">
        <is>
          <t>Date 日期</t>
        </is>
      </c>
      <c r="B687" s="5">
        <f>IF('Daily Sale entry '!$A51="","",'Daily Sale entry '!$A51)</f>
        <v/>
      </c>
      <c r="H687" t="inlineStr">
        <is>
          <t>After 调整后 (After)</t>
        </is>
      </c>
      <c r="I687" s="5">
        <f>IF($B687="","",B687)</f>
        <v/>
      </c>
    </row>
    <row r="688">
      <c r="A688" t="inlineStr">
        <is>
          <t>Cash Sales 现金销售</t>
        </is>
      </c>
      <c r="B688" s="6">
        <f>IF($B687="","",'Daily Sale entry '!B51)</f>
        <v/>
      </c>
      <c r="D688" t="inlineStr">
        <is>
          <t>c/f petty cash 今日备用金结转</t>
        </is>
      </c>
      <c r="E688" s="6">
        <f>IF($B687="","",'Daily Sale entry '!G51)</f>
        <v/>
      </c>
      <c r="H688" t="inlineStr">
        <is>
          <t>Cash Sales 现金销售</t>
        </is>
      </c>
      <c r="I688" s="6">
        <f>IF($B687="","",IF(AND(ABS(B698)&gt;'Opening Balance'!$B$13,B698&lt;0),ROUND(B688-B698,2),B688))</f>
        <v/>
      </c>
      <c r="K688" t="inlineStr">
        <is>
          <t>c/f petty cash 今日备用金结转</t>
        </is>
      </c>
      <c r="L688" s="6">
        <f>IF($B687="","",IF(ABS(B698)&lt;='Opening Balance'!$B$13,ROUND(E688+B698,2),E688))</f>
        <v/>
      </c>
    </row>
    <row r="689">
      <c r="A689" t="inlineStr">
        <is>
          <t>Misc Charges 杂项费用</t>
        </is>
      </c>
      <c r="B689" s="6">
        <f>IF($B687="","",'Daily Sale entry '!C51)</f>
        <v/>
      </c>
      <c r="D689" t="inlineStr">
        <is>
          <t>cash collection 现金收款</t>
        </is>
      </c>
      <c r="E689" s="6">
        <f>IF($B687="","",'Daily Sale entry '!H51)</f>
        <v/>
      </c>
      <c r="H689" t="inlineStr">
        <is>
          <t>Misc Charges 杂项费用</t>
        </is>
      </c>
      <c r="I689" s="6">
        <f>IF($B687="","",IF(AND(ABS(B698)&gt;'Opening Balance'!$B$13,B698&gt;0),ROUND(B689+B698,2),B689))</f>
        <v/>
      </c>
      <c r="K689" t="inlineStr">
        <is>
          <t>cash collection 现金收款</t>
        </is>
      </c>
      <c r="L689" s="6">
        <f>IF($B687="","",E689)</f>
        <v/>
      </c>
    </row>
    <row r="690">
      <c r="A690" s="1" t="inlineStr">
        <is>
          <t>Other Charges 其他费用</t>
        </is>
      </c>
      <c r="B690" s="9">
        <f>IF($B687="","",'Daily Sale entry '!D51)</f>
        <v/>
      </c>
      <c r="D690" s="1" t="inlineStr">
        <is>
          <t>Cheque Collection 支票收款</t>
        </is>
      </c>
      <c r="E690" s="9">
        <f>IF($B687="","",'Daily Sale entry '!J51)</f>
        <v/>
      </c>
      <c r="H690" s="1" t="inlineStr">
        <is>
          <t>Other Charges 其他费用</t>
        </is>
      </c>
      <c r="I690" s="9">
        <f>IF($B687="","",B690)</f>
        <v/>
      </c>
      <c r="K690" s="1" t="inlineStr">
        <is>
          <t>Cheque Collection 支票收款</t>
        </is>
      </c>
      <c r="L690" s="9">
        <f>IF($B687="","",E690)</f>
        <v/>
      </c>
    </row>
    <row r="691">
      <c r="A691" s="10" t="inlineStr">
        <is>
          <t>Amount 金额  (Cash Sales - Misc - Other)</t>
        </is>
      </c>
      <c r="B691" s="11">
        <f>IF($B687="","",ROUND(B688-B689-B690,2))</f>
        <v/>
      </c>
      <c r="D691" s="12" t="inlineStr">
        <is>
          <t>TNG collection TNG收款</t>
        </is>
      </c>
      <c r="E691" s="13">
        <f>IF($B687="","",'Daily Sale entry '!K51)</f>
        <v/>
      </c>
      <c r="H691" s="10" t="inlineStr">
        <is>
          <t>Amount 金额  (Cash Sales - Misc - Other)</t>
        </is>
      </c>
      <c r="I691" s="11">
        <f>IF($B687="","",ROUND(I688-I689-I690,2))</f>
        <v/>
      </c>
      <c r="K691" s="12" t="inlineStr">
        <is>
          <t>TNG collection TNG收款</t>
        </is>
      </c>
      <c r="L691" s="13">
        <f>IF($B687="","",E691)</f>
        <v/>
      </c>
    </row>
    <row r="692">
      <c r="A692" t="inlineStr">
        <is>
          <t>Credit Collection 赊账收款</t>
        </is>
      </c>
      <c r="B692" s="6">
        <f>IF($B687="","",'Daily Sale entry '!E51)</f>
        <v/>
      </c>
      <c r="D692" t="inlineStr">
        <is>
          <t>Advance Salary_M 预支薪水_M</t>
        </is>
      </c>
      <c r="E692" s="6">
        <f>IF($B687="","",'Daily Sale entry '!L51)</f>
        <v/>
      </c>
      <c r="H692" t="inlineStr">
        <is>
          <t>Credit Collection 赊账收款</t>
        </is>
      </c>
      <c r="I692" s="6">
        <f>IF($B687="","",B692)</f>
        <v/>
      </c>
      <c r="K692" t="inlineStr">
        <is>
          <t>Advance Salary_M 预支薪水_M</t>
        </is>
      </c>
      <c r="L692" s="6">
        <f>IF($B687="","",E692)</f>
        <v/>
      </c>
    </row>
    <row r="693">
      <c r="A693" s="10" t="inlineStr">
        <is>
          <t>Amount 2 金额2  (Amount + Credit Collection)</t>
        </is>
      </c>
      <c r="B693" s="11">
        <f>IF($B687="","",ROUND(B691+B692,2))</f>
        <v/>
      </c>
      <c r="D693" t="inlineStr">
        <is>
          <t>Advance Salary_H 预支薪水_H</t>
        </is>
      </c>
      <c r="E693" s="6">
        <f>IF($B687="","",'Daily Sale entry '!M51)</f>
        <v/>
      </c>
      <c r="H693" s="10" t="inlineStr">
        <is>
          <t>Amount 2 金额2  (Amount + Credit Collection)</t>
        </is>
      </c>
      <c r="I693" s="11">
        <f>IF($B687="","",ROUND(I691+I692,2))</f>
        <v/>
      </c>
      <c r="K693" t="inlineStr">
        <is>
          <t>Advance Salary_H 预支薪水_H</t>
        </is>
      </c>
      <c r="L693" s="6">
        <f>IF($B687="","",E693)</f>
        <v/>
      </c>
    </row>
    <row r="694"/>
    <row r="695">
      <c r="A695" s="1" t="inlineStr">
        <is>
          <t>b/f petty cash 上日备用金结转</t>
        </is>
      </c>
      <c r="B695" s="9">
        <f>IF($B687="","",'Daily Sale entry '!F51)</f>
        <v/>
      </c>
      <c r="D695" s="1" t="n"/>
      <c r="E695" s="1" t="n"/>
      <c r="H695" s="1" t="inlineStr">
        <is>
          <t>b/f petty cash 上日备用金结转</t>
        </is>
      </c>
      <c r="I695" s="9">
        <f>IF($B687="","",B695)</f>
        <v/>
      </c>
      <c r="K695" s="1" t="n"/>
      <c r="L695" s="1" t="n"/>
    </row>
    <row r="696">
      <c r="A696" t="inlineStr">
        <is>
          <t>Total (A) 总计 (A)</t>
        </is>
      </c>
      <c r="B696" s="6">
        <f>IF($B687="","",ROUND(B693+B695,2))</f>
        <v/>
      </c>
      <c r="D696" t="inlineStr">
        <is>
          <t>Total(B) 总计 (B)</t>
        </is>
      </c>
      <c r="E696" s="6">
        <f>IF($B687="","",ROUND(E688+E689+E690+E691+E692+E693,2))</f>
        <v/>
      </c>
      <c r="H696" t="inlineStr">
        <is>
          <t>Total© 总计 (C)</t>
        </is>
      </c>
      <c r="I696" s="6">
        <f>IF($B687="","",ROUND(I693+I695,2))</f>
        <v/>
      </c>
      <c r="K696" t="inlineStr">
        <is>
          <t>Total(D) 总计 (D)</t>
        </is>
      </c>
      <c r="L696" s="6">
        <f>IF($B687="","",ROUND(L688+L689+L690+L691+L692+L693,2))</f>
        <v/>
      </c>
    </row>
    <row r="697">
      <c r="A697" s="14" t="inlineStr">
        <is>
          <t>Total = Amount 2 + b/f petty cash  (金额2 + 上日备用金)</t>
        </is>
      </c>
      <c r="H697" s="14" t="inlineStr">
        <is>
          <t>Total = Amount 2 + b/f petty cash  (金额2 + 上日备用金)</t>
        </is>
      </c>
    </row>
    <row r="698">
      <c r="A698" t="inlineStr">
        <is>
          <t>Different 差额</t>
        </is>
      </c>
      <c r="B698" s="6">
        <f>IF($B687="","",ROUND(B696-E696,2))</f>
        <v/>
      </c>
      <c r="D698">
        <f>IF($B687="","",IF(ABS(B698)&gt;'Opening Balance'!$B$16,"ALERT 警报: Different over RM"&amp;'Opening Balance'!$B$16&amp;" 差额超过RM"&amp;'Opening Balance'!$B$16&amp;" - please check 请检查",IF(B698=0,"Tied 平衡",IF(ABS(B698)&lt;='Opening Balance'!$B$13,"Small difference 小额差额: adjusted on c/f petty cash 已调整备用金",IF(B698&gt;0,"Short 短收: added to Misc Charges 已加入杂项费用","Over 多收: added to Cash Sales 已加入现金销售")))))</f>
        <v/>
      </c>
      <c r="H698" t="inlineStr">
        <is>
          <t>Different 差额</t>
        </is>
      </c>
      <c r="I698" s="6">
        <f>IF($B687="","",ROUND(I696-L696,2))</f>
        <v/>
      </c>
    </row>
    <row r="699"/>
    <row r="700"/>
    <row r="701">
      <c r="A701" t="inlineStr">
        <is>
          <t>Date 日期</t>
        </is>
      </c>
      <c r="B701" s="5">
        <f>IF('Daily Sale entry '!$A52="","",'Daily Sale entry '!$A52)</f>
        <v/>
      </c>
      <c r="H701" t="inlineStr">
        <is>
          <t>After 调整后 (After)</t>
        </is>
      </c>
      <c r="I701" s="5">
        <f>IF($B701="","",B701)</f>
        <v/>
      </c>
    </row>
    <row r="702">
      <c r="A702" t="inlineStr">
        <is>
          <t>Cash Sales 现金销售</t>
        </is>
      </c>
      <c r="B702" s="6">
        <f>IF($B701="","",'Daily Sale entry '!B52)</f>
        <v/>
      </c>
      <c r="D702" t="inlineStr">
        <is>
          <t>c/f petty cash 今日备用金结转</t>
        </is>
      </c>
      <c r="E702" s="6">
        <f>IF($B701="","",'Daily Sale entry '!G52)</f>
        <v/>
      </c>
      <c r="H702" t="inlineStr">
        <is>
          <t>Cash Sales 现金销售</t>
        </is>
      </c>
      <c r="I702" s="6">
        <f>IF($B701="","",IF(AND(ABS(B712)&gt;'Opening Balance'!$B$13,B712&lt;0),ROUND(B702-B712,2),B702))</f>
        <v/>
      </c>
      <c r="K702" t="inlineStr">
        <is>
          <t>c/f petty cash 今日备用金结转</t>
        </is>
      </c>
      <c r="L702" s="6">
        <f>IF($B701="","",IF(ABS(B712)&lt;='Opening Balance'!$B$13,ROUND(E702+B712,2),E702))</f>
        <v/>
      </c>
    </row>
    <row r="703">
      <c r="A703" t="inlineStr">
        <is>
          <t>Misc Charges 杂项费用</t>
        </is>
      </c>
      <c r="B703" s="6">
        <f>IF($B701="","",'Daily Sale entry '!C52)</f>
        <v/>
      </c>
      <c r="D703" t="inlineStr">
        <is>
          <t>cash collection 现金收款</t>
        </is>
      </c>
      <c r="E703" s="6">
        <f>IF($B701="","",'Daily Sale entry '!H52)</f>
        <v/>
      </c>
      <c r="H703" t="inlineStr">
        <is>
          <t>Misc Charges 杂项费用</t>
        </is>
      </c>
      <c r="I703" s="6">
        <f>IF($B701="","",IF(AND(ABS(B712)&gt;'Opening Balance'!$B$13,B712&gt;0),ROUND(B703+B712,2),B703))</f>
        <v/>
      </c>
      <c r="K703" t="inlineStr">
        <is>
          <t>cash collection 现金收款</t>
        </is>
      </c>
      <c r="L703" s="6">
        <f>IF($B701="","",E703)</f>
        <v/>
      </c>
    </row>
    <row r="704">
      <c r="A704" s="1" t="inlineStr">
        <is>
          <t>Other Charges 其他费用</t>
        </is>
      </c>
      <c r="B704" s="9">
        <f>IF($B701="","",'Daily Sale entry '!D52)</f>
        <v/>
      </c>
      <c r="D704" s="1" t="inlineStr">
        <is>
          <t>Cheque Collection 支票收款</t>
        </is>
      </c>
      <c r="E704" s="9">
        <f>IF($B701="","",'Daily Sale entry '!J52)</f>
        <v/>
      </c>
      <c r="H704" s="1" t="inlineStr">
        <is>
          <t>Other Charges 其他费用</t>
        </is>
      </c>
      <c r="I704" s="9">
        <f>IF($B701="","",B704)</f>
        <v/>
      </c>
      <c r="K704" s="1" t="inlineStr">
        <is>
          <t>Cheque Collection 支票收款</t>
        </is>
      </c>
      <c r="L704" s="9">
        <f>IF($B701="","",E704)</f>
        <v/>
      </c>
    </row>
    <row r="705">
      <c r="A705" s="10" t="inlineStr">
        <is>
          <t>Amount 金额  (Cash Sales - Misc - Other)</t>
        </is>
      </c>
      <c r="B705" s="11">
        <f>IF($B701="","",ROUND(B702-B703-B704,2))</f>
        <v/>
      </c>
      <c r="D705" s="12" t="inlineStr">
        <is>
          <t>TNG collection TNG收款</t>
        </is>
      </c>
      <c r="E705" s="13">
        <f>IF($B701="","",'Daily Sale entry '!K52)</f>
        <v/>
      </c>
      <c r="H705" s="10" t="inlineStr">
        <is>
          <t>Amount 金额  (Cash Sales - Misc - Other)</t>
        </is>
      </c>
      <c r="I705" s="11">
        <f>IF($B701="","",ROUND(I702-I703-I704,2))</f>
        <v/>
      </c>
      <c r="K705" s="12" t="inlineStr">
        <is>
          <t>TNG collection TNG收款</t>
        </is>
      </c>
      <c r="L705" s="13">
        <f>IF($B701="","",E705)</f>
        <v/>
      </c>
    </row>
    <row r="706">
      <c r="A706" t="inlineStr">
        <is>
          <t>Credit Collection 赊账收款</t>
        </is>
      </c>
      <c r="B706" s="6">
        <f>IF($B701="","",'Daily Sale entry '!E52)</f>
        <v/>
      </c>
      <c r="D706" t="inlineStr">
        <is>
          <t>Advance Salary_M 预支薪水_M</t>
        </is>
      </c>
      <c r="E706" s="6">
        <f>IF($B701="","",'Daily Sale entry '!L52)</f>
        <v/>
      </c>
      <c r="H706" t="inlineStr">
        <is>
          <t>Credit Collection 赊账收款</t>
        </is>
      </c>
      <c r="I706" s="6">
        <f>IF($B701="","",B706)</f>
        <v/>
      </c>
      <c r="K706" t="inlineStr">
        <is>
          <t>Advance Salary_M 预支薪水_M</t>
        </is>
      </c>
      <c r="L706" s="6">
        <f>IF($B701="","",E706)</f>
        <v/>
      </c>
    </row>
    <row r="707">
      <c r="A707" s="10" t="inlineStr">
        <is>
          <t>Amount 2 金额2  (Amount + Credit Collection)</t>
        </is>
      </c>
      <c r="B707" s="11">
        <f>IF($B701="","",ROUND(B705+B706,2))</f>
        <v/>
      </c>
      <c r="D707" t="inlineStr">
        <is>
          <t>Advance Salary_H 预支薪水_H</t>
        </is>
      </c>
      <c r="E707" s="6">
        <f>IF($B701="","",'Daily Sale entry '!M52)</f>
        <v/>
      </c>
      <c r="H707" s="10" t="inlineStr">
        <is>
          <t>Amount 2 金额2  (Amount + Credit Collection)</t>
        </is>
      </c>
      <c r="I707" s="11">
        <f>IF($B701="","",ROUND(I705+I706,2))</f>
        <v/>
      </c>
      <c r="K707" t="inlineStr">
        <is>
          <t>Advance Salary_H 预支薪水_H</t>
        </is>
      </c>
      <c r="L707" s="6">
        <f>IF($B701="","",E707)</f>
        <v/>
      </c>
    </row>
    <row r="708"/>
    <row r="709">
      <c r="A709" s="1" t="inlineStr">
        <is>
          <t>b/f petty cash 上日备用金结转</t>
        </is>
      </c>
      <c r="B709" s="9">
        <f>IF($B701="","",'Daily Sale entry '!F52)</f>
        <v/>
      </c>
      <c r="D709" s="1" t="n"/>
      <c r="E709" s="1" t="n"/>
      <c r="H709" s="1" t="inlineStr">
        <is>
          <t>b/f petty cash 上日备用金结转</t>
        </is>
      </c>
      <c r="I709" s="9">
        <f>IF($B701="","",B709)</f>
        <v/>
      </c>
      <c r="K709" s="1" t="n"/>
      <c r="L709" s="1" t="n"/>
    </row>
    <row r="710">
      <c r="A710" t="inlineStr">
        <is>
          <t>Total (A) 总计 (A)</t>
        </is>
      </c>
      <c r="B710" s="6">
        <f>IF($B701="","",ROUND(B707+B709,2))</f>
        <v/>
      </c>
      <c r="D710" t="inlineStr">
        <is>
          <t>Total(B) 总计 (B)</t>
        </is>
      </c>
      <c r="E710" s="6">
        <f>IF($B701="","",ROUND(E702+E703+E704+E705+E706+E707,2))</f>
        <v/>
      </c>
      <c r="H710" t="inlineStr">
        <is>
          <t>Total© 总计 (C)</t>
        </is>
      </c>
      <c r="I710" s="6">
        <f>IF($B701="","",ROUND(I707+I709,2))</f>
        <v/>
      </c>
      <c r="K710" t="inlineStr">
        <is>
          <t>Total(D) 总计 (D)</t>
        </is>
      </c>
      <c r="L710" s="6">
        <f>IF($B701="","",ROUND(L702+L703+L704+L705+L706+L707,2))</f>
        <v/>
      </c>
    </row>
    <row r="711">
      <c r="A711" s="14" t="inlineStr">
        <is>
          <t>Total = Amount 2 + b/f petty cash  (金额2 + 上日备用金)</t>
        </is>
      </c>
      <c r="H711" s="14" t="inlineStr">
        <is>
          <t>Total = Amount 2 + b/f petty cash  (金额2 + 上日备用金)</t>
        </is>
      </c>
    </row>
    <row r="712">
      <c r="A712" t="inlineStr">
        <is>
          <t>Different 差额</t>
        </is>
      </c>
      <c r="B712" s="6">
        <f>IF($B701="","",ROUND(B710-E710,2))</f>
        <v/>
      </c>
      <c r="D712">
        <f>IF($B701="","",IF(ABS(B712)&gt;'Opening Balance'!$B$16,"ALERT 警报: Different over RM"&amp;'Opening Balance'!$B$16&amp;" 差额超过RM"&amp;'Opening Balance'!$B$16&amp;" - please check 请检查",IF(B712=0,"Tied 平衡",IF(ABS(B712)&lt;='Opening Balance'!$B$13,"Small difference 小额差额: adjusted on c/f petty cash 已调整备用金",IF(B712&gt;0,"Short 短收: added to Misc Charges 已加入杂项费用","Over 多收: added to Cash Sales 已加入现金销售")))))</f>
        <v/>
      </c>
      <c r="H712" t="inlineStr">
        <is>
          <t>Different 差额</t>
        </is>
      </c>
      <c r="I712" s="6">
        <f>IF($B701="","",ROUND(I710-L710,2))</f>
        <v/>
      </c>
    </row>
    <row r="713"/>
    <row r="714"/>
    <row r="715">
      <c r="A715" t="inlineStr">
        <is>
          <t>Date 日期</t>
        </is>
      </c>
      <c r="B715" s="5">
        <f>IF('Daily Sale entry '!$A53="","",'Daily Sale entry '!$A53)</f>
        <v/>
      </c>
      <c r="H715" t="inlineStr">
        <is>
          <t>After 调整后 (After)</t>
        </is>
      </c>
      <c r="I715" s="5">
        <f>IF($B715="","",B715)</f>
        <v/>
      </c>
    </row>
    <row r="716">
      <c r="A716" t="inlineStr">
        <is>
          <t>Cash Sales 现金销售</t>
        </is>
      </c>
      <c r="B716" s="6">
        <f>IF($B715="","",'Daily Sale entry '!B53)</f>
        <v/>
      </c>
      <c r="D716" t="inlineStr">
        <is>
          <t>c/f petty cash 今日备用金结转</t>
        </is>
      </c>
      <c r="E716" s="6">
        <f>IF($B715="","",'Daily Sale entry '!G53)</f>
        <v/>
      </c>
      <c r="H716" t="inlineStr">
        <is>
          <t>Cash Sales 现金销售</t>
        </is>
      </c>
      <c r="I716" s="6">
        <f>IF($B715="","",IF(AND(ABS(B726)&gt;'Opening Balance'!$B$13,B726&lt;0),ROUND(B716-B726,2),B716))</f>
        <v/>
      </c>
      <c r="K716" t="inlineStr">
        <is>
          <t>c/f petty cash 今日备用金结转</t>
        </is>
      </c>
      <c r="L716" s="6">
        <f>IF($B715="","",IF(ABS(B726)&lt;='Opening Balance'!$B$13,ROUND(E716+B726,2),E716))</f>
        <v/>
      </c>
    </row>
    <row r="717">
      <c r="A717" t="inlineStr">
        <is>
          <t>Misc Charges 杂项费用</t>
        </is>
      </c>
      <c r="B717" s="6">
        <f>IF($B715="","",'Daily Sale entry '!C53)</f>
        <v/>
      </c>
      <c r="D717" t="inlineStr">
        <is>
          <t>cash collection 现金收款</t>
        </is>
      </c>
      <c r="E717" s="6">
        <f>IF($B715="","",'Daily Sale entry '!H53)</f>
        <v/>
      </c>
      <c r="H717" t="inlineStr">
        <is>
          <t>Misc Charges 杂项费用</t>
        </is>
      </c>
      <c r="I717" s="6">
        <f>IF($B715="","",IF(AND(ABS(B726)&gt;'Opening Balance'!$B$13,B726&gt;0),ROUND(B717+B726,2),B717))</f>
        <v/>
      </c>
      <c r="K717" t="inlineStr">
        <is>
          <t>cash collection 现金收款</t>
        </is>
      </c>
      <c r="L717" s="6">
        <f>IF($B715="","",E717)</f>
        <v/>
      </c>
    </row>
    <row r="718">
      <c r="A718" s="1" t="inlineStr">
        <is>
          <t>Other Charges 其他费用</t>
        </is>
      </c>
      <c r="B718" s="9">
        <f>IF($B715="","",'Daily Sale entry '!D53)</f>
        <v/>
      </c>
      <c r="D718" s="1" t="inlineStr">
        <is>
          <t>Cheque Collection 支票收款</t>
        </is>
      </c>
      <c r="E718" s="9">
        <f>IF($B715="","",'Daily Sale entry '!J53)</f>
        <v/>
      </c>
      <c r="H718" s="1" t="inlineStr">
        <is>
          <t>Other Charges 其他费用</t>
        </is>
      </c>
      <c r="I718" s="9">
        <f>IF($B715="","",B718)</f>
        <v/>
      </c>
      <c r="K718" s="1" t="inlineStr">
        <is>
          <t>Cheque Collection 支票收款</t>
        </is>
      </c>
      <c r="L718" s="9">
        <f>IF($B715="","",E718)</f>
        <v/>
      </c>
    </row>
    <row r="719">
      <c r="A719" s="10" t="inlineStr">
        <is>
          <t>Amount 金额  (Cash Sales - Misc - Other)</t>
        </is>
      </c>
      <c r="B719" s="11">
        <f>IF($B715="","",ROUND(B716-B717-B718,2))</f>
        <v/>
      </c>
      <c r="D719" s="12" t="inlineStr">
        <is>
          <t>TNG collection TNG收款</t>
        </is>
      </c>
      <c r="E719" s="13">
        <f>IF($B715="","",'Daily Sale entry '!K53)</f>
        <v/>
      </c>
      <c r="H719" s="10" t="inlineStr">
        <is>
          <t>Amount 金额  (Cash Sales - Misc - Other)</t>
        </is>
      </c>
      <c r="I719" s="11">
        <f>IF($B715="","",ROUND(I716-I717-I718,2))</f>
        <v/>
      </c>
      <c r="K719" s="12" t="inlineStr">
        <is>
          <t>TNG collection TNG收款</t>
        </is>
      </c>
      <c r="L719" s="13">
        <f>IF($B715="","",E719)</f>
        <v/>
      </c>
    </row>
    <row r="720">
      <c r="A720" t="inlineStr">
        <is>
          <t>Credit Collection 赊账收款</t>
        </is>
      </c>
      <c r="B720" s="6">
        <f>IF($B715="","",'Daily Sale entry '!E53)</f>
        <v/>
      </c>
      <c r="D720" t="inlineStr">
        <is>
          <t>Advance Salary_M 预支薪水_M</t>
        </is>
      </c>
      <c r="E720" s="6">
        <f>IF($B715="","",'Daily Sale entry '!L53)</f>
        <v/>
      </c>
      <c r="H720" t="inlineStr">
        <is>
          <t>Credit Collection 赊账收款</t>
        </is>
      </c>
      <c r="I720" s="6">
        <f>IF($B715="","",B720)</f>
        <v/>
      </c>
      <c r="K720" t="inlineStr">
        <is>
          <t>Advance Salary_M 预支薪水_M</t>
        </is>
      </c>
      <c r="L720" s="6">
        <f>IF($B715="","",E720)</f>
        <v/>
      </c>
    </row>
    <row r="721">
      <c r="A721" s="10" t="inlineStr">
        <is>
          <t>Amount 2 金额2  (Amount + Credit Collection)</t>
        </is>
      </c>
      <c r="B721" s="11">
        <f>IF($B715="","",ROUND(B719+B720,2))</f>
        <v/>
      </c>
      <c r="D721" t="inlineStr">
        <is>
          <t>Advance Salary_H 预支薪水_H</t>
        </is>
      </c>
      <c r="E721" s="6">
        <f>IF($B715="","",'Daily Sale entry '!M53)</f>
        <v/>
      </c>
      <c r="H721" s="10" t="inlineStr">
        <is>
          <t>Amount 2 金额2  (Amount + Credit Collection)</t>
        </is>
      </c>
      <c r="I721" s="11">
        <f>IF($B715="","",ROUND(I719+I720,2))</f>
        <v/>
      </c>
      <c r="K721" t="inlineStr">
        <is>
          <t>Advance Salary_H 预支薪水_H</t>
        </is>
      </c>
      <c r="L721" s="6">
        <f>IF($B715="","",E721)</f>
        <v/>
      </c>
    </row>
    <row r="722"/>
    <row r="723">
      <c r="A723" s="1" t="inlineStr">
        <is>
          <t>b/f petty cash 上日备用金结转</t>
        </is>
      </c>
      <c r="B723" s="9">
        <f>IF($B715="","",'Daily Sale entry '!F53)</f>
        <v/>
      </c>
      <c r="D723" s="1" t="n"/>
      <c r="E723" s="1" t="n"/>
      <c r="H723" s="1" t="inlineStr">
        <is>
          <t>b/f petty cash 上日备用金结转</t>
        </is>
      </c>
      <c r="I723" s="9">
        <f>IF($B715="","",B723)</f>
        <v/>
      </c>
      <c r="K723" s="1" t="n"/>
      <c r="L723" s="1" t="n"/>
    </row>
    <row r="724">
      <c r="A724" t="inlineStr">
        <is>
          <t>Total (A) 总计 (A)</t>
        </is>
      </c>
      <c r="B724" s="6">
        <f>IF($B715="","",ROUND(B721+B723,2))</f>
        <v/>
      </c>
      <c r="D724" t="inlineStr">
        <is>
          <t>Total(B) 总计 (B)</t>
        </is>
      </c>
      <c r="E724" s="6">
        <f>IF($B715="","",ROUND(E716+E717+E718+E719+E720+E721,2))</f>
        <v/>
      </c>
      <c r="H724" t="inlineStr">
        <is>
          <t>Total© 总计 (C)</t>
        </is>
      </c>
      <c r="I724" s="6">
        <f>IF($B715="","",ROUND(I721+I723,2))</f>
        <v/>
      </c>
      <c r="K724" t="inlineStr">
        <is>
          <t>Total(D) 总计 (D)</t>
        </is>
      </c>
      <c r="L724" s="6">
        <f>IF($B715="","",ROUND(L716+L717+L718+L719+L720+L721,2))</f>
        <v/>
      </c>
    </row>
    <row r="725">
      <c r="A725" s="14" t="inlineStr">
        <is>
          <t>Total = Amount 2 + b/f petty cash  (金额2 + 上日备用金)</t>
        </is>
      </c>
      <c r="H725" s="14" t="inlineStr">
        <is>
          <t>Total = Amount 2 + b/f petty cash  (金额2 + 上日备用金)</t>
        </is>
      </c>
    </row>
    <row r="726">
      <c r="A726" t="inlineStr">
        <is>
          <t>Different 差额</t>
        </is>
      </c>
      <c r="B726" s="6">
        <f>IF($B715="","",ROUND(B724-E724,2))</f>
        <v/>
      </c>
      <c r="D726">
        <f>IF($B715="","",IF(ABS(B726)&gt;'Opening Balance'!$B$16,"ALERT 警报: Different over RM"&amp;'Opening Balance'!$B$16&amp;" 差额超过RM"&amp;'Opening Balance'!$B$16&amp;" - please check 请检查",IF(B726=0,"Tied 平衡",IF(ABS(B726)&lt;='Opening Balance'!$B$13,"Small difference 小额差额: adjusted on c/f petty cash 已调整备用金",IF(B726&gt;0,"Short 短收: added to Misc Charges 已加入杂项费用","Over 多收: added to Cash Sales 已加入现金销售")))))</f>
        <v/>
      </c>
      <c r="H726" t="inlineStr">
        <is>
          <t>Different 差额</t>
        </is>
      </c>
      <c r="I726" s="6">
        <f>IF($B715="","",ROUND(I724-L724,2))</f>
        <v/>
      </c>
    </row>
    <row r="727"/>
    <row r="728"/>
    <row r="729">
      <c r="A729" t="inlineStr">
        <is>
          <t>Date 日期</t>
        </is>
      </c>
      <c r="B729" s="5">
        <f>IF('Daily Sale entry '!$A54="","",'Daily Sale entry '!$A54)</f>
        <v/>
      </c>
      <c r="H729" t="inlineStr">
        <is>
          <t>After 调整后 (After)</t>
        </is>
      </c>
      <c r="I729" s="5">
        <f>IF($B729="","",B729)</f>
        <v/>
      </c>
    </row>
    <row r="730">
      <c r="A730" t="inlineStr">
        <is>
          <t>Cash Sales 现金销售</t>
        </is>
      </c>
      <c r="B730" s="6">
        <f>IF($B729="","",'Daily Sale entry '!B54)</f>
        <v/>
      </c>
      <c r="D730" t="inlineStr">
        <is>
          <t>c/f petty cash 今日备用金结转</t>
        </is>
      </c>
      <c r="E730" s="6">
        <f>IF($B729="","",'Daily Sale entry '!G54)</f>
        <v/>
      </c>
      <c r="H730" t="inlineStr">
        <is>
          <t>Cash Sales 现金销售</t>
        </is>
      </c>
      <c r="I730" s="6">
        <f>IF($B729="","",IF(AND(ABS(B740)&gt;'Opening Balance'!$B$13,B740&lt;0),ROUND(B730-B740,2),B730))</f>
        <v/>
      </c>
      <c r="K730" t="inlineStr">
        <is>
          <t>c/f petty cash 今日备用金结转</t>
        </is>
      </c>
      <c r="L730" s="6">
        <f>IF($B729="","",IF(ABS(B740)&lt;='Opening Balance'!$B$13,ROUND(E730+B740,2),E730))</f>
        <v/>
      </c>
    </row>
    <row r="731">
      <c r="A731" t="inlineStr">
        <is>
          <t>Misc Charges 杂项费用</t>
        </is>
      </c>
      <c r="B731" s="6">
        <f>IF($B729="","",'Daily Sale entry '!C54)</f>
        <v/>
      </c>
      <c r="D731" t="inlineStr">
        <is>
          <t>cash collection 现金收款</t>
        </is>
      </c>
      <c r="E731" s="6">
        <f>IF($B729="","",'Daily Sale entry '!H54)</f>
        <v/>
      </c>
      <c r="H731" t="inlineStr">
        <is>
          <t>Misc Charges 杂项费用</t>
        </is>
      </c>
      <c r="I731" s="6">
        <f>IF($B729="","",IF(AND(ABS(B740)&gt;'Opening Balance'!$B$13,B740&gt;0),ROUND(B731+B740,2),B731))</f>
        <v/>
      </c>
      <c r="K731" t="inlineStr">
        <is>
          <t>cash collection 现金收款</t>
        </is>
      </c>
      <c r="L731" s="6">
        <f>IF($B729="","",E731)</f>
        <v/>
      </c>
    </row>
    <row r="732">
      <c r="A732" s="1" t="inlineStr">
        <is>
          <t>Other Charges 其他费用</t>
        </is>
      </c>
      <c r="B732" s="9">
        <f>IF($B729="","",'Daily Sale entry '!D54)</f>
        <v/>
      </c>
      <c r="D732" s="1" t="inlineStr">
        <is>
          <t>Cheque Collection 支票收款</t>
        </is>
      </c>
      <c r="E732" s="9">
        <f>IF($B729="","",'Daily Sale entry '!J54)</f>
        <v/>
      </c>
      <c r="H732" s="1" t="inlineStr">
        <is>
          <t>Other Charges 其他费用</t>
        </is>
      </c>
      <c r="I732" s="9">
        <f>IF($B729="","",B732)</f>
        <v/>
      </c>
      <c r="K732" s="1" t="inlineStr">
        <is>
          <t>Cheque Collection 支票收款</t>
        </is>
      </c>
      <c r="L732" s="9">
        <f>IF($B729="","",E732)</f>
        <v/>
      </c>
    </row>
    <row r="733">
      <c r="A733" s="10" t="inlineStr">
        <is>
          <t>Amount 金额  (Cash Sales - Misc - Other)</t>
        </is>
      </c>
      <c r="B733" s="11">
        <f>IF($B729="","",ROUND(B730-B731-B732,2))</f>
        <v/>
      </c>
      <c r="D733" s="12" t="inlineStr">
        <is>
          <t>TNG collection TNG收款</t>
        </is>
      </c>
      <c r="E733" s="13">
        <f>IF($B729="","",'Daily Sale entry '!K54)</f>
        <v/>
      </c>
      <c r="H733" s="10" t="inlineStr">
        <is>
          <t>Amount 金额  (Cash Sales - Misc - Other)</t>
        </is>
      </c>
      <c r="I733" s="11">
        <f>IF($B729="","",ROUND(I730-I731-I732,2))</f>
        <v/>
      </c>
      <c r="K733" s="12" t="inlineStr">
        <is>
          <t>TNG collection TNG收款</t>
        </is>
      </c>
      <c r="L733" s="13">
        <f>IF($B729="","",E733)</f>
        <v/>
      </c>
    </row>
    <row r="734">
      <c r="A734" t="inlineStr">
        <is>
          <t>Credit Collection 赊账收款</t>
        </is>
      </c>
      <c r="B734" s="6">
        <f>IF($B729="","",'Daily Sale entry '!E54)</f>
        <v/>
      </c>
      <c r="D734" t="inlineStr">
        <is>
          <t>Advance Salary_M 预支薪水_M</t>
        </is>
      </c>
      <c r="E734" s="6">
        <f>IF($B729="","",'Daily Sale entry '!L54)</f>
        <v/>
      </c>
      <c r="H734" t="inlineStr">
        <is>
          <t>Credit Collection 赊账收款</t>
        </is>
      </c>
      <c r="I734" s="6">
        <f>IF($B729="","",B734)</f>
        <v/>
      </c>
      <c r="K734" t="inlineStr">
        <is>
          <t>Advance Salary_M 预支薪水_M</t>
        </is>
      </c>
      <c r="L734" s="6">
        <f>IF($B729="","",E734)</f>
        <v/>
      </c>
    </row>
    <row r="735">
      <c r="A735" s="10" t="inlineStr">
        <is>
          <t>Amount 2 金额2  (Amount + Credit Collection)</t>
        </is>
      </c>
      <c r="B735" s="11">
        <f>IF($B729="","",ROUND(B733+B734,2))</f>
        <v/>
      </c>
      <c r="D735" t="inlineStr">
        <is>
          <t>Advance Salary_H 预支薪水_H</t>
        </is>
      </c>
      <c r="E735" s="6">
        <f>IF($B729="","",'Daily Sale entry '!M54)</f>
        <v/>
      </c>
      <c r="H735" s="10" t="inlineStr">
        <is>
          <t>Amount 2 金额2  (Amount + Credit Collection)</t>
        </is>
      </c>
      <c r="I735" s="11">
        <f>IF($B729="","",ROUND(I733+I734,2))</f>
        <v/>
      </c>
      <c r="K735" t="inlineStr">
        <is>
          <t>Advance Salary_H 预支薪水_H</t>
        </is>
      </c>
      <c r="L735" s="6">
        <f>IF($B729="","",E735)</f>
        <v/>
      </c>
    </row>
    <row r="736"/>
    <row r="737">
      <c r="A737" s="1" t="inlineStr">
        <is>
          <t>b/f petty cash 上日备用金结转</t>
        </is>
      </c>
      <c r="B737" s="9">
        <f>IF($B729="","",'Daily Sale entry '!F54)</f>
        <v/>
      </c>
      <c r="D737" s="1" t="n"/>
      <c r="E737" s="1" t="n"/>
      <c r="H737" s="1" t="inlineStr">
        <is>
          <t>b/f petty cash 上日备用金结转</t>
        </is>
      </c>
      <c r="I737" s="9">
        <f>IF($B729="","",B737)</f>
        <v/>
      </c>
      <c r="K737" s="1" t="n"/>
      <c r="L737" s="1" t="n"/>
    </row>
    <row r="738">
      <c r="A738" t="inlineStr">
        <is>
          <t>Total (A) 总计 (A)</t>
        </is>
      </c>
      <c r="B738" s="6">
        <f>IF($B729="","",ROUND(B735+B737,2))</f>
        <v/>
      </c>
      <c r="D738" t="inlineStr">
        <is>
          <t>Total(B) 总计 (B)</t>
        </is>
      </c>
      <c r="E738" s="6">
        <f>IF($B729="","",ROUND(E730+E731+E732+E733+E734+E735,2))</f>
        <v/>
      </c>
      <c r="H738" t="inlineStr">
        <is>
          <t>Total© 总计 (C)</t>
        </is>
      </c>
      <c r="I738" s="6">
        <f>IF($B729="","",ROUND(I735+I737,2))</f>
        <v/>
      </c>
      <c r="K738" t="inlineStr">
        <is>
          <t>Total(D) 总计 (D)</t>
        </is>
      </c>
      <c r="L738" s="6">
        <f>IF($B729="","",ROUND(L730+L731+L732+L733+L734+L735,2))</f>
        <v/>
      </c>
    </row>
    <row r="739">
      <c r="A739" s="14" t="inlineStr">
        <is>
          <t>Total = Amount 2 + b/f petty cash  (金额2 + 上日备用金)</t>
        </is>
      </c>
      <c r="H739" s="14" t="inlineStr">
        <is>
          <t>Total = Amount 2 + b/f petty cash  (金额2 + 上日备用金)</t>
        </is>
      </c>
    </row>
    <row r="740">
      <c r="A740" t="inlineStr">
        <is>
          <t>Different 差额</t>
        </is>
      </c>
      <c r="B740" s="6">
        <f>IF($B729="","",ROUND(B738-E738,2))</f>
        <v/>
      </c>
      <c r="D740">
        <f>IF($B729="","",IF(ABS(B740)&gt;'Opening Balance'!$B$16,"ALERT 警报: Different over RM"&amp;'Opening Balance'!$B$16&amp;" 差额超过RM"&amp;'Opening Balance'!$B$16&amp;" - please check 请检查",IF(B740=0,"Tied 平衡",IF(ABS(B740)&lt;='Opening Balance'!$B$13,"Small difference 小额差额: adjusted on c/f petty cash 已调整备用金",IF(B740&gt;0,"Short 短收: added to Misc Charges 已加入杂项费用","Over 多收: added to Cash Sales 已加入现金销售")))))</f>
        <v/>
      </c>
      <c r="H740" t="inlineStr">
        <is>
          <t>Different 差额</t>
        </is>
      </c>
      <c r="I740" s="6">
        <f>IF($B729="","",ROUND(I738-L738,2))</f>
        <v/>
      </c>
    </row>
    <row r="741"/>
    <row r="742"/>
    <row r="743">
      <c r="A743" t="inlineStr">
        <is>
          <t>Date 日期</t>
        </is>
      </c>
      <c r="B743" s="5">
        <f>IF('Daily Sale entry '!$A55="","",'Daily Sale entry '!$A55)</f>
        <v/>
      </c>
      <c r="H743" t="inlineStr">
        <is>
          <t>After 调整后 (After)</t>
        </is>
      </c>
      <c r="I743" s="5">
        <f>IF($B743="","",B743)</f>
        <v/>
      </c>
    </row>
    <row r="744">
      <c r="A744" t="inlineStr">
        <is>
          <t>Cash Sales 现金销售</t>
        </is>
      </c>
      <c r="B744" s="6">
        <f>IF($B743="","",'Daily Sale entry '!B55)</f>
        <v/>
      </c>
      <c r="D744" t="inlineStr">
        <is>
          <t>c/f petty cash 今日备用金结转</t>
        </is>
      </c>
      <c r="E744" s="6">
        <f>IF($B743="","",'Daily Sale entry '!G55)</f>
        <v/>
      </c>
      <c r="H744" t="inlineStr">
        <is>
          <t>Cash Sales 现金销售</t>
        </is>
      </c>
      <c r="I744" s="6">
        <f>IF($B743="","",IF(AND(ABS(B754)&gt;'Opening Balance'!$B$13,B754&lt;0),ROUND(B744-B754,2),B744))</f>
        <v/>
      </c>
      <c r="K744" t="inlineStr">
        <is>
          <t>c/f petty cash 今日备用金结转</t>
        </is>
      </c>
      <c r="L744" s="6">
        <f>IF($B743="","",IF(ABS(B754)&lt;='Opening Balance'!$B$13,ROUND(E744+B754,2),E744))</f>
        <v/>
      </c>
    </row>
    <row r="745">
      <c r="A745" t="inlineStr">
        <is>
          <t>Misc Charges 杂项费用</t>
        </is>
      </c>
      <c r="B745" s="6">
        <f>IF($B743="","",'Daily Sale entry '!C55)</f>
        <v/>
      </c>
      <c r="D745" t="inlineStr">
        <is>
          <t>cash collection 现金收款</t>
        </is>
      </c>
      <c r="E745" s="6">
        <f>IF($B743="","",'Daily Sale entry '!H55)</f>
        <v/>
      </c>
      <c r="H745" t="inlineStr">
        <is>
          <t>Misc Charges 杂项费用</t>
        </is>
      </c>
      <c r="I745" s="6">
        <f>IF($B743="","",IF(AND(ABS(B754)&gt;'Opening Balance'!$B$13,B754&gt;0),ROUND(B745+B754,2),B745))</f>
        <v/>
      </c>
      <c r="K745" t="inlineStr">
        <is>
          <t>cash collection 现金收款</t>
        </is>
      </c>
      <c r="L745" s="6">
        <f>IF($B743="","",E745)</f>
        <v/>
      </c>
    </row>
    <row r="746">
      <c r="A746" s="1" t="inlineStr">
        <is>
          <t>Other Charges 其他费用</t>
        </is>
      </c>
      <c r="B746" s="9">
        <f>IF($B743="","",'Daily Sale entry '!D55)</f>
        <v/>
      </c>
      <c r="D746" s="1" t="inlineStr">
        <is>
          <t>Cheque Collection 支票收款</t>
        </is>
      </c>
      <c r="E746" s="9">
        <f>IF($B743="","",'Daily Sale entry '!J55)</f>
        <v/>
      </c>
      <c r="H746" s="1" t="inlineStr">
        <is>
          <t>Other Charges 其他费用</t>
        </is>
      </c>
      <c r="I746" s="9">
        <f>IF($B743="","",B746)</f>
        <v/>
      </c>
      <c r="K746" s="1" t="inlineStr">
        <is>
          <t>Cheque Collection 支票收款</t>
        </is>
      </c>
      <c r="L746" s="9">
        <f>IF($B743="","",E746)</f>
        <v/>
      </c>
    </row>
    <row r="747">
      <c r="A747" s="10" t="inlineStr">
        <is>
          <t>Amount 金额  (Cash Sales - Misc - Other)</t>
        </is>
      </c>
      <c r="B747" s="11">
        <f>IF($B743="","",ROUND(B744-B745-B746,2))</f>
        <v/>
      </c>
      <c r="D747" s="12" t="inlineStr">
        <is>
          <t>TNG collection TNG收款</t>
        </is>
      </c>
      <c r="E747" s="13">
        <f>IF($B743="","",'Daily Sale entry '!K55)</f>
        <v/>
      </c>
      <c r="H747" s="10" t="inlineStr">
        <is>
          <t>Amount 金额  (Cash Sales - Misc - Other)</t>
        </is>
      </c>
      <c r="I747" s="11">
        <f>IF($B743="","",ROUND(I744-I745-I746,2))</f>
        <v/>
      </c>
      <c r="K747" s="12" t="inlineStr">
        <is>
          <t>TNG collection TNG收款</t>
        </is>
      </c>
      <c r="L747" s="13">
        <f>IF($B743="","",E747)</f>
        <v/>
      </c>
    </row>
    <row r="748">
      <c r="A748" t="inlineStr">
        <is>
          <t>Credit Collection 赊账收款</t>
        </is>
      </c>
      <c r="B748" s="6">
        <f>IF($B743="","",'Daily Sale entry '!E55)</f>
        <v/>
      </c>
      <c r="D748" t="inlineStr">
        <is>
          <t>Advance Salary_M 预支薪水_M</t>
        </is>
      </c>
      <c r="E748" s="6">
        <f>IF($B743="","",'Daily Sale entry '!L55)</f>
        <v/>
      </c>
      <c r="H748" t="inlineStr">
        <is>
          <t>Credit Collection 赊账收款</t>
        </is>
      </c>
      <c r="I748" s="6">
        <f>IF($B743="","",B748)</f>
        <v/>
      </c>
      <c r="K748" t="inlineStr">
        <is>
          <t>Advance Salary_M 预支薪水_M</t>
        </is>
      </c>
      <c r="L748" s="6">
        <f>IF($B743="","",E748)</f>
        <v/>
      </c>
    </row>
    <row r="749">
      <c r="A749" s="10" t="inlineStr">
        <is>
          <t>Amount 2 金额2  (Amount + Credit Collection)</t>
        </is>
      </c>
      <c r="B749" s="11">
        <f>IF($B743="","",ROUND(B747+B748,2))</f>
        <v/>
      </c>
      <c r="D749" t="inlineStr">
        <is>
          <t>Advance Salary_H 预支薪水_H</t>
        </is>
      </c>
      <c r="E749" s="6">
        <f>IF($B743="","",'Daily Sale entry '!M55)</f>
        <v/>
      </c>
      <c r="H749" s="10" t="inlineStr">
        <is>
          <t>Amount 2 金额2  (Amount + Credit Collection)</t>
        </is>
      </c>
      <c r="I749" s="11">
        <f>IF($B743="","",ROUND(I747+I748,2))</f>
        <v/>
      </c>
      <c r="K749" t="inlineStr">
        <is>
          <t>Advance Salary_H 预支薪水_H</t>
        </is>
      </c>
      <c r="L749" s="6">
        <f>IF($B743="","",E749)</f>
        <v/>
      </c>
    </row>
    <row r="750"/>
    <row r="751">
      <c r="A751" s="1" t="inlineStr">
        <is>
          <t>b/f petty cash 上日备用金结转</t>
        </is>
      </c>
      <c r="B751" s="9">
        <f>IF($B743="","",'Daily Sale entry '!F55)</f>
        <v/>
      </c>
      <c r="D751" s="1" t="n"/>
      <c r="E751" s="1" t="n"/>
      <c r="H751" s="1" t="inlineStr">
        <is>
          <t>b/f petty cash 上日备用金结转</t>
        </is>
      </c>
      <c r="I751" s="9">
        <f>IF($B743="","",B751)</f>
        <v/>
      </c>
      <c r="K751" s="1" t="n"/>
      <c r="L751" s="1" t="n"/>
    </row>
    <row r="752">
      <c r="A752" t="inlineStr">
        <is>
          <t>Total (A) 总计 (A)</t>
        </is>
      </c>
      <c r="B752" s="6">
        <f>IF($B743="","",ROUND(B749+B751,2))</f>
        <v/>
      </c>
      <c r="D752" t="inlineStr">
        <is>
          <t>Total(B) 总计 (B)</t>
        </is>
      </c>
      <c r="E752" s="6">
        <f>IF($B743="","",ROUND(E744+E745+E746+E747+E748+E749,2))</f>
        <v/>
      </c>
      <c r="H752" t="inlineStr">
        <is>
          <t>Total© 总计 (C)</t>
        </is>
      </c>
      <c r="I752" s="6">
        <f>IF($B743="","",ROUND(I749+I751,2))</f>
        <v/>
      </c>
      <c r="K752" t="inlineStr">
        <is>
          <t>Total(D) 总计 (D)</t>
        </is>
      </c>
      <c r="L752" s="6">
        <f>IF($B743="","",ROUND(L744+L745+L746+L747+L748+L749,2))</f>
        <v/>
      </c>
    </row>
    <row r="753">
      <c r="A753" s="14" t="inlineStr">
        <is>
          <t>Total = Amount 2 + b/f petty cash  (金额2 + 上日备用金)</t>
        </is>
      </c>
      <c r="H753" s="14" t="inlineStr">
        <is>
          <t>Total = Amount 2 + b/f petty cash  (金额2 + 上日备用金)</t>
        </is>
      </c>
    </row>
    <row r="754">
      <c r="A754" t="inlineStr">
        <is>
          <t>Different 差额</t>
        </is>
      </c>
      <c r="B754" s="6">
        <f>IF($B743="","",ROUND(B752-E752,2))</f>
        <v/>
      </c>
      <c r="D754">
        <f>IF($B743="","",IF(ABS(B754)&gt;'Opening Balance'!$B$16,"ALERT 警报: Different over RM"&amp;'Opening Balance'!$B$16&amp;" 差额超过RM"&amp;'Opening Balance'!$B$16&amp;" - please check 请检查",IF(B754=0,"Tied 平衡",IF(ABS(B754)&lt;='Opening Balance'!$B$13,"Small difference 小额差额: adjusted on c/f petty cash 已调整备用金",IF(B754&gt;0,"Short 短收: added to Misc Charges 已加入杂项费用","Over 多收: added to Cash Sales 已加入现金销售")))))</f>
        <v/>
      </c>
      <c r="H754" t="inlineStr">
        <is>
          <t>Different 差额</t>
        </is>
      </c>
      <c r="I754" s="6">
        <f>IF($B743="","",ROUND(I752-L752,2))</f>
        <v/>
      </c>
    </row>
    <row r="755"/>
    <row r="756"/>
    <row r="757">
      <c r="A757" t="inlineStr">
        <is>
          <t>Date 日期</t>
        </is>
      </c>
      <c r="B757" s="5">
        <f>IF('Daily Sale entry '!$A56="","",'Daily Sale entry '!$A56)</f>
        <v/>
      </c>
      <c r="H757" t="inlineStr">
        <is>
          <t>After 调整后 (After)</t>
        </is>
      </c>
      <c r="I757" s="5">
        <f>IF($B757="","",B757)</f>
        <v/>
      </c>
    </row>
    <row r="758">
      <c r="A758" t="inlineStr">
        <is>
          <t>Cash Sales 现金销售</t>
        </is>
      </c>
      <c r="B758" s="6">
        <f>IF($B757="","",'Daily Sale entry '!B56)</f>
        <v/>
      </c>
      <c r="D758" t="inlineStr">
        <is>
          <t>c/f petty cash 今日备用金结转</t>
        </is>
      </c>
      <c r="E758" s="6">
        <f>IF($B757="","",'Daily Sale entry '!G56)</f>
        <v/>
      </c>
      <c r="H758" t="inlineStr">
        <is>
          <t>Cash Sales 现金销售</t>
        </is>
      </c>
      <c r="I758" s="6">
        <f>IF($B757="","",IF(AND(ABS(B768)&gt;'Opening Balance'!$B$13,B768&lt;0),ROUND(B758-B768,2),B758))</f>
        <v/>
      </c>
      <c r="K758" t="inlineStr">
        <is>
          <t>c/f petty cash 今日备用金结转</t>
        </is>
      </c>
      <c r="L758" s="6">
        <f>IF($B757="","",IF(ABS(B768)&lt;='Opening Balance'!$B$13,ROUND(E758+B768,2),E758))</f>
        <v/>
      </c>
    </row>
    <row r="759">
      <c r="A759" t="inlineStr">
        <is>
          <t>Misc Charges 杂项费用</t>
        </is>
      </c>
      <c r="B759" s="6">
        <f>IF($B757="","",'Daily Sale entry '!C56)</f>
        <v/>
      </c>
      <c r="D759" t="inlineStr">
        <is>
          <t>cash collection 现金收款</t>
        </is>
      </c>
      <c r="E759" s="6">
        <f>IF($B757="","",'Daily Sale entry '!H56)</f>
        <v/>
      </c>
      <c r="H759" t="inlineStr">
        <is>
          <t>Misc Charges 杂项费用</t>
        </is>
      </c>
      <c r="I759" s="6">
        <f>IF($B757="","",IF(AND(ABS(B768)&gt;'Opening Balance'!$B$13,B768&gt;0),ROUND(B759+B768,2),B759))</f>
        <v/>
      </c>
      <c r="K759" t="inlineStr">
        <is>
          <t>cash collection 现金收款</t>
        </is>
      </c>
      <c r="L759" s="6">
        <f>IF($B757="","",E759)</f>
        <v/>
      </c>
    </row>
    <row r="760">
      <c r="A760" s="1" t="inlineStr">
        <is>
          <t>Other Charges 其他费用</t>
        </is>
      </c>
      <c r="B760" s="9">
        <f>IF($B757="","",'Daily Sale entry '!D56)</f>
        <v/>
      </c>
      <c r="D760" s="1" t="inlineStr">
        <is>
          <t>Cheque Collection 支票收款</t>
        </is>
      </c>
      <c r="E760" s="9">
        <f>IF($B757="","",'Daily Sale entry '!J56)</f>
        <v/>
      </c>
      <c r="H760" s="1" t="inlineStr">
        <is>
          <t>Other Charges 其他费用</t>
        </is>
      </c>
      <c r="I760" s="9">
        <f>IF($B757="","",B760)</f>
        <v/>
      </c>
      <c r="K760" s="1" t="inlineStr">
        <is>
          <t>Cheque Collection 支票收款</t>
        </is>
      </c>
      <c r="L760" s="9">
        <f>IF($B757="","",E760)</f>
        <v/>
      </c>
    </row>
    <row r="761">
      <c r="A761" s="10" t="inlineStr">
        <is>
          <t>Amount 金额  (Cash Sales - Misc - Other)</t>
        </is>
      </c>
      <c r="B761" s="11">
        <f>IF($B757="","",ROUND(B758-B759-B760,2))</f>
        <v/>
      </c>
      <c r="D761" s="12" t="inlineStr">
        <is>
          <t>TNG collection TNG收款</t>
        </is>
      </c>
      <c r="E761" s="13">
        <f>IF($B757="","",'Daily Sale entry '!K56)</f>
        <v/>
      </c>
      <c r="H761" s="10" t="inlineStr">
        <is>
          <t>Amount 金额  (Cash Sales - Misc - Other)</t>
        </is>
      </c>
      <c r="I761" s="11">
        <f>IF($B757="","",ROUND(I758-I759-I760,2))</f>
        <v/>
      </c>
      <c r="K761" s="12" t="inlineStr">
        <is>
          <t>TNG collection TNG收款</t>
        </is>
      </c>
      <c r="L761" s="13">
        <f>IF($B757="","",E761)</f>
        <v/>
      </c>
    </row>
    <row r="762">
      <c r="A762" t="inlineStr">
        <is>
          <t>Credit Collection 赊账收款</t>
        </is>
      </c>
      <c r="B762" s="6">
        <f>IF($B757="","",'Daily Sale entry '!E56)</f>
        <v/>
      </c>
      <c r="D762" t="inlineStr">
        <is>
          <t>Advance Salary_M 预支薪水_M</t>
        </is>
      </c>
      <c r="E762" s="6">
        <f>IF($B757="","",'Daily Sale entry '!L56)</f>
        <v/>
      </c>
      <c r="H762" t="inlineStr">
        <is>
          <t>Credit Collection 赊账收款</t>
        </is>
      </c>
      <c r="I762" s="6">
        <f>IF($B757="","",B762)</f>
        <v/>
      </c>
      <c r="K762" t="inlineStr">
        <is>
          <t>Advance Salary_M 预支薪水_M</t>
        </is>
      </c>
      <c r="L762" s="6">
        <f>IF($B757="","",E762)</f>
        <v/>
      </c>
    </row>
    <row r="763">
      <c r="A763" s="10" t="inlineStr">
        <is>
          <t>Amount 2 金额2  (Amount + Credit Collection)</t>
        </is>
      </c>
      <c r="B763" s="11">
        <f>IF($B757="","",ROUND(B761+B762,2))</f>
        <v/>
      </c>
      <c r="D763" t="inlineStr">
        <is>
          <t>Advance Salary_H 预支薪水_H</t>
        </is>
      </c>
      <c r="E763" s="6">
        <f>IF($B757="","",'Daily Sale entry '!M56)</f>
        <v/>
      </c>
      <c r="H763" s="10" t="inlineStr">
        <is>
          <t>Amount 2 金额2  (Amount + Credit Collection)</t>
        </is>
      </c>
      <c r="I763" s="11">
        <f>IF($B757="","",ROUND(I761+I762,2))</f>
        <v/>
      </c>
      <c r="K763" t="inlineStr">
        <is>
          <t>Advance Salary_H 预支薪水_H</t>
        </is>
      </c>
      <c r="L763" s="6">
        <f>IF($B757="","",E763)</f>
        <v/>
      </c>
    </row>
    <row r="764"/>
    <row r="765">
      <c r="A765" s="1" t="inlineStr">
        <is>
          <t>b/f petty cash 上日备用金结转</t>
        </is>
      </c>
      <c r="B765" s="9">
        <f>IF($B757="","",'Daily Sale entry '!F56)</f>
        <v/>
      </c>
      <c r="D765" s="1" t="n"/>
      <c r="E765" s="1" t="n"/>
      <c r="H765" s="1" t="inlineStr">
        <is>
          <t>b/f petty cash 上日备用金结转</t>
        </is>
      </c>
      <c r="I765" s="9">
        <f>IF($B757="","",B765)</f>
        <v/>
      </c>
      <c r="K765" s="1" t="n"/>
      <c r="L765" s="1" t="n"/>
    </row>
    <row r="766">
      <c r="A766" t="inlineStr">
        <is>
          <t>Total (A) 总计 (A)</t>
        </is>
      </c>
      <c r="B766" s="6">
        <f>IF($B757="","",ROUND(B763+B765,2))</f>
        <v/>
      </c>
      <c r="D766" t="inlineStr">
        <is>
          <t>Total(B) 总计 (B)</t>
        </is>
      </c>
      <c r="E766" s="6">
        <f>IF($B757="","",ROUND(E758+E759+E760+E761+E762+E763,2))</f>
        <v/>
      </c>
      <c r="H766" t="inlineStr">
        <is>
          <t>Total© 总计 (C)</t>
        </is>
      </c>
      <c r="I766" s="6">
        <f>IF($B757="","",ROUND(I763+I765,2))</f>
        <v/>
      </c>
      <c r="K766" t="inlineStr">
        <is>
          <t>Total(D) 总计 (D)</t>
        </is>
      </c>
      <c r="L766" s="6">
        <f>IF($B757="","",ROUND(L758+L759+L760+L761+L762+L763,2))</f>
        <v/>
      </c>
    </row>
    <row r="767">
      <c r="A767" s="14" t="inlineStr">
        <is>
          <t>Total = Amount 2 + b/f petty cash  (金额2 + 上日备用金)</t>
        </is>
      </c>
      <c r="H767" s="14" t="inlineStr">
        <is>
          <t>Total = Amount 2 + b/f petty cash  (金额2 + 上日备用金)</t>
        </is>
      </c>
    </row>
    <row r="768">
      <c r="A768" t="inlineStr">
        <is>
          <t>Different 差额</t>
        </is>
      </c>
      <c r="B768" s="6">
        <f>IF($B757="","",ROUND(B766-E766,2))</f>
        <v/>
      </c>
      <c r="D768">
        <f>IF($B757="","",IF(ABS(B768)&gt;'Opening Balance'!$B$16,"ALERT 警报: Different over RM"&amp;'Opening Balance'!$B$16&amp;" 差额超过RM"&amp;'Opening Balance'!$B$16&amp;" - please check 请检查",IF(B768=0,"Tied 平衡",IF(ABS(B768)&lt;='Opening Balance'!$B$13,"Small difference 小额差额: adjusted on c/f petty cash 已调整备用金",IF(B768&gt;0,"Short 短收: added to Misc Charges 已加入杂项费用","Over 多收: added to Cash Sales 已加入现金销售")))))</f>
        <v/>
      </c>
      <c r="H768" t="inlineStr">
        <is>
          <t>Different 差额</t>
        </is>
      </c>
      <c r="I768" s="6">
        <f>IF($B757="","",ROUND(I766-L766,2))</f>
        <v/>
      </c>
    </row>
    <row r="769"/>
    <row r="770"/>
    <row r="771">
      <c r="A771" t="inlineStr">
        <is>
          <t>Date 日期</t>
        </is>
      </c>
      <c r="B771" s="5">
        <f>IF('Daily Sale entry '!$A57="","",'Daily Sale entry '!$A57)</f>
        <v/>
      </c>
      <c r="H771" t="inlineStr">
        <is>
          <t>After 调整后 (After)</t>
        </is>
      </c>
      <c r="I771" s="5">
        <f>IF($B771="","",B771)</f>
        <v/>
      </c>
    </row>
    <row r="772">
      <c r="A772" t="inlineStr">
        <is>
          <t>Cash Sales 现金销售</t>
        </is>
      </c>
      <c r="B772" s="6">
        <f>IF($B771="","",'Daily Sale entry '!B57)</f>
        <v/>
      </c>
      <c r="D772" t="inlineStr">
        <is>
          <t>c/f petty cash 今日备用金结转</t>
        </is>
      </c>
      <c r="E772" s="6">
        <f>IF($B771="","",'Daily Sale entry '!G57)</f>
        <v/>
      </c>
      <c r="H772" t="inlineStr">
        <is>
          <t>Cash Sales 现金销售</t>
        </is>
      </c>
      <c r="I772" s="6">
        <f>IF($B771="","",IF(AND(ABS(B782)&gt;'Opening Balance'!$B$13,B782&lt;0),ROUND(B772-B782,2),B772))</f>
        <v/>
      </c>
      <c r="K772" t="inlineStr">
        <is>
          <t>c/f petty cash 今日备用金结转</t>
        </is>
      </c>
      <c r="L772" s="6">
        <f>IF($B771="","",IF(ABS(B782)&lt;='Opening Balance'!$B$13,ROUND(E772+B782,2),E772))</f>
        <v/>
      </c>
    </row>
    <row r="773">
      <c r="A773" t="inlineStr">
        <is>
          <t>Misc Charges 杂项费用</t>
        </is>
      </c>
      <c r="B773" s="6">
        <f>IF($B771="","",'Daily Sale entry '!C57)</f>
        <v/>
      </c>
      <c r="D773" t="inlineStr">
        <is>
          <t>cash collection 现金收款</t>
        </is>
      </c>
      <c r="E773" s="6">
        <f>IF($B771="","",'Daily Sale entry '!H57)</f>
        <v/>
      </c>
      <c r="H773" t="inlineStr">
        <is>
          <t>Misc Charges 杂项费用</t>
        </is>
      </c>
      <c r="I773" s="6">
        <f>IF($B771="","",IF(AND(ABS(B782)&gt;'Opening Balance'!$B$13,B782&gt;0),ROUND(B773+B782,2),B773))</f>
        <v/>
      </c>
      <c r="K773" t="inlineStr">
        <is>
          <t>cash collection 现金收款</t>
        </is>
      </c>
      <c r="L773" s="6">
        <f>IF($B771="","",E773)</f>
        <v/>
      </c>
    </row>
    <row r="774">
      <c r="A774" s="1" t="inlineStr">
        <is>
          <t>Other Charges 其他费用</t>
        </is>
      </c>
      <c r="B774" s="9">
        <f>IF($B771="","",'Daily Sale entry '!D57)</f>
        <v/>
      </c>
      <c r="D774" s="1" t="inlineStr">
        <is>
          <t>Cheque Collection 支票收款</t>
        </is>
      </c>
      <c r="E774" s="9">
        <f>IF($B771="","",'Daily Sale entry '!J57)</f>
        <v/>
      </c>
      <c r="H774" s="1" t="inlineStr">
        <is>
          <t>Other Charges 其他费用</t>
        </is>
      </c>
      <c r="I774" s="9">
        <f>IF($B771="","",B774)</f>
        <v/>
      </c>
      <c r="K774" s="1" t="inlineStr">
        <is>
          <t>Cheque Collection 支票收款</t>
        </is>
      </c>
      <c r="L774" s="9">
        <f>IF($B771="","",E774)</f>
        <v/>
      </c>
    </row>
    <row r="775">
      <c r="A775" s="10" t="inlineStr">
        <is>
          <t>Amount 金额  (Cash Sales - Misc - Other)</t>
        </is>
      </c>
      <c r="B775" s="11">
        <f>IF($B771="","",ROUND(B772-B773-B774,2))</f>
        <v/>
      </c>
      <c r="D775" s="12" t="inlineStr">
        <is>
          <t>TNG collection TNG收款</t>
        </is>
      </c>
      <c r="E775" s="13">
        <f>IF($B771="","",'Daily Sale entry '!K57)</f>
        <v/>
      </c>
      <c r="H775" s="10" t="inlineStr">
        <is>
          <t>Amount 金额  (Cash Sales - Misc - Other)</t>
        </is>
      </c>
      <c r="I775" s="11">
        <f>IF($B771="","",ROUND(I772-I773-I774,2))</f>
        <v/>
      </c>
      <c r="K775" s="12" t="inlineStr">
        <is>
          <t>TNG collection TNG收款</t>
        </is>
      </c>
      <c r="L775" s="13">
        <f>IF($B771="","",E775)</f>
        <v/>
      </c>
    </row>
    <row r="776">
      <c r="A776" t="inlineStr">
        <is>
          <t>Credit Collection 赊账收款</t>
        </is>
      </c>
      <c r="B776" s="6">
        <f>IF($B771="","",'Daily Sale entry '!E57)</f>
        <v/>
      </c>
      <c r="D776" t="inlineStr">
        <is>
          <t>Advance Salary_M 预支薪水_M</t>
        </is>
      </c>
      <c r="E776" s="6">
        <f>IF($B771="","",'Daily Sale entry '!L57)</f>
        <v/>
      </c>
      <c r="H776" t="inlineStr">
        <is>
          <t>Credit Collection 赊账收款</t>
        </is>
      </c>
      <c r="I776" s="6">
        <f>IF($B771="","",B776)</f>
        <v/>
      </c>
      <c r="K776" t="inlineStr">
        <is>
          <t>Advance Salary_M 预支薪水_M</t>
        </is>
      </c>
      <c r="L776" s="6">
        <f>IF($B771="","",E776)</f>
        <v/>
      </c>
    </row>
    <row r="777">
      <c r="A777" s="10" t="inlineStr">
        <is>
          <t>Amount 2 金额2  (Amount + Credit Collection)</t>
        </is>
      </c>
      <c r="B777" s="11">
        <f>IF($B771="","",ROUND(B775+B776,2))</f>
        <v/>
      </c>
      <c r="D777" t="inlineStr">
        <is>
          <t>Advance Salary_H 预支薪水_H</t>
        </is>
      </c>
      <c r="E777" s="6">
        <f>IF($B771="","",'Daily Sale entry '!M57)</f>
        <v/>
      </c>
      <c r="H777" s="10" t="inlineStr">
        <is>
          <t>Amount 2 金额2  (Amount + Credit Collection)</t>
        </is>
      </c>
      <c r="I777" s="11">
        <f>IF($B771="","",ROUND(I775+I776,2))</f>
        <v/>
      </c>
      <c r="K777" t="inlineStr">
        <is>
          <t>Advance Salary_H 预支薪水_H</t>
        </is>
      </c>
      <c r="L777" s="6">
        <f>IF($B771="","",E777)</f>
        <v/>
      </c>
    </row>
    <row r="778"/>
    <row r="779">
      <c r="A779" s="1" t="inlineStr">
        <is>
          <t>b/f petty cash 上日备用金结转</t>
        </is>
      </c>
      <c r="B779" s="9">
        <f>IF($B771="","",'Daily Sale entry '!F57)</f>
        <v/>
      </c>
      <c r="D779" s="1" t="n"/>
      <c r="E779" s="1" t="n"/>
      <c r="H779" s="1" t="inlineStr">
        <is>
          <t>b/f petty cash 上日备用金结转</t>
        </is>
      </c>
      <c r="I779" s="9">
        <f>IF($B771="","",B779)</f>
        <v/>
      </c>
      <c r="K779" s="1" t="n"/>
      <c r="L779" s="1" t="n"/>
    </row>
    <row r="780">
      <c r="A780" t="inlineStr">
        <is>
          <t>Total (A) 总计 (A)</t>
        </is>
      </c>
      <c r="B780" s="6">
        <f>IF($B771="","",ROUND(B777+B779,2))</f>
        <v/>
      </c>
      <c r="D780" t="inlineStr">
        <is>
          <t>Total(B) 总计 (B)</t>
        </is>
      </c>
      <c r="E780" s="6">
        <f>IF($B771="","",ROUND(E772+E773+E774+E775+E776+E777,2))</f>
        <v/>
      </c>
      <c r="H780" t="inlineStr">
        <is>
          <t>Total© 总计 (C)</t>
        </is>
      </c>
      <c r="I780" s="6">
        <f>IF($B771="","",ROUND(I777+I779,2))</f>
        <v/>
      </c>
      <c r="K780" t="inlineStr">
        <is>
          <t>Total(D) 总计 (D)</t>
        </is>
      </c>
      <c r="L780" s="6">
        <f>IF($B771="","",ROUND(L772+L773+L774+L775+L776+L777,2))</f>
        <v/>
      </c>
    </row>
    <row r="781">
      <c r="A781" s="14" t="inlineStr">
        <is>
          <t>Total = Amount 2 + b/f petty cash  (金额2 + 上日备用金)</t>
        </is>
      </c>
      <c r="H781" s="14" t="inlineStr">
        <is>
          <t>Total = Amount 2 + b/f petty cash  (金额2 + 上日备用金)</t>
        </is>
      </c>
    </row>
    <row r="782">
      <c r="A782" t="inlineStr">
        <is>
          <t>Different 差额</t>
        </is>
      </c>
      <c r="B782" s="6">
        <f>IF($B771="","",ROUND(B780-E780,2))</f>
        <v/>
      </c>
      <c r="D782">
        <f>IF($B771="","",IF(ABS(B782)&gt;'Opening Balance'!$B$16,"ALERT 警报: Different over RM"&amp;'Opening Balance'!$B$16&amp;" 差额超过RM"&amp;'Opening Balance'!$B$16&amp;" - please check 请检查",IF(B782=0,"Tied 平衡",IF(ABS(B782)&lt;='Opening Balance'!$B$13,"Small difference 小额差额: adjusted on c/f petty cash 已调整备用金",IF(B782&gt;0,"Short 短收: added to Misc Charges 已加入杂项费用","Over 多收: added to Cash Sales 已加入现金销售")))))</f>
        <v/>
      </c>
      <c r="H782" t="inlineStr">
        <is>
          <t>Different 差额</t>
        </is>
      </c>
      <c r="I782" s="6">
        <f>IF($B771="","",ROUND(I780-L780,2))</f>
        <v/>
      </c>
    </row>
    <row r="783"/>
    <row r="784"/>
    <row r="785">
      <c r="A785" t="inlineStr">
        <is>
          <t>Date 日期</t>
        </is>
      </c>
      <c r="B785" s="5">
        <f>IF('Daily Sale entry '!$A58="","",'Daily Sale entry '!$A58)</f>
        <v/>
      </c>
      <c r="H785" t="inlineStr">
        <is>
          <t>After 调整后 (After)</t>
        </is>
      </c>
      <c r="I785" s="5">
        <f>IF($B785="","",B785)</f>
        <v/>
      </c>
    </row>
    <row r="786">
      <c r="A786" t="inlineStr">
        <is>
          <t>Cash Sales 现金销售</t>
        </is>
      </c>
      <c r="B786" s="6">
        <f>IF($B785="","",'Daily Sale entry '!B58)</f>
        <v/>
      </c>
      <c r="D786" t="inlineStr">
        <is>
          <t>c/f petty cash 今日备用金结转</t>
        </is>
      </c>
      <c r="E786" s="6">
        <f>IF($B785="","",'Daily Sale entry '!G58)</f>
        <v/>
      </c>
      <c r="H786" t="inlineStr">
        <is>
          <t>Cash Sales 现金销售</t>
        </is>
      </c>
      <c r="I786" s="6">
        <f>IF($B785="","",IF(AND(ABS(B796)&gt;'Opening Balance'!$B$13,B796&lt;0),ROUND(B786-B796,2),B786))</f>
        <v/>
      </c>
      <c r="K786" t="inlineStr">
        <is>
          <t>c/f petty cash 今日备用金结转</t>
        </is>
      </c>
      <c r="L786" s="6">
        <f>IF($B785="","",IF(ABS(B796)&lt;='Opening Balance'!$B$13,ROUND(E786+B796,2),E786))</f>
        <v/>
      </c>
    </row>
    <row r="787">
      <c r="A787" t="inlineStr">
        <is>
          <t>Misc Charges 杂项费用</t>
        </is>
      </c>
      <c r="B787" s="6">
        <f>IF($B785="","",'Daily Sale entry '!C58)</f>
        <v/>
      </c>
      <c r="D787" t="inlineStr">
        <is>
          <t>cash collection 现金收款</t>
        </is>
      </c>
      <c r="E787" s="6">
        <f>IF($B785="","",'Daily Sale entry '!H58)</f>
        <v/>
      </c>
      <c r="H787" t="inlineStr">
        <is>
          <t>Misc Charges 杂项费用</t>
        </is>
      </c>
      <c r="I787" s="6">
        <f>IF($B785="","",IF(AND(ABS(B796)&gt;'Opening Balance'!$B$13,B796&gt;0),ROUND(B787+B796,2),B787))</f>
        <v/>
      </c>
      <c r="K787" t="inlineStr">
        <is>
          <t>cash collection 现金收款</t>
        </is>
      </c>
      <c r="L787" s="6">
        <f>IF($B785="","",E787)</f>
        <v/>
      </c>
    </row>
    <row r="788">
      <c r="A788" s="1" t="inlineStr">
        <is>
          <t>Other Charges 其他费用</t>
        </is>
      </c>
      <c r="B788" s="9">
        <f>IF($B785="","",'Daily Sale entry '!D58)</f>
        <v/>
      </c>
      <c r="D788" s="1" t="inlineStr">
        <is>
          <t>Cheque Collection 支票收款</t>
        </is>
      </c>
      <c r="E788" s="9">
        <f>IF($B785="","",'Daily Sale entry '!J58)</f>
        <v/>
      </c>
      <c r="H788" s="1" t="inlineStr">
        <is>
          <t>Other Charges 其他费用</t>
        </is>
      </c>
      <c r="I788" s="9">
        <f>IF($B785="","",B788)</f>
        <v/>
      </c>
      <c r="K788" s="1" t="inlineStr">
        <is>
          <t>Cheque Collection 支票收款</t>
        </is>
      </c>
      <c r="L788" s="9">
        <f>IF($B785="","",E788)</f>
        <v/>
      </c>
    </row>
    <row r="789">
      <c r="A789" s="10" t="inlineStr">
        <is>
          <t>Amount 金额  (Cash Sales - Misc - Other)</t>
        </is>
      </c>
      <c r="B789" s="11">
        <f>IF($B785="","",ROUND(B786-B787-B788,2))</f>
        <v/>
      </c>
      <c r="D789" s="12" t="inlineStr">
        <is>
          <t>TNG collection TNG收款</t>
        </is>
      </c>
      <c r="E789" s="13">
        <f>IF($B785="","",'Daily Sale entry '!K58)</f>
        <v/>
      </c>
      <c r="H789" s="10" t="inlineStr">
        <is>
          <t>Amount 金额  (Cash Sales - Misc - Other)</t>
        </is>
      </c>
      <c r="I789" s="11">
        <f>IF($B785="","",ROUND(I786-I787-I788,2))</f>
        <v/>
      </c>
      <c r="K789" s="12" t="inlineStr">
        <is>
          <t>TNG collection TNG收款</t>
        </is>
      </c>
      <c r="L789" s="13">
        <f>IF($B785="","",E789)</f>
        <v/>
      </c>
    </row>
    <row r="790">
      <c r="A790" t="inlineStr">
        <is>
          <t>Credit Collection 赊账收款</t>
        </is>
      </c>
      <c r="B790" s="6">
        <f>IF($B785="","",'Daily Sale entry '!E58)</f>
        <v/>
      </c>
      <c r="D790" t="inlineStr">
        <is>
          <t>Advance Salary_M 预支薪水_M</t>
        </is>
      </c>
      <c r="E790" s="6">
        <f>IF($B785="","",'Daily Sale entry '!L58)</f>
        <v/>
      </c>
      <c r="H790" t="inlineStr">
        <is>
          <t>Credit Collection 赊账收款</t>
        </is>
      </c>
      <c r="I790" s="6">
        <f>IF($B785="","",B790)</f>
        <v/>
      </c>
      <c r="K790" t="inlineStr">
        <is>
          <t>Advance Salary_M 预支薪水_M</t>
        </is>
      </c>
      <c r="L790" s="6">
        <f>IF($B785="","",E790)</f>
        <v/>
      </c>
    </row>
    <row r="791">
      <c r="A791" s="10" t="inlineStr">
        <is>
          <t>Amount 2 金额2  (Amount + Credit Collection)</t>
        </is>
      </c>
      <c r="B791" s="11">
        <f>IF($B785="","",ROUND(B789+B790,2))</f>
        <v/>
      </c>
      <c r="D791" t="inlineStr">
        <is>
          <t>Advance Salary_H 预支薪水_H</t>
        </is>
      </c>
      <c r="E791" s="6">
        <f>IF($B785="","",'Daily Sale entry '!M58)</f>
        <v/>
      </c>
      <c r="H791" s="10" t="inlineStr">
        <is>
          <t>Amount 2 金额2  (Amount + Credit Collection)</t>
        </is>
      </c>
      <c r="I791" s="11">
        <f>IF($B785="","",ROUND(I789+I790,2))</f>
        <v/>
      </c>
      <c r="K791" t="inlineStr">
        <is>
          <t>Advance Salary_H 预支薪水_H</t>
        </is>
      </c>
      <c r="L791" s="6">
        <f>IF($B785="","",E791)</f>
        <v/>
      </c>
    </row>
    <row r="792"/>
    <row r="793">
      <c r="A793" s="1" t="inlineStr">
        <is>
          <t>b/f petty cash 上日备用金结转</t>
        </is>
      </c>
      <c r="B793" s="9">
        <f>IF($B785="","",'Daily Sale entry '!F58)</f>
        <v/>
      </c>
      <c r="D793" s="1" t="n"/>
      <c r="E793" s="1" t="n"/>
      <c r="H793" s="1" t="inlineStr">
        <is>
          <t>b/f petty cash 上日备用金结转</t>
        </is>
      </c>
      <c r="I793" s="9">
        <f>IF($B785="","",B793)</f>
        <v/>
      </c>
      <c r="K793" s="1" t="n"/>
      <c r="L793" s="1" t="n"/>
    </row>
    <row r="794">
      <c r="A794" t="inlineStr">
        <is>
          <t>Total (A) 总计 (A)</t>
        </is>
      </c>
      <c r="B794" s="6">
        <f>IF($B785="","",ROUND(B791+B793,2))</f>
        <v/>
      </c>
      <c r="D794" t="inlineStr">
        <is>
          <t>Total(B) 总计 (B)</t>
        </is>
      </c>
      <c r="E794" s="6">
        <f>IF($B785="","",ROUND(E786+E787+E788+E789+E790+E791,2))</f>
        <v/>
      </c>
      <c r="H794" t="inlineStr">
        <is>
          <t>Total© 总计 (C)</t>
        </is>
      </c>
      <c r="I794" s="6">
        <f>IF($B785="","",ROUND(I791+I793,2))</f>
        <v/>
      </c>
      <c r="K794" t="inlineStr">
        <is>
          <t>Total(D) 总计 (D)</t>
        </is>
      </c>
      <c r="L794" s="6">
        <f>IF($B785="","",ROUND(L786+L787+L788+L789+L790+L791,2))</f>
        <v/>
      </c>
    </row>
    <row r="795">
      <c r="A795" s="14" t="inlineStr">
        <is>
          <t>Total = Amount 2 + b/f petty cash  (金额2 + 上日备用金)</t>
        </is>
      </c>
      <c r="H795" s="14" t="inlineStr">
        <is>
          <t>Total = Amount 2 + b/f petty cash  (金额2 + 上日备用金)</t>
        </is>
      </c>
    </row>
    <row r="796">
      <c r="A796" t="inlineStr">
        <is>
          <t>Different 差额</t>
        </is>
      </c>
      <c r="B796" s="6">
        <f>IF($B785="","",ROUND(B794-E794,2))</f>
        <v/>
      </c>
      <c r="D796">
        <f>IF($B785="","",IF(ABS(B796)&gt;'Opening Balance'!$B$16,"ALERT 警报: Different over RM"&amp;'Opening Balance'!$B$16&amp;" 差额超过RM"&amp;'Opening Balance'!$B$16&amp;" - please check 请检查",IF(B796=0,"Tied 平衡",IF(ABS(B796)&lt;='Opening Balance'!$B$13,"Small difference 小额差额: adjusted on c/f petty cash 已调整备用金",IF(B796&gt;0,"Short 短收: added to Misc Charges 已加入杂项费用","Over 多收: added to Cash Sales 已加入现金销售")))))</f>
        <v/>
      </c>
      <c r="H796" t="inlineStr">
        <is>
          <t>Different 差额</t>
        </is>
      </c>
      <c r="I796" s="6">
        <f>IF($B785="","",ROUND(I794-L794,2))</f>
        <v/>
      </c>
    </row>
    <row r="797"/>
    <row r="798"/>
    <row r="799">
      <c r="A799" t="inlineStr">
        <is>
          <t>Date 日期</t>
        </is>
      </c>
      <c r="B799" s="5">
        <f>IF('Daily Sale entry '!$A59="","",'Daily Sale entry '!$A59)</f>
        <v/>
      </c>
      <c r="H799" t="inlineStr">
        <is>
          <t>After 调整后 (After)</t>
        </is>
      </c>
      <c r="I799" s="5">
        <f>IF($B799="","",B799)</f>
        <v/>
      </c>
    </row>
    <row r="800">
      <c r="A800" t="inlineStr">
        <is>
          <t>Cash Sales 现金销售</t>
        </is>
      </c>
      <c r="B800" s="6">
        <f>IF($B799="","",'Daily Sale entry '!B59)</f>
        <v/>
      </c>
      <c r="D800" t="inlineStr">
        <is>
          <t>c/f petty cash 今日备用金结转</t>
        </is>
      </c>
      <c r="E800" s="6">
        <f>IF($B799="","",'Daily Sale entry '!G59)</f>
        <v/>
      </c>
      <c r="H800" t="inlineStr">
        <is>
          <t>Cash Sales 现金销售</t>
        </is>
      </c>
      <c r="I800" s="6">
        <f>IF($B799="","",IF(AND(ABS(B810)&gt;'Opening Balance'!$B$13,B810&lt;0),ROUND(B800-B810,2),B800))</f>
        <v/>
      </c>
      <c r="K800" t="inlineStr">
        <is>
          <t>c/f petty cash 今日备用金结转</t>
        </is>
      </c>
      <c r="L800" s="6">
        <f>IF($B799="","",IF(ABS(B810)&lt;='Opening Balance'!$B$13,ROUND(E800+B810,2),E800))</f>
        <v/>
      </c>
    </row>
    <row r="801">
      <c r="A801" t="inlineStr">
        <is>
          <t>Misc Charges 杂项费用</t>
        </is>
      </c>
      <c r="B801" s="6">
        <f>IF($B799="","",'Daily Sale entry '!C59)</f>
        <v/>
      </c>
      <c r="D801" t="inlineStr">
        <is>
          <t>cash collection 现金收款</t>
        </is>
      </c>
      <c r="E801" s="6">
        <f>IF($B799="","",'Daily Sale entry '!H59)</f>
        <v/>
      </c>
      <c r="H801" t="inlineStr">
        <is>
          <t>Misc Charges 杂项费用</t>
        </is>
      </c>
      <c r="I801" s="6">
        <f>IF($B799="","",IF(AND(ABS(B810)&gt;'Opening Balance'!$B$13,B810&gt;0),ROUND(B801+B810,2),B801))</f>
        <v/>
      </c>
      <c r="K801" t="inlineStr">
        <is>
          <t>cash collection 现金收款</t>
        </is>
      </c>
      <c r="L801" s="6">
        <f>IF($B799="","",E801)</f>
        <v/>
      </c>
    </row>
    <row r="802">
      <c r="A802" s="1" t="inlineStr">
        <is>
          <t>Other Charges 其他费用</t>
        </is>
      </c>
      <c r="B802" s="9">
        <f>IF($B799="","",'Daily Sale entry '!D59)</f>
        <v/>
      </c>
      <c r="D802" s="1" t="inlineStr">
        <is>
          <t>Cheque Collection 支票收款</t>
        </is>
      </c>
      <c r="E802" s="9">
        <f>IF($B799="","",'Daily Sale entry '!J59)</f>
        <v/>
      </c>
      <c r="H802" s="1" t="inlineStr">
        <is>
          <t>Other Charges 其他费用</t>
        </is>
      </c>
      <c r="I802" s="9">
        <f>IF($B799="","",B802)</f>
        <v/>
      </c>
      <c r="K802" s="1" t="inlineStr">
        <is>
          <t>Cheque Collection 支票收款</t>
        </is>
      </c>
      <c r="L802" s="9">
        <f>IF($B799="","",E802)</f>
        <v/>
      </c>
    </row>
    <row r="803">
      <c r="A803" s="10" t="inlineStr">
        <is>
          <t>Amount 金额  (Cash Sales - Misc - Other)</t>
        </is>
      </c>
      <c r="B803" s="11">
        <f>IF($B799="","",ROUND(B800-B801-B802,2))</f>
        <v/>
      </c>
      <c r="D803" s="12" t="inlineStr">
        <is>
          <t>TNG collection TNG收款</t>
        </is>
      </c>
      <c r="E803" s="13">
        <f>IF($B799="","",'Daily Sale entry '!K59)</f>
        <v/>
      </c>
      <c r="H803" s="10" t="inlineStr">
        <is>
          <t>Amount 金额  (Cash Sales - Misc - Other)</t>
        </is>
      </c>
      <c r="I803" s="11">
        <f>IF($B799="","",ROUND(I800-I801-I802,2))</f>
        <v/>
      </c>
      <c r="K803" s="12" t="inlineStr">
        <is>
          <t>TNG collection TNG收款</t>
        </is>
      </c>
      <c r="L803" s="13">
        <f>IF($B799="","",E803)</f>
        <v/>
      </c>
    </row>
    <row r="804">
      <c r="A804" t="inlineStr">
        <is>
          <t>Credit Collection 赊账收款</t>
        </is>
      </c>
      <c r="B804" s="6">
        <f>IF($B799="","",'Daily Sale entry '!E59)</f>
        <v/>
      </c>
      <c r="D804" t="inlineStr">
        <is>
          <t>Advance Salary_M 预支薪水_M</t>
        </is>
      </c>
      <c r="E804" s="6">
        <f>IF($B799="","",'Daily Sale entry '!L59)</f>
        <v/>
      </c>
      <c r="H804" t="inlineStr">
        <is>
          <t>Credit Collection 赊账收款</t>
        </is>
      </c>
      <c r="I804" s="6">
        <f>IF($B799="","",B804)</f>
        <v/>
      </c>
      <c r="K804" t="inlineStr">
        <is>
          <t>Advance Salary_M 预支薪水_M</t>
        </is>
      </c>
      <c r="L804" s="6">
        <f>IF($B799="","",E804)</f>
        <v/>
      </c>
    </row>
    <row r="805">
      <c r="A805" s="10" t="inlineStr">
        <is>
          <t>Amount 2 金额2  (Amount + Credit Collection)</t>
        </is>
      </c>
      <c r="B805" s="11">
        <f>IF($B799="","",ROUND(B803+B804,2))</f>
        <v/>
      </c>
      <c r="D805" t="inlineStr">
        <is>
          <t>Advance Salary_H 预支薪水_H</t>
        </is>
      </c>
      <c r="E805" s="6">
        <f>IF($B799="","",'Daily Sale entry '!M59)</f>
        <v/>
      </c>
      <c r="H805" s="10" t="inlineStr">
        <is>
          <t>Amount 2 金额2  (Amount + Credit Collection)</t>
        </is>
      </c>
      <c r="I805" s="11">
        <f>IF($B799="","",ROUND(I803+I804,2))</f>
        <v/>
      </c>
      <c r="K805" t="inlineStr">
        <is>
          <t>Advance Salary_H 预支薪水_H</t>
        </is>
      </c>
      <c r="L805" s="6">
        <f>IF($B799="","",E805)</f>
        <v/>
      </c>
    </row>
    <row r="806"/>
    <row r="807">
      <c r="A807" s="1" t="inlineStr">
        <is>
          <t>b/f petty cash 上日备用金结转</t>
        </is>
      </c>
      <c r="B807" s="9">
        <f>IF($B799="","",'Daily Sale entry '!F59)</f>
        <v/>
      </c>
      <c r="D807" s="1" t="n"/>
      <c r="E807" s="1" t="n"/>
      <c r="H807" s="1" t="inlineStr">
        <is>
          <t>b/f petty cash 上日备用金结转</t>
        </is>
      </c>
      <c r="I807" s="9">
        <f>IF($B799="","",B807)</f>
        <v/>
      </c>
      <c r="K807" s="1" t="n"/>
      <c r="L807" s="1" t="n"/>
    </row>
    <row r="808">
      <c r="A808" t="inlineStr">
        <is>
          <t>Total (A) 总计 (A)</t>
        </is>
      </c>
      <c r="B808" s="6">
        <f>IF($B799="","",ROUND(B805+B807,2))</f>
        <v/>
      </c>
      <c r="D808" t="inlineStr">
        <is>
          <t>Total(B) 总计 (B)</t>
        </is>
      </c>
      <c r="E808" s="6">
        <f>IF($B799="","",ROUND(E800+E801+E802+E803+E804+E805,2))</f>
        <v/>
      </c>
      <c r="H808" t="inlineStr">
        <is>
          <t>Total© 总计 (C)</t>
        </is>
      </c>
      <c r="I808" s="6">
        <f>IF($B799="","",ROUND(I805+I807,2))</f>
        <v/>
      </c>
      <c r="K808" t="inlineStr">
        <is>
          <t>Total(D) 总计 (D)</t>
        </is>
      </c>
      <c r="L808" s="6">
        <f>IF($B799="","",ROUND(L800+L801+L802+L803+L804+L805,2))</f>
        <v/>
      </c>
    </row>
    <row r="809">
      <c r="A809" s="14" t="inlineStr">
        <is>
          <t>Total = Amount 2 + b/f petty cash  (金额2 + 上日备用金)</t>
        </is>
      </c>
      <c r="H809" s="14" t="inlineStr">
        <is>
          <t>Total = Amount 2 + b/f petty cash  (金额2 + 上日备用金)</t>
        </is>
      </c>
    </row>
    <row r="810">
      <c r="A810" t="inlineStr">
        <is>
          <t>Different 差额</t>
        </is>
      </c>
      <c r="B810" s="6">
        <f>IF($B799="","",ROUND(B808-E808,2))</f>
        <v/>
      </c>
      <c r="D810">
        <f>IF($B799="","",IF(ABS(B810)&gt;'Opening Balance'!$B$16,"ALERT 警报: Different over RM"&amp;'Opening Balance'!$B$16&amp;" 差额超过RM"&amp;'Opening Balance'!$B$16&amp;" - please check 请检查",IF(B810=0,"Tied 平衡",IF(ABS(B810)&lt;='Opening Balance'!$B$13,"Small difference 小额差额: adjusted on c/f petty cash 已调整备用金",IF(B810&gt;0,"Short 短收: added to Misc Charges 已加入杂项费用","Over 多收: added to Cash Sales 已加入现金销售")))))</f>
        <v/>
      </c>
      <c r="H810" t="inlineStr">
        <is>
          <t>Different 差额</t>
        </is>
      </c>
      <c r="I810" s="6">
        <f>IF($B799="","",ROUND(I808-L808,2))</f>
        <v/>
      </c>
    </row>
    <row r="811"/>
    <row r="812"/>
    <row r="813">
      <c r="A813" t="inlineStr">
        <is>
          <t>Date 日期</t>
        </is>
      </c>
      <c r="B813" s="5">
        <f>IF('Daily Sale entry '!$A60="","",'Daily Sale entry '!$A60)</f>
        <v/>
      </c>
      <c r="H813" t="inlineStr">
        <is>
          <t>After 调整后 (After)</t>
        </is>
      </c>
      <c r="I813" s="5">
        <f>IF($B813="","",B813)</f>
        <v/>
      </c>
    </row>
    <row r="814">
      <c r="A814" t="inlineStr">
        <is>
          <t>Cash Sales 现金销售</t>
        </is>
      </c>
      <c r="B814" s="6">
        <f>IF($B813="","",'Daily Sale entry '!B60)</f>
        <v/>
      </c>
      <c r="D814" t="inlineStr">
        <is>
          <t>c/f petty cash 今日备用金结转</t>
        </is>
      </c>
      <c r="E814" s="6">
        <f>IF($B813="","",'Daily Sale entry '!G60)</f>
        <v/>
      </c>
      <c r="H814" t="inlineStr">
        <is>
          <t>Cash Sales 现金销售</t>
        </is>
      </c>
      <c r="I814" s="6">
        <f>IF($B813="","",IF(AND(ABS(B824)&gt;'Opening Balance'!$B$13,B824&lt;0),ROUND(B814-B824,2),B814))</f>
        <v/>
      </c>
      <c r="K814" t="inlineStr">
        <is>
          <t>c/f petty cash 今日备用金结转</t>
        </is>
      </c>
      <c r="L814" s="6">
        <f>IF($B813="","",IF(ABS(B824)&lt;='Opening Balance'!$B$13,ROUND(E814+B824,2),E814))</f>
        <v/>
      </c>
    </row>
    <row r="815">
      <c r="A815" t="inlineStr">
        <is>
          <t>Misc Charges 杂项费用</t>
        </is>
      </c>
      <c r="B815" s="6">
        <f>IF($B813="","",'Daily Sale entry '!C60)</f>
        <v/>
      </c>
      <c r="D815" t="inlineStr">
        <is>
          <t>cash collection 现金收款</t>
        </is>
      </c>
      <c r="E815" s="6">
        <f>IF($B813="","",'Daily Sale entry '!H60)</f>
        <v/>
      </c>
      <c r="H815" t="inlineStr">
        <is>
          <t>Misc Charges 杂项费用</t>
        </is>
      </c>
      <c r="I815" s="6">
        <f>IF($B813="","",IF(AND(ABS(B824)&gt;'Opening Balance'!$B$13,B824&gt;0),ROUND(B815+B824,2),B815))</f>
        <v/>
      </c>
      <c r="K815" t="inlineStr">
        <is>
          <t>cash collection 现金收款</t>
        </is>
      </c>
      <c r="L815" s="6">
        <f>IF($B813="","",E815)</f>
        <v/>
      </c>
    </row>
    <row r="816">
      <c r="A816" s="1" t="inlineStr">
        <is>
          <t>Other Charges 其他费用</t>
        </is>
      </c>
      <c r="B816" s="9">
        <f>IF($B813="","",'Daily Sale entry '!D60)</f>
        <v/>
      </c>
      <c r="D816" s="1" t="inlineStr">
        <is>
          <t>Cheque Collection 支票收款</t>
        </is>
      </c>
      <c r="E816" s="9">
        <f>IF($B813="","",'Daily Sale entry '!J60)</f>
        <v/>
      </c>
      <c r="H816" s="1" t="inlineStr">
        <is>
          <t>Other Charges 其他费用</t>
        </is>
      </c>
      <c r="I816" s="9">
        <f>IF($B813="","",B816)</f>
        <v/>
      </c>
      <c r="K816" s="1" t="inlineStr">
        <is>
          <t>Cheque Collection 支票收款</t>
        </is>
      </c>
      <c r="L816" s="9">
        <f>IF($B813="","",E816)</f>
        <v/>
      </c>
    </row>
    <row r="817">
      <c r="A817" s="10" t="inlineStr">
        <is>
          <t>Amount 金额  (Cash Sales - Misc - Other)</t>
        </is>
      </c>
      <c r="B817" s="11">
        <f>IF($B813="","",ROUND(B814-B815-B816,2))</f>
        <v/>
      </c>
      <c r="D817" s="12" t="inlineStr">
        <is>
          <t>TNG collection TNG收款</t>
        </is>
      </c>
      <c r="E817" s="13">
        <f>IF($B813="","",'Daily Sale entry '!K60)</f>
        <v/>
      </c>
      <c r="H817" s="10" t="inlineStr">
        <is>
          <t>Amount 金额  (Cash Sales - Misc - Other)</t>
        </is>
      </c>
      <c r="I817" s="11">
        <f>IF($B813="","",ROUND(I814-I815-I816,2))</f>
        <v/>
      </c>
      <c r="K817" s="12" t="inlineStr">
        <is>
          <t>TNG collection TNG收款</t>
        </is>
      </c>
      <c r="L817" s="13">
        <f>IF($B813="","",E817)</f>
        <v/>
      </c>
    </row>
    <row r="818">
      <c r="A818" t="inlineStr">
        <is>
          <t>Credit Collection 赊账收款</t>
        </is>
      </c>
      <c r="B818" s="6">
        <f>IF($B813="","",'Daily Sale entry '!E60)</f>
        <v/>
      </c>
      <c r="D818" t="inlineStr">
        <is>
          <t>Advance Salary_M 预支薪水_M</t>
        </is>
      </c>
      <c r="E818" s="6">
        <f>IF($B813="","",'Daily Sale entry '!L60)</f>
        <v/>
      </c>
      <c r="H818" t="inlineStr">
        <is>
          <t>Credit Collection 赊账收款</t>
        </is>
      </c>
      <c r="I818" s="6">
        <f>IF($B813="","",B818)</f>
        <v/>
      </c>
      <c r="K818" t="inlineStr">
        <is>
          <t>Advance Salary_M 预支薪水_M</t>
        </is>
      </c>
      <c r="L818" s="6">
        <f>IF($B813="","",E818)</f>
        <v/>
      </c>
    </row>
    <row r="819">
      <c r="A819" s="10" t="inlineStr">
        <is>
          <t>Amount 2 金额2  (Amount + Credit Collection)</t>
        </is>
      </c>
      <c r="B819" s="11">
        <f>IF($B813="","",ROUND(B817+B818,2))</f>
        <v/>
      </c>
      <c r="D819" t="inlineStr">
        <is>
          <t>Advance Salary_H 预支薪水_H</t>
        </is>
      </c>
      <c r="E819" s="6">
        <f>IF($B813="","",'Daily Sale entry '!M60)</f>
        <v/>
      </c>
      <c r="H819" s="10" t="inlineStr">
        <is>
          <t>Amount 2 金额2  (Amount + Credit Collection)</t>
        </is>
      </c>
      <c r="I819" s="11">
        <f>IF($B813="","",ROUND(I817+I818,2))</f>
        <v/>
      </c>
      <c r="K819" t="inlineStr">
        <is>
          <t>Advance Salary_H 预支薪水_H</t>
        </is>
      </c>
      <c r="L819" s="6">
        <f>IF($B813="","",E819)</f>
        <v/>
      </c>
    </row>
    <row r="820"/>
    <row r="821">
      <c r="A821" s="1" t="inlineStr">
        <is>
          <t>b/f petty cash 上日备用金结转</t>
        </is>
      </c>
      <c r="B821" s="9">
        <f>IF($B813="","",'Daily Sale entry '!F60)</f>
        <v/>
      </c>
      <c r="D821" s="1" t="n"/>
      <c r="E821" s="1" t="n"/>
      <c r="H821" s="1" t="inlineStr">
        <is>
          <t>b/f petty cash 上日备用金结转</t>
        </is>
      </c>
      <c r="I821" s="9">
        <f>IF($B813="","",B821)</f>
        <v/>
      </c>
      <c r="K821" s="1" t="n"/>
      <c r="L821" s="1" t="n"/>
    </row>
    <row r="822">
      <c r="A822" t="inlineStr">
        <is>
          <t>Total (A) 总计 (A)</t>
        </is>
      </c>
      <c r="B822" s="6">
        <f>IF($B813="","",ROUND(B819+B821,2))</f>
        <v/>
      </c>
      <c r="D822" t="inlineStr">
        <is>
          <t>Total(B) 总计 (B)</t>
        </is>
      </c>
      <c r="E822" s="6">
        <f>IF($B813="","",ROUND(E814+E815+E816+E817+E818+E819,2))</f>
        <v/>
      </c>
      <c r="H822" t="inlineStr">
        <is>
          <t>Total© 总计 (C)</t>
        </is>
      </c>
      <c r="I822" s="6">
        <f>IF($B813="","",ROUND(I819+I821,2))</f>
        <v/>
      </c>
      <c r="K822" t="inlineStr">
        <is>
          <t>Total(D) 总计 (D)</t>
        </is>
      </c>
      <c r="L822" s="6">
        <f>IF($B813="","",ROUND(L814+L815+L816+L817+L818+L819,2))</f>
        <v/>
      </c>
    </row>
    <row r="823">
      <c r="A823" s="14" t="inlineStr">
        <is>
          <t>Total = Amount 2 + b/f petty cash  (金额2 + 上日备用金)</t>
        </is>
      </c>
      <c r="H823" s="14" t="inlineStr">
        <is>
          <t>Total = Amount 2 + b/f petty cash  (金额2 + 上日备用金)</t>
        </is>
      </c>
    </row>
    <row r="824">
      <c r="A824" t="inlineStr">
        <is>
          <t>Different 差额</t>
        </is>
      </c>
      <c r="B824" s="6">
        <f>IF($B813="","",ROUND(B822-E822,2))</f>
        <v/>
      </c>
      <c r="D824">
        <f>IF($B813="","",IF(ABS(B824)&gt;'Opening Balance'!$B$16,"ALERT 警报: Different over RM"&amp;'Opening Balance'!$B$16&amp;" 差额超过RM"&amp;'Opening Balance'!$B$16&amp;" - please check 请检查",IF(B824=0,"Tied 平衡",IF(ABS(B824)&lt;='Opening Balance'!$B$13,"Small difference 小额差额: adjusted on c/f petty cash 已调整备用金",IF(B824&gt;0,"Short 短收: added to Misc Charges 已加入杂项费用","Over 多收: added to Cash Sales 已加入现金销售")))))</f>
        <v/>
      </c>
      <c r="H824" t="inlineStr">
        <is>
          <t>Different 差额</t>
        </is>
      </c>
      <c r="I824" s="6">
        <f>IF($B813="","",ROUND(I822-L822,2))</f>
        <v/>
      </c>
    </row>
    <row r="825"/>
    <row r="826"/>
    <row r="827">
      <c r="A827" t="inlineStr">
        <is>
          <t>Date 日期</t>
        </is>
      </c>
      <c r="B827" s="5">
        <f>IF('Daily Sale entry '!$A61="","",'Daily Sale entry '!$A61)</f>
        <v/>
      </c>
      <c r="H827" t="inlineStr">
        <is>
          <t>After 调整后 (After)</t>
        </is>
      </c>
      <c r="I827" s="5">
        <f>IF($B827="","",B827)</f>
        <v/>
      </c>
    </row>
    <row r="828">
      <c r="A828" t="inlineStr">
        <is>
          <t>Cash Sales 现金销售</t>
        </is>
      </c>
      <c r="B828" s="6">
        <f>IF($B827="","",'Daily Sale entry '!B61)</f>
        <v/>
      </c>
      <c r="D828" t="inlineStr">
        <is>
          <t>c/f petty cash 今日备用金结转</t>
        </is>
      </c>
      <c r="E828" s="6">
        <f>IF($B827="","",'Daily Sale entry '!G61)</f>
        <v/>
      </c>
      <c r="H828" t="inlineStr">
        <is>
          <t>Cash Sales 现金销售</t>
        </is>
      </c>
      <c r="I828" s="6">
        <f>IF($B827="","",IF(AND(ABS(B838)&gt;'Opening Balance'!$B$13,B838&lt;0),ROUND(B828-B838,2),B828))</f>
        <v/>
      </c>
      <c r="K828" t="inlineStr">
        <is>
          <t>c/f petty cash 今日备用金结转</t>
        </is>
      </c>
      <c r="L828" s="6">
        <f>IF($B827="","",IF(ABS(B838)&lt;='Opening Balance'!$B$13,ROUND(E828+B838,2),E828))</f>
        <v/>
      </c>
    </row>
    <row r="829">
      <c r="A829" t="inlineStr">
        <is>
          <t>Misc Charges 杂项费用</t>
        </is>
      </c>
      <c r="B829" s="6">
        <f>IF($B827="","",'Daily Sale entry '!C61)</f>
        <v/>
      </c>
      <c r="D829" t="inlineStr">
        <is>
          <t>cash collection 现金收款</t>
        </is>
      </c>
      <c r="E829" s="6">
        <f>IF($B827="","",'Daily Sale entry '!H61)</f>
        <v/>
      </c>
      <c r="H829" t="inlineStr">
        <is>
          <t>Misc Charges 杂项费用</t>
        </is>
      </c>
      <c r="I829" s="6">
        <f>IF($B827="","",IF(AND(ABS(B838)&gt;'Opening Balance'!$B$13,B838&gt;0),ROUND(B829+B838,2),B829))</f>
        <v/>
      </c>
      <c r="K829" t="inlineStr">
        <is>
          <t>cash collection 现金收款</t>
        </is>
      </c>
      <c r="L829" s="6">
        <f>IF($B827="","",E829)</f>
        <v/>
      </c>
    </row>
    <row r="830">
      <c r="A830" s="1" t="inlineStr">
        <is>
          <t>Other Charges 其他费用</t>
        </is>
      </c>
      <c r="B830" s="9">
        <f>IF($B827="","",'Daily Sale entry '!D61)</f>
        <v/>
      </c>
      <c r="D830" s="1" t="inlineStr">
        <is>
          <t>Cheque Collection 支票收款</t>
        </is>
      </c>
      <c r="E830" s="9">
        <f>IF($B827="","",'Daily Sale entry '!J61)</f>
        <v/>
      </c>
      <c r="H830" s="1" t="inlineStr">
        <is>
          <t>Other Charges 其他费用</t>
        </is>
      </c>
      <c r="I830" s="9">
        <f>IF($B827="","",B830)</f>
        <v/>
      </c>
      <c r="K830" s="1" t="inlineStr">
        <is>
          <t>Cheque Collection 支票收款</t>
        </is>
      </c>
      <c r="L830" s="9">
        <f>IF($B827="","",E830)</f>
        <v/>
      </c>
    </row>
    <row r="831">
      <c r="A831" s="10" t="inlineStr">
        <is>
          <t>Amount 金额  (Cash Sales - Misc - Other)</t>
        </is>
      </c>
      <c r="B831" s="11">
        <f>IF($B827="","",ROUND(B828-B829-B830,2))</f>
        <v/>
      </c>
      <c r="D831" s="12" t="inlineStr">
        <is>
          <t>TNG collection TNG收款</t>
        </is>
      </c>
      <c r="E831" s="13">
        <f>IF($B827="","",'Daily Sale entry '!K61)</f>
        <v/>
      </c>
      <c r="H831" s="10" t="inlineStr">
        <is>
          <t>Amount 金额  (Cash Sales - Misc - Other)</t>
        </is>
      </c>
      <c r="I831" s="11">
        <f>IF($B827="","",ROUND(I828-I829-I830,2))</f>
        <v/>
      </c>
      <c r="K831" s="12" t="inlineStr">
        <is>
          <t>TNG collection TNG收款</t>
        </is>
      </c>
      <c r="L831" s="13">
        <f>IF($B827="","",E831)</f>
        <v/>
      </c>
    </row>
    <row r="832">
      <c r="A832" t="inlineStr">
        <is>
          <t>Credit Collection 赊账收款</t>
        </is>
      </c>
      <c r="B832" s="6">
        <f>IF($B827="","",'Daily Sale entry '!E61)</f>
        <v/>
      </c>
      <c r="D832" t="inlineStr">
        <is>
          <t>Advance Salary_M 预支薪水_M</t>
        </is>
      </c>
      <c r="E832" s="6">
        <f>IF($B827="","",'Daily Sale entry '!L61)</f>
        <v/>
      </c>
      <c r="H832" t="inlineStr">
        <is>
          <t>Credit Collection 赊账收款</t>
        </is>
      </c>
      <c r="I832" s="6">
        <f>IF($B827="","",B832)</f>
        <v/>
      </c>
      <c r="K832" t="inlineStr">
        <is>
          <t>Advance Salary_M 预支薪水_M</t>
        </is>
      </c>
      <c r="L832" s="6">
        <f>IF($B827="","",E832)</f>
        <v/>
      </c>
    </row>
    <row r="833">
      <c r="A833" s="10" t="inlineStr">
        <is>
          <t>Amount 2 金额2  (Amount + Credit Collection)</t>
        </is>
      </c>
      <c r="B833" s="11">
        <f>IF($B827="","",ROUND(B831+B832,2))</f>
        <v/>
      </c>
      <c r="D833" t="inlineStr">
        <is>
          <t>Advance Salary_H 预支薪水_H</t>
        </is>
      </c>
      <c r="E833" s="6">
        <f>IF($B827="","",'Daily Sale entry '!M61)</f>
        <v/>
      </c>
      <c r="H833" s="10" t="inlineStr">
        <is>
          <t>Amount 2 金额2  (Amount + Credit Collection)</t>
        </is>
      </c>
      <c r="I833" s="11">
        <f>IF($B827="","",ROUND(I831+I832,2))</f>
        <v/>
      </c>
      <c r="K833" t="inlineStr">
        <is>
          <t>Advance Salary_H 预支薪水_H</t>
        </is>
      </c>
      <c r="L833" s="6">
        <f>IF($B827="","",E833)</f>
        <v/>
      </c>
    </row>
    <row r="834"/>
    <row r="835">
      <c r="A835" s="1" t="inlineStr">
        <is>
          <t>b/f petty cash 上日备用金结转</t>
        </is>
      </c>
      <c r="B835" s="9">
        <f>IF($B827="","",'Daily Sale entry '!F61)</f>
        <v/>
      </c>
      <c r="D835" s="1" t="n"/>
      <c r="E835" s="1" t="n"/>
      <c r="H835" s="1" t="inlineStr">
        <is>
          <t>b/f petty cash 上日备用金结转</t>
        </is>
      </c>
      <c r="I835" s="9">
        <f>IF($B827="","",B835)</f>
        <v/>
      </c>
      <c r="K835" s="1" t="n"/>
      <c r="L835" s="1" t="n"/>
    </row>
    <row r="836">
      <c r="A836" t="inlineStr">
        <is>
          <t>Total (A) 总计 (A)</t>
        </is>
      </c>
      <c r="B836" s="6">
        <f>IF($B827="","",ROUND(B833+B835,2))</f>
        <v/>
      </c>
      <c r="D836" t="inlineStr">
        <is>
          <t>Total(B) 总计 (B)</t>
        </is>
      </c>
      <c r="E836" s="6">
        <f>IF($B827="","",ROUND(E828+E829+E830+E831+E832+E833,2))</f>
        <v/>
      </c>
      <c r="H836" t="inlineStr">
        <is>
          <t>Total© 总计 (C)</t>
        </is>
      </c>
      <c r="I836" s="6">
        <f>IF($B827="","",ROUND(I833+I835,2))</f>
        <v/>
      </c>
      <c r="K836" t="inlineStr">
        <is>
          <t>Total(D) 总计 (D)</t>
        </is>
      </c>
      <c r="L836" s="6">
        <f>IF($B827="","",ROUND(L828+L829+L830+L831+L832+L833,2))</f>
        <v/>
      </c>
    </row>
    <row r="837">
      <c r="A837" s="14" t="inlineStr">
        <is>
          <t>Total = Amount 2 + b/f petty cash  (金额2 + 上日备用金)</t>
        </is>
      </c>
      <c r="H837" s="14" t="inlineStr">
        <is>
          <t>Total = Amount 2 + b/f petty cash  (金额2 + 上日备用金)</t>
        </is>
      </c>
    </row>
    <row r="838">
      <c r="A838" t="inlineStr">
        <is>
          <t>Different 差额</t>
        </is>
      </c>
      <c r="B838" s="6">
        <f>IF($B827="","",ROUND(B836-E836,2))</f>
        <v/>
      </c>
      <c r="D838">
        <f>IF($B827="","",IF(ABS(B838)&gt;'Opening Balance'!$B$16,"ALERT 警报: Different over RM"&amp;'Opening Balance'!$B$16&amp;" 差额超过RM"&amp;'Opening Balance'!$B$16&amp;" - please check 请检查",IF(B838=0,"Tied 平衡",IF(ABS(B838)&lt;='Opening Balance'!$B$13,"Small difference 小额差额: adjusted on c/f petty cash 已调整备用金",IF(B838&gt;0,"Short 短收: added to Misc Charges 已加入杂项费用","Over 多收: added to Cash Sales 已加入现金销售")))))</f>
        <v/>
      </c>
      <c r="H838" t="inlineStr">
        <is>
          <t>Different 差额</t>
        </is>
      </c>
      <c r="I838" s="6">
        <f>IF($B827="","",ROUND(I836-L836,2))</f>
        <v/>
      </c>
    </row>
    <row r="839"/>
    <row r="840"/>
    <row r="841">
      <c r="A841" t="inlineStr">
        <is>
          <t>Date 日期</t>
        </is>
      </c>
      <c r="B841" s="5">
        <f>IF('Daily Sale entry '!$A62="","",'Daily Sale entry '!$A62)</f>
        <v/>
      </c>
      <c r="H841" t="inlineStr">
        <is>
          <t>After 调整后 (After)</t>
        </is>
      </c>
      <c r="I841" s="5">
        <f>IF($B841="","",B841)</f>
        <v/>
      </c>
    </row>
    <row r="842">
      <c r="A842" t="inlineStr">
        <is>
          <t>Cash Sales 现金销售</t>
        </is>
      </c>
      <c r="B842" s="6">
        <f>IF($B841="","",'Daily Sale entry '!B62)</f>
        <v/>
      </c>
      <c r="D842" t="inlineStr">
        <is>
          <t>c/f petty cash 今日备用金结转</t>
        </is>
      </c>
      <c r="E842" s="6">
        <f>IF($B841="","",'Daily Sale entry '!G62)</f>
        <v/>
      </c>
      <c r="H842" t="inlineStr">
        <is>
          <t>Cash Sales 现金销售</t>
        </is>
      </c>
      <c r="I842" s="6">
        <f>IF($B841="","",IF(AND(ABS(B852)&gt;'Opening Balance'!$B$13,B852&lt;0),ROUND(B842-B852,2),B842))</f>
        <v/>
      </c>
      <c r="K842" t="inlineStr">
        <is>
          <t>c/f petty cash 今日备用金结转</t>
        </is>
      </c>
      <c r="L842" s="6">
        <f>IF($B841="","",IF(ABS(B852)&lt;='Opening Balance'!$B$13,ROUND(E842+B852,2),E842))</f>
        <v/>
      </c>
    </row>
    <row r="843">
      <c r="A843" t="inlineStr">
        <is>
          <t>Misc Charges 杂项费用</t>
        </is>
      </c>
      <c r="B843" s="6">
        <f>IF($B841="","",'Daily Sale entry '!C62)</f>
        <v/>
      </c>
      <c r="D843" t="inlineStr">
        <is>
          <t>cash collection 现金收款</t>
        </is>
      </c>
      <c r="E843" s="6">
        <f>IF($B841="","",'Daily Sale entry '!H62)</f>
        <v/>
      </c>
      <c r="H843" t="inlineStr">
        <is>
          <t>Misc Charges 杂项费用</t>
        </is>
      </c>
      <c r="I843" s="6">
        <f>IF($B841="","",IF(AND(ABS(B852)&gt;'Opening Balance'!$B$13,B852&gt;0),ROUND(B843+B852,2),B843))</f>
        <v/>
      </c>
      <c r="K843" t="inlineStr">
        <is>
          <t>cash collection 现金收款</t>
        </is>
      </c>
      <c r="L843" s="6">
        <f>IF($B841="","",E843)</f>
        <v/>
      </c>
    </row>
    <row r="844">
      <c r="A844" s="1" t="inlineStr">
        <is>
          <t>Other Charges 其他费用</t>
        </is>
      </c>
      <c r="B844" s="9">
        <f>IF($B841="","",'Daily Sale entry '!D62)</f>
        <v/>
      </c>
      <c r="D844" s="1" t="inlineStr">
        <is>
          <t>Cheque Collection 支票收款</t>
        </is>
      </c>
      <c r="E844" s="9">
        <f>IF($B841="","",'Daily Sale entry '!J62)</f>
        <v/>
      </c>
      <c r="H844" s="1" t="inlineStr">
        <is>
          <t>Other Charges 其他费用</t>
        </is>
      </c>
      <c r="I844" s="9">
        <f>IF($B841="","",B844)</f>
        <v/>
      </c>
      <c r="K844" s="1" t="inlineStr">
        <is>
          <t>Cheque Collection 支票收款</t>
        </is>
      </c>
      <c r="L844" s="9">
        <f>IF($B841="","",E844)</f>
        <v/>
      </c>
    </row>
    <row r="845">
      <c r="A845" s="10" t="inlineStr">
        <is>
          <t>Amount 金额  (Cash Sales - Misc - Other)</t>
        </is>
      </c>
      <c r="B845" s="11">
        <f>IF($B841="","",ROUND(B842-B843-B844,2))</f>
        <v/>
      </c>
      <c r="D845" s="12" t="inlineStr">
        <is>
          <t>TNG collection TNG收款</t>
        </is>
      </c>
      <c r="E845" s="13">
        <f>IF($B841="","",'Daily Sale entry '!K62)</f>
        <v/>
      </c>
      <c r="H845" s="10" t="inlineStr">
        <is>
          <t>Amount 金额  (Cash Sales - Misc - Other)</t>
        </is>
      </c>
      <c r="I845" s="11">
        <f>IF($B841="","",ROUND(I842-I843-I844,2))</f>
        <v/>
      </c>
      <c r="K845" s="12" t="inlineStr">
        <is>
          <t>TNG collection TNG收款</t>
        </is>
      </c>
      <c r="L845" s="13">
        <f>IF($B841="","",E845)</f>
        <v/>
      </c>
    </row>
    <row r="846">
      <c r="A846" t="inlineStr">
        <is>
          <t>Credit Collection 赊账收款</t>
        </is>
      </c>
      <c r="B846" s="6">
        <f>IF($B841="","",'Daily Sale entry '!E62)</f>
        <v/>
      </c>
      <c r="D846" t="inlineStr">
        <is>
          <t>Advance Salary_M 预支薪水_M</t>
        </is>
      </c>
      <c r="E846" s="6">
        <f>IF($B841="","",'Daily Sale entry '!L62)</f>
        <v/>
      </c>
      <c r="H846" t="inlineStr">
        <is>
          <t>Credit Collection 赊账收款</t>
        </is>
      </c>
      <c r="I846" s="6">
        <f>IF($B841="","",B846)</f>
        <v/>
      </c>
      <c r="K846" t="inlineStr">
        <is>
          <t>Advance Salary_M 预支薪水_M</t>
        </is>
      </c>
      <c r="L846" s="6">
        <f>IF($B841="","",E846)</f>
        <v/>
      </c>
    </row>
    <row r="847">
      <c r="A847" s="10" t="inlineStr">
        <is>
          <t>Amount 2 金额2  (Amount + Credit Collection)</t>
        </is>
      </c>
      <c r="B847" s="11">
        <f>IF($B841="","",ROUND(B845+B846,2))</f>
        <v/>
      </c>
      <c r="D847" t="inlineStr">
        <is>
          <t>Advance Salary_H 预支薪水_H</t>
        </is>
      </c>
      <c r="E847" s="6">
        <f>IF($B841="","",'Daily Sale entry '!M62)</f>
        <v/>
      </c>
      <c r="H847" s="10" t="inlineStr">
        <is>
          <t>Amount 2 金额2  (Amount + Credit Collection)</t>
        </is>
      </c>
      <c r="I847" s="11">
        <f>IF($B841="","",ROUND(I845+I846,2))</f>
        <v/>
      </c>
      <c r="K847" t="inlineStr">
        <is>
          <t>Advance Salary_H 预支薪水_H</t>
        </is>
      </c>
      <c r="L847" s="6">
        <f>IF($B841="","",E847)</f>
        <v/>
      </c>
    </row>
    <row r="848"/>
    <row r="849">
      <c r="A849" s="1" t="inlineStr">
        <is>
          <t>b/f petty cash 上日备用金结转</t>
        </is>
      </c>
      <c r="B849" s="9">
        <f>IF($B841="","",'Daily Sale entry '!F62)</f>
        <v/>
      </c>
      <c r="D849" s="1" t="n"/>
      <c r="E849" s="1" t="n"/>
      <c r="H849" s="1" t="inlineStr">
        <is>
          <t>b/f petty cash 上日备用金结转</t>
        </is>
      </c>
      <c r="I849" s="9">
        <f>IF($B841="","",B849)</f>
        <v/>
      </c>
      <c r="K849" s="1" t="n"/>
      <c r="L849" s="1" t="n"/>
    </row>
    <row r="850">
      <c r="A850" t="inlineStr">
        <is>
          <t>Total (A) 总计 (A)</t>
        </is>
      </c>
      <c r="B850" s="6">
        <f>IF($B841="","",ROUND(B847+B849,2))</f>
        <v/>
      </c>
      <c r="D850" t="inlineStr">
        <is>
          <t>Total(B) 总计 (B)</t>
        </is>
      </c>
      <c r="E850" s="6">
        <f>IF($B841="","",ROUND(E842+E843+E844+E845+E846+E847,2))</f>
        <v/>
      </c>
      <c r="H850" t="inlineStr">
        <is>
          <t>Total© 总计 (C)</t>
        </is>
      </c>
      <c r="I850" s="6">
        <f>IF($B841="","",ROUND(I847+I849,2))</f>
        <v/>
      </c>
      <c r="K850" t="inlineStr">
        <is>
          <t>Total(D) 总计 (D)</t>
        </is>
      </c>
      <c r="L850" s="6">
        <f>IF($B841="","",ROUND(L842+L843+L844+L845+L846+L847,2))</f>
        <v/>
      </c>
    </row>
    <row r="851">
      <c r="A851" s="14" t="inlineStr">
        <is>
          <t>Total = Amount 2 + b/f petty cash  (金额2 + 上日备用金)</t>
        </is>
      </c>
      <c r="H851" s="14" t="inlineStr">
        <is>
          <t>Total = Amount 2 + b/f petty cash  (金额2 + 上日备用金)</t>
        </is>
      </c>
    </row>
    <row r="852">
      <c r="A852" t="inlineStr">
        <is>
          <t>Different 差额</t>
        </is>
      </c>
      <c r="B852" s="6">
        <f>IF($B841="","",ROUND(B850-E850,2))</f>
        <v/>
      </c>
      <c r="D852">
        <f>IF($B841="","",IF(ABS(B852)&gt;'Opening Balance'!$B$16,"ALERT 警报: Different over RM"&amp;'Opening Balance'!$B$16&amp;" 差额超过RM"&amp;'Opening Balance'!$B$16&amp;" - please check 请检查",IF(B852=0,"Tied 平衡",IF(ABS(B852)&lt;='Opening Balance'!$B$13,"Small difference 小额差额: adjusted on c/f petty cash 已调整备用金",IF(B852&gt;0,"Short 短收: added to Misc Charges 已加入杂项费用","Over 多收: added to Cash Sales 已加入现金销售")))))</f>
        <v/>
      </c>
      <c r="H852" t="inlineStr">
        <is>
          <t>Different 差额</t>
        </is>
      </c>
      <c r="I852" s="6">
        <f>IF($B841="","",ROUND(I850-L850,2))</f>
        <v/>
      </c>
    </row>
    <row r="853"/>
    <row r="854"/>
    <row r="855">
      <c r="A855" t="inlineStr">
        <is>
          <t>Date 日期</t>
        </is>
      </c>
      <c r="B855" s="5">
        <f>IF('Daily Sale entry '!$A63="","",'Daily Sale entry '!$A63)</f>
        <v/>
      </c>
      <c r="H855" t="inlineStr">
        <is>
          <t>After 调整后 (After)</t>
        </is>
      </c>
      <c r="I855" s="5">
        <f>IF($B855="","",B855)</f>
        <v/>
      </c>
    </row>
    <row r="856">
      <c r="A856" t="inlineStr">
        <is>
          <t>Cash Sales 现金销售</t>
        </is>
      </c>
      <c r="B856" s="6">
        <f>IF($B855="","",'Daily Sale entry '!B63)</f>
        <v/>
      </c>
      <c r="D856" t="inlineStr">
        <is>
          <t>c/f petty cash 今日备用金结转</t>
        </is>
      </c>
      <c r="E856" s="6">
        <f>IF($B855="","",'Daily Sale entry '!G63)</f>
        <v/>
      </c>
      <c r="H856" t="inlineStr">
        <is>
          <t>Cash Sales 现金销售</t>
        </is>
      </c>
      <c r="I856" s="6">
        <f>IF($B855="","",IF(AND(ABS(B866)&gt;'Opening Balance'!$B$13,B866&lt;0),ROUND(B856-B866,2),B856))</f>
        <v/>
      </c>
      <c r="K856" t="inlineStr">
        <is>
          <t>c/f petty cash 今日备用金结转</t>
        </is>
      </c>
      <c r="L856" s="6">
        <f>IF($B855="","",IF(ABS(B866)&lt;='Opening Balance'!$B$13,ROUND(E856+B866,2),E856))</f>
        <v/>
      </c>
    </row>
    <row r="857">
      <c r="A857" t="inlineStr">
        <is>
          <t>Misc Charges 杂项费用</t>
        </is>
      </c>
      <c r="B857" s="6">
        <f>IF($B855="","",'Daily Sale entry '!C63)</f>
        <v/>
      </c>
      <c r="D857" t="inlineStr">
        <is>
          <t>cash collection 现金收款</t>
        </is>
      </c>
      <c r="E857" s="6">
        <f>IF($B855="","",'Daily Sale entry '!H63)</f>
        <v/>
      </c>
      <c r="H857" t="inlineStr">
        <is>
          <t>Misc Charges 杂项费用</t>
        </is>
      </c>
      <c r="I857" s="6">
        <f>IF($B855="","",IF(AND(ABS(B866)&gt;'Opening Balance'!$B$13,B866&gt;0),ROUND(B857+B866,2),B857))</f>
        <v/>
      </c>
      <c r="K857" t="inlineStr">
        <is>
          <t>cash collection 现金收款</t>
        </is>
      </c>
      <c r="L857" s="6">
        <f>IF($B855="","",E857)</f>
        <v/>
      </c>
    </row>
    <row r="858">
      <c r="A858" s="1" t="inlineStr">
        <is>
          <t>Other Charges 其他费用</t>
        </is>
      </c>
      <c r="B858" s="9">
        <f>IF($B855="","",'Daily Sale entry '!D63)</f>
        <v/>
      </c>
      <c r="D858" s="1" t="inlineStr">
        <is>
          <t>Cheque Collection 支票收款</t>
        </is>
      </c>
      <c r="E858" s="9">
        <f>IF($B855="","",'Daily Sale entry '!J63)</f>
        <v/>
      </c>
      <c r="H858" s="1" t="inlineStr">
        <is>
          <t>Other Charges 其他费用</t>
        </is>
      </c>
      <c r="I858" s="9">
        <f>IF($B855="","",B858)</f>
        <v/>
      </c>
      <c r="K858" s="1" t="inlineStr">
        <is>
          <t>Cheque Collection 支票收款</t>
        </is>
      </c>
      <c r="L858" s="9">
        <f>IF($B855="","",E858)</f>
        <v/>
      </c>
    </row>
    <row r="859">
      <c r="A859" s="10" t="inlineStr">
        <is>
          <t>Amount 金额  (Cash Sales - Misc - Other)</t>
        </is>
      </c>
      <c r="B859" s="11">
        <f>IF($B855="","",ROUND(B856-B857-B858,2))</f>
        <v/>
      </c>
      <c r="D859" s="12" t="inlineStr">
        <is>
          <t>TNG collection TNG收款</t>
        </is>
      </c>
      <c r="E859" s="13">
        <f>IF($B855="","",'Daily Sale entry '!K63)</f>
        <v/>
      </c>
      <c r="H859" s="10" t="inlineStr">
        <is>
          <t>Amount 金额  (Cash Sales - Misc - Other)</t>
        </is>
      </c>
      <c r="I859" s="11">
        <f>IF($B855="","",ROUND(I856-I857-I858,2))</f>
        <v/>
      </c>
      <c r="K859" s="12" t="inlineStr">
        <is>
          <t>TNG collection TNG收款</t>
        </is>
      </c>
      <c r="L859" s="13">
        <f>IF($B855="","",E859)</f>
        <v/>
      </c>
    </row>
    <row r="860">
      <c r="A860" t="inlineStr">
        <is>
          <t>Credit Collection 赊账收款</t>
        </is>
      </c>
      <c r="B860" s="6">
        <f>IF($B855="","",'Daily Sale entry '!E63)</f>
        <v/>
      </c>
      <c r="D860" t="inlineStr">
        <is>
          <t>Advance Salary_M 预支薪水_M</t>
        </is>
      </c>
      <c r="E860" s="6">
        <f>IF($B855="","",'Daily Sale entry '!L63)</f>
        <v/>
      </c>
      <c r="H860" t="inlineStr">
        <is>
          <t>Credit Collection 赊账收款</t>
        </is>
      </c>
      <c r="I860" s="6">
        <f>IF($B855="","",B860)</f>
        <v/>
      </c>
      <c r="K860" t="inlineStr">
        <is>
          <t>Advance Salary_M 预支薪水_M</t>
        </is>
      </c>
      <c r="L860" s="6">
        <f>IF($B855="","",E860)</f>
        <v/>
      </c>
    </row>
    <row r="861">
      <c r="A861" s="10" t="inlineStr">
        <is>
          <t>Amount 2 金额2  (Amount + Credit Collection)</t>
        </is>
      </c>
      <c r="B861" s="11">
        <f>IF($B855="","",ROUND(B859+B860,2))</f>
        <v/>
      </c>
      <c r="D861" t="inlineStr">
        <is>
          <t>Advance Salary_H 预支薪水_H</t>
        </is>
      </c>
      <c r="E861" s="6">
        <f>IF($B855="","",'Daily Sale entry '!M63)</f>
        <v/>
      </c>
      <c r="H861" s="10" t="inlineStr">
        <is>
          <t>Amount 2 金额2  (Amount + Credit Collection)</t>
        </is>
      </c>
      <c r="I861" s="11">
        <f>IF($B855="","",ROUND(I859+I860,2))</f>
        <v/>
      </c>
      <c r="K861" t="inlineStr">
        <is>
          <t>Advance Salary_H 预支薪水_H</t>
        </is>
      </c>
      <c r="L861" s="6">
        <f>IF($B855="","",E861)</f>
        <v/>
      </c>
    </row>
    <row r="862"/>
    <row r="863">
      <c r="A863" s="1" t="inlineStr">
        <is>
          <t>b/f petty cash 上日备用金结转</t>
        </is>
      </c>
      <c r="B863" s="9">
        <f>IF($B855="","",'Daily Sale entry '!F63)</f>
        <v/>
      </c>
      <c r="D863" s="1" t="n"/>
      <c r="E863" s="1" t="n"/>
      <c r="H863" s="1" t="inlineStr">
        <is>
          <t>b/f petty cash 上日备用金结转</t>
        </is>
      </c>
      <c r="I863" s="9">
        <f>IF($B855="","",B863)</f>
        <v/>
      </c>
      <c r="K863" s="1" t="n"/>
      <c r="L863" s="1" t="n"/>
    </row>
    <row r="864">
      <c r="A864" t="inlineStr">
        <is>
          <t>Total (A) 总计 (A)</t>
        </is>
      </c>
      <c r="B864" s="6">
        <f>IF($B855="","",ROUND(B861+B863,2))</f>
        <v/>
      </c>
      <c r="D864" t="inlineStr">
        <is>
          <t>Total(B) 总计 (B)</t>
        </is>
      </c>
      <c r="E864" s="6">
        <f>IF($B855="","",ROUND(E856+E857+E858+E859+E860+E861,2))</f>
        <v/>
      </c>
      <c r="H864" t="inlineStr">
        <is>
          <t>Total© 总计 (C)</t>
        </is>
      </c>
      <c r="I864" s="6">
        <f>IF($B855="","",ROUND(I861+I863,2))</f>
        <v/>
      </c>
      <c r="K864" t="inlineStr">
        <is>
          <t>Total(D) 总计 (D)</t>
        </is>
      </c>
      <c r="L864" s="6">
        <f>IF($B855="","",ROUND(L856+L857+L858+L859+L860+L861,2))</f>
        <v/>
      </c>
    </row>
    <row r="865">
      <c r="A865" s="14" t="inlineStr">
        <is>
          <t>Total = Amount 2 + b/f petty cash  (金额2 + 上日备用金)</t>
        </is>
      </c>
      <c r="H865" s="14" t="inlineStr">
        <is>
          <t>Total = Amount 2 + b/f petty cash  (金额2 + 上日备用金)</t>
        </is>
      </c>
    </row>
    <row r="866">
      <c r="A866" t="inlineStr">
        <is>
          <t>Different 差额</t>
        </is>
      </c>
      <c r="B866" s="6">
        <f>IF($B855="","",ROUND(B864-E864,2))</f>
        <v/>
      </c>
      <c r="D866">
        <f>IF($B855="","",IF(ABS(B866)&gt;'Opening Balance'!$B$16,"ALERT 警报: Different over RM"&amp;'Opening Balance'!$B$16&amp;" 差额超过RM"&amp;'Opening Balance'!$B$16&amp;" - please check 请检查",IF(B866=0,"Tied 平衡",IF(ABS(B866)&lt;='Opening Balance'!$B$13,"Small difference 小额差额: adjusted on c/f petty cash 已调整备用金",IF(B866&gt;0,"Short 短收: added to Misc Charges 已加入杂项费用","Over 多收: added to Cash Sales 已加入现金销售")))))</f>
        <v/>
      </c>
      <c r="H866" t="inlineStr">
        <is>
          <t>Different 差额</t>
        </is>
      </c>
      <c r="I866" s="6">
        <f>IF($B855="","",ROUND(I864-L864,2))</f>
        <v/>
      </c>
    </row>
    <row r="867"/>
    <row r="868"/>
    <row r="869">
      <c r="A869" t="inlineStr">
        <is>
          <t>Date 日期</t>
        </is>
      </c>
      <c r="B869" s="5">
        <f>IF('Daily Sale entry '!$A64="","",'Daily Sale entry '!$A64)</f>
        <v/>
      </c>
      <c r="H869" t="inlineStr">
        <is>
          <t>After 调整后 (After)</t>
        </is>
      </c>
      <c r="I869" s="5">
        <f>IF($B869="","",B869)</f>
        <v/>
      </c>
    </row>
    <row r="870">
      <c r="A870" t="inlineStr">
        <is>
          <t>Cash Sales 现金销售</t>
        </is>
      </c>
      <c r="B870" s="6">
        <f>IF($B869="","",'Daily Sale entry '!B64)</f>
        <v/>
      </c>
      <c r="D870" t="inlineStr">
        <is>
          <t>c/f petty cash 今日备用金结转</t>
        </is>
      </c>
      <c r="E870" s="6">
        <f>IF($B869="","",'Daily Sale entry '!G64)</f>
        <v/>
      </c>
      <c r="H870" t="inlineStr">
        <is>
          <t>Cash Sales 现金销售</t>
        </is>
      </c>
      <c r="I870" s="6">
        <f>IF($B869="","",IF(AND(ABS(B880)&gt;'Opening Balance'!$B$13,B880&lt;0),ROUND(B870-B880,2),B870))</f>
        <v/>
      </c>
      <c r="K870" t="inlineStr">
        <is>
          <t>c/f petty cash 今日备用金结转</t>
        </is>
      </c>
      <c r="L870" s="6">
        <f>IF($B869="","",IF(ABS(B880)&lt;='Opening Balance'!$B$13,ROUND(E870+B880,2),E870))</f>
        <v/>
      </c>
    </row>
    <row r="871">
      <c r="A871" t="inlineStr">
        <is>
          <t>Misc Charges 杂项费用</t>
        </is>
      </c>
      <c r="B871" s="6">
        <f>IF($B869="","",'Daily Sale entry '!C64)</f>
        <v/>
      </c>
      <c r="D871" t="inlineStr">
        <is>
          <t>cash collection 现金收款</t>
        </is>
      </c>
      <c r="E871" s="6">
        <f>IF($B869="","",'Daily Sale entry '!H64)</f>
        <v/>
      </c>
      <c r="H871" t="inlineStr">
        <is>
          <t>Misc Charges 杂项费用</t>
        </is>
      </c>
      <c r="I871" s="6">
        <f>IF($B869="","",IF(AND(ABS(B880)&gt;'Opening Balance'!$B$13,B880&gt;0),ROUND(B871+B880,2),B871))</f>
        <v/>
      </c>
      <c r="K871" t="inlineStr">
        <is>
          <t>cash collection 现金收款</t>
        </is>
      </c>
      <c r="L871" s="6">
        <f>IF($B869="","",E871)</f>
        <v/>
      </c>
    </row>
    <row r="872">
      <c r="A872" s="1" t="inlineStr">
        <is>
          <t>Other Charges 其他费用</t>
        </is>
      </c>
      <c r="B872" s="9">
        <f>IF($B869="","",'Daily Sale entry '!D64)</f>
        <v/>
      </c>
      <c r="D872" s="1" t="inlineStr">
        <is>
          <t>Cheque Collection 支票收款</t>
        </is>
      </c>
      <c r="E872" s="9">
        <f>IF($B869="","",'Daily Sale entry '!J64)</f>
        <v/>
      </c>
      <c r="H872" s="1" t="inlineStr">
        <is>
          <t>Other Charges 其他费用</t>
        </is>
      </c>
      <c r="I872" s="9">
        <f>IF($B869="","",B872)</f>
        <v/>
      </c>
      <c r="K872" s="1" t="inlineStr">
        <is>
          <t>Cheque Collection 支票收款</t>
        </is>
      </c>
      <c r="L872" s="9">
        <f>IF($B869="","",E872)</f>
        <v/>
      </c>
    </row>
    <row r="873">
      <c r="A873" s="10" t="inlineStr">
        <is>
          <t>Amount 金额  (Cash Sales - Misc - Other)</t>
        </is>
      </c>
      <c r="B873" s="11">
        <f>IF($B869="","",ROUND(B870-B871-B872,2))</f>
        <v/>
      </c>
      <c r="D873" s="12" t="inlineStr">
        <is>
          <t>TNG collection TNG收款</t>
        </is>
      </c>
      <c r="E873" s="13">
        <f>IF($B869="","",'Daily Sale entry '!K64)</f>
        <v/>
      </c>
      <c r="H873" s="10" t="inlineStr">
        <is>
          <t>Amount 金额  (Cash Sales - Misc - Other)</t>
        </is>
      </c>
      <c r="I873" s="11">
        <f>IF($B869="","",ROUND(I870-I871-I872,2))</f>
        <v/>
      </c>
      <c r="K873" s="12" t="inlineStr">
        <is>
          <t>TNG collection TNG收款</t>
        </is>
      </c>
      <c r="L873" s="13">
        <f>IF($B869="","",E873)</f>
        <v/>
      </c>
    </row>
    <row r="874">
      <c r="A874" t="inlineStr">
        <is>
          <t>Credit Collection 赊账收款</t>
        </is>
      </c>
      <c r="B874" s="6">
        <f>IF($B869="","",'Daily Sale entry '!E64)</f>
        <v/>
      </c>
      <c r="D874" t="inlineStr">
        <is>
          <t>Advance Salary_M 预支薪水_M</t>
        </is>
      </c>
      <c r="E874" s="6">
        <f>IF($B869="","",'Daily Sale entry '!L64)</f>
        <v/>
      </c>
      <c r="H874" t="inlineStr">
        <is>
          <t>Credit Collection 赊账收款</t>
        </is>
      </c>
      <c r="I874" s="6">
        <f>IF($B869="","",B874)</f>
        <v/>
      </c>
      <c r="K874" t="inlineStr">
        <is>
          <t>Advance Salary_M 预支薪水_M</t>
        </is>
      </c>
      <c r="L874" s="6">
        <f>IF($B869="","",E874)</f>
        <v/>
      </c>
    </row>
    <row r="875">
      <c r="A875" s="10" t="inlineStr">
        <is>
          <t>Amount 2 金额2  (Amount + Credit Collection)</t>
        </is>
      </c>
      <c r="B875" s="11">
        <f>IF($B869="","",ROUND(B873+B874,2))</f>
        <v/>
      </c>
      <c r="D875" t="inlineStr">
        <is>
          <t>Advance Salary_H 预支薪水_H</t>
        </is>
      </c>
      <c r="E875" s="6">
        <f>IF($B869="","",'Daily Sale entry '!M64)</f>
        <v/>
      </c>
      <c r="H875" s="10" t="inlineStr">
        <is>
          <t>Amount 2 金额2  (Amount + Credit Collection)</t>
        </is>
      </c>
      <c r="I875" s="11">
        <f>IF($B869="","",ROUND(I873+I874,2))</f>
        <v/>
      </c>
      <c r="K875" t="inlineStr">
        <is>
          <t>Advance Salary_H 预支薪水_H</t>
        </is>
      </c>
      <c r="L875" s="6">
        <f>IF($B869="","",E875)</f>
        <v/>
      </c>
    </row>
    <row r="876"/>
    <row r="877">
      <c r="A877" s="1" t="inlineStr">
        <is>
          <t>b/f petty cash 上日备用金结转</t>
        </is>
      </c>
      <c r="B877" s="9">
        <f>IF($B869="","",'Daily Sale entry '!F64)</f>
        <v/>
      </c>
      <c r="D877" s="1" t="n"/>
      <c r="E877" s="1" t="n"/>
      <c r="H877" s="1" t="inlineStr">
        <is>
          <t>b/f petty cash 上日备用金结转</t>
        </is>
      </c>
      <c r="I877" s="9">
        <f>IF($B869="","",B877)</f>
        <v/>
      </c>
      <c r="K877" s="1" t="n"/>
      <c r="L877" s="1" t="n"/>
    </row>
    <row r="878">
      <c r="A878" t="inlineStr">
        <is>
          <t>Total (A) 总计 (A)</t>
        </is>
      </c>
      <c r="B878" s="6">
        <f>IF($B869="","",ROUND(B875+B877,2))</f>
        <v/>
      </c>
      <c r="D878" t="inlineStr">
        <is>
          <t>Total(B) 总计 (B)</t>
        </is>
      </c>
      <c r="E878" s="6">
        <f>IF($B869="","",ROUND(E870+E871+E872+E873+E874+E875,2))</f>
        <v/>
      </c>
      <c r="H878" t="inlineStr">
        <is>
          <t>Total© 总计 (C)</t>
        </is>
      </c>
      <c r="I878" s="6">
        <f>IF($B869="","",ROUND(I875+I877,2))</f>
        <v/>
      </c>
      <c r="K878" t="inlineStr">
        <is>
          <t>Total(D) 总计 (D)</t>
        </is>
      </c>
      <c r="L878" s="6">
        <f>IF($B869="","",ROUND(L870+L871+L872+L873+L874+L875,2))</f>
        <v/>
      </c>
    </row>
    <row r="879">
      <c r="A879" s="14" t="inlineStr">
        <is>
          <t>Total = Amount 2 + b/f petty cash  (金额2 + 上日备用金)</t>
        </is>
      </c>
      <c r="H879" s="14" t="inlineStr">
        <is>
          <t>Total = Amount 2 + b/f petty cash  (金额2 + 上日备用金)</t>
        </is>
      </c>
    </row>
    <row r="880">
      <c r="A880" t="inlineStr">
        <is>
          <t>Different 差额</t>
        </is>
      </c>
      <c r="B880" s="6">
        <f>IF($B869="","",ROUND(B878-E878,2))</f>
        <v/>
      </c>
      <c r="D880">
        <f>IF($B869="","",IF(ABS(B880)&gt;'Opening Balance'!$B$16,"ALERT 警报: Different over RM"&amp;'Opening Balance'!$B$16&amp;" 差额超过RM"&amp;'Opening Balance'!$B$16&amp;" - please check 请检查",IF(B880=0,"Tied 平衡",IF(ABS(B880)&lt;='Opening Balance'!$B$13,"Small difference 小额差额: adjusted on c/f petty cash 已调整备用金",IF(B880&gt;0,"Short 短收: added to Misc Charges 已加入杂项费用","Over 多收: added to Cash Sales 已加入现金销售")))))</f>
        <v/>
      </c>
      <c r="H880" t="inlineStr">
        <is>
          <t>Different 差额</t>
        </is>
      </c>
      <c r="I880" s="6">
        <f>IF($B869="","",ROUND(I878-L878,2))</f>
        <v/>
      </c>
    </row>
    <row r="881"/>
    <row r="882"/>
    <row r="883">
      <c r="A883" t="inlineStr">
        <is>
          <t>Date 日期</t>
        </is>
      </c>
      <c r="B883" s="5">
        <f>IF('Daily Sale entry '!$A65="","",'Daily Sale entry '!$A65)</f>
        <v/>
      </c>
      <c r="H883" t="inlineStr">
        <is>
          <t>After 调整后 (After)</t>
        </is>
      </c>
      <c r="I883" s="5">
        <f>IF($B883="","",B883)</f>
        <v/>
      </c>
    </row>
    <row r="884">
      <c r="A884" t="inlineStr">
        <is>
          <t>Cash Sales 现金销售</t>
        </is>
      </c>
      <c r="B884" s="6">
        <f>IF($B883="","",'Daily Sale entry '!B65)</f>
        <v/>
      </c>
      <c r="D884" t="inlineStr">
        <is>
          <t>c/f petty cash 今日备用金结转</t>
        </is>
      </c>
      <c r="E884" s="6">
        <f>IF($B883="","",'Daily Sale entry '!G65)</f>
        <v/>
      </c>
      <c r="H884" t="inlineStr">
        <is>
          <t>Cash Sales 现金销售</t>
        </is>
      </c>
      <c r="I884" s="6">
        <f>IF($B883="","",IF(AND(ABS(B894)&gt;'Opening Balance'!$B$13,B894&lt;0),ROUND(B884-B894,2),B884))</f>
        <v/>
      </c>
      <c r="K884" t="inlineStr">
        <is>
          <t>c/f petty cash 今日备用金结转</t>
        </is>
      </c>
      <c r="L884" s="6">
        <f>IF($B883="","",IF(ABS(B894)&lt;='Opening Balance'!$B$13,ROUND(E884+B894,2),E884))</f>
        <v/>
      </c>
    </row>
    <row r="885">
      <c r="A885" t="inlineStr">
        <is>
          <t>Misc Charges 杂项费用</t>
        </is>
      </c>
      <c r="B885" s="6">
        <f>IF($B883="","",'Daily Sale entry '!C65)</f>
        <v/>
      </c>
      <c r="D885" t="inlineStr">
        <is>
          <t>cash collection 现金收款</t>
        </is>
      </c>
      <c r="E885" s="6">
        <f>IF($B883="","",'Daily Sale entry '!H65)</f>
        <v/>
      </c>
      <c r="H885" t="inlineStr">
        <is>
          <t>Misc Charges 杂项费用</t>
        </is>
      </c>
      <c r="I885" s="6">
        <f>IF($B883="","",IF(AND(ABS(B894)&gt;'Opening Balance'!$B$13,B894&gt;0),ROUND(B885+B894,2),B885))</f>
        <v/>
      </c>
      <c r="K885" t="inlineStr">
        <is>
          <t>cash collection 现金收款</t>
        </is>
      </c>
      <c r="L885" s="6">
        <f>IF($B883="","",E885)</f>
        <v/>
      </c>
    </row>
    <row r="886">
      <c r="A886" s="1" t="inlineStr">
        <is>
          <t>Other Charges 其他费用</t>
        </is>
      </c>
      <c r="B886" s="9">
        <f>IF($B883="","",'Daily Sale entry '!D65)</f>
        <v/>
      </c>
      <c r="D886" s="1" t="inlineStr">
        <is>
          <t>Cheque Collection 支票收款</t>
        </is>
      </c>
      <c r="E886" s="9">
        <f>IF($B883="","",'Daily Sale entry '!J65)</f>
        <v/>
      </c>
      <c r="H886" s="1" t="inlineStr">
        <is>
          <t>Other Charges 其他费用</t>
        </is>
      </c>
      <c r="I886" s="9">
        <f>IF($B883="","",B886)</f>
        <v/>
      </c>
      <c r="K886" s="1" t="inlineStr">
        <is>
          <t>Cheque Collection 支票收款</t>
        </is>
      </c>
      <c r="L886" s="9">
        <f>IF($B883="","",E886)</f>
        <v/>
      </c>
    </row>
    <row r="887">
      <c r="A887" s="10" t="inlineStr">
        <is>
          <t>Amount 金额  (Cash Sales - Misc - Other)</t>
        </is>
      </c>
      <c r="B887" s="11">
        <f>IF($B883="","",ROUND(B884-B885-B886,2))</f>
        <v/>
      </c>
      <c r="D887" s="12" t="inlineStr">
        <is>
          <t>TNG collection TNG收款</t>
        </is>
      </c>
      <c r="E887" s="13">
        <f>IF($B883="","",'Daily Sale entry '!K65)</f>
        <v/>
      </c>
      <c r="H887" s="10" t="inlineStr">
        <is>
          <t>Amount 金额  (Cash Sales - Misc - Other)</t>
        </is>
      </c>
      <c r="I887" s="11">
        <f>IF($B883="","",ROUND(I884-I885-I886,2))</f>
        <v/>
      </c>
      <c r="K887" s="12" t="inlineStr">
        <is>
          <t>TNG collection TNG收款</t>
        </is>
      </c>
      <c r="L887" s="13">
        <f>IF($B883="","",E887)</f>
        <v/>
      </c>
    </row>
    <row r="888">
      <c r="A888" t="inlineStr">
        <is>
          <t>Credit Collection 赊账收款</t>
        </is>
      </c>
      <c r="B888" s="6">
        <f>IF($B883="","",'Daily Sale entry '!E65)</f>
        <v/>
      </c>
      <c r="D888" t="inlineStr">
        <is>
          <t>Advance Salary_M 预支薪水_M</t>
        </is>
      </c>
      <c r="E888" s="6">
        <f>IF($B883="","",'Daily Sale entry '!L65)</f>
        <v/>
      </c>
      <c r="H888" t="inlineStr">
        <is>
          <t>Credit Collection 赊账收款</t>
        </is>
      </c>
      <c r="I888" s="6">
        <f>IF($B883="","",B888)</f>
        <v/>
      </c>
      <c r="K888" t="inlineStr">
        <is>
          <t>Advance Salary_M 预支薪水_M</t>
        </is>
      </c>
      <c r="L888" s="6">
        <f>IF($B883="","",E888)</f>
        <v/>
      </c>
    </row>
    <row r="889">
      <c r="A889" s="10" t="inlineStr">
        <is>
          <t>Amount 2 金额2  (Amount + Credit Collection)</t>
        </is>
      </c>
      <c r="B889" s="11">
        <f>IF($B883="","",ROUND(B887+B888,2))</f>
        <v/>
      </c>
      <c r="D889" t="inlineStr">
        <is>
          <t>Advance Salary_H 预支薪水_H</t>
        </is>
      </c>
      <c r="E889" s="6">
        <f>IF($B883="","",'Daily Sale entry '!M65)</f>
        <v/>
      </c>
      <c r="H889" s="10" t="inlineStr">
        <is>
          <t>Amount 2 金额2  (Amount + Credit Collection)</t>
        </is>
      </c>
      <c r="I889" s="11">
        <f>IF($B883="","",ROUND(I887+I888,2))</f>
        <v/>
      </c>
      <c r="K889" t="inlineStr">
        <is>
          <t>Advance Salary_H 预支薪水_H</t>
        </is>
      </c>
      <c r="L889" s="6">
        <f>IF($B883="","",E889)</f>
        <v/>
      </c>
    </row>
    <row r="890"/>
    <row r="891">
      <c r="A891" s="1" t="inlineStr">
        <is>
          <t>b/f petty cash 上日备用金结转</t>
        </is>
      </c>
      <c r="B891" s="9">
        <f>IF($B883="","",'Daily Sale entry '!F65)</f>
        <v/>
      </c>
      <c r="D891" s="1" t="n"/>
      <c r="E891" s="1" t="n"/>
      <c r="H891" s="1" t="inlineStr">
        <is>
          <t>b/f petty cash 上日备用金结转</t>
        </is>
      </c>
      <c r="I891" s="9">
        <f>IF($B883="","",B891)</f>
        <v/>
      </c>
      <c r="K891" s="1" t="n"/>
      <c r="L891" s="1" t="n"/>
    </row>
    <row r="892">
      <c r="A892" t="inlineStr">
        <is>
          <t>Total (A) 总计 (A)</t>
        </is>
      </c>
      <c r="B892" s="6">
        <f>IF($B883="","",ROUND(B889+B891,2))</f>
        <v/>
      </c>
      <c r="D892" t="inlineStr">
        <is>
          <t>Total(B) 总计 (B)</t>
        </is>
      </c>
      <c r="E892" s="6">
        <f>IF($B883="","",ROUND(E884+E885+E886+E887+E888+E889,2))</f>
        <v/>
      </c>
      <c r="H892" t="inlineStr">
        <is>
          <t>Total© 总计 (C)</t>
        </is>
      </c>
      <c r="I892" s="6">
        <f>IF($B883="","",ROUND(I889+I891,2))</f>
        <v/>
      </c>
      <c r="K892" t="inlineStr">
        <is>
          <t>Total(D) 总计 (D)</t>
        </is>
      </c>
      <c r="L892" s="6">
        <f>IF($B883="","",ROUND(L884+L885+L886+L887+L888+L889,2))</f>
        <v/>
      </c>
    </row>
    <row r="893">
      <c r="A893" s="14" t="inlineStr">
        <is>
          <t>Total = Amount 2 + b/f petty cash  (金额2 + 上日备用金)</t>
        </is>
      </c>
      <c r="H893" s="14" t="inlineStr">
        <is>
          <t>Total = Amount 2 + b/f petty cash  (金额2 + 上日备用金)</t>
        </is>
      </c>
    </row>
    <row r="894">
      <c r="A894" t="inlineStr">
        <is>
          <t>Different 差额</t>
        </is>
      </c>
      <c r="B894" s="6">
        <f>IF($B883="","",ROUND(B892-E892,2))</f>
        <v/>
      </c>
      <c r="D894">
        <f>IF($B883="","",IF(ABS(B894)&gt;'Opening Balance'!$B$16,"ALERT 警报: Different over RM"&amp;'Opening Balance'!$B$16&amp;" 差额超过RM"&amp;'Opening Balance'!$B$16&amp;" - please check 请检查",IF(B894=0,"Tied 平衡",IF(ABS(B894)&lt;='Opening Balance'!$B$13,"Small difference 小额差额: adjusted on c/f petty cash 已调整备用金",IF(B894&gt;0,"Short 短收: added to Misc Charges 已加入杂项费用","Over 多收: added to Cash Sales 已加入现金销售")))))</f>
        <v/>
      </c>
      <c r="H894" t="inlineStr">
        <is>
          <t>Different 差额</t>
        </is>
      </c>
      <c r="I894" s="6">
        <f>IF($B883="","",ROUND(I892-L892,2))</f>
        <v/>
      </c>
    </row>
    <row r="895"/>
    <row r="896"/>
    <row r="897">
      <c r="A897" t="inlineStr">
        <is>
          <t>Date 日期</t>
        </is>
      </c>
      <c r="B897" s="5">
        <f>IF('Daily Sale entry '!$A66="","",'Daily Sale entry '!$A66)</f>
        <v/>
      </c>
      <c r="H897" t="inlineStr">
        <is>
          <t>After 调整后 (After)</t>
        </is>
      </c>
      <c r="I897" s="5">
        <f>IF($B897="","",B897)</f>
        <v/>
      </c>
    </row>
    <row r="898">
      <c r="A898" t="inlineStr">
        <is>
          <t>Cash Sales 现金销售</t>
        </is>
      </c>
      <c r="B898" s="6">
        <f>IF($B897="","",'Daily Sale entry '!B66)</f>
        <v/>
      </c>
      <c r="D898" t="inlineStr">
        <is>
          <t>c/f petty cash 今日备用金结转</t>
        </is>
      </c>
      <c r="E898" s="6">
        <f>IF($B897="","",'Daily Sale entry '!G66)</f>
        <v/>
      </c>
      <c r="H898" t="inlineStr">
        <is>
          <t>Cash Sales 现金销售</t>
        </is>
      </c>
      <c r="I898" s="6">
        <f>IF($B897="","",IF(AND(ABS(B908)&gt;'Opening Balance'!$B$13,B908&lt;0),ROUND(B898-B908,2),B898))</f>
        <v/>
      </c>
      <c r="K898" t="inlineStr">
        <is>
          <t>c/f petty cash 今日备用金结转</t>
        </is>
      </c>
      <c r="L898" s="6">
        <f>IF($B897="","",IF(ABS(B908)&lt;='Opening Balance'!$B$13,ROUND(E898+B908,2),E898))</f>
        <v/>
      </c>
    </row>
    <row r="899">
      <c r="A899" t="inlineStr">
        <is>
          <t>Misc Charges 杂项费用</t>
        </is>
      </c>
      <c r="B899" s="6">
        <f>IF($B897="","",'Daily Sale entry '!C66)</f>
        <v/>
      </c>
      <c r="D899" t="inlineStr">
        <is>
          <t>cash collection 现金收款</t>
        </is>
      </c>
      <c r="E899" s="6">
        <f>IF($B897="","",'Daily Sale entry '!H66)</f>
        <v/>
      </c>
      <c r="H899" t="inlineStr">
        <is>
          <t>Misc Charges 杂项费用</t>
        </is>
      </c>
      <c r="I899" s="6">
        <f>IF($B897="","",IF(AND(ABS(B908)&gt;'Opening Balance'!$B$13,B908&gt;0),ROUND(B899+B908,2),B899))</f>
        <v/>
      </c>
      <c r="K899" t="inlineStr">
        <is>
          <t>cash collection 现金收款</t>
        </is>
      </c>
      <c r="L899" s="6">
        <f>IF($B897="","",E899)</f>
        <v/>
      </c>
    </row>
    <row r="900">
      <c r="A900" s="1" t="inlineStr">
        <is>
          <t>Other Charges 其他费用</t>
        </is>
      </c>
      <c r="B900" s="9">
        <f>IF($B897="","",'Daily Sale entry '!D66)</f>
        <v/>
      </c>
      <c r="D900" s="1" t="inlineStr">
        <is>
          <t>Cheque Collection 支票收款</t>
        </is>
      </c>
      <c r="E900" s="9">
        <f>IF($B897="","",'Daily Sale entry '!J66)</f>
        <v/>
      </c>
      <c r="H900" s="1" t="inlineStr">
        <is>
          <t>Other Charges 其他费用</t>
        </is>
      </c>
      <c r="I900" s="9">
        <f>IF($B897="","",B900)</f>
        <v/>
      </c>
      <c r="K900" s="1" t="inlineStr">
        <is>
          <t>Cheque Collection 支票收款</t>
        </is>
      </c>
      <c r="L900" s="9">
        <f>IF($B897="","",E900)</f>
        <v/>
      </c>
    </row>
    <row r="901">
      <c r="A901" s="10" t="inlineStr">
        <is>
          <t>Amount 金额  (Cash Sales - Misc - Other)</t>
        </is>
      </c>
      <c r="B901" s="11">
        <f>IF($B897="","",ROUND(B898-B899-B900,2))</f>
        <v/>
      </c>
      <c r="D901" s="12" t="inlineStr">
        <is>
          <t>TNG collection TNG收款</t>
        </is>
      </c>
      <c r="E901" s="13">
        <f>IF($B897="","",'Daily Sale entry '!K66)</f>
        <v/>
      </c>
      <c r="H901" s="10" t="inlineStr">
        <is>
          <t>Amount 金额  (Cash Sales - Misc - Other)</t>
        </is>
      </c>
      <c r="I901" s="11">
        <f>IF($B897="","",ROUND(I898-I899-I900,2))</f>
        <v/>
      </c>
      <c r="K901" s="12" t="inlineStr">
        <is>
          <t>TNG collection TNG收款</t>
        </is>
      </c>
      <c r="L901" s="13">
        <f>IF($B897="","",E901)</f>
        <v/>
      </c>
    </row>
    <row r="902">
      <c r="A902" t="inlineStr">
        <is>
          <t>Credit Collection 赊账收款</t>
        </is>
      </c>
      <c r="B902" s="6">
        <f>IF($B897="","",'Daily Sale entry '!E66)</f>
        <v/>
      </c>
      <c r="D902" t="inlineStr">
        <is>
          <t>Advance Salary_M 预支薪水_M</t>
        </is>
      </c>
      <c r="E902" s="6">
        <f>IF($B897="","",'Daily Sale entry '!L66)</f>
        <v/>
      </c>
      <c r="H902" t="inlineStr">
        <is>
          <t>Credit Collection 赊账收款</t>
        </is>
      </c>
      <c r="I902" s="6">
        <f>IF($B897="","",B902)</f>
        <v/>
      </c>
      <c r="K902" t="inlineStr">
        <is>
          <t>Advance Salary_M 预支薪水_M</t>
        </is>
      </c>
      <c r="L902" s="6">
        <f>IF($B897="","",E902)</f>
        <v/>
      </c>
    </row>
    <row r="903">
      <c r="A903" s="10" t="inlineStr">
        <is>
          <t>Amount 2 金额2  (Amount + Credit Collection)</t>
        </is>
      </c>
      <c r="B903" s="11">
        <f>IF($B897="","",ROUND(B901+B902,2))</f>
        <v/>
      </c>
      <c r="D903" t="inlineStr">
        <is>
          <t>Advance Salary_H 预支薪水_H</t>
        </is>
      </c>
      <c r="E903" s="6">
        <f>IF($B897="","",'Daily Sale entry '!M66)</f>
        <v/>
      </c>
      <c r="H903" s="10" t="inlineStr">
        <is>
          <t>Amount 2 金额2  (Amount + Credit Collection)</t>
        </is>
      </c>
      <c r="I903" s="11">
        <f>IF($B897="","",ROUND(I901+I902,2))</f>
        <v/>
      </c>
      <c r="K903" t="inlineStr">
        <is>
          <t>Advance Salary_H 预支薪水_H</t>
        </is>
      </c>
      <c r="L903" s="6">
        <f>IF($B897="","",E903)</f>
        <v/>
      </c>
    </row>
    <row r="904"/>
    <row r="905">
      <c r="A905" s="1" t="inlineStr">
        <is>
          <t>b/f petty cash 上日备用金结转</t>
        </is>
      </c>
      <c r="B905" s="9">
        <f>IF($B897="","",'Daily Sale entry '!F66)</f>
        <v/>
      </c>
      <c r="D905" s="1" t="n"/>
      <c r="E905" s="1" t="n"/>
      <c r="H905" s="1" t="inlineStr">
        <is>
          <t>b/f petty cash 上日备用金结转</t>
        </is>
      </c>
      <c r="I905" s="9">
        <f>IF($B897="","",B905)</f>
        <v/>
      </c>
      <c r="K905" s="1" t="n"/>
      <c r="L905" s="1" t="n"/>
    </row>
    <row r="906">
      <c r="A906" t="inlineStr">
        <is>
          <t>Total (A) 总计 (A)</t>
        </is>
      </c>
      <c r="B906" s="6">
        <f>IF($B897="","",ROUND(B903+B905,2))</f>
        <v/>
      </c>
      <c r="D906" t="inlineStr">
        <is>
          <t>Total(B) 总计 (B)</t>
        </is>
      </c>
      <c r="E906" s="6">
        <f>IF($B897="","",ROUND(E898+E899+E900+E901+E902+E903,2))</f>
        <v/>
      </c>
      <c r="H906" t="inlineStr">
        <is>
          <t>Total© 总计 (C)</t>
        </is>
      </c>
      <c r="I906" s="6">
        <f>IF($B897="","",ROUND(I903+I905,2))</f>
        <v/>
      </c>
      <c r="K906" t="inlineStr">
        <is>
          <t>Total(D) 总计 (D)</t>
        </is>
      </c>
      <c r="L906" s="6">
        <f>IF($B897="","",ROUND(L898+L899+L900+L901+L902+L903,2))</f>
        <v/>
      </c>
    </row>
    <row r="907">
      <c r="A907" s="14" t="inlineStr">
        <is>
          <t>Total = Amount 2 + b/f petty cash  (金额2 + 上日备用金)</t>
        </is>
      </c>
      <c r="H907" s="14" t="inlineStr">
        <is>
          <t>Total = Amount 2 + b/f petty cash  (金额2 + 上日备用金)</t>
        </is>
      </c>
    </row>
    <row r="908">
      <c r="A908" t="inlineStr">
        <is>
          <t>Different 差额</t>
        </is>
      </c>
      <c r="B908" s="6">
        <f>IF($B897="","",ROUND(B906-E906,2))</f>
        <v/>
      </c>
      <c r="D908">
        <f>IF($B897="","",IF(ABS(B908)&gt;'Opening Balance'!$B$16,"ALERT 警报: Different over RM"&amp;'Opening Balance'!$B$16&amp;" 差额超过RM"&amp;'Opening Balance'!$B$16&amp;" - please check 请检查",IF(B908=0,"Tied 平衡",IF(ABS(B908)&lt;='Opening Balance'!$B$13,"Small difference 小额差额: adjusted on c/f petty cash 已调整备用金",IF(B908&gt;0,"Short 短收: added to Misc Charges 已加入杂项费用","Over 多收: added to Cash Sales 已加入现金销售")))))</f>
        <v/>
      </c>
      <c r="H908" t="inlineStr">
        <is>
          <t>Different 差额</t>
        </is>
      </c>
      <c r="I908" s="6">
        <f>IF($B897="","",ROUND(I906-L906,2))</f>
        <v/>
      </c>
    </row>
    <row r="909"/>
    <row r="910"/>
    <row r="911">
      <c r="A911" t="inlineStr">
        <is>
          <t>Date 日期</t>
        </is>
      </c>
      <c r="B911" s="5">
        <f>IF('Daily Sale entry '!$A67="","",'Daily Sale entry '!$A67)</f>
        <v/>
      </c>
      <c r="H911" t="inlineStr">
        <is>
          <t>After 调整后 (After)</t>
        </is>
      </c>
      <c r="I911" s="5">
        <f>IF($B911="","",B911)</f>
        <v/>
      </c>
    </row>
    <row r="912">
      <c r="A912" t="inlineStr">
        <is>
          <t>Cash Sales 现金销售</t>
        </is>
      </c>
      <c r="B912" s="6">
        <f>IF($B911="","",'Daily Sale entry '!B67)</f>
        <v/>
      </c>
      <c r="D912" t="inlineStr">
        <is>
          <t>c/f petty cash 今日备用金结转</t>
        </is>
      </c>
      <c r="E912" s="6">
        <f>IF($B911="","",'Daily Sale entry '!G67)</f>
        <v/>
      </c>
      <c r="H912" t="inlineStr">
        <is>
          <t>Cash Sales 现金销售</t>
        </is>
      </c>
      <c r="I912" s="6">
        <f>IF($B911="","",IF(AND(ABS(B922)&gt;'Opening Balance'!$B$13,B922&lt;0),ROUND(B912-B922,2),B912))</f>
        <v/>
      </c>
      <c r="K912" t="inlineStr">
        <is>
          <t>c/f petty cash 今日备用金结转</t>
        </is>
      </c>
      <c r="L912" s="6">
        <f>IF($B911="","",IF(ABS(B922)&lt;='Opening Balance'!$B$13,ROUND(E912+B922,2),E912))</f>
        <v/>
      </c>
    </row>
    <row r="913">
      <c r="A913" t="inlineStr">
        <is>
          <t>Misc Charges 杂项费用</t>
        </is>
      </c>
      <c r="B913" s="6">
        <f>IF($B911="","",'Daily Sale entry '!C67)</f>
        <v/>
      </c>
      <c r="D913" t="inlineStr">
        <is>
          <t>cash collection 现金收款</t>
        </is>
      </c>
      <c r="E913" s="6">
        <f>IF($B911="","",'Daily Sale entry '!H67)</f>
        <v/>
      </c>
      <c r="H913" t="inlineStr">
        <is>
          <t>Misc Charges 杂项费用</t>
        </is>
      </c>
      <c r="I913" s="6">
        <f>IF($B911="","",IF(AND(ABS(B922)&gt;'Opening Balance'!$B$13,B922&gt;0),ROUND(B913+B922,2),B913))</f>
        <v/>
      </c>
      <c r="K913" t="inlineStr">
        <is>
          <t>cash collection 现金收款</t>
        </is>
      </c>
      <c r="L913" s="6">
        <f>IF($B911="","",E913)</f>
        <v/>
      </c>
    </row>
    <row r="914">
      <c r="A914" s="1" t="inlineStr">
        <is>
          <t>Other Charges 其他费用</t>
        </is>
      </c>
      <c r="B914" s="9">
        <f>IF($B911="","",'Daily Sale entry '!D67)</f>
        <v/>
      </c>
      <c r="D914" s="1" t="inlineStr">
        <is>
          <t>Cheque Collection 支票收款</t>
        </is>
      </c>
      <c r="E914" s="9">
        <f>IF($B911="","",'Daily Sale entry '!J67)</f>
        <v/>
      </c>
      <c r="H914" s="1" t="inlineStr">
        <is>
          <t>Other Charges 其他费用</t>
        </is>
      </c>
      <c r="I914" s="9">
        <f>IF($B911="","",B914)</f>
        <v/>
      </c>
      <c r="K914" s="1" t="inlineStr">
        <is>
          <t>Cheque Collection 支票收款</t>
        </is>
      </c>
      <c r="L914" s="9">
        <f>IF($B911="","",E914)</f>
        <v/>
      </c>
    </row>
    <row r="915">
      <c r="A915" s="10" t="inlineStr">
        <is>
          <t>Amount 金额  (Cash Sales - Misc - Other)</t>
        </is>
      </c>
      <c r="B915" s="11">
        <f>IF($B911="","",ROUND(B912-B913-B914,2))</f>
        <v/>
      </c>
      <c r="D915" s="12" t="inlineStr">
        <is>
          <t>TNG collection TNG收款</t>
        </is>
      </c>
      <c r="E915" s="13">
        <f>IF($B911="","",'Daily Sale entry '!K67)</f>
        <v/>
      </c>
      <c r="H915" s="10" t="inlineStr">
        <is>
          <t>Amount 金额  (Cash Sales - Misc - Other)</t>
        </is>
      </c>
      <c r="I915" s="11">
        <f>IF($B911="","",ROUND(I912-I913-I914,2))</f>
        <v/>
      </c>
      <c r="K915" s="12" t="inlineStr">
        <is>
          <t>TNG collection TNG收款</t>
        </is>
      </c>
      <c r="L915" s="13">
        <f>IF($B911="","",E915)</f>
        <v/>
      </c>
    </row>
    <row r="916">
      <c r="A916" t="inlineStr">
        <is>
          <t>Credit Collection 赊账收款</t>
        </is>
      </c>
      <c r="B916" s="6">
        <f>IF($B911="","",'Daily Sale entry '!E67)</f>
        <v/>
      </c>
      <c r="D916" t="inlineStr">
        <is>
          <t>Advance Salary_M 预支薪水_M</t>
        </is>
      </c>
      <c r="E916" s="6">
        <f>IF($B911="","",'Daily Sale entry '!L67)</f>
        <v/>
      </c>
      <c r="H916" t="inlineStr">
        <is>
          <t>Credit Collection 赊账收款</t>
        </is>
      </c>
      <c r="I916" s="6">
        <f>IF($B911="","",B916)</f>
        <v/>
      </c>
      <c r="K916" t="inlineStr">
        <is>
          <t>Advance Salary_M 预支薪水_M</t>
        </is>
      </c>
      <c r="L916" s="6">
        <f>IF($B911="","",E916)</f>
        <v/>
      </c>
    </row>
    <row r="917">
      <c r="A917" s="10" t="inlineStr">
        <is>
          <t>Amount 2 金额2  (Amount + Credit Collection)</t>
        </is>
      </c>
      <c r="B917" s="11">
        <f>IF($B911="","",ROUND(B915+B916,2))</f>
        <v/>
      </c>
      <c r="D917" t="inlineStr">
        <is>
          <t>Advance Salary_H 预支薪水_H</t>
        </is>
      </c>
      <c r="E917" s="6">
        <f>IF($B911="","",'Daily Sale entry '!M67)</f>
        <v/>
      </c>
      <c r="H917" s="10" t="inlineStr">
        <is>
          <t>Amount 2 金额2  (Amount + Credit Collection)</t>
        </is>
      </c>
      <c r="I917" s="11">
        <f>IF($B911="","",ROUND(I915+I916,2))</f>
        <v/>
      </c>
      <c r="K917" t="inlineStr">
        <is>
          <t>Advance Salary_H 预支薪水_H</t>
        </is>
      </c>
      <c r="L917" s="6">
        <f>IF($B911="","",E917)</f>
        <v/>
      </c>
    </row>
    <row r="918"/>
    <row r="919">
      <c r="A919" s="1" t="inlineStr">
        <is>
          <t>b/f petty cash 上日备用金结转</t>
        </is>
      </c>
      <c r="B919" s="9">
        <f>IF($B911="","",'Daily Sale entry '!F67)</f>
        <v/>
      </c>
      <c r="D919" s="1" t="n"/>
      <c r="E919" s="1" t="n"/>
      <c r="H919" s="1" t="inlineStr">
        <is>
          <t>b/f petty cash 上日备用金结转</t>
        </is>
      </c>
      <c r="I919" s="9">
        <f>IF($B911="","",B919)</f>
        <v/>
      </c>
      <c r="K919" s="1" t="n"/>
      <c r="L919" s="1" t="n"/>
    </row>
    <row r="920">
      <c r="A920" t="inlineStr">
        <is>
          <t>Total (A) 总计 (A)</t>
        </is>
      </c>
      <c r="B920" s="6">
        <f>IF($B911="","",ROUND(B917+B919,2))</f>
        <v/>
      </c>
      <c r="D920" t="inlineStr">
        <is>
          <t>Total(B) 总计 (B)</t>
        </is>
      </c>
      <c r="E920" s="6">
        <f>IF($B911="","",ROUND(E912+E913+E914+E915+E916+E917,2))</f>
        <v/>
      </c>
      <c r="H920" t="inlineStr">
        <is>
          <t>Total© 总计 (C)</t>
        </is>
      </c>
      <c r="I920" s="6">
        <f>IF($B911="","",ROUND(I917+I919,2))</f>
        <v/>
      </c>
      <c r="K920" t="inlineStr">
        <is>
          <t>Total(D) 总计 (D)</t>
        </is>
      </c>
      <c r="L920" s="6">
        <f>IF($B911="","",ROUND(L912+L913+L914+L915+L916+L917,2))</f>
        <v/>
      </c>
    </row>
    <row r="921">
      <c r="A921" s="14" t="inlineStr">
        <is>
          <t>Total = Amount 2 + b/f petty cash  (金额2 + 上日备用金)</t>
        </is>
      </c>
      <c r="H921" s="14" t="inlineStr">
        <is>
          <t>Total = Amount 2 + b/f petty cash  (金额2 + 上日备用金)</t>
        </is>
      </c>
    </row>
    <row r="922">
      <c r="A922" t="inlineStr">
        <is>
          <t>Different 差额</t>
        </is>
      </c>
      <c r="B922" s="6">
        <f>IF($B911="","",ROUND(B920-E920,2))</f>
        <v/>
      </c>
      <c r="D922">
        <f>IF($B911="","",IF(ABS(B922)&gt;'Opening Balance'!$B$16,"ALERT 警报: Different over RM"&amp;'Opening Balance'!$B$16&amp;" 差额超过RM"&amp;'Opening Balance'!$B$16&amp;" - please check 请检查",IF(B922=0,"Tied 平衡",IF(ABS(B922)&lt;='Opening Balance'!$B$13,"Small difference 小额差额: adjusted on c/f petty cash 已调整备用金",IF(B922&gt;0,"Short 短收: added to Misc Charges 已加入杂项费用","Over 多收: added to Cash Sales 已加入现金销售")))))</f>
        <v/>
      </c>
      <c r="H922" t="inlineStr">
        <is>
          <t>Different 差额</t>
        </is>
      </c>
      <c r="I922" s="6">
        <f>IF($B911="","",ROUND(I920-L920,2))</f>
        <v/>
      </c>
    </row>
    <row r="923"/>
    <row r="924"/>
    <row r="925">
      <c r="A925" t="inlineStr">
        <is>
          <t>Date 日期</t>
        </is>
      </c>
      <c r="B925" s="5">
        <f>IF('Daily Sale entry '!$A68="","",'Daily Sale entry '!$A68)</f>
        <v/>
      </c>
      <c r="H925" t="inlineStr">
        <is>
          <t>After 调整后 (After)</t>
        </is>
      </c>
      <c r="I925" s="5">
        <f>IF($B925="","",B925)</f>
        <v/>
      </c>
    </row>
    <row r="926">
      <c r="A926" t="inlineStr">
        <is>
          <t>Cash Sales 现金销售</t>
        </is>
      </c>
      <c r="B926" s="6">
        <f>IF($B925="","",'Daily Sale entry '!B68)</f>
        <v/>
      </c>
      <c r="D926" t="inlineStr">
        <is>
          <t>c/f petty cash 今日备用金结转</t>
        </is>
      </c>
      <c r="E926" s="6">
        <f>IF($B925="","",'Daily Sale entry '!G68)</f>
        <v/>
      </c>
      <c r="H926" t="inlineStr">
        <is>
          <t>Cash Sales 现金销售</t>
        </is>
      </c>
      <c r="I926" s="6">
        <f>IF($B925="","",IF(AND(ABS(B936)&gt;'Opening Balance'!$B$13,B936&lt;0),ROUND(B926-B936,2),B926))</f>
        <v/>
      </c>
      <c r="K926" t="inlineStr">
        <is>
          <t>c/f petty cash 今日备用金结转</t>
        </is>
      </c>
      <c r="L926" s="6">
        <f>IF($B925="","",IF(ABS(B936)&lt;='Opening Balance'!$B$13,ROUND(E926+B936,2),E926))</f>
        <v/>
      </c>
    </row>
    <row r="927">
      <c r="A927" t="inlineStr">
        <is>
          <t>Misc Charges 杂项费用</t>
        </is>
      </c>
      <c r="B927" s="6">
        <f>IF($B925="","",'Daily Sale entry '!C68)</f>
        <v/>
      </c>
      <c r="D927" t="inlineStr">
        <is>
          <t>cash collection 现金收款</t>
        </is>
      </c>
      <c r="E927" s="6">
        <f>IF($B925="","",'Daily Sale entry '!H68)</f>
        <v/>
      </c>
      <c r="H927" t="inlineStr">
        <is>
          <t>Misc Charges 杂项费用</t>
        </is>
      </c>
      <c r="I927" s="6">
        <f>IF($B925="","",IF(AND(ABS(B936)&gt;'Opening Balance'!$B$13,B936&gt;0),ROUND(B927+B936,2),B927))</f>
        <v/>
      </c>
      <c r="K927" t="inlineStr">
        <is>
          <t>cash collection 现金收款</t>
        </is>
      </c>
      <c r="L927" s="6">
        <f>IF($B925="","",E927)</f>
        <v/>
      </c>
    </row>
    <row r="928">
      <c r="A928" s="1" t="inlineStr">
        <is>
          <t>Other Charges 其他费用</t>
        </is>
      </c>
      <c r="B928" s="9">
        <f>IF($B925="","",'Daily Sale entry '!D68)</f>
        <v/>
      </c>
      <c r="D928" s="1" t="inlineStr">
        <is>
          <t>Cheque Collection 支票收款</t>
        </is>
      </c>
      <c r="E928" s="9">
        <f>IF($B925="","",'Daily Sale entry '!J68)</f>
        <v/>
      </c>
      <c r="H928" s="1" t="inlineStr">
        <is>
          <t>Other Charges 其他费用</t>
        </is>
      </c>
      <c r="I928" s="9">
        <f>IF($B925="","",B928)</f>
        <v/>
      </c>
      <c r="K928" s="1" t="inlineStr">
        <is>
          <t>Cheque Collection 支票收款</t>
        </is>
      </c>
      <c r="L928" s="9">
        <f>IF($B925="","",E928)</f>
        <v/>
      </c>
    </row>
    <row r="929">
      <c r="A929" s="10" t="inlineStr">
        <is>
          <t>Amount 金额  (Cash Sales - Misc - Other)</t>
        </is>
      </c>
      <c r="B929" s="11">
        <f>IF($B925="","",ROUND(B926-B927-B928,2))</f>
        <v/>
      </c>
      <c r="D929" s="12" t="inlineStr">
        <is>
          <t>TNG collection TNG收款</t>
        </is>
      </c>
      <c r="E929" s="13">
        <f>IF($B925="","",'Daily Sale entry '!K68)</f>
        <v/>
      </c>
      <c r="H929" s="10" t="inlineStr">
        <is>
          <t>Amount 金额  (Cash Sales - Misc - Other)</t>
        </is>
      </c>
      <c r="I929" s="11">
        <f>IF($B925="","",ROUND(I926-I927-I928,2))</f>
        <v/>
      </c>
      <c r="K929" s="12" t="inlineStr">
        <is>
          <t>TNG collection TNG收款</t>
        </is>
      </c>
      <c r="L929" s="13">
        <f>IF($B925="","",E929)</f>
        <v/>
      </c>
    </row>
    <row r="930">
      <c r="A930" t="inlineStr">
        <is>
          <t>Credit Collection 赊账收款</t>
        </is>
      </c>
      <c r="B930" s="6">
        <f>IF($B925="","",'Daily Sale entry '!E68)</f>
        <v/>
      </c>
      <c r="D930" t="inlineStr">
        <is>
          <t>Advance Salary_M 预支薪水_M</t>
        </is>
      </c>
      <c r="E930" s="6">
        <f>IF($B925="","",'Daily Sale entry '!L68)</f>
        <v/>
      </c>
      <c r="H930" t="inlineStr">
        <is>
          <t>Credit Collection 赊账收款</t>
        </is>
      </c>
      <c r="I930" s="6">
        <f>IF($B925="","",B930)</f>
        <v/>
      </c>
      <c r="K930" t="inlineStr">
        <is>
          <t>Advance Salary_M 预支薪水_M</t>
        </is>
      </c>
      <c r="L930" s="6">
        <f>IF($B925="","",E930)</f>
        <v/>
      </c>
    </row>
    <row r="931">
      <c r="A931" s="10" t="inlineStr">
        <is>
          <t>Amount 2 金额2  (Amount + Credit Collection)</t>
        </is>
      </c>
      <c r="B931" s="11">
        <f>IF($B925="","",ROUND(B929+B930,2))</f>
        <v/>
      </c>
      <c r="D931" t="inlineStr">
        <is>
          <t>Advance Salary_H 预支薪水_H</t>
        </is>
      </c>
      <c r="E931" s="6">
        <f>IF($B925="","",'Daily Sale entry '!M68)</f>
        <v/>
      </c>
      <c r="H931" s="10" t="inlineStr">
        <is>
          <t>Amount 2 金额2  (Amount + Credit Collection)</t>
        </is>
      </c>
      <c r="I931" s="11">
        <f>IF($B925="","",ROUND(I929+I930,2))</f>
        <v/>
      </c>
      <c r="K931" t="inlineStr">
        <is>
          <t>Advance Salary_H 预支薪水_H</t>
        </is>
      </c>
      <c r="L931" s="6">
        <f>IF($B925="","",E931)</f>
        <v/>
      </c>
    </row>
    <row r="932"/>
    <row r="933">
      <c r="A933" s="1" t="inlineStr">
        <is>
          <t>b/f petty cash 上日备用金结转</t>
        </is>
      </c>
      <c r="B933" s="9">
        <f>IF($B925="","",'Daily Sale entry '!F68)</f>
        <v/>
      </c>
      <c r="D933" s="1" t="n"/>
      <c r="E933" s="1" t="n"/>
      <c r="H933" s="1" t="inlineStr">
        <is>
          <t>b/f petty cash 上日备用金结转</t>
        </is>
      </c>
      <c r="I933" s="9">
        <f>IF($B925="","",B933)</f>
        <v/>
      </c>
      <c r="K933" s="1" t="n"/>
      <c r="L933" s="1" t="n"/>
    </row>
    <row r="934">
      <c r="A934" t="inlineStr">
        <is>
          <t>Total (A) 总计 (A)</t>
        </is>
      </c>
      <c r="B934" s="6">
        <f>IF($B925="","",ROUND(B931+B933,2))</f>
        <v/>
      </c>
      <c r="D934" t="inlineStr">
        <is>
          <t>Total(B) 总计 (B)</t>
        </is>
      </c>
      <c r="E934" s="6">
        <f>IF($B925="","",ROUND(E926+E927+E928+E929+E930+E931,2))</f>
        <v/>
      </c>
      <c r="H934" t="inlineStr">
        <is>
          <t>Total© 总计 (C)</t>
        </is>
      </c>
      <c r="I934" s="6">
        <f>IF($B925="","",ROUND(I931+I933,2))</f>
        <v/>
      </c>
      <c r="K934" t="inlineStr">
        <is>
          <t>Total(D) 总计 (D)</t>
        </is>
      </c>
      <c r="L934" s="6">
        <f>IF($B925="","",ROUND(L926+L927+L928+L929+L930+L931,2))</f>
        <v/>
      </c>
    </row>
    <row r="935">
      <c r="A935" s="14" t="inlineStr">
        <is>
          <t>Total = Amount 2 + b/f petty cash  (金额2 + 上日备用金)</t>
        </is>
      </c>
      <c r="H935" s="14" t="inlineStr">
        <is>
          <t>Total = Amount 2 + b/f petty cash  (金额2 + 上日备用金)</t>
        </is>
      </c>
    </row>
    <row r="936">
      <c r="A936" t="inlineStr">
        <is>
          <t>Different 差额</t>
        </is>
      </c>
      <c r="B936" s="6">
        <f>IF($B925="","",ROUND(B934-E934,2))</f>
        <v/>
      </c>
      <c r="D936">
        <f>IF($B925="","",IF(ABS(B936)&gt;'Opening Balance'!$B$16,"ALERT 警报: Different over RM"&amp;'Opening Balance'!$B$16&amp;" 差额超过RM"&amp;'Opening Balance'!$B$16&amp;" - please check 请检查",IF(B936=0,"Tied 平衡",IF(ABS(B936)&lt;='Opening Balance'!$B$13,"Small difference 小额差额: adjusted on c/f petty cash 已调整备用金",IF(B936&gt;0,"Short 短收: added to Misc Charges 已加入杂项费用","Over 多收: added to Cash Sales 已加入现金销售")))))</f>
        <v/>
      </c>
      <c r="H936" t="inlineStr">
        <is>
          <t>Different 差额</t>
        </is>
      </c>
      <c r="I936" s="6">
        <f>IF($B925="","",ROUND(I934-L934,2))</f>
        <v/>
      </c>
    </row>
    <row r="937"/>
    <row r="938"/>
    <row r="939">
      <c r="A939" t="inlineStr">
        <is>
          <t>Date 日期</t>
        </is>
      </c>
      <c r="B939" s="5">
        <f>IF('Daily Sale entry '!$A69="","",'Daily Sale entry '!$A69)</f>
        <v/>
      </c>
      <c r="H939" t="inlineStr">
        <is>
          <t>After 调整后 (After)</t>
        </is>
      </c>
      <c r="I939" s="5">
        <f>IF($B939="","",B939)</f>
        <v/>
      </c>
    </row>
    <row r="940">
      <c r="A940" t="inlineStr">
        <is>
          <t>Cash Sales 现金销售</t>
        </is>
      </c>
      <c r="B940" s="6">
        <f>IF($B939="","",'Daily Sale entry '!B69)</f>
        <v/>
      </c>
      <c r="D940" t="inlineStr">
        <is>
          <t>c/f petty cash 今日备用金结转</t>
        </is>
      </c>
      <c r="E940" s="6">
        <f>IF($B939="","",'Daily Sale entry '!G69)</f>
        <v/>
      </c>
      <c r="H940" t="inlineStr">
        <is>
          <t>Cash Sales 现金销售</t>
        </is>
      </c>
      <c r="I940" s="6">
        <f>IF($B939="","",IF(AND(ABS(B950)&gt;'Opening Balance'!$B$13,B950&lt;0),ROUND(B940-B950,2),B940))</f>
        <v/>
      </c>
      <c r="K940" t="inlineStr">
        <is>
          <t>c/f petty cash 今日备用金结转</t>
        </is>
      </c>
      <c r="L940" s="6">
        <f>IF($B939="","",IF(ABS(B950)&lt;='Opening Balance'!$B$13,ROUND(E940+B950,2),E940))</f>
        <v/>
      </c>
    </row>
    <row r="941">
      <c r="A941" t="inlineStr">
        <is>
          <t>Misc Charges 杂项费用</t>
        </is>
      </c>
      <c r="B941" s="6">
        <f>IF($B939="","",'Daily Sale entry '!C69)</f>
        <v/>
      </c>
      <c r="D941" t="inlineStr">
        <is>
          <t>cash collection 现金收款</t>
        </is>
      </c>
      <c r="E941" s="6">
        <f>IF($B939="","",'Daily Sale entry '!H69)</f>
        <v/>
      </c>
      <c r="H941" t="inlineStr">
        <is>
          <t>Misc Charges 杂项费用</t>
        </is>
      </c>
      <c r="I941" s="6">
        <f>IF($B939="","",IF(AND(ABS(B950)&gt;'Opening Balance'!$B$13,B950&gt;0),ROUND(B941+B950,2),B941))</f>
        <v/>
      </c>
      <c r="K941" t="inlineStr">
        <is>
          <t>cash collection 现金收款</t>
        </is>
      </c>
      <c r="L941" s="6">
        <f>IF($B939="","",E941)</f>
        <v/>
      </c>
    </row>
    <row r="942">
      <c r="A942" s="1" t="inlineStr">
        <is>
          <t>Other Charges 其他费用</t>
        </is>
      </c>
      <c r="B942" s="9">
        <f>IF($B939="","",'Daily Sale entry '!D69)</f>
        <v/>
      </c>
      <c r="D942" s="1" t="inlineStr">
        <is>
          <t>Cheque Collection 支票收款</t>
        </is>
      </c>
      <c r="E942" s="9">
        <f>IF($B939="","",'Daily Sale entry '!J69)</f>
        <v/>
      </c>
      <c r="H942" s="1" t="inlineStr">
        <is>
          <t>Other Charges 其他费用</t>
        </is>
      </c>
      <c r="I942" s="9">
        <f>IF($B939="","",B942)</f>
        <v/>
      </c>
      <c r="K942" s="1" t="inlineStr">
        <is>
          <t>Cheque Collection 支票收款</t>
        </is>
      </c>
      <c r="L942" s="9">
        <f>IF($B939="","",E942)</f>
        <v/>
      </c>
    </row>
    <row r="943">
      <c r="A943" s="10" t="inlineStr">
        <is>
          <t>Amount 金额  (Cash Sales - Misc - Other)</t>
        </is>
      </c>
      <c r="B943" s="11">
        <f>IF($B939="","",ROUND(B940-B941-B942,2))</f>
        <v/>
      </c>
      <c r="D943" s="12" t="inlineStr">
        <is>
          <t>TNG collection TNG收款</t>
        </is>
      </c>
      <c r="E943" s="13">
        <f>IF($B939="","",'Daily Sale entry '!K69)</f>
        <v/>
      </c>
      <c r="H943" s="10" t="inlineStr">
        <is>
          <t>Amount 金额  (Cash Sales - Misc - Other)</t>
        </is>
      </c>
      <c r="I943" s="11">
        <f>IF($B939="","",ROUND(I940-I941-I942,2))</f>
        <v/>
      </c>
      <c r="K943" s="12" t="inlineStr">
        <is>
          <t>TNG collection TNG收款</t>
        </is>
      </c>
      <c r="L943" s="13">
        <f>IF($B939="","",E943)</f>
        <v/>
      </c>
    </row>
    <row r="944">
      <c r="A944" t="inlineStr">
        <is>
          <t>Credit Collection 赊账收款</t>
        </is>
      </c>
      <c r="B944" s="6">
        <f>IF($B939="","",'Daily Sale entry '!E69)</f>
        <v/>
      </c>
      <c r="D944" t="inlineStr">
        <is>
          <t>Advance Salary_M 预支薪水_M</t>
        </is>
      </c>
      <c r="E944" s="6">
        <f>IF($B939="","",'Daily Sale entry '!L69)</f>
        <v/>
      </c>
      <c r="H944" t="inlineStr">
        <is>
          <t>Credit Collection 赊账收款</t>
        </is>
      </c>
      <c r="I944" s="6">
        <f>IF($B939="","",B944)</f>
        <v/>
      </c>
      <c r="K944" t="inlineStr">
        <is>
          <t>Advance Salary_M 预支薪水_M</t>
        </is>
      </c>
      <c r="L944" s="6">
        <f>IF($B939="","",E944)</f>
        <v/>
      </c>
    </row>
    <row r="945">
      <c r="A945" s="10" t="inlineStr">
        <is>
          <t>Amount 2 金额2  (Amount + Credit Collection)</t>
        </is>
      </c>
      <c r="B945" s="11">
        <f>IF($B939="","",ROUND(B943+B944,2))</f>
        <v/>
      </c>
      <c r="D945" t="inlineStr">
        <is>
          <t>Advance Salary_H 预支薪水_H</t>
        </is>
      </c>
      <c r="E945" s="6">
        <f>IF($B939="","",'Daily Sale entry '!M69)</f>
        <v/>
      </c>
      <c r="H945" s="10" t="inlineStr">
        <is>
          <t>Amount 2 金额2  (Amount + Credit Collection)</t>
        </is>
      </c>
      <c r="I945" s="11">
        <f>IF($B939="","",ROUND(I943+I944,2))</f>
        <v/>
      </c>
      <c r="K945" t="inlineStr">
        <is>
          <t>Advance Salary_H 预支薪水_H</t>
        </is>
      </c>
      <c r="L945" s="6">
        <f>IF($B939="","",E945)</f>
        <v/>
      </c>
    </row>
    <row r="946"/>
    <row r="947">
      <c r="A947" s="1" t="inlineStr">
        <is>
          <t>b/f petty cash 上日备用金结转</t>
        </is>
      </c>
      <c r="B947" s="9">
        <f>IF($B939="","",'Daily Sale entry '!F69)</f>
        <v/>
      </c>
      <c r="D947" s="1" t="n"/>
      <c r="E947" s="1" t="n"/>
      <c r="H947" s="1" t="inlineStr">
        <is>
          <t>b/f petty cash 上日备用金结转</t>
        </is>
      </c>
      <c r="I947" s="9">
        <f>IF($B939="","",B947)</f>
        <v/>
      </c>
      <c r="K947" s="1" t="n"/>
      <c r="L947" s="1" t="n"/>
    </row>
    <row r="948">
      <c r="A948" t="inlineStr">
        <is>
          <t>Total (A) 总计 (A)</t>
        </is>
      </c>
      <c r="B948" s="6">
        <f>IF($B939="","",ROUND(B945+B947,2))</f>
        <v/>
      </c>
      <c r="D948" t="inlineStr">
        <is>
          <t>Total(B) 总计 (B)</t>
        </is>
      </c>
      <c r="E948" s="6">
        <f>IF($B939="","",ROUND(E940+E941+E942+E943+E944+E945,2))</f>
        <v/>
      </c>
      <c r="H948" t="inlineStr">
        <is>
          <t>Total© 总计 (C)</t>
        </is>
      </c>
      <c r="I948" s="6">
        <f>IF($B939="","",ROUND(I945+I947,2))</f>
        <v/>
      </c>
      <c r="K948" t="inlineStr">
        <is>
          <t>Total(D) 总计 (D)</t>
        </is>
      </c>
      <c r="L948" s="6">
        <f>IF($B939="","",ROUND(L940+L941+L942+L943+L944+L945,2))</f>
        <v/>
      </c>
    </row>
    <row r="949">
      <c r="A949" s="14" t="inlineStr">
        <is>
          <t>Total = Amount 2 + b/f petty cash  (金额2 + 上日备用金)</t>
        </is>
      </c>
      <c r="H949" s="14" t="inlineStr">
        <is>
          <t>Total = Amount 2 + b/f petty cash  (金额2 + 上日备用金)</t>
        </is>
      </c>
    </row>
    <row r="950">
      <c r="A950" t="inlineStr">
        <is>
          <t>Different 差额</t>
        </is>
      </c>
      <c r="B950" s="6">
        <f>IF($B939="","",ROUND(B948-E948,2))</f>
        <v/>
      </c>
      <c r="D950">
        <f>IF($B939="","",IF(ABS(B950)&gt;'Opening Balance'!$B$16,"ALERT 警报: Different over RM"&amp;'Opening Balance'!$B$16&amp;" 差额超过RM"&amp;'Opening Balance'!$B$16&amp;" - please check 请检查",IF(B950=0,"Tied 平衡",IF(ABS(B950)&lt;='Opening Balance'!$B$13,"Small difference 小额差额: adjusted on c/f petty cash 已调整备用金",IF(B950&gt;0,"Short 短收: added to Misc Charges 已加入杂项费用","Over 多收: added to Cash Sales 已加入现金销售")))))</f>
        <v/>
      </c>
      <c r="H950" t="inlineStr">
        <is>
          <t>Different 差额</t>
        </is>
      </c>
      <c r="I950" s="6">
        <f>IF($B939="","",ROUND(I948-L948,2))</f>
        <v/>
      </c>
    </row>
    <row r="951"/>
    <row r="952"/>
    <row r="953">
      <c r="A953" t="inlineStr">
        <is>
          <t>Date 日期</t>
        </is>
      </c>
      <c r="B953" s="5">
        <f>IF('Daily Sale entry '!$A70="","",'Daily Sale entry '!$A70)</f>
        <v/>
      </c>
      <c r="H953" t="inlineStr">
        <is>
          <t>After 调整后 (After)</t>
        </is>
      </c>
      <c r="I953" s="5">
        <f>IF($B953="","",B953)</f>
        <v/>
      </c>
    </row>
    <row r="954">
      <c r="A954" t="inlineStr">
        <is>
          <t>Cash Sales 现金销售</t>
        </is>
      </c>
      <c r="B954" s="6">
        <f>IF($B953="","",'Daily Sale entry '!B70)</f>
        <v/>
      </c>
      <c r="D954" t="inlineStr">
        <is>
          <t>c/f petty cash 今日备用金结转</t>
        </is>
      </c>
      <c r="E954" s="6">
        <f>IF($B953="","",'Daily Sale entry '!G70)</f>
        <v/>
      </c>
      <c r="H954" t="inlineStr">
        <is>
          <t>Cash Sales 现金销售</t>
        </is>
      </c>
      <c r="I954" s="6">
        <f>IF($B953="","",IF(AND(ABS(B964)&gt;'Opening Balance'!$B$13,B964&lt;0),ROUND(B954-B964,2),B954))</f>
        <v/>
      </c>
      <c r="K954" t="inlineStr">
        <is>
          <t>c/f petty cash 今日备用金结转</t>
        </is>
      </c>
      <c r="L954" s="6">
        <f>IF($B953="","",IF(ABS(B964)&lt;='Opening Balance'!$B$13,ROUND(E954+B964,2),E954))</f>
        <v/>
      </c>
    </row>
    <row r="955">
      <c r="A955" t="inlineStr">
        <is>
          <t>Misc Charges 杂项费用</t>
        </is>
      </c>
      <c r="B955" s="6">
        <f>IF($B953="","",'Daily Sale entry '!C70)</f>
        <v/>
      </c>
      <c r="D955" t="inlineStr">
        <is>
          <t>cash collection 现金收款</t>
        </is>
      </c>
      <c r="E955" s="6">
        <f>IF($B953="","",'Daily Sale entry '!H70)</f>
        <v/>
      </c>
      <c r="H955" t="inlineStr">
        <is>
          <t>Misc Charges 杂项费用</t>
        </is>
      </c>
      <c r="I955" s="6">
        <f>IF($B953="","",IF(AND(ABS(B964)&gt;'Opening Balance'!$B$13,B964&gt;0),ROUND(B955+B964,2),B955))</f>
        <v/>
      </c>
      <c r="K955" t="inlineStr">
        <is>
          <t>cash collection 现金收款</t>
        </is>
      </c>
      <c r="L955" s="6">
        <f>IF($B953="","",E955)</f>
        <v/>
      </c>
    </row>
    <row r="956">
      <c r="A956" s="1" t="inlineStr">
        <is>
          <t>Other Charges 其他费用</t>
        </is>
      </c>
      <c r="B956" s="9">
        <f>IF($B953="","",'Daily Sale entry '!D70)</f>
        <v/>
      </c>
      <c r="D956" s="1" t="inlineStr">
        <is>
          <t>Cheque Collection 支票收款</t>
        </is>
      </c>
      <c r="E956" s="9">
        <f>IF($B953="","",'Daily Sale entry '!J70)</f>
        <v/>
      </c>
      <c r="H956" s="1" t="inlineStr">
        <is>
          <t>Other Charges 其他费用</t>
        </is>
      </c>
      <c r="I956" s="9">
        <f>IF($B953="","",B956)</f>
        <v/>
      </c>
      <c r="K956" s="1" t="inlineStr">
        <is>
          <t>Cheque Collection 支票收款</t>
        </is>
      </c>
      <c r="L956" s="9">
        <f>IF($B953="","",E956)</f>
        <v/>
      </c>
    </row>
    <row r="957">
      <c r="A957" s="10" t="inlineStr">
        <is>
          <t>Amount 金额  (Cash Sales - Misc - Other)</t>
        </is>
      </c>
      <c r="B957" s="11">
        <f>IF($B953="","",ROUND(B954-B955-B956,2))</f>
        <v/>
      </c>
      <c r="D957" s="12" t="inlineStr">
        <is>
          <t>TNG collection TNG收款</t>
        </is>
      </c>
      <c r="E957" s="13">
        <f>IF($B953="","",'Daily Sale entry '!K70)</f>
        <v/>
      </c>
      <c r="H957" s="10" t="inlineStr">
        <is>
          <t>Amount 金额  (Cash Sales - Misc - Other)</t>
        </is>
      </c>
      <c r="I957" s="11">
        <f>IF($B953="","",ROUND(I954-I955-I956,2))</f>
        <v/>
      </c>
      <c r="K957" s="12" t="inlineStr">
        <is>
          <t>TNG collection TNG收款</t>
        </is>
      </c>
      <c r="L957" s="13">
        <f>IF($B953="","",E957)</f>
        <v/>
      </c>
    </row>
    <row r="958">
      <c r="A958" t="inlineStr">
        <is>
          <t>Credit Collection 赊账收款</t>
        </is>
      </c>
      <c r="B958" s="6">
        <f>IF($B953="","",'Daily Sale entry '!E70)</f>
        <v/>
      </c>
      <c r="D958" t="inlineStr">
        <is>
          <t>Advance Salary_M 预支薪水_M</t>
        </is>
      </c>
      <c r="E958" s="6">
        <f>IF($B953="","",'Daily Sale entry '!L70)</f>
        <v/>
      </c>
      <c r="H958" t="inlineStr">
        <is>
          <t>Credit Collection 赊账收款</t>
        </is>
      </c>
      <c r="I958" s="6">
        <f>IF($B953="","",B958)</f>
        <v/>
      </c>
      <c r="K958" t="inlineStr">
        <is>
          <t>Advance Salary_M 预支薪水_M</t>
        </is>
      </c>
      <c r="L958" s="6">
        <f>IF($B953="","",E958)</f>
        <v/>
      </c>
    </row>
    <row r="959">
      <c r="A959" s="10" t="inlineStr">
        <is>
          <t>Amount 2 金额2  (Amount + Credit Collection)</t>
        </is>
      </c>
      <c r="B959" s="11">
        <f>IF($B953="","",ROUND(B957+B958,2))</f>
        <v/>
      </c>
      <c r="D959" t="inlineStr">
        <is>
          <t>Advance Salary_H 预支薪水_H</t>
        </is>
      </c>
      <c r="E959" s="6">
        <f>IF($B953="","",'Daily Sale entry '!M70)</f>
        <v/>
      </c>
      <c r="H959" s="10" t="inlineStr">
        <is>
          <t>Amount 2 金额2  (Amount + Credit Collection)</t>
        </is>
      </c>
      <c r="I959" s="11">
        <f>IF($B953="","",ROUND(I957+I958,2))</f>
        <v/>
      </c>
      <c r="K959" t="inlineStr">
        <is>
          <t>Advance Salary_H 预支薪水_H</t>
        </is>
      </c>
      <c r="L959" s="6">
        <f>IF($B953="","",E959)</f>
        <v/>
      </c>
    </row>
    <row r="960"/>
    <row r="961">
      <c r="A961" s="1" t="inlineStr">
        <is>
          <t>b/f petty cash 上日备用金结转</t>
        </is>
      </c>
      <c r="B961" s="9">
        <f>IF($B953="","",'Daily Sale entry '!F70)</f>
        <v/>
      </c>
      <c r="D961" s="1" t="n"/>
      <c r="E961" s="1" t="n"/>
      <c r="H961" s="1" t="inlineStr">
        <is>
          <t>b/f petty cash 上日备用金结转</t>
        </is>
      </c>
      <c r="I961" s="9">
        <f>IF($B953="","",B961)</f>
        <v/>
      </c>
      <c r="K961" s="1" t="n"/>
      <c r="L961" s="1" t="n"/>
    </row>
    <row r="962">
      <c r="A962" t="inlineStr">
        <is>
          <t>Total (A) 总计 (A)</t>
        </is>
      </c>
      <c r="B962" s="6">
        <f>IF($B953="","",ROUND(B959+B961,2))</f>
        <v/>
      </c>
      <c r="D962" t="inlineStr">
        <is>
          <t>Total(B) 总计 (B)</t>
        </is>
      </c>
      <c r="E962" s="6">
        <f>IF($B953="","",ROUND(E954+E955+E956+E957+E958+E959,2))</f>
        <v/>
      </c>
      <c r="H962" t="inlineStr">
        <is>
          <t>Total© 总计 (C)</t>
        </is>
      </c>
      <c r="I962" s="6">
        <f>IF($B953="","",ROUND(I959+I961,2))</f>
        <v/>
      </c>
      <c r="K962" t="inlineStr">
        <is>
          <t>Total(D) 总计 (D)</t>
        </is>
      </c>
      <c r="L962" s="6">
        <f>IF($B953="","",ROUND(L954+L955+L956+L957+L958+L959,2))</f>
        <v/>
      </c>
    </row>
    <row r="963">
      <c r="A963" s="14" t="inlineStr">
        <is>
          <t>Total = Amount 2 + b/f petty cash  (金额2 + 上日备用金)</t>
        </is>
      </c>
      <c r="H963" s="14" t="inlineStr">
        <is>
          <t>Total = Amount 2 + b/f petty cash  (金额2 + 上日备用金)</t>
        </is>
      </c>
    </row>
    <row r="964">
      <c r="A964" t="inlineStr">
        <is>
          <t>Different 差额</t>
        </is>
      </c>
      <c r="B964" s="6">
        <f>IF($B953="","",ROUND(B962-E962,2))</f>
        <v/>
      </c>
      <c r="D964">
        <f>IF($B953="","",IF(ABS(B964)&gt;'Opening Balance'!$B$16,"ALERT 警报: Different over RM"&amp;'Opening Balance'!$B$16&amp;" 差额超过RM"&amp;'Opening Balance'!$B$16&amp;" - please check 请检查",IF(B964=0,"Tied 平衡",IF(ABS(B964)&lt;='Opening Balance'!$B$13,"Small difference 小额差额: adjusted on c/f petty cash 已调整备用金",IF(B964&gt;0,"Short 短收: added to Misc Charges 已加入杂项费用","Over 多收: added to Cash Sales 已加入现金销售")))))</f>
        <v/>
      </c>
      <c r="H964" t="inlineStr">
        <is>
          <t>Different 差额</t>
        </is>
      </c>
      <c r="I964" s="6">
        <f>IF($B953="","",ROUND(I962-L962,2))</f>
        <v/>
      </c>
    </row>
    <row r="965"/>
    <row r="966"/>
    <row r="967">
      <c r="A967" t="inlineStr">
        <is>
          <t>Date 日期</t>
        </is>
      </c>
      <c r="B967" s="5">
        <f>IF('Daily Sale entry '!$A71="","",'Daily Sale entry '!$A71)</f>
        <v/>
      </c>
      <c r="H967" t="inlineStr">
        <is>
          <t>After 调整后 (After)</t>
        </is>
      </c>
      <c r="I967" s="5">
        <f>IF($B967="","",B967)</f>
        <v/>
      </c>
    </row>
    <row r="968">
      <c r="A968" t="inlineStr">
        <is>
          <t>Cash Sales 现金销售</t>
        </is>
      </c>
      <c r="B968" s="6">
        <f>IF($B967="","",'Daily Sale entry '!B71)</f>
        <v/>
      </c>
      <c r="D968" t="inlineStr">
        <is>
          <t>c/f petty cash 今日备用金结转</t>
        </is>
      </c>
      <c r="E968" s="6">
        <f>IF($B967="","",'Daily Sale entry '!G71)</f>
        <v/>
      </c>
      <c r="H968" t="inlineStr">
        <is>
          <t>Cash Sales 现金销售</t>
        </is>
      </c>
      <c r="I968" s="6">
        <f>IF($B967="","",IF(AND(ABS(B978)&gt;'Opening Balance'!$B$13,B978&lt;0),ROUND(B968-B978,2),B968))</f>
        <v/>
      </c>
      <c r="K968" t="inlineStr">
        <is>
          <t>c/f petty cash 今日备用金结转</t>
        </is>
      </c>
      <c r="L968" s="6">
        <f>IF($B967="","",IF(ABS(B978)&lt;='Opening Balance'!$B$13,ROUND(E968+B978,2),E968))</f>
        <v/>
      </c>
    </row>
    <row r="969">
      <c r="A969" t="inlineStr">
        <is>
          <t>Misc Charges 杂项费用</t>
        </is>
      </c>
      <c r="B969" s="6">
        <f>IF($B967="","",'Daily Sale entry '!C71)</f>
        <v/>
      </c>
      <c r="D969" t="inlineStr">
        <is>
          <t>cash collection 现金收款</t>
        </is>
      </c>
      <c r="E969" s="6">
        <f>IF($B967="","",'Daily Sale entry '!H71)</f>
        <v/>
      </c>
      <c r="H969" t="inlineStr">
        <is>
          <t>Misc Charges 杂项费用</t>
        </is>
      </c>
      <c r="I969" s="6">
        <f>IF($B967="","",IF(AND(ABS(B978)&gt;'Opening Balance'!$B$13,B978&gt;0),ROUND(B969+B978,2),B969))</f>
        <v/>
      </c>
      <c r="K969" t="inlineStr">
        <is>
          <t>cash collection 现金收款</t>
        </is>
      </c>
      <c r="L969" s="6">
        <f>IF($B967="","",E969)</f>
        <v/>
      </c>
    </row>
    <row r="970">
      <c r="A970" s="1" t="inlineStr">
        <is>
          <t>Other Charges 其他费用</t>
        </is>
      </c>
      <c r="B970" s="9">
        <f>IF($B967="","",'Daily Sale entry '!D71)</f>
        <v/>
      </c>
      <c r="D970" s="1" t="inlineStr">
        <is>
          <t>Cheque Collection 支票收款</t>
        </is>
      </c>
      <c r="E970" s="9">
        <f>IF($B967="","",'Daily Sale entry '!J71)</f>
        <v/>
      </c>
      <c r="H970" s="1" t="inlineStr">
        <is>
          <t>Other Charges 其他费用</t>
        </is>
      </c>
      <c r="I970" s="9">
        <f>IF($B967="","",B970)</f>
        <v/>
      </c>
      <c r="K970" s="1" t="inlineStr">
        <is>
          <t>Cheque Collection 支票收款</t>
        </is>
      </c>
      <c r="L970" s="9">
        <f>IF($B967="","",E970)</f>
        <v/>
      </c>
    </row>
    <row r="971">
      <c r="A971" s="10" t="inlineStr">
        <is>
          <t>Amount 金额  (Cash Sales - Misc - Other)</t>
        </is>
      </c>
      <c r="B971" s="11">
        <f>IF($B967="","",ROUND(B968-B969-B970,2))</f>
        <v/>
      </c>
      <c r="D971" s="12" t="inlineStr">
        <is>
          <t>TNG collection TNG收款</t>
        </is>
      </c>
      <c r="E971" s="13">
        <f>IF($B967="","",'Daily Sale entry '!K71)</f>
        <v/>
      </c>
      <c r="H971" s="10" t="inlineStr">
        <is>
          <t>Amount 金额  (Cash Sales - Misc - Other)</t>
        </is>
      </c>
      <c r="I971" s="11">
        <f>IF($B967="","",ROUND(I968-I969-I970,2))</f>
        <v/>
      </c>
      <c r="K971" s="12" t="inlineStr">
        <is>
          <t>TNG collection TNG收款</t>
        </is>
      </c>
      <c r="L971" s="13">
        <f>IF($B967="","",E971)</f>
        <v/>
      </c>
    </row>
    <row r="972">
      <c r="A972" t="inlineStr">
        <is>
          <t>Credit Collection 赊账收款</t>
        </is>
      </c>
      <c r="B972" s="6">
        <f>IF($B967="","",'Daily Sale entry '!E71)</f>
        <v/>
      </c>
      <c r="D972" t="inlineStr">
        <is>
          <t>Advance Salary_M 预支薪水_M</t>
        </is>
      </c>
      <c r="E972" s="6">
        <f>IF($B967="","",'Daily Sale entry '!L71)</f>
        <v/>
      </c>
      <c r="H972" t="inlineStr">
        <is>
          <t>Credit Collection 赊账收款</t>
        </is>
      </c>
      <c r="I972" s="6">
        <f>IF($B967="","",B972)</f>
        <v/>
      </c>
      <c r="K972" t="inlineStr">
        <is>
          <t>Advance Salary_M 预支薪水_M</t>
        </is>
      </c>
      <c r="L972" s="6">
        <f>IF($B967="","",E972)</f>
        <v/>
      </c>
    </row>
    <row r="973">
      <c r="A973" s="10" t="inlineStr">
        <is>
          <t>Amount 2 金额2  (Amount + Credit Collection)</t>
        </is>
      </c>
      <c r="B973" s="11">
        <f>IF($B967="","",ROUND(B971+B972,2))</f>
        <v/>
      </c>
      <c r="D973" t="inlineStr">
        <is>
          <t>Advance Salary_H 预支薪水_H</t>
        </is>
      </c>
      <c r="E973" s="6">
        <f>IF($B967="","",'Daily Sale entry '!M71)</f>
        <v/>
      </c>
      <c r="H973" s="10" t="inlineStr">
        <is>
          <t>Amount 2 金额2  (Amount + Credit Collection)</t>
        </is>
      </c>
      <c r="I973" s="11">
        <f>IF($B967="","",ROUND(I971+I972,2))</f>
        <v/>
      </c>
      <c r="K973" t="inlineStr">
        <is>
          <t>Advance Salary_H 预支薪水_H</t>
        </is>
      </c>
      <c r="L973" s="6">
        <f>IF($B967="","",E973)</f>
        <v/>
      </c>
    </row>
    <row r="974"/>
    <row r="975">
      <c r="A975" s="1" t="inlineStr">
        <is>
          <t>b/f petty cash 上日备用金结转</t>
        </is>
      </c>
      <c r="B975" s="9">
        <f>IF($B967="","",'Daily Sale entry '!F71)</f>
        <v/>
      </c>
      <c r="D975" s="1" t="n"/>
      <c r="E975" s="1" t="n"/>
      <c r="H975" s="1" t="inlineStr">
        <is>
          <t>b/f petty cash 上日备用金结转</t>
        </is>
      </c>
      <c r="I975" s="9">
        <f>IF($B967="","",B975)</f>
        <v/>
      </c>
      <c r="K975" s="1" t="n"/>
      <c r="L975" s="1" t="n"/>
    </row>
    <row r="976">
      <c r="A976" t="inlineStr">
        <is>
          <t>Total (A) 总计 (A)</t>
        </is>
      </c>
      <c r="B976" s="6">
        <f>IF($B967="","",ROUND(B973+B975,2))</f>
        <v/>
      </c>
      <c r="D976" t="inlineStr">
        <is>
          <t>Total(B) 总计 (B)</t>
        </is>
      </c>
      <c r="E976" s="6">
        <f>IF($B967="","",ROUND(E968+E969+E970+E971+E972+E973,2))</f>
        <v/>
      </c>
      <c r="H976" t="inlineStr">
        <is>
          <t>Total© 总计 (C)</t>
        </is>
      </c>
      <c r="I976" s="6">
        <f>IF($B967="","",ROUND(I973+I975,2))</f>
        <v/>
      </c>
      <c r="K976" t="inlineStr">
        <is>
          <t>Total(D) 总计 (D)</t>
        </is>
      </c>
      <c r="L976" s="6">
        <f>IF($B967="","",ROUND(L968+L969+L970+L971+L972+L973,2))</f>
        <v/>
      </c>
    </row>
    <row r="977">
      <c r="A977" s="14" t="inlineStr">
        <is>
          <t>Total = Amount 2 + b/f petty cash  (金额2 + 上日备用金)</t>
        </is>
      </c>
      <c r="H977" s="14" t="inlineStr">
        <is>
          <t>Total = Amount 2 + b/f petty cash  (金额2 + 上日备用金)</t>
        </is>
      </c>
    </row>
    <row r="978">
      <c r="A978" t="inlineStr">
        <is>
          <t>Different 差额</t>
        </is>
      </c>
      <c r="B978" s="6">
        <f>IF($B967="","",ROUND(B976-E976,2))</f>
        <v/>
      </c>
      <c r="D978">
        <f>IF($B967="","",IF(ABS(B978)&gt;'Opening Balance'!$B$16,"ALERT 警报: Different over RM"&amp;'Opening Balance'!$B$16&amp;" 差额超过RM"&amp;'Opening Balance'!$B$16&amp;" - please check 请检查",IF(B978=0,"Tied 平衡",IF(ABS(B978)&lt;='Opening Balance'!$B$13,"Small difference 小额差额: adjusted on c/f petty cash 已调整备用金",IF(B978&gt;0,"Short 短收: added to Misc Charges 已加入杂项费用","Over 多收: added to Cash Sales 已加入现金销售")))))</f>
        <v/>
      </c>
      <c r="H978" t="inlineStr">
        <is>
          <t>Different 差额</t>
        </is>
      </c>
      <c r="I978" s="6">
        <f>IF($B967="","",ROUND(I976-L976,2))</f>
        <v/>
      </c>
    </row>
    <row r="979"/>
    <row r="980"/>
    <row r="981">
      <c r="A981" t="inlineStr">
        <is>
          <t>Date 日期</t>
        </is>
      </c>
      <c r="B981" s="5">
        <f>IF('Daily Sale entry '!$A72="","",'Daily Sale entry '!$A72)</f>
        <v/>
      </c>
      <c r="H981" t="inlineStr">
        <is>
          <t>After 调整后 (After)</t>
        </is>
      </c>
      <c r="I981" s="5">
        <f>IF($B981="","",B981)</f>
        <v/>
      </c>
    </row>
    <row r="982">
      <c r="A982" t="inlineStr">
        <is>
          <t>Cash Sales 现金销售</t>
        </is>
      </c>
      <c r="B982" s="6">
        <f>IF($B981="","",'Daily Sale entry '!B72)</f>
        <v/>
      </c>
      <c r="D982" t="inlineStr">
        <is>
          <t>c/f petty cash 今日备用金结转</t>
        </is>
      </c>
      <c r="E982" s="6">
        <f>IF($B981="","",'Daily Sale entry '!G72)</f>
        <v/>
      </c>
      <c r="H982" t="inlineStr">
        <is>
          <t>Cash Sales 现金销售</t>
        </is>
      </c>
      <c r="I982" s="6">
        <f>IF($B981="","",IF(AND(ABS(B992)&gt;'Opening Balance'!$B$13,B992&lt;0),ROUND(B982-B992,2),B982))</f>
        <v/>
      </c>
      <c r="K982" t="inlineStr">
        <is>
          <t>c/f petty cash 今日备用金结转</t>
        </is>
      </c>
      <c r="L982" s="6">
        <f>IF($B981="","",IF(ABS(B992)&lt;='Opening Balance'!$B$13,ROUND(E982+B992,2),E982))</f>
        <v/>
      </c>
    </row>
    <row r="983">
      <c r="A983" t="inlineStr">
        <is>
          <t>Misc Charges 杂项费用</t>
        </is>
      </c>
      <c r="B983" s="6">
        <f>IF($B981="","",'Daily Sale entry '!C72)</f>
        <v/>
      </c>
      <c r="D983" t="inlineStr">
        <is>
          <t>cash collection 现金收款</t>
        </is>
      </c>
      <c r="E983" s="6">
        <f>IF($B981="","",'Daily Sale entry '!H72)</f>
        <v/>
      </c>
      <c r="H983" t="inlineStr">
        <is>
          <t>Misc Charges 杂项费用</t>
        </is>
      </c>
      <c r="I983" s="6">
        <f>IF($B981="","",IF(AND(ABS(B992)&gt;'Opening Balance'!$B$13,B992&gt;0),ROUND(B983+B992,2),B983))</f>
        <v/>
      </c>
      <c r="K983" t="inlineStr">
        <is>
          <t>cash collection 现金收款</t>
        </is>
      </c>
      <c r="L983" s="6">
        <f>IF($B981="","",E983)</f>
        <v/>
      </c>
    </row>
    <row r="984">
      <c r="A984" s="1" t="inlineStr">
        <is>
          <t>Other Charges 其他费用</t>
        </is>
      </c>
      <c r="B984" s="9">
        <f>IF($B981="","",'Daily Sale entry '!D72)</f>
        <v/>
      </c>
      <c r="D984" s="1" t="inlineStr">
        <is>
          <t>Cheque Collection 支票收款</t>
        </is>
      </c>
      <c r="E984" s="9">
        <f>IF($B981="","",'Daily Sale entry '!J72)</f>
        <v/>
      </c>
      <c r="H984" s="1" t="inlineStr">
        <is>
          <t>Other Charges 其他费用</t>
        </is>
      </c>
      <c r="I984" s="9">
        <f>IF($B981="","",B984)</f>
        <v/>
      </c>
      <c r="K984" s="1" t="inlineStr">
        <is>
          <t>Cheque Collection 支票收款</t>
        </is>
      </c>
      <c r="L984" s="9">
        <f>IF($B981="","",E984)</f>
        <v/>
      </c>
    </row>
    <row r="985">
      <c r="A985" s="10" t="inlineStr">
        <is>
          <t>Amount 金额  (Cash Sales - Misc - Other)</t>
        </is>
      </c>
      <c r="B985" s="11">
        <f>IF($B981="","",ROUND(B982-B983-B984,2))</f>
        <v/>
      </c>
      <c r="D985" s="12" t="inlineStr">
        <is>
          <t>TNG collection TNG收款</t>
        </is>
      </c>
      <c r="E985" s="13">
        <f>IF($B981="","",'Daily Sale entry '!K72)</f>
        <v/>
      </c>
      <c r="H985" s="10" t="inlineStr">
        <is>
          <t>Amount 金额  (Cash Sales - Misc - Other)</t>
        </is>
      </c>
      <c r="I985" s="11">
        <f>IF($B981="","",ROUND(I982-I983-I984,2))</f>
        <v/>
      </c>
      <c r="K985" s="12" t="inlineStr">
        <is>
          <t>TNG collection TNG收款</t>
        </is>
      </c>
      <c r="L985" s="13">
        <f>IF($B981="","",E985)</f>
        <v/>
      </c>
    </row>
    <row r="986">
      <c r="A986" t="inlineStr">
        <is>
          <t>Credit Collection 赊账收款</t>
        </is>
      </c>
      <c r="B986" s="6">
        <f>IF($B981="","",'Daily Sale entry '!E72)</f>
        <v/>
      </c>
      <c r="D986" t="inlineStr">
        <is>
          <t>Advance Salary_M 预支薪水_M</t>
        </is>
      </c>
      <c r="E986" s="6">
        <f>IF($B981="","",'Daily Sale entry '!L72)</f>
        <v/>
      </c>
      <c r="H986" t="inlineStr">
        <is>
          <t>Credit Collection 赊账收款</t>
        </is>
      </c>
      <c r="I986" s="6">
        <f>IF($B981="","",B986)</f>
        <v/>
      </c>
      <c r="K986" t="inlineStr">
        <is>
          <t>Advance Salary_M 预支薪水_M</t>
        </is>
      </c>
      <c r="L986" s="6">
        <f>IF($B981="","",E986)</f>
        <v/>
      </c>
    </row>
    <row r="987">
      <c r="A987" s="10" t="inlineStr">
        <is>
          <t>Amount 2 金额2  (Amount + Credit Collection)</t>
        </is>
      </c>
      <c r="B987" s="11">
        <f>IF($B981="","",ROUND(B985+B986,2))</f>
        <v/>
      </c>
      <c r="D987" t="inlineStr">
        <is>
          <t>Advance Salary_H 预支薪水_H</t>
        </is>
      </c>
      <c r="E987" s="6">
        <f>IF($B981="","",'Daily Sale entry '!M72)</f>
        <v/>
      </c>
      <c r="H987" s="10" t="inlineStr">
        <is>
          <t>Amount 2 金额2  (Amount + Credit Collection)</t>
        </is>
      </c>
      <c r="I987" s="11">
        <f>IF($B981="","",ROUND(I985+I986,2))</f>
        <v/>
      </c>
      <c r="K987" t="inlineStr">
        <is>
          <t>Advance Salary_H 预支薪水_H</t>
        </is>
      </c>
      <c r="L987" s="6">
        <f>IF($B981="","",E987)</f>
        <v/>
      </c>
    </row>
    <row r="988"/>
    <row r="989">
      <c r="A989" s="1" t="inlineStr">
        <is>
          <t>b/f petty cash 上日备用金结转</t>
        </is>
      </c>
      <c r="B989" s="9">
        <f>IF($B981="","",'Daily Sale entry '!F72)</f>
        <v/>
      </c>
      <c r="D989" s="1" t="n"/>
      <c r="E989" s="1" t="n"/>
      <c r="H989" s="1" t="inlineStr">
        <is>
          <t>b/f petty cash 上日备用金结转</t>
        </is>
      </c>
      <c r="I989" s="9">
        <f>IF($B981="","",B989)</f>
        <v/>
      </c>
      <c r="K989" s="1" t="n"/>
      <c r="L989" s="1" t="n"/>
    </row>
    <row r="990">
      <c r="A990" t="inlineStr">
        <is>
          <t>Total (A) 总计 (A)</t>
        </is>
      </c>
      <c r="B990" s="6">
        <f>IF($B981="","",ROUND(B987+B989,2))</f>
        <v/>
      </c>
      <c r="D990" t="inlineStr">
        <is>
          <t>Total(B) 总计 (B)</t>
        </is>
      </c>
      <c r="E990" s="6">
        <f>IF($B981="","",ROUND(E982+E983+E984+E985+E986+E987,2))</f>
        <v/>
      </c>
      <c r="H990" t="inlineStr">
        <is>
          <t>Total© 总计 (C)</t>
        </is>
      </c>
      <c r="I990" s="6">
        <f>IF($B981="","",ROUND(I987+I989,2))</f>
        <v/>
      </c>
      <c r="K990" t="inlineStr">
        <is>
          <t>Total(D) 总计 (D)</t>
        </is>
      </c>
      <c r="L990" s="6">
        <f>IF($B981="","",ROUND(L982+L983+L984+L985+L986+L987,2))</f>
        <v/>
      </c>
    </row>
    <row r="991">
      <c r="A991" s="14" t="inlineStr">
        <is>
          <t>Total = Amount 2 + b/f petty cash  (金额2 + 上日备用金)</t>
        </is>
      </c>
      <c r="H991" s="14" t="inlineStr">
        <is>
          <t>Total = Amount 2 + b/f petty cash  (金额2 + 上日备用金)</t>
        </is>
      </c>
    </row>
    <row r="992">
      <c r="A992" t="inlineStr">
        <is>
          <t>Different 差额</t>
        </is>
      </c>
      <c r="B992" s="6">
        <f>IF($B981="","",ROUND(B990-E990,2))</f>
        <v/>
      </c>
      <c r="D992">
        <f>IF($B981="","",IF(ABS(B992)&gt;'Opening Balance'!$B$16,"ALERT 警报: Different over RM"&amp;'Opening Balance'!$B$16&amp;" 差额超过RM"&amp;'Opening Balance'!$B$16&amp;" - please check 请检查",IF(B992=0,"Tied 平衡",IF(ABS(B992)&lt;='Opening Balance'!$B$13,"Small difference 小额差额: adjusted on c/f petty cash 已调整备用金",IF(B992&gt;0,"Short 短收: added to Misc Charges 已加入杂项费用","Over 多收: added to Cash Sales 已加入现金销售")))))</f>
        <v/>
      </c>
      <c r="H992" t="inlineStr">
        <is>
          <t>Different 差额</t>
        </is>
      </c>
      <c r="I992" s="6">
        <f>IF($B981="","",ROUND(I990-L990,2))</f>
        <v/>
      </c>
    </row>
    <row r="993"/>
    <row r="994"/>
    <row r="995">
      <c r="A995" t="inlineStr">
        <is>
          <t>Date 日期</t>
        </is>
      </c>
      <c r="B995" s="5">
        <f>IF('Daily Sale entry '!$A73="","",'Daily Sale entry '!$A73)</f>
        <v/>
      </c>
      <c r="H995" t="inlineStr">
        <is>
          <t>After 调整后 (After)</t>
        </is>
      </c>
      <c r="I995" s="5">
        <f>IF($B995="","",B995)</f>
        <v/>
      </c>
    </row>
    <row r="996">
      <c r="A996" t="inlineStr">
        <is>
          <t>Cash Sales 现金销售</t>
        </is>
      </c>
      <c r="B996" s="6">
        <f>IF($B995="","",'Daily Sale entry '!B73)</f>
        <v/>
      </c>
      <c r="D996" t="inlineStr">
        <is>
          <t>c/f petty cash 今日备用金结转</t>
        </is>
      </c>
      <c r="E996" s="6">
        <f>IF($B995="","",'Daily Sale entry '!G73)</f>
        <v/>
      </c>
      <c r="H996" t="inlineStr">
        <is>
          <t>Cash Sales 现金销售</t>
        </is>
      </c>
      <c r="I996" s="6">
        <f>IF($B995="","",IF(AND(ABS(B1006)&gt;'Opening Balance'!$B$13,B1006&lt;0),ROUND(B996-B1006,2),B996))</f>
        <v/>
      </c>
      <c r="K996" t="inlineStr">
        <is>
          <t>c/f petty cash 今日备用金结转</t>
        </is>
      </c>
      <c r="L996" s="6">
        <f>IF($B995="","",IF(ABS(B1006)&lt;='Opening Balance'!$B$13,ROUND(E996+B1006,2),E996))</f>
        <v/>
      </c>
    </row>
    <row r="997">
      <c r="A997" t="inlineStr">
        <is>
          <t>Misc Charges 杂项费用</t>
        </is>
      </c>
      <c r="B997" s="6">
        <f>IF($B995="","",'Daily Sale entry '!C73)</f>
        <v/>
      </c>
      <c r="D997" t="inlineStr">
        <is>
          <t>cash collection 现金收款</t>
        </is>
      </c>
      <c r="E997" s="6">
        <f>IF($B995="","",'Daily Sale entry '!H73)</f>
        <v/>
      </c>
      <c r="H997" t="inlineStr">
        <is>
          <t>Misc Charges 杂项费用</t>
        </is>
      </c>
      <c r="I997" s="6">
        <f>IF($B995="","",IF(AND(ABS(B1006)&gt;'Opening Balance'!$B$13,B1006&gt;0),ROUND(B997+B1006,2),B997))</f>
        <v/>
      </c>
      <c r="K997" t="inlineStr">
        <is>
          <t>cash collection 现金收款</t>
        </is>
      </c>
      <c r="L997" s="6">
        <f>IF($B995="","",E997)</f>
        <v/>
      </c>
    </row>
    <row r="998">
      <c r="A998" s="1" t="inlineStr">
        <is>
          <t>Other Charges 其他费用</t>
        </is>
      </c>
      <c r="B998" s="9">
        <f>IF($B995="","",'Daily Sale entry '!D73)</f>
        <v/>
      </c>
      <c r="D998" s="1" t="inlineStr">
        <is>
          <t>Cheque Collection 支票收款</t>
        </is>
      </c>
      <c r="E998" s="9">
        <f>IF($B995="","",'Daily Sale entry '!J73)</f>
        <v/>
      </c>
      <c r="H998" s="1" t="inlineStr">
        <is>
          <t>Other Charges 其他费用</t>
        </is>
      </c>
      <c r="I998" s="9">
        <f>IF($B995="","",B998)</f>
        <v/>
      </c>
      <c r="K998" s="1" t="inlineStr">
        <is>
          <t>Cheque Collection 支票收款</t>
        </is>
      </c>
      <c r="L998" s="9">
        <f>IF($B995="","",E998)</f>
        <v/>
      </c>
    </row>
    <row r="999">
      <c r="A999" s="10" t="inlineStr">
        <is>
          <t>Amount 金额  (Cash Sales - Misc - Other)</t>
        </is>
      </c>
      <c r="B999" s="11">
        <f>IF($B995="","",ROUND(B996-B997-B998,2))</f>
        <v/>
      </c>
      <c r="D999" s="12" t="inlineStr">
        <is>
          <t>TNG collection TNG收款</t>
        </is>
      </c>
      <c r="E999" s="13">
        <f>IF($B995="","",'Daily Sale entry '!K73)</f>
        <v/>
      </c>
      <c r="H999" s="10" t="inlineStr">
        <is>
          <t>Amount 金额  (Cash Sales - Misc - Other)</t>
        </is>
      </c>
      <c r="I999" s="11">
        <f>IF($B995="","",ROUND(I996-I997-I998,2))</f>
        <v/>
      </c>
      <c r="K999" s="12" t="inlineStr">
        <is>
          <t>TNG collection TNG收款</t>
        </is>
      </c>
      <c r="L999" s="13">
        <f>IF($B995="","",E999)</f>
        <v/>
      </c>
    </row>
    <row r="1000">
      <c r="A1000" t="inlineStr">
        <is>
          <t>Credit Collection 赊账收款</t>
        </is>
      </c>
      <c r="B1000" s="6">
        <f>IF($B995="","",'Daily Sale entry '!E73)</f>
        <v/>
      </c>
      <c r="D1000" t="inlineStr">
        <is>
          <t>Advance Salary_M 预支薪水_M</t>
        </is>
      </c>
      <c r="E1000" s="6">
        <f>IF($B995="","",'Daily Sale entry '!L73)</f>
        <v/>
      </c>
      <c r="H1000" t="inlineStr">
        <is>
          <t>Credit Collection 赊账收款</t>
        </is>
      </c>
      <c r="I1000" s="6">
        <f>IF($B995="","",B1000)</f>
        <v/>
      </c>
      <c r="K1000" t="inlineStr">
        <is>
          <t>Advance Salary_M 预支薪水_M</t>
        </is>
      </c>
      <c r="L1000" s="6">
        <f>IF($B995="","",E1000)</f>
        <v/>
      </c>
    </row>
    <row r="1001">
      <c r="A1001" s="10" t="inlineStr">
        <is>
          <t>Amount 2 金额2  (Amount + Credit Collection)</t>
        </is>
      </c>
      <c r="B1001" s="11">
        <f>IF($B995="","",ROUND(B999+B1000,2))</f>
        <v/>
      </c>
      <c r="D1001" t="inlineStr">
        <is>
          <t>Advance Salary_H 预支薪水_H</t>
        </is>
      </c>
      <c r="E1001" s="6">
        <f>IF($B995="","",'Daily Sale entry '!M73)</f>
        <v/>
      </c>
      <c r="H1001" s="10" t="inlineStr">
        <is>
          <t>Amount 2 金额2  (Amount + Credit Collection)</t>
        </is>
      </c>
      <c r="I1001" s="11">
        <f>IF($B995="","",ROUND(I999+I1000,2))</f>
        <v/>
      </c>
      <c r="K1001" t="inlineStr">
        <is>
          <t>Advance Salary_H 预支薪水_H</t>
        </is>
      </c>
      <c r="L1001" s="6">
        <f>IF($B995="","",E1001)</f>
        <v/>
      </c>
    </row>
    <row r="1002"/>
    <row r="1003">
      <c r="A1003" s="1" t="inlineStr">
        <is>
          <t>b/f petty cash 上日备用金结转</t>
        </is>
      </c>
      <c r="B1003" s="9">
        <f>IF($B995="","",'Daily Sale entry '!F73)</f>
        <v/>
      </c>
      <c r="D1003" s="1" t="n"/>
      <c r="E1003" s="1" t="n"/>
      <c r="H1003" s="1" t="inlineStr">
        <is>
          <t>b/f petty cash 上日备用金结转</t>
        </is>
      </c>
      <c r="I1003" s="9">
        <f>IF($B995="","",B1003)</f>
        <v/>
      </c>
      <c r="K1003" s="1" t="n"/>
      <c r="L1003" s="1" t="n"/>
    </row>
    <row r="1004">
      <c r="A1004" t="inlineStr">
        <is>
          <t>Total (A) 总计 (A)</t>
        </is>
      </c>
      <c r="B1004" s="6">
        <f>IF($B995="","",ROUND(B1001+B1003,2))</f>
        <v/>
      </c>
      <c r="D1004" t="inlineStr">
        <is>
          <t>Total(B) 总计 (B)</t>
        </is>
      </c>
      <c r="E1004" s="6">
        <f>IF($B995="","",ROUND(E996+E997+E998+E999+E1000+E1001,2))</f>
        <v/>
      </c>
      <c r="H1004" t="inlineStr">
        <is>
          <t>Total© 总计 (C)</t>
        </is>
      </c>
      <c r="I1004" s="6">
        <f>IF($B995="","",ROUND(I1001+I1003,2))</f>
        <v/>
      </c>
      <c r="K1004" t="inlineStr">
        <is>
          <t>Total(D) 总计 (D)</t>
        </is>
      </c>
      <c r="L1004" s="6">
        <f>IF($B995="","",ROUND(L996+L997+L998+L999+L1000+L1001,2))</f>
        <v/>
      </c>
    </row>
    <row r="1005">
      <c r="A1005" s="14" t="inlineStr">
        <is>
          <t>Total = Amount 2 + b/f petty cash  (金额2 + 上日备用金)</t>
        </is>
      </c>
      <c r="H1005" s="14" t="inlineStr">
        <is>
          <t>Total = Amount 2 + b/f petty cash  (金额2 + 上日备用金)</t>
        </is>
      </c>
    </row>
    <row r="1006">
      <c r="A1006" t="inlineStr">
        <is>
          <t>Different 差额</t>
        </is>
      </c>
      <c r="B1006" s="6">
        <f>IF($B995="","",ROUND(B1004-E1004,2))</f>
        <v/>
      </c>
      <c r="D1006">
        <f>IF($B995="","",IF(ABS(B1006)&gt;'Opening Balance'!$B$16,"ALERT 警报: Different over RM"&amp;'Opening Balance'!$B$16&amp;" 差额超过RM"&amp;'Opening Balance'!$B$16&amp;" - please check 请检查",IF(B1006=0,"Tied 平衡",IF(ABS(B1006)&lt;='Opening Balance'!$B$13,"Small difference 小额差额: adjusted on c/f petty cash 已调整备用金",IF(B1006&gt;0,"Short 短收: added to Misc Charges 已加入杂项费用","Over 多收: added to Cash Sales 已加入现金销售")))))</f>
        <v/>
      </c>
      <c r="H1006" t="inlineStr">
        <is>
          <t>Different 差额</t>
        </is>
      </c>
      <c r="I1006" s="6">
        <f>IF($B995="","",ROUND(I1004-L1004,2))</f>
        <v/>
      </c>
    </row>
    <row r="1007"/>
    <row r="1008"/>
    <row r="1009">
      <c r="A1009" t="inlineStr">
        <is>
          <t>Date 日期</t>
        </is>
      </c>
      <c r="B1009" s="5">
        <f>IF('Daily Sale entry '!$A74="","",'Daily Sale entry '!$A74)</f>
        <v/>
      </c>
      <c r="H1009" t="inlineStr">
        <is>
          <t>After 调整后 (After)</t>
        </is>
      </c>
      <c r="I1009" s="5">
        <f>IF($B1009="","",B1009)</f>
        <v/>
      </c>
    </row>
    <row r="1010">
      <c r="A1010" t="inlineStr">
        <is>
          <t>Cash Sales 现金销售</t>
        </is>
      </c>
      <c r="B1010" s="6">
        <f>IF($B1009="","",'Daily Sale entry '!B74)</f>
        <v/>
      </c>
      <c r="D1010" t="inlineStr">
        <is>
          <t>c/f petty cash 今日备用金结转</t>
        </is>
      </c>
      <c r="E1010" s="6">
        <f>IF($B1009="","",'Daily Sale entry '!G74)</f>
        <v/>
      </c>
      <c r="H1010" t="inlineStr">
        <is>
          <t>Cash Sales 现金销售</t>
        </is>
      </c>
      <c r="I1010" s="6">
        <f>IF($B1009="","",IF(AND(ABS(B1020)&gt;'Opening Balance'!$B$13,B1020&lt;0),ROUND(B1010-B1020,2),B1010))</f>
        <v/>
      </c>
      <c r="K1010" t="inlineStr">
        <is>
          <t>c/f petty cash 今日备用金结转</t>
        </is>
      </c>
      <c r="L1010" s="6">
        <f>IF($B1009="","",IF(ABS(B1020)&lt;='Opening Balance'!$B$13,ROUND(E1010+B1020,2),E1010))</f>
        <v/>
      </c>
    </row>
    <row r="1011">
      <c r="A1011" t="inlineStr">
        <is>
          <t>Misc Charges 杂项费用</t>
        </is>
      </c>
      <c r="B1011" s="6">
        <f>IF($B1009="","",'Daily Sale entry '!C74)</f>
        <v/>
      </c>
      <c r="D1011" t="inlineStr">
        <is>
          <t>cash collection 现金收款</t>
        </is>
      </c>
      <c r="E1011" s="6">
        <f>IF($B1009="","",'Daily Sale entry '!H74)</f>
        <v/>
      </c>
      <c r="H1011" t="inlineStr">
        <is>
          <t>Misc Charges 杂项费用</t>
        </is>
      </c>
      <c r="I1011" s="6">
        <f>IF($B1009="","",IF(AND(ABS(B1020)&gt;'Opening Balance'!$B$13,B1020&gt;0),ROUND(B1011+B1020,2),B1011))</f>
        <v/>
      </c>
      <c r="K1011" t="inlineStr">
        <is>
          <t>cash collection 现金收款</t>
        </is>
      </c>
      <c r="L1011" s="6">
        <f>IF($B1009="","",E1011)</f>
        <v/>
      </c>
    </row>
    <row r="1012">
      <c r="A1012" s="1" t="inlineStr">
        <is>
          <t>Other Charges 其他费用</t>
        </is>
      </c>
      <c r="B1012" s="9">
        <f>IF($B1009="","",'Daily Sale entry '!D74)</f>
        <v/>
      </c>
      <c r="D1012" s="1" t="inlineStr">
        <is>
          <t>Cheque Collection 支票收款</t>
        </is>
      </c>
      <c r="E1012" s="9">
        <f>IF($B1009="","",'Daily Sale entry '!J74)</f>
        <v/>
      </c>
      <c r="H1012" s="1" t="inlineStr">
        <is>
          <t>Other Charges 其他费用</t>
        </is>
      </c>
      <c r="I1012" s="9">
        <f>IF($B1009="","",B1012)</f>
        <v/>
      </c>
      <c r="K1012" s="1" t="inlineStr">
        <is>
          <t>Cheque Collection 支票收款</t>
        </is>
      </c>
      <c r="L1012" s="9">
        <f>IF($B1009="","",E1012)</f>
        <v/>
      </c>
    </row>
    <row r="1013">
      <c r="A1013" s="10" t="inlineStr">
        <is>
          <t>Amount 金额  (Cash Sales - Misc - Other)</t>
        </is>
      </c>
      <c r="B1013" s="11">
        <f>IF($B1009="","",ROUND(B1010-B1011-B1012,2))</f>
        <v/>
      </c>
      <c r="D1013" s="12" t="inlineStr">
        <is>
          <t>TNG collection TNG收款</t>
        </is>
      </c>
      <c r="E1013" s="13">
        <f>IF($B1009="","",'Daily Sale entry '!K74)</f>
        <v/>
      </c>
      <c r="H1013" s="10" t="inlineStr">
        <is>
          <t>Amount 金额  (Cash Sales - Misc - Other)</t>
        </is>
      </c>
      <c r="I1013" s="11">
        <f>IF($B1009="","",ROUND(I1010-I1011-I1012,2))</f>
        <v/>
      </c>
      <c r="K1013" s="12" t="inlineStr">
        <is>
          <t>TNG collection TNG收款</t>
        </is>
      </c>
      <c r="L1013" s="13">
        <f>IF($B1009="","",E1013)</f>
        <v/>
      </c>
    </row>
    <row r="1014">
      <c r="A1014" t="inlineStr">
        <is>
          <t>Credit Collection 赊账收款</t>
        </is>
      </c>
      <c r="B1014" s="6">
        <f>IF($B1009="","",'Daily Sale entry '!E74)</f>
        <v/>
      </c>
      <c r="D1014" t="inlineStr">
        <is>
          <t>Advance Salary_M 预支薪水_M</t>
        </is>
      </c>
      <c r="E1014" s="6">
        <f>IF($B1009="","",'Daily Sale entry '!L74)</f>
        <v/>
      </c>
      <c r="H1014" t="inlineStr">
        <is>
          <t>Credit Collection 赊账收款</t>
        </is>
      </c>
      <c r="I1014" s="6">
        <f>IF($B1009="","",B1014)</f>
        <v/>
      </c>
      <c r="K1014" t="inlineStr">
        <is>
          <t>Advance Salary_M 预支薪水_M</t>
        </is>
      </c>
      <c r="L1014" s="6">
        <f>IF($B1009="","",E1014)</f>
        <v/>
      </c>
    </row>
    <row r="1015">
      <c r="A1015" s="10" t="inlineStr">
        <is>
          <t>Amount 2 金额2  (Amount + Credit Collection)</t>
        </is>
      </c>
      <c r="B1015" s="11">
        <f>IF($B1009="","",ROUND(B1013+B1014,2))</f>
        <v/>
      </c>
      <c r="D1015" t="inlineStr">
        <is>
          <t>Advance Salary_H 预支薪水_H</t>
        </is>
      </c>
      <c r="E1015" s="6">
        <f>IF($B1009="","",'Daily Sale entry '!M74)</f>
        <v/>
      </c>
      <c r="H1015" s="10" t="inlineStr">
        <is>
          <t>Amount 2 金额2  (Amount + Credit Collection)</t>
        </is>
      </c>
      <c r="I1015" s="11">
        <f>IF($B1009="","",ROUND(I1013+I1014,2))</f>
        <v/>
      </c>
      <c r="K1015" t="inlineStr">
        <is>
          <t>Advance Salary_H 预支薪水_H</t>
        </is>
      </c>
      <c r="L1015" s="6">
        <f>IF($B1009="","",E1015)</f>
        <v/>
      </c>
    </row>
    <row r="1016"/>
    <row r="1017">
      <c r="A1017" s="1" t="inlineStr">
        <is>
          <t>b/f petty cash 上日备用金结转</t>
        </is>
      </c>
      <c r="B1017" s="9">
        <f>IF($B1009="","",'Daily Sale entry '!F74)</f>
        <v/>
      </c>
      <c r="D1017" s="1" t="n"/>
      <c r="E1017" s="1" t="n"/>
      <c r="H1017" s="1" t="inlineStr">
        <is>
          <t>b/f petty cash 上日备用金结转</t>
        </is>
      </c>
      <c r="I1017" s="9">
        <f>IF($B1009="","",B1017)</f>
        <v/>
      </c>
      <c r="K1017" s="1" t="n"/>
      <c r="L1017" s="1" t="n"/>
    </row>
    <row r="1018">
      <c r="A1018" t="inlineStr">
        <is>
          <t>Total (A) 总计 (A)</t>
        </is>
      </c>
      <c r="B1018" s="6">
        <f>IF($B1009="","",ROUND(B1015+B1017,2))</f>
        <v/>
      </c>
      <c r="D1018" t="inlineStr">
        <is>
          <t>Total(B) 总计 (B)</t>
        </is>
      </c>
      <c r="E1018" s="6">
        <f>IF($B1009="","",ROUND(E1010+E1011+E1012+E1013+E1014+E1015,2))</f>
        <v/>
      </c>
      <c r="H1018" t="inlineStr">
        <is>
          <t>Total© 总计 (C)</t>
        </is>
      </c>
      <c r="I1018" s="6">
        <f>IF($B1009="","",ROUND(I1015+I1017,2))</f>
        <v/>
      </c>
      <c r="K1018" t="inlineStr">
        <is>
          <t>Total(D) 总计 (D)</t>
        </is>
      </c>
      <c r="L1018" s="6">
        <f>IF($B1009="","",ROUND(L1010+L1011+L1012+L1013+L1014+L1015,2))</f>
        <v/>
      </c>
    </row>
    <row r="1019">
      <c r="A1019" s="14" t="inlineStr">
        <is>
          <t>Total = Amount 2 + b/f petty cash  (金额2 + 上日备用金)</t>
        </is>
      </c>
      <c r="H1019" s="14" t="inlineStr">
        <is>
          <t>Total = Amount 2 + b/f petty cash  (金额2 + 上日备用金)</t>
        </is>
      </c>
    </row>
    <row r="1020">
      <c r="A1020" t="inlineStr">
        <is>
          <t>Different 差额</t>
        </is>
      </c>
      <c r="B1020" s="6">
        <f>IF($B1009="","",ROUND(B1018-E1018,2))</f>
        <v/>
      </c>
      <c r="D1020">
        <f>IF($B1009="","",IF(ABS(B1020)&gt;'Opening Balance'!$B$16,"ALERT 警报: Different over RM"&amp;'Opening Balance'!$B$16&amp;" 差额超过RM"&amp;'Opening Balance'!$B$16&amp;" - please check 请检查",IF(B1020=0,"Tied 平衡",IF(ABS(B1020)&lt;='Opening Balance'!$B$13,"Small difference 小额差额: adjusted on c/f petty cash 已调整备用金",IF(B1020&gt;0,"Short 短收: added to Misc Charges 已加入杂项费用","Over 多收: added to Cash Sales 已加入现金销售")))))</f>
        <v/>
      </c>
      <c r="H1020" t="inlineStr">
        <is>
          <t>Different 差额</t>
        </is>
      </c>
      <c r="I1020" s="6">
        <f>IF($B1009="","",ROUND(I1018-L1018,2))</f>
        <v/>
      </c>
    </row>
    <row r="1021"/>
    <row r="1022"/>
    <row r="1023">
      <c r="A1023" t="inlineStr">
        <is>
          <t>Date 日期</t>
        </is>
      </c>
      <c r="B1023" s="5">
        <f>IF('Daily Sale entry '!$A75="","",'Daily Sale entry '!$A75)</f>
        <v/>
      </c>
      <c r="H1023" t="inlineStr">
        <is>
          <t>After 调整后 (After)</t>
        </is>
      </c>
      <c r="I1023" s="5">
        <f>IF($B1023="","",B1023)</f>
        <v/>
      </c>
    </row>
    <row r="1024">
      <c r="A1024" t="inlineStr">
        <is>
          <t>Cash Sales 现金销售</t>
        </is>
      </c>
      <c r="B1024" s="6">
        <f>IF($B1023="","",'Daily Sale entry '!B75)</f>
        <v/>
      </c>
      <c r="D1024" t="inlineStr">
        <is>
          <t>c/f petty cash 今日备用金结转</t>
        </is>
      </c>
      <c r="E1024" s="6">
        <f>IF($B1023="","",'Daily Sale entry '!G75)</f>
        <v/>
      </c>
      <c r="H1024" t="inlineStr">
        <is>
          <t>Cash Sales 现金销售</t>
        </is>
      </c>
      <c r="I1024" s="6">
        <f>IF($B1023="","",IF(AND(ABS(B1034)&gt;'Opening Balance'!$B$13,B1034&lt;0),ROUND(B1024-B1034,2),B1024))</f>
        <v/>
      </c>
      <c r="K1024" t="inlineStr">
        <is>
          <t>c/f petty cash 今日备用金结转</t>
        </is>
      </c>
      <c r="L1024" s="6">
        <f>IF($B1023="","",IF(ABS(B1034)&lt;='Opening Balance'!$B$13,ROUND(E1024+B1034,2),E1024))</f>
        <v/>
      </c>
    </row>
    <row r="1025">
      <c r="A1025" t="inlineStr">
        <is>
          <t>Misc Charges 杂项费用</t>
        </is>
      </c>
      <c r="B1025" s="6">
        <f>IF($B1023="","",'Daily Sale entry '!C75)</f>
        <v/>
      </c>
      <c r="D1025" t="inlineStr">
        <is>
          <t>cash collection 现金收款</t>
        </is>
      </c>
      <c r="E1025" s="6">
        <f>IF($B1023="","",'Daily Sale entry '!H75)</f>
        <v/>
      </c>
      <c r="H1025" t="inlineStr">
        <is>
          <t>Misc Charges 杂项费用</t>
        </is>
      </c>
      <c r="I1025" s="6">
        <f>IF($B1023="","",IF(AND(ABS(B1034)&gt;'Opening Balance'!$B$13,B1034&gt;0),ROUND(B1025+B1034,2),B1025))</f>
        <v/>
      </c>
      <c r="K1025" t="inlineStr">
        <is>
          <t>cash collection 现金收款</t>
        </is>
      </c>
      <c r="L1025" s="6">
        <f>IF($B1023="","",E1025)</f>
        <v/>
      </c>
    </row>
    <row r="1026">
      <c r="A1026" s="1" t="inlineStr">
        <is>
          <t>Other Charges 其他费用</t>
        </is>
      </c>
      <c r="B1026" s="9">
        <f>IF($B1023="","",'Daily Sale entry '!D75)</f>
        <v/>
      </c>
      <c r="D1026" s="1" t="inlineStr">
        <is>
          <t>Cheque Collection 支票收款</t>
        </is>
      </c>
      <c r="E1026" s="9">
        <f>IF($B1023="","",'Daily Sale entry '!J75)</f>
        <v/>
      </c>
      <c r="H1026" s="1" t="inlineStr">
        <is>
          <t>Other Charges 其他费用</t>
        </is>
      </c>
      <c r="I1026" s="9">
        <f>IF($B1023="","",B1026)</f>
        <v/>
      </c>
      <c r="K1026" s="1" t="inlineStr">
        <is>
          <t>Cheque Collection 支票收款</t>
        </is>
      </c>
      <c r="L1026" s="9">
        <f>IF($B1023="","",E1026)</f>
        <v/>
      </c>
    </row>
    <row r="1027">
      <c r="A1027" s="10" t="inlineStr">
        <is>
          <t>Amount 金额  (Cash Sales - Misc - Other)</t>
        </is>
      </c>
      <c r="B1027" s="11">
        <f>IF($B1023="","",ROUND(B1024-B1025-B1026,2))</f>
        <v/>
      </c>
      <c r="D1027" s="12" t="inlineStr">
        <is>
          <t>TNG collection TNG收款</t>
        </is>
      </c>
      <c r="E1027" s="13">
        <f>IF($B1023="","",'Daily Sale entry '!K75)</f>
        <v/>
      </c>
      <c r="H1027" s="10" t="inlineStr">
        <is>
          <t>Amount 金额  (Cash Sales - Misc - Other)</t>
        </is>
      </c>
      <c r="I1027" s="11">
        <f>IF($B1023="","",ROUND(I1024-I1025-I1026,2))</f>
        <v/>
      </c>
      <c r="K1027" s="12" t="inlineStr">
        <is>
          <t>TNG collection TNG收款</t>
        </is>
      </c>
      <c r="L1027" s="13">
        <f>IF($B1023="","",E1027)</f>
        <v/>
      </c>
    </row>
    <row r="1028">
      <c r="A1028" t="inlineStr">
        <is>
          <t>Credit Collection 赊账收款</t>
        </is>
      </c>
      <c r="B1028" s="6">
        <f>IF($B1023="","",'Daily Sale entry '!E75)</f>
        <v/>
      </c>
      <c r="D1028" t="inlineStr">
        <is>
          <t>Advance Salary_M 预支薪水_M</t>
        </is>
      </c>
      <c r="E1028" s="6">
        <f>IF($B1023="","",'Daily Sale entry '!L75)</f>
        <v/>
      </c>
      <c r="H1028" t="inlineStr">
        <is>
          <t>Credit Collection 赊账收款</t>
        </is>
      </c>
      <c r="I1028" s="6">
        <f>IF($B1023="","",B1028)</f>
        <v/>
      </c>
      <c r="K1028" t="inlineStr">
        <is>
          <t>Advance Salary_M 预支薪水_M</t>
        </is>
      </c>
      <c r="L1028" s="6">
        <f>IF($B1023="","",E1028)</f>
        <v/>
      </c>
    </row>
    <row r="1029">
      <c r="A1029" s="10" t="inlineStr">
        <is>
          <t>Amount 2 金额2  (Amount + Credit Collection)</t>
        </is>
      </c>
      <c r="B1029" s="11">
        <f>IF($B1023="","",ROUND(B1027+B1028,2))</f>
        <v/>
      </c>
      <c r="D1029" t="inlineStr">
        <is>
          <t>Advance Salary_H 预支薪水_H</t>
        </is>
      </c>
      <c r="E1029" s="6">
        <f>IF($B1023="","",'Daily Sale entry '!M75)</f>
        <v/>
      </c>
      <c r="H1029" s="10" t="inlineStr">
        <is>
          <t>Amount 2 金额2  (Amount + Credit Collection)</t>
        </is>
      </c>
      <c r="I1029" s="11">
        <f>IF($B1023="","",ROUND(I1027+I1028,2))</f>
        <v/>
      </c>
      <c r="K1029" t="inlineStr">
        <is>
          <t>Advance Salary_H 预支薪水_H</t>
        </is>
      </c>
      <c r="L1029" s="6">
        <f>IF($B1023="","",E1029)</f>
        <v/>
      </c>
    </row>
    <row r="1030"/>
    <row r="1031">
      <c r="A1031" s="1" t="inlineStr">
        <is>
          <t>b/f petty cash 上日备用金结转</t>
        </is>
      </c>
      <c r="B1031" s="9">
        <f>IF($B1023="","",'Daily Sale entry '!F75)</f>
        <v/>
      </c>
      <c r="D1031" s="1" t="n"/>
      <c r="E1031" s="1" t="n"/>
      <c r="H1031" s="1" t="inlineStr">
        <is>
          <t>b/f petty cash 上日备用金结转</t>
        </is>
      </c>
      <c r="I1031" s="9">
        <f>IF($B1023="","",B1031)</f>
        <v/>
      </c>
      <c r="K1031" s="1" t="n"/>
      <c r="L1031" s="1" t="n"/>
    </row>
    <row r="1032">
      <c r="A1032" t="inlineStr">
        <is>
          <t>Total (A) 总计 (A)</t>
        </is>
      </c>
      <c r="B1032" s="6">
        <f>IF($B1023="","",ROUND(B1029+B1031,2))</f>
        <v/>
      </c>
      <c r="D1032" t="inlineStr">
        <is>
          <t>Total(B) 总计 (B)</t>
        </is>
      </c>
      <c r="E1032" s="6">
        <f>IF($B1023="","",ROUND(E1024+E1025+E1026+E1027+E1028+E1029,2))</f>
        <v/>
      </c>
      <c r="H1032" t="inlineStr">
        <is>
          <t>Total© 总计 (C)</t>
        </is>
      </c>
      <c r="I1032" s="6">
        <f>IF($B1023="","",ROUND(I1029+I1031,2))</f>
        <v/>
      </c>
      <c r="K1032" t="inlineStr">
        <is>
          <t>Total(D) 总计 (D)</t>
        </is>
      </c>
      <c r="L1032" s="6">
        <f>IF($B1023="","",ROUND(L1024+L1025+L1026+L1027+L1028+L1029,2))</f>
        <v/>
      </c>
    </row>
    <row r="1033">
      <c r="A1033" s="14" t="inlineStr">
        <is>
          <t>Total = Amount 2 + b/f petty cash  (金额2 + 上日备用金)</t>
        </is>
      </c>
      <c r="H1033" s="14" t="inlineStr">
        <is>
          <t>Total = Amount 2 + b/f petty cash  (金额2 + 上日备用金)</t>
        </is>
      </c>
    </row>
    <row r="1034">
      <c r="A1034" t="inlineStr">
        <is>
          <t>Different 差额</t>
        </is>
      </c>
      <c r="B1034" s="6">
        <f>IF($B1023="","",ROUND(B1032-E1032,2))</f>
        <v/>
      </c>
      <c r="D1034">
        <f>IF($B1023="","",IF(ABS(B1034)&gt;'Opening Balance'!$B$16,"ALERT 警报: Different over RM"&amp;'Opening Balance'!$B$16&amp;" 差额超过RM"&amp;'Opening Balance'!$B$16&amp;" - please check 请检查",IF(B1034=0,"Tied 平衡",IF(ABS(B1034)&lt;='Opening Balance'!$B$13,"Small difference 小额差额: adjusted on c/f petty cash 已调整备用金",IF(B1034&gt;0,"Short 短收: added to Misc Charges 已加入杂项费用","Over 多收: added to Cash Sales 已加入现金销售")))))</f>
        <v/>
      </c>
      <c r="H1034" t="inlineStr">
        <is>
          <t>Different 差额</t>
        </is>
      </c>
      <c r="I1034" s="6">
        <f>IF($B1023="","",ROUND(I1032-L1032,2))</f>
        <v/>
      </c>
    </row>
    <row r="1035"/>
    <row r="1036"/>
    <row r="1037">
      <c r="A1037" t="inlineStr">
        <is>
          <t>Date 日期</t>
        </is>
      </c>
      <c r="B1037" s="5">
        <f>IF('Daily Sale entry '!$A76="","",'Daily Sale entry '!$A76)</f>
        <v/>
      </c>
      <c r="H1037" t="inlineStr">
        <is>
          <t>After 调整后 (After)</t>
        </is>
      </c>
      <c r="I1037" s="5">
        <f>IF($B1037="","",B1037)</f>
        <v/>
      </c>
    </row>
    <row r="1038">
      <c r="A1038" t="inlineStr">
        <is>
          <t>Cash Sales 现金销售</t>
        </is>
      </c>
      <c r="B1038" s="6">
        <f>IF($B1037="","",'Daily Sale entry '!B76)</f>
        <v/>
      </c>
      <c r="D1038" t="inlineStr">
        <is>
          <t>c/f petty cash 今日备用金结转</t>
        </is>
      </c>
      <c r="E1038" s="6">
        <f>IF($B1037="","",'Daily Sale entry '!G76)</f>
        <v/>
      </c>
      <c r="H1038" t="inlineStr">
        <is>
          <t>Cash Sales 现金销售</t>
        </is>
      </c>
      <c r="I1038" s="6">
        <f>IF($B1037="","",IF(AND(ABS(B1048)&gt;'Opening Balance'!$B$13,B1048&lt;0),ROUND(B1038-B1048,2),B1038))</f>
        <v/>
      </c>
      <c r="K1038" t="inlineStr">
        <is>
          <t>c/f petty cash 今日备用金结转</t>
        </is>
      </c>
      <c r="L1038" s="6">
        <f>IF($B1037="","",IF(ABS(B1048)&lt;='Opening Balance'!$B$13,ROUND(E1038+B1048,2),E1038))</f>
        <v/>
      </c>
    </row>
    <row r="1039">
      <c r="A1039" t="inlineStr">
        <is>
          <t>Misc Charges 杂项费用</t>
        </is>
      </c>
      <c r="B1039" s="6">
        <f>IF($B1037="","",'Daily Sale entry '!C76)</f>
        <v/>
      </c>
      <c r="D1039" t="inlineStr">
        <is>
          <t>cash collection 现金收款</t>
        </is>
      </c>
      <c r="E1039" s="6">
        <f>IF($B1037="","",'Daily Sale entry '!H76)</f>
        <v/>
      </c>
      <c r="H1039" t="inlineStr">
        <is>
          <t>Misc Charges 杂项费用</t>
        </is>
      </c>
      <c r="I1039" s="6">
        <f>IF($B1037="","",IF(AND(ABS(B1048)&gt;'Opening Balance'!$B$13,B1048&gt;0),ROUND(B1039+B1048,2),B1039))</f>
        <v/>
      </c>
      <c r="K1039" t="inlineStr">
        <is>
          <t>cash collection 现金收款</t>
        </is>
      </c>
      <c r="L1039" s="6">
        <f>IF($B1037="","",E1039)</f>
        <v/>
      </c>
    </row>
    <row r="1040">
      <c r="A1040" s="1" t="inlineStr">
        <is>
          <t>Other Charges 其他费用</t>
        </is>
      </c>
      <c r="B1040" s="9">
        <f>IF($B1037="","",'Daily Sale entry '!D76)</f>
        <v/>
      </c>
      <c r="D1040" s="1" t="inlineStr">
        <is>
          <t>Cheque Collection 支票收款</t>
        </is>
      </c>
      <c r="E1040" s="9">
        <f>IF($B1037="","",'Daily Sale entry '!J76)</f>
        <v/>
      </c>
      <c r="H1040" s="1" t="inlineStr">
        <is>
          <t>Other Charges 其他费用</t>
        </is>
      </c>
      <c r="I1040" s="9">
        <f>IF($B1037="","",B1040)</f>
        <v/>
      </c>
      <c r="K1040" s="1" t="inlineStr">
        <is>
          <t>Cheque Collection 支票收款</t>
        </is>
      </c>
      <c r="L1040" s="9">
        <f>IF($B1037="","",E1040)</f>
        <v/>
      </c>
    </row>
    <row r="1041">
      <c r="A1041" s="10" t="inlineStr">
        <is>
          <t>Amount 金额  (Cash Sales - Misc - Other)</t>
        </is>
      </c>
      <c r="B1041" s="11">
        <f>IF($B1037="","",ROUND(B1038-B1039-B1040,2))</f>
        <v/>
      </c>
      <c r="D1041" s="12" t="inlineStr">
        <is>
          <t>TNG collection TNG收款</t>
        </is>
      </c>
      <c r="E1041" s="13">
        <f>IF($B1037="","",'Daily Sale entry '!K76)</f>
        <v/>
      </c>
      <c r="H1041" s="10" t="inlineStr">
        <is>
          <t>Amount 金额  (Cash Sales - Misc - Other)</t>
        </is>
      </c>
      <c r="I1041" s="11">
        <f>IF($B1037="","",ROUND(I1038-I1039-I1040,2))</f>
        <v/>
      </c>
      <c r="K1041" s="12" t="inlineStr">
        <is>
          <t>TNG collection TNG收款</t>
        </is>
      </c>
      <c r="L1041" s="13">
        <f>IF($B1037="","",E1041)</f>
        <v/>
      </c>
    </row>
    <row r="1042">
      <c r="A1042" t="inlineStr">
        <is>
          <t>Credit Collection 赊账收款</t>
        </is>
      </c>
      <c r="B1042" s="6">
        <f>IF($B1037="","",'Daily Sale entry '!E76)</f>
        <v/>
      </c>
      <c r="D1042" t="inlineStr">
        <is>
          <t>Advance Salary_M 预支薪水_M</t>
        </is>
      </c>
      <c r="E1042" s="6">
        <f>IF($B1037="","",'Daily Sale entry '!L76)</f>
        <v/>
      </c>
      <c r="H1042" t="inlineStr">
        <is>
          <t>Credit Collection 赊账收款</t>
        </is>
      </c>
      <c r="I1042" s="6">
        <f>IF($B1037="","",B1042)</f>
        <v/>
      </c>
      <c r="K1042" t="inlineStr">
        <is>
          <t>Advance Salary_M 预支薪水_M</t>
        </is>
      </c>
      <c r="L1042" s="6">
        <f>IF($B1037="","",E1042)</f>
        <v/>
      </c>
    </row>
    <row r="1043">
      <c r="A1043" s="10" t="inlineStr">
        <is>
          <t>Amount 2 金额2  (Amount + Credit Collection)</t>
        </is>
      </c>
      <c r="B1043" s="11">
        <f>IF($B1037="","",ROUND(B1041+B1042,2))</f>
        <v/>
      </c>
      <c r="D1043" t="inlineStr">
        <is>
          <t>Advance Salary_H 预支薪水_H</t>
        </is>
      </c>
      <c r="E1043" s="6">
        <f>IF($B1037="","",'Daily Sale entry '!M76)</f>
        <v/>
      </c>
      <c r="H1043" s="10" t="inlineStr">
        <is>
          <t>Amount 2 金额2  (Amount + Credit Collection)</t>
        </is>
      </c>
      <c r="I1043" s="11">
        <f>IF($B1037="","",ROUND(I1041+I1042,2))</f>
        <v/>
      </c>
      <c r="K1043" t="inlineStr">
        <is>
          <t>Advance Salary_H 预支薪水_H</t>
        </is>
      </c>
      <c r="L1043" s="6">
        <f>IF($B1037="","",E1043)</f>
        <v/>
      </c>
    </row>
    <row r="1044"/>
    <row r="1045">
      <c r="A1045" s="1" t="inlineStr">
        <is>
          <t>b/f petty cash 上日备用金结转</t>
        </is>
      </c>
      <c r="B1045" s="9">
        <f>IF($B1037="","",'Daily Sale entry '!F76)</f>
        <v/>
      </c>
      <c r="D1045" s="1" t="n"/>
      <c r="E1045" s="1" t="n"/>
      <c r="H1045" s="1" t="inlineStr">
        <is>
          <t>b/f petty cash 上日备用金结转</t>
        </is>
      </c>
      <c r="I1045" s="9">
        <f>IF($B1037="","",B1045)</f>
        <v/>
      </c>
      <c r="K1045" s="1" t="n"/>
      <c r="L1045" s="1" t="n"/>
    </row>
    <row r="1046">
      <c r="A1046" t="inlineStr">
        <is>
          <t>Total (A) 总计 (A)</t>
        </is>
      </c>
      <c r="B1046" s="6">
        <f>IF($B1037="","",ROUND(B1043+B1045,2))</f>
        <v/>
      </c>
      <c r="D1046" t="inlineStr">
        <is>
          <t>Total(B) 总计 (B)</t>
        </is>
      </c>
      <c r="E1046" s="6">
        <f>IF($B1037="","",ROUND(E1038+E1039+E1040+E1041+E1042+E1043,2))</f>
        <v/>
      </c>
      <c r="H1046" t="inlineStr">
        <is>
          <t>Total© 总计 (C)</t>
        </is>
      </c>
      <c r="I1046" s="6">
        <f>IF($B1037="","",ROUND(I1043+I1045,2))</f>
        <v/>
      </c>
      <c r="K1046" t="inlineStr">
        <is>
          <t>Total(D) 总计 (D)</t>
        </is>
      </c>
      <c r="L1046" s="6">
        <f>IF($B1037="","",ROUND(L1038+L1039+L1040+L1041+L1042+L1043,2))</f>
        <v/>
      </c>
    </row>
    <row r="1047">
      <c r="A1047" s="14" t="inlineStr">
        <is>
          <t>Total = Amount 2 + b/f petty cash  (金额2 + 上日备用金)</t>
        </is>
      </c>
      <c r="H1047" s="14" t="inlineStr">
        <is>
          <t>Total = Amount 2 + b/f petty cash  (金额2 + 上日备用金)</t>
        </is>
      </c>
    </row>
    <row r="1048">
      <c r="A1048" t="inlineStr">
        <is>
          <t>Different 差额</t>
        </is>
      </c>
      <c r="B1048" s="6">
        <f>IF($B1037="","",ROUND(B1046-E1046,2))</f>
        <v/>
      </c>
      <c r="D1048">
        <f>IF($B1037="","",IF(ABS(B1048)&gt;'Opening Balance'!$B$16,"ALERT 警报: Different over RM"&amp;'Opening Balance'!$B$16&amp;" 差额超过RM"&amp;'Opening Balance'!$B$16&amp;" - please check 请检查",IF(B1048=0,"Tied 平衡",IF(ABS(B1048)&lt;='Opening Balance'!$B$13,"Small difference 小额差额: adjusted on c/f petty cash 已调整备用金",IF(B1048&gt;0,"Short 短收: added to Misc Charges 已加入杂项费用","Over 多收: added to Cash Sales 已加入现金销售")))))</f>
        <v/>
      </c>
      <c r="H1048" t="inlineStr">
        <is>
          <t>Different 差额</t>
        </is>
      </c>
      <c r="I1048" s="6">
        <f>IF($B1037="","",ROUND(I1046-L1046,2))</f>
        <v/>
      </c>
    </row>
    <row r="1049"/>
    <row r="1050"/>
    <row r="1051">
      <c r="A1051" t="inlineStr">
        <is>
          <t>Date 日期</t>
        </is>
      </c>
      <c r="B1051" s="5">
        <f>IF('Daily Sale entry '!$A77="","",'Daily Sale entry '!$A77)</f>
        <v/>
      </c>
      <c r="H1051" t="inlineStr">
        <is>
          <t>After 调整后 (After)</t>
        </is>
      </c>
      <c r="I1051" s="5">
        <f>IF($B1051="","",B1051)</f>
        <v/>
      </c>
    </row>
    <row r="1052">
      <c r="A1052" t="inlineStr">
        <is>
          <t>Cash Sales 现金销售</t>
        </is>
      </c>
      <c r="B1052" s="6">
        <f>IF($B1051="","",'Daily Sale entry '!B77)</f>
        <v/>
      </c>
      <c r="D1052" t="inlineStr">
        <is>
          <t>c/f petty cash 今日备用金结转</t>
        </is>
      </c>
      <c r="E1052" s="6">
        <f>IF($B1051="","",'Daily Sale entry '!G77)</f>
        <v/>
      </c>
      <c r="H1052" t="inlineStr">
        <is>
          <t>Cash Sales 现金销售</t>
        </is>
      </c>
      <c r="I1052" s="6">
        <f>IF($B1051="","",IF(AND(ABS(B1062)&gt;'Opening Balance'!$B$13,B1062&lt;0),ROUND(B1052-B1062,2),B1052))</f>
        <v/>
      </c>
      <c r="K1052" t="inlineStr">
        <is>
          <t>c/f petty cash 今日备用金结转</t>
        </is>
      </c>
      <c r="L1052" s="6">
        <f>IF($B1051="","",IF(ABS(B1062)&lt;='Opening Balance'!$B$13,ROUND(E1052+B1062,2),E1052))</f>
        <v/>
      </c>
    </row>
    <row r="1053">
      <c r="A1053" t="inlineStr">
        <is>
          <t>Misc Charges 杂项费用</t>
        </is>
      </c>
      <c r="B1053" s="6">
        <f>IF($B1051="","",'Daily Sale entry '!C77)</f>
        <v/>
      </c>
      <c r="D1053" t="inlineStr">
        <is>
          <t>cash collection 现金收款</t>
        </is>
      </c>
      <c r="E1053" s="6">
        <f>IF($B1051="","",'Daily Sale entry '!H77)</f>
        <v/>
      </c>
      <c r="H1053" t="inlineStr">
        <is>
          <t>Misc Charges 杂项费用</t>
        </is>
      </c>
      <c r="I1053" s="6">
        <f>IF($B1051="","",IF(AND(ABS(B1062)&gt;'Opening Balance'!$B$13,B1062&gt;0),ROUND(B1053+B1062,2),B1053))</f>
        <v/>
      </c>
      <c r="K1053" t="inlineStr">
        <is>
          <t>cash collection 现金收款</t>
        </is>
      </c>
      <c r="L1053" s="6">
        <f>IF($B1051="","",E1053)</f>
        <v/>
      </c>
    </row>
    <row r="1054">
      <c r="A1054" s="1" t="inlineStr">
        <is>
          <t>Other Charges 其他费用</t>
        </is>
      </c>
      <c r="B1054" s="9">
        <f>IF($B1051="","",'Daily Sale entry '!D77)</f>
        <v/>
      </c>
      <c r="D1054" s="1" t="inlineStr">
        <is>
          <t>Cheque Collection 支票收款</t>
        </is>
      </c>
      <c r="E1054" s="9">
        <f>IF($B1051="","",'Daily Sale entry '!J77)</f>
        <v/>
      </c>
      <c r="H1054" s="1" t="inlineStr">
        <is>
          <t>Other Charges 其他费用</t>
        </is>
      </c>
      <c r="I1054" s="9">
        <f>IF($B1051="","",B1054)</f>
        <v/>
      </c>
      <c r="K1054" s="1" t="inlineStr">
        <is>
          <t>Cheque Collection 支票收款</t>
        </is>
      </c>
      <c r="L1054" s="9">
        <f>IF($B1051="","",E1054)</f>
        <v/>
      </c>
    </row>
    <row r="1055">
      <c r="A1055" s="10" t="inlineStr">
        <is>
          <t>Amount 金额  (Cash Sales - Misc - Other)</t>
        </is>
      </c>
      <c r="B1055" s="11">
        <f>IF($B1051="","",ROUND(B1052-B1053-B1054,2))</f>
        <v/>
      </c>
      <c r="D1055" s="12" t="inlineStr">
        <is>
          <t>TNG collection TNG收款</t>
        </is>
      </c>
      <c r="E1055" s="13">
        <f>IF($B1051="","",'Daily Sale entry '!K77)</f>
        <v/>
      </c>
      <c r="H1055" s="10" t="inlineStr">
        <is>
          <t>Amount 金额  (Cash Sales - Misc - Other)</t>
        </is>
      </c>
      <c r="I1055" s="11">
        <f>IF($B1051="","",ROUND(I1052-I1053-I1054,2))</f>
        <v/>
      </c>
      <c r="K1055" s="12" t="inlineStr">
        <is>
          <t>TNG collection TNG收款</t>
        </is>
      </c>
      <c r="L1055" s="13">
        <f>IF($B1051="","",E1055)</f>
        <v/>
      </c>
    </row>
    <row r="1056">
      <c r="A1056" t="inlineStr">
        <is>
          <t>Credit Collection 赊账收款</t>
        </is>
      </c>
      <c r="B1056" s="6">
        <f>IF($B1051="","",'Daily Sale entry '!E77)</f>
        <v/>
      </c>
      <c r="D1056" t="inlineStr">
        <is>
          <t>Advance Salary_M 预支薪水_M</t>
        </is>
      </c>
      <c r="E1056" s="6">
        <f>IF($B1051="","",'Daily Sale entry '!L77)</f>
        <v/>
      </c>
      <c r="H1056" t="inlineStr">
        <is>
          <t>Credit Collection 赊账收款</t>
        </is>
      </c>
      <c r="I1056" s="6">
        <f>IF($B1051="","",B1056)</f>
        <v/>
      </c>
      <c r="K1056" t="inlineStr">
        <is>
          <t>Advance Salary_M 预支薪水_M</t>
        </is>
      </c>
      <c r="L1056" s="6">
        <f>IF($B1051="","",E1056)</f>
        <v/>
      </c>
    </row>
    <row r="1057">
      <c r="A1057" s="10" t="inlineStr">
        <is>
          <t>Amount 2 金额2  (Amount + Credit Collection)</t>
        </is>
      </c>
      <c r="B1057" s="11">
        <f>IF($B1051="","",ROUND(B1055+B1056,2))</f>
        <v/>
      </c>
      <c r="D1057" t="inlineStr">
        <is>
          <t>Advance Salary_H 预支薪水_H</t>
        </is>
      </c>
      <c r="E1057" s="6">
        <f>IF($B1051="","",'Daily Sale entry '!M77)</f>
        <v/>
      </c>
      <c r="H1057" s="10" t="inlineStr">
        <is>
          <t>Amount 2 金额2  (Amount + Credit Collection)</t>
        </is>
      </c>
      <c r="I1057" s="11">
        <f>IF($B1051="","",ROUND(I1055+I1056,2))</f>
        <v/>
      </c>
      <c r="K1057" t="inlineStr">
        <is>
          <t>Advance Salary_H 预支薪水_H</t>
        </is>
      </c>
      <c r="L1057" s="6">
        <f>IF($B1051="","",E1057)</f>
        <v/>
      </c>
    </row>
    <row r="1058"/>
    <row r="1059">
      <c r="A1059" s="1" t="inlineStr">
        <is>
          <t>b/f petty cash 上日备用金结转</t>
        </is>
      </c>
      <c r="B1059" s="9">
        <f>IF($B1051="","",'Daily Sale entry '!F77)</f>
        <v/>
      </c>
      <c r="D1059" s="1" t="n"/>
      <c r="E1059" s="1" t="n"/>
      <c r="H1059" s="1" t="inlineStr">
        <is>
          <t>b/f petty cash 上日备用金结转</t>
        </is>
      </c>
      <c r="I1059" s="9">
        <f>IF($B1051="","",B1059)</f>
        <v/>
      </c>
      <c r="K1059" s="1" t="n"/>
      <c r="L1059" s="1" t="n"/>
    </row>
    <row r="1060">
      <c r="A1060" t="inlineStr">
        <is>
          <t>Total (A) 总计 (A)</t>
        </is>
      </c>
      <c r="B1060" s="6">
        <f>IF($B1051="","",ROUND(B1057+B1059,2))</f>
        <v/>
      </c>
      <c r="D1060" t="inlineStr">
        <is>
          <t>Total(B) 总计 (B)</t>
        </is>
      </c>
      <c r="E1060" s="6">
        <f>IF($B1051="","",ROUND(E1052+E1053+E1054+E1055+E1056+E1057,2))</f>
        <v/>
      </c>
      <c r="H1060" t="inlineStr">
        <is>
          <t>Total© 总计 (C)</t>
        </is>
      </c>
      <c r="I1060" s="6">
        <f>IF($B1051="","",ROUND(I1057+I1059,2))</f>
        <v/>
      </c>
      <c r="K1060" t="inlineStr">
        <is>
          <t>Total(D) 总计 (D)</t>
        </is>
      </c>
      <c r="L1060" s="6">
        <f>IF($B1051="","",ROUND(L1052+L1053+L1054+L1055+L1056+L1057,2))</f>
        <v/>
      </c>
    </row>
    <row r="1061">
      <c r="A1061" s="14" t="inlineStr">
        <is>
          <t>Total = Amount 2 + b/f petty cash  (金额2 + 上日备用金)</t>
        </is>
      </c>
      <c r="H1061" s="14" t="inlineStr">
        <is>
          <t>Total = Amount 2 + b/f petty cash  (金额2 + 上日备用金)</t>
        </is>
      </c>
    </row>
    <row r="1062">
      <c r="A1062" t="inlineStr">
        <is>
          <t>Different 差额</t>
        </is>
      </c>
      <c r="B1062" s="6">
        <f>IF($B1051="","",ROUND(B1060-E1060,2))</f>
        <v/>
      </c>
      <c r="D1062">
        <f>IF($B1051="","",IF(ABS(B1062)&gt;'Opening Balance'!$B$16,"ALERT 警报: Different over RM"&amp;'Opening Balance'!$B$16&amp;" 差额超过RM"&amp;'Opening Balance'!$B$16&amp;" - please check 请检查",IF(B1062=0,"Tied 平衡",IF(ABS(B1062)&lt;='Opening Balance'!$B$13,"Small difference 小额差额: adjusted on c/f petty cash 已调整备用金",IF(B1062&gt;0,"Short 短收: added to Misc Charges 已加入杂项费用","Over 多收: added to Cash Sales 已加入现金销售")))))</f>
        <v/>
      </c>
      <c r="H1062" t="inlineStr">
        <is>
          <t>Different 差额</t>
        </is>
      </c>
      <c r="I1062" s="6">
        <f>IF($B1051="","",ROUND(I1060-L1060,2))</f>
        <v/>
      </c>
    </row>
    <row r="1063"/>
    <row r="1064"/>
    <row r="1065">
      <c r="A1065" t="inlineStr">
        <is>
          <t>Date 日期</t>
        </is>
      </c>
      <c r="B1065" s="5">
        <f>IF('Daily Sale entry '!$A78="","",'Daily Sale entry '!$A78)</f>
        <v/>
      </c>
      <c r="H1065" t="inlineStr">
        <is>
          <t>After 调整后 (After)</t>
        </is>
      </c>
      <c r="I1065" s="5">
        <f>IF($B1065="","",B1065)</f>
        <v/>
      </c>
    </row>
    <row r="1066">
      <c r="A1066" t="inlineStr">
        <is>
          <t>Cash Sales 现金销售</t>
        </is>
      </c>
      <c r="B1066" s="6">
        <f>IF($B1065="","",'Daily Sale entry '!B78)</f>
        <v/>
      </c>
      <c r="D1066" t="inlineStr">
        <is>
          <t>c/f petty cash 今日备用金结转</t>
        </is>
      </c>
      <c r="E1066" s="6">
        <f>IF($B1065="","",'Daily Sale entry '!G78)</f>
        <v/>
      </c>
      <c r="H1066" t="inlineStr">
        <is>
          <t>Cash Sales 现金销售</t>
        </is>
      </c>
      <c r="I1066" s="6">
        <f>IF($B1065="","",IF(AND(ABS(B1076)&gt;'Opening Balance'!$B$13,B1076&lt;0),ROUND(B1066-B1076,2),B1066))</f>
        <v/>
      </c>
      <c r="K1066" t="inlineStr">
        <is>
          <t>c/f petty cash 今日备用金结转</t>
        </is>
      </c>
      <c r="L1066" s="6">
        <f>IF($B1065="","",IF(ABS(B1076)&lt;='Opening Balance'!$B$13,ROUND(E1066+B1076,2),E1066))</f>
        <v/>
      </c>
    </row>
    <row r="1067">
      <c r="A1067" t="inlineStr">
        <is>
          <t>Misc Charges 杂项费用</t>
        </is>
      </c>
      <c r="B1067" s="6">
        <f>IF($B1065="","",'Daily Sale entry '!C78)</f>
        <v/>
      </c>
      <c r="D1067" t="inlineStr">
        <is>
          <t>cash collection 现金收款</t>
        </is>
      </c>
      <c r="E1067" s="6">
        <f>IF($B1065="","",'Daily Sale entry '!H78)</f>
        <v/>
      </c>
      <c r="H1067" t="inlineStr">
        <is>
          <t>Misc Charges 杂项费用</t>
        </is>
      </c>
      <c r="I1067" s="6">
        <f>IF($B1065="","",IF(AND(ABS(B1076)&gt;'Opening Balance'!$B$13,B1076&gt;0),ROUND(B1067+B1076,2),B1067))</f>
        <v/>
      </c>
      <c r="K1067" t="inlineStr">
        <is>
          <t>cash collection 现金收款</t>
        </is>
      </c>
      <c r="L1067" s="6">
        <f>IF($B1065="","",E1067)</f>
        <v/>
      </c>
    </row>
    <row r="1068">
      <c r="A1068" s="1" t="inlineStr">
        <is>
          <t>Other Charges 其他费用</t>
        </is>
      </c>
      <c r="B1068" s="9">
        <f>IF($B1065="","",'Daily Sale entry '!D78)</f>
        <v/>
      </c>
      <c r="D1068" s="1" t="inlineStr">
        <is>
          <t>Cheque Collection 支票收款</t>
        </is>
      </c>
      <c r="E1068" s="9">
        <f>IF($B1065="","",'Daily Sale entry '!J78)</f>
        <v/>
      </c>
      <c r="H1068" s="1" t="inlineStr">
        <is>
          <t>Other Charges 其他费用</t>
        </is>
      </c>
      <c r="I1068" s="9">
        <f>IF($B1065="","",B1068)</f>
        <v/>
      </c>
      <c r="K1068" s="1" t="inlineStr">
        <is>
          <t>Cheque Collection 支票收款</t>
        </is>
      </c>
      <c r="L1068" s="9">
        <f>IF($B1065="","",E1068)</f>
        <v/>
      </c>
    </row>
    <row r="1069">
      <c r="A1069" s="10" t="inlineStr">
        <is>
          <t>Amount 金额  (Cash Sales - Misc - Other)</t>
        </is>
      </c>
      <c r="B1069" s="11">
        <f>IF($B1065="","",ROUND(B1066-B1067-B1068,2))</f>
        <v/>
      </c>
      <c r="D1069" s="12" t="inlineStr">
        <is>
          <t>TNG collection TNG收款</t>
        </is>
      </c>
      <c r="E1069" s="13">
        <f>IF($B1065="","",'Daily Sale entry '!K78)</f>
        <v/>
      </c>
      <c r="H1069" s="10" t="inlineStr">
        <is>
          <t>Amount 金额  (Cash Sales - Misc - Other)</t>
        </is>
      </c>
      <c r="I1069" s="11">
        <f>IF($B1065="","",ROUND(I1066-I1067-I1068,2))</f>
        <v/>
      </c>
      <c r="K1069" s="12" t="inlineStr">
        <is>
          <t>TNG collection TNG收款</t>
        </is>
      </c>
      <c r="L1069" s="13">
        <f>IF($B1065="","",E1069)</f>
        <v/>
      </c>
    </row>
    <row r="1070">
      <c r="A1070" t="inlineStr">
        <is>
          <t>Credit Collection 赊账收款</t>
        </is>
      </c>
      <c r="B1070" s="6">
        <f>IF($B1065="","",'Daily Sale entry '!E78)</f>
        <v/>
      </c>
      <c r="D1070" t="inlineStr">
        <is>
          <t>Advance Salary_M 预支薪水_M</t>
        </is>
      </c>
      <c r="E1070" s="6">
        <f>IF($B1065="","",'Daily Sale entry '!L78)</f>
        <v/>
      </c>
      <c r="H1070" t="inlineStr">
        <is>
          <t>Credit Collection 赊账收款</t>
        </is>
      </c>
      <c r="I1070" s="6">
        <f>IF($B1065="","",B1070)</f>
        <v/>
      </c>
      <c r="K1070" t="inlineStr">
        <is>
          <t>Advance Salary_M 预支薪水_M</t>
        </is>
      </c>
      <c r="L1070" s="6">
        <f>IF($B1065="","",E1070)</f>
        <v/>
      </c>
    </row>
    <row r="1071">
      <c r="A1071" s="10" t="inlineStr">
        <is>
          <t>Amount 2 金额2  (Amount + Credit Collection)</t>
        </is>
      </c>
      <c r="B1071" s="11">
        <f>IF($B1065="","",ROUND(B1069+B1070,2))</f>
        <v/>
      </c>
      <c r="D1071" t="inlineStr">
        <is>
          <t>Advance Salary_H 预支薪水_H</t>
        </is>
      </c>
      <c r="E1071" s="6">
        <f>IF($B1065="","",'Daily Sale entry '!M78)</f>
        <v/>
      </c>
      <c r="H1071" s="10" t="inlineStr">
        <is>
          <t>Amount 2 金额2  (Amount + Credit Collection)</t>
        </is>
      </c>
      <c r="I1071" s="11">
        <f>IF($B1065="","",ROUND(I1069+I1070,2))</f>
        <v/>
      </c>
      <c r="K1071" t="inlineStr">
        <is>
          <t>Advance Salary_H 预支薪水_H</t>
        </is>
      </c>
      <c r="L1071" s="6">
        <f>IF($B1065="","",E1071)</f>
        <v/>
      </c>
    </row>
    <row r="1072"/>
    <row r="1073">
      <c r="A1073" s="1" t="inlineStr">
        <is>
          <t>b/f petty cash 上日备用金结转</t>
        </is>
      </c>
      <c r="B1073" s="9">
        <f>IF($B1065="","",'Daily Sale entry '!F78)</f>
        <v/>
      </c>
      <c r="D1073" s="1" t="n"/>
      <c r="E1073" s="1" t="n"/>
      <c r="H1073" s="1" t="inlineStr">
        <is>
          <t>b/f petty cash 上日备用金结转</t>
        </is>
      </c>
      <c r="I1073" s="9">
        <f>IF($B1065="","",B1073)</f>
        <v/>
      </c>
      <c r="K1073" s="1" t="n"/>
      <c r="L1073" s="1" t="n"/>
    </row>
    <row r="1074">
      <c r="A1074" t="inlineStr">
        <is>
          <t>Total (A) 总计 (A)</t>
        </is>
      </c>
      <c r="B1074" s="6">
        <f>IF($B1065="","",ROUND(B1071+B1073,2))</f>
        <v/>
      </c>
      <c r="D1074" t="inlineStr">
        <is>
          <t>Total(B) 总计 (B)</t>
        </is>
      </c>
      <c r="E1074" s="6">
        <f>IF($B1065="","",ROUND(E1066+E1067+E1068+E1069+E1070+E1071,2))</f>
        <v/>
      </c>
      <c r="H1074" t="inlineStr">
        <is>
          <t>Total© 总计 (C)</t>
        </is>
      </c>
      <c r="I1074" s="6">
        <f>IF($B1065="","",ROUND(I1071+I1073,2))</f>
        <v/>
      </c>
      <c r="K1074" t="inlineStr">
        <is>
          <t>Total(D) 总计 (D)</t>
        </is>
      </c>
      <c r="L1074" s="6">
        <f>IF($B1065="","",ROUND(L1066+L1067+L1068+L1069+L1070+L1071,2))</f>
        <v/>
      </c>
    </row>
    <row r="1075">
      <c r="A1075" s="14" t="inlineStr">
        <is>
          <t>Total = Amount 2 + b/f petty cash  (金额2 + 上日备用金)</t>
        </is>
      </c>
      <c r="H1075" s="14" t="inlineStr">
        <is>
          <t>Total = Amount 2 + b/f petty cash  (金额2 + 上日备用金)</t>
        </is>
      </c>
    </row>
    <row r="1076">
      <c r="A1076" t="inlineStr">
        <is>
          <t>Different 差额</t>
        </is>
      </c>
      <c r="B1076" s="6">
        <f>IF($B1065="","",ROUND(B1074-E1074,2))</f>
        <v/>
      </c>
      <c r="D1076">
        <f>IF($B1065="","",IF(ABS(B1076)&gt;'Opening Balance'!$B$16,"ALERT 警报: Different over RM"&amp;'Opening Balance'!$B$16&amp;" 差额超过RM"&amp;'Opening Balance'!$B$16&amp;" - please check 请检查",IF(B1076=0,"Tied 平衡",IF(ABS(B1076)&lt;='Opening Balance'!$B$13,"Small difference 小额差额: adjusted on c/f petty cash 已调整备用金",IF(B1076&gt;0,"Short 短收: added to Misc Charges 已加入杂项费用","Over 多收: added to Cash Sales 已加入现金销售")))))</f>
        <v/>
      </c>
      <c r="H1076" t="inlineStr">
        <is>
          <t>Different 差额</t>
        </is>
      </c>
      <c r="I1076" s="6">
        <f>IF($B1065="","",ROUND(I1074-L1074,2))</f>
        <v/>
      </c>
    </row>
    <row r="1077"/>
    <row r="1078"/>
    <row r="1079">
      <c r="A1079" t="inlineStr">
        <is>
          <t>Date 日期</t>
        </is>
      </c>
      <c r="B1079" s="5">
        <f>IF('Daily Sale entry '!$A79="","",'Daily Sale entry '!$A79)</f>
        <v/>
      </c>
      <c r="H1079" t="inlineStr">
        <is>
          <t>After 调整后 (After)</t>
        </is>
      </c>
      <c r="I1079" s="5">
        <f>IF($B1079="","",B1079)</f>
        <v/>
      </c>
    </row>
    <row r="1080">
      <c r="A1080" t="inlineStr">
        <is>
          <t>Cash Sales 现金销售</t>
        </is>
      </c>
      <c r="B1080" s="6">
        <f>IF($B1079="","",'Daily Sale entry '!B79)</f>
        <v/>
      </c>
      <c r="D1080" t="inlineStr">
        <is>
          <t>c/f petty cash 今日备用金结转</t>
        </is>
      </c>
      <c r="E1080" s="6">
        <f>IF($B1079="","",'Daily Sale entry '!G79)</f>
        <v/>
      </c>
      <c r="H1080" t="inlineStr">
        <is>
          <t>Cash Sales 现金销售</t>
        </is>
      </c>
      <c r="I1080" s="6">
        <f>IF($B1079="","",IF(AND(ABS(B1090)&gt;'Opening Balance'!$B$13,B1090&lt;0),ROUND(B1080-B1090,2),B1080))</f>
        <v/>
      </c>
      <c r="K1080" t="inlineStr">
        <is>
          <t>c/f petty cash 今日备用金结转</t>
        </is>
      </c>
      <c r="L1080" s="6">
        <f>IF($B1079="","",IF(ABS(B1090)&lt;='Opening Balance'!$B$13,ROUND(E1080+B1090,2),E1080))</f>
        <v/>
      </c>
    </row>
    <row r="1081">
      <c r="A1081" t="inlineStr">
        <is>
          <t>Misc Charges 杂项费用</t>
        </is>
      </c>
      <c r="B1081" s="6">
        <f>IF($B1079="","",'Daily Sale entry '!C79)</f>
        <v/>
      </c>
      <c r="D1081" t="inlineStr">
        <is>
          <t>cash collection 现金收款</t>
        </is>
      </c>
      <c r="E1081" s="6">
        <f>IF($B1079="","",'Daily Sale entry '!H79)</f>
        <v/>
      </c>
      <c r="H1081" t="inlineStr">
        <is>
          <t>Misc Charges 杂项费用</t>
        </is>
      </c>
      <c r="I1081" s="6">
        <f>IF($B1079="","",IF(AND(ABS(B1090)&gt;'Opening Balance'!$B$13,B1090&gt;0),ROUND(B1081+B1090,2),B1081))</f>
        <v/>
      </c>
      <c r="K1081" t="inlineStr">
        <is>
          <t>cash collection 现金收款</t>
        </is>
      </c>
      <c r="L1081" s="6">
        <f>IF($B1079="","",E1081)</f>
        <v/>
      </c>
    </row>
    <row r="1082">
      <c r="A1082" s="1" t="inlineStr">
        <is>
          <t>Other Charges 其他费用</t>
        </is>
      </c>
      <c r="B1082" s="9">
        <f>IF($B1079="","",'Daily Sale entry '!D79)</f>
        <v/>
      </c>
      <c r="D1082" s="1" t="inlineStr">
        <is>
          <t>Cheque Collection 支票收款</t>
        </is>
      </c>
      <c r="E1082" s="9">
        <f>IF($B1079="","",'Daily Sale entry '!J79)</f>
        <v/>
      </c>
      <c r="H1082" s="1" t="inlineStr">
        <is>
          <t>Other Charges 其他费用</t>
        </is>
      </c>
      <c r="I1082" s="9">
        <f>IF($B1079="","",B1082)</f>
        <v/>
      </c>
      <c r="K1082" s="1" t="inlineStr">
        <is>
          <t>Cheque Collection 支票收款</t>
        </is>
      </c>
      <c r="L1082" s="9">
        <f>IF($B1079="","",E1082)</f>
        <v/>
      </c>
    </row>
    <row r="1083">
      <c r="A1083" s="10" t="inlineStr">
        <is>
          <t>Amount 金额  (Cash Sales - Misc - Other)</t>
        </is>
      </c>
      <c r="B1083" s="11">
        <f>IF($B1079="","",ROUND(B1080-B1081-B1082,2))</f>
        <v/>
      </c>
      <c r="D1083" s="12" t="inlineStr">
        <is>
          <t>TNG collection TNG收款</t>
        </is>
      </c>
      <c r="E1083" s="13">
        <f>IF($B1079="","",'Daily Sale entry '!K79)</f>
        <v/>
      </c>
      <c r="H1083" s="10" t="inlineStr">
        <is>
          <t>Amount 金额  (Cash Sales - Misc - Other)</t>
        </is>
      </c>
      <c r="I1083" s="11">
        <f>IF($B1079="","",ROUND(I1080-I1081-I1082,2))</f>
        <v/>
      </c>
      <c r="K1083" s="12" t="inlineStr">
        <is>
          <t>TNG collection TNG收款</t>
        </is>
      </c>
      <c r="L1083" s="13">
        <f>IF($B1079="","",E1083)</f>
        <v/>
      </c>
    </row>
    <row r="1084">
      <c r="A1084" t="inlineStr">
        <is>
          <t>Credit Collection 赊账收款</t>
        </is>
      </c>
      <c r="B1084" s="6">
        <f>IF($B1079="","",'Daily Sale entry '!E79)</f>
        <v/>
      </c>
      <c r="D1084" t="inlineStr">
        <is>
          <t>Advance Salary_M 预支薪水_M</t>
        </is>
      </c>
      <c r="E1084" s="6">
        <f>IF($B1079="","",'Daily Sale entry '!L79)</f>
        <v/>
      </c>
      <c r="H1084" t="inlineStr">
        <is>
          <t>Credit Collection 赊账收款</t>
        </is>
      </c>
      <c r="I1084" s="6">
        <f>IF($B1079="","",B1084)</f>
        <v/>
      </c>
      <c r="K1084" t="inlineStr">
        <is>
          <t>Advance Salary_M 预支薪水_M</t>
        </is>
      </c>
      <c r="L1084" s="6">
        <f>IF($B1079="","",E1084)</f>
        <v/>
      </c>
    </row>
    <row r="1085">
      <c r="A1085" s="10" t="inlineStr">
        <is>
          <t>Amount 2 金额2  (Amount + Credit Collection)</t>
        </is>
      </c>
      <c r="B1085" s="11">
        <f>IF($B1079="","",ROUND(B1083+B1084,2))</f>
        <v/>
      </c>
      <c r="D1085" t="inlineStr">
        <is>
          <t>Advance Salary_H 预支薪水_H</t>
        </is>
      </c>
      <c r="E1085" s="6">
        <f>IF($B1079="","",'Daily Sale entry '!M79)</f>
        <v/>
      </c>
      <c r="H1085" s="10" t="inlineStr">
        <is>
          <t>Amount 2 金额2  (Amount + Credit Collection)</t>
        </is>
      </c>
      <c r="I1085" s="11">
        <f>IF($B1079="","",ROUND(I1083+I1084,2))</f>
        <v/>
      </c>
      <c r="K1085" t="inlineStr">
        <is>
          <t>Advance Salary_H 预支薪水_H</t>
        </is>
      </c>
      <c r="L1085" s="6">
        <f>IF($B1079="","",E1085)</f>
        <v/>
      </c>
    </row>
    <row r="1086"/>
    <row r="1087">
      <c r="A1087" s="1" t="inlineStr">
        <is>
          <t>b/f petty cash 上日备用金结转</t>
        </is>
      </c>
      <c r="B1087" s="9">
        <f>IF($B1079="","",'Daily Sale entry '!F79)</f>
        <v/>
      </c>
      <c r="D1087" s="1" t="n"/>
      <c r="E1087" s="1" t="n"/>
      <c r="H1087" s="1" t="inlineStr">
        <is>
          <t>b/f petty cash 上日备用金结转</t>
        </is>
      </c>
      <c r="I1087" s="9">
        <f>IF($B1079="","",B1087)</f>
        <v/>
      </c>
      <c r="K1087" s="1" t="n"/>
      <c r="L1087" s="1" t="n"/>
    </row>
    <row r="1088">
      <c r="A1088" t="inlineStr">
        <is>
          <t>Total (A) 总计 (A)</t>
        </is>
      </c>
      <c r="B1088" s="6">
        <f>IF($B1079="","",ROUND(B1085+B1087,2))</f>
        <v/>
      </c>
      <c r="D1088" t="inlineStr">
        <is>
          <t>Total(B) 总计 (B)</t>
        </is>
      </c>
      <c r="E1088" s="6">
        <f>IF($B1079="","",ROUND(E1080+E1081+E1082+E1083+E1084+E1085,2))</f>
        <v/>
      </c>
      <c r="H1088" t="inlineStr">
        <is>
          <t>Total© 总计 (C)</t>
        </is>
      </c>
      <c r="I1088" s="6">
        <f>IF($B1079="","",ROUND(I1085+I1087,2))</f>
        <v/>
      </c>
      <c r="K1088" t="inlineStr">
        <is>
          <t>Total(D) 总计 (D)</t>
        </is>
      </c>
      <c r="L1088" s="6">
        <f>IF($B1079="","",ROUND(L1080+L1081+L1082+L1083+L1084+L1085,2))</f>
        <v/>
      </c>
    </row>
    <row r="1089">
      <c r="A1089" s="14" t="inlineStr">
        <is>
          <t>Total = Amount 2 + b/f petty cash  (金额2 + 上日备用金)</t>
        </is>
      </c>
      <c r="H1089" s="14" t="inlineStr">
        <is>
          <t>Total = Amount 2 + b/f petty cash  (金额2 + 上日备用金)</t>
        </is>
      </c>
    </row>
    <row r="1090">
      <c r="A1090" t="inlineStr">
        <is>
          <t>Different 差额</t>
        </is>
      </c>
      <c r="B1090" s="6">
        <f>IF($B1079="","",ROUND(B1088-E1088,2))</f>
        <v/>
      </c>
      <c r="D1090">
        <f>IF($B1079="","",IF(ABS(B1090)&gt;'Opening Balance'!$B$16,"ALERT 警报: Different over RM"&amp;'Opening Balance'!$B$16&amp;" 差额超过RM"&amp;'Opening Balance'!$B$16&amp;" - please check 请检查",IF(B1090=0,"Tied 平衡",IF(ABS(B1090)&lt;='Opening Balance'!$B$13,"Small difference 小额差额: adjusted on c/f petty cash 已调整备用金",IF(B1090&gt;0,"Short 短收: added to Misc Charges 已加入杂项费用","Over 多收: added to Cash Sales 已加入现金销售")))))</f>
        <v/>
      </c>
      <c r="H1090" t="inlineStr">
        <is>
          <t>Different 差额</t>
        </is>
      </c>
      <c r="I1090" s="6">
        <f>IF($B1079="","",ROUND(I1088-L1088,2))</f>
        <v/>
      </c>
    </row>
    <row r="1091"/>
    <row r="1092"/>
    <row r="1093">
      <c r="A1093" t="inlineStr">
        <is>
          <t>Date 日期</t>
        </is>
      </c>
      <c r="B1093" s="5">
        <f>IF('Daily Sale entry '!$A80="","",'Daily Sale entry '!$A80)</f>
        <v/>
      </c>
      <c r="H1093" t="inlineStr">
        <is>
          <t>After 调整后 (After)</t>
        </is>
      </c>
      <c r="I1093" s="5">
        <f>IF($B1093="","",B1093)</f>
        <v/>
      </c>
    </row>
    <row r="1094">
      <c r="A1094" t="inlineStr">
        <is>
          <t>Cash Sales 现金销售</t>
        </is>
      </c>
      <c r="B1094" s="6">
        <f>IF($B1093="","",'Daily Sale entry '!B80)</f>
        <v/>
      </c>
      <c r="D1094" t="inlineStr">
        <is>
          <t>c/f petty cash 今日备用金结转</t>
        </is>
      </c>
      <c r="E1094" s="6">
        <f>IF($B1093="","",'Daily Sale entry '!G80)</f>
        <v/>
      </c>
      <c r="H1094" t="inlineStr">
        <is>
          <t>Cash Sales 现金销售</t>
        </is>
      </c>
      <c r="I1094" s="6">
        <f>IF($B1093="","",IF(AND(ABS(B1104)&gt;'Opening Balance'!$B$13,B1104&lt;0),ROUND(B1094-B1104,2),B1094))</f>
        <v/>
      </c>
      <c r="K1094" t="inlineStr">
        <is>
          <t>c/f petty cash 今日备用金结转</t>
        </is>
      </c>
      <c r="L1094" s="6">
        <f>IF($B1093="","",IF(ABS(B1104)&lt;='Opening Balance'!$B$13,ROUND(E1094+B1104,2),E1094))</f>
        <v/>
      </c>
    </row>
    <row r="1095">
      <c r="A1095" t="inlineStr">
        <is>
          <t>Misc Charges 杂项费用</t>
        </is>
      </c>
      <c r="B1095" s="6">
        <f>IF($B1093="","",'Daily Sale entry '!C80)</f>
        <v/>
      </c>
      <c r="D1095" t="inlineStr">
        <is>
          <t>cash collection 现金收款</t>
        </is>
      </c>
      <c r="E1095" s="6">
        <f>IF($B1093="","",'Daily Sale entry '!H80)</f>
        <v/>
      </c>
      <c r="H1095" t="inlineStr">
        <is>
          <t>Misc Charges 杂项费用</t>
        </is>
      </c>
      <c r="I1095" s="6">
        <f>IF($B1093="","",IF(AND(ABS(B1104)&gt;'Opening Balance'!$B$13,B1104&gt;0),ROUND(B1095+B1104,2),B1095))</f>
        <v/>
      </c>
      <c r="K1095" t="inlineStr">
        <is>
          <t>cash collection 现金收款</t>
        </is>
      </c>
      <c r="L1095" s="6">
        <f>IF($B1093="","",E1095)</f>
        <v/>
      </c>
    </row>
    <row r="1096">
      <c r="A1096" s="1" t="inlineStr">
        <is>
          <t>Other Charges 其他费用</t>
        </is>
      </c>
      <c r="B1096" s="9">
        <f>IF($B1093="","",'Daily Sale entry '!D80)</f>
        <v/>
      </c>
      <c r="D1096" s="1" t="inlineStr">
        <is>
          <t>Cheque Collection 支票收款</t>
        </is>
      </c>
      <c r="E1096" s="9">
        <f>IF($B1093="","",'Daily Sale entry '!J80)</f>
        <v/>
      </c>
      <c r="H1096" s="1" t="inlineStr">
        <is>
          <t>Other Charges 其他费用</t>
        </is>
      </c>
      <c r="I1096" s="9">
        <f>IF($B1093="","",B1096)</f>
        <v/>
      </c>
      <c r="K1096" s="1" t="inlineStr">
        <is>
          <t>Cheque Collection 支票收款</t>
        </is>
      </c>
      <c r="L1096" s="9">
        <f>IF($B1093="","",E1096)</f>
        <v/>
      </c>
    </row>
    <row r="1097">
      <c r="A1097" s="10" t="inlineStr">
        <is>
          <t>Amount 金额  (Cash Sales - Misc - Other)</t>
        </is>
      </c>
      <c r="B1097" s="11">
        <f>IF($B1093="","",ROUND(B1094-B1095-B1096,2))</f>
        <v/>
      </c>
      <c r="D1097" s="12" t="inlineStr">
        <is>
          <t>TNG collection TNG收款</t>
        </is>
      </c>
      <c r="E1097" s="13">
        <f>IF($B1093="","",'Daily Sale entry '!K80)</f>
        <v/>
      </c>
      <c r="H1097" s="10" t="inlineStr">
        <is>
          <t>Amount 金额  (Cash Sales - Misc - Other)</t>
        </is>
      </c>
      <c r="I1097" s="11">
        <f>IF($B1093="","",ROUND(I1094-I1095-I1096,2))</f>
        <v/>
      </c>
      <c r="K1097" s="12" t="inlineStr">
        <is>
          <t>TNG collection TNG收款</t>
        </is>
      </c>
      <c r="L1097" s="13">
        <f>IF($B1093="","",E1097)</f>
        <v/>
      </c>
    </row>
    <row r="1098">
      <c r="A1098" t="inlineStr">
        <is>
          <t>Credit Collection 赊账收款</t>
        </is>
      </c>
      <c r="B1098" s="6">
        <f>IF($B1093="","",'Daily Sale entry '!E80)</f>
        <v/>
      </c>
      <c r="D1098" t="inlineStr">
        <is>
          <t>Advance Salary_M 预支薪水_M</t>
        </is>
      </c>
      <c r="E1098" s="6">
        <f>IF($B1093="","",'Daily Sale entry '!L80)</f>
        <v/>
      </c>
      <c r="H1098" t="inlineStr">
        <is>
          <t>Credit Collection 赊账收款</t>
        </is>
      </c>
      <c r="I1098" s="6">
        <f>IF($B1093="","",B1098)</f>
        <v/>
      </c>
      <c r="K1098" t="inlineStr">
        <is>
          <t>Advance Salary_M 预支薪水_M</t>
        </is>
      </c>
      <c r="L1098" s="6">
        <f>IF($B1093="","",E1098)</f>
        <v/>
      </c>
    </row>
    <row r="1099">
      <c r="A1099" s="10" t="inlineStr">
        <is>
          <t>Amount 2 金额2  (Amount + Credit Collection)</t>
        </is>
      </c>
      <c r="B1099" s="11">
        <f>IF($B1093="","",ROUND(B1097+B1098,2))</f>
        <v/>
      </c>
      <c r="D1099" t="inlineStr">
        <is>
          <t>Advance Salary_H 预支薪水_H</t>
        </is>
      </c>
      <c r="E1099" s="6">
        <f>IF($B1093="","",'Daily Sale entry '!M80)</f>
        <v/>
      </c>
      <c r="H1099" s="10" t="inlineStr">
        <is>
          <t>Amount 2 金额2  (Amount + Credit Collection)</t>
        </is>
      </c>
      <c r="I1099" s="11">
        <f>IF($B1093="","",ROUND(I1097+I1098,2))</f>
        <v/>
      </c>
      <c r="K1099" t="inlineStr">
        <is>
          <t>Advance Salary_H 预支薪水_H</t>
        </is>
      </c>
      <c r="L1099" s="6">
        <f>IF($B1093="","",E1099)</f>
        <v/>
      </c>
    </row>
    <row r="1100"/>
    <row r="1101">
      <c r="A1101" s="1" t="inlineStr">
        <is>
          <t>b/f petty cash 上日备用金结转</t>
        </is>
      </c>
      <c r="B1101" s="9">
        <f>IF($B1093="","",'Daily Sale entry '!F80)</f>
        <v/>
      </c>
      <c r="D1101" s="1" t="n"/>
      <c r="E1101" s="1" t="n"/>
      <c r="H1101" s="1" t="inlineStr">
        <is>
          <t>b/f petty cash 上日备用金结转</t>
        </is>
      </c>
      <c r="I1101" s="9">
        <f>IF($B1093="","",B1101)</f>
        <v/>
      </c>
      <c r="K1101" s="1" t="n"/>
      <c r="L1101" s="1" t="n"/>
    </row>
    <row r="1102">
      <c r="A1102" t="inlineStr">
        <is>
          <t>Total (A) 总计 (A)</t>
        </is>
      </c>
      <c r="B1102" s="6">
        <f>IF($B1093="","",ROUND(B1099+B1101,2))</f>
        <v/>
      </c>
      <c r="D1102" t="inlineStr">
        <is>
          <t>Total(B) 总计 (B)</t>
        </is>
      </c>
      <c r="E1102" s="6">
        <f>IF($B1093="","",ROUND(E1094+E1095+E1096+E1097+E1098+E1099,2))</f>
        <v/>
      </c>
      <c r="H1102" t="inlineStr">
        <is>
          <t>Total© 总计 (C)</t>
        </is>
      </c>
      <c r="I1102" s="6">
        <f>IF($B1093="","",ROUND(I1099+I1101,2))</f>
        <v/>
      </c>
      <c r="K1102" t="inlineStr">
        <is>
          <t>Total(D) 总计 (D)</t>
        </is>
      </c>
      <c r="L1102" s="6">
        <f>IF($B1093="","",ROUND(L1094+L1095+L1096+L1097+L1098+L1099,2))</f>
        <v/>
      </c>
    </row>
    <row r="1103">
      <c r="A1103" s="14" t="inlineStr">
        <is>
          <t>Total = Amount 2 + b/f petty cash  (金额2 + 上日备用金)</t>
        </is>
      </c>
      <c r="H1103" s="14" t="inlineStr">
        <is>
          <t>Total = Amount 2 + b/f petty cash  (金额2 + 上日备用金)</t>
        </is>
      </c>
    </row>
    <row r="1104">
      <c r="A1104" t="inlineStr">
        <is>
          <t>Different 差额</t>
        </is>
      </c>
      <c r="B1104" s="6">
        <f>IF($B1093="","",ROUND(B1102-E1102,2))</f>
        <v/>
      </c>
      <c r="D1104">
        <f>IF($B1093="","",IF(ABS(B1104)&gt;'Opening Balance'!$B$16,"ALERT 警报: Different over RM"&amp;'Opening Balance'!$B$16&amp;" 差额超过RM"&amp;'Opening Balance'!$B$16&amp;" - please check 请检查",IF(B1104=0,"Tied 平衡",IF(ABS(B1104)&lt;='Opening Balance'!$B$13,"Small difference 小额差额: adjusted on c/f petty cash 已调整备用金",IF(B1104&gt;0,"Short 短收: added to Misc Charges 已加入杂项费用","Over 多收: added to Cash Sales 已加入现金销售")))))</f>
        <v/>
      </c>
      <c r="H1104" t="inlineStr">
        <is>
          <t>Different 差额</t>
        </is>
      </c>
      <c r="I1104" s="6">
        <f>IF($B1093="","",ROUND(I1102-L1102,2))</f>
        <v/>
      </c>
    </row>
    <row r="1105"/>
    <row r="1106"/>
    <row r="1107">
      <c r="A1107" t="inlineStr">
        <is>
          <t>Date 日期</t>
        </is>
      </c>
      <c r="B1107" s="5">
        <f>IF('Daily Sale entry '!$A81="","",'Daily Sale entry '!$A81)</f>
        <v/>
      </c>
      <c r="H1107" t="inlineStr">
        <is>
          <t>After 调整后 (After)</t>
        </is>
      </c>
      <c r="I1107" s="5">
        <f>IF($B1107="","",B1107)</f>
        <v/>
      </c>
    </row>
    <row r="1108">
      <c r="A1108" t="inlineStr">
        <is>
          <t>Cash Sales 现金销售</t>
        </is>
      </c>
      <c r="B1108" s="6">
        <f>IF($B1107="","",'Daily Sale entry '!B81)</f>
        <v/>
      </c>
      <c r="D1108" t="inlineStr">
        <is>
          <t>c/f petty cash 今日备用金结转</t>
        </is>
      </c>
      <c r="E1108" s="6">
        <f>IF($B1107="","",'Daily Sale entry '!G81)</f>
        <v/>
      </c>
      <c r="H1108" t="inlineStr">
        <is>
          <t>Cash Sales 现金销售</t>
        </is>
      </c>
      <c r="I1108" s="6">
        <f>IF($B1107="","",IF(AND(ABS(B1118)&gt;'Opening Balance'!$B$13,B1118&lt;0),ROUND(B1108-B1118,2),B1108))</f>
        <v/>
      </c>
      <c r="K1108" t="inlineStr">
        <is>
          <t>c/f petty cash 今日备用金结转</t>
        </is>
      </c>
      <c r="L1108" s="6">
        <f>IF($B1107="","",IF(ABS(B1118)&lt;='Opening Balance'!$B$13,ROUND(E1108+B1118,2),E1108))</f>
        <v/>
      </c>
    </row>
    <row r="1109">
      <c r="A1109" t="inlineStr">
        <is>
          <t>Misc Charges 杂项费用</t>
        </is>
      </c>
      <c r="B1109" s="6">
        <f>IF($B1107="","",'Daily Sale entry '!C81)</f>
        <v/>
      </c>
      <c r="D1109" t="inlineStr">
        <is>
          <t>cash collection 现金收款</t>
        </is>
      </c>
      <c r="E1109" s="6">
        <f>IF($B1107="","",'Daily Sale entry '!H81)</f>
        <v/>
      </c>
      <c r="H1109" t="inlineStr">
        <is>
          <t>Misc Charges 杂项费用</t>
        </is>
      </c>
      <c r="I1109" s="6">
        <f>IF($B1107="","",IF(AND(ABS(B1118)&gt;'Opening Balance'!$B$13,B1118&gt;0),ROUND(B1109+B1118,2),B1109))</f>
        <v/>
      </c>
      <c r="K1109" t="inlineStr">
        <is>
          <t>cash collection 现金收款</t>
        </is>
      </c>
      <c r="L1109" s="6">
        <f>IF($B1107="","",E1109)</f>
        <v/>
      </c>
    </row>
    <row r="1110">
      <c r="A1110" s="1" t="inlineStr">
        <is>
          <t>Other Charges 其他费用</t>
        </is>
      </c>
      <c r="B1110" s="9">
        <f>IF($B1107="","",'Daily Sale entry '!D81)</f>
        <v/>
      </c>
      <c r="D1110" s="1" t="inlineStr">
        <is>
          <t>Cheque Collection 支票收款</t>
        </is>
      </c>
      <c r="E1110" s="9">
        <f>IF($B1107="","",'Daily Sale entry '!J81)</f>
        <v/>
      </c>
      <c r="H1110" s="1" t="inlineStr">
        <is>
          <t>Other Charges 其他费用</t>
        </is>
      </c>
      <c r="I1110" s="9">
        <f>IF($B1107="","",B1110)</f>
        <v/>
      </c>
      <c r="K1110" s="1" t="inlineStr">
        <is>
          <t>Cheque Collection 支票收款</t>
        </is>
      </c>
      <c r="L1110" s="9">
        <f>IF($B1107="","",E1110)</f>
        <v/>
      </c>
    </row>
    <row r="1111">
      <c r="A1111" s="10" t="inlineStr">
        <is>
          <t>Amount 金额  (Cash Sales - Misc - Other)</t>
        </is>
      </c>
      <c r="B1111" s="11">
        <f>IF($B1107="","",ROUND(B1108-B1109-B1110,2))</f>
        <v/>
      </c>
      <c r="D1111" s="12" t="inlineStr">
        <is>
          <t>TNG collection TNG收款</t>
        </is>
      </c>
      <c r="E1111" s="13">
        <f>IF($B1107="","",'Daily Sale entry '!K81)</f>
        <v/>
      </c>
      <c r="H1111" s="10" t="inlineStr">
        <is>
          <t>Amount 金额  (Cash Sales - Misc - Other)</t>
        </is>
      </c>
      <c r="I1111" s="11">
        <f>IF($B1107="","",ROUND(I1108-I1109-I1110,2))</f>
        <v/>
      </c>
      <c r="K1111" s="12" t="inlineStr">
        <is>
          <t>TNG collection TNG收款</t>
        </is>
      </c>
      <c r="L1111" s="13">
        <f>IF($B1107="","",E1111)</f>
        <v/>
      </c>
    </row>
    <row r="1112">
      <c r="A1112" t="inlineStr">
        <is>
          <t>Credit Collection 赊账收款</t>
        </is>
      </c>
      <c r="B1112" s="6">
        <f>IF($B1107="","",'Daily Sale entry '!E81)</f>
        <v/>
      </c>
      <c r="D1112" t="inlineStr">
        <is>
          <t>Advance Salary_M 预支薪水_M</t>
        </is>
      </c>
      <c r="E1112" s="6">
        <f>IF($B1107="","",'Daily Sale entry '!L81)</f>
        <v/>
      </c>
      <c r="H1112" t="inlineStr">
        <is>
          <t>Credit Collection 赊账收款</t>
        </is>
      </c>
      <c r="I1112" s="6">
        <f>IF($B1107="","",B1112)</f>
        <v/>
      </c>
      <c r="K1112" t="inlineStr">
        <is>
          <t>Advance Salary_M 预支薪水_M</t>
        </is>
      </c>
      <c r="L1112" s="6">
        <f>IF($B1107="","",E1112)</f>
        <v/>
      </c>
    </row>
    <row r="1113">
      <c r="A1113" s="10" t="inlineStr">
        <is>
          <t>Amount 2 金额2  (Amount + Credit Collection)</t>
        </is>
      </c>
      <c r="B1113" s="11">
        <f>IF($B1107="","",ROUND(B1111+B1112,2))</f>
        <v/>
      </c>
      <c r="D1113" t="inlineStr">
        <is>
          <t>Advance Salary_H 预支薪水_H</t>
        </is>
      </c>
      <c r="E1113" s="6">
        <f>IF($B1107="","",'Daily Sale entry '!M81)</f>
        <v/>
      </c>
      <c r="H1113" s="10" t="inlineStr">
        <is>
          <t>Amount 2 金额2  (Amount + Credit Collection)</t>
        </is>
      </c>
      <c r="I1113" s="11">
        <f>IF($B1107="","",ROUND(I1111+I1112,2))</f>
        <v/>
      </c>
      <c r="K1113" t="inlineStr">
        <is>
          <t>Advance Salary_H 预支薪水_H</t>
        </is>
      </c>
      <c r="L1113" s="6">
        <f>IF($B1107="","",E1113)</f>
        <v/>
      </c>
    </row>
    <row r="1114"/>
    <row r="1115">
      <c r="A1115" s="1" t="inlineStr">
        <is>
          <t>b/f petty cash 上日备用金结转</t>
        </is>
      </c>
      <c r="B1115" s="9">
        <f>IF($B1107="","",'Daily Sale entry '!F81)</f>
        <v/>
      </c>
      <c r="D1115" s="1" t="n"/>
      <c r="E1115" s="1" t="n"/>
      <c r="H1115" s="1" t="inlineStr">
        <is>
          <t>b/f petty cash 上日备用金结转</t>
        </is>
      </c>
      <c r="I1115" s="9">
        <f>IF($B1107="","",B1115)</f>
        <v/>
      </c>
      <c r="K1115" s="1" t="n"/>
      <c r="L1115" s="1" t="n"/>
    </row>
    <row r="1116">
      <c r="A1116" t="inlineStr">
        <is>
          <t>Total (A) 总计 (A)</t>
        </is>
      </c>
      <c r="B1116" s="6">
        <f>IF($B1107="","",ROUND(B1113+B1115,2))</f>
        <v/>
      </c>
      <c r="D1116" t="inlineStr">
        <is>
          <t>Total(B) 总计 (B)</t>
        </is>
      </c>
      <c r="E1116" s="6">
        <f>IF($B1107="","",ROUND(E1108+E1109+E1110+E1111+E1112+E1113,2))</f>
        <v/>
      </c>
      <c r="H1116" t="inlineStr">
        <is>
          <t>Total© 总计 (C)</t>
        </is>
      </c>
      <c r="I1116" s="6">
        <f>IF($B1107="","",ROUND(I1113+I1115,2))</f>
        <v/>
      </c>
      <c r="K1116" t="inlineStr">
        <is>
          <t>Total(D) 总计 (D)</t>
        </is>
      </c>
      <c r="L1116" s="6">
        <f>IF($B1107="","",ROUND(L1108+L1109+L1110+L1111+L1112+L1113,2))</f>
        <v/>
      </c>
    </row>
    <row r="1117">
      <c r="A1117" s="14" t="inlineStr">
        <is>
          <t>Total = Amount 2 + b/f petty cash  (金额2 + 上日备用金)</t>
        </is>
      </c>
      <c r="H1117" s="14" t="inlineStr">
        <is>
          <t>Total = Amount 2 + b/f petty cash  (金额2 + 上日备用金)</t>
        </is>
      </c>
    </row>
    <row r="1118">
      <c r="A1118" t="inlineStr">
        <is>
          <t>Different 差额</t>
        </is>
      </c>
      <c r="B1118" s="6">
        <f>IF($B1107="","",ROUND(B1116-E1116,2))</f>
        <v/>
      </c>
      <c r="D1118">
        <f>IF($B1107="","",IF(ABS(B1118)&gt;'Opening Balance'!$B$16,"ALERT 警报: Different over RM"&amp;'Opening Balance'!$B$16&amp;" 差额超过RM"&amp;'Opening Balance'!$B$16&amp;" - please check 请检查",IF(B1118=0,"Tied 平衡",IF(ABS(B1118)&lt;='Opening Balance'!$B$13,"Small difference 小额差额: adjusted on c/f petty cash 已调整备用金",IF(B1118&gt;0,"Short 短收: added to Misc Charges 已加入杂项费用","Over 多收: added to Cash Sales 已加入现金销售")))))</f>
        <v/>
      </c>
      <c r="H1118" t="inlineStr">
        <is>
          <t>Different 差额</t>
        </is>
      </c>
      <c r="I1118" s="6">
        <f>IF($B1107="","",ROUND(I1116-L1116,2))</f>
        <v/>
      </c>
    </row>
    <row r="1119"/>
    <row r="1120"/>
    <row r="1121">
      <c r="A1121" t="inlineStr">
        <is>
          <t>Date 日期</t>
        </is>
      </c>
      <c r="B1121" s="5">
        <f>IF('Daily Sale entry '!$A82="","",'Daily Sale entry '!$A82)</f>
        <v/>
      </c>
      <c r="H1121" t="inlineStr">
        <is>
          <t>After 调整后 (After)</t>
        </is>
      </c>
      <c r="I1121" s="5">
        <f>IF($B1121="","",B1121)</f>
        <v/>
      </c>
    </row>
    <row r="1122">
      <c r="A1122" t="inlineStr">
        <is>
          <t>Cash Sales 现金销售</t>
        </is>
      </c>
      <c r="B1122" s="6">
        <f>IF($B1121="","",'Daily Sale entry '!B82)</f>
        <v/>
      </c>
      <c r="D1122" t="inlineStr">
        <is>
          <t>c/f petty cash 今日备用金结转</t>
        </is>
      </c>
      <c r="E1122" s="6">
        <f>IF($B1121="","",'Daily Sale entry '!G82)</f>
        <v/>
      </c>
      <c r="H1122" t="inlineStr">
        <is>
          <t>Cash Sales 现金销售</t>
        </is>
      </c>
      <c r="I1122" s="6">
        <f>IF($B1121="","",IF(AND(ABS(B1132)&gt;'Opening Balance'!$B$13,B1132&lt;0),ROUND(B1122-B1132,2),B1122))</f>
        <v/>
      </c>
      <c r="K1122" t="inlineStr">
        <is>
          <t>c/f petty cash 今日备用金结转</t>
        </is>
      </c>
      <c r="L1122" s="6">
        <f>IF($B1121="","",IF(ABS(B1132)&lt;='Opening Balance'!$B$13,ROUND(E1122+B1132,2),E1122))</f>
        <v/>
      </c>
    </row>
    <row r="1123">
      <c r="A1123" t="inlineStr">
        <is>
          <t>Misc Charges 杂项费用</t>
        </is>
      </c>
      <c r="B1123" s="6">
        <f>IF($B1121="","",'Daily Sale entry '!C82)</f>
        <v/>
      </c>
      <c r="D1123" t="inlineStr">
        <is>
          <t>cash collection 现金收款</t>
        </is>
      </c>
      <c r="E1123" s="6">
        <f>IF($B1121="","",'Daily Sale entry '!H82)</f>
        <v/>
      </c>
      <c r="H1123" t="inlineStr">
        <is>
          <t>Misc Charges 杂项费用</t>
        </is>
      </c>
      <c r="I1123" s="6">
        <f>IF($B1121="","",IF(AND(ABS(B1132)&gt;'Opening Balance'!$B$13,B1132&gt;0),ROUND(B1123+B1132,2),B1123))</f>
        <v/>
      </c>
      <c r="K1123" t="inlineStr">
        <is>
          <t>cash collection 现金收款</t>
        </is>
      </c>
      <c r="L1123" s="6">
        <f>IF($B1121="","",E1123)</f>
        <v/>
      </c>
    </row>
    <row r="1124">
      <c r="A1124" s="1" t="inlineStr">
        <is>
          <t>Other Charges 其他费用</t>
        </is>
      </c>
      <c r="B1124" s="9">
        <f>IF($B1121="","",'Daily Sale entry '!D82)</f>
        <v/>
      </c>
      <c r="D1124" s="1" t="inlineStr">
        <is>
          <t>Cheque Collection 支票收款</t>
        </is>
      </c>
      <c r="E1124" s="9">
        <f>IF($B1121="","",'Daily Sale entry '!J82)</f>
        <v/>
      </c>
      <c r="H1124" s="1" t="inlineStr">
        <is>
          <t>Other Charges 其他费用</t>
        </is>
      </c>
      <c r="I1124" s="9">
        <f>IF($B1121="","",B1124)</f>
        <v/>
      </c>
      <c r="K1124" s="1" t="inlineStr">
        <is>
          <t>Cheque Collection 支票收款</t>
        </is>
      </c>
      <c r="L1124" s="9">
        <f>IF($B1121="","",E1124)</f>
        <v/>
      </c>
    </row>
    <row r="1125">
      <c r="A1125" s="10" t="inlineStr">
        <is>
          <t>Amount 金额  (Cash Sales - Misc - Other)</t>
        </is>
      </c>
      <c r="B1125" s="11">
        <f>IF($B1121="","",ROUND(B1122-B1123-B1124,2))</f>
        <v/>
      </c>
      <c r="D1125" s="12" t="inlineStr">
        <is>
          <t>TNG collection TNG收款</t>
        </is>
      </c>
      <c r="E1125" s="13">
        <f>IF($B1121="","",'Daily Sale entry '!K82)</f>
        <v/>
      </c>
      <c r="H1125" s="10" t="inlineStr">
        <is>
          <t>Amount 金额  (Cash Sales - Misc - Other)</t>
        </is>
      </c>
      <c r="I1125" s="11">
        <f>IF($B1121="","",ROUND(I1122-I1123-I1124,2))</f>
        <v/>
      </c>
      <c r="K1125" s="12" t="inlineStr">
        <is>
          <t>TNG collection TNG收款</t>
        </is>
      </c>
      <c r="L1125" s="13">
        <f>IF($B1121="","",E1125)</f>
        <v/>
      </c>
    </row>
    <row r="1126">
      <c r="A1126" t="inlineStr">
        <is>
          <t>Credit Collection 赊账收款</t>
        </is>
      </c>
      <c r="B1126" s="6">
        <f>IF($B1121="","",'Daily Sale entry '!E82)</f>
        <v/>
      </c>
      <c r="D1126" t="inlineStr">
        <is>
          <t>Advance Salary_M 预支薪水_M</t>
        </is>
      </c>
      <c r="E1126" s="6">
        <f>IF($B1121="","",'Daily Sale entry '!L82)</f>
        <v/>
      </c>
      <c r="H1126" t="inlineStr">
        <is>
          <t>Credit Collection 赊账收款</t>
        </is>
      </c>
      <c r="I1126" s="6">
        <f>IF($B1121="","",B1126)</f>
        <v/>
      </c>
      <c r="K1126" t="inlineStr">
        <is>
          <t>Advance Salary_M 预支薪水_M</t>
        </is>
      </c>
      <c r="L1126" s="6">
        <f>IF($B1121="","",E1126)</f>
        <v/>
      </c>
    </row>
    <row r="1127">
      <c r="A1127" s="10" t="inlineStr">
        <is>
          <t>Amount 2 金额2  (Amount + Credit Collection)</t>
        </is>
      </c>
      <c r="B1127" s="11">
        <f>IF($B1121="","",ROUND(B1125+B1126,2))</f>
        <v/>
      </c>
      <c r="D1127" t="inlineStr">
        <is>
          <t>Advance Salary_H 预支薪水_H</t>
        </is>
      </c>
      <c r="E1127" s="6">
        <f>IF($B1121="","",'Daily Sale entry '!M82)</f>
        <v/>
      </c>
      <c r="H1127" s="10" t="inlineStr">
        <is>
          <t>Amount 2 金额2  (Amount + Credit Collection)</t>
        </is>
      </c>
      <c r="I1127" s="11">
        <f>IF($B1121="","",ROUND(I1125+I1126,2))</f>
        <v/>
      </c>
      <c r="K1127" t="inlineStr">
        <is>
          <t>Advance Salary_H 预支薪水_H</t>
        </is>
      </c>
      <c r="L1127" s="6">
        <f>IF($B1121="","",E1127)</f>
        <v/>
      </c>
    </row>
    <row r="1128"/>
    <row r="1129">
      <c r="A1129" s="1" t="inlineStr">
        <is>
          <t>b/f petty cash 上日备用金结转</t>
        </is>
      </c>
      <c r="B1129" s="9">
        <f>IF($B1121="","",'Daily Sale entry '!F82)</f>
        <v/>
      </c>
      <c r="D1129" s="1" t="n"/>
      <c r="E1129" s="1" t="n"/>
      <c r="H1129" s="1" t="inlineStr">
        <is>
          <t>b/f petty cash 上日备用金结转</t>
        </is>
      </c>
      <c r="I1129" s="9">
        <f>IF($B1121="","",B1129)</f>
        <v/>
      </c>
      <c r="K1129" s="1" t="n"/>
      <c r="L1129" s="1" t="n"/>
    </row>
    <row r="1130">
      <c r="A1130" t="inlineStr">
        <is>
          <t>Total (A) 总计 (A)</t>
        </is>
      </c>
      <c r="B1130" s="6">
        <f>IF($B1121="","",ROUND(B1127+B1129,2))</f>
        <v/>
      </c>
      <c r="D1130" t="inlineStr">
        <is>
          <t>Total(B) 总计 (B)</t>
        </is>
      </c>
      <c r="E1130" s="6">
        <f>IF($B1121="","",ROUND(E1122+E1123+E1124+E1125+E1126+E1127,2))</f>
        <v/>
      </c>
      <c r="H1130" t="inlineStr">
        <is>
          <t>Total© 总计 (C)</t>
        </is>
      </c>
      <c r="I1130" s="6">
        <f>IF($B1121="","",ROUND(I1127+I1129,2))</f>
        <v/>
      </c>
      <c r="K1130" t="inlineStr">
        <is>
          <t>Total(D) 总计 (D)</t>
        </is>
      </c>
      <c r="L1130" s="6">
        <f>IF($B1121="","",ROUND(L1122+L1123+L1124+L1125+L1126+L1127,2))</f>
        <v/>
      </c>
    </row>
    <row r="1131">
      <c r="A1131" s="14" t="inlineStr">
        <is>
          <t>Total = Amount 2 + b/f petty cash  (金额2 + 上日备用金)</t>
        </is>
      </c>
      <c r="H1131" s="14" t="inlineStr">
        <is>
          <t>Total = Amount 2 + b/f petty cash  (金额2 + 上日备用金)</t>
        </is>
      </c>
    </row>
    <row r="1132">
      <c r="A1132" t="inlineStr">
        <is>
          <t>Different 差额</t>
        </is>
      </c>
      <c r="B1132" s="6">
        <f>IF($B1121="","",ROUND(B1130-E1130,2))</f>
        <v/>
      </c>
      <c r="D1132">
        <f>IF($B1121="","",IF(ABS(B1132)&gt;'Opening Balance'!$B$16,"ALERT 警报: Different over RM"&amp;'Opening Balance'!$B$16&amp;" 差额超过RM"&amp;'Opening Balance'!$B$16&amp;" - please check 请检查",IF(B1132=0,"Tied 平衡",IF(ABS(B1132)&lt;='Opening Balance'!$B$13,"Small difference 小额差额: adjusted on c/f petty cash 已调整备用金",IF(B1132&gt;0,"Short 短收: added to Misc Charges 已加入杂项费用","Over 多收: added to Cash Sales 已加入现金销售")))))</f>
        <v/>
      </c>
      <c r="H1132" t="inlineStr">
        <is>
          <t>Different 差额</t>
        </is>
      </c>
      <c r="I1132" s="6">
        <f>IF($B1121="","",ROUND(I1130-L1130,2))</f>
        <v/>
      </c>
    </row>
    <row r="1133"/>
    <row r="1134"/>
    <row r="1135">
      <c r="A1135" t="inlineStr">
        <is>
          <t>Date 日期</t>
        </is>
      </c>
      <c r="B1135" s="5">
        <f>IF('Daily Sale entry '!$A83="","",'Daily Sale entry '!$A83)</f>
        <v/>
      </c>
      <c r="H1135" t="inlineStr">
        <is>
          <t>After 调整后 (After)</t>
        </is>
      </c>
      <c r="I1135" s="5">
        <f>IF($B1135="","",B1135)</f>
        <v/>
      </c>
    </row>
    <row r="1136">
      <c r="A1136" t="inlineStr">
        <is>
          <t>Cash Sales 现金销售</t>
        </is>
      </c>
      <c r="B1136" s="6">
        <f>IF($B1135="","",'Daily Sale entry '!B83)</f>
        <v/>
      </c>
      <c r="D1136" t="inlineStr">
        <is>
          <t>c/f petty cash 今日备用金结转</t>
        </is>
      </c>
      <c r="E1136" s="6">
        <f>IF($B1135="","",'Daily Sale entry '!G83)</f>
        <v/>
      </c>
      <c r="H1136" t="inlineStr">
        <is>
          <t>Cash Sales 现金销售</t>
        </is>
      </c>
      <c r="I1136" s="6">
        <f>IF($B1135="","",IF(AND(ABS(B1146)&gt;'Opening Balance'!$B$13,B1146&lt;0),ROUND(B1136-B1146,2),B1136))</f>
        <v/>
      </c>
      <c r="K1136" t="inlineStr">
        <is>
          <t>c/f petty cash 今日备用金结转</t>
        </is>
      </c>
      <c r="L1136" s="6">
        <f>IF($B1135="","",IF(ABS(B1146)&lt;='Opening Balance'!$B$13,ROUND(E1136+B1146,2),E1136))</f>
        <v/>
      </c>
    </row>
    <row r="1137">
      <c r="A1137" t="inlineStr">
        <is>
          <t>Misc Charges 杂项费用</t>
        </is>
      </c>
      <c r="B1137" s="6">
        <f>IF($B1135="","",'Daily Sale entry '!C83)</f>
        <v/>
      </c>
      <c r="D1137" t="inlineStr">
        <is>
          <t>cash collection 现金收款</t>
        </is>
      </c>
      <c r="E1137" s="6">
        <f>IF($B1135="","",'Daily Sale entry '!H83)</f>
        <v/>
      </c>
      <c r="H1137" t="inlineStr">
        <is>
          <t>Misc Charges 杂项费用</t>
        </is>
      </c>
      <c r="I1137" s="6">
        <f>IF($B1135="","",IF(AND(ABS(B1146)&gt;'Opening Balance'!$B$13,B1146&gt;0),ROUND(B1137+B1146,2),B1137))</f>
        <v/>
      </c>
      <c r="K1137" t="inlineStr">
        <is>
          <t>cash collection 现金收款</t>
        </is>
      </c>
      <c r="L1137" s="6">
        <f>IF($B1135="","",E1137)</f>
        <v/>
      </c>
    </row>
    <row r="1138">
      <c r="A1138" s="1" t="inlineStr">
        <is>
          <t>Other Charges 其他费用</t>
        </is>
      </c>
      <c r="B1138" s="9">
        <f>IF($B1135="","",'Daily Sale entry '!D83)</f>
        <v/>
      </c>
      <c r="D1138" s="1" t="inlineStr">
        <is>
          <t>Cheque Collection 支票收款</t>
        </is>
      </c>
      <c r="E1138" s="9">
        <f>IF($B1135="","",'Daily Sale entry '!J83)</f>
        <v/>
      </c>
      <c r="H1138" s="1" t="inlineStr">
        <is>
          <t>Other Charges 其他费用</t>
        </is>
      </c>
      <c r="I1138" s="9">
        <f>IF($B1135="","",B1138)</f>
        <v/>
      </c>
      <c r="K1138" s="1" t="inlineStr">
        <is>
          <t>Cheque Collection 支票收款</t>
        </is>
      </c>
      <c r="L1138" s="9">
        <f>IF($B1135="","",E1138)</f>
        <v/>
      </c>
    </row>
    <row r="1139">
      <c r="A1139" s="10" t="inlineStr">
        <is>
          <t>Amount 金额  (Cash Sales - Misc - Other)</t>
        </is>
      </c>
      <c r="B1139" s="11">
        <f>IF($B1135="","",ROUND(B1136-B1137-B1138,2))</f>
        <v/>
      </c>
      <c r="D1139" s="12" t="inlineStr">
        <is>
          <t>TNG collection TNG收款</t>
        </is>
      </c>
      <c r="E1139" s="13">
        <f>IF($B1135="","",'Daily Sale entry '!K83)</f>
        <v/>
      </c>
      <c r="H1139" s="10" t="inlineStr">
        <is>
          <t>Amount 金额  (Cash Sales - Misc - Other)</t>
        </is>
      </c>
      <c r="I1139" s="11">
        <f>IF($B1135="","",ROUND(I1136-I1137-I1138,2))</f>
        <v/>
      </c>
      <c r="K1139" s="12" t="inlineStr">
        <is>
          <t>TNG collection TNG收款</t>
        </is>
      </c>
      <c r="L1139" s="13">
        <f>IF($B1135="","",E1139)</f>
        <v/>
      </c>
    </row>
    <row r="1140">
      <c r="A1140" t="inlineStr">
        <is>
          <t>Credit Collection 赊账收款</t>
        </is>
      </c>
      <c r="B1140" s="6">
        <f>IF($B1135="","",'Daily Sale entry '!E83)</f>
        <v/>
      </c>
      <c r="D1140" t="inlineStr">
        <is>
          <t>Advance Salary_M 预支薪水_M</t>
        </is>
      </c>
      <c r="E1140" s="6">
        <f>IF($B1135="","",'Daily Sale entry '!L83)</f>
        <v/>
      </c>
      <c r="H1140" t="inlineStr">
        <is>
          <t>Credit Collection 赊账收款</t>
        </is>
      </c>
      <c r="I1140" s="6">
        <f>IF($B1135="","",B1140)</f>
        <v/>
      </c>
      <c r="K1140" t="inlineStr">
        <is>
          <t>Advance Salary_M 预支薪水_M</t>
        </is>
      </c>
      <c r="L1140" s="6">
        <f>IF($B1135="","",E1140)</f>
        <v/>
      </c>
    </row>
    <row r="1141">
      <c r="A1141" s="10" t="inlineStr">
        <is>
          <t>Amount 2 金额2  (Amount + Credit Collection)</t>
        </is>
      </c>
      <c r="B1141" s="11">
        <f>IF($B1135="","",ROUND(B1139+B1140,2))</f>
        <v/>
      </c>
      <c r="D1141" t="inlineStr">
        <is>
          <t>Advance Salary_H 预支薪水_H</t>
        </is>
      </c>
      <c r="E1141" s="6">
        <f>IF($B1135="","",'Daily Sale entry '!M83)</f>
        <v/>
      </c>
      <c r="H1141" s="10" t="inlineStr">
        <is>
          <t>Amount 2 金额2  (Amount + Credit Collection)</t>
        </is>
      </c>
      <c r="I1141" s="11">
        <f>IF($B1135="","",ROUND(I1139+I1140,2))</f>
        <v/>
      </c>
      <c r="K1141" t="inlineStr">
        <is>
          <t>Advance Salary_H 预支薪水_H</t>
        </is>
      </c>
      <c r="L1141" s="6">
        <f>IF($B1135="","",E1141)</f>
        <v/>
      </c>
    </row>
    <row r="1142"/>
    <row r="1143">
      <c r="A1143" s="1" t="inlineStr">
        <is>
          <t>b/f petty cash 上日备用金结转</t>
        </is>
      </c>
      <c r="B1143" s="9">
        <f>IF($B1135="","",'Daily Sale entry '!F83)</f>
        <v/>
      </c>
      <c r="D1143" s="1" t="n"/>
      <c r="E1143" s="1" t="n"/>
      <c r="H1143" s="1" t="inlineStr">
        <is>
          <t>b/f petty cash 上日备用金结转</t>
        </is>
      </c>
      <c r="I1143" s="9">
        <f>IF($B1135="","",B1143)</f>
        <v/>
      </c>
      <c r="K1143" s="1" t="n"/>
      <c r="L1143" s="1" t="n"/>
    </row>
    <row r="1144">
      <c r="A1144" t="inlineStr">
        <is>
          <t>Total (A) 总计 (A)</t>
        </is>
      </c>
      <c r="B1144" s="6">
        <f>IF($B1135="","",ROUND(B1141+B1143,2))</f>
        <v/>
      </c>
      <c r="D1144" t="inlineStr">
        <is>
          <t>Total(B) 总计 (B)</t>
        </is>
      </c>
      <c r="E1144" s="6">
        <f>IF($B1135="","",ROUND(E1136+E1137+E1138+E1139+E1140+E1141,2))</f>
        <v/>
      </c>
      <c r="H1144" t="inlineStr">
        <is>
          <t>Total© 总计 (C)</t>
        </is>
      </c>
      <c r="I1144" s="6">
        <f>IF($B1135="","",ROUND(I1141+I1143,2))</f>
        <v/>
      </c>
      <c r="K1144" t="inlineStr">
        <is>
          <t>Total(D) 总计 (D)</t>
        </is>
      </c>
      <c r="L1144" s="6">
        <f>IF($B1135="","",ROUND(L1136+L1137+L1138+L1139+L1140+L1141,2))</f>
        <v/>
      </c>
    </row>
    <row r="1145">
      <c r="A1145" s="14" t="inlineStr">
        <is>
          <t>Total = Amount 2 + b/f petty cash  (金额2 + 上日备用金)</t>
        </is>
      </c>
      <c r="H1145" s="14" t="inlineStr">
        <is>
          <t>Total = Amount 2 + b/f petty cash  (金额2 + 上日备用金)</t>
        </is>
      </c>
    </row>
    <row r="1146">
      <c r="A1146" t="inlineStr">
        <is>
          <t>Different 差额</t>
        </is>
      </c>
      <c r="B1146" s="6">
        <f>IF($B1135="","",ROUND(B1144-E1144,2))</f>
        <v/>
      </c>
      <c r="D1146">
        <f>IF($B1135="","",IF(ABS(B1146)&gt;'Opening Balance'!$B$16,"ALERT 警报: Different over RM"&amp;'Opening Balance'!$B$16&amp;" 差额超过RM"&amp;'Opening Balance'!$B$16&amp;" - please check 请检查",IF(B1146=0,"Tied 平衡",IF(ABS(B1146)&lt;='Opening Balance'!$B$13,"Small difference 小额差额: adjusted on c/f petty cash 已调整备用金",IF(B1146&gt;0,"Short 短收: added to Misc Charges 已加入杂项费用","Over 多收: added to Cash Sales 已加入现金销售")))))</f>
        <v/>
      </c>
      <c r="H1146" t="inlineStr">
        <is>
          <t>Different 差额</t>
        </is>
      </c>
      <c r="I1146" s="6">
        <f>IF($B1135="","",ROUND(I1144-L1144,2))</f>
        <v/>
      </c>
    </row>
    <row r="1147"/>
    <row r="1148"/>
    <row r="1149">
      <c r="A1149" t="inlineStr">
        <is>
          <t>Date 日期</t>
        </is>
      </c>
      <c r="B1149" s="5">
        <f>IF('Daily Sale entry '!$A84="","",'Daily Sale entry '!$A84)</f>
        <v/>
      </c>
      <c r="H1149" t="inlineStr">
        <is>
          <t>After 调整后 (After)</t>
        </is>
      </c>
      <c r="I1149" s="5">
        <f>IF($B1149="","",B1149)</f>
        <v/>
      </c>
    </row>
    <row r="1150">
      <c r="A1150" t="inlineStr">
        <is>
          <t>Cash Sales 现金销售</t>
        </is>
      </c>
      <c r="B1150" s="6">
        <f>IF($B1149="","",'Daily Sale entry '!B84)</f>
        <v/>
      </c>
      <c r="D1150" t="inlineStr">
        <is>
          <t>c/f petty cash 今日备用金结转</t>
        </is>
      </c>
      <c r="E1150" s="6">
        <f>IF($B1149="","",'Daily Sale entry '!G84)</f>
        <v/>
      </c>
      <c r="H1150" t="inlineStr">
        <is>
          <t>Cash Sales 现金销售</t>
        </is>
      </c>
      <c r="I1150" s="6">
        <f>IF($B1149="","",IF(AND(ABS(B1160)&gt;'Opening Balance'!$B$13,B1160&lt;0),ROUND(B1150-B1160,2),B1150))</f>
        <v/>
      </c>
      <c r="K1150" t="inlineStr">
        <is>
          <t>c/f petty cash 今日备用金结转</t>
        </is>
      </c>
      <c r="L1150" s="6">
        <f>IF($B1149="","",IF(ABS(B1160)&lt;='Opening Balance'!$B$13,ROUND(E1150+B1160,2),E1150))</f>
        <v/>
      </c>
    </row>
    <row r="1151">
      <c r="A1151" t="inlineStr">
        <is>
          <t>Misc Charges 杂项费用</t>
        </is>
      </c>
      <c r="B1151" s="6">
        <f>IF($B1149="","",'Daily Sale entry '!C84)</f>
        <v/>
      </c>
      <c r="D1151" t="inlineStr">
        <is>
          <t>cash collection 现金收款</t>
        </is>
      </c>
      <c r="E1151" s="6">
        <f>IF($B1149="","",'Daily Sale entry '!H84)</f>
        <v/>
      </c>
      <c r="H1151" t="inlineStr">
        <is>
          <t>Misc Charges 杂项费用</t>
        </is>
      </c>
      <c r="I1151" s="6">
        <f>IF($B1149="","",IF(AND(ABS(B1160)&gt;'Opening Balance'!$B$13,B1160&gt;0),ROUND(B1151+B1160,2),B1151))</f>
        <v/>
      </c>
      <c r="K1151" t="inlineStr">
        <is>
          <t>cash collection 现金收款</t>
        </is>
      </c>
      <c r="L1151" s="6">
        <f>IF($B1149="","",E1151)</f>
        <v/>
      </c>
    </row>
    <row r="1152">
      <c r="A1152" s="1" t="inlineStr">
        <is>
          <t>Other Charges 其他费用</t>
        </is>
      </c>
      <c r="B1152" s="9">
        <f>IF($B1149="","",'Daily Sale entry '!D84)</f>
        <v/>
      </c>
      <c r="D1152" s="1" t="inlineStr">
        <is>
          <t>Cheque Collection 支票收款</t>
        </is>
      </c>
      <c r="E1152" s="9">
        <f>IF($B1149="","",'Daily Sale entry '!J84)</f>
        <v/>
      </c>
      <c r="H1152" s="1" t="inlineStr">
        <is>
          <t>Other Charges 其他费用</t>
        </is>
      </c>
      <c r="I1152" s="9">
        <f>IF($B1149="","",B1152)</f>
        <v/>
      </c>
      <c r="K1152" s="1" t="inlineStr">
        <is>
          <t>Cheque Collection 支票收款</t>
        </is>
      </c>
      <c r="L1152" s="9">
        <f>IF($B1149="","",E1152)</f>
        <v/>
      </c>
    </row>
    <row r="1153">
      <c r="A1153" s="10" t="inlineStr">
        <is>
          <t>Amount 金额  (Cash Sales - Misc - Other)</t>
        </is>
      </c>
      <c r="B1153" s="11">
        <f>IF($B1149="","",ROUND(B1150-B1151-B1152,2))</f>
        <v/>
      </c>
      <c r="D1153" s="12" t="inlineStr">
        <is>
          <t>TNG collection TNG收款</t>
        </is>
      </c>
      <c r="E1153" s="13">
        <f>IF($B1149="","",'Daily Sale entry '!K84)</f>
        <v/>
      </c>
      <c r="H1153" s="10" t="inlineStr">
        <is>
          <t>Amount 金额  (Cash Sales - Misc - Other)</t>
        </is>
      </c>
      <c r="I1153" s="11">
        <f>IF($B1149="","",ROUND(I1150-I1151-I1152,2))</f>
        <v/>
      </c>
      <c r="K1153" s="12" t="inlineStr">
        <is>
          <t>TNG collection TNG收款</t>
        </is>
      </c>
      <c r="L1153" s="13">
        <f>IF($B1149="","",E1153)</f>
        <v/>
      </c>
    </row>
    <row r="1154">
      <c r="A1154" t="inlineStr">
        <is>
          <t>Credit Collection 赊账收款</t>
        </is>
      </c>
      <c r="B1154" s="6">
        <f>IF($B1149="","",'Daily Sale entry '!E84)</f>
        <v/>
      </c>
      <c r="D1154" t="inlineStr">
        <is>
          <t>Advance Salary_M 预支薪水_M</t>
        </is>
      </c>
      <c r="E1154" s="6">
        <f>IF($B1149="","",'Daily Sale entry '!L84)</f>
        <v/>
      </c>
      <c r="H1154" t="inlineStr">
        <is>
          <t>Credit Collection 赊账收款</t>
        </is>
      </c>
      <c r="I1154" s="6">
        <f>IF($B1149="","",B1154)</f>
        <v/>
      </c>
      <c r="K1154" t="inlineStr">
        <is>
          <t>Advance Salary_M 预支薪水_M</t>
        </is>
      </c>
      <c r="L1154" s="6">
        <f>IF($B1149="","",E1154)</f>
        <v/>
      </c>
    </row>
    <row r="1155">
      <c r="A1155" s="10" t="inlineStr">
        <is>
          <t>Amount 2 金额2  (Amount + Credit Collection)</t>
        </is>
      </c>
      <c r="B1155" s="11">
        <f>IF($B1149="","",ROUND(B1153+B1154,2))</f>
        <v/>
      </c>
      <c r="D1155" t="inlineStr">
        <is>
          <t>Advance Salary_H 预支薪水_H</t>
        </is>
      </c>
      <c r="E1155" s="6">
        <f>IF($B1149="","",'Daily Sale entry '!M84)</f>
        <v/>
      </c>
      <c r="H1155" s="10" t="inlineStr">
        <is>
          <t>Amount 2 金额2  (Amount + Credit Collection)</t>
        </is>
      </c>
      <c r="I1155" s="11">
        <f>IF($B1149="","",ROUND(I1153+I1154,2))</f>
        <v/>
      </c>
      <c r="K1155" t="inlineStr">
        <is>
          <t>Advance Salary_H 预支薪水_H</t>
        </is>
      </c>
      <c r="L1155" s="6">
        <f>IF($B1149="","",E1155)</f>
        <v/>
      </c>
    </row>
    <row r="1156"/>
    <row r="1157">
      <c r="A1157" s="1" t="inlineStr">
        <is>
          <t>b/f petty cash 上日备用金结转</t>
        </is>
      </c>
      <c r="B1157" s="9">
        <f>IF($B1149="","",'Daily Sale entry '!F84)</f>
        <v/>
      </c>
      <c r="D1157" s="1" t="n"/>
      <c r="E1157" s="1" t="n"/>
      <c r="H1157" s="1" t="inlineStr">
        <is>
          <t>b/f petty cash 上日备用金结转</t>
        </is>
      </c>
      <c r="I1157" s="9">
        <f>IF($B1149="","",B1157)</f>
        <v/>
      </c>
      <c r="K1157" s="1" t="n"/>
      <c r="L1157" s="1" t="n"/>
    </row>
    <row r="1158">
      <c r="A1158" t="inlineStr">
        <is>
          <t>Total (A) 总计 (A)</t>
        </is>
      </c>
      <c r="B1158" s="6">
        <f>IF($B1149="","",ROUND(B1155+B1157,2))</f>
        <v/>
      </c>
      <c r="D1158" t="inlineStr">
        <is>
          <t>Total(B) 总计 (B)</t>
        </is>
      </c>
      <c r="E1158" s="6">
        <f>IF($B1149="","",ROUND(E1150+E1151+E1152+E1153+E1154+E1155,2))</f>
        <v/>
      </c>
      <c r="H1158" t="inlineStr">
        <is>
          <t>Total© 总计 (C)</t>
        </is>
      </c>
      <c r="I1158" s="6">
        <f>IF($B1149="","",ROUND(I1155+I1157,2))</f>
        <v/>
      </c>
      <c r="K1158" t="inlineStr">
        <is>
          <t>Total(D) 总计 (D)</t>
        </is>
      </c>
      <c r="L1158" s="6">
        <f>IF($B1149="","",ROUND(L1150+L1151+L1152+L1153+L1154+L1155,2))</f>
        <v/>
      </c>
    </row>
    <row r="1159">
      <c r="A1159" s="14" t="inlineStr">
        <is>
          <t>Total = Amount 2 + b/f petty cash  (金额2 + 上日备用金)</t>
        </is>
      </c>
      <c r="H1159" s="14" t="inlineStr">
        <is>
          <t>Total = Amount 2 + b/f petty cash  (金额2 + 上日备用金)</t>
        </is>
      </c>
    </row>
    <row r="1160">
      <c r="A1160" t="inlineStr">
        <is>
          <t>Different 差额</t>
        </is>
      </c>
      <c r="B1160" s="6">
        <f>IF($B1149="","",ROUND(B1158-E1158,2))</f>
        <v/>
      </c>
      <c r="D1160">
        <f>IF($B1149="","",IF(ABS(B1160)&gt;'Opening Balance'!$B$16,"ALERT 警报: Different over RM"&amp;'Opening Balance'!$B$16&amp;" 差额超过RM"&amp;'Opening Balance'!$B$16&amp;" - please check 请检查",IF(B1160=0,"Tied 平衡",IF(ABS(B1160)&lt;='Opening Balance'!$B$13,"Small difference 小额差额: adjusted on c/f petty cash 已调整备用金",IF(B1160&gt;0,"Short 短收: added to Misc Charges 已加入杂项费用","Over 多收: added to Cash Sales 已加入现金销售")))))</f>
        <v/>
      </c>
      <c r="H1160" t="inlineStr">
        <is>
          <t>Different 差额</t>
        </is>
      </c>
      <c r="I1160" s="6">
        <f>IF($B1149="","",ROUND(I1158-L1158,2))</f>
        <v/>
      </c>
    </row>
    <row r="1161"/>
    <row r="1162"/>
    <row r="1163">
      <c r="A1163" t="inlineStr">
        <is>
          <t>Date 日期</t>
        </is>
      </c>
      <c r="B1163" s="5">
        <f>IF('Daily Sale entry '!$A85="","",'Daily Sale entry '!$A85)</f>
        <v/>
      </c>
      <c r="H1163" t="inlineStr">
        <is>
          <t>After 调整后 (After)</t>
        </is>
      </c>
      <c r="I1163" s="5">
        <f>IF($B1163="","",B1163)</f>
        <v/>
      </c>
    </row>
    <row r="1164">
      <c r="A1164" t="inlineStr">
        <is>
          <t>Cash Sales 现金销售</t>
        </is>
      </c>
      <c r="B1164" s="6">
        <f>IF($B1163="","",'Daily Sale entry '!B85)</f>
        <v/>
      </c>
      <c r="D1164" t="inlineStr">
        <is>
          <t>c/f petty cash 今日备用金结转</t>
        </is>
      </c>
      <c r="E1164" s="6">
        <f>IF($B1163="","",'Daily Sale entry '!G85)</f>
        <v/>
      </c>
      <c r="H1164" t="inlineStr">
        <is>
          <t>Cash Sales 现金销售</t>
        </is>
      </c>
      <c r="I1164" s="6">
        <f>IF($B1163="","",IF(AND(ABS(B1174)&gt;'Opening Balance'!$B$13,B1174&lt;0),ROUND(B1164-B1174,2),B1164))</f>
        <v/>
      </c>
      <c r="K1164" t="inlineStr">
        <is>
          <t>c/f petty cash 今日备用金结转</t>
        </is>
      </c>
      <c r="L1164" s="6">
        <f>IF($B1163="","",IF(ABS(B1174)&lt;='Opening Balance'!$B$13,ROUND(E1164+B1174,2),E1164))</f>
        <v/>
      </c>
    </row>
    <row r="1165">
      <c r="A1165" t="inlineStr">
        <is>
          <t>Misc Charges 杂项费用</t>
        </is>
      </c>
      <c r="B1165" s="6">
        <f>IF($B1163="","",'Daily Sale entry '!C85)</f>
        <v/>
      </c>
      <c r="D1165" t="inlineStr">
        <is>
          <t>cash collection 现金收款</t>
        </is>
      </c>
      <c r="E1165" s="6">
        <f>IF($B1163="","",'Daily Sale entry '!H85)</f>
        <v/>
      </c>
      <c r="H1165" t="inlineStr">
        <is>
          <t>Misc Charges 杂项费用</t>
        </is>
      </c>
      <c r="I1165" s="6">
        <f>IF($B1163="","",IF(AND(ABS(B1174)&gt;'Opening Balance'!$B$13,B1174&gt;0),ROUND(B1165+B1174,2),B1165))</f>
        <v/>
      </c>
      <c r="K1165" t="inlineStr">
        <is>
          <t>cash collection 现金收款</t>
        </is>
      </c>
      <c r="L1165" s="6">
        <f>IF($B1163="","",E1165)</f>
        <v/>
      </c>
    </row>
    <row r="1166">
      <c r="A1166" s="1" t="inlineStr">
        <is>
          <t>Other Charges 其他费用</t>
        </is>
      </c>
      <c r="B1166" s="9">
        <f>IF($B1163="","",'Daily Sale entry '!D85)</f>
        <v/>
      </c>
      <c r="D1166" s="1" t="inlineStr">
        <is>
          <t>Cheque Collection 支票收款</t>
        </is>
      </c>
      <c r="E1166" s="9">
        <f>IF($B1163="","",'Daily Sale entry '!J85)</f>
        <v/>
      </c>
      <c r="H1166" s="1" t="inlineStr">
        <is>
          <t>Other Charges 其他费用</t>
        </is>
      </c>
      <c r="I1166" s="9">
        <f>IF($B1163="","",B1166)</f>
        <v/>
      </c>
      <c r="K1166" s="1" t="inlineStr">
        <is>
          <t>Cheque Collection 支票收款</t>
        </is>
      </c>
      <c r="L1166" s="9">
        <f>IF($B1163="","",E1166)</f>
        <v/>
      </c>
    </row>
    <row r="1167">
      <c r="A1167" s="10" t="inlineStr">
        <is>
          <t>Amount 金额  (Cash Sales - Misc - Other)</t>
        </is>
      </c>
      <c r="B1167" s="11">
        <f>IF($B1163="","",ROUND(B1164-B1165-B1166,2))</f>
        <v/>
      </c>
      <c r="D1167" s="12" t="inlineStr">
        <is>
          <t>TNG collection TNG收款</t>
        </is>
      </c>
      <c r="E1167" s="13">
        <f>IF($B1163="","",'Daily Sale entry '!K85)</f>
        <v/>
      </c>
      <c r="H1167" s="10" t="inlineStr">
        <is>
          <t>Amount 金额  (Cash Sales - Misc - Other)</t>
        </is>
      </c>
      <c r="I1167" s="11">
        <f>IF($B1163="","",ROUND(I1164-I1165-I1166,2))</f>
        <v/>
      </c>
      <c r="K1167" s="12" t="inlineStr">
        <is>
          <t>TNG collection TNG收款</t>
        </is>
      </c>
      <c r="L1167" s="13">
        <f>IF($B1163="","",E1167)</f>
        <v/>
      </c>
    </row>
    <row r="1168">
      <c r="A1168" t="inlineStr">
        <is>
          <t>Credit Collection 赊账收款</t>
        </is>
      </c>
      <c r="B1168" s="6">
        <f>IF($B1163="","",'Daily Sale entry '!E85)</f>
        <v/>
      </c>
      <c r="D1168" t="inlineStr">
        <is>
          <t>Advance Salary_M 预支薪水_M</t>
        </is>
      </c>
      <c r="E1168" s="6">
        <f>IF($B1163="","",'Daily Sale entry '!L85)</f>
        <v/>
      </c>
      <c r="H1168" t="inlineStr">
        <is>
          <t>Credit Collection 赊账收款</t>
        </is>
      </c>
      <c r="I1168" s="6">
        <f>IF($B1163="","",B1168)</f>
        <v/>
      </c>
      <c r="K1168" t="inlineStr">
        <is>
          <t>Advance Salary_M 预支薪水_M</t>
        </is>
      </c>
      <c r="L1168" s="6">
        <f>IF($B1163="","",E1168)</f>
        <v/>
      </c>
    </row>
    <row r="1169">
      <c r="A1169" s="10" t="inlineStr">
        <is>
          <t>Amount 2 金额2  (Amount + Credit Collection)</t>
        </is>
      </c>
      <c r="B1169" s="11">
        <f>IF($B1163="","",ROUND(B1167+B1168,2))</f>
        <v/>
      </c>
      <c r="D1169" t="inlineStr">
        <is>
          <t>Advance Salary_H 预支薪水_H</t>
        </is>
      </c>
      <c r="E1169" s="6">
        <f>IF($B1163="","",'Daily Sale entry '!M85)</f>
        <v/>
      </c>
      <c r="H1169" s="10" t="inlineStr">
        <is>
          <t>Amount 2 金额2  (Amount + Credit Collection)</t>
        </is>
      </c>
      <c r="I1169" s="11">
        <f>IF($B1163="","",ROUND(I1167+I1168,2))</f>
        <v/>
      </c>
      <c r="K1169" t="inlineStr">
        <is>
          <t>Advance Salary_H 预支薪水_H</t>
        </is>
      </c>
      <c r="L1169" s="6">
        <f>IF($B1163="","",E1169)</f>
        <v/>
      </c>
    </row>
    <row r="1170"/>
    <row r="1171">
      <c r="A1171" s="1" t="inlineStr">
        <is>
          <t>b/f petty cash 上日备用金结转</t>
        </is>
      </c>
      <c r="B1171" s="9">
        <f>IF($B1163="","",'Daily Sale entry '!F85)</f>
        <v/>
      </c>
      <c r="D1171" s="1" t="n"/>
      <c r="E1171" s="1" t="n"/>
      <c r="H1171" s="1" t="inlineStr">
        <is>
          <t>b/f petty cash 上日备用金结转</t>
        </is>
      </c>
      <c r="I1171" s="9">
        <f>IF($B1163="","",B1171)</f>
        <v/>
      </c>
      <c r="K1171" s="1" t="n"/>
      <c r="L1171" s="1" t="n"/>
    </row>
    <row r="1172">
      <c r="A1172" t="inlineStr">
        <is>
          <t>Total (A) 总计 (A)</t>
        </is>
      </c>
      <c r="B1172" s="6">
        <f>IF($B1163="","",ROUND(B1169+B1171,2))</f>
        <v/>
      </c>
      <c r="D1172" t="inlineStr">
        <is>
          <t>Total(B) 总计 (B)</t>
        </is>
      </c>
      <c r="E1172" s="6">
        <f>IF($B1163="","",ROUND(E1164+E1165+E1166+E1167+E1168+E1169,2))</f>
        <v/>
      </c>
      <c r="H1172" t="inlineStr">
        <is>
          <t>Total© 总计 (C)</t>
        </is>
      </c>
      <c r="I1172" s="6">
        <f>IF($B1163="","",ROUND(I1169+I1171,2))</f>
        <v/>
      </c>
      <c r="K1172" t="inlineStr">
        <is>
          <t>Total(D) 总计 (D)</t>
        </is>
      </c>
      <c r="L1172" s="6">
        <f>IF($B1163="","",ROUND(L1164+L1165+L1166+L1167+L1168+L1169,2))</f>
        <v/>
      </c>
    </row>
    <row r="1173">
      <c r="A1173" s="14" t="inlineStr">
        <is>
          <t>Total = Amount 2 + b/f petty cash  (金额2 + 上日备用金)</t>
        </is>
      </c>
      <c r="H1173" s="14" t="inlineStr">
        <is>
          <t>Total = Amount 2 + b/f petty cash  (金额2 + 上日备用金)</t>
        </is>
      </c>
    </row>
    <row r="1174">
      <c r="A1174" t="inlineStr">
        <is>
          <t>Different 差额</t>
        </is>
      </c>
      <c r="B1174" s="6">
        <f>IF($B1163="","",ROUND(B1172-E1172,2))</f>
        <v/>
      </c>
      <c r="D1174">
        <f>IF($B1163="","",IF(ABS(B1174)&gt;'Opening Balance'!$B$16,"ALERT 警报: Different over RM"&amp;'Opening Balance'!$B$16&amp;" 差额超过RM"&amp;'Opening Balance'!$B$16&amp;" - please check 请检查",IF(B1174=0,"Tied 平衡",IF(ABS(B1174)&lt;='Opening Balance'!$B$13,"Small difference 小额差额: adjusted on c/f petty cash 已调整备用金",IF(B1174&gt;0,"Short 短收: added to Misc Charges 已加入杂项费用","Over 多收: added to Cash Sales 已加入现金销售")))))</f>
        <v/>
      </c>
      <c r="H1174" t="inlineStr">
        <is>
          <t>Different 差额</t>
        </is>
      </c>
      <c r="I1174" s="6">
        <f>IF($B1163="","",ROUND(I1172-L1172,2))</f>
        <v/>
      </c>
    </row>
    <row r="1175"/>
    <row r="1176"/>
    <row r="1177">
      <c r="A1177" t="inlineStr">
        <is>
          <t>Date 日期</t>
        </is>
      </c>
      <c r="B1177" s="5">
        <f>IF('Daily Sale entry '!$A86="","",'Daily Sale entry '!$A86)</f>
        <v/>
      </c>
      <c r="H1177" t="inlineStr">
        <is>
          <t>After 调整后 (After)</t>
        </is>
      </c>
      <c r="I1177" s="5">
        <f>IF($B1177="","",B1177)</f>
        <v/>
      </c>
    </row>
    <row r="1178">
      <c r="A1178" t="inlineStr">
        <is>
          <t>Cash Sales 现金销售</t>
        </is>
      </c>
      <c r="B1178" s="6">
        <f>IF($B1177="","",'Daily Sale entry '!B86)</f>
        <v/>
      </c>
      <c r="D1178" t="inlineStr">
        <is>
          <t>c/f petty cash 今日备用金结转</t>
        </is>
      </c>
      <c r="E1178" s="6">
        <f>IF($B1177="","",'Daily Sale entry '!G86)</f>
        <v/>
      </c>
      <c r="H1178" t="inlineStr">
        <is>
          <t>Cash Sales 现金销售</t>
        </is>
      </c>
      <c r="I1178" s="6">
        <f>IF($B1177="","",IF(AND(ABS(B1188)&gt;'Opening Balance'!$B$13,B1188&lt;0),ROUND(B1178-B1188,2),B1178))</f>
        <v/>
      </c>
      <c r="K1178" t="inlineStr">
        <is>
          <t>c/f petty cash 今日备用金结转</t>
        </is>
      </c>
      <c r="L1178" s="6">
        <f>IF($B1177="","",IF(ABS(B1188)&lt;='Opening Balance'!$B$13,ROUND(E1178+B1188,2),E1178))</f>
        <v/>
      </c>
    </row>
    <row r="1179">
      <c r="A1179" t="inlineStr">
        <is>
          <t>Misc Charges 杂项费用</t>
        </is>
      </c>
      <c r="B1179" s="6">
        <f>IF($B1177="","",'Daily Sale entry '!C86)</f>
        <v/>
      </c>
      <c r="D1179" t="inlineStr">
        <is>
          <t>cash collection 现金收款</t>
        </is>
      </c>
      <c r="E1179" s="6">
        <f>IF($B1177="","",'Daily Sale entry '!H86)</f>
        <v/>
      </c>
      <c r="H1179" t="inlineStr">
        <is>
          <t>Misc Charges 杂项费用</t>
        </is>
      </c>
      <c r="I1179" s="6">
        <f>IF($B1177="","",IF(AND(ABS(B1188)&gt;'Opening Balance'!$B$13,B1188&gt;0),ROUND(B1179+B1188,2),B1179))</f>
        <v/>
      </c>
      <c r="K1179" t="inlineStr">
        <is>
          <t>cash collection 现金收款</t>
        </is>
      </c>
      <c r="L1179" s="6">
        <f>IF($B1177="","",E1179)</f>
        <v/>
      </c>
    </row>
    <row r="1180">
      <c r="A1180" s="1" t="inlineStr">
        <is>
          <t>Other Charges 其他费用</t>
        </is>
      </c>
      <c r="B1180" s="9">
        <f>IF($B1177="","",'Daily Sale entry '!D86)</f>
        <v/>
      </c>
      <c r="D1180" s="1" t="inlineStr">
        <is>
          <t>Cheque Collection 支票收款</t>
        </is>
      </c>
      <c r="E1180" s="9">
        <f>IF($B1177="","",'Daily Sale entry '!J86)</f>
        <v/>
      </c>
      <c r="H1180" s="1" t="inlineStr">
        <is>
          <t>Other Charges 其他费用</t>
        </is>
      </c>
      <c r="I1180" s="9">
        <f>IF($B1177="","",B1180)</f>
        <v/>
      </c>
      <c r="K1180" s="1" t="inlineStr">
        <is>
          <t>Cheque Collection 支票收款</t>
        </is>
      </c>
      <c r="L1180" s="9">
        <f>IF($B1177="","",E1180)</f>
        <v/>
      </c>
    </row>
    <row r="1181">
      <c r="A1181" s="10" t="inlineStr">
        <is>
          <t>Amount 金额  (Cash Sales - Misc - Other)</t>
        </is>
      </c>
      <c r="B1181" s="11">
        <f>IF($B1177="","",ROUND(B1178-B1179-B1180,2))</f>
        <v/>
      </c>
      <c r="D1181" s="12" t="inlineStr">
        <is>
          <t>TNG collection TNG收款</t>
        </is>
      </c>
      <c r="E1181" s="13">
        <f>IF($B1177="","",'Daily Sale entry '!K86)</f>
        <v/>
      </c>
      <c r="H1181" s="10" t="inlineStr">
        <is>
          <t>Amount 金额  (Cash Sales - Misc - Other)</t>
        </is>
      </c>
      <c r="I1181" s="11">
        <f>IF($B1177="","",ROUND(I1178-I1179-I1180,2))</f>
        <v/>
      </c>
      <c r="K1181" s="12" t="inlineStr">
        <is>
          <t>TNG collection TNG收款</t>
        </is>
      </c>
      <c r="L1181" s="13">
        <f>IF($B1177="","",E1181)</f>
        <v/>
      </c>
    </row>
    <row r="1182">
      <c r="A1182" t="inlineStr">
        <is>
          <t>Credit Collection 赊账收款</t>
        </is>
      </c>
      <c r="B1182" s="6">
        <f>IF($B1177="","",'Daily Sale entry '!E86)</f>
        <v/>
      </c>
      <c r="D1182" t="inlineStr">
        <is>
          <t>Advance Salary_M 预支薪水_M</t>
        </is>
      </c>
      <c r="E1182" s="6">
        <f>IF($B1177="","",'Daily Sale entry '!L86)</f>
        <v/>
      </c>
      <c r="H1182" t="inlineStr">
        <is>
          <t>Credit Collection 赊账收款</t>
        </is>
      </c>
      <c r="I1182" s="6">
        <f>IF($B1177="","",B1182)</f>
        <v/>
      </c>
      <c r="K1182" t="inlineStr">
        <is>
          <t>Advance Salary_M 预支薪水_M</t>
        </is>
      </c>
      <c r="L1182" s="6">
        <f>IF($B1177="","",E1182)</f>
        <v/>
      </c>
    </row>
    <row r="1183">
      <c r="A1183" s="10" t="inlineStr">
        <is>
          <t>Amount 2 金额2  (Amount + Credit Collection)</t>
        </is>
      </c>
      <c r="B1183" s="11">
        <f>IF($B1177="","",ROUND(B1181+B1182,2))</f>
        <v/>
      </c>
      <c r="D1183" t="inlineStr">
        <is>
          <t>Advance Salary_H 预支薪水_H</t>
        </is>
      </c>
      <c r="E1183" s="6">
        <f>IF($B1177="","",'Daily Sale entry '!M86)</f>
        <v/>
      </c>
      <c r="H1183" s="10" t="inlineStr">
        <is>
          <t>Amount 2 金额2  (Amount + Credit Collection)</t>
        </is>
      </c>
      <c r="I1183" s="11">
        <f>IF($B1177="","",ROUND(I1181+I1182,2))</f>
        <v/>
      </c>
      <c r="K1183" t="inlineStr">
        <is>
          <t>Advance Salary_H 预支薪水_H</t>
        </is>
      </c>
      <c r="L1183" s="6">
        <f>IF($B1177="","",E1183)</f>
        <v/>
      </c>
    </row>
    <row r="1184"/>
    <row r="1185">
      <c r="A1185" s="1" t="inlineStr">
        <is>
          <t>b/f petty cash 上日备用金结转</t>
        </is>
      </c>
      <c r="B1185" s="9">
        <f>IF($B1177="","",'Daily Sale entry '!F86)</f>
        <v/>
      </c>
      <c r="D1185" s="1" t="n"/>
      <c r="E1185" s="1" t="n"/>
      <c r="H1185" s="1" t="inlineStr">
        <is>
          <t>b/f petty cash 上日备用金结转</t>
        </is>
      </c>
      <c r="I1185" s="9">
        <f>IF($B1177="","",B1185)</f>
        <v/>
      </c>
      <c r="K1185" s="1" t="n"/>
      <c r="L1185" s="1" t="n"/>
    </row>
    <row r="1186">
      <c r="A1186" t="inlineStr">
        <is>
          <t>Total (A) 总计 (A)</t>
        </is>
      </c>
      <c r="B1186" s="6">
        <f>IF($B1177="","",ROUND(B1183+B1185,2))</f>
        <v/>
      </c>
      <c r="D1186" t="inlineStr">
        <is>
          <t>Total(B) 总计 (B)</t>
        </is>
      </c>
      <c r="E1186" s="6">
        <f>IF($B1177="","",ROUND(E1178+E1179+E1180+E1181+E1182+E1183,2))</f>
        <v/>
      </c>
      <c r="H1186" t="inlineStr">
        <is>
          <t>Total© 总计 (C)</t>
        </is>
      </c>
      <c r="I1186" s="6">
        <f>IF($B1177="","",ROUND(I1183+I1185,2))</f>
        <v/>
      </c>
      <c r="K1186" t="inlineStr">
        <is>
          <t>Total(D) 总计 (D)</t>
        </is>
      </c>
      <c r="L1186" s="6">
        <f>IF($B1177="","",ROUND(L1178+L1179+L1180+L1181+L1182+L1183,2))</f>
        <v/>
      </c>
    </row>
    <row r="1187">
      <c r="A1187" s="14" t="inlineStr">
        <is>
          <t>Total = Amount 2 + b/f petty cash  (金额2 + 上日备用金)</t>
        </is>
      </c>
      <c r="H1187" s="14" t="inlineStr">
        <is>
          <t>Total = Amount 2 + b/f petty cash  (金额2 + 上日备用金)</t>
        </is>
      </c>
    </row>
    <row r="1188">
      <c r="A1188" t="inlineStr">
        <is>
          <t>Different 差额</t>
        </is>
      </c>
      <c r="B1188" s="6">
        <f>IF($B1177="","",ROUND(B1186-E1186,2))</f>
        <v/>
      </c>
      <c r="D1188">
        <f>IF($B1177="","",IF(ABS(B1188)&gt;'Opening Balance'!$B$16,"ALERT 警报: Different over RM"&amp;'Opening Balance'!$B$16&amp;" 差额超过RM"&amp;'Opening Balance'!$B$16&amp;" - please check 请检查",IF(B1188=0,"Tied 平衡",IF(ABS(B1188)&lt;='Opening Balance'!$B$13,"Small difference 小额差额: adjusted on c/f petty cash 已调整备用金",IF(B1188&gt;0,"Short 短收: added to Misc Charges 已加入杂项费用","Over 多收: added to Cash Sales 已加入现金销售")))))</f>
        <v/>
      </c>
      <c r="H1188" t="inlineStr">
        <is>
          <t>Different 差额</t>
        </is>
      </c>
      <c r="I1188" s="6">
        <f>IF($B1177="","",ROUND(I1186-L1186,2))</f>
        <v/>
      </c>
    </row>
    <row r="1189"/>
    <row r="1190"/>
    <row r="1191">
      <c r="A1191" t="inlineStr">
        <is>
          <t>Date 日期</t>
        </is>
      </c>
      <c r="B1191" s="5">
        <f>IF('Daily Sale entry '!$A87="","",'Daily Sale entry '!$A87)</f>
        <v/>
      </c>
      <c r="H1191" t="inlineStr">
        <is>
          <t>After 调整后 (After)</t>
        </is>
      </c>
      <c r="I1191" s="5">
        <f>IF($B1191="","",B1191)</f>
        <v/>
      </c>
    </row>
    <row r="1192">
      <c r="A1192" t="inlineStr">
        <is>
          <t>Cash Sales 现金销售</t>
        </is>
      </c>
      <c r="B1192" s="6">
        <f>IF($B1191="","",'Daily Sale entry '!B87)</f>
        <v/>
      </c>
      <c r="D1192" t="inlineStr">
        <is>
          <t>c/f petty cash 今日备用金结转</t>
        </is>
      </c>
      <c r="E1192" s="6">
        <f>IF($B1191="","",'Daily Sale entry '!G87)</f>
        <v/>
      </c>
      <c r="H1192" t="inlineStr">
        <is>
          <t>Cash Sales 现金销售</t>
        </is>
      </c>
      <c r="I1192" s="6">
        <f>IF($B1191="","",IF(AND(ABS(B1202)&gt;'Opening Balance'!$B$13,B1202&lt;0),ROUND(B1192-B1202,2),B1192))</f>
        <v/>
      </c>
      <c r="K1192" t="inlineStr">
        <is>
          <t>c/f petty cash 今日备用金结转</t>
        </is>
      </c>
      <c r="L1192" s="6">
        <f>IF($B1191="","",IF(ABS(B1202)&lt;='Opening Balance'!$B$13,ROUND(E1192+B1202,2),E1192))</f>
        <v/>
      </c>
    </row>
    <row r="1193">
      <c r="A1193" t="inlineStr">
        <is>
          <t>Misc Charges 杂项费用</t>
        </is>
      </c>
      <c r="B1193" s="6">
        <f>IF($B1191="","",'Daily Sale entry '!C87)</f>
        <v/>
      </c>
      <c r="D1193" t="inlineStr">
        <is>
          <t>cash collection 现金收款</t>
        </is>
      </c>
      <c r="E1193" s="6">
        <f>IF($B1191="","",'Daily Sale entry '!H87)</f>
        <v/>
      </c>
      <c r="H1193" t="inlineStr">
        <is>
          <t>Misc Charges 杂项费用</t>
        </is>
      </c>
      <c r="I1193" s="6">
        <f>IF($B1191="","",IF(AND(ABS(B1202)&gt;'Opening Balance'!$B$13,B1202&gt;0),ROUND(B1193+B1202,2),B1193))</f>
        <v/>
      </c>
      <c r="K1193" t="inlineStr">
        <is>
          <t>cash collection 现金收款</t>
        </is>
      </c>
      <c r="L1193" s="6">
        <f>IF($B1191="","",E1193)</f>
        <v/>
      </c>
    </row>
    <row r="1194">
      <c r="A1194" s="1" t="inlineStr">
        <is>
          <t>Other Charges 其他费用</t>
        </is>
      </c>
      <c r="B1194" s="9">
        <f>IF($B1191="","",'Daily Sale entry '!D87)</f>
        <v/>
      </c>
      <c r="D1194" s="1" t="inlineStr">
        <is>
          <t>Cheque Collection 支票收款</t>
        </is>
      </c>
      <c r="E1194" s="9">
        <f>IF($B1191="","",'Daily Sale entry '!J87)</f>
        <v/>
      </c>
      <c r="H1194" s="1" t="inlineStr">
        <is>
          <t>Other Charges 其他费用</t>
        </is>
      </c>
      <c r="I1194" s="9">
        <f>IF($B1191="","",B1194)</f>
        <v/>
      </c>
      <c r="K1194" s="1" t="inlineStr">
        <is>
          <t>Cheque Collection 支票收款</t>
        </is>
      </c>
      <c r="L1194" s="9">
        <f>IF($B1191="","",E1194)</f>
        <v/>
      </c>
    </row>
    <row r="1195">
      <c r="A1195" s="10" t="inlineStr">
        <is>
          <t>Amount 金额  (Cash Sales - Misc - Other)</t>
        </is>
      </c>
      <c r="B1195" s="11">
        <f>IF($B1191="","",ROUND(B1192-B1193-B1194,2))</f>
        <v/>
      </c>
      <c r="D1195" s="12" t="inlineStr">
        <is>
          <t>TNG collection TNG收款</t>
        </is>
      </c>
      <c r="E1195" s="13">
        <f>IF($B1191="","",'Daily Sale entry '!K87)</f>
        <v/>
      </c>
      <c r="H1195" s="10" t="inlineStr">
        <is>
          <t>Amount 金额  (Cash Sales - Misc - Other)</t>
        </is>
      </c>
      <c r="I1195" s="11">
        <f>IF($B1191="","",ROUND(I1192-I1193-I1194,2))</f>
        <v/>
      </c>
      <c r="K1195" s="12" t="inlineStr">
        <is>
          <t>TNG collection TNG收款</t>
        </is>
      </c>
      <c r="L1195" s="13">
        <f>IF($B1191="","",E1195)</f>
        <v/>
      </c>
    </row>
    <row r="1196">
      <c r="A1196" t="inlineStr">
        <is>
          <t>Credit Collection 赊账收款</t>
        </is>
      </c>
      <c r="B1196" s="6">
        <f>IF($B1191="","",'Daily Sale entry '!E87)</f>
        <v/>
      </c>
      <c r="D1196" t="inlineStr">
        <is>
          <t>Advance Salary_M 预支薪水_M</t>
        </is>
      </c>
      <c r="E1196" s="6">
        <f>IF($B1191="","",'Daily Sale entry '!L87)</f>
        <v/>
      </c>
      <c r="H1196" t="inlineStr">
        <is>
          <t>Credit Collection 赊账收款</t>
        </is>
      </c>
      <c r="I1196" s="6">
        <f>IF($B1191="","",B1196)</f>
        <v/>
      </c>
      <c r="K1196" t="inlineStr">
        <is>
          <t>Advance Salary_M 预支薪水_M</t>
        </is>
      </c>
      <c r="L1196" s="6">
        <f>IF($B1191="","",E1196)</f>
        <v/>
      </c>
    </row>
    <row r="1197">
      <c r="A1197" s="10" t="inlineStr">
        <is>
          <t>Amount 2 金额2  (Amount + Credit Collection)</t>
        </is>
      </c>
      <c r="B1197" s="11">
        <f>IF($B1191="","",ROUND(B1195+B1196,2))</f>
        <v/>
      </c>
      <c r="D1197" t="inlineStr">
        <is>
          <t>Advance Salary_H 预支薪水_H</t>
        </is>
      </c>
      <c r="E1197" s="6">
        <f>IF($B1191="","",'Daily Sale entry '!M87)</f>
        <v/>
      </c>
      <c r="H1197" s="10" t="inlineStr">
        <is>
          <t>Amount 2 金额2  (Amount + Credit Collection)</t>
        </is>
      </c>
      <c r="I1197" s="11">
        <f>IF($B1191="","",ROUND(I1195+I1196,2))</f>
        <v/>
      </c>
      <c r="K1197" t="inlineStr">
        <is>
          <t>Advance Salary_H 预支薪水_H</t>
        </is>
      </c>
      <c r="L1197" s="6">
        <f>IF($B1191="","",E1197)</f>
        <v/>
      </c>
    </row>
    <row r="1198"/>
    <row r="1199">
      <c r="A1199" s="1" t="inlineStr">
        <is>
          <t>b/f petty cash 上日备用金结转</t>
        </is>
      </c>
      <c r="B1199" s="9">
        <f>IF($B1191="","",'Daily Sale entry '!F87)</f>
        <v/>
      </c>
      <c r="D1199" s="1" t="n"/>
      <c r="E1199" s="1" t="n"/>
      <c r="H1199" s="1" t="inlineStr">
        <is>
          <t>b/f petty cash 上日备用金结转</t>
        </is>
      </c>
      <c r="I1199" s="9">
        <f>IF($B1191="","",B1199)</f>
        <v/>
      </c>
      <c r="K1199" s="1" t="n"/>
      <c r="L1199" s="1" t="n"/>
    </row>
    <row r="1200">
      <c r="A1200" t="inlineStr">
        <is>
          <t>Total (A) 总计 (A)</t>
        </is>
      </c>
      <c r="B1200" s="6">
        <f>IF($B1191="","",ROUND(B1197+B1199,2))</f>
        <v/>
      </c>
      <c r="D1200" t="inlineStr">
        <is>
          <t>Total(B) 总计 (B)</t>
        </is>
      </c>
      <c r="E1200" s="6">
        <f>IF($B1191="","",ROUND(E1192+E1193+E1194+E1195+E1196+E1197,2))</f>
        <v/>
      </c>
      <c r="H1200" t="inlineStr">
        <is>
          <t>Total© 总计 (C)</t>
        </is>
      </c>
      <c r="I1200" s="6">
        <f>IF($B1191="","",ROUND(I1197+I1199,2))</f>
        <v/>
      </c>
      <c r="K1200" t="inlineStr">
        <is>
          <t>Total(D) 总计 (D)</t>
        </is>
      </c>
      <c r="L1200" s="6">
        <f>IF($B1191="","",ROUND(L1192+L1193+L1194+L1195+L1196+L1197,2))</f>
        <v/>
      </c>
    </row>
    <row r="1201">
      <c r="A1201" s="14" t="inlineStr">
        <is>
          <t>Total = Amount 2 + b/f petty cash  (金额2 + 上日备用金)</t>
        </is>
      </c>
      <c r="H1201" s="14" t="inlineStr">
        <is>
          <t>Total = Amount 2 + b/f petty cash  (金额2 + 上日备用金)</t>
        </is>
      </c>
    </row>
    <row r="1202">
      <c r="A1202" t="inlineStr">
        <is>
          <t>Different 差额</t>
        </is>
      </c>
      <c r="B1202" s="6">
        <f>IF($B1191="","",ROUND(B1200-E1200,2))</f>
        <v/>
      </c>
      <c r="D1202">
        <f>IF($B1191="","",IF(ABS(B1202)&gt;'Opening Balance'!$B$16,"ALERT 警报: Different over RM"&amp;'Opening Balance'!$B$16&amp;" 差额超过RM"&amp;'Opening Balance'!$B$16&amp;" - please check 请检查",IF(B1202=0,"Tied 平衡",IF(ABS(B1202)&lt;='Opening Balance'!$B$13,"Small difference 小额差额: adjusted on c/f petty cash 已调整备用金",IF(B1202&gt;0,"Short 短收: added to Misc Charges 已加入杂项费用","Over 多收: added to Cash Sales 已加入现金销售")))))</f>
        <v/>
      </c>
      <c r="H1202" t="inlineStr">
        <is>
          <t>Different 差额</t>
        </is>
      </c>
      <c r="I1202" s="6">
        <f>IF($B1191="","",ROUND(I1200-L1200,2))</f>
        <v/>
      </c>
    </row>
    <row r="1203"/>
    <row r="1204"/>
    <row r="1205">
      <c r="A1205" t="inlineStr">
        <is>
          <t>Date 日期</t>
        </is>
      </c>
      <c r="B1205" s="5">
        <f>IF('Daily Sale entry '!$A88="","",'Daily Sale entry '!$A88)</f>
        <v/>
      </c>
      <c r="H1205" t="inlineStr">
        <is>
          <t>After 调整后 (After)</t>
        </is>
      </c>
      <c r="I1205" s="5">
        <f>IF($B1205="","",B1205)</f>
        <v/>
      </c>
    </row>
    <row r="1206">
      <c r="A1206" t="inlineStr">
        <is>
          <t>Cash Sales 现金销售</t>
        </is>
      </c>
      <c r="B1206" s="6">
        <f>IF($B1205="","",'Daily Sale entry '!B88)</f>
        <v/>
      </c>
      <c r="D1206" t="inlineStr">
        <is>
          <t>c/f petty cash 今日备用金结转</t>
        </is>
      </c>
      <c r="E1206" s="6">
        <f>IF($B1205="","",'Daily Sale entry '!G88)</f>
        <v/>
      </c>
      <c r="H1206" t="inlineStr">
        <is>
          <t>Cash Sales 现金销售</t>
        </is>
      </c>
      <c r="I1206" s="6">
        <f>IF($B1205="","",IF(AND(ABS(B1216)&gt;'Opening Balance'!$B$13,B1216&lt;0),ROUND(B1206-B1216,2),B1206))</f>
        <v/>
      </c>
      <c r="K1206" t="inlineStr">
        <is>
          <t>c/f petty cash 今日备用金结转</t>
        </is>
      </c>
      <c r="L1206" s="6">
        <f>IF($B1205="","",IF(ABS(B1216)&lt;='Opening Balance'!$B$13,ROUND(E1206+B1216,2),E1206))</f>
        <v/>
      </c>
    </row>
    <row r="1207">
      <c r="A1207" t="inlineStr">
        <is>
          <t>Misc Charges 杂项费用</t>
        </is>
      </c>
      <c r="B1207" s="6">
        <f>IF($B1205="","",'Daily Sale entry '!C88)</f>
        <v/>
      </c>
      <c r="D1207" t="inlineStr">
        <is>
          <t>cash collection 现金收款</t>
        </is>
      </c>
      <c r="E1207" s="6">
        <f>IF($B1205="","",'Daily Sale entry '!H88)</f>
        <v/>
      </c>
      <c r="H1207" t="inlineStr">
        <is>
          <t>Misc Charges 杂项费用</t>
        </is>
      </c>
      <c r="I1207" s="6">
        <f>IF($B1205="","",IF(AND(ABS(B1216)&gt;'Opening Balance'!$B$13,B1216&gt;0),ROUND(B1207+B1216,2),B1207))</f>
        <v/>
      </c>
      <c r="K1207" t="inlineStr">
        <is>
          <t>cash collection 现金收款</t>
        </is>
      </c>
      <c r="L1207" s="6">
        <f>IF($B1205="","",E1207)</f>
        <v/>
      </c>
    </row>
    <row r="1208">
      <c r="A1208" s="1" t="inlineStr">
        <is>
          <t>Other Charges 其他费用</t>
        </is>
      </c>
      <c r="B1208" s="9">
        <f>IF($B1205="","",'Daily Sale entry '!D88)</f>
        <v/>
      </c>
      <c r="D1208" s="1" t="inlineStr">
        <is>
          <t>Cheque Collection 支票收款</t>
        </is>
      </c>
      <c r="E1208" s="9">
        <f>IF($B1205="","",'Daily Sale entry '!J88)</f>
        <v/>
      </c>
      <c r="H1208" s="1" t="inlineStr">
        <is>
          <t>Other Charges 其他费用</t>
        </is>
      </c>
      <c r="I1208" s="9">
        <f>IF($B1205="","",B1208)</f>
        <v/>
      </c>
      <c r="K1208" s="1" t="inlineStr">
        <is>
          <t>Cheque Collection 支票收款</t>
        </is>
      </c>
      <c r="L1208" s="9">
        <f>IF($B1205="","",E1208)</f>
        <v/>
      </c>
    </row>
    <row r="1209">
      <c r="A1209" s="10" t="inlineStr">
        <is>
          <t>Amount 金额  (Cash Sales - Misc - Other)</t>
        </is>
      </c>
      <c r="B1209" s="11">
        <f>IF($B1205="","",ROUND(B1206-B1207-B1208,2))</f>
        <v/>
      </c>
      <c r="D1209" s="12" t="inlineStr">
        <is>
          <t>TNG collection TNG收款</t>
        </is>
      </c>
      <c r="E1209" s="13">
        <f>IF($B1205="","",'Daily Sale entry '!K88)</f>
        <v/>
      </c>
      <c r="H1209" s="10" t="inlineStr">
        <is>
          <t>Amount 金额  (Cash Sales - Misc - Other)</t>
        </is>
      </c>
      <c r="I1209" s="11">
        <f>IF($B1205="","",ROUND(I1206-I1207-I1208,2))</f>
        <v/>
      </c>
      <c r="K1209" s="12" t="inlineStr">
        <is>
          <t>TNG collection TNG收款</t>
        </is>
      </c>
      <c r="L1209" s="13">
        <f>IF($B1205="","",E1209)</f>
        <v/>
      </c>
    </row>
    <row r="1210">
      <c r="A1210" t="inlineStr">
        <is>
          <t>Credit Collection 赊账收款</t>
        </is>
      </c>
      <c r="B1210" s="6">
        <f>IF($B1205="","",'Daily Sale entry '!E88)</f>
        <v/>
      </c>
      <c r="D1210" t="inlineStr">
        <is>
          <t>Advance Salary_M 预支薪水_M</t>
        </is>
      </c>
      <c r="E1210" s="6">
        <f>IF($B1205="","",'Daily Sale entry '!L88)</f>
        <v/>
      </c>
      <c r="H1210" t="inlineStr">
        <is>
          <t>Credit Collection 赊账收款</t>
        </is>
      </c>
      <c r="I1210" s="6">
        <f>IF($B1205="","",B1210)</f>
        <v/>
      </c>
      <c r="K1210" t="inlineStr">
        <is>
          <t>Advance Salary_M 预支薪水_M</t>
        </is>
      </c>
      <c r="L1210" s="6">
        <f>IF($B1205="","",E1210)</f>
        <v/>
      </c>
    </row>
    <row r="1211">
      <c r="A1211" s="10" t="inlineStr">
        <is>
          <t>Amount 2 金额2  (Amount + Credit Collection)</t>
        </is>
      </c>
      <c r="B1211" s="11">
        <f>IF($B1205="","",ROUND(B1209+B1210,2))</f>
        <v/>
      </c>
      <c r="D1211" t="inlineStr">
        <is>
          <t>Advance Salary_H 预支薪水_H</t>
        </is>
      </c>
      <c r="E1211" s="6">
        <f>IF($B1205="","",'Daily Sale entry '!M88)</f>
        <v/>
      </c>
      <c r="H1211" s="10" t="inlineStr">
        <is>
          <t>Amount 2 金额2  (Amount + Credit Collection)</t>
        </is>
      </c>
      <c r="I1211" s="11">
        <f>IF($B1205="","",ROUND(I1209+I1210,2))</f>
        <v/>
      </c>
      <c r="K1211" t="inlineStr">
        <is>
          <t>Advance Salary_H 预支薪水_H</t>
        </is>
      </c>
      <c r="L1211" s="6">
        <f>IF($B1205="","",E1211)</f>
        <v/>
      </c>
    </row>
    <row r="1212"/>
    <row r="1213">
      <c r="A1213" s="1" t="inlineStr">
        <is>
          <t>b/f petty cash 上日备用金结转</t>
        </is>
      </c>
      <c r="B1213" s="9">
        <f>IF($B1205="","",'Daily Sale entry '!F88)</f>
        <v/>
      </c>
      <c r="D1213" s="1" t="n"/>
      <c r="E1213" s="1" t="n"/>
      <c r="H1213" s="1" t="inlineStr">
        <is>
          <t>b/f petty cash 上日备用金结转</t>
        </is>
      </c>
      <c r="I1213" s="9">
        <f>IF($B1205="","",B1213)</f>
        <v/>
      </c>
      <c r="K1213" s="1" t="n"/>
      <c r="L1213" s="1" t="n"/>
    </row>
    <row r="1214">
      <c r="A1214" t="inlineStr">
        <is>
          <t>Total (A) 总计 (A)</t>
        </is>
      </c>
      <c r="B1214" s="6">
        <f>IF($B1205="","",ROUND(B1211+B1213,2))</f>
        <v/>
      </c>
      <c r="D1214" t="inlineStr">
        <is>
          <t>Total(B) 总计 (B)</t>
        </is>
      </c>
      <c r="E1214" s="6">
        <f>IF($B1205="","",ROUND(E1206+E1207+E1208+E1209+E1210+E1211,2))</f>
        <v/>
      </c>
      <c r="H1214" t="inlineStr">
        <is>
          <t>Total© 总计 (C)</t>
        </is>
      </c>
      <c r="I1214" s="6">
        <f>IF($B1205="","",ROUND(I1211+I1213,2))</f>
        <v/>
      </c>
      <c r="K1214" t="inlineStr">
        <is>
          <t>Total(D) 总计 (D)</t>
        </is>
      </c>
      <c r="L1214" s="6">
        <f>IF($B1205="","",ROUND(L1206+L1207+L1208+L1209+L1210+L1211,2))</f>
        <v/>
      </c>
    </row>
    <row r="1215">
      <c r="A1215" s="14" t="inlineStr">
        <is>
          <t>Total = Amount 2 + b/f petty cash  (金额2 + 上日备用金)</t>
        </is>
      </c>
      <c r="H1215" s="14" t="inlineStr">
        <is>
          <t>Total = Amount 2 + b/f petty cash  (金额2 + 上日备用金)</t>
        </is>
      </c>
    </row>
    <row r="1216">
      <c r="A1216" t="inlineStr">
        <is>
          <t>Different 差额</t>
        </is>
      </c>
      <c r="B1216" s="6">
        <f>IF($B1205="","",ROUND(B1214-E1214,2))</f>
        <v/>
      </c>
      <c r="D1216">
        <f>IF($B1205="","",IF(ABS(B1216)&gt;'Opening Balance'!$B$16,"ALERT 警报: Different over RM"&amp;'Opening Balance'!$B$16&amp;" 差额超过RM"&amp;'Opening Balance'!$B$16&amp;" - please check 请检查",IF(B1216=0,"Tied 平衡",IF(ABS(B1216)&lt;='Opening Balance'!$B$13,"Small difference 小额差额: adjusted on c/f petty cash 已调整备用金",IF(B1216&gt;0,"Short 短收: added to Misc Charges 已加入杂项费用","Over 多收: added to Cash Sales 已加入现金销售")))))</f>
        <v/>
      </c>
      <c r="H1216" t="inlineStr">
        <is>
          <t>Different 差额</t>
        </is>
      </c>
      <c r="I1216" s="6">
        <f>IF($B1205="","",ROUND(I1214-L1214,2))</f>
        <v/>
      </c>
    </row>
    <row r="1217"/>
    <row r="1218"/>
    <row r="1219">
      <c r="A1219" t="inlineStr">
        <is>
          <t>Date 日期</t>
        </is>
      </c>
      <c r="B1219" s="5">
        <f>IF('Daily Sale entry '!$A89="","",'Daily Sale entry '!$A89)</f>
        <v/>
      </c>
      <c r="H1219" t="inlineStr">
        <is>
          <t>After 调整后 (After)</t>
        </is>
      </c>
      <c r="I1219" s="5">
        <f>IF($B1219="","",B1219)</f>
        <v/>
      </c>
    </row>
    <row r="1220">
      <c r="A1220" t="inlineStr">
        <is>
          <t>Cash Sales 现金销售</t>
        </is>
      </c>
      <c r="B1220" s="6">
        <f>IF($B1219="","",'Daily Sale entry '!B89)</f>
        <v/>
      </c>
      <c r="D1220" t="inlineStr">
        <is>
          <t>c/f petty cash 今日备用金结转</t>
        </is>
      </c>
      <c r="E1220" s="6">
        <f>IF($B1219="","",'Daily Sale entry '!G89)</f>
        <v/>
      </c>
      <c r="H1220" t="inlineStr">
        <is>
          <t>Cash Sales 现金销售</t>
        </is>
      </c>
      <c r="I1220" s="6">
        <f>IF($B1219="","",IF(AND(ABS(B1230)&gt;'Opening Balance'!$B$13,B1230&lt;0),ROUND(B1220-B1230,2),B1220))</f>
        <v/>
      </c>
      <c r="K1220" t="inlineStr">
        <is>
          <t>c/f petty cash 今日备用金结转</t>
        </is>
      </c>
      <c r="L1220" s="6">
        <f>IF($B1219="","",IF(ABS(B1230)&lt;='Opening Balance'!$B$13,ROUND(E1220+B1230,2),E1220))</f>
        <v/>
      </c>
    </row>
    <row r="1221">
      <c r="A1221" t="inlineStr">
        <is>
          <t>Misc Charges 杂项费用</t>
        </is>
      </c>
      <c r="B1221" s="6">
        <f>IF($B1219="","",'Daily Sale entry '!C89)</f>
        <v/>
      </c>
      <c r="D1221" t="inlineStr">
        <is>
          <t>cash collection 现金收款</t>
        </is>
      </c>
      <c r="E1221" s="6">
        <f>IF($B1219="","",'Daily Sale entry '!H89)</f>
        <v/>
      </c>
      <c r="H1221" t="inlineStr">
        <is>
          <t>Misc Charges 杂项费用</t>
        </is>
      </c>
      <c r="I1221" s="6">
        <f>IF($B1219="","",IF(AND(ABS(B1230)&gt;'Opening Balance'!$B$13,B1230&gt;0),ROUND(B1221+B1230,2),B1221))</f>
        <v/>
      </c>
      <c r="K1221" t="inlineStr">
        <is>
          <t>cash collection 现金收款</t>
        </is>
      </c>
      <c r="L1221" s="6">
        <f>IF($B1219="","",E1221)</f>
        <v/>
      </c>
    </row>
    <row r="1222">
      <c r="A1222" s="1" t="inlineStr">
        <is>
          <t>Other Charges 其他费用</t>
        </is>
      </c>
      <c r="B1222" s="9">
        <f>IF($B1219="","",'Daily Sale entry '!D89)</f>
        <v/>
      </c>
      <c r="D1222" s="1" t="inlineStr">
        <is>
          <t>Cheque Collection 支票收款</t>
        </is>
      </c>
      <c r="E1222" s="9">
        <f>IF($B1219="","",'Daily Sale entry '!J89)</f>
        <v/>
      </c>
      <c r="H1222" s="1" t="inlineStr">
        <is>
          <t>Other Charges 其他费用</t>
        </is>
      </c>
      <c r="I1222" s="9">
        <f>IF($B1219="","",B1222)</f>
        <v/>
      </c>
      <c r="K1222" s="1" t="inlineStr">
        <is>
          <t>Cheque Collection 支票收款</t>
        </is>
      </c>
      <c r="L1222" s="9">
        <f>IF($B1219="","",E1222)</f>
        <v/>
      </c>
    </row>
    <row r="1223">
      <c r="A1223" s="10" t="inlineStr">
        <is>
          <t>Amount 金额  (Cash Sales - Misc - Other)</t>
        </is>
      </c>
      <c r="B1223" s="11">
        <f>IF($B1219="","",ROUND(B1220-B1221-B1222,2))</f>
        <v/>
      </c>
      <c r="D1223" s="12" t="inlineStr">
        <is>
          <t>TNG collection TNG收款</t>
        </is>
      </c>
      <c r="E1223" s="13">
        <f>IF($B1219="","",'Daily Sale entry '!K89)</f>
        <v/>
      </c>
      <c r="H1223" s="10" t="inlineStr">
        <is>
          <t>Amount 金额  (Cash Sales - Misc - Other)</t>
        </is>
      </c>
      <c r="I1223" s="11">
        <f>IF($B1219="","",ROUND(I1220-I1221-I1222,2))</f>
        <v/>
      </c>
      <c r="K1223" s="12" t="inlineStr">
        <is>
          <t>TNG collection TNG收款</t>
        </is>
      </c>
      <c r="L1223" s="13">
        <f>IF($B1219="","",E1223)</f>
        <v/>
      </c>
    </row>
    <row r="1224">
      <c r="A1224" t="inlineStr">
        <is>
          <t>Credit Collection 赊账收款</t>
        </is>
      </c>
      <c r="B1224" s="6">
        <f>IF($B1219="","",'Daily Sale entry '!E89)</f>
        <v/>
      </c>
      <c r="D1224" t="inlineStr">
        <is>
          <t>Advance Salary_M 预支薪水_M</t>
        </is>
      </c>
      <c r="E1224" s="6">
        <f>IF($B1219="","",'Daily Sale entry '!L89)</f>
        <v/>
      </c>
      <c r="H1224" t="inlineStr">
        <is>
          <t>Credit Collection 赊账收款</t>
        </is>
      </c>
      <c r="I1224" s="6">
        <f>IF($B1219="","",B1224)</f>
        <v/>
      </c>
      <c r="K1224" t="inlineStr">
        <is>
          <t>Advance Salary_M 预支薪水_M</t>
        </is>
      </c>
      <c r="L1224" s="6">
        <f>IF($B1219="","",E1224)</f>
        <v/>
      </c>
    </row>
    <row r="1225">
      <c r="A1225" s="10" t="inlineStr">
        <is>
          <t>Amount 2 金额2  (Amount + Credit Collection)</t>
        </is>
      </c>
      <c r="B1225" s="11">
        <f>IF($B1219="","",ROUND(B1223+B1224,2))</f>
        <v/>
      </c>
      <c r="D1225" t="inlineStr">
        <is>
          <t>Advance Salary_H 预支薪水_H</t>
        </is>
      </c>
      <c r="E1225" s="6">
        <f>IF($B1219="","",'Daily Sale entry '!M89)</f>
        <v/>
      </c>
      <c r="H1225" s="10" t="inlineStr">
        <is>
          <t>Amount 2 金额2  (Amount + Credit Collection)</t>
        </is>
      </c>
      <c r="I1225" s="11">
        <f>IF($B1219="","",ROUND(I1223+I1224,2))</f>
        <v/>
      </c>
      <c r="K1225" t="inlineStr">
        <is>
          <t>Advance Salary_H 预支薪水_H</t>
        </is>
      </c>
      <c r="L1225" s="6">
        <f>IF($B1219="","",E1225)</f>
        <v/>
      </c>
    </row>
    <row r="1226"/>
    <row r="1227">
      <c r="A1227" s="1" t="inlineStr">
        <is>
          <t>b/f petty cash 上日备用金结转</t>
        </is>
      </c>
      <c r="B1227" s="9">
        <f>IF($B1219="","",'Daily Sale entry '!F89)</f>
        <v/>
      </c>
      <c r="D1227" s="1" t="n"/>
      <c r="E1227" s="1" t="n"/>
      <c r="H1227" s="1" t="inlineStr">
        <is>
          <t>b/f petty cash 上日备用金结转</t>
        </is>
      </c>
      <c r="I1227" s="9">
        <f>IF($B1219="","",B1227)</f>
        <v/>
      </c>
      <c r="K1227" s="1" t="n"/>
      <c r="L1227" s="1" t="n"/>
    </row>
    <row r="1228">
      <c r="A1228" t="inlineStr">
        <is>
          <t>Total (A) 总计 (A)</t>
        </is>
      </c>
      <c r="B1228" s="6">
        <f>IF($B1219="","",ROUND(B1225+B1227,2))</f>
        <v/>
      </c>
      <c r="D1228" t="inlineStr">
        <is>
          <t>Total(B) 总计 (B)</t>
        </is>
      </c>
      <c r="E1228" s="6">
        <f>IF($B1219="","",ROUND(E1220+E1221+E1222+E1223+E1224+E1225,2))</f>
        <v/>
      </c>
      <c r="H1228" t="inlineStr">
        <is>
          <t>Total© 总计 (C)</t>
        </is>
      </c>
      <c r="I1228" s="6">
        <f>IF($B1219="","",ROUND(I1225+I1227,2))</f>
        <v/>
      </c>
      <c r="K1228" t="inlineStr">
        <is>
          <t>Total(D) 总计 (D)</t>
        </is>
      </c>
      <c r="L1228" s="6">
        <f>IF($B1219="","",ROUND(L1220+L1221+L1222+L1223+L1224+L1225,2))</f>
        <v/>
      </c>
    </row>
    <row r="1229">
      <c r="A1229" s="14" t="inlineStr">
        <is>
          <t>Total = Amount 2 + b/f petty cash  (金额2 + 上日备用金)</t>
        </is>
      </c>
      <c r="H1229" s="14" t="inlineStr">
        <is>
          <t>Total = Amount 2 + b/f petty cash  (金额2 + 上日备用金)</t>
        </is>
      </c>
    </row>
    <row r="1230">
      <c r="A1230" t="inlineStr">
        <is>
          <t>Different 差额</t>
        </is>
      </c>
      <c r="B1230" s="6">
        <f>IF($B1219="","",ROUND(B1228-E1228,2))</f>
        <v/>
      </c>
      <c r="D1230">
        <f>IF($B1219="","",IF(ABS(B1230)&gt;'Opening Balance'!$B$16,"ALERT 警报: Different over RM"&amp;'Opening Balance'!$B$16&amp;" 差额超过RM"&amp;'Opening Balance'!$B$16&amp;" - please check 请检查",IF(B1230=0,"Tied 平衡",IF(ABS(B1230)&lt;='Opening Balance'!$B$13,"Small difference 小额差额: adjusted on c/f petty cash 已调整备用金",IF(B1230&gt;0,"Short 短收: added to Misc Charges 已加入杂项费用","Over 多收: added to Cash Sales 已加入现金销售")))))</f>
        <v/>
      </c>
      <c r="H1230" t="inlineStr">
        <is>
          <t>Different 差额</t>
        </is>
      </c>
      <c r="I1230" s="6">
        <f>IF($B1219="","",ROUND(I1228-L1228,2))</f>
        <v/>
      </c>
    </row>
    <row r="1231"/>
    <row r="1232"/>
    <row r="1233">
      <c r="A1233" t="inlineStr">
        <is>
          <t>Date 日期</t>
        </is>
      </c>
      <c r="B1233" s="5">
        <f>IF('Daily Sale entry '!$A90="","",'Daily Sale entry '!$A90)</f>
        <v/>
      </c>
      <c r="H1233" t="inlineStr">
        <is>
          <t>After 调整后 (After)</t>
        </is>
      </c>
      <c r="I1233" s="5">
        <f>IF($B1233="","",B1233)</f>
        <v/>
      </c>
    </row>
    <row r="1234">
      <c r="A1234" t="inlineStr">
        <is>
          <t>Cash Sales 现金销售</t>
        </is>
      </c>
      <c r="B1234" s="6">
        <f>IF($B1233="","",'Daily Sale entry '!B90)</f>
        <v/>
      </c>
      <c r="D1234" t="inlineStr">
        <is>
          <t>c/f petty cash 今日备用金结转</t>
        </is>
      </c>
      <c r="E1234" s="6">
        <f>IF($B1233="","",'Daily Sale entry '!G90)</f>
        <v/>
      </c>
      <c r="H1234" t="inlineStr">
        <is>
          <t>Cash Sales 现金销售</t>
        </is>
      </c>
      <c r="I1234" s="6">
        <f>IF($B1233="","",IF(AND(ABS(B1244)&gt;'Opening Balance'!$B$13,B1244&lt;0),ROUND(B1234-B1244,2),B1234))</f>
        <v/>
      </c>
      <c r="K1234" t="inlineStr">
        <is>
          <t>c/f petty cash 今日备用金结转</t>
        </is>
      </c>
      <c r="L1234" s="6">
        <f>IF($B1233="","",IF(ABS(B1244)&lt;='Opening Balance'!$B$13,ROUND(E1234+B1244,2),E1234))</f>
        <v/>
      </c>
    </row>
    <row r="1235">
      <c r="A1235" t="inlineStr">
        <is>
          <t>Misc Charges 杂项费用</t>
        </is>
      </c>
      <c r="B1235" s="6">
        <f>IF($B1233="","",'Daily Sale entry '!C90)</f>
        <v/>
      </c>
      <c r="D1235" t="inlineStr">
        <is>
          <t>cash collection 现金收款</t>
        </is>
      </c>
      <c r="E1235" s="6">
        <f>IF($B1233="","",'Daily Sale entry '!H90)</f>
        <v/>
      </c>
      <c r="H1235" t="inlineStr">
        <is>
          <t>Misc Charges 杂项费用</t>
        </is>
      </c>
      <c r="I1235" s="6">
        <f>IF($B1233="","",IF(AND(ABS(B1244)&gt;'Opening Balance'!$B$13,B1244&gt;0),ROUND(B1235+B1244,2),B1235))</f>
        <v/>
      </c>
      <c r="K1235" t="inlineStr">
        <is>
          <t>cash collection 现金收款</t>
        </is>
      </c>
      <c r="L1235" s="6">
        <f>IF($B1233="","",E1235)</f>
        <v/>
      </c>
    </row>
    <row r="1236">
      <c r="A1236" s="1" t="inlineStr">
        <is>
          <t>Other Charges 其他费用</t>
        </is>
      </c>
      <c r="B1236" s="9">
        <f>IF($B1233="","",'Daily Sale entry '!D90)</f>
        <v/>
      </c>
      <c r="D1236" s="1" t="inlineStr">
        <is>
          <t>Cheque Collection 支票收款</t>
        </is>
      </c>
      <c r="E1236" s="9">
        <f>IF($B1233="","",'Daily Sale entry '!J90)</f>
        <v/>
      </c>
      <c r="H1236" s="1" t="inlineStr">
        <is>
          <t>Other Charges 其他费用</t>
        </is>
      </c>
      <c r="I1236" s="9">
        <f>IF($B1233="","",B1236)</f>
        <v/>
      </c>
      <c r="K1236" s="1" t="inlineStr">
        <is>
          <t>Cheque Collection 支票收款</t>
        </is>
      </c>
      <c r="L1236" s="9">
        <f>IF($B1233="","",E1236)</f>
        <v/>
      </c>
    </row>
    <row r="1237">
      <c r="A1237" s="10" t="inlineStr">
        <is>
          <t>Amount 金额  (Cash Sales - Misc - Other)</t>
        </is>
      </c>
      <c r="B1237" s="11">
        <f>IF($B1233="","",ROUND(B1234-B1235-B1236,2))</f>
        <v/>
      </c>
      <c r="D1237" s="12" t="inlineStr">
        <is>
          <t>TNG collection TNG收款</t>
        </is>
      </c>
      <c r="E1237" s="13">
        <f>IF($B1233="","",'Daily Sale entry '!K90)</f>
        <v/>
      </c>
      <c r="H1237" s="10" t="inlineStr">
        <is>
          <t>Amount 金额  (Cash Sales - Misc - Other)</t>
        </is>
      </c>
      <c r="I1237" s="11">
        <f>IF($B1233="","",ROUND(I1234-I1235-I1236,2))</f>
        <v/>
      </c>
      <c r="K1237" s="12" t="inlineStr">
        <is>
          <t>TNG collection TNG收款</t>
        </is>
      </c>
      <c r="L1237" s="13">
        <f>IF($B1233="","",E1237)</f>
        <v/>
      </c>
    </row>
    <row r="1238">
      <c r="A1238" t="inlineStr">
        <is>
          <t>Credit Collection 赊账收款</t>
        </is>
      </c>
      <c r="B1238" s="6">
        <f>IF($B1233="","",'Daily Sale entry '!E90)</f>
        <v/>
      </c>
      <c r="D1238" t="inlineStr">
        <is>
          <t>Advance Salary_M 预支薪水_M</t>
        </is>
      </c>
      <c r="E1238" s="6">
        <f>IF($B1233="","",'Daily Sale entry '!L90)</f>
        <v/>
      </c>
      <c r="H1238" t="inlineStr">
        <is>
          <t>Credit Collection 赊账收款</t>
        </is>
      </c>
      <c r="I1238" s="6">
        <f>IF($B1233="","",B1238)</f>
        <v/>
      </c>
      <c r="K1238" t="inlineStr">
        <is>
          <t>Advance Salary_M 预支薪水_M</t>
        </is>
      </c>
      <c r="L1238" s="6">
        <f>IF($B1233="","",E1238)</f>
        <v/>
      </c>
    </row>
    <row r="1239">
      <c r="A1239" s="10" t="inlineStr">
        <is>
          <t>Amount 2 金额2  (Amount + Credit Collection)</t>
        </is>
      </c>
      <c r="B1239" s="11">
        <f>IF($B1233="","",ROUND(B1237+B1238,2))</f>
        <v/>
      </c>
      <c r="D1239" t="inlineStr">
        <is>
          <t>Advance Salary_H 预支薪水_H</t>
        </is>
      </c>
      <c r="E1239" s="6">
        <f>IF($B1233="","",'Daily Sale entry '!M90)</f>
        <v/>
      </c>
      <c r="H1239" s="10" t="inlineStr">
        <is>
          <t>Amount 2 金额2  (Amount + Credit Collection)</t>
        </is>
      </c>
      <c r="I1239" s="11">
        <f>IF($B1233="","",ROUND(I1237+I1238,2))</f>
        <v/>
      </c>
      <c r="K1239" t="inlineStr">
        <is>
          <t>Advance Salary_H 预支薪水_H</t>
        </is>
      </c>
      <c r="L1239" s="6">
        <f>IF($B1233="","",E1239)</f>
        <v/>
      </c>
    </row>
    <row r="1240"/>
    <row r="1241">
      <c r="A1241" s="1" t="inlineStr">
        <is>
          <t>b/f petty cash 上日备用金结转</t>
        </is>
      </c>
      <c r="B1241" s="9">
        <f>IF($B1233="","",'Daily Sale entry '!F90)</f>
        <v/>
      </c>
      <c r="D1241" s="1" t="n"/>
      <c r="E1241" s="1" t="n"/>
      <c r="H1241" s="1" t="inlineStr">
        <is>
          <t>b/f petty cash 上日备用金结转</t>
        </is>
      </c>
      <c r="I1241" s="9">
        <f>IF($B1233="","",B1241)</f>
        <v/>
      </c>
      <c r="K1241" s="1" t="n"/>
      <c r="L1241" s="1" t="n"/>
    </row>
    <row r="1242">
      <c r="A1242" t="inlineStr">
        <is>
          <t>Total (A) 总计 (A)</t>
        </is>
      </c>
      <c r="B1242" s="6">
        <f>IF($B1233="","",ROUND(B1239+B1241,2))</f>
        <v/>
      </c>
      <c r="D1242" t="inlineStr">
        <is>
          <t>Total(B) 总计 (B)</t>
        </is>
      </c>
      <c r="E1242" s="6">
        <f>IF($B1233="","",ROUND(E1234+E1235+E1236+E1237+E1238+E1239,2))</f>
        <v/>
      </c>
      <c r="H1242" t="inlineStr">
        <is>
          <t>Total© 总计 (C)</t>
        </is>
      </c>
      <c r="I1242" s="6">
        <f>IF($B1233="","",ROUND(I1239+I1241,2))</f>
        <v/>
      </c>
      <c r="K1242" t="inlineStr">
        <is>
          <t>Total(D) 总计 (D)</t>
        </is>
      </c>
      <c r="L1242" s="6">
        <f>IF($B1233="","",ROUND(L1234+L1235+L1236+L1237+L1238+L1239,2))</f>
        <v/>
      </c>
    </row>
    <row r="1243">
      <c r="A1243" s="14" t="inlineStr">
        <is>
          <t>Total = Amount 2 + b/f petty cash  (金额2 + 上日备用金)</t>
        </is>
      </c>
      <c r="H1243" s="14" t="inlineStr">
        <is>
          <t>Total = Amount 2 + b/f petty cash  (金额2 + 上日备用金)</t>
        </is>
      </c>
    </row>
    <row r="1244">
      <c r="A1244" t="inlineStr">
        <is>
          <t>Different 差额</t>
        </is>
      </c>
      <c r="B1244" s="6">
        <f>IF($B1233="","",ROUND(B1242-E1242,2))</f>
        <v/>
      </c>
      <c r="D1244">
        <f>IF($B1233="","",IF(ABS(B1244)&gt;'Opening Balance'!$B$16,"ALERT 警报: Different over RM"&amp;'Opening Balance'!$B$16&amp;" 差额超过RM"&amp;'Opening Balance'!$B$16&amp;" - please check 请检查",IF(B1244=0,"Tied 平衡",IF(ABS(B1244)&lt;='Opening Balance'!$B$13,"Small difference 小额差额: adjusted on c/f petty cash 已调整备用金",IF(B1244&gt;0,"Short 短收: added to Misc Charges 已加入杂项费用","Over 多收: added to Cash Sales 已加入现金销售")))))</f>
        <v/>
      </c>
      <c r="H1244" t="inlineStr">
        <is>
          <t>Different 差额</t>
        </is>
      </c>
      <c r="I1244" s="6">
        <f>IF($B1233="","",ROUND(I1242-L1242,2))</f>
        <v/>
      </c>
    </row>
    <row r="1245"/>
    <row r="1246"/>
    <row r="1247">
      <c r="A1247" t="inlineStr">
        <is>
          <t>Date 日期</t>
        </is>
      </c>
      <c r="B1247" s="5">
        <f>IF('Daily Sale entry '!$A91="","",'Daily Sale entry '!$A91)</f>
        <v/>
      </c>
      <c r="H1247" t="inlineStr">
        <is>
          <t>After 调整后 (After)</t>
        </is>
      </c>
      <c r="I1247" s="5">
        <f>IF($B1247="","",B1247)</f>
        <v/>
      </c>
    </row>
    <row r="1248">
      <c r="A1248" t="inlineStr">
        <is>
          <t>Cash Sales 现金销售</t>
        </is>
      </c>
      <c r="B1248" s="6">
        <f>IF($B1247="","",'Daily Sale entry '!B91)</f>
        <v/>
      </c>
      <c r="D1248" t="inlineStr">
        <is>
          <t>c/f petty cash 今日备用金结转</t>
        </is>
      </c>
      <c r="E1248" s="6">
        <f>IF($B1247="","",'Daily Sale entry '!G91)</f>
        <v/>
      </c>
      <c r="H1248" t="inlineStr">
        <is>
          <t>Cash Sales 现金销售</t>
        </is>
      </c>
      <c r="I1248" s="6">
        <f>IF($B1247="","",IF(AND(ABS(B1258)&gt;'Opening Balance'!$B$13,B1258&lt;0),ROUND(B1248-B1258,2),B1248))</f>
        <v/>
      </c>
      <c r="K1248" t="inlineStr">
        <is>
          <t>c/f petty cash 今日备用金结转</t>
        </is>
      </c>
      <c r="L1248" s="6">
        <f>IF($B1247="","",IF(ABS(B1258)&lt;='Opening Balance'!$B$13,ROUND(E1248+B1258,2),E1248))</f>
        <v/>
      </c>
    </row>
    <row r="1249">
      <c r="A1249" t="inlineStr">
        <is>
          <t>Misc Charges 杂项费用</t>
        </is>
      </c>
      <c r="B1249" s="6">
        <f>IF($B1247="","",'Daily Sale entry '!C91)</f>
        <v/>
      </c>
      <c r="D1249" t="inlineStr">
        <is>
          <t>cash collection 现金收款</t>
        </is>
      </c>
      <c r="E1249" s="6">
        <f>IF($B1247="","",'Daily Sale entry '!H91)</f>
        <v/>
      </c>
      <c r="H1249" t="inlineStr">
        <is>
          <t>Misc Charges 杂项费用</t>
        </is>
      </c>
      <c r="I1249" s="6">
        <f>IF($B1247="","",IF(AND(ABS(B1258)&gt;'Opening Balance'!$B$13,B1258&gt;0),ROUND(B1249+B1258,2),B1249))</f>
        <v/>
      </c>
      <c r="K1249" t="inlineStr">
        <is>
          <t>cash collection 现金收款</t>
        </is>
      </c>
      <c r="L1249" s="6">
        <f>IF($B1247="","",E1249)</f>
        <v/>
      </c>
    </row>
    <row r="1250">
      <c r="A1250" s="1" t="inlineStr">
        <is>
          <t>Other Charges 其他费用</t>
        </is>
      </c>
      <c r="B1250" s="9">
        <f>IF($B1247="","",'Daily Sale entry '!D91)</f>
        <v/>
      </c>
      <c r="D1250" s="1" t="inlineStr">
        <is>
          <t>Cheque Collection 支票收款</t>
        </is>
      </c>
      <c r="E1250" s="9">
        <f>IF($B1247="","",'Daily Sale entry '!J91)</f>
        <v/>
      </c>
      <c r="H1250" s="1" t="inlineStr">
        <is>
          <t>Other Charges 其他费用</t>
        </is>
      </c>
      <c r="I1250" s="9">
        <f>IF($B1247="","",B1250)</f>
        <v/>
      </c>
      <c r="K1250" s="1" t="inlineStr">
        <is>
          <t>Cheque Collection 支票收款</t>
        </is>
      </c>
      <c r="L1250" s="9">
        <f>IF($B1247="","",E1250)</f>
        <v/>
      </c>
    </row>
    <row r="1251">
      <c r="A1251" s="10" t="inlineStr">
        <is>
          <t>Amount 金额  (Cash Sales - Misc - Other)</t>
        </is>
      </c>
      <c r="B1251" s="11">
        <f>IF($B1247="","",ROUND(B1248-B1249-B1250,2))</f>
        <v/>
      </c>
      <c r="D1251" s="12" t="inlineStr">
        <is>
          <t>TNG collection TNG收款</t>
        </is>
      </c>
      <c r="E1251" s="13">
        <f>IF($B1247="","",'Daily Sale entry '!K91)</f>
        <v/>
      </c>
      <c r="H1251" s="10" t="inlineStr">
        <is>
          <t>Amount 金额  (Cash Sales - Misc - Other)</t>
        </is>
      </c>
      <c r="I1251" s="11">
        <f>IF($B1247="","",ROUND(I1248-I1249-I1250,2))</f>
        <v/>
      </c>
      <c r="K1251" s="12" t="inlineStr">
        <is>
          <t>TNG collection TNG收款</t>
        </is>
      </c>
      <c r="L1251" s="13">
        <f>IF($B1247="","",E1251)</f>
        <v/>
      </c>
    </row>
    <row r="1252">
      <c r="A1252" t="inlineStr">
        <is>
          <t>Credit Collection 赊账收款</t>
        </is>
      </c>
      <c r="B1252" s="6">
        <f>IF($B1247="","",'Daily Sale entry '!E91)</f>
        <v/>
      </c>
      <c r="D1252" t="inlineStr">
        <is>
          <t>Advance Salary_M 预支薪水_M</t>
        </is>
      </c>
      <c r="E1252" s="6">
        <f>IF($B1247="","",'Daily Sale entry '!L91)</f>
        <v/>
      </c>
      <c r="H1252" t="inlineStr">
        <is>
          <t>Credit Collection 赊账收款</t>
        </is>
      </c>
      <c r="I1252" s="6">
        <f>IF($B1247="","",B1252)</f>
        <v/>
      </c>
      <c r="K1252" t="inlineStr">
        <is>
          <t>Advance Salary_M 预支薪水_M</t>
        </is>
      </c>
      <c r="L1252" s="6">
        <f>IF($B1247="","",E1252)</f>
        <v/>
      </c>
    </row>
    <row r="1253">
      <c r="A1253" s="10" t="inlineStr">
        <is>
          <t>Amount 2 金额2  (Amount + Credit Collection)</t>
        </is>
      </c>
      <c r="B1253" s="11">
        <f>IF($B1247="","",ROUND(B1251+B1252,2))</f>
        <v/>
      </c>
      <c r="D1253" t="inlineStr">
        <is>
          <t>Advance Salary_H 预支薪水_H</t>
        </is>
      </c>
      <c r="E1253" s="6">
        <f>IF($B1247="","",'Daily Sale entry '!M91)</f>
        <v/>
      </c>
      <c r="H1253" s="10" t="inlineStr">
        <is>
          <t>Amount 2 金额2  (Amount + Credit Collection)</t>
        </is>
      </c>
      <c r="I1253" s="11">
        <f>IF($B1247="","",ROUND(I1251+I1252,2))</f>
        <v/>
      </c>
      <c r="K1253" t="inlineStr">
        <is>
          <t>Advance Salary_H 预支薪水_H</t>
        </is>
      </c>
      <c r="L1253" s="6">
        <f>IF($B1247="","",E1253)</f>
        <v/>
      </c>
    </row>
    <row r="1254"/>
    <row r="1255">
      <c r="A1255" s="1" t="inlineStr">
        <is>
          <t>b/f petty cash 上日备用金结转</t>
        </is>
      </c>
      <c r="B1255" s="9">
        <f>IF($B1247="","",'Daily Sale entry '!F91)</f>
        <v/>
      </c>
      <c r="D1255" s="1" t="n"/>
      <c r="E1255" s="1" t="n"/>
      <c r="H1255" s="1" t="inlineStr">
        <is>
          <t>b/f petty cash 上日备用金结转</t>
        </is>
      </c>
      <c r="I1255" s="9">
        <f>IF($B1247="","",B1255)</f>
        <v/>
      </c>
      <c r="K1255" s="1" t="n"/>
      <c r="L1255" s="1" t="n"/>
    </row>
    <row r="1256">
      <c r="A1256" t="inlineStr">
        <is>
          <t>Total (A) 总计 (A)</t>
        </is>
      </c>
      <c r="B1256" s="6">
        <f>IF($B1247="","",ROUND(B1253+B1255,2))</f>
        <v/>
      </c>
      <c r="D1256" t="inlineStr">
        <is>
          <t>Total(B) 总计 (B)</t>
        </is>
      </c>
      <c r="E1256" s="6">
        <f>IF($B1247="","",ROUND(E1248+E1249+E1250+E1251+E1252+E1253,2))</f>
        <v/>
      </c>
      <c r="H1256" t="inlineStr">
        <is>
          <t>Total© 总计 (C)</t>
        </is>
      </c>
      <c r="I1256" s="6">
        <f>IF($B1247="","",ROUND(I1253+I1255,2))</f>
        <v/>
      </c>
      <c r="K1256" t="inlineStr">
        <is>
          <t>Total(D) 总计 (D)</t>
        </is>
      </c>
      <c r="L1256" s="6">
        <f>IF($B1247="","",ROUND(L1248+L1249+L1250+L1251+L1252+L1253,2))</f>
        <v/>
      </c>
    </row>
    <row r="1257">
      <c r="A1257" s="14" t="inlineStr">
        <is>
          <t>Total = Amount 2 + b/f petty cash  (金额2 + 上日备用金)</t>
        </is>
      </c>
      <c r="H1257" s="14" t="inlineStr">
        <is>
          <t>Total = Amount 2 + b/f petty cash  (金额2 + 上日备用金)</t>
        </is>
      </c>
    </row>
    <row r="1258">
      <c r="A1258" t="inlineStr">
        <is>
          <t>Different 差额</t>
        </is>
      </c>
      <c r="B1258" s="6">
        <f>IF($B1247="","",ROUND(B1256-E1256,2))</f>
        <v/>
      </c>
      <c r="D1258">
        <f>IF($B1247="","",IF(ABS(B1258)&gt;'Opening Balance'!$B$16,"ALERT 警报: Different over RM"&amp;'Opening Balance'!$B$16&amp;" 差额超过RM"&amp;'Opening Balance'!$B$16&amp;" - please check 请检查",IF(B1258=0,"Tied 平衡",IF(ABS(B1258)&lt;='Opening Balance'!$B$13,"Small difference 小额差额: adjusted on c/f petty cash 已调整备用金",IF(B1258&gt;0,"Short 短收: added to Misc Charges 已加入杂项费用","Over 多收: added to Cash Sales 已加入现金销售")))))</f>
        <v/>
      </c>
      <c r="H1258" t="inlineStr">
        <is>
          <t>Different 差额</t>
        </is>
      </c>
      <c r="I1258" s="6">
        <f>IF($B1247="","",ROUND(I1256-L1256,2))</f>
        <v/>
      </c>
    </row>
    <row r="1259"/>
    <row r="1260"/>
    <row r="1261">
      <c r="A1261" t="inlineStr">
        <is>
          <t>Date 日期</t>
        </is>
      </c>
      <c r="B1261" s="5">
        <f>IF('Daily Sale entry '!$A92="","",'Daily Sale entry '!$A92)</f>
        <v/>
      </c>
      <c r="H1261" t="inlineStr">
        <is>
          <t>After 调整后 (After)</t>
        </is>
      </c>
      <c r="I1261" s="5">
        <f>IF($B1261="","",B1261)</f>
        <v/>
      </c>
    </row>
    <row r="1262">
      <c r="A1262" t="inlineStr">
        <is>
          <t>Cash Sales 现金销售</t>
        </is>
      </c>
      <c r="B1262" s="6">
        <f>IF($B1261="","",'Daily Sale entry '!B92)</f>
        <v/>
      </c>
      <c r="D1262" t="inlineStr">
        <is>
          <t>c/f petty cash 今日备用金结转</t>
        </is>
      </c>
      <c r="E1262" s="6">
        <f>IF($B1261="","",'Daily Sale entry '!G92)</f>
        <v/>
      </c>
      <c r="H1262" t="inlineStr">
        <is>
          <t>Cash Sales 现金销售</t>
        </is>
      </c>
      <c r="I1262" s="6">
        <f>IF($B1261="","",IF(AND(ABS(B1272)&gt;'Opening Balance'!$B$13,B1272&lt;0),ROUND(B1262-B1272,2),B1262))</f>
        <v/>
      </c>
      <c r="K1262" t="inlineStr">
        <is>
          <t>c/f petty cash 今日备用金结转</t>
        </is>
      </c>
      <c r="L1262" s="6">
        <f>IF($B1261="","",IF(ABS(B1272)&lt;='Opening Balance'!$B$13,ROUND(E1262+B1272,2),E1262))</f>
        <v/>
      </c>
    </row>
    <row r="1263">
      <c r="A1263" t="inlineStr">
        <is>
          <t>Misc Charges 杂项费用</t>
        </is>
      </c>
      <c r="B1263" s="6">
        <f>IF($B1261="","",'Daily Sale entry '!C92)</f>
        <v/>
      </c>
      <c r="D1263" t="inlineStr">
        <is>
          <t>cash collection 现金收款</t>
        </is>
      </c>
      <c r="E1263" s="6">
        <f>IF($B1261="","",'Daily Sale entry '!H92)</f>
        <v/>
      </c>
      <c r="H1263" t="inlineStr">
        <is>
          <t>Misc Charges 杂项费用</t>
        </is>
      </c>
      <c r="I1263" s="6">
        <f>IF($B1261="","",IF(AND(ABS(B1272)&gt;'Opening Balance'!$B$13,B1272&gt;0),ROUND(B1263+B1272,2),B1263))</f>
        <v/>
      </c>
      <c r="K1263" t="inlineStr">
        <is>
          <t>cash collection 现金收款</t>
        </is>
      </c>
      <c r="L1263" s="6">
        <f>IF($B1261="","",E1263)</f>
        <v/>
      </c>
    </row>
    <row r="1264">
      <c r="A1264" s="1" t="inlineStr">
        <is>
          <t>Other Charges 其他费用</t>
        </is>
      </c>
      <c r="B1264" s="9">
        <f>IF($B1261="","",'Daily Sale entry '!D92)</f>
        <v/>
      </c>
      <c r="D1264" s="1" t="inlineStr">
        <is>
          <t>Cheque Collection 支票收款</t>
        </is>
      </c>
      <c r="E1264" s="9">
        <f>IF($B1261="","",'Daily Sale entry '!J92)</f>
        <v/>
      </c>
      <c r="H1264" s="1" t="inlineStr">
        <is>
          <t>Other Charges 其他费用</t>
        </is>
      </c>
      <c r="I1264" s="9">
        <f>IF($B1261="","",B1264)</f>
        <v/>
      </c>
      <c r="K1264" s="1" t="inlineStr">
        <is>
          <t>Cheque Collection 支票收款</t>
        </is>
      </c>
      <c r="L1264" s="9">
        <f>IF($B1261="","",E1264)</f>
        <v/>
      </c>
    </row>
    <row r="1265">
      <c r="A1265" s="10" t="inlineStr">
        <is>
          <t>Amount 金额  (Cash Sales - Misc - Other)</t>
        </is>
      </c>
      <c r="B1265" s="11">
        <f>IF($B1261="","",ROUND(B1262-B1263-B1264,2))</f>
        <v/>
      </c>
      <c r="D1265" s="12" t="inlineStr">
        <is>
          <t>TNG collection TNG收款</t>
        </is>
      </c>
      <c r="E1265" s="13">
        <f>IF($B1261="","",'Daily Sale entry '!K92)</f>
        <v/>
      </c>
      <c r="H1265" s="10" t="inlineStr">
        <is>
          <t>Amount 金额  (Cash Sales - Misc - Other)</t>
        </is>
      </c>
      <c r="I1265" s="11">
        <f>IF($B1261="","",ROUND(I1262-I1263-I1264,2))</f>
        <v/>
      </c>
      <c r="K1265" s="12" t="inlineStr">
        <is>
          <t>TNG collection TNG收款</t>
        </is>
      </c>
      <c r="L1265" s="13">
        <f>IF($B1261="","",E1265)</f>
        <v/>
      </c>
    </row>
    <row r="1266">
      <c r="A1266" t="inlineStr">
        <is>
          <t>Credit Collection 赊账收款</t>
        </is>
      </c>
      <c r="B1266" s="6">
        <f>IF($B1261="","",'Daily Sale entry '!E92)</f>
        <v/>
      </c>
      <c r="D1266" t="inlineStr">
        <is>
          <t>Advance Salary_M 预支薪水_M</t>
        </is>
      </c>
      <c r="E1266" s="6">
        <f>IF($B1261="","",'Daily Sale entry '!L92)</f>
        <v/>
      </c>
      <c r="H1266" t="inlineStr">
        <is>
          <t>Credit Collection 赊账收款</t>
        </is>
      </c>
      <c r="I1266" s="6">
        <f>IF($B1261="","",B1266)</f>
        <v/>
      </c>
      <c r="K1266" t="inlineStr">
        <is>
          <t>Advance Salary_M 预支薪水_M</t>
        </is>
      </c>
      <c r="L1266" s="6">
        <f>IF($B1261="","",E1266)</f>
        <v/>
      </c>
    </row>
    <row r="1267">
      <c r="A1267" s="10" t="inlineStr">
        <is>
          <t>Amount 2 金额2  (Amount + Credit Collection)</t>
        </is>
      </c>
      <c r="B1267" s="11">
        <f>IF($B1261="","",ROUND(B1265+B1266,2))</f>
        <v/>
      </c>
      <c r="D1267" t="inlineStr">
        <is>
          <t>Advance Salary_H 预支薪水_H</t>
        </is>
      </c>
      <c r="E1267" s="6">
        <f>IF($B1261="","",'Daily Sale entry '!M92)</f>
        <v/>
      </c>
      <c r="H1267" s="10" t="inlineStr">
        <is>
          <t>Amount 2 金额2  (Amount + Credit Collection)</t>
        </is>
      </c>
      <c r="I1267" s="11">
        <f>IF($B1261="","",ROUND(I1265+I1266,2))</f>
        <v/>
      </c>
      <c r="K1267" t="inlineStr">
        <is>
          <t>Advance Salary_H 预支薪水_H</t>
        </is>
      </c>
      <c r="L1267" s="6">
        <f>IF($B1261="","",E1267)</f>
        <v/>
      </c>
    </row>
    <row r="1268"/>
    <row r="1269">
      <c r="A1269" s="1" t="inlineStr">
        <is>
          <t>b/f petty cash 上日备用金结转</t>
        </is>
      </c>
      <c r="B1269" s="9">
        <f>IF($B1261="","",'Daily Sale entry '!F92)</f>
        <v/>
      </c>
      <c r="D1269" s="1" t="n"/>
      <c r="E1269" s="1" t="n"/>
      <c r="H1269" s="1" t="inlineStr">
        <is>
          <t>b/f petty cash 上日备用金结转</t>
        </is>
      </c>
      <c r="I1269" s="9">
        <f>IF($B1261="","",B1269)</f>
        <v/>
      </c>
      <c r="K1269" s="1" t="n"/>
      <c r="L1269" s="1" t="n"/>
    </row>
    <row r="1270">
      <c r="A1270" t="inlineStr">
        <is>
          <t>Total (A) 总计 (A)</t>
        </is>
      </c>
      <c r="B1270" s="6">
        <f>IF($B1261="","",ROUND(B1267+B1269,2))</f>
        <v/>
      </c>
      <c r="D1270" t="inlineStr">
        <is>
          <t>Total(B) 总计 (B)</t>
        </is>
      </c>
      <c r="E1270" s="6">
        <f>IF($B1261="","",ROUND(E1262+E1263+E1264+E1265+E1266+E1267,2))</f>
        <v/>
      </c>
      <c r="H1270" t="inlineStr">
        <is>
          <t>Total© 总计 (C)</t>
        </is>
      </c>
      <c r="I1270" s="6">
        <f>IF($B1261="","",ROUND(I1267+I1269,2))</f>
        <v/>
      </c>
      <c r="K1270" t="inlineStr">
        <is>
          <t>Total(D) 总计 (D)</t>
        </is>
      </c>
      <c r="L1270" s="6">
        <f>IF($B1261="","",ROUND(L1262+L1263+L1264+L1265+L1266+L1267,2))</f>
        <v/>
      </c>
    </row>
    <row r="1271">
      <c r="A1271" s="14" t="inlineStr">
        <is>
          <t>Total = Amount 2 + b/f petty cash  (金额2 + 上日备用金)</t>
        </is>
      </c>
      <c r="H1271" s="14" t="inlineStr">
        <is>
          <t>Total = Amount 2 + b/f petty cash  (金额2 + 上日备用金)</t>
        </is>
      </c>
    </row>
    <row r="1272">
      <c r="A1272" t="inlineStr">
        <is>
          <t>Different 差额</t>
        </is>
      </c>
      <c r="B1272" s="6">
        <f>IF($B1261="","",ROUND(B1270-E1270,2))</f>
        <v/>
      </c>
      <c r="D1272">
        <f>IF($B1261="","",IF(ABS(B1272)&gt;'Opening Balance'!$B$16,"ALERT 警报: Different over RM"&amp;'Opening Balance'!$B$16&amp;" 差额超过RM"&amp;'Opening Balance'!$B$16&amp;" - please check 请检查",IF(B1272=0,"Tied 平衡",IF(ABS(B1272)&lt;='Opening Balance'!$B$13,"Small difference 小额差额: adjusted on c/f petty cash 已调整备用金",IF(B1272&gt;0,"Short 短收: added to Misc Charges 已加入杂项费用","Over 多收: added to Cash Sales 已加入现金销售")))))</f>
        <v/>
      </c>
      <c r="H1272" t="inlineStr">
        <is>
          <t>Different 差额</t>
        </is>
      </c>
      <c r="I1272" s="6">
        <f>IF($B1261="","",ROUND(I1270-L1270,2))</f>
        <v/>
      </c>
    </row>
    <row r="1273"/>
    <row r="1274"/>
    <row r="1275">
      <c r="A1275" t="inlineStr">
        <is>
          <t>Date 日期</t>
        </is>
      </c>
      <c r="B1275" s="5">
        <f>IF('Daily Sale entry '!$A93="","",'Daily Sale entry '!$A93)</f>
        <v/>
      </c>
      <c r="H1275" t="inlineStr">
        <is>
          <t>After 调整后 (After)</t>
        </is>
      </c>
      <c r="I1275" s="5">
        <f>IF($B1275="","",B1275)</f>
        <v/>
      </c>
    </row>
    <row r="1276">
      <c r="A1276" t="inlineStr">
        <is>
          <t>Cash Sales 现金销售</t>
        </is>
      </c>
      <c r="B1276" s="6">
        <f>IF($B1275="","",'Daily Sale entry '!B93)</f>
        <v/>
      </c>
      <c r="D1276" t="inlineStr">
        <is>
          <t>c/f petty cash 今日备用金结转</t>
        </is>
      </c>
      <c r="E1276" s="6">
        <f>IF($B1275="","",'Daily Sale entry '!G93)</f>
        <v/>
      </c>
      <c r="H1276" t="inlineStr">
        <is>
          <t>Cash Sales 现金销售</t>
        </is>
      </c>
      <c r="I1276" s="6">
        <f>IF($B1275="","",IF(AND(ABS(B1286)&gt;'Opening Balance'!$B$13,B1286&lt;0),ROUND(B1276-B1286,2),B1276))</f>
        <v/>
      </c>
      <c r="K1276" t="inlineStr">
        <is>
          <t>c/f petty cash 今日备用金结转</t>
        </is>
      </c>
      <c r="L1276" s="6">
        <f>IF($B1275="","",IF(ABS(B1286)&lt;='Opening Balance'!$B$13,ROUND(E1276+B1286,2),E1276))</f>
        <v/>
      </c>
    </row>
    <row r="1277">
      <c r="A1277" t="inlineStr">
        <is>
          <t>Misc Charges 杂项费用</t>
        </is>
      </c>
      <c r="B1277" s="6">
        <f>IF($B1275="","",'Daily Sale entry '!C93)</f>
        <v/>
      </c>
      <c r="D1277" t="inlineStr">
        <is>
          <t>cash collection 现金收款</t>
        </is>
      </c>
      <c r="E1277" s="6">
        <f>IF($B1275="","",'Daily Sale entry '!H93)</f>
        <v/>
      </c>
      <c r="H1277" t="inlineStr">
        <is>
          <t>Misc Charges 杂项费用</t>
        </is>
      </c>
      <c r="I1277" s="6">
        <f>IF($B1275="","",IF(AND(ABS(B1286)&gt;'Opening Balance'!$B$13,B1286&gt;0),ROUND(B1277+B1286,2),B1277))</f>
        <v/>
      </c>
      <c r="K1277" t="inlineStr">
        <is>
          <t>cash collection 现金收款</t>
        </is>
      </c>
      <c r="L1277" s="6">
        <f>IF($B1275="","",E1277)</f>
        <v/>
      </c>
    </row>
    <row r="1278">
      <c r="A1278" s="1" t="inlineStr">
        <is>
          <t>Other Charges 其他费用</t>
        </is>
      </c>
      <c r="B1278" s="9">
        <f>IF($B1275="","",'Daily Sale entry '!D93)</f>
        <v/>
      </c>
      <c r="D1278" s="1" t="inlineStr">
        <is>
          <t>Cheque Collection 支票收款</t>
        </is>
      </c>
      <c r="E1278" s="9">
        <f>IF($B1275="","",'Daily Sale entry '!J93)</f>
        <v/>
      </c>
      <c r="H1278" s="1" t="inlineStr">
        <is>
          <t>Other Charges 其他费用</t>
        </is>
      </c>
      <c r="I1278" s="9">
        <f>IF($B1275="","",B1278)</f>
        <v/>
      </c>
      <c r="K1278" s="1" t="inlineStr">
        <is>
          <t>Cheque Collection 支票收款</t>
        </is>
      </c>
      <c r="L1278" s="9">
        <f>IF($B1275="","",E1278)</f>
        <v/>
      </c>
    </row>
    <row r="1279">
      <c r="A1279" s="10" t="inlineStr">
        <is>
          <t>Amount 金额  (Cash Sales - Misc - Other)</t>
        </is>
      </c>
      <c r="B1279" s="11">
        <f>IF($B1275="","",ROUND(B1276-B1277-B1278,2))</f>
        <v/>
      </c>
      <c r="D1279" s="12" t="inlineStr">
        <is>
          <t>TNG collection TNG收款</t>
        </is>
      </c>
      <c r="E1279" s="13">
        <f>IF($B1275="","",'Daily Sale entry '!K93)</f>
        <v/>
      </c>
      <c r="H1279" s="10" t="inlineStr">
        <is>
          <t>Amount 金额  (Cash Sales - Misc - Other)</t>
        </is>
      </c>
      <c r="I1279" s="11">
        <f>IF($B1275="","",ROUND(I1276-I1277-I1278,2))</f>
        <v/>
      </c>
      <c r="K1279" s="12" t="inlineStr">
        <is>
          <t>TNG collection TNG收款</t>
        </is>
      </c>
      <c r="L1279" s="13">
        <f>IF($B1275="","",E1279)</f>
        <v/>
      </c>
    </row>
    <row r="1280">
      <c r="A1280" t="inlineStr">
        <is>
          <t>Credit Collection 赊账收款</t>
        </is>
      </c>
      <c r="B1280" s="6">
        <f>IF($B1275="","",'Daily Sale entry '!E93)</f>
        <v/>
      </c>
      <c r="D1280" t="inlineStr">
        <is>
          <t>Advance Salary_M 预支薪水_M</t>
        </is>
      </c>
      <c r="E1280" s="6">
        <f>IF($B1275="","",'Daily Sale entry '!L93)</f>
        <v/>
      </c>
      <c r="H1280" t="inlineStr">
        <is>
          <t>Credit Collection 赊账收款</t>
        </is>
      </c>
      <c r="I1280" s="6">
        <f>IF($B1275="","",B1280)</f>
        <v/>
      </c>
      <c r="K1280" t="inlineStr">
        <is>
          <t>Advance Salary_M 预支薪水_M</t>
        </is>
      </c>
      <c r="L1280" s="6">
        <f>IF($B1275="","",E1280)</f>
        <v/>
      </c>
    </row>
    <row r="1281">
      <c r="A1281" s="10" t="inlineStr">
        <is>
          <t>Amount 2 金额2  (Amount + Credit Collection)</t>
        </is>
      </c>
      <c r="B1281" s="11">
        <f>IF($B1275="","",ROUND(B1279+B1280,2))</f>
        <v/>
      </c>
      <c r="D1281" t="inlineStr">
        <is>
          <t>Advance Salary_H 预支薪水_H</t>
        </is>
      </c>
      <c r="E1281" s="6">
        <f>IF($B1275="","",'Daily Sale entry '!M93)</f>
        <v/>
      </c>
      <c r="H1281" s="10" t="inlineStr">
        <is>
          <t>Amount 2 金额2  (Amount + Credit Collection)</t>
        </is>
      </c>
      <c r="I1281" s="11">
        <f>IF($B1275="","",ROUND(I1279+I1280,2))</f>
        <v/>
      </c>
      <c r="K1281" t="inlineStr">
        <is>
          <t>Advance Salary_H 预支薪水_H</t>
        </is>
      </c>
      <c r="L1281" s="6">
        <f>IF($B1275="","",E1281)</f>
        <v/>
      </c>
    </row>
    <row r="1282"/>
    <row r="1283">
      <c r="A1283" s="1" t="inlineStr">
        <is>
          <t>b/f petty cash 上日备用金结转</t>
        </is>
      </c>
      <c r="B1283" s="9">
        <f>IF($B1275="","",'Daily Sale entry '!F93)</f>
        <v/>
      </c>
      <c r="D1283" s="1" t="n"/>
      <c r="E1283" s="1" t="n"/>
      <c r="H1283" s="1" t="inlineStr">
        <is>
          <t>b/f petty cash 上日备用金结转</t>
        </is>
      </c>
      <c r="I1283" s="9">
        <f>IF($B1275="","",B1283)</f>
        <v/>
      </c>
      <c r="K1283" s="1" t="n"/>
      <c r="L1283" s="1" t="n"/>
    </row>
    <row r="1284">
      <c r="A1284" t="inlineStr">
        <is>
          <t>Total (A) 总计 (A)</t>
        </is>
      </c>
      <c r="B1284" s="6">
        <f>IF($B1275="","",ROUND(B1281+B1283,2))</f>
        <v/>
      </c>
      <c r="D1284" t="inlineStr">
        <is>
          <t>Total(B) 总计 (B)</t>
        </is>
      </c>
      <c r="E1284" s="6">
        <f>IF($B1275="","",ROUND(E1276+E1277+E1278+E1279+E1280+E1281,2))</f>
        <v/>
      </c>
      <c r="H1284" t="inlineStr">
        <is>
          <t>Total© 总计 (C)</t>
        </is>
      </c>
      <c r="I1284" s="6">
        <f>IF($B1275="","",ROUND(I1281+I1283,2))</f>
        <v/>
      </c>
      <c r="K1284" t="inlineStr">
        <is>
          <t>Total(D) 总计 (D)</t>
        </is>
      </c>
      <c r="L1284" s="6">
        <f>IF($B1275="","",ROUND(L1276+L1277+L1278+L1279+L1280+L1281,2))</f>
        <v/>
      </c>
    </row>
    <row r="1285">
      <c r="A1285" s="14" t="inlineStr">
        <is>
          <t>Total = Amount 2 + b/f petty cash  (金额2 + 上日备用金)</t>
        </is>
      </c>
      <c r="H1285" s="14" t="inlineStr">
        <is>
          <t>Total = Amount 2 + b/f petty cash  (金额2 + 上日备用金)</t>
        </is>
      </c>
    </row>
    <row r="1286">
      <c r="A1286" t="inlineStr">
        <is>
          <t>Different 差额</t>
        </is>
      </c>
      <c r="B1286" s="6">
        <f>IF($B1275="","",ROUND(B1284-E1284,2))</f>
        <v/>
      </c>
      <c r="D1286">
        <f>IF($B1275="","",IF(ABS(B1286)&gt;'Opening Balance'!$B$16,"ALERT 警报: Different over RM"&amp;'Opening Balance'!$B$16&amp;" 差额超过RM"&amp;'Opening Balance'!$B$16&amp;" - please check 请检查",IF(B1286=0,"Tied 平衡",IF(ABS(B1286)&lt;='Opening Balance'!$B$13,"Small difference 小额差额: adjusted on c/f petty cash 已调整备用金",IF(B1286&gt;0,"Short 短收: added to Misc Charges 已加入杂项费用","Over 多收: added to Cash Sales 已加入现金销售")))))</f>
        <v/>
      </c>
      <c r="H1286" t="inlineStr">
        <is>
          <t>Different 差额</t>
        </is>
      </c>
      <c r="I1286" s="6">
        <f>IF($B1275="","",ROUND(I1284-L1284,2))</f>
        <v/>
      </c>
    </row>
    <row r="1287"/>
    <row r="1288"/>
    <row r="1289">
      <c r="A1289" t="inlineStr">
        <is>
          <t>Date 日期</t>
        </is>
      </c>
      <c r="B1289" s="5">
        <f>IF('Daily Sale entry '!$A94="","",'Daily Sale entry '!$A94)</f>
        <v/>
      </c>
      <c r="H1289" t="inlineStr">
        <is>
          <t>After 调整后 (After)</t>
        </is>
      </c>
      <c r="I1289" s="5">
        <f>IF($B1289="","",B1289)</f>
        <v/>
      </c>
    </row>
    <row r="1290">
      <c r="A1290" t="inlineStr">
        <is>
          <t>Cash Sales 现金销售</t>
        </is>
      </c>
      <c r="B1290" s="6">
        <f>IF($B1289="","",'Daily Sale entry '!B94)</f>
        <v/>
      </c>
      <c r="D1290" t="inlineStr">
        <is>
          <t>c/f petty cash 今日备用金结转</t>
        </is>
      </c>
      <c r="E1290" s="6">
        <f>IF($B1289="","",'Daily Sale entry '!G94)</f>
        <v/>
      </c>
      <c r="H1290" t="inlineStr">
        <is>
          <t>Cash Sales 现金销售</t>
        </is>
      </c>
      <c r="I1290" s="6">
        <f>IF($B1289="","",IF(AND(ABS(B1300)&gt;'Opening Balance'!$B$13,B1300&lt;0),ROUND(B1290-B1300,2),B1290))</f>
        <v/>
      </c>
      <c r="K1290" t="inlineStr">
        <is>
          <t>c/f petty cash 今日备用金结转</t>
        </is>
      </c>
      <c r="L1290" s="6">
        <f>IF($B1289="","",IF(ABS(B1300)&lt;='Opening Balance'!$B$13,ROUND(E1290+B1300,2),E1290))</f>
        <v/>
      </c>
    </row>
    <row r="1291">
      <c r="A1291" t="inlineStr">
        <is>
          <t>Misc Charges 杂项费用</t>
        </is>
      </c>
      <c r="B1291" s="6">
        <f>IF($B1289="","",'Daily Sale entry '!C94)</f>
        <v/>
      </c>
      <c r="D1291" t="inlineStr">
        <is>
          <t>cash collection 现金收款</t>
        </is>
      </c>
      <c r="E1291" s="6">
        <f>IF($B1289="","",'Daily Sale entry '!H94)</f>
        <v/>
      </c>
      <c r="H1291" t="inlineStr">
        <is>
          <t>Misc Charges 杂项费用</t>
        </is>
      </c>
      <c r="I1291" s="6">
        <f>IF($B1289="","",IF(AND(ABS(B1300)&gt;'Opening Balance'!$B$13,B1300&gt;0),ROUND(B1291+B1300,2),B1291))</f>
        <v/>
      </c>
      <c r="K1291" t="inlineStr">
        <is>
          <t>cash collection 现金收款</t>
        </is>
      </c>
      <c r="L1291" s="6">
        <f>IF($B1289="","",E1291)</f>
        <v/>
      </c>
    </row>
    <row r="1292">
      <c r="A1292" s="1" t="inlineStr">
        <is>
          <t>Other Charges 其他费用</t>
        </is>
      </c>
      <c r="B1292" s="9">
        <f>IF($B1289="","",'Daily Sale entry '!D94)</f>
        <v/>
      </c>
      <c r="D1292" s="1" t="inlineStr">
        <is>
          <t>Cheque Collection 支票收款</t>
        </is>
      </c>
      <c r="E1292" s="9">
        <f>IF($B1289="","",'Daily Sale entry '!J94)</f>
        <v/>
      </c>
      <c r="H1292" s="1" t="inlineStr">
        <is>
          <t>Other Charges 其他费用</t>
        </is>
      </c>
      <c r="I1292" s="9">
        <f>IF($B1289="","",B1292)</f>
        <v/>
      </c>
      <c r="K1292" s="1" t="inlineStr">
        <is>
          <t>Cheque Collection 支票收款</t>
        </is>
      </c>
      <c r="L1292" s="9">
        <f>IF($B1289="","",E1292)</f>
        <v/>
      </c>
    </row>
    <row r="1293">
      <c r="A1293" s="10" t="inlineStr">
        <is>
          <t>Amount 金额  (Cash Sales - Misc - Other)</t>
        </is>
      </c>
      <c r="B1293" s="11">
        <f>IF($B1289="","",ROUND(B1290-B1291-B1292,2))</f>
        <v/>
      </c>
      <c r="D1293" s="12" t="inlineStr">
        <is>
          <t>TNG collection TNG收款</t>
        </is>
      </c>
      <c r="E1293" s="13">
        <f>IF($B1289="","",'Daily Sale entry '!K94)</f>
        <v/>
      </c>
      <c r="H1293" s="10" t="inlineStr">
        <is>
          <t>Amount 金额  (Cash Sales - Misc - Other)</t>
        </is>
      </c>
      <c r="I1293" s="11">
        <f>IF($B1289="","",ROUND(I1290-I1291-I1292,2))</f>
        <v/>
      </c>
      <c r="K1293" s="12" t="inlineStr">
        <is>
          <t>TNG collection TNG收款</t>
        </is>
      </c>
      <c r="L1293" s="13">
        <f>IF($B1289="","",E1293)</f>
        <v/>
      </c>
    </row>
    <row r="1294">
      <c r="A1294" t="inlineStr">
        <is>
          <t>Credit Collection 赊账收款</t>
        </is>
      </c>
      <c r="B1294" s="6">
        <f>IF($B1289="","",'Daily Sale entry '!E94)</f>
        <v/>
      </c>
      <c r="D1294" t="inlineStr">
        <is>
          <t>Advance Salary_M 预支薪水_M</t>
        </is>
      </c>
      <c r="E1294" s="6">
        <f>IF($B1289="","",'Daily Sale entry '!L94)</f>
        <v/>
      </c>
      <c r="H1294" t="inlineStr">
        <is>
          <t>Credit Collection 赊账收款</t>
        </is>
      </c>
      <c r="I1294" s="6">
        <f>IF($B1289="","",B1294)</f>
        <v/>
      </c>
      <c r="K1294" t="inlineStr">
        <is>
          <t>Advance Salary_M 预支薪水_M</t>
        </is>
      </c>
      <c r="L1294" s="6">
        <f>IF($B1289="","",E1294)</f>
        <v/>
      </c>
    </row>
    <row r="1295">
      <c r="A1295" s="10" t="inlineStr">
        <is>
          <t>Amount 2 金额2  (Amount + Credit Collection)</t>
        </is>
      </c>
      <c r="B1295" s="11">
        <f>IF($B1289="","",ROUND(B1293+B1294,2))</f>
        <v/>
      </c>
      <c r="D1295" t="inlineStr">
        <is>
          <t>Advance Salary_H 预支薪水_H</t>
        </is>
      </c>
      <c r="E1295" s="6">
        <f>IF($B1289="","",'Daily Sale entry '!M94)</f>
        <v/>
      </c>
      <c r="H1295" s="10" t="inlineStr">
        <is>
          <t>Amount 2 金额2  (Amount + Credit Collection)</t>
        </is>
      </c>
      <c r="I1295" s="11">
        <f>IF($B1289="","",ROUND(I1293+I1294,2))</f>
        <v/>
      </c>
      <c r="K1295" t="inlineStr">
        <is>
          <t>Advance Salary_H 预支薪水_H</t>
        </is>
      </c>
      <c r="L1295" s="6">
        <f>IF($B1289="","",E1295)</f>
        <v/>
      </c>
    </row>
    <row r="1296"/>
    <row r="1297">
      <c r="A1297" s="1" t="inlineStr">
        <is>
          <t>b/f petty cash 上日备用金结转</t>
        </is>
      </c>
      <c r="B1297" s="9">
        <f>IF($B1289="","",'Daily Sale entry '!F94)</f>
        <v/>
      </c>
      <c r="D1297" s="1" t="n"/>
      <c r="E1297" s="1" t="n"/>
      <c r="H1297" s="1" t="inlineStr">
        <is>
          <t>b/f petty cash 上日备用金结转</t>
        </is>
      </c>
      <c r="I1297" s="9">
        <f>IF($B1289="","",B1297)</f>
        <v/>
      </c>
      <c r="K1297" s="1" t="n"/>
      <c r="L1297" s="1" t="n"/>
    </row>
    <row r="1298">
      <c r="A1298" t="inlineStr">
        <is>
          <t>Total (A) 总计 (A)</t>
        </is>
      </c>
      <c r="B1298" s="6">
        <f>IF($B1289="","",ROUND(B1295+B1297,2))</f>
        <v/>
      </c>
      <c r="D1298" t="inlineStr">
        <is>
          <t>Total(B) 总计 (B)</t>
        </is>
      </c>
      <c r="E1298" s="6">
        <f>IF($B1289="","",ROUND(E1290+E1291+E1292+E1293+E1294+E1295,2))</f>
        <v/>
      </c>
      <c r="H1298" t="inlineStr">
        <is>
          <t>Total© 总计 (C)</t>
        </is>
      </c>
      <c r="I1298" s="6">
        <f>IF($B1289="","",ROUND(I1295+I1297,2))</f>
        <v/>
      </c>
      <c r="K1298" t="inlineStr">
        <is>
          <t>Total(D) 总计 (D)</t>
        </is>
      </c>
      <c r="L1298" s="6">
        <f>IF($B1289="","",ROUND(L1290+L1291+L1292+L1293+L1294+L1295,2))</f>
        <v/>
      </c>
    </row>
    <row r="1299">
      <c r="A1299" s="14" t="inlineStr">
        <is>
          <t>Total = Amount 2 + b/f petty cash  (金额2 + 上日备用金)</t>
        </is>
      </c>
      <c r="H1299" s="14" t="inlineStr">
        <is>
          <t>Total = Amount 2 + b/f petty cash  (金额2 + 上日备用金)</t>
        </is>
      </c>
    </row>
    <row r="1300">
      <c r="A1300" t="inlineStr">
        <is>
          <t>Different 差额</t>
        </is>
      </c>
      <c r="B1300" s="6">
        <f>IF($B1289="","",ROUND(B1298-E1298,2))</f>
        <v/>
      </c>
      <c r="D1300">
        <f>IF($B1289="","",IF(ABS(B1300)&gt;'Opening Balance'!$B$16,"ALERT 警报: Different over RM"&amp;'Opening Balance'!$B$16&amp;" 差额超过RM"&amp;'Opening Balance'!$B$16&amp;" - please check 请检查",IF(B1300=0,"Tied 平衡",IF(ABS(B1300)&lt;='Opening Balance'!$B$13,"Small difference 小额差额: adjusted on c/f petty cash 已调整备用金",IF(B1300&gt;0,"Short 短收: added to Misc Charges 已加入杂项费用","Over 多收: added to Cash Sales 已加入现金销售")))))</f>
        <v/>
      </c>
      <c r="H1300" t="inlineStr">
        <is>
          <t>Different 差额</t>
        </is>
      </c>
      <c r="I1300" s="6">
        <f>IF($B1289="","",ROUND(I1298-L1298,2))</f>
        <v/>
      </c>
    </row>
    <row r="1301"/>
    <row r="1302"/>
    <row r="1303">
      <c r="A1303" t="inlineStr">
        <is>
          <t>Date 日期</t>
        </is>
      </c>
      <c r="B1303" s="5">
        <f>IF('Daily Sale entry '!$A95="","",'Daily Sale entry '!$A95)</f>
        <v/>
      </c>
      <c r="H1303" t="inlineStr">
        <is>
          <t>After 调整后 (After)</t>
        </is>
      </c>
      <c r="I1303" s="5">
        <f>IF($B1303="","",B1303)</f>
        <v/>
      </c>
    </row>
    <row r="1304">
      <c r="A1304" t="inlineStr">
        <is>
          <t>Cash Sales 现金销售</t>
        </is>
      </c>
      <c r="B1304" s="6">
        <f>IF($B1303="","",'Daily Sale entry '!B95)</f>
        <v/>
      </c>
      <c r="D1304" t="inlineStr">
        <is>
          <t>c/f petty cash 今日备用金结转</t>
        </is>
      </c>
      <c r="E1304" s="6">
        <f>IF($B1303="","",'Daily Sale entry '!G95)</f>
        <v/>
      </c>
      <c r="H1304" t="inlineStr">
        <is>
          <t>Cash Sales 现金销售</t>
        </is>
      </c>
      <c r="I1304" s="6">
        <f>IF($B1303="","",IF(AND(ABS(B1314)&gt;'Opening Balance'!$B$13,B1314&lt;0),ROUND(B1304-B1314,2),B1304))</f>
        <v/>
      </c>
      <c r="K1304" t="inlineStr">
        <is>
          <t>c/f petty cash 今日备用金结转</t>
        </is>
      </c>
      <c r="L1304" s="6">
        <f>IF($B1303="","",IF(ABS(B1314)&lt;='Opening Balance'!$B$13,ROUND(E1304+B1314,2),E1304))</f>
        <v/>
      </c>
    </row>
    <row r="1305">
      <c r="A1305" t="inlineStr">
        <is>
          <t>Misc Charges 杂项费用</t>
        </is>
      </c>
      <c r="B1305" s="6">
        <f>IF($B1303="","",'Daily Sale entry '!C95)</f>
        <v/>
      </c>
      <c r="D1305" t="inlineStr">
        <is>
          <t>cash collection 现金收款</t>
        </is>
      </c>
      <c r="E1305" s="6">
        <f>IF($B1303="","",'Daily Sale entry '!H95)</f>
        <v/>
      </c>
      <c r="H1305" t="inlineStr">
        <is>
          <t>Misc Charges 杂项费用</t>
        </is>
      </c>
      <c r="I1305" s="6">
        <f>IF($B1303="","",IF(AND(ABS(B1314)&gt;'Opening Balance'!$B$13,B1314&gt;0),ROUND(B1305+B1314,2),B1305))</f>
        <v/>
      </c>
      <c r="K1305" t="inlineStr">
        <is>
          <t>cash collection 现金收款</t>
        </is>
      </c>
      <c r="L1305" s="6">
        <f>IF($B1303="","",E1305)</f>
        <v/>
      </c>
    </row>
    <row r="1306">
      <c r="A1306" s="1" t="inlineStr">
        <is>
          <t>Other Charges 其他费用</t>
        </is>
      </c>
      <c r="B1306" s="9">
        <f>IF($B1303="","",'Daily Sale entry '!D95)</f>
        <v/>
      </c>
      <c r="D1306" s="1" t="inlineStr">
        <is>
          <t>Cheque Collection 支票收款</t>
        </is>
      </c>
      <c r="E1306" s="9">
        <f>IF($B1303="","",'Daily Sale entry '!J95)</f>
        <v/>
      </c>
      <c r="H1306" s="1" t="inlineStr">
        <is>
          <t>Other Charges 其他费用</t>
        </is>
      </c>
      <c r="I1306" s="9">
        <f>IF($B1303="","",B1306)</f>
        <v/>
      </c>
      <c r="K1306" s="1" t="inlineStr">
        <is>
          <t>Cheque Collection 支票收款</t>
        </is>
      </c>
      <c r="L1306" s="9">
        <f>IF($B1303="","",E1306)</f>
        <v/>
      </c>
    </row>
    <row r="1307">
      <c r="A1307" s="10" t="inlineStr">
        <is>
          <t>Amount 金额  (Cash Sales - Misc - Other)</t>
        </is>
      </c>
      <c r="B1307" s="11">
        <f>IF($B1303="","",ROUND(B1304-B1305-B1306,2))</f>
        <v/>
      </c>
      <c r="D1307" s="12" t="inlineStr">
        <is>
          <t>TNG collection TNG收款</t>
        </is>
      </c>
      <c r="E1307" s="13">
        <f>IF($B1303="","",'Daily Sale entry '!K95)</f>
        <v/>
      </c>
      <c r="H1307" s="10" t="inlineStr">
        <is>
          <t>Amount 金额  (Cash Sales - Misc - Other)</t>
        </is>
      </c>
      <c r="I1307" s="11">
        <f>IF($B1303="","",ROUND(I1304-I1305-I1306,2))</f>
        <v/>
      </c>
      <c r="K1307" s="12" t="inlineStr">
        <is>
          <t>TNG collection TNG收款</t>
        </is>
      </c>
      <c r="L1307" s="13">
        <f>IF($B1303="","",E1307)</f>
        <v/>
      </c>
    </row>
    <row r="1308">
      <c r="A1308" t="inlineStr">
        <is>
          <t>Credit Collection 赊账收款</t>
        </is>
      </c>
      <c r="B1308" s="6">
        <f>IF($B1303="","",'Daily Sale entry '!E95)</f>
        <v/>
      </c>
      <c r="D1308" t="inlineStr">
        <is>
          <t>Advance Salary_M 预支薪水_M</t>
        </is>
      </c>
      <c r="E1308" s="6">
        <f>IF($B1303="","",'Daily Sale entry '!L95)</f>
        <v/>
      </c>
      <c r="H1308" t="inlineStr">
        <is>
          <t>Credit Collection 赊账收款</t>
        </is>
      </c>
      <c r="I1308" s="6">
        <f>IF($B1303="","",B1308)</f>
        <v/>
      </c>
      <c r="K1308" t="inlineStr">
        <is>
          <t>Advance Salary_M 预支薪水_M</t>
        </is>
      </c>
      <c r="L1308" s="6">
        <f>IF($B1303="","",E1308)</f>
        <v/>
      </c>
    </row>
    <row r="1309">
      <c r="A1309" s="10" t="inlineStr">
        <is>
          <t>Amount 2 金额2  (Amount + Credit Collection)</t>
        </is>
      </c>
      <c r="B1309" s="11">
        <f>IF($B1303="","",ROUND(B1307+B1308,2))</f>
        <v/>
      </c>
      <c r="D1309" t="inlineStr">
        <is>
          <t>Advance Salary_H 预支薪水_H</t>
        </is>
      </c>
      <c r="E1309" s="6">
        <f>IF($B1303="","",'Daily Sale entry '!M95)</f>
        <v/>
      </c>
      <c r="H1309" s="10" t="inlineStr">
        <is>
          <t>Amount 2 金额2  (Amount + Credit Collection)</t>
        </is>
      </c>
      <c r="I1309" s="11">
        <f>IF($B1303="","",ROUND(I1307+I1308,2))</f>
        <v/>
      </c>
      <c r="K1309" t="inlineStr">
        <is>
          <t>Advance Salary_H 预支薪水_H</t>
        </is>
      </c>
      <c r="L1309" s="6">
        <f>IF($B1303="","",E1309)</f>
        <v/>
      </c>
    </row>
    <row r="1310"/>
    <row r="1311">
      <c r="A1311" s="1" t="inlineStr">
        <is>
          <t>b/f petty cash 上日备用金结转</t>
        </is>
      </c>
      <c r="B1311" s="9">
        <f>IF($B1303="","",'Daily Sale entry '!F95)</f>
        <v/>
      </c>
      <c r="D1311" s="1" t="n"/>
      <c r="E1311" s="1" t="n"/>
      <c r="H1311" s="1" t="inlineStr">
        <is>
          <t>b/f petty cash 上日备用金结转</t>
        </is>
      </c>
      <c r="I1311" s="9">
        <f>IF($B1303="","",B1311)</f>
        <v/>
      </c>
      <c r="K1311" s="1" t="n"/>
      <c r="L1311" s="1" t="n"/>
    </row>
    <row r="1312">
      <c r="A1312" t="inlineStr">
        <is>
          <t>Total (A) 总计 (A)</t>
        </is>
      </c>
      <c r="B1312" s="6">
        <f>IF($B1303="","",ROUND(B1309+B1311,2))</f>
        <v/>
      </c>
      <c r="D1312" t="inlineStr">
        <is>
          <t>Total(B) 总计 (B)</t>
        </is>
      </c>
      <c r="E1312" s="6">
        <f>IF($B1303="","",ROUND(E1304+E1305+E1306+E1307+E1308+E1309,2))</f>
        <v/>
      </c>
      <c r="H1312" t="inlineStr">
        <is>
          <t>Total© 总计 (C)</t>
        </is>
      </c>
      <c r="I1312" s="6">
        <f>IF($B1303="","",ROUND(I1309+I1311,2))</f>
        <v/>
      </c>
      <c r="K1312" t="inlineStr">
        <is>
          <t>Total(D) 总计 (D)</t>
        </is>
      </c>
      <c r="L1312" s="6">
        <f>IF($B1303="","",ROUND(L1304+L1305+L1306+L1307+L1308+L1309,2))</f>
        <v/>
      </c>
    </row>
    <row r="1313">
      <c r="A1313" s="14" t="inlineStr">
        <is>
          <t>Total = Amount 2 + b/f petty cash  (金额2 + 上日备用金)</t>
        </is>
      </c>
      <c r="H1313" s="14" t="inlineStr">
        <is>
          <t>Total = Amount 2 + b/f petty cash  (金额2 + 上日备用金)</t>
        </is>
      </c>
    </row>
    <row r="1314">
      <c r="A1314" t="inlineStr">
        <is>
          <t>Different 差额</t>
        </is>
      </c>
      <c r="B1314" s="6">
        <f>IF($B1303="","",ROUND(B1312-E1312,2))</f>
        <v/>
      </c>
      <c r="D1314">
        <f>IF($B1303="","",IF(ABS(B1314)&gt;'Opening Balance'!$B$16,"ALERT 警报: Different over RM"&amp;'Opening Balance'!$B$16&amp;" 差额超过RM"&amp;'Opening Balance'!$B$16&amp;" - please check 请检查",IF(B1314=0,"Tied 平衡",IF(ABS(B1314)&lt;='Opening Balance'!$B$13,"Small difference 小额差额: adjusted on c/f petty cash 已调整备用金",IF(B1314&gt;0,"Short 短收: added to Misc Charges 已加入杂项费用","Over 多收: added to Cash Sales 已加入现金销售")))))</f>
        <v/>
      </c>
      <c r="H1314" t="inlineStr">
        <is>
          <t>Different 差额</t>
        </is>
      </c>
      <c r="I1314" s="6">
        <f>IF($B1303="","",ROUND(I1312-L1312,2))</f>
        <v/>
      </c>
    </row>
    <row r="1315"/>
    <row r="1316"/>
    <row r="1317">
      <c r="A1317" t="inlineStr">
        <is>
          <t>Date 日期</t>
        </is>
      </c>
      <c r="B1317" s="5">
        <f>IF('Daily Sale entry '!$A96="","",'Daily Sale entry '!$A96)</f>
        <v/>
      </c>
      <c r="H1317" t="inlineStr">
        <is>
          <t>After 调整后 (After)</t>
        </is>
      </c>
      <c r="I1317" s="5">
        <f>IF($B1317="","",B1317)</f>
        <v/>
      </c>
    </row>
    <row r="1318">
      <c r="A1318" t="inlineStr">
        <is>
          <t>Cash Sales 现金销售</t>
        </is>
      </c>
      <c r="B1318" s="6">
        <f>IF($B1317="","",'Daily Sale entry '!B96)</f>
        <v/>
      </c>
      <c r="D1318" t="inlineStr">
        <is>
          <t>c/f petty cash 今日备用金结转</t>
        </is>
      </c>
      <c r="E1318" s="6">
        <f>IF($B1317="","",'Daily Sale entry '!G96)</f>
        <v/>
      </c>
      <c r="H1318" t="inlineStr">
        <is>
          <t>Cash Sales 现金销售</t>
        </is>
      </c>
      <c r="I1318" s="6">
        <f>IF($B1317="","",IF(AND(ABS(B1328)&gt;'Opening Balance'!$B$13,B1328&lt;0),ROUND(B1318-B1328,2),B1318))</f>
        <v/>
      </c>
      <c r="K1318" t="inlineStr">
        <is>
          <t>c/f petty cash 今日备用金结转</t>
        </is>
      </c>
      <c r="L1318" s="6">
        <f>IF($B1317="","",IF(ABS(B1328)&lt;='Opening Balance'!$B$13,ROUND(E1318+B1328,2),E1318))</f>
        <v/>
      </c>
    </row>
    <row r="1319">
      <c r="A1319" t="inlineStr">
        <is>
          <t>Misc Charges 杂项费用</t>
        </is>
      </c>
      <c r="B1319" s="6">
        <f>IF($B1317="","",'Daily Sale entry '!C96)</f>
        <v/>
      </c>
      <c r="D1319" t="inlineStr">
        <is>
          <t>cash collection 现金收款</t>
        </is>
      </c>
      <c r="E1319" s="6">
        <f>IF($B1317="","",'Daily Sale entry '!H96)</f>
        <v/>
      </c>
      <c r="H1319" t="inlineStr">
        <is>
          <t>Misc Charges 杂项费用</t>
        </is>
      </c>
      <c r="I1319" s="6">
        <f>IF($B1317="","",IF(AND(ABS(B1328)&gt;'Opening Balance'!$B$13,B1328&gt;0),ROUND(B1319+B1328,2),B1319))</f>
        <v/>
      </c>
      <c r="K1319" t="inlineStr">
        <is>
          <t>cash collection 现金收款</t>
        </is>
      </c>
      <c r="L1319" s="6">
        <f>IF($B1317="","",E1319)</f>
        <v/>
      </c>
    </row>
    <row r="1320">
      <c r="A1320" s="1" t="inlineStr">
        <is>
          <t>Other Charges 其他费用</t>
        </is>
      </c>
      <c r="B1320" s="9">
        <f>IF($B1317="","",'Daily Sale entry '!D96)</f>
        <v/>
      </c>
      <c r="D1320" s="1" t="inlineStr">
        <is>
          <t>Cheque Collection 支票收款</t>
        </is>
      </c>
      <c r="E1320" s="9">
        <f>IF($B1317="","",'Daily Sale entry '!J96)</f>
        <v/>
      </c>
      <c r="H1320" s="1" t="inlineStr">
        <is>
          <t>Other Charges 其他费用</t>
        </is>
      </c>
      <c r="I1320" s="9">
        <f>IF($B1317="","",B1320)</f>
        <v/>
      </c>
      <c r="K1320" s="1" t="inlineStr">
        <is>
          <t>Cheque Collection 支票收款</t>
        </is>
      </c>
      <c r="L1320" s="9">
        <f>IF($B1317="","",E1320)</f>
        <v/>
      </c>
    </row>
    <row r="1321">
      <c r="A1321" s="10" t="inlineStr">
        <is>
          <t>Amount 金额  (Cash Sales - Misc - Other)</t>
        </is>
      </c>
      <c r="B1321" s="11">
        <f>IF($B1317="","",ROUND(B1318-B1319-B1320,2))</f>
        <v/>
      </c>
      <c r="D1321" s="12" t="inlineStr">
        <is>
          <t>TNG collection TNG收款</t>
        </is>
      </c>
      <c r="E1321" s="13">
        <f>IF($B1317="","",'Daily Sale entry '!K96)</f>
        <v/>
      </c>
      <c r="H1321" s="10" t="inlineStr">
        <is>
          <t>Amount 金额  (Cash Sales - Misc - Other)</t>
        </is>
      </c>
      <c r="I1321" s="11">
        <f>IF($B1317="","",ROUND(I1318-I1319-I1320,2))</f>
        <v/>
      </c>
      <c r="K1321" s="12" t="inlineStr">
        <is>
          <t>TNG collection TNG收款</t>
        </is>
      </c>
      <c r="L1321" s="13">
        <f>IF($B1317="","",E1321)</f>
        <v/>
      </c>
    </row>
    <row r="1322">
      <c r="A1322" t="inlineStr">
        <is>
          <t>Credit Collection 赊账收款</t>
        </is>
      </c>
      <c r="B1322" s="6">
        <f>IF($B1317="","",'Daily Sale entry '!E96)</f>
        <v/>
      </c>
      <c r="D1322" t="inlineStr">
        <is>
          <t>Advance Salary_M 预支薪水_M</t>
        </is>
      </c>
      <c r="E1322" s="6">
        <f>IF($B1317="","",'Daily Sale entry '!L96)</f>
        <v/>
      </c>
      <c r="H1322" t="inlineStr">
        <is>
          <t>Credit Collection 赊账收款</t>
        </is>
      </c>
      <c r="I1322" s="6">
        <f>IF($B1317="","",B1322)</f>
        <v/>
      </c>
      <c r="K1322" t="inlineStr">
        <is>
          <t>Advance Salary_M 预支薪水_M</t>
        </is>
      </c>
      <c r="L1322" s="6">
        <f>IF($B1317="","",E1322)</f>
        <v/>
      </c>
    </row>
    <row r="1323">
      <c r="A1323" s="10" t="inlineStr">
        <is>
          <t>Amount 2 金额2  (Amount + Credit Collection)</t>
        </is>
      </c>
      <c r="B1323" s="11">
        <f>IF($B1317="","",ROUND(B1321+B1322,2))</f>
        <v/>
      </c>
      <c r="D1323" t="inlineStr">
        <is>
          <t>Advance Salary_H 预支薪水_H</t>
        </is>
      </c>
      <c r="E1323" s="6">
        <f>IF($B1317="","",'Daily Sale entry '!M96)</f>
        <v/>
      </c>
      <c r="H1323" s="10" t="inlineStr">
        <is>
          <t>Amount 2 金额2  (Amount + Credit Collection)</t>
        </is>
      </c>
      <c r="I1323" s="11">
        <f>IF($B1317="","",ROUND(I1321+I1322,2))</f>
        <v/>
      </c>
      <c r="K1323" t="inlineStr">
        <is>
          <t>Advance Salary_H 预支薪水_H</t>
        </is>
      </c>
      <c r="L1323" s="6">
        <f>IF($B1317="","",E1323)</f>
        <v/>
      </c>
    </row>
    <row r="1324"/>
    <row r="1325">
      <c r="A1325" s="1" t="inlineStr">
        <is>
          <t>b/f petty cash 上日备用金结转</t>
        </is>
      </c>
      <c r="B1325" s="9">
        <f>IF($B1317="","",'Daily Sale entry '!F96)</f>
        <v/>
      </c>
      <c r="D1325" s="1" t="n"/>
      <c r="E1325" s="1" t="n"/>
      <c r="H1325" s="1" t="inlineStr">
        <is>
          <t>b/f petty cash 上日备用金结转</t>
        </is>
      </c>
      <c r="I1325" s="9">
        <f>IF($B1317="","",B1325)</f>
        <v/>
      </c>
      <c r="K1325" s="1" t="n"/>
      <c r="L1325" s="1" t="n"/>
    </row>
    <row r="1326">
      <c r="A1326" t="inlineStr">
        <is>
          <t>Total (A) 总计 (A)</t>
        </is>
      </c>
      <c r="B1326" s="6">
        <f>IF($B1317="","",ROUND(B1323+B1325,2))</f>
        <v/>
      </c>
      <c r="D1326" t="inlineStr">
        <is>
          <t>Total(B) 总计 (B)</t>
        </is>
      </c>
      <c r="E1326" s="6">
        <f>IF($B1317="","",ROUND(E1318+E1319+E1320+E1321+E1322+E1323,2))</f>
        <v/>
      </c>
      <c r="H1326" t="inlineStr">
        <is>
          <t>Total© 总计 (C)</t>
        </is>
      </c>
      <c r="I1326" s="6">
        <f>IF($B1317="","",ROUND(I1323+I1325,2))</f>
        <v/>
      </c>
      <c r="K1326" t="inlineStr">
        <is>
          <t>Total(D) 总计 (D)</t>
        </is>
      </c>
      <c r="L1326" s="6">
        <f>IF($B1317="","",ROUND(L1318+L1319+L1320+L1321+L1322+L1323,2))</f>
        <v/>
      </c>
    </row>
    <row r="1327">
      <c r="A1327" s="14" t="inlineStr">
        <is>
          <t>Total = Amount 2 + b/f petty cash  (金额2 + 上日备用金)</t>
        </is>
      </c>
      <c r="H1327" s="14" t="inlineStr">
        <is>
          <t>Total = Amount 2 + b/f petty cash  (金额2 + 上日备用金)</t>
        </is>
      </c>
    </row>
    <row r="1328">
      <c r="A1328" t="inlineStr">
        <is>
          <t>Different 差额</t>
        </is>
      </c>
      <c r="B1328" s="6">
        <f>IF($B1317="","",ROUND(B1326-E1326,2))</f>
        <v/>
      </c>
      <c r="D1328">
        <f>IF($B1317="","",IF(ABS(B1328)&gt;'Opening Balance'!$B$16,"ALERT 警报: Different over RM"&amp;'Opening Balance'!$B$16&amp;" 差额超过RM"&amp;'Opening Balance'!$B$16&amp;" - please check 请检查",IF(B1328=0,"Tied 平衡",IF(ABS(B1328)&lt;='Opening Balance'!$B$13,"Small difference 小额差额: adjusted on c/f petty cash 已调整备用金",IF(B1328&gt;0,"Short 短收: added to Misc Charges 已加入杂项费用","Over 多收: added to Cash Sales 已加入现金销售")))))</f>
        <v/>
      </c>
      <c r="H1328" t="inlineStr">
        <is>
          <t>Different 差额</t>
        </is>
      </c>
      <c r="I1328" s="6">
        <f>IF($B1317="","",ROUND(I1326-L1326,2))</f>
        <v/>
      </c>
    </row>
    <row r="1329"/>
    <row r="1330"/>
    <row r="1331">
      <c r="A1331" t="inlineStr">
        <is>
          <t>Date 日期</t>
        </is>
      </c>
      <c r="B1331" s="5">
        <f>IF('Daily Sale entry '!$A97="","",'Daily Sale entry '!$A97)</f>
        <v/>
      </c>
      <c r="H1331" t="inlineStr">
        <is>
          <t>After 调整后 (After)</t>
        </is>
      </c>
      <c r="I1331" s="5">
        <f>IF($B1331="","",B1331)</f>
        <v/>
      </c>
    </row>
    <row r="1332">
      <c r="A1332" t="inlineStr">
        <is>
          <t>Cash Sales 现金销售</t>
        </is>
      </c>
      <c r="B1332" s="6">
        <f>IF($B1331="","",'Daily Sale entry '!B97)</f>
        <v/>
      </c>
      <c r="D1332" t="inlineStr">
        <is>
          <t>c/f petty cash 今日备用金结转</t>
        </is>
      </c>
      <c r="E1332" s="6">
        <f>IF($B1331="","",'Daily Sale entry '!G97)</f>
        <v/>
      </c>
      <c r="H1332" t="inlineStr">
        <is>
          <t>Cash Sales 现金销售</t>
        </is>
      </c>
      <c r="I1332" s="6">
        <f>IF($B1331="","",IF(AND(ABS(B1342)&gt;'Opening Balance'!$B$13,B1342&lt;0),ROUND(B1332-B1342,2),B1332))</f>
        <v/>
      </c>
      <c r="K1332" t="inlineStr">
        <is>
          <t>c/f petty cash 今日备用金结转</t>
        </is>
      </c>
      <c r="L1332" s="6">
        <f>IF($B1331="","",IF(ABS(B1342)&lt;='Opening Balance'!$B$13,ROUND(E1332+B1342,2),E1332))</f>
        <v/>
      </c>
    </row>
    <row r="1333">
      <c r="A1333" t="inlineStr">
        <is>
          <t>Misc Charges 杂项费用</t>
        </is>
      </c>
      <c r="B1333" s="6">
        <f>IF($B1331="","",'Daily Sale entry '!C97)</f>
        <v/>
      </c>
      <c r="D1333" t="inlineStr">
        <is>
          <t>cash collection 现金收款</t>
        </is>
      </c>
      <c r="E1333" s="6">
        <f>IF($B1331="","",'Daily Sale entry '!H97)</f>
        <v/>
      </c>
      <c r="H1333" t="inlineStr">
        <is>
          <t>Misc Charges 杂项费用</t>
        </is>
      </c>
      <c r="I1333" s="6">
        <f>IF($B1331="","",IF(AND(ABS(B1342)&gt;'Opening Balance'!$B$13,B1342&gt;0),ROUND(B1333+B1342,2),B1333))</f>
        <v/>
      </c>
      <c r="K1333" t="inlineStr">
        <is>
          <t>cash collection 现金收款</t>
        </is>
      </c>
      <c r="L1333" s="6">
        <f>IF($B1331="","",E1333)</f>
        <v/>
      </c>
    </row>
    <row r="1334">
      <c r="A1334" s="1" t="inlineStr">
        <is>
          <t>Other Charges 其他费用</t>
        </is>
      </c>
      <c r="B1334" s="9">
        <f>IF($B1331="","",'Daily Sale entry '!D97)</f>
        <v/>
      </c>
      <c r="D1334" s="1" t="inlineStr">
        <is>
          <t>Cheque Collection 支票收款</t>
        </is>
      </c>
      <c r="E1334" s="9">
        <f>IF($B1331="","",'Daily Sale entry '!J97)</f>
        <v/>
      </c>
      <c r="H1334" s="1" t="inlineStr">
        <is>
          <t>Other Charges 其他费用</t>
        </is>
      </c>
      <c r="I1334" s="9">
        <f>IF($B1331="","",B1334)</f>
        <v/>
      </c>
      <c r="K1334" s="1" t="inlineStr">
        <is>
          <t>Cheque Collection 支票收款</t>
        </is>
      </c>
      <c r="L1334" s="9">
        <f>IF($B1331="","",E1334)</f>
        <v/>
      </c>
    </row>
    <row r="1335">
      <c r="A1335" s="10" t="inlineStr">
        <is>
          <t>Amount 金额  (Cash Sales - Misc - Other)</t>
        </is>
      </c>
      <c r="B1335" s="11">
        <f>IF($B1331="","",ROUND(B1332-B1333-B1334,2))</f>
        <v/>
      </c>
      <c r="D1335" s="12" t="inlineStr">
        <is>
          <t>TNG collection TNG收款</t>
        </is>
      </c>
      <c r="E1335" s="13">
        <f>IF($B1331="","",'Daily Sale entry '!K97)</f>
        <v/>
      </c>
      <c r="H1335" s="10" t="inlineStr">
        <is>
          <t>Amount 金额  (Cash Sales - Misc - Other)</t>
        </is>
      </c>
      <c r="I1335" s="11">
        <f>IF($B1331="","",ROUND(I1332-I1333-I1334,2))</f>
        <v/>
      </c>
      <c r="K1335" s="12" t="inlineStr">
        <is>
          <t>TNG collection TNG收款</t>
        </is>
      </c>
      <c r="L1335" s="13">
        <f>IF($B1331="","",E1335)</f>
        <v/>
      </c>
    </row>
    <row r="1336">
      <c r="A1336" t="inlineStr">
        <is>
          <t>Credit Collection 赊账收款</t>
        </is>
      </c>
      <c r="B1336" s="6">
        <f>IF($B1331="","",'Daily Sale entry '!E97)</f>
        <v/>
      </c>
      <c r="D1336" t="inlineStr">
        <is>
          <t>Advance Salary_M 预支薪水_M</t>
        </is>
      </c>
      <c r="E1336" s="6">
        <f>IF($B1331="","",'Daily Sale entry '!L97)</f>
        <v/>
      </c>
      <c r="H1336" t="inlineStr">
        <is>
          <t>Credit Collection 赊账收款</t>
        </is>
      </c>
      <c r="I1336" s="6">
        <f>IF($B1331="","",B1336)</f>
        <v/>
      </c>
      <c r="K1336" t="inlineStr">
        <is>
          <t>Advance Salary_M 预支薪水_M</t>
        </is>
      </c>
      <c r="L1336" s="6">
        <f>IF($B1331="","",E1336)</f>
        <v/>
      </c>
    </row>
    <row r="1337">
      <c r="A1337" s="10" t="inlineStr">
        <is>
          <t>Amount 2 金额2  (Amount + Credit Collection)</t>
        </is>
      </c>
      <c r="B1337" s="11">
        <f>IF($B1331="","",ROUND(B1335+B1336,2))</f>
        <v/>
      </c>
      <c r="D1337" t="inlineStr">
        <is>
          <t>Advance Salary_H 预支薪水_H</t>
        </is>
      </c>
      <c r="E1337" s="6">
        <f>IF($B1331="","",'Daily Sale entry '!M97)</f>
        <v/>
      </c>
      <c r="H1337" s="10" t="inlineStr">
        <is>
          <t>Amount 2 金额2  (Amount + Credit Collection)</t>
        </is>
      </c>
      <c r="I1337" s="11">
        <f>IF($B1331="","",ROUND(I1335+I1336,2))</f>
        <v/>
      </c>
      <c r="K1337" t="inlineStr">
        <is>
          <t>Advance Salary_H 预支薪水_H</t>
        </is>
      </c>
      <c r="L1337" s="6">
        <f>IF($B1331="","",E1337)</f>
        <v/>
      </c>
    </row>
    <row r="1338"/>
    <row r="1339">
      <c r="A1339" s="1" t="inlineStr">
        <is>
          <t>b/f petty cash 上日备用金结转</t>
        </is>
      </c>
      <c r="B1339" s="9">
        <f>IF($B1331="","",'Daily Sale entry '!F97)</f>
        <v/>
      </c>
      <c r="D1339" s="1" t="n"/>
      <c r="E1339" s="1" t="n"/>
      <c r="H1339" s="1" t="inlineStr">
        <is>
          <t>b/f petty cash 上日备用金结转</t>
        </is>
      </c>
      <c r="I1339" s="9">
        <f>IF($B1331="","",B1339)</f>
        <v/>
      </c>
      <c r="K1339" s="1" t="n"/>
      <c r="L1339" s="1" t="n"/>
    </row>
    <row r="1340">
      <c r="A1340" t="inlineStr">
        <is>
          <t>Total (A) 总计 (A)</t>
        </is>
      </c>
      <c r="B1340" s="6">
        <f>IF($B1331="","",ROUND(B1337+B1339,2))</f>
        <v/>
      </c>
      <c r="D1340" t="inlineStr">
        <is>
          <t>Total(B) 总计 (B)</t>
        </is>
      </c>
      <c r="E1340" s="6">
        <f>IF($B1331="","",ROUND(E1332+E1333+E1334+E1335+E1336+E1337,2))</f>
        <v/>
      </c>
      <c r="H1340" t="inlineStr">
        <is>
          <t>Total© 总计 (C)</t>
        </is>
      </c>
      <c r="I1340" s="6">
        <f>IF($B1331="","",ROUND(I1337+I1339,2))</f>
        <v/>
      </c>
      <c r="K1340" t="inlineStr">
        <is>
          <t>Total(D) 总计 (D)</t>
        </is>
      </c>
      <c r="L1340" s="6">
        <f>IF($B1331="","",ROUND(L1332+L1333+L1334+L1335+L1336+L1337,2))</f>
        <v/>
      </c>
    </row>
    <row r="1341">
      <c r="A1341" s="14" t="inlineStr">
        <is>
          <t>Total = Amount 2 + b/f petty cash  (金额2 + 上日备用金)</t>
        </is>
      </c>
      <c r="H1341" s="14" t="inlineStr">
        <is>
          <t>Total = Amount 2 + b/f petty cash  (金额2 + 上日备用金)</t>
        </is>
      </c>
    </row>
    <row r="1342">
      <c r="A1342" t="inlineStr">
        <is>
          <t>Different 差额</t>
        </is>
      </c>
      <c r="B1342" s="6">
        <f>IF($B1331="","",ROUND(B1340-E1340,2))</f>
        <v/>
      </c>
      <c r="D1342">
        <f>IF($B1331="","",IF(ABS(B1342)&gt;'Opening Balance'!$B$16,"ALERT 警报: Different over RM"&amp;'Opening Balance'!$B$16&amp;" 差额超过RM"&amp;'Opening Balance'!$B$16&amp;" - please check 请检查",IF(B1342=0,"Tied 平衡",IF(ABS(B1342)&lt;='Opening Balance'!$B$13,"Small difference 小额差额: adjusted on c/f petty cash 已调整备用金",IF(B1342&gt;0,"Short 短收: added to Misc Charges 已加入杂项费用","Over 多收: added to Cash Sales 已加入现金销售")))))</f>
        <v/>
      </c>
      <c r="H1342" t="inlineStr">
        <is>
          <t>Different 差额</t>
        </is>
      </c>
      <c r="I1342" s="6">
        <f>IF($B1331="","",ROUND(I1340-L1340,2))</f>
        <v/>
      </c>
    </row>
    <row r="1343"/>
    <row r="1344"/>
    <row r="1345">
      <c r="A1345" t="inlineStr">
        <is>
          <t>Date 日期</t>
        </is>
      </c>
      <c r="B1345" s="5">
        <f>IF('Daily Sale entry '!$A98="","",'Daily Sale entry '!$A98)</f>
        <v/>
      </c>
      <c r="H1345" t="inlineStr">
        <is>
          <t>After 调整后 (After)</t>
        </is>
      </c>
      <c r="I1345" s="5">
        <f>IF($B1345="","",B1345)</f>
        <v/>
      </c>
    </row>
    <row r="1346">
      <c r="A1346" t="inlineStr">
        <is>
          <t>Cash Sales 现金销售</t>
        </is>
      </c>
      <c r="B1346" s="6">
        <f>IF($B1345="","",'Daily Sale entry '!B98)</f>
        <v/>
      </c>
      <c r="D1346" t="inlineStr">
        <is>
          <t>c/f petty cash 今日备用金结转</t>
        </is>
      </c>
      <c r="E1346" s="6">
        <f>IF($B1345="","",'Daily Sale entry '!G98)</f>
        <v/>
      </c>
      <c r="H1346" t="inlineStr">
        <is>
          <t>Cash Sales 现金销售</t>
        </is>
      </c>
      <c r="I1346" s="6">
        <f>IF($B1345="","",IF(AND(ABS(B1356)&gt;'Opening Balance'!$B$13,B1356&lt;0),ROUND(B1346-B1356,2),B1346))</f>
        <v/>
      </c>
      <c r="K1346" t="inlineStr">
        <is>
          <t>c/f petty cash 今日备用金结转</t>
        </is>
      </c>
      <c r="L1346" s="6">
        <f>IF($B1345="","",IF(ABS(B1356)&lt;='Opening Balance'!$B$13,ROUND(E1346+B1356,2),E1346))</f>
        <v/>
      </c>
    </row>
    <row r="1347">
      <c r="A1347" t="inlineStr">
        <is>
          <t>Misc Charges 杂项费用</t>
        </is>
      </c>
      <c r="B1347" s="6">
        <f>IF($B1345="","",'Daily Sale entry '!C98)</f>
        <v/>
      </c>
      <c r="D1347" t="inlineStr">
        <is>
          <t>cash collection 现金收款</t>
        </is>
      </c>
      <c r="E1347" s="6">
        <f>IF($B1345="","",'Daily Sale entry '!H98)</f>
        <v/>
      </c>
      <c r="H1347" t="inlineStr">
        <is>
          <t>Misc Charges 杂项费用</t>
        </is>
      </c>
      <c r="I1347" s="6">
        <f>IF($B1345="","",IF(AND(ABS(B1356)&gt;'Opening Balance'!$B$13,B1356&gt;0),ROUND(B1347+B1356,2),B1347))</f>
        <v/>
      </c>
      <c r="K1347" t="inlineStr">
        <is>
          <t>cash collection 现金收款</t>
        </is>
      </c>
      <c r="L1347" s="6">
        <f>IF($B1345="","",E1347)</f>
        <v/>
      </c>
    </row>
    <row r="1348">
      <c r="A1348" s="1" t="inlineStr">
        <is>
          <t>Other Charges 其他费用</t>
        </is>
      </c>
      <c r="B1348" s="9">
        <f>IF($B1345="","",'Daily Sale entry '!D98)</f>
        <v/>
      </c>
      <c r="D1348" s="1" t="inlineStr">
        <is>
          <t>Cheque Collection 支票收款</t>
        </is>
      </c>
      <c r="E1348" s="9">
        <f>IF($B1345="","",'Daily Sale entry '!J98)</f>
        <v/>
      </c>
      <c r="H1348" s="1" t="inlineStr">
        <is>
          <t>Other Charges 其他费用</t>
        </is>
      </c>
      <c r="I1348" s="9">
        <f>IF($B1345="","",B1348)</f>
        <v/>
      </c>
      <c r="K1348" s="1" t="inlineStr">
        <is>
          <t>Cheque Collection 支票收款</t>
        </is>
      </c>
      <c r="L1348" s="9">
        <f>IF($B1345="","",E1348)</f>
        <v/>
      </c>
    </row>
    <row r="1349">
      <c r="A1349" s="10" t="inlineStr">
        <is>
          <t>Amount 金额  (Cash Sales - Misc - Other)</t>
        </is>
      </c>
      <c r="B1349" s="11">
        <f>IF($B1345="","",ROUND(B1346-B1347-B1348,2))</f>
        <v/>
      </c>
      <c r="D1349" s="12" t="inlineStr">
        <is>
          <t>TNG collection TNG收款</t>
        </is>
      </c>
      <c r="E1349" s="13">
        <f>IF($B1345="","",'Daily Sale entry '!K98)</f>
        <v/>
      </c>
      <c r="H1349" s="10" t="inlineStr">
        <is>
          <t>Amount 金额  (Cash Sales - Misc - Other)</t>
        </is>
      </c>
      <c r="I1349" s="11">
        <f>IF($B1345="","",ROUND(I1346-I1347-I1348,2))</f>
        <v/>
      </c>
      <c r="K1349" s="12" t="inlineStr">
        <is>
          <t>TNG collection TNG收款</t>
        </is>
      </c>
      <c r="L1349" s="13">
        <f>IF($B1345="","",E1349)</f>
        <v/>
      </c>
    </row>
    <row r="1350">
      <c r="A1350" t="inlineStr">
        <is>
          <t>Credit Collection 赊账收款</t>
        </is>
      </c>
      <c r="B1350" s="6">
        <f>IF($B1345="","",'Daily Sale entry '!E98)</f>
        <v/>
      </c>
      <c r="D1350" t="inlineStr">
        <is>
          <t>Advance Salary_M 预支薪水_M</t>
        </is>
      </c>
      <c r="E1350" s="6">
        <f>IF($B1345="","",'Daily Sale entry '!L98)</f>
        <v/>
      </c>
      <c r="H1350" t="inlineStr">
        <is>
          <t>Credit Collection 赊账收款</t>
        </is>
      </c>
      <c r="I1350" s="6">
        <f>IF($B1345="","",B1350)</f>
        <v/>
      </c>
      <c r="K1350" t="inlineStr">
        <is>
          <t>Advance Salary_M 预支薪水_M</t>
        </is>
      </c>
      <c r="L1350" s="6">
        <f>IF($B1345="","",E1350)</f>
        <v/>
      </c>
    </row>
    <row r="1351">
      <c r="A1351" s="10" t="inlineStr">
        <is>
          <t>Amount 2 金额2  (Amount + Credit Collection)</t>
        </is>
      </c>
      <c r="B1351" s="11">
        <f>IF($B1345="","",ROUND(B1349+B1350,2))</f>
        <v/>
      </c>
      <c r="D1351" t="inlineStr">
        <is>
          <t>Advance Salary_H 预支薪水_H</t>
        </is>
      </c>
      <c r="E1351" s="6">
        <f>IF($B1345="","",'Daily Sale entry '!M98)</f>
        <v/>
      </c>
      <c r="H1351" s="10" t="inlineStr">
        <is>
          <t>Amount 2 金额2  (Amount + Credit Collection)</t>
        </is>
      </c>
      <c r="I1351" s="11">
        <f>IF($B1345="","",ROUND(I1349+I1350,2))</f>
        <v/>
      </c>
      <c r="K1351" t="inlineStr">
        <is>
          <t>Advance Salary_H 预支薪水_H</t>
        </is>
      </c>
      <c r="L1351" s="6">
        <f>IF($B1345="","",E1351)</f>
        <v/>
      </c>
    </row>
    <row r="1352"/>
    <row r="1353">
      <c r="A1353" s="1" t="inlineStr">
        <is>
          <t>b/f petty cash 上日备用金结转</t>
        </is>
      </c>
      <c r="B1353" s="9">
        <f>IF($B1345="","",'Daily Sale entry '!F98)</f>
        <v/>
      </c>
      <c r="D1353" s="1" t="n"/>
      <c r="E1353" s="1" t="n"/>
      <c r="H1353" s="1" t="inlineStr">
        <is>
          <t>b/f petty cash 上日备用金结转</t>
        </is>
      </c>
      <c r="I1353" s="9">
        <f>IF($B1345="","",B1353)</f>
        <v/>
      </c>
      <c r="K1353" s="1" t="n"/>
      <c r="L1353" s="1" t="n"/>
    </row>
    <row r="1354">
      <c r="A1354" t="inlineStr">
        <is>
          <t>Total (A) 总计 (A)</t>
        </is>
      </c>
      <c r="B1354" s="6">
        <f>IF($B1345="","",ROUND(B1351+B1353,2))</f>
        <v/>
      </c>
      <c r="D1354" t="inlineStr">
        <is>
          <t>Total(B) 总计 (B)</t>
        </is>
      </c>
      <c r="E1354" s="6">
        <f>IF($B1345="","",ROUND(E1346+E1347+E1348+E1349+E1350+E1351,2))</f>
        <v/>
      </c>
      <c r="H1354" t="inlineStr">
        <is>
          <t>Total© 总计 (C)</t>
        </is>
      </c>
      <c r="I1354" s="6">
        <f>IF($B1345="","",ROUND(I1351+I1353,2))</f>
        <v/>
      </c>
      <c r="K1354" t="inlineStr">
        <is>
          <t>Total(D) 总计 (D)</t>
        </is>
      </c>
      <c r="L1354" s="6">
        <f>IF($B1345="","",ROUND(L1346+L1347+L1348+L1349+L1350+L1351,2))</f>
        <v/>
      </c>
    </row>
    <row r="1355">
      <c r="A1355" s="14" t="inlineStr">
        <is>
          <t>Total = Amount 2 + b/f petty cash  (金额2 + 上日备用金)</t>
        </is>
      </c>
      <c r="H1355" s="14" t="inlineStr">
        <is>
          <t>Total = Amount 2 + b/f petty cash  (金额2 + 上日备用金)</t>
        </is>
      </c>
    </row>
    <row r="1356">
      <c r="A1356" t="inlineStr">
        <is>
          <t>Different 差额</t>
        </is>
      </c>
      <c r="B1356" s="6">
        <f>IF($B1345="","",ROUND(B1354-E1354,2))</f>
        <v/>
      </c>
      <c r="D1356">
        <f>IF($B1345="","",IF(ABS(B1356)&gt;'Opening Balance'!$B$16,"ALERT 警报: Different over RM"&amp;'Opening Balance'!$B$16&amp;" 差额超过RM"&amp;'Opening Balance'!$B$16&amp;" - please check 请检查",IF(B1356=0,"Tied 平衡",IF(ABS(B1356)&lt;='Opening Balance'!$B$13,"Small difference 小额差额: adjusted on c/f petty cash 已调整备用金",IF(B1356&gt;0,"Short 短收: added to Misc Charges 已加入杂项费用","Over 多收: added to Cash Sales 已加入现金销售")))))</f>
        <v/>
      </c>
      <c r="H1356" t="inlineStr">
        <is>
          <t>Different 差额</t>
        </is>
      </c>
      <c r="I1356" s="6">
        <f>IF($B1345="","",ROUND(I1354-L1354,2))</f>
        <v/>
      </c>
    </row>
    <row r="1357"/>
    <row r="1358"/>
    <row r="1359">
      <c r="A1359" t="inlineStr">
        <is>
          <t>Date 日期</t>
        </is>
      </c>
      <c r="B1359" s="5">
        <f>IF('Daily Sale entry '!$A99="","",'Daily Sale entry '!$A99)</f>
        <v/>
      </c>
      <c r="H1359" t="inlineStr">
        <is>
          <t>After 调整后 (After)</t>
        </is>
      </c>
      <c r="I1359" s="5">
        <f>IF($B1359="","",B1359)</f>
        <v/>
      </c>
    </row>
    <row r="1360">
      <c r="A1360" t="inlineStr">
        <is>
          <t>Cash Sales 现金销售</t>
        </is>
      </c>
      <c r="B1360" s="6">
        <f>IF($B1359="","",'Daily Sale entry '!B99)</f>
        <v/>
      </c>
      <c r="D1360" t="inlineStr">
        <is>
          <t>c/f petty cash 今日备用金结转</t>
        </is>
      </c>
      <c r="E1360" s="6">
        <f>IF($B1359="","",'Daily Sale entry '!G99)</f>
        <v/>
      </c>
      <c r="H1360" t="inlineStr">
        <is>
          <t>Cash Sales 现金销售</t>
        </is>
      </c>
      <c r="I1360" s="6">
        <f>IF($B1359="","",IF(AND(ABS(B1370)&gt;'Opening Balance'!$B$13,B1370&lt;0),ROUND(B1360-B1370,2),B1360))</f>
        <v/>
      </c>
      <c r="K1360" t="inlineStr">
        <is>
          <t>c/f petty cash 今日备用金结转</t>
        </is>
      </c>
      <c r="L1360" s="6">
        <f>IF($B1359="","",IF(ABS(B1370)&lt;='Opening Balance'!$B$13,ROUND(E1360+B1370,2),E1360))</f>
        <v/>
      </c>
    </row>
    <row r="1361">
      <c r="A1361" t="inlineStr">
        <is>
          <t>Misc Charges 杂项费用</t>
        </is>
      </c>
      <c r="B1361" s="6">
        <f>IF($B1359="","",'Daily Sale entry '!C99)</f>
        <v/>
      </c>
      <c r="D1361" t="inlineStr">
        <is>
          <t>cash collection 现金收款</t>
        </is>
      </c>
      <c r="E1361" s="6">
        <f>IF($B1359="","",'Daily Sale entry '!H99)</f>
        <v/>
      </c>
      <c r="H1361" t="inlineStr">
        <is>
          <t>Misc Charges 杂项费用</t>
        </is>
      </c>
      <c r="I1361" s="6">
        <f>IF($B1359="","",IF(AND(ABS(B1370)&gt;'Opening Balance'!$B$13,B1370&gt;0),ROUND(B1361+B1370,2),B1361))</f>
        <v/>
      </c>
      <c r="K1361" t="inlineStr">
        <is>
          <t>cash collection 现金收款</t>
        </is>
      </c>
      <c r="L1361" s="6">
        <f>IF($B1359="","",E1361)</f>
        <v/>
      </c>
    </row>
    <row r="1362">
      <c r="A1362" s="1" t="inlineStr">
        <is>
          <t>Other Charges 其他费用</t>
        </is>
      </c>
      <c r="B1362" s="9">
        <f>IF($B1359="","",'Daily Sale entry '!D99)</f>
        <v/>
      </c>
      <c r="D1362" s="1" t="inlineStr">
        <is>
          <t>Cheque Collection 支票收款</t>
        </is>
      </c>
      <c r="E1362" s="9">
        <f>IF($B1359="","",'Daily Sale entry '!J99)</f>
        <v/>
      </c>
      <c r="H1362" s="1" t="inlineStr">
        <is>
          <t>Other Charges 其他费用</t>
        </is>
      </c>
      <c r="I1362" s="9">
        <f>IF($B1359="","",B1362)</f>
        <v/>
      </c>
      <c r="K1362" s="1" t="inlineStr">
        <is>
          <t>Cheque Collection 支票收款</t>
        </is>
      </c>
      <c r="L1362" s="9">
        <f>IF($B1359="","",E1362)</f>
        <v/>
      </c>
    </row>
    <row r="1363">
      <c r="A1363" s="10" t="inlineStr">
        <is>
          <t>Amount 金额  (Cash Sales - Misc - Other)</t>
        </is>
      </c>
      <c r="B1363" s="11">
        <f>IF($B1359="","",ROUND(B1360-B1361-B1362,2))</f>
        <v/>
      </c>
      <c r="D1363" s="12" t="inlineStr">
        <is>
          <t>TNG collection TNG收款</t>
        </is>
      </c>
      <c r="E1363" s="13">
        <f>IF($B1359="","",'Daily Sale entry '!K99)</f>
        <v/>
      </c>
      <c r="H1363" s="10" t="inlineStr">
        <is>
          <t>Amount 金额  (Cash Sales - Misc - Other)</t>
        </is>
      </c>
      <c r="I1363" s="11">
        <f>IF($B1359="","",ROUND(I1360-I1361-I1362,2))</f>
        <v/>
      </c>
      <c r="K1363" s="12" t="inlineStr">
        <is>
          <t>TNG collection TNG收款</t>
        </is>
      </c>
      <c r="L1363" s="13">
        <f>IF($B1359="","",E1363)</f>
        <v/>
      </c>
    </row>
    <row r="1364">
      <c r="A1364" t="inlineStr">
        <is>
          <t>Credit Collection 赊账收款</t>
        </is>
      </c>
      <c r="B1364" s="6">
        <f>IF($B1359="","",'Daily Sale entry '!E99)</f>
        <v/>
      </c>
      <c r="D1364" t="inlineStr">
        <is>
          <t>Advance Salary_M 预支薪水_M</t>
        </is>
      </c>
      <c r="E1364" s="6">
        <f>IF($B1359="","",'Daily Sale entry '!L99)</f>
        <v/>
      </c>
      <c r="H1364" t="inlineStr">
        <is>
          <t>Credit Collection 赊账收款</t>
        </is>
      </c>
      <c r="I1364" s="6">
        <f>IF($B1359="","",B1364)</f>
        <v/>
      </c>
      <c r="K1364" t="inlineStr">
        <is>
          <t>Advance Salary_M 预支薪水_M</t>
        </is>
      </c>
      <c r="L1364" s="6">
        <f>IF($B1359="","",E1364)</f>
        <v/>
      </c>
    </row>
    <row r="1365">
      <c r="A1365" s="10" t="inlineStr">
        <is>
          <t>Amount 2 金额2  (Amount + Credit Collection)</t>
        </is>
      </c>
      <c r="B1365" s="11">
        <f>IF($B1359="","",ROUND(B1363+B1364,2))</f>
        <v/>
      </c>
      <c r="D1365" t="inlineStr">
        <is>
          <t>Advance Salary_H 预支薪水_H</t>
        </is>
      </c>
      <c r="E1365" s="6">
        <f>IF($B1359="","",'Daily Sale entry '!M99)</f>
        <v/>
      </c>
      <c r="H1365" s="10" t="inlineStr">
        <is>
          <t>Amount 2 金额2  (Amount + Credit Collection)</t>
        </is>
      </c>
      <c r="I1365" s="11">
        <f>IF($B1359="","",ROUND(I1363+I1364,2))</f>
        <v/>
      </c>
      <c r="K1365" t="inlineStr">
        <is>
          <t>Advance Salary_H 预支薪水_H</t>
        </is>
      </c>
      <c r="L1365" s="6">
        <f>IF($B1359="","",E1365)</f>
        <v/>
      </c>
    </row>
    <row r="1366"/>
    <row r="1367">
      <c r="A1367" s="1" t="inlineStr">
        <is>
          <t>b/f petty cash 上日备用金结转</t>
        </is>
      </c>
      <c r="B1367" s="9">
        <f>IF($B1359="","",'Daily Sale entry '!F99)</f>
        <v/>
      </c>
      <c r="D1367" s="1" t="n"/>
      <c r="E1367" s="1" t="n"/>
      <c r="H1367" s="1" t="inlineStr">
        <is>
          <t>b/f petty cash 上日备用金结转</t>
        </is>
      </c>
      <c r="I1367" s="9">
        <f>IF($B1359="","",B1367)</f>
        <v/>
      </c>
      <c r="K1367" s="1" t="n"/>
      <c r="L1367" s="1" t="n"/>
    </row>
    <row r="1368">
      <c r="A1368" t="inlineStr">
        <is>
          <t>Total (A) 总计 (A)</t>
        </is>
      </c>
      <c r="B1368" s="6">
        <f>IF($B1359="","",ROUND(B1365+B1367,2))</f>
        <v/>
      </c>
      <c r="D1368" t="inlineStr">
        <is>
          <t>Total(B) 总计 (B)</t>
        </is>
      </c>
      <c r="E1368" s="6">
        <f>IF($B1359="","",ROUND(E1360+E1361+E1362+E1363+E1364+E1365,2))</f>
        <v/>
      </c>
      <c r="H1368" t="inlineStr">
        <is>
          <t>Total© 总计 (C)</t>
        </is>
      </c>
      <c r="I1368" s="6">
        <f>IF($B1359="","",ROUND(I1365+I1367,2))</f>
        <v/>
      </c>
      <c r="K1368" t="inlineStr">
        <is>
          <t>Total(D) 总计 (D)</t>
        </is>
      </c>
      <c r="L1368" s="6">
        <f>IF($B1359="","",ROUND(L1360+L1361+L1362+L1363+L1364+L1365,2))</f>
        <v/>
      </c>
    </row>
    <row r="1369">
      <c r="A1369" s="14" t="inlineStr">
        <is>
          <t>Total = Amount 2 + b/f petty cash  (金额2 + 上日备用金)</t>
        </is>
      </c>
      <c r="H1369" s="14" t="inlineStr">
        <is>
          <t>Total = Amount 2 + b/f petty cash  (金额2 + 上日备用金)</t>
        </is>
      </c>
    </row>
    <row r="1370">
      <c r="A1370" t="inlineStr">
        <is>
          <t>Different 差额</t>
        </is>
      </c>
      <c r="B1370" s="6">
        <f>IF($B1359="","",ROUND(B1368-E1368,2))</f>
        <v/>
      </c>
      <c r="D1370">
        <f>IF($B1359="","",IF(ABS(B1370)&gt;'Opening Balance'!$B$16,"ALERT 警报: Different over RM"&amp;'Opening Balance'!$B$16&amp;" 差额超过RM"&amp;'Opening Balance'!$B$16&amp;" - please check 请检查",IF(B1370=0,"Tied 平衡",IF(ABS(B1370)&lt;='Opening Balance'!$B$13,"Small difference 小额差额: adjusted on c/f petty cash 已调整备用金",IF(B1370&gt;0,"Short 短收: added to Misc Charges 已加入杂项费用","Over 多收: added to Cash Sales 已加入现金销售")))))</f>
        <v/>
      </c>
      <c r="H1370" t="inlineStr">
        <is>
          <t>Different 差额</t>
        </is>
      </c>
      <c r="I1370" s="6">
        <f>IF($B1359="","",ROUND(I1368-L1368,2))</f>
        <v/>
      </c>
    </row>
    <row r="1371"/>
    <row r="1372"/>
    <row r="1373">
      <c r="A1373" t="inlineStr">
        <is>
          <t>Date 日期</t>
        </is>
      </c>
      <c r="B1373" s="5">
        <f>IF('Daily Sale entry '!$A100="","",'Daily Sale entry '!$A100)</f>
        <v/>
      </c>
      <c r="H1373" t="inlineStr">
        <is>
          <t>After 调整后 (After)</t>
        </is>
      </c>
      <c r="I1373" s="5">
        <f>IF($B1373="","",B1373)</f>
        <v/>
      </c>
    </row>
    <row r="1374">
      <c r="A1374" t="inlineStr">
        <is>
          <t>Cash Sales 现金销售</t>
        </is>
      </c>
      <c r="B1374" s="6">
        <f>IF($B1373="","",'Daily Sale entry '!B100)</f>
        <v/>
      </c>
      <c r="D1374" t="inlineStr">
        <is>
          <t>c/f petty cash 今日备用金结转</t>
        </is>
      </c>
      <c r="E1374" s="6">
        <f>IF($B1373="","",'Daily Sale entry '!G100)</f>
        <v/>
      </c>
      <c r="H1374" t="inlineStr">
        <is>
          <t>Cash Sales 现金销售</t>
        </is>
      </c>
      <c r="I1374" s="6">
        <f>IF($B1373="","",IF(AND(ABS(B1384)&gt;'Opening Balance'!$B$13,B1384&lt;0),ROUND(B1374-B1384,2),B1374))</f>
        <v/>
      </c>
      <c r="K1374" t="inlineStr">
        <is>
          <t>c/f petty cash 今日备用金结转</t>
        </is>
      </c>
      <c r="L1374" s="6">
        <f>IF($B1373="","",IF(ABS(B1384)&lt;='Opening Balance'!$B$13,ROUND(E1374+B1384,2),E1374))</f>
        <v/>
      </c>
    </row>
    <row r="1375">
      <c r="A1375" t="inlineStr">
        <is>
          <t>Misc Charges 杂项费用</t>
        </is>
      </c>
      <c r="B1375" s="6">
        <f>IF($B1373="","",'Daily Sale entry '!C100)</f>
        <v/>
      </c>
      <c r="D1375" t="inlineStr">
        <is>
          <t>cash collection 现金收款</t>
        </is>
      </c>
      <c r="E1375" s="6">
        <f>IF($B1373="","",'Daily Sale entry '!H100)</f>
        <v/>
      </c>
      <c r="H1375" t="inlineStr">
        <is>
          <t>Misc Charges 杂项费用</t>
        </is>
      </c>
      <c r="I1375" s="6">
        <f>IF($B1373="","",IF(AND(ABS(B1384)&gt;'Opening Balance'!$B$13,B1384&gt;0),ROUND(B1375+B1384,2),B1375))</f>
        <v/>
      </c>
      <c r="K1375" t="inlineStr">
        <is>
          <t>cash collection 现金收款</t>
        </is>
      </c>
      <c r="L1375" s="6">
        <f>IF($B1373="","",E1375)</f>
        <v/>
      </c>
    </row>
    <row r="1376">
      <c r="A1376" s="1" t="inlineStr">
        <is>
          <t>Other Charges 其他费用</t>
        </is>
      </c>
      <c r="B1376" s="9">
        <f>IF($B1373="","",'Daily Sale entry '!D100)</f>
        <v/>
      </c>
      <c r="D1376" s="1" t="inlineStr">
        <is>
          <t>Cheque Collection 支票收款</t>
        </is>
      </c>
      <c r="E1376" s="9">
        <f>IF($B1373="","",'Daily Sale entry '!J100)</f>
        <v/>
      </c>
      <c r="H1376" s="1" t="inlineStr">
        <is>
          <t>Other Charges 其他费用</t>
        </is>
      </c>
      <c r="I1376" s="9">
        <f>IF($B1373="","",B1376)</f>
        <v/>
      </c>
      <c r="K1376" s="1" t="inlineStr">
        <is>
          <t>Cheque Collection 支票收款</t>
        </is>
      </c>
      <c r="L1376" s="9">
        <f>IF($B1373="","",E1376)</f>
        <v/>
      </c>
    </row>
    <row r="1377">
      <c r="A1377" s="10" t="inlineStr">
        <is>
          <t>Amount 金额  (Cash Sales - Misc - Other)</t>
        </is>
      </c>
      <c r="B1377" s="11">
        <f>IF($B1373="","",ROUND(B1374-B1375-B1376,2))</f>
        <v/>
      </c>
      <c r="D1377" s="12" t="inlineStr">
        <is>
          <t>TNG collection TNG收款</t>
        </is>
      </c>
      <c r="E1377" s="13">
        <f>IF($B1373="","",'Daily Sale entry '!K100)</f>
        <v/>
      </c>
      <c r="H1377" s="10" t="inlineStr">
        <is>
          <t>Amount 金额  (Cash Sales - Misc - Other)</t>
        </is>
      </c>
      <c r="I1377" s="11">
        <f>IF($B1373="","",ROUND(I1374-I1375-I1376,2))</f>
        <v/>
      </c>
      <c r="K1377" s="12" t="inlineStr">
        <is>
          <t>TNG collection TNG收款</t>
        </is>
      </c>
      <c r="L1377" s="13">
        <f>IF($B1373="","",E1377)</f>
        <v/>
      </c>
    </row>
    <row r="1378">
      <c r="A1378" t="inlineStr">
        <is>
          <t>Credit Collection 赊账收款</t>
        </is>
      </c>
      <c r="B1378" s="6">
        <f>IF($B1373="","",'Daily Sale entry '!E100)</f>
        <v/>
      </c>
      <c r="D1378" t="inlineStr">
        <is>
          <t>Advance Salary_M 预支薪水_M</t>
        </is>
      </c>
      <c r="E1378" s="6">
        <f>IF($B1373="","",'Daily Sale entry '!L100)</f>
        <v/>
      </c>
      <c r="H1378" t="inlineStr">
        <is>
          <t>Credit Collection 赊账收款</t>
        </is>
      </c>
      <c r="I1378" s="6">
        <f>IF($B1373="","",B1378)</f>
        <v/>
      </c>
      <c r="K1378" t="inlineStr">
        <is>
          <t>Advance Salary_M 预支薪水_M</t>
        </is>
      </c>
      <c r="L1378" s="6">
        <f>IF($B1373="","",E1378)</f>
        <v/>
      </c>
    </row>
    <row r="1379">
      <c r="A1379" s="10" t="inlineStr">
        <is>
          <t>Amount 2 金额2  (Amount + Credit Collection)</t>
        </is>
      </c>
      <c r="B1379" s="11">
        <f>IF($B1373="","",ROUND(B1377+B1378,2))</f>
        <v/>
      </c>
      <c r="D1379" t="inlineStr">
        <is>
          <t>Advance Salary_H 预支薪水_H</t>
        </is>
      </c>
      <c r="E1379" s="6">
        <f>IF($B1373="","",'Daily Sale entry '!M100)</f>
        <v/>
      </c>
      <c r="H1379" s="10" t="inlineStr">
        <is>
          <t>Amount 2 金额2  (Amount + Credit Collection)</t>
        </is>
      </c>
      <c r="I1379" s="11">
        <f>IF($B1373="","",ROUND(I1377+I1378,2))</f>
        <v/>
      </c>
      <c r="K1379" t="inlineStr">
        <is>
          <t>Advance Salary_H 预支薪水_H</t>
        </is>
      </c>
      <c r="L1379" s="6">
        <f>IF($B1373="","",E1379)</f>
        <v/>
      </c>
    </row>
    <row r="1380"/>
    <row r="1381">
      <c r="A1381" s="1" t="inlineStr">
        <is>
          <t>b/f petty cash 上日备用金结转</t>
        </is>
      </c>
      <c r="B1381" s="9">
        <f>IF($B1373="","",'Daily Sale entry '!F100)</f>
        <v/>
      </c>
      <c r="D1381" s="1" t="n"/>
      <c r="E1381" s="1" t="n"/>
      <c r="H1381" s="1" t="inlineStr">
        <is>
          <t>b/f petty cash 上日备用金结转</t>
        </is>
      </c>
      <c r="I1381" s="9">
        <f>IF($B1373="","",B1381)</f>
        <v/>
      </c>
      <c r="K1381" s="1" t="n"/>
      <c r="L1381" s="1" t="n"/>
    </row>
    <row r="1382">
      <c r="A1382" t="inlineStr">
        <is>
          <t>Total (A) 总计 (A)</t>
        </is>
      </c>
      <c r="B1382" s="6">
        <f>IF($B1373="","",ROUND(B1379+B1381,2))</f>
        <v/>
      </c>
      <c r="D1382" t="inlineStr">
        <is>
          <t>Total(B) 总计 (B)</t>
        </is>
      </c>
      <c r="E1382" s="6">
        <f>IF($B1373="","",ROUND(E1374+E1375+E1376+E1377+E1378+E1379,2))</f>
        <v/>
      </c>
      <c r="H1382" t="inlineStr">
        <is>
          <t>Total© 总计 (C)</t>
        </is>
      </c>
      <c r="I1382" s="6">
        <f>IF($B1373="","",ROUND(I1379+I1381,2))</f>
        <v/>
      </c>
      <c r="K1382" t="inlineStr">
        <is>
          <t>Total(D) 总计 (D)</t>
        </is>
      </c>
      <c r="L1382" s="6">
        <f>IF($B1373="","",ROUND(L1374+L1375+L1376+L1377+L1378+L1379,2))</f>
        <v/>
      </c>
    </row>
    <row r="1383">
      <c r="A1383" s="14" t="inlineStr">
        <is>
          <t>Total = Amount 2 + b/f petty cash  (金额2 + 上日备用金)</t>
        </is>
      </c>
      <c r="H1383" s="14" t="inlineStr">
        <is>
          <t>Total = Amount 2 + b/f petty cash  (金额2 + 上日备用金)</t>
        </is>
      </c>
    </row>
    <row r="1384">
      <c r="A1384" t="inlineStr">
        <is>
          <t>Different 差额</t>
        </is>
      </c>
      <c r="B1384" s="6">
        <f>IF($B1373="","",ROUND(B1382-E1382,2))</f>
        <v/>
      </c>
      <c r="D1384">
        <f>IF($B1373="","",IF(ABS(B1384)&gt;'Opening Balance'!$B$16,"ALERT 警报: Different over RM"&amp;'Opening Balance'!$B$16&amp;" 差额超过RM"&amp;'Opening Balance'!$B$16&amp;" - please check 请检查",IF(B1384=0,"Tied 平衡",IF(ABS(B1384)&lt;='Opening Balance'!$B$13,"Small difference 小额差额: adjusted on c/f petty cash 已调整备用金",IF(B1384&gt;0,"Short 短收: added to Misc Charges 已加入杂项费用","Over 多收: added to Cash Sales 已加入现金销售")))))</f>
        <v/>
      </c>
      <c r="H1384" t="inlineStr">
        <is>
          <t>Different 差额</t>
        </is>
      </c>
      <c r="I1384" s="6">
        <f>IF($B1373="","",ROUND(I1382-L1382,2))</f>
        <v/>
      </c>
    </row>
    <row r="1385"/>
    <row r="1386"/>
    <row r="1387">
      <c r="A1387" t="inlineStr">
        <is>
          <t>Date 日期</t>
        </is>
      </c>
      <c r="B1387" s="5">
        <f>IF('Daily Sale entry '!$A101="","",'Daily Sale entry '!$A101)</f>
        <v/>
      </c>
      <c r="H1387" t="inlineStr">
        <is>
          <t>After 调整后 (After)</t>
        </is>
      </c>
      <c r="I1387" s="5">
        <f>IF($B1387="","",B1387)</f>
        <v/>
      </c>
    </row>
    <row r="1388">
      <c r="A1388" t="inlineStr">
        <is>
          <t>Cash Sales 现金销售</t>
        </is>
      </c>
      <c r="B1388" s="6">
        <f>IF($B1387="","",'Daily Sale entry '!B101)</f>
        <v/>
      </c>
      <c r="D1388" t="inlineStr">
        <is>
          <t>c/f petty cash 今日备用金结转</t>
        </is>
      </c>
      <c r="E1388" s="6">
        <f>IF($B1387="","",'Daily Sale entry '!G101)</f>
        <v/>
      </c>
      <c r="H1388" t="inlineStr">
        <is>
          <t>Cash Sales 现金销售</t>
        </is>
      </c>
      <c r="I1388" s="6">
        <f>IF($B1387="","",IF(AND(ABS(B1398)&gt;'Opening Balance'!$B$13,B1398&lt;0),ROUND(B1388-B1398,2),B1388))</f>
        <v/>
      </c>
      <c r="K1388" t="inlineStr">
        <is>
          <t>c/f petty cash 今日备用金结转</t>
        </is>
      </c>
      <c r="L1388" s="6">
        <f>IF($B1387="","",IF(ABS(B1398)&lt;='Opening Balance'!$B$13,ROUND(E1388+B1398,2),E1388))</f>
        <v/>
      </c>
    </row>
    <row r="1389">
      <c r="A1389" t="inlineStr">
        <is>
          <t>Misc Charges 杂项费用</t>
        </is>
      </c>
      <c r="B1389" s="6">
        <f>IF($B1387="","",'Daily Sale entry '!C101)</f>
        <v/>
      </c>
      <c r="D1389" t="inlineStr">
        <is>
          <t>cash collection 现金收款</t>
        </is>
      </c>
      <c r="E1389" s="6">
        <f>IF($B1387="","",'Daily Sale entry '!H101)</f>
        <v/>
      </c>
      <c r="H1389" t="inlineStr">
        <is>
          <t>Misc Charges 杂项费用</t>
        </is>
      </c>
      <c r="I1389" s="6">
        <f>IF($B1387="","",IF(AND(ABS(B1398)&gt;'Opening Balance'!$B$13,B1398&gt;0),ROUND(B1389+B1398,2),B1389))</f>
        <v/>
      </c>
      <c r="K1389" t="inlineStr">
        <is>
          <t>cash collection 现金收款</t>
        </is>
      </c>
      <c r="L1389" s="6">
        <f>IF($B1387="","",E1389)</f>
        <v/>
      </c>
    </row>
    <row r="1390">
      <c r="A1390" s="1" t="inlineStr">
        <is>
          <t>Other Charges 其他费用</t>
        </is>
      </c>
      <c r="B1390" s="9">
        <f>IF($B1387="","",'Daily Sale entry '!D101)</f>
        <v/>
      </c>
      <c r="D1390" s="1" t="inlineStr">
        <is>
          <t>Cheque Collection 支票收款</t>
        </is>
      </c>
      <c r="E1390" s="9">
        <f>IF($B1387="","",'Daily Sale entry '!J101)</f>
        <v/>
      </c>
      <c r="H1390" s="1" t="inlineStr">
        <is>
          <t>Other Charges 其他费用</t>
        </is>
      </c>
      <c r="I1390" s="9">
        <f>IF($B1387="","",B1390)</f>
        <v/>
      </c>
      <c r="K1390" s="1" t="inlineStr">
        <is>
          <t>Cheque Collection 支票收款</t>
        </is>
      </c>
      <c r="L1390" s="9">
        <f>IF($B1387="","",E1390)</f>
        <v/>
      </c>
    </row>
    <row r="1391">
      <c r="A1391" s="10" t="inlineStr">
        <is>
          <t>Amount 金额  (Cash Sales - Misc - Other)</t>
        </is>
      </c>
      <c r="B1391" s="11">
        <f>IF($B1387="","",ROUND(B1388-B1389-B1390,2))</f>
        <v/>
      </c>
      <c r="D1391" s="12" t="inlineStr">
        <is>
          <t>TNG collection TNG收款</t>
        </is>
      </c>
      <c r="E1391" s="13">
        <f>IF($B1387="","",'Daily Sale entry '!K101)</f>
        <v/>
      </c>
      <c r="H1391" s="10" t="inlineStr">
        <is>
          <t>Amount 金额  (Cash Sales - Misc - Other)</t>
        </is>
      </c>
      <c r="I1391" s="11">
        <f>IF($B1387="","",ROUND(I1388-I1389-I1390,2))</f>
        <v/>
      </c>
      <c r="K1391" s="12" t="inlineStr">
        <is>
          <t>TNG collection TNG收款</t>
        </is>
      </c>
      <c r="L1391" s="13">
        <f>IF($B1387="","",E1391)</f>
        <v/>
      </c>
    </row>
    <row r="1392">
      <c r="A1392" t="inlineStr">
        <is>
          <t>Credit Collection 赊账收款</t>
        </is>
      </c>
      <c r="B1392" s="6">
        <f>IF($B1387="","",'Daily Sale entry '!E101)</f>
        <v/>
      </c>
      <c r="D1392" t="inlineStr">
        <is>
          <t>Advance Salary_M 预支薪水_M</t>
        </is>
      </c>
      <c r="E1392" s="6">
        <f>IF($B1387="","",'Daily Sale entry '!L101)</f>
        <v/>
      </c>
      <c r="H1392" t="inlineStr">
        <is>
          <t>Credit Collection 赊账收款</t>
        </is>
      </c>
      <c r="I1392" s="6">
        <f>IF($B1387="","",B1392)</f>
        <v/>
      </c>
      <c r="K1392" t="inlineStr">
        <is>
          <t>Advance Salary_M 预支薪水_M</t>
        </is>
      </c>
      <c r="L1392" s="6">
        <f>IF($B1387="","",E1392)</f>
        <v/>
      </c>
    </row>
    <row r="1393">
      <c r="A1393" s="10" t="inlineStr">
        <is>
          <t>Amount 2 金额2  (Amount + Credit Collection)</t>
        </is>
      </c>
      <c r="B1393" s="11">
        <f>IF($B1387="","",ROUND(B1391+B1392,2))</f>
        <v/>
      </c>
      <c r="D1393" t="inlineStr">
        <is>
          <t>Advance Salary_H 预支薪水_H</t>
        </is>
      </c>
      <c r="E1393" s="6">
        <f>IF($B1387="","",'Daily Sale entry '!M101)</f>
        <v/>
      </c>
      <c r="H1393" s="10" t="inlineStr">
        <is>
          <t>Amount 2 金额2  (Amount + Credit Collection)</t>
        </is>
      </c>
      <c r="I1393" s="11">
        <f>IF($B1387="","",ROUND(I1391+I1392,2))</f>
        <v/>
      </c>
      <c r="K1393" t="inlineStr">
        <is>
          <t>Advance Salary_H 预支薪水_H</t>
        </is>
      </c>
      <c r="L1393" s="6">
        <f>IF($B1387="","",E1393)</f>
        <v/>
      </c>
    </row>
    <row r="1394"/>
    <row r="1395">
      <c r="A1395" s="1" t="inlineStr">
        <is>
          <t>b/f petty cash 上日备用金结转</t>
        </is>
      </c>
      <c r="B1395" s="9">
        <f>IF($B1387="","",'Daily Sale entry '!F101)</f>
        <v/>
      </c>
      <c r="D1395" s="1" t="n"/>
      <c r="E1395" s="1" t="n"/>
      <c r="H1395" s="1" t="inlineStr">
        <is>
          <t>b/f petty cash 上日备用金结转</t>
        </is>
      </c>
      <c r="I1395" s="9">
        <f>IF($B1387="","",B1395)</f>
        <v/>
      </c>
      <c r="K1395" s="1" t="n"/>
      <c r="L1395" s="1" t="n"/>
    </row>
    <row r="1396">
      <c r="A1396" t="inlineStr">
        <is>
          <t>Total (A) 总计 (A)</t>
        </is>
      </c>
      <c r="B1396" s="6">
        <f>IF($B1387="","",ROUND(B1393+B1395,2))</f>
        <v/>
      </c>
      <c r="D1396" t="inlineStr">
        <is>
          <t>Total(B) 总计 (B)</t>
        </is>
      </c>
      <c r="E1396" s="6">
        <f>IF($B1387="","",ROUND(E1388+E1389+E1390+E1391+E1392+E1393,2))</f>
        <v/>
      </c>
      <c r="H1396" t="inlineStr">
        <is>
          <t>Total© 总计 (C)</t>
        </is>
      </c>
      <c r="I1396" s="6">
        <f>IF($B1387="","",ROUND(I1393+I1395,2))</f>
        <v/>
      </c>
      <c r="K1396" t="inlineStr">
        <is>
          <t>Total(D) 总计 (D)</t>
        </is>
      </c>
      <c r="L1396" s="6">
        <f>IF($B1387="","",ROUND(L1388+L1389+L1390+L1391+L1392+L1393,2))</f>
        <v/>
      </c>
    </row>
    <row r="1397">
      <c r="A1397" s="14" t="inlineStr">
        <is>
          <t>Total = Amount 2 + b/f petty cash  (金额2 + 上日备用金)</t>
        </is>
      </c>
      <c r="H1397" s="14" t="inlineStr">
        <is>
          <t>Total = Amount 2 + b/f petty cash  (金额2 + 上日备用金)</t>
        </is>
      </c>
    </row>
    <row r="1398">
      <c r="A1398" t="inlineStr">
        <is>
          <t>Different 差额</t>
        </is>
      </c>
      <c r="B1398" s="6">
        <f>IF($B1387="","",ROUND(B1396-E1396,2))</f>
        <v/>
      </c>
      <c r="D1398">
        <f>IF($B1387="","",IF(ABS(B1398)&gt;'Opening Balance'!$B$16,"ALERT 警报: Different over RM"&amp;'Opening Balance'!$B$16&amp;" 差额超过RM"&amp;'Opening Balance'!$B$16&amp;" - please check 请检查",IF(B1398=0,"Tied 平衡",IF(ABS(B1398)&lt;='Opening Balance'!$B$13,"Small difference 小额差额: adjusted on c/f petty cash 已调整备用金",IF(B1398&gt;0,"Short 短收: added to Misc Charges 已加入杂项费用","Over 多收: added to Cash Sales 已加入现金销售")))))</f>
        <v/>
      </c>
      <c r="H1398" t="inlineStr">
        <is>
          <t>Different 差额</t>
        </is>
      </c>
      <c r="I1398" s="6">
        <f>IF($B1387="","",ROUND(I1396-L1396,2))</f>
        <v/>
      </c>
    </row>
    <row r="1399"/>
    <row r="1400"/>
    <row r="1401">
      <c r="A1401" t="inlineStr">
        <is>
          <t>Date 日期</t>
        </is>
      </c>
      <c r="B1401" s="5">
        <f>IF('Daily Sale entry '!$A102="","",'Daily Sale entry '!$A102)</f>
        <v/>
      </c>
      <c r="H1401" t="inlineStr">
        <is>
          <t>After 调整后 (After)</t>
        </is>
      </c>
      <c r="I1401" s="5">
        <f>IF($B1401="","",B1401)</f>
        <v/>
      </c>
    </row>
    <row r="1402">
      <c r="A1402" t="inlineStr">
        <is>
          <t>Cash Sales 现金销售</t>
        </is>
      </c>
      <c r="B1402" s="6">
        <f>IF($B1401="","",'Daily Sale entry '!B102)</f>
        <v/>
      </c>
      <c r="D1402" t="inlineStr">
        <is>
          <t>c/f petty cash 今日备用金结转</t>
        </is>
      </c>
      <c r="E1402" s="6">
        <f>IF($B1401="","",'Daily Sale entry '!G102)</f>
        <v/>
      </c>
      <c r="H1402" t="inlineStr">
        <is>
          <t>Cash Sales 现金销售</t>
        </is>
      </c>
      <c r="I1402" s="6">
        <f>IF($B1401="","",IF(AND(ABS(B1412)&gt;'Opening Balance'!$B$13,B1412&lt;0),ROUND(B1402-B1412,2),B1402))</f>
        <v/>
      </c>
      <c r="K1402" t="inlineStr">
        <is>
          <t>c/f petty cash 今日备用金结转</t>
        </is>
      </c>
      <c r="L1402" s="6">
        <f>IF($B1401="","",IF(ABS(B1412)&lt;='Opening Balance'!$B$13,ROUND(E1402+B1412,2),E1402))</f>
        <v/>
      </c>
    </row>
    <row r="1403">
      <c r="A1403" t="inlineStr">
        <is>
          <t>Misc Charges 杂项费用</t>
        </is>
      </c>
      <c r="B1403" s="6">
        <f>IF($B1401="","",'Daily Sale entry '!C102)</f>
        <v/>
      </c>
      <c r="D1403" t="inlineStr">
        <is>
          <t>cash collection 现金收款</t>
        </is>
      </c>
      <c r="E1403" s="6">
        <f>IF($B1401="","",'Daily Sale entry '!H102)</f>
        <v/>
      </c>
      <c r="H1403" t="inlineStr">
        <is>
          <t>Misc Charges 杂项费用</t>
        </is>
      </c>
      <c r="I1403" s="6">
        <f>IF($B1401="","",IF(AND(ABS(B1412)&gt;'Opening Balance'!$B$13,B1412&gt;0),ROUND(B1403+B1412,2),B1403))</f>
        <v/>
      </c>
      <c r="K1403" t="inlineStr">
        <is>
          <t>cash collection 现金收款</t>
        </is>
      </c>
      <c r="L1403" s="6">
        <f>IF($B1401="","",E1403)</f>
        <v/>
      </c>
    </row>
    <row r="1404">
      <c r="A1404" s="1" t="inlineStr">
        <is>
          <t>Other Charges 其他费用</t>
        </is>
      </c>
      <c r="B1404" s="9">
        <f>IF($B1401="","",'Daily Sale entry '!D102)</f>
        <v/>
      </c>
      <c r="D1404" s="1" t="inlineStr">
        <is>
          <t>Cheque Collection 支票收款</t>
        </is>
      </c>
      <c r="E1404" s="9">
        <f>IF($B1401="","",'Daily Sale entry '!J102)</f>
        <v/>
      </c>
      <c r="H1404" s="1" t="inlineStr">
        <is>
          <t>Other Charges 其他费用</t>
        </is>
      </c>
      <c r="I1404" s="9">
        <f>IF($B1401="","",B1404)</f>
        <v/>
      </c>
      <c r="K1404" s="1" t="inlineStr">
        <is>
          <t>Cheque Collection 支票收款</t>
        </is>
      </c>
      <c r="L1404" s="9">
        <f>IF($B1401="","",E1404)</f>
        <v/>
      </c>
    </row>
    <row r="1405">
      <c r="A1405" s="10" t="inlineStr">
        <is>
          <t>Amount 金额  (Cash Sales - Misc - Other)</t>
        </is>
      </c>
      <c r="B1405" s="11">
        <f>IF($B1401="","",ROUND(B1402-B1403-B1404,2))</f>
        <v/>
      </c>
      <c r="D1405" s="12" t="inlineStr">
        <is>
          <t>TNG collection TNG收款</t>
        </is>
      </c>
      <c r="E1405" s="13">
        <f>IF($B1401="","",'Daily Sale entry '!K102)</f>
        <v/>
      </c>
      <c r="H1405" s="10" t="inlineStr">
        <is>
          <t>Amount 金额  (Cash Sales - Misc - Other)</t>
        </is>
      </c>
      <c r="I1405" s="11">
        <f>IF($B1401="","",ROUND(I1402-I1403-I1404,2))</f>
        <v/>
      </c>
      <c r="K1405" s="12" t="inlineStr">
        <is>
          <t>TNG collection TNG收款</t>
        </is>
      </c>
      <c r="L1405" s="13">
        <f>IF($B1401="","",E1405)</f>
        <v/>
      </c>
    </row>
    <row r="1406">
      <c r="A1406" t="inlineStr">
        <is>
          <t>Credit Collection 赊账收款</t>
        </is>
      </c>
      <c r="B1406" s="6">
        <f>IF($B1401="","",'Daily Sale entry '!E102)</f>
        <v/>
      </c>
      <c r="D1406" t="inlineStr">
        <is>
          <t>Advance Salary_M 预支薪水_M</t>
        </is>
      </c>
      <c r="E1406" s="6">
        <f>IF($B1401="","",'Daily Sale entry '!L102)</f>
        <v/>
      </c>
      <c r="H1406" t="inlineStr">
        <is>
          <t>Credit Collection 赊账收款</t>
        </is>
      </c>
      <c r="I1406" s="6">
        <f>IF($B1401="","",B1406)</f>
        <v/>
      </c>
      <c r="K1406" t="inlineStr">
        <is>
          <t>Advance Salary_M 预支薪水_M</t>
        </is>
      </c>
      <c r="L1406" s="6">
        <f>IF($B1401="","",E1406)</f>
        <v/>
      </c>
    </row>
    <row r="1407">
      <c r="A1407" s="10" t="inlineStr">
        <is>
          <t>Amount 2 金额2  (Amount + Credit Collection)</t>
        </is>
      </c>
      <c r="B1407" s="11">
        <f>IF($B1401="","",ROUND(B1405+B1406,2))</f>
        <v/>
      </c>
      <c r="D1407" t="inlineStr">
        <is>
          <t>Advance Salary_H 预支薪水_H</t>
        </is>
      </c>
      <c r="E1407" s="6">
        <f>IF($B1401="","",'Daily Sale entry '!M102)</f>
        <v/>
      </c>
      <c r="H1407" s="10" t="inlineStr">
        <is>
          <t>Amount 2 金额2  (Amount + Credit Collection)</t>
        </is>
      </c>
      <c r="I1407" s="11">
        <f>IF($B1401="","",ROUND(I1405+I1406,2))</f>
        <v/>
      </c>
      <c r="K1407" t="inlineStr">
        <is>
          <t>Advance Salary_H 预支薪水_H</t>
        </is>
      </c>
      <c r="L1407" s="6">
        <f>IF($B1401="","",E1407)</f>
        <v/>
      </c>
    </row>
    <row r="1408"/>
    <row r="1409">
      <c r="A1409" s="1" t="inlineStr">
        <is>
          <t>b/f petty cash 上日备用金结转</t>
        </is>
      </c>
      <c r="B1409" s="9">
        <f>IF($B1401="","",'Daily Sale entry '!F102)</f>
        <v/>
      </c>
      <c r="D1409" s="1" t="n"/>
      <c r="E1409" s="1" t="n"/>
      <c r="H1409" s="1" t="inlineStr">
        <is>
          <t>b/f petty cash 上日备用金结转</t>
        </is>
      </c>
      <c r="I1409" s="9">
        <f>IF($B1401="","",B1409)</f>
        <v/>
      </c>
      <c r="K1409" s="1" t="n"/>
      <c r="L1409" s="1" t="n"/>
    </row>
    <row r="1410">
      <c r="A1410" t="inlineStr">
        <is>
          <t>Total (A) 总计 (A)</t>
        </is>
      </c>
      <c r="B1410" s="6">
        <f>IF($B1401="","",ROUND(B1407+B1409,2))</f>
        <v/>
      </c>
      <c r="D1410" t="inlineStr">
        <is>
          <t>Total(B) 总计 (B)</t>
        </is>
      </c>
      <c r="E1410" s="6">
        <f>IF($B1401="","",ROUND(E1402+E1403+E1404+E1405+E1406+E1407,2))</f>
        <v/>
      </c>
      <c r="H1410" t="inlineStr">
        <is>
          <t>Total© 总计 (C)</t>
        </is>
      </c>
      <c r="I1410" s="6">
        <f>IF($B1401="","",ROUND(I1407+I1409,2))</f>
        <v/>
      </c>
      <c r="K1410" t="inlineStr">
        <is>
          <t>Total(D) 总计 (D)</t>
        </is>
      </c>
      <c r="L1410" s="6">
        <f>IF($B1401="","",ROUND(L1402+L1403+L1404+L1405+L1406+L1407,2))</f>
        <v/>
      </c>
    </row>
    <row r="1411">
      <c r="A1411" s="14" t="inlineStr">
        <is>
          <t>Total = Amount 2 + b/f petty cash  (金额2 + 上日备用金)</t>
        </is>
      </c>
      <c r="H1411" s="14" t="inlineStr">
        <is>
          <t>Total = Amount 2 + b/f petty cash  (金额2 + 上日备用金)</t>
        </is>
      </c>
    </row>
    <row r="1412">
      <c r="A1412" t="inlineStr">
        <is>
          <t>Different 差额</t>
        </is>
      </c>
      <c r="B1412" s="6">
        <f>IF($B1401="","",ROUND(B1410-E1410,2))</f>
        <v/>
      </c>
      <c r="D1412">
        <f>IF($B1401="","",IF(ABS(B1412)&gt;'Opening Balance'!$B$16,"ALERT 警报: Different over RM"&amp;'Opening Balance'!$B$16&amp;" 差额超过RM"&amp;'Opening Balance'!$B$16&amp;" - please check 请检查",IF(B1412=0,"Tied 平衡",IF(ABS(B1412)&lt;='Opening Balance'!$B$13,"Small difference 小额差额: adjusted on c/f petty cash 已调整备用金",IF(B1412&gt;0,"Short 短收: added to Misc Charges 已加入杂项费用","Over 多收: added to Cash Sales 已加入现金销售")))))</f>
        <v/>
      </c>
      <c r="H1412" t="inlineStr">
        <is>
          <t>Different 差额</t>
        </is>
      </c>
      <c r="I1412" s="6">
        <f>IF($B1401="","",ROUND(I1410-L1410,2))</f>
        <v/>
      </c>
    </row>
    <row r="1413"/>
    <row r="1414"/>
    <row r="1415">
      <c r="A1415" t="inlineStr">
        <is>
          <t>Date 日期</t>
        </is>
      </c>
      <c r="B1415" s="5">
        <f>IF('Daily Sale entry '!$A103="","",'Daily Sale entry '!$A103)</f>
        <v/>
      </c>
      <c r="H1415" t="inlineStr">
        <is>
          <t>After 调整后 (After)</t>
        </is>
      </c>
      <c r="I1415" s="5">
        <f>IF($B1415="","",B1415)</f>
        <v/>
      </c>
    </row>
    <row r="1416">
      <c r="A1416" t="inlineStr">
        <is>
          <t>Cash Sales 现金销售</t>
        </is>
      </c>
      <c r="B1416" s="6">
        <f>IF($B1415="","",'Daily Sale entry '!B103)</f>
        <v/>
      </c>
      <c r="D1416" t="inlineStr">
        <is>
          <t>c/f petty cash 今日备用金结转</t>
        </is>
      </c>
      <c r="E1416" s="6">
        <f>IF($B1415="","",'Daily Sale entry '!G103)</f>
        <v/>
      </c>
      <c r="H1416" t="inlineStr">
        <is>
          <t>Cash Sales 现金销售</t>
        </is>
      </c>
      <c r="I1416" s="6">
        <f>IF($B1415="","",IF(AND(ABS(B1426)&gt;'Opening Balance'!$B$13,B1426&lt;0),ROUND(B1416-B1426,2),B1416))</f>
        <v/>
      </c>
      <c r="K1416" t="inlineStr">
        <is>
          <t>c/f petty cash 今日备用金结转</t>
        </is>
      </c>
      <c r="L1416" s="6">
        <f>IF($B1415="","",IF(ABS(B1426)&lt;='Opening Balance'!$B$13,ROUND(E1416+B1426,2),E1416))</f>
        <v/>
      </c>
    </row>
    <row r="1417">
      <c r="A1417" t="inlineStr">
        <is>
          <t>Misc Charges 杂项费用</t>
        </is>
      </c>
      <c r="B1417" s="6">
        <f>IF($B1415="","",'Daily Sale entry '!C103)</f>
        <v/>
      </c>
      <c r="D1417" t="inlineStr">
        <is>
          <t>cash collection 现金收款</t>
        </is>
      </c>
      <c r="E1417" s="6">
        <f>IF($B1415="","",'Daily Sale entry '!H103)</f>
        <v/>
      </c>
      <c r="H1417" t="inlineStr">
        <is>
          <t>Misc Charges 杂项费用</t>
        </is>
      </c>
      <c r="I1417" s="6">
        <f>IF($B1415="","",IF(AND(ABS(B1426)&gt;'Opening Balance'!$B$13,B1426&gt;0),ROUND(B1417+B1426,2),B1417))</f>
        <v/>
      </c>
      <c r="K1417" t="inlineStr">
        <is>
          <t>cash collection 现金收款</t>
        </is>
      </c>
      <c r="L1417" s="6">
        <f>IF($B1415="","",E1417)</f>
        <v/>
      </c>
    </row>
    <row r="1418">
      <c r="A1418" s="1" t="inlineStr">
        <is>
          <t>Other Charges 其他费用</t>
        </is>
      </c>
      <c r="B1418" s="9">
        <f>IF($B1415="","",'Daily Sale entry '!D103)</f>
        <v/>
      </c>
      <c r="D1418" s="1" t="inlineStr">
        <is>
          <t>Cheque Collection 支票收款</t>
        </is>
      </c>
      <c r="E1418" s="9">
        <f>IF($B1415="","",'Daily Sale entry '!J103)</f>
        <v/>
      </c>
      <c r="H1418" s="1" t="inlineStr">
        <is>
          <t>Other Charges 其他费用</t>
        </is>
      </c>
      <c r="I1418" s="9">
        <f>IF($B1415="","",B1418)</f>
        <v/>
      </c>
      <c r="K1418" s="1" t="inlineStr">
        <is>
          <t>Cheque Collection 支票收款</t>
        </is>
      </c>
      <c r="L1418" s="9">
        <f>IF($B1415="","",E1418)</f>
        <v/>
      </c>
    </row>
    <row r="1419">
      <c r="A1419" s="10" t="inlineStr">
        <is>
          <t>Amount 金额  (Cash Sales - Misc - Other)</t>
        </is>
      </c>
      <c r="B1419" s="11">
        <f>IF($B1415="","",ROUND(B1416-B1417-B1418,2))</f>
        <v/>
      </c>
      <c r="D1419" s="12" t="inlineStr">
        <is>
          <t>TNG collection TNG收款</t>
        </is>
      </c>
      <c r="E1419" s="13">
        <f>IF($B1415="","",'Daily Sale entry '!K103)</f>
        <v/>
      </c>
      <c r="H1419" s="10" t="inlineStr">
        <is>
          <t>Amount 金额  (Cash Sales - Misc - Other)</t>
        </is>
      </c>
      <c r="I1419" s="11">
        <f>IF($B1415="","",ROUND(I1416-I1417-I1418,2))</f>
        <v/>
      </c>
      <c r="K1419" s="12" t="inlineStr">
        <is>
          <t>TNG collection TNG收款</t>
        </is>
      </c>
      <c r="L1419" s="13">
        <f>IF($B1415="","",E1419)</f>
        <v/>
      </c>
    </row>
    <row r="1420">
      <c r="A1420" t="inlineStr">
        <is>
          <t>Credit Collection 赊账收款</t>
        </is>
      </c>
      <c r="B1420" s="6">
        <f>IF($B1415="","",'Daily Sale entry '!E103)</f>
        <v/>
      </c>
      <c r="D1420" t="inlineStr">
        <is>
          <t>Advance Salary_M 预支薪水_M</t>
        </is>
      </c>
      <c r="E1420" s="6">
        <f>IF($B1415="","",'Daily Sale entry '!L103)</f>
        <v/>
      </c>
      <c r="H1420" t="inlineStr">
        <is>
          <t>Credit Collection 赊账收款</t>
        </is>
      </c>
      <c r="I1420" s="6">
        <f>IF($B1415="","",B1420)</f>
        <v/>
      </c>
      <c r="K1420" t="inlineStr">
        <is>
          <t>Advance Salary_M 预支薪水_M</t>
        </is>
      </c>
      <c r="L1420" s="6">
        <f>IF($B1415="","",E1420)</f>
        <v/>
      </c>
    </row>
    <row r="1421">
      <c r="A1421" s="10" t="inlineStr">
        <is>
          <t>Amount 2 金额2  (Amount + Credit Collection)</t>
        </is>
      </c>
      <c r="B1421" s="11">
        <f>IF($B1415="","",ROUND(B1419+B1420,2))</f>
        <v/>
      </c>
      <c r="D1421" t="inlineStr">
        <is>
          <t>Advance Salary_H 预支薪水_H</t>
        </is>
      </c>
      <c r="E1421" s="6">
        <f>IF($B1415="","",'Daily Sale entry '!M103)</f>
        <v/>
      </c>
      <c r="H1421" s="10" t="inlineStr">
        <is>
          <t>Amount 2 金额2  (Amount + Credit Collection)</t>
        </is>
      </c>
      <c r="I1421" s="11">
        <f>IF($B1415="","",ROUND(I1419+I1420,2))</f>
        <v/>
      </c>
      <c r="K1421" t="inlineStr">
        <is>
          <t>Advance Salary_H 预支薪水_H</t>
        </is>
      </c>
      <c r="L1421" s="6">
        <f>IF($B1415="","",E1421)</f>
        <v/>
      </c>
    </row>
    <row r="1422"/>
    <row r="1423">
      <c r="A1423" s="1" t="inlineStr">
        <is>
          <t>b/f petty cash 上日备用金结转</t>
        </is>
      </c>
      <c r="B1423" s="9">
        <f>IF($B1415="","",'Daily Sale entry '!F103)</f>
        <v/>
      </c>
      <c r="D1423" s="1" t="n"/>
      <c r="E1423" s="1" t="n"/>
      <c r="H1423" s="1" t="inlineStr">
        <is>
          <t>b/f petty cash 上日备用金结转</t>
        </is>
      </c>
      <c r="I1423" s="9">
        <f>IF($B1415="","",B1423)</f>
        <v/>
      </c>
      <c r="K1423" s="1" t="n"/>
      <c r="L1423" s="1" t="n"/>
    </row>
    <row r="1424">
      <c r="A1424" t="inlineStr">
        <is>
          <t>Total (A) 总计 (A)</t>
        </is>
      </c>
      <c r="B1424" s="6">
        <f>IF($B1415="","",ROUND(B1421+B1423,2))</f>
        <v/>
      </c>
      <c r="D1424" t="inlineStr">
        <is>
          <t>Total(B) 总计 (B)</t>
        </is>
      </c>
      <c r="E1424" s="6">
        <f>IF($B1415="","",ROUND(E1416+E1417+E1418+E1419+E1420+E1421,2))</f>
        <v/>
      </c>
      <c r="H1424" t="inlineStr">
        <is>
          <t>Total© 总计 (C)</t>
        </is>
      </c>
      <c r="I1424" s="6">
        <f>IF($B1415="","",ROUND(I1421+I1423,2))</f>
        <v/>
      </c>
      <c r="K1424" t="inlineStr">
        <is>
          <t>Total(D) 总计 (D)</t>
        </is>
      </c>
      <c r="L1424" s="6">
        <f>IF($B1415="","",ROUND(L1416+L1417+L1418+L1419+L1420+L1421,2))</f>
        <v/>
      </c>
    </row>
    <row r="1425">
      <c r="A1425" s="14" t="inlineStr">
        <is>
          <t>Total = Amount 2 + b/f petty cash  (金额2 + 上日备用金)</t>
        </is>
      </c>
      <c r="H1425" s="14" t="inlineStr">
        <is>
          <t>Total = Amount 2 + b/f petty cash  (金额2 + 上日备用金)</t>
        </is>
      </c>
    </row>
    <row r="1426">
      <c r="A1426" t="inlineStr">
        <is>
          <t>Different 差额</t>
        </is>
      </c>
      <c r="B1426" s="6">
        <f>IF($B1415="","",ROUND(B1424-E1424,2))</f>
        <v/>
      </c>
      <c r="D1426">
        <f>IF($B1415="","",IF(ABS(B1426)&gt;'Opening Balance'!$B$16,"ALERT 警报: Different over RM"&amp;'Opening Balance'!$B$16&amp;" 差额超过RM"&amp;'Opening Balance'!$B$16&amp;" - please check 请检查",IF(B1426=0,"Tied 平衡",IF(ABS(B1426)&lt;='Opening Balance'!$B$13,"Small difference 小额差额: adjusted on c/f petty cash 已调整备用金",IF(B1426&gt;0,"Short 短收: added to Misc Charges 已加入杂项费用","Over 多收: added to Cash Sales 已加入现金销售")))))</f>
        <v/>
      </c>
      <c r="H1426" t="inlineStr">
        <is>
          <t>Different 差额</t>
        </is>
      </c>
      <c r="I1426" s="6">
        <f>IF($B1415="","",ROUND(I1424-L1424,2))</f>
        <v/>
      </c>
    </row>
    <row r="1427"/>
    <row r="1428"/>
    <row r="1429">
      <c r="A1429" t="inlineStr">
        <is>
          <t>Date 日期</t>
        </is>
      </c>
      <c r="B1429" s="5">
        <f>IF('Daily Sale entry '!$A104="","",'Daily Sale entry '!$A104)</f>
        <v/>
      </c>
      <c r="H1429" t="inlineStr">
        <is>
          <t>After 调整后 (After)</t>
        </is>
      </c>
      <c r="I1429" s="5">
        <f>IF($B1429="","",B1429)</f>
        <v/>
      </c>
    </row>
    <row r="1430">
      <c r="A1430" t="inlineStr">
        <is>
          <t>Cash Sales 现金销售</t>
        </is>
      </c>
      <c r="B1430" s="6">
        <f>IF($B1429="","",'Daily Sale entry '!B104)</f>
        <v/>
      </c>
      <c r="D1430" t="inlineStr">
        <is>
          <t>c/f petty cash 今日备用金结转</t>
        </is>
      </c>
      <c r="E1430" s="6">
        <f>IF($B1429="","",'Daily Sale entry '!G104)</f>
        <v/>
      </c>
      <c r="H1430" t="inlineStr">
        <is>
          <t>Cash Sales 现金销售</t>
        </is>
      </c>
      <c r="I1430" s="6">
        <f>IF($B1429="","",IF(AND(ABS(B1440)&gt;'Opening Balance'!$B$13,B1440&lt;0),ROUND(B1430-B1440,2),B1430))</f>
        <v/>
      </c>
      <c r="K1430" t="inlineStr">
        <is>
          <t>c/f petty cash 今日备用金结转</t>
        </is>
      </c>
      <c r="L1430" s="6">
        <f>IF($B1429="","",IF(ABS(B1440)&lt;='Opening Balance'!$B$13,ROUND(E1430+B1440,2),E1430))</f>
        <v/>
      </c>
    </row>
    <row r="1431">
      <c r="A1431" t="inlineStr">
        <is>
          <t>Misc Charges 杂项费用</t>
        </is>
      </c>
      <c r="B1431" s="6">
        <f>IF($B1429="","",'Daily Sale entry '!C104)</f>
        <v/>
      </c>
      <c r="D1431" t="inlineStr">
        <is>
          <t>cash collection 现金收款</t>
        </is>
      </c>
      <c r="E1431" s="6">
        <f>IF($B1429="","",'Daily Sale entry '!H104)</f>
        <v/>
      </c>
      <c r="H1431" t="inlineStr">
        <is>
          <t>Misc Charges 杂项费用</t>
        </is>
      </c>
      <c r="I1431" s="6">
        <f>IF($B1429="","",IF(AND(ABS(B1440)&gt;'Opening Balance'!$B$13,B1440&gt;0),ROUND(B1431+B1440,2),B1431))</f>
        <v/>
      </c>
      <c r="K1431" t="inlineStr">
        <is>
          <t>cash collection 现金收款</t>
        </is>
      </c>
      <c r="L1431" s="6">
        <f>IF($B1429="","",E1431)</f>
        <v/>
      </c>
    </row>
    <row r="1432">
      <c r="A1432" s="1" t="inlineStr">
        <is>
          <t>Other Charges 其他费用</t>
        </is>
      </c>
      <c r="B1432" s="9">
        <f>IF($B1429="","",'Daily Sale entry '!D104)</f>
        <v/>
      </c>
      <c r="D1432" s="1" t="inlineStr">
        <is>
          <t>Cheque Collection 支票收款</t>
        </is>
      </c>
      <c r="E1432" s="9">
        <f>IF($B1429="","",'Daily Sale entry '!J104)</f>
        <v/>
      </c>
      <c r="H1432" s="1" t="inlineStr">
        <is>
          <t>Other Charges 其他费用</t>
        </is>
      </c>
      <c r="I1432" s="9">
        <f>IF($B1429="","",B1432)</f>
        <v/>
      </c>
      <c r="K1432" s="1" t="inlineStr">
        <is>
          <t>Cheque Collection 支票收款</t>
        </is>
      </c>
      <c r="L1432" s="9">
        <f>IF($B1429="","",E1432)</f>
        <v/>
      </c>
    </row>
    <row r="1433">
      <c r="A1433" s="10" t="inlineStr">
        <is>
          <t>Amount 金额  (Cash Sales - Misc - Other)</t>
        </is>
      </c>
      <c r="B1433" s="11">
        <f>IF($B1429="","",ROUND(B1430-B1431-B1432,2))</f>
        <v/>
      </c>
      <c r="D1433" s="12" t="inlineStr">
        <is>
          <t>TNG collection TNG收款</t>
        </is>
      </c>
      <c r="E1433" s="13">
        <f>IF($B1429="","",'Daily Sale entry '!K104)</f>
        <v/>
      </c>
      <c r="H1433" s="10" t="inlineStr">
        <is>
          <t>Amount 金额  (Cash Sales - Misc - Other)</t>
        </is>
      </c>
      <c r="I1433" s="11">
        <f>IF($B1429="","",ROUND(I1430-I1431-I1432,2))</f>
        <v/>
      </c>
      <c r="K1433" s="12" t="inlineStr">
        <is>
          <t>TNG collection TNG收款</t>
        </is>
      </c>
      <c r="L1433" s="13">
        <f>IF($B1429="","",E1433)</f>
        <v/>
      </c>
    </row>
    <row r="1434">
      <c r="A1434" t="inlineStr">
        <is>
          <t>Credit Collection 赊账收款</t>
        </is>
      </c>
      <c r="B1434" s="6">
        <f>IF($B1429="","",'Daily Sale entry '!E104)</f>
        <v/>
      </c>
      <c r="D1434" t="inlineStr">
        <is>
          <t>Advance Salary_M 预支薪水_M</t>
        </is>
      </c>
      <c r="E1434" s="6">
        <f>IF($B1429="","",'Daily Sale entry '!L104)</f>
        <v/>
      </c>
      <c r="H1434" t="inlineStr">
        <is>
          <t>Credit Collection 赊账收款</t>
        </is>
      </c>
      <c r="I1434" s="6">
        <f>IF($B1429="","",B1434)</f>
        <v/>
      </c>
      <c r="K1434" t="inlineStr">
        <is>
          <t>Advance Salary_M 预支薪水_M</t>
        </is>
      </c>
      <c r="L1434" s="6">
        <f>IF($B1429="","",E1434)</f>
        <v/>
      </c>
    </row>
    <row r="1435">
      <c r="A1435" s="10" t="inlineStr">
        <is>
          <t>Amount 2 金额2  (Amount + Credit Collection)</t>
        </is>
      </c>
      <c r="B1435" s="11">
        <f>IF($B1429="","",ROUND(B1433+B1434,2))</f>
        <v/>
      </c>
      <c r="D1435" t="inlineStr">
        <is>
          <t>Advance Salary_H 预支薪水_H</t>
        </is>
      </c>
      <c r="E1435" s="6">
        <f>IF($B1429="","",'Daily Sale entry '!M104)</f>
        <v/>
      </c>
      <c r="H1435" s="10" t="inlineStr">
        <is>
          <t>Amount 2 金额2  (Amount + Credit Collection)</t>
        </is>
      </c>
      <c r="I1435" s="11">
        <f>IF($B1429="","",ROUND(I1433+I1434,2))</f>
        <v/>
      </c>
      <c r="K1435" t="inlineStr">
        <is>
          <t>Advance Salary_H 预支薪水_H</t>
        </is>
      </c>
      <c r="L1435" s="6">
        <f>IF($B1429="","",E1435)</f>
        <v/>
      </c>
    </row>
    <row r="1436"/>
    <row r="1437">
      <c r="A1437" s="1" t="inlineStr">
        <is>
          <t>b/f petty cash 上日备用金结转</t>
        </is>
      </c>
      <c r="B1437" s="9">
        <f>IF($B1429="","",'Daily Sale entry '!F104)</f>
        <v/>
      </c>
      <c r="D1437" s="1" t="n"/>
      <c r="E1437" s="1" t="n"/>
      <c r="H1437" s="1" t="inlineStr">
        <is>
          <t>b/f petty cash 上日备用金结转</t>
        </is>
      </c>
      <c r="I1437" s="9">
        <f>IF($B1429="","",B1437)</f>
        <v/>
      </c>
      <c r="K1437" s="1" t="n"/>
      <c r="L1437" s="1" t="n"/>
    </row>
    <row r="1438">
      <c r="A1438" t="inlineStr">
        <is>
          <t>Total (A) 总计 (A)</t>
        </is>
      </c>
      <c r="B1438" s="6">
        <f>IF($B1429="","",ROUND(B1435+B1437,2))</f>
        <v/>
      </c>
      <c r="D1438" t="inlineStr">
        <is>
          <t>Total(B) 总计 (B)</t>
        </is>
      </c>
      <c r="E1438" s="6">
        <f>IF($B1429="","",ROUND(E1430+E1431+E1432+E1433+E1434+E1435,2))</f>
        <v/>
      </c>
      <c r="H1438" t="inlineStr">
        <is>
          <t>Total© 总计 (C)</t>
        </is>
      </c>
      <c r="I1438" s="6">
        <f>IF($B1429="","",ROUND(I1435+I1437,2))</f>
        <v/>
      </c>
      <c r="K1438" t="inlineStr">
        <is>
          <t>Total(D) 总计 (D)</t>
        </is>
      </c>
      <c r="L1438" s="6">
        <f>IF($B1429="","",ROUND(L1430+L1431+L1432+L1433+L1434+L1435,2))</f>
        <v/>
      </c>
    </row>
    <row r="1439">
      <c r="A1439" s="14" t="inlineStr">
        <is>
          <t>Total = Amount 2 + b/f petty cash  (金额2 + 上日备用金)</t>
        </is>
      </c>
      <c r="H1439" s="14" t="inlineStr">
        <is>
          <t>Total = Amount 2 + b/f petty cash  (金额2 + 上日备用金)</t>
        </is>
      </c>
    </row>
    <row r="1440">
      <c r="A1440" t="inlineStr">
        <is>
          <t>Different 差额</t>
        </is>
      </c>
      <c r="B1440" s="6">
        <f>IF($B1429="","",ROUND(B1438-E1438,2))</f>
        <v/>
      </c>
      <c r="D1440">
        <f>IF($B1429="","",IF(ABS(B1440)&gt;'Opening Balance'!$B$16,"ALERT 警报: Different over RM"&amp;'Opening Balance'!$B$16&amp;" 差额超过RM"&amp;'Opening Balance'!$B$16&amp;" - please check 请检查",IF(B1440=0,"Tied 平衡",IF(ABS(B1440)&lt;='Opening Balance'!$B$13,"Small difference 小额差额: adjusted on c/f petty cash 已调整备用金",IF(B1440&gt;0,"Short 短收: added to Misc Charges 已加入杂项费用","Over 多收: added to Cash Sales 已加入现金销售")))))</f>
        <v/>
      </c>
      <c r="H1440" t="inlineStr">
        <is>
          <t>Different 差额</t>
        </is>
      </c>
      <c r="I1440" s="6">
        <f>IF($B1429="","",ROUND(I1438-L1438,2))</f>
        <v/>
      </c>
    </row>
    <row r="1441"/>
    <row r="1442"/>
    <row r="1443">
      <c r="A1443" t="inlineStr">
        <is>
          <t>Date 日期</t>
        </is>
      </c>
      <c r="B1443" s="5">
        <f>IF('Daily Sale entry '!$A105="","",'Daily Sale entry '!$A105)</f>
        <v/>
      </c>
      <c r="H1443" t="inlineStr">
        <is>
          <t>After 调整后 (After)</t>
        </is>
      </c>
      <c r="I1443" s="5">
        <f>IF($B1443="","",B1443)</f>
        <v/>
      </c>
    </row>
    <row r="1444">
      <c r="A1444" t="inlineStr">
        <is>
          <t>Cash Sales 现金销售</t>
        </is>
      </c>
      <c r="B1444" s="6">
        <f>IF($B1443="","",'Daily Sale entry '!B105)</f>
        <v/>
      </c>
      <c r="D1444" t="inlineStr">
        <is>
          <t>c/f petty cash 今日备用金结转</t>
        </is>
      </c>
      <c r="E1444" s="6">
        <f>IF($B1443="","",'Daily Sale entry '!G105)</f>
        <v/>
      </c>
      <c r="H1444" t="inlineStr">
        <is>
          <t>Cash Sales 现金销售</t>
        </is>
      </c>
      <c r="I1444" s="6">
        <f>IF($B1443="","",IF(AND(ABS(B1454)&gt;'Opening Balance'!$B$13,B1454&lt;0),ROUND(B1444-B1454,2),B1444))</f>
        <v/>
      </c>
      <c r="K1444" t="inlineStr">
        <is>
          <t>c/f petty cash 今日备用金结转</t>
        </is>
      </c>
      <c r="L1444" s="6">
        <f>IF($B1443="","",IF(ABS(B1454)&lt;='Opening Balance'!$B$13,ROUND(E1444+B1454,2),E1444))</f>
        <v/>
      </c>
    </row>
    <row r="1445">
      <c r="A1445" t="inlineStr">
        <is>
          <t>Misc Charges 杂项费用</t>
        </is>
      </c>
      <c r="B1445" s="6">
        <f>IF($B1443="","",'Daily Sale entry '!C105)</f>
        <v/>
      </c>
      <c r="D1445" t="inlineStr">
        <is>
          <t>cash collection 现金收款</t>
        </is>
      </c>
      <c r="E1445" s="6">
        <f>IF($B1443="","",'Daily Sale entry '!H105)</f>
        <v/>
      </c>
      <c r="H1445" t="inlineStr">
        <is>
          <t>Misc Charges 杂项费用</t>
        </is>
      </c>
      <c r="I1445" s="6">
        <f>IF($B1443="","",IF(AND(ABS(B1454)&gt;'Opening Balance'!$B$13,B1454&gt;0),ROUND(B1445+B1454,2),B1445))</f>
        <v/>
      </c>
      <c r="K1445" t="inlineStr">
        <is>
          <t>cash collection 现金收款</t>
        </is>
      </c>
      <c r="L1445" s="6">
        <f>IF($B1443="","",E1445)</f>
        <v/>
      </c>
    </row>
    <row r="1446">
      <c r="A1446" s="1" t="inlineStr">
        <is>
          <t>Other Charges 其他费用</t>
        </is>
      </c>
      <c r="B1446" s="9">
        <f>IF($B1443="","",'Daily Sale entry '!D105)</f>
        <v/>
      </c>
      <c r="D1446" s="1" t="inlineStr">
        <is>
          <t>Cheque Collection 支票收款</t>
        </is>
      </c>
      <c r="E1446" s="9">
        <f>IF($B1443="","",'Daily Sale entry '!J105)</f>
        <v/>
      </c>
      <c r="H1446" s="1" t="inlineStr">
        <is>
          <t>Other Charges 其他费用</t>
        </is>
      </c>
      <c r="I1446" s="9">
        <f>IF($B1443="","",B1446)</f>
        <v/>
      </c>
      <c r="K1446" s="1" t="inlineStr">
        <is>
          <t>Cheque Collection 支票收款</t>
        </is>
      </c>
      <c r="L1446" s="9">
        <f>IF($B1443="","",E1446)</f>
        <v/>
      </c>
    </row>
    <row r="1447">
      <c r="A1447" s="10" t="inlineStr">
        <is>
          <t>Amount 金额  (Cash Sales - Misc - Other)</t>
        </is>
      </c>
      <c r="B1447" s="11">
        <f>IF($B1443="","",ROUND(B1444-B1445-B1446,2))</f>
        <v/>
      </c>
      <c r="D1447" s="12" t="inlineStr">
        <is>
          <t>TNG collection TNG收款</t>
        </is>
      </c>
      <c r="E1447" s="13">
        <f>IF($B1443="","",'Daily Sale entry '!K105)</f>
        <v/>
      </c>
      <c r="H1447" s="10" t="inlineStr">
        <is>
          <t>Amount 金额  (Cash Sales - Misc - Other)</t>
        </is>
      </c>
      <c r="I1447" s="11">
        <f>IF($B1443="","",ROUND(I1444-I1445-I1446,2))</f>
        <v/>
      </c>
      <c r="K1447" s="12" t="inlineStr">
        <is>
          <t>TNG collection TNG收款</t>
        </is>
      </c>
      <c r="L1447" s="13">
        <f>IF($B1443="","",E1447)</f>
        <v/>
      </c>
    </row>
    <row r="1448">
      <c r="A1448" t="inlineStr">
        <is>
          <t>Credit Collection 赊账收款</t>
        </is>
      </c>
      <c r="B1448" s="6">
        <f>IF($B1443="","",'Daily Sale entry '!E105)</f>
        <v/>
      </c>
      <c r="D1448" t="inlineStr">
        <is>
          <t>Advance Salary_M 预支薪水_M</t>
        </is>
      </c>
      <c r="E1448" s="6">
        <f>IF($B1443="","",'Daily Sale entry '!L105)</f>
        <v/>
      </c>
      <c r="H1448" t="inlineStr">
        <is>
          <t>Credit Collection 赊账收款</t>
        </is>
      </c>
      <c r="I1448" s="6">
        <f>IF($B1443="","",B1448)</f>
        <v/>
      </c>
      <c r="K1448" t="inlineStr">
        <is>
          <t>Advance Salary_M 预支薪水_M</t>
        </is>
      </c>
      <c r="L1448" s="6">
        <f>IF($B1443="","",E1448)</f>
        <v/>
      </c>
    </row>
    <row r="1449">
      <c r="A1449" s="10" t="inlineStr">
        <is>
          <t>Amount 2 金额2  (Amount + Credit Collection)</t>
        </is>
      </c>
      <c r="B1449" s="11">
        <f>IF($B1443="","",ROUND(B1447+B1448,2))</f>
        <v/>
      </c>
      <c r="D1449" t="inlineStr">
        <is>
          <t>Advance Salary_H 预支薪水_H</t>
        </is>
      </c>
      <c r="E1449" s="6">
        <f>IF($B1443="","",'Daily Sale entry '!M105)</f>
        <v/>
      </c>
      <c r="H1449" s="10" t="inlineStr">
        <is>
          <t>Amount 2 金额2  (Amount + Credit Collection)</t>
        </is>
      </c>
      <c r="I1449" s="11">
        <f>IF($B1443="","",ROUND(I1447+I1448,2))</f>
        <v/>
      </c>
      <c r="K1449" t="inlineStr">
        <is>
          <t>Advance Salary_H 预支薪水_H</t>
        </is>
      </c>
      <c r="L1449" s="6">
        <f>IF($B1443="","",E1449)</f>
        <v/>
      </c>
    </row>
    <row r="1450"/>
    <row r="1451">
      <c r="A1451" s="1" t="inlineStr">
        <is>
          <t>b/f petty cash 上日备用金结转</t>
        </is>
      </c>
      <c r="B1451" s="9">
        <f>IF($B1443="","",'Daily Sale entry '!F105)</f>
        <v/>
      </c>
      <c r="D1451" s="1" t="n"/>
      <c r="E1451" s="1" t="n"/>
      <c r="H1451" s="1" t="inlineStr">
        <is>
          <t>b/f petty cash 上日备用金结转</t>
        </is>
      </c>
      <c r="I1451" s="9">
        <f>IF($B1443="","",B1451)</f>
        <v/>
      </c>
      <c r="K1451" s="1" t="n"/>
      <c r="L1451" s="1" t="n"/>
    </row>
    <row r="1452">
      <c r="A1452" t="inlineStr">
        <is>
          <t>Total (A) 总计 (A)</t>
        </is>
      </c>
      <c r="B1452" s="6">
        <f>IF($B1443="","",ROUND(B1449+B1451,2))</f>
        <v/>
      </c>
      <c r="D1452" t="inlineStr">
        <is>
          <t>Total(B) 总计 (B)</t>
        </is>
      </c>
      <c r="E1452" s="6">
        <f>IF($B1443="","",ROUND(E1444+E1445+E1446+E1447+E1448+E1449,2))</f>
        <v/>
      </c>
      <c r="H1452" t="inlineStr">
        <is>
          <t>Total© 总计 (C)</t>
        </is>
      </c>
      <c r="I1452" s="6">
        <f>IF($B1443="","",ROUND(I1449+I1451,2))</f>
        <v/>
      </c>
      <c r="K1452" t="inlineStr">
        <is>
          <t>Total(D) 总计 (D)</t>
        </is>
      </c>
      <c r="L1452" s="6">
        <f>IF($B1443="","",ROUND(L1444+L1445+L1446+L1447+L1448+L1449,2))</f>
        <v/>
      </c>
    </row>
    <row r="1453">
      <c r="A1453" s="14" t="inlineStr">
        <is>
          <t>Total = Amount 2 + b/f petty cash  (金额2 + 上日备用金)</t>
        </is>
      </c>
      <c r="H1453" s="14" t="inlineStr">
        <is>
          <t>Total = Amount 2 + b/f petty cash  (金额2 + 上日备用金)</t>
        </is>
      </c>
    </row>
    <row r="1454">
      <c r="A1454" t="inlineStr">
        <is>
          <t>Different 差额</t>
        </is>
      </c>
      <c r="B1454" s="6">
        <f>IF($B1443="","",ROUND(B1452-E1452,2))</f>
        <v/>
      </c>
      <c r="D1454">
        <f>IF($B1443="","",IF(ABS(B1454)&gt;'Opening Balance'!$B$16,"ALERT 警报: Different over RM"&amp;'Opening Balance'!$B$16&amp;" 差额超过RM"&amp;'Opening Balance'!$B$16&amp;" - please check 请检查",IF(B1454=0,"Tied 平衡",IF(ABS(B1454)&lt;='Opening Balance'!$B$13,"Small difference 小额差额: adjusted on c/f petty cash 已调整备用金",IF(B1454&gt;0,"Short 短收: added to Misc Charges 已加入杂项费用","Over 多收: added to Cash Sales 已加入现金销售")))))</f>
        <v/>
      </c>
      <c r="H1454" t="inlineStr">
        <is>
          <t>Different 差额</t>
        </is>
      </c>
      <c r="I1454" s="6">
        <f>IF($B1443="","",ROUND(I1452-L1452,2))</f>
        <v/>
      </c>
    </row>
    <row r="1455"/>
    <row r="1456"/>
    <row r="1457">
      <c r="A1457" t="inlineStr">
        <is>
          <t>Date 日期</t>
        </is>
      </c>
      <c r="B1457" s="5">
        <f>IF('Daily Sale entry '!$A106="","",'Daily Sale entry '!$A106)</f>
        <v/>
      </c>
      <c r="H1457" t="inlineStr">
        <is>
          <t>After 调整后 (After)</t>
        </is>
      </c>
      <c r="I1457" s="5">
        <f>IF($B1457="","",B1457)</f>
        <v/>
      </c>
    </row>
    <row r="1458">
      <c r="A1458" t="inlineStr">
        <is>
          <t>Cash Sales 现金销售</t>
        </is>
      </c>
      <c r="B1458" s="6">
        <f>IF($B1457="","",'Daily Sale entry '!B106)</f>
        <v/>
      </c>
      <c r="D1458" t="inlineStr">
        <is>
          <t>c/f petty cash 今日备用金结转</t>
        </is>
      </c>
      <c r="E1458" s="6">
        <f>IF($B1457="","",'Daily Sale entry '!G106)</f>
        <v/>
      </c>
      <c r="H1458" t="inlineStr">
        <is>
          <t>Cash Sales 现金销售</t>
        </is>
      </c>
      <c r="I1458" s="6">
        <f>IF($B1457="","",IF(AND(ABS(B1468)&gt;'Opening Balance'!$B$13,B1468&lt;0),ROUND(B1458-B1468,2),B1458))</f>
        <v/>
      </c>
      <c r="K1458" t="inlineStr">
        <is>
          <t>c/f petty cash 今日备用金结转</t>
        </is>
      </c>
      <c r="L1458" s="6">
        <f>IF($B1457="","",IF(ABS(B1468)&lt;='Opening Balance'!$B$13,ROUND(E1458+B1468,2),E1458))</f>
        <v/>
      </c>
    </row>
    <row r="1459">
      <c r="A1459" t="inlineStr">
        <is>
          <t>Misc Charges 杂项费用</t>
        </is>
      </c>
      <c r="B1459" s="6">
        <f>IF($B1457="","",'Daily Sale entry '!C106)</f>
        <v/>
      </c>
      <c r="D1459" t="inlineStr">
        <is>
          <t>cash collection 现金收款</t>
        </is>
      </c>
      <c r="E1459" s="6">
        <f>IF($B1457="","",'Daily Sale entry '!H106)</f>
        <v/>
      </c>
      <c r="H1459" t="inlineStr">
        <is>
          <t>Misc Charges 杂项费用</t>
        </is>
      </c>
      <c r="I1459" s="6">
        <f>IF($B1457="","",IF(AND(ABS(B1468)&gt;'Opening Balance'!$B$13,B1468&gt;0),ROUND(B1459+B1468,2),B1459))</f>
        <v/>
      </c>
      <c r="K1459" t="inlineStr">
        <is>
          <t>cash collection 现金收款</t>
        </is>
      </c>
      <c r="L1459" s="6">
        <f>IF($B1457="","",E1459)</f>
        <v/>
      </c>
    </row>
    <row r="1460">
      <c r="A1460" s="1" t="inlineStr">
        <is>
          <t>Other Charges 其他费用</t>
        </is>
      </c>
      <c r="B1460" s="9">
        <f>IF($B1457="","",'Daily Sale entry '!D106)</f>
        <v/>
      </c>
      <c r="D1460" s="1" t="inlineStr">
        <is>
          <t>Cheque Collection 支票收款</t>
        </is>
      </c>
      <c r="E1460" s="9">
        <f>IF($B1457="","",'Daily Sale entry '!J106)</f>
        <v/>
      </c>
      <c r="H1460" s="1" t="inlineStr">
        <is>
          <t>Other Charges 其他费用</t>
        </is>
      </c>
      <c r="I1460" s="9">
        <f>IF($B1457="","",B1460)</f>
        <v/>
      </c>
      <c r="K1460" s="1" t="inlineStr">
        <is>
          <t>Cheque Collection 支票收款</t>
        </is>
      </c>
      <c r="L1460" s="9">
        <f>IF($B1457="","",E1460)</f>
        <v/>
      </c>
    </row>
    <row r="1461">
      <c r="A1461" s="10" t="inlineStr">
        <is>
          <t>Amount 金额  (Cash Sales - Misc - Other)</t>
        </is>
      </c>
      <c r="B1461" s="11">
        <f>IF($B1457="","",ROUND(B1458-B1459-B1460,2))</f>
        <v/>
      </c>
      <c r="D1461" s="12" t="inlineStr">
        <is>
          <t>TNG collection TNG收款</t>
        </is>
      </c>
      <c r="E1461" s="13">
        <f>IF($B1457="","",'Daily Sale entry '!K106)</f>
        <v/>
      </c>
      <c r="H1461" s="10" t="inlineStr">
        <is>
          <t>Amount 金额  (Cash Sales - Misc - Other)</t>
        </is>
      </c>
      <c r="I1461" s="11">
        <f>IF($B1457="","",ROUND(I1458-I1459-I1460,2))</f>
        <v/>
      </c>
      <c r="K1461" s="12" t="inlineStr">
        <is>
          <t>TNG collection TNG收款</t>
        </is>
      </c>
      <c r="L1461" s="13">
        <f>IF($B1457="","",E1461)</f>
        <v/>
      </c>
    </row>
    <row r="1462">
      <c r="A1462" t="inlineStr">
        <is>
          <t>Credit Collection 赊账收款</t>
        </is>
      </c>
      <c r="B1462" s="6">
        <f>IF($B1457="","",'Daily Sale entry '!E106)</f>
        <v/>
      </c>
      <c r="D1462" t="inlineStr">
        <is>
          <t>Advance Salary_M 预支薪水_M</t>
        </is>
      </c>
      <c r="E1462" s="6">
        <f>IF($B1457="","",'Daily Sale entry '!L106)</f>
        <v/>
      </c>
      <c r="H1462" t="inlineStr">
        <is>
          <t>Credit Collection 赊账收款</t>
        </is>
      </c>
      <c r="I1462" s="6">
        <f>IF($B1457="","",B1462)</f>
        <v/>
      </c>
      <c r="K1462" t="inlineStr">
        <is>
          <t>Advance Salary_M 预支薪水_M</t>
        </is>
      </c>
      <c r="L1462" s="6">
        <f>IF($B1457="","",E1462)</f>
        <v/>
      </c>
    </row>
    <row r="1463">
      <c r="A1463" s="10" t="inlineStr">
        <is>
          <t>Amount 2 金额2  (Amount + Credit Collection)</t>
        </is>
      </c>
      <c r="B1463" s="11">
        <f>IF($B1457="","",ROUND(B1461+B1462,2))</f>
        <v/>
      </c>
      <c r="D1463" t="inlineStr">
        <is>
          <t>Advance Salary_H 预支薪水_H</t>
        </is>
      </c>
      <c r="E1463" s="6">
        <f>IF($B1457="","",'Daily Sale entry '!M106)</f>
        <v/>
      </c>
      <c r="H1463" s="10" t="inlineStr">
        <is>
          <t>Amount 2 金额2  (Amount + Credit Collection)</t>
        </is>
      </c>
      <c r="I1463" s="11">
        <f>IF($B1457="","",ROUND(I1461+I1462,2))</f>
        <v/>
      </c>
      <c r="K1463" t="inlineStr">
        <is>
          <t>Advance Salary_H 预支薪水_H</t>
        </is>
      </c>
      <c r="L1463" s="6">
        <f>IF($B1457="","",E1463)</f>
        <v/>
      </c>
    </row>
    <row r="1464"/>
    <row r="1465">
      <c r="A1465" s="1" t="inlineStr">
        <is>
          <t>b/f petty cash 上日备用金结转</t>
        </is>
      </c>
      <c r="B1465" s="9">
        <f>IF($B1457="","",'Daily Sale entry '!F106)</f>
        <v/>
      </c>
      <c r="D1465" s="1" t="n"/>
      <c r="E1465" s="1" t="n"/>
      <c r="H1465" s="1" t="inlineStr">
        <is>
          <t>b/f petty cash 上日备用金结转</t>
        </is>
      </c>
      <c r="I1465" s="9">
        <f>IF($B1457="","",B1465)</f>
        <v/>
      </c>
      <c r="K1465" s="1" t="n"/>
      <c r="L1465" s="1" t="n"/>
    </row>
    <row r="1466">
      <c r="A1466" t="inlineStr">
        <is>
          <t>Total (A) 总计 (A)</t>
        </is>
      </c>
      <c r="B1466" s="6">
        <f>IF($B1457="","",ROUND(B1463+B1465,2))</f>
        <v/>
      </c>
      <c r="D1466" t="inlineStr">
        <is>
          <t>Total(B) 总计 (B)</t>
        </is>
      </c>
      <c r="E1466" s="6">
        <f>IF($B1457="","",ROUND(E1458+E1459+E1460+E1461+E1462+E1463,2))</f>
        <v/>
      </c>
      <c r="H1466" t="inlineStr">
        <is>
          <t>Total© 总计 (C)</t>
        </is>
      </c>
      <c r="I1466" s="6">
        <f>IF($B1457="","",ROUND(I1463+I1465,2))</f>
        <v/>
      </c>
      <c r="K1466" t="inlineStr">
        <is>
          <t>Total(D) 总计 (D)</t>
        </is>
      </c>
      <c r="L1466" s="6">
        <f>IF($B1457="","",ROUND(L1458+L1459+L1460+L1461+L1462+L1463,2))</f>
        <v/>
      </c>
    </row>
    <row r="1467">
      <c r="A1467" s="14" t="inlineStr">
        <is>
          <t>Total = Amount 2 + b/f petty cash  (金额2 + 上日备用金)</t>
        </is>
      </c>
      <c r="H1467" s="14" t="inlineStr">
        <is>
          <t>Total = Amount 2 + b/f petty cash  (金额2 + 上日备用金)</t>
        </is>
      </c>
    </row>
    <row r="1468">
      <c r="A1468" t="inlineStr">
        <is>
          <t>Different 差额</t>
        </is>
      </c>
      <c r="B1468" s="6">
        <f>IF($B1457="","",ROUND(B1466-E1466,2))</f>
        <v/>
      </c>
      <c r="D1468">
        <f>IF($B1457="","",IF(ABS(B1468)&gt;'Opening Balance'!$B$16,"ALERT 警报: Different over RM"&amp;'Opening Balance'!$B$16&amp;" 差额超过RM"&amp;'Opening Balance'!$B$16&amp;" - please check 请检查",IF(B1468=0,"Tied 平衡",IF(ABS(B1468)&lt;='Opening Balance'!$B$13,"Small difference 小额差额: adjusted on c/f petty cash 已调整备用金",IF(B1468&gt;0,"Short 短收: added to Misc Charges 已加入杂项费用","Over 多收: added to Cash Sales 已加入现金销售")))))</f>
        <v/>
      </c>
      <c r="H1468" t="inlineStr">
        <is>
          <t>Different 差额</t>
        </is>
      </c>
      <c r="I1468" s="6">
        <f>IF($B1457="","",ROUND(I1466-L1466,2))</f>
        <v/>
      </c>
    </row>
    <row r="1469"/>
    <row r="1470"/>
    <row r="1471">
      <c r="A1471" t="inlineStr">
        <is>
          <t>Date 日期</t>
        </is>
      </c>
      <c r="B1471" s="5">
        <f>IF('Daily Sale entry '!$A107="","",'Daily Sale entry '!$A107)</f>
        <v/>
      </c>
      <c r="H1471" t="inlineStr">
        <is>
          <t>After 调整后 (After)</t>
        </is>
      </c>
      <c r="I1471" s="5">
        <f>IF($B1471="","",B1471)</f>
        <v/>
      </c>
    </row>
    <row r="1472">
      <c r="A1472" t="inlineStr">
        <is>
          <t>Cash Sales 现金销售</t>
        </is>
      </c>
      <c r="B1472" s="6">
        <f>IF($B1471="","",'Daily Sale entry '!B107)</f>
        <v/>
      </c>
      <c r="D1472" t="inlineStr">
        <is>
          <t>c/f petty cash 今日备用金结转</t>
        </is>
      </c>
      <c r="E1472" s="6">
        <f>IF($B1471="","",'Daily Sale entry '!G107)</f>
        <v/>
      </c>
      <c r="H1472" t="inlineStr">
        <is>
          <t>Cash Sales 现金销售</t>
        </is>
      </c>
      <c r="I1472" s="6">
        <f>IF($B1471="","",IF(AND(ABS(B1482)&gt;'Opening Balance'!$B$13,B1482&lt;0),ROUND(B1472-B1482,2),B1472))</f>
        <v/>
      </c>
      <c r="K1472" t="inlineStr">
        <is>
          <t>c/f petty cash 今日备用金结转</t>
        </is>
      </c>
      <c r="L1472" s="6">
        <f>IF($B1471="","",IF(ABS(B1482)&lt;='Opening Balance'!$B$13,ROUND(E1472+B1482,2),E1472))</f>
        <v/>
      </c>
    </row>
    <row r="1473">
      <c r="A1473" t="inlineStr">
        <is>
          <t>Misc Charges 杂项费用</t>
        </is>
      </c>
      <c r="B1473" s="6">
        <f>IF($B1471="","",'Daily Sale entry '!C107)</f>
        <v/>
      </c>
      <c r="D1473" t="inlineStr">
        <is>
          <t>cash collection 现金收款</t>
        </is>
      </c>
      <c r="E1473" s="6">
        <f>IF($B1471="","",'Daily Sale entry '!H107)</f>
        <v/>
      </c>
      <c r="H1473" t="inlineStr">
        <is>
          <t>Misc Charges 杂项费用</t>
        </is>
      </c>
      <c r="I1473" s="6">
        <f>IF($B1471="","",IF(AND(ABS(B1482)&gt;'Opening Balance'!$B$13,B1482&gt;0),ROUND(B1473+B1482,2),B1473))</f>
        <v/>
      </c>
      <c r="K1473" t="inlineStr">
        <is>
          <t>cash collection 现金收款</t>
        </is>
      </c>
      <c r="L1473" s="6">
        <f>IF($B1471="","",E1473)</f>
        <v/>
      </c>
    </row>
    <row r="1474">
      <c r="A1474" s="1" t="inlineStr">
        <is>
          <t>Other Charges 其他费用</t>
        </is>
      </c>
      <c r="B1474" s="9">
        <f>IF($B1471="","",'Daily Sale entry '!D107)</f>
        <v/>
      </c>
      <c r="D1474" s="1" t="inlineStr">
        <is>
          <t>Cheque Collection 支票收款</t>
        </is>
      </c>
      <c r="E1474" s="9">
        <f>IF($B1471="","",'Daily Sale entry '!J107)</f>
        <v/>
      </c>
      <c r="H1474" s="1" t="inlineStr">
        <is>
          <t>Other Charges 其他费用</t>
        </is>
      </c>
      <c r="I1474" s="9">
        <f>IF($B1471="","",B1474)</f>
        <v/>
      </c>
      <c r="K1474" s="1" t="inlineStr">
        <is>
          <t>Cheque Collection 支票收款</t>
        </is>
      </c>
      <c r="L1474" s="9">
        <f>IF($B1471="","",E1474)</f>
        <v/>
      </c>
    </row>
    <row r="1475">
      <c r="A1475" s="10" t="inlineStr">
        <is>
          <t>Amount 金额  (Cash Sales - Misc - Other)</t>
        </is>
      </c>
      <c r="B1475" s="11">
        <f>IF($B1471="","",ROUND(B1472-B1473-B1474,2))</f>
        <v/>
      </c>
      <c r="D1475" s="12" t="inlineStr">
        <is>
          <t>TNG collection TNG收款</t>
        </is>
      </c>
      <c r="E1475" s="13">
        <f>IF($B1471="","",'Daily Sale entry '!K107)</f>
        <v/>
      </c>
      <c r="H1475" s="10" t="inlineStr">
        <is>
          <t>Amount 金额  (Cash Sales - Misc - Other)</t>
        </is>
      </c>
      <c r="I1475" s="11">
        <f>IF($B1471="","",ROUND(I1472-I1473-I1474,2))</f>
        <v/>
      </c>
      <c r="K1475" s="12" t="inlineStr">
        <is>
          <t>TNG collection TNG收款</t>
        </is>
      </c>
      <c r="L1475" s="13">
        <f>IF($B1471="","",E1475)</f>
        <v/>
      </c>
    </row>
    <row r="1476">
      <c r="A1476" t="inlineStr">
        <is>
          <t>Credit Collection 赊账收款</t>
        </is>
      </c>
      <c r="B1476" s="6">
        <f>IF($B1471="","",'Daily Sale entry '!E107)</f>
        <v/>
      </c>
      <c r="D1476" t="inlineStr">
        <is>
          <t>Advance Salary_M 预支薪水_M</t>
        </is>
      </c>
      <c r="E1476" s="6">
        <f>IF($B1471="","",'Daily Sale entry '!L107)</f>
        <v/>
      </c>
      <c r="H1476" t="inlineStr">
        <is>
          <t>Credit Collection 赊账收款</t>
        </is>
      </c>
      <c r="I1476" s="6">
        <f>IF($B1471="","",B1476)</f>
        <v/>
      </c>
      <c r="K1476" t="inlineStr">
        <is>
          <t>Advance Salary_M 预支薪水_M</t>
        </is>
      </c>
      <c r="L1476" s="6">
        <f>IF($B1471="","",E1476)</f>
        <v/>
      </c>
    </row>
    <row r="1477">
      <c r="A1477" s="10" t="inlineStr">
        <is>
          <t>Amount 2 金额2  (Amount + Credit Collection)</t>
        </is>
      </c>
      <c r="B1477" s="11">
        <f>IF($B1471="","",ROUND(B1475+B1476,2))</f>
        <v/>
      </c>
      <c r="D1477" t="inlineStr">
        <is>
          <t>Advance Salary_H 预支薪水_H</t>
        </is>
      </c>
      <c r="E1477" s="6">
        <f>IF($B1471="","",'Daily Sale entry '!M107)</f>
        <v/>
      </c>
      <c r="H1477" s="10" t="inlineStr">
        <is>
          <t>Amount 2 金额2  (Amount + Credit Collection)</t>
        </is>
      </c>
      <c r="I1477" s="11">
        <f>IF($B1471="","",ROUND(I1475+I1476,2))</f>
        <v/>
      </c>
      <c r="K1477" t="inlineStr">
        <is>
          <t>Advance Salary_H 预支薪水_H</t>
        </is>
      </c>
      <c r="L1477" s="6">
        <f>IF($B1471="","",E1477)</f>
        <v/>
      </c>
    </row>
    <row r="1478"/>
    <row r="1479">
      <c r="A1479" s="1" t="inlineStr">
        <is>
          <t>b/f petty cash 上日备用金结转</t>
        </is>
      </c>
      <c r="B1479" s="9">
        <f>IF($B1471="","",'Daily Sale entry '!F107)</f>
        <v/>
      </c>
      <c r="D1479" s="1" t="n"/>
      <c r="E1479" s="1" t="n"/>
      <c r="H1479" s="1" t="inlineStr">
        <is>
          <t>b/f petty cash 上日备用金结转</t>
        </is>
      </c>
      <c r="I1479" s="9">
        <f>IF($B1471="","",B1479)</f>
        <v/>
      </c>
      <c r="K1479" s="1" t="n"/>
      <c r="L1479" s="1" t="n"/>
    </row>
    <row r="1480">
      <c r="A1480" t="inlineStr">
        <is>
          <t>Total (A) 总计 (A)</t>
        </is>
      </c>
      <c r="B1480" s="6">
        <f>IF($B1471="","",ROUND(B1477+B1479,2))</f>
        <v/>
      </c>
      <c r="D1480" t="inlineStr">
        <is>
          <t>Total(B) 总计 (B)</t>
        </is>
      </c>
      <c r="E1480" s="6">
        <f>IF($B1471="","",ROUND(E1472+E1473+E1474+E1475+E1476+E1477,2))</f>
        <v/>
      </c>
      <c r="H1480" t="inlineStr">
        <is>
          <t>Total© 总计 (C)</t>
        </is>
      </c>
      <c r="I1480" s="6">
        <f>IF($B1471="","",ROUND(I1477+I1479,2))</f>
        <v/>
      </c>
      <c r="K1480" t="inlineStr">
        <is>
          <t>Total(D) 总计 (D)</t>
        </is>
      </c>
      <c r="L1480" s="6">
        <f>IF($B1471="","",ROUND(L1472+L1473+L1474+L1475+L1476+L1477,2))</f>
        <v/>
      </c>
    </row>
    <row r="1481">
      <c r="A1481" s="14" t="inlineStr">
        <is>
          <t>Total = Amount 2 + b/f petty cash  (金额2 + 上日备用金)</t>
        </is>
      </c>
      <c r="H1481" s="14" t="inlineStr">
        <is>
          <t>Total = Amount 2 + b/f petty cash  (金额2 + 上日备用金)</t>
        </is>
      </c>
    </row>
    <row r="1482">
      <c r="A1482" t="inlineStr">
        <is>
          <t>Different 差额</t>
        </is>
      </c>
      <c r="B1482" s="6">
        <f>IF($B1471="","",ROUND(B1480-E1480,2))</f>
        <v/>
      </c>
      <c r="D1482">
        <f>IF($B1471="","",IF(ABS(B1482)&gt;'Opening Balance'!$B$16,"ALERT 警报: Different over RM"&amp;'Opening Balance'!$B$16&amp;" 差额超过RM"&amp;'Opening Balance'!$B$16&amp;" - please check 请检查",IF(B1482=0,"Tied 平衡",IF(ABS(B1482)&lt;='Opening Balance'!$B$13,"Small difference 小额差额: adjusted on c/f petty cash 已调整备用金",IF(B1482&gt;0,"Short 短收: added to Misc Charges 已加入杂项费用","Over 多收: added to Cash Sales 已加入现金销售")))))</f>
        <v/>
      </c>
      <c r="H1482" t="inlineStr">
        <is>
          <t>Different 差额</t>
        </is>
      </c>
      <c r="I1482" s="6">
        <f>IF($B1471="","",ROUND(I1480-L1480,2))</f>
        <v/>
      </c>
    </row>
    <row r="1483"/>
    <row r="1484"/>
    <row r="1485">
      <c r="A1485" t="inlineStr">
        <is>
          <t>Date 日期</t>
        </is>
      </c>
      <c r="B1485" s="5">
        <f>IF('Daily Sale entry '!$A108="","",'Daily Sale entry '!$A108)</f>
        <v/>
      </c>
      <c r="H1485" t="inlineStr">
        <is>
          <t>After 调整后 (After)</t>
        </is>
      </c>
      <c r="I1485" s="5">
        <f>IF($B1485="","",B1485)</f>
        <v/>
      </c>
    </row>
    <row r="1486">
      <c r="A1486" t="inlineStr">
        <is>
          <t>Cash Sales 现金销售</t>
        </is>
      </c>
      <c r="B1486" s="6">
        <f>IF($B1485="","",'Daily Sale entry '!B108)</f>
        <v/>
      </c>
      <c r="D1486" t="inlineStr">
        <is>
          <t>c/f petty cash 今日备用金结转</t>
        </is>
      </c>
      <c r="E1486" s="6">
        <f>IF($B1485="","",'Daily Sale entry '!G108)</f>
        <v/>
      </c>
      <c r="H1486" t="inlineStr">
        <is>
          <t>Cash Sales 现金销售</t>
        </is>
      </c>
      <c r="I1486" s="6">
        <f>IF($B1485="","",IF(AND(ABS(B1496)&gt;'Opening Balance'!$B$13,B1496&lt;0),ROUND(B1486-B1496,2),B1486))</f>
        <v/>
      </c>
      <c r="K1486" t="inlineStr">
        <is>
          <t>c/f petty cash 今日备用金结转</t>
        </is>
      </c>
      <c r="L1486" s="6">
        <f>IF($B1485="","",IF(ABS(B1496)&lt;='Opening Balance'!$B$13,ROUND(E1486+B1496,2),E1486))</f>
        <v/>
      </c>
    </row>
    <row r="1487">
      <c r="A1487" t="inlineStr">
        <is>
          <t>Misc Charges 杂项费用</t>
        </is>
      </c>
      <c r="B1487" s="6">
        <f>IF($B1485="","",'Daily Sale entry '!C108)</f>
        <v/>
      </c>
      <c r="D1487" t="inlineStr">
        <is>
          <t>cash collection 现金收款</t>
        </is>
      </c>
      <c r="E1487" s="6">
        <f>IF($B1485="","",'Daily Sale entry '!H108)</f>
        <v/>
      </c>
      <c r="H1487" t="inlineStr">
        <is>
          <t>Misc Charges 杂项费用</t>
        </is>
      </c>
      <c r="I1487" s="6">
        <f>IF($B1485="","",IF(AND(ABS(B1496)&gt;'Opening Balance'!$B$13,B1496&gt;0),ROUND(B1487+B1496,2),B1487))</f>
        <v/>
      </c>
      <c r="K1487" t="inlineStr">
        <is>
          <t>cash collection 现金收款</t>
        </is>
      </c>
      <c r="L1487" s="6">
        <f>IF($B1485="","",E1487)</f>
        <v/>
      </c>
    </row>
    <row r="1488">
      <c r="A1488" s="1" t="inlineStr">
        <is>
          <t>Other Charges 其他费用</t>
        </is>
      </c>
      <c r="B1488" s="9">
        <f>IF($B1485="","",'Daily Sale entry '!D108)</f>
        <v/>
      </c>
      <c r="D1488" s="1" t="inlineStr">
        <is>
          <t>Cheque Collection 支票收款</t>
        </is>
      </c>
      <c r="E1488" s="9">
        <f>IF($B1485="","",'Daily Sale entry '!J108)</f>
        <v/>
      </c>
      <c r="H1488" s="1" t="inlineStr">
        <is>
          <t>Other Charges 其他费用</t>
        </is>
      </c>
      <c r="I1488" s="9">
        <f>IF($B1485="","",B1488)</f>
        <v/>
      </c>
      <c r="K1488" s="1" t="inlineStr">
        <is>
          <t>Cheque Collection 支票收款</t>
        </is>
      </c>
      <c r="L1488" s="9">
        <f>IF($B1485="","",E1488)</f>
        <v/>
      </c>
    </row>
    <row r="1489">
      <c r="A1489" s="10" t="inlineStr">
        <is>
          <t>Amount 金额  (Cash Sales - Misc - Other)</t>
        </is>
      </c>
      <c r="B1489" s="11">
        <f>IF($B1485="","",ROUND(B1486-B1487-B1488,2))</f>
        <v/>
      </c>
      <c r="D1489" s="12" t="inlineStr">
        <is>
          <t>TNG collection TNG收款</t>
        </is>
      </c>
      <c r="E1489" s="13">
        <f>IF($B1485="","",'Daily Sale entry '!K108)</f>
        <v/>
      </c>
      <c r="H1489" s="10" t="inlineStr">
        <is>
          <t>Amount 金额  (Cash Sales - Misc - Other)</t>
        </is>
      </c>
      <c r="I1489" s="11">
        <f>IF($B1485="","",ROUND(I1486-I1487-I1488,2))</f>
        <v/>
      </c>
      <c r="K1489" s="12" t="inlineStr">
        <is>
          <t>TNG collection TNG收款</t>
        </is>
      </c>
      <c r="L1489" s="13">
        <f>IF($B1485="","",E1489)</f>
        <v/>
      </c>
    </row>
    <row r="1490">
      <c r="A1490" t="inlineStr">
        <is>
          <t>Credit Collection 赊账收款</t>
        </is>
      </c>
      <c r="B1490" s="6">
        <f>IF($B1485="","",'Daily Sale entry '!E108)</f>
        <v/>
      </c>
      <c r="D1490" t="inlineStr">
        <is>
          <t>Advance Salary_M 预支薪水_M</t>
        </is>
      </c>
      <c r="E1490" s="6">
        <f>IF($B1485="","",'Daily Sale entry '!L108)</f>
        <v/>
      </c>
      <c r="H1490" t="inlineStr">
        <is>
          <t>Credit Collection 赊账收款</t>
        </is>
      </c>
      <c r="I1490" s="6">
        <f>IF($B1485="","",B1490)</f>
        <v/>
      </c>
      <c r="K1490" t="inlineStr">
        <is>
          <t>Advance Salary_M 预支薪水_M</t>
        </is>
      </c>
      <c r="L1490" s="6">
        <f>IF($B1485="","",E1490)</f>
        <v/>
      </c>
    </row>
    <row r="1491">
      <c r="A1491" s="10" t="inlineStr">
        <is>
          <t>Amount 2 金额2  (Amount + Credit Collection)</t>
        </is>
      </c>
      <c r="B1491" s="11">
        <f>IF($B1485="","",ROUND(B1489+B1490,2))</f>
        <v/>
      </c>
      <c r="D1491" t="inlineStr">
        <is>
          <t>Advance Salary_H 预支薪水_H</t>
        </is>
      </c>
      <c r="E1491" s="6">
        <f>IF($B1485="","",'Daily Sale entry '!M108)</f>
        <v/>
      </c>
      <c r="H1491" s="10" t="inlineStr">
        <is>
          <t>Amount 2 金额2  (Amount + Credit Collection)</t>
        </is>
      </c>
      <c r="I1491" s="11">
        <f>IF($B1485="","",ROUND(I1489+I1490,2))</f>
        <v/>
      </c>
      <c r="K1491" t="inlineStr">
        <is>
          <t>Advance Salary_H 预支薪水_H</t>
        </is>
      </c>
      <c r="L1491" s="6">
        <f>IF($B1485="","",E1491)</f>
        <v/>
      </c>
    </row>
    <row r="1492"/>
    <row r="1493">
      <c r="A1493" s="1" t="inlineStr">
        <is>
          <t>b/f petty cash 上日备用金结转</t>
        </is>
      </c>
      <c r="B1493" s="9">
        <f>IF($B1485="","",'Daily Sale entry '!F108)</f>
        <v/>
      </c>
      <c r="D1493" s="1" t="n"/>
      <c r="E1493" s="1" t="n"/>
      <c r="H1493" s="1" t="inlineStr">
        <is>
          <t>b/f petty cash 上日备用金结转</t>
        </is>
      </c>
      <c r="I1493" s="9">
        <f>IF($B1485="","",B1493)</f>
        <v/>
      </c>
      <c r="K1493" s="1" t="n"/>
      <c r="L1493" s="1" t="n"/>
    </row>
    <row r="1494">
      <c r="A1494" t="inlineStr">
        <is>
          <t>Total (A) 总计 (A)</t>
        </is>
      </c>
      <c r="B1494" s="6">
        <f>IF($B1485="","",ROUND(B1491+B1493,2))</f>
        <v/>
      </c>
      <c r="D1494" t="inlineStr">
        <is>
          <t>Total(B) 总计 (B)</t>
        </is>
      </c>
      <c r="E1494" s="6">
        <f>IF($B1485="","",ROUND(E1486+E1487+E1488+E1489+E1490+E1491,2))</f>
        <v/>
      </c>
      <c r="H1494" t="inlineStr">
        <is>
          <t>Total© 总计 (C)</t>
        </is>
      </c>
      <c r="I1494" s="6">
        <f>IF($B1485="","",ROUND(I1491+I1493,2))</f>
        <v/>
      </c>
      <c r="K1494" t="inlineStr">
        <is>
          <t>Total(D) 总计 (D)</t>
        </is>
      </c>
      <c r="L1494" s="6">
        <f>IF($B1485="","",ROUND(L1486+L1487+L1488+L1489+L1490+L1491,2))</f>
        <v/>
      </c>
    </row>
    <row r="1495">
      <c r="A1495" s="14" t="inlineStr">
        <is>
          <t>Total = Amount 2 + b/f petty cash  (金额2 + 上日备用金)</t>
        </is>
      </c>
      <c r="H1495" s="14" t="inlineStr">
        <is>
          <t>Total = Amount 2 + b/f petty cash  (金额2 + 上日备用金)</t>
        </is>
      </c>
    </row>
    <row r="1496">
      <c r="A1496" t="inlineStr">
        <is>
          <t>Different 差额</t>
        </is>
      </c>
      <c r="B1496" s="6">
        <f>IF($B1485="","",ROUND(B1494-E1494,2))</f>
        <v/>
      </c>
      <c r="D1496">
        <f>IF($B1485="","",IF(ABS(B1496)&gt;'Opening Balance'!$B$16,"ALERT 警报: Different over RM"&amp;'Opening Balance'!$B$16&amp;" 差额超过RM"&amp;'Opening Balance'!$B$16&amp;" - please check 请检查",IF(B1496=0,"Tied 平衡",IF(ABS(B1496)&lt;='Opening Balance'!$B$13,"Small difference 小额差额: adjusted on c/f petty cash 已调整备用金",IF(B1496&gt;0,"Short 短收: added to Misc Charges 已加入杂项费用","Over 多收: added to Cash Sales 已加入现金销售")))))</f>
        <v/>
      </c>
      <c r="H1496" t="inlineStr">
        <is>
          <t>Different 差额</t>
        </is>
      </c>
      <c r="I1496" s="6">
        <f>IF($B1485="","",ROUND(I1494-L1494,2))</f>
        <v/>
      </c>
    </row>
    <row r="1497"/>
    <row r="1498"/>
    <row r="1499">
      <c r="A1499" t="inlineStr">
        <is>
          <t>Date 日期</t>
        </is>
      </c>
      <c r="B1499" s="5">
        <f>IF('Daily Sale entry '!$A109="","",'Daily Sale entry '!$A109)</f>
        <v/>
      </c>
      <c r="H1499" t="inlineStr">
        <is>
          <t>After 调整后 (After)</t>
        </is>
      </c>
      <c r="I1499" s="5">
        <f>IF($B1499="","",B1499)</f>
        <v/>
      </c>
    </row>
    <row r="1500">
      <c r="A1500" t="inlineStr">
        <is>
          <t>Cash Sales 现金销售</t>
        </is>
      </c>
      <c r="B1500" s="6">
        <f>IF($B1499="","",'Daily Sale entry '!B109)</f>
        <v/>
      </c>
      <c r="D1500" t="inlineStr">
        <is>
          <t>c/f petty cash 今日备用金结转</t>
        </is>
      </c>
      <c r="E1500" s="6">
        <f>IF($B1499="","",'Daily Sale entry '!G109)</f>
        <v/>
      </c>
      <c r="H1500" t="inlineStr">
        <is>
          <t>Cash Sales 现金销售</t>
        </is>
      </c>
      <c r="I1500" s="6">
        <f>IF($B1499="","",IF(AND(ABS(B1510)&gt;'Opening Balance'!$B$13,B1510&lt;0),ROUND(B1500-B1510,2),B1500))</f>
        <v/>
      </c>
      <c r="K1500" t="inlineStr">
        <is>
          <t>c/f petty cash 今日备用金结转</t>
        </is>
      </c>
      <c r="L1500" s="6">
        <f>IF($B1499="","",IF(ABS(B1510)&lt;='Opening Balance'!$B$13,ROUND(E1500+B1510,2),E1500))</f>
        <v/>
      </c>
    </row>
    <row r="1501">
      <c r="A1501" t="inlineStr">
        <is>
          <t>Misc Charges 杂项费用</t>
        </is>
      </c>
      <c r="B1501" s="6">
        <f>IF($B1499="","",'Daily Sale entry '!C109)</f>
        <v/>
      </c>
      <c r="D1501" t="inlineStr">
        <is>
          <t>cash collection 现金收款</t>
        </is>
      </c>
      <c r="E1501" s="6">
        <f>IF($B1499="","",'Daily Sale entry '!H109)</f>
        <v/>
      </c>
      <c r="H1501" t="inlineStr">
        <is>
          <t>Misc Charges 杂项费用</t>
        </is>
      </c>
      <c r="I1501" s="6">
        <f>IF($B1499="","",IF(AND(ABS(B1510)&gt;'Opening Balance'!$B$13,B1510&gt;0),ROUND(B1501+B1510,2),B1501))</f>
        <v/>
      </c>
      <c r="K1501" t="inlineStr">
        <is>
          <t>cash collection 现金收款</t>
        </is>
      </c>
      <c r="L1501" s="6">
        <f>IF($B1499="","",E1501)</f>
        <v/>
      </c>
    </row>
    <row r="1502">
      <c r="A1502" s="1" t="inlineStr">
        <is>
          <t>Other Charges 其他费用</t>
        </is>
      </c>
      <c r="B1502" s="9">
        <f>IF($B1499="","",'Daily Sale entry '!D109)</f>
        <v/>
      </c>
      <c r="D1502" s="1" t="inlineStr">
        <is>
          <t>Cheque Collection 支票收款</t>
        </is>
      </c>
      <c r="E1502" s="9">
        <f>IF($B1499="","",'Daily Sale entry '!J109)</f>
        <v/>
      </c>
      <c r="H1502" s="1" t="inlineStr">
        <is>
          <t>Other Charges 其他费用</t>
        </is>
      </c>
      <c r="I1502" s="9">
        <f>IF($B1499="","",B1502)</f>
        <v/>
      </c>
      <c r="K1502" s="1" t="inlineStr">
        <is>
          <t>Cheque Collection 支票收款</t>
        </is>
      </c>
      <c r="L1502" s="9">
        <f>IF($B1499="","",E1502)</f>
        <v/>
      </c>
    </row>
    <row r="1503">
      <c r="A1503" s="10" t="inlineStr">
        <is>
          <t>Amount 金额  (Cash Sales - Misc - Other)</t>
        </is>
      </c>
      <c r="B1503" s="11">
        <f>IF($B1499="","",ROUND(B1500-B1501-B1502,2))</f>
        <v/>
      </c>
      <c r="D1503" s="12" t="inlineStr">
        <is>
          <t>TNG collection TNG收款</t>
        </is>
      </c>
      <c r="E1503" s="13">
        <f>IF($B1499="","",'Daily Sale entry '!K109)</f>
        <v/>
      </c>
      <c r="H1503" s="10" t="inlineStr">
        <is>
          <t>Amount 金额  (Cash Sales - Misc - Other)</t>
        </is>
      </c>
      <c r="I1503" s="11">
        <f>IF($B1499="","",ROUND(I1500-I1501-I1502,2))</f>
        <v/>
      </c>
      <c r="K1503" s="12" t="inlineStr">
        <is>
          <t>TNG collection TNG收款</t>
        </is>
      </c>
      <c r="L1503" s="13">
        <f>IF($B1499="","",E1503)</f>
        <v/>
      </c>
    </row>
    <row r="1504">
      <c r="A1504" t="inlineStr">
        <is>
          <t>Credit Collection 赊账收款</t>
        </is>
      </c>
      <c r="B1504" s="6">
        <f>IF($B1499="","",'Daily Sale entry '!E109)</f>
        <v/>
      </c>
      <c r="D1504" t="inlineStr">
        <is>
          <t>Advance Salary_M 预支薪水_M</t>
        </is>
      </c>
      <c r="E1504" s="6">
        <f>IF($B1499="","",'Daily Sale entry '!L109)</f>
        <v/>
      </c>
      <c r="H1504" t="inlineStr">
        <is>
          <t>Credit Collection 赊账收款</t>
        </is>
      </c>
      <c r="I1504" s="6">
        <f>IF($B1499="","",B1504)</f>
        <v/>
      </c>
      <c r="K1504" t="inlineStr">
        <is>
          <t>Advance Salary_M 预支薪水_M</t>
        </is>
      </c>
      <c r="L1504" s="6">
        <f>IF($B1499="","",E1504)</f>
        <v/>
      </c>
    </row>
    <row r="1505">
      <c r="A1505" s="10" t="inlineStr">
        <is>
          <t>Amount 2 金额2  (Amount + Credit Collection)</t>
        </is>
      </c>
      <c r="B1505" s="11">
        <f>IF($B1499="","",ROUND(B1503+B1504,2))</f>
        <v/>
      </c>
      <c r="D1505" t="inlineStr">
        <is>
          <t>Advance Salary_H 预支薪水_H</t>
        </is>
      </c>
      <c r="E1505" s="6">
        <f>IF($B1499="","",'Daily Sale entry '!M109)</f>
        <v/>
      </c>
      <c r="H1505" s="10" t="inlineStr">
        <is>
          <t>Amount 2 金额2  (Amount + Credit Collection)</t>
        </is>
      </c>
      <c r="I1505" s="11">
        <f>IF($B1499="","",ROUND(I1503+I1504,2))</f>
        <v/>
      </c>
      <c r="K1505" t="inlineStr">
        <is>
          <t>Advance Salary_H 预支薪水_H</t>
        </is>
      </c>
      <c r="L1505" s="6">
        <f>IF($B1499="","",E1505)</f>
        <v/>
      </c>
    </row>
    <row r="1506"/>
    <row r="1507">
      <c r="A1507" s="1" t="inlineStr">
        <is>
          <t>b/f petty cash 上日备用金结转</t>
        </is>
      </c>
      <c r="B1507" s="9">
        <f>IF($B1499="","",'Daily Sale entry '!F109)</f>
        <v/>
      </c>
      <c r="D1507" s="1" t="n"/>
      <c r="E1507" s="1" t="n"/>
      <c r="H1507" s="1" t="inlineStr">
        <is>
          <t>b/f petty cash 上日备用金结转</t>
        </is>
      </c>
      <c r="I1507" s="9">
        <f>IF($B1499="","",B1507)</f>
        <v/>
      </c>
      <c r="K1507" s="1" t="n"/>
      <c r="L1507" s="1" t="n"/>
    </row>
    <row r="1508">
      <c r="A1508" t="inlineStr">
        <is>
          <t>Total (A) 总计 (A)</t>
        </is>
      </c>
      <c r="B1508" s="6">
        <f>IF($B1499="","",ROUND(B1505+B1507,2))</f>
        <v/>
      </c>
      <c r="D1508" t="inlineStr">
        <is>
          <t>Total(B) 总计 (B)</t>
        </is>
      </c>
      <c r="E1508" s="6">
        <f>IF($B1499="","",ROUND(E1500+E1501+E1502+E1503+E1504+E1505,2))</f>
        <v/>
      </c>
      <c r="H1508" t="inlineStr">
        <is>
          <t>Total© 总计 (C)</t>
        </is>
      </c>
      <c r="I1508" s="6">
        <f>IF($B1499="","",ROUND(I1505+I1507,2))</f>
        <v/>
      </c>
      <c r="K1508" t="inlineStr">
        <is>
          <t>Total(D) 总计 (D)</t>
        </is>
      </c>
      <c r="L1508" s="6">
        <f>IF($B1499="","",ROUND(L1500+L1501+L1502+L1503+L1504+L1505,2))</f>
        <v/>
      </c>
    </row>
    <row r="1509">
      <c r="A1509" s="14" t="inlineStr">
        <is>
          <t>Total = Amount 2 + b/f petty cash  (金额2 + 上日备用金)</t>
        </is>
      </c>
      <c r="H1509" s="14" t="inlineStr">
        <is>
          <t>Total = Amount 2 + b/f petty cash  (金额2 + 上日备用金)</t>
        </is>
      </c>
    </row>
    <row r="1510">
      <c r="A1510" t="inlineStr">
        <is>
          <t>Different 差额</t>
        </is>
      </c>
      <c r="B1510" s="6">
        <f>IF($B1499="","",ROUND(B1508-E1508,2))</f>
        <v/>
      </c>
      <c r="D1510">
        <f>IF($B1499="","",IF(ABS(B1510)&gt;'Opening Balance'!$B$16,"ALERT 警报: Different over RM"&amp;'Opening Balance'!$B$16&amp;" 差额超过RM"&amp;'Opening Balance'!$B$16&amp;" - please check 请检查",IF(B1510=0,"Tied 平衡",IF(ABS(B1510)&lt;='Opening Balance'!$B$13,"Small difference 小额差额: adjusted on c/f petty cash 已调整备用金",IF(B1510&gt;0,"Short 短收: added to Misc Charges 已加入杂项费用","Over 多收: added to Cash Sales 已加入现金销售")))))</f>
        <v/>
      </c>
      <c r="H1510" t="inlineStr">
        <is>
          <t>Different 差额</t>
        </is>
      </c>
      <c r="I1510" s="6">
        <f>IF($B1499="","",ROUND(I1508-L1508,2))</f>
        <v/>
      </c>
    </row>
    <row r="1511"/>
    <row r="1512"/>
    <row r="1513">
      <c r="A1513" t="inlineStr">
        <is>
          <t>Date 日期</t>
        </is>
      </c>
      <c r="B1513" s="5">
        <f>IF('Daily Sale entry '!$A110="","",'Daily Sale entry '!$A110)</f>
        <v/>
      </c>
      <c r="H1513" t="inlineStr">
        <is>
          <t>After 调整后 (After)</t>
        </is>
      </c>
      <c r="I1513" s="5">
        <f>IF($B1513="","",B1513)</f>
        <v/>
      </c>
    </row>
    <row r="1514">
      <c r="A1514" t="inlineStr">
        <is>
          <t>Cash Sales 现金销售</t>
        </is>
      </c>
      <c r="B1514" s="6">
        <f>IF($B1513="","",'Daily Sale entry '!B110)</f>
        <v/>
      </c>
      <c r="D1514" t="inlineStr">
        <is>
          <t>c/f petty cash 今日备用金结转</t>
        </is>
      </c>
      <c r="E1514" s="6">
        <f>IF($B1513="","",'Daily Sale entry '!G110)</f>
        <v/>
      </c>
      <c r="H1514" t="inlineStr">
        <is>
          <t>Cash Sales 现金销售</t>
        </is>
      </c>
      <c r="I1514" s="6">
        <f>IF($B1513="","",IF(AND(ABS(B1524)&gt;'Opening Balance'!$B$13,B1524&lt;0),ROUND(B1514-B1524,2),B1514))</f>
        <v/>
      </c>
      <c r="K1514" t="inlineStr">
        <is>
          <t>c/f petty cash 今日备用金结转</t>
        </is>
      </c>
      <c r="L1514" s="6">
        <f>IF($B1513="","",IF(ABS(B1524)&lt;='Opening Balance'!$B$13,ROUND(E1514+B1524,2),E1514))</f>
        <v/>
      </c>
    </row>
    <row r="1515">
      <c r="A1515" t="inlineStr">
        <is>
          <t>Misc Charges 杂项费用</t>
        </is>
      </c>
      <c r="B1515" s="6">
        <f>IF($B1513="","",'Daily Sale entry '!C110)</f>
        <v/>
      </c>
      <c r="D1515" t="inlineStr">
        <is>
          <t>cash collection 现金收款</t>
        </is>
      </c>
      <c r="E1515" s="6">
        <f>IF($B1513="","",'Daily Sale entry '!H110)</f>
        <v/>
      </c>
      <c r="H1515" t="inlineStr">
        <is>
          <t>Misc Charges 杂项费用</t>
        </is>
      </c>
      <c r="I1515" s="6">
        <f>IF($B1513="","",IF(AND(ABS(B1524)&gt;'Opening Balance'!$B$13,B1524&gt;0),ROUND(B1515+B1524,2),B1515))</f>
        <v/>
      </c>
      <c r="K1515" t="inlineStr">
        <is>
          <t>cash collection 现金收款</t>
        </is>
      </c>
      <c r="L1515" s="6">
        <f>IF($B1513="","",E1515)</f>
        <v/>
      </c>
    </row>
    <row r="1516">
      <c r="A1516" s="1" t="inlineStr">
        <is>
          <t>Other Charges 其他费用</t>
        </is>
      </c>
      <c r="B1516" s="9">
        <f>IF($B1513="","",'Daily Sale entry '!D110)</f>
        <v/>
      </c>
      <c r="D1516" s="1" t="inlineStr">
        <is>
          <t>Cheque Collection 支票收款</t>
        </is>
      </c>
      <c r="E1516" s="9">
        <f>IF($B1513="","",'Daily Sale entry '!J110)</f>
        <v/>
      </c>
      <c r="H1516" s="1" t="inlineStr">
        <is>
          <t>Other Charges 其他费用</t>
        </is>
      </c>
      <c r="I1516" s="9">
        <f>IF($B1513="","",B1516)</f>
        <v/>
      </c>
      <c r="K1516" s="1" t="inlineStr">
        <is>
          <t>Cheque Collection 支票收款</t>
        </is>
      </c>
      <c r="L1516" s="9">
        <f>IF($B1513="","",E1516)</f>
        <v/>
      </c>
    </row>
    <row r="1517">
      <c r="A1517" s="10" t="inlineStr">
        <is>
          <t>Amount 金额  (Cash Sales - Misc - Other)</t>
        </is>
      </c>
      <c r="B1517" s="11">
        <f>IF($B1513="","",ROUND(B1514-B1515-B1516,2))</f>
        <v/>
      </c>
      <c r="D1517" s="12" t="inlineStr">
        <is>
          <t>TNG collection TNG收款</t>
        </is>
      </c>
      <c r="E1517" s="13">
        <f>IF($B1513="","",'Daily Sale entry '!K110)</f>
        <v/>
      </c>
      <c r="H1517" s="10" t="inlineStr">
        <is>
          <t>Amount 金额  (Cash Sales - Misc - Other)</t>
        </is>
      </c>
      <c r="I1517" s="11">
        <f>IF($B1513="","",ROUND(I1514-I1515-I1516,2))</f>
        <v/>
      </c>
      <c r="K1517" s="12" t="inlineStr">
        <is>
          <t>TNG collection TNG收款</t>
        </is>
      </c>
      <c r="L1517" s="13">
        <f>IF($B1513="","",E1517)</f>
        <v/>
      </c>
    </row>
    <row r="1518">
      <c r="A1518" t="inlineStr">
        <is>
          <t>Credit Collection 赊账收款</t>
        </is>
      </c>
      <c r="B1518" s="6">
        <f>IF($B1513="","",'Daily Sale entry '!E110)</f>
        <v/>
      </c>
      <c r="D1518" t="inlineStr">
        <is>
          <t>Advance Salary_M 预支薪水_M</t>
        </is>
      </c>
      <c r="E1518" s="6">
        <f>IF($B1513="","",'Daily Sale entry '!L110)</f>
        <v/>
      </c>
      <c r="H1518" t="inlineStr">
        <is>
          <t>Credit Collection 赊账收款</t>
        </is>
      </c>
      <c r="I1518" s="6">
        <f>IF($B1513="","",B1518)</f>
        <v/>
      </c>
      <c r="K1518" t="inlineStr">
        <is>
          <t>Advance Salary_M 预支薪水_M</t>
        </is>
      </c>
      <c r="L1518" s="6">
        <f>IF($B1513="","",E1518)</f>
        <v/>
      </c>
    </row>
    <row r="1519">
      <c r="A1519" s="10" t="inlineStr">
        <is>
          <t>Amount 2 金额2  (Amount + Credit Collection)</t>
        </is>
      </c>
      <c r="B1519" s="11">
        <f>IF($B1513="","",ROUND(B1517+B1518,2))</f>
        <v/>
      </c>
      <c r="D1519" t="inlineStr">
        <is>
          <t>Advance Salary_H 预支薪水_H</t>
        </is>
      </c>
      <c r="E1519" s="6">
        <f>IF($B1513="","",'Daily Sale entry '!M110)</f>
        <v/>
      </c>
      <c r="H1519" s="10" t="inlineStr">
        <is>
          <t>Amount 2 金额2  (Amount + Credit Collection)</t>
        </is>
      </c>
      <c r="I1519" s="11">
        <f>IF($B1513="","",ROUND(I1517+I1518,2))</f>
        <v/>
      </c>
      <c r="K1519" t="inlineStr">
        <is>
          <t>Advance Salary_H 预支薪水_H</t>
        </is>
      </c>
      <c r="L1519" s="6">
        <f>IF($B1513="","",E1519)</f>
        <v/>
      </c>
    </row>
    <row r="1520"/>
    <row r="1521">
      <c r="A1521" s="1" t="inlineStr">
        <is>
          <t>b/f petty cash 上日备用金结转</t>
        </is>
      </c>
      <c r="B1521" s="9">
        <f>IF($B1513="","",'Daily Sale entry '!F110)</f>
        <v/>
      </c>
      <c r="D1521" s="1" t="n"/>
      <c r="E1521" s="1" t="n"/>
      <c r="H1521" s="1" t="inlineStr">
        <is>
          <t>b/f petty cash 上日备用金结转</t>
        </is>
      </c>
      <c r="I1521" s="9">
        <f>IF($B1513="","",B1521)</f>
        <v/>
      </c>
      <c r="K1521" s="1" t="n"/>
      <c r="L1521" s="1" t="n"/>
    </row>
    <row r="1522">
      <c r="A1522" t="inlineStr">
        <is>
          <t>Total (A) 总计 (A)</t>
        </is>
      </c>
      <c r="B1522" s="6">
        <f>IF($B1513="","",ROUND(B1519+B1521,2))</f>
        <v/>
      </c>
      <c r="D1522" t="inlineStr">
        <is>
          <t>Total(B) 总计 (B)</t>
        </is>
      </c>
      <c r="E1522" s="6">
        <f>IF($B1513="","",ROUND(E1514+E1515+E1516+E1517+E1518+E1519,2))</f>
        <v/>
      </c>
      <c r="H1522" t="inlineStr">
        <is>
          <t>Total© 总计 (C)</t>
        </is>
      </c>
      <c r="I1522" s="6">
        <f>IF($B1513="","",ROUND(I1519+I1521,2))</f>
        <v/>
      </c>
      <c r="K1522" t="inlineStr">
        <is>
          <t>Total(D) 总计 (D)</t>
        </is>
      </c>
      <c r="L1522" s="6">
        <f>IF($B1513="","",ROUND(L1514+L1515+L1516+L1517+L1518+L1519,2))</f>
        <v/>
      </c>
    </row>
    <row r="1523">
      <c r="A1523" s="14" t="inlineStr">
        <is>
          <t>Total = Amount 2 + b/f petty cash  (金额2 + 上日备用金)</t>
        </is>
      </c>
      <c r="H1523" s="14" t="inlineStr">
        <is>
          <t>Total = Amount 2 + b/f petty cash  (金额2 + 上日备用金)</t>
        </is>
      </c>
    </row>
    <row r="1524">
      <c r="A1524" t="inlineStr">
        <is>
          <t>Different 差额</t>
        </is>
      </c>
      <c r="B1524" s="6">
        <f>IF($B1513="","",ROUND(B1522-E1522,2))</f>
        <v/>
      </c>
      <c r="D1524">
        <f>IF($B1513="","",IF(ABS(B1524)&gt;'Opening Balance'!$B$16,"ALERT 警报: Different over RM"&amp;'Opening Balance'!$B$16&amp;" 差额超过RM"&amp;'Opening Balance'!$B$16&amp;" - please check 请检查",IF(B1524=0,"Tied 平衡",IF(ABS(B1524)&lt;='Opening Balance'!$B$13,"Small difference 小额差额: adjusted on c/f petty cash 已调整备用金",IF(B1524&gt;0,"Short 短收: added to Misc Charges 已加入杂项费用","Over 多收: added to Cash Sales 已加入现金销售")))))</f>
        <v/>
      </c>
      <c r="H1524" t="inlineStr">
        <is>
          <t>Different 差额</t>
        </is>
      </c>
      <c r="I1524" s="6">
        <f>IF($B1513="","",ROUND(I1522-L1522,2))</f>
        <v/>
      </c>
    </row>
    <row r="1525"/>
    <row r="1526"/>
    <row r="1527">
      <c r="A1527" t="inlineStr">
        <is>
          <t>Date 日期</t>
        </is>
      </c>
      <c r="B1527" s="5">
        <f>IF('Daily Sale entry '!$A111="","",'Daily Sale entry '!$A111)</f>
        <v/>
      </c>
      <c r="H1527" t="inlineStr">
        <is>
          <t>After 调整后 (After)</t>
        </is>
      </c>
      <c r="I1527" s="5">
        <f>IF($B1527="","",B1527)</f>
        <v/>
      </c>
    </row>
    <row r="1528">
      <c r="A1528" t="inlineStr">
        <is>
          <t>Cash Sales 现金销售</t>
        </is>
      </c>
      <c r="B1528" s="6">
        <f>IF($B1527="","",'Daily Sale entry '!B111)</f>
        <v/>
      </c>
      <c r="D1528" t="inlineStr">
        <is>
          <t>c/f petty cash 今日备用金结转</t>
        </is>
      </c>
      <c r="E1528" s="6">
        <f>IF($B1527="","",'Daily Sale entry '!G111)</f>
        <v/>
      </c>
      <c r="H1528" t="inlineStr">
        <is>
          <t>Cash Sales 现金销售</t>
        </is>
      </c>
      <c r="I1528" s="6">
        <f>IF($B1527="","",IF(AND(ABS(B1538)&gt;'Opening Balance'!$B$13,B1538&lt;0),ROUND(B1528-B1538,2),B1528))</f>
        <v/>
      </c>
      <c r="K1528" t="inlineStr">
        <is>
          <t>c/f petty cash 今日备用金结转</t>
        </is>
      </c>
      <c r="L1528" s="6">
        <f>IF($B1527="","",IF(ABS(B1538)&lt;='Opening Balance'!$B$13,ROUND(E1528+B1538,2),E1528))</f>
        <v/>
      </c>
    </row>
    <row r="1529">
      <c r="A1529" t="inlineStr">
        <is>
          <t>Misc Charges 杂项费用</t>
        </is>
      </c>
      <c r="B1529" s="6">
        <f>IF($B1527="","",'Daily Sale entry '!C111)</f>
        <v/>
      </c>
      <c r="D1529" t="inlineStr">
        <is>
          <t>cash collection 现金收款</t>
        </is>
      </c>
      <c r="E1529" s="6">
        <f>IF($B1527="","",'Daily Sale entry '!H111)</f>
        <v/>
      </c>
      <c r="H1529" t="inlineStr">
        <is>
          <t>Misc Charges 杂项费用</t>
        </is>
      </c>
      <c r="I1529" s="6">
        <f>IF($B1527="","",IF(AND(ABS(B1538)&gt;'Opening Balance'!$B$13,B1538&gt;0),ROUND(B1529+B1538,2),B1529))</f>
        <v/>
      </c>
      <c r="K1529" t="inlineStr">
        <is>
          <t>cash collection 现金收款</t>
        </is>
      </c>
      <c r="L1529" s="6">
        <f>IF($B1527="","",E1529)</f>
        <v/>
      </c>
    </row>
    <row r="1530">
      <c r="A1530" s="1" t="inlineStr">
        <is>
          <t>Other Charges 其他费用</t>
        </is>
      </c>
      <c r="B1530" s="9">
        <f>IF($B1527="","",'Daily Sale entry '!D111)</f>
        <v/>
      </c>
      <c r="D1530" s="1" t="inlineStr">
        <is>
          <t>Cheque Collection 支票收款</t>
        </is>
      </c>
      <c r="E1530" s="9">
        <f>IF($B1527="","",'Daily Sale entry '!J111)</f>
        <v/>
      </c>
      <c r="H1530" s="1" t="inlineStr">
        <is>
          <t>Other Charges 其他费用</t>
        </is>
      </c>
      <c r="I1530" s="9">
        <f>IF($B1527="","",B1530)</f>
        <v/>
      </c>
      <c r="K1530" s="1" t="inlineStr">
        <is>
          <t>Cheque Collection 支票收款</t>
        </is>
      </c>
      <c r="L1530" s="9">
        <f>IF($B1527="","",E1530)</f>
        <v/>
      </c>
    </row>
    <row r="1531">
      <c r="A1531" s="10" t="inlineStr">
        <is>
          <t>Amount 金额  (Cash Sales - Misc - Other)</t>
        </is>
      </c>
      <c r="B1531" s="11">
        <f>IF($B1527="","",ROUND(B1528-B1529-B1530,2))</f>
        <v/>
      </c>
      <c r="D1531" s="12" t="inlineStr">
        <is>
          <t>TNG collection TNG收款</t>
        </is>
      </c>
      <c r="E1531" s="13">
        <f>IF($B1527="","",'Daily Sale entry '!K111)</f>
        <v/>
      </c>
      <c r="H1531" s="10" t="inlineStr">
        <is>
          <t>Amount 金额  (Cash Sales - Misc - Other)</t>
        </is>
      </c>
      <c r="I1531" s="11">
        <f>IF($B1527="","",ROUND(I1528-I1529-I1530,2))</f>
        <v/>
      </c>
      <c r="K1531" s="12" t="inlineStr">
        <is>
          <t>TNG collection TNG收款</t>
        </is>
      </c>
      <c r="L1531" s="13">
        <f>IF($B1527="","",E1531)</f>
        <v/>
      </c>
    </row>
    <row r="1532">
      <c r="A1532" t="inlineStr">
        <is>
          <t>Credit Collection 赊账收款</t>
        </is>
      </c>
      <c r="B1532" s="6">
        <f>IF($B1527="","",'Daily Sale entry '!E111)</f>
        <v/>
      </c>
      <c r="D1532" t="inlineStr">
        <is>
          <t>Advance Salary_M 预支薪水_M</t>
        </is>
      </c>
      <c r="E1532" s="6">
        <f>IF($B1527="","",'Daily Sale entry '!L111)</f>
        <v/>
      </c>
      <c r="H1532" t="inlineStr">
        <is>
          <t>Credit Collection 赊账收款</t>
        </is>
      </c>
      <c r="I1532" s="6">
        <f>IF($B1527="","",B1532)</f>
        <v/>
      </c>
      <c r="K1532" t="inlineStr">
        <is>
          <t>Advance Salary_M 预支薪水_M</t>
        </is>
      </c>
      <c r="L1532" s="6">
        <f>IF($B1527="","",E1532)</f>
        <v/>
      </c>
    </row>
    <row r="1533">
      <c r="A1533" s="10" t="inlineStr">
        <is>
          <t>Amount 2 金额2  (Amount + Credit Collection)</t>
        </is>
      </c>
      <c r="B1533" s="11">
        <f>IF($B1527="","",ROUND(B1531+B1532,2))</f>
        <v/>
      </c>
      <c r="D1533" t="inlineStr">
        <is>
          <t>Advance Salary_H 预支薪水_H</t>
        </is>
      </c>
      <c r="E1533" s="6">
        <f>IF($B1527="","",'Daily Sale entry '!M111)</f>
        <v/>
      </c>
      <c r="H1533" s="10" t="inlineStr">
        <is>
          <t>Amount 2 金额2  (Amount + Credit Collection)</t>
        </is>
      </c>
      <c r="I1533" s="11">
        <f>IF($B1527="","",ROUND(I1531+I1532,2))</f>
        <v/>
      </c>
      <c r="K1533" t="inlineStr">
        <is>
          <t>Advance Salary_H 预支薪水_H</t>
        </is>
      </c>
      <c r="L1533" s="6">
        <f>IF($B1527="","",E1533)</f>
        <v/>
      </c>
    </row>
    <row r="1534"/>
    <row r="1535">
      <c r="A1535" s="1" t="inlineStr">
        <is>
          <t>b/f petty cash 上日备用金结转</t>
        </is>
      </c>
      <c r="B1535" s="9">
        <f>IF($B1527="","",'Daily Sale entry '!F111)</f>
        <v/>
      </c>
      <c r="D1535" s="1" t="n"/>
      <c r="E1535" s="1" t="n"/>
      <c r="H1535" s="1" t="inlineStr">
        <is>
          <t>b/f petty cash 上日备用金结转</t>
        </is>
      </c>
      <c r="I1535" s="9">
        <f>IF($B1527="","",B1535)</f>
        <v/>
      </c>
      <c r="K1535" s="1" t="n"/>
      <c r="L1535" s="1" t="n"/>
    </row>
    <row r="1536">
      <c r="A1536" t="inlineStr">
        <is>
          <t>Total (A) 总计 (A)</t>
        </is>
      </c>
      <c r="B1536" s="6">
        <f>IF($B1527="","",ROUND(B1533+B1535,2))</f>
        <v/>
      </c>
      <c r="D1536" t="inlineStr">
        <is>
          <t>Total(B) 总计 (B)</t>
        </is>
      </c>
      <c r="E1536" s="6">
        <f>IF($B1527="","",ROUND(E1528+E1529+E1530+E1531+E1532+E1533,2))</f>
        <v/>
      </c>
      <c r="H1536" t="inlineStr">
        <is>
          <t>Total© 总计 (C)</t>
        </is>
      </c>
      <c r="I1536" s="6">
        <f>IF($B1527="","",ROUND(I1533+I1535,2))</f>
        <v/>
      </c>
      <c r="K1536" t="inlineStr">
        <is>
          <t>Total(D) 总计 (D)</t>
        </is>
      </c>
      <c r="L1536" s="6">
        <f>IF($B1527="","",ROUND(L1528+L1529+L1530+L1531+L1532+L1533,2))</f>
        <v/>
      </c>
    </row>
    <row r="1537">
      <c r="A1537" s="14" t="inlineStr">
        <is>
          <t>Total = Amount 2 + b/f petty cash  (金额2 + 上日备用金)</t>
        </is>
      </c>
      <c r="H1537" s="14" t="inlineStr">
        <is>
          <t>Total = Amount 2 + b/f petty cash  (金额2 + 上日备用金)</t>
        </is>
      </c>
    </row>
    <row r="1538">
      <c r="A1538" t="inlineStr">
        <is>
          <t>Different 差额</t>
        </is>
      </c>
      <c r="B1538" s="6">
        <f>IF($B1527="","",ROUND(B1536-E1536,2))</f>
        <v/>
      </c>
      <c r="D1538">
        <f>IF($B1527="","",IF(ABS(B1538)&gt;'Opening Balance'!$B$16,"ALERT 警报: Different over RM"&amp;'Opening Balance'!$B$16&amp;" 差额超过RM"&amp;'Opening Balance'!$B$16&amp;" - please check 请检查",IF(B1538=0,"Tied 平衡",IF(ABS(B1538)&lt;='Opening Balance'!$B$13,"Small difference 小额差额: adjusted on c/f petty cash 已调整备用金",IF(B1538&gt;0,"Short 短收: added to Misc Charges 已加入杂项费用","Over 多收: added to Cash Sales 已加入现金销售")))))</f>
        <v/>
      </c>
      <c r="H1538" t="inlineStr">
        <is>
          <t>Different 差额</t>
        </is>
      </c>
      <c r="I1538" s="6">
        <f>IF($B1527="","",ROUND(I1536-L1536,2))</f>
        <v/>
      </c>
    </row>
    <row r="1539"/>
    <row r="1540"/>
    <row r="1541">
      <c r="A1541" t="inlineStr">
        <is>
          <t>Date 日期</t>
        </is>
      </c>
      <c r="B1541" s="5">
        <f>IF('Daily Sale entry '!$A112="","",'Daily Sale entry '!$A112)</f>
        <v/>
      </c>
      <c r="H1541" t="inlineStr">
        <is>
          <t>After 调整后 (After)</t>
        </is>
      </c>
      <c r="I1541" s="5">
        <f>IF($B1541="","",B1541)</f>
        <v/>
      </c>
    </row>
    <row r="1542">
      <c r="A1542" t="inlineStr">
        <is>
          <t>Cash Sales 现金销售</t>
        </is>
      </c>
      <c r="B1542" s="6">
        <f>IF($B1541="","",'Daily Sale entry '!B112)</f>
        <v/>
      </c>
      <c r="D1542" t="inlineStr">
        <is>
          <t>c/f petty cash 今日备用金结转</t>
        </is>
      </c>
      <c r="E1542" s="6">
        <f>IF($B1541="","",'Daily Sale entry '!G112)</f>
        <v/>
      </c>
      <c r="H1542" t="inlineStr">
        <is>
          <t>Cash Sales 现金销售</t>
        </is>
      </c>
      <c r="I1542" s="6">
        <f>IF($B1541="","",IF(AND(ABS(B1552)&gt;'Opening Balance'!$B$13,B1552&lt;0),ROUND(B1542-B1552,2),B1542))</f>
        <v/>
      </c>
      <c r="K1542" t="inlineStr">
        <is>
          <t>c/f petty cash 今日备用金结转</t>
        </is>
      </c>
      <c r="L1542" s="6">
        <f>IF($B1541="","",IF(ABS(B1552)&lt;='Opening Balance'!$B$13,ROUND(E1542+B1552,2),E1542))</f>
        <v/>
      </c>
    </row>
    <row r="1543">
      <c r="A1543" t="inlineStr">
        <is>
          <t>Misc Charges 杂项费用</t>
        </is>
      </c>
      <c r="B1543" s="6">
        <f>IF($B1541="","",'Daily Sale entry '!C112)</f>
        <v/>
      </c>
      <c r="D1543" t="inlineStr">
        <is>
          <t>cash collection 现金收款</t>
        </is>
      </c>
      <c r="E1543" s="6">
        <f>IF($B1541="","",'Daily Sale entry '!H112)</f>
        <v/>
      </c>
      <c r="H1543" t="inlineStr">
        <is>
          <t>Misc Charges 杂项费用</t>
        </is>
      </c>
      <c r="I1543" s="6">
        <f>IF($B1541="","",IF(AND(ABS(B1552)&gt;'Opening Balance'!$B$13,B1552&gt;0),ROUND(B1543+B1552,2),B1543))</f>
        <v/>
      </c>
      <c r="K1543" t="inlineStr">
        <is>
          <t>cash collection 现金收款</t>
        </is>
      </c>
      <c r="L1543" s="6">
        <f>IF($B1541="","",E1543)</f>
        <v/>
      </c>
    </row>
    <row r="1544">
      <c r="A1544" s="1" t="inlineStr">
        <is>
          <t>Other Charges 其他费用</t>
        </is>
      </c>
      <c r="B1544" s="9">
        <f>IF($B1541="","",'Daily Sale entry '!D112)</f>
        <v/>
      </c>
      <c r="D1544" s="1" t="inlineStr">
        <is>
          <t>Cheque Collection 支票收款</t>
        </is>
      </c>
      <c r="E1544" s="9">
        <f>IF($B1541="","",'Daily Sale entry '!J112)</f>
        <v/>
      </c>
      <c r="H1544" s="1" t="inlineStr">
        <is>
          <t>Other Charges 其他费用</t>
        </is>
      </c>
      <c r="I1544" s="9">
        <f>IF($B1541="","",B1544)</f>
        <v/>
      </c>
      <c r="K1544" s="1" t="inlineStr">
        <is>
          <t>Cheque Collection 支票收款</t>
        </is>
      </c>
      <c r="L1544" s="9">
        <f>IF($B1541="","",E1544)</f>
        <v/>
      </c>
    </row>
    <row r="1545">
      <c r="A1545" s="10" t="inlineStr">
        <is>
          <t>Amount 金额  (Cash Sales - Misc - Other)</t>
        </is>
      </c>
      <c r="B1545" s="11">
        <f>IF($B1541="","",ROUND(B1542-B1543-B1544,2))</f>
        <v/>
      </c>
      <c r="D1545" s="12" t="inlineStr">
        <is>
          <t>TNG collection TNG收款</t>
        </is>
      </c>
      <c r="E1545" s="13">
        <f>IF($B1541="","",'Daily Sale entry '!K112)</f>
        <v/>
      </c>
      <c r="H1545" s="10" t="inlineStr">
        <is>
          <t>Amount 金额  (Cash Sales - Misc - Other)</t>
        </is>
      </c>
      <c r="I1545" s="11">
        <f>IF($B1541="","",ROUND(I1542-I1543-I1544,2))</f>
        <v/>
      </c>
      <c r="K1545" s="12" t="inlineStr">
        <is>
          <t>TNG collection TNG收款</t>
        </is>
      </c>
      <c r="L1545" s="13">
        <f>IF($B1541="","",E1545)</f>
        <v/>
      </c>
    </row>
    <row r="1546">
      <c r="A1546" t="inlineStr">
        <is>
          <t>Credit Collection 赊账收款</t>
        </is>
      </c>
      <c r="B1546" s="6">
        <f>IF($B1541="","",'Daily Sale entry '!E112)</f>
        <v/>
      </c>
      <c r="D1546" t="inlineStr">
        <is>
          <t>Advance Salary_M 预支薪水_M</t>
        </is>
      </c>
      <c r="E1546" s="6">
        <f>IF($B1541="","",'Daily Sale entry '!L112)</f>
        <v/>
      </c>
      <c r="H1546" t="inlineStr">
        <is>
          <t>Credit Collection 赊账收款</t>
        </is>
      </c>
      <c r="I1546" s="6">
        <f>IF($B1541="","",B1546)</f>
        <v/>
      </c>
      <c r="K1546" t="inlineStr">
        <is>
          <t>Advance Salary_M 预支薪水_M</t>
        </is>
      </c>
      <c r="L1546" s="6">
        <f>IF($B1541="","",E1546)</f>
        <v/>
      </c>
    </row>
    <row r="1547">
      <c r="A1547" s="10" t="inlineStr">
        <is>
          <t>Amount 2 金额2  (Amount + Credit Collection)</t>
        </is>
      </c>
      <c r="B1547" s="11">
        <f>IF($B1541="","",ROUND(B1545+B1546,2))</f>
        <v/>
      </c>
      <c r="D1547" t="inlineStr">
        <is>
          <t>Advance Salary_H 预支薪水_H</t>
        </is>
      </c>
      <c r="E1547" s="6">
        <f>IF($B1541="","",'Daily Sale entry '!M112)</f>
        <v/>
      </c>
      <c r="H1547" s="10" t="inlineStr">
        <is>
          <t>Amount 2 金额2  (Amount + Credit Collection)</t>
        </is>
      </c>
      <c r="I1547" s="11">
        <f>IF($B1541="","",ROUND(I1545+I1546,2))</f>
        <v/>
      </c>
      <c r="K1547" t="inlineStr">
        <is>
          <t>Advance Salary_H 预支薪水_H</t>
        </is>
      </c>
      <c r="L1547" s="6">
        <f>IF($B1541="","",E1547)</f>
        <v/>
      </c>
    </row>
    <row r="1548"/>
    <row r="1549">
      <c r="A1549" s="1" t="inlineStr">
        <is>
          <t>b/f petty cash 上日备用金结转</t>
        </is>
      </c>
      <c r="B1549" s="9">
        <f>IF($B1541="","",'Daily Sale entry '!F112)</f>
        <v/>
      </c>
      <c r="D1549" s="1" t="n"/>
      <c r="E1549" s="1" t="n"/>
      <c r="H1549" s="1" t="inlineStr">
        <is>
          <t>b/f petty cash 上日备用金结转</t>
        </is>
      </c>
      <c r="I1549" s="9">
        <f>IF($B1541="","",B1549)</f>
        <v/>
      </c>
      <c r="K1549" s="1" t="n"/>
      <c r="L1549" s="1" t="n"/>
    </row>
    <row r="1550">
      <c r="A1550" t="inlineStr">
        <is>
          <t>Total (A) 总计 (A)</t>
        </is>
      </c>
      <c r="B1550" s="6">
        <f>IF($B1541="","",ROUND(B1547+B1549,2))</f>
        <v/>
      </c>
      <c r="D1550" t="inlineStr">
        <is>
          <t>Total(B) 总计 (B)</t>
        </is>
      </c>
      <c r="E1550" s="6">
        <f>IF($B1541="","",ROUND(E1542+E1543+E1544+E1545+E1546+E1547,2))</f>
        <v/>
      </c>
      <c r="H1550" t="inlineStr">
        <is>
          <t>Total© 总计 (C)</t>
        </is>
      </c>
      <c r="I1550" s="6">
        <f>IF($B1541="","",ROUND(I1547+I1549,2))</f>
        <v/>
      </c>
      <c r="K1550" t="inlineStr">
        <is>
          <t>Total(D) 总计 (D)</t>
        </is>
      </c>
      <c r="L1550" s="6">
        <f>IF($B1541="","",ROUND(L1542+L1543+L1544+L1545+L1546+L1547,2))</f>
        <v/>
      </c>
    </row>
    <row r="1551">
      <c r="A1551" s="14" t="inlineStr">
        <is>
          <t>Total = Amount 2 + b/f petty cash  (金额2 + 上日备用金)</t>
        </is>
      </c>
      <c r="H1551" s="14" t="inlineStr">
        <is>
          <t>Total = Amount 2 + b/f petty cash  (金额2 + 上日备用金)</t>
        </is>
      </c>
    </row>
    <row r="1552">
      <c r="A1552" t="inlineStr">
        <is>
          <t>Different 差额</t>
        </is>
      </c>
      <c r="B1552" s="6">
        <f>IF($B1541="","",ROUND(B1550-E1550,2))</f>
        <v/>
      </c>
      <c r="D1552">
        <f>IF($B1541="","",IF(ABS(B1552)&gt;'Opening Balance'!$B$16,"ALERT 警报: Different over RM"&amp;'Opening Balance'!$B$16&amp;" 差额超过RM"&amp;'Opening Balance'!$B$16&amp;" - please check 请检查",IF(B1552=0,"Tied 平衡",IF(ABS(B1552)&lt;='Opening Balance'!$B$13,"Small difference 小额差额: adjusted on c/f petty cash 已调整备用金",IF(B1552&gt;0,"Short 短收: added to Misc Charges 已加入杂项费用","Over 多收: added to Cash Sales 已加入现金销售")))))</f>
        <v/>
      </c>
      <c r="H1552" t="inlineStr">
        <is>
          <t>Different 差额</t>
        </is>
      </c>
      <c r="I1552" s="6">
        <f>IF($B1541="","",ROUND(I1550-L1550,2))</f>
        <v/>
      </c>
    </row>
    <row r="1553"/>
    <row r="1554"/>
    <row r="1555">
      <c r="A1555" t="inlineStr">
        <is>
          <t>Date 日期</t>
        </is>
      </c>
      <c r="B1555" s="5">
        <f>IF('Daily Sale entry '!$A113="","",'Daily Sale entry '!$A113)</f>
        <v/>
      </c>
      <c r="H1555" t="inlineStr">
        <is>
          <t>After 调整后 (After)</t>
        </is>
      </c>
      <c r="I1555" s="5">
        <f>IF($B1555="","",B1555)</f>
        <v/>
      </c>
    </row>
    <row r="1556">
      <c r="A1556" t="inlineStr">
        <is>
          <t>Cash Sales 现金销售</t>
        </is>
      </c>
      <c r="B1556" s="6">
        <f>IF($B1555="","",'Daily Sale entry '!B113)</f>
        <v/>
      </c>
      <c r="D1556" t="inlineStr">
        <is>
          <t>c/f petty cash 今日备用金结转</t>
        </is>
      </c>
      <c r="E1556" s="6">
        <f>IF($B1555="","",'Daily Sale entry '!G113)</f>
        <v/>
      </c>
      <c r="H1556" t="inlineStr">
        <is>
          <t>Cash Sales 现金销售</t>
        </is>
      </c>
      <c r="I1556" s="6">
        <f>IF($B1555="","",IF(AND(ABS(B1566)&gt;'Opening Balance'!$B$13,B1566&lt;0),ROUND(B1556-B1566,2),B1556))</f>
        <v/>
      </c>
      <c r="K1556" t="inlineStr">
        <is>
          <t>c/f petty cash 今日备用金结转</t>
        </is>
      </c>
      <c r="L1556" s="6">
        <f>IF($B1555="","",IF(ABS(B1566)&lt;='Opening Balance'!$B$13,ROUND(E1556+B1566,2),E1556))</f>
        <v/>
      </c>
    </row>
    <row r="1557">
      <c r="A1557" t="inlineStr">
        <is>
          <t>Misc Charges 杂项费用</t>
        </is>
      </c>
      <c r="B1557" s="6">
        <f>IF($B1555="","",'Daily Sale entry '!C113)</f>
        <v/>
      </c>
      <c r="D1557" t="inlineStr">
        <is>
          <t>cash collection 现金收款</t>
        </is>
      </c>
      <c r="E1557" s="6">
        <f>IF($B1555="","",'Daily Sale entry '!H113)</f>
        <v/>
      </c>
      <c r="H1557" t="inlineStr">
        <is>
          <t>Misc Charges 杂项费用</t>
        </is>
      </c>
      <c r="I1557" s="6">
        <f>IF($B1555="","",IF(AND(ABS(B1566)&gt;'Opening Balance'!$B$13,B1566&gt;0),ROUND(B1557+B1566,2),B1557))</f>
        <v/>
      </c>
      <c r="K1557" t="inlineStr">
        <is>
          <t>cash collection 现金收款</t>
        </is>
      </c>
      <c r="L1557" s="6">
        <f>IF($B1555="","",E1557)</f>
        <v/>
      </c>
    </row>
    <row r="1558">
      <c r="A1558" s="1" t="inlineStr">
        <is>
          <t>Other Charges 其他费用</t>
        </is>
      </c>
      <c r="B1558" s="9">
        <f>IF($B1555="","",'Daily Sale entry '!D113)</f>
        <v/>
      </c>
      <c r="D1558" s="1" t="inlineStr">
        <is>
          <t>Cheque Collection 支票收款</t>
        </is>
      </c>
      <c r="E1558" s="9">
        <f>IF($B1555="","",'Daily Sale entry '!J113)</f>
        <v/>
      </c>
      <c r="H1558" s="1" t="inlineStr">
        <is>
          <t>Other Charges 其他费用</t>
        </is>
      </c>
      <c r="I1558" s="9">
        <f>IF($B1555="","",B1558)</f>
        <v/>
      </c>
      <c r="K1558" s="1" t="inlineStr">
        <is>
          <t>Cheque Collection 支票收款</t>
        </is>
      </c>
      <c r="L1558" s="9">
        <f>IF($B1555="","",E1558)</f>
        <v/>
      </c>
    </row>
    <row r="1559">
      <c r="A1559" s="10" t="inlineStr">
        <is>
          <t>Amount 金额  (Cash Sales - Misc - Other)</t>
        </is>
      </c>
      <c r="B1559" s="11">
        <f>IF($B1555="","",ROUND(B1556-B1557-B1558,2))</f>
        <v/>
      </c>
      <c r="D1559" s="12" t="inlineStr">
        <is>
          <t>TNG collection TNG收款</t>
        </is>
      </c>
      <c r="E1559" s="13">
        <f>IF($B1555="","",'Daily Sale entry '!K113)</f>
        <v/>
      </c>
      <c r="H1559" s="10" t="inlineStr">
        <is>
          <t>Amount 金额  (Cash Sales - Misc - Other)</t>
        </is>
      </c>
      <c r="I1559" s="11">
        <f>IF($B1555="","",ROUND(I1556-I1557-I1558,2))</f>
        <v/>
      </c>
      <c r="K1559" s="12" t="inlineStr">
        <is>
          <t>TNG collection TNG收款</t>
        </is>
      </c>
      <c r="L1559" s="13">
        <f>IF($B1555="","",E1559)</f>
        <v/>
      </c>
    </row>
    <row r="1560">
      <c r="A1560" t="inlineStr">
        <is>
          <t>Credit Collection 赊账收款</t>
        </is>
      </c>
      <c r="B1560" s="6">
        <f>IF($B1555="","",'Daily Sale entry '!E113)</f>
        <v/>
      </c>
      <c r="D1560" t="inlineStr">
        <is>
          <t>Advance Salary_M 预支薪水_M</t>
        </is>
      </c>
      <c r="E1560" s="6">
        <f>IF($B1555="","",'Daily Sale entry '!L113)</f>
        <v/>
      </c>
      <c r="H1560" t="inlineStr">
        <is>
          <t>Credit Collection 赊账收款</t>
        </is>
      </c>
      <c r="I1560" s="6">
        <f>IF($B1555="","",B1560)</f>
        <v/>
      </c>
      <c r="K1560" t="inlineStr">
        <is>
          <t>Advance Salary_M 预支薪水_M</t>
        </is>
      </c>
      <c r="L1560" s="6">
        <f>IF($B1555="","",E1560)</f>
        <v/>
      </c>
    </row>
    <row r="1561">
      <c r="A1561" s="10" t="inlineStr">
        <is>
          <t>Amount 2 金额2  (Amount + Credit Collection)</t>
        </is>
      </c>
      <c r="B1561" s="11">
        <f>IF($B1555="","",ROUND(B1559+B1560,2))</f>
        <v/>
      </c>
      <c r="D1561" t="inlineStr">
        <is>
          <t>Advance Salary_H 预支薪水_H</t>
        </is>
      </c>
      <c r="E1561" s="6">
        <f>IF($B1555="","",'Daily Sale entry '!M113)</f>
        <v/>
      </c>
      <c r="H1561" s="10" t="inlineStr">
        <is>
          <t>Amount 2 金额2  (Amount + Credit Collection)</t>
        </is>
      </c>
      <c r="I1561" s="11">
        <f>IF($B1555="","",ROUND(I1559+I1560,2))</f>
        <v/>
      </c>
      <c r="K1561" t="inlineStr">
        <is>
          <t>Advance Salary_H 预支薪水_H</t>
        </is>
      </c>
      <c r="L1561" s="6">
        <f>IF($B1555="","",E1561)</f>
        <v/>
      </c>
    </row>
    <row r="1562"/>
    <row r="1563">
      <c r="A1563" s="1" t="inlineStr">
        <is>
          <t>b/f petty cash 上日备用金结转</t>
        </is>
      </c>
      <c r="B1563" s="9">
        <f>IF($B1555="","",'Daily Sale entry '!F113)</f>
        <v/>
      </c>
      <c r="D1563" s="1" t="n"/>
      <c r="E1563" s="1" t="n"/>
      <c r="H1563" s="1" t="inlineStr">
        <is>
          <t>b/f petty cash 上日备用金结转</t>
        </is>
      </c>
      <c r="I1563" s="9">
        <f>IF($B1555="","",B1563)</f>
        <v/>
      </c>
      <c r="K1563" s="1" t="n"/>
      <c r="L1563" s="1" t="n"/>
    </row>
    <row r="1564">
      <c r="A1564" t="inlineStr">
        <is>
          <t>Total (A) 总计 (A)</t>
        </is>
      </c>
      <c r="B1564" s="6">
        <f>IF($B1555="","",ROUND(B1561+B1563,2))</f>
        <v/>
      </c>
      <c r="D1564" t="inlineStr">
        <is>
          <t>Total(B) 总计 (B)</t>
        </is>
      </c>
      <c r="E1564" s="6">
        <f>IF($B1555="","",ROUND(E1556+E1557+E1558+E1559+E1560+E1561,2))</f>
        <v/>
      </c>
      <c r="H1564" t="inlineStr">
        <is>
          <t>Total© 总计 (C)</t>
        </is>
      </c>
      <c r="I1564" s="6">
        <f>IF($B1555="","",ROUND(I1561+I1563,2))</f>
        <v/>
      </c>
      <c r="K1564" t="inlineStr">
        <is>
          <t>Total(D) 总计 (D)</t>
        </is>
      </c>
      <c r="L1564" s="6">
        <f>IF($B1555="","",ROUND(L1556+L1557+L1558+L1559+L1560+L1561,2))</f>
        <v/>
      </c>
    </row>
    <row r="1565">
      <c r="A1565" s="14" t="inlineStr">
        <is>
          <t>Total = Amount 2 + b/f petty cash  (金额2 + 上日备用金)</t>
        </is>
      </c>
      <c r="H1565" s="14" t="inlineStr">
        <is>
          <t>Total = Amount 2 + b/f petty cash  (金额2 + 上日备用金)</t>
        </is>
      </c>
    </row>
    <row r="1566">
      <c r="A1566" t="inlineStr">
        <is>
          <t>Different 差额</t>
        </is>
      </c>
      <c r="B1566" s="6">
        <f>IF($B1555="","",ROUND(B1564-E1564,2))</f>
        <v/>
      </c>
      <c r="D1566">
        <f>IF($B1555="","",IF(ABS(B1566)&gt;'Opening Balance'!$B$16,"ALERT 警报: Different over RM"&amp;'Opening Balance'!$B$16&amp;" 差额超过RM"&amp;'Opening Balance'!$B$16&amp;" - please check 请检查",IF(B1566=0,"Tied 平衡",IF(ABS(B1566)&lt;='Opening Balance'!$B$13,"Small difference 小额差额: adjusted on c/f petty cash 已调整备用金",IF(B1566&gt;0,"Short 短收: added to Misc Charges 已加入杂项费用","Over 多收: added to Cash Sales 已加入现金销售")))))</f>
        <v/>
      </c>
      <c r="H1566" t="inlineStr">
        <is>
          <t>Different 差额</t>
        </is>
      </c>
      <c r="I1566" s="6">
        <f>IF($B1555="","",ROUND(I1564-L1564,2))</f>
        <v/>
      </c>
    </row>
    <row r="1567"/>
    <row r="1568"/>
    <row r="1569">
      <c r="A1569" t="inlineStr">
        <is>
          <t>Date 日期</t>
        </is>
      </c>
      <c r="B1569" s="5">
        <f>IF('Daily Sale entry '!$A114="","",'Daily Sale entry '!$A114)</f>
        <v/>
      </c>
      <c r="H1569" t="inlineStr">
        <is>
          <t>After 调整后 (After)</t>
        </is>
      </c>
      <c r="I1569" s="5">
        <f>IF($B1569="","",B1569)</f>
        <v/>
      </c>
    </row>
    <row r="1570">
      <c r="A1570" t="inlineStr">
        <is>
          <t>Cash Sales 现金销售</t>
        </is>
      </c>
      <c r="B1570" s="6">
        <f>IF($B1569="","",'Daily Sale entry '!B114)</f>
        <v/>
      </c>
      <c r="D1570" t="inlineStr">
        <is>
          <t>c/f petty cash 今日备用金结转</t>
        </is>
      </c>
      <c r="E1570" s="6">
        <f>IF($B1569="","",'Daily Sale entry '!G114)</f>
        <v/>
      </c>
      <c r="H1570" t="inlineStr">
        <is>
          <t>Cash Sales 现金销售</t>
        </is>
      </c>
      <c r="I1570" s="6">
        <f>IF($B1569="","",IF(AND(ABS(B1580)&gt;'Opening Balance'!$B$13,B1580&lt;0),ROUND(B1570-B1580,2),B1570))</f>
        <v/>
      </c>
      <c r="K1570" t="inlineStr">
        <is>
          <t>c/f petty cash 今日备用金结转</t>
        </is>
      </c>
      <c r="L1570" s="6">
        <f>IF($B1569="","",IF(ABS(B1580)&lt;='Opening Balance'!$B$13,ROUND(E1570+B1580,2),E1570))</f>
        <v/>
      </c>
    </row>
    <row r="1571">
      <c r="A1571" t="inlineStr">
        <is>
          <t>Misc Charges 杂项费用</t>
        </is>
      </c>
      <c r="B1571" s="6">
        <f>IF($B1569="","",'Daily Sale entry '!C114)</f>
        <v/>
      </c>
      <c r="D1571" t="inlineStr">
        <is>
          <t>cash collection 现金收款</t>
        </is>
      </c>
      <c r="E1571" s="6">
        <f>IF($B1569="","",'Daily Sale entry '!H114)</f>
        <v/>
      </c>
      <c r="H1571" t="inlineStr">
        <is>
          <t>Misc Charges 杂项费用</t>
        </is>
      </c>
      <c r="I1571" s="6">
        <f>IF($B1569="","",IF(AND(ABS(B1580)&gt;'Opening Balance'!$B$13,B1580&gt;0),ROUND(B1571+B1580,2),B1571))</f>
        <v/>
      </c>
      <c r="K1571" t="inlineStr">
        <is>
          <t>cash collection 现金收款</t>
        </is>
      </c>
      <c r="L1571" s="6">
        <f>IF($B1569="","",E1571)</f>
        <v/>
      </c>
    </row>
    <row r="1572">
      <c r="A1572" s="1" t="inlineStr">
        <is>
          <t>Other Charges 其他费用</t>
        </is>
      </c>
      <c r="B1572" s="9">
        <f>IF($B1569="","",'Daily Sale entry '!D114)</f>
        <v/>
      </c>
      <c r="D1572" s="1" t="inlineStr">
        <is>
          <t>Cheque Collection 支票收款</t>
        </is>
      </c>
      <c r="E1572" s="9">
        <f>IF($B1569="","",'Daily Sale entry '!J114)</f>
        <v/>
      </c>
      <c r="H1572" s="1" t="inlineStr">
        <is>
          <t>Other Charges 其他费用</t>
        </is>
      </c>
      <c r="I1572" s="9">
        <f>IF($B1569="","",B1572)</f>
        <v/>
      </c>
      <c r="K1572" s="1" t="inlineStr">
        <is>
          <t>Cheque Collection 支票收款</t>
        </is>
      </c>
      <c r="L1572" s="9">
        <f>IF($B1569="","",E1572)</f>
        <v/>
      </c>
    </row>
    <row r="1573">
      <c r="A1573" s="10" t="inlineStr">
        <is>
          <t>Amount 金额  (Cash Sales - Misc - Other)</t>
        </is>
      </c>
      <c r="B1573" s="11">
        <f>IF($B1569="","",ROUND(B1570-B1571-B1572,2))</f>
        <v/>
      </c>
      <c r="D1573" s="12" t="inlineStr">
        <is>
          <t>TNG collection TNG收款</t>
        </is>
      </c>
      <c r="E1573" s="13">
        <f>IF($B1569="","",'Daily Sale entry '!K114)</f>
        <v/>
      </c>
      <c r="H1573" s="10" t="inlineStr">
        <is>
          <t>Amount 金额  (Cash Sales - Misc - Other)</t>
        </is>
      </c>
      <c r="I1573" s="11">
        <f>IF($B1569="","",ROUND(I1570-I1571-I1572,2))</f>
        <v/>
      </c>
      <c r="K1573" s="12" t="inlineStr">
        <is>
          <t>TNG collection TNG收款</t>
        </is>
      </c>
      <c r="L1573" s="13">
        <f>IF($B1569="","",E1573)</f>
        <v/>
      </c>
    </row>
    <row r="1574">
      <c r="A1574" t="inlineStr">
        <is>
          <t>Credit Collection 赊账收款</t>
        </is>
      </c>
      <c r="B1574" s="6">
        <f>IF($B1569="","",'Daily Sale entry '!E114)</f>
        <v/>
      </c>
      <c r="D1574" t="inlineStr">
        <is>
          <t>Advance Salary_M 预支薪水_M</t>
        </is>
      </c>
      <c r="E1574" s="6">
        <f>IF($B1569="","",'Daily Sale entry '!L114)</f>
        <v/>
      </c>
      <c r="H1574" t="inlineStr">
        <is>
          <t>Credit Collection 赊账收款</t>
        </is>
      </c>
      <c r="I1574" s="6">
        <f>IF($B1569="","",B1574)</f>
        <v/>
      </c>
      <c r="K1574" t="inlineStr">
        <is>
          <t>Advance Salary_M 预支薪水_M</t>
        </is>
      </c>
      <c r="L1574" s="6">
        <f>IF($B1569="","",E1574)</f>
        <v/>
      </c>
    </row>
    <row r="1575">
      <c r="A1575" s="10" t="inlineStr">
        <is>
          <t>Amount 2 金额2  (Amount + Credit Collection)</t>
        </is>
      </c>
      <c r="B1575" s="11">
        <f>IF($B1569="","",ROUND(B1573+B1574,2))</f>
        <v/>
      </c>
      <c r="D1575" t="inlineStr">
        <is>
          <t>Advance Salary_H 预支薪水_H</t>
        </is>
      </c>
      <c r="E1575" s="6">
        <f>IF($B1569="","",'Daily Sale entry '!M114)</f>
        <v/>
      </c>
      <c r="H1575" s="10" t="inlineStr">
        <is>
          <t>Amount 2 金额2  (Amount + Credit Collection)</t>
        </is>
      </c>
      <c r="I1575" s="11">
        <f>IF($B1569="","",ROUND(I1573+I1574,2))</f>
        <v/>
      </c>
      <c r="K1575" t="inlineStr">
        <is>
          <t>Advance Salary_H 预支薪水_H</t>
        </is>
      </c>
      <c r="L1575" s="6">
        <f>IF($B1569="","",E1575)</f>
        <v/>
      </c>
    </row>
    <row r="1576"/>
    <row r="1577">
      <c r="A1577" s="1" t="inlineStr">
        <is>
          <t>b/f petty cash 上日备用金结转</t>
        </is>
      </c>
      <c r="B1577" s="9">
        <f>IF($B1569="","",'Daily Sale entry '!F114)</f>
        <v/>
      </c>
      <c r="D1577" s="1" t="n"/>
      <c r="E1577" s="1" t="n"/>
      <c r="H1577" s="1" t="inlineStr">
        <is>
          <t>b/f petty cash 上日备用金结转</t>
        </is>
      </c>
      <c r="I1577" s="9">
        <f>IF($B1569="","",B1577)</f>
        <v/>
      </c>
      <c r="K1577" s="1" t="n"/>
      <c r="L1577" s="1" t="n"/>
    </row>
    <row r="1578">
      <c r="A1578" t="inlineStr">
        <is>
          <t>Total (A) 总计 (A)</t>
        </is>
      </c>
      <c r="B1578" s="6">
        <f>IF($B1569="","",ROUND(B1575+B1577,2))</f>
        <v/>
      </c>
      <c r="D1578" t="inlineStr">
        <is>
          <t>Total(B) 总计 (B)</t>
        </is>
      </c>
      <c r="E1578" s="6">
        <f>IF($B1569="","",ROUND(E1570+E1571+E1572+E1573+E1574+E1575,2))</f>
        <v/>
      </c>
      <c r="H1578" t="inlineStr">
        <is>
          <t>Total© 总计 (C)</t>
        </is>
      </c>
      <c r="I1578" s="6">
        <f>IF($B1569="","",ROUND(I1575+I1577,2))</f>
        <v/>
      </c>
      <c r="K1578" t="inlineStr">
        <is>
          <t>Total(D) 总计 (D)</t>
        </is>
      </c>
      <c r="L1578" s="6">
        <f>IF($B1569="","",ROUND(L1570+L1571+L1572+L1573+L1574+L1575,2))</f>
        <v/>
      </c>
    </row>
    <row r="1579">
      <c r="A1579" s="14" t="inlineStr">
        <is>
          <t>Total = Amount 2 + b/f petty cash  (金额2 + 上日备用金)</t>
        </is>
      </c>
      <c r="H1579" s="14" t="inlineStr">
        <is>
          <t>Total = Amount 2 + b/f petty cash  (金额2 + 上日备用金)</t>
        </is>
      </c>
    </row>
    <row r="1580">
      <c r="A1580" t="inlineStr">
        <is>
          <t>Different 差额</t>
        </is>
      </c>
      <c r="B1580" s="6">
        <f>IF($B1569="","",ROUND(B1578-E1578,2))</f>
        <v/>
      </c>
      <c r="D1580">
        <f>IF($B1569="","",IF(ABS(B1580)&gt;'Opening Balance'!$B$16,"ALERT 警报: Different over RM"&amp;'Opening Balance'!$B$16&amp;" 差额超过RM"&amp;'Opening Balance'!$B$16&amp;" - please check 请检查",IF(B1580=0,"Tied 平衡",IF(ABS(B1580)&lt;='Opening Balance'!$B$13,"Small difference 小额差额: adjusted on c/f petty cash 已调整备用金",IF(B1580&gt;0,"Short 短收: added to Misc Charges 已加入杂项费用","Over 多收: added to Cash Sales 已加入现金销售")))))</f>
        <v/>
      </c>
      <c r="H1580" t="inlineStr">
        <is>
          <t>Different 差额</t>
        </is>
      </c>
      <c r="I1580" s="6">
        <f>IF($B1569="","",ROUND(I1578-L1578,2))</f>
        <v/>
      </c>
    </row>
    <row r="1581"/>
    <row r="1582"/>
    <row r="1583">
      <c r="A1583" t="inlineStr">
        <is>
          <t>Date 日期</t>
        </is>
      </c>
      <c r="B1583" s="5">
        <f>IF('Daily Sale entry '!$A115="","",'Daily Sale entry '!$A115)</f>
        <v/>
      </c>
      <c r="H1583" t="inlineStr">
        <is>
          <t>After 调整后 (After)</t>
        </is>
      </c>
      <c r="I1583" s="5">
        <f>IF($B1583="","",B1583)</f>
        <v/>
      </c>
    </row>
    <row r="1584">
      <c r="A1584" t="inlineStr">
        <is>
          <t>Cash Sales 现金销售</t>
        </is>
      </c>
      <c r="B1584" s="6">
        <f>IF($B1583="","",'Daily Sale entry '!B115)</f>
        <v/>
      </c>
      <c r="D1584" t="inlineStr">
        <is>
          <t>c/f petty cash 今日备用金结转</t>
        </is>
      </c>
      <c r="E1584" s="6">
        <f>IF($B1583="","",'Daily Sale entry '!G115)</f>
        <v/>
      </c>
      <c r="H1584" t="inlineStr">
        <is>
          <t>Cash Sales 现金销售</t>
        </is>
      </c>
      <c r="I1584" s="6">
        <f>IF($B1583="","",IF(AND(ABS(B1594)&gt;'Opening Balance'!$B$13,B1594&lt;0),ROUND(B1584-B1594,2),B1584))</f>
        <v/>
      </c>
      <c r="K1584" t="inlineStr">
        <is>
          <t>c/f petty cash 今日备用金结转</t>
        </is>
      </c>
      <c r="L1584" s="6">
        <f>IF($B1583="","",IF(ABS(B1594)&lt;='Opening Balance'!$B$13,ROUND(E1584+B1594,2),E1584))</f>
        <v/>
      </c>
    </row>
    <row r="1585">
      <c r="A1585" t="inlineStr">
        <is>
          <t>Misc Charges 杂项费用</t>
        </is>
      </c>
      <c r="B1585" s="6">
        <f>IF($B1583="","",'Daily Sale entry '!C115)</f>
        <v/>
      </c>
      <c r="D1585" t="inlineStr">
        <is>
          <t>cash collection 现金收款</t>
        </is>
      </c>
      <c r="E1585" s="6">
        <f>IF($B1583="","",'Daily Sale entry '!H115)</f>
        <v/>
      </c>
      <c r="H1585" t="inlineStr">
        <is>
          <t>Misc Charges 杂项费用</t>
        </is>
      </c>
      <c r="I1585" s="6">
        <f>IF($B1583="","",IF(AND(ABS(B1594)&gt;'Opening Balance'!$B$13,B1594&gt;0),ROUND(B1585+B1594,2),B1585))</f>
        <v/>
      </c>
      <c r="K1585" t="inlineStr">
        <is>
          <t>cash collection 现金收款</t>
        </is>
      </c>
      <c r="L1585" s="6">
        <f>IF($B1583="","",E1585)</f>
        <v/>
      </c>
    </row>
    <row r="1586">
      <c r="A1586" s="1" t="inlineStr">
        <is>
          <t>Other Charges 其他费用</t>
        </is>
      </c>
      <c r="B1586" s="9">
        <f>IF($B1583="","",'Daily Sale entry '!D115)</f>
        <v/>
      </c>
      <c r="D1586" s="1" t="inlineStr">
        <is>
          <t>Cheque Collection 支票收款</t>
        </is>
      </c>
      <c r="E1586" s="9">
        <f>IF($B1583="","",'Daily Sale entry '!J115)</f>
        <v/>
      </c>
      <c r="H1586" s="1" t="inlineStr">
        <is>
          <t>Other Charges 其他费用</t>
        </is>
      </c>
      <c r="I1586" s="9">
        <f>IF($B1583="","",B1586)</f>
        <v/>
      </c>
      <c r="K1586" s="1" t="inlineStr">
        <is>
          <t>Cheque Collection 支票收款</t>
        </is>
      </c>
      <c r="L1586" s="9">
        <f>IF($B1583="","",E1586)</f>
        <v/>
      </c>
    </row>
    <row r="1587">
      <c r="A1587" s="10" t="inlineStr">
        <is>
          <t>Amount 金额  (Cash Sales - Misc - Other)</t>
        </is>
      </c>
      <c r="B1587" s="11">
        <f>IF($B1583="","",ROUND(B1584-B1585-B1586,2))</f>
        <v/>
      </c>
      <c r="D1587" s="12" t="inlineStr">
        <is>
          <t>TNG collection TNG收款</t>
        </is>
      </c>
      <c r="E1587" s="13">
        <f>IF($B1583="","",'Daily Sale entry '!K115)</f>
        <v/>
      </c>
      <c r="H1587" s="10" t="inlineStr">
        <is>
          <t>Amount 金额  (Cash Sales - Misc - Other)</t>
        </is>
      </c>
      <c r="I1587" s="11">
        <f>IF($B1583="","",ROUND(I1584-I1585-I1586,2))</f>
        <v/>
      </c>
      <c r="K1587" s="12" t="inlineStr">
        <is>
          <t>TNG collection TNG收款</t>
        </is>
      </c>
      <c r="L1587" s="13">
        <f>IF($B1583="","",E1587)</f>
        <v/>
      </c>
    </row>
    <row r="1588">
      <c r="A1588" t="inlineStr">
        <is>
          <t>Credit Collection 赊账收款</t>
        </is>
      </c>
      <c r="B1588" s="6">
        <f>IF($B1583="","",'Daily Sale entry '!E115)</f>
        <v/>
      </c>
      <c r="D1588" t="inlineStr">
        <is>
          <t>Advance Salary_M 预支薪水_M</t>
        </is>
      </c>
      <c r="E1588" s="6">
        <f>IF($B1583="","",'Daily Sale entry '!L115)</f>
        <v/>
      </c>
      <c r="H1588" t="inlineStr">
        <is>
          <t>Credit Collection 赊账收款</t>
        </is>
      </c>
      <c r="I1588" s="6">
        <f>IF($B1583="","",B1588)</f>
        <v/>
      </c>
      <c r="K1588" t="inlineStr">
        <is>
          <t>Advance Salary_M 预支薪水_M</t>
        </is>
      </c>
      <c r="L1588" s="6">
        <f>IF($B1583="","",E1588)</f>
        <v/>
      </c>
    </row>
    <row r="1589">
      <c r="A1589" s="10" t="inlineStr">
        <is>
          <t>Amount 2 金额2  (Amount + Credit Collection)</t>
        </is>
      </c>
      <c r="B1589" s="11">
        <f>IF($B1583="","",ROUND(B1587+B1588,2))</f>
        <v/>
      </c>
      <c r="D1589" t="inlineStr">
        <is>
          <t>Advance Salary_H 预支薪水_H</t>
        </is>
      </c>
      <c r="E1589" s="6">
        <f>IF($B1583="","",'Daily Sale entry '!M115)</f>
        <v/>
      </c>
      <c r="H1589" s="10" t="inlineStr">
        <is>
          <t>Amount 2 金额2  (Amount + Credit Collection)</t>
        </is>
      </c>
      <c r="I1589" s="11">
        <f>IF($B1583="","",ROUND(I1587+I1588,2))</f>
        <v/>
      </c>
      <c r="K1589" t="inlineStr">
        <is>
          <t>Advance Salary_H 预支薪水_H</t>
        </is>
      </c>
      <c r="L1589" s="6">
        <f>IF($B1583="","",E1589)</f>
        <v/>
      </c>
    </row>
    <row r="1590"/>
    <row r="1591">
      <c r="A1591" s="1" t="inlineStr">
        <is>
          <t>b/f petty cash 上日备用金结转</t>
        </is>
      </c>
      <c r="B1591" s="9">
        <f>IF($B1583="","",'Daily Sale entry '!F115)</f>
        <v/>
      </c>
      <c r="D1591" s="1" t="n"/>
      <c r="E1591" s="1" t="n"/>
      <c r="H1591" s="1" t="inlineStr">
        <is>
          <t>b/f petty cash 上日备用金结转</t>
        </is>
      </c>
      <c r="I1591" s="9">
        <f>IF($B1583="","",B1591)</f>
        <v/>
      </c>
      <c r="K1591" s="1" t="n"/>
      <c r="L1591" s="1" t="n"/>
    </row>
    <row r="1592">
      <c r="A1592" t="inlineStr">
        <is>
          <t>Total (A) 总计 (A)</t>
        </is>
      </c>
      <c r="B1592" s="6">
        <f>IF($B1583="","",ROUND(B1589+B1591,2))</f>
        <v/>
      </c>
      <c r="D1592" t="inlineStr">
        <is>
          <t>Total(B) 总计 (B)</t>
        </is>
      </c>
      <c r="E1592" s="6">
        <f>IF($B1583="","",ROUND(E1584+E1585+E1586+E1587+E1588+E1589,2))</f>
        <v/>
      </c>
      <c r="H1592" t="inlineStr">
        <is>
          <t>Total© 总计 (C)</t>
        </is>
      </c>
      <c r="I1592" s="6">
        <f>IF($B1583="","",ROUND(I1589+I1591,2))</f>
        <v/>
      </c>
      <c r="K1592" t="inlineStr">
        <is>
          <t>Total(D) 总计 (D)</t>
        </is>
      </c>
      <c r="L1592" s="6">
        <f>IF($B1583="","",ROUND(L1584+L1585+L1586+L1587+L1588+L1589,2))</f>
        <v/>
      </c>
    </row>
    <row r="1593">
      <c r="A1593" s="14" t="inlineStr">
        <is>
          <t>Total = Amount 2 + b/f petty cash  (金额2 + 上日备用金)</t>
        </is>
      </c>
      <c r="H1593" s="14" t="inlineStr">
        <is>
          <t>Total = Amount 2 + b/f petty cash  (金额2 + 上日备用金)</t>
        </is>
      </c>
    </row>
    <row r="1594">
      <c r="A1594" t="inlineStr">
        <is>
          <t>Different 差额</t>
        </is>
      </c>
      <c r="B1594" s="6">
        <f>IF($B1583="","",ROUND(B1592-E1592,2))</f>
        <v/>
      </c>
      <c r="D1594">
        <f>IF($B1583="","",IF(ABS(B1594)&gt;'Opening Balance'!$B$16,"ALERT 警报: Different over RM"&amp;'Opening Balance'!$B$16&amp;" 差额超过RM"&amp;'Opening Balance'!$B$16&amp;" - please check 请检查",IF(B1594=0,"Tied 平衡",IF(ABS(B1594)&lt;='Opening Balance'!$B$13,"Small difference 小额差额: adjusted on c/f petty cash 已调整备用金",IF(B1594&gt;0,"Short 短收: added to Misc Charges 已加入杂项费用","Over 多收: added to Cash Sales 已加入现金销售")))))</f>
        <v/>
      </c>
      <c r="H1594" t="inlineStr">
        <is>
          <t>Different 差额</t>
        </is>
      </c>
      <c r="I1594" s="6">
        <f>IF($B1583="","",ROUND(I1592-L1592,2))</f>
        <v/>
      </c>
    </row>
    <row r="1595"/>
    <row r="1596"/>
    <row r="1597">
      <c r="A1597" t="inlineStr">
        <is>
          <t>Date 日期</t>
        </is>
      </c>
      <c r="B1597" s="5">
        <f>IF('Daily Sale entry '!$A116="","",'Daily Sale entry '!$A116)</f>
        <v/>
      </c>
      <c r="H1597" t="inlineStr">
        <is>
          <t>After 调整后 (After)</t>
        </is>
      </c>
      <c r="I1597" s="5">
        <f>IF($B1597="","",B1597)</f>
        <v/>
      </c>
    </row>
    <row r="1598">
      <c r="A1598" t="inlineStr">
        <is>
          <t>Cash Sales 现金销售</t>
        </is>
      </c>
      <c r="B1598" s="6">
        <f>IF($B1597="","",'Daily Sale entry '!B116)</f>
        <v/>
      </c>
      <c r="D1598" t="inlineStr">
        <is>
          <t>c/f petty cash 今日备用金结转</t>
        </is>
      </c>
      <c r="E1598" s="6">
        <f>IF($B1597="","",'Daily Sale entry '!G116)</f>
        <v/>
      </c>
      <c r="H1598" t="inlineStr">
        <is>
          <t>Cash Sales 现金销售</t>
        </is>
      </c>
      <c r="I1598" s="6">
        <f>IF($B1597="","",IF(AND(ABS(B1608)&gt;'Opening Balance'!$B$13,B1608&lt;0),ROUND(B1598-B1608,2),B1598))</f>
        <v/>
      </c>
      <c r="K1598" t="inlineStr">
        <is>
          <t>c/f petty cash 今日备用金结转</t>
        </is>
      </c>
      <c r="L1598" s="6">
        <f>IF($B1597="","",IF(ABS(B1608)&lt;='Opening Balance'!$B$13,ROUND(E1598+B1608,2),E1598))</f>
        <v/>
      </c>
    </row>
    <row r="1599">
      <c r="A1599" t="inlineStr">
        <is>
          <t>Misc Charges 杂项费用</t>
        </is>
      </c>
      <c r="B1599" s="6">
        <f>IF($B1597="","",'Daily Sale entry '!C116)</f>
        <v/>
      </c>
      <c r="D1599" t="inlineStr">
        <is>
          <t>cash collection 现金收款</t>
        </is>
      </c>
      <c r="E1599" s="6">
        <f>IF($B1597="","",'Daily Sale entry '!H116)</f>
        <v/>
      </c>
      <c r="H1599" t="inlineStr">
        <is>
          <t>Misc Charges 杂项费用</t>
        </is>
      </c>
      <c r="I1599" s="6">
        <f>IF($B1597="","",IF(AND(ABS(B1608)&gt;'Opening Balance'!$B$13,B1608&gt;0),ROUND(B1599+B1608,2),B1599))</f>
        <v/>
      </c>
      <c r="K1599" t="inlineStr">
        <is>
          <t>cash collection 现金收款</t>
        </is>
      </c>
      <c r="L1599" s="6">
        <f>IF($B1597="","",E1599)</f>
        <v/>
      </c>
    </row>
    <row r="1600">
      <c r="A1600" s="1" t="inlineStr">
        <is>
          <t>Other Charges 其他费用</t>
        </is>
      </c>
      <c r="B1600" s="9">
        <f>IF($B1597="","",'Daily Sale entry '!D116)</f>
        <v/>
      </c>
      <c r="D1600" s="1" t="inlineStr">
        <is>
          <t>Cheque Collection 支票收款</t>
        </is>
      </c>
      <c r="E1600" s="9">
        <f>IF($B1597="","",'Daily Sale entry '!J116)</f>
        <v/>
      </c>
      <c r="H1600" s="1" t="inlineStr">
        <is>
          <t>Other Charges 其他费用</t>
        </is>
      </c>
      <c r="I1600" s="9">
        <f>IF($B1597="","",B1600)</f>
        <v/>
      </c>
      <c r="K1600" s="1" t="inlineStr">
        <is>
          <t>Cheque Collection 支票收款</t>
        </is>
      </c>
      <c r="L1600" s="9">
        <f>IF($B1597="","",E1600)</f>
        <v/>
      </c>
    </row>
    <row r="1601">
      <c r="A1601" s="10" t="inlineStr">
        <is>
          <t>Amount 金额  (Cash Sales - Misc - Other)</t>
        </is>
      </c>
      <c r="B1601" s="11">
        <f>IF($B1597="","",ROUND(B1598-B1599-B1600,2))</f>
        <v/>
      </c>
      <c r="D1601" s="12" t="inlineStr">
        <is>
          <t>TNG collection TNG收款</t>
        </is>
      </c>
      <c r="E1601" s="13">
        <f>IF($B1597="","",'Daily Sale entry '!K116)</f>
        <v/>
      </c>
      <c r="H1601" s="10" t="inlineStr">
        <is>
          <t>Amount 金额  (Cash Sales - Misc - Other)</t>
        </is>
      </c>
      <c r="I1601" s="11">
        <f>IF($B1597="","",ROUND(I1598-I1599-I1600,2))</f>
        <v/>
      </c>
      <c r="K1601" s="12" t="inlineStr">
        <is>
          <t>TNG collection TNG收款</t>
        </is>
      </c>
      <c r="L1601" s="13">
        <f>IF($B1597="","",E1601)</f>
        <v/>
      </c>
    </row>
    <row r="1602">
      <c r="A1602" t="inlineStr">
        <is>
          <t>Credit Collection 赊账收款</t>
        </is>
      </c>
      <c r="B1602" s="6">
        <f>IF($B1597="","",'Daily Sale entry '!E116)</f>
        <v/>
      </c>
      <c r="D1602" t="inlineStr">
        <is>
          <t>Advance Salary_M 预支薪水_M</t>
        </is>
      </c>
      <c r="E1602" s="6">
        <f>IF($B1597="","",'Daily Sale entry '!L116)</f>
        <v/>
      </c>
      <c r="H1602" t="inlineStr">
        <is>
          <t>Credit Collection 赊账收款</t>
        </is>
      </c>
      <c r="I1602" s="6">
        <f>IF($B1597="","",B1602)</f>
        <v/>
      </c>
      <c r="K1602" t="inlineStr">
        <is>
          <t>Advance Salary_M 预支薪水_M</t>
        </is>
      </c>
      <c r="L1602" s="6">
        <f>IF($B1597="","",E1602)</f>
        <v/>
      </c>
    </row>
    <row r="1603">
      <c r="A1603" s="10" t="inlineStr">
        <is>
          <t>Amount 2 金额2  (Amount + Credit Collection)</t>
        </is>
      </c>
      <c r="B1603" s="11">
        <f>IF($B1597="","",ROUND(B1601+B1602,2))</f>
        <v/>
      </c>
      <c r="D1603" t="inlineStr">
        <is>
          <t>Advance Salary_H 预支薪水_H</t>
        </is>
      </c>
      <c r="E1603" s="6">
        <f>IF($B1597="","",'Daily Sale entry '!M116)</f>
        <v/>
      </c>
      <c r="H1603" s="10" t="inlineStr">
        <is>
          <t>Amount 2 金额2  (Amount + Credit Collection)</t>
        </is>
      </c>
      <c r="I1603" s="11">
        <f>IF($B1597="","",ROUND(I1601+I1602,2))</f>
        <v/>
      </c>
      <c r="K1603" t="inlineStr">
        <is>
          <t>Advance Salary_H 预支薪水_H</t>
        </is>
      </c>
      <c r="L1603" s="6">
        <f>IF($B1597="","",E1603)</f>
        <v/>
      </c>
    </row>
    <row r="1604"/>
    <row r="1605">
      <c r="A1605" s="1" t="inlineStr">
        <is>
          <t>b/f petty cash 上日备用金结转</t>
        </is>
      </c>
      <c r="B1605" s="9">
        <f>IF($B1597="","",'Daily Sale entry '!F116)</f>
        <v/>
      </c>
      <c r="D1605" s="1" t="n"/>
      <c r="E1605" s="1" t="n"/>
      <c r="H1605" s="1" t="inlineStr">
        <is>
          <t>b/f petty cash 上日备用金结转</t>
        </is>
      </c>
      <c r="I1605" s="9">
        <f>IF($B1597="","",B1605)</f>
        <v/>
      </c>
      <c r="K1605" s="1" t="n"/>
      <c r="L1605" s="1" t="n"/>
    </row>
    <row r="1606">
      <c r="A1606" t="inlineStr">
        <is>
          <t>Total (A) 总计 (A)</t>
        </is>
      </c>
      <c r="B1606" s="6">
        <f>IF($B1597="","",ROUND(B1603+B1605,2))</f>
        <v/>
      </c>
      <c r="D1606" t="inlineStr">
        <is>
          <t>Total(B) 总计 (B)</t>
        </is>
      </c>
      <c r="E1606" s="6">
        <f>IF($B1597="","",ROUND(E1598+E1599+E1600+E1601+E1602+E1603,2))</f>
        <v/>
      </c>
      <c r="H1606" t="inlineStr">
        <is>
          <t>Total© 总计 (C)</t>
        </is>
      </c>
      <c r="I1606" s="6">
        <f>IF($B1597="","",ROUND(I1603+I1605,2))</f>
        <v/>
      </c>
      <c r="K1606" t="inlineStr">
        <is>
          <t>Total(D) 总计 (D)</t>
        </is>
      </c>
      <c r="L1606" s="6">
        <f>IF($B1597="","",ROUND(L1598+L1599+L1600+L1601+L1602+L1603,2))</f>
        <v/>
      </c>
    </row>
    <row r="1607">
      <c r="A1607" s="14" t="inlineStr">
        <is>
          <t>Total = Amount 2 + b/f petty cash  (金额2 + 上日备用金)</t>
        </is>
      </c>
      <c r="H1607" s="14" t="inlineStr">
        <is>
          <t>Total = Amount 2 + b/f petty cash  (金额2 + 上日备用金)</t>
        </is>
      </c>
    </row>
    <row r="1608">
      <c r="A1608" t="inlineStr">
        <is>
          <t>Different 差额</t>
        </is>
      </c>
      <c r="B1608" s="6">
        <f>IF($B1597="","",ROUND(B1606-E1606,2))</f>
        <v/>
      </c>
      <c r="D1608">
        <f>IF($B1597="","",IF(ABS(B1608)&gt;'Opening Balance'!$B$16,"ALERT 警报: Different over RM"&amp;'Opening Balance'!$B$16&amp;" 差额超过RM"&amp;'Opening Balance'!$B$16&amp;" - please check 请检查",IF(B1608=0,"Tied 平衡",IF(ABS(B1608)&lt;='Opening Balance'!$B$13,"Small difference 小额差额: adjusted on c/f petty cash 已调整备用金",IF(B1608&gt;0,"Short 短收: added to Misc Charges 已加入杂项费用","Over 多收: added to Cash Sales 已加入现金销售")))))</f>
        <v/>
      </c>
      <c r="H1608" t="inlineStr">
        <is>
          <t>Different 差额</t>
        </is>
      </c>
      <c r="I1608" s="6">
        <f>IF($B1597="","",ROUND(I1606-L1606,2))</f>
        <v/>
      </c>
    </row>
    <row r="1609"/>
    <row r="1610"/>
    <row r="1611">
      <c r="A1611" t="inlineStr">
        <is>
          <t>Date 日期</t>
        </is>
      </c>
      <c r="B1611" s="5">
        <f>IF('Daily Sale entry '!$A117="","",'Daily Sale entry '!$A117)</f>
        <v/>
      </c>
      <c r="H1611" t="inlineStr">
        <is>
          <t>After 调整后 (After)</t>
        </is>
      </c>
      <c r="I1611" s="5">
        <f>IF($B1611="","",B1611)</f>
        <v/>
      </c>
    </row>
    <row r="1612">
      <c r="A1612" t="inlineStr">
        <is>
          <t>Cash Sales 现金销售</t>
        </is>
      </c>
      <c r="B1612" s="6">
        <f>IF($B1611="","",'Daily Sale entry '!B117)</f>
        <v/>
      </c>
      <c r="D1612" t="inlineStr">
        <is>
          <t>c/f petty cash 今日备用金结转</t>
        </is>
      </c>
      <c r="E1612" s="6">
        <f>IF($B1611="","",'Daily Sale entry '!G117)</f>
        <v/>
      </c>
      <c r="H1612" t="inlineStr">
        <is>
          <t>Cash Sales 现金销售</t>
        </is>
      </c>
      <c r="I1612" s="6">
        <f>IF($B1611="","",IF(AND(ABS(B1622)&gt;'Opening Balance'!$B$13,B1622&lt;0),ROUND(B1612-B1622,2),B1612))</f>
        <v/>
      </c>
      <c r="K1612" t="inlineStr">
        <is>
          <t>c/f petty cash 今日备用金结转</t>
        </is>
      </c>
      <c r="L1612" s="6">
        <f>IF($B1611="","",IF(ABS(B1622)&lt;='Opening Balance'!$B$13,ROUND(E1612+B1622,2),E1612))</f>
        <v/>
      </c>
    </row>
    <row r="1613">
      <c r="A1613" t="inlineStr">
        <is>
          <t>Misc Charges 杂项费用</t>
        </is>
      </c>
      <c r="B1613" s="6">
        <f>IF($B1611="","",'Daily Sale entry '!C117)</f>
        <v/>
      </c>
      <c r="D1613" t="inlineStr">
        <is>
          <t>cash collection 现金收款</t>
        </is>
      </c>
      <c r="E1613" s="6">
        <f>IF($B1611="","",'Daily Sale entry '!H117)</f>
        <v/>
      </c>
      <c r="H1613" t="inlineStr">
        <is>
          <t>Misc Charges 杂项费用</t>
        </is>
      </c>
      <c r="I1613" s="6">
        <f>IF($B1611="","",IF(AND(ABS(B1622)&gt;'Opening Balance'!$B$13,B1622&gt;0),ROUND(B1613+B1622,2),B1613))</f>
        <v/>
      </c>
      <c r="K1613" t="inlineStr">
        <is>
          <t>cash collection 现金收款</t>
        </is>
      </c>
      <c r="L1613" s="6">
        <f>IF($B1611="","",E1613)</f>
        <v/>
      </c>
    </row>
    <row r="1614">
      <c r="A1614" s="1" t="inlineStr">
        <is>
          <t>Other Charges 其他费用</t>
        </is>
      </c>
      <c r="B1614" s="9">
        <f>IF($B1611="","",'Daily Sale entry '!D117)</f>
        <v/>
      </c>
      <c r="D1614" s="1" t="inlineStr">
        <is>
          <t>Cheque Collection 支票收款</t>
        </is>
      </c>
      <c r="E1614" s="9">
        <f>IF($B1611="","",'Daily Sale entry '!J117)</f>
        <v/>
      </c>
      <c r="H1614" s="1" t="inlineStr">
        <is>
          <t>Other Charges 其他费用</t>
        </is>
      </c>
      <c r="I1614" s="9">
        <f>IF($B1611="","",B1614)</f>
        <v/>
      </c>
      <c r="K1614" s="1" t="inlineStr">
        <is>
          <t>Cheque Collection 支票收款</t>
        </is>
      </c>
      <c r="L1614" s="9">
        <f>IF($B1611="","",E1614)</f>
        <v/>
      </c>
    </row>
    <row r="1615">
      <c r="A1615" s="10" t="inlineStr">
        <is>
          <t>Amount 金额  (Cash Sales - Misc - Other)</t>
        </is>
      </c>
      <c r="B1615" s="11">
        <f>IF($B1611="","",ROUND(B1612-B1613-B1614,2))</f>
        <v/>
      </c>
      <c r="D1615" s="12" t="inlineStr">
        <is>
          <t>TNG collection TNG收款</t>
        </is>
      </c>
      <c r="E1615" s="13">
        <f>IF($B1611="","",'Daily Sale entry '!K117)</f>
        <v/>
      </c>
      <c r="H1615" s="10" t="inlineStr">
        <is>
          <t>Amount 金额  (Cash Sales - Misc - Other)</t>
        </is>
      </c>
      <c r="I1615" s="11">
        <f>IF($B1611="","",ROUND(I1612-I1613-I1614,2))</f>
        <v/>
      </c>
      <c r="K1615" s="12" t="inlineStr">
        <is>
          <t>TNG collection TNG收款</t>
        </is>
      </c>
      <c r="L1615" s="13">
        <f>IF($B1611="","",E1615)</f>
        <v/>
      </c>
    </row>
    <row r="1616">
      <c r="A1616" t="inlineStr">
        <is>
          <t>Credit Collection 赊账收款</t>
        </is>
      </c>
      <c r="B1616" s="6">
        <f>IF($B1611="","",'Daily Sale entry '!E117)</f>
        <v/>
      </c>
      <c r="D1616" t="inlineStr">
        <is>
          <t>Advance Salary_M 预支薪水_M</t>
        </is>
      </c>
      <c r="E1616" s="6">
        <f>IF($B1611="","",'Daily Sale entry '!L117)</f>
        <v/>
      </c>
      <c r="H1616" t="inlineStr">
        <is>
          <t>Credit Collection 赊账收款</t>
        </is>
      </c>
      <c r="I1616" s="6">
        <f>IF($B1611="","",B1616)</f>
        <v/>
      </c>
      <c r="K1616" t="inlineStr">
        <is>
          <t>Advance Salary_M 预支薪水_M</t>
        </is>
      </c>
      <c r="L1616" s="6">
        <f>IF($B1611="","",E1616)</f>
        <v/>
      </c>
    </row>
    <row r="1617">
      <c r="A1617" s="10" t="inlineStr">
        <is>
          <t>Amount 2 金额2  (Amount + Credit Collection)</t>
        </is>
      </c>
      <c r="B1617" s="11">
        <f>IF($B1611="","",ROUND(B1615+B1616,2))</f>
        <v/>
      </c>
      <c r="D1617" t="inlineStr">
        <is>
          <t>Advance Salary_H 预支薪水_H</t>
        </is>
      </c>
      <c r="E1617" s="6">
        <f>IF($B1611="","",'Daily Sale entry '!M117)</f>
        <v/>
      </c>
      <c r="H1617" s="10" t="inlineStr">
        <is>
          <t>Amount 2 金额2  (Amount + Credit Collection)</t>
        </is>
      </c>
      <c r="I1617" s="11">
        <f>IF($B1611="","",ROUND(I1615+I1616,2))</f>
        <v/>
      </c>
      <c r="K1617" t="inlineStr">
        <is>
          <t>Advance Salary_H 预支薪水_H</t>
        </is>
      </c>
      <c r="L1617" s="6">
        <f>IF($B1611="","",E1617)</f>
        <v/>
      </c>
    </row>
    <row r="1618"/>
    <row r="1619">
      <c r="A1619" s="1" t="inlineStr">
        <is>
          <t>b/f petty cash 上日备用金结转</t>
        </is>
      </c>
      <c r="B1619" s="9">
        <f>IF($B1611="","",'Daily Sale entry '!F117)</f>
        <v/>
      </c>
      <c r="D1619" s="1" t="n"/>
      <c r="E1619" s="1" t="n"/>
      <c r="H1619" s="1" t="inlineStr">
        <is>
          <t>b/f petty cash 上日备用金结转</t>
        </is>
      </c>
      <c r="I1619" s="9">
        <f>IF($B1611="","",B1619)</f>
        <v/>
      </c>
      <c r="K1619" s="1" t="n"/>
      <c r="L1619" s="1" t="n"/>
    </row>
    <row r="1620">
      <c r="A1620" t="inlineStr">
        <is>
          <t>Total (A) 总计 (A)</t>
        </is>
      </c>
      <c r="B1620" s="6">
        <f>IF($B1611="","",ROUND(B1617+B1619,2))</f>
        <v/>
      </c>
      <c r="D1620" t="inlineStr">
        <is>
          <t>Total(B) 总计 (B)</t>
        </is>
      </c>
      <c r="E1620" s="6">
        <f>IF($B1611="","",ROUND(E1612+E1613+E1614+E1615+E1616+E1617,2))</f>
        <v/>
      </c>
      <c r="H1620" t="inlineStr">
        <is>
          <t>Total© 总计 (C)</t>
        </is>
      </c>
      <c r="I1620" s="6">
        <f>IF($B1611="","",ROUND(I1617+I1619,2))</f>
        <v/>
      </c>
      <c r="K1620" t="inlineStr">
        <is>
          <t>Total(D) 总计 (D)</t>
        </is>
      </c>
      <c r="L1620" s="6">
        <f>IF($B1611="","",ROUND(L1612+L1613+L1614+L1615+L1616+L1617,2))</f>
        <v/>
      </c>
    </row>
    <row r="1621">
      <c r="A1621" s="14" t="inlineStr">
        <is>
          <t>Total = Amount 2 + b/f petty cash  (金额2 + 上日备用金)</t>
        </is>
      </c>
      <c r="H1621" s="14" t="inlineStr">
        <is>
          <t>Total = Amount 2 + b/f petty cash  (金额2 + 上日备用金)</t>
        </is>
      </c>
    </row>
    <row r="1622">
      <c r="A1622" t="inlineStr">
        <is>
          <t>Different 差额</t>
        </is>
      </c>
      <c r="B1622" s="6">
        <f>IF($B1611="","",ROUND(B1620-E1620,2))</f>
        <v/>
      </c>
      <c r="D1622">
        <f>IF($B1611="","",IF(ABS(B1622)&gt;'Opening Balance'!$B$16,"ALERT 警报: Different over RM"&amp;'Opening Balance'!$B$16&amp;" 差额超过RM"&amp;'Opening Balance'!$B$16&amp;" - please check 请检查",IF(B1622=0,"Tied 平衡",IF(ABS(B1622)&lt;='Opening Balance'!$B$13,"Small difference 小额差额: adjusted on c/f petty cash 已调整备用金",IF(B1622&gt;0,"Short 短收: added to Misc Charges 已加入杂项费用","Over 多收: added to Cash Sales 已加入现金销售")))))</f>
        <v/>
      </c>
      <c r="H1622" t="inlineStr">
        <is>
          <t>Different 差额</t>
        </is>
      </c>
      <c r="I1622" s="6">
        <f>IF($B1611="","",ROUND(I1620-L1620,2))</f>
        <v/>
      </c>
    </row>
    <row r="1623"/>
    <row r="1624"/>
    <row r="1625">
      <c r="A1625" t="inlineStr">
        <is>
          <t>Date 日期</t>
        </is>
      </c>
      <c r="B1625" s="5">
        <f>IF('Daily Sale entry '!$A118="","",'Daily Sale entry '!$A118)</f>
        <v/>
      </c>
      <c r="H1625" t="inlineStr">
        <is>
          <t>After 调整后 (After)</t>
        </is>
      </c>
      <c r="I1625" s="5">
        <f>IF($B1625="","",B1625)</f>
        <v/>
      </c>
    </row>
    <row r="1626">
      <c r="A1626" t="inlineStr">
        <is>
          <t>Cash Sales 现金销售</t>
        </is>
      </c>
      <c r="B1626" s="6">
        <f>IF($B1625="","",'Daily Sale entry '!B118)</f>
        <v/>
      </c>
      <c r="D1626" t="inlineStr">
        <is>
          <t>c/f petty cash 今日备用金结转</t>
        </is>
      </c>
      <c r="E1626" s="6">
        <f>IF($B1625="","",'Daily Sale entry '!G118)</f>
        <v/>
      </c>
      <c r="H1626" t="inlineStr">
        <is>
          <t>Cash Sales 现金销售</t>
        </is>
      </c>
      <c r="I1626" s="6">
        <f>IF($B1625="","",IF(AND(ABS(B1636)&gt;'Opening Balance'!$B$13,B1636&lt;0),ROUND(B1626-B1636,2),B1626))</f>
        <v/>
      </c>
      <c r="K1626" t="inlineStr">
        <is>
          <t>c/f petty cash 今日备用金结转</t>
        </is>
      </c>
      <c r="L1626" s="6">
        <f>IF($B1625="","",IF(ABS(B1636)&lt;='Opening Balance'!$B$13,ROUND(E1626+B1636,2),E1626))</f>
        <v/>
      </c>
    </row>
    <row r="1627">
      <c r="A1627" t="inlineStr">
        <is>
          <t>Misc Charges 杂项费用</t>
        </is>
      </c>
      <c r="B1627" s="6">
        <f>IF($B1625="","",'Daily Sale entry '!C118)</f>
        <v/>
      </c>
      <c r="D1627" t="inlineStr">
        <is>
          <t>cash collection 现金收款</t>
        </is>
      </c>
      <c r="E1627" s="6">
        <f>IF($B1625="","",'Daily Sale entry '!H118)</f>
        <v/>
      </c>
      <c r="H1627" t="inlineStr">
        <is>
          <t>Misc Charges 杂项费用</t>
        </is>
      </c>
      <c r="I1627" s="6">
        <f>IF($B1625="","",IF(AND(ABS(B1636)&gt;'Opening Balance'!$B$13,B1636&gt;0),ROUND(B1627+B1636,2),B1627))</f>
        <v/>
      </c>
      <c r="K1627" t="inlineStr">
        <is>
          <t>cash collection 现金收款</t>
        </is>
      </c>
      <c r="L1627" s="6">
        <f>IF($B1625="","",E1627)</f>
        <v/>
      </c>
    </row>
    <row r="1628">
      <c r="A1628" s="1" t="inlineStr">
        <is>
          <t>Other Charges 其他费用</t>
        </is>
      </c>
      <c r="B1628" s="9">
        <f>IF($B1625="","",'Daily Sale entry '!D118)</f>
        <v/>
      </c>
      <c r="D1628" s="1" t="inlineStr">
        <is>
          <t>Cheque Collection 支票收款</t>
        </is>
      </c>
      <c r="E1628" s="9">
        <f>IF($B1625="","",'Daily Sale entry '!J118)</f>
        <v/>
      </c>
      <c r="H1628" s="1" t="inlineStr">
        <is>
          <t>Other Charges 其他费用</t>
        </is>
      </c>
      <c r="I1628" s="9">
        <f>IF($B1625="","",B1628)</f>
        <v/>
      </c>
      <c r="K1628" s="1" t="inlineStr">
        <is>
          <t>Cheque Collection 支票收款</t>
        </is>
      </c>
      <c r="L1628" s="9">
        <f>IF($B1625="","",E1628)</f>
        <v/>
      </c>
    </row>
    <row r="1629">
      <c r="A1629" s="10" t="inlineStr">
        <is>
          <t>Amount 金额  (Cash Sales - Misc - Other)</t>
        </is>
      </c>
      <c r="B1629" s="11">
        <f>IF($B1625="","",ROUND(B1626-B1627-B1628,2))</f>
        <v/>
      </c>
      <c r="D1629" s="12" t="inlineStr">
        <is>
          <t>TNG collection TNG收款</t>
        </is>
      </c>
      <c r="E1629" s="13">
        <f>IF($B1625="","",'Daily Sale entry '!K118)</f>
        <v/>
      </c>
      <c r="H1629" s="10" t="inlineStr">
        <is>
          <t>Amount 金额  (Cash Sales - Misc - Other)</t>
        </is>
      </c>
      <c r="I1629" s="11">
        <f>IF($B1625="","",ROUND(I1626-I1627-I1628,2))</f>
        <v/>
      </c>
      <c r="K1629" s="12" t="inlineStr">
        <is>
          <t>TNG collection TNG收款</t>
        </is>
      </c>
      <c r="L1629" s="13">
        <f>IF($B1625="","",E1629)</f>
        <v/>
      </c>
    </row>
    <row r="1630">
      <c r="A1630" t="inlineStr">
        <is>
          <t>Credit Collection 赊账收款</t>
        </is>
      </c>
      <c r="B1630" s="6">
        <f>IF($B1625="","",'Daily Sale entry '!E118)</f>
        <v/>
      </c>
      <c r="D1630" t="inlineStr">
        <is>
          <t>Advance Salary_M 预支薪水_M</t>
        </is>
      </c>
      <c r="E1630" s="6">
        <f>IF($B1625="","",'Daily Sale entry '!L118)</f>
        <v/>
      </c>
      <c r="H1630" t="inlineStr">
        <is>
          <t>Credit Collection 赊账收款</t>
        </is>
      </c>
      <c r="I1630" s="6">
        <f>IF($B1625="","",B1630)</f>
        <v/>
      </c>
      <c r="K1630" t="inlineStr">
        <is>
          <t>Advance Salary_M 预支薪水_M</t>
        </is>
      </c>
      <c r="L1630" s="6">
        <f>IF($B1625="","",E1630)</f>
        <v/>
      </c>
    </row>
    <row r="1631">
      <c r="A1631" s="10" t="inlineStr">
        <is>
          <t>Amount 2 金额2  (Amount + Credit Collection)</t>
        </is>
      </c>
      <c r="B1631" s="11">
        <f>IF($B1625="","",ROUND(B1629+B1630,2))</f>
        <v/>
      </c>
      <c r="D1631" t="inlineStr">
        <is>
          <t>Advance Salary_H 预支薪水_H</t>
        </is>
      </c>
      <c r="E1631" s="6">
        <f>IF($B1625="","",'Daily Sale entry '!M118)</f>
        <v/>
      </c>
      <c r="H1631" s="10" t="inlineStr">
        <is>
          <t>Amount 2 金额2  (Amount + Credit Collection)</t>
        </is>
      </c>
      <c r="I1631" s="11">
        <f>IF($B1625="","",ROUND(I1629+I1630,2))</f>
        <v/>
      </c>
      <c r="K1631" t="inlineStr">
        <is>
          <t>Advance Salary_H 预支薪水_H</t>
        </is>
      </c>
      <c r="L1631" s="6">
        <f>IF($B1625="","",E1631)</f>
        <v/>
      </c>
    </row>
    <row r="1632"/>
    <row r="1633">
      <c r="A1633" s="1" t="inlineStr">
        <is>
          <t>b/f petty cash 上日备用金结转</t>
        </is>
      </c>
      <c r="B1633" s="9">
        <f>IF($B1625="","",'Daily Sale entry '!F118)</f>
        <v/>
      </c>
      <c r="D1633" s="1" t="n"/>
      <c r="E1633" s="1" t="n"/>
      <c r="H1633" s="1" t="inlineStr">
        <is>
          <t>b/f petty cash 上日备用金结转</t>
        </is>
      </c>
      <c r="I1633" s="9">
        <f>IF($B1625="","",B1633)</f>
        <v/>
      </c>
      <c r="K1633" s="1" t="n"/>
      <c r="L1633" s="1" t="n"/>
    </row>
    <row r="1634">
      <c r="A1634" t="inlineStr">
        <is>
          <t>Total (A) 总计 (A)</t>
        </is>
      </c>
      <c r="B1634" s="6">
        <f>IF($B1625="","",ROUND(B1631+B1633,2))</f>
        <v/>
      </c>
      <c r="D1634" t="inlineStr">
        <is>
          <t>Total(B) 总计 (B)</t>
        </is>
      </c>
      <c r="E1634" s="6">
        <f>IF($B1625="","",ROUND(E1626+E1627+E1628+E1629+E1630+E1631,2))</f>
        <v/>
      </c>
      <c r="H1634" t="inlineStr">
        <is>
          <t>Total© 总计 (C)</t>
        </is>
      </c>
      <c r="I1634" s="6">
        <f>IF($B1625="","",ROUND(I1631+I1633,2))</f>
        <v/>
      </c>
      <c r="K1634" t="inlineStr">
        <is>
          <t>Total(D) 总计 (D)</t>
        </is>
      </c>
      <c r="L1634" s="6">
        <f>IF($B1625="","",ROUND(L1626+L1627+L1628+L1629+L1630+L1631,2))</f>
        <v/>
      </c>
    </row>
    <row r="1635">
      <c r="A1635" s="14" t="inlineStr">
        <is>
          <t>Total = Amount 2 + b/f petty cash  (金额2 + 上日备用金)</t>
        </is>
      </c>
      <c r="H1635" s="14" t="inlineStr">
        <is>
          <t>Total = Amount 2 + b/f petty cash  (金额2 + 上日备用金)</t>
        </is>
      </c>
    </row>
    <row r="1636">
      <c r="A1636" t="inlineStr">
        <is>
          <t>Different 差额</t>
        </is>
      </c>
      <c r="B1636" s="6">
        <f>IF($B1625="","",ROUND(B1634-E1634,2))</f>
        <v/>
      </c>
      <c r="D1636">
        <f>IF($B1625="","",IF(ABS(B1636)&gt;'Opening Balance'!$B$16,"ALERT 警报: Different over RM"&amp;'Opening Balance'!$B$16&amp;" 差额超过RM"&amp;'Opening Balance'!$B$16&amp;" - please check 请检查",IF(B1636=0,"Tied 平衡",IF(ABS(B1636)&lt;='Opening Balance'!$B$13,"Small difference 小额差额: adjusted on c/f petty cash 已调整备用金",IF(B1636&gt;0,"Short 短收: added to Misc Charges 已加入杂项费用","Over 多收: added to Cash Sales 已加入现金销售")))))</f>
        <v/>
      </c>
      <c r="H1636" t="inlineStr">
        <is>
          <t>Different 差额</t>
        </is>
      </c>
      <c r="I1636" s="6">
        <f>IF($B1625="","",ROUND(I1634-L1634,2))</f>
        <v/>
      </c>
    </row>
    <row r="1637"/>
    <row r="1638"/>
    <row r="1639">
      <c r="A1639" t="inlineStr">
        <is>
          <t>Date 日期</t>
        </is>
      </c>
      <c r="B1639" s="5">
        <f>IF('Daily Sale entry '!$A119="","",'Daily Sale entry '!$A119)</f>
        <v/>
      </c>
      <c r="H1639" t="inlineStr">
        <is>
          <t>After 调整后 (After)</t>
        </is>
      </c>
      <c r="I1639" s="5">
        <f>IF($B1639="","",B1639)</f>
        <v/>
      </c>
    </row>
    <row r="1640">
      <c r="A1640" t="inlineStr">
        <is>
          <t>Cash Sales 现金销售</t>
        </is>
      </c>
      <c r="B1640" s="6">
        <f>IF($B1639="","",'Daily Sale entry '!B119)</f>
        <v/>
      </c>
      <c r="D1640" t="inlineStr">
        <is>
          <t>c/f petty cash 今日备用金结转</t>
        </is>
      </c>
      <c r="E1640" s="6">
        <f>IF($B1639="","",'Daily Sale entry '!G119)</f>
        <v/>
      </c>
      <c r="H1640" t="inlineStr">
        <is>
          <t>Cash Sales 现金销售</t>
        </is>
      </c>
      <c r="I1640" s="6">
        <f>IF($B1639="","",IF(AND(ABS(B1650)&gt;'Opening Balance'!$B$13,B1650&lt;0),ROUND(B1640-B1650,2),B1640))</f>
        <v/>
      </c>
      <c r="K1640" t="inlineStr">
        <is>
          <t>c/f petty cash 今日备用金结转</t>
        </is>
      </c>
      <c r="L1640" s="6">
        <f>IF($B1639="","",IF(ABS(B1650)&lt;='Opening Balance'!$B$13,ROUND(E1640+B1650,2),E1640))</f>
        <v/>
      </c>
    </row>
    <row r="1641">
      <c r="A1641" t="inlineStr">
        <is>
          <t>Misc Charges 杂项费用</t>
        </is>
      </c>
      <c r="B1641" s="6">
        <f>IF($B1639="","",'Daily Sale entry '!C119)</f>
        <v/>
      </c>
      <c r="D1641" t="inlineStr">
        <is>
          <t>cash collection 现金收款</t>
        </is>
      </c>
      <c r="E1641" s="6">
        <f>IF($B1639="","",'Daily Sale entry '!H119)</f>
        <v/>
      </c>
      <c r="H1641" t="inlineStr">
        <is>
          <t>Misc Charges 杂项费用</t>
        </is>
      </c>
      <c r="I1641" s="6">
        <f>IF($B1639="","",IF(AND(ABS(B1650)&gt;'Opening Balance'!$B$13,B1650&gt;0),ROUND(B1641+B1650,2),B1641))</f>
        <v/>
      </c>
      <c r="K1641" t="inlineStr">
        <is>
          <t>cash collection 现金收款</t>
        </is>
      </c>
      <c r="L1641" s="6">
        <f>IF($B1639="","",E1641)</f>
        <v/>
      </c>
    </row>
    <row r="1642">
      <c r="A1642" s="1" t="inlineStr">
        <is>
          <t>Other Charges 其他费用</t>
        </is>
      </c>
      <c r="B1642" s="9">
        <f>IF($B1639="","",'Daily Sale entry '!D119)</f>
        <v/>
      </c>
      <c r="D1642" s="1" t="inlineStr">
        <is>
          <t>Cheque Collection 支票收款</t>
        </is>
      </c>
      <c r="E1642" s="9">
        <f>IF($B1639="","",'Daily Sale entry '!J119)</f>
        <v/>
      </c>
      <c r="H1642" s="1" t="inlineStr">
        <is>
          <t>Other Charges 其他费用</t>
        </is>
      </c>
      <c r="I1642" s="9">
        <f>IF($B1639="","",B1642)</f>
        <v/>
      </c>
      <c r="K1642" s="1" t="inlineStr">
        <is>
          <t>Cheque Collection 支票收款</t>
        </is>
      </c>
      <c r="L1642" s="9">
        <f>IF($B1639="","",E1642)</f>
        <v/>
      </c>
    </row>
    <row r="1643">
      <c r="A1643" s="10" t="inlineStr">
        <is>
          <t>Amount 金额  (Cash Sales - Misc - Other)</t>
        </is>
      </c>
      <c r="B1643" s="11">
        <f>IF($B1639="","",ROUND(B1640-B1641-B1642,2))</f>
        <v/>
      </c>
      <c r="D1643" s="12" t="inlineStr">
        <is>
          <t>TNG collection TNG收款</t>
        </is>
      </c>
      <c r="E1643" s="13">
        <f>IF($B1639="","",'Daily Sale entry '!K119)</f>
        <v/>
      </c>
      <c r="H1643" s="10" t="inlineStr">
        <is>
          <t>Amount 金额  (Cash Sales - Misc - Other)</t>
        </is>
      </c>
      <c r="I1643" s="11">
        <f>IF($B1639="","",ROUND(I1640-I1641-I1642,2))</f>
        <v/>
      </c>
      <c r="K1643" s="12" t="inlineStr">
        <is>
          <t>TNG collection TNG收款</t>
        </is>
      </c>
      <c r="L1643" s="13">
        <f>IF($B1639="","",E1643)</f>
        <v/>
      </c>
    </row>
    <row r="1644">
      <c r="A1644" t="inlineStr">
        <is>
          <t>Credit Collection 赊账收款</t>
        </is>
      </c>
      <c r="B1644" s="6">
        <f>IF($B1639="","",'Daily Sale entry '!E119)</f>
        <v/>
      </c>
      <c r="D1644" t="inlineStr">
        <is>
          <t>Advance Salary_M 预支薪水_M</t>
        </is>
      </c>
      <c r="E1644" s="6">
        <f>IF($B1639="","",'Daily Sale entry '!L119)</f>
        <v/>
      </c>
      <c r="H1644" t="inlineStr">
        <is>
          <t>Credit Collection 赊账收款</t>
        </is>
      </c>
      <c r="I1644" s="6">
        <f>IF($B1639="","",B1644)</f>
        <v/>
      </c>
      <c r="K1644" t="inlineStr">
        <is>
          <t>Advance Salary_M 预支薪水_M</t>
        </is>
      </c>
      <c r="L1644" s="6">
        <f>IF($B1639="","",E1644)</f>
        <v/>
      </c>
    </row>
    <row r="1645">
      <c r="A1645" s="10" t="inlineStr">
        <is>
          <t>Amount 2 金额2  (Amount + Credit Collection)</t>
        </is>
      </c>
      <c r="B1645" s="11">
        <f>IF($B1639="","",ROUND(B1643+B1644,2))</f>
        <v/>
      </c>
      <c r="D1645" t="inlineStr">
        <is>
          <t>Advance Salary_H 预支薪水_H</t>
        </is>
      </c>
      <c r="E1645" s="6">
        <f>IF($B1639="","",'Daily Sale entry '!M119)</f>
        <v/>
      </c>
      <c r="H1645" s="10" t="inlineStr">
        <is>
          <t>Amount 2 金额2  (Amount + Credit Collection)</t>
        </is>
      </c>
      <c r="I1645" s="11">
        <f>IF($B1639="","",ROUND(I1643+I1644,2))</f>
        <v/>
      </c>
      <c r="K1645" t="inlineStr">
        <is>
          <t>Advance Salary_H 预支薪水_H</t>
        </is>
      </c>
      <c r="L1645" s="6">
        <f>IF($B1639="","",E1645)</f>
        <v/>
      </c>
    </row>
    <row r="1646"/>
    <row r="1647">
      <c r="A1647" s="1" t="inlineStr">
        <is>
          <t>b/f petty cash 上日备用金结转</t>
        </is>
      </c>
      <c r="B1647" s="9">
        <f>IF($B1639="","",'Daily Sale entry '!F119)</f>
        <v/>
      </c>
      <c r="D1647" s="1" t="n"/>
      <c r="E1647" s="1" t="n"/>
      <c r="H1647" s="1" t="inlineStr">
        <is>
          <t>b/f petty cash 上日备用金结转</t>
        </is>
      </c>
      <c r="I1647" s="9">
        <f>IF($B1639="","",B1647)</f>
        <v/>
      </c>
      <c r="K1647" s="1" t="n"/>
      <c r="L1647" s="1" t="n"/>
    </row>
    <row r="1648">
      <c r="A1648" t="inlineStr">
        <is>
          <t>Total (A) 总计 (A)</t>
        </is>
      </c>
      <c r="B1648" s="6">
        <f>IF($B1639="","",ROUND(B1645+B1647,2))</f>
        <v/>
      </c>
      <c r="D1648" t="inlineStr">
        <is>
          <t>Total(B) 总计 (B)</t>
        </is>
      </c>
      <c r="E1648" s="6">
        <f>IF($B1639="","",ROUND(E1640+E1641+E1642+E1643+E1644+E1645,2))</f>
        <v/>
      </c>
      <c r="H1648" t="inlineStr">
        <is>
          <t>Total© 总计 (C)</t>
        </is>
      </c>
      <c r="I1648" s="6">
        <f>IF($B1639="","",ROUND(I1645+I1647,2))</f>
        <v/>
      </c>
      <c r="K1648" t="inlineStr">
        <is>
          <t>Total(D) 总计 (D)</t>
        </is>
      </c>
      <c r="L1648" s="6">
        <f>IF($B1639="","",ROUND(L1640+L1641+L1642+L1643+L1644+L1645,2))</f>
        <v/>
      </c>
    </row>
    <row r="1649">
      <c r="A1649" s="14" t="inlineStr">
        <is>
          <t>Total = Amount 2 + b/f petty cash  (金额2 + 上日备用金)</t>
        </is>
      </c>
      <c r="H1649" s="14" t="inlineStr">
        <is>
          <t>Total = Amount 2 + b/f petty cash  (金额2 + 上日备用金)</t>
        </is>
      </c>
    </row>
    <row r="1650">
      <c r="A1650" t="inlineStr">
        <is>
          <t>Different 差额</t>
        </is>
      </c>
      <c r="B1650" s="6">
        <f>IF($B1639="","",ROUND(B1648-E1648,2))</f>
        <v/>
      </c>
      <c r="D1650">
        <f>IF($B1639="","",IF(ABS(B1650)&gt;'Opening Balance'!$B$16,"ALERT 警报: Different over RM"&amp;'Opening Balance'!$B$16&amp;" 差额超过RM"&amp;'Opening Balance'!$B$16&amp;" - please check 请检查",IF(B1650=0,"Tied 平衡",IF(ABS(B1650)&lt;='Opening Balance'!$B$13,"Small difference 小额差额: adjusted on c/f petty cash 已调整备用金",IF(B1650&gt;0,"Short 短收: added to Misc Charges 已加入杂项费用","Over 多收: added to Cash Sales 已加入现金销售")))))</f>
        <v/>
      </c>
      <c r="H1650" t="inlineStr">
        <is>
          <t>Different 差额</t>
        </is>
      </c>
      <c r="I1650" s="6">
        <f>IF($B1639="","",ROUND(I1648-L1648,2))</f>
        <v/>
      </c>
    </row>
    <row r="1651"/>
    <row r="1652"/>
    <row r="1653">
      <c r="A1653" t="inlineStr">
        <is>
          <t>Date 日期</t>
        </is>
      </c>
      <c r="B1653" s="5">
        <f>IF('Daily Sale entry '!$A120="","",'Daily Sale entry '!$A120)</f>
        <v/>
      </c>
      <c r="H1653" t="inlineStr">
        <is>
          <t>After 调整后 (After)</t>
        </is>
      </c>
      <c r="I1653" s="5">
        <f>IF($B1653="","",B1653)</f>
        <v/>
      </c>
    </row>
    <row r="1654">
      <c r="A1654" t="inlineStr">
        <is>
          <t>Cash Sales 现金销售</t>
        </is>
      </c>
      <c r="B1654" s="6">
        <f>IF($B1653="","",'Daily Sale entry '!B120)</f>
        <v/>
      </c>
      <c r="D1654" t="inlineStr">
        <is>
          <t>c/f petty cash 今日备用金结转</t>
        </is>
      </c>
      <c r="E1654" s="6">
        <f>IF($B1653="","",'Daily Sale entry '!G120)</f>
        <v/>
      </c>
      <c r="H1654" t="inlineStr">
        <is>
          <t>Cash Sales 现金销售</t>
        </is>
      </c>
      <c r="I1654" s="6">
        <f>IF($B1653="","",IF(AND(ABS(B1664)&gt;'Opening Balance'!$B$13,B1664&lt;0),ROUND(B1654-B1664,2),B1654))</f>
        <v/>
      </c>
      <c r="K1654" t="inlineStr">
        <is>
          <t>c/f petty cash 今日备用金结转</t>
        </is>
      </c>
      <c r="L1654" s="6">
        <f>IF($B1653="","",IF(ABS(B1664)&lt;='Opening Balance'!$B$13,ROUND(E1654+B1664,2),E1654))</f>
        <v/>
      </c>
    </row>
    <row r="1655">
      <c r="A1655" t="inlineStr">
        <is>
          <t>Misc Charges 杂项费用</t>
        </is>
      </c>
      <c r="B1655" s="6">
        <f>IF($B1653="","",'Daily Sale entry '!C120)</f>
        <v/>
      </c>
      <c r="D1655" t="inlineStr">
        <is>
          <t>cash collection 现金收款</t>
        </is>
      </c>
      <c r="E1655" s="6">
        <f>IF($B1653="","",'Daily Sale entry '!H120)</f>
        <v/>
      </c>
      <c r="H1655" t="inlineStr">
        <is>
          <t>Misc Charges 杂项费用</t>
        </is>
      </c>
      <c r="I1655" s="6">
        <f>IF($B1653="","",IF(AND(ABS(B1664)&gt;'Opening Balance'!$B$13,B1664&gt;0),ROUND(B1655+B1664,2),B1655))</f>
        <v/>
      </c>
      <c r="K1655" t="inlineStr">
        <is>
          <t>cash collection 现金收款</t>
        </is>
      </c>
      <c r="L1655" s="6">
        <f>IF($B1653="","",E1655)</f>
        <v/>
      </c>
    </row>
    <row r="1656">
      <c r="A1656" s="1" t="inlineStr">
        <is>
          <t>Other Charges 其他费用</t>
        </is>
      </c>
      <c r="B1656" s="9">
        <f>IF($B1653="","",'Daily Sale entry '!D120)</f>
        <v/>
      </c>
      <c r="D1656" s="1" t="inlineStr">
        <is>
          <t>Cheque Collection 支票收款</t>
        </is>
      </c>
      <c r="E1656" s="9">
        <f>IF($B1653="","",'Daily Sale entry '!J120)</f>
        <v/>
      </c>
      <c r="H1656" s="1" t="inlineStr">
        <is>
          <t>Other Charges 其他费用</t>
        </is>
      </c>
      <c r="I1656" s="9">
        <f>IF($B1653="","",B1656)</f>
        <v/>
      </c>
      <c r="K1656" s="1" t="inlineStr">
        <is>
          <t>Cheque Collection 支票收款</t>
        </is>
      </c>
      <c r="L1656" s="9">
        <f>IF($B1653="","",E1656)</f>
        <v/>
      </c>
    </row>
    <row r="1657">
      <c r="A1657" s="10" t="inlineStr">
        <is>
          <t>Amount 金额  (Cash Sales - Misc - Other)</t>
        </is>
      </c>
      <c r="B1657" s="11">
        <f>IF($B1653="","",ROUND(B1654-B1655-B1656,2))</f>
        <v/>
      </c>
      <c r="D1657" s="12" t="inlineStr">
        <is>
          <t>TNG collection TNG收款</t>
        </is>
      </c>
      <c r="E1657" s="13">
        <f>IF($B1653="","",'Daily Sale entry '!K120)</f>
        <v/>
      </c>
      <c r="H1657" s="10" t="inlineStr">
        <is>
          <t>Amount 金额  (Cash Sales - Misc - Other)</t>
        </is>
      </c>
      <c r="I1657" s="11">
        <f>IF($B1653="","",ROUND(I1654-I1655-I1656,2))</f>
        <v/>
      </c>
      <c r="K1657" s="12" t="inlineStr">
        <is>
          <t>TNG collection TNG收款</t>
        </is>
      </c>
      <c r="L1657" s="13">
        <f>IF($B1653="","",E1657)</f>
        <v/>
      </c>
    </row>
    <row r="1658">
      <c r="A1658" t="inlineStr">
        <is>
          <t>Credit Collection 赊账收款</t>
        </is>
      </c>
      <c r="B1658" s="6">
        <f>IF($B1653="","",'Daily Sale entry '!E120)</f>
        <v/>
      </c>
      <c r="D1658" t="inlineStr">
        <is>
          <t>Advance Salary_M 预支薪水_M</t>
        </is>
      </c>
      <c r="E1658" s="6">
        <f>IF($B1653="","",'Daily Sale entry '!L120)</f>
        <v/>
      </c>
      <c r="H1658" t="inlineStr">
        <is>
          <t>Credit Collection 赊账收款</t>
        </is>
      </c>
      <c r="I1658" s="6">
        <f>IF($B1653="","",B1658)</f>
        <v/>
      </c>
      <c r="K1658" t="inlineStr">
        <is>
          <t>Advance Salary_M 预支薪水_M</t>
        </is>
      </c>
      <c r="L1658" s="6">
        <f>IF($B1653="","",E1658)</f>
        <v/>
      </c>
    </row>
    <row r="1659">
      <c r="A1659" s="10" t="inlineStr">
        <is>
          <t>Amount 2 金额2  (Amount + Credit Collection)</t>
        </is>
      </c>
      <c r="B1659" s="11">
        <f>IF($B1653="","",ROUND(B1657+B1658,2))</f>
        <v/>
      </c>
      <c r="D1659" t="inlineStr">
        <is>
          <t>Advance Salary_H 预支薪水_H</t>
        </is>
      </c>
      <c r="E1659" s="6">
        <f>IF($B1653="","",'Daily Sale entry '!M120)</f>
        <v/>
      </c>
      <c r="H1659" s="10" t="inlineStr">
        <is>
          <t>Amount 2 金额2  (Amount + Credit Collection)</t>
        </is>
      </c>
      <c r="I1659" s="11">
        <f>IF($B1653="","",ROUND(I1657+I1658,2))</f>
        <v/>
      </c>
      <c r="K1659" t="inlineStr">
        <is>
          <t>Advance Salary_H 预支薪水_H</t>
        </is>
      </c>
      <c r="L1659" s="6">
        <f>IF($B1653="","",E1659)</f>
        <v/>
      </c>
    </row>
    <row r="1660"/>
    <row r="1661">
      <c r="A1661" s="1" t="inlineStr">
        <is>
          <t>b/f petty cash 上日备用金结转</t>
        </is>
      </c>
      <c r="B1661" s="9">
        <f>IF($B1653="","",'Daily Sale entry '!F120)</f>
        <v/>
      </c>
      <c r="D1661" s="1" t="n"/>
      <c r="E1661" s="1" t="n"/>
      <c r="H1661" s="1" t="inlineStr">
        <is>
          <t>b/f petty cash 上日备用金结转</t>
        </is>
      </c>
      <c r="I1661" s="9">
        <f>IF($B1653="","",B1661)</f>
        <v/>
      </c>
      <c r="K1661" s="1" t="n"/>
      <c r="L1661" s="1" t="n"/>
    </row>
    <row r="1662">
      <c r="A1662" t="inlineStr">
        <is>
          <t>Total (A) 总计 (A)</t>
        </is>
      </c>
      <c r="B1662" s="6">
        <f>IF($B1653="","",ROUND(B1659+B1661,2))</f>
        <v/>
      </c>
      <c r="D1662" t="inlineStr">
        <is>
          <t>Total(B) 总计 (B)</t>
        </is>
      </c>
      <c r="E1662" s="6">
        <f>IF($B1653="","",ROUND(E1654+E1655+E1656+E1657+E1658+E1659,2))</f>
        <v/>
      </c>
      <c r="H1662" t="inlineStr">
        <is>
          <t>Total© 总计 (C)</t>
        </is>
      </c>
      <c r="I1662" s="6">
        <f>IF($B1653="","",ROUND(I1659+I1661,2))</f>
        <v/>
      </c>
      <c r="K1662" t="inlineStr">
        <is>
          <t>Total(D) 总计 (D)</t>
        </is>
      </c>
      <c r="L1662" s="6">
        <f>IF($B1653="","",ROUND(L1654+L1655+L1656+L1657+L1658+L1659,2))</f>
        <v/>
      </c>
    </row>
    <row r="1663">
      <c r="A1663" s="14" t="inlineStr">
        <is>
          <t>Total = Amount 2 + b/f petty cash  (金额2 + 上日备用金)</t>
        </is>
      </c>
      <c r="H1663" s="14" t="inlineStr">
        <is>
          <t>Total = Amount 2 + b/f petty cash  (金额2 + 上日备用金)</t>
        </is>
      </c>
    </row>
    <row r="1664">
      <c r="A1664" t="inlineStr">
        <is>
          <t>Different 差额</t>
        </is>
      </c>
      <c r="B1664" s="6">
        <f>IF($B1653="","",ROUND(B1662-E1662,2))</f>
        <v/>
      </c>
      <c r="D1664">
        <f>IF($B1653="","",IF(ABS(B1664)&gt;'Opening Balance'!$B$16,"ALERT 警报: Different over RM"&amp;'Opening Balance'!$B$16&amp;" 差额超过RM"&amp;'Opening Balance'!$B$16&amp;" - please check 请检查",IF(B1664=0,"Tied 平衡",IF(ABS(B1664)&lt;='Opening Balance'!$B$13,"Small difference 小额差额: adjusted on c/f petty cash 已调整备用金",IF(B1664&gt;0,"Short 短收: added to Misc Charges 已加入杂项费用","Over 多收: added to Cash Sales 已加入现金销售")))))</f>
        <v/>
      </c>
      <c r="H1664" t="inlineStr">
        <is>
          <t>Different 差额</t>
        </is>
      </c>
      <c r="I1664" s="6">
        <f>IF($B1653="","",ROUND(I1662-L1662,2))</f>
        <v/>
      </c>
    </row>
    <row r="1665"/>
    <row r="1666"/>
    <row r="1667">
      <c r="A1667" t="inlineStr">
        <is>
          <t>Date 日期</t>
        </is>
      </c>
      <c r="B1667" s="5">
        <f>IF('Daily Sale entry '!$A121="","",'Daily Sale entry '!$A121)</f>
        <v/>
      </c>
      <c r="H1667" t="inlineStr">
        <is>
          <t>After 调整后 (After)</t>
        </is>
      </c>
      <c r="I1667" s="5">
        <f>IF($B1667="","",B1667)</f>
        <v/>
      </c>
    </row>
    <row r="1668">
      <c r="A1668" t="inlineStr">
        <is>
          <t>Cash Sales 现金销售</t>
        </is>
      </c>
      <c r="B1668" s="6">
        <f>IF($B1667="","",'Daily Sale entry '!B121)</f>
        <v/>
      </c>
      <c r="D1668" t="inlineStr">
        <is>
          <t>c/f petty cash 今日备用金结转</t>
        </is>
      </c>
      <c r="E1668" s="6">
        <f>IF($B1667="","",'Daily Sale entry '!G121)</f>
        <v/>
      </c>
      <c r="H1668" t="inlineStr">
        <is>
          <t>Cash Sales 现金销售</t>
        </is>
      </c>
      <c r="I1668" s="6">
        <f>IF($B1667="","",IF(AND(ABS(B1678)&gt;'Opening Balance'!$B$13,B1678&lt;0),ROUND(B1668-B1678,2),B1668))</f>
        <v/>
      </c>
      <c r="K1668" t="inlineStr">
        <is>
          <t>c/f petty cash 今日备用金结转</t>
        </is>
      </c>
      <c r="L1668" s="6">
        <f>IF($B1667="","",IF(ABS(B1678)&lt;='Opening Balance'!$B$13,ROUND(E1668+B1678,2),E1668))</f>
        <v/>
      </c>
    </row>
    <row r="1669">
      <c r="A1669" t="inlineStr">
        <is>
          <t>Misc Charges 杂项费用</t>
        </is>
      </c>
      <c r="B1669" s="6">
        <f>IF($B1667="","",'Daily Sale entry '!C121)</f>
        <v/>
      </c>
      <c r="D1669" t="inlineStr">
        <is>
          <t>cash collection 现金收款</t>
        </is>
      </c>
      <c r="E1669" s="6">
        <f>IF($B1667="","",'Daily Sale entry '!H121)</f>
        <v/>
      </c>
      <c r="H1669" t="inlineStr">
        <is>
          <t>Misc Charges 杂项费用</t>
        </is>
      </c>
      <c r="I1669" s="6">
        <f>IF($B1667="","",IF(AND(ABS(B1678)&gt;'Opening Balance'!$B$13,B1678&gt;0),ROUND(B1669+B1678,2),B1669))</f>
        <v/>
      </c>
      <c r="K1669" t="inlineStr">
        <is>
          <t>cash collection 现金收款</t>
        </is>
      </c>
      <c r="L1669" s="6">
        <f>IF($B1667="","",E1669)</f>
        <v/>
      </c>
    </row>
    <row r="1670">
      <c r="A1670" s="1" t="inlineStr">
        <is>
          <t>Other Charges 其他费用</t>
        </is>
      </c>
      <c r="B1670" s="9">
        <f>IF($B1667="","",'Daily Sale entry '!D121)</f>
        <v/>
      </c>
      <c r="D1670" s="1" t="inlineStr">
        <is>
          <t>Cheque Collection 支票收款</t>
        </is>
      </c>
      <c r="E1670" s="9">
        <f>IF($B1667="","",'Daily Sale entry '!J121)</f>
        <v/>
      </c>
      <c r="H1670" s="1" t="inlineStr">
        <is>
          <t>Other Charges 其他费用</t>
        </is>
      </c>
      <c r="I1670" s="9">
        <f>IF($B1667="","",B1670)</f>
        <v/>
      </c>
      <c r="K1670" s="1" t="inlineStr">
        <is>
          <t>Cheque Collection 支票收款</t>
        </is>
      </c>
      <c r="L1670" s="9">
        <f>IF($B1667="","",E1670)</f>
        <v/>
      </c>
    </row>
    <row r="1671">
      <c r="A1671" s="10" t="inlineStr">
        <is>
          <t>Amount 金额  (Cash Sales - Misc - Other)</t>
        </is>
      </c>
      <c r="B1671" s="11">
        <f>IF($B1667="","",ROUND(B1668-B1669-B1670,2))</f>
        <v/>
      </c>
      <c r="D1671" s="12" t="inlineStr">
        <is>
          <t>TNG collection TNG收款</t>
        </is>
      </c>
      <c r="E1671" s="13">
        <f>IF($B1667="","",'Daily Sale entry '!K121)</f>
        <v/>
      </c>
      <c r="H1671" s="10" t="inlineStr">
        <is>
          <t>Amount 金额  (Cash Sales - Misc - Other)</t>
        </is>
      </c>
      <c r="I1671" s="11">
        <f>IF($B1667="","",ROUND(I1668-I1669-I1670,2))</f>
        <v/>
      </c>
      <c r="K1671" s="12" t="inlineStr">
        <is>
          <t>TNG collection TNG收款</t>
        </is>
      </c>
      <c r="L1671" s="13">
        <f>IF($B1667="","",E1671)</f>
        <v/>
      </c>
    </row>
    <row r="1672">
      <c r="A1672" t="inlineStr">
        <is>
          <t>Credit Collection 赊账收款</t>
        </is>
      </c>
      <c r="B1672" s="6">
        <f>IF($B1667="","",'Daily Sale entry '!E121)</f>
        <v/>
      </c>
      <c r="D1672" t="inlineStr">
        <is>
          <t>Advance Salary_M 预支薪水_M</t>
        </is>
      </c>
      <c r="E1672" s="6">
        <f>IF($B1667="","",'Daily Sale entry '!L121)</f>
        <v/>
      </c>
      <c r="H1672" t="inlineStr">
        <is>
          <t>Credit Collection 赊账收款</t>
        </is>
      </c>
      <c r="I1672" s="6">
        <f>IF($B1667="","",B1672)</f>
        <v/>
      </c>
      <c r="K1672" t="inlineStr">
        <is>
          <t>Advance Salary_M 预支薪水_M</t>
        </is>
      </c>
      <c r="L1672" s="6">
        <f>IF($B1667="","",E1672)</f>
        <v/>
      </c>
    </row>
    <row r="1673">
      <c r="A1673" s="10" t="inlineStr">
        <is>
          <t>Amount 2 金额2  (Amount + Credit Collection)</t>
        </is>
      </c>
      <c r="B1673" s="11">
        <f>IF($B1667="","",ROUND(B1671+B1672,2))</f>
        <v/>
      </c>
      <c r="D1673" t="inlineStr">
        <is>
          <t>Advance Salary_H 预支薪水_H</t>
        </is>
      </c>
      <c r="E1673" s="6">
        <f>IF($B1667="","",'Daily Sale entry '!M121)</f>
        <v/>
      </c>
      <c r="H1673" s="10" t="inlineStr">
        <is>
          <t>Amount 2 金额2  (Amount + Credit Collection)</t>
        </is>
      </c>
      <c r="I1673" s="11">
        <f>IF($B1667="","",ROUND(I1671+I1672,2))</f>
        <v/>
      </c>
      <c r="K1673" t="inlineStr">
        <is>
          <t>Advance Salary_H 预支薪水_H</t>
        </is>
      </c>
      <c r="L1673" s="6">
        <f>IF($B1667="","",E1673)</f>
        <v/>
      </c>
    </row>
    <row r="1674"/>
    <row r="1675">
      <c r="A1675" s="1" t="inlineStr">
        <is>
          <t>b/f petty cash 上日备用金结转</t>
        </is>
      </c>
      <c r="B1675" s="9">
        <f>IF($B1667="","",'Daily Sale entry '!F121)</f>
        <v/>
      </c>
      <c r="D1675" s="1" t="n"/>
      <c r="E1675" s="1" t="n"/>
      <c r="H1675" s="1" t="inlineStr">
        <is>
          <t>b/f petty cash 上日备用金结转</t>
        </is>
      </c>
      <c r="I1675" s="9">
        <f>IF($B1667="","",B1675)</f>
        <v/>
      </c>
      <c r="K1675" s="1" t="n"/>
      <c r="L1675" s="1" t="n"/>
    </row>
    <row r="1676">
      <c r="A1676" t="inlineStr">
        <is>
          <t>Total (A) 总计 (A)</t>
        </is>
      </c>
      <c r="B1676" s="6">
        <f>IF($B1667="","",ROUND(B1673+B1675,2))</f>
        <v/>
      </c>
      <c r="D1676" t="inlineStr">
        <is>
          <t>Total(B) 总计 (B)</t>
        </is>
      </c>
      <c r="E1676" s="6">
        <f>IF($B1667="","",ROUND(E1668+E1669+E1670+E1671+E1672+E1673,2))</f>
        <v/>
      </c>
      <c r="H1676" t="inlineStr">
        <is>
          <t>Total© 总计 (C)</t>
        </is>
      </c>
      <c r="I1676" s="6">
        <f>IF($B1667="","",ROUND(I1673+I1675,2))</f>
        <v/>
      </c>
      <c r="K1676" t="inlineStr">
        <is>
          <t>Total(D) 总计 (D)</t>
        </is>
      </c>
      <c r="L1676" s="6">
        <f>IF($B1667="","",ROUND(L1668+L1669+L1670+L1671+L1672+L1673,2))</f>
        <v/>
      </c>
    </row>
    <row r="1677">
      <c r="A1677" s="14" t="inlineStr">
        <is>
          <t>Total = Amount 2 + b/f petty cash  (金额2 + 上日备用金)</t>
        </is>
      </c>
      <c r="H1677" s="14" t="inlineStr">
        <is>
          <t>Total = Amount 2 + b/f petty cash  (金额2 + 上日备用金)</t>
        </is>
      </c>
    </row>
    <row r="1678">
      <c r="A1678" t="inlineStr">
        <is>
          <t>Different 差额</t>
        </is>
      </c>
      <c r="B1678" s="6">
        <f>IF($B1667="","",ROUND(B1676-E1676,2))</f>
        <v/>
      </c>
      <c r="D1678">
        <f>IF($B1667="","",IF(ABS(B1678)&gt;'Opening Balance'!$B$16,"ALERT 警报: Different over RM"&amp;'Opening Balance'!$B$16&amp;" 差额超过RM"&amp;'Opening Balance'!$B$16&amp;" - please check 请检查",IF(B1678=0,"Tied 平衡",IF(ABS(B1678)&lt;='Opening Balance'!$B$13,"Small difference 小额差额: adjusted on c/f petty cash 已调整备用金",IF(B1678&gt;0,"Short 短收: added to Misc Charges 已加入杂项费用","Over 多收: added to Cash Sales 已加入现金销售")))))</f>
        <v/>
      </c>
      <c r="H1678" t="inlineStr">
        <is>
          <t>Different 差额</t>
        </is>
      </c>
      <c r="I1678" s="6">
        <f>IF($B1667="","",ROUND(I1676-L1676,2))</f>
        <v/>
      </c>
    </row>
    <row r="1679"/>
    <row r="1680"/>
    <row r="1681">
      <c r="A1681" t="inlineStr">
        <is>
          <t>Date 日期</t>
        </is>
      </c>
      <c r="B1681" s="5">
        <f>IF('Daily Sale entry '!$A122="","",'Daily Sale entry '!$A122)</f>
        <v/>
      </c>
      <c r="H1681" t="inlineStr">
        <is>
          <t>After 调整后 (After)</t>
        </is>
      </c>
      <c r="I1681" s="5">
        <f>IF($B1681="","",B1681)</f>
        <v/>
      </c>
    </row>
    <row r="1682">
      <c r="A1682" t="inlineStr">
        <is>
          <t>Cash Sales 现金销售</t>
        </is>
      </c>
      <c r="B1682" s="6">
        <f>IF($B1681="","",'Daily Sale entry '!B122)</f>
        <v/>
      </c>
      <c r="D1682" t="inlineStr">
        <is>
          <t>c/f petty cash 今日备用金结转</t>
        </is>
      </c>
      <c r="E1682" s="6">
        <f>IF($B1681="","",'Daily Sale entry '!G122)</f>
        <v/>
      </c>
      <c r="H1682" t="inlineStr">
        <is>
          <t>Cash Sales 现金销售</t>
        </is>
      </c>
      <c r="I1682" s="6">
        <f>IF($B1681="","",IF(AND(ABS(B1692)&gt;'Opening Balance'!$B$13,B1692&lt;0),ROUND(B1682-B1692,2),B1682))</f>
        <v/>
      </c>
      <c r="K1682" t="inlineStr">
        <is>
          <t>c/f petty cash 今日备用金结转</t>
        </is>
      </c>
      <c r="L1682" s="6">
        <f>IF($B1681="","",IF(ABS(B1692)&lt;='Opening Balance'!$B$13,ROUND(E1682+B1692,2),E1682))</f>
        <v/>
      </c>
    </row>
    <row r="1683">
      <c r="A1683" t="inlineStr">
        <is>
          <t>Misc Charges 杂项费用</t>
        </is>
      </c>
      <c r="B1683" s="6">
        <f>IF($B1681="","",'Daily Sale entry '!C122)</f>
        <v/>
      </c>
      <c r="D1683" t="inlineStr">
        <is>
          <t>cash collection 现金收款</t>
        </is>
      </c>
      <c r="E1683" s="6">
        <f>IF($B1681="","",'Daily Sale entry '!H122)</f>
        <v/>
      </c>
      <c r="H1683" t="inlineStr">
        <is>
          <t>Misc Charges 杂项费用</t>
        </is>
      </c>
      <c r="I1683" s="6">
        <f>IF($B1681="","",IF(AND(ABS(B1692)&gt;'Opening Balance'!$B$13,B1692&gt;0),ROUND(B1683+B1692,2),B1683))</f>
        <v/>
      </c>
      <c r="K1683" t="inlineStr">
        <is>
          <t>cash collection 现金收款</t>
        </is>
      </c>
      <c r="L1683" s="6">
        <f>IF($B1681="","",E1683)</f>
        <v/>
      </c>
    </row>
    <row r="1684">
      <c r="A1684" s="1" t="inlineStr">
        <is>
          <t>Other Charges 其他费用</t>
        </is>
      </c>
      <c r="B1684" s="9">
        <f>IF($B1681="","",'Daily Sale entry '!D122)</f>
        <v/>
      </c>
      <c r="D1684" s="1" t="inlineStr">
        <is>
          <t>Cheque Collection 支票收款</t>
        </is>
      </c>
      <c r="E1684" s="9">
        <f>IF($B1681="","",'Daily Sale entry '!J122)</f>
        <v/>
      </c>
      <c r="H1684" s="1" t="inlineStr">
        <is>
          <t>Other Charges 其他费用</t>
        </is>
      </c>
      <c r="I1684" s="9">
        <f>IF($B1681="","",B1684)</f>
        <v/>
      </c>
      <c r="K1684" s="1" t="inlineStr">
        <is>
          <t>Cheque Collection 支票收款</t>
        </is>
      </c>
      <c r="L1684" s="9">
        <f>IF($B1681="","",E1684)</f>
        <v/>
      </c>
    </row>
    <row r="1685">
      <c r="A1685" s="10" t="inlineStr">
        <is>
          <t>Amount 金额  (Cash Sales - Misc - Other)</t>
        </is>
      </c>
      <c r="B1685" s="11">
        <f>IF($B1681="","",ROUND(B1682-B1683-B1684,2))</f>
        <v/>
      </c>
      <c r="D1685" s="12" t="inlineStr">
        <is>
          <t>TNG collection TNG收款</t>
        </is>
      </c>
      <c r="E1685" s="13">
        <f>IF($B1681="","",'Daily Sale entry '!K122)</f>
        <v/>
      </c>
      <c r="H1685" s="10" t="inlineStr">
        <is>
          <t>Amount 金额  (Cash Sales - Misc - Other)</t>
        </is>
      </c>
      <c r="I1685" s="11">
        <f>IF($B1681="","",ROUND(I1682-I1683-I1684,2))</f>
        <v/>
      </c>
      <c r="K1685" s="12" t="inlineStr">
        <is>
          <t>TNG collection TNG收款</t>
        </is>
      </c>
      <c r="L1685" s="13">
        <f>IF($B1681="","",E1685)</f>
        <v/>
      </c>
    </row>
    <row r="1686">
      <c r="A1686" t="inlineStr">
        <is>
          <t>Credit Collection 赊账收款</t>
        </is>
      </c>
      <c r="B1686" s="6">
        <f>IF($B1681="","",'Daily Sale entry '!E122)</f>
        <v/>
      </c>
      <c r="D1686" t="inlineStr">
        <is>
          <t>Advance Salary_M 预支薪水_M</t>
        </is>
      </c>
      <c r="E1686" s="6">
        <f>IF($B1681="","",'Daily Sale entry '!L122)</f>
        <v/>
      </c>
      <c r="H1686" t="inlineStr">
        <is>
          <t>Credit Collection 赊账收款</t>
        </is>
      </c>
      <c r="I1686" s="6">
        <f>IF($B1681="","",B1686)</f>
        <v/>
      </c>
      <c r="K1686" t="inlineStr">
        <is>
          <t>Advance Salary_M 预支薪水_M</t>
        </is>
      </c>
      <c r="L1686" s="6">
        <f>IF($B1681="","",E1686)</f>
        <v/>
      </c>
    </row>
    <row r="1687">
      <c r="A1687" s="10" t="inlineStr">
        <is>
          <t>Amount 2 金额2  (Amount + Credit Collection)</t>
        </is>
      </c>
      <c r="B1687" s="11">
        <f>IF($B1681="","",ROUND(B1685+B1686,2))</f>
        <v/>
      </c>
      <c r="D1687" t="inlineStr">
        <is>
          <t>Advance Salary_H 预支薪水_H</t>
        </is>
      </c>
      <c r="E1687" s="6">
        <f>IF($B1681="","",'Daily Sale entry '!M122)</f>
        <v/>
      </c>
      <c r="H1687" s="10" t="inlineStr">
        <is>
          <t>Amount 2 金额2  (Amount + Credit Collection)</t>
        </is>
      </c>
      <c r="I1687" s="11">
        <f>IF($B1681="","",ROUND(I1685+I1686,2))</f>
        <v/>
      </c>
      <c r="K1687" t="inlineStr">
        <is>
          <t>Advance Salary_H 预支薪水_H</t>
        </is>
      </c>
      <c r="L1687" s="6">
        <f>IF($B1681="","",E1687)</f>
        <v/>
      </c>
    </row>
    <row r="1688"/>
    <row r="1689">
      <c r="A1689" s="1" t="inlineStr">
        <is>
          <t>b/f petty cash 上日备用金结转</t>
        </is>
      </c>
      <c r="B1689" s="9">
        <f>IF($B1681="","",'Daily Sale entry '!F122)</f>
        <v/>
      </c>
      <c r="D1689" s="1" t="n"/>
      <c r="E1689" s="1" t="n"/>
      <c r="H1689" s="1" t="inlineStr">
        <is>
          <t>b/f petty cash 上日备用金结转</t>
        </is>
      </c>
      <c r="I1689" s="9">
        <f>IF($B1681="","",B1689)</f>
        <v/>
      </c>
      <c r="K1689" s="1" t="n"/>
      <c r="L1689" s="1" t="n"/>
    </row>
    <row r="1690">
      <c r="A1690" t="inlineStr">
        <is>
          <t>Total (A) 总计 (A)</t>
        </is>
      </c>
      <c r="B1690" s="6">
        <f>IF($B1681="","",ROUND(B1687+B1689,2))</f>
        <v/>
      </c>
      <c r="D1690" t="inlineStr">
        <is>
          <t>Total(B) 总计 (B)</t>
        </is>
      </c>
      <c r="E1690" s="6">
        <f>IF($B1681="","",ROUND(E1682+E1683+E1684+E1685+E1686+E1687,2))</f>
        <v/>
      </c>
      <c r="H1690" t="inlineStr">
        <is>
          <t>Total© 总计 (C)</t>
        </is>
      </c>
      <c r="I1690" s="6">
        <f>IF($B1681="","",ROUND(I1687+I1689,2))</f>
        <v/>
      </c>
      <c r="K1690" t="inlineStr">
        <is>
          <t>Total(D) 总计 (D)</t>
        </is>
      </c>
      <c r="L1690" s="6">
        <f>IF($B1681="","",ROUND(L1682+L1683+L1684+L1685+L1686+L1687,2))</f>
        <v/>
      </c>
    </row>
    <row r="1691">
      <c r="A1691" s="14" t="inlineStr">
        <is>
          <t>Total = Amount 2 + b/f petty cash  (金额2 + 上日备用金)</t>
        </is>
      </c>
      <c r="H1691" s="14" t="inlineStr">
        <is>
          <t>Total = Amount 2 + b/f petty cash  (金额2 + 上日备用金)</t>
        </is>
      </c>
    </row>
    <row r="1692">
      <c r="A1692" t="inlineStr">
        <is>
          <t>Different 差额</t>
        </is>
      </c>
      <c r="B1692" s="6">
        <f>IF($B1681="","",ROUND(B1690-E1690,2))</f>
        <v/>
      </c>
      <c r="D1692">
        <f>IF($B1681="","",IF(ABS(B1692)&gt;'Opening Balance'!$B$16,"ALERT 警报: Different over RM"&amp;'Opening Balance'!$B$16&amp;" 差额超过RM"&amp;'Opening Balance'!$B$16&amp;" - please check 请检查",IF(B1692=0,"Tied 平衡",IF(ABS(B1692)&lt;='Opening Balance'!$B$13,"Small difference 小额差额: adjusted on c/f petty cash 已调整备用金",IF(B1692&gt;0,"Short 短收: added to Misc Charges 已加入杂项费用","Over 多收: added to Cash Sales 已加入现金销售")))))</f>
        <v/>
      </c>
      <c r="H1692" t="inlineStr">
        <is>
          <t>Different 差额</t>
        </is>
      </c>
      <c r="I1692" s="6">
        <f>IF($B1681="","",ROUND(I1690-L1690,2))</f>
        <v/>
      </c>
    </row>
    <row r="1693"/>
    <row r="1694"/>
    <row r="1695">
      <c r="A1695" t="inlineStr">
        <is>
          <t>Date 日期</t>
        </is>
      </c>
      <c r="B1695" s="5">
        <f>IF('Daily Sale entry '!$A123="","",'Daily Sale entry '!$A123)</f>
        <v/>
      </c>
      <c r="H1695" t="inlineStr">
        <is>
          <t>After 调整后 (After)</t>
        </is>
      </c>
      <c r="I1695" s="5">
        <f>IF($B1695="","",B1695)</f>
        <v/>
      </c>
    </row>
    <row r="1696">
      <c r="A1696" t="inlineStr">
        <is>
          <t>Cash Sales 现金销售</t>
        </is>
      </c>
      <c r="B1696" s="6">
        <f>IF($B1695="","",'Daily Sale entry '!B123)</f>
        <v/>
      </c>
      <c r="D1696" t="inlineStr">
        <is>
          <t>c/f petty cash 今日备用金结转</t>
        </is>
      </c>
      <c r="E1696" s="6">
        <f>IF($B1695="","",'Daily Sale entry '!G123)</f>
        <v/>
      </c>
      <c r="H1696" t="inlineStr">
        <is>
          <t>Cash Sales 现金销售</t>
        </is>
      </c>
      <c r="I1696" s="6">
        <f>IF($B1695="","",IF(AND(ABS(B1706)&gt;'Opening Balance'!$B$13,B1706&lt;0),ROUND(B1696-B1706,2),B1696))</f>
        <v/>
      </c>
      <c r="K1696" t="inlineStr">
        <is>
          <t>c/f petty cash 今日备用金结转</t>
        </is>
      </c>
      <c r="L1696" s="6">
        <f>IF($B1695="","",IF(ABS(B1706)&lt;='Opening Balance'!$B$13,ROUND(E1696+B1706,2),E1696))</f>
        <v/>
      </c>
    </row>
    <row r="1697">
      <c r="A1697" t="inlineStr">
        <is>
          <t>Misc Charges 杂项费用</t>
        </is>
      </c>
      <c r="B1697" s="6">
        <f>IF($B1695="","",'Daily Sale entry '!C123)</f>
        <v/>
      </c>
      <c r="D1697" t="inlineStr">
        <is>
          <t>cash collection 现金收款</t>
        </is>
      </c>
      <c r="E1697" s="6">
        <f>IF($B1695="","",'Daily Sale entry '!H123)</f>
        <v/>
      </c>
      <c r="H1697" t="inlineStr">
        <is>
          <t>Misc Charges 杂项费用</t>
        </is>
      </c>
      <c r="I1697" s="6">
        <f>IF($B1695="","",IF(AND(ABS(B1706)&gt;'Opening Balance'!$B$13,B1706&gt;0),ROUND(B1697+B1706,2),B1697))</f>
        <v/>
      </c>
      <c r="K1697" t="inlineStr">
        <is>
          <t>cash collection 现金收款</t>
        </is>
      </c>
      <c r="L1697" s="6">
        <f>IF($B1695="","",E1697)</f>
        <v/>
      </c>
    </row>
    <row r="1698">
      <c r="A1698" s="1" t="inlineStr">
        <is>
          <t>Other Charges 其他费用</t>
        </is>
      </c>
      <c r="B1698" s="9">
        <f>IF($B1695="","",'Daily Sale entry '!D123)</f>
        <v/>
      </c>
      <c r="D1698" s="1" t="inlineStr">
        <is>
          <t>Cheque Collection 支票收款</t>
        </is>
      </c>
      <c r="E1698" s="9">
        <f>IF($B1695="","",'Daily Sale entry '!J123)</f>
        <v/>
      </c>
      <c r="H1698" s="1" t="inlineStr">
        <is>
          <t>Other Charges 其他费用</t>
        </is>
      </c>
      <c r="I1698" s="9">
        <f>IF($B1695="","",B1698)</f>
        <v/>
      </c>
      <c r="K1698" s="1" t="inlineStr">
        <is>
          <t>Cheque Collection 支票收款</t>
        </is>
      </c>
      <c r="L1698" s="9">
        <f>IF($B1695="","",E1698)</f>
        <v/>
      </c>
    </row>
    <row r="1699">
      <c r="A1699" s="10" t="inlineStr">
        <is>
          <t>Amount 金额  (Cash Sales - Misc - Other)</t>
        </is>
      </c>
      <c r="B1699" s="11">
        <f>IF($B1695="","",ROUND(B1696-B1697-B1698,2))</f>
        <v/>
      </c>
      <c r="D1699" s="12" t="inlineStr">
        <is>
          <t>TNG collection TNG收款</t>
        </is>
      </c>
      <c r="E1699" s="13">
        <f>IF($B1695="","",'Daily Sale entry '!K123)</f>
        <v/>
      </c>
      <c r="H1699" s="10" t="inlineStr">
        <is>
          <t>Amount 金额  (Cash Sales - Misc - Other)</t>
        </is>
      </c>
      <c r="I1699" s="11">
        <f>IF($B1695="","",ROUND(I1696-I1697-I1698,2))</f>
        <v/>
      </c>
      <c r="K1699" s="12" t="inlineStr">
        <is>
          <t>TNG collection TNG收款</t>
        </is>
      </c>
      <c r="L1699" s="13">
        <f>IF($B1695="","",E1699)</f>
        <v/>
      </c>
    </row>
    <row r="1700">
      <c r="A1700" t="inlineStr">
        <is>
          <t>Credit Collection 赊账收款</t>
        </is>
      </c>
      <c r="B1700" s="6">
        <f>IF($B1695="","",'Daily Sale entry '!E123)</f>
        <v/>
      </c>
      <c r="D1700" t="inlineStr">
        <is>
          <t>Advance Salary_M 预支薪水_M</t>
        </is>
      </c>
      <c r="E1700" s="6">
        <f>IF($B1695="","",'Daily Sale entry '!L123)</f>
        <v/>
      </c>
      <c r="H1700" t="inlineStr">
        <is>
          <t>Credit Collection 赊账收款</t>
        </is>
      </c>
      <c r="I1700" s="6">
        <f>IF($B1695="","",B1700)</f>
        <v/>
      </c>
      <c r="K1700" t="inlineStr">
        <is>
          <t>Advance Salary_M 预支薪水_M</t>
        </is>
      </c>
      <c r="L1700" s="6">
        <f>IF($B1695="","",E1700)</f>
        <v/>
      </c>
    </row>
    <row r="1701">
      <c r="A1701" s="10" t="inlineStr">
        <is>
          <t>Amount 2 金额2  (Amount + Credit Collection)</t>
        </is>
      </c>
      <c r="B1701" s="11">
        <f>IF($B1695="","",ROUND(B1699+B1700,2))</f>
        <v/>
      </c>
      <c r="D1701" t="inlineStr">
        <is>
          <t>Advance Salary_H 预支薪水_H</t>
        </is>
      </c>
      <c r="E1701" s="6">
        <f>IF($B1695="","",'Daily Sale entry '!M123)</f>
        <v/>
      </c>
      <c r="H1701" s="10" t="inlineStr">
        <is>
          <t>Amount 2 金额2  (Amount + Credit Collection)</t>
        </is>
      </c>
      <c r="I1701" s="11">
        <f>IF($B1695="","",ROUND(I1699+I1700,2))</f>
        <v/>
      </c>
      <c r="K1701" t="inlineStr">
        <is>
          <t>Advance Salary_H 预支薪水_H</t>
        </is>
      </c>
      <c r="L1701" s="6">
        <f>IF($B1695="","",E1701)</f>
        <v/>
      </c>
    </row>
    <row r="1702"/>
    <row r="1703">
      <c r="A1703" s="1" t="inlineStr">
        <is>
          <t>b/f petty cash 上日备用金结转</t>
        </is>
      </c>
      <c r="B1703" s="9">
        <f>IF($B1695="","",'Daily Sale entry '!F123)</f>
        <v/>
      </c>
      <c r="D1703" s="1" t="n"/>
      <c r="E1703" s="1" t="n"/>
      <c r="H1703" s="1" t="inlineStr">
        <is>
          <t>b/f petty cash 上日备用金结转</t>
        </is>
      </c>
      <c r="I1703" s="9">
        <f>IF($B1695="","",B1703)</f>
        <v/>
      </c>
      <c r="K1703" s="1" t="n"/>
      <c r="L1703" s="1" t="n"/>
    </row>
    <row r="1704">
      <c r="A1704" t="inlineStr">
        <is>
          <t>Total (A) 总计 (A)</t>
        </is>
      </c>
      <c r="B1704" s="6">
        <f>IF($B1695="","",ROUND(B1701+B1703,2))</f>
        <v/>
      </c>
      <c r="D1704" t="inlineStr">
        <is>
          <t>Total(B) 总计 (B)</t>
        </is>
      </c>
      <c r="E1704" s="6">
        <f>IF($B1695="","",ROUND(E1696+E1697+E1698+E1699+E1700+E1701,2))</f>
        <v/>
      </c>
      <c r="H1704" t="inlineStr">
        <is>
          <t>Total© 总计 (C)</t>
        </is>
      </c>
      <c r="I1704" s="6">
        <f>IF($B1695="","",ROUND(I1701+I1703,2))</f>
        <v/>
      </c>
      <c r="K1704" t="inlineStr">
        <is>
          <t>Total(D) 总计 (D)</t>
        </is>
      </c>
      <c r="L1704" s="6">
        <f>IF($B1695="","",ROUND(L1696+L1697+L1698+L1699+L1700+L1701,2))</f>
        <v/>
      </c>
    </row>
    <row r="1705">
      <c r="A1705" s="14" t="inlineStr">
        <is>
          <t>Total = Amount 2 + b/f petty cash  (金额2 + 上日备用金)</t>
        </is>
      </c>
      <c r="H1705" s="14" t="inlineStr">
        <is>
          <t>Total = Amount 2 + b/f petty cash  (金额2 + 上日备用金)</t>
        </is>
      </c>
    </row>
    <row r="1706">
      <c r="A1706" t="inlineStr">
        <is>
          <t>Different 差额</t>
        </is>
      </c>
      <c r="B1706" s="6">
        <f>IF($B1695="","",ROUND(B1704-E1704,2))</f>
        <v/>
      </c>
      <c r="D1706">
        <f>IF($B1695="","",IF(ABS(B1706)&gt;'Opening Balance'!$B$16,"ALERT 警报: Different over RM"&amp;'Opening Balance'!$B$16&amp;" 差额超过RM"&amp;'Opening Balance'!$B$16&amp;" - please check 请检查",IF(B1706=0,"Tied 平衡",IF(ABS(B1706)&lt;='Opening Balance'!$B$13,"Small difference 小额差额: adjusted on c/f petty cash 已调整备用金",IF(B1706&gt;0,"Short 短收: added to Misc Charges 已加入杂项费用","Over 多收: added to Cash Sales 已加入现金销售")))))</f>
        <v/>
      </c>
      <c r="H1706" t="inlineStr">
        <is>
          <t>Different 差额</t>
        </is>
      </c>
      <c r="I1706" s="6">
        <f>IF($B1695="","",ROUND(I1704-L1704,2))</f>
        <v/>
      </c>
    </row>
    <row r="1707"/>
    <row r="1708"/>
    <row r="1709">
      <c r="A1709" t="inlineStr">
        <is>
          <t>Date 日期</t>
        </is>
      </c>
      <c r="B1709" s="5">
        <f>IF('Daily Sale entry '!$A124="","",'Daily Sale entry '!$A124)</f>
        <v/>
      </c>
      <c r="H1709" t="inlineStr">
        <is>
          <t>After 调整后 (After)</t>
        </is>
      </c>
      <c r="I1709" s="5">
        <f>IF($B1709="","",B1709)</f>
        <v/>
      </c>
    </row>
    <row r="1710">
      <c r="A1710" t="inlineStr">
        <is>
          <t>Cash Sales 现金销售</t>
        </is>
      </c>
      <c r="B1710" s="6">
        <f>IF($B1709="","",'Daily Sale entry '!B124)</f>
        <v/>
      </c>
      <c r="D1710" t="inlineStr">
        <is>
          <t>c/f petty cash 今日备用金结转</t>
        </is>
      </c>
      <c r="E1710" s="6">
        <f>IF($B1709="","",'Daily Sale entry '!G124)</f>
        <v/>
      </c>
      <c r="H1710" t="inlineStr">
        <is>
          <t>Cash Sales 现金销售</t>
        </is>
      </c>
      <c r="I1710" s="6">
        <f>IF($B1709="","",IF(AND(ABS(B1720)&gt;'Opening Balance'!$B$13,B1720&lt;0),ROUND(B1710-B1720,2),B1710))</f>
        <v/>
      </c>
      <c r="K1710" t="inlineStr">
        <is>
          <t>c/f petty cash 今日备用金结转</t>
        </is>
      </c>
      <c r="L1710" s="6">
        <f>IF($B1709="","",IF(ABS(B1720)&lt;='Opening Balance'!$B$13,ROUND(E1710+B1720,2),E1710))</f>
        <v/>
      </c>
    </row>
    <row r="1711">
      <c r="A1711" t="inlineStr">
        <is>
          <t>Misc Charges 杂项费用</t>
        </is>
      </c>
      <c r="B1711" s="6">
        <f>IF($B1709="","",'Daily Sale entry '!C124)</f>
        <v/>
      </c>
      <c r="D1711" t="inlineStr">
        <is>
          <t>cash collection 现金收款</t>
        </is>
      </c>
      <c r="E1711" s="6">
        <f>IF($B1709="","",'Daily Sale entry '!H124)</f>
        <v/>
      </c>
      <c r="H1711" t="inlineStr">
        <is>
          <t>Misc Charges 杂项费用</t>
        </is>
      </c>
      <c r="I1711" s="6">
        <f>IF($B1709="","",IF(AND(ABS(B1720)&gt;'Opening Balance'!$B$13,B1720&gt;0),ROUND(B1711+B1720,2),B1711))</f>
        <v/>
      </c>
      <c r="K1711" t="inlineStr">
        <is>
          <t>cash collection 现金收款</t>
        </is>
      </c>
      <c r="L1711" s="6">
        <f>IF($B1709="","",E1711)</f>
        <v/>
      </c>
    </row>
    <row r="1712">
      <c r="A1712" s="1" t="inlineStr">
        <is>
          <t>Other Charges 其他费用</t>
        </is>
      </c>
      <c r="B1712" s="9">
        <f>IF($B1709="","",'Daily Sale entry '!D124)</f>
        <v/>
      </c>
      <c r="D1712" s="1" t="inlineStr">
        <is>
          <t>Cheque Collection 支票收款</t>
        </is>
      </c>
      <c r="E1712" s="9">
        <f>IF($B1709="","",'Daily Sale entry '!J124)</f>
        <v/>
      </c>
      <c r="H1712" s="1" t="inlineStr">
        <is>
          <t>Other Charges 其他费用</t>
        </is>
      </c>
      <c r="I1712" s="9">
        <f>IF($B1709="","",B1712)</f>
        <v/>
      </c>
      <c r="K1712" s="1" t="inlineStr">
        <is>
          <t>Cheque Collection 支票收款</t>
        </is>
      </c>
      <c r="L1712" s="9">
        <f>IF($B1709="","",E1712)</f>
        <v/>
      </c>
    </row>
    <row r="1713">
      <c r="A1713" s="10" t="inlineStr">
        <is>
          <t>Amount 金额  (Cash Sales - Misc - Other)</t>
        </is>
      </c>
      <c r="B1713" s="11">
        <f>IF($B1709="","",ROUND(B1710-B1711-B1712,2))</f>
        <v/>
      </c>
      <c r="D1713" s="12" t="inlineStr">
        <is>
          <t>TNG collection TNG收款</t>
        </is>
      </c>
      <c r="E1713" s="13">
        <f>IF($B1709="","",'Daily Sale entry '!K124)</f>
        <v/>
      </c>
      <c r="H1713" s="10" t="inlineStr">
        <is>
          <t>Amount 金额  (Cash Sales - Misc - Other)</t>
        </is>
      </c>
      <c r="I1713" s="11">
        <f>IF($B1709="","",ROUND(I1710-I1711-I1712,2))</f>
        <v/>
      </c>
      <c r="K1713" s="12" t="inlineStr">
        <is>
          <t>TNG collection TNG收款</t>
        </is>
      </c>
      <c r="L1713" s="13">
        <f>IF($B1709="","",E1713)</f>
        <v/>
      </c>
    </row>
    <row r="1714">
      <c r="A1714" t="inlineStr">
        <is>
          <t>Credit Collection 赊账收款</t>
        </is>
      </c>
      <c r="B1714" s="6">
        <f>IF($B1709="","",'Daily Sale entry '!E124)</f>
        <v/>
      </c>
      <c r="D1714" t="inlineStr">
        <is>
          <t>Advance Salary_M 预支薪水_M</t>
        </is>
      </c>
      <c r="E1714" s="6">
        <f>IF($B1709="","",'Daily Sale entry '!L124)</f>
        <v/>
      </c>
      <c r="H1714" t="inlineStr">
        <is>
          <t>Credit Collection 赊账收款</t>
        </is>
      </c>
      <c r="I1714" s="6">
        <f>IF($B1709="","",B1714)</f>
        <v/>
      </c>
      <c r="K1714" t="inlineStr">
        <is>
          <t>Advance Salary_M 预支薪水_M</t>
        </is>
      </c>
      <c r="L1714" s="6">
        <f>IF($B1709="","",E1714)</f>
        <v/>
      </c>
    </row>
    <row r="1715">
      <c r="A1715" s="10" t="inlineStr">
        <is>
          <t>Amount 2 金额2  (Amount + Credit Collection)</t>
        </is>
      </c>
      <c r="B1715" s="11">
        <f>IF($B1709="","",ROUND(B1713+B1714,2))</f>
        <v/>
      </c>
      <c r="D1715" t="inlineStr">
        <is>
          <t>Advance Salary_H 预支薪水_H</t>
        </is>
      </c>
      <c r="E1715" s="6">
        <f>IF($B1709="","",'Daily Sale entry '!M124)</f>
        <v/>
      </c>
      <c r="H1715" s="10" t="inlineStr">
        <is>
          <t>Amount 2 金额2  (Amount + Credit Collection)</t>
        </is>
      </c>
      <c r="I1715" s="11">
        <f>IF($B1709="","",ROUND(I1713+I1714,2))</f>
        <v/>
      </c>
      <c r="K1715" t="inlineStr">
        <is>
          <t>Advance Salary_H 预支薪水_H</t>
        </is>
      </c>
      <c r="L1715" s="6">
        <f>IF($B1709="","",E1715)</f>
        <v/>
      </c>
    </row>
    <row r="1716"/>
    <row r="1717">
      <c r="A1717" s="1" t="inlineStr">
        <is>
          <t>b/f petty cash 上日备用金结转</t>
        </is>
      </c>
      <c r="B1717" s="9">
        <f>IF($B1709="","",'Daily Sale entry '!F124)</f>
        <v/>
      </c>
      <c r="D1717" s="1" t="n"/>
      <c r="E1717" s="1" t="n"/>
      <c r="H1717" s="1" t="inlineStr">
        <is>
          <t>b/f petty cash 上日备用金结转</t>
        </is>
      </c>
      <c r="I1717" s="9">
        <f>IF($B1709="","",B1717)</f>
        <v/>
      </c>
      <c r="K1717" s="1" t="n"/>
      <c r="L1717" s="1" t="n"/>
    </row>
    <row r="1718">
      <c r="A1718" t="inlineStr">
        <is>
          <t>Total (A) 总计 (A)</t>
        </is>
      </c>
      <c r="B1718" s="6">
        <f>IF($B1709="","",ROUND(B1715+B1717,2))</f>
        <v/>
      </c>
      <c r="D1718" t="inlineStr">
        <is>
          <t>Total(B) 总计 (B)</t>
        </is>
      </c>
      <c r="E1718" s="6">
        <f>IF($B1709="","",ROUND(E1710+E1711+E1712+E1713+E1714+E1715,2))</f>
        <v/>
      </c>
      <c r="H1718" t="inlineStr">
        <is>
          <t>Total© 总计 (C)</t>
        </is>
      </c>
      <c r="I1718" s="6">
        <f>IF($B1709="","",ROUND(I1715+I1717,2))</f>
        <v/>
      </c>
      <c r="K1718" t="inlineStr">
        <is>
          <t>Total(D) 总计 (D)</t>
        </is>
      </c>
      <c r="L1718" s="6">
        <f>IF($B1709="","",ROUND(L1710+L1711+L1712+L1713+L1714+L1715,2))</f>
        <v/>
      </c>
    </row>
    <row r="1719">
      <c r="A1719" s="14" t="inlineStr">
        <is>
          <t>Total = Amount 2 + b/f petty cash  (金额2 + 上日备用金)</t>
        </is>
      </c>
      <c r="H1719" s="14" t="inlineStr">
        <is>
          <t>Total = Amount 2 + b/f petty cash  (金额2 + 上日备用金)</t>
        </is>
      </c>
    </row>
    <row r="1720">
      <c r="A1720" t="inlineStr">
        <is>
          <t>Different 差额</t>
        </is>
      </c>
      <c r="B1720" s="6">
        <f>IF($B1709="","",ROUND(B1718-E1718,2))</f>
        <v/>
      </c>
      <c r="D1720">
        <f>IF($B1709="","",IF(ABS(B1720)&gt;'Opening Balance'!$B$16,"ALERT 警报: Different over RM"&amp;'Opening Balance'!$B$16&amp;" 差额超过RM"&amp;'Opening Balance'!$B$16&amp;" - please check 请检查",IF(B1720=0,"Tied 平衡",IF(ABS(B1720)&lt;='Opening Balance'!$B$13,"Small difference 小额差额: adjusted on c/f petty cash 已调整备用金",IF(B1720&gt;0,"Short 短收: added to Misc Charges 已加入杂项费用","Over 多收: added to Cash Sales 已加入现金销售")))))</f>
        <v/>
      </c>
      <c r="H1720" t="inlineStr">
        <is>
          <t>Different 差额</t>
        </is>
      </c>
      <c r="I1720" s="6">
        <f>IF($B1709="","",ROUND(I1718-L1718,2))</f>
        <v/>
      </c>
    </row>
    <row r="1721"/>
    <row r="1722"/>
    <row r="1723">
      <c r="A1723" t="inlineStr">
        <is>
          <t>Date 日期</t>
        </is>
      </c>
      <c r="B1723" s="5">
        <f>IF('Daily Sale entry '!$A125="","",'Daily Sale entry '!$A125)</f>
        <v/>
      </c>
      <c r="H1723" t="inlineStr">
        <is>
          <t>After 调整后 (After)</t>
        </is>
      </c>
      <c r="I1723" s="5">
        <f>IF($B1723="","",B1723)</f>
        <v/>
      </c>
    </row>
    <row r="1724">
      <c r="A1724" t="inlineStr">
        <is>
          <t>Cash Sales 现金销售</t>
        </is>
      </c>
      <c r="B1724" s="6">
        <f>IF($B1723="","",'Daily Sale entry '!B125)</f>
        <v/>
      </c>
      <c r="D1724" t="inlineStr">
        <is>
          <t>c/f petty cash 今日备用金结转</t>
        </is>
      </c>
      <c r="E1724" s="6">
        <f>IF($B1723="","",'Daily Sale entry '!G125)</f>
        <v/>
      </c>
      <c r="H1724" t="inlineStr">
        <is>
          <t>Cash Sales 现金销售</t>
        </is>
      </c>
      <c r="I1724" s="6">
        <f>IF($B1723="","",IF(AND(ABS(B1734)&gt;'Opening Balance'!$B$13,B1734&lt;0),ROUND(B1724-B1734,2),B1724))</f>
        <v/>
      </c>
      <c r="K1724" t="inlineStr">
        <is>
          <t>c/f petty cash 今日备用金结转</t>
        </is>
      </c>
      <c r="L1724" s="6">
        <f>IF($B1723="","",IF(ABS(B1734)&lt;='Opening Balance'!$B$13,ROUND(E1724+B1734,2),E1724))</f>
        <v/>
      </c>
    </row>
    <row r="1725">
      <c r="A1725" t="inlineStr">
        <is>
          <t>Misc Charges 杂项费用</t>
        </is>
      </c>
      <c r="B1725" s="6">
        <f>IF($B1723="","",'Daily Sale entry '!C125)</f>
        <v/>
      </c>
      <c r="D1725" t="inlineStr">
        <is>
          <t>cash collection 现金收款</t>
        </is>
      </c>
      <c r="E1725" s="6">
        <f>IF($B1723="","",'Daily Sale entry '!H125)</f>
        <v/>
      </c>
      <c r="H1725" t="inlineStr">
        <is>
          <t>Misc Charges 杂项费用</t>
        </is>
      </c>
      <c r="I1725" s="6">
        <f>IF($B1723="","",IF(AND(ABS(B1734)&gt;'Opening Balance'!$B$13,B1734&gt;0),ROUND(B1725+B1734,2),B1725))</f>
        <v/>
      </c>
      <c r="K1725" t="inlineStr">
        <is>
          <t>cash collection 现金收款</t>
        </is>
      </c>
      <c r="L1725" s="6">
        <f>IF($B1723="","",E1725)</f>
        <v/>
      </c>
    </row>
    <row r="1726">
      <c r="A1726" s="1" t="inlineStr">
        <is>
          <t>Other Charges 其他费用</t>
        </is>
      </c>
      <c r="B1726" s="9">
        <f>IF($B1723="","",'Daily Sale entry '!D125)</f>
        <v/>
      </c>
      <c r="D1726" s="1" t="inlineStr">
        <is>
          <t>Cheque Collection 支票收款</t>
        </is>
      </c>
      <c r="E1726" s="9">
        <f>IF($B1723="","",'Daily Sale entry '!J125)</f>
        <v/>
      </c>
      <c r="H1726" s="1" t="inlineStr">
        <is>
          <t>Other Charges 其他费用</t>
        </is>
      </c>
      <c r="I1726" s="9">
        <f>IF($B1723="","",B1726)</f>
        <v/>
      </c>
      <c r="K1726" s="1" t="inlineStr">
        <is>
          <t>Cheque Collection 支票收款</t>
        </is>
      </c>
      <c r="L1726" s="9">
        <f>IF($B1723="","",E1726)</f>
        <v/>
      </c>
    </row>
    <row r="1727">
      <c r="A1727" s="10" t="inlineStr">
        <is>
          <t>Amount 金额  (Cash Sales - Misc - Other)</t>
        </is>
      </c>
      <c r="B1727" s="11">
        <f>IF($B1723="","",ROUND(B1724-B1725-B1726,2))</f>
        <v/>
      </c>
      <c r="D1727" s="12" t="inlineStr">
        <is>
          <t>TNG collection TNG收款</t>
        </is>
      </c>
      <c r="E1727" s="13">
        <f>IF($B1723="","",'Daily Sale entry '!K125)</f>
        <v/>
      </c>
      <c r="H1727" s="10" t="inlineStr">
        <is>
          <t>Amount 金额  (Cash Sales - Misc - Other)</t>
        </is>
      </c>
      <c r="I1727" s="11">
        <f>IF($B1723="","",ROUND(I1724-I1725-I1726,2))</f>
        <v/>
      </c>
      <c r="K1727" s="12" t="inlineStr">
        <is>
          <t>TNG collection TNG收款</t>
        </is>
      </c>
      <c r="L1727" s="13">
        <f>IF($B1723="","",E1727)</f>
        <v/>
      </c>
    </row>
    <row r="1728">
      <c r="A1728" t="inlineStr">
        <is>
          <t>Credit Collection 赊账收款</t>
        </is>
      </c>
      <c r="B1728" s="6">
        <f>IF($B1723="","",'Daily Sale entry '!E125)</f>
        <v/>
      </c>
      <c r="D1728" t="inlineStr">
        <is>
          <t>Advance Salary_M 预支薪水_M</t>
        </is>
      </c>
      <c r="E1728" s="6">
        <f>IF($B1723="","",'Daily Sale entry '!L125)</f>
        <v/>
      </c>
      <c r="H1728" t="inlineStr">
        <is>
          <t>Credit Collection 赊账收款</t>
        </is>
      </c>
      <c r="I1728" s="6">
        <f>IF($B1723="","",B1728)</f>
        <v/>
      </c>
      <c r="K1728" t="inlineStr">
        <is>
          <t>Advance Salary_M 预支薪水_M</t>
        </is>
      </c>
      <c r="L1728" s="6">
        <f>IF($B1723="","",E1728)</f>
        <v/>
      </c>
    </row>
    <row r="1729">
      <c r="A1729" s="10" t="inlineStr">
        <is>
          <t>Amount 2 金额2  (Amount + Credit Collection)</t>
        </is>
      </c>
      <c r="B1729" s="11">
        <f>IF($B1723="","",ROUND(B1727+B1728,2))</f>
        <v/>
      </c>
      <c r="D1729" t="inlineStr">
        <is>
          <t>Advance Salary_H 预支薪水_H</t>
        </is>
      </c>
      <c r="E1729" s="6">
        <f>IF($B1723="","",'Daily Sale entry '!M125)</f>
        <v/>
      </c>
      <c r="H1729" s="10" t="inlineStr">
        <is>
          <t>Amount 2 金额2  (Amount + Credit Collection)</t>
        </is>
      </c>
      <c r="I1729" s="11">
        <f>IF($B1723="","",ROUND(I1727+I1728,2))</f>
        <v/>
      </c>
      <c r="K1729" t="inlineStr">
        <is>
          <t>Advance Salary_H 预支薪水_H</t>
        </is>
      </c>
      <c r="L1729" s="6">
        <f>IF($B1723="","",E1729)</f>
        <v/>
      </c>
    </row>
    <row r="1730"/>
    <row r="1731">
      <c r="A1731" s="1" t="inlineStr">
        <is>
          <t>b/f petty cash 上日备用金结转</t>
        </is>
      </c>
      <c r="B1731" s="9">
        <f>IF($B1723="","",'Daily Sale entry '!F125)</f>
        <v/>
      </c>
      <c r="D1731" s="1" t="n"/>
      <c r="E1731" s="1" t="n"/>
      <c r="H1731" s="1" t="inlineStr">
        <is>
          <t>b/f petty cash 上日备用金结转</t>
        </is>
      </c>
      <c r="I1731" s="9">
        <f>IF($B1723="","",B1731)</f>
        <v/>
      </c>
      <c r="K1731" s="1" t="n"/>
      <c r="L1731" s="1" t="n"/>
    </row>
    <row r="1732">
      <c r="A1732" t="inlineStr">
        <is>
          <t>Total (A) 总计 (A)</t>
        </is>
      </c>
      <c r="B1732" s="6">
        <f>IF($B1723="","",ROUND(B1729+B1731,2))</f>
        <v/>
      </c>
      <c r="D1732" t="inlineStr">
        <is>
          <t>Total(B) 总计 (B)</t>
        </is>
      </c>
      <c r="E1732" s="6">
        <f>IF($B1723="","",ROUND(E1724+E1725+E1726+E1727+E1728+E1729,2))</f>
        <v/>
      </c>
      <c r="H1732" t="inlineStr">
        <is>
          <t>Total© 总计 (C)</t>
        </is>
      </c>
      <c r="I1732" s="6">
        <f>IF($B1723="","",ROUND(I1729+I1731,2))</f>
        <v/>
      </c>
      <c r="K1732" t="inlineStr">
        <is>
          <t>Total(D) 总计 (D)</t>
        </is>
      </c>
      <c r="L1732" s="6">
        <f>IF($B1723="","",ROUND(L1724+L1725+L1726+L1727+L1728+L1729,2))</f>
        <v/>
      </c>
    </row>
    <row r="1733">
      <c r="A1733" s="14" t="inlineStr">
        <is>
          <t>Total = Amount 2 + b/f petty cash  (金额2 + 上日备用金)</t>
        </is>
      </c>
      <c r="H1733" s="14" t="inlineStr">
        <is>
          <t>Total = Amount 2 + b/f petty cash  (金额2 + 上日备用金)</t>
        </is>
      </c>
    </row>
    <row r="1734">
      <c r="A1734" t="inlineStr">
        <is>
          <t>Different 差额</t>
        </is>
      </c>
      <c r="B1734" s="6">
        <f>IF($B1723="","",ROUND(B1732-E1732,2))</f>
        <v/>
      </c>
      <c r="D1734">
        <f>IF($B1723="","",IF(ABS(B1734)&gt;'Opening Balance'!$B$16,"ALERT 警报: Different over RM"&amp;'Opening Balance'!$B$16&amp;" 差额超过RM"&amp;'Opening Balance'!$B$16&amp;" - please check 请检查",IF(B1734=0,"Tied 平衡",IF(ABS(B1734)&lt;='Opening Balance'!$B$13,"Small difference 小额差额: adjusted on c/f petty cash 已调整备用金",IF(B1734&gt;0,"Short 短收: added to Misc Charges 已加入杂项费用","Over 多收: added to Cash Sales 已加入现金销售")))))</f>
        <v/>
      </c>
      <c r="H1734" t="inlineStr">
        <is>
          <t>Different 差额</t>
        </is>
      </c>
      <c r="I1734" s="6">
        <f>IF($B1723="","",ROUND(I1732-L1732,2))</f>
        <v/>
      </c>
    </row>
    <row r="1735"/>
    <row r="1736"/>
    <row r="1737">
      <c r="A1737" t="inlineStr">
        <is>
          <t>Date 日期</t>
        </is>
      </c>
      <c r="B1737" s="5">
        <f>IF('Daily Sale entry '!$A126="","",'Daily Sale entry '!$A126)</f>
        <v/>
      </c>
      <c r="H1737" t="inlineStr">
        <is>
          <t>After 调整后 (After)</t>
        </is>
      </c>
      <c r="I1737" s="5">
        <f>IF($B1737="","",B1737)</f>
        <v/>
      </c>
    </row>
    <row r="1738">
      <c r="A1738" t="inlineStr">
        <is>
          <t>Cash Sales 现金销售</t>
        </is>
      </c>
      <c r="B1738" s="6">
        <f>IF($B1737="","",'Daily Sale entry '!B126)</f>
        <v/>
      </c>
      <c r="D1738" t="inlineStr">
        <is>
          <t>c/f petty cash 今日备用金结转</t>
        </is>
      </c>
      <c r="E1738" s="6">
        <f>IF($B1737="","",'Daily Sale entry '!G126)</f>
        <v/>
      </c>
      <c r="H1738" t="inlineStr">
        <is>
          <t>Cash Sales 现金销售</t>
        </is>
      </c>
      <c r="I1738" s="6">
        <f>IF($B1737="","",IF(AND(ABS(B1748)&gt;'Opening Balance'!$B$13,B1748&lt;0),ROUND(B1738-B1748,2),B1738))</f>
        <v/>
      </c>
      <c r="K1738" t="inlineStr">
        <is>
          <t>c/f petty cash 今日备用金结转</t>
        </is>
      </c>
      <c r="L1738" s="6">
        <f>IF($B1737="","",IF(ABS(B1748)&lt;='Opening Balance'!$B$13,ROUND(E1738+B1748,2),E1738))</f>
        <v/>
      </c>
    </row>
    <row r="1739">
      <c r="A1739" t="inlineStr">
        <is>
          <t>Misc Charges 杂项费用</t>
        </is>
      </c>
      <c r="B1739" s="6">
        <f>IF($B1737="","",'Daily Sale entry '!C126)</f>
        <v/>
      </c>
      <c r="D1739" t="inlineStr">
        <is>
          <t>cash collection 现金收款</t>
        </is>
      </c>
      <c r="E1739" s="6">
        <f>IF($B1737="","",'Daily Sale entry '!H126)</f>
        <v/>
      </c>
      <c r="H1739" t="inlineStr">
        <is>
          <t>Misc Charges 杂项费用</t>
        </is>
      </c>
      <c r="I1739" s="6">
        <f>IF($B1737="","",IF(AND(ABS(B1748)&gt;'Opening Balance'!$B$13,B1748&gt;0),ROUND(B1739+B1748,2),B1739))</f>
        <v/>
      </c>
      <c r="K1739" t="inlineStr">
        <is>
          <t>cash collection 现金收款</t>
        </is>
      </c>
      <c r="L1739" s="6">
        <f>IF($B1737="","",E1739)</f>
        <v/>
      </c>
    </row>
    <row r="1740">
      <c r="A1740" s="1" t="inlineStr">
        <is>
          <t>Other Charges 其他费用</t>
        </is>
      </c>
      <c r="B1740" s="9">
        <f>IF($B1737="","",'Daily Sale entry '!D126)</f>
        <v/>
      </c>
      <c r="D1740" s="1" t="inlineStr">
        <is>
          <t>Cheque Collection 支票收款</t>
        </is>
      </c>
      <c r="E1740" s="9">
        <f>IF($B1737="","",'Daily Sale entry '!J126)</f>
        <v/>
      </c>
      <c r="H1740" s="1" t="inlineStr">
        <is>
          <t>Other Charges 其他费用</t>
        </is>
      </c>
      <c r="I1740" s="9">
        <f>IF($B1737="","",B1740)</f>
        <v/>
      </c>
      <c r="K1740" s="1" t="inlineStr">
        <is>
          <t>Cheque Collection 支票收款</t>
        </is>
      </c>
      <c r="L1740" s="9">
        <f>IF($B1737="","",E1740)</f>
        <v/>
      </c>
    </row>
    <row r="1741">
      <c r="A1741" s="10" t="inlineStr">
        <is>
          <t>Amount 金额  (Cash Sales - Misc - Other)</t>
        </is>
      </c>
      <c r="B1741" s="11">
        <f>IF($B1737="","",ROUND(B1738-B1739-B1740,2))</f>
        <v/>
      </c>
      <c r="D1741" s="12" t="inlineStr">
        <is>
          <t>TNG collection TNG收款</t>
        </is>
      </c>
      <c r="E1741" s="13">
        <f>IF($B1737="","",'Daily Sale entry '!K126)</f>
        <v/>
      </c>
      <c r="H1741" s="10" t="inlineStr">
        <is>
          <t>Amount 金额  (Cash Sales - Misc - Other)</t>
        </is>
      </c>
      <c r="I1741" s="11">
        <f>IF($B1737="","",ROUND(I1738-I1739-I1740,2))</f>
        <v/>
      </c>
      <c r="K1741" s="12" t="inlineStr">
        <is>
          <t>TNG collection TNG收款</t>
        </is>
      </c>
      <c r="L1741" s="13">
        <f>IF($B1737="","",E1741)</f>
        <v/>
      </c>
    </row>
    <row r="1742">
      <c r="A1742" t="inlineStr">
        <is>
          <t>Credit Collection 赊账收款</t>
        </is>
      </c>
      <c r="B1742" s="6">
        <f>IF($B1737="","",'Daily Sale entry '!E126)</f>
        <v/>
      </c>
      <c r="D1742" t="inlineStr">
        <is>
          <t>Advance Salary_M 预支薪水_M</t>
        </is>
      </c>
      <c r="E1742" s="6">
        <f>IF($B1737="","",'Daily Sale entry '!L126)</f>
        <v/>
      </c>
      <c r="H1742" t="inlineStr">
        <is>
          <t>Credit Collection 赊账收款</t>
        </is>
      </c>
      <c r="I1742" s="6">
        <f>IF($B1737="","",B1742)</f>
        <v/>
      </c>
      <c r="K1742" t="inlineStr">
        <is>
          <t>Advance Salary_M 预支薪水_M</t>
        </is>
      </c>
      <c r="L1742" s="6">
        <f>IF($B1737="","",E1742)</f>
        <v/>
      </c>
    </row>
    <row r="1743">
      <c r="A1743" s="10" t="inlineStr">
        <is>
          <t>Amount 2 金额2  (Amount + Credit Collection)</t>
        </is>
      </c>
      <c r="B1743" s="11">
        <f>IF($B1737="","",ROUND(B1741+B1742,2))</f>
        <v/>
      </c>
      <c r="D1743" t="inlineStr">
        <is>
          <t>Advance Salary_H 预支薪水_H</t>
        </is>
      </c>
      <c r="E1743" s="6">
        <f>IF($B1737="","",'Daily Sale entry '!M126)</f>
        <v/>
      </c>
      <c r="H1743" s="10" t="inlineStr">
        <is>
          <t>Amount 2 金额2  (Amount + Credit Collection)</t>
        </is>
      </c>
      <c r="I1743" s="11">
        <f>IF($B1737="","",ROUND(I1741+I1742,2))</f>
        <v/>
      </c>
      <c r="K1743" t="inlineStr">
        <is>
          <t>Advance Salary_H 预支薪水_H</t>
        </is>
      </c>
      <c r="L1743" s="6">
        <f>IF($B1737="","",E1743)</f>
        <v/>
      </c>
    </row>
    <row r="1744"/>
    <row r="1745">
      <c r="A1745" s="1" t="inlineStr">
        <is>
          <t>b/f petty cash 上日备用金结转</t>
        </is>
      </c>
      <c r="B1745" s="9">
        <f>IF($B1737="","",'Daily Sale entry '!F126)</f>
        <v/>
      </c>
      <c r="D1745" s="1" t="n"/>
      <c r="E1745" s="1" t="n"/>
      <c r="H1745" s="1" t="inlineStr">
        <is>
          <t>b/f petty cash 上日备用金结转</t>
        </is>
      </c>
      <c r="I1745" s="9">
        <f>IF($B1737="","",B1745)</f>
        <v/>
      </c>
      <c r="K1745" s="1" t="n"/>
      <c r="L1745" s="1" t="n"/>
    </row>
    <row r="1746">
      <c r="A1746" t="inlineStr">
        <is>
          <t>Total (A) 总计 (A)</t>
        </is>
      </c>
      <c r="B1746" s="6">
        <f>IF($B1737="","",ROUND(B1743+B1745,2))</f>
        <v/>
      </c>
      <c r="D1746" t="inlineStr">
        <is>
          <t>Total(B) 总计 (B)</t>
        </is>
      </c>
      <c r="E1746" s="6">
        <f>IF($B1737="","",ROUND(E1738+E1739+E1740+E1741+E1742+E1743,2))</f>
        <v/>
      </c>
      <c r="H1746" t="inlineStr">
        <is>
          <t>Total© 总计 (C)</t>
        </is>
      </c>
      <c r="I1746" s="6">
        <f>IF($B1737="","",ROUND(I1743+I1745,2))</f>
        <v/>
      </c>
      <c r="K1746" t="inlineStr">
        <is>
          <t>Total(D) 总计 (D)</t>
        </is>
      </c>
      <c r="L1746" s="6">
        <f>IF($B1737="","",ROUND(L1738+L1739+L1740+L1741+L1742+L1743,2))</f>
        <v/>
      </c>
    </row>
    <row r="1747">
      <c r="A1747" s="14" t="inlineStr">
        <is>
          <t>Total = Amount 2 + b/f petty cash  (金额2 + 上日备用金)</t>
        </is>
      </c>
      <c r="H1747" s="14" t="inlineStr">
        <is>
          <t>Total = Amount 2 + b/f petty cash  (金额2 + 上日备用金)</t>
        </is>
      </c>
    </row>
    <row r="1748">
      <c r="A1748" t="inlineStr">
        <is>
          <t>Different 差额</t>
        </is>
      </c>
      <c r="B1748" s="6">
        <f>IF($B1737="","",ROUND(B1746-E1746,2))</f>
        <v/>
      </c>
      <c r="D1748">
        <f>IF($B1737="","",IF(ABS(B1748)&gt;'Opening Balance'!$B$16,"ALERT 警报: Different over RM"&amp;'Opening Balance'!$B$16&amp;" 差额超过RM"&amp;'Opening Balance'!$B$16&amp;" - please check 请检查",IF(B1748=0,"Tied 平衡",IF(ABS(B1748)&lt;='Opening Balance'!$B$13,"Small difference 小额差额: adjusted on c/f petty cash 已调整备用金",IF(B1748&gt;0,"Short 短收: added to Misc Charges 已加入杂项费用","Over 多收: added to Cash Sales 已加入现金销售")))))</f>
        <v/>
      </c>
      <c r="H1748" t="inlineStr">
        <is>
          <t>Different 差额</t>
        </is>
      </c>
      <c r="I1748" s="6">
        <f>IF($B1737="","",ROUND(I1746-L1746,2))</f>
        <v/>
      </c>
    </row>
    <row r="1749"/>
    <row r="1750"/>
    <row r="1751">
      <c r="A1751" t="inlineStr">
        <is>
          <t>Date 日期</t>
        </is>
      </c>
      <c r="B1751" s="5">
        <f>IF('Daily Sale entry '!$A127="","",'Daily Sale entry '!$A127)</f>
        <v/>
      </c>
      <c r="H1751" t="inlineStr">
        <is>
          <t>After 调整后 (After)</t>
        </is>
      </c>
      <c r="I1751" s="5">
        <f>IF($B1751="","",B1751)</f>
        <v/>
      </c>
    </row>
    <row r="1752">
      <c r="A1752" t="inlineStr">
        <is>
          <t>Cash Sales 现金销售</t>
        </is>
      </c>
      <c r="B1752" s="6">
        <f>IF($B1751="","",'Daily Sale entry '!B127)</f>
        <v/>
      </c>
      <c r="D1752" t="inlineStr">
        <is>
          <t>c/f petty cash 今日备用金结转</t>
        </is>
      </c>
      <c r="E1752" s="6">
        <f>IF($B1751="","",'Daily Sale entry '!G127)</f>
        <v/>
      </c>
      <c r="H1752" t="inlineStr">
        <is>
          <t>Cash Sales 现金销售</t>
        </is>
      </c>
      <c r="I1752" s="6">
        <f>IF($B1751="","",IF(AND(ABS(B1762)&gt;'Opening Balance'!$B$13,B1762&lt;0),ROUND(B1752-B1762,2),B1752))</f>
        <v/>
      </c>
      <c r="K1752" t="inlineStr">
        <is>
          <t>c/f petty cash 今日备用金结转</t>
        </is>
      </c>
      <c r="L1752" s="6">
        <f>IF($B1751="","",IF(ABS(B1762)&lt;='Opening Balance'!$B$13,ROUND(E1752+B1762,2),E1752))</f>
        <v/>
      </c>
    </row>
    <row r="1753">
      <c r="A1753" t="inlineStr">
        <is>
          <t>Misc Charges 杂项费用</t>
        </is>
      </c>
      <c r="B1753" s="6">
        <f>IF($B1751="","",'Daily Sale entry '!C127)</f>
        <v/>
      </c>
      <c r="D1753" t="inlineStr">
        <is>
          <t>cash collection 现金收款</t>
        </is>
      </c>
      <c r="E1753" s="6">
        <f>IF($B1751="","",'Daily Sale entry '!H127)</f>
        <v/>
      </c>
      <c r="H1753" t="inlineStr">
        <is>
          <t>Misc Charges 杂项费用</t>
        </is>
      </c>
      <c r="I1753" s="6">
        <f>IF($B1751="","",IF(AND(ABS(B1762)&gt;'Opening Balance'!$B$13,B1762&gt;0),ROUND(B1753+B1762,2),B1753))</f>
        <v/>
      </c>
      <c r="K1753" t="inlineStr">
        <is>
          <t>cash collection 现金收款</t>
        </is>
      </c>
      <c r="L1753" s="6">
        <f>IF($B1751="","",E1753)</f>
        <v/>
      </c>
    </row>
    <row r="1754">
      <c r="A1754" s="1" t="inlineStr">
        <is>
          <t>Other Charges 其他费用</t>
        </is>
      </c>
      <c r="B1754" s="9">
        <f>IF($B1751="","",'Daily Sale entry '!D127)</f>
        <v/>
      </c>
      <c r="D1754" s="1" t="inlineStr">
        <is>
          <t>Cheque Collection 支票收款</t>
        </is>
      </c>
      <c r="E1754" s="9">
        <f>IF($B1751="","",'Daily Sale entry '!J127)</f>
        <v/>
      </c>
      <c r="H1754" s="1" t="inlineStr">
        <is>
          <t>Other Charges 其他费用</t>
        </is>
      </c>
      <c r="I1754" s="9">
        <f>IF($B1751="","",B1754)</f>
        <v/>
      </c>
      <c r="K1754" s="1" t="inlineStr">
        <is>
          <t>Cheque Collection 支票收款</t>
        </is>
      </c>
      <c r="L1754" s="9">
        <f>IF($B1751="","",E1754)</f>
        <v/>
      </c>
    </row>
    <row r="1755">
      <c r="A1755" s="10" t="inlineStr">
        <is>
          <t>Amount 金额  (Cash Sales - Misc - Other)</t>
        </is>
      </c>
      <c r="B1755" s="11">
        <f>IF($B1751="","",ROUND(B1752-B1753-B1754,2))</f>
        <v/>
      </c>
      <c r="D1755" s="12" t="inlineStr">
        <is>
          <t>TNG collection TNG收款</t>
        </is>
      </c>
      <c r="E1755" s="13">
        <f>IF($B1751="","",'Daily Sale entry '!K127)</f>
        <v/>
      </c>
      <c r="H1755" s="10" t="inlineStr">
        <is>
          <t>Amount 金额  (Cash Sales - Misc - Other)</t>
        </is>
      </c>
      <c r="I1755" s="11">
        <f>IF($B1751="","",ROUND(I1752-I1753-I1754,2))</f>
        <v/>
      </c>
      <c r="K1755" s="12" t="inlineStr">
        <is>
          <t>TNG collection TNG收款</t>
        </is>
      </c>
      <c r="L1755" s="13">
        <f>IF($B1751="","",E1755)</f>
        <v/>
      </c>
    </row>
    <row r="1756">
      <c r="A1756" t="inlineStr">
        <is>
          <t>Credit Collection 赊账收款</t>
        </is>
      </c>
      <c r="B1756" s="6">
        <f>IF($B1751="","",'Daily Sale entry '!E127)</f>
        <v/>
      </c>
      <c r="D1756" t="inlineStr">
        <is>
          <t>Advance Salary_M 预支薪水_M</t>
        </is>
      </c>
      <c r="E1756" s="6">
        <f>IF($B1751="","",'Daily Sale entry '!L127)</f>
        <v/>
      </c>
      <c r="H1756" t="inlineStr">
        <is>
          <t>Credit Collection 赊账收款</t>
        </is>
      </c>
      <c r="I1756" s="6">
        <f>IF($B1751="","",B1756)</f>
        <v/>
      </c>
      <c r="K1756" t="inlineStr">
        <is>
          <t>Advance Salary_M 预支薪水_M</t>
        </is>
      </c>
      <c r="L1756" s="6">
        <f>IF($B1751="","",E1756)</f>
        <v/>
      </c>
    </row>
    <row r="1757">
      <c r="A1757" s="10" t="inlineStr">
        <is>
          <t>Amount 2 金额2  (Amount + Credit Collection)</t>
        </is>
      </c>
      <c r="B1757" s="11">
        <f>IF($B1751="","",ROUND(B1755+B1756,2))</f>
        <v/>
      </c>
      <c r="D1757" t="inlineStr">
        <is>
          <t>Advance Salary_H 预支薪水_H</t>
        </is>
      </c>
      <c r="E1757" s="6">
        <f>IF($B1751="","",'Daily Sale entry '!M127)</f>
        <v/>
      </c>
      <c r="H1757" s="10" t="inlineStr">
        <is>
          <t>Amount 2 金额2  (Amount + Credit Collection)</t>
        </is>
      </c>
      <c r="I1757" s="11">
        <f>IF($B1751="","",ROUND(I1755+I1756,2))</f>
        <v/>
      </c>
      <c r="K1757" t="inlineStr">
        <is>
          <t>Advance Salary_H 预支薪水_H</t>
        </is>
      </c>
      <c r="L1757" s="6">
        <f>IF($B1751="","",E1757)</f>
        <v/>
      </c>
    </row>
    <row r="1758"/>
    <row r="1759">
      <c r="A1759" s="1" t="inlineStr">
        <is>
          <t>b/f petty cash 上日备用金结转</t>
        </is>
      </c>
      <c r="B1759" s="9">
        <f>IF($B1751="","",'Daily Sale entry '!F127)</f>
        <v/>
      </c>
      <c r="D1759" s="1" t="n"/>
      <c r="E1759" s="1" t="n"/>
      <c r="H1759" s="1" t="inlineStr">
        <is>
          <t>b/f petty cash 上日备用金结转</t>
        </is>
      </c>
      <c r="I1759" s="9">
        <f>IF($B1751="","",B1759)</f>
        <v/>
      </c>
      <c r="K1759" s="1" t="n"/>
      <c r="L1759" s="1" t="n"/>
    </row>
    <row r="1760">
      <c r="A1760" t="inlineStr">
        <is>
          <t>Total (A) 总计 (A)</t>
        </is>
      </c>
      <c r="B1760" s="6">
        <f>IF($B1751="","",ROUND(B1757+B1759,2))</f>
        <v/>
      </c>
      <c r="D1760" t="inlineStr">
        <is>
          <t>Total(B) 总计 (B)</t>
        </is>
      </c>
      <c r="E1760" s="6">
        <f>IF($B1751="","",ROUND(E1752+E1753+E1754+E1755+E1756+E1757,2))</f>
        <v/>
      </c>
      <c r="H1760" t="inlineStr">
        <is>
          <t>Total© 总计 (C)</t>
        </is>
      </c>
      <c r="I1760" s="6">
        <f>IF($B1751="","",ROUND(I1757+I1759,2))</f>
        <v/>
      </c>
      <c r="K1760" t="inlineStr">
        <is>
          <t>Total(D) 总计 (D)</t>
        </is>
      </c>
      <c r="L1760" s="6">
        <f>IF($B1751="","",ROUND(L1752+L1753+L1754+L1755+L1756+L1757,2))</f>
        <v/>
      </c>
    </row>
    <row r="1761">
      <c r="A1761" s="14" t="inlineStr">
        <is>
          <t>Total = Amount 2 + b/f petty cash  (金额2 + 上日备用金)</t>
        </is>
      </c>
      <c r="H1761" s="14" t="inlineStr">
        <is>
          <t>Total = Amount 2 + b/f petty cash  (金额2 + 上日备用金)</t>
        </is>
      </c>
    </row>
    <row r="1762">
      <c r="A1762" t="inlineStr">
        <is>
          <t>Different 差额</t>
        </is>
      </c>
      <c r="B1762" s="6">
        <f>IF($B1751="","",ROUND(B1760-E1760,2))</f>
        <v/>
      </c>
      <c r="D1762">
        <f>IF($B1751="","",IF(ABS(B1762)&gt;'Opening Balance'!$B$16,"ALERT 警报: Different over RM"&amp;'Opening Balance'!$B$16&amp;" 差额超过RM"&amp;'Opening Balance'!$B$16&amp;" - please check 请检查",IF(B1762=0,"Tied 平衡",IF(ABS(B1762)&lt;='Opening Balance'!$B$13,"Small difference 小额差额: adjusted on c/f petty cash 已调整备用金",IF(B1762&gt;0,"Short 短收: added to Misc Charges 已加入杂项费用","Over 多收: added to Cash Sales 已加入现金销售")))))</f>
        <v/>
      </c>
      <c r="H1762" t="inlineStr">
        <is>
          <t>Different 差额</t>
        </is>
      </c>
      <c r="I1762" s="6">
        <f>IF($B1751="","",ROUND(I1760-L1760,2))</f>
        <v/>
      </c>
    </row>
    <row r="1763"/>
    <row r="1764"/>
    <row r="1765">
      <c r="A1765" t="inlineStr">
        <is>
          <t>Date 日期</t>
        </is>
      </c>
      <c r="B1765" s="5">
        <f>IF('Daily Sale entry '!$A128="","",'Daily Sale entry '!$A128)</f>
        <v/>
      </c>
      <c r="H1765" t="inlineStr">
        <is>
          <t>After 调整后 (After)</t>
        </is>
      </c>
      <c r="I1765" s="5">
        <f>IF($B1765="","",B1765)</f>
        <v/>
      </c>
    </row>
    <row r="1766">
      <c r="A1766" t="inlineStr">
        <is>
          <t>Cash Sales 现金销售</t>
        </is>
      </c>
      <c r="B1766" s="6">
        <f>IF($B1765="","",'Daily Sale entry '!B128)</f>
        <v/>
      </c>
      <c r="D1766" t="inlineStr">
        <is>
          <t>c/f petty cash 今日备用金结转</t>
        </is>
      </c>
      <c r="E1766" s="6">
        <f>IF($B1765="","",'Daily Sale entry '!G128)</f>
        <v/>
      </c>
      <c r="H1766" t="inlineStr">
        <is>
          <t>Cash Sales 现金销售</t>
        </is>
      </c>
      <c r="I1766" s="6">
        <f>IF($B1765="","",IF(AND(ABS(B1776)&gt;'Opening Balance'!$B$13,B1776&lt;0),ROUND(B1766-B1776,2),B1766))</f>
        <v/>
      </c>
      <c r="K1766" t="inlineStr">
        <is>
          <t>c/f petty cash 今日备用金结转</t>
        </is>
      </c>
      <c r="L1766" s="6">
        <f>IF($B1765="","",IF(ABS(B1776)&lt;='Opening Balance'!$B$13,ROUND(E1766+B1776,2),E1766))</f>
        <v/>
      </c>
    </row>
    <row r="1767">
      <c r="A1767" t="inlineStr">
        <is>
          <t>Misc Charges 杂项费用</t>
        </is>
      </c>
      <c r="B1767" s="6">
        <f>IF($B1765="","",'Daily Sale entry '!C128)</f>
        <v/>
      </c>
      <c r="D1767" t="inlineStr">
        <is>
          <t>cash collection 现金收款</t>
        </is>
      </c>
      <c r="E1767" s="6">
        <f>IF($B1765="","",'Daily Sale entry '!H128)</f>
        <v/>
      </c>
      <c r="H1767" t="inlineStr">
        <is>
          <t>Misc Charges 杂项费用</t>
        </is>
      </c>
      <c r="I1767" s="6">
        <f>IF($B1765="","",IF(AND(ABS(B1776)&gt;'Opening Balance'!$B$13,B1776&gt;0),ROUND(B1767+B1776,2),B1767))</f>
        <v/>
      </c>
      <c r="K1767" t="inlineStr">
        <is>
          <t>cash collection 现金收款</t>
        </is>
      </c>
      <c r="L1767" s="6">
        <f>IF($B1765="","",E1767)</f>
        <v/>
      </c>
    </row>
    <row r="1768">
      <c r="A1768" s="1" t="inlineStr">
        <is>
          <t>Other Charges 其他费用</t>
        </is>
      </c>
      <c r="B1768" s="9">
        <f>IF($B1765="","",'Daily Sale entry '!D128)</f>
        <v/>
      </c>
      <c r="D1768" s="1" t="inlineStr">
        <is>
          <t>Cheque Collection 支票收款</t>
        </is>
      </c>
      <c r="E1768" s="9">
        <f>IF($B1765="","",'Daily Sale entry '!J128)</f>
        <v/>
      </c>
      <c r="H1768" s="1" t="inlineStr">
        <is>
          <t>Other Charges 其他费用</t>
        </is>
      </c>
      <c r="I1768" s="9">
        <f>IF($B1765="","",B1768)</f>
        <v/>
      </c>
      <c r="K1768" s="1" t="inlineStr">
        <is>
          <t>Cheque Collection 支票收款</t>
        </is>
      </c>
      <c r="L1768" s="9">
        <f>IF($B1765="","",E1768)</f>
        <v/>
      </c>
    </row>
    <row r="1769">
      <c r="A1769" s="10" t="inlineStr">
        <is>
          <t>Amount 金额  (Cash Sales - Misc - Other)</t>
        </is>
      </c>
      <c r="B1769" s="11">
        <f>IF($B1765="","",ROUND(B1766-B1767-B1768,2))</f>
        <v/>
      </c>
      <c r="D1769" s="12" t="inlineStr">
        <is>
          <t>TNG collection TNG收款</t>
        </is>
      </c>
      <c r="E1769" s="13">
        <f>IF($B1765="","",'Daily Sale entry '!K128)</f>
        <v/>
      </c>
      <c r="H1769" s="10" t="inlineStr">
        <is>
          <t>Amount 金额  (Cash Sales - Misc - Other)</t>
        </is>
      </c>
      <c r="I1769" s="11">
        <f>IF($B1765="","",ROUND(I1766-I1767-I1768,2))</f>
        <v/>
      </c>
      <c r="K1769" s="12" t="inlineStr">
        <is>
          <t>TNG collection TNG收款</t>
        </is>
      </c>
      <c r="L1769" s="13">
        <f>IF($B1765="","",E1769)</f>
        <v/>
      </c>
    </row>
    <row r="1770">
      <c r="A1770" t="inlineStr">
        <is>
          <t>Credit Collection 赊账收款</t>
        </is>
      </c>
      <c r="B1770" s="6">
        <f>IF($B1765="","",'Daily Sale entry '!E128)</f>
        <v/>
      </c>
      <c r="D1770" t="inlineStr">
        <is>
          <t>Advance Salary_M 预支薪水_M</t>
        </is>
      </c>
      <c r="E1770" s="6">
        <f>IF($B1765="","",'Daily Sale entry '!L128)</f>
        <v/>
      </c>
      <c r="H1770" t="inlineStr">
        <is>
          <t>Credit Collection 赊账收款</t>
        </is>
      </c>
      <c r="I1770" s="6">
        <f>IF($B1765="","",B1770)</f>
        <v/>
      </c>
      <c r="K1770" t="inlineStr">
        <is>
          <t>Advance Salary_M 预支薪水_M</t>
        </is>
      </c>
      <c r="L1770" s="6">
        <f>IF($B1765="","",E1770)</f>
        <v/>
      </c>
    </row>
    <row r="1771">
      <c r="A1771" s="10" t="inlineStr">
        <is>
          <t>Amount 2 金额2  (Amount + Credit Collection)</t>
        </is>
      </c>
      <c r="B1771" s="11">
        <f>IF($B1765="","",ROUND(B1769+B1770,2))</f>
        <v/>
      </c>
      <c r="D1771" t="inlineStr">
        <is>
          <t>Advance Salary_H 预支薪水_H</t>
        </is>
      </c>
      <c r="E1771" s="6">
        <f>IF($B1765="","",'Daily Sale entry '!M128)</f>
        <v/>
      </c>
      <c r="H1771" s="10" t="inlineStr">
        <is>
          <t>Amount 2 金额2  (Amount + Credit Collection)</t>
        </is>
      </c>
      <c r="I1771" s="11">
        <f>IF($B1765="","",ROUND(I1769+I1770,2))</f>
        <v/>
      </c>
      <c r="K1771" t="inlineStr">
        <is>
          <t>Advance Salary_H 预支薪水_H</t>
        </is>
      </c>
      <c r="L1771" s="6">
        <f>IF($B1765="","",E1771)</f>
        <v/>
      </c>
    </row>
    <row r="1772"/>
    <row r="1773">
      <c r="A1773" s="1" t="inlineStr">
        <is>
          <t>b/f petty cash 上日备用金结转</t>
        </is>
      </c>
      <c r="B1773" s="9">
        <f>IF($B1765="","",'Daily Sale entry '!F128)</f>
        <v/>
      </c>
      <c r="D1773" s="1" t="n"/>
      <c r="E1773" s="1" t="n"/>
      <c r="H1773" s="1" t="inlineStr">
        <is>
          <t>b/f petty cash 上日备用金结转</t>
        </is>
      </c>
      <c r="I1773" s="9">
        <f>IF($B1765="","",B1773)</f>
        <v/>
      </c>
      <c r="K1773" s="1" t="n"/>
      <c r="L1773" s="1" t="n"/>
    </row>
    <row r="1774">
      <c r="A1774" t="inlineStr">
        <is>
          <t>Total (A) 总计 (A)</t>
        </is>
      </c>
      <c r="B1774" s="6">
        <f>IF($B1765="","",ROUND(B1771+B1773,2))</f>
        <v/>
      </c>
      <c r="D1774" t="inlineStr">
        <is>
          <t>Total(B) 总计 (B)</t>
        </is>
      </c>
      <c r="E1774" s="6">
        <f>IF($B1765="","",ROUND(E1766+E1767+E1768+E1769+E1770+E1771,2))</f>
        <v/>
      </c>
      <c r="H1774" t="inlineStr">
        <is>
          <t>Total© 总计 (C)</t>
        </is>
      </c>
      <c r="I1774" s="6">
        <f>IF($B1765="","",ROUND(I1771+I1773,2))</f>
        <v/>
      </c>
      <c r="K1774" t="inlineStr">
        <is>
          <t>Total(D) 总计 (D)</t>
        </is>
      </c>
      <c r="L1774" s="6">
        <f>IF($B1765="","",ROUND(L1766+L1767+L1768+L1769+L1770+L1771,2))</f>
        <v/>
      </c>
    </row>
    <row r="1775">
      <c r="A1775" s="14" t="inlineStr">
        <is>
          <t>Total = Amount 2 + b/f petty cash  (金额2 + 上日备用金)</t>
        </is>
      </c>
      <c r="H1775" s="14" t="inlineStr">
        <is>
          <t>Total = Amount 2 + b/f petty cash  (金额2 + 上日备用金)</t>
        </is>
      </c>
    </row>
    <row r="1776">
      <c r="A1776" t="inlineStr">
        <is>
          <t>Different 差额</t>
        </is>
      </c>
      <c r="B1776" s="6">
        <f>IF($B1765="","",ROUND(B1774-E1774,2))</f>
        <v/>
      </c>
      <c r="D1776">
        <f>IF($B1765="","",IF(ABS(B1776)&gt;'Opening Balance'!$B$16,"ALERT 警报: Different over RM"&amp;'Opening Balance'!$B$16&amp;" 差额超过RM"&amp;'Opening Balance'!$B$16&amp;" - please check 请检查",IF(B1776=0,"Tied 平衡",IF(ABS(B1776)&lt;='Opening Balance'!$B$13,"Small difference 小额差额: adjusted on c/f petty cash 已调整备用金",IF(B1776&gt;0,"Short 短收: added to Misc Charges 已加入杂项费用","Over 多收: added to Cash Sales 已加入现金销售")))))</f>
        <v/>
      </c>
      <c r="H1776" t="inlineStr">
        <is>
          <t>Different 差额</t>
        </is>
      </c>
      <c r="I1776" s="6">
        <f>IF($B1765="","",ROUND(I1774-L1774,2))</f>
        <v/>
      </c>
    </row>
    <row r="1777"/>
    <row r="1778"/>
    <row r="1779">
      <c r="A1779" t="inlineStr">
        <is>
          <t>Date 日期</t>
        </is>
      </c>
      <c r="B1779" s="5">
        <f>IF('Daily Sale entry '!$A129="","",'Daily Sale entry '!$A129)</f>
        <v/>
      </c>
      <c r="H1779" t="inlineStr">
        <is>
          <t>After 调整后 (After)</t>
        </is>
      </c>
      <c r="I1779" s="5">
        <f>IF($B1779="","",B1779)</f>
        <v/>
      </c>
    </row>
    <row r="1780">
      <c r="A1780" t="inlineStr">
        <is>
          <t>Cash Sales 现金销售</t>
        </is>
      </c>
      <c r="B1780" s="6">
        <f>IF($B1779="","",'Daily Sale entry '!B129)</f>
        <v/>
      </c>
      <c r="D1780" t="inlineStr">
        <is>
          <t>c/f petty cash 今日备用金结转</t>
        </is>
      </c>
      <c r="E1780" s="6">
        <f>IF($B1779="","",'Daily Sale entry '!G129)</f>
        <v/>
      </c>
      <c r="H1780" t="inlineStr">
        <is>
          <t>Cash Sales 现金销售</t>
        </is>
      </c>
      <c r="I1780" s="6">
        <f>IF($B1779="","",IF(AND(ABS(B1790)&gt;'Opening Balance'!$B$13,B1790&lt;0),ROUND(B1780-B1790,2),B1780))</f>
        <v/>
      </c>
      <c r="K1780" t="inlineStr">
        <is>
          <t>c/f petty cash 今日备用金结转</t>
        </is>
      </c>
      <c r="L1780" s="6">
        <f>IF($B1779="","",IF(ABS(B1790)&lt;='Opening Balance'!$B$13,ROUND(E1780+B1790,2),E1780))</f>
        <v/>
      </c>
    </row>
    <row r="1781">
      <c r="A1781" t="inlineStr">
        <is>
          <t>Misc Charges 杂项费用</t>
        </is>
      </c>
      <c r="B1781" s="6">
        <f>IF($B1779="","",'Daily Sale entry '!C129)</f>
        <v/>
      </c>
      <c r="D1781" t="inlineStr">
        <is>
          <t>cash collection 现金收款</t>
        </is>
      </c>
      <c r="E1781" s="6">
        <f>IF($B1779="","",'Daily Sale entry '!H129)</f>
        <v/>
      </c>
      <c r="H1781" t="inlineStr">
        <is>
          <t>Misc Charges 杂项费用</t>
        </is>
      </c>
      <c r="I1781" s="6">
        <f>IF($B1779="","",IF(AND(ABS(B1790)&gt;'Opening Balance'!$B$13,B1790&gt;0),ROUND(B1781+B1790,2),B1781))</f>
        <v/>
      </c>
      <c r="K1781" t="inlineStr">
        <is>
          <t>cash collection 现金收款</t>
        </is>
      </c>
      <c r="L1781" s="6">
        <f>IF($B1779="","",E1781)</f>
        <v/>
      </c>
    </row>
    <row r="1782">
      <c r="A1782" s="1" t="inlineStr">
        <is>
          <t>Other Charges 其他费用</t>
        </is>
      </c>
      <c r="B1782" s="9">
        <f>IF($B1779="","",'Daily Sale entry '!D129)</f>
        <v/>
      </c>
      <c r="D1782" s="1" t="inlineStr">
        <is>
          <t>Cheque Collection 支票收款</t>
        </is>
      </c>
      <c r="E1782" s="9">
        <f>IF($B1779="","",'Daily Sale entry '!J129)</f>
        <v/>
      </c>
      <c r="H1782" s="1" t="inlineStr">
        <is>
          <t>Other Charges 其他费用</t>
        </is>
      </c>
      <c r="I1782" s="9">
        <f>IF($B1779="","",B1782)</f>
        <v/>
      </c>
      <c r="K1782" s="1" t="inlineStr">
        <is>
          <t>Cheque Collection 支票收款</t>
        </is>
      </c>
      <c r="L1782" s="9">
        <f>IF($B1779="","",E1782)</f>
        <v/>
      </c>
    </row>
    <row r="1783">
      <c r="A1783" s="10" t="inlineStr">
        <is>
          <t>Amount 金额  (Cash Sales - Misc - Other)</t>
        </is>
      </c>
      <c r="B1783" s="11">
        <f>IF($B1779="","",ROUND(B1780-B1781-B1782,2))</f>
        <v/>
      </c>
      <c r="D1783" s="12" t="inlineStr">
        <is>
          <t>TNG collection TNG收款</t>
        </is>
      </c>
      <c r="E1783" s="13">
        <f>IF($B1779="","",'Daily Sale entry '!K129)</f>
        <v/>
      </c>
      <c r="H1783" s="10" t="inlineStr">
        <is>
          <t>Amount 金额  (Cash Sales - Misc - Other)</t>
        </is>
      </c>
      <c r="I1783" s="11">
        <f>IF($B1779="","",ROUND(I1780-I1781-I1782,2))</f>
        <v/>
      </c>
      <c r="K1783" s="12" t="inlineStr">
        <is>
          <t>TNG collection TNG收款</t>
        </is>
      </c>
      <c r="L1783" s="13">
        <f>IF($B1779="","",E1783)</f>
        <v/>
      </c>
    </row>
    <row r="1784">
      <c r="A1784" t="inlineStr">
        <is>
          <t>Credit Collection 赊账收款</t>
        </is>
      </c>
      <c r="B1784" s="6">
        <f>IF($B1779="","",'Daily Sale entry '!E129)</f>
        <v/>
      </c>
      <c r="D1784" t="inlineStr">
        <is>
          <t>Advance Salary_M 预支薪水_M</t>
        </is>
      </c>
      <c r="E1784" s="6">
        <f>IF($B1779="","",'Daily Sale entry '!L129)</f>
        <v/>
      </c>
      <c r="H1784" t="inlineStr">
        <is>
          <t>Credit Collection 赊账收款</t>
        </is>
      </c>
      <c r="I1784" s="6">
        <f>IF($B1779="","",B1784)</f>
        <v/>
      </c>
      <c r="K1784" t="inlineStr">
        <is>
          <t>Advance Salary_M 预支薪水_M</t>
        </is>
      </c>
      <c r="L1784" s="6">
        <f>IF($B1779="","",E1784)</f>
        <v/>
      </c>
    </row>
    <row r="1785">
      <c r="A1785" s="10" t="inlineStr">
        <is>
          <t>Amount 2 金额2  (Amount + Credit Collection)</t>
        </is>
      </c>
      <c r="B1785" s="11">
        <f>IF($B1779="","",ROUND(B1783+B1784,2))</f>
        <v/>
      </c>
      <c r="D1785" t="inlineStr">
        <is>
          <t>Advance Salary_H 预支薪水_H</t>
        </is>
      </c>
      <c r="E1785" s="6">
        <f>IF($B1779="","",'Daily Sale entry '!M129)</f>
        <v/>
      </c>
      <c r="H1785" s="10" t="inlineStr">
        <is>
          <t>Amount 2 金额2  (Amount + Credit Collection)</t>
        </is>
      </c>
      <c r="I1785" s="11">
        <f>IF($B1779="","",ROUND(I1783+I1784,2))</f>
        <v/>
      </c>
      <c r="K1785" t="inlineStr">
        <is>
          <t>Advance Salary_H 预支薪水_H</t>
        </is>
      </c>
      <c r="L1785" s="6">
        <f>IF($B1779="","",E1785)</f>
        <v/>
      </c>
    </row>
    <row r="1786"/>
    <row r="1787">
      <c r="A1787" s="1" t="inlineStr">
        <is>
          <t>b/f petty cash 上日备用金结转</t>
        </is>
      </c>
      <c r="B1787" s="9">
        <f>IF($B1779="","",'Daily Sale entry '!F129)</f>
        <v/>
      </c>
      <c r="D1787" s="1" t="n"/>
      <c r="E1787" s="1" t="n"/>
      <c r="H1787" s="1" t="inlineStr">
        <is>
          <t>b/f petty cash 上日备用金结转</t>
        </is>
      </c>
      <c r="I1787" s="9">
        <f>IF($B1779="","",B1787)</f>
        <v/>
      </c>
      <c r="K1787" s="1" t="n"/>
      <c r="L1787" s="1" t="n"/>
    </row>
    <row r="1788">
      <c r="A1788" t="inlineStr">
        <is>
          <t>Total (A) 总计 (A)</t>
        </is>
      </c>
      <c r="B1788" s="6">
        <f>IF($B1779="","",ROUND(B1785+B1787,2))</f>
        <v/>
      </c>
      <c r="D1788" t="inlineStr">
        <is>
          <t>Total(B) 总计 (B)</t>
        </is>
      </c>
      <c r="E1788" s="6">
        <f>IF($B1779="","",ROUND(E1780+E1781+E1782+E1783+E1784+E1785,2))</f>
        <v/>
      </c>
      <c r="H1788" t="inlineStr">
        <is>
          <t>Total© 总计 (C)</t>
        </is>
      </c>
      <c r="I1788" s="6">
        <f>IF($B1779="","",ROUND(I1785+I1787,2))</f>
        <v/>
      </c>
      <c r="K1788" t="inlineStr">
        <is>
          <t>Total(D) 总计 (D)</t>
        </is>
      </c>
      <c r="L1788" s="6">
        <f>IF($B1779="","",ROUND(L1780+L1781+L1782+L1783+L1784+L1785,2))</f>
        <v/>
      </c>
    </row>
    <row r="1789">
      <c r="A1789" s="14" t="inlineStr">
        <is>
          <t>Total = Amount 2 + b/f petty cash  (金额2 + 上日备用金)</t>
        </is>
      </c>
      <c r="H1789" s="14" t="inlineStr">
        <is>
          <t>Total = Amount 2 + b/f petty cash  (金额2 + 上日备用金)</t>
        </is>
      </c>
    </row>
    <row r="1790">
      <c r="A1790" t="inlineStr">
        <is>
          <t>Different 差额</t>
        </is>
      </c>
      <c r="B1790" s="6">
        <f>IF($B1779="","",ROUND(B1788-E1788,2))</f>
        <v/>
      </c>
      <c r="D1790">
        <f>IF($B1779="","",IF(ABS(B1790)&gt;'Opening Balance'!$B$16,"ALERT 警报: Different over RM"&amp;'Opening Balance'!$B$16&amp;" 差额超过RM"&amp;'Opening Balance'!$B$16&amp;" - please check 请检查",IF(B1790=0,"Tied 平衡",IF(ABS(B1790)&lt;='Opening Balance'!$B$13,"Small difference 小额差额: adjusted on c/f petty cash 已调整备用金",IF(B1790&gt;0,"Short 短收: added to Misc Charges 已加入杂项费用","Over 多收: added to Cash Sales 已加入现金销售")))))</f>
        <v/>
      </c>
      <c r="H1790" t="inlineStr">
        <is>
          <t>Different 差额</t>
        </is>
      </c>
      <c r="I1790" s="6">
        <f>IF($B1779="","",ROUND(I1788-L1788,2))</f>
        <v/>
      </c>
    </row>
    <row r="1791"/>
    <row r="1792"/>
    <row r="1793">
      <c r="A1793" t="inlineStr">
        <is>
          <t>Date 日期</t>
        </is>
      </c>
      <c r="B1793" s="5">
        <f>IF('Daily Sale entry '!$A130="","",'Daily Sale entry '!$A130)</f>
        <v/>
      </c>
      <c r="H1793" t="inlineStr">
        <is>
          <t>After 调整后 (After)</t>
        </is>
      </c>
      <c r="I1793" s="5">
        <f>IF($B1793="","",B1793)</f>
        <v/>
      </c>
    </row>
    <row r="1794">
      <c r="A1794" t="inlineStr">
        <is>
          <t>Cash Sales 现金销售</t>
        </is>
      </c>
      <c r="B1794" s="6">
        <f>IF($B1793="","",'Daily Sale entry '!B130)</f>
        <v/>
      </c>
      <c r="D1794" t="inlineStr">
        <is>
          <t>c/f petty cash 今日备用金结转</t>
        </is>
      </c>
      <c r="E1794" s="6">
        <f>IF($B1793="","",'Daily Sale entry '!G130)</f>
        <v/>
      </c>
      <c r="H1794" t="inlineStr">
        <is>
          <t>Cash Sales 现金销售</t>
        </is>
      </c>
      <c r="I1794" s="6">
        <f>IF($B1793="","",IF(AND(ABS(B1804)&gt;'Opening Balance'!$B$13,B1804&lt;0),ROUND(B1794-B1804,2),B1794))</f>
        <v/>
      </c>
      <c r="K1794" t="inlineStr">
        <is>
          <t>c/f petty cash 今日备用金结转</t>
        </is>
      </c>
      <c r="L1794" s="6">
        <f>IF($B1793="","",IF(ABS(B1804)&lt;='Opening Balance'!$B$13,ROUND(E1794+B1804,2),E1794))</f>
        <v/>
      </c>
    </row>
    <row r="1795">
      <c r="A1795" t="inlineStr">
        <is>
          <t>Misc Charges 杂项费用</t>
        </is>
      </c>
      <c r="B1795" s="6">
        <f>IF($B1793="","",'Daily Sale entry '!C130)</f>
        <v/>
      </c>
      <c r="D1795" t="inlineStr">
        <is>
          <t>cash collection 现金收款</t>
        </is>
      </c>
      <c r="E1795" s="6">
        <f>IF($B1793="","",'Daily Sale entry '!H130)</f>
        <v/>
      </c>
      <c r="H1795" t="inlineStr">
        <is>
          <t>Misc Charges 杂项费用</t>
        </is>
      </c>
      <c r="I1795" s="6">
        <f>IF($B1793="","",IF(AND(ABS(B1804)&gt;'Opening Balance'!$B$13,B1804&gt;0),ROUND(B1795+B1804,2),B1795))</f>
        <v/>
      </c>
      <c r="K1795" t="inlineStr">
        <is>
          <t>cash collection 现金收款</t>
        </is>
      </c>
      <c r="L1795" s="6">
        <f>IF($B1793="","",E1795)</f>
        <v/>
      </c>
    </row>
    <row r="1796">
      <c r="A1796" s="1" t="inlineStr">
        <is>
          <t>Other Charges 其他费用</t>
        </is>
      </c>
      <c r="B1796" s="9">
        <f>IF($B1793="","",'Daily Sale entry '!D130)</f>
        <v/>
      </c>
      <c r="D1796" s="1" t="inlineStr">
        <is>
          <t>Cheque Collection 支票收款</t>
        </is>
      </c>
      <c r="E1796" s="9">
        <f>IF($B1793="","",'Daily Sale entry '!J130)</f>
        <v/>
      </c>
      <c r="H1796" s="1" t="inlineStr">
        <is>
          <t>Other Charges 其他费用</t>
        </is>
      </c>
      <c r="I1796" s="9">
        <f>IF($B1793="","",B1796)</f>
        <v/>
      </c>
      <c r="K1796" s="1" t="inlineStr">
        <is>
          <t>Cheque Collection 支票收款</t>
        </is>
      </c>
      <c r="L1796" s="9">
        <f>IF($B1793="","",E1796)</f>
        <v/>
      </c>
    </row>
    <row r="1797">
      <c r="A1797" s="10" t="inlineStr">
        <is>
          <t>Amount 金额  (Cash Sales - Misc - Other)</t>
        </is>
      </c>
      <c r="B1797" s="11">
        <f>IF($B1793="","",ROUND(B1794-B1795-B1796,2))</f>
        <v/>
      </c>
      <c r="D1797" s="12" t="inlineStr">
        <is>
          <t>TNG collection TNG收款</t>
        </is>
      </c>
      <c r="E1797" s="13">
        <f>IF($B1793="","",'Daily Sale entry '!K130)</f>
        <v/>
      </c>
      <c r="H1797" s="10" t="inlineStr">
        <is>
          <t>Amount 金额  (Cash Sales - Misc - Other)</t>
        </is>
      </c>
      <c r="I1797" s="11">
        <f>IF($B1793="","",ROUND(I1794-I1795-I1796,2))</f>
        <v/>
      </c>
      <c r="K1797" s="12" t="inlineStr">
        <is>
          <t>TNG collection TNG收款</t>
        </is>
      </c>
      <c r="L1797" s="13">
        <f>IF($B1793="","",E1797)</f>
        <v/>
      </c>
    </row>
    <row r="1798">
      <c r="A1798" t="inlineStr">
        <is>
          <t>Credit Collection 赊账收款</t>
        </is>
      </c>
      <c r="B1798" s="6">
        <f>IF($B1793="","",'Daily Sale entry '!E130)</f>
        <v/>
      </c>
      <c r="D1798" t="inlineStr">
        <is>
          <t>Advance Salary_M 预支薪水_M</t>
        </is>
      </c>
      <c r="E1798" s="6">
        <f>IF($B1793="","",'Daily Sale entry '!L130)</f>
        <v/>
      </c>
      <c r="H1798" t="inlineStr">
        <is>
          <t>Credit Collection 赊账收款</t>
        </is>
      </c>
      <c r="I1798" s="6">
        <f>IF($B1793="","",B1798)</f>
        <v/>
      </c>
      <c r="K1798" t="inlineStr">
        <is>
          <t>Advance Salary_M 预支薪水_M</t>
        </is>
      </c>
      <c r="L1798" s="6">
        <f>IF($B1793="","",E1798)</f>
        <v/>
      </c>
    </row>
    <row r="1799">
      <c r="A1799" s="10" t="inlineStr">
        <is>
          <t>Amount 2 金额2  (Amount + Credit Collection)</t>
        </is>
      </c>
      <c r="B1799" s="11">
        <f>IF($B1793="","",ROUND(B1797+B1798,2))</f>
        <v/>
      </c>
      <c r="D1799" t="inlineStr">
        <is>
          <t>Advance Salary_H 预支薪水_H</t>
        </is>
      </c>
      <c r="E1799" s="6">
        <f>IF($B1793="","",'Daily Sale entry '!M130)</f>
        <v/>
      </c>
      <c r="H1799" s="10" t="inlineStr">
        <is>
          <t>Amount 2 金额2  (Amount + Credit Collection)</t>
        </is>
      </c>
      <c r="I1799" s="11">
        <f>IF($B1793="","",ROUND(I1797+I1798,2))</f>
        <v/>
      </c>
      <c r="K1799" t="inlineStr">
        <is>
          <t>Advance Salary_H 预支薪水_H</t>
        </is>
      </c>
      <c r="L1799" s="6">
        <f>IF($B1793="","",E1799)</f>
        <v/>
      </c>
    </row>
    <row r="1800"/>
    <row r="1801">
      <c r="A1801" s="1" t="inlineStr">
        <is>
          <t>b/f petty cash 上日备用金结转</t>
        </is>
      </c>
      <c r="B1801" s="9">
        <f>IF($B1793="","",'Daily Sale entry '!F130)</f>
        <v/>
      </c>
      <c r="D1801" s="1" t="n"/>
      <c r="E1801" s="1" t="n"/>
      <c r="H1801" s="1" t="inlineStr">
        <is>
          <t>b/f petty cash 上日备用金结转</t>
        </is>
      </c>
      <c r="I1801" s="9">
        <f>IF($B1793="","",B1801)</f>
        <v/>
      </c>
      <c r="K1801" s="1" t="n"/>
      <c r="L1801" s="1" t="n"/>
    </row>
    <row r="1802">
      <c r="A1802" t="inlineStr">
        <is>
          <t>Total (A) 总计 (A)</t>
        </is>
      </c>
      <c r="B1802" s="6">
        <f>IF($B1793="","",ROUND(B1799+B1801,2))</f>
        <v/>
      </c>
      <c r="D1802" t="inlineStr">
        <is>
          <t>Total(B) 总计 (B)</t>
        </is>
      </c>
      <c r="E1802" s="6">
        <f>IF($B1793="","",ROUND(E1794+E1795+E1796+E1797+E1798+E1799,2))</f>
        <v/>
      </c>
      <c r="H1802" t="inlineStr">
        <is>
          <t>Total© 总计 (C)</t>
        </is>
      </c>
      <c r="I1802" s="6">
        <f>IF($B1793="","",ROUND(I1799+I1801,2))</f>
        <v/>
      </c>
      <c r="K1802" t="inlineStr">
        <is>
          <t>Total(D) 总计 (D)</t>
        </is>
      </c>
      <c r="L1802" s="6">
        <f>IF($B1793="","",ROUND(L1794+L1795+L1796+L1797+L1798+L1799,2))</f>
        <v/>
      </c>
    </row>
    <row r="1803">
      <c r="A1803" s="14" t="inlineStr">
        <is>
          <t>Total = Amount 2 + b/f petty cash  (金额2 + 上日备用金)</t>
        </is>
      </c>
      <c r="H1803" s="14" t="inlineStr">
        <is>
          <t>Total = Amount 2 + b/f petty cash  (金额2 + 上日备用金)</t>
        </is>
      </c>
    </row>
    <row r="1804">
      <c r="A1804" t="inlineStr">
        <is>
          <t>Different 差额</t>
        </is>
      </c>
      <c r="B1804" s="6">
        <f>IF($B1793="","",ROUND(B1802-E1802,2))</f>
        <v/>
      </c>
      <c r="D1804">
        <f>IF($B1793="","",IF(ABS(B1804)&gt;'Opening Balance'!$B$16,"ALERT 警报: Different over RM"&amp;'Opening Balance'!$B$16&amp;" 差额超过RM"&amp;'Opening Balance'!$B$16&amp;" - please check 请检查",IF(B1804=0,"Tied 平衡",IF(ABS(B1804)&lt;='Opening Balance'!$B$13,"Small difference 小额差额: adjusted on c/f petty cash 已调整备用金",IF(B1804&gt;0,"Short 短收: added to Misc Charges 已加入杂项费用","Over 多收: added to Cash Sales 已加入现金销售")))))</f>
        <v/>
      </c>
      <c r="H1804" t="inlineStr">
        <is>
          <t>Different 差额</t>
        </is>
      </c>
      <c r="I1804" s="6">
        <f>IF($B1793="","",ROUND(I1802-L1802,2))</f>
        <v/>
      </c>
    </row>
    <row r="1805"/>
    <row r="1806"/>
    <row r="1807">
      <c r="A1807" t="inlineStr">
        <is>
          <t>Date 日期</t>
        </is>
      </c>
      <c r="B1807" s="5">
        <f>IF('Daily Sale entry '!$A131="","",'Daily Sale entry '!$A131)</f>
        <v/>
      </c>
      <c r="H1807" t="inlineStr">
        <is>
          <t>After 调整后 (After)</t>
        </is>
      </c>
      <c r="I1807" s="5">
        <f>IF($B1807="","",B1807)</f>
        <v/>
      </c>
    </row>
    <row r="1808">
      <c r="A1808" t="inlineStr">
        <is>
          <t>Cash Sales 现金销售</t>
        </is>
      </c>
      <c r="B1808" s="6">
        <f>IF($B1807="","",'Daily Sale entry '!B131)</f>
        <v/>
      </c>
      <c r="D1808" t="inlineStr">
        <is>
          <t>c/f petty cash 今日备用金结转</t>
        </is>
      </c>
      <c r="E1808" s="6">
        <f>IF($B1807="","",'Daily Sale entry '!G131)</f>
        <v/>
      </c>
      <c r="H1808" t="inlineStr">
        <is>
          <t>Cash Sales 现金销售</t>
        </is>
      </c>
      <c r="I1808" s="6">
        <f>IF($B1807="","",IF(AND(ABS(B1818)&gt;'Opening Balance'!$B$13,B1818&lt;0),ROUND(B1808-B1818,2),B1808))</f>
        <v/>
      </c>
      <c r="K1808" t="inlineStr">
        <is>
          <t>c/f petty cash 今日备用金结转</t>
        </is>
      </c>
      <c r="L1808" s="6">
        <f>IF($B1807="","",IF(ABS(B1818)&lt;='Opening Balance'!$B$13,ROUND(E1808+B1818,2),E1808))</f>
        <v/>
      </c>
    </row>
    <row r="1809">
      <c r="A1809" t="inlineStr">
        <is>
          <t>Misc Charges 杂项费用</t>
        </is>
      </c>
      <c r="B1809" s="6">
        <f>IF($B1807="","",'Daily Sale entry '!C131)</f>
        <v/>
      </c>
      <c r="D1809" t="inlineStr">
        <is>
          <t>cash collection 现金收款</t>
        </is>
      </c>
      <c r="E1809" s="6">
        <f>IF($B1807="","",'Daily Sale entry '!H131)</f>
        <v/>
      </c>
      <c r="H1809" t="inlineStr">
        <is>
          <t>Misc Charges 杂项费用</t>
        </is>
      </c>
      <c r="I1809" s="6">
        <f>IF($B1807="","",IF(AND(ABS(B1818)&gt;'Opening Balance'!$B$13,B1818&gt;0),ROUND(B1809+B1818,2),B1809))</f>
        <v/>
      </c>
      <c r="K1809" t="inlineStr">
        <is>
          <t>cash collection 现金收款</t>
        </is>
      </c>
      <c r="L1809" s="6">
        <f>IF($B1807="","",E1809)</f>
        <v/>
      </c>
    </row>
    <row r="1810">
      <c r="A1810" s="1" t="inlineStr">
        <is>
          <t>Other Charges 其他费用</t>
        </is>
      </c>
      <c r="B1810" s="9">
        <f>IF($B1807="","",'Daily Sale entry '!D131)</f>
        <v/>
      </c>
      <c r="D1810" s="1" t="inlineStr">
        <is>
          <t>Cheque Collection 支票收款</t>
        </is>
      </c>
      <c r="E1810" s="9">
        <f>IF($B1807="","",'Daily Sale entry '!J131)</f>
        <v/>
      </c>
      <c r="H1810" s="1" t="inlineStr">
        <is>
          <t>Other Charges 其他费用</t>
        </is>
      </c>
      <c r="I1810" s="9">
        <f>IF($B1807="","",B1810)</f>
        <v/>
      </c>
      <c r="K1810" s="1" t="inlineStr">
        <is>
          <t>Cheque Collection 支票收款</t>
        </is>
      </c>
      <c r="L1810" s="9">
        <f>IF($B1807="","",E1810)</f>
        <v/>
      </c>
    </row>
    <row r="1811">
      <c r="A1811" s="10" t="inlineStr">
        <is>
          <t>Amount 金额  (Cash Sales - Misc - Other)</t>
        </is>
      </c>
      <c r="B1811" s="11">
        <f>IF($B1807="","",ROUND(B1808-B1809-B1810,2))</f>
        <v/>
      </c>
      <c r="D1811" s="12" t="inlineStr">
        <is>
          <t>TNG collection TNG收款</t>
        </is>
      </c>
      <c r="E1811" s="13">
        <f>IF($B1807="","",'Daily Sale entry '!K131)</f>
        <v/>
      </c>
      <c r="H1811" s="10" t="inlineStr">
        <is>
          <t>Amount 金额  (Cash Sales - Misc - Other)</t>
        </is>
      </c>
      <c r="I1811" s="11">
        <f>IF($B1807="","",ROUND(I1808-I1809-I1810,2))</f>
        <v/>
      </c>
      <c r="K1811" s="12" t="inlineStr">
        <is>
          <t>TNG collection TNG收款</t>
        </is>
      </c>
      <c r="L1811" s="13">
        <f>IF($B1807="","",E1811)</f>
        <v/>
      </c>
    </row>
    <row r="1812">
      <c r="A1812" t="inlineStr">
        <is>
          <t>Credit Collection 赊账收款</t>
        </is>
      </c>
      <c r="B1812" s="6">
        <f>IF($B1807="","",'Daily Sale entry '!E131)</f>
        <v/>
      </c>
      <c r="D1812" t="inlineStr">
        <is>
          <t>Advance Salary_M 预支薪水_M</t>
        </is>
      </c>
      <c r="E1812" s="6">
        <f>IF($B1807="","",'Daily Sale entry '!L131)</f>
        <v/>
      </c>
      <c r="H1812" t="inlineStr">
        <is>
          <t>Credit Collection 赊账收款</t>
        </is>
      </c>
      <c r="I1812" s="6">
        <f>IF($B1807="","",B1812)</f>
        <v/>
      </c>
      <c r="K1812" t="inlineStr">
        <is>
          <t>Advance Salary_M 预支薪水_M</t>
        </is>
      </c>
      <c r="L1812" s="6">
        <f>IF($B1807="","",E1812)</f>
        <v/>
      </c>
    </row>
    <row r="1813">
      <c r="A1813" s="10" t="inlineStr">
        <is>
          <t>Amount 2 金额2  (Amount + Credit Collection)</t>
        </is>
      </c>
      <c r="B1813" s="11">
        <f>IF($B1807="","",ROUND(B1811+B1812,2))</f>
        <v/>
      </c>
      <c r="D1813" t="inlineStr">
        <is>
          <t>Advance Salary_H 预支薪水_H</t>
        </is>
      </c>
      <c r="E1813" s="6">
        <f>IF($B1807="","",'Daily Sale entry '!M131)</f>
        <v/>
      </c>
      <c r="H1813" s="10" t="inlineStr">
        <is>
          <t>Amount 2 金额2  (Amount + Credit Collection)</t>
        </is>
      </c>
      <c r="I1813" s="11">
        <f>IF($B1807="","",ROUND(I1811+I1812,2))</f>
        <v/>
      </c>
      <c r="K1813" t="inlineStr">
        <is>
          <t>Advance Salary_H 预支薪水_H</t>
        </is>
      </c>
      <c r="L1813" s="6">
        <f>IF($B1807="","",E1813)</f>
        <v/>
      </c>
    </row>
    <row r="1814"/>
    <row r="1815">
      <c r="A1815" s="1" t="inlineStr">
        <is>
          <t>b/f petty cash 上日备用金结转</t>
        </is>
      </c>
      <c r="B1815" s="9">
        <f>IF($B1807="","",'Daily Sale entry '!F131)</f>
        <v/>
      </c>
      <c r="D1815" s="1" t="n"/>
      <c r="E1815" s="1" t="n"/>
      <c r="H1815" s="1" t="inlineStr">
        <is>
          <t>b/f petty cash 上日备用金结转</t>
        </is>
      </c>
      <c r="I1815" s="9">
        <f>IF($B1807="","",B1815)</f>
        <v/>
      </c>
      <c r="K1815" s="1" t="n"/>
      <c r="L1815" s="1" t="n"/>
    </row>
    <row r="1816">
      <c r="A1816" t="inlineStr">
        <is>
          <t>Total (A) 总计 (A)</t>
        </is>
      </c>
      <c r="B1816" s="6">
        <f>IF($B1807="","",ROUND(B1813+B1815,2))</f>
        <v/>
      </c>
      <c r="D1816" t="inlineStr">
        <is>
          <t>Total(B) 总计 (B)</t>
        </is>
      </c>
      <c r="E1816" s="6">
        <f>IF($B1807="","",ROUND(E1808+E1809+E1810+E1811+E1812+E1813,2))</f>
        <v/>
      </c>
      <c r="H1816" t="inlineStr">
        <is>
          <t>Total© 总计 (C)</t>
        </is>
      </c>
      <c r="I1816" s="6">
        <f>IF($B1807="","",ROUND(I1813+I1815,2))</f>
        <v/>
      </c>
      <c r="K1816" t="inlineStr">
        <is>
          <t>Total(D) 总计 (D)</t>
        </is>
      </c>
      <c r="L1816" s="6">
        <f>IF($B1807="","",ROUND(L1808+L1809+L1810+L1811+L1812+L1813,2))</f>
        <v/>
      </c>
    </row>
    <row r="1817">
      <c r="A1817" s="14" t="inlineStr">
        <is>
          <t>Total = Amount 2 + b/f petty cash  (金额2 + 上日备用金)</t>
        </is>
      </c>
      <c r="H1817" s="14" t="inlineStr">
        <is>
          <t>Total = Amount 2 + b/f petty cash  (金额2 + 上日备用金)</t>
        </is>
      </c>
    </row>
    <row r="1818">
      <c r="A1818" t="inlineStr">
        <is>
          <t>Different 差额</t>
        </is>
      </c>
      <c r="B1818" s="6">
        <f>IF($B1807="","",ROUND(B1816-E1816,2))</f>
        <v/>
      </c>
      <c r="D1818">
        <f>IF($B1807="","",IF(ABS(B1818)&gt;'Opening Balance'!$B$16,"ALERT 警报: Different over RM"&amp;'Opening Balance'!$B$16&amp;" 差额超过RM"&amp;'Opening Balance'!$B$16&amp;" - please check 请检查",IF(B1818=0,"Tied 平衡",IF(ABS(B1818)&lt;='Opening Balance'!$B$13,"Small difference 小额差额: adjusted on c/f petty cash 已调整备用金",IF(B1818&gt;0,"Short 短收: added to Misc Charges 已加入杂项费用","Over 多收: added to Cash Sales 已加入现金销售")))))</f>
        <v/>
      </c>
      <c r="H1818" t="inlineStr">
        <is>
          <t>Different 差额</t>
        </is>
      </c>
      <c r="I1818" s="6">
        <f>IF($B1807="","",ROUND(I1816-L1816,2))</f>
        <v/>
      </c>
    </row>
    <row r="1819"/>
    <row r="1820"/>
    <row r="1821">
      <c r="A1821" t="inlineStr">
        <is>
          <t>Date 日期</t>
        </is>
      </c>
      <c r="B1821" s="5">
        <f>IF('Daily Sale entry '!$A132="","",'Daily Sale entry '!$A132)</f>
        <v/>
      </c>
      <c r="H1821" t="inlineStr">
        <is>
          <t>After 调整后 (After)</t>
        </is>
      </c>
      <c r="I1821" s="5">
        <f>IF($B1821="","",B1821)</f>
        <v/>
      </c>
    </row>
    <row r="1822">
      <c r="A1822" t="inlineStr">
        <is>
          <t>Cash Sales 现金销售</t>
        </is>
      </c>
      <c r="B1822" s="6">
        <f>IF($B1821="","",'Daily Sale entry '!B132)</f>
        <v/>
      </c>
      <c r="D1822" t="inlineStr">
        <is>
          <t>c/f petty cash 今日备用金结转</t>
        </is>
      </c>
      <c r="E1822" s="6">
        <f>IF($B1821="","",'Daily Sale entry '!G132)</f>
        <v/>
      </c>
      <c r="H1822" t="inlineStr">
        <is>
          <t>Cash Sales 现金销售</t>
        </is>
      </c>
      <c r="I1822" s="6">
        <f>IF($B1821="","",IF(AND(ABS(B1832)&gt;'Opening Balance'!$B$13,B1832&lt;0),ROUND(B1822-B1832,2),B1822))</f>
        <v/>
      </c>
      <c r="K1822" t="inlineStr">
        <is>
          <t>c/f petty cash 今日备用金结转</t>
        </is>
      </c>
      <c r="L1822" s="6">
        <f>IF($B1821="","",IF(ABS(B1832)&lt;='Opening Balance'!$B$13,ROUND(E1822+B1832,2),E1822))</f>
        <v/>
      </c>
    </row>
    <row r="1823">
      <c r="A1823" t="inlineStr">
        <is>
          <t>Misc Charges 杂项费用</t>
        </is>
      </c>
      <c r="B1823" s="6">
        <f>IF($B1821="","",'Daily Sale entry '!C132)</f>
        <v/>
      </c>
      <c r="D1823" t="inlineStr">
        <is>
          <t>cash collection 现金收款</t>
        </is>
      </c>
      <c r="E1823" s="6">
        <f>IF($B1821="","",'Daily Sale entry '!H132)</f>
        <v/>
      </c>
      <c r="H1823" t="inlineStr">
        <is>
          <t>Misc Charges 杂项费用</t>
        </is>
      </c>
      <c r="I1823" s="6">
        <f>IF($B1821="","",IF(AND(ABS(B1832)&gt;'Opening Balance'!$B$13,B1832&gt;0),ROUND(B1823+B1832,2),B1823))</f>
        <v/>
      </c>
      <c r="K1823" t="inlineStr">
        <is>
          <t>cash collection 现金收款</t>
        </is>
      </c>
      <c r="L1823" s="6">
        <f>IF($B1821="","",E1823)</f>
        <v/>
      </c>
    </row>
    <row r="1824">
      <c r="A1824" s="1" t="inlineStr">
        <is>
          <t>Other Charges 其他费用</t>
        </is>
      </c>
      <c r="B1824" s="9">
        <f>IF($B1821="","",'Daily Sale entry '!D132)</f>
        <v/>
      </c>
      <c r="D1824" s="1" t="inlineStr">
        <is>
          <t>Cheque Collection 支票收款</t>
        </is>
      </c>
      <c r="E1824" s="9">
        <f>IF($B1821="","",'Daily Sale entry '!J132)</f>
        <v/>
      </c>
      <c r="H1824" s="1" t="inlineStr">
        <is>
          <t>Other Charges 其他费用</t>
        </is>
      </c>
      <c r="I1824" s="9">
        <f>IF($B1821="","",B1824)</f>
        <v/>
      </c>
      <c r="K1824" s="1" t="inlineStr">
        <is>
          <t>Cheque Collection 支票收款</t>
        </is>
      </c>
      <c r="L1824" s="9">
        <f>IF($B1821="","",E1824)</f>
        <v/>
      </c>
    </row>
    <row r="1825">
      <c r="A1825" s="10" t="inlineStr">
        <is>
          <t>Amount 金额  (Cash Sales - Misc - Other)</t>
        </is>
      </c>
      <c r="B1825" s="11">
        <f>IF($B1821="","",ROUND(B1822-B1823-B1824,2))</f>
        <v/>
      </c>
      <c r="D1825" s="12" t="inlineStr">
        <is>
          <t>TNG collection TNG收款</t>
        </is>
      </c>
      <c r="E1825" s="13">
        <f>IF($B1821="","",'Daily Sale entry '!K132)</f>
        <v/>
      </c>
      <c r="H1825" s="10" t="inlineStr">
        <is>
          <t>Amount 金额  (Cash Sales - Misc - Other)</t>
        </is>
      </c>
      <c r="I1825" s="11">
        <f>IF($B1821="","",ROUND(I1822-I1823-I1824,2))</f>
        <v/>
      </c>
      <c r="K1825" s="12" t="inlineStr">
        <is>
          <t>TNG collection TNG收款</t>
        </is>
      </c>
      <c r="L1825" s="13">
        <f>IF($B1821="","",E1825)</f>
        <v/>
      </c>
    </row>
    <row r="1826">
      <c r="A1826" t="inlineStr">
        <is>
          <t>Credit Collection 赊账收款</t>
        </is>
      </c>
      <c r="B1826" s="6">
        <f>IF($B1821="","",'Daily Sale entry '!E132)</f>
        <v/>
      </c>
      <c r="D1826" t="inlineStr">
        <is>
          <t>Advance Salary_M 预支薪水_M</t>
        </is>
      </c>
      <c r="E1826" s="6">
        <f>IF($B1821="","",'Daily Sale entry '!L132)</f>
        <v/>
      </c>
      <c r="H1826" t="inlineStr">
        <is>
          <t>Credit Collection 赊账收款</t>
        </is>
      </c>
      <c r="I1826" s="6">
        <f>IF($B1821="","",B1826)</f>
        <v/>
      </c>
      <c r="K1826" t="inlineStr">
        <is>
          <t>Advance Salary_M 预支薪水_M</t>
        </is>
      </c>
      <c r="L1826" s="6">
        <f>IF($B1821="","",E1826)</f>
        <v/>
      </c>
    </row>
    <row r="1827">
      <c r="A1827" s="10" t="inlineStr">
        <is>
          <t>Amount 2 金额2  (Amount + Credit Collection)</t>
        </is>
      </c>
      <c r="B1827" s="11">
        <f>IF($B1821="","",ROUND(B1825+B1826,2))</f>
        <v/>
      </c>
      <c r="D1827" t="inlineStr">
        <is>
          <t>Advance Salary_H 预支薪水_H</t>
        </is>
      </c>
      <c r="E1827" s="6">
        <f>IF($B1821="","",'Daily Sale entry '!M132)</f>
        <v/>
      </c>
      <c r="H1827" s="10" t="inlineStr">
        <is>
          <t>Amount 2 金额2  (Amount + Credit Collection)</t>
        </is>
      </c>
      <c r="I1827" s="11">
        <f>IF($B1821="","",ROUND(I1825+I1826,2))</f>
        <v/>
      </c>
      <c r="K1827" t="inlineStr">
        <is>
          <t>Advance Salary_H 预支薪水_H</t>
        </is>
      </c>
      <c r="L1827" s="6">
        <f>IF($B1821="","",E1827)</f>
        <v/>
      </c>
    </row>
    <row r="1828"/>
    <row r="1829">
      <c r="A1829" s="1" t="inlineStr">
        <is>
          <t>b/f petty cash 上日备用金结转</t>
        </is>
      </c>
      <c r="B1829" s="9">
        <f>IF($B1821="","",'Daily Sale entry '!F132)</f>
        <v/>
      </c>
      <c r="D1829" s="1" t="n"/>
      <c r="E1829" s="1" t="n"/>
      <c r="H1829" s="1" t="inlineStr">
        <is>
          <t>b/f petty cash 上日备用金结转</t>
        </is>
      </c>
      <c r="I1829" s="9">
        <f>IF($B1821="","",B1829)</f>
        <v/>
      </c>
      <c r="K1829" s="1" t="n"/>
      <c r="L1829" s="1" t="n"/>
    </row>
    <row r="1830">
      <c r="A1830" t="inlineStr">
        <is>
          <t>Total (A) 总计 (A)</t>
        </is>
      </c>
      <c r="B1830" s="6">
        <f>IF($B1821="","",ROUND(B1827+B1829,2))</f>
        <v/>
      </c>
      <c r="D1830" t="inlineStr">
        <is>
          <t>Total(B) 总计 (B)</t>
        </is>
      </c>
      <c r="E1830" s="6">
        <f>IF($B1821="","",ROUND(E1822+E1823+E1824+E1825+E1826+E1827,2))</f>
        <v/>
      </c>
      <c r="H1830" t="inlineStr">
        <is>
          <t>Total© 总计 (C)</t>
        </is>
      </c>
      <c r="I1830" s="6">
        <f>IF($B1821="","",ROUND(I1827+I1829,2))</f>
        <v/>
      </c>
      <c r="K1830" t="inlineStr">
        <is>
          <t>Total(D) 总计 (D)</t>
        </is>
      </c>
      <c r="L1830" s="6">
        <f>IF($B1821="","",ROUND(L1822+L1823+L1824+L1825+L1826+L1827,2))</f>
        <v/>
      </c>
    </row>
    <row r="1831">
      <c r="A1831" s="14" t="inlineStr">
        <is>
          <t>Total = Amount 2 + b/f petty cash  (金额2 + 上日备用金)</t>
        </is>
      </c>
      <c r="H1831" s="14" t="inlineStr">
        <is>
          <t>Total = Amount 2 + b/f petty cash  (金额2 + 上日备用金)</t>
        </is>
      </c>
    </row>
    <row r="1832">
      <c r="A1832" t="inlineStr">
        <is>
          <t>Different 差额</t>
        </is>
      </c>
      <c r="B1832" s="6">
        <f>IF($B1821="","",ROUND(B1830-E1830,2))</f>
        <v/>
      </c>
      <c r="D1832">
        <f>IF($B1821="","",IF(ABS(B1832)&gt;'Opening Balance'!$B$16,"ALERT 警报: Different over RM"&amp;'Opening Balance'!$B$16&amp;" 差额超过RM"&amp;'Opening Balance'!$B$16&amp;" - please check 请检查",IF(B1832=0,"Tied 平衡",IF(ABS(B1832)&lt;='Opening Balance'!$B$13,"Small difference 小额差额: adjusted on c/f petty cash 已调整备用金",IF(B1832&gt;0,"Short 短收: added to Misc Charges 已加入杂项费用","Over 多收: added to Cash Sales 已加入现金销售")))))</f>
        <v/>
      </c>
      <c r="H1832" t="inlineStr">
        <is>
          <t>Different 差额</t>
        </is>
      </c>
      <c r="I1832" s="6">
        <f>IF($B1821="","",ROUND(I1830-L1830,2))</f>
        <v/>
      </c>
    </row>
    <row r="1833"/>
    <row r="1834"/>
    <row r="1835">
      <c r="A1835" t="inlineStr">
        <is>
          <t>Date 日期</t>
        </is>
      </c>
      <c r="B1835" s="5">
        <f>IF('Daily Sale entry '!$A133="","",'Daily Sale entry '!$A133)</f>
        <v/>
      </c>
      <c r="H1835" t="inlineStr">
        <is>
          <t>After 调整后 (After)</t>
        </is>
      </c>
      <c r="I1835" s="5">
        <f>IF($B1835="","",B1835)</f>
        <v/>
      </c>
    </row>
    <row r="1836">
      <c r="A1836" t="inlineStr">
        <is>
          <t>Cash Sales 现金销售</t>
        </is>
      </c>
      <c r="B1836" s="6">
        <f>IF($B1835="","",'Daily Sale entry '!B133)</f>
        <v/>
      </c>
      <c r="D1836" t="inlineStr">
        <is>
          <t>c/f petty cash 今日备用金结转</t>
        </is>
      </c>
      <c r="E1836" s="6">
        <f>IF($B1835="","",'Daily Sale entry '!G133)</f>
        <v/>
      </c>
      <c r="H1836" t="inlineStr">
        <is>
          <t>Cash Sales 现金销售</t>
        </is>
      </c>
      <c r="I1836" s="6">
        <f>IF($B1835="","",IF(AND(ABS(B1846)&gt;'Opening Balance'!$B$13,B1846&lt;0),ROUND(B1836-B1846,2),B1836))</f>
        <v/>
      </c>
      <c r="K1836" t="inlineStr">
        <is>
          <t>c/f petty cash 今日备用金结转</t>
        </is>
      </c>
      <c r="L1836" s="6">
        <f>IF($B1835="","",IF(ABS(B1846)&lt;='Opening Balance'!$B$13,ROUND(E1836+B1846,2),E1836))</f>
        <v/>
      </c>
    </row>
    <row r="1837">
      <c r="A1837" t="inlineStr">
        <is>
          <t>Misc Charges 杂项费用</t>
        </is>
      </c>
      <c r="B1837" s="6">
        <f>IF($B1835="","",'Daily Sale entry '!C133)</f>
        <v/>
      </c>
      <c r="D1837" t="inlineStr">
        <is>
          <t>cash collection 现金收款</t>
        </is>
      </c>
      <c r="E1837" s="6">
        <f>IF($B1835="","",'Daily Sale entry '!H133)</f>
        <v/>
      </c>
      <c r="H1837" t="inlineStr">
        <is>
          <t>Misc Charges 杂项费用</t>
        </is>
      </c>
      <c r="I1837" s="6">
        <f>IF($B1835="","",IF(AND(ABS(B1846)&gt;'Opening Balance'!$B$13,B1846&gt;0),ROUND(B1837+B1846,2),B1837))</f>
        <v/>
      </c>
      <c r="K1837" t="inlineStr">
        <is>
          <t>cash collection 现金收款</t>
        </is>
      </c>
      <c r="L1837" s="6">
        <f>IF($B1835="","",E1837)</f>
        <v/>
      </c>
    </row>
    <row r="1838">
      <c r="A1838" s="1" t="inlineStr">
        <is>
          <t>Other Charges 其他费用</t>
        </is>
      </c>
      <c r="B1838" s="9">
        <f>IF($B1835="","",'Daily Sale entry '!D133)</f>
        <v/>
      </c>
      <c r="D1838" s="1" t="inlineStr">
        <is>
          <t>Cheque Collection 支票收款</t>
        </is>
      </c>
      <c r="E1838" s="9">
        <f>IF($B1835="","",'Daily Sale entry '!J133)</f>
        <v/>
      </c>
      <c r="H1838" s="1" t="inlineStr">
        <is>
          <t>Other Charges 其他费用</t>
        </is>
      </c>
      <c r="I1838" s="9">
        <f>IF($B1835="","",B1838)</f>
        <v/>
      </c>
      <c r="K1838" s="1" t="inlineStr">
        <is>
          <t>Cheque Collection 支票收款</t>
        </is>
      </c>
      <c r="L1838" s="9">
        <f>IF($B1835="","",E1838)</f>
        <v/>
      </c>
    </row>
    <row r="1839">
      <c r="A1839" s="10" t="inlineStr">
        <is>
          <t>Amount 金额  (Cash Sales - Misc - Other)</t>
        </is>
      </c>
      <c r="B1839" s="11">
        <f>IF($B1835="","",ROUND(B1836-B1837-B1838,2))</f>
        <v/>
      </c>
      <c r="D1839" s="12" t="inlineStr">
        <is>
          <t>TNG collection TNG收款</t>
        </is>
      </c>
      <c r="E1839" s="13">
        <f>IF($B1835="","",'Daily Sale entry '!K133)</f>
        <v/>
      </c>
      <c r="H1839" s="10" t="inlineStr">
        <is>
          <t>Amount 金额  (Cash Sales - Misc - Other)</t>
        </is>
      </c>
      <c r="I1839" s="11">
        <f>IF($B1835="","",ROUND(I1836-I1837-I1838,2))</f>
        <v/>
      </c>
      <c r="K1839" s="12" t="inlineStr">
        <is>
          <t>TNG collection TNG收款</t>
        </is>
      </c>
      <c r="L1839" s="13">
        <f>IF($B1835="","",E1839)</f>
        <v/>
      </c>
    </row>
    <row r="1840">
      <c r="A1840" t="inlineStr">
        <is>
          <t>Credit Collection 赊账收款</t>
        </is>
      </c>
      <c r="B1840" s="6">
        <f>IF($B1835="","",'Daily Sale entry '!E133)</f>
        <v/>
      </c>
      <c r="D1840" t="inlineStr">
        <is>
          <t>Advance Salary_M 预支薪水_M</t>
        </is>
      </c>
      <c r="E1840" s="6">
        <f>IF($B1835="","",'Daily Sale entry '!L133)</f>
        <v/>
      </c>
      <c r="H1840" t="inlineStr">
        <is>
          <t>Credit Collection 赊账收款</t>
        </is>
      </c>
      <c r="I1840" s="6">
        <f>IF($B1835="","",B1840)</f>
        <v/>
      </c>
      <c r="K1840" t="inlineStr">
        <is>
          <t>Advance Salary_M 预支薪水_M</t>
        </is>
      </c>
      <c r="L1840" s="6">
        <f>IF($B1835="","",E1840)</f>
        <v/>
      </c>
    </row>
    <row r="1841">
      <c r="A1841" s="10" t="inlineStr">
        <is>
          <t>Amount 2 金额2  (Amount + Credit Collection)</t>
        </is>
      </c>
      <c r="B1841" s="11">
        <f>IF($B1835="","",ROUND(B1839+B1840,2))</f>
        <v/>
      </c>
      <c r="D1841" t="inlineStr">
        <is>
          <t>Advance Salary_H 预支薪水_H</t>
        </is>
      </c>
      <c r="E1841" s="6">
        <f>IF($B1835="","",'Daily Sale entry '!M133)</f>
        <v/>
      </c>
      <c r="H1841" s="10" t="inlineStr">
        <is>
          <t>Amount 2 金额2  (Amount + Credit Collection)</t>
        </is>
      </c>
      <c r="I1841" s="11">
        <f>IF($B1835="","",ROUND(I1839+I1840,2))</f>
        <v/>
      </c>
      <c r="K1841" t="inlineStr">
        <is>
          <t>Advance Salary_H 预支薪水_H</t>
        </is>
      </c>
      <c r="L1841" s="6">
        <f>IF($B1835="","",E1841)</f>
        <v/>
      </c>
    </row>
    <row r="1842"/>
    <row r="1843">
      <c r="A1843" s="1" t="inlineStr">
        <is>
          <t>b/f petty cash 上日备用金结转</t>
        </is>
      </c>
      <c r="B1843" s="9">
        <f>IF($B1835="","",'Daily Sale entry '!F133)</f>
        <v/>
      </c>
      <c r="D1843" s="1" t="n"/>
      <c r="E1843" s="1" t="n"/>
      <c r="H1843" s="1" t="inlineStr">
        <is>
          <t>b/f petty cash 上日备用金结转</t>
        </is>
      </c>
      <c r="I1843" s="9">
        <f>IF($B1835="","",B1843)</f>
        <v/>
      </c>
      <c r="K1843" s="1" t="n"/>
      <c r="L1843" s="1" t="n"/>
    </row>
    <row r="1844">
      <c r="A1844" t="inlineStr">
        <is>
          <t>Total (A) 总计 (A)</t>
        </is>
      </c>
      <c r="B1844" s="6">
        <f>IF($B1835="","",ROUND(B1841+B1843,2))</f>
        <v/>
      </c>
      <c r="D1844" t="inlineStr">
        <is>
          <t>Total(B) 总计 (B)</t>
        </is>
      </c>
      <c r="E1844" s="6">
        <f>IF($B1835="","",ROUND(E1836+E1837+E1838+E1839+E1840+E1841,2))</f>
        <v/>
      </c>
      <c r="H1844" t="inlineStr">
        <is>
          <t>Total© 总计 (C)</t>
        </is>
      </c>
      <c r="I1844" s="6">
        <f>IF($B1835="","",ROUND(I1841+I1843,2))</f>
        <v/>
      </c>
      <c r="K1844" t="inlineStr">
        <is>
          <t>Total(D) 总计 (D)</t>
        </is>
      </c>
      <c r="L1844" s="6">
        <f>IF($B1835="","",ROUND(L1836+L1837+L1838+L1839+L1840+L1841,2))</f>
        <v/>
      </c>
    </row>
    <row r="1845">
      <c r="A1845" s="14" t="inlineStr">
        <is>
          <t>Total = Amount 2 + b/f petty cash  (金额2 + 上日备用金)</t>
        </is>
      </c>
      <c r="H1845" s="14" t="inlineStr">
        <is>
          <t>Total = Amount 2 + b/f petty cash  (金额2 + 上日备用金)</t>
        </is>
      </c>
    </row>
    <row r="1846">
      <c r="A1846" t="inlineStr">
        <is>
          <t>Different 差额</t>
        </is>
      </c>
      <c r="B1846" s="6">
        <f>IF($B1835="","",ROUND(B1844-E1844,2))</f>
        <v/>
      </c>
      <c r="D1846">
        <f>IF($B1835="","",IF(ABS(B1846)&gt;'Opening Balance'!$B$16,"ALERT 警报: Different over RM"&amp;'Opening Balance'!$B$16&amp;" 差额超过RM"&amp;'Opening Balance'!$B$16&amp;" - please check 请检查",IF(B1846=0,"Tied 平衡",IF(ABS(B1846)&lt;='Opening Balance'!$B$13,"Small difference 小额差额: adjusted on c/f petty cash 已调整备用金",IF(B1846&gt;0,"Short 短收: added to Misc Charges 已加入杂项费用","Over 多收: added to Cash Sales 已加入现金销售")))))</f>
        <v/>
      </c>
      <c r="H1846" t="inlineStr">
        <is>
          <t>Different 差额</t>
        </is>
      </c>
      <c r="I1846" s="6">
        <f>IF($B1835="","",ROUND(I1844-L1844,2))</f>
        <v/>
      </c>
    </row>
    <row r="1847"/>
    <row r="1848"/>
    <row r="1849">
      <c r="A1849" t="inlineStr">
        <is>
          <t>Date 日期</t>
        </is>
      </c>
      <c r="B1849" s="5">
        <f>IF('Daily Sale entry '!$A134="","",'Daily Sale entry '!$A134)</f>
        <v/>
      </c>
      <c r="H1849" t="inlineStr">
        <is>
          <t>After 调整后 (After)</t>
        </is>
      </c>
      <c r="I1849" s="5">
        <f>IF($B1849="","",B1849)</f>
        <v/>
      </c>
    </row>
    <row r="1850">
      <c r="A1850" t="inlineStr">
        <is>
          <t>Cash Sales 现金销售</t>
        </is>
      </c>
      <c r="B1850" s="6">
        <f>IF($B1849="","",'Daily Sale entry '!B134)</f>
        <v/>
      </c>
      <c r="D1850" t="inlineStr">
        <is>
          <t>c/f petty cash 今日备用金结转</t>
        </is>
      </c>
      <c r="E1850" s="6">
        <f>IF($B1849="","",'Daily Sale entry '!G134)</f>
        <v/>
      </c>
      <c r="H1850" t="inlineStr">
        <is>
          <t>Cash Sales 现金销售</t>
        </is>
      </c>
      <c r="I1850" s="6">
        <f>IF($B1849="","",IF(AND(ABS(B1860)&gt;'Opening Balance'!$B$13,B1860&lt;0),ROUND(B1850-B1860,2),B1850))</f>
        <v/>
      </c>
      <c r="K1850" t="inlineStr">
        <is>
          <t>c/f petty cash 今日备用金结转</t>
        </is>
      </c>
      <c r="L1850" s="6">
        <f>IF($B1849="","",IF(ABS(B1860)&lt;='Opening Balance'!$B$13,ROUND(E1850+B1860,2),E1850))</f>
        <v/>
      </c>
    </row>
    <row r="1851">
      <c r="A1851" t="inlineStr">
        <is>
          <t>Misc Charges 杂项费用</t>
        </is>
      </c>
      <c r="B1851" s="6">
        <f>IF($B1849="","",'Daily Sale entry '!C134)</f>
        <v/>
      </c>
      <c r="D1851" t="inlineStr">
        <is>
          <t>cash collection 现金收款</t>
        </is>
      </c>
      <c r="E1851" s="6">
        <f>IF($B1849="","",'Daily Sale entry '!H134)</f>
        <v/>
      </c>
      <c r="H1851" t="inlineStr">
        <is>
          <t>Misc Charges 杂项费用</t>
        </is>
      </c>
      <c r="I1851" s="6">
        <f>IF($B1849="","",IF(AND(ABS(B1860)&gt;'Opening Balance'!$B$13,B1860&gt;0),ROUND(B1851+B1860,2),B1851))</f>
        <v/>
      </c>
      <c r="K1851" t="inlineStr">
        <is>
          <t>cash collection 现金收款</t>
        </is>
      </c>
      <c r="L1851" s="6">
        <f>IF($B1849="","",E1851)</f>
        <v/>
      </c>
    </row>
    <row r="1852">
      <c r="A1852" s="1" t="inlineStr">
        <is>
          <t>Other Charges 其他费用</t>
        </is>
      </c>
      <c r="B1852" s="9">
        <f>IF($B1849="","",'Daily Sale entry '!D134)</f>
        <v/>
      </c>
      <c r="D1852" s="1" t="inlineStr">
        <is>
          <t>Cheque Collection 支票收款</t>
        </is>
      </c>
      <c r="E1852" s="9">
        <f>IF($B1849="","",'Daily Sale entry '!J134)</f>
        <v/>
      </c>
      <c r="H1852" s="1" t="inlineStr">
        <is>
          <t>Other Charges 其他费用</t>
        </is>
      </c>
      <c r="I1852" s="9">
        <f>IF($B1849="","",B1852)</f>
        <v/>
      </c>
      <c r="K1852" s="1" t="inlineStr">
        <is>
          <t>Cheque Collection 支票收款</t>
        </is>
      </c>
      <c r="L1852" s="9">
        <f>IF($B1849="","",E1852)</f>
        <v/>
      </c>
    </row>
    <row r="1853">
      <c r="A1853" s="10" t="inlineStr">
        <is>
          <t>Amount 金额  (Cash Sales - Misc - Other)</t>
        </is>
      </c>
      <c r="B1853" s="11">
        <f>IF($B1849="","",ROUND(B1850-B1851-B1852,2))</f>
        <v/>
      </c>
      <c r="D1853" s="12" t="inlineStr">
        <is>
          <t>TNG collection TNG收款</t>
        </is>
      </c>
      <c r="E1853" s="13">
        <f>IF($B1849="","",'Daily Sale entry '!K134)</f>
        <v/>
      </c>
      <c r="H1853" s="10" t="inlineStr">
        <is>
          <t>Amount 金额  (Cash Sales - Misc - Other)</t>
        </is>
      </c>
      <c r="I1853" s="11">
        <f>IF($B1849="","",ROUND(I1850-I1851-I1852,2))</f>
        <v/>
      </c>
      <c r="K1853" s="12" t="inlineStr">
        <is>
          <t>TNG collection TNG收款</t>
        </is>
      </c>
      <c r="L1853" s="13">
        <f>IF($B1849="","",E1853)</f>
        <v/>
      </c>
    </row>
    <row r="1854">
      <c r="A1854" t="inlineStr">
        <is>
          <t>Credit Collection 赊账收款</t>
        </is>
      </c>
      <c r="B1854" s="6">
        <f>IF($B1849="","",'Daily Sale entry '!E134)</f>
        <v/>
      </c>
      <c r="D1854" t="inlineStr">
        <is>
          <t>Advance Salary_M 预支薪水_M</t>
        </is>
      </c>
      <c r="E1854" s="6">
        <f>IF($B1849="","",'Daily Sale entry '!L134)</f>
        <v/>
      </c>
      <c r="H1854" t="inlineStr">
        <is>
          <t>Credit Collection 赊账收款</t>
        </is>
      </c>
      <c r="I1854" s="6">
        <f>IF($B1849="","",B1854)</f>
        <v/>
      </c>
      <c r="K1854" t="inlineStr">
        <is>
          <t>Advance Salary_M 预支薪水_M</t>
        </is>
      </c>
      <c r="L1854" s="6">
        <f>IF($B1849="","",E1854)</f>
        <v/>
      </c>
    </row>
    <row r="1855">
      <c r="A1855" s="10" t="inlineStr">
        <is>
          <t>Amount 2 金额2  (Amount + Credit Collection)</t>
        </is>
      </c>
      <c r="B1855" s="11">
        <f>IF($B1849="","",ROUND(B1853+B1854,2))</f>
        <v/>
      </c>
      <c r="D1855" t="inlineStr">
        <is>
          <t>Advance Salary_H 预支薪水_H</t>
        </is>
      </c>
      <c r="E1855" s="6">
        <f>IF($B1849="","",'Daily Sale entry '!M134)</f>
        <v/>
      </c>
      <c r="H1855" s="10" t="inlineStr">
        <is>
          <t>Amount 2 金额2  (Amount + Credit Collection)</t>
        </is>
      </c>
      <c r="I1855" s="11">
        <f>IF($B1849="","",ROUND(I1853+I1854,2))</f>
        <v/>
      </c>
      <c r="K1855" t="inlineStr">
        <is>
          <t>Advance Salary_H 预支薪水_H</t>
        </is>
      </c>
      <c r="L1855" s="6">
        <f>IF($B1849="","",E1855)</f>
        <v/>
      </c>
    </row>
    <row r="1856"/>
    <row r="1857">
      <c r="A1857" s="1" t="inlineStr">
        <is>
          <t>b/f petty cash 上日备用金结转</t>
        </is>
      </c>
      <c r="B1857" s="9">
        <f>IF($B1849="","",'Daily Sale entry '!F134)</f>
        <v/>
      </c>
      <c r="D1857" s="1" t="n"/>
      <c r="E1857" s="1" t="n"/>
      <c r="H1857" s="1" t="inlineStr">
        <is>
          <t>b/f petty cash 上日备用金结转</t>
        </is>
      </c>
      <c r="I1857" s="9">
        <f>IF($B1849="","",B1857)</f>
        <v/>
      </c>
      <c r="K1857" s="1" t="n"/>
      <c r="L1857" s="1" t="n"/>
    </row>
    <row r="1858">
      <c r="A1858" t="inlineStr">
        <is>
          <t>Total (A) 总计 (A)</t>
        </is>
      </c>
      <c r="B1858" s="6">
        <f>IF($B1849="","",ROUND(B1855+B1857,2))</f>
        <v/>
      </c>
      <c r="D1858" t="inlineStr">
        <is>
          <t>Total(B) 总计 (B)</t>
        </is>
      </c>
      <c r="E1858" s="6">
        <f>IF($B1849="","",ROUND(E1850+E1851+E1852+E1853+E1854+E1855,2))</f>
        <v/>
      </c>
      <c r="H1858" t="inlineStr">
        <is>
          <t>Total© 总计 (C)</t>
        </is>
      </c>
      <c r="I1858" s="6">
        <f>IF($B1849="","",ROUND(I1855+I1857,2))</f>
        <v/>
      </c>
      <c r="K1858" t="inlineStr">
        <is>
          <t>Total(D) 总计 (D)</t>
        </is>
      </c>
      <c r="L1858" s="6">
        <f>IF($B1849="","",ROUND(L1850+L1851+L1852+L1853+L1854+L1855,2))</f>
        <v/>
      </c>
    </row>
    <row r="1859">
      <c r="A1859" s="14" t="inlineStr">
        <is>
          <t>Total = Amount 2 + b/f petty cash  (金额2 + 上日备用金)</t>
        </is>
      </c>
      <c r="H1859" s="14" t="inlineStr">
        <is>
          <t>Total = Amount 2 + b/f petty cash  (金额2 + 上日备用金)</t>
        </is>
      </c>
    </row>
    <row r="1860">
      <c r="A1860" t="inlineStr">
        <is>
          <t>Different 差额</t>
        </is>
      </c>
      <c r="B1860" s="6">
        <f>IF($B1849="","",ROUND(B1858-E1858,2))</f>
        <v/>
      </c>
      <c r="D1860">
        <f>IF($B1849="","",IF(ABS(B1860)&gt;'Opening Balance'!$B$16,"ALERT 警报: Different over RM"&amp;'Opening Balance'!$B$16&amp;" 差额超过RM"&amp;'Opening Balance'!$B$16&amp;" - please check 请检查",IF(B1860=0,"Tied 平衡",IF(ABS(B1860)&lt;='Opening Balance'!$B$13,"Small difference 小额差额: adjusted on c/f petty cash 已调整备用金",IF(B1860&gt;0,"Short 短收: added to Misc Charges 已加入杂项费用","Over 多收: added to Cash Sales 已加入现金销售")))))</f>
        <v/>
      </c>
      <c r="H1860" t="inlineStr">
        <is>
          <t>Different 差额</t>
        </is>
      </c>
      <c r="I1860" s="6">
        <f>IF($B1849="","",ROUND(I1858-L1858,2))</f>
        <v/>
      </c>
    </row>
    <row r="1861"/>
    <row r="1862"/>
    <row r="1863">
      <c r="A1863" t="inlineStr">
        <is>
          <t>Date 日期</t>
        </is>
      </c>
      <c r="B1863" s="5">
        <f>IF('Daily Sale entry '!$A135="","",'Daily Sale entry '!$A135)</f>
        <v/>
      </c>
      <c r="H1863" t="inlineStr">
        <is>
          <t>After 调整后 (After)</t>
        </is>
      </c>
      <c r="I1863" s="5">
        <f>IF($B1863="","",B1863)</f>
        <v/>
      </c>
    </row>
    <row r="1864">
      <c r="A1864" t="inlineStr">
        <is>
          <t>Cash Sales 现金销售</t>
        </is>
      </c>
      <c r="B1864" s="6">
        <f>IF($B1863="","",'Daily Sale entry '!B135)</f>
        <v/>
      </c>
      <c r="D1864" t="inlineStr">
        <is>
          <t>c/f petty cash 今日备用金结转</t>
        </is>
      </c>
      <c r="E1864" s="6">
        <f>IF($B1863="","",'Daily Sale entry '!G135)</f>
        <v/>
      </c>
      <c r="H1864" t="inlineStr">
        <is>
          <t>Cash Sales 现金销售</t>
        </is>
      </c>
      <c r="I1864" s="6">
        <f>IF($B1863="","",IF(AND(ABS(B1874)&gt;'Opening Balance'!$B$13,B1874&lt;0),ROUND(B1864-B1874,2),B1864))</f>
        <v/>
      </c>
      <c r="K1864" t="inlineStr">
        <is>
          <t>c/f petty cash 今日备用金结转</t>
        </is>
      </c>
      <c r="L1864" s="6">
        <f>IF($B1863="","",IF(ABS(B1874)&lt;='Opening Balance'!$B$13,ROUND(E1864+B1874,2),E1864))</f>
        <v/>
      </c>
    </row>
    <row r="1865">
      <c r="A1865" t="inlineStr">
        <is>
          <t>Misc Charges 杂项费用</t>
        </is>
      </c>
      <c r="B1865" s="6">
        <f>IF($B1863="","",'Daily Sale entry '!C135)</f>
        <v/>
      </c>
      <c r="D1865" t="inlineStr">
        <is>
          <t>cash collection 现金收款</t>
        </is>
      </c>
      <c r="E1865" s="6">
        <f>IF($B1863="","",'Daily Sale entry '!H135)</f>
        <v/>
      </c>
      <c r="H1865" t="inlineStr">
        <is>
          <t>Misc Charges 杂项费用</t>
        </is>
      </c>
      <c r="I1865" s="6">
        <f>IF($B1863="","",IF(AND(ABS(B1874)&gt;'Opening Balance'!$B$13,B1874&gt;0),ROUND(B1865+B1874,2),B1865))</f>
        <v/>
      </c>
      <c r="K1865" t="inlineStr">
        <is>
          <t>cash collection 现金收款</t>
        </is>
      </c>
      <c r="L1865" s="6">
        <f>IF($B1863="","",E1865)</f>
        <v/>
      </c>
    </row>
    <row r="1866">
      <c r="A1866" s="1" t="inlineStr">
        <is>
          <t>Other Charges 其他费用</t>
        </is>
      </c>
      <c r="B1866" s="9">
        <f>IF($B1863="","",'Daily Sale entry '!D135)</f>
        <v/>
      </c>
      <c r="D1866" s="1" t="inlineStr">
        <is>
          <t>Cheque Collection 支票收款</t>
        </is>
      </c>
      <c r="E1866" s="9">
        <f>IF($B1863="","",'Daily Sale entry '!J135)</f>
        <v/>
      </c>
      <c r="H1866" s="1" t="inlineStr">
        <is>
          <t>Other Charges 其他费用</t>
        </is>
      </c>
      <c r="I1866" s="9">
        <f>IF($B1863="","",B1866)</f>
        <v/>
      </c>
      <c r="K1866" s="1" t="inlineStr">
        <is>
          <t>Cheque Collection 支票收款</t>
        </is>
      </c>
      <c r="L1866" s="9">
        <f>IF($B1863="","",E1866)</f>
        <v/>
      </c>
    </row>
    <row r="1867">
      <c r="A1867" s="10" t="inlineStr">
        <is>
          <t>Amount 金额  (Cash Sales - Misc - Other)</t>
        </is>
      </c>
      <c r="B1867" s="11">
        <f>IF($B1863="","",ROUND(B1864-B1865-B1866,2))</f>
        <v/>
      </c>
      <c r="D1867" s="12" t="inlineStr">
        <is>
          <t>TNG collection TNG收款</t>
        </is>
      </c>
      <c r="E1867" s="13">
        <f>IF($B1863="","",'Daily Sale entry '!K135)</f>
        <v/>
      </c>
      <c r="H1867" s="10" t="inlineStr">
        <is>
          <t>Amount 金额  (Cash Sales - Misc - Other)</t>
        </is>
      </c>
      <c r="I1867" s="11">
        <f>IF($B1863="","",ROUND(I1864-I1865-I1866,2))</f>
        <v/>
      </c>
      <c r="K1867" s="12" t="inlineStr">
        <is>
          <t>TNG collection TNG收款</t>
        </is>
      </c>
      <c r="L1867" s="13">
        <f>IF($B1863="","",E1867)</f>
        <v/>
      </c>
    </row>
    <row r="1868">
      <c r="A1868" t="inlineStr">
        <is>
          <t>Credit Collection 赊账收款</t>
        </is>
      </c>
      <c r="B1868" s="6">
        <f>IF($B1863="","",'Daily Sale entry '!E135)</f>
        <v/>
      </c>
      <c r="D1868" t="inlineStr">
        <is>
          <t>Advance Salary_M 预支薪水_M</t>
        </is>
      </c>
      <c r="E1868" s="6">
        <f>IF($B1863="","",'Daily Sale entry '!L135)</f>
        <v/>
      </c>
      <c r="H1868" t="inlineStr">
        <is>
          <t>Credit Collection 赊账收款</t>
        </is>
      </c>
      <c r="I1868" s="6">
        <f>IF($B1863="","",B1868)</f>
        <v/>
      </c>
      <c r="K1868" t="inlineStr">
        <is>
          <t>Advance Salary_M 预支薪水_M</t>
        </is>
      </c>
      <c r="L1868" s="6">
        <f>IF($B1863="","",E1868)</f>
        <v/>
      </c>
    </row>
    <row r="1869">
      <c r="A1869" s="10" t="inlineStr">
        <is>
          <t>Amount 2 金额2  (Amount + Credit Collection)</t>
        </is>
      </c>
      <c r="B1869" s="11">
        <f>IF($B1863="","",ROUND(B1867+B1868,2))</f>
        <v/>
      </c>
      <c r="D1869" t="inlineStr">
        <is>
          <t>Advance Salary_H 预支薪水_H</t>
        </is>
      </c>
      <c r="E1869" s="6">
        <f>IF($B1863="","",'Daily Sale entry '!M135)</f>
        <v/>
      </c>
      <c r="H1869" s="10" t="inlineStr">
        <is>
          <t>Amount 2 金额2  (Amount + Credit Collection)</t>
        </is>
      </c>
      <c r="I1869" s="11">
        <f>IF($B1863="","",ROUND(I1867+I1868,2))</f>
        <v/>
      </c>
      <c r="K1869" t="inlineStr">
        <is>
          <t>Advance Salary_H 预支薪水_H</t>
        </is>
      </c>
      <c r="L1869" s="6">
        <f>IF($B1863="","",E1869)</f>
        <v/>
      </c>
    </row>
    <row r="1870"/>
    <row r="1871">
      <c r="A1871" s="1" t="inlineStr">
        <is>
          <t>b/f petty cash 上日备用金结转</t>
        </is>
      </c>
      <c r="B1871" s="9">
        <f>IF($B1863="","",'Daily Sale entry '!F135)</f>
        <v/>
      </c>
      <c r="D1871" s="1" t="n"/>
      <c r="E1871" s="1" t="n"/>
      <c r="H1871" s="1" t="inlineStr">
        <is>
          <t>b/f petty cash 上日备用金结转</t>
        </is>
      </c>
      <c r="I1871" s="9">
        <f>IF($B1863="","",B1871)</f>
        <v/>
      </c>
      <c r="K1871" s="1" t="n"/>
      <c r="L1871" s="1" t="n"/>
    </row>
    <row r="1872">
      <c r="A1872" t="inlineStr">
        <is>
          <t>Total (A) 总计 (A)</t>
        </is>
      </c>
      <c r="B1872" s="6">
        <f>IF($B1863="","",ROUND(B1869+B1871,2))</f>
        <v/>
      </c>
      <c r="D1872" t="inlineStr">
        <is>
          <t>Total(B) 总计 (B)</t>
        </is>
      </c>
      <c r="E1872" s="6">
        <f>IF($B1863="","",ROUND(E1864+E1865+E1866+E1867+E1868+E1869,2))</f>
        <v/>
      </c>
      <c r="H1872" t="inlineStr">
        <is>
          <t>Total© 总计 (C)</t>
        </is>
      </c>
      <c r="I1872" s="6">
        <f>IF($B1863="","",ROUND(I1869+I1871,2))</f>
        <v/>
      </c>
      <c r="K1872" t="inlineStr">
        <is>
          <t>Total(D) 总计 (D)</t>
        </is>
      </c>
      <c r="L1872" s="6">
        <f>IF($B1863="","",ROUND(L1864+L1865+L1866+L1867+L1868+L1869,2))</f>
        <v/>
      </c>
    </row>
    <row r="1873">
      <c r="A1873" s="14" t="inlineStr">
        <is>
          <t>Total = Amount 2 + b/f petty cash  (金额2 + 上日备用金)</t>
        </is>
      </c>
      <c r="H1873" s="14" t="inlineStr">
        <is>
          <t>Total = Amount 2 + b/f petty cash  (金额2 + 上日备用金)</t>
        </is>
      </c>
    </row>
    <row r="1874">
      <c r="A1874" t="inlineStr">
        <is>
          <t>Different 差额</t>
        </is>
      </c>
      <c r="B1874" s="6">
        <f>IF($B1863="","",ROUND(B1872-E1872,2))</f>
        <v/>
      </c>
      <c r="D1874">
        <f>IF($B1863="","",IF(ABS(B1874)&gt;'Opening Balance'!$B$16,"ALERT 警报: Different over RM"&amp;'Opening Balance'!$B$16&amp;" 差额超过RM"&amp;'Opening Balance'!$B$16&amp;" - please check 请检查",IF(B1874=0,"Tied 平衡",IF(ABS(B1874)&lt;='Opening Balance'!$B$13,"Small difference 小额差额: adjusted on c/f petty cash 已调整备用金",IF(B1874&gt;0,"Short 短收: added to Misc Charges 已加入杂项费用","Over 多收: added to Cash Sales 已加入现金销售")))))</f>
        <v/>
      </c>
      <c r="H1874" t="inlineStr">
        <is>
          <t>Different 差额</t>
        </is>
      </c>
      <c r="I1874" s="6">
        <f>IF($B1863="","",ROUND(I1872-L1872,2))</f>
        <v/>
      </c>
    </row>
    <row r="1875"/>
    <row r="1876"/>
    <row r="1877">
      <c r="A1877" t="inlineStr">
        <is>
          <t>Date 日期</t>
        </is>
      </c>
      <c r="B1877" s="5">
        <f>IF('Daily Sale entry '!$A136="","",'Daily Sale entry '!$A136)</f>
        <v/>
      </c>
      <c r="H1877" t="inlineStr">
        <is>
          <t>After 调整后 (After)</t>
        </is>
      </c>
      <c r="I1877" s="5">
        <f>IF($B1877="","",B1877)</f>
        <v/>
      </c>
    </row>
    <row r="1878">
      <c r="A1878" t="inlineStr">
        <is>
          <t>Cash Sales 现金销售</t>
        </is>
      </c>
      <c r="B1878" s="6">
        <f>IF($B1877="","",'Daily Sale entry '!B136)</f>
        <v/>
      </c>
      <c r="D1878" t="inlineStr">
        <is>
          <t>c/f petty cash 今日备用金结转</t>
        </is>
      </c>
      <c r="E1878" s="6">
        <f>IF($B1877="","",'Daily Sale entry '!G136)</f>
        <v/>
      </c>
      <c r="H1878" t="inlineStr">
        <is>
          <t>Cash Sales 现金销售</t>
        </is>
      </c>
      <c r="I1878" s="6">
        <f>IF($B1877="","",IF(AND(ABS(B1888)&gt;'Opening Balance'!$B$13,B1888&lt;0),ROUND(B1878-B1888,2),B1878))</f>
        <v/>
      </c>
      <c r="K1878" t="inlineStr">
        <is>
          <t>c/f petty cash 今日备用金结转</t>
        </is>
      </c>
      <c r="L1878" s="6">
        <f>IF($B1877="","",IF(ABS(B1888)&lt;='Opening Balance'!$B$13,ROUND(E1878+B1888,2),E1878))</f>
        <v/>
      </c>
    </row>
    <row r="1879">
      <c r="A1879" t="inlineStr">
        <is>
          <t>Misc Charges 杂项费用</t>
        </is>
      </c>
      <c r="B1879" s="6">
        <f>IF($B1877="","",'Daily Sale entry '!C136)</f>
        <v/>
      </c>
      <c r="D1879" t="inlineStr">
        <is>
          <t>cash collection 现金收款</t>
        </is>
      </c>
      <c r="E1879" s="6">
        <f>IF($B1877="","",'Daily Sale entry '!H136)</f>
        <v/>
      </c>
      <c r="H1879" t="inlineStr">
        <is>
          <t>Misc Charges 杂项费用</t>
        </is>
      </c>
      <c r="I1879" s="6">
        <f>IF($B1877="","",IF(AND(ABS(B1888)&gt;'Opening Balance'!$B$13,B1888&gt;0),ROUND(B1879+B1888,2),B1879))</f>
        <v/>
      </c>
      <c r="K1879" t="inlineStr">
        <is>
          <t>cash collection 现金收款</t>
        </is>
      </c>
      <c r="L1879" s="6">
        <f>IF($B1877="","",E1879)</f>
        <v/>
      </c>
    </row>
    <row r="1880">
      <c r="A1880" s="1" t="inlineStr">
        <is>
          <t>Other Charges 其他费用</t>
        </is>
      </c>
      <c r="B1880" s="9">
        <f>IF($B1877="","",'Daily Sale entry '!D136)</f>
        <v/>
      </c>
      <c r="D1880" s="1" t="inlineStr">
        <is>
          <t>Cheque Collection 支票收款</t>
        </is>
      </c>
      <c r="E1880" s="9">
        <f>IF($B1877="","",'Daily Sale entry '!J136)</f>
        <v/>
      </c>
      <c r="H1880" s="1" t="inlineStr">
        <is>
          <t>Other Charges 其他费用</t>
        </is>
      </c>
      <c r="I1880" s="9">
        <f>IF($B1877="","",B1880)</f>
        <v/>
      </c>
      <c r="K1880" s="1" t="inlineStr">
        <is>
          <t>Cheque Collection 支票收款</t>
        </is>
      </c>
      <c r="L1880" s="9">
        <f>IF($B1877="","",E1880)</f>
        <v/>
      </c>
    </row>
    <row r="1881">
      <c r="A1881" s="10" t="inlineStr">
        <is>
          <t>Amount 金额  (Cash Sales - Misc - Other)</t>
        </is>
      </c>
      <c r="B1881" s="11">
        <f>IF($B1877="","",ROUND(B1878-B1879-B1880,2))</f>
        <v/>
      </c>
      <c r="D1881" s="12" t="inlineStr">
        <is>
          <t>TNG collection TNG收款</t>
        </is>
      </c>
      <c r="E1881" s="13">
        <f>IF($B1877="","",'Daily Sale entry '!K136)</f>
        <v/>
      </c>
      <c r="H1881" s="10" t="inlineStr">
        <is>
          <t>Amount 金额  (Cash Sales - Misc - Other)</t>
        </is>
      </c>
      <c r="I1881" s="11">
        <f>IF($B1877="","",ROUND(I1878-I1879-I1880,2))</f>
        <v/>
      </c>
      <c r="K1881" s="12" t="inlineStr">
        <is>
          <t>TNG collection TNG收款</t>
        </is>
      </c>
      <c r="L1881" s="13">
        <f>IF($B1877="","",E1881)</f>
        <v/>
      </c>
    </row>
    <row r="1882">
      <c r="A1882" t="inlineStr">
        <is>
          <t>Credit Collection 赊账收款</t>
        </is>
      </c>
      <c r="B1882" s="6">
        <f>IF($B1877="","",'Daily Sale entry '!E136)</f>
        <v/>
      </c>
      <c r="D1882" t="inlineStr">
        <is>
          <t>Advance Salary_M 预支薪水_M</t>
        </is>
      </c>
      <c r="E1882" s="6">
        <f>IF($B1877="","",'Daily Sale entry '!L136)</f>
        <v/>
      </c>
      <c r="H1882" t="inlineStr">
        <is>
          <t>Credit Collection 赊账收款</t>
        </is>
      </c>
      <c r="I1882" s="6">
        <f>IF($B1877="","",B1882)</f>
        <v/>
      </c>
      <c r="K1882" t="inlineStr">
        <is>
          <t>Advance Salary_M 预支薪水_M</t>
        </is>
      </c>
      <c r="L1882" s="6">
        <f>IF($B1877="","",E1882)</f>
        <v/>
      </c>
    </row>
    <row r="1883">
      <c r="A1883" s="10" t="inlineStr">
        <is>
          <t>Amount 2 金额2  (Amount + Credit Collection)</t>
        </is>
      </c>
      <c r="B1883" s="11">
        <f>IF($B1877="","",ROUND(B1881+B1882,2))</f>
        <v/>
      </c>
      <c r="D1883" t="inlineStr">
        <is>
          <t>Advance Salary_H 预支薪水_H</t>
        </is>
      </c>
      <c r="E1883" s="6">
        <f>IF($B1877="","",'Daily Sale entry '!M136)</f>
        <v/>
      </c>
      <c r="H1883" s="10" t="inlineStr">
        <is>
          <t>Amount 2 金额2  (Amount + Credit Collection)</t>
        </is>
      </c>
      <c r="I1883" s="11">
        <f>IF($B1877="","",ROUND(I1881+I1882,2))</f>
        <v/>
      </c>
      <c r="K1883" t="inlineStr">
        <is>
          <t>Advance Salary_H 预支薪水_H</t>
        </is>
      </c>
      <c r="L1883" s="6">
        <f>IF($B1877="","",E1883)</f>
        <v/>
      </c>
    </row>
    <row r="1884"/>
    <row r="1885">
      <c r="A1885" s="1" t="inlineStr">
        <is>
          <t>b/f petty cash 上日备用金结转</t>
        </is>
      </c>
      <c r="B1885" s="9">
        <f>IF($B1877="","",'Daily Sale entry '!F136)</f>
        <v/>
      </c>
      <c r="D1885" s="1" t="n"/>
      <c r="E1885" s="1" t="n"/>
      <c r="H1885" s="1" t="inlineStr">
        <is>
          <t>b/f petty cash 上日备用金结转</t>
        </is>
      </c>
      <c r="I1885" s="9">
        <f>IF($B1877="","",B1885)</f>
        <v/>
      </c>
      <c r="K1885" s="1" t="n"/>
      <c r="L1885" s="1" t="n"/>
    </row>
    <row r="1886">
      <c r="A1886" t="inlineStr">
        <is>
          <t>Total (A) 总计 (A)</t>
        </is>
      </c>
      <c r="B1886" s="6">
        <f>IF($B1877="","",ROUND(B1883+B1885,2))</f>
        <v/>
      </c>
      <c r="D1886" t="inlineStr">
        <is>
          <t>Total(B) 总计 (B)</t>
        </is>
      </c>
      <c r="E1886" s="6">
        <f>IF($B1877="","",ROUND(E1878+E1879+E1880+E1881+E1882+E1883,2))</f>
        <v/>
      </c>
      <c r="H1886" t="inlineStr">
        <is>
          <t>Total© 总计 (C)</t>
        </is>
      </c>
      <c r="I1886" s="6">
        <f>IF($B1877="","",ROUND(I1883+I1885,2))</f>
        <v/>
      </c>
      <c r="K1886" t="inlineStr">
        <is>
          <t>Total(D) 总计 (D)</t>
        </is>
      </c>
      <c r="L1886" s="6">
        <f>IF($B1877="","",ROUND(L1878+L1879+L1880+L1881+L1882+L1883,2))</f>
        <v/>
      </c>
    </row>
    <row r="1887">
      <c r="A1887" s="14" t="inlineStr">
        <is>
          <t>Total = Amount 2 + b/f petty cash  (金额2 + 上日备用金)</t>
        </is>
      </c>
      <c r="H1887" s="14" t="inlineStr">
        <is>
          <t>Total = Amount 2 + b/f petty cash  (金额2 + 上日备用金)</t>
        </is>
      </c>
    </row>
    <row r="1888">
      <c r="A1888" t="inlineStr">
        <is>
          <t>Different 差额</t>
        </is>
      </c>
      <c r="B1888" s="6">
        <f>IF($B1877="","",ROUND(B1886-E1886,2))</f>
        <v/>
      </c>
      <c r="D1888">
        <f>IF($B1877="","",IF(ABS(B1888)&gt;'Opening Balance'!$B$16,"ALERT 警报: Different over RM"&amp;'Opening Balance'!$B$16&amp;" 差额超过RM"&amp;'Opening Balance'!$B$16&amp;" - please check 请检查",IF(B1888=0,"Tied 平衡",IF(ABS(B1888)&lt;='Opening Balance'!$B$13,"Small difference 小额差额: adjusted on c/f petty cash 已调整备用金",IF(B1888&gt;0,"Short 短收: added to Misc Charges 已加入杂项费用","Over 多收: added to Cash Sales 已加入现金销售")))))</f>
        <v/>
      </c>
      <c r="H1888" t="inlineStr">
        <is>
          <t>Different 差额</t>
        </is>
      </c>
      <c r="I1888" s="6">
        <f>IF($B1877="","",ROUND(I1886-L1886,2))</f>
        <v/>
      </c>
    </row>
    <row r="1889"/>
    <row r="1890"/>
    <row r="1891">
      <c r="A1891" t="inlineStr">
        <is>
          <t>Date 日期</t>
        </is>
      </c>
      <c r="B1891" s="5">
        <f>IF('Daily Sale entry '!$A137="","",'Daily Sale entry '!$A137)</f>
        <v/>
      </c>
      <c r="H1891" t="inlineStr">
        <is>
          <t>After 调整后 (After)</t>
        </is>
      </c>
      <c r="I1891" s="5">
        <f>IF($B1891="","",B1891)</f>
        <v/>
      </c>
    </row>
    <row r="1892">
      <c r="A1892" t="inlineStr">
        <is>
          <t>Cash Sales 现金销售</t>
        </is>
      </c>
      <c r="B1892" s="6">
        <f>IF($B1891="","",'Daily Sale entry '!B137)</f>
        <v/>
      </c>
      <c r="D1892" t="inlineStr">
        <is>
          <t>c/f petty cash 今日备用金结转</t>
        </is>
      </c>
      <c r="E1892" s="6">
        <f>IF($B1891="","",'Daily Sale entry '!G137)</f>
        <v/>
      </c>
      <c r="H1892" t="inlineStr">
        <is>
          <t>Cash Sales 现金销售</t>
        </is>
      </c>
      <c r="I1892" s="6">
        <f>IF($B1891="","",IF(AND(ABS(B1902)&gt;'Opening Balance'!$B$13,B1902&lt;0),ROUND(B1892-B1902,2),B1892))</f>
        <v/>
      </c>
      <c r="K1892" t="inlineStr">
        <is>
          <t>c/f petty cash 今日备用金结转</t>
        </is>
      </c>
      <c r="L1892" s="6">
        <f>IF($B1891="","",IF(ABS(B1902)&lt;='Opening Balance'!$B$13,ROUND(E1892+B1902,2),E1892))</f>
        <v/>
      </c>
    </row>
    <row r="1893">
      <c r="A1893" t="inlineStr">
        <is>
          <t>Misc Charges 杂项费用</t>
        </is>
      </c>
      <c r="B1893" s="6">
        <f>IF($B1891="","",'Daily Sale entry '!C137)</f>
        <v/>
      </c>
      <c r="D1893" t="inlineStr">
        <is>
          <t>cash collection 现金收款</t>
        </is>
      </c>
      <c r="E1893" s="6">
        <f>IF($B1891="","",'Daily Sale entry '!H137)</f>
        <v/>
      </c>
      <c r="H1893" t="inlineStr">
        <is>
          <t>Misc Charges 杂项费用</t>
        </is>
      </c>
      <c r="I1893" s="6">
        <f>IF($B1891="","",IF(AND(ABS(B1902)&gt;'Opening Balance'!$B$13,B1902&gt;0),ROUND(B1893+B1902,2),B1893))</f>
        <v/>
      </c>
      <c r="K1893" t="inlineStr">
        <is>
          <t>cash collection 现金收款</t>
        </is>
      </c>
      <c r="L1893" s="6">
        <f>IF($B1891="","",E1893)</f>
        <v/>
      </c>
    </row>
    <row r="1894">
      <c r="A1894" s="1" t="inlineStr">
        <is>
          <t>Other Charges 其他费用</t>
        </is>
      </c>
      <c r="B1894" s="9">
        <f>IF($B1891="","",'Daily Sale entry '!D137)</f>
        <v/>
      </c>
      <c r="D1894" s="1" t="inlineStr">
        <is>
          <t>Cheque Collection 支票收款</t>
        </is>
      </c>
      <c r="E1894" s="9">
        <f>IF($B1891="","",'Daily Sale entry '!J137)</f>
        <v/>
      </c>
      <c r="H1894" s="1" t="inlineStr">
        <is>
          <t>Other Charges 其他费用</t>
        </is>
      </c>
      <c r="I1894" s="9">
        <f>IF($B1891="","",B1894)</f>
        <v/>
      </c>
      <c r="K1894" s="1" t="inlineStr">
        <is>
          <t>Cheque Collection 支票收款</t>
        </is>
      </c>
      <c r="L1894" s="9">
        <f>IF($B1891="","",E1894)</f>
        <v/>
      </c>
    </row>
    <row r="1895">
      <c r="A1895" s="10" t="inlineStr">
        <is>
          <t>Amount 金额  (Cash Sales - Misc - Other)</t>
        </is>
      </c>
      <c r="B1895" s="11">
        <f>IF($B1891="","",ROUND(B1892-B1893-B1894,2))</f>
        <v/>
      </c>
      <c r="D1895" s="12" t="inlineStr">
        <is>
          <t>TNG collection TNG收款</t>
        </is>
      </c>
      <c r="E1895" s="13">
        <f>IF($B1891="","",'Daily Sale entry '!K137)</f>
        <v/>
      </c>
      <c r="H1895" s="10" t="inlineStr">
        <is>
          <t>Amount 金额  (Cash Sales - Misc - Other)</t>
        </is>
      </c>
      <c r="I1895" s="11">
        <f>IF($B1891="","",ROUND(I1892-I1893-I1894,2))</f>
        <v/>
      </c>
      <c r="K1895" s="12" t="inlineStr">
        <is>
          <t>TNG collection TNG收款</t>
        </is>
      </c>
      <c r="L1895" s="13">
        <f>IF($B1891="","",E1895)</f>
        <v/>
      </c>
    </row>
    <row r="1896">
      <c r="A1896" t="inlineStr">
        <is>
          <t>Credit Collection 赊账收款</t>
        </is>
      </c>
      <c r="B1896" s="6">
        <f>IF($B1891="","",'Daily Sale entry '!E137)</f>
        <v/>
      </c>
      <c r="D1896" t="inlineStr">
        <is>
          <t>Advance Salary_M 预支薪水_M</t>
        </is>
      </c>
      <c r="E1896" s="6">
        <f>IF($B1891="","",'Daily Sale entry '!L137)</f>
        <v/>
      </c>
      <c r="H1896" t="inlineStr">
        <is>
          <t>Credit Collection 赊账收款</t>
        </is>
      </c>
      <c r="I1896" s="6">
        <f>IF($B1891="","",B1896)</f>
        <v/>
      </c>
      <c r="K1896" t="inlineStr">
        <is>
          <t>Advance Salary_M 预支薪水_M</t>
        </is>
      </c>
      <c r="L1896" s="6">
        <f>IF($B1891="","",E1896)</f>
        <v/>
      </c>
    </row>
    <row r="1897">
      <c r="A1897" s="10" t="inlineStr">
        <is>
          <t>Amount 2 金额2  (Amount + Credit Collection)</t>
        </is>
      </c>
      <c r="B1897" s="11">
        <f>IF($B1891="","",ROUND(B1895+B1896,2))</f>
        <v/>
      </c>
      <c r="D1897" t="inlineStr">
        <is>
          <t>Advance Salary_H 预支薪水_H</t>
        </is>
      </c>
      <c r="E1897" s="6">
        <f>IF($B1891="","",'Daily Sale entry '!M137)</f>
        <v/>
      </c>
      <c r="H1897" s="10" t="inlineStr">
        <is>
          <t>Amount 2 金额2  (Amount + Credit Collection)</t>
        </is>
      </c>
      <c r="I1897" s="11">
        <f>IF($B1891="","",ROUND(I1895+I1896,2))</f>
        <v/>
      </c>
      <c r="K1897" t="inlineStr">
        <is>
          <t>Advance Salary_H 预支薪水_H</t>
        </is>
      </c>
      <c r="L1897" s="6">
        <f>IF($B1891="","",E1897)</f>
        <v/>
      </c>
    </row>
    <row r="1898"/>
    <row r="1899">
      <c r="A1899" s="1" t="inlineStr">
        <is>
          <t>b/f petty cash 上日备用金结转</t>
        </is>
      </c>
      <c r="B1899" s="9">
        <f>IF($B1891="","",'Daily Sale entry '!F137)</f>
        <v/>
      </c>
      <c r="D1899" s="1" t="n"/>
      <c r="E1899" s="1" t="n"/>
      <c r="H1899" s="1" t="inlineStr">
        <is>
          <t>b/f petty cash 上日备用金结转</t>
        </is>
      </c>
      <c r="I1899" s="9">
        <f>IF($B1891="","",B1899)</f>
        <v/>
      </c>
      <c r="K1899" s="1" t="n"/>
      <c r="L1899" s="1" t="n"/>
    </row>
    <row r="1900">
      <c r="A1900" t="inlineStr">
        <is>
          <t>Total (A) 总计 (A)</t>
        </is>
      </c>
      <c r="B1900" s="6">
        <f>IF($B1891="","",ROUND(B1897+B1899,2))</f>
        <v/>
      </c>
      <c r="D1900" t="inlineStr">
        <is>
          <t>Total(B) 总计 (B)</t>
        </is>
      </c>
      <c r="E1900" s="6">
        <f>IF($B1891="","",ROUND(E1892+E1893+E1894+E1895+E1896+E1897,2))</f>
        <v/>
      </c>
      <c r="H1900" t="inlineStr">
        <is>
          <t>Total© 总计 (C)</t>
        </is>
      </c>
      <c r="I1900" s="6">
        <f>IF($B1891="","",ROUND(I1897+I1899,2))</f>
        <v/>
      </c>
      <c r="K1900" t="inlineStr">
        <is>
          <t>Total(D) 总计 (D)</t>
        </is>
      </c>
      <c r="L1900" s="6">
        <f>IF($B1891="","",ROUND(L1892+L1893+L1894+L1895+L1896+L1897,2))</f>
        <v/>
      </c>
    </row>
    <row r="1901">
      <c r="A1901" s="14" t="inlineStr">
        <is>
          <t>Total = Amount 2 + b/f petty cash  (金额2 + 上日备用金)</t>
        </is>
      </c>
      <c r="H1901" s="14" t="inlineStr">
        <is>
          <t>Total = Amount 2 + b/f petty cash  (金额2 + 上日备用金)</t>
        </is>
      </c>
    </row>
    <row r="1902">
      <c r="A1902" t="inlineStr">
        <is>
          <t>Different 差额</t>
        </is>
      </c>
      <c r="B1902" s="6">
        <f>IF($B1891="","",ROUND(B1900-E1900,2))</f>
        <v/>
      </c>
      <c r="D1902">
        <f>IF($B1891="","",IF(ABS(B1902)&gt;'Opening Balance'!$B$16,"ALERT 警报: Different over RM"&amp;'Opening Balance'!$B$16&amp;" 差额超过RM"&amp;'Opening Balance'!$B$16&amp;" - please check 请检查",IF(B1902=0,"Tied 平衡",IF(ABS(B1902)&lt;='Opening Balance'!$B$13,"Small difference 小额差额: adjusted on c/f petty cash 已调整备用金",IF(B1902&gt;0,"Short 短收: added to Misc Charges 已加入杂项费用","Over 多收: added to Cash Sales 已加入现金销售")))))</f>
        <v/>
      </c>
      <c r="H1902" t="inlineStr">
        <is>
          <t>Different 差额</t>
        </is>
      </c>
      <c r="I1902" s="6">
        <f>IF($B1891="","",ROUND(I1900-L1900,2))</f>
        <v/>
      </c>
    </row>
    <row r="1903"/>
    <row r="1904"/>
    <row r="1905">
      <c r="A1905" t="inlineStr">
        <is>
          <t>Date 日期</t>
        </is>
      </c>
      <c r="B1905" s="5">
        <f>IF('Daily Sale entry '!$A138="","",'Daily Sale entry '!$A138)</f>
        <v/>
      </c>
      <c r="H1905" t="inlineStr">
        <is>
          <t>After 调整后 (After)</t>
        </is>
      </c>
      <c r="I1905" s="5">
        <f>IF($B1905="","",B1905)</f>
        <v/>
      </c>
    </row>
    <row r="1906">
      <c r="A1906" t="inlineStr">
        <is>
          <t>Cash Sales 现金销售</t>
        </is>
      </c>
      <c r="B1906" s="6">
        <f>IF($B1905="","",'Daily Sale entry '!B138)</f>
        <v/>
      </c>
      <c r="D1906" t="inlineStr">
        <is>
          <t>c/f petty cash 今日备用金结转</t>
        </is>
      </c>
      <c r="E1906" s="6">
        <f>IF($B1905="","",'Daily Sale entry '!G138)</f>
        <v/>
      </c>
      <c r="H1906" t="inlineStr">
        <is>
          <t>Cash Sales 现金销售</t>
        </is>
      </c>
      <c r="I1906" s="6">
        <f>IF($B1905="","",IF(AND(ABS(B1916)&gt;'Opening Balance'!$B$13,B1916&lt;0),ROUND(B1906-B1916,2),B1906))</f>
        <v/>
      </c>
      <c r="K1906" t="inlineStr">
        <is>
          <t>c/f petty cash 今日备用金结转</t>
        </is>
      </c>
      <c r="L1906" s="6">
        <f>IF($B1905="","",IF(ABS(B1916)&lt;='Opening Balance'!$B$13,ROUND(E1906+B1916,2),E1906))</f>
        <v/>
      </c>
    </row>
    <row r="1907">
      <c r="A1907" t="inlineStr">
        <is>
          <t>Misc Charges 杂项费用</t>
        </is>
      </c>
      <c r="B1907" s="6">
        <f>IF($B1905="","",'Daily Sale entry '!C138)</f>
        <v/>
      </c>
      <c r="D1907" t="inlineStr">
        <is>
          <t>cash collection 现金收款</t>
        </is>
      </c>
      <c r="E1907" s="6">
        <f>IF($B1905="","",'Daily Sale entry '!H138)</f>
        <v/>
      </c>
      <c r="H1907" t="inlineStr">
        <is>
          <t>Misc Charges 杂项费用</t>
        </is>
      </c>
      <c r="I1907" s="6">
        <f>IF($B1905="","",IF(AND(ABS(B1916)&gt;'Opening Balance'!$B$13,B1916&gt;0),ROUND(B1907+B1916,2),B1907))</f>
        <v/>
      </c>
      <c r="K1907" t="inlineStr">
        <is>
          <t>cash collection 现金收款</t>
        </is>
      </c>
      <c r="L1907" s="6">
        <f>IF($B1905="","",E1907)</f>
        <v/>
      </c>
    </row>
    <row r="1908">
      <c r="A1908" s="1" t="inlineStr">
        <is>
          <t>Other Charges 其他费用</t>
        </is>
      </c>
      <c r="B1908" s="9">
        <f>IF($B1905="","",'Daily Sale entry '!D138)</f>
        <v/>
      </c>
      <c r="D1908" s="1" t="inlineStr">
        <is>
          <t>Cheque Collection 支票收款</t>
        </is>
      </c>
      <c r="E1908" s="9">
        <f>IF($B1905="","",'Daily Sale entry '!J138)</f>
        <v/>
      </c>
      <c r="H1908" s="1" t="inlineStr">
        <is>
          <t>Other Charges 其他费用</t>
        </is>
      </c>
      <c r="I1908" s="9">
        <f>IF($B1905="","",B1908)</f>
        <v/>
      </c>
      <c r="K1908" s="1" t="inlineStr">
        <is>
          <t>Cheque Collection 支票收款</t>
        </is>
      </c>
      <c r="L1908" s="9">
        <f>IF($B1905="","",E1908)</f>
        <v/>
      </c>
    </row>
    <row r="1909">
      <c r="A1909" s="10" t="inlineStr">
        <is>
          <t>Amount 金额  (Cash Sales - Misc - Other)</t>
        </is>
      </c>
      <c r="B1909" s="11">
        <f>IF($B1905="","",ROUND(B1906-B1907-B1908,2))</f>
        <v/>
      </c>
      <c r="D1909" s="12" t="inlineStr">
        <is>
          <t>TNG collection TNG收款</t>
        </is>
      </c>
      <c r="E1909" s="13">
        <f>IF($B1905="","",'Daily Sale entry '!K138)</f>
        <v/>
      </c>
      <c r="H1909" s="10" t="inlineStr">
        <is>
          <t>Amount 金额  (Cash Sales - Misc - Other)</t>
        </is>
      </c>
      <c r="I1909" s="11">
        <f>IF($B1905="","",ROUND(I1906-I1907-I1908,2))</f>
        <v/>
      </c>
      <c r="K1909" s="12" t="inlineStr">
        <is>
          <t>TNG collection TNG收款</t>
        </is>
      </c>
      <c r="L1909" s="13">
        <f>IF($B1905="","",E1909)</f>
        <v/>
      </c>
    </row>
    <row r="1910">
      <c r="A1910" t="inlineStr">
        <is>
          <t>Credit Collection 赊账收款</t>
        </is>
      </c>
      <c r="B1910" s="6">
        <f>IF($B1905="","",'Daily Sale entry '!E138)</f>
        <v/>
      </c>
      <c r="D1910" t="inlineStr">
        <is>
          <t>Advance Salary_M 预支薪水_M</t>
        </is>
      </c>
      <c r="E1910" s="6">
        <f>IF($B1905="","",'Daily Sale entry '!L138)</f>
        <v/>
      </c>
      <c r="H1910" t="inlineStr">
        <is>
          <t>Credit Collection 赊账收款</t>
        </is>
      </c>
      <c r="I1910" s="6">
        <f>IF($B1905="","",B1910)</f>
        <v/>
      </c>
      <c r="K1910" t="inlineStr">
        <is>
          <t>Advance Salary_M 预支薪水_M</t>
        </is>
      </c>
      <c r="L1910" s="6">
        <f>IF($B1905="","",E1910)</f>
        <v/>
      </c>
    </row>
    <row r="1911">
      <c r="A1911" s="10" t="inlineStr">
        <is>
          <t>Amount 2 金额2  (Amount + Credit Collection)</t>
        </is>
      </c>
      <c r="B1911" s="11">
        <f>IF($B1905="","",ROUND(B1909+B1910,2))</f>
        <v/>
      </c>
      <c r="D1911" t="inlineStr">
        <is>
          <t>Advance Salary_H 预支薪水_H</t>
        </is>
      </c>
      <c r="E1911" s="6">
        <f>IF($B1905="","",'Daily Sale entry '!M138)</f>
        <v/>
      </c>
      <c r="H1911" s="10" t="inlineStr">
        <is>
          <t>Amount 2 金额2  (Amount + Credit Collection)</t>
        </is>
      </c>
      <c r="I1911" s="11">
        <f>IF($B1905="","",ROUND(I1909+I1910,2))</f>
        <v/>
      </c>
      <c r="K1911" t="inlineStr">
        <is>
          <t>Advance Salary_H 预支薪水_H</t>
        </is>
      </c>
      <c r="L1911" s="6">
        <f>IF($B1905="","",E1911)</f>
        <v/>
      </c>
    </row>
    <row r="1912"/>
    <row r="1913">
      <c r="A1913" s="1" t="inlineStr">
        <is>
          <t>b/f petty cash 上日备用金结转</t>
        </is>
      </c>
      <c r="B1913" s="9">
        <f>IF($B1905="","",'Daily Sale entry '!F138)</f>
        <v/>
      </c>
      <c r="D1913" s="1" t="n"/>
      <c r="E1913" s="1" t="n"/>
      <c r="H1913" s="1" t="inlineStr">
        <is>
          <t>b/f petty cash 上日备用金结转</t>
        </is>
      </c>
      <c r="I1913" s="9">
        <f>IF($B1905="","",B1913)</f>
        <v/>
      </c>
      <c r="K1913" s="1" t="n"/>
      <c r="L1913" s="1" t="n"/>
    </row>
    <row r="1914">
      <c r="A1914" t="inlineStr">
        <is>
          <t>Total (A) 总计 (A)</t>
        </is>
      </c>
      <c r="B1914" s="6">
        <f>IF($B1905="","",ROUND(B1911+B1913,2))</f>
        <v/>
      </c>
      <c r="D1914" t="inlineStr">
        <is>
          <t>Total(B) 总计 (B)</t>
        </is>
      </c>
      <c r="E1914" s="6">
        <f>IF($B1905="","",ROUND(E1906+E1907+E1908+E1909+E1910+E1911,2))</f>
        <v/>
      </c>
      <c r="H1914" t="inlineStr">
        <is>
          <t>Total© 总计 (C)</t>
        </is>
      </c>
      <c r="I1914" s="6">
        <f>IF($B1905="","",ROUND(I1911+I1913,2))</f>
        <v/>
      </c>
      <c r="K1914" t="inlineStr">
        <is>
          <t>Total(D) 总计 (D)</t>
        </is>
      </c>
      <c r="L1914" s="6">
        <f>IF($B1905="","",ROUND(L1906+L1907+L1908+L1909+L1910+L1911,2))</f>
        <v/>
      </c>
    </row>
    <row r="1915">
      <c r="A1915" s="14" t="inlineStr">
        <is>
          <t>Total = Amount 2 + b/f petty cash  (金额2 + 上日备用金)</t>
        </is>
      </c>
      <c r="H1915" s="14" t="inlineStr">
        <is>
          <t>Total = Amount 2 + b/f petty cash  (金额2 + 上日备用金)</t>
        </is>
      </c>
    </row>
    <row r="1916">
      <c r="A1916" t="inlineStr">
        <is>
          <t>Different 差额</t>
        </is>
      </c>
      <c r="B1916" s="6">
        <f>IF($B1905="","",ROUND(B1914-E1914,2))</f>
        <v/>
      </c>
      <c r="D1916">
        <f>IF($B1905="","",IF(ABS(B1916)&gt;'Opening Balance'!$B$16,"ALERT 警报: Different over RM"&amp;'Opening Balance'!$B$16&amp;" 差额超过RM"&amp;'Opening Balance'!$B$16&amp;" - please check 请检查",IF(B1916=0,"Tied 平衡",IF(ABS(B1916)&lt;='Opening Balance'!$B$13,"Small difference 小额差额: adjusted on c/f petty cash 已调整备用金",IF(B1916&gt;0,"Short 短收: added to Misc Charges 已加入杂项费用","Over 多收: added to Cash Sales 已加入现金销售")))))</f>
        <v/>
      </c>
      <c r="H1916" t="inlineStr">
        <is>
          <t>Different 差额</t>
        </is>
      </c>
      <c r="I1916" s="6">
        <f>IF($B1905="","",ROUND(I1914-L1914,2))</f>
        <v/>
      </c>
    </row>
    <row r="1917"/>
    <row r="1918"/>
    <row r="1919">
      <c r="A1919" t="inlineStr">
        <is>
          <t>Date 日期</t>
        </is>
      </c>
      <c r="B1919" s="5">
        <f>IF('Daily Sale entry '!$A139="","",'Daily Sale entry '!$A139)</f>
        <v/>
      </c>
      <c r="H1919" t="inlineStr">
        <is>
          <t>After 调整后 (After)</t>
        </is>
      </c>
      <c r="I1919" s="5">
        <f>IF($B1919="","",B1919)</f>
        <v/>
      </c>
    </row>
    <row r="1920">
      <c r="A1920" t="inlineStr">
        <is>
          <t>Cash Sales 现金销售</t>
        </is>
      </c>
      <c r="B1920" s="6">
        <f>IF($B1919="","",'Daily Sale entry '!B139)</f>
        <v/>
      </c>
      <c r="D1920" t="inlineStr">
        <is>
          <t>c/f petty cash 今日备用金结转</t>
        </is>
      </c>
      <c r="E1920" s="6">
        <f>IF($B1919="","",'Daily Sale entry '!G139)</f>
        <v/>
      </c>
      <c r="H1920" t="inlineStr">
        <is>
          <t>Cash Sales 现金销售</t>
        </is>
      </c>
      <c r="I1920" s="6">
        <f>IF($B1919="","",IF(AND(ABS(B1930)&gt;'Opening Balance'!$B$13,B1930&lt;0),ROUND(B1920-B1930,2),B1920))</f>
        <v/>
      </c>
      <c r="K1920" t="inlineStr">
        <is>
          <t>c/f petty cash 今日备用金结转</t>
        </is>
      </c>
      <c r="L1920" s="6">
        <f>IF($B1919="","",IF(ABS(B1930)&lt;='Opening Balance'!$B$13,ROUND(E1920+B1930,2),E1920))</f>
        <v/>
      </c>
    </row>
    <row r="1921">
      <c r="A1921" t="inlineStr">
        <is>
          <t>Misc Charges 杂项费用</t>
        </is>
      </c>
      <c r="B1921" s="6">
        <f>IF($B1919="","",'Daily Sale entry '!C139)</f>
        <v/>
      </c>
      <c r="D1921" t="inlineStr">
        <is>
          <t>cash collection 现金收款</t>
        </is>
      </c>
      <c r="E1921" s="6">
        <f>IF($B1919="","",'Daily Sale entry '!H139)</f>
        <v/>
      </c>
      <c r="H1921" t="inlineStr">
        <is>
          <t>Misc Charges 杂项费用</t>
        </is>
      </c>
      <c r="I1921" s="6">
        <f>IF($B1919="","",IF(AND(ABS(B1930)&gt;'Opening Balance'!$B$13,B1930&gt;0),ROUND(B1921+B1930,2),B1921))</f>
        <v/>
      </c>
      <c r="K1921" t="inlineStr">
        <is>
          <t>cash collection 现金收款</t>
        </is>
      </c>
      <c r="L1921" s="6">
        <f>IF($B1919="","",E1921)</f>
        <v/>
      </c>
    </row>
    <row r="1922">
      <c r="A1922" s="1" t="inlineStr">
        <is>
          <t>Other Charges 其他费用</t>
        </is>
      </c>
      <c r="B1922" s="9">
        <f>IF($B1919="","",'Daily Sale entry '!D139)</f>
        <v/>
      </c>
      <c r="D1922" s="1" t="inlineStr">
        <is>
          <t>Cheque Collection 支票收款</t>
        </is>
      </c>
      <c r="E1922" s="9">
        <f>IF($B1919="","",'Daily Sale entry '!J139)</f>
        <v/>
      </c>
      <c r="H1922" s="1" t="inlineStr">
        <is>
          <t>Other Charges 其他费用</t>
        </is>
      </c>
      <c r="I1922" s="9">
        <f>IF($B1919="","",B1922)</f>
        <v/>
      </c>
      <c r="K1922" s="1" t="inlineStr">
        <is>
          <t>Cheque Collection 支票收款</t>
        </is>
      </c>
      <c r="L1922" s="9">
        <f>IF($B1919="","",E1922)</f>
        <v/>
      </c>
    </row>
    <row r="1923">
      <c r="A1923" s="10" t="inlineStr">
        <is>
          <t>Amount 金额  (Cash Sales - Misc - Other)</t>
        </is>
      </c>
      <c r="B1923" s="11">
        <f>IF($B1919="","",ROUND(B1920-B1921-B1922,2))</f>
        <v/>
      </c>
      <c r="D1923" s="12" t="inlineStr">
        <is>
          <t>TNG collection TNG收款</t>
        </is>
      </c>
      <c r="E1923" s="13">
        <f>IF($B1919="","",'Daily Sale entry '!K139)</f>
        <v/>
      </c>
      <c r="H1923" s="10" t="inlineStr">
        <is>
          <t>Amount 金额  (Cash Sales - Misc - Other)</t>
        </is>
      </c>
      <c r="I1923" s="11">
        <f>IF($B1919="","",ROUND(I1920-I1921-I1922,2))</f>
        <v/>
      </c>
      <c r="K1923" s="12" t="inlineStr">
        <is>
          <t>TNG collection TNG收款</t>
        </is>
      </c>
      <c r="L1923" s="13">
        <f>IF($B1919="","",E1923)</f>
        <v/>
      </c>
    </row>
    <row r="1924">
      <c r="A1924" t="inlineStr">
        <is>
          <t>Credit Collection 赊账收款</t>
        </is>
      </c>
      <c r="B1924" s="6">
        <f>IF($B1919="","",'Daily Sale entry '!E139)</f>
        <v/>
      </c>
      <c r="D1924" t="inlineStr">
        <is>
          <t>Advance Salary_M 预支薪水_M</t>
        </is>
      </c>
      <c r="E1924" s="6">
        <f>IF($B1919="","",'Daily Sale entry '!L139)</f>
        <v/>
      </c>
      <c r="H1924" t="inlineStr">
        <is>
          <t>Credit Collection 赊账收款</t>
        </is>
      </c>
      <c r="I1924" s="6">
        <f>IF($B1919="","",B1924)</f>
        <v/>
      </c>
      <c r="K1924" t="inlineStr">
        <is>
          <t>Advance Salary_M 预支薪水_M</t>
        </is>
      </c>
      <c r="L1924" s="6">
        <f>IF($B1919="","",E1924)</f>
        <v/>
      </c>
    </row>
    <row r="1925">
      <c r="A1925" s="10" t="inlineStr">
        <is>
          <t>Amount 2 金额2  (Amount + Credit Collection)</t>
        </is>
      </c>
      <c r="B1925" s="11">
        <f>IF($B1919="","",ROUND(B1923+B1924,2))</f>
        <v/>
      </c>
      <c r="D1925" t="inlineStr">
        <is>
          <t>Advance Salary_H 预支薪水_H</t>
        </is>
      </c>
      <c r="E1925" s="6">
        <f>IF($B1919="","",'Daily Sale entry '!M139)</f>
        <v/>
      </c>
      <c r="H1925" s="10" t="inlineStr">
        <is>
          <t>Amount 2 金额2  (Amount + Credit Collection)</t>
        </is>
      </c>
      <c r="I1925" s="11">
        <f>IF($B1919="","",ROUND(I1923+I1924,2))</f>
        <v/>
      </c>
      <c r="K1925" t="inlineStr">
        <is>
          <t>Advance Salary_H 预支薪水_H</t>
        </is>
      </c>
      <c r="L1925" s="6">
        <f>IF($B1919="","",E1925)</f>
        <v/>
      </c>
    </row>
    <row r="1926"/>
    <row r="1927">
      <c r="A1927" s="1" t="inlineStr">
        <is>
          <t>b/f petty cash 上日备用金结转</t>
        </is>
      </c>
      <c r="B1927" s="9">
        <f>IF($B1919="","",'Daily Sale entry '!F139)</f>
        <v/>
      </c>
      <c r="D1927" s="1" t="n"/>
      <c r="E1927" s="1" t="n"/>
      <c r="H1927" s="1" t="inlineStr">
        <is>
          <t>b/f petty cash 上日备用金结转</t>
        </is>
      </c>
      <c r="I1927" s="9">
        <f>IF($B1919="","",B1927)</f>
        <v/>
      </c>
      <c r="K1927" s="1" t="n"/>
      <c r="L1927" s="1" t="n"/>
    </row>
    <row r="1928">
      <c r="A1928" t="inlineStr">
        <is>
          <t>Total (A) 总计 (A)</t>
        </is>
      </c>
      <c r="B1928" s="6">
        <f>IF($B1919="","",ROUND(B1925+B1927,2))</f>
        <v/>
      </c>
      <c r="D1928" t="inlineStr">
        <is>
          <t>Total(B) 总计 (B)</t>
        </is>
      </c>
      <c r="E1928" s="6">
        <f>IF($B1919="","",ROUND(E1920+E1921+E1922+E1923+E1924+E1925,2))</f>
        <v/>
      </c>
      <c r="H1928" t="inlineStr">
        <is>
          <t>Total© 总计 (C)</t>
        </is>
      </c>
      <c r="I1928" s="6">
        <f>IF($B1919="","",ROUND(I1925+I1927,2))</f>
        <v/>
      </c>
      <c r="K1928" t="inlineStr">
        <is>
          <t>Total(D) 总计 (D)</t>
        </is>
      </c>
      <c r="L1928" s="6">
        <f>IF($B1919="","",ROUND(L1920+L1921+L1922+L1923+L1924+L1925,2))</f>
        <v/>
      </c>
    </row>
    <row r="1929">
      <c r="A1929" s="14" t="inlineStr">
        <is>
          <t>Total = Amount 2 + b/f petty cash  (金额2 + 上日备用金)</t>
        </is>
      </c>
      <c r="H1929" s="14" t="inlineStr">
        <is>
          <t>Total = Amount 2 + b/f petty cash  (金额2 + 上日备用金)</t>
        </is>
      </c>
    </row>
    <row r="1930">
      <c r="A1930" t="inlineStr">
        <is>
          <t>Different 差额</t>
        </is>
      </c>
      <c r="B1930" s="6">
        <f>IF($B1919="","",ROUND(B1928-E1928,2))</f>
        <v/>
      </c>
      <c r="D1930">
        <f>IF($B1919="","",IF(ABS(B1930)&gt;'Opening Balance'!$B$16,"ALERT 警报: Different over RM"&amp;'Opening Balance'!$B$16&amp;" 差额超过RM"&amp;'Opening Balance'!$B$16&amp;" - please check 请检查",IF(B1930=0,"Tied 平衡",IF(ABS(B1930)&lt;='Opening Balance'!$B$13,"Small difference 小额差额: adjusted on c/f petty cash 已调整备用金",IF(B1930&gt;0,"Short 短收: added to Misc Charges 已加入杂项费用","Over 多收: added to Cash Sales 已加入现金销售")))))</f>
        <v/>
      </c>
      <c r="H1930" t="inlineStr">
        <is>
          <t>Different 差额</t>
        </is>
      </c>
      <c r="I1930" s="6">
        <f>IF($B1919="","",ROUND(I1928-L1928,2))</f>
        <v/>
      </c>
    </row>
    <row r="1931"/>
    <row r="1932"/>
    <row r="1933">
      <c r="A1933" t="inlineStr">
        <is>
          <t>Date 日期</t>
        </is>
      </c>
      <c r="B1933" s="5">
        <f>IF('Daily Sale entry '!$A140="","",'Daily Sale entry '!$A140)</f>
        <v/>
      </c>
      <c r="H1933" t="inlineStr">
        <is>
          <t>After 调整后 (After)</t>
        </is>
      </c>
      <c r="I1933" s="5">
        <f>IF($B1933="","",B1933)</f>
        <v/>
      </c>
    </row>
    <row r="1934">
      <c r="A1934" t="inlineStr">
        <is>
          <t>Cash Sales 现金销售</t>
        </is>
      </c>
      <c r="B1934" s="6">
        <f>IF($B1933="","",'Daily Sale entry '!B140)</f>
        <v/>
      </c>
      <c r="D1934" t="inlineStr">
        <is>
          <t>c/f petty cash 今日备用金结转</t>
        </is>
      </c>
      <c r="E1934" s="6">
        <f>IF($B1933="","",'Daily Sale entry '!G140)</f>
        <v/>
      </c>
      <c r="H1934" t="inlineStr">
        <is>
          <t>Cash Sales 现金销售</t>
        </is>
      </c>
      <c r="I1934" s="6">
        <f>IF($B1933="","",IF(AND(ABS(B1944)&gt;'Opening Balance'!$B$13,B1944&lt;0),ROUND(B1934-B1944,2),B1934))</f>
        <v/>
      </c>
      <c r="K1934" t="inlineStr">
        <is>
          <t>c/f petty cash 今日备用金结转</t>
        </is>
      </c>
      <c r="L1934" s="6">
        <f>IF($B1933="","",IF(ABS(B1944)&lt;='Opening Balance'!$B$13,ROUND(E1934+B1944,2),E1934))</f>
        <v/>
      </c>
    </row>
    <row r="1935">
      <c r="A1935" t="inlineStr">
        <is>
          <t>Misc Charges 杂项费用</t>
        </is>
      </c>
      <c r="B1935" s="6">
        <f>IF($B1933="","",'Daily Sale entry '!C140)</f>
        <v/>
      </c>
      <c r="D1935" t="inlineStr">
        <is>
          <t>cash collection 现金收款</t>
        </is>
      </c>
      <c r="E1935" s="6">
        <f>IF($B1933="","",'Daily Sale entry '!H140)</f>
        <v/>
      </c>
      <c r="H1935" t="inlineStr">
        <is>
          <t>Misc Charges 杂项费用</t>
        </is>
      </c>
      <c r="I1935" s="6">
        <f>IF($B1933="","",IF(AND(ABS(B1944)&gt;'Opening Balance'!$B$13,B1944&gt;0),ROUND(B1935+B1944,2),B1935))</f>
        <v/>
      </c>
      <c r="K1935" t="inlineStr">
        <is>
          <t>cash collection 现金收款</t>
        </is>
      </c>
      <c r="L1935" s="6">
        <f>IF($B1933="","",E1935)</f>
        <v/>
      </c>
    </row>
    <row r="1936">
      <c r="A1936" s="1" t="inlineStr">
        <is>
          <t>Other Charges 其他费用</t>
        </is>
      </c>
      <c r="B1936" s="9">
        <f>IF($B1933="","",'Daily Sale entry '!D140)</f>
        <v/>
      </c>
      <c r="D1936" s="1" t="inlineStr">
        <is>
          <t>Cheque Collection 支票收款</t>
        </is>
      </c>
      <c r="E1936" s="9">
        <f>IF($B1933="","",'Daily Sale entry '!J140)</f>
        <v/>
      </c>
      <c r="H1936" s="1" t="inlineStr">
        <is>
          <t>Other Charges 其他费用</t>
        </is>
      </c>
      <c r="I1936" s="9">
        <f>IF($B1933="","",B1936)</f>
        <v/>
      </c>
      <c r="K1936" s="1" t="inlineStr">
        <is>
          <t>Cheque Collection 支票收款</t>
        </is>
      </c>
      <c r="L1936" s="9">
        <f>IF($B1933="","",E1936)</f>
        <v/>
      </c>
    </row>
    <row r="1937">
      <c r="A1937" s="10" t="inlineStr">
        <is>
          <t>Amount 金额  (Cash Sales - Misc - Other)</t>
        </is>
      </c>
      <c r="B1937" s="11">
        <f>IF($B1933="","",ROUND(B1934-B1935-B1936,2))</f>
        <v/>
      </c>
      <c r="D1937" s="12" t="inlineStr">
        <is>
          <t>TNG collection TNG收款</t>
        </is>
      </c>
      <c r="E1937" s="13">
        <f>IF($B1933="","",'Daily Sale entry '!K140)</f>
        <v/>
      </c>
      <c r="H1937" s="10" t="inlineStr">
        <is>
          <t>Amount 金额  (Cash Sales - Misc - Other)</t>
        </is>
      </c>
      <c r="I1937" s="11">
        <f>IF($B1933="","",ROUND(I1934-I1935-I1936,2))</f>
        <v/>
      </c>
      <c r="K1937" s="12" t="inlineStr">
        <is>
          <t>TNG collection TNG收款</t>
        </is>
      </c>
      <c r="L1937" s="13">
        <f>IF($B1933="","",E1937)</f>
        <v/>
      </c>
    </row>
    <row r="1938">
      <c r="A1938" t="inlineStr">
        <is>
          <t>Credit Collection 赊账收款</t>
        </is>
      </c>
      <c r="B1938" s="6">
        <f>IF($B1933="","",'Daily Sale entry '!E140)</f>
        <v/>
      </c>
      <c r="D1938" t="inlineStr">
        <is>
          <t>Advance Salary_M 预支薪水_M</t>
        </is>
      </c>
      <c r="E1938" s="6">
        <f>IF($B1933="","",'Daily Sale entry '!L140)</f>
        <v/>
      </c>
      <c r="H1938" t="inlineStr">
        <is>
          <t>Credit Collection 赊账收款</t>
        </is>
      </c>
      <c r="I1938" s="6">
        <f>IF($B1933="","",B1938)</f>
        <v/>
      </c>
      <c r="K1938" t="inlineStr">
        <is>
          <t>Advance Salary_M 预支薪水_M</t>
        </is>
      </c>
      <c r="L1938" s="6">
        <f>IF($B1933="","",E1938)</f>
        <v/>
      </c>
    </row>
    <row r="1939">
      <c r="A1939" s="10" t="inlineStr">
        <is>
          <t>Amount 2 金额2  (Amount + Credit Collection)</t>
        </is>
      </c>
      <c r="B1939" s="11">
        <f>IF($B1933="","",ROUND(B1937+B1938,2))</f>
        <v/>
      </c>
      <c r="D1939" t="inlineStr">
        <is>
          <t>Advance Salary_H 预支薪水_H</t>
        </is>
      </c>
      <c r="E1939" s="6">
        <f>IF($B1933="","",'Daily Sale entry '!M140)</f>
        <v/>
      </c>
      <c r="H1939" s="10" t="inlineStr">
        <is>
          <t>Amount 2 金额2  (Amount + Credit Collection)</t>
        </is>
      </c>
      <c r="I1939" s="11">
        <f>IF($B1933="","",ROUND(I1937+I1938,2))</f>
        <v/>
      </c>
      <c r="K1939" t="inlineStr">
        <is>
          <t>Advance Salary_H 预支薪水_H</t>
        </is>
      </c>
      <c r="L1939" s="6">
        <f>IF($B1933="","",E1939)</f>
        <v/>
      </c>
    </row>
    <row r="1940"/>
    <row r="1941">
      <c r="A1941" s="1" t="inlineStr">
        <is>
          <t>b/f petty cash 上日备用金结转</t>
        </is>
      </c>
      <c r="B1941" s="9">
        <f>IF($B1933="","",'Daily Sale entry '!F140)</f>
        <v/>
      </c>
      <c r="D1941" s="1" t="n"/>
      <c r="E1941" s="1" t="n"/>
      <c r="H1941" s="1" t="inlineStr">
        <is>
          <t>b/f petty cash 上日备用金结转</t>
        </is>
      </c>
      <c r="I1941" s="9">
        <f>IF($B1933="","",B1941)</f>
        <v/>
      </c>
      <c r="K1941" s="1" t="n"/>
      <c r="L1941" s="1" t="n"/>
    </row>
    <row r="1942">
      <c r="A1942" t="inlineStr">
        <is>
          <t>Total (A) 总计 (A)</t>
        </is>
      </c>
      <c r="B1942" s="6">
        <f>IF($B1933="","",ROUND(B1939+B1941,2))</f>
        <v/>
      </c>
      <c r="D1942" t="inlineStr">
        <is>
          <t>Total(B) 总计 (B)</t>
        </is>
      </c>
      <c r="E1942" s="6">
        <f>IF($B1933="","",ROUND(E1934+E1935+E1936+E1937+E1938+E1939,2))</f>
        <v/>
      </c>
      <c r="H1942" t="inlineStr">
        <is>
          <t>Total© 总计 (C)</t>
        </is>
      </c>
      <c r="I1942" s="6">
        <f>IF($B1933="","",ROUND(I1939+I1941,2))</f>
        <v/>
      </c>
      <c r="K1942" t="inlineStr">
        <is>
          <t>Total(D) 总计 (D)</t>
        </is>
      </c>
      <c r="L1942" s="6">
        <f>IF($B1933="","",ROUND(L1934+L1935+L1936+L1937+L1938+L1939,2))</f>
        <v/>
      </c>
    </row>
    <row r="1943">
      <c r="A1943" s="14" t="inlineStr">
        <is>
          <t>Total = Amount 2 + b/f petty cash  (金额2 + 上日备用金)</t>
        </is>
      </c>
      <c r="H1943" s="14" t="inlineStr">
        <is>
          <t>Total = Amount 2 + b/f petty cash  (金额2 + 上日备用金)</t>
        </is>
      </c>
    </row>
    <row r="1944">
      <c r="A1944" t="inlineStr">
        <is>
          <t>Different 差额</t>
        </is>
      </c>
      <c r="B1944" s="6">
        <f>IF($B1933="","",ROUND(B1942-E1942,2))</f>
        <v/>
      </c>
      <c r="D1944">
        <f>IF($B1933="","",IF(ABS(B1944)&gt;'Opening Balance'!$B$16,"ALERT 警报: Different over RM"&amp;'Opening Balance'!$B$16&amp;" 差额超过RM"&amp;'Opening Balance'!$B$16&amp;" - please check 请检查",IF(B1944=0,"Tied 平衡",IF(ABS(B1944)&lt;='Opening Balance'!$B$13,"Small difference 小额差额: adjusted on c/f petty cash 已调整备用金",IF(B1944&gt;0,"Short 短收: added to Misc Charges 已加入杂项费用","Over 多收: added to Cash Sales 已加入现金销售")))))</f>
        <v/>
      </c>
      <c r="H1944" t="inlineStr">
        <is>
          <t>Different 差额</t>
        </is>
      </c>
      <c r="I1944" s="6">
        <f>IF($B1933="","",ROUND(I1942-L1942,2))</f>
        <v/>
      </c>
    </row>
    <row r="1945"/>
    <row r="1946"/>
    <row r="1947">
      <c r="A1947" t="inlineStr">
        <is>
          <t>Date 日期</t>
        </is>
      </c>
      <c r="B1947" s="5">
        <f>IF('Daily Sale entry '!$A141="","",'Daily Sale entry '!$A141)</f>
        <v/>
      </c>
      <c r="H1947" t="inlineStr">
        <is>
          <t>After 调整后 (After)</t>
        </is>
      </c>
      <c r="I1947" s="5">
        <f>IF($B1947="","",B1947)</f>
        <v/>
      </c>
    </row>
    <row r="1948">
      <c r="A1948" t="inlineStr">
        <is>
          <t>Cash Sales 现金销售</t>
        </is>
      </c>
      <c r="B1948" s="6">
        <f>IF($B1947="","",'Daily Sale entry '!B141)</f>
        <v/>
      </c>
      <c r="D1948" t="inlineStr">
        <is>
          <t>c/f petty cash 今日备用金结转</t>
        </is>
      </c>
      <c r="E1948" s="6">
        <f>IF($B1947="","",'Daily Sale entry '!G141)</f>
        <v/>
      </c>
      <c r="H1948" t="inlineStr">
        <is>
          <t>Cash Sales 现金销售</t>
        </is>
      </c>
      <c r="I1948" s="6">
        <f>IF($B1947="","",IF(AND(ABS(B1958)&gt;'Opening Balance'!$B$13,B1958&lt;0),ROUND(B1948-B1958,2),B1948))</f>
        <v/>
      </c>
      <c r="K1948" t="inlineStr">
        <is>
          <t>c/f petty cash 今日备用金结转</t>
        </is>
      </c>
      <c r="L1948" s="6">
        <f>IF($B1947="","",IF(ABS(B1958)&lt;='Opening Balance'!$B$13,ROUND(E1948+B1958,2),E1948))</f>
        <v/>
      </c>
    </row>
    <row r="1949">
      <c r="A1949" t="inlineStr">
        <is>
          <t>Misc Charges 杂项费用</t>
        </is>
      </c>
      <c r="B1949" s="6">
        <f>IF($B1947="","",'Daily Sale entry '!C141)</f>
        <v/>
      </c>
      <c r="D1949" t="inlineStr">
        <is>
          <t>cash collection 现金收款</t>
        </is>
      </c>
      <c r="E1949" s="6">
        <f>IF($B1947="","",'Daily Sale entry '!H141)</f>
        <v/>
      </c>
      <c r="H1949" t="inlineStr">
        <is>
          <t>Misc Charges 杂项费用</t>
        </is>
      </c>
      <c r="I1949" s="6">
        <f>IF($B1947="","",IF(AND(ABS(B1958)&gt;'Opening Balance'!$B$13,B1958&gt;0),ROUND(B1949+B1958,2),B1949))</f>
        <v/>
      </c>
      <c r="K1949" t="inlineStr">
        <is>
          <t>cash collection 现金收款</t>
        </is>
      </c>
      <c r="L1949" s="6">
        <f>IF($B1947="","",E1949)</f>
        <v/>
      </c>
    </row>
    <row r="1950">
      <c r="A1950" s="1" t="inlineStr">
        <is>
          <t>Other Charges 其他费用</t>
        </is>
      </c>
      <c r="B1950" s="9">
        <f>IF($B1947="","",'Daily Sale entry '!D141)</f>
        <v/>
      </c>
      <c r="D1950" s="1" t="inlineStr">
        <is>
          <t>Cheque Collection 支票收款</t>
        </is>
      </c>
      <c r="E1950" s="9">
        <f>IF($B1947="","",'Daily Sale entry '!J141)</f>
        <v/>
      </c>
      <c r="H1950" s="1" t="inlineStr">
        <is>
          <t>Other Charges 其他费用</t>
        </is>
      </c>
      <c r="I1950" s="9">
        <f>IF($B1947="","",B1950)</f>
        <v/>
      </c>
      <c r="K1950" s="1" t="inlineStr">
        <is>
          <t>Cheque Collection 支票收款</t>
        </is>
      </c>
      <c r="L1950" s="9">
        <f>IF($B1947="","",E1950)</f>
        <v/>
      </c>
    </row>
    <row r="1951">
      <c r="A1951" s="10" t="inlineStr">
        <is>
          <t>Amount 金额  (Cash Sales - Misc - Other)</t>
        </is>
      </c>
      <c r="B1951" s="11">
        <f>IF($B1947="","",ROUND(B1948-B1949-B1950,2))</f>
        <v/>
      </c>
      <c r="D1951" s="12" t="inlineStr">
        <is>
          <t>TNG collection TNG收款</t>
        </is>
      </c>
      <c r="E1951" s="13">
        <f>IF($B1947="","",'Daily Sale entry '!K141)</f>
        <v/>
      </c>
      <c r="H1951" s="10" t="inlineStr">
        <is>
          <t>Amount 金额  (Cash Sales - Misc - Other)</t>
        </is>
      </c>
      <c r="I1951" s="11">
        <f>IF($B1947="","",ROUND(I1948-I1949-I1950,2))</f>
        <v/>
      </c>
      <c r="K1951" s="12" t="inlineStr">
        <is>
          <t>TNG collection TNG收款</t>
        </is>
      </c>
      <c r="L1951" s="13">
        <f>IF($B1947="","",E1951)</f>
        <v/>
      </c>
    </row>
    <row r="1952">
      <c r="A1952" t="inlineStr">
        <is>
          <t>Credit Collection 赊账收款</t>
        </is>
      </c>
      <c r="B1952" s="6">
        <f>IF($B1947="","",'Daily Sale entry '!E141)</f>
        <v/>
      </c>
      <c r="D1952" t="inlineStr">
        <is>
          <t>Advance Salary_M 预支薪水_M</t>
        </is>
      </c>
      <c r="E1952" s="6">
        <f>IF($B1947="","",'Daily Sale entry '!L141)</f>
        <v/>
      </c>
      <c r="H1952" t="inlineStr">
        <is>
          <t>Credit Collection 赊账收款</t>
        </is>
      </c>
      <c r="I1952" s="6">
        <f>IF($B1947="","",B1952)</f>
        <v/>
      </c>
      <c r="K1952" t="inlineStr">
        <is>
          <t>Advance Salary_M 预支薪水_M</t>
        </is>
      </c>
      <c r="L1952" s="6">
        <f>IF($B1947="","",E1952)</f>
        <v/>
      </c>
    </row>
    <row r="1953">
      <c r="A1953" s="10" t="inlineStr">
        <is>
          <t>Amount 2 金额2  (Amount + Credit Collection)</t>
        </is>
      </c>
      <c r="B1953" s="11">
        <f>IF($B1947="","",ROUND(B1951+B1952,2))</f>
        <v/>
      </c>
      <c r="D1953" t="inlineStr">
        <is>
          <t>Advance Salary_H 预支薪水_H</t>
        </is>
      </c>
      <c r="E1953" s="6">
        <f>IF($B1947="","",'Daily Sale entry '!M141)</f>
        <v/>
      </c>
      <c r="H1953" s="10" t="inlineStr">
        <is>
          <t>Amount 2 金额2  (Amount + Credit Collection)</t>
        </is>
      </c>
      <c r="I1953" s="11">
        <f>IF($B1947="","",ROUND(I1951+I1952,2))</f>
        <v/>
      </c>
      <c r="K1953" t="inlineStr">
        <is>
          <t>Advance Salary_H 预支薪水_H</t>
        </is>
      </c>
      <c r="L1953" s="6">
        <f>IF($B1947="","",E1953)</f>
        <v/>
      </c>
    </row>
    <row r="1954"/>
    <row r="1955">
      <c r="A1955" s="1" t="inlineStr">
        <is>
          <t>b/f petty cash 上日备用金结转</t>
        </is>
      </c>
      <c r="B1955" s="9">
        <f>IF($B1947="","",'Daily Sale entry '!F141)</f>
        <v/>
      </c>
      <c r="D1955" s="1" t="n"/>
      <c r="E1955" s="1" t="n"/>
      <c r="H1955" s="1" t="inlineStr">
        <is>
          <t>b/f petty cash 上日备用金结转</t>
        </is>
      </c>
      <c r="I1955" s="9">
        <f>IF($B1947="","",B1955)</f>
        <v/>
      </c>
      <c r="K1955" s="1" t="n"/>
      <c r="L1955" s="1" t="n"/>
    </row>
    <row r="1956">
      <c r="A1956" t="inlineStr">
        <is>
          <t>Total (A) 总计 (A)</t>
        </is>
      </c>
      <c r="B1956" s="6">
        <f>IF($B1947="","",ROUND(B1953+B1955,2))</f>
        <v/>
      </c>
      <c r="D1956" t="inlineStr">
        <is>
          <t>Total(B) 总计 (B)</t>
        </is>
      </c>
      <c r="E1956" s="6">
        <f>IF($B1947="","",ROUND(E1948+E1949+E1950+E1951+E1952+E1953,2))</f>
        <v/>
      </c>
      <c r="H1956" t="inlineStr">
        <is>
          <t>Total© 总计 (C)</t>
        </is>
      </c>
      <c r="I1956" s="6">
        <f>IF($B1947="","",ROUND(I1953+I1955,2))</f>
        <v/>
      </c>
      <c r="K1956" t="inlineStr">
        <is>
          <t>Total(D) 总计 (D)</t>
        </is>
      </c>
      <c r="L1956" s="6">
        <f>IF($B1947="","",ROUND(L1948+L1949+L1950+L1951+L1952+L1953,2))</f>
        <v/>
      </c>
    </row>
    <row r="1957">
      <c r="A1957" s="14" t="inlineStr">
        <is>
          <t>Total = Amount 2 + b/f petty cash  (金额2 + 上日备用金)</t>
        </is>
      </c>
      <c r="H1957" s="14" t="inlineStr">
        <is>
          <t>Total = Amount 2 + b/f petty cash  (金额2 + 上日备用金)</t>
        </is>
      </c>
    </row>
    <row r="1958">
      <c r="A1958" t="inlineStr">
        <is>
          <t>Different 差额</t>
        </is>
      </c>
      <c r="B1958" s="6">
        <f>IF($B1947="","",ROUND(B1956-E1956,2))</f>
        <v/>
      </c>
      <c r="D1958">
        <f>IF($B1947="","",IF(ABS(B1958)&gt;'Opening Balance'!$B$16,"ALERT 警报: Different over RM"&amp;'Opening Balance'!$B$16&amp;" 差额超过RM"&amp;'Opening Balance'!$B$16&amp;" - please check 请检查",IF(B1958=0,"Tied 平衡",IF(ABS(B1958)&lt;='Opening Balance'!$B$13,"Small difference 小额差额: adjusted on c/f petty cash 已调整备用金",IF(B1958&gt;0,"Short 短收: added to Misc Charges 已加入杂项费用","Over 多收: added to Cash Sales 已加入现金销售")))))</f>
        <v/>
      </c>
      <c r="H1958" t="inlineStr">
        <is>
          <t>Different 差额</t>
        </is>
      </c>
      <c r="I1958" s="6">
        <f>IF($B1947="","",ROUND(I1956-L1956,2))</f>
        <v/>
      </c>
    </row>
    <row r="1959"/>
    <row r="1960"/>
    <row r="1961">
      <c r="A1961" t="inlineStr">
        <is>
          <t>Date 日期</t>
        </is>
      </c>
      <c r="B1961" s="5">
        <f>IF('Daily Sale entry '!$A142="","",'Daily Sale entry '!$A142)</f>
        <v/>
      </c>
      <c r="H1961" t="inlineStr">
        <is>
          <t>After 调整后 (After)</t>
        </is>
      </c>
      <c r="I1961" s="5">
        <f>IF($B1961="","",B1961)</f>
        <v/>
      </c>
    </row>
    <row r="1962">
      <c r="A1962" t="inlineStr">
        <is>
          <t>Cash Sales 现金销售</t>
        </is>
      </c>
      <c r="B1962" s="6">
        <f>IF($B1961="","",'Daily Sale entry '!B142)</f>
        <v/>
      </c>
      <c r="D1962" t="inlineStr">
        <is>
          <t>c/f petty cash 今日备用金结转</t>
        </is>
      </c>
      <c r="E1962" s="6">
        <f>IF($B1961="","",'Daily Sale entry '!G142)</f>
        <v/>
      </c>
      <c r="H1962" t="inlineStr">
        <is>
          <t>Cash Sales 现金销售</t>
        </is>
      </c>
      <c r="I1962" s="6">
        <f>IF($B1961="","",IF(AND(ABS(B1972)&gt;'Opening Balance'!$B$13,B1972&lt;0),ROUND(B1962-B1972,2),B1962))</f>
        <v/>
      </c>
      <c r="K1962" t="inlineStr">
        <is>
          <t>c/f petty cash 今日备用金结转</t>
        </is>
      </c>
      <c r="L1962" s="6">
        <f>IF($B1961="","",IF(ABS(B1972)&lt;='Opening Balance'!$B$13,ROUND(E1962+B1972,2),E1962))</f>
        <v/>
      </c>
    </row>
    <row r="1963">
      <c r="A1963" t="inlineStr">
        <is>
          <t>Misc Charges 杂项费用</t>
        </is>
      </c>
      <c r="B1963" s="6">
        <f>IF($B1961="","",'Daily Sale entry '!C142)</f>
        <v/>
      </c>
      <c r="D1963" t="inlineStr">
        <is>
          <t>cash collection 现金收款</t>
        </is>
      </c>
      <c r="E1963" s="6">
        <f>IF($B1961="","",'Daily Sale entry '!H142)</f>
        <v/>
      </c>
      <c r="H1963" t="inlineStr">
        <is>
          <t>Misc Charges 杂项费用</t>
        </is>
      </c>
      <c r="I1963" s="6">
        <f>IF($B1961="","",IF(AND(ABS(B1972)&gt;'Opening Balance'!$B$13,B1972&gt;0),ROUND(B1963+B1972,2),B1963))</f>
        <v/>
      </c>
      <c r="K1963" t="inlineStr">
        <is>
          <t>cash collection 现金收款</t>
        </is>
      </c>
      <c r="L1963" s="6">
        <f>IF($B1961="","",E1963)</f>
        <v/>
      </c>
    </row>
    <row r="1964">
      <c r="A1964" s="1" t="inlineStr">
        <is>
          <t>Other Charges 其他费用</t>
        </is>
      </c>
      <c r="B1964" s="9">
        <f>IF($B1961="","",'Daily Sale entry '!D142)</f>
        <v/>
      </c>
      <c r="D1964" s="1" t="inlineStr">
        <is>
          <t>Cheque Collection 支票收款</t>
        </is>
      </c>
      <c r="E1964" s="9">
        <f>IF($B1961="","",'Daily Sale entry '!J142)</f>
        <v/>
      </c>
      <c r="H1964" s="1" t="inlineStr">
        <is>
          <t>Other Charges 其他费用</t>
        </is>
      </c>
      <c r="I1964" s="9">
        <f>IF($B1961="","",B1964)</f>
        <v/>
      </c>
      <c r="K1964" s="1" t="inlineStr">
        <is>
          <t>Cheque Collection 支票收款</t>
        </is>
      </c>
      <c r="L1964" s="9">
        <f>IF($B1961="","",E1964)</f>
        <v/>
      </c>
    </row>
    <row r="1965">
      <c r="A1965" s="10" t="inlineStr">
        <is>
          <t>Amount 金额  (Cash Sales - Misc - Other)</t>
        </is>
      </c>
      <c r="B1965" s="11">
        <f>IF($B1961="","",ROUND(B1962-B1963-B1964,2))</f>
        <v/>
      </c>
      <c r="D1965" s="12" t="inlineStr">
        <is>
          <t>TNG collection TNG收款</t>
        </is>
      </c>
      <c r="E1965" s="13">
        <f>IF($B1961="","",'Daily Sale entry '!K142)</f>
        <v/>
      </c>
      <c r="H1965" s="10" t="inlineStr">
        <is>
          <t>Amount 金额  (Cash Sales - Misc - Other)</t>
        </is>
      </c>
      <c r="I1965" s="11">
        <f>IF($B1961="","",ROUND(I1962-I1963-I1964,2))</f>
        <v/>
      </c>
      <c r="K1965" s="12" t="inlineStr">
        <is>
          <t>TNG collection TNG收款</t>
        </is>
      </c>
      <c r="L1965" s="13">
        <f>IF($B1961="","",E1965)</f>
        <v/>
      </c>
    </row>
    <row r="1966">
      <c r="A1966" t="inlineStr">
        <is>
          <t>Credit Collection 赊账收款</t>
        </is>
      </c>
      <c r="B1966" s="6">
        <f>IF($B1961="","",'Daily Sale entry '!E142)</f>
        <v/>
      </c>
      <c r="D1966" t="inlineStr">
        <is>
          <t>Advance Salary_M 预支薪水_M</t>
        </is>
      </c>
      <c r="E1966" s="6">
        <f>IF($B1961="","",'Daily Sale entry '!L142)</f>
        <v/>
      </c>
      <c r="H1966" t="inlineStr">
        <is>
          <t>Credit Collection 赊账收款</t>
        </is>
      </c>
      <c r="I1966" s="6">
        <f>IF($B1961="","",B1966)</f>
        <v/>
      </c>
      <c r="K1966" t="inlineStr">
        <is>
          <t>Advance Salary_M 预支薪水_M</t>
        </is>
      </c>
      <c r="L1966" s="6">
        <f>IF($B1961="","",E1966)</f>
        <v/>
      </c>
    </row>
    <row r="1967">
      <c r="A1967" s="10" t="inlineStr">
        <is>
          <t>Amount 2 金额2  (Amount + Credit Collection)</t>
        </is>
      </c>
      <c r="B1967" s="11">
        <f>IF($B1961="","",ROUND(B1965+B1966,2))</f>
        <v/>
      </c>
      <c r="D1967" t="inlineStr">
        <is>
          <t>Advance Salary_H 预支薪水_H</t>
        </is>
      </c>
      <c r="E1967" s="6">
        <f>IF($B1961="","",'Daily Sale entry '!M142)</f>
        <v/>
      </c>
      <c r="H1967" s="10" t="inlineStr">
        <is>
          <t>Amount 2 金额2  (Amount + Credit Collection)</t>
        </is>
      </c>
      <c r="I1967" s="11">
        <f>IF($B1961="","",ROUND(I1965+I1966,2))</f>
        <v/>
      </c>
      <c r="K1967" t="inlineStr">
        <is>
          <t>Advance Salary_H 预支薪水_H</t>
        </is>
      </c>
      <c r="L1967" s="6">
        <f>IF($B1961="","",E1967)</f>
        <v/>
      </c>
    </row>
    <row r="1968"/>
    <row r="1969">
      <c r="A1969" s="1" t="inlineStr">
        <is>
          <t>b/f petty cash 上日备用金结转</t>
        </is>
      </c>
      <c r="B1969" s="9">
        <f>IF($B1961="","",'Daily Sale entry '!F142)</f>
        <v/>
      </c>
      <c r="D1969" s="1" t="n"/>
      <c r="E1969" s="1" t="n"/>
      <c r="H1969" s="1" t="inlineStr">
        <is>
          <t>b/f petty cash 上日备用金结转</t>
        </is>
      </c>
      <c r="I1969" s="9">
        <f>IF($B1961="","",B1969)</f>
        <v/>
      </c>
      <c r="K1969" s="1" t="n"/>
      <c r="L1969" s="1" t="n"/>
    </row>
    <row r="1970">
      <c r="A1970" t="inlineStr">
        <is>
          <t>Total (A) 总计 (A)</t>
        </is>
      </c>
      <c r="B1970" s="6">
        <f>IF($B1961="","",ROUND(B1967+B1969,2))</f>
        <v/>
      </c>
      <c r="D1970" t="inlineStr">
        <is>
          <t>Total(B) 总计 (B)</t>
        </is>
      </c>
      <c r="E1970" s="6">
        <f>IF($B1961="","",ROUND(E1962+E1963+E1964+E1965+E1966+E1967,2))</f>
        <v/>
      </c>
      <c r="H1970" t="inlineStr">
        <is>
          <t>Total© 总计 (C)</t>
        </is>
      </c>
      <c r="I1970" s="6">
        <f>IF($B1961="","",ROUND(I1967+I1969,2))</f>
        <v/>
      </c>
      <c r="K1970" t="inlineStr">
        <is>
          <t>Total(D) 总计 (D)</t>
        </is>
      </c>
      <c r="L1970" s="6">
        <f>IF($B1961="","",ROUND(L1962+L1963+L1964+L1965+L1966+L1967,2))</f>
        <v/>
      </c>
    </row>
    <row r="1971">
      <c r="A1971" s="14" t="inlineStr">
        <is>
          <t>Total = Amount 2 + b/f petty cash  (金额2 + 上日备用金)</t>
        </is>
      </c>
      <c r="H1971" s="14" t="inlineStr">
        <is>
          <t>Total = Amount 2 + b/f petty cash  (金额2 + 上日备用金)</t>
        </is>
      </c>
    </row>
    <row r="1972">
      <c r="A1972" t="inlineStr">
        <is>
          <t>Different 差额</t>
        </is>
      </c>
      <c r="B1972" s="6">
        <f>IF($B1961="","",ROUND(B1970-E1970,2))</f>
        <v/>
      </c>
      <c r="D1972">
        <f>IF($B1961="","",IF(ABS(B1972)&gt;'Opening Balance'!$B$16,"ALERT 警报: Different over RM"&amp;'Opening Balance'!$B$16&amp;" 差额超过RM"&amp;'Opening Balance'!$B$16&amp;" - please check 请检查",IF(B1972=0,"Tied 平衡",IF(ABS(B1972)&lt;='Opening Balance'!$B$13,"Small difference 小额差额: adjusted on c/f petty cash 已调整备用金",IF(B1972&gt;0,"Short 短收: added to Misc Charges 已加入杂项费用","Over 多收: added to Cash Sales 已加入现金销售")))))</f>
        <v/>
      </c>
      <c r="H1972" t="inlineStr">
        <is>
          <t>Different 差额</t>
        </is>
      </c>
      <c r="I1972" s="6">
        <f>IF($B1961="","",ROUND(I1970-L1970,2))</f>
        <v/>
      </c>
    </row>
    <row r="1973"/>
    <row r="1974"/>
    <row r="1975">
      <c r="A1975" t="inlineStr">
        <is>
          <t>Date 日期</t>
        </is>
      </c>
      <c r="B1975" s="5">
        <f>IF('Daily Sale entry '!$A143="","",'Daily Sale entry '!$A143)</f>
        <v/>
      </c>
      <c r="H1975" t="inlineStr">
        <is>
          <t>After 调整后 (After)</t>
        </is>
      </c>
      <c r="I1975" s="5">
        <f>IF($B1975="","",B1975)</f>
        <v/>
      </c>
    </row>
    <row r="1976">
      <c r="A1976" t="inlineStr">
        <is>
          <t>Cash Sales 现金销售</t>
        </is>
      </c>
      <c r="B1976" s="6">
        <f>IF($B1975="","",'Daily Sale entry '!B143)</f>
        <v/>
      </c>
      <c r="D1976" t="inlineStr">
        <is>
          <t>c/f petty cash 今日备用金结转</t>
        </is>
      </c>
      <c r="E1976" s="6">
        <f>IF($B1975="","",'Daily Sale entry '!G143)</f>
        <v/>
      </c>
      <c r="H1976" t="inlineStr">
        <is>
          <t>Cash Sales 现金销售</t>
        </is>
      </c>
      <c r="I1976" s="6">
        <f>IF($B1975="","",IF(AND(ABS(B1986)&gt;'Opening Balance'!$B$13,B1986&lt;0),ROUND(B1976-B1986,2),B1976))</f>
        <v/>
      </c>
      <c r="K1976" t="inlineStr">
        <is>
          <t>c/f petty cash 今日备用金结转</t>
        </is>
      </c>
      <c r="L1976" s="6">
        <f>IF($B1975="","",IF(ABS(B1986)&lt;='Opening Balance'!$B$13,ROUND(E1976+B1986,2),E1976))</f>
        <v/>
      </c>
    </row>
    <row r="1977">
      <c r="A1977" t="inlineStr">
        <is>
          <t>Misc Charges 杂项费用</t>
        </is>
      </c>
      <c r="B1977" s="6">
        <f>IF($B1975="","",'Daily Sale entry '!C143)</f>
        <v/>
      </c>
      <c r="D1977" t="inlineStr">
        <is>
          <t>cash collection 现金收款</t>
        </is>
      </c>
      <c r="E1977" s="6">
        <f>IF($B1975="","",'Daily Sale entry '!H143)</f>
        <v/>
      </c>
      <c r="H1977" t="inlineStr">
        <is>
          <t>Misc Charges 杂项费用</t>
        </is>
      </c>
      <c r="I1977" s="6">
        <f>IF($B1975="","",IF(AND(ABS(B1986)&gt;'Opening Balance'!$B$13,B1986&gt;0),ROUND(B1977+B1986,2),B1977))</f>
        <v/>
      </c>
      <c r="K1977" t="inlineStr">
        <is>
          <t>cash collection 现金收款</t>
        </is>
      </c>
      <c r="L1977" s="6">
        <f>IF($B1975="","",E1977)</f>
        <v/>
      </c>
    </row>
    <row r="1978">
      <c r="A1978" s="1" t="inlineStr">
        <is>
          <t>Other Charges 其他费用</t>
        </is>
      </c>
      <c r="B1978" s="9">
        <f>IF($B1975="","",'Daily Sale entry '!D143)</f>
        <v/>
      </c>
      <c r="D1978" s="1" t="inlineStr">
        <is>
          <t>Cheque Collection 支票收款</t>
        </is>
      </c>
      <c r="E1978" s="9">
        <f>IF($B1975="","",'Daily Sale entry '!J143)</f>
        <v/>
      </c>
      <c r="H1978" s="1" t="inlineStr">
        <is>
          <t>Other Charges 其他费用</t>
        </is>
      </c>
      <c r="I1978" s="9">
        <f>IF($B1975="","",B1978)</f>
        <v/>
      </c>
      <c r="K1978" s="1" t="inlineStr">
        <is>
          <t>Cheque Collection 支票收款</t>
        </is>
      </c>
      <c r="L1978" s="9">
        <f>IF($B1975="","",E1978)</f>
        <v/>
      </c>
    </row>
    <row r="1979">
      <c r="A1979" s="10" t="inlineStr">
        <is>
          <t>Amount 金额  (Cash Sales - Misc - Other)</t>
        </is>
      </c>
      <c r="B1979" s="11">
        <f>IF($B1975="","",ROUND(B1976-B1977-B1978,2))</f>
        <v/>
      </c>
      <c r="D1979" s="12" t="inlineStr">
        <is>
          <t>TNG collection TNG收款</t>
        </is>
      </c>
      <c r="E1979" s="13">
        <f>IF($B1975="","",'Daily Sale entry '!K143)</f>
        <v/>
      </c>
      <c r="H1979" s="10" t="inlineStr">
        <is>
          <t>Amount 金额  (Cash Sales - Misc - Other)</t>
        </is>
      </c>
      <c r="I1979" s="11">
        <f>IF($B1975="","",ROUND(I1976-I1977-I1978,2))</f>
        <v/>
      </c>
      <c r="K1979" s="12" t="inlineStr">
        <is>
          <t>TNG collection TNG收款</t>
        </is>
      </c>
      <c r="L1979" s="13">
        <f>IF($B1975="","",E1979)</f>
        <v/>
      </c>
    </row>
    <row r="1980">
      <c r="A1980" t="inlineStr">
        <is>
          <t>Credit Collection 赊账收款</t>
        </is>
      </c>
      <c r="B1980" s="6">
        <f>IF($B1975="","",'Daily Sale entry '!E143)</f>
        <v/>
      </c>
      <c r="D1980" t="inlineStr">
        <is>
          <t>Advance Salary_M 预支薪水_M</t>
        </is>
      </c>
      <c r="E1980" s="6">
        <f>IF($B1975="","",'Daily Sale entry '!L143)</f>
        <v/>
      </c>
      <c r="H1980" t="inlineStr">
        <is>
          <t>Credit Collection 赊账收款</t>
        </is>
      </c>
      <c r="I1980" s="6">
        <f>IF($B1975="","",B1980)</f>
        <v/>
      </c>
      <c r="K1980" t="inlineStr">
        <is>
          <t>Advance Salary_M 预支薪水_M</t>
        </is>
      </c>
      <c r="L1980" s="6">
        <f>IF($B1975="","",E1980)</f>
        <v/>
      </c>
    </row>
    <row r="1981">
      <c r="A1981" s="10" t="inlineStr">
        <is>
          <t>Amount 2 金额2  (Amount + Credit Collection)</t>
        </is>
      </c>
      <c r="B1981" s="11">
        <f>IF($B1975="","",ROUND(B1979+B1980,2))</f>
        <v/>
      </c>
      <c r="D1981" t="inlineStr">
        <is>
          <t>Advance Salary_H 预支薪水_H</t>
        </is>
      </c>
      <c r="E1981" s="6">
        <f>IF($B1975="","",'Daily Sale entry '!M143)</f>
        <v/>
      </c>
      <c r="H1981" s="10" t="inlineStr">
        <is>
          <t>Amount 2 金额2  (Amount + Credit Collection)</t>
        </is>
      </c>
      <c r="I1981" s="11">
        <f>IF($B1975="","",ROUND(I1979+I1980,2))</f>
        <v/>
      </c>
      <c r="K1981" t="inlineStr">
        <is>
          <t>Advance Salary_H 预支薪水_H</t>
        </is>
      </c>
      <c r="L1981" s="6">
        <f>IF($B1975="","",E1981)</f>
        <v/>
      </c>
    </row>
    <row r="1982"/>
    <row r="1983">
      <c r="A1983" s="1" t="inlineStr">
        <is>
          <t>b/f petty cash 上日备用金结转</t>
        </is>
      </c>
      <c r="B1983" s="9">
        <f>IF($B1975="","",'Daily Sale entry '!F143)</f>
        <v/>
      </c>
      <c r="D1983" s="1" t="n"/>
      <c r="E1983" s="1" t="n"/>
      <c r="H1983" s="1" t="inlineStr">
        <is>
          <t>b/f petty cash 上日备用金结转</t>
        </is>
      </c>
      <c r="I1983" s="9">
        <f>IF($B1975="","",B1983)</f>
        <v/>
      </c>
      <c r="K1983" s="1" t="n"/>
      <c r="L1983" s="1" t="n"/>
    </row>
    <row r="1984">
      <c r="A1984" t="inlineStr">
        <is>
          <t>Total (A) 总计 (A)</t>
        </is>
      </c>
      <c r="B1984" s="6">
        <f>IF($B1975="","",ROUND(B1981+B1983,2))</f>
        <v/>
      </c>
      <c r="D1984" t="inlineStr">
        <is>
          <t>Total(B) 总计 (B)</t>
        </is>
      </c>
      <c r="E1984" s="6">
        <f>IF($B1975="","",ROUND(E1976+E1977+E1978+E1979+E1980+E1981,2))</f>
        <v/>
      </c>
      <c r="H1984" t="inlineStr">
        <is>
          <t>Total© 总计 (C)</t>
        </is>
      </c>
      <c r="I1984" s="6">
        <f>IF($B1975="","",ROUND(I1981+I1983,2))</f>
        <v/>
      </c>
      <c r="K1984" t="inlineStr">
        <is>
          <t>Total(D) 总计 (D)</t>
        </is>
      </c>
      <c r="L1984" s="6">
        <f>IF($B1975="","",ROUND(L1976+L1977+L1978+L1979+L1980+L1981,2))</f>
        <v/>
      </c>
    </row>
    <row r="1985">
      <c r="A1985" s="14" t="inlineStr">
        <is>
          <t>Total = Amount 2 + b/f petty cash  (金额2 + 上日备用金)</t>
        </is>
      </c>
      <c r="H1985" s="14" t="inlineStr">
        <is>
          <t>Total = Amount 2 + b/f petty cash  (金额2 + 上日备用金)</t>
        </is>
      </c>
    </row>
    <row r="1986">
      <c r="A1986" t="inlineStr">
        <is>
          <t>Different 差额</t>
        </is>
      </c>
      <c r="B1986" s="6">
        <f>IF($B1975="","",ROUND(B1984-E1984,2))</f>
        <v/>
      </c>
      <c r="D1986">
        <f>IF($B1975="","",IF(ABS(B1986)&gt;'Opening Balance'!$B$16,"ALERT 警报: Different over RM"&amp;'Opening Balance'!$B$16&amp;" 差额超过RM"&amp;'Opening Balance'!$B$16&amp;" - please check 请检查",IF(B1986=0,"Tied 平衡",IF(ABS(B1986)&lt;='Opening Balance'!$B$13,"Small difference 小额差额: adjusted on c/f petty cash 已调整备用金",IF(B1986&gt;0,"Short 短收: added to Misc Charges 已加入杂项费用","Over 多收: added to Cash Sales 已加入现金销售")))))</f>
        <v/>
      </c>
      <c r="H1986" t="inlineStr">
        <is>
          <t>Different 差额</t>
        </is>
      </c>
      <c r="I1986" s="6">
        <f>IF($B1975="","",ROUND(I1984-L1984,2))</f>
        <v/>
      </c>
    </row>
    <row r="1987"/>
    <row r="1988"/>
    <row r="1989">
      <c r="A1989" t="inlineStr">
        <is>
          <t>Date 日期</t>
        </is>
      </c>
      <c r="B1989" s="5">
        <f>IF('Daily Sale entry '!$A144="","",'Daily Sale entry '!$A144)</f>
        <v/>
      </c>
      <c r="H1989" t="inlineStr">
        <is>
          <t>After 调整后 (After)</t>
        </is>
      </c>
      <c r="I1989" s="5">
        <f>IF($B1989="","",B1989)</f>
        <v/>
      </c>
    </row>
    <row r="1990">
      <c r="A1990" t="inlineStr">
        <is>
          <t>Cash Sales 现金销售</t>
        </is>
      </c>
      <c r="B1990" s="6">
        <f>IF($B1989="","",'Daily Sale entry '!B144)</f>
        <v/>
      </c>
      <c r="D1990" t="inlineStr">
        <is>
          <t>c/f petty cash 今日备用金结转</t>
        </is>
      </c>
      <c r="E1990" s="6">
        <f>IF($B1989="","",'Daily Sale entry '!G144)</f>
        <v/>
      </c>
      <c r="H1990" t="inlineStr">
        <is>
          <t>Cash Sales 现金销售</t>
        </is>
      </c>
      <c r="I1990" s="6">
        <f>IF($B1989="","",IF(AND(ABS(B2000)&gt;'Opening Balance'!$B$13,B2000&lt;0),ROUND(B1990-B2000,2),B1990))</f>
        <v/>
      </c>
      <c r="K1990" t="inlineStr">
        <is>
          <t>c/f petty cash 今日备用金结转</t>
        </is>
      </c>
      <c r="L1990" s="6">
        <f>IF($B1989="","",IF(ABS(B2000)&lt;='Opening Balance'!$B$13,ROUND(E1990+B2000,2),E1990))</f>
        <v/>
      </c>
    </row>
    <row r="1991">
      <c r="A1991" t="inlineStr">
        <is>
          <t>Misc Charges 杂项费用</t>
        </is>
      </c>
      <c r="B1991" s="6">
        <f>IF($B1989="","",'Daily Sale entry '!C144)</f>
        <v/>
      </c>
      <c r="D1991" t="inlineStr">
        <is>
          <t>cash collection 现金收款</t>
        </is>
      </c>
      <c r="E1991" s="6">
        <f>IF($B1989="","",'Daily Sale entry '!H144)</f>
        <v/>
      </c>
      <c r="H1991" t="inlineStr">
        <is>
          <t>Misc Charges 杂项费用</t>
        </is>
      </c>
      <c r="I1991" s="6">
        <f>IF($B1989="","",IF(AND(ABS(B2000)&gt;'Opening Balance'!$B$13,B2000&gt;0),ROUND(B1991+B2000,2),B1991))</f>
        <v/>
      </c>
      <c r="K1991" t="inlineStr">
        <is>
          <t>cash collection 现金收款</t>
        </is>
      </c>
      <c r="L1991" s="6">
        <f>IF($B1989="","",E1991)</f>
        <v/>
      </c>
    </row>
    <row r="1992">
      <c r="A1992" s="1" t="inlineStr">
        <is>
          <t>Other Charges 其他费用</t>
        </is>
      </c>
      <c r="B1992" s="9">
        <f>IF($B1989="","",'Daily Sale entry '!D144)</f>
        <v/>
      </c>
      <c r="D1992" s="1" t="inlineStr">
        <is>
          <t>Cheque Collection 支票收款</t>
        </is>
      </c>
      <c r="E1992" s="9">
        <f>IF($B1989="","",'Daily Sale entry '!J144)</f>
        <v/>
      </c>
      <c r="H1992" s="1" t="inlineStr">
        <is>
          <t>Other Charges 其他费用</t>
        </is>
      </c>
      <c r="I1992" s="9">
        <f>IF($B1989="","",B1992)</f>
        <v/>
      </c>
      <c r="K1992" s="1" t="inlineStr">
        <is>
          <t>Cheque Collection 支票收款</t>
        </is>
      </c>
      <c r="L1992" s="9">
        <f>IF($B1989="","",E1992)</f>
        <v/>
      </c>
    </row>
    <row r="1993">
      <c r="A1993" s="10" t="inlineStr">
        <is>
          <t>Amount 金额  (Cash Sales - Misc - Other)</t>
        </is>
      </c>
      <c r="B1993" s="11">
        <f>IF($B1989="","",ROUND(B1990-B1991-B1992,2))</f>
        <v/>
      </c>
      <c r="D1993" s="12" t="inlineStr">
        <is>
          <t>TNG collection TNG收款</t>
        </is>
      </c>
      <c r="E1993" s="13">
        <f>IF($B1989="","",'Daily Sale entry '!K144)</f>
        <v/>
      </c>
      <c r="H1993" s="10" t="inlineStr">
        <is>
          <t>Amount 金额  (Cash Sales - Misc - Other)</t>
        </is>
      </c>
      <c r="I1993" s="11">
        <f>IF($B1989="","",ROUND(I1990-I1991-I1992,2))</f>
        <v/>
      </c>
      <c r="K1993" s="12" t="inlineStr">
        <is>
          <t>TNG collection TNG收款</t>
        </is>
      </c>
      <c r="L1993" s="13">
        <f>IF($B1989="","",E1993)</f>
        <v/>
      </c>
    </row>
    <row r="1994">
      <c r="A1994" t="inlineStr">
        <is>
          <t>Credit Collection 赊账收款</t>
        </is>
      </c>
      <c r="B1994" s="6">
        <f>IF($B1989="","",'Daily Sale entry '!E144)</f>
        <v/>
      </c>
      <c r="D1994" t="inlineStr">
        <is>
          <t>Advance Salary_M 预支薪水_M</t>
        </is>
      </c>
      <c r="E1994" s="6">
        <f>IF($B1989="","",'Daily Sale entry '!L144)</f>
        <v/>
      </c>
      <c r="H1994" t="inlineStr">
        <is>
          <t>Credit Collection 赊账收款</t>
        </is>
      </c>
      <c r="I1994" s="6">
        <f>IF($B1989="","",B1994)</f>
        <v/>
      </c>
      <c r="K1994" t="inlineStr">
        <is>
          <t>Advance Salary_M 预支薪水_M</t>
        </is>
      </c>
      <c r="L1994" s="6">
        <f>IF($B1989="","",E1994)</f>
        <v/>
      </c>
    </row>
    <row r="1995">
      <c r="A1995" s="10" t="inlineStr">
        <is>
          <t>Amount 2 金额2  (Amount + Credit Collection)</t>
        </is>
      </c>
      <c r="B1995" s="11">
        <f>IF($B1989="","",ROUND(B1993+B1994,2))</f>
        <v/>
      </c>
      <c r="D1995" t="inlineStr">
        <is>
          <t>Advance Salary_H 预支薪水_H</t>
        </is>
      </c>
      <c r="E1995" s="6">
        <f>IF($B1989="","",'Daily Sale entry '!M144)</f>
        <v/>
      </c>
      <c r="H1995" s="10" t="inlineStr">
        <is>
          <t>Amount 2 金额2  (Amount + Credit Collection)</t>
        </is>
      </c>
      <c r="I1995" s="11">
        <f>IF($B1989="","",ROUND(I1993+I1994,2))</f>
        <v/>
      </c>
      <c r="K1995" t="inlineStr">
        <is>
          <t>Advance Salary_H 预支薪水_H</t>
        </is>
      </c>
      <c r="L1995" s="6">
        <f>IF($B1989="","",E1995)</f>
        <v/>
      </c>
    </row>
    <row r="1996"/>
    <row r="1997">
      <c r="A1997" s="1" t="inlineStr">
        <is>
          <t>b/f petty cash 上日备用金结转</t>
        </is>
      </c>
      <c r="B1997" s="9">
        <f>IF($B1989="","",'Daily Sale entry '!F144)</f>
        <v/>
      </c>
      <c r="D1997" s="1" t="n"/>
      <c r="E1997" s="1" t="n"/>
      <c r="H1997" s="1" t="inlineStr">
        <is>
          <t>b/f petty cash 上日备用金结转</t>
        </is>
      </c>
      <c r="I1997" s="9">
        <f>IF($B1989="","",B1997)</f>
        <v/>
      </c>
      <c r="K1997" s="1" t="n"/>
      <c r="L1997" s="1" t="n"/>
    </row>
    <row r="1998">
      <c r="A1998" t="inlineStr">
        <is>
          <t>Total (A) 总计 (A)</t>
        </is>
      </c>
      <c r="B1998" s="6">
        <f>IF($B1989="","",ROUND(B1995+B1997,2))</f>
        <v/>
      </c>
      <c r="D1998" t="inlineStr">
        <is>
          <t>Total(B) 总计 (B)</t>
        </is>
      </c>
      <c r="E1998" s="6">
        <f>IF($B1989="","",ROUND(E1990+E1991+E1992+E1993+E1994+E1995,2))</f>
        <v/>
      </c>
      <c r="H1998" t="inlineStr">
        <is>
          <t>Total© 总计 (C)</t>
        </is>
      </c>
      <c r="I1998" s="6">
        <f>IF($B1989="","",ROUND(I1995+I1997,2))</f>
        <v/>
      </c>
      <c r="K1998" t="inlineStr">
        <is>
          <t>Total(D) 总计 (D)</t>
        </is>
      </c>
      <c r="L1998" s="6">
        <f>IF($B1989="","",ROUND(L1990+L1991+L1992+L1993+L1994+L1995,2))</f>
        <v/>
      </c>
    </row>
    <row r="1999">
      <c r="A1999" s="14" t="inlineStr">
        <is>
          <t>Total = Amount 2 + b/f petty cash  (金额2 + 上日备用金)</t>
        </is>
      </c>
      <c r="H1999" s="14" t="inlineStr">
        <is>
          <t>Total = Amount 2 + b/f petty cash  (金额2 + 上日备用金)</t>
        </is>
      </c>
    </row>
    <row r="2000">
      <c r="A2000" t="inlineStr">
        <is>
          <t>Different 差额</t>
        </is>
      </c>
      <c r="B2000" s="6">
        <f>IF($B1989="","",ROUND(B1998-E1998,2))</f>
        <v/>
      </c>
      <c r="D2000">
        <f>IF($B1989="","",IF(ABS(B2000)&gt;'Opening Balance'!$B$16,"ALERT 警报: Different over RM"&amp;'Opening Balance'!$B$16&amp;" 差额超过RM"&amp;'Opening Balance'!$B$16&amp;" - please check 请检查",IF(B2000=0,"Tied 平衡",IF(ABS(B2000)&lt;='Opening Balance'!$B$13,"Small difference 小额差额: adjusted on c/f petty cash 已调整备用金",IF(B2000&gt;0,"Short 短收: added to Misc Charges 已加入杂项费用","Over 多收: added to Cash Sales 已加入现金销售")))))</f>
        <v/>
      </c>
      <c r="H2000" t="inlineStr">
        <is>
          <t>Different 差额</t>
        </is>
      </c>
      <c r="I2000" s="6">
        <f>IF($B1989="","",ROUND(I1998-L1998,2))</f>
        <v/>
      </c>
    </row>
    <row r="2001"/>
    <row r="2002"/>
    <row r="2003">
      <c r="A2003" t="inlineStr">
        <is>
          <t>Date 日期</t>
        </is>
      </c>
      <c r="B2003" s="5">
        <f>IF('Daily Sale entry '!$A145="","",'Daily Sale entry '!$A145)</f>
        <v/>
      </c>
      <c r="H2003" t="inlineStr">
        <is>
          <t>After 调整后 (After)</t>
        </is>
      </c>
      <c r="I2003" s="5">
        <f>IF($B2003="","",B2003)</f>
        <v/>
      </c>
    </row>
    <row r="2004">
      <c r="A2004" t="inlineStr">
        <is>
          <t>Cash Sales 现金销售</t>
        </is>
      </c>
      <c r="B2004" s="6">
        <f>IF($B2003="","",'Daily Sale entry '!B145)</f>
        <v/>
      </c>
      <c r="D2004" t="inlineStr">
        <is>
          <t>c/f petty cash 今日备用金结转</t>
        </is>
      </c>
      <c r="E2004" s="6">
        <f>IF($B2003="","",'Daily Sale entry '!G145)</f>
        <v/>
      </c>
      <c r="H2004" t="inlineStr">
        <is>
          <t>Cash Sales 现金销售</t>
        </is>
      </c>
      <c r="I2004" s="6">
        <f>IF($B2003="","",IF(AND(ABS(B2014)&gt;'Opening Balance'!$B$13,B2014&lt;0),ROUND(B2004-B2014,2),B2004))</f>
        <v/>
      </c>
      <c r="K2004" t="inlineStr">
        <is>
          <t>c/f petty cash 今日备用金结转</t>
        </is>
      </c>
      <c r="L2004" s="6">
        <f>IF($B2003="","",IF(ABS(B2014)&lt;='Opening Balance'!$B$13,ROUND(E2004+B2014,2),E2004))</f>
        <v/>
      </c>
    </row>
    <row r="2005">
      <c r="A2005" t="inlineStr">
        <is>
          <t>Misc Charges 杂项费用</t>
        </is>
      </c>
      <c r="B2005" s="6">
        <f>IF($B2003="","",'Daily Sale entry '!C145)</f>
        <v/>
      </c>
      <c r="D2005" t="inlineStr">
        <is>
          <t>cash collection 现金收款</t>
        </is>
      </c>
      <c r="E2005" s="6">
        <f>IF($B2003="","",'Daily Sale entry '!H145)</f>
        <v/>
      </c>
      <c r="H2005" t="inlineStr">
        <is>
          <t>Misc Charges 杂项费用</t>
        </is>
      </c>
      <c r="I2005" s="6">
        <f>IF($B2003="","",IF(AND(ABS(B2014)&gt;'Opening Balance'!$B$13,B2014&gt;0),ROUND(B2005+B2014,2),B2005))</f>
        <v/>
      </c>
      <c r="K2005" t="inlineStr">
        <is>
          <t>cash collection 现金收款</t>
        </is>
      </c>
      <c r="L2005" s="6">
        <f>IF($B2003="","",E2005)</f>
        <v/>
      </c>
    </row>
    <row r="2006">
      <c r="A2006" s="1" t="inlineStr">
        <is>
          <t>Other Charges 其他费用</t>
        </is>
      </c>
      <c r="B2006" s="9">
        <f>IF($B2003="","",'Daily Sale entry '!D145)</f>
        <v/>
      </c>
      <c r="D2006" s="1" t="inlineStr">
        <is>
          <t>Cheque Collection 支票收款</t>
        </is>
      </c>
      <c r="E2006" s="9">
        <f>IF($B2003="","",'Daily Sale entry '!J145)</f>
        <v/>
      </c>
      <c r="H2006" s="1" t="inlineStr">
        <is>
          <t>Other Charges 其他费用</t>
        </is>
      </c>
      <c r="I2006" s="9">
        <f>IF($B2003="","",B2006)</f>
        <v/>
      </c>
      <c r="K2006" s="1" t="inlineStr">
        <is>
          <t>Cheque Collection 支票收款</t>
        </is>
      </c>
      <c r="L2006" s="9">
        <f>IF($B2003="","",E2006)</f>
        <v/>
      </c>
    </row>
    <row r="2007">
      <c r="A2007" s="10" t="inlineStr">
        <is>
          <t>Amount 金额  (Cash Sales - Misc - Other)</t>
        </is>
      </c>
      <c r="B2007" s="11">
        <f>IF($B2003="","",ROUND(B2004-B2005-B2006,2))</f>
        <v/>
      </c>
      <c r="D2007" s="12" t="inlineStr">
        <is>
          <t>TNG collection TNG收款</t>
        </is>
      </c>
      <c r="E2007" s="13">
        <f>IF($B2003="","",'Daily Sale entry '!K145)</f>
        <v/>
      </c>
      <c r="H2007" s="10" t="inlineStr">
        <is>
          <t>Amount 金额  (Cash Sales - Misc - Other)</t>
        </is>
      </c>
      <c r="I2007" s="11">
        <f>IF($B2003="","",ROUND(I2004-I2005-I2006,2))</f>
        <v/>
      </c>
      <c r="K2007" s="12" t="inlineStr">
        <is>
          <t>TNG collection TNG收款</t>
        </is>
      </c>
      <c r="L2007" s="13">
        <f>IF($B2003="","",E2007)</f>
        <v/>
      </c>
    </row>
    <row r="2008">
      <c r="A2008" t="inlineStr">
        <is>
          <t>Credit Collection 赊账收款</t>
        </is>
      </c>
      <c r="B2008" s="6">
        <f>IF($B2003="","",'Daily Sale entry '!E145)</f>
        <v/>
      </c>
      <c r="D2008" t="inlineStr">
        <is>
          <t>Advance Salary_M 预支薪水_M</t>
        </is>
      </c>
      <c r="E2008" s="6">
        <f>IF($B2003="","",'Daily Sale entry '!L145)</f>
        <v/>
      </c>
      <c r="H2008" t="inlineStr">
        <is>
          <t>Credit Collection 赊账收款</t>
        </is>
      </c>
      <c r="I2008" s="6">
        <f>IF($B2003="","",B2008)</f>
        <v/>
      </c>
      <c r="K2008" t="inlineStr">
        <is>
          <t>Advance Salary_M 预支薪水_M</t>
        </is>
      </c>
      <c r="L2008" s="6">
        <f>IF($B2003="","",E2008)</f>
        <v/>
      </c>
    </row>
    <row r="2009">
      <c r="A2009" s="10" t="inlineStr">
        <is>
          <t>Amount 2 金额2  (Amount + Credit Collection)</t>
        </is>
      </c>
      <c r="B2009" s="11">
        <f>IF($B2003="","",ROUND(B2007+B2008,2))</f>
        <v/>
      </c>
      <c r="D2009" t="inlineStr">
        <is>
          <t>Advance Salary_H 预支薪水_H</t>
        </is>
      </c>
      <c r="E2009" s="6">
        <f>IF($B2003="","",'Daily Sale entry '!M145)</f>
        <v/>
      </c>
      <c r="H2009" s="10" t="inlineStr">
        <is>
          <t>Amount 2 金额2  (Amount + Credit Collection)</t>
        </is>
      </c>
      <c r="I2009" s="11">
        <f>IF($B2003="","",ROUND(I2007+I2008,2))</f>
        <v/>
      </c>
      <c r="K2009" t="inlineStr">
        <is>
          <t>Advance Salary_H 预支薪水_H</t>
        </is>
      </c>
      <c r="L2009" s="6">
        <f>IF($B2003="","",E2009)</f>
        <v/>
      </c>
    </row>
    <row r="2010"/>
    <row r="2011">
      <c r="A2011" s="1" t="inlineStr">
        <is>
          <t>b/f petty cash 上日备用金结转</t>
        </is>
      </c>
      <c r="B2011" s="9">
        <f>IF($B2003="","",'Daily Sale entry '!F145)</f>
        <v/>
      </c>
      <c r="D2011" s="1" t="n"/>
      <c r="E2011" s="1" t="n"/>
      <c r="H2011" s="1" t="inlineStr">
        <is>
          <t>b/f petty cash 上日备用金结转</t>
        </is>
      </c>
      <c r="I2011" s="9">
        <f>IF($B2003="","",B2011)</f>
        <v/>
      </c>
      <c r="K2011" s="1" t="n"/>
      <c r="L2011" s="1" t="n"/>
    </row>
    <row r="2012">
      <c r="A2012" t="inlineStr">
        <is>
          <t>Total (A) 总计 (A)</t>
        </is>
      </c>
      <c r="B2012" s="6">
        <f>IF($B2003="","",ROUND(B2009+B2011,2))</f>
        <v/>
      </c>
      <c r="D2012" t="inlineStr">
        <is>
          <t>Total(B) 总计 (B)</t>
        </is>
      </c>
      <c r="E2012" s="6">
        <f>IF($B2003="","",ROUND(E2004+E2005+E2006+E2007+E2008+E2009,2))</f>
        <v/>
      </c>
      <c r="H2012" t="inlineStr">
        <is>
          <t>Total© 总计 (C)</t>
        </is>
      </c>
      <c r="I2012" s="6">
        <f>IF($B2003="","",ROUND(I2009+I2011,2))</f>
        <v/>
      </c>
      <c r="K2012" t="inlineStr">
        <is>
          <t>Total(D) 总计 (D)</t>
        </is>
      </c>
      <c r="L2012" s="6">
        <f>IF($B2003="","",ROUND(L2004+L2005+L2006+L2007+L2008+L2009,2))</f>
        <v/>
      </c>
    </row>
    <row r="2013">
      <c r="A2013" s="14" t="inlineStr">
        <is>
          <t>Total = Amount 2 + b/f petty cash  (金额2 + 上日备用金)</t>
        </is>
      </c>
      <c r="H2013" s="14" t="inlineStr">
        <is>
          <t>Total = Amount 2 + b/f petty cash  (金额2 + 上日备用金)</t>
        </is>
      </c>
    </row>
    <row r="2014">
      <c r="A2014" t="inlineStr">
        <is>
          <t>Different 差额</t>
        </is>
      </c>
      <c r="B2014" s="6">
        <f>IF($B2003="","",ROUND(B2012-E2012,2))</f>
        <v/>
      </c>
      <c r="D2014">
        <f>IF($B2003="","",IF(ABS(B2014)&gt;'Opening Balance'!$B$16,"ALERT 警报: Different over RM"&amp;'Opening Balance'!$B$16&amp;" 差额超过RM"&amp;'Opening Balance'!$B$16&amp;" - please check 请检查",IF(B2014=0,"Tied 平衡",IF(ABS(B2014)&lt;='Opening Balance'!$B$13,"Small difference 小额差额: adjusted on c/f petty cash 已调整备用金",IF(B2014&gt;0,"Short 短收: added to Misc Charges 已加入杂项费用","Over 多收: added to Cash Sales 已加入现金销售")))))</f>
        <v/>
      </c>
      <c r="H2014" t="inlineStr">
        <is>
          <t>Different 差额</t>
        </is>
      </c>
      <c r="I2014" s="6">
        <f>IF($B2003="","",ROUND(I2012-L2012,2))</f>
        <v/>
      </c>
    </row>
    <row r="2015"/>
    <row r="2016"/>
    <row r="2017">
      <c r="A2017" t="inlineStr">
        <is>
          <t>Date 日期</t>
        </is>
      </c>
      <c r="B2017" s="5">
        <f>IF('Daily Sale entry '!$A146="","",'Daily Sale entry '!$A146)</f>
        <v/>
      </c>
      <c r="H2017" t="inlineStr">
        <is>
          <t>After 调整后 (After)</t>
        </is>
      </c>
      <c r="I2017" s="5">
        <f>IF($B2017="","",B2017)</f>
        <v/>
      </c>
    </row>
    <row r="2018">
      <c r="A2018" t="inlineStr">
        <is>
          <t>Cash Sales 现金销售</t>
        </is>
      </c>
      <c r="B2018" s="6">
        <f>IF($B2017="","",'Daily Sale entry '!B146)</f>
        <v/>
      </c>
      <c r="D2018" t="inlineStr">
        <is>
          <t>c/f petty cash 今日备用金结转</t>
        </is>
      </c>
      <c r="E2018" s="6">
        <f>IF($B2017="","",'Daily Sale entry '!G146)</f>
        <v/>
      </c>
      <c r="H2018" t="inlineStr">
        <is>
          <t>Cash Sales 现金销售</t>
        </is>
      </c>
      <c r="I2018" s="6">
        <f>IF($B2017="","",IF(AND(ABS(B2028)&gt;'Opening Balance'!$B$13,B2028&lt;0),ROUND(B2018-B2028,2),B2018))</f>
        <v/>
      </c>
      <c r="K2018" t="inlineStr">
        <is>
          <t>c/f petty cash 今日备用金结转</t>
        </is>
      </c>
      <c r="L2018" s="6">
        <f>IF($B2017="","",IF(ABS(B2028)&lt;='Opening Balance'!$B$13,ROUND(E2018+B2028,2),E2018))</f>
        <v/>
      </c>
    </row>
    <row r="2019">
      <c r="A2019" t="inlineStr">
        <is>
          <t>Misc Charges 杂项费用</t>
        </is>
      </c>
      <c r="B2019" s="6">
        <f>IF($B2017="","",'Daily Sale entry '!C146)</f>
        <v/>
      </c>
      <c r="D2019" t="inlineStr">
        <is>
          <t>cash collection 现金收款</t>
        </is>
      </c>
      <c r="E2019" s="6">
        <f>IF($B2017="","",'Daily Sale entry '!H146)</f>
        <v/>
      </c>
      <c r="H2019" t="inlineStr">
        <is>
          <t>Misc Charges 杂项费用</t>
        </is>
      </c>
      <c r="I2019" s="6">
        <f>IF($B2017="","",IF(AND(ABS(B2028)&gt;'Opening Balance'!$B$13,B2028&gt;0),ROUND(B2019+B2028,2),B2019))</f>
        <v/>
      </c>
      <c r="K2019" t="inlineStr">
        <is>
          <t>cash collection 现金收款</t>
        </is>
      </c>
      <c r="L2019" s="6">
        <f>IF($B2017="","",E2019)</f>
        <v/>
      </c>
    </row>
    <row r="2020">
      <c r="A2020" s="1" t="inlineStr">
        <is>
          <t>Other Charges 其他费用</t>
        </is>
      </c>
      <c r="B2020" s="9">
        <f>IF($B2017="","",'Daily Sale entry '!D146)</f>
        <v/>
      </c>
      <c r="D2020" s="1" t="inlineStr">
        <is>
          <t>Cheque Collection 支票收款</t>
        </is>
      </c>
      <c r="E2020" s="9">
        <f>IF($B2017="","",'Daily Sale entry '!J146)</f>
        <v/>
      </c>
      <c r="H2020" s="1" t="inlineStr">
        <is>
          <t>Other Charges 其他费用</t>
        </is>
      </c>
      <c r="I2020" s="9">
        <f>IF($B2017="","",B2020)</f>
        <v/>
      </c>
      <c r="K2020" s="1" t="inlineStr">
        <is>
          <t>Cheque Collection 支票收款</t>
        </is>
      </c>
      <c r="L2020" s="9">
        <f>IF($B2017="","",E2020)</f>
        <v/>
      </c>
    </row>
    <row r="2021">
      <c r="A2021" s="10" t="inlineStr">
        <is>
          <t>Amount 金额  (Cash Sales - Misc - Other)</t>
        </is>
      </c>
      <c r="B2021" s="11">
        <f>IF($B2017="","",ROUND(B2018-B2019-B2020,2))</f>
        <v/>
      </c>
      <c r="D2021" s="12" t="inlineStr">
        <is>
          <t>TNG collection TNG收款</t>
        </is>
      </c>
      <c r="E2021" s="13">
        <f>IF($B2017="","",'Daily Sale entry '!K146)</f>
        <v/>
      </c>
      <c r="H2021" s="10" t="inlineStr">
        <is>
          <t>Amount 金额  (Cash Sales - Misc - Other)</t>
        </is>
      </c>
      <c r="I2021" s="11">
        <f>IF($B2017="","",ROUND(I2018-I2019-I2020,2))</f>
        <v/>
      </c>
      <c r="K2021" s="12" t="inlineStr">
        <is>
          <t>TNG collection TNG收款</t>
        </is>
      </c>
      <c r="L2021" s="13">
        <f>IF($B2017="","",E2021)</f>
        <v/>
      </c>
    </row>
    <row r="2022">
      <c r="A2022" t="inlineStr">
        <is>
          <t>Credit Collection 赊账收款</t>
        </is>
      </c>
      <c r="B2022" s="6">
        <f>IF($B2017="","",'Daily Sale entry '!E146)</f>
        <v/>
      </c>
      <c r="D2022" t="inlineStr">
        <is>
          <t>Advance Salary_M 预支薪水_M</t>
        </is>
      </c>
      <c r="E2022" s="6">
        <f>IF($B2017="","",'Daily Sale entry '!L146)</f>
        <v/>
      </c>
      <c r="H2022" t="inlineStr">
        <is>
          <t>Credit Collection 赊账收款</t>
        </is>
      </c>
      <c r="I2022" s="6">
        <f>IF($B2017="","",B2022)</f>
        <v/>
      </c>
      <c r="K2022" t="inlineStr">
        <is>
          <t>Advance Salary_M 预支薪水_M</t>
        </is>
      </c>
      <c r="L2022" s="6">
        <f>IF($B2017="","",E2022)</f>
        <v/>
      </c>
    </row>
    <row r="2023">
      <c r="A2023" s="10" t="inlineStr">
        <is>
          <t>Amount 2 金额2  (Amount + Credit Collection)</t>
        </is>
      </c>
      <c r="B2023" s="11">
        <f>IF($B2017="","",ROUND(B2021+B2022,2))</f>
        <v/>
      </c>
      <c r="D2023" t="inlineStr">
        <is>
          <t>Advance Salary_H 预支薪水_H</t>
        </is>
      </c>
      <c r="E2023" s="6">
        <f>IF($B2017="","",'Daily Sale entry '!M146)</f>
        <v/>
      </c>
      <c r="H2023" s="10" t="inlineStr">
        <is>
          <t>Amount 2 金额2  (Amount + Credit Collection)</t>
        </is>
      </c>
      <c r="I2023" s="11">
        <f>IF($B2017="","",ROUND(I2021+I2022,2))</f>
        <v/>
      </c>
      <c r="K2023" t="inlineStr">
        <is>
          <t>Advance Salary_H 预支薪水_H</t>
        </is>
      </c>
      <c r="L2023" s="6">
        <f>IF($B2017="","",E2023)</f>
        <v/>
      </c>
    </row>
    <row r="2024"/>
    <row r="2025">
      <c r="A2025" s="1" t="inlineStr">
        <is>
          <t>b/f petty cash 上日备用金结转</t>
        </is>
      </c>
      <c r="B2025" s="9">
        <f>IF($B2017="","",'Daily Sale entry '!F146)</f>
        <v/>
      </c>
      <c r="D2025" s="1" t="n"/>
      <c r="E2025" s="1" t="n"/>
      <c r="H2025" s="1" t="inlineStr">
        <is>
          <t>b/f petty cash 上日备用金结转</t>
        </is>
      </c>
      <c r="I2025" s="9">
        <f>IF($B2017="","",B2025)</f>
        <v/>
      </c>
      <c r="K2025" s="1" t="n"/>
      <c r="L2025" s="1" t="n"/>
    </row>
    <row r="2026">
      <c r="A2026" t="inlineStr">
        <is>
          <t>Total (A) 总计 (A)</t>
        </is>
      </c>
      <c r="B2026" s="6">
        <f>IF($B2017="","",ROUND(B2023+B2025,2))</f>
        <v/>
      </c>
      <c r="D2026" t="inlineStr">
        <is>
          <t>Total(B) 总计 (B)</t>
        </is>
      </c>
      <c r="E2026" s="6">
        <f>IF($B2017="","",ROUND(E2018+E2019+E2020+E2021+E2022+E2023,2))</f>
        <v/>
      </c>
      <c r="H2026" t="inlineStr">
        <is>
          <t>Total© 总计 (C)</t>
        </is>
      </c>
      <c r="I2026" s="6">
        <f>IF($B2017="","",ROUND(I2023+I2025,2))</f>
        <v/>
      </c>
      <c r="K2026" t="inlineStr">
        <is>
          <t>Total(D) 总计 (D)</t>
        </is>
      </c>
      <c r="L2026" s="6">
        <f>IF($B2017="","",ROUND(L2018+L2019+L2020+L2021+L2022+L2023,2))</f>
        <v/>
      </c>
    </row>
    <row r="2027">
      <c r="A2027" s="14" t="inlineStr">
        <is>
          <t>Total = Amount 2 + b/f petty cash  (金额2 + 上日备用金)</t>
        </is>
      </c>
      <c r="H2027" s="14" t="inlineStr">
        <is>
          <t>Total = Amount 2 + b/f petty cash  (金额2 + 上日备用金)</t>
        </is>
      </c>
    </row>
    <row r="2028">
      <c r="A2028" t="inlineStr">
        <is>
          <t>Different 差额</t>
        </is>
      </c>
      <c r="B2028" s="6">
        <f>IF($B2017="","",ROUND(B2026-E2026,2))</f>
        <v/>
      </c>
      <c r="D2028">
        <f>IF($B2017="","",IF(ABS(B2028)&gt;'Opening Balance'!$B$16,"ALERT 警报: Different over RM"&amp;'Opening Balance'!$B$16&amp;" 差额超过RM"&amp;'Opening Balance'!$B$16&amp;" - please check 请检查",IF(B2028=0,"Tied 平衡",IF(ABS(B2028)&lt;='Opening Balance'!$B$13,"Small difference 小额差额: adjusted on c/f petty cash 已调整备用金",IF(B2028&gt;0,"Short 短收: added to Misc Charges 已加入杂项费用","Over 多收: added to Cash Sales 已加入现金销售")))))</f>
        <v/>
      </c>
      <c r="H2028" t="inlineStr">
        <is>
          <t>Different 差额</t>
        </is>
      </c>
      <c r="I2028" s="6">
        <f>IF($B2017="","",ROUND(I2026-L2026,2))</f>
        <v/>
      </c>
    </row>
    <row r="2029"/>
    <row r="2030"/>
    <row r="2031">
      <c r="A2031" t="inlineStr">
        <is>
          <t>Date 日期</t>
        </is>
      </c>
      <c r="B2031" s="5">
        <f>IF('Daily Sale entry '!$A147="","",'Daily Sale entry '!$A147)</f>
        <v/>
      </c>
      <c r="H2031" t="inlineStr">
        <is>
          <t>After 调整后 (After)</t>
        </is>
      </c>
      <c r="I2031" s="5">
        <f>IF($B2031="","",B2031)</f>
        <v/>
      </c>
    </row>
    <row r="2032">
      <c r="A2032" t="inlineStr">
        <is>
          <t>Cash Sales 现金销售</t>
        </is>
      </c>
      <c r="B2032" s="6">
        <f>IF($B2031="","",'Daily Sale entry '!B147)</f>
        <v/>
      </c>
      <c r="D2032" t="inlineStr">
        <is>
          <t>c/f petty cash 今日备用金结转</t>
        </is>
      </c>
      <c r="E2032" s="6">
        <f>IF($B2031="","",'Daily Sale entry '!G147)</f>
        <v/>
      </c>
      <c r="H2032" t="inlineStr">
        <is>
          <t>Cash Sales 现金销售</t>
        </is>
      </c>
      <c r="I2032" s="6">
        <f>IF($B2031="","",IF(AND(ABS(B2042)&gt;'Opening Balance'!$B$13,B2042&lt;0),ROUND(B2032-B2042,2),B2032))</f>
        <v/>
      </c>
      <c r="K2032" t="inlineStr">
        <is>
          <t>c/f petty cash 今日备用金结转</t>
        </is>
      </c>
      <c r="L2032" s="6">
        <f>IF($B2031="","",IF(ABS(B2042)&lt;='Opening Balance'!$B$13,ROUND(E2032+B2042,2),E2032))</f>
        <v/>
      </c>
    </row>
    <row r="2033">
      <c r="A2033" t="inlineStr">
        <is>
          <t>Misc Charges 杂项费用</t>
        </is>
      </c>
      <c r="B2033" s="6">
        <f>IF($B2031="","",'Daily Sale entry '!C147)</f>
        <v/>
      </c>
      <c r="D2033" t="inlineStr">
        <is>
          <t>cash collection 现金收款</t>
        </is>
      </c>
      <c r="E2033" s="6">
        <f>IF($B2031="","",'Daily Sale entry '!H147)</f>
        <v/>
      </c>
      <c r="H2033" t="inlineStr">
        <is>
          <t>Misc Charges 杂项费用</t>
        </is>
      </c>
      <c r="I2033" s="6">
        <f>IF($B2031="","",IF(AND(ABS(B2042)&gt;'Opening Balance'!$B$13,B2042&gt;0),ROUND(B2033+B2042,2),B2033))</f>
        <v/>
      </c>
      <c r="K2033" t="inlineStr">
        <is>
          <t>cash collection 现金收款</t>
        </is>
      </c>
      <c r="L2033" s="6">
        <f>IF($B2031="","",E2033)</f>
        <v/>
      </c>
    </row>
    <row r="2034">
      <c r="A2034" s="1" t="inlineStr">
        <is>
          <t>Other Charges 其他费用</t>
        </is>
      </c>
      <c r="B2034" s="9">
        <f>IF($B2031="","",'Daily Sale entry '!D147)</f>
        <v/>
      </c>
      <c r="D2034" s="1" t="inlineStr">
        <is>
          <t>Cheque Collection 支票收款</t>
        </is>
      </c>
      <c r="E2034" s="9">
        <f>IF($B2031="","",'Daily Sale entry '!J147)</f>
        <v/>
      </c>
      <c r="H2034" s="1" t="inlineStr">
        <is>
          <t>Other Charges 其他费用</t>
        </is>
      </c>
      <c r="I2034" s="9">
        <f>IF($B2031="","",B2034)</f>
        <v/>
      </c>
      <c r="K2034" s="1" t="inlineStr">
        <is>
          <t>Cheque Collection 支票收款</t>
        </is>
      </c>
      <c r="L2034" s="9">
        <f>IF($B2031="","",E2034)</f>
        <v/>
      </c>
    </row>
    <row r="2035">
      <c r="A2035" s="10" t="inlineStr">
        <is>
          <t>Amount 金额  (Cash Sales - Misc - Other)</t>
        </is>
      </c>
      <c r="B2035" s="11">
        <f>IF($B2031="","",ROUND(B2032-B2033-B2034,2))</f>
        <v/>
      </c>
      <c r="D2035" s="12" t="inlineStr">
        <is>
          <t>TNG collection TNG收款</t>
        </is>
      </c>
      <c r="E2035" s="13">
        <f>IF($B2031="","",'Daily Sale entry '!K147)</f>
        <v/>
      </c>
      <c r="H2035" s="10" t="inlineStr">
        <is>
          <t>Amount 金额  (Cash Sales - Misc - Other)</t>
        </is>
      </c>
      <c r="I2035" s="11">
        <f>IF($B2031="","",ROUND(I2032-I2033-I2034,2))</f>
        <v/>
      </c>
      <c r="K2035" s="12" t="inlineStr">
        <is>
          <t>TNG collection TNG收款</t>
        </is>
      </c>
      <c r="L2035" s="13">
        <f>IF($B2031="","",E2035)</f>
        <v/>
      </c>
    </row>
    <row r="2036">
      <c r="A2036" t="inlineStr">
        <is>
          <t>Credit Collection 赊账收款</t>
        </is>
      </c>
      <c r="B2036" s="6">
        <f>IF($B2031="","",'Daily Sale entry '!E147)</f>
        <v/>
      </c>
      <c r="D2036" t="inlineStr">
        <is>
          <t>Advance Salary_M 预支薪水_M</t>
        </is>
      </c>
      <c r="E2036" s="6">
        <f>IF($B2031="","",'Daily Sale entry '!L147)</f>
        <v/>
      </c>
      <c r="H2036" t="inlineStr">
        <is>
          <t>Credit Collection 赊账收款</t>
        </is>
      </c>
      <c r="I2036" s="6">
        <f>IF($B2031="","",B2036)</f>
        <v/>
      </c>
      <c r="K2036" t="inlineStr">
        <is>
          <t>Advance Salary_M 预支薪水_M</t>
        </is>
      </c>
      <c r="L2036" s="6">
        <f>IF($B2031="","",E2036)</f>
        <v/>
      </c>
    </row>
    <row r="2037">
      <c r="A2037" s="10" t="inlineStr">
        <is>
          <t>Amount 2 金额2  (Amount + Credit Collection)</t>
        </is>
      </c>
      <c r="B2037" s="11">
        <f>IF($B2031="","",ROUND(B2035+B2036,2))</f>
        <v/>
      </c>
      <c r="D2037" t="inlineStr">
        <is>
          <t>Advance Salary_H 预支薪水_H</t>
        </is>
      </c>
      <c r="E2037" s="6">
        <f>IF($B2031="","",'Daily Sale entry '!M147)</f>
        <v/>
      </c>
      <c r="H2037" s="10" t="inlineStr">
        <is>
          <t>Amount 2 金额2  (Amount + Credit Collection)</t>
        </is>
      </c>
      <c r="I2037" s="11">
        <f>IF($B2031="","",ROUND(I2035+I2036,2))</f>
        <v/>
      </c>
      <c r="K2037" t="inlineStr">
        <is>
          <t>Advance Salary_H 预支薪水_H</t>
        </is>
      </c>
      <c r="L2037" s="6">
        <f>IF($B2031="","",E2037)</f>
        <v/>
      </c>
    </row>
    <row r="2038"/>
    <row r="2039">
      <c r="A2039" s="1" t="inlineStr">
        <is>
          <t>b/f petty cash 上日备用金结转</t>
        </is>
      </c>
      <c r="B2039" s="9">
        <f>IF($B2031="","",'Daily Sale entry '!F147)</f>
        <v/>
      </c>
      <c r="D2039" s="1" t="n"/>
      <c r="E2039" s="1" t="n"/>
      <c r="H2039" s="1" t="inlineStr">
        <is>
          <t>b/f petty cash 上日备用金结转</t>
        </is>
      </c>
      <c r="I2039" s="9">
        <f>IF($B2031="","",B2039)</f>
        <v/>
      </c>
      <c r="K2039" s="1" t="n"/>
      <c r="L2039" s="1" t="n"/>
    </row>
    <row r="2040">
      <c r="A2040" t="inlineStr">
        <is>
          <t>Total (A) 总计 (A)</t>
        </is>
      </c>
      <c r="B2040" s="6">
        <f>IF($B2031="","",ROUND(B2037+B2039,2))</f>
        <v/>
      </c>
      <c r="D2040" t="inlineStr">
        <is>
          <t>Total(B) 总计 (B)</t>
        </is>
      </c>
      <c r="E2040" s="6">
        <f>IF($B2031="","",ROUND(E2032+E2033+E2034+E2035+E2036+E2037,2))</f>
        <v/>
      </c>
      <c r="H2040" t="inlineStr">
        <is>
          <t>Total© 总计 (C)</t>
        </is>
      </c>
      <c r="I2040" s="6">
        <f>IF($B2031="","",ROUND(I2037+I2039,2))</f>
        <v/>
      </c>
      <c r="K2040" t="inlineStr">
        <is>
          <t>Total(D) 总计 (D)</t>
        </is>
      </c>
      <c r="L2040" s="6">
        <f>IF($B2031="","",ROUND(L2032+L2033+L2034+L2035+L2036+L2037,2))</f>
        <v/>
      </c>
    </row>
    <row r="2041">
      <c r="A2041" s="14" t="inlineStr">
        <is>
          <t>Total = Amount 2 + b/f petty cash  (金额2 + 上日备用金)</t>
        </is>
      </c>
      <c r="H2041" s="14" t="inlineStr">
        <is>
          <t>Total = Amount 2 + b/f petty cash  (金额2 + 上日备用金)</t>
        </is>
      </c>
    </row>
    <row r="2042">
      <c r="A2042" t="inlineStr">
        <is>
          <t>Different 差额</t>
        </is>
      </c>
      <c r="B2042" s="6">
        <f>IF($B2031="","",ROUND(B2040-E2040,2))</f>
        <v/>
      </c>
      <c r="D2042">
        <f>IF($B2031="","",IF(ABS(B2042)&gt;'Opening Balance'!$B$16,"ALERT 警报: Different over RM"&amp;'Opening Balance'!$B$16&amp;" 差额超过RM"&amp;'Opening Balance'!$B$16&amp;" - please check 请检查",IF(B2042=0,"Tied 平衡",IF(ABS(B2042)&lt;='Opening Balance'!$B$13,"Small difference 小额差额: adjusted on c/f petty cash 已调整备用金",IF(B2042&gt;0,"Short 短收: added to Misc Charges 已加入杂项费用","Over 多收: added to Cash Sales 已加入现金销售")))))</f>
        <v/>
      </c>
      <c r="H2042" t="inlineStr">
        <is>
          <t>Different 差额</t>
        </is>
      </c>
      <c r="I2042" s="6">
        <f>IF($B2031="","",ROUND(I2040-L2040,2))</f>
        <v/>
      </c>
    </row>
    <row r="2043"/>
    <row r="2044"/>
    <row r="2045">
      <c r="A2045" t="inlineStr">
        <is>
          <t>Date 日期</t>
        </is>
      </c>
      <c r="B2045" s="5">
        <f>IF('Daily Sale entry '!$A148="","",'Daily Sale entry '!$A148)</f>
        <v/>
      </c>
      <c r="H2045" t="inlineStr">
        <is>
          <t>After 调整后 (After)</t>
        </is>
      </c>
      <c r="I2045" s="5">
        <f>IF($B2045="","",B2045)</f>
        <v/>
      </c>
    </row>
    <row r="2046">
      <c r="A2046" t="inlineStr">
        <is>
          <t>Cash Sales 现金销售</t>
        </is>
      </c>
      <c r="B2046" s="6">
        <f>IF($B2045="","",'Daily Sale entry '!B148)</f>
        <v/>
      </c>
      <c r="D2046" t="inlineStr">
        <is>
          <t>c/f petty cash 今日备用金结转</t>
        </is>
      </c>
      <c r="E2046" s="6">
        <f>IF($B2045="","",'Daily Sale entry '!G148)</f>
        <v/>
      </c>
      <c r="H2046" t="inlineStr">
        <is>
          <t>Cash Sales 现金销售</t>
        </is>
      </c>
      <c r="I2046" s="6">
        <f>IF($B2045="","",IF(AND(ABS(B2056)&gt;'Opening Balance'!$B$13,B2056&lt;0),ROUND(B2046-B2056,2),B2046))</f>
        <v/>
      </c>
      <c r="K2046" t="inlineStr">
        <is>
          <t>c/f petty cash 今日备用金结转</t>
        </is>
      </c>
      <c r="L2046" s="6">
        <f>IF($B2045="","",IF(ABS(B2056)&lt;='Opening Balance'!$B$13,ROUND(E2046+B2056,2),E2046))</f>
        <v/>
      </c>
    </row>
    <row r="2047">
      <c r="A2047" t="inlineStr">
        <is>
          <t>Misc Charges 杂项费用</t>
        </is>
      </c>
      <c r="B2047" s="6">
        <f>IF($B2045="","",'Daily Sale entry '!C148)</f>
        <v/>
      </c>
      <c r="D2047" t="inlineStr">
        <is>
          <t>cash collection 现金收款</t>
        </is>
      </c>
      <c r="E2047" s="6">
        <f>IF($B2045="","",'Daily Sale entry '!H148)</f>
        <v/>
      </c>
      <c r="H2047" t="inlineStr">
        <is>
          <t>Misc Charges 杂项费用</t>
        </is>
      </c>
      <c r="I2047" s="6">
        <f>IF($B2045="","",IF(AND(ABS(B2056)&gt;'Opening Balance'!$B$13,B2056&gt;0),ROUND(B2047+B2056,2),B2047))</f>
        <v/>
      </c>
      <c r="K2047" t="inlineStr">
        <is>
          <t>cash collection 现金收款</t>
        </is>
      </c>
      <c r="L2047" s="6">
        <f>IF($B2045="","",E2047)</f>
        <v/>
      </c>
    </row>
    <row r="2048">
      <c r="A2048" s="1" t="inlineStr">
        <is>
          <t>Other Charges 其他费用</t>
        </is>
      </c>
      <c r="B2048" s="9">
        <f>IF($B2045="","",'Daily Sale entry '!D148)</f>
        <v/>
      </c>
      <c r="D2048" s="1" t="inlineStr">
        <is>
          <t>Cheque Collection 支票收款</t>
        </is>
      </c>
      <c r="E2048" s="9">
        <f>IF($B2045="","",'Daily Sale entry '!J148)</f>
        <v/>
      </c>
      <c r="H2048" s="1" t="inlineStr">
        <is>
          <t>Other Charges 其他费用</t>
        </is>
      </c>
      <c r="I2048" s="9">
        <f>IF($B2045="","",B2048)</f>
        <v/>
      </c>
      <c r="K2048" s="1" t="inlineStr">
        <is>
          <t>Cheque Collection 支票收款</t>
        </is>
      </c>
      <c r="L2048" s="9">
        <f>IF($B2045="","",E2048)</f>
        <v/>
      </c>
    </row>
    <row r="2049">
      <c r="A2049" s="10" t="inlineStr">
        <is>
          <t>Amount 金额  (Cash Sales - Misc - Other)</t>
        </is>
      </c>
      <c r="B2049" s="11">
        <f>IF($B2045="","",ROUND(B2046-B2047-B2048,2))</f>
        <v/>
      </c>
      <c r="D2049" s="12" t="inlineStr">
        <is>
          <t>TNG collection TNG收款</t>
        </is>
      </c>
      <c r="E2049" s="13">
        <f>IF($B2045="","",'Daily Sale entry '!K148)</f>
        <v/>
      </c>
      <c r="H2049" s="10" t="inlineStr">
        <is>
          <t>Amount 金额  (Cash Sales - Misc - Other)</t>
        </is>
      </c>
      <c r="I2049" s="11">
        <f>IF($B2045="","",ROUND(I2046-I2047-I2048,2))</f>
        <v/>
      </c>
      <c r="K2049" s="12" t="inlineStr">
        <is>
          <t>TNG collection TNG收款</t>
        </is>
      </c>
      <c r="L2049" s="13">
        <f>IF($B2045="","",E2049)</f>
        <v/>
      </c>
    </row>
    <row r="2050">
      <c r="A2050" t="inlineStr">
        <is>
          <t>Credit Collection 赊账收款</t>
        </is>
      </c>
      <c r="B2050" s="6">
        <f>IF($B2045="","",'Daily Sale entry '!E148)</f>
        <v/>
      </c>
      <c r="D2050" t="inlineStr">
        <is>
          <t>Advance Salary_M 预支薪水_M</t>
        </is>
      </c>
      <c r="E2050" s="6">
        <f>IF($B2045="","",'Daily Sale entry '!L148)</f>
        <v/>
      </c>
      <c r="H2050" t="inlineStr">
        <is>
          <t>Credit Collection 赊账收款</t>
        </is>
      </c>
      <c r="I2050" s="6">
        <f>IF($B2045="","",B2050)</f>
        <v/>
      </c>
      <c r="K2050" t="inlineStr">
        <is>
          <t>Advance Salary_M 预支薪水_M</t>
        </is>
      </c>
      <c r="L2050" s="6">
        <f>IF($B2045="","",E2050)</f>
        <v/>
      </c>
    </row>
    <row r="2051">
      <c r="A2051" s="10" t="inlineStr">
        <is>
          <t>Amount 2 金额2  (Amount + Credit Collection)</t>
        </is>
      </c>
      <c r="B2051" s="11">
        <f>IF($B2045="","",ROUND(B2049+B2050,2))</f>
        <v/>
      </c>
      <c r="D2051" t="inlineStr">
        <is>
          <t>Advance Salary_H 预支薪水_H</t>
        </is>
      </c>
      <c r="E2051" s="6">
        <f>IF($B2045="","",'Daily Sale entry '!M148)</f>
        <v/>
      </c>
      <c r="H2051" s="10" t="inlineStr">
        <is>
          <t>Amount 2 金额2  (Amount + Credit Collection)</t>
        </is>
      </c>
      <c r="I2051" s="11">
        <f>IF($B2045="","",ROUND(I2049+I2050,2))</f>
        <v/>
      </c>
      <c r="K2051" t="inlineStr">
        <is>
          <t>Advance Salary_H 预支薪水_H</t>
        </is>
      </c>
      <c r="L2051" s="6">
        <f>IF($B2045="","",E2051)</f>
        <v/>
      </c>
    </row>
    <row r="2052"/>
    <row r="2053">
      <c r="A2053" s="1" t="inlineStr">
        <is>
          <t>b/f petty cash 上日备用金结转</t>
        </is>
      </c>
      <c r="B2053" s="9">
        <f>IF($B2045="","",'Daily Sale entry '!F148)</f>
        <v/>
      </c>
      <c r="D2053" s="1" t="n"/>
      <c r="E2053" s="1" t="n"/>
      <c r="H2053" s="1" t="inlineStr">
        <is>
          <t>b/f petty cash 上日备用金结转</t>
        </is>
      </c>
      <c r="I2053" s="9">
        <f>IF($B2045="","",B2053)</f>
        <v/>
      </c>
      <c r="K2053" s="1" t="n"/>
      <c r="L2053" s="1" t="n"/>
    </row>
    <row r="2054">
      <c r="A2054" t="inlineStr">
        <is>
          <t>Total (A) 总计 (A)</t>
        </is>
      </c>
      <c r="B2054" s="6">
        <f>IF($B2045="","",ROUND(B2051+B2053,2))</f>
        <v/>
      </c>
      <c r="D2054" t="inlineStr">
        <is>
          <t>Total(B) 总计 (B)</t>
        </is>
      </c>
      <c r="E2054" s="6">
        <f>IF($B2045="","",ROUND(E2046+E2047+E2048+E2049+E2050+E2051,2))</f>
        <v/>
      </c>
      <c r="H2054" t="inlineStr">
        <is>
          <t>Total© 总计 (C)</t>
        </is>
      </c>
      <c r="I2054" s="6">
        <f>IF($B2045="","",ROUND(I2051+I2053,2))</f>
        <v/>
      </c>
      <c r="K2054" t="inlineStr">
        <is>
          <t>Total(D) 总计 (D)</t>
        </is>
      </c>
      <c r="L2054" s="6">
        <f>IF($B2045="","",ROUND(L2046+L2047+L2048+L2049+L2050+L2051,2))</f>
        <v/>
      </c>
    </row>
    <row r="2055">
      <c r="A2055" s="14" t="inlineStr">
        <is>
          <t>Total = Amount 2 + b/f petty cash  (金额2 + 上日备用金)</t>
        </is>
      </c>
      <c r="H2055" s="14" t="inlineStr">
        <is>
          <t>Total = Amount 2 + b/f petty cash  (金额2 + 上日备用金)</t>
        </is>
      </c>
    </row>
    <row r="2056">
      <c r="A2056" t="inlineStr">
        <is>
          <t>Different 差额</t>
        </is>
      </c>
      <c r="B2056" s="6">
        <f>IF($B2045="","",ROUND(B2054-E2054,2))</f>
        <v/>
      </c>
      <c r="D2056">
        <f>IF($B2045="","",IF(ABS(B2056)&gt;'Opening Balance'!$B$16,"ALERT 警报: Different over RM"&amp;'Opening Balance'!$B$16&amp;" 差额超过RM"&amp;'Opening Balance'!$B$16&amp;" - please check 请检查",IF(B2056=0,"Tied 平衡",IF(ABS(B2056)&lt;='Opening Balance'!$B$13,"Small difference 小额差额: adjusted on c/f petty cash 已调整备用金",IF(B2056&gt;0,"Short 短收: added to Misc Charges 已加入杂项费用","Over 多收: added to Cash Sales 已加入现金销售")))))</f>
        <v/>
      </c>
      <c r="H2056" t="inlineStr">
        <is>
          <t>Different 差额</t>
        </is>
      </c>
      <c r="I2056" s="6">
        <f>IF($B2045="","",ROUND(I2054-L2054,2))</f>
        <v/>
      </c>
    </row>
    <row r="2057"/>
    <row r="2058"/>
    <row r="2059">
      <c r="A2059" t="inlineStr">
        <is>
          <t>Date 日期</t>
        </is>
      </c>
      <c r="B2059" s="5">
        <f>IF('Daily Sale entry '!$A149="","",'Daily Sale entry '!$A149)</f>
        <v/>
      </c>
      <c r="H2059" t="inlineStr">
        <is>
          <t>After 调整后 (After)</t>
        </is>
      </c>
      <c r="I2059" s="5">
        <f>IF($B2059="","",B2059)</f>
        <v/>
      </c>
    </row>
    <row r="2060">
      <c r="A2060" t="inlineStr">
        <is>
          <t>Cash Sales 现金销售</t>
        </is>
      </c>
      <c r="B2060" s="6">
        <f>IF($B2059="","",'Daily Sale entry '!B149)</f>
        <v/>
      </c>
      <c r="D2060" t="inlineStr">
        <is>
          <t>c/f petty cash 今日备用金结转</t>
        </is>
      </c>
      <c r="E2060" s="6">
        <f>IF($B2059="","",'Daily Sale entry '!G149)</f>
        <v/>
      </c>
      <c r="H2060" t="inlineStr">
        <is>
          <t>Cash Sales 现金销售</t>
        </is>
      </c>
      <c r="I2060" s="6">
        <f>IF($B2059="","",IF(AND(ABS(B2070)&gt;'Opening Balance'!$B$13,B2070&lt;0),ROUND(B2060-B2070,2),B2060))</f>
        <v/>
      </c>
      <c r="K2060" t="inlineStr">
        <is>
          <t>c/f petty cash 今日备用金结转</t>
        </is>
      </c>
      <c r="L2060" s="6">
        <f>IF($B2059="","",IF(ABS(B2070)&lt;='Opening Balance'!$B$13,ROUND(E2060+B2070,2),E2060))</f>
        <v/>
      </c>
    </row>
    <row r="2061">
      <c r="A2061" t="inlineStr">
        <is>
          <t>Misc Charges 杂项费用</t>
        </is>
      </c>
      <c r="B2061" s="6">
        <f>IF($B2059="","",'Daily Sale entry '!C149)</f>
        <v/>
      </c>
      <c r="D2061" t="inlineStr">
        <is>
          <t>cash collection 现金收款</t>
        </is>
      </c>
      <c r="E2061" s="6">
        <f>IF($B2059="","",'Daily Sale entry '!H149)</f>
        <v/>
      </c>
      <c r="H2061" t="inlineStr">
        <is>
          <t>Misc Charges 杂项费用</t>
        </is>
      </c>
      <c r="I2061" s="6">
        <f>IF($B2059="","",IF(AND(ABS(B2070)&gt;'Opening Balance'!$B$13,B2070&gt;0),ROUND(B2061+B2070,2),B2061))</f>
        <v/>
      </c>
      <c r="K2061" t="inlineStr">
        <is>
          <t>cash collection 现金收款</t>
        </is>
      </c>
      <c r="L2061" s="6">
        <f>IF($B2059="","",E2061)</f>
        <v/>
      </c>
    </row>
    <row r="2062">
      <c r="A2062" s="1" t="inlineStr">
        <is>
          <t>Other Charges 其他费用</t>
        </is>
      </c>
      <c r="B2062" s="9">
        <f>IF($B2059="","",'Daily Sale entry '!D149)</f>
        <v/>
      </c>
      <c r="D2062" s="1" t="inlineStr">
        <is>
          <t>Cheque Collection 支票收款</t>
        </is>
      </c>
      <c r="E2062" s="9">
        <f>IF($B2059="","",'Daily Sale entry '!J149)</f>
        <v/>
      </c>
      <c r="H2062" s="1" t="inlineStr">
        <is>
          <t>Other Charges 其他费用</t>
        </is>
      </c>
      <c r="I2062" s="9">
        <f>IF($B2059="","",B2062)</f>
        <v/>
      </c>
      <c r="K2062" s="1" t="inlineStr">
        <is>
          <t>Cheque Collection 支票收款</t>
        </is>
      </c>
      <c r="L2062" s="9">
        <f>IF($B2059="","",E2062)</f>
        <v/>
      </c>
    </row>
    <row r="2063">
      <c r="A2063" s="10" t="inlineStr">
        <is>
          <t>Amount 金额  (Cash Sales - Misc - Other)</t>
        </is>
      </c>
      <c r="B2063" s="11">
        <f>IF($B2059="","",ROUND(B2060-B2061-B2062,2))</f>
        <v/>
      </c>
      <c r="D2063" s="12" t="inlineStr">
        <is>
          <t>TNG collection TNG收款</t>
        </is>
      </c>
      <c r="E2063" s="13">
        <f>IF($B2059="","",'Daily Sale entry '!K149)</f>
        <v/>
      </c>
      <c r="H2063" s="10" t="inlineStr">
        <is>
          <t>Amount 金额  (Cash Sales - Misc - Other)</t>
        </is>
      </c>
      <c r="I2063" s="11">
        <f>IF($B2059="","",ROUND(I2060-I2061-I2062,2))</f>
        <v/>
      </c>
      <c r="K2063" s="12" t="inlineStr">
        <is>
          <t>TNG collection TNG收款</t>
        </is>
      </c>
      <c r="L2063" s="13">
        <f>IF($B2059="","",E2063)</f>
        <v/>
      </c>
    </row>
    <row r="2064">
      <c r="A2064" t="inlineStr">
        <is>
          <t>Credit Collection 赊账收款</t>
        </is>
      </c>
      <c r="B2064" s="6">
        <f>IF($B2059="","",'Daily Sale entry '!E149)</f>
        <v/>
      </c>
      <c r="D2064" t="inlineStr">
        <is>
          <t>Advance Salary_M 预支薪水_M</t>
        </is>
      </c>
      <c r="E2064" s="6">
        <f>IF($B2059="","",'Daily Sale entry '!L149)</f>
        <v/>
      </c>
      <c r="H2064" t="inlineStr">
        <is>
          <t>Credit Collection 赊账收款</t>
        </is>
      </c>
      <c r="I2064" s="6">
        <f>IF($B2059="","",B2064)</f>
        <v/>
      </c>
      <c r="K2064" t="inlineStr">
        <is>
          <t>Advance Salary_M 预支薪水_M</t>
        </is>
      </c>
      <c r="L2064" s="6">
        <f>IF($B2059="","",E2064)</f>
        <v/>
      </c>
    </row>
    <row r="2065">
      <c r="A2065" s="10" t="inlineStr">
        <is>
          <t>Amount 2 金额2  (Amount + Credit Collection)</t>
        </is>
      </c>
      <c r="B2065" s="11">
        <f>IF($B2059="","",ROUND(B2063+B2064,2))</f>
        <v/>
      </c>
      <c r="D2065" t="inlineStr">
        <is>
          <t>Advance Salary_H 预支薪水_H</t>
        </is>
      </c>
      <c r="E2065" s="6">
        <f>IF($B2059="","",'Daily Sale entry '!M149)</f>
        <v/>
      </c>
      <c r="H2065" s="10" t="inlineStr">
        <is>
          <t>Amount 2 金额2  (Amount + Credit Collection)</t>
        </is>
      </c>
      <c r="I2065" s="11">
        <f>IF($B2059="","",ROUND(I2063+I2064,2))</f>
        <v/>
      </c>
      <c r="K2065" t="inlineStr">
        <is>
          <t>Advance Salary_H 预支薪水_H</t>
        </is>
      </c>
      <c r="L2065" s="6">
        <f>IF($B2059="","",E2065)</f>
        <v/>
      </c>
    </row>
    <row r="2066"/>
    <row r="2067">
      <c r="A2067" s="1" t="inlineStr">
        <is>
          <t>b/f petty cash 上日备用金结转</t>
        </is>
      </c>
      <c r="B2067" s="9">
        <f>IF($B2059="","",'Daily Sale entry '!F149)</f>
        <v/>
      </c>
      <c r="D2067" s="1" t="n"/>
      <c r="E2067" s="1" t="n"/>
      <c r="H2067" s="1" t="inlineStr">
        <is>
          <t>b/f petty cash 上日备用金结转</t>
        </is>
      </c>
      <c r="I2067" s="9">
        <f>IF($B2059="","",B2067)</f>
        <v/>
      </c>
      <c r="K2067" s="1" t="n"/>
      <c r="L2067" s="1" t="n"/>
    </row>
    <row r="2068">
      <c r="A2068" t="inlineStr">
        <is>
          <t>Total (A) 总计 (A)</t>
        </is>
      </c>
      <c r="B2068" s="6">
        <f>IF($B2059="","",ROUND(B2065+B2067,2))</f>
        <v/>
      </c>
      <c r="D2068" t="inlineStr">
        <is>
          <t>Total(B) 总计 (B)</t>
        </is>
      </c>
      <c r="E2068" s="6">
        <f>IF($B2059="","",ROUND(E2060+E2061+E2062+E2063+E2064+E2065,2))</f>
        <v/>
      </c>
      <c r="H2068" t="inlineStr">
        <is>
          <t>Total© 总计 (C)</t>
        </is>
      </c>
      <c r="I2068" s="6">
        <f>IF($B2059="","",ROUND(I2065+I2067,2))</f>
        <v/>
      </c>
      <c r="K2068" t="inlineStr">
        <is>
          <t>Total(D) 总计 (D)</t>
        </is>
      </c>
      <c r="L2068" s="6">
        <f>IF($B2059="","",ROUND(L2060+L2061+L2062+L2063+L2064+L2065,2))</f>
        <v/>
      </c>
    </row>
    <row r="2069">
      <c r="A2069" s="14" t="inlineStr">
        <is>
          <t>Total = Amount 2 + b/f petty cash  (金额2 + 上日备用金)</t>
        </is>
      </c>
      <c r="H2069" s="14" t="inlineStr">
        <is>
          <t>Total = Amount 2 + b/f petty cash  (金额2 + 上日备用金)</t>
        </is>
      </c>
    </row>
    <row r="2070">
      <c r="A2070" t="inlineStr">
        <is>
          <t>Different 差额</t>
        </is>
      </c>
      <c r="B2070" s="6">
        <f>IF($B2059="","",ROUND(B2068-E2068,2))</f>
        <v/>
      </c>
      <c r="D2070">
        <f>IF($B2059="","",IF(ABS(B2070)&gt;'Opening Balance'!$B$16,"ALERT 警报: Different over RM"&amp;'Opening Balance'!$B$16&amp;" 差额超过RM"&amp;'Opening Balance'!$B$16&amp;" - please check 请检查",IF(B2070=0,"Tied 平衡",IF(ABS(B2070)&lt;='Opening Balance'!$B$13,"Small difference 小额差额: adjusted on c/f petty cash 已调整备用金",IF(B2070&gt;0,"Short 短收: added to Misc Charges 已加入杂项费用","Over 多收: added to Cash Sales 已加入现金销售")))))</f>
        <v/>
      </c>
      <c r="H2070" t="inlineStr">
        <is>
          <t>Different 差额</t>
        </is>
      </c>
      <c r="I2070" s="6">
        <f>IF($B2059="","",ROUND(I2068-L2068,2))</f>
        <v/>
      </c>
    </row>
    <row r="2071"/>
    <row r="2072"/>
    <row r="2073">
      <c r="A2073" t="inlineStr">
        <is>
          <t>Date 日期</t>
        </is>
      </c>
      <c r="B2073" s="5">
        <f>IF('Daily Sale entry '!$A150="","",'Daily Sale entry '!$A150)</f>
        <v/>
      </c>
      <c r="H2073" t="inlineStr">
        <is>
          <t>After 调整后 (After)</t>
        </is>
      </c>
      <c r="I2073" s="5">
        <f>IF($B2073="","",B2073)</f>
        <v/>
      </c>
    </row>
    <row r="2074">
      <c r="A2074" t="inlineStr">
        <is>
          <t>Cash Sales 现金销售</t>
        </is>
      </c>
      <c r="B2074" s="6">
        <f>IF($B2073="","",'Daily Sale entry '!B150)</f>
        <v/>
      </c>
      <c r="D2074" t="inlineStr">
        <is>
          <t>c/f petty cash 今日备用金结转</t>
        </is>
      </c>
      <c r="E2074" s="6">
        <f>IF($B2073="","",'Daily Sale entry '!G150)</f>
        <v/>
      </c>
      <c r="H2074" t="inlineStr">
        <is>
          <t>Cash Sales 现金销售</t>
        </is>
      </c>
      <c r="I2074" s="6">
        <f>IF($B2073="","",IF(AND(ABS(B2084)&gt;'Opening Balance'!$B$13,B2084&lt;0),ROUND(B2074-B2084,2),B2074))</f>
        <v/>
      </c>
      <c r="K2074" t="inlineStr">
        <is>
          <t>c/f petty cash 今日备用金结转</t>
        </is>
      </c>
      <c r="L2074" s="6">
        <f>IF($B2073="","",IF(ABS(B2084)&lt;='Opening Balance'!$B$13,ROUND(E2074+B2084,2),E2074))</f>
        <v/>
      </c>
    </row>
    <row r="2075">
      <c r="A2075" t="inlineStr">
        <is>
          <t>Misc Charges 杂项费用</t>
        </is>
      </c>
      <c r="B2075" s="6">
        <f>IF($B2073="","",'Daily Sale entry '!C150)</f>
        <v/>
      </c>
      <c r="D2075" t="inlineStr">
        <is>
          <t>cash collection 现金收款</t>
        </is>
      </c>
      <c r="E2075" s="6">
        <f>IF($B2073="","",'Daily Sale entry '!H150)</f>
        <v/>
      </c>
      <c r="H2075" t="inlineStr">
        <is>
          <t>Misc Charges 杂项费用</t>
        </is>
      </c>
      <c r="I2075" s="6">
        <f>IF($B2073="","",IF(AND(ABS(B2084)&gt;'Opening Balance'!$B$13,B2084&gt;0),ROUND(B2075+B2084,2),B2075))</f>
        <v/>
      </c>
      <c r="K2075" t="inlineStr">
        <is>
          <t>cash collection 现金收款</t>
        </is>
      </c>
      <c r="L2075" s="6">
        <f>IF($B2073="","",E2075)</f>
        <v/>
      </c>
    </row>
    <row r="2076">
      <c r="A2076" s="1" t="inlineStr">
        <is>
          <t>Other Charges 其他费用</t>
        </is>
      </c>
      <c r="B2076" s="9">
        <f>IF($B2073="","",'Daily Sale entry '!D150)</f>
        <v/>
      </c>
      <c r="D2076" s="1" t="inlineStr">
        <is>
          <t>Cheque Collection 支票收款</t>
        </is>
      </c>
      <c r="E2076" s="9">
        <f>IF($B2073="","",'Daily Sale entry '!J150)</f>
        <v/>
      </c>
      <c r="H2076" s="1" t="inlineStr">
        <is>
          <t>Other Charges 其他费用</t>
        </is>
      </c>
      <c r="I2076" s="9">
        <f>IF($B2073="","",B2076)</f>
        <v/>
      </c>
      <c r="K2076" s="1" t="inlineStr">
        <is>
          <t>Cheque Collection 支票收款</t>
        </is>
      </c>
      <c r="L2076" s="9">
        <f>IF($B2073="","",E2076)</f>
        <v/>
      </c>
    </row>
    <row r="2077">
      <c r="A2077" s="10" t="inlineStr">
        <is>
          <t>Amount 金额  (Cash Sales - Misc - Other)</t>
        </is>
      </c>
      <c r="B2077" s="11">
        <f>IF($B2073="","",ROUND(B2074-B2075-B2076,2))</f>
        <v/>
      </c>
      <c r="D2077" s="12" t="inlineStr">
        <is>
          <t>TNG collection TNG收款</t>
        </is>
      </c>
      <c r="E2077" s="13">
        <f>IF($B2073="","",'Daily Sale entry '!K150)</f>
        <v/>
      </c>
      <c r="H2077" s="10" t="inlineStr">
        <is>
          <t>Amount 金额  (Cash Sales - Misc - Other)</t>
        </is>
      </c>
      <c r="I2077" s="11">
        <f>IF($B2073="","",ROUND(I2074-I2075-I2076,2))</f>
        <v/>
      </c>
      <c r="K2077" s="12" t="inlineStr">
        <is>
          <t>TNG collection TNG收款</t>
        </is>
      </c>
      <c r="L2077" s="13">
        <f>IF($B2073="","",E2077)</f>
        <v/>
      </c>
    </row>
    <row r="2078">
      <c r="A2078" t="inlineStr">
        <is>
          <t>Credit Collection 赊账收款</t>
        </is>
      </c>
      <c r="B2078" s="6">
        <f>IF($B2073="","",'Daily Sale entry '!E150)</f>
        <v/>
      </c>
      <c r="D2078" t="inlineStr">
        <is>
          <t>Advance Salary_M 预支薪水_M</t>
        </is>
      </c>
      <c r="E2078" s="6">
        <f>IF($B2073="","",'Daily Sale entry '!L150)</f>
        <v/>
      </c>
      <c r="H2078" t="inlineStr">
        <is>
          <t>Credit Collection 赊账收款</t>
        </is>
      </c>
      <c r="I2078" s="6">
        <f>IF($B2073="","",B2078)</f>
        <v/>
      </c>
      <c r="K2078" t="inlineStr">
        <is>
          <t>Advance Salary_M 预支薪水_M</t>
        </is>
      </c>
      <c r="L2078" s="6">
        <f>IF($B2073="","",E2078)</f>
        <v/>
      </c>
    </row>
    <row r="2079">
      <c r="A2079" s="10" t="inlineStr">
        <is>
          <t>Amount 2 金额2  (Amount + Credit Collection)</t>
        </is>
      </c>
      <c r="B2079" s="11">
        <f>IF($B2073="","",ROUND(B2077+B2078,2))</f>
        <v/>
      </c>
      <c r="D2079" t="inlineStr">
        <is>
          <t>Advance Salary_H 预支薪水_H</t>
        </is>
      </c>
      <c r="E2079" s="6">
        <f>IF($B2073="","",'Daily Sale entry '!M150)</f>
        <v/>
      </c>
      <c r="H2079" s="10" t="inlineStr">
        <is>
          <t>Amount 2 金额2  (Amount + Credit Collection)</t>
        </is>
      </c>
      <c r="I2079" s="11">
        <f>IF($B2073="","",ROUND(I2077+I2078,2))</f>
        <v/>
      </c>
      <c r="K2079" t="inlineStr">
        <is>
          <t>Advance Salary_H 预支薪水_H</t>
        </is>
      </c>
      <c r="L2079" s="6">
        <f>IF($B2073="","",E2079)</f>
        <v/>
      </c>
    </row>
    <row r="2080"/>
    <row r="2081">
      <c r="A2081" s="1" t="inlineStr">
        <is>
          <t>b/f petty cash 上日备用金结转</t>
        </is>
      </c>
      <c r="B2081" s="9">
        <f>IF($B2073="","",'Daily Sale entry '!F150)</f>
        <v/>
      </c>
      <c r="D2081" s="1" t="n"/>
      <c r="E2081" s="1" t="n"/>
      <c r="H2081" s="1" t="inlineStr">
        <is>
          <t>b/f petty cash 上日备用金结转</t>
        </is>
      </c>
      <c r="I2081" s="9">
        <f>IF($B2073="","",B2081)</f>
        <v/>
      </c>
      <c r="K2081" s="1" t="n"/>
      <c r="L2081" s="1" t="n"/>
    </row>
    <row r="2082">
      <c r="A2082" t="inlineStr">
        <is>
          <t>Total (A) 总计 (A)</t>
        </is>
      </c>
      <c r="B2082" s="6">
        <f>IF($B2073="","",ROUND(B2079+B2081,2))</f>
        <v/>
      </c>
      <c r="D2082" t="inlineStr">
        <is>
          <t>Total(B) 总计 (B)</t>
        </is>
      </c>
      <c r="E2082" s="6">
        <f>IF($B2073="","",ROUND(E2074+E2075+E2076+E2077+E2078+E2079,2))</f>
        <v/>
      </c>
      <c r="H2082" t="inlineStr">
        <is>
          <t>Total© 总计 (C)</t>
        </is>
      </c>
      <c r="I2082" s="6">
        <f>IF($B2073="","",ROUND(I2079+I2081,2))</f>
        <v/>
      </c>
      <c r="K2082" t="inlineStr">
        <is>
          <t>Total(D) 总计 (D)</t>
        </is>
      </c>
      <c r="L2082" s="6">
        <f>IF($B2073="","",ROUND(L2074+L2075+L2076+L2077+L2078+L2079,2))</f>
        <v/>
      </c>
    </row>
    <row r="2083">
      <c r="A2083" s="14" t="inlineStr">
        <is>
          <t>Total = Amount 2 + b/f petty cash  (金额2 + 上日备用金)</t>
        </is>
      </c>
      <c r="H2083" s="14" t="inlineStr">
        <is>
          <t>Total = Amount 2 + b/f petty cash  (金额2 + 上日备用金)</t>
        </is>
      </c>
    </row>
    <row r="2084">
      <c r="A2084" t="inlineStr">
        <is>
          <t>Different 差额</t>
        </is>
      </c>
      <c r="B2084" s="6">
        <f>IF($B2073="","",ROUND(B2082-E2082,2))</f>
        <v/>
      </c>
      <c r="D2084">
        <f>IF($B2073="","",IF(ABS(B2084)&gt;'Opening Balance'!$B$16,"ALERT 警报: Different over RM"&amp;'Opening Balance'!$B$16&amp;" 差额超过RM"&amp;'Opening Balance'!$B$16&amp;" - please check 请检查",IF(B2084=0,"Tied 平衡",IF(ABS(B2084)&lt;='Opening Balance'!$B$13,"Small difference 小额差额: adjusted on c/f petty cash 已调整备用金",IF(B2084&gt;0,"Short 短收: added to Misc Charges 已加入杂项费用","Over 多收: added to Cash Sales 已加入现金销售")))))</f>
        <v/>
      </c>
      <c r="H2084" t="inlineStr">
        <is>
          <t>Different 差额</t>
        </is>
      </c>
      <c r="I2084" s="6">
        <f>IF($B2073="","",ROUND(I2082-L2082,2))</f>
        <v/>
      </c>
    </row>
    <row r="2085"/>
    <row r="2086"/>
    <row r="2087">
      <c r="A2087" t="inlineStr">
        <is>
          <t>Date 日期</t>
        </is>
      </c>
      <c r="B2087" s="5">
        <f>IF('Daily Sale entry '!$A151="","",'Daily Sale entry '!$A151)</f>
        <v/>
      </c>
      <c r="H2087" t="inlineStr">
        <is>
          <t>After 调整后 (After)</t>
        </is>
      </c>
      <c r="I2087" s="5">
        <f>IF($B2087="","",B2087)</f>
        <v/>
      </c>
    </row>
    <row r="2088">
      <c r="A2088" t="inlineStr">
        <is>
          <t>Cash Sales 现金销售</t>
        </is>
      </c>
      <c r="B2088" s="6">
        <f>IF($B2087="","",'Daily Sale entry '!B151)</f>
        <v/>
      </c>
      <c r="D2088" t="inlineStr">
        <is>
          <t>c/f petty cash 今日备用金结转</t>
        </is>
      </c>
      <c r="E2088" s="6">
        <f>IF($B2087="","",'Daily Sale entry '!G151)</f>
        <v/>
      </c>
      <c r="H2088" t="inlineStr">
        <is>
          <t>Cash Sales 现金销售</t>
        </is>
      </c>
      <c r="I2088" s="6">
        <f>IF($B2087="","",IF(AND(ABS(B2098)&gt;'Opening Balance'!$B$13,B2098&lt;0),ROUND(B2088-B2098,2),B2088))</f>
        <v/>
      </c>
      <c r="K2088" t="inlineStr">
        <is>
          <t>c/f petty cash 今日备用金结转</t>
        </is>
      </c>
      <c r="L2088" s="6">
        <f>IF($B2087="","",IF(ABS(B2098)&lt;='Opening Balance'!$B$13,ROUND(E2088+B2098,2),E2088))</f>
        <v/>
      </c>
    </row>
    <row r="2089">
      <c r="A2089" t="inlineStr">
        <is>
          <t>Misc Charges 杂项费用</t>
        </is>
      </c>
      <c r="B2089" s="6">
        <f>IF($B2087="","",'Daily Sale entry '!C151)</f>
        <v/>
      </c>
      <c r="D2089" t="inlineStr">
        <is>
          <t>cash collection 现金收款</t>
        </is>
      </c>
      <c r="E2089" s="6">
        <f>IF($B2087="","",'Daily Sale entry '!H151)</f>
        <v/>
      </c>
      <c r="H2089" t="inlineStr">
        <is>
          <t>Misc Charges 杂项费用</t>
        </is>
      </c>
      <c r="I2089" s="6">
        <f>IF($B2087="","",IF(AND(ABS(B2098)&gt;'Opening Balance'!$B$13,B2098&gt;0),ROUND(B2089+B2098,2),B2089))</f>
        <v/>
      </c>
      <c r="K2089" t="inlineStr">
        <is>
          <t>cash collection 现金收款</t>
        </is>
      </c>
      <c r="L2089" s="6">
        <f>IF($B2087="","",E2089)</f>
        <v/>
      </c>
    </row>
    <row r="2090">
      <c r="A2090" s="1" t="inlineStr">
        <is>
          <t>Other Charges 其他费用</t>
        </is>
      </c>
      <c r="B2090" s="9">
        <f>IF($B2087="","",'Daily Sale entry '!D151)</f>
        <v/>
      </c>
      <c r="D2090" s="1" t="inlineStr">
        <is>
          <t>Cheque Collection 支票收款</t>
        </is>
      </c>
      <c r="E2090" s="9">
        <f>IF($B2087="","",'Daily Sale entry '!J151)</f>
        <v/>
      </c>
      <c r="H2090" s="1" t="inlineStr">
        <is>
          <t>Other Charges 其他费用</t>
        </is>
      </c>
      <c r="I2090" s="9">
        <f>IF($B2087="","",B2090)</f>
        <v/>
      </c>
      <c r="K2090" s="1" t="inlineStr">
        <is>
          <t>Cheque Collection 支票收款</t>
        </is>
      </c>
      <c r="L2090" s="9">
        <f>IF($B2087="","",E2090)</f>
        <v/>
      </c>
    </row>
    <row r="2091">
      <c r="A2091" s="10" t="inlineStr">
        <is>
          <t>Amount 金额  (Cash Sales - Misc - Other)</t>
        </is>
      </c>
      <c r="B2091" s="11">
        <f>IF($B2087="","",ROUND(B2088-B2089-B2090,2))</f>
        <v/>
      </c>
      <c r="D2091" s="12" t="inlineStr">
        <is>
          <t>TNG collection TNG收款</t>
        </is>
      </c>
      <c r="E2091" s="13">
        <f>IF($B2087="","",'Daily Sale entry '!K151)</f>
        <v/>
      </c>
      <c r="H2091" s="10" t="inlineStr">
        <is>
          <t>Amount 金额  (Cash Sales - Misc - Other)</t>
        </is>
      </c>
      <c r="I2091" s="11">
        <f>IF($B2087="","",ROUND(I2088-I2089-I2090,2))</f>
        <v/>
      </c>
      <c r="K2091" s="12" t="inlineStr">
        <is>
          <t>TNG collection TNG收款</t>
        </is>
      </c>
      <c r="L2091" s="13">
        <f>IF($B2087="","",E2091)</f>
        <v/>
      </c>
    </row>
    <row r="2092">
      <c r="A2092" t="inlineStr">
        <is>
          <t>Credit Collection 赊账收款</t>
        </is>
      </c>
      <c r="B2092" s="6">
        <f>IF($B2087="","",'Daily Sale entry '!E151)</f>
        <v/>
      </c>
      <c r="D2092" t="inlineStr">
        <is>
          <t>Advance Salary_M 预支薪水_M</t>
        </is>
      </c>
      <c r="E2092" s="6">
        <f>IF($B2087="","",'Daily Sale entry '!L151)</f>
        <v/>
      </c>
      <c r="H2092" t="inlineStr">
        <is>
          <t>Credit Collection 赊账收款</t>
        </is>
      </c>
      <c r="I2092" s="6">
        <f>IF($B2087="","",B2092)</f>
        <v/>
      </c>
      <c r="K2092" t="inlineStr">
        <is>
          <t>Advance Salary_M 预支薪水_M</t>
        </is>
      </c>
      <c r="L2092" s="6">
        <f>IF($B2087="","",E2092)</f>
        <v/>
      </c>
    </row>
    <row r="2093">
      <c r="A2093" s="10" t="inlineStr">
        <is>
          <t>Amount 2 金额2  (Amount + Credit Collection)</t>
        </is>
      </c>
      <c r="B2093" s="11">
        <f>IF($B2087="","",ROUND(B2091+B2092,2))</f>
        <v/>
      </c>
      <c r="D2093" t="inlineStr">
        <is>
          <t>Advance Salary_H 预支薪水_H</t>
        </is>
      </c>
      <c r="E2093" s="6">
        <f>IF($B2087="","",'Daily Sale entry '!M151)</f>
        <v/>
      </c>
      <c r="H2093" s="10" t="inlineStr">
        <is>
          <t>Amount 2 金额2  (Amount + Credit Collection)</t>
        </is>
      </c>
      <c r="I2093" s="11">
        <f>IF($B2087="","",ROUND(I2091+I2092,2))</f>
        <v/>
      </c>
      <c r="K2093" t="inlineStr">
        <is>
          <t>Advance Salary_H 预支薪水_H</t>
        </is>
      </c>
      <c r="L2093" s="6">
        <f>IF($B2087="","",E2093)</f>
        <v/>
      </c>
    </row>
    <row r="2094"/>
    <row r="2095">
      <c r="A2095" s="1" t="inlineStr">
        <is>
          <t>b/f petty cash 上日备用金结转</t>
        </is>
      </c>
      <c r="B2095" s="9">
        <f>IF($B2087="","",'Daily Sale entry '!F151)</f>
        <v/>
      </c>
      <c r="D2095" s="1" t="n"/>
      <c r="E2095" s="1" t="n"/>
      <c r="H2095" s="1" t="inlineStr">
        <is>
          <t>b/f petty cash 上日备用金结转</t>
        </is>
      </c>
      <c r="I2095" s="9">
        <f>IF($B2087="","",B2095)</f>
        <v/>
      </c>
      <c r="K2095" s="1" t="n"/>
      <c r="L2095" s="1" t="n"/>
    </row>
    <row r="2096">
      <c r="A2096" t="inlineStr">
        <is>
          <t>Total (A) 总计 (A)</t>
        </is>
      </c>
      <c r="B2096" s="6">
        <f>IF($B2087="","",ROUND(B2093+B2095,2))</f>
        <v/>
      </c>
      <c r="D2096" t="inlineStr">
        <is>
          <t>Total(B) 总计 (B)</t>
        </is>
      </c>
      <c r="E2096" s="6">
        <f>IF($B2087="","",ROUND(E2088+E2089+E2090+E2091+E2092+E2093,2))</f>
        <v/>
      </c>
      <c r="H2096" t="inlineStr">
        <is>
          <t>Total© 总计 (C)</t>
        </is>
      </c>
      <c r="I2096" s="6">
        <f>IF($B2087="","",ROUND(I2093+I2095,2))</f>
        <v/>
      </c>
      <c r="K2096" t="inlineStr">
        <is>
          <t>Total(D) 总计 (D)</t>
        </is>
      </c>
      <c r="L2096" s="6">
        <f>IF($B2087="","",ROUND(L2088+L2089+L2090+L2091+L2092+L2093,2))</f>
        <v/>
      </c>
    </row>
    <row r="2097">
      <c r="A2097" s="14" t="inlineStr">
        <is>
          <t>Total = Amount 2 + b/f petty cash  (金额2 + 上日备用金)</t>
        </is>
      </c>
      <c r="H2097" s="14" t="inlineStr">
        <is>
          <t>Total = Amount 2 + b/f petty cash  (金额2 + 上日备用金)</t>
        </is>
      </c>
    </row>
    <row r="2098">
      <c r="A2098" t="inlineStr">
        <is>
          <t>Different 差额</t>
        </is>
      </c>
      <c r="B2098" s="6">
        <f>IF($B2087="","",ROUND(B2096-E2096,2))</f>
        <v/>
      </c>
      <c r="D2098">
        <f>IF($B2087="","",IF(ABS(B2098)&gt;'Opening Balance'!$B$16,"ALERT 警报: Different over RM"&amp;'Opening Balance'!$B$16&amp;" 差额超过RM"&amp;'Opening Balance'!$B$16&amp;" - please check 请检查",IF(B2098=0,"Tied 平衡",IF(ABS(B2098)&lt;='Opening Balance'!$B$13,"Small difference 小额差额: adjusted on c/f petty cash 已调整备用金",IF(B2098&gt;0,"Short 短收: added to Misc Charges 已加入杂项费用","Over 多收: added to Cash Sales 已加入现金销售")))))</f>
        <v/>
      </c>
      <c r="H2098" t="inlineStr">
        <is>
          <t>Different 差额</t>
        </is>
      </c>
      <c r="I2098" s="6">
        <f>IF($B2087="","",ROUND(I2096-L2096,2))</f>
        <v/>
      </c>
    </row>
    <row r="2099"/>
    <row r="2100"/>
    <row r="2101">
      <c r="A2101" t="inlineStr">
        <is>
          <t>Date 日期</t>
        </is>
      </c>
      <c r="B2101" s="5">
        <f>IF('Daily Sale entry '!$A152="","",'Daily Sale entry '!$A152)</f>
        <v/>
      </c>
      <c r="H2101" t="inlineStr">
        <is>
          <t>After 调整后 (After)</t>
        </is>
      </c>
      <c r="I2101" s="5">
        <f>IF($B2101="","",B2101)</f>
        <v/>
      </c>
    </row>
    <row r="2102">
      <c r="A2102" t="inlineStr">
        <is>
          <t>Cash Sales 现金销售</t>
        </is>
      </c>
      <c r="B2102" s="6">
        <f>IF($B2101="","",'Daily Sale entry '!B152)</f>
        <v/>
      </c>
      <c r="D2102" t="inlineStr">
        <is>
          <t>c/f petty cash 今日备用金结转</t>
        </is>
      </c>
      <c r="E2102" s="6">
        <f>IF($B2101="","",'Daily Sale entry '!G152)</f>
        <v/>
      </c>
      <c r="H2102" t="inlineStr">
        <is>
          <t>Cash Sales 现金销售</t>
        </is>
      </c>
      <c r="I2102" s="6">
        <f>IF($B2101="","",IF(AND(ABS(B2112)&gt;'Opening Balance'!$B$13,B2112&lt;0),ROUND(B2102-B2112,2),B2102))</f>
        <v/>
      </c>
      <c r="K2102" t="inlineStr">
        <is>
          <t>c/f petty cash 今日备用金结转</t>
        </is>
      </c>
      <c r="L2102" s="6">
        <f>IF($B2101="","",IF(ABS(B2112)&lt;='Opening Balance'!$B$13,ROUND(E2102+B2112,2),E2102))</f>
        <v/>
      </c>
    </row>
    <row r="2103">
      <c r="A2103" t="inlineStr">
        <is>
          <t>Misc Charges 杂项费用</t>
        </is>
      </c>
      <c r="B2103" s="6">
        <f>IF($B2101="","",'Daily Sale entry '!C152)</f>
        <v/>
      </c>
      <c r="D2103" t="inlineStr">
        <is>
          <t>cash collection 现金收款</t>
        </is>
      </c>
      <c r="E2103" s="6">
        <f>IF($B2101="","",'Daily Sale entry '!H152)</f>
        <v/>
      </c>
      <c r="H2103" t="inlineStr">
        <is>
          <t>Misc Charges 杂项费用</t>
        </is>
      </c>
      <c r="I2103" s="6">
        <f>IF($B2101="","",IF(AND(ABS(B2112)&gt;'Opening Balance'!$B$13,B2112&gt;0),ROUND(B2103+B2112,2),B2103))</f>
        <v/>
      </c>
      <c r="K2103" t="inlineStr">
        <is>
          <t>cash collection 现金收款</t>
        </is>
      </c>
      <c r="L2103" s="6">
        <f>IF($B2101="","",E2103)</f>
        <v/>
      </c>
    </row>
    <row r="2104">
      <c r="A2104" s="1" t="inlineStr">
        <is>
          <t>Other Charges 其他费用</t>
        </is>
      </c>
      <c r="B2104" s="9">
        <f>IF($B2101="","",'Daily Sale entry '!D152)</f>
        <v/>
      </c>
      <c r="D2104" s="1" t="inlineStr">
        <is>
          <t>Cheque Collection 支票收款</t>
        </is>
      </c>
      <c r="E2104" s="9">
        <f>IF($B2101="","",'Daily Sale entry '!J152)</f>
        <v/>
      </c>
      <c r="H2104" s="1" t="inlineStr">
        <is>
          <t>Other Charges 其他费用</t>
        </is>
      </c>
      <c r="I2104" s="9">
        <f>IF($B2101="","",B2104)</f>
        <v/>
      </c>
      <c r="K2104" s="1" t="inlineStr">
        <is>
          <t>Cheque Collection 支票收款</t>
        </is>
      </c>
      <c r="L2104" s="9">
        <f>IF($B2101="","",E2104)</f>
        <v/>
      </c>
    </row>
    <row r="2105">
      <c r="A2105" s="10" t="inlineStr">
        <is>
          <t>Amount 金额  (Cash Sales - Misc - Other)</t>
        </is>
      </c>
      <c r="B2105" s="11">
        <f>IF($B2101="","",ROUND(B2102-B2103-B2104,2))</f>
        <v/>
      </c>
      <c r="D2105" s="12" t="inlineStr">
        <is>
          <t>TNG collection TNG收款</t>
        </is>
      </c>
      <c r="E2105" s="13">
        <f>IF($B2101="","",'Daily Sale entry '!K152)</f>
        <v/>
      </c>
      <c r="H2105" s="10" t="inlineStr">
        <is>
          <t>Amount 金额  (Cash Sales - Misc - Other)</t>
        </is>
      </c>
      <c r="I2105" s="11">
        <f>IF($B2101="","",ROUND(I2102-I2103-I2104,2))</f>
        <v/>
      </c>
      <c r="K2105" s="12" t="inlineStr">
        <is>
          <t>TNG collection TNG收款</t>
        </is>
      </c>
      <c r="L2105" s="13">
        <f>IF($B2101="","",E2105)</f>
        <v/>
      </c>
    </row>
    <row r="2106">
      <c r="A2106" t="inlineStr">
        <is>
          <t>Credit Collection 赊账收款</t>
        </is>
      </c>
      <c r="B2106" s="6">
        <f>IF($B2101="","",'Daily Sale entry '!E152)</f>
        <v/>
      </c>
      <c r="D2106" t="inlineStr">
        <is>
          <t>Advance Salary_M 预支薪水_M</t>
        </is>
      </c>
      <c r="E2106" s="6">
        <f>IF($B2101="","",'Daily Sale entry '!L152)</f>
        <v/>
      </c>
      <c r="H2106" t="inlineStr">
        <is>
          <t>Credit Collection 赊账收款</t>
        </is>
      </c>
      <c r="I2106" s="6">
        <f>IF($B2101="","",B2106)</f>
        <v/>
      </c>
      <c r="K2106" t="inlineStr">
        <is>
          <t>Advance Salary_M 预支薪水_M</t>
        </is>
      </c>
      <c r="L2106" s="6">
        <f>IF($B2101="","",E2106)</f>
        <v/>
      </c>
    </row>
    <row r="2107">
      <c r="A2107" s="10" t="inlineStr">
        <is>
          <t>Amount 2 金额2  (Amount + Credit Collection)</t>
        </is>
      </c>
      <c r="B2107" s="11">
        <f>IF($B2101="","",ROUND(B2105+B2106,2))</f>
        <v/>
      </c>
      <c r="D2107" t="inlineStr">
        <is>
          <t>Advance Salary_H 预支薪水_H</t>
        </is>
      </c>
      <c r="E2107" s="6">
        <f>IF($B2101="","",'Daily Sale entry '!M152)</f>
        <v/>
      </c>
      <c r="H2107" s="10" t="inlineStr">
        <is>
          <t>Amount 2 金额2  (Amount + Credit Collection)</t>
        </is>
      </c>
      <c r="I2107" s="11">
        <f>IF($B2101="","",ROUND(I2105+I2106,2))</f>
        <v/>
      </c>
      <c r="K2107" t="inlineStr">
        <is>
          <t>Advance Salary_H 预支薪水_H</t>
        </is>
      </c>
      <c r="L2107" s="6">
        <f>IF($B2101="","",E2107)</f>
        <v/>
      </c>
    </row>
    <row r="2108"/>
    <row r="2109">
      <c r="A2109" s="1" t="inlineStr">
        <is>
          <t>b/f petty cash 上日备用金结转</t>
        </is>
      </c>
      <c r="B2109" s="9">
        <f>IF($B2101="","",'Daily Sale entry '!F152)</f>
        <v/>
      </c>
      <c r="D2109" s="1" t="n"/>
      <c r="E2109" s="1" t="n"/>
      <c r="H2109" s="1" t="inlineStr">
        <is>
          <t>b/f petty cash 上日备用金结转</t>
        </is>
      </c>
      <c r="I2109" s="9">
        <f>IF($B2101="","",B2109)</f>
        <v/>
      </c>
      <c r="K2109" s="1" t="n"/>
      <c r="L2109" s="1" t="n"/>
    </row>
    <row r="2110">
      <c r="A2110" t="inlineStr">
        <is>
          <t>Total (A) 总计 (A)</t>
        </is>
      </c>
      <c r="B2110" s="6">
        <f>IF($B2101="","",ROUND(B2107+B2109,2))</f>
        <v/>
      </c>
      <c r="D2110" t="inlineStr">
        <is>
          <t>Total(B) 总计 (B)</t>
        </is>
      </c>
      <c r="E2110" s="6">
        <f>IF($B2101="","",ROUND(E2102+E2103+E2104+E2105+E2106+E2107,2))</f>
        <v/>
      </c>
      <c r="H2110" t="inlineStr">
        <is>
          <t>Total© 总计 (C)</t>
        </is>
      </c>
      <c r="I2110" s="6">
        <f>IF($B2101="","",ROUND(I2107+I2109,2))</f>
        <v/>
      </c>
      <c r="K2110" t="inlineStr">
        <is>
          <t>Total(D) 总计 (D)</t>
        </is>
      </c>
      <c r="L2110" s="6">
        <f>IF($B2101="","",ROUND(L2102+L2103+L2104+L2105+L2106+L2107,2))</f>
        <v/>
      </c>
    </row>
    <row r="2111">
      <c r="A2111" s="14" t="inlineStr">
        <is>
          <t>Total = Amount 2 + b/f petty cash  (金额2 + 上日备用金)</t>
        </is>
      </c>
      <c r="H2111" s="14" t="inlineStr">
        <is>
          <t>Total = Amount 2 + b/f petty cash  (金额2 + 上日备用金)</t>
        </is>
      </c>
    </row>
    <row r="2112">
      <c r="A2112" t="inlineStr">
        <is>
          <t>Different 差额</t>
        </is>
      </c>
      <c r="B2112" s="6">
        <f>IF($B2101="","",ROUND(B2110-E2110,2))</f>
        <v/>
      </c>
      <c r="D2112">
        <f>IF($B2101="","",IF(ABS(B2112)&gt;'Opening Balance'!$B$16,"ALERT 警报: Different over RM"&amp;'Opening Balance'!$B$16&amp;" 差额超过RM"&amp;'Opening Balance'!$B$16&amp;" - please check 请检查",IF(B2112=0,"Tied 平衡",IF(ABS(B2112)&lt;='Opening Balance'!$B$13,"Small difference 小额差额: adjusted on c/f petty cash 已调整备用金",IF(B2112&gt;0,"Short 短收: added to Misc Charges 已加入杂项费用","Over 多收: added to Cash Sales 已加入现金销售")))))</f>
        <v/>
      </c>
      <c r="H2112" t="inlineStr">
        <is>
          <t>Different 差额</t>
        </is>
      </c>
      <c r="I2112" s="6">
        <f>IF($B2101="","",ROUND(I2110-L2110,2))</f>
        <v/>
      </c>
    </row>
    <row r="2113"/>
    <row r="2114"/>
    <row r="2115">
      <c r="A2115" t="inlineStr">
        <is>
          <t>Date 日期</t>
        </is>
      </c>
      <c r="B2115" s="5">
        <f>IF('Daily Sale entry '!$A153="","",'Daily Sale entry '!$A153)</f>
        <v/>
      </c>
      <c r="H2115" t="inlineStr">
        <is>
          <t>After 调整后 (After)</t>
        </is>
      </c>
      <c r="I2115" s="5">
        <f>IF($B2115="","",B2115)</f>
        <v/>
      </c>
    </row>
    <row r="2116">
      <c r="A2116" t="inlineStr">
        <is>
          <t>Cash Sales 现金销售</t>
        </is>
      </c>
      <c r="B2116" s="6">
        <f>IF($B2115="","",'Daily Sale entry '!B153)</f>
        <v/>
      </c>
      <c r="D2116" t="inlineStr">
        <is>
          <t>c/f petty cash 今日备用金结转</t>
        </is>
      </c>
      <c r="E2116" s="6">
        <f>IF($B2115="","",'Daily Sale entry '!G153)</f>
        <v/>
      </c>
      <c r="H2116" t="inlineStr">
        <is>
          <t>Cash Sales 现金销售</t>
        </is>
      </c>
      <c r="I2116" s="6">
        <f>IF($B2115="","",IF(AND(ABS(B2126)&gt;'Opening Balance'!$B$13,B2126&lt;0),ROUND(B2116-B2126,2),B2116))</f>
        <v/>
      </c>
      <c r="K2116" t="inlineStr">
        <is>
          <t>c/f petty cash 今日备用金结转</t>
        </is>
      </c>
      <c r="L2116" s="6">
        <f>IF($B2115="","",IF(ABS(B2126)&lt;='Opening Balance'!$B$13,ROUND(E2116+B2126,2),E2116))</f>
        <v/>
      </c>
    </row>
    <row r="2117">
      <c r="A2117" t="inlineStr">
        <is>
          <t>Misc Charges 杂项费用</t>
        </is>
      </c>
      <c r="B2117" s="6">
        <f>IF($B2115="","",'Daily Sale entry '!C153)</f>
        <v/>
      </c>
      <c r="D2117" t="inlineStr">
        <is>
          <t>cash collection 现金收款</t>
        </is>
      </c>
      <c r="E2117" s="6">
        <f>IF($B2115="","",'Daily Sale entry '!H153)</f>
        <v/>
      </c>
      <c r="H2117" t="inlineStr">
        <is>
          <t>Misc Charges 杂项费用</t>
        </is>
      </c>
      <c r="I2117" s="6">
        <f>IF($B2115="","",IF(AND(ABS(B2126)&gt;'Opening Balance'!$B$13,B2126&gt;0),ROUND(B2117+B2126,2),B2117))</f>
        <v/>
      </c>
      <c r="K2117" t="inlineStr">
        <is>
          <t>cash collection 现金收款</t>
        </is>
      </c>
      <c r="L2117" s="6">
        <f>IF($B2115="","",E2117)</f>
        <v/>
      </c>
    </row>
    <row r="2118">
      <c r="A2118" s="1" t="inlineStr">
        <is>
          <t>Other Charges 其他费用</t>
        </is>
      </c>
      <c r="B2118" s="9">
        <f>IF($B2115="","",'Daily Sale entry '!D153)</f>
        <v/>
      </c>
      <c r="D2118" s="1" t="inlineStr">
        <is>
          <t>Cheque Collection 支票收款</t>
        </is>
      </c>
      <c r="E2118" s="9">
        <f>IF($B2115="","",'Daily Sale entry '!J153)</f>
        <v/>
      </c>
      <c r="H2118" s="1" t="inlineStr">
        <is>
          <t>Other Charges 其他费用</t>
        </is>
      </c>
      <c r="I2118" s="9">
        <f>IF($B2115="","",B2118)</f>
        <v/>
      </c>
      <c r="K2118" s="1" t="inlineStr">
        <is>
          <t>Cheque Collection 支票收款</t>
        </is>
      </c>
      <c r="L2118" s="9">
        <f>IF($B2115="","",E2118)</f>
        <v/>
      </c>
    </row>
    <row r="2119">
      <c r="A2119" s="10" t="inlineStr">
        <is>
          <t>Amount 金额  (Cash Sales - Misc - Other)</t>
        </is>
      </c>
      <c r="B2119" s="11">
        <f>IF($B2115="","",ROUND(B2116-B2117-B2118,2))</f>
        <v/>
      </c>
      <c r="D2119" s="12" t="inlineStr">
        <is>
          <t>TNG collection TNG收款</t>
        </is>
      </c>
      <c r="E2119" s="13">
        <f>IF($B2115="","",'Daily Sale entry '!K153)</f>
        <v/>
      </c>
      <c r="H2119" s="10" t="inlineStr">
        <is>
          <t>Amount 金额  (Cash Sales - Misc - Other)</t>
        </is>
      </c>
      <c r="I2119" s="11">
        <f>IF($B2115="","",ROUND(I2116-I2117-I2118,2))</f>
        <v/>
      </c>
      <c r="K2119" s="12" t="inlineStr">
        <is>
          <t>TNG collection TNG收款</t>
        </is>
      </c>
      <c r="L2119" s="13">
        <f>IF($B2115="","",E2119)</f>
        <v/>
      </c>
    </row>
    <row r="2120">
      <c r="A2120" t="inlineStr">
        <is>
          <t>Credit Collection 赊账收款</t>
        </is>
      </c>
      <c r="B2120" s="6">
        <f>IF($B2115="","",'Daily Sale entry '!E153)</f>
        <v/>
      </c>
      <c r="D2120" t="inlineStr">
        <is>
          <t>Advance Salary_M 预支薪水_M</t>
        </is>
      </c>
      <c r="E2120" s="6">
        <f>IF($B2115="","",'Daily Sale entry '!L153)</f>
        <v/>
      </c>
      <c r="H2120" t="inlineStr">
        <is>
          <t>Credit Collection 赊账收款</t>
        </is>
      </c>
      <c r="I2120" s="6">
        <f>IF($B2115="","",B2120)</f>
        <v/>
      </c>
      <c r="K2120" t="inlineStr">
        <is>
          <t>Advance Salary_M 预支薪水_M</t>
        </is>
      </c>
      <c r="L2120" s="6">
        <f>IF($B2115="","",E2120)</f>
        <v/>
      </c>
    </row>
    <row r="2121">
      <c r="A2121" s="10" t="inlineStr">
        <is>
          <t>Amount 2 金额2  (Amount + Credit Collection)</t>
        </is>
      </c>
      <c r="B2121" s="11">
        <f>IF($B2115="","",ROUND(B2119+B2120,2))</f>
        <v/>
      </c>
      <c r="D2121" t="inlineStr">
        <is>
          <t>Advance Salary_H 预支薪水_H</t>
        </is>
      </c>
      <c r="E2121" s="6">
        <f>IF($B2115="","",'Daily Sale entry '!M153)</f>
        <v/>
      </c>
      <c r="H2121" s="10" t="inlineStr">
        <is>
          <t>Amount 2 金额2  (Amount + Credit Collection)</t>
        </is>
      </c>
      <c r="I2121" s="11">
        <f>IF($B2115="","",ROUND(I2119+I2120,2))</f>
        <v/>
      </c>
      <c r="K2121" t="inlineStr">
        <is>
          <t>Advance Salary_H 预支薪水_H</t>
        </is>
      </c>
      <c r="L2121" s="6">
        <f>IF($B2115="","",E2121)</f>
        <v/>
      </c>
    </row>
    <row r="2122"/>
    <row r="2123">
      <c r="A2123" s="1" t="inlineStr">
        <is>
          <t>b/f petty cash 上日备用金结转</t>
        </is>
      </c>
      <c r="B2123" s="9">
        <f>IF($B2115="","",'Daily Sale entry '!F153)</f>
        <v/>
      </c>
      <c r="D2123" s="1" t="n"/>
      <c r="E2123" s="1" t="n"/>
      <c r="H2123" s="1" t="inlineStr">
        <is>
          <t>b/f petty cash 上日备用金结转</t>
        </is>
      </c>
      <c r="I2123" s="9">
        <f>IF($B2115="","",B2123)</f>
        <v/>
      </c>
      <c r="K2123" s="1" t="n"/>
      <c r="L2123" s="1" t="n"/>
    </row>
    <row r="2124">
      <c r="A2124" t="inlineStr">
        <is>
          <t>Total (A) 总计 (A)</t>
        </is>
      </c>
      <c r="B2124" s="6">
        <f>IF($B2115="","",ROUND(B2121+B2123,2))</f>
        <v/>
      </c>
      <c r="D2124" t="inlineStr">
        <is>
          <t>Total(B) 总计 (B)</t>
        </is>
      </c>
      <c r="E2124" s="6">
        <f>IF($B2115="","",ROUND(E2116+E2117+E2118+E2119+E2120+E2121,2))</f>
        <v/>
      </c>
      <c r="H2124" t="inlineStr">
        <is>
          <t>Total© 总计 (C)</t>
        </is>
      </c>
      <c r="I2124" s="6">
        <f>IF($B2115="","",ROUND(I2121+I2123,2))</f>
        <v/>
      </c>
      <c r="K2124" t="inlineStr">
        <is>
          <t>Total(D) 总计 (D)</t>
        </is>
      </c>
      <c r="L2124" s="6">
        <f>IF($B2115="","",ROUND(L2116+L2117+L2118+L2119+L2120+L2121,2))</f>
        <v/>
      </c>
    </row>
    <row r="2125">
      <c r="A2125" s="14" t="inlineStr">
        <is>
          <t>Total = Amount 2 + b/f petty cash  (金额2 + 上日备用金)</t>
        </is>
      </c>
      <c r="H2125" s="14" t="inlineStr">
        <is>
          <t>Total = Amount 2 + b/f petty cash  (金额2 + 上日备用金)</t>
        </is>
      </c>
    </row>
    <row r="2126">
      <c r="A2126" t="inlineStr">
        <is>
          <t>Different 差额</t>
        </is>
      </c>
      <c r="B2126" s="6">
        <f>IF($B2115="","",ROUND(B2124-E2124,2))</f>
        <v/>
      </c>
      <c r="D2126">
        <f>IF($B2115="","",IF(ABS(B2126)&gt;'Opening Balance'!$B$16,"ALERT 警报: Different over RM"&amp;'Opening Balance'!$B$16&amp;" 差额超过RM"&amp;'Opening Balance'!$B$16&amp;" - please check 请检查",IF(B2126=0,"Tied 平衡",IF(ABS(B2126)&lt;='Opening Balance'!$B$13,"Small difference 小额差额: adjusted on c/f petty cash 已调整备用金",IF(B2126&gt;0,"Short 短收: added to Misc Charges 已加入杂项费用","Over 多收: added to Cash Sales 已加入现金销售")))))</f>
        <v/>
      </c>
      <c r="H2126" t="inlineStr">
        <is>
          <t>Different 差额</t>
        </is>
      </c>
      <c r="I2126" s="6">
        <f>IF($B2115="","",ROUND(I2124-L2124,2))</f>
        <v/>
      </c>
    </row>
    <row r="2127"/>
    <row r="2128"/>
    <row r="2129">
      <c r="A2129" t="inlineStr">
        <is>
          <t>Date 日期</t>
        </is>
      </c>
      <c r="B2129" s="5">
        <f>IF('Daily Sale entry '!$A154="","",'Daily Sale entry '!$A154)</f>
        <v/>
      </c>
      <c r="H2129" t="inlineStr">
        <is>
          <t>After 调整后 (After)</t>
        </is>
      </c>
      <c r="I2129" s="5">
        <f>IF($B2129="","",B2129)</f>
        <v/>
      </c>
    </row>
    <row r="2130">
      <c r="A2130" t="inlineStr">
        <is>
          <t>Cash Sales 现金销售</t>
        </is>
      </c>
      <c r="B2130" s="6">
        <f>IF($B2129="","",'Daily Sale entry '!B154)</f>
        <v/>
      </c>
      <c r="D2130" t="inlineStr">
        <is>
          <t>c/f petty cash 今日备用金结转</t>
        </is>
      </c>
      <c r="E2130" s="6">
        <f>IF($B2129="","",'Daily Sale entry '!G154)</f>
        <v/>
      </c>
      <c r="H2130" t="inlineStr">
        <is>
          <t>Cash Sales 现金销售</t>
        </is>
      </c>
      <c r="I2130" s="6">
        <f>IF($B2129="","",IF(AND(ABS(B2140)&gt;'Opening Balance'!$B$13,B2140&lt;0),ROUND(B2130-B2140,2),B2130))</f>
        <v/>
      </c>
      <c r="K2130" t="inlineStr">
        <is>
          <t>c/f petty cash 今日备用金结转</t>
        </is>
      </c>
      <c r="L2130" s="6">
        <f>IF($B2129="","",IF(ABS(B2140)&lt;='Opening Balance'!$B$13,ROUND(E2130+B2140,2),E2130))</f>
        <v/>
      </c>
    </row>
    <row r="2131">
      <c r="A2131" t="inlineStr">
        <is>
          <t>Misc Charges 杂项费用</t>
        </is>
      </c>
      <c r="B2131" s="6">
        <f>IF($B2129="","",'Daily Sale entry '!C154)</f>
        <v/>
      </c>
      <c r="D2131" t="inlineStr">
        <is>
          <t>cash collection 现金收款</t>
        </is>
      </c>
      <c r="E2131" s="6">
        <f>IF($B2129="","",'Daily Sale entry '!H154)</f>
        <v/>
      </c>
      <c r="H2131" t="inlineStr">
        <is>
          <t>Misc Charges 杂项费用</t>
        </is>
      </c>
      <c r="I2131" s="6">
        <f>IF($B2129="","",IF(AND(ABS(B2140)&gt;'Opening Balance'!$B$13,B2140&gt;0),ROUND(B2131+B2140,2),B2131))</f>
        <v/>
      </c>
      <c r="K2131" t="inlineStr">
        <is>
          <t>cash collection 现金收款</t>
        </is>
      </c>
      <c r="L2131" s="6">
        <f>IF($B2129="","",E2131)</f>
        <v/>
      </c>
    </row>
    <row r="2132">
      <c r="A2132" s="1" t="inlineStr">
        <is>
          <t>Other Charges 其他费用</t>
        </is>
      </c>
      <c r="B2132" s="9">
        <f>IF($B2129="","",'Daily Sale entry '!D154)</f>
        <v/>
      </c>
      <c r="D2132" s="1" t="inlineStr">
        <is>
          <t>Cheque Collection 支票收款</t>
        </is>
      </c>
      <c r="E2132" s="9">
        <f>IF($B2129="","",'Daily Sale entry '!J154)</f>
        <v/>
      </c>
      <c r="H2132" s="1" t="inlineStr">
        <is>
          <t>Other Charges 其他费用</t>
        </is>
      </c>
      <c r="I2132" s="9">
        <f>IF($B2129="","",B2132)</f>
        <v/>
      </c>
      <c r="K2132" s="1" t="inlineStr">
        <is>
          <t>Cheque Collection 支票收款</t>
        </is>
      </c>
      <c r="L2132" s="9">
        <f>IF($B2129="","",E2132)</f>
        <v/>
      </c>
    </row>
    <row r="2133">
      <c r="A2133" s="10" t="inlineStr">
        <is>
          <t>Amount 金额  (Cash Sales - Misc - Other)</t>
        </is>
      </c>
      <c r="B2133" s="11">
        <f>IF($B2129="","",ROUND(B2130-B2131-B2132,2))</f>
        <v/>
      </c>
      <c r="D2133" s="12" t="inlineStr">
        <is>
          <t>TNG collection TNG收款</t>
        </is>
      </c>
      <c r="E2133" s="13">
        <f>IF($B2129="","",'Daily Sale entry '!K154)</f>
        <v/>
      </c>
      <c r="H2133" s="10" t="inlineStr">
        <is>
          <t>Amount 金额  (Cash Sales - Misc - Other)</t>
        </is>
      </c>
      <c r="I2133" s="11">
        <f>IF($B2129="","",ROUND(I2130-I2131-I2132,2))</f>
        <v/>
      </c>
      <c r="K2133" s="12" t="inlineStr">
        <is>
          <t>TNG collection TNG收款</t>
        </is>
      </c>
      <c r="L2133" s="13">
        <f>IF($B2129="","",E2133)</f>
        <v/>
      </c>
    </row>
    <row r="2134">
      <c r="A2134" t="inlineStr">
        <is>
          <t>Credit Collection 赊账收款</t>
        </is>
      </c>
      <c r="B2134" s="6">
        <f>IF($B2129="","",'Daily Sale entry '!E154)</f>
        <v/>
      </c>
      <c r="D2134" t="inlineStr">
        <is>
          <t>Advance Salary_M 预支薪水_M</t>
        </is>
      </c>
      <c r="E2134" s="6">
        <f>IF($B2129="","",'Daily Sale entry '!L154)</f>
        <v/>
      </c>
      <c r="H2134" t="inlineStr">
        <is>
          <t>Credit Collection 赊账收款</t>
        </is>
      </c>
      <c r="I2134" s="6">
        <f>IF($B2129="","",B2134)</f>
        <v/>
      </c>
      <c r="K2134" t="inlineStr">
        <is>
          <t>Advance Salary_M 预支薪水_M</t>
        </is>
      </c>
      <c r="L2134" s="6">
        <f>IF($B2129="","",E2134)</f>
        <v/>
      </c>
    </row>
    <row r="2135">
      <c r="A2135" s="10" t="inlineStr">
        <is>
          <t>Amount 2 金额2  (Amount + Credit Collection)</t>
        </is>
      </c>
      <c r="B2135" s="11">
        <f>IF($B2129="","",ROUND(B2133+B2134,2))</f>
        <v/>
      </c>
      <c r="D2135" t="inlineStr">
        <is>
          <t>Advance Salary_H 预支薪水_H</t>
        </is>
      </c>
      <c r="E2135" s="6">
        <f>IF($B2129="","",'Daily Sale entry '!M154)</f>
        <v/>
      </c>
      <c r="H2135" s="10" t="inlineStr">
        <is>
          <t>Amount 2 金额2  (Amount + Credit Collection)</t>
        </is>
      </c>
      <c r="I2135" s="11">
        <f>IF($B2129="","",ROUND(I2133+I2134,2))</f>
        <v/>
      </c>
      <c r="K2135" t="inlineStr">
        <is>
          <t>Advance Salary_H 预支薪水_H</t>
        </is>
      </c>
      <c r="L2135" s="6">
        <f>IF($B2129="","",E2135)</f>
        <v/>
      </c>
    </row>
    <row r="2136"/>
    <row r="2137">
      <c r="A2137" s="1" t="inlineStr">
        <is>
          <t>b/f petty cash 上日备用金结转</t>
        </is>
      </c>
      <c r="B2137" s="9">
        <f>IF($B2129="","",'Daily Sale entry '!F154)</f>
        <v/>
      </c>
      <c r="D2137" s="1" t="n"/>
      <c r="E2137" s="1" t="n"/>
      <c r="H2137" s="1" t="inlineStr">
        <is>
          <t>b/f petty cash 上日备用金结转</t>
        </is>
      </c>
      <c r="I2137" s="9">
        <f>IF($B2129="","",B2137)</f>
        <v/>
      </c>
      <c r="K2137" s="1" t="n"/>
      <c r="L2137" s="1" t="n"/>
    </row>
    <row r="2138">
      <c r="A2138" t="inlineStr">
        <is>
          <t>Total (A) 总计 (A)</t>
        </is>
      </c>
      <c r="B2138" s="6">
        <f>IF($B2129="","",ROUND(B2135+B2137,2))</f>
        <v/>
      </c>
      <c r="D2138" t="inlineStr">
        <is>
          <t>Total(B) 总计 (B)</t>
        </is>
      </c>
      <c r="E2138" s="6">
        <f>IF($B2129="","",ROUND(E2130+E2131+E2132+E2133+E2134+E2135,2))</f>
        <v/>
      </c>
      <c r="H2138" t="inlineStr">
        <is>
          <t>Total© 总计 (C)</t>
        </is>
      </c>
      <c r="I2138" s="6">
        <f>IF($B2129="","",ROUND(I2135+I2137,2))</f>
        <v/>
      </c>
      <c r="K2138" t="inlineStr">
        <is>
          <t>Total(D) 总计 (D)</t>
        </is>
      </c>
      <c r="L2138" s="6">
        <f>IF($B2129="","",ROUND(L2130+L2131+L2132+L2133+L2134+L2135,2))</f>
        <v/>
      </c>
    </row>
    <row r="2139">
      <c r="A2139" s="14" t="inlineStr">
        <is>
          <t>Total = Amount 2 + b/f petty cash  (金额2 + 上日备用金)</t>
        </is>
      </c>
      <c r="H2139" s="14" t="inlineStr">
        <is>
          <t>Total = Amount 2 + b/f petty cash  (金额2 + 上日备用金)</t>
        </is>
      </c>
    </row>
    <row r="2140">
      <c r="A2140" t="inlineStr">
        <is>
          <t>Different 差额</t>
        </is>
      </c>
      <c r="B2140" s="6">
        <f>IF($B2129="","",ROUND(B2138-E2138,2))</f>
        <v/>
      </c>
      <c r="D2140">
        <f>IF($B2129="","",IF(ABS(B2140)&gt;'Opening Balance'!$B$16,"ALERT 警报: Different over RM"&amp;'Opening Balance'!$B$16&amp;" 差额超过RM"&amp;'Opening Balance'!$B$16&amp;" - please check 请检查",IF(B2140=0,"Tied 平衡",IF(ABS(B2140)&lt;='Opening Balance'!$B$13,"Small difference 小额差额: adjusted on c/f petty cash 已调整备用金",IF(B2140&gt;0,"Short 短收: added to Misc Charges 已加入杂项费用","Over 多收: added to Cash Sales 已加入现金销售")))))</f>
        <v/>
      </c>
      <c r="H2140" t="inlineStr">
        <is>
          <t>Different 差额</t>
        </is>
      </c>
      <c r="I2140" s="6">
        <f>IF($B2129="","",ROUND(I2138-L2138,2))</f>
        <v/>
      </c>
    </row>
    <row r="2141"/>
    <row r="2142"/>
    <row r="2143">
      <c r="A2143" t="inlineStr">
        <is>
          <t>Date 日期</t>
        </is>
      </c>
      <c r="B2143" s="5">
        <f>IF('Daily Sale entry '!$A155="","",'Daily Sale entry '!$A155)</f>
        <v/>
      </c>
      <c r="H2143" t="inlineStr">
        <is>
          <t>After 调整后 (After)</t>
        </is>
      </c>
      <c r="I2143" s="5">
        <f>IF($B2143="","",B2143)</f>
        <v/>
      </c>
    </row>
    <row r="2144">
      <c r="A2144" t="inlineStr">
        <is>
          <t>Cash Sales 现金销售</t>
        </is>
      </c>
      <c r="B2144" s="6">
        <f>IF($B2143="","",'Daily Sale entry '!B155)</f>
        <v/>
      </c>
      <c r="D2144" t="inlineStr">
        <is>
          <t>c/f petty cash 今日备用金结转</t>
        </is>
      </c>
      <c r="E2144" s="6">
        <f>IF($B2143="","",'Daily Sale entry '!G155)</f>
        <v/>
      </c>
      <c r="H2144" t="inlineStr">
        <is>
          <t>Cash Sales 现金销售</t>
        </is>
      </c>
      <c r="I2144" s="6">
        <f>IF($B2143="","",IF(AND(ABS(B2154)&gt;'Opening Balance'!$B$13,B2154&lt;0),ROUND(B2144-B2154,2),B2144))</f>
        <v/>
      </c>
      <c r="K2144" t="inlineStr">
        <is>
          <t>c/f petty cash 今日备用金结转</t>
        </is>
      </c>
      <c r="L2144" s="6">
        <f>IF($B2143="","",IF(ABS(B2154)&lt;='Opening Balance'!$B$13,ROUND(E2144+B2154,2),E2144))</f>
        <v/>
      </c>
    </row>
    <row r="2145">
      <c r="A2145" t="inlineStr">
        <is>
          <t>Misc Charges 杂项费用</t>
        </is>
      </c>
      <c r="B2145" s="6">
        <f>IF($B2143="","",'Daily Sale entry '!C155)</f>
        <v/>
      </c>
      <c r="D2145" t="inlineStr">
        <is>
          <t>cash collection 现金收款</t>
        </is>
      </c>
      <c r="E2145" s="6">
        <f>IF($B2143="","",'Daily Sale entry '!H155)</f>
        <v/>
      </c>
      <c r="H2145" t="inlineStr">
        <is>
          <t>Misc Charges 杂项费用</t>
        </is>
      </c>
      <c r="I2145" s="6">
        <f>IF($B2143="","",IF(AND(ABS(B2154)&gt;'Opening Balance'!$B$13,B2154&gt;0),ROUND(B2145+B2154,2),B2145))</f>
        <v/>
      </c>
      <c r="K2145" t="inlineStr">
        <is>
          <t>cash collection 现金收款</t>
        </is>
      </c>
      <c r="L2145" s="6">
        <f>IF($B2143="","",E2145)</f>
        <v/>
      </c>
    </row>
    <row r="2146">
      <c r="A2146" s="1" t="inlineStr">
        <is>
          <t>Other Charges 其他费用</t>
        </is>
      </c>
      <c r="B2146" s="9">
        <f>IF($B2143="","",'Daily Sale entry '!D155)</f>
        <v/>
      </c>
      <c r="D2146" s="1" t="inlineStr">
        <is>
          <t>Cheque Collection 支票收款</t>
        </is>
      </c>
      <c r="E2146" s="9">
        <f>IF($B2143="","",'Daily Sale entry '!J155)</f>
        <v/>
      </c>
      <c r="H2146" s="1" t="inlineStr">
        <is>
          <t>Other Charges 其他费用</t>
        </is>
      </c>
      <c r="I2146" s="9">
        <f>IF($B2143="","",B2146)</f>
        <v/>
      </c>
      <c r="K2146" s="1" t="inlineStr">
        <is>
          <t>Cheque Collection 支票收款</t>
        </is>
      </c>
      <c r="L2146" s="9">
        <f>IF($B2143="","",E2146)</f>
        <v/>
      </c>
    </row>
    <row r="2147">
      <c r="A2147" s="10" t="inlineStr">
        <is>
          <t>Amount 金额  (Cash Sales - Misc - Other)</t>
        </is>
      </c>
      <c r="B2147" s="11">
        <f>IF($B2143="","",ROUND(B2144-B2145-B2146,2))</f>
        <v/>
      </c>
      <c r="D2147" s="12" t="inlineStr">
        <is>
          <t>TNG collection TNG收款</t>
        </is>
      </c>
      <c r="E2147" s="13">
        <f>IF($B2143="","",'Daily Sale entry '!K155)</f>
        <v/>
      </c>
      <c r="H2147" s="10" t="inlineStr">
        <is>
          <t>Amount 金额  (Cash Sales - Misc - Other)</t>
        </is>
      </c>
      <c r="I2147" s="11">
        <f>IF($B2143="","",ROUND(I2144-I2145-I2146,2))</f>
        <v/>
      </c>
      <c r="K2147" s="12" t="inlineStr">
        <is>
          <t>TNG collection TNG收款</t>
        </is>
      </c>
      <c r="L2147" s="13">
        <f>IF($B2143="","",E2147)</f>
        <v/>
      </c>
    </row>
    <row r="2148">
      <c r="A2148" t="inlineStr">
        <is>
          <t>Credit Collection 赊账收款</t>
        </is>
      </c>
      <c r="B2148" s="6">
        <f>IF($B2143="","",'Daily Sale entry '!E155)</f>
        <v/>
      </c>
      <c r="D2148" t="inlineStr">
        <is>
          <t>Advance Salary_M 预支薪水_M</t>
        </is>
      </c>
      <c r="E2148" s="6">
        <f>IF($B2143="","",'Daily Sale entry '!L155)</f>
        <v/>
      </c>
      <c r="H2148" t="inlineStr">
        <is>
          <t>Credit Collection 赊账收款</t>
        </is>
      </c>
      <c r="I2148" s="6">
        <f>IF($B2143="","",B2148)</f>
        <v/>
      </c>
      <c r="K2148" t="inlineStr">
        <is>
          <t>Advance Salary_M 预支薪水_M</t>
        </is>
      </c>
      <c r="L2148" s="6">
        <f>IF($B2143="","",E2148)</f>
        <v/>
      </c>
    </row>
    <row r="2149">
      <c r="A2149" s="10" t="inlineStr">
        <is>
          <t>Amount 2 金额2  (Amount + Credit Collection)</t>
        </is>
      </c>
      <c r="B2149" s="11">
        <f>IF($B2143="","",ROUND(B2147+B2148,2))</f>
        <v/>
      </c>
      <c r="D2149" t="inlineStr">
        <is>
          <t>Advance Salary_H 预支薪水_H</t>
        </is>
      </c>
      <c r="E2149" s="6">
        <f>IF($B2143="","",'Daily Sale entry '!M155)</f>
        <v/>
      </c>
      <c r="H2149" s="10" t="inlineStr">
        <is>
          <t>Amount 2 金额2  (Amount + Credit Collection)</t>
        </is>
      </c>
      <c r="I2149" s="11">
        <f>IF($B2143="","",ROUND(I2147+I2148,2))</f>
        <v/>
      </c>
      <c r="K2149" t="inlineStr">
        <is>
          <t>Advance Salary_H 预支薪水_H</t>
        </is>
      </c>
      <c r="L2149" s="6">
        <f>IF($B2143="","",E2149)</f>
        <v/>
      </c>
    </row>
    <row r="2150"/>
    <row r="2151">
      <c r="A2151" s="1" t="inlineStr">
        <is>
          <t>b/f petty cash 上日备用金结转</t>
        </is>
      </c>
      <c r="B2151" s="9">
        <f>IF($B2143="","",'Daily Sale entry '!F155)</f>
        <v/>
      </c>
      <c r="D2151" s="1" t="n"/>
      <c r="E2151" s="1" t="n"/>
      <c r="H2151" s="1" t="inlineStr">
        <is>
          <t>b/f petty cash 上日备用金结转</t>
        </is>
      </c>
      <c r="I2151" s="9">
        <f>IF($B2143="","",B2151)</f>
        <v/>
      </c>
      <c r="K2151" s="1" t="n"/>
      <c r="L2151" s="1" t="n"/>
    </row>
    <row r="2152">
      <c r="A2152" t="inlineStr">
        <is>
          <t>Total (A) 总计 (A)</t>
        </is>
      </c>
      <c r="B2152" s="6">
        <f>IF($B2143="","",ROUND(B2149+B2151,2))</f>
        <v/>
      </c>
      <c r="D2152" t="inlineStr">
        <is>
          <t>Total(B) 总计 (B)</t>
        </is>
      </c>
      <c r="E2152" s="6">
        <f>IF($B2143="","",ROUND(E2144+E2145+E2146+E2147+E2148+E2149,2))</f>
        <v/>
      </c>
      <c r="H2152" t="inlineStr">
        <is>
          <t>Total© 总计 (C)</t>
        </is>
      </c>
      <c r="I2152" s="6">
        <f>IF($B2143="","",ROUND(I2149+I2151,2))</f>
        <v/>
      </c>
      <c r="K2152" t="inlineStr">
        <is>
          <t>Total(D) 总计 (D)</t>
        </is>
      </c>
      <c r="L2152" s="6">
        <f>IF($B2143="","",ROUND(L2144+L2145+L2146+L2147+L2148+L2149,2))</f>
        <v/>
      </c>
    </row>
    <row r="2153">
      <c r="A2153" s="14" t="inlineStr">
        <is>
          <t>Total = Amount 2 + b/f petty cash  (金额2 + 上日备用金)</t>
        </is>
      </c>
      <c r="H2153" s="14" t="inlineStr">
        <is>
          <t>Total = Amount 2 + b/f petty cash  (金额2 + 上日备用金)</t>
        </is>
      </c>
    </row>
    <row r="2154">
      <c r="A2154" t="inlineStr">
        <is>
          <t>Different 差额</t>
        </is>
      </c>
      <c r="B2154" s="6">
        <f>IF($B2143="","",ROUND(B2152-E2152,2))</f>
        <v/>
      </c>
      <c r="D2154">
        <f>IF($B2143="","",IF(ABS(B2154)&gt;'Opening Balance'!$B$16,"ALERT 警报: Different over RM"&amp;'Opening Balance'!$B$16&amp;" 差额超过RM"&amp;'Opening Balance'!$B$16&amp;" - please check 请检查",IF(B2154=0,"Tied 平衡",IF(ABS(B2154)&lt;='Opening Balance'!$B$13,"Small difference 小额差额: adjusted on c/f petty cash 已调整备用金",IF(B2154&gt;0,"Short 短收: added to Misc Charges 已加入杂项费用","Over 多收: added to Cash Sales 已加入现金销售")))))</f>
        <v/>
      </c>
      <c r="H2154" t="inlineStr">
        <is>
          <t>Different 差额</t>
        </is>
      </c>
      <c r="I2154" s="6">
        <f>IF($B2143="","",ROUND(I2152-L2152,2))</f>
        <v/>
      </c>
    </row>
    <row r="2155"/>
    <row r="2156"/>
    <row r="2157">
      <c r="A2157" t="inlineStr">
        <is>
          <t>Date 日期</t>
        </is>
      </c>
      <c r="B2157" s="5">
        <f>IF('Daily Sale entry '!$A156="","",'Daily Sale entry '!$A156)</f>
        <v/>
      </c>
      <c r="H2157" t="inlineStr">
        <is>
          <t>After 调整后 (After)</t>
        </is>
      </c>
      <c r="I2157" s="5">
        <f>IF($B2157="","",B2157)</f>
        <v/>
      </c>
    </row>
    <row r="2158">
      <c r="A2158" t="inlineStr">
        <is>
          <t>Cash Sales 现金销售</t>
        </is>
      </c>
      <c r="B2158" s="6">
        <f>IF($B2157="","",'Daily Sale entry '!B156)</f>
        <v/>
      </c>
      <c r="D2158" t="inlineStr">
        <is>
          <t>c/f petty cash 今日备用金结转</t>
        </is>
      </c>
      <c r="E2158" s="6">
        <f>IF($B2157="","",'Daily Sale entry '!G156)</f>
        <v/>
      </c>
      <c r="H2158" t="inlineStr">
        <is>
          <t>Cash Sales 现金销售</t>
        </is>
      </c>
      <c r="I2158" s="6">
        <f>IF($B2157="","",IF(AND(ABS(B2168)&gt;'Opening Balance'!$B$13,B2168&lt;0),ROUND(B2158-B2168,2),B2158))</f>
        <v/>
      </c>
      <c r="K2158" t="inlineStr">
        <is>
          <t>c/f petty cash 今日备用金结转</t>
        </is>
      </c>
      <c r="L2158" s="6">
        <f>IF($B2157="","",IF(ABS(B2168)&lt;='Opening Balance'!$B$13,ROUND(E2158+B2168,2),E2158))</f>
        <v/>
      </c>
    </row>
    <row r="2159">
      <c r="A2159" t="inlineStr">
        <is>
          <t>Misc Charges 杂项费用</t>
        </is>
      </c>
      <c r="B2159" s="6">
        <f>IF($B2157="","",'Daily Sale entry '!C156)</f>
        <v/>
      </c>
      <c r="D2159" t="inlineStr">
        <is>
          <t>cash collection 现金收款</t>
        </is>
      </c>
      <c r="E2159" s="6">
        <f>IF($B2157="","",'Daily Sale entry '!H156)</f>
        <v/>
      </c>
      <c r="H2159" t="inlineStr">
        <is>
          <t>Misc Charges 杂项费用</t>
        </is>
      </c>
      <c r="I2159" s="6">
        <f>IF($B2157="","",IF(AND(ABS(B2168)&gt;'Opening Balance'!$B$13,B2168&gt;0),ROUND(B2159+B2168,2),B2159))</f>
        <v/>
      </c>
      <c r="K2159" t="inlineStr">
        <is>
          <t>cash collection 现金收款</t>
        </is>
      </c>
      <c r="L2159" s="6">
        <f>IF($B2157="","",E2159)</f>
        <v/>
      </c>
    </row>
    <row r="2160">
      <c r="A2160" s="1" t="inlineStr">
        <is>
          <t>Other Charges 其他费用</t>
        </is>
      </c>
      <c r="B2160" s="9">
        <f>IF($B2157="","",'Daily Sale entry '!D156)</f>
        <v/>
      </c>
      <c r="D2160" s="1" t="inlineStr">
        <is>
          <t>Cheque Collection 支票收款</t>
        </is>
      </c>
      <c r="E2160" s="9">
        <f>IF($B2157="","",'Daily Sale entry '!J156)</f>
        <v/>
      </c>
      <c r="H2160" s="1" t="inlineStr">
        <is>
          <t>Other Charges 其他费用</t>
        </is>
      </c>
      <c r="I2160" s="9">
        <f>IF($B2157="","",B2160)</f>
        <v/>
      </c>
      <c r="K2160" s="1" t="inlineStr">
        <is>
          <t>Cheque Collection 支票收款</t>
        </is>
      </c>
      <c r="L2160" s="9">
        <f>IF($B2157="","",E2160)</f>
        <v/>
      </c>
    </row>
    <row r="2161">
      <c r="A2161" s="10" t="inlineStr">
        <is>
          <t>Amount 金额  (Cash Sales - Misc - Other)</t>
        </is>
      </c>
      <c r="B2161" s="11">
        <f>IF($B2157="","",ROUND(B2158-B2159-B2160,2))</f>
        <v/>
      </c>
      <c r="D2161" s="12" t="inlineStr">
        <is>
          <t>TNG collection TNG收款</t>
        </is>
      </c>
      <c r="E2161" s="13">
        <f>IF($B2157="","",'Daily Sale entry '!K156)</f>
        <v/>
      </c>
      <c r="H2161" s="10" t="inlineStr">
        <is>
          <t>Amount 金额  (Cash Sales - Misc - Other)</t>
        </is>
      </c>
      <c r="I2161" s="11">
        <f>IF($B2157="","",ROUND(I2158-I2159-I2160,2))</f>
        <v/>
      </c>
      <c r="K2161" s="12" t="inlineStr">
        <is>
          <t>TNG collection TNG收款</t>
        </is>
      </c>
      <c r="L2161" s="13">
        <f>IF($B2157="","",E2161)</f>
        <v/>
      </c>
    </row>
    <row r="2162">
      <c r="A2162" t="inlineStr">
        <is>
          <t>Credit Collection 赊账收款</t>
        </is>
      </c>
      <c r="B2162" s="6">
        <f>IF($B2157="","",'Daily Sale entry '!E156)</f>
        <v/>
      </c>
      <c r="D2162" t="inlineStr">
        <is>
          <t>Advance Salary_M 预支薪水_M</t>
        </is>
      </c>
      <c r="E2162" s="6">
        <f>IF($B2157="","",'Daily Sale entry '!L156)</f>
        <v/>
      </c>
      <c r="H2162" t="inlineStr">
        <is>
          <t>Credit Collection 赊账收款</t>
        </is>
      </c>
      <c r="I2162" s="6">
        <f>IF($B2157="","",B2162)</f>
        <v/>
      </c>
      <c r="K2162" t="inlineStr">
        <is>
          <t>Advance Salary_M 预支薪水_M</t>
        </is>
      </c>
      <c r="L2162" s="6">
        <f>IF($B2157="","",E2162)</f>
        <v/>
      </c>
    </row>
    <row r="2163">
      <c r="A2163" s="10" t="inlineStr">
        <is>
          <t>Amount 2 金额2  (Amount + Credit Collection)</t>
        </is>
      </c>
      <c r="B2163" s="11">
        <f>IF($B2157="","",ROUND(B2161+B2162,2))</f>
        <v/>
      </c>
      <c r="D2163" t="inlineStr">
        <is>
          <t>Advance Salary_H 预支薪水_H</t>
        </is>
      </c>
      <c r="E2163" s="6">
        <f>IF($B2157="","",'Daily Sale entry '!M156)</f>
        <v/>
      </c>
      <c r="H2163" s="10" t="inlineStr">
        <is>
          <t>Amount 2 金额2  (Amount + Credit Collection)</t>
        </is>
      </c>
      <c r="I2163" s="11">
        <f>IF($B2157="","",ROUND(I2161+I2162,2))</f>
        <v/>
      </c>
      <c r="K2163" t="inlineStr">
        <is>
          <t>Advance Salary_H 预支薪水_H</t>
        </is>
      </c>
      <c r="L2163" s="6">
        <f>IF($B2157="","",E2163)</f>
        <v/>
      </c>
    </row>
    <row r="2164"/>
    <row r="2165">
      <c r="A2165" s="1" t="inlineStr">
        <is>
          <t>b/f petty cash 上日备用金结转</t>
        </is>
      </c>
      <c r="B2165" s="9">
        <f>IF($B2157="","",'Daily Sale entry '!F156)</f>
        <v/>
      </c>
      <c r="D2165" s="1" t="n"/>
      <c r="E2165" s="1" t="n"/>
      <c r="H2165" s="1" t="inlineStr">
        <is>
          <t>b/f petty cash 上日备用金结转</t>
        </is>
      </c>
      <c r="I2165" s="9">
        <f>IF($B2157="","",B2165)</f>
        <v/>
      </c>
      <c r="K2165" s="1" t="n"/>
      <c r="L2165" s="1" t="n"/>
    </row>
    <row r="2166">
      <c r="A2166" t="inlineStr">
        <is>
          <t>Total (A) 总计 (A)</t>
        </is>
      </c>
      <c r="B2166" s="6">
        <f>IF($B2157="","",ROUND(B2163+B2165,2))</f>
        <v/>
      </c>
      <c r="D2166" t="inlineStr">
        <is>
          <t>Total(B) 总计 (B)</t>
        </is>
      </c>
      <c r="E2166" s="6">
        <f>IF($B2157="","",ROUND(E2158+E2159+E2160+E2161+E2162+E2163,2))</f>
        <v/>
      </c>
      <c r="H2166" t="inlineStr">
        <is>
          <t>Total© 总计 (C)</t>
        </is>
      </c>
      <c r="I2166" s="6">
        <f>IF($B2157="","",ROUND(I2163+I2165,2))</f>
        <v/>
      </c>
      <c r="K2166" t="inlineStr">
        <is>
          <t>Total(D) 总计 (D)</t>
        </is>
      </c>
      <c r="L2166" s="6">
        <f>IF($B2157="","",ROUND(L2158+L2159+L2160+L2161+L2162+L2163,2))</f>
        <v/>
      </c>
    </row>
    <row r="2167">
      <c r="A2167" s="14" t="inlineStr">
        <is>
          <t>Total = Amount 2 + b/f petty cash  (金额2 + 上日备用金)</t>
        </is>
      </c>
      <c r="H2167" s="14" t="inlineStr">
        <is>
          <t>Total = Amount 2 + b/f petty cash  (金额2 + 上日备用金)</t>
        </is>
      </c>
    </row>
    <row r="2168">
      <c r="A2168" t="inlineStr">
        <is>
          <t>Different 差额</t>
        </is>
      </c>
      <c r="B2168" s="6">
        <f>IF($B2157="","",ROUND(B2166-E2166,2))</f>
        <v/>
      </c>
      <c r="D2168">
        <f>IF($B2157="","",IF(ABS(B2168)&gt;'Opening Balance'!$B$16,"ALERT 警报: Different over RM"&amp;'Opening Balance'!$B$16&amp;" 差额超过RM"&amp;'Opening Balance'!$B$16&amp;" - please check 请检查",IF(B2168=0,"Tied 平衡",IF(ABS(B2168)&lt;='Opening Balance'!$B$13,"Small difference 小额差额: adjusted on c/f petty cash 已调整备用金",IF(B2168&gt;0,"Short 短收: added to Misc Charges 已加入杂项费用","Over 多收: added to Cash Sales 已加入现金销售")))))</f>
        <v/>
      </c>
      <c r="H2168" t="inlineStr">
        <is>
          <t>Different 差额</t>
        </is>
      </c>
      <c r="I2168" s="6">
        <f>IF($B2157="","",ROUND(I2166-L2166,2))</f>
        <v/>
      </c>
    </row>
    <row r="2169"/>
    <row r="2170"/>
    <row r="2171">
      <c r="A2171" t="inlineStr">
        <is>
          <t>Date 日期</t>
        </is>
      </c>
      <c r="B2171" s="5">
        <f>IF('Daily Sale entry '!$A157="","",'Daily Sale entry '!$A157)</f>
        <v/>
      </c>
      <c r="H2171" t="inlineStr">
        <is>
          <t>After 调整后 (After)</t>
        </is>
      </c>
      <c r="I2171" s="5">
        <f>IF($B2171="","",B2171)</f>
        <v/>
      </c>
    </row>
    <row r="2172">
      <c r="A2172" t="inlineStr">
        <is>
          <t>Cash Sales 现金销售</t>
        </is>
      </c>
      <c r="B2172" s="6">
        <f>IF($B2171="","",'Daily Sale entry '!B157)</f>
        <v/>
      </c>
      <c r="D2172" t="inlineStr">
        <is>
          <t>c/f petty cash 今日备用金结转</t>
        </is>
      </c>
      <c r="E2172" s="6">
        <f>IF($B2171="","",'Daily Sale entry '!G157)</f>
        <v/>
      </c>
      <c r="H2172" t="inlineStr">
        <is>
          <t>Cash Sales 现金销售</t>
        </is>
      </c>
      <c r="I2172" s="6">
        <f>IF($B2171="","",IF(AND(ABS(B2182)&gt;'Opening Balance'!$B$13,B2182&lt;0),ROUND(B2172-B2182,2),B2172))</f>
        <v/>
      </c>
      <c r="K2172" t="inlineStr">
        <is>
          <t>c/f petty cash 今日备用金结转</t>
        </is>
      </c>
      <c r="L2172" s="6">
        <f>IF($B2171="","",IF(ABS(B2182)&lt;='Opening Balance'!$B$13,ROUND(E2172+B2182,2),E2172))</f>
        <v/>
      </c>
    </row>
    <row r="2173">
      <c r="A2173" t="inlineStr">
        <is>
          <t>Misc Charges 杂项费用</t>
        </is>
      </c>
      <c r="B2173" s="6">
        <f>IF($B2171="","",'Daily Sale entry '!C157)</f>
        <v/>
      </c>
      <c r="D2173" t="inlineStr">
        <is>
          <t>cash collection 现金收款</t>
        </is>
      </c>
      <c r="E2173" s="6">
        <f>IF($B2171="","",'Daily Sale entry '!H157)</f>
        <v/>
      </c>
      <c r="H2173" t="inlineStr">
        <is>
          <t>Misc Charges 杂项费用</t>
        </is>
      </c>
      <c r="I2173" s="6">
        <f>IF($B2171="","",IF(AND(ABS(B2182)&gt;'Opening Balance'!$B$13,B2182&gt;0),ROUND(B2173+B2182,2),B2173))</f>
        <v/>
      </c>
      <c r="K2173" t="inlineStr">
        <is>
          <t>cash collection 现金收款</t>
        </is>
      </c>
      <c r="L2173" s="6">
        <f>IF($B2171="","",E2173)</f>
        <v/>
      </c>
    </row>
    <row r="2174">
      <c r="A2174" s="1" t="inlineStr">
        <is>
          <t>Other Charges 其他费用</t>
        </is>
      </c>
      <c r="B2174" s="9">
        <f>IF($B2171="","",'Daily Sale entry '!D157)</f>
        <v/>
      </c>
      <c r="D2174" s="1" t="inlineStr">
        <is>
          <t>Cheque Collection 支票收款</t>
        </is>
      </c>
      <c r="E2174" s="9">
        <f>IF($B2171="","",'Daily Sale entry '!J157)</f>
        <v/>
      </c>
      <c r="H2174" s="1" t="inlineStr">
        <is>
          <t>Other Charges 其他费用</t>
        </is>
      </c>
      <c r="I2174" s="9">
        <f>IF($B2171="","",B2174)</f>
        <v/>
      </c>
      <c r="K2174" s="1" t="inlineStr">
        <is>
          <t>Cheque Collection 支票收款</t>
        </is>
      </c>
      <c r="L2174" s="9">
        <f>IF($B2171="","",E2174)</f>
        <v/>
      </c>
    </row>
    <row r="2175">
      <c r="A2175" s="10" t="inlineStr">
        <is>
          <t>Amount 金额  (Cash Sales - Misc - Other)</t>
        </is>
      </c>
      <c r="B2175" s="11">
        <f>IF($B2171="","",ROUND(B2172-B2173-B2174,2))</f>
        <v/>
      </c>
      <c r="D2175" s="12" t="inlineStr">
        <is>
          <t>TNG collection TNG收款</t>
        </is>
      </c>
      <c r="E2175" s="13">
        <f>IF($B2171="","",'Daily Sale entry '!K157)</f>
        <v/>
      </c>
      <c r="H2175" s="10" t="inlineStr">
        <is>
          <t>Amount 金额  (Cash Sales - Misc - Other)</t>
        </is>
      </c>
      <c r="I2175" s="11">
        <f>IF($B2171="","",ROUND(I2172-I2173-I2174,2))</f>
        <v/>
      </c>
      <c r="K2175" s="12" t="inlineStr">
        <is>
          <t>TNG collection TNG收款</t>
        </is>
      </c>
      <c r="L2175" s="13">
        <f>IF($B2171="","",E2175)</f>
        <v/>
      </c>
    </row>
    <row r="2176">
      <c r="A2176" t="inlineStr">
        <is>
          <t>Credit Collection 赊账收款</t>
        </is>
      </c>
      <c r="B2176" s="6">
        <f>IF($B2171="","",'Daily Sale entry '!E157)</f>
        <v/>
      </c>
      <c r="D2176" t="inlineStr">
        <is>
          <t>Advance Salary_M 预支薪水_M</t>
        </is>
      </c>
      <c r="E2176" s="6">
        <f>IF($B2171="","",'Daily Sale entry '!L157)</f>
        <v/>
      </c>
      <c r="H2176" t="inlineStr">
        <is>
          <t>Credit Collection 赊账收款</t>
        </is>
      </c>
      <c r="I2176" s="6">
        <f>IF($B2171="","",B2176)</f>
        <v/>
      </c>
      <c r="K2176" t="inlineStr">
        <is>
          <t>Advance Salary_M 预支薪水_M</t>
        </is>
      </c>
      <c r="L2176" s="6">
        <f>IF($B2171="","",E2176)</f>
        <v/>
      </c>
    </row>
    <row r="2177">
      <c r="A2177" s="10" t="inlineStr">
        <is>
          <t>Amount 2 金额2  (Amount + Credit Collection)</t>
        </is>
      </c>
      <c r="B2177" s="11">
        <f>IF($B2171="","",ROUND(B2175+B2176,2))</f>
        <v/>
      </c>
      <c r="D2177" t="inlineStr">
        <is>
          <t>Advance Salary_H 预支薪水_H</t>
        </is>
      </c>
      <c r="E2177" s="6">
        <f>IF($B2171="","",'Daily Sale entry '!M157)</f>
        <v/>
      </c>
      <c r="H2177" s="10" t="inlineStr">
        <is>
          <t>Amount 2 金额2  (Amount + Credit Collection)</t>
        </is>
      </c>
      <c r="I2177" s="11">
        <f>IF($B2171="","",ROUND(I2175+I2176,2))</f>
        <v/>
      </c>
      <c r="K2177" t="inlineStr">
        <is>
          <t>Advance Salary_H 预支薪水_H</t>
        </is>
      </c>
      <c r="L2177" s="6">
        <f>IF($B2171="","",E2177)</f>
        <v/>
      </c>
    </row>
    <row r="2178"/>
    <row r="2179">
      <c r="A2179" s="1" t="inlineStr">
        <is>
          <t>b/f petty cash 上日备用金结转</t>
        </is>
      </c>
      <c r="B2179" s="9">
        <f>IF($B2171="","",'Daily Sale entry '!F157)</f>
        <v/>
      </c>
      <c r="D2179" s="1" t="n"/>
      <c r="E2179" s="1" t="n"/>
      <c r="H2179" s="1" t="inlineStr">
        <is>
          <t>b/f petty cash 上日备用金结转</t>
        </is>
      </c>
      <c r="I2179" s="9">
        <f>IF($B2171="","",B2179)</f>
        <v/>
      </c>
      <c r="K2179" s="1" t="n"/>
      <c r="L2179" s="1" t="n"/>
    </row>
    <row r="2180">
      <c r="A2180" t="inlineStr">
        <is>
          <t>Total (A) 总计 (A)</t>
        </is>
      </c>
      <c r="B2180" s="6">
        <f>IF($B2171="","",ROUND(B2177+B2179,2))</f>
        <v/>
      </c>
      <c r="D2180" t="inlineStr">
        <is>
          <t>Total(B) 总计 (B)</t>
        </is>
      </c>
      <c r="E2180" s="6">
        <f>IF($B2171="","",ROUND(E2172+E2173+E2174+E2175+E2176+E2177,2))</f>
        <v/>
      </c>
      <c r="H2180" t="inlineStr">
        <is>
          <t>Total© 总计 (C)</t>
        </is>
      </c>
      <c r="I2180" s="6">
        <f>IF($B2171="","",ROUND(I2177+I2179,2))</f>
        <v/>
      </c>
      <c r="K2180" t="inlineStr">
        <is>
          <t>Total(D) 总计 (D)</t>
        </is>
      </c>
      <c r="L2180" s="6">
        <f>IF($B2171="","",ROUND(L2172+L2173+L2174+L2175+L2176+L2177,2))</f>
        <v/>
      </c>
    </row>
    <row r="2181">
      <c r="A2181" s="14" t="inlineStr">
        <is>
          <t>Total = Amount 2 + b/f petty cash  (金额2 + 上日备用金)</t>
        </is>
      </c>
      <c r="H2181" s="14" t="inlineStr">
        <is>
          <t>Total = Amount 2 + b/f petty cash  (金额2 + 上日备用金)</t>
        </is>
      </c>
    </row>
    <row r="2182">
      <c r="A2182" t="inlineStr">
        <is>
          <t>Different 差额</t>
        </is>
      </c>
      <c r="B2182" s="6">
        <f>IF($B2171="","",ROUND(B2180-E2180,2))</f>
        <v/>
      </c>
      <c r="D2182">
        <f>IF($B2171="","",IF(ABS(B2182)&gt;'Opening Balance'!$B$16,"ALERT 警报: Different over RM"&amp;'Opening Balance'!$B$16&amp;" 差额超过RM"&amp;'Opening Balance'!$B$16&amp;" - please check 请检查",IF(B2182=0,"Tied 平衡",IF(ABS(B2182)&lt;='Opening Balance'!$B$13,"Small difference 小额差额: adjusted on c/f petty cash 已调整备用金",IF(B2182&gt;0,"Short 短收: added to Misc Charges 已加入杂项费用","Over 多收: added to Cash Sales 已加入现金销售")))))</f>
        <v/>
      </c>
      <c r="H2182" t="inlineStr">
        <is>
          <t>Different 差额</t>
        </is>
      </c>
      <c r="I2182" s="6">
        <f>IF($B2171="","",ROUND(I2180-L2180,2))</f>
        <v/>
      </c>
    </row>
    <row r="2183"/>
    <row r="2184"/>
    <row r="2185">
      <c r="A2185" t="inlineStr">
        <is>
          <t>Date 日期</t>
        </is>
      </c>
      <c r="B2185" s="5">
        <f>IF('Daily Sale entry '!$A158="","",'Daily Sale entry '!$A158)</f>
        <v/>
      </c>
      <c r="H2185" t="inlineStr">
        <is>
          <t>After 调整后 (After)</t>
        </is>
      </c>
      <c r="I2185" s="5">
        <f>IF($B2185="","",B2185)</f>
        <v/>
      </c>
    </row>
    <row r="2186">
      <c r="A2186" t="inlineStr">
        <is>
          <t>Cash Sales 现金销售</t>
        </is>
      </c>
      <c r="B2186" s="6">
        <f>IF($B2185="","",'Daily Sale entry '!B158)</f>
        <v/>
      </c>
      <c r="D2186" t="inlineStr">
        <is>
          <t>c/f petty cash 今日备用金结转</t>
        </is>
      </c>
      <c r="E2186" s="6">
        <f>IF($B2185="","",'Daily Sale entry '!G158)</f>
        <v/>
      </c>
      <c r="H2186" t="inlineStr">
        <is>
          <t>Cash Sales 现金销售</t>
        </is>
      </c>
      <c r="I2186" s="6">
        <f>IF($B2185="","",IF(AND(ABS(B2196)&gt;'Opening Balance'!$B$13,B2196&lt;0),ROUND(B2186-B2196,2),B2186))</f>
        <v/>
      </c>
      <c r="K2186" t="inlineStr">
        <is>
          <t>c/f petty cash 今日备用金结转</t>
        </is>
      </c>
      <c r="L2186" s="6">
        <f>IF($B2185="","",IF(ABS(B2196)&lt;='Opening Balance'!$B$13,ROUND(E2186+B2196,2),E2186))</f>
        <v/>
      </c>
    </row>
    <row r="2187">
      <c r="A2187" t="inlineStr">
        <is>
          <t>Misc Charges 杂项费用</t>
        </is>
      </c>
      <c r="B2187" s="6">
        <f>IF($B2185="","",'Daily Sale entry '!C158)</f>
        <v/>
      </c>
      <c r="D2187" t="inlineStr">
        <is>
          <t>cash collection 现金收款</t>
        </is>
      </c>
      <c r="E2187" s="6">
        <f>IF($B2185="","",'Daily Sale entry '!H158)</f>
        <v/>
      </c>
      <c r="H2187" t="inlineStr">
        <is>
          <t>Misc Charges 杂项费用</t>
        </is>
      </c>
      <c r="I2187" s="6">
        <f>IF($B2185="","",IF(AND(ABS(B2196)&gt;'Opening Balance'!$B$13,B2196&gt;0),ROUND(B2187+B2196,2),B2187))</f>
        <v/>
      </c>
      <c r="K2187" t="inlineStr">
        <is>
          <t>cash collection 现金收款</t>
        </is>
      </c>
      <c r="L2187" s="6">
        <f>IF($B2185="","",E2187)</f>
        <v/>
      </c>
    </row>
    <row r="2188">
      <c r="A2188" s="1" t="inlineStr">
        <is>
          <t>Other Charges 其他费用</t>
        </is>
      </c>
      <c r="B2188" s="9">
        <f>IF($B2185="","",'Daily Sale entry '!D158)</f>
        <v/>
      </c>
      <c r="D2188" s="1" t="inlineStr">
        <is>
          <t>Cheque Collection 支票收款</t>
        </is>
      </c>
      <c r="E2188" s="9">
        <f>IF($B2185="","",'Daily Sale entry '!J158)</f>
        <v/>
      </c>
      <c r="H2188" s="1" t="inlineStr">
        <is>
          <t>Other Charges 其他费用</t>
        </is>
      </c>
      <c r="I2188" s="9">
        <f>IF($B2185="","",B2188)</f>
        <v/>
      </c>
      <c r="K2188" s="1" t="inlineStr">
        <is>
          <t>Cheque Collection 支票收款</t>
        </is>
      </c>
      <c r="L2188" s="9">
        <f>IF($B2185="","",E2188)</f>
        <v/>
      </c>
    </row>
    <row r="2189">
      <c r="A2189" s="10" t="inlineStr">
        <is>
          <t>Amount 金额  (Cash Sales - Misc - Other)</t>
        </is>
      </c>
      <c r="B2189" s="11">
        <f>IF($B2185="","",ROUND(B2186-B2187-B2188,2))</f>
        <v/>
      </c>
      <c r="D2189" s="12" t="inlineStr">
        <is>
          <t>TNG collection TNG收款</t>
        </is>
      </c>
      <c r="E2189" s="13">
        <f>IF($B2185="","",'Daily Sale entry '!K158)</f>
        <v/>
      </c>
      <c r="H2189" s="10" t="inlineStr">
        <is>
          <t>Amount 金额  (Cash Sales - Misc - Other)</t>
        </is>
      </c>
      <c r="I2189" s="11">
        <f>IF($B2185="","",ROUND(I2186-I2187-I2188,2))</f>
        <v/>
      </c>
      <c r="K2189" s="12" t="inlineStr">
        <is>
          <t>TNG collection TNG收款</t>
        </is>
      </c>
      <c r="L2189" s="13">
        <f>IF($B2185="","",E2189)</f>
        <v/>
      </c>
    </row>
    <row r="2190">
      <c r="A2190" t="inlineStr">
        <is>
          <t>Credit Collection 赊账收款</t>
        </is>
      </c>
      <c r="B2190" s="6">
        <f>IF($B2185="","",'Daily Sale entry '!E158)</f>
        <v/>
      </c>
      <c r="D2190" t="inlineStr">
        <is>
          <t>Advance Salary_M 预支薪水_M</t>
        </is>
      </c>
      <c r="E2190" s="6">
        <f>IF($B2185="","",'Daily Sale entry '!L158)</f>
        <v/>
      </c>
      <c r="H2190" t="inlineStr">
        <is>
          <t>Credit Collection 赊账收款</t>
        </is>
      </c>
      <c r="I2190" s="6">
        <f>IF($B2185="","",B2190)</f>
        <v/>
      </c>
      <c r="K2190" t="inlineStr">
        <is>
          <t>Advance Salary_M 预支薪水_M</t>
        </is>
      </c>
      <c r="L2190" s="6">
        <f>IF($B2185="","",E2190)</f>
        <v/>
      </c>
    </row>
    <row r="2191">
      <c r="A2191" s="10" t="inlineStr">
        <is>
          <t>Amount 2 金额2  (Amount + Credit Collection)</t>
        </is>
      </c>
      <c r="B2191" s="11">
        <f>IF($B2185="","",ROUND(B2189+B2190,2))</f>
        <v/>
      </c>
      <c r="D2191" t="inlineStr">
        <is>
          <t>Advance Salary_H 预支薪水_H</t>
        </is>
      </c>
      <c r="E2191" s="6">
        <f>IF($B2185="","",'Daily Sale entry '!M158)</f>
        <v/>
      </c>
      <c r="H2191" s="10" t="inlineStr">
        <is>
          <t>Amount 2 金额2  (Amount + Credit Collection)</t>
        </is>
      </c>
      <c r="I2191" s="11">
        <f>IF($B2185="","",ROUND(I2189+I2190,2))</f>
        <v/>
      </c>
      <c r="K2191" t="inlineStr">
        <is>
          <t>Advance Salary_H 预支薪水_H</t>
        </is>
      </c>
      <c r="L2191" s="6">
        <f>IF($B2185="","",E2191)</f>
        <v/>
      </c>
    </row>
    <row r="2192"/>
    <row r="2193">
      <c r="A2193" s="1" t="inlineStr">
        <is>
          <t>b/f petty cash 上日备用金结转</t>
        </is>
      </c>
      <c r="B2193" s="9">
        <f>IF($B2185="","",'Daily Sale entry '!F158)</f>
        <v/>
      </c>
      <c r="D2193" s="1" t="n"/>
      <c r="E2193" s="1" t="n"/>
      <c r="H2193" s="1" t="inlineStr">
        <is>
          <t>b/f petty cash 上日备用金结转</t>
        </is>
      </c>
      <c r="I2193" s="9">
        <f>IF($B2185="","",B2193)</f>
        <v/>
      </c>
      <c r="K2193" s="1" t="n"/>
      <c r="L2193" s="1" t="n"/>
    </row>
    <row r="2194">
      <c r="A2194" t="inlineStr">
        <is>
          <t>Total (A) 总计 (A)</t>
        </is>
      </c>
      <c r="B2194" s="6">
        <f>IF($B2185="","",ROUND(B2191+B2193,2))</f>
        <v/>
      </c>
      <c r="D2194" t="inlineStr">
        <is>
          <t>Total(B) 总计 (B)</t>
        </is>
      </c>
      <c r="E2194" s="6">
        <f>IF($B2185="","",ROUND(E2186+E2187+E2188+E2189+E2190+E2191,2))</f>
        <v/>
      </c>
      <c r="H2194" t="inlineStr">
        <is>
          <t>Total© 总计 (C)</t>
        </is>
      </c>
      <c r="I2194" s="6">
        <f>IF($B2185="","",ROUND(I2191+I2193,2))</f>
        <v/>
      </c>
      <c r="K2194" t="inlineStr">
        <is>
          <t>Total(D) 总计 (D)</t>
        </is>
      </c>
      <c r="L2194" s="6">
        <f>IF($B2185="","",ROUND(L2186+L2187+L2188+L2189+L2190+L2191,2))</f>
        <v/>
      </c>
    </row>
    <row r="2195">
      <c r="A2195" s="14" t="inlineStr">
        <is>
          <t>Total = Amount 2 + b/f petty cash  (金额2 + 上日备用金)</t>
        </is>
      </c>
      <c r="H2195" s="14" t="inlineStr">
        <is>
          <t>Total = Amount 2 + b/f petty cash  (金额2 + 上日备用金)</t>
        </is>
      </c>
    </row>
    <row r="2196">
      <c r="A2196" t="inlineStr">
        <is>
          <t>Different 差额</t>
        </is>
      </c>
      <c r="B2196" s="6">
        <f>IF($B2185="","",ROUND(B2194-E2194,2))</f>
        <v/>
      </c>
      <c r="D2196">
        <f>IF($B2185="","",IF(ABS(B2196)&gt;'Opening Balance'!$B$16,"ALERT 警报: Different over RM"&amp;'Opening Balance'!$B$16&amp;" 差额超过RM"&amp;'Opening Balance'!$B$16&amp;" - please check 请检查",IF(B2196=0,"Tied 平衡",IF(ABS(B2196)&lt;='Opening Balance'!$B$13,"Small difference 小额差额: adjusted on c/f petty cash 已调整备用金",IF(B2196&gt;0,"Short 短收: added to Misc Charges 已加入杂项费用","Over 多收: added to Cash Sales 已加入现金销售")))))</f>
        <v/>
      </c>
      <c r="H2196" t="inlineStr">
        <is>
          <t>Different 差额</t>
        </is>
      </c>
      <c r="I2196" s="6">
        <f>IF($B2185="","",ROUND(I2194-L2194,2))</f>
        <v/>
      </c>
    </row>
    <row r="2197"/>
    <row r="2198"/>
    <row r="2199">
      <c r="A2199" t="inlineStr">
        <is>
          <t>Date 日期</t>
        </is>
      </c>
      <c r="B2199" s="5">
        <f>IF('Daily Sale entry '!$A159="","",'Daily Sale entry '!$A159)</f>
        <v/>
      </c>
      <c r="H2199" t="inlineStr">
        <is>
          <t>After 调整后 (After)</t>
        </is>
      </c>
      <c r="I2199" s="5">
        <f>IF($B2199="","",B2199)</f>
        <v/>
      </c>
    </row>
    <row r="2200">
      <c r="A2200" t="inlineStr">
        <is>
          <t>Cash Sales 现金销售</t>
        </is>
      </c>
      <c r="B2200" s="6">
        <f>IF($B2199="","",'Daily Sale entry '!B159)</f>
        <v/>
      </c>
      <c r="D2200" t="inlineStr">
        <is>
          <t>c/f petty cash 今日备用金结转</t>
        </is>
      </c>
      <c r="E2200" s="6">
        <f>IF($B2199="","",'Daily Sale entry '!G159)</f>
        <v/>
      </c>
      <c r="H2200" t="inlineStr">
        <is>
          <t>Cash Sales 现金销售</t>
        </is>
      </c>
      <c r="I2200" s="6">
        <f>IF($B2199="","",IF(AND(ABS(B2210)&gt;'Opening Balance'!$B$13,B2210&lt;0),ROUND(B2200-B2210,2),B2200))</f>
        <v/>
      </c>
      <c r="K2200" t="inlineStr">
        <is>
          <t>c/f petty cash 今日备用金结转</t>
        </is>
      </c>
      <c r="L2200" s="6">
        <f>IF($B2199="","",IF(ABS(B2210)&lt;='Opening Balance'!$B$13,ROUND(E2200+B2210,2),E2200))</f>
        <v/>
      </c>
    </row>
    <row r="2201">
      <c r="A2201" t="inlineStr">
        <is>
          <t>Misc Charges 杂项费用</t>
        </is>
      </c>
      <c r="B2201" s="6">
        <f>IF($B2199="","",'Daily Sale entry '!C159)</f>
        <v/>
      </c>
      <c r="D2201" t="inlineStr">
        <is>
          <t>cash collection 现金收款</t>
        </is>
      </c>
      <c r="E2201" s="6">
        <f>IF($B2199="","",'Daily Sale entry '!H159)</f>
        <v/>
      </c>
      <c r="H2201" t="inlineStr">
        <is>
          <t>Misc Charges 杂项费用</t>
        </is>
      </c>
      <c r="I2201" s="6">
        <f>IF($B2199="","",IF(AND(ABS(B2210)&gt;'Opening Balance'!$B$13,B2210&gt;0),ROUND(B2201+B2210,2),B2201))</f>
        <v/>
      </c>
      <c r="K2201" t="inlineStr">
        <is>
          <t>cash collection 现金收款</t>
        </is>
      </c>
      <c r="L2201" s="6">
        <f>IF($B2199="","",E2201)</f>
        <v/>
      </c>
    </row>
    <row r="2202">
      <c r="A2202" s="1" t="inlineStr">
        <is>
          <t>Other Charges 其他费用</t>
        </is>
      </c>
      <c r="B2202" s="9">
        <f>IF($B2199="","",'Daily Sale entry '!D159)</f>
        <v/>
      </c>
      <c r="D2202" s="1" t="inlineStr">
        <is>
          <t>Cheque Collection 支票收款</t>
        </is>
      </c>
      <c r="E2202" s="9">
        <f>IF($B2199="","",'Daily Sale entry '!J159)</f>
        <v/>
      </c>
      <c r="H2202" s="1" t="inlineStr">
        <is>
          <t>Other Charges 其他费用</t>
        </is>
      </c>
      <c r="I2202" s="9">
        <f>IF($B2199="","",B2202)</f>
        <v/>
      </c>
      <c r="K2202" s="1" t="inlineStr">
        <is>
          <t>Cheque Collection 支票收款</t>
        </is>
      </c>
      <c r="L2202" s="9">
        <f>IF($B2199="","",E2202)</f>
        <v/>
      </c>
    </row>
    <row r="2203">
      <c r="A2203" s="10" t="inlineStr">
        <is>
          <t>Amount 金额  (Cash Sales - Misc - Other)</t>
        </is>
      </c>
      <c r="B2203" s="11">
        <f>IF($B2199="","",ROUND(B2200-B2201-B2202,2))</f>
        <v/>
      </c>
      <c r="D2203" s="12" t="inlineStr">
        <is>
          <t>TNG collection TNG收款</t>
        </is>
      </c>
      <c r="E2203" s="13">
        <f>IF($B2199="","",'Daily Sale entry '!K159)</f>
        <v/>
      </c>
      <c r="H2203" s="10" t="inlineStr">
        <is>
          <t>Amount 金额  (Cash Sales - Misc - Other)</t>
        </is>
      </c>
      <c r="I2203" s="11">
        <f>IF($B2199="","",ROUND(I2200-I2201-I2202,2))</f>
        <v/>
      </c>
      <c r="K2203" s="12" t="inlineStr">
        <is>
          <t>TNG collection TNG收款</t>
        </is>
      </c>
      <c r="L2203" s="13">
        <f>IF($B2199="","",E2203)</f>
        <v/>
      </c>
    </row>
    <row r="2204">
      <c r="A2204" t="inlineStr">
        <is>
          <t>Credit Collection 赊账收款</t>
        </is>
      </c>
      <c r="B2204" s="6">
        <f>IF($B2199="","",'Daily Sale entry '!E159)</f>
        <v/>
      </c>
      <c r="D2204" t="inlineStr">
        <is>
          <t>Advance Salary_M 预支薪水_M</t>
        </is>
      </c>
      <c r="E2204" s="6">
        <f>IF($B2199="","",'Daily Sale entry '!L159)</f>
        <v/>
      </c>
      <c r="H2204" t="inlineStr">
        <is>
          <t>Credit Collection 赊账收款</t>
        </is>
      </c>
      <c r="I2204" s="6">
        <f>IF($B2199="","",B2204)</f>
        <v/>
      </c>
      <c r="K2204" t="inlineStr">
        <is>
          <t>Advance Salary_M 预支薪水_M</t>
        </is>
      </c>
      <c r="L2204" s="6">
        <f>IF($B2199="","",E2204)</f>
        <v/>
      </c>
    </row>
    <row r="2205">
      <c r="A2205" s="10" t="inlineStr">
        <is>
          <t>Amount 2 金额2  (Amount + Credit Collection)</t>
        </is>
      </c>
      <c r="B2205" s="11">
        <f>IF($B2199="","",ROUND(B2203+B2204,2))</f>
        <v/>
      </c>
      <c r="D2205" t="inlineStr">
        <is>
          <t>Advance Salary_H 预支薪水_H</t>
        </is>
      </c>
      <c r="E2205" s="6">
        <f>IF($B2199="","",'Daily Sale entry '!M159)</f>
        <v/>
      </c>
      <c r="H2205" s="10" t="inlineStr">
        <is>
          <t>Amount 2 金额2  (Amount + Credit Collection)</t>
        </is>
      </c>
      <c r="I2205" s="11">
        <f>IF($B2199="","",ROUND(I2203+I2204,2))</f>
        <v/>
      </c>
      <c r="K2205" t="inlineStr">
        <is>
          <t>Advance Salary_H 预支薪水_H</t>
        </is>
      </c>
      <c r="L2205" s="6">
        <f>IF($B2199="","",E2205)</f>
        <v/>
      </c>
    </row>
    <row r="2206"/>
    <row r="2207">
      <c r="A2207" s="1" t="inlineStr">
        <is>
          <t>b/f petty cash 上日备用金结转</t>
        </is>
      </c>
      <c r="B2207" s="9">
        <f>IF($B2199="","",'Daily Sale entry '!F159)</f>
        <v/>
      </c>
      <c r="D2207" s="1" t="n"/>
      <c r="E2207" s="1" t="n"/>
      <c r="H2207" s="1" t="inlineStr">
        <is>
          <t>b/f petty cash 上日备用金结转</t>
        </is>
      </c>
      <c r="I2207" s="9">
        <f>IF($B2199="","",B2207)</f>
        <v/>
      </c>
      <c r="K2207" s="1" t="n"/>
      <c r="L2207" s="1" t="n"/>
    </row>
    <row r="2208">
      <c r="A2208" t="inlineStr">
        <is>
          <t>Total (A) 总计 (A)</t>
        </is>
      </c>
      <c r="B2208" s="6">
        <f>IF($B2199="","",ROUND(B2205+B2207,2))</f>
        <v/>
      </c>
      <c r="D2208" t="inlineStr">
        <is>
          <t>Total(B) 总计 (B)</t>
        </is>
      </c>
      <c r="E2208" s="6">
        <f>IF($B2199="","",ROUND(E2200+E2201+E2202+E2203+E2204+E2205,2))</f>
        <v/>
      </c>
      <c r="H2208" t="inlineStr">
        <is>
          <t>Total© 总计 (C)</t>
        </is>
      </c>
      <c r="I2208" s="6">
        <f>IF($B2199="","",ROUND(I2205+I2207,2))</f>
        <v/>
      </c>
      <c r="K2208" t="inlineStr">
        <is>
          <t>Total(D) 总计 (D)</t>
        </is>
      </c>
      <c r="L2208" s="6">
        <f>IF($B2199="","",ROUND(L2200+L2201+L2202+L2203+L2204+L2205,2))</f>
        <v/>
      </c>
    </row>
    <row r="2209">
      <c r="A2209" s="14" t="inlineStr">
        <is>
          <t>Total = Amount 2 + b/f petty cash  (金额2 + 上日备用金)</t>
        </is>
      </c>
      <c r="H2209" s="14" t="inlineStr">
        <is>
          <t>Total = Amount 2 + b/f petty cash  (金额2 + 上日备用金)</t>
        </is>
      </c>
    </row>
    <row r="2210">
      <c r="A2210" t="inlineStr">
        <is>
          <t>Different 差额</t>
        </is>
      </c>
      <c r="B2210" s="6">
        <f>IF($B2199="","",ROUND(B2208-E2208,2))</f>
        <v/>
      </c>
      <c r="D2210">
        <f>IF($B2199="","",IF(ABS(B2210)&gt;'Opening Balance'!$B$16,"ALERT 警报: Different over RM"&amp;'Opening Balance'!$B$16&amp;" 差额超过RM"&amp;'Opening Balance'!$B$16&amp;" - please check 请检查",IF(B2210=0,"Tied 平衡",IF(ABS(B2210)&lt;='Opening Balance'!$B$13,"Small difference 小额差额: adjusted on c/f petty cash 已调整备用金",IF(B2210&gt;0,"Short 短收: added to Misc Charges 已加入杂项费用","Over 多收: added to Cash Sales 已加入现金销售")))))</f>
        <v/>
      </c>
      <c r="H2210" t="inlineStr">
        <is>
          <t>Different 差额</t>
        </is>
      </c>
      <c r="I2210" s="6">
        <f>IF($B2199="","",ROUND(I2208-L2208,2))</f>
        <v/>
      </c>
    </row>
    <row r="2211"/>
    <row r="2212"/>
    <row r="2213">
      <c r="A2213" t="inlineStr">
        <is>
          <t>Date 日期</t>
        </is>
      </c>
      <c r="B2213" s="5">
        <f>IF('Daily Sale entry '!$A160="","",'Daily Sale entry '!$A160)</f>
        <v/>
      </c>
      <c r="H2213" t="inlineStr">
        <is>
          <t>After 调整后 (After)</t>
        </is>
      </c>
      <c r="I2213" s="5">
        <f>IF($B2213="","",B2213)</f>
        <v/>
      </c>
    </row>
    <row r="2214">
      <c r="A2214" t="inlineStr">
        <is>
          <t>Cash Sales 现金销售</t>
        </is>
      </c>
      <c r="B2214" s="6">
        <f>IF($B2213="","",'Daily Sale entry '!B160)</f>
        <v/>
      </c>
      <c r="D2214" t="inlineStr">
        <is>
          <t>c/f petty cash 今日备用金结转</t>
        </is>
      </c>
      <c r="E2214" s="6">
        <f>IF($B2213="","",'Daily Sale entry '!G160)</f>
        <v/>
      </c>
      <c r="H2214" t="inlineStr">
        <is>
          <t>Cash Sales 现金销售</t>
        </is>
      </c>
      <c r="I2214" s="6">
        <f>IF($B2213="","",IF(AND(ABS(B2224)&gt;'Opening Balance'!$B$13,B2224&lt;0),ROUND(B2214-B2224,2),B2214))</f>
        <v/>
      </c>
      <c r="K2214" t="inlineStr">
        <is>
          <t>c/f petty cash 今日备用金结转</t>
        </is>
      </c>
      <c r="L2214" s="6">
        <f>IF($B2213="","",IF(ABS(B2224)&lt;='Opening Balance'!$B$13,ROUND(E2214+B2224,2),E2214))</f>
        <v/>
      </c>
    </row>
    <row r="2215">
      <c r="A2215" t="inlineStr">
        <is>
          <t>Misc Charges 杂项费用</t>
        </is>
      </c>
      <c r="B2215" s="6">
        <f>IF($B2213="","",'Daily Sale entry '!C160)</f>
        <v/>
      </c>
      <c r="D2215" t="inlineStr">
        <is>
          <t>cash collection 现金收款</t>
        </is>
      </c>
      <c r="E2215" s="6">
        <f>IF($B2213="","",'Daily Sale entry '!H160)</f>
        <v/>
      </c>
      <c r="H2215" t="inlineStr">
        <is>
          <t>Misc Charges 杂项费用</t>
        </is>
      </c>
      <c r="I2215" s="6">
        <f>IF($B2213="","",IF(AND(ABS(B2224)&gt;'Opening Balance'!$B$13,B2224&gt;0),ROUND(B2215+B2224,2),B2215))</f>
        <v/>
      </c>
      <c r="K2215" t="inlineStr">
        <is>
          <t>cash collection 现金收款</t>
        </is>
      </c>
      <c r="L2215" s="6">
        <f>IF($B2213="","",E2215)</f>
        <v/>
      </c>
    </row>
    <row r="2216">
      <c r="A2216" s="1" t="inlineStr">
        <is>
          <t>Other Charges 其他费用</t>
        </is>
      </c>
      <c r="B2216" s="9">
        <f>IF($B2213="","",'Daily Sale entry '!D160)</f>
        <v/>
      </c>
      <c r="D2216" s="1" t="inlineStr">
        <is>
          <t>Cheque Collection 支票收款</t>
        </is>
      </c>
      <c r="E2216" s="9">
        <f>IF($B2213="","",'Daily Sale entry '!J160)</f>
        <v/>
      </c>
      <c r="H2216" s="1" t="inlineStr">
        <is>
          <t>Other Charges 其他费用</t>
        </is>
      </c>
      <c r="I2216" s="9">
        <f>IF($B2213="","",B2216)</f>
        <v/>
      </c>
      <c r="K2216" s="1" t="inlineStr">
        <is>
          <t>Cheque Collection 支票收款</t>
        </is>
      </c>
      <c r="L2216" s="9">
        <f>IF($B2213="","",E2216)</f>
        <v/>
      </c>
    </row>
    <row r="2217">
      <c r="A2217" s="10" t="inlineStr">
        <is>
          <t>Amount 金额  (Cash Sales - Misc - Other)</t>
        </is>
      </c>
      <c r="B2217" s="11">
        <f>IF($B2213="","",ROUND(B2214-B2215-B2216,2))</f>
        <v/>
      </c>
      <c r="D2217" s="12" t="inlineStr">
        <is>
          <t>TNG collection TNG收款</t>
        </is>
      </c>
      <c r="E2217" s="13">
        <f>IF($B2213="","",'Daily Sale entry '!K160)</f>
        <v/>
      </c>
      <c r="H2217" s="10" t="inlineStr">
        <is>
          <t>Amount 金额  (Cash Sales - Misc - Other)</t>
        </is>
      </c>
      <c r="I2217" s="11">
        <f>IF($B2213="","",ROUND(I2214-I2215-I2216,2))</f>
        <v/>
      </c>
      <c r="K2217" s="12" t="inlineStr">
        <is>
          <t>TNG collection TNG收款</t>
        </is>
      </c>
      <c r="L2217" s="13">
        <f>IF($B2213="","",E2217)</f>
        <v/>
      </c>
    </row>
    <row r="2218">
      <c r="A2218" t="inlineStr">
        <is>
          <t>Credit Collection 赊账收款</t>
        </is>
      </c>
      <c r="B2218" s="6">
        <f>IF($B2213="","",'Daily Sale entry '!E160)</f>
        <v/>
      </c>
      <c r="D2218" t="inlineStr">
        <is>
          <t>Advance Salary_M 预支薪水_M</t>
        </is>
      </c>
      <c r="E2218" s="6">
        <f>IF($B2213="","",'Daily Sale entry '!L160)</f>
        <v/>
      </c>
      <c r="H2218" t="inlineStr">
        <is>
          <t>Credit Collection 赊账收款</t>
        </is>
      </c>
      <c r="I2218" s="6">
        <f>IF($B2213="","",B2218)</f>
        <v/>
      </c>
      <c r="K2218" t="inlineStr">
        <is>
          <t>Advance Salary_M 预支薪水_M</t>
        </is>
      </c>
      <c r="L2218" s="6">
        <f>IF($B2213="","",E2218)</f>
        <v/>
      </c>
    </row>
    <row r="2219">
      <c r="A2219" s="10" t="inlineStr">
        <is>
          <t>Amount 2 金额2  (Amount + Credit Collection)</t>
        </is>
      </c>
      <c r="B2219" s="11">
        <f>IF($B2213="","",ROUND(B2217+B2218,2))</f>
        <v/>
      </c>
      <c r="D2219" t="inlineStr">
        <is>
          <t>Advance Salary_H 预支薪水_H</t>
        </is>
      </c>
      <c r="E2219" s="6">
        <f>IF($B2213="","",'Daily Sale entry '!M160)</f>
        <v/>
      </c>
      <c r="H2219" s="10" t="inlineStr">
        <is>
          <t>Amount 2 金额2  (Amount + Credit Collection)</t>
        </is>
      </c>
      <c r="I2219" s="11">
        <f>IF($B2213="","",ROUND(I2217+I2218,2))</f>
        <v/>
      </c>
      <c r="K2219" t="inlineStr">
        <is>
          <t>Advance Salary_H 预支薪水_H</t>
        </is>
      </c>
      <c r="L2219" s="6">
        <f>IF($B2213="","",E2219)</f>
        <v/>
      </c>
    </row>
    <row r="2220"/>
    <row r="2221">
      <c r="A2221" s="1" t="inlineStr">
        <is>
          <t>b/f petty cash 上日备用金结转</t>
        </is>
      </c>
      <c r="B2221" s="9">
        <f>IF($B2213="","",'Daily Sale entry '!F160)</f>
        <v/>
      </c>
      <c r="D2221" s="1" t="n"/>
      <c r="E2221" s="1" t="n"/>
      <c r="H2221" s="1" t="inlineStr">
        <is>
          <t>b/f petty cash 上日备用金结转</t>
        </is>
      </c>
      <c r="I2221" s="9">
        <f>IF($B2213="","",B2221)</f>
        <v/>
      </c>
      <c r="K2221" s="1" t="n"/>
      <c r="L2221" s="1" t="n"/>
    </row>
    <row r="2222">
      <c r="A2222" t="inlineStr">
        <is>
          <t>Total (A) 总计 (A)</t>
        </is>
      </c>
      <c r="B2222" s="6">
        <f>IF($B2213="","",ROUND(B2219+B2221,2))</f>
        <v/>
      </c>
      <c r="D2222" t="inlineStr">
        <is>
          <t>Total(B) 总计 (B)</t>
        </is>
      </c>
      <c r="E2222" s="6">
        <f>IF($B2213="","",ROUND(E2214+E2215+E2216+E2217+E2218+E2219,2))</f>
        <v/>
      </c>
      <c r="H2222" t="inlineStr">
        <is>
          <t>Total© 总计 (C)</t>
        </is>
      </c>
      <c r="I2222" s="6">
        <f>IF($B2213="","",ROUND(I2219+I2221,2))</f>
        <v/>
      </c>
      <c r="K2222" t="inlineStr">
        <is>
          <t>Total(D) 总计 (D)</t>
        </is>
      </c>
      <c r="L2222" s="6">
        <f>IF($B2213="","",ROUND(L2214+L2215+L2216+L2217+L2218+L2219,2))</f>
        <v/>
      </c>
    </row>
    <row r="2223">
      <c r="A2223" s="14" t="inlineStr">
        <is>
          <t>Total = Amount 2 + b/f petty cash  (金额2 + 上日备用金)</t>
        </is>
      </c>
      <c r="H2223" s="14" t="inlineStr">
        <is>
          <t>Total = Amount 2 + b/f petty cash  (金额2 + 上日备用金)</t>
        </is>
      </c>
    </row>
    <row r="2224">
      <c r="A2224" t="inlineStr">
        <is>
          <t>Different 差额</t>
        </is>
      </c>
      <c r="B2224" s="6">
        <f>IF($B2213="","",ROUND(B2222-E2222,2))</f>
        <v/>
      </c>
      <c r="D2224">
        <f>IF($B2213="","",IF(ABS(B2224)&gt;'Opening Balance'!$B$16,"ALERT 警报: Different over RM"&amp;'Opening Balance'!$B$16&amp;" 差额超过RM"&amp;'Opening Balance'!$B$16&amp;" - please check 请检查",IF(B2224=0,"Tied 平衡",IF(ABS(B2224)&lt;='Opening Balance'!$B$13,"Small difference 小额差额: adjusted on c/f petty cash 已调整备用金",IF(B2224&gt;0,"Short 短收: added to Misc Charges 已加入杂项费用","Over 多收: added to Cash Sales 已加入现金销售")))))</f>
        <v/>
      </c>
      <c r="H2224" t="inlineStr">
        <is>
          <t>Different 差额</t>
        </is>
      </c>
      <c r="I2224" s="6">
        <f>IF($B2213="","",ROUND(I2222-L2222,2))</f>
        <v/>
      </c>
    </row>
    <row r="2225"/>
    <row r="2226"/>
    <row r="2227">
      <c r="A2227" t="inlineStr">
        <is>
          <t>Date 日期</t>
        </is>
      </c>
      <c r="B2227" s="5">
        <f>IF('Daily Sale entry '!$A161="","",'Daily Sale entry '!$A161)</f>
        <v/>
      </c>
      <c r="H2227" t="inlineStr">
        <is>
          <t>After 调整后 (After)</t>
        </is>
      </c>
      <c r="I2227" s="5">
        <f>IF($B2227="","",B2227)</f>
        <v/>
      </c>
    </row>
    <row r="2228">
      <c r="A2228" t="inlineStr">
        <is>
          <t>Cash Sales 现金销售</t>
        </is>
      </c>
      <c r="B2228" s="6">
        <f>IF($B2227="","",'Daily Sale entry '!B161)</f>
        <v/>
      </c>
      <c r="D2228" t="inlineStr">
        <is>
          <t>c/f petty cash 今日备用金结转</t>
        </is>
      </c>
      <c r="E2228" s="6">
        <f>IF($B2227="","",'Daily Sale entry '!G161)</f>
        <v/>
      </c>
      <c r="H2228" t="inlineStr">
        <is>
          <t>Cash Sales 现金销售</t>
        </is>
      </c>
      <c r="I2228" s="6">
        <f>IF($B2227="","",IF(AND(ABS(B2238)&gt;'Opening Balance'!$B$13,B2238&lt;0),ROUND(B2228-B2238,2),B2228))</f>
        <v/>
      </c>
      <c r="K2228" t="inlineStr">
        <is>
          <t>c/f petty cash 今日备用金结转</t>
        </is>
      </c>
      <c r="L2228" s="6">
        <f>IF($B2227="","",IF(ABS(B2238)&lt;='Opening Balance'!$B$13,ROUND(E2228+B2238,2),E2228))</f>
        <v/>
      </c>
    </row>
    <row r="2229">
      <c r="A2229" t="inlineStr">
        <is>
          <t>Misc Charges 杂项费用</t>
        </is>
      </c>
      <c r="B2229" s="6">
        <f>IF($B2227="","",'Daily Sale entry '!C161)</f>
        <v/>
      </c>
      <c r="D2229" t="inlineStr">
        <is>
          <t>cash collection 现金收款</t>
        </is>
      </c>
      <c r="E2229" s="6">
        <f>IF($B2227="","",'Daily Sale entry '!H161)</f>
        <v/>
      </c>
      <c r="H2229" t="inlineStr">
        <is>
          <t>Misc Charges 杂项费用</t>
        </is>
      </c>
      <c r="I2229" s="6">
        <f>IF($B2227="","",IF(AND(ABS(B2238)&gt;'Opening Balance'!$B$13,B2238&gt;0),ROUND(B2229+B2238,2),B2229))</f>
        <v/>
      </c>
      <c r="K2229" t="inlineStr">
        <is>
          <t>cash collection 现金收款</t>
        </is>
      </c>
      <c r="L2229" s="6">
        <f>IF($B2227="","",E2229)</f>
        <v/>
      </c>
    </row>
    <row r="2230">
      <c r="A2230" s="1" t="inlineStr">
        <is>
          <t>Other Charges 其他费用</t>
        </is>
      </c>
      <c r="B2230" s="9">
        <f>IF($B2227="","",'Daily Sale entry '!D161)</f>
        <v/>
      </c>
      <c r="D2230" s="1" t="inlineStr">
        <is>
          <t>Cheque Collection 支票收款</t>
        </is>
      </c>
      <c r="E2230" s="9">
        <f>IF($B2227="","",'Daily Sale entry '!J161)</f>
        <v/>
      </c>
      <c r="H2230" s="1" t="inlineStr">
        <is>
          <t>Other Charges 其他费用</t>
        </is>
      </c>
      <c r="I2230" s="9">
        <f>IF($B2227="","",B2230)</f>
        <v/>
      </c>
      <c r="K2230" s="1" t="inlineStr">
        <is>
          <t>Cheque Collection 支票收款</t>
        </is>
      </c>
      <c r="L2230" s="9">
        <f>IF($B2227="","",E2230)</f>
        <v/>
      </c>
    </row>
    <row r="2231">
      <c r="A2231" s="10" t="inlineStr">
        <is>
          <t>Amount 金额  (Cash Sales - Misc - Other)</t>
        </is>
      </c>
      <c r="B2231" s="11">
        <f>IF($B2227="","",ROUND(B2228-B2229-B2230,2))</f>
        <v/>
      </c>
      <c r="D2231" s="12" t="inlineStr">
        <is>
          <t>TNG collection TNG收款</t>
        </is>
      </c>
      <c r="E2231" s="13">
        <f>IF($B2227="","",'Daily Sale entry '!K161)</f>
        <v/>
      </c>
      <c r="H2231" s="10" t="inlineStr">
        <is>
          <t>Amount 金额  (Cash Sales - Misc - Other)</t>
        </is>
      </c>
      <c r="I2231" s="11">
        <f>IF($B2227="","",ROUND(I2228-I2229-I2230,2))</f>
        <v/>
      </c>
      <c r="K2231" s="12" t="inlineStr">
        <is>
          <t>TNG collection TNG收款</t>
        </is>
      </c>
      <c r="L2231" s="13">
        <f>IF($B2227="","",E2231)</f>
        <v/>
      </c>
    </row>
    <row r="2232">
      <c r="A2232" t="inlineStr">
        <is>
          <t>Credit Collection 赊账收款</t>
        </is>
      </c>
      <c r="B2232" s="6">
        <f>IF($B2227="","",'Daily Sale entry '!E161)</f>
        <v/>
      </c>
      <c r="D2232" t="inlineStr">
        <is>
          <t>Advance Salary_M 预支薪水_M</t>
        </is>
      </c>
      <c r="E2232" s="6">
        <f>IF($B2227="","",'Daily Sale entry '!L161)</f>
        <v/>
      </c>
      <c r="H2232" t="inlineStr">
        <is>
          <t>Credit Collection 赊账收款</t>
        </is>
      </c>
      <c r="I2232" s="6">
        <f>IF($B2227="","",B2232)</f>
        <v/>
      </c>
      <c r="K2232" t="inlineStr">
        <is>
          <t>Advance Salary_M 预支薪水_M</t>
        </is>
      </c>
      <c r="L2232" s="6">
        <f>IF($B2227="","",E2232)</f>
        <v/>
      </c>
    </row>
    <row r="2233">
      <c r="A2233" s="10" t="inlineStr">
        <is>
          <t>Amount 2 金额2  (Amount + Credit Collection)</t>
        </is>
      </c>
      <c r="B2233" s="11">
        <f>IF($B2227="","",ROUND(B2231+B2232,2))</f>
        <v/>
      </c>
      <c r="D2233" t="inlineStr">
        <is>
          <t>Advance Salary_H 预支薪水_H</t>
        </is>
      </c>
      <c r="E2233" s="6">
        <f>IF($B2227="","",'Daily Sale entry '!M161)</f>
        <v/>
      </c>
      <c r="H2233" s="10" t="inlineStr">
        <is>
          <t>Amount 2 金额2  (Amount + Credit Collection)</t>
        </is>
      </c>
      <c r="I2233" s="11">
        <f>IF($B2227="","",ROUND(I2231+I2232,2))</f>
        <v/>
      </c>
      <c r="K2233" t="inlineStr">
        <is>
          <t>Advance Salary_H 预支薪水_H</t>
        </is>
      </c>
      <c r="L2233" s="6">
        <f>IF($B2227="","",E2233)</f>
        <v/>
      </c>
    </row>
    <row r="2234"/>
    <row r="2235">
      <c r="A2235" s="1" t="inlineStr">
        <is>
          <t>b/f petty cash 上日备用金结转</t>
        </is>
      </c>
      <c r="B2235" s="9">
        <f>IF($B2227="","",'Daily Sale entry '!F161)</f>
        <v/>
      </c>
      <c r="D2235" s="1" t="n"/>
      <c r="E2235" s="1" t="n"/>
      <c r="H2235" s="1" t="inlineStr">
        <is>
          <t>b/f petty cash 上日备用金结转</t>
        </is>
      </c>
      <c r="I2235" s="9">
        <f>IF($B2227="","",B2235)</f>
        <v/>
      </c>
      <c r="K2235" s="1" t="n"/>
      <c r="L2235" s="1" t="n"/>
    </row>
    <row r="2236">
      <c r="A2236" t="inlineStr">
        <is>
          <t>Total (A) 总计 (A)</t>
        </is>
      </c>
      <c r="B2236" s="6">
        <f>IF($B2227="","",ROUND(B2233+B2235,2))</f>
        <v/>
      </c>
      <c r="D2236" t="inlineStr">
        <is>
          <t>Total(B) 总计 (B)</t>
        </is>
      </c>
      <c r="E2236" s="6">
        <f>IF($B2227="","",ROUND(E2228+E2229+E2230+E2231+E2232+E2233,2))</f>
        <v/>
      </c>
      <c r="H2236" t="inlineStr">
        <is>
          <t>Total© 总计 (C)</t>
        </is>
      </c>
      <c r="I2236" s="6">
        <f>IF($B2227="","",ROUND(I2233+I2235,2))</f>
        <v/>
      </c>
      <c r="K2236" t="inlineStr">
        <is>
          <t>Total(D) 总计 (D)</t>
        </is>
      </c>
      <c r="L2236" s="6">
        <f>IF($B2227="","",ROUND(L2228+L2229+L2230+L2231+L2232+L2233,2))</f>
        <v/>
      </c>
    </row>
    <row r="2237">
      <c r="A2237" s="14" t="inlineStr">
        <is>
          <t>Total = Amount 2 + b/f petty cash  (金额2 + 上日备用金)</t>
        </is>
      </c>
      <c r="H2237" s="14" t="inlineStr">
        <is>
          <t>Total = Amount 2 + b/f petty cash  (金额2 + 上日备用金)</t>
        </is>
      </c>
    </row>
    <row r="2238">
      <c r="A2238" t="inlineStr">
        <is>
          <t>Different 差额</t>
        </is>
      </c>
      <c r="B2238" s="6">
        <f>IF($B2227="","",ROUND(B2236-E2236,2))</f>
        <v/>
      </c>
      <c r="D2238">
        <f>IF($B2227="","",IF(ABS(B2238)&gt;'Opening Balance'!$B$16,"ALERT 警报: Different over RM"&amp;'Opening Balance'!$B$16&amp;" 差额超过RM"&amp;'Opening Balance'!$B$16&amp;" - please check 请检查",IF(B2238=0,"Tied 平衡",IF(ABS(B2238)&lt;='Opening Balance'!$B$13,"Small difference 小额差额: adjusted on c/f petty cash 已调整备用金",IF(B2238&gt;0,"Short 短收: added to Misc Charges 已加入杂项费用","Over 多收: added to Cash Sales 已加入现金销售")))))</f>
        <v/>
      </c>
      <c r="H2238" t="inlineStr">
        <is>
          <t>Different 差额</t>
        </is>
      </c>
      <c r="I2238" s="6">
        <f>IF($B2227="","",ROUND(I2236-L2236,2))</f>
        <v/>
      </c>
    </row>
    <row r="2239"/>
    <row r="2240"/>
    <row r="2241">
      <c r="A2241" t="inlineStr">
        <is>
          <t>Date 日期</t>
        </is>
      </c>
      <c r="B2241" s="5">
        <f>IF('Daily Sale entry '!$A162="","",'Daily Sale entry '!$A162)</f>
        <v/>
      </c>
      <c r="H2241" t="inlineStr">
        <is>
          <t>After 调整后 (After)</t>
        </is>
      </c>
      <c r="I2241" s="5">
        <f>IF($B2241="","",B2241)</f>
        <v/>
      </c>
    </row>
    <row r="2242">
      <c r="A2242" t="inlineStr">
        <is>
          <t>Cash Sales 现金销售</t>
        </is>
      </c>
      <c r="B2242" s="6">
        <f>IF($B2241="","",'Daily Sale entry '!B162)</f>
        <v/>
      </c>
      <c r="D2242" t="inlineStr">
        <is>
          <t>c/f petty cash 今日备用金结转</t>
        </is>
      </c>
      <c r="E2242" s="6">
        <f>IF($B2241="","",'Daily Sale entry '!G162)</f>
        <v/>
      </c>
      <c r="H2242" t="inlineStr">
        <is>
          <t>Cash Sales 现金销售</t>
        </is>
      </c>
      <c r="I2242" s="6">
        <f>IF($B2241="","",IF(AND(ABS(B2252)&gt;'Opening Balance'!$B$13,B2252&lt;0),ROUND(B2242-B2252,2),B2242))</f>
        <v/>
      </c>
      <c r="K2242" t="inlineStr">
        <is>
          <t>c/f petty cash 今日备用金结转</t>
        </is>
      </c>
      <c r="L2242" s="6">
        <f>IF($B2241="","",IF(ABS(B2252)&lt;='Opening Balance'!$B$13,ROUND(E2242+B2252,2),E2242))</f>
        <v/>
      </c>
    </row>
    <row r="2243">
      <c r="A2243" t="inlineStr">
        <is>
          <t>Misc Charges 杂项费用</t>
        </is>
      </c>
      <c r="B2243" s="6">
        <f>IF($B2241="","",'Daily Sale entry '!C162)</f>
        <v/>
      </c>
      <c r="D2243" t="inlineStr">
        <is>
          <t>cash collection 现金收款</t>
        </is>
      </c>
      <c r="E2243" s="6">
        <f>IF($B2241="","",'Daily Sale entry '!H162)</f>
        <v/>
      </c>
      <c r="H2243" t="inlineStr">
        <is>
          <t>Misc Charges 杂项费用</t>
        </is>
      </c>
      <c r="I2243" s="6">
        <f>IF($B2241="","",IF(AND(ABS(B2252)&gt;'Opening Balance'!$B$13,B2252&gt;0),ROUND(B2243+B2252,2),B2243))</f>
        <v/>
      </c>
      <c r="K2243" t="inlineStr">
        <is>
          <t>cash collection 现金收款</t>
        </is>
      </c>
      <c r="L2243" s="6">
        <f>IF($B2241="","",E2243)</f>
        <v/>
      </c>
    </row>
    <row r="2244">
      <c r="A2244" s="1" t="inlineStr">
        <is>
          <t>Other Charges 其他费用</t>
        </is>
      </c>
      <c r="B2244" s="9">
        <f>IF($B2241="","",'Daily Sale entry '!D162)</f>
        <v/>
      </c>
      <c r="D2244" s="1" t="inlineStr">
        <is>
          <t>Cheque Collection 支票收款</t>
        </is>
      </c>
      <c r="E2244" s="9">
        <f>IF($B2241="","",'Daily Sale entry '!J162)</f>
        <v/>
      </c>
      <c r="H2244" s="1" t="inlineStr">
        <is>
          <t>Other Charges 其他费用</t>
        </is>
      </c>
      <c r="I2244" s="9">
        <f>IF($B2241="","",B2244)</f>
        <v/>
      </c>
      <c r="K2244" s="1" t="inlineStr">
        <is>
          <t>Cheque Collection 支票收款</t>
        </is>
      </c>
      <c r="L2244" s="9">
        <f>IF($B2241="","",E2244)</f>
        <v/>
      </c>
    </row>
    <row r="2245">
      <c r="A2245" s="10" t="inlineStr">
        <is>
          <t>Amount 金额  (Cash Sales - Misc - Other)</t>
        </is>
      </c>
      <c r="B2245" s="11">
        <f>IF($B2241="","",ROUND(B2242-B2243-B2244,2))</f>
        <v/>
      </c>
      <c r="D2245" s="12" t="inlineStr">
        <is>
          <t>TNG collection TNG收款</t>
        </is>
      </c>
      <c r="E2245" s="13">
        <f>IF($B2241="","",'Daily Sale entry '!K162)</f>
        <v/>
      </c>
      <c r="H2245" s="10" t="inlineStr">
        <is>
          <t>Amount 金额  (Cash Sales - Misc - Other)</t>
        </is>
      </c>
      <c r="I2245" s="11">
        <f>IF($B2241="","",ROUND(I2242-I2243-I2244,2))</f>
        <v/>
      </c>
      <c r="K2245" s="12" t="inlineStr">
        <is>
          <t>TNG collection TNG收款</t>
        </is>
      </c>
      <c r="L2245" s="13">
        <f>IF($B2241="","",E2245)</f>
        <v/>
      </c>
    </row>
    <row r="2246">
      <c r="A2246" t="inlineStr">
        <is>
          <t>Credit Collection 赊账收款</t>
        </is>
      </c>
      <c r="B2246" s="6">
        <f>IF($B2241="","",'Daily Sale entry '!E162)</f>
        <v/>
      </c>
      <c r="D2246" t="inlineStr">
        <is>
          <t>Advance Salary_M 预支薪水_M</t>
        </is>
      </c>
      <c r="E2246" s="6">
        <f>IF($B2241="","",'Daily Sale entry '!L162)</f>
        <v/>
      </c>
      <c r="H2246" t="inlineStr">
        <is>
          <t>Credit Collection 赊账收款</t>
        </is>
      </c>
      <c r="I2246" s="6">
        <f>IF($B2241="","",B2246)</f>
        <v/>
      </c>
      <c r="K2246" t="inlineStr">
        <is>
          <t>Advance Salary_M 预支薪水_M</t>
        </is>
      </c>
      <c r="L2246" s="6">
        <f>IF($B2241="","",E2246)</f>
        <v/>
      </c>
    </row>
    <row r="2247">
      <c r="A2247" s="10" t="inlineStr">
        <is>
          <t>Amount 2 金额2  (Amount + Credit Collection)</t>
        </is>
      </c>
      <c r="B2247" s="11">
        <f>IF($B2241="","",ROUND(B2245+B2246,2))</f>
        <v/>
      </c>
      <c r="D2247" t="inlineStr">
        <is>
          <t>Advance Salary_H 预支薪水_H</t>
        </is>
      </c>
      <c r="E2247" s="6">
        <f>IF($B2241="","",'Daily Sale entry '!M162)</f>
        <v/>
      </c>
      <c r="H2247" s="10" t="inlineStr">
        <is>
          <t>Amount 2 金额2  (Amount + Credit Collection)</t>
        </is>
      </c>
      <c r="I2247" s="11">
        <f>IF($B2241="","",ROUND(I2245+I2246,2))</f>
        <v/>
      </c>
      <c r="K2247" t="inlineStr">
        <is>
          <t>Advance Salary_H 预支薪水_H</t>
        </is>
      </c>
      <c r="L2247" s="6">
        <f>IF($B2241="","",E2247)</f>
        <v/>
      </c>
    </row>
    <row r="2248"/>
    <row r="2249">
      <c r="A2249" s="1" t="inlineStr">
        <is>
          <t>b/f petty cash 上日备用金结转</t>
        </is>
      </c>
      <c r="B2249" s="9">
        <f>IF($B2241="","",'Daily Sale entry '!F162)</f>
        <v/>
      </c>
      <c r="D2249" s="1" t="n"/>
      <c r="E2249" s="1" t="n"/>
      <c r="H2249" s="1" t="inlineStr">
        <is>
          <t>b/f petty cash 上日备用金结转</t>
        </is>
      </c>
      <c r="I2249" s="9">
        <f>IF($B2241="","",B2249)</f>
        <v/>
      </c>
      <c r="K2249" s="1" t="n"/>
      <c r="L2249" s="1" t="n"/>
    </row>
    <row r="2250">
      <c r="A2250" t="inlineStr">
        <is>
          <t>Total (A) 总计 (A)</t>
        </is>
      </c>
      <c r="B2250" s="6">
        <f>IF($B2241="","",ROUND(B2247+B2249,2))</f>
        <v/>
      </c>
      <c r="D2250" t="inlineStr">
        <is>
          <t>Total(B) 总计 (B)</t>
        </is>
      </c>
      <c r="E2250" s="6">
        <f>IF($B2241="","",ROUND(E2242+E2243+E2244+E2245+E2246+E2247,2))</f>
        <v/>
      </c>
      <c r="H2250" t="inlineStr">
        <is>
          <t>Total© 总计 (C)</t>
        </is>
      </c>
      <c r="I2250" s="6">
        <f>IF($B2241="","",ROUND(I2247+I2249,2))</f>
        <v/>
      </c>
      <c r="K2250" t="inlineStr">
        <is>
          <t>Total(D) 总计 (D)</t>
        </is>
      </c>
      <c r="L2250" s="6">
        <f>IF($B2241="","",ROUND(L2242+L2243+L2244+L2245+L2246+L2247,2))</f>
        <v/>
      </c>
    </row>
    <row r="2251">
      <c r="A2251" s="14" t="inlineStr">
        <is>
          <t>Total = Amount 2 + b/f petty cash  (金额2 + 上日备用金)</t>
        </is>
      </c>
      <c r="H2251" s="14" t="inlineStr">
        <is>
          <t>Total = Amount 2 + b/f petty cash  (金额2 + 上日备用金)</t>
        </is>
      </c>
    </row>
    <row r="2252">
      <c r="A2252" t="inlineStr">
        <is>
          <t>Different 差额</t>
        </is>
      </c>
      <c r="B2252" s="6">
        <f>IF($B2241="","",ROUND(B2250-E2250,2))</f>
        <v/>
      </c>
      <c r="D2252">
        <f>IF($B2241="","",IF(ABS(B2252)&gt;'Opening Balance'!$B$16,"ALERT 警报: Different over RM"&amp;'Opening Balance'!$B$16&amp;" 差额超过RM"&amp;'Opening Balance'!$B$16&amp;" - please check 请检查",IF(B2252=0,"Tied 平衡",IF(ABS(B2252)&lt;='Opening Balance'!$B$13,"Small difference 小额差额: adjusted on c/f petty cash 已调整备用金",IF(B2252&gt;0,"Short 短收: added to Misc Charges 已加入杂项费用","Over 多收: added to Cash Sales 已加入现金销售")))))</f>
        <v/>
      </c>
      <c r="H2252" t="inlineStr">
        <is>
          <t>Different 差额</t>
        </is>
      </c>
      <c r="I2252" s="6">
        <f>IF($B2241="","",ROUND(I2250-L2250,2))</f>
        <v/>
      </c>
    </row>
    <row r="2253"/>
    <row r="2254"/>
    <row r="2255">
      <c r="A2255" t="inlineStr">
        <is>
          <t>Date 日期</t>
        </is>
      </c>
      <c r="B2255" s="5">
        <f>IF('Daily Sale entry '!$A163="","",'Daily Sale entry '!$A163)</f>
        <v/>
      </c>
      <c r="H2255" t="inlineStr">
        <is>
          <t>After 调整后 (After)</t>
        </is>
      </c>
      <c r="I2255" s="5">
        <f>IF($B2255="","",B2255)</f>
        <v/>
      </c>
    </row>
    <row r="2256">
      <c r="A2256" t="inlineStr">
        <is>
          <t>Cash Sales 现金销售</t>
        </is>
      </c>
      <c r="B2256" s="6">
        <f>IF($B2255="","",'Daily Sale entry '!B163)</f>
        <v/>
      </c>
      <c r="D2256" t="inlineStr">
        <is>
          <t>c/f petty cash 今日备用金结转</t>
        </is>
      </c>
      <c r="E2256" s="6">
        <f>IF($B2255="","",'Daily Sale entry '!G163)</f>
        <v/>
      </c>
      <c r="H2256" t="inlineStr">
        <is>
          <t>Cash Sales 现金销售</t>
        </is>
      </c>
      <c r="I2256" s="6">
        <f>IF($B2255="","",IF(AND(ABS(B2266)&gt;'Opening Balance'!$B$13,B2266&lt;0),ROUND(B2256-B2266,2),B2256))</f>
        <v/>
      </c>
      <c r="K2256" t="inlineStr">
        <is>
          <t>c/f petty cash 今日备用金结转</t>
        </is>
      </c>
      <c r="L2256" s="6">
        <f>IF($B2255="","",IF(ABS(B2266)&lt;='Opening Balance'!$B$13,ROUND(E2256+B2266,2),E2256))</f>
        <v/>
      </c>
    </row>
    <row r="2257">
      <c r="A2257" t="inlineStr">
        <is>
          <t>Misc Charges 杂项费用</t>
        </is>
      </c>
      <c r="B2257" s="6">
        <f>IF($B2255="","",'Daily Sale entry '!C163)</f>
        <v/>
      </c>
      <c r="D2257" t="inlineStr">
        <is>
          <t>cash collection 现金收款</t>
        </is>
      </c>
      <c r="E2257" s="6">
        <f>IF($B2255="","",'Daily Sale entry '!H163)</f>
        <v/>
      </c>
      <c r="H2257" t="inlineStr">
        <is>
          <t>Misc Charges 杂项费用</t>
        </is>
      </c>
      <c r="I2257" s="6">
        <f>IF($B2255="","",IF(AND(ABS(B2266)&gt;'Opening Balance'!$B$13,B2266&gt;0),ROUND(B2257+B2266,2),B2257))</f>
        <v/>
      </c>
      <c r="K2257" t="inlineStr">
        <is>
          <t>cash collection 现金收款</t>
        </is>
      </c>
      <c r="L2257" s="6">
        <f>IF($B2255="","",E2257)</f>
        <v/>
      </c>
    </row>
    <row r="2258">
      <c r="A2258" s="1" t="inlineStr">
        <is>
          <t>Other Charges 其他费用</t>
        </is>
      </c>
      <c r="B2258" s="9">
        <f>IF($B2255="","",'Daily Sale entry '!D163)</f>
        <v/>
      </c>
      <c r="D2258" s="1" t="inlineStr">
        <is>
          <t>Cheque Collection 支票收款</t>
        </is>
      </c>
      <c r="E2258" s="9">
        <f>IF($B2255="","",'Daily Sale entry '!J163)</f>
        <v/>
      </c>
      <c r="H2258" s="1" t="inlineStr">
        <is>
          <t>Other Charges 其他费用</t>
        </is>
      </c>
      <c r="I2258" s="9">
        <f>IF($B2255="","",B2258)</f>
        <v/>
      </c>
      <c r="K2258" s="1" t="inlineStr">
        <is>
          <t>Cheque Collection 支票收款</t>
        </is>
      </c>
      <c r="L2258" s="9">
        <f>IF($B2255="","",E2258)</f>
        <v/>
      </c>
    </row>
    <row r="2259">
      <c r="A2259" s="10" t="inlineStr">
        <is>
          <t>Amount 金额  (Cash Sales - Misc - Other)</t>
        </is>
      </c>
      <c r="B2259" s="11">
        <f>IF($B2255="","",ROUND(B2256-B2257-B2258,2))</f>
        <v/>
      </c>
      <c r="D2259" s="12" t="inlineStr">
        <is>
          <t>TNG collection TNG收款</t>
        </is>
      </c>
      <c r="E2259" s="13">
        <f>IF($B2255="","",'Daily Sale entry '!K163)</f>
        <v/>
      </c>
      <c r="H2259" s="10" t="inlineStr">
        <is>
          <t>Amount 金额  (Cash Sales - Misc - Other)</t>
        </is>
      </c>
      <c r="I2259" s="11">
        <f>IF($B2255="","",ROUND(I2256-I2257-I2258,2))</f>
        <v/>
      </c>
      <c r="K2259" s="12" t="inlineStr">
        <is>
          <t>TNG collection TNG收款</t>
        </is>
      </c>
      <c r="L2259" s="13">
        <f>IF($B2255="","",E2259)</f>
        <v/>
      </c>
    </row>
    <row r="2260">
      <c r="A2260" t="inlineStr">
        <is>
          <t>Credit Collection 赊账收款</t>
        </is>
      </c>
      <c r="B2260" s="6">
        <f>IF($B2255="","",'Daily Sale entry '!E163)</f>
        <v/>
      </c>
      <c r="D2260" t="inlineStr">
        <is>
          <t>Advance Salary_M 预支薪水_M</t>
        </is>
      </c>
      <c r="E2260" s="6">
        <f>IF($B2255="","",'Daily Sale entry '!L163)</f>
        <v/>
      </c>
      <c r="H2260" t="inlineStr">
        <is>
          <t>Credit Collection 赊账收款</t>
        </is>
      </c>
      <c r="I2260" s="6">
        <f>IF($B2255="","",B2260)</f>
        <v/>
      </c>
      <c r="K2260" t="inlineStr">
        <is>
          <t>Advance Salary_M 预支薪水_M</t>
        </is>
      </c>
      <c r="L2260" s="6">
        <f>IF($B2255="","",E2260)</f>
        <v/>
      </c>
    </row>
    <row r="2261">
      <c r="A2261" s="10" t="inlineStr">
        <is>
          <t>Amount 2 金额2  (Amount + Credit Collection)</t>
        </is>
      </c>
      <c r="B2261" s="11">
        <f>IF($B2255="","",ROUND(B2259+B2260,2))</f>
        <v/>
      </c>
      <c r="D2261" t="inlineStr">
        <is>
          <t>Advance Salary_H 预支薪水_H</t>
        </is>
      </c>
      <c r="E2261" s="6">
        <f>IF($B2255="","",'Daily Sale entry '!M163)</f>
        <v/>
      </c>
      <c r="H2261" s="10" t="inlineStr">
        <is>
          <t>Amount 2 金额2  (Amount + Credit Collection)</t>
        </is>
      </c>
      <c r="I2261" s="11">
        <f>IF($B2255="","",ROUND(I2259+I2260,2))</f>
        <v/>
      </c>
      <c r="K2261" t="inlineStr">
        <is>
          <t>Advance Salary_H 预支薪水_H</t>
        </is>
      </c>
      <c r="L2261" s="6">
        <f>IF($B2255="","",E2261)</f>
        <v/>
      </c>
    </row>
    <row r="2262"/>
    <row r="2263">
      <c r="A2263" s="1" t="inlineStr">
        <is>
          <t>b/f petty cash 上日备用金结转</t>
        </is>
      </c>
      <c r="B2263" s="9">
        <f>IF($B2255="","",'Daily Sale entry '!F163)</f>
        <v/>
      </c>
      <c r="D2263" s="1" t="n"/>
      <c r="E2263" s="1" t="n"/>
      <c r="H2263" s="1" t="inlineStr">
        <is>
          <t>b/f petty cash 上日备用金结转</t>
        </is>
      </c>
      <c r="I2263" s="9">
        <f>IF($B2255="","",B2263)</f>
        <v/>
      </c>
      <c r="K2263" s="1" t="n"/>
      <c r="L2263" s="1" t="n"/>
    </row>
    <row r="2264">
      <c r="A2264" t="inlineStr">
        <is>
          <t>Total (A) 总计 (A)</t>
        </is>
      </c>
      <c r="B2264" s="6">
        <f>IF($B2255="","",ROUND(B2261+B2263,2))</f>
        <v/>
      </c>
      <c r="D2264" t="inlineStr">
        <is>
          <t>Total(B) 总计 (B)</t>
        </is>
      </c>
      <c r="E2264" s="6">
        <f>IF($B2255="","",ROUND(E2256+E2257+E2258+E2259+E2260+E2261,2))</f>
        <v/>
      </c>
      <c r="H2264" t="inlineStr">
        <is>
          <t>Total© 总计 (C)</t>
        </is>
      </c>
      <c r="I2264" s="6">
        <f>IF($B2255="","",ROUND(I2261+I2263,2))</f>
        <v/>
      </c>
      <c r="K2264" t="inlineStr">
        <is>
          <t>Total(D) 总计 (D)</t>
        </is>
      </c>
      <c r="L2264" s="6">
        <f>IF($B2255="","",ROUND(L2256+L2257+L2258+L2259+L2260+L2261,2))</f>
        <v/>
      </c>
    </row>
    <row r="2265">
      <c r="A2265" s="14" t="inlineStr">
        <is>
          <t>Total = Amount 2 + b/f petty cash  (金额2 + 上日备用金)</t>
        </is>
      </c>
      <c r="H2265" s="14" t="inlineStr">
        <is>
          <t>Total = Amount 2 + b/f petty cash  (金额2 + 上日备用金)</t>
        </is>
      </c>
    </row>
    <row r="2266">
      <c r="A2266" t="inlineStr">
        <is>
          <t>Different 差额</t>
        </is>
      </c>
      <c r="B2266" s="6">
        <f>IF($B2255="","",ROUND(B2264-E2264,2))</f>
        <v/>
      </c>
      <c r="D2266">
        <f>IF($B2255="","",IF(ABS(B2266)&gt;'Opening Balance'!$B$16,"ALERT 警报: Different over RM"&amp;'Opening Balance'!$B$16&amp;" 差额超过RM"&amp;'Opening Balance'!$B$16&amp;" - please check 请检查",IF(B2266=0,"Tied 平衡",IF(ABS(B2266)&lt;='Opening Balance'!$B$13,"Small difference 小额差额: adjusted on c/f petty cash 已调整备用金",IF(B2266&gt;0,"Short 短收: added to Misc Charges 已加入杂项费用","Over 多收: added to Cash Sales 已加入现金销售")))))</f>
        <v/>
      </c>
      <c r="H2266" t="inlineStr">
        <is>
          <t>Different 差额</t>
        </is>
      </c>
      <c r="I2266" s="6">
        <f>IF($B2255="","",ROUND(I2264-L2264,2))</f>
        <v/>
      </c>
    </row>
    <row r="2267"/>
    <row r="2268"/>
    <row r="2269">
      <c r="A2269" t="inlineStr">
        <is>
          <t>Date 日期</t>
        </is>
      </c>
      <c r="B2269" s="5">
        <f>IF('Daily Sale entry '!$A164="","",'Daily Sale entry '!$A164)</f>
        <v/>
      </c>
      <c r="H2269" t="inlineStr">
        <is>
          <t>After 调整后 (After)</t>
        </is>
      </c>
      <c r="I2269" s="5">
        <f>IF($B2269="","",B2269)</f>
        <v/>
      </c>
    </row>
    <row r="2270">
      <c r="A2270" t="inlineStr">
        <is>
          <t>Cash Sales 现金销售</t>
        </is>
      </c>
      <c r="B2270" s="6">
        <f>IF($B2269="","",'Daily Sale entry '!B164)</f>
        <v/>
      </c>
      <c r="D2270" t="inlineStr">
        <is>
          <t>c/f petty cash 今日备用金结转</t>
        </is>
      </c>
      <c r="E2270" s="6">
        <f>IF($B2269="","",'Daily Sale entry '!G164)</f>
        <v/>
      </c>
      <c r="H2270" t="inlineStr">
        <is>
          <t>Cash Sales 现金销售</t>
        </is>
      </c>
      <c r="I2270" s="6">
        <f>IF($B2269="","",IF(AND(ABS(B2280)&gt;'Opening Balance'!$B$13,B2280&lt;0),ROUND(B2270-B2280,2),B2270))</f>
        <v/>
      </c>
      <c r="K2270" t="inlineStr">
        <is>
          <t>c/f petty cash 今日备用金结转</t>
        </is>
      </c>
      <c r="L2270" s="6">
        <f>IF($B2269="","",IF(ABS(B2280)&lt;='Opening Balance'!$B$13,ROUND(E2270+B2280,2),E2270))</f>
        <v/>
      </c>
    </row>
    <row r="2271">
      <c r="A2271" t="inlineStr">
        <is>
          <t>Misc Charges 杂项费用</t>
        </is>
      </c>
      <c r="B2271" s="6">
        <f>IF($B2269="","",'Daily Sale entry '!C164)</f>
        <v/>
      </c>
      <c r="D2271" t="inlineStr">
        <is>
          <t>cash collection 现金收款</t>
        </is>
      </c>
      <c r="E2271" s="6">
        <f>IF($B2269="","",'Daily Sale entry '!H164)</f>
        <v/>
      </c>
      <c r="H2271" t="inlineStr">
        <is>
          <t>Misc Charges 杂项费用</t>
        </is>
      </c>
      <c r="I2271" s="6">
        <f>IF($B2269="","",IF(AND(ABS(B2280)&gt;'Opening Balance'!$B$13,B2280&gt;0),ROUND(B2271+B2280,2),B2271))</f>
        <v/>
      </c>
      <c r="K2271" t="inlineStr">
        <is>
          <t>cash collection 现金收款</t>
        </is>
      </c>
      <c r="L2271" s="6">
        <f>IF($B2269="","",E2271)</f>
        <v/>
      </c>
    </row>
    <row r="2272">
      <c r="A2272" s="1" t="inlineStr">
        <is>
          <t>Other Charges 其他费用</t>
        </is>
      </c>
      <c r="B2272" s="9">
        <f>IF($B2269="","",'Daily Sale entry '!D164)</f>
        <v/>
      </c>
      <c r="D2272" s="1" t="inlineStr">
        <is>
          <t>Cheque Collection 支票收款</t>
        </is>
      </c>
      <c r="E2272" s="9">
        <f>IF($B2269="","",'Daily Sale entry '!J164)</f>
        <v/>
      </c>
      <c r="H2272" s="1" t="inlineStr">
        <is>
          <t>Other Charges 其他费用</t>
        </is>
      </c>
      <c r="I2272" s="9">
        <f>IF($B2269="","",B2272)</f>
        <v/>
      </c>
      <c r="K2272" s="1" t="inlineStr">
        <is>
          <t>Cheque Collection 支票收款</t>
        </is>
      </c>
      <c r="L2272" s="9">
        <f>IF($B2269="","",E2272)</f>
        <v/>
      </c>
    </row>
    <row r="2273">
      <c r="A2273" s="10" t="inlineStr">
        <is>
          <t>Amount 金额  (Cash Sales - Misc - Other)</t>
        </is>
      </c>
      <c r="B2273" s="11">
        <f>IF($B2269="","",ROUND(B2270-B2271-B2272,2))</f>
        <v/>
      </c>
      <c r="D2273" s="12" t="inlineStr">
        <is>
          <t>TNG collection TNG收款</t>
        </is>
      </c>
      <c r="E2273" s="13">
        <f>IF($B2269="","",'Daily Sale entry '!K164)</f>
        <v/>
      </c>
      <c r="H2273" s="10" t="inlineStr">
        <is>
          <t>Amount 金额  (Cash Sales - Misc - Other)</t>
        </is>
      </c>
      <c r="I2273" s="11">
        <f>IF($B2269="","",ROUND(I2270-I2271-I2272,2))</f>
        <v/>
      </c>
      <c r="K2273" s="12" t="inlineStr">
        <is>
          <t>TNG collection TNG收款</t>
        </is>
      </c>
      <c r="L2273" s="13">
        <f>IF($B2269="","",E2273)</f>
        <v/>
      </c>
    </row>
    <row r="2274">
      <c r="A2274" t="inlineStr">
        <is>
          <t>Credit Collection 赊账收款</t>
        </is>
      </c>
      <c r="B2274" s="6">
        <f>IF($B2269="","",'Daily Sale entry '!E164)</f>
        <v/>
      </c>
      <c r="D2274" t="inlineStr">
        <is>
          <t>Advance Salary_M 预支薪水_M</t>
        </is>
      </c>
      <c r="E2274" s="6">
        <f>IF($B2269="","",'Daily Sale entry '!L164)</f>
        <v/>
      </c>
      <c r="H2274" t="inlineStr">
        <is>
          <t>Credit Collection 赊账收款</t>
        </is>
      </c>
      <c r="I2274" s="6">
        <f>IF($B2269="","",B2274)</f>
        <v/>
      </c>
      <c r="K2274" t="inlineStr">
        <is>
          <t>Advance Salary_M 预支薪水_M</t>
        </is>
      </c>
      <c r="L2274" s="6">
        <f>IF($B2269="","",E2274)</f>
        <v/>
      </c>
    </row>
    <row r="2275">
      <c r="A2275" s="10" t="inlineStr">
        <is>
          <t>Amount 2 金额2  (Amount + Credit Collection)</t>
        </is>
      </c>
      <c r="B2275" s="11">
        <f>IF($B2269="","",ROUND(B2273+B2274,2))</f>
        <v/>
      </c>
      <c r="D2275" t="inlineStr">
        <is>
          <t>Advance Salary_H 预支薪水_H</t>
        </is>
      </c>
      <c r="E2275" s="6">
        <f>IF($B2269="","",'Daily Sale entry '!M164)</f>
        <v/>
      </c>
      <c r="H2275" s="10" t="inlineStr">
        <is>
          <t>Amount 2 金额2  (Amount + Credit Collection)</t>
        </is>
      </c>
      <c r="I2275" s="11">
        <f>IF($B2269="","",ROUND(I2273+I2274,2))</f>
        <v/>
      </c>
      <c r="K2275" t="inlineStr">
        <is>
          <t>Advance Salary_H 预支薪水_H</t>
        </is>
      </c>
      <c r="L2275" s="6">
        <f>IF($B2269="","",E2275)</f>
        <v/>
      </c>
    </row>
    <row r="2276"/>
    <row r="2277">
      <c r="A2277" s="1" t="inlineStr">
        <is>
          <t>b/f petty cash 上日备用金结转</t>
        </is>
      </c>
      <c r="B2277" s="9">
        <f>IF($B2269="","",'Daily Sale entry '!F164)</f>
        <v/>
      </c>
      <c r="D2277" s="1" t="n"/>
      <c r="E2277" s="1" t="n"/>
      <c r="H2277" s="1" t="inlineStr">
        <is>
          <t>b/f petty cash 上日备用金结转</t>
        </is>
      </c>
      <c r="I2277" s="9">
        <f>IF($B2269="","",B2277)</f>
        <v/>
      </c>
      <c r="K2277" s="1" t="n"/>
      <c r="L2277" s="1" t="n"/>
    </row>
    <row r="2278">
      <c r="A2278" t="inlineStr">
        <is>
          <t>Total (A) 总计 (A)</t>
        </is>
      </c>
      <c r="B2278" s="6">
        <f>IF($B2269="","",ROUND(B2275+B2277,2))</f>
        <v/>
      </c>
      <c r="D2278" t="inlineStr">
        <is>
          <t>Total(B) 总计 (B)</t>
        </is>
      </c>
      <c r="E2278" s="6">
        <f>IF($B2269="","",ROUND(E2270+E2271+E2272+E2273+E2274+E2275,2))</f>
        <v/>
      </c>
      <c r="H2278" t="inlineStr">
        <is>
          <t>Total© 总计 (C)</t>
        </is>
      </c>
      <c r="I2278" s="6">
        <f>IF($B2269="","",ROUND(I2275+I2277,2))</f>
        <v/>
      </c>
      <c r="K2278" t="inlineStr">
        <is>
          <t>Total(D) 总计 (D)</t>
        </is>
      </c>
      <c r="L2278" s="6">
        <f>IF($B2269="","",ROUND(L2270+L2271+L2272+L2273+L2274+L2275,2))</f>
        <v/>
      </c>
    </row>
    <row r="2279">
      <c r="A2279" s="14" t="inlineStr">
        <is>
          <t>Total = Amount 2 + b/f petty cash  (金额2 + 上日备用金)</t>
        </is>
      </c>
      <c r="H2279" s="14" t="inlineStr">
        <is>
          <t>Total = Amount 2 + b/f petty cash  (金额2 + 上日备用金)</t>
        </is>
      </c>
    </row>
    <row r="2280">
      <c r="A2280" t="inlineStr">
        <is>
          <t>Different 差额</t>
        </is>
      </c>
      <c r="B2280" s="6">
        <f>IF($B2269="","",ROUND(B2278-E2278,2))</f>
        <v/>
      </c>
      <c r="D2280">
        <f>IF($B2269="","",IF(ABS(B2280)&gt;'Opening Balance'!$B$16,"ALERT 警报: Different over RM"&amp;'Opening Balance'!$B$16&amp;" 差额超过RM"&amp;'Opening Balance'!$B$16&amp;" - please check 请检查",IF(B2280=0,"Tied 平衡",IF(ABS(B2280)&lt;='Opening Balance'!$B$13,"Small difference 小额差额: adjusted on c/f petty cash 已调整备用金",IF(B2280&gt;0,"Short 短收: added to Misc Charges 已加入杂项费用","Over 多收: added to Cash Sales 已加入现金销售")))))</f>
        <v/>
      </c>
      <c r="H2280" t="inlineStr">
        <is>
          <t>Different 差额</t>
        </is>
      </c>
      <c r="I2280" s="6">
        <f>IF($B2269="","",ROUND(I2278-L2278,2))</f>
        <v/>
      </c>
    </row>
    <row r="2281"/>
    <row r="2282"/>
    <row r="2283">
      <c r="A2283" t="inlineStr">
        <is>
          <t>Date 日期</t>
        </is>
      </c>
      <c r="B2283" s="5">
        <f>IF('Daily Sale entry '!$A165="","",'Daily Sale entry '!$A165)</f>
        <v/>
      </c>
      <c r="H2283" t="inlineStr">
        <is>
          <t>After 调整后 (After)</t>
        </is>
      </c>
      <c r="I2283" s="5">
        <f>IF($B2283="","",B2283)</f>
        <v/>
      </c>
    </row>
    <row r="2284">
      <c r="A2284" t="inlineStr">
        <is>
          <t>Cash Sales 现金销售</t>
        </is>
      </c>
      <c r="B2284" s="6">
        <f>IF($B2283="","",'Daily Sale entry '!B165)</f>
        <v/>
      </c>
      <c r="D2284" t="inlineStr">
        <is>
          <t>c/f petty cash 今日备用金结转</t>
        </is>
      </c>
      <c r="E2284" s="6">
        <f>IF($B2283="","",'Daily Sale entry '!G165)</f>
        <v/>
      </c>
      <c r="H2284" t="inlineStr">
        <is>
          <t>Cash Sales 现金销售</t>
        </is>
      </c>
      <c r="I2284" s="6">
        <f>IF($B2283="","",IF(AND(ABS(B2294)&gt;'Opening Balance'!$B$13,B2294&lt;0),ROUND(B2284-B2294,2),B2284))</f>
        <v/>
      </c>
      <c r="K2284" t="inlineStr">
        <is>
          <t>c/f petty cash 今日备用金结转</t>
        </is>
      </c>
      <c r="L2284" s="6">
        <f>IF($B2283="","",IF(ABS(B2294)&lt;='Opening Balance'!$B$13,ROUND(E2284+B2294,2),E2284))</f>
        <v/>
      </c>
    </row>
    <row r="2285">
      <c r="A2285" t="inlineStr">
        <is>
          <t>Misc Charges 杂项费用</t>
        </is>
      </c>
      <c r="B2285" s="6">
        <f>IF($B2283="","",'Daily Sale entry '!C165)</f>
        <v/>
      </c>
      <c r="D2285" t="inlineStr">
        <is>
          <t>cash collection 现金收款</t>
        </is>
      </c>
      <c r="E2285" s="6">
        <f>IF($B2283="","",'Daily Sale entry '!H165)</f>
        <v/>
      </c>
      <c r="H2285" t="inlineStr">
        <is>
          <t>Misc Charges 杂项费用</t>
        </is>
      </c>
      <c r="I2285" s="6">
        <f>IF($B2283="","",IF(AND(ABS(B2294)&gt;'Opening Balance'!$B$13,B2294&gt;0),ROUND(B2285+B2294,2),B2285))</f>
        <v/>
      </c>
      <c r="K2285" t="inlineStr">
        <is>
          <t>cash collection 现金收款</t>
        </is>
      </c>
      <c r="L2285" s="6">
        <f>IF($B2283="","",E2285)</f>
        <v/>
      </c>
    </row>
    <row r="2286">
      <c r="A2286" s="1" t="inlineStr">
        <is>
          <t>Other Charges 其他费用</t>
        </is>
      </c>
      <c r="B2286" s="9">
        <f>IF($B2283="","",'Daily Sale entry '!D165)</f>
        <v/>
      </c>
      <c r="D2286" s="1" t="inlineStr">
        <is>
          <t>Cheque Collection 支票收款</t>
        </is>
      </c>
      <c r="E2286" s="9">
        <f>IF($B2283="","",'Daily Sale entry '!J165)</f>
        <v/>
      </c>
      <c r="H2286" s="1" t="inlineStr">
        <is>
          <t>Other Charges 其他费用</t>
        </is>
      </c>
      <c r="I2286" s="9">
        <f>IF($B2283="","",B2286)</f>
        <v/>
      </c>
      <c r="K2286" s="1" t="inlineStr">
        <is>
          <t>Cheque Collection 支票收款</t>
        </is>
      </c>
      <c r="L2286" s="9">
        <f>IF($B2283="","",E2286)</f>
        <v/>
      </c>
    </row>
    <row r="2287">
      <c r="A2287" s="10" t="inlineStr">
        <is>
          <t>Amount 金额  (Cash Sales - Misc - Other)</t>
        </is>
      </c>
      <c r="B2287" s="11">
        <f>IF($B2283="","",ROUND(B2284-B2285-B2286,2))</f>
        <v/>
      </c>
      <c r="D2287" s="12" t="inlineStr">
        <is>
          <t>TNG collection TNG收款</t>
        </is>
      </c>
      <c r="E2287" s="13">
        <f>IF($B2283="","",'Daily Sale entry '!K165)</f>
        <v/>
      </c>
      <c r="H2287" s="10" t="inlineStr">
        <is>
          <t>Amount 金额  (Cash Sales - Misc - Other)</t>
        </is>
      </c>
      <c r="I2287" s="11">
        <f>IF($B2283="","",ROUND(I2284-I2285-I2286,2))</f>
        <v/>
      </c>
      <c r="K2287" s="12" t="inlineStr">
        <is>
          <t>TNG collection TNG收款</t>
        </is>
      </c>
      <c r="L2287" s="13">
        <f>IF($B2283="","",E2287)</f>
        <v/>
      </c>
    </row>
    <row r="2288">
      <c r="A2288" t="inlineStr">
        <is>
          <t>Credit Collection 赊账收款</t>
        </is>
      </c>
      <c r="B2288" s="6">
        <f>IF($B2283="","",'Daily Sale entry '!E165)</f>
        <v/>
      </c>
      <c r="D2288" t="inlineStr">
        <is>
          <t>Advance Salary_M 预支薪水_M</t>
        </is>
      </c>
      <c r="E2288" s="6">
        <f>IF($B2283="","",'Daily Sale entry '!L165)</f>
        <v/>
      </c>
      <c r="H2288" t="inlineStr">
        <is>
          <t>Credit Collection 赊账收款</t>
        </is>
      </c>
      <c r="I2288" s="6">
        <f>IF($B2283="","",B2288)</f>
        <v/>
      </c>
      <c r="K2288" t="inlineStr">
        <is>
          <t>Advance Salary_M 预支薪水_M</t>
        </is>
      </c>
      <c r="L2288" s="6">
        <f>IF($B2283="","",E2288)</f>
        <v/>
      </c>
    </row>
    <row r="2289">
      <c r="A2289" s="10" t="inlineStr">
        <is>
          <t>Amount 2 金额2  (Amount + Credit Collection)</t>
        </is>
      </c>
      <c r="B2289" s="11">
        <f>IF($B2283="","",ROUND(B2287+B2288,2))</f>
        <v/>
      </c>
      <c r="D2289" t="inlineStr">
        <is>
          <t>Advance Salary_H 预支薪水_H</t>
        </is>
      </c>
      <c r="E2289" s="6">
        <f>IF($B2283="","",'Daily Sale entry '!M165)</f>
        <v/>
      </c>
      <c r="H2289" s="10" t="inlineStr">
        <is>
          <t>Amount 2 金额2  (Amount + Credit Collection)</t>
        </is>
      </c>
      <c r="I2289" s="11">
        <f>IF($B2283="","",ROUND(I2287+I2288,2))</f>
        <v/>
      </c>
      <c r="K2289" t="inlineStr">
        <is>
          <t>Advance Salary_H 预支薪水_H</t>
        </is>
      </c>
      <c r="L2289" s="6">
        <f>IF($B2283="","",E2289)</f>
        <v/>
      </c>
    </row>
    <row r="2290"/>
    <row r="2291">
      <c r="A2291" s="1" t="inlineStr">
        <is>
          <t>b/f petty cash 上日备用金结转</t>
        </is>
      </c>
      <c r="B2291" s="9">
        <f>IF($B2283="","",'Daily Sale entry '!F165)</f>
        <v/>
      </c>
      <c r="D2291" s="1" t="n"/>
      <c r="E2291" s="1" t="n"/>
      <c r="H2291" s="1" t="inlineStr">
        <is>
          <t>b/f petty cash 上日备用金结转</t>
        </is>
      </c>
      <c r="I2291" s="9">
        <f>IF($B2283="","",B2291)</f>
        <v/>
      </c>
      <c r="K2291" s="1" t="n"/>
      <c r="L2291" s="1" t="n"/>
    </row>
    <row r="2292">
      <c r="A2292" t="inlineStr">
        <is>
          <t>Total (A) 总计 (A)</t>
        </is>
      </c>
      <c r="B2292" s="6">
        <f>IF($B2283="","",ROUND(B2289+B2291,2))</f>
        <v/>
      </c>
      <c r="D2292" t="inlineStr">
        <is>
          <t>Total(B) 总计 (B)</t>
        </is>
      </c>
      <c r="E2292" s="6">
        <f>IF($B2283="","",ROUND(E2284+E2285+E2286+E2287+E2288+E2289,2))</f>
        <v/>
      </c>
      <c r="H2292" t="inlineStr">
        <is>
          <t>Total© 总计 (C)</t>
        </is>
      </c>
      <c r="I2292" s="6">
        <f>IF($B2283="","",ROUND(I2289+I2291,2))</f>
        <v/>
      </c>
      <c r="K2292" t="inlineStr">
        <is>
          <t>Total(D) 总计 (D)</t>
        </is>
      </c>
      <c r="L2292" s="6">
        <f>IF($B2283="","",ROUND(L2284+L2285+L2286+L2287+L2288+L2289,2))</f>
        <v/>
      </c>
    </row>
    <row r="2293">
      <c r="A2293" s="14" t="inlineStr">
        <is>
          <t>Total = Amount 2 + b/f petty cash  (金额2 + 上日备用金)</t>
        </is>
      </c>
      <c r="H2293" s="14" t="inlineStr">
        <is>
          <t>Total = Amount 2 + b/f petty cash  (金额2 + 上日备用金)</t>
        </is>
      </c>
    </row>
    <row r="2294">
      <c r="A2294" t="inlineStr">
        <is>
          <t>Different 差额</t>
        </is>
      </c>
      <c r="B2294" s="6">
        <f>IF($B2283="","",ROUND(B2292-E2292,2))</f>
        <v/>
      </c>
      <c r="D2294">
        <f>IF($B2283="","",IF(ABS(B2294)&gt;'Opening Balance'!$B$16,"ALERT 警报: Different over RM"&amp;'Opening Balance'!$B$16&amp;" 差额超过RM"&amp;'Opening Balance'!$B$16&amp;" - please check 请检查",IF(B2294=0,"Tied 平衡",IF(ABS(B2294)&lt;='Opening Balance'!$B$13,"Small difference 小额差额: adjusted on c/f petty cash 已调整备用金",IF(B2294&gt;0,"Short 短收: added to Misc Charges 已加入杂项费用","Over 多收: added to Cash Sales 已加入现金销售")))))</f>
        <v/>
      </c>
      <c r="H2294" t="inlineStr">
        <is>
          <t>Different 差额</t>
        </is>
      </c>
      <c r="I2294" s="6">
        <f>IF($B2283="","",ROUND(I2292-L2292,2))</f>
        <v/>
      </c>
    </row>
    <row r="2295"/>
    <row r="2296"/>
    <row r="2297">
      <c r="A2297" t="inlineStr">
        <is>
          <t>Date 日期</t>
        </is>
      </c>
      <c r="B2297" s="5">
        <f>IF('Daily Sale entry '!$A166="","",'Daily Sale entry '!$A166)</f>
        <v/>
      </c>
      <c r="H2297" t="inlineStr">
        <is>
          <t>After 调整后 (After)</t>
        </is>
      </c>
      <c r="I2297" s="5">
        <f>IF($B2297="","",B2297)</f>
        <v/>
      </c>
    </row>
    <row r="2298">
      <c r="A2298" t="inlineStr">
        <is>
          <t>Cash Sales 现金销售</t>
        </is>
      </c>
      <c r="B2298" s="6">
        <f>IF($B2297="","",'Daily Sale entry '!B166)</f>
        <v/>
      </c>
      <c r="D2298" t="inlineStr">
        <is>
          <t>c/f petty cash 今日备用金结转</t>
        </is>
      </c>
      <c r="E2298" s="6">
        <f>IF($B2297="","",'Daily Sale entry '!G166)</f>
        <v/>
      </c>
      <c r="H2298" t="inlineStr">
        <is>
          <t>Cash Sales 现金销售</t>
        </is>
      </c>
      <c r="I2298" s="6">
        <f>IF($B2297="","",IF(AND(ABS(B2308)&gt;'Opening Balance'!$B$13,B2308&lt;0),ROUND(B2298-B2308,2),B2298))</f>
        <v/>
      </c>
      <c r="K2298" t="inlineStr">
        <is>
          <t>c/f petty cash 今日备用金结转</t>
        </is>
      </c>
      <c r="L2298" s="6">
        <f>IF($B2297="","",IF(ABS(B2308)&lt;='Opening Balance'!$B$13,ROUND(E2298+B2308,2),E2298))</f>
        <v/>
      </c>
    </row>
    <row r="2299">
      <c r="A2299" t="inlineStr">
        <is>
          <t>Misc Charges 杂项费用</t>
        </is>
      </c>
      <c r="B2299" s="6">
        <f>IF($B2297="","",'Daily Sale entry '!C166)</f>
        <v/>
      </c>
      <c r="D2299" t="inlineStr">
        <is>
          <t>cash collection 现金收款</t>
        </is>
      </c>
      <c r="E2299" s="6">
        <f>IF($B2297="","",'Daily Sale entry '!H166)</f>
        <v/>
      </c>
      <c r="H2299" t="inlineStr">
        <is>
          <t>Misc Charges 杂项费用</t>
        </is>
      </c>
      <c r="I2299" s="6">
        <f>IF($B2297="","",IF(AND(ABS(B2308)&gt;'Opening Balance'!$B$13,B2308&gt;0),ROUND(B2299+B2308,2),B2299))</f>
        <v/>
      </c>
      <c r="K2299" t="inlineStr">
        <is>
          <t>cash collection 现金收款</t>
        </is>
      </c>
      <c r="L2299" s="6">
        <f>IF($B2297="","",E2299)</f>
        <v/>
      </c>
    </row>
    <row r="2300">
      <c r="A2300" s="1" t="inlineStr">
        <is>
          <t>Other Charges 其他费用</t>
        </is>
      </c>
      <c r="B2300" s="9">
        <f>IF($B2297="","",'Daily Sale entry '!D166)</f>
        <v/>
      </c>
      <c r="D2300" s="1" t="inlineStr">
        <is>
          <t>Cheque Collection 支票收款</t>
        </is>
      </c>
      <c r="E2300" s="9">
        <f>IF($B2297="","",'Daily Sale entry '!J166)</f>
        <v/>
      </c>
      <c r="H2300" s="1" t="inlineStr">
        <is>
          <t>Other Charges 其他费用</t>
        </is>
      </c>
      <c r="I2300" s="9">
        <f>IF($B2297="","",B2300)</f>
        <v/>
      </c>
      <c r="K2300" s="1" t="inlineStr">
        <is>
          <t>Cheque Collection 支票收款</t>
        </is>
      </c>
      <c r="L2300" s="9">
        <f>IF($B2297="","",E2300)</f>
        <v/>
      </c>
    </row>
    <row r="2301">
      <c r="A2301" s="10" t="inlineStr">
        <is>
          <t>Amount 金额  (Cash Sales - Misc - Other)</t>
        </is>
      </c>
      <c r="B2301" s="11">
        <f>IF($B2297="","",ROUND(B2298-B2299-B2300,2))</f>
        <v/>
      </c>
      <c r="D2301" s="12" t="inlineStr">
        <is>
          <t>TNG collection TNG收款</t>
        </is>
      </c>
      <c r="E2301" s="13">
        <f>IF($B2297="","",'Daily Sale entry '!K166)</f>
        <v/>
      </c>
      <c r="H2301" s="10" t="inlineStr">
        <is>
          <t>Amount 金额  (Cash Sales - Misc - Other)</t>
        </is>
      </c>
      <c r="I2301" s="11">
        <f>IF($B2297="","",ROUND(I2298-I2299-I2300,2))</f>
        <v/>
      </c>
      <c r="K2301" s="12" t="inlineStr">
        <is>
          <t>TNG collection TNG收款</t>
        </is>
      </c>
      <c r="L2301" s="13">
        <f>IF($B2297="","",E2301)</f>
        <v/>
      </c>
    </row>
    <row r="2302">
      <c r="A2302" t="inlineStr">
        <is>
          <t>Credit Collection 赊账收款</t>
        </is>
      </c>
      <c r="B2302" s="6">
        <f>IF($B2297="","",'Daily Sale entry '!E166)</f>
        <v/>
      </c>
      <c r="D2302" t="inlineStr">
        <is>
          <t>Advance Salary_M 预支薪水_M</t>
        </is>
      </c>
      <c r="E2302" s="6">
        <f>IF($B2297="","",'Daily Sale entry '!L166)</f>
        <v/>
      </c>
      <c r="H2302" t="inlineStr">
        <is>
          <t>Credit Collection 赊账收款</t>
        </is>
      </c>
      <c r="I2302" s="6">
        <f>IF($B2297="","",B2302)</f>
        <v/>
      </c>
      <c r="K2302" t="inlineStr">
        <is>
          <t>Advance Salary_M 预支薪水_M</t>
        </is>
      </c>
      <c r="L2302" s="6">
        <f>IF($B2297="","",E2302)</f>
        <v/>
      </c>
    </row>
    <row r="2303">
      <c r="A2303" s="10" t="inlineStr">
        <is>
          <t>Amount 2 金额2  (Amount + Credit Collection)</t>
        </is>
      </c>
      <c r="B2303" s="11">
        <f>IF($B2297="","",ROUND(B2301+B2302,2))</f>
        <v/>
      </c>
      <c r="D2303" t="inlineStr">
        <is>
          <t>Advance Salary_H 预支薪水_H</t>
        </is>
      </c>
      <c r="E2303" s="6">
        <f>IF($B2297="","",'Daily Sale entry '!M166)</f>
        <v/>
      </c>
      <c r="H2303" s="10" t="inlineStr">
        <is>
          <t>Amount 2 金额2  (Amount + Credit Collection)</t>
        </is>
      </c>
      <c r="I2303" s="11">
        <f>IF($B2297="","",ROUND(I2301+I2302,2))</f>
        <v/>
      </c>
      <c r="K2303" t="inlineStr">
        <is>
          <t>Advance Salary_H 预支薪水_H</t>
        </is>
      </c>
      <c r="L2303" s="6">
        <f>IF($B2297="","",E2303)</f>
        <v/>
      </c>
    </row>
    <row r="2304"/>
    <row r="2305">
      <c r="A2305" s="1" t="inlineStr">
        <is>
          <t>b/f petty cash 上日备用金结转</t>
        </is>
      </c>
      <c r="B2305" s="9">
        <f>IF($B2297="","",'Daily Sale entry '!F166)</f>
        <v/>
      </c>
      <c r="D2305" s="1" t="n"/>
      <c r="E2305" s="1" t="n"/>
      <c r="H2305" s="1" t="inlineStr">
        <is>
          <t>b/f petty cash 上日备用金结转</t>
        </is>
      </c>
      <c r="I2305" s="9">
        <f>IF($B2297="","",B2305)</f>
        <v/>
      </c>
      <c r="K2305" s="1" t="n"/>
      <c r="L2305" s="1" t="n"/>
    </row>
    <row r="2306">
      <c r="A2306" t="inlineStr">
        <is>
          <t>Total (A) 总计 (A)</t>
        </is>
      </c>
      <c r="B2306" s="6">
        <f>IF($B2297="","",ROUND(B2303+B2305,2))</f>
        <v/>
      </c>
      <c r="D2306" t="inlineStr">
        <is>
          <t>Total(B) 总计 (B)</t>
        </is>
      </c>
      <c r="E2306" s="6">
        <f>IF($B2297="","",ROUND(E2298+E2299+E2300+E2301+E2302+E2303,2))</f>
        <v/>
      </c>
      <c r="H2306" t="inlineStr">
        <is>
          <t>Total© 总计 (C)</t>
        </is>
      </c>
      <c r="I2306" s="6">
        <f>IF($B2297="","",ROUND(I2303+I2305,2))</f>
        <v/>
      </c>
      <c r="K2306" t="inlineStr">
        <is>
          <t>Total(D) 总计 (D)</t>
        </is>
      </c>
      <c r="L2306" s="6">
        <f>IF($B2297="","",ROUND(L2298+L2299+L2300+L2301+L2302+L2303,2))</f>
        <v/>
      </c>
    </row>
    <row r="2307">
      <c r="A2307" s="14" t="inlineStr">
        <is>
          <t>Total = Amount 2 + b/f petty cash  (金额2 + 上日备用金)</t>
        </is>
      </c>
      <c r="H2307" s="14" t="inlineStr">
        <is>
          <t>Total = Amount 2 + b/f petty cash  (金额2 + 上日备用金)</t>
        </is>
      </c>
    </row>
    <row r="2308">
      <c r="A2308" t="inlineStr">
        <is>
          <t>Different 差额</t>
        </is>
      </c>
      <c r="B2308" s="6">
        <f>IF($B2297="","",ROUND(B2306-E2306,2))</f>
        <v/>
      </c>
      <c r="D2308">
        <f>IF($B2297="","",IF(ABS(B2308)&gt;'Opening Balance'!$B$16,"ALERT 警报: Different over RM"&amp;'Opening Balance'!$B$16&amp;" 差额超过RM"&amp;'Opening Balance'!$B$16&amp;" - please check 请检查",IF(B2308=0,"Tied 平衡",IF(ABS(B2308)&lt;='Opening Balance'!$B$13,"Small difference 小额差额: adjusted on c/f petty cash 已调整备用金",IF(B2308&gt;0,"Short 短收: added to Misc Charges 已加入杂项费用","Over 多收: added to Cash Sales 已加入现金销售")))))</f>
        <v/>
      </c>
      <c r="H2308" t="inlineStr">
        <is>
          <t>Different 差额</t>
        </is>
      </c>
      <c r="I2308" s="6">
        <f>IF($B2297="","",ROUND(I2306-L2306,2))</f>
        <v/>
      </c>
    </row>
    <row r="2309"/>
    <row r="2310"/>
    <row r="2311">
      <c r="A2311" t="inlineStr">
        <is>
          <t>Date 日期</t>
        </is>
      </c>
      <c r="B2311" s="5">
        <f>IF('Daily Sale entry '!$A167="","",'Daily Sale entry '!$A167)</f>
        <v/>
      </c>
      <c r="H2311" t="inlineStr">
        <is>
          <t>After 调整后 (After)</t>
        </is>
      </c>
      <c r="I2311" s="5">
        <f>IF($B2311="","",B2311)</f>
        <v/>
      </c>
    </row>
    <row r="2312">
      <c r="A2312" t="inlineStr">
        <is>
          <t>Cash Sales 现金销售</t>
        </is>
      </c>
      <c r="B2312" s="6">
        <f>IF($B2311="","",'Daily Sale entry '!B167)</f>
        <v/>
      </c>
      <c r="D2312" t="inlineStr">
        <is>
          <t>c/f petty cash 今日备用金结转</t>
        </is>
      </c>
      <c r="E2312" s="6">
        <f>IF($B2311="","",'Daily Sale entry '!G167)</f>
        <v/>
      </c>
      <c r="H2312" t="inlineStr">
        <is>
          <t>Cash Sales 现金销售</t>
        </is>
      </c>
      <c r="I2312" s="6">
        <f>IF($B2311="","",IF(AND(ABS(B2322)&gt;'Opening Balance'!$B$13,B2322&lt;0),ROUND(B2312-B2322,2),B2312))</f>
        <v/>
      </c>
      <c r="K2312" t="inlineStr">
        <is>
          <t>c/f petty cash 今日备用金结转</t>
        </is>
      </c>
      <c r="L2312" s="6">
        <f>IF($B2311="","",IF(ABS(B2322)&lt;='Opening Balance'!$B$13,ROUND(E2312+B2322,2),E2312))</f>
        <v/>
      </c>
    </row>
    <row r="2313">
      <c r="A2313" t="inlineStr">
        <is>
          <t>Misc Charges 杂项费用</t>
        </is>
      </c>
      <c r="B2313" s="6">
        <f>IF($B2311="","",'Daily Sale entry '!C167)</f>
        <v/>
      </c>
      <c r="D2313" t="inlineStr">
        <is>
          <t>cash collection 现金收款</t>
        </is>
      </c>
      <c r="E2313" s="6">
        <f>IF($B2311="","",'Daily Sale entry '!H167)</f>
        <v/>
      </c>
      <c r="H2313" t="inlineStr">
        <is>
          <t>Misc Charges 杂项费用</t>
        </is>
      </c>
      <c r="I2313" s="6">
        <f>IF($B2311="","",IF(AND(ABS(B2322)&gt;'Opening Balance'!$B$13,B2322&gt;0),ROUND(B2313+B2322,2),B2313))</f>
        <v/>
      </c>
      <c r="K2313" t="inlineStr">
        <is>
          <t>cash collection 现金收款</t>
        </is>
      </c>
      <c r="L2313" s="6">
        <f>IF($B2311="","",E2313)</f>
        <v/>
      </c>
    </row>
    <row r="2314">
      <c r="A2314" s="1" t="inlineStr">
        <is>
          <t>Other Charges 其他费用</t>
        </is>
      </c>
      <c r="B2314" s="9">
        <f>IF($B2311="","",'Daily Sale entry '!D167)</f>
        <v/>
      </c>
      <c r="D2314" s="1" t="inlineStr">
        <is>
          <t>Cheque Collection 支票收款</t>
        </is>
      </c>
      <c r="E2314" s="9">
        <f>IF($B2311="","",'Daily Sale entry '!J167)</f>
        <v/>
      </c>
      <c r="H2314" s="1" t="inlineStr">
        <is>
          <t>Other Charges 其他费用</t>
        </is>
      </c>
      <c r="I2314" s="9">
        <f>IF($B2311="","",B2314)</f>
        <v/>
      </c>
      <c r="K2314" s="1" t="inlineStr">
        <is>
          <t>Cheque Collection 支票收款</t>
        </is>
      </c>
      <c r="L2314" s="9">
        <f>IF($B2311="","",E2314)</f>
        <v/>
      </c>
    </row>
    <row r="2315">
      <c r="A2315" s="10" t="inlineStr">
        <is>
          <t>Amount 金额  (Cash Sales - Misc - Other)</t>
        </is>
      </c>
      <c r="B2315" s="11">
        <f>IF($B2311="","",ROUND(B2312-B2313-B2314,2))</f>
        <v/>
      </c>
      <c r="D2315" s="12" t="inlineStr">
        <is>
          <t>TNG collection TNG收款</t>
        </is>
      </c>
      <c r="E2315" s="13">
        <f>IF($B2311="","",'Daily Sale entry '!K167)</f>
        <v/>
      </c>
      <c r="H2315" s="10" t="inlineStr">
        <is>
          <t>Amount 金额  (Cash Sales - Misc - Other)</t>
        </is>
      </c>
      <c r="I2315" s="11">
        <f>IF($B2311="","",ROUND(I2312-I2313-I2314,2))</f>
        <v/>
      </c>
      <c r="K2315" s="12" t="inlineStr">
        <is>
          <t>TNG collection TNG收款</t>
        </is>
      </c>
      <c r="L2315" s="13">
        <f>IF($B2311="","",E2315)</f>
        <v/>
      </c>
    </row>
    <row r="2316">
      <c r="A2316" t="inlineStr">
        <is>
          <t>Credit Collection 赊账收款</t>
        </is>
      </c>
      <c r="B2316" s="6">
        <f>IF($B2311="","",'Daily Sale entry '!E167)</f>
        <v/>
      </c>
      <c r="D2316" t="inlineStr">
        <is>
          <t>Advance Salary_M 预支薪水_M</t>
        </is>
      </c>
      <c r="E2316" s="6">
        <f>IF($B2311="","",'Daily Sale entry '!L167)</f>
        <v/>
      </c>
      <c r="H2316" t="inlineStr">
        <is>
          <t>Credit Collection 赊账收款</t>
        </is>
      </c>
      <c r="I2316" s="6">
        <f>IF($B2311="","",B2316)</f>
        <v/>
      </c>
      <c r="K2316" t="inlineStr">
        <is>
          <t>Advance Salary_M 预支薪水_M</t>
        </is>
      </c>
      <c r="L2316" s="6">
        <f>IF($B2311="","",E2316)</f>
        <v/>
      </c>
    </row>
    <row r="2317">
      <c r="A2317" s="10" t="inlineStr">
        <is>
          <t>Amount 2 金额2  (Amount + Credit Collection)</t>
        </is>
      </c>
      <c r="B2317" s="11">
        <f>IF($B2311="","",ROUND(B2315+B2316,2))</f>
        <v/>
      </c>
      <c r="D2317" t="inlineStr">
        <is>
          <t>Advance Salary_H 预支薪水_H</t>
        </is>
      </c>
      <c r="E2317" s="6">
        <f>IF($B2311="","",'Daily Sale entry '!M167)</f>
        <v/>
      </c>
      <c r="H2317" s="10" t="inlineStr">
        <is>
          <t>Amount 2 金额2  (Amount + Credit Collection)</t>
        </is>
      </c>
      <c r="I2317" s="11">
        <f>IF($B2311="","",ROUND(I2315+I2316,2))</f>
        <v/>
      </c>
      <c r="K2317" t="inlineStr">
        <is>
          <t>Advance Salary_H 预支薪水_H</t>
        </is>
      </c>
      <c r="L2317" s="6">
        <f>IF($B2311="","",E2317)</f>
        <v/>
      </c>
    </row>
    <row r="2318"/>
    <row r="2319">
      <c r="A2319" s="1" t="inlineStr">
        <is>
          <t>b/f petty cash 上日备用金结转</t>
        </is>
      </c>
      <c r="B2319" s="9">
        <f>IF($B2311="","",'Daily Sale entry '!F167)</f>
        <v/>
      </c>
      <c r="D2319" s="1" t="n"/>
      <c r="E2319" s="1" t="n"/>
      <c r="H2319" s="1" t="inlineStr">
        <is>
          <t>b/f petty cash 上日备用金结转</t>
        </is>
      </c>
      <c r="I2319" s="9">
        <f>IF($B2311="","",B2319)</f>
        <v/>
      </c>
      <c r="K2319" s="1" t="n"/>
      <c r="L2319" s="1" t="n"/>
    </row>
    <row r="2320">
      <c r="A2320" t="inlineStr">
        <is>
          <t>Total (A) 总计 (A)</t>
        </is>
      </c>
      <c r="B2320" s="6">
        <f>IF($B2311="","",ROUND(B2317+B2319,2))</f>
        <v/>
      </c>
      <c r="D2320" t="inlineStr">
        <is>
          <t>Total(B) 总计 (B)</t>
        </is>
      </c>
      <c r="E2320" s="6">
        <f>IF($B2311="","",ROUND(E2312+E2313+E2314+E2315+E2316+E2317,2))</f>
        <v/>
      </c>
      <c r="H2320" t="inlineStr">
        <is>
          <t>Total© 总计 (C)</t>
        </is>
      </c>
      <c r="I2320" s="6">
        <f>IF($B2311="","",ROUND(I2317+I2319,2))</f>
        <v/>
      </c>
      <c r="K2320" t="inlineStr">
        <is>
          <t>Total(D) 总计 (D)</t>
        </is>
      </c>
      <c r="L2320" s="6">
        <f>IF($B2311="","",ROUND(L2312+L2313+L2314+L2315+L2316+L2317,2))</f>
        <v/>
      </c>
    </row>
    <row r="2321">
      <c r="A2321" s="14" t="inlineStr">
        <is>
          <t>Total = Amount 2 + b/f petty cash  (金额2 + 上日备用金)</t>
        </is>
      </c>
      <c r="H2321" s="14" t="inlineStr">
        <is>
          <t>Total = Amount 2 + b/f petty cash  (金额2 + 上日备用金)</t>
        </is>
      </c>
    </row>
    <row r="2322">
      <c r="A2322" t="inlineStr">
        <is>
          <t>Different 差额</t>
        </is>
      </c>
      <c r="B2322" s="6">
        <f>IF($B2311="","",ROUND(B2320-E2320,2))</f>
        <v/>
      </c>
      <c r="D2322">
        <f>IF($B2311="","",IF(ABS(B2322)&gt;'Opening Balance'!$B$16,"ALERT 警报: Different over RM"&amp;'Opening Balance'!$B$16&amp;" 差额超过RM"&amp;'Opening Balance'!$B$16&amp;" - please check 请检查",IF(B2322=0,"Tied 平衡",IF(ABS(B2322)&lt;='Opening Balance'!$B$13,"Small difference 小额差额: adjusted on c/f petty cash 已调整备用金",IF(B2322&gt;0,"Short 短收: added to Misc Charges 已加入杂项费用","Over 多收: added to Cash Sales 已加入现金销售")))))</f>
        <v/>
      </c>
      <c r="H2322" t="inlineStr">
        <is>
          <t>Different 差额</t>
        </is>
      </c>
      <c r="I2322" s="6">
        <f>IF($B2311="","",ROUND(I2320-L2320,2))</f>
        <v/>
      </c>
    </row>
    <row r="2323"/>
    <row r="2324"/>
    <row r="2325">
      <c r="A2325" t="inlineStr">
        <is>
          <t>Date 日期</t>
        </is>
      </c>
      <c r="B2325" s="5">
        <f>IF('Daily Sale entry '!$A168="","",'Daily Sale entry '!$A168)</f>
        <v/>
      </c>
      <c r="H2325" t="inlineStr">
        <is>
          <t>After 调整后 (After)</t>
        </is>
      </c>
      <c r="I2325" s="5">
        <f>IF($B2325="","",B2325)</f>
        <v/>
      </c>
    </row>
    <row r="2326">
      <c r="A2326" t="inlineStr">
        <is>
          <t>Cash Sales 现金销售</t>
        </is>
      </c>
      <c r="B2326" s="6">
        <f>IF($B2325="","",'Daily Sale entry '!B168)</f>
        <v/>
      </c>
      <c r="D2326" t="inlineStr">
        <is>
          <t>c/f petty cash 今日备用金结转</t>
        </is>
      </c>
      <c r="E2326" s="6">
        <f>IF($B2325="","",'Daily Sale entry '!G168)</f>
        <v/>
      </c>
      <c r="H2326" t="inlineStr">
        <is>
          <t>Cash Sales 现金销售</t>
        </is>
      </c>
      <c r="I2326" s="6">
        <f>IF($B2325="","",IF(AND(ABS(B2336)&gt;'Opening Balance'!$B$13,B2336&lt;0),ROUND(B2326-B2336,2),B2326))</f>
        <v/>
      </c>
      <c r="K2326" t="inlineStr">
        <is>
          <t>c/f petty cash 今日备用金结转</t>
        </is>
      </c>
      <c r="L2326" s="6">
        <f>IF($B2325="","",IF(ABS(B2336)&lt;='Opening Balance'!$B$13,ROUND(E2326+B2336,2),E2326))</f>
        <v/>
      </c>
    </row>
    <row r="2327">
      <c r="A2327" t="inlineStr">
        <is>
          <t>Misc Charges 杂项费用</t>
        </is>
      </c>
      <c r="B2327" s="6">
        <f>IF($B2325="","",'Daily Sale entry '!C168)</f>
        <v/>
      </c>
      <c r="D2327" t="inlineStr">
        <is>
          <t>cash collection 现金收款</t>
        </is>
      </c>
      <c r="E2327" s="6">
        <f>IF($B2325="","",'Daily Sale entry '!H168)</f>
        <v/>
      </c>
      <c r="H2327" t="inlineStr">
        <is>
          <t>Misc Charges 杂项费用</t>
        </is>
      </c>
      <c r="I2327" s="6">
        <f>IF($B2325="","",IF(AND(ABS(B2336)&gt;'Opening Balance'!$B$13,B2336&gt;0),ROUND(B2327+B2336,2),B2327))</f>
        <v/>
      </c>
      <c r="K2327" t="inlineStr">
        <is>
          <t>cash collection 现金收款</t>
        </is>
      </c>
      <c r="L2327" s="6">
        <f>IF($B2325="","",E2327)</f>
        <v/>
      </c>
    </row>
    <row r="2328">
      <c r="A2328" s="1" t="inlineStr">
        <is>
          <t>Other Charges 其他费用</t>
        </is>
      </c>
      <c r="B2328" s="9">
        <f>IF($B2325="","",'Daily Sale entry '!D168)</f>
        <v/>
      </c>
      <c r="D2328" s="1" t="inlineStr">
        <is>
          <t>Cheque Collection 支票收款</t>
        </is>
      </c>
      <c r="E2328" s="9">
        <f>IF($B2325="","",'Daily Sale entry '!J168)</f>
        <v/>
      </c>
      <c r="H2328" s="1" t="inlineStr">
        <is>
          <t>Other Charges 其他费用</t>
        </is>
      </c>
      <c r="I2328" s="9">
        <f>IF($B2325="","",B2328)</f>
        <v/>
      </c>
      <c r="K2328" s="1" t="inlineStr">
        <is>
          <t>Cheque Collection 支票收款</t>
        </is>
      </c>
      <c r="L2328" s="9">
        <f>IF($B2325="","",E2328)</f>
        <v/>
      </c>
    </row>
    <row r="2329">
      <c r="A2329" s="10" t="inlineStr">
        <is>
          <t>Amount 金额  (Cash Sales - Misc - Other)</t>
        </is>
      </c>
      <c r="B2329" s="11">
        <f>IF($B2325="","",ROUND(B2326-B2327-B2328,2))</f>
        <v/>
      </c>
      <c r="D2329" s="12" t="inlineStr">
        <is>
          <t>TNG collection TNG收款</t>
        </is>
      </c>
      <c r="E2329" s="13">
        <f>IF($B2325="","",'Daily Sale entry '!K168)</f>
        <v/>
      </c>
      <c r="H2329" s="10" t="inlineStr">
        <is>
          <t>Amount 金额  (Cash Sales - Misc - Other)</t>
        </is>
      </c>
      <c r="I2329" s="11">
        <f>IF($B2325="","",ROUND(I2326-I2327-I2328,2))</f>
        <v/>
      </c>
      <c r="K2329" s="12" t="inlineStr">
        <is>
          <t>TNG collection TNG收款</t>
        </is>
      </c>
      <c r="L2329" s="13">
        <f>IF($B2325="","",E2329)</f>
        <v/>
      </c>
    </row>
    <row r="2330">
      <c r="A2330" t="inlineStr">
        <is>
          <t>Credit Collection 赊账收款</t>
        </is>
      </c>
      <c r="B2330" s="6">
        <f>IF($B2325="","",'Daily Sale entry '!E168)</f>
        <v/>
      </c>
      <c r="D2330" t="inlineStr">
        <is>
          <t>Advance Salary_M 预支薪水_M</t>
        </is>
      </c>
      <c r="E2330" s="6">
        <f>IF($B2325="","",'Daily Sale entry '!L168)</f>
        <v/>
      </c>
      <c r="H2330" t="inlineStr">
        <is>
          <t>Credit Collection 赊账收款</t>
        </is>
      </c>
      <c r="I2330" s="6">
        <f>IF($B2325="","",B2330)</f>
        <v/>
      </c>
      <c r="K2330" t="inlineStr">
        <is>
          <t>Advance Salary_M 预支薪水_M</t>
        </is>
      </c>
      <c r="L2330" s="6">
        <f>IF($B2325="","",E2330)</f>
        <v/>
      </c>
    </row>
    <row r="2331">
      <c r="A2331" s="10" t="inlineStr">
        <is>
          <t>Amount 2 金额2  (Amount + Credit Collection)</t>
        </is>
      </c>
      <c r="B2331" s="11">
        <f>IF($B2325="","",ROUND(B2329+B2330,2))</f>
        <v/>
      </c>
      <c r="D2331" t="inlineStr">
        <is>
          <t>Advance Salary_H 预支薪水_H</t>
        </is>
      </c>
      <c r="E2331" s="6">
        <f>IF($B2325="","",'Daily Sale entry '!M168)</f>
        <v/>
      </c>
      <c r="H2331" s="10" t="inlineStr">
        <is>
          <t>Amount 2 金额2  (Amount + Credit Collection)</t>
        </is>
      </c>
      <c r="I2331" s="11">
        <f>IF($B2325="","",ROUND(I2329+I2330,2))</f>
        <v/>
      </c>
      <c r="K2331" t="inlineStr">
        <is>
          <t>Advance Salary_H 预支薪水_H</t>
        </is>
      </c>
      <c r="L2331" s="6">
        <f>IF($B2325="","",E2331)</f>
        <v/>
      </c>
    </row>
    <row r="2332"/>
    <row r="2333">
      <c r="A2333" s="1" t="inlineStr">
        <is>
          <t>b/f petty cash 上日备用金结转</t>
        </is>
      </c>
      <c r="B2333" s="9">
        <f>IF($B2325="","",'Daily Sale entry '!F168)</f>
        <v/>
      </c>
      <c r="D2333" s="1" t="n"/>
      <c r="E2333" s="1" t="n"/>
      <c r="H2333" s="1" t="inlineStr">
        <is>
          <t>b/f petty cash 上日备用金结转</t>
        </is>
      </c>
      <c r="I2333" s="9">
        <f>IF($B2325="","",B2333)</f>
        <v/>
      </c>
      <c r="K2333" s="1" t="n"/>
      <c r="L2333" s="1" t="n"/>
    </row>
    <row r="2334">
      <c r="A2334" t="inlineStr">
        <is>
          <t>Total (A) 总计 (A)</t>
        </is>
      </c>
      <c r="B2334" s="6">
        <f>IF($B2325="","",ROUND(B2331+B2333,2))</f>
        <v/>
      </c>
      <c r="D2334" t="inlineStr">
        <is>
          <t>Total(B) 总计 (B)</t>
        </is>
      </c>
      <c r="E2334" s="6">
        <f>IF($B2325="","",ROUND(E2326+E2327+E2328+E2329+E2330+E2331,2))</f>
        <v/>
      </c>
      <c r="H2334" t="inlineStr">
        <is>
          <t>Total© 总计 (C)</t>
        </is>
      </c>
      <c r="I2334" s="6">
        <f>IF($B2325="","",ROUND(I2331+I2333,2))</f>
        <v/>
      </c>
      <c r="K2334" t="inlineStr">
        <is>
          <t>Total(D) 总计 (D)</t>
        </is>
      </c>
      <c r="L2334" s="6">
        <f>IF($B2325="","",ROUND(L2326+L2327+L2328+L2329+L2330+L2331,2))</f>
        <v/>
      </c>
    </row>
    <row r="2335">
      <c r="A2335" s="14" t="inlineStr">
        <is>
          <t>Total = Amount 2 + b/f petty cash  (金额2 + 上日备用金)</t>
        </is>
      </c>
      <c r="H2335" s="14" t="inlineStr">
        <is>
          <t>Total = Amount 2 + b/f petty cash  (金额2 + 上日备用金)</t>
        </is>
      </c>
    </row>
    <row r="2336">
      <c r="A2336" t="inlineStr">
        <is>
          <t>Different 差额</t>
        </is>
      </c>
      <c r="B2336" s="6">
        <f>IF($B2325="","",ROUND(B2334-E2334,2))</f>
        <v/>
      </c>
      <c r="D2336">
        <f>IF($B2325="","",IF(ABS(B2336)&gt;'Opening Balance'!$B$16,"ALERT 警报: Different over RM"&amp;'Opening Balance'!$B$16&amp;" 差额超过RM"&amp;'Opening Balance'!$B$16&amp;" - please check 请检查",IF(B2336=0,"Tied 平衡",IF(ABS(B2336)&lt;='Opening Balance'!$B$13,"Small difference 小额差额: adjusted on c/f petty cash 已调整备用金",IF(B2336&gt;0,"Short 短收: added to Misc Charges 已加入杂项费用","Over 多收: added to Cash Sales 已加入现金销售")))))</f>
        <v/>
      </c>
      <c r="H2336" t="inlineStr">
        <is>
          <t>Different 差额</t>
        </is>
      </c>
      <c r="I2336" s="6">
        <f>IF($B2325="","",ROUND(I2334-L2334,2))</f>
        <v/>
      </c>
    </row>
    <row r="2337"/>
    <row r="2338"/>
    <row r="2339">
      <c r="A2339" t="inlineStr">
        <is>
          <t>Date 日期</t>
        </is>
      </c>
      <c r="B2339" s="5">
        <f>IF('Daily Sale entry '!$A169="","",'Daily Sale entry '!$A169)</f>
        <v/>
      </c>
      <c r="H2339" t="inlineStr">
        <is>
          <t>After 调整后 (After)</t>
        </is>
      </c>
      <c r="I2339" s="5">
        <f>IF($B2339="","",B2339)</f>
        <v/>
      </c>
    </row>
    <row r="2340">
      <c r="A2340" t="inlineStr">
        <is>
          <t>Cash Sales 现金销售</t>
        </is>
      </c>
      <c r="B2340" s="6">
        <f>IF($B2339="","",'Daily Sale entry '!B169)</f>
        <v/>
      </c>
      <c r="D2340" t="inlineStr">
        <is>
          <t>c/f petty cash 今日备用金结转</t>
        </is>
      </c>
      <c r="E2340" s="6">
        <f>IF($B2339="","",'Daily Sale entry '!G169)</f>
        <v/>
      </c>
      <c r="H2340" t="inlineStr">
        <is>
          <t>Cash Sales 现金销售</t>
        </is>
      </c>
      <c r="I2340" s="6">
        <f>IF($B2339="","",IF(AND(ABS(B2350)&gt;'Opening Balance'!$B$13,B2350&lt;0),ROUND(B2340-B2350,2),B2340))</f>
        <v/>
      </c>
      <c r="K2340" t="inlineStr">
        <is>
          <t>c/f petty cash 今日备用金结转</t>
        </is>
      </c>
      <c r="L2340" s="6">
        <f>IF($B2339="","",IF(ABS(B2350)&lt;='Opening Balance'!$B$13,ROUND(E2340+B2350,2),E2340))</f>
        <v/>
      </c>
    </row>
    <row r="2341">
      <c r="A2341" t="inlineStr">
        <is>
          <t>Misc Charges 杂项费用</t>
        </is>
      </c>
      <c r="B2341" s="6">
        <f>IF($B2339="","",'Daily Sale entry '!C169)</f>
        <v/>
      </c>
      <c r="D2341" t="inlineStr">
        <is>
          <t>cash collection 现金收款</t>
        </is>
      </c>
      <c r="E2341" s="6">
        <f>IF($B2339="","",'Daily Sale entry '!H169)</f>
        <v/>
      </c>
      <c r="H2341" t="inlineStr">
        <is>
          <t>Misc Charges 杂项费用</t>
        </is>
      </c>
      <c r="I2341" s="6">
        <f>IF($B2339="","",IF(AND(ABS(B2350)&gt;'Opening Balance'!$B$13,B2350&gt;0),ROUND(B2341+B2350,2),B2341))</f>
        <v/>
      </c>
      <c r="K2341" t="inlineStr">
        <is>
          <t>cash collection 现金收款</t>
        </is>
      </c>
      <c r="L2341" s="6">
        <f>IF($B2339="","",E2341)</f>
        <v/>
      </c>
    </row>
    <row r="2342">
      <c r="A2342" s="1" t="inlineStr">
        <is>
          <t>Other Charges 其他费用</t>
        </is>
      </c>
      <c r="B2342" s="9">
        <f>IF($B2339="","",'Daily Sale entry '!D169)</f>
        <v/>
      </c>
      <c r="D2342" s="1" t="inlineStr">
        <is>
          <t>Cheque Collection 支票收款</t>
        </is>
      </c>
      <c r="E2342" s="9">
        <f>IF($B2339="","",'Daily Sale entry '!J169)</f>
        <v/>
      </c>
      <c r="H2342" s="1" t="inlineStr">
        <is>
          <t>Other Charges 其他费用</t>
        </is>
      </c>
      <c r="I2342" s="9">
        <f>IF($B2339="","",B2342)</f>
        <v/>
      </c>
      <c r="K2342" s="1" t="inlineStr">
        <is>
          <t>Cheque Collection 支票收款</t>
        </is>
      </c>
      <c r="L2342" s="9">
        <f>IF($B2339="","",E2342)</f>
        <v/>
      </c>
    </row>
    <row r="2343">
      <c r="A2343" s="10" t="inlineStr">
        <is>
          <t>Amount 金额  (Cash Sales - Misc - Other)</t>
        </is>
      </c>
      <c r="B2343" s="11">
        <f>IF($B2339="","",ROUND(B2340-B2341-B2342,2))</f>
        <v/>
      </c>
      <c r="D2343" s="12" t="inlineStr">
        <is>
          <t>TNG collection TNG收款</t>
        </is>
      </c>
      <c r="E2343" s="13">
        <f>IF($B2339="","",'Daily Sale entry '!K169)</f>
        <v/>
      </c>
      <c r="H2343" s="10" t="inlineStr">
        <is>
          <t>Amount 金额  (Cash Sales - Misc - Other)</t>
        </is>
      </c>
      <c r="I2343" s="11">
        <f>IF($B2339="","",ROUND(I2340-I2341-I2342,2))</f>
        <v/>
      </c>
      <c r="K2343" s="12" t="inlineStr">
        <is>
          <t>TNG collection TNG收款</t>
        </is>
      </c>
      <c r="L2343" s="13">
        <f>IF($B2339="","",E2343)</f>
        <v/>
      </c>
    </row>
    <row r="2344">
      <c r="A2344" t="inlineStr">
        <is>
          <t>Credit Collection 赊账收款</t>
        </is>
      </c>
      <c r="B2344" s="6">
        <f>IF($B2339="","",'Daily Sale entry '!E169)</f>
        <v/>
      </c>
      <c r="D2344" t="inlineStr">
        <is>
          <t>Advance Salary_M 预支薪水_M</t>
        </is>
      </c>
      <c r="E2344" s="6">
        <f>IF($B2339="","",'Daily Sale entry '!L169)</f>
        <v/>
      </c>
      <c r="H2344" t="inlineStr">
        <is>
          <t>Credit Collection 赊账收款</t>
        </is>
      </c>
      <c r="I2344" s="6">
        <f>IF($B2339="","",B2344)</f>
        <v/>
      </c>
      <c r="K2344" t="inlineStr">
        <is>
          <t>Advance Salary_M 预支薪水_M</t>
        </is>
      </c>
      <c r="L2344" s="6">
        <f>IF($B2339="","",E2344)</f>
        <v/>
      </c>
    </row>
    <row r="2345">
      <c r="A2345" s="10" t="inlineStr">
        <is>
          <t>Amount 2 金额2  (Amount + Credit Collection)</t>
        </is>
      </c>
      <c r="B2345" s="11">
        <f>IF($B2339="","",ROUND(B2343+B2344,2))</f>
        <v/>
      </c>
      <c r="D2345" t="inlineStr">
        <is>
          <t>Advance Salary_H 预支薪水_H</t>
        </is>
      </c>
      <c r="E2345" s="6">
        <f>IF($B2339="","",'Daily Sale entry '!M169)</f>
        <v/>
      </c>
      <c r="H2345" s="10" t="inlineStr">
        <is>
          <t>Amount 2 金额2  (Amount + Credit Collection)</t>
        </is>
      </c>
      <c r="I2345" s="11">
        <f>IF($B2339="","",ROUND(I2343+I2344,2))</f>
        <v/>
      </c>
      <c r="K2345" t="inlineStr">
        <is>
          <t>Advance Salary_H 预支薪水_H</t>
        </is>
      </c>
      <c r="L2345" s="6">
        <f>IF($B2339="","",E2345)</f>
        <v/>
      </c>
    </row>
    <row r="2346"/>
    <row r="2347">
      <c r="A2347" s="1" t="inlineStr">
        <is>
          <t>b/f petty cash 上日备用金结转</t>
        </is>
      </c>
      <c r="B2347" s="9">
        <f>IF($B2339="","",'Daily Sale entry '!F169)</f>
        <v/>
      </c>
      <c r="D2347" s="1" t="n"/>
      <c r="E2347" s="1" t="n"/>
      <c r="H2347" s="1" t="inlineStr">
        <is>
          <t>b/f petty cash 上日备用金结转</t>
        </is>
      </c>
      <c r="I2347" s="9">
        <f>IF($B2339="","",B2347)</f>
        <v/>
      </c>
      <c r="K2347" s="1" t="n"/>
      <c r="L2347" s="1" t="n"/>
    </row>
    <row r="2348">
      <c r="A2348" t="inlineStr">
        <is>
          <t>Total (A) 总计 (A)</t>
        </is>
      </c>
      <c r="B2348" s="6">
        <f>IF($B2339="","",ROUND(B2345+B2347,2))</f>
        <v/>
      </c>
      <c r="D2348" t="inlineStr">
        <is>
          <t>Total(B) 总计 (B)</t>
        </is>
      </c>
      <c r="E2348" s="6">
        <f>IF($B2339="","",ROUND(E2340+E2341+E2342+E2343+E2344+E2345,2))</f>
        <v/>
      </c>
      <c r="H2348" t="inlineStr">
        <is>
          <t>Total© 总计 (C)</t>
        </is>
      </c>
      <c r="I2348" s="6">
        <f>IF($B2339="","",ROUND(I2345+I2347,2))</f>
        <v/>
      </c>
      <c r="K2348" t="inlineStr">
        <is>
          <t>Total(D) 总计 (D)</t>
        </is>
      </c>
      <c r="L2348" s="6">
        <f>IF($B2339="","",ROUND(L2340+L2341+L2342+L2343+L2344+L2345,2))</f>
        <v/>
      </c>
    </row>
    <row r="2349">
      <c r="A2349" s="14" t="inlineStr">
        <is>
          <t>Total = Amount 2 + b/f petty cash  (金额2 + 上日备用金)</t>
        </is>
      </c>
      <c r="H2349" s="14" t="inlineStr">
        <is>
          <t>Total = Amount 2 + b/f petty cash  (金额2 + 上日备用金)</t>
        </is>
      </c>
    </row>
    <row r="2350">
      <c r="A2350" t="inlineStr">
        <is>
          <t>Different 差额</t>
        </is>
      </c>
      <c r="B2350" s="6">
        <f>IF($B2339="","",ROUND(B2348-E2348,2))</f>
        <v/>
      </c>
      <c r="D2350">
        <f>IF($B2339="","",IF(ABS(B2350)&gt;'Opening Balance'!$B$16,"ALERT 警报: Different over RM"&amp;'Opening Balance'!$B$16&amp;" 差额超过RM"&amp;'Opening Balance'!$B$16&amp;" - please check 请检查",IF(B2350=0,"Tied 平衡",IF(ABS(B2350)&lt;='Opening Balance'!$B$13,"Small difference 小额差额: adjusted on c/f petty cash 已调整备用金",IF(B2350&gt;0,"Short 短收: added to Misc Charges 已加入杂项费用","Over 多收: added to Cash Sales 已加入现金销售")))))</f>
        <v/>
      </c>
      <c r="H2350" t="inlineStr">
        <is>
          <t>Different 差额</t>
        </is>
      </c>
      <c r="I2350" s="6">
        <f>IF($B2339="","",ROUND(I2348-L2348,2))</f>
        <v/>
      </c>
    </row>
    <row r="2351"/>
    <row r="2352"/>
    <row r="2353">
      <c r="A2353" t="inlineStr">
        <is>
          <t>Date 日期</t>
        </is>
      </c>
      <c r="B2353" s="5">
        <f>IF('Daily Sale entry '!$A170="","",'Daily Sale entry '!$A170)</f>
        <v/>
      </c>
      <c r="H2353" t="inlineStr">
        <is>
          <t>After 调整后 (After)</t>
        </is>
      </c>
      <c r="I2353" s="5">
        <f>IF($B2353="","",B2353)</f>
        <v/>
      </c>
    </row>
    <row r="2354">
      <c r="A2354" t="inlineStr">
        <is>
          <t>Cash Sales 现金销售</t>
        </is>
      </c>
      <c r="B2354" s="6">
        <f>IF($B2353="","",'Daily Sale entry '!B170)</f>
        <v/>
      </c>
      <c r="D2354" t="inlineStr">
        <is>
          <t>c/f petty cash 今日备用金结转</t>
        </is>
      </c>
      <c r="E2354" s="6">
        <f>IF($B2353="","",'Daily Sale entry '!G170)</f>
        <v/>
      </c>
      <c r="H2354" t="inlineStr">
        <is>
          <t>Cash Sales 现金销售</t>
        </is>
      </c>
      <c r="I2354" s="6">
        <f>IF($B2353="","",IF(AND(ABS(B2364)&gt;'Opening Balance'!$B$13,B2364&lt;0),ROUND(B2354-B2364,2),B2354))</f>
        <v/>
      </c>
      <c r="K2354" t="inlineStr">
        <is>
          <t>c/f petty cash 今日备用金结转</t>
        </is>
      </c>
      <c r="L2354" s="6">
        <f>IF($B2353="","",IF(ABS(B2364)&lt;='Opening Balance'!$B$13,ROUND(E2354+B2364,2),E2354))</f>
        <v/>
      </c>
    </row>
    <row r="2355">
      <c r="A2355" t="inlineStr">
        <is>
          <t>Misc Charges 杂项费用</t>
        </is>
      </c>
      <c r="B2355" s="6">
        <f>IF($B2353="","",'Daily Sale entry '!C170)</f>
        <v/>
      </c>
      <c r="D2355" t="inlineStr">
        <is>
          <t>cash collection 现金收款</t>
        </is>
      </c>
      <c r="E2355" s="6">
        <f>IF($B2353="","",'Daily Sale entry '!H170)</f>
        <v/>
      </c>
      <c r="H2355" t="inlineStr">
        <is>
          <t>Misc Charges 杂项费用</t>
        </is>
      </c>
      <c r="I2355" s="6">
        <f>IF($B2353="","",IF(AND(ABS(B2364)&gt;'Opening Balance'!$B$13,B2364&gt;0),ROUND(B2355+B2364,2),B2355))</f>
        <v/>
      </c>
      <c r="K2355" t="inlineStr">
        <is>
          <t>cash collection 现金收款</t>
        </is>
      </c>
      <c r="L2355" s="6">
        <f>IF($B2353="","",E2355)</f>
        <v/>
      </c>
    </row>
    <row r="2356">
      <c r="A2356" s="1" t="inlineStr">
        <is>
          <t>Other Charges 其他费用</t>
        </is>
      </c>
      <c r="B2356" s="9">
        <f>IF($B2353="","",'Daily Sale entry '!D170)</f>
        <v/>
      </c>
      <c r="D2356" s="1" t="inlineStr">
        <is>
          <t>Cheque Collection 支票收款</t>
        </is>
      </c>
      <c r="E2356" s="9">
        <f>IF($B2353="","",'Daily Sale entry '!J170)</f>
        <v/>
      </c>
      <c r="H2356" s="1" t="inlineStr">
        <is>
          <t>Other Charges 其他费用</t>
        </is>
      </c>
      <c r="I2356" s="9">
        <f>IF($B2353="","",B2356)</f>
        <v/>
      </c>
      <c r="K2356" s="1" t="inlineStr">
        <is>
          <t>Cheque Collection 支票收款</t>
        </is>
      </c>
      <c r="L2356" s="9">
        <f>IF($B2353="","",E2356)</f>
        <v/>
      </c>
    </row>
    <row r="2357">
      <c r="A2357" s="10" t="inlineStr">
        <is>
          <t>Amount 金额  (Cash Sales - Misc - Other)</t>
        </is>
      </c>
      <c r="B2357" s="11">
        <f>IF($B2353="","",ROUND(B2354-B2355-B2356,2))</f>
        <v/>
      </c>
      <c r="D2357" s="12" t="inlineStr">
        <is>
          <t>TNG collection TNG收款</t>
        </is>
      </c>
      <c r="E2357" s="13">
        <f>IF($B2353="","",'Daily Sale entry '!K170)</f>
        <v/>
      </c>
      <c r="H2357" s="10" t="inlineStr">
        <is>
          <t>Amount 金额  (Cash Sales - Misc - Other)</t>
        </is>
      </c>
      <c r="I2357" s="11">
        <f>IF($B2353="","",ROUND(I2354-I2355-I2356,2))</f>
        <v/>
      </c>
      <c r="K2357" s="12" t="inlineStr">
        <is>
          <t>TNG collection TNG收款</t>
        </is>
      </c>
      <c r="L2357" s="13">
        <f>IF($B2353="","",E2357)</f>
        <v/>
      </c>
    </row>
    <row r="2358">
      <c r="A2358" t="inlineStr">
        <is>
          <t>Credit Collection 赊账收款</t>
        </is>
      </c>
      <c r="B2358" s="6">
        <f>IF($B2353="","",'Daily Sale entry '!E170)</f>
        <v/>
      </c>
      <c r="D2358" t="inlineStr">
        <is>
          <t>Advance Salary_M 预支薪水_M</t>
        </is>
      </c>
      <c r="E2358" s="6">
        <f>IF($B2353="","",'Daily Sale entry '!L170)</f>
        <v/>
      </c>
      <c r="H2358" t="inlineStr">
        <is>
          <t>Credit Collection 赊账收款</t>
        </is>
      </c>
      <c r="I2358" s="6">
        <f>IF($B2353="","",B2358)</f>
        <v/>
      </c>
      <c r="K2358" t="inlineStr">
        <is>
          <t>Advance Salary_M 预支薪水_M</t>
        </is>
      </c>
      <c r="L2358" s="6">
        <f>IF($B2353="","",E2358)</f>
        <v/>
      </c>
    </row>
    <row r="2359">
      <c r="A2359" s="10" t="inlineStr">
        <is>
          <t>Amount 2 金额2  (Amount + Credit Collection)</t>
        </is>
      </c>
      <c r="B2359" s="11">
        <f>IF($B2353="","",ROUND(B2357+B2358,2))</f>
        <v/>
      </c>
      <c r="D2359" t="inlineStr">
        <is>
          <t>Advance Salary_H 预支薪水_H</t>
        </is>
      </c>
      <c r="E2359" s="6">
        <f>IF($B2353="","",'Daily Sale entry '!M170)</f>
        <v/>
      </c>
      <c r="H2359" s="10" t="inlineStr">
        <is>
          <t>Amount 2 金额2  (Amount + Credit Collection)</t>
        </is>
      </c>
      <c r="I2359" s="11">
        <f>IF($B2353="","",ROUND(I2357+I2358,2))</f>
        <v/>
      </c>
      <c r="K2359" t="inlineStr">
        <is>
          <t>Advance Salary_H 预支薪水_H</t>
        </is>
      </c>
      <c r="L2359" s="6">
        <f>IF($B2353="","",E2359)</f>
        <v/>
      </c>
    </row>
    <row r="2360"/>
    <row r="2361">
      <c r="A2361" s="1" t="inlineStr">
        <is>
          <t>b/f petty cash 上日备用金结转</t>
        </is>
      </c>
      <c r="B2361" s="9">
        <f>IF($B2353="","",'Daily Sale entry '!F170)</f>
        <v/>
      </c>
      <c r="D2361" s="1" t="n"/>
      <c r="E2361" s="1" t="n"/>
      <c r="H2361" s="1" t="inlineStr">
        <is>
          <t>b/f petty cash 上日备用金结转</t>
        </is>
      </c>
      <c r="I2361" s="9">
        <f>IF($B2353="","",B2361)</f>
        <v/>
      </c>
      <c r="K2361" s="1" t="n"/>
      <c r="L2361" s="1" t="n"/>
    </row>
    <row r="2362">
      <c r="A2362" t="inlineStr">
        <is>
          <t>Total (A) 总计 (A)</t>
        </is>
      </c>
      <c r="B2362" s="6">
        <f>IF($B2353="","",ROUND(B2359+B2361,2))</f>
        <v/>
      </c>
      <c r="D2362" t="inlineStr">
        <is>
          <t>Total(B) 总计 (B)</t>
        </is>
      </c>
      <c r="E2362" s="6">
        <f>IF($B2353="","",ROUND(E2354+E2355+E2356+E2357+E2358+E2359,2))</f>
        <v/>
      </c>
      <c r="H2362" t="inlineStr">
        <is>
          <t>Total© 总计 (C)</t>
        </is>
      </c>
      <c r="I2362" s="6">
        <f>IF($B2353="","",ROUND(I2359+I2361,2))</f>
        <v/>
      </c>
      <c r="K2362" t="inlineStr">
        <is>
          <t>Total(D) 总计 (D)</t>
        </is>
      </c>
      <c r="L2362" s="6">
        <f>IF($B2353="","",ROUND(L2354+L2355+L2356+L2357+L2358+L2359,2))</f>
        <v/>
      </c>
    </row>
    <row r="2363">
      <c r="A2363" s="14" t="inlineStr">
        <is>
          <t>Total = Amount 2 + b/f petty cash  (金额2 + 上日备用金)</t>
        </is>
      </c>
      <c r="H2363" s="14" t="inlineStr">
        <is>
          <t>Total = Amount 2 + b/f petty cash  (金额2 + 上日备用金)</t>
        </is>
      </c>
    </row>
    <row r="2364">
      <c r="A2364" t="inlineStr">
        <is>
          <t>Different 差额</t>
        </is>
      </c>
      <c r="B2364" s="6">
        <f>IF($B2353="","",ROUND(B2362-E2362,2))</f>
        <v/>
      </c>
      <c r="D2364">
        <f>IF($B2353="","",IF(ABS(B2364)&gt;'Opening Balance'!$B$16,"ALERT 警报: Different over RM"&amp;'Opening Balance'!$B$16&amp;" 差额超过RM"&amp;'Opening Balance'!$B$16&amp;" - please check 请检查",IF(B2364=0,"Tied 平衡",IF(ABS(B2364)&lt;='Opening Balance'!$B$13,"Small difference 小额差额: adjusted on c/f petty cash 已调整备用金",IF(B2364&gt;0,"Short 短收: added to Misc Charges 已加入杂项费用","Over 多收: added to Cash Sales 已加入现金销售")))))</f>
        <v/>
      </c>
      <c r="H2364" t="inlineStr">
        <is>
          <t>Different 差额</t>
        </is>
      </c>
      <c r="I2364" s="6">
        <f>IF($B2353="","",ROUND(I2362-L2362,2))</f>
        <v/>
      </c>
    </row>
    <row r="2365"/>
    <row r="2366"/>
    <row r="2367">
      <c r="A2367" t="inlineStr">
        <is>
          <t>Date 日期</t>
        </is>
      </c>
      <c r="B2367" s="5">
        <f>IF('Daily Sale entry '!$A171="","",'Daily Sale entry '!$A171)</f>
        <v/>
      </c>
      <c r="H2367" t="inlineStr">
        <is>
          <t>After 调整后 (After)</t>
        </is>
      </c>
      <c r="I2367" s="5">
        <f>IF($B2367="","",B2367)</f>
        <v/>
      </c>
    </row>
    <row r="2368">
      <c r="A2368" t="inlineStr">
        <is>
          <t>Cash Sales 现金销售</t>
        </is>
      </c>
      <c r="B2368" s="6">
        <f>IF($B2367="","",'Daily Sale entry '!B171)</f>
        <v/>
      </c>
      <c r="D2368" t="inlineStr">
        <is>
          <t>c/f petty cash 今日备用金结转</t>
        </is>
      </c>
      <c r="E2368" s="6">
        <f>IF($B2367="","",'Daily Sale entry '!G171)</f>
        <v/>
      </c>
      <c r="H2368" t="inlineStr">
        <is>
          <t>Cash Sales 现金销售</t>
        </is>
      </c>
      <c r="I2368" s="6">
        <f>IF($B2367="","",IF(AND(ABS(B2378)&gt;'Opening Balance'!$B$13,B2378&lt;0),ROUND(B2368-B2378,2),B2368))</f>
        <v/>
      </c>
      <c r="K2368" t="inlineStr">
        <is>
          <t>c/f petty cash 今日备用金结转</t>
        </is>
      </c>
      <c r="L2368" s="6">
        <f>IF($B2367="","",IF(ABS(B2378)&lt;='Opening Balance'!$B$13,ROUND(E2368+B2378,2),E2368))</f>
        <v/>
      </c>
    </row>
    <row r="2369">
      <c r="A2369" t="inlineStr">
        <is>
          <t>Misc Charges 杂项费用</t>
        </is>
      </c>
      <c r="B2369" s="6">
        <f>IF($B2367="","",'Daily Sale entry '!C171)</f>
        <v/>
      </c>
      <c r="D2369" t="inlineStr">
        <is>
          <t>cash collection 现金收款</t>
        </is>
      </c>
      <c r="E2369" s="6">
        <f>IF($B2367="","",'Daily Sale entry '!H171)</f>
        <v/>
      </c>
      <c r="H2369" t="inlineStr">
        <is>
          <t>Misc Charges 杂项费用</t>
        </is>
      </c>
      <c r="I2369" s="6">
        <f>IF($B2367="","",IF(AND(ABS(B2378)&gt;'Opening Balance'!$B$13,B2378&gt;0),ROUND(B2369+B2378,2),B2369))</f>
        <v/>
      </c>
      <c r="K2369" t="inlineStr">
        <is>
          <t>cash collection 现金收款</t>
        </is>
      </c>
      <c r="L2369" s="6">
        <f>IF($B2367="","",E2369)</f>
        <v/>
      </c>
    </row>
    <row r="2370">
      <c r="A2370" s="1" t="inlineStr">
        <is>
          <t>Other Charges 其他费用</t>
        </is>
      </c>
      <c r="B2370" s="9">
        <f>IF($B2367="","",'Daily Sale entry '!D171)</f>
        <v/>
      </c>
      <c r="D2370" s="1" t="inlineStr">
        <is>
          <t>Cheque Collection 支票收款</t>
        </is>
      </c>
      <c r="E2370" s="9">
        <f>IF($B2367="","",'Daily Sale entry '!J171)</f>
        <v/>
      </c>
      <c r="H2370" s="1" t="inlineStr">
        <is>
          <t>Other Charges 其他费用</t>
        </is>
      </c>
      <c r="I2370" s="9">
        <f>IF($B2367="","",B2370)</f>
        <v/>
      </c>
      <c r="K2370" s="1" t="inlineStr">
        <is>
          <t>Cheque Collection 支票收款</t>
        </is>
      </c>
      <c r="L2370" s="9">
        <f>IF($B2367="","",E2370)</f>
        <v/>
      </c>
    </row>
    <row r="2371">
      <c r="A2371" s="10" t="inlineStr">
        <is>
          <t>Amount 金额  (Cash Sales - Misc - Other)</t>
        </is>
      </c>
      <c r="B2371" s="11">
        <f>IF($B2367="","",ROUND(B2368-B2369-B2370,2))</f>
        <v/>
      </c>
      <c r="D2371" s="12" t="inlineStr">
        <is>
          <t>TNG collection TNG收款</t>
        </is>
      </c>
      <c r="E2371" s="13">
        <f>IF($B2367="","",'Daily Sale entry '!K171)</f>
        <v/>
      </c>
      <c r="H2371" s="10" t="inlineStr">
        <is>
          <t>Amount 金额  (Cash Sales - Misc - Other)</t>
        </is>
      </c>
      <c r="I2371" s="11">
        <f>IF($B2367="","",ROUND(I2368-I2369-I2370,2))</f>
        <v/>
      </c>
      <c r="K2371" s="12" t="inlineStr">
        <is>
          <t>TNG collection TNG收款</t>
        </is>
      </c>
      <c r="L2371" s="13">
        <f>IF($B2367="","",E2371)</f>
        <v/>
      </c>
    </row>
    <row r="2372">
      <c r="A2372" t="inlineStr">
        <is>
          <t>Credit Collection 赊账收款</t>
        </is>
      </c>
      <c r="B2372" s="6">
        <f>IF($B2367="","",'Daily Sale entry '!E171)</f>
        <v/>
      </c>
      <c r="D2372" t="inlineStr">
        <is>
          <t>Advance Salary_M 预支薪水_M</t>
        </is>
      </c>
      <c r="E2372" s="6">
        <f>IF($B2367="","",'Daily Sale entry '!L171)</f>
        <v/>
      </c>
      <c r="H2372" t="inlineStr">
        <is>
          <t>Credit Collection 赊账收款</t>
        </is>
      </c>
      <c r="I2372" s="6">
        <f>IF($B2367="","",B2372)</f>
        <v/>
      </c>
      <c r="K2372" t="inlineStr">
        <is>
          <t>Advance Salary_M 预支薪水_M</t>
        </is>
      </c>
      <c r="L2372" s="6">
        <f>IF($B2367="","",E2372)</f>
        <v/>
      </c>
    </row>
    <row r="2373">
      <c r="A2373" s="10" t="inlineStr">
        <is>
          <t>Amount 2 金额2  (Amount + Credit Collection)</t>
        </is>
      </c>
      <c r="B2373" s="11">
        <f>IF($B2367="","",ROUND(B2371+B2372,2))</f>
        <v/>
      </c>
      <c r="D2373" t="inlineStr">
        <is>
          <t>Advance Salary_H 预支薪水_H</t>
        </is>
      </c>
      <c r="E2373" s="6">
        <f>IF($B2367="","",'Daily Sale entry '!M171)</f>
        <v/>
      </c>
      <c r="H2373" s="10" t="inlineStr">
        <is>
          <t>Amount 2 金额2  (Amount + Credit Collection)</t>
        </is>
      </c>
      <c r="I2373" s="11">
        <f>IF($B2367="","",ROUND(I2371+I2372,2))</f>
        <v/>
      </c>
      <c r="K2373" t="inlineStr">
        <is>
          <t>Advance Salary_H 预支薪水_H</t>
        </is>
      </c>
      <c r="L2373" s="6">
        <f>IF($B2367="","",E2373)</f>
        <v/>
      </c>
    </row>
    <row r="2374"/>
    <row r="2375">
      <c r="A2375" s="1" t="inlineStr">
        <is>
          <t>b/f petty cash 上日备用金结转</t>
        </is>
      </c>
      <c r="B2375" s="9">
        <f>IF($B2367="","",'Daily Sale entry '!F171)</f>
        <v/>
      </c>
      <c r="D2375" s="1" t="n"/>
      <c r="E2375" s="1" t="n"/>
      <c r="H2375" s="1" t="inlineStr">
        <is>
          <t>b/f petty cash 上日备用金结转</t>
        </is>
      </c>
      <c r="I2375" s="9">
        <f>IF($B2367="","",B2375)</f>
        <v/>
      </c>
      <c r="K2375" s="1" t="n"/>
      <c r="L2375" s="1" t="n"/>
    </row>
    <row r="2376">
      <c r="A2376" t="inlineStr">
        <is>
          <t>Total (A) 总计 (A)</t>
        </is>
      </c>
      <c r="B2376" s="6">
        <f>IF($B2367="","",ROUND(B2373+B2375,2))</f>
        <v/>
      </c>
      <c r="D2376" t="inlineStr">
        <is>
          <t>Total(B) 总计 (B)</t>
        </is>
      </c>
      <c r="E2376" s="6">
        <f>IF($B2367="","",ROUND(E2368+E2369+E2370+E2371+E2372+E2373,2))</f>
        <v/>
      </c>
      <c r="H2376" t="inlineStr">
        <is>
          <t>Total© 总计 (C)</t>
        </is>
      </c>
      <c r="I2376" s="6">
        <f>IF($B2367="","",ROUND(I2373+I2375,2))</f>
        <v/>
      </c>
      <c r="K2376" t="inlineStr">
        <is>
          <t>Total(D) 总计 (D)</t>
        </is>
      </c>
      <c r="L2376" s="6">
        <f>IF($B2367="","",ROUND(L2368+L2369+L2370+L2371+L2372+L2373,2))</f>
        <v/>
      </c>
    </row>
    <row r="2377">
      <c r="A2377" s="14" t="inlineStr">
        <is>
          <t>Total = Amount 2 + b/f petty cash  (金额2 + 上日备用金)</t>
        </is>
      </c>
      <c r="H2377" s="14" t="inlineStr">
        <is>
          <t>Total = Amount 2 + b/f petty cash  (金额2 + 上日备用金)</t>
        </is>
      </c>
    </row>
    <row r="2378">
      <c r="A2378" t="inlineStr">
        <is>
          <t>Different 差额</t>
        </is>
      </c>
      <c r="B2378" s="6">
        <f>IF($B2367="","",ROUND(B2376-E2376,2))</f>
        <v/>
      </c>
      <c r="D2378">
        <f>IF($B2367="","",IF(ABS(B2378)&gt;'Opening Balance'!$B$16,"ALERT 警报: Different over RM"&amp;'Opening Balance'!$B$16&amp;" 差额超过RM"&amp;'Opening Balance'!$B$16&amp;" - please check 请检查",IF(B2378=0,"Tied 平衡",IF(ABS(B2378)&lt;='Opening Balance'!$B$13,"Small difference 小额差额: adjusted on c/f petty cash 已调整备用金",IF(B2378&gt;0,"Short 短收: added to Misc Charges 已加入杂项费用","Over 多收: added to Cash Sales 已加入现金销售")))))</f>
        <v/>
      </c>
      <c r="H2378" t="inlineStr">
        <is>
          <t>Different 差额</t>
        </is>
      </c>
      <c r="I2378" s="6">
        <f>IF($B2367="","",ROUND(I2376-L2376,2))</f>
        <v/>
      </c>
    </row>
    <row r="2379"/>
    <row r="2380"/>
    <row r="2381">
      <c r="A2381" t="inlineStr">
        <is>
          <t>Date 日期</t>
        </is>
      </c>
      <c r="B2381" s="5">
        <f>IF('Daily Sale entry '!$A172="","",'Daily Sale entry '!$A172)</f>
        <v/>
      </c>
      <c r="H2381" t="inlineStr">
        <is>
          <t>After 调整后 (After)</t>
        </is>
      </c>
      <c r="I2381" s="5">
        <f>IF($B2381="","",B2381)</f>
        <v/>
      </c>
    </row>
    <row r="2382">
      <c r="A2382" t="inlineStr">
        <is>
          <t>Cash Sales 现金销售</t>
        </is>
      </c>
      <c r="B2382" s="6">
        <f>IF($B2381="","",'Daily Sale entry '!B172)</f>
        <v/>
      </c>
      <c r="D2382" t="inlineStr">
        <is>
          <t>c/f petty cash 今日备用金结转</t>
        </is>
      </c>
      <c r="E2382" s="6">
        <f>IF($B2381="","",'Daily Sale entry '!G172)</f>
        <v/>
      </c>
      <c r="H2382" t="inlineStr">
        <is>
          <t>Cash Sales 现金销售</t>
        </is>
      </c>
      <c r="I2382" s="6">
        <f>IF($B2381="","",IF(AND(ABS(B2392)&gt;'Opening Balance'!$B$13,B2392&lt;0),ROUND(B2382-B2392,2),B2382))</f>
        <v/>
      </c>
      <c r="K2382" t="inlineStr">
        <is>
          <t>c/f petty cash 今日备用金结转</t>
        </is>
      </c>
      <c r="L2382" s="6">
        <f>IF($B2381="","",IF(ABS(B2392)&lt;='Opening Balance'!$B$13,ROUND(E2382+B2392,2),E2382))</f>
        <v/>
      </c>
    </row>
    <row r="2383">
      <c r="A2383" t="inlineStr">
        <is>
          <t>Misc Charges 杂项费用</t>
        </is>
      </c>
      <c r="B2383" s="6">
        <f>IF($B2381="","",'Daily Sale entry '!C172)</f>
        <v/>
      </c>
      <c r="D2383" t="inlineStr">
        <is>
          <t>cash collection 现金收款</t>
        </is>
      </c>
      <c r="E2383" s="6">
        <f>IF($B2381="","",'Daily Sale entry '!H172)</f>
        <v/>
      </c>
      <c r="H2383" t="inlineStr">
        <is>
          <t>Misc Charges 杂项费用</t>
        </is>
      </c>
      <c r="I2383" s="6">
        <f>IF($B2381="","",IF(AND(ABS(B2392)&gt;'Opening Balance'!$B$13,B2392&gt;0),ROUND(B2383+B2392,2),B2383))</f>
        <v/>
      </c>
      <c r="K2383" t="inlineStr">
        <is>
          <t>cash collection 现金收款</t>
        </is>
      </c>
      <c r="L2383" s="6">
        <f>IF($B2381="","",E2383)</f>
        <v/>
      </c>
    </row>
    <row r="2384">
      <c r="A2384" s="1" t="inlineStr">
        <is>
          <t>Other Charges 其他费用</t>
        </is>
      </c>
      <c r="B2384" s="9">
        <f>IF($B2381="","",'Daily Sale entry '!D172)</f>
        <v/>
      </c>
      <c r="D2384" s="1" t="inlineStr">
        <is>
          <t>Cheque Collection 支票收款</t>
        </is>
      </c>
      <c r="E2384" s="9">
        <f>IF($B2381="","",'Daily Sale entry '!J172)</f>
        <v/>
      </c>
      <c r="H2384" s="1" t="inlineStr">
        <is>
          <t>Other Charges 其他费用</t>
        </is>
      </c>
      <c r="I2384" s="9">
        <f>IF($B2381="","",B2384)</f>
        <v/>
      </c>
      <c r="K2384" s="1" t="inlineStr">
        <is>
          <t>Cheque Collection 支票收款</t>
        </is>
      </c>
      <c r="L2384" s="9">
        <f>IF($B2381="","",E2384)</f>
        <v/>
      </c>
    </row>
    <row r="2385">
      <c r="A2385" s="10" t="inlineStr">
        <is>
          <t>Amount 金额  (Cash Sales - Misc - Other)</t>
        </is>
      </c>
      <c r="B2385" s="11">
        <f>IF($B2381="","",ROUND(B2382-B2383-B2384,2))</f>
        <v/>
      </c>
      <c r="D2385" s="12" t="inlineStr">
        <is>
          <t>TNG collection TNG收款</t>
        </is>
      </c>
      <c r="E2385" s="13">
        <f>IF($B2381="","",'Daily Sale entry '!K172)</f>
        <v/>
      </c>
      <c r="H2385" s="10" t="inlineStr">
        <is>
          <t>Amount 金额  (Cash Sales - Misc - Other)</t>
        </is>
      </c>
      <c r="I2385" s="11">
        <f>IF($B2381="","",ROUND(I2382-I2383-I2384,2))</f>
        <v/>
      </c>
      <c r="K2385" s="12" t="inlineStr">
        <is>
          <t>TNG collection TNG收款</t>
        </is>
      </c>
      <c r="L2385" s="13">
        <f>IF($B2381="","",E2385)</f>
        <v/>
      </c>
    </row>
    <row r="2386">
      <c r="A2386" t="inlineStr">
        <is>
          <t>Credit Collection 赊账收款</t>
        </is>
      </c>
      <c r="B2386" s="6">
        <f>IF($B2381="","",'Daily Sale entry '!E172)</f>
        <v/>
      </c>
      <c r="D2386" t="inlineStr">
        <is>
          <t>Advance Salary_M 预支薪水_M</t>
        </is>
      </c>
      <c r="E2386" s="6">
        <f>IF($B2381="","",'Daily Sale entry '!L172)</f>
        <v/>
      </c>
      <c r="H2386" t="inlineStr">
        <is>
          <t>Credit Collection 赊账收款</t>
        </is>
      </c>
      <c r="I2386" s="6">
        <f>IF($B2381="","",B2386)</f>
        <v/>
      </c>
      <c r="K2386" t="inlineStr">
        <is>
          <t>Advance Salary_M 预支薪水_M</t>
        </is>
      </c>
      <c r="L2386" s="6">
        <f>IF($B2381="","",E2386)</f>
        <v/>
      </c>
    </row>
    <row r="2387">
      <c r="A2387" s="10" t="inlineStr">
        <is>
          <t>Amount 2 金额2  (Amount + Credit Collection)</t>
        </is>
      </c>
      <c r="B2387" s="11">
        <f>IF($B2381="","",ROUND(B2385+B2386,2))</f>
        <v/>
      </c>
      <c r="D2387" t="inlineStr">
        <is>
          <t>Advance Salary_H 预支薪水_H</t>
        </is>
      </c>
      <c r="E2387" s="6">
        <f>IF($B2381="","",'Daily Sale entry '!M172)</f>
        <v/>
      </c>
      <c r="H2387" s="10" t="inlineStr">
        <is>
          <t>Amount 2 金额2  (Amount + Credit Collection)</t>
        </is>
      </c>
      <c r="I2387" s="11">
        <f>IF($B2381="","",ROUND(I2385+I2386,2))</f>
        <v/>
      </c>
      <c r="K2387" t="inlineStr">
        <is>
          <t>Advance Salary_H 预支薪水_H</t>
        </is>
      </c>
      <c r="L2387" s="6">
        <f>IF($B2381="","",E2387)</f>
        <v/>
      </c>
    </row>
    <row r="2388"/>
    <row r="2389">
      <c r="A2389" s="1" t="inlineStr">
        <is>
          <t>b/f petty cash 上日备用金结转</t>
        </is>
      </c>
      <c r="B2389" s="9">
        <f>IF($B2381="","",'Daily Sale entry '!F172)</f>
        <v/>
      </c>
      <c r="D2389" s="1" t="n"/>
      <c r="E2389" s="1" t="n"/>
      <c r="H2389" s="1" t="inlineStr">
        <is>
          <t>b/f petty cash 上日备用金结转</t>
        </is>
      </c>
      <c r="I2389" s="9">
        <f>IF($B2381="","",B2389)</f>
        <v/>
      </c>
      <c r="K2389" s="1" t="n"/>
      <c r="L2389" s="1" t="n"/>
    </row>
    <row r="2390">
      <c r="A2390" t="inlineStr">
        <is>
          <t>Total (A) 总计 (A)</t>
        </is>
      </c>
      <c r="B2390" s="6">
        <f>IF($B2381="","",ROUND(B2387+B2389,2))</f>
        <v/>
      </c>
      <c r="D2390" t="inlineStr">
        <is>
          <t>Total(B) 总计 (B)</t>
        </is>
      </c>
      <c r="E2390" s="6">
        <f>IF($B2381="","",ROUND(E2382+E2383+E2384+E2385+E2386+E2387,2))</f>
        <v/>
      </c>
      <c r="H2390" t="inlineStr">
        <is>
          <t>Total© 总计 (C)</t>
        </is>
      </c>
      <c r="I2390" s="6">
        <f>IF($B2381="","",ROUND(I2387+I2389,2))</f>
        <v/>
      </c>
      <c r="K2390" t="inlineStr">
        <is>
          <t>Total(D) 总计 (D)</t>
        </is>
      </c>
      <c r="L2390" s="6">
        <f>IF($B2381="","",ROUND(L2382+L2383+L2384+L2385+L2386+L2387,2))</f>
        <v/>
      </c>
    </row>
    <row r="2391">
      <c r="A2391" s="14" t="inlineStr">
        <is>
          <t>Total = Amount 2 + b/f petty cash  (金额2 + 上日备用金)</t>
        </is>
      </c>
      <c r="H2391" s="14" t="inlineStr">
        <is>
          <t>Total = Amount 2 + b/f petty cash  (金额2 + 上日备用金)</t>
        </is>
      </c>
    </row>
    <row r="2392">
      <c r="A2392" t="inlineStr">
        <is>
          <t>Different 差额</t>
        </is>
      </c>
      <c r="B2392" s="6">
        <f>IF($B2381="","",ROUND(B2390-E2390,2))</f>
        <v/>
      </c>
      <c r="D2392">
        <f>IF($B2381="","",IF(ABS(B2392)&gt;'Opening Balance'!$B$16,"ALERT 警报: Different over RM"&amp;'Opening Balance'!$B$16&amp;" 差额超过RM"&amp;'Opening Balance'!$B$16&amp;" - please check 请检查",IF(B2392=0,"Tied 平衡",IF(ABS(B2392)&lt;='Opening Balance'!$B$13,"Small difference 小额差额: adjusted on c/f petty cash 已调整备用金",IF(B2392&gt;0,"Short 短收: added to Misc Charges 已加入杂项费用","Over 多收: added to Cash Sales 已加入现金销售")))))</f>
        <v/>
      </c>
      <c r="H2392" t="inlineStr">
        <is>
          <t>Different 差额</t>
        </is>
      </c>
      <c r="I2392" s="6">
        <f>IF($B2381="","",ROUND(I2390-L2390,2))</f>
        <v/>
      </c>
    </row>
    <row r="2393"/>
    <row r="2394"/>
    <row r="2395">
      <c r="A2395" t="inlineStr">
        <is>
          <t>Date 日期</t>
        </is>
      </c>
      <c r="B2395" s="5">
        <f>IF('Daily Sale entry '!$A173="","",'Daily Sale entry '!$A173)</f>
        <v/>
      </c>
      <c r="H2395" t="inlineStr">
        <is>
          <t>After 调整后 (After)</t>
        </is>
      </c>
      <c r="I2395" s="5">
        <f>IF($B2395="","",B2395)</f>
        <v/>
      </c>
    </row>
    <row r="2396">
      <c r="A2396" t="inlineStr">
        <is>
          <t>Cash Sales 现金销售</t>
        </is>
      </c>
      <c r="B2396" s="6">
        <f>IF($B2395="","",'Daily Sale entry '!B173)</f>
        <v/>
      </c>
      <c r="D2396" t="inlineStr">
        <is>
          <t>c/f petty cash 今日备用金结转</t>
        </is>
      </c>
      <c r="E2396" s="6">
        <f>IF($B2395="","",'Daily Sale entry '!G173)</f>
        <v/>
      </c>
      <c r="H2396" t="inlineStr">
        <is>
          <t>Cash Sales 现金销售</t>
        </is>
      </c>
      <c r="I2396" s="6">
        <f>IF($B2395="","",IF(AND(ABS(B2406)&gt;'Opening Balance'!$B$13,B2406&lt;0),ROUND(B2396-B2406,2),B2396))</f>
        <v/>
      </c>
      <c r="K2396" t="inlineStr">
        <is>
          <t>c/f petty cash 今日备用金结转</t>
        </is>
      </c>
      <c r="L2396" s="6">
        <f>IF($B2395="","",IF(ABS(B2406)&lt;='Opening Balance'!$B$13,ROUND(E2396+B2406,2),E2396))</f>
        <v/>
      </c>
    </row>
    <row r="2397">
      <c r="A2397" t="inlineStr">
        <is>
          <t>Misc Charges 杂项费用</t>
        </is>
      </c>
      <c r="B2397" s="6">
        <f>IF($B2395="","",'Daily Sale entry '!C173)</f>
        <v/>
      </c>
      <c r="D2397" t="inlineStr">
        <is>
          <t>cash collection 现金收款</t>
        </is>
      </c>
      <c r="E2397" s="6">
        <f>IF($B2395="","",'Daily Sale entry '!H173)</f>
        <v/>
      </c>
      <c r="H2397" t="inlineStr">
        <is>
          <t>Misc Charges 杂项费用</t>
        </is>
      </c>
      <c r="I2397" s="6">
        <f>IF($B2395="","",IF(AND(ABS(B2406)&gt;'Opening Balance'!$B$13,B2406&gt;0),ROUND(B2397+B2406,2),B2397))</f>
        <v/>
      </c>
      <c r="K2397" t="inlineStr">
        <is>
          <t>cash collection 现金收款</t>
        </is>
      </c>
      <c r="L2397" s="6">
        <f>IF($B2395="","",E2397)</f>
        <v/>
      </c>
    </row>
    <row r="2398">
      <c r="A2398" s="1" t="inlineStr">
        <is>
          <t>Other Charges 其他费用</t>
        </is>
      </c>
      <c r="B2398" s="9">
        <f>IF($B2395="","",'Daily Sale entry '!D173)</f>
        <v/>
      </c>
      <c r="D2398" s="1" t="inlineStr">
        <is>
          <t>Cheque Collection 支票收款</t>
        </is>
      </c>
      <c r="E2398" s="9">
        <f>IF($B2395="","",'Daily Sale entry '!J173)</f>
        <v/>
      </c>
      <c r="H2398" s="1" t="inlineStr">
        <is>
          <t>Other Charges 其他费用</t>
        </is>
      </c>
      <c r="I2398" s="9">
        <f>IF($B2395="","",B2398)</f>
        <v/>
      </c>
      <c r="K2398" s="1" t="inlineStr">
        <is>
          <t>Cheque Collection 支票收款</t>
        </is>
      </c>
      <c r="L2398" s="9">
        <f>IF($B2395="","",E2398)</f>
        <v/>
      </c>
    </row>
    <row r="2399">
      <c r="A2399" s="10" t="inlineStr">
        <is>
          <t>Amount 金额  (Cash Sales - Misc - Other)</t>
        </is>
      </c>
      <c r="B2399" s="11">
        <f>IF($B2395="","",ROUND(B2396-B2397-B2398,2))</f>
        <v/>
      </c>
      <c r="D2399" s="12" t="inlineStr">
        <is>
          <t>TNG collection TNG收款</t>
        </is>
      </c>
      <c r="E2399" s="13">
        <f>IF($B2395="","",'Daily Sale entry '!K173)</f>
        <v/>
      </c>
      <c r="H2399" s="10" t="inlineStr">
        <is>
          <t>Amount 金额  (Cash Sales - Misc - Other)</t>
        </is>
      </c>
      <c r="I2399" s="11">
        <f>IF($B2395="","",ROUND(I2396-I2397-I2398,2))</f>
        <v/>
      </c>
      <c r="K2399" s="12" t="inlineStr">
        <is>
          <t>TNG collection TNG收款</t>
        </is>
      </c>
      <c r="L2399" s="13">
        <f>IF($B2395="","",E2399)</f>
        <v/>
      </c>
    </row>
    <row r="2400">
      <c r="A2400" t="inlineStr">
        <is>
          <t>Credit Collection 赊账收款</t>
        </is>
      </c>
      <c r="B2400" s="6">
        <f>IF($B2395="","",'Daily Sale entry '!E173)</f>
        <v/>
      </c>
      <c r="D2400" t="inlineStr">
        <is>
          <t>Advance Salary_M 预支薪水_M</t>
        </is>
      </c>
      <c r="E2400" s="6">
        <f>IF($B2395="","",'Daily Sale entry '!L173)</f>
        <v/>
      </c>
      <c r="H2400" t="inlineStr">
        <is>
          <t>Credit Collection 赊账收款</t>
        </is>
      </c>
      <c r="I2400" s="6">
        <f>IF($B2395="","",B2400)</f>
        <v/>
      </c>
      <c r="K2400" t="inlineStr">
        <is>
          <t>Advance Salary_M 预支薪水_M</t>
        </is>
      </c>
      <c r="L2400" s="6">
        <f>IF($B2395="","",E2400)</f>
        <v/>
      </c>
    </row>
    <row r="2401">
      <c r="A2401" s="10" t="inlineStr">
        <is>
          <t>Amount 2 金额2  (Amount + Credit Collection)</t>
        </is>
      </c>
      <c r="B2401" s="11">
        <f>IF($B2395="","",ROUND(B2399+B2400,2))</f>
        <v/>
      </c>
      <c r="D2401" t="inlineStr">
        <is>
          <t>Advance Salary_H 预支薪水_H</t>
        </is>
      </c>
      <c r="E2401" s="6">
        <f>IF($B2395="","",'Daily Sale entry '!M173)</f>
        <v/>
      </c>
      <c r="H2401" s="10" t="inlineStr">
        <is>
          <t>Amount 2 金额2  (Amount + Credit Collection)</t>
        </is>
      </c>
      <c r="I2401" s="11">
        <f>IF($B2395="","",ROUND(I2399+I2400,2))</f>
        <v/>
      </c>
      <c r="K2401" t="inlineStr">
        <is>
          <t>Advance Salary_H 预支薪水_H</t>
        </is>
      </c>
      <c r="L2401" s="6">
        <f>IF($B2395="","",E2401)</f>
        <v/>
      </c>
    </row>
    <row r="2402"/>
    <row r="2403">
      <c r="A2403" s="1" t="inlineStr">
        <is>
          <t>b/f petty cash 上日备用金结转</t>
        </is>
      </c>
      <c r="B2403" s="9">
        <f>IF($B2395="","",'Daily Sale entry '!F173)</f>
        <v/>
      </c>
      <c r="D2403" s="1" t="n"/>
      <c r="E2403" s="1" t="n"/>
      <c r="H2403" s="1" t="inlineStr">
        <is>
          <t>b/f petty cash 上日备用金结转</t>
        </is>
      </c>
      <c r="I2403" s="9">
        <f>IF($B2395="","",B2403)</f>
        <v/>
      </c>
      <c r="K2403" s="1" t="n"/>
      <c r="L2403" s="1" t="n"/>
    </row>
    <row r="2404">
      <c r="A2404" t="inlineStr">
        <is>
          <t>Total (A) 总计 (A)</t>
        </is>
      </c>
      <c r="B2404" s="6">
        <f>IF($B2395="","",ROUND(B2401+B2403,2))</f>
        <v/>
      </c>
      <c r="D2404" t="inlineStr">
        <is>
          <t>Total(B) 总计 (B)</t>
        </is>
      </c>
      <c r="E2404" s="6">
        <f>IF($B2395="","",ROUND(E2396+E2397+E2398+E2399+E2400+E2401,2))</f>
        <v/>
      </c>
      <c r="H2404" t="inlineStr">
        <is>
          <t>Total© 总计 (C)</t>
        </is>
      </c>
      <c r="I2404" s="6">
        <f>IF($B2395="","",ROUND(I2401+I2403,2))</f>
        <v/>
      </c>
      <c r="K2404" t="inlineStr">
        <is>
          <t>Total(D) 总计 (D)</t>
        </is>
      </c>
      <c r="L2404" s="6">
        <f>IF($B2395="","",ROUND(L2396+L2397+L2398+L2399+L2400+L2401,2))</f>
        <v/>
      </c>
    </row>
    <row r="2405">
      <c r="A2405" s="14" t="inlineStr">
        <is>
          <t>Total = Amount 2 + b/f petty cash  (金额2 + 上日备用金)</t>
        </is>
      </c>
      <c r="H2405" s="14" t="inlineStr">
        <is>
          <t>Total = Amount 2 + b/f petty cash  (金额2 + 上日备用金)</t>
        </is>
      </c>
    </row>
    <row r="2406">
      <c r="A2406" t="inlineStr">
        <is>
          <t>Different 差额</t>
        </is>
      </c>
      <c r="B2406" s="6">
        <f>IF($B2395="","",ROUND(B2404-E2404,2))</f>
        <v/>
      </c>
      <c r="D2406">
        <f>IF($B2395="","",IF(ABS(B2406)&gt;'Opening Balance'!$B$16,"ALERT 警报: Different over RM"&amp;'Opening Balance'!$B$16&amp;" 差额超过RM"&amp;'Opening Balance'!$B$16&amp;" - please check 请检查",IF(B2406=0,"Tied 平衡",IF(ABS(B2406)&lt;='Opening Balance'!$B$13,"Small difference 小额差额: adjusted on c/f petty cash 已调整备用金",IF(B2406&gt;0,"Short 短收: added to Misc Charges 已加入杂项费用","Over 多收: added to Cash Sales 已加入现金销售")))))</f>
        <v/>
      </c>
      <c r="H2406" t="inlineStr">
        <is>
          <t>Different 差额</t>
        </is>
      </c>
      <c r="I2406" s="6">
        <f>IF($B2395="","",ROUND(I2404-L2404,2))</f>
        <v/>
      </c>
    </row>
    <row r="2407"/>
    <row r="2408"/>
    <row r="2409">
      <c r="A2409" t="inlineStr">
        <is>
          <t>Date 日期</t>
        </is>
      </c>
      <c r="B2409" s="5">
        <f>IF('Daily Sale entry '!$A174="","",'Daily Sale entry '!$A174)</f>
        <v/>
      </c>
      <c r="H2409" t="inlineStr">
        <is>
          <t>After 调整后 (After)</t>
        </is>
      </c>
      <c r="I2409" s="5">
        <f>IF($B2409="","",B2409)</f>
        <v/>
      </c>
    </row>
    <row r="2410">
      <c r="A2410" t="inlineStr">
        <is>
          <t>Cash Sales 现金销售</t>
        </is>
      </c>
      <c r="B2410" s="6">
        <f>IF($B2409="","",'Daily Sale entry '!B174)</f>
        <v/>
      </c>
      <c r="D2410" t="inlineStr">
        <is>
          <t>c/f petty cash 今日备用金结转</t>
        </is>
      </c>
      <c r="E2410" s="6">
        <f>IF($B2409="","",'Daily Sale entry '!G174)</f>
        <v/>
      </c>
      <c r="H2410" t="inlineStr">
        <is>
          <t>Cash Sales 现金销售</t>
        </is>
      </c>
      <c r="I2410" s="6">
        <f>IF($B2409="","",IF(AND(ABS(B2420)&gt;'Opening Balance'!$B$13,B2420&lt;0),ROUND(B2410-B2420,2),B2410))</f>
        <v/>
      </c>
      <c r="K2410" t="inlineStr">
        <is>
          <t>c/f petty cash 今日备用金结转</t>
        </is>
      </c>
      <c r="L2410" s="6">
        <f>IF($B2409="","",IF(ABS(B2420)&lt;='Opening Balance'!$B$13,ROUND(E2410+B2420,2),E2410))</f>
        <v/>
      </c>
    </row>
    <row r="2411">
      <c r="A2411" t="inlineStr">
        <is>
          <t>Misc Charges 杂项费用</t>
        </is>
      </c>
      <c r="B2411" s="6">
        <f>IF($B2409="","",'Daily Sale entry '!C174)</f>
        <v/>
      </c>
      <c r="D2411" t="inlineStr">
        <is>
          <t>cash collection 现金收款</t>
        </is>
      </c>
      <c r="E2411" s="6">
        <f>IF($B2409="","",'Daily Sale entry '!H174)</f>
        <v/>
      </c>
      <c r="H2411" t="inlineStr">
        <is>
          <t>Misc Charges 杂项费用</t>
        </is>
      </c>
      <c r="I2411" s="6">
        <f>IF($B2409="","",IF(AND(ABS(B2420)&gt;'Opening Balance'!$B$13,B2420&gt;0),ROUND(B2411+B2420,2),B2411))</f>
        <v/>
      </c>
      <c r="K2411" t="inlineStr">
        <is>
          <t>cash collection 现金收款</t>
        </is>
      </c>
      <c r="L2411" s="6">
        <f>IF($B2409="","",E2411)</f>
        <v/>
      </c>
    </row>
    <row r="2412">
      <c r="A2412" s="1" t="inlineStr">
        <is>
          <t>Other Charges 其他费用</t>
        </is>
      </c>
      <c r="B2412" s="9">
        <f>IF($B2409="","",'Daily Sale entry '!D174)</f>
        <v/>
      </c>
      <c r="D2412" s="1" t="inlineStr">
        <is>
          <t>Cheque Collection 支票收款</t>
        </is>
      </c>
      <c r="E2412" s="9">
        <f>IF($B2409="","",'Daily Sale entry '!J174)</f>
        <v/>
      </c>
      <c r="H2412" s="1" t="inlineStr">
        <is>
          <t>Other Charges 其他费用</t>
        </is>
      </c>
      <c r="I2412" s="9">
        <f>IF($B2409="","",B2412)</f>
        <v/>
      </c>
      <c r="K2412" s="1" t="inlineStr">
        <is>
          <t>Cheque Collection 支票收款</t>
        </is>
      </c>
      <c r="L2412" s="9">
        <f>IF($B2409="","",E2412)</f>
        <v/>
      </c>
    </row>
    <row r="2413">
      <c r="A2413" s="10" t="inlineStr">
        <is>
          <t>Amount 金额  (Cash Sales - Misc - Other)</t>
        </is>
      </c>
      <c r="B2413" s="11">
        <f>IF($B2409="","",ROUND(B2410-B2411-B2412,2))</f>
        <v/>
      </c>
      <c r="D2413" s="12" t="inlineStr">
        <is>
          <t>TNG collection TNG收款</t>
        </is>
      </c>
      <c r="E2413" s="13">
        <f>IF($B2409="","",'Daily Sale entry '!K174)</f>
        <v/>
      </c>
      <c r="H2413" s="10" t="inlineStr">
        <is>
          <t>Amount 金额  (Cash Sales - Misc - Other)</t>
        </is>
      </c>
      <c r="I2413" s="11">
        <f>IF($B2409="","",ROUND(I2410-I2411-I2412,2))</f>
        <v/>
      </c>
      <c r="K2413" s="12" t="inlineStr">
        <is>
          <t>TNG collection TNG收款</t>
        </is>
      </c>
      <c r="L2413" s="13">
        <f>IF($B2409="","",E2413)</f>
        <v/>
      </c>
    </row>
    <row r="2414">
      <c r="A2414" t="inlineStr">
        <is>
          <t>Credit Collection 赊账收款</t>
        </is>
      </c>
      <c r="B2414" s="6">
        <f>IF($B2409="","",'Daily Sale entry '!E174)</f>
        <v/>
      </c>
      <c r="D2414" t="inlineStr">
        <is>
          <t>Advance Salary_M 预支薪水_M</t>
        </is>
      </c>
      <c r="E2414" s="6">
        <f>IF($B2409="","",'Daily Sale entry '!L174)</f>
        <v/>
      </c>
      <c r="H2414" t="inlineStr">
        <is>
          <t>Credit Collection 赊账收款</t>
        </is>
      </c>
      <c r="I2414" s="6">
        <f>IF($B2409="","",B2414)</f>
        <v/>
      </c>
      <c r="K2414" t="inlineStr">
        <is>
          <t>Advance Salary_M 预支薪水_M</t>
        </is>
      </c>
      <c r="L2414" s="6">
        <f>IF($B2409="","",E2414)</f>
        <v/>
      </c>
    </row>
    <row r="2415">
      <c r="A2415" s="10" t="inlineStr">
        <is>
          <t>Amount 2 金额2  (Amount + Credit Collection)</t>
        </is>
      </c>
      <c r="B2415" s="11">
        <f>IF($B2409="","",ROUND(B2413+B2414,2))</f>
        <v/>
      </c>
      <c r="D2415" t="inlineStr">
        <is>
          <t>Advance Salary_H 预支薪水_H</t>
        </is>
      </c>
      <c r="E2415" s="6">
        <f>IF($B2409="","",'Daily Sale entry '!M174)</f>
        <v/>
      </c>
      <c r="H2415" s="10" t="inlineStr">
        <is>
          <t>Amount 2 金额2  (Amount + Credit Collection)</t>
        </is>
      </c>
      <c r="I2415" s="11">
        <f>IF($B2409="","",ROUND(I2413+I2414,2))</f>
        <v/>
      </c>
      <c r="K2415" t="inlineStr">
        <is>
          <t>Advance Salary_H 预支薪水_H</t>
        </is>
      </c>
      <c r="L2415" s="6">
        <f>IF($B2409="","",E2415)</f>
        <v/>
      </c>
    </row>
    <row r="2416"/>
    <row r="2417">
      <c r="A2417" s="1" t="inlineStr">
        <is>
          <t>b/f petty cash 上日备用金结转</t>
        </is>
      </c>
      <c r="B2417" s="9">
        <f>IF($B2409="","",'Daily Sale entry '!F174)</f>
        <v/>
      </c>
      <c r="D2417" s="1" t="n"/>
      <c r="E2417" s="1" t="n"/>
      <c r="H2417" s="1" t="inlineStr">
        <is>
          <t>b/f petty cash 上日备用金结转</t>
        </is>
      </c>
      <c r="I2417" s="9">
        <f>IF($B2409="","",B2417)</f>
        <v/>
      </c>
      <c r="K2417" s="1" t="n"/>
      <c r="L2417" s="1" t="n"/>
    </row>
    <row r="2418">
      <c r="A2418" t="inlineStr">
        <is>
          <t>Total (A) 总计 (A)</t>
        </is>
      </c>
      <c r="B2418" s="6">
        <f>IF($B2409="","",ROUND(B2415+B2417,2))</f>
        <v/>
      </c>
      <c r="D2418" t="inlineStr">
        <is>
          <t>Total(B) 总计 (B)</t>
        </is>
      </c>
      <c r="E2418" s="6">
        <f>IF($B2409="","",ROUND(E2410+E2411+E2412+E2413+E2414+E2415,2))</f>
        <v/>
      </c>
      <c r="H2418" t="inlineStr">
        <is>
          <t>Total© 总计 (C)</t>
        </is>
      </c>
      <c r="I2418" s="6">
        <f>IF($B2409="","",ROUND(I2415+I2417,2))</f>
        <v/>
      </c>
      <c r="K2418" t="inlineStr">
        <is>
          <t>Total(D) 总计 (D)</t>
        </is>
      </c>
      <c r="L2418" s="6">
        <f>IF($B2409="","",ROUND(L2410+L2411+L2412+L2413+L2414+L2415,2))</f>
        <v/>
      </c>
    </row>
    <row r="2419">
      <c r="A2419" s="14" t="inlineStr">
        <is>
          <t>Total = Amount 2 + b/f petty cash  (金额2 + 上日备用金)</t>
        </is>
      </c>
      <c r="H2419" s="14" t="inlineStr">
        <is>
          <t>Total = Amount 2 + b/f petty cash  (金额2 + 上日备用金)</t>
        </is>
      </c>
    </row>
    <row r="2420">
      <c r="A2420" t="inlineStr">
        <is>
          <t>Different 差额</t>
        </is>
      </c>
      <c r="B2420" s="6">
        <f>IF($B2409="","",ROUND(B2418-E2418,2))</f>
        <v/>
      </c>
      <c r="D2420">
        <f>IF($B2409="","",IF(ABS(B2420)&gt;'Opening Balance'!$B$16,"ALERT 警报: Different over RM"&amp;'Opening Balance'!$B$16&amp;" 差额超过RM"&amp;'Opening Balance'!$B$16&amp;" - please check 请检查",IF(B2420=0,"Tied 平衡",IF(ABS(B2420)&lt;='Opening Balance'!$B$13,"Small difference 小额差额: adjusted on c/f petty cash 已调整备用金",IF(B2420&gt;0,"Short 短收: added to Misc Charges 已加入杂项费用","Over 多收: added to Cash Sales 已加入现金销售")))))</f>
        <v/>
      </c>
      <c r="H2420" t="inlineStr">
        <is>
          <t>Different 差额</t>
        </is>
      </c>
      <c r="I2420" s="6">
        <f>IF($B2409="","",ROUND(I2418-L2418,2))</f>
        <v/>
      </c>
    </row>
    <row r="2421"/>
    <row r="2422"/>
    <row r="2423">
      <c r="A2423" t="inlineStr">
        <is>
          <t>Date 日期</t>
        </is>
      </c>
      <c r="B2423" s="5">
        <f>IF('Daily Sale entry '!$A175="","",'Daily Sale entry '!$A175)</f>
        <v/>
      </c>
      <c r="H2423" t="inlineStr">
        <is>
          <t>After 调整后 (After)</t>
        </is>
      </c>
      <c r="I2423" s="5">
        <f>IF($B2423="","",B2423)</f>
        <v/>
      </c>
    </row>
    <row r="2424">
      <c r="A2424" t="inlineStr">
        <is>
          <t>Cash Sales 现金销售</t>
        </is>
      </c>
      <c r="B2424" s="6">
        <f>IF($B2423="","",'Daily Sale entry '!B175)</f>
        <v/>
      </c>
      <c r="D2424" t="inlineStr">
        <is>
          <t>c/f petty cash 今日备用金结转</t>
        </is>
      </c>
      <c r="E2424" s="6">
        <f>IF($B2423="","",'Daily Sale entry '!G175)</f>
        <v/>
      </c>
      <c r="H2424" t="inlineStr">
        <is>
          <t>Cash Sales 现金销售</t>
        </is>
      </c>
      <c r="I2424" s="6">
        <f>IF($B2423="","",IF(AND(ABS(B2434)&gt;'Opening Balance'!$B$13,B2434&lt;0),ROUND(B2424-B2434,2),B2424))</f>
        <v/>
      </c>
      <c r="K2424" t="inlineStr">
        <is>
          <t>c/f petty cash 今日备用金结转</t>
        </is>
      </c>
      <c r="L2424" s="6">
        <f>IF($B2423="","",IF(ABS(B2434)&lt;='Opening Balance'!$B$13,ROUND(E2424+B2434,2),E2424))</f>
        <v/>
      </c>
    </row>
    <row r="2425">
      <c r="A2425" t="inlineStr">
        <is>
          <t>Misc Charges 杂项费用</t>
        </is>
      </c>
      <c r="B2425" s="6">
        <f>IF($B2423="","",'Daily Sale entry '!C175)</f>
        <v/>
      </c>
      <c r="D2425" t="inlineStr">
        <is>
          <t>cash collection 现金收款</t>
        </is>
      </c>
      <c r="E2425" s="6">
        <f>IF($B2423="","",'Daily Sale entry '!H175)</f>
        <v/>
      </c>
      <c r="H2425" t="inlineStr">
        <is>
          <t>Misc Charges 杂项费用</t>
        </is>
      </c>
      <c r="I2425" s="6">
        <f>IF($B2423="","",IF(AND(ABS(B2434)&gt;'Opening Balance'!$B$13,B2434&gt;0),ROUND(B2425+B2434,2),B2425))</f>
        <v/>
      </c>
      <c r="K2425" t="inlineStr">
        <is>
          <t>cash collection 现金收款</t>
        </is>
      </c>
      <c r="L2425" s="6">
        <f>IF($B2423="","",E2425)</f>
        <v/>
      </c>
    </row>
    <row r="2426">
      <c r="A2426" s="1" t="inlineStr">
        <is>
          <t>Other Charges 其他费用</t>
        </is>
      </c>
      <c r="B2426" s="9">
        <f>IF($B2423="","",'Daily Sale entry '!D175)</f>
        <v/>
      </c>
      <c r="D2426" s="1" t="inlineStr">
        <is>
          <t>Cheque Collection 支票收款</t>
        </is>
      </c>
      <c r="E2426" s="9">
        <f>IF($B2423="","",'Daily Sale entry '!J175)</f>
        <v/>
      </c>
      <c r="H2426" s="1" t="inlineStr">
        <is>
          <t>Other Charges 其他费用</t>
        </is>
      </c>
      <c r="I2426" s="9">
        <f>IF($B2423="","",B2426)</f>
        <v/>
      </c>
      <c r="K2426" s="1" t="inlineStr">
        <is>
          <t>Cheque Collection 支票收款</t>
        </is>
      </c>
      <c r="L2426" s="9">
        <f>IF($B2423="","",E2426)</f>
        <v/>
      </c>
    </row>
    <row r="2427">
      <c r="A2427" s="10" t="inlineStr">
        <is>
          <t>Amount 金额  (Cash Sales - Misc - Other)</t>
        </is>
      </c>
      <c r="B2427" s="11">
        <f>IF($B2423="","",ROUND(B2424-B2425-B2426,2))</f>
        <v/>
      </c>
      <c r="D2427" s="12" t="inlineStr">
        <is>
          <t>TNG collection TNG收款</t>
        </is>
      </c>
      <c r="E2427" s="13">
        <f>IF($B2423="","",'Daily Sale entry '!K175)</f>
        <v/>
      </c>
      <c r="H2427" s="10" t="inlineStr">
        <is>
          <t>Amount 金额  (Cash Sales - Misc - Other)</t>
        </is>
      </c>
      <c r="I2427" s="11">
        <f>IF($B2423="","",ROUND(I2424-I2425-I2426,2))</f>
        <v/>
      </c>
      <c r="K2427" s="12" t="inlineStr">
        <is>
          <t>TNG collection TNG收款</t>
        </is>
      </c>
      <c r="L2427" s="13">
        <f>IF($B2423="","",E2427)</f>
        <v/>
      </c>
    </row>
    <row r="2428">
      <c r="A2428" t="inlineStr">
        <is>
          <t>Credit Collection 赊账收款</t>
        </is>
      </c>
      <c r="B2428" s="6">
        <f>IF($B2423="","",'Daily Sale entry '!E175)</f>
        <v/>
      </c>
      <c r="D2428" t="inlineStr">
        <is>
          <t>Advance Salary_M 预支薪水_M</t>
        </is>
      </c>
      <c r="E2428" s="6">
        <f>IF($B2423="","",'Daily Sale entry '!L175)</f>
        <v/>
      </c>
      <c r="H2428" t="inlineStr">
        <is>
          <t>Credit Collection 赊账收款</t>
        </is>
      </c>
      <c r="I2428" s="6">
        <f>IF($B2423="","",B2428)</f>
        <v/>
      </c>
      <c r="K2428" t="inlineStr">
        <is>
          <t>Advance Salary_M 预支薪水_M</t>
        </is>
      </c>
      <c r="L2428" s="6">
        <f>IF($B2423="","",E2428)</f>
        <v/>
      </c>
    </row>
    <row r="2429">
      <c r="A2429" s="10" t="inlineStr">
        <is>
          <t>Amount 2 金额2  (Amount + Credit Collection)</t>
        </is>
      </c>
      <c r="B2429" s="11">
        <f>IF($B2423="","",ROUND(B2427+B2428,2))</f>
        <v/>
      </c>
      <c r="D2429" t="inlineStr">
        <is>
          <t>Advance Salary_H 预支薪水_H</t>
        </is>
      </c>
      <c r="E2429" s="6">
        <f>IF($B2423="","",'Daily Sale entry '!M175)</f>
        <v/>
      </c>
      <c r="H2429" s="10" t="inlineStr">
        <is>
          <t>Amount 2 金额2  (Amount + Credit Collection)</t>
        </is>
      </c>
      <c r="I2429" s="11">
        <f>IF($B2423="","",ROUND(I2427+I2428,2))</f>
        <v/>
      </c>
      <c r="K2429" t="inlineStr">
        <is>
          <t>Advance Salary_H 预支薪水_H</t>
        </is>
      </c>
      <c r="L2429" s="6">
        <f>IF($B2423="","",E2429)</f>
        <v/>
      </c>
    </row>
    <row r="2430"/>
    <row r="2431">
      <c r="A2431" s="1" t="inlineStr">
        <is>
          <t>b/f petty cash 上日备用金结转</t>
        </is>
      </c>
      <c r="B2431" s="9">
        <f>IF($B2423="","",'Daily Sale entry '!F175)</f>
        <v/>
      </c>
      <c r="D2431" s="1" t="n"/>
      <c r="E2431" s="1" t="n"/>
      <c r="H2431" s="1" t="inlineStr">
        <is>
          <t>b/f petty cash 上日备用金结转</t>
        </is>
      </c>
      <c r="I2431" s="9">
        <f>IF($B2423="","",B2431)</f>
        <v/>
      </c>
      <c r="K2431" s="1" t="n"/>
      <c r="L2431" s="1" t="n"/>
    </row>
    <row r="2432">
      <c r="A2432" t="inlineStr">
        <is>
          <t>Total (A) 总计 (A)</t>
        </is>
      </c>
      <c r="B2432" s="6">
        <f>IF($B2423="","",ROUND(B2429+B2431,2))</f>
        <v/>
      </c>
      <c r="D2432" t="inlineStr">
        <is>
          <t>Total(B) 总计 (B)</t>
        </is>
      </c>
      <c r="E2432" s="6">
        <f>IF($B2423="","",ROUND(E2424+E2425+E2426+E2427+E2428+E2429,2))</f>
        <v/>
      </c>
      <c r="H2432" t="inlineStr">
        <is>
          <t>Total© 总计 (C)</t>
        </is>
      </c>
      <c r="I2432" s="6">
        <f>IF($B2423="","",ROUND(I2429+I2431,2))</f>
        <v/>
      </c>
      <c r="K2432" t="inlineStr">
        <is>
          <t>Total(D) 总计 (D)</t>
        </is>
      </c>
      <c r="L2432" s="6">
        <f>IF($B2423="","",ROUND(L2424+L2425+L2426+L2427+L2428+L2429,2))</f>
        <v/>
      </c>
    </row>
    <row r="2433">
      <c r="A2433" s="14" t="inlineStr">
        <is>
          <t>Total = Amount 2 + b/f petty cash  (金额2 + 上日备用金)</t>
        </is>
      </c>
      <c r="H2433" s="14" t="inlineStr">
        <is>
          <t>Total = Amount 2 + b/f petty cash  (金额2 + 上日备用金)</t>
        </is>
      </c>
    </row>
    <row r="2434">
      <c r="A2434" t="inlineStr">
        <is>
          <t>Different 差额</t>
        </is>
      </c>
      <c r="B2434" s="6">
        <f>IF($B2423="","",ROUND(B2432-E2432,2))</f>
        <v/>
      </c>
      <c r="D2434">
        <f>IF($B2423="","",IF(ABS(B2434)&gt;'Opening Balance'!$B$16,"ALERT 警报: Different over RM"&amp;'Opening Balance'!$B$16&amp;" 差额超过RM"&amp;'Opening Balance'!$B$16&amp;" - please check 请检查",IF(B2434=0,"Tied 平衡",IF(ABS(B2434)&lt;='Opening Balance'!$B$13,"Small difference 小额差额: adjusted on c/f petty cash 已调整备用金",IF(B2434&gt;0,"Short 短收: added to Misc Charges 已加入杂项费用","Over 多收: added to Cash Sales 已加入现金销售")))))</f>
        <v/>
      </c>
      <c r="H2434" t="inlineStr">
        <is>
          <t>Different 差额</t>
        </is>
      </c>
      <c r="I2434" s="6">
        <f>IF($B2423="","",ROUND(I2432-L2432,2))</f>
        <v/>
      </c>
    </row>
    <row r="2435"/>
    <row r="2436"/>
    <row r="2437">
      <c r="A2437" t="inlineStr">
        <is>
          <t>Date 日期</t>
        </is>
      </c>
      <c r="B2437" s="5">
        <f>IF('Daily Sale entry '!$A176="","",'Daily Sale entry '!$A176)</f>
        <v/>
      </c>
      <c r="H2437" t="inlineStr">
        <is>
          <t>After 调整后 (After)</t>
        </is>
      </c>
      <c r="I2437" s="5">
        <f>IF($B2437="","",B2437)</f>
        <v/>
      </c>
    </row>
    <row r="2438">
      <c r="A2438" t="inlineStr">
        <is>
          <t>Cash Sales 现金销售</t>
        </is>
      </c>
      <c r="B2438" s="6">
        <f>IF($B2437="","",'Daily Sale entry '!B176)</f>
        <v/>
      </c>
      <c r="D2438" t="inlineStr">
        <is>
          <t>c/f petty cash 今日备用金结转</t>
        </is>
      </c>
      <c r="E2438" s="6">
        <f>IF($B2437="","",'Daily Sale entry '!G176)</f>
        <v/>
      </c>
      <c r="H2438" t="inlineStr">
        <is>
          <t>Cash Sales 现金销售</t>
        </is>
      </c>
      <c r="I2438" s="6">
        <f>IF($B2437="","",IF(AND(ABS(B2448)&gt;'Opening Balance'!$B$13,B2448&lt;0),ROUND(B2438-B2448,2),B2438))</f>
        <v/>
      </c>
      <c r="K2438" t="inlineStr">
        <is>
          <t>c/f petty cash 今日备用金结转</t>
        </is>
      </c>
      <c r="L2438" s="6">
        <f>IF($B2437="","",IF(ABS(B2448)&lt;='Opening Balance'!$B$13,ROUND(E2438+B2448,2),E2438))</f>
        <v/>
      </c>
    </row>
    <row r="2439">
      <c r="A2439" t="inlineStr">
        <is>
          <t>Misc Charges 杂项费用</t>
        </is>
      </c>
      <c r="B2439" s="6">
        <f>IF($B2437="","",'Daily Sale entry '!C176)</f>
        <v/>
      </c>
      <c r="D2439" t="inlineStr">
        <is>
          <t>cash collection 现金收款</t>
        </is>
      </c>
      <c r="E2439" s="6">
        <f>IF($B2437="","",'Daily Sale entry '!H176)</f>
        <v/>
      </c>
      <c r="H2439" t="inlineStr">
        <is>
          <t>Misc Charges 杂项费用</t>
        </is>
      </c>
      <c r="I2439" s="6">
        <f>IF($B2437="","",IF(AND(ABS(B2448)&gt;'Opening Balance'!$B$13,B2448&gt;0),ROUND(B2439+B2448,2),B2439))</f>
        <v/>
      </c>
      <c r="K2439" t="inlineStr">
        <is>
          <t>cash collection 现金收款</t>
        </is>
      </c>
      <c r="L2439" s="6">
        <f>IF($B2437="","",E2439)</f>
        <v/>
      </c>
    </row>
    <row r="2440">
      <c r="A2440" s="1" t="inlineStr">
        <is>
          <t>Other Charges 其他费用</t>
        </is>
      </c>
      <c r="B2440" s="9">
        <f>IF($B2437="","",'Daily Sale entry '!D176)</f>
        <v/>
      </c>
      <c r="D2440" s="1" t="inlineStr">
        <is>
          <t>Cheque Collection 支票收款</t>
        </is>
      </c>
      <c r="E2440" s="9">
        <f>IF($B2437="","",'Daily Sale entry '!J176)</f>
        <v/>
      </c>
      <c r="H2440" s="1" t="inlineStr">
        <is>
          <t>Other Charges 其他费用</t>
        </is>
      </c>
      <c r="I2440" s="9">
        <f>IF($B2437="","",B2440)</f>
        <v/>
      </c>
      <c r="K2440" s="1" t="inlineStr">
        <is>
          <t>Cheque Collection 支票收款</t>
        </is>
      </c>
      <c r="L2440" s="9">
        <f>IF($B2437="","",E2440)</f>
        <v/>
      </c>
    </row>
    <row r="2441">
      <c r="A2441" s="10" t="inlineStr">
        <is>
          <t>Amount 金额  (Cash Sales - Misc - Other)</t>
        </is>
      </c>
      <c r="B2441" s="11">
        <f>IF($B2437="","",ROUND(B2438-B2439-B2440,2))</f>
        <v/>
      </c>
      <c r="D2441" s="12" t="inlineStr">
        <is>
          <t>TNG collection TNG收款</t>
        </is>
      </c>
      <c r="E2441" s="13">
        <f>IF($B2437="","",'Daily Sale entry '!K176)</f>
        <v/>
      </c>
      <c r="H2441" s="10" t="inlineStr">
        <is>
          <t>Amount 金额  (Cash Sales - Misc - Other)</t>
        </is>
      </c>
      <c r="I2441" s="11">
        <f>IF($B2437="","",ROUND(I2438-I2439-I2440,2))</f>
        <v/>
      </c>
      <c r="K2441" s="12" t="inlineStr">
        <is>
          <t>TNG collection TNG收款</t>
        </is>
      </c>
      <c r="L2441" s="13">
        <f>IF($B2437="","",E2441)</f>
        <v/>
      </c>
    </row>
    <row r="2442">
      <c r="A2442" t="inlineStr">
        <is>
          <t>Credit Collection 赊账收款</t>
        </is>
      </c>
      <c r="B2442" s="6">
        <f>IF($B2437="","",'Daily Sale entry '!E176)</f>
        <v/>
      </c>
      <c r="D2442" t="inlineStr">
        <is>
          <t>Advance Salary_M 预支薪水_M</t>
        </is>
      </c>
      <c r="E2442" s="6">
        <f>IF($B2437="","",'Daily Sale entry '!L176)</f>
        <v/>
      </c>
      <c r="H2442" t="inlineStr">
        <is>
          <t>Credit Collection 赊账收款</t>
        </is>
      </c>
      <c r="I2442" s="6">
        <f>IF($B2437="","",B2442)</f>
        <v/>
      </c>
      <c r="K2442" t="inlineStr">
        <is>
          <t>Advance Salary_M 预支薪水_M</t>
        </is>
      </c>
      <c r="L2442" s="6">
        <f>IF($B2437="","",E2442)</f>
        <v/>
      </c>
    </row>
    <row r="2443">
      <c r="A2443" s="10" t="inlineStr">
        <is>
          <t>Amount 2 金额2  (Amount + Credit Collection)</t>
        </is>
      </c>
      <c r="B2443" s="11">
        <f>IF($B2437="","",ROUND(B2441+B2442,2))</f>
        <v/>
      </c>
      <c r="D2443" t="inlineStr">
        <is>
          <t>Advance Salary_H 预支薪水_H</t>
        </is>
      </c>
      <c r="E2443" s="6">
        <f>IF($B2437="","",'Daily Sale entry '!M176)</f>
        <v/>
      </c>
      <c r="H2443" s="10" t="inlineStr">
        <is>
          <t>Amount 2 金额2  (Amount + Credit Collection)</t>
        </is>
      </c>
      <c r="I2443" s="11">
        <f>IF($B2437="","",ROUND(I2441+I2442,2))</f>
        <v/>
      </c>
      <c r="K2443" t="inlineStr">
        <is>
          <t>Advance Salary_H 预支薪水_H</t>
        </is>
      </c>
      <c r="L2443" s="6">
        <f>IF($B2437="","",E2443)</f>
        <v/>
      </c>
    </row>
    <row r="2444"/>
    <row r="2445">
      <c r="A2445" s="1" t="inlineStr">
        <is>
          <t>b/f petty cash 上日备用金结转</t>
        </is>
      </c>
      <c r="B2445" s="9">
        <f>IF($B2437="","",'Daily Sale entry '!F176)</f>
        <v/>
      </c>
      <c r="D2445" s="1" t="n"/>
      <c r="E2445" s="1" t="n"/>
      <c r="H2445" s="1" t="inlineStr">
        <is>
          <t>b/f petty cash 上日备用金结转</t>
        </is>
      </c>
      <c r="I2445" s="9">
        <f>IF($B2437="","",B2445)</f>
        <v/>
      </c>
      <c r="K2445" s="1" t="n"/>
      <c r="L2445" s="1" t="n"/>
    </row>
    <row r="2446">
      <c r="A2446" t="inlineStr">
        <is>
          <t>Total (A) 总计 (A)</t>
        </is>
      </c>
      <c r="B2446" s="6">
        <f>IF($B2437="","",ROUND(B2443+B2445,2))</f>
        <v/>
      </c>
      <c r="D2446" t="inlineStr">
        <is>
          <t>Total(B) 总计 (B)</t>
        </is>
      </c>
      <c r="E2446" s="6">
        <f>IF($B2437="","",ROUND(E2438+E2439+E2440+E2441+E2442+E2443,2))</f>
        <v/>
      </c>
      <c r="H2446" t="inlineStr">
        <is>
          <t>Total© 总计 (C)</t>
        </is>
      </c>
      <c r="I2446" s="6">
        <f>IF($B2437="","",ROUND(I2443+I2445,2))</f>
        <v/>
      </c>
      <c r="K2446" t="inlineStr">
        <is>
          <t>Total(D) 总计 (D)</t>
        </is>
      </c>
      <c r="L2446" s="6">
        <f>IF($B2437="","",ROUND(L2438+L2439+L2440+L2441+L2442+L2443,2))</f>
        <v/>
      </c>
    </row>
    <row r="2447">
      <c r="A2447" s="14" t="inlineStr">
        <is>
          <t>Total = Amount 2 + b/f petty cash  (金额2 + 上日备用金)</t>
        </is>
      </c>
      <c r="H2447" s="14" t="inlineStr">
        <is>
          <t>Total = Amount 2 + b/f petty cash  (金额2 + 上日备用金)</t>
        </is>
      </c>
    </row>
    <row r="2448">
      <c r="A2448" t="inlineStr">
        <is>
          <t>Different 差额</t>
        </is>
      </c>
      <c r="B2448" s="6">
        <f>IF($B2437="","",ROUND(B2446-E2446,2))</f>
        <v/>
      </c>
      <c r="D2448">
        <f>IF($B2437="","",IF(ABS(B2448)&gt;'Opening Balance'!$B$16,"ALERT 警报: Different over RM"&amp;'Opening Balance'!$B$16&amp;" 差额超过RM"&amp;'Opening Balance'!$B$16&amp;" - please check 请检查",IF(B2448=0,"Tied 平衡",IF(ABS(B2448)&lt;='Opening Balance'!$B$13,"Small difference 小额差额: adjusted on c/f petty cash 已调整备用金",IF(B2448&gt;0,"Short 短收: added to Misc Charges 已加入杂项费用","Over 多收: added to Cash Sales 已加入现金销售")))))</f>
        <v/>
      </c>
      <c r="H2448" t="inlineStr">
        <is>
          <t>Different 差额</t>
        </is>
      </c>
      <c r="I2448" s="6">
        <f>IF($B2437="","",ROUND(I2446-L2446,2))</f>
        <v/>
      </c>
    </row>
    <row r="2449"/>
    <row r="2450"/>
    <row r="2451">
      <c r="A2451" t="inlineStr">
        <is>
          <t>Date 日期</t>
        </is>
      </c>
      <c r="B2451" s="5">
        <f>IF('Daily Sale entry '!$A177="","",'Daily Sale entry '!$A177)</f>
        <v/>
      </c>
      <c r="H2451" t="inlineStr">
        <is>
          <t>After 调整后 (After)</t>
        </is>
      </c>
      <c r="I2451" s="5">
        <f>IF($B2451="","",B2451)</f>
        <v/>
      </c>
    </row>
    <row r="2452">
      <c r="A2452" t="inlineStr">
        <is>
          <t>Cash Sales 现金销售</t>
        </is>
      </c>
      <c r="B2452" s="6">
        <f>IF($B2451="","",'Daily Sale entry '!B177)</f>
        <v/>
      </c>
      <c r="D2452" t="inlineStr">
        <is>
          <t>c/f petty cash 今日备用金结转</t>
        </is>
      </c>
      <c r="E2452" s="6">
        <f>IF($B2451="","",'Daily Sale entry '!G177)</f>
        <v/>
      </c>
      <c r="H2452" t="inlineStr">
        <is>
          <t>Cash Sales 现金销售</t>
        </is>
      </c>
      <c r="I2452" s="6">
        <f>IF($B2451="","",IF(AND(ABS(B2462)&gt;'Opening Balance'!$B$13,B2462&lt;0),ROUND(B2452-B2462,2),B2452))</f>
        <v/>
      </c>
      <c r="K2452" t="inlineStr">
        <is>
          <t>c/f petty cash 今日备用金结转</t>
        </is>
      </c>
      <c r="L2452" s="6">
        <f>IF($B2451="","",IF(ABS(B2462)&lt;='Opening Balance'!$B$13,ROUND(E2452+B2462,2),E2452))</f>
        <v/>
      </c>
    </row>
    <row r="2453">
      <c r="A2453" t="inlineStr">
        <is>
          <t>Misc Charges 杂项费用</t>
        </is>
      </c>
      <c r="B2453" s="6">
        <f>IF($B2451="","",'Daily Sale entry '!C177)</f>
        <v/>
      </c>
      <c r="D2453" t="inlineStr">
        <is>
          <t>cash collection 现金收款</t>
        </is>
      </c>
      <c r="E2453" s="6">
        <f>IF($B2451="","",'Daily Sale entry '!H177)</f>
        <v/>
      </c>
      <c r="H2453" t="inlineStr">
        <is>
          <t>Misc Charges 杂项费用</t>
        </is>
      </c>
      <c r="I2453" s="6">
        <f>IF($B2451="","",IF(AND(ABS(B2462)&gt;'Opening Balance'!$B$13,B2462&gt;0),ROUND(B2453+B2462,2),B2453))</f>
        <v/>
      </c>
      <c r="K2453" t="inlineStr">
        <is>
          <t>cash collection 现金收款</t>
        </is>
      </c>
      <c r="L2453" s="6">
        <f>IF($B2451="","",E2453)</f>
        <v/>
      </c>
    </row>
    <row r="2454">
      <c r="A2454" s="1" t="inlineStr">
        <is>
          <t>Other Charges 其他费用</t>
        </is>
      </c>
      <c r="B2454" s="9">
        <f>IF($B2451="","",'Daily Sale entry '!D177)</f>
        <v/>
      </c>
      <c r="D2454" s="1" t="inlineStr">
        <is>
          <t>Cheque Collection 支票收款</t>
        </is>
      </c>
      <c r="E2454" s="9">
        <f>IF($B2451="","",'Daily Sale entry '!J177)</f>
        <v/>
      </c>
      <c r="H2454" s="1" t="inlineStr">
        <is>
          <t>Other Charges 其他费用</t>
        </is>
      </c>
      <c r="I2454" s="9">
        <f>IF($B2451="","",B2454)</f>
        <v/>
      </c>
      <c r="K2454" s="1" t="inlineStr">
        <is>
          <t>Cheque Collection 支票收款</t>
        </is>
      </c>
      <c r="L2454" s="9">
        <f>IF($B2451="","",E2454)</f>
        <v/>
      </c>
    </row>
    <row r="2455">
      <c r="A2455" s="10" t="inlineStr">
        <is>
          <t>Amount 金额  (Cash Sales - Misc - Other)</t>
        </is>
      </c>
      <c r="B2455" s="11">
        <f>IF($B2451="","",ROUND(B2452-B2453-B2454,2))</f>
        <v/>
      </c>
      <c r="D2455" s="12" t="inlineStr">
        <is>
          <t>TNG collection TNG收款</t>
        </is>
      </c>
      <c r="E2455" s="13">
        <f>IF($B2451="","",'Daily Sale entry '!K177)</f>
        <v/>
      </c>
      <c r="H2455" s="10" t="inlineStr">
        <is>
          <t>Amount 金额  (Cash Sales - Misc - Other)</t>
        </is>
      </c>
      <c r="I2455" s="11">
        <f>IF($B2451="","",ROUND(I2452-I2453-I2454,2))</f>
        <v/>
      </c>
      <c r="K2455" s="12" t="inlineStr">
        <is>
          <t>TNG collection TNG收款</t>
        </is>
      </c>
      <c r="L2455" s="13">
        <f>IF($B2451="","",E2455)</f>
        <v/>
      </c>
    </row>
    <row r="2456">
      <c r="A2456" t="inlineStr">
        <is>
          <t>Credit Collection 赊账收款</t>
        </is>
      </c>
      <c r="B2456" s="6">
        <f>IF($B2451="","",'Daily Sale entry '!E177)</f>
        <v/>
      </c>
      <c r="D2456" t="inlineStr">
        <is>
          <t>Advance Salary_M 预支薪水_M</t>
        </is>
      </c>
      <c r="E2456" s="6">
        <f>IF($B2451="","",'Daily Sale entry '!L177)</f>
        <v/>
      </c>
      <c r="H2456" t="inlineStr">
        <is>
          <t>Credit Collection 赊账收款</t>
        </is>
      </c>
      <c r="I2456" s="6">
        <f>IF($B2451="","",B2456)</f>
        <v/>
      </c>
      <c r="K2456" t="inlineStr">
        <is>
          <t>Advance Salary_M 预支薪水_M</t>
        </is>
      </c>
      <c r="L2456" s="6">
        <f>IF($B2451="","",E2456)</f>
        <v/>
      </c>
    </row>
    <row r="2457">
      <c r="A2457" s="10" t="inlineStr">
        <is>
          <t>Amount 2 金额2  (Amount + Credit Collection)</t>
        </is>
      </c>
      <c r="B2457" s="11">
        <f>IF($B2451="","",ROUND(B2455+B2456,2))</f>
        <v/>
      </c>
      <c r="D2457" t="inlineStr">
        <is>
          <t>Advance Salary_H 预支薪水_H</t>
        </is>
      </c>
      <c r="E2457" s="6">
        <f>IF($B2451="","",'Daily Sale entry '!M177)</f>
        <v/>
      </c>
      <c r="H2457" s="10" t="inlineStr">
        <is>
          <t>Amount 2 金额2  (Amount + Credit Collection)</t>
        </is>
      </c>
      <c r="I2457" s="11">
        <f>IF($B2451="","",ROUND(I2455+I2456,2))</f>
        <v/>
      </c>
      <c r="K2457" t="inlineStr">
        <is>
          <t>Advance Salary_H 预支薪水_H</t>
        </is>
      </c>
      <c r="L2457" s="6">
        <f>IF($B2451="","",E2457)</f>
        <v/>
      </c>
    </row>
    <row r="2458"/>
    <row r="2459">
      <c r="A2459" s="1" t="inlineStr">
        <is>
          <t>b/f petty cash 上日备用金结转</t>
        </is>
      </c>
      <c r="B2459" s="9">
        <f>IF($B2451="","",'Daily Sale entry '!F177)</f>
        <v/>
      </c>
      <c r="D2459" s="1" t="n"/>
      <c r="E2459" s="1" t="n"/>
      <c r="H2459" s="1" t="inlineStr">
        <is>
          <t>b/f petty cash 上日备用金结转</t>
        </is>
      </c>
      <c r="I2459" s="9">
        <f>IF($B2451="","",B2459)</f>
        <v/>
      </c>
      <c r="K2459" s="1" t="n"/>
      <c r="L2459" s="1" t="n"/>
    </row>
    <row r="2460">
      <c r="A2460" t="inlineStr">
        <is>
          <t>Total (A) 总计 (A)</t>
        </is>
      </c>
      <c r="B2460" s="6">
        <f>IF($B2451="","",ROUND(B2457+B2459,2))</f>
        <v/>
      </c>
      <c r="D2460" t="inlineStr">
        <is>
          <t>Total(B) 总计 (B)</t>
        </is>
      </c>
      <c r="E2460" s="6">
        <f>IF($B2451="","",ROUND(E2452+E2453+E2454+E2455+E2456+E2457,2))</f>
        <v/>
      </c>
      <c r="H2460" t="inlineStr">
        <is>
          <t>Total© 总计 (C)</t>
        </is>
      </c>
      <c r="I2460" s="6">
        <f>IF($B2451="","",ROUND(I2457+I2459,2))</f>
        <v/>
      </c>
      <c r="K2460" t="inlineStr">
        <is>
          <t>Total(D) 总计 (D)</t>
        </is>
      </c>
      <c r="L2460" s="6">
        <f>IF($B2451="","",ROUND(L2452+L2453+L2454+L2455+L2456+L2457,2))</f>
        <v/>
      </c>
    </row>
    <row r="2461">
      <c r="A2461" s="14" t="inlineStr">
        <is>
          <t>Total = Amount 2 + b/f petty cash  (金额2 + 上日备用金)</t>
        </is>
      </c>
      <c r="H2461" s="14" t="inlineStr">
        <is>
          <t>Total = Amount 2 + b/f petty cash  (金额2 + 上日备用金)</t>
        </is>
      </c>
    </row>
    <row r="2462">
      <c r="A2462" t="inlineStr">
        <is>
          <t>Different 差额</t>
        </is>
      </c>
      <c r="B2462" s="6">
        <f>IF($B2451="","",ROUND(B2460-E2460,2))</f>
        <v/>
      </c>
      <c r="D2462">
        <f>IF($B2451="","",IF(ABS(B2462)&gt;'Opening Balance'!$B$16,"ALERT 警报: Different over RM"&amp;'Opening Balance'!$B$16&amp;" 差额超过RM"&amp;'Opening Balance'!$B$16&amp;" - please check 请检查",IF(B2462=0,"Tied 平衡",IF(ABS(B2462)&lt;='Opening Balance'!$B$13,"Small difference 小额差额: adjusted on c/f petty cash 已调整备用金",IF(B2462&gt;0,"Short 短收: added to Misc Charges 已加入杂项费用","Over 多收: added to Cash Sales 已加入现金销售")))))</f>
        <v/>
      </c>
      <c r="H2462" t="inlineStr">
        <is>
          <t>Different 差额</t>
        </is>
      </c>
      <c r="I2462" s="6">
        <f>IF($B2451="","",ROUND(I2460-L2460,2))</f>
        <v/>
      </c>
    </row>
    <row r="2463"/>
    <row r="2464"/>
    <row r="2465">
      <c r="A2465" t="inlineStr">
        <is>
          <t>Date 日期</t>
        </is>
      </c>
      <c r="B2465" s="5">
        <f>IF('Daily Sale entry '!$A178="","",'Daily Sale entry '!$A178)</f>
        <v/>
      </c>
      <c r="H2465" t="inlineStr">
        <is>
          <t>After 调整后 (After)</t>
        </is>
      </c>
      <c r="I2465" s="5">
        <f>IF($B2465="","",B2465)</f>
        <v/>
      </c>
    </row>
    <row r="2466">
      <c r="A2466" t="inlineStr">
        <is>
          <t>Cash Sales 现金销售</t>
        </is>
      </c>
      <c r="B2466" s="6">
        <f>IF($B2465="","",'Daily Sale entry '!B178)</f>
        <v/>
      </c>
      <c r="D2466" t="inlineStr">
        <is>
          <t>c/f petty cash 今日备用金结转</t>
        </is>
      </c>
      <c r="E2466" s="6">
        <f>IF($B2465="","",'Daily Sale entry '!G178)</f>
        <v/>
      </c>
      <c r="H2466" t="inlineStr">
        <is>
          <t>Cash Sales 现金销售</t>
        </is>
      </c>
      <c r="I2466" s="6">
        <f>IF($B2465="","",IF(AND(ABS(B2476)&gt;'Opening Balance'!$B$13,B2476&lt;0),ROUND(B2466-B2476,2),B2466))</f>
        <v/>
      </c>
      <c r="K2466" t="inlineStr">
        <is>
          <t>c/f petty cash 今日备用金结转</t>
        </is>
      </c>
      <c r="L2466" s="6">
        <f>IF($B2465="","",IF(ABS(B2476)&lt;='Opening Balance'!$B$13,ROUND(E2466+B2476,2),E2466))</f>
        <v/>
      </c>
    </row>
    <row r="2467">
      <c r="A2467" t="inlineStr">
        <is>
          <t>Misc Charges 杂项费用</t>
        </is>
      </c>
      <c r="B2467" s="6">
        <f>IF($B2465="","",'Daily Sale entry '!C178)</f>
        <v/>
      </c>
      <c r="D2467" t="inlineStr">
        <is>
          <t>cash collection 现金收款</t>
        </is>
      </c>
      <c r="E2467" s="6">
        <f>IF($B2465="","",'Daily Sale entry '!H178)</f>
        <v/>
      </c>
      <c r="H2467" t="inlineStr">
        <is>
          <t>Misc Charges 杂项费用</t>
        </is>
      </c>
      <c r="I2467" s="6">
        <f>IF($B2465="","",IF(AND(ABS(B2476)&gt;'Opening Balance'!$B$13,B2476&gt;0),ROUND(B2467+B2476,2),B2467))</f>
        <v/>
      </c>
      <c r="K2467" t="inlineStr">
        <is>
          <t>cash collection 现金收款</t>
        </is>
      </c>
      <c r="L2467" s="6">
        <f>IF($B2465="","",E2467)</f>
        <v/>
      </c>
    </row>
    <row r="2468">
      <c r="A2468" s="1" t="inlineStr">
        <is>
          <t>Other Charges 其他费用</t>
        </is>
      </c>
      <c r="B2468" s="9">
        <f>IF($B2465="","",'Daily Sale entry '!D178)</f>
        <v/>
      </c>
      <c r="D2468" s="1" t="inlineStr">
        <is>
          <t>Cheque Collection 支票收款</t>
        </is>
      </c>
      <c r="E2468" s="9">
        <f>IF($B2465="","",'Daily Sale entry '!J178)</f>
        <v/>
      </c>
      <c r="H2468" s="1" t="inlineStr">
        <is>
          <t>Other Charges 其他费用</t>
        </is>
      </c>
      <c r="I2468" s="9">
        <f>IF($B2465="","",B2468)</f>
        <v/>
      </c>
      <c r="K2468" s="1" t="inlineStr">
        <is>
          <t>Cheque Collection 支票收款</t>
        </is>
      </c>
      <c r="L2468" s="9">
        <f>IF($B2465="","",E2468)</f>
        <v/>
      </c>
    </row>
    <row r="2469">
      <c r="A2469" s="10" t="inlineStr">
        <is>
          <t>Amount 金额  (Cash Sales - Misc - Other)</t>
        </is>
      </c>
      <c r="B2469" s="11">
        <f>IF($B2465="","",ROUND(B2466-B2467-B2468,2))</f>
        <v/>
      </c>
      <c r="D2469" s="12" t="inlineStr">
        <is>
          <t>TNG collection TNG收款</t>
        </is>
      </c>
      <c r="E2469" s="13">
        <f>IF($B2465="","",'Daily Sale entry '!K178)</f>
        <v/>
      </c>
      <c r="H2469" s="10" t="inlineStr">
        <is>
          <t>Amount 金额  (Cash Sales - Misc - Other)</t>
        </is>
      </c>
      <c r="I2469" s="11">
        <f>IF($B2465="","",ROUND(I2466-I2467-I2468,2))</f>
        <v/>
      </c>
      <c r="K2469" s="12" t="inlineStr">
        <is>
          <t>TNG collection TNG收款</t>
        </is>
      </c>
      <c r="L2469" s="13">
        <f>IF($B2465="","",E2469)</f>
        <v/>
      </c>
    </row>
    <row r="2470">
      <c r="A2470" t="inlineStr">
        <is>
          <t>Credit Collection 赊账收款</t>
        </is>
      </c>
      <c r="B2470" s="6">
        <f>IF($B2465="","",'Daily Sale entry '!E178)</f>
        <v/>
      </c>
      <c r="D2470" t="inlineStr">
        <is>
          <t>Advance Salary_M 预支薪水_M</t>
        </is>
      </c>
      <c r="E2470" s="6">
        <f>IF($B2465="","",'Daily Sale entry '!L178)</f>
        <v/>
      </c>
      <c r="H2470" t="inlineStr">
        <is>
          <t>Credit Collection 赊账收款</t>
        </is>
      </c>
      <c r="I2470" s="6">
        <f>IF($B2465="","",B2470)</f>
        <v/>
      </c>
      <c r="K2470" t="inlineStr">
        <is>
          <t>Advance Salary_M 预支薪水_M</t>
        </is>
      </c>
      <c r="L2470" s="6">
        <f>IF($B2465="","",E2470)</f>
        <v/>
      </c>
    </row>
    <row r="2471">
      <c r="A2471" s="10" t="inlineStr">
        <is>
          <t>Amount 2 金额2  (Amount + Credit Collection)</t>
        </is>
      </c>
      <c r="B2471" s="11">
        <f>IF($B2465="","",ROUND(B2469+B2470,2))</f>
        <v/>
      </c>
      <c r="D2471" t="inlineStr">
        <is>
          <t>Advance Salary_H 预支薪水_H</t>
        </is>
      </c>
      <c r="E2471" s="6">
        <f>IF($B2465="","",'Daily Sale entry '!M178)</f>
        <v/>
      </c>
      <c r="H2471" s="10" t="inlineStr">
        <is>
          <t>Amount 2 金额2  (Amount + Credit Collection)</t>
        </is>
      </c>
      <c r="I2471" s="11">
        <f>IF($B2465="","",ROUND(I2469+I2470,2))</f>
        <v/>
      </c>
      <c r="K2471" t="inlineStr">
        <is>
          <t>Advance Salary_H 预支薪水_H</t>
        </is>
      </c>
      <c r="L2471" s="6">
        <f>IF($B2465="","",E2471)</f>
        <v/>
      </c>
    </row>
    <row r="2472"/>
    <row r="2473">
      <c r="A2473" s="1" t="inlineStr">
        <is>
          <t>b/f petty cash 上日备用金结转</t>
        </is>
      </c>
      <c r="B2473" s="9">
        <f>IF($B2465="","",'Daily Sale entry '!F178)</f>
        <v/>
      </c>
      <c r="D2473" s="1" t="n"/>
      <c r="E2473" s="1" t="n"/>
      <c r="H2473" s="1" t="inlineStr">
        <is>
          <t>b/f petty cash 上日备用金结转</t>
        </is>
      </c>
      <c r="I2473" s="9">
        <f>IF($B2465="","",B2473)</f>
        <v/>
      </c>
      <c r="K2473" s="1" t="n"/>
      <c r="L2473" s="1" t="n"/>
    </row>
    <row r="2474">
      <c r="A2474" t="inlineStr">
        <is>
          <t>Total (A) 总计 (A)</t>
        </is>
      </c>
      <c r="B2474" s="6">
        <f>IF($B2465="","",ROUND(B2471+B2473,2))</f>
        <v/>
      </c>
      <c r="D2474" t="inlineStr">
        <is>
          <t>Total(B) 总计 (B)</t>
        </is>
      </c>
      <c r="E2474" s="6">
        <f>IF($B2465="","",ROUND(E2466+E2467+E2468+E2469+E2470+E2471,2))</f>
        <v/>
      </c>
      <c r="H2474" t="inlineStr">
        <is>
          <t>Total© 总计 (C)</t>
        </is>
      </c>
      <c r="I2474" s="6">
        <f>IF($B2465="","",ROUND(I2471+I2473,2))</f>
        <v/>
      </c>
      <c r="K2474" t="inlineStr">
        <is>
          <t>Total(D) 总计 (D)</t>
        </is>
      </c>
      <c r="L2474" s="6">
        <f>IF($B2465="","",ROUND(L2466+L2467+L2468+L2469+L2470+L2471,2))</f>
        <v/>
      </c>
    </row>
    <row r="2475">
      <c r="A2475" s="14" t="inlineStr">
        <is>
          <t>Total = Amount 2 + b/f petty cash  (金额2 + 上日备用金)</t>
        </is>
      </c>
      <c r="H2475" s="14" t="inlineStr">
        <is>
          <t>Total = Amount 2 + b/f petty cash  (金额2 + 上日备用金)</t>
        </is>
      </c>
    </row>
    <row r="2476">
      <c r="A2476" t="inlineStr">
        <is>
          <t>Different 差额</t>
        </is>
      </c>
      <c r="B2476" s="6">
        <f>IF($B2465="","",ROUND(B2474-E2474,2))</f>
        <v/>
      </c>
      <c r="D2476">
        <f>IF($B2465="","",IF(ABS(B2476)&gt;'Opening Balance'!$B$16,"ALERT 警报: Different over RM"&amp;'Opening Balance'!$B$16&amp;" 差额超过RM"&amp;'Opening Balance'!$B$16&amp;" - please check 请检查",IF(B2476=0,"Tied 平衡",IF(ABS(B2476)&lt;='Opening Balance'!$B$13,"Small difference 小额差额: adjusted on c/f petty cash 已调整备用金",IF(B2476&gt;0,"Short 短收: added to Misc Charges 已加入杂项费用","Over 多收: added to Cash Sales 已加入现金销售")))))</f>
        <v/>
      </c>
      <c r="H2476" t="inlineStr">
        <is>
          <t>Different 差额</t>
        </is>
      </c>
      <c r="I2476" s="6">
        <f>IF($B2465="","",ROUND(I2474-L2474,2))</f>
        <v/>
      </c>
    </row>
    <row r="2477"/>
    <row r="2478"/>
    <row r="2479">
      <c r="A2479" t="inlineStr">
        <is>
          <t>Date 日期</t>
        </is>
      </c>
      <c r="B2479" s="5">
        <f>IF('Daily Sale entry '!$A179="","",'Daily Sale entry '!$A179)</f>
        <v/>
      </c>
      <c r="H2479" t="inlineStr">
        <is>
          <t>After 调整后 (After)</t>
        </is>
      </c>
      <c r="I2479" s="5">
        <f>IF($B2479="","",B2479)</f>
        <v/>
      </c>
    </row>
    <row r="2480">
      <c r="A2480" t="inlineStr">
        <is>
          <t>Cash Sales 现金销售</t>
        </is>
      </c>
      <c r="B2480" s="6">
        <f>IF($B2479="","",'Daily Sale entry '!B179)</f>
        <v/>
      </c>
      <c r="D2480" t="inlineStr">
        <is>
          <t>c/f petty cash 今日备用金结转</t>
        </is>
      </c>
      <c r="E2480" s="6">
        <f>IF($B2479="","",'Daily Sale entry '!G179)</f>
        <v/>
      </c>
      <c r="H2480" t="inlineStr">
        <is>
          <t>Cash Sales 现金销售</t>
        </is>
      </c>
      <c r="I2480" s="6">
        <f>IF($B2479="","",IF(AND(ABS(B2490)&gt;'Opening Balance'!$B$13,B2490&lt;0),ROUND(B2480-B2490,2),B2480))</f>
        <v/>
      </c>
      <c r="K2480" t="inlineStr">
        <is>
          <t>c/f petty cash 今日备用金结转</t>
        </is>
      </c>
      <c r="L2480" s="6">
        <f>IF($B2479="","",IF(ABS(B2490)&lt;='Opening Balance'!$B$13,ROUND(E2480+B2490,2),E2480))</f>
        <v/>
      </c>
    </row>
    <row r="2481">
      <c r="A2481" t="inlineStr">
        <is>
          <t>Misc Charges 杂项费用</t>
        </is>
      </c>
      <c r="B2481" s="6">
        <f>IF($B2479="","",'Daily Sale entry '!C179)</f>
        <v/>
      </c>
      <c r="D2481" t="inlineStr">
        <is>
          <t>cash collection 现金收款</t>
        </is>
      </c>
      <c r="E2481" s="6">
        <f>IF($B2479="","",'Daily Sale entry '!H179)</f>
        <v/>
      </c>
      <c r="H2481" t="inlineStr">
        <is>
          <t>Misc Charges 杂项费用</t>
        </is>
      </c>
      <c r="I2481" s="6">
        <f>IF($B2479="","",IF(AND(ABS(B2490)&gt;'Opening Balance'!$B$13,B2490&gt;0),ROUND(B2481+B2490,2),B2481))</f>
        <v/>
      </c>
      <c r="K2481" t="inlineStr">
        <is>
          <t>cash collection 现金收款</t>
        </is>
      </c>
      <c r="L2481" s="6">
        <f>IF($B2479="","",E2481)</f>
        <v/>
      </c>
    </row>
    <row r="2482">
      <c r="A2482" s="1" t="inlineStr">
        <is>
          <t>Other Charges 其他费用</t>
        </is>
      </c>
      <c r="B2482" s="9">
        <f>IF($B2479="","",'Daily Sale entry '!D179)</f>
        <v/>
      </c>
      <c r="D2482" s="1" t="inlineStr">
        <is>
          <t>Cheque Collection 支票收款</t>
        </is>
      </c>
      <c r="E2482" s="9">
        <f>IF($B2479="","",'Daily Sale entry '!J179)</f>
        <v/>
      </c>
      <c r="H2482" s="1" t="inlineStr">
        <is>
          <t>Other Charges 其他费用</t>
        </is>
      </c>
      <c r="I2482" s="9">
        <f>IF($B2479="","",B2482)</f>
        <v/>
      </c>
      <c r="K2482" s="1" t="inlineStr">
        <is>
          <t>Cheque Collection 支票收款</t>
        </is>
      </c>
      <c r="L2482" s="9">
        <f>IF($B2479="","",E2482)</f>
        <v/>
      </c>
    </row>
    <row r="2483">
      <c r="A2483" s="10" t="inlineStr">
        <is>
          <t>Amount 金额  (Cash Sales - Misc - Other)</t>
        </is>
      </c>
      <c r="B2483" s="11">
        <f>IF($B2479="","",ROUND(B2480-B2481-B2482,2))</f>
        <v/>
      </c>
      <c r="D2483" s="12" t="inlineStr">
        <is>
          <t>TNG collection TNG收款</t>
        </is>
      </c>
      <c r="E2483" s="13">
        <f>IF($B2479="","",'Daily Sale entry '!K179)</f>
        <v/>
      </c>
      <c r="H2483" s="10" t="inlineStr">
        <is>
          <t>Amount 金额  (Cash Sales - Misc - Other)</t>
        </is>
      </c>
      <c r="I2483" s="11">
        <f>IF($B2479="","",ROUND(I2480-I2481-I2482,2))</f>
        <v/>
      </c>
      <c r="K2483" s="12" t="inlineStr">
        <is>
          <t>TNG collection TNG收款</t>
        </is>
      </c>
      <c r="L2483" s="13">
        <f>IF($B2479="","",E2483)</f>
        <v/>
      </c>
    </row>
    <row r="2484">
      <c r="A2484" t="inlineStr">
        <is>
          <t>Credit Collection 赊账收款</t>
        </is>
      </c>
      <c r="B2484" s="6">
        <f>IF($B2479="","",'Daily Sale entry '!E179)</f>
        <v/>
      </c>
      <c r="D2484" t="inlineStr">
        <is>
          <t>Advance Salary_M 预支薪水_M</t>
        </is>
      </c>
      <c r="E2484" s="6">
        <f>IF($B2479="","",'Daily Sale entry '!L179)</f>
        <v/>
      </c>
      <c r="H2484" t="inlineStr">
        <is>
          <t>Credit Collection 赊账收款</t>
        </is>
      </c>
      <c r="I2484" s="6">
        <f>IF($B2479="","",B2484)</f>
        <v/>
      </c>
      <c r="K2484" t="inlineStr">
        <is>
          <t>Advance Salary_M 预支薪水_M</t>
        </is>
      </c>
      <c r="L2484" s="6">
        <f>IF($B2479="","",E2484)</f>
        <v/>
      </c>
    </row>
    <row r="2485">
      <c r="A2485" s="10" t="inlineStr">
        <is>
          <t>Amount 2 金额2  (Amount + Credit Collection)</t>
        </is>
      </c>
      <c r="B2485" s="11">
        <f>IF($B2479="","",ROUND(B2483+B2484,2))</f>
        <v/>
      </c>
      <c r="D2485" t="inlineStr">
        <is>
          <t>Advance Salary_H 预支薪水_H</t>
        </is>
      </c>
      <c r="E2485" s="6">
        <f>IF($B2479="","",'Daily Sale entry '!M179)</f>
        <v/>
      </c>
      <c r="H2485" s="10" t="inlineStr">
        <is>
          <t>Amount 2 金额2  (Amount + Credit Collection)</t>
        </is>
      </c>
      <c r="I2485" s="11">
        <f>IF($B2479="","",ROUND(I2483+I2484,2))</f>
        <v/>
      </c>
      <c r="K2485" t="inlineStr">
        <is>
          <t>Advance Salary_H 预支薪水_H</t>
        </is>
      </c>
      <c r="L2485" s="6">
        <f>IF($B2479="","",E2485)</f>
        <v/>
      </c>
    </row>
    <row r="2486"/>
    <row r="2487">
      <c r="A2487" s="1" t="inlineStr">
        <is>
          <t>b/f petty cash 上日备用金结转</t>
        </is>
      </c>
      <c r="B2487" s="9">
        <f>IF($B2479="","",'Daily Sale entry '!F179)</f>
        <v/>
      </c>
      <c r="D2487" s="1" t="n"/>
      <c r="E2487" s="1" t="n"/>
      <c r="H2487" s="1" t="inlineStr">
        <is>
          <t>b/f petty cash 上日备用金结转</t>
        </is>
      </c>
      <c r="I2487" s="9">
        <f>IF($B2479="","",B2487)</f>
        <v/>
      </c>
      <c r="K2487" s="1" t="n"/>
      <c r="L2487" s="1" t="n"/>
    </row>
    <row r="2488">
      <c r="A2488" t="inlineStr">
        <is>
          <t>Total (A) 总计 (A)</t>
        </is>
      </c>
      <c r="B2488" s="6">
        <f>IF($B2479="","",ROUND(B2485+B2487,2))</f>
        <v/>
      </c>
      <c r="D2488" t="inlineStr">
        <is>
          <t>Total(B) 总计 (B)</t>
        </is>
      </c>
      <c r="E2488" s="6">
        <f>IF($B2479="","",ROUND(E2480+E2481+E2482+E2483+E2484+E2485,2))</f>
        <v/>
      </c>
      <c r="H2488" t="inlineStr">
        <is>
          <t>Total© 总计 (C)</t>
        </is>
      </c>
      <c r="I2488" s="6">
        <f>IF($B2479="","",ROUND(I2485+I2487,2))</f>
        <v/>
      </c>
      <c r="K2488" t="inlineStr">
        <is>
          <t>Total(D) 总计 (D)</t>
        </is>
      </c>
      <c r="L2488" s="6">
        <f>IF($B2479="","",ROUND(L2480+L2481+L2482+L2483+L2484+L2485,2))</f>
        <v/>
      </c>
    </row>
    <row r="2489">
      <c r="A2489" s="14" t="inlineStr">
        <is>
          <t>Total = Amount 2 + b/f petty cash  (金额2 + 上日备用金)</t>
        </is>
      </c>
      <c r="H2489" s="14" t="inlineStr">
        <is>
          <t>Total = Amount 2 + b/f petty cash  (金额2 + 上日备用金)</t>
        </is>
      </c>
    </row>
    <row r="2490">
      <c r="A2490" t="inlineStr">
        <is>
          <t>Different 差额</t>
        </is>
      </c>
      <c r="B2490" s="6">
        <f>IF($B2479="","",ROUND(B2488-E2488,2))</f>
        <v/>
      </c>
      <c r="D2490">
        <f>IF($B2479="","",IF(ABS(B2490)&gt;'Opening Balance'!$B$16,"ALERT 警报: Different over RM"&amp;'Opening Balance'!$B$16&amp;" 差额超过RM"&amp;'Opening Balance'!$B$16&amp;" - please check 请检查",IF(B2490=0,"Tied 平衡",IF(ABS(B2490)&lt;='Opening Balance'!$B$13,"Small difference 小额差额: adjusted on c/f petty cash 已调整备用金",IF(B2490&gt;0,"Short 短收: added to Misc Charges 已加入杂项费用","Over 多收: added to Cash Sales 已加入现金销售")))))</f>
        <v/>
      </c>
      <c r="H2490" t="inlineStr">
        <is>
          <t>Different 差额</t>
        </is>
      </c>
      <c r="I2490" s="6">
        <f>IF($B2479="","",ROUND(I2488-L2488,2))</f>
        <v/>
      </c>
    </row>
    <row r="2491"/>
    <row r="2492"/>
    <row r="2493">
      <c r="A2493" t="inlineStr">
        <is>
          <t>Date 日期</t>
        </is>
      </c>
      <c r="B2493" s="5">
        <f>IF('Daily Sale entry '!$A180="","",'Daily Sale entry '!$A180)</f>
        <v/>
      </c>
      <c r="H2493" t="inlineStr">
        <is>
          <t>After 调整后 (After)</t>
        </is>
      </c>
      <c r="I2493" s="5">
        <f>IF($B2493="","",B2493)</f>
        <v/>
      </c>
    </row>
    <row r="2494">
      <c r="A2494" t="inlineStr">
        <is>
          <t>Cash Sales 现金销售</t>
        </is>
      </c>
      <c r="B2494" s="6">
        <f>IF($B2493="","",'Daily Sale entry '!B180)</f>
        <v/>
      </c>
      <c r="D2494" t="inlineStr">
        <is>
          <t>c/f petty cash 今日备用金结转</t>
        </is>
      </c>
      <c r="E2494" s="6">
        <f>IF($B2493="","",'Daily Sale entry '!G180)</f>
        <v/>
      </c>
      <c r="H2494" t="inlineStr">
        <is>
          <t>Cash Sales 现金销售</t>
        </is>
      </c>
      <c r="I2494" s="6">
        <f>IF($B2493="","",IF(AND(ABS(B2504)&gt;'Opening Balance'!$B$13,B2504&lt;0),ROUND(B2494-B2504,2),B2494))</f>
        <v/>
      </c>
      <c r="K2494" t="inlineStr">
        <is>
          <t>c/f petty cash 今日备用金结转</t>
        </is>
      </c>
      <c r="L2494" s="6">
        <f>IF($B2493="","",IF(ABS(B2504)&lt;='Opening Balance'!$B$13,ROUND(E2494+B2504,2),E2494))</f>
        <v/>
      </c>
    </row>
    <row r="2495">
      <c r="A2495" t="inlineStr">
        <is>
          <t>Misc Charges 杂项费用</t>
        </is>
      </c>
      <c r="B2495" s="6">
        <f>IF($B2493="","",'Daily Sale entry '!C180)</f>
        <v/>
      </c>
      <c r="D2495" t="inlineStr">
        <is>
          <t>cash collection 现金收款</t>
        </is>
      </c>
      <c r="E2495" s="6">
        <f>IF($B2493="","",'Daily Sale entry '!H180)</f>
        <v/>
      </c>
      <c r="H2495" t="inlineStr">
        <is>
          <t>Misc Charges 杂项费用</t>
        </is>
      </c>
      <c r="I2495" s="6">
        <f>IF($B2493="","",IF(AND(ABS(B2504)&gt;'Opening Balance'!$B$13,B2504&gt;0),ROUND(B2495+B2504,2),B2495))</f>
        <v/>
      </c>
      <c r="K2495" t="inlineStr">
        <is>
          <t>cash collection 现金收款</t>
        </is>
      </c>
      <c r="L2495" s="6">
        <f>IF($B2493="","",E2495)</f>
        <v/>
      </c>
    </row>
    <row r="2496">
      <c r="A2496" s="1" t="inlineStr">
        <is>
          <t>Other Charges 其他费用</t>
        </is>
      </c>
      <c r="B2496" s="9">
        <f>IF($B2493="","",'Daily Sale entry '!D180)</f>
        <v/>
      </c>
      <c r="D2496" s="1" t="inlineStr">
        <is>
          <t>Cheque Collection 支票收款</t>
        </is>
      </c>
      <c r="E2496" s="9">
        <f>IF($B2493="","",'Daily Sale entry '!J180)</f>
        <v/>
      </c>
      <c r="H2496" s="1" t="inlineStr">
        <is>
          <t>Other Charges 其他费用</t>
        </is>
      </c>
      <c r="I2496" s="9">
        <f>IF($B2493="","",B2496)</f>
        <v/>
      </c>
      <c r="K2496" s="1" t="inlineStr">
        <is>
          <t>Cheque Collection 支票收款</t>
        </is>
      </c>
      <c r="L2496" s="9">
        <f>IF($B2493="","",E2496)</f>
        <v/>
      </c>
    </row>
    <row r="2497">
      <c r="A2497" s="10" t="inlineStr">
        <is>
          <t>Amount 金额  (Cash Sales - Misc - Other)</t>
        </is>
      </c>
      <c r="B2497" s="11">
        <f>IF($B2493="","",ROUND(B2494-B2495-B2496,2))</f>
        <v/>
      </c>
      <c r="D2497" s="12" t="inlineStr">
        <is>
          <t>TNG collection TNG收款</t>
        </is>
      </c>
      <c r="E2497" s="13">
        <f>IF($B2493="","",'Daily Sale entry '!K180)</f>
        <v/>
      </c>
      <c r="H2497" s="10" t="inlineStr">
        <is>
          <t>Amount 金额  (Cash Sales - Misc - Other)</t>
        </is>
      </c>
      <c r="I2497" s="11">
        <f>IF($B2493="","",ROUND(I2494-I2495-I2496,2))</f>
        <v/>
      </c>
      <c r="K2497" s="12" t="inlineStr">
        <is>
          <t>TNG collection TNG收款</t>
        </is>
      </c>
      <c r="L2497" s="13">
        <f>IF($B2493="","",E2497)</f>
        <v/>
      </c>
    </row>
    <row r="2498">
      <c r="A2498" t="inlineStr">
        <is>
          <t>Credit Collection 赊账收款</t>
        </is>
      </c>
      <c r="B2498" s="6">
        <f>IF($B2493="","",'Daily Sale entry '!E180)</f>
        <v/>
      </c>
      <c r="D2498" t="inlineStr">
        <is>
          <t>Advance Salary_M 预支薪水_M</t>
        </is>
      </c>
      <c r="E2498" s="6">
        <f>IF($B2493="","",'Daily Sale entry '!L180)</f>
        <v/>
      </c>
      <c r="H2498" t="inlineStr">
        <is>
          <t>Credit Collection 赊账收款</t>
        </is>
      </c>
      <c r="I2498" s="6">
        <f>IF($B2493="","",B2498)</f>
        <v/>
      </c>
      <c r="K2498" t="inlineStr">
        <is>
          <t>Advance Salary_M 预支薪水_M</t>
        </is>
      </c>
      <c r="L2498" s="6">
        <f>IF($B2493="","",E2498)</f>
        <v/>
      </c>
    </row>
    <row r="2499">
      <c r="A2499" s="10" t="inlineStr">
        <is>
          <t>Amount 2 金额2  (Amount + Credit Collection)</t>
        </is>
      </c>
      <c r="B2499" s="11">
        <f>IF($B2493="","",ROUND(B2497+B2498,2))</f>
        <v/>
      </c>
      <c r="D2499" t="inlineStr">
        <is>
          <t>Advance Salary_H 预支薪水_H</t>
        </is>
      </c>
      <c r="E2499" s="6">
        <f>IF($B2493="","",'Daily Sale entry '!M180)</f>
        <v/>
      </c>
      <c r="H2499" s="10" t="inlineStr">
        <is>
          <t>Amount 2 金额2  (Amount + Credit Collection)</t>
        </is>
      </c>
      <c r="I2499" s="11">
        <f>IF($B2493="","",ROUND(I2497+I2498,2))</f>
        <v/>
      </c>
      <c r="K2499" t="inlineStr">
        <is>
          <t>Advance Salary_H 预支薪水_H</t>
        </is>
      </c>
      <c r="L2499" s="6">
        <f>IF($B2493="","",E2499)</f>
        <v/>
      </c>
    </row>
    <row r="2500"/>
    <row r="2501">
      <c r="A2501" s="1" t="inlineStr">
        <is>
          <t>b/f petty cash 上日备用金结转</t>
        </is>
      </c>
      <c r="B2501" s="9">
        <f>IF($B2493="","",'Daily Sale entry '!F180)</f>
        <v/>
      </c>
      <c r="D2501" s="1" t="n"/>
      <c r="E2501" s="1" t="n"/>
      <c r="H2501" s="1" t="inlineStr">
        <is>
          <t>b/f petty cash 上日备用金结转</t>
        </is>
      </c>
      <c r="I2501" s="9">
        <f>IF($B2493="","",B2501)</f>
        <v/>
      </c>
      <c r="K2501" s="1" t="n"/>
      <c r="L2501" s="1" t="n"/>
    </row>
    <row r="2502">
      <c r="A2502" t="inlineStr">
        <is>
          <t>Total (A) 总计 (A)</t>
        </is>
      </c>
      <c r="B2502" s="6">
        <f>IF($B2493="","",ROUND(B2499+B2501,2))</f>
        <v/>
      </c>
      <c r="D2502" t="inlineStr">
        <is>
          <t>Total(B) 总计 (B)</t>
        </is>
      </c>
      <c r="E2502" s="6">
        <f>IF($B2493="","",ROUND(E2494+E2495+E2496+E2497+E2498+E2499,2))</f>
        <v/>
      </c>
      <c r="H2502" t="inlineStr">
        <is>
          <t>Total© 总计 (C)</t>
        </is>
      </c>
      <c r="I2502" s="6">
        <f>IF($B2493="","",ROUND(I2499+I2501,2))</f>
        <v/>
      </c>
      <c r="K2502" t="inlineStr">
        <is>
          <t>Total(D) 总计 (D)</t>
        </is>
      </c>
      <c r="L2502" s="6">
        <f>IF($B2493="","",ROUND(L2494+L2495+L2496+L2497+L2498+L2499,2))</f>
        <v/>
      </c>
    </row>
    <row r="2503">
      <c r="A2503" s="14" t="inlineStr">
        <is>
          <t>Total = Amount 2 + b/f petty cash  (金额2 + 上日备用金)</t>
        </is>
      </c>
      <c r="H2503" s="14" t="inlineStr">
        <is>
          <t>Total = Amount 2 + b/f petty cash  (金额2 + 上日备用金)</t>
        </is>
      </c>
    </row>
    <row r="2504">
      <c r="A2504" t="inlineStr">
        <is>
          <t>Different 差额</t>
        </is>
      </c>
      <c r="B2504" s="6">
        <f>IF($B2493="","",ROUND(B2502-E2502,2))</f>
        <v/>
      </c>
      <c r="D2504">
        <f>IF($B2493="","",IF(ABS(B2504)&gt;'Opening Balance'!$B$16,"ALERT 警报: Different over RM"&amp;'Opening Balance'!$B$16&amp;" 差额超过RM"&amp;'Opening Balance'!$B$16&amp;" - please check 请检查",IF(B2504=0,"Tied 平衡",IF(ABS(B2504)&lt;='Opening Balance'!$B$13,"Small difference 小额差额: adjusted on c/f petty cash 已调整备用金",IF(B2504&gt;0,"Short 短收: added to Misc Charges 已加入杂项费用","Over 多收: added to Cash Sales 已加入现金销售")))))</f>
        <v/>
      </c>
      <c r="H2504" t="inlineStr">
        <is>
          <t>Different 差额</t>
        </is>
      </c>
      <c r="I2504" s="6">
        <f>IF($B2493="","",ROUND(I2502-L2502,2))</f>
        <v/>
      </c>
    </row>
    <row r="2505"/>
    <row r="2506"/>
    <row r="2507">
      <c r="A2507" t="inlineStr">
        <is>
          <t>Date 日期</t>
        </is>
      </c>
      <c r="B2507" s="5">
        <f>IF('Daily Sale entry '!$A181="","",'Daily Sale entry '!$A181)</f>
        <v/>
      </c>
      <c r="H2507" t="inlineStr">
        <is>
          <t>After 调整后 (After)</t>
        </is>
      </c>
      <c r="I2507" s="5">
        <f>IF($B2507="","",B2507)</f>
        <v/>
      </c>
    </row>
    <row r="2508">
      <c r="A2508" t="inlineStr">
        <is>
          <t>Cash Sales 现金销售</t>
        </is>
      </c>
      <c r="B2508" s="6">
        <f>IF($B2507="","",'Daily Sale entry '!B181)</f>
        <v/>
      </c>
      <c r="D2508" t="inlineStr">
        <is>
          <t>c/f petty cash 今日备用金结转</t>
        </is>
      </c>
      <c r="E2508" s="6">
        <f>IF($B2507="","",'Daily Sale entry '!G181)</f>
        <v/>
      </c>
      <c r="H2508" t="inlineStr">
        <is>
          <t>Cash Sales 现金销售</t>
        </is>
      </c>
      <c r="I2508" s="6">
        <f>IF($B2507="","",IF(AND(ABS(B2518)&gt;'Opening Balance'!$B$13,B2518&lt;0),ROUND(B2508-B2518,2),B2508))</f>
        <v/>
      </c>
      <c r="K2508" t="inlineStr">
        <is>
          <t>c/f petty cash 今日备用金结转</t>
        </is>
      </c>
      <c r="L2508" s="6">
        <f>IF($B2507="","",IF(ABS(B2518)&lt;='Opening Balance'!$B$13,ROUND(E2508+B2518,2),E2508))</f>
        <v/>
      </c>
    </row>
    <row r="2509">
      <c r="A2509" t="inlineStr">
        <is>
          <t>Misc Charges 杂项费用</t>
        </is>
      </c>
      <c r="B2509" s="6">
        <f>IF($B2507="","",'Daily Sale entry '!C181)</f>
        <v/>
      </c>
      <c r="D2509" t="inlineStr">
        <is>
          <t>cash collection 现金收款</t>
        </is>
      </c>
      <c r="E2509" s="6">
        <f>IF($B2507="","",'Daily Sale entry '!H181)</f>
        <v/>
      </c>
      <c r="H2509" t="inlineStr">
        <is>
          <t>Misc Charges 杂项费用</t>
        </is>
      </c>
      <c r="I2509" s="6">
        <f>IF($B2507="","",IF(AND(ABS(B2518)&gt;'Opening Balance'!$B$13,B2518&gt;0),ROUND(B2509+B2518,2),B2509))</f>
        <v/>
      </c>
      <c r="K2509" t="inlineStr">
        <is>
          <t>cash collection 现金收款</t>
        </is>
      </c>
      <c r="L2509" s="6">
        <f>IF($B2507="","",E2509)</f>
        <v/>
      </c>
    </row>
    <row r="2510">
      <c r="A2510" s="1" t="inlineStr">
        <is>
          <t>Other Charges 其他费用</t>
        </is>
      </c>
      <c r="B2510" s="9">
        <f>IF($B2507="","",'Daily Sale entry '!D181)</f>
        <v/>
      </c>
      <c r="D2510" s="1" t="inlineStr">
        <is>
          <t>Cheque Collection 支票收款</t>
        </is>
      </c>
      <c r="E2510" s="9">
        <f>IF($B2507="","",'Daily Sale entry '!J181)</f>
        <v/>
      </c>
      <c r="H2510" s="1" t="inlineStr">
        <is>
          <t>Other Charges 其他费用</t>
        </is>
      </c>
      <c r="I2510" s="9">
        <f>IF($B2507="","",B2510)</f>
        <v/>
      </c>
      <c r="K2510" s="1" t="inlineStr">
        <is>
          <t>Cheque Collection 支票收款</t>
        </is>
      </c>
      <c r="L2510" s="9">
        <f>IF($B2507="","",E2510)</f>
        <v/>
      </c>
    </row>
    <row r="2511">
      <c r="A2511" s="10" t="inlineStr">
        <is>
          <t>Amount 金额  (Cash Sales - Misc - Other)</t>
        </is>
      </c>
      <c r="B2511" s="11">
        <f>IF($B2507="","",ROUND(B2508-B2509-B2510,2))</f>
        <v/>
      </c>
      <c r="D2511" s="12" t="inlineStr">
        <is>
          <t>TNG collection TNG收款</t>
        </is>
      </c>
      <c r="E2511" s="13">
        <f>IF($B2507="","",'Daily Sale entry '!K181)</f>
        <v/>
      </c>
      <c r="H2511" s="10" t="inlineStr">
        <is>
          <t>Amount 金额  (Cash Sales - Misc - Other)</t>
        </is>
      </c>
      <c r="I2511" s="11">
        <f>IF($B2507="","",ROUND(I2508-I2509-I2510,2))</f>
        <v/>
      </c>
      <c r="K2511" s="12" t="inlineStr">
        <is>
          <t>TNG collection TNG收款</t>
        </is>
      </c>
      <c r="L2511" s="13">
        <f>IF($B2507="","",E2511)</f>
        <v/>
      </c>
    </row>
    <row r="2512">
      <c r="A2512" t="inlineStr">
        <is>
          <t>Credit Collection 赊账收款</t>
        </is>
      </c>
      <c r="B2512" s="6">
        <f>IF($B2507="","",'Daily Sale entry '!E181)</f>
        <v/>
      </c>
      <c r="D2512" t="inlineStr">
        <is>
          <t>Advance Salary_M 预支薪水_M</t>
        </is>
      </c>
      <c r="E2512" s="6">
        <f>IF($B2507="","",'Daily Sale entry '!L181)</f>
        <v/>
      </c>
      <c r="H2512" t="inlineStr">
        <is>
          <t>Credit Collection 赊账收款</t>
        </is>
      </c>
      <c r="I2512" s="6">
        <f>IF($B2507="","",B2512)</f>
        <v/>
      </c>
      <c r="K2512" t="inlineStr">
        <is>
          <t>Advance Salary_M 预支薪水_M</t>
        </is>
      </c>
      <c r="L2512" s="6">
        <f>IF($B2507="","",E2512)</f>
        <v/>
      </c>
    </row>
    <row r="2513">
      <c r="A2513" s="10" t="inlineStr">
        <is>
          <t>Amount 2 金额2  (Amount + Credit Collection)</t>
        </is>
      </c>
      <c r="B2513" s="11">
        <f>IF($B2507="","",ROUND(B2511+B2512,2))</f>
        <v/>
      </c>
      <c r="D2513" t="inlineStr">
        <is>
          <t>Advance Salary_H 预支薪水_H</t>
        </is>
      </c>
      <c r="E2513" s="6">
        <f>IF($B2507="","",'Daily Sale entry '!M181)</f>
        <v/>
      </c>
      <c r="H2513" s="10" t="inlineStr">
        <is>
          <t>Amount 2 金额2  (Amount + Credit Collection)</t>
        </is>
      </c>
      <c r="I2513" s="11">
        <f>IF($B2507="","",ROUND(I2511+I2512,2))</f>
        <v/>
      </c>
      <c r="K2513" t="inlineStr">
        <is>
          <t>Advance Salary_H 预支薪水_H</t>
        </is>
      </c>
      <c r="L2513" s="6">
        <f>IF($B2507="","",E2513)</f>
        <v/>
      </c>
    </row>
    <row r="2514"/>
    <row r="2515">
      <c r="A2515" s="1" t="inlineStr">
        <is>
          <t>b/f petty cash 上日备用金结转</t>
        </is>
      </c>
      <c r="B2515" s="9">
        <f>IF($B2507="","",'Daily Sale entry '!F181)</f>
        <v/>
      </c>
      <c r="D2515" s="1" t="n"/>
      <c r="E2515" s="1" t="n"/>
      <c r="H2515" s="1" t="inlineStr">
        <is>
          <t>b/f petty cash 上日备用金结转</t>
        </is>
      </c>
      <c r="I2515" s="9">
        <f>IF($B2507="","",B2515)</f>
        <v/>
      </c>
      <c r="K2515" s="1" t="n"/>
      <c r="L2515" s="1" t="n"/>
    </row>
    <row r="2516">
      <c r="A2516" t="inlineStr">
        <is>
          <t>Total (A) 总计 (A)</t>
        </is>
      </c>
      <c r="B2516" s="6">
        <f>IF($B2507="","",ROUND(B2513+B2515,2))</f>
        <v/>
      </c>
      <c r="D2516" t="inlineStr">
        <is>
          <t>Total(B) 总计 (B)</t>
        </is>
      </c>
      <c r="E2516" s="6">
        <f>IF($B2507="","",ROUND(E2508+E2509+E2510+E2511+E2512+E2513,2))</f>
        <v/>
      </c>
      <c r="H2516" t="inlineStr">
        <is>
          <t>Total© 总计 (C)</t>
        </is>
      </c>
      <c r="I2516" s="6">
        <f>IF($B2507="","",ROUND(I2513+I2515,2))</f>
        <v/>
      </c>
      <c r="K2516" t="inlineStr">
        <is>
          <t>Total(D) 总计 (D)</t>
        </is>
      </c>
      <c r="L2516" s="6">
        <f>IF($B2507="","",ROUND(L2508+L2509+L2510+L2511+L2512+L2513,2))</f>
        <v/>
      </c>
    </row>
    <row r="2517">
      <c r="A2517" s="14" t="inlineStr">
        <is>
          <t>Total = Amount 2 + b/f petty cash  (金额2 + 上日备用金)</t>
        </is>
      </c>
      <c r="H2517" s="14" t="inlineStr">
        <is>
          <t>Total = Amount 2 + b/f petty cash  (金额2 + 上日备用金)</t>
        </is>
      </c>
    </row>
    <row r="2518">
      <c r="A2518" t="inlineStr">
        <is>
          <t>Different 差额</t>
        </is>
      </c>
      <c r="B2518" s="6">
        <f>IF($B2507="","",ROUND(B2516-E2516,2))</f>
        <v/>
      </c>
      <c r="D2518">
        <f>IF($B2507="","",IF(ABS(B2518)&gt;'Opening Balance'!$B$16,"ALERT 警报: Different over RM"&amp;'Opening Balance'!$B$16&amp;" 差额超过RM"&amp;'Opening Balance'!$B$16&amp;" - please check 请检查",IF(B2518=0,"Tied 平衡",IF(ABS(B2518)&lt;='Opening Balance'!$B$13,"Small difference 小额差额: adjusted on c/f petty cash 已调整备用金",IF(B2518&gt;0,"Short 短收: added to Misc Charges 已加入杂项费用","Over 多收: added to Cash Sales 已加入现金销售")))))</f>
        <v/>
      </c>
      <c r="H2518" t="inlineStr">
        <is>
          <t>Different 差额</t>
        </is>
      </c>
      <c r="I2518" s="6">
        <f>IF($B2507="","",ROUND(I2516-L2516,2))</f>
        <v/>
      </c>
    </row>
    <row r="2519"/>
    <row r="2520"/>
    <row r="2521">
      <c r="A2521" t="inlineStr">
        <is>
          <t>Date 日期</t>
        </is>
      </c>
      <c r="B2521" s="5">
        <f>IF('Daily Sale entry '!$A182="","",'Daily Sale entry '!$A182)</f>
        <v/>
      </c>
      <c r="H2521" t="inlineStr">
        <is>
          <t>After 调整后 (After)</t>
        </is>
      </c>
      <c r="I2521" s="5">
        <f>IF($B2521="","",B2521)</f>
        <v/>
      </c>
    </row>
    <row r="2522">
      <c r="A2522" t="inlineStr">
        <is>
          <t>Cash Sales 现金销售</t>
        </is>
      </c>
      <c r="B2522" s="6">
        <f>IF($B2521="","",'Daily Sale entry '!B182)</f>
        <v/>
      </c>
      <c r="D2522" t="inlineStr">
        <is>
          <t>c/f petty cash 今日备用金结转</t>
        </is>
      </c>
      <c r="E2522" s="6">
        <f>IF($B2521="","",'Daily Sale entry '!G182)</f>
        <v/>
      </c>
      <c r="H2522" t="inlineStr">
        <is>
          <t>Cash Sales 现金销售</t>
        </is>
      </c>
      <c r="I2522" s="6">
        <f>IF($B2521="","",IF(AND(ABS(B2532)&gt;'Opening Balance'!$B$13,B2532&lt;0),ROUND(B2522-B2532,2),B2522))</f>
        <v/>
      </c>
      <c r="K2522" t="inlineStr">
        <is>
          <t>c/f petty cash 今日备用金结转</t>
        </is>
      </c>
      <c r="L2522" s="6">
        <f>IF($B2521="","",IF(ABS(B2532)&lt;='Opening Balance'!$B$13,ROUND(E2522+B2532,2),E2522))</f>
        <v/>
      </c>
    </row>
    <row r="2523">
      <c r="A2523" t="inlineStr">
        <is>
          <t>Misc Charges 杂项费用</t>
        </is>
      </c>
      <c r="B2523" s="6">
        <f>IF($B2521="","",'Daily Sale entry '!C182)</f>
        <v/>
      </c>
      <c r="D2523" t="inlineStr">
        <is>
          <t>cash collection 现金收款</t>
        </is>
      </c>
      <c r="E2523" s="6">
        <f>IF($B2521="","",'Daily Sale entry '!H182)</f>
        <v/>
      </c>
      <c r="H2523" t="inlineStr">
        <is>
          <t>Misc Charges 杂项费用</t>
        </is>
      </c>
      <c r="I2523" s="6">
        <f>IF($B2521="","",IF(AND(ABS(B2532)&gt;'Opening Balance'!$B$13,B2532&gt;0),ROUND(B2523+B2532,2),B2523))</f>
        <v/>
      </c>
      <c r="K2523" t="inlineStr">
        <is>
          <t>cash collection 现金收款</t>
        </is>
      </c>
      <c r="L2523" s="6">
        <f>IF($B2521="","",E2523)</f>
        <v/>
      </c>
    </row>
    <row r="2524">
      <c r="A2524" s="1" t="inlineStr">
        <is>
          <t>Other Charges 其他费用</t>
        </is>
      </c>
      <c r="B2524" s="9">
        <f>IF($B2521="","",'Daily Sale entry '!D182)</f>
        <v/>
      </c>
      <c r="D2524" s="1" t="inlineStr">
        <is>
          <t>Cheque Collection 支票收款</t>
        </is>
      </c>
      <c r="E2524" s="9">
        <f>IF($B2521="","",'Daily Sale entry '!J182)</f>
        <v/>
      </c>
      <c r="H2524" s="1" t="inlineStr">
        <is>
          <t>Other Charges 其他费用</t>
        </is>
      </c>
      <c r="I2524" s="9">
        <f>IF($B2521="","",B2524)</f>
        <v/>
      </c>
      <c r="K2524" s="1" t="inlineStr">
        <is>
          <t>Cheque Collection 支票收款</t>
        </is>
      </c>
      <c r="L2524" s="9">
        <f>IF($B2521="","",E2524)</f>
        <v/>
      </c>
    </row>
    <row r="2525">
      <c r="A2525" s="10" t="inlineStr">
        <is>
          <t>Amount 金额  (Cash Sales - Misc - Other)</t>
        </is>
      </c>
      <c r="B2525" s="11">
        <f>IF($B2521="","",ROUND(B2522-B2523-B2524,2))</f>
        <v/>
      </c>
      <c r="D2525" s="12" t="inlineStr">
        <is>
          <t>TNG collection TNG收款</t>
        </is>
      </c>
      <c r="E2525" s="13">
        <f>IF($B2521="","",'Daily Sale entry '!K182)</f>
        <v/>
      </c>
      <c r="H2525" s="10" t="inlineStr">
        <is>
          <t>Amount 金额  (Cash Sales - Misc - Other)</t>
        </is>
      </c>
      <c r="I2525" s="11">
        <f>IF($B2521="","",ROUND(I2522-I2523-I2524,2))</f>
        <v/>
      </c>
      <c r="K2525" s="12" t="inlineStr">
        <is>
          <t>TNG collection TNG收款</t>
        </is>
      </c>
      <c r="L2525" s="13">
        <f>IF($B2521="","",E2525)</f>
        <v/>
      </c>
    </row>
    <row r="2526">
      <c r="A2526" t="inlineStr">
        <is>
          <t>Credit Collection 赊账收款</t>
        </is>
      </c>
      <c r="B2526" s="6">
        <f>IF($B2521="","",'Daily Sale entry '!E182)</f>
        <v/>
      </c>
      <c r="D2526" t="inlineStr">
        <is>
          <t>Advance Salary_M 预支薪水_M</t>
        </is>
      </c>
      <c r="E2526" s="6">
        <f>IF($B2521="","",'Daily Sale entry '!L182)</f>
        <v/>
      </c>
      <c r="H2526" t="inlineStr">
        <is>
          <t>Credit Collection 赊账收款</t>
        </is>
      </c>
      <c r="I2526" s="6">
        <f>IF($B2521="","",B2526)</f>
        <v/>
      </c>
      <c r="K2526" t="inlineStr">
        <is>
          <t>Advance Salary_M 预支薪水_M</t>
        </is>
      </c>
      <c r="L2526" s="6">
        <f>IF($B2521="","",E2526)</f>
        <v/>
      </c>
    </row>
    <row r="2527">
      <c r="A2527" s="10" t="inlineStr">
        <is>
          <t>Amount 2 金额2  (Amount + Credit Collection)</t>
        </is>
      </c>
      <c r="B2527" s="11">
        <f>IF($B2521="","",ROUND(B2525+B2526,2))</f>
        <v/>
      </c>
      <c r="D2527" t="inlineStr">
        <is>
          <t>Advance Salary_H 预支薪水_H</t>
        </is>
      </c>
      <c r="E2527" s="6">
        <f>IF($B2521="","",'Daily Sale entry '!M182)</f>
        <v/>
      </c>
      <c r="H2527" s="10" t="inlineStr">
        <is>
          <t>Amount 2 金额2  (Amount + Credit Collection)</t>
        </is>
      </c>
      <c r="I2527" s="11">
        <f>IF($B2521="","",ROUND(I2525+I2526,2))</f>
        <v/>
      </c>
      <c r="K2527" t="inlineStr">
        <is>
          <t>Advance Salary_H 预支薪水_H</t>
        </is>
      </c>
      <c r="L2527" s="6">
        <f>IF($B2521="","",E2527)</f>
        <v/>
      </c>
    </row>
    <row r="2528"/>
    <row r="2529">
      <c r="A2529" s="1" t="inlineStr">
        <is>
          <t>b/f petty cash 上日备用金结转</t>
        </is>
      </c>
      <c r="B2529" s="9">
        <f>IF($B2521="","",'Daily Sale entry '!F182)</f>
        <v/>
      </c>
      <c r="D2529" s="1" t="n"/>
      <c r="E2529" s="1" t="n"/>
      <c r="H2529" s="1" t="inlineStr">
        <is>
          <t>b/f petty cash 上日备用金结转</t>
        </is>
      </c>
      <c r="I2529" s="9">
        <f>IF($B2521="","",B2529)</f>
        <v/>
      </c>
      <c r="K2529" s="1" t="n"/>
      <c r="L2529" s="1" t="n"/>
    </row>
    <row r="2530">
      <c r="A2530" t="inlineStr">
        <is>
          <t>Total (A) 总计 (A)</t>
        </is>
      </c>
      <c r="B2530" s="6">
        <f>IF($B2521="","",ROUND(B2527+B2529,2))</f>
        <v/>
      </c>
      <c r="D2530" t="inlineStr">
        <is>
          <t>Total(B) 总计 (B)</t>
        </is>
      </c>
      <c r="E2530" s="6">
        <f>IF($B2521="","",ROUND(E2522+E2523+E2524+E2525+E2526+E2527,2))</f>
        <v/>
      </c>
      <c r="H2530" t="inlineStr">
        <is>
          <t>Total© 总计 (C)</t>
        </is>
      </c>
      <c r="I2530" s="6">
        <f>IF($B2521="","",ROUND(I2527+I2529,2))</f>
        <v/>
      </c>
      <c r="K2530" t="inlineStr">
        <is>
          <t>Total(D) 总计 (D)</t>
        </is>
      </c>
      <c r="L2530" s="6">
        <f>IF($B2521="","",ROUND(L2522+L2523+L2524+L2525+L2526+L2527,2))</f>
        <v/>
      </c>
    </row>
    <row r="2531">
      <c r="A2531" s="14" t="inlineStr">
        <is>
          <t>Total = Amount 2 + b/f petty cash  (金额2 + 上日备用金)</t>
        </is>
      </c>
      <c r="H2531" s="14" t="inlineStr">
        <is>
          <t>Total = Amount 2 + b/f petty cash  (金额2 + 上日备用金)</t>
        </is>
      </c>
    </row>
    <row r="2532">
      <c r="A2532" t="inlineStr">
        <is>
          <t>Different 差额</t>
        </is>
      </c>
      <c r="B2532" s="6">
        <f>IF($B2521="","",ROUND(B2530-E2530,2))</f>
        <v/>
      </c>
      <c r="D2532">
        <f>IF($B2521="","",IF(ABS(B2532)&gt;'Opening Balance'!$B$16,"ALERT 警报: Different over RM"&amp;'Opening Balance'!$B$16&amp;" 差额超过RM"&amp;'Opening Balance'!$B$16&amp;" - please check 请检查",IF(B2532=0,"Tied 平衡",IF(ABS(B2532)&lt;='Opening Balance'!$B$13,"Small difference 小额差额: adjusted on c/f petty cash 已调整备用金",IF(B2532&gt;0,"Short 短收: added to Misc Charges 已加入杂项费用","Over 多收: added to Cash Sales 已加入现金销售")))))</f>
        <v/>
      </c>
      <c r="H2532" t="inlineStr">
        <is>
          <t>Different 差额</t>
        </is>
      </c>
      <c r="I2532" s="6">
        <f>IF($B2521="","",ROUND(I2530-L2530,2))</f>
        <v/>
      </c>
    </row>
    <row r="2533"/>
    <row r="2534"/>
    <row r="2535">
      <c r="A2535" t="inlineStr">
        <is>
          <t>Date 日期</t>
        </is>
      </c>
      <c r="B2535" s="5">
        <f>IF('Daily Sale entry '!$A183="","",'Daily Sale entry '!$A183)</f>
        <v/>
      </c>
      <c r="H2535" t="inlineStr">
        <is>
          <t>After 调整后 (After)</t>
        </is>
      </c>
      <c r="I2535" s="5">
        <f>IF($B2535="","",B2535)</f>
        <v/>
      </c>
    </row>
    <row r="2536">
      <c r="A2536" t="inlineStr">
        <is>
          <t>Cash Sales 现金销售</t>
        </is>
      </c>
      <c r="B2536" s="6">
        <f>IF($B2535="","",'Daily Sale entry '!B183)</f>
        <v/>
      </c>
      <c r="D2536" t="inlineStr">
        <is>
          <t>c/f petty cash 今日备用金结转</t>
        </is>
      </c>
      <c r="E2536" s="6">
        <f>IF($B2535="","",'Daily Sale entry '!G183)</f>
        <v/>
      </c>
      <c r="H2536" t="inlineStr">
        <is>
          <t>Cash Sales 现金销售</t>
        </is>
      </c>
      <c r="I2536" s="6">
        <f>IF($B2535="","",IF(AND(ABS(B2546)&gt;'Opening Balance'!$B$13,B2546&lt;0),ROUND(B2536-B2546,2),B2536))</f>
        <v/>
      </c>
      <c r="K2536" t="inlineStr">
        <is>
          <t>c/f petty cash 今日备用金结转</t>
        </is>
      </c>
      <c r="L2536" s="6">
        <f>IF($B2535="","",IF(ABS(B2546)&lt;='Opening Balance'!$B$13,ROUND(E2536+B2546,2),E2536))</f>
        <v/>
      </c>
    </row>
    <row r="2537">
      <c r="A2537" t="inlineStr">
        <is>
          <t>Misc Charges 杂项费用</t>
        </is>
      </c>
      <c r="B2537" s="6">
        <f>IF($B2535="","",'Daily Sale entry '!C183)</f>
        <v/>
      </c>
      <c r="D2537" t="inlineStr">
        <is>
          <t>cash collection 现金收款</t>
        </is>
      </c>
      <c r="E2537" s="6">
        <f>IF($B2535="","",'Daily Sale entry '!H183)</f>
        <v/>
      </c>
      <c r="H2537" t="inlineStr">
        <is>
          <t>Misc Charges 杂项费用</t>
        </is>
      </c>
      <c r="I2537" s="6">
        <f>IF($B2535="","",IF(AND(ABS(B2546)&gt;'Opening Balance'!$B$13,B2546&gt;0),ROUND(B2537+B2546,2),B2537))</f>
        <v/>
      </c>
      <c r="K2537" t="inlineStr">
        <is>
          <t>cash collection 现金收款</t>
        </is>
      </c>
      <c r="L2537" s="6">
        <f>IF($B2535="","",E2537)</f>
        <v/>
      </c>
    </row>
    <row r="2538">
      <c r="A2538" s="1" t="inlineStr">
        <is>
          <t>Other Charges 其他费用</t>
        </is>
      </c>
      <c r="B2538" s="9">
        <f>IF($B2535="","",'Daily Sale entry '!D183)</f>
        <v/>
      </c>
      <c r="D2538" s="1" t="inlineStr">
        <is>
          <t>Cheque Collection 支票收款</t>
        </is>
      </c>
      <c r="E2538" s="9">
        <f>IF($B2535="","",'Daily Sale entry '!J183)</f>
        <v/>
      </c>
      <c r="H2538" s="1" t="inlineStr">
        <is>
          <t>Other Charges 其他费用</t>
        </is>
      </c>
      <c r="I2538" s="9">
        <f>IF($B2535="","",B2538)</f>
        <v/>
      </c>
      <c r="K2538" s="1" t="inlineStr">
        <is>
          <t>Cheque Collection 支票收款</t>
        </is>
      </c>
      <c r="L2538" s="9">
        <f>IF($B2535="","",E2538)</f>
        <v/>
      </c>
    </row>
    <row r="2539">
      <c r="A2539" s="10" t="inlineStr">
        <is>
          <t>Amount 金额  (Cash Sales - Misc - Other)</t>
        </is>
      </c>
      <c r="B2539" s="11">
        <f>IF($B2535="","",ROUND(B2536-B2537-B2538,2))</f>
        <v/>
      </c>
      <c r="D2539" s="12" t="inlineStr">
        <is>
          <t>TNG collection TNG收款</t>
        </is>
      </c>
      <c r="E2539" s="13">
        <f>IF($B2535="","",'Daily Sale entry '!K183)</f>
        <v/>
      </c>
      <c r="H2539" s="10" t="inlineStr">
        <is>
          <t>Amount 金额  (Cash Sales - Misc - Other)</t>
        </is>
      </c>
      <c r="I2539" s="11">
        <f>IF($B2535="","",ROUND(I2536-I2537-I2538,2))</f>
        <v/>
      </c>
      <c r="K2539" s="12" t="inlineStr">
        <is>
          <t>TNG collection TNG收款</t>
        </is>
      </c>
      <c r="L2539" s="13">
        <f>IF($B2535="","",E2539)</f>
        <v/>
      </c>
    </row>
    <row r="2540">
      <c r="A2540" t="inlineStr">
        <is>
          <t>Credit Collection 赊账收款</t>
        </is>
      </c>
      <c r="B2540" s="6">
        <f>IF($B2535="","",'Daily Sale entry '!E183)</f>
        <v/>
      </c>
      <c r="D2540" t="inlineStr">
        <is>
          <t>Advance Salary_M 预支薪水_M</t>
        </is>
      </c>
      <c r="E2540" s="6">
        <f>IF($B2535="","",'Daily Sale entry '!L183)</f>
        <v/>
      </c>
      <c r="H2540" t="inlineStr">
        <is>
          <t>Credit Collection 赊账收款</t>
        </is>
      </c>
      <c r="I2540" s="6">
        <f>IF($B2535="","",B2540)</f>
        <v/>
      </c>
      <c r="K2540" t="inlineStr">
        <is>
          <t>Advance Salary_M 预支薪水_M</t>
        </is>
      </c>
      <c r="L2540" s="6">
        <f>IF($B2535="","",E2540)</f>
        <v/>
      </c>
    </row>
    <row r="2541">
      <c r="A2541" s="10" t="inlineStr">
        <is>
          <t>Amount 2 金额2  (Amount + Credit Collection)</t>
        </is>
      </c>
      <c r="B2541" s="11">
        <f>IF($B2535="","",ROUND(B2539+B2540,2))</f>
        <v/>
      </c>
      <c r="D2541" t="inlineStr">
        <is>
          <t>Advance Salary_H 预支薪水_H</t>
        </is>
      </c>
      <c r="E2541" s="6">
        <f>IF($B2535="","",'Daily Sale entry '!M183)</f>
        <v/>
      </c>
      <c r="H2541" s="10" t="inlineStr">
        <is>
          <t>Amount 2 金额2  (Amount + Credit Collection)</t>
        </is>
      </c>
      <c r="I2541" s="11">
        <f>IF($B2535="","",ROUND(I2539+I2540,2))</f>
        <v/>
      </c>
      <c r="K2541" t="inlineStr">
        <is>
          <t>Advance Salary_H 预支薪水_H</t>
        </is>
      </c>
      <c r="L2541" s="6">
        <f>IF($B2535="","",E2541)</f>
        <v/>
      </c>
    </row>
    <row r="2542"/>
    <row r="2543">
      <c r="A2543" s="1" t="inlineStr">
        <is>
          <t>b/f petty cash 上日备用金结转</t>
        </is>
      </c>
      <c r="B2543" s="9">
        <f>IF($B2535="","",'Daily Sale entry '!F183)</f>
        <v/>
      </c>
      <c r="D2543" s="1" t="n"/>
      <c r="E2543" s="1" t="n"/>
      <c r="H2543" s="1" t="inlineStr">
        <is>
          <t>b/f petty cash 上日备用金结转</t>
        </is>
      </c>
      <c r="I2543" s="9">
        <f>IF($B2535="","",B2543)</f>
        <v/>
      </c>
      <c r="K2543" s="1" t="n"/>
      <c r="L2543" s="1" t="n"/>
    </row>
    <row r="2544">
      <c r="A2544" t="inlineStr">
        <is>
          <t>Total (A) 总计 (A)</t>
        </is>
      </c>
      <c r="B2544" s="6">
        <f>IF($B2535="","",ROUND(B2541+B2543,2))</f>
        <v/>
      </c>
      <c r="D2544" t="inlineStr">
        <is>
          <t>Total(B) 总计 (B)</t>
        </is>
      </c>
      <c r="E2544" s="6">
        <f>IF($B2535="","",ROUND(E2536+E2537+E2538+E2539+E2540+E2541,2))</f>
        <v/>
      </c>
      <c r="H2544" t="inlineStr">
        <is>
          <t>Total© 总计 (C)</t>
        </is>
      </c>
      <c r="I2544" s="6">
        <f>IF($B2535="","",ROUND(I2541+I2543,2))</f>
        <v/>
      </c>
      <c r="K2544" t="inlineStr">
        <is>
          <t>Total(D) 总计 (D)</t>
        </is>
      </c>
      <c r="L2544" s="6">
        <f>IF($B2535="","",ROUND(L2536+L2537+L2538+L2539+L2540+L2541,2))</f>
        <v/>
      </c>
    </row>
    <row r="2545">
      <c r="A2545" s="14" t="inlineStr">
        <is>
          <t>Total = Amount 2 + b/f petty cash  (金额2 + 上日备用金)</t>
        </is>
      </c>
      <c r="H2545" s="14" t="inlineStr">
        <is>
          <t>Total = Amount 2 + b/f petty cash  (金额2 + 上日备用金)</t>
        </is>
      </c>
    </row>
    <row r="2546">
      <c r="A2546" t="inlineStr">
        <is>
          <t>Different 差额</t>
        </is>
      </c>
      <c r="B2546" s="6">
        <f>IF($B2535="","",ROUND(B2544-E2544,2))</f>
        <v/>
      </c>
      <c r="D2546">
        <f>IF($B2535="","",IF(ABS(B2546)&gt;'Opening Balance'!$B$16,"ALERT 警报: Different over RM"&amp;'Opening Balance'!$B$16&amp;" 差额超过RM"&amp;'Opening Balance'!$B$16&amp;" - please check 请检查",IF(B2546=0,"Tied 平衡",IF(ABS(B2546)&lt;='Opening Balance'!$B$13,"Small difference 小额差额: adjusted on c/f petty cash 已调整备用金",IF(B2546&gt;0,"Short 短收: added to Misc Charges 已加入杂项费用","Over 多收: added to Cash Sales 已加入现金销售")))))</f>
        <v/>
      </c>
      <c r="H2546" t="inlineStr">
        <is>
          <t>Different 差额</t>
        </is>
      </c>
      <c r="I2546" s="6">
        <f>IF($B2535="","",ROUND(I2544-L2544,2))</f>
        <v/>
      </c>
    </row>
    <row r="2547"/>
    <row r="2548"/>
    <row r="2549">
      <c r="A2549" t="inlineStr">
        <is>
          <t>Date 日期</t>
        </is>
      </c>
      <c r="B2549" s="5">
        <f>IF('Daily Sale entry '!$A184="","",'Daily Sale entry '!$A184)</f>
        <v/>
      </c>
      <c r="H2549" t="inlineStr">
        <is>
          <t>After 调整后 (After)</t>
        </is>
      </c>
      <c r="I2549" s="5">
        <f>IF($B2549="","",B2549)</f>
        <v/>
      </c>
    </row>
    <row r="2550">
      <c r="A2550" t="inlineStr">
        <is>
          <t>Cash Sales 现金销售</t>
        </is>
      </c>
      <c r="B2550" s="6">
        <f>IF($B2549="","",'Daily Sale entry '!B184)</f>
        <v/>
      </c>
      <c r="D2550" t="inlineStr">
        <is>
          <t>c/f petty cash 今日备用金结转</t>
        </is>
      </c>
      <c r="E2550" s="6">
        <f>IF($B2549="","",'Daily Sale entry '!G184)</f>
        <v/>
      </c>
      <c r="H2550" t="inlineStr">
        <is>
          <t>Cash Sales 现金销售</t>
        </is>
      </c>
      <c r="I2550" s="6">
        <f>IF($B2549="","",IF(AND(ABS(B2560)&gt;'Opening Balance'!$B$13,B2560&lt;0),ROUND(B2550-B2560,2),B2550))</f>
        <v/>
      </c>
      <c r="K2550" t="inlineStr">
        <is>
          <t>c/f petty cash 今日备用金结转</t>
        </is>
      </c>
      <c r="L2550" s="6">
        <f>IF($B2549="","",IF(ABS(B2560)&lt;='Opening Balance'!$B$13,ROUND(E2550+B2560,2),E2550))</f>
        <v/>
      </c>
    </row>
    <row r="2551">
      <c r="A2551" t="inlineStr">
        <is>
          <t>Misc Charges 杂项费用</t>
        </is>
      </c>
      <c r="B2551" s="6">
        <f>IF($B2549="","",'Daily Sale entry '!C184)</f>
        <v/>
      </c>
      <c r="D2551" t="inlineStr">
        <is>
          <t>cash collection 现金收款</t>
        </is>
      </c>
      <c r="E2551" s="6">
        <f>IF($B2549="","",'Daily Sale entry '!H184)</f>
        <v/>
      </c>
      <c r="H2551" t="inlineStr">
        <is>
          <t>Misc Charges 杂项费用</t>
        </is>
      </c>
      <c r="I2551" s="6">
        <f>IF($B2549="","",IF(AND(ABS(B2560)&gt;'Opening Balance'!$B$13,B2560&gt;0),ROUND(B2551+B2560,2),B2551))</f>
        <v/>
      </c>
      <c r="K2551" t="inlineStr">
        <is>
          <t>cash collection 现金收款</t>
        </is>
      </c>
      <c r="L2551" s="6">
        <f>IF($B2549="","",E2551)</f>
        <v/>
      </c>
    </row>
    <row r="2552">
      <c r="A2552" s="1" t="inlineStr">
        <is>
          <t>Other Charges 其他费用</t>
        </is>
      </c>
      <c r="B2552" s="9">
        <f>IF($B2549="","",'Daily Sale entry '!D184)</f>
        <v/>
      </c>
      <c r="D2552" s="1" t="inlineStr">
        <is>
          <t>Cheque Collection 支票收款</t>
        </is>
      </c>
      <c r="E2552" s="9">
        <f>IF($B2549="","",'Daily Sale entry '!J184)</f>
        <v/>
      </c>
      <c r="H2552" s="1" t="inlineStr">
        <is>
          <t>Other Charges 其他费用</t>
        </is>
      </c>
      <c r="I2552" s="9">
        <f>IF($B2549="","",B2552)</f>
        <v/>
      </c>
      <c r="K2552" s="1" t="inlineStr">
        <is>
          <t>Cheque Collection 支票收款</t>
        </is>
      </c>
      <c r="L2552" s="9">
        <f>IF($B2549="","",E2552)</f>
        <v/>
      </c>
    </row>
    <row r="2553">
      <c r="A2553" s="10" t="inlineStr">
        <is>
          <t>Amount 金额  (Cash Sales - Misc - Other)</t>
        </is>
      </c>
      <c r="B2553" s="11">
        <f>IF($B2549="","",ROUND(B2550-B2551-B2552,2))</f>
        <v/>
      </c>
      <c r="D2553" s="12" t="inlineStr">
        <is>
          <t>TNG collection TNG收款</t>
        </is>
      </c>
      <c r="E2553" s="13">
        <f>IF($B2549="","",'Daily Sale entry '!K184)</f>
        <v/>
      </c>
      <c r="H2553" s="10" t="inlineStr">
        <is>
          <t>Amount 金额  (Cash Sales - Misc - Other)</t>
        </is>
      </c>
      <c r="I2553" s="11">
        <f>IF($B2549="","",ROUND(I2550-I2551-I2552,2))</f>
        <v/>
      </c>
      <c r="K2553" s="12" t="inlineStr">
        <is>
          <t>TNG collection TNG收款</t>
        </is>
      </c>
      <c r="L2553" s="13">
        <f>IF($B2549="","",E2553)</f>
        <v/>
      </c>
    </row>
    <row r="2554">
      <c r="A2554" t="inlineStr">
        <is>
          <t>Credit Collection 赊账收款</t>
        </is>
      </c>
      <c r="B2554" s="6">
        <f>IF($B2549="","",'Daily Sale entry '!E184)</f>
        <v/>
      </c>
      <c r="D2554" t="inlineStr">
        <is>
          <t>Advance Salary_M 预支薪水_M</t>
        </is>
      </c>
      <c r="E2554" s="6">
        <f>IF($B2549="","",'Daily Sale entry '!L184)</f>
        <v/>
      </c>
      <c r="H2554" t="inlineStr">
        <is>
          <t>Credit Collection 赊账收款</t>
        </is>
      </c>
      <c r="I2554" s="6">
        <f>IF($B2549="","",B2554)</f>
        <v/>
      </c>
      <c r="K2554" t="inlineStr">
        <is>
          <t>Advance Salary_M 预支薪水_M</t>
        </is>
      </c>
      <c r="L2554" s="6">
        <f>IF($B2549="","",E2554)</f>
        <v/>
      </c>
    </row>
    <row r="2555">
      <c r="A2555" s="10" t="inlineStr">
        <is>
          <t>Amount 2 金额2  (Amount + Credit Collection)</t>
        </is>
      </c>
      <c r="B2555" s="11">
        <f>IF($B2549="","",ROUND(B2553+B2554,2))</f>
        <v/>
      </c>
      <c r="D2555" t="inlineStr">
        <is>
          <t>Advance Salary_H 预支薪水_H</t>
        </is>
      </c>
      <c r="E2555" s="6">
        <f>IF($B2549="","",'Daily Sale entry '!M184)</f>
        <v/>
      </c>
      <c r="H2555" s="10" t="inlineStr">
        <is>
          <t>Amount 2 金额2  (Amount + Credit Collection)</t>
        </is>
      </c>
      <c r="I2555" s="11">
        <f>IF($B2549="","",ROUND(I2553+I2554,2))</f>
        <v/>
      </c>
      <c r="K2555" t="inlineStr">
        <is>
          <t>Advance Salary_H 预支薪水_H</t>
        </is>
      </c>
      <c r="L2555" s="6">
        <f>IF($B2549="","",E2555)</f>
        <v/>
      </c>
    </row>
    <row r="2556"/>
    <row r="2557">
      <c r="A2557" s="1" t="inlineStr">
        <is>
          <t>b/f petty cash 上日备用金结转</t>
        </is>
      </c>
      <c r="B2557" s="9">
        <f>IF($B2549="","",'Daily Sale entry '!F184)</f>
        <v/>
      </c>
      <c r="D2557" s="1" t="n"/>
      <c r="E2557" s="1" t="n"/>
      <c r="H2557" s="1" t="inlineStr">
        <is>
          <t>b/f petty cash 上日备用金结转</t>
        </is>
      </c>
      <c r="I2557" s="9">
        <f>IF($B2549="","",B2557)</f>
        <v/>
      </c>
      <c r="K2557" s="1" t="n"/>
      <c r="L2557" s="1" t="n"/>
    </row>
    <row r="2558">
      <c r="A2558" t="inlineStr">
        <is>
          <t>Total (A) 总计 (A)</t>
        </is>
      </c>
      <c r="B2558" s="6">
        <f>IF($B2549="","",ROUND(B2555+B2557,2))</f>
        <v/>
      </c>
      <c r="D2558" t="inlineStr">
        <is>
          <t>Total(B) 总计 (B)</t>
        </is>
      </c>
      <c r="E2558" s="6">
        <f>IF($B2549="","",ROUND(E2550+E2551+E2552+E2553+E2554+E2555,2))</f>
        <v/>
      </c>
      <c r="H2558" t="inlineStr">
        <is>
          <t>Total© 总计 (C)</t>
        </is>
      </c>
      <c r="I2558" s="6">
        <f>IF($B2549="","",ROUND(I2555+I2557,2))</f>
        <v/>
      </c>
      <c r="K2558" t="inlineStr">
        <is>
          <t>Total(D) 总计 (D)</t>
        </is>
      </c>
      <c r="L2558" s="6">
        <f>IF($B2549="","",ROUND(L2550+L2551+L2552+L2553+L2554+L2555,2))</f>
        <v/>
      </c>
    </row>
    <row r="2559">
      <c r="A2559" s="14" t="inlineStr">
        <is>
          <t>Total = Amount 2 + b/f petty cash  (金额2 + 上日备用金)</t>
        </is>
      </c>
      <c r="H2559" s="14" t="inlineStr">
        <is>
          <t>Total = Amount 2 + b/f petty cash  (金额2 + 上日备用金)</t>
        </is>
      </c>
    </row>
    <row r="2560">
      <c r="A2560" t="inlineStr">
        <is>
          <t>Different 差额</t>
        </is>
      </c>
      <c r="B2560" s="6">
        <f>IF($B2549="","",ROUND(B2558-E2558,2))</f>
        <v/>
      </c>
      <c r="D2560">
        <f>IF($B2549="","",IF(ABS(B2560)&gt;'Opening Balance'!$B$16,"ALERT 警报: Different over RM"&amp;'Opening Balance'!$B$16&amp;" 差额超过RM"&amp;'Opening Balance'!$B$16&amp;" - please check 请检查",IF(B2560=0,"Tied 平衡",IF(ABS(B2560)&lt;='Opening Balance'!$B$13,"Small difference 小额差额: adjusted on c/f petty cash 已调整备用金",IF(B2560&gt;0,"Short 短收: added to Misc Charges 已加入杂项费用","Over 多收: added to Cash Sales 已加入现金销售")))))</f>
        <v/>
      </c>
      <c r="H2560" t="inlineStr">
        <is>
          <t>Different 差额</t>
        </is>
      </c>
      <c r="I2560" s="6">
        <f>IF($B2549="","",ROUND(I2558-L2558,2))</f>
        <v/>
      </c>
    </row>
    <row r="2561"/>
    <row r="2562"/>
    <row r="2563">
      <c r="A2563" t="inlineStr">
        <is>
          <t>Date 日期</t>
        </is>
      </c>
      <c r="B2563" s="5">
        <f>IF('Daily Sale entry '!$A185="","",'Daily Sale entry '!$A185)</f>
        <v/>
      </c>
      <c r="H2563" t="inlineStr">
        <is>
          <t>After 调整后 (After)</t>
        </is>
      </c>
      <c r="I2563" s="5">
        <f>IF($B2563="","",B2563)</f>
        <v/>
      </c>
    </row>
    <row r="2564">
      <c r="A2564" t="inlineStr">
        <is>
          <t>Cash Sales 现金销售</t>
        </is>
      </c>
      <c r="B2564" s="6">
        <f>IF($B2563="","",'Daily Sale entry '!B185)</f>
        <v/>
      </c>
      <c r="D2564" t="inlineStr">
        <is>
          <t>c/f petty cash 今日备用金结转</t>
        </is>
      </c>
      <c r="E2564" s="6">
        <f>IF($B2563="","",'Daily Sale entry '!G185)</f>
        <v/>
      </c>
      <c r="H2564" t="inlineStr">
        <is>
          <t>Cash Sales 现金销售</t>
        </is>
      </c>
      <c r="I2564" s="6">
        <f>IF($B2563="","",IF(AND(ABS(B2574)&gt;'Opening Balance'!$B$13,B2574&lt;0),ROUND(B2564-B2574,2),B2564))</f>
        <v/>
      </c>
      <c r="K2564" t="inlineStr">
        <is>
          <t>c/f petty cash 今日备用金结转</t>
        </is>
      </c>
      <c r="L2564" s="6">
        <f>IF($B2563="","",IF(ABS(B2574)&lt;='Opening Balance'!$B$13,ROUND(E2564+B2574,2),E2564))</f>
        <v/>
      </c>
    </row>
    <row r="2565">
      <c r="A2565" t="inlineStr">
        <is>
          <t>Misc Charges 杂项费用</t>
        </is>
      </c>
      <c r="B2565" s="6">
        <f>IF($B2563="","",'Daily Sale entry '!C185)</f>
        <v/>
      </c>
      <c r="D2565" t="inlineStr">
        <is>
          <t>cash collection 现金收款</t>
        </is>
      </c>
      <c r="E2565" s="6">
        <f>IF($B2563="","",'Daily Sale entry '!H185)</f>
        <v/>
      </c>
      <c r="H2565" t="inlineStr">
        <is>
          <t>Misc Charges 杂项费用</t>
        </is>
      </c>
      <c r="I2565" s="6">
        <f>IF($B2563="","",IF(AND(ABS(B2574)&gt;'Opening Balance'!$B$13,B2574&gt;0),ROUND(B2565+B2574,2),B2565))</f>
        <v/>
      </c>
      <c r="K2565" t="inlineStr">
        <is>
          <t>cash collection 现金收款</t>
        </is>
      </c>
      <c r="L2565" s="6">
        <f>IF($B2563="","",E2565)</f>
        <v/>
      </c>
    </row>
    <row r="2566">
      <c r="A2566" s="1" t="inlineStr">
        <is>
          <t>Other Charges 其他费用</t>
        </is>
      </c>
      <c r="B2566" s="9">
        <f>IF($B2563="","",'Daily Sale entry '!D185)</f>
        <v/>
      </c>
      <c r="D2566" s="1" t="inlineStr">
        <is>
          <t>Cheque Collection 支票收款</t>
        </is>
      </c>
      <c r="E2566" s="9">
        <f>IF($B2563="","",'Daily Sale entry '!J185)</f>
        <v/>
      </c>
      <c r="H2566" s="1" t="inlineStr">
        <is>
          <t>Other Charges 其他费用</t>
        </is>
      </c>
      <c r="I2566" s="9">
        <f>IF($B2563="","",B2566)</f>
        <v/>
      </c>
      <c r="K2566" s="1" t="inlineStr">
        <is>
          <t>Cheque Collection 支票收款</t>
        </is>
      </c>
      <c r="L2566" s="9">
        <f>IF($B2563="","",E2566)</f>
        <v/>
      </c>
    </row>
    <row r="2567">
      <c r="A2567" s="10" t="inlineStr">
        <is>
          <t>Amount 金额  (Cash Sales - Misc - Other)</t>
        </is>
      </c>
      <c r="B2567" s="11">
        <f>IF($B2563="","",ROUND(B2564-B2565-B2566,2))</f>
        <v/>
      </c>
      <c r="D2567" s="12" t="inlineStr">
        <is>
          <t>TNG collection TNG收款</t>
        </is>
      </c>
      <c r="E2567" s="13">
        <f>IF($B2563="","",'Daily Sale entry '!K185)</f>
        <v/>
      </c>
      <c r="H2567" s="10" t="inlineStr">
        <is>
          <t>Amount 金额  (Cash Sales - Misc - Other)</t>
        </is>
      </c>
      <c r="I2567" s="11">
        <f>IF($B2563="","",ROUND(I2564-I2565-I2566,2))</f>
        <v/>
      </c>
      <c r="K2567" s="12" t="inlineStr">
        <is>
          <t>TNG collection TNG收款</t>
        </is>
      </c>
      <c r="L2567" s="13">
        <f>IF($B2563="","",E2567)</f>
        <v/>
      </c>
    </row>
    <row r="2568">
      <c r="A2568" t="inlineStr">
        <is>
          <t>Credit Collection 赊账收款</t>
        </is>
      </c>
      <c r="B2568" s="6">
        <f>IF($B2563="","",'Daily Sale entry '!E185)</f>
        <v/>
      </c>
      <c r="D2568" t="inlineStr">
        <is>
          <t>Advance Salary_M 预支薪水_M</t>
        </is>
      </c>
      <c r="E2568" s="6">
        <f>IF($B2563="","",'Daily Sale entry '!L185)</f>
        <v/>
      </c>
      <c r="H2568" t="inlineStr">
        <is>
          <t>Credit Collection 赊账收款</t>
        </is>
      </c>
      <c r="I2568" s="6">
        <f>IF($B2563="","",B2568)</f>
        <v/>
      </c>
      <c r="K2568" t="inlineStr">
        <is>
          <t>Advance Salary_M 预支薪水_M</t>
        </is>
      </c>
      <c r="L2568" s="6">
        <f>IF($B2563="","",E2568)</f>
        <v/>
      </c>
    </row>
    <row r="2569">
      <c r="A2569" s="10" t="inlineStr">
        <is>
          <t>Amount 2 金额2  (Amount + Credit Collection)</t>
        </is>
      </c>
      <c r="B2569" s="11">
        <f>IF($B2563="","",ROUND(B2567+B2568,2))</f>
        <v/>
      </c>
      <c r="D2569" t="inlineStr">
        <is>
          <t>Advance Salary_H 预支薪水_H</t>
        </is>
      </c>
      <c r="E2569" s="6">
        <f>IF($B2563="","",'Daily Sale entry '!M185)</f>
        <v/>
      </c>
      <c r="H2569" s="10" t="inlineStr">
        <is>
          <t>Amount 2 金额2  (Amount + Credit Collection)</t>
        </is>
      </c>
      <c r="I2569" s="11">
        <f>IF($B2563="","",ROUND(I2567+I2568,2))</f>
        <v/>
      </c>
      <c r="K2569" t="inlineStr">
        <is>
          <t>Advance Salary_H 预支薪水_H</t>
        </is>
      </c>
      <c r="L2569" s="6">
        <f>IF($B2563="","",E2569)</f>
        <v/>
      </c>
    </row>
    <row r="2570"/>
    <row r="2571">
      <c r="A2571" s="1" t="inlineStr">
        <is>
          <t>b/f petty cash 上日备用金结转</t>
        </is>
      </c>
      <c r="B2571" s="9">
        <f>IF($B2563="","",'Daily Sale entry '!F185)</f>
        <v/>
      </c>
      <c r="D2571" s="1" t="n"/>
      <c r="E2571" s="1" t="n"/>
      <c r="H2571" s="1" t="inlineStr">
        <is>
          <t>b/f petty cash 上日备用金结转</t>
        </is>
      </c>
      <c r="I2571" s="9">
        <f>IF($B2563="","",B2571)</f>
        <v/>
      </c>
      <c r="K2571" s="1" t="n"/>
      <c r="L2571" s="1" t="n"/>
    </row>
    <row r="2572">
      <c r="A2572" t="inlineStr">
        <is>
          <t>Total (A) 总计 (A)</t>
        </is>
      </c>
      <c r="B2572" s="6">
        <f>IF($B2563="","",ROUND(B2569+B2571,2))</f>
        <v/>
      </c>
      <c r="D2572" t="inlineStr">
        <is>
          <t>Total(B) 总计 (B)</t>
        </is>
      </c>
      <c r="E2572" s="6">
        <f>IF($B2563="","",ROUND(E2564+E2565+E2566+E2567+E2568+E2569,2))</f>
        <v/>
      </c>
      <c r="H2572" t="inlineStr">
        <is>
          <t>Total© 总计 (C)</t>
        </is>
      </c>
      <c r="I2572" s="6">
        <f>IF($B2563="","",ROUND(I2569+I2571,2))</f>
        <v/>
      </c>
      <c r="K2572" t="inlineStr">
        <is>
          <t>Total(D) 总计 (D)</t>
        </is>
      </c>
      <c r="L2572" s="6">
        <f>IF($B2563="","",ROUND(L2564+L2565+L2566+L2567+L2568+L2569,2))</f>
        <v/>
      </c>
    </row>
    <row r="2573">
      <c r="A2573" s="14" t="inlineStr">
        <is>
          <t>Total = Amount 2 + b/f petty cash  (金额2 + 上日备用金)</t>
        </is>
      </c>
      <c r="H2573" s="14" t="inlineStr">
        <is>
          <t>Total = Amount 2 + b/f petty cash  (金额2 + 上日备用金)</t>
        </is>
      </c>
    </row>
    <row r="2574">
      <c r="A2574" t="inlineStr">
        <is>
          <t>Different 差额</t>
        </is>
      </c>
      <c r="B2574" s="6">
        <f>IF($B2563="","",ROUND(B2572-E2572,2))</f>
        <v/>
      </c>
      <c r="D2574">
        <f>IF($B2563="","",IF(ABS(B2574)&gt;'Opening Balance'!$B$16,"ALERT 警报: Different over RM"&amp;'Opening Balance'!$B$16&amp;" 差额超过RM"&amp;'Opening Balance'!$B$16&amp;" - please check 请检查",IF(B2574=0,"Tied 平衡",IF(ABS(B2574)&lt;='Opening Balance'!$B$13,"Small difference 小额差额: adjusted on c/f petty cash 已调整备用金",IF(B2574&gt;0,"Short 短收: added to Misc Charges 已加入杂项费用","Over 多收: added to Cash Sales 已加入现金销售")))))</f>
        <v/>
      </c>
      <c r="H2574" t="inlineStr">
        <is>
          <t>Different 差额</t>
        </is>
      </c>
      <c r="I2574" s="6">
        <f>IF($B2563="","",ROUND(I2572-L2572,2))</f>
        <v/>
      </c>
    </row>
    <row r="2575"/>
    <row r="2576"/>
    <row r="2577">
      <c r="A2577" t="inlineStr">
        <is>
          <t>Date 日期</t>
        </is>
      </c>
      <c r="B2577" s="5">
        <f>IF('Daily Sale entry '!$A186="","",'Daily Sale entry '!$A186)</f>
        <v/>
      </c>
      <c r="H2577" t="inlineStr">
        <is>
          <t>After 调整后 (After)</t>
        </is>
      </c>
      <c r="I2577" s="5">
        <f>IF($B2577="","",B2577)</f>
        <v/>
      </c>
    </row>
    <row r="2578">
      <c r="A2578" t="inlineStr">
        <is>
          <t>Cash Sales 现金销售</t>
        </is>
      </c>
      <c r="B2578" s="6">
        <f>IF($B2577="","",'Daily Sale entry '!B186)</f>
        <v/>
      </c>
      <c r="D2578" t="inlineStr">
        <is>
          <t>c/f petty cash 今日备用金结转</t>
        </is>
      </c>
      <c r="E2578" s="6">
        <f>IF($B2577="","",'Daily Sale entry '!G186)</f>
        <v/>
      </c>
      <c r="H2578" t="inlineStr">
        <is>
          <t>Cash Sales 现金销售</t>
        </is>
      </c>
      <c r="I2578" s="6">
        <f>IF($B2577="","",IF(AND(ABS(B2588)&gt;'Opening Balance'!$B$13,B2588&lt;0),ROUND(B2578-B2588,2),B2578))</f>
        <v/>
      </c>
      <c r="K2578" t="inlineStr">
        <is>
          <t>c/f petty cash 今日备用金结转</t>
        </is>
      </c>
      <c r="L2578" s="6">
        <f>IF($B2577="","",IF(ABS(B2588)&lt;='Opening Balance'!$B$13,ROUND(E2578+B2588,2),E2578))</f>
        <v/>
      </c>
    </row>
    <row r="2579">
      <c r="A2579" t="inlineStr">
        <is>
          <t>Misc Charges 杂项费用</t>
        </is>
      </c>
      <c r="B2579" s="6">
        <f>IF($B2577="","",'Daily Sale entry '!C186)</f>
        <v/>
      </c>
      <c r="D2579" t="inlineStr">
        <is>
          <t>cash collection 现金收款</t>
        </is>
      </c>
      <c r="E2579" s="6">
        <f>IF($B2577="","",'Daily Sale entry '!H186)</f>
        <v/>
      </c>
      <c r="H2579" t="inlineStr">
        <is>
          <t>Misc Charges 杂项费用</t>
        </is>
      </c>
      <c r="I2579" s="6">
        <f>IF($B2577="","",IF(AND(ABS(B2588)&gt;'Opening Balance'!$B$13,B2588&gt;0),ROUND(B2579+B2588,2),B2579))</f>
        <v/>
      </c>
      <c r="K2579" t="inlineStr">
        <is>
          <t>cash collection 现金收款</t>
        </is>
      </c>
      <c r="L2579" s="6">
        <f>IF($B2577="","",E2579)</f>
        <v/>
      </c>
    </row>
    <row r="2580">
      <c r="A2580" s="1" t="inlineStr">
        <is>
          <t>Other Charges 其他费用</t>
        </is>
      </c>
      <c r="B2580" s="9">
        <f>IF($B2577="","",'Daily Sale entry '!D186)</f>
        <v/>
      </c>
      <c r="D2580" s="1" t="inlineStr">
        <is>
          <t>Cheque Collection 支票收款</t>
        </is>
      </c>
      <c r="E2580" s="9">
        <f>IF($B2577="","",'Daily Sale entry '!J186)</f>
        <v/>
      </c>
      <c r="H2580" s="1" t="inlineStr">
        <is>
          <t>Other Charges 其他费用</t>
        </is>
      </c>
      <c r="I2580" s="9">
        <f>IF($B2577="","",B2580)</f>
        <v/>
      </c>
      <c r="K2580" s="1" t="inlineStr">
        <is>
          <t>Cheque Collection 支票收款</t>
        </is>
      </c>
      <c r="L2580" s="9">
        <f>IF($B2577="","",E2580)</f>
        <v/>
      </c>
    </row>
    <row r="2581">
      <c r="A2581" s="10" t="inlineStr">
        <is>
          <t>Amount 金额  (Cash Sales - Misc - Other)</t>
        </is>
      </c>
      <c r="B2581" s="11">
        <f>IF($B2577="","",ROUND(B2578-B2579-B2580,2))</f>
        <v/>
      </c>
      <c r="D2581" s="12" t="inlineStr">
        <is>
          <t>TNG collection TNG收款</t>
        </is>
      </c>
      <c r="E2581" s="13">
        <f>IF($B2577="","",'Daily Sale entry '!K186)</f>
        <v/>
      </c>
      <c r="H2581" s="10" t="inlineStr">
        <is>
          <t>Amount 金额  (Cash Sales - Misc - Other)</t>
        </is>
      </c>
      <c r="I2581" s="11">
        <f>IF($B2577="","",ROUND(I2578-I2579-I2580,2))</f>
        <v/>
      </c>
      <c r="K2581" s="12" t="inlineStr">
        <is>
          <t>TNG collection TNG收款</t>
        </is>
      </c>
      <c r="L2581" s="13">
        <f>IF($B2577="","",E2581)</f>
        <v/>
      </c>
    </row>
    <row r="2582">
      <c r="A2582" t="inlineStr">
        <is>
          <t>Credit Collection 赊账收款</t>
        </is>
      </c>
      <c r="B2582" s="6">
        <f>IF($B2577="","",'Daily Sale entry '!E186)</f>
        <v/>
      </c>
      <c r="D2582" t="inlineStr">
        <is>
          <t>Advance Salary_M 预支薪水_M</t>
        </is>
      </c>
      <c r="E2582" s="6">
        <f>IF($B2577="","",'Daily Sale entry '!L186)</f>
        <v/>
      </c>
      <c r="H2582" t="inlineStr">
        <is>
          <t>Credit Collection 赊账收款</t>
        </is>
      </c>
      <c r="I2582" s="6">
        <f>IF($B2577="","",B2582)</f>
        <v/>
      </c>
      <c r="K2582" t="inlineStr">
        <is>
          <t>Advance Salary_M 预支薪水_M</t>
        </is>
      </c>
      <c r="L2582" s="6">
        <f>IF($B2577="","",E2582)</f>
        <v/>
      </c>
    </row>
    <row r="2583">
      <c r="A2583" s="10" t="inlineStr">
        <is>
          <t>Amount 2 金额2  (Amount + Credit Collection)</t>
        </is>
      </c>
      <c r="B2583" s="11">
        <f>IF($B2577="","",ROUND(B2581+B2582,2))</f>
        <v/>
      </c>
      <c r="D2583" t="inlineStr">
        <is>
          <t>Advance Salary_H 预支薪水_H</t>
        </is>
      </c>
      <c r="E2583" s="6">
        <f>IF($B2577="","",'Daily Sale entry '!M186)</f>
        <v/>
      </c>
      <c r="H2583" s="10" t="inlineStr">
        <is>
          <t>Amount 2 金额2  (Amount + Credit Collection)</t>
        </is>
      </c>
      <c r="I2583" s="11">
        <f>IF($B2577="","",ROUND(I2581+I2582,2))</f>
        <v/>
      </c>
      <c r="K2583" t="inlineStr">
        <is>
          <t>Advance Salary_H 预支薪水_H</t>
        </is>
      </c>
      <c r="L2583" s="6">
        <f>IF($B2577="","",E2583)</f>
        <v/>
      </c>
    </row>
    <row r="2584"/>
    <row r="2585">
      <c r="A2585" s="1" t="inlineStr">
        <is>
          <t>b/f petty cash 上日备用金结转</t>
        </is>
      </c>
      <c r="B2585" s="9">
        <f>IF($B2577="","",'Daily Sale entry '!F186)</f>
        <v/>
      </c>
      <c r="D2585" s="1" t="n"/>
      <c r="E2585" s="1" t="n"/>
      <c r="H2585" s="1" t="inlineStr">
        <is>
          <t>b/f petty cash 上日备用金结转</t>
        </is>
      </c>
      <c r="I2585" s="9">
        <f>IF($B2577="","",B2585)</f>
        <v/>
      </c>
      <c r="K2585" s="1" t="n"/>
      <c r="L2585" s="1" t="n"/>
    </row>
    <row r="2586">
      <c r="A2586" t="inlineStr">
        <is>
          <t>Total (A) 总计 (A)</t>
        </is>
      </c>
      <c r="B2586" s="6">
        <f>IF($B2577="","",ROUND(B2583+B2585,2))</f>
        <v/>
      </c>
      <c r="D2586" t="inlineStr">
        <is>
          <t>Total(B) 总计 (B)</t>
        </is>
      </c>
      <c r="E2586" s="6">
        <f>IF($B2577="","",ROUND(E2578+E2579+E2580+E2581+E2582+E2583,2))</f>
        <v/>
      </c>
      <c r="H2586" t="inlineStr">
        <is>
          <t>Total© 总计 (C)</t>
        </is>
      </c>
      <c r="I2586" s="6">
        <f>IF($B2577="","",ROUND(I2583+I2585,2))</f>
        <v/>
      </c>
      <c r="K2586" t="inlineStr">
        <is>
          <t>Total(D) 总计 (D)</t>
        </is>
      </c>
      <c r="L2586" s="6">
        <f>IF($B2577="","",ROUND(L2578+L2579+L2580+L2581+L2582+L2583,2))</f>
        <v/>
      </c>
    </row>
    <row r="2587">
      <c r="A2587" s="14" t="inlineStr">
        <is>
          <t>Total = Amount 2 + b/f petty cash  (金额2 + 上日备用金)</t>
        </is>
      </c>
      <c r="H2587" s="14" t="inlineStr">
        <is>
          <t>Total = Amount 2 + b/f petty cash  (金额2 + 上日备用金)</t>
        </is>
      </c>
    </row>
    <row r="2588">
      <c r="A2588" t="inlineStr">
        <is>
          <t>Different 差额</t>
        </is>
      </c>
      <c r="B2588" s="6">
        <f>IF($B2577="","",ROUND(B2586-E2586,2))</f>
        <v/>
      </c>
      <c r="D2588">
        <f>IF($B2577="","",IF(ABS(B2588)&gt;'Opening Balance'!$B$16,"ALERT 警报: Different over RM"&amp;'Opening Balance'!$B$16&amp;" 差额超过RM"&amp;'Opening Balance'!$B$16&amp;" - please check 请检查",IF(B2588=0,"Tied 平衡",IF(ABS(B2588)&lt;='Opening Balance'!$B$13,"Small difference 小额差额: adjusted on c/f petty cash 已调整备用金",IF(B2588&gt;0,"Short 短收: added to Misc Charges 已加入杂项费用","Over 多收: added to Cash Sales 已加入现金销售")))))</f>
        <v/>
      </c>
      <c r="H2588" t="inlineStr">
        <is>
          <t>Different 差额</t>
        </is>
      </c>
      <c r="I2588" s="6">
        <f>IF($B2577="","",ROUND(I2586-L2586,2))</f>
        <v/>
      </c>
    </row>
    <row r="2589"/>
    <row r="2590"/>
    <row r="2591">
      <c r="A2591" t="inlineStr">
        <is>
          <t>Date 日期</t>
        </is>
      </c>
      <c r="B2591" s="5">
        <f>IF('Daily Sale entry '!$A187="","",'Daily Sale entry '!$A187)</f>
        <v/>
      </c>
      <c r="H2591" t="inlineStr">
        <is>
          <t>After 调整后 (After)</t>
        </is>
      </c>
      <c r="I2591" s="5">
        <f>IF($B2591="","",B2591)</f>
        <v/>
      </c>
    </row>
    <row r="2592">
      <c r="A2592" t="inlineStr">
        <is>
          <t>Cash Sales 现金销售</t>
        </is>
      </c>
      <c r="B2592" s="6">
        <f>IF($B2591="","",'Daily Sale entry '!B187)</f>
        <v/>
      </c>
      <c r="D2592" t="inlineStr">
        <is>
          <t>c/f petty cash 今日备用金结转</t>
        </is>
      </c>
      <c r="E2592" s="6">
        <f>IF($B2591="","",'Daily Sale entry '!G187)</f>
        <v/>
      </c>
      <c r="H2592" t="inlineStr">
        <is>
          <t>Cash Sales 现金销售</t>
        </is>
      </c>
      <c r="I2592" s="6">
        <f>IF($B2591="","",IF(AND(ABS(B2602)&gt;'Opening Balance'!$B$13,B2602&lt;0),ROUND(B2592-B2602,2),B2592))</f>
        <v/>
      </c>
      <c r="K2592" t="inlineStr">
        <is>
          <t>c/f petty cash 今日备用金结转</t>
        </is>
      </c>
      <c r="L2592" s="6">
        <f>IF($B2591="","",IF(ABS(B2602)&lt;='Opening Balance'!$B$13,ROUND(E2592+B2602,2),E2592))</f>
        <v/>
      </c>
    </row>
    <row r="2593">
      <c r="A2593" t="inlineStr">
        <is>
          <t>Misc Charges 杂项费用</t>
        </is>
      </c>
      <c r="B2593" s="6">
        <f>IF($B2591="","",'Daily Sale entry '!C187)</f>
        <v/>
      </c>
      <c r="D2593" t="inlineStr">
        <is>
          <t>cash collection 现金收款</t>
        </is>
      </c>
      <c r="E2593" s="6">
        <f>IF($B2591="","",'Daily Sale entry '!H187)</f>
        <v/>
      </c>
      <c r="H2593" t="inlineStr">
        <is>
          <t>Misc Charges 杂项费用</t>
        </is>
      </c>
      <c r="I2593" s="6">
        <f>IF($B2591="","",IF(AND(ABS(B2602)&gt;'Opening Balance'!$B$13,B2602&gt;0),ROUND(B2593+B2602,2),B2593))</f>
        <v/>
      </c>
      <c r="K2593" t="inlineStr">
        <is>
          <t>cash collection 现金收款</t>
        </is>
      </c>
      <c r="L2593" s="6">
        <f>IF($B2591="","",E2593)</f>
        <v/>
      </c>
    </row>
    <row r="2594">
      <c r="A2594" s="1" t="inlineStr">
        <is>
          <t>Other Charges 其他费用</t>
        </is>
      </c>
      <c r="B2594" s="9">
        <f>IF($B2591="","",'Daily Sale entry '!D187)</f>
        <v/>
      </c>
      <c r="D2594" s="1" t="inlineStr">
        <is>
          <t>Cheque Collection 支票收款</t>
        </is>
      </c>
      <c r="E2594" s="9">
        <f>IF($B2591="","",'Daily Sale entry '!J187)</f>
        <v/>
      </c>
      <c r="H2594" s="1" t="inlineStr">
        <is>
          <t>Other Charges 其他费用</t>
        </is>
      </c>
      <c r="I2594" s="9">
        <f>IF($B2591="","",B2594)</f>
        <v/>
      </c>
      <c r="K2594" s="1" t="inlineStr">
        <is>
          <t>Cheque Collection 支票收款</t>
        </is>
      </c>
      <c r="L2594" s="9">
        <f>IF($B2591="","",E2594)</f>
        <v/>
      </c>
    </row>
    <row r="2595">
      <c r="A2595" s="10" t="inlineStr">
        <is>
          <t>Amount 金额  (Cash Sales - Misc - Other)</t>
        </is>
      </c>
      <c r="B2595" s="11">
        <f>IF($B2591="","",ROUND(B2592-B2593-B2594,2))</f>
        <v/>
      </c>
      <c r="D2595" s="12" t="inlineStr">
        <is>
          <t>TNG collection TNG收款</t>
        </is>
      </c>
      <c r="E2595" s="13">
        <f>IF($B2591="","",'Daily Sale entry '!K187)</f>
        <v/>
      </c>
      <c r="H2595" s="10" t="inlineStr">
        <is>
          <t>Amount 金额  (Cash Sales - Misc - Other)</t>
        </is>
      </c>
      <c r="I2595" s="11">
        <f>IF($B2591="","",ROUND(I2592-I2593-I2594,2))</f>
        <v/>
      </c>
      <c r="K2595" s="12" t="inlineStr">
        <is>
          <t>TNG collection TNG收款</t>
        </is>
      </c>
      <c r="L2595" s="13">
        <f>IF($B2591="","",E2595)</f>
        <v/>
      </c>
    </row>
    <row r="2596">
      <c r="A2596" t="inlineStr">
        <is>
          <t>Credit Collection 赊账收款</t>
        </is>
      </c>
      <c r="B2596" s="6">
        <f>IF($B2591="","",'Daily Sale entry '!E187)</f>
        <v/>
      </c>
      <c r="D2596" t="inlineStr">
        <is>
          <t>Advance Salary_M 预支薪水_M</t>
        </is>
      </c>
      <c r="E2596" s="6">
        <f>IF($B2591="","",'Daily Sale entry '!L187)</f>
        <v/>
      </c>
      <c r="H2596" t="inlineStr">
        <is>
          <t>Credit Collection 赊账收款</t>
        </is>
      </c>
      <c r="I2596" s="6">
        <f>IF($B2591="","",B2596)</f>
        <v/>
      </c>
      <c r="K2596" t="inlineStr">
        <is>
          <t>Advance Salary_M 预支薪水_M</t>
        </is>
      </c>
      <c r="L2596" s="6">
        <f>IF($B2591="","",E2596)</f>
        <v/>
      </c>
    </row>
    <row r="2597">
      <c r="A2597" s="10" t="inlineStr">
        <is>
          <t>Amount 2 金额2  (Amount + Credit Collection)</t>
        </is>
      </c>
      <c r="B2597" s="11">
        <f>IF($B2591="","",ROUND(B2595+B2596,2))</f>
        <v/>
      </c>
      <c r="D2597" t="inlineStr">
        <is>
          <t>Advance Salary_H 预支薪水_H</t>
        </is>
      </c>
      <c r="E2597" s="6">
        <f>IF($B2591="","",'Daily Sale entry '!M187)</f>
        <v/>
      </c>
      <c r="H2597" s="10" t="inlineStr">
        <is>
          <t>Amount 2 金额2  (Amount + Credit Collection)</t>
        </is>
      </c>
      <c r="I2597" s="11">
        <f>IF($B2591="","",ROUND(I2595+I2596,2))</f>
        <v/>
      </c>
      <c r="K2597" t="inlineStr">
        <is>
          <t>Advance Salary_H 预支薪水_H</t>
        </is>
      </c>
      <c r="L2597" s="6">
        <f>IF($B2591="","",E2597)</f>
        <v/>
      </c>
    </row>
    <row r="2598"/>
    <row r="2599">
      <c r="A2599" s="1" t="inlineStr">
        <is>
          <t>b/f petty cash 上日备用金结转</t>
        </is>
      </c>
      <c r="B2599" s="9">
        <f>IF($B2591="","",'Daily Sale entry '!F187)</f>
        <v/>
      </c>
      <c r="D2599" s="1" t="n"/>
      <c r="E2599" s="1" t="n"/>
      <c r="H2599" s="1" t="inlineStr">
        <is>
          <t>b/f petty cash 上日备用金结转</t>
        </is>
      </c>
      <c r="I2599" s="9">
        <f>IF($B2591="","",B2599)</f>
        <v/>
      </c>
      <c r="K2599" s="1" t="n"/>
      <c r="L2599" s="1" t="n"/>
    </row>
    <row r="2600">
      <c r="A2600" t="inlineStr">
        <is>
          <t>Total (A) 总计 (A)</t>
        </is>
      </c>
      <c r="B2600" s="6">
        <f>IF($B2591="","",ROUND(B2597+B2599,2))</f>
        <v/>
      </c>
      <c r="D2600" t="inlineStr">
        <is>
          <t>Total(B) 总计 (B)</t>
        </is>
      </c>
      <c r="E2600" s="6">
        <f>IF($B2591="","",ROUND(E2592+E2593+E2594+E2595+E2596+E2597,2))</f>
        <v/>
      </c>
      <c r="H2600" t="inlineStr">
        <is>
          <t>Total© 总计 (C)</t>
        </is>
      </c>
      <c r="I2600" s="6">
        <f>IF($B2591="","",ROUND(I2597+I2599,2))</f>
        <v/>
      </c>
      <c r="K2600" t="inlineStr">
        <is>
          <t>Total(D) 总计 (D)</t>
        </is>
      </c>
      <c r="L2600" s="6">
        <f>IF($B2591="","",ROUND(L2592+L2593+L2594+L2595+L2596+L2597,2))</f>
        <v/>
      </c>
    </row>
    <row r="2601">
      <c r="A2601" s="14" t="inlineStr">
        <is>
          <t>Total = Amount 2 + b/f petty cash  (金额2 + 上日备用金)</t>
        </is>
      </c>
      <c r="H2601" s="14" t="inlineStr">
        <is>
          <t>Total = Amount 2 + b/f petty cash  (金额2 + 上日备用金)</t>
        </is>
      </c>
    </row>
    <row r="2602">
      <c r="A2602" t="inlineStr">
        <is>
          <t>Different 差额</t>
        </is>
      </c>
      <c r="B2602" s="6">
        <f>IF($B2591="","",ROUND(B2600-E2600,2))</f>
        <v/>
      </c>
      <c r="D2602">
        <f>IF($B2591="","",IF(ABS(B2602)&gt;'Opening Balance'!$B$16,"ALERT 警报: Different over RM"&amp;'Opening Balance'!$B$16&amp;" 差额超过RM"&amp;'Opening Balance'!$B$16&amp;" - please check 请检查",IF(B2602=0,"Tied 平衡",IF(ABS(B2602)&lt;='Opening Balance'!$B$13,"Small difference 小额差额: adjusted on c/f petty cash 已调整备用金",IF(B2602&gt;0,"Short 短收: added to Misc Charges 已加入杂项费用","Over 多收: added to Cash Sales 已加入现金销售")))))</f>
        <v/>
      </c>
      <c r="H2602" t="inlineStr">
        <is>
          <t>Different 差额</t>
        </is>
      </c>
      <c r="I2602" s="6">
        <f>IF($B2591="","",ROUND(I2600-L2600,2))</f>
        <v/>
      </c>
    </row>
    <row r="2603"/>
    <row r="2604"/>
    <row r="2605">
      <c r="A2605" t="inlineStr">
        <is>
          <t>Date 日期</t>
        </is>
      </c>
      <c r="B2605" s="5">
        <f>IF('Daily Sale entry '!$A188="","",'Daily Sale entry '!$A188)</f>
        <v/>
      </c>
      <c r="H2605" t="inlineStr">
        <is>
          <t>After 调整后 (After)</t>
        </is>
      </c>
      <c r="I2605" s="5">
        <f>IF($B2605="","",B2605)</f>
        <v/>
      </c>
    </row>
    <row r="2606">
      <c r="A2606" t="inlineStr">
        <is>
          <t>Cash Sales 现金销售</t>
        </is>
      </c>
      <c r="B2606" s="6">
        <f>IF($B2605="","",'Daily Sale entry '!B188)</f>
        <v/>
      </c>
      <c r="D2606" t="inlineStr">
        <is>
          <t>c/f petty cash 今日备用金结转</t>
        </is>
      </c>
      <c r="E2606" s="6">
        <f>IF($B2605="","",'Daily Sale entry '!G188)</f>
        <v/>
      </c>
      <c r="H2606" t="inlineStr">
        <is>
          <t>Cash Sales 现金销售</t>
        </is>
      </c>
      <c r="I2606" s="6">
        <f>IF($B2605="","",IF(AND(ABS(B2616)&gt;'Opening Balance'!$B$13,B2616&lt;0),ROUND(B2606-B2616,2),B2606))</f>
        <v/>
      </c>
      <c r="K2606" t="inlineStr">
        <is>
          <t>c/f petty cash 今日备用金结转</t>
        </is>
      </c>
      <c r="L2606" s="6">
        <f>IF($B2605="","",IF(ABS(B2616)&lt;='Opening Balance'!$B$13,ROUND(E2606+B2616,2),E2606))</f>
        <v/>
      </c>
    </row>
    <row r="2607">
      <c r="A2607" t="inlineStr">
        <is>
          <t>Misc Charges 杂项费用</t>
        </is>
      </c>
      <c r="B2607" s="6">
        <f>IF($B2605="","",'Daily Sale entry '!C188)</f>
        <v/>
      </c>
      <c r="D2607" t="inlineStr">
        <is>
          <t>cash collection 现金收款</t>
        </is>
      </c>
      <c r="E2607" s="6">
        <f>IF($B2605="","",'Daily Sale entry '!H188)</f>
        <v/>
      </c>
      <c r="H2607" t="inlineStr">
        <is>
          <t>Misc Charges 杂项费用</t>
        </is>
      </c>
      <c r="I2607" s="6">
        <f>IF($B2605="","",IF(AND(ABS(B2616)&gt;'Opening Balance'!$B$13,B2616&gt;0),ROUND(B2607+B2616,2),B2607))</f>
        <v/>
      </c>
      <c r="K2607" t="inlineStr">
        <is>
          <t>cash collection 现金收款</t>
        </is>
      </c>
      <c r="L2607" s="6">
        <f>IF($B2605="","",E2607)</f>
        <v/>
      </c>
    </row>
    <row r="2608">
      <c r="A2608" s="1" t="inlineStr">
        <is>
          <t>Other Charges 其他费用</t>
        </is>
      </c>
      <c r="B2608" s="9">
        <f>IF($B2605="","",'Daily Sale entry '!D188)</f>
        <v/>
      </c>
      <c r="D2608" s="1" t="inlineStr">
        <is>
          <t>Cheque Collection 支票收款</t>
        </is>
      </c>
      <c r="E2608" s="9">
        <f>IF($B2605="","",'Daily Sale entry '!J188)</f>
        <v/>
      </c>
      <c r="H2608" s="1" t="inlineStr">
        <is>
          <t>Other Charges 其他费用</t>
        </is>
      </c>
      <c r="I2608" s="9">
        <f>IF($B2605="","",B2608)</f>
        <v/>
      </c>
      <c r="K2608" s="1" t="inlineStr">
        <is>
          <t>Cheque Collection 支票收款</t>
        </is>
      </c>
      <c r="L2608" s="9">
        <f>IF($B2605="","",E2608)</f>
        <v/>
      </c>
    </row>
    <row r="2609">
      <c r="A2609" s="10" t="inlineStr">
        <is>
          <t>Amount 金额  (Cash Sales - Misc - Other)</t>
        </is>
      </c>
      <c r="B2609" s="11">
        <f>IF($B2605="","",ROUND(B2606-B2607-B2608,2))</f>
        <v/>
      </c>
      <c r="D2609" s="12" t="inlineStr">
        <is>
          <t>TNG collection TNG收款</t>
        </is>
      </c>
      <c r="E2609" s="13">
        <f>IF($B2605="","",'Daily Sale entry '!K188)</f>
        <v/>
      </c>
      <c r="H2609" s="10" t="inlineStr">
        <is>
          <t>Amount 金额  (Cash Sales - Misc - Other)</t>
        </is>
      </c>
      <c r="I2609" s="11">
        <f>IF($B2605="","",ROUND(I2606-I2607-I2608,2))</f>
        <v/>
      </c>
      <c r="K2609" s="12" t="inlineStr">
        <is>
          <t>TNG collection TNG收款</t>
        </is>
      </c>
      <c r="L2609" s="13">
        <f>IF($B2605="","",E2609)</f>
        <v/>
      </c>
    </row>
    <row r="2610">
      <c r="A2610" t="inlineStr">
        <is>
          <t>Credit Collection 赊账收款</t>
        </is>
      </c>
      <c r="B2610" s="6">
        <f>IF($B2605="","",'Daily Sale entry '!E188)</f>
        <v/>
      </c>
      <c r="D2610" t="inlineStr">
        <is>
          <t>Advance Salary_M 预支薪水_M</t>
        </is>
      </c>
      <c r="E2610" s="6">
        <f>IF($B2605="","",'Daily Sale entry '!L188)</f>
        <v/>
      </c>
      <c r="H2610" t="inlineStr">
        <is>
          <t>Credit Collection 赊账收款</t>
        </is>
      </c>
      <c r="I2610" s="6">
        <f>IF($B2605="","",B2610)</f>
        <v/>
      </c>
      <c r="K2610" t="inlineStr">
        <is>
          <t>Advance Salary_M 预支薪水_M</t>
        </is>
      </c>
      <c r="L2610" s="6">
        <f>IF($B2605="","",E2610)</f>
        <v/>
      </c>
    </row>
    <row r="2611">
      <c r="A2611" s="10" t="inlineStr">
        <is>
          <t>Amount 2 金额2  (Amount + Credit Collection)</t>
        </is>
      </c>
      <c r="B2611" s="11">
        <f>IF($B2605="","",ROUND(B2609+B2610,2))</f>
        <v/>
      </c>
      <c r="D2611" t="inlineStr">
        <is>
          <t>Advance Salary_H 预支薪水_H</t>
        </is>
      </c>
      <c r="E2611" s="6">
        <f>IF($B2605="","",'Daily Sale entry '!M188)</f>
        <v/>
      </c>
      <c r="H2611" s="10" t="inlineStr">
        <is>
          <t>Amount 2 金额2  (Amount + Credit Collection)</t>
        </is>
      </c>
      <c r="I2611" s="11">
        <f>IF($B2605="","",ROUND(I2609+I2610,2))</f>
        <v/>
      </c>
      <c r="K2611" t="inlineStr">
        <is>
          <t>Advance Salary_H 预支薪水_H</t>
        </is>
      </c>
      <c r="L2611" s="6">
        <f>IF($B2605="","",E2611)</f>
        <v/>
      </c>
    </row>
    <row r="2612"/>
    <row r="2613">
      <c r="A2613" s="1" t="inlineStr">
        <is>
          <t>b/f petty cash 上日备用金结转</t>
        </is>
      </c>
      <c r="B2613" s="9">
        <f>IF($B2605="","",'Daily Sale entry '!F188)</f>
        <v/>
      </c>
      <c r="D2613" s="1" t="n"/>
      <c r="E2613" s="1" t="n"/>
      <c r="H2613" s="1" t="inlineStr">
        <is>
          <t>b/f petty cash 上日备用金结转</t>
        </is>
      </c>
      <c r="I2613" s="9">
        <f>IF($B2605="","",B2613)</f>
        <v/>
      </c>
      <c r="K2613" s="1" t="n"/>
      <c r="L2613" s="1" t="n"/>
    </row>
    <row r="2614">
      <c r="A2614" t="inlineStr">
        <is>
          <t>Total (A) 总计 (A)</t>
        </is>
      </c>
      <c r="B2614" s="6">
        <f>IF($B2605="","",ROUND(B2611+B2613,2))</f>
        <v/>
      </c>
      <c r="D2614" t="inlineStr">
        <is>
          <t>Total(B) 总计 (B)</t>
        </is>
      </c>
      <c r="E2614" s="6">
        <f>IF($B2605="","",ROUND(E2606+E2607+E2608+E2609+E2610+E2611,2))</f>
        <v/>
      </c>
      <c r="H2614" t="inlineStr">
        <is>
          <t>Total© 总计 (C)</t>
        </is>
      </c>
      <c r="I2614" s="6">
        <f>IF($B2605="","",ROUND(I2611+I2613,2))</f>
        <v/>
      </c>
      <c r="K2614" t="inlineStr">
        <is>
          <t>Total(D) 总计 (D)</t>
        </is>
      </c>
      <c r="L2614" s="6">
        <f>IF($B2605="","",ROUND(L2606+L2607+L2608+L2609+L2610+L2611,2))</f>
        <v/>
      </c>
    </row>
    <row r="2615">
      <c r="A2615" s="14" t="inlineStr">
        <is>
          <t>Total = Amount 2 + b/f petty cash  (金额2 + 上日备用金)</t>
        </is>
      </c>
      <c r="H2615" s="14" t="inlineStr">
        <is>
          <t>Total = Amount 2 + b/f petty cash  (金额2 + 上日备用金)</t>
        </is>
      </c>
    </row>
    <row r="2616">
      <c r="A2616" t="inlineStr">
        <is>
          <t>Different 差额</t>
        </is>
      </c>
      <c r="B2616" s="6">
        <f>IF($B2605="","",ROUND(B2614-E2614,2))</f>
        <v/>
      </c>
      <c r="D2616">
        <f>IF($B2605="","",IF(ABS(B2616)&gt;'Opening Balance'!$B$16,"ALERT 警报: Different over RM"&amp;'Opening Balance'!$B$16&amp;" 差额超过RM"&amp;'Opening Balance'!$B$16&amp;" - please check 请检查",IF(B2616=0,"Tied 平衡",IF(ABS(B2616)&lt;='Opening Balance'!$B$13,"Small difference 小额差额: adjusted on c/f petty cash 已调整备用金",IF(B2616&gt;0,"Short 短收: added to Misc Charges 已加入杂项费用","Over 多收: added to Cash Sales 已加入现金销售")))))</f>
        <v/>
      </c>
      <c r="H2616" t="inlineStr">
        <is>
          <t>Different 差额</t>
        </is>
      </c>
      <c r="I2616" s="6">
        <f>IF($B2605="","",ROUND(I2614-L2614,2))</f>
        <v/>
      </c>
    </row>
    <row r="2617"/>
    <row r="2618"/>
    <row r="2619">
      <c r="A2619" t="inlineStr">
        <is>
          <t>Date 日期</t>
        </is>
      </c>
      <c r="B2619" s="5">
        <f>IF('Daily Sale entry '!$A189="","",'Daily Sale entry '!$A189)</f>
        <v/>
      </c>
      <c r="H2619" t="inlineStr">
        <is>
          <t>After 调整后 (After)</t>
        </is>
      </c>
      <c r="I2619" s="5">
        <f>IF($B2619="","",B2619)</f>
        <v/>
      </c>
    </row>
    <row r="2620">
      <c r="A2620" t="inlineStr">
        <is>
          <t>Cash Sales 现金销售</t>
        </is>
      </c>
      <c r="B2620" s="6">
        <f>IF($B2619="","",'Daily Sale entry '!B189)</f>
        <v/>
      </c>
      <c r="D2620" t="inlineStr">
        <is>
          <t>c/f petty cash 今日备用金结转</t>
        </is>
      </c>
      <c r="E2620" s="6">
        <f>IF($B2619="","",'Daily Sale entry '!G189)</f>
        <v/>
      </c>
      <c r="H2620" t="inlineStr">
        <is>
          <t>Cash Sales 现金销售</t>
        </is>
      </c>
      <c r="I2620" s="6">
        <f>IF($B2619="","",IF(AND(ABS(B2630)&gt;'Opening Balance'!$B$13,B2630&lt;0),ROUND(B2620-B2630,2),B2620))</f>
        <v/>
      </c>
      <c r="K2620" t="inlineStr">
        <is>
          <t>c/f petty cash 今日备用金结转</t>
        </is>
      </c>
      <c r="L2620" s="6">
        <f>IF($B2619="","",IF(ABS(B2630)&lt;='Opening Balance'!$B$13,ROUND(E2620+B2630,2),E2620))</f>
        <v/>
      </c>
    </row>
    <row r="2621">
      <c r="A2621" t="inlineStr">
        <is>
          <t>Misc Charges 杂项费用</t>
        </is>
      </c>
      <c r="B2621" s="6">
        <f>IF($B2619="","",'Daily Sale entry '!C189)</f>
        <v/>
      </c>
      <c r="D2621" t="inlineStr">
        <is>
          <t>cash collection 现金收款</t>
        </is>
      </c>
      <c r="E2621" s="6">
        <f>IF($B2619="","",'Daily Sale entry '!H189)</f>
        <v/>
      </c>
      <c r="H2621" t="inlineStr">
        <is>
          <t>Misc Charges 杂项费用</t>
        </is>
      </c>
      <c r="I2621" s="6">
        <f>IF($B2619="","",IF(AND(ABS(B2630)&gt;'Opening Balance'!$B$13,B2630&gt;0),ROUND(B2621+B2630,2),B2621))</f>
        <v/>
      </c>
      <c r="K2621" t="inlineStr">
        <is>
          <t>cash collection 现金收款</t>
        </is>
      </c>
      <c r="L2621" s="6">
        <f>IF($B2619="","",E2621)</f>
        <v/>
      </c>
    </row>
    <row r="2622">
      <c r="A2622" s="1" t="inlineStr">
        <is>
          <t>Other Charges 其他费用</t>
        </is>
      </c>
      <c r="B2622" s="9">
        <f>IF($B2619="","",'Daily Sale entry '!D189)</f>
        <v/>
      </c>
      <c r="D2622" s="1" t="inlineStr">
        <is>
          <t>Cheque Collection 支票收款</t>
        </is>
      </c>
      <c r="E2622" s="9">
        <f>IF($B2619="","",'Daily Sale entry '!J189)</f>
        <v/>
      </c>
      <c r="H2622" s="1" t="inlineStr">
        <is>
          <t>Other Charges 其他费用</t>
        </is>
      </c>
      <c r="I2622" s="9">
        <f>IF($B2619="","",B2622)</f>
        <v/>
      </c>
      <c r="K2622" s="1" t="inlineStr">
        <is>
          <t>Cheque Collection 支票收款</t>
        </is>
      </c>
      <c r="L2622" s="9">
        <f>IF($B2619="","",E2622)</f>
        <v/>
      </c>
    </row>
    <row r="2623">
      <c r="A2623" s="10" t="inlineStr">
        <is>
          <t>Amount 金额  (Cash Sales - Misc - Other)</t>
        </is>
      </c>
      <c r="B2623" s="11">
        <f>IF($B2619="","",ROUND(B2620-B2621-B2622,2))</f>
        <v/>
      </c>
      <c r="D2623" s="12" t="inlineStr">
        <is>
          <t>TNG collection TNG收款</t>
        </is>
      </c>
      <c r="E2623" s="13">
        <f>IF($B2619="","",'Daily Sale entry '!K189)</f>
        <v/>
      </c>
      <c r="H2623" s="10" t="inlineStr">
        <is>
          <t>Amount 金额  (Cash Sales - Misc - Other)</t>
        </is>
      </c>
      <c r="I2623" s="11">
        <f>IF($B2619="","",ROUND(I2620-I2621-I2622,2))</f>
        <v/>
      </c>
      <c r="K2623" s="12" t="inlineStr">
        <is>
          <t>TNG collection TNG收款</t>
        </is>
      </c>
      <c r="L2623" s="13">
        <f>IF($B2619="","",E2623)</f>
        <v/>
      </c>
    </row>
    <row r="2624">
      <c r="A2624" t="inlineStr">
        <is>
          <t>Credit Collection 赊账收款</t>
        </is>
      </c>
      <c r="B2624" s="6">
        <f>IF($B2619="","",'Daily Sale entry '!E189)</f>
        <v/>
      </c>
      <c r="D2624" t="inlineStr">
        <is>
          <t>Advance Salary_M 预支薪水_M</t>
        </is>
      </c>
      <c r="E2624" s="6">
        <f>IF($B2619="","",'Daily Sale entry '!L189)</f>
        <v/>
      </c>
      <c r="H2624" t="inlineStr">
        <is>
          <t>Credit Collection 赊账收款</t>
        </is>
      </c>
      <c r="I2624" s="6">
        <f>IF($B2619="","",B2624)</f>
        <v/>
      </c>
      <c r="K2624" t="inlineStr">
        <is>
          <t>Advance Salary_M 预支薪水_M</t>
        </is>
      </c>
      <c r="L2624" s="6">
        <f>IF($B2619="","",E2624)</f>
        <v/>
      </c>
    </row>
    <row r="2625">
      <c r="A2625" s="10" t="inlineStr">
        <is>
          <t>Amount 2 金额2  (Amount + Credit Collection)</t>
        </is>
      </c>
      <c r="B2625" s="11">
        <f>IF($B2619="","",ROUND(B2623+B2624,2))</f>
        <v/>
      </c>
      <c r="D2625" t="inlineStr">
        <is>
          <t>Advance Salary_H 预支薪水_H</t>
        </is>
      </c>
      <c r="E2625" s="6">
        <f>IF($B2619="","",'Daily Sale entry '!M189)</f>
        <v/>
      </c>
      <c r="H2625" s="10" t="inlineStr">
        <is>
          <t>Amount 2 金额2  (Amount + Credit Collection)</t>
        </is>
      </c>
      <c r="I2625" s="11">
        <f>IF($B2619="","",ROUND(I2623+I2624,2))</f>
        <v/>
      </c>
      <c r="K2625" t="inlineStr">
        <is>
          <t>Advance Salary_H 预支薪水_H</t>
        </is>
      </c>
      <c r="L2625" s="6">
        <f>IF($B2619="","",E2625)</f>
        <v/>
      </c>
    </row>
    <row r="2626"/>
    <row r="2627">
      <c r="A2627" s="1" t="inlineStr">
        <is>
          <t>b/f petty cash 上日备用金结转</t>
        </is>
      </c>
      <c r="B2627" s="9">
        <f>IF($B2619="","",'Daily Sale entry '!F189)</f>
        <v/>
      </c>
      <c r="D2627" s="1" t="n"/>
      <c r="E2627" s="1" t="n"/>
      <c r="H2627" s="1" t="inlineStr">
        <is>
          <t>b/f petty cash 上日备用金结转</t>
        </is>
      </c>
      <c r="I2627" s="9">
        <f>IF($B2619="","",B2627)</f>
        <v/>
      </c>
      <c r="K2627" s="1" t="n"/>
      <c r="L2627" s="1" t="n"/>
    </row>
    <row r="2628">
      <c r="A2628" t="inlineStr">
        <is>
          <t>Total (A) 总计 (A)</t>
        </is>
      </c>
      <c r="B2628" s="6">
        <f>IF($B2619="","",ROUND(B2625+B2627,2))</f>
        <v/>
      </c>
      <c r="D2628" t="inlineStr">
        <is>
          <t>Total(B) 总计 (B)</t>
        </is>
      </c>
      <c r="E2628" s="6">
        <f>IF($B2619="","",ROUND(E2620+E2621+E2622+E2623+E2624+E2625,2))</f>
        <v/>
      </c>
      <c r="H2628" t="inlineStr">
        <is>
          <t>Total© 总计 (C)</t>
        </is>
      </c>
      <c r="I2628" s="6">
        <f>IF($B2619="","",ROUND(I2625+I2627,2))</f>
        <v/>
      </c>
      <c r="K2628" t="inlineStr">
        <is>
          <t>Total(D) 总计 (D)</t>
        </is>
      </c>
      <c r="L2628" s="6">
        <f>IF($B2619="","",ROUND(L2620+L2621+L2622+L2623+L2624+L2625,2))</f>
        <v/>
      </c>
    </row>
    <row r="2629">
      <c r="A2629" s="14" t="inlineStr">
        <is>
          <t>Total = Amount 2 + b/f petty cash  (金额2 + 上日备用金)</t>
        </is>
      </c>
      <c r="H2629" s="14" t="inlineStr">
        <is>
          <t>Total = Amount 2 + b/f petty cash  (金额2 + 上日备用金)</t>
        </is>
      </c>
    </row>
    <row r="2630">
      <c r="A2630" t="inlineStr">
        <is>
          <t>Different 差额</t>
        </is>
      </c>
      <c r="B2630" s="6">
        <f>IF($B2619="","",ROUND(B2628-E2628,2))</f>
        <v/>
      </c>
      <c r="D2630">
        <f>IF($B2619="","",IF(ABS(B2630)&gt;'Opening Balance'!$B$16,"ALERT 警报: Different over RM"&amp;'Opening Balance'!$B$16&amp;" 差额超过RM"&amp;'Opening Balance'!$B$16&amp;" - please check 请检查",IF(B2630=0,"Tied 平衡",IF(ABS(B2630)&lt;='Opening Balance'!$B$13,"Small difference 小额差额: adjusted on c/f petty cash 已调整备用金",IF(B2630&gt;0,"Short 短收: added to Misc Charges 已加入杂项费用","Over 多收: added to Cash Sales 已加入现金销售")))))</f>
        <v/>
      </c>
      <c r="H2630" t="inlineStr">
        <is>
          <t>Different 差额</t>
        </is>
      </c>
      <c r="I2630" s="6">
        <f>IF($B2619="","",ROUND(I2628-L2628,2))</f>
        <v/>
      </c>
    </row>
    <row r="2631"/>
    <row r="2632"/>
    <row r="2633">
      <c r="A2633" t="inlineStr">
        <is>
          <t>Date 日期</t>
        </is>
      </c>
      <c r="B2633" s="5">
        <f>IF('Daily Sale entry '!$A190="","",'Daily Sale entry '!$A190)</f>
        <v/>
      </c>
      <c r="H2633" t="inlineStr">
        <is>
          <t>After 调整后 (After)</t>
        </is>
      </c>
      <c r="I2633" s="5">
        <f>IF($B2633="","",B2633)</f>
        <v/>
      </c>
    </row>
    <row r="2634">
      <c r="A2634" t="inlineStr">
        <is>
          <t>Cash Sales 现金销售</t>
        </is>
      </c>
      <c r="B2634" s="6">
        <f>IF($B2633="","",'Daily Sale entry '!B190)</f>
        <v/>
      </c>
      <c r="D2634" t="inlineStr">
        <is>
          <t>c/f petty cash 今日备用金结转</t>
        </is>
      </c>
      <c r="E2634" s="6">
        <f>IF($B2633="","",'Daily Sale entry '!G190)</f>
        <v/>
      </c>
      <c r="H2634" t="inlineStr">
        <is>
          <t>Cash Sales 现金销售</t>
        </is>
      </c>
      <c r="I2634" s="6">
        <f>IF($B2633="","",IF(AND(ABS(B2644)&gt;'Opening Balance'!$B$13,B2644&lt;0),ROUND(B2634-B2644,2),B2634))</f>
        <v/>
      </c>
      <c r="K2634" t="inlineStr">
        <is>
          <t>c/f petty cash 今日备用金结转</t>
        </is>
      </c>
      <c r="L2634" s="6">
        <f>IF($B2633="","",IF(ABS(B2644)&lt;='Opening Balance'!$B$13,ROUND(E2634+B2644,2),E2634))</f>
        <v/>
      </c>
    </row>
    <row r="2635">
      <c r="A2635" t="inlineStr">
        <is>
          <t>Misc Charges 杂项费用</t>
        </is>
      </c>
      <c r="B2635" s="6">
        <f>IF($B2633="","",'Daily Sale entry '!C190)</f>
        <v/>
      </c>
      <c r="D2635" t="inlineStr">
        <is>
          <t>cash collection 现金收款</t>
        </is>
      </c>
      <c r="E2635" s="6">
        <f>IF($B2633="","",'Daily Sale entry '!H190)</f>
        <v/>
      </c>
      <c r="H2635" t="inlineStr">
        <is>
          <t>Misc Charges 杂项费用</t>
        </is>
      </c>
      <c r="I2635" s="6">
        <f>IF($B2633="","",IF(AND(ABS(B2644)&gt;'Opening Balance'!$B$13,B2644&gt;0),ROUND(B2635+B2644,2),B2635))</f>
        <v/>
      </c>
      <c r="K2635" t="inlineStr">
        <is>
          <t>cash collection 现金收款</t>
        </is>
      </c>
      <c r="L2635" s="6">
        <f>IF($B2633="","",E2635)</f>
        <v/>
      </c>
    </row>
    <row r="2636">
      <c r="A2636" s="1" t="inlineStr">
        <is>
          <t>Other Charges 其他费用</t>
        </is>
      </c>
      <c r="B2636" s="9">
        <f>IF($B2633="","",'Daily Sale entry '!D190)</f>
        <v/>
      </c>
      <c r="D2636" s="1" t="inlineStr">
        <is>
          <t>Cheque Collection 支票收款</t>
        </is>
      </c>
      <c r="E2636" s="9">
        <f>IF($B2633="","",'Daily Sale entry '!J190)</f>
        <v/>
      </c>
      <c r="H2636" s="1" t="inlineStr">
        <is>
          <t>Other Charges 其他费用</t>
        </is>
      </c>
      <c r="I2636" s="9">
        <f>IF($B2633="","",B2636)</f>
        <v/>
      </c>
      <c r="K2636" s="1" t="inlineStr">
        <is>
          <t>Cheque Collection 支票收款</t>
        </is>
      </c>
      <c r="L2636" s="9">
        <f>IF($B2633="","",E2636)</f>
        <v/>
      </c>
    </row>
    <row r="2637">
      <c r="A2637" s="10" t="inlineStr">
        <is>
          <t>Amount 金额  (Cash Sales - Misc - Other)</t>
        </is>
      </c>
      <c r="B2637" s="11">
        <f>IF($B2633="","",ROUND(B2634-B2635-B2636,2))</f>
        <v/>
      </c>
      <c r="D2637" s="12" t="inlineStr">
        <is>
          <t>TNG collection TNG收款</t>
        </is>
      </c>
      <c r="E2637" s="13">
        <f>IF($B2633="","",'Daily Sale entry '!K190)</f>
        <v/>
      </c>
      <c r="H2637" s="10" t="inlineStr">
        <is>
          <t>Amount 金额  (Cash Sales - Misc - Other)</t>
        </is>
      </c>
      <c r="I2637" s="11">
        <f>IF($B2633="","",ROUND(I2634-I2635-I2636,2))</f>
        <v/>
      </c>
      <c r="K2637" s="12" t="inlineStr">
        <is>
          <t>TNG collection TNG收款</t>
        </is>
      </c>
      <c r="L2637" s="13">
        <f>IF($B2633="","",E2637)</f>
        <v/>
      </c>
    </row>
    <row r="2638">
      <c r="A2638" t="inlineStr">
        <is>
          <t>Credit Collection 赊账收款</t>
        </is>
      </c>
      <c r="B2638" s="6">
        <f>IF($B2633="","",'Daily Sale entry '!E190)</f>
        <v/>
      </c>
      <c r="D2638" t="inlineStr">
        <is>
          <t>Advance Salary_M 预支薪水_M</t>
        </is>
      </c>
      <c r="E2638" s="6">
        <f>IF($B2633="","",'Daily Sale entry '!L190)</f>
        <v/>
      </c>
      <c r="H2638" t="inlineStr">
        <is>
          <t>Credit Collection 赊账收款</t>
        </is>
      </c>
      <c r="I2638" s="6">
        <f>IF($B2633="","",B2638)</f>
        <v/>
      </c>
      <c r="K2638" t="inlineStr">
        <is>
          <t>Advance Salary_M 预支薪水_M</t>
        </is>
      </c>
      <c r="L2638" s="6">
        <f>IF($B2633="","",E2638)</f>
        <v/>
      </c>
    </row>
    <row r="2639">
      <c r="A2639" s="10" t="inlineStr">
        <is>
          <t>Amount 2 金额2  (Amount + Credit Collection)</t>
        </is>
      </c>
      <c r="B2639" s="11">
        <f>IF($B2633="","",ROUND(B2637+B2638,2))</f>
        <v/>
      </c>
      <c r="D2639" t="inlineStr">
        <is>
          <t>Advance Salary_H 预支薪水_H</t>
        </is>
      </c>
      <c r="E2639" s="6">
        <f>IF($B2633="","",'Daily Sale entry '!M190)</f>
        <v/>
      </c>
      <c r="H2639" s="10" t="inlineStr">
        <is>
          <t>Amount 2 金额2  (Amount + Credit Collection)</t>
        </is>
      </c>
      <c r="I2639" s="11">
        <f>IF($B2633="","",ROUND(I2637+I2638,2))</f>
        <v/>
      </c>
      <c r="K2639" t="inlineStr">
        <is>
          <t>Advance Salary_H 预支薪水_H</t>
        </is>
      </c>
      <c r="L2639" s="6">
        <f>IF($B2633="","",E2639)</f>
        <v/>
      </c>
    </row>
    <row r="2640"/>
    <row r="2641">
      <c r="A2641" s="1" t="inlineStr">
        <is>
          <t>b/f petty cash 上日备用金结转</t>
        </is>
      </c>
      <c r="B2641" s="9">
        <f>IF($B2633="","",'Daily Sale entry '!F190)</f>
        <v/>
      </c>
      <c r="D2641" s="1" t="n"/>
      <c r="E2641" s="1" t="n"/>
      <c r="H2641" s="1" t="inlineStr">
        <is>
          <t>b/f petty cash 上日备用金结转</t>
        </is>
      </c>
      <c r="I2641" s="9">
        <f>IF($B2633="","",B2641)</f>
        <v/>
      </c>
      <c r="K2641" s="1" t="n"/>
      <c r="L2641" s="1" t="n"/>
    </row>
    <row r="2642">
      <c r="A2642" t="inlineStr">
        <is>
          <t>Total (A) 总计 (A)</t>
        </is>
      </c>
      <c r="B2642" s="6">
        <f>IF($B2633="","",ROUND(B2639+B2641,2))</f>
        <v/>
      </c>
      <c r="D2642" t="inlineStr">
        <is>
          <t>Total(B) 总计 (B)</t>
        </is>
      </c>
      <c r="E2642" s="6">
        <f>IF($B2633="","",ROUND(E2634+E2635+E2636+E2637+E2638+E2639,2))</f>
        <v/>
      </c>
      <c r="H2642" t="inlineStr">
        <is>
          <t>Total© 总计 (C)</t>
        </is>
      </c>
      <c r="I2642" s="6">
        <f>IF($B2633="","",ROUND(I2639+I2641,2))</f>
        <v/>
      </c>
      <c r="K2642" t="inlineStr">
        <is>
          <t>Total(D) 总计 (D)</t>
        </is>
      </c>
      <c r="L2642" s="6">
        <f>IF($B2633="","",ROUND(L2634+L2635+L2636+L2637+L2638+L2639,2))</f>
        <v/>
      </c>
    </row>
    <row r="2643">
      <c r="A2643" s="14" t="inlineStr">
        <is>
          <t>Total = Amount 2 + b/f petty cash  (金额2 + 上日备用金)</t>
        </is>
      </c>
      <c r="H2643" s="14" t="inlineStr">
        <is>
          <t>Total = Amount 2 + b/f petty cash  (金额2 + 上日备用金)</t>
        </is>
      </c>
    </row>
    <row r="2644">
      <c r="A2644" t="inlineStr">
        <is>
          <t>Different 差额</t>
        </is>
      </c>
      <c r="B2644" s="6">
        <f>IF($B2633="","",ROUND(B2642-E2642,2))</f>
        <v/>
      </c>
      <c r="D2644">
        <f>IF($B2633="","",IF(ABS(B2644)&gt;'Opening Balance'!$B$16,"ALERT 警报: Different over RM"&amp;'Opening Balance'!$B$16&amp;" 差额超过RM"&amp;'Opening Balance'!$B$16&amp;" - please check 请检查",IF(B2644=0,"Tied 平衡",IF(ABS(B2644)&lt;='Opening Balance'!$B$13,"Small difference 小额差额: adjusted on c/f petty cash 已调整备用金",IF(B2644&gt;0,"Short 短收: added to Misc Charges 已加入杂项费用","Over 多收: added to Cash Sales 已加入现金销售")))))</f>
        <v/>
      </c>
      <c r="H2644" t="inlineStr">
        <is>
          <t>Different 差额</t>
        </is>
      </c>
      <c r="I2644" s="6">
        <f>IF($B2633="","",ROUND(I2642-L2642,2))</f>
        <v/>
      </c>
    </row>
    <row r="2645"/>
    <row r="2646"/>
    <row r="2647">
      <c r="A2647" t="inlineStr">
        <is>
          <t>Date 日期</t>
        </is>
      </c>
      <c r="B2647" s="5">
        <f>IF('Daily Sale entry '!$A191="","",'Daily Sale entry '!$A191)</f>
        <v/>
      </c>
      <c r="H2647" t="inlineStr">
        <is>
          <t>After 调整后 (After)</t>
        </is>
      </c>
      <c r="I2647" s="5">
        <f>IF($B2647="","",B2647)</f>
        <v/>
      </c>
    </row>
    <row r="2648">
      <c r="A2648" t="inlineStr">
        <is>
          <t>Cash Sales 现金销售</t>
        </is>
      </c>
      <c r="B2648" s="6">
        <f>IF($B2647="","",'Daily Sale entry '!B191)</f>
        <v/>
      </c>
      <c r="D2648" t="inlineStr">
        <is>
          <t>c/f petty cash 今日备用金结转</t>
        </is>
      </c>
      <c r="E2648" s="6">
        <f>IF($B2647="","",'Daily Sale entry '!G191)</f>
        <v/>
      </c>
      <c r="H2648" t="inlineStr">
        <is>
          <t>Cash Sales 现金销售</t>
        </is>
      </c>
      <c r="I2648" s="6">
        <f>IF($B2647="","",IF(AND(ABS(B2658)&gt;'Opening Balance'!$B$13,B2658&lt;0),ROUND(B2648-B2658,2),B2648))</f>
        <v/>
      </c>
      <c r="K2648" t="inlineStr">
        <is>
          <t>c/f petty cash 今日备用金结转</t>
        </is>
      </c>
      <c r="L2648" s="6">
        <f>IF($B2647="","",IF(ABS(B2658)&lt;='Opening Balance'!$B$13,ROUND(E2648+B2658,2),E2648))</f>
        <v/>
      </c>
    </row>
    <row r="2649">
      <c r="A2649" t="inlineStr">
        <is>
          <t>Misc Charges 杂项费用</t>
        </is>
      </c>
      <c r="B2649" s="6">
        <f>IF($B2647="","",'Daily Sale entry '!C191)</f>
        <v/>
      </c>
      <c r="D2649" t="inlineStr">
        <is>
          <t>cash collection 现金收款</t>
        </is>
      </c>
      <c r="E2649" s="6">
        <f>IF($B2647="","",'Daily Sale entry '!H191)</f>
        <v/>
      </c>
      <c r="H2649" t="inlineStr">
        <is>
          <t>Misc Charges 杂项费用</t>
        </is>
      </c>
      <c r="I2649" s="6">
        <f>IF($B2647="","",IF(AND(ABS(B2658)&gt;'Opening Balance'!$B$13,B2658&gt;0),ROUND(B2649+B2658,2),B2649))</f>
        <v/>
      </c>
      <c r="K2649" t="inlineStr">
        <is>
          <t>cash collection 现金收款</t>
        </is>
      </c>
      <c r="L2649" s="6">
        <f>IF($B2647="","",E2649)</f>
        <v/>
      </c>
    </row>
    <row r="2650">
      <c r="A2650" s="1" t="inlineStr">
        <is>
          <t>Other Charges 其他费用</t>
        </is>
      </c>
      <c r="B2650" s="9">
        <f>IF($B2647="","",'Daily Sale entry '!D191)</f>
        <v/>
      </c>
      <c r="D2650" s="1" t="inlineStr">
        <is>
          <t>Cheque Collection 支票收款</t>
        </is>
      </c>
      <c r="E2650" s="9">
        <f>IF($B2647="","",'Daily Sale entry '!J191)</f>
        <v/>
      </c>
      <c r="H2650" s="1" t="inlineStr">
        <is>
          <t>Other Charges 其他费用</t>
        </is>
      </c>
      <c r="I2650" s="9">
        <f>IF($B2647="","",B2650)</f>
        <v/>
      </c>
      <c r="K2650" s="1" t="inlineStr">
        <is>
          <t>Cheque Collection 支票收款</t>
        </is>
      </c>
      <c r="L2650" s="9">
        <f>IF($B2647="","",E2650)</f>
        <v/>
      </c>
    </row>
    <row r="2651">
      <c r="A2651" s="10" t="inlineStr">
        <is>
          <t>Amount 金额  (Cash Sales - Misc - Other)</t>
        </is>
      </c>
      <c r="B2651" s="11">
        <f>IF($B2647="","",ROUND(B2648-B2649-B2650,2))</f>
        <v/>
      </c>
      <c r="D2651" s="12" t="inlineStr">
        <is>
          <t>TNG collection TNG收款</t>
        </is>
      </c>
      <c r="E2651" s="13">
        <f>IF($B2647="","",'Daily Sale entry '!K191)</f>
        <v/>
      </c>
      <c r="H2651" s="10" t="inlineStr">
        <is>
          <t>Amount 金额  (Cash Sales - Misc - Other)</t>
        </is>
      </c>
      <c r="I2651" s="11">
        <f>IF($B2647="","",ROUND(I2648-I2649-I2650,2))</f>
        <v/>
      </c>
      <c r="K2651" s="12" t="inlineStr">
        <is>
          <t>TNG collection TNG收款</t>
        </is>
      </c>
      <c r="L2651" s="13">
        <f>IF($B2647="","",E2651)</f>
        <v/>
      </c>
    </row>
    <row r="2652">
      <c r="A2652" t="inlineStr">
        <is>
          <t>Credit Collection 赊账收款</t>
        </is>
      </c>
      <c r="B2652" s="6">
        <f>IF($B2647="","",'Daily Sale entry '!E191)</f>
        <v/>
      </c>
      <c r="D2652" t="inlineStr">
        <is>
          <t>Advance Salary_M 预支薪水_M</t>
        </is>
      </c>
      <c r="E2652" s="6">
        <f>IF($B2647="","",'Daily Sale entry '!L191)</f>
        <v/>
      </c>
      <c r="H2652" t="inlineStr">
        <is>
          <t>Credit Collection 赊账收款</t>
        </is>
      </c>
      <c r="I2652" s="6">
        <f>IF($B2647="","",B2652)</f>
        <v/>
      </c>
      <c r="K2652" t="inlineStr">
        <is>
          <t>Advance Salary_M 预支薪水_M</t>
        </is>
      </c>
      <c r="L2652" s="6">
        <f>IF($B2647="","",E2652)</f>
        <v/>
      </c>
    </row>
    <row r="2653">
      <c r="A2653" s="10" t="inlineStr">
        <is>
          <t>Amount 2 金额2  (Amount + Credit Collection)</t>
        </is>
      </c>
      <c r="B2653" s="11">
        <f>IF($B2647="","",ROUND(B2651+B2652,2))</f>
        <v/>
      </c>
      <c r="D2653" t="inlineStr">
        <is>
          <t>Advance Salary_H 预支薪水_H</t>
        </is>
      </c>
      <c r="E2653" s="6">
        <f>IF($B2647="","",'Daily Sale entry '!M191)</f>
        <v/>
      </c>
      <c r="H2653" s="10" t="inlineStr">
        <is>
          <t>Amount 2 金额2  (Amount + Credit Collection)</t>
        </is>
      </c>
      <c r="I2653" s="11">
        <f>IF($B2647="","",ROUND(I2651+I2652,2))</f>
        <v/>
      </c>
      <c r="K2653" t="inlineStr">
        <is>
          <t>Advance Salary_H 预支薪水_H</t>
        </is>
      </c>
      <c r="L2653" s="6">
        <f>IF($B2647="","",E2653)</f>
        <v/>
      </c>
    </row>
    <row r="2654"/>
    <row r="2655">
      <c r="A2655" s="1" t="inlineStr">
        <is>
          <t>b/f petty cash 上日备用金结转</t>
        </is>
      </c>
      <c r="B2655" s="9">
        <f>IF($B2647="","",'Daily Sale entry '!F191)</f>
        <v/>
      </c>
      <c r="D2655" s="1" t="n"/>
      <c r="E2655" s="1" t="n"/>
      <c r="H2655" s="1" t="inlineStr">
        <is>
          <t>b/f petty cash 上日备用金结转</t>
        </is>
      </c>
      <c r="I2655" s="9">
        <f>IF($B2647="","",B2655)</f>
        <v/>
      </c>
      <c r="K2655" s="1" t="n"/>
      <c r="L2655" s="1" t="n"/>
    </row>
    <row r="2656">
      <c r="A2656" t="inlineStr">
        <is>
          <t>Total (A) 总计 (A)</t>
        </is>
      </c>
      <c r="B2656" s="6">
        <f>IF($B2647="","",ROUND(B2653+B2655,2))</f>
        <v/>
      </c>
      <c r="D2656" t="inlineStr">
        <is>
          <t>Total(B) 总计 (B)</t>
        </is>
      </c>
      <c r="E2656" s="6">
        <f>IF($B2647="","",ROUND(E2648+E2649+E2650+E2651+E2652+E2653,2))</f>
        <v/>
      </c>
      <c r="H2656" t="inlineStr">
        <is>
          <t>Total© 总计 (C)</t>
        </is>
      </c>
      <c r="I2656" s="6">
        <f>IF($B2647="","",ROUND(I2653+I2655,2))</f>
        <v/>
      </c>
      <c r="K2656" t="inlineStr">
        <is>
          <t>Total(D) 总计 (D)</t>
        </is>
      </c>
      <c r="L2656" s="6">
        <f>IF($B2647="","",ROUND(L2648+L2649+L2650+L2651+L2652+L2653,2))</f>
        <v/>
      </c>
    </row>
    <row r="2657">
      <c r="A2657" s="14" t="inlineStr">
        <is>
          <t>Total = Amount 2 + b/f petty cash  (金额2 + 上日备用金)</t>
        </is>
      </c>
      <c r="H2657" s="14" t="inlineStr">
        <is>
          <t>Total = Amount 2 + b/f petty cash  (金额2 + 上日备用金)</t>
        </is>
      </c>
    </row>
    <row r="2658">
      <c r="A2658" t="inlineStr">
        <is>
          <t>Different 差额</t>
        </is>
      </c>
      <c r="B2658" s="6">
        <f>IF($B2647="","",ROUND(B2656-E2656,2))</f>
        <v/>
      </c>
      <c r="D2658">
        <f>IF($B2647="","",IF(ABS(B2658)&gt;'Opening Balance'!$B$16,"ALERT 警报: Different over RM"&amp;'Opening Balance'!$B$16&amp;" 差额超过RM"&amp;'Opening Balance'!$B$16&amp;" - please check 请检查",IF(B2658=0,"Tied 平衡",IF(ABS(B2658)&lt;='Opening Balance'!$B$13,"Small difference 小额差额: adjusted on c/f petty cash 已调整备用金",IF(B2658&gt;0,"Short 短收: added to Misc Charges 已加入杂项费用","Over 多收: added to Cash Sales 已加入现金销售")))))</f>
        <v/>
      </c>
      <c r="H2658" t="inlineStr">
        <is>
          <t>Different 差额</t>
        </is>
      </c>
      <c r="I2658" s="6">
        <f>IF($B2647="","",ROUND(I2656-L2656,2))</f>
        <v/>
      </c>
    </row>
    <row r="2659"/>
    <row r="2660"/>
    <row r="2661">
      <c r="A2661" t="inlineStr">
        <is>
          <t>Date 日期</t>
        </is>
      </c>
      <c r="B2661" s="5">
        <f>IF('Daily Sale entry '!$A192="","",'Daily Sale entry '!$A192)</f>
        <v/>
      </c>
      <c r="H2661" t="inlineStr">
        <is>
          <t>After 调整后 (After)</t>
        </is>
      </c>
      <c r="I2661" s="5">
        <f>IF($B2661="","",B2661)</f>
        <v/>
      </c>
    </row>
    <row r="2662">
      <c r="A2662" t="inlineStr">
        <is>
          <t>Cash Sales 现金销售</t>
        </is>
      </c>
      <c r="B2662" s="6">
        <f>IF($B2661="","",'Daily Sale entry '!B192)</f>
        <v/>
      </c>
      <c r="D2662" t="inlineStr">
        <is>
          <t>c/f petty cash 今日备用金结转</t>
        </is>
      </c>
      <c r="E2662" s="6">
        <f>IF($B2661="","",'Daily Sale entry '!G192)</f>
        <v/>
      </c>
      <c r="H2662" t="inlineStr">
        <is>
          <t>Cash Sales 现金销售</t>
        </is>
      </c>
      <c r="I2662" s="6">
        <f>IF($B2661="","",IF(AND(ABS(B2672)&gt;'Opening Balance'!$B$13,B2672&lt;0),ROUND(B2662-B2672,2),B2662))</f>
        <v/>
      </c>
      <c r="K2662" t="inlineStr">
        <is>
          <t>c/f petty cash 今日备用金结转</t>
        </is>
      </c>
      <c r="L2662" s="6">
        <f>IF($B2661="","",IF(ABS(B2672)&lt;='Opening Balance'!$B$13,ROUND(E2662+B2672,2),E2662))</f>
        <v/>
      </c>
    </row>
    <row r="2663">
      <c r="A2663" t="inlineStr">
        <is>
          <t>Misc Charges 杂项费用</t>
        </is>
      </c>
      <c r="B2663" s="6">
        <f>IF($B2661="","",'Daily Sale entry '!C192)</f>
        <v/>
      </c>
      <c r="D2663" t="inlineStr">
        <is>
          <t>cash collection 现金收款</t>
        </is>
      </c>
      <c r="E2663" s="6">
        <f>IF($B2661="","",'Daily Sale entry '!H192)</f>
        <v/>
      </c>
      <c r="H2663" t="inlineStr">
        <is>
          <t>Misc Charges 杂项费用</t>
        </is>
      </c>
      <c r="I2663" s="6">
        <f>IF($B2661="","",IF(AND(ABS(B2672)&gt;'Opening Balance'!$B$13,B2672&gt;0),ROUND(B2663+B2672,2),B2663))</f>
        <v/>
      </c>
      <c r="K2663" t="inlineStr">
        <is>
          <t>cash collection 现金收款</t>
        </is>
      </c>
      <c r="L2663" s="6">
        <f>IF($B2661="","",E2663)</f>
        <v/>
      </c>
    </row>
    <row r="2664">
      <c r="A2664" s="1" t="inlineStr">
        <is>
          <t>Other Charges 其他费用</t>
        </is>
      </c>
      <c r="B2664" s="9">
        <f>IF($B2661="","",'Daily Sale entry '!D192)</f>
        <v/>
      </c>
      <c r="D2664" s="1" t="inlineStr">
        <is>
          <t>Cheque Collection 支票收款</t>
        </is>
      </c>
      <c r="E2664" s="9">
        <f>IF($B2661="","",'Daily Sale entry '!J192)</f>
        <v/>
      </c>
      <c r="H2664" s="1" t="inlineStr">
        <is>
          <t>Other Charges 其他费用</t>
        </is>
      </c>
      <c r="I2664" s="9">
        <f>IF($B2661="","",B2664)</f>
        <v/>
      </c>
      <c r="K2664" s="1" t="inlineStr">
        <is>
          <t>Cheque Collection 支票收款</t>
        </is>
      </c>
      <c r="L2664" s="9">
        <f>IF($B2661="","",E2664)</f>
        <v/>
      </c>
    </row>
    <row r="2665">
      <c r="A2665" s="10" t="inlineStr">
        <is>
          <t>Amount 金额  (Cash Sales - Misc - Other)</t>
        </is>
      </c>
      <c r="B2665" s="11">
        <f>IF($B2661="","",ROUND(B2662-B2663-B2664,2))</f>
        <v/>
      </c>
      <c r="D2665" s="12" t="inlineStr">
        <is>
          <t>TNG collection TNG收款</t>
        </is>
      </c>
      <c r="E2665" s="13">
        <f>IF($B2661="","",'Daily Sale entry '!K192)</f>
        <v/>
      </c>
      <c r="H2665" s="10" t="inlineStr">
        <is>
          <t>Amount 金额  (Cash Sales - Misc - Other)</t>
        </is>
      </c>
      <c r="I2665" s="11">
        <f>IF($B2661="","",ROUND(I2662-I2663-I2664,2))</f>
        <v/>
      </c>
      <c r="K2665" s="12" t="inlineStr">
        <is>
          <t>TNG collection TNG收款</t>
        </is>
      </c>
      <c r="L2665" s="13">
        <f>IF($B2661="","",E2665)</f>
        <v/>
      </c>
    </row>
    <row r="2666">
      <c r="A2666" t="inlineStr">
        <is>
          <t>Credit Collection 赊账收款</t>
        </is>
      </c>
      <c r="B2666" s="6">
        <f>IF($B2661="","",'Daily Sale entry '!E192)</f>
        <v/>
      </c>
      <c r="D2666" t="inlineStr">
        <is>
          <t>Advance Salary_M 预支薪水_M</t>
        </is>
      </c>
      <c r="E2666" s="6">
        <f>IF($B2661="","",'Daily Sale entry '!L192)</f>
        <v/>
      </c>
      <c r="H2666" t="inlineStr">
        <is>
          <t>Credit Collection 赊账收款</t>
        </is>
      </c>
      <c r="I2666" s="6">
        <f>IF($B2661="","",B2666)</f>
        <v/>
      </c>
      <c r="K2666" t="inlineStr">
        <is>
          <t>Advance Salary_M 预支薪水_M</t>
        </is>
      </c>
      <c r="L2666" s="6">
        <f>IF($B2661="","",E2666)</f>
        <v/>
      </c>
    </row>
    <row r="2667">
      <c r="A2667" s="10" t="inlineStr">
        <is>
          <t>Amount 2 金额2  (Amount + Credit Collection)</t>
        </is>
      </c>
      <c r="B2667" s="11">
        <f>IF($B2661="","",ROUND(B2665+B2666,2))</f>
        <v/>
      </c>
      <c r="D2667" t="inlineStr">
        <is>
          <t>Advance Salary_H 预支薪水_H</t>
        </is>
      </c>
      <c r="E2667" s="6">
        <f>IF($B2661="","",'Daily Sale entry '!M192)</f>
        <v/>
      </c>
      <c r="H2667" s="10" t="inlineStr">
        <is>
          <t>Amount 2 金额2  (Amount + Credit Collection)</t>
        </is>
      </c>
      <c r="I2667" s="11">
        <f>IF($B2661="","",ROUND(I2665+I2666,2))</f>
        <v/>
      </c>
      <c r="K2667" t="inlineStr">
        <is>
          <t>Advance Salary_H 预支薪水_H</t>
        </is>
      </c>
      <c r="L2667" s="6">
        <f>IF($B2661="","",E2667)</f>
        <v/>
      </c>
    </row>
    <row r="2668"/>
    <row r="2669">
      <c r="A2669" s="1" t="inlineStr">
        <is>
          <t>b/f petty cash 上日备用金结转</t>
        </is>
      </c>
      <c r="B2669" s="9">
        <f>IF($B2661="","",'Daily Sale entry '!F192)</f>
        <v/>
      </c>
      <c r="D2669" s="1" t="n"/>
      <c r="E2669" s="1" t="n"/>
      <c r="H2669" s="1" t="inlineStr">
        <is>
          <t>b/f petty cash 上日备用金结转</t>
        </is>
      </c>
      <c r="I2669" s="9">
        <f>IF($B2661="","",B2669)</f>
        <v/>
      </c>
      <c r="K2669" s="1" t="n"/>
      <c r="L2669" s="1" t="n"/>
    </row>
    <row r="2670">
      <c r="A2670" t="inlineStr">
        <is>
          <t>Total (A) 总计 (A)</t>
        </is>
      </c>
      <c r="B2670" s="6">
        <f>IF($B2661="","",ROUND(B2667+B2669,2))</f>
        <v/>
      </c>
      <c r="D2670" t="inlineStr">
        <is>
          <t>Total(B) 总计 (B)</t>
        </is>
      </c>
      <c r="E2670" s="6">
        <f>IF($B2661="","",ROUND(E2662+E2663+E2664+E2665+E2666+E2667,2))</f>
        <v/>
      </c>
      <c r="H2670" t="inlineStr">
        <is>
          <t>Total© 总计 (C)</t>
        </is>
      </c>
      <c r="I2670" s="6">
        <f>IF($B2661="","",ROUND(I2667+I2669,2))</f>
        <v/>
      </c>
      <c r="K2670" t="inlineStr">
        <is>
          <t>Total(D) 总计 (D)</t>
        </is>
      </c>
      <c r="L2670" s="6">
        <f>IF($B2661="","",ROUND(L2662+L2663+L2664+L2665+L2666+L2667,2))</f>
        <v/>
      </c>
    </row>
    <row r="2671">
      <c r="A2671" s="14" t="inlineStr">
        <is>
          <t>Total = Amount 2 + b/f petty cash  (金额2 + 上日备用金)</t>
        </is>
      </c>
      <c r="H2671" s="14" t="inlineStr">
        <is>
          <t>Total = Amount 2 + b/f petty cash  (金额2 + 上日备用金)</t>
        </is>
      </c>
    </row>
    <row r="2672">
      <c r="A2672" t="inlineStr">
        <is>
          <t>Different 差额</t>
        </is>
      </c>
      <c r="B2672" s="6">
        <f>IF($B2661="","",ROUND(B2670-E2670,2))</f>
        <v/>
      </c>
      <c r="D2672">
        <f>IF($B2661="","",IF(ABS(B2672)&gt;'Opening Balance'!$B$16,"ALERT 警报: Different over RM"&amp;'Opening Balance'!$B$16&amp;" 差额超过RM"&amp;'Opening Balance'!$B$16&amp;" - please check 请检查",IF(B2672=0,"Tied 平衡",IF(ABS(B2672)&lt;='Opening Balance'!$B$13,"Small difference 小额差额: adjusted on c/f petty cash 已调整备用金",IF(B2672&gt;0,"Short 短收: added to Misc Charges 已加入杂项费用","Over 多收: added to Cash Sales 已加入现金销售")))))</f>
        <v/>
      </c>
      <c r="H2672" t="inlineStr">
        <is>
          <t>Different 差额</t>
        </is>
      </c>
      <c r="I2672" s="6">
        <f>IF($B2661="","",ROUND(I2670-L2670,2))</f>
        <v/>
      </c>
    </row>
    <row r="2673"/>
    <row r="2674"/>
    <row r="2675">
      <c r="A2675" t="inlineStr">
        <is>
          <t>Date 日期</t>
        </is>
      </c>
      <c r="B2675" s="5">
        <f>IF('Daily Sale entry '!$A193="","",'Daily Sale entry '!$A193)</f>
        <v/>
      </c>
      <c r="H2675" t="inlineStr">
        <is>
          <t>After 调整后 (After)</t>
        </is>
      </c>
      <c r="I2675" s="5">
        <f>IF($B2675="","",B2675)</f>
        <v/>
      </c>
    </row>
    <row r="2676">
      <c r="A2676" t="inlineStr">
        <is>
          <t>Cash Sales 现金销售</t>
        </is>
      </c>
      <c r="B2676" s="6">
        <f>IF($B2675="","",'Daily Sale entry '!B193)</f>
        <v/>
      </c>
      <c r="D2676" t="inlineStr">
        <is>
          <t>c/f petty cash 今日备用金结转</t>
        </is>
      </c>
      <c r="E2676" s="6">
        <f>IF($B2675="","",'Daily Sale entry '!G193)</f>
        <v/>
      </c>
      <c r="H2676" t="inlineStr">
        <is>
          <t>Cash Sales 现金销售</t>
        </is>
      </c>
      <c r="I2676" s="6">
        <f>IF($B2675="","",IF(AND(ABS(B2686)&gt;'Opening Balance'!$B$13,B2686&lt;0),ROUND(B2676-B2686,2),B2676))</f>
        <v/>
      </c>
      <c r="K2676" t="inlineStr">
        <is>
          <t>c/f petty cash 今日备用金结转</t>
        </is>
      </c>
      <c r="L2676" s="6">
        <f>IF($B2675="","",IF(ABS(B2686)&lt;='Opening Balance'!$B$13,ROUND(E2676+B2686,2),E2676))</f>
        <v/>
      </c>
    </row>
    <row r="2677">
      <c r="A2677" t="inlineStr">
        <is>
          <t>Misc Charges 杂项费用</t>
        </is>
      </c>
      <c r="B2677" s="6">
        <f>IF($B2675="","",'Daily Sale entry '!C193)</f>
        <v/>
      </c>
      <c r="D2677" t="inlineStr">
        <is>
          <t>cash collection 现金收款</t>
        </is>
      </c>
      <c r="E2677" s="6">
        <f>IF($B2675="","",'Daily Sale entry '!H193)</f>
        <v/>
      </c>
      <c r="H2677" t="inlineStr">
        <is>
          <t>Misc Charges 杂项费用</t>
        </is>
      </c>
      <c r="I2677" s="6">
        <f>IF($B2675="","",IF(AND(ABS(B2686)&gt;'Opening Balance'!$B$13,B2686&gt;0),ROUND(B2677+B2686,2),B2677))</f>
        <v/>
      </c>
      <c r="K2677" t="inlineStr">
        <is>
          <t>cash collection 现金收款</t>
        </is>
      </c>
      <c r="L2677" s="6">
        <f>IF($B2675="","",E2677)</f>
        <v/>
      </c>
    </row>
    <row r="2678">
      <c r="A2678" s="1" t="inlineStr">
        <is>
          <t>Other Charges 其他费用</t>
        </is>
      </c>
      <c r="B2678" s="9">
        <f>IF($B2675="","",'Daily Sale entry '!D193)</f>
        <v/>
      </c>
      <c r="D2678" s="1" t="inlineStr">
        <is>
          <t>Cheque Collection 支票收款</t>
        </is>
      </c>
      <c r="E2678" s="9">
        <f>IF($B2675="","",'Daily Sale entry '!J193)</f>
        <v/>
      </c>
      <c r="H2678" s="1" t="inlineStr">
        <is>
          <t>Other Charges 其他费用</t>
        </is>
      </c>
      <c r="I2678" s="9">
        <f>IF($B2675="","",B2678)</f>
        <v/>
      </c>
      <c r="K2678" s="1" t="inlineStr">
        <is>
          <t>Cheque Collection 支票收款</t>
        </is>
      </c>
      <c r="L2678" s="9">
        <f>IF($B2675="","",E2678)</f>
        <v/>
      </c>
    </row>
    <row r="2679">
      <c r="A2679" s="10" t="inlineStr">
        <is>
          <t>Amount 金额  (Cash Sales - Misc - Other)</t>
        </is>
      </c>
      <c r="B2679" s="11">
        <f>IF($B2675="","",ROUND(B2676-B2677-B2678,2))</f>
        <v/>
      </c>
      <c r="D2679" s="12" t="inlineStr">
        <is>
          <t>TNG collection TNG收款</t>
        </is>
      </c>
      <c r="E2679" s="13">
        <f>IF($B2675="","",'Daily Sale entry '!K193)</f>
        <v/>
      </c>
      <c r="H2679" s="10" t="inlineStr">
        <is>
          <t>Amount 金额  (Cash Sales - Misc - Other)</t>
        </is>
      </c>
      <c r="I2679" s="11">
        <f>IF($B2675="","",ROUND(I2676-I2677-I2678,2))</f>
        <v/>
      </c>
      <c r="K2679" s="12" t="inlineStr">
        <is>
          <t>TNG collection TNG收款</t>
        </is>
      </c>
      <c r="L2679" s="13">
        <f>IF($B2675="","",E2679)</f>
        <v/>
      </c>
    </row>
    <row r="2680">
      <c r="A2680" t="inlineStr">
        <is>
          <t>Credit Collection 赊账收款</t>
        </is>
      </c>
      <c r="B2680" s="6">
        <f>IF($B2675="","",'Daily Sale entry '!E193)</f>
        <v/>
      </c>
      <c r="D2680" t="inlineStr">
        <is>
          <t>Advance Salary_M 预支薪水_M</t>
        </is>
      </c>
      <c r="E2680" s="6">
        <f>IF($B2675="","",'Daily Sale entry '!L193)</f>
        <v/>
      </c>
      <c r="H2680" t="inlineStr">
        <is>
          <t>Credit Collection 赊账收款</t>
        </is>
      </c>
      <c r="I2680" s="6">
        <f>IF($B2675="","",B2680)</f>
        <v/>
      </c>
      <c r="K2680" t="inlineStr">
        <is>
          <t>Advance Salary_M 预支薪水_M</t>
        </is>
      </c>
      <c r="L2680" s="6">
        <f>IF($B2675="","",E2680)</f>
        <v/>
      </c>
    </row>
    <row r="2681">
      <c r="A2681" s="10" t="inlineStr">
        <is>
          <t>Amount 2 金额2  (Amount + Credit Collection)</t>
        </is>
      </c>
      <c r="B2681" s="11">
        <f>IF($B2675="","",ROUND(B2679+B2680,2))</f>
        <v/>
      </c>
      <c r="D2681" t="inlineStr">
        <is>
          <t>Advance Salary_H 预支薪水_H</t>
        </is>
      </c>
      <c r="E2681" s="6">
        <f>IF($B2675="","",'Daily Sale entry '!M193)</f>
        <v/>
      </c>
      <c r="H2681" s="10" t="inlineStr">
        <is>
          <t>Amount 2 金额2  (Amount + Credit Collection)</t>
        </is>
      </c>
      <c r="I2681" s="11">
        <f>IF($B2675="","",ROUND(I2679+I2680,2))</f>
        <v/>
      </c>
      <c r="K2681" t="inlineStr">
        <is>
          <t>Advance Salary_H 预支薪水_H</t>
        </is>
      </c>
      <c r="L2681" s="6">
        <f>IF($B2675="","",E2681)</f>
        <v/>
      </c>
    </row>
    <row r="2682"/>
    <row r="2683">
      <c r="A2683" s="1" t="inlineStr">
        <is>
          <t>b/f petty cash 上日备用金结转</t>
        </is>
      </c>
      <c r="B2683" s="9">
        <f>IF($B2675="","",'Daily Sale entry '!F193)</f>
        <v/>
      </c>
      <c r="D2683" s="1" t="n"/>
      <c r="E2683" s="1" t="n"/>
      <c r="H2683" s="1" t="inlineStr">
        <is>
          <t>b/f petty cash 上日备用金结转</t>
        </is>
      </c>
      <c r="I2683" s="9">
        <f>IF($B2675="","",B2683)</f>
        <v/>
      </c>
      <c r="K2683" s="1" t="n"/>
      <c r="L2683" s="1" t="n"/>
    </row>
    <row r="2684">
      <c r="A2684" t="inlineStr">
        <is>
          <t>Total (A) 总计 (A)</t>
        </is>
      </c>
      <c r="B2684" s="6">
        <f>IF($B2675="","",ROUND(B2681+B2683,2))</f>
        <v/>
      </c>
      <c r="D2684" t="inlineStr">
        <is>
          <t>Total(B) 总计 (B)</t>
        </is>
      </c>
      <c r="E2684" s="6">
        <f>IF($B2675="","",ROUND(E2676+E2677+E2678+E2679+E2680+E2681,2))</f>
        <v/>
      </c>
      <c r="H2684" t="inlineStr">
        <is>
          <t>Total© 总计 (C)</t>
        </is>
      </c>
      <c r="I2684" s="6">
        <f>IF($B2675="","",ROUND(I2681+I2683,2))</f>
        <v/>
      </c>
      <c r="K2684" t="inlineStr">
        <is>
          <t>Total(D) 总计 (D)</t>
        </is>
      </c>
      <c r="L2684" s="6">
        <f>IF($B2675="","",ROUND(L2676+L2677+L2678+L2679+L2680+L2681,2))</f>
        <v/>
      </c>
    </row>
    <row r="2685">
      <c r="A2685" s="14" t="inlineStr">
        <is>
          <t>Total = Amount 2 + b/f petty cash  (金额2 + 上日备用金)</t>
        </is>
      </c>
      <c r="H2685" s="14" t="inlineStr">
        <is>
          <t>Total = Amount 2 + b/f petty cash  (金额2 + 上日备用金)</t>
        </is>
      </c>
    </row>
    <row r="2686">
      <c r="A2686" t="inlineStr">
        <is>
          <t>Different 差额</t>
        </is>
      </c>
      <c r="B2686" s="6">
        <f>IF($B2675="","",ROUND(B2684-E2684,2))</f>
        <v/>
      </c>
      <c r="D2686">
        <f>IF($B2675="","",IF(ABS(B2686)&gt;'Opening Balance'!$B$16,"ALERT 警报: Different over RM"&amp;'Opening Balance'!$B$16&amp;" 差额超过RM"&amp;'Opening Balance'!$B$16&amp;" - please check 请检查",IF(B2686=0,"Tied 平衡",IF(ABS(B2686)&lt;='Opening Balance'!$B$13,"Small difference 小额差额: adjusted on c/f petty cash 已调整备用金",IF(B2686&gt;0,"Short 短收: added to Misc Charges 已加入杂项费用","Over 多收: added to Cash Sales 已加入现金销售")))))</f>
        <v/>
      </c>
      <c r="H2686" t="inlineStr">
        <is>
          <t>Different 差额</t>
        </is>
      </c>
      <c r="I2686" s="6">
        <f>IF($B2675="","",ROUND(I2684-L2684,2))</f>
        <v/>
      </c>
    </row>
    <row r="2687"/>
    <row r="2688"/>
    <row r="2689">
      <c r="A2689" t="inlineStr">
        <is>
          <t>Date 日期</t>
        </is>
      </c>
      <c r="B2689" s="5">
        <f>IF('Daily Sale entry '!$A194="","",'Daily Sale entry '!$A194)</f>
        <v/>
      </c>
      <c r="H2689" t="inlineStr">
        <is>
          <t>After 调整后 (After)</t>
        </is>
      </c>
      <c r="I2689" s="5">
        <f>IF($B2689="","",B2689)</f>
        <v/>
      </c>
    </row>
    <row r="2690">
      <c r="A2690" t="inlineStr">
        <is>
          <t>Cash Sales 现金销售</t>
        </is>
      </c>
      <c r="B2690" s="6">
        <f>IF($B2689="","",'Daily Sale entry '!B194)</f>
        <v/>
      </c>
      <c r="D2690" t="inlineStr">
        <is>
          <t>c/f petty cash 今日备用金结转</t>
        </is>
      </c>
      <c r="E2690" s="6">
        <f>IF($B2689="","",'Daily Sale entry '!G194)</f>
        <v/>
      </c>
      <c r="H2690" t="inlineStr">
        <is>
          <t>Cash Sales 现金销售</t>
        </is>
      </c>
      <c r="I2690" s="6">
        <f>IF($B2689="","",IF(AND(ABS(B2700)&gt;'Opening Balance'!$B$13,B2700&lt;0),ROUND(B2690-B2700,2),B2690))</f>
        <v/>
      </c>
      <c r="K2690" t="inlineStr">
        <is>
          <t>c/f petty cash 今日备用金结转</t>
        </is>
      </c>
      <c r="L2690" s="6">
        <f>IF($B2689="","",IF(ABS(B2700)&lt;='Opening Balance'!$B$13,ROUND(E2690+B2700,2),E2690))</f>
        <v/>
      </c>
    </row>
    <row r="2691">
      <c r="A2691" t="inlineStr">
        <is>
          <t>Misc Charges 杂项费用</t>
        </is>
      </c>
      <c r="B2691" s="6">
        <f>IF($B2689="","",'Daily Sale entry '!C194)</f>
        <v/>
      </c>
      <c r="D2691" t="inlineStr">
        <is>
          <t>cash collection 现金收款</t>
        </is>
      </c>
      <c r="E2691" s="6">
        <f>IF($B2689="","",'Daily Sale entry '!H194)</f>
        <v/>
      </c>
      <c r="H2691" t="inlineStr">
        <is>
          <t>Misc Charges 杂项费用</t>
        </is>
      </c>
      <c r="I2691" s="6">
        <f>IF($B2689="","",IF(AND(ABS(B2700)&gt;'Opening Balance'!$B$13,B2700&gt;0),ROUND(B2691+B2700,2),B2691))</f>
        <v/>
      </c>
      <c r="K2691" t="inlineStr">
        <is>
          <t>cash collection 现金收款</t>
        </is>
      </c>
      <c r="L2691" s="6">
        <f>IF($B2689="","",E2691)</f>
        <v/>
      </c>
    </row>
    <row r="2692">
      <c r="A2692" s="1" t="inlineStr">
        <is>
          <t>Other Charges 其他费用</t>
        </is>
      </c>
      <c r="B2692" s="9">
        <f>IF($B2689="","",'Daily Sale entry '!D194)</f>
        <v/>
      </c>
      <c r="D2692" s="1" t="inlineStr">
        <is>
          <t>Cheque Collection 支票收款</t>
        </is>
      </c>
      <c r="E2692" s="9">
        <f>IF($B2689="","",'Daily Sale entry '!J194)</f>
        <v/>
      </c>
      <c r="H2692" s="1" t="inlineStr">
        <is>
          <t>Other Charges 其他费用</t>
        </is>
      </c>
      <c r="I2692" s="9">
        <f>IF($B2689="","",B2692)</f>
        <v/>
      </c>
      <c r="K2692" s="1" t="inlineStr">
        <is>
          <t>Cheque Collection 支票收款</t>
        </is>
      </c>
      <c r="L2692" s="9">
        <f>IF($B2689="","",E2692)</f>
        <v/>
      </c>
    </row>
    <row r="2693">
      <c r="A2693" s="10" t="inlineStr">
        <is>
          <t>Amount 金额  (Cash Sales - Misc - Other)</t>
        </is>
      </c>
      <c r="B2693" s="11">
        <f>IF($B2689="","",ROUND(B2690-B2691-B2692,2))</f>
        <v/>
      </c>
      <c r="D2693" s="12" t="inlineStr">
        <is>
          <t>TNG collection TNG收款</t>
        </is>
      </c>
      <c r="E2693" s="13">
        <f>IF($B2689="","",'Daily Sale entry '!K194)</f>
        <v/>
      </c>
      <c r="H2693" s="10" t="inlineStr">
        <is>
          <t>Amount 金额  (Cash Sales - Misc - Other)</t>
        </is>
      </c>
      <c r="I2693" s="11">
        <f>IF($B2689="","",ROUND(I2690-I2691-I2692,2))</f>
        <v/>
      </c>
      <c r="K2693" s="12" t="inlineStr">
        <is>
          <t>TNG collection TNG收款</t>
        </is>
      </c>
      <c r="L2693" s="13">
        <f>IF($B2689="","",E2693)</f>
        <v/>
      </c>
    </row>
    <row r="2694">
      <c r="A2694" t="inlineStr">
        <is>
          <t>Credit Collection 赊账收款</t>
        </is>
      </c>
      <c r="B2694" s="6">
        <f>IF($B2689="","",'Daily Sale entry '!E194)</f>
        <v/>
      </c>
      <c r="D2694" t="inlineStr">
        <is>
          <t>Advance Salary_M 预支薪水_M</t>
        </is>
      </c>
      <c r="E2694" s="6">
        <f>IF($B2689="","",'Daily Sale entry '!L194)</f>
        <v/>
      </c>
      <c r="H2694" t="inlineStr">
        <is>
          <t>Credit Collection 赊账收款</t>
        </is>
      </c>
      <c r="I2694" s="6">
        <f>IF($B2689="","",B2694)</f>
        <v/>
      </c>
      <c r="K2694" t="inlineStr">
        <is>
          <t>Advance Salary_M 预支薪水_M</t>
        </is>
      </c>
      <c r="L2694" s="6">
        <f>IF($B2689="","",E2694)</f>
        <v/>
      </c>
    </row>
    <row r="2695">
      <c r="A2695" s="10" t="inlineStr">
        <is>
          <t>Amount 2 金额2  (Amount + Credit Collection)</t>
        </is>
      </c>
      <c r="B2695" s="11">
        <f>IF($B2689="","",ROUND(B2693+B2694,2))</f>
        <v/>
      </c>
      <c r="D2695" t="inlineStr">
        <is>
          <t>Advance Salary_H 预支薪水_H</t>
        </is>
      </c>
      <c r="E2695" s="6">
        <f>IF($B2689="","",'Daily Sale entry '!M194)</f>
        <v/>
      </c>
      <c r="H2695" s="10" t="inlineStr">
        <is>
          <t>Amount 2 金额2  (Amount + Credit Collection)</t>
        </is>
      </c>
      <c r="I2695" s="11">
        <f>IF($B2689="","",ROUND(I2693+I2694,2))</f>
        <v/>
      </c>
      <c r="K2695" t="inlineStr">
        <is>
          <t>Advance Salary_H 预支薪水_H</t>
        </is>
      </c>
      <c r="L2695" s="6">
        <f>IF($B2689="","",E2695)</f>
        <v/>
      </c>
    </row>
    <row r="2696"/>
    <row r="2697">
      <c r="A2697" s="1" t="inlineStr">
        <is>
          <t>b/f petty cash 上日备用金结转</t>
        </is>
      </c>
      <c r="B2697" s="9">
        <f>IF($B2689="","",'Daily Sale entry '!F194)</f>
        <v/>
      </c>
      <c r="D2697" s="1" t="n"/>
      <c r="E2697" s="1" t="n"/>
      <c r="H2697" s="1" t="inlineStr">
        <is>
          <t>b/f petty cash 上日备用金结转</t>
        </is>
      </c>
      <c r="I2697" s="9">
        <f>IF($B2689="","",B2697)</f>
        <v/>
      </c>
      <c r="K2697" s="1" t="n"/>
      <c r="L2697" s="1" t="n"/>
    </row>
    <row r="2698">
      <c r="A2698" t="inlineStr">
        <is>
          <t>Total (A) 总计 (A)</t>
        </is>
      </c>
      <c r="B2698" s="6">
        <f>IF($B2689="","",ROUND(B2695+B2697,2))</f>
        <v/>
      </c>
      <c r="D2698" t="inlineStr">
        <is>
          <t>Total(B) 总计 (B)</t>
        </is>
      </c>
      <c r="E2698" s="6">
        <f>IF($B2689="","",ROUND(E2690+E2691+E2692+E2693+E2694+E2695,2))</f>
        <v/>
      </c>
      <c r="H2698" t="inlineStr">
        <is>
          <t>Total© 总计 (C)</t>
        </is>
      </c>
      <c r="I2698" s="6">
        <f>IF($B2689="","",ROUND(I2695+I2697,2))</f>
        <v/>
      </c>
      <c r="K2698" t="inlineStr">
        <is>
          <t>Total(D) 总计 (D)</t>
        </is>
      </c>
      <c r="L2698" s="6">
        <f>IF($B2689="","",ROUND(L2690+L2691+L2692+L2693+L2694+L2695,2))</f>
        <v/>
      </c>
    </row>
    <row r="2699">
      <c r="A2699" s="14" t="inlineStr">
        <is>
          <t>Total = Amount 2 + b/f petty cash  (金额2 + 上日备用金)</t>
        </is>
      </c>
      <c r="H2699" s="14" t="inlineStr">
        <is>
          <t>Total = Amount 2 + b/f petty cash  (金额2 + 上日备用金)</t>
        </is>
      </c>
    </row>
    <row r="2700">
      <c r="A2700" t="inlineStr">
        <is>
          <t>Different 差额</t>
        </is>
      </c>
      <c r="B2700" s="6">
        <f>IF($B2689="","",ROUND(B2698-E2698,2))</f>
        <v/>
      </c>
      <c r="D2700">
        <f>IF($B2689="","",IF(ABS(B2700)&gt;'Opening Balance'!$B$16,"ALERT 警报: Different over RM"&amp;'Opening Balance'!$B$16&amp;" 差额超过RM"&amp;'Opening Balance'!$B$16&amp;" - please check 请检查",IF(B2700=0,"Tied 平衡",IF(ABS(B2700)&lt;='Opening Balance'!$B$13,"Small difference 小额差额: adjusted on c/f petty cash 已调整备用金",IF(B2700&gt;0,"Short 短收: added to Misc Charges 已加入杂项费用","Over 多收: added to Cash Sales 已加入现金销售")))))</f>
        <v/>
      </c>
      <c r="H2700" t="inlineStr">
        <is>
          <t>Different 差额</t>
        </is>
      </c>
      <c r="I2700" s="6">
        <f>IF($B2689="","",ROUND(I2698-L2698,2))</f>
        <v/>
      </c>
    </row>
    <row r="2701"/>
    <row r="2702"/>
    <row r="2703">
      <c r="A2703" t="inlineStr">
        <is>
          <t>Date 日期</t>
        </is>
      </c>
      <c r="B2703" s="5">
        <f>IF('Daily Sale entry '!$A195="","",'Daily Sale entry '!$A195)</f>
        <v/>
      </c>
      <c r="H2703" t="inlineStr">
        <is>
          <t>After 调整后 (After)</t>
        </is>
      </c>
      <c r="I2703" s="5">
        <f>IF($B2703="","",B2703)</f>
        <v/>
      </c>
    </row>
    <row r="2704">
      <c r="A2704" t="inlineStr">
        <is>
          <t>Cash Sales 现金销售</t>
        </is>
      </c>
      <c r="B2704" s="6">
        <f>IF($B2703="","",'Daily Sale entry '!B195)</f>
        <v/>
      </c>
      <c r="D2704" t="inlineStr">
        <is>
          <t>c/f petty cash 今日备用金结转</t>
        </is>
      </c>
      <c r="E2704" s="6">
        <f>IF($B2703="","",'Daily Sale entry '!G195)</f>
        <v/>
      </c>
      <c r="H2704" t="inlineStr">
        <is>
          <t>Cash Sales 现金销售</t>
        </is>
      </c>
      <c r="I2704" s="6">
        <f>IF($B2703="","",IF(AND(ABS(B2714)&gt;'Opening Balance'!$B$13,B2714&lt;0),ROUND(B2704-B2714,2),B2704))</f>
        <v/>
      </c>
      <c r="K2704" t="inlineStr">
        <is>
          <t>c/f petty cash 今日备用金结转</t>
        </is>
      </c>
      <c r="L2704" s="6">
        <f>IF($B2703="","",IF(ABS(B2714)&lt;='Opening Balance'!$B$13,ROUND(E2704+B2714,2),E2704))</f>
        <v/>
      </c>
    </row>
    <row r="2705">
      <c r="A2705" t="inlineStr">
        <is>
          <t>Misc Charges 杂项费用</t>
        </is>
      </c>
      <c r="B2705" s="6">
        <f>IF($B2703="","",'Daily Sale entry '!C195)</f>
        <v/>
      </c>
      <c r="D2705" t="inlineStr">
        <is>
          <t>cash collection 现金收款</t>
        </is>
      </c>
      <c r="E2705" s="6">
        <f>IF($B2703="","",'Daily Sale entry '!H195)</f>
        <v/>
      </c>
      <c r="H2705" t="inlineStr">
        <is>
          <t>Misc Charges 杂项费用</t>
        </is>
      </c>
      <c r="I2705" s="6">
        <f>IF($B2703="","",IF(AND(ABS(B2714)&gt;'Opening Balance'!$B$13,B2714&gt;0),ROUND(B2705+B2714,2),B2705))</f>
        <v/>
      </c>
      <c r="K2705" t="inlineStr">
        <is>
          <t>cash collection 现金收款</t>
        </is>
      </c>
      <c r="L2705" s="6">
        <f>IF($B2703="","",E2705)</f>
        <v/>
      </c>
    </row>
    <row r="2706">
      <c r="A2706" s="1" t="inlineStr">
        <is>
          <t>Other Charges 其他费用</t>
        </is>
      </c>
      <c r="B2706" s="9">
        <f>IF($B2703="","",'Daily Sale entry '!D195)</f>
        <v/>
      </c>
      <c r="D2706" s="1" t="inlineStr">
        <is>
          <t>Cheque Collection 支票收款</t>
        </is>
      </c>
      <c r="E2706" s="9">
        <f>IF($B2703="","",'Daily Sale entry '!J195)</f>
        <v/>
      </c>
      <c r="H2706" s="1" t="inlineStr">
        <is>
          <t>Other Charges 其他费用</t>
        </is>
      </c>
      <c r="I2706" s="9">
        <f>IF($B2703="","",B2706)</f>
        <v/>
      </c>
      <c r="K2706" s="1" t="inlineStr">
        <is>
          <t>Cheque Collection 支票收款</t>
        </is>
      </c>
      <c r="L2706" s="9">
        <f>IF($B2703="","",E2706)</f>
        <v/>
      </c>
    </row>
    <row r="2707">
      <c r="A2707" s="10" t="inlineStr">
        <is>
          <t>Amount 金额  (Cash Sales - Misc - Other)</t>
        </is>
      </c>
      <c r="B2707" s="11">
        <f>IF($B2703="","",ROUND(B2704-B2705-B2706,2))</f>
        <v/>
      </c>
      <c r="D2707" s="12" t="inlineStr">
        <is>
          <t>TNG collection TNG收款</t>
        </is>
      </c>
      <c r="E2707" s="13">
        <f>IF($B2703="","",'Daily Sale entry '!K195)</f>
        <v/>
      </c>
      <c r="H2707" s="10" t="inlineStr">
        <is>
          <t>Amount 金额  (Cash Sales - Misc - Other)</t>
        </is>
      </c>
      <c r="I2707" s="11">
        <f>IF($B2703="","",ROUND(I2704-I2705-I2706,2))</f>
        <v/>
      </c>
      <c r="K2707" s="12" t="inlineStr">
        <is>
          <t>TNG collection TNG收款</t>
        </is>
      </c>
      <c r="L2707" s="13">
        <f>IF($B2703="","",E2707)</f>
        <v/>
      </c>
    </row>
    <row r="2708">
      <c r="A2708" t="inlineStr">
        <is>
          <t>Credit Collection 赊账收款</t>
        </is>
      </c>
      <c r="B2708" s="6">
        <f>IF($B2703="","",'Daily Sale entry '!E195)</f>
        <v/>
      </c>
      <c r="D2708" t="inlineStr">
        <is>
          <t>Advance Salary_M 预支薪水_M</t>
        </is>
      </c>
      <c r="E2708" s="6">
        <f>IF($B2703="","",'Daily Sale entry '!L195)</f>
        <v/>
      </c>
      <c r="H2708" t="inlineStr">
        <is>
          <t>Credit Collection 赊账收款</t>
        </is>
      </c>
      <c r="I2708" s="6">
        <f>IF($B2703="","",B2708)</f>
        <v/>
      </c>
      <c r="K2708" t="inlineStr">
        <is>
          <t>Advance Salary_M 预支薪水_M</t>
        </is>
      </c>
      <c r="L2708" s="6">
        <f>IF($B2703="","",E2708)</f>
        <v/>
      </c>
    </row>
    <row r="2709">
      <c r="A2709" s="10" t="inlineStr">
        <is>
          <t>Amount 2 金额2  (Amount + Credit Collection)</t>
        </is>
      </c>
      <c r="B2709" s="11">
        <f>IF($B2703="","",ROUND(B2707+B2708,2))</f>
        <v/>
      </c>
      <c r="D2709" t="inlineStr">
        <is>
          <t>Advance Salary_H 预支薪水_H</t>
        </is>
      </c>
      <c r="E2709" s="6">
        <f>IF($B2703="","",'Daily Sale entry '!M195)</f>
        <v/>
      </c>
      <c r="H2709" s="10" t="inlineStr">
        <is>
          <t>Amount 2 金额2  (Amount + Credit Collection)</t>
        </is>
      </c>
      <c r="I2709" s="11">
        <f>IF($B2703="","",ROUND(I2707+I2708,2))</f>
        <v/>
      </c>
      <c r="K2709" t="inlineStr">
        <is>
          <t>Advance Salary_H 预支薪水_H</t>
        </is>
      </c>
      <c r="L2709" s="6">
        <f>IF($B2703="","",E2709)</f>
        <v/>
      </c>
    </row>
    <row r="2710"/>
    <row r="2711">
      <c r="A2711" s="1" t="inlineStr">
        <is>
          <t>b/f petty cash 上日备用金结转</t>
        </is>
      </c>
      <c r="B2711" s="9">
        <f>IF($B2703="","",'Daily Sale entry '!F195)</f>
        <v/>
      </c>
      <c r="D2711" s="1" t="n"/>
      <c r="E2711" s="1" t="n"/>
      <c r="H2711" s="1" t="inlineStr">
        <is>
          <t>b/f petty cash 上日备用金结转</t>
        </is>
      </c>
      <c r="I2711" s="9">
        <f>IF($B2703="","",B2711)</f>
        <v/>
      </c>
      <c r="K2711" s="1" t="n"/>
      <c r="L2711" s="1" t="n"/>
    </row>
    <row r="2712">
      <c r="A2712" t="inlineStr">
        <is>
          <t>Total (A) 总计 (A)</t>
        </is>
      </c>
      <c r="B2712" s="6">
        <f>IF($B2703="","",ROUND(B2709+B2711,2))</f>
        <v/>
      </c>
      <c r="D2712" t="inlineStr">
        <is>
          <t>Total(B) 总计 (B)</t>
        </is>
      </c>
      <c r="E2712" s="6">
        <f>IF($B2703="","",ROUND(E2704+E2705+E2706+E2707+E2708+E2709,2))</f>
        <v/>
      </c>
      <c r="H2712" t="inlineStr">
        <is>
          <t>Total© 总计 (C)</t>
        </is>
      </c>
      <c r="I2712" s="6">
        <f>IF($B2703="","",ROUND(I2709+I2711,2))</f>
        <v/>
      </c>
      <c r="K2712" t="inlineStr">
        <is>
          <t>Total(D) 总计 (D)</t>
        </is>
      </c>
      <c r="L2712" s="6">
        <f>IF($B2703="","",ROUND(L2704+L2705+L2706+L2707+L2708+L2709,2))</f>
        <v/>
      </c>
    </row>
    <row r="2713">
      <c r="A2713" s="14" t="inlineStr">
        <is>
          <t>Total = Amount 2 + b/f petty cash  (金额2 + 上日备用金)</t>
        </is>
      </c>
      <c r="H2713" s="14" t="inlineStr">
        <is>
          <t>Total = Amount 2 + b/f petty cash  (金额2 + 上日备用金)</t>
        </is>
      </c>
    </row>
    <row r="2714">
      <c r="A2714" t="inlineStr">
        <is>
          <t>Different 差额</t>
        </is>
      </c>
      <c r="B2714" s="6">
        <f>IF($B2703="","",ROUND(B2712-E2712,2))</f>
        <v/>
      </c>
      <c r="D2714">
        <f>IF($B2703="","",IF(ABS(B2714)&gt;'Opening Balance'!$B$16,"ALERT 警报: Different over RM"&amp;'Opening Balance'!$B$16&amp;" 差额超过RM"&amp;'Opening Balance'!$B$16&amp;" - please check 请检查",IF(B2714=0,"Tied 平衡",IF(ABS(B2714)&lt;='Opening Balance'!$B$13,"Small difference 小额差额: adjusted on c/f petty cash 已调整备用金",IF(B2714&gt;0,"Short 短收: added to Misc Charges 已加入杂项费用","Over 多收: added to Cash Sales 已加入现金销售")))))</f>
        <v/>
      </c>
      <c r="H2714" t="inlineStr">
        <is>
          <t>Different 差额</t>
        </is>
      </c>
      <c r="I2714" s="6">
        <f>IF($B2703="","",ROUND(I2712-L2712,2))</f>
        <v/>
      </c>
    </row>
    <row r="2715"/>
    <row r="2716"/>
    <row r="2717">
      <c r="A2717" t="inlineStr">
        <is>
          <t>Date 日期</t>
        </is>
      </c>
      <c r="B2717" s="5">
        <f>IF('Daily Sale entry '!$A196="","",'Daily Sale entry '!$A196)</f>
        <v/>
      </c>
      <c r="H2717" t="inlineStr">
        <is>
          <t>After 调整后 (After)</t>
        </is>
      </c>
      <c r="I2717" s="5">
        <f>IF($B2717="","",B2717)</f>
        <v/>
      </c>
    </row>
    <row r="2718">
      <c r="A2718" t="inlineStr">
        <is>
          <t>Cash Sales 现金销售</t>
        </is>
      </c>
      <c r="B2718" s="6">
        <f>IF($B2717="","",'Daily Sale entry '!B196)</f>
        <v/>
      </c>
      <c r="D2718" t="inlineStr">
        <is>
          <t>c/f petty cash 今日备用金结转</t>
        </is>
      </c>
      <c r="E2718" s="6">
        <f>IF($B2717="","",'Daily Sale entry '!G196)</f>
        <v/>
      </c>
      <c r="H2718" t="inlineStr">
        <is>
          <t>Cash Sales 现金销售</t>
        </is>
      </c>
      <c r="I2718" s="6">
        <f>IF($B2717="","",IF(AND(ABS(B2728)&gt;'Opening Balance'!$B$13,B2728&lt;0),ROUND(B2718-B2728,2),B2718))</f>
        <v/>
      </c>
      <c r="K2718" t="inlineStr">
        <is>
          <t>c/f petty cash 今日备用金结转</t>
        </is>
      </c>
      <c r="L2718" s="6">
        <f>IF($B2717="","",IF(ABS(B2728)&lt;='Opening Balance'!$B$13,ROUND(E2718+B2728,2),E2718))</f>
        <v/>
      </c>
    </row>
    <row r="2719">
      <c r="A2719" t="inlineStr">
        <is>
          <t>Misc Charges 杂项费用</t>
        </is>
      </c>
      <c r="B2719" s="6">
        <f>IF($B2717="","",'Daily Sale entry '!C196)</f>
        <v/>
      </c>
      <c r="D2719" t="inlineStr">
        <is>
          <t>cash collection 现金收款</t>
        </is>
      </c>
      <c r="E2719" s="6">
        <f>IF($B2717="","",'Daily Sale entry '!H196)</f>
        <v/>
      </c>
      <c r="H2719" t="inlineStr">
        <is>
          <t>Misc Charges 杂项费用</t>
        </is>
      </c>
      <c r="I2719" s="6">
        <f>IF($B2717="","",IF(AND(ABS(B2728)&gt;'Opening Balance'!$B$13,B2728&gt;0),ROUND(B2719+B2728,2),B2719))</f>
        <v/>
      </c>
      <c r="K2719" t="inlineStr">
        <is>
          <t>cash collection 现金收款</t>
        </is>
      </c>
      <c r="L2719" s="6">
        <f>IF($B2717="","",E2719)</f>
        <v/>
      </c>
    </row>
    <row r="2720">
      <c r="A2720" s="1" t="inlineStr">
        <is>
          <t>Other Charges 其他费用</t>
        </is>
      </c>
      <c r="B2720" s="9">
        <f>IF($B2717="","",'Daily Sale entry '!D196)</f>
        <v/>
      </c>
      <c r="D2720" s="1" t="inlineStr">
        <is>
          <t>Cheque Collection 支票收款</t>
        </is>
      </c>
      <c r="E2720" s="9">
        <f>IF($B2717="","",'Daily Sale entry '!J196)</f>
        <v/>
      </c>
      <c r="H2720" s="1" t="inlineStr">
        <is>
          <t>Other Charges 其他费用</t>
        </is>
      </c>
      <c r="I2720" s="9">
        <f>IF($B2717="","",B2720)</f>
        <v/>
      </c>
      <c r="K2720" s="1" t="inlineStr">
        <is>
          <t>Cheque Collection 支票收款</t>
        </is>
      </c>
      <c r="L2720" s="9">
        <f>IF($B2717="","",E2720)</f>
        <v/>
      </c>
    </row>
    <row r="2721">
      <c r="A2721" s="10" t="inlineStr">
        <is>
          <t>Amount 金额  (Cash Sales - Misc - Other)</t>
        </is>
      </c>
      <c r="B2721" s="11">
        <f>IF($B2717="","",ROUND(B2718-B2719-B2720,2))</f>
        <v/>
      </c>
      <c r="D2721" s="12" t="inlineStr">
        <is>
          <t>TNG collection TNG收款</t>
        </is>
      </c>
      <c r="E2721" s="13">
        <f>IF($B2717="","",'Daily Sale entry '!K196)</f>
        <v/>
      </c>
      <c r="H2721" s="10" t="inlineStr">
        <is>
          <t>Amount 金额  (Cash Sales - Misc - Other)</t>
        </is>
      </c>
      <c r="I2721" s="11">
        <f>IF($B2717="","",ROUND(I2718-I2719-I2720,2))</f>
        <v/>
      </c>
      <c r="K2721" s="12" t="inlineStr">
        <is>
          <t>TNG collection TNG收款</t>
        </is>
      </c>
      <c r="L2721" s="13">
        <f>IF($B2717="","",E2721)</f>
        <v/>
      </c>
    </row>
    <row r="2722">
      <c r="A2722" t="inlineStr">
        <is>
          <t>Credit Collection 赊账收款</t>
        </is>
      </c>
      <c r="B2722" s="6">
        <f>IF($B2717="","",'Daily Sale entry '!E196)</f>
        <v/>
      </c>
      <c r="D2722" t="inlineStr">
        <is>
          <t>Advance Salary_M 预支薪水_M</t>
        </is>
      </c>
      <c r="E2722" s="6">
        <f>IF($B2717="","",'Daily Sale entry '!L196)</f>
        <v/>
      </c>
      <c r="H2722" t="inlineStr">
        <is>
          <t>Credit Collection 赊账收款</t>
        </is>
      </c>
      <c r="I2722" s="6">
        <f>IF($B2717="","",B2722)</f>
        <v/>
      </c>
      <c r="K2722" t="inlineStr">
        <is>
          <t>Advance Salary_M 预支薪水_M</t>
        </is>
      </c>
      <c r="L2722" s="6">
        <f>IF($B2717="","",E2722)</f>
        <v/>
      </c>
    </row>
    <row r="2723">
      <c r="A2723" s="10" t="inlineStr">
        <is>
          <t>Amount 2 金额2  (Amount + Credit Collection)</t>
        </is>
      </c>
      <c r="B2723" s="11">
        <f>IF($B2717="","",ROUND(B2721+B2722,2))</f>
        <v/>
      </c>
      <c r="D2723" t="inlineStr">
        <is>
          <t>Advance Salary_H 预支薪水_H</t>
        </is>
      </c>
      <c r="E2723" s="6">
        <f>IF($B2717="","",'Daily Sale entry '!M196)</f>
        <v/>
      </c>
      <c r="H2723" s="10" t="inlineStr">
        <is>
          <t>Amount 2 金额2  (Amount + Credit Collection)</t>
        </is>
      </c>
      <c r="I2723" s="11">
        <f>IF($B2717="","",ROUND(I2721+I2722,2))</f>
        <v/>
      </c>
      <c r="K2723" t="inlineStr">
        <is>
          <t>Advance Salary_H 预支薪水_H</t>
        </is>
      </c>
      <c r="L2723" s="6">
        <f>IF($B2717="","",E2723)</f>
        <v/>
      </c>
    </row>
    <row r="2724"/>
    <row r="2725">
      <c r="A2725" s="1" t="inlineStr">
        <is>
          <t>b/f petty cash 上日备用金结转</t>
        </is>
      </c>
      <c r="B2725" s="9">
        <f>IF($B2717="","",'Daily Sale entry '!F196)</f>
        <v/>
      </c>
      <c r="D2725" s="1" t="n"/>
      <c r="E2725" s="1" t="n"/>
      <c r="H2725" s="1" t="inlineStr">
        <is>
          <t>b/f petty cash 上日备用金结转</t>
        </is>
      </c>
      <c r="I2725" s="9">
        <f>IF($B2717="","",B2725)</f>
        <v/>
      </c>
      <c r="K2725" s="1" t="n"/>
      <c r="L2725" s="1" t="n"/>
    </row>
    <row r="2726">
      <c r="A2726" t="inlineStr">
        <is>
          <t>Total (A) 总计 (A)</t>
        </is>
      </c>
      <c r="B2726" s="6">
        <f>IF($B2717="","",ROUND(B2723+B2725,2))</f>
        <v/>
      </c>
      <c r="D2726" t="inlineStr">
        <is>
          <t>Total(B) 总计 (B)</t>
        </is>
      </c>
      <c r="E2726" s="6">
        <f>IF($B2717="","",ROUND(E2718+E2719+E2720+E2721+E2722+E2723,2))</f>
        <v/>
      </c>
      <c r="H2726" t="inlineStr">
        <is>
          <t>Total© 总计 (C)</t>
        </is>
      </c>
      <c r="I2726" s="6">
        <f>IF($B2717="","",ROUND(I2723+I2725,2))</f>
        <v/>
      </c>
      <c r="K2726" t="inlineStr">
        <is>
          <t>Total(D) 总计 (D)</t>
        </is>
      </c>
      <c r="L2726" s="6">
        <f>IF($B2717="","",ROUND(L2718+L2719+L2720+L2721+L2722+L2723,2))</f>
        <v/>
      </c>
    </row>
    <row r="2727">
      <c r="A2727" s="14" t="inlineStr">
        <is>
          <t>Total = Amount 2 + b/f petty cash  (金额2 + 上日备用金)</t>
        </is>
      </c>
      <c r="H2727" s="14" t="inlineStr">
        <is>
          <t>Total = Amount 2 + b/f petty cash  (金额2 + 上日备用金)</t>
        </is>
      </c>
    </row>
    <row r="2728">
      <c r="A2728" t="inlineStr">
        <is>
          <t>Different 差额</t>
        </is>
      </c>
      <c r="B2728" s="6">
        <f>IF($B2717="","",ROUND(B2726-E2726,2))</f>
        <v/>
      </c>
      <c r="D2728">
        <f>IF($B2717="","",IF(ABS(B2728)&gt;'Opening Balance'!$B$16,"ALERT 警报: Different over RM"&amp;'Opening Balance'!$B$16&amp;" 差额超过RM"&amp;'Opening Balance'!$B$16&amp;" - please check 请检查",IF(B2728=0,"Tied 平衡",IF(ABS(B2728)&lt;='Opening Balance'!$B$13,"Small difference 小额差额: adjusted on c/f petty cash 已调整备用金",IF(B2728&gt;0,"Short 短收: added to Misc Charges 已加入杂项费用","Over 多收: added to Cash Sales 已加入现金销售")))))</f>
        <v/>
      </c>
      <c r="H2728" t="inlineStr">
        <is>
          <t>Different 差额</t>
        </is>
      </c>
      <c r="I2728" s="6">
        <f>IF($B2717="","",ROUND(I2726-L2726,2))</f>
        <v/>
      </c>
    </row>
    <row r="2729"/>
    <row r="2730"/>
    <row r="2731">
      <c r="A2731" t="inlineStr">
        <is>
          <t>Date 日期</t>
        </is>
      </c>
      <c r="B2731" s="5">
        <f>IF('Daily Sale entry '!$A197="","",'Daily Sale entry '!$A197)</f>
        <v/>
      </c>
      <c r="H2731" t="inlineStr">
        <is>
          <t>After 调整后 (After)</t>
        </is>
      </c>
      <c r="I2731" s="5">
        <f>IF($B2731="","",B2731)</f>
        <v/>
      </c>
    </row>
    <row r="2732">
      <c r="A2732" t="inlineStr">
        <is>
          <t>Cash Sales 现金销售</t>
        </is>
      </c>
      <c r="B2732" s="6">
        <f>IF($B2731="","",'Daily Sale entry '!B197)</f>
        <v/>
      </c>
      <c r="D2732" t="inlineStr">
        <is>
          <t>c/f petty cash 今日备用金结转</t>
        </is>
      </c>
      <c r="E2732" s="6">
        <f>IF($B2731="","",'Daily Sale entry '!G197)</f>
        <v/>
      </c>
      <c r="H2732" t="inlineStr">
        <is>
          <t>Cash Sales 现金销售</t>
        </is>
      </c>
      <c r="I2732" s="6">
        <f>IF($B2731="","",IF(AND(ABS(B2742)&gt;'Opening Balance'!$B$13,B2742&lt;0),ROUND(B2732-B2742,2),B2732))</f>
        <v/>
      </c>
      <c r="K2732" t="inlineStr">
        <is>
          <t>c/f petty cash 今日备用金结转</t>
        </is>
      </c>
      <c r="L2732" s="6">
        <f>IF($B2731="","",IF(ABS(B2742)&lt;='Opening Balance'!$B$13,ROUND(E2732+B2742,2),E2732))</f>
        <v/>
      </c>
    </row>
    <row r="2733">
      <c r="A2733" t="inlineStr">
        <is>
          <t>Misc Charges 杂项费用</t>
        </is>
      </c>
      <c r="B2733" s="6">
        <f>IF($B2731="","",'Daily Sale entry '!C197)</f>
        <v/>
      </c>
      <c r="D2733" t="inlineStr">
        <is>
          <t>cash collection 现金收款</t>
        </is>
      </c>
      <c r="E2733" s="6">
        <f>IF($B2731="","",'Daily Sale entry '!H197)</f>
        <v/>
      </c>
      <c r="H2733" t="inlineStr">
        <is>
          <t>Misc Charges 杂项费用</t>
        </is>
      </c>
      <c r="I2733" s="6">
        <f>IF($B2731="","",IF(AND(ABS(B2742)&gt;'Opening Balance'!$B$13,B2742&gt;0),ROUND(B2733+B2742,2),B2733))</f>
        <v/>
      </c>
      <c r="K2733" t="inlineStr">
        <is>
          <t>cash collection 现金收款</t>
        </is>
      </c>
      <c r="L2733" s="6">
        <f>IF($B2731="","",E2733)</f>
        <v/>
      </c>
    </row>
    <row r="2734">
      <c r="A2734" s="1" t="inlineStr">
        <is>
          <t>Other Charges 其他费用</t>
        </is>
      </c>
      <c r="B2734" s="9">
        <f>IF($B2731="","",'Daily Sale entry '!D197)</f>
        <v/>
      </c>
      <c r="D2734" s="1" t="inlineStr">
        <is>
          <t>Cheque Collection 支票收款</t>
        </is>
      </c>
      <c r="E2734" s="9">
        <f>IF($B2731="","",'Daily Sale entry '!J197)</f>
        <v/>
      </c>
      <c r="H2734" s="1" t="inlineStr">
        <is>
          <t>Other Charges 其他费用</t>
        </is>
      </c>
      <c r="I2734" s="9">
        <f>IF($B2731="","",B2734)</f>
        <v/>
      </c>
      <c r="K2734" s="1" t="inlineStr">
        <is>
          <t>Cheque Collection 支票收款</t>
        </is>
      </c>
      <c r="L2734" s="9">
        <f>IF($B2731="","",E2734)</f>
        <v/>
      </c>
    </row>
    <row r="2735">
      <c r="A2735" s="10" t="inlineStr">
        <is>
          <t>Amount 金额  (Cash Sales - Misc - Other)</t>
        </is>
      </c>
      <c r="B2735" s="11">
        <f>IF($B2731="","",ROUND(B2732-B2733-B2734,2))</f>
        <v/>
      </c>
      <c r="D2735" s="12" t="inlineStr">
        <is>
          <t>TNG collection TNG收款</t>
        </is>
      </c>
      <c r="E2735" s="13">
        <f>IF($B2731="","",'Daily Sale entry '!K197)</f>
        <v/>
      </c>
      <c r="H2735" s="10" t="inlineStr">
        <is>
          <t>Amount 金额  (Cash Sales - Misc - Other)</t>
        </is>
      </c>
      <c r="I2735" s="11">
        <f>IF($B2731="","",ROUND(I2732-I2733-I2734,2))</f>
        <v/>
      </c>
      <c r="K2735" s="12" t="inlineStr">
        <is>
          <t>TNG collection TNG收款</t>
        </is>
      </c>
      <c r="L2735" s="13">
        <f>IF($B2731="","",E2735)</f>
        <v/>
      </c>
    </row>
    <row r="2736">
      <c r="A2736" t="inlineStr">
        <is>
          <t>Credit Collection 赊账收款</t>
        </is>
      </c>
      <c r="B2736" s="6">
        <f>IF($B2731="","",'Daily Sale entry '!E197)</f>
        <v/>
      </c>
      <c r="D2736" t="inlineStr">
        <is>
          <t>Advance Salary_M 预支薪水_M</t>
        </is>
      </c>
      <c r="E2736" s="6">
        <f>IF($B2731="","",'Daily Sale entry '!L197)</f>
        <v/>
      </c>
      <c r="H2736" t="inlineStr">
        <is>
          <t>Credit Collection 赊账收款</t>
        </is>
      </c>
      <c r="I2736" s="6">
        <f>IF($B2731="","",B2736)</f>
        <v/>
      </c>
      <c r="K2736" t="inlineStr">
        <is>
          <t>Advance Salary_M 预支薪水_M</t>
        </is>
      </c>
      <c r="L2736" s="6">
        <f>IF($B2731="","",E2736)</f>
        <v/>
      </c>
    </row>
    <row r="2737">
      <c r="A2737" s="10" t="inlineStr">
        <is>
          <t>Amount 2 金额2  (Amount + Credit Collection)</t>
        </is>
      </c>
      <c r="B2737" s="11">
        <f>IF($B2731="","",ROUND(B2735+B2736,2))</f>
        <v/>
      </c>
      <c r="D2737" t="inlineStr">
        <is>
          <t>Advance Salary_H 预支薪水_H</t>
        </is>
      </c>
      <c r="E2737" s="6">
        <f>IF($B2731="","",'Daily Sale entry '!M197)</f>
        <v/>
      </c>
      <c r="H2737" s="10" t="inlineStr">
        <is>
          <t>Amount 2 金额2  (Amount + Credit Collection)</t>
        </is>
      </c>
      <c r="I2737" s="11">
        <f>IF($B2731="","",ROUND(I2735+I2736,2))</f>
        <v/>
      </c>
      <c r="K2737" t="inlineStr">
        <is>
          <t>Advance Salary_H 预支薪水_H</t>
        </is>
      </c>
      <c r="L2737" s="6">
        <f>IF($B2731="","",E2737)</f>
        <v/>
      </c>
    </row>
    <row r="2738"/>
    <row r="2739">
      <c r="A2739" s="1" t="inlineStr">
        <is>
          <t>b/f petty cash 上日备用金结转</t>
        </is>
      </c>
      <c r="B2739" s="9">
        <f>IF($B2731="","",'Daily Sale entry '!F197)</f>
        <v/>
      </c>
      <c r="D2739" s="1" t="n"/>
      <c r="E2739" s="1" t="n"/>
      <c r="H2739" s="1" t="inlineStr">
        <is>
          <t>b/f petty cash 上日备用金结转</t>
        </is>
      </c>
      <c r="I2739" s="9">
        <f>IF($B2731="","",B2739)</f>
        <v/>
      </c>
      <c r="K2739" s="1" t="n"/>
      <c r="L2739" s="1" t="n"/>
    </row>
    <row r="2740">
      <c r="A2740" t="inlineStr">
        <is>
          <t>Total (A) 总计 (A)</t>
        </is>
      </c>
      <c r="B2740" s="6">
        <f>IF($B2731="","",ROUND(B2737+B2739,2))</f>
        <v/>
      </c>
      <c r="D2740" t="inlineStr">
        <is>
          <t>Total(B) 总计 (B)</t>
        </is>
      </c>
      <c r="E2740" s="6">
        <f>IF($B2731="","",ROUND(E2732+E2733+E2734+E2735+E2736+E2737,2))</f>
        <v/>
      </c>
      <c r="H2740" t="inlineStr">
        <is>
          <t>Total© 总计 (C)</t>
        </is>
      </c>
      <c r="I2740" s="6">
        <f>IF($B2731="","",ROUND(I2737+I2739,2))</f>
        <v/>
      </c>
      <c r="K2740" t="inlineStr">
        <is>
          <t>Total(D) 总计 (D)</t>
        </is>
      </c>
      <c r="L2740" s="6">
        <f>IF($B2731="","",ROUND(L2732+L2733+L2734+L2735+L2736+L2737,2))</f>
        <v/>
      </c>
    </row>
    <row r="2741">
      <c r="A2741" s="14" t="inlineStr">
        <is>
          <t>Total = Amount 2 + b/f petty cash  (金额2 + 上日备用金)</t>
        </is>
      </c>
      <c r="H2741" s="14" t="inlineStr">
        <is>
          <t>Total = Amount 2 + b/f petty cash  (金额2 + 上日备用金)</t>
        </is>
      </c>
    </row>
    <row r="2742">
      <c r="A2742" t="inlineStr">
        <is>
          <t>Different 差额</t>
        </is>
      </c>
      <c r="B2742" s="6">
        <f>IF($B2731="","",ROUND(B2740-E2740,2))</f>
        <v/>
      </c>
      <c r="D2742">
        <f>IF($B2731="","",IF(ABS(B2742)&gt;'Opening Balance'!$B$16,"ALERT 警报: Different over RM"&amp;'Opening Balance'!$B$16&amp;" 差额超过RM"&amp;'Opening Balance'!$B$16&amp;" - please check 请检查",IF(B2742=0,"Tied 平衡",IF(ABS(B2742)&lt;='Opening Balance'!$B$13,"Small difference 小额差额: adjusted on c/f petty cash 已调整备用金",IF(B2742&gt;0,"Short 短收: added to Misc Charges 已加入杂项费用","Over 多收: added to Cash Sales 已加入现金销售")))))</f>
        <v/>
      </c>
      <c r="H2742" t="inlineStr">
        <is>
          <t>Different 差额</t>
        </is>
      </c>
      <c r="I2742" s="6">
        <f>IF($B2731="","",ROUND(I2740-L2740,2))</f>
        <v/>
      </c>
    </row>
    <row r="2743"/>
    <row r="2744"/>
    <row r="2745">
      <c r="A2745" t="inlineStr">
        <is>
          <t>Date 日期</t>
        </is>
      </c>
      <c r="B2745" s="5">
        <f>IF('Daily Sale entry '!$A198="","",'Daily Sale entry '!$A198)</f>
        <v/>
      </c>
      <c r="H2745" t="inlineStr">
        <is>
          <t>After 调整后 (After)</t>
        </is>
      </c>
      <c r="I2745" s="5">
        <f>IF($B2745="","",B2745)</f>
        <v/>
      </c>
    </row>
    <row r="2746">
      <c r="A2746" t="inlineStr">
        <is>
          <t>Cash Sales 现金销售</t>
        </is>
      </c>
      <c r="B2746" s="6">
        <f>IF($B2745="","",'Daily Sale entry '!B198)</f>
        <v/>
      </c>
      <c r="D2746" t="inlineStr">
        <is>
          <t>c/f petty cash 今日备用金结转</t>
        </is>
      </c>
      <c r="E2746" s="6">
        <f>IF($B2745="","",'Daily Sale entry '!G198)</f>
        <v/>
      </c>
      <c r="H2746" t="inlineStr">
        <is>
          <t>Cash Sales 现金销售</t>
        </is>
      </c>
      <c r="I2746" s="6">
        <f>IF($B2745="","",IF(AND(ABS(B2756)&gt;'Opening Balance'!$B$13,B2756&lt;0),ROUND(B2746-B2756,2),B2746))</f>
        <v/>
      </c>
      <c r="K2746" t="inlineStr">
        <is>
          <t>c/f petty cash 今日备用金结转</t>
        </is>
      </c>
      <c r="L2746" s="6">
        <f>IF($B2745="","",IF(ABS(B2756)&lt;='Opening Balance'!$B$13,ROUND(E2746+B2756,2),E2746))</f>
        <v/>
      </c>
    </row>
    <row r="2747">
      <c r="A2747" t="inlineStr">
        <is>
          <t>Misc Charges 杂项费用</t>
        </is>
      </c>
      <c r="B2747" s="6">
        <f>IF($B2745="","",'Daily Sale entry '!C198)</f>
        <v/>
      </c>
      <c r="D2747" t="inlineStr">
        <is>
          <t>cash collection 现金收款</t>
        </is>
      </c>
      <c r="E2747" s="6">
        <f>IF($B2745="","",'Daily Sale entry '!H198)</f>
        <v/>
      </c>
      <c r="H2747" t="inlineStr">
        <is>
          <t>Misc Charges 杂项费用</t>
        </is>
      </c>
      <c r="I2747" s="6">
        <f>IF($B2745="","",IF(AND(ABS(B2756)&gt;'Opening Balance'!$B$13,B2756&gt;0),ROUND(B2747+B2756,2),B2747))</f>
        <v/>
      </c>
      <c r="K2747" t="inlineStr">
        <is>
          <t>cash collection 现金收款</t>
        </is>
      </c>
      <c r="L2747" s="6">
        <f>IF($B2745="","",E2747)</f>
        <v/>
      </c>
    </row>
    <row r="2748">
      <c r="A2748" s="1" t="inlineStr">
        <is>
          <t>Other Charges 其他费用</t>
        </is>
      </c>
      <c r="B2748" s="9">
        <f>IF($B2745="","",'Daily Sale entry '!D198)</f>
        <v/>
      </c>
      <c r="D2748" s="1" t="inlineStr">
        <is>
          <t>Cheque Collection 支票收款</t>
        </is>
      </c>
      <c r="E2748" s="9">
        <f>IF($B2745="","",'Daily Sale entry '!J198)</f>
        <v/>
      </c>
      <c r="H2748" s="1" t="inlineStr">
        <is>
          <t>Other Charges 其他费用</t>
        </is>
      </c>
      <c r="I2748" s="9">
        <f>IF($B2745="","",B2748)</f>
        <v/>
      </c>
      <c r="K2748" s="1" t="inlineStr">
        <is>
          <t>Cheque Collection 支票收款</t>
        </is>
      </c>
      <c r="L2748" s="9">
        <f>IF($B2745="","",E2748)</f>
        <v/>
      </c>
    </row>
    <row r="2749">
      <c r="A2749" s="10" t="inlineStr">
        <is>
          <t>Amount 金额  (Cash Sales - Misc - Other)</t>
        </is>
      </c>
      <c r="B2749" s="11">
        <f>IF($B2745="","",ROUND(B2746-B2747-B2748,2))</f>
        <v/>
      </c>
      <c r="D2749" s="12" t="inlineStr">
        <is>
          <t>TNG collection TNG收款</t>
        </is>
      </c>
      <c r="E2749" s="13">
        <f>IF($B2745="","",'Daily Sale entry '!K198)</f>
        <v/>
      </c>
      <c r="H2749" s="10" t="inlineStr">
        <is>
          <t>Amount 金额  (Cash Sales - Misc - Other)</t>
        </is>
      </c>
      <c r="I2749" s="11">
        <f>IF($B2745="","",ROUND(I2746-I2747-I2748,2))</f>
        <v/>
      </c>
      <c r="K2749" s="12" t="inlineStr">
        <is>
          <t>TNG collection TNG收款</t>
        </is>
      </c>
      <c r="L2749" s="13">
        <f>IF($B2745="","",E2749)</f>
        <v/>
      </c>
    </row>
    <row r="2750">
      <c r="A2750" t="inlineStr">
        <is>
          <t>Credit Collection 赊账收款</t>
        </is>
      </c>
      <c r="B2750" s="6">
        <f>IF($B2745="","",'Daily Sale entry '!E198)</f>
        <v/>
      </c>
      <c r="D2750" t="inlineStr">
        <is>
          <t>Advance Salary_M 预支薪水_M</t>
        </is>
      </c>
      <c r="E2750" s="6">
        <f>IF($B2745="","",'Daily Sale entry '!L198)</f>
        <v/>
      </c>
      <c r="H2750" t="inlineStr">
        <is>
          <t>Credit Collection 赊账收款</t>
        </is>
      </c>
      <c r="I2750" s="6">
        <f>IF($B2745="","",B2750)</f>
        <v/>
      </c>
      <c r="K2750" t="inlineStr">
        <is>
          <t>Advance Salary_M 预支薪水_M</t>
        </is>
      </c>
      <c r="L2750" s="6">
        <f>IF($B2745="","",E2750)</f>
        <v/>
      </c>
    </row>
    <row r="2751">
      <c r="A2751" s="10" t="inlineStr">
        <is>
          <t>Amount 2 金额2  (Amount + Credit Collection)</t>
        </is>
      </c>
      <c r="B2751" s="11">
        <f>IF($B2745="","",ROUND(B2749+B2750,2))</f>
        <v/>
      </c>
      <c r="D2751" t="inlineStr">
        <is>
          <t>Advance Salary_H 预支薪水_H</t>
        </is>
      </c>
      <c r="E2751" s="6">
        <f>IF($B2745="","",'Daily Sale entry '!M198)</f>
        <v/>
      </c>
      <c r="H2751" s="10" t="inlineStr">
        <is>
          <t>Amount 2 金额2  (Amount + Credit Collection)</t>
        </is>
      </c>
      <c r="I2751" s="11">
        <f>IF($B2745="","",ROUND(I2749+I2750,2))</f>
        <v/>
      </c>
      <c r="K2751" t="inlineStr">
        <is>
          <t>Advance Salary_H 预支薪水_H</t>
        </is>
      </c>
      <c r="L2751" s="6">
        <f>IF($B2745="","",E2751)</f>
        <v/>
      </c>
    </row>
    <row r="2752"/>
    <row r="2753">
      <c r="A2753" s="1" t="inlineStr">
        <is>
          <t>b/f petty cash 上日备用金结转</t>
        </is>
      </c>
      <c r="B2753" s="9">
        <f>IF($B2745="","",'Daily Sale entry '!F198)</f>
        <v/>
      </c>
      <c r="D2753" s="1" t="n"/>
      <c r="E2753" s="1" t="n"/>
      <c r="H2753" s="1" t="inlineStr">
        <is>
          <t>b/f petty cash 上日备用金结转</t>
        </is>
      </c>
      <c r="I2753" s="9">
        <f>IF($B2745="","",B2753)</f>
        <v/>
      </c>
      <c r="K2753" s="1" t="n"/>
      <c r="L2753" s="1" t="n"/>
    </row>
    <row r="2754">
      <c r="A2754" t="inlineStr">
        <is>
          <t>Total (A) 总计 (A)</t>
        </is>
      </c>
      <c r="B2754" s="6">
        <f>IF($B2745="","",ROUND(B2751+B2753,2))</f>
        <v/>
      </c>
      <c r="D2754" t="inlineStr">
        <is>
          <t>Total(B) 总计 (B)</t>
        </is>
      </c>
      <c r="E2754" s="6">
        <f>IF($B2745="","",ROUND(E2746+E2747+E2748+E2749+E2750+E2751,2))</f>
        <v/>
      </c>
      <c r="H2754" t="inlineStr">
        <is>
          <t>Total© 总计 (C)</t>
        </is>
      </c>
      <c r="I2754" s="6">
        <f>IF($B2745="","",ROUND(I2751+I2753,2))</f>
        <v/>
      </c>
      <c r="K2754" t="inlineStr">
        <is>
          <t>Total(D) 总计 (D)</t>
        </is>
      </c>
      <c r="L2754" s="6">
        <f>IF($B2745="","",ROUND(L2746+L2747+L2748+L2749+L2750+L2751,2))</f>
        <v/>
      </c>
    </row>
    <row r="2755">
      <c r="A2755" s="14" t="inlineStr">
        <is>
          <t>Total = Amount 2 + b/f petty cash  (金额2 + 上日备用金)</t>
        </is>
      </c>
      <c r="H2755" s="14" t="inlineStr">
        <is>
          <t>Total = Amount 2 + b/f petty cash  (金额2 + 上日备用金)</t>
        </is>
      </c>
    </row>
    <row r="2756">
      <c r="A2756" t="inlineStr">
        <is>
          <t>Different 差额</t>
        </is>
      </c>
      <c r="B2756" s="6">
        <f>IF($B2745="","",ROUND(B2754-E2754,2))</f>
        <v/>
      </c>
      <c r="D2756">
        <f>IF($B2745="","",IF(ABS(B2756)&gt;'Opening Balance'!$B$16,"ALERT 警报: Different over RM"&amp;'Opening Balance'!$B$16&amp;" 差额超过RM"&amp;'Opening Balance'!$B$16&amp;" - please check 请检查",IF(B2756=0,"Tied 平衡",IF(ABS(B2756)&lt;='Opening Balance'!$B$13,"Small difference 小额差额: adjusted on c/f petty cash 已调整备用金",IF(B2756&gt;0,"Short 短收: added to Misc Charges 已加入杂项费用","Over 多收: added to Cash Sales 已加入现金销售")))))</f>
        <v/>
      </c>
      <c r="H2756" t="inlineStr">
        <is>
          <t>Different 差额</t>
        </is>
      </c>
      <c r="I2756" s="6">
        <f>IF($B2745="","",ROUND(I2754-L2754,2))</f>
        <v/>
      </c>
    </row>
    <row r="2757"/>
    <row r="2758"/>
    <row r="2759">
      <c r="A2759" t="inlineStr">
        <is>
          <t>Date 日期</t>
        </is>
      </c>
      <c r="B2759" s="5">
        <f>IF('Daily Sale entry '!$A199="","",'Daily Sale entry '!$A199)</f>
        <v/>
      </c>
      <c r="H2759" t="inlineStr">
        <is>
          <t>After 调整后 (After)</t>
        </is>
      </c>
      <c r="I2759" s="5">
        <f>IF($B2759="","",B2759)</f>
        <v/>
      </c>
    </row>
    <row r="2760">
      <c r="A2760" t="inlineStr">
        <is>
          <t>Cash Sales 现金销售</t>
        </is>
      </c>
      <c r="B2760" s="6">
        <f>IF($B2759="","",'Daily Sale entry '!B199)</f>
        <v/>
      </c>
      <c r="D2760" t="inlineStr">
        <is>
          <t>c/f petty cash 今日备用金结转</t>
        </is>
      </c>
      <c r="E2760" s="6">
        <f>IF($B2759="","",'Daily Sale entry '!G199)</f>
        <v/>
      </c>
      <c r="H2760" t="inlineStr">
        <is>
          <t>Cash Sales 现金销售</t>
        </is>
      </c>
      <c r="I2760" s="6">
        <f>IF($B2759="","",IF(AND(ABS(B2770)&gt;'Opening Balance'!$B$13,B2770&lt;0),ROUND(B2760-B2770,2),B2760))</f>
        <v/>
      </c>
      <c r="K2760" t="inlineStr">
        <is>
          <t>c/f petty cash 今日备用金结转</t>
        </is>
      </c>
      <c r="L2760" s="6">
        <f>IF($B2759="","",IF(ABS(B2770)&lt;='Opening Balance'!$B$13,ROUND(E2760+B2770,2),E2760))</f>
        <v/>
      </c>
    </row>
    <row r="2761">
      <c r="A2761" t="inlineStr">
        <is>
          <t>Misc Charges 杂项费用</t>
        </is>
      </c>
      <c r="B2761" s="6">
        <f>IF($B2759="","",'Daily Sale entry '!C199)</f>
        <v/>
      </c>
      <c r="D2761" t="inlineStr">
        <is>
          <t>cash collection 现金收款</t>
        </is>
      </c>
      <c r="E2761" s="6">
        <f>IF($B2759="","",'Daily Sale entry '!H199)</f>
        <v/>
      </c>
      <c r="H2761" t="inlineStr">
        <is>
          <t>Misc Charges 杂项费用</t>
        </is>
      </c>
      <c r="I2761" s="6">
        <f>IF($B2759="","",IF(AND(ABS(B2770)&gt;'Opening Balance'!$B$13,B2770&gt;0),ROUND(B2761+B2770,2),B2761))</f>
        <v/>
      </c>
      <c r="K2761" t="inlineStr">
        <is>
          <t>cash collection 现金收款</t>
        </is>
      </c>
      <c r="L2761" s="6">
        <f>IF($B2759="","",E2761)</f>
        <v/>
      </c>
    </row>
    <row r="2762">
      <c r="A2762" s="1" t="inlineStr">
        <is>
          <t>Other Charges 其他费用</t>
        </is>
      </c>
      <c r="B2762" s="9">
        <f>IF($B2759="","",'Daily Sale entry '!D199)</f>
        <v/>
      </c>
      <c r="D2762" s="1" t="inlineStr">
        <is>
          <t>Cheque Collection 支票收款</t>
        </is>
      </c>
      <c r="E2762" s="9">
        <f>IF($B2759="","",'Daily Sale entry '!J199)</f>
        <v/>
      </c>
      <c r="H2762" s="1" t="inlineStr">
        <is>
          <t>Other Charges 其他费用</t>
        </is>
      </c>
      <c r="I2762" s="9">
        <f>IF($B2759="","",B2762)</f>
        <v/>
      </c>
      <c r="K2762" s="1" t="inlineStr">
        <is>
          <t>Cheque Collection 支票收款</t>
        </is>
      </c>
      <c r="L2762" s="9">
        <f>IF($B2759="","",E2762)</f>
        <v/>
      </c>
    </row>
    <row r="2763">
      <c r="A2763" s="10" t="inlineStr">
        <is>
          <t>Amount 金额  (Cash Sales - Misc - Other)</t>
        </is>
      </c>
      <c r="B2763" s="11">
        <f>IF($B2759="","",ROUND(B2760-B2761-B2762,2))</f>
        <v/>
      </c>
      <c r="D2763" s="12" t="inlineStr">
        <is>
          <t>TNG collection TNG收款</t>
        </is>
      </c>
      <c r="E2763" s="13">
        <f>IF($B2759="","",'Daily Sale entry '!K199)</f>
        <v/>
      </c>
      <c r="H2763" s="10" t="inlineStr">
        <is>
          <t>Amount 金额  (Cash Sales - Misc - Other)</t>
        </is>
      </c>
      <c r="I2763" s="11">
        <f>IF($B2759="","",ROUND(I2760-I2761-I2762,2))</f>
        <v/>
      </c>
      <c r="K2763" s="12" t="inlineStr">
        <is>
          <t>TNG collection TNG收款</t>
        </is>
      </c>
      <c r="L2763" s="13">
        <f>IF($B2759="","",E2763)</f>
        <v/>
      </c>
    </row>
    <row r="2764">
      <c r="A2764" t="inlineStr">
        <is>
          <t>Credit Collection 赊账收款</t>
        </is>
      </c>
      <c r="B2764" s="6">
        <f>IF($B2759="","",'Daily Sale entry '!E199)</f>
        <v/>
      </c>
      <c r="D2764" t="inlineStr">
        <is>
          <t>Advance Salary_M 预支薪水_M</t>
        </is>
      </c>
      <c r="E2764" s="6">
        <f>IF($B2759="","",'Daily Sale entry '!L199)</f>
        <v/>
      </c>
      <c r="H2764" t="inlineStr">
        <is>
          <t>Credit Collection 赊账收款</t>
        </is>
      </c>
      <c r="I2764" s="6">
        <f>IF($B2759="","",B2764)</f>
        <v/>
      </c>
      <c r="K2764" t="inlineStr">
        <is>
          <t>Advance Salary_M 预支薪水_M</t>
        </is>
      </c>
      <c r="L2764" s="6">
        <f>IF($B2759="","",E2764)</f>
        <v/>
      </c>
    </row>
    <row r="2765">
      <c r="A2765" s="10" t="inlineStr">
        <is>
          <t>Amount 2 金额2  (Amount + Credit Collection)</t>
        </is>
      </c>
      <c r="B2765" s="11">
        <f>IF($B2759="","",ROUND(B2763+B2764,2))</f>
        <v/>
      </c>
      <c r="D2765" t="inlineStr">
        <is>
          <t>Advance Salary_H 预支薪水_H</t>
        </is>
      </c>
      <c r="E2765" s="6">
        <f>IF($B2759="","",'Daily Sale entry '!M199)</f>
        <v/>
      </c>
      <c r="H2765" s="10" t="inlineStr">
        <is>
          <t>Amount 2 金额2  (Amount + Credit Collection)</t>
        </is>
      </c>
      <c r="I2765" s="11">
        <f>IF($B2759="","",ROUND(I2763+I2764,2))</f>
        <v/>
      </c>
      <c r="K2765" t="inlineStr">
        <is>
          <t>Advance Salary_H 预支薪水_H</t>
        </is>
      </c>
      <c r="L2765" s="6">
        <f>IF($B2759="","",E2765)</f>
        <v/>
      </c>
    </row>
    <row r="2766"/>
    <row r="2767">
      <c r="A2767" s="1" t="inlineStr">
        <is>
          <t>b/f petty cash 上日备用金结转</t>
        </is>
      </c>
      <c r="B2767" s="9">
        <f>IF($B2759="","",'Daily Sale entry '!F199)</f>
        <v/>
      </c>
      <c r="D2767" s="1" t="n"/>
      <c r="E2767" s="1" t="n"/>
      <c r="H2767" s="1" t="inlineStr">
        <is>
          <t>b/f petty cash 上日备用金结转</t>
        </is>
      </c>
      <c r="I2767" s="9">
        <f>IF($B2759="","",B2767)</f>
        <v/>
      </c>
      <c r="K2767" s="1" t="n"/>
      <c r="L2767" s="1" t="n"/>
    </row>
    <row r="2768">
      <c r="A2768" t="inlineStr">
        <is>
          <t>Total (A) 总计 (A)</t>
        </is>
      </c>
      <c r="B2768" s="6">
        <f>IF($B2759="","",ROUND(B2765+B2767,2))</f>
        <v/>
      </c>
      <c r="D2768" t="inlineStr">
        <is>
          <t>Total(B) 总计 (B)</t>
        </is>
      </c>
      <c r="E2768" s="6">
        <f>IF($B2759="","",ROUND(E2760+E2761+E2762+E2763+E2764+E2765,2))</f>
        <v/>
      </c>
      <c r="H2768" t="inlineStr">
        <is>
          <t>Total© 总计 (C)</t>
        </is>
      </c>
      <c r="I2768" s="6">
        <f>IF($B2759="","",ROUND(I2765+I2767,2))</f>
        <v/>
      </c>
      <c r="K2768" t="inlineStr">
        <is>
          <t>Total(D) 总计 (D)</t>
        </is>
      </c>
      <c r="L2768" s="6">
        <f>IF($B2759="","",ROUND(L2760+L2761+L2762+L2763+L2764+L2765,2))</f>
        <v/>
      </c>
    </row>
    <row r="2769">
      <c r="A2769" s="14" t="inlineStr">
        <is>
          <t>Total = Amount 2 + b/f petty cash  (金额2 + 上日备用金)</t>
        </is>
      </c>
      <c r="H2769" s="14" t="inlineStr">
        <is>
          <t>Total = Amount 2 + b/f petty cash  (金额2 + 上日备用金)</t>
        </is>
      </c>
    </row>
    <row r="2770">
      <c r="A2770" t="inlineStr">
        <is>
          <t>Different 差额</t>
        </is>
      </c>
      <c r="B2770" s="6">
        <f>IF($B2759="","",ROUND(B2768-E2768,2))</f>
        <v/>
      </c>
      <c r="D2770">
        <f>IF($B2759="","",IF(ABS(B2770)&gt;'Opening Balance'!$B$16,"ALERT 警报: Different over RM"&amp;'Opening Balance'!$B$16&amp;" 差额超过RM"&amp;'Opening Balance'!$B$16&amp;" - please check 请检查",IF(B2770=0,"Tied 平衡",IF(ABS(B2770)&lt;='Opening Balance'!$B$13,"Small difference 小额差额: adjusted on c/f petty cash 已调整备用金",IF(B2770&gt;0,"Short 短收: added to Misc Charges 已加入杂项费用","Over 多收: added to Cash Sales 已加入现金销售")))))</f>
        <v/>
      </c>
      <c r="H2770" t="inlineStr">
        <is>
          <t>Different 差额</t>
        </is>
      </c>
      <c r="I2770" s="6">
        <f>IF($B2759="","",ROUND(I2768-L2768,2))</f>
        <v/>
      </c>
    </row>
    <row r="2771"/>
    <row r="2772"/>
    <row r="2773">
      <c r="A2773" t="inlineStr">
        <is>
          <t>Date 日期</t>
        </is>
      </c>
      <c r="B2773" s="5">
        <f>IF('Daily Sale entry '!$A200="","",'Daily Sale entry '!$A200)</f>
        <v/>
      </c>
      <c r="H2773" t="inlineStr">
        <is>
          <t>After 调整后 (After)</t>
        </is>
      </c>
      <c r="I2773" s="5">
        <f>IF($B2773="","",B2773)</f>
        <v/>
      </c>
    </row>
    <row r="2774">
      <c r="A2774" t="inlineStr">
        <is>
          <t>Cash Sales 现金销售</t>
        </is>
      </c>
      <c r="B2774" s="6">
        <f>IF($B2773="","",'Daily Sale entry '!B200)</f>
        <v/>
      </c>
      <c r="D2774" t="inlineStr">
        <is>
          <t>c/f petty cash 今日备用金结转</t>
        </is>
      </c>
      <c r="E2774" s="6">
        <f>IF($B2773="","",'Daily Sale entry '!G200)</f>
        <v/>
      </c>
      <c r="H2774" t="inlineStr">
        <is>
          <t>Cash Sales 现金销售</t>
        </is>
      </c>
      <c r="I2774" s="6">
        <f>IF($B2773="","",IF(AND(ABS(B2784)&gt;'Opening Balance'!$B$13,B2784&lt;0),ROUND(B2774-B2784,2),B2774))</f>
        <v/>
      </c>
      <c r="K2774" t="inlineStr">
        <is>
          <t>c/f petty cash 今日备用金结转</t>
        </is>
      </c>
      <c r="L2774" s="6">
        <f>IF($B2773="","",IF(ABS(B2784)&lt;='Opening Balance'!$B$13,ROUND(E2774+B2784,2),E2774))</f>
        <v/>
      </c>
    </row>
    <row r="2775">
      <c r="A2775" t="inlineStr">
        <is>
          <t>Misc Charges 杂项费用</t>
        </is>
      </c>
      <c r="B2775" s="6">
        <f>IF($B2773="","",'Daily Sale entry '!C200)</f>
        <v/>
      </c>
      <c r="D2775" t="inlineStr">
        <is>
          <t>cash collection 现金收款</t>
        </is>
      </c>
      <c r="E2775" s="6">
        <f>IF($B2773="","",'Daily Sale entry '!H200)</f>
        <v/>
      </c>
      <c r="H2775" t="inlineStr">
        <is>
          <t>Misc Charges 杂项费用</t>
        </is>
      </c>
      <c r="I2775" s="6">
        <f>IF($B2773="","",IF(AND(ABS(B2784)&gt;'Opening Balance'!$B$13,B2784&gt;0),ROUND(B2775+B2784,2),B2775))</f>
        <v/>
      </c>
      <c r="K2775" t="inlineStr">
        <is>
          <t>cash collection 现金收款</t>
        </is>
      </c>
      <c r="L2775" s="6">
        <f>IF($B2773="","",E2775)</f>
        <v/>
      </c>
    </row>
    <row r="2776">
      <c r="A2776" s="1" t="inlineStr">
        <is>
          <t>Other Charges 其他费用</t>
        </is>
      </c>
      <c r="B2776" s="9">
        <f>IF($B2773="","",'Daily Sale entry '!D200)</f>
        <v/>
      </c>
      <c r="D2776" s="1" t="inlineStr">
        <is>
          <t>Cheque Collection 支票收款</t>
        </is>
      </c>
      <c r="E2776" s="9">
        <f>IF($B2773="","",'Daily Sale entry '!J200)</f>
        <v/>
      </c>
      <c r="H2776" s="1" t="inlineStr">
        <is>
          <t>Other Charges 其他费用</t>
        </is>
      </c>
      <c r="I2776" s="9">
        <f>IF($B2773="","",B2776)</f>
        <v/>
      </c>
      <c r="K2776" s="1" t="inlineStr">
        <is>
          <t>Cheque Collection 支票收款</t>
        </is>
      </c>
      <c r="L2776" s="9">
        <f>IF($B2773="","",E2776)</f>
        <v/>
      </c>
    </row>
    <row r="2777">
      <c r="A2777" s="10" t="inlineStr">
        <is>
          <t>Amount 金额  (Cash Sales - Misc - Other)</t>
        </is>
      </c>
      <c r="B2777" s="11">
        <f>IF($B2773="","",ROUND(B2774-B2775-B2776,2))</f>
        <v/>
      </c>
      <c r="D2777" s="12" t="inlineStr">
        <is>
          <t>TNG collection TNG收款</t>
        </is>
      </c>
      <c r="E2777" s="13">
        <f>IF($B2773="","",'Daily Sale entry '!K200)</f>
        <v/>
      </c>
      <c r="H2777" s="10" t="inlineStr">
        <is>
          <t>Amount 金额  (Cash Sales - Misc - Other)</t>
        </is>
      </c>
      <c r="I2777" s="11">
        <f>IF($B2773="","",ROUND(I2774-I2775-I2776,2))</f>
        <v/>
      </c>
      <c r="K2777" s="12" t="inlineStr">
        <is>
          <t>TNG collection TNG收款</t>
        </is>
      </c>
      <c r="L2777" s="13">
        <f>IF($B2773="","",E2777)</f>
        <v/>
      </c>
    </row>
    <row r="2778">
      <c r="A2778" t="inlineStr">
        <is>
          <t>Credit Collection 赊账收款</t>
        </is>
      </c>
      <c r="B2778" s="6">
        <f>IF($B2773="","",'Daily Sale entry '!E200)</f>
        <v/>
      </c>
      <c r="D2778" t="inlineStr">
        <is>
          <t>Advance Salary_M 预支薪水_M</t>
        </is>
      </c>
      <c r="E2778" s="6">
        <f>IF($B2773="","",'Daily Sale entry '!L200)</f>
        <v/>
      </c>
      <c r="H2778" t="inlineStr">
        <is>
          <t>Credit Collection 赊账收款</t>
        </is>
      </c>
      <c r="I2778" s="6">
        <f>IF($B2773="","",B2778)</f>
        <v/>
      </c>
      <c r="K2778" t="inlineStr">
        <is>
          <t>Advance Salary_M 预支薪水_M</t>
        </is>
      </c>
      <c r="L2778" s="6">
        <f>IF($B2773="","",E2778)</f>
        <v/>
      </c>
    </row>
    <row r="2779">
      <c r="A2779" s="10" t="inlineStr">
        <is>
          <t>Amount 2 金额2  (Amount + Credit Collection)</t>
        </is>
      </c>
      <c r="B2779" s="11">
        <f>IF($B2773="","",ROUND(B2777+B2778,2))</f>
        <v/>
      </c>
      <c r="D2779" t="inlineStr">
        <is>
          <t>Advance Salary_H 预支薪水_H</t>
        </is>
      </c>
      <c r="E2779" s="6">
        <f>IF($B2773="","",'Daily Sale entry '!M200)</f>
        <v/>
      </c>
      <c r="H2779" s="10" t="inlineStr">
        <is>
          <t>Amount 2 金额2  (Amount + Credit Collection)</t>
        </is>
      </c>
      <c r="I2779" s="11">
        <f>IF($B2773="","",ROUND(I2777+I2778,2))</f>
        <v/>
      </c>
      <c r="K2779" t="inlineStr">
        <is>
          <t>Advance Salary_H 预支薪水_H</t>
        </is>
      </c>
      <c r="L2779" s="6">
        <f>IF($B2773="","",E2779)</f>
        <v/>
      </c>
    </row>
    <row r="2780"/>
    <row r="2781">
      <c r="A2781" s="1" t="inlineStr">
        <is>
          <t>b/f petty cash 上日备用金结转</t>
        </is>
      </c>
      <c r="B2781" s="9">
        <f>IF($B2773="","",'Daily Sale entry '!F200)</f>
        <v/>
      </c>
      <c r="D2781" s="1" t="n"/>
      <c r="E2781" s="1" t="n"/>
      <c r="H2781" s="1" t="inlineStr">
        <is>
          <t>b/f petty cash 上日备用金结转</t>
        </is>
      </c>
      <c r="I2781" s="9">
        <f>IF($B2773="","",B2781)</f>
        <v/>
      </c>
      <c r="K2781" s="1" t="n"/>
      <c r="L2781" s="1" t="n"/>
    </row>
    <row r="2782">
      <c r="A2782" t="inlineStr">
        <is>
          <t>Total (A) 总计 (A)</t>
        </is>
      </c>
      <c r="B2782" s="6">
        <f>IF($B2773="","",ROUND(B2779+B2781,2))</f>
        <v/>
      </c>
      <c r="D2782" t="inlineStr">
        <is>
          <t>Total(B) 总计 (B)</t>
        </is>
      </c>
      <c r="E2782" s="6">
        <f>IF($B2773="","",ROUND(E2774+E2775+E2776+E2777+E2778+E2779,2))</f>
        <v/>
      </c>
      <c r="H2782" t="inlineStr">
        <is>
          <t>Total© 总计 (C)</t>
        </is>
      </c>
      <c r="I2782" s="6">
        <f>IF($B2773="","",ROUND(I2779+I2781,2))</f>
        <v/>
      </c>
      <c r="K2782" t="inlineStr">
        <is>
          <t>Total(D) 总计 (D)</t>
        </is>
      </c>
      <c r="L2782" s="6">
        <f>IF($B2773="","",ROUND(L2774+L2775+L2776+L2777+L2778+L2779,2))</f>
        <v/>
      </c>
    </row>
    <row r="2783">
      <c r="A2783" s="14" t="inlineStr">
        <is>
          <t>Total = Amount 2 + b/f petty cash  (金额2 + 上日备用金)</t>
        </is>
      </c>
      <c r="H2783" s="14" t="inlineStr">
        <is>
          <t>Total = Amount 2 + b/f petty cash  (金额2 + 上日备用金)</t>
        </is>
      </c>
    </row>
    <row r="2784">
      <c r="A2784" t="inlineStr">
        <is>
          <t>Different 差额</t>
        </is>
      </c>
      <c r="B2784" s="6">
        <f>IF($B2773="","",ROUND(B2782-E2782,2))</f>
        <v/>
      </c>
      <c r="D2784">
        <f>IF($B2773="","",IF(ABS(B2784)&gt;'Opening Balance'!$B$16,"ALERT 警报: Different over RM"&amp;'Opening Balance'!$B$16&amp;" 差额超过RM"&amp;'Opening Balance'!$B$16&amp;" - please check 请检查",IF(B2784=0,"Tied 平衡",IF(ABS(B2784)&lt;='Opening Balance'!$B$13,"Small difference 小额差额: adjusted on c/f petty cash 已调整备用金",IF(B2784&gt;0,"Short 短收: added to Misc Charges 已加入杂项费用","Over 多收: added to Cash Sales 已加入现金销售")))))</f>
        <v/>
      </c>
      <c r="H2784" t="inlineStr">
        <is>
          <t>Different 差额</t>
        </is>
      </c>
      <c r="I2784" s="6">
        <f>IF($B2773="","",ROUND(I2782-L2782,2))</f>
        <v/>
      </c>
    </row>
    <row r="2785"/>
    <row r="2786"/>
    <row r="2787">
      <c r="A2787" t="inlineStr">
        <is>
          <t>Date 日期</t>
        </is>
      </c>
      <c r="B2787" s="5">
        <f>IF('Daily Sale entry '!$A201="","",'Daily Sale entry '!$A201)</f>
        <v/>
      </c>
      <c r="H2787" t="inlineStr">
        <is>
          <t>After 调整后 (After)</t>
        </is>
      </c>
      <c r="I2787" s="5">
        <f>IF($B2787="","",B2787)</f>
        <v/>
      </c>
    </row>
    <row r="2788">
      <c r="A2788" t="inlineStr">
        <is>
          <t>Cash Sales 现金销售</t>
        </is>
      </c>
      <c r="B2788" s="6">
        <f>IF($B2787="","",'Daily Sale entry '!B201)</f>
        <v/>
      </c>
      <c r="D2788" t="inlineStr">
        <is>
          <t>c/f petty cash 今日备用金结转</t>
        </is>
      </c>
      <c r="E2788" s="6">
        <f>IF($B2787="","",'Daily Sale entry '!G201)</f>
        <v/>
      </c>
      <c r="H2788" t="inlineStr">
        <is>
          <t>Cash Sales 现金销售</t>
        </is>
      </c>
      <c r="I2788" s="6">
        <f>IF($B2787="","",IF(AND(ABS(B2798)&gt;'Opening Balance'!$B$13,B2798&lt;0),ROUND(B2788-B2798,2),B2788))</f>
        <v/>
      </c>
      <c r="K2788" t="inlineStr">
        <is>
          <t>c/f petty cash 今日备用金结转</t>
        </is>
      </c>
      <c r="L2788" s="6">
        <f>IF($B2787="","",IF(ABS(B2798)&lt;='Opening Balance'!$B$13,ROUND(E2788+B2798,2),E2788))</f>
        <v/>
      </c>
    </row>
    <row r="2789">
      <c r="A2789" t="inlineStr">
        <is>
          <t>Misc Charges 杂项费用</t>
        </is>
      </c>
      <c r="B2789" s="6">
        <f>IF($B2787="","",'Daily Sale entry '!C201)</f>
        <v/>
      </c>
      <c r="D2789" t="inlineStr">
        <is>
          <t>cash collection 现金收款</t>
        </is>
      </c>
      <c r="E2789" s="6">
        <f>IF($B2787="","",'Daily Sale entry '!H201)</f>
        <v/>
      </c>
      <c r="H2789" t="inlineStr">
        <is>
          <t>Misc Charges 杂项费用</t>
        </is>
      </c>
      <c r="I2789" s="6">
        <f>IF($B2787="","",IF(AND(ABS(B2798)&gt;'Opening Balance'!$B$13,B2798&gt;0),ROUND(B2789+B2798,2),B2789))</f>
        <v/>
      </c>
      <c r="K2789" t="inlineStr">
        <is>
          <t>cash collection 现金收款</t>
        </is>
      </c>
      <c r="L2789" s="6">
        <f>IF($B2787="","",E2789)</f>
        <v/>
      </c>
    </row>
    <row r="2790">
      <c r="A2790" s="1" t="inlineStr">
        <is>
          <t>Other Charges 其他费用</t>
        </is>
      </c>
      <c r="B2790" s="9">
        <f>IF($B2787="","",'Daily Sale entry '!D201)</f>
        <v/>
      </c>
      <c r="D2790" s="1" t="inlineStr">
        <is>
          <t>Cheque Collection 支票收款</t>
        </is>
      </c>
      <c r="E2790" s="9">
        <f>IF($B2787="","",'Daily Sale entry '!J201)</f>
        <v/>
      </c>
      <c r="H2790" s="1" t="inlineStr">
        <is>
          <t>Other Charges 其他费用</t>
        </is>
      </c>
      <c r="I2790" s="9">
        <f>IF($B2787="","",B2790)</f>
        <v/>
      </c>
      <c r="K2790" s="1" t="inlineStr">
        <is>
          <t>Cheque Collection 支票收款</t>
        </is>
      </c>
      <c r="L2790" s="9">
        <f>IF($B2787="","",E2790)</f>
        <v/>
      </c>
    </row>
    <row r="2791">
      <c r="A2791" s="10" t="inlineStr">
        <is>
          <t>Amount 金额  (Cash Sales - Misc - Other)</t>
        </is>
      </c>
      <c r="B2791" s="11">
        <f>IF($B2787="","",ROUND(B2788-B2789-B2790,2))</f>
        <v/>
      </c>
      <c r="D2791" s="12" t="inlineStr">
        <is>
          <t>TNG collection TNG收款</t>
        </is>
      </c>
      <c r="E2791" s="13">
        <f>IF($B2787="","",'Daily Sale entry '!K201)</f>
        <v/>
      </c>
      <c r="H2791" s="10" t="inlineStr">
        <is>
          <t>Amount 金额  (Cash Sales - Misc - Other)</t>
        </is>
      </c>
      <c r="I2791" s="11">
        <f>IF($B2787="","",ROUND(I2788-I2789-I2790,2))</f>
        <v/>
      </c>
      <c r="K2791" s="12" t="inlineStr">
        <is>
          <t>TNG collection TNG收款</t>
        </is>
      </c>
      <c r="L2791" s="13">
        <f>IF($B2787="","",E2791)</f>
        <v/>
      </c>
    </row>
    <row r="2792">
      <c r="A2792" t="inlineStr">
        <is>
          <t>Credit Collection 赊账收款</t>
        </is>
      </c>
      <c r="B2792" s="6">
        <f>IF($B2787="","",'Daily Sale entry '!E201)</f>
        <v/>
      </c>
      <c r="D2792" t="inlineStr">
        <is>
          <t>Advance Salary_M 预支薪水_M</t>
        </is>
      </c>
      <c r="E2792" s="6">
        <f>IF($B2787="","",'Daily Sale entry '!L201)</f>
        <v/>
      </c>
      <c r="H2792" t="inlineStr">
        <is>
          <t>Credit Collection 赊账收款</t>
        </is>
      </c>
      <c r="I2792" s="6">
        <f>IF($B2787="","",B2792)</f>
        <v/>
      </c>
      <c r="K2792" t="inlineStr">
        <is>
          <t>Advance Salary_M 预支薪水_M</t>
        </is>
      </c>
      <c r="L2792" s="6">
        <f>IF($B2787="","",E2792)</f>
        <v/>
      </c>
    </row>
    <row r="2793">
      <c r="A2793" s="10" t="inlineStr">
        <is>
          <t>Amount 2 金额2  (Amount + Credit Collection)</t>
        </is>
      </c>
      <c r="B2793" s="11">
        <f>IF($B2787="","",ROUND(B2791+B2792,2))</f>
        <v/>
      </c>
      <c r="D2793" t="inlineStr">
        <is>
          <t>Advance Salary_H 预支薪水_H</t>
        </is>
      </c>
      <c r="E2793" s="6">
        <f>IF($B2787="","",'Daily Sale entry '!M201)</f>
        <v/>
      </c>
      <c r="H2793" s="10" t="inlineStr">
        <is>
          <t>Amount 2 金额2  (Amount + Credit Collection)</t>
        </is>
      </c>
      <c r="I2793" s="11">
        <f>IF($B2787="","",ROUND(I2791+I2792,2))</f>
        <v/>
      </c>
      <c r="K2793" t="inlineStr">
        <is>
          <t>Advance Salary_H 预支薪水_H</t>
        </is>
      </c>
      <c r="L2793" s="6">
        <f>IF($B2787="","",E2793)</f>
        <v/>
      </c>
    </row>
    <row r="2794"/>
    <row r="2795">
      <c r="A2795" s="1" t="inlineStr">
        <is>
          <t>b/f petty cash 上日备用金结转</t>
        </is>
      </c>
      <c r="B2795" s="9">
        <f>IF($B2787="","",'Daily Sale entry '!F201)</f>
        <v/>
      </c>
      <c r="D2795" s="1" t="n"/>
      <c r="E2795" s="1" t="n"/>
      <c r="H2795" s="1" t="inlineStr">
        <is>
          <t>b/f petty cash 上日备用金结转</t>
        </is>
      </c>
      <c r="I2795" s="9">
        <f>IF($B2787="","",B2795)</f>
        <v/>
      </c>
      <c r="K2795" s="1" t="n"/>
      <c r="L2795" s="1" t="n"/>
    </row>
    <row r="2796">
      <c r="A2796" t="inlineStr">
        <is>
          <t>Total (A) 总计 (A)</t>
        </is>
      </c>
      <c r="B2796" s="6">
        <f>IF($B2787="","",ROUND(B2793+B2795,2))</f>
        <v/>
      </c>
      <c r="D2796" t="inlineStr">
        <is>
          <t>Total(B) 总计 (B)</t>
        </is>
      </c>
      <c r="E2796" s="6">
        <f>IF($B2787="","",ROUND(E2788+E2789+E2790+E2791+E2792+E2793,2))</f>
        <v/>
      </c>
      <c r="H2796" t="inlineStr">
        <is>
          <t>Total© 总计 (C)</t>
        </is>
      </c>
      <c r="I2796" s="6">
        <f>IF($B2787="","",ROUND(I2793+I2795,2))</f>
        <v/>
      </c>
      <c r="K2796" t="inlineStr">
        <is>
          <t>Total(D) 总计 (D)</t>
        </is>
      </c>
      <c r="L2796" s="6">
        <f>IF($B2787="","",ROUND(L2788+L2789+L2790+L2791+L2792+L2793,2))</f>
        <v/>
      </c>
    </row>
    <row r="2797">
      <c r="A2797" s="14" t="inlineStr">
        <is>
          <t>Total = Amount 2 + b/f petty cash  (金额2 + 上日备用金)</t>
        </is>
      </c>
      <c r="H2797" s="14" t="inlineStr">
        <is>
          <t>Total = Amount 2 + b/f petty cash  (金额2 + 上日备用金)</t>
        </is>
      </c>
    </row>
    <row r="2798">
      <c r="A2798" t="inlineStr">
        <is>
          <t>Different 差额</t>
        </is>
      </c>
      <c r="B2798" s="6">
        <f>IF($B2787="","",ROUND(B2796-E2796,2))</f>
        <v/>
      </c>
      <c r="D2798">
        <f>IF($B2787="","",IF(ABS(B2798)&gt;'Opening Balance'!$B$16,"ALERT 警报: Different over RM"&amp;'Opening Balance'!$B$16&amp;" 差额超过RM"&amp;'Opening Balance'!$B$16&amp;" - please check 请检查",IF(B2798=0,"Tied 平衡",IF(ABS(B2798)&lt;='Opening Balance'!$B$13,"Small difference 小额差额: adjusted on c/f petty cash 已调整备用金",IF(B2798&gt;0,"Short 短收: added to Misc Charges 已加入杂项费用","Over 多收: added to Cash Sales 已加入现金销售")))))</f>
        <v/>
      </c>
      <c r="H2798" t="inlineStr">
        <is>
          <t>Different 差额</t>
        </is>
      </c>
      <c r="I2798" s="6">
        <f>IF($B2787="","",ROUND(I2796-L2796,2))</f>
        <v/>
      </c>
    </row>
    <row r="2799"/>
    <row r="2800"/>
    <row r="2801">
      <c r="A2801" t="inlineStr">
        <is>
          <t>Date 日期</t>
        </is>
      </c>
      <c r="B2801" s="5">
        <f>IF('Daily Sale entry '!$A202="","",'Daily Sale entry '!$A202)</f>
        <v/>
      </c>
      <c r="H2801" t="inlineStr">
        <is>
          <t>After 调整后 (After)</t>
        </is>
      </c>
      <c r="I2801" s="5">
        <f>IF($B2801="","",B2801)</f>
        <v/>
      </c>
    </row>
    <row r="2802">
      <c r="A2802" t="inlineStr">
        <is>
          <t>Cash Sales 现金销售</t>
        </is>
      </c>
      <c r="B2802" s="6">
        <f>IF($B2801="","",'Daily Sale entry '!B202)</f>
        <v/>
      </c>
      <c r="D2802" t="inlineStr">
        <is>
          <t>c/f petty cash 今日备用金结转</t>
        </is>
      </c>
      <c r="E2802" s="6">
        <f>IF($B2801="","",'Daily Sale entry '!G202)</f>
        <v/>
      </c>
      <c r="H2802" t="inlineStr">
        <is>
          <t>Cash Sales 现金销售</t>
        </is>
      </c>
      <c r="I2802" s="6">
        <f>IF($B2801="","",IF(AND(ABS(B2812)&gt;'Opening Balance'!$B$13,B2812&lt;0),ROUND(B2802-B2812,2),B2802))</f>
        <v/>
      </c>
      <c r="K2802" t="inlineStr">
        <is>
          <t>c/f petty cash 今日备用金结转</t>
        </is>
      </c>
      <c r="L2802" s="6">
        <f>IF($B2801="","",IF(ABS(B2812)&lt;='Opening Balance'!$B$13,ROUND(E2802+B2812,2),E2802))</f>
        <v/>
      </c>
    </row>
    <row r="2803">
      <c r="A2803" t="inlineStr">
        <is>
          <t>Misc Charges 杂项费用</t>
        </is>
      </c>
      <c r="B2803" s="6">
        <f>IF($B2801="","",'Daily Sale entry '!C202)</f>
        <v/>
      </c>
      <c r="D2803" t="inlineStr">
        <is>
          <t>cash collection 现金收款</t>
        </is>
      </c>
      <c r="E2803" s="6">
        <f>IF($B2801="","",'Daily Sale entry '!H202)</f>
        <v/>
      </c>
      <c r="H2803" t="inlineStr">
        <is>
          <t>Misc Charges 杂项费用</t>
        </is>
      </c>
      <c r="I2803" s="6">
        <f>IF($B2801="","",IF(AND(ABS(B2812)&gt;'Opening Balance'!$B$13,B2812&gt;0),ROUND(B2803+B2812,2),B2803))</f>
        <v/>
      </c>
      <c r="K2803" t="inlineStr">
        <is>
          <t>cash collection 现金收款</t>
        </is>
      </c>
      <c r="L2803" s="6">
        <f>IF($B2801="","",E2803)</f>
        <v/>
      </c>
    </row>
    <row r="2804">
      <c r="A2804" s="1" t="inlineStr">
        <is>
          <t>Other Charges 其他费用</t>
        </is>
      </c>
      <c r="B2804" s="9">
        <f>IF($B2801="","",'Daily Sale entry '!D202)</f>
        <v/>
      </c>
      <c r="D2804" s="1" t="inlineStr">
        <is>
          <t>Cheque Collection 支票收款</t>
        </is>
      </c>
      <c r="E2804" s="9">
        <f>IF($B2801="","",'Daily Sale entry '!J202)</f>
        <v/>
      </c>
      <c r="H2804" s="1" t="inlineStr">
        <is>
          <t>Other Charges 其他费用</t>
        </is>
      </c>
      <c r="I2804" s="9">
        <f>IF($B2801="","",B2804)</f>
        <v/>
      </c>
      <c r="K2804" s="1" t="inlineStr">
        <is>
          <t>Cheque Collection 支票收款</t>
        </is>
      </c>
      <c r="L2804" s="9">
        <f>IF($B2801="","",E2804)</f>
        <v/>
      </c>
    </row>
    <row r="2805">
      <c r="A2805" s="10" t="inlineStr">
        <is>
          <t>Amount 金额  (Cash Sales - Misc - Other)</t>
        </is>
      </c>
      <c r="B2805" s="11">
        <f>IF($B2801="","",ROUND(B2802-B2803-B2804,2))</f>
        <v/>
      </c>
      <c r="D2805" s="12" t="inlineStr">
        <is>
          <t>TNG collection TNG收款</t>
        </is>
      </c>
      <c r="E2805" s="13">
        <f>IF($B2801="","",'Daily Sale entry '!K202)</f>
        <v/>
      </c>
      <c r="H2805" s="10" t="inlineStr">
        <is>
          <t>Amount 金额  (Cash Sales - Misc - Other)</t>
        </is>
      </c>
      <c r="I2805" s="11">
        <f>IF($B2801="","",ROUND(I2802-I2803-I2804,2))</f>
        <v/>
      </c>
      <c r="K2805" s="12" t="inlineStr">
        <is>
          <t>TNG collection TNG收款</t>
        </is>
      </c>
      <c r="L2805" s="13">
        <f>IF($B2801="","",E2805)</f>
        <v/>
      </c>
    </row>
    <row r="2806">
      <c r="A2806" t="inlineStr">
        <is>
          <t>Credit Collection 赊账收款</t>
        </is>
      </c>
      <c r="B2806" s="6">
        <f>IF($B2801="","",'Daily Sale entry '!E202)</f>
        <v/>
      </c>
      <c r="D2806" t="inlineStr">
        <is>
          <t>Advance Salary_M 预支薪水_M</t>
        </is>
      </c>
      <c r="E2806" s="6">
        <f>IF($B2801="","",'Daily Sale entry '!L202)</f>
        <v/>
      </c>
      <c r="H2806" t="inlineStr">
        <is>
          <t>Credit Collection 赊账收款</t>
        </is>
      </c>
      <c r="I2806" s="6">
        <f>IF($B2801="","",B2806)</f>
        <v/>
      </c>
      <c r="K2806" t="inlineStr">
        <is>
          <t>Advance Salary_M 预支薪水_M</t>
        </is>
      </c>
      <c r="L2806" s="6">
        <f>IF($B2801="","",E2806)</f>
        <v/>
      </c>
    </row>
    <row r="2807">
      <c r="A2807" s="10" t="inlineStr">
        <is>
          <t>Amount 2 金额2  (Amount + Credit Collection)</t>
        </is>
      </c>
      <c r="B2807" s="11">
        <f>IF($B2801="","",ROUND(B2805+B2806,2))</f>
        <v/>
      </c>
      <c r="D2807" t="inlineStr">
        <is>
          <t>Advance Salary_H 预支薪水_H</t>
        </is>
      </c>
      <c r="E2807" s="6">
        <f>IF($B2801="","",'Daily Sale entry '!M202)</f>
        <v/>
      </c>
      <c r="H2807" s="10" t="inlineStr">
        <is>
          <t>Amount 2 金额2  (Amount + Credit Collection)</t>
        </is>
      </c>
      <c r="I2807" s="11">
        <f>IF($B2801="","",ROUND(I2805+I2806,2))</f>
        <v/>
      </c>
      <c r="K2807" t="inlineStr">
        <is>
          <t>Advance Salary_H 预支薪水_H</t>
        </is>
      </c>
      <c r="L2807" s="6">
        <f>IF($B2801="","",E2807)</f>
        <v/>
      </c>
    </row>
    <row r="2808"/>
    <row r="2809">
      <c r="A2809" s="1" t="inlineStr">
        <is>
          <t>b/f petty cash 上日备用金结转</t>
        </is>
      </c>
      <c r="B2809" s="9">
        <f>IF($B2801="","",'Daily Sale entry '!F202)</f>
        <v/>
      </c>
      <c r="D2809" s="1" t="n"/>
      <c r="E2809" s="1" t="n"/>
      <c r="H2809" s="1" t="inlineStr">
        <is>
          <t>b/f petty cash 上日备用金结转</t>
        </is>
      </c>
      <c r="I2809" s="9">
        <f>IF($B2801="","",B2809)</f>
        <v/>
      </c>
      <c r="K2809" s="1" t="n"/>
      <c r="L2809" s="1" t="n"/>
    </row>
    <row r="2810">
      <c r="A2810" t="inlineStr">
        <is>
          <t>Total (A) 总计 (A)</t>
        </is>
      </c>
      <c r="B2810" s="6">
        <f>IF($B2801="","",ROUND(B2807+B2809,2))</f>
        <v/>
      </c>
      <c r="D2810" t="inlineStr">
        <is>
          <t>Total(B) 总计 (B)</t>
        </is>
      </c>
      <c r="E2810" s="6">
        <f>IF($B2801="","",ROUND(E2802+E2803+E2804+E2805+E2806+E2807,2))</f>
        <v/>
      </c>
      <c r="H2810" t="inlineStr">
        <is>
          <t>Total© 总计 (C)</t>
        </is>
      </c>
      <c r="I2810" s="6">
        <f>IF($B2801="","",ROUND(I2807+I2809,2))</f>
        <v/>
      </c>
      <c r="K2810" t="inlineStr">
        <is>
          <t>Total(D) 总计 (D)</t>
        </is>
      </c>
      <c r="L2810" s="6">
        <f>IF($B2801="","",ROUND(L2802+L2803+L2804+L2805+L2806+L2807,2))</f>
        <v/>
      </c>
    </row>
    <row r="2811">
      <c r="A2811" s="14" t="inlineStr">
        <is>
          <t>Total = Amount 2 + b/f petty cash  (金额2 + 上日备用金)</t>
        </is>
      </c>
      <c r="H2811" s="14" t="inlineStr">
        <is>
          <t>Total = Amount 2 + b/f petty cash  (金额2 + 上日备用金)</t>
        </is>
      </c>
    </row>
    <row r="2812">
      <c r="A2812" t="inlineStr">
        <is>
          <t>Different 差额</t>
        </is>
      </c>
      <c r="B2812" s="6">
        <f>IF($B2801="","",ROUND(B2810-E2810,2))</f>
        <v/>
      </c>
      <c r="D2812">
        <f>IF($B2801="","",IF(ABS(B2812)&gt;'Opening Balance'!$B$16,"ALERT 警报: Different over RM"&amp;'Opening Balance'!$B$16&amp;" 差额超过RM"&amp;'Opening Balance'!$B$16&amp;" - please check 请检查",IF(B2812=0,"Tied 平衡",IF(ABS(B2812)&lt;='Opening Balance'!$B$13,"Small difference 小额差额: adjusted on c/f petty cash 已调整备用金",IF(B2812&gt;0,"Short 短收: added to Misc Charges 已加入杂项费用","Over 多收: added to Cash Sales 已加入现金销售")))))</f>
        <v/>
      </c>
      <c r="H2812" t="inlineStr">
        <is>
          <t>Different 差额</t>
        </is>
      </c>
      <c r="I2812" s="6">
        <f>IF($B2801="","",ROUND(I2810-L2810,2))</f>
        <v/>
      </c>
    </row>
    <row r="2813"/>
    <row r="2814"/>
    <row r="2815">
      <c r="A2815" t="inlineStr">
        <is>
          <t>Date 日期</t>
        </is>
      </c>
      <c r="B2815" s="5">
        <f>IF('Daily Sale entry '!$A203="","",'Daily Sale entry '!$A203)</f>
        <v/>
      </c>
      <c r="H2815" t="inlineStr">
        <is>
          <t>After 调整后 (After)</t>
        </is>
      </c>
      <c r="I2815" s="5">
        <f>IF($B2815="","",B2815)</f>
        <v/>
      </c>
    </row>
    <row r="2816">
      <c r="A2816" t="inlineStr">
        <is>
          <t>Cash Sales 现金销售</t>
        </is>
      </c>
      <c r="B2816" s="6">
        <f>IF($B2815="","",'Daily Sale entry '!B203)</f>
        <v/>
      </c>
      <c r="D2816" t="inlineStr">
        <is>
          <t>c/f petty cash 今日备用金结转</t>
        </is>
      </c>
      <c r="E2816" s="6">
        <f>IF($B2815="","",'Daily Sale entry '!G203)</f>
        <v/>
      </c>
      <c r="H2816" t="inlineStr">
        <is>
          <t>Cash Sales 现金销售</t>
        </is>
      </c>
      <c r="I2816" s="6">
        <f>IF($B2815="","",IF(AND(ABS(B2826)&gt;'Opening Balance'!$B$13,B2826&lt;0),ROUND(B2816-B2826,2),B2816))</f>
        <v/>
      </c>
      <c r="K2816" t="inlineStr">
        <is>
          <t>c/f petty cash 今日备用金结转</t>
        </is>
      </c>
      <c r="L2816" s="6">
        <f>IF($B2815="","",IF(ABS(B2826)&lt;='Opening Balance'!$B$13,ROUND(E2816+B2826,2),E2816))</f>
        <v/>
      </c>
    </row>
    <row r="2817">
      <c r="A2817" t="inlineStr">
        <is>
          <t>Misc Charges 杂项费用</t>
        </is>
      </c>
      <c r="B2817" s="6">
        <f>IF($B2815="","",'Daily Sale entry '!C203)</f>
        <v/>
      </c>
      <c r="D2817" t="inlineStr">
        <is>
          <t>cash collection 现金收款</t>
        </is>
      </c>
      <c r="E2817" s="6">
        <f>IF($B2815="","",'Daily Sale entry '!H203)</f>
        <v/>
      </c>
      <c r="H2817" t="inlineStr">
        <is>
          <t>Misc Charges 杂项费用</t>
        </is>
      </c>
      <c r="I2817" s="6">
        <f>IF($B2815="","",IF(AND(ABS(B2826)&gt;'Opening Balance'!$B$13,B2826&gt;0),ROUND(B2817+B2826,2),B2817))</f>
        <v/>
      </c>
      <c r="K2817" t="inlineStr">
        <is>
          <t>cash collection 现金收款</t>
        </is>
      </c>
      <c r="L2817" s="6">
        <f>IF($B2815="","",E2817)</f>
        <v/>
      </c>
    </row>
    <row r="2818">
      <c r="A2818" s="1" t="inlineStr">
        <is>
          <t>Other Charges 其他费用</t>
        </is>
      </c>
      <c r="B2818" s="9">
        <f>IF($B2815="","",'Daily Sale entry '!D203)</f>
        <v/>
      </c>
      <c r="D2818" s="1" t="inlineStr">
        <is>
          <t>Cheque Collection 支票收款</t>
        </is>
      </c>
      <c r="E2818" s="9">
        <f>IF($B2815="","",'Daily Sale entry '!J203)</f>
        <v/>
      </c>
      <c r="H2818" s="1" t="inlineStr">
        <is>
          <t>Other Charges 其他费用</t>
        </is>
      </c>
      <c r="I2818" s="9">
        <f>IF($B2815="","",B2818)</f>
        <v/>
      </c>
      <c r="K2818" s="1" t="inlineStr">
        <is>
          <t>Cheque Collection 支票收款</t>
        </is>
      </c>
      <c r="L2818" s="9">
        <f>IF($B2815="","",E2818)</f>
        <v/>
      </c>
    </row>
    <row r="2819">
      <c r="A2819" s="10" t="inlineStr">
        <is>
          <t>Amount 金额  (Cash Sales - Misc - Other)</t>
        </is>
      </c>
      <c r="B2819" s="11">
        <f>IF($B2815="","",ROUND(B2816-B2817-B2818,2))</f>
        <v/>
      </c>
      <c r="D2819" s="12" t="inlineStr">
        <is>
          <t>TNG collection TNG收款</t>
        </is>
      </c>
      <c r="E2819" s="13">
        <f>IF($B2815="","",'Daily Sale entry '!K203)</f>
        <v/>
      </c>
      <c r="H2819" s="10" t="inlineStr">
        <is>
          <t>Amount 金额  (Cash Sales - Misc - Other)</t>
        </is>
      </c>
      <c r="I2819" s="11">
        <f>IF($B2815="","",ROUND(I2816-I2817-I2818,2))</f>
        <v/>
      </c>
      <c r="K2819" s="12" t="inlineStr">
        <is>
          <t>TNG collection TNG收款</t>
        </is>
      </c>
      <c r="L2819" s="13">
        <f>IF($B2815="","",E2819)</f>
        <v/>
      </c>
    </row>
    <row r="2820">
      <c r="A2820" t="inlineStr">
        <is>
          <t>Credit Collection 赊账收款</t>
        </is>
      </c>
      <c r="B2820" s="6">
        <f>IF($B2815="","",'Daily Sale entry '!E203)</f>
        <v/>
      </c>
      <c r="D2820" t="inlineStr">
        <is>
          <t>Advance Salary_M 预支薪水_M</t>
        </is>
      </c>
      <c r="E2820" s="6">
        <f>IF($B2815="","",'Daily Sale entry '!L203)</f>
        <v/>
      </c>
      <c r="H2820" t="inlineStr">
        <is>
          <t>Credit Collection 赊账收款</t>
        </is>
      </c>
      <c r="I2820" s="6">
        <f>IF($B2815="","",B2820)</f>
        <v/>
      </c>
      <c r="K2820" t="inlineStr">
        <is>
          <t>Advance Salary_M 预支薪水_M</t>
        </is>
      </c>
      <c r="L2820" s="6">
        <f>IF($B2815="","",E2820)</f>
        <v/>
      </c>
    </row>
    <row r="2821">
      <c r="A2821" s="10" t="inlineStr">
        <is>
          <t>Amount 2 金额2  (Amount + Credit Collection)</t>
        </is>
      </c>
      <c r="B2821" s="11">
        <f>IF($B2815="","",ROUND(B2819+B2820,2))</f>
        <v/>
      </c>
      <c r="D2821" t="inlineStr">
        <is>
          <t>Advance Salary_H 预支薪水_H</t>
        </is>
      </c>
      <c r="E2821" s="6">
        <f>IF($B2815="","",'Daily Sale entry '!M203)</f>
        <v/>
      </c>
      <c r="H2821" s="10" t="inlineStr">
        <is>
          <t>Amount 2 金额2  (Amount + Credit Collection)</t>
        </is>
      </c>
      <c r="I2821" s="11">
        <f>IF($B2815="","",ROUND(I2819+I2820,2))</f>
        <v/>
      </c>
      <c r="K2821" t="inlineStr">
        <is>
          <t>Advance Salary_H 预支薪水_H</t>
        </is>
      </c>
      <c r="L2821" s="6">
        <f>IF($B2815="","",E2821)</f>
        <v/>
      </c>
    </row>
    <row r="2822"/>
    <row r="2823">
      <c r="A2823" s="1" t="inlineStr">
        <is>
          <t>b/f petty cash 上日备用金结转</t>
        </is>
      </c>
      <c r="B2823" s="9">
        <f>IF($B2815="","",'Daily Sale entry '!F203)</f>
        <v/>
      </c>
      <c r="D2823" s="1" t="n"/>
      <c r="E2823" s="1" t="n"/>
      <c r="H2823" s="1" t="inlineStr">
        <is>
          <t>b/f petty cash 上日备用金结转</t>
        </is>
      </c>
      <c r="I2823" s="9">
        <f>IF($B2815="","",B2823)</f>
        <v/>
      </c>
      <c r="K2823" s="1" t="n"/>
      <c r="L2823" s="1" t="n"/>
    </row>
    <row r="2824">
      <c r="A2824" t="inlineStr">
        <is>
          <t>Total (A) 总计 (A)</t>
        </is>
      </c>
      <c r="B2824" s="6">
        <f>IF($B2815="","",ROUND(B2821+B2823,2))</f>
        <v/>
      </c>
      <c r="D2824" t="inlineStr">
        <is>
          <t>Total(B) 总计 (B)</t>
        </is>
      </c>
      <c r="E2824" s="6">
        <f>IF($B2815="","",ROUND(E2816+E2817+E2818+E2819+E2820+E2821,2))</f>
        <v/>
      </c>
      <c r="H2824" t="inlineStr">
        <is>
          <t>Total© 总计 (C)</t>
        </is>
      </c>
      <c r="I2824" s="6">
        <f>IF($B2815="","",ROUND(I2821+I2823,2))</f>
        <v/>
      </c>
      <c r="K2824" t="inlineStr">
        <is>
          <t>Total(D) 总计 (D)</t>
        </is>
      </c>
      <c r="L2824" s="6">
        <f>IF($B2815="","",ROUND(L2816+L2817+L2818+L2819+L2820+L2821,2))</f>
        <v/>
      </c>
    </row>
    <row r="2825">
      <c r="A2825" s="14" t="inlineStr">
        <is>
          <t>Total = Amount 2 + b/f petty cash  (金额2 + 上日备用金)</t>
        </is>
      </c>
      <c r="H2825" s="14" t="inlineStr">
        <is>
          <t>Total = Amount 2 + b/f petty cash  (金额2 + 上日备用金)</t>
        </is>
      </c>
    </row>
    <row r="2826">
      <c r="A2826" t="inlineStr">
        <is>
          <t>Different 差额</t>
        </is>
      </c>
      <c r="B2826" s="6">
        <f>IF($B2815="","",ROUND(B2824-E2824,2))</f>
        <v/>
      </c>
      <c r="D2826">
        <f>IF($B2815="","",IF(ABS(B2826)&gt;'Opening Balance'!$B$16,"ALERT 警报: Different over RM"&amp;'Opening Balance'!$B$16&amp;" 差额超过RM"&amp;'Opening Balance'!$B$16&amp;" - please check 请检查",IF(B2826=0,"Tied 平衡",IF(ABS(B2826)&lt;='Opening Balance'!$B$13,"Small difference 小额差额: adjusted on c/f petty cash 已调整备用金",IF(B2826&gt;0,"Short 短收: added to Misc Charges 已加入杂项费用","Over 多收: added to Cash Sales 已加入现金销售")))))</f>
        <v/>
      </c>
      <c r="H2826" t="inlineStr">
        <is>
          <t>Different 差额</t>
        </is>
      </c>
      <c r="I2826" s="6">
        <f>IF($B2815="","",ROUND(I2824-L2824,2))</f>
        <v/>
      </c>
    </row>
    <row r="2827"/>
    <row r="2828"/>
    <row r="2829">
      <c r="A2829" t="inlineStr">
        <is>
          <t>Date 日期</t>
        </is>
      </c>
      <c r="B2829" s="5">
        <f>IF('Daily Sale entry '!$A204="","",'Daily Sale entry '!$A204)</f>
        <v/>
      </c>
      <c r="H2829" t="inlineStr">
        <is>
          <t>After 调整后 (After)</t>
        </is>
      </c>
      <c r="I2829" s="5">
        <f>IF($B2829="","",B2829)</f>
        <v/>
      </c>
    </row>
    <row r="2830">
      <c r="A2830" t="inlineStr">
        <is>
          <t>Cash Sales 现金销售</t>
        </is>
      </c>
      <c r="B2830" s="6">
        <f>IF($B2829="","",'Daily Sale entry '!B204)</f>
        <v/>
      </c>
      <c r="D2830" t="inlineStr">
        <is>
          <t>c/f petty cash 今日备用金结转</t>
        </is>
      </c>
      <c r="E2830" s="6">
        <f>IF($B2829="","",'Daily Sale entry '!G204)</f>
        <v/>
      </c>
      <c r="H2830" t="inlineStr">
        <is>
          <t>Cash Sales 现金销售</t>
        </is>
      </c>
      <c r="I2830" s="6">
        <f>IF($B2829="","",IF(AND(ABS(B2840)&gt;'Opening Balance'!$B$13,B2840&lt;0),ROUND(B2830-B2840,2),B2830))</f>
        <v/>
      </c>
      <c r="K2830" t="inlineStr">
        <is>
          <t>c/f petty cash 今日备用金结转</t>
        </is>
      </c>
      <c r="L2830" s="6">
        <f>IF($B2829="","",IF(ABS(B2840)&lt;='Opening Balance'!$B$13,ROUND(E2830+B2840,2),E2830))</f>
        <v/>
      </c>
    </row>
    <row r="2831">
      <c r="A2831" t="inlineStr">
        <is>
          <t>Misc Charges 杂项费用</t>
        </is>
      </c>
      <c r="B2831" s="6">
        <f>IF($B2829="","",'Daily Sale entry '!C204)</f>
        <v/>
      </c>
      <c r="D2831" t="inlineStr">
        <is>
          <t>cash collection 现金收款</t>
        </is>
      </c>
      <c r="E2831" s="6">
        <f>IF($B2829="","",'Daily Sale entry '!H204)</f>
        <v/>
      </c>
      <c r="H2831" t="inlineStr">
        <is>
          <t>Misc Charges 杂项费用</t>
        </is>
      </c>
      <c r="I2831" s="6">
        <f>IF($B2829="","",IF(AND(ABS(B2840)&gt;'Opening Balance'!$B$13,B2840&gt;0),ROUND(B2831+B2840,2),B2831))</f>
        <v/>
      </c>
      <c r="K2831" t="inlineStr">
        <is>
          <t>cash collection 现金收款</t>
        </is>
      </c>
      <c r="L2831" s="6">
        <f>IF($B2829="","",E2831)</f>
        <v/>
      </c>
    </row>
    <row r="2832">
      <c r="A2832" s="1" t="inlineStr">
        <is>
          <t>Other Charges 其他费用</t>
        </is>
      </c>
      <c r="B2832" s="9">
        <f>IF($B2829="","",'Daily Sale entry '!D204)</f>
        <v/>
      </c>
      <c r="D2832" s="1" t="inlineStr">
        <is>
          <t>Cheque Collection 支票收款</t>
        </is>
      </c>
      <c r="E2832" s="9">
        <f>IF($B2829="","",'Daily Sale entry '!J204)</f>
        <v/>
      </c>
      <c r="H2832" s="1" t="inlineStr">
        <is>
          <t>Other Charges 其他费用</t>
        </is>
      </c>
      <c r="I2832" s="9">
        <f>IF($B2829="","",B2832)</f>
        <v/>
      </c>
      <c r="K2832" s="1" t="inlineStr">
        <is>
          <t>Cheque Collection 支票收款</t>
        </is>
      </c>
      <c r="L2832" s="9">
        <f>IF($B2829="","",E2832)</f>
        <v/>
      </c>
    </row>
    <row r="2833">
      <c r="A2833" s="10" t="inlineStr">
        <is>
          <t>Amount 金额  (Cash Sales - Misc - Other)</t>
        </is>
      </c>
      <c r="B2833" s="11">
        <f>IF($B2829="","",ROUND(B2830-B2831-B2832,2))</f>
        <v/>
      </c>
      <c r="D2833" s="12" t="inlineStr">
        <is>
          <t>TNG collection TNG收款</t>
        </is>
      </c>
      <c r="E2833" s="13">
        <f>IF($B2829="","",'Daily Sale entry '!K204)</f>
        <v/>
      </c>
      <c r="H2833" s="10" t="inlineStr">
        <is>
          <t>Amount 金额  (Cash Sales - Misc - Other)</t>
        </is>
      </c>
      <c r="I2833" s="11">
        <f>IF($B2829="","",ROUND(I2830-I2831-I2832,2))</f>
        <v/>
      </c>
      <c r="K2833" s="12" t="inlineStr">
        <is>
          <t>TNG collection TNG收款</t>
        </is>
      </c>
      <c r="L2833" s="13">
        <f>IF($B2829="","",E2833)</f>
        <v/>
      </c>
    </row>
    <row r="2834">
      <c r="A2834" t="inlineStr">
        <is>
          <t>Credit Collection 赊账收款</t>
        </is>
      </c>
      <c r="B2834" s="6">
        <f>IF($B2829="","",'Daily Sale entry '!E204)</f>
        <v/>
      </c>
      <c r="D2834" t="inlineStr">
        <is>
          <t>Advance Salary_M 预支薪水_M</t>
        </is>
      </c>
      <c r="E2834" s="6">
        <f>IF($B2829="","",'Daily Sale entry '!L204)</f>
        <v/>
      </c>
      <c r="H2834" t="inlineStr">
        <is>
          <t>Credit Collection 赊账收款</t>
        </is>
      </c>
      <c r="I2834" s="6">
        <f>IF($B2829="","",B2834)</f>
        <v/>
      </c>
      <c r="K2834" t="inlineStr">
        <is>
          <t>Advance Salary_M 预支薪水_M</t>
        </is>
      </c>
      <c r="L2834" s="6">
        <f>IF($B2829="","",E2834)</f>
        <v/>
      </c>
    </row>
    <row r="2835">
      <c r="A2835" s="10" t="inlineStr">
        <is>
          <t>Amount 2 金额2  (Amount + Credit Collection)</t>
        </is>
      </c>
      <c r="B2835" s="11">
        <f>IF($B2829="","",ROUND(B2833+B2834,2))</f>
        <v/>
      </c>
      <c r="D2835" t="inlineStr">
        <is>
          <t>Advance Salary_H 预支薪水_H</t>
        </is>
      </c>
      <c r="E2835" s="6">
        <f>IF($B2829="","",'Daily Sale entry '!M204)</f>
        <v/>
      </c>
      <c r="H2835" s="10" t="inlineStr">
        <is>
          <t>Amount 2 金额2  (Amount + Credit Collection)</t>
        </is>
      </c>
      <c r="I2835" s="11">
        <f>IF($B2829="","",ROUND(I2833+I2834,2))</f>
        <v/>
      </c>
      <c r="K2835" t="inlineStr">
        <is>
          <t>Advance Salary_H 预支薪水_H</t>
        </is>
      </c>
      <c r="L2835" s="6">
        <f>IF($B2829="","",E2835)</f>
        <v/>
      </c>
    </row>
    <row r="2836"/>
    <row r="2837">
      <c r="A2837" s="1" t="inlineStr">
        <is>
          <t>b/f petty cash 上日备用金结转</t>
        </is>
      </c>
      <c r="B2837" s="9">
        <f>IF($B2829="","",'Daily Sale entry '!F204)</f>
        <v/>
      </c>
      <c r="D2837" s="1" t="n"/>
      <c r="E2837" s="1" t="n"/>
      <c r="H2837" s="1" t="inlineStr">
        <is>
          <t>b/f petty cash 上日备用金结转</t>
        </is>
      </c>
      <c r="I2837" s="9">
        <f>IF($B2829="","",B2837)</f>
        <v/>
      </c>
      <c r="K2837" s="1" t="n"/>
      <c r="L2837" s="1" t="n"/>
    </row>
    <row r="2838">
      <c r="A2838" t="inlineStr">
        <is>
          <t>Total (A) 总计 (A)</t>
        </is>
      </c>
      <c r="B2838" s="6">
        <f>IF($B2829="","",ROUND(B2835+B2837,2))</f>
        <v/>
      </c>
      <c r="D2838" t="inlineStr">
        <is>
          <t>Total(B) 总计 (B)</t>
        </is>
      </c>
      <c r="E2838" s="6">
        <f>IF($B2829="","",ROUND(E2830+E2831+E2832+E2833+E2834+E2835,2))</f>
        <v/>
      </c>
      <c r="H2838" t="inlineStr">
        <is>
          <t>Total© 总计 (C)</t>
        </is>
      </c>
      <c r="I2838" s="6">
        <f>IF($B2829="","",ROUND(I2835+I2837,2))</f>
        <v/>
      </c>
      <c r="K2838" t="inlineStr">
        <is>
          <t>Total(D) 总计 (D)</t>
        </is>
      </c>
      <c r="L2838" s="6">
        <f>IF($B2829="","",ROUND(L2830+L2831+L2832+L2833+L2834+L2835,2))</f>
        <v/>
      </c>
    </row>
    <row r="2839">
      <c r="A2839" s="14" t="inlineStr">
        <is>
          <t>Total = Amount 2 + b/f petty cash  (金额2 + 上日备用金)</t>
        </is>
      </c>
      <c r="H2839" s="14" t="inlineStr">
        <is>
          <t>Total = Amount 2 + b/f petty cash  (金额2 + 上日备用金)</t>
        </is>
      </c>
    </row>
    <row r="2840">
      <c r="A2840" t="inlineStr">
        <is>
          <t>Different 差额</t>
        </is>
      </c>
      <c r="B2840" s="6">
        <f>IF($B2829="","",ROUND(B2838-E2838,2))</f>
        <v/>
      </c>
      <c r="D2840">
        <f>IF($B2829="","",IF(ABS(B2840)&gt;'Opening Balance'!$B$16,"ALERT 警报: Different over RM"&amp;'Opening Balance'!$B$16&amp;" 差额超过RM"&amp;'Opening Balance'!$B$16&amp;" - please check 请检查",IF(B2840=0,"Tied 平衡",IF(ABS(B2840)&lt;='Opening Balance'!$B$13,"Small difference 小额差额: adjusted on c/f petty cash 已调整备用金",IF(B2840&gt;0,"Short 短收: added to Misc Charges 已加入杂项费用","Over 多收: added to Cash Sales 已加入现金销售")))))</f>
        <v/>
      </c>
      <c r="H2840" t="inlineStr">
        <is>
          <t>Different 差额</t>
        </is>
      </c>
      <c r="I2840" s="6">
        <f>IF($B2829="","",ROUND(I2838-L2838,2))</f>
        <v/>
      </c>
    </row>
    <row r="2841"/>
    <row r="2842"/>
    <row r="2843">
      <c r="A2843" t="inlineStr">
        <is>
          <t>Date 日期</t>
        </is>
      </c>
      <c r="B2843" s="5">
        <f>IF('Daily Sale entry '!$A205="","",'Daily Sale entry '!$A205)</f>
        <v/>
      </c>
      <c r="H2843" t="inlineStr">
        <is>
          <t>After 调整后 (After)</t>
        </is>
      </c>
      <c r="I2843" s="5">
        <f>IF($B2843="","",B2843)</f>
        <v/>
      </c>
    </row>
    <row r="2844">
      <c r="A2844" t="inlineStr">
        <is>
          <t>Cash Sales 现金销售</t>
        </is>
      </c>
      <c r="B2844" s="6">
        <f>IF($B2843="","",'Daily Sale entry '!B205)</f>
        <v/>
      </c>
      <c r="D2844" t="inlineStr">
        <is>
          <t>c/f petty cash 今日备用金结转</t>
        </is>
      </c>
      <c r="E2844" s="6">
        <f>IF($B2843="","",'Daily Sale entry '!G205)</f>
        <v/>
      </c>
      <c r="H2844" t="inlineStr">
        <is>
          <t>Cash Sales 现金销售</t>
        </is>
      </c>
      <c r="I2844" s="6">
        <f>IF($B2843="","",IF(AND(ABS(B2854)&gt;'Opening Balance'!$B$13,B2854&lt;0),ROUND(B2844-B2854,2),B2844))</f>
        <v/>
      </c>
      <c r="K2844" t="inlineStr">
        <is>
          <t>c/f petty cash 今日备用金结转</t>
        </is>
      </c>
      <c r="L2844" s="6">
        <f>IF($B2843="","",IF(ABS(B2854)&lt;='Opening Balance'!$B$13,ROUND(E2844+B2854,2),E2844))</f>
        <v/>
      </c>
    </row>
    <row r="2845">
      <c r="A2845" t="inlineStr">
        <is>
          <t>Misc Charges 杂项费用</t>
        </is>
      </c>
      <c r="B2845" s="6">
        <f>IF($B2843="","",'Daily Sale entry '!C205)</f>
        <v/>
      </c>
      <c r="D2845" t="inlineStr">
        <is>
          <t>cash collection 现金收款</t>
        </is>
      </c>
      <c r="E2845" s="6">
        <f>IF($B2843="","",'Daily Sale entry '!H205)</f>
        <v/>
      </c>
      <c r="H2845" t="inlineStr">
        <is>
          <t>Misc Charges 杂项费用</t>
        </is>
      </c>
      <c r="I2845" s="6">
        <f>IF($B2843="","",IF(AND(ABS(B2854)&gt;'Opening Balance'!$B$13,B2854&gt;0),ROUND(B2845+B2854,2),B2845))</f>
        <v/>
      </c>
      <c r="K2845" t="inlineStr">
        <is>
          <t>cash collection 现金收款</t>
        </is>
      </c>
      <c r="L2845" s="6">
        <f>IF($B2843="","",E2845)</f>
        <v/>
      </c>
    </row>
    <row r="2846">
      <c r="A2846" s="1" t="inlineStr">
        <is>
          <t>Other Charges 其他费用</t>
        </is>
      </c>
      <c r="B2846" s="9">
        <f>IF($B2843="","",'Daily Sale entry '!D205)</f>
        <v/>
      </c>
      <c r="D2846" s="1" t="inlineStr">
        <is>
          <t>Cheque Collection 支票收款</t>
        </is>
      </c>
      <c r="E2846" s="9">
        <f>IF($B2843="","",'Daily Sale entry '!J205)</f>
        <v/>
      </c>
      <c r="H2846" s="1" t="inlineStr">
        <is>
          <t>Other Charges 其他费用</t>
        </is>
      </c>
      <c r="I2846" s="9">
        <f>IF($B2843="","",B2846)</f>
        <v/>
      </c>
      <c r="K2846" s="1" t="inlineStr">
        <is>
          <t>Cheque Collection 支票收款</t>
        </is>
      </c>
      <c r="L2846" s="9">
        <f>IF($B2843="","",E2846)</f>
        <v/>
      </c>
    </row>
    <row r="2847">
      <c r="A2847" s="10" t="inlineStr">
        <is>
          <t>Amount 金额  (Cash Sales - Misc - Other)</t>
        </is>
      </c>
      <c r="B2847" s="11">
        <f>IF($B2843="","",ROUND(B2844-B2845-B2846,2))</f>
        <v/>
      </c>
      <c r="D2847" s="12" t="inlineStr">
        <is>
          <t>TNG collection TNG收款</t>
        </is>
      </c>
      <c r="E2847" s="13">
        <f>IF($B2843="","",'Daily Sale entry '!K205)</f>
        <v/>
      </c>
      <c r="H2847" s="10" t="inlineStr">
        <is>
          <t>Amount 金额  (Cash Sales - Misc - Other)</t>
        </is>
      </c>
      <c r="I2847" s="11">
        <f>IF($B2843="","",ROUND(I2844-I2845-I2846,2))</f>
        <v/>
      </c>
      <c r="K2847" s="12" t="inlineStr">
        <is>
          <t>TNG collection TNG收款</t>
        </is>
      </c>
      <c r="L2847" s="13">
        <f>IF($B2843="","",E2847)</f>
        <v/>
      </c>
    </row>
    <row r="2848">
      <c r="A2848" t="inlineStr">
        <is>
          <t>Credit Collection 赊账收款</t>
        </is>
      </c>
      <c r="B2848" s="6">
        <f>IF($B2843="","",'Daily Sale entry '!E205)</f>
        <v/>
      </c>
      <c r="D2848" t="inlineStr">
        <is>
          <t>Advance Salary_M 预支薪水_M</t>
        </is>
      </c>
      <c r="E2848" s="6">
        <f>IF($B2843="","",'Daily Sale entry '!L205)</f>
        <v/>
      </c>
      <c r="H2848" t="inlineStr">
        <is>
          <t>Credit Collection 赊账收款</t>
        </is>
      </c>
      <c r="I2848" s="6">
        <f>IF($B2843="","",B2848)</f>
        <v/>
      </c>
      <c r="K2848" t="inlineStr">
        <is>
          <t>Advance Salary_M 预支薪水_M</t>
        </is>
      </c>
      <c r="L2848" s="6">
        <f>IF($B2843="","",E2848)</f>
        <v/>
      </c>
    </row>
    <row r="2849">
      <c r="A2849" s="10" t="inlineStr">
        <is>
          <t>Amount 2 金额2  (Amount + Credit Collection)</t>
        </is>
      </c>
      <c r="B2849" s="11">
        <f>IF($B2843="","",ROUND(B2847+B2848,2))</f>
        <v/>
      </c>
      <c r="D2849" t="inlineStr">
        <is>
          <t>Advance Salary_H 预支薪水_H</t>
        </is>
      </c>
      <c r="E2849" s="6">
        <f>IF($B2843="","",'Daily Sale entry '!M205)</f>
        <v/>
      </c>
      <c r="H2849" s="10" t="inlineStr">
        <is>
          <t>Amount 2 金额2  (Amount + Credit Collection)</t>
        </is>
      </c>
      <c r="I2849" s="11">
        <f>IF($B2843="","",ROUND(I2847+I2848,2))</f>
        <v/>
      </c>
      <c r="K2849" t="inlineStr">
        <is>
          <t>Advance Salary_H 预支薪水_H</t>
        </is>
      </c>
      <c r="L2849" s="6">
        <f>IF($B2843="","",E2849)</f>
        <v/>
      </c>
    </row>
    <row r="2850"/>
    <row r="2851">
      <c r="A2851" s="1" t="inlineStr">
        <is>
          <t>b/f petty cash 上日备用金结转</t>
        </is>
      </c>
      <c r="B2851" s="9">
        <f>IF($B2843="","",'Daily Sale entry '!F205)</f>
        <v/>
      </c>
      <c r="D2851" s="1" t="n"/>
      <c r="E2851" s="1" t="n"/>
      <c r="H2851" s="1" t="inlineStr">
        <is>
          <t>b/f petty cash 上日备用金结转</t>
        </is>
      </c>
      <c r="I2851" s="9">
        <f>IF($B2843="","",B2851)</f>
        <v/>
      </c>
      <c r="K2851" s="1" t="n"/>
      <c r="L2851" s="1" t="n"/>
    </row>
    <row r="2852">
      <c r="A2852" t="inlineStr">
        <is>
          <t>Total (A) 总计 (A)</t>
        </is>
      </c>
      <c r="B2852" s="6">
        <f>IF($B2843="","",ROUND(B2849+B2851,2))</f>
        <v/>
      </c>
      <c r="D2852" t="inlineStr">
        <is>
          <t>Total(B) 总计 (B)</t>
        </is>
      </c>
      <c r="E2852" s="6">
        <f>IF($B2843="","",ROUND(E2844+E2845+E2846+E2847+E2848+E2849,2))</f>
        <v/>
      </c>
      <c r="H2852" t="inlineStr">
        <is>
          <t>Total© 总计 (C)</t>
        </is>
      </c>
      <c r="I2852" s="6">
        <f>IF($B2843="","",ROUND(I2849+I2851,2))</f>
        <v/>
      </c>
      <c r="K2852" t="inlineStr">
        <is>
          <t>Total(D) 总计 (D)</t>
        </is>
      </c>
      <c r="L2852" s="6">
        <f>IF($B2843="","",ROUND(L2844+L2845+L2846+L2847+L2848+L2849,2))</f>
        <v/>
      </c>
    </row>
    <row r="2853">
      <c r="A2853" s="14" t="inlineStr">
        <is>
          <t>Total = Amount 2 + b/f petty cash  (金额2 + 上日备用金)</t>
        </is>
      </c>
      <c r="H2853" s="14" t="inlineStr">
        <is>
          <t>Total = Amount 2 + b/f petty cash  (金额2 + 上日备用金)</t>
        </is>
      </c>
    </row>
    <row r="2854">
      <c r="A2854" t="inlineStr">
        <is>
          <t>Different 差额</t>
        </is>
      </c>
      <c r="B2854" s="6">
        <f>IF($B2843="","",ROUND(B2852-E2852,2))</f>
        <v/>
      </c>
      <c r="D2854">
        <f>IF($B2843="","",IF(ABS(B2854)&gt;'Opening Balance'!$B$16,"ALERT 警报: Different over RM"&amp;'Opening Balance'!$B$16&amp;" 差额超过RM"&amp;'Opening Balance'!$B$16&amp;" - please check 请检查",IF(B2854=0,"Tied 平衡",IF(ABS(B2854)&lt;='Opening Balance'!$B$13,"Small difference 小额差额: adjusted on c/f petty cash 已调整备用金",IF(B2854&gt;0,"Short 短收: added to Misc Charges 已加入杂项费用","Over 多收: added to Cash Sales 已加入现金销售")))))</f>
        <v/>
      </c>
      <c r="H2854" t="inlineStr">
        <is>
          <t>Different 差额</t>
        </is>
      </c>
      <c r="I2854" s="6">
        <f>IF($B2843="","",ROUND(I2852-L2852,2))</f>
        <v/>
      </c>
    </row>
    <row r="2855"/>
    <row r="2856"/>
    <row r="2857">
      <c r="A2857" t="inlineStr">
        <is>
          <t>Date 日期</t>
        </is>
      </c>
      <c r="B2857" s="5">
        <f>IF('Daily Sale entry '!$A206="","",'Daily Sale entry '!$A206)</f>
        <v/>
      </c>
      <c r="H2857" t="inlineStr">
        <is>
          <t>After 调整后 (After)</t>
        </is>
      </c>
      <c r="I2857" s="5">
        <f>IF($B2857="","",B2857)</f>
        <v/>
      </c>
    </row>
    <row r="2858">
      <c r="A2858" t="inlineStr">
        <is>
          <t>Cash Sales 现金销售</t>
        </is>
      </c>
      <c r="B2858" s="6">
        <f>IF($B2857="","",'Daily Sale entry '!B206)</f>
        <v/>
      </c>
      <c r="D2858" t="inlineStr">
        <is>
          <t>c/f petty cash 今日备用金结转</t>
        </is>
      </c>
      <c r="E2858" s="6">
        <f>IF($B2857="","",'Daily Sale entry '!G206)</f>
        <v/>
      </c>
      <c r="H2858" t="inlineStr">
        <is>
          <t>Cash Sales 现金销售</t>
        </is>
      </c>
      <c r="I2858" s="6">
        <f>IF($B2857="","",IF(AND(ABS(B2868)&gt;'Opening Balance'!$B$13,B2868&lt;0),ROUND(B2858-B2868,2),B2858))</f>
        <v/>
      </c>
      <c r="K2858" t="inlineStr">
        <is>
          <t>c/f petty cash 今日备用金结转</t>
        </is>
      </c>
      <c r="L2858" s="6">
        <f>IF($B2857="","",IF(ABS(B2868)&lt;='Opening Balance'!$B$13,ROUND(E2858+B2868,2),E2858))</f>
        <v/>
      </c>
    </row>
    <row r="2859">
      <c r="A2859" t="inlineStr">
        <is>
          <t>Misc Charges 杂项费用</t>
        </is>
      </c>
      <c r="B2859" s="6">
        <f>IF($B2857="","",'Daily Sale entry '!C206)</f>
        <v/>
      </c>
      <c r="D2859" t="inlineStr">
        <is>
          <t>cash collection 现金收款</t>
        </is>
      </c>
      <c r="E2859" s="6">
        <f>IF($B2857="","",'Daily Sale entry '!H206)</f>
        <v/>
      </c>
      <c r="H2859" t="inlineStr">
        <is>
          <t>Misc Charges 杂项费用</t>
        </is>
      </c>
      <c r="I2859" s="6">
        <f>IF($B2857="","",IF(AND(ABS(B2868)&gt;'Opening Balance'!$B$13,B2868&gt;0),ROUND(B2859+B2868,2),B2859))</f>
        <v/>
      </c>
      <c r="K2859" t="inlineStr">
        <is>
          <t>cash collection 现金收款</t>
        </is>
      </c>
      <c r="L2859" s="6">
        <f>IF($B2857="","",E2859)</f>
        <v/>
      </c>
    </row>
    <row r="2860">
      <c r="A2860" s="1" t="inlineStr">
        <is>
          <t>Other Charges 其他费用</t>
        </is>
      </c>
      <c r="B2860" s="9">
        <f>IF($B2857="","",'Daily Sale entry '!D206)</f>
        <v/>
      </c>
      <c r="D2860" s="1" t="inlineStr">
        <is>
          <t>Cheque Collection 支票收款</t>
        </is>
      </c>
      <c r="E2860" s="9">
        <f>IF($B2857="","",'Daily Sale entry '!J206)</f>
        <v/>
      </c>
      <c r="H2860" s="1" t="inlineStr">
        <is>
          <t>Other Charges 其他费用</t>
        </is>
      </c>
      <c r="I2860" s="9">
        <f>IF($B2857="","",B2860)</f>
        <v/>
      </c>
      <c r="K2860" s="1" t="inlineStr">
        <is>
          <t>Cheque Collection 支票收款</t>
        </is>
      </c>
      <c r="L2860" s="9">
        <f>IF($B2857="","",E2860)</f>
        <v/>
      </c>
    </row>
    <row r="2861">
      <c r="A2861" s="10" t="inlineStr">
        <is>
          <t>Amount 金额  (Cash Sales - Misc - Other)</t>
        </is>
      </c>
      <c r="B2861" s="11">
        <f>IF($B2857="","",ROUND(B2858-B2859-B2860,2))</f>
        <v/>
      </c>
      <c r="D2861" s="12" t="inlineStr">
        <is>
          <t>TNG collection TNG收款</t>
        </is>
      </c>
      <c r="E2861" s="13">
        <f>IF($B2857="","",'Daily Sale entry '!K206)</f>
        <v/>
      </c>
      <c r="H2861" s="10" t="inlineStr">
        <is>
          <t>Amount 金额  (Cash Sales - Misc - Other)</t>
        </is>
      </c>
      <c r="I2861" s="11">
        <f>IF($B2857="","",ROUND(I2858-I2859-I2860,2))</f>
        <v/>
      </c>
      <c r="K2861" s="12" t="inlineStr">
        <is>
          <t>TNG collection TNG收款</t>
        </is>
      </c>
      <c r="L2861" s="13">
        <f>IF($B2857="","",E2861)</f>
        <v/>
      </c>
    </row>
    <row r="2862">
      <c r="A2862" t="inlineStr">
        <is>
          <t>Credit Collection 赊账收款</t>
        </is>
      </c>
      <c r="B2862" s="6">
        <f>IF($B2857="","",'Daily Sale entry '!E206)</f>
        <v/>
      </c>
      <c r="D2862" t="inlineStr">
        <is>
          <t>Advance Salary_M 预支薪水_M</t>
        </is>
      </c>
      <c r="E2862" s="6">
        <f>IF($B2857="","",'Daily Sale entry '!L206)</f>
        <v/>
      </c>
      <c r="H2862" t="inlineStr">
        <is>
          <t>Credit Collection 赊账收款</t>
        </is>
      </c>
      <c r="I2862" s="6">
        <f>IF($B2857="","",B2862)</f>
        <v/>
      </c>
      <c r="K2862" t="inlineStr">
        <is>
          <t>Advance Salary_M 预支薪水_M</t>
        </is>
      </c>
      <c r="L2862" s="6">
        <f>IF($B2857="","",E2862)</f>
        <v/>
      </c>
    </row>
    <row r="2863">
      <c r="A2863" s="10" t="inlineStr">
        <is>
          <t>Amount 2 金额2  (Amount + Credit Collection)</t>
        </is>
      </c>
      <c r="B2863" s="11">
        <f>IF($B2857="","",ROUND(B2861+B2862,2))</f>
        <v/>
      </c>
      <c r="D2863" t="inlineStr">
        <is>
          <t>Advance Salary_H 预支薪水_H</t>
        </is>
      </c>
      <c r="E2863" s="6">
        <f>IF($B2857="","",'Daily Sale entry '!M206)</f>
        <v/>
      </c>
      <c r="H2863" s="10" t="inlineStr">
        <is>
          <t>Amount 2 金额2  (Amount + Credit Collection)</t>
        </is>
      </c>
      <c r="I2863" s="11">
        <f>IF($B2857="","",ROUND(I2861+I2862,2))</f>
        <v/>
      </c>
      <c r="K2863" t="inlineStr">
        <is>
          <t>Advance Salary_H 预支薪水_H</t>
        </is>
      </c>
      <c r="L2863" s="6">
        <f>IF($B2857="","",E2863)</f>
        <v/>
      </c>
    </row>
    <row r="2864"/>
    <row r="2865">
      <c r="A2865" s="1" t="inlineStr">
        <is>
          <t>b/f petty cash 上日备用金结转</t>
        </is>
      </c>
      <c r="B2865" s="9">
        <f>IF($B2857="","",'Daily Sale entry '!F206)</f>
        <v/>
      </c>
      <c r="D2865" s="1" t="n"/>
      <c r="E2865" s="1" t="n"/>
      <c r="H2865" s="1" t="inlineStr">
        <is>
          <t>b/f petty cash 上日备用金结转</t>
        </is>
      </c>
      <c r="I2865" s="9">
        <f>IF($B2857="","",B2865)</f>
        <v/>
      </c>
      <c r="K2865" s="1" t="n"/>
      <c r="L2865" s="1" t="n"/>
    </row>
    <row r="2866">
      <c r="A2866" t="inlineStr">
        <is>
          <t>Total (A) 总计 (A)</t>
        </is>
      </c>
      <c r="B2866" s="6">
        <f>IF($B2857="","",ROUND(B2863+B2865,2))</f>
        <v/>
      </c>
      <c r="D2866" t="inlineStr">
        <is>
          <t>Total(B) 总计 (B)</t>
        </is>
      </c>
      <c r="E2866" s="6">
        <f>IF($B2857="","",ROUND(E2858+E2859+E2860+E2861+E2862+E2863,2))</f>
        <v/>
      </c>
      <c r="H2866" t="inlineStr">
        <is>
          <t>Total© 总计 (C)</t>
        </is>
      </c>
      <c r="I2866" s="6">
        <f>IF($B2857="","",ROUND(I2863+I2865,2))</f>
        <v/>
      </c>
      <c r="K2866" t="inlineStr">
        <is>
          <t>Total(D) 总计 (D)</t>
        </is>
      </c>
      <c r="L2866" s="6">
        <f>IF($B2857="","",ROUND(L2858+L2859+L2860+L2861+L2862+L2863,2))</f>
        <v/>
      </c>
    </row>
    <row r="2867">
      <c r="A2867" s="14" t="inlineStr">
        <is>
          <t>Total = Amount 2 + b/f petty cash  (金额2 + 上日备用金)</t>
        </is>
      </c>
      <c r="H2867" s="14" t="inlineStr">
        <is>
          <t>Total = Amount 2 + b/f petty cash  (金额2 + 上日备用金)</t>
        </is>
      </c>
    </row>
    <row r="2868">
      <c r="A2868" t="inlineStr">
        <is>
          <t>Different 差额</t>
        </is>
      </c>
      <c r="B2868" s="6">
        <f>IF($B2857="","",ROUND(B2866-E2866,2))</f>
        <v/>
      </c>
      <c r="D2868">
        <f>IF($B2857="","",IF(ABS(B2868)&gt;'Opening Balance'!$B$16,"ALERT 警报: Different over RM"&amp;'Opening Balance'!$B$16&amp;" 差额超过RM"&amp;'Opening Balance'!$B$16&amp;" - please check 请检查",IF(B2868=0,"Tied 平衡",IF(ABS(B2868)&lt;='Opening Balance'!$B$13,"Small difference 小额差额: adjusted on c/f petty cash 已调整备用金",IF(B2868&gt;0,"Short 短收: added to Misc Charges 已加入杂项费用","Over 多收: added to Cash Sales 已加入现金销售")))))</f>
        <v/>
      </c>
      <c r="H2868" t="inlineStr">
        <is>
          <t>Different 差额</t>
        </is>
      </c>
      <c r="I2868" s="6">
        <f>IF($B2857="","",ROUND(I2866-L2866,2))</f>
        <v/>
      </c>
    </row>
    <row r="2869"/>
    <row r="2870"/>
    <row r="2871">
      <c r="A2871" t="inlineStr">
        <is>
          <t>Date 日期</t>
        </is>
      </c>
      <c r="B2871" s="5">
        <f>IF('Daily Sale entry '!$A207="","",'Daily Sale entry '!$A207)</f>
        <v/>
      </c>
      <c r="H2871" t="inlineStr">
        <is>
          <t>After 调整后 (After)</t>
        </is>
      </c>
      <c r="I2871" s="5">
        <f>IF($B2871="","",B2871)</f>
        <v/>
      </c>
    </row>
    <row r="2872">
      <c r="A2872" t="inlineStr">
        <is>
          <t>Cash Sales 现金销售</t>
        </is>
      </c>
      <c r="B2872" s="6">
        <f>IF($B2871="","",'Daily Sale entry '!B207)</f>
        <v/>
      </c>
      <c r="D2872" t="inlineStr">
        <is>
          <t>c/f petty cash 今日备用金结转</t>
        </is>
      </c>
      <c r="E2872" s="6">
        <f>IF($B2871="","",'Daily Sale entry '!G207)</f>
        <v/>
      </c>
      <c r="H2872" t="inlineStr">
        <is>
          <t>Cash Sales 现金销售</t>
        </is>
      </c>
      <c r="I2872" s="6">
        <f>IF($B2871="","",IF(AND(ABS(B2882)&gt;'Opening Balance'!$B$13,B2882&lt;0),ROUND(B2872-B2882,2),B2872))</f>
        <v/>
      </c>
      <c r="K2872" t="inlineStr">
        <is>
          <t>c/f petty cash 今日备用金结转</t>
        </is>
      </c>
      <c r="L2872" s="6">
        <f>IF($B2871="","",IF(ABS(B2882)&lt;='Opening Balance'!$B$13,ROUND(E2872+B2882,2),E2872))</f>
        <v/>
      </c>
    </row>
    <row r="2873">
      <c r="A2873" t="inlineStr">
        <is>
          <t>Misc Charges 杂项费用</t>
        </is>
      </c>
      <c r="B2873" s="6">
        <f>IF($B2871="","",'Daily Sale entry '!C207)</f>
        <v/>
      </c>
      <c r="D2873" t="inlineStr">
        <is>
          <t>cash collection 现金收款</t>
        </is>
      </c>
      <c r="E2873" s="6">
        <f>IF($B2871="","",'Daily Sale entry '!H207)</f>
        <v/>
      </c>
      <c r="H2873" t="inlineStr">
        <is>
          <t>Misc Charges 杂项费用</t>
        </is>
      </c>
      <c r="I2873" s="6">
        <f>IF($B2871="","",IF(AND(ABS(B2882)&gt;'Opening Balance'!$B$13,B2882&gt;0),ROUND(B2873+B2882,2),B2873))</f>
        <v/>
      </c>
      <c r="K2873" t="inlineStr">
        <is>
          <t>cash collection 现金收款</t>
        </is>
      </c>
      <c r="L2873" s="6">
        <f>IF($B2871="","",E2873)</f>
        <v/>
      </c>
    </row>
    <row r="2874">
      <c r="A2874" s="1" t="inlineStr">
        <is>
          <t>Other Charges 其他费用</t>
        </is>
      </c>
      <c r="B2874" s="9">
        <f>IF($B2871="","",'Daily Sale entry '!D207)</f>
        <v/>
      </c>
      <c r="D2874" s="1" t="inlineStr">
        <is>
          <t>Cheque Collection 支票收款</t>
        </is>
      </c>
      <c r="E2874" s="9">
        <f>IF($B2871="","",'Daily Sale entry '!J207)</f>
        <v/>
      </c>
      <c r="H2874" s="1" t="inlineStr">
        <is>
          <t>Other Charges 其他费用</t>
        </is>
      </c>
      <c r="I2874" s="9">
        <f>IF($B2871="","",B2874)</f>
        <v/>
      </c>
      <c r="K2874" s="1" t="inlineStr">
        <is>
          <t>Cheque Collection 支票收款</t>
        </is>
      </c>
      <c r="L2874" s="9">
        <f>IF($B2871="","",E2874)</f>
        <v/>
      </c>
    </row>
    <row r="2875">
      <c r="A2875" s="10" t="inlineStr">
        <is>
          <t>Amount 金额  (Cash Sales - Misc - Other)</t>
        </is>
      </c>
      <c r="B2875" s="11">
        <f>IF($B2871="","",ROUND(B2872-B2873-B2874,2))</f>
        <v/>
      </c>
      <c r="D2875" s="12" t="inlineStr">
        <is>
          <t>TNG collection TNG收款</t>
        </is>
      </c>
      <c r="E2875" s="13">
        <f>IF($B2871="","",'Daily Sale entry '!K207)</f>
        <v/>
      </c>
      <c r="H2875" s="10" t="inlineStr">
        <is>
          <t>Amount 金额  (Cash Sales - Misc - Other)</t>
        </is>
      </c>
      <c r="I2875" s="11">
        <f>IF($B2871="","",ROUND(I2872-I2873-I2874,2))</f>
        <v/>
      </c>
      <c r="K2875" s="12" t="inlineStr">
        <is>
          <t>TNG collection TNG收款</t>
        </is>
      </c>
      <c r="L2875" s="13">
        <f>IF($B2871="","",E2875)</f>
        <v/>
      </c>
    </row>
    <row r="2876">
      <c r="A2876" t="inlineStr">
        <is>
          <t>Credit Collection 赊账收款</t>
        </is>
      </c>
      <c r="B2876" s="6">
        <f>IF($B2871="","",'Daily Sale entry '!E207)</f>
        <v/>
      </c>
      <c r="D2876" t="inlineStr">
        <is>
          <t>Advance Salary_M 预支薪水_M</t>
        </is>
      </c>
      <c r="E2876" s="6">
        <f>IF($B2871="","",'Daily Sale entry '!L207)</f>
        <v/>
      </c>
      <c r="H2876" t="inlineStr">
        <is>
          <t>Credit Collection 赊账收款</t>
        </is>
      </c>
      <c r="I2876" s="6">
        <f>IF($B2871="","",B2876)</f>
        <v/>
      </c>
      <c r="K2876" t="inlineStr">
        <is>
          <t>Advance Salary_M 预支薪水_M</t>
        </is>
      </c>
      <c r="L2876" s="6">
        <f>IF($B2871="","",E2876)</f>
        <v/>
      </c>
    </row>
    <row r="2877">
      <c r="A2877" s="10" t="inlineStr">
        <is>
          <t>Amount 2 金额2  (Amount + Credit Collection)</t>
        </is>
      </c>
      <c r="B2877" s="11">
        <f>IF($B2871="","",ROUND(B2875+B2876,2))</f>
        <v/>
      </c>
      <c r="D2877" t="inlineStr">
        <is>
          <t>Advance Salary_H 预支薪水_H</t>
        </is>
      </c>
      <c r="E2877" s="6">
        <f>IF($B2871="","",'Daily Sale entry '!M207)</f>
        <v/>
      </c>
      <c r="H2877" s="10" t="inlineStr">
        <is>
          <t>Amount 2 金额2  (Amount + Credit Collection)</t>
        </is>
      </c>
      <c r="I2877" s="11">
        <f>IF($B2871="","",ROUND(I2875+I2876,2))</f>
        <v/>
      </c>
      <c r="K2877" t="inlineStr">
        <is>
          <t>Advance Salary_H 预支薪水_H</t>
        </is>
      </c>
      <c r="L2877" s="6">
        <f>IF($B2871="","",E2877)</f>
        <v/>
      </c>
    </row>
    <row r="2878"/>
    <row r="2879">
      <c r="A2879" s="1" t="inlineStr">
        <is>
          <t>b/f petty cash 上日备用金结转</t>
        </is>
      </c>
      <c r="B2879" s="9">
        <f>IF($B2871="","",'Daily Sale entry '!F207)</f>
        <v/>
      </c>
      <c r="D2879" s="1" t="n"/>
      <c r="E2879" s="1" t="n"/>
      <c r="H2879" s="1" t="inlineStr">
        <is>
          <t>b/f petty cash 上日备用金结转</t>
        </is>
      </c>
      <c r="I2879" s="9">
        <f>IF($B2871="","",B2879)</f>
        <v/>
      </c>
      <c r="K2879" s="1" t="n"/>
      <c r="L2879" s="1" t="n"/>
    </row>
    <row r="2880">
      <c r="A2880" t="inlineStr">
        <is>
          <t>Total (A) 总计 (A)</t>
        </is>
      </c>
      <c r="B2880" s="6">
        <f>IF($B2871="","",ROUND(B2877+B2879,2))</f>
        <v/>
      </c>
      <c r="D2880" t="inlineStr">
        <is>
          <t>Total(B) 总计 (B)</t>
        </is>
      </c>
      <c r="E2880" s="6">
        <f>IF($B2871="","",ROUND(E2872+E2873+E2874+E2875+E2876+E2877,2))</f>
        <v/>
      </c>
      <c r="H2880" t="inlineStr">
        <is>
          <t>Total© 总计 (C)</t>
        </is>
      </c>
      <c r="I2880" s="6">
        <f>IF($B2871="","",ROUND(I2877+I2879,2))</f>
        <v/>
      </c>
      <c r="K2880" t="inlineStr">
        <is>
          <t>Total(D) 总计 (D)</t>
        </is>
      </c>
      <c r="L2880" s="6">
        <f>IF($B2871="","",ROUND(L2872+L2873+L2874+L2875+L2876+L2877,2))</f>
        <v/>
      </c>
    </row>
    <row r="2881">
      <c r="A2881" s="14" t="inlineStr">
        <is>
          <t>Total = Amount 2 + b/f petty cash  (金额2 + 上日备用金)</t>
        </is>
      </c>
      <c r="H2881" s="14" t="inlineStr">
        <is>
          <t>Total = Amount 2 + b/f petty cash  (金额2 + 上日备用金)</t>
        </is>
      </c>
    </row>
    <row r="2882">
      <c r="A2882" t="inlineStr">
        <is>
          <t>Different 差额</t>
        </is>
      </c>
      <c r="B2882" s="6">
        <f>IF($B2871="","",ROUND(B2880-E2880,2))</f>
        <v/>
      </c>
      <c r="D2882">
        <f>IF($B2871="","",IF(ABS(B2882)&gt;'Opening Balance'!$B$16,"ALERT 警报: Different over RM"&amp;'Opening Balance'!$B$16&amp;" 差额超过RM"&amp;'Opening Balance'!$B$16&amp;" - please check 请检查",IF(B2882=0,"Tied 平衡",IF(ABS(B2882)&lt;='Opening Balance'!$B$13,"Small difference 小额差额: adjusted on c/f petty cash 已调整备用金",IF(B2882&gt;0,"Short 短收: added to Misc Charges 已加入杂项费用","Over 多收: added to Cash Sales 已加入现金销售")))))</f>
        <v/>
      </c>
      <c r="H2882" t="inlineStr">
        <is>
          <t>Different 差额</t>
        </is>
      </c>
      <c r="I2882" s="6">
        <f>IF($B2871="","",ROUND(I2880-L2880,2))</f>
        <v/>
      </c>
    </row>
    <row r="2883"/>
    <row r="2884"/>
    <row r="2885">
      <c r="A2885" t="inlineStr">
        <is>
          <t>Date 日期</t>
        </is>
      </c>
      <c r="B2885" s="5">
        <f>IF('Daily Sale entry '!$A208="","",'Daily Sale entry '!$A208)</f>
        <v/>
      </c>
      <c r="H2885" t="inlineStr">
        <is>
          <t>After 调整后 (After)</t>
        </is>
      </c>
      <c r="I2885" s="5">
        <f>IF($B2885="","",B2885)</f>
        <v/>
      </c>
    </row>
    <row r="2886">
      <c r="A2886" t="inlineStr">
        <is>
          <t>Cash Sales 现金销售</t>
        </is>
      </c>
      <c r="B2886" s="6">
        <f>IF($B2885="","",'Daily Sale entry '!B208)</f>
        <v/>
      </c>
      <c r="D2886" t="inlineStr">
        <is>
          <t>c/f petty cash 今日备用金结转</t>
        </is>
      </c>
      <c r="E2886" s="6">
        <f>IF($B2885="","",'Daily Sale entry '!G208)</f>
        <v/>
      </c>
      <c r="H2886" t="inlineStr">
        <is>
          <t>Cash Sales 现金销售</t>
        </is>
      </c>
      <c r="I2886" s="6">
        <f>IF($B2885="","",IF(AND(ABS(B2896)&gt;'Opening Balance'!$B$13,B2896&lt;0),ROUND(B2886-B2896,2),B2886))</f>
        <v/>
      </c>
      <c r="K2886" t="inlineStr">
        <is>
          <t>c/f petty cash 今日备用金结转</t>
        </is>
      </c>
      <c r="L2886" s="6">
        <f>IF($B2885="","",IF(ABS(B2896)&lt;='Opening Balance'!$B$13,ROUND(E2886+B2896,2),E2886))</f>
        <v/>
      </c>
    </row>
    <row r="2887">
      <c r="A2887" t="inlineStr">
        <is>
          <t>Misc Charges 杂项费用</t>
        </is>
      </c>
      <c r="B2887" s="6">
        <f>IF($B2885="","",'Daily Sale entry '!C208)</f>
        <v/>
      </c>
      <c r="D2887" t="inlineStr">
        <is>
          <t>cash collection 现金收款</t>
        </is>
      </c>
      <c r="E2887" s="6">
        <f>IF($B2885="","",'Daily Sale entry '!H208)</f>
        <v/>
      </c>
      <c r="H2887" t="inlineStr">
        <is>
          <t>Misc Charges 杂项费用</t>
        </is>
      </c>
      <c r="I2887" s="6">
        <f>IF($B2885="","",IF(AND(ABS(B2896)&gt;'Opening Balance'!$B$13,B2896&gt;0),ROUND(B2887+B2896,2),B2887))</f>
        <v/>
      </c>
      <c r="K2887" t="inlineStr">
        <is>
          <t>cash collection 现金收款</t>
        </is>
      </c>
      <c r="L2887" s="6">
        <f>IF($B2885="","",E2887)</f>
        <v/>
      </c>
    </row>
    <row r="2888">
      <c r="A2888" s="1" t="inlineStr">
        <is>
          <t>Other Charges 其他费用</t>
        </is>
      </c>
      <c r="B2888" s="9">
        <f>IF($B2885="","",'Daily Sale entry '!D208)</f>
        <v/>
      </c>
      <c r="D2888" s="1" t="inlineStr">
        <is>
          <t>Cheque Collection 支票收款</t>
        </is>
      </c>
      <c r="E2888" s="9">
        <f>IF($B2885="","",'Daily Sale entry '!J208)</f>
        <v/>
      </c>
      <c r="H2888" s="1" t="inlineStr">
        <is>
          <t>Other Charges 其他费用</t>
        </is>
      </c>
      <c r="I2888" s="9">
        <f>IF($B2885="","",B2888)</f>
        <v/>
      </c>
      <c r="K2888" s="1" t="inlineStr">
        <is>
          <t>Cheque Collection 支票收款</t>
        </is>
      </c>
      <c r="L2888" s="9">
        <f>IF($B2885="","",E2888)</f>
        <v/>
      </c>
    </row>
    <row r="2889">
      <c r="A2889" s="10" t="inlineStr">
        <is>
          <t>Amount 金额  (Cash Sales - Misc - Other)</t>
        </is>
      </c>
      <c r="B2889" s="11">
        <f>IF($B2885="","",ROUND(B2886-B2887-B2888,2))</f>
        <v/>
      </c>
      <c r="D2889" s="12" t="inlineStr">
        <is>
          <t>TNG collection TNG收款</t>
        </is>
      </c>
      <c r="E2889" s="13">
        <f>IF($B2885="","",'Daily Sale entry '!K208)</f>
        <v/>
      </c>
      <c r="H2889" s="10" t="inlineStr">
        <is>
          <t>Amount 金额  (Cash Sales - Misc - Other)</t>
        </is>
      </c>
      <c r="I2889" s="11">
        <f>IF($B2885="","",ROUND(I2886-I2887-I2888,2))</f>
        <v/>
      </c>
      <c r="K2889" s="12" t="inlineStr">
        <is>
          <t>TNG collection TNG收款</t>
        </is>
      </c>
      <c r="L2889" s="13">
        <f>IF($B2885="","",E2889)</f>
        <v/>
      </c>
    </row>
    <row r="2890">
      <c r="A2890" t="inlineStr">
        <is>
          <t>Credit Collection 赊账收款</t>
        </is>
      </c>
      <c r="B2890" s="6">
        <f>IF($B2885="","",'Daily Sale entry '!E208)</f>
        <v/>
      </c>
      <c r="D2890" t="inlineStr">
        <is>
          <t>Advance Salary_M 预支薪水_M</t>
        </is>
      </c>
      <c r="E2890" s="6">
        <f>IF($B2885="","",'Daily Sale entry '!L208)</f>
        <v/>
      </c>
      <c r="H2890" t="inlineStr">
        <is>
          <t>Credit Collection 赊账收款</t>
        </is>
      </c>
      <c r="I2890" s="6">
        <f>IF($B2885="","",B2890)</f>
        <v/>
      </c>
      <c r="K2890" t="inlineStr">
        <is>
          <t>Advance Salary_M 预支薪水_M</t>
        </is>
      </c>
      <c r="L2890" s="6">
        <f>IF($B2885="","",E2890)</f>
        <v/>
      </c>
    </row>
    <row r="2891">
      <c r="A2891" s="10" t="inlineStr">
        <is>
          <t>Amount 2 金额2  (Amount + Credit Collection)</t>
        </is>
      </c>
      <c r="B2891" s="11">
        <f>IF($B2885="","",ROUND(B2889+B2890,2))</f>
        <v/>
      </c>
      <c r="D2891" t="inlineStr">
        <is>
          <t>Advance Salary_H 预支薪水_H</t>
        </is>
      </c>
      <c r="E2891" s="6">
        <f>IF($B2885="","",'Daily Sale entry '!M208)</f>
        <v/>
      </c>
      <c r="H2891" s="10" t="inlineStr">
        <is>
          <t>Amount 2 金额2  (Amount + Credit Collection)</t>
        </is>
      </c>
      <c r="I2891" s="11">
        <f>IF($B2885="","",ROUND(I2889+I2890,2))</f>
        <v/>
      </c>
      <c r="K2891" t="inlineStr">
        <is>
          <t>Advance Salary_H 预支薪水_H</t>
        </is>
      </c>
      <c r="L2891" s="6">
        <f>IF($B2885="","",E2891)</f>
        <v/>
      </c>
    </row>
    <row r="2892"/>
    <row r="2893">
      <c r="A2893" s="1" t="inlineStr">
        <is>
          <t>b/f petty cash 上日备用金结转</t>
        </is>
      </c>
      <c r="B2893" s="9">
        <f>IF($B2885="","",'Daily Sale entry '!F208)</f>
        <v/>
      </c>
      <c r="D2893" s="1" t="n"/>
      <c r="E2893" s="1" t="n"/>
      <c r="H2893" s="1" t="inlineStr">
        <is>
          <t>b/f petty cash 上日备用金结转</t>
        </is>
      </c>
      <c r="I2893" s="9">
        <f>IF($B2885="","",B2893)</f>
        <v/>
      </c>
      <c r="K2893" s="1" t="n"/>
      <c r="L2893" s="1" t="n"/>
    </row>
    <row r="2894">
      <c r="A2894" t="inlineStr">
        <is>
          <t>Total (A) 总计 (A)</t>
        </is>
      </c>
      <c r="B2894" s="6">
        <f>IF($B2885="","",ROUND(B2891+B2893,2))</f>
        <v/>
      </c>
      <c r="D2894" t="inlineStr">
        <is>
          <t>Total(B) 总计 (B)</t>
        </is>
      </c>
      <c r="E2894" s="6">
        <f>IF($B2885="","",ROUND(E2886+E2887+E2888+E2889+E2890+E2891,2))</f>
        <v/>
      </c>
      <c r="H2894" t="inlineStr">
        <is>
          <t>Total© 总计 (C)</t>
        </is>
      </c>
      <c r="I2894" s="6">
        <f>IF($B2885="","",ROUND(I2891+I2893,2))</f>
        <v/>
      </c>
      <c r="K2894" t="inlineStr">
        <is>
          <t>Total(D) 总计 (D)</t>
        </is>
      </c>
      <c r="L2894" s="6">
        <f>IF($B2885="","",ROUND(L2886+L2887+L2888+L2889+L2890+L2891,2))</f>
        <v/>
      </c>
    </row>
    <row r="2895">
      <c r="A2895" s="14" t="inlineStr">
        <is>
          <t>Total = Amount 2 + b/f petty cash  (金额2 + 上日备用金)</t>
        </is>
      </c>
      <c r="H2895" s="14" t="inlineStr">
        <is>
          <t>Total = Amount 2 + b/f petty cash  (金额2 + 上日备用金)</t>
        </is>
      </c>
    </row>
    <row r="2896">
      <c r="A2896" t="inlineStr">
        <is>
          <t>Different 差额</t>
        </is>
      </c>
      <c r="B2896" s="6">
        <f>IF($B2885="","",ROUND(B2894-E2894,2))</f>
        <v/>
      </c>
      <c r="D2896">
        <f>IF($B2885="","",IF(ABS(B2896)&gt;'Opening Balance'!$B$16,"ALERT 警报: Different over RM"&amp;'Opening Balance'!$B$16&amp;" 差额超过RM"&amp;'Opening Balance'!$B$16&amp;" - please check 请检查",IF(B2896=0,"Tied 平衡",IF(ABS(B2896)&lt;='Opening Balance'!$B$13,"Small difference 小额差额: adjusted on c/f petty cash 已调整备用金",IF(B2896&gt;0,"Short 短收: added to Misc Charges 已加入杂项费用","Over 多收: added to Cash Sales 已加入现金销售")))))</f>
        <v/>
      </c>
      <c r="H2896" t="inlineStr">
        <is>
          <t>Different 差额</t>
        </is>
      </c>
      <c r="I2896" s="6">
        <f>IF($B2885="","",ROUND(I2894-L2894,2))</f>
        <v/>
      </c>
    </row>
    <row r="2897"/>
    <row r="2898"/>
    <row r="2899">
      <c r="A2899" t="inlineStr">
        <is>
          <t>Date 日期</t>
        </is>
      </c>
      <c r="B2899" s="5">
        <f>IF('Daily Sale entry '!$A209="","",'Daily Sale entry '!$A209)</f>
        <v/>
      </c>
      <c r="H2899" t="inlineStr">
        <is>
          <t>After 调整后 (After)</t>
        </is>
      </c>
      <c r="I2899" s="5">
        <f>IF($B2899="","",B2899)</f>
        <v/>
      </c>
    </row>
    <row r="2900">
      <c r="A2900" t="inlineStr">
        <is>
          <t>Cash Sales 现金销售</t>
        </is>
      </c>
      <c r="B2900" s="6">
        <f>IF($B2899="","",'Daily Sale entry '!B209)</f>
        <v/>
      </c>
      <c r="D2900" t="inlineStr">
        <is>
          <t>c/f petty cash 今日备用金结转</t>
        </is>
      </c>
      <c r="E2900" s="6">
        <f>IF($B2899="","",'Daily Sale entry '!G209)</f>
        <v/>
      </c>
      <c r="H2900" t="inlineStr">
        <is>
          <t>Cash Sales 现金销售</t>
        </is>
      </c>
      <c r="I2900" s="6">
        <f>IF($B2899="","",IF(AND(ABS(B2910)&gt;'Opening Balance'!$B$13,B2910&lt;0),ROUND(B2900-B2910,2),B2900))</f>
        <v/>
      </c>
      <c r="K2900" t="inlineStr">
        <is>
          <t>c/f petty cash 今日备用金结转</t>
        </is>
      </c>
      <c r="L2900" s="6">
        <f>IF($B2899="","",IF(ABS(B2910)&lt;='Opening Balance'!$B$13,ROUND(E2900+B2910,2),E2900))</f>
        <v/>
      </c>
    </row>
    <row r="2901">
      <c r="A2901" t="inlineStr">
        <is>
          <t>Misc Charges 杂项费用</t>
        </is>
      </c>
      <c r="B2901" s="6">
        <f>IF($B2899="","",'Daily Sale entry '!C209)</f>
        <v/>
      </c>
      <c r="D2901" t="inlineStr">
        <is>
          <t>cash collection 现金收款</t>
        </is>
      </c>
      <c r="E2901" s="6">
        <f>IF($B2899="","",'Daily Sale entry '!H209)</f>
        <v/>
      </c>
      <c r="H2901" t="inlineStr">
        <is>
          <t>Misc Charges 杂项费用</t>
        </is>
      </c>
      <c r="I2901" s="6">
        <f>IF($B2899="","",IF(AND(ABS(B2910)&gt;'Opening Balance'!$B$13,B2910&gt;0),ROUND(B2901+B2910,2),B2901))</f>
        <v/>
      </c>
      <c r="K2901" t="inlineStr">
        <is>
          <t>cash collection 现金收款</t>
        </is>
      </c>
      <c r="L2901" s="6">
        <f>IF($B2899="","",E2901)</f>
        <v/>
      </c>
    </row>
    <row r="2902">
      <c r="A2902" s="1" t="inlineStr">
        <is>
          <t>Other Charges 其他费用</t>
        </is>
      </c>
      <c r="B2902" s="9">
        <f>IF($B2899="","",'Daily Sale entry '!D209)</f>
        <v/>
      </c>
      <c r="D2902" s="1" t="inlineStr">
        <is>
          <t>Cheque Collection 支票收款</t>
        </is>
      </c>
      <c r="E2902" s="9">
        <f>IF($B2899="","",'Daily Sale entry '!J209)</f>
        <v/>
      </c>
      <c r="H2902" s="1" t="inlineStr">
        <is>
          <t>Other Charges 其他费用</t>
        </is>
      </c>
      <c r="I2902" s="9">
        <f>IF($B2899="","",B2902)</f>
        <v/>
      </c>
      <c r="K2902" s="1" t="inlineStr">
        <is>
          <t>Cheque Collection 支票收款</t>
        </is>
      </c>
      <c r="L2902" s="9">
        <f>IF($B2899="","",E2902)</f>
        <v/>
      </c>
    </row>
    <row r="2903">
      <c r="A2903" s="10" t="inlineStr">
        <is>
          <t>Amount 金额  (Cash Sales - Misc - Other)</t>
        </is>
      </c>
      <c r="B2903" s="11">
        <f>IF($B2899="","",ROUND(B2900-B2901-B2902,2))</f>
        <v/>
      </c>
      <c r="D2903" s="12" t="inlineStr">
        <is>
          <t>TNG collection TNG收款</t>
        </is>
      </c>
      <c r="E2903" s="13">
        <f>IF($B2899="","",'Daily Sale entry '!K209)</f>
        <v/>
      </c>
      <c r="H2903" s="10" t="inlineStr">
        <is>
          <t>Amount 金额  (Cash Sales - Misc - Other)</t>
        </is>
      </c>
      <c r="I2903" s="11">
        <f>IF($B2899="","",ROUND(I2900-I2901-I2902,2))</f>
        <v/>
      </c>
      <c r="K2903" s="12" t="inlineStr">
        <is>
          <t>TNG collection TNG收款</t>
        </is>
      </c>
      <c r="L2903" s="13">
        <f>IF($B2899="","",E2903)</f>
        <v/>
      </c>
    </row>
    <row r="2904">
      <c r="A2904" t="inlineStr">
        <is>
          <t>Credit Collection 赊账收款</t>
        </is>
      </c>
      <c r="B2904" s="6">
        <f>IF($B2899="","",'Daily Sale entry '!E209)</f>
        <v/>
      </c>
      <c r="D2904" t="inlineStr">
        <is>
          <t>Advance Salary_M 预支薪水_M</t>
        </is>
      </c>
      <c r="E2904" s="6">
        <f>IF($B2899="","",'Daily Sale entry '!L209)</f>
        <v/>
      </c>
      <c r="H2904" t="inlineStr">
        <is>
          <t>Credit Collection 赊账收款</t>
        </is>
      </c>
      <c r="I2904" s="6">
        <f>IF($B2899="","",B2904)</f>
        <v/>
      </c>
      <c r="K2904" t="inlineStr">
        <is>
          <t>Advance Salary_M 预支薪水_M</t>
        </is>
      </c>
      <c r="L2904" s="6">
        <f>IF($B2899="","",E2904)</f>
        <v/>
      </c>
    </row>
    <row r="2905">
      <c r="A2905" s="10" t="inlineStr">
        <is>
          <t>Amount 2 金额2  (Amount + Credit Collection)</t>
        </is>
      </c>
      <c r="B2905" s="11">
        <f>IF($B2899="","",ROUND(B2903+B2904,2))</f>
        <v/>
      </c>
      <c r="D2905" t="inlineStr">
        <is>
          <t>Advance Salary_H 预支薪水_H</t>
        </is>
      </c>
      <c r="E2905" s="6">
        <f>IF($B2899="","",'Daily Sale entry '!M209)</f>
        <v/>
      </c>
      <c r="H2905" s="10" t="inlineStr">
        <is>
          <t>Amount 2 金额2  (Amount + Credit Collection)</t>
        </is>
      </c>
      <c r="I2905" s="11">
        <f>IF($B2899="","",ROUND(I2903+I2904,2))</f>
        <v/>
      </c>
      <c r="K2905" t="inlineStr">
        <is>
          <t>Advance Salary_H 预支薪水_H</t>
        </is>
      </c>
      <c r="L2905" s="6">
        <f>IF($B2899="","",E2905)</f>
        <v/>
      </c>
    </row>
    <row r="2906"/>
    <row r="2907">
      <c r="A2907" s="1" t="inlineStr">
        <is>
          <t>b/f petty cash 上日备用金结转</t>
        </is>
      </c>
      <c r="B2907" s="9">
        <f>IF($B2899="","",'Daily Sale entry '!F209)</f>
        <v/>
      </c>
      <c r="D2907" s="1" t="n"/>
      <c r="E2907" s="1" t="n"/>
      <c r="H2907" s="1" t="inlineStr">
        <is>
          <t>b/f petty cash 上日备用金结转</t>
        </is>
      </c>
      <c r="I2907" s="9">
        <f>IF($B2899="","",B2907)</f>
        <v/>
      </c>
      <c r="K2907" s="1" t="n"/>
      <c r="L2907" s="1" t="n"/>
    </row>
    <row r="2908">
      <c r="A2908" t="inlineStr">
        <is>
          <t>Total (A) 总计 (A)</t>
        </is>
      </c>
      <c r="B2908" s="6">
        <f>IF($B2899="","",ROUND(B2905+B2907,2))</f>
        <v/>
      </c>
      <c r="D2908" t="inlineStr">
        <is>
          <t>Total(B) 总计 (B)</t>
        </is>
      </c>
      <c r="E2908" s="6">
        <f>IF($B2899="","",ROUND(E2900+E2901+E2902+E2903+E2904+E2905,2))</f>
        <v/>
      </c>
      <c r="H2908" t="inlineStr">
        <is>
          <t>Total© 总计 (C)</t>
        </is>
      </c>
      <c r="I2908" s="6">
        <f>IF($B2899="","",ROUND(I2905+I2907,2))</f>
        <v/>
      </c>
      <c r="K2908" t="inlineStr">
        <is>
          <t>Total(D) 总计 (D)</t>
        </is>
      </c>
      <c r="L2908" s="6">
        <f>IF($B2899="","",ROUND(L2900+L2901+L2902+L2903+L2904+L2905,2))</f>
        <v/>
      </c>
    </row>
    <row r="2909">
      <c r="A2909" s="14" t="inlineStr">
        <is>
          <t>Total = Amount 2 + b/f petty cash  (金额2 + 上日备用金)</t>
        </is>
      </c>
      <c r="H2909" s="14" t="inlineStr">
        <is>
          <t>Total = Amount 2 + b/f petty cash  (金额2 + 上日备用金)</t>
        </is>
      </c>
    </row>
    <row r="2910">
      <c r="A2910" t="inlineStr">
        <is>
          <t>Different 差额</t>
        </is>
      </c>
      <c r="B2910" s="6">
        <f>IF($B2899="","",ROUND(B2908-E2908,2))</f>
        <v/>
      </c>
      <c r="D2910">
        <f>IF($B2899="","",IF(ABS(B2910)&gt;'Opening Balance'!$B$16,"ALERT 警报: Different over RM"&amp;'Opening Balance'!$B$16&amp;" 差额超过RM"&amp;'Opening Balance'!$B$16&amp;" - please check 请检查",IF(B2910=0,"Tied 平衡",IF(ABS(B2910)&lt;='Opening Balance'!$B$13,"Small difference 小额差额: adjusted on c/f petty cash 已调整备用金",IF(B2910&gt;0,"Short 短收: added to Misc Charges 已加入杂项费用","Over 多收: added to Cash Sales 已加入现金销售")))))</f>
        <v/>
      </c>
      <c r="H2910" t="inlineStr">
        <is>
          <t>Different 差额</t>
        </is>
      </c>
      <c r="I2910" s="6">
        <f>IF($B2899="","",ROUND(I2908-L2908,2))</f>
        <v/>
      </c>
    </row>
    <row r="2911"/>
    <row r="2912"/>
    <row r="2913">
      <c r="A2913" t="inlineStr">
        <is>
          <t>Date 日期</t>
        </is>
      </c>
      <c r="B2913" s="5">
        <f>IF('Daily Sale entry '!$A210="","",'Daily Sale entry '!$A210)</f>
        <v/>
      </c>
      <c r="H2913" t="inlineStr">
        <is>
          <t>After 调整后 (After)</t>
        </is>
      </c>
      <c r="I2913" s="5">
        <f>IF($B2913="","",B2913)</f>
        <v/>
      </c>
    </row>
    <row r="2914">
      <c r="A2914" t="inlineStr">
        <is>
          <t>Cash Sales 现金销售</t>
        </is>
      </c>
      <c r="B2914" s="6">
        <f>IF($B2913="","",'Daily Sale entry '!B210)</f>
        <v/>
      </c>
      <c r="D2914" t="inlineStr">
        <is>
          <t>c/f petty cash 今日备用金结转</t>
        </is>
      </c>
      <c r="E2914" s="6">
        <f>IF($B2913="","",'Daily Sale entry '!G210)</f>
        <v/>
      </c>
      <c r="H2914" t="inlineStr">
        <is>
          <t>Cash Sales 现金销售</t>
        </is>
      </c>
      <c r="I2914" s="6">
        <f>IF($B2913="","",IF(AND(ABS(B2924)&gt;'Opening Balance'!$B$13,B2924&lt;0),ROUND(B2914-B2924,2),B2914))</f>
        <v/>
      </c>
      <c r="K2914" t="inlineStr">
        <is>
          <t>c/f petty cash 今日备用金结转</t>
        </is>
      </c>
      <c r="L2914" s="6">
        <f>IF($B2913="","",IF(ABS(B2924)&lt;='Opening Balance'!$B$13,ROUND(E2914+B2924,2),E2914))</f>
        <v/>
      </c>
    </row>
    <row r="2915">
      <c r="A2915" t="inlineStr">
        <is>
          <t>Misc Charges 杂项费用</t>
        </is>
      </c>
      <c r="B2915" s="6">
        <f>IF($B2913="","",'Daily Sale entry '!C210)</f>
        <v/>
      </c>
      <c r="D2915" t="inlineStr">
        <is>
          <t>cash collection 现金收款</t>
        </is>
      </c>
      <c r="E2915" s="6">
        <f>IF($B2913="","",'Daily Sale entry '!H210)</f>
        <v/>
      </c>
      <c r="H2915" t="inlineStr">
        <is>
          <t>Misc Charges 杂项费用</t>
        </is>
      </c>
      <c r="I2915" s="6">
        <f>IF($B2913="","",IF(AND(ABS(B2924)&gt;'Opening Balance'!$B$13,B2924&gt;0),ROUND(B2915+B2924,2),B2915))</f>
        <v/>
      </c>
      <c r="K2915" t="inlineStr">
        <is>
          <t>cash collection 现金收款</t>
        </is>
      </c>
      <c r="L2915" s="6">
        <f>IF($B2913="","",E2915)</f>
        <v/>
      </c>
    </row>
    <row r="2916">
      <c r="A2916" s="1" t="inlineStr">
        <is>
          <t>Other Charges 其他费用</t>
        </is>
      </c>
      <c r="B2916" s="9">
        <f>IF($B2913="","",'Daily Sale entry '!D210)</f>
        <v/>
      </c>
      <c r="D2916" s="1" t="inlineStr">
        <is>
          <t>Cheque Collection 支票收款</t>
        </is>
      </c>
      <c r="E2916" s="9">
        <f>IF($B2913="","",'Daily Sale entry '!J210)</f>
        <v/>
      </c>
      <c r="H2916" s="1" t="inlineStr">
        <is>
          <t>Other Charges 其他费用</t>
        </is>
      </c>
      <c r="I2916" s="9">
        <f>IF($B2913="","",B2916)</f>
        <v/>
      </c>
      <c r="K2916" s="1" t="inlineStr">
        <is>
          <t>Cheque Collection 支票收款</t>
        </is>
      </c>
      <c r="L2916" s="9">
        <f>IF($B2913="","",E2916)</f>
        <v/>
      </c>
    </row>
    <row r="2917">
      <c r="A2917" s="10" t="inlineStr">
        <is>
          <t>Amount 金额  (Cash Sales - Misc - Other)</t>
        </is>
      </c>
      <c r="B2917" s="11">
        <f>IF($B2913="","",ROUND(B2914-B2915-B2916,2))</f>
        <v/>
      </c>
      <c r="D2917" s="12" t="inlineStr">
        <is>
          <t>TNG collection TNG收款</t>
        </is>
      </c>
      <c r="E2917" s="13">
        <f>IF($B2913="","",'Daily Sale entry '!K210)</f>
        <v/>
      </c>
      <c r="H2917" s="10" t="inlineStr">
        <is>
          <t>Amount 金额  (Cash Sales - Misc - Other)</t>
        </is>
      </c>
      <c r="I2917" s="11">
        <f>IF($B2913="","",ROUND(I2914-I2915-I2916,2))</f>
        <v/>
      </c>
      <c r="K2917" s="12" t="inlineStr">
        <is>
          <t>TNG collection TNG收款</t>
        </is>
      </c>
      <c r="L2917" s="13">
        <f>IF($B2913="","",E2917)</f>
        <v/>
      </c>
    </row>
    <row r="2918">
      <c r="A2918" t="inlineStr">
        <is>
          <t>Credit Collection 赊账收款</t>
        </is>
      </c>
      <c r="B2918" s="6">
        <f>IF($B2913="","",'Daily Sale entry '!E210)</f>
        <v/>
      </c>
      <c r="D2918" t="inlineStr">
        <is>
          <t>Advance Salary_M 预支薪水_M</t>
        </is>
      </c>
      <c r="E2918" s="6">
        <f>IF($B2913="","",'Daily Sale entry '!L210)</f>
        <v/>
      </c>
      <c r="H2918" t="inlineStr">
        <is>
          <t>Credit Collection 赊账收款</t>
        </is>
      </c>
      <c r="I2918" s="6">
        <f>IF($B2913="","",B2918)</f>
        <v/>
      </c>
      <c r="K2918" t="inlineStr">
        <is>
          <t>Advance Salary_M 预支薪水_M</t>
        </is>
      </c>
      <c r="L2918" s="6">
        <f>IF($B2913="","",E2918)</f>
        <v/>
      </c>
    </row>
    <row r="2919">
      <c r="A2919" s="10" t="inlineStr">
        <is>
          <t>Amount 2 金额2  (Amount + Credit Collection)</t>
        </is>
      </c>
      <c r="B2919" s="11">
        <f>IF($B2913="","",ROUND(B2917+B2918,2))</f>
        <v/>
      </c>
      <c r="D2919" t="inlineStr">
        <is>
          <t>Advance Salary_H 预支薪水_H</t>
        </is>
      </c>
      <c r="E2919" s="6">
        <f>IF($B2913="","",'Daily Sale entry '!M210)</f>
        <v/>
      </c>
      <c r="H2919" s="10" t="inlineStr">
        <is>
          <t>Amount 2 金额2  (Amount + Credit Collection)</t>
        </is>
      </c>
      <c r="I2919" s="11">
        <f>IF($B2913="","",ROUND(I2917+I2918,2))</f>
        <v/>
      </c>
      <c r="K2919" t="inlineStr">
        <is>
          <t>Advance Salary_H 预支薪水_H</t>
        </is>
      </c>
      <c r="L2919" s="6">
        <f>IF($B2913="","",E2919)</f>
        <v/>
      </c>
    </row>
    <row r="2920"/>
    <row r="2921">
      <c r="A2921" s="1" t="inlineStr">
        <is>
          <t>b/f petty cash 上日备用金结转</t>
        </is>
      </c>
      <c r="B2921" s="9">
        <f>IF($B2913="","",'Daily Sale entry '!F210)</f>
        <v/>
      </c>
      <c r="D2921" s="1" t="n"/>
      <c r="E2921" s="1" t="n"/>
      <c r="H2921" s="1" t="inlineStr">
        <is>
          <t>b/f petty cash 上日备用金结转</t>
        </is>
      </c>
      <c r="I2921" s="9">
        <f>IF($B2913="","",B2921)</f>
        <v/>
      </c>
      <c r="K2921" s="1" t="n"/>
      <c r="L2921" s="1" t="n"/>
    </row>
    <row r="2922">
      <c r="A2922" t="inlineStr">
        <is>
          <t>Total (A) 总计 (A)</t>
        </is>
      </c>
      <c r="B2922" s="6">
        <f>IF($B2913="","",ROUND(B2919+B2921,2))</f>
        <v/>
      </c>
      <c r="D2922" t="inlineStr">
        <is>
          <t>Total(B) 总计 (B)</t>
        </is>
      </c>
      <c r="E2922" s="6">
        <f>IF($B2913="","",ROUND(E2914+E2915+E2916+E2917+E2918+E2919,2))</f>
        <v/>
      </c>
      <c r="H2922" t="inlineStr">
        <is>
          <t>Total© 总计 (C)</t>
        </is>
      </c>
      <c r="I2922" s="6">
        <f>IF($B2913="","",ROUND(I2919+I2921,2))</f>
        <v/>
      </c>
      <c r="K2922" t="inlineStr">
        <is>
          <t>Total(D) 总计 (D)</t>
        </is>
      </c>
      <c r="L2922" s="6">
        <f>IF($B2913="","",ROUND(L2914+L2915+L2916+L2917+L2918+L2919,2))</f>
        <v/>
      </c>
    </row>
    <row r="2923">
      <c r="A2923" s="14" t="inlineStr">
        <is>
          <t>Total = Amount 2 + b/f petty cash  (金额2 + 上日备用金)</t>
        </is>
      </c>
      <c r="H2923" s="14" t="inlineStr">
        <is>
          <t>Total = Amount 2 + b/f petty cash  (金额2 + 上日备用金)</t>
        </is>
      </c>
    </row>
    <row r="2924">
      <c r="A2924" t="inlineStr">
        <is>
          <t>Different 差额</t>
        </is>
      </c>
      <c r="B2924" s="6">
        <f>IF($B2913="","",ROUND(B2922-E2922,2))</f>
        <v/>
      </c>
      <c r="D2924">
        <f>IF($B2913="","",IF(ABS(B2924)&gt;'Opening Balance'!$B$16,"ALERT 警报: Different over RM"&amp;'Opening Balance'!$B$16&amp;" 差额超过RM"&amp;'Opening Balance'!$B$16&amp;" - please check 请检查",IF(B2924=0,"Tied 平衡",IF(ABS(B2924)&lt;='Opening Balance'!$B$13,"Small difference 小额差额: adjusted on c/f petty cash 已调整备用金",IF(B2924&gt;0,"Short 短收: added to Misc Charges 已加入杂项费用","Over 多收: added to Cash Sales 已加入现金销售")))))</f>
        <v/>
      </c>
      <c r="H2924" t="inlineStr">
        <is>
          <t>Different 差额</t>
        </is>
      </c>
      <c r="I2924" s="6">
        <f>IF($B2913="","",ROUND(I2922-L2922,2))</f>
        <v/>
      </c>
    </row>
    <row r="2925"/>
    <row r="2926"/>
    <row r="2927">
      <c r="A2927" t="inlineStr">
        <is>
          <t>Date 日期</t>
        </is>
      </c>
      <c r="B2927" s="5">
        <f>IF('Daily Sale entry '!$A211="","",'Daily Sale entry '!$A211)</f>
        <v/>
      </c>
      <c r="H2927" t="inlineStr">
        <is>
          <t>After 调整后 (After)</t>
        </is>
      </c>
      <c r="I2927" s="5">
        <f>IF($B2927="","",B2927)</f>
        <v/>
      </c>
    </row>
    <row r="2928">
      <c r="A2928" t="inlineStr">
        <is>
          <t>Cash Sales 现金销售</t>
        </is>
      </c>
      <c r="B2928" s="6">
        <f>IF($B2927="","",'Daily Sale entry '!B211)</f>
        <v/>
      </c>
      <c r="D2928" t="inlineStr">
        <is>
          <t>c/f petty cash 今日备用金结转</t>
        </is>
      </c>
      <c r="E2928" s="6">
        <f>IF($B2927="","",'Daily Sale entry '!G211)</f>
        <v/>
      </c>
      <c r="H2928" t="inlineStr">
        <is>
          <t>Cash Sales 现金销售</t>
        </is>
      </c>
      <c r="I2928" s="6">
        <f>IF($B2927="","",IF(AND(ABS(B2938)&gt;'Opening Balance'!$B$13,B2938&lt;0),ROUND(B2928-B2938,2),B2928))</f>
        <v/>
      </c>
      <c r="K2928" t="inlineStr">
        <is>
          <t>c/f petty cash 今日备用金结转</t>
        </is>
      </c>
      <c r="L2928" s="6">
        <f>IF($B2927="","",IF(ABS(B2938)&lt;='Opening Balance'!$B$13,ROUND(E2928+B2938,2),E2928))</f>
        <v/>
      </c>
    </row>
    <row r="2929">
      <c r="A2929" t="inlineStr">
        <is>
          <t>Misc Charges 杂项费用</t>
        </is>
      </c>
      <c r="B2929" s="6">
        <f>IF($B2927="","",'Daily Sale entry '!C211)</f>
        <v/>
      </c>
      <c r="D2929" t="inlineStr">
        <is>
          <t>cash collection 现金收款</t>
        </is>
      </c>
      <c r="E2929" s="6">
        <f>IF($B2927="","",'Daily Sale entry '!H211)</f>
        <v/>
      </c>
      <c r="H2929" t="inlineStr">
        <is>
          <t>Misc Charges 杂项费用</t>
        </is>
      </c>
      <c r="I2929" s="6">
        <f>IF($B2927="","",IF(AND(ABS(B2938)&gt;'Opening Balance'!$B$13,B2938&gt;0),ROUND(B2929+B2938,2),B2929))</f>
        <v/>
      </c>
      <c r="K2929" t="inlineStr">
        <is>
          <t>cash collection 现金收款</t>
        </is>
      </c>
      <c r="L2929" s="6">
        <f>IF($B2927="","",E2929)</f>
        <v/>
      </c>
    </row>
    <row r="2930">
      <c r="A2930" s="1" t="inlineStr">
        <is>
          <t>Other Charges 其他费用</t>
        </is>
      </c>
      <c r="B2930" s="9">
        <f>IF($B2927="","",'Daily Sale entry '!D211)</f>
        <v/>
      </c>
      <c r="D2930" s="1" t="inlineStr">
        <is>
          <t>Cheque Collection 支票收款</t>
        </is>
      </c>
      <c r="E2930" s="9">
        <f>IF($B2927="","",'Daily Sale entry '!J211)</f>
        <v/>
      </c>
      <c r="H2930" s="1" t="inlineStr">
        <is>
          <t>Other Charges 其他费用</t>
        </is>
      </c>
      <c r="I2930" s="9">
        <f>IF($B2927="","",B2930)</f>
        <v/>
      </c>
      <c r="K2930" s="1" t="inlineStr">
        <is>
          <t>Cheque Collection 支票收款</t>
        </is>
      </c>
      <c r="L2930" s="9">
        <f>IF($B2927="","",E2930)</f>
        <v/>
      </c>
    </row>
    <row r="2931">
      <c r="A2931" s="10" t="inlineStr">
        <is>
          <t>Amount 金额  (Cash Sales - Misc - Other)</t>
        </is>
      </c>
      <c r="B2931" s="11">
        <f>IF($B2927="","",ROUND(B2928-B2929-B2930,2))</f>
        <v/>
      </c>
      <c r="D2931" s="12" t="inlineStr">
        <is>
          <t>TNG collection TNG收款</t>
        </is>
      </c>
      <c r="E2931" s="13">
        <f>IF($B2927="","",'Daily Sale entry '!K211)</f>
        <v/>
      </c>
      <c r="H2931" s="10" t="inlineStr">
        <is>
          <t>Amount 金额  (Cash Sales - Misc - Other)</t>
        </is>
      </c>
      <c r="I2931" s="11">
        <f>IF($B2927="","",ROUND(I2928-I2929-I2930,2))</f>
        <v/>
      </c>
      <c r="K2931" s="12" t="inlineStr">
        <is>
          <t>TNG collection TNG收款</t>
        </is>
      </c>
      <c r="L2931" s="13">
        <f>IF($B2927="","",E2931)</f>
        <v/>
      </c>
    </row>
    <row r="2932">
      <c r="A2932" t="inlineStr">
        <is>
          <t>Credit Collection 赊账收款</t>
        </is>
      </c>
      <c r="B2932" s="6">
        <f>IF($B2927="","",'Daily Sale entry '!E211)</f>
        <v/>
      </c>
      <c r="D2932" t="inlineStr">
        <is>
          <t>Advance Salary_M 预支薪水_M</t>
        </is>
      </c>
      <c r="E2932" s="6">
        <f>IF($B2927="","",'Daily Sale entry '!L211)</f>
        <v/>
      </c>
      <c r="H2932" t="inlineStr">
        <is>
          <t>Credit Collection 赊账收款</t>
        </is>
      </c>
      <c r="I2932" s="6">
        <f>IF($B2927="","",B2932)</f>
        <v/>
      </c>
      <c r="K2932" t="inlineStr">
        <is>
          <t>Advance Salary_M 预支薪水_M</t>
        </is>
      </c>
      <c r="L2932" s="6">
        <f>IF($B2927="","",E2932)</f>
        <v/>
      </c>
    </row>
    <row r="2933">
      <c r="A2933" s="10" t="inlineStr">
        <is>
          <t>Amount 2 金额2  (Amount + Credit Collection)</t>
        </is>
      </c>
      <c r="B2933" s="11">
        <f>IF($B2927="","",ROUND(B2931+B2932,2))</f>
        <v/>
      </c>
      <c r="D2933" t="inlineStr">
        <is>
          <t>Advance Salary_H 预支薪水_H</t>
        </is>
      </c>
      <c r="E2933" s="6">
        <f>IF($B2927="","",'Daily Sale entry '!M211)</f>
        <v/>
      </c>
      <c r="H2933" s="10" t="inlineStr">
        <is>
          <t>Amount 2 金额2  (Amount + Credit Collection)</t>
        </is>
      </c>
      <c r="I2933" s="11">
        <f>IF($B2927="","",ROUND(I2931+I2932,2))</f>
        <v/>
      </c>
      <c r="K2933" t="inlineStr">
        <is>
          <t>Advance Salary_H 预支薪水_H</t>
        </is>
      </c>
      <c r="L2933" s="6">
        <f>IF($B2927="","",E2933)</f>
        <v/>
      </c>
    </row>
    <row r="2934"/>
    <row r="2935">
      <c r="A2935" s="1" t="inlineStr">
        <is>
          <t>b/f petty cash 上日备用金结转</t>
        </is>
      </c>
      <c r="B2935" s="9">
        <f>IF($B2927="","",'Daily Sale entry '!F211)</f>
        <v/>
      </c>
      <c r="D2935" s="1" t="n"/>
      <c r="E2935" s="1" t="n"/>
      <c r="H2935" s="1" t="inlineStr">
        <is>
          <t>b/f petty cash 上日备用金结转</t>
        </is>
      </c>
      <c r="I2935" s="9">
        <f>IF($B2927="","",B2935)</f>
        <v/>
      </c>
      <c r="K2935" s="1" t="n"/>
      <c r="L2935" s="1" t="n"/>
    </row>
    <row r="2936">
      <c r="A2936" t="inlineStr">
        <is>
          <t>Total (A) 总计 (A)</t>
        </is>
      </c>
      <c r="B2936" s="6">
        <f>IF($B2927="","",ROUND(B2933+B2935,2))</f>
        <v/>
      </c>
      <c r="D2936" t="inlineStr">
        <is>
          <t>Total(B) 总计 (B)</t>
        </is>
      </c>
      <c r="E2936" s="6">
        <f>IF($B2927="","",ROUND(E2928+E2929+E2930+E2931+E2932+E2933,2))</f>
        <v/>
      </c>
      <c r="H2936" t="inlineStr">
        <is>
          <t>Total© 总计 (C)</t>
        </is>
      </c>
      <c r="I2936" s="6">
        <f>IF($B2927="","",ROUND(I2933+I2935,2))</f>
        <v/>
      </c>
      <c r="K2936" t="inlineStr">
        <is>
          <t>Total(D) 总计 (D)</t>
        </is>
      </c>
      <c r="L2936" s="6">
        <f>IF($B2927="","",ROUND(L2928+L2929+L2930+L2931+L2932+L2933,2))</f>
        <v/>
      </c>
    </row>
    <row r="2937">
      <c r="A2937" s="14" t="inlineStr">
        <is>
          <t>Total = Amount 2 + b/f petty cash  (金额2 + 上日备用金)</t>
        </is>
      </c>
      <c r="H2937" s="14" t="inlineStr">
        <is>
          <t>Total = Amount 2 + b/f petty cash  (金额2 + 上日备用金)</t>
        </is>
      </c>
    </row>
    <row r="2938">
      <c r="A2938" t="inlineStr">
        <is>
          <t>Different 差额</t>
        </is>
      </c>
      <c r="B2938" s="6">
        <f>IF($B2927="","",ROUND(B2936-E2936,2))</f>
        <v/>
      </c>
      <c r="D2938">
        <f>IF($B2927="","",IF(ABS(B2938)&gt;'Opening Balance'!$B$16,"ALERT 警报: Different over RM"&amp;'Opening Balance'!$B$16&amp;" 差额超过RM"&amp;'Opening Balance'!$B$16&amp;" - please check 请检查",IF(B2938=0,"Tied 平衡",IF(ABS(B2938)&lt;='Opening Balance'!$B$13,"Small difference 小额差额: adjusted on c/f petty cash 已调整备用金",IF(B2938&gt;0,"Short 短收: added to Misc Charges 已加入杂项费用","Over 多收: added to Cash Sales 已加入现金销售")))))</f>
        <v/>
      </c>
      <c r="H2938" t="inlineStr">
        <is>
          <t>Different 差额</t>
        </is>
      </c>
      <c r="I2938" s="6">
        <f>IF($B2927="","",ROUND(I2936-L2936,2))</f>
        <v/>
      </c>
    </row>
    <row r="2939"/>
    <row r="2940"/>
    <row r="2941">
      <c r="A2941" t="inlineStr">
        <is>
          <t>Date 日期</t>
        </is>
      </c>
      <c r="B2941" s="5">
        <f>IF('Daily Sale entry '!$A212="","",'Daily Sale entry '!$A212)</f>
        <v/>
      </c>
      <c r="H2941" t="inlineStr">
        <is>
          <t>After 调整后 (After)</t>
        </is>
      </c>
      <c r="I2941" s="5">
        <f>IF($B2941="","",B2941)</f>
        <v/>
      </c>
    </row>
    <row r="2942">
      <c r="A2942" t="inlineStr">
        <is>
          <t>Cash Sales 现金销售</t>
        </is>
      </c>
      <c r="B2942" s="6">
        <f>IF($B2941="","",'Daily Sale entry '!B212)</f>
        <v/>
      </c>
      <c r="D2942" t="inlineStr">
        <is>
          <t>c/f petty cash 今日备用金结转</t>
        </is>
      </c>
      <c r="E2942" s="6">
        <f>IF($B2941="","",'Daily Sale entry '!G212)</f>
        <v/>
      </c>
      <c r="H2942" t="inlineStr">
        <is>
          <t>Cash Sales 现金销售</t>
        </is>
      </c>
      <c r="I2942" s="6">
        <f>IF($B2941="","",IF(AND(ABS(B2952)&gt;'Opening Balance'!$B$13,B2952&lt;0),ROUND(B2942-B2952,2),B2942))</f>
        <v/>
      </c>
      <c r="K2942" t="inlineStr">
        <is>
          <t>c/f petty cash 今日备用金结转</t>
        </is>
      </c>
      <c r="L2942" s="6">
        <f>IF($B2941="","",IF(ABS(B2952)&lt;='Opening Balance'!$B$13,ROUND(E2942+B2952,2),E2942))</f>
        <v/>
      </c>
    </row>
    <row r="2943">
      <c r="A2943" t="inlineStr">
        <is>
          <t>Misc Charges 杂项费用</t>
        </is>
      </c>
      <c r="B2943" s="6">
        <f>IF($B2941="","",'Daily Sale entry '!C212)</f>
        <v/>
      </c>
      <c r="D2943" t="inlineStr">
        <is>
          <t>cash collection 现金收款</t>
        </is>
      </c>
      <c r="E2943" s="6">
        <f>IF($B2941="","",'Daily Sale entry '!H212)</f>
        <v/>
      </c>
      <c r="H2943" t="inlineStr">
        <is>
          <t>Misc Charges 杂项费用</t>
        </is>
      </c>
      <c r="I2943" s="6">
        <f>IF($B2941="","",IF(AND(ABS(B2952)&gt;'Opening Balance'!$B$13,B2952&gt;0),ROUND(B2943+B2952,2),B2943))</f>
        <v/>
      </c>
      <c r="K2943" t="inlineStr">
        <is>
          <t>cash collection 现金收款</t>
        </is>
      </c>
      <c r="L2943" s="6">
        <f>IF($B2941="","",E2943)</f>
        <v/>
      </c>
    </row>
    <row r="2944">
      <c r="A2944" s="1" t="inlineStr">
        <is>
          <t>Other Charges 其他费用</t>
        </is>
      </c>
      <c r="B2944" s="9">
        <f>IF($B2941="","",'Daily Sale entry '!D212)</f>
        <v/>
      </c>
      <c r="D2944" s="1" t="inlineStr">
        <is>
          <t>Cheque Collection 支票收款</t>
        </is>
      </c>
      <c r="E2944" s="9">
        <f>IF($B2941="","",'Daily Sale entry '!J212)</f>
        <v/>
      </c>
      <c r="H2944" s="1" t="inlineStr">
        <is>
          <t>Other Charges 其他费用</t>
        </is>
      </c>
      <c r="I2944" s="9">
        <f>IF($B2941="","",B2944)</f>
        <v/>
      </c>
      <c r="K2944" s="1" t="inlineStr">
        <is>
          <t>Cheque Collection 支票收款</t>
        </is>
      </c>
      <c r="L2944" s="9">
        <f>IF($B2941="","",E2944)</f>
        <v/>
      </c>
    </row>
    <row r="2945">
      <c r="A2945" s="10" t="inlineStr">
        <is>
          <t>Amount 金额  (Cash Sales - Misc - Other)</t>
        </is>
      </c>
      <c r="B2945" s="11">
        <f>IF($B2941="","",ROUND(B2942-B2943-B2944,2))</f>
        <v/>
      </c>
      <c r="D2945" s="12" t="inlineStr">
        <is>
          <t>TNG collection TNG收款</t>
        </is>
      </c>
      <c r="E2945" s="13">
        <f>IF($B2941="","",'Daily Sale entry '!K212)</f>
        <v/>
      </c>
      <c r="H2945" s="10" t="inlineStr">
        <is>
          <t>Amount 金额  (Cash Sales - Misc - Other)</t>
        </is>
      </c>
      <c r="I2945" s="11">
        <f>IF($B2941="","",ROUND(I2942-I2943-I2944,2))</f>
        <v/>
      </c>
      <c r="K2945" s="12" t="inlineStr">
        <is>
          <t>TNG collection TNG收款</t>
        </is>
      </c>
      <c r="L2945" s="13">
        <f>IF($B2941="","",E2945)</f>
        <v/>
      </c>
    </row>
    <row r="2946">
      <c r="A2946" t="inlineStr">
        <is>
          <t>Credit Collection 赊账收款</t>
        </is>
      </c>
      <c r="B2946" s="6">
        <f>IF($B2941="","",'Daily Sale entry '!E212)</f>
        <v/>
      </c>
      <c r="D2946" t="inlineStr">
        <is>
          <t>Advance Salary_M 预支薪水_M</t>
        </is>
      </c>
      <c r="E2946" s="6">
        <f>IF($B2941="","",'Daily Sale entry '!L212)</f>
        <v/>
      </c>
      <c r="H2946" t="inlineStr">
        <is>
          <t>Credit Collection 赊账收款</t>
        </is>
      </c>
      <c r="I2946" s="6">
        <f>IF($B2941="","",B2946)</f>
        <v/>
      </c>
      <c r="K2946" t="inlineStr">
        <is>
          <t>Advance Salary_M 预支薪水_M</t>
        </is>
      </c>
      <c r="L2946" s="6">
        <f>IF($B2941="","",E2946)</f>
        <v/>
      </c>
    </row>
    <row r="2947">
      <c r="A2947" s="10" t="inlineStr">
        <is>
          <t>Amount 2 金额2  (Amount + Credit Collection)</t>
        </is>
      </c>
      <c r="B2947" s="11">
        <f>IF($B2941="","",ROUND(B2945+B2946,2))</f>
        <v/>
      </c>
      <c r="D2947" t="inlineStr">
        <is>
          <t>Advance Salary_H 预支薪水_H</t>
        </is>
      </c>
      <c r="E2947" s="6">
        <f>IF($B2941="","",'Daily Sale entry '!M212)</f>
        <v/>
      </c>
      <c r="H2947" s="10" t="inlineStr">
        <is>
          <t>Amount 2 金额2  (Amount + Credit Collection)</t>
        </is>
      </c>
      <c r="I2947" s="11">
        <f>IF($B2941="","",ROUND(I2945+I2946,2))</f>
        <v/>
      </c>
      <c r="K2947" t="inlineStr">
        <is>
          <t>Advance Salary_H 预支薪水_H</t>
        </is>
      </c>
      <c r="L2947" s="6">
        <f>IF($B2941="","",E2947)</f>
        <v/>
      </c>
    </row>
    <row r="2948"/>
    <row r="2949">
      <c r="A2949" s="1" t="inlineStr">
        <is>
          <t>b/f petty cash 上日备用金结转</t>
        </is>
      </c>
      <c r="B2949" s="9">
        <f>IF($B2941="","",'Daily Sale entry '!F212)</f>
        <v/>
      </c>
      <c r="D2949" s="1" t="n"/>
      <c r="E2949" s="1" t="n"/>
      <c r="H2949" s="1" t="inlineStr">
        <is>
          <t>b/f petty cash 上日备用金结转</t>
        </is>
      </c>
      <c r="I2949" s="9">
        <f>IF($B2941="","",B2949)</f>
        <v/>
      </c>
      <c r="K2949" s="1" t="n"/>
      <c r="L2949" s="1" t="n"/>
    </row>
    <row r="2950">
      <c r="A2950" t="inlineStr">
        <is>
          <t>Total (A) 总计 (A)</t>
        </is>
      </c>
      <c r="B2950" s="6">
        <f>IF($B2941="","",ROUND(B2947+B2949,2))</f>
        <v/>
      </c>
      <c r="D2950" t="inlineStr">
        <is>
          <t>Total(B) 总计 (B)</t>
        </is>
      </c>
      <c r="E2950" s="6">
        <f>IF($B2941="","",ROUND(E2942+E2943+E2944+E2945+E2946+E2947,2))</f>
        <v/>
      </c>
      <c r="H2950" t="inlineStr">
        <is>
          <t>Total© 总计 (C)</t>
        </is>
      </c>
      <c r="I2950" s="6">
        <f>IF($B2941="","",ROUND(I2947+I2949,2))</f>
        <v/>
      </c>
      <c r="K2950" t="inlineStr">
        <is>
          <t>Total(D) 总计 (D)</t>
        </is>
      </c>
      <c r="L2950" s="6">
        <f>IF($B2941="","",ROUND(L2942+L2943+L2944+L2945+L2946+L2947,2))</f>
        <v/>
      </c>
    </row>
    <row r="2951">
      <c r="A2951" s="14" t="inlineStr">
        <is>
          <t>Total = Amount 2 + b/f petty cash  (金额2 + 上日备用金)</t>
        </is>
      </c>
      <c r="H2951" s="14" t="inlineStr">
        <is>
          <t>Total = Amount 2 + b/f petty cash  (金额2 + 上日备用金)</t>
        </is>
      </c>
    </row>
    <row r="2952">
      <c r="A2952" t="inlineStr">
        <is>
          <t>Different 差额</t>
        </is>
      </c>
      <c r="B2952" s="6">
        <f>IF($B2941="","",ROUND(B2950-E2950,2))</f>
        <v/>
      </c>
      <c r="D2952">
        <f>IF($B2941="","",IF(ABS(B2952)&gt;'Opening Balance'!$B$16,"ALERT 警报: Different over RM"&amp;'Opening Balance'!$B$16&amp;" 差额超过RM"&amp;'Opening Balance'!$B$16&amp;" - please check 请检查",IF(B2952=0,"Tied 平衡",IF(ABS(B2952)&lt;='Opening Balance'!$B$13,"Small difference 小额差额: adjusted on c/f petty cash 已调整备用金",IF(B2952&gt;0,"Short 短收: added to Misc Charges 已加入杂项费用","Over 多收: added to Cash Sales 已加入现金销售")))))</f>
        <v/>
      </c>
      <c r="H2952" t="inlineStr">
        <is>
          <t>Different 差额</t>
        </is>
      </c>
      <c r="I2952" s="6">
        <f>IF($B2941="","",ROUND(I2950-L2950,2))</f>
        <v/>
      </c>
    </row>
    <row r="2953"/>
    <row r="2954"/>
    <row r="2955">
      <c r="A2955" t="inlineStr">
        <is>
          <t>Date 日期</t>
        </is>
      </c>
      <c r="B2955" s="5">
        <f>IF('Daily Sale entry '!$A213="","",'Daily Sale entry '!$A213)</f>
        <v/>
      </c>
      <c r="H2955" t="inlineStr">
        <is>
          <t>After 调整后 (After)</t>
        </is>
      </c>
      <c r="I2955" s="5">
        <f>IF($B2955="","",B2955)</f>
        <v/>
      </c>
    </row>
    <row r="2956">
      <c r="A2956" t="inlineStr">
        <is>
          <t>Cash Sales 现金销售</t>
        </is>
      </c>
      <c r="B2956" s="6">
        <f>IF($B2955="","",'Daily Sale entry '!B213)</f>
        <v/>
      </c>
      <c r="D2956" t="inlineStr">
        <is>
          <t>c/f petty cash 今日备用金结转</t>
        </is>
      </c>
      <c r="E2956" s="6">
        <f>IF($B2955="","",'Daily Sale entry '!G213)</f>
        <v/>
      </c>
      <c r="H2956" t="inlineStr">
        <is>
          <t>Cash Sales 现金销售</t>
        </is>
      </c>
      <c r="I2956" s="6">
        <f>IF($B2955="","",IF(AND(ABS(B2966)&gt;'Opening Balance'!$B$13,B2966&lt;0),ROUND(B2956-B2966,2),B2956))</f>
        <v/>
      </c>
      <c r="K2956" t="inlineStr">
        <is>
          <t>c/f petty cash 今日备用金结转</t>
        </is>
      </c>
      <c r="L2956" s="6">
        <f>IF($B2955="","",IF(ABS(B2966)&lt;='Opening Balance'!$B$13,ROUND(E2956+B2966,2),E2956))</f>
        <v/>
      </c>
    </row>
    <row r="2957">
      <c r="A2957" t="inlineStr">
        <is>
          <t>Misc Charges 杂项费用</t>
        </is>
      </c>
      <c r="B2957" s="6">
        <f>IF($B2955="","",'Daily Sale entry '!C213)</f>
        <v/>
      </c>
      <c r="D2957" t="inlineStr">
        <is>
          <t>cash collection 现金收款</t>
        </is>
      </c>
      <c r="E2957" s="6">
        <f>IF($B2955="","",'Daily Sale entry '!H213)</f>
        <v/>
      </c>
      <c r="H2957" t="inlineStr">
        <is>
          <t>Misc Charges 杂项费用</t>
        </is>
      </c>
      <c r="I2957" s="6">
        <f>IF($B2955="","",IF(AND(ABS(B2966)&gt;'Opening Balance'!$B$13,B2966&gt;0),ROUND(B2957+B2966,2),B2957))</f>
        <v/>
      </c>
      <c r="K2957" t="inlineStr">
        <is>
          <t>cash collection 现金收款</t>
        </is>
      </c>
      <c r="L2957" s="6">
        <f>IF($B2955="","",E2957)</f>
        <v/>
      </c>
    </row>
    <row r="2958">
      <c r="A2958" s="1" t="inlineStr">
        <is>
          <t>Other Charges 其他费用</t>
        </is>
      </c>
      <c r="B2958" s="9">
        <f>IF($B2955="","",'Daily Sale entry '!D213)</f>
        <v/>
      </c>
      <c r="D2958" s="1" t="inlineStr">
        <is>
          <t>Cheque Collection 支票收款</t>
        </is>
      </c>
      <c r="E2958" s="9">
        <f>IF($B2955="","",'Daily Sale entry '!J213)</f>
        <v/>
      </c>
      <c r="H2958" s="1" t="inlineStr">
        <is>
          <t>Other Charges 其他费用</t>
        </is>
      </c>
      <c r="I2958" s="9">
        <f>IF($B2955="","",B2958)</f>
        <v/>
      </c>
      <c r="K2958" s="1" t="inlineStr">
        <is>
          <t>Cheque Collection 支票收款</t>
        </is>
      </c>
      <c r="L2958" s="9">
        <f>IF($B2955="","",E2958)</f>
        <v/>
      </c>
    </row>
    <row r="2959">
      <c r="A2959" s="10" t="inlineStr">
        <is>
          <t>Amount 金额  (Cash Sales - Misc - Other)</t>
        </is>
      </c>
      <c r="B2959" s="11">
        <f>IF($B2955="","",ROUND(B2956-B2957-B2958,2))</f>
        <v/>
      </c>
      <c r="D2959" s="12" t="inlineStr">
        <is>
          <t>TNG collection TNG收款</t>
        </is>
      </c>
      <c r="E2959" s="13">
        <f>IF($B2955="","",'Daily Sale entry '!K213)</f>
        <v/>
      </c>
      <c r="H2959" s="10" t="inlineStr">
        <is>
          <t>Amount 金额  (Cash Sales - Misc - Other)</t>
        </is>
      </c>
      <c r="I2959" s="11">
        <f>IF($B2955="","",ROUND(I2956-I2957-I2958,2))</f>
        <v/>
      </c>
      <c r="K2959" s="12" t="inlineStr">
        <is>
          <t>TNG collection TNG收款</t>
        </is>
      </c>
      <c r="L2959" s="13">
        <f>IF($B2955="","",E2959)</f>
        <v/>
      </c>
    </row>
    <row r="2960">
      <c r="A2960" t="inlineStr">
        <is>
          <t>Credit Collection 赊账收款</t>
        </is>
      </c>
      <c r="B2960" s="6">
        <f>IF($B2955="","",'Daily Sale entry '!E213)</f>
        <v/>
      </c>
      <c r="D2960" t="inlineStr">
        <is>
          <t>Advance Salary_M 预支薪水_M</t>
        </is>
      </c>
      <c r="E2960" s="6">
        <f>IF($B2955="","",'Daily Sale entry '!L213)</f>
        <v/>
      </c>
      <c r="H2960" t="inlineStr">
        <is>
          <t>Credit Collection 赊账收款</t>
        </is>
      </c>
      <c r="I2960" s="6">
        <f>IF($B2955="","",B2960)</f>
        <v/>
      </c>
      <c r="K2960" t="inlineStr">
        <is>
          <t>Advance Salary_M 预支薪水_M</t>
        </is>
      </c>
      <c r="L2960" s="6">
        <f>IF($B2955="","",E2960)</f>
        <v/>
      </c>
    </row>
    <row r="2961">
      <c r="A2961" s="10" t="inlineStr">
        <is>
          <t>Amount 2 金额2  (Amount + Credit Collection)</t>
        </is>
      </c>
      <c r="B2961" s="11">
        <f>IF($B2955="","",ROUND(B2959+B2960,2))</f>
        <v/>
      </c>
      <c r="D2961" t="inlineStr">
        <is>
          <t>Advance Salary_H 预支薪水_H</t>
        </is>
      </c>
      <c r="E2961" s="6">
        <f>IF($B2955="","",'Daily Sale entry '!M213)</f>
        <v/>
      </c>
      <c r="H2961" s="10" t="inlineStr">
        <is>
          <t>Amount 2 金额2  (Amount + Credit Collection)</t>
        </is>
      </c>
      <c r="I2961" s="11">
        <f>IF($B2955="","",ROUND(I2959+I2960,2))</f>
        <v/>
      </c>
      <c r="K2961" t="inlineStr">
        <is>
          <t>Advance Salary_H 预支薪水_H</t>
        </is>
      </c>
      <c r="L2961" s="6">
        <f>IF($B2955="","",E2961)</f>
        <v/>
      </c>
    </row>
    <row r="2962"/>
    <row r="2963">
      <c r="A2963" s="1" t="inlineStr">
        <is>
          <t>b/f petty cash 上日备用金结转</t>
        </is>
      </c>
      <c r="B2963" s="9">
        <f>IF($B2955="","",'Daily Sale entry '!F213)</f>
        <v/>
      </c>
      <c r="D2963" s="1" t="n"/>
      <c r="E2963" s="1" t="n"/>
      <c r="H2963" s="1" t="inlineStr">
        <is>
          <t>b/f petty cash 上日备用金结转</t>
        </is>
      </c>
      <c r="I2963" s="9">
        <f>IF($B2955="","",B2963)</f>
        <v/>
      </c>
      <c r="K2963" s="1" t="n"/>
      <c r="L2963" s="1" t="n"/>
    </row>
    <row r="2964">
      <c r="A2964" t="inlineStr">
        <is>
          <t>Total (A) 总计 (A)</t>
        </is>
      </c>
      <c r="B2964" s="6">
        <f>IF($B2955="","",ROUND(B2961+B2963,2))</f>
        <v/>
      </c>
      <c r="D2964" t="inlineStr">
        <is>
          <t>Total(B) 总计 (B)</t>
        </is>
      </c>
      <c r="E2964" s="6">
        <f>IF($B2955="","",ROUND(E2956+E2957+E2958+E2959+E2960+E2961,2))</f>
        <v/>
      </c>
      <c r="H2964" t="inlineStr">
        <is>
          <t>Total© 总计 (C)</t>
        </is>
      </c>
      <c r="I2964" s="6">
        <f>IF($B2955="","",ROUND(I2961+I2963,2))</f>
        <v/>
      </c>
      <c r="K2964" t="inlineStr">
        <is>
          <t>Total(D) 总计 (D)</t>
        </is>
      </c>
      <c r="L2964" s="6">
        <f>IF($B2955="","",ROUND(L2956+L2957+L2958+L2959+L2960+L2961,2))</f>
        <v/>
      </c>
    </row>
    <row r="2965">
      <c r="A2965" s="14" t="inlineStr">
        <is>
          <t>Total = Amount 2 + b/f petty cash  (金额2 + 上日备用金)</t>
        </is>
      </c>
      <c r="H2965" s="14" t="inlineStr">
        <is>
          <t>Total = Amount 2 + b/f petty cash  (金额2 + 上日备用金)</t>
        </is>
      </c>
    </row>
    <row r="2966">
      <c r="A2966" t="inlineStr">
        <is>
          <t>Different 差额</t>
        </is>
      </c>
      <c r="B2966" s="6">
        <f>IF($B2955="","",ROUND(B2964-E2964,2))</f>
        <v/>
      </c>
      <c r="D2966">
        <f>IF($B2955="","",IF(ABS(B2966)&gt;'Opening Balance'!$B$16,"ALERT 警报: Different over RM"&amp;'Opening Balance'!$B$16&amp;" 差额超过RM"&amp;'Opening Balance'!$B$16&amp;" - please check 请检查",IF(B2966=0,"Tied 平衡",IF(ABS(B2966)&lt;='Opening Balance'!$B$13,"Small difference 小额差额: adjusted on c/f petty cash 已调整备用金",IF(B2966&gt;0,"Short 短收: added to Misc Charges 已加入杂项费用","Over 多收: added to Cash Sales 已加入现金销售")))))</f>
        <v/>
      </c>
      <c r="H2966" t="inlineStr">
        <is>
          <t>Different 差额</t>
        </is>
      </c>
      <c r="I2966" s="6">
        <f>IF($B2955="","",ROUND(I2964-L2964,2))</f>
        <v/>
      </c>
    </row>
    <row r="2967"/>
    <row r="2968"/>
    <row r="2969">
      <c r="A2969" t="inlineStr">
        <is>
          <t>Date 日期</t>
        </is>
      </c>
      <c r="B2969" s="5">
        <f>IF('Daily Sale entry '!$A214="","",'Daily Sale entry '!$A214)</f>
        <v/>
      </c>
      <c r="H2969" t="inlineStr">
        <is>
          <t>After 调整后 (After)</t>
        </is>
      </c>
      <c r="I2969" s="5">
        <f>IF($B2969="","",B2969)</f>
        <v/>
      </c>
    </row>
    <row r="2970">
      <c r="A2970" t="inlineStr">
        <is>
          <t>Cash Sales 现金销售</t>
        </is>
      </c>
      <c r="B2970" s="6">
        <f>IF($B2969="","",'Daily Sale entry '!B214)</f>
        <v/>
      </c>
      <c r="D2970" t="inlineStr">
        <is>
          <t>c/f petty cash 今日备用金结转</t>
        </is>
      </c>
      <c r="E2970" s="6">
        <f>IF($B2969="","",'Daily Sale entry '!G214)</f>
        <v/>
      </c>
      <c r="H2970" t="inlineStr">
        <is>
          <t>Cash Sales 现金销售</t>
        </is>
      </c>
      <c r="I2970" s="6">
        <f>IF($B2969="","",IF(AND(ABS(B2980)&gt;'Opening Balance'!$B$13,B2980&lt;0),ROUND(B2970-B2980,2),B2970))</f>
        <v/>
      </c>
      <c r="K2970" t="inlineStr">
        <is>
          <t>c/f petty cash 今日备用金结转</t>
        </is>
      </c>
      <c r="L2970" s="6">
        <f>IF($B2969="","",IF(ABS(B2980)&lt;='Opening Balance'!$B$13,ROUND(E2970+B2980,2),E2970))</f>
        <v/>
      </c>
    </row>
    <row r="2971">
      <c r="A2971" t="inlineStr">
        <is>
          <t>Misc Charges 杂项费用</t>
        </is>
      </c>
      <c r="B2971" s="6">
        <f>IF($B2969="","",'Daily Sale entry '!C214)</f>
        <v/>
      </c>
      <c r="D2971" t="inlineStr">
        <is>
          <t>cash collection 现金收款</t>
        </is>
      </c>
      <c r="E2971" s="6">
        <f>IF($B2969="","",'Daily Sale entry '!H214)</f>
        <v/>
      </c>
      <c r="H2971" t="inlineStr">
        <is>
          <t>Misc Charges 杂项费用</t>
        </is>
      </c>
      <c r="I2971" s="6">
        <f>IF($B2969="","",IF(AND(ABS(B2980)&gt;'Opening Balance'!$B$13,B2980&gt;0),ROUND(B2971+B2980,2),B2971))</f>
        <v/>
      </c>
      <c r="K2971" t="inlineStr">
        <is>
          <t>cash collection 现金收款</t>
        </is>
      </c>
      <c r="L2971" s="6">
        <f>IF($B2969="","",E2971)</f>
        <v/>
      </c>
    </row>
    <row r="2972">
      <c r="A2972" s="1" t="inlineStr">
        <is>
          <t>Other Charges 其他费用</t>
        </is>
      </c>
      <c r="B2972" s="9">
        <f>IF($B2969="","",'Daily Sale entry '!D214)</f>
        <v/>
      </c>
      <c r="D2972" s="1" t="inlineStr">
        <is>
          <t>Cheque Collection 支票收款</t>
        </is>
      </c>
      <c r="E2972" s="9">
        <f>IF($B2969="","",'Daily Sale entry '!J214)</f>
        <v/>
      </c>
      <c r="H2972" s="1" t="inlineStr">
        <is>
          <t>Other Charges 其他费用</t>
        </is>
      </c>
      <c r="I2972" s="9">
        <f>IF($B2969="","",B2972)</f>
        <v/>
      </c>
      <c r="K2972" s="1" t="inlineStr">
        <is>
          <t>Cheque Collection 支票收款</t>
        </is>
      </c>
      <c r="L2972" s="9">
        <f>IF($B2969="","",E2972)</f>
        <v/>
      </c>
    </row>
    <row r="2973">
      <c r="A2973" s="10" t="inlineStr">
        <is>
          <t>Amount 金额  (Cash Sales - Misc - Other)</t>
        </is>
      </c>
      <c r="B2973" s="11">
        <f>IF($B2969="","",ROUND(B2970-B2971-B2972,2))</f>
        <v/>
      </c>
      <c r="D2973" s="12" t="inlineStr">
        <is>
          <t>TNG collection TNG收款</t>
        </is>
      </c>
      <c r="E2973" s="13">
        <f>IF($B2969="","",'Daily Sale entry '!K214)</f>
        <v/>
      </c>
      <c r="H2973" s="10" t="inlineStr">
        <is>
          <t>Amount 金额  (Cash Sales - Misc - Other)</t>
        </is>
      </c>
      <c r="I2973" s="11">
        <f>IF($B2969="","",ROUND(I2970-I2971-I2972,2))</f>
        <v/>
      </c>
      <c r="K2973" s="12" t="inlineStr">
        <is>
          <t>TNG collection TNG收款</t>
        </is>
      </c>
      <c r="L2973" s="13">
        <f>IF($B2969="","",E2973)</f>
        <v/>
      </c>
    </row>
    <row r="2974">
      <c r="A2974" t="inlineStr">
        <is>
          <t>Credit Collection 赊账收款</t>
        </is>
      </c>
      <c r="B2974" s="6">
        <f>IF($B2969="","",'Daily Sale entry '!E214)</f>
        <v/>
      </c>
      <c r="D2974" t="inlineStr">
        <is>
          <t>Advance Salary_M 预支薪水_M</t>
        </is>
      </c>
      <c r="E2974" s="6">
        <f>IF($B2969="","",'Daily Sale entry '!L214)</f>
        <v/>
      </c>
      <c r="H2974" t="inlineStr">
        <is>
          <t>Credit Collection 赊账收款</t>
        </is>
      </c>
      <c r="I2974" s="6">
        <f>IF($B2969="","",B2974)</f>
        <v/>
      </c>
      <c r="K2974" t="inlineStr">
        <is>
          <t>Advance Salary_M 预支薪水_M</t>
        </is>
      </c>
      <c r="L2974" s="6">
        <f>IF($B2969="","",E2974)</f>
        <v/>
      </c>
    </row>
    <row r="2975">
      <c r="A2975" s="10" t="inlineStr">
        <is>
          <t>Amount 2 金额2  (Amount + Credit Collection)</t>
        </is>
      </c>
      <c r="B2975" s="11">
        <f>IF($B2969="","",ROUND(B2973+B2974,2))</f>
        <v/>
      </c>
      <c r="D2975" t="inlineStr">
        <is>
          <t>Advance Salary_H 预支薪水_H</t>
        </is>
      </c>
      <c r="E2975" s="6">
        <f>IF($B2969="","",'Daily Sale entry '!M214)</f>
        <v/>
      </c>
      <c r="H2975" s="10" t="inlineStr">
        <is>
          <t>Amount 2 金额2  (Amount + Credit Collection)</t>
        </is>
      </c>
      <c r="I2975" s="11">
        <f>IF($B2969="","",ROUND(I2973+I2974,2))</f>
        <v/>
      </c>
      <c r="K2975" t="inlineStr">
        <is>
          <t>Advance Salary_H 预支薪水_H</t>
        </is>
      </c>
      <c r="L2975" s="6">
        <f>IF($B2969="","",E2975)</f>
        <v/>
      </c>
    </row>
    <row r="2976"/>
    <row r="2977">
      <c r="A2977" s="1" t="inlineStr">
        <is>
          <t>b/f petty cash 上日备用金结转</t>
        </is>
      </c>
      <c r="B2977" s="9">
        <f>IF($B2969="","",'Daily Sale entry '!F214)</f>
        <v/>
      </c>
      <c r="D2977" s="1" t="n"/>
      <c r="E2977" s="1" t="n"/>
      <c r="H2977" s="1" t="inlineStr">
        <is>
          <t>b/f petty cash 上日备用金结转</t>
        </is>
      </c>
      <c r="I2977" s="9">
        <f>IF($B2969="","",B2977)</f>
        <v/>
      </c>
      <c r="K2977" s="1" t="n"/>
      <c r="L2977" s="1" t="n"/>
    </row>
    <row r="2978">
      <c r="A2978" t="inlineStr">
        <is>
          <t>Total (A) 总计 (A)</t>
        </is>
      </c>
      <c r="B2978" s="6">
        <f>IF($B2969="","",ROUND(B2975+B2977,2))</f>
        <v/>
      </c>
      <c r="D2978" t="inlineStr">
        <is>
          <t>Total(B) 总计 (B)</t>
        </is>
      </c>
      <c r="E2978" s="6">
        <f>IF($B2969="","",ROUND(E2970+E2971+E2972+E2973+E2974+E2975,2))</f>
        <v/>
      </c>
      <c r="H2978" t="inlineStr">
        <is>
          <t>Total© 总计 (C)</t>
        </is>
      </c>
      <c r="I2978" s="6">
        <f>IF($B2969="","",ROUND(I2975+I2977,2))</f>
        <v/>
      </c>
      <c r="K2978" t="inlineStr">
        <is>
          <t>Total(D) 总计 (D)</t>
        </is>
      </c>
      <c r="L2978" s="6">
        <f>IF($B2969="","",ROUND(L2970+L2971+L2972+L2973+L2974+L2975,2))</f>
        <v/>
      </c>
    </row>
    <row r="2979">
      <c r="A2979" s="14" t="inlineStr">
        <is>
          <t>Total = Amount 2 + b/f petty cash  (金额2 + 上日备用金)</t>
        </is>
      </c>
      <c r="H2979" s="14" t="inlineStr">
        <is>
          <t>Total = Amount 2 + b/f petty cash  (金额2 + 上日备用金)</t>
        </is>
      </c>
    </row>
    <row r="2980">
      <c r="A2980" t="inlineStr">
        <is>
          <t>Different 差额</t>
        </is>
      </c>
      <c r="B2980" s="6">
        <f>IF($B2969="","",ROUND(B2978-E2978,2))</f>
        <v/>
      </c>
      <c r="D2980">
        <f>IF($B2969="","",IF(ABS(B2980)&gt;'Opening Balance'!$B$16,"ALERT 警报: Different over RM"&amp;'Opening Balance'!$B$16&amp;" 差额超过RM"&amp;'Opening Balance'!$B$16&amp;" - please check 请检查",IF(B2980=0,"Tied 平衡",IF(ABS(B2980)&lt;='Opening Balance'!$B$13,"Small difference 小额差额: adjusted on c/f petty cash 已调整备用金",IF(B2980&gt;0,"Short 短收: added to Misc Charges 已加入杂项费用","Over 多收: added to Cash Sales 已加入现金销售")))))</f>
        <v/>
      </c>
      <c r="H2980" t="inlineStr">
        <is>
          <t>Different 差额</t>
        </is>
      </c>
      <c r="I2980" s="6">
        <f>IF($B2969="","",ROUND(I2978-L2978,2))</f>
        <v/>
      </c>
    </row>
    <row r="2981"/>
    <row r="2982"/>
    <row r="2983">
      <c r="A2983" t="inlineStr">
        <is>
          <t>Date 日期</t>
        </is>
      </c>
      <c r="B2983" s="5">
        <f>IF('Daily Sale entry '!$A215="","",'Daily Sale entry '!$A215)</f>
        <v/>
      </c>
      <c r="H2983" t="inlineStr">
        <is>
          <t>After 调整后 (After)</t>
        </is>
      </c>
      <c r="I2983" s="5">
        <f>IF($B2983="","",B2983)</f>
        <v/>
      </c>
    </row>
    <row r="2984">
      <c r="A2984" t="inlineStr">
        <is>
          <t>Cash Sales 现金销售</t>
        </is>
      </c>
      <c r="B2984" s="6">
        <f>IF($B2983="","",'Daily Sale entry '!B215)</f>
        <v/>
      </c>
      <c r="D2984" t="inlineStr">
        <is>
          <t>c/f petty cash 今日备用金结转</t>
        </is>
      </c>
      <c r="E2984" s="6">
        <f>IF($B2983="","",'Daily Sale entry '!G215)</f>
        <v/>
      </c>
      <c r="H2984" t="inlineStr">
        <is>
          <t>Cash Sales 现金销售</t>
        </is>
      </c>
      <c r="I2984" s="6">
        <f>IF($B2983="","",IF(AND(ABS(B2994)&gt;'Opening Balance'!$B$13,B2994&lt;0),ROUND(B2984-B2994,2),B2984))</f>
        <v/>
      </c>
      <c r="K2984" t="inlineStr">
        <is>
          <t>c/f petty cash 今日备用金结转</t>
        </is>
      </c>
      <c r="L2984" s="6">
        <f>IF($B2983="","",IF(ABS(B2994)&lt;='Opening Balance'!$B$13,ROUND(E2984+B2994,2),E2984))</f>
        <v/>
      </c>
    </row>
    <row r="2985">
      <c r="A2985" t="inlineStr">
        <is>
          <t>Misc Charges 杂项费用</t>
        </is>
      </c>
      <c r="B2985" s="6">
        <f>IF($B2983="","",'Daily Sale entry '!C215)</f>
        <v/>
      </c>
      <c r="D2985" t="inlineStr">
        <is>
          <t>cash collection 现金收款</t>
        </is>
      </c>
      <c r="E2985" s="6">
        <f>IF($B2983="","",'Daily Sale entry '!H215)</f>
        <v/>
      </c>
      <c r="H2985" t="inlineStr">
        <is>
          <t>Misc Charges 杂项费用</t>
        </is>
      </c>
      <c r="I2985" s="6">
        <f>IF($B2983="","",IF(AND(ABS(B2994)&gt;'Opening Balance'!$B$13,B2994&gt;0),ROUND(B2985+B2994,2),B2985))</f>
        <v/>
      </c>
      <c r="K2985" t="inlineStr">
        <is>
          <t>cash collection 现金收款</t>
        </is>
      </c>
      <c r="L2985" s="6">
        <f>IF($B2983="","",E2985)</f>
        <v/>
      </c>
    </row>
    <row r="2986">
      <c r="A2986" s="1" t="inlineStr">
        <is>
          <t>Other Charges 其他费用</t>
        </is>
      </c>
      <c r="B2986" s="9">
        <f>IF($B2983="","",'Daily Sale entry '!D215)</f>
        <v/>
      </c>
      <c r="D2986" s="1" t="inlineStr">
        <is>
          <t>Cheque Collection 支票收款</t>
        </is>
      </c>
      <c r="E2986" s="9">
        <f>IF($B2983="","",'Daily Sale entry '!J215)</f>
        <v/>
      </c>
      <c r="H2986" s="1" t="inlineStr">
        <is>
          <t>Other Charges 其他费用</t>
        </is>
      </c>
      <c r="I2986" s="9">
        <f>IF($B2983="","",B2986)</f>
        <v/>
      </c>
      <c r="K2986" s="1" t="inlineStr">
        <is>
          <t>Cheque Collection 支票收款</t>
        </is>
      </c>
      <c r="L2986" s="9">
        <f>IF($B2983="","",E2986)</f>
        <v/>
      </c>
    </row>
    <row r="2987">
      <c r="A2987" s="10" t="inlineStr">
        <is>
          <t>Amount 金额  (Cash Sales - Misc - Other)</t>
        </is>
      </c>
      <c r="B2987" s="11">
        <f>IF($B2983="","",ROUND(B2984-B2985-B2986,2))</f>
        <v/>
      </c>
      <c r="D2987" s="12" t="inlineStr">
        <is>
          <t>TNG collection TNG收款</t>
        </is>
      </c>
      <c r="E2987" s="13">
        <f>IF($B2983="","",'Daily Sale entry '!K215)</f>
        <v/>
      </c>
      <c r="H2987" s="10" t="inlineStr">
        <is>
          <t>Amount 金额  (Cash Sales - Misc - Other)</t>
        </is>
      </c>
      <c r="I2987" s="11">
        <f>IF($B2983="","",ROUND(I2984-I2985-I2986,2))</f>
        <v/>
      </c>
      <c r="K2987" s="12" t="inlineStr">
        <is>
          <t>TNG collection TNG收款</t>
        </is>
      </c>
      <c r="L2987" s="13">
        <f>IF($B2983="","",E2987)</f>
        <v/>
      </c>
    </row>
    <row r="2988">
      <c r="A2988" t="inlineStr">
        <is>
          <t>Credit Collection 赊账收款</t>
        </is>
      </c>
      <c r="B2988" s="6">
        <f>IF($B2983="","",'Daily Sale entry '!E215)</f>
        <v/>
      </c>
      <c r="D2988" t="inlineStr">
        <is>
          <t>Advance Salary_M 预支薪水_M</t>
        </is>
      </c>
      <c r="E2988" s="6">
        <f>IF($B2983="","",'Daily Sale entry '!L215)</f>
        <v/>
      </c>
      <c r="H2988" t="inlineStr">
        <is>
          <t>Credit Collection 赊账收款</t>
        </is>
      </c>
      <c r="I2988" s="6">
        <f>IF($B2983="","",B2988)</f>
        <v/>
      </c>
      <c r="K2988" t="inlineStr">
        <is>
          <t>Advance Salary_M 预支薪水_M</t>
        </is>
      </c>
      <c r="L2988" s="6">
        <f>IF($B2983="","",E2988)</f>
        <v/>
      </c>
    </row>
    <row r="2989">
      <c r="A2989" s="10" t="inlineStr">
        <is>
          <t>Amount 2 金额2  (Amount + Credit Collection)</t>
        </is>
      </c>
      <c r="B2989" s="11">
        <f>IF($B2983="","",ROUND(B2987+B2988,2))</f>
        <v/>
      </c>
      <c r="D2989" t="inlineStr">
        <is>
          <t>Advance Salary_H 预支薪水_H</t>
        </is>
      </c>
      <c r="E2989" s="6">
        <f>IF($B2983="","",'Daily Sale entry '!M215)</f>
        <v/>
      </c>
      <c r="H2989" s="10" t="inlineStr">
        <is>
          <t>Amount 2 金额2  (Amount + Credit Collection)</t>
        </is>
      </c>
      <c r="I2989" s="11">
        <f>IF($B2983="","",ROUND(I2987+I2988,2))</f>
        <v/>
      </c>
      <c r="K2989" t="inlineStr">
        <is>
          <t>Advance Salary_H 预支薪水_H</t>
        </is>
      </c>
      <c r="L2989" s="6">
        <f>IF($B2983="","",E2989)</f>
        <v/>
      </c>
    </row>
    <row r="2990"/>
    <row r="2991">
      <c r="A2991" s="1" t="inlineStr">
        <is>
          <t>b/f petty cash 上日备用金结转</t>
        </is>
      </c>
      <c r="B2991" s="9">
        <f>IF($B2983="","",'Daily Sale entry '!F215)</f>
        <v/>
      </c>
      <c r="D2991" s="1" t="n"/>
      <c r="E2991" s="1" t="n"/>
      <c r="H2991" s="1" t="inlineStr">
        <is>
          <t>b/f petty cash 上日备用金结转</t>
        </is>
      </c>
      <c r="I2991" s="9">
        <f>IF($B2983="","",B2991)</f>
        <v/>
      </c>
      <c r="K2991" s="1" t="n"/>
      <c r="L2991" s="1" t="n"/>
    </row>
    <row r="2992">
      <c r="A2992" t="inlineStr">
        <is>
          <t>Total (A) 总计 (A)</t>
        </is>
      </c>
      <c r="B2992" s="6">
        <f>IF($B2983="","",ROUND(B2989+B2991,2))</f>
        <v/>
      </c>
      <c r="D2992" t="inlineStr">
        <is>
          <t>Total(B) 总计 (B)</t>
        </is>
      </c>
      <c r="E2992" s="6">
        <f>IF($B2983="","",ROUND(E2984+E2985+E2986+E2987+E2988+E2989,2))</f>
        <v/>
      </c>
      <c r="H2992" t="inlineStr">
        <is>
          <t>Total© 总计 (C)</t>
        </is>
      </c>
      <c r="I2992" s="6">
        <f>IF($B2983="","",ROUND(I2989+I2991,2))</f>
        <v/>
      </c>
      <c r="K2992" t="inlineStr">
        <is>
          <t>Total(D) 总计 (D)</t>
        </is>
      </c>
      <c r="L2992" s="6">
        <f>IF($B2983="","",ROUND(L2984+L2985+L2986+L2987+L2988+L2989,2))</f>
        <v/>
      </c>
    </row>
    <row r="2993">
      <c r="A2993" s="14" t="inlineStr">
        <is>
          <t>Total = Amount 2 + b/f petty cash  (金额2 + 上日备用金)</t>
        </is>
      </c>
      <c r="H2993" s="14" t="inlineStr">
        <is>
          <t>Total = Amount 2 + b/f petty cash  (金额2 + 上日备用金)</t>
        </is>
      </c>
    </row>
    <row r="2994">
      <c r="A2994" t="inlineStr">
        <is>
          <t>Different 差额</t>
        </is>
      </c>
      <c r="B2994" s="6">
        <f>IF($B2983="","",ROUND(B2992-E2992,2))</f>
        <v/>
      </c>
      <c r="D2994">
        <f>IF($B2983="","",IF(ABS(B2994)&gt;'Opening Balance'!$B$16,"ALERT 警报: Different over RM"&amp;'Opening Balance'!$B$16&amp;" 差额超过RM"&amp;'Opening Balance'!$B$16&amp;" - please check 请检查",IF(B2994=0,"Tied 平衡",IF(ABS(B2994)&lt;='Opening Balance'!$B$13,"Small difference 小额差额: adjusted on c/f petty cash 已调整备用金",IF(B2994&gt;0,"Short 短收: added to Misc Charges 已加入杂项费用","Over 多收: added to Cash Sales 已加入现金销售")))))</f>
        <v/>
      </c>
      <c r="H2994" t="inlineStr">
        <is>
          <t>Different 差额</t>
        </is>
      </c>
      <c r="I2994" s="6">
        <f>IF($B2983="","",ROUND(I2992-L2992,2))</f>
        <v/>
      </c>
    </row>
    <row r="2995"/>
    <row r="2996"/>
    <row r="2997">
      <c r="A2997" t="inlineStr">
        <is>
          <t>Date 日期</t>
        </is>
      </c>
      <c r="B2997" s="5">
        <f>IF('Daily Sale entry '!$A216="","",'Daily Sale entry '!$A216)</f>
        <v/>
      </c>
      <c r="H2997" t="inlineStr">
        <is>
          <t>After 调整后 (After)</t>
        </is>
      </c>
      <c r="I2997" s="5">
        <f>IF($B2997="","",B2997)</f>
        <v/>
      </c>
    </row>
    <row r="2998">
      <c r="A2998" t="inlineStr">
        <is>
          <t>Cash Sales 现金销售</t>
        </is>
      </c>
      <c r="B2998" s="6">
        <f>IF($B2997="","",'Daily Sale entry '!B216)</f>
        <v/>
      </c>
      <c r="D2998" t="inlineStr">
        <is>
          <t>c/f petty cash 今日备用金结转</t>
        </is>
      </c>
      <c r="E2998" s="6">
        <f>IF($B2997="","",'Daily Sale entry '!G216)</f>
        <v/>
      </c>
      <c r="H2998" t="inlineStr">
        <is>
          <t>Cash Sales 现金销售</t>
        </is>
      </c>
      <c r="I2998" s="6">
        <f>IF($B2997="","",IF(AND(ABS(B3008)&gt;'Opening Balance'!$B$13,B3008&lt;0),ROUND(B2998-B3008,2),B2998))</f>
        <v/>
      </c>
      <c r="K2998" t="inlineStr">
        <is>
          <t>c/f petty cash 今日备用金结转</t>
        </is>
      </c>
      <c r="L2998" s="6">
        <f>IF($B2997="","",IF(ABS(B3008)&lt;='Opening Balance'!$B$13,ROUND(E2998+B3008,2),E2998))</f>
        <v/>
      </c>
    </row>
    <row r="2999">
      <c r="A2999" t="inlineStr">
        <is>
          <t>Misc Charges 杂项费用</t>
        </is>
      </c>
      <c r="B2999" s="6">
        <f>IF($B2997="","",'Daily Sale entry '!C216)</f>
        <v/>
      </c>
      <c r="D2999" t="inlineStr">
        <is>
          <t>cash collection 现金收款</t>
        </is>
      </c>
      <c r="E2999" s="6">
        <f>IF($B2997="","",'Daily Sale entry '!H216)</f>
        <v/>
      </c>
      <c r="H2999" t="inlineStr">
        <is>
          <t>Misc Charges 杂项费用</t>
        </is>
      </c>
      <c r="I2999" s="6">
        <f>IF($B2997="","",IF(AND(ABS(B3008)&gt;'Opening Balance'!$B$13,B3008&gt;0),ROUND(B2999+B3008,2),B2999))</f>
        <v/>
      </c>
      <c r="K2999" t="inlineStr">
        <is>
          <t>cash collection 现金收款</t>
        </is>
      </c>
      <c r="L2999" s="6">
        <f>IF($B2997="","",E2999)</f>
        <v/>
      </c>
    </row>
    <row r="3000">
      <c r="A3000" s="1" t="inlineStr">
        <is>
          <t>Other Charges 其他费用</t>
        </is>
      </c>
      <c r="B3000" s="9">
        <f>IF($B2997="","",'Daily Sale entry '!D216)</f>
        <v/>
      </c>
      <c r="D3000" s="1" t="inlineStr">
        <is>
          <t>Cheque Collection 支票收款</t>
        </is>
      </c>
      <c r="E3000" s="9">
        <f>IF($B2997="","",'Daily Sale entry '!J216)</f>
        <v/>
      </c>
      <c r="H3000" s="1" t="inlineStr">
        <is>
          <t>Other Charges 其他费用</t>
        </is>
      </c>
      <c r="I3000" s="9">
        <f>IF($B2997="","",B3000)</f>
        <v/>
      </c>
      <c r="K3000" s="1" t="inlineStr">
        <is>
          <t>Cheque Collection 支票收款</t>
        </is>
      </c>
      <c r="L3000" s="9">
        <f>IF($B2997="","",E3000)</f>
        <v/>
      </c>
    </row>
    <row r="3001">
      <c r="A3001" s="10" t="inlineStr">
        <is>
          <t>Amount 金额  (Cash Sales - Misc - Other)</t>
        </is>
      </c>
      <c r="B3001" s="11">
        <f>IF($B2997="","",ROUND(B2998-B2999-B3000,2))</f>
        <v/>
      </c>
      <c r="D3001" s="12" t="inlineStr">
        <is>
          <t>TNG collection TNG收款</t>
        </is>
      </c>
      <c r="E3001" s="13">
        <f>IF($B2997="","",'Daily Sale entry '!K216)</f>
        <v/>
      </c>
      <c r="H3001" s="10" t="inlineStr">
        <is>
          <t>Amount 金额  (Cash Sales - Misc - Other)</t>
        </is>
      </c>
      <c r="I3001" s="11">
        <f>IF($B2997="","",ROUND(I2998-I2999-I3000,2))</f>
        <v/>
      </c>
      <c r="K3001" s="12" t="inlineStr">
        <is>
          <t>TNG collection TNG收款</t>
        </is>
      </c>
      <c r="L3001" s="13">
        <f>IF($B2997="","",E3001)</f>
        <v/>
      </c>
    </row>
    <row r="3002">
      <c r="A3002" t="inlineStr">
        <is>
          <t>Credit Collection 赊账收款</t>
        </is>
      </c>
      <c r="B3002" s="6">
        <f>IF($B2997="","",'Daily Sale entry '!E216)</f>
        <v/>
      </c>
      <c r="D3002" t="inlineStr">
        <is>
          <t>Advance Salary_M 预支薪水_M</t>
        </is>
      </c>
      <c r="E3002" s="6">
        <f>IF($B2997="","",'Daily Sale entry '!L216)</f>
        <v/>
      </c>
      <c r="H3002" t="inlineStr">
        <is>
          <t>Credit Collection 赊账收款</t>
        </is>
      </c>
      <c r="I3002" s="6">
        <f>IF($B2997="","",B3002)</f>
        <v/>
      </c>
      <c r="K3002" t="inlineStr">
        <is>
          <t>Advance Salary_M 预支薪水_M</t>
        </is>
      </c>
      <c r="L3002" s="6">
        <f>IF($B2997="","",E3002)</f>
        <v/>
      </c>
    </row>
    <row r="3003">
      <c r="A3003" s="10" t="inlineStr">
        <is>
          <t>Amount 2 金额2  (Amount + Credit Collection)</t>
        </is>
      </c>
      <c r="B3003" s="11">
        <f>IF($B2997="","",ROUND(B3001+B3002,2))</f>
        <v/>
      </c>
      <c r="D3003" t="inlineStr">
        <is>
          <t>Advance Salary_H 预支薪水_H</t>
        </is>
      </c>
      <c r="E3003" s="6">
        <f>IF($B2997="","",'Daily Sale entry '!M216)</f>
        <v/>
      </c>
      <c r="H3003" s="10" t="inlineStr">
        <is>
          <t>Amount 2 金额2  (Amount + Credit Collection)</t>
        </is>
      </c>
      <c r="I3003" s="11">
        <f>IF($B2997="","",ROUND(I3001+I3002,2))</f>
        <v/>
      </c>
      <c r="K3003" t="inlineStr">
        <is>
          <t>Advance Salary_H 预支薪水_H</t>
        </is>
      </c>
      <c r="L3003" s="6">
        <f>IF($B2997="","",E3003)</f>
        <v/>
      </c>
    </row>
    <row r="3004"/>
    <row r="3005">
      <c r="A3005" s="1" t="inlineStr">
        <is>
          <t>b/f petty cash 上日备用金结转</t>
        </is>
      </c>
      <c r="B3005" s="9">
        <f>IF($B2997="","",'Daily Sale entry '!F216)</f>
        <v/>
      </c>
      <c r="D3005" s="1" t="n"/>
      <c r="E3005" s="1" t="n"/>
      <c r="H3005" s="1" t="inlineStr">
        <is>
          <t>b/f petty cash 上日备用金结转</t>
        </is>
      </c>
      <c r="I3005" s="9">
        <f>IF($B2997="","",B3005)</f>
        <v/>
      </c>
      <c r="K3005" s="1" t="n"/>
      <c r="L3005" s="1" t="n"/>
    </row>
    <row r="3006">
      <c r="A3006" t="inlineStr">
        <is>
          <t>Total (A) 总计 (A)</t>
        </is>
      </c>
      <c r="B3006" s="6">
        <f>IF($B2997="","",ROUND(B3003+B3005,2))</f>
        <v/>
      </c>
      <c r="D3006" t="inlineStr">
        <is>
          <t>Total(B) 总计 (B)</t>
        </is>
      </c>
      <c r="E3006" s="6">
        <f>IF($B2997="","",ROUND(E2998+E2999+E3000+E3001+E3002+E3003,2))</f>
        <v/>
      </c>
      <c r="H3006" t="inlineStr">
        <is>
          <t>Total© 总计 (C)</t>
        </is>
      </c>
      <c r="I3006" s="6">
        <f>IF($B2997="","",ROUND(I3003+I3005,2))</f>
        <v/>
      </c>
      <c r="K3006" t="inlineStr">
        <is>
          <t>Total(D) 总计 (D)</t>
        </is>
      </c>
      <c r="L3006" s="6">
        <f>IF($B2997="","",ROUND(L2998+L2999+L3000+L3001+L3002+L3003,2))</f>
        <v/>
      </c>
    </row>
    <row r="3007">
      <c r="A3007" s="14" t="inlineStr">
        <is>
          <t>Total = Amount 2 + b/f petty cash  (金额2 + 上日备用金)</t>
        </is>
      </c>
      <c r="H3007" s="14" t="inlineStr">
        <is>
          <t>Total = Amount 2 + b/f petty cash  (金额2 + 上日备用金)</t>
        </is>
      </c>
    </row>
    <row r="3008">
      <c r="A3008" t="inlineStr">
        <is>
          <t>Different 差额</t>
        </is>
      </c>
      <c r="B3008" s="6">
        <f>IF($B2997="","",ROUND(B3006-E3006,2))</f>
        <v/>
      </c>
      <c r="D3008">
        <f>IF($B2997="","",IF(ABS(B3008)&gt;'Opening Balance'!$B$16,"ALERT 警报: Different over RM"&amp;'Opening Balance'!$B$16&amp;" 差额超过RM"&amp;'Opening Balance'!$B$16&amp;" - please check 请检查",IF(B3008=0,"Tied 平衡",IF(ABS(B3008)&lt;='Opening Balance'!$B$13,"Small difference 小额差额: adjusted on c/f petty cash 已调整备用金",IF(B3008&gt;0,"Short 短收: added to Misc Charges 已加入杂项费用","Over 多收: added to Cash Sales 已加入现金销售")))))</f>
        <v/>
      </c>
      <c r="H3008" t="inlineStr">
        <is>
          <t>Different 差额</t>
        </is>
      </c>
      <c r="I3008" s="6">
        <f>IF($B2997="","",ROUND(I3006-L3006,2))</f>
        <v/>
      </c>
    </row>
    <row r="3009"/>
    <row r="3010"/>
    <row r="3011">
      <c r="A3011" t="inlineStr">
        <is>
          <t>Date 日期</t>
        </is>
      </c>
      <c r="B3011" s="5">
        <f>IF('Daily Sale entry '!$A217="","",'Daily Sale entry '!$A217)</f>
        <v/>
      </c>
      <c r="H3011" t="inlineStr">
        <is>
          <t>After 调整后 (After)</t>
        </is>
      </c>
      <c r="I3011" s="5">
        <f>IF($B3011="","",B3011)</f>
        <v/>
      </c>
    </row>
    <row r="3012">
      <c r="A3012" t="inlineStr">
        <is>
          <t>Cash Sales 现金销售</t>
        </is>
      </c>
      <c r="B3012" s="6">
        <f>IF($B3011="","",'Daily Sale entry '!B217)</f>
        <v/>
      </c>
      <c r="D3012" t="inlineStr">
        <is>
          <t>c/f petty cash 今日备用金结转</t>
        </is>
      </c>
      <c r="E3012" s="6">
        <f>IF($B3011="","",'Daily Sale entry '!G217)</f>
        <v/>
      </c>
      <c r="H3012" t="inlineStr">
        <is>
          <t>Cash Sales 现金销售</t>
        </is>
      </c>
      <c r="I3012" s="6">
        <f>IF($B3011="","",IF(AND(ABS(B3022)&gt;'Opening Balance'!$B$13,B3022&lt;0),ROUND(B3012-B3022,2),B3012))</f>
        <v/>
      </c>
      <c r="K3012" t="inlineStr">
        <is>
          <t>c/f petty cash 今日备用金结转</t>
        </is>
      </c>
      <c r="L3012" s="6">
        <f>IF($B3011="","",IF(ABS(B3022)&lt;='Opening Balance'!$B$13,ROUND(E3012+B3022,2),E3012))</f>
        <v/>
      </c>
    </row>
    <row r="3013">
      <c r="A3013" t="inlineStr">
        <is>
          <t>Misc Charges 杂项费用</t>
        </is>
      </c>
      <c r="B3013" s="6">
        <f>IF($B3011="","",'Daily Sale entry '!C217)</f>
        <v/>
      </c>
      <c r="D3013" t="inlineStr">
        <is>
          <t>cash collection 现金收款</t>
        </is>
      </c>
      <c r="E3013" s="6">
        <f>IF($B3011="","",'Daily Sale entry '!H217)</f>
        <v/>
      </c>
      <c r="H3013" t="inlineStr">
        <is>
          <t>Misc Charges 杂项费用</t>
        </is>
      </c>
      <c r="I3013" s="6">
        <f>IF($B3011="","",IF(AND(ABS(B3022)&gt;'Opening Balance'!$B$13,B3022&gt;0),ROUND(B3013+B3022,2),B3013))</f>
        <v/>
      </c>
      <c r="K3013" t="inlineStr">
        <is>
          <t>cash collection 现金收款</t>
        </is>
      </c>
      <c r="L3013" s="6">
        <f>IF($B3011="","",E3013)</f>
        <v/>
      </c>
    </row>
    <row r="3014">
      <c r="A3014" s="1" t="inlineStr">
        <is>
          <t>Other Charges 其他费用</t>
        </is>
      </c>
      <c r="B3014" s="9">
        <f>IF($B3011="","",'Daily Sale entry '!D217)</f>
        <v/>
      </c>
      <c r="D3014" s="1" t="inlineStr">
        <is>
          <t>Cheque Collection 支票收款</t>
        </is>
      </c>
      <c r="E3014" s="9">
        <f>IF($B3011="","",'Daily Sale entry '!J217)</f>
        <v/>
      </c>
      <c r="H3014" s="1" t="inlineStr">
        <is>
          <t>Other Charges 其他费用</t>
        </is>
      </c>
      <c r="I3014" s="9">
        <f>IF($B3011="","",B3014)</f>
        <v/>
      </c>
      <c r="K3014" s="1" t="inlineStr">
        <is>
          <t>Cheque Collection 支票收款</t>
        </is>
      </c>
      <c r="L3014" s="9">
        <f>IF($B3011="","",E3014)</f>
        <v/>
      </c>
    </row>
    <row r="3015">
      <c r="A3015" s="10" t="inlineStr">
        <is>
          <t>Amount 金额  (Cash Sales - Misc - Other)</t>
        </is>
      </c>
      <c r="B3015" s="11">
        <f>IF($B3011="","",ROUND(B3012-B3013-B3014,2))</f>
        <v/>
      </c>
      <c r="D3015" s="12" t="inlineStr">
        <is>
          <t>TNG collection TNG收款</t>
        </is>
      </c>
      <c r="E3015" s="13">
        <f>IF($B3011="","",'Daily Sale entry '!K217)</f>
        <v/>
      </c>
      <c r="H3015" s="10" t="inlineStr">
        <is>
          <t>Amount 金额  (Cash Sales - Misc - Other)</t>
        </is>
      </c>
      <c r="I3015" s="11">
        <f>IF($B3011="","",ROUND(I3012-I3013-I3014,2))</f>
        <v/>
      </c>
      <c r="K3015" s="12" t="inlineStr">
        <is>
          <t>TNG collection TNG收款</t>
        </is>
      </c>
      <c r="L3015" s="13">
        <f>IF($B3011="","",E3015)</f>
        <v/>
      </c>
    </row>
    <row r="3016">
      <c r="A3016" t="inlineStr">
        <is>
          <t>Credit Collection 赊账收款</t>
        </is>
      </c>
      <c r="B3016" s="6">
        <f>IF($B3011="","",'Daily Sale entry '!E217)</f>
        <v/>
      </c>
      <c r="D3016" t="inlineStr">
        <is>
          <t>Advance Salary_M 预支薪水_M</t>
        </is>
      </c>
      <c r="E3016" s="6">
        <f>IF($B3011="","",'Daily Sale entry '!L217)</f>
        <v/>
      </c>
      <c r="H3016" t="inlineStr">
        <is>
          <t>Credit Collection 赊账收款</t>
        </is>
      </c>
      <c r="I3016" s="6">
        <f>IF($B3011="","",B3016)</f>
        <v/>
      </c>
      <c r="K3016" t="inlineStr">
        <is>
          <t>Advance Salary_M 预支薪水_M</t>
        </is>
      </c>
      <c r="L3016" s="6">
        <f>IF($B3011="","",E3016)</f>
        <v/>
      </c>
    </row>
    <row r="3017">
      <c r="A3017" s="10" t="inlineStr">
        <is>
          <t>Amount 2 金额2  (Amount + Credit Collection)</t>
        </is>
      </c>
      <c r="B3017" s="11">
        <f>IF($B3011="","",ROUND(B3015+B3016,2))</f>
        <v/>
      </c>
      <c r="D3017" t="inlineStr">
        <is>
          <t>Advance Salary_H 预支薪水_H</t>
        </is>
      </c>
      <c r="E3017" s="6">
        <f>IF($B3011="","",'Daily Sale entry '!M217)</f>
        <v/>
      </c>
      <c r="H3017" s="10" t="inlineStr">
        <is>
          <t>Amount 2 金额2  (Amount + Credit Collection)</t>
        </is>
      </c>
      <c r="I3017" s="11">
        <f>IF($B3011="","",ROUND(I3015+I3016,2))</f>
        <v/>
      </c>
      <c r="K3017" t="inlineStr">
        <is>
          <t>Advance Salary_H 预支薪水_H</t>
        </is>
      </c>
      <c r="L3017" s="6">
        <f>IF($B3011="","",E3017)</f>
        <v/>
      </c>
    </row>
    <row r="3018"/>
    <row r="3019">
      <c r="A3019" s="1" t="inlineStr">
        <is>
          <t>b/f petty cash 上日备用金结转</t>
        </is>
      </c>
      <c r="B3019" s="9">
        <f>IF($B3011="","",'Daily Sale entry '!F217)</f>
        <v/>
      </c>
      <c r="D3019" s="1" t="n"/>
      <c r="E3019" s="1" t="n"/>
      <c r="H3019" s="1" t="inlineStr">
        <is>
          <t>b/f petty cash 上日备用金结转</t>
        </is>
      </c>
      <c r="I3019" s="9">
        <f>IF($B3011="","",B3019)</f>
        <v/>
      </c>
      <c r="K3019" s="1" t="n"/>
      <c r="L3019" s="1" t="n"/>
    </row>
    <row r="3020">
      <c r="A3020" t="inlineStr">
        <is>
          <t>Total (A) 总计 (A)</t>
        </is>
      </c>
      <c r="B3020" s="6">
        <f>IF($B3011="","",ROUND(B3017+B3019,2))</f>
        <v/>
      </c>
      <c r="D3020" t="inlineStr">
        <is>
          <t>Total(B) 总计 (B)</t>
        </is>
      </c>
      <c r="E3020" s="6">
        <f>IF($B3011="","",ROUND(E3012+E3013+E3014+E3015+E3016+E3017,2))</f>
        <v/>
      </c>
      <c r="H3020" t="inlineStr">
        <is>
          <t>Total© 总计 (C)</t>
        </is>
      </c>
      <c r="I3020" s="6">
        <f>IF($B3011="","",ROUND(I3017+I3019,2))</f>
        <v/>
      </c>
      <c r="K3020" t="inlineStr">
        <is>
          <t>Total(D) 总计 (D)</t>
        </is>
      </c>
      <c r="L3020" s="6">
        <f>IF($B3011="","",ROUND(L3012+L3013+L3014+L3015+L3016+L3017,2))</f>
        <v/>
      </c>
    </row>
    <row r="3021">
      <c r="A3021" s="14" t="inlineStr">
        <is>
          <t>Total = Amount 2 + b/f petty cash  (金额2 + 上日备用金)</t>
        </is>
      </c>
      <c r="H3021" s="14" t="inlineStr">
        <is>
          <t>Total = Amount 2 + b/f petty cash  (金额2 + 上日备用金)</t>
        </is>
      </c>
    </row>
    <row r="3022">
      <c r="A3022" t="inlineStr">
        <is>
          <t>Different 差额</t>
        </is>
      </c>
      <c r="B3022" s="6">
        <f>IF($B3011="","",ROUND(B3020-E3020,2))</f>
        <v/>
      </c>
      <c r="D3022">
        <f>IF($B3011="","",IF(ABS(B3022)&gt;'Opening Balance'!$B$16,"ALERT 警报: Different over RM"&amp;'Opening Balance'!$B$16&amp;" 差额超过RM"&amp;'Opening Balance'!$B$16&amp;" - please check 请检查",IF(B3022=0,"Tied 平衡",IF(ABS(B3022)&lt;='Opening Balance'!$B$13,"Small difference 小额差额: adjusted on c/f petty cash 已调整备用金",IF(B3022&gt;0,"Short 短收: added to Misc Charges 已加入杂项费用","Over 多收: added to Cash Sales 已加入现金销售")))))</f>
        <v/>
      </c>
      <c r="H3022" t="inlineStr">
        <is>
          <t>Different 差额</t>
        </is>
      </c>
      <c r="I3022" s="6">
        <f>IF($B3011="","",ROUND(I3020-L3020,2))</f>
        <v/>
      </c>
    </row>
    <row r="3023"/>
    <row r="3024"/>
    <row r="3025">
      <c r="A3025" t="inlineStr">
        <is>
          <t>Date 日期</t>
        </is>
      </c>
      <c r="B3025" s="5">
        <f>IF('Daily Sale entry '!$A218="","",'Daily Sale entry '!$A218)</f>
        <v/>
      </c>
      <c r="H3025" t="inlineStr">
        <is>
          <t>After 调整后 (After)</t>
        </is>
      </c>
      <c r="I3025" s="5">
        <f>IF($B3025="","",B3025)</f>
        <v/>
      </c>
    </row>
    <row r="3026">
      <c r="A3026" t="inlineStr">
        <is>
          <t>Cash Sales 现金销售</t>
        </is>
      </c>
      <c r="B3026" s="6">
        <f>IF($B3025="","",'Daily Sale entry '!B218)</f>
        <v/>
      </c>
      <c r="D3026" t="inlineStr">
        <is>
          <t>c/f petty cash 今日备用金结转</t>
        </is>
      </c>
      <c r="E3026" s="6">
        <f>IF($B3025="","",'Daily Sale entry '!G218)</f>
        <v/>
      </c>
      <c r="H3026" t="inlineStr">
        <is>
          <t>Cash Sales 现金销售</t>
        </is>
      </c>
      <c r="I3026" s="6">
        <f>IF($B3025="","",IF(AND(ABS(B3036)&gt;'Opening Balance'!$B$13,B3036&lt;0),ROUND(B3026-B3036,2),B3026))</f>
        <v/>
      </c>
      <c r="K3026" t="inlineStr">
        <is>
          <t>c/f petty cash 今日备用金结转</t>
        </is>
      </c>
      <c r="L3026" s="6">
        <f>IF($B3025="","",IF(ABS(B3036)&lt;='Opening Balance'!$B$13,ROUND(E3026+B3036,2),E3026))</f>
        <v/>
      </c>
    </row>
    <row r="3027">
      <c r="A3027" t="inlineStr">
        <is>
          <t>Misc Charges 杂项费用</t>
        </is>
      </c>
      <c r="B3027" s="6">
        <f>IF($B3025="","",'Daily Sale entry '!C218)</f>
        <v/>
      </c>
      <c r="D3027" t="inlineStr">
        <is>
          <t>cash collection 现金收款</t>
        </is>
      </c>
      <c r="E3027" s="6">
        <f>IF($B3025="","",'Daily Sale entry '!H218)</f>
        <v/>
      </c>
      <c r="H3027" t="inlineStr">
        <is>
          <t>Misc Charges 杂项费用</t>
        </is>
      </c>
      <c r="I3027" s="6">
        <f>IF($B3025="","",IF(AND(ABS(B3036)&gt;'Opening Balance'!$B$13,B3036&gt;0),ROUND(B3027+B3036,2),B3027))</f>
        <v/>
      </c>
      <c r="K3027" t="inlineStr">
        <is>
          <t>cash collection 现金收款</t>
        </is>
      </c>
      <c r="L3027" s="6">
        <f>IF($B3025="","",E3027)</f>
        <v/>
      </c>
    </row>
    <row r="3028">
      <c r="A3028" s="1" t="inlineStr">
        <is>
          <t>Other Charges 其他费用</t>
        </is>
      </c>
      <c r="B3028" s="9">
        <f>IF($B3025="","",'Daily Sale entry '!D218)</f>
        <v/>
      </c>
      <c r="D3028" s="1" t="inlineStr">
        <is>
          <t>Cheque Collection 支票收款</t>
        </is>
      </c>
      <c r="E3028" s="9">
        <f>IF($B3025="","",'Daily Sale entry '!J218)</f>
        <v/>
      </c>
      <c r="H3028" s="1" t="inlineStr">
        <is>
          <t>Other Charges 其他费用</t>
        </is>
      </c>
      <c r="I3028" s="9">
        <f>IF($B3025="","",B3028)</f>
        <v/>
      </c>
      <c r="K3028" s="1" t="inlineStr">
        <is>
          <t>Cheque Collection 支票收款</t>
        </is>
      </c>
      <c r="L3028" s="9">
        <f>IF($B3025="","",E3028)</f>
        <v/>
      </c>
    </row>
    <row r="3029">
      <c r="A3029" s="10" t="inlineStr">
        <is>
          <t>Amount 金额  (Cash Sales - Misc - Other)</t>
        </is>
      </c>
      <c r="B3029" s="11">
        <f>IF($B3025="","",ROUND(B3026-B3027-B3028,2))</f>
        <v/>
      </c>
      <c r="D3029" s="12" t="inlineStr">
        <is>
          <t>TNG collection TNG收款</t>
        </is>
      </c>
      <c r="E3029" s="13">
        <f>IF($B3025="","",'Daily Sale entry '!K218)</f>
        <v/>
      </c>
      <c r="H3029" s="10" t="inlineStr">
        <is>
          <t>Amount 金额  (Cash Sales - Misc - Other)</t>
        </is>
      </c>
      <c r="I3029" s="11">
        <f>IF($B3025="","",ROUND(I3026-I3027-I3028,2))</f>
        <v/>
      </c>
      <c r="K3029" s="12" t="inlineStr">
        <is>
          <t>TNG collection TNG收款</t>
        </is>
      </c>
      <c r="L3029" s="13">
        <f>IF($B3025="","",E3029)</f>
        <v/>
      </c>
    </row>
    <row r="3030">
      <c r="A3030" t="inlineStr">
        <is>
          <t>Credit Collection 赊账收款</t>
        </is>
      </c>
      <c r="B3030" s="6">
        <f>IF($B3025="","",'Daily Sale entry '!E218)</f>
        <v/>
      </c>
      <c r="D3030" t="inlineStr">
        <is>
          <t>Advance Salary_M 预支薪水_M</t>
        </is>
      </c>
      <c r="E3030" s="6">
        <f>IF($B3025="","",'Daily Sale entry '!L218)</f>
        <v/>
      </c>
      <c r="H3030" t="inlineStr">
        <is>
          <t>Credit Collection 赊账收款</t>
        </is>
      </c>
      <c r="I3030" s="6">
        <f>IF($B3025="","",B3030)</f>
        <v/>
      </c>
      <c r="K3030" t="inlineStr">
        <is>
          <t>Advance Salary_M 预支薪水_M</t>
        </is>
      </c>
      <c r="L3030" s="6">
        <f>IF($B3025="","",E3030)</f>
        <v/>
      </c>
    </row>
    <row r="3031">
      <c r="A3031" s="10" t="inlineStr">
        <is>
          <t>Amount 2 金额2  (Amount + Credit Collection)</t>
        </is>
      </c>
      <c r="B3031" s="11">
        <f>IF($B3025="","",ROUND(B3029+B3030,2))</f>
        <v/>
      </c>
      <c r="D3031" t="inlineStr">
        <is>
          <t>Advance Salary_H 预支薪水_H</t>
        </is>
      </c>
      <c r="E3031" s="6">
        <f>IF($B3025="","",'Daily Sale entry '!M218)</f>
        <v/>
      </c>
      <c r="H3031" s="10" t="inlineStr">
        <is>
          <t>Amount 2 金额2  (Amount + Credit Collection)</t>
        </is>
      </c>
      <c r="I3031" s="11">
        <f>IF($B3025="","",ROUND(I3029+I3030,2))</f>
        <v/>
      </c>
      <c r="K3031" t="inlineStr">
        <is>
          <t>Advance Salary_H 预支薪水_H</t>
        </is>
      </c>
      <c r="L3031" s="6">
        <f>IF($B3025="","",E3031)</f>
        <v/>
      </c>
    </row>
    <row r="3032"/>
    <row r="3033">
      <c r="A3033" s="1" t="inlineStr">
        <is>
          <t>b/f petty cash 上日备用金结转</t>
        </is>
      </c>
      <c r="B3033" s="9">
        <f>IF($B3025="","",'Daily Sale entry '!F218)</f>
        <v/>
      </c>
      <c r="D3033" s="1" t="n"/>
      <c r="E3033" s="1" t="n"/>
      <c r="H3033" s="1" t="inlineStr">
        <is>
          <t>b/f petty cash 上日备用金结转</t>
        </is>
      </c>
      <c r="I3033" s="9">
        <f>IF($B3025="","",B3033)</f>
        <v/>
      </c>
      <c r="K3033" s="1" t="n"/>
      <c r="L3033" s="1" t="n"/>
    </row>
    <row r="3034">
      <c r="A3034" t="inlineStr">
        <is>
          <t>Total (A) 总计 (A)</t>
        </is>
      </c>
      <c r="B3034" s="6">
        <f>IF($B3025="","",ROUND(B3031+B3033,2))</f>
        <v/>
      </c>
      <c r="D3034" t="inlineStr">
        <is>
          <t>Total(B) 总计 (B)</t>
        </is>
      </c>
      <c r="E3034" s="6">
        <f>IF($B3025="","",ROUND(E3026+E3027+E3028+E3029+E3030+E3031,2))</f>
        <v/>
      </c>
      <c r="H3034" t="inlineStr">
        <is>
          <t>Total© 总计 (C)</t>
        </is>
      </c>
      <c r="I3034" s="6">
        <f>IF($B3025="","",ROUND(I3031+I3033,2))</f>
        <v/>
      </c>
      <c r="K3034" t="inlineStr">
        <is>
          <t>Total(D) 总计 (D)</t>
        </is>
      </c>
      <c r="L3034" s="6">
        <f>IF($B3025="","",ROUND(L3026+L3027+L3028+L3029+L3030+L3031,2))</f>
        <v/>
      </c>
    </row>
    <row r="3035">
      <c r="A3035" s="14" t="inlineStr">
        <is>
          <t>Total = Amount 2 + b/f petty cash  (金额2 + 上日备用金)</t>
        </is>
      </c>
      <c r="H3035" s="14" t="inlineStr">
        <is>
          <t>Total = Amount 2 + b/f petty cash  (金额2 + 上日备用金)</t>
        </is>
      </c>
    </row>
    <row r="3036">
      <c r="A3036" t="inlineStr">
        <is>
          <t>Different 差额</t>
        </is>
      </c>
      <c r="B3036" s="6">
        <f>IF($B3025="","",ROUND(B3034-E3034,2))</f>
        <v/>
      </c>
      <c r="D3036">
        <f>IF($B3025="","",IF(ABS(B3036)&gt;'Opening Balance'!$B$16,"ALERT 警报: Different over RM"&amp;'Opening Balance'!$B$16&amp;" 差额超过RM"&amp;'Opening Balance'!$B$16&amp;" - please check 请检查",IF(B3036=0,"Tied 平衡",IF(ABS(B3036)&lt;='Opening Balance'!$B$13,"Small difference 小额差额: adjusted on c/f petty cash 已调整备用金",IF(B3036&gt;0,"Short 短收: added to Misc Charges 已加入杂项费用","Over 多收: added to Cash Sales 已加入现金销售")))))</f>
        <v/>
      </c>
      <c r="H3036" t="inlineStr">
        <is>
          <t>Different 差额</t>
        </is>
      </c>
      <c r="I3036" s="6">
        <f>IF($B3025="","",ROUND(I3034-L3034,2))</f>
        <v/>
      </c>
    </row>
    <row r="3037"/>
    <row r="3038"/>
    <row r="3039">
      <c r="A3039" t="inlineStr">
        <is>
          <t>Date 日期</t>
        </is>
      </c>
      <c r="B3039" s="5">
        <f>IF('Daily Sale entry '!$A219="","",'Daily Sale entry '!$A219)</f>
        <v/>
      </c>
      <c r="H3039" t="inlineStr">
        <is>
          <t>After 调整后 (After)</t>
        </is>
      </c>
      <c r="I3039" s="5">
        <f>IF($B3039="","",B3039)</f>
        <v/>
      </c>
    </row>
    <row r="3040">
      <c r="A3040" t="inlineStr">
        <is>
          <t>Cash Sales 现金销售</t>
        </is>
      </c>
      <c r="B3040" s="6">
        <f>IF($B3039="","",'Daily Sale entry '!B219)</f>
        <v/>
      </c>
      <c r="D3040" t="inlineStr">
        <is>
          <t>c/f petty cash 今日备用金结转</t>
        </is>
      </c>
      <c r="E3040" s="6">
        <f>IF($B3039="","",'Daily Sale entry '!G219)</f>
        <v/>
      </c>
      <c r="H3040" t="inlineStr">
        <is>
          <t>Cash Sales 现金销售</t>
        </is>
      </c>
      <c r="I3040" s="6">
        <f>IF($B3039="","",IF(AND(ABS(B3050)&gt;'Opening Balance'!$B$13,B3050&lt;0),ROUND(B3040-B3050,2),B3040))</f>
        <v/>
      </c>
      <c r="K3040" t="inlineStr">
        <is>
          <t>c/f petty cash 今日备用金结转</t>
        </is>
      </c>
      <c r="L3040" s="6">
        <f>IF($B3039="","",IF(ABS(B3050)&lt;='Opening Balance'!$B$13,ROUND(E3040+B3050,2),E3040))</f>
        <v/>
      </c>
    </row>
    <row r="3041">
      <c r="A3041" t="inlineStr">
        <is>
          <t>Misc Charges 杂项费用</t>
        </is>
      </c>
      <c r="B3041" s="6">
        <f>IF($B3039="","",'Daily Sale entry '!C219)</f>
        <v/>
      </c>
      <c r="D3041" t="inlineStr">
        <is>
          <t>cash collection 现金收款</t>
        </is>
      </c>
      <c r="E3041" s="6">
        <f>IF($B3039="","",'Daily Sale entry '!H219)</f>
        <v/>
      </c>
      <c r="H3041" t="inlineStr">
        <is>
          <t>Misc Charges 杂项费用</t>
        </is>
      </c>
      <c r="I3041" s="6">
        <f>IF($B3039="","",IF(AND(ABS(B3050)&gt;'Opening Balance'!$B$13,B3050&gt;0),ROUND(B3041+B3050,2),B3041))</f>
        <v/>
      </c>
      <c r="K3041" t="inlineStr">
        <is>
          <t>cash collection 现金收款</t>
        </is>
      </c>
      <c r="L3041" s="6">
        <f>IF($B3039="","",E3041)</f>
        <v/>
      </c>
    </row>
    <row r="3042">
      <c r="A3042" s="1" t="inlineStr">
        <is>
          <t>Other Charges 其他费用</t>
        </is>
      </c>
      <c r="B3042" s="9">
        <f>IF($B3039="","",'Daily Sale entry '!D219)</f>
        <v/>
      </c>
      <c r="D3042" s="1" t="inlineStr">
        <is>
          <t>Cheque Collection 支票收款</t>
        </is>
      </c>
      <c r="E3042" s="9">
        <f>IF($B3039="","",'Daily Sale entry '!J219)</f>
        <v/>
      </c>
      <c r="H3042" s="1" t="inlineStr">
        <is>
          <t>Other Charges 其他费用</t>
        </is>
      </c>
      <c r="I3042" s="9">
        <f>IF($B3039="","",B3042)</f>
        <v/>
      </c>
      <c r="K3042" s="1" t="inlineStr">
        <is>
          <t>Cheque Collection 支票收款</t>
        </is>
      </c>
      <c r="L3042" s="9">
        <f>IF($B3039="","",E3042)</f>
        <v/>
      </c>
    </row>
    <row r="3043">
      <c r="A3043" s="10" t="inlineStr">
        <is>
          <t>Amount 金额  (Cash Sales - Misc - Other)</t>
        </is>
      </c>
      <c r="B3043" s="11">
        <f>IF($B3039="","",ROUND(B3040-B3041-B3042,2))</f>
        <v/>
      </c>
      <c r="D3043" s="12" t="inlineStr">
        <is>
          <t>TNG collection TNG收款</t>
        </is>
      </c>
      <c r="E3043" s="13">
        <f>IF($B3039="","",'Daily Sale entry '!K219)</f>
        <v/>
      </c>
      <c r="H3043" s="10" t="inlineStr">
        <is>
          <t>Amount 金额  (Cash Sales - Misc - Other)</t>
        </is>
      </c>
      <c r="I3043" s="11">
        <f>IF($B3039="","",ROUND(I3040-I3041-I3042,2))</f>
        <v/>
      </c>
      <c r="K3043" s="12" t="inlineStr">
        <is>
          <t>TNG collection TNG收款</t>
        </is>
      </c>
      <c r="L3043" s="13">
        <f>IF($B3039="","",E3043)</f>
        <v/>
      </c>
    </row>
    <row r="3044">
      <c r="A3044" t="inlineStr">
        <is>
          <t>Credit Collection 赊账收款</t>
        </is>
      </c>
      <c r="B3044" s="6">
        <f>IF($B3039="","",'Daily Sale entry '!E219)</f>
        <v/>
      </c>
      <c r="D3044" t="inlineStr">
        <is>
          <t>Advance Salary_M 预支薪水_M</t>
        </is>
      </c>
      <c r="E3044" s="6">
        <f>IF($B3039="","",'Daily Sale entry '!L219)</f>
        <v/>
      </c>
      <c r="H3044" t="inlineStr">
        <is>
          <t>Credit Collection 赊账收款</t>
        </is>
      </c>
      <c r="I3044" s="6">
        <f>IF($B3039="","",B3044)</f>
        <v/>
      </c>
      <c r="K3044" t="inlineStr">
        <is>
          <t>Advance Salary_M 预支薪水_M</t>
        </is>
      </c>
      <c r="L3044" s="6">
        <f>IF($B3039="","",E3044)</f>
        <v/>
      </c>
    </row>
    <row r="3045">
      <c r="A3045" s="10" t="inlineStr">
        <is>
          <t>Amount 2 金额2  (Amount + Credit Collection)</t>
        </is>
      </c>
      <c r="B3045" s="11">
        <f>IF($B3039="","",ROUND(B3043+B3044,2))</f>
        <v/>
      </c>
      <c r="D3045" t="inlineStr">
        <is>
          <t>Advance Salary_H 预支薪水_H</t>
        </is>
      </c>
      <c r="E3045" s="6">
        <f>IF($B3039="","",'Daily Sale entry '!M219)</f>
        <v/>
      </c>
      <c r="H3045" s="10" t="inlineStr">
        <is>
          <t>Amount 2 金额2  (Amount + Credit Collection)</t>
        </is>
      </c>
      <c r="I3045" s="11">
        <f>IF($B3039="","",ROUND(I3043+I3044,2))</f>
        <v/>
      </c>
      <c r="K3045" t="inlineStr">
        <is>
          <t>Advance Salary_H 预支薪水_H</t>
        </is>
      </c>
      <c r="L3045" s="6">
        <f>IF($B3039="","",E3045)</f>
        <v/>
      </c>
    </row>
    <row r="3046"/>
    <row r="3047">
      <c r="A3047" s="1" t="inlineStr">
        <is>
          <t>b/f petty cash 上日备用金结转</t>
        </is>
      </c>
      <c r="B3047" s="9">
        <f>IF($B3039="","",'Daily Sale entry '!F219)</f>
        <v/>
      </c>
      <c r="D3047" s="1" t="n"/>
      <c r="E3047" s="1" t="n"/>
      <c r="H3047" s="1" t="inlineStr">
        <is>
          <t>b/f petty cash 上日备用金结转</t>
        </is>
      </c>
      <c r="I3047" s="9">
        <f>IF($B3039="","",B3047)</f>
        <v/>
      </c>
      <c r="K3047" s="1" t="n"/>
      <c r="L3047" s="1" t="n"/>
    </row>
    <row r="3048">
      <c r="A3048" t="inlineStr">
        <is>
          <t>Total (A) 总计 (A)</t>
        </is>
      </c>
      <c r="B3048" s="6">
        <f>IF($B3039="","",ROUND(B3045+B3047,2))</f>
        <v/>
      </c>
      <c r="D3048" t="inlineStr">
        <is>
          <t>Total(B) 总计 (B)</t>
        </is>
      </c>
      <c r="E3048" s="6">
        <f>IF($B3039="","",ROUND(E3040+E3041+E3042+E3043+E3044+E3045,2))</f>
        <v/>
      </c>
      <c r="H3048" t="inlineStr">
        <is>
          <t>Total© 总计 (C)</t>
        </is>
      </c>
      <c r="I3048" s="6">
        <f>IF($B3039="","",ROUND(I3045+I3047,2))</f>
        <v/>
      </c>
      <c r="K3048" t="inlineStr">
        <is>
          <t>Total(D) 总计 (D)</t>
        </is>
      </c>
      <c r="L3048" s="6">
        <f>IF($B3039="","",ROUND(L3040+L3041+L3042+L3043+L3044+L3045,2))</f>
        <v/>
      </c>
    </row>
    <row r="3049">
      <c r="A3049" s="14" t="inlineStr">
        <is>
          <t>Total = Amount 2 + b/f petty cash  (金额2 + 上日备用金)</t>
        </is>
      </c>
      <c r="H3049" s="14" t="inlineStr">
        <is>
          <t>Total = Amount 2 + b/f petty cash  (金额2 + 上日备用金)</t>
        </is>
      </c>
    </row>
    <row r="3050">
      <c r="A3050" t="inlineStr">
        <is>
          <t>Different 差额</t>
        </is>
      </c>
      <c r="B3050" s="6">
        <f>IF($B3039="","",ROUND(B3048-E3048,2))</f>
        <v/>
      </c>
      <c r="D3050">
        <f>IF($B3039="","",IF(ABS(B3050)&gt;'Opening Balance'!$B$16,"ALERT 警报: Different over RM"&amp;'Opening Balance'!$B$16&amp;" 差额超过RM"&amp;'Opening Balance'!$B$16&amp;" - please check 请检查",IF(B3050=0,"Tied 平衡",IF(ABS(B3050)&lt;='Opening Balance'!$B$13,"Small difference 小额差额: adjusted on c/f petty cash 已调整备用金",IF(B3050&gt;0,"Short 短收: added to Misc Charges 已加入杂项费用","Over 多收: added to Cash Sales 已加入现金销售")))))</f>
        <v/>
      </c>
      <c r="H3050" t="inlineStr">
        <is>
          <t>Different 差额</t>
        </is>
      </c>
      <c r="I3050" s="6">
        <f>IF($B3039="","",ROUND(I3048-L3048,2))</f>
        <v/>
      </c>
    </row>
    <row r="3051"/>
    <row r="3052"/>
    <row r="3053">
      <c r="A3053" t="inlineStr">
        <is>
          <t>Date 日期</t>
        </is>
      </c>
      <c r="B3053" s="5">
        <f>IF('Daily Sale entry '!$A220="","",'Daily Sale entry '!$A220)</f>
        <v/>
      </c>
      <c r="H3053" t="inlineStr">
        <is>
          <t>After 调整后 (After)</t>
        </is>
      </c>
      <c r="I3053" s="5">
        <f>IF($B3053="","",B3053)</f>
        <v/>
      </c>
    </row>
    <row r="3054">
      <c r="A3054" t="inlineStr">
        <is>
          <t>Cash Sales 现金销售</t>
        </is>
      </c>
      <c r="B3054" s="6">
        <f>IF($B3053="","",'Daily Sale entry '!B220)</f>
        <v/>
      </c>
      <c r="D3054" t="inlineStr">
        <is>
          <t>c/f petty cash 今日备用金结转</t>
        </is>
      </c>
      <c r="E3054" s="6">
        <f>IF($B3053="","",'Daily Sale entry '!G220)</f>
        <v/>
      </c>
      <c r="H3054" t="inlineStr">
        <is>
          <t>Cash Sales 现金销售</t>
        </is>
      </c>
      <c r="I3054" s="6">
        <f>IF($B3053="","",IF(AND(ABS(B3064)&gt;'Opening Balance'!$B$13,B3064&lt;0),ROUND(B3054-B3064,2),B3054))</f>
        <v/>
      </c>
      <c r="K3054" t="inlineStr">
        <is>
          <t>c/f petty cash 今日备用金结转</t>
        </is>
      </c>
      <c r="L3054" s="6">
        <f>IF($B3053="","",IF(ABS(B3064)&lt;='Opening Balance'!$B$13,ROUND(E3054+B3064,2),E3054))</f>
        <v/>
      </c>
    </row>
    <row r="3055">
      <c r="A3055" t="inlineStr">
        <is>
          <t>Misc Charges 杂项费用</t>
        </is>
      </c>
      <c r="B3055" s="6">
        <f>IF($B3053="","",'Daily Sale entry '!C220)</f>
        <v/>
      </c>
      <c r="D3055" t="inlineStr">
        <is>
          <t>cash collection 现金收款</t>
        </is>
      </c>
      <c r="E3055" s="6">
        <f>IF($B3053="","",'Daily Sale entry '!H220)</f>
        <v/>
      </c>
      <c r="H3055" t="inlineStr">
        <is>
          <t>Misc Charges 杂项费用</t>
        </is>
      </c>
      <c r="I3055" s="6">
        <f>IF($B3053="","",IF(AND(ABS(B3064)&gt;'Opening Balance'!$B$13,B3064&gt;0),ROUND(B3055+B3064,2),B3055))</f>
        <v/>
      </c>
      <c r="K3055" t="inlineStr">
        <is>
          <t>cash collection 现金收款</t>
        </is>
      </c>
      <c r="L3055" s="6">
        <f>IF($B3053="","",E3055)</f>
        <v/>
      </c>
    </row>
    <row r="3056">
      <c r="A3056" s="1" t="inlineStr">
        <is>
          <t>Other Charges 其他费用</t>
        </is>
      </c>
      <c r="B3056" s="9">
        <f>IF($B3053="","",'Daily Sale entry '!D220)</f>
        <v/>
      </c>
      <c r="D3056" s="1" t="inlineStr">
        <is>
          <t>Cheque Collection 支票收款</t>
        </is>
      </c>
      <c r="E3056" s="9">
        <f>IF($B3053="","",'Daily Sale entry '!J220)</f>
        <v/>
      </c>
      <c r="H3056" s="1" t="inlineStr">
        <is>
          <t>Other Charges 其他费用</t>
        </is>
      </c>
      <c r="I3056" s="9">
        <f>IF($B3053="","",B3056)</f>
        <v/>
      </c>
      <c r="K3056" s="1" t="inlineStr">
        <is>
          <t>Cheque Collection 支票收款</t>
        </is>
      </c>
      <c r="L3056" s="9">
        <f>IF($B3053="","",E3056)</f>
        <v/>
      </c>
    </row>
    <row r="3057">
      <c r="A3057" s="10" t="inlineStr">
        <is>
          <t>Amount 金额  (Cash Sales - Misc - Other)</t>
        </is>
      </c>
      <c r="B3057" s="11">
        <f>IF($B3053="","",ROUND(B3054-B3055-B3056,2))</f>
        <v/>
      </c>
      <c r="D3057" s="12" t="inlineStr">
        <is>
          <t>TNG collection TNG收款</t>
        </is>
      </c>
      <c r="E3057" s="13">
        <f>IF($B3053="","",'Daily Sale entry '!K220)</f>
        <v/>
      </c>
      <c r="H3057" s="10" t="inlineStr">
        <is>
          <t>Amount 金额  (Cash Sales - Misc - Other)</t>
        </is>
      </c>
      <c r="I3057" s="11">
        <f>IF($B3053="","",ROUND(I3054-I3055-I3056,2))</f>
        <v/>
      </c>
      <c r="K3057" s="12" t="inlineStr">
        <is>
          <t>TNG collection TNG收款</t>
        </is>
      </c>
      <c r="L3057" s="13">
        <f>IF($B3053="","",E3057)</f>
        <v/>
      </c>
    </row>
    <row r="3058">
      <c r="A3058" t="inlineStr">
        <is>
          <t>Credit Collection 赊账收款</t>
        </is>
      </c>
      <c r="B3058" s="6">
        <f>IF($B3053="","",'Daily Sale entry '!E220)</f>
        <v/>
      </c>
      <c r="D3058" t="inlineStr">
        <is>
          <t>Advance Salary_M 预支薪水_M</t>
        </is>
      </c>
      <c r="E3058" s="6">
        <f>IF($B3053="","",'Daily Sale entry '!L220)</f>
        <v/>
      </c>
      <c r="H3058" t="inlineStr">
        <is>
          <t>Credit Collection 赊账收款</t>
        </is>
      </c>
      <c r="I3058" s="6">
        <f>IF($B3053="","",B3058)</f>
        <v/>
      </c>
      <c r="K3058" t="inlineStr">
        <is>
          <t>Advance Salary_M 预支薪水_M</t>
        </is>
      </c>
      <c r="L3058" s="6">
        <f>IF($B3053="","",E3058)</f>
        <v/>
      </c>
    </row>
    <row r="3059">
      <c r="A3059" s="10" t="inlineStr">
        <is>
          <t>Amount 2 金额2  (Amount + Credit Collection)</t>
        </is>
      </c>
      <c r="B3059" s="11">
        <f>IF($B3053="","",ROUND(B3057+B3058,2))</f>
        <v/>
      </c>
      <c r="D3059" t="inlineStr">
        <is>
          <t>Advance Salary_H 预支薪水_H</t>
        </is>
      </c>
      <c r="E3059" s="6">
        <f>IF($B3053="","",'Daily Sale entry '!M220)</f>
        <v/>
      </c>
      <c r="H3059" s="10" t="inlineStr">
        <is>
          <t>Amount 2 金额2  (Amount + Credit Collection)</t>
        </is>
      </c>
      <c r="I3059" s="11">
        <f>IF($B3053="","",ROUND(I3057+I3058,2))</f>
        <v/>
      </c>
      <c r="K3059" t="inlineStr">
        <is>
          <t>Advance Salary_H 预支薪水_H</t>
        </is>
      </c>
      <c r="L3059" s="6">
        <f>IF($B3053="","",E3059)</f>
        <v/>
      </c>
    </row>
    <row r="3060"/>
    <row r="3061">
      <c r="A3061" s="1" t="inlineStr">
        <is>
          <t>b/f petty cash 上日备用金结转</t>
        </is>
      </c>
      <c r="B3061" s="9">
        <f>IF($B3053="","",'Daily Sale entry '!F220)</f>
        <v/>
      </c>
      <c r="D3061" s="1" t="n"/>
      <c r="E3061" s="1" t="n"/>
      <c r="H3061" s="1" t="inlineStr">
        <is>
          <t>b/f petty cash 上日备用金结转</t>
        </is>
      </c>
      <c r="I3061" s="9">
        <f>IF($B3053="","",B3061)</f>
        <v/>
      </c>
      <c r="K3061" s="1" t="n"/>
      <c r="L3061" s="1" t="n"/>
    </row>
    <row r="3062">
      <c r="A3062" t="inlineStr">
        <is>
          <t>Total (A) 总计 (A)</t>
        </is>
      </c>
      <c r="B3062" s="6">
        <f>IF($B3053="","",ROUND(B3059+B3061,2))</f>
        <v/>
      </c>
      <c r="D3062" t="inlineStr">
        <is>
          <t>Total(B) 总计 (B)</t>
        </is>
      </c>
      <c r="E3062" s="6">
        <f>IF($B3053="","",ROUND(E3054+E3055+E3056+E3057+E3058+E3059,2))</f>
        <v/>
      </c>
      <c r="H3062" t="inlineStr">
        <is>
          <t>Total© 总计 (C)</t>
        </is>
      </c>
      <c r="I3062" s="6">
        <f>IF($B3053="","",ROUND(I3059+I3061,2))</f>
        <v/>
      </c>
      <c r="K3062" t="inlineStr">
        <is>
          <t>Total(D) 总计 (D)</t>
        </is>
      </c>
      <c r="L3062" s="6">
        <f>IF($B3053="","",ROUND(L3054+L3055+L3056+L3057+L3058+L3059,2))</f>
        <v/>
      </c>
    </row>
    <row r="3063">
      <c r="A3063" s="14" t="inlineStr">
        <is>
          <t>Total = Amount 2 + b/f petty cash  (金额2 + 上日备用金)</t>
        </is>
      </c>
      <c r="H3063" s="14" t="inlineStr">
        <is>
          <t>Total = Amount 2 + b/f petty cash  (金额2 + 上日备用金)</t>
        </is>
      </c>
    </row>
    <row r="3064">
      <c r="A3064" t="inlineStr">
        <is>
          <t>Different 差额</t>
        </is>
      </c>
      <c r="B3064" s="6">
        <f>IF($B3053="","",ROUND(B3062-E3062,2))</f>
        <v/>
      </c>
      <c r="D3064">
        <f>IF($B3053="","",IF(ABS(B3064)&gt;'Opening Balance'!$B$16,"ALERT 警报: Different over RM"&amp;'Opening Balance'!$B$16&amp;" 差额超过RM"&amp;'Opening Balance'!$B$16&amp;" - please check 请检查",IF(B3064=0,"Tied 平衡",IF(ABS(B3064)&lt;='Opening Balance'!$B$13,"Small difference 小额差额: adjusted on c/f petty cash 已调整备用金",IF(B3064&gt;0,"Short 短收: added to Misc Charges 已加入杂项费用","Over 多收: added to Cash Sales 已加入现金销售")))))</f>
        <v/>
      </c>
      <c r="H3064" t="inlineStr">
        <is>
          <t>Different 差额</t>
        </is>
      </c>
      <c r="I3064" s="6">
        <f>IF($B3053="","",ROUND(I3062-L3062,2))</f>
        <v/>
      </c>
    </row>
    <row r="3065"/>
    <row r="3066"/>
    <row r="3067">
      <c r="A3067" t="inlineStr">
        <is>
          <t>Date 日期</t>
        </is>
      </c>
      <c r="B3067" s="5">
        <f>IF('Daily Sale entry '!$A221="","",'Daily Sale entry '!$A221)</f>
        <v/>
      </c>
      <c r="H3067" t="inlineStr">
        <is>
          <t>After 调整后 (After)</t>
        </is>
      </c>
      <c r="I3067" s="5">
        <f>IF($B3067="","",B3067)</f>
        <v/>
      </c>
    </row>
    <row r="3068">
      <c r="A3068" t="inlineStr">
        <is>
          <t>Cash Sales 现金销售</t>
        </is>
      </c>
      <c r="B3068" s="6">
        <f>IF($B3067="","",'Daily Sale entry '!B221)</f>
        <v/>
      </c>
      <c r="D3068" t="inlineStr">
        <is>
          <t>c/f petty cash 今日备用金结转</t>
        </is>
      </c>
      <c r="E3068" s="6">
        <f>IF($B3067="","",'Daily Sale entry '!G221)</f>
        <v/>
      </c>
      <c r="H3068" t="inlineStr">
        <is>
          <t>Cash Sales 现金销售</t>
        </is>
      </c>
      <c r="I3068" s="6">
        <f>IF($B3067="","",IF(AND(ABS(B3078)&gt;'Opening Balance'!$B$13,B3078&lt;0),ROUND(B3068-B3078,2),B3068))</f>
        <v/>
      </c>
      <c r="K3068" t="inlineStr">
        <is>
          <t>c/f petty cash 今日备用金结转</t>
        </is>
      </c>
      <c r="L3068" s="6">
        <f>IF($B3067="","",IF(ABS(B3078)&lt;='Opening Balance'!$B$13,ROUND(E3068+B3078,2),E3068))</f>
        <v/>
      </c>
    </row>
    <row r="3069">
      <c r="A3069" t="inlineStr">
        <is>
          <t>Misc Charges 杂项费用</t>
        </is>
      </c>
      <c r="B3069" s="6">
        <f>IF($B3067="","",'Daily Sale entry '!C221)</f>
        <v/>
      </c>
      <c r="D3069" t="inlineStr">
        <is>
          <t>cash collection 现金收款</t>
        </is>
      </c>
      <c r="E3069" s="6">
        <f>IF($B3067="","",'Daily Sale entry '!H221)</f>
        <v/>
      </c>
      <c r="H3069" t="inlineStr">
        <is>
          <t>Misc Charges 杂项费用</t>
        </is>
      </c>
      <c r="I3069" s="6">
        <f>IF($B3067="","",IF(AND(ABS(B3078)&gt;'Opening Balance'!$B$13,B3078&gt;0),ROUND(B3069+B3078,2),B3069))</f>
        <v/>
      </c>
      <c r="K3069" t="inlineStr">
        <is>
          <t>cash collection 现金收款</t>
        </is>
      </c>
      <c r="L3069" s="6">
        <f>IF($B3067="","",E3069)</f>
        <v/>
      </c>
    </row>
    <row r="3070">
      <c r="A3070" s="1" t="inlineStr">
        <is>
          <t>Other Charges 其他费用</t>
        </is>
      </c>
      <c r="B3070" s="9">
        <f>IF($B3067="","",'Daily Sale entry '!D221)</f>
        <v/>
      </c>
      <c r="D3070" s="1" t="inlineStr">
        <is>
          <t>Cheque Collection 支票收款</t>
        </is>
      </c>
      <c r="E3070" s="9">
        <f>IF($B3067="","",'Daily Sale entry '!J221)</f>
        <v/>
      </c>
      <c r="H3070" s="1" t="inlineStr">
        <is>
          <t>Other Charges 其他费用</t>
        </is>
      </c>
      <c r="I3070" s="9">
        <f>IF($B3067="","",B3070)</f>
        <v/>
      </c>
      <c r="K3070" s="1" t="inlineStr">
        <is>
          <t>Cheque Collection 支票收款</t>
        </is>
      </c>
      <c r="L3070" s="9">
        <f>IF($B3067="","",E3070)</f>
        <v/>
      </c>
    </row>
    <row r="3071">
      <c r="A3071" s="10" t="inlineStr">
        <is>
          <t>Amount 金额  (Cash Sales - Misc - Other)</t>
        </is>
      </c>
      <c r="B3071" s="11">
        <f>IF($B3067="","",ROUND(B3068-B3069-B3070,2))</f>
        <v/>
      </c>
      <c r="D3071" s="12" t="inlineStr">
        <is>
          <t>TNG collection TNG收款</t>
        </is>
      </c>
      <c r="E3071" s="13">
        <f>IF($B3067="","",'Daily Sale entry '!K221)</f>
        <v/>
      </c>
      <c r="H3071" s="10" t="inlineStr">
        <is>
          <t>Amount 金额  (Cash Sales - Misc - Other)</t>
        </is>
      </c>
      <c r="I3071" s="11">
        <f>IF($B3067="","",ROUND(I3068-I3069-I3070,2))</f>
        <v/>
      </c>
      <c r="K3071" s="12" t="inlineStr">
        <is>
          <t>TNG collection TNG收款</t>
        </is>
      </c>
      <c r="L3071" s="13">
        <f>IF($B3067="","",E3071)</f>
        <v/>
      </c>
    </row>
    <row r="3072">
      <c r="A3072" t="inlineStr">
        <is>
          <t>Credit Collection 赊账收款</t>
        </is>
      </c>
      <c r="B3072" s="6">
        <f>IF($B3067="","",'Daily Sale entry '!E221)</f>
        <v/>
      </c>
      <c r="D3072" t="inlineStr">
        <is>
          <t>Advance Salary_M 预支薪水_M</t>
        </is>
      </c>
      <c r="E3072" s="6">
        <f>IF($B3067="","",'Daily Sale entry '!L221)</f>
        <v/>
      </c>
      <c r="H3072" t="inlineStr">
        <is>
          <t>Credit Collection 赊账收款</t>
        </is>
      </c>
      <c r="I3072" s="6">
        <f>IF($B3067="","",B3072)</f>
        <v/>
      </c>
      <c r="K3072" t="inlineStr">
        <is>
          <t>Advance Salary_M 预支薪水_M</t>
        </is>
      </c>
      <c r="L3072" s="6">
        <f>IF($B3067="","",E3072)</f>
        <v/>
      </c>
    </row>
    <row r="3073">
      <c r="A3073" s="10" t="inlineStr">
        <is>
          <t>Amount 2 金额2  (Amount + Credit Collection)</t>
        </is>
      </c>
      <c r="B3073" s="11">
        <f>IF($B3067="","",ROUND(B3071+B3072,2))</f>
        <v/>
      </c>
      <c r="D3073" t="inlineStr">
        <is>
          <t>Advance Salary_H 预支薪水_H</t>
        </is>
      </c>
      <c r="E3073" s="6">
        <f>IF($B3067="","",'Daily Sale entry '!M221)</f>
        <v/>
      </c>
      <c r="H3073" s="10" t="inlineStr">
        <is>
          <t>Amount 2 金额2  (Amount + Credit Collection)</t>
        </is>
      </c>
      <c r="I3073" s="11">
        <f>IF($B3067="","",ROUND(I3071+I3072,2))</f>
        <v/>
      </c>
      <c r="K3073" t="inlineStr">
        <is>
          <t>Advance Salary_H 预支薪水_H</t>
        </is>
      </c>
      <c r="L3073" s="6">
        <f>IF($B3067="","",E3073)</f>
        <v/>
      </c>
    </row>
    <row r="3074"/>
    <row r="3075">
      <c r="A3075" s="1" t="inlineStr">
        <is>
          <t>b/f petty cash 上日备用金结转</t>
        </is>
      </c>
      <c r="B3075" s="9">
        <f>IF($B3067="","",'Daily Sale entry '!F221)</f>
        <v/>
      </c>
      <c r="D3075" s="1" t="n"/>
      <c r="E3075" s="1" t="n"/>
      <c r="H3075" s="1" t="inlineStr">
        <is>
          <t>b/f petty cash 上日备用金结转</t>
        </is>
      </c>
      <c r="I3075" s="9">
        <f>IF($B3067="","",B3075)</f>
        <v/>
      </c>
      <c r="K3075" s="1" t="n"/>
      <c r="L3075" s="1" t="n"/>
    </row>
    <row r="3076">
      <c r="A3076" t="inlineStr">
        <is>
          <t>Total (A) 总计 (A)</t>
        </is>
      </c>
      <c r="B3076" s="6">
        <f>IF($B3067="","",ROUND(B3073+B3075,2))</f>
        <v/>
      </c>
      <c r="D3076" t="inlineStr">
        <is>
          <t>Total(B) 总计 (B)</t>
        </is>
      </c>
      <c r="E3076" s="6">
        <f>IF($B3067="","",ROUND(E3068+E3069+E3070+E3071+E3072+E3073,2))</f>
        <v/>
      </c>
      <c r="H3076" t="inlineStr">
        <is>
          <t>Total© 总计 (C)</t>
        </is>
      </c>
      <c r="I3076" s="6">
        <f>IF($B3067="","",ROUND(I3073+I3075,2))</f>
        <v/>
      </c>
      <c r="K3076" t="inlineStr">
        <is>
          <t>Total(D) 总计 (D)</t>
        </is>
      </c>
      <c r="L3076" s="6">
        <f>IF($B3067="","",ROUND(L3068+L3069+L3070+L3071+L3072+L3073,2))</f>
        <v/>
      </c>
    </row>
    <row r="3077">
      <c r="A3077" s="14" t="inlineStr">
        <is>
          <t>Total = Amount 2 + b/f petty cash  (金额2 + 上日备用金)</t>
        </is>
      </c>
      <c r="H3077" s="14" t="inlineStr">
        <is>
          <t>Total = Amount 2 + b/f petty cash  (金额2 + 上日备用金)</t>
        </is>
      </c>
    </row>
    <row r="3078">
      <c r="A3078" t="inlineStr">
        <is>
          <t>Different 差额</t>
        </is>
      </c>
      <c r="B3078" s="6">
        <f>IF($B3067="","",ROUND(B3076-E3076,2))</f>
        <v/>
      </c>
      <c r="D3078">
        <f>IF($B3067="","",IF(ABS(B3078)&gt;'Opening Balance'!$B$16,"ALERT 警报: Different over RM"&amp;'Opening Balance'!$B$16&amp;" 差额超过RM"&amp;'Opening Balance'!$B$16&amp;" - please check 请检查",IF(B3078=0,"Tied 平衡",IF(ABS(B3078)&lt;='Opening Balance'!$B$13,"Small difference 小额差额: adjusted on c/f petty cash 已调整备用金",IF(B3078&gt;0,"Short 短收: added to Misc Charges 已加入杂项费用","Over 多收: added to Cash Sales 已加入现金销售")))))</f>
        <v/>
      </c>
      <c r="H3078" t="inlineStr">
        <is>
          <t>Different 差额</t>
        </is>
      </c>
      <c r="I3078" s="6">
        <f>IF($B3067="","",ROUND(I3076-L3076,2))</f>
        <v/>
      </c>
    </row>
    <row r="3079"/>
    <row r="3080"/>
    <row r="3081">
      <c r="A3081" t="inlineStr">
        <is>
          <t>Date 日期</t>
        </is>
      </c>
      <c r="B3081" s="5">
        <f>IF('Daily Sale entry '!$A222="","",'Daily Sale entry '!$A222)</f>
        <v/>
      </c>
      <c r="H3081" t="inlineStr">
        <is>
          <t>After 调整后 (After)</t>
        </is>
      </c>
      <c r="I3081" s="5">
        <f>IF($B3081="","",B3081)</f>
        <v/>
      </c>
    </row>
    <row r="3082">
      <c r="A3082" t="inlineStr">
        <is>
          <t>Cash Sales 现金销售</t>
        </is>
      </c>
      <c r="B3082" s="6">
        <f>IF($B3081="","",'Daily Sale entry '!B222)</f>
        <v/>
      </c>
      <c r="D3082" t="inlineStr">
        <is>
          <t>c/f petty cash 今日备用金结转</t>
        </is>
      </c>
      <c r="E3082" s="6">
        <f>IF($B3081="","",'Daily Sale entry '!G222)</f>
        <v/>
      </c>
      <c r="H3082" t="inlineStr">
        <is>
          <t>Cash Sales 现金销售</t>
        </is>
      </c>
      <c r="I3082" s="6">
        <f>IF($B3081="","",IF(AND(ABS(B3092)&gt;'Opening Balance'!$B$13,B3092&lt;0),ROUND(B3082-B3092,2),B3082))</f>
        <v/>
      </c>
      <c r="K3082" t="inlineStr">
        <is>
          <t>c/f petty cash 今日备用金结转</t>
        </is>
      </c>
      <c r="L3082" s="6">
        <f>IF($B3081="","",IF(ABS(B3092)&lt;='Opening Balance'!$B$13,ROUND(E3082+B3092,2),E3082))</f>
        <v/>
      </c>
    </row>
    <row r="3083">
      <c r="A3083" t="inlineStr">
        <is>
          <t>Misc Charges 杂项费用</t>
        </is>
      </c>
      <c r="B3083" s="6">
        <f>IF($B3081="","",'Daily Sale entry '!C222)</f>
        <v/>
      </c>
      <c r="D3083" t="inlineStr">
        <is>
          <t>cash collection 现金收款</t>
        </is>
      </c>
      <c r="E3083" s="6">
        <f>IF($B3081="","",'Daily Sale entry '!H222)</f>
        <v/>
      </c>
      <c r="H3083" t="inlineStr">
        <is>
          <t>Misc Charges 杂项费用</t>
        </is>
      </c>
      <c r="I3083" s="6">
        <f>IF($B3081="","",IF(AND(ABS(B3092)&gt;'Opening Balance'!$B$13,B3092&gt;0),ROUND(B3083+B3092,2),B3083))</f>
        <v/>
      </c>
      <c r="K3083" t="inlineStr">
        <is>
          <t>cash collection 现金收款</t>
        </is>
      </c>
      <c r="L3083" s="6">
        <f>IF($B3081="","",E3083)</f>
        <v/>
      </c>
    </row>
    <row r="3084">
      <c r="A3084" s="1" t="inlineStr">
        <is>
          <t>Other Charges 其他费用</t>
        </is>
      </c>
      <c r="B3084" s="9">
        <f>IF($B3081="","",'Daily Sale entry '!D222)</f>
        <v/>
      </c>
      <c r="D3084" s="1" t="inlineStr">
        <is>
          <t>Cheque Collection 支票收款</t>
        </is>
      </c>
      <c r="E3084" s="9">
        <f>IF($B3081="","",'Daily Sale entry '!J222)</f>
        <v/>
      </c>
      <c r="H3084" s="1" t="inlineStr">
        <is>
          <t>Other Charges 其他费用</t>
        </is>
      </c>
      <c r="I3084" s="9">
        <f>IF($B3081="","",B3084)</f>
        <v/>
      </c>
      <c r="K3084" s="1" t="inlineStr">
        <is>
          <t>Cheque Collection 支票收款</t>
        </is>
      </c>
      <c r="L3084" s="9">
        <f>IF($B3081="","",E3084)</f>
        <v/>
      </c>
    </row>
    <row r="3085">
      <c r="A3085" s="10" t="inlineStr">
        <is>
          <t>Amount 金额  (Cash Sales - Misc - Other)</t>
        </is>
      </c>
      <c r="B3085" s="11">
        <f>IF($B3081="","",ROUND(B3082-B3083-B3084,2))</f>
        <v/>
      </c>
      <c r="D3085" s="12" t="inlineStr">
        <is>
          <t>TNG collection TNG收款</t>
        </is>
      </c>
      <c r="E3085" s="13">
        <f>IF($B3081="","",'Daily Sale entry '!K222)</f>
        <v/>
      </c>
      <c r="H3085" s="10" t="inlineStr">
        <is>
          <t>Amount 金额  (Cash Sales - Misc - Other)</t>
        </is>
      </c>
      <c r="I3085" s="11">
        <f>IF($B3081="","",ROUND(I3082-I3083-I3084,2))</f>
        <v/>
      </c>
      <c r="K3085" s="12" t="inlineStr">
        <is>
          <t>TNG collection TNG收款</t>
        </is>
      </c>
      <c r="L3085" s="13">
        <f>IF($B3081="","",E3085)</f>
        <v/>
      </c>
    </row>
    <row r="3086">
      <c r="A3086" t="inlineStr">
        <is>
          <t>Credit Collection 赊账收款</t>
        </is>
      </c>
      <c r="B3086" s="6">
        <f>IF($B3081="","",'Daily Sale entry '!E222)</f>
        <v/>
      </c>
      <c r="D3086" t="inlineStr">
        <is>
          <t>Advance Salary_M 预支薪水_M</t>
        </is>
      </c>
      <c r="E3086" s="6">
        <f>IF($B3081="","",'Daily Sale entry '!L222)</f>
        <v/>
      </c>
      <c r="H3086" t="inlineStr">
        <is>
          <t>Credit Collection 赊账收款</t>
        </is>
      </c>
      <c r="I3086" s="6">
        <f>IF($B3081="","",B3086)</f>
        <v/>
      </c>
      <c r="K3086" t="inlineStr">
        <is>
          <t>Advance Salary_M 预支薪水_M</t>
        </is>
      </c>
      <c r="L3086" s="6">
        <f>IF($B3081="","",E3086)</f>
        <v/>
      </c>
    </row>
    <row r="3087">
      <c r="A3087" s="10" t="inlineStr">
        <is>
          <t>Amount 2 金额2  (Amount + Credit Collection)</t>
        </is>
      </c>
      <c r="B3087" s="11">
        <f>IF($B3081="","",ROUND(B3085+B3086,2))</f>
        <v/>
      </c>
      <c r="D3087" t="inlineStr">
        <is>
          <t>Advance Salary_H 预支薪水_H</t>
        </is>
      </c>
      <c r="E3087" s="6">
        <f>IF($B3081="","",'Daily Sale entry '!M222)</f>
        <v/>
      </c>
      <c r="H3087" s="10" t="inlineStr">
        <is>
          <t>Amount 2 金额2  (Amount + Credit Collection)</t>
        </is>
      </c>
      <c r="I3087" s="11">
        <f>IF($B3081="","",ROUND(I3085+I3086,2))</f>
        <v/>
      </c>
      <c r="K3087" t="inlineStr">
        <is>
          <t>Advance Salary_H 预支薪水_H</t>
        </is>
      </c>
      <c r="L3087" s="6">
        <f>IF($B3081="","",E3087)</f>
        <v/>
      </c>
    </row>
    <row r="3088"/>
    <row r="3089">
      <c r="A3089" s="1" t="inlineStr">
        <is>
          <t>b/f petty cash 上日备用金结转</t>
        </is>
      </c>
      <c r="B3089" s="9">
        <f>IF($B3081="","",'Daily Sale entry '!F222)</f>
        <v/>
      </c>
      <c r="D3089" s="1" t="n"/>
      <c r="E3089" s="1" t="n"/>
      <c r="H3089" s="1" t="inlineStr">
        <is>
          <t>b/f petty cash 上日备用金结转</t>
        </is>
      </c>
      <c r="I3089" s="9">
        <f>IF($B3081="","",B3089)</f>
        <v/>
      </c>
      <c r="K3089" s="1" t="n"/>
      <c r="L3089" s="1" t="n"/>
    </row>
    <row r="3090">
      <c r="A3090" t="inlineStr">
        <is>
          <t>Total (A) 总计 (A)</t>
        </is>
      </c>
      <c r="B3090" s="6">
        <f>IF($B3081="","",ROUND(B3087+B3089,2))</f>
        <v/>
      </c>
      <c r="D3090" t="inlineStr">
        <is>
          <t>Total(B) 总计 (B)</t>
        </is>
      </c>
      <c r="E3090" s="6">
        <f>IF($B3081="","",ROUND(E3082+E3083+E3084+E3085+E3086+E3087,2))</f>
        <v/>
      </c>
      <c r="H3090" t="inlineStr">
        <is>
          <t>Total© 总计 (C)</t>
        </is>
      </c>
      <c r="I3090" s="6">
        <f>IF($B3081="","",ROUND(I3087+I3089,2))</f>
        <v/>
      </c>
      <c r="K3090" t="inlineStr">
        <is>
          <t>Total(D) 总计 (D)</t>
        </is>
      </c>
      <c r="L3090" s="6">
        <f>IF($B3081="","",ROUND(L3082+L3083+L3084+L3085+L3086+L3087,2))</f>
        <v/>
      </c>
    </row>
    <row r="3091">
      <c r="A3091" s="14" t="inlineStr">
        <is>
          <t>Total = Amount 2 + b/f petty cash  (金额2 + 上日备用金)</t>
        </is>
      </c>
      <c r="H3091" s="14" t="inlineStr">
        <is>
          <t>Total = Amount 2 + b/f petty cash  (金额2 + 上日备用金)</t>
        </is>
      </c>
    </row>
    <row r="3092">
      <c r="A3092" t="inlineStr">
        <is>
          <t>Different 差额</t>
        </is>
      </c>
      <c r="B3092" s="6">
        <f>IF($B3081="","",ROUND(B3090-E3090,2))</f>
        <v/>
      </c>
      <c r="D3092">
        <f>IF($B3081="","",IF(ABS(B3092)&gt;'Opening Balance'!$B$16,"ALERT 警报: Different over RM"&amp;'Opening Balance'!$B$16&amp;" 差额超过RM"&amp;'Opening Balance'!$B$16&amp;" - please check 请检查",IF(B3092=0,"Tied 平衡",IF(ABS(B3092)&lt;='Opening Balance'!$B$13,"Small difference 小额差额: adjusted on c/f petty cash 已调整备用金",IF(B3092&gt;0,"Short 短收: added to Misc Charges 已加入杂项费用","Over 多收: added to Cash Sales 已加入现金销售")))))</f>
        <v/>
      </c>
      <c r="H3092" t="inlineStr">
        <is>
          <t>Different 差额</t>
        </is>
      </c>
      <c r="I3092" s="6">
        <f>IF($B3081="","",ROUND(I3090-L3090,2))</f>
        <v/>
      </c>
    </row>
    <row r="3093"/>
    <row r="3094"/>
    <row r="3095">
      <c r="A3095" t="inlineStr">
        <is>
          <t>Date 日期</t>
        </is>
      </c>
      <c r="B3095" s="5">
        <f>IF('Daily Sale entry '!$A223="","",'Daily Sale entry '!$A223)</f>
        <v/>
      </c>
      <c r="H3095" t="inlineStr">
        <is>
          <t>After 调整后 (After)</t>
        </is>
      </c>
      <c r="I3095" s="5">
        <f>IF($B3095="","",B3095)</f>
        <v/>
      </c>
    </row>
    <row r="3096">
      <c r="A3096" t="inlineStr">
        <is>
          <t>Cash Sales 现金销售</t>
        </is>
      </c>
      <c r="B3096" s="6">
        <f>IF($B3095="","",'Daily Sale entry '!B223)</f>
        <v/>
      </c>
      <c r="D3096" t="inlineStr">
        <is>
          <t>c/f petty cash 今日备用金结转</t>
        </is>
      </c>
      <c r="E3096" s="6">
        <f>IF($B3095="","",'Daily Sale entry '!G223)</f>
        <v/>
      </c>
      <c r="H3096" t="inlineStr">
        <is>
          <t>Cash Sales 现金销售</t>
        </is>
      </c>
      <c r="I3096" s="6">
        <f>IF($B3095="","",IF(AND(ABS(B3106)&gt;'Opening Balance'!$B$13,B3106&lt;0),ROUND(B3096-B3106,2),B3096))</f>
        <v/>
      </c>
      <c r="K3096" t="inlineStr">
        <is>
          <t>c/f petty cash 今日备用金结转</t>
        </is>
      </c>
      <c r="L3096" s="6">
        <f>IF($B3095="","",IF(ABS(B3106)&lt;='Opening Balance'!$B$13,ROUND(E3096+B3106,2),E3096))</f>
        <v/>
      </c>
    </row>
    <row r="3097">
      <c r="A3097" t="inlineStr">
        <is>
          <t>Misc Charges 杂项费用</t>
        </is>
      </c>
      <c r="B3097" s="6">
        <f>IF($B3095="","",'Daily Sale entry '!C223)</f>
        <v/>
      </c>
      <c r="D3097" t="inlineStr">
        <is>
          <t>cash collection 现金收款</t>
        </is>
      </c>
      <c r="E3097" s="6">
        <f>IF($B3095="","",'Daily Sale entry '!H223)</f>
        <v/>
      </c>
      <c r="H3097" t="inlineStr">
        <is>
          <t>Misc Charges 杂项费用</t>
        </is>
      </c>
      <c r="I3097" s="6">
        <f>IF($B3095="","",IF(AND(ABS(B3106)&gt;'Opening Balance'!$B$13,B3106&gt;0),ROUND(B3097+B3106,2),B3097))</f>
        <v/>
      </c>
      <c r="K3097" t="inlineStr">
        <is>
          <t>cash collection 现金收款</t>
        </is>
      </c>
      <c r="L3097" s="6">
        <f>IF($B3095="","",E3097)</f>
        <v/>
      </c>
    </row>
    <row r="3098">
      <c r="A3098" s="1" t="inlineStr">
        <is>
          <t>Other Charges 其他费用</t>
        </is>
      </c>
      <c r="B3098" s="9">
        <f>IF($B3095="","",'Daily Sale entry '!D223)</f>
        <v/>
      </c>
      <c r="D3098" s="1" t="inlineStr">
        <is>
          <t>Cheque Collection 支票收款</t>
        </is>
      </c>
      <c r="E3098" s="9">
        <f>IF($B3095="","",'Daily Sale entry '!J223)</f>
        <v/>
      </c>
      <c r="H3098" s="1" t="inlineStr">
        <is>
          <t>Other Charges 其他费用</t>
        </is>
      </c>
      <c r="I3098" s="9">
        <f>IF($B3095="","",B3098)</f>
        <v/>
      </c>
      <c r="K3098" s="1" t="inlineStr">
        <is>
          <t>Cheque Collection 支票收款</t>
        </is>
      </c>
      <c r="L3098" s="9">
        <f>IF($B3095="","",E3098)</f>
        <v/>
      </c>
    </row>
    <row r="3099">
      <c r="A3099" s="10" t="inlineStr">
        <is>
          <t>Amount 金额  (Cash Sales - Misc - Other)</t>
        </is>
      </c>
      <c r="B3099" s="11">
        <f>IF($B3095="","",ROUND(B3096-B3097-B3098,2))</f>
        <v/>
      </c>
      <c r="D3099" s="12" t="inlineStr">
        <is>
          <t>TNG collection TNG收款</t>
        </is>
      </c>
      <c r="E3099" s="13">
        <f>IF($B3095="","",'Daily Sale entry '!K223)</f>
        <v/>
      </c>
      <c r="H3099" s="10" t="inlineStr">
        <is>
          <t>Amount 金额  (Cash Sales - Misc - Other)</t>
        </is>
      </c>
      <c r="I3099" s="11">
        <f>IF($B3095="","",ROUND(I3096-I3097-I3098,2))</f>
        <v/>
      </c>
      <c r="K3099" s="12" t="inlineStr">
        <is>
          <t>TNG collection TNG收款</t>
        </is>
      </c>
      <c r="L3099" s="13">
        <f>IF($B3095="","",E3099)</f>
        <v/>
      </c>
    </row>
    <row r="3100">
      <c r="A3100" t="inlineStr">
        <is>
          <t>Credit Collection 赊账收款</t>
        </is>
      </c>
      <c r="B3100" s="6">
        <f>IF($B3095="","",'Daily Sale entry '!E223)</f>
        <v/>
      </c>
      <c r="D3100" t="inlineStr">
        <is>
          <t>Advance Salary_M 预支薪水_M</t>
        </is>
      </c>
      <c r="E3100" s="6">
        <f>IF($B3095="","",'Daily Sale entry '!L223)</f>
        <v/>
      </c>
      <c r="H3100" t="inlineStr">
        <is>
          <t>Credit Collection 赊账收款</t>
        </is>
      </c>
      <c r="I3100" s="6">
        <f>IF($B3095="","",B3100)</f>
        <v/>
      </c>
      <c r="K3100" t="inlineStr">
        <is>
          <t>Advance Salary_M 预支薪水_M</t>
        </is>
      </c>
      <c r="L3100" s="6">
        <f>IF($B3095="","",E3100)</f>
        <v/>
      </c>
    </row>
    <row r="3101">
      <c r="A3101" s="10" t="inlineStr">
        <is>
          <t>Amount 2 金额2  (Amount + Credit Collection)</t>
        </is>
      </c>
      <c r="B3101" s="11">
        <f>IF($B3095="","",ROUND(B3099+B3100,2))</f>
        <v/>
      </c>
      <c r="D3101" t="inlineStr">
        <is>
          <t>Advance Salary_H 预支薪水_H</t>
        </is>
      </c>
      <c r="E3101" s="6">
        <f>IF($B3095="","",'Daily Sale entry '!M223)</f>
        <v/>
      </c>
      <c r="H3101" s="10" t="inlineStr">
        <is>
          <t>Amount 2 金额2  (Amount + Credit Collection)</t>
        </is>
      </c>
      <c r="I3101" s="11">
        <f>IF($B3095="","",ROUND(I3099+I3100,2))</f>
        <v/>
      </c>
      <c r="K3101" t="inlineStr">
        <is>
          <t>Advance Salary_H 预支薪水_H</t>
        </is>
      </c>
      <c r="L3101" s="6">
        <f>IF($B3095="","",E3101)</f>
        <v/>
      </c>
    </row>
    <row r="3102"/>
    <row r="3103">
      <c r="A3103" s="1" t="inlineStr">
        <is>
          <t>b/f petty cash 上日备用金结转</t>
        </is>
      </c>
      <c r="B3103" s="9">
        <f>IF($B3095="","",'Daily Sale entry '!F223)</f>
        <v/>
      </c>
      <c r="D3103" s="1" t="n"/>
      <c r="E3103" s="1" t="n"/>
      <c r="H3103" s="1" t="inlineStr">
        <is>
          <t>b/f petty cash 上日备用金结转</t>
        </is>
      </c>
      <c r="I3103" s="9">
        <f>IF($B3095="","",B3103)</f>
        <v/>
      </c>
      <c r="K3103" s="1" t="n"/>
      <c r="L3103" s="1" t="n"/>
    </row>
    <row r="3104">
      <c r="A3104" t="inlineStr">
        <is>
          <t>Total (A) 总计 (A)</t>
        </is>
      </c>
      <c r="B3104" s="6">
        <f>IF($B3095="","",ROUND(B3101+B3103,2))</f>
        <v/>
      </c>
      <c r="D3104" t="inlineStr">
        <is>
          <t>Total(B) 总计 (B)</t>
        </is>
      </c>
      <c r="E3104" s="6">
        <f>IF($B3095="","",ROUND(E3096+E3097+E3098+E3099+E3100+E3101,2))</f>
        <v/>
      </c>
      <c r="H3104" t="inlineStr">
        <is>
          <t>Total© 总计 (C)</t>
        </is>
      </c>
      <c r="I3104" s="6">
        <f>IF($B3095="","",ROUND(I3101+I3103,2))</f>
        <v/>
      </c>
      <c r="K3104" t="inlineStr">
        <is>
          <t>Total(D) 总计 (D)</t>
        </is>
      </c>
      <c r="L3104" s="6">
        <f>IF($B3095="","",ROUND(L3096+L3097+L3098+L3099+L3100+L3101,2))</f>
        <v/>
      </c>
    </row>
    <row r="3105">
      <c r="A3105" s="14" t="inlineStr">
        <is>
          <t>Total = Amount 2 + b/f petty cash  (金额2 + 上日备用金)</t>
        </is>
      </c>
      <c r="H3105" s="14" t="inlineStr">
        <is>
          <t>Total = Amount 2 + b/f petty cash  (金额2 + 上日备用金)</t>
        </is>
      </c>
    </row>
    <row r="3106">
      <c r="A3106" t="inlineStr">
        <is>
          <t>Different 差额</t>
        </is>
      </c>
      <c r="B3106" s="6">
        <f>IF($B3095="","",ROUND(B3104-E3104,2))</f>
        <v/>
      </c>
      <c r="D3106">
        <f>IF($B3095="","",IF(ABS(B3106)&gt;'Opening Balance'!$B$16,"ALERT 警报: Different over RM"&amp;'Opening Balance'!$B$16&amp;" 差额超过RM"&amp;'Opening Balance'!$B$16&amp;" - please check 请检查",IF(B3106=0,"Tied 平衡",IF(ABS(B3106)&lt;='Opening Balance'!$B$13,"Small difference 小额差额: adjusted on c/f petty cash 已调整备用金",IF(B3106&gt;0,"Short 短收: added to Misc Charges 已加入杂项费用","Over 多收: added to Cash Sales 已加入现金销售")))))</f>
        <v/>
      </c>
      <c r="H3106" t="inlineStr">
        <is>
          <t>Different 差额</t>
        </is>
      </c>
      <c r="I3106" s="6">
        <f>IF($B3095="","",ROUND(I3104-L3104,2))</f>
        <v/>
      </c>
    </row>
    <row r="3107"/>
    <row r="3108"/>
    <row r="3109">
      <c r="A3109" t="inlineStr">
        <is>
          <t>Date 日期</t>
        </is>
      </c>
      <c r="B3109" s="5">
        <f>IF('Daily Sale entry '!$A224="","",'Daily Sale entry '!$A224)</f>
        <v/>
      </c>
      <c r="H3109" t="inlineStr">
        <is>
          <t>After 调整后 (After)</t>
        </is>
      </c>
      <c r="I3109" s="5">
        <f>IF($B3109="","",B3109)</f>
        <v/>
      </c>
    </row>
    <row r="3110">
      <c r="A3110" t="inlineStr">
        <is>
          <t>Cash Sales 现金销售</t>
        </is>
      </c>
      <c r="B3110" s="6">
        <f>IF($B3109="","",'Daily Sale entry '!B224)</f>
        <v/>
      </c>
      <c r="D3110" t="inlineStr">
        <is>
          <t>c/f petty cash 今日备用金结转</t>
        </is>
      </c>
      <c r="E3110" s="6">
        <f>IF($B3109="","",'Daily Sale entry '!G224)</f>
        <v/>
      </c>
      <c r="H3110" t="inlineStr">
        <is>
          <t>Cash Sales 现金销售</t>
        </is>
      </c>
      <c r="I3110" s="6">
        <f>IF($B3109="","",IF(AND(ABS(B3120)&gt;'Opening Balance'!$B$13,B3120&lt;0),ROUND(B3110-B3120,2),B3110))</f>
        <v/>
      </c>
      <c r="K3110" t="inlineStr">
        <is>
          <t>c/f petty cash 今日备用金结转</t>
        </is>
      </c>
      <c r="L3110" s="6">
        <f>IF($B3109="","",IF(ABS(B3120)&lt;='Opening Balance'!$B$13,ROUND(E3110+B3120,2),E3110))</f>
        <v/>
      </c>
    </row>
    <row r="3111">
      <c r="A3111" t="inlineStr">
        <is>
          <t>Misc Charges 杂项费用</t>
        </is>
      </c>
      <c r="B3111" s="6">
        <f>IF($B3109="","",'Daily Sale entry '!C224)</f>
        <v/>
      </c>
      <c r="D3111" t="inlineStr">
        <is>
          <t>cash collection 现金收款</t>
        </is>
      </c>
      <c r="E3111" s="6">
        <f>IF($B3109="","",'Daily Sale entry '!H224)</f>
        <v/>
      </c>
      <c r="H3111" t="inlineStr">
        <is>
          <t>Misc Charges 杂项费用</t>
        </is>
      </c>
      <c r="I3111" s="6">
        <f>IF($B3109="","",IF(AND(ABS(B3120)&gt;'Opening Balance'!$B$13,B3120&gt;0),ROUND(B3111+B3120,2),B3111))</f>
        <v/>
      </c>
      <c r="K3111" t="inlineStr">
        <is>
          <t>cash collection 现金收款</t>
        </is>
      </c>
      <c r="L3111" s="6">
        <f>IF($B3109="","",E3111)</f>
        <v/>
      </c>
    </row>
    <row r="3112">
      <c r="A3112" s="1" t="inlineStr">
        <is>
          <t>Other Charges 其他费用</t>
        </is>
      </c>
      <c r="B3112" s="9">
        <f>IF($B3109="","",'Daily Sale entry '!D224)</f>
        <v/>
      </c>
      <c r="D3112" s="1" t="inlineStr">
        <is>
          <t>Cheque Collection 支票收款</t>
        </is>
      </c>
      <c r="E3112" s="9">
        <f>IF($B3109="","",'Daily Sale entry '!J224)</f>
        <v/>
      </c>
      <c r="H3112" s="1" t="inlineStr">
        <is>
          <t>Other Charges 其他费用</t>
        </is>
      </c>
      <c r="I3112" s="9">
        <f>IF($B3109="","",B3112)</f>
        <v/>
      </c>
      <c r="K3112" s="1" t="inlineStr">
        <is>
          <t>Cheque Collection 支票收款</t>
        </is>
      </c>
      <c r="L3112" s="9">
        <f>IF($B3109="","",E3112)</f>
        <v/>
      </c>
    </row>
    <row r="3113">
      <c r="A3113" s="10" t="inlineStr">
        <is>
          <t>Amount 金额  (Cash Sales - Misc - Other)</t>
        </is>
      </c>
      <c r="B3113" s="11">
        <f>IF($B3109="","",ROUND(B3110-B3111-B3112,2))</f>
        <v/>
      </c>
      <c r="D3113" s="12" t="inlineStr">
        <is>
          <t>TNG collection TNG收款</t>
        </is>
      </c>
      <c r="E3113" s="13">
        <f>IF($B3109="","",'Daily Sale entry '!K224)</f>
        <v/>
      </c>
      <c r="H3113" s="10" t="inlineStr">
        <is>
          <t>Amount 金额  (Cash Sales - Misc - Other)</t>
        </is>
      </c>
      <c r="I3113" s="11">
        <f>IF($B3109="","",ROUND(I3110-I3111-I3112,2))</f>
        <v/>
      </c>
      <c r="K3113" s="12" t="inlineStr">
        <is>
          <t>TNG collection TNG收款</t>
        </is>
      </c>
      <c r="L3113" s="13">
        <f>IF($B3109="","",E3113)</f>
        <v/>
      </c>
    </row>
    <row r="3114">
      <c r="A3114" t="inlineStr">
        <is>
          <t>Credit Collection 赊账收款</t>
        </is>
      </c>
      <c r="B3114" s="6">
        <f>IF($B3109="","",'Daily Sale entry '!E224)</f>
        <v/>
      </c>
      <c r="D3114" t="inlineStr">
        <is>
          <t>Advance Salary_M 预支薪水_M</t>
        </is>
      </c>
      <c r="E3114" s="6">
        <f>IF($B3109="","",'Daily Sale entry '!L224)</f>
        <v/>
      </c>
      <c r="H3114" t="inlineStr">
        <is>
          <t>Credit Collection 赊账收款</t>
        </is>
      </c>
      <c r="I3114" s="6">
        <f>IF($B3109="","",B3114)</f>
        <v/>
      </c>
      <c r="K3114" t="inlineStr">
        <is>
          <t>Advance Salary_M 预支薪水_M</t>
        </is>
      </c>
      <c r="L3114" s="6">
        <f>IF($B3109="","",E3114)</f>
        <v/>
      </c>
    </row>
    <row r="3115">
      <c r="A3115" s="10" t="inlineStr">
        <is>
          <t>Amount 2 金额2  (Amount + Credit Collection)</t>
        </is>
      </c>
      <c r="B3115" s="11">
        <f>IF($B3109="","",ROUND(B3113+B3114,2))</f>
        <v/>
      </c>
      <c r="D3115" t="inlineStr">
        <is>
          <t>Advance Salary_H 预支薪水_H</t>
        </is>
      </c>
      <c r="E3115" s="6">
        <f>IF($B3109="","",'Daily Sale entry '!M224)</f>
        <v/>
      </c>
      <c r="H3115" s="10" t="inlineStr">
        <is>
          <t>Amount 2 金额2  (Amount + Credit Collection)</t>
        </is>
      </c>
      <c r="I3115" s="11">
        <f>IF($B3109="","",ROUND(I3113+I3114,2))</f>
        <v/>
      </c>
      <c r="K3115" t="inlineStr">
        <is>
          <t>Advance Salary_H 预支薪水_H</t>
        </is>
      </c>
      <c r="L3115" s="6">
        <f>IF($B3109="","",E3115)</f>
        <v/>
      </c>
    </row>
    <row r="3116"/>
    <row r="3117">
      <c r="A3117" s="1" t="inlineStr">
        <is>
          <t>b/f petty cash 上日备用金结转</t>
        </is>
      </c>
      <c r="B3117" s="9">
        <f>IF($B3109="","",'Daily Sale entry '!F224)</f>
        <v/>
      </c>
      <c r="D3117" s="1" t="n"/>
      <c r="E3117" s="1" t="n"/>
      <c r="H3117" s="1" t="inlineStr">
        <is>
          <t>b/f petty cash 上日备用金结转</t>
        </is>
      </c>
      <c r="I3117" s="9">
        <f>IF($B3109="","",B3117)</f>
        <v/>
      </c>
      <c r="K3117" s="1" t="n"/>
      <c r="L3117" s="1" t="n"/>
    </row>
    <row r="3118">
      <c r="A3118" t="inlineStr">
        <is>
          <t>Total (A) 总计 (A)</t>
        </is>
      </c>
      <c r="B3118" s="6">
        <f>IF($B3109="","",ROUND(B3115+B3117,2))</f>
        <v/>
      </c>
      <c r="D3118" t="inlineStr">
        <is>
          <t>Total(B) 总计 (B)</t>
        </is>
      </c>
      <c r="E3118" s="6">
        <f>IF($B3109="","",ROUND(E3110+E3111+E3112+E3113+E3114+E3115,2))</f>
        <v/>
      </c>
      <c r="H3118" t="inlineStr">
        <is>
          <t>Total© 总计 (C)</t>
        </is>
      </c>
      <c r="I3118" s="6">
        <f>IF($B3109="","",ROUND(I3115+I3117,2))</f>
        <v/>
      </c>
      <c r="K3118" t="inlineStr">
        <is>
          <t>Total(D) 总计 (D)</t>
        </is>
      </c>
      <c r="L3118" s="6">
        <f>IF($B3109="","",ROUND(L3110+L3111+L3112+L3113+L3114+L3115,2))</f>
        <v/>
      </c>
    </row>
    <row r="3119">
      <c r="A3119" s="14" t="inlineStr">
        <is>
          <t>Total = Amount 2 + b/f petty cash  (金额2 + 上日备用金)</t>
        </is>
      </c>
      <c r="H3119" s="14" t="inlineStr">
        <is>
          <t>Total = Amount 2 + b/f petty cash  (金额2 + 上日备用金)</t>
        </is>
      </c>
    </row>
    <row r="3120">
      <c r="A3120" t="inlineStr">
        <is>
          <t>Different 差额</t>
        </is>
      </c>
      <c r="B3120" s="6">
        <f>IF($B3109="","",ROUND(B3118-E3118,2))</f>
        <v/>
      </c>
      <c r="D3120">
        <f>IF($B3109="","",IF(ABS(B3120)&gt;'Opening Balance'!$B$16,"ALERT 警报: Different over RM"&amp;'Opening Balance'!$B$16&amp;" 差额超过RM"&amp;'Opening Balance'!$B$16&amp;" - please check 请检查",IF(B3120=0,"Tied 平衡",IF(ABS(B3120)&lt;='Opening Balance'!$B$13,"Small difference 小额差额: adjusted on c/f petty cash 已调整备用金",IF(B3120&gt;0,"Short 短收: added to Misc Charges 已加入杂项费用","Over 多收: added to Cash Sales 已加入现金销售")))))</f>
        <v/>
      </c>
      <c r="H3120" t="inlineStr">
        <is>
          <t>Different 差额</t>
        </is>
      </c>
      <c r="I3120" s="6">
        <f>IF($B3109="","",ROUND(I3118-L3118,2))</f>
        <v/>
      </c>
    </row>
    <row r="3121"/>
    <row r="3122"/>
    <row r="3123">
      <c r="A3123" t="inlineStr">
        <is>
          <t>Date 日期</t>
        </is>
      </c>
      <c r="B3123" s="5">
        <f>IF('Daily Sale entry '!$A225="","",'Daily Sale entry '!$A225)</f>
        <v/>
      </c>
      <c r="H3123" t="inlineStr">
        <is>
          <t>After 调整后 (After)</t>
        </is>
      </c>
      <c r="I3123" s="5">
        <f>IF($B3123="","",B3123)</f>
        <v/>
      </c>
    </row>
    <row r="3124">
      <c r="A3124" t="inlineStr">
        <is>
          <t>Cash Sales 现金销售</t>
        </is>
      </c>
      <c r="B3124" s="6">
        <f>IF($B3123="","",'Daily Sale entry '!B225)</f>
        <v/>
      </c>
      <c r="D3124" t="inlineStr">
        <is>
          <t>c/f petty cash 今日备用金结转</t>
        </is>
      </c>
      <c r="E3124" s="6">
        <f>IF($B3123="","",'Daily Sale entry '!G225)</f>
        <v/>
      </c>
      <c r="H3124" t="inlineStr">
        <is>
          <t>Cash Sales 现金销售</t>
        </is>
      </c>
      <c r="I3124" s="6">
        <f>IF($B3123="","",IF(AND(ABS(B3134)&gt;'Opening Balance'!$B$13,B3134&lt;0),ROUND(B3124-B3134,2),B3124))</f>
        <v/>
      </c>
      <c r="K3124" t="inlineStr">
        <is>
          <t>c/f petty cash 今日备用金结转</t>
        </is>
      </c>
      <c r="L3124" s="6">
        <f>IF($B3123="","",IF(ABS(B3134)&lt;='Opening Balance'!$B$13,ROUND(E3124+B3134,2),E3124))</f>
        <v/>
      </c>
    </row>
    <row r="3125">
      <c r="A3125" t="inlineStr">
        <is>
          <t>Misc Charges 杂项费用</t>
        </is>
      </c>
      <c r="B3125" s="6">
        <f>IF($B3123="","",'Daily Sale entry '!C225)</f>
        <v/>
      </c>
      <c r="D3125" t="inlineStr">
        <is>
          <t>cash collection 现金收款</t>
        </is>
      </c>
      <c r="E3125" s="6">
        <f>IF($B3123="","",'Daily Sale entry '!H225)</f>
        <v/>
      </c>
      <c r="H3125" t="inlineStr">
        <is>
          <t>Misc Charges 杂项费用</t>
        </is>
      </c>
      <c r="I3125" s="6">
        <f>IF($B3123="","",IF(AND(ABS(B3134)&gt;'Opening Balance'!$B$13,B3134&gt;0),ROUND(B3125+B3134,2),B3125))</f>
        <v/>
      </c>
      <c r="K3125" t="inlineStr">
        <is>
          <t>cash collection 现金收款</t>
        </is>
      </c>
      <c r="L3125" s="6">
        <f>IF($B3123="","",E3125)</f>
        <v/>
      </c>
    </row>
    <row r="3126">
      <c r="A3126" s="1" t="inlineStr">
        <is>
          <t>Other Charges 其他费用</t>
        </is>
      </c>
      <c r="B3126" s="9">
        <f>IF($B3123="","",'Daily Sale entry '!D225)</f>
        <v/>
      </c>
      <c r="D3126" s="1" t="inlineStr">
        <is>
          <t>Cheque Collection 支票收款</t>
        </is>
      </c>
      <c r="E3126" s="9">
        <f>IF($B3123="","",'Daily Sale entry '!J225)</f>
        <v/>
      </c>
      <c r="H3126" s="1" t="inlineStr">
        <is>
          <t>Other Charges 其他费用</t>
        </is>
      </c>
      <c r="I3126" s="9">
        <f>IF($B3123="","",B3126)</f>
        <v/>
      </c>
      <c r="K3126" s="1" t="inlineStr">
        <is>
          <t>Cheque Collection 支票收款</t>
        </is>
      </c>
      <c r="L3126" s="9">
        <f>IF($B3123="","",E3126)</f>
        <v/>
      </c>
    </row>
    <row r="3127">
      <c r="A3127" s="10" t="inlineStr">
        <is>
          <t>Amount 金额  (Cash Sales - Misc - Other)</t>
        </is>
      </c>
      <c r="B3127" s="11">
        <f>IF($B3123="","",ROUND(B3124-B3125-B3126,2))</f>
        <v/>
      </c>
      <c r="D3127" s="12" t="inlineStr">
        <is>
          <t>TNG collection TNG收款</t>
        </is>
      </c>
      <c r="E3127" s="13">
        <f>IF($B3123="","",'Daily Sale entry '!K225)</f>
        <v/>
      </c>
      <c r="H3127" s="10" t="inlineStr">
        <is>
          <t>Amount 金额  (Cash Sales - Misc - Other)</t>
        </is>
      </c>
      <c r="I3127" s="11">
        <f>IF($B3123="","",ROUND(I3124-I3125-I3126,2))</f>
        <v/>
      </c>
      <c r="K3127" s="12" t="inlineStr">
        <is>
          <t>TNG collection TNG收款</t>
        </is>
      </c>
      <c r="L3127" s="13">
        <f>IF($B3123="","",E3127)</f>
        <v/>
      </c>
    </row>
    <row r="3128">
      <c r="A3128" t="inlineStr">
        <is>
          <t>Credit Collection 赊账收款</t>
        </is>
      </c>
      <c r="B3128" s="6">
        <f>IF($B3123="","",'Daily Sale entry '!E225)</f>
        <v/>
      </c>
      <c r="D3128" t="inlineStr">
        <is>
          <t>Advance Salary_M 预支薪水_M</t>
        </is>
      </c>
      <c r="E3128" s="6">
        <f>IF($B3123="","",'Daily Sale entry '!L225)</f>
        <v/>
      </c>
      <c r="H3128" t="inlineStr">
        <is>
          <t>Credit Collection 赊账收款</t>
        </is>
      </c>
      <c r="I3128" s="6">
        <f>IF($B3123="","",B3128)</f>
        <v/>
      </c>
      <c r="K3128" t="inlineStr">
        <is>
          <t>Advance Salary_M 预支薪水_M</t>
        </is>
      </c>
      <c r="L3128" s="6">
        <f>IF($B3123="","",E3128)</f>
        <v/>
      </c>
    </row>
    <row r="3129">
      <c r="A3129" s="10" t="inlineStr">
        <is>
          <t>Amount 2 金额2  (Amount + Credit Collection)</t>
        </is>
      </c>
      <c r="B3129" s="11">
        <f>IF($B3123="","",ROUND(B3127+B3128,2))</f>
        <v/>
      </c>
      <c r="D3129" t="inlineStr">
        <is>
          <t>Advance Salary_H 预支薪水_H</t>
        </is>
      </c>
      <c r="E3129" s="6">
        <f>IF($B3123="","",'Daily Sale entry '!M225)</f>
        <v/>
      </c>
      <c r="H3129" s="10" t="inlineStr">
        <is>
          <t>Amount 2 金额2  (Amount + Credit Collection)</t>
        </is>
      </c>
      <c r="I3129" s="11">
        <f>IF($B3123="","",ROUND(I3127+I3128,2))</f>
        <v/>
      </c>
      <c r="K3129" t="inlineStr">
        <is>
          <t>Advance Salary_H 预支薪水_H</t>
        </is>
      </c>
      <c r="L3129" s="6">
        <f>IF($B3123="","",E3129)</f>
        <v/>
      </c>
    </row>
    <row r="3130"/>
    <row r="3131">
      <c r="A3131" s="1" t="inlineStr">
        <is>
          <t>b/f petty cash 上日备用金结转</t>
        </is>
      </c>
      <c r="B3131" s="9">
        <f>IF($B3123="","",'Daily Sale entry '!F225)</f>
        <v/>
      </c>
      <c r="D3131" s="1" t="n"/>
      <c r="E3131" s="1" t="n"/>
      <c r="H3131" s="1" t="inlineStr">
        <is>
          <t>b/f petty cash 上日备用金结转</t>
        </is>
      </c>
      <c r="I3131" s="9">
        <f>IF($B3123="","",B3131)</f>
        <v/>
      </c>
      <c r="K3131" s="1" t="n"/>
      <c r="L3131" s="1" t="n"/>
    </row>
    <row r="3132">
      <c r="A3132" t="inlineStr">
        <is>
          <t>Total (A) 总计 (A)</t>
        </is>
      </c>
      <c r="B3132" s="6">
        <f>IF($B3123="","",ROUND(B3129+B3131,2))</f>
        <v/>
      </c>
      <c r="D3132" t="inlineStr">
        <is>
          <t>Total(B) 总计 (B)</t>
        </is>
      </c>
      <c r="E3132" s="6">
        <f>IF($B3123="","",ROUND(E3124+E3125+E3126+E3127+E3128+E3129,2))</f>
        <v/>
      </c>
      <c r="H3132" t="inlineStr">
        <is>
          <t>Total© 总计 (C)</t>
        </is>
      </c>
      <c r="I3132" s="6">
        <f>IF($B3123="","",ROUND(I3129+I3131,2))</f>
        <v/>
      </c>
      <c r="K3132" t="inlineStr">
        <is>
          <t>Total(D) 总计 (D)</t>
        </is>
      </c>
      <c r="L3132" s="6">
        <f>IF($B3123="","",ROUND(L3124+L3125+L3126+L3127+L3128+L3129,2))</f>
        <v/>
      </c>
    </row>
    <row r="3133">
      <c r="A3133" s="14" t="inlineStr">
        <is>
          <t>Total = Amount 2 + b/f petty cash  (金额2 + 上日备用金)</t>
        </is>
      </c>
      <c r="H3133" s="14" t="inlineStr">
        <is>
          <t>Total = Amount 2 + b/f petty cash  (金额2 + 上日备用金)</t>
        </is>
      </c>
    </row>
    <row r="3134">
      <c r="A3134" t="inlineStr">
        <is>
          <t>Different 差额</t>
        </is>
      </c>
      <c r="B3134" s="6">
        <f>IF($B3123="","",ROUND(B3132-E3132,2))</f>
        <v/>
      </c>
      <c r="D3134">
        <f>IF($B3123="","",IF(ABS(B3134)&gt;'Opening Balance'!$B$16,"ALERT 警报: Different over RM"&amp;'Opening Balance'!$B$16&amp;" 差额超过RM"&amp;'Opening Balance'!$B$16&amp;" - please check 请检查",IF(B3134=0,"Tied 平衡",IF(ABS(B3134)&lt;='Opening Balance'!$B$13,"Small difference 小额差额: adjusted on c/f petty cash 已调整备用金",IF(B3134&gt;0,"Short 短收: added to Misc Charges 已加入杂项费用","Over 多收: added to Cash Sales 已加入现金销售")))))</f>
        <v/>
      </c>
      <c r="H3134" t="inlineStr">
        <is>
          <t>Different 差额</t>
        </is>
      </c>
      <c r="I3134" s="6">
        <f>IF($B3123="","",ROUND(I3132-L3132,2))</f>
        <v/>
      </c>
    </row>
    <row r="3135"/>
    <row r="3136"/>
    <row r="3137">
      <c r="A3137" t="inlineStr">
        <is>
          <t>Date 日期</t>
        </is>
      </c>
      <c r="B3137" s="5">
        <f>IF('Daily Sale entry '!$A226="","",'Daily Sale entry '!$A226)</f>
        <v/>
      </c>
      <c r="H3137" t="inlineStr">
        <is>
          <t>After 调整后 (After)</t>
        </is>
      </c>
      <c r="I3137" s="5">
        <f>IF($B3137="","",B3137)</f>
        <v/>
      </c>
    </row>
    <row r="3138">
      <c r="A3138" t="inlineStr">
        <is>
          <t>Cash Sales 现金销售</t>
        </is>
      </c>
      <c r="B3138" s="6">
        <f>IF($B3137="","",'Daily Sale entry '!B226)</f>
        <v/>
      </c>
      <c r="D3138" t="inlineStr">
        <is>
          <t>c/f petty cash 今日备用金结转</t>
        </is>
      </c>
      <c r="E3138" s="6">
        <f>IF($B3137="","",'Daily Sale entry '!G226)</f>
        <v/>
      </c>
      <c r="H3138" t="inlineStr">
        <is>
          <t>Cash Sales 现金销售</t>
        </is>
      </c>
      <c r="I3138" s="6">
        <f>IF($B3137="","",IF(AND(ABS(B3148)&gt;'Opening Balance'!$B$13,B3148&lt;0),ROUND(B3138-B3148,2),B3138))</f>
        <v/>
      </c>
      <c r="K3138" t="inlineStr">
        <is>
          <t>c/f petty cash 今日备用金结转</t>
        </is>
      </c>
      <c r="L3138" s="6">
        <f>IF($B3137="","",IF(ABS(B3148)&lt;='Opening Balance'!$B$13,ROUND(E3138+B3148,2),E3138))</f>
        <v/>
      </c>
    </row>
    <row r="3139">
      <c r="A3139" t="inlineStr">
        <is>
          <t>Misc Charges 杂项费用</t>
        </is>
      </c>
      <c r="B3139" s="6">
        <f>IF($B3137="","",'Daily Sale entry '!C226)</f>
        <v/>
      </c>
      <c r="D3139" t="inlineStr">
        <is>
          <t>cash collection 现金收款</t>
        </is>
      </c>
      <c r="E3139" s="6">
        <f>IF($B3137="","",'Daily Sale entry '!H226)</f>
        <v/>
      </c>
      <c r="H3139" t="inlineStr">
        <is>
          <t>Misc Charges 杂项费用</t>
        </is>
      </c>
      <c r="I3139" s="6">
        <f>IF($B3137="","",IF(AND(ABS(B3148)&gt;'Opening Balance'!$B$13,B3148&gt;0),ROUND(B3139+B3148,2),B3139))</f>
        <v/>
      </c>
      <c r="K3139" t="inlineStr">
        <is>
          <t>cash collection 现金收款</t>
        </is>
      </c>
      <c r="L3139" s="6">
        <f>IF($B3137="","",E3139)</f>
        <v/>
      </c>
    </row>
    <row r="3140">
      <c r="A3140" s="1" t="inlineStr">
        <is>
          <t>Other Charges 其他费用</t>
        </is>
      </c>
      <c r="B3140" s="9">
        <f>IF($B3137="","",'Daily Sale entry '!D226)</f>
        <v/>
      </c>
      <c r="D3140" s="1" t="inlineStr">
        <is>
          <t>Cheque Collection 支票收款</t>
        </is>
      </c>
      <c r="E3140" s="9">
        <f>IF($B3137="","",'Daily Sale entry '!J226)</f>
        <v/>
      </c>
      <c r="H3140" s="1" t="inlineStr">
        <is>
          <t>Other Charges 其他费用</t>
        </is>
      </c>
      <c r="I3140" s="9">
        <f>IF($B3137="","",B3140)</f>
        <v/>
      </c>
      <c r="K3140" s="1" t="inlineStr">
        <is>
          <t>Cheque Collection 支票收款</t>
        </is>
      </c>
      <c r="L3140" s="9">
        <f>IF($B3137="","",E3140)</f>
        <v/>
      </c>
    </row>
    <row r="3141">
      <c r="A3141" s="10" t="inlineStr">
        <is>
          <t>Amount 金额  (Cash Sales - Misc - Other)</t>
        </is>
      </c>
      <c r="B3141" s="11">
        <f>IF($B3137="","",ROUND(B3138-B3139-B3140,2))</f>
        <v/>
      </c>
      <c r="D3141" s="12" t="inlineStr">
        <is>
          <t>TNG collection TNG收款</t>
        </is>
      </c>
      <c r="E3141" s="13">
        <f>IF($B3137="","",'Daily Sale entry '!K226)</f>
        <v/>
      </c>
      <c r="H3141" s="10" t="inlineStr">
        <is>
          <t>Amount 金额  (Cash Sales - Misc - Other)</t>
        </is>
      </c>
      <c r="I3141" s="11">
        <f>IF($B3137="","",ROUND(I3138-I3139-I3140,2))</f>
        <v/>
      </c>
      <c r="K3141" s="12" t="inlineStr">
        <is>
          <t>TNG collection TNG收款</t>
        </is>
      </c>
      <c r="L3141" s="13">
        <f>IF($B3137="","",E3141)</f>
        <v/>
      </c>
    </row>
    <row r="3142">
      <c r="A3142" t="inlineStr">
        <is>
          <t>Credit Collection 赊账收款</t>
        </is>
      </c>
      <c r="B3142" s="6">
        <f>IF($B3137="","",'Daily Sale entry '!E226)</f>
        <v/>
      </c>
      <c r="D3142" t="inlineStr">
        <is>
          <t>Advance Salary_M 预支薪水_M</t>
        </is>
      </c>
      <c r="E3142" s="6">
        <f>IF($B3137="","",'Daily Sale entry '!L226)</f>
        <v/>
      </c>
      <c r="H3142" t="inlineStr">
        <is>
          <t>Credit Collection 赊账收款</t>
        </is>
      </c>
      <c r="I3142" s="6">
        <f>IF($B3137="","",B3142)</f>
        <v/>
      </c>
      <c r="K3142" t="inlineStr">
        <is>
          <t>Advance Salary_M 预支薪水_M</t>
        </is>
      </c>
      <c r="L3142" s="6">
        <f>IF($B3137="","",E3142)</f>
        <v/>
      </c>
    </row>
    <row r="3143">
      <c r="A3143" s="10" t="inlineStr">
        <is>
          <t>Amount 2 金额2  (Amount + Credit Collection)</t>
        </is>
      </c>
      <c r="B3143" s="11">
        <f>IF($B3137="","",ROUND(B3141+B3142,2))</f>
        <v/>
      </c>
      <c r="D3143" t="inlineStr">
        <is>
          <t>Advance Salary_H 预支薪水_H</t>
        </is>
      </c>
      <c r="E3143" s="6">
        <f>IF($B3137="","",'Daily Sale entry '!M226)</f>
        <v/>
      </c>
      <c r="H3143" s="10" t="inlineStr">
        <is>
          <t>Amount 2 金额2  (Amount + Credit Collection)</t>
        </is>
      </c>
      <c r="I3143" s="11">
        <f>IF($B3137="","",ROUND(I3141+I3142,2))</f>
        <v/>
      </c>
      <c r="K3143" t="inlineStr">
        <is>
          <t>Advance Salary_H 预支薪水_H</t>
        </is>
      </c>
      <c r="L3143" s="6">
        <f>IF($B3137="","",E3143)</f>
        <v/>
      </c>
    </row>
    <row r="3144"/>
    <row r="3145">
      <c r="A3145" s="1" t="inlineStr">
        <is>
          <t>b/f petty cash 上日备用金结转</t>
        </is>
      </c>
      <c r="B3145" s="9">
        <f>IF($B3137="","",'Daily Sale entry '!F226)</f>
        <v/>
      </c>
      <c r="D3145" s="1" t="n"/>
      <c r="E3145" s="1" t="n"/>
      <c r="H3145" s="1" t="inlineStr">
        <is>
          <t>b/f petty cash 上日备用金结转</t>
        </is>
      </c>
      <c r="I3145" s="9">
        <f>IF($B3137="","",B3145)</f>
        <v/>
      </c>
      <c r="K3145" s="1" t="n"/>
      <c r="L3145" s="1" t="n"/>
    </row>
    <row r="3146">
      <c r="A3146" t="inlineStr">
        <is>
          <t>Total (A) 总计 (A)</t>
        </is>
      </c>
      <c r="B3146" s="6">
        <f>IF($B3137="","",ROUND(B3143+B3145,2))</f>
        <v/>
      </c>
      <c r="D3146" t="inlineStr">
        <is>
          <t>Total(B) 总计 (B)</t>
        </is>
      </c>
      <c r="E3146" s="6">
        <f>IF($B3137="","",ROUND(E3138+E3139+E3140+E3141+E3142+E3143,2))</f>
        <v/>
      </c>
      <c r="H3146" t="inlineStr">
        <is>
          <t>Total© 总计 (C)</t>
        </is>
      </c>
      <c r="I3146" s="6">
        <f>IF($B3137="","",ROUND(I3143+I3145,2))</f>
        <v/>
      </c>
      <c r="K3146" t="inlineStr">
        <is>
          <t>Total(D) 总计 (D)</t>
        </is>
      </c>
      <c r="L3146" s="6">
        <f>IF($B3137="","",ROUND(L3138+L3139+L3140+L3141+L3142+L3143,2))</f>
        <v/>
      </c>
    </row>
    <row r="3147">
      <c r="A3147" s="14" t="inlineStr">
        <is>
          <t>Total = Amount 2 + b/f petty cash  (金额2 + 上日备用金)</t>
        </is>
      </c>
      <c r="H3147" s="14" t="inlineStr">
        <is>
          <t>Total = Amount 2 + b/f petty cash  (金额2 + 上日备用金)</t>
        </is>
      </c>
    </row>
    <row r="3148">
      <c r="A3148" t="inlineStr">
        <is>
          <t>Different 差额</t>
        </is>
      </c>
      <c r="B3148" s="6">
        <f>IF($B3137="","",ROUND(B3146-E3146,2))</f>
        <v/>
      </c>
      <c r="D3148">
        <f>IF($B3137="","",IF(ABS(B3148)&gt;'Opening Balance'!$B$16,"ALERT 警报: Different over RM"&amp;'Opening Balance'!$B$16&amp;" 差额超过RM"&amp;'Opening Balance'!$B$16&amp;" - please check 请检查",IF(B3148=0,"Tied 平衡",IF(ABS(B3148)&lt;='Opening Balance'!$B$13,"Small difference 小额差额: adjusted on c/f petty cash 已调整备用金",IF(B3148&gt;0,"Short 短收: added to Misc Charges 已加入杂项费用","Over 多收: added to Cash Sales 已加入现金销售")))))</f>
        <v/>
      </c>
      <c r="H3148" t="inlineStr">
        <is>
          <t>Different 差额</t>
        </is>
      </c>
      <c r="I3148" s="6">
        <f>IF($B3137="","",ROUND(I3146-L3146,2))</f>
        <v/>
      </c>
    </row>
    <row r="3149"/>
    <row r="3150"/>
    <row r="3151">
      <c r="A3151" t="inlineStr">
        <is>
          <t>Date 日期</t>
        </is>
      </c>
      <c r="B3151" s="5">
        <f>IF('Daily Sale entry '!$A227="","",'Daily Sale entry '!$A227)</f>
        <v/>
      </c>
      <c r="H3151" t="inlineStr">
        <is>
          <t>After 调整后 (After)</t>
        </is>
      </c>
      <c r="I3151" s="5">
        <f>IF($B3151="","",B3151)</f>
        <v/>
      </c>
    </row>
    <row r="3152">
      <c r="A3152" t="inlineStr">
        <is>
          <t>Cash Sales 现金销售</t>
        </is>
      </c>
      <c r="B3152" s="6">
        <f>IF($B3151="","",'Daily Sale entry '!B227)</f>
        <v/>
      </c>
      <c r="D3152" t="inlineStr">
        <is>
          <t>c/f petty cash 今日备用金结转</t>
        </is>
      </c>
      <c r="E3152" s="6">
        <f>IF($B3151="","",'Daily Sale entry '!G227)</f>
        <v/>
      </c>
      <c r="H3152" t="inlineStr">
        <is>
          <t>Cash Sales 现金销售</t>
        </is>
      </c>
      <c r="I3152" s="6">
        <f>IF($B3151="","",IF(AND(ABS(B3162)&gt;'Opening Balance'!$B$13,B3162&lt;0),ROUND(B3152-B3162,2),B3152))</f>
        <v/>
      </c>
      <c r="K3152" t="inlineStr">
        <is>
          <t>c/f petty cash 今日备用金结转</t>
        </is>
      </c>
      <c r="L3152" s="6">
        <f>IF($B3151="","",IF(ABS(B3162)&lt;='Opening Balance'!$B$13,ROUND(E3152+B3162,2),E3152))</f>
        <v/>
      </c>
    </row>
    <row r="3153">
      <c r="A3153" t="inlineStr">
        <is>
          <t>Misc Charges 杂项费用</t>
        </is>
      </c>
      <c r="B3153" s="6">
        <f>IF($B3151="","",'Daily Sale entry '!C227)</f>
        <v/>
      </c>
      <c r="D3153" t="inlineStr">
        <is>
          <t>cash collection 现金收款</t>
        </is>
      </c>
      <c r="E3153" s="6">
        <f>IF($B3151="","",'Daily Sale entry '!H227)</f>
        <v/>
      </c>
      <c r="H3153" t="inlineStr">
        <is>
          <t>Misc Charges 杂项费用</t>
        </is>
      </c>
      <c r="I3153" s="6">
        <f>IF($B3151="","",IF(AND(ABS(B3162)&gt;'Opening Balance'!$B$13,B3162&gt;0),ROUND(B3153+B3162,2),B3153))</f>
        <v/>
      </c>
      <c r="K3153" t="inlineStr">
        <is>
          <t>cash collection 现金收款</t>
        </is>
      </c>
      <c r="L3153" s="6">
        <f>IF($B3151="","",E3153)</f>
        <v/>
      </c>
    </row>
    <row r="3154">
      <c r="A3154" s="1" t="inlineStr">
        <is>
          <t>Other Charges 其他费用</t>
        </is>
      </c>
      <c r="B3154" s="9">
        <f>IF($B3151="","",'Daily Sale entry '!D227)</f>
        <v/>
      </c>
      <c r="D3154" s="1" t="inlineStr">
        <is>
          <t>Cheque Collection 支票收款</t>
        </is>
      </c>
      <c r="E3154" s="9">
        <f>IF($B3151="","",'Daily Sale entry '!J227)</f>
        <v/>
      </c>
      <c r="H3154" s="1" t="inlineStr">
        <is>
          <t>Other Charges 其他费用</t>
        </is>
      </c>
      <c r="I3154" s="9">
        <f>IF($B3151="","",B3154)</f>
        <v/>
      </c>
      <c r="K3154" s="1" t="inlineStr">
        <is>
          <t>Cheque Collection 支票收款</t>
        </is>
      </c>
      <c r="L3154" s="9">
        <f>IF($B3151="","",E3154)</f>
        <v/>
      </c>
    </row>
    <row r="3155">
      <c r="A3155" s="10" t="inlineStr">
        <is>
          <t>Amount 金额  (Cash Sales - Misc - Other)</t>
        </is>
      </c>
      <c r="B3155" s="11">
        <f>IF($B3151="","",ROUND(B3152-B3153-B3154,2))</f>
        <v/>
      </c>
      <c r="D3155" s="12" t="inlineStr">
        <is>
          <t>TNG collection TNG收款</t>
        </is>
      </c>
      <c r="E3155" s="13">
        <f>IF($B3151="","",'Daily Sale entry '!K227)</f>
        <v/>
      </c>
      <c r="H3155" s="10" t="inlineStr">
        <is>
          <t>Amount 金额  (Cash Sales - Misc - Other)</t>
        </is>
      </c>
      <c r="I3155" s="11">
        <f>IF($B3151="","",ROUND(I3152-I3153-I3154,2))</f>
        <v/>
      </c>
      <c r="K3155" s="12" t="inlineStr">
        <is>
          <t>TNG collection TNG收款</t>
        </is>
      </c>
      <c r="L3155" s="13">
        <f>IF($B3151="","",E3155)</f>
        <v/>
      </c>
    </row>
    <row r="3156">
      <c r="A3156" t="inlineStr">
        <is>
          <t>Credit Collection 赊账收款</t>
        </is>
      </c>
      <c r="B3156" s="6">
        <f>IF($B3151="","",'Daily Sale entry '!E227)</f>
        <v/>
      </c>
      <c r="D3156" t="inlineStr">
        <is>
          <t>Advance Salary_M 预支薪水_M</t>
        </is>
      </c>
      <c r="E3156" s="6">
        <f>IF($B3151="","",'Daily Sale entry '!L227)</f>
        <v/>
      </c>
      <c r="H3156" t="inlineStr">
        <is>
          <t>Credit Collection 赊账收款</t>
        </is>
      </c>
      <c r="I3156" s="6">
        <f>IF($B3151="","",B3156)</f>
        <v/>
      </c>
      <c r="K3156" t="inlineStr">
        <is>
          <t>Advance Salary_M 预支薪水_M</t>
        </is>
      </c>
      <c r="L3156" s="6">
        <f>IF($B3151="","",E3156)</f>
        <v/>
      </c>
    </row>
    <row r="3157">
      <c r="A3157" s="10" t="inlineStr">
        <is>
          <t>Amount 2 金额2  (Amount + Credit Collection)</t>
        </is>
      </c>
      <c r="B3157" s="11">
        <f>IF($B3151="","",ROUND(B3155+B3156,2))</f>
        <v/>
      </c>
      <c r="D3157" t="inlineStr">
        <is>
          <t>Advance Salary_H 预支薪水_H</t>
        </is>
      </c>
      <c r="E3157" s="6">
        <f>IF($B3151="","",'Daily Sale entry '!M227)</f>
        <v/>
      </c>
      <c r="H3157" s="10" t="inlineStr">
        <is>
          <t>Amount 2 金额2  (Amount + Credit Collection)</t>
        </is>
      </c>
      <c r="I3157" s="11">
        <f>IF($B3151="","",ROUND(I3155+I3156,2))</f>
        <v/>
      </c>
      <c r="K3157" t="inlineStr">
        <is>
          <t>Advance Salary_H 预支薪水_H</t>
        </is>
      </c>
      <c r="L3157" s="6">
        <f>IF($B3151="","",E3157)</f>
        <v/>
      </c>
    </row>
    <row r="3158"/>
    <row r="3159">
      <c r="A3159" s="1" t="inlineStr">
        <is>
          <t>b/f petty cash 上日备用金结转</t>
        </is>
      </c>
      <c r="B3159" s="9">
        <f>IF($B3151="","",'Daily Sale entry '!F227)</f>
        <v/>
      </c>
      <c r="D3159" s="1" t="n"/>
      <c r="E3159" s="1" t="n"/>
      <c r="H3159" s="1" t="inlineStr">
        <is>
          <t>b/f petty cash 上日备用金结转</t>
        </is>
      </c>
      <c r="I3159" s="9">
        <f>IF($B3151="","",B3159)</f>
        <v/>
      </c>
      <c r="K3159" s="1" t="n"/>
      <c r="L3159" s="1" t="n"/>
    </row>
    <row r="3160">
      <c r="A3160" t="inlineStr">
        <is>
          <t>Total (A) 总计 (A)</t>
        </is>
      </c>
      <c r="B3160" s="6">
        <f>IF($B3151="","",ROUND(B3157+B3159,2))</f>
        <v/>
      </c>
      <c r="D3160" t="inlineStr">
        <is>
          <t>Total(B) 总计 (B)</t>
        </is>
      </c>
      <c r="E3160" s="6">
        <f>IF($B3151="","",ROUND(E3152+E3153+E3154+E3155+E3156+E3157,2))</f>
        <v/>
      </c>
      <c r="H3160" t="inlineStr">
        <is>
          <t>Total© 总计 (C)</t>
        </is>
      </c>
      <c r="I3160" s="6">
        <f>IF($B3151="","",ROUND(I3157+I3159,2))</f>
        <v/>
      </c>
      <c r="K3160" t="inlineStr">
        <is>
          <t>Total(D) 总计 (D)</t>
        </is>
      </c>
      <c r="L3160" s="6">
        <f>IF($B3151="","",ROUND(L3152+L3153+L3154+L3155+L3156+L3157,2))</f>
        <v/>
      </c>
    </row>
    <row r="3161">
      <c r="A3161" s="14" t="inlineStr">
        <is>
          <t>Total = Amount 2 + b/f petty cash  (金额2 + 上日备用金)</t>
        </is>
      </c>
      <c r="H3161" s="14" t="inlineStr">
        <is>
          <t>Total = Amount 2 + b/f petty cash  (金额2 + 上日备用金)</t>
        </is>
      </c>
    </row>
    <row r="3162">
      <c r="A3162" t="inlineStr">
        <is>
          <t>Different 差额</t>
        </is>
      </c>
      <c r="B3162" s="6">
        <f>IF($B3151="","",ROUND(B3160-E3160,2))</f>
        <v/>
      </c>
      <c r="D3162">
        <f>IF($B3151="","",IF(ABS(B3162)&gt;'Opening Balance'!$B$16,"ALERT 警报: Different over RM"&amp;'Opening Balance'!$B$16&amp;" 差额超过RM"&amp;'Opening Balance'!$B$16&amp;" - please check 请检查",IF(B3162=0,"Tied 平衡",IF(ABS(B3162)&lt;='Opening Balance'!$B$13,"Small difference 小额差额: adjusted on c/f petty cash 已调整备用金",IF(B3162&gt;0,"Short 短收: added to Misc Charges 已加入杂项费用","Over 多收: added to Cash Sales 已加入现金销售")))))</f>
        <v/>
      </c>
      <c r="H3162" t="inlineStr">
        <is>
          <t>Different 差额</t>
        </is>
      </c>
      <c r="I3162" s="6">
        <f>IF($B3151="","",ROUND(I3160-L3160,2))</f>
        <v/>
      </c>
    </row>
    <row r="3163"/>
    <row r="3164"/>
    <row r="3165">
      <c r="A3165" t="inlineStr">
        <is>
          <t>Date 日期</t>
        </is>
      </c>
      <c r="B3165" s="5">
        <f>IF('Daily Sale entry '!$A228="","",'Daily Sale entry '!$A228)</f>
        <v/>
      </c>
      <c r="H3165" t="inlineStr">
        <is>
          <t>After 调整后 (After)</t>
        </is>
      </c>
      <c r="I3165" s="5">
        <f>IF($B3165="","",B3165)</f>
        <v/>
      </c>
    </row>
    <row r="3166">
      <c r="A3166" t="inlineStr">
        <is>
          <t>Cash Sales 现金销售</t>
        </is>
      </c>
      <c r="B3166" s="6">
        <f>IF($B3165="","",'Daily Sale entry '!B228)</f>
        <v/>
      </c>
      <c r="D3166" t="inlineStr">
        <is>
          <t>c/f petty cash 今日备用金结转</t>
        </is>
      </c>
      <c r="E3166" s="6">
        <f>IF($B3165="","",'Daily Sale entry '!G228)</f>
        <v/>
      </c>
      <c r="H3166" t="inlineStr">
        <is>
          <t>Cash Sales 现金销售</t>
        </is>
      </c>
      <c r="I3166" s="6">
        <f>IF($B3165="","",IF(AND(ABS(B3176)&gt;'Opening Balance'!$B$13,B3176&lt;0),ROUND(B3166-B3176,2),B3166))</f>
        <v/>
      </c>
      <c r="K3166" t="inlineStr">
        <is>
          <t>c/f petty cash 今日备用金结转</t>
        </is>
      </c>
      <c r="L3166" s="6">
        <f>IF($B3165="","",IF(ABS(B3176)&lt;='Opening Balance'!$B$13,ROUND(E3166+B3176,2),E3166))</f>
        <v/>
      </c>
    </row>
    <row r="3167">
      <c r="A3167" t="inlineStr">
        <is>
          <t>Misc Charges 杂项费用</t>
        </is>
      </c>
      <c r="B3167" s="6">
        <f>IF($B3165="","",'Daily Sale entry '!C228)</f>
        <v/>
      </c>
      <c r="D3167" t="inlineStr">
        <is>
          <t>cash collection 现金收款</t>
        </is>
      </c>
      <c r="E3167" s="6">
        <f>IF($B3165="","",'Daily Sale entry '!H228)</f>
        <v/>
      </c>
      <c r="H3167" t="inlineStr">
        <is>
          <t>Misc Charges 杂项费用</t>
        </is>
      </c>
      <c r="I3167" s="6">
        <f>IF($B3165="","",IF(AND(ABS(B3176)&gt;'Opening Balance'!$B$13,B3176&gt;0),ROUND(B3167+B3176,2),B3167))</f>
        <v/>
      </c>
      <c r="K3167" t="inlineStr">
        <is>
          <t>cash collection 现金收款</t>
        </is>
      </c>
      <c r="L3167" s="6">
        <f>IF($B3165="","",E3167)</f>
        <v/>
      </c>
    </row>
    <row r="3168">
      <c r="A3168" s="1" t="inlineStr">
        <is>
          <t>Other Charges 其他费用</t>
        </is>
      </c>
      <c r="B3168" s="9">
        <f>IF($B3165="","",'Daily Sale entry '!D228)</f>
        <v/>
      </c>
      <c r="D3168" s="1" t="inlineStr">
        <is>
          <t>Cheque Collection 支票收款</t>
        </is>
      </c>
      <c r="E3168" s="9">
        <f>IF($B3165="","",'Daily Sale entry '!J228)</f>
        <v/>
      </c>
      <c r="H3168" s="1" t="inlineStr">
        <is>
          <t>Other Charges 其他费用</t>
        </is>
      </c>
      <c r="I3168" s="9">
        <f>IF($B3165="","",B3168)</f>
        <v/>
      </c>
      <c r="K3168" s="1" t="inlineStr">
        <is>
          <t>Cheque Collection 支票收款</t>
        </is>
      </c>
      <c r="L3168" s="9">
        <f>IF($B3165="","",E3168)</f>
        <v/>
      </c>
    </row>
    <row r="3169">
      <c r="A3169" s="10" t="inlineStr">
        <is>
          <t>Amount 金额  (Cash Sales - Misc - Other)</t>
        </is>
      </c>
      <c r="B3169" s="11">
        <f>IF($B3165="","",ROUND(B3166-B3167-B3168,2))</f>
        <v/>
      </c>
      <c r="D3169" s="12" t="inlineStr">
        <is>
          <t>TNG collection TNG收款</t>
        </is>
      </c>
      <c r="E3169" s="13">
        <f>IF($B3165="","",'Daily Sale entry '!K228)</f>
        <v/>
      </c>
      <c r="H3169" s="10" t="inlineStr">
        <is>
          <t>Amount 金额  (Cash Sales - Misc - Other)</t>
        </is>
      </c>
      <c r="I3169" s="11">
        <f>IF($B3165="","",ROUND(I3166-I3167-I3168,2))</f>
        <v/>
      </c>
      <c r="K3169" s="12" t="inlineStr">
        <is>
          <t>TNG collection TNG收款</t>
        </is>
      </c>
      <c r="L3169" s="13">
        <f>IF($B3165="","",E3169)</f>
        <v/>
      </c>
    </row>
    <row r="3170">
      <c r="A3170" t="inlineStr">
        <is>
          <t>Credit Collection 赊账收款</t>
        </is>
      </c>
      <c r="B3170" s="6">
        <f>IF($B3165="","",'Daily Sale entry '!E228)</f>
        <v/>
      </c>
      <c r="D3170" t="inlineStr">
        <is>
          <t>Advance Salary_M 预支薪水_M</t>
        </is>
      </c>
      <c r="E3170" s="6">
        <f>IF($B3165="","",'Daily Sale entry '!L228)</f>
        <v/>
      </c>
      <c r="H3170" t="inlineStr">
        <is>
          <t>Credit Collection 赊账收款</t>
        </is>
      </c>
      <c r="I3170" s="6">
        <f>IF($B3165="","",B3170)</f>
        <v/>
      </c>
      <c r="K3170" t="inlineStr">
        <is>
          <t>Advance Salary_M 预支薪水_M</t>
        </is>
      </c>
      <c r="L3170" s="6">
        <f>IF($B3165="","",E3170)</f>
        <v/>
      </c>
    </row>
    <row r="3171">
      <c r="A3171" s="10" t="inlineStr">
        <is>
          <t>Amount 2 金额2  (Amount + Credit Collection)</t>
        </is>
      </c>
      <c r="B3171" s="11">
        <f>IF($B3165="","",ROUND(B3169+B3170,2))</f>
        <v/>
      </c>
      <c r="D3171" t="inlineStr">
        <is>
          <t>Advance Salary_H 预支薪水_H</t>
        </is>
      </c>
      <c r="E3171" s="6">
        <f>IF($B3165="","",'Daily Sale entry '!M228)</f>
        <v/>
      </c>
      <c r="H3171" s="10" t="inlineStr">
        <is>
          <t>Amount 2 金额2  (Amount + Credit Collection)</t>
        </is>
      </c>
      <c r="I3171" s="11">
        <f>IF($B3165="","",ROUND(I3169+I3170,2))</f>
        <v/>
      </c>
      <c r="K3171" t="inlineStr">
        <is>
          <t>Advance Salary_H 预支薪水_H</t>
        </is>
      </c>
      <c r="L3171" s="6">
        <f>IF($B3165="","",E3171)</f>
        <v/>
      </c>
    </row>
    <row r="3172"/>
    <row r="3173">
      <c r="A3173" s="1" t="inlineStr">
        <is>
          <t>b/f petty cash 上日备用金结转</t>
        </is>
      </c>
      <c r="B3173" s="9">
        <f>IF($B3165="","",'Daily Sale entry '!F228)</f>
        <v/>
      </c>
      <c r="D3173" s="1" t="n"/>
      <c r="E3173" s="1" t="n"/>
      <c r="H3173" s="1" t="inlineStr">
        <is>
          <t>b/f petty cash 上日备用金结转</t>
        </is>
      </c>
      <c r="I3173" s="9">
        <f>IF($B3165="","",B3173)</f>
        <v/>
      </c>
      <c r="K3173" s="1" t="n"/>
      <c r="L3173" s="1" t="n"/>
    </row>
    <row r="3174">
      <c r="A3174" t="inlineStr">
        <is>
          <t>Total (A) 总计 (A)</t>
        </is>
      </c>
      <c r="B3174" s="6">
        <f>IF($B3165="","",ROUND(B3171+B3173,2))</f>
        <v/>
      </c>
      <c r="D3174" t="inlineStr">
        <is>
          <t>Total(B) 总计 (B)</t>
        </is>
      </c>
      <c r="E3174" s="6">
        <f>IF($B3165="","",ROUND(E3166+E3167+E3168+E3169+E3170+E3171,2))</f>
        <v/>
      </c>
      <c r="H3174" t="inlineStr">
        <is>
          <t>Total© 总计 (C)</t>
        </is>
      </c>
      <c r="I3174" s="6">
        <f>IF($B3165="","",ROUND(I3171+I3173,2))</f>
        <v/>
      </c>
      <c r="K3174" t="inlineStr">
        <is>
          <t>Total(D) 总计 (D)</t>
        </is>
      </c>
      <c r="L3174" s="6">
        <f>IF($B3165="","",ROUND(L3166+L3167+L3168+L3169+L3170+L3171,2))</f>
        <v/>
      </c>
    </row>
    <row r="3175">
      <c r="A3175" s="14" t="inlineStr">
        <is>
          <t>Total = Amount 2 + b/f petty cash  (金额2 + 上日备用金)</t>
        </is>
      </c>
      <c r="H3175" s="14" t="inlineStr">
        <is>
          <t>Total = Amount 2 + b/f petty cash  (金额2 + 上日备用金)</t>
        </is>
      </c>
    </row>
    <row r="3176">
      <c r="A3176" t="inlineStr">
        <is>
          <t>Different 差额</t>
        </is>
      </c>
      <c r="B3176" s="6">
        <f>IF($B3165="","",ROUND(B3174-E3174,2))</f>
        <v/>
      </c>
      <c r="D3176">
        <f>IF($B3165="","",IF(ABS(B3176)&gt;'Opening Balance'!$B$16,"ALERT 警报: Different over RM"&amp;'Opening Balance'!$B$16&amp;" 差额超过RM"&amp;'Opening Balance'!$B$16&amp;" - please check 请检查",IF(B3176=0,"Tied 平衡",IF(ABS(B3176)&lt;='Opening Balance'!$B$13,"Small difference 小额差额: adjusted on c/f petty cash 已调整备用金",IF(B3176&gt;0,"Short 短收: added to Misc Charges 已加入杂项费用","Over 多收: added to Cash Sales 已加入现金销售")))))</f>
        <v/>
      </c>
      <c r="H3176" t="inlineStr">
        <is>
          <t>Different 差额</t>
        </is>
      </c>
      <c r="I3176" s="6">
        <f>IF($B3165="","",ROUND(I3174-L3174,2))</f>
        <v/>
      </c>
    </row>
    <row r="3177"/>
    <row r="3178"/>
    <row r="3179">
      <c r="A3179" t="inlineStr">
        <is>
          <t>Date 日期</t>
        </is>
      </c>
      <c r="B3179" s="5">
        <f>IF('Daily Sale entry '!$A229="","",'Daily Sale entry '!$A229)</f>
        <v/>
      </c>
      <c r="H3179" t="inlineStr">
        <is>
          <t>After 调整后 (After)</t>
        </is>
      </c>
      <c r="I3179" s="5">
        <f>IF($B3179="","",B3179)</f>
        <v/>
      </c>
    </row>
    <row r="3180">
      <c r="A3180" t="inlineStr">
        <is>
          <t>Cash Sales 现金销售</t>
        </is>
      </c>
      <c r="B3180" s="6">
        <f>IF($B3179="","",'Daily Sale entry '!B229)</f>
        <v/>
      </c>
      <c r="D3180" t="inlineStr">
        <is>
          <t>c/f petty cash 今日备用金结转</t>
        </is>
      </c>
      <c r="E3180" s="6">
        <f>IF($B3179="","",'Daily Sale entry '!G229)</f>
        <v/>
      </c>
      <c r="H3180" t="inlineStr">
        <is>
          <t>Cash Sales 现金销售</t>
        </is>
      </c>
      <c r="I3180" s="6">
        <f>IF($B3179="","",IF(AND(ABS(B3190)&gt;'Opening Balance'!$B$13,B3190&lt;0),ROUND(B3180-B3190,2),B3180))</f>
        <v/>
      </c>
      <c r="K3180" t="inlineStr">
        <is>
          <t>c/f petty cash 今日备用金结转</t>
        </is>
      </c>
      <c r="L3180" s="6">
        <f>IF($B3179="","",IF(ABS(B3190)&lt;='Opening Balance'!$B$13,ROUND(E3180+B3190,2),E3180))</f>
        <v/>
      </c>
    </row>
    <row r="3181">
      <c r="A3181" t="inlineStr">
        <is>
          <t>Misc Charges 杂项费用</t>
        </is>
      </c>
      <c r="B3181" s="6">
        <f>IF($B3179="","",'Daily Sale entry '!C229)</f>
        <v/>
      </c>
      <c r="D3181" t="inlineStr">
        <is>
          <t>cash collection 现金收款</t>
        </is>
      </c>
      <c r="E3181" s="6">
        <f>IF($B3179="","",'Daily Sale entry '!H229)</f>
        <v/>
      </c>
      <c r="H3181" t="inlineStr">
        <is>
          <t>Misc Charges 杂项费用</t>
        </is>
      </c>
      <c r="I3181" s="6">
        <f>IF($B3179="","",IF(AND(ABS(B3190)&gt;'Opening Balance'!$B$13,B3190&gt;0),ROUND(B3181+B3190,2),B3181))</f>
        <v/>
      </c>
      <c r="K3181" t="inlineStr">
        <is>
          <t>cash collection 现金收款</t>
        </is>
      </c>
      <c r="L3181" s="6">
        <f>IF($B3179="","",E3181)</f>
        <v/>
      </c>
    </row>
    <row r="3182">
      <c r="A3182" s="1" t="inlineStr">
        <is>
          <t>Other Charges 其他费用</t>
        </is>
      </c>
      <c r="B3182" s="9">
        <f>IF($B3179="","",'Daily Sale entry '!D229)</f>
        <v/>
      </c>
      <c r="D3182" s="1" t="inlineStr">
        <is>
          <t>Cheque Collection 支票收款</t>
        </is>
      </c>
      <c r="E3182" s="9">
        <f>IF($B3179="","",'Daily Sale entry '!J229)</f>
        <v/>
      </c>
      <c r="H3182" s="1" t="inlineStr">
        <is>
          <t>Other Charges 其他费用</t>
        </is>
      </c>
      <c r="I3182" s="9">
        <f>IF($B3179="","",B3182)</f>
        <v/>
      </c>
      <c r="K3182" s="1" t="inlineStr">
        <is>
          <t>Cheque Collection 支票收款</t>
        </is>
      </c>
      <c r="L3182" s="9">
        <f>IF($B3179="","",E3182)</f>
        <v/>
      </c>
    </row>
    <row r="3183">
      <c r="A3183" s="10" t="inlineStr">
        <is>
          <t>Amount 金额  (Cash Sales - Misc - Other)</t>
        </is>
      </c>
      <c r="B3183" s="11">
        <f>IF($B3179="","",ROUND(B3180-B3181-B3182,2))</f>
        <v/>
      </c>
      <c r="D3183" s="12" t="inlineStr">
        <is>
          <t>TNG collection TNG收款</t>
        </is>
      </c>
      <c r="E3183" s="13">
        <f>IF($B3179="","",'Daily Sale entry '!K229)</f>
        <v/>
      </c>
      <c r="H3183" s="10" t="inlineStr">
        <is>
          <t>Amount 金额  (Cash Sales - Misc - Other)</t>
        </is>
      </c>
      <c r="I3183" s="11">
        <f>IF($B3179="","",ROUND(I3180-I3181-I3182,2))</f>
        <v/>
      </c>
      <c r="K3183" s="12" t="inlineStr">
        <is>
          <t>TNG collection TNG收款</t>
        </is>
      </c>
      <c r="L3183" s="13">
        <f>IF($B3179="","",E3183)</f>
        <v/>
      </c>
    </row>
    <row r="3184">
      <c r="A3184" t="inlineStr">
        <is>
          <t>Credit Collection 赊账收款</t>
        </is>
      </c>
      <c r="B3184" s="6">
        <f>IF($B3179="","",'Daily Sale entry '!E229)</f>
        <v/>
      </c>
      <c r="D3184" t="inlineStr">
        <is>
          <t>Advance Salary_M 预支薪水_M</t>
        </is>
      </c>
      <c r="E3184" s="6">
        <f>IF($B3179="","",'Daily Sale entry '!L229)</f>
        <v/>
      </c>
      <c r="H3184" t="inlineStr">
        <is>
          <t>Credit Collection 赊账收款</t>
        </is>
      </c>
      <c r="I3184" s="6">
        <f>IF($B3179="","",B3184)</f>
        <v/>
      </c>
      <c r="K3184" t="inlineStr">
        <is>
          <t>Advance Salary_M 预支薪水_M</t>
        </is>
      </c>
      <c r="L3184" s="6">
        <f>IF($B3179="","",E3184)</f>
        <v/>
      </c>
    </row>
    <row r="3185">
      <c r="A3185" s="10" t="inlineStr">
        <is>
          <t>Amount 2 金额2  (Amount + Credit Collection)</t>
        </is>
      </c>
      <c r="B3185" s="11">
        <f>IF($B3179="","",ROUND(B3183+B3184,2))</f>
        <v/>
      </c>
      <c r="D3185" t="inlineStr">
        <is>
          <t>Advance Salary_H 预支薪水_H</t>
        </is>
      </c>
      <c r="E3185" s="6">
        <f>IF($B3179="","",'Daily Sale entry '!M229)</f>
        <v/>
      </c>
      <c r="H3185" s="10" t="inlineStr">
        <is>
          <t>Amount 2 金额2  (Amount + Credit Collection)</t>
        </is>
      </c>
      <c r="I3185" s="11">
        <f>IF($B3179="","",ROUND(I3183+I3184,2))</f>
        <v/>
      </c>
      <c r="K3185" t="inlineStr">
        <is>
          <t>Advance Salary_H 预支薪水_H</t>
        </is>
      </c>
      <c r="L3185" s="6">
        <f>IF($B3179="","",E3185)</f>
        <v/>
      </c>
    </row>
    <row r="3186"/>
    <row r="3187">
      <c r="A3187" s="1" t="inlineStr">
        <is>
          <t>b/f petty cash 上日备用金结转</t>
        </is>
      </c>
      <c r="B3187" s="9">
        <f>IF($B3179="","",'Daily Sale entry '!F229)</f>
        <v/>
      </c>
      <c r="D3187" s="1" t="n"/>
      <c r="E3187" s="1" t="n"/>
      <c r="H3187" s="1" t="inlineStr">
        <is>
          <t>b/f petty cash 上日备用金结转</t>
        </is>
      </c>
      <c r="I3187" s="9">
        <f>IF($B3179="","",B3187)</f>
        <v/>
      </c>
      <c r="K3187" s="1" t="n"/>
      <c r="L3187" s="1" t="n"/>
    </row>
    <row r="3188">
      <c r="A3188" t="inlineStr">
        <is>
          <t>Total (A) 总计 (A)</t>
        </is>
      </c>
      <c r="B3188" s="6">
        <f>IF($B3179="","",ROUND(B3185+B3187,2))</f>
        <v/>
      </c>
      <c r="D3188" t="inlineStr">
        <is>
          <t>Total(B) 总计 (B)</t>
        </is>
      </c>
      <c r="E3188" s="6">
        <f>IF($B3179="","",ROUND(E3180+E3181+E3182+E3183+E3184+E3185,2))</f>
        <v/>
      </c>
      <c r="H3188" t="inlineStr">
        <is>
          <t>Total© 总计 (C)</t>
        </is>
      </c>
      <c r="I3188" s="6">
        <f>IF($B3179="","",ROUND(I3185+I3187,2))</f>
        <v/>
      </c>
      <c r="K3188" t="inlineStr">
        <is>
          <t>Total(D) 总计 (D)</t>
        </is>
      </c>
      <c r="L3188" s="6">
        <f>IF($B3179="","",ROUND(L3180+L3181+L3182+L3183+L3184+L3185,2))</f>
        <v/>
      </c>
    </row>
    <row r="3189">
      <c r="A3189" s="14" t="inlineStr">
        <is>
          <t>Total = Amount 2 + b/f petty cash  (金额2 + 上日备用金)</t>
        </is>
      </c>
      <c r="H3189" s="14" t="inlineStr">
        <is>
          <t>Total = Amount 2 + b/f petty cash  (金额2 + 上日备用金)</t>
        </is>
      </c>
    </row>
    <row r="3190">
      <c r="A3190" t="inlineStr">
        <is>
          <t>Different 差额</t>
        </is>
      </c>
      <c r="B3190" s="6">
        <f>IF($B3179="","",ROUND(B3188-E3188,2))</f>
        <v/>
      </c>
      <c r="D3190">
        <f>IF($B3179="","",IF(ABS(B3190)&gt;'Opening Balance'!$B$16,"ALERT 警报: Different over RM"&amp;'Opening Balance'!$B$16&amp;" 差额超过RM"&amp;'Opening Balance'!$B$16&amp;" - please check 请检查",IF(B3190=0,"Tied 平衡",IF(ABS(B3190)&lt;='Opening Balance'!$B$13,"Small difference 小额差额: adjusted on c/f petty cash 已调整备用金",IF(B3190&gt;0,"Short 短收: added to Misc Charges 已加入杂项费用","Over 多收: added to Cash Sales 已加入现金销售")))))</f>
        <v/>
      </c>
      <c r="H3190" t="inlineStr">
        <is>
          <t>Different 差额</t>
        </is>
      </c>
      <c r="I3190" s="6">
        <f>IF($B3179="","",ROUND(I3188-L3188,2))</f>
        <v/>
      </c>
    </row>
    <row r="3191"/>
    <row r="3192"/>
    <row r="3193">
      <c r="A3193" t="inlineStr">
        <is>
          <t>Date 日期</t>
        </is>
      </c>
      <c r="B3193" s="5">
        <f>IF('Daily Sale entry '!$A230="","",'Daily Sale entry '!$A230)</f>
        <v/>
      </c>
      <c r="H3193" t="inlineStr">
        <is>
          <t>After 调整后 (After)</t>
        </is>
      </c>
      <c r="I3193" s="5">
        <f>IF($B3193="","",B3193)</f>
        <v/>
      </c>
    </row>
    <row r="3194">
      <c r="A3194" t="inlineStr">
        <is>
          <t>Cash Sales 现金销售</t>
        </is>
      </c>
      <c r="B3194" s="6">
        <f>IF($B3193="","",'Daily Sale entry '!B230)</f>
        <v/>
      </c>
      <c r="D3194" t="inlineStr">
        <is>
          <t>c/f petty cash 今日备用金结转</t>
        </is>
      </c>
      <c r="E3194" s="6">
        <f>IF($B3193="","",'Daily Sale entry '!G230)</f>
        <v/>
      </c>
      <c r="H3194" t="inlineStr">
        <is>
          <t>Cash Sales 现金销售</t>
        </is>
      </c>
      <c r="I3194" s="6">
        <f>IF($B3193="","",IF(AND(ABS(B3204)&gt;'Opening Balance'!$B$13,B3204&lt;0),ROUND(B3194-B3204,2),B3194))</f>
        <v/>
      </c>
      <c r="K3194" t="inlineStr">
        <is>
          <t>c/f petty cash 今日备用金结转</t>
        </is>
      </c>
      <c r="L3194" s="6">
        <f>IF($B3193="","",IF(ABS(B3204)&lt;='Opening Balance'!$B$13,ROUND(E3194+B3204,2),E3194))</f>
        <v/>
      </c>
    </row>
    <row r="3195">
      <c r="A3195" t="inlineStr">
        <is>
          <t>Misc Charges 杂项费用</t>
        </is>
      </c>
      <c r="B3195" s="6">
        <f>IF($B3193="","",'Daily Sale entry '!C230)</f>
        <v/>
      </c>
      <c r="D3195" t="inlineStr">
        <is>
          <t>cash collection 现金收款</t>
        </is>
      </c>
      <c r="E3195" s="6">
        <f>IF($B3193="","",'Daily Sale entry '!H230)</f>
        <v/>
      </c>
      <c r="H3195" t="inlineStr">
        <is>
          <t>Misc Charges 杂项费用</t>
        </is>
      </c>
      <c r="I3195" s="6">
        <f>IF($B3193="","",IF(AND(ABS(B3204)&gt;'Opening Balance'!$B$13,B3204&gt;0),ROUND(B3195+B3204,2),B3195))</f>
        <v/>
      </c>
      <c r="K3195" t="inlineStr">
        <is>
          <t>cash collection 现金收款</t>
        </is>
      </c>
      <c r="L3195" s="6">
        <f>IF($B3193="","",E3195)</f>
        <v/>
      </c>
    </row>
    <row r="3196">
      <c r="A3196" s="1" t="inlineStr">
        <is>
          <t>Other Charges 其他费用</t>
        </is>
      </c>
      <c r="B3196" s="9">
        <f>IF($B3193="","",'Daily Sale entry '!D230)</f>
        <v/>
      </c>
      <c r="D3196" s="1" t="inlineStr">
        <is>
          <t>Cheque Collection 支票收款</t>
        </is>
      </c>
      <c r="E3196" s="9">
        <f>IF($B3193="","",'Daily Sale entry '!J230)</f>
        <v/>
      </c>
      <c r="H3196" s="1" t="inlineStr">
        <is>
          <t>Other Charges 其他费用</t>
        </is>
      </c>
      <c r="I3196" s="9">
        <f>IF($B3193="","",B3196)</f>
        <v/>
      </c>
      <c r="K3196" s="1" t="inlineStr">
        <is>
          <t>Cheque Collection 支票收款</t>
        </is>
      </c>
      <c r="L3196" s="9">
        <f>IF($B3193="","",E3196)</f>
        <v/>
      </c>
    </row>
    <row r="3197">
      <c r="A3197" s="10" t="inlineStr">
        <is>
          <t>Amount 金额  (Cash Sales - Misc - Other)</t>
        </is>
      </c>
      <c r="B3197" s="11">
        <f>IF($B3193="","",ROUND(B3194-B3195-B3196,2))</f>
        <v/>
      </c>
      <c r="D3197" s="12" t="inlineStr">
        <is>
          <t>TNG collection TNG收款</t>
        </is>
      </c>
      <c r="E3197" s="13">
        <f>IF($B3193="","",'Daily Sale entry '!K230)</f>
        <v/>
      </c>
      <c r="H3197" s="10" t="inlineStr">
        <is>
          <t>Amount 金额  (Cash Sales - Misc - Other)</t>
        </is>
      </c>
      <c r="I3197" s="11">
        <f>IF($B3193="","",ROUND(I3194-I3195-I3196,2))</f>
        <v/>
      </c>
      <c r="K3197" s="12" t="inlineStr">
        <is>
          <t>TNG collection TNG收款</t>
        </is>
      </c>
      <c r="L3197" s="13">
        <f>IF($B3193="","",E3197)</f>
        <v/>
      </c>
    </row>
    <row r="3198">
      <c r="A3198" t="inlineStr">
        <is>
          <t>Credit Collection 赊账收款</t>
        </is>
      </c>
      <c r="B3198" s="6">
        <f>IF($B3193="","",'Daily Sale entry '!E230)</f>
        <v/>
      </c>
      <c r="D3198" t="inlineStr">
        <is>
          <t>Advance Salary_M 预支薪水_M</t>
        </is>
      </c>
      <c r="E3198" s="6">
        <f>IF($B3193="","",'Daily Sale entry '!L230)</f>
        <v/>
      </c>
      <c r="H3198" t="inlineStr">
        <is>
          <t>Credit Collection 赊账收款</t>
        </is>
      </c>
      <c r="I3198" s="6">
        <f>IF($B3193="","",B3198)</f>
        <v/>
      </c>
      <c r="K3198" t="inlineStr">
        <is>
          <t>Advance Salary_M 预支薪水_M</t>
        </is>
      </c>
      <c r="L3198" s="6">
        <f>IF($B3193="","",E3198)</f>
        <v/>
      </c>
    </row>
    <row r="3199">
      <c r="A3199" s="10" t="inlineStr">
        <is>
          <t>Amount 2 金额2  (Amount + Credit Collection)</t>
        </is>
      </c>
      <c r="B3199" s="11">
        <f>IF($B3193="","",ROUND(B3197+B3198,2))</f>
        <v/>
      </c>
      <c r="D3199" t="inlineStr">
        <is>
          <t>Advance Salary_H 预支薪水_H</t>
        </is>
      </c>
      <c r="E3199" s="6">
        <f>IF($B3193="","",'Daily Sale entry '!M230)</f>
        <v/>
      </c>
      <c r="H3199" s="10" t="inlineStr">
        <is>
          <t>Amount 2 金额2  (Amount + Credit Collection)</t>
        </is>
      </c>
      <c r="I3199" s="11">
        <f>IF($B3193="","",ROUND(I3197+I3198,2))</f>
        <v/>
      </c>
      <c r="K3199" t="inlineStr">
        <is>
          <t>Advance Salary_H 预支薪水_H</t>
        </is>
      </c>
      <c r="L3199" s="6">
        <f>IF($B3193="","",E3199)</f>
        <v/>
      </c>
    </row>
    <row r="3200"/>
    <row r="3201">
      <c r="A3201" s="1" t="inlineStr">
        <is>
          <t>b/f petty cash 上日备用金结转</t>
        </is>
      </c>
      <c r="B3201" s="9">
        <f>IF($B3193="","",'Daily Sale entry '!F230)</f>
        <v/>
      </c>
      <c r="D3201" s="1" t="n"/>
      <c r="E3201" s="1" t="n"/>
      <c r="H3201" s="1" t="inlineStr">
        <is>
          <t>b/f petty cash 上日备用金结转</t>
        </is>
      </c>
      <c r="I3201" s="9">
        <f>IF($B3193="","",B3201)</f>
        <v/>
      </c>
      <c r="K3201" s="1" t="n"/>
      <c r="L3201" s="1" t="n"/>
    </row>
    <row r="3202">
      <c r="A3202" t="inlineStr">
        <is>
          <t>Total (A) 总计 (A)</t>
        </is>
      </c>
      <c r="B3202" s="6">
        <f>IF($B3193="","",ROUND(B3199+B3201,2))</f>
        <v/>
      </c>
      <c r="D3202" t="inlineStr">
        <is>
          <t>Total(B) 总计 (B)</t>
        </is>
      </c>
      <c r="E3202" s="6">
        <f>IF($B3193="","",ROUND(E3194+E3195+E3196+E3197+E3198+E3199,2))</f>
        <v/>
      </c>
      <c r="H3202" t="inlineStr">
        <is>
          <t>Total© 总计 (C)</t>
        </is>
      </c>
      <c r="I3202" s="6">
        <f>IF($B3193="","",ROUND(I3199+I3201,2))</f>
        <v/>
      </c>
      <c r="K3202" t="inlineStr">
        <is>
          <t>Total(D) 总计 (D)</t>
        </is>
      </c>
      <c r="L3202" s="6">
        <f>IF($B3193="","",ROUND(L3194+L3195+L3196+L3197+L3198+L3199,2))</f>
        <v/>
      </c>
    </row>
    <row r="3203">
      <c r="A3203" s="14" t="inlineStr">
        <is>
          <t>Total = Amount 2 + b/f petty cash  (金额2 + 上日备用金)</t>
        </is>
      </c>
      <c r="H3203" s="14" t="inlineStr">
        <is>
          <t>Total = Amount 2 + b/f petty cash  (金额2 + 上日备用金)</t>
        </is>
      </c>
    </row>
    <row r="3204">
      <c r="A3204" t="inlineStr">
        <is>
          <t>Different 差额</t>
        </is>
      </c>
      <c r="B3204" s="6">
        <f>IF($B3193="","",ROUND(B3202-E3202,2))</f>
        <v/>
      </c>
      <c r="D3204">
        <f>IF($B3193="","",IF(ABS(B3204)&gt;'Opening Balance'!$B$16,"ALERT 警报: Different over RM"&amp;'Opening Balance'!$B$16&amp;" 差额超过RM"&amp;'Opening Balance'!$B$16&amp;" - please check 请检查",IF(B3204=0,"Tied 平衡",IF(ABS(B3204)&lt;='Opening Balance'!$B$13,"Small difference 小额差额: adjusted on c/f petty cash 已调整备用金",IF(B3204&gt;0,"Short 短收: added to Misc Charges 已加入杂项费用","Over 多收: added to Cash Sales 已加入现金销售")))))</f>
        <v/>
      </c>
      <c r="H3204" t="inlineStr">
        <is>
          <t>Different 差额</t>
        </is>
      </c>
      <c r="I3204" s="6">
        <f>IF($B3193="","",ROUND(I3202-L3202,2))</f>
        <v/>
      </c>
    </row>
    <row r="3205"/>
    <row r="3206"/>
    <row r="3207">
      <c r="A3207" t="inlineStr">
        <is>
          <t>Date 日期</t>
        </is>
      </c>
      <c r="B3207" s="5">
        <f>IF('Daily Sale entry '!$A231="","",'Daily Sale entry '!$A231)</f>
        <v/>
      </c>
      <c r="H3207" t="inlineStr">
        <is>
          <t>After 调整后 (After)</t>
        </is>
      </c>
      <c r="I3207" s="5">
        <f>IF($B3207="","",B3207)</f>
        <v/>
      </c>
    </row>
    <row r="3208">
      <c r="A3208" t="inlineStr">
        <is>
          <t>Cash Sales 现金销售</t>
        </is>
      </c>
      <c r="B3208" s="6">
        <f>IF($B3207="","",'Daily Sale entry '!B231)</f>
        <v/>
      </c>
      <c r="D3208" t="inlineStr">
        <is>
          <t>c/f petty cash 今日备用金结转</t>
        </is>
      </c>
      <c r="E3208" s="6">
        <f>IF($B3207="","",'Daily Sale entry '!G231)</f>
        <v/>
      </c>
      <c r="H3208" t="inlineStr">
        <is>
          <t>Cash Sales 现金销售</t>
        </is>
      </c>
      <c r="I3208" s="6">
        <f>IF($B3207="","",IF(AND(ABS(B3218)&gt;'Opening Balance'!$B$13,B3218&lt;0),ROUND(B3208-B3218,2),B3208))</f>
        <v/>
      </c>
      <c r="K3208" t="inlineStr">
        <is>
          <t>c/f petty cash 今日备用金结转</t>
        </is>
      </c>
      <c r="L3208" s="6">
        <f>IF($B3207="","",IF(ABS(B3218)&lt;='Opening Balance'!$B$13,ROUND(E3208+B3218,2),E3208))</f>
        <v/>
      </c>
    </row>
    <row r="3209">
      <c r="A3209" t="inlineStr">
        <is>
          <t>Misc Charges 杂项费用</t>
        </is>
      </c>
      <c r="B3209" s="6">
        <f>IF($B3207="","",'Daily Sale entry '!C231)</f>
        <v/>
      </c>
      <c r="D3209" t="inlineStr">
        <is>
          <t>cash collection 现金收款</t>
        </is>
      </c>
      <c r="E3209" s="6">
        <f>IF($B3207="","",'Daily Sale entry '!H231)</f>
        <v/>
      </c>
      <c r="H3209" t="inlineStr">
        <is>
          <t>Misc Charges 杂项费用</t>
        </is>
      </c>
      <c r="I3209" s="6">
        <f>IF($B3207="","",IF(AND(ABS(B3218)&gt;'Opening Balance'!$B$13,B3218&gt;0),ROUND(B3209+B3218,2),B3209))</f>
        <v/>
      </c>
      <c r="K3209" t="inlineStr">
        <is>
          <t>cash collection 现金收款</t>
        </is>
      </c>
      <c r="L3209" s="6">
        <f>IF($B3207="","",E3209)</f>
        <v/>
      </c>
    </row>
    <row r="3210">
      <c r="A3210" s="1" t="inlineStr">
        <is>
          <t>Other Charges 其他费用</t>
        </is>
      </c>
      <c r="B3210" s="9">
        <f>IF($B3207="","",'Daily Sale entry '!D231)</f>
        <v/>
      </c>
      <c r="D3210" s="1" t="inlineStr">
        <is>
          <t>Cheque Collection 支票收款</t>
        </is>
      </c>
      <c r="E3210" s="9">
        <f>IF($B3207="","",'Daily Sale entry '!J231)</f>
        <v/>
      </c>
      <c r="H3210" s="1" t="inlineStr">
        <is>
          <t>Other Charges 其他费用</t>
        </is>
      </c>
      <c r="I3210" s="9">
        <f>IF($B3207="","",B3210)</f>
        <v/>
      </c>
      <c r="K3210" s="1" t="inlineStr">
        <is>
          <t>Cheque Collection 支票收款</t>
        </is>
      </c>
      <c r="L3210" s="9">
        <f>IF($B3207="","",E3210)</f>
        <v/>
      </c>
    </row>
    <row r="3211">
      <c r="A3211" s="10" t="inlineStr">
        <is>
          <t>Amount 金额  (Cash Sales - Misc - Other)</t>
        </is>
      </c>
      <c r="B3211" s="11">
        <f>IF($B3207="","",ROUND(B3208-B3209-B3210,2))</f>
        <v/>
      </c>
      <c r="D3211" s="12" t="inlineStr">
        <is>
          <t>TNG collection TNG收款</t>
        </is>
      </c>
      <c r="E3211" s="13">
        <f>IF($B3207="","",'Daily Sale entry '!K231)</f>
        <v/>
      </c>
      <c r="H3211" s="10" t="inlineStr">
        <is>
          <t>Amount 金额  (Cash Sales - Misc - Other)</t>
        </is>
      </c>
      <c r="I3211" s="11">
        <f>IF($B3207="","",ROUND(I3208-I3209-I3210,2))</f>
        <v/>
      </c>
      <c r="K3211" s="12" t="inlineStr">
        <is>
          <t>TNG collection TNG收款</t>
        </is>
      </c>
      <c r="L3211" s="13">
        <f>IF($B3207="","",E3211)</f>
        <v/>
      </c>
    </row>
    <row r="3212">
      <c r="A3212" t="inlineStr">
        <is>
          <t>Credit Collection 赊账收款</t>
        </is>
      </c>
      <c r="B3212" s="6">
        <f>IF($B3207="","",'Daily Sale entry '!E231)</f>
        <v/>
      </c>
      <c r="D3212" t="inlineStr">
        <is>
          <t>Advance Salary_M 预支薪水_M</t>
        </is>
      </c>
      <c r="E3212" s="6">
        <f>IF($B3207="","",'Daily Sale entry '!L231)</f>
        <v/>
      </c>
      <c r="H3212" t="inlineStr">
        <is>
          <t>Credit Collection 赊账收款</t>
        </is>
      </c>
      <c r="I3212" s="6">
        <f>IF($B3207="","",B3212)</f>
        <v/>
      </c>
      <c r="K3212" t="inlineStr">
        <is>
          <t>Advance Salary_M 预支薪水_M</t>
        </is>
      </c>
      <c r="L3212" s="6">
        <f>IF($B3207="","",E3212)</f>
        <v/>
      </c>
    </row>
    <row r="3213">
      <c r="A3213" s="10" t="inlineStr">
        <is>
          <t>Amount 2 金额2  (Amount + Credit Collection)</t>
        </is>
      </c>
      <c r="B3213" s="11">
        <f>IF($B3207="","",ROUND(B3211+B3212,2))</f>
        <v/>
      </c>
      <c r="D3213" t="inlineStr">
        <is>
          <t>Advance Salary_H 预支薪水_H</t>
        </is>
      </c>
      <c r="E3213" s="6">
        <f>IF($B3207="","",'Daily Sale entry '!M231)</f>
        <v/>
      </c>
      <c r="H3213" s="10" t="inlineStr">
        <is>
          <t>Amount 2 金额2  (Amount + Credit Collection)</t>
        </is>
      </c>
      <c r="I3213" s="11">
        <f>IF($B3207="","",ROUND(I3211+I3212,2))</f>
        <v/>
      </c>
      <c r="K3213" t="inlineStr">
        <is>
          <t>Advance Salary_H 预支薪水_H</t>
        </is>
      </c>
      <c r="L3213" s="6">
        <f>IF($B3207="","",E3213)</f>
        <v/>
      </c>
    </row>
    <row r="3214"/>
    <row r="3215">
      <c r="A3215" s="1" t="inlineStr">
        <is>
          <t>b/f petty cash 上日备用金结转</t>
        </is>
      </c>
      <c r="B3215" s="9">
        <f>IF($B3207="","",'Daily Sale entry '!F231)</f>
        <v/>
      </c>
      <c r="D3215" s="1" t="n"/>
      <c r="E3215" s="1" t="n"/>
      <c r="H3215" s="1" t="inlineStr">
        <is>
          <t>b/f petty cash 上日备用金结转</t>
        </is>
      </c>
      <c r="I3215" s="9">
        <f>IF($B3207="","",B3215)</f>
        <v/>
      </c>
      <c r="K3215" s="1" t="n"/>
      <c r="L3215" s="1" t="n"/>
    </row>
    <row r="3216">
      <c r="A3216" t="inlineStr">
        <is>
          <t>Total (A) 总计 (A)</t>
        </is>
      </c>
      <c r="B3216" s="6">
        <f>IF($B3207="","",ROUND(B3213+B3215,2))</f>
        <v/>
      </c>
      <c r="D3216" t="inlineStr">
        <is>
          <t>Total(B) 总计 (B)</t>
        </is>
      </c>
      <c r="E3216" s="6">
        <f>IF($B3207="","",ROUND(E3208+E3209+E3210+E3211+E3212+E3213,2))</f>
        <v/>
      </c>
      <c r="H3216" t="inlineStr">
        <is>
          <t>Total© 总计 (C)</t>
        </is>
      </c>
      <c r="I3216" s="6">
        <f>IF($B3207="","",ROUND(I3213+I3215,2))</f>
        <v/>
      </c>
      <c r="K3216" t="inlineStr">
        <is>
          <t>Total(D) 总计 (D)</t>
        </is>
      </c>
      <c r="L3216" s="6">
        <f>IF($B3207="","",ROUND(L3208+L3209+L3210+L3211+L3212+L3213,2))</f>
        <v/>
      </c>
    </row>
    <row r="3217">
      <c r="A3217" s="14" t="inlineStr">
        <is>
          <t>Total = Amount 2 + b/f petty cash  (金额2 + 上日备用金)</t>
        </is>
      </c>
      <c r="H3217" s="14" t="inlineStr">
        <is>
          <t>Total = Amount 2 + b/f petty cash  (金额2 + 上日备用金)</t>
        </is>
      </c>
    </row>
    <row r="3218">
      <c r="A3218" t="inlineStr">
        <is>
          <t>Different 差额</t>
        </is>
      </c>
      <c r="B3218" s="6">
        <f>IF($B3207="","",ROUND(B3216-E3216,2))</f>
        <v/>
      </c>
      <c r="D3218">
        <f>IF($B3207="","",IF(ABS(B3218)&gt;'Opening Balance'!$B$16,"ALERT 警报: Different over RM"&amp;'Opening Balance'!$B$16&amp;" 差额超过RM"&amp;'Opening Balance'!$B$16&amp;" - please check 请检查",IF(B3218=0,"Tied 平衡",IF(ABS(B3218)&lt;='Opening Balance'!$B$13,"Small difference 小额差额: adjusted on c/f petty cash 已调整备用金",IF(B3218&gt;0,"Short 短收: added to Misc Charges 已加入杂项费用","Over 多收: added to Cash Sales 已加入现金销售")))))</f>
        <v/>
      </c>
      <c r="H3218" t="inlineStr">
        <is>
          <t>Different 差额</t>
        </is>
      </c>
      <c r="I3218" s="6">
        <f>IF($B3207="","",ROUND(I3216-L3216,2))</f>
        <v/>
      </c>
    </row>
    <row r="3219"/>
    <row r="3220"/>
    <row r="3221">
      <c r="A3221" t="inlineStr">
        <is>
          <t>Date 日期</t>
        </is>
      </c>
      <c r="B3221" s="5">
        <f>IF('Daily Sale entry '!$A232="","",'Daily Sale entry '!$A232)</f>
        <v/>
      </c>
      <c r="H3221" t="inlineStr">
        <is>
          <t>After 调整后 (After)</t>
        </is>
      </c>
      <c r="I3221" s="5">
        <f>IF($B3221="","",B3221)</f>
        <v/>
      </c>
    </row>
    <row r="3222">
      <c r="A3222" t="inlineStr">
        <is>
          <t>Cash Sales 现金销售</t>
        </is>
      </c>
      <c r="B3222" s="6">
        <f>IF($B3221="","",'Daily Sale entry '!B232)</f>
        <v/>
      </c>
      <c r="D3222" t="inlineStr">
        <is>
          <t>c/f petty cash 今日备用金结转</t>
        </is>
      </c>
      <c r="E3222" s="6">
        <f>IF($B3221="","",'Daily Sale entry '!G232)</f>
        <v/>
      </c>
      <c r="H3222" t="inlineStr">
        <is>
          <t>Cash Sales 现金销售</t>
        </is>
      </c>
      <c r="I3222" s="6">
        <f>IF($B3221="","",IF(AND(ABS(B3232)&gt;'Opening Balance'!$B$13,B3232&lt;0),ROUND(B3222-B3232,2),B3222))</f>
        <v/>
      </c>
      <c r="K3222" t="inlineStr">
        <is>
          <t>c/f petty cash 今日备用金结转</t>
        </is>
      </c>
      <c r="L3222" s="6">
        <f>IF($B3221="","",IF(ABS(B3232)&lt;='Opening Balance'!$B$13,ROUND(E3222+B3232,2),E3222))</f>
        <v/>
      </c>
    </row>
    <row r="3223">
      <c r="A3223" t="inlineStr">
        <is>
          <t>Misc Charges 杂项费用</t>
        </is>
      </c>
      <c r="B3223" s="6">
        <f>IF($B3221="","",'Daily Sale entry '!C232)</f>
        <v/>
      </c>
      <c r="D3223" t="inlineStr">
        <is>
          <t>cash collection 现金收款</t>
        </is>
      </c>
      <c r="E3223" s="6">
        <f>IF($B3221="","",'Daily Sale entry '!H232)</f>
        <v/>
      </c>
      <c r="H3223" t="inlineStr">
        <is>
          <t>Misc Charges 杂项费用</t>
        </is>
      </c>
      <c r="I3223" s="6">
        <f>IF($B3221="","",IF(AND(ABS(B3232)&gt;'Opening Balance'!$B$13,B3232&gt;0),ROUND(B3223+B3232,2),B3223))</f>
        <v/>
      </c>
      <c r="K3223" t="inlineStr">
        <is>
          <t>cash collection 现金收款</t>
        </is>
      </c>
      <c r="L3223" s="6">
        <f>IF($B3221="","",E3223)</f>
        <v/>
      </c>
    </row>
    <row r="3224">
      <c r="A3224" s="1" t="inlineStr">
        <is>
          <t>Other Charges 其他费用</t>
        </is>
      </c>
      <c r="B3224" s="9">
        <f>IF($B3221="","",'Daily Sale entry '!D232)</f>
        <v/>
      </c>
      <c r="D3224" s="1" t="inlineStr">
        <is>
          <t>Cheque Collection 支票收款</t>
        </is>
      </c>
      <c r="E3224" s="9">
        <f>IF($B3221="","",'Daily Sale entry '!J232)</f>
        <v/>
      </c>
      <c r="H3224" s="1" t="inlineStr">
        <is>
          <t>Other Charges 其他费用</t>
        </is>
      </c>
      <c r="I3224" s="9">
        <f>IF($B3221="","",B3224)</f>
        <v/>
      </c>
      <c r="K3224" s="1" t="inlineStr">
        <is>
          <t>Cheque Collection 支票收款</t>
        </is>
      </c>
      <c r="L3224" s="9">
        <f>IF($B3221="","",E3224)</f>
        <v/>
      </c>
    </row>
    <row r="3225">
      <c r="A3225" s="10" t="inlineStr">
        <is>
          <t>Amount 金额  (Cash Sales - Misc - Other)</t>
        </is>
      </c>
      <c r="B3225" s="11">
        <f>IF($B3221="","",ROUND(B3222-B3223-B3224,2))</f>
        <v/>
      </c>
      <c r="D3225" s="12" t="inlineStr">
        <is>
          <t>TNG collection TNG收款</t>
        </is>
      </c>
      <c r="E3225" s="13">
        <f>IF($B3221="","",'Daily Sale entry '!K232)</f>
        <v/>
      </c>
      <c r="H3225" s="10" t="inlineStr">
        <is>
          <t>Amount 金额  (Cash Sales - Misc - Other)</t>
        </is>
      </c>
      <c r="I3225" s="11">
        <f>IF($B3221="","",ROUND(I3222-I3223-I3224,2))</f>
        <v/>
      </c>
      <c r="K3225" s="12" t="inlineStr">
        <is>
          <t>TNG collection TNG收款</t>
        </is>
      </c>
      <c r="L3225" s="13">
        <f>IF($B3221="","",E3225)</f>
        <v/>
      </c>
    </row>
    <row r="3226">
      <c r="A3226" t="inlineStr">
        <is>
          <t>Credit Collection 赊账收款</t>
        </is>
      </c>
      <c r="B3226" s="6">
        <f>IF($B3221="","",'Daily Sale entry '!E232)</f>
        <v/>
      </c>
      <c r="D3226" t="inlineStr">
        <is>
          <t>Advance Salary_M 预支薪水_M</t>
        </is>
      </c>
      <c r="E3226" s="6">
        <f>IF($B3221="","",'Daily Sale entry '!L232)</f>
        <v/>
      </c>
      <c r="H3226" t="inlineStr">
        <is>
          <t>Credit Collection 赊账收款</t>
        </is>
      </c>
      <c r="I3226" s="6">
        <f>IF($B3221="","",B3226)</f>
        <v/>
      </c>
      <c r="K3226" t="inlineStr">
        <is>
          <t>Advance Salary_M 预支薪水_M</t>
        </is>
      </c>
      <c r="L3226" s="6">
        <f>IF($B3221="","",E3226)</f>
        <v/>
      </c>
    </row>
    <row r="3227">
      <c r="A3227" s="10" t="inlineStr">
        <is>
          <t>Amount 2 金额2  (Amount + Credit Collection)</t>
        </is>
      </c>
      <c r="B3227" s="11">
        <f>IF($B3221="","",ROUND(B3225+B3226,2))</f>
        <v/>
      </c>
      <c r="D3227" t="inlineStr">
        <is>
          <t>Advance Salary_H 预支薪水_H</t>
        </is>
      </c>
      <c r="E3227" s="6">
        <f>IF($B3221="","",'Daily Sale entry '!M232)</f>
        <v/>
      </c>
      <c r="H3227" s="10" t="inlineStr">
        <is>
          <t>Amount 2 金额2  (Amount + Credit Collection)</t>
        </is>
      </c>
      <c r="I3227" s="11">
        <f>IF($B3221="","",ROUND(I3225+I3226,2))</f>
        <v/>
      </c>
      <c r="K3227" t="inlineStr">
        <is>
          <t>Advance Salary_H 预支薪水_H</t>
        </is>
      </c>
      <c r="L3227" s="6">
        <f>IF($B3221="","",E3227)</f>
        <v/>
      </c>
    </row>
    <row r="3228"/>
    <row r="3229">
      <c r="A3229" s="1" t="inlineStr">
        <is>
          <t>b/f petty cash 上日备用金结转</t>
        </is>
      </c>
      <c r="B3229" s="9">
        <f>IF($B3221="","",'Daily Sale entry '!F232)</f>
        <v/>
      </c>
      <c r="D3229" s="1" t="n"/>
      <c r="E3229" s="1" t="n"/>
      <c r="H3229" s="1" t="inlineStr">
        <is>
          <t>b/f petty cash 上日备用金结转</t>
        </is>
      </c>
      <c r="I3229" s="9">
        <f>IF($B3221="","",B3229)</f>
        <v/>
      </c>
      <c r="K3229" s="1" t="n"/>
      <c r="L3229" s="1" t="n"/>
    </row>
    <row r="3230">
      <c r="A3230" t="inlineStr">
        <is>
          <t>Total (A) 总计 (A)</t>
        </is>
      </c>
      <c r="B3230" s="6">
        <f>IF($B3221="","",ROUND(B3227+B3229,2))</f>
        <v/>
      </c>
      <c r="D3230" t="inlineStr">
        <is>
          <t>Total(B) 总计 (B)</t>
        </is>
      </c>
      <c r="E3230" s="6">
        <f>IF($B3221="","",ROUND(E3222+E3223+E3224+E3225+E3226+E3227,2))</f>
        <v/>
      </c>
      <c r="H3230" t="inlineStr">
        <is>
          <t>Total© 总计 (C)</t>
        </is>
      </c>
      <c r="I3230" s="6">
        <f>IF($B3221="","",ROUND(I3227+I3229,2))</f>
        <v/>
      </c>
      <c r="K3230" t="inlineStr">
        <is>
          <t>Total(D) 总计 (D)</t>
        </is>
      </c>
      <c r="L3230" s="6">
        <f>IF($B3221="","",ROUND(L3222+L3223+L3224+L3225+L3226+L3227,2))</f>
        <v/>
      </c>
    </row>
    <row r="3231">
      <c r="A3231" s="14" t="inlineStr">
        <is>
          <t>Total = Amount 2 + b/f petty cash  (金额2 + 上日备用金)</t>
        </is>
      </c>
      <c r="H3231" s="14" t="inlineStr">
        <is>
          <t>Total = Amount 2 + b/f petty cash  (金额2 + 上日备用金)</t>
        </is>
      </c>
    </row>
    <row r="3232">
      <c r="A3232" t="inlineStr">
        <is>
          <t>Different 差额</t>
        </is>
      </c>
      <c r="B3232" s="6">
        <f>IF($B3221="","",ROUND(B3230-E3230,2))</f>
        <v/>
      </c>
      <c r="D3232">
        <f>IF($B3221="","",IF(ABS(B3232)&gt;'Opening Balance'!$B$16,"ALERT 警报: Different over RM"&amp;'Opening Balance'!$B$16&amp;" 差额超过RM"&amp;'Opening Balance'!$B$16&amp;" - please check 请检查",IF(B3232=0,"Tied 平衡",IF(ABS(B3232)&lt;='Opening Balance'!$B$13,"Small difference 小额差额: adjusted on c/f petty cash 已调整备用金",IF(B3232&gt;0,"Short 短收: added to Misc Charges 已加入杂项费用","Over 多收: added to Cash Sales 已加入现金销售")))))</f>
        <v/>
      </c>
      <c r="H3232" t="inlineStr">
        <is>
          <t>Different 差额</t>
        </is>
      </c>
      <c r="I3232" s="6">
        <f>IF($B3221="","",ROUND(I3230-L3230,2))</f>
        <v/>
      </c>
    </row>
    <row r="3233"/>
    <row r="3234"/>
    <row r="3235">
      <c r="A3235" t="inlineStr">
        <is>
          <t>Date 日期</t>
        </is>
      </c>
      <c r="B3235" s="5">
        <f>IF('Daily Sale entry '!$A233="","",'Daily Sale entry '!$A233)</f>
        <v/>
      </c>
      <c r="H3235" t="inlineStr">
        <is>
          <t>After 调整后 (After)</t>
        </is>
      </c>
      <c r="I3235" s="5">
        <f>IF($B3235="","",B3235)</f>
        <v/>
      </c>
    </row>
    <row r="3236">
      <c r="A3236" t="inlineStr">
        <is>
          <t>Cash Sales 现金销售</t>
        </is>
      </c>
      <c r="B3236" s="6">
        <f>IF($B3235="","",'Daily Sale entry '!B233)</f>
        <v/>
      </c>
      <c r="D3236" t="inlineStr">
        <is>
          <t>c/f petty cash 今日备用金结转</t>
        </is>
      </c>
      <c r="E3236" s="6">
        <f>IF($B3235="","",'Daily Sale entry '!G233)</f>
        <v/>
      </c>
      <c r="H3236" t="inlineStr">
        <is>
          <t>Cash Sales 现金销售</t>
        </is>
      </c>
      <c r="I3236" s="6">
        <f>IF($B3235="","",IF(AND(ABS(B3246)&gt;'Opening Balance'!$B$13,B3246&lt;0),ROUND(B3236-B3246,2),B3236))</f>
        <v/>
      </c>
      <c r="K3236" t="inlineStr">
        <is>
          <t>c/f petty cash 今日备用金结转</t>
        </is>
      </c>
      <c r="L3236" s="6">
        <f>IF($B3235="","",IF(ABS(B3246)&lt;='Opening Balance'!$B$13,ROUND(E3236+B3246,2),E3236))</f>
        <v/>
      </c>
    </row>
    <row r="3237">
      <c r="A3237" t="inlineStr">
        <is>
          <t>Misc Charges 杂项费用</t>
        </is>
      </c>
      <c r="B3237" s="6">
        <f>IF($B3235="","",'Daily Sale entry '!C233)</f>
        <v/>
      </c>
      <c r="D3237" t="inlineStr">
        <is>
          <t>cash collection 现金收款</t>
        </is>
      </c>
      <c r="E3237" s="6">
        <f>IF($B3235="","",'Daily Sale entry '!H233)</f>
        <v/>
      </c>
      <c r="H3237" t="inlineStr">
        <is>
          <t>Misc Charges 杂项费用</t>
        </is>
      </c>
      <c r="I3237" s="6">
        <f>IF($B3235="","",IF(AND(ABS(B3246)&gt;'Opening Balance'!$B$13,B3246&gt;0),ROUND(B3237+B3246,2),B3237))</f>
        <v/>
      </c>
      <c r="K3237" t="inlineStr">
        <is>
          <t>cash collection 现金收款</t>
        </is>
      </c>
      <c r="L3237" s="6">
        <f>IF($B3235="","",E3237)</f>
        <v/>
      </c>
    </row>
    <row r="3238">
      <c r="A3238" s="1" t="inlineStr">
        <is>
          <t>Other Charges 其他费用</t>
        </is>
      </c>
      <c r="B3238" s="9">
        <f>IF($B3235="","",'Daily Sale entry '!D233)</f>
        <v/>
      </c>
      <c r="D3238" s="1" t="inlineStr">
        <is>
          <t>Cheque Collection 支票收款</t>
        </is>
      </c>
      <c r="E3238" s="9">
        <f>IF($B3235="","",'Daily Sale entry '!J233)</f>
        <v/>
      </c>
      <c r="H3238" s="1" t="inlineStr">
        <is>
          <t>Other Charges 其他费用</t>
        </is>
      </c>
      <c r="I3238" s="9">
        <f>IF($B3235="","",B3238)</f>
        <v/>
      </c>
      <c r="K3238" s="1" t="inlineStr">
        <is>
          <t>Cheque Collection 支票收款</t>
        </is>
      </c>
      <c r="L3238" s="9">
        <f>IF($B3235="","",E3238)</f>
        <v/>
      </c>
    </row>
    <row r="3239">
      <c r="A3239" s="10" t="inlineStr">
        <is>
          <t>Amount 金额  (Cash Sales - Misc - Other)</t>
        </is>
      </c>
      <c r="B3239" s="11">
        <f>IF($B3235="","",ROUND(B3236-B3237-B3238,2))</f>
        <v/>
      </c>
      <c r="D3239" s="12" t="inlineStr">
        <is>
          <t>TNG collection TNG收款</t>
        </is>
      </c>
      <c r="E3239" s="13">
        <f>IF($B3235="","",'Daily Sale entry '!K233)</f>
        <v/>
      </c>
      <c r="H3239" s="10" t="inlineStr">
        <is>
          <t>Amount 金额  (Cash Sales - Misc - Other)</t>
        </is>
      </c>
      <c r="I3239" s="11">
        <f>IF($B3235="","",ROUND(I3236-I3237-I3238,2))</f>
        <v/>
      </c>
      <c r="K3239" s="12" t="inlineStr">
        <is>
          <t>TNG collection TNG收款</t>
        </is>
      </c>
      <c r="L3239" s="13">
        <f>IF($B3235="","",E3239)</f>
        <v/>
      </c>
    </row>
    <row r="3240">
      <c r="A3240" t="inlineStr">
        <is>
          <t>Credit Collection 赊账收款</t>
        </is>
      </c>
      <c r="B3240" s="6">
        <f>IF($B3235="","",'Daily Sale entry '!E233)</f>
        <v/>
      </c>
      <c r="D3240" t="inlineStr">
        <is>
          <t>Advance Salary_M 预支薪水_M</t>
        </is>
      </c>
      <c r="E3240" s="6">
        <f>IF($B3235="","",'Daily Sale entry '!L233)</f>
        <v/>
      </c>
      <c r="H3240" t="inlineStr">
        <is>
          <t>Credit Collection 赊账收款</t>
        </is>
      </c>
      <c r="I3240" s="6">
        <f>IF($B3235="","",B3240)</f>
        <v/>
      </c>
      <c r="K3240" t="inlineStr">
        <is>
          <t>Advance Salary_M 预支薪水_M</t>
        </is>
      </c>
      <c r="L3240" s="6">
        <f>IF($B3235="","",E3240)</f>
        <v/>
      </c>
    </row>
    <row r="3241">
      <c r="A3241" s="10" t="inlineStr">
        <is>
          <t>Amount 2 金额2  (Amount + Credit Collection)</t>
        </is>
      </c>
      <c r="B3241" s="11">
        <f>IF($B3235="","",ROUND(B3239+B3240,2))</f>
        <v/>
      </c>
      <c r="D3241" t="inlineStr">
        <is>
          <t>Advance Salary_H 预支薪水_H</t>
        </is>
      </c>
      <c r="E3241" s="6">
        <f>IF($B3235="","",'Daily Sale entry '!M233)</f>
        <v/>
      </c>
      <c r="H3241" s="10" t="inlineStr">
        <is>
          <t>Amount 2 金额2  (Amount + Credit Collection)</t>
        </is>
      </c>
      <c r="I3241" s="11">
        <f>IF($B3235="","",ROUND(I3239+I3240,2))</f>
        <v/>
      </c>
      <c r="K3241" t="inlineStr">
        <is>
          <t>Advance Salary_H 预支薪水_H</t>
        </is>
      </c>
      <c r="L3241" s="6">
        <f>IF($B3235="","",E3241)</f>
        <v/>
      </c>
    </row>
    <row r="3242"/>
    <row r="3243">
      <c r="A3243" s="1" t="inlineStr">
        <is>
          <t>b/f petty cash 上日备用金结转</t>
        </is>
      </c>
      <c r="B3243" s="9">
        <f>IF($B3235="","",'Daily Sale entry '!F233)</f>
        <v/>
      </c>
      <c r="D3243" s="1" t="n"/>
      <c r="E3243" s="1" t="n"/>
      <c r="H3243" s="1" t="inlineStr">
        <is>
          <t>b/f petty cash 上日备用金结转</t>
        </is>
      </c>
      <c r="I3243" s="9">
        <f>IF($B3235="","",B3243)</f>
        <v/>
      </c>
      <c r="K3243" s="1" t="n"/>
      <c r="L3243" s="1" t="n"/>
    </row>
    <row r="3244">
      <c r="A3244" t="inlineStr">
        <is>
          <t>Total (A) 总计 (A)</t>
        </is>
      </c>
      <c r="B3244" s="6">
        <f>IF($B3235="","",ROUND(B3241+B3243,2))</f>
        <v/>
      </c>
      <c r="D3244" t="inlineStr">
        <is>
          <t>Total(B) 总计 (B)</t>
        </is>
      </c>
      <c r="E3244" s="6">
        <f>IF($B3235="","",ROUND(E3236+E3237+E3238+E3239+E3240+E3241,2))</f>
        <v/>
      </c>
      <c r="H3244" t="inlineStr">
        <is>
          <t>Total© 总计 (C)</t>
        </is>
      </c>
      <c r="I3244" s="6">
        <f>IF($B3235="","",ROUND(I3241+I3243,2))</f>
        <v/>
      </c>
      <c r="K3244" t="inlineStr">
        <is>
          <t>Total(D) 总计 (D)</t>
        </is>
      </c>
      <c r="L3244" s="6">
        <f>IF($B3235="","",ROUND(L3236+L3237+L3238+L3239+L3240+L3241,2))</f>
        <v/>
      </c>
    </row>
    <row r="3245">
      <c r="A3245" s="14" t="inlineStr">
        <is>
          <t>Total = Amount 2 + b/f petty cash  (金额2 + 上日备用金)</t>
        </is>
      </c>
      <c r="H3245" s="14" t="inlineStr">
        <is>
          <t>Total = Amount 2 + b/f petty cash  (金额2 + 上日备用金)</t>
        </is>
      </c>
    </row>
    <row r="3246">
      <c r="A3246" t="inlineStr">
        <is>
          <t>Different 差额</t>
        </is>
      </c>
      <c r="B3246" s="6">
        <f>IF($B3235="","",ROUND(B3244-E3244,2))</f>
        <v/>
      </c>
      <c r="D3246">
        <f>IF($B3235="","",IF(ABS(B3246)&gt;'Opening Balance'!$B$16,"ALERT 警报: Different over RM"&amp;'Opening Balance'!$B$16&amp;" 差额超过RM"&amp;'Opening Balance'!$B$16&amp;" - please check 请检查",IF(B3246=0,"Tied 平衡",IF(ABS(B3246)&lt;='Opening Balance'!$B$13,"Small difference 小额差额: adjusted on c/f petty cash 已调整备用金",IF(B3246&gt;0,"Short 短收: added to Misc Charges 已加入杂项费用","Over 多收: added to Cash Sales 已加入现金销售")))))</f>
        <v/>
      </c>
      <c r="H3246" t="inlineStr">
        <is>
          <t>Different 差额</t>
        </is>
      </c>
      <c r="I3246" s="6">
        <f>IF($B3235="","",ROUND(I3244-L3244,2))</f>
        <v/>
      </c>
    </row>
    <row r="3247"/>
    <row r="3248"/>
    <row r="3249">
      <c r="A3249" t="inlineStr">
        <is>
          <t>Date 日期</t>
        </is>
      </c>
      <c r="B3249" s="5">
        <f>IF('Daily Sale entry '!$A234="","",'Daily Sale entry '!$A234)</f>
        <v/>
      </c>
      <c r="H3249" t="inlineStr">
        <is>
          <t>After 调整后 (After)</t>
        </is>
      </c>
      <c r="I3249" s="5">
        <f>IF($B3249="","",B3249)</f>
        <v/>
      </c>
    </row>
    <row r="3250">
      <c r="A3250" t="inlineStr">
        <is>
          <t>Cash Sales 现金销售</t>
        </is>
      </c>
      <c r="B3250" s="6">
        <f>IF($B3249="","",'Daily Sale entry '!B234)</f>
        <v/>
      </c>
      <c r="D3250" t="inlineStr">
        <is>
          <t>c/f petty cash 今日备用金结转</t>
        </is>
      </c>
      <c r="E3250" s="6">
        <f>IF($B3249="","",'Daily Sale entry '!G234)</f>
        <v/>
      </c>
      <c r="H3250" t="inlineStr">
        <is>
          <t>Cash Sales 现金销售</t>
        </is>
      </c>
      <c r="I3250" s="6">
        <f>IF($B3249="","",IF(AND(ABS(B3260)&gt;'Opening Balance'!$B$13,B3260&lt;0),ROUND(B3250-B3260,2),B3250))</f>
        <v/>
      </c>
      <c r="K3250" t="inlineStr">
        <is>
          <t>c/f petty cash 今日备用金结转</t>
        </is>
      </c>
      <c r="L3250" s="6">
        <f>IF($B3249="","",IF(ABS(B3260)&lt;='Opening Balance'!$B$13,ROUND(E3250+B3260,2),E3250))</f>
        <v/>
      </c>
    </row>
    <row r="3251">
      <c r="A3251" t="inlineStr">
        <is>
          <t>Misc Charges 杂项费用</t>
        </is>
      </c>
      <c r="B3251" s="6">
        <f>IF($B3249="","",'Daily Sale entry '!C234)</f>
        <v/>
      </c>
      <c r="D3251" t="inlineStr">
        <is>
          <t>cash collection 现金收款</t>
        </is>
      </c>
      <c r="E3251" s="6">
        <f>IF($B3249="","",'Daily Sale entry '!H234)</f>
        <v/>
      </c>
      <c r="H3251" t="inlineStr">
        <is>
          <t>Misc Charges 杂项费用</t>
        </is>
      </c>
      <c r="I3251" s="6">
        <f>IF($B3249="","",IF(AND(ABS(B3260)&gt;'Opening Balance'!$B$13,B3260&gt;0),ROUND(B3251+B3260,2),B3251))</f>
        <v/>
      </c>
      <c r="K3251" t="inlineStr">
        <is>
          <t>cash collection 现金收款</t>
        </is>
      </c>
      <c r="L3251" s="6">
        <f>IF($B3249="","",E3251)</f>
        <v/>
      </c>
    </row>
    <row r="3252">
      <c r="A3252" s="1" t="inlineStr">
        <is>
          <t>Other Charges 其他费用</t>
        </is>
      </c>
      <c r="B3252" s="9">
        <f>IF($B3249="","",'Daily Sale entry '!D234)</f>
        <v/>
      </c>
      <c r="D3252" s="1" t="inlineStr">
        <is>
          <t>Cheque Collection 支票收款</t>
        </is>
      </c>
      <c r="E3252" s="9">
        <f>IF($B3249="","",'Daily Sale entry '!J234)</f>
        <v/>
      </c>
      <c r="H3252" s="1" t="inlineStr">
        <is>
          <t>Other Charges 其他费用</t>
        </is>
      </c>
      <c r="I3252" s="9">
        <f>IF($B3249="","",B3252)</f>
        <v/>
      </c>
      <c r="K3252" s="1" t="inlineStr">
        <is>
          <t>Cheque Collection 支票收款</t>
        </is>
      </c>
      <c r="L3252" s="9">
        <f>IF($B3249="","",E3252)</f>
        <v/>
      </c>
    </row>
    <row r="3253">
      <c r="A3253" s="10" t="inlineStr">
        <is>
          <t>Amount 金额  (Cash Sales - Misc - Other)</t>
        </is>
      </c>
      <c r="B3253" s="11">
        <f>IF($B3249="","",ROUND(B3250-B3251-B3252,2))</f>
        <v/>
      </c>
      <c r="D3253" s="12" t="inlineStr">
        <is>
          <t>TNG collection TNG收款</t>
        </is>
      </c>
      <c r="E3253" s="13">
        <f>IF($B3249="","",'Daily Sale entry '!K234)</f>
        <v/>
      </c>
      <c r="H3253" s="10" t="inlineStr">
        <is>
          <t>Amount 金额  (Cash Sales - Misc - Other)</t>
        </is>
      </c>
      <c r="I3253" s="11">
        <f>IF($B3249="","",ROUND(I3250-I3251-I3252,2))</f>
        <v/>
      </c>
      <c r="K3253" s="12" t="inlineStr">
        <is>
          <t>TNG collection TNG收款</t>
        </is>
      </c>
      <c r="L3253" s="13">
        <f>IF($B3249="","",E3253)</f>
        <v/>
      </c>
    </row>
    <row r="3254">
      <c r="A3254" t="inlineStr">
        <is>
          <t>Credit Collection 赊账收款</t>
        </is>
      </c>
      <c r="B3254" s="6">
        <f>IF($B3249="","",'Daily Sale entry '!E234)</f>
        <v/>
      </c>
      <c r="D3254" t="inlineStr">
        <is>
          <t>Advance Salary_M 预支薪水_M</t>
        </is>
      </c>
      <c r="E3254" s="6">
        <f>IF($B3249="","",'Daily Sale entry '!L234)</f>
        <v/>
      </c>
      <c r="H3254" t="inlineStr">
        <is>
          <t>Credit Collection 赊账收款</t>
        </is>
      </c>
      <c r="I3254" s="6">
        <f>IF($B3249="","",B3254)</f>
        <v/>
      </c>
      <c r="K3254" t="inlineStr">
        <is>
          <t>Advance Salary_M 预支薪水_M</t>
        </is>
      </c>
      <c r="L3254" s="6">
        <f>IF($B3249="","",E3254)</f>
        <v/>
      </c>
    </row>
    <row r="3255">
      <c r="A3255" s="10" t="inlineStr">
        <is>
          <t>Amount 2 金额2  (Amount + Credit Collection)</t>
        </is>
      </c>
      <c r="B3255" s="11">
        <f>IF($B3249="","",ROUND(B3253+B3254,2))</f>
        <v/>
      </c>
      <c r="D3255" t="inlineStr">
        <is>
          <t>Advance Salary_H 预支薪水_H</t>
        </is>
      </c>
      <c r="E3255" s="6">
        <f>IF($B3249="","",'Daily Sale entry '!M234)</f>
        <v/>
      </c>
      <c r="H3255" s="10" t="inlineStr">
        <is>
          <t>Amount 2 金额2  (Amount + Credit Collection)</t>
        </is>
      </c>
      <c r="I3255" s="11">
        <f>IF($B3249="","",ROUND(I3253+I3254,2))</f>
        <v/>
      </c>
      <c r="K3255" t="inlineStr">
        <is>
          <t>Advance Salary_H 预支薪水_H</t>
        </is>
      </c>
      <c r="L3255" s="6">
        <f>IF($B3249="","",E3255)</f>
        <v/>
      </c>
    </row>
    <row r="3256"/>
    <row r="3257">
      <c r="A3257" s="1" t="inlineStr">
        <is>
          <t>b/f petty cash 上日备用金结转</t>
        </is>
      </c>
      <c r="B3257" s="9">
        <f>IF($B3249="","",'Daily Sale entry '!F234)</f>
        <v/>
      </c>
      <c r="D3257" s="1" t="n"/>
      <c r="E3257" s="1" t="n"/>
      <c r="H3257" s="1" t="inlineStr">
        <is>
          <t>b/f petty cash 上日备用金结转</t>
        </is>
      </c>
      <c r="I3257" s="9">
        <f>IF($B3249="","",B3257)</f>
        <v/>
      </c>
      <c r="K3257" s="1" t="n"/>
      <c r="L3257" s="1" t="n"/>
    </row>
    <row r="3258">
      <c r="A3258" t="inlineStr">
        <is>
          <t>Total (A) 总计 (A)</t>
        </is>
      </c>
      <c r="B3258" s="6">
        <f>IF($B3249="","",ROUND(B3255+B3257,2))</f>
        <v/>
      </c>
      <c r="D3258" t="inlineStr">
        <is>
          <t>Total(B) 总计 (B)</t>
        </is>
      </c>
      <c r="E3258" s="6">
        <f>IF($B3249="","",ROUND(E3250+E3251+E3252+E3253+E3254+E3255,2))</f>
        <v/>
      </c>
      <c r="H3258" t="inlineStr">
        <is>
          <t>Total© 总计 (C)</t>
        </is>
      </c>
      <c r="I3258" s="6">
        <f>IF($B3249="","",ROUND(I3255+I3257,2))</f>
        <v/>
      </c>
      <c r="K3258" t="inlineStr">
        <is>
          <t>Total(D) 总计 (D)</t>
        </is>
      </c>
      <c r="L3258" s="6">
        <f>IF($B3249="","",ROUND(L3250+L3251+L3252+L3253+L3254+L3255,2))</f>
        <v/>
      </c>
    </row>
    <row r="3259">
      <c r="A3259" s="14" t="inlineStr">
        <is>
          <t>Total = Amount 2 + b/f petty cash  (金额2 + 上日备用金)</t>
        </is>
      </c>
      <c r="H3259" s="14" t="inlineStr">
        <is>
          <t>Total = Amount 2 + b/f petty cash  (金额2 + 上日备用金)</t>
        </is>
      </c>
    </row>
    <row r="3260">
      <c r="A3260" t="inlineStr">
        <is>
          <t>Different 差额</t>
        </is>
      </c>
      <c r="B3260" s="6">
        <f>IF($B3249="","",ROUND(B3258-E3258,2))</f>
        <v/>
      </c>
      <c r="D3260">
        <f>IF($B3249="","",IF(ABS(B3260)&gt;'Opening Balance'!$B$16,"ALERT 警报: Different over RM"&amp;'Opening Balance'!$B$16&amp;" 差额超过RM"&amp;'Opening Balance'!$B$16&amp;" - please check 请检查",IF(B3260=0,"Tied 平衡",IF(ABS(B3260)&lt;='Opening Balance'!$B$13,"Small difference 小额差额: adjusted on c/f petty cash 已调整备用金",IF(B3260&gt;0,"Short 短收: added to Misc Charges 已加入杂项费用","Over 多收: added to Cash Sales 已加入现金销售")))))</f>
        <v/>
      </c>
      <c r="H3260" t="inlineStr">
        <is>
          <t>Different 差额</t>
        </is>
      </c>
      <c r="I3260" s="6">
        <f>IF($B3249="","",ROUND(I3258-L3258,2))</f>
        <v/>
      </c>
    </row>
    <row r="3261"/>
    <row r="3262"/>
    <row r="3263">
      <c r="A3263" t="inlineStr">
        <is>
          <t>Date 日期</t>
        </is>
      </c>
      <c r="B3263" s="5">
        <f>IF('Daily Sale entry '!$A235="","",'Daily Sale entry '!$A235)</f>
        <v/>
      </c>
      <c r="H3263" t="inlineStr">
        <is>
          <t>After 调整后 (After)</t>
        </is>
      </c>
      <c r="I3263" s="5">
        <f>IF($B3263="","",B3263)</f>
        <v/>
      </c>
    </row>
    <row r="3264">
      <c r="A3264" t="inlineStr">
        <is>
          <t>Cash Sales 现金销售</t>
        </is>
      </c>
      <c r="B3264" s="6">
        <f>IF($B3263="","",'Daily Sale entry '!B235)</f>
        <v/>
      </c>
      <c r="D3264" t="inlineStr">
        <is>
          <t>c/f petty cash 今日备用金结转</t>
        </is>
      </c>
      <c r="E3264" s="6">
        <f>IF($B3263="","",'Daily Sale entry '!G235)</f>
        <v/>
      </c>
      <c r="H3264" t="inlineStr">
        <is>
          <t>Cash Sales 现金销售</t>
        </is>
      </c>
      <c r="I3264" s="6">
        <f>IF($B3263="","",IF(AND(ABS(B3274)&gt;'Opening Balance'!$B$13,B3274&lt;0),ROUND(B3264-B3274,2),B3264))</f>
        <v/>
      </c>
      <c r="K3264" t="inlineStr">
        <is>
          <t>c/f petty cash 今日备用金结转</t>
        </is>
      </c>
      <c r="L3264" s="6">
        <f>IF($B3263="","",IF(ABS(B3274)&lt;='Opening Balance'!$B$13,ROUND(E3264+B3274,2),E3264))</f>
        <v/>
      </c>
    </row>
    <row r="3265">
      <c r="A3265" t="inlineStr">
        <is>
          <t>Misc Charges 杂项费用</t>
        </is>
      </c>
      <c r="B3265" s="6">
        <f>IF($B3263="","",'Daily Sale entry '!C235)</f>
        <v/>
      </c>
      <c r="D3265" t="inlineStr">
        <is>
          <t>cash collection 现金收款</t>
        </is>
      </c>
      <c r="E3265" s="6">
        <f>IF($B3263="","",'Daily Sale entry '!H235)</f>
        <v/>
      </c>
      <c r="H3265" t="inlineStr">
        <is>
          <t>Misc Charges 杂项费用</t>
        </is>
      </c>
      <c r="I3265" s="6">
        <f>IF($B3263="","",IF(AND(ABS(B3274)&gt;'Opening Balance'!$B$13,B3274&gt;0),ROUND(B3265+B3274,2),B3265))</f>
        <v/>
      </c>
      <c r="K3265" t="inlineStr">
        <is>
          <t>cash collection 现金收款</t>
        </is>
      </c>
      <c r="L3265" s="6">
        <f>IF($B3263="","",E3265)</f>
        <v/>
      </c>
    </row>
    <row r="3266">
      <c r="A3266" s="1" t="inlineStr">
        <is>
          <t>Other Charges 其他费用</t>
        </is>
      </c>
      <c r="B3266" s="9">
        <f>IF($B3263="","",'Daily Sale entry '!D235)</f>
        <v/>
      </c>
      <c r="D3266" s="1" t="inlineStr">
        <is>
          <t>Cheque Collection 支票收款</t>
        </is>
      </c>
      <c r="E3266" s="9">
        <f>IF($B3263="","",'Daily Sale entry '!J235)</f>
        <v/>
      </c>
      <c r="H3266" s="1" t="inlineStr">
        <is>
          <t>Other Charges 其他费用</t>
        </is>
      </c>
      <c r="I3266" s="9">
        <f>IF($B3263="","",B3266)</f>
        <v/>
      </c>
      <c r="K3266" s="1" t="inlineStr">
        <is>
          <t>Cheque Collection 支票收款</t>
        </is>
      </c>
      <c r="L3266" s="9">
        <f>IF($B3263="","",E3266)</f>
        <v/>
      </c>
    </row>
    <row r="3267">
      <c r="A3267" s="10" t="inlineStr">
        <is>
          <t>Amount 金额  (Cash Sales - Misc - Other)</t>
        </is>
      </c>
      <c r="B3267" s="11">
        <f>IF($B3263="","",ROUND(B3264-B3265-B3266,2))</f>
        <v/>
      </c>
      <c r="D3267" s="12" t="inlineStr">
        <is>
          <t>TNG collection TNG收款</t>
        </is>
      </c>
      <c r="E3267" s="13">
        <f>IF($B3263="","",'Daily Sale entry '!K235)</f>
        <v/>
      </c>
      <c r="H3267" s="10" t="inlineStr">
        <is>
          <t>Amount 金额  (Cash Sales - Misc - Other)</t>
        </is>
      </c>
      <c r="I3267" s="11">
        <f>IF($B3263="","",ROUND(I3264-I3265-I3266,2))</f>
        <v/>
      </c>
      <c r="K3267" s="12" t="inlineStr">
        <is>
          <t>TNG collection TNG收款</t>
        </is>
      </c>
      <c r="L3267" s="13">
        <f>IF($B3263="","",E3267)</f>
        <v/>
      </c>
    </row>
    <row r="3268">
      <c r="A3268" t="inlineStr">
        <is>
          <t>Credit Collection 赊账收款</t>
        </is>
      </c>
      <c r="B3268" s="6">
        <f>IF($B3263="","",'Daily Sale entry '!E235)</f>
        <v/>
      </c>
      <c r="D3268" t="inlineStr">
        <is>
          <t>Advance Salary_M 预支薪水_M</t>
        </is>
      </c>
      <c r="E3268" s="6">
        <f>IF($B3263="","",'Daily Sale entry '!L235)</f>
        <v/>
      </c>
      <c r="H3268" t="inlineStr">
        <is>
          <t>Credit Collection 赊账收款</t>
        </is>
      </c>
      <c r="I3268" s="6">
        <f>IF($B3263="","",B3268)</f>
        <v/>
      </c>
      <c r="K3268" t="inlineStr">
        <is>
          <t>Advance Salary_M 预支薪水_M</t>
        </is>
      </c>
      <c r="L3268" s="6">
        <f>IF($B3263="","",E3268)</f>
        <v/>
      </c>
    </row>
    <row r="3269">
      <c r="A3269" s="10" t="inlineStr">
        <is>
          <t>Amount 2 金额2  (Amount + Credit Collection)</t>
        </is>
      </c>
      <c r="B3269" s="11">
        <f>IF($B3263="","",ROUND(B3267+B3268,2))</f>
        <v/>
      </c>
      <c r="D3269" t="inlineStr">
        <is>
          <t>Advance Salary_H 预支薪水_H</t>
        </is>
      </c>
      <c r="E3269" s="6">
        <f>IF($B3263="","",'Daily Sale entry '!M235)</f>
        <v/>
      </c>
      <c r="H3269" s="10" t="inlineStr">
        <is>
          <t>Amount 2 金额2  (Amount + Credit Collection)</t>
        </is>
      </c>
      <c r="I3269" s="11">
        <f>IF($B3263="","",ROUND(I3267+I3268,2))</f>
        <v/>
      </c>
      <c r="K3269" t="inlineStr">
        <is>
          <t>Advance Salary_H 预支薪水_H</t>
        </is>
      </c>
      <c r="L3269" s="6">
        <f>IF($B3263="","",E3269)</f>
        <v/>
      </c>
    </row>
    <row r="3270"/>
    <row r="3271">
      <c r="A3271" s="1" t="inlineStr">
        <is>
          <t>b/f petty cash 上日备用金结转</t>
        </is>
      </c>
      <c r="B3271" s="9">
        <f>IF($B3263="","",'Daily Sale entry '!F235)</f>
        <v/>
      </c>
      <c r="D3271" s="1" t="n"/>
      <c r="E3271" s="1" t="n"/>
      <c r="H3271" s="1" t="inlineStr">
        <is>
          <t>b/f petty cash 上日备用金结转</t>
        </is>
      </c>
      <c r="I3271" s="9">
        <f>IF($B3263="","",B3271)</f>
        <v/>
      </c>
      <c r="K3271" s="1" t="n"/>
      <c r="L3271" s="1" t="n"/>
    </row>
    <row r="3272">
      <c r="A3272" t="inlineStr">
        <is>
          <t>Total (A) 总计 (A)</t>
        </is>
      </c>
      <c r="B3272" s="6">
        <f>IF($B3263="","",ROUND(B3269+B3271,2))</f>
        <v/>
      </c>
      <c r="D3272" t="inlineStr">
        <is>
          <t>Total(B) 总计 (B)</t>
        </is>
      </c>
      <c r="E3272" s="6">
        <f>IF($B3263="","",ROUND(E3264+E3265+E3266+E3267+E3268+E3269,2))</f>
        <v/>
      </c>
      <c r="H3272" t="inlineStr">
        <is>
          <t>Total© 总计 (C)</t>
        </is>
      </c>
      <c r="I3272" s="6">
        <f>IF($B3263="","",ROUND(I3269+I3271,2))</f>
        <v/>
      </c>
      <c r="K3272" t="inlineStr">
        <is>
          <t>Total(D) 总计 (D)</t>
        </is>
      </c>
      <c r="L3272" s="6">
        <f>IF($B3263="","",ROUND(L3264+L3265+L3266+L3267+L3268+L3269,2))</f>
        <v/>
      </c>
    </row>
    <row r="3273">
      <c r="A3273" s="14" t="inlineStr">
        <is>
          <t>Total = Amount 2 + b/f petty cash  (金额2 + 上日备用金)</t>
        </is>
      </c>
      <c r="H3273" s="14" t="inlineStr">
        <is>
          <t>Total = Amount 2 + b/f petty cash  (金额2 + 上日备用金)</t>
        </is>
      </c>
    </row>
    <row r="3274">
      <c r="A3274" t="inlineStr">
        <is>
          <t>Different 差额</t>
        </is>
      </c>
      <c r="B3274" s="6">
        <f>IF($B3263="","",ROUND(B3272-E3272,2))</f>
        <v/>
      </c>
      <c r="D3274">
        <f>IF($B3263="","",IF(ABS(B3274)&gt;'Opening Balance'!$B$16,"ALERT 警报: Different over RM"&amp;'Opening Balance'!$B$16&amp;" 差额超过RM"&amp;'Opening Balance'!$B$16&amp;" - please check 请检查",IF(B3274=0,"Tied 平衡",IF(ABS(B3274)&lt;='Opening Balance'!$B$13,"Small difference 小额差额: adjusted on c/f petty cash 已调整备用金",IF(B3274&gt;0,"Short 短收: added to Misc Charges 已加入杂项费用","Over 多收: added to Cash Sales 已加入现金销售")))))</f>
        <v/>
      </c>
      <c r="H3274" t="inlineStr">
        <is>
          <t>Different 差额</t>
        </is>
      </c>
      <c r="I3274" s="6">
        <f>IF($B3263="","",ROUND(I3272-L3272,2))</f>
        <v/>
      </c>
    </row>
    <row r="3275"/>
    <row r="3276"/>
    <row r="3277">
      <c r="A3277" t="inlineStr">
        <is>
          <t>Date 日期</t>
        </is>
      </c>
      <c r="B3277" s="5">
        <f>IF('Daily Sale entry '!$A236="","",'Daily Sale entry '!$A236)</f>
        <v/>
      </c>
      <c r="H3277" t="inlineStr">
        <is>
          <t>After 调整后 (After)</t>
        </is>
      </c>
      <c r="I3277" s="5">
        <f>IF($B3277="","",B3277)</f>
        <v/>
      </c>
    </row>
    <row r="3278">
      <c r="A3278" t="inlineStr">
        <is>
          <t>Cash Sales 现金销售</t>
        </is>
      </c>
      <c r="B3278" s="6">
        <f>IF($B3277="","",'Daily Sale entry '!B236)</f>
        <v/>
      </c>
      <c r="D3278" t="inlineStr">
        <is>
          <t>c/f petty cash 今日备用金结转</t>
        </is>
      </c>
      <c r="E3278" s="6">
        <f>IF($B3277="","",'Daily Sale entry '!G236)</f>
        <v/>
      </c>
      <c r="H3278" t="inlineStr">
        <is>
          <t>Cash Sales 现金销售</t>
        </is>
      </c>
      <c r="I3278" s="6">
        <f>IF($B3277="","",IF(AND(ABS(B3288)&gt;'Opening Balance'!$B$13,B3288&lt;0),ROUND(B3278-B3288,2),B3278))</f>
        <v/>
      </c>
      <c r="K3278" t="inlineStr">
        <is>
          <t>c/f petty cash 今日备用金结转</t>
        </is>
      </c>
      <c r="L3278" s="6">
        <f>IF($B3277="","",IF(ABS(B3288)&lt;='Opening Balance'!$B$13,ROUND(E3278+B3288,2),E3278))</f>
        <v/>
      </c>
    </row>
    <row r="3279">
      <c r="A3279" t="inlineStr">
        <is>
          <t>Misc Charges 杂项费用</t>
        </is>
      </c>
      <c r="B3279" s="6">
        <f>IF($B3277="","",'Daily Sale entry '!C236)</f>
        <v/>
      </c>
      <c r="D3279" t="inlineStr">
        <is>
          <t>cash collection 现金收款</t>
        </is>
      </c>
      <c r="E3279" s="6">
        <f>IF($B3277="","",'Daily Sale entry '!H236)</f>
        <v/>
      </c>
      <c r="H3279" t="inlineStr">
        <is>
          <t>Misc Charges 杂项费用</t>
        </is>
      </c>
      <c r="I3279" s="6">
        <f>IF($B3277="","",IF(AND(ABS(B3288)&gt;'Opening Balance'!$B$13,B3288&gt;0),ROUND(B3279+B3288,2),B3279))</f>
        <v/>
      </c>
      <c r="K3279" t="inlineStr">
        <is>
          <t>cash collection 现金收款</t>
        </is>
      </c>
      <c r="L3279" s="6">
        <f>IF($B3277="","",E3279)</f>
        <v/>
      </c>
    </row>
    <row r="3280">
      <c r="A3280" s="1" t="inlineStr">
        <is>
          <t>Other Charges 其他费用</t>
        </is>
      </c>
      <c r="B3280" s="9">
        <f>IF($B3277="","",'Daily Sale entry '!D236)</f>
        <v/>
      </c>
      <c r="D3280" s="1" t="inlineStr">
        <is>
          <t>Cheque Collection 支票收款</t>
        </is>
      </c>
      <c r="E3280" s="9">
        <f>IF($B3277="","",'Daily Sale entry '!J236)</f>
        <v/>
      </c>
      <c r="H3280" s="1" t="inlineStr">
        <is>
          <t>Other Charges 其他费用</t>
        </is>
      </c>
      <c r="I3280" s="9">
        <f>IF($B3277="","",B3280)</f>
        <v/>
      </c>
      <c r="K3280" s="1" t="inlineStr">
        <is>
          <t>Cheque Collection 支票收款</t>
        </is>
      </c>
      <c r="L3280" s="9">
        <f>IF($B3277="","",E3280)</f>
        <v/>
      </c>
    </row>
    <row r="3281">
      <c r="A3281" s="10" t="inlineStr">
        <is>
          <t>Amount 金额  (Cash Sales - Misc - Other)</t>
        </is>
      </c>
      <c r="B3281" s="11">
        <f>IF($B3277="","",ROUND(B3278-B3279-B3280,2))</f>
        <v/>
      </c>
      <c r="D3281" s="12" t="inlineStr">
        <is>
          <t>TNG collection TNG收款</t>
        </is>
      </c>
      <c r="E3281" s="13">
        <f>IF($B3277="","",'Daily Sale entry '!K236)</f>
        <v/>
      </c>
      <c r="H3281" s="10" t="inlineStr">
        <is>
          <t>Amount 金额  (Cash Sales - Misc - Other)</t>
        </is>
      </c>
      <c r="I3281" s="11">
        <f>IF($B3277="","",ROUND(I3278-I3279-I3280,2))</f>
        <v/>
      </c>
      <c r="K3281" s="12" t="inlineStr">
        <is>
          <t>TNG collection TNG收款</t>
        </is>
      </c>
      <c r="L3281" s="13">
        <f>IF($B3277="","",E3281)</f>
        <v/>
      </c>
    </row>
    <row r="3282">
      <c r="A3282" t="inlineStr">
        <is>
          <t>Credit Collection 赊账收款</t>
        </is>
      </c>
      <c r="B3282" s="6">
        <f>IF($B3277="","",'Daily Sale entry '!E236)</f>
        <v/>
      </c>
      <c r="D3282" t="inlineStr">
        <is>
          <t>Advance Salary_M 预支薪水_M</t>
        </is>
      </c>
      <c r="E3282" s="6">
        <f>IF($B3277="","",'Daily Sale entry '!L236)</f>
        <v/>
      </c>
      <c r="H3282" t="inlineStr">
        <is>
          <t>Credit Collection 赊账收款</t>
        </is>
      </c>
      <c r="I3282" s="6">
        <f>IF($B3277="","",B3282)</f>
        <v/>
      </c>
      <c r="K3282" t="inlineStr">
        <is>
          <t>Advance Salary_M 预支薪水_M</t>
        </is>
      </c>
      <c r="L3282" s="6">
        <f>IF($B3277="","",E3282)</f>
        <v/>
      </c>
    </row>
    <row r="3283">
      <c r="A3283" s="10" t="inlineStr">
        <is>
          <t>Amount 2 金额2  (Amount + Credit Collection)</t>
        </is>
      </c>
      <c r="B3283" s="11">
        <f>IF($B3277="","",ROUND(B3281+B3282,2))</f>
        <v/>
      </c>
      <c r="D3283" t="inlineStr">
        <is>
          <t>Advance Salary_H 预支薪水_H</t>
        </is>
      </c>
      <c r="E3283" s="6">
        <f>IF($B3277="","",'Daily Sale entry '!M236)</f>
        <v/>
      </c>
      <c r="H3283" s="10" t="inlineStr">
        <is>
          <t>Amount 2 金额2  (Amount + Credit Collection)</t>
        </is>
      </c>
      <c r="I3283" s="11">
        <f>IF($B3277="","",ROUND(I3281+I3282,2))</f>
        <v/>
      </c>
      <c r="K3283" t="inlineStr">
        <is>
          <t>Advance Salary_H 预支薪水_H</t>
        </is>
      </c>
      <c r="L3283" s="6">
        <f>IF($B3277="","",E3283)</f>
        <v/>
      </c>
    </row>
    <row r="3284"/>
    <row r="3285">
      <c r="A3285" s="1" t="inlineStr">
        <is>
          <t>b/f petty cash 上日备用金结转</t>
        </is>
      </c>
      <c r="B3285" s="9">
        <f>IF($B3277="","",'Daily Sale entry '!F236)</f>
        <v/>
      </c>
      <c r="D3285" s="1" t="n"/>
      <c r="E3285" s="1" t="n"/>
      <c r="H3285" s="1" t="inlineStr">
        <is>
          <t>b/f petty cash 上日备用金结转</t>
        </is>
      </c>
      <c r="I3285" s="9">
        <f>IF($B3277="","",B3285)</f>
        <v/>
      </c>
      <c r="K3285" s="1" t="n"/>
      <c r="L3285" s="1" t="n"/>
    </row>
    <row r="3286">
      <c r="A3286" t="inlineStr">
        <is>
          <t>Total (A) 总计 (A)</t>
        </is>
      </c>
      <c r="B3286" s="6">
        <f>IF($B3277="","",ROUND(B3283+B3285,2))</f>
        <v/>
      </c>
      <c r="D3286" t="inlineStr">
        <is>
          <t>Total(B) 总计 (B)</t>
        </is>
      </c>
      <c r="E3286" s="6">
        <f>IF($B3277="","",ROUND(E3278+E3279+E3280+E3281+E3282+E3283,2))</f>
        <v/>
      </c>
      <c r="H3286" t="inlineStr">
        <is>
          <t>Total© 总计 (C)</t>
        </is>
      </c>
      <c r="I3286" s="6">
        <f>IF($B3277="","",ROUND(I3283+I3285,2))</f>
        <v/>
      </c>
      <c r="K3286" t="inlineStr">
        <is>
          <t>Total(D) 总计 (D)</t>
        </is>
      </c>
      <c r="L3286" s="6">
        <f>IF($B3277="","",ROUND(L3278+L3279+L3280+L3281+L3282+L3283,2))</f>
        <v/>
      </c>
    </row>
    <row r="3287">
      <c r="A3287" s="14" t="inlineStr">
        <is>
          <t>Total = Amount 2 + b/f petty cash  (金额2 + 上日备用金)</t>
        </is>
      </c>
      <c r="H3287" s="14" t="inlineStr">
        <is>
          <t>Total = Amount 2 + b/f petty cash  (金额2 + 上日备用金)</t>
        </is>
      </c>
    </row>
    <row r="3288">
      <c r="A3288" t="inlineStr">
        <is>
          <t>Different 差额</t>
        </is>
      </c>
      <c r="B3288" s="6">
        <f>IF($B3277="","",ROUND(B3286-E3286,2))</f>
        <v/>
      </c>
      <c r="D3288">
        <f>IF($B3277="","",IF(ABS(B3288)&gt;'Opening Balance'!$B$16,"ALERT 警报: Different over RM"&amp;'Opening Balance'!$B$16&amp;" 差额超过RM"&amp;'Opening Balance'!$B$16&amp;" - please check 请检查",IF(B3288=0,"Tied 平衡",IF(ABS(B3288)&lt;='Opening Balance'!$B$13,"Small difference 小额差额: adjusted on c/f petty cash 已调整备用金",IF(B3288&gt;0,"Short 短收: added to Misc Charges 已加入杂项费用","Over 多收: added to Cash Sales 已加入现金销售")))))</f>
        <v/>
      </c>
      <c r="H3288" t="inlineStr">
        <is>
          <t>Different 差额</t>
        </is>
      </c>
      <c r="I3288" s="6">
        <f>IF($B3277="","",ROUND(I3286-L3286,2))</f>
        <v/>
      </c>
    </row>
    <row r="3289"/>
    <row r="3290"/>
    <row r="3291">
      <c r="A3291" t="inlineStr">
        <is>
          <t>Date 日期</t>
        </is>
      </c>
      <c r="B3291" s="5">
        <f>IF('Daily Sale entry '!$A237="","",'Daily Sale entry '!$A237)</f>
        <v/>
      </c>
      <c r="H3291" t="inlineStr">
        <is>
          <t>After 调整后 (After)</t>
        </is>
      </c>
      <c r="I3291" s="5">
        <f>IF($B3291="","",B3291)</f>
        <v/>
      </c>
    </row>
    <row r="3292">
      <c r="A3292" t="inlineStr">
        <is>
          <t>Cash Sales 现金销售</t>
        </is>
      </c>
      <c r="B3292" s="6">
        <f>IF($B3291="","",'Daily Sale entry '!B237)</f>
        <v/>
      </c>
      <c r="D3292" t="inlineStr">
        <is>
          <t>c/f petty cash 今日备用金结转</t>
        </is>
      </c>
      <c r="E3292" s="6">
        <f>IF($B3291="","",'Daily Sale entry '!G237)</f>
        <v/>
      </c>
      <c r="H3292" t="inlineStr">
        <is>
          <t>Cash Sales 现金销售</t>
        </is>
      </c>
      <c r="I3292" s="6">
        <f>IF($B3291="","",IF(AND(ABS(B3302)&gt;'Opening Balance'!$B$13,B3302&lt;0),ROUND(B3292-B3302,2),B3292))</f>
        <v/>
      </c>
      <c r="K3292" t="inlineStr">
        <is>
          <t>c/f petty cash 今日备用金结转</t>
        </is>
      </c>
      <c r="L3292" s="6">
        <f>IF($B3291="","",IF(ABS(B3302)&lt;='Opening Balance'!$B$13,ROUND(E3292+B3302,2),E3292))</f>
        <v/>
      </c>
    </row>
    <row r="3293">
      <c r="A3293" t="inlineStr">
        <is>
          <t>Misc Charges 杂项费用</t>
        </is>
      </c>
      <c r="B3293" s="6">
        <f>IF($B3291="","",'Daily Sale entry '!C237)</f>
        <v/>
      </c>
      <c r="D3293" t="inlineStr">
        <is>
          <t>cash collection 现金收款</t>
        </is>
      </c>
      <c r="E3293" s="6">
        <f>IF($B3291="","",'Daily Sale entry '!H237)</f>
        <v/>
      </c>
      <c r="H3293" t="inlineStr">
        <is>
          <t>Misc Charges 杂项费用</t>
        </is>
      </c>
      <c r="I3293" s="6">
        <f>IF($B3291="","",IF(AND(ABS(B3302)&gt;'Opening Balance'!$B$13,B3302&gt;0),ROUND(B3293+B3302,2),B3293))</f>
        <v/>
      </c>
      <c r="K3293" t="inlineStr">
        <is>
          <t>cash collection 现金收款</t>
        </is>
      </c>
      <c r="L3293" s="6">
        <f>IF($B3291="","",E3293)</f>
        <v/>
      </c>
    </row>
    <row r="3294">
      <c r="A3294" s="1" t="inlineStr">
        <is>
          <t>Other Charges 其他费用</t>
        </is>
      </c>
      <c r="B3294" s="9">
        <f>IF($B3291="","",'Daily Sale entry '!D237)</f>
        <v/>
      </c>
      <c r="D3294" s="1" t="inlineStr">
        <is>
          <t>Cheque Collection 支票收款</t>
        </is>
      </c>
      <c r="E3294" s="9">
        <f>IF($B3291="","",'Daily Sale entry '!J237)</f>
        <v/>
      </c>
      <c r="H3294" s="1" t="inlineStr">
        <is>
          <t>Other Charges 其他费用</t>
        </is>
      </c>
      <c r="I3294" s="9">
        <f>IF($B3291="","",B3294)</f>
        <v/>
      </c>
      <c r="K3294" s="1" t="inlineStr">
        <is>
          <t>Cheque Collection 支票收款</t>
        </is>
      </c>
      <c r="L3294" s="9">
        <f>IF($B3291="","",E3294)</f>
        <v/>
      </c>
    </row>
    <row r="3295">
      <c r="A3295" s="10" t="inlineStr">
        <is>
          <t>Amount 金额  (Cash Sales - Misc - Other)</t>
        </is>
      </c>
      <c r="B3295" s="11">
        <f>IF($B3291="","",ROUND(B3292-B3293-B3294,2))</f>
        <v/>
      </c>
      <c r="D3295" s="12" t="inlineStr">
        <is>
          <t>TNG collection TNG收款</t>
        </is>
      </c>
      <c r="E3295" s="13">
        <f>IF($B3291="","",'Daily Sale entry '!K237)</f>
        <v/>
      </c>
      <c r="H3295" s="10" t="inlineStr">
        <is>
          <t>Amount 金额  (Cash Sales - Misc - Other)</t>
        </is>
      </c>
      <c r="I3295" s="11">
        <f>IF($B3291="","",ROUND(I3292-I3293-I3294,2))</f>
        <v/>
      </c>
      <c r="K3295" s="12" t="inlineStr">
        <is>
          <t>TNG collection TNG收款</t>
        </is>
      </c>
      <c r="L3295" s="13">
        <f>IF($B3291="","",E3295)</f>
        <v/>
      </c>
    </row>
    <row r="3296">
      <c r="A3296" t="inlineStr">
        <is>
          <t>Credit Collection 赊账收款</t>
        </is>
      </c>
      <c r="B3296" s="6">
        <f>IF($B3291="","",'Daily Sale entry '!E237)</f>
        <v/>
      </c>
      <c r="D3296" t="inlineStr">
        <is>
          <t>Advance Salary_M 预支薪水_M</t>
        </is>
      </c>
      <c r="E3296" s="6">
        <f>IF($B3291="","",'Daily Sale entry '!L237)</f>
        <v/>
      </c>
      <c r="H3296" t="inlineStr">
        <is>
          <t>Credit Collection 赊账收款</t>
        </is>
      </c>
      <c r="I3296" s="6">
        <f>IF($B3291="","",B3296)</f>
        <v/>
      </c>
      <c r="K3296" t="inlineStr">
        <is>
          <t>Advance Salary_M 预支薪水_M</t>
        </is>
      </c>
      <c r="L3296" s="6">
        <f>IF($B3291="","",E3296)</f>
        <v/>
      </c>
    </row>
    <row r="3297">
      <c r="A3297" s="10" t="inlineStr">
        <is>
          <t>Amount 2 金额2  (Amount + Credit Collection)</t>
        </is>
      </c>
      <c r="B3297" s="11">
        <f>IF($B3291="","",ROUND(B3295+B3296,2))</f>
        <v/>
      </c>
      <c r="D3297" t="inlineStr">
        <is>
          <t>Advance Salary_H 预支薪水_H</t>
        </is>
      </c>
      <c r="E3297" s="6">
        <f>IF($B3291="","",'Daily Sale entry '!M237)</f>
        <v/>
      </c>
      <c r="H3297" s="10" t="inlineStr">
        <is>
          <t>Amount 2 金额2  (Amount + Credit Collection)</t>
        </is>
      </c>
      <c r="I3297" s="11">
        <f>IF($B3291="","",ROUND(I3295+I3296,2))</f>
        <v/>
      </c>
      <c r="K3297" t="inlineStr">
        <is>
          <t>Advance Salary_H 预支薪水_H</t>
        </is>
      </c>
      <c r="L3297" s="6">
        <f>IF($B3291="","",E3297)</f>
        <v/>
      </c>
    </row>
    <row r="3298"/>
    <row r="3299">
      <c r="A3299" s="1" t="inlineStr">
        <is>
          <t>b/f petty cash 上日备用金结转</t>
        </is>
      </c>
      <c r="B3299" s="9">
        <f>IF($B3291="","",'Daily Sale entry '!F237)</f>
        <v/>
      </c>
      <c r="D3299" s="1" t="n"/>
      <c r="E3299" s="1" t="n"/>
      <c r="H3299" s="1" t="inlineStr">
        <is>
          <t>b/f petty cash 上日备用金结转</t>
        </is>
      </c>
      <c r="I3299" s="9">
        <f>IF($B3291="","",B3299)</f>
        <v/>
      </c>
      <c r="K3299" s="1" t="n"/>
      <c r="L3299" s="1" t="n"/>
    </row>
    <row r="3300">
      <c r="A3300" t="inlineStr">
        <is>
          <t>Total (A) 总计 (A)</t>
        </is>
      </c>
      <c r="B3300" s="6">
        <f>IF($B3291="","",ROUND(B3297+B3299,2))</f>
        <v/>
      </c>
      <c r="D3300" t="inlineStr">
        <is>
          <t>Total(B) 总计 (B)</t>
        </is>
      </c>
      <c r="E3300" s="6">
        <f>IF($B3291="","",ROUND(E3292+E3293+E3294+E3295+E3296+E3297,2))</f>
        <v/>
      </c>
      <c r="H3300" t="inlineStr">
        <is>
          <t>Total© 总计 (C)</t>
        </is>
      </c>
      <c r="I3300" s="6">
        <f>IF($B3291="","",ROUND(I3297+I3299,2))</f>
        <v/>
      </c>
      <c r="K3300" t="inlineStr">
        <is>
          <t>Total(D) 总计 (D)</t>
        </is>
      </c>
      <c r="L3300" s="6">
        <f>IF($B3291="","",ROUND(L3292+L3293+L3294+L3295+L3296+L3297,2))</f>
        <v/>
      </c>
    </row>
    <row r="3301">
      <c r="A3301" s="14" t="inlineStr">
        <is>
          <t>Total = Amount 2 + b/f petty cash  (金额2 + 上日备用金)</t>
        </is>
      </c>
      <c r="H3301" s="14" t="inlineStr">
        <is>
          <t>Total = Amount 2 + b/f petty cash  (金额2 + 上日备用金)</t>
        </is>
      </c>
    </row>
    <row r="3302">
      <c r="A3302" t="inlineStr">
        <is>
          <t>Different 差额</t>
        </is>
      </c>
      <c r="B3302" s="6">
        <f>IF($B3291="","",ROUND(B3300-E3300,2))</f>
        <v/>
      </c>
      <c r="D3302">
        <f>IF($B3291="","",IF(ABS(B3302)&gt;'Opening Balance'!$B$16,"ALERT 警报: Different over RM"&amp;'Opening Balance'!$B$16&amp;" 差额超过RM"&amp;'Opening Balance'!$B$16&amp;" - please check 请检查",IF(B3302=0,"Tied 平衡",IF(ABS(B3302)&lt;='Opening Balance'!$B$13,"Small difference 小额差额: adjusted on c/f petty cash 已调整备用金",IF(B3302&gt;0,"Short 短收: added to Misc Charges 已加入杂项费用","Over 多收: added to Cash Sales 已加入现金销售")))))</f>
        <v/>
      </c>
      <c r="H3302" t="inlineStr">
        <is>
          <t>Different 差额</t>
        </is>
      </c>
      <c r="I3302" s="6">
        <f>IF($B3291="","",ROUND(I3300-L3300,2))</f>
        <v/>
      </c>
    </row>
    <row r="3303"/>
    <row r="3304"/>
    <row r="3305">
      <c r="A3305" t="inlineStr">
        <is>
          <t>Date 日期</t>
        </is>
      </c>
      <c r="B3305" s="5">
        <f>IF('Daily Sale entry '!$A238="","",'Daily Sale entry '!$A238)</f>
        <v/>
      </c>
      <c r="H3305" t="inlineStr">
        <is>
          <t>After 调整后 (After)</t>
        </is>
      </c>
      <c r="I3305" s="5">
        <f>IF($B3305="","",B3305)</f>
        <v/>
      </c>
    </row>
    <row r="3306">
      <c r="A3306" t="inlineStr">
        <is>
          <t>Cash Sales 现金销售</t>
        </is>
      </c>
      <c r="B3306" s="6">
        <f>IF($B3305="","",'Daily Sale entry '!B238)</f>
        <v/>
      </c>
      <c r="D3306" t="inlineStr">
        <is>
          <t>c/f petty cash 今日备用金结转</t>
        </is>
      </c>
      <c r="E3306" s="6">
        <f>IF($B3305="","",'Daily Sale entry '!G238)</f>
        <v/>
      </c>
      <c r="H3306" t="inlineStr">
        <is>
          <t>Cash Sales 现金销售</t>
        </is>
      </c>
      <c r="I3306" s="6">
        <f>IF($B3305="","",IF(AND(ABS(B3316)&gt;'Opening Balance'!$B$13,B3316&lt;0),ROUND(B3306-B3316,2),B3306))</f>
        <v/>
      </c>
      <c r="K3306" t="inlineStr">
        <is>
          <t>c/f petty cash 今日备用金结转</t>
        </is>
      </c>
      <c r="L3306" s="6">
        <f>IF($B3305="","",IF(ABS(B3316)&lt;='Opening Balance'!$B$13,ROUND(E3306+B3316,2),E3306))</f>
        <v/>
      </c>
    </row>
    <row r="3307">
      <c r="A3307" t="inlineStr">
        <is>
          <t>Misc Charges 杂项费用</t>
        </is>
      </c>
      <c r="B3307" s="6">
        <f>IF($B3305="","",'Daily Sale entry '!C238)</f>
        <v/>
      </c>
      <c r="D3307" t="inlineStr">
        <is>
          <t>cash collection 现金收款</t>
        </is>
      </c>
      <c r="E3307" s="6">
        <f>IF($B3305="","",'Daily Sale entry '!H238)</f>
        <v/>
      </c>
      <c r="H3307" t="inlineStr">
        <is>
          <t>Misc Charges 杂项费用</t>
        </is>
      </c>
      <c r="I3307" s="6">
        <f>IF($B3305="","",IF(AND(ABS(B3316)&gt;'Opening Balance'!$B$13,B3316&gt;0),ROUND(B3307+B3316,2),B3307))</f>
        <v/>
      </c>
      <c r="K3307" t="inlineStr">
        <is>
          <t>cash collection 现金收款</t>
        </is>
      </c>
      <c r="L3307" s="6">
        <f>IF($B3305="","",E3307)</f>
        <v/>
      </c>
    </row>
    <row r="3308">
      <c r="A3308" s="1" t="inlineStr">
        <is>
          <t>Other Charges 其他费用</t>
        </is>
      </c>
      <c r="B3308" s="9">
        <f>IF($B3305="","",'Daily Sale entry '!D238)</f>
        <v/>
      </c>
      <c r="D3308" s="1" t="inlineStr">
        <is>
          <t>Cheque Collection 支票收款</t>
        </is>
      </c>
      <c r="E3308" s="9">
        <f>IF($B3305="","",'Daily Sale entry '!J238)</f>
        <v/>
      </c>
      <c r="H3308" s="1" t="inlineStr">
        <is>
          <t>Other Charges 其他费用</t>
        </is>
      </c>
      <c r="I3308" s="9">
        <f>IF($B3305="","",B3308)</f>
        <v/>
      </c>
      <c r="K3308" s="1" t="inlineStr">
        <is>
          <t>Cheque Collection 支票收款</t>
        </is>
      </c>
      <c r="L3308" s="9">
        <f>IF($B3305="","",E3308)</f>
        <v/>
      </c>
    </row>
    <row r="3309">
      <c r="A3309" s="10" t="inlineStr">
        <is>
          <t>Amount 金额  (Cash Sales - Misc - Other)</t>
        </is>
      </c>
      <c r="B3309" s="11">
        <f>IF($B3305="","",ROUND(B3306-B3307-B3308,2))</f>
        <v/>
      </c>
      <c r="D3309" s="12" t="inlineStr">
        <is>
          <t>TNG collection TNG收款</t>
        </is>
      </c>
      <c r="E3309" s="13">
        <f>IF($B3305="","",'Daily Sale entry '!K238)</f>
        <v/>
      </c>
      <c r="H3309" s="10" t="inlineStr">
        <is>
          <t>Amount 金额  (Cash Sales - Misc - Other)</t>
        </is>
      </c>
      <c r="I3309" s="11">
        <f>IF($B3305="","",ROUND(I3306-I3307-I3308,2))</f>
        <v/>
      </c>
      <c r="K3309" s="12" t="inlineStr">
        <is>
          <t>TNG collection TNG收款</t>
        </is>
      </c>
      <c r="L3309" s="13">
        <f>IF($B3305="","",E3309)</f>
        <v/>
      </c>
    </row>
    <row r="3310">
      <c r="A3310" t="inlineStr">
        <is>
          <t>Credit Collection 赊账收款</t>
        </is>
      </c>
      <c r="B3310" s="6">
        <f>IF($B3305="","",'Daily Sale entry '!E238)</f>
        <v/>
      </c>
      <c r="D3310" t="inlineStr">
        <is>
          <t>Advance Salary_M 预支薪水_M</t>
        </is>
      </c>
      <c r="E3310" s="6">
        <f>IF($B3305="","",'Daily Sale entry '!L238)</f>
        <v/>
      </c>
      <c r="H3310" t="inlineStr">
        <is>
          <t>Credit Collection 赊账收款</t>
        </is>
      </c>
      <c r="I3310" s="6">
        <f>IF($B3305="","",B3310)</f>
        <v/>
      </c>
      <c r="K3310" t="inlineStr">
        <is>
          <t>Advance Salary_M 预支薪水_M</t>
        </is>
      </c>
      <c r="L3310" s="6">
        <f>IF($B3305="","",E3310)</f>
        <v/>
      </c>
    </row>
    <row r="3311">
      <c r="A3311" s="10" t="inlineStr">
        <is>
          <t>Amount 2 金额2  (Amount + Credit Collection)</t>
        </is>
      </c>
      <c r="B3311" s="11">
        <f>IF($B3305="","",ROUND(B3309+B3310,2))</f>
        <v/>
      </c>
      <c r="D3311" t="inlineStr">
        <is>
          <t>Advance Salary_H 预支薪水_H</t>
        </is>
      </c>
      <c r="E3311" s="6">
        <f>IF($B3305="","",'Daily Sale entry '!M238)</f>
        <v/>
      </c>
      <c r="H3311" s="10" t="inlineStr">
        <is>
          <t>Amount 2 金额2  (Amount + Credit Collection)</t>
        </is>
      </c>
      <c r="I3311" s="11">
        <f>IF($B3305="","",ROUND(I3309+I3310,2))</f>
        <v/>
      </c>
      <c r="K3311" t="inlineStr">
        <is>
          <t>Advance Salary_H 预支薪水_H</t>
        </is>
      </c>
      <c r="L3311" s="6">
        <f>IF($B3305="","",E3311)</f>
        <v/>
      </c>
    </row>
    <row r="3312"/>
    <row r="3313">
      <c r="A3313" s="1" t="inlineStr">
        <is>
          <t>b/f petty cash 上日备用金结转</t>
        </is>
      </c>
      <c r="B3313" s="9">
        <f>IF($B3305="","",'Daily Sale entry '!F238)</f>
        <v/>
      </c>
      <c r="D3313" s="1" t="n"/>
      <c r="E3313" s="1" t="n"/>
      <c r="H3313" s="1" t="inlineStr">
        <is>
          <t>b/f petty cash 上日备用金结转</t>
        </is>
      </c>
      <c r="I3313" s="9">
        <f>IF($B3305="","",B3313)</f>
        <v/>
      </c>
      <c r="K3313" s="1" t="n"/>
      <c r="L3313" s="1" t="n"/>
    </row>
    <row r="3314">
      <c r="A3314" t="inlineStr">
        <is>
          <t>Total (A) 总计 (A)</t>
        </is>
      </c>
      <c r="B3314" s="6">
        <f>IF($B3305="","",ROUND(B3311+B3313,2))</f>
        <v/>
      </c>
      <c r="D3314" t="inlineStr">
        <is>
          <t>Total(B) 总计 (B)</t>
        </is>
      </c>
      <c r="E3314" s="6">
        <f>IF($B3305="","",ROUND(E3306+E3307+E3308+E3309+E3310+E3311,2))</f>
        <v/>
      </c>
      <c r="H3314" t="inlineStr">
        <is>
          <t>Total© 总计 (C)</t>
        </is>
      </c>
      <c r="I3314" s="6">
        <f>IF($B3305="","",ROUND(I3311+I3313,2))</f>
        <v/>
      </c>
      <c r="K3314" t="inlineStr">
        <is>
          <t>Total(D) 总计 (D)</t>
        </is>
      </c>
      <c r="L3314" s="6">
        <f>IF($B3305="","",ROUND(L3306+L3307+L3308+L3309+L3310+L3311,2))</f>
        <v/>
      </c>
    </row>
    <row r="3315">
      <c r="A3315" s="14" t="inlineStr">
        <is>
          <t>Total = Amount 2 + b/f petty cash  (金额2 + 上日备用金)</t>
        </is>
      </c>
      <c r="H3315" s="14" t="inlineStr">
        <is>
          <t>Total = Amount 2 + b/f petty cash  (金额2 + 上日备用金)</t>
        </is>
      </c>
    </row>
    <row r="3316">
      <c r="A3316" t="inlineStr">
        <is>
          <t>Different 差额</t>
        </is>
      </c>
      <c r="B3316" s="6">
        <f>IF($B3305="","",ROUND(B3314-E3314,2))</f>
        <v/>
      </c>
      <c r="D3316">
        <f>IF($B3305="","",IF(ABS(B3316)&gt;'Opening Balance'!$B$16,"ALERT 警报: Different over RM"&amp;'Opening Balance'!$B$16&amp;" 差额超过RM"&amp;'Opening Balance'!$B$16&amp;" - please check 请检查",IF(B3316=0,"Tied 平衡",IF(ABS(B3316)&lt;='Opening Balance'!$B$13,"Small difference 小额差额: adjusted on c/f petty cash 已调整备用金",IF(B3316&gt;0,"Short 短收: added to Misc Charges 已加入杂项费用","Over 多收: added to Cash Sales 已加入现金销售")))))</f>
        <v/>
      </c>
      <c r="H3316" t="inlineStr">
        <is>
          <t>Different 差额</t>
        </is>
      </c>
      <c r="I3316" s="6">
        <f>IF($B3305="","",ROUND(I3314-L3314,2))</f>
        <v/>
      </c>
    </row>
    <row r="3317"/>
    <row r="3318"/>
    <row r="3319">
      <c r="A3319" t="inlineStr">
        <is>
          <t>Date 日期</t>
        </is>
      </c>
      <c r="B3319" s="5">
        <f>IF('Daily Sale entry '!$A239="","",'Daily Sale entry '!$A239)</f>
        <v/>
      </c>
      <c r="H3319" t="inlineStr">
        <is>
          <t>After 调整后 (After)</t>
        </is>
      </c>
      <c r="I3319" s="5">
        <f>IF($B3319="","",B3319)</f>
        <v/>
      </c>
    </row>
    <row r="3320">
      <c r="A3320" t="inlineStr">
        <is>
          <t>Cash Sales 现金销售</t>
        </is>
      </c>
      <c r="B3320" s="6">
        <f>IF($B3319="","",'Daily Sale entry '!B239)</f>
        <v/>
      </c>
      <c r="D3320" t="inlineStr">
        <is>
          <t>c/f petty cash 今日备用金结转</t>
        </is>
      </c>
      <c r="E3320" s="6">
        <f>IF($B3319="","",'Daily Sale entry '!G239)</f>
        <v/>
      </c>
      <c r="H3320" t="inlineStr">
        <is>
          <t>Cash Sales 现金销售</t>
        </is>
      </c>
      <c r="I3320" s="6">
        <f>IF($B3319="","",IF(AND(ABS(B3330)&gt;'Opening Balance'!$B$13,B3330&lt;0),ROUND(B3320-B3330,2),B3320))</f>
        <v/>
      </c>
      <c r="K3320" t="inlineStr">
        <is>
          <t>c/f petty cash 今日备用金结转</t>
        </is>
      </c>
      <c r="L3320" s="6">
        <f>IF($B3319="","",IF(ABS(B3330)&lt;='Opening Balance'!$B$13,ROUND(E3320+B3330,2),E3320))</f>
        <v/>
      </c>
    </row>
    <row r="3321">
      <c r="A3321" t="inlineStr">
        <is>
          <t>Misc Charges 杂项费用</t>
        </is>
      </c>
      <c r="B3321" s="6">
        <f>IF($B3319="","",'Daily Sale entry '!C239)</f>
        <v/>
      </c>
      <c r="D3321" t="inlineStr">
        <is>
          <t>cash collection 现金收款</t>
        </is>
      </c>
      <c r="E3321" s="6">
        <f>IF($B3319="","",'Daily Sale entry '!H239)</f>
        <v/>
      </c>
      <c r="H3321" t="inlineStr">
        <is>
          <t>Misc Charges 杂项费用</t>
        </is>
      </c>
      <c r="I3321" s="6">
        <f>IF($B3319="","",IF(AND(ABS(B3330)&gt;'Opening Balance'!$B$13,B3330&gt;0),ROUND(B3321+B3330,2),B3321))</f>
        <v/>
      </c>
      <c r="K3321" t="inlineStr">
        <is>
          <t>cash collection 现金收款</t>
        </is>
      </c>
      <c r="L3321" s="6">
        <f>IF($B3319="","",E3321)</f>
        <v/>
      </c>
    </row>
    <row r="3322">
      <c r="A3322" s="1" t="inlineStr">
        <is>
          <t>Other Charges 其他费用</t>
        </is>
      </c>
      <c r="B3322" s="9">
        <f>IF($B3319="","",'Daily Sale entry '!D239)</f>
        <v/>
      </c>
      <c r="D3322" s="1" t="inlineStr">
        <is>
          <t>Cheque Collection 支票收款</t>
        </is>
      </c>
      <c r="E3322" s="9">
        <f>IF($B3319="","",'Daily Sale entry '!J239)</f>
        <v/>
      </c>
      <c r="H3322" s="1" t="inlineStr">
        <is>
          <t>Other Charges 其他费用</t>
        </is>
      </c>
      <c r="I3322" s="9">
        <f>IF($B3319="","",B3322)</f>
        <v/>
      </c>
      <c r="K3322" s="1" t="inlineStr">
        <is>
          <t>Cheque Collection 支票收款</t>
        </is>
      </c>
      <c r="L3322" s="9">
        <f>IF($B3319="","",E3322)</f>
        <v/>
      </c>
    </row>
    <row r="3323">
      <c r="A3323" s="10" t="inlineStr">
        <is>
          <t>Amount 金额  (Cash Sales - Misc - Other)</t>
        </is>
      </c>
      <c r="B3323" s="11">
        <f>IF($B3319="","",ROUND(B3320-B3321-B3322,2))</f>
        <v/>
      </c>
      <c r="D3323" s="12" t="inlineStr">
        <is>
          <t>TNG collection TNG收款</t>
        </is>
      </c>
      <c r="E3323" s="13">
        <f>IF($B3319="","",'Daily Sale entry '!K239)</f>
        <v/>
      </c>
      <c r="H3323" s="10" t="inlineStr">
        <is>
          <t>Amount 金额  (Cash Sales - Misc - Other)</t>
        </is>
      </c>
      <c r="I3323" s="11">
        <f>IF($B3319="","",ROUND(I3320-I3321-I3322,2))</f>
        <v/>
      </c>
      <c r="K3323" s="12" t="inlineStr">
        <is>
          <t>TNG collection TNG收款</t>
        </is>
      </c>
      <c r="L3323" s="13">
        <f>IF($B3319="","",E3323)</f>
        <v/>
      </c>
    </row>
    <row r="3324">
      <c r="A3324" t="inlineStr">
        <is>
          <t>Credit Collection 赊账收款</t>
        </is>
      </c>
      <c r="B3324" s="6">
        <f>IF($B3319="","",'Daily Sale entry '!E239)</f>
        <v/>
      </c>
      <c r="D3324" t="inlineStr">
        <is>
          <t>Advance Salary_M 预支薪水_M</t>
        </is>
      </c>
      <c r="E3324" s="6">
        <f>IF($B3319="","",'Daily Sale entry '!L239)</f>
        <v/>
      </c>
      <c r="H3324" t="inlineStr">
        <is>
          <t>Credit Collection 赊账收款</t>
        </is>
      </c>
      <c r="I3324" s="6">
        <f>IF($B3319="","",B3324)</f>
        <v/>
      </c>
      <c r="K3324" t="inlineStr">
        <is>
          <t>Advance Salary_M 预支薪水_M</t>
        </is>
      </c>
      <c r="L3324" s="6">
        <f>IF($B3319="","",E3324)</f>
        <v/>
      </c>
    </row>
    <row r="3325">
      <c r="A3325" s="10" t="inlineStr">
        <is>
          <t>Amount 2 金额2  (Amount + Credit Collection)</t>
        </is>
      </c>
      <c r="B3325" s="11">
        <f>IF($B3319="","",ROUND(B3323+B3324,2))</f>
        <v/>
      </c>
      <c r="D3325" t="inlineStr">
        <is>
          <t>Advance Salary_H 预支薪水_H</t>
        </is>
      </c>
      <c r="E3325" s="6">
        <f>IF($B3319="","",'Daily Sale entry '!M239)</f>
        <v/>
      </c>
      <c r="H3325" s="10" t="inlineStr">
        <is>
          <t>Amount 2 金额2  (Amount + Credit Collection)</t>
        </is>
      </c>
      <c r="I3325" s="11">
        <f>IF($B3319="","",ROUND(I3323+I3324,2))</f>
        <v/>
      </c>
      <c r="K3325" t="inlineStr">
        <is>
          <t>Advance Salary_H 预支薪水_H</t>
        </is>
      </c>
      <c r="L3325" s="6">
        <f>IF($B3319="","",E3325)</f>
        <v/>
      </c>
    </row>
    <row r="3326"/>
    <row r="3327">
      <c r="A3327" s="1" t="inlineStr">
        <is>
          <t>b/f petty cash 上日备用金结转</t>
        </is>
      </c>
      <c r="B3327" s="9">
        <f>IF($B3319="","",'Daily Sale entry '!F239)</f>
        <v/>
      </c>
      <c r="D3327" s="1" t="n"/>
      <c r="E3327" s="1" t="n"/>
      <c r="H3327" s="1" t="inlineStr">
        <is>
          <t>b/f petty cash 上日备用金结转</t>
        </is>
      </c>
      <c r="I3327" s="9">
        <f>IF($B3319="","",B3327)</f>
        <v/>
      </c>
      <c r="K3327" s="1" t="n"/>
      <c r="L3327" s="1" t="n"/>
    </row>
    <row r="3328">
      <c r="A3328" t="inlineStr">
        <is>
          <t>Total (A) 总计 (A)</t>
        </is>
      </c>
      <c r="B3328" s="6">
        <f>IF($B3319="","",ROUND(B3325+B3327,2))</f>
        <v/>
      </c>
      <c r="D3328" t="inlineStr">
        <is>
          <t>Total(B) 总计 (B)</t>
        </is>
      </c>
      <c r="E3328" s="6">
        <f>IF($B3319="","",ROUND(E3320+E3321+E3322+E3323+E3324+E3325,2))</f>
        <v/>
      </c>
      <c r="H3328" t="inlineStr">
        <is>
          <t>Total© 总计 (C)</t>
        </is>
      </c>
      <c r="I3328" s="6">
        <f>IF($B3319="","",ROUND(I3325+I3327,2))</f>
        <v/>
      </c>
      <c r="K3328" t="inlineStr">
        <is>
          <t>Total(D) 总计 (D)</t>
        </is>
      </c>
      <c r="L3328" s="6">
        <f>IF($B3319="","",ROUND(L3320+L3321+L3322+L3323+L3324+L3325,2))</f>
        <v/>
      </c>
    </row>
    <row r="3329">
      <c r="A3329" s="14" t="inlineStr">
        <is>
          <t>Total = Amount 2 + b/f petty cash  (金额2 + 上日备用金)</t>
        </is>
      </c>
      <c r="H3329" s="14" t="inlineStr">
        <is>
          <t>Total = Amount 2 + b/f petty cash  (金额2 + 上日备用金)</t>
        </is>
      </c>
    </row>
    <row r="3330">
      <c r="A3330" t="inlineStr">
        <is>
          <t>Different 差额</t>
        </is>
      </c>
      <c r="B3330" s="6">
        <f>IF($B3319="","",ROUND(B3328-E3328,2))</f>
        <v/>
      </c>
      <c r="D3330">
        <f>IF($B3319="","",IF(ABS(B3330)&gt;'Opening Balance'!$B$16,"ALERT 警报: Different over RM"&amp;'Opening Balance'!$B$16&amp;" 差额超过RM"&amp;'Opening Balance'!$B$16&amp;" - please check 请检查",IF(B3330=0,"Tied 平衡",IF(ABS(B3330)&lt;='Opening Balance'!$B$13,"Small difference 小额差额: adjusted on c/f petty cash 已调整备用金",IF(B3330&gt;0,"Short 短收: added to Misc Charges 已加入杂项费用","Over 多收: added to Cash Sales 已加入现金销售")))))</f>
        <v/>
      </c>
      <c r="H3330" t="inlineStr">
        <is>
          <t>Different 差额</t>
        </is>
      </c>
      <c r="I3330" s="6">
        <f>IF($B3319="","",ROUND(I3328-L3328,2))</f>
        <v/>
      </c>
    </row>
    <row r="3331"/>
    <row r="3332"/>
    <row r="3333">
      <c r="A3333" t="inlineStr">
        <is>
          <t>Date 日期</t>
        </is>
      </c>
      <c r="B3333" s="5">
        <f>IF('Daily Sale entry '!$A240="","",'Daily Sale entry '!$A240)</f>
        <v/>
      </c>
      <c r="H3333" t="inlineStr">
        <is>
          <t>After 调整后 (After)</t>
        </is>
      </c>
      <c r="I3333" s="5">
        <f>IF($B3333="","",B3333)</f>
        <v/>
      </c>
    </row>
    <row r="3334">
      <c r="A3334" t="inlineStr">
        <is>
          <t>Cash Sales 现金销售</t>
        </is>
      </c>
      <c r="B3334" s="6">
        <f>IF($B3333="","",'Daily Sale entry '!B240)</f>
        <v/>
      </c>
      <c r="D3334" t="inlineStr">
        <is>
          <t>c/f petty cash 今日备用金结转</t>
        </is>
      </c>
      <c r="E3334" s="6">
        <f>IF($B3333="","",'Daily Sale entry '!G240)</f>
        <v/>
      </c>
      <c r="H3334" t="inlineStr">
        <is>
          <t>Cash Sales 现金销售</t>
        </is>
      </c>
      <c r="I3334" s="6">
        <f>IF($B3333="","",IF(AND(ABS(B3344)&gt;'Opening Balance'!$B$13,B3344&lt;0),ROUND(B3334-B3344,2),B3334))</f>
        <v/>
      </c>
      <c r="K3334" t="inlineStr">
        <is>
          <t>c/f petty cash 今日备用金结转</t>
        </is>
      </c>
      <c r="L3334" s="6">
        <f>IF($B3333="","",IF(ABS(B3344)&lt;='Opening Balance'!$B$13,ROUND(E3334+B3344,2),E3334))</f>
        <v/>
      </c>
    </row>
    <row r="3335">
      <c r="A3335" t="inlineStr">
        <is>
          <t>Misc Charges 杂项费用</t>
        </is>
      </c>
      <c r="B3335" s="6">
        <f>IF($B3333="","",'Daily Sale entry '!C240)</f>
        <v/>
      </c>
      <c r="D3335" t="inlineStr">
        <is>
          <t>cash collection 现金收款</t>
        </is>
      </c>
      <c r="E3335" s="6">
        <f>IF($B3333="","",'Daily Sale entry '!H240)</f>
        <v/>
      </c>
      <c r="H3335" t="inlineStr">
        <is>
          <t>Misc Charges 杂项费用</t>
        </is>
      </c>
      <c r="I3335" s="6">
        <f>IF($B3333="","",IF(AND(ABS(B3344)&gt;'Opening Balance'!$B$13,B3344&gt;0),ROUND(B3335+B3344,2),B3335))</f>
        <v/>
      </c>
      <c r="K3335" t="inlineStr">
        <is>
          <t>cash collection 现金收款</t>
        </is>
      </c>
      <c r="L3335" s="6">
        <f>IF($B3333="","",E3335)</f>
        <v/>
      </c>
    </row>
    <row r="3336">
      <c r="A3336" s="1" t="inlineStr">
        <is>
          <t>Other Charges 其他费用</t>
        </is>
      </c>
      <c r="B3336" s="9">
        <f>IF($B3333="","",'Daily Sale entry '!D240)</f>
        <v/>
      </c>
      <c r="D3336" s="1" t="inlineStr">
        <is>
          <t>Cheque Collection 支票收款</t>
        </is>
      </c>
      <c r="E3336" s="9">
        <f>IF($B3333="","",'Daily Sale entry '!J240)</f>
        <v/>
      </c>
      <c r="H3336" s="1" t="inlineStr">
        <is>
          <t>Other Charges 其他费用</t>
        </is>
      </c>
      <c r="I3336" s="9">
        <f>IF($B3333="","",B3336)</f>
        <v/>
      </c>
      <c r="K3336" s="1" t="inlineStr">
        <is>
          <t>Cheque Collection 支票收款</t>
        </is>
      </c>
      <c r="L3336" s="9">
        <f>IF($B3333="","",E3336)</f>
        <v/>
      </c>
    </row>
    <row r="3337">
      <c r="A3337" s="10" t="inlineStr">
        <is>
          <t>Amount 金额  (Cash Sales - Misc - Other)</t>
        </is>
      </c>
      <c r="B3337" s="11">
        <f>IF($B3333="","",ROUND(B3334-B3335-B3336,2))</f>
        <v/>
      </c>
      <c r="D3337" s="12" t="inlineStr">
        <is>
          <t>TNG collection TNG收款</t>
        </is>
      </c>
      <c r="E3337" s="13">
        <f>IF($B3333="","",'Daily Sale entry '!K240)</f>
        <v/>
      </c>
      <c r="H3337" s="10" t="inlineStr">
        <is>
          <t>Amount 金额  (Cash Sales - Misc - Other)</t>
        </is>
      </c>
      <c r="I3337" s="11">
        <f>IF($B3333="","",ROUND(I3334-I3335-I3336,2))</f>
        <v/>
      </c>
      <c r="K3337" s="12" t="inlineStr">
        <is>
          <t>TNG collection TNG收款</t>
        </is>
      </c>
      <c r="L3337" s="13">
        <f>IF($B3333="","",E3337)</f>
        <v/>
      </c>
    </row>
    <row r="3338">
      <c r="A3338" t="inlineStr">
        <is>
          <t>Credit Collection 赊账收款</t>
        </is>
      </c>
      <c r="B3338" s="6">
        <f>IF($B3333="","",'Daily Sale entry '!E240)</f>
        <v/>
      </c>
      <c r="D3338" t="inlineStr">
        <is>
          <t>Advance Salary_M 预支薪水_M</t>
        </is>
      </c>
      <c r="E3338" s="6">
        <f>IF($B3333="","",'Daily Sale entry '!L240)</f>
        <v/>
      </c>
      <c r="H3338" t="inlineStr">
        <is>
          <t>Credit Collection 赊账收款</t>
        </is>
      </c>
      <c r="I3338" s="6">
        <f>IF($B3333="","",B3338)</f>
        <v/>
      </c>
      <c r="K3338" t="inlineStr">
        <is>
          <t>Advance Salary_M 预支薪水_M</t>
        </is>
      </c>
      <c r="L3338" s="6">
        <f>IF($B3333="","",E3338)</f>
        <v/>
      </c>
    </row>
    <row r="3339">
      <c r="A3339" s="10" t="inlineStr">
        <is>
          <t>Amount 2 金额2  (Amount + Credit Collection)</t>
        </is>
      </c>
      <c r="B3339" s="11">
        <f>IF($B3333="","",ROUND(B3337+B3338,2))</f>
        <v/>
      </c>
      <c r="D3339" t="inlineStr">
        <is>
          <t>Advance Salary_H 预支薪水_H</t>
        </is>
      </c>
      <c r="E3339" s="6">
        <f>IF($B3333="","",'Daily Sale entry '!M240)</f>
        <v/>
      </c>
      <c r="H3339" s="10" t="inlineStr">
        <is>
          <t>Amount 2 金额2  (Amount + Credit Collection)</t>
        </is>
      </c>
      <c r="I3339" s="11">
        <f>IF($B3333="","",ROUND(I3337+I3338,2))</f>
        <v/>
      </c>
      <c r="K3339" t="inlineStr">
        <is>
          <t>Advance Salary_H 预支薪水_H</t>
        </is>
      </c>
      <c r="L3339" s="6">
        <f>IF($B3333="","",E3339)</f>
        <v/>
      </c>
    </row>
    <row r="3340"/>
    <row r="3341">
      <c r="A3341" s="1" t="inlineStr">
        <is>
          <t>b/f petty cash 上日备用金结转</t>
        </is>
      </c>
      <c r="B3341" s="9">
        <f>IF($B3333="","",'Daily Sale entry '!F240)</f>
        <v/>
      </c>
      <c r="D3341" s="1" t="n"/>
      <c r="E3341" s="1" t="n"/>
      <c r="H3341" s="1" t="inlineStr">
        <is>
          <t>b/f petty cash 上日备用金结转</t>
        </is>
      </c>
      <c r="I3341" s="9">
        <f>IF($B3333="","",B3341)</f>
        <v/>
      </c>
      <c r="K3341" s="1" t="n"/>
      <c r="L3341" s="1" t="n"/>
    </row>
    <row r="3342">
      <c r="A3342" t="inlineStr">
        <is>
          <t>Total (A) 总计 (A)</t>
        </is>
      </c>
      <c r="B3342" s="6">
        <f>IF($B3333="","",ROUND(B3339+B3341,2))</f>
        <v/>
      </c>
      <c r="D3342" t="inlineStr">
        <is>
          <t>Total(B) 总计 (B)</t>
        </is>
      </c>
      <c r="E3342" s="6">
        <f>IF($B3333="","",ROUND(E3334+E3335+E3336+E3337+E3338+E3339,2))</f>
        <v/>
      </c>
      <c r="H3342" t="inlineStr">
        <is>
          <t>Total© 总计 (C)</t>
        </is>
      </c>
      <c r="I3342" s="6">
        <f>IF($B3333="","",ROUND(I3339+I3341,2))</f>
        <v/>
      </c>
      <c r="K3342" t="inlineStr">
        <is>
          <t>Total(D) 总计 (D)</t>
        </is>
      </c>
      <c r="L3342" s="6">
        <f>IF($B3333="","",ROUND(L3334+L3335+L3336+L3337+L3338+L3339,2))</f>
        <v/>
      </c>
    </row>
    <row r="3343">
      <c r="A3343" s="14" t="inlineStr">
        <is>
          <t>Total = Amount 2 + b/f petty cash  (金额2 + 上日备用金)</t>
        </is>
      </c>
      <c r="H3343" s="14" t="inlineStr">
        <is>
          <t>Total = Amount 2 + b/f petty cash  (金额2 + 上日备用金)</t>
        </is>
      </c>
    </row>
    <row r="3344">
      <c r="A3344" t="inlineStr">
        <is>
          <t>Different 差额</t>
        </is>
      </c>
      <c r="B3344" s="6">
        <f>IF($B3333="","",ROUND(B3342-E3342,2))</f>
        <v/>
      </c>
      <c r="D3344">
        <f>IF($B3333="","",IF(ABS(B3344)&gt;'Opening Balance'!$B$16,"ALERT 警报: Different over RM"&amp;'Opening Balance'!$B$16&amp;" 差额超过RM"&amp;'Opening Balance'!$B$16&amp;" - please check 请检查",IF(B3344=0,"Tied 平衡",IF(ABS(B3344)&lt;='Opening Balance'!$B$13,"Small difference 小额差额: adjusted on c/f petty cash 已调整备用金",IF(B3344&gt;0,"Short 短收: added to Misc Charges 已加入杂项费用","Over 多收: added to Cash Sales 已加入现金销售")))))</f>
        <v/>
      </c>
      <c r="H3344" t="inlineStr">
        <is>
          <t>Different 差额</t>
        </is>
      </c>
      <c r="I3344" s="6">
        <f>IF($B3333="","",ROUND(I3342-L3342,2))</f>
        <v/>
      </c>
    </row>
    <row r="3345"/>
    <row r="3346"/>
    <row r="3347">
      <c r="A3347" t="inlineStr">
        <is>
          <t>Date 日期</t>
        </is>
      </c>
      <c r="B3347" s="5">
        <f>IF('Daily Sale entry '!$A241="","",'Daily Sale entry '!$A241)</f>
        <v/>
      </c>
      <c r="H3347" t="inlineStr">
        <is>
          <t>After 调整后 (After)</t>
        </is>
      </c>
      <c r="I3347" s="5">
        <f>IF($B3347="","",B3347)</f>
        <v/>
      </c>
    </row>
    <row r="3348">
      <c r="A3348" t="inlineStr">
        <is>
          <t>Cash Sales 现金销售</t>
        </is>
      </c>
      <c r="B3348" s="6">
        <f>IF($B3347="","",'Daily Sale entry '!B241)</f>
        <v/>
      </c>
      <c r="D3348" t="inlineStr">
        <is>
          <t>c/f petty cash 今日备用金结转</t>
        </is>
      </c>
      <c r="E3348" s="6">
        <f>IF($B3347="","",'Daily Sale entry '!G241)</f>
        <v/>
      </c>
      <c r="H3348" t="inlineStr">
        <is>
          <t>Cash Sales 现金销售</t>
        </is>
      </c>
      <c r="I3348" s="6">
        <f>IF($B3347="","",IF(AND(ABS(B3358)&gt;'Opening Balance'!$B$13,B3358&lt;0),ROUND(B3348-B3358,2),B3348))</f>
        <v/>
      </c>
      <c r="K3348" t="inlineStr">
        <is>
          <t>c/f petty cash 今日备用金结转</t>
        </is>
      </c>
      <c r="L3348" s="6">
        <f>IF($B3347="","",IF(ABS(B3358)&lt;='Opening Balance'!$B$13,ROUND(E3348+B3358,2),E3348))</f>
        <v/>
      </c>
    </row>
    <row r="3349">
      <c r="A3349" t="inlineStr">
        <is>
          <t>Misc Charges 杂项费用</t>
        </is>
      </c>
      <c r="B3349" s="6">
        <f>IF($B3347="","",'Daily Sale entry '!C241)</f>
        <v/>
      </c>
      <c r="D3349" t="inlineStr">
        <is>
          <t>cash collection 现金收款</t>
        </is>
      </c>
      <c r="E3349" s="6">
        <f>IF($B3347="","",'Daily Sale entry '!H241)</f>
        <v/>
      </c>
      <c r="H3349" t="inlineStr">
        <is>
          <t>Misc Charges 杂项费用</t>
        </is>
      </c>
      <c r="I3349" s="6">
        <f>IF($B3347="","",IF(AND(ABS(B3358)&gt;'Opening Balance'!$B$13,B3358&gt;0),ROUND(B3349+B3358,2),B3349))</f>
        <v/>
      </c>
      <c r="K3349" t="inlineStr">
        <is>
          <t>cash collection 现金收款</t>
        </is>
      </c>
      <c r="L3349" s="6">
        <f>IF($B3347="","",E3349)</f>
        <v/>
      </c>
    </row>
    <row r="3350">
      <c r="A3350" s="1" t="inlineStr">
        <is>
          <t>Other Charges 其他费用</t>
        </is>
      </c>
      <c r="B3350" s="9">
        <f>IF($B3347="","",'Daily Sale entry '!D241)</f>
        <v/>
      </c>
      <c r="D3350" s="1" t="inlineStr">
        <is>
          <t>Cheque Collection 支票收款</t>
        </is>
      </c>
      <c r="E3350" s="9">
        <f>IF($B3347="","",'Daily Sale entry '!J241)</f>
        <v/>
      </c>
      <c r="H3350" s="1" t="inlineStr">
        <is>
          <t>Other Charges 其他费用</t>
        </is>
      </c>
      <c r="I3350" s="9">
        <f>IF($B3347="","",B3350)</f>
        <v/>
      </c>
      <c r="K3350" s="1" t="inlineStr">
        <is>
          <t>Cheque Collection 支票收款</t>
        </is>
      </c>
      <c r="L3350" s="9">
        <f>IF($B3347="","",E3350)</f>
        <v/>
      </c>
    </row>
    <row r="3351">
      <c r="A3351" s="10" t="inlineStr">
        <is>
          <t>Amount 金额  (Cash Sales - Misc - Other)</t>
        </is>
      </c>
      <c r="B3351" s="11">
        <f>IF($B3347="","",ROUND(B3348-B3349-B3350,2))</f>
        <v/>
      </c>
      <c r="D3351" s="12" t="inlineStr">
        <is>
          <t>TNG collection TNG收款</t>
        </is>
      </c>
      <c r="E3351" s="13">
        <f>IF($B3347="","",'Daily Sale entry '!K241)</f>
        <v/>
      </c>
      <c r="H3351" s="10" t="inlineStr">
        <is>
          <t>Amount 金额  (Cash Sales - Misc - Other)</t>
        </is>
      </c>
      <c r="I3351" s="11">
        <f>IF($B3347="","",ROUND(I3348-I3349-I3350,2))</f>
        <v/>
      </c>
      <c r="K3351" s="12" t="inlineStr">
        <is>
          <t>TNG collection TNG收款</t>
        </is>
      </c>
      <c r="L3351" s="13">
        <f>IF($B3347="","",E3351)</f>
        <v/>
      </c>
    </row>
    <row r="3352">
      <c r="A3352" t="inlineStr">
        <is>
          <t>Credit Collection 赊账收款</t>
        </is>
      </c>
      <c r="B3352" s="6">
        <f>IF($B3347="","",'Daily Sale entry '!E241)</f>
        <v/>
      </c>
      <c r="D3352" t="inlineStr">
        <is>
          <t>Advance Salary_M 预支薪水_M</t>
        </is>
      </c>
      <c r="E3352" s="6">
        <f>IF($B3347="","",'Daily Sale entry '!L241)</f>
        <v/>
      </c>
      <c r="H3352" t="inlineStr">
        <is>
          <t>Credit Collection 赊账收款</t>
        </is>
      </c>
      <c r="I3352" s="6">
        <f>IF($B3347="","",B3352)</f>
        <v/>
      </c>
      <c r="K3352" t="inlineStr">
        <is>
          <t>Advance Salary_M 预支薪水_M</t>
        </is>
      </c>
      <c r="L3352" s="6">
        <f>IF($B3347="","",E3352)</f>
        <v/>
      </c>
    </row>
    <row r="3353">
      <c r="A3353" s="10" t="inlineStr">
        <is>
          <t>Amount 2 金额2  (Amount + Credit Collection)</t>
        </is>
      </c>
      <c r="B3353" s="11">
        <f>IF($B3347="","",ROUND(B3351+B3352,2))</f>
        <v/>
      </c>
      <c r="D3353" t="inlineStr">
        <is>
          <t>Advance Salary_H 预支薪水_H</t>
        </is>
      </c>
      <c r="E3353" s="6">
        <f>IF($B3347="","",'Daily Sale entry '!M241)</f>
        <v/>
      </c>
      <c r="H3353" s="10" t="inlineStr">
        <is>
          <t>Amount 2 金额2  (Amount + Credit Collection)</t>
        </is>
      </c>
      <c r="I3353" s="11">
        <f>IF($B3347="","",ROUND(I3351+I3352,2))</f>
        <v/>
      </c>
      <c r="K3353" t="inlineStr">
        <is>
          <t>Advance Salary_H 预支薪水_H</t>
        </is>
      </c>
      <c r="L3353" s="6">
        <f>IF($B3347="","",E3353)</f>
        <v/>
      </c>
    </row>
    <row r="3354"/>
    <row r="3355">
      <c r="A3355" s="1" t="inlineStr">
        <is>
          <t>b/f petty cash 上日备用金结转</t>
        </is>
      </c>
      <c r="B3355" s="9">
        <f>IF($B3347="","",'Daily Sale entry '!F241)</f>
        <v/>
      </c>
      <c r="D3355" s="1" t="n"/>
      <c r="E3355" s="1" t="n"/>
      <c r="H3355" s="1" t="inlineStr">
        <is>
          <t>b/f petty cash 上日备用金结转</t>
        </is>
      </c>
      <c r="I3355" s="9">
        <f>IF($B3347="","",B3355)</f>
        <v/>
      </c>
      <c r="K3355" s="1" t="n"/>
      <c r="L3355" s="1" t="n"/>
    </row>
    <row r="3356">
      <c r="A3356" t="inlineStr">
        <is>
          <t>Total (A) 总计 (A)</t>
        </is>
      </c>
      <c r="B3356" s="6">
        <f>IF($B3347="","",ROUND(B3353+B3355,2))</f>
        <v/>
      </c>
      <c r="D3356" t="inlineStr">
        <is>
          <t>Total(B) 总计 (B)</t>
        </is>
      </c>
      <c r="E3356" s="6">
        <f>IF($B3347="","",ROUND(E3348+E3349+E3350+E3351+E3352+E3353,2))</f>
        <v/>
      </c>
      <c r="H3356" t="inlineStr">
        <is>
          <t>Total© 总计 (C)</t>
        </is>
      </c>
      <c r="I3356" s="6">
        <f>IF($B3347="","",ROUND(I3353+I3355,2))</f>
        <v/>
      </c>
      <c r="K3356" t="inlineStr">
        <is>
          <t>Total(D) 总计 (D)</t>
        </is>
      </c>
      <c r="L3356" s="6">
        <f>IF($B3347="","",ROUND(L3348+L3349+L3350+L3351+L3352+L3353,2))</f>
        <v/>
      </c>
    </row>
    <row r="3357">
      <c r="A3357" s="14" t="inlineStr">
        <is>
          <t>Total = Amount 2 + b/f petty cash  (金额2 + 上日备用金)</t>
        </is>
      </c>
      <c r="H3357" s="14" t="inlineStr">
        <is>
          <t>Total = Amount 2 + b/f petty cash  (金额2 + 上日备用金)</t>
        </is>
      </c>
    </row>
    <row r="3358">
      <c r="A3358" t="inlineStr">
        <is>
          <t>Different 差额</t>
        </is>
      </c>
      <c r="B3358" s="6">
        <f>IF($B3347="","",ROUND(B3356-E3356,2))</f>
        <v/>
      </c>
      <c r="D3358">
        <f>IF($B3347="","",IF(ABS(B3358)&gt;'Opening Balance'!$B$16,"ALERT 警报: Different over RM"&amp;'Opening Balance'!$B$16&amp;" 差额超过RM"&amp;'Opening Balance'!$B$16&amp;" - please check 请检查",IF(B3358=0,"Tied 平衡",IF(ABS(B3358)&lt;='Opening Balance'!$B$13,"Small difference 小额差额: adjusted on c/f petty cash 已调整备用金",IF(B3358&gt;0,"Short 短收: added to Misc Charges 已加入杂项费用","Over 多收: added to Cash Sales 已加入现金销售")))))</f>
        <v/>
      </c>
      <c r="H3358" t="inlineStr">
        <is>
          <t>Different 差额</t>
        </is>
      </c>
      <c r="I3358" s="6">
        <f>IF($B3347="","",ROUND(I3356-L3356,2))</f>
        <v/>
      </c>
    </row>
    <row r="3359"/>
    <row r="3360"/>
    <row r="3361">
      <c r="A3361" t="inlineStr">
        <is>
          <t>Date 日期</t>
        </is>
      </c>
      <c r="B3361" s="5">
        <f>IF('Daily Sale entry '!$A242="","",'Daily Sale entry '!$A242)</f>
        <v/>
      </c>
      <c r="H3361" t="inlineStr">
        <is>
          <t>After 调整后 (After)</t>
        </is>
      </c>
      <c r="I3361" s="5">
        <f>IF($B3361="","",B3361)</f>
        <v/>
      </c>
    </row>
    <row r="3362">
      <c r="A3362" t="inlineStr">
        <is>
          <t>Cash Sales 现金销售</t>
        </is>
      </c>
      <c r="B3362" s="6">
        <f>IF($B3361="","",'Daily Sale entry '!B242)</f>
        <v/>
      </c>
      <c r="D3362" t="inlineStr">
        <is>
          <t>c/f petty cash 今日备用金结转</t>
        </is>
      </c>
      <c r="E3362" s="6">
        <f>IF($B3361="","",'Daily Sale entry '!G242)</f>
        <v/>
      </c>
      <c r="H3362" t="inlineStr">
        <is>
          <t>Cash Sales 现金销售</t>
        </is>
      </c>
      <c r="I3362" s="6">
        <f>IF($B3361="","",IF(AND(ABS(B3372)&gt;'Opening Balance'!$B$13,B3372&lt;0),ROUND(B3362-B3372,2),B3362))</f>
        <v/>
      </c>
      <c r="K3362" t="inlineStr">
        <is>
          <t>c/f petty cash 今日备用金结转</t>
        </is>
      </c>
      <c r="L3362" s="6">
        <f>IF($B3361="","",IF(ABS(B3372)&lt;='Opening Balance'!$B$13,ROUND(E3362+B3372,2),E3362))</f>
        <v/>
      </c>
    </row>
    <row r="3363">
      <c r="A3363" t="inlineStr">
        <is>
          <t>Misc Charges 杂项费用</t>
        </is>
      </c>
      <c r="B3363" s="6">
        <f>IF($B3361="","",'Daily Sale entry '!C242)</f>
        <v/>
      </c>
      <c r="D3363" t="inlineStr">
        <is>
          <t>cash collection 现金收款</t>
        </is>
      </c>
      <c r="E3363" s="6">
        <f>IF($B3361="","",'Daily Sale entry '!H242)</f>
        <v/>
      </c>
      <c r="H3363" t="inlineStr">
        <is>
          <t>Misc Charges 杂项费用</t>
        </is>
      </c>
      <c r="I3363" s="6">
        <f>IF($B3361="","",IF(AND(ABS(B3372)&gt;'Opening Balance'!$B$13,B3372&gt;0),ROUND(B3363+B3372,2),B3363))</f>
        <v/>
      </c>
      <c r="K3363" t="inlineStr">
        <is>
          <t>cash collection 现金收款</t>
        </is>
      </c>
      <c r="L3363" s="6">
        <f>IF($B3361="","",E3363)</f>
        <v/>
      </c>
    </row>
    <row r="3364">
      <c r="A3364" s="1" t="inlineStr">
        <is>
          <t>Other Charges 其他费用</t>
        </is>
      </c>
      <c r="B3364" s="9">
        <f>IF($B3361="","",'Daily Sale entry '!D242)</f>
        <v/>
      </c>
      <c r="D3364" s="1" t="inlineStr">
        <is>
          <t>Cheque Collection 支票收款</t>
        </is>
      </c>
      <c r="E3364" s="9">
        <f>IF($B3361="","",'Daily Sale entry '!J242)</f>
        <v/>
      </c>
      <c r="H3364" s="1" t="inlineStr">
        <is>
          <t>Other Charges 其他费用</t>
        </is>
      </c>
      <c r="I3364" s="9">
        <f>IF($B3361="","",B3364)</f>
        <v/>
      </c>
      <c r="K3364" s="1" t="inlineStr">
        <is>
          <t>Cheque Collection 支票收款</t>
        </is>
      </c>
      <c r="L3364" s="9">
        <f>IF($B3361="","",E3364)</f>
        <v/>
      </c>
    </row>
    <row r="3365">
      <c r="A3365" s="10" t="inlineStr">
        <is>
          <t>Amount 金额  (Cash Sales - Misc - Other)</t>
        </is>
      </c>
      <c r="B3365" s="11">
        <f>IF($B3361="","",ROUND(B3362-B3363-B3364,2))</f>
        <v/>
      </c>
      <c r="D3365" s="12" t="inlineStr">
        <is>
          <t>TNG collection TNG收款</t>
        </is>
      </c>
      <c r="E3365" s="13">
        <f>IF($B3361="","",'Daily Sale entry '!K242)</f>
        <v/>
      </c>
      <c r="H3365" s="10" t="inlineStr">
        <is>
          <t>Amount 金额  (Cash Sales - Misc - Other)</t>
        </is>
      </c>
      <c r="I3365" s="11">
        <f>IF($B3361="","",ROUND(I3362-I3363-I3364,2))</f>
        <v/>
      </c>
      <c r="K3365" s="12" t="inlineStr">
        <is>
          <t>TNG collection TNG收款</t>
        </is>
      </c>
      <c r="L3365" s="13">
        <f>IF($B3361="","",E3365)</f>
        <v/>
      </c>
    </row>
    <row r="3366">
      <c r="A3366" t="inlineStr">
        <is>
          <t>Credit Collection 赊账收款</t>
        </is>
      </c>
      <c r="B3366" s="6">
        <f>IF($B3361="","",'Daily Sale entry '!E242)</f>
        <v/>
      </c>
      <c r="D3366" t="inlineStr">
        <is>
          <t>Advance Salary_M 预支薪水_M</t>
        </is>
      </c>
      <c r="E3366" s="6">
        <f>IF($B3361="","",'Daily Sale entry '!L242)</f>
        <v/>
      </c>
      <c r="H3366" t="inlineStr">
        <is>
          <t>Credit Collection 赊账收款</t>
        </is>
      </c>
      <c r="I3366" s="6">
        <f>IF($B3361="","",B3366)</f>
        <v/>
      </c>
      <c r="K3366" t="inlineStr">
        <is>
          <t>Advance Salary_M 预支薪水_M</t>
        </is>
      </c>
      <c r="L3366" s="6">
        <f>IF($B3361="","",E3366)</f>
        <v/>
      </c>
    </row>
    <row r="3367">
      <c r="A3367" s="10" t="inlineStr">
        <is>
          <t>Amount 2 金额2  (Amount + Credit Collection)</t>
        </is>
      </c>
      <c r="B3367" s="11">
        <f>IF($B3361="","",ROUND(B3365+B3366,2))</f>
        <v/>
      </c>
      <c r="D3367" t="inlineStr">
        <is>
          <t>Advance Salary_H 预支薪水_H</t>
        </is>
      </c>
      <c r="E3367" s="6">
        <f>IF($B3361="","",'Daily Sale entry '!M242)</f>
        <v/>
      </c>
      <c r="H3367" s="10" t="inlineStr">
        <is>
          <t>Amount 2 金额2  (Amount + Credit Collection)</t>
        </is>
      </c>
      <c r="I3367" s="11">
        <f>IF($B3361="","",ROUND(I3365+I3366,2))</f>
        <v/>
      </c>
      <c r="K3367" t="inlineStr">
        <is>
          <t>Advance Salary_H 预支薪水_H</t>
        </is>
      </c>
      <c r="L3367" s="6">
        <f>IF($B3361="","",E3367)</f>
        <v/>
      </c>
    </row>
    <row r="3368"/>
    <row r="3369">
      <c r="A3369" s="1" t="inlineStr">
        <is>
          <t>b/f petty cash 上日备用金结转</t>
        </is>
      </c>
      <c r="B3369" s="9">
        <f>IF($B3361="","",'Daily Sale entry '!F242)</f>
        <v/>
      </c>
      <c r="D3369" s="1" t="n"/>
      <c r="E3369" s="1" t="n"/>
      <c r="H3369" s="1" t="inlineStr">
        <is>
          <t>b/f petty cash 上日备用金结转</t>
        </is>
      </c>
      <c r="I3369" s="9">
        <f>IF($B3361="","",B3369)</f>
        <v/>
      </c>
      <c r="K3369" s="1" t="n"/>
      <c r="L3369" s="1" t="n"/>
    </row>
    <row r="3370">
      <c r="A3370" t="inlineStr">
        <is>
          <t>Total (A) 总计 (A)</t>
        </is>
      </c>
      <c r="B3370" s="6">
        <f>IF($B3361="","",ROUND(B3367+B3369,2))</f>
        <v/>
      </c>
      <c r="D3370" t="inlineStr">
        <is>
          <t>Total(B) 总计 (B)</t>
        </is>
      </c>
      <c r="E3370" s="6">
        <f>IF($B3361="","",ROUND(E3362+E3363+E3364+E3365+E3366+E3367,2))</f>
        <v/>
      </c>
      <c r="H3370" t="inlineStr">
        <is>
          <t>Total© 总计 (C)</t>
        </is>
      </c>
      <c r="I3370" s="6">
        <f>IF($B3361="","",ROUND(I3367+I3369,2))</f>
        <v/>
      </c>
      <c r="K3370" t="inlineStr">
        <is>
          <t>Total(D) 总计 (D)</t>
        </is>
      </c>
      <c r="L3370" s="6">
        <f>IF($B3361="","",ROUND(L3362+L3363+L3364+L3365+L3366+L3367,2))</f>
        <v/>
      </c>
    </row>
    <row r="3371">
      <c r="A3371" s="14" t="inlineStr">
        <is>
          <t>Total = Amount 2 + b/f petty cash  (金额2 + 上日备用金)</t>
        </is>
      </c>
      <c r="H3371" s="14" t="inlineStr">
        <is>
          <t>Total = Amount 2 + b/f petty cash  (金额2 + 上日备用金)</t>
        </is>
      </c>
    </row>
    <row r="3372">
      <c r="A3372" t="inlineStr">
        <is>
          <t>Different 差额</t>
        </is>
      </c>
      <c r="B3372" s="6">
        <f>IF($B3361="","",ROUND(B3370-E3370,2))</f>
        <v/>
      </c>
      <c r="D3372">
        <f>IF($B3361="","",IF(ABS(B3372)&gt;'Opening Balance'!$B$16,"ALERT 警报: Different over RM"&amp;'Opening Balance'!$B$16&amp;" 差额超过RM"&amp;'Opening Balance'!$B$16&amp;" - please check 请检查",IF(B3372=0,"Tied 平衡",IF(ABS(B3372)&lt;='Opening Balance'!$B$13,"Small difference 小额差额: adjusted on c/f petty cash 已调整备用金",IF(B3372&gt;0,"Short 短收: added to Misc Charges 已加入杂项费用","Over 多收: added to Cash Sales 已加入现金销售")))))</f>
        <v/>
      </c>
      <c r="H3372" t="inlineStr">
        <is>
          <t>Different 差额</t>
        </is>
      </c>
      <c r="I3372" s="6">
        <f>IF($B3361="","",ROUND(I3370-L3370,2))</f>
        <v/>
      </c>
    </row>
    <row r="3373"/>
    <row r="3374"/>
    <row r="3375">
      <c r="A3375" t="inlineStr">
        <is>
          <t>Date 日期</t>
        </is>
      </c>
      <c r="B3375" s="5">
        <f>IF('Daily Sale entry '!$A243="","",'Daily Sale entry '!$A243)</f>
        <v/>
      </c>
      <c r="H3375" t="inlineStr">
        <is>
          <t>After 调整后 (After)</t>
        </is>
      </c>
      <c r="I3375" s="5">
        <f>IF($B3375="","",B3375)</f>
        <v/>
      </c>
    </row>
    <row r="3376">
      <c r="A3376" t="inlineStr">
        <is>
          <t>Cash Sales 现金销售</t>
        </is>
      </c>
      <c r="B3376" s="6">
        <f>IF($B3375="","",'Daily Sale entry '!B243)</f>
        <v/>
      </c>
      <c r="D3376" t="inlineStr">
        <is>
          <t>c/f petty cash 今日备用金结转</t>
        </is>
      </c>
      <c r="E3376" s="6">
        <f>IF($B3375="","",'Daily Sale entry '!G243)</f>
        <v/>
      </c>
      <c r="H3376" t="inlineStr">
        <is>
          <t>Cash Sales 现金销售</t>
        </is>
      </c>
      <c r="I3376" s="6">
        <f>IF($B3375="","",IF(AND(ABS(B3386)&gt;'Opening Balance'!$B$13,B3386&lt;0),ROUND(B3376-B3386,2),B3376))</f>
        <v/>
      </c>
      <c r="K3376" t="inlineStr">
        <is>
          <t>c/f petty cash 今日备用金结转</t>
        </is>
      </c>
      <c r="L3376" s="6">
        <f>IF($B3375="","",IF(ABS(B3386)&lt;='Opening Balance'!$B$13,ROUND(E3376+B3386,2),E3376))</f>
        <v/>
      </c>
    </row>
    <row r="3377">
      <c r="A3377" t="inlineStr">
        <is>
          <t>Misc Charges 杂项费用</t>
        </is>
      </c>
      <c r="B3377" s="6">
        <f>IF($B3375="","",'Daily Sale entry '!C243)</f>
        <v/>
      </c>
      <c r="D3377" t="inlineStr">
        <is>
          <t>cash collection 现金收款</t>
        </is>
      </c>
      <c r="E3377" s="6">
        <f>IF($B3375="","",'Daily Sale entry '!H243)</f>
        <v/>
      </c>
      <c r="H3377" t="inlineStr">
        <is>
          <t>Misc Charges 杂项费用</t>
        </is>
      </c>
      <c r="I3377" s="6">
        <f>IF($B3375="","",IF(AND(ABS(B3386)&gt;'Opening Balance'!$B$13,B3386&gt;0),ROUND(B3377+B3386,2),B3377))</f>
        <v/>
      </c>
      <c r="K3377" t="inlineStr">
        <is>
          <t>cash collection 现金收款</t>
        </is>
      </c>
      <c r="L3377" s="6">
        <f>IF($B3375="","",E3377)</f>
        <v/>
      </c>
    </row>
    <row r="3378">
      <c r="A3378" s="1" t="inlineStr">
        <is>
          <t>Other Charges 其他费用</t>
        </is>
      </c>
      <c r="B3378" s="9">
        <f>IF($B3375="","",'Daily Sale entry '!D243)</f>
        <v/>
      </c>
      <c r="D3378" s="1" t="inlineStr">
        <is>
          <t>Cheque Collection 支票收款</t>
        </is>
      </c>
      <c r="E3378" s="9">
        <f>IF($B3375="","",'Daily Sale entry '!J243)</f>
        <v/>
      </c>
      <c r="H3378" s="1" t="inlineStr">
        <is>
          <t>Other Charges 其他费用</t>
        </is>
      </c>
      <c r="I3378" s="9">
        <f>IF($B3375="","",B3378)</f>
        <v/>
      </c>
      <c r="K3378" s="1" t="inlineStr">
        <is>
          <t>Cheque Collection 支票收款</t>
        </is>
      </c>
      <c r="L3378" s="9">
        <f>IF($B3375="","",E3378)</f>
        <v/>
      </c>
    </row>
    <row r="3379">
      <c r="A3379" s="10" t="inlineStr">
        <is>
          <t>Amount 金额  (Cash Sales - Misc - Other)</t>
        </is>
      </c>
      <c r="B3379" s="11">
        <f>IF($B3375="","",ROUND(B3376-B3377-B3378,2))</f>
        <v/>
      </c>
      <c r="D3379" s="12" t="inlineStr">
        <is>
          <t>TNG collection TNG收款</t>
        </is>
      </c>
      <c r="E3379" s="13">
        <f>IF($B3375="","",'Daily Sale entry '!K243)</f>
        <v/>
      </c>
      <c r="H3379" s="10" t="inlineStr">
        <is>
          <t>Amount 金额  (Cash Sales - Misc - Other)</t>
        </is>
      </c>
      <c r="I3379" s="11">
        <f>IF($B3375="","",ROUND(I3376-I3377-I3378,2))</f>
        <v/>
      </c>
      <c r="K3379" s="12" t="inlineStr">
        <is>
          <t>TNG collection TNG收款</t>
        </is>
      </c>
      <c r="L3379" s="13">
        <f>IF($B3375="","",E3379)</f>
        <v/>
      </c>
    </row>
    <row r="3380">
      <c r="A3380" t="inlineStr">
        <is>
          <t>Credit Collection 赊账收款</t>
        </is>
      </c>
      <c r="B3380" s="6">
        <f>IF($B3375="","",'Daily Sale entry '!E243)</f>
        <v/>
      </c>
      <c r="D3380" t="inlineStr">
        <is>
          <t>Advance Salary_M 预支薪水_M</t>
        </is>
      </c>
      <c r="E3380" s="6">
        <f>IF($B3375="","",'Daily Sale entry '!L243)</f>
        <v/>
      </c>
      <c r="H3380" t="inlineStr">
        <is>
          <t>Credit Collection 赊账收款</t>
        </is>
      </c>
      <c r="I3380" s="6">
        <f>IF($B3375="","",B3380)</f>
        <v/>
      </c>
      <c r="K3380" t="inlineStr">
        <is>
          <t>Advance Salary_M 预支薪水_M</t>
        </is>
      </c>
      <c r="L3380" s="6">
        <f>IF($B3375="","",E3380)</f>
        <v/>
      </c>
    </row>
    <row r="3381">
      <c r="A3381" s="10" t="inlineStr">
        <is>
          <t>Amount 2 金额2  (Amount + Credit Collection)</t>
        </is>
      </c>
      <c r="B3381" s="11">
        <f>IF($B3375="","",ROUND(B3379+B3380,2))</f>
        <v/>
      </c>
      <c r="D3381" t="inlineStr">
        <is>
          <t>Advance Salary_H 预支薪水_H</t>
        </is>
      </c>
      <c r="E3381" s="6">
        <f>IF($B3375="","",'Daily Sale entry '!M243)</f>
        <v/>
      </c>
      <c r="H3381" s="10" t="inlineStr">
        <is>
          <t>Amount 2 金额2  (Amount + Credit Collection)</t>
        </is>
      </c>
      <c r="I3381" s="11">
        <f>IF($B3375="","",ROUND(I3379+I3380,2))</f>
        <v/>
      </c>
      <c r="K3381" t="inlineStr">
        <is>
          <t>Advance Salary_H 预支薪水_H</t>
        </is>
      </c>
      <c r="L3381" s="6">
        <f>IF($B3375="","",E3381)</f>
        <v/>
      </c>
    </row>
    <row r="3382"/>
    <row r="3383">
      <c r="A3383" s="1" t="inlineStr">
        <is>
          <t>b/f petty cash 上日备用金结转</t>
        </is>
      </c>
      <c r="B3383" s="9">
        <f>IF($B3375="","",'Daily Sale entry '!F243)</f>
        <v/>
      </c>
      <c r="D3383" s="1" t="n"/>
      <c r="E3383" s="1" t="n"/>
      <c r="H3383" s="1" t="inlineStr">
        <is>
          <t>b/f petty cash 上日备用金结转</t>
        </is>
      </c>
      <c r="I3383" s="9">
        <f>IF($B3375="","",B3383)</f>
        <v/>
      </c>
      <c r="K3383" s="1" t="n"/>
      <c r="L3383" s="1" t="n"/>
    </row>
    <row r="3384">
      <c r="A3384" t="inlineStr">
        <is>
          <t>Total (A) 总计 (A)</t>
        </is>
      </c>
      <c r="B3384" s="6">
        <f>IF($B3375="","",ROUND(B3381+B3383,2))</f>
        <v/>
      </c>
      <c r="D3384" t="inlineStr">
        <is>
          <t>Total(B) 总计 (B)</t>
        </is>
      </c>
      <c r="E3384" s="6">
        <f>IF($B3375="","",ROUND(E3376+E3377+E3378+E3379+E3380+E3381,2))</f>
        <v/>
      </c>
      <c r="H3384" t="inlineStr">
        <is>
          <t>Total© 总计 (C)</t>
        </is>
      </c>
      <c r="I3384" s="6">
        <f>IF($B3375="","",ROUND(I3381+I3383,2))</f>
        <v/>
      </c>
      <c r="K3384" t="inlineStr">
        <is>
          <t>Total(D) 总计 (D)</t>
        </is>
      </c>
      <c r="L3384" s="6">
        <f>IF($B3375="","",ROUND(L3376+L3377+L3378+L3379+L3380+L3381,2))</f>
        <v/>
      </c>
    </row>
    <row r="3385">
      <c r="A3385" s="14" t="inlineStr">
        <is>
          <t>Total = Amount 2 + b/f petty cash  (金额2 + 上日备用金)</t>
        </is>
      </c>
      <c r="H3385" s="14" t="inlineStr">
        <is>
          <t>Total = Amount 2 + b/f petty cash  (金额2 + 上日备用金)</t>
        </is>
      </c>
    </row>
    <row r="3386">
      <c r="A3386" t="inlineStr">
        <is>
          <t>Different 差额</t>
        </is>
      </c>
      <c r="B3386" s="6">
        <f>IF($B3375="","",ROUND(B3384-E3384,2))</f>
        <v/>
      </c>
      <c r="D3386">
        <f>IF($B3375="","",IF(ABS(B3386)&gt;'Opening Balance'!$B$16,"ALERT 警报: Different over RM"&amp;'Opening Balance'!$B$16&amp;" 差额超过RM"&amp;'Opening Balance'!$B$16&amp;" - please check 请检查",IF(B3386=0,"Tied 平衡",IF(ABS(B3386)&lt;='Opening Balance'!$B$13,"Small difference 小额差额: adjusted on c/f petty cash 已调整备用金",IF(B3386&gt;0,"Short 短收: added to Misc Charges 已加入杂项费用","Over 多收: added to Cash Sales 已加入现金销售")))))</f>
        <v/>
      </c>
      <c r="H3386" t="inlineStr">
        <is>
          <t>Different 差额</t>
        </is>
      </c>
      <c r="I3386" s="6">
        <f>IF($B3375="","",ROUND(I3384-L3384,2))</f>
        <v/>
      </c>
    </row>
    <row r="3387"/>
    <row r="3388"/>
    <row r="3389">
      <c r="A3389" t="inlineStr">
        <is>
          <t>Date 日期</t>
        </is>
      </c>
      <c r="B3389" s="5">
        <f>IF('Daily Sale entry '!$A244="","",'Daily Sale entry '!$A244)</f>
        <v/>
      </c>
      <c r="H3389" t="inlineStr">
        <is>
          <t>After 调整后 (After)</t>
        </is>
      </c>
      <c r="I3389" s="5">
        <f>IF($B3389="","",B3389)</f>
        <v/>
      </c>
    </row>
    <row r="3390">
      <c r="A3390" t="inlineStr">
        <is>
          <t>Cash Sales 现金销售</t>
        </is>
      </c>
      <c r="B3390" s="6">
        <f>IF($B3389="","",'Daily Sale entry '!B244)</f>
        <v/>
      </c>
      <c r="D3390" t="inlineStr">
        <is>
          <t>c/f petty cash 今日备用金结转</t>
        </is>
      </c>
      <c r="E3390" s="6">
        <f>IF($B3389="","",'Daily Sale entry '!G244)</f>
        <v/>
      </c>
      <c r="H3390" t="inlineStr">
        <is>
          <t>Cash Sales 现金销售</t>
        </is>
      </c>
      <c r="I3390" s="6">
        <f>IF($B3389="","",IF(AND(ABS(B3400)&gt;'Opening Balance'!$B$13,B3400&lt;0),ROUND(B3390-B3400,2),B3390))</f>
        <v/>
      </c>
      <c r="K3390" t="inlineStr">
        <is>
          <t>c/f petty cash 今日备用金结转</t>
        </is>
      </c>
      <c r="L3390" s="6">
        <f>IF($B3389="","",IF(ABS(B3400)&lt;='Opening Balance'!$B$13,ROUND(E3390+B3400,2),E3390))</f>
        <v/>
      </c>
    </row>
    <row r="3391">
      <c r="A3391" t="inlineStr">
        <is>
          <t>Misc Charges 杂项费用</t>
        </is>
      </c>
      <c r="B3391" s="6">
        <f>IF($B3389="","",'Daily Sale entry '!C244)</f>
        <v/>
      </c>
      <c r="D3391" t="inlineStr">
        <is>
          <t>cash collection 现金收款</t>
        </is>
      </c>
      <c r="E3391" s="6">
        <f>IF($B3389="","",'Daily Sale entry '!H244)</f>
        <v/>
      </c>
      <c r="H3391" t="inlineStr">
        <is>
          <t>Misc Charges 杂项费用</t>
        </is>
      </c>
      <c r="I3391" s="6">
        <f>IF($B3389="","",IF(AND(ABS(B3400)&gt;'Opening Balance'!$B$13,B3400&gt;0),ROUND(B3391+B3400,2),B3391))</f>
        <v/>
      </c>
      <c r="K3391" t="inlineStr">
        <is>
          <t>cash collection 现金收款</t>
        </is>
      </c>
      <c r="L3391" s="6">
        <f>IF($B3389="","",E3391)</f>
        <v/>
      </c>
    </row>
    <row r="3392">
      <c r="A3392" s="1" t="inlineStr">
        <is>
          <t>Other Charges 其他费用</t>
        </is>
      </c>
      <c r="B3392" s="9">
        <f>IF($B3389="","",'Daily Sale entry '!D244)</f>
        <v/>
      </c>
      <c r="D3392" s="1" t="inlineStr">
        <is>
          <t>Cheque Collection 支票收款</t>
        </is>
      </c>
      <c r="E3392" s="9">
        <f>IF($B3389="","",'Daily Sale entry '!J244)</f>
        <v/>
      </c>
      <c r="H3392" s="1" t="inlineStr">
        <is>
          <t>Other Charges 其他费用</t>
        </is>
      </c>
      <c r="I3392" s="9">
        <f>IF($B3389="","",B3392)</f>
        <v/>
      </c>
      <c r="K3392" s="1" t="inlineStr">
        <is>
          <t>Cheque Collection 支票收款</t>
        </is>
      </c>
      <c r="L3392" s="9">
        <f>IF($B3389="","",E3392)</f>
        <v/>
      </c>
    </row>
    <row r="3393">
      <c r="A3393" s="10" t="inlineStr">
        <is>
          <t>Amount 金额  (Cash Sales - Misc - Other)</t>
        </is>
      </c>
      <c r="B3393" s="11">
        <f>IF($B3389="","",ROUND(B3390-B3391-B3392,2))</f>
        <v/>
      </c>
      <c r="D3393" s="12" t="inlineStr">
        <is>
          <t>TNG collection TNG收款</t>
        </is>
      </c>
      <c r="E3393" s="13">
        <f>IF($B3389="","",'Daily Sale entry '!K244)</f>
        <v/>
      </c>
      <c r="H3393" s="10" t="inlineStr">
        <is>
          <t>Amount 金额  (Cash Sales - Misc - Other)</t>
        </is>
      </c>
      <c r="I3393" s="11">
        <f>IF($B3389="","",ROUND(I3390-I3391-I3392,2))</f>
        <v/>
      </c>
      <c r="K3393" s="12" t="inlineStr">
        <is>
          <t>TNG collection TNG收款</t>
        </is>
      </c>
      <c r="L3393" s="13">
        <f>IF($B3389="","",E3393)</f>
        <v/>
      </c>
    </row>
    <row r="3394">
      <c r="A3394" t="inlineStr">
        <is>
          <t>Credit Collection 赊账收款</t>
        </is>
      </c>
      <c r="B3394" s="6">
        <f>IF($B3389="","",'Daily Sale entry '!E244)</f>
        <v/>
      </c>
      <c r="D3394" t="inlineStr">
        <is>
          <t>Advance Salary_M 预支薪水_M</t>
        </is>
      </c>
      <c r="E3394" s="6">
        <f>IF($B3389="","",'Daily Sale entry '!L244)</f>
        <v/>
      </c>
      <c r="H3394" t="inlineStr">
        <is>
          <t>Credit Collection 赊账收款</t>
        </is>
      </c>
      <c r="I3394" s="6">
        <f>IF($B3389="","",B3394)</f>
        <v/>
      </c>
      <c r="K3394" t="inlineStr">
        <is>
          <t>Advance Salary_M 预支薪水_M</t>
        </is>
      </c>
      <c r="L3394" s="6">
        <f>IF($B3389="","",E3394)</f>
        <v/>
      </c>
    </row>
    <row r="3395">
      <c r="A3395" s="10" t="inlineStr">
        <is>
          <t>Amount 2 金额2  (Amount + Credit Collection)</t>
        </is>
      </c>
      <c r="B3395" s="11">
        <f>IF($B3389="","",ROUND(B3393+B3394,2))</f>
        <v/>
      </c>
      <c r="D3395" t="inlineStr">
        <is>
          <t>Advance Salary_H 预支薪水_H</t>
        </is>
      </c>
      <c r="E3395" s="6">
        <f>IF($B3389="","",'Daily Sale entry '!M244)</f>
        <v/>
      </c>
      <c r="H3395" s="10" t="inlineStr">
        <is>
          <t>Amount 2 金额2  (Amount + Credit Collection)</t>
        </is>
      </c>
      <c r="I3395" s="11">
        <f>IF($B3389="","",ROUND(I3393+I3394,2))</f>
        <v/>
      </c>
      <c r="K3395" t="inlineStr">
        <is>
          <t>Advance Salary_H 预支薪水_H</t>
        </is>
      </c>
      <c r="L3395" s="6">
        <f>IF($B3389="","",E3395)</f>
        <v/>
      </c>
    </row>
    <row r="3396"/>
    <row r="3397">
      <c r="A3397" s="1" t="inlineStr">
        <is>
          <t>b/f petty cash 上日备用金结转</t>
        </is>
      </c>
      <c r="B3397" s="9">
        <f>IF($B3389="","",'Daily Sale entry '!F244)</f>
        <v/>
      </c>
      <c r="D3397" s="1" t="n"/>
      <c r="E3397" s="1" t="n"/>
      <c r="H3397" s="1" t="inlineStr">
        <is>
          <t>b/f petty cash 上日备用金结转</t>
        </is>
      </c>
      <c r="I3397" s="9">
        <f>IF($B3389="","",B3397)</f>
        <v/>
      </c>
      <c r="K3397" s="1" t="n"/>
      <c r="L3397" s="1" t="n"/>
    </row>
    <row r="3398">
      <c r="A3398" t="inlineStr">
        <is>
          <t>Total (A) 总计 (A)</t>
        </is>
      </c>
      <c r="B3398" s="6">
        <f>IF($B3389="","",ROUND(B3395+B3397,2))</f>
        <v/>
      </c>
      <c r="D3398" t="inlineStr">
        <is>
          <t>Total(B) 总计 (B)</t>
        </is>
      </c>
      <c r="E3398" s="6">
        <f>IF($B3389="","",ROUND(E3390+E3391+E3392+E3393+E3394+E3395,2))</f>
        <v/>
      </c>
      <c r="H3398" t="inlineStr">
        <is>
          <t>Total© 总计 (C)</t>
        </is>
      </c>
      <c r="I3398" s="6">
        <f>IF($B3389="","",ROUND(I3395+I3397,2))</f>
        <v/>
      </c>
      <c r="K3398" t="inlineStr">
        <is>
          <t>Total(D) 总计 (D)</t>
        </is>
      </c>
      <c r="L3398" s="6">
        <f>IF($B3389="","",ROUND(L3390+L3391+L3392+L3393+L3394+L3395,2))</f>
        <v/>
      </c>
    </row>
    <row r="3399">
      <c r="A3399" s="14" t="inlineStr">
        <is>
          <t>Total = Amount 2 + b/f petty cash  (金额2 + 上日备用金)</t>
        </is>
      </c>
      <c r="H3399" s="14" t="inlineStr">
        <is>
          <t>Total = Amount 2 + b/f petty cash  (金额2 + 上日备用金)</t>
        </is>
      </c>
    </row>
    <row r="3400">
      <c r="A3400" t="inlineStr">
        <is>
          <t>Different 差额</t>
        </is>
      </c>
      <c r="B3400" s="6">
        <f>IF($B3389="","",ROUND(B3398-E3398,2))</f>
        <v/>
      </c>
      <c r="D3400">
        <f>IF($B3389="","",IF(ABS(B3400)&gt;'Opening Balance'!$B$16,"ALERT 警报: Different over RM"&amp;'Opening Balance'!$B$16&amp;" 差额超过RM"&amp;'Opening Balance'!$B$16&amp;" - please check 请检查",IF(B3400=0,"Tied 平衡",IF(ABS(B3400)&lt;='Opening Balance'!$B$13,"Small difference 小额差额: adjusted on c/f petty cash 已调整备用金",IF(B3400&gt;0,"Short 短收: added to Misc Charges 已加入杂项费用","Over 多收: added to Cash Sales 已加入现金销售")))))</f>
        <v/>
      </c>
      <c r="H3400" t="inlineStr">
        <is>
          <t>Different 差额</t>
        </is>
      </c>
      <c r="I3400" s="6">
        <f>IF($B3389="","",ROUND(I3398-L3398,2))</f>
        <v/>
      </c>
    </row>
    <row r="3401"/>
    <row r="3402"/>
    <row r="3403">
      <c r="A3403" t="inlineStr">
        <is>
          <t>Date 日期</t>
        </is>
      </c>
      <c r="B3403" s="5">
        <f>IF('Daily Sale entry '!$A245="","",'Daily Sale entry '!$A245)</f>
        <v/>
      </c>
      <c r="H3403" t="inlineStr">
        <is>
          <t>After 调整后 (After)</t>
        </is>
      </c>
      <c r="I3403" s="5">
        <f>IF($B3403="","",B3403)</f>
        <v/>
      </c>
    </row>
    <row r="3404">
      <c r="A3404" t="inlineStr">
        <is>
          <t>Cash Sales 现金销售</t>
        </is>
      </c>
      <c r="B3404" s="6">
        <f>IF($B3403="","",'Daily Sale entry '!B245)</f>
        <v/>
      </c>
      <c r="D3404" t="inlineStr">
        <is>
          <t>c/f petty cash 今日备用金结转</t>
        </is>
      </c>
      <c r="E3404" s="6">
        <f>IF($B3403="","",'Daily Sale entry '!G245)</f>
        <v/>
      </c>
      <c r="H3404" t="inlineStr">
        <is>
          <t>Cash Sales 现金销售</t>
        </is>
      </c>
      <c r="I3404" s="6">
        <f>IF($B3403="","",IF(AND(ABS(B3414)&gt;'Opening Balance'!$B$13,B3414&lt;0),ROUND(B3404-B3414,2),B3404))</f>
        <v/>
      </c>
      <c r="K3404" t="inlineStr">
        <is>
          <t>c/f petty cash 今日备用金结转</t>
        </is>
      </c>
      <c r="L3404" s="6">
        <f>IF($B3403="","",IF(ABS(B3414)&lt;='Opening Balance'!$B$13,ROUND(E3404+B3414,2),E3404))</f>
        <v/>
      </c>
    </row>
    <row r="3405">
      <c r="A3405" t="inlineStr">
        <is>
          <t>Misc Charges 杂项费用</t>
        </is>
      </c>
      <c r="B3405" s="6">
        <f>IF($B3403="","",'Daily Sale entry '!C245)</f>
        <v/>
      </c>
      <c r="D3405" t="inlineStr">
        <is>
          <t>cash collection 现金收款</t>
        </is>
      </c>
      <c r="E3405" s="6">
        <f>IF($B3403="","",'Daily Sale entry '!H245)</f>
        <v/>
      </c>
      <c r="H3405" t="inlineStr">
        <is>
          <t>Misc Charges 杂项费用</t>
        </is>
      </c>
      <c r="I3405" s="6">
        <f>IF($B3403="","",IF(AND(ABS(B3414)&gt;'Opening Balance'!$B$13,B3414&gt;0),ROUND(B3405+B3414,2),B3405))</f>
        <v/>
      </c>
      <c r="K3405" t="inlineStr">
        <is>
          <t>cash collection 现金收款</t>
        </is>
      </c>
      <c r="L3405" s="6">
        <f>IF($B3403="","",E3405)</f>
        <v/>
      </c>
    </row>
    <row r="3406">
      <c r="A3406" s="1" t="inlineStr">
        <is>
          <t>Other Charges 其他费用</t>
        </is>
      </c>
      <c r="B3406" s="9">
        <f>IF($B3403="","",'Daily Sale entry '!D245)</f>
        <v/>
      </c>
      <c r="D3406" s="1" t="inlineStr">
        <is>
          <t>Cheque Collection 支票收款</t>
        </is>
      </c>
      <c r="E3406" s="9">
        <f>IF($B3403="","",'Daily Sale entry '!J245)</f>
        <v/>
      </c>
      <c r="H3406" s="1" t="inlineStr">
        <is>
          <t>Other Charges 其他费用</t>
        </is>
      </c>
      <c r="I3406" s="9">
        <f>IF($B3403="","",B3406)</f>
        <v/>
      </c>
      <c r="K3406" s="1" t="inlineStr">
        <is>
          <t>Cheque Collection 支票收款</t>
        </is>
      </c>
      <c r="L3406" s="9">
        <f>IF($B3403="","",E3406)</f>
        <v/>
      </c>
    </row>
    <row r="3407">
      <c r="A3407" s="10" t="inlineStr">
        <is>
          <t>Amount 金额  (Cash Sales - Misc - Other)</t>
        </is>
      </c>
      <c r="B3407" s="11">
        <f>IF($B3403="","",ROUND(B3404-B3405-B3406,2))</f>
        <v/>
      </c>
      <c r="D3407" s="12" t="inlineStr">
        <is>
          <t>TNG collection TNG收款</t>
        </is>
      </c>
      <c r="E3407" s="13">
        <f>IF($B3403="","",'Daily Sale entry '!K245)</f>
        <v/>
      </c>
      <c r="H3407" s="10" t="inlineStr">
        <is>
          <t>Amount 金额  (Cash Sales - Misc - Other)</t>
        </is>
      </c>
      <c r="I3407" s="11">
        <f>IF($B3403="","",ROUND(I3404-I3405-I3406,2))</f>
        <v/>
      </c>
      <c r="K3407" s="12" t="inlineStr">
        <is>
          <t>TNG collection TNG收款</t>
        </is>
      </c>
      <c r="L3407" s="13">
        <f>IF($B3403="","",E3407)</f>
        <v/>
      </c>
    </row>
    <row r="3408">
      <c r="A3408" t="inlineStr">
        <is>
          <t>Credit Collection 赊账收款</t>
        </is>
      </c>
      <c r="B3408" s="6">
        <f>IF($B3403="","",'Daily Sale entry '!E245)</f>
        <v/>
      </c>
      <c r="D3408" t="inlineStr">
        <is>
          <t>Advance Salary_M 预支薪水_M</t>
        </is>
      </c>
      <c r="E3408" s="6">
        <f>IF($B3403="","",'Daily Sale entry '!L245)</f>
        <v/>
      </c>
      <c r="H3408" t="inlineStr">
        <is>
          <t>Credit Collection 赊账收款</t>
        </is>
      </c>
      <c r="I3408" s="6">
        <f>IF($B3403="","",B3408)</f>
        <v/>
      </c>
      <c r="K3408" t="inlineStr">
        <is>
          <t>Advance Salary_M 预支薪水_M</t>
        </is>
      </c>
      <c r="L3408" s="6">
        <f>IF($B3403="","",E3408)</f>
        <v/>
      </c>
    </row>
    <row r="3409">
      <c r="A3409" s="10" t="inlineStr">
        <is>
          <t>Amount 2 金额2  (Amount + Credit Collection)</t>
        </is>
      </c>
      <c r="B3409" s="11">
        <f>IF($B3403="","",ROUND(B3407+B3408,2))</f>
        <v/>
      </c>
      <c r="D3409" t="inlineStr">
        <is>
          <t>Advance Salary_H 预支薪水_H</t>
        </is>
      </c>
      <c r="E3409" s="6">
        <f>IF($B3403="","",'Daily Sale entry '!M245)</f>
        <v/>
      </c>
      <c r="H3409" s="10" t="inlineStr">
        <is>
          <t>Amount 2 金额2  (Amount + Credit Collection)</t>
        </is>
      </c>
      <c r="I3409" s="11">
        <f>IF($B3403="","",ROUND(I3407+I3408,2))</f>
        <v/>
      </c>
      <c r="K3409" t="inlineStr">
        <is>
          <t>Advance Salary_H 预支薪水_H</t>
        </is>
      </c>
      <c r="L3409" s="6">
        <f>IF($B3403="","",E3409)</f>
        <v/>
      </c>
    </row>
    <row r="3410"/>
    <row r="3411">
      <c r="A3411" s="1" t="inlineStr">
        <is>
          <t>b/f petty cash 上日备用金结转</t>
        </is>
      </c>
      <c r="B3411" s="9">
        <f>IF($B3403="","",'Daily Sale entry '!F245)</f>
        <v/>
      </c>
      <c r="D3411" s="1" t="n"/>
      <c r="E3411" s="1" t="n"/>
      <c r="H3411" s="1" t="inlineStr">
        <is>
          <t>b/f petty cash 上日备用金结转</t>
        </is>
      </c>
      <c r="I3411" s="9">
        <f>IF($B3403="","",B3411)</f>
        <v/>
      </c>
      <c r="K3411" s="1" t="n"/>
      <c r="L3411" s="1" t="n"/>
    </row>
    <row r="3412">
      <c r="A3412" t="inlineStr">
        <is>
          <t>Total (A) 总计 (A)</t>
        </is>
      </c>
      <c r="B3412" s="6">
        <f>IF($B3403="","",ROUND(B3409+B3411,2))</f>
        <v/>
      </c>
      <c r="D3412" t="inlineStr">
        <is>
          <t>Total(B) 总计 (B)</t>
        </is>
      </c>
      <c r="E3412" s="6">
        <f>IF($B3403="","",ROUND(E3404+E3405+E3406+E3407+E3408+E3409,2))</f>
        <v/>
      </c>
      <c r="H3412" t="inlineStr">
        <is>
          <t>Total© 总计 (C)</t>
        </is>
      </c>
      <c r="I3412" s="6">
        <f>IF($B3403="","",ROUND(I3409+I3411,2))</f>
        <v/>
      </c>
      <c r="K3412" t="inlineStr">
        <is>
          <t>Total(D) 总计 (D)</t>
        </is>
      </c>
      <c r="L3412" s="6">
        <f>IF($B3403="","",ROUND(L3404+L3405+L3406+L3407+L3408+L3409,2))</f>
        <v/>
      </c>
    </row>
    <row r="3413">
      <c r="A3413" s="14" t="inlineStr">
        <is>
          <t>Total = Amount 2 + b/f petty cash  (金额2 + 上日备用金)</t>
        </is>
      </c>
      <c r="H3413" s="14" t="inlineStr">
        <is>
          <t>Total = Amount 2 + b/f petty cash  (金额2 + 上日备用金)</t>
        </is>
      </c>
    </row>
    <row r="3414">
      <c r="A3414" t="inlineStr">
        <is>
          <t>Different 差额</t>
        </is>
      </c>
      <c r="B3414" s="6">
        <f>IF($B3403="","",ROUND(B3412-E3412,2))</f>
        <v/>
      </c>
      <c r="D3414">
        <f>IF($B3403="","",IF(ABS(B3414)&gt;'Opening Balance'!$B$16,"ALERT 警报: Different over RM"&amp;'Opening Balance'!$B$16&amp;" 差额超过RM"&amp;'Opening Balance'!$B$16&amp;" - please check 请检查",IF(B3414=0,"Tied 平衡",IF(ABS(B3414)&lt;='Opening Balance'!$B$13,"Small difference 小额差额: adjusted on c/f petty cash 已调整备用金",IF(B3414&gt;0,"Short 短收: added to Misc Charges 已加入杂项费用","Over 多收: added to Cash Sales 已加入现金销售")))))</f>
        <v/>
      </c>
      <c r="H3414" t="inlineStr">
        <is>
          <t>Different 差额</t>
        </is>
      </c>
      <c r="I3414" s="6">
        <f>IF($B3403="","",ROUND(I3412-L3412,2))</f>
        <v/>
      </c>
    </row>
    <row r="3415"/>
    <row r="3416"/>
    <row r="3417">
      <c r="A3417" t="inlineStr">
        <is>
          <t>Date 日期</t>
        </is>
      </c>
      <c r="B3417" s="5">
        <f>IF('Daily Sale entry '!$A246="","",'Daily Sale entry '!$A246)</f>
        <v/>
      </c>
      <c r="H3417" t="inlineStr">
        <is>
          <t>After 调整后 (After)</t>
        </is>
      </c>
      <c r="I3417" s="5">
        <f>IF($B3417="","",B3417)</f>
        <v/>
      </c>
    </row>
    <row r="3418">
      <c r="A3418" t="inlineStr">
        <is>
          <t>Cash Sales 现金销售</t>
        </is>
      </c>
      <c r="B3418" s="6">
        <f>IF($B3417="","",'Daily Sale entry '!B246)</f>
        <v/>
      </c>
      <c r="D3418" t="inlineStr">
        <is>
          <t>c/f petty cash 今日备用金结转</t>
        </is>
      </c>
      <c r="E3418" s="6">
        <f>IF($B3417="","",'Daily Sale entry '!G246)</f>
        <v/>
      </c>
      <c r="H3418" t="inlineStr">
        <is>
          <t>Cash Sales 现金销售</t>
        </is>
      </c>
      <c r="I3418" s="6">
        <f>IF($B3417="","",IF(AND(ABS(B3428)&gt;'Opening Balance'!$B$13,B3428&lt;0),ROUND(B3418-B3428,2),B3418))</f>
        <v/>
      </c>
      <c r="K3418" t="inlineStr">
        <is>
          <t>c/f petty cash 今日备用金结转</t>
        </is>
      </c>
      <c r="L3418" s="6">
        <f>IF($B3417="","",IF(ABS(B3428)&lt;='Opening Balance'!$B$13,ROUND(E3418+B3428,2),E3418))</f>
        <v/>
      </c>
    </row>
    <row r="3419">
      <c r="A3419" t="inlineStr">
        <is>
          <t>Misc Charges 杂项费用</t>
        </is>
      </c>
      <c r="B3419" s="6">
        <f>IF($B3417="","",'Daily Sale entry '!C246)</f>
        <v/>
      </c>
      <c r="D3419" t="inlineStr">
        <is>
          <t>cash collection 现金收款</t>
        </is>
      </c>
      <c r="E3419" s="6">
        <f>IF($B3417="","",'Daily Sale entry '!H246)</f>
        <v/>
      </c>
      <c r="H3419" t="inlineStr">
        <is>
          <t>Misc Charges 杂项费用</t>
        </is>
      </c>
      <c r="I3419" s="6">
        <f>IF($B3417="","",IF(AND(ABS(B3428)&gt;'Opening Balance'!$B$13,B3428&gt;0),ROUND(B3419+B3428,2),B3419))</f>
        <v/>
      </c>
      <c r="K3419" t="inlineStr">
        <is>
          <t>cash collection 现金收款</t>
        </is>
      </c>
      <c r="L3419" s="6">
        <f>IF($B3417="","",E3419)</f>
        <v/>
      </c>
    </row>
    <row r="3420">
      <c r="A3420" s="1" t="inlineStr">
        <is>
          <t>Other Charges 其他费用</t>
        </is>
      </c>
      <c r="B3420" s="9">
        <f>IF($B3417="","",'Daily Sale entry '!D246)</f>
        <v/>
      </c>
      <c r="D3420" s="1" t="inlineStr">
        <is>
          <t>Cheque Collection 支票收款</t>
        </is>
      </c>
      <c r="E3420" s="9">
        <f>IF($B3417="","",'Daily Sale entry '!J246)</f>
        <v/>
      </c>
      <c r="H3420" s="1" t="inlineStr">
        <is>
          <t>Other Charges 其他费用</t>
        </is>
      </c>
      <c r="I3420" s="9">
        <f>IF($B3417="","",B3420)</f>
        <v/>
      </c>
      <c r="K3420" s="1" t="inlineStr">
        <is>
          <t>Cheque Collection 支票收款</t>
        </is>
      </c>
      <c r="L3420" s="9">
        <f>IF($B3417="","",E3420)</f>
        <v/>
      </c>
    </row>
    <row r="3421">
      <c r="A3421" s="10" t="inlineStr">
        <is>
          <t>Amount 金额  (Cash Sales - Misc - Other)</t>
        </is>
      </c>
      <c r="B3421" s="11">
        <f>IF($B3417="","",ROUND(B3418-B3419-B3420,2))</f>
        <v/>
      </c>
      <c r="D3421" s="12" t="inlineStr">
        <is>
          <t>TNG collection TNG收款</t>
        </is>
      </c>
      <c r="E3421" s="13">
        <f>IF($B3417="","",'Daily Sale entry '!K246)</f>
        <v/>
      </c>
      <c r="H3421" s="10" t="inlineStr">
        <is>
          <t>Amount 金额  (Cash Sales - Misc - Other)</t>
        </is>
      </c>
      <c r="I3421" s="11">
        <f>IF($B3417="","",ROUND(I3418-I3419-I3420,2))</f>
        <v/>
      </c>
      <c r="K3421" s="12" t="inlineStr">
        <is>
          <t>TNG collection TNG收款</t>
        </is>
      </c>
      <c r="L3421" s="13">
        <f>IF($B3417="","",E3421)</f>
        <v/>
      </c>
    </row>
    <row r="3422">
      <c r="A3422" t="inlineStr">
        <is>
          <t>Credit Collection 赊账收款</t>
        </is>
      </c>
      <c r="B3422" s="6">
        <f>IF($B3417="","",'Daily Sale entry '!E246)</f>
        <v/>
      </c>
      <c r="D3422" t="inlineStr">
        <is>
          <t>Advance Salary_M 预支薪水_M</t>
        </is>
      </c>
      <c r="E3422" s="6">
        <f>IF($B3417="","",'Daily Sale entry '!L246)</f>
        <v/>
      </c>
      <c r="H3422" t="inlineStr">
        <is>
          <t>Credit Collection 赊账收款</t>
        </is>
      </c>
      <c r="I3422" s="6">
        <f>IF($B3417="","",B3422)</f>
        <v/>
      </c>
      <c r="K3422" t="inlineStr">
        <is>
          <t>Advance Salary_M 预支薪水_M</t>
        </is>
      </c>
      <c r="L3422" s="6">
        <f>IF($B3417="","",E3422)</f>
        <v/>
      </c>
    </row>
    <row r="3423">
      <c r="A3423" s="10" t="inlineStr">
        <is>
          <t>Amount 2 金额2  (Amount + Credit Collection)</t>
        </is>
      </c>
      <c r="B3423" s="11">
        <f>IF($B3417="","",ROUND(B3421+B3422,2))</f>
        <v/>
      </c>
      <c r="D3423" t="inlineStr">
        <is>
          <t>Advance Salary_H 预支薪水_H</t>
        </is>
      </c>
      <c r="E3423" s="6">
        <f>IF($B3417="","",'Daily Sale entry '!M246)</f>
        <v/>
      </c>
      <c r="H3423" s="10" t="inlineStr">
        <is>
          <t>Amount 2 金额2  (Amount + Credit Collection)</t>
        </is>
      </c>
      <c r="I3423" s="11">
        <f>IF($B3417="","",ROUND(I3421+I3422,2))</f>
        <v/>
      </c>
      <c r="K3423" t="inlineStr">
        <is>
          <t>Advance Salary_H 预支薪水_H</t>
        </is>
      </c>
      <c r="L3423" s="6">
        <f>IF($B3417="","",E3423)</f>
        <v/>
      </c>
    </row>
    <row r="3424"/>
    <row r="3425">
      <c r="A3425" s="1" t="inlineStr">
        <is>
          <t>b/f petty cash 上日备用金结转</t>
        </is>
      </c>
      <c r="B3425" s="9">
        <f>IF($B3417="","",'Daily Sale entry '!F246)</f>
        <v/>
      </c>
      <c r="D3425" s="1" t="n"/>
      <c r="E3425" s="1" t="n"/>
      <c r="H3425" s="1" t="inlineStr">
        <is>
          <t>b/f petty cash 上日备用金结转</t>
        </is>
      </c>
      <c r="I3425" s="9">
        <f>IF($B3417="","",B3425)</f>
        <v/>
      </c>
      <c r="K3425" s="1" t="n"/>
      <c r="L3425" s="1" t="n"/>
    </row>
    <row r="3426">
      <c r="A3426" t="inlineStr">
        <is>
          <t>Total (A) 总计 (A)</t>
        </is>
      </c>
      <c r="B3426" s="6">
        <f>IF($B3417="","",ROUND(B3423+B3425,2))</f>
        <v/>
      </c>
      <c r="D3426" t="inlineStr">
        <is>
          <t>Total(B) 总计 (B)</t>
        </is>
      </c>
      <c r="E3426" s="6">
        <f>IF($B3417="","",ROUND(E3418+E3419+E3420+E3421+E3422+E3423,2))</f>
        <v/>
      </c>
      <c r="H3426" t="inlineStr">
        <is>
          <t>Total© 总计 (C)</t>
        </is>
      </c>
      <c r="I3426" s="6">
        <f>IF($B3417="","",ROUND(I3423+I3425,2))</f>
        <v/>
      </c>
      <c r="K3426" t="inlineStr">
        <is>
          <t>Total(D) 总计 (D)</t>
        </is>
      </c>
      <c r="L3426" s="6">
        <f>IF($B3417="","",ROUND(L3418+L3419+L3420+L3421+L3422+L3423,2))</f>
        <v/>
      </c>
    </row>
    <row r="3427">
      <c r="A3427" s="14" t="inlineStr">
        <is>
          <t>Total = Amount 2 + b/f petty cash  (金额2 + 上日备用金)</t>
        </is>
      </c>
      <c r="H3427" s="14" t="inlineStr">
        <is>
          <t>Total = Amount 2 + b/f petty cash  (金额2 + 上日备用金)</t>
        </is>
      </c>
    </row>
    <row r="3428">
      <c r="A3428" t="inlineStr">
        <is>
          <t>Different 差额</t>
        </is>
      </c>
      <c r="B3428" s="6">
        <f>IF($B3417="","",ROUND(B3426-E3426,2))</f>
        <v/>
      </c>
      <c r="D3428">
        <f>IF($B3417="","",IF(ABS(B3428)&gt;'Opening Balance'!$B$16,"ALERT 警报: Different over RM"&amp;'Opening Balance'!$B$16&amp;" 差额超过RM"&amp;'Opening Balance'!$B$16&amp;" - please check 请检查",IF(B3428=0,"Tied 平衡",IF(ABS(B3428)&lt;='Opening Balance'!$B$13,"Small difference 小额差额: adjusted on c/f petty cash 已调整备用金",IF(B3428&gt;0,"Short 短收: added to Misc Charges 已加入杂项费用","Over 多收: added to Cash Sales 已加入现金销售")))))</f>
        <v/>
      </c>
      <c r="H3428" t="inlineStr">
        <is>
          <t>Different 差额</t>
        </is>
      </c>
      <c r="I3428" s="6">
        <f>IF($B3417="","",ROUND(I3426-L3426,2))</f>
        <v/>
      </c>
    </row>
    <row r="3429"/>
    <row r="3430"/>
    <row r="3431">
      <c r="A3431" t="inlineStr">
        <is>
          <t>Date 日期</t>
        </is>
      </c>
      <c r="B3431" s="5">
        <f>IF('Daily Sale entry '!$A247="","",'Daily Sale entry '!$A247)</f>
        <v/>
      </c>
      <c r="H3431" t="inlineStr">
        <is>
          <t>After 调整后 (After)</t>
        </is>
      </c>
      <c r="I3431" s="5">
        <f>IF($B3431="","",B3431)</f>
        <v/>
      </c>
    </row>
    <row r="3432">
      <c r="A3432" t="inlineStr">
        <is>
          <t>Cash Sales 现金销售</t>
        </is>
      </c>
      <c r="B3432" s="6">
        <f>IF($B3431="","",'Daily Sale entry '!B247)</f>
        <v/>
      </c>
      <c r="D3432" t="inlineStr">
        <is>
          <t>c/f petty cash 今日备用金结转</t>
        </is>
      </c>
      <c r="E3432" s="6">
        <f>IF($B3431="","",'Daily Sale entry '!G247)</f>
        <v/>
      </c>
      <c r="H3432" t="inlineStr">
        <is>
          <t>Cash Sales 现金销售</t>
        </is>
      </c>
      <c r="I3432" s="6">
        <f>IF($B3431="","",IF(AND(ABS(B3442)&gt;'Opening Balance'!$B$13,B3442&lt;0),ROUND(B3432-B3442,2),B3432))</f>
        <v/>
      </c>
      <c r="K3432" t="inlineStr">
        <is>
          <t>c/f petty cash 今日备用金结转</t>
        </is>
      </c>
      <c r="L3432" s="6">
        <f>IF($B3431="","",IF(ABS(B3442)&lt;='Opening Balance'!$B$13,ROUND(E3432+B3442,2),E3432))</f>
        <v/>
      </c>
    </row>
    <row r="3433">
      <c r="A3433" t="inlineStr">
        <is>
          <t>Misc Charges 杂项费用</t>
        </is>
      </c>
      <c r="B3433" s="6">
        <f>IF($B3431="","",'Daily Sale entry '!C247)</f>
        <v/>
      </c>
      <c r="D3433" t="inlineStr">
        <is>
          <t>cash collection 现金收款</t>
        </is>
      </c>
      <c r="E3433" s="6">
        <f>IF($B3431="","",'Daily Sale entry '!H247)</f>
        <v/>
      </c>
      <c r="H3433" t="inlineStr">
        <is>
          <t>Misc Charges 杂项费用</t>
        </is>
      </c>
      <c r="I3433" s="6">
        <f>IF($B3431="","",IF(AND(ABS(B3442)&gt;'Opening Balance'!$B$13,B3442&gt;0),ROUND(B3433+B3442,2),B3433))</f>
        <v/>
      </c>
      <c r="K3433" t="inlineStr">
        <is>
          <t>cash collection 现金收款</t>
        </is>
      </c>
      <c r="L3433" s="6">
        <f>IF($B3431="","",E3433)</f>
        <v/>
      </c>
    </row>
    <row r="3434">
      <c r="A3434" s="1" t="inlineStr">
        <is>
          <t>Other Charges 其他费用</t>
        </is>
      </c>
      <c r="B3434" s="9">
        <f>IF($B3431="","",'Daily Sale entry '!D247)</f>
        <v/>
      </c>
      <c r="D3434" s="1" t="inlineStr">
        <is>
          <t>Cheque Collection 支票收款</t>
        </is>
      </c>
      <c r="E3434" s="9">
        <f>IF($B3431="","",'Daily Sale entry '!J247)</f>
        <v/>
      </c>
      <c r="H3434" s="1" t="inlineStr">
        <is>
          <t>Other Charges 其他费用</t>
        </is>
      </c>
      <c r="I3434" s="9">
        <f>IF($B3431="","",B3434)</f>
        <v/>
      </c>
      <c r="K3434" s="1" t="inlineStr">
        <is>
          <t>Cheque Collection 支票收款</t>
        </is>
      </c>
      <c r="L3434" s="9">
        <f>IF($B3431="","",E3434)</f>
        <v/>
      </c>
    </row>
    <row r="3435">
      <c r="A3435" s="10" t="inlineStr">
        <is>
          <t>Amount 金额  (Cash Sales - Misc - Other)</t>
        </is>
      </c>
      <c r="B3435" s="11">
        <f>IF($B3431="","",ROUND(B3432-B3433-B3434,2))</f>
        <v/>
      </c>
      <c r="D3435" s="12" t="inlineStr">
        <is>
          <t>TNG collection TNG收款</t>
        </is>
      </c>
      <c r="E3435" s="13">
        <f>IF($B3431="","",'Daily Sale entry '!K247)</f>
        <v/>
      </c>
      <c r="H3435" s="10" t="inlineStr">
        <is>
          <t>Amount 金额  (Cash Sales - Misc - Other)</t>
        </is>
      </c>
      <c r="I3435" s="11">
        <f>IF($B3431="","",ROUND(I3432-I3433-I3434,2))</f>
        <v/>
      </c>
      <c r="K3435" s="12" t="inlineStr">
        <is>
          <t>TNG collection TNG收款</t>
        </is>
      </c>
      <c r="L3435" s="13">
        <f>IF($B3431="","",E3435)</f>
        <v/>
      </c>
    </row>
    <row r="3436">
      <c r="A3436" t="inlineStr">
        <is>
          <t>Credit Collection 赊账收款</t>
        </is>
      </c>
      <c r="B3436" s="6">
        <f>IF($B3431="","",'Daily Sale entry '!E247)</f>
        <v/>
      </c>
      <c r="D3436" t="inlineStr">
        <is>
          <t>Advance Salary_M 预支薪水_M</t>
        </is>
      </c>
      <c r="E3436" s="6">
        <f>IF($B3431="","",'Daily Sale entry '!L247)</f>
        <v/>
      </c>
      <c r="H3436" t="inlineStr">
        <is>
          <t>Credit Collection 赊账收款</t>
        </is>
      </c>
      <c r="I3436" s="6">
        <f>IF($B3431="","",B3436)</f>
        <v/>
      </c>
      <c r="K3436" t="inlineStr">
        <is>
          <t>Advance Salary_M 预支薪水_M</t>
        </is>
      </c>
      <c r="L3436" s="6">
        <f>IF($B3431="","",E3436)</f>
        <v/>
      </c>
    </row>
    <row r="3437">
      <c r="A3437" s="10" t="inlineStr">
        <is>
          <t>Amount 2 金额2  (Amount + Credit Collection)</t>
        </is>
      </c>
      <c r="B3437" s="11">
        <f>IF($B3431="","",ROUND(B3435+B3436,2))</f>
        <v/>
      </c>
      <c r="D3437" t="inlineStr">
        <is>
          <t>Advance Salary_H 预支薪水_H</t>
        </is>
      </c>
      <c r="E3437" s="6">
        <f>IF($B3431="","",'Daily Sale entry '!M247)</f>
        <v/>
      </c>
      <c r="H3437" s="10" t="inlineStr">
        <is>
          <t>Amount 2 金额2  (Amount + Credit Collection)</t>
        </is>
      </c>
      <c r="I3437" s="11">
        <f>IF($B3431="","",ROUND(I3435+I3436,2))</f>
        <v/>
      </c>
      <c r="K3437" t="inlineStr">
        <is>
          <t>Advance Salary_H 预支薪水_H</t>
        </is>
      </c>
      <c r="L3437" s="6">
        <f>IF($B3431="","",E3437)</f>
        <v/>
      </c>
    </row>
    <row r="3438"/>
    <row r="3439">
      <c r="A3439" s="1" t="inlineStr">
        <is>
          <t>b/f petty cash 上日备用金结转</t>
        </is>
      </c>
      <c r="B3439" s="9">
        <f>IF($B3431="","",'Daily Sale entry '!F247)</f>
        <v/>
      </c>
      <c r="D3439" s="1" t="n"/>
      <c r="E3439" s="1" t="n"/>
      <c r="H3439" s="1" t="inlineStr">
        <is>
          <t>b/f petty cash 上日备用金结转</t>
        </is>
      </c>
      <c r="I3439" s="9">
        <f>IF($B3431="","",B3439)</f>
        <v/>
      </c>
      <c r="K3439" s="1" t="n"/>
      <c r="L3439" s="1" t="n"/>
    </row>
    <row r="3440">
      <c r="A3440" t="inlineStr">
        <is>
          <t>Total (A) 总计 (A)</t>
        </is>
      </c>
      <c r="B3440" s="6">
        <f>IF($B3431="","",ROUND(B3437+B3439,2))</f>
        <v/>
      </c>
      <c r="D3440" t="inlineStr">
        <is>
          <t>Total(B) 总计 (B)</t>
        </is>
      </c>
      <c r="E3440" s="6">
        <f>IF($B3431="","",ROUND(E3432+E3433+E3434+E3435+E3436+E3437,2))</f>
        <v/>
      </c>
      <c r="H3440" t="inlineStr">
        <is>
          <t>Total© 总计 (C)</t>
        </is>
      </c>
      <c r="I3440" s="6">
        <f>IF($B3431="","",ROUND(I3437+I3439,2))</f>
        <v/>
      </c>
      <c r="K3440" t="inlineStr">
        <is>
          <t>Total(D) 总计 (D)</t>
        </is>
      </c>
      <c r="L3440" s="6">
        <f>IF($B3431="","",ROUND(L3432+L3433+L3434+L3435+L3436+L3437,2))</f>
        <v/>
      </c>
    </row>
    <row r="3441">
      <c r="A3441" s="14" t="inlineStr">
        <is>
          <t>Total = Amount 2 + b/f petty cash  (金额2 + 上日备用金)</t>
        </is>
      </c>
      <c r="H3441" s="14" t="inlineStr">
        <is>
          <t>Total = Amount 2 + b/f petty cash  (金额2 + 上日备用金)</t>
        </is>
      </c>
    </row>
    <row r="3442">
      <c r="A3442" t="inlineStr">
        <is>
          <t>Different 差额</t>
        </is>
      </c>
      <c r="B3442" s="6">
        <f>IF($B3431="","",ROUND(B3440-E3440,2))</f>
        <v/>
      </c>
      <c r="D3442">
        <f>IF($B3431="","",IF(ABS(B3442)&gt;'Opening Balance'!$B$16,"ALERT 警报: Different over RM"&amp;'Opening Balance'!$B$16&amp;" 差额超过RM"&amp;'Opening Balance'!$B$16&amp;" - please check 请检查",IF(B3442=0,"Tied 平衡",IF(ABS(B3442)&lt;='Opening Balance'!$B$13,"Small difference 小额差额: adjusted on c/f petty cash 已调整备用金",IF(B3442&gt;0,"Short 短收: added to Misc Charges 已加入杂项费用","Over 多收: added to Cash Sales 已加入现金销售")))))</f>
        <v/>
      </c>
      <c r="H3442" t="inlineStr">
        <is>
          <t>Different 差额</t>
        </is>
      </c>
      <c r="I3442" s="6">
        <f>IF($B3431="","",ROUND(I3440-L3440,2))</f>
        <v/>
      </c>
    </row>
    <row r="3443"/>
    <row r="3444"/>
    <row r="3445">
      <c r="A3445" t="inlineStr">
        <is>
          <t>Date 日期</t>
        </is>
      </c>
      <c r="B3445" s="5">
        <f>IF('Daily Sale entry '!$A248="","",'Daily Sale entry '!$A248)</f>
        <v/>
      </c>
      <c r="H3445" t="inlineStr">
        <is>
          <t>After 调整后 (After)</t>
        </is>
      </c>
      <c r="I3445" s="5">
        <f>IF($B3445="","",B3445)</f>
        <v/>
      </c>
    </row>
    <row r="3446">
      <c r="A3446" t="inlineStr">
        <is>
          <t>Cash Sales 现金销售</t>
        </is>
      </c>
      <c r="B3446" s="6">
        <f>IF($B3445="","",'Daily Sale entry '!B248)</f>
        <v/>
      </c>
      <c r="D3446" t="inlineStr">
        <is>
          <t>c/f petty cash 今日备用金结转</t>
        </is>
      </c>
      <c r="E3446" s="6">
        <f>IF($B3445="","",'Daily Sale entry '!G248)</f>
        <v/>
      </c>
      <c r="H3446" t="inlineStr">
        <is>
          <t>Cash Sales 现金销售</t>
        </is>
      </c>
      <c r="I3446" s="6">
        <f>IF($B3445="","",IF(AND(ABS(B3456)&gt;'Opening Balance'!$B$13,B3456&lt;0),ROUND(B3446-B3456,2),B3446))</f>
        <v/>
      </c>
      <c r="K3446" t="inlineStr">
        <is>
          <t>c/f petty cash 今日备用金结转</t>
        </is>
      </c>
      <c r="L3446" s="6">
        <f>IF($B3445="","",IF(ABS(B3456)&lt;='Opening Balance'!$B$13,ROUND(E3446+B3456,2),E3446))</f>
        <v/>
      </c>
    </row>
    <row r="3447">
      <c r="A3447" t="inlineStr">
        <is>
          <t>Misc Charges 杂项费用</t>
        </is>
      </c>
      <c r="B3447" s="6">
        <f>IF($B3445="","",'Daily Sale entry '!C248)</f>
        <v/>
      </c>
      <c r="D3447" t="inlineStr">
        <is>
          <t>cash collection 现金收款</t>
        </is>
      </c>
      <c r="E3447" s="6">
        <f>IF($B3445="","",'Daily Sale entry '!H248)</f>
        <v/>
      </c>
      <c r="H3447" t="inlineStr">
        <is>
          <t>Misc Charges 杂项费用</t>
        </is>
      </c>
      <c r="I3447" s="6">
        <f>IF($B3445="","",IF(AND(ABS(B3456)&gt;'Opening Balance'!$B$13,B3456&gt;0),ROUND(B3447+B3456,2),B3447))</f>
        <v/>
      </c>
      <c r="K3447" t="inlineStr">
        <is>
          <t>cash collection 现金收款</t>
        </is>
      </c>
      <c r="L3447" s="6">
        <f>IF($B3445="","",E3447)</f>
        <v/>
      </c>
    </row>
    <row r="3448">
      <c r="A3448" s="1" t="inlineStr">
        <is>
          <t>Other Charges 其他费用</t>
        </is>
      </c>
      <c r="B3448" s="9">
        <f>IF($B3445="","",'Daily Sale entry '!D248)</f>
        <v/>
      </c>
      <c r="D3448" s="1" t="inlineStr">
        <is>
          <t>Cheque Collection 支票收款</t>
        </is>
      </c>
      <c r="E3448" s="9">
        <f>IF($B3445="","",'Daily Sale entry '!J248)</f>
        <v/>
      </c>
      <c r="H3448" s="1" t="inlineStr">
        <is>
          <t>Other Charges 其他费用</t>
        </is>
      </c>
      <c r="I3448" s="9">
        <f>IF($B3445="","",B3448)</f>
        <v/>
      </c>
      <c r="K3448" s="1" t="inlineStr">
        <is>
          <t>Cheque Collection 支票收款</t>
        </is>
      </c>
      <c r="L3448" s="9">
        <f>IF($B3445="","",E3448)</f>
        <v/>
      </c>
    </row>
    <row r="3449">
      <c r="A3449" s="10" t="inlineStr">
        <is>
          <t>Amount 金额  (Cash Sales - Misc - Other)</t>
        </is>
      </c>
      <c r="B3449" s="11">
        <f>IF($B3445="","",ROUND(B3446-B3447-B3448,2))</f>
        <v/>
      </c>
      <c r="D3449" s="12" t="inlineStr">
        <is>
          <t>TNG collection TNG收款</t>
        </is>
      </c>
      <c r="E3449" s="13">
        <f>IF($B3445="","",'Daily Sale entry '!K248)</f>
        <v/>
      </c>
      <c r="H3449" s="10" t="inlineStr">
        <is>
          <t>Amount 金额  (Cash Sales - Misc - Other)</t>
        </is>
      </c>
      <c r="I3449" s="11">
        <f>IF($B3445="","",ROUND(I3446-I3447-I3448,2))</f>
        <v/>
      </c>
      <c r="K3449" s="12" t="inlineStr">
        <is>
          <t>TNG collection TNG收款</t>
        </is>
      </c>
      <c r="L3449" s="13">
        <f>IF($B3445="","",E3449)</f>
        <v/>
      </c>
    </row>
    <row r="3450">
      <c r="A3450" t="inlineStr">
        <is>
          <t>Credit Collection 赊账收款</t>
        </is>
      </c>
      <c r="B3450" s="6">
        <f>IF($B3445="","",'Daily Sale entry '!E248)</f>
        <v/>
      </c>
      <c r="D3450" t="inlineStr">
        <is>
          <t>Advance Salary_M 预支薪水_M</t>
        </is>
      </c>
      <c r="E3450" s="6">
        <f>IF($B3445="","",'Daily Sale entry '!L248)</f>
        <v/>
      </c>
      <c r="H3450" t="inlineStr">
        <is>
          <t>Credit Collection 赊账收款</t>
        </is>
      </c>
      <c r="I3450" s="6">
        <f>IF($B3445="","",B3450)</f>
        <v/>
      </c>
      <c r="K3450" t="inlineStr">
        <is>
          <t>Advance Salary_M 预支薪水_M</t>
        </is>
      </c>
      <c r="L3450" s="6">
        <f>IF($B3445="","",E3450)</f>
        <v/>
      </c>
    </row>
    <row r="3451">
      <c r="A3451" s="10" t="inlineStr">
        <is>
          <t>Amount 2 金额2  (Amount + Credit Collection)</t>
        </is>
      </c>
      <c r="B3451" s="11">
        <f>IF($B3445="","",ROUND(B3449+B3450,2))</f>
        <v/>
      </c>
      <c r="D3451" t="inlineStr">
        <is>
          <t>Advance Salary_H 预支薪水_H</t>
        </is>
      </c>
      <c r="E3451" s="6">
        <f>IF($B3445="","",'Daily Sale entry '!M248)</f>
        <v/>
      </c>
      <c r="H3451" s="10" t="inlineStr">
        <is>
          <t>Amount 2 金额2  (Amount + Credit Collection)</t>
        </is>
      </c>
      <c r="I3451" s="11">
        <f>IF($B3445="","",ROUND(I3449+I3450,2))</f>
        <v/>
      </c>
      <c r="K3451" t="inlineStr">
        <is>
          <t>Advance Salary_H 预支薪水_H</t>
        </is>
      </c>
      <c r="L3451" s="6">
        <f>IF($B3445="","",E3451)</f>
        <v/>
      </c>
    </row>
    <row r="3452"/>
    <row r="3453">
      <c r="A3453" s="1" t="inlineStr">
        <is>
          <t>b/f petty cash 上日备用金结转</t>
        </is>
      </c>
      <c r="B3453" s="9">
        <f>IF($B3445="","",'Daily Sale entry '!F248)</f>
        <v/>
      </c>
      <c r="D3453" s="1" t="n"/>
      <c r="E3453" s="1" t="n"/>
      <c r="H3453" s="1" t="inlineStr">
        <is>
          <t>b/f petty cash 上日备用金结转</t>
        </is>
      </c>
      <c r="I3453" s="9">
        <f>IF($B3445="","",B3453)</f>
        <v/>
      </c>
      <c r="K3453" s="1" t="n"/>
      <c r="L3453" s="1" t="n"/>
    </row>
    <row r="3454">
      <c r="A3454" t="inlineStr">
        <is>
          <t>Total (A) 总计 (A)</t>
        </is>
      </c>
      <c r="B3454" s="6">
        <f>IF($B3445="","",ROUND(B3451+B3453,2))</f>
        <v/>
      </c>
      <c r="D3454" t="inlineStr">
        <is>
          <t>Total(B) 总计 (B)</t>
        </is>
      </c>
      <c r="E3454" s="6">
        <f>IF($B3445="","",ROUND(E3446+E3447+E3448+E3449+E3450+E3451,2))</f>
        <v/>
      </c>
      <c r="H3454" t="inlineStr">
        <is>
          <t>Total© 总计 (C)</t>
        </is>
      </c>
      <c r="I3454" s="6">
        <f>IF($B3445="","",ROUND(I3451+I3453,2))</f>
        <v/>
      </c>
      <c r="K3454" t="inlineStr">
        <is>
          <t>Total(D) 总计 (D)</t>
        </is>
      </c>
      <c r="L3454" s="6">
        <f>IF($B3445="","",ROUND(L3446+L3447+L3448+L3449+L3450+L3451,2))</f>
        <v/>
      </c>
    </row>
    <row r="3455">
      <c r="A3455" s="14" t="inlineStr">
        <is>
          <t>Total = Amount 2 + b/f petty cash  (金额2 + 上日备用金)</t>
        </is>
      </c>
      <c r="H3455" s="14" t="inlineStr">
        <is>
          <t>Total = Amount 2 + b/f petty cash  (金额2 + 上日备用金)</t>
        </is>
      </c>
    </row>
    <row r="3456">
      <c r="A3456" t="inlineStr">
        <is>
          <t>Different 差额</t>
        </is>
      </c>
      <c r="B3456" s="6">
        <f>IF($B3445="","",ROUND(B3454-E3454,2))</f>
        <v/>
      </c>
      <c r="D3456">
        <f>IF($B3445="","",IF(ABS(B3456)&gt;'Opening Balance'!$B$16,"ALERT 警报: Different over RM"&amp;'Opening Balance'!$B$16&amp;" 差额超过RM"&amp;'Opening Balance'!$B$16&amp;" - please check 请检查",IF(B3456=0,"Tied 平衡",IF(ABS(B3456)&lt;='Opening Balance'!$B$13,"Small difference 小额差额: adjusted on c/f petty cash 已调整备用金",IF(B3456&gt;0,"Short 短收: added to Misc Charges 已加入杂项费用","Over 多收: added to Cash Sales 已加入现金销售")))))</f>
        <v/>
      </c>
      <c r="H3456" t="inlineStr">
        <is>
          <t>Different 差额</t>
        </is>
      </c>
      <c r="I3456" s="6">
        <f>IF($B3445="","",ROUND(I3454-L3454,2))</f>
        <v/>
      </c>
    </row>
    <row r="3457"/>
    <row r="3458"/>
    <row r="3459">
      <c r="A3459" t="inlineStr">
        <is>
          <t>Date 日期</t>
        </is>
      </c>
      <c r="B3459" s="5">
        <f>IF('Daily Sale entry '!$A249="","",'Daily Sale entry '!$A249)</f>
        <v/>
      </c>
      <c r="H3459" t="inlineStr">
        <is>
          <t>After 调整后 (After)</t>
        </is>
      </c>
      <c r="I3459" s="5">
        <f>IF($B3459="","",B3459)</f>
        <v/>
      </c>
    </row>
    <row r="3460">
      <c r="A3460" t="inlineStr">
        <is>
          <t>Cash Sales 现金销售</t>
        </is>
      </c>
      <c r="B3460" s="6">
        <f>IF($B3459="","",'Daily Sale entry '!B249)</f>
        <v/>
      </c>
      <c r="D3460" t="inlineStr">
        <is>
          <t>c/f petty cash 今日备用金结转</t>
        </is>
      </c>
      <c r="E3460" s="6">
        <f>IF($B3459="","",'Daily Sale entry '!G249)</f>
        <v/>
      </c>
      <c r="H3460" t="inlineStr">
        <is>
          <t>Cash Sales 现金销售</t>
        </is>
      </c>
      <c r="I3460" s="6">
        <f>IF($B3459="","",IF(AND(ABS(B3470)&gt;'Opening Balance'!$B$13,B3470&lt;0),ROUND(B3460-B3470,2),B3460))</f>
        <v/>
      </c>
      <c r="K3460" t="inlineStr">
        <is>
          <t>c/f petty cash 今日备用金结转</t>
        </is>
      </c>
      <c r="L3460" s="6">
        <f>IF($B3459="","",IF(ABS(B3470)&lt;='Opening Balance'!$B$13,ROUND(E3460+B3470,2),E3460))</f>
        <v/>
      </c>
    </row>
    <row r="3461">
      <c r="A3461" t="inlineStr">
        <is>
          <t>Misc Charges 杂项费用</t>
        </is>
      </c>
      <c r="B3461" s="6">
        <f>IF($B3459="","",'Daily Sale entry '!C249)</f>
        <v/>
      </c>
      <c r="D3461" t="inlineStr">
        <is>
          <t>cash collection 现金收款</t>
        </is>
      </c>
      <c r="E3461" s="6">
        <f>IF($B3459="","",'Daily Sale entry '!H249)</f>
        <v/>
      </c>
      <c r="H3461" t="inlineStr">
        <is>
          <t>Misc Charges 杂项费用</t>
        </is>
      </c>
      <c r="I3461" s="6">
        <f>IF($B3459="","",IF(AND(ABS(B3470)&gt;'Opening Balance'!$B$13,B3470&gt;0),ROUND(B3461+B3470,2),B3461))</f>
        <v/>
      </c>
      <c r="K3461" t="inlineStr">
        <is>
          <t>cash collection 现金收款</t>
        </is>
      </c>
      <c r="L3461" s="6">
        <f>IF($B3459="","",E3461)</f>
        <v/>
      </c>
    </row>
    <row r="3462">
      <c r="A3462" s="1" t="inlineStr">
        <is>
          <t>Other Charges 其他费用</t>
        </is>
      </c>
      <c r="B3462" s="9">
        <f>IF($B3459="","",'Daily Sale entry '!D249)</f>
        <v/>
      </c>
      <c r="D3462" s="1" t="inlineStr">
        <is>
          <t>Cheque Collection 支票收款</t>
        </is>
      </c>
      <c r="E3462" s="9">
        <f>IF($B3459="","",'Daily Sale entry '!J249)</f>
        <v/>
      </c>
      <c r="H3462" s="1" t="inlineStr">
        <is>
          <t>Other Charges 其他费用</t>
        </is>
      </c>
      <c r="I3462" s="9">
        <f>IF($B3459="","",B3462)</f>
        <v/>
      </c>
      <c r="K3462" s="1" t="inlineStr">
        <is>
          <t>Cheque Collection 支票收款</t>
        </is>
      </c>
      <c r="L3462" s="9">
        <f>IF($B3459="","",E3462)</f>
        <v/>
      </c>
    </row>
    <row r="3463">
      <c r="A3463" s="10" t="inlineStr">
        <is>
          <t>Amount 金额  (Cash Sales - Misc - Other)</t>
        </is>
      </c>
      <c r="B3463" s="11">
        <f>IF($B3459="","",ROUND(B3460-B3461-B3462,2))</f>
        <v/>
      </c>
      <c r="D3463" s="12" t="inlineStr">
        <is>
          <t>TNG collection TNG收款</t>
        </is>
      </c>
      <c r="E3463" s="13">
        <f>IF($B3459="","",'Daily Sale entry '!K249)</f>
        <v/>
      </c>
      <c r="H3463" s="10" t="inlineStr">
        <is>
          <t>Amount 金额  (Cash Sales - Misc - Other)</t>
        </is>
      </c>
      <c r="I3463" s="11">
        <f>IF($B3459="","",ROUND(I3460-I3461-I3462,2))</f>
        <v/>
      </c>
      <c r="K3463" s="12" t="inlineStr">
        <is>
          <t>TNG collection TNG收款</t>
        </is>
      </c>
      <c r="L3463" s="13">
        <f>IF($B3459="","",E3463)</f>
        <v/>
      </c>
    </row>
    <row r="3464">
      <c r="A3464" t="inlineStr">
        <is>
          <t>Credit Collection 赊账收款</t>
        </is>
      </c>
      <c r="B3464" s="6">
        <f>IF($B3459="","",'Daily Sale entry '!E249)</f>
        <v/>
      </c>
      <c r="D3464" t="inlineStr">
        <is>
          <t>Advance Salary_M 预支薪水_M</t>
        </is>
      </c>
      <c r="E3464" s="6">
        <f>IF($B3459="","",'Daily Sale entry '!L249)</f>
        <v/>
      </c>
      <c r="H3464" t="inlineStr">
        <is>
          <t>Credit Collection 赊账收款</t>
        </is>
      </c>
      <c r="I3464" s="6">
        <f>IF($B3459="","",B3464)</f>
        <v/>
      </c>
      <c r="K3464" t="inlineStr">
        <is>
          <t>Advance Salary_M 预支薪水_M</t>
        </is>
      </c>
      <c r="L3464" s="6">
        <f>IF($B3459="","",E3464)</f>
        <v/>
      </c>
    </row>
    <row r="3465">
      <c r="A3465" s="10" t="inlineStr">
        <is>
          <t>Amount 2 金额2  (Amount + Credit Collection)</t>
        </is>
      </c>
      <c r="B3465" s="11">
        <f>IF($B3459="","",ROUND(B3463+B3464,2))</f>
        <v/>
      </c>
      <c r="D3465" t="inlineStr">
        <is>
          <t>Advance Salary_H 预支薪水_H</t>
        </is>
      </c>
      <c r="E3465" s="6">
        <f>IF($B3459="","",'Daily Sale entry '!M249)</f>
        <v/>
      </c>
      <c r="H3465" s="10" t="inlineStr">
        <is>
          <t>Amount 2 金额2  (Amount + Credit Collection)</t>
        </is>
      </c>
      <c r="I3465" s="11">
        <f>IF($B3459="","",ROUND(I3463+I3464,2))</f>
        <v/>
      </c>
      <c r="K3465" t="inlineStr">
        <is>
          <t>Advance Salary_H 预支薪水_H</t>
        </is>
      </c>
      <c r="L3465" s="6">
        <f>IF($B3459="","",E3465)</f>
        <v/>
      </c>
    </row>
    <row r="3466"/>
    <row r="3467">
      <c r="A3467" s="1" t="inlineStr">
        <is>
          <t>b/f petty cash 上日备用金结转</t>
        </is>
      </c>
      <c r="B3467" s="9">
        <f>IF($B3459="","",'Daily Sale entry '!F249)</f>
        <v/>
      </c>
      <c r="D3467" s="1" t="n"/>
      <c r="E3467" s="1" t="n"/>
      <c r="H3467" s="1" t="inlineStr">
        <is>
          <t>b/f petty cash 上日备用金结转</t>
        </is>
      </c>
      <c r="I3467" s="9">
        <f>IF($B3459="","",B3467)</f>
        <v/>
      </c>
      <c r="K3467" s="1" t="n"/>
      <c r="L3467" s="1" t="n"/>
    </row>
    <row r="3468">
      <c r="A3468" t="inlineStr">
        <is>
          <t>Total (A) 总计 (A)</t>
        </is>
      </c>
      <c r="B3468" s="6">
        <f>IF($B3459="","",ROUND(B3465+B3467,2))</f>
        <v/>
      </c>
      <c r="D3468" t="inlineStr">
        <is>
          <t>Total(B) 总计 (B)</t>
        </is>
      </c>
      <c r="E3468" s="6">
        <f>IF($B3459="","",ROUND(E3460+E3461+E3462+E3463+E3464+E3465,2))</f>
        <v/>
      </c>
      <c r="H3468" t="inlineStr">
        <is>
          <t>Total© 总计 (C)</t>
        </is>
      </c>
      <c r="I3468" s="6">
        <f>IF($B3459="","",ROUND(I3465+I3467,2))</f>
        <v/>
      </c>
      <c r="K3468" t="inlineStr">
        <is>
          <t>Total(D) 总计 (D)</t>
        </is>
      </c>
      <c r="L3468" s="6">
        <f>IF($B3459="","",ROUND(L3460+L3461+L3462+L3463+L3464+L3465,2))</f>
        <v/>
      </c>
    </row>
    <row r="3469">
      <c r="A3469" s="14" t="inlineStr">
        <is>
          <t>Total = Amount 2 + b/f petty cash  (金额2 + 上日备用金)</t>
        </is>
      </c>
      <c r="H3469" s="14" t="inlineStr">
        <is>
          <t>Total = Amount 2 + b/f petty cash  (金额2 + 上日备用金)</t>
        </is>
      </c>
    </row>
    <row r="3470">
      <c r="A3470" t="inlineStr">
        <is>
          <t>Different 差额</t>
        </is>
      </c>
      <c r="B3470" s="6">
        <f>IF($B3459="","",ROUND(B3468-E3468,2))</f>
        <v/>
      </c>
      <c r="D3470">
        <f>IF($B3459="","",IF(ABS(B3470)&gt;'Opening Balance'!$B$16,"ALERT 警报: Different over RM"&amp;'Opening Balance'!$B$16&amp;" 差额超过RM"&amp;'Opening Balance'!$B$16&amp;" - please check 请检查",IF(B3470=0,"Tied 平衡",IF(ABS(B3470)&lt;='Opening Balance'!$B$13,"Small difference 小额差额: adjusted on c/f petty cash 已调整备用金",IF(B3470&gt;0,"Short 短收: added to Misc Charges 已加入杂项费用","Over 多收: added to Cash Sales 已加入现金销售")))))</f>
        <v/>
      </c>
      <c r="H3470" t="inlineStr">
        <is>
          <t>Different 差额</t>
        </is>
      </c>
      <c r="I3470" s="6">
        <f>IF($B3459="","",ROUND(I3468-L3468,2))</f>
        <v/>
      </c>
    </row>
    <row r="3471"/>
    <row r="3472"/>
    <row r="3473">
      <c r="A3473" t="inlineStr">
        <is>
          <t>Date 日期</t>
        </is>
      </c>
      <c r="B3473" s="5">
        <f>IF('Daily Sale entry '!$A250="","",'Daily Sale entry '!$A250)</f>
        <v/>
      </c>
      <c r="H3473" t="inlineStr">
        <is>
          <t>After 调整后 (After)</t>
        </is>
      </c>
      <c r="I3473" s="5">
        <f>IF($B3473="","",B3473)</f>
        <v/>
      </c>
    </row>
    <row r="3474">
      <c r="A3474" t="inlineStr">
        <is>
          <t>Cash Sales 现金销售</t>
        </is>
      </c>
      <c r="B3474" s="6">
        <f>IF($B3473="","",'Daily Sale entry '!B250)</f>
        <v/>
      </c>
      <c r="D3474" t="inlineStr">
        <is>
          <t>c/f petty cash 今日备用金结转</t>
        </is>
      </c>
      <c r="E3474" s="6">
        <f>IF($B3473="","",'Daily Sale entry '!G250)</f>
        <v/>
      </c>
      <c r="H3474" t="inlineStr">
        <is>
          <t>Cash Sales 现金销售</t>
        </is>
      </c>
      <c r="I3474" s="6">
        <f>IF($B3473="","",IF(AND(ABS(B3484)&gt;'Opening Balance'!$B$13,B3484&lt;0),ROUND(B3474-B3484,2),B3474))</f>
        <v/>
      </c>
      <c r="K3474" t="inlineStr">
        <is>
          <t>c/f petty cash 今日备用金结转</t>
        </is>
      </c>
      <c r="L3474" s="6">
        <f>IF($B3473="","",IF(ABS(B3484)&lt;='Opening Balance'!$B$13,ROUND(E3474+B3484,2),E3474))</f>
        <v/>
      </c>
    </row>
    <row r="3475">
      <c r="A3475" t="inlineStr">
        <is>
          <t>Misc Charges 杂项费用</t>
        </is>
      </c>
      <c r="B3475" s="6">
        <f>IF($B3473="","",'Daily Sale entry '!C250)</f>
        <v/>
      </c>
      <c r="D3475" t="inlineStr">
        <is>
          <t>cash collection 现金收款</t>
        </is>
      </c>
      <c r="E3475" s="6">
        <f>IF($B3473="","",'Daily Sale entry '!H250)</f>
        <v/>
      </c>
      <c r="H3475" t="inlineStr">
        <is>
          <t>Misc Charges 杂项费用</t>
        </is>
      </c>
      <c r="I3475" s="6">
        <f>IF($B3473="","",IF(AND(ABS(B3484)&gt;'Opening Balance'!$B$13,B3484&gt;0),ROUND(B3475+B3484,2),B3475))</f>
        <v/>
      </c>
      <c r="K3475" t="inlineStr">
        <is>
          <t>cash collection 现金收款</t>
        </is>
      </c>
      <c r="L3475" s="6">
        <f>IF($B3473="","",E3475)</f>
        <v/>
      </c>
    </row>
    <row r="3476">
      <c r="A3476" s="1" t="inlineStr">
        <is>
          <t>Other Charges 其他费用</t>
        </is>
      </c>
      <c r="B3476" s="9">
        <f>IF($B3473="","",'Daily Sale entry '!D250)</f>
        <v/>
      </c>
      <c r="D3476" s="1" t="inlineStr">
        <is>
          <t>Cheque Collection 支票收款</t>
        </is>
      </c>
      <c r="E3476" s="9">
        <f>IF($B3473="","",'Daily Sale entry '!J250)</f>
        <v/>
      </c>
      <c r="H3476" s="1" t="inlineStr">
        <is>
          <t>Other Charges 其他费用</t>
        </is>
      </c>
      <c r="I3476" s="9">
        <f>IF($B3473="","",B3476)</f>
        <v/>
      </c>
      <c r="K3476" s="1" t="inlineStr">
        <is>
          <t>Cheque Collection 支票收款</t>
        </is>
      </c>
      <c r="L3476" s="9">
        <f>IF($B3473="","",E3476)</f>
        <v/>
      </c>
    </row>
    <row r="3477">
      <c r="A3477" s="10" t="inlineStr">
        <is>
          <t>Amount 金额  (Cash Sales - Misc - Other)</t>
        </is>
      </c>
      <c r="B3477" s="11">
        <f>IF($B3473="","",ROUND(B3474-B3475-B3476,2))</f>
        <v/>
      </c>
      <c r="D3477" s="12" t="inlineStr">
        <is>
          <t>TNG collection TNG收款</t>
        </is>
      </c>
      <c r="E3477" s="13">
        <f>IF($B3473="","",'Daily Sale entry '!K250)</f>
        <v/>
      </c>
      <c r="H3477" s="10" t="inlineStr">
        <is>
          <t>Amount 金额  (Cash Sales - Misc - Other)</t>
        </is>
      </c>
      <c r="I3477" s="11">
        <f>IF($B3473="","",ROUND(I3474-I3475-I3476,2))</f>
        <v/>
      </c>
      <c r="K3477" s="12" t="inlineStr">
        <is>
          <t>TNG collection TNG收款</t>
        </is>
      </c>
      <c r="L3477" s="13">
        <f>IF($B3473="","",E3477)</f>
        <v/>
      </c>
    </row>
    <row r="3478">
      <c r="A3478" t="inlineStr">
        <is>
          <t>Credit Collection 赊账收款</t>
        </is>
      </c>
      <c r="B3478" s="6">
        <f>IF($B3473="","",'Daily Sale entry '!E250)</f>
        <v/>
      </c>
      <c r="D3478" t="inlineStr">
        <is>
          <t>Advance Salary_M 预支薪水_M</t>
        </is>
      </c>
      <c r="E3478" s="6">
        <f>IF($B3473="","",'Daily Sale entry '!L250)</f>
        <v/>
      </c>
      <c r="H3478" t="inlineStr">
        <is>
          <t>Credit Collection 赊账收款</t>
        </is>
      </c>
      <c r="I3478" s="6">
        <f>IF($B3473="","",B3478)</f>
        <v/>
      </c>
      <c r="K3478" t="inlineStr">
        <is>
          <t>Advance Salary_M 预支薪水_M</t>
        </is>
      </c>
      <c r="L3478" s="6">
        <f>IF($B3473="","",E3478)</f>
        <v/>
      </c>
    </row>
    <row r="3479">
      <c r="A3479" s="10" t="inlineStr">
        <is>
          <t>Amount 2 金额2  (Amount + Credit Collection)</t>
        </is>
      </c>
      <c r="B3479" s="11">
        <f>IF($B3473="","",ROUND(B3477+B3478,2))</f>
        <v/>
      </c>
      <c r="D3479" t="inlineStr">
        <is>
          <t>Advance Salary_H 预支薪水_H</t>
        </is>
      </c>
      <c r="E3479" s="6">
        <f>IF($B3473="","",'Daily Sale entry '!M250)</f>
        <v/>
      </c>
      <c r="H3479" s="10" t="inlineStr">
        <is>
          <t>Amount 2 金额2  (Amount + Credit Collection)</t>
        </is>
      </c>
      <c r="I3479" s="11">
        <f>IF($B3473="","",ROUND(I3477+I3478,2))</f>
        <v/>
      </c>
      <c r="K3479" t="inlineStr">
        <is>
          <t>Advance Salary_H 预支薪水_H</t>
        </is>
      </c>
      <c r="L3479" s="6">
        <f>IF($B3473="","",E3479)</f>
        <v/>
      </c>
    </row>
    <row r="3480"/>
    <row r="3481">
      <c r="A3481" s="1" t="inlineStr">
        <is>
          <t>b/f petty cash 上日备用金结转</t>
        </is>
      </c>
      <c r="B3481" s="9">
        <f>IF($B3473="","",'Daily Sale entry '!F250)</f>
        <v/>
      </c>
      <c r="D3481" s="1" t="n"/>
      <c r="E3481" s="1" t="n"/>
      <c r="H3481" s="1" t="inlineStr">
        <is>
          <t>b/f petty cash 上日备用金结转</t>
        </is>
      </c>
      <c r="I3481" s="9">
        <f>IF($B3473="","",B3481)</f>
        <v/>
      </c>
      <c r="K3481" s="1" t="n"/>
      <c r="L3481" s="1" t="n"/>
    </row>
    <row r="3482">
      <c r="A3482" t="inlineStr">
        <is>
          <t>Total (A) 总计 (A)</t>
        </is>
      </c>
      <c r="B3482" s="6">
        <f>IF($B3473="","",ROUND(B3479+B3481,2))</f>
        <v/>
      </c>
      <c r="D3482" t="inlineStr">
        <is>
          <t>Total(B) 总计 (B)</t>
        </is>
      </c>
      <c r="E3482" s="6">
        <f>IF($B3473="","",ROUND(E3474+E3475+E3476+E3477+E3478+E3479,2))</f>
        <v/>
      </c>
      <c r="H3482" t="inlineStr">
        <is>
          <t>Total© 总计 (C)</t>
        </is>
      </c>
      <c r="I3482" s="6">
        <f>IF($B3473="","",ROUND(I3479+I3481,2))</f>
        <v/>
      </c>
      <c r="K3482" t="inlineStr">
        <is>
          <t>Total(D) 总计 (D)</t>
        </is>
      </c>
      <c r="L3482" s="6">
        <f>IF($B3473="","",ROUND(L3474+L3475+L3476+L3477+L3478+L3479,2))</f>
        <v/>
      </c>
    </row>
    <row r="3483">
      <c r="A3483" s="14" t="inlineStr">
        <is>
          <t>Total = Amount 2 + b/f petty cash  (金额2 + 上日备用金)</t>
        </is>
      </c>
      <c r="H3483" s="14" t="inlineStr">
        <is>
          <t>Total = Amount 2 + b/f petty cash  (金额2 + 上日备用金)</t>
        </is>
      </c>
    </row>
    <row r="3484">
      <c r="A3484" t="inlineStr">
        <is>
          <t>Different 差额</t>
        </is>
      </c>
      <c r="B3484" s="6">
        <f>IF($B3473="","",ROUND(B3482-E3482,2))</f>
        <v/>
      </c>
      <c r="D3484">
        <f>IF($B3473="","",IF(ABS(B3484)&gt;'Opening Balance'!$B$16,"ALERT 警报: Different over RM"&amp;'Opening Balance'!$B$16&amp;" 差额超过RM"&amp;'Opening Balance'!$B$16&amp;" - please check 请检查",IF(B3484=0,"Tied 平衡",IF(ABS(B3484)&lt;='Opening Balance'!$B$13,"Small difference 小额差额: adjusted on c/f petty cash 已调整备用金",IF(B3484&gt;0,"Short 短收: added to Misc Charges 已加入杂项费用","Over 多收: added to Cash Sales 已加入现金销售")))))</f>
        <v/>
      </c>
      <c r="H3484" t="inlineStr">
        <is>
          <t>Different 差额</t>
        </is>
      </c>
      <c r="I3484" s="6">
        <f>IF($B3473="","",ROUND(I3482-L3482,2))</f>
        <v/>
      </c>
    </row>
    <row r="3485"/>
    <row r="3486"/>
    <row r="3487">
      <c r="A3487" t="inlineStr">
        <is>
          <t>Date 日期</t>
        </is>
      </c>
      <c r="B3487" s="5">
        <f>IF('Daily Sale entry '!$A251="","",'Daily Sale entry '!$A251)</f>
        <v/>
      </c>
      <c r="H3487" t="inlineStr">
        <is>
          <t>After 调整后 (After)</t>
        </is>
      </c>
      <c r="I3487" s="5">
        <f>IF($B3487="","",B3487)</f>
        <v/>
      </c>
    </row>
    <row r="3488">
      <c r="A3488" t="inlineStr">
        <is>
          <t>Cash Sales 现金销售</t>
        </is>
      </c>
      <c r="B3488" s="6">
        <f>IF($B3487="","",'Daily Sale entry '!B251)</f>
        <v/>
      </c>
      <c r="D3488" t="inlineStr">
        <is>
          <t>c/f petty cash 今日备用金结转</t>
        </is>
      </c>
      <c r="E3488" s="6">
        <f>IF($B3487="","",'Daily Sale entry '!G251)</f>
        <v/>
      </c>
      <c r="H3488" t="inlineStr">
        <is>
          <t>Cash Sales 现金销售</t>
        </is>
      </c>
      <c r="I3488" s="6">
        <f>IF($B3487="","",IF(AND(ABS(B3498)&gt;'Opening Balance'!$B$13,B3498&lt;0),ROUND(B3488-B3498,2),B3488))</f>
        <v/>
      </c>
      <c r="K3488" t="inlineStr">
        <is>
          <t>c/f petty cash 今日备用金结转</t>
        </is>
      </c>
      <c r="L3488" s="6">
        <f>IF($B3487="","",IF(ABS(B3498)&lt;='Opening Balance'!$B$13,ROUND(E3488+B3498,2),E3488))</f>
        <v/>
      </c>
    </row>
    <row r="3489">
      <c r="A3489" t="inlineStr">
        <is>
          <t>Misc Charges 杂项费用</t>
        </is>
      </c>
      <c r="B3489" s="6">
        <f>IF($B3487="","",'Daily Sale entry '!C251)</f>
        <v/>
      </c>
      <c r="D3489" t="inlineStr">
        <is>
          <t>cash collection 现金收款</t>
        </is>
      </c>
      <c r="E3489" s="6">
        <f>IF($B3487="","",'Daily Sale entry '!H251)</f>
        <v/>
      </c>
      <c r="H3489" t="inlineStr">
        <is>
          <t>Misc Charges 杂项费用</t>
        </is>
      </c>
      <c r="I3489" s="6">
        <f>IF($B3487="","",IF(AND(ABS(B3498)&gt;'Opening Balance'!$B$13,B3498&gt;0),ROUND(B3489+B3498,2),B3489))</f>
        <v/>
      </c>
      <c r="K3489" t="inlineStr">
        <is>
          <t>cash collection 现金收款</t>
        </is>
      </c>
      <c r="L3489" s="6">
        <f>IF($B3487="","",E3489)</f>
        <v/>
      </c>
    </row>
    <row r="3490">
      <c r="A3490" s="1" t="inlineStr">
        <is>
          <t>Other Charges 其他费用</t>
        </is>
      </c>
      <c r="B3490" s="9">
        <f>IF($B3487="","",'Daily Sale entry '!D251)</f>
        <v/>
      </c>
      <c r="D3490" s="1" t="inlineStr">
        <is>
          <t>Cheque Collection 支票收款</t>
        </is>
      </c>
      <c r="E3490" s="9">
        <f>IF($B3487="","",'Daily Sale entry '!J251)</f>
        <v/>
      </c>
      <c r="H3490" s="1" t="inlineStr">
        <is>
          <t>Other Charges 其他费用</t>
        </is>
      </c>
      <c r="I3490" s="9">
        <f>IF($B3487="","",B3490)</f>
        <v/>
      </c>
      <c r="K3490" s="1" t="inlineStr">
        <is>
          <t>Cheque Collection 支票收款</t>
        </is>
      </c>
      <c r="L3490" s="9">
        <f>IF($B3487="","",E3490)</f>
        <v/>
      </c>
    </row>
    <row r="3491">
      <c r="A3491" s="10" t="inlineStr">
        <is>
          <t>Amount 金额  (Cash Sales - Misc - Other)</t>
        </is>
      </c>
      <c r="B3491" s="11">
        <f>IF($B3487="","",ROUND(B3488-B3489-B3490,2))</f>
        <v/>
      </c>
      <c r="D3491" s="12" t="inlineStr">
        <is>
          <t>TNG collection TNG收款</t>
        </is>
      </c>
      <c r="E3491" s="13">
        <f>IF($B3487="","",'Daily Sale entry '!K251)</f>
        <v/>
      </c>
      <c r="H3491" s="10" t="inlineStr">
        <is>
          <t>Amount 金额  (Cash Sales - Misc - Other)</t>
        </is>
      </c>
      <c r="I3491" s="11">
        <f>IF($B3487="","",ROUND(I3488-I3489-I3490,2))</f>
        <v/>
      </c>
      <c r="K3491" s="12" t="inlineStr">
        <is>
          <t>TNG collection TNG收款</t>
        </is>
      </c>
      <c r="L3491" s="13">
        <f>IF($B3487="","",E3491)</f>
        <v/>
      </c>
    </row>
    <row r="3492">
      <c r="A3492" t="inlineStr">
        <is>
          <t>Credit Collection 赊账收款</t>
        </is>
      </c>
      <c r="B3492" s="6">
        <f>IF($B3487="","",'Daily Sale entry '!E251)</f>
        <v/>
      </c>
      <c r="D3492" t="inlineStr">
        <is>
          <t>Advance Salary_M 预支薪水_M</t>
        </is>
      </c>
      <c r="E3492" s="6">
        <f>IF($B3487="","",'Daily Sale entry '!L251)</f>
        <v/>
      </c>
      <c r="H3492" t="inlineStr">
        <is>
          <t>Credit Collection 赊账收款</t>
        </is>
      </c>
      <c r="I3492" s="6">
        <f>IF($B3487="","",B3492)</f>
        <v/>
      </c>
      <c r="K3492" t="inlineStr">
        <is>
          <t>Advance Salary_M 预支薪水_M</t>
        </is>
      </c>
      <c r="L3492" s="6">
        <f>IF($B3487="","",E3492)</f>
        <v/>
      </c>
    </row>
    <row r="3493">
      <c r="A3493" s="10" t="inlineStr">
        <is>
          <t>Amount 2 金额2  (Amount + Credit Collection)</t>
        </is>
      </c>
      <c r="B3493" s="11">
        <f>IF($B3487="","",ROUND(B3491+B3492,2))</f>
        <v/>
      </c>
      <c r="D3493" t="inlineStr">
        <is>
          <t>Advance Salary_H 预支薪水_H</t>
        </is>
      </c>
      <c r="E3493" s="6">
        <f>IF($B3487="","",'Daily Sale entry '!M251)</f>
        <v/>
      </c>
      <c r="H3493" s="10" t="inlineStr">
        <is>
          <t>Amount 2 金额2  (Amount + Credit Collection)</t>
        </is>
      </c>
      <c r="I3493" s="11">
        <f>IF($B3487="","",ROUND(I3491+I3492,2))</f>
        <v/>
      </c>
      <c r="K3493" t="inlineStr">
        <is>
          <t>Advance Salary_H 预支薪水_H</t>
        </is>
      </c>
      <c r="L3493" s="6">
        <f>IF($B3487="","",E3493)</f>
        <v/>
      </c>
    </row>
    <row r="3494"/>
    <row r="3495">
      <c r="A3495" s="1" t="inlineStr">
        <is>
          <t>b/f petty cash 上日备用金结转</t>
        </is>
      </c>
      <c r="B3495" s="9">
        <f>IF($B3487="","",'Daily Sale entry '!F251)</f>
        <v/>
      </c>
      <c r="D3495" s="1" t="n"/>
      <c r="E3495" s="1" t="n"/>
      <c r="H3495" s="1" t="inlineStr">
        <is>
          <t>b/f petty cash 上日备用金结转</t>
        </is>
      </c>
      <c r="I3495" s="9">
        <f>IF($B3487="","",B3495)</f>
        <v/>
      </c>
      <c r="K3495" s="1" t="n"/>
      <c r="L3495" s="1" t="n"/>
    </row>
    <row r="3496">
      <c r="A3496" t="inlineStr">
        <is>
          <t>Total (A) 总计 (A)</t>
        </is>
      </c>
      <c r="B3496" s="6">
        <f>IF($B3487="","",ROUND(B3493+B3495,2))</f>
        <v/>
      </c>
      <c r="D3496" t="inlineStr">
        <is>
          <t>Total(B) 总计 (B)</t>
        </is>
      </c>
      <c r="E3496" s="6">
        <f>IF($B3487="","",ROUND(E3488+E3489+E3490+E3491+E3492+E3493,2))</f>
        <v/>
      </c>
      <c r="H3496" t="inlineStr">
        <is>
          <t>Total© 总计 (C)</t>
        </is>
      </c>
      <c r="I3496" s="6">
        <f>IF($B3487="","",ROUND(I3493+I3495,2))</f>
        <v/>
      </c>
      <c r="K3496" t="inlineStr">
        <is>
          <t>Total(D) 总计 (D)</t>
        </is>
      </c>
      <c r="L3496" s="6">
        <f>IF($B3487="","",ROUND(L3488+L3489+L3490+L3491+L3492+L3493,2))</f>
        <v/>
      </c>
    </row>
    <row r="3497">
      <c r="A3497" s="14" t="inlineStr">
        <is>
          <t>Total = Amount 2 + b/f petty cash  (金额2 + 上日备用金)</t>
        </is>
      </c>
      <c r="H3497" s="14" t="inlineStr">
        <is>
          <t>Total = Amount 2 + b/f petty cash  (金额2 + 上日备用金)</t>
        </is>
      </c>
    </row>
    <row r="3498">
      <c r="A3498" t="inlineStr">
        <is>
          <t>Different 差额</t>
        </is>
      </c>
      <c r="B3498" s="6">
        <f>IF($B3487="","",ROUND(B3496-E3496,2))</f>
        <v/>
      </c>
      <c r="D3498">
        <f>IF($B3487="","",IF(ABS(B3498)&gt;'Opening Balance'!$B$16,"ALERT 警报: Different over RM"&amp;'Opening Balance'!$B$16&amp;" 差额超过RM"&amp;'Opening Balance'!$B$16&amp;" - please check 请检查",IF(B3498=0,"Tied 平衡",IF(ABS(B3498)&lt;='Opening Balance'!$B$13,"Small difference 小额差额: adjusted on c/f petty cash 已调整备用金",IF(B3498&gt;0,"Short 短收: added to Misc Charges 已加入杂项费用","Over 多收: added to Cash Sales 已加入现金销售")))))</f>
        <v/>
      </c>
      <c r="H3498" t="inlineStr">
        <is>
          <t>Different 差额</t>
        </is>
      </c>
      <c r="I3498" s="6">
        <f>IF($B3487="","",ROUND(I3496-L3496,2))</f>
        <v/>
      </c>
    </row>
    <row r="3499"/>
    <row r="3500"/>
    <row r="3501">
      <c r="A3501" t="inlineStr">
        <is>
          <t>Date 日期</t>
        </is>
      </c>
      <c r="B3501" s="5">
        <f>IF('Daily Sale entry '!$A252="","",'Daily Sale entry '!$A252)</f>
        <v/>
      </c>
      <c r="H3501" t="inlineStr">
        <is>
          <t>After 调整后 (After)</t>
        </is>
      </c>
      <c r="I3501" s="5">
        <f>IF($B3501="","",B3501)</f>
        <v/>
      </c>
    </row>
    <row r="3502">
      <c r="A3502" t="inlineStr">
        <is>
          <t>Cash Sales 现金销售</t>
        </is>
      </c>
      <c r="B3502" s="6">
        <f>IF($B3501="","",'Daily Sale entry '!B252)</f>
        <v/>
      </c>
      <c r="D3502" t="inlineStr">
        <is>
          <t>c/f petty cash 今日备用金结转</t>
        </is>
      </c>
      <c r="E3502" s="6">
        <f>IF($B3501="","",'Daily Sale entry '!G252)</f>
        <v/>
      </c>
      <c r="H3502" t="inlineStr">
        <is>
          <t>Cash Sales 现金销售</t>
        </is>
      </c>
      <c r="I3502" s="6">
        <f>IF($B3501="","",IF(AND(ABS(B3512)&gt;'Opening Balance'!$B$13,B3512&lt;0),ROUND(B3502-B3512,2),B3502))</f>
        <v/>
      </c>
      <c r="K3502" t="inlineStr">
        <is>
          <t>c/f petty cash 今日备用金结转</t>
        </is>
      </c>
      <c r="L3502" s="6">
        <f>IF($B3501="","",IF(ABS(B3512)&lt;='Opening Balance'!$B$13,ROUND(E3502+B3512,2),E3502))</f>
        <v/>
      </c>
    </row>
    <row r="3503">
      <c r="A3503" t="inlineStr">
        <is>
          <t>Misc Charges 杂项费用</t>
        </is>
      </c>
      <c r="B3503" s="6">
        <f>IF($B3501="","",'Daily Sale entry '!C252)</f>
        <v/>
      </c>
      <c r="D3503" t="inlineStr">
        <is>
          <t>cash collection 现金收款</t>
        </is>
      </c>
      <c r="E3503" s="6">
        <f>IF($B3501="","",'Daily Sale entry '!H252)</f>
        <v/>
      </c>
      <c r="H3503" t="inlineStr">
        <is>
          <t>Misc Charges 杂项费用</t>
        </is>
      </c>
      <c r="I3503" s="6">
        <f>IF($B3501="","",IF(AND(ABS(B3512)&gt;'Opening Balance'!$B$13,B3512&gt;0),ROUND(B3503+B3512,2),B3503))</f>
        <v/>
      </c>
      <c r="K3503" t="inlineStr">
        <is>
          <t>cash collection 现金收款</t>
        </is>
      </c>
      <c r="L3503" s="6">
        <f>IF($B3501="","",E3503)</f>
        <v/>
      </c>
    </row>
    <row r="3504">
      <c r="A3504" s="1" t="inlineStr">
        <is>
          <t>Other Charges 其他费用</t>
        </is>
      </c>
      <c r="B3504" s="9">
        <f>IF($B3501="","",'Daily Sale entry '!D252)</f>
        <v/>
      </c>
      <c r="D3504" s="1" t="inlineStr">
        <is>
          <t>Cheque Collection 支票收款</t>
        </is>
      </c>
      <c r="E3504" s="9">
        <f>IF($B3501="","",'Daily Sale entry '!J252)</f>
        <v/>
      </c>
      <c r="H3504" s="1" t="inlineStr">
        <is>
          <t>Other Charges 其他费用</t>
        </is>
      </c>
      <c r="I3504" s="9">
        <f>IF($B3501="","",B3504)</f>
        <v/>
      </c>
      <c r="K3504" s="1" t="inlineStr">
        <is>
          <t>Cheque Collection 支票收款</t>
        </is>
      </c>
      <c r="L3504" s="9">
        <f>IF($B3501="","",E3504)</f>
        <v/>
      </c>
    </row>
    <row r="3505">
      <c r="A3505" s="10" t="inlineStr">
        <is>
          <t>Amount 金额  (Cash Sales - Misc - Other)</t>
        </is>
      </c>
      <c r="B3505" s="11">
        <f>IF($B3501="","",ROUND(B3502-B3503-B3504,2))</f>
        <v/>
      </c>
      <c r="D3505" s="12" t="inlineStr">
        <is>
          <t>TNG collection TNG收款</t>
        </is>
      </c>
      <c r="E3505" s="13">
        <f>IF($B3501="","",'Daily Sale entry '!K252)</f>
        <v/>
      </c>
      <c r="H3505" s="10" t="inlineStr">
        <is>
          <t>Amount 金额  (Cash Sales - Misc - Other)</t>
        </is>
      </c>
      <c r="I3505" s="11">
        <f>IF($B3501="","",ROUND(I3502-I3503-I3504,2))</f>
        <v/>
      </c>
      <c r="K3505" s="12" t="inlineStr">
        <is>
          <t>TNG collection TNG收款</t>
        </is>
      </c>
      <c r="L3505" s="13">
        <f>IF($B3501="","",E3505)</f>
        <v/>
      </c>
    </row>
    <row r="3506">
      <c r="A3506" t="inlineStr">
        <is>
          <t>Credit Collection 赊账收款</t>
        </is>
      </c>
      <c r="B3506" s="6">
        <f>IF($B3501="","",'Daily Sale entry '!E252)</f>
        <v/>
      </c>
      <c r="D3506" t="inlineStr">
        <is>
          <t>Advance Salary_M 预支薪水_M</t>
        </is>
      </c>
      <c r="E3506" s="6">
        <f>IF($B3501="","",'Daily Sale entry '!L252)</f>
        <v/>
      </c>
      <c r="H3506" t="inlineStr">
        <is>
          <t>Credit Collection 赊账收款</t>
        </is>
      </c>
      <c r="I3506" s="6">
        <f>IF($B3501="","",B3506)</f>
        <v/>
      </c>
      <c r="K3506" t="inlineStr">
        <is>
          <t>Advance Salary_M 预支薪水_M</t>
        </is>
      </c>
      <c r="L3506" s="6">
        <f>IF($B3501="","",E3506)</f>
        <v/>
      </c>
    </row>
    <row r="3507">
      <c r="A3507" s="10" t="inlineStr">
        <is>
          <t>Amount 2 金额2  (Amount + Credit Collection)</t>
        </is>
      </c>
      <c r="B3507" s="11">
        <f>IF($B3501="","",ROUND(B3505+B3506,2))</f>
        <v/>
      </c>
      <c r="D3507" t="inlineStr">
        <is>
          <t>Advance Salary_H 预支薪水_H</t>
        </is>
      </c>
      <c r="E3507" s="6">
        <f>IF($B3501="","",'Daily Sale entry '!M252)</f>
        <v/>
      </c>
      <c r="H3507" s="10" t="inlineStr">
        <is>
          <t>Amount 2 金额2  (Amount + Credit Collection)</t>
        </is>
      </c>
      <c r="I3507" s="11">
        <f>IF($B3501="","",ROUND(I3505+I3506,2))</f>
        <v/>
      </c>
      <c r="K3507" t="inlineStr">
        <is>
          <t>Advance Salary_H 预支薪水_H</t>
        </is>
      </c>
      <c r="L3507" s="6">
        <f>IF($B3501="","",E3507)</f>
        <v/>
      </c>
    </row>
    <row r="3508"/>
    <row r="3509">
      <c r="A3509" s="1" t="inlineStr">
        <is>
          <t>b/f petty cash 上日备用金结转</t>
        </is>
      </c>
      <c r="B3509" s="9">
        <f>IF($B3501="","",'Daily Sale entry '!F252)</f>
        <v/>
      </c>
      <c r="D3509" s="1" t="n"/>
      <c r="E3509" s="1" t="n"/>
      <c r="H3509" s="1" t="inlineStr">
        <is>
          <t>b/f petty cash 上日备用金结转</t>
        </is>
      </c>
      <c r="I3509" s="9">
        <f>IF($B3501="","",B3509)</f>
        <v/>
      </c>
      <c r="K3509" s="1" t="n"/>
      <c r="L3509" s="1" t="n"/>
    </row>
    <row r="3510">
      <c r="A3510" t="inlineStr">
        <is>
          <t>Total (A) 总计 (A)</t>
        </is>
      </c>
      <c r="B3510" s="6">
        <f>IF($B3501="","",ROUND(B3507+B3509,2))</f>
        <v/>
      </c>
      <c r="D3510" t="inlineStr">
        <is>
          <t>Total(B) 总计 (B)</t>
        </is>
      </c>
      <c r="E3510" s="6">
        <f>IF($B3501="","",ROUND(E3502+E3503+E3504+E3505+E3506+E3507,2))</f>
        <v/>
      </c>
      <c r="H3510" t="inlineStr">
        <is>
          <t>Total© 总计 (C)</t>
        </is>
      </c>
      <c r="I3510" s="6">
        <f>IF($B3501="","",ROUND(I3507+I3509,2))</f>
        <v/>
      </c>
      <c r="K3510" t="inlineStr">
        <is>
          <t>Total(D) 总计 (D)</t>
        </is>
      </c>
      <c r="L3510" s="6">
        <f>IF($B3501="","",ROUND(L3502+L3503+L3504+L3505+L3506+L3507,2))</f>
        <v/>
      </c>
    </row>
    <row r="3511">
      <c r="A3511" s="14" t="inlineStr">
        <is>
          <t>Total = Amount 2 + b/f petty cash  (金额2 + 上日备用金)</t>
        </is>
      </c>
      <c r="H3511" s="14" t="inlineStr">
        <is>
          <t>Total = Amount 2 + b/f petty cash  (金额2 + 上日备用金)</t>
        </is>
      </c>
    </row>
    <row r="3512">
      <c r="A3512" t="inlineStr">
        <is>
          <t>Different 差额</t>
        </is>
      </c>
      <c r="B3512" s="6">
        <f>IF($B3501="","",ROUND(B3510-E3510,2))</f>
        <v/>
      </c>
      <c r="D3512">
        <f>IF($B3501="","",IF(ABS(B3512)&gt;'Opening Balance'!$B$16,"ALERT 警报: Different over RM"&amp;'Opening Balance'!$B$16&amp;" 差额超过RM"&amp;'Opening Balance'!$B$16&amp;" - please check 请检查",IF(B3512=0,"Tied 平衡",IF(ABS(B3512)&lt;='Opening Balance'!$B$13,"Small difference 小额差额: adjusted on c/f petty cash 已调整备用金",IF(B3512&gt;0,"Short 短收: added to Misc Charges 已加入杂项费用","Over 多收: added to Cash Sales 已加入现金销售")))))</f>
        <v/>
      </c>
      <c r="H3512" t="inlineStr">
        <is>
          <t>Different 差额</t>
        </is>
      </c>
      <c r="I3512" s="6">
        <f>IF($B3501="","",ROUND(I3510-L3510,2))</f>
        <v/>
      </c>
    </row>
    <row r="3513"/>
    <row r="3514"/>
    <row r="3515">
      <c r="A3515" t="inlineStr">
        <is>
          <t>Date 日期</t>
        </is>
      </c>
      <c r="B3515" s="5">
        <f>IF('Daily Sale entry '!$A253="","",'Daily Sale entry '!$A253)</f>
        <v/>
      </c>
      <c r="H3515" t="inlineStr">
        <is>
          <t>After 调整后 (After)</t>
        </is>
      </c>
      <c r="I3515" s="5">
        <f>IF($B3515="","",B3515)</f>
        <v/>
      </c>
    </row>
    <row r="3516">
      <c r="A3516" t="inlineStr">
        <is>
          <t>Cash Sales 现金销售</t>
        </is>
      </c>
      <c r="B3516" s="6">
        <f>IF($B3515="","",'Daily Sale entry '!B253)</f>
        <v/>
      </c>
      <c r="D3516" t="inlineStr">
        <is>
          <t>c/f petty cash 今日备用金结转</t>
        </is>
      </c>
      <c r="E3516" s="6">
        <f>IF($B3515="","",'Daily Sale entry '!G253)</f>
        <v/>
      </c>
      <c r="H3516" t="inlineStr">
        <is>
          <t>Cash Sales 现金销售</t>
        </is>
      </c>
      <c r="I3516" s="6">
        <f>IF($B3515="","",IF(AND(ABS(B3526)&gt;'Opening Balance'!$B$13,B3526&lt;0),ROUND(B3516-B3526,2),B3516))</f>
        <v/>
      </c>
      <c r="K3516" t="inlineStr">
        <is>
          <t>c/f petty cash 今日备用金结转</t>
        </is>
      </c>
      <c r="L3516" s="6">
        <f>IF($B3515="","",IF(ABS(B3526)&lt;='Opening Balance'!$B$13,ROUND(E3516+B3526,2),E3516))</f>
        <v/>
      </c>
    </row>
    <row r="3517">
      <c r="A3517" t="inlineStr">
        <is>
          <t>Misc Charges 杂项费用</t>
        </is>
      </c>
      <c r="B3517" s="6">
        <f>IF($B3515="","",'Daily Sale entry '!C253)</f>
        <v/>
      </c>
      <c r="D3517" t="inlineStr">
        <is>
          <t>cash collection 现金收款</t>
        </is>
      </c>
      <c r="E3517" s="6">
        <f>IF($B3515="","",'Daily Sale entry '!H253)</f>
        <v/>
      </c>
      <c r="H3517" t="inlineStr">
        <is>
          <t>Misc Charges 杂项费用</t>
        </is>
      </c>
      <c r="I3517" s="6">
        <f>IF($B3515="","",IF(AND(ABS(B3526)&gt;'Opening Balance'!$B$13,B3526&gt;0),ROUND(B3517+B3526,2),B3517))</f>
        <v/>
      </c>
      <c r="K3517" t="inlineStr">
        <is>
          <t>cash collection 现金收款</t>
        </is>
      </c>
      <c r="L3517" s="6">
        <f>IF($B3515="","",E3517)</f>
        <v/>
      </c>
    </row>
    <row r="3518">
      <c r="A3518" s="1" t="inlineStr">
        <is>
          <t>Other Charges 其他费用</t>
        </is>
      </c>
      <c r="B3518" s="9">
        <f>IF($B3515="","",'Daily Sale entry '!D253)</f>
        <v/>
      </c>
      <c r="D3518" s="1" t="inlineStr">
        <is>
          <t>Cheque Collection 支票收款</t>
        </is>
      </c>
      <c r="E3518" s="9">
        <f>IF($B3515="","",'Daily Sale entry '!J253)</f>
        <v/>
      </c>
      <c r="H3518" s="1" t="inlineStr">
        <is>
          <t>Other Charges 其他费用</t>
        </is>
      </c>
      <c r="I3518" s="9">
        <f>IF($B3515="","",B3518)</f>
        <v/>
      </c>
      <c r="K3518" s="1" t="inlineStr">
        <is>
          <t>Cheque Collection 支票收款</t>
        </is>
      </c>
      <c r="L3518" s="9">
        <f>IF($B3515="","",E3518)</f>
        <v/>
      </c>
    </row>
    <row r="3519">
      <c r="A3519" s="10" t="inlineStr">
        <is>
          <t>Amount 金额  (Cash Sales - Misc - Other)</t>
        </is>
      </c>
      <c r="B3519" s="11">
        <f>IF($B3515="","",ROUND(B3516-B3517-B3518,2))</f>
        <v/>
      </c>
      <c r="D3519" s="12" t="inlineStr">
        <is>
          <t>TNG collection TNG收款</t>
        </is>
      </c>
      <c r="E3519" s="13">
        <f>IF($B3515="","",'Daily Sale entry '!K253)</f>
        <v/>
      </c>
      <c r="H3519" s="10" t="inlineStr">
        <is>
          <t>Amount 金额  (Cash Sales - Misc - Other)</t>
        </is>
      </c>
      <c r="I3519" s="11">
        <f>IF($B3515="","",ROUND(I3516-I3517-I3518,2))</f>
        <v/>
      </c>
      <c r="K3519" s="12" t="inlineStr">
        <is>
          <t>TNG collection TNG收款</t>
        </is>
      </c>
      <c r="L3519" s="13">
        <f>IF($B3515="","",E3519)</f>
        <v/>
      </c>
    </row>
    <row r="3520">
      <c r="A3520" t="inlineStr">
        <is>
          <t>Credit Collection 赊账收款</t>
        </is>
      </c>
      <c r="B3520" s="6">
        <f>IF($B3515="","",'Daily Sale entry '!E253)</f>
        <v/>
      </c>
      <c r="D3520" t="inlineStr">
        <is>
          <t>Advance Salary_M 预支薪水_M</t>
        </is>
      </c>
      <c r="E3520" s="6">
        <f>IF($B3515="","",'Daily Sale entry '!L253)</f>
        <v/>
      </c>
      <c r="H3520" t="inlineStr">
        <is>
          <t>Credit Collection 赊账收款</t>
        </is>
      </c>
      <c r="I3520" s="6">
        <f>IF($B3515="","",B3520)</f>
        <v/>
      </c>
      <c r="K3520" t="inlineStr">
        <is>
          <t>Advance Salary_M 预支薪水_M</t>
        </is>
      </c>
      <c r="L3520" s="6">
        <f>IF($B3515="","",E3520)</f>
        <v/>
      </c>
    </row>
    <row r="3521">
      <c r="A3521" s="10" t="inlineStr">
        <is>
          <t>Amount 2 金额2  (Amount + Credit Collection)</t>
        </is>
      </c>
      <c r="B3521" s="11">
        <f>IF($B3515="","",ROUND(B3519+B3520,2))</f>
        <v/>
      </c>
      <c r="D3521" t="inlineStr">
        <is>
          <t>Advance Salary_H 预支薪水_H</t>
        </is>
      </c>
      <c r="E3521" s="6">
        <f>IF($B3515="","",'Daily Sale entry '!M253)</f>
        <v/>
      </c>
      <c r="H3521" s="10" t="inlineStr">
        <is>
          <t>Amount 2 金额2  (Amount + Credit Collection)</t>
        </is>
      </c>
      <c r="I3521" s="11">
        <f>IF($B3515="","",ROUND(I3519+I3520,2))</f>
        <v/>
      </c>
      <c r="K3521" t="inlineStr">
        <is>
          <t>Advance Salary_H 预支薪水_H</t>
        </is>
      </c>
      <c r="L3521" s="6">
        <f>IF($B3515="","",E3521)</f>
        <v/>
      </c>
    </row>
    <row r="3522"/>
    <row r="3523">
      <c r="A3523" s="1" t="inlineStr">
        <is>
          <t>b/f petty cash 上日备用金结转</t>
        </is>
      </c>
      <c r="B3523" s="9">
        <f>IF($B3515="","",'Daily Sale entry '!F253)</f>
        <v/>
      </c>
      <c r="D3523" s="1" t="n"/>
      <c r="E3523" s="1" t="n"/>
      <c r="H3523" s="1" t="inlineStr">
        <is>
          <t>b/f petty cash 上日备用金结转</t>
        </is>
      </c>
      <c r="I3523" s="9">
        <f>IF($B3515="","",B3523)</f>
        <v/>
      </c>
      <c r="K3523" s="1" t="n"/>
      <c r="L3523" s="1" t="n"/>
    </row>
    <row r="3524">
      <c r="A3524" t="inlineStr">
        <is>
          <t>Total (A) 总计 (A)</t>
        </is>
      </c>
      <c r="B3524" s="6">
        <f>IF($B3515="","",ROUND(B3521+B3523,2))</f>
        <v/>
      </c>
      <c r="D3524" t="inlineStr">
        <is>
          <t>Total(B) 总计 (B)</t>
        </is>
      </c>
      <c r="E3524" s="6">
        <f>IF($B3515="","",ROUND(E3516+E3517+E3518+E3519+E3520+E3521,2))</f>
        <v/>
      </c>
      <c r="H3524" t="inlineStr">
        <is>
          <t>Total© 总计 (C)</t>
        </is>
      </c>
      <c r="I3524" s="6">
        <f>IF($B3515="","",ROUND(I3521+I3523,2))</f>
        <v/>
      </c>
      <c r="K3524" t="inlineStr">
        <is>
          <t>Total(D) 总计 (D)</t>
        </is>
      </c>
      <c r="L3524" s="6">
        <f>IF($B3515="","",ROUND(L3516+L3517+L3518+L3519+L3520+L3521,2))</f>
        <v/>
      </c>
    </row>
    <row r="3525">
      <c r="A3525" s="14" t="inlineStr">
        <is>
          <t>Total = Amount 2 + b/f petty cash  (金额2 + 上日备用金)</t>
        </is>
      </c>
      <c r="H3525" s="14" t="inlineStr">
        <is>
          <t>Total = Amount 2 + b/f petty cash  (金额2 + 上日备用金)</t>
        </is>
      </c>
    </row>
    <row r="3526">
      <c r="A3526" t="inlineStr">
        <is>
          <t>Different 差额</t>
        </is>
      </c>
      <c r="B3526" s="6">
        <f>IF($B3515="","",ROUND(B3524-E3524,2))</f>
        <v/>
      </c>
      <c r="D3526">
        <f>IF($B3515="","",IF(ABS(B3526)&gt;'Opening Balance'!$B$16,"ALERT 警报: Different over RM"&amp;'Opening Balance'!$B$16&amp;" 差额超过RM"&amp;'Opening Balance'!$B$16&amp;" - please check 请检查",IF(B3526=0,"Tied 平衡",IF(ABS(B3526)&lt;='Opening Balance'!$B$13,"Small difference 小额差额: adjusted on c/f petty cash 已调整备用金",IF(B3526&gt;0,"Short 短收: added to Misc Charges 已加入杂项费用","Over 多收: added to Cash Sales 已加入现金销售")))))</f>
        <v/>
      </c>
      <c r="H3526" t="inlineStr">
        <is>
          <t>Different 差额</t>
        </is>
      </c>
      <c r="I3526" s="6">
        <f>IF($B3515="","",ROUND(I3524-L3524,2))</f>
        <v/>
      </c>
    </row>
    <row r="3527"/>
    <row r="3528"/>
    <row r="3529">
      <c r="A3529" t="inlineStr">
        <is>
          <t>Date 日期</t>
        </is>
      </c>
      <c r="B3529" s="5">
        <f>IF('Daily Sale entry '!$A254="","",'Daily Sale entry '!$A254)</f>
        <v/>
      </c>
      <c r="H3529" t="inlineStr">
        <is>
          <t>After 调整后 (After)</t>
        </is>
      </c>
      <c r="I3529" s="5">
        <f>IF($B3529="","",B3529)</f>
        <v/>
      </c>
    </row>
    <row r="3530">
      <c r="A3530" t="inlineStr">
        <is>
          <t>Cash Sales 现金销售</t>
        </is>
      </c>
      <c r="B3530" s="6">
        <f>IF($B3529="","",'Daily Sale entry '!B254)</f>
        <v/>
      </c>
      <c r="D3530" t="inlineStr">
        <is>
          <t>c/f petty cash 今日备用金结转</t>
        </is>
      </c>
      <c r="E3530" s="6">
        <f>IF($B3529="","",'Daily Sale entry '!G254)</f>
        <v/>
      </c>
      <c r="H3530" t="inlineStr">
        <is>
          <t>Cash Sales 现金销售</t>
        </is>
      </c>
      <c r="I3530" s="6">
        <f>IF($B3529="","",IF(AND(ABS(B3540)&gt;'Opening Balance'!$B$13,B3540&lt;0),ROUND(B3530-B3540,2),B3530))</f>
        <v/>
      </c>
      <c r="K3530" t="inlineStr">
        <is>
          <t>c/f petty cash 今日备用金结转</t>
        </is>
      </c>
      <c r="L3530" s="6">
        <f>IF($B3529="","",IF(ABS(B3540)&lt;='Opening Balance'!$B$13,ROUND(E3530+B3540,2),E3530))</f>
        <v/>
      </c>
    </row>
    <row r="3531">
      <c r="A3531" t="inlineStr">
        <is>
          <t>Misc Charges 杂项费用</t>
        </is>
      </c>
      <c r="B3531" s="6">
        <f>IF($B3529="","",'Daily Sale entry '!C254)</f>
        <v/>
      </c>
      <c r="D3531" t="inlineStr">
        <is>
          <t>cash collection 现金收款</t>
        </is>
      </c>
      <c r="E3531" s="6">
        <f>IF($B3529="","",'Daily Sale entry '!H254)</f>
        <v/>
      </c>
      <c r="H3531" t="inlineStr">
        <is>
          <t>Misc Charges 杂项费用</t>
        </is>
      </c>
      <c r="I3531" s="6">
        <f>IF($B3529="","",IF(AND(ABS(B3540)&gt;'Opening Balance'!$B$13,B3540&gt;0),ROUND(B3531+B3540,2),B3531))</f>
        <v/>
      </c>
      <c r="K3531" t="inlineStr">
        <is>
          <t>cash collection 现金收款</t>
        </is>
      </c>
      <c r="L3531" s="6">
        <f>IF($B3529="","",E3531)</f>
        <v/>
      </c>
    </row>
    <row r="3532">
      <c r="A3532" s="1" t="inlineStr">
        <is>
          <t>Other Charges 其他费用</t>
        </is>
      </c>
      <c r="B3532" s="9">
        <f>IF($B3529="","",'Daily Sale entry '!D254)</f>
        <v/>
      </c>
      <c r="D3532" s="1" t="inlineStr">
        <is>
          <t>Cheque Collection 支票收款</t>
        </is>
      </c>
      <c r="E3532" s="9">
        <f>IF($B3529="","",'Daily Sale entry '!J254)</f>
        <v/>
      </c>
      <c r="H3532" s="1" t="inlineStr">
        <is>
          <t>Other Charges 其他费用</t>
        </is>
      </c>
      <c r="I3532" s="9">
        <f>IF($B3529="","",B3532)</f>
        <v/>
      </c>
      <c r="K3532" s="1" t="inlineStr">
        <is>
          <t>Cheque Collection 支票收款</t>
        </is>
      </c>
      <c r="L3532" s="9">
        <f>IF($B3529="","",E3532)</f>
        <v/>
      </c>
    </row>
    <row r="3533">
      <c r="A3533" s="10" t="inlineStr">
        <is>
          <t>Amount 金额  (Cash Sales - Misc - Other)</t>
        </is>
      </c>
      <c r="B3533" s="11">
        <f>IF($B3529="","",ROUND(B3530-B3531-B3532,2))</f>
        <v/>
      </c>
      <c r="D3533" s="12" t="inlineStr">
        <is>
          <t>TNG collection TNG收款</t>
        </is>
      </c>
      <c r="E3533" s="13">
        <f>IF($B3529="","",'Daily Sale entry '!K254)</f>
        <v/>
      </c>
      <c r="H3533" s="10" t="inlineStr">
        <is>
          <t>Amount 金额  (Cash Sales - Misc - Other)</t>
        </is>
      </c>
      <c r="I3533" s="11">
        <f>IF($B3529="","",ROUND(I3530-I3531-I3532,2))</f>
        <v/>
      </c>
      <c r="K3533" s="12" t="inlineStr">
        <is>
          <t>TNG collection TNG收款</t>
        </is>
      </c>
      <c r="L3533" s="13">
        <f>IF($B3529="","",E3533)</f>
        <v/>
      </c>
    </row>
    <row r="3534">
      <c r="A3534" t="inlineStr">
        <is>
          <t>Credit Collection 赊账收款</t>
        </is>
      </c>
      <c r="B3534" s="6">
        <f>IF($B3529="","",'Daily Sale entry '!E254)</f>
        <v/>
      </c>
      <c r="D3534" t="inlineStr">
        <is>
          <t>Advance Salary_M 预支薪水_M</t>
        </is>
      </c>
      <c r="E3534" s="6">
        <f>IF($B3529="","",'Daily Sale entry '!L254)</f>
        <v/>
      </c>
      <c r="H3534" t="inlineStr">
        <is>
          <t>Credit Collection 赊账收款</t>
        </is>
      </c>
      <c r="I3534" s="6">
        <f>IF($B3529="","",B3534)</f>
        <v/>
      </c>
      <c r="K3534" t="inlineStr">
        <is>
          <t>Advance Salary_M 预支薪水_M</t>
        </is>
      </c>
      <c r="L3534" s="6">
        <f>IF($B3529="","",E3534)</f>
        <v/>
      </c>
    </row>
    <row r="3535">
      <c r="A3535" s="10" t="inlineStr">
        <is>
          <t>Amount 2 金额2  (Amount + Credit Collection)</t>
        </is>
      </c>
      <c r="B3535" s="11">
        <f>IF($B3529="","",ROUND(B3533+B3534,2))</f>
        <v/>
      </c>
      <c r="D3535" t="inlineStr">
        <is>
          <t>Advance Salary_H 预支薪水_H</t>
        </is>
      </c>
      <c r="E3535" s="6">
        <f>IF($B3529="","",'Daily Sale entry '!M254)</f>
        <v/>
      </c>
      <c r="H3535" s="10" t="inlineStr">
        <is>
          <t>Amount 2 金额2  (Amount + Credit Collection)</t>
        </is>
      </c>
      <c r="I3535" s="11">
        <f>IF($B3529="","",ROUND(I3533+I3534,2))</f>
        <v/>
      </c>
      <c r="K3535" t="inlineStr">
        <is>
          <t>Advance Salary_H 预支薪水_H</t>
        </is>
      </c>
      <c r="L3535" s="6">
        <f>IF($B3529="","",E3535)</f>
        <v/>
      </c>
    </row>
    <row r="3536"/>
    <row r="3537">
      <c r="A3537" s="1" t="inlineStr">
        <is>
          <t>b/f petty cash 上日备用金结转</t>
        </is>
      </c>
      <c r="B3537" s="9">
        <f>IF($B3529="","",'Daily Sale entry '!F254)</f>
        <v/>
      </c>
      <c r="D3537" s="1" t="n"/>
      <c r="E3537" s="1" t="n"/>
      <c r="H3537" s="1" t="inlineStr">
        <is>
          <t>b/f petty cash 上日备用金结转</t>
        </is>
      </c>
      <c r="I3537" s="9">
        <f>IF($B3529="","",B3537)</f>
        <v/>
      </c>
      <c r="K3537" s="1" t="n"/>
      <c r="L3537" s="1" t="n"/>
    </row>
    <row r="3538">
      <c r="A3538" t="inlineStr">
        <is>
          <t>Total (A) 总计 (A)</t>
        </is>
      </c>
      <c r="B3538" s="6">
        <f>IF($B3529="","",ROUND(B3535+B3537,2))</f>
        <v/>
      </c>
      <c r="D3538" t="inlineStr">
        <is>
          <t>Total(B) 总计 (B)</t>
        </is>
      </c>
      <c r="E3538" s="6">
        <f>IF($B3529="","",ROUND(E3530+E3531+E3532+E3533+E3534+E3535,2))</f>
        <v/>
      </c>
      <c r="H3538" t="inlineStr">
        <is>
          <t>Total© 总计 (C)</t>
        </is>
      </c>
      <c r="I3538" s="6">
        <f>IF($B3529="","",ROUND(I3535+I3537,2))</f>
        <v/>
      </c>
      <c r="K3538" t="inlineStr">
        <is>
          <t>Total(D) 总计 (D)</t>
        </is>
      </c>
      <c r="L3538" s="6">
        <f>IF($B3529="","",ROUND(L3530+L3531+L3532+L3533+L3534+L3535,2))</f>
        <v/>
      </c>
    </row>
    <row r="3539">
      <c r="A3539" s="14" t="inlineStr">
        <is>
          <t>Total = Amount 2 + b/f petty cash  (金额2 + 上日备用金)</t>
        </is>
      </c>
      <c r="H3539" s="14" t="inlineStr">
        <is>
          <t>Total = Amount 2 + b/f petty cash  (金额2 + 上日备用金)</t>
        </is>
      </c>
    </row>
    <row r="3540">
      <c r="A3540" t="inlineStr">
        <is>
          <t>Different 差额</t>
        </is>
      </c>
      <c r="B3540" s="6">
        <f>IF($B3529="","",ROUND(B3538-E3538,2))</f>
        <v/>
      </c>
      <c r="D3540">
        <f>IF($B3529="","",IF(ABS(B3540)&gt;'Opening Balance'!$B$16,"ALERT 警报: Different over RM"&amp;'Opening Balance'!$B$16&amp;" 差额超过RM"&amp;'Opening Balance'!$B$16&amp;" - please check 请检查",IF(B3540=0,"Tied 平衡",IF(ABS(B3540)&lt;='Opening Balance'!$B$13,"Small difference 小额差额: adjusted on c/f petty cash 已调整备用金",IF(B3540&gt;0,"Short 短收: added to Misc Charges 已加入杂项费用","Over 多收: added to Cash Sales 已加入现金销售")))))</f>
        <v/>
      </c>
      <c r="H3540" t="inlineStr">
        <is>
          <t>Different 差额</t>
        </is>
      </c>
      <c r="I3540" s="6">
        <f>IF($B3529="","",ROUND(I3538-L3538,2))</f>
        <v/>
      </c>
    </row>
    <row r="3541"/>
    <row r="3542"/>
    <row r="3543">
      <c r="A3543" t="inlineStr">
        <is>
          <t>Date 日期</t>
        </is>
      </c>
      <c r="B3543" s="5">
        <f>IF('Daily Sale entry '!$A255="","",'Daily Sale entry '!$A255)</f>
        <v/>
      </c>
      <c r="H3543" t="inlineStr">
        <is>
          <t>After 调整后 (After)</t>
        </is>
      </c>
      <c r="I3543" s="5">
        <f>IF($B3543="","",B3543)</f>
        <v/>
      </c>
    </row>
    <row r="3544">
      <c r="A3544" t="inlineStr">
        <is>
          <t>Cash Sales 现金销售</t>
        </is>
      </c>
      <c r="B3544" s="6">
        <f>IF($B3543="","",'Daily Sale entry '!B255)</f>
        <v/>
      </c>
      <c r="D3544" t="inlineStr">
        <is>
          <t>c/f petty cash 今日备用金结转</t>
        </is>
      </c>
      <c r="E3544" s="6">
        <f>IF($B3543="","",'Daily Sale entry '!G255)</f>
        <v/>
      </c>
      <c r="H3544" t="inlineStr">
        <is>
          <t>Cash Sales 现金销售</t>
        </is>
      </c>
      <c r="I3544" s="6">
        <f>IF($B3543="","",IF(AND(ABS(B3554)&gt;'Opening Balance'!$B$13,B3554&lt;0),ROUND(B3544-B3554,2),B3544))</f>
        <v/>
      </c>
      <c r="K3544" t="inlineStr">
        <is>
          <t>c/f petty cash 今日备用金结转</t>
        </is>
      </c>
      <c r="L3544" s="6">
        <f>IF($B3543="","",IF(ABS(B3554)&lt;='Opening Balance'!$B$13,ROUND(E3544+B3554,2),E3544))</f>
        <v/>
      </c>
    </row>
    <row r="3545">
      <c r="A3545" t="inlineStr">
        <is>
          <t>Misc Charges 杂项费用</t>
        </is>
      </c>
      <c r="B3545" s="6">
        <f>IF($B3543="","",'Daily Sale entry '!C255)</f>
        <v/>
      </c>
      <c r="D3545" t="inlineStr">
        <is>
          <t>cash collection 现金收款</t>
        </is>
      </c>
      <c r="E3545" s="6">
        <f>IF($B3543="","",'Daily Sale entry '!H255)</f>
        <v/>
      </c>
      <c r="H3545" t="inlineStr">
        <is>
          <t>Misc Charges 杂项费用</t>
        </is>
      </c>
      <c r="I3545" s="6">
        <f>IF($B3543="","",IF(AND(ABS(B3554)&gt;'Opening Balance'!$B$13,B3554&gt;0),ROUND(B3545+B3554,2),B3545))</f>
        <v/>
      </c>
      <c r="K3545" t="inlineStr">
        <is>
          <t>cash collection 现金收款</t>
        </is>
      </c>
      <c r="L3545" s="6">
        <f>IF($B3543="","",E3545)</f>
        <v/>
      </c>
    </row>
    <row r="3546">
      <c r="A3546" s="1" t="inlineStr">
        <is>
          <t>Other Charges 其他费用</t>
        </is>
      </c>
      <c r="B3546" s="9">
        <f>IF($B3543="","",'Daily Sale entry '!D255)</f>
        <v/>
      </c>
      <c r="D3546" s="1" t="inlineStr">
        <is>
          <t>Cheque Collection 支票收款</t>
        </is>
      </c>
      <c r="E3546" s="9">
        <f>IF($B3543="","",'Daily Sale entry '!J255)</f>
        <v/>
      </c>
      <c r="H3546" s="1" t="inlineStr">
        <is>
          <t>Other Charges 其他费用</t>
        </is>
      </c>
      <c r="I3546" s="9">
        <f>IF($B3543="","",B3546)</f>
        <v/>
      </c>
      <c r="K3546" s="1" t="inlineStr">
        <is>
          <t>Cheque Collection 支票收款</t>
        </is>
      </c>
      <c r="L3546" s="9">
        <f>IF($B3543="","",E3546)</f>
        <v/>
      </c>
    </row>
    <row r="3547">
      <c r="A3547" s="10" t="inlineStr">
        <is>
          <t>Amount 金额  (Cash Sales - Misc - Other)</t>
        </is>
      </c>
      <c r="B3547" s="11">
        <f>IF($B3543="","",ROUND(B3544-B3545-B3546,2))</f>
        <v/>
      </c>
      <c r="D3547" s="12" t="inlineStr">
        <is>
          <t>TNG collection TNG收款</t>
        </is>
      </c>
      <c r="E3547" s="13">
        <f>IF($B3543="","",'Daily Sale entry '!K255)</f>
        <v/>
      </c>
      <c r="H3547" s="10" t="inlineStr">
        <is>
          <t>Amount 金额  (Cash Sales - Misc - Other)</t>
        </is>
      </c>
      <c r="I3547" s="11">
        <f>IF($B3543="","",ROUND(I3544-I3545-I3546,2))</f>
        <v/>
      </c>
      <c r="K3547" s="12" t="inlineStr">
        <is>
          <t>TNG collection TNG收款</t>
        </is>
      </c>
      <c r="L3547" s="13">
        <f>IF($B3543="","",E3547)</f>
        <v/>
      </c>
    </row>
    <row r="3548">
      <c r="A3548" t="inlineStr">
        <is>
          <t>Credit Collection 赊账收款</t>
        </is>
      </c>
      <c r="B3548" s="6">
        <f>IF($B3543="","",'Daily Sale entry '!E255)</f>
        <v/>
      </c>
      <c r="D3548" t="inlineStr">
        <is>
          <t>Advance Salary_M 预支薪水_M</t>
        </is>
      </c>
      <c r="E3548" s="6">
        <f>IF($B3543="","",'Daily Sale entry '!L255)</f>
        <v/>
      </c>
      <c r="H3548" t="inlineStr">
        <is>
          <t>Credit Collection 赊账收款</t>
        </is>
      </c>
      <c r="I3548" s="6">
        <f>IF($B3543="","",B3548)</f>
        <v/>
      </c>
      <c r="K3548" t="inlineStr">
        <is>
          <t>Advance Salary_M 预支薪水_M</t>
        </is>
      </c>
      <c r="L3548" s="6">
        <f>IF($B3543="","",E3548)</f>
        <v/>
      </c>
    </row>
    <row r="3549">
      <c r="A3549" s="10" t="inlineStr">
        <is>
          <t>Amount 2 金额2  (Amount + Credit Collection)</t>
        </is>
      </c>
      <c r="B3549" s="11">
        <f>IF($B3543="","",ROUND(B3547+B3548,2))</f>
        <v/>
      </c>
      <c r="D3549" t="inlineStr">
        <is>
          <t>Advance Salary_H 预支薪水_H</t>
        </is>
      </c>
      <c r="E3549" s="6">
        <f>IF($B3543="","",'Daily Sale entry '!M255)</f>
        <v/>
      </c>
      <c r="H3549" s="10" t="inlineStr">
        <is>
          <t>Amount 2 金额2  (Amount + Credit Collection)</t>
        </is>
      </c>
      <c r="I3549" s="11">
        <f>IF($B3543="","",ROUND(I3547+I3548,2))</f>
        <v/>
      </c>
      <c r="K3549" t="inlineStr">
        <is>
          <t>Advance Salary_H 预支薪水_H</t>
        </is>
      </c>
      <c r="L3549" s="6">
        <f>IF($B3543="","",E3549)</f>
        <v/>
      </c>
    </row>
    <row r="3550"/>
    <row r="3551">
      <c r="A3551" s="1" t="inlineStr">
        <is>
          <t>b/f petty cash 上日备用金结转</t>
        </is>
      </c>
      <c r="B3551" s="9">
        <f>IF($B3543="","",'Daily Sale entry '!F255)</f>
        <v/>
      </c>
      <c r="D3551" s="1" t="n"/>
      <c r="E3551" s="1" t="n"/>
      <c r="H3551" s="1" t="inlineStr">
        <is>
          <t>b/f petty cash 上日备用金结转</t>
        </is>
      </c>
      <c r="I3551" s="9">
        <f>IF($B3543="","",B3551)</f>
        <v/>
      </c>
      <c r="K3551" s="1" t="n"/>
      <c r="L3551" s="1" t="n"/>
    </row>
    <row r="3552">
      <c r="A3552" t="inlineStr">
        <is>
          <t>Total (A) 总计 (A)</t>
        </is>
      </c>
      <c r="B3552" s="6">
        <f>IF($B3543="","",ROUND(B3549+B3551,2))</f>
        <v/>
      </c>
      <c r="D3552" t="inlineStr">
        <is>
          <t>Total(B) 总计 (B)</t>
        </is>
      </c>
      <c r="E3552" s="6">
        <f>IF($B3543="","",ROUND(E3544+E3545+E3546+E3547+E3548+E3549,2))</f>
        <v/>
      </c>
      <c r="H3552" t="inlineStr">
        <is>
          <t>Total© 总计 (C)</t>
        </is>
      </c>
      <c r="I3552" s="6">
        <f>IF($B3543="","",ROUND(I3549+I3551,2))</f>
        <v/>
      </c>
      <c r="K3552" t="inlineStr">
        <is>
          <t>Total(D) 总计 (D)</t>
        </is>
      </c>
      <c r="L3552" s="6">
        <f>IF($B3543="","",ROUND(L3544+L3545+L3546+L3547+L3548+L3549,2))</f>
        <v/>
      </c>
    </row>
    <row r="3553">
      <c r="A3553" s="14" t="inlineStr">
        <is>
          <t>Total = Amount 2 + b/f petty cash  (金额2 + 上日备用金)</t>
        </is>
      </c>
      <c r="H3553" s="14" t="inlineStr">
        <is>
          <t>Total = Amount 2 + b/f petty cash  (金额2 + 上日备用金)</t>
        </is>
      </c>
    </row>
    <row r="3554">
      <c r="A3554" t="inlineStr">
        <is>
          <t>Different 差额</t>
        </is>
      </c>
      <c r="B3554" s="6">
        <f>IF($B3543="","",ROUND(B3552-E3552,2))</f>
        <v/>
      </c>
      <c r="D3554">
        <f>IF($B3543="","",IF(ABS(B3554)&gt;'Opening Balance'!$B$16,"ALERT 警报: Different over RM"&amp;'Opening Balance'!$B$16&amp;" 差额超过RM"&amp;'Opening Balance'!$B$16&amp;" - please check 请检查",IF(B3554=0,"Tied 平衡",IF(ABS(B3554)&lt;='Opening Balance'!$B$13,"Small difference 小额差额: adjusted on c/f petty cash 已调整备用金",IF(B3554&gt;0,"Short 短收: added to Misc Charges 已加入杂项费用","Over 多收: added to Cash Sales 已加入现金销售")))))</f>
        <v/>
      </c>
      <c r="H3554" t="inlineStr">
        <is>
          <t>Different 差额</t>
        </is>
      </c>
      <c r="I3554" s="6">
        <f>IF($B3543="","",ROUND(I3552-L3552,2))</f>
        <v/>
      </c>
    </row>
    <row r="3555"/>
    <row r="3556"/>
    <row r="3557">
      <c r="A3557" t="inlineStr">
        <is>
          <t>Date 日期</t>
        </is>
      </c>
      <c r="B3557" s="5">
        <f>IF('Daily Sale entry '!$A256="","",'Daily Sale entry '!$A256)</f>
        <v/>
      </c>
      <c r="H3557" t="inlineStr">
        <is>
          <t>After 调整后 (After)</t>
        </is>
      </c>
      <c r="I3557" s="5">
        <f>IF($B3557="","",B3557)</f>
        <v/>
      </c>
    </row>
    <row r="3558">
      <c r="A3558" t="inlineStr">
        <is>
          <t>Cash Sales 现金销售</t>
        </is>
      </c>
      <c r="B3558" s="6">
        <f>IF($B3557="","",'Daily Sale entry '!B256)</f>
        <v/>
      </c>
      <c r="D3558" t="inlineStr">
        <is>
          <t>c/f petty cash 今日备用金结转</t>
        </is>
      </c>
      <c r="E3558" s="6">
        <f>IF($B3557="","",'Daily Sale entry '!G256)</f>
        <v/>
      </c>
      <c r="H3558" t="inlineStr">
        <is>
          <t>Cash Sales 现金销售</t>
        </is>
      </c>
      <c r="I3558" s="6">
        <f>IF($B3557="","",IF(AND(ABS(B3568)&gt;'Opening Balance'!$B$13,B3568&lt;0),ROUND(B3558-B3568,2),B3558))</f>
        <v/>
      </c>
      <c r="K3558" t="inlineStr">
        <is>
          <t>c/f petty cash 今日备用金结转</t>
        </is>
      </c>
      <c r="L3558" s="6">
        <f>IF($B3557="","",IF(ABS(B3568)&lt;='Opening Balance'!$B$13,ROUND(E3558+B3568,2),E3558))</f>
        <v/>
      </c>
    </row>
    <row r="3559">
      <c r="A3559" t="inlineStr">
        <is>
          <t>Misc Charges 杂项费用</t>
        </is>
      </c>
      <c r="B3559" s="6">
        <f>IF($B3557="","",'Daily Sale entry '!C256)</f>
        <v/>
      </c>
      <c r="D3559" t="inlineStr">
        <is>
          <t>cash collection 现金收款</t>
        </is>
      </c>
      <c r="E3559" s="6">
        <f>IF($B3557="","",'Daily Sale entry '!H256)</f>
        <v/>
      </c>
      <c r="H3559" t="inlineStr">
        <is>
          <t>Misc Charges 杂项费用</t>
        </is>
      </c>
      <c r="I3559" s="6">
        <f>IF($B3557="","",IF(AND(ABS(B3568)&gt;'Opening Balance'!$B$13,B3568&gt;0),ROUND(B3559+B3568,2),B3559))</f>
        <v/>
      </c>
      <c r="K3559" t="inlineStr">
        <is>
          <t>cash collection 现金收款</t>
        </is>
      </c>
      <c r="L3559" s="6">
        <f>IF($B3557="","",E3559)</f>
        <v/>
      </c>
    </row>
    <row r="3560">
      <c r="A3560" s="1" t="inlineStr">
        <is>
          <t>Other Charges 其他费用</t>
        </is>
      </c>
      <c r="B3560" s="9">
        <f>IF($B3557="","",'Daily Sale entry '!D256)</f>
        <v/>
      </c>
      <c r="D3560" s="1" t="inlineStr">
        <is>
          <t>Cheque Collection 支票收款</t>
        </is>
      </c>
      <c r="E3560" s="9">
        <f>IF($B3557="","",'Daily Sale entry '!J256)</f>
        <v/>
      </c>
      <c r="H3560" s="1" t="inlineStr">
        <is>
          <t>Other Charges 其他费用</t>
        </is>
      </c>
      <c r="I3560" s="9">
        <f>IF($B3557="","",B3560)</f>
        <v/>
      </c>
      <c r="K3560" s="1" t="inlineStr">
        <is>
          <t>Cheque Collection 支票收款</t>
        </is>
      </c>
      <c r="L3560" s="9">
        <f>IF($B3557="","",E3560)</f>
        <v/>
      </c>
    </row>
    <row r="3561">
      <c r="A3561" s="10" t="inlineStr">
        <is>
          <t>Amount 金额  (Cash Sales - Misc - Other)</t>
        </is>
      </c>
      <c r="B3561" s="11">
        <f>IF($B3557="","",ROUND(B3558-B3559-B3560,2))</f>
        <v/>
      </c>
      <c r="D3561" s="12" t="inlineStr">
        <is>
          <t>TNG collection TNG收款</t>
        </is>
      </c>
      <c r="E3561" s="13">
        <f>IF($B3557="","",'Daily Sale entry '!K256)</f>
        <v/>
      </c>
      <c r="H3561" s="10" t="inlineStr">
        <is>
          <t>Amount 金额  (Cash Sales - Misc - Other)</t>
        </is>
      </c>
      <c r="I3561" s="11">
        <f>IF($B3557="","",ROUND(I3558-I3559-I3560,2))</f>
        <v/>
      </c>
      <c r="K3561" s="12" t="inlineStr">
        <is>
          <t>TNG collection TNG收款</t>
        </is>
      </c>
      <c r="L3561" s="13">
        <f>IF($B3557="","",E3561)</f>
        <v/>
      </c>
    </row>
    <row r="3562">
      <c r="A3562" t="inlineStr">
        <is>
          <t>Credit Collection 赊账收款</t>
        </is>
      </c>
      <c r="B3562" s="6">
        <f>IF($B3557="","",'Daily Sale entry '!E256)</f>
        <v/>
      </c>
      <c r="D3562" t="inlineStr">
        <is>
          <t>Advance Salary_M 预支薪水_M</t>
        </is>
      </c>
      <c r="E3562" s="6">
        <f>IF($B3557="","",'Daily Sale entry '!L256)</f>
        <v/>
      </c>
      <c r="H3562" t="inlineStr">
        <is>
          <t>Credit Collection 赊账收款</t>
        </is>
      </c>
      <c r="I3562" s="6">
        <f>IF($B3557="","",B3562)</f>
        <v/>
      </c>
      <c r="K3562" t="inlineStr">
        <is>
          <t>Advance Salary_M 预支薪水_M</t>
        </is>
      </c>
      <c r="L3562" s="6">
        <f>IF($B3557="","",E3562)</f>
        <v/>
      </c>
    </row>
    <row r="3563">
      <c r="A3563" s="10" t="inlineStr">
        <is>
          <t>Amount 2 金额2  (Amount + Credit Collection)</t>
        </is>
      </c>
      <c r="B3563" s="11">
        <f>IF($B3557="","",ROUND(B3561+B3562,2))</f>
        <v/>
      </c>
      <c r="D3563" t="inlineStr">
        <is>
          <t>Advance Salary_H 预支薪水_H</t>
        </is>
      </c>
      <c r="E3563" s="6">
        <f>IF($B3557="","",'Daily Sale entry '!M256)</f>
        <v/>
      </c>
      <c r="H3563" s="10" t="inlineStr">
        <is>
          <t>Amount 2 金额2  (Amount + Credit Collection)</t>
        </is>
      </c>
      <c r="I3563" s="11">
        <f>IF($B3557="","",ROUND(I3561+I3562,2))</f>
        <v/>
      </c>
      <c r="K3563" t="inlineStr">
        <is>
          <t>Advance Salary_H 预支薪水_H</t>
        </is>
      </c>
      <c r="L3563" s="6">
        <f>IF($B3557="","",E3563)</f>
        <v/>
      </c>
    </row>
    <row r="3564"/>
    <row r="3565">
      <c r="A3565" s="1" t="inlineStr">
        <is>
          <t>b/f petty cash 上日备用金结转</t>
        </is>
      </c>
      <c r="B3565" s="9">
        <f>IF($B3557="","",'Daily Sale entry '!F256)</f>
        <v/>
      </c>
      <c r="D3565" s="1" t="n"/>
      <c r="E3565" s="1" t="n"/>
      <c r="H3565" s="1" t="inlineStr">
        <is>
          <t>b/f petty cash 上日备用金结转</t>
        </is>
      </c>
      <c r="I3565" s="9">
        <f>IF($B3557="","",B3565)</f>
        <v/>
      </c>
      <c r="K3565" s="1" t="n"/>
      <c r="L3565" s="1" t="n"/>
    </row>
    <row r="3566">
      <c r="A3566" t="inlineStr">
        <is>
          <t>Total (A) 总计 (A)</t>
        </is>
      </c>
      <c r="B3566" s="6">
        <f>IF($B3557="","",ROUND(B3563+B3565,2))</f>
        <v/>
      </c>
      <c r="D3566" t="inlineStr">
        <is>
          <t>Total(B) 总计 (B)</t>
        </is>
      </c>
      <c r="E3566" s="6">
        <f>IF($B3557="","",ROUND(E3558+E3559+E3560+E3561+E3562+E3563,2))</f>
        <v/>
      </c>
      <c r="H3566" t="inlineStr">
        <is>
          <t>Total© 总计 (C)</t>
        </is>
      </c>
      <c r="I3566" s="6">
        <f>IF($B3557="","",ROUND(I3563+I3565,2))</f>
        <v/>
      </c>
      <c r="K3566" t="inlineStr">
        <is>
          <t>Total(D) 总计 (D)</t>
        </is>
      </c>
      <c r="L3566" s="6">
        <f>IF($B3557="","",ROUND(L3558+L3559+L3560+L3561+L3562+L3563,2))</f>
        <v/>
      </c>
    </row>
    <row r="3567">
      <c r="A3567" s="14" t="inlineStr">
        <is>
          <t>Total = Amount 2 + b/f petty cash  (金额2 + 上日备用金)</t>
        </is>
      </c>
      <c r="H3567" s="14" t="inlineStr">
        <is>
          <t>Total = Amount 2 + b/f petty cash  (金额2 + 上日备用金)</t>
        </is>
      </c>
    </row>
    <row r="3568">
      <c r="A3568" t="inlineStr">
        <is>
          <t>Different 差额</t>
        </is>
      </c>
      <c r="B3568" s="6">
        <f>IF($B3557="","",ROUND(B3566-E3566,2))</f>
        <v/>
      </c>
      <c r="D3568">
        <f>IF($B3557="","",IF(ABS(B3568)&gt;'Opening Balance'!$B$16,"ALERT 警报: Different over RM"&amp;'Opening Balance'!$B$16&amp;" 差额超过RM"&amp;'Opening Balance'!$B$16&amp;" - please check 请检查",IF(B3568=0,"Tied 平衡",IF(ABS(B3568)&lt;='Opening Balance'!$B$13,"Small difference 小额差额: adjusted on c/f petty cash 已调整备用金",IF(B3568&gt;0,"Short 短收: added to Misc Charges 已加入杂项费用","Over 多收: added to Cash Sales 已加入现金销售")))))</f>
        <v/>
      </c>
      <c r="H3568" t="inlineStr">
        <is>
          <t>Different 差额</t>
        </is>
      </c>
      <c r="I3568" s="6">
        <f>IF($B3557="","",ROUND(I3566-L3566,2))</f>
        <v/>
      </c>
    </row>
    <row r="3569"/>
    <row r="3570"/>
    <row r="3571">
      <c r="A3571" t="inlineStr">
        <is>
          <t>Date 日期</t>
        </is>
      </c>
      <c r="B3571" s="5">
        <f>IF('Daily Sale entry '!$A257="","",'Daily Sale entry '!$A257)</f>
        <v/>
      </c>
      <c r="H3571" t="inlineStr">
        <is>
          <t>After 调整后 (After)</t>
        </is>
      </c>
      <c r="I3571" s="5">
        <f>IF($B3571="","",B3571)</f>
        <v/>
      </c>
    </row>
    <row r="3572">
      <c r="A3572" t="inlineStr">
        <is>
          <t>Cash Sales 现金销售</t>
        </is>
      </c>
      <c r="B3572" s="6">
        <f>IF($B3571="","",'Daily Sale entry '!B257)</f>
        <v/>
      </c>
      <c r="D3572" t="inlineStr">
        <is>
          <t>c/f petty cash 今日备用金结转</t>
        </is>
      </c>
      <c r="E3572" s="6">
        <f>IF($B3571="","",'Daily Sale entry '!G257)</f>
        <v/>
      </c>
      <c r="H3572" t="inlineStr">
        <is>
          <t>Cash Sales 现金销售</t>
        </is>
      </c>
      <c r="I3572" s="6">
        <f>IF($B3571="","",IF(AND(ABS(B3582)&gt;'Opening Balance'!$B$13,B3582&lt;0),ROUND(B3572-B3582,2),B3572))</f>
        <v/>
      </c>
      <c r="K3572" t="inlineStr">
        <is>
          <t>c/f petty cash 今日备用金结转</t>
        </is>
      </c>
      <c r="L3572" s="6">
        <f>IF($B3571="","",IF(ABS(B3582)&lt;='Opening Balance'!$B$13,ROUND(E3572+B3582,2),E3572))</f>
        <v/>
      </c>
    </row>
    <row r="3573">
      <c r="A3573" t="inlineStr">
        <is>
          <t>Misc Charges 杂项费用</t>
        </is>
      </c>
      <c r="B3573" s="6">
        <f>IF($B3571="","",'Daily Sale entry '!C257)</f>
        <v/>
      </c>
      <c r="D3573" t="inlineStr">
        <is>
          <t>cash collection 现金收款</t>
        </is>
      </c>
      <c r="E3573" s="6">
        <f>IF($B3571="","",'Daily Sale entry '!H257)</f>
        <v/>
      </c>
      <c r="H3573" t="inlineStr">
        <is>
          <t>Misc Charges 杂项费用</t>
        </is>
      </c>
      <c r="I3573" s="6">
        <f>IF($B3571="","",IF(AND(ABS(B3582)&gt;'Opening Balance'!$B$13,B3582&gt;0),ROUND(B3573+B3582,2),B3573))</f>
        <v/>
      </c>
      <c r="K3573" t="inlineStr">
        <is>
          <t>cash collection 现金收款</t>
        </is>
      </c>
      <c r="L3573" s="6">
        <f>IF($B3571="","",E3573)</f>
        <v/>
      </c>
    </row>
    <row r="3574">
      <c r="A3574" s="1" t="inlineStr">
        <is>
          <t>Other Charges 其他费用</t>
        </is>
      </c>
      <c r="B3574" s="9">
        <f>IF($B3571="","",'Daily Sale entry '!D257)</f>
        <v/>
      </c>
      <c r="D3574" s="1" t="inlineStr">
        <is>
          <t>Cheque Collection 支票收款</t>
        </is>
      </c>
      <c r="E3574" s="9">
        <f>IF($B3571="","",'Daily Sale entry '!J257)</f>
        <v/>
      </c>
      <c r="H3574" s="1" t="inlineStr">
        <is>
          <t>Other Charges 其他费用</t>
        </is>
      </c>
      <c r="I3574" s="9">
        <f>IF($B3571="","",B3574)</f>
        <v/>
      </c>
      <c r="K3574" s="1" t="inlineStr">
        <is>
          <t>Cheque Collection 支票收款</t>
        </is>
      </c>
      <c r="L3574" s="9">
        <f>IF($B3571="","",E3574)</f>
        <v/>
      </c>
    </row>
    <row r="3575">
      <c r="A3575" s="10" t="inlineStr">
        <is>
          <t>Amount 金额  (Cash Sales - Misc - Other)</t>
        </is>
      </c>
      <c r="B3575" s="11">
        <f>IF($B3571="","",ROUND(B3572-B3573-B3574,2))</f>
        <v/>
      </c>
      <c r="D3575" s="12" t="inlineStr">
        <is>
          <t>TNG collection TNG收款</t>
        </is>
      </c>
      <c r="E3575" s="13">
        <f>IF($B3571="","",'Daily Sale entry '!K257)</f>
        <v/>
      </c>
      <c r="H3575" s="10" t="inlineStr">
        <is>
          <t>Amount 金额  (Cash Sales - Misc - Other)</t>
        </is>
      </c>
      <c r="I3575" s="11">
        <f>IF($B3571="","",ROUND(I3572-I3573-I3574,2))</f>
        <v/>
      </c>
      <c r="K3575" s="12" t="inlineStr">
        <is>
          <t>TNG collection TNG收款</t>
        </is>
      </c>
      <c r="L3575" s="13">
        <f>IF($B3571="","",E3575)</f>
        <v/>
      </c>
    </row>
    <row r="3576">
      <c r="A3576" t="inlineStr">
        <is>
          <t>Credit Collection 赊账收款</t>
        </is>
      </c>
      <c r="B3576" s="6">
        <f>IF($B3571="","",'Daily Sale entry '!E257)</f>
        <v/>
      </c>
      <c r="D3576" t="inlineStr">
        <is>
          <t>Advance Salary_M 预支薪水_M</t>
        </is>
      </c>
      <c r="E3576" s="6">
        <f>IF($B3571="","",'Daily Sale entry '!L257)</f>
        <v/>
      </c>
      <c r="H3576" t="inlineStr">
        <is>
          <t>Credit Collection 赊账收款</t>
        </is>
      </c>
      <c r="I3576" s="6">
        <f>IF($B3571="","",B3576)</f>
        <v/>
      </c>
      <c r="K3576" t="inlineStr">
        <is>
          <t>Advance Salary_M 预支薪水_M</t>
        </is>
      </c>
      <c r="L3576" s="6">
        <f>IF($B3571="","",E3576)</f>
        <v/>
      </c>
    </row>
    <row r="3577">
      <c r="A3577" s="10" t="inlineStr">
        <is>
          <t>Amount 2 金额2  (Amount + Credit Collection)</t>
        </is>
      </c>
      <c r="B3577" s="11">
        <f>IF($B3571="","",ROUND(B3575+B3576,2))</f>
        <v/>
      </c>
      <c r="D3577" t="inlineStr">
        <is>
          <t>Advance Salary_H 预支薪水_H</t>
        </is>
      </c>
      <c r="E3577" s="6">
        <f>IF($B3571="","",'Daily Sale entry '!M257)</f>
        <v/>
      </c>
      <c r="H3577" s="10" t="inlineStr">
        <is>
          <t>Amount 2 金额2  (Amount + Credit Collection)</t>
        </is>
      </c>
      <c r="I3577" s="11">
        <f>IF($B3571="","",ROUND(I3575+I3576,2))</f>
        <v/>
      </c>
      <c r="K3577" t="inlineStr">
        <is>
          <t>Advance Salary_H 预支薪水_H</t>
        </is>
      </c>
      <c r="L3577" s="6">
        <f>IF($B3571="","",E3577)</f>
        <v/>
      </c>
    </row>
    <row r="3578"/>
    <row r="3579">
      <c r="A3579" s="1" t="inlineStr">
        <is>
          <t>b/f petty cash 上日备用金结转</t>
        </is>
      </c>
      <c r="B3579" s="9">
        <f>IF($B3571="","",'Daily Sale entry '!F257)</f>
        <v/>
      </c>
      <c r="D3579" s="1" t="n"/>
      <c r="E3579" s="1" t="n"/>
      <c r="H3579" s="1" t="inlineStr">
        <is>
          <t>b/f petty cash 上日备用金结转</t>
        </is>
      </c>
      <c r="I3579" s="9">
        <f>IF($B3571="","",B3579)</f>
        <v/>
      </c>
      <c r="K3579" s="1" t="n"/>
      <c r="L3579" s="1" t="n"/>
    </row>
    <row r="3580">
      <c r="A3580" t="inlineStr">
        <is>
          <t>Total (A) 总计 (A)</t>
        </is>
      </c>
      <c r="B3580" s="6">
        <f>IF($B3571="","",ROUND(B3577+B3579,2))</f>
        <v/>
      </c>
      <c r="D3580" t="inlineStr">
        <is>
          <t>Total(B) 总计 (B)</t>
        </is>
      </c>
      <c r="E3580" s="6">
        <f>IF($B3571="","",ROUND(E3572+E3573+E3574+E3575+E3576+E3577,2))</f>
        <v/>
      </c>
      <c r="H3580" t="inlineStr">
        <is>
          <t>Total© 总计 (C)</t>
        </is>
      </c>
      <c r="I3580" s="6">
        <f>IF($B3571="","",ROUND(I3577+I3579,2))</f>
        <v/>
      </c>
      <c r="K3580" t="inlineStr">
        <is>
          <t>Total(D) 总计 (D)</t>
        </is>
      </c>
      <c r="L3580" s="6">
        <f>IF($B3571="","",ROUND(L3572+L3573+L3574+L3575+L3576+L3577,2))</f>
        <v/>
      </c>
    </row>
    <row r="3581">
      <c r="A3581" s="14" t="inlineStr">
        <is>
          <t>Total = Amount 2 + b/f petty cash  (金额2 + 上日备用金)</t>
        </is>
      </c>
      <c r="H3581" s="14" t="inlineStr">
        <is>
          <t>Total = Amount 2 + b/f petty cash  (金额2 + 上日备用金)</t>
        </is>
      </c>
    </row>
    <row r="3582">
      <c r="A3582" t="inlineStr">
        <is>
          <t>Different 差额</t>
        </is>
      </c>
      <c r="B3582" s="6">
        <f>IF($B3571="","",ROUND(B3580-E3580,2))</f>
        <v/>
      </c>
      <c r="D3582">
        <f>IF($B3571="","",IF(ABS(B3582)&gt;'Opening Balance'!$B$16,"ALERT 警报: Different over RM"&amp;'Opening Balance'!$B$16&amp;" 差额超过RM"&amp;'Opening Balance'!$B$16&amp;" - please check 请检查",IF(B3582=0,"Tied 平衡",IF(ABS(B3582)&lt;='Opening Balance'!$B$13,"Small difference 小额差额: adjusted on c/f petty cash 已调整备用金",IF(B3582&gt;0,"Short 短收: added to Misc Charges 已加入杂项费用","Over 多收: added to Cash Sales 已加入现金销售")))))</f>
        <v/>
      </c>
      <c r="H3582" t="inlineStr">
        <is>
          <t>Different 差额</t>
        </is>
      </c>
      <c r="I3582" s="6">
        <f>IF($B3571="","",ROUND(I3580-L3580,2))</f>
        <v/>
      </c>
    </row>
    <row r="3583"/>
    <row r="3584"/>
    <row r="3585">
      <c r="A3585" t="inlineStr">
        <is>
          <t>Date 日期</t>
        </is>
      </c>
      <c r="B3585" s="5">
        <f>IF('Daily Sale entry '!$A258="","",'Daily Sale entry '!$A258)</f>
        <v/>
      </c>
      <c r="H3585" t="inlineStr">
        <is>
          <t>After 调整后 (After)</t>
        </is>
      </c>
      <c r="I3585" s="5">
        <f>IF($B3585="","",B3585)</f>
        <v/>
      </c>
    </row>
    <row r="3586">
      <c r="A3586" t="inlineStr">
        <is>
          <t>Cash Sales 现金销售</t>
        </is>
      </c>
      <c r="B3586" s="6">
        <f>IF($B3585="","",'Daily Sale entry '!B258)</f>
        <v/>
      </c>
      <c r="D3586" t="inlineStr">
        <is>
          <t>c/f petty cash 今日备用金结转</t>
        </is>
      </c>
      <c r="E3586" s="6">
        <f>IF($B3585="","",'Daily Sale entry '!G258)</f>
        <v/>
      </c>
      <c r="H3586" t="inlineStr">
        <is>
          <t>Cash Sales 现金销售</t>
        </is>
      </c>
      <c r="I3586" s="6">
        <f>IF($B3585="","",IF(AND(ABS(B3596)&gt;'Opening Balance'!$B$13,B3596&lt;0),ROUND(B3586-B3596,2),B3586))</f>
        <v/>
      </c>
      <c r="K3586" t="inlineStr">
        <is>
          <t>c/f petty cash 今日备用金结转</t>
        </is>
      </c>
      <c r="L3586" s="6">
        <f>IF($B3585="","",IF(ABS(B3596)&lt;='Opening Balance'!$B$13,ROUND(E3586+B3596,2),E3586))</f>
        <v/>
      </c>
    </row>
    <row r="3587">
      <c r="A3587" t="inlineStr">
        <is>
          <t>Misc Charges 杂项费用</t>
        </is>
      </c>
      <c r="B3587" s="6">
        <f>IF($B3585="","",'Daily Sale entry '!C258)</f>
        <v/>
      </c>
      <c r="D3587" t="inlineStr">
        <is>
          <t>cash collection 现金收款</t>
        </is>
      </c>
      <c r="E3587" s="6">
        <f>IF($B3585="","",'Daily Sale entry '!H258)</f>
        <v/>
      </c>
      <c r="H3587" t="inlineStr">
        <is>
          <t>Misc Charges 杂项费用</t>
        </is>
      </c>
      <c r="I3587" s="6">
        <f>IF($B3585="","",IF(AND(ABS(B3596)&gt;'Opening Balance'!$B$13,B3596&gt;0),ROUND(B3587+B3596,2),B3587))</f>
        <v/>
      </c>
      <c r="K3587" t="inlineStr">
        <is>
          <t>cash collection 现金收款</t>
        </is>
      </c>
      <c r="L3587" s="6">
        <f>IF($B3585="","",E3587)</f>
        <v/>
      </c>
    </row>
    <row r="3588">
      <c r="A3588" s="1" t="inlineStr">
        <is>
          <t>Other Charges 其他费用</t>
        </is>
      </c>
      <c r="B3588" s="9">
        <f>IF($B3585="","",'Daily Sale entry '!D258)</f>
        <v/>
      </c>
      <c r="D3588" s="1" t="inlineStr">
        <is>
          <t>Cheque Collection 支票收款</t>
        </is>
      </c>
      <c r="E3588" s="9">
        <f>IF($B3585="","",'Daily Sale entry '!J258)</f>
        <v/>
      </c>
      <c r="H3588" s="1" t="inlineStr">
        <is>
          <t>Other Charges 其他费用</t>
        </is>
      </c>
      <c r="I3588" s="9">
        <f>IF($B3585="","",B3588)</f>
        <v/>
      </c>
      <c r="K3588" s="1" t="inlineStr">
        <is>
          <t>Cheque Collection 支票收款</t>
        </is>
      </c>
      <c r="L3588" s="9">
        <f>IF($B3585="","",E3588)</f>
        <v/>
      </c>
    </row>
    <row r="3589">
      <c r="A3589" s="10" t="inlineStr">
        <is>
          <t>Amount 金额  (Cash Sales - Misc - Other)</t>
        </is>
      </c>
      <c r="B3589" s="11">
        <f>IF($B3585="","",ROUND(B3586-B3587-B3588,2))</f>
        <v/>
      </c>
      <c r="D3589" s="12" t="inlineStr">
        <is>
          <t>TNG collection TNG收款</t>
        </is>
      </c>
      <c r="E3589" s="13">
        <f>IF($B3585="","",'Daily Sale entry '!K258)</f>
        <v/>
      </c>
      <c r="H3589" s="10" t="inlineStr">
        <is>
          <t>Amount 金额  (Cash Sales - Misc - Other)</t>
        </is>
      </c>
      <c r="I3589" s="11">
        <f>IF($B3585="","",ROUND(I3586-I3587-I3588,2))</f>
        <v/>
      </c>
      <c r="K3589" s="12" t="inlineStr">
        <is>
          <t>TNG collection TNG收款</t>
        </is>
      </c>
      <c r="L3589" s="13">
        <f>IF($B3585="","",E3589)</f>
        <v/>
      </c>
    </row>
    <row r="3590">
      <c r="A3590" t="inlineStr">
        <is>
          <t>Credit Collection 赊账收款</t>
        </is>
      </c>
      <c r="B3590" s="6">
        <f>IF($B3585="","",'Daily Sale entry '!E258)</f>
        <v/>
      </c>
      <c r="D3590" t="inlineStr">
        <is>
          <t>Advance Salary_M 预支薪水_M</t>
        </is>
      </c>
      <c r="E3590" s="6">
        <f>IF($B3585="","",'Daily Sale entry '!L258)</f>
        <v/>
      </c>
      <c r="H3590" t="inlineStr">
        <is>
          <t>Credit Collection 赊账收款</t>
        </is>
      </c>
      <c r="I3590" s="6">
        <f>IF($B3585="","",B3590)</f>
        <v/>
      </c>
      <c r="K3590" t="inlineStr">
        <is>
          <t>Advance Salary_M 预支薪水_M</t>
        </is>
      </c>
      <c r="L3590" s="6">
        <f>IF($B3585="","",E3590)</f>
        <v/>
      </c>
    </row>
    <row r="3591">
      <c r="A3591" s="10" t="inlineStr">
        <is>
          <t>Amount 2 金额2  (Amount + Credit Collection)</t>
        </is>
      </c>
      <c r="B3591" s="11">
        <f>IF($B3585="","",ROUND(B3589+B3590,2))</f>
        <v/>
      </c>
      <c r="D3591" t="inlineStr">
        <is>
          <t>Advance Salary_H 预支薪水_H</t>
        </is>
      </c>
      <c r="E3591" s="6">
        <f>IF($B3585="","",'Daily Sale entry '!M258)</f>
        <v/>
      </c>
      <c r="H3591" s="10" t="inlineStr">
        <is>
          <t>Amount 2 金额2  (Amount + Credit Collection)</t>
        </is>
      </c>
      <c r="I3591" s="11">
        <f>IF($B3585="","",ROUND(I3589+I3590,2))</f>
        <v/>
      </c>
      <c r="K3591" t="inlineStr">
        <is>
          <t>Advance Salary_H 预支薪水_H</t>
        </is>
      </c>
      <c r="L3591" s="6">
        <f>IF($B3585="","",E3591)</f>
        <v/>
      </c>
    </row>
    <row r="3592"/>
    <row r="3593">
      <c r="A3593" s="1" t="inlineStr">
        <is>
          <t>b/f petty cash 上日备用金结转</t>
        </is>
      </c>
      <c r="B3593" s="9">
        <f>IF($B3585="","",'Daily Sale entry '!F258)</f>
        <v/>
      </c>
      <c r="D3593" s="1" t="n"/>
      <c r="E3593" s="1" t="n"/>
      <c r="H3593" s="1" t="inlineStr">
        <is>
          <t>b/f petty cash 上日备用金结转</t>
        </is>
      </c>
      <c r="I3593" s="9">
        <f>IF($B3585="","",B3593)</f>
        <v/>
      </c>
      <c r="K3593" s="1" t="n"/>
      <c r="L3593" s="1" t="n"/>
    </row>
    <row r="3594">
      <c r="A3594" t="inlineStr">
        <is>
          <t>Total (A) 总计 (A)</t>
        </is>
      </c>
      <c r="B3594" s="6">
        <f>IF($B3585="","",ROUND(B3591+B3593,2))</f>
        <v/>
      </c>
      <c r="D3594" t="inlineStr">
        <is>
          <t>Total(B) 总计 (B)</t>
        </is>
      </c>
      <c r="E3594" s="6">
        <f>IF($B3585="","",ROUND(E3586+E3587+E3588+E3589+E3590+E3591,2))</f>
        <v/>
      </c>
      <c r="H3594" t="inlineStr">
        <is>
          <t>Total© 总计 (C)</t>
        </is>
      </c>
      <c r="I3594" s="6">
        <f>IF($B3585="","",ROUND(I3591+I3593,2))</f>
        <v/>
      </c>
      <c r="K3594" t="inlineStr">
        <is>
          <t>Total(D) 总计 (D)</t>
        </is>
      </c>
      <c r="L3594" s="6">
        <f>IF($B3585="","",ROUND(L3586+L3587+L3588+L3589+L3590+L3591,2))</f>
        <v/>
      </c>
    </row>
    <row r="3595">
      <c r="A3595" s="14" t="inlineStr">
        <is>
          <t>Total = Amount 2 + b/f petty cash  (金额2 + 上日备用金)</t>
        </is>
      </c>
      <c r="H3595" s="14" t="inlineStr">
        <is>
          <t>Total = Amount 2 + b/f petty cash  (金额2 + 上日备用金)</t>
        </is>
      </c>
    </row>
    <row r="3596">
      <c r="A3596" t="inlineStr">
        <is>
          <t>Different 差额</t>
        </is>
      </c>
      <c r="B3596" s="6">
        <f>IF($B3585="","",ROUND(B3594-E3594,2))</f>
        <v/>
      </c>
      <c r="D3596">
        <f>IF($B3585="","",IF(ABS(B3596)&gt;'Opening Balance'!$B$16,"ALERT 警报: Different over RM"&amp;'Opening Balance'!$B$16&amp;" 差额超过RM"&amp;'Opening Balance'!$B$16&amp;" - please check 请检查",IF(B3596=0,"Tied 平衡",IF(ABS(B3596)&lt;='Opening Balance'!$B$13,"Small difference 小额差额: adjusted on c/f petty cash 已调整备用金",IF(B3596&gt;0,"Short 短收: added to Misc Charges 已加入杂项费用","Over 多收: added to Cash Sales 已加入现金销售")))))</f>
        <v/>
      </c>
      <c r="H3596" t="inlineStr">
        <is>
          <t>Different 差额</t>
        </is>
      </c>
      <c r="I3596" s="6">
        <f>IF($B3585="","",ROUND(I3594-L3594,2))</f>
        <v/>
      </c>
    </row>
    <row r="3597"/>
    <row r="3598"/>
    <row r="3599">
      <c r="A3599" t="inlineStr">
        <is>
          <t>Date 日期</t>
        </is>
      </c>
      <c r="B3599" s="5">
        <f>IF('Daily Sale entry '!$A259="","",'Daily Sale entry '!$A259)</f>
        <v/>
      </c>
      <c r="H3599" t="inlineStr">
        <is>
          <t>After 调整后 (After)</t>
        </is>
      </c>
      <c r="I3599" s="5">
        <f>IF($B3599="","",B3599)</f>
        <v/>
      </c>
    </row>
    <row r="3600">
      <c r="A3600" t="inlineStr">
        <is>
          <t>Cash Sales 现金销售</t>
        </is>
      </c>
      <c r="B3600" s="6">
        <f>IF($B3599="","",'Daily Sale entry '!B259)</f>
        <v/>
      </c>
      <c r="D3600" t="inlineStr">
        <is>
          <t>c/f petty cash 今日备用金结转</t>
        </is>
      </c>
      <c r="E3600" s="6">
        <f>IF($B3599="","",'Daily Sale entry '!G259)</f>
        <v/>
      </c>
      <c r="H3600" t="inlineStr">
        <is>
          <t>Cash Sales 现金销售</t>
        </is>
      </c>
      <c r="I3600" s="6">
        <f>IF($B3599="","",IF(AND(ABS(B3610)&gt;'Opening Balance'!$B$13,B3610&lt;0),ROUND(B3600-B3610,2),B3600))</f>
        <v/>
      </c>
      <c r="K3600" t="inlineStr">
        <is>
          <t>c/f petty cash 今日备用金结转</t>
        </is>
      </c>
      <c r="L3600" s="6">
        <f>IF($B3599="","",IF(ABS(B3610)&lt;='Opening Balance'!$B$13,ROUND(E3600+B3610,2),E3600))</f>
        <v/>
      </c>
    </row>
    <row r="3601">
      <c r="A3601" t="inlineStr">
        <is>
          <t>Misc Charges 杂项费用</t>
        </is>
      </c>
      <c r="B3601" s="6">
        <f>IF($B3599="","",'Daily Sale entry '!C259)</f>
        <v/>
      </c>
      <c r="D3601" t="inlineStr">
        <is>
          <t>cash collection 现金收款</t>
        </is>
      </c>
      <c r="E3601" s="6">
        <f>IF($B3599="","",'Daily Sale entry '!H259)</f>
        <v/>
      </c>
      <c r="H3601" t="inlineStr">
        <is>
          <t>Misc Charges 杂项费用</t>
        </is>
      </c>
      <c r="I3601" s="6">
        <f>IF($B3599="","",IF(AND(ABS(B3610)&gt;'Opening Balance'!$B$13,B3610&gt;0),ROUND(B3601+B3610,2),B3601))</f>
        <v/>
      </c>
      <c r="K3601" t="inlineStr">
        <is>
          <t>cash collection 现金收款</t>
        </is>
      </c>
      <c r="L3601" s="6">
        <f>IF($B3599="","",E3601)</f>
        <v/>
      </c>
    </row>
    <row r="3602">
      <c r="A3602" s="1" t="inlineStr">
        <is>
          <t>Other Charges 其他费用</t>
        </is>
      </c>
      <c r="B3602" s="9">
        <f>IF($B3599="","",'Daily Sale entry '!D259)</f>
        <v/>
      </c>
      <c r="D3602" s="1" t="inlineStr">
        <is>
          <t>Cheque Collection 支票收款</t>
        </is>
      </c>
      <c r="E3602" s="9">
        <f>IF($B3599="","",'Daily Sale entry '!J259)</f>
        <v/>
      </c>
      <c r="H3602" s="1" t="inlineStr">
        <is>
          <t>Other Charges 其他费用</t>
        </is>
      </c>
      <c r="I3602" s="9">
        <f>IF($B3599="","",B3602)</f>
        <v/>
      </c>
      <c r="K3602" s="1" t="inlineStr">
        <is>
          <t>Cheque Collection 支票收款</t>
        </is>
      </c>
      <c r="L3602" s="9">
        <f>IF($B3599="","",E3602)</f>
        <v/>
      </c>
    </row>
    <row r="3603">
      <c r="A3603" s="10" t="inlineStr">
        <is>
          <t>Amount 金额  (Cash Sales - Misc - Other)</t>
        </is>
      </c>
      <c r="B3603" s="11">
        <f>IF($B3599="","",ROUND(B3600-B3601-B3602,2))</f>
        <v/>
      </c>
      <c r="D3603" s="12" t="inlineStr">
        <is>
          <t>TNG collection TNG收款</t>
        </is>
      </c>
      <c r="E3603" s="13">
        <f>IF($B3599="","",'Daily Sale entry '!K259)</f>
        <v/>
      </c>
      <c r="H3603" s="10" t="inlineStr">
        <is>
          <t>Amount 金额  (Cash Sales - Misc - Other)</t>
        </is>
      </c>
      <c r="I3603" s="11">
        <f>IF($B3599="","",ROUND(I3600-I3601-I3602,2))</f>
        <v/>
      </c>
      <c r="K3603" s="12" t="inlineStr">
        <is>
          <t>TNG collection TNG收款</t>
        </is>
      </c>
      <c r="L3603" s="13">
        <f>IF($B3599="","",E3603)</f>
        <v/>
      </c>
    </row>
    <row r="3604">
      <c r="A3604" t="inlineStr">
        <is>
          <t>Credit Collection 赊账收款</t>
        </is>
      </c>
      <c r="B3604" s="6">
        <f>IF($B3599="","",'Daily Sale entry '!E259)</f>
        <v/>
      </c>
      <c r="D3604" t="inlineStr">
        <is>
          <t>Advance Salary_M 预支薪水_M</t>
        </is>
      </c>
      <c r="E3604" s="6">
        <f>IF($B3599="","",'Daily Sale entry '!L259)</f>
        <v/>
      </c>
      <c r="H3604" t="inlineStr">
        <is>
          <t>Credit Collection 赊账收款</t>
        </is>
      </c>
      <c r="I3604" s="6">
        <f>IF($B3599="","",B3604)</f>
        <v/>
      </c>
      <c r="K3604" t="inlineStr">
        <is>
          <t>Advance Salary_M 预支薪水_M</t>
        </is>
      </c>
      <c r="L3604" s="6">
        <f>IF($B3599="","",E3604)</f>
        <v/>
      </c>
    </row>
    <row r="3605">
      <c r="A3605" s="10" t="inlineStr">
        <is>
          <t>Amount 2 金额2  (Amount + Credit Collection)</t>
        </is>
      </c>
      <c r="B3605" s="11">
        <f>IF($B3599="","",ROUND(B3603+B3604,2))</f>
        <v/>
      </c>
      <c r="D3605" t="inlineStr">
        <is>
          <t>Advance Salary_H 预支薪水_H</t>
        </is>
      </c>
      <c r="E3605" s="6">
        <f>IF($B3599="","",'Daily Sale entry '!M259)</f>
        <v/>
      </c>
      <c r="H3605" s="10" t="inlineStr">
        <is>
          <t>Amount 2 金额2  (Amount + Credit Collection)</t>
        </is>
      </c>
      <c r="I3605" s="11">
        <f>IF($B3599="","",ROUND(I3603+I3604,2))</f>
        <v/>
      </c>
      <c r="K3605" t="inlineStr">
        <is>
          <t>Advance Salary_H 预支薪水_H</t>
        </is>
      </c>
      <c r="L3605" s="6">
        <f>IF($B3599="","",E3605)</f>
        <v/>
      </c>
    </row>
    <row r="3606"/>
    <row r="3607">
      <c r="A3607" s="1" t="inlineStr">
        <is>
          <t>b/f petty cash 上日备用金结转</t>
        </is>
      </c>
      <c r="B3607" s="9">
        <f>IF($B3599="","",'Daily Sale entry '!F259)</f>
        <v/>
      </c>
      <c r="D3607" s="1" t="n"/>
      <c r="E3607" s="1" t="n"/>
      <c r="H3607" s="1" t="inlineStr">
        <is>
          <t>b/f petty cash 上日备用金结转</t>
        </is>
      </c>
      <c r="I3607" s="9">
        <f>IF($B3599="","",B3607)</f>
        <v/>
      </c>
      <c r="K3607" s="1" t="n"/>
      <c r="L3607" s="1" t="n"/>
    </row>
    <row r="3608">
      <c r="A3608" t="inlineStr">
        <is>
          <t>Total (A) 总计 (A)</t>
        </is>
      </c>
      <c r="B3608" s="6">
        <f>IF($B3599="","",ROUND(B3605+B3607,2))</f>
        <v/>
      </c>
      <c r="D3608" t="inlineStr">
        <is>
          <t>Total(B) 总计 (B)</t>
        </is>
      </c>
      <c r="E3608" s="6">
        <f>IF($B3599="","",ROUND(E3600+E3601+E3602+E3603+E3604+E3605,2))</f>
        <v/>
      </c>
      <c r="H3608" t="inlineStr">
        <is>
          <t>Total© 总计 (C)</t>
        </is>
      </c>
      <c r="I3608" s="6">
        <f>IF($B3599="","",ROUND(I3605+I3607,2))</f>
        <v/>
      </c>
      <c r="K3608" t="inlineStr">
        <is>
          <t>Total(D) 总计 (D)</t>
        </is>
      </c>
      <c r="L3608" s="6">
        <f>IF($B3599="","",ROUND(L3600+L3601+L3602+L3603+L3604+L3605,2))</f>
        <v/>
      </c>
    </row>
    <row r="3609">
      <c r="A3609" s="14" t="inlineStr">
        <is>
          <t>Total = Amount 2 + b/f petty cash  (金额2 + 上日备用金)</t>
        </is>
      </c>
      <c r="H3609" s="14" t="inlineStr">
        <is>
          <t>Total = Amount 2 + b/f petty cash  (金额2 + 上日备用金)</t>
        </is>
      </c>
    </row>
    <row r="3610">
      <c r="A3610" t="inlineStr">
        <is>
          <t>Different 差额</t>
        </is>
      </c>
      <c r="B3610" s="6">
        <f>IF($B3599="","",ROUND(B3608-E3608,2))</f>
        <v/>
      </c>
      <c r="D3610">
        <f>IF($B3599="","",IF(ABS(B3610)&gt;'Opening Balance'!$B$16,"ALERT 警报: Different over RM"&amp;'Opening Balance'!$B$16&amp;" 差额超过RM"&amp;'Opening Balance'!$B$16&amp;" - please check 请检查",IF(B3610=0,"Tied 平衡",IF(ABS(B3610)&lt;='Opening Balance'!$B$13,"Small difference 小额差额: adjusted on c/f petty cash 已调整备用金",IF(B3610&gt;0,"Short 短收: added to Misc Charges 已加入杂项费用","Over 多收: added to Cash Sales 已加入现金销售")))))</f>
        <v/>
      </c>
      <c r="H3610" t="inlineStr">
        <is>
          <t>Different 差额</t>
        </is>
      </c>
      <c r="I3610" s="6">
        <f>IF($B3599="","",ROUND(I3608-L3608,2))</f>
        <v/>
      </c>
    </row>
    <row r="3611"/>
    <row r="3612"/>
    <row r="3613">
      <c r="A3613" t="inlineStr">
        <is>
          <t>Date 日期</t>
        </is>
      </c>
      <c r="B3613" s="5">
        <f>IF('Daily Sale entry '!$A260="","",'Daily Sale entry '!$A260)</f>
        <v/>
      </c>
      <c r="H3613" t="inlineStr">
        <is>
          <t>After 调整后 (After)</t>
        </is>
      </c>
      <c r="I3613" s="5">
        <f>IF($B3613="","",B3613)</f>
        <v/>
      </c>
    </row>
    <row r="3614">
      <c r="A3614" t="inlineStr">
        <is>
          <t>Cash Sales 现金销售</t>
        </is>
      </c>
      <c r="B3614" s="6">
        <f>IF($B3613="","",'Daily Sale entry '!B260)</f>
        <v/>
      </c>
      <c r="D3614" t="inlineStr">
        <is>
          <t>c/f petty cash 今日备用金结转</t>
        </is>
      </c>
      <c r="E3614" s="6">
        <f>IF($B3613="","",'Daily Sale entry '!G260)</f>
        <v/>
      </c>
      <c r="H3614" t="inlineStr">
        <is>
          <t>Cash Sales 现金销售</t>
        </is>
      </c>
      <c r="I3614" s="6">
        <f>IF($B3613="","",IF(AND(ABS(B3624)&gt;'Opening Balance'!$B$13,B3624&lt;0),ROUND(B3614-B3624,2),B3614))</f>
        <v/>
      </c>
      <c r="K3614" t="inlineStr">
        <is>
          <t>c/f petty cash 今日备用金结转</t>
        </is>
      </c>
      <c r="L3614" s="6">
        <f>IF($B3613="","",IF(ABS(B3624)&lt;='Opening Balance'!$B$13,ROUND(E3614+B3624,2),E3614))</f>
        <v/>
      </c>
    </row>
    <row r="3615">
      <c r="A3615" t="inlineStr">
        <is>
          <t>Misc Charges 杂项费用</t>
        </is>
      </c>
      <c r="B3615" s="6">
        <f>IF($B3613="","",'Daily Sale entry '!C260)</f>
        <v/>
      </c>
      <c r="D3615" t="inlineStr">
        <is>
          <t>cash collection 现金收款</t>
        </is>
      </c>
      <c r="E3615" s="6">
        <f>IF($B3613="","",'Daily Sale entry '!H260)</f>
        <v/>
      </c>
      <c r="H3615" t="inlineStr">
        <is>
          <t>Misc Charges 杂项费用</t>
        </is>
      </c>
      <c r="I3615" s="6">
        <f>IF($B3613="","",IF(AND(ABS(B3624)&gt;'Opening Balance'!$B$13,B3624&gt;0),ROUND(B3615+B3624,2),B3615))</f>
        <v/>
      </c>
      <c r="K3615" t="inlineStr">
        <is>
          <t>cash collection 现金收款</t>
        </is>
      </c>
      <c r="L3615" s="6">
        <f>IF($B3613="","",E3615)</f>
        <v/>
      </c>
    </row>
    <row r="3616">
      <c r="A3616" s="1" t="inlineStr">
        <is>
          <t>Other Charges 其他费用</t>
        </is>
      </c>
      <c r="B3616" s="9">
        <f>IF($B3613="","",'Daily Sale entry '!D260)</f>
        <v/>
      </c>
      <c r="D3616" s="1" t="inlineStr">
        <is>
          <t>Cheque Collection 支票收款</t>
        </is>
      </c>
      <c r="E3616" s="9">
        <f>IF($B3613="","",'Daily Sale entry '!J260)</f>
        <v/>
      </c>
      <c r="H3616" s="1" t="inlineStr">
        <is>
          <t>Other Charges 其他费用</t>
        </is>
      </c>
      <c r="I3616" s="9">
        <f>IF($B3613="","",B3616)</f>
        <v/>
      </c>
      <c r="K3616" s="1" t="inlineStr">
        <is>
          <t>Cheque Collection 支票收款</t>
        </is>
      </c>
      <c r="L3616" s="9">
        <f>IF($B3613="","",E3616)</f>
        <v/>
      </c>
    </row>
    <row r="3617">
      <c r="A3617" s="10" t="inlineStr">
        <is>
          <t>Amount 金额  (Cash Sales - Misc - Other)</t>
        </is>
      </c>
      <c r="B3617" s="11">
        <f>IF($B3613="","",ROUND(B3614-B3615-B3616,2))</f>
        <v/>
      </c>
      <c r="D3617" s="12" t="inlineStr">
        <is>
          <t>TNG collection TNG收款</t>
        </is>
      </c>
      <c r="E3617" s="13">
        <f>IF($B3613="","",'Daily Sale entry '!K260)</f>
        <v/>
      </c>
      <c r="H3617" s="10" t="inlineStr">
        <is>
          <t>Amount 金额  (Cash Sales - Misc - Other)</t>
        </is>
      </c>
      <c r="I3617" s="11">
        <f>IF($B3613="","",ROUND(I3614-I3615-I3616,2))</f>
        <v/>
      </c>
      <c r="K3617" s="12" t="inlineStr">
        <is>
          <t>TNG collection TNG收款</t>
        </is>
      </c>
      <c r="L3617" s="13">
        <f>IF($B3613="","",E3617)</f>
        <v/>
      </c>
    </row>
    <row r="3618">
      <c r="A3618" t="inlineStr">
        <is>
          <t>Credit Collection 赊账收款</t>
        </is>
      </c>
      <c r="B3618" s="6">
        <f>IF($B3613="","",'Daily Sale entry '!E260)</f>
        <v/>
      </c>
      <c r="D3618" t="inlineStr">
        <is>
          <t>Advance Salary_M 预支薪水_M</t>
        </is>
      </c>
      <c r="E3618" s="6">
        <f>IF($B3613="","",'Daily Sale entry '!L260)</f>
        <v/>
      </c>
      <c r="H3618" t="inlineStr">
        <is>
          <t>Credit Collection 赊账收款</t>
        </is>
      </c>
      <c r="I3618" s="6">
        <f>IF($B3613="","",B3618)</f>
        <v/>
      </c>
      <c r="K3618" t="inlineStr">
        <is>
          <t>Advance Salary_M 预支薪水_M</t>
        </is>
      </c>
      <c r="L3618" s="6">
        <f>IF($B3613="","",E3618)</f>
        <v/>
      </c>
    </row>
    <row r="3619">
      <c r="A3619" s="10" t="inlineStr">
        <is>
          <t>Amount 2 金额2  (Amount + Credit Collection)</t>
        </is>
      </c>
      <c r="B3619" s="11">
        <f>IF($B3613="","",ROUND(B3617+B3618,2))</f>
        <v/>
      </c>
      <c r="D3619" t="inlineStr">
        <is>
          <t>Advance Salary_H 预支薪水_H</t>
        </is>
      </c>
      <c r="E3619" s="6">
        <f>IF($B3613="","",'Daily Sale entry '!M260)</f>
        <v/>
      </c>
      <c r="H3619" s="10" t="inlineStr">
        <is>
          <t>Amount 2 金额2  (Amount + Credit Collection)</t>
        </is>
      </c>
      <c r="I3619" s="11">
        <f>IF($B3613="","",ROUND(I3617+I3618,2))</f>
        <v/>
      </c>
      <c r="K3619" t="inlineStr">
        <is>
          <t>Advance Salary_H 预支薪水_H</t>
        </is>
      </c>
      <c r="L3619" s="6">
        <f>IF($B3613="","",E3619)</f>
        <v/>
      </c>
    </row>
    <row r="3620"/>
    <row r="3621">
      <c r="A3621" s="1" t="inlineStr">
        <is>
          <t>b/f petty cash 上日备用金结转</t>
        </is>
      </c>
      <c r="B3621" s="9">
        <f>IF($B3613="","",'Daily Sale entry '!F260)</f>
        <v/>
      </c>
      <c r="D3621" s="1" t="n"/>
      <c r="E3621" s="1" t="n"/>
      <c r="H3621" s="1" t="inlineStr">
        <is>
          <t>b/f petty cash 上日备用金结转</t>
        </is>
      </c>
      <c r="I3621" s="9">
        <f>IF($B3613="","",B3621)</f>
        <v/>
      </c>
      <c r="K3621" s="1" t="n"/>
      <c r="L3621" s="1" t="n"/>
    </row>
    <row r="3622">
      <c r="A3622" t="inlineStr">
        <is>
          <t>Total (A) 总计 (A)</t>
        </is>
      </c>
      <c r="B3622" s="6">
        <f>IF($B3613="","",ROUND(B3619+B3621,2))</f>
        <v/>
      </c>
      <c r="D3622" t="inlineStr">
        <is>
          <t>Total(B) 总计 (B)</t>
        </is>
      </c>
      <c r="E3622" s="6">
        <f>IF($B3613="","",ROUND(E3614+E3615+E3616+E3617+E3618+E3619,2))</f>
        <v/>
      </c>
      <c r="H3622" t="inlineStr">
        <is>
          <t>Total© 总计 (C)</t>
        </is>
      </c>
      <c r="I3622" s="6">
        <f>IF($B3613="","",ROUND(I3619+I3621,2))</f>
        <v/>
      </c>
      <c r="K3622" t="inlineStr">
        <is>
          <t>Total(D) 总计 (D)</t>
        </is>
      </c>
      <c r="L3622" s="6">
        <f>IF($B3613="","",ROUND(L3614+L3615+L3616+L3617+L3618+L3619,2))</f>
        <v/>
      </c>
    </row>
    <row r="3623">
      <c r="A3623" s="14" t="inlineStr">
        <is>
          <t>Total = Amount 2 + b/f petty cash  (金额2 + 上日备用金)</t>
        </is>
      </c>
      <c r="H3623" s="14" t="inlineStr">
        <is>
          <t>Total = Amount 2 + b/f petty cash  (金额2 + 上日备用金)</t>
        </is>
      </c>
    </row>
    <row r="3624">
      <c r="A3624" t="inlineStr">
        <is>
          <t>Different 差额</t>
        </is>
      </c>
      <c r="B3624" s="6">
        <f>IF($B3613="","",ROUND(B3622-E3622,2))</f>
        <v/>
      </c>
      <c r="D3624">
        <f>IF($B3613="","",IF(ABS(B3624)&gt;'Opening Balance'!$B$16,"ALERT 警报: Different over RM"&amp;'Opening Balance'!$B$16&amp;" 差额超过RM"&amp;'Opening Balance'!$B$16&amp;" - please check 请检查",IF(B3624=0,"Tied 平衡",IF(ABS(B3624)&lt;='Opening Balance'!$B$13,"Small difference 小额差额: adjusted on c/f petty cash 已调整备用金",IF(B3624&gt;0,"Short 短收: added to Misc Charges 已加入杂项费用","Over 多收: added to Cash Sales 已加入现金销售")))))</f>
        <v/>
      </c>
      <c r="H3624" t="inlineStr">
        <is>
          <t>Different 差额</t>
        </is>
      </c>
      <c r="I3624" s="6">
        <f>IF($B3613="","",ROUND(I3622-L3622,2))</f>
        <v/>
      </c>
    </row>
    <row r="3625"/>
    <row r="3626"/>
    <row r="3627">
      <c r="A3627" t="inlineStr">
        <is>
          <t>Date 日期</t>
        </is>
      </c>
      <c r="B3627" s="5">
        <f>IF('Daily Sale entry '!$A261="","",'Daily Sale entry '!$A261)</f>
        <v/>
      </c>
      <c r="H3627" t="inlineStr">
        <is>
          <t>After 调整后 (After)</t>
        </is>
      </c>
      <c r="I3627" s="5">
        <f>IF($B3627="","",B3627)</f>
        <v/>
      </c>
    </row>
    <row r="3628">
      <c r="A3628" t="inlineStr">
        <is>
          <t>Cash Sales 现金销售</t>
        </is>
      </c>
      <c r="B3628" s="6">
        <f>IF($B3627="","",'Daily Sale entry '!B261)</f>
        <v/>
      </c>
      <c r="D3628" t="inlineStr">
        <is>
          <t>c/f petty cash 今日备用金结转</t>
        </is>
      </c>
      <c r="E3628" s="6">
        <f>IF($B3627="","",'Daily Sale entry '!G261)</f>
        <v/>
      </c>
      <c r="H3628" t="inlineStr">
        <is>
          <t>Cash Sales 现金销售</t>
        </is>
      </c>
      <c r="I3628" s="6">
        <f>IF($B3627="","",IF(AND(ABS(B3638)&gt;'Opening Balance'!$B$13,B3638&lt;0),ROUND(B3628-B3638,2),B3628))</f>
        <v/>
      </c>
      <c r="K3628" t="inlineStr">
        <is>
          <t>c/f petty cash 今日备用金结转</t>
        </is>
      </c>
      <c r="L3628" s="6">
        <f>IF($B3627="","",IF(ABS(B3638)&lt;='Opening Balance'!$B$13,ROUND(E3628+B3638,2),E3628))</f>
        <v/>
      </c>
    </row>
    <row r="3629">
      <c r="A3629" t="inlineStr">
        <is>
          <t>Misc Charges 杂项费用</t>
        </is>
      </c>
      <c r="B3629" s="6">
        <f>IF($B3627="","",'Daily Sale entry '!C261)</f>
        <v/>
      </c>
      <c r="D3629" t="inlineStr">
        <is>
          <t>cash collection 现金收款</t>
        </is>
      </c>
      <c r="E3629" s="6">
        <f>IF($B3627="","",'Daily Sale entry '!H261)</f>
        <v/>
      </c>
      <c r="H3629" t="inlineStr">
        <is>
          <t>Misc Charges 杂项费用</t>
        </is>
      </c>
      <c r="I3629" s="6">
        <f>IF($B3627="","",IF(AND(ABS(B3638)&gt;'Opening Balance'!$B$13,B3638&gt;0),ROUND(B3629+B3638,2),B3629))</f>
        <v/>
      </c>
      <c r="K3629" t="inlineStr">
        <is>
          <t>cash collection 现金收款</t>
        </is>
      </c>
      <c r="L3629" s="6">
        <f>IF($B3627="","",E3629)</f>
        <v/>
      </c>
    </row>
    <row r="3630">
      <c r="A3630" s="1" t="inlineStr">
        <is>
          <t>Other Charges 其他费用</t>
        </is>
      </c>
      <c r="B3630" s="9">
        <f>IF($B3627="","",'Daily Sale entry '!D261)</f>
        <v/>
      </c>
      <c r="D3630" s="1" t="inlineStr">
        <is>
          <t>Cheque Collection 支票收款</t>
        </is>
      </c>
      <c r="E3630" s="9">
        <f>IF($B3627="","",'Daily Sale entry '!J261)</f>
        <v/>
      </c>
      <c r="H3630" s="1" t="inlineStr">
        <is>
          <t>Other Charges 其他费用</t>
        </is>
      </c>
      <c r="I3630" s="9">
        <f>IF($B3627="","",B3630)</f>
        <v/>
      </c>
      <c r="K3630" s="1" t="inlineStr">
        <is>
          <t>Cheque Collection 支票收款</t>
        </is>
      </c>
      <c r="L3630" s="9">
        <f>IF($B3627="","",E3630)</f>
        <v/>
      </c>
    </row>
    <row r="3631">
      <c r="A3631" s="10" t="inlineStr">
        <is>
          <t>Amount 金额  (Cash Sales - Misc - Other)</t>
        </is>
      </c>
      <c r="B3631" s="11">
        <f>IF($B3627="","",ROUND(B3628-B3629-B3630,2))</f>
        <v/>
      </c>
      <c r="D3631" s="12" t="inlineStr">
        <is>
          <t>TNG collection TNG收款</t>
        </is>
      </c>
      <c r="E3631" s="13">
        <f>IF($B3627="","",'Daily Sale entry '!K261)</f>
        <v/>
      </c>
      <c r="H3631" s="10" t="inlineStr">
        <is>
          <t>Amount 金额  (Cash Sales - Misc - Other)</t>
        </is>
      </c>
      <c r="I3631" s="11">
        <f>IF($B3627="","",ROUND(I3628-I3629-I3630,2))</f>
        <v/>
      </c>
      <c r="K3631" s="12" t="inlineStr">
        <is>
          <t>TNG collection TNG收款</t>
        </is>
      </c>
      <c r="L3631" s="13">
        <f>IF($B3627="","",E3631)</f>
        <v/>
      </c>
    </row>
    <row r="3632">
      <c r="A3632" t="inlineStr">
        <is>
          <t>Credit Collection 赊账收款</t>
        </is>
      </c>
      <c r="B3632" s="6">
        <f>IF($B3627="","",'Daily Sale entry '!E261)</f>
        <v/>
      </c>
      <c r="D3632" t="inlineStr">
        <is>
          <t>Advance Salary_M 预支薪水_M</t>
        </is>
      </c>
      <c r="E3632" s="6">
        <f>IF($B3627="","",'Daily Sale entry '!L261)</f>
        <v/>
      </c>
      <c r="H3632" t="inlineStr">
        <is>
          <t>Credit Collection 赊账收款</t>
        </is>
      </c>
      <c r="I3632" s="6">
        <f>IF($B3627="","",B3632)</f>
        <v/>
      </c>
      <c r="K3632" t="inlineStr">
        <is>
          <t>Advance Salary_M 预支薪水_M</t>
        </is>
      </c>
      <c r="L3632" s="6">
        <f>IF($B3627="","",E3632)</f>
        <v/>
      </c>
    </row>
    <row r="3633">
      <c r="A3633" s="10" t="inlineStr">
        <is>
          <t>Amount 2 金额2  (Amount + Credit Collection)</t>
        </is>
      </c>
      <c r="B3633" s="11">
        <f>IF($B3627="","",ROUND(B3631+B3632,2))</f>
        <v/>
      </c>
      <c r="D3633" t="inlineStr">
        <is>
          <t>Advance Salary_H 预支薪水_H</t>
        </is>
      </c>
      <c r="E3633" s="6">
        <f>IF($B3627="","",'Daily Sale entry '!M261)</f>
        <v/>
      </c>
      <c r="H3633" s="10" t="inlineStr">
        <is>
          <t>Amount 2 金额2  (Amount + Credit Collection)</t>
        </is>
      </c>
      <c r="I3633" s="11">
        <f>IF($B3627="","",ROUND(I3631+I3632,2))</f>
        <v/>
      </c>
      <c r="K3633" t="inlineStr">
        <is>
          <t>Advance Salary_H 预支薪水_H</t>
        </is>
      </c>
      <c r="L3633" s="6">
        <f>IF($B3627="","",E3633)</f>
        <v/>
      </c>
    </row>
    <row r="3634"/>
    <row r="3635">
      <c r="A3635" s="1" t="inlineStr">
        <is>
          <t>b/f petty cash 上日备用金结转</t>
        </is>
      </c>
      <c r="B3635" s="9">
        <f>IF($B3627="","",'Daily Sale entry '!F261)</f>
        <v/>
      </c>
      <c r="D3635" s="1" t="n"/>
      <c r="E3635" s="1" t="n"/>
      <c r="H3635" s="1" t="inlineStr">
        <is>
          <t>b/f petty cash 上日备用金结转</t>
        </is>
      </c>
      <c r="I3635" s="9">
        <f>IF($B3627="","",B3635)</f>
        <v/>
      </c>
      <c r="K3635" s="1" t="n"/>
      <c r="L3635" s="1" t="n"/>
    </row>
    <row r="3636">
      <c r="A3636" t="inlineStr">
        <is>
          <t>Total (A) 总计 (A)</t>
        </is>
      </c>
      <c r="B3636" s="6">
        <f>IF($B3627="","",ROUND(B3633+B3635,2))</f>
        <v/>
      </c>
      <c r="D3636" t="inlineStr">
        <is>
          <t>Total(B) 总计 (B)</t>
        </is>
      </c>
      <c r="E3636" s="6">
        <f>IF($B3627="","",ROUND(E3628+E3629+E3630+E3631+E3632+E3633,2))</f>
        <v/>
      </c>
      <c r="H3636" t="inlineStr">
        <is>
          <t>Total© 总计 (C)</t>
        </is>
      </c>
      <c r="I3636" s="6">
        <f>IF($B3627="","",ROUND(I3633+I3635,2))</f>
        <v/>
      </c>
      <c r="K3636" t="inlineStr">
        <is>
          <t>Total(D) 总计 (D)</t>
        </is>
      </c>
      <c r="L3636" s="6">
        <f>IF($B3627="","",ROUND(L3628+L3629+L3630+L3631+L3632+L3633,2))</f>
        <v/>
      </c>
    </row>
    <row r="3637">
      <c r="A3637" s="14" t="inlineStr">
        <is>
          <t>Total = Amount 2 + b/f petty cash  (金额2 + 上日备用金)</t>
        </is>
      </c>
      <c r="H3637" s="14" t="inlineStr">
        <is>
          <t>Total = Amount 2 + b/f petty cash  (金额2 + 上日备用金)</t>
        </is>
      </c>
    </row>
    <row r="3638">
      <c r="A3638" t="inlineStr">
        <is>
          <t>Different 差额</t>
        </is>
      </c>
      <c r="B3638" s="6">
        <f>IF($B3627="","",ROUND(B3636-E3636,2))</f>
        <v/>
      </c>
      <c r="D3638">
        <f>IF($B3627="","",IF(ABS(B3638)&gt;'Opening Balance'!$B$16,"ALERT 警报: Different over RM"&amp;'Opening Balance'!$B$16&amp;" 差额超过RM"&amp;'Opening Balance'!$B$16&amp;" - please check 请检查",IF(B3638=0,"Tied 平衡",IF(ABS(B3638)&lt;='Opening Balance'!$B$13,"Small difference 小额差额: adjusted on c/f petty cash 已调整备用金",IF(B3638&gt;0,"Short 短收: added to Misc Charges 已加入杂项费用","Over 多收: added to Cash Sales 已加入现金销售")))))</f>
        <v/>
      </c>
      <c r="H3638" t="inlineStr">
        <is>
          <t>Different 差额</t>
        </is>
      </c>
      <c r="I3638" s="6">
        <f>IF($B3627="","",ROUND(I3636-L3636,2))</f>
        <v/>
      </c>
    </row>
    <row r="3639"/>
    <row r="3640"/>
    <row r="3641">
      <c r="A3641" t="inlineStr">
        <is>
          <t>Date 日期</t>
        </is>
      </c>
      <c r="B3641" s="5">
        <f>IF('Daily Sale entry '!$A262="","",'Daily Sale entry '!$A262)</f>
        <v/>
      </c>
      <c r="H3641" t="inlineStr">
        <is>
          <t>After 调整后 (After)</t>
        </is>
      </c>
      <c r="I3641" s="5">
        <f>IF($B3641="","",B3641)</f>
        <v/>
      </c>
    </row>
    <row r="3642">
      <c r="A3642" t="inlineStr">
        <is>
          <t>Cash Sales 现金销售</t>
        </is>
      </c>
      <c r="B3642" s="6">
        <f>IF($B3641="","",'Daily Sale entry '!B262)</f>
        <v/>
      </c>
      <c r="D3642" t="inlineStr">
        <is>
          <t>c/f petty cash 今日备用金结转</t>
        </is>
      </c>
      <c r="E3642" s="6">
        <f>IF($B3641="","",'Daily Sale entry '!G262)</f>
        <v/>
      </c>
      <c r="H3642" t="inlineStr">
        <is>
          <t>Cash Sales 现金销售</t>
        </is>
      </c>
      <c r="I3642" s="6">
        <f>IF($B3641="","",IF(AND(ABS(B3652)&gt;'Opening Balance'!$B$13,B3652&lt;0),ROUND(B3642-B3652,2),B3642))</f>
        <v/>
      </c>
      <c r="K3642" t="inlineStr">
        <is>
          <t>c/f petty cash 今日备用金结转</t>
        </is>
      </c>
      <c r="L3642" s="6">
        <f>IF($B3641="","",IF(ABS(B3652)&lt;='Opening Balance'!$B$13,ROUND(E3642+B3652,2),E3642))</f>
        <v/>
      </c>
    </row>
    <row r="3643">
      <c r="A3643" t="inlineStr">
        <is>
          <t>Misc Charges 杂项费用</t>
        </is>
      </c>
      <c r="B3643" s="6">
        <f>IF($B3641="","",'Daily Sale entry '!C262)</f>
        <v/>
      </c>
      <c r="D3643" t="inlineStr">
        <is>
          <t>cash collection 现金收款</t>
        </is>
      </c>
      <c r="E3643" s="6">
        <f>IF($B3641="","",'Daily Sale entry '!H262)</f>
        <v/>
      </c>
      <c r="H3643" t="inlineStr">
        <is>
          <t>Misc Charges 杂项费用</t>
        </is>
      </c>
      <c r="I3643" s="6">
        <f>IF($B3641="","",IF(AND(ABS(B3652)&gt;'Opening Balance'!$B$13,B3652&gt;0),ROUND(B3643+B3652,2),B3643))</f>
        <v/>
      </c>
      <c r="K3643" t="inlineStr">
        <is>
          <t>cash collection 现金收款</t>
        </is>
      </c>
      <c r="L3643" s="6">
        <f>IF($B3641="","",E3643)</f>
        <v/>
      </c>
    </row>
    <row r="3644">
      <c r="A3644" s="1" t="inlineStr">
        <is>
          <t>Other Charges 其他费用</t>
        </is>
      </c>
      <c r="B3644" s="9">
        <f>IF($B3641="","",'Daily Sale entry '!D262)</f>
        <v/>
      </c>
      <c r="D3644" s="1" t="inlineStr">
        <is>
          <t>Cheque Collection 支票收款</t>
        </is>
      </c>
      <c r="E3644" s="9">
        <f>IF($B3641="","",'Daily Sale entry '!J262)</f>
        <v/>
      </c>
      <c r="H3644" s="1" t="inlineStr">
        <is>
          <t>Other Charges 其他费用</t>
        </is>
      </c>
      <c r="I3644" s="9">
        <f>IF($B3641="","",B3644)</f>
        <v/>
      </c>
      <c r="K3644" s="1" t="inlineStr">
        <is>
          <t>Cheque Collection 支票收款</t>
        </is>
      </c>
      <c r="L3644" s="9">
        <f>IF($B3641="","",E3644)</f>
        <v/>
      </c>
    </row>
    <row r="3645">
      <c r="A3645" s="10" t="inlineStr">
        <is>
          <t>Amount 金额  (Cash Sales - Misc - Other)</t>
        </is>
      </c>
      <c r="B3645" s="11">
        <f>IF($B3641="","",ROUND(B3642-B3643-B3644,2))</f>
        <v/>
      </c>
      <c r="D3645" s="12" t="inlineStr">
        <is>
          <t>TNG collection TNG收款</t>
        </is>
      </c>
      <c r="E3645" s="13">
        <f>IF($B3641="","",'Daily Sale entry '!K262)</f>
        <v/>
      </c>
      <c r="H3645" s="10" t="inlineStr">
        <is>
          <t>Amount 金额  (Cash Sales - Misc - Other)</t>
        </is>
      </c>
      <c r="I3645" s="11">
        <f>IF($B3641="","",ROUND(I3642-I3643-I3644,2))</f>
        <v/>
      </c>
      <c r="K3645" s="12" t="inlineStr">
        <is>
          <t>TNG collection TNG收款</t>
        </is>
      </c>
      <c r="L3645" s="13">
        <f>IF($B3641="","",E3645)</f>
        <v/>
      </c>
    </row>
    <row r="3646">
      <c r="A3646" t="inlineStr">
        <is>
          <t>Credit Collection 赊账收款</t>
        </is>
      </c>
      <c r="B3646" s="6">
        <f>IF($B3641="","",'Daily Sale entry '!E262)</f>
        <v/>
      </c>
      <c r="D3646" t="inlineStr">
        <is>
          <t>Advance Salary_M 预支薪水_M</t>
        </is>
      </c>
      <c r="E3646" s="6">
        <f>IF($B3641="","",'Daily Sale entry '!L262)</f>
        <v/>
      </c>
      <c r="H3646" t="inlineStr">
        <is>
          <t>Credit Collection 赊账收款</t>
        </is>
      </c>
      <c r="I3646" s="6">
        <f>IF($B3641="","",B3646)</f>
        <v/>
      </c>
      <c r="K3646" t="inlineStr">
        <is>
          <t>Advance Salary_M 预支薪水_M</t>
        </is>
      </c>
      <c r="L3646" s="6">
        <f>IF($B3641="","",E3646)</f>
        <v/>
      </c>
    </row>
    <row r="3647">
      <c r="A3647" s="10" t="inlineStr">
        <is>
          <t>Amount 2 金额2  (Amount + Credit Collection)</t>
        </is>
      </c>
      <c r="B3647" s="11">
        <f>IF($B3641="","",ROUND(B3645+B3646,2))</f>
        <v/>
      </c>
      <c r="D3647" t="inlineStr">
        <is>
          <t>Advance Salary_H 预支薪水_H</t>
        </is>
      </c>
      <c r="E3647" s="6">
        <f>IF($B3641="","",'Daily Sale entry '!M262)</f>
        <v/>
      </c>
      <c r="H3647" s="10" t="inlineStr">
        <is>
          <t>Amount 2 金额2  (Amount + Credit Collection)</t>
        </is>
      </c>
      <c r="I3647" s="11">
        <f>IF($B3641="","",ROUND(I3645+I3646,2))</f>
        <v/>
      </c>
      <c r="K3647" t="inlineStr">
        <is>
          <t>Advance Salary_H 预支薪水_H</t>
        </is>
      </c>
      <c r="L3647" s="6">
        <f>IF($B3641="","",E3647)</f>
        <v/>
      </c>
    </row>
    <row r="3648"/>
    <row r="3649">
      <c r="A3649" s="1" t="inlineStr">
        <is>
          <t>b/f petty cash 上日备用金结转</t>
        </is>
      </c>
      <c r="B3649" s="9">
        <f>IF($B3641="","",'Daily Sale entry '!F262)</f>
        <v/>
      </c>
      <c r="D3649" s="1" t="n"/>
      <c r="E3649" s="1" t="n"/>
      <c r="H3649" s="1" t="inlineStr">
        <is>
          <t>b/f petty cash 上日备用金结转</t>
        </is>
      </c>
      <c r="I3649" s="9">
        <f>IF($B3641="","",B3649)</f>
        <v/>
      </c>
      <c r="K3649" s="1" t="n"/>
      <c r="L3649" s="1" t="n"/>
    </row>
    <row r="3650">
      <c r="A3650" t="inlineStr">
        <is>
          <t>Total (A) 总计 (A)</t>
        </is>
      </c>
      <c r="B3650" s="6">
        <f>IF($B3641="","",ROUND(B3647+B3649,2))</f>
        <v/>
      </c>
      <c r="D3650" t="inlineStr">
        <is>
          <t>Total(B) 总计 (B)</t>
        </is>
      </c>
      <c r="E3650" s="6">
        <f>IF($B3641="","",ROUND(E3642+E3643+E3644+E3645+E3646+E3647,2))</f>
        <v/>
      </c>
      <c r="H3650" t="inlineStr">
        <is>
          <t>Total© 总计 (C)</t>
        </is>
      </c>
      <c r="I3650" s="6">
        <f>IF($B3641="","",ROUND(I3647+I3649,2))</f>
        <v/>
      </c>
      <c r="K3650" t="inlineStr">
        <is>
          <t>Total(D) 总计 (D)</t>
        </is>
      </c>
      <c r="L3650" s="6">
        <f>IF($B3641="","",ROUND(L3642+L3643+L3644+L3645+L3646+L3647,2))</f>
        <v/>
      </c>
    </row>
    <row r="3651">
      <c r="A3651" s="14" t="inlineStr">
        <is>
          <t>Total = Amount 2 + b/f petty cash  (金额2 + 上日备用金)</t>
        </is>
      </c>
      <c r="H3651" s="14" t="inlineStr">
        <is>
          <t>Total = Amount 2 + b/f petty cash  (金额2 + 上日备用金)</t>
        </is>
      </c>
    </row>
    <row r="3652">
      <c r="A3652" t="inlineStr">
        <is>
          <t>Different 差额</t>
        </is>
      </c>
      <c r="B3652" s="6">
        <f>IF($B3641="","",ROUND(B3650-E3650,2))</f>
        <v/>
      </c>
      <c r="D3652">
        <f>IF($B3641="","",IF(ABS(B3652)&gt;'Opening Balance'!$B$16,"ALERT 警报: Different over RM"&amp;'Opening Balance'!$B$16&amp;" 差额超过RM"&amp;'Opening Balance'!$B$16&amp;" - please check 请检查",IF(B3652=0,"Tied 平衡",IF(ABS(B3652)&lt;='Opening Balance'!$B$13,"Small difference 小额差额: adjusted on c/f petty cash 已调整备用金",IF(B3652&gt;0,"Short 短收: added to Misc Charges 已加入杂项费用","Over 多收: added to Cash Sales 已加入现金销售")))))</f>
        <v/>
      </c>
      <c r="H3652" t="inlineStr">
        <is>
          <t>Different 差额</t>
        </is>
      </c>
      <c r="I3652" s="6">
        <f>IF($B3641="","",ROUND(I3650-L3650,2))</f>
        <v/>
      </c>
    </row>
    <row r="3653"/>
    <row r="3654"/>
    <row r="3655">
      <c r="A3655" t="inlineStr">
        <is>
          <t>Date 日期</t>
        </is>
      </c>
      <c r="B3655" s="5">
        <f>IF('Daily Sale entry '!$A263="","",'Daily Sale entry '!$A263)</f>
        <v/>
      </c>
      <c r="H3655" t="inlineStr">
        <is>
          <t>After 调整后 (After)</t>
        </is>
      </c>
      <c r="I3655" s="5">
        <f>IF($B3655="","",B3655)</f>
        <v/>
      </c>
    </row>
    <row r="3656">
      <c r="A3656" t="inlineStr">
        <is>
          <t>Cash Sales 现金销售</t>
        </is>
      </c>
      <c r="B3656" s="6">
        <f>IF($B3655="","",'Daily Sale entry '!B263)</f>
        <v/>
      </c>
      <c r="D3656" t="inlineStr">
        <is>
          <t>c/f petty cash 今日备用金结转</t>
        </is>
      </c>
      <c r="E3656" s="6">
        <f>IF($B3655="","",'Daily Sale entry '!G263)</f>
        <v/>
      </c>
      <c r="H3656" t="inlineStr">
        <is>
          <t>Cash Sales 现金销售</t>
        </is>
      </c>
      <c r="I3656" s="6">
        <f>IF($B3655="","",IF(AND(ABS(B3666)&gt;'Opening Balance'!$B$13,B3666&lt;0),ROUND(B3656-B3666,2),B3656))</f>
        <v/>
      </c>
      <c r="K3656" t="inlineStr">
        <is>
          <t>c/f petty cash 今日备用金结转</t>
        </is>
      </c>
      <c r="L3656" s="6">
        <f>IF($B3655="","",IF(ABS(B3666)&lt;='Opening Balance'!$B$13,ROUND(E3656+B3666,2),E3656))</f>
        <v/>
      </c>
    </row>
    <row r="3657">
      <c r="A3657" t="inlineStr">
        <is>
          <t>Misc Charges 杂项费用</t>
        </is>
      </c>
      <c r="B3657" s="6">
        <f>IF($B3655="","",'Daily Sale entry '!C263)</f>
        <v/>
      </c>
      <c r="D3657" t="inlineStr">
        <is>
          <t>cash collection 现金收款</t>
        </is>
      </c>
      <c r="E3657" s="6">
        <f>IF($B3655="","",'Daily Sale entry '!H263)</f>
        <v/>
      </c>
      <c r="H3657" t="inlineStr">
        <is>
          <t>Misc Charges 杂项费用</t>
        </is>
      </c>
      <c r="I3657" s="6">
        <f>IF($B3655="","",IF(AND(ABS(B3666)&gt;'Opening Balance'!$B$13,B3666&gt;0),ROUND(B3657+B3666,2),B3657))</f>
        <v/>
      </c>
      <c r="K3657" t="inlineStr">
        <is>
          <t>cash collection 现金收款</t>
        </is>
      </c>
      <c r="L3657" s="6">
        <f>IF($B3655="","",E3657)</f>
        <v/>
      </c>
    </row>
    <row r="3658">
      <c r="A3658" s="1" t="inlineStr">
        <is>
          <t>Other Charges 其他费用</t>
        </is>
      </c>
      <c r="B3658" s="9">
        <f>IF($B3655="","",'Daily Sale entry '!D263)</f>
        <v/>
      </c>
      <c r="D3658" s="1" t="inlineStr">
        <is>
          <t>Cheque Collection 支票收款</t>
        </is>
      </c>
      <c r="E3658" s="9">
        <f>IF($B3655="","",'Daily Sale entry '!J263)</f>
        <v/>
      </c>
      <c r="H3658" s="1" t="inlineStr">
        <is>
          <t>Other Charges 其他费用</t>
        </is>
      </c>
      <c r="I3658" s="9">
        <f>IF($B3655="","",B3658)</f>
        <v/>
      </c>
      <c r="K3658" s="1" t="inlineStr">
        <is>
          <t>Cheque Collection 支票收款</t>
        </is>
      </c>
      <c r="L3658" s="9">
        <f>IF($B3655="","",E3658)</f>
        <v/>
      </c>
    </row>
    <row r="3659">
      <c r="A3659" s="10" t="inlineStr">
        <is>
          <t>Amount 金额  (Cash Sales - Misc - Other)</t>
        </is>
      </c>
      <c r="B3659" s="11">
        <f>IF($B3655="","",ROUND(B3656-B3657-B3658,2))</f>
        <v/>
      </c>
      <c r="D3659" s="12" t="inlineStr">
        <is>
          <t>TNG collection TNG收款</t>
        </is>
      </c>
      <c r="E3659" s="13">
        <f>IF($B3655="","",'Daily Sale entry '!K263)</f>
        <v/>
      </c>
      <c r="H3659" s="10" t="inlineStr">
        <is>
          <t>Amount 金额  (Cash Sales - Misc - Other)</t>
        </is>
      </c>
      <c r="I3659" s="11">
        <f>IF($B3655="","",ROUND(I3656-I3657-I3658,2))</f>
        <v/>
      </c>
      <c r="K3659" s="12" t="inlineStr">
        <is>
          <t>TNG collection TNG收款</t>
        </is>
      </c>
      <c r="L3659" s="13">
        <f>IF($B3655="","",E3659)</f>
        <v/>
      </c>
    </row>
    <row r="3660">
      <c r="A3660" t="inlineStr">
        <is>
          <t>Credit Collection 赊账收款</t>
        </is>
      </c>
      <c r="B3660" s="6">
        <f>IF($B3655="","",'Daily Sale entry '!E263)</f>
        <v/>
      </c>
      <c r="D3660" t="inlineStr">
        <is>
          <t>Advance Salary_M 预支薪水_M</t>
        </is>
      </c>
      <c r="E3660" s="6">
        <f>IF($B3655="","",'Daily Sale entry '!L263)</f>
        <v/>
      </c>
      <c r="H3660" t="inlineStr">
        <is>
          <t>Credit Collection 赊账收款</t>
        </is>
      </c>
      <c r="I3660" s="6">
        <f>IF($B3655="","",B3660)</f>
        <v/>
      </c>
      <c r="K3660" t="inlineStr">
        <is>
          <t>Advance Salary_M 预支薪水_M</t>
        </is>
      </c>
      <c r="L3660" s="6">
        <f>IF($B3655="","",E3660)</f>
        <v/>
      </c>
    </row>
    <row r="3661">
      <c r="A3661" s="10" t="inlineStr">
        <is>
          <t>Amount 2 金额2  (Amount + Credit Collection)</t>
        </is>
      </c>
      <c r="B3661" s="11">
        <f>IF($B3655="","",ROUND(B3659+B3660,2))</f>
        <v/>
      </c>
      <c r="D3661" t="inlineStr">
        <is>
          <t>Advance Salary_H 预支薪水_H</t>
        </is>
      </c>
      <c r="E3661" s="6">
        <f>IF($B3655="","",'Daily Sale entry '!M263)</f>
        <v/>
      </c>
      <c r="H3661" s="10" t="inlineStr">
        <is>
          <t>Amount 2 金额2  (Amount + Credit Collection)</t>
        </is>
      </c>
      <c r="I3661" s="11">
        <f>IF($B3655="","",ROUND(I3659+I3660,2))</f>
        <v/>
      </c>
      <c r="K3661" t="inlineStr">
        <is>
          <t>Advance Salary_H 预支薪水_H</t>
        </is>
      </c>
      <c r="L3661" s="6">
        <f>IF($B3655="","",E3661)</f>
        <v/>
      </c>
    </row>
    <row r="3662"/>
    <row r="3663">
      <c r="A3663" s="1" t="inlineStr">
        <is>
          <t>b/f petty cash 上日备用金结转</t>
        </is>
      </c>
      <c r="B3663" s="9">
        <f>IF($B3655="","",'Daily Sale entry '!F263)</f>
        <v/>
      </c>
      <c r="D3663" s="1" t="n"/>
      <c r="E3663" s="1" t="n"/>
      <c r="H3663" s="1" t="inlineStr">
        <is>
          <t>b/f petty cash 上日备用金结转</t>
        </is>
      </c>
      <c r="I3663" s="9">
        <f>IF($B3655="","",B3663)</f>
        <v/>
      </c>
      <c r="K3663" s="1" t="n"/>
      <c r="L3663" s="1" t="n"/>
    </row>
    <row r="3664">
      <c r="A3664" t="inlineStr">
        <is>
          <t>Total (A) 总计 (A)</t>
        </is>
      </c>
      <c r="B3664" s="6">
        <f>IF($B3655="","",ROUND(B3661+B3663,2))</f>
        <v/>
      </c>
      <c r="D3664" t="inlineStr">
        <is>
          <t>Total(B) 总计 (B)</t>
        </is>
      </c>
      <c r="E3664" s="6">
        <f>IF($B3655="","",ROUND(E3656+E3657+E3658+E3659+E3660+E3661,2))</f>
        <v/>
      </c>
      <c r="H3664" t="inlineStr">
        <is>
          <t>Total© 总计 (C)</t>
        </is>
      </c>
      <c r="I3664" s="6">
        <f>IF($B3655="","",ROUND(I3661+I3663,2))</f>
        <v/>
      </c>
      <c r="K3664" t="inlineStr">
        <is>
          <t>Total(D) 总计 (D)</t>
        </is>
      </c>
      <c r="L3664" s="6">
        <f>IF($B3655="","",ROUND(L3656+L3657+L3658+L3659+L3660+L3661,2))</f>
        <v/>
      </c>
    </row>
    <row r="3665">
      <c r="A3665" s="14" t="inlineStr">
        <is>
          <t>Total = Amount 2 + b/f petty cash  (金额2 + 上日备用金)</t>
        </is>
      </c>
      <c r="H3665" s="14" t="inlineStr">
        <is>
          <t>Total = Amount 2 + b/f petty cash  (金额2 + 上日备用金)</t>
        </is>
      </c>
    </row>
    <row r="3666">
      <c r="A3666" t="inlineStr">
        <is>
          <t>Different 差额</t>
        </is>
      </c>
      <c r="B3666" s="6">
        <f>IF($B3655="","",ROUND(B3664-E3664,2))</f>
        <v/>
      </c>
      <c r="D3666">
        <f>IF($B3655="","",IF(ABS(B3666)&gt;'Opening Balance'!$B$16,"ALERT 警报: Different over RM"&amp;'Opening Balance'!$B$16&amp;" 差额超过RM"&amp;'Opening Balance'!$B$16&amp;" - please check 请检查",IF(B3666=0,"Tied 平衡",IF(ABS(B3666)&lt;='Opening Balance'!$B$13,"Small difference 小额差额: adjusted on c/f petty cash 已调整备用金",IF(B3666&gt;0,"Short 短收: added to Misc Charges 已加入杂项费用","Over 多收: added to Cash Sales 已加入现金销售")))))</f>
        <v/>
      </c>
      <c r="H3666" t="inlineStr">
        <is>
          <t>Different 差额</t>
        </is>
      </c>
      <c r="I3666" s="6">
        <f>IF($B3655="","",ROUND(I3664-L3664,2))</f>
        <v/>
      </c>
    </row>
    <row r="3667"/>
    <row r="3668"/>
    <row r="3669">
      <c r="A3669" t="inlineStr">
        <is>
          <t>Date 日期</t>
        </is>
      </c>
      <c r="B3669" s="5">
        <f>IF('Daily Sale entry '!$A264="","",'Daily Sale entry '!$A264)</f>
        <v/>
      </c>
      <c r="H3669" t="inlineStr">
        <is>
          <t>After 调整后 (After)</t>
        </is>
      </c>
      <c r="I3669" s="5">
        <f>IF($B3669="","",B3669)</f>
        <v/>
      </c>
    </row>
    <row r="3670">
      <c r="A3670" t="inlineStr">
        <is>
          <t>Cash Sales 现金销售</t>
        </is>
      </c>
      <c r="B3670" s="6">
        <f>IF($B3669="","",'Daily Sale entry '!B264)</f>
        <v/>
      </c>
      <c r="D3670" t="inlineStr">
        <is>
          <t>c/f petty cash 今日备用金结转</t>
        </is>
      </c>
      <c r="E3670" s="6">
        <f>IF($B3669="","",'Daily Sale entry '!G264)</f>
        <v/>
      </c>
      <c r="H3670" t="inlineStr">
        <is>
          <t>Cash Sales 现金销售</t>
        </is>
      </c>
      <c r="I3670" s="6">
        <f>IF($B3669="","",IF(AND(ABS(B3680)&gt;'Opening Balance'!$B$13,B3680&lt;0),ROUND(B3670-B3680,2),B3670))</f>
        <v/>
      </c>
      <c r="K3670" t="inlineStr">
        <is>
          <t>c/f petty cash 今日备用金结转</t>
        </is>
      </c>
      <c r="L3670" s="6">
        <f>IF($B3669="","",IF(ABS(B3680)&lt;='Opening Balance'!$B$13,ROUND(E3670+B3680,2),E3670))</f>
        <v/>
      </c>
    </row>
    <row r="3671">
      <c r="A3671" t="inlineStr">
        <is>
          <t>Misc Charges 杂项费用</t>
        </is>
      </c>
      <c r="B3671" s="6">
        <f>IF($B3669="","",'Daily Sale entry '!C264)</f>
        <v/>
      </c>
      <c r="D3671" t="inlineStr">
        <is>
          <t>cash collection 现金收款</t>
        </is>
      </c>
      <c r="E3671" s="6">
        <f>IF($B3669="","",'Daily Sale entry '!H264)</f>
        <v/>
      </c>
      <c r="H3671" t="inlineStr">
        <is>
          <t>Misc Charges 杂项费用</t>
        </is>
      </c>
      <c r="I3671" s="6">
        <f>IF($B3669="","",IF(AND(ABS(B3680)&gt;'Opening Balance'!$B$13,B3680&gt;0),ROUND(B3671+B3680,2),B3671))</f>
        <v/>
      </c>
      <c r="K3671" t="inlineStr">
        <is>
          <t>cash collection 现金收款</t>
        </is>
      </c>
      <c r="L3671" s="6">
        <f>IF($B3669="","",E3671)</f>
        <v/>
      </c>
    </row>
    <row r="3672">
      <c r="A3672" s="1" t="inlineStr">
        <is>
          <t>Other Charges 其他费用</t>
        </is>
      </c>
      <c r="B3672" s="9">
        <f>IF($B3669="","",'Daily Sale entry '!D264)</f>
        <v/>
      </c>
      <c r="D3672" s="1" t="inlineStr">
        <is>
          <t>Cheque Collection 支票收款</t>
        </is>
      </c>
      <c r="E3672" s="9">
        <f>IF($B3669="","",'Daily Sale entry '!J264)</f>
        <v/>
      </c>
      <c r="H3672" s="1" t="inlineStr">
        <is>
          <t>Other Charges 其他费用</t>
        </is>
      </c>
      <c r="I3672" s="9">
        <f>IF($B3669="","",B3672)</f>
        <v/>
      </c>
      <c r="K3672" s="1" t="inlineStr">
        <is>
          <t>Cheque Collection 支票收款</t>
        </is>
      </c>
      <c r="L3672" s="9">
        <f>IF($B3669="","",E3672)</f>
        <v/>
      </c>
    </row>
    <row r="3673">
      <c r="A3673" s="10" t="inlineStr">
        <is>
          <t>Amount 金额  (Cash Sales - Misc - Other)</t>
        </is>
      </c>
      <c r="B3673" s="11">
        <f>IF($B3669="","",ROUND(B3670-B3671-B3672,2))</f>
        <v/>
      </c>
      <c r="D3673" s="12" t="inlineStr">
        <is>
          <t>TNG collection TNG收款</t>
        </is>
      </c>
      <c r="E3673" s="13">
        <f>IF($B3669="","",'Daily Sale entry '!K264)</f>
        <v/>
      </c>
      <c r="H3673" s="10" t="inlineStr">
        <is>
          <t>Amount 金额  (Cash Sales - Misc - Other)</t>
        </is>
      </c>
      <c r="I3673" s="11">
        <f>IF($B3669="","",ROUND(I3670-I3671-I3672,2))</f>
        <v/>
      </c>
      <c r="K3673" s="12" t="inlineStr">
        <is>
          <t>TNG collection TNG收款</t>
        </is>
      </c>
      <c r="L3673" s="13">
        <f>IF($B3669="","",E3673)</f>
        <v/>
      </c>
    </row>
    <row r="3674">
      <c r="A3674" t="inlineStr">
        <is>
          <t>Credit Collection 赊账收款</t>
        </is>
      </c>
      <c r="B3674" s="6">
        <f>IF($B3669="","",'Daily Sale entry '!E264)</f>
        <v/>
      </c>
      <c r="D3674" t="inlineStr">
        <is>
          <t>Advance Salary_M 预支薪水_M</t>
        </is>
      </c>
      <c r="E3674" s="6">
        <f>IF($B3669="","",'Daily Sale entry '!L264)</f>
        <v/>
      </c>
      <c r="H3674" t="inlineStr">
        <is>
          <t>Credit Collection 赊账收款</t>
        </is>
      </c>
      <c r="I3674" s="6">
        <f>IF($B3669="","",B3674)</f>
        <v/>
      </c>
      <c r="K3674" t="inlineStr">
        <is>
          <t>Advance Salary_M 预支薪水_M</t>
        </is>
      </c>
      <c r="L3674" s="6">
        <f>IF($B3669="","",E3674)</f>
        <v/>
      </c>
    </row>
    <row r="3675">
      <c r="A3675" s="10" t="inlineStr">
        <is>
          <t>Amount 2 金额2  (Amount + Credit Collection)</t>
        </is>
      </c>
      <c r="B3675" s="11">
        <f>IF($B3669="","",ROUND(B3673+B3674,2))</f>
        <v/>
      </c>
      <c r="D3675" t="inlineStr">
        <is>
          <t>Advance Salary_H 预支薪水_H</t>
        </is>
      </c>
      <c r="E3675" s="6">
        <f>IF($B3669="","",'Daily Sale entry '!M264)</f>
        <v/>
      </c>
      <c r="H3675" s="10" t="inlineStr">
        <is>
          <t>Amount 2 金额2  (Amount + Credit Collection)</t>
        </is>
      </c>
      <c r="I3675" s="11">
        <f>IF($B3669="","",ROUND(I3673+I3674,2))</f>
        <v/>
      </c>
      <c r="K3675" t="inlineStr">
        <is>
          <t>Advance Salary_H 预支薪水_H</t>
        </is>
      </c>
      <c r="L3675" s="6">
        <f>IF($B3669="","",E3675)</f>
        <v/>
      </c>
    </row>
    <row r="3676"/>
    <row r="3677">
      <c r="A3677" s="1" t="inlineStr">
        <is>
          <t>b/f petty cash 上日备用金结转</t>
        </is>
      </c>
      <c r="B3677" s="9">
        <f>IF($B3669="","",'Daily Sale entry '!F264)</f>
        <v/>
      </c>
      <c r="D3677" s="1" t="n"/>
      <c r="E3677" s="1" t="n"/>
      <c r="H3677" s="1" t="inlineStr">
        <is>
          <t>b/f petty cash 上日备用金结转</t>
        </is>
      </c>
      <c r="I3677" s="9">
        <f>IF($B3669="","",B3677)</f>
        <v/>
      </c>
      <c r="K3677" s="1" t="n"/>
      <c r="L3677" s="1" t="n"/>
    </row>
    <row r="3678">
      <c r="A3678" t="inlineStr">
        <is>
          <t>Total (A) 总计 (A)</t>
        </is>
      </c>
      <c r="B3678" s="6">
        <f>IF($B3669="","",ROUND(B3675+B3677,2))</f>
        <v/>
      </c>
      <c r="D3678" t="inlineStr">
        <is>
          <t>Total(B) 总计 (B)</t>
        </is>
      </c>
      <c r="E3678" s="6">
        <f>IF($B3669="","",ROUND(E3670+E3671+E3672+E3673+E3674+E3675,2))</f>
        <v/>
      </c>
      <c r="H3678" t="inlineStr">
        <is>
          <t>Total© 总计 (C)</t>
        </is>
      </c>
      <c r="I3678" s="6">
        <f>IF($B3669="","",ROUND(I3675+I3677,2))</f>
        <v/>
      </c>
      <c r="K3678" t="inlineStr">
        <is>
          <t>Total(D) 总计 (D)</t>
        </is>
      </c>
      <c r="L3678" s="6">
        <f>IF($B3669="","",ROUND(L3670+L3671+L3672+L3673+L3674+L3675,2))</f>
        <v/>
      </c>
    </row>
    <row r="3679">
      <c r="A3679" s="14" t="inlineStr">
        <is>
          <t>Total = Amount 2 + b/f petty cash  (金额2 + 上日备用金)</t>
        </is>
      </c>
      <c r="H3679" s="14" t="inlineStr">
        <is>
          <t>Total = Amount 2 + b/f petty cash  (金额2 + 上日备用金)</t>
        </is>
      </c>
    </row>
    <row r="3680">
      <c r="A3680" t="inlineStr">
        <is>
          <t>Different 差额</t>
        </is>
      </c>
      <c r="B3680" s="6">
        <f>IF($B3669="","",ROUND(B3678-E3678,2))</f>
        <v/>
      </c>
      <c r="D3680">
        <f>IF($B3669="","",IF(ABS(B3680)&gt;'Opening Balance'!$B$16,"ALERT 警报: Different over RM"&amp;'Opening Balance'!$B$16&amp;" 差额超过RM"&amp;'Opening Balance'!$B$16&amp;" - please check 请检查",IF(B3680=0,"Tied 平衡",IF(ABS(B3680)&lt;='Opening Balance'!$B$13,"Small difference 小额差额: adjusted on c/f petty cash 已调整备用金",IF(B3680&gt;0,"Short 短收: added to Misc Charges 已加入杂项费用","Over 多收: added to Cash Sales 已加入现金销售")))))</f>
        <v/>
      </c>
      <c r="H3680" t="inlineStr">
        <is>
          <t>Different 差额</t>
        </is>
      </c>
      <c r="I3680" s="6">
        <f>IF($B3669="","",ROUND(I3678-L3678,2))</f>
        <v/>
      </c>
    </row>
    <row r="3681"/>
    <row r="3682"/>
    <row r="3683">
      <c r="A3683" t="inlineStr">
        <is>
          <t>Date 日期</t>
        </is>
      </c>
      <c r="B3683" s="5">
        <f>IF('Daily Sale entry '!$A265="","",'Daily Sale entry '!$A265)</f>
        <v/>
      </c>
      <c r="H3683" t="inlineStr">
        <is>
          <t>After 调整后 (After)</t>
        </is>
      </c>
      <c r="I3683" s="5">
        <f>IF($B3683="","",B3683)</f>
        <v/>
      </c>
    </row>
    <row r="3684">
      <c r="A3684" t="inlineStr">
        <is>
          <t>Cash Sales 现金销售</t>
        </is>
      </c>
      <c r="B3684" s="6">
        <f>IF($B3683="","",'Daily Sale entry '!B265)</f>
        <v/>
      </c>
      <c r="D3684" t="inlineStr">
        <is>
          <t>c/f petty cash 今日备用金结转</t>
        </is>
      </c>
      <c r="E3684" s="6">
        <f>IF($B3683="","",'Daily Sale entry '!G265)</f>
        <v/>
      </c>
      <c r="H3684" t="inlineStr">
        <is>
          <t>Cash Sales 现金销售</t>
        </is>
      </c>
      <c r="I3684" s="6">
        <f>IF($B3683="","",IF(AND(ABS(B3694)&gt;'Opening Balance'!$B$13,B3694&lt;0),ROUND(B3684-B3694,2),B3684))</f>
        <v/>
      </c>
      <c r="K3684" t="inlineStr">
        <is>
          <t>c/f petty cash 今日备用金结转</t>
        </is>
      </c>
      <c r="L3684" s="6">
        <f>IF($B3683="","",IF(ABS(B3694)&lt;='Opening Balance'!$B$13,ROUND(E3684+B3694,2),E3684))</f>
        <v/>
      </c>
    </row>
    <row r="3685">
      <c r="A3685" t="inlineStr">
        <is>
          <t>Misc Charges 杂项费用</t>
        </is>
      </c>
      <c r="B3685" s="6">
        <f>IF($B3683="","",'Daily Sale entry '!C265)</f>
        <v/>
      </c>
      <c r="D3685" t="inlineStr">
        <is>
          <t>cash collection 现金收款</t>
        </is>
      </c>
      <c r="E3685" s="6">
        <f>IF($B3683="","",'Daily Sale entry '!H265)</f>
        <v/>
      </c>
      <c r="H3685" t="inlineStr">
        <is>
          <t>Misc Charges 杂项费用</t>
        </is>
      </c>
      <c r="I3685" s="6">
        <f>IF($B3683="","",IF(AND(ABS(B3694)&gt;'Opening Balance'!$B$13,B3694&gt;0),ROUND(B3685+B3694,2),B3685))</f>
        <v/>
      </c>
      <c r="K3685" t="inlineStr">
        <is>
          <t>cash collection 现金收款</t>
        </is>
      </c>
      <c r="L3685" s="6">
        <f>IF($B3683="","",E3685)</f>
        <v/>
      </c>
    </row>
    <row r="3686">
      <c r="A3686" s="1" t="inlineStr">
        <is>
          <t>Other Charges 其他费用</t>
        </is>
      </c>
      <c r="B3686" s="9">
        <f>IF($B3683="","",'Daily Sale entry '!D265)</f>
        <v/>
      </c>
      <c r="D3686" s="1" t="inlineStr">
        <is>
          <t>Cheque Collection 支票收款</t>
        </is>
      </c>
      <c r="E3686" s="9">
        <f>IF($B3683="","",'Daily Sale entry '!J265)</f>
        <v/>
      </c>
      <c r="H3686" s="1" t="inlineStr">
        <is>
          <t>Other Charges 其他费用</t>
        </is>
      </c>
      <c r="I3686" s="9">
        <f>IF($B3683="","",B3686)</f>
        <v/>
      </c>
      <c r="K3686" s="1" t="inlineStr">
        <is>
          <t>Cheque Collection 支票收款</t>
        </is>
      </c>
      <c r="L3686" s="9">
        <f>IF($B3683="","",E3686)</f>
        <v/>
      </c>
    </row>
    <row r="3687">
      <c r="A3687" s="10" t="inlineStr">
        <is>
          <t>Amount 金额  (Cash Sales - Misc - Other)</t>
        </is>
      </c>
      <c r="B3687" s="11">
        <f>IF($B3683="","",ROUND(B3684-B3685-B3686,2))</f>
        <v/>
      </c>
      <c r="D3687" s="12" t="inlineStr">
        <is>
          <t>TNG collection TNG收款</t>
        </is>
      </c>
      <c r="E3687" s="13">
        <f>IF($B3683="","",'Daily Sale entry '!K265)</f>
        <v/>
      </c>
      <c r="H3687" s="10" t="inlineStr">
        <is>
          <t>Amount 金额  (Cash Sales - Misc - Other)</t>
        </is>
      </c>
      <c r="I3687" s="11">
        <f>IF($B3683="","",ROUND(I3684-I3685-I3686,2))</f>
        <v/>
      </c>
      <c r="K3687" s="12" t="inlineStr">
        <is>
          <t>TNG collection TNG收款</t>
        </is>
      </c>
      <c r="L3687" s="13">
        <f>IF($B3683="","",E3687)</f>
        <v/>
      </c>
    </row>
    <row r="3688">
      <c r="A3688" t="inlineStr">
        <is>
          <t>Credit Collection 赊账收款</t>
        </is>
      </c>
      <c r="B3688" s="6">
        <f>IF($B3683="","",'Daily Sale entry '!E265)</f>
        <v/>
      </c>
      <c r="D3688" t="inlineStr">
        <is>
          <t>Advance Salary_M 预支薪水_M</t>
        </is>
      </c>
      <c r="E3688" s="6">
        <f>IF($B3683="","",'Daily Sale entry '!L265)</f>
        <v/>
      </c>
      <c r="H3688" t="inlineStr">
        <is>
          <t>Credit Collection 赊账收款</t>
        </is>
      </c>
      <c r="I3688" s="6">
        <f>IF($B3683="","",B3688)</f>
        <v/>
      </c>
      <c r="K3688" t="inlineStr">
        <is>
          <t>Advance Salary_M 预支薪水_M</t>
        </is>
      </c>
      <c r="L3688" s="6">
        <f>IF($B3683="","",E3688)</f>
        <v/>
      </c>
    </row>
    <row r="3689">
      <c r="A3689" s="10" t="inlineStr">
        <is>
          <t>Amount 2 金额2  (Amount + Credit Collection)</t>
        </is>
      </c>
      <c r="B3689" s="11">
        <f>IF($B3683="","",ROUND(B3687+B3688,2))</f>
        <v/>
      </c>
      <c r="D3689" t="inlineStr">
        <is>
          <t>Advance Salary_H 预支薪水_H</t>
        </is>
      </c>
      <c r="E3689" s="6">
        <f>IF($B3683="","",'Daily Sale entry '!M265)</f>
        <v/>
      </c>
      <c r="H3689" s="10" t="inlineStr">
        <is>
          <t>Amount 2 金额2  (Amount + Credit Collection)</t>
        </is>
      </c>
      <c r="I3689" s="11">
        <f>IF($B3683="","",ROUND(I3687+I3688,2))</f>
        <v/>
      </c>
      <c r="K3689" t="inlineStr">
        <is>
          <t>Advance Salary_H 预支薪水_H</t>
        </is>
      </c>
      <c r="L3689" s="6">
        <f>IF($B3683="","",E3689)</f>
        <v/>
      </c>
    </row>
    <row r="3690"/>
    <row r="3691">
      <c r="A3691" s="1" t="inlineStr">
        <is>
          <t>b/f petty cash 上日备用金结转</t>
        </is>
      </c>
      <c r="B3691" s="9">
        <f>IF($B3683="","",'Daily Sale entry '!F265)</f>
        <v/>
      </c>
      <c r="D3691" s="1" t="n"/>
      <c r="E3691" s="1" t="n"/>
      <c r="H3691" s="1" t="inlineStr">
        <is>
          <t>b/f petty cash 上日备用金结转</t>
        </is>
      </c>
      <c r="I3691" s="9">
        <f>IF($B3683="","",B3691)</f>
        <v/>
      </c>
      <c r="K3691" s="1" t="n"/>
      <c r="L3691" s="1" t="n"/>
    </row>
    <row r="3692">
      <c r="A3692" t="inlineStr">
        <is>
          <t>Total (A) 总计 (A)</t>
        </is>
      </c>
      <c r="B3692" s="6">
        <f>IF($B3683="","",ROUND(B3689+B3691,2))</f>
        <v/>
      </c>
      <c r="D3692" t="inlineStr">
        <is>
          <t>Total(B) 总计 (B)</t>
        </is>
      </c>
      <c r="E3692" s="6">
        <f>IF($B3683="","",ROUND(E3684+E3685+E3686+E3687+E3688+E3689,2))</f>
        <v/>
      </c>
      <c r="H3692" t="inlineStr">
        <is>
          <t>Total© 总计 (C)</t>
        </is>
      </c>
      <c r="I3692" s="6">
        <f>IF($B3683="","",ROUND(I3689+I3691,2))</f>
        <v/>
      </c>
      <c r="K3692" t="inlineStr">
        <is>
          <t>Total(D) 总计 (D)</t>
        </is>
      </c>
      <c r="L3692" s="6">
        <f>IF($B3683="","",ROUND(L3684+L3685+L3686+L3687+L3688+L3689,2))</f>
        <v/>
      </c>
    </row>
    <row r="3693">
      <c r="A3693" s="14" t="inlineStr">
        <is>
          <t>Total = Amount 2 + b/f petty cash  (金额2 + 上日备用金)</t>
        </is>
      </c>
      <c r="H3693" s="14" t="inlineStr">
        <is>
          <t>Total = Amount 2 + b/f petty cash  (金额2 + 上日备用金)</t>
        </is>
      </c>
    </row>
    <row r="3694">
      <c r="A3694" t="inlineStr">
        <is>
          <t>Different 差额</t>
        </is>
      </c>
      <c r="B3694" s="6">
        <f>IF($B3683="","",ROUND(B3692-E3692,2))</f>
        <v/>
      </c>
      <c r="D3694">
        <f>IF($B3683="","",IF(ABS(B3694)&gt;'Opening Balance'!$B$16,"ALERT 警报: Different over RM"&amp;'Opening Balance'!$B$16&amp;" 差额超过RM"&amp;'Opening Balance'!$B$16&amp;" - please check 请检查",IF(B3694=0,"Tied 平衡",IF(ABS(B3694)&lt;='Opening Balance'!$B$13,"Small difference 小额差额: adjusted on c/f petty cash 已调整备用金",IF(B3694&gt;0,"Short 短收: added to Misc Charges 已加入杂项费用","Over 多收: added to Cash Sales 已加入现金销售")))))</f>
        <v/>
      </c>
      <c r="H3694" t="inlineStr">
        <is>
          <t>Different 差额</t>
        </is>
      </c>
      <c r="I3694" s="6">
        <f>IF($B3683="","",ROUND(I3692-L3692,2))</f>
        <v/>
      </c>
    </row>
    <row r="3695"/>
    <row r="3696"/>
    <row r="3697">
      <c r="A3697" t="inlineStr">
        <is>
          <t>Date 日期</t>
        </is>
      </c>
      <c r="B3697" s="5">
        <f>IF('Daily Sale entry '!$A266="","",'Daily Sale entry '!$A266)</f>
        <v/>
      </c>
      <c r="H3697" t="inlineStr">
        <is>
          <t>After 调整后 (After)</t>
        </is>
      </c>
      <c r="I3697" s="5">
        <f>IF($B3697="","",B3697)</f>
        <v/>
      </c>
    </row>
    <row r="3698">
      <c r="A3698" t="inlineStr">
        <is>
          <t>Cash Sales 现金销售</t>
        </is>
      </c>
      <c r="B3698" s="6">
        <f>IF($B3697="","",'Daily Sale entry '!B266)</f>
        <v/>
      </c>
      <c r="D3698" t="inlineStr">
        <is>
          <t>c/f petty cash 今日备用金结转</t>
        </is>
      </c>
      <c r="E3698" s="6">
        <f>IF($B3697="","",'Daily Sale entry '!G266)</f>
        <v/>
      </c>
      <c r="H3698" t="inlineStr">
        <is>
          <t>Cash Sales 现金销售</t>
        </is>
      </c>
      <c r="I3698" s="6">
        <f>IF($B3697="","",IF(AND(ABS(B3708)&gt;'Opening Balance'!$B$13,B3708&lt;0),ROUND(B3698-B3708,2),B3698))</f>
        <v/>
      </c>
      <c r="K3698" t="inlineStr">
        <is>
          <t>c/f petty cash 今日备用金结转</t>
        </is>
      </c>
      <c r="L3698" s="6">
        <f>IF($B3697="","",IF(ABS(B3708)&lt;='Opening Balance'!$B$13,ROUND(E3698+B3708,2),E3698))</f>
        <v/>
      </c>
    </row>
    <row r="3699">
      <c r="A3699" t="inlineStr">
        <is>
          <t>Misc Charges 杂项费用</t>
        </is>
      </c>
      <c r="B3699" s="6">
        <f>IF($B3697="","",'Daily Sale entry '!C266)</f>
        <v/>
      </c>
      <c r="D3699" t="inlineStr">
        <is>
          <t>cash collection 现金收款</t>
        </is>
      </c>
      <c r="E3699" s="6">
        <f>IF($B3697="","",'Daily Sale entry '!H266)</f>
        <v/>
      </c>
      <c r="H3699" t="inlineStr">
        <is>
          <t>Misc Charges 杂项费用</t>
        </is>
      </c>
      <c r="I3699" s="6">
        <f>IF($B3697="","",IF(AND(ABS(B3708)&gt;'Opening Balance'!$B$13,B3708&gt;0),ROUND(B3699+B3708,2),B3699))</f>
        <v/>
      </c>
      <c r="K3699" t="inlineStr">
        <is>
          <t>cash collection 现金收款</t>
        </is>
      </c>
      <c r="L3699" s="6">
        <f>IF($B3697="","",E3699)</f>
        <v/>
      </c>
    </row>
    <row r="3700">
      <c r="A3700" s="1" t="inlineStr">
        <is>
          <t>Other Charges 其他费用</t>
        </is>
      </c>
      <c r="B3700" s="9">
        <f>IF($B3697="","",'Daily Sale entry '!D266)</f>
        <v/>
      </c>
      <c r="D3700" s="1" t="inlineStr">
        <is>
          <t>Cheque Collection 支票收款</t>
        </is>
      </c>
      <c r="E3700" s="9">
        <f>IF($B3697="","",'Daily Sale entry '!J266)</f>
        <v/>
      </c>
      <c r="H3700" s="1" t="inlineStr">
        <is>
          <t>Other Charges 其他费用</t>
        </is>
      </c>
      <c r="I3700" s="9">
        <f>IF($B3697="","",B3700)</f>
        <v/>
      </c>
      <c r="K3700" s="1" t="inlineStr">
        <is>
          <t>Cheque Collection 支票收款</t>
        </is>
      </c>
      <c r="L3700" s="9">
        <f>IF($B3697="","",E3700)</f>
        <v/>
      </c>
    </row>
    <row r="3701">
      <c r="A3701" s="10" t="inlineStr">
        <is>
          <t>Amount 金额  (Cash Sales - Misc - Other)</t>
        </is>
      </c>
      <c r="B3701" s="11">
        <f>IF($B3697="","",ROUND(B3698-B3699-B3700,2))</f>
        <v/>
      </c>
      <c r="D3701" s="12" t="inlineStr">
        <is>
          <t>TNG collection TNG收款</t>
        </is>
      </c>
      <c r="E3701" s="13">
        <f>IF($B3697="","",'Daily Sale entry '!K266)</f>
        <v/>
      </c>
      <c r="H3701" s="10" t="inlineStr">
        <is>
          <t>Amount 金额  (Cash Sales - Misc - Other)</t>
        </is>
      </c>
      <c r="I3701" s="11">
        <f>IF($B3697="","",ROUND(I3698-I3699-I3700,2))</f>
        <v/>
      </c>
      <c r="K3701" s="12" t="inlineStr">
        <is>
          <t>TNG collection TNG收款</t>
        </is>
      </c>
      <c r="L3701" s="13">
        <f>IF($B3697="","",E3701)</f>
        <v/>
      </c>
    </row>
    <row r="3702">
      <c r="A3702" t="inlineStr">
        <is>
          <t>Credit Collection 赊账收款</t>
        </is>
      </c>
      <c r="B3702" s="6">
        <f>IF($B3697="","",'Daily Sale entry '!E266)</f>
        <v/>
      </c>
      <c r="D3702" t="inlineStr">
        <is>
          <t>Advance Salary_M 预支薪水_M</t>
        </is>
      </c>
      <c r="E3702" s="6">
        <f>IF($B3697="","",'Daily Sale entry '!L266)</f>
        <v/>
      </c>
      <c r="H3702" t="inlineStr">
        <is>
          <t>Credit Collection 赊账收款</t>
        </is>
      </c>
      <c r="I3702" s="6">
        <f>IF($B3697="","",B3702)</f>
        <v/>
      </c>
      <c r="K3702" t="inlineStr">
        <is>
          <t>Advance Salary_M 预支薪水_M</t>
        </is>
      </c>
      <c r="L3702" s="6">
        <f>IF($B3697="","",E3702)</f>
        <v/>
      </c>
    </row>
    <row r="3703">
      <c r="A3703" s="10" t="inlineStr">
        <is>
          <t>Amount 2 金额2  (Amount + Credit Collection)</t>
        </is>
      </c>
      <c r="B3703" s="11">
        <f>IF($B3697="","",ROUND(B3701+B3702,2))</f>
        <v/>
      </c>
      <c r="D3703" t="inlineStr">
        <is>
          <t>Advance Salary_H 预支薪水_H</t>
        </is>
      </c>
      <c r="E3703" s="6">
        <f>IF($B3697="","",'Daily Sale entry '!M266)</f>
        <v/>
      </c>
      <c r="H3703" s="10" t="inlineStr">
        <is>
          <t>Amount 2 金额2  (Amount + Credit Collection)</t>
        </is>
      </c>
      <c r="I3703" s="11">
        <f>IF($B3697="","",ROUND(I3701+I3702,2))</f>
        <v/>
      </c>
      <c r="K3703" t="inlineStr">
        <is>
          <t>Advance Salary_H 预支薪水_H</t>
        </is>
      </c>
      <c r="L3703" s="6">
        <f>IF($B3697="","",E3703)</f>
        <v/>
      </c>
    </row>
    <row r="3704"/>
    <row r="3705">
      <c r="A3705" s="1" t="inlineStr">
        <is>
          <t>b/f petty cash 上日备用金结转</t>
        </is>
      </c>
      <c r="B3705" s="9">
        <f>IF($B3697="","",'Daily Sale entry '!F266)</f>
        <v/>
      </c>
      <c r="D3705" s="1" t="n"/>
      <c r="E3705" s="1" t="n"/>
      <c r="H3705" s="1" t="inlineStr">
        <is>
          <t>b/f petty cash 上日备用金结转</t>
        </is>
      </c>
      <c r="I3705" s="9">
        <f>IF($B3697="","",B3705)</f>
        <v/>
      </c>
      <c r="K3705" s="1" t="n"/>
      <c r="L3705" s="1" t="n"/>
    </row>
    <row r="3706">
      <c r="A3706" t="inlineStr">
        <is>
          <t>Total (A) 总计 (A)</t>
        </is>
      </c>
      <c r="B3706" s="6">
        <f>IF($B3697="","",ROUND(B3703+B3705,2))</f>
        <v/>
      </c>
      <c r="D3706" t="inlineStr">
        <is>
          <t>Total(B) 总计 (B)</t>
        </is>
      </c>
      <c r="E3706" s="6">
        <f>IF($B3697="","",ROUND(E3698+E3699+E3700+E3701+E3702+E3703,2))</f>
        <v/>
      </c>
      <c r="H3706" t="inlineStr">
        <is>
          <t>Total© 总计 (C)</t>
        </is>
      </c>
      <c r="I3706" s="6">
        <f>IF($B3697="","",ROUND(I3703+I3705,2))</f>
        <v/>
      </c>
      <c r="K3706" t="inlineStr">
        <is>
          <t>Total(D) 总计 (D)</t>
        </is>
      </c>
      <c r="L3706" s="6">
        <f>IF($B3697="","",ROUND(L3698+L3699+L3700+L3701+L3702+L3703,2))</f>
        <v/>
      </c>
    </row>
    <row r="3707">
      <c r="A3707" s="14" t="inlineStr">
        <is>
          <t>Total = Amount 2 + b/f petty cash  (金额2 + 上日备用金)</t>
        </is>
      </c>
      <c r="H3707" s="14" t="inlineStr">
        <is>
          <t>Total = Amount 2 + b/f petty cash  (金额2 + 上日备用金)</t>
        </is>
      </c>
    </row>
    <row r="3708">
      <c r="A3708" t="inlineStr">
        <is>
          <t>Different 差额</t>
        </is>
      </c>
      <c r="B3708" s="6">
        <f>IF($B3697="","",ROUND(B3706-E3706,2))</f>
        <v/>
      </c>
      <c r="D3708">
        <f>IF($B3697="","",IF(ABS(B3708)&gt;'Opening Balance'!$B$16,"ALERT 警报: Different over RM"&amp;'Opening Balance'!$B$16&amp;" 差额超过RM"&amp;'Opening Balance'!$B$16&amp;" - please check 请检查",IF(B3708=0,"Tied 平衡",IF(ABS(B3708)&lt;='Opening Balance'!$B$13,"Small difference 小额差额: adjusted on c/f petty cash 已调整备用金",IF(B3708&gt;0,"Short 短收: added to Misc Charges 已加入杂项费用","Over 多收: added to Cash Sales 已加入现金销售")))))</f>
        <v/>
      </c>
      <c r="H3708" t="inlineStr">
        <is>
          <t>Different 差额</t>
        </is>
      </c>
      <c r="I3708" s="6">
        <f>IF($B3697="","",ROUND(I3706-L3706,2))</f>
        <v/>
      </c>
    </row>
    <row r="3709"/>
    <row r="3710"/>
    <row r="3711">
      <c r="A3711" t="inlineStr">
        <is>
          <t>Date 日期</t>
        </is>
      </c>
      <c r="B3711" s="5">
        <f>IF('Daily Sale entry '!$A267="","",'Daily Sale entry '!$A267)</f>
        <v/>
      </c>
      <c r="H3711" t="inlineStr">
        <is>
          <t>After 调整后 (After)</t>
        </is>
      </c>
      <c r="I3711" s="5">
        <f>IF($B3711="","",B3711)</f>
        <v/>
      </c>
    </row>
    <row r="3712">
      <c r="A3712" t="inlineStr">
        <is>
          <t>Cash Sales 现金销售</t>
        </is>
      </c>
      <c r="B3712" s="6">
        <f>IF($B3711="","",'Daily Sale entry '!B267)</f>
        <v/>
      </c>
      <c r="D3712" t="inlineStr">
        <is>
          <t>c/f petty cash 今日备用金结转</t>
        </is>
      </c>
      <c r="E3712" s="6">
        <f>IF($B3711="","",'Daily Sale entry '!G267)</f>
        <v/>
      </c>
      <c r="H3712" t="inlineStr">
        <is>
          <t>Cash Sales 现金销售</t>
        </is>
      </c>
      <c r="I3712" s="6">
        <f>IF($B3711="","",IF(AND(ABS(B3722)&gt;'Opening Balance'!$B$13,B3722&lt;0),ROUND(B3712-B3722,2),B3712))</f>
        <v/>
      </c>
      <c r="K3712" t="inlineStr">
        <is>
          <t>c/f petty cash 今日备用金结转</t>
        </is>
      </c>
      <c r="L3712" s="6">
        <f>IF($B3711="","",IF(ABS(B3722)&lt;='Opening Balance'!$B$13,ROUND(E3712+B3722,2),E3712))</f>
        <v/>
      </c>
    </row>
    <row r="3713">
      <c r="A3713" t="inlineStr">
        <is>
          <t>Misc Charges 杂项费用</t>
        </is>
      </c>
      <c r="B3713" s="6">
        <f>IF($B3711="","",'Daily Sale entry '!C267)</f>
        <v/>
      </c>
      <c r="D3713" t="inlineStr">
        <is>
          <t>cash collection 现金收款</t>
        </is>
      </c>
      <c r="E3713" s="6">
        <f>IF($B3711="","",'Daily Sale entry '!H267)</f>
        <v/>
      </c>
      <c r="H3713" t="inlineStr">
        <is>
          <t>Misc Charges 杂项费用</t>
        </is>
      </c>
      <c r="I3713" s="6">
        <f>IF($B3711="","",IF(AND(ABS(B3722)&gt;'Opening Balance'!$B$13,B3722&gt;0),ROUND(B3713+B3722,2),B3713))</f>
        <v/>
      </c>
      <c r="K3713" t="inlineStr">
        <is>
          <t>cash collection 现金收款</t>
        </is>
      </c>
      <c r="L3713" s="6">
        <f>IF($B3711="","",E3713)</f>
        <v/>
      </c>
    </row>
    <row r="3714">
      <c r="A3714" s="1" t="inlineStr">
        <is>
          <t>Other Charges 其他费用</t>
        </is>
      </c>
      <c r="B3714" s="9">
        <f>IF($B3711="","",'Daily Sale entry '!D267)</f>
        <v/>
      </c>
      <c r="D3714" s="1" t="inlineStr">
        <is>
          <t>Cheque Collection 支票收款</t>
        </is>
      </c>
      <c r="E3714" s="9">
        <f>IF($B3711="","",'Daily Sale entry '!J267)</f>
        <v/>
      </c>
      <c r="H3714" s="1" t="inlineStr">
        <is>
          <t>Other Charges 其他费用</t>
        </is>
      </c>
      <c r="I3714" s="9">
        <f>IF($B3711="","",B3714)</f>
        <v/>
      </c>
      <c r="K3714" s="1" t="inlineStr">
        <is>
          <t>Cheque Collection 支票收款</t>
        </is>
      </c>
      <c r="L3714" s="9">
        <f>IF($B3711="","",E3714)</f>
        <v/>
      </c>
    </row>
    <row r="3715">
      <c r="A3715" s="10" t="inlineStr">
        <is>
          <t>Amount 金额  (Cash Sales - Misc - Other)</t>
        </is>
      </c>
      <c r="B3715" s="11">
        <f>IF($B3711="","",ROUND(B3712-B3713-B3714,2))</f>
        <v/>
      </c>
      <c r="D3715" s="12" t="inlineStr">
        <is>
          <t>TNG collection TNG收款</t>
        </is>
      </c>
      <c r="E3715" s="13">
        <f>IF($B3711="","",'Daily Sale entry '!K267)</f>
        <v/>
      </c>
      <c r="H3715" s="10" t="inlineStr">
        <is>
          <t>Amount 金额  (Cash Sales - Misc - Other)</t>
        </is>
      </c>
      <c r="I3715" s="11">
        <f>IF($B3711="","",ROUND(I3712-I3713-I3714,2))</f>
        <v/>
      </c>
      <c r="K3715" s="12" t="inlineStr">
        <is>
          <t>TNG collection TNG收款</t>
        </is>
      </c>
      <c r="L3715" s="13">
        <f>IF($B3711="","",E3715)</f>
        <v/>
      </c>
    </row>
    <row r="3716">
      <c r="A3716" t="inlineStr">
        <is>
          <t>Credit Collection 赊账收款</t>
        </is>
      </c>
      <c r="B3716" s="6">
        <f>IF($B3711="","",'Daily Sale entry '!E267)</f>
        <v/>
      </c>
      <c r="D3716" t="inlineStr">
        <is>
          <t>Advance Salary_M 预支薪水_M</t>
        </is>
      </c>
      <c r="E3716" s="6">
        <f>IF($B3711="","",'Daily Sale entry '!L267)</f>
        <v/>
      </c>
      <c r="H3716" t="inlineStr">
        <is>
          <t>Credit Collection 赊账收款</t>
        </is>
      </c>
      <c r="I3716" s="6">
        <f>IF($B3711="","",B3716)</f>
        <v/>
      </c>
      <c r="K3716" t="inlineStr">
        <is>
          <t>Advance Salary_M 预支薪水_M</t>
        </is>
      </c>
      <c r="L3716" s="6">
        <f>IF($B3711="","",E3716)</f>
        <v/>
      </c>
    </row>
    <row r="3717">
      <c r="A3717" s="10" t="inlineStr">
        <is>
          <t>Amount 2 金额2  (Amount + Credit Collection)</t>
        </is>
      </c>
      <c r="B3717" s="11">
        <f>IF($B3711="","",ROUND(B3715+B3716,2))</f>
        <v/>
      </c>
      <c r="D3717" t="inlineStr">
        <is>
          <t>Advance Salary_H 预支薪水_H</t>
        </is>
      </c>
      <c r="E3717" s="6">
        <f>IF($B3711="","",'Daily Sale entry '!M267)</f>
        <v/>
      </c>
      <c r="H3717" s="10" t="inlineStr">
        <is>
          <t>Amount 2 金额2  (Amount + Credit Collection)</t>
        </is>
      </c>
      <c r="I3717" s="11">
        <f>IF($B3711="","",ROUND(I3715+I3716,2))</f>
        <v/>
      </c>
      <c r="K3717" t="inlineStr">
        <is>
          <t>Advance Salary_H 预支薪水_H</t>
        </is>
      </c>
      <c r="L3717" s="6">
        <f>IF($B3711="","",E3717)</f>
        <v/>
      </c>
    </row>
    <row r="3718"/>
    <row r="3719">
      <c r="A3719" s="1" t="inlineStr">
        <is>
          <t>b/f petty cash 上日备用金结转</t>
        </is>
      </c>
      <c r="B3719" s="9">
        <f>IF($B3711="","",'Daily Sale entry '!F267)</f>
        <v/>
      </c>
      <c r="D3719" s="1" t="n"/>
      <c r="E3719" s="1" t="n"/>
      <c r="H3719" s="1" t="inlineStr">
        <is>
          <t>b/f petty cash 上日备用金结转</t>
        </is>
      </c>
      <c r="I3719" s="9">
        <f>IF($B3711="","",B3719)</f>
        <v/>
      </c>
      <c r="K3719" s="1" t="n"/>
      <c r="L3719" s="1" t="n"/>
    </row>
    <row r="3720">
      <c r="A3720" t="inlineStr">
        <is>
          <t>Total (A) 总计 (A)</t>
        </is>
      </c>
      <c r="B3720" s="6">
        <f>IF($B3711="","",ROUND(B3717+B3719,2))</f>
        <v/>
      </c>
      <c r="D3720" t="inlineStr">
        <is>
          <t>Total(B) 总计 (B)</t>
        </is>
      </c>
      <c r="E3720" s="6">
        <f>IF($B3711="","",ROUND(E3712+E3713+E3714+E3715+E3716+E3717,2))</f>
        <v/>
      </c>
      <c r="H3720" t="inlineStr">
        <is>
          <t>Total© 总计 (C)</t>
        </is>
      </c>
      <c r="I3720" s="6">
        <f>IF($B3711="","",ROUND(I3717+I3719,2))</f>
        <v/>
      </c>
      <c r="K3720" t="inlineStr">
        <is>
          <t>Total(D) 总计 (D)</t>
        </is>
      </c>
      <c r="L3720" s="6">
        <f>IF($B3711="","",ROUND(L3712+L3713+L3714+L3715+L3716+L3717,2))</f>
        <v/>
      </c>
    </row>
    <row r="3721">
      <c r="A3721" s="14" t="inlineStr">
        <is>
          <t>Total = Amount 2 + b/f petty cash  (金额2 + 上日备用金)</t>
        </is>
      </c>
      <c r="H3721" s="14" t="inlineStr">
        <is>
          <t>Total = Amount 2 + b/f petty cash  (金额2 + 上日备用金)</t>
        </is>
      </c>
    </row>
    <row r="3722">
      <c r="A3722" t="inlineStr">
        <is>
          <t>Different 差额</t>
        </is>
      </c>
      <c r="B3722" s="6">
        <f>IF($B3711="","",ROUND(B3720-E3720,2))</f>
        <v/>
      </c>
      <c r="D3722">
        <f>IF($B3711="","",IF(ABS(B3722)&gt;'Opening Balance'!$B$16,"ALERT 警报: Different over RM"&amp;'Opening Balance'!$B$16&amp;" 差额超过RM"&amp;'Opening Balance'!$B$16&amp;" - please check 请检查",IF(B3722=0,"Tied 平衡",IF(ABS(B3722)&lt;='Opening Balance'!$B$13,"Small difference 小额差额: adjusted on c/f petty cash 已调整备用金",IF(B3722&gt;0,"Short 短收: added to Misc Charges 已加入杂项费用","Over 多收: added to Cash Sales 已加入现金销售")))))</f>
        <v/>
      </c>
      <c r="H3722" t="inlineStr">
        <is>
          <t>Different 差额</t>
        </is>
      </c>
      <c r="I3722" s="6">
        <f>IF($B3711="","",ROUND(I3720-L3720,2))</f>
        <v/>
      </c>
    </row>
    <row r="3723"/>
    <row r="3724"/>
    <row r="3725">
      <c r="A3725" t="inlineStr">
        <is>
          <t>Date 日期</t>
        </is>
      </c>
      <c r="B3725" s="5">
        <f>IF('Daily Sale entry '!$A268="","",'Daily Sale entry '!$A268)</f>
        <v/>
      </c>
      <c r="H3725" t="inlineStr">
        <is>
          <t>After 调整后 (After)</t>
        </is>
      </c>
      <c r="I3725" s="5">
        <f>IF($B3725="","",B3725)</f>
        <v/>
      </c>
    </row>
    <row r="3726">
      <c r="A3726" t="inlineStr">
        <is>
          <t>Cash Sales 现金销售</t>
        </is>
      </c>
      <c r="B3726" s="6">
        <f>IF($B3725="","",'Daily Sale entry '!B268)</f>
        <v/>
      </c>
      <c r="D3726" t="inlineStr">
        <is>
          <t>c/f petty cash 今日备用金结转</t>
        </is>
      </c>
      <c r="E3726" s="6">
        <f>IF($B3725="","",'Daily Sale entry '!G268)</f>
        <v/>
      </c>
      <c r="H3726" t="inlineStr">
        <is>
          <t>Cash Sales 现金销售</t>
        </is>
      </c>
      <c r="I3726" s="6">
        <f>IF($B3725="","",IF(AND(ABS(B3736)&gt;'Opening Balance'!$B$13,B3736&lt;0),ROUND(B3726-B3736,2),B3726))</f>
        <v/>
      </c>
      <c r="K3726" t="inlineStr">
        <is>
          <t>c/f petty cash 今日备用金结转</t>
        </is>
      </c>
      <c r="L3726" s="6">
        <f>IF($B3725="","",IF(ABS(B3736)&lt;='Opening Balance'!$B$13,ROUND(E3726+B3736,2),E3726))</f>
        <v/>
      </c>
    </row>
    <row r="3727">
      <c r="A3727" t="inlineStr">
        <is>
          <t>Misc Charges 杂项费用</t>
        </is>
      </c>
      <c r="B3727" s="6">
        <f>IF($B3725="","",'Daily Sale entry '!C268)</f>
        <v/>
      </c>
      <c r="D3727" t="inlineStr">
        <is>
          <t>cash collection 现金收款</t>
        </is>
      </c>
      <c r="E3727" s="6">
        <f>IF($B3725="","",'Daily Sale entry '!H268)</f>
        <v/>
      </c>
      <c r="H3727" t="inlineStr">
        <is>
          <t>Misc Charges 杂项费用</t>
        </is>
      </c>
      <c r="I3727" s="6">
        <f>IF($B3725="","",IF(AND(ABS(B3736)&gt;'Opening Balance'!$B$13,B3736&gt;0),ROUND(B3727+B3736,2),B3727))</f>
        <v/>
      </c>
      <c r="K3727" t="inlineStr">
        <is>
          <t>cash collection 现金收款</t>
        </is>
      </c>
      <c r="L3727" s="6">
        <f>IF($B3725="","",E3727)</f>
        <v/>
      </c>
    </row>
    <row r="3728">
      <c r="A3728" s="1" t="inlineStr">
        <is>
          <t>Other Charges 其他费用</t>
        </is>
      </c>
      <c r="B3728" s="9">
        <f>IF($B3725="","",'Daily Sale entry '!D268)</f>
        <v/>
      </c>
      <c r="D3728" s="1" t="inlineStr">
        <is>
          <t>Cheque Collection 支票收款</t>
        </is>
      </c>
      <c r="E3728" s="9">
        <f>IF($B3725="","",'Daily Sale entry '!J268)</f>
        <v/>
      </c>
      <c r="H3728" s="1" t="inlineStr">
        <is>
          <t>Other Charges 其他费用</t>
        </is>
      </c>
      <c r="I3728" s="9">
        <f>IF($B3725="","",B3728)</f>
        <v/>
      </c>
      <c r="K3728" s="1" t="inlineStr">
        <is>
          <t>Cheque Collection 支票收款</t>
        </is>
      </c>
      <c r="L3728" s="9">
        <f>IF($B3725="","",E3728)</f>
        <v/>
      </c>
    </row>
    <row r="3729">
      <c r="A3729" s="10" t="inlineStr">
        <is>
          <t>Amount 金额  (Cash Sales - Misc - Other)</t>
        </is>
      </c>
      <c r="B3729" s="11">
        <f>IF($B3725="","",ROUND(B3726-B3727-B3728,2))</f>
        <v/>
      </c>
      <c r="D3729" s="12" t="inlineStr">
        <is>
          <t>TNG collection TNG收款</t>
        </is>
      </c>
      <c r="E3729" s="13">
        <f>IF($B3725="","",'Daily Sale entry '!K268)</f>
        <v/>
      </c>
      <c r="H3729" s="10" t="inlineStr">
        <is>
          <t>Amount 金额  (Cash Sales - Misc - Other)</t>
        </is>
      </c>
      <c r="I3729" s="11">
        <f>IF($B3725="","",ROUND(I3726-I3727-I3728,2))</f>
        <v/>
      </c>
      <c r="K3729" s="12" t="inlineStr">
        <is>
          <t>TNG collection TNG收款</t>
        </is>
      </c>
      <c r="L3729" s="13">
        <f>IF($B3725="","",E3729)</f>
        <v/>
      </c>
    </row>
    <row r="3730">
      <c r="A3730" t="inlineStr">
        <is>
          <t>Credit Collection 赊账收款</t>
        </is>
      </c>
      <c r="B3730" s="6">
        <f>IF($B3725="","",'Daily Sale entry '!E268)</f>
        <v/>
      </c>
      <c r="D3730" t="inlineStr">
        <is>
          <t>Advance Salary_M 预支薪水_M</t>
        </is>
      </c>
      <c r="E3730" s="6">
        <f>IF($B3725="","",'Daily Sale entry '!L268)</f>
        <v/>
      </c>
      <c r="H3730" t="inlineStr">
        <is>
          <t>Credit Collection 赊账收款</t>
        </is>
      </c>
      <c r="I3730" s="6">
        <f>IF($B3725="","",B3730)</f>
        <v/>
      </c>
      <c r="K3730" t="inlineStr">
        <is>
          <t>Advance Salary_M 预支薪水_M</t>
        </is>
      </c>
      <c r="L3730" s="6">
        <f>IF($B3725="","",E3730)</f>
        <v/>
      </c>
    </row>
    <row r="3731">
      <c r="A3731" s="10" t="inlineStr">
        <is>
          <t>Amount 2 金额2  (Amount + Credit Collection)</t>
        </is>
      </c>
      <c r="B3731" s="11">
        <f>IF($B3725="","",ROUND(B3729+B3730,2))</f>
        <v/>
      </c>
      <c r="D3731" t="inlineStr">
        <is>
          <t>Advance Salary_H 预支薪水_H</t>
        </is>
      </c>
      <c r="E3731" s="6">
        <f>IF($B3725="","",'Daily Sale entry '!M268)</f>
        <v/>
      </c>
      <c r="H3731" s="10" t="inlineStr">
        <is>
          <t>Amount 2 金额2  (Amount + Credit Collection)</t>
        </is>
      </c>
      <c r="I3731" s="11">
        <f>IF($B3725="","",ROUND(I3729+I3730,2))</f>
        <v/>
      </c>
      <c r="K3731" t="inlineStr">
        <is>
          <t>Advance Salary_H 预支薪水_H</t>
        </is>
      </c>
      <c r="L3731" s="6">
        <f>IF($B3725="","",E3731)</f>
        <v/>
      </c>
    </row>
    <row r="3732"/>
    <row r="3733">
      <c r="A3733" s="1" t="inlineStr">
        <is>
          <t>b/f petty cash 上日备用金结转</t>
        </is>
      </c>
      <c r="B3733" s="9">
        <f>IF($B3725="","",'Daily Sale entry '!F268)</f>
        <v/>
      </c>
      <c r="D3733" s="1" t="n"/>
      <c r="E3733" s="1" t="n"/>
      <c r="H3733" s="1" t="inlineStr">
        <is>
          <t>b/f petty cash 上日备用金结转</t>
        </is>
      </c>
      <c r="I3733" s="9">
        <f>IF($B3725="","",B3733)</f>
        <v/>
      </c>
      <c r="K3733" s="1" t="n"/>
      <c r="L3733" s="1" t="n"/>
    </row>
    <row r="3734">
      <c r="A3734" t="inlineStr">
        <is>
          <t>Total (A) 总计 (A)</t>
        </is>
      </c>
      <c r="B3734" s="6">
        <f>IF($B3725="","",ROUND(B3731+B3733,2))</f>
        <v/>
      </c>
      <c r="D3734" t="inlineStr">
        <is>
          <t>Total(B) 总计 (B)</t>
        </is>
      </c>
      <c r="E3734" s="6">
        <f>IF($B3725="","",ROUND(E3726+E3727+E3728+E3729+E3730+E3731,2))</f>
        <v/>
      </c>
      <c r="H3734" t="inlineStr">
        <is>
          <t>Total© 总计 (C)</t>
        </is>
      </c>
      <c r="I3734" s="6">
        <f>IF($B3725="","",ROUND(I3731+I3733,2))</f>
        <v/>
      </c>
      <c r="K3734" t="inlineStr">
        <is>
          <t>Total(D) 总计 (D)</t>
        </is>
      </c>
      <c r="L3734" s="6">
        <f>IF($B3725="","",ROUND(L3726+L3727+L3728+L3729+L3730+L3731,2))</f>
        <v/>
      </c>
    </row>
    <row r="3735">
      <c r="A3735" s="14" t="inlineStr">
        <is>
          <t>Total = Amount 2 + b/f petty cash  (金额2 + 上日备用金)</t>
        </is>
      </c>
      <c r="H3735" s="14" t="inlineStr">
        <is>
          <t>Total = Amount 2 + b/f petty cash  (金额2 + 上日备用金)</t>
        </is>
      </c>
    </row>
    <row r="3736">
      <c r="A3736" t="inlineStr">
        <is>
          <t>Different 差额</t>
        </is>
      </c>
      <c r="B3736" s="6">
        <f>IF($B3725="","",ROUND(B3734-E3734,2))</f>
        <v/>
      </c>
      <c r="D3736">
        <f>IF($B3725="","",IF(ABS(B3736)&gt;'Opening Balance'!$B$16,"ALERT 警报: Different over RM"&amp;'Opening Balance'!$B$16&amp;" 差额超过RM"&amp;'Opening Balance'!$B$16&amp;" - please check 请检查",IF(B3736=0,"Tied 平衡",IF(ABS(B3736)&lt;='Opening Balance'!$B$13,"Small difference 小额差额: adjusted on c/f petty cash 已调整备用金",IF(B3736&gt;0,"Short 短收: added to Misc Charges 已加入杂项费用","Over 多收: added to Cash Sales 已加入现金销售")))))</f>
        <v/>
      </c>
      <c r="H3736" t="inlineStr">
        <is>
          <t>Different 差额</t>
        </is>
      </c>
      <c r="I3736" s="6">
        <f>IF($B3725="","",ROUND(I3734-L3734,2))</f>
        <v/>
      </c>
    </row>
    <row r="3737"/>
    <row r="3738"/>
    <row r="3739">
      <c r="A3739" t="inlineStr">
        <is>
          <t>Date 日期</t>
        </is>
      </c>
      <c r="B3739" s="5">
        <f>IF('Daily Sale entry '!$A269="","",'Daily Sale entry '!$A269)</f>
        <v/>
      </c>
      <c r="H3739" t="inlineStr">
        <is>
          <t>After 调整后 (After)</t>
        </is>
      </c>
      <c r="I3739" s="5">
        <f>IF($B3739="","",B3739)</f>
        <v/>
      </c>
    </row>
    <row r="3740">
      <c r="A3740" t="inlineStr">
        <is>
          <t>Cash Sales 现金销售</t>
        </is>
      </c>
      <c r="B3740" s="6">
        <f>IF($B3739="","",'Daily Sale entry '!B269)</f>
        <v/>
      </c>
      <c r="D3740" t="inlineStr">
        <is>
          <t>c/f petty cash 今日备用金结转</t>
        </is>
      </c>
      <c r="E3740" s="6">
        <f>IF($B3739="","",'Daily Sale entry '!G269)</f>
        <v/>
      </c>
      <c r="H3740" t="inlineStr">
        <is>
          <t>Cash Sales 现金销售</t>
        </is>
      </c>
      <c r="I3740" s="6">
        <f>IF($B3739="","",IF(AND(ABS(B3750)&gt;'Opening Balance'!$B$13,B3750&lt;0),ROUND(B3740-B3750,2),B3740))</f>
        <v/>
      </c>
      <c r="K3740" t="inlineStr">
        <is>
          <t>c/f petty cash 今日备用金结转</t>
        </is>
      </c>
      <c r="L3740" s="6">
        <f>IF($B3739="","",IF(ABS(B3750)&lt;='Opening Balance'!$B$13,ROUND(E3740+B3750,2),E3740))</f>
        <v/>
      </c>
    </row>
    <row r="3741">
      <c r="A3741" t="inlineStr">
        <is>
          <t>Misc Charges 杂项费用</t>
        </is>
      </c>
      <c r="B3741" s="6">
        <f>IF($B3739="","",'Daily Sale entry '!C269)</f>
        <v/>
      </c>
      <c r="D3741" t="inlineStr">
        <is>
          <t>cash collection 现金收款</t>
        </is>
      </c>
      <c r="E3741" s="6">
        <f>IF($B3739="","",'Daily Sale entry '!H269)</f>
        <v/>
      </c>
      <c r="H3741" t="inlineStr">
        <is>
          <t>Misc Charges 杂项费用</t>
        </is>
      </c>
      <c r="I3741" s="6">
        <f>IF($B3739="","",IF(AND(ABS(B3750)&gt;'Opening Balance'!$B$13,B3750&gt;0),ROUND(B3741+B3750,2),B3741))</f>
        <v/>
      </c>
      <c r="K3741" t="inlineStr">
        <is>
          <t>cash collection 现金收款</t>
        </is>
      </c>
      <c r="L3741" s="6">
        <f>IF($B3739="","",E3741)</f>
        <v/>
      </c>
    </row>
    <row r="3742">
      <c r="A3742" s="1" t="inlineStr">
        <is>
          <t>Other Charges 其他费用</t>
        </is>
      </c>
      <c r="B3742" s="9">
        <f>IF($B3739="","",'Daily Sale entry '!D269)</f>
        <v/>
      </c>
      <c r="D3742" s="1" t="inlineStr">
        <is>
          <t>Cheque Collection 支票收款</t>
        </is>
      </c>
      <c r="E3742" s="9">
        <f>IF($B3739="","",'Daily Sale entry '!J269)</f>
        <v/>
      </c>
      <c r="H3742" s="1" t="inlineStr">
        <is>
          <t>Other Charges 其他费用</t>
        </is>
      </c>
      <c r="I3742" s="9">
        <f>IF($B3739="","",B3742)</f>
        <v/>
      </c>
      <c r="K3742" s="1" t="inlineStr">
        <is>
          <t>Cheque Collection 支票收款</t>
        </is>
      </c>
      <c r="L3742" s="9">
        <f>IF($B3739="","",E3742)</f>
        <v/>
      </c>
    </row>
    <row r="3743">
      <c r="A3743" s="10" t="inlineStr">
        <is>
          <t>Amount 金额  (Cash Sales - Misc - Other)</t>
        </is>
      </c>
      <c r="B3743" s="11">
        <f>IF($B3739="","",ROUND(B3740-B3741-B3742,2))</f>
        <v/>
      </c>
      <c r="D3743" s="12" t="inlineStr">
        <is>
          <t>TNG collection TNG收款</t>
        </is>
      </c>
      <c r="E3743" s="13">
        <f>IF($B3739="","",'Daily Sale entry '!K269)</f>
        <v/>
      </c>
      <c r="H3743" s="10" t="inlineStr">
        <is>
          <t>Amount 金额  (Cash Sales - Misc - Other)</t>
        </is>
      </c>
      <c r="I3743" s="11">
        <f>IF($B3739="","",ROUND(I3740-I3741-I3742,2))</f>
        <v/>
      </c>
      <c r="K3743" s="12" t="inlineStr">
        <is>
          <t>TNG collection TNG收款</t>
        </is>
      </c>
      <c r="L3743" s="13">
        <f>IF($B3739="","",E3743)</f>
        <v/>
      </c>
    </row>
    <row r="3744">
      <c r="A3744" t="inlineStr">
        <is>
          <t>Credit Collection 赊账收款</t>
        </is>
      </c>
      <c r="B3744" s="6">
        <f>IF($B3739="","",'Daily Sale entry '!E269)</f>
        <v/>
      </c>
      <c r="D3744" t="inlineStr">
        <is>
          <t>Advance Salary_M 预支薪水_M</t>
        </is>
      </c>
      <c r="E3744" s="6">
        <f>IF($B3739="","",'Daily Sale entry '!L269)</f>
        <v/>
      </c>
      <c r="H3744" t="inlineStr">
        <is>
          <t>Credit Collection 赊账收款</t>
        </is>
      </c>
      <c r="I3744" s="6">
        <f>IF($B3739="","",B3744)</f>
        <v/>
      </c>
      <c r="K3744" t="inlineStr">
        <is>
          <t>Advance Salary_M 预支薪水_M</t>
        </is>
      </c>
      <c r="L3744" s="6">
        <f>IF($B3739="","",E3744)</f>
        <v/>
      </c>
    </row>
    <row r="3745">
      <c r="A3745" s="10" t="inlineStr">
        <is>
          <t>Amount 2 金额2  (Amount + Credit Collection)</t>
        </is>
      </c>
      <c r="B3745" s="11">
        <f>IF($B3739="","",ROUND(B3743+B3744,2))</f>
        <v/>
      </c>
      <c r="D3745" t="inlineStr">
        <is>
          <t>Advance Salary_H 预支薪水_H</t>
        </is>
      </c>
      <c r="E3745" s="6">
        <f>IF($B3739="","",'Daily Sale entry '!M269)</f>
        <v/>
      </c>
      <c r="H3745" s="10" t="inlineStr">
        <is>
          <t>Amount 2 金额2  (Amount + Credit Collection)</t>
        </is>
      </c>
      <c r="I3745" s="11">
        <f>IF($B3739="","",ROUND(I3743+I3744,2))</f>
        <v/>
      </c>
      <c r="K3745" t="inlineStr">
        <is>
          <t>Advance Salary_H 预支薪水_H</t>
        </is>
      </c>
      <c r="L3745" s="6">
        <f>IF($B3739="","",E3745)</f>
        <v/>
      </c>
    </row>
    <row r="3746"/>
    <row r="3747">
      <c r="A3747" s="1" t="inlineStr">
        <is>
          <t>b/f petty cash 上日备用金结转</t>
        </is>
      </c>
      <c r="B3747" s="9">
        <f>IF($B3739="","",'Daily Sale entry '!F269)</f>
        <v/>
      </c>
      <c r="D3747" s="1" t="n"/>
      <c r="E3747" s="1" t="n"/>
      <c r="H3747" s="1" t="inlineStr">
        <is>
          <t>b/f petty cash 上日备用金结转</t>
        </is>
      </c>
      <c r="I3747" s="9">
        <f>IF($B3739="","",B3747)</f>
        <v/>
      </c>
      <c r="K3747" s="1" t="n"/>
      <c r="L3747" s="1" t="n"/>
    </row>
    <row r="3748">
      <c r="A3748" t="inlineStr">
        <is>
          <t>Total (A) 总计 (A)</t>
        </is>
      </c>
      <c r="B3748" s="6">
        <f>IF($B3739="","",ROUND(B3745+B3747,2))</f>
        <v/>
      </c>
      <c r="D3748" t="inlineStr">
        <is>
          <t>Total(B) 总计 (B)</t>
        </is>
      </c>
      <c r="E3748" s="6">
        <f>IF($B3739="","",ROUND(E3740+E3741+E3742+E3743+E3744+E3745,2))</f>
        <v/>
      </c>
      <c r="H3748" t="inlineStr">
        <is>
          <t>Total© 总计 (C)</t>
        </is>
      </c>
      <c r="I3748" s="6">
        <f>IF($B3739="","",ROUND(I3745+I3747,2))</f>
        <v/>
      </c>
      <c r="K3748" t="inlineStr">
        <is>
          <t>Total(D) 总计 (D)</t>
        </is>
      </c>
      <c r="L3748" s="6">
        <f>IF($B3739="","",ROUND(L3740+L3741+L3742+L3743+L3744+L3745,2))</f>
        <v/>
      </c>
    </row>
    <row r="3749">
      <c r="A3749" s="14" t="inlineStr">
        <is>
          <t>Total = Amount 2 + b/f petty cash  (金额2 + 上日备用金)</t>
        </is>
      </c>
      <c r="H3749" s="14" t="inlineStr">
        <is>
          <t>Total = Amount 2 + b/f petty cash  (金额2 + 上日备用金)</t>
        </is>
      </c>
    </row>
    <row r="3750">
      <c r="A3750" t="inlineStr">
        <is>
          <t>Different 差额</t>
        </is>
      </c>
      <c r="B3750" s="6">
        <f>IF($B3739="","",ROUND(B3748-E3748,2))</f>
        <v/>
      </c>
      <c r="D3750">
        <f>IF($B3739="","",IF(ABS(B3750)&gt;'Opening Balance'!$B$16,"ALERT 警报: Different over RM"&amp;'Opening Balance'!$B$16&amp;" 差额超过RM"&amp;'Opening Balance'!$B$16&amp;" - please check 请检查",IF(B3750=0,"Tied 平衡",IF(ABS(B3750)&lt;='Opening Balance'!$B$13,"Small difference 小额差额: adjusted on c/f petty cash 已调整备用金",IF(B3750&gt;0,"Short 短收: added to Misc Charges 已加入杂项费用","Over 多收: added to Cash Sales 已加入现金销售")))))</f>
        <v/>
      </c>
      <c r="H3750" t="inlineStr">
        <is>
          <t>Different 差额</t>
        </is>
      </c>
      <c r="I3750" s="6">
        <f>IF($B3739="","",ROUND(I3748-L3748,2))</f>
        <v/>
      </c>
    </row>
    <row r="3751"/>
    <row r="3752"/>
    <row r="3753">
      <c r="A3753" t="inlineStr">
        <is>
          <t>Date 日期</t>
        </is>
      </c>
      <c r="B3753" s="5">
        <f>IF('Daily Sale entry '!$A270="","",'Daily Sale entry '!$A270)</f>
        <v/>
      </c>
      <c r="H3753" t="inlineStr">
        <is>
          <t>After 调整后 (After)</t>
        </is>
      </c>
      <c r="I3753" s="5">
        <f>IF($B3753="","",B3753)</f>
        <v/>
      </c>
    </row>
    <row r="3754">
      <c r="A3754" t="inlineStr">
        <is>
          <t>Cash Sales 现金销售</t>
        </is>
      </c>
      <c r="B3754" s="6">
        <f>IF($B3753="","",'Daily Sale entry '!B270)</f>
        <v/>
      </c>
      <c r="D3754" t="inlineStr">
        <is>
          <t>c/f petty cash 今日备用金结转</t>
        </is>
      </c>
      <c r="E3754" s="6">
        <f>IF($B3753="","",'Daily Sale entry '!G270)</f>
        <v/>
      </c>
      <c r="H3754" t="inlineStr">
        <is>
          <t>Cash Sales 现金销售</t>
        </is>
      </c>
      <c r="I3754" s="6">
        <f>IF($B3753="","",IF(AND(ABS(B3764)&gt;'Opening Balance'!$B$13,B3764&lt;0),ROUND(B3754-B3764,2),B3754))</f>
        <v/>
      </c>
      <c r="K3754" t="inlineStr">
        <is>
          <t>c/f petty cash 今日备用金结转</t>
        </is>
      </c>
      <c r="L3754" s="6">
        <f>IF($B3753="","",IF(ABS(B3764)&lt;='Opening Balance'!$B$13,ROUND(E3754+B3764,2),E3754))</f>
        <v/>
      </c>
    </row>
    <row r="3755">
      <c r="A3755" t="inlineStr">
        <is>
          <t>Misc Charges 杂项费用</t>
        </is>
      </c>
      <c r="B3755" s="6">
        <f>IF($B3753="","",'Daily Sale entry '!C270)</f>
        <v/>
      </c>
      <c r="D3755" t="inlineStr">
        <is>
          <t>cash collection 现金收款</t>
        </is>
      </c>
      <c r="E3755" s="6">
        <f>IF($B3753="","",'Daily Sale entry '!H270)</f>
        <v/>
      </c>
      <c r="H3755" t="inlineStr">
        <is>
          <t>Misc Charges 杂项费用</t>
        </is>
      </c>
      <c r="I3755" s="6">
        <f>IF($B3753="","",IF(AND(ABS(B3764)&gt;'Opening Balance'!$B$13,B3764&gt;0),ROUND(B3755+B3764,2),B3755))</f>
        <v/>
      </c>
      <c r="K3755" t="inlineStr">
        <is>
          <t>cash collection 现金收款</t>
        </is>
      </c>
      <c r="L3755" s="6">
        <f>IF($B3753="","",E3755)</f>
        <v/>
      </c>
    </row>
    <row r="3756">
      <c r="A3756" s="1" t="inlineStr">
        <is>
          <t>Other Charges 其他费用</t>
        </is>
      </c>
      <c r="B3756" s="9">
        <f>IF($B3753="","",'Daily Sale entry '!D270)</f>
        <v/>
      </c>
      <c r="D3756" s="1" t="inlineStr">
        <is>
          <t>Cheque Collection 支票收款</t>
        </is>
      </c>
      <c r="E3756" s="9">
        <f>IF($B3753="","",'Daily Sale entry '!J270)</f>
        <v/>
      </c>
      <c r="H3756" s="1" t="inlineStr">
        <is>
          <t>Other Charges 其他费用</t>
        </is>
      </c>
      <c r="I3756" s="9">
        <f>IF($B3753="","",B3756)</f>
        <v/>
      </c>
      <c r="K3756" s="1" t="inlineStr">
        <is>
          <t>Cheque Collection 支票收款</t>
        </is>
      </c>
      <c r="L3756" s="9">
        <f>IF($B3753="","",E3756)</f>
        <v/>
      </c>
    </row>
    <row r="3757">
      <c r="A3757" s="10" t="inlineStr">
        <is>
          <t>Amount 金额  (Cash Sales - Misc - Other)</t>
        </is>
      </c>
      <c r="B3757" s="11">
        <f>IF($B3753="","",ROUND(B3754-B3755-B3756,2))</f>
        <v/>
      </c>
      <c r="D3757" s="12" t="inlineStr">
        <is>
          <t>TNG collection TNG收款</t>
        </is>
      </c>
      <c r="E3757" s="13">
        <f>IF($B3753="","",'Daily Sale entry '!K270)</f>
        <v/>
      </c>
      <c r="H3757" s="10" t="inlineStr">
        <is>
          <t>Amount 金额  (Cash Sales - Misc - Other)</t>
        </is>
      </c>
      <c r="I3757" s="11">
        <f>IF($B3753="","",ROUND(I3754-I3755-I3756,2))</f>
        <v/>
      </c>
      <c r="K3757" s="12" t="inlineStr">
        <is>
          <t>TNG collection TNG收款</t>
        </is>
      </c>
      <c r="L3757" s="13">
        <f>IF($B3753="","",E3757)</f>
        <v/>
      </c>
    </row>
    <row r="3758">
      <c r="A3758" t="inlineStr">
        <is>
          <t>Credit Collection 赊账收款</t>
        </is>
      </c>
      <c r="B3758" s="6">
        <f>IF($B3753="","",'Daily Sale entry '!E270)</f>
        <v/>
      </c>
      <c r="D3758" t="inlineStr">
        <is>
          <t>Advance Salary_M 预支薪水_M</t>
        </is>
      </c>
      <c r="E3758" s="6">
        <f>IF($B3753="","",'Daily Sale entry '!L270)</f>
        <v/>
      </c>
      <c r="H3758" t="inlineStr">
        <is>
          <t>Credit Collection 赊账收款</t>
        </is>
      </c>
      <c r="I3758" s="6">
        <f>IF($B3753="","",B3758)</f>
        <v/>
      </c>
      <c r="K3758" t="inlineStr">
        <is>
          <t>Advance Salary_M 预支薪水_M</t>
        </is>
      </c>
      <c r="L3758" s="6">
        <f>IF($B3753="","",E3758)</f>
        <v/>
      </c>
    </row>
    <row r="3759">
      <c r="A3759" s="10" t="inlineStr">
        <is>
          <t>Amount 2 金额2  (Amount + Credit Collection)</t>
        </is>
      </c>
      <c r="B3759" s="11">
        <f>IF($B3753="","",ROUND(B3757+B3758,2))</f>
        <v/>
      </c>
      <c r="D3759" t="inlineStr">
        <is>
          <t>Advance Salary_H 预支薪水_H</t>
        </is>
      </c>
      <c r="E3759" s="6">
        <f>IF($B3753="","",'Daily Sale entry '!M270)</f>
        <v/>
      </c>
      <c r="H3759" s="10" t="inlineStr">
        <is>
          <t>Amount 2 金额2  (Amount + Credit Collection)</t>
        </is>
      </c>
      <c r="I3759" s="11">
        <f>IF($B3753="","",ROUND(I3757+I3758,2))</f>
        <v/>
      </c>
      <c r="K3759" t="inlineStr">
        <is>
          <t>Advance Salary_H 预支薪水_H</t>
        </is>
      </c>
      <c r="L3759" s="6">
        <f>IF($B3753="","",E3759)</f>
        <v/>
      </c>
    </row>
    <row r="3760"/>
    <row r="3761">
      <c r="A3761" s="1" t="inlineStr">
        <is>
          <t>b/f petty cash 上日备用金结转</t>
        </is>
      </c>
      <c r="B3761" s="9">
        <f>IF($B3753="","",'Daily Sale entry '!F270)</f>
        <v/>
      </c>
      <c r="D3761" s="1" t="n"/>
      <c r="E3761" s="1" t="n"/>
      <c r="H3761" s="1" t="inlineStr">
        <is>
          <t>b/f petty cash 上日备用金结转</t>
        </is>
      </c>
      <c r="I3761" s="9">
        <f>IF($B3753="","",B3761)</f>
        <v/>
      </c>
      <c r="K3761" s="1" t="n"/>
      <c r="L3761" s="1" t="n"/>
    </row>
    <row r="3762">
      <c r="A3762" t="inlineStr">
        <is>
          <t>Total (A) 总计 (A)</t>
        </is>
      </c>
      <c r="B3762" s="6">
        <f>IF($B3753="","",ROUND(B3759+B3761,2))</f>
        <v/>
      </c>
      <c r="D3762" t="inlineStr">
        <is>
          <t>Total(B) 总计 (B)</t>
        </is>
      </c>
      <c r="E3762" s="6">
        <f>IF($B3753="","",ROUND(E3754+E3755+E3756+E3757+E3758+E3759,2))</f>
        <v/>
      </c>
      <c r="H3762" t="inlineStr">
        <is>
          <t>Total© 总计 (C)</t>
        </is>
      </c>
      <c r="I3762" s="6">
        <f>IF($B3753="","",ROUND(I3759+I3761,2))</f>
        <v/>
      </c>
      <c r="K3762" t="inlineStr">
        <is>
          <t>Total(D) 总计 (D)</t>
        </is>
      </c>
      <c r="L3762" s="6">
        <f>IF($B3753="","",ROUND(L3754+L3755+L3756+L3757+L3758+L3759,2))</f>
        <v/>
      </c>
    </row>
    <row r="3763">
      <c r="A3763" s="14" t="inlineStr">
        <is>
          <t>Total = Amount 2 + b/f petty cash  (金额2 + 上日备用金)</t>
        </is>
      </c>
      <c r="H3763" s="14" t="inlineStr">
        <is>
          <t>Total = Amount 2 + b/f petty cash  (金额2 + 上日备用金)</t>
        </is>
      </c>
    </row>
    <row r="3764">
      <c r="A3764" t="inlineStr">
        <is>
          <t>Different 差额</t>
        </is>
      </c>
      <c r="B3764" s="6">
        <f>IF($B3753="","",ROUND(B3762-E3762,2))</f>
        <v/>
      </c>
      <c r="D3764">
        <f>IF($B3753="","",IF(ABS(B3764)&gt;'Opening Balance'!$B$16,"ALERT 警报: Different over RM"&amp;'Opening Balance'!$B$16&amp;" 差额超过RM"&amp;'Opening Balance'!$B$16&amp;" - please check 请检查",IF(B3764=0,"Tied 平衡",IF(ABS(B3764)&lt;='Opening Balance'!$B$13,"Small difference 小额差额: adjusted on c/f petty cash 已调整备用金",IF(B3764&gt;0,"Short 短收: added to Misc Charges 已加入杂项费用","Over 多收: added to Cash Sales 已加入现金销售")))))</f>
        <v/>
      </c>
      <c r="H3764" t="inlineStr">
        <is>
          <t>Different 差额</t>
        </is>
      </c>
      <c r="I3764" s="6">
        <f>IF($B3753="","",ROUND(I3762-L3762,2))</f>
        <v/>
      </c>
    </row>
    <row r="3765"/>
    <row r="3766"/>
    <row r="3767">
      <c r="A3767" t="inlineStr">
        <is>
          <t>Date 日期</t>
        </is>
      </c>
      <c r="B3767" s="5">
        <f>IF('Daily Sale entry '!$A271="","",'Daily Sale entry '!$A271)</f>
        <v/>
      </c>
      <c r="H3767" t="inlineStr">
        <is>
          <t>After 调整后 (After)</t>
        </is>
      </c>
      <c r="I3767" s="5">
        <f>IF($B3767="","",B3767)</f>
        <v/>
      </c>
    </row>
    <row r="3768">
      <c r="A3768" t="inlineStr">
        <is>
          <t>Cash Sales 现金销售</t>
        </is>
      </c>
      <c r="B3768" s="6">
        <f>IF($B3767="","",'Daily Sale entry '!B271)</f>
        <v/>
      </c>
      <c r="D3768" t="inlineStr">
        <is>
          <t>c/f petty cash 今日备用金结转</t>
        </is>
      </c>
      <c r="E3768" s="6">
        <f>IF($B3767="","",'Daily Sale entry '!G271)</f>
        <v/>
      </c>
      <c r="H3768" t="inlineStr">
        <is>
          <t>Cash Sales 现金销售</t>
        </is>
      </c>
      <c r="I3768" s="6">
        <f>IF($B3767="","",IF(AND(ABS(B3778)&gt;'Opening Balance'!$B$13,B3778&lt;0),ROUND(B3768-B3778,2),B3768))</f>
        <v/>
      </c>
      <c r="K3768" t="inlineStr">
        <is>
          <t>c/f petty cash 今日备用金结转</t>
        </is>
      </c>
      <c r="L3768" s="6">
        <f>IF($B3767="","",IF(ABS(B3778)&lt;='Opening Balance'!$B$13,ROUND(E3768+B3778,2),E3768))</f>
        <v/>
      </c>
    </row>
    <row r="3769">
      <c r="A3769" t="inlineStr">
        <is>
          <t>Misc Charges 杂项费用</t>
        </is>
      </c>
      <c r="B3769" s="6">
        <f>IF($B3767="","",'Daily Sale entry '!C271)</f>
        <v/>
      </c>
      <c r="D3769" t="inlineStr">
        <is>
          <t>cash collection 现金收款</t>
        </is>
      </c>
      <c r="E3769" s="6">
        <f>IF($B3767="","",'Daily Sale entry '!H271)</f>
        <v/>
      </c>
      <c r="H3769" t="inlineStr">
        <is>
          <t>Misc Charges 杂项费用</t>
        </is>
      </c>
      <c r="I3769" s="6">
        <f>IF($B3767="","",IF(AND(ABS(B3778)&gt;'Opening Balance'!$B$13,B3778&gt;0),ROUND(B3769+B3778,2),B3769))</f>
        <v/>
      </c>
      <c r="K3769" t="inlineStr">
        <is>
          <t>cash collection 现金收款</t>
        </is>
      </c>
      <c r="L3769" s="6">
        <f>IF($B3767="","",E3769)</f>
        <v/>
      </c>
    </row>
    <row r="3770">
      <c r="A3770" s="1" t="inlineStr">
        <is>
          <t>Other Charges 其他费用</t>
        </is>
      </c>
      <c r="B3770" s="9">
        <f>IF($B3767="","",'Daily Sale entry '!D271)</f>
        <v/>
      </c>
      <c r="D3770" s="1" t="inlineStr">
        <is>
          <t>Cheque Collection 支票收款</t>
        </is>
      </c>
      <c r="E3770" s="9">
        <f>IF($B3767="","",'Daily Sale entry '!J271)</f>
        <v/>
      </c>
      <c r="H3770" s="1" t="inlineStr">
        <is>
          <t>Other Charges 其他费用</t>
        </is>
      </c>
      <c r="I3770" s="9">
        <f>IF($B3767="","",B3770)</f>
        <v/>
      </c>
      <c r="K3770" s="1" t="inlineStr">
        <is>
          <t>Cheque Collection 支票收款</t>
        </is>
      </c>
      <c r="L3770" s="9">
        <f>IF($B3767="","",E3770)</f>
        <v/>
      </c>
    </row>
    <row r="3771">
      <c r="A3771" s="10" t="inlineStr">
        <is>
          <t>Amount 金额  (Cash Sales - Misc - Other)</t>
        </is>
      </c>
      <c r="B3771" s="11">
        <f>IF($B3767="","",ROUND(B3768-B3769-B3770,2))</f>
        <v/>
      </c>
      <c r="D3771" s="12" t="inlineStr">
        <is>
          <t>TNG collection TNG收款</t>
        </is>
      </c>
      <c r="E3771" s="13">
        <f>IF($B3767="","",'Daily Sale entry '!K271)</f>
        <v/>
      </c>
      <c r="H3771" s="10" t="inlineStr">
        <is>
          <t>Amount 金额  (Cash Sales - Misc - Other)</t>
        </is>
      </c>
      <c r="I3771" s="11">
        <f>IF($B3767="","",ROUND(I3768-I3769-I3770,2))</f>
        <v/>
      </c>
      <c r="K3771" s="12" t="inlineStr">
        <is>
          <t>TNG collection TNG收款</t>
        </is>
      </c>
      <c r="L3771" s="13">
        <f>IF($B3767="","",E3771)</f>
        <v/>
      </c>
    </row>
    <row r="3772">
      <c r="A3772" t="inlineStr">
        <is>
          <t>Credit Collection 赊账收款</t>
        </is>
      </c>
      <c r="B3772" s="6">
        <f>IF($B3767="","",'Daily Sale entry '!E271)</f>
        <v/>
      </c>
      <c r="D3772" t="inlineStr">
        <is>
          <t>Advance Salary_M 预支薪水_M</t>
        </is>
      </c>
      <c r="E3772" s="6">
        <f>IF($B3767="","",'Daily Sale entry '!L271)</f>
        <v/>
      </c>
      <c r="H3772" t="inlineStr">
        <is>
          <t>Credit Collection 赊账收款</t>
        </is>
      </c>
      <c r="I3772" s="6">
        <f>IF($B3767="","",B3772)</f>
        <v/>
      </c>
      <c r="K3772" t="inlineStr">
        <is>
          <t>Advance Salary_M 预支薪水_M</t>
        </is>
      </c>
      <c r="L3772" s="6">
        <f>IF($B3767="","",E3772)</f>
        <v/>
      </c>
    </row>
    <row r="3773">
      <c r="A3773" s="10" t="inlineStr">
        <is>
          <t>Amount 2 金额2  (Amount + Credit Collection)</t>
        </is>
      </c>
      <c r="B3773" s="11">
        <f>IF($B3767="","",ROUND(B3771+B3772,2))</f>
        <v/>
      </c>
      <c r="D3773" t="inlineStr">
        <is>
          <t>Advance Salary_H 预支薪水_H</t>
        </is>
      </c>
      <c r="E3773" s="6">
        <f>IF($B3767="","",'Daily Sale entry '!M271)</f>
        <v/>
      </c>
      <c r="H3773" s="10" t="inlineStr">
        <is>
          <t>Amount 2 金额2  (Amount + Credit Collection)</t>
        </is>
      </c>
      <c r="I3773" s="11">
        <f>IF($B3767="","",ROUND(I3771+I3772,2))</f>
        <v/>
      </c>
      <c r="K3773" t="inlineStr">
        <is>
          <t>Advance Salary_H 预支薪水_H</t>
        </is>
      </c>
      <c r="L3773" s="6">
        <f>IF($B3767="","",E3773)</f>
        <v/>
      </c>
    </row>
    <row r="3774"/>
    <row r="3775">
      <c r="A3775" s="1" t="inlineStr">
        <is>
          <t>b/f petty cash 上日备用金结转</t>
        </is>
      </c>
      <c r="B3775" s="9">
        <f>IF($B3767="","",'Daily Sale entry '!F271)</f>
        <v/>
      </c>
      <c r="D3775" s="1" t="n"/>
      <c r="E3775" s="1" t="n"/>
      <c r="H3775" s="1" t="inlineStr">
        <is>
          <t>b/f petty cash 上日备用金结转</t>
        </is>
      </c>
      <c r="I3775" s="9">
        <f>IF($B3767="","",B3775)</f>
        <v/>
      </c>
      <c r="K3775" s="1" t="n"/>
      <c r="L3775" s="1" t="n"/>
    </row>
    <row r="3776">
      <c r="A3776" t="inlineStr">
        <is>
          <t>Total (A) 总计 (A)</t>
        </is>
      </c>
      <c r="B3776" s="6">
        <f>IF($B3767="","",ROUND(B3773+B3775,2))</f>
        <v/>
      </c>
      <c r="D3776" t="inlineStr">
        <is>
          <t>Total(B) 总计 (B)</t>
        </is>
      </c>
      <c r="E3776" s="6">
        <f>IF($B3767="","",ROUND(E3768+E3769+E3770+E3771+E3772+E3773,2))</f>
        <v/>
      </c>
      <c r="H3776" t="inlineStr">
        <is>
          <t>Total© 总计 (C)</t>
        </is>
      </c>
      <c r="I3776" s="6">
        <f>IF($B3767="","",ROUND(I3773+I3775,2))</f>
        <v/>
      </c>
      <c r="K3776" t="inlineStr">
        <is>
          <t>Total(D) 总计 (D)</t>
        </is>
      </c>
      <c r="L3776" s="6">
        <f>IF($B3767="","",ROUND(L3768+L3769+L3770+L3771+L3772+L3773,2))</f>
        <v/>
      </c>
    </row>
    <row r="3777">
      <c r="A3777" s="14" t="inlineStr">
        <is>
          <t>Total = Amount 2 + b/f petty cash  (金额2 + 上日备用金)</t>
        </is>
      </c>
      <c r="H3777" s="14" t="inlineStr">
        <is>
          <t>Total = Amount 2 + b/f petty cash  (金额2 + 上日备用金)</t>
        </is>
      </c>
    </row>
    <row r="3778">
      <c r="A3778" t="inlineStr">
        <is>
          <t>Different 差额</t>
        </is>
      </c>
      <c r="B3778" s="6">
        <f>IF($B3767="","",ROUND(B3776-E3776,2))</f>
        <v/>
      </c>
      <c r="D3778">
        <f>IF($B3767="","",IF(ABS(B3778)&gt;'Opening Balance'!$B$16,"ALERT 警报: Different over RM"&amp;'Opening Balance'!$B$16&amp;" 差额超过RM"&amp;'Opening Balance'!$B$16&amp;" - please check 请检查",IF(B3778=0,"Tied 平衡",IF(ABS(B3778)&lt;='Opening Balance'!$B$13,"Small difference 小额差额: adjusted on c/f petty cash 已调整备用金",IF(B3778&gt;0,"Short 短收: added to Misc Charges 已加入杂项费用","Over 多收: added to Cash Sales 已加入现金销售")))))</f>
        <v/>
      </c>
      <c r="H3778" t="inlineStr">
        <is>
          <t>Different 差额</t>
        </is>
      </c>
      <c r="I3778" s="6">
        <f>IF($B3767="","",ROUND(I3776-L3776,2))</f>
        <v/>
      </c>
    </row>
    <row r="3779"/>
    <row r="3780"/>
    <row r="3781">
      <c r="A3781" t="inlineStr">
        <is>
          <t>Date 日期</t>
        </is>
      </c>
      <c r="B3781" s="5">
        <f>IF('Daily Sale entry '!$A272="","",'Daily Sale entry '!$A272)</f>
        <v/>
      </c>
      <c r="H3781" t="inlineStr">
        <is>
          <t>After 调整后 (After)</t>
        </is>
      </c>
      <c r="I3781" s="5">
        <f>IF($B3781="","",B3781)</f>
        <v/>
      </c>
    </row>
    <row r="3782">
      <c r="A3782" t="inlineStr">
        <is>
          <t>Cash Sales 现金销售</t>
        </is>
      </c>
      <c r="B3782" s="6">
        <f>IF($B3781="","",'Daily Sale entry '!B272)</f>
        <v/>
      </c>
      <c r="D3782" t="inlineStr">
        <is>
          <t>c/f petty cash 今日备用金结转</t>
        </is>
      </c>
      <c r="E3782" s="6">
        <f>IF($B3781="","",'Daily Sale entry '!G272)</f>
        <v/>
      </c>
      <c r="H3782" t="inlineStr">
        <is>
          <t>Cash Sales 现金销售</t>
        </is>
      </c>
      <c r="I3782" s="6">
        <f>IF($B3781="","",IF(AND(ABS(B3792)&gt;'Opening Balance'!$B$13,B3792&lt;0),ROUND(B3782-B3792,2),B3782))</f>
        <v/>
      </c>
      <c r="K3782" t="inlineStr">
        <is>
          <t>c/f petty cash 今日备用金结转</t>
        </is>
      </c>
      <c r="L3782" s="6">
        <f>IF($B3781="","",IF(ABS(B3792)&lt;='Opening Balance'!$B$13,ROUND(E3782+B3792,2),E3782))</f>
        <v/>
      </c>
    </row>
    <row r="3783">
      <c r="A3783" t="inlineStr">
        <is>
          <t>Misc Charges 杂项费用</t>
        </is>
      </c>
      <c r="B3783" s="6">
        <f>IF($B3781="","",'Daily Sale entry '!C272)</f>
        <v/>
      </c>
      <c r="D3783" t="inlineStr">
        <is>
          <t>cash collection 现金收款</t>
        </is>
      </c>
      <c r="E3783" s="6">
        <f>IF($B3781="","",'Daily Sale entry '!H272)</f>
        <v/>
      </c>
      <c r="H3783" t="inlineStr">
        <is>
          <t>Misc Charges 杂项费用</t>
        </is>
      </c>
      <c r="I3783" s="6">
        <f>IF($B3781="","",IF(AND(ABS(B3792)&gt;'Opening Balance'!$B$13,B3792&gt;0),ROUND(B3783+B3792,2),B3783))</f>
        <v/>
      </c>
      <c r="K3783" t="inlineStr">
        <is>
          <t>cash collection 现金收款</t>
        </is>
      </c>
      <c r="L3783" s="6">
        <f>IF($B3781="","",E3783)</f>
        <v/>
      </c>
    </row>
    <row r="3784">
      <c r="A3784" s="1" t="inlineStr">
        <is>
          <t>Other Charges 其他费用</t>
        </is>
      </c>
      <c r="B3784" s="9">
        <f>IF($B3781="","",'Daily Sale entry '!D272)</f>
        <v/>
      </c>
      <c r="D3784" s="1" t="inlineStr">
        <is>
          <t>Cheque Collection 支票收款</t>
        </is>
      </c>
      <c r="E3784" s="9">
        <f>IF($B3781="","",'Daily Sale entry '!J272)</f>
        <v/>
      </c>
      <c r="H3784" s="1" t="inlineStr">
        <is>
          <t>Other Charges 其他费用</t>
        </is>
      </c>
      <c r="I3784" s="9">
        <f>IF($B3781="","",B3784)</f>
        <v/>
      </c>
      <c r="K3784" s="1" t="inlineStr">
        <is>
          <t>Cheque Collection 支票收款</t>
        </is>
      </c>
      <c r="L3784" s="9">
        <f>IF($B3781="","",E3784)</f>
        <v/>
      </c>
    </row>
    <row r="3785">
      <c r="A3785" s="10" t="inlineStr">
        <is>
          <t>Amount 金额  (Cash Sales - Misc - Other)</t>
        </is>
      </c>
      <c r="B3785" s="11">
        <f>IF($B3781="","",ROUND(B3782-B3783-B3784,2))</f>
        <v/>
      </c>
      <c r="D3785" s="12" t="inlineStr">
        <is>
          <t>TNG collection TNG收款</t>
        </is>
      </c>
      <c r="E3785" s="13">
        <f>IF($B3781="","",'Daily Sale entry '!K272)</f>
        <v/>
      </c>
      <c r="H3785" s="10" t="inlineStr">
        <is>
          <t>Amount 金额  (Cash Sales - Misc - Other)</t>
        </is>
      </c>
      <c r="I3785" s="11">
        <f>IF($B3781="","",ROUND(I3782-I3783-I3784,2))</f>
        <v/>
      </c>
      <c r="K3785" s="12" t="inlineStr">
        <is>
          <t>TNG collection TNG收款</t>
        </is>
      </c>
      <c r="L3785" s="13">
        <f>IF($B3781="","",E3785)</f>
        <v/>
      </c>
    </row>
    <row r="3786">
      <c r="A3786" t="inlineStr">
        <is>
          <t>Credit Collection 赊账收款</t>
        </is>
      </c>
      <c r="B3786" s="6">
        <f>IF($B3781="","",'Daily Sale entry '!E272)</f>
        <v/>
      </c>
      <c r="D3786" t="inlineStr">
        <is>
          <t>Advance Salary_M 预支薪水_M</t>
        </is>
      </c>
      <c r="E3786" s="6">
        <f>IF($B3781="","",'Daily Sale entry '!L272)</f>
        <v/>
      </c>
      <c r="H3786" t="inlineStr">
        <is>
          <t>Credit Collection 赊账收款</t>
        </is>
      </c>
      <c r="I3786" s="6">
        <f>IF($B3781="","",B3786)</f>
        <v/>
      </c>
      <c r="K3786" t="inlineStr">
        <is>
          <t>Advance Salary_M 预支薪水_M</t>
        </is>
      </c>
      <c r="L3786" s="6">
        <f>IF($B3781="","",E3786)</f>
        <v/>
      </c>
    </row>
    <row r="3787">
      <c r="A3787" s="10" t="inlineStr">
        <is>
          <t>Amount 2 金额2  (Amount + Credit Collection)</t>
        </is>
      </c>
      <c r="B3787" s="11">
        <f>IF($B3781="","",ROUND(B3785+B3786,2))</f>
        <v/>
      </c>
      <c r="D3787" t="inlineStr">
        <is>
          <t>Advance Salary_H 预支薪水_H</t>
        </is>
      </c>
      <c r="E3787" s="6">
        <f>IF($B3781="","",'Daily Sale entry '!M272)</f>
        <v/>
      </c>
      <c r="H3787" s="10" t="inlineStr">
        <is>
          <t>Amount 2 金额2  (Amount + Credit Collection)</t>
        </is>
      </c>
      <c r="I3787" s="11">
        <f>IF($B3781="","",ROUND(I3785+I3786,2))</f>
        <v/>
      </c>
      <c r="K3787" t="inlineStr">
        <is>
          <t>Advance Salary_H 预支薪水_H</t>
        </is>
      </c>
      <c r="L3787" s="6">
        <f>IF($B3781="","",E3787)</f>
        <v/>
      </c>
    </row>
    <row r="3788"/>
    <row r="3789">
      <c r="A3789" s="1" t="inlineStr">
        <is>
          <t>b/f petty cash 上日备用金结转</t>
        </is>
      </c>
      <c r="B3789" s="9">
        <f>IF($B3781="","",'Daily Sale entry '!F272)</f>
        <v/>
      </c>
      <c r="D3789" s="1" t="n"/>
      <c r="E3789" s="1" t="n"/>
      <c r="H3789" s="1" t="inlineStr">
        <is>
          <t>b/f petty cash 上日备用金结转</t>
        </is>
      </c>
      <c r="I3789" s="9">
        <f>IF($B3781="","",B3789)</f>
        <v/>
      </c>
      <c r="K3789" s="1" t="n"/>
      <c r="L3789" s="1" t="n"/>
    </row>
    <row r="3790">
      <c r="A3790" t="inlineStr">
        <is>
          <t>Total (A) 总计 (A)</t>
        </is>
      </c>
      <c r="B3790" s="6">
        <f>IF($B3781="","",ROUND(B3787+B3789,2))</f>
        <v/>
      </c>
      <c r="D3790" t="inlineStr">
        <is>
          <t>Total(B) 总计 (B)</t>
        </is>
      </c>
      <c r="E3790" s="6">
        <f>IF($B3781="","",ROUND(E3782+E3783+E3784+E3785+E3786+E3787,2))</f>
        <v/>
      </c>
      <c r="H3790" t="inlineStr">
        <is>
          <t>Total© 总计 (C)</t>
        </is>
      </c>
      <c r="I3790" s="6">
        <f>IF($B3781="","",ROUND(I3787+I3789,2))</f>
        <v/>
      </c>
      <c r="K3790" t="inlineStr">
        <is>
          <t>Total(D) 总计 (D)</t>
        </is>
      </c>
      <c r="L3790" s="6">
        <f>IF($B3781="","",ROUND(L3782+L3783+L3784+L3785+L3786+L3787,2))</f>
        <v/>
      </c>
    </row>
    <row r="3791">
      <c r="A3791" s="14" t="inlineStr">
        <is>
          <t>Total = Amount 2 + b/f petty cash  (金额2 + 上日备用金)</t>
        </is>
      </c>
      <c r="H3791" s="14" t="inlineStr">
        <is>
          <t>Total = Amount 2 + b/f petty cash  (金额2 + 上日备用金)</t>
        </is>
      </c>
    </row>
    <row r="3792">
      <c r="A3792" t="inlineStr">
        <is>
          <t>Different 差额</t>
        </is>
      </c>
      <c r="B3792" s="6">
        <f>IF($B3781="","",ROUND(B3790-E3790,2))</f>
        <v/>
      </c>
      <c r="D3792">
        <f>IF($B3781="","",IF(ABS(B3792)&gt;'Opening Balance'!$B$16,"ALERT 警报: Different over RM"&amp;'Opening Balance'!$B$16&amp;" 差额超过RM"&amp;'Opening Balance'!$B$16&amp;" - please check 请检查",IF(B3792=0,"Tied 平衡",IF(ABS(B3792)&lt;='Opening Balance'!$B$13,"Small difference 小额差额: adjusted on c/f petty cash 已调整备用金",IF(B3792&gt;0,"Short 短收: added to Misc Charges 已加入杂项费用","Over 多收: added to Cash Sales 已加入现金销售")))))</f>
        <v/>
      </c>
      <c r="H3792" t="inlineStr">
        <is>
          <t>Different 差额</t>
        </is>
      </c>
      <c r="I3792" s="6">
        <f>IF($B3781="","",ROUND(I3790-L3790,2))</f>
        <v/>
      </c>
    </row>
    <row r="3793"/>
    <row r="3794"/>
    <row r="3795">
      <c r="A3795" t="inlineStr">
        <is>
          <t>Date 日期</t>
        </is>
      </c>
      <c r="B3795" s="5">
        <f>IF('Daily Sale entry '!$A273="","",'Daily Sale entry '!$A273)</f>
        <v/>
      </c>
      <c r="H3795" t="inlineStr">
        <is>
          <t>After 调整后 (After)</t>
        </is>
      </c>
      <c r="I3795" s="5">
        <f>IF($B3795="","",B3795)</f>
        <v/>
      </c>
    </row>
    <row r="3796">
      <c r="A3796" t="inlineStr">
        <is>
          <t>Cash Sales 现金销售</t>
        </is>
      </c>
      <c r="B3796" s="6">
        <f>IF($B3795="","",'Daily Sale entry '!B273)</f>
        <v/>
      </c>
      <c r="D3796" t="inlineStr">
        <is>
          <t>c/f petty cash 今日备用金结转</t>
        </is>
      </c>
      <c r="E3796" s="6">
        <f>IF($B3795="","",'Daily Sale entry '!G273)</f>
        <v/>
      </c>
      <c r="H3796" t="inlineStr">
        <is>
          <t>Cash Sales 现金销售</t>
        </is>
      </c>
      <c r="I3796" s="6">
        <f>IF($B3795="","",IF(AND(ABS(B3806)&gt;'Opening Balance'!$B$13,B3806&lt;0),ROUND(B3796-B3806,2),B3796))</f>
        <v/>
      </c>
      <c r="K3796" t="inlineStr">
        <is>
          <t>c/f petty cash 今日备用金结转</t>
        </is>
      </c>
      <c r="L3796" s="6">
        <f>IF($B3795="","",IF(ABS(B3806)&lt;='Opening Balance'!$B$13,ROUND(E3796+B3806,2),E3796))</f>
        <v/>
      </c>
    </row>
    <row r="3797">
      <c r="A3797" t="inlineStr">
        <is>
          <t>Misc Charges 杂项费用</t>
        </is>
      </c>
      <c r="B3797" s="6">
        <f>IF($B3795="","",'Daily Sale entry '!C273)</f>
        <v/>
      </c>
      <c r="D3797" t="inlineStr">
        <is>
          <t>cash collection 现金收款</t>
        </is>
      </c>
      <c r="E3797" s="6">
        <f>IF($B3795="","",'Daily Sale entry '!H273)</f>
        <v/>
      </c>
      <c r="H3797" t="inlineStr">
        <is>
          <t>Misc Charges 杂项费用</t>
        </is>
      </c>
      <c r="I3797" s="6">
        <f>IF($B3795="","",IF(AND(ABS(B3806)&gt;'Opening Balance'!$B$13,B3806&gt;0),ROUND(B3797+B3806,2),B3797))</f>
        <v/>
      </c>
      <c r="K3797" t="inlineStr">
        <is>
          <t>cash collection 现金收款</t>
        </is>
      </c>
      <c r="L3797" s="6">
        <f>IF($B3795="","",E3797)</f>
        <v/>
      </c>
    </row>
    <row r="3798">
      <c r="A3798" s="1" t="inlineStr">
        <is>
          <t>Other Charges 其他费用</t>
        </is>
      </c>
      <c r="B3798" s="9">
        <f>IF($B3795="","",'Daily Sale entry '!D273)</f>
        <v/>
      </c>
      <c r="D3798" s="1" t="inlineStr">
        <is>
          <t>Cheque Collection 支票收款</t>
        </is>
      </c>
      <c r="E3798" s="9">
        <f>IF($B3795="","",'Daily Sale entry '!J273)</f>
        <v/>
      </c>
      <c r="H3798" s="1" t="inlineStr">
        <is>
          <t>Other Charges 其他费用</t>
        </is>
      </c>
      <c r="I3798" s="9">
        <f>IF($B3795="","",B3798)</f>
        <v/>
      </c>
      <c r="K3798" s="1" t="inlineStr">
        <is>
          <t>Cheque Collection 支票收款</t>
        </is>
      </c>
      <c r="L3798" s="9">
        <f>IF($B3795="","",E3798)</f>
        <v/>
      </c>
    </row>
    <row r="3799">
      <c r="A3799" s="10" t="inlineStr">
        <is>
          <t>Amount 金额  (Cash Sales - Misc - Other)</t>
        </is>
      </c>
      <c r="B3799" s="11">
        <f>IF($B3795="","",ROUND(B3796-B3797-B3798,2))</f>
        <v/>
      </c>
      <c r="D3799" s="12" t="inlineStr">
        <is>
          <t>TNG collection TNG收款</t>
        </is>
      </c>
      <c r="E3799" s="13">
        <f>IF($B3795="","",'Daily Sale entry '!K273)</f>
        <v/>
      </c>
      <c r="H3799" s="10" t="inlineStr">
        <is>
          <t>Amount 金额  (Cash Sales - Misc - Other)</t>
        </is>
      </c>
      <c r="I3799" s="11">
        <f>IF($B3795="","",ROUND(I3796-I3797-I3798,2))</f>
        <v/>
      </c>
      <c r="K3799" s="12" t="inlineStr">
        <is>
          <t>TNG collection TNG收款</t>
        </is>
      </c>
      <c r="L3799" s="13">
        <f>IF($B3795="","",E3799)</f>
        <v/>
      </c>
    </row>
    <row r="3800">
      <c r="A3800" t="inlineStr">
        <is>
          <t>Credit Collection 赊账收款</t>
        </is>
      </c>
      <c r="B3800" s="6">
        <f>IF($B3795="","",'Daily Sale entry '!E273)</f>
        <v/>
      </c>
      <c r="D3800" t="inlineStr">
        <is>
          <t>Advance Salary_M 预支薪水_M</t>
        </is>
      </c>
      <c r="E3800" s="6">
        <f>IF($B3795="","",'Daily Sale entry '!L273)</f>
        <v/>
      </c>
      <c r="H3800" t="inlineStr">
        <is>
          <t>Credit Collection 赊账收款</t>
        </is>
      </c>
      <c r="I3800" s="6">
        <f>IF($B3795="","",B3800)</f>
        <v/>
      </c>
      <c r="K3800" t="inlineStr">
        <is>
          <t>Advance Salary_M 预支薪水_M</t>
        </is>
      </c>
      <c r="L3800" s="6">
        <f>IF($B3795="","",E3800)</f>
        <v/>
      </c>
    </row>
    <row r="3801">
      <c r="A3801" s="10" t="inlineStr">
        <is>
          <t>Amount 2 金额2  (Amount + Credit Collection)</t>
        </is>
      </c>
      <c r="B3801" s="11">
        <f>IF($B3795="","",ROUND(B3799+B3800,2))</f>
        <v/>
      </c>
      <c r="D3801" t="inlineStr">
        <is>
          <t>Advance Salary_H 预支薪水_H</t>
        </is>
      </c>
      <c r="E3801" s="6">
        <f>IF($B3795="","",'Daily Sale entry '!M273)</f>
        <v/>
      </c>
      <c r="H3801" s="10" t="inlineStr">
        <is>
          <t>Amount 2 金额2  (Amount + Credit Collection)</t>
        </is>
      </c>
      <c r="I3801" s="11">
        <f>IF($B3795="","",ROUND(I3799+I3800,2))</f>
        <v/>
      </c>
      <c r="K3801" t="inlineStr">
        <is>
          <t>Advance Salary_H 预支薪水_H</t>
        </is>
      </c>
      <c r="L3801" s="6">
        <f>IF($B3795="","",E3801)</f>
        <v/>
      </c>
    </row>
    <row r="3802"/>
    <row r="3803">
      <c r="A3803" s="1" t="inlineStr">
        <is>
          <t>b/f petty cash 上日备用金结转</t>
        </is>
      </c>
      <c r="B3803" s="9">
        <f>IF($B3795="","",'Daily Sale entry '!F273)</f>
        <v/>
      </c>
      <c r="D3803" s="1" t="n"/>
      <c r="E3803" s="1" t="n"/>
      <c r="H3803" s="1" t="inlineStr">
        <is>
          <t>b/f petty cash 上日备用金结转</t>
        </is>
      </c>
      <c r="I3803" s="9">
        <f>IF($B3795="","",B3803)</f>
        <v/>
      </c>
      <c r="K3803" s="1" t="n"/>
      <c r="L3803" s="1" t="n"/>
    </row>
    <row r="3804">
      <c r="A3804" t="inlineStr">
        <is>
          <t>Total (A) 总计 (A)</t>
        </is>
      </c>
      <c r="B3804" s="6">
        <f>IF($B3795="","",ROUND(B3801+B3803,2))</f>
        <v/>
      </c>
      <c r="D3804" t="inlineStr">
        <is>
          <t>Total(B) 总计 (B)</t>
        </is>
      </c>
      <c r="E3804" s="6">
        <f>IF($B3795="","",ROUND(E3796+E3797+E3798+E3799+E3800+E3801,2))</f>
        <v/>
      </c>
      <c r="H3804" t="inlineStr">
        <is>
          <t>Total© 总计 (C)</t>
        </is>
      </c>
      <c r="I3804" s="6">
        <f>IF($B3795="","",ROUND(I3801+I3803,2))</f>
        <v/>
      </c>
      <c r="K3804" t="inlineStr">
        <is>
          <t>Total(D) 总计 (D)</t>
        </is>
      </c>
      <c r="L3804" s="6">
        <f>IF($B3795="","",ROUND(L3796+L3797+L3798+L3799+L3800+L3801,2))</f>
        <v/>
      </c>
    </row>
    <row r="3805">
      <c r="A3805" s="14" t="inlineStr">
        <is>
          <t>Total = Amount 2 + b/f petty cash  (金额2 + 上日备用金)</t>
        </is>
      </c>
      <c r="H3805" s="14" t="inlineStr">
        <is>
          <t>Total = Amount 2 + b/f petty cash  (金额2 + 上日备用金)</t>
        </is>
      </c>
    </row>
    <row r="3806">
      <c r="A3806" t="inlineStr">
        <is>
          <t>Different 差额</t>
        </is>
      </c>
      <c r="B3806" s="6">
        <f>IF($B3795="","",ROUND(B3804-E3804,2))</f>
        <v/>
      </c>
      <c r="D3806">
        <f>IF($B3795="","",IF(ABS(B3806)&gt;'Opening Balance'!$B$16,"ALERT 警报: Different over RM"&amp;'Opening Balance'!$B$16&amp;" 差额超过RM"&amp;'Opening Balance'!$B$16&amp;" - please check 请检查",IF(B3806=0,"Tied 平衡",IF(ABS(B3806)&lt;='Opening Balance'!$B$13,"Small difference 小额差额: adjusted on c/f petty cash 已调整备用金",IF(B3806&gt;0,"Short 短收: added to Misc Charges 已加入杂项费用","Over 多收: added to Cash Sales 已加入现金销售")))))</f>
        <v/>
      </c>
      <c r="H3806" t="inlineStr">
        <is>
          <t>Different 差额</t>
        </is>
      </c>
      <c r="I3806" s="6">
        <f>IF($B3795="","",ROUND(I3804-L3804,2))</f>
        <v/>
      </c>
    </row>
    <row r="3807"/>
    <row r="3808"/>
    <row r="3809">
      <c r="A3809" t="inlineStr">
        <is>
          <t>Date 日期</t>
        </is>
      </c>
      <c r="B3809" s="5">
        <f>IF('Daily Sale entry '!$A274="","",'Daily Sale entry '!$A274)</f>
        <v/>
      </c>
      <c r="H3809" t="inlineStr">
        <is>
          <t>After 调整后 (After)</t>
        </is>
      </c>
      <c r="I3809" s="5">
        <f>IF($B3809="","",B3809)</f>
        <v/>
      </c>
    </row>
    <row r="3810">
      <c r="A3810" t="inlineStr">
        <is>
          <t>Cash Sales 现金销售</t>
        </is>
      </c>
      <c r="B3810" s="6">
        <f>IF($B3809="","",'Daily Sale entry '!B274)</f>
        <v/>
      </c>
      <c r="D3810" t="inlineStr">
        <is>
          <t>c/f petty cash 今日备用金结转</t>
        </is>
      </c>
      <c r="E3810" s="6">
        <f>IF($B3809="","",'Daily Sale entry '!G274)</f>
        <v/>
      </c>
      <c r="H3810" t="inlineStr">
        <is>
          <t>Cash Sales 现金销售</t>
        </is>
      </c>
      <c r="I3810" s="6">
        <f>IF($B3809="","",IF(AND(ABS(B3820)&gt;'Opening Balance'!$B$13,B3820&lt;0),ROUND(B3810-B3820,2),B3810))</f>
        <v/>
      </c>
      <c r="K3810" t="inlineStr">
        <is>
          <t>c/f petty cash 今日备用金结转</t>
        </is>
      </c>
      <c r="L3810" s="6">
        <f>IF($B3809="","",IF(ABS(B3820)&lt;='Opening Balance'!$B$13,ROUND(E3810+B3820,2),E3810))</f>
        <v/>
      </c>
    </row>
    <row r="3811">
      <c r="A3811" t="inlineStr">
        <is>
          <t>Misc Charges 杂项费用</t>
        </is>
      </c>
      <c r="B3811" s="6">
        <f>IF($B3809="","",'Daily Sale entry '!C274)</f>
        <v/>
      </c>
      <c r="D3811" t="inlineStr">
        <is>
          <t>cash collection 现金收款</t>
        </is>
      </c>
      <c r="E3811" s="6">
        <f>IF($B3809="","",'Daily Sale entry '!H274)</f>
        <v/>
      </c>
      <c r="H3811" t="inlineStr">
        <is>
          <t>Misc Charges 杂项费用</t>
        </is>
      </c>
      <c r="I3811" s="6">
        <f>IF($B3809="","",IF(AND(ABS(B3820)&gt;'Opening Balance'!$B$13,B3820&gt;0),ROUND(B3811+B3820,2),B3811))</f>
        <v/>
      </c>
      <c r="K3811" t="inlineStr">
        <is>
          <t>cash collection 现金收款</t>
        </is>
      </c>
      <c r="L3811" s="6">
        <f>IF($B3809="","",E3811)</f>
        <v/>
      </c>
    </row>
    <row r="3812">
      <c r="A3812" s="1" t="inlineStr">
        <is>
          <t>Other Charges 其他费用</t>
        </is>
      </c>
      <c r="B3812" s="9">
        <f>IF($B3809="","",'Daily Sale entry '!D274)</f>
        <v/>
      </c>
      <c r="D3812" s="1" t="inlineStr">
        <is>
          <t>Cheque Collection 支票收款</t>
        </is>
      </c>
      <c r="E3812" s="9">
        <f>IF($B3809="","",'Daily Sale entry '!J274)</f>
        <v/>
      </c>
      <c r="H3812" s="1" t="inlineStr">
        <is>
          <t>Other Charges 其他费用</t>
        </is>
      </c>
      <c r="I3812" s="9">
        <f>IF($B3809="","",B3812)</f>
        <v/>
      </c>
      <c r="K3812" s="1" t="inlineStr">
        <is>
          <t>Cheque Collection 支票收款</t>
        </is>
      </c>
      <c r="L3812" s="9">
        <f>IF($B3809="","",E3812)</f>
        <v/>
      </c>
    </row>
    <row r="3813">
      <c r="A3813" s="10" t="inlineStr">
        <is>
          <t>Amount 金额  (Cash Sales - Misc - Other)</t>
        </is>
      </c>
      <c r="B3813" s="11">
        <f>IF($B3809="","",ROUND(B3810-B3811-B3812,2))</f>
        <v/>
      </c>
      <c r="D3813" s="12" t="inlineStr">
        <is>
          <t>TNG collection TNG收款</t>
        </is>
      </c>
      <c r="E3813" s="13">
        <f>IF($B3809="","",'Daily Sale entry '!K274)</f>
        <v/>
      </c>
      <c r="H3813" s="10" t="inlineStr">
        <is>
          <t>Amount 金额  (Cash Sales - Misc - Other)</t>
        </is>
      </c>
      <c r="I3813" s="11">
        <f>IF($B3809="","",ROUND(I3810-I3811-I3812,2))</f>
        <v/>
      </c>
      <c r="K3813" s="12" t="inlineStr">
        <is>
          <t>TNG collection TNG收款</t>
        </is>
      </c>
      <c r="L3813" s="13">
        <f>IF($B3809="","",E3813)</f>
        <v/>
      </c>
    </row>
    <row r="3814">
      <c r="A3814" t="inlineStr">
        <is>
          <t>Credit Collection 赊账收款</t>
        </is>
      </c>
      <c r="B3814" s="6">
        <f>IF($B3809="","",'Daily Sale entry '!E274)</f>
        <v/>
      </c>
      <c r="D3814" t="inlineStr">
        <is>
          <t>Advance Salary_M 预支薪水_M</t>
        </is>
      </c>
      <c r="E3814" s="6">
        <f>IF($B3809="","",'Daily Sale entry '!L274)</f>
        <v/>
      </c>
      <c r="H3814" t="inlineStr">
        <is>
          <t>Credit Collection 赊账收款</t>
        </is>
      </c>
      <c r="I3814" s="6">
        <f>IF($B3809="","",B3814)</f>
        <v/>
      </c>
      <c r="K3814" t="inlineStr">
        <is>
          <t>Advance Salary_M 预支薪水_M</t>
        </is>
      </c>
      <c r="L3814" s="6">
        <f>IF($B3809="","",E3814)</f>
        <v/>
      </c>
    </row>
    <row r="3815">
      <c r="A3815" s="10" t="inlineStr">
        <is>
          <t>Amount 2 金额2  (Amount + Credit Collection)</t>
        </is>
      </c>
      <c r="B3815" s="11">
        <f>IF($B3809="","",ROUND(B3813+B3814,2))</f>
        <v/>
      </c>
      <c r="D3815" t="inlineStr">
        <is>
          <t>Advance Salary_H 预支薪水_H</t>
        </is>
      </c>
      <c r="E3815" s="6">
        <f>IF($B3809="","",'Daily Sale entry '!M274)</f>
        <v/>
      </c>
      <c r="H3815" s="10" t="inlineStr">
        <is>
          <t>Amount 2 金额2  (Amount + Credit Collection)</t>
        </is>
      </c>
      <c r="I3815" s="11">
        <f>IF($B3809="","",ROUND(I3813+I3814,2))</f>
        <v/>
      </c>
      <c r="K3815" t="inlineStr">
        <is>
          <t>Advance Salary_H 预支薪水_H</t>
        </is>
      </c>
      <c r="L3815" s="6">
        <f>IF($B3809="","",E3815)</f>
        <v/>
      </c>
    </row>
    <row r="3816"/>
    <row r="3817">
      <c r="A3817" s="1" t="inlineStr">
        <is>
          <t>b/f petty cash 上日备用金结转</t>
        </is>
      </c>
      <c r="B3817" s="9">
        <f>IF($B3809="","",'Daily Sale entry '!F274)</f>
        <v/>
      </c>
      <c r="D3817" s="1" t="n"/>
      <c r="E3817" s="1" t="n"/>
      <c r="H3817" s="1" t="inlineStr">
        <is>
          <t>b/f petty cash 上日备用金结转</t>
        </is>
      </c>
      <c r="I3817" s="9">
        <f>IF($B3809="","",B3817)</f>
        <v/>
      </c>
      <c r="K3817" s="1" t="n"/>
      <c r="L3817" s="1" t="n"/>
    </row>
    <row r="3818">
      <c r="A3818" t="inlineStr">
        <is>
          <t>Total (A) 总计 (A)</t>
        </is>
      </c>
      <c r="B3818" s="6">
        <f>IF($B3809="","",ROUND(B3815+B3817,2))</f>
        <v/>
      </c>
      <c r="D3818" t="inlineStr">
        <is>
          <t>Total(B) 总计 (B)</t>
        </is>
      </c>
      <c r="E3818" s="6">
        <f>IF($B3809="","",ROUND(E3810+E3811+E3812+E3813+E3814+E3815,2))</f>
        <v/>
      </c>
      <c r="H3818" t="inlineStr">
        <is>
          <t>Total© 总计 (C)</t>
        </is>
      </c>
      <c r="I3818" s="6">
        <f>IF($B3809="","",ROUND(I3815+I3817,2))</f>
        <v/>
      </c>
      <c r="K3818" t="inlineStr">
        <is>
          <t>Total(D) 总计 (D)</t>
        </is>
      </c>
      <c r="L3818" s="6">
        <f>IF($B3809="","",ROUND(L3810+L3811+L3812+L3813+L3814+L3815,2))</f>
        <v/>
      </c>
    </row>
    <row r="3819">
      <c r="A3819" s="14" t="inlineStr">
        <is>
          <t>Total = Amount 2 + b/f petty cash  (金额2 + 上日备用金)</t>
        </is>
      </c>
      <c r="H3819" s="14" t="inlineStr">
        <is>
          <t>Total = Amount 2 + b/f petty cash  (金额2 + 上日备用金)</t>
        </is>
      </c>
    </row>
    <row r="3820">
      <c r="A3820" t="inlineStr">
        <is>
          <t>Different 差额</t>
        </is>
      </c>
      <c r="B3820" s="6">
        <f>IF($B3809="","",ROUND(B3818-E3818,2))</f>
        <v/>
      </c>
      <c r="D3820">
        <f>IF($B3809="","",IF(ABS(B3820)&gt;'Opening Balance'!$B$16,"ALERT 警报: Different over RM"&amp;'Opening Balance'!$B$16&amp;" 差额超过RM"&amp;'Opening Balance'!$B$16&amp;" - please check 请检查",IF(B3820=0,"Tied 平衡",IF(ABS(B3820)&lt;='Opening Balance'!$B$13,"Small difference 小额差额: adjusted on c/f petty cash 已调整备用金",IF(B3820&gt;0,"Short 短收: added to Misc Charges 已加入杂项费用","Over 多收: added to Cash Sales 已加入现金销售")))))</f>
        <v/>
      </c>
      <c r="H3820" t="inlineStr">
        <is>
          <t>Different 差额</t>
        </is>
      </c>
      <c r="I3820" s="6">
        <f>IF($B3809="","",ROUND(I3818-L3818,2))</f>
        <v/>
      </c>
    </row>
    <row r="3821"/>
    <row r="3822"/>
    <row r="3823">
      <c r="A3823" t="inlineStr">
        <is>
          <t>Date 日期</t>
        </is>
      </c>
      <c r="B3823" s="5">
        <f>IF('Daily Sale entry '!$A275="","",'Daily Sale entry '!$A275)</f>
        <v/>
      </c>
      <c r="H3823" t="inlineStr">
        <is>
          <t>After 调整后 (After)</t>
        </is>
      </c>
      <c r="I3823" s="5">
        <f>IF($B3823="","",B3823)</f>
        <v/>
      </c>
    </row>
    <row r="3824">
      <c r="A3824" t="inlineStr">
        <is>
          <t>Cash Sales 现金销售</t>
        </is>
      </c>
      <c r="B3824" s="6">
        <f>IF($B3823="","",'Daily Sale entry '!B275)</f>
        <v/>
      </c>
      <c r="D3824" t="inlineStr">
        <is>
          <t>c/f petty cash 今日备用金结转</t>
        </is>
      </c>
      <c r="E3824" s="6">
        <f>IF($B3823="","",'Daily Sale entry '!G275)</f>
        <v/>
      </c>
      <c r="H3824" t="inlineStr">
        <is>
          <t>Cash Sales 现金销售</t>
        </is>
      </c>
      <c r="I3824" s="6">
        <f>IF($B3823="","",IF(AND(ABS(B3834)&gt;'Opening Balance'!$B$13,B3834&lt;0),ROUND(B3824-B3834,2),B3824))</f>
        <v/>
      </c>
      <c r="K3824" t="inlineStr">
        <is>
          <t>c/f petty cash 今日备用金结转</t>
        </is>
      </c>
      <c r="L3824" s="6">
        <f>IF($B3823="","",IF(ABS(B3834)&lt;='Opening Balance'!$B$13,ROUND(E3824+B3834,2),E3824))</f>
        <v/>
      </c>
    </row>
    <row r="3825">
      <c r="A3825" t="inlineStr">
        <is>
          <t>Misc Charges 杂项费用</t>
        </is>
      </c>
      <c r="B3825" s="6">
        <f>IF($B3823="","",'Daily Sale entry '!C275)</f>
        <v/>
      </c>
      <c r="D3825" t="inlineStr">
        <is>
          <t>cash collection 现金收款</t>
        </is>
      </c>
      <c r="E3825" s="6">
        <f>IF($B3823="","",'Daily Sale entry '!H275)</f>
        <v/>
      </c>
      <c r="H3825" t="inlineStr">
        <is>
          <t>Misc Charges 杂项费用</t>
        </is>
      </c>
      <c r="I3825" s="6">
        <f>IF($B3823="","",IF(AND(ABS(B3834)&gt;'Opening Balance'!$B$13,B3834&gt;0),ROUND(B3825+B3834,2),B3825))</f>
        <v/>
      </c>
      <c r="K3825" t="inlineStr">
        <is>
          <t>cash collection 现金收款</t>
        </is>
      </c>
      <c r="L3825" s="6">
        <f>IF($B3823="","",E3825)</f>
        <v/>
      </c>
    </row>
    <row r="3826">
      <c r="A3826" s="1" t="inlineStr">
        <is>
          <t>Other Charges 其他费用</t>
        </is>
      </c>
      <c r="B3826" s="9">
        <f>IF($B3823="","",'Daily Sale entry '!D275)</f>
        <v/>
      </c>
      <c r="D3826" s="1" t="inlineStr">
        <is>
          <t>Cheque Collection 支票收款</t>
        </is>
      </c>
      <c r="E3826" s="9">
        <f>IF($B3823="","",'Daily Sale entry '!J275)</f>
        <v/>
      </c>
      <c r="H3826" s="1" t="inlineStr">
        <is>
          <t>Other Charges 其他费用</t>
        </is>
      </c>
      <c r="I3826" s="9">
        <f>IF($B3823="","",B3826)</f>
        <v/>
      </c>
      <c r="K3826" s="1" t="inlineStr">
        <is>
          <t>Cheque Collection 支票收款</t>
        </is>
      </c>
      <c r="L3826" s="9">
        <f>IF($B3823="","",E3826)</f>
        <v/>
      </c>
    </row>
    <row r="3827">
      <c r="A3827" s="10" t="inlineStr">
        <is>
          <t>Amount 金额  (Cash Sales - Misc - Other)</t>
        </is>
      </c>
      <c r="B3827" s="11">
        <f>IF($B3823="","",ROUND(B3824-B3825-B3826,2))</f>
        <v/>
      </c>
      <c r="D3827" s="12" t="inlineStr">
        <is>
          <t>TNG collection TNG收款</t>
        </is>
      </c>
      <c r="E3827" s="13">
        <f>IF($B3823="","",'Daily Sale entry '!K275)</f>
        <v/>
      </c>
      <c r="H3827" s="10" t="inlineStr">
        <is>
          <t>Amount 金额  (Cash Sales - Misc - Other)</t>
        </is>
      </c>
      <c r="I3827" s="11">
        <f>IF($B3823="","",ROUND(I3824-I3825-I3826,2))</f>
        <v/>
      </c>
      <c r="K3827" s="12" t="inlineStr">
        <is>
          <t>TNG collection TNG收款</t>
        </is>
      </c>
      <c r="L3827" s="13">
        <f>IF($B3823="","",E3827)</f>
        <v/>
      </c>
    </row>
    <row r="3828">
      <c r="A3828" t="inlineStr">
        <is>
          <t>Credit Collection 赊账收款</t>
        </is>
      </c>
      <c r="B3828" s="6">
        <f>IF($B3823="","",'Daily Sale entry '!E275)</f>
        <v/>
      </c>
      <c r="D3828" t="inlineStr">
        <is>
          <t>Advance Salary_M 预支薪水_M</t>
        </is>
      </c>
      <c r="E3828" s="6">
        <f>IF($B3823="","",'Daily Sale entry '!L275)</f>
        <v/>
      </c>
      <c r="H3828" t="inlineStr">
        <is>
          <t>Credit Collection 赊账收款</t>
        </is>
      </c>
      <c r="I3828" s="6">
        <f>IF($B3823="","",B3828)</f>
        <v/>
      </c>
      <c r="K3828" t="inlineStr">
        <is>
          <t>Advance Salary_M 预支薪水_M</t>
        </is>
      </c>
      <c r="L3828" s="6">
        <f>IF($B3823="","",E3828)</f>
        <v/>
      </c>
    </row>
    <row r="3829">
      <c r="A3829" s="10" t="inlineStr">
        <is>
          <t>Amount 2 金额2  (Amount + Credit Collection)</t>
        </is>
      </c>
      <c r="B3829" s="11">
        <f>IF($B3823="","",ROUND(B3827+B3828,2))</f>
        <v/>
      </c>
      <c r="D3829" t="inlineStr">
        <is>
          <t>Advance Salary_H 预支薪水_H</t>
        </is>
      </c>
      <c r="E3829" s="6">
        <f>IF($B3823="","",'Daily Sale entry '!M275)</f>
        <v/>
      </c>
      <c r="H3829" s="10" t="inlineStr">
        <is>
          <t>Amount 2 金额2  (Amount + Credit Collection)</t>
        </is>
      </c>
      <c r="I3829" s="11">
        <f>IF($B3823="","",ROUND(I3827+I3828,2))</f>
        <v/>
      </c>
      <c r="K3829" t="inlineStr">
        <is>
          <t>Advance Salary_H 预支薪水_H</t>
        </is>
      </c>
      <c r="L3829" s="6">
        <f>IF($B3823="","",E3829)</f>
        <v/>
      </c>
    </row>
    <row r="3830"/>
    <row r="3831">
      <c r="A3831" s="1" t="inlineStr">
        <is>
          <t>b/f petty cash 上日备用金结转</t>
        </is>
      </c>
      <c r="B3831" s="9">
        <f>IF($B3823="","",'Daily Sale entry '!F275)</f>
        <v/>
      </c>
      <c r="D3831" s="1" t="n"/>
      <c r="E3831" s="1" t="n"/>
      <c r="H3831" s="1" t="inlineStr">
        <is>
          <t>b/f petty cash 上日备用金结转</t>
        </is>
      </c>
      <c r="I3831" s="9">
        <f>IF($B3823="","",B3831)</f>
        <v/>
      </c>
      <c r="K3831" s="1" t="n"/>
      <c r="L3831" s="1" t="n"/>
    </row>
    <row r="3832">
      <c r="A3832" t="inlineStr">
        <is>
          <t>Total (A) 总计 (A)</t>
        </is>
      </c>
      <c r="B3832" s="6">
        <f>IF($B3823="","",ROUND(B3829+B3831,2))</f>
        <v/>
      </c>
      <c r="D3832" t="inlineStr">
        <is>
          <t>Total(B) 总计 (B)</t>
        </is>
      </c>
      <c r="E3832" s="6">
        <f>IF($B3823="","",ROUND(E3824+E3825+E3826+E3827+E3828+E3829,2))</f>
        <v/>
      </c>
      <c r="H3832" t="inlineStr">
        <is>
          <t>Total© 总计 (C)</t>
        </is>
      </c>
      <c r="I3832" s="6">
        <f>IF($B3823="","",ROUND(I3829+I3831,2))</f>
        <v/>
      </c>
      <c r="K3832" t="inlineStr">
        <is>
          <t>Total(D) 总计 (D)</t>
        </is>
      </c>
      <c r="L3832" s="6">
        <f>IF($B3823="","",ROUND(L3824+L3825+L3826+L3827+L3828+L3829,2))</f>
        <v/>
      </c>
    </row>
    <row r="3833">
      <c r="A3833" s="14" t="inlineStr">
        <is>
          <t>Total = Amount 2 + b/f petty cash  (金额2 + 上日备用金)</t>
        </is>
      </c>
      <c r="H3833" s="14" t="inlineStr">
        <is>
          <t>Total = Amount 2 + b/f petty cash  (金额2 + 上日备用金)</t>
        </is>
      </c>
    </row>
    <row r="3834">
      <c r="A3834" t="inlineStr">
        <is>
          <t>Different 差额</t>
        </is>
      </c>
      <c r="B3834" s="6">
        <f>IF($B3823="","",ROUND(B3832-E3832,2))</f>
        <v/>
      </c>
      <c r="D3834">
        <f>IF($B3823="","",IF(ABS(B3834)&gt;'Opening Balance'!$B$16,"ALERT 警报: Different over RM"&amp;'Opening Balance'!$B$16&amp;" 差额超过RM"&amp;'Opening Balance'!$B$16&amp;" - please check 请检查",IF(B3834=0,"Tied 平衡",IF(ABS(B3834)&lt;='Opening Balance'!$B$13,"Small difference 小额差额: adjusted on c/f petty cash 已调整备用金",IF(B3834&gt;0,"Short 短收: added to Misc Charges 已加入杂项费用","Over 多收: added to Cash Sales 已加入现金销售")))))</f>
        <v/>
      </c>
      <c r="H3834" t="inlineStr">
        <is>
          <t>Different 差额</t>
        </is>
      </c>
      <c r="I3834" s="6">
        <f>IF($B3823="","",ROUND(I3832-L3832,2))</f>
        <v/>
      </c>
    </row>
    <row r="3835"/>
    <row r="3836"/>
    <row r="3837">
      <c r="A3837" t="inlineStr">
        <is>
          <t>Date 日期</t>
        </is>
      </c>
      <c r="B3837" s="5">
        <f>IF('Daily Sale entry '!$A276="","",'Daily Sale entry '!$A276)</f>
        <v/>
      </c>
      <c r="H3837" t="inlineStr">
        <is>
          <t>After 调整后 (After)</t>
        </is>
      </c>
      <c r="I3837" s="5">
        <f>IF($B3837="","",B3837)</f>
        <v/>
      </c>
    </row>
    <row r="3838">
      <c r="A3838" t="inlineStr">
        <is>
          <t>Cash Sales 现金销售</t>
        </is>
      </c>
      <c r="B3838" s="6">
        <f>IF($B3837="","",'Daily Sale entry '!B276)</f>
        <v/>
      </c>
      <c r="D3838" t="inlineStr">
        <is>
          <t>c/f petty cash 今日备用金结转</t>
        </is>
      </c>
      <c r="E3838" s="6">
        <f>IF($B3837="","",'Daily Sale entry '!G276)</f>
        <v/>
      </c>
      <c r="H3838" t="inlineStr">
        <is>
          <t>Cash Sales 现金销售</t>
        </is>
      </c>
      <c r="I3838" s="6">
        <f>IF($B3837="","",IF(AND(ABS(B3848)&gt;'Opening Balance'!$B$13,B3848&lt;0),ROUND(B3838-B3848,2),B3838))</f>
        <v/>
      </c>
      <c r="K3838" t="inlineStr">
        <is>
          <t>c/f petty cash 今日备用金结转</t>
        </is>
      </c>
      <c r="L3838" s="6">
        <f>IF($B3837="","",IF(ABS(B3848)&lt;='Opening Balance'!$B$13,ROUND(E3838+B3848,2),E3838))</f>
        <v/>
      </c>
    </row>
    <row r="3839">
      <c r="A3839" t="inlineStr">
        <is>
          <t>Misc Charges 杂项费用</t>
        </is>
      </c>
      <c r="B3839" s="6">
        <f>IF($B3837="","",'Daily Sale entry '!C276)</f>
        <v/>
      </c>
      <c r="D3839" t="inlineStr">
        <is>
          <t>cash collection 现金收款</t>
        </is>
      </c>
      <c r="E3839" s="6">
        <f>IF($B3837="","",'Daily Sale entry '!H276)</f>
        <v/>
      </c>
      <c r="H3839" t="inlineStr">
        <is>
          <t>Misc Charges 杂项费用</t>
        </is>
      </c>
      <c r="I3839" s="6">
        <f>IF($B3837="","",IF(AND(ABS(B3848)&gt;'Opening Balance'!$B$13,B3848&gt;0),ROUND(B3839+B3848,2),B3839))</f>
        <v/>
      </c>
      <c r="K3839" t="inlineStr">
        <is>
          <t>cash collection 现金收款</t>
        </is>
      </c>
      <c r="L3839" s="6">
        <f>IF($B3837="","",E3839)</f>
        <v/>
      </c>
    </row>
    <row r="3840">
      <c r="A3840" s="1" t="inlineStr">
        <is>
          <t>Other Charges 其他费用</t>
        </is>
      </c>
      <c r="B3840" s="9">
        <f>IF($B3837="","",'Daily Sale entry '!D276)</f>
        <v/>
      </c>
      <c r="D3840" s="1" t="inlineStr">
        <is>
          <t>Cheque Collection 支票收款</t>
        </is>
      </c>
      <c r="E3840" s="9">
        <f>IF($B3837="","",'Daily Sale entry '!J276)</f>
        <v/>
      </c>
      <c r="H3840" s="1" t="inlineStr">
        <is>
          <t>Other Charges 其他费用</t>
        </is>
      </c>
      <c r="I3840" s="9">
        <f>IF($B3837="","",B3840)</f>
        <v/>
      </c>
      <c r="K3840" s="1" t="inlineStr">
        <is>
          <t>Cheque Collection 支票收款</t>
        </is>
      </c>
      <c r="L3840" s="9">
        <f>IF($B3837="","",E3840)</f>
        <v/>
      </c>
    </row>
    <row r="3841">
      <c r="A3841" s="10" t="inlineStr">
        <is>
          <t>Amount 金额  (Cash Sales - Misc - Other)</t>
        </is>
      </c>
      <c r="B3841" s="11">
        <f>IF($B3837="","",ROUND(B3838-B3839-B3840,2))</f>
        <v/>
      </c>
      <c r="D3841" s="12" t="inlineStr">
        <is>
          <t>TNG collection TNG收款</t>
        </is>
      </c>
      <c r="E3841" s="13">
        <f>IF($B3837="","",'Daily Sale entry '!K276)</f>
        <v/>
      </c>
      <c r="H3841" s="10" t="inlineStr">
        <is>
          <t>Amount 金额  (Cash Sales - Misc - Other)</t>
        </is>
      </c>
      <c r="I3841" s="11">
        <f>IF($B3837="","",ROUND(I3838-I3839-I3840,2))</f>
        <v/>
      </c>
      <c r="K3841" s="12" t="inlineStr">
        <is>
          <t>TNG collection TNG收款</t>
        </is>
      </c>
      <c r="L3841" s="13">
        <f>IF($B3837="","",E3841)</f>
        <v/>
      </c>
    </row>
    <row r="3842">
      <c r="A3842" t="inlineStr">
        <is>
          <t>Credit Collection 赊账收款</t>
        </is>
      </c>
      <c r="B3842" s="6">
        <f>IF($B3837="","",'Daily Sale entry '!E276)</f>
        <v/>
      </c>
      <c r="D3842" t="inlineStr">
        <is>
          <t>Advance Salary_M 预支薪水_M</t>
        </is>
      </c>
      <c r="E3842" s="6">
        <f>IF($B3837="","",'Daily Sale entry '!L276)</f>
        <v/>
      </c>
      <c r="H3842" t="inlineStr">
        <is>
          <t>Credit Collection 赊账收款</t>
        </is>
      </c>
      <c r="I3842" s="6">
        <f>IF($B3837="","",B3842)</f>
        <v/>
      </c>
      <c r="K3842" t="inlineStr">
        <is>
          <t>Advance Salary_M 预支薪水_M</t>
        </is>
      </c>
      <c r="L3842" s="6">
        <f>IF($B3837="","",E3842)</f>
        <v/>
      </c>
    </row>
    <row r="3843">
      <c r="A3843" s="10" t="inlineStr">
        <is>
          <t>Amount 2 金额2  (Amount + Credit Collection)</t>
        </is>
      </c>
      <c r="B3843" s="11">
        <f>IF($B3837="","",ROUND(B3841+B3842,2))</f>
        <v/>
      </c>
      <c r="D3843" t="inlineStr">
        <is>
          <t>Advance Salary_H 预支薪水_H</t>
        </is>
      </c>
      <c r="E3843" s="6">
        <f>IF($B3837="","",'Daily Sale entry '!M276)</f>
        <v/>
      </c>
      <c r="H3843" s="10" t="inlineStr">
        <is>
          <t>Amount 2 金额2  (Amount + Credit Collection)</t>
        </is>
      </c>
      <c r="I3843" s="11">
        <f>IF($B3837="","",ROUND(I3841+I3842,2))</f>
        <v/>
      </c>
      <c r="K3843" t="inlineStr">
        <is>
          <t>Advance Salary_H 预支薪水_H</t>
        </is>
      </c>
      <c r="L3843" s="6">
        <f>IF($B3837="","",E3843)</f>
        <v/>
      </c>
    </row>
    <row r="3844"/>
    <row r="3845">
      <c r="A3845" s="1" t="inlineStr">
        <is>
          <t>b/f petty cash 上日备用金结转</t>
        </is>
      </c>
      <c r="B3845" s="9">
        <f>IF($B3837="","",'Daily Sale entry '!F276)</f>
        <v/>
      </c>
      <c r="D3845" s="1" t="n"/>
      <c r="E3845" s="1" t="n"/>
      <c r="H3845" s="1" t="inlineStr">
        <is>
          <t>b/f petty cash 上日备用金结转</t>
        </is>
      </c>
      <c r="I3845" s="9">
        <f>IF($B3837="","",B3845)</f>
        <v/>
      </c>
      <c r="K3845" s="1" t="n"/>
      <c r="L3845" s="1" t="n"/>
    </row>
    <row r="3846">
      <c r="A3846" t="inlineStr">
        <is>
          <t>Total (A) 总计 (A)</t>
        </is>
      </c>
      <c r="B3846" s="6">
        <f>IF($B3837="","",ROUND(B3843+B3845,2))</f>
        <v/>
      </c>
      <c r="D3846" t="inlineStr">
        <is>
          <t>Total(B) 总计 (B)</t>
        </is>
      </c>
      <c r="E3846" s="6">
        <f>IF($B3837="","",ROUND(E3838+E3839+E3840+E3841+E3842+E3843,2))</f>
        <v/>
      </c>
      <c r="H3846" t="inlineStr">
        <is>
          <t>Total© 总计 (C)</t>
        </is>
      </c>
      <c r="I3846" s="6">
        <f>IF($B3837="","",ROUND(I3843+I3845,2))</f>
        <v/>
      </c>
      <c r="K3846" t="inlineStr">
        <is>
          <t>Total(D) 总计 (D)</t>
        </is>
      </c>
      <c r="L3846" s="6">
        <f>IF($B3837="","",ROUND(L3838+L3839+L3840+L3841+L3842+L3843,2))</f>
        <v/>
      </c>
    </row>
    <row r="3847">
      <c r="A3847" s="14" t="inlineStr">
        <is>
          <t>Total = Amount 2 + b/f petty cash  (金额2 + 上日备用金)</t>
        </is>
      </c>
      <c r="H3847" s="14" t="inlineStr">
        <is>
          <t>Total = Amount 2 + b/f petty cash  (金额2 + 上日备用金)</t>
        </is>
      </c>
    </row>
    <row r="3848">
      <c r="A3848" t="inlineStr">
        <is>
          <t>Different 差额</t>
        </is>
      </c>
      <c r="B3848" s="6">
        <f>IF($B3837="","",ROUND(B3846-E3846,2))</f>
        <v/>
      </c>
      <c r="D3848">
        <f>IF($B3837="","",IF(ABS(B3848)&gt;'Opening Balance'!$B$16,"ALERT 警报: Different over RM"&amp;'Opening Balance'!$B$16&amp;" 差额超过RM"&amp;'Opening Balance'!$B$16&amp;" - please check 请检查",IF(B3848=0,"Tied 平衡",IF(ABS(B3848)&lt;='Opening Balance'!$B$13,"Small difference 小额差额: adjusted on c/f petty cash 已调整备用金",IF(B3848&gt;0,"Short 短收: added to Misc Charges 已加入杂项费用","Over 多收: added to Cash Sales 已加入现金销售")))))</f>
        <v/>
      </c>
      <c r="H3848" t="inlineStr">
        <is>
          <t>Different 差额</t>
        </is>
      </c>
      <c r="I3848" s="6">
        <f>IF($B3837="","",ROUND(I3846-L3846,2))</f>
        <v/>
      </c>
    </row>
    <row r="3849"/>
    <row r="3850"/>
    <row r="3851">
      <c r="A3851" t="inlineStr">
        <is>
          <t>Date 日期</t>
        </is>
      </c>
      <c r="B3851" s="5">
        <f>IF('Daily Sale entry '!$A277="","",'Daily Sale entry '!$A277)</f>
        <v/>
      </c>
      <c r="H3851" t="inlineStr">
        <is>
          <t>After 调整后 (After)</t>
        </is>
      </c>
      <c r="I3851" s="5">
        <f>IF($B3851="","",B3851)</f>
        <v/>
      </c>
    </row>
    <row r="3852">
      <c r="A3852" t="inlineStr">
        <is>
          <t>Cash Sales 现金销售</t>
        </is>
      </c>
      <c r="B3852" s="6">
        <f>IF($B3851="","",'Daily Sale entry '!B277)</f>
        <v/>
      </c>
      <c r="D3852" t="inlineStr">
        <is>
          <t>c/f petty cash 今日备用金结转</t>
        </is>
      </c>
      <c r="E3852" s="6">
        <f>IF($B3851="","",'Daily Sale entry '!G277)</f>
        <v/>
      </c>
      <c r="H3852" t="inlineStr">
        <is>
          <t>Cash Sales 现金销售</t>
        </is>
      </c>
      <c r="I3852" s="6">
        <f>IF($B3851="","",IF(AND(ABS(B3862)&gt;'Opening Balance'!$B$13,B3862&lt;0),ROUND(B3852-B3862,2),B3852))</f>
        <v/>
      </c>
      <c r="K3852" t="inlineStr">
        <is>
          <t>c/f petty cash 今日备用金结转</t>
        </is>
      </c>
      <c r="L3852" s="6">
        <f>IF($B3851="","",IF(ABS(B3862)&lt;='Opening Balance'!$B$13,ROUND(E3852+B3862,2),E3852))</f>
        <v/>
      </c>
    </row>
    <row r="3853">
      <c r="A3853" t="inlineStr">
        <is>
          <t>Misc Charges 杂项费用</t>
        </is>
      </c>
      <c r="B3853" s="6">
        <f>IF($B3851="","",'Daily Sale entry '!C277)</f>
        <v/>
      </c>
      <c r="D3853" t="inlineStr">
        <is>
          <t>cash collection 现金收款</t>
        </is>
      </c>
      <c r="E3853" s="6">
        <f>IF($B3851="","",'Daily Sale entry '!H277)</f>
        <v/>
      </c>
      <c r="H3853" t="inlineStr">
        <is>
          <t>Misc Charges 杂项费用</t>
        </is>
      </c>
      <c r="I3853" s="6">
        <f>IF($B3851="","",IF(AND(ABS(B3862)&gt;'Opening Balance'!$B$13,B3862&gt;0),ROUND(B3853+B3862,2),B3853))</f>
        <v/>
      </c>
      <c r="K3853" t="inlineStr">
        <is>
          <t>cash collection 现金收款</t>
        </is>
      </c>
      <c r="L3853" s="6">
        <f>IF($B3851="","",E3853)</f>
        <v/>
      </c>
    </row>
    <row r="3854">
      <c r="A3854" s="1" t="inlineStr">
        <is>
          <t>Other Charges 其他费用</t>
        </is>
      </c>
      <c r="B3854" s="9">
        <f>IF($B3851="","",'Daily Sale entry '!D277)</f>
        <v/>
      </c>
      <c r="D3854" s="1" t="inlineStr">
        <is>
          <t>Cheque Collection 支票收款</t>
        </is>
      </c>
      <c r="E3854" s="9">
        <f>IF($B3851="","",'Daily Sale entry '!J277)</f>
        <v/>
      </c>
      <c r="H3854" s="1" t="inlineStr">
        <is>
          <t>Other Charges 其他费用</t>
        </is>
      </c>
      <c r="I3854" s="9">
        <f>IF($B3851="","",B3854)</f>
        <v/>
      </c>
      <c r="K3854" s="1" t="inlineStr">
        <is>
          <t>Cheque Collection 支票收款</t>
        </is>
      </c>
      <c r="L3854" s="9">
        <f>IF($B3851="","",E3854)</f>
        <v/>
      </c>
    </row>
    <row r="3855">
      <c r="A3855" s="10" t="inlineStr">
        <is>
          <t>Amount 金额  (Cash Sales - Misc - Other)</t>
        </is>
      </c>
      <c r="B3855" s="11">
        <f>IF($B3851="","",ROUND(B3852-B3853-B3854,2))</f>
        <v/>
      </c>
      <c r="D3855" s="12" t="inlineStr">
        <is>
          <t>TNG collection TNG收款</t>
        </is>
      </c>
      <c r="E3855" s="13">
        <f>IF($B3851="","",'Daily Sale entry '!K277)</f>
        <v/>
      </c>
      <c r="H3855" s="10" t="inlineStr">
        <is>
          <t>Amount 金额  (Cash Sales - Misc - Other)</t>
        </is>
      </c>
      <c r="I3855" s="11">
        <f>IF($B3851="","",ROUND(I3852-I3853-I3854,2))</f>
        <v/>
      </c>
      <c r="K3855" s="12" t="inlineStr">
        <is>
          <t>TNG collection TNG收款</t>
        </is>
      </c>
      <c r="L3855" s="13">
        <f>IF($B3851="","",E3855)</f>
        <v/>
      </c>
    </row>
    <row r="3856">
      <c r="A3856" t="inlineStr">
        <is>
          <t>Credit Collection 赊账收款</t>
        </is>
      </c>
      <c r="B3856" s="6">
        <f>IF($B3851="","",'Daily Sale entry '!E277)</f>
        <v/>
      </c>
      <c r="D3856" t="inlineStr">
        <is>
          <t>Advance Salary_M 预支薪水_M</t>
        </is>
      </c>
      <c r="E3856" s="6">
        <f>IF($B3851="","",'Daily Sale entry '!L277)</f>
        <v/>
      </c>
      <c r="H3856" t="inlineStr">
        <is>
          <t>Credit Collection 赊账收款</t>
        </is>
      </c>
      <c r="I3856" s="6">
        <f>IF($B3851="","",B3856)</f>
        <v/>
      </c>
      <c r="K3856" t="inlineStr">
        <is>
          <t>Advance Salary_M 预支薪水_M</t>
        </is>
      </c>
      <c r="L3856" s="6">
        <f>IF($B3851="","",E3856)</f>
        <v/>
      </c>
    </row>
    <row r="3857">
      <c r="A3857" s="10" t="inlineStr">
        <is>
          <t>Amount 2 金额2  (Amount + Credit Collection)</t>
        </is>
      </c>
      <c r="B3857" s="11">
        <f>IF($B3851="","",ROUND(B3855+B3856,2))</f>
        <v/>
      </c>
      <c r="D3857" t="inlineStr">
        <is>
          <t>Advance Salary_H 预支薪水_H</t>
        </is>
      </c>
      <c r="E3857" s="6">
        <f>IF($B3851="","",'Daily Sale entry '!M277)</f>
        <v/>
      </c>
      <c r="H3857" s="10" t="inlineStr">
        <is>
          <t>Amount 2 金额2  (Amount + Credit Collection)</t>
        </is>
      </c>
      <c r="I3857" s="11">
        <f>IF($B3851="","",ROUND(I3855+I3856,2))</f>
        <v/>
      </c>
      <c r="K3857" t="inlineStr">
        <is>
          <t>Advance Salary_H 预支薪水_H</t>
        </is>
      </c>
      <c r="L3857" s="6">
        <f>IF($B3851="","",E3857)</f>
        <v/>
      </c>
    </row>
    <row r="3858"/>
    <row r="3859">
      <c r="A3859" s="1" t="inlineStr">
        <is>
          <t>b/f petty cash 上日备用金结转</t>
        </is>
      </c>
      <c r="B3859" s="9">
        <f>IF($B3851="","",'Daily Sale entry '!F277)</f>
        <v/>
      </c>
      <c r="D3859" s="1" t="n"/>
      <c r="E3859" s="1" t="n"/>
      <c r="H3859" s="1" t="inlineStr">
        <is>
          <t>b/f petty cash 上日备用金结转</t>
        </is>
      </c>
      <c r="I3859" s="9">
        <f>IF($B3851="","",B3859)</f>
        <v/>
      </c>
      <c r="K3859" s="1" t="n"/>
      <c r="L3859" s="1" t="n"/>
    </row>
    <row r="3860">
      <c r="A3860" t="inlineStr">
        <is>
          <t>Total (A) 总计 (A)</t>
        </is>
      </c>
      <c r="B3860" s="6">
        <f>IF($B3851="","",ROUND(B3857+B3859,2))</f>
        <v/>
      </c>
      <c r="D3860" t="inlineStr">
        <is>
          <t>Total(B) 总计 (B)</t>
        </is>
      </c>
      <c r="E3860" s="6">
        <f>IF($B3851="","",ROUND(E3852+E3853+E3854+E3855+E3856+E3857,2))</f>
        <v/>
      </c>
      <c r="H3860" t="inlineStr">
        <is>
          <t>Total© 总计 (C)</t>
        </is>
      </c>
      <c r="I3860" s="6">
        <f>IF($B3851="","",ROUND(I3857+I3859,2))</f>
        <v/>
      </c>
      <c r="K3860" t="inlineStr">
        <is>
          <t>Total(D) 总计 (D)</t>
        </is>
      </c>
      <c r="L3860" s="6">
        <f>IF($B3851="","",ROUND(L3852+L3853+L3854+L3855+L3856+L3857,2))</f>
        <v/>
      </c>
    </row>
    <row r="3861">
      <c r="A3861" s="14" t="inlineStr">
        <is>
          <t>Total = Amount 2 + b/f petty cash  (金额2 + 上日备用金)</t>
        </is>
      </c>
      <c r="H3861" s="14" t="inlineStr">
        <is>
          <t>Total = Amount 2 + b/f petty cash  (金额2 + 上日备用金)</t>
        </is>
      </c>
    </row>
    <row r="3862">
      <c r="A3862" t="inlineStr">
        <is>
          <t>Different 差额</t>
        </is>
      </c>
      <c r="B3862" s="6">
        <f>IF($B3851="","",ROUND(B3860-E3860,2))</f>
        <v/>
      </c>
      <c r="D3862">
        <f>IF($B3851="","",IF(ABS(B3862)&gt;'Opening Balance'!$B$16,"ALERT 警报: Different over RM"&amp;'Opening Balance'!$B$16&amp;" 差额超过RM"&amp;'Opening Balance'!$B$16&amp;" - please check 请检查",IF(B3862=0,"Tied 平衡",IF(ABS(B3862)&lt;='Opening Balance'!$B$13,"Small difference 小额差额: adjusted on c/f petty cash 已调整备用金",IF(B3862&gt;0,"Short 短收: added to Misc Charges 已加入杂项费用","Over 多收: added to Cash Sales 已加入现金销售")))))</f>
        <v/>
      </c>
      <c r="H3862" t="inlineStr">
        <is>
          <t>Different 差额</t>
        </is>
      </c>
      <c r="I3862" s="6">
        <f>IF($B3851="","",ROUND(I3860-L3860,2))</f>
        <v/>
      </c>
    </row>
    <row r="3863"/>
    <row r="3864"/>
    <row r="3865">
      <c r="A3865" t="inlineStr">
        <is>
          <t>Date 日期</t>
        </is>
      </c>
      <c r="B3865" s="5">
        <f>IF('Daily Sale entry '!$A278="","",'Daily Sale entry '!$A278)</f>
        <v/>
      </c>
      <c r="H3865" t="inlineStr">
        <is>
          <t>After 调整后 (After)</t>
        </is>
      </c>
      <c r="I3865" s="5">
        <f>IF($B3865="","",B3865)</f>
        <v/>
      </c>
    </row>
    <row r="3866">
      <c r="A3866" t="inlineStr">
        <is>
          <t>Cash Sales 现金销售</t>
        </is>
      </c>
      <c r="B3866" s="6">
        <f>IF($B3865="","",'Daily Sale entry '!B278)</f>
        <v/>
      </c>
      <c r="D3866" t="inlineStr">
        <is>
          <t>c/f petty cash 今日备用金结转</t>
        </is>
      </c>
      <c r="E3866" s="6">
        <f>IF($B3865="","",'Daily Sale entry '!G278)</f>
        <v/>
      </c>
      <c r="H3866" t="inlineStr">
        <is>
          <t>Cash Sales 现金销售</t>
        </is>
      </c>
      <c r="I3866" s="6">
        <f>IF($B3865="","",IF(AND(ABS(B3876)&gt;'Opening Balance'!$B$13,B3876&lt;0),ROUND(B3866-B3876,2),B3866))</f>
        <v/>
      </c>
      <c r="K3866" t="inlineStr">
        <is>
          <t>c/f petty cash 今日备用金结转</t>
        </is>
      </c>
      <c r="L3866" s="6">
        <f>IF($B3865="","",IF(ABS(B3876)&lt;='Opening Balance'!$B$13,ROUND(E3866+B3876,2),E3866))</f>
        <v/>
      </c>
    </row>
    <row r="3867">
      <c r="A3867" t="inlineStr">
        <is>
          <t>Misc Charges 杂项费用</t>
        </is>
      </c>
      <c r="B3867" s="6">
        <f>IF($B3865="","",'Daily Sale entry '!C278)</f>
        <v/>
      </c>
      <c r="D3867" t="inlineStr">
        <is>
          <t>cash collection 现金收款</t>
        </is>
      </c>
      <c r="E3867" s="6">
        <f>IF($B3865="","",'Daily Sale entry '!H278)</f>
        <v/>
      </c>
      <c r="H3867" t="inlineStr">
        <is>
          <t>Misc Charges 杂项费用</t>
        </is>
      </c>
      <c r="I3867" s="6">
        <f>IF($B3865="","",IF(AND(ABS(B3876)&gt;'Opening Balance'!$B$13,B3876&gt;0),ROUND(B3867+B3876,2),B3867))</f>
        <v/>
      </c>
      <c r="K3867" t="inlineStr">
        <is>
          <t>cash collection 现金收款</t>
        </is>
      </c>
      <c r="L3867" s="6">
        <f>IF($B3865="","",E3867)</f>
        <v/>
      </c>
    </row>
    <row r="3868">
      <c r="A3868" s="1" t="inlineStr">
        <is>
          <t>Other Charges 其他费用</t>
        </is>
      </c>
      <c r="B3868" s="9">
        <f>IF($B3865="","",'Daily Sale entry '!D278)</f>
        <v/>
      </c>
      <c r="D3868" s="1" t="inlineStr">
        <is>
          <t>Cheque Collection 支票收款</t>
        </is>
      </c>
      <c r="E3868" s="9">
        <f>IF($B3865="","",'Daily Sale entry '!J278)</f>
        <v/>
      </c>
      <c r="H3868" s="1" t="inlineStr">
        <is>
          <t>Other Charges 其他费用</t>
        </is>
      </c>
      <c r="I3868" s="9">
        <f>IF($B3865="","",B3868)</f>
        <v/>
      </c>
      <c r="K3868" s="1" t="inlineStr">
        <is>
          <t>Cheque Collection 支票收款</t>
        </is>
      </c>
      <c r="L3868" s="9">
        <f>IF($B3865="","",E3868)</f>
        <v/>
      </c>
    </row>
    <row r="3869">
      <c r="A3869" s="10" t="inlineStr">
        <is>
          <t>Amount 金额  (Cash Sales - Misc - Other)</t>
        </is>
      </c>
      <c r="B3869" s="11">
        <f>IF($B3865="","",ROUND(B3866-B3867-B3868,2))</f>
        <v/>
      </c>
      <c r="D3869" s="12" t="inlineStr">
        <is>
          <t>TNG collection TNG收款</t>
        </is>
      </c>
      <c r="E3869" s="13">
        <f>IF($B3865="","",'Daily Sale entry '!K278)</f>
        <v/>
      </c>
      <c r="H3869" s="10" t="inlineStr">
        <is>
          <t>Amount 金额  (Cash Sales - Misc - Other)</t>
        </is>
      </c>
      <c r="I3869" s="11">
        <f>IF($B3865="","",ROUND(I3866-I3867-I3868,2))</f>
        <v/>
      </c>
      <c r="K3869" s="12" t="inlineStr">
        <is>
          <t>TNG collection TNG收款</t>
        </is>
      </c>
      <c r="L3869" s="13">
        <f>IF($B3865="","",E3869)</f>
        <v/>
      </c>
    </row>
    <row r="3870">
      <c r="A3870" t="inlineStr">
        <is>
          <t>Credit Collection 赊账收款</t>
        </is>
      </c>
      <c r="B3870" s="6">
        <f>IF($B3865="","",'Daily Sale entry '!E278)</f>
        <v/>
      </c>
      <c r="D3870" t="inlineStr">
        <is>
          <t>Advance Salary_M 预支薪水_M</t>
        </is>
      </c>
      <c r="E3870" s="6">
        <f>IF($B3865="","",'Daily Sale entry '!L278)</f>
        <v/>
      </c>
      <c r="H3870" t="inlineStr">
        <is>
          <t>Credit Collection 赊账收款</t>
        </is>
      </c>
      <c r="I3870" s="6">
        <f>IF($B3865="","",B3870)</f>
        <v/>
      </c>
      <c r="K3870" t="inlineStr">
        <is>
          <t>Advance Salary_M 预支薪水_M</t>
        </is>
      </c>
      <c r="L3870" s="6">
        <f>IF($B3865="","",E3870)</f>
        <v/>
      </c>
    </row>
    <row r="3871">
      <c r="A3871" s="10" t="inlineStr">
        <is>
          <t>Amount 2 金额2  (Amount + Credit Collection)</t>
        </is>
      </c>
      <c r="B3871" s="11">
        <f>IF($B3865="","",ROUND(B3869+B3870,2))</f>
        <v/>
      </c>
      <c r="D3871" t="inlineStr">
        <is>
          <t>Advance Salary_H 预支薪水_H</t>
        </is>
      </c>
      <c r="E3871" s="6">
        <f>IF($B3865="","",'Daily Sale entry '!M278)</f>
        <v/>
      </c>
      <c r="H3871" s="10" t="inlineStr">
        <is>
          <t>Amount 2 金额2  (Amount + Credit Collection)</t>
        </is>
      </c>
      <c r="I3871" s="11">
        <f>IF($B3865="","",ROUND(I3869+I3870,2))</f>
        <v/>
      </c>
      <c r="K3871" t="inlineStr">
        <is>
          <t>Advance Salary_H 预支薪水_H</t>
        </is>
      </c>
      <c r="L3871" s="6">
        <f>IF($B3865="","",E3871)</f>
        <v/>
      </c>
    </row>
    <row r="3872"/>
    <row r="3873">
      <c r="A3873" s="1" t="inlineStr">
        <is>
          <t>b/f petty cash 上日备用金结转</t>
        </is>
      </c>
      <c r="B3873" s="9">
        <f>IF($B3865="","",'Daily Sale entry '!F278)</f>
        <v/>
      </c>
      <c r="D3873" s="1" t="n"/>
      <c r="E3873" s="1" t="n"/>
      <c r="H3873" s="1" t="inlineStr">
        <is>
          <t>b/f petty cash 上日备用金结转</t>
        </is>
      </c>
      <c r="I3873" s="9">
        <f>IF($B3865="","",B3873)</f>
        <v/>
      </c>
      <c r="K3873" s="1" t="n"/>
      <c r="L3873" s="1" t="n"/>
    </row>
    <row r="3874">
      <c r="A3874" t="inlineStr">
        <is>
          <t>Total (A) 总计 (A)</t>
        </is>
      </c>
      <c r="B3874" s="6">
        <f>IF($B3865="","",ROUND(B3871+B3873,2))</f>
        <v/>
      </c>
      <c r="D3874" t="inlineStr">
        <is>
          <t>Total(B) 总计 (B)</t>
        </is>
      </c>
      <c r="E3874" s="6">
        <f>IF($B3865="","",ROUND(E3866+E3867+E3868+E3869+E3870+E3871,2))</f>
        <v/>
      </c>
      <c r="H3874" t="inlineStr">
        <is>
          <t>Total© 总计 (C)</t>
        </is>
      </c>
      <c r="I3874" s="6">
        <f>IF($B3865="","",ROUND(I3871+I3873,2))</f>
        <v/>
      </c>
      <c r="K3874" t="inlineStr">
        <is>
          <t>Total(D) 总计 (D)</t>
        </is>
      </c>
      <c r="L3874" s="6">
        <f>IF($B3865="","",ROUND(L3866+L3867+L3868+L3869+L3870+L3871,2))</f>
        <v/>
      </c>
    </row>
    <row r="3875">
      <c r="A3875" s="14" t="inlineStr">
        <is>
          <t>Total = Amount 2 + b/f petty cash  (金额2 + 上日备用金)</t>
        </is>
      </c>
      <c r="H3875" s="14" t="inlineStr">
        <is>
          <t>Total = Amount 2 + b/f petty cash  (金额2 + 上日备用金)</t>
        </is>
      </c>
    </row>
    <row r="3876">
      <c r="A3876" t="inlineStr">
        <is>
          <t>Different 差额</t>
        </is>
      </c>
      <c r="B3876" s="6">
        <f>IF($B3865="","",ROUND(B3874-E3874,2))</f>
        <v/>
      </c>
      <c r="D3876">
        <f>IF($B3865="","",IF(ABS(B3876)&gt;'Opening Balance'!$B$16,"ALERT 警报: Different over RM"&amp;'Opening Balance'!$B$16&amp;" 差额超过RM"&amp;'Opening Balance'!$B$16&amp;" - please check 请检查",IF(B3876=0,"Tied 平衡",IF(ABS(B3876)&lt;='Opening Balance'!$B$13,"Small difference 小额差额: adjusted on c/f petty cash 已调整备用金",IF(B3876&gt;0,"Short 短收: added to Misc Charges 已加入杂项费用","Over 多收: added to Cash Sales 已加入现金销售")))))</f>
        <v/>
      </c>
      <c r="H3876" t="inlineStr">
        <is>
          <t>Different 差额</t>
        </is>
      </c>
      <c r="I3876" s="6">
        <f>IF($B3865="","",ROUND(I3874-L3874,2))</f>
        <v/>
      </c>
    </row>
    <row r="3877"/>
    <row r="3878"/>
    <row r="3879">
      <c r="A3879" t="inlineStr">
        <is>
          <t>Date 日期</t>
        </is>
      </c>
      <c r="B3879" s="5">
        <f>IF('Daily Sale entry '!$A279="","",'Daily Sale entry '!$A279)</f>
        <v/>
      </c>
      <c r="H3879" t="inlineStr">
        <is>
          <t>After 调整后 (After)</t>
        </is>
      </c>
      <c r="I3879" s="5">
        <f>IF($B3879="","",B3879)</f>
        <v/>
      </c>
    </row>
    <row r="3880">
      <c r="A3880" t="inlineStr">
        <is>
          <t>Cash Sales 现金销售</t>
        </is>
      </c>
      <c r="B3880" s="6">
        <f>IF($B3879="","",'Daily Sale entry '!B279)</f>
        <v/>
      </c>
      <c r="D3880" t="inlineStr">
        <is>
          <t>c/f petty cash 今日备用金结转</t>
        </is>
      </c>
      <c r="E3880" s="6">
        <f>IF($B3879="","",'Daily Sale entry '!G279)</f>
        <v/>
      </c>
      <c r="H3880" t="inlineStr">
        <is>
          <t>Cash Sales 现金销售</t>
        </is>
      </c>
      <c r="I3880" s="6">
        <f>IF($B3879="","",IF(AND(ABS(B3890)&gt;'Opening Balance'!$B$13,B3890&lt;0),ROUND(B3880-B3890,2),B3880))</f>
        <v/>
      </c>
      <c r="K3880" t="inlineStr">
        <is>
          <t>c/f petty cash 今日备用金结转</t>
        </is>
      </c>
      <c r="L3880" s="6">
        <f>IF($B3879="","",IF(ABS(B3890)&lt;='Opening Balance'!$B$13,ROUND(E3880+B3890,2),E3880))</f>
        <v/>
      </c>
    </row>
    <row r="3881">
      <c r="A3881" t="inlineStr">
        <is>
          <t>Misc Charges 杂项费用</t>
        </is>
      </c>
      <c r="B3881" s="6">
        <f>IF($B3879="","",'Daily Sale entry '!C279)</f>
        <v/>
      </c>
      <c r="D3881" t="inlineStr">
        <is>
          <t>cash collection 现金收款</t>
        </is>
      </c>
      <c r="E3881" s="6">
        <f>IF($B3879="","",'Daily Sale entry '!H279)</f>
        <v/>
      </c>
      <c r="H3881" t="inlineStr">
        <is>
          <t>Misc Charges 杂项费用</t>
        </is>
      </c>
      <c r="I3881" s="6">
        <f>IF($B3879="","",IF(AND(ABS(B3890)&gt;'Opening Balance'!$B$13,B3890&gt;0),ROUND(B3881+B3890,2),B3881))</f>
        <v/>
      </c>
      <c r="K3881" t="inlineStr">
        <is>
          <t>cash collection 现金收款</t>
        </is>
      </c>
      <c r="L3881" s="6">
        <f>IF($B3879="","",E3881)</f>
        <v/>
      </c>
    </row>
    <row r="3882">
      <c r="A3882" s="1" t="inlineStr">
        <is>
          <t>Other Charges 其他费用</t>
        </is>
      </c>
      <c r="B3882" s="9">
        <f>IF($B3879="","",'Daily Sale entry '!D279)</f>
        <v/>
      </c>
      <c r="D3882" s="1" t="inlineStr">
        <is>
          <t>Cheque Collection 支票收款</t>
        </is>
      </c>
      <c r="E3882" s="9">
        <f>IF($B3879="","",'Daily Sale entry '!J279)</f>
        <v/>
      </c>
      <c r="H3882" s="1" t="inlineStr">
        <is>
          <t>Other Charges 其他费用</t>
        </is>
      </c>
      <c r="I3882" s="9">
        <f>IF($B3879="","",B3882)</f>
        <v/>
      </c>
      <c r="K3882" s="1" t="inlineStr">
        <is>
          <t>Cheque Collection 支票收款</t>
        </is>
      </c>
      <c r="L3882" s="9">
        <f>IF($B3879="","",E3882)</f>
        <v/>
      </c>
    </row>
    <row r="3883">
      <c r="A3883" s="10" t="inlineStr">
        <is>
          <t>Amount 金额  (Cash Sales - Misc - Other)</t>
        </is>
      </c>
      <c r="B3883" s="11">
        <f>IF($B3879="","",ROUND(B3880-B3881-B3882,2))</f>
        <v/>
      </c>
      <c r="D3883" s="12" t="inlineStr">
        <is>
          <t>TNG collection TNG收款</t>
        </is>
      </c>
      <c r="E3883" s="13">
        <f>IF($B3879="","",'Daily Sale entry '!K279)</f>
        <v/>
      </c>
      <c r="H3883" s="10" t="inlineStr">
        <is>
          <t>Amount 金额  (Cash Sales - Misc - Other)</t>
        </is>
      </c>
      <c r="I3883" s="11">
        <f>IF($B3879="","",ROUND(I3880-I3881-I3882,2))</f>
        <v/>
      </c>
      <c r="K3883" s="12" t="inlineStr">
        <is>
          <t>TNG collection TNG收款</t>
        </is>
      </c>
      <c r="L3883" s="13">
        <f>IF($B3879="","",E3883)</f>
        <v/>
      </c>
    </row>
    <row r="3884">
      <c r="A3884" t="inlineStr">
        <is>
          <t>Credit Collection 赊账收款</t>
        </is>
      </c>
      <c r="B3884" s="6">
        <f>IF($B3879="","",'Daily Sale entry '!E279)</f>
        <v/>
      </c>
      <c r="D3884" t="inlineStr">
        <is>
          <t>Advance Salary_M 预支薪水_M</t>
        </is>
      </c>
      <c r="E3884" s="6">
        <f>IF($B3879="","",'Daily Sale entry '!L279)</f>
        <v/>
      </c>
      <c r="H3884" t="inlineStr">
        <is>
          <t>Credit Collection 赊账收款</t>
        </is>
      </c>
      <c r="I3884" s="6">
        <f>IF($B3879="","",B3884)</f>
        <v/>
      </c>
      <c r="K3884" t="inlineStr">
        <is>
          <t>Advance Salary_M 预支薪水_M</t>
        </is>
      </c>
      <c r="L3884" s="6">
        <f>IF($B3879="","",E3884)</f>
        <v/>
      </c>
    </row>
    <row r="3885">
      <c r="A3885" s="10" t="inlineStr">
        <is>
          <t>Amount 2 金额2  (Amount + Credit Collection)</t>
        </is>
      </c>
      <c r="B3885" s="11">
        <f>IF($B3879="","",ROUND(B3883+B3884,2))</f>
        <v/>
      </c>
      <c r="D3885" t="inlineStr">
        <is>
          <t>Advance Salary_H 预支薪水_H</t>
        </is>
      </c>
      <c r="E3885" s="6">
        <f>IF($B3879="","",'Daily Sale entry '!M279)</f>
        <v/>
      </c>
      <c r="H3885" s="10" t="inlineStr">
        <is>
          <t>Amount 2 金额2  (Amount + Credit Collection)</t>
        </is>
      </c>
      <c r="I3885" s="11">
        <f>IF($B3879="","",ROUND(I3883+I3884,2))</f>
        <v/>
      </c>
      <c r="K3885" t="inlineStr">
        <is>
          <t>Advance Salary_H 预支薪水_H</t>
        </is>
      </c>
      <c r="L3885" s="6">
        <f>IF($B3879="","",E3885)</f>
        <v/>
      </c>
    </row>
    <row r="3886"/>
    <row r="3887">
      <c r="A3887" s="1" t="inlineStr">
        <is>
          <t>b/f petty cash 上日备用金结转</t>
        </is>
      </c>
      <c r="B3887" s="9">
        <f>IF($B3879="","",'Daily Sale entry '!F279)</f>
        <v/>
      </c>
      <c r="D3887" s="1" t="n"/>
      <c r="E3887" s="1" t="n"/>
      <c r="H3887" s="1" t="inlineStr">
        <is>
          <t>b/f petty cash 上日备用金结转</t>
        </is>
      </c>
      <c r="I3887" s="9">
        <f>IF($B3879="","",B3887)</f>
        <v/>
      </c>
      <c r="K3887" s="1" t="n"/>
      <c r="L3887" s="1" t="n"/>
    </row>
    <row r="3888">
      <c r="A3888" t="inlineStr">
        <is>
          <t>Total (A) 总计 (A)</t>
        </is>
      </c>
      <c r="B3888" s="6">
        <f>IF($B3879="","",ROUND(B3885+B3887,2))</f>
        <v/>
      </c>
      <c r="D3888" t="inlineStr">
        <is>
          <t>Total(B) 总计 (B)</t>
        </is>
      </c>
      <c r="E3888" s="6">
        <f>IF($B3879="","",ROUND(E3880+E3881+E3882+E3883+E3884+E3885,2))</f>
        <v/>
      </c>
      <c r="H3888" t="inlineStr">
        <is>
          <t>Total© 总计 (C)</t>
        </is>
      </c>
      <c r="I3888" s="6">
        <f>IF($B3879="","",ROUND(I3885+I3887,2))</f>
        <v/>
      </c>
      <c r="K3888" t="inlineStr">
        <is>
          <t>Total(D) 总计 (D)</t>
        </is>
      </c>
      <c r="L3888" s="6">
        <f>IF($B3879="","",ROUND(L3880+L3881+L3882+L3883+L3884+L3885,2))</f>
        <v/>
      </c>
    </row>
    <row r="3889">
      <c r="A3889" s="14" t="inlineStr">
        <is>
          <t>Total = Amount 2 + b/f petty cash  (金额2 + 上日备用金)</t>
        </is>
      </c>
      <c r="H3889" s="14" t="inlineStr">
        <is>
          <t>Total = Amount 2 + b/f petty cash  (金额2 + 上日备用金)</t>
        </is>
      </c>
    </row>
    <row r="3890">
      <c r="A3890" t="inlineStr">
        <is>
          <t>Different 差额</t>
        </is>
      </c>
      <c r="B3890" s="6">
        <f>IF($B3879="","",ROUND(B3888-E3888,2))</f>
        <v/>
      </c>
      <c r="D3890">
        <f>IF($B3879="","",IF(ABS(B3890)&gt;'Opening Balance'!$B$16,"ALERT 警报: Different over RM"&amp;'Opening Balance'!$B$16&amp;" 差额超过RM"&amp;'Opening Balance'!$B$16&amp;" - please check 请检查",IF(B3890=0,"Tied 平衡",IF(ABS(B3890)&lt;='Opening Balance'!$B$13,"Small difference 小额差额: adjusted on c/f petty cash 已调整备用金",IF(B3890&gt;0,"Short 短收: added to Misc Charges 已加入杂项费用","Over 多收: added to Cash Sales 已加入现金销售")))))</f>
        <v/>
      </c>
      <c r="H3890" t="inlineStr">
        <is>
          <t>Different 差额</t>
        </is>
      </c>
      <c r="I3890" s="6">
        <f>IF($B3879="","",ROUND(I3888-L3888,2))</f>
        <v/>
      </c>
    </row>
    <row r="3891"/>
    <row r="3892"/>
    <row r="3893">
      <c r="A3893" t="inlineStr">
        <is>
          <t>Date 日期</t>
        </is>
      </c>
      <c r="B3893" s="5">
        <f>IF('Daily Sale entry '!$A280="","",'Daily Sale entry '!$A280)</f>
        <v/>
      </c>
      <c r="H3893" t="inlineStr">
        <is>
          <t>After 调整后 (After)</t>
        </is>
      </c>
      <c r="I3893" s="5">
        <f>IF($B3893="","",B3893)</f>
        <v/>
      </c>
    </row>
    <row r="3894">
      <c r="A3894" t="inlineStr">
        <is>
          <t>Cash Sales 现金销售</t>
        </is>
      </c>
      <c r="B3894" s="6">
        <f>IF($B3893="","",'Daily Sale entry '!B280)</f>
        <v/>
      </c>
      <c r="D3894" t="inlineStr">
        <is>
          <t>c/f petty cash 今日备用金结转</t>
        </is>
      </c>
      <c r="E3894" s="6">
        <f>IF($B3893="","",'Daily Sale entry '!G280)</f>
        <v/>
      </c>
      <c r="H3894" t="inlineStr">
        <is>
          <t>Cash Sales 现金销售</t>
        </is>
      </c>
      <c r="I3894" s="6">
        <f>IF($B3893="","",IF(AND(ABS(B3904)&gt;'Opening Balance'!$B$13,B3904&lt;0),ROUND(B3894-B3904,2),B3894))</f>
        <v/>
      </c>
      <c r="K3894" t="inlineStr">
        <is>
          <t>c/f petty cash 今日备用金结转</t>
        </is>
      </c>
      <c r="L3894" s="6">
        <f>IF($B3893="","",IF(ABS(B3904)&lt;='Opening Balance'!$B$13,ROUND(E3894+B3904,2),E3894))</f>
        <v/>
      </c>
    </row>
    <row r="3895">
      <c r="A3895" t="inlineStr">
        <is>
          <t>Misc Charges 杂项费用</t>
        </is>
      </c>
      <c r="B3895" s="6">
        <f>IF($B3893="","",'Daily Sale entry '!C280)</f>
        <v/>
      </c>
      <c r="D3895" t="inlineStr">
        <is>
          <t>cash collection 现金收款</t>
        </is>
      </c>
      <c r="E3895" s="6">
        <f>IF($B3893="","",'Daily Sale entry '!H280)</f>
        <v/>
      </c>
      <c r="H3895" t="inlineStr">
        <is>
          <t>Misc Charges 杂项费用</t>
        </is>
      </c>
      <c r="I3895" s="6">
        <f>IF($B3893="","",IF(AND(ABS(B3904)&gt;'Opening Balance'!$B$13,B3904&gt;0),ROUND(B3895+B3904,2),B3895))</f>
        <v/>
      </c>
      <c r="K3895" t="inlineStr">
        <is>
          <t>cash collection 现金收款</t>
        </is>
      </c>
      <c r="L3895" s="6">
        <f>IF($B3893="","",E3895)</f>
        <v/>
      </c>
    </row>
    <row r="3896">
      <c r="A3896" s="1" t="inlineStr">
        <is>
          <t>Other Charges 其他费用</t>
        </is>
      </c>
      <c r="B3896" s="9">
        <f>IF($B3893="","",'Daily Sale entry '!D280)</f>
        <v/>
      </c>
      <c r="D3896" s="1" t="inlineStr">
        <is>
          <t>Cheque Collection 支票收款</t>
        </is>
      </c>
      <c r="E3896" s="9">
        <f>IF($B3893="","",'Daily Sale entry '!J280)</f>
        <v/>
      </c>
      <c r="H3896" s="1" t="inlineStr">
        <is>
          <t>Other Charges 其他费用</t>
        </is>
      </c>
      <c r="I3896" s="9">
        <f>IF($B3893="","",B3896)</f>
        <v/>
      </c>
      <c r="K3896" s="1" t="inlineStr">
        <is>
          <t>Cheque Collection 支票收款</t>
        </is>
      </c>
      <c r="L3896" s="9">
        <f>IF($B3893="","",E3896)</f>
        <v/>
      </c>
    </row>
    <row r="3897">
      <c r="A3897" s="10" t="inlineStr">
        <is>
          <t>Amount 金额  (Cash Sales - Misc - Other)</t>
        </is>
      </c>
      <c r="B3897" s="11">
        <f>IF($B3893="","",ROUND(B3894-B3895-B3896,2))</f>
        <v/>
      </c>
      <c r="D3897" s="12" t="inlineStr">
        <is>
          <t>TNG collection TNG收款</t>
        </is>
      </c>
      <c r="E3897" s="13">
        <f>IF($B3893="","",'Daily Sale entry '!K280)</f>
        <v/>
      </c>
      <c r="H3897" s="10" t="inlineStr">
        <is>
          <t>Amount 金额  (Cash Sales - Misc - Other)</t>
        </is>
      </c>
      <c r="I3897" s="11">
        <f>IF($B3893="","",ROUND(I3894-I3895-I3896,2))</f>
        <v/>
      </c>
      <c r="K3897" s="12" t="inlineStr">
        <is>
          <t>TNG collection TNG收款</t>
        </is>
      </c>
      <c r="L3897" s="13">
        <f>IF($B3893="","",E3897)</f>
        <v/>
      </c>
    </row>
    <row r="3898">
      <c r="A3898" t="inlineStr">
        <is>
          <t>Credit Collection 赊账收款</t>
        </is>
      </c>
      <c r="B3898" s="6">
        <f>IF($B3893="","",'Daily Sale entry '!E280)</f>
        <v/>
      </c>
      <c r="D3898" t="inlineStr">
        <is>
          <t>Advance Salary_M 预支薪水_M</t>
        </is>
      </c>
      <c r="E3898" s="6">
        <f>IF($B3893="","",'Daily Sale entry '!L280)</f>
        <v/>
      </c>
      <c r="H3898" t="inlineStr">
        <is>
          <t>Credit Collection 赊账收款</t>
        </is>
      </c>
      <c r="I3898" s="6">
        <f>IF($B3893="","",B3898)</f>
        <v/>
      </c>
      <c r="K3898" t="inlineStr">
        <is>
          <t>Advance Salary_M 预支薪水_M</t>
        </is>
      </c>
      <c r="L3898" s="6">
        <f>IF($B3893="","",E3898)</f>
        <v/>
      </c>
    </row>
    <row r="3899">
      <c r="A3899" s="10" t="inlineStr">
        <is>
          <t>Amount 2 金额2  (Amount + Credit Collection)</t>
        </is>
      </c>
      <c r="B3899" s="11">
        <f>IF($B3893="","",ROUND(B3897+B3898,2))</f>
        <v/>
      </c>
      <c r="D3899" t="inlineStr">
        <is>
          <t>Advance Salary_H 预支薪水_H</t>
        </is>
      </c>
      <c r="E3899" s="6">
        <f>IF($B3893="","",'Daily Sale entry '!M280)</f>
        <v/>
      </c>
      <c r="H3899" s="10" t="inlineStr">
        <is>
          <t>Amount 2 金额2  (Amount + Credit Collection)</t>
        </is>
      </c>
      <c r="I3899" s="11">
        <f>IF($B3893="","",ROUND(I3897+I3898,2))</f>
        <v/>
      </c>
      <c r="K3899" t="inlineStr">
        <is>
          <t>Advance Salary_H 预支薪水_H</t>
        </is>
      </c>
      <c r="L3899" s="6">
        <f>IF($B3893="","",E3899)</f>
        <v/>
      </c>
    </row>
    <row r="3900"/>
    <row r="3901">
      <c r="A3901" s="1" t="inlineStr">
        <is>
          <t>b/f petty cash 上日备用金结转</t>
        </is>
      </c>
      <c r="B3901" s="9">
        <f>IF($B3893="","",'Daily Sale entry '!F280)</f>
        <v/>
      </c>
      <c r="D3901" s="1" t="n"/>
      <c r="E3901" s="1" t="n"/>
      <c r="H3901" s="1" t="inlineStr">
        <is>
          <t>b/f petty cash 上日备用金结转</t>
        </is>
      </c>
      <c r="I3901" s="9">
        <f>IF($B3893="","",B3901)</f>
        <v/>
      </c>
      <c r="K3901" s="1" t="n"/>
      <c r="L3901" s="1" t="n"/>
    </row>
    <row r="3902">
      <c r="A3902" t="inlineStr">
        <is>
          <t>Total (A) 总计 (A)</t>
        </is>
      </c>
      <c r="B3902" s="6">
        <f>IF($B3893="","",ROUND(B3899+B3901,2))</f>
        <v/>
      </c>
      <c r="D3902" t="inlineStr">
        <is>
          <t>Total(B) 总计 (B)</t>
        </is>
      </c>
      <c r="E3902" s="6">
        <f>IF($B3893="","",ROUND(E3894+E3895+E3896+E3897+E3898+E3899,2))</f>
        <v/>
      </c>
      <c r="H3902" t="inlineStr">
        <is>
          <t>Total© 总计 (C)</t>
        </is>
      </c>
      <c r="I3902" s="6">
        <f>IF($B3893="","",ROUND(I3899+I3901,2))</f>
        <v/>
      </c>
      <c r="K3902" t="inlineStr">
        <is>
          <t>Total(D) 总计 (D)</t>
        </is>
      </c>
      <c r="L3902" s="6">
        <f>IF($B3893="","",ROUND(L3894+L3895+L3896+L3897+L3898+L3899,2))</f>
        <v/>
      </c>
    </row>
    <row r="3903">
      <c r="A3903" s="14" t="inlineStr">
        <is>
          <t>Total = Amount 2 + b/f petty cash  (金额2 + 上日备用金)</t>
        </is>
      </c>
      <c r="H3903" s="14" t="inlineStr">
        <is>
          <t>Total = Amount 2 + b/f petty cash  (金额2 + 上日备用金)</t>
        </is>
      </c>
    </row>
    <row r="3904">
      <c r="A3904" t="inlineStr">
        <is>
          <t>Different 差额</t>
        </is>
      </c>
      <c r="B3904" s="6">
        <f>IF($B3893="","",ROUND(B3902-E3902,2))</f>
        <v/>
      </c>
      <c r="D3904">
        <f>IF($B3893="","",IF(ABS(B3904)&gt;'Opening Balance'!$B$16,"ALERT 警报: Different over RM"&amp;'Opening Balance'!$B$16&amp;" 差额超过RM"&amp;'Opening Balance'!$B$16&amp;" - please check 请检查",IF(B3904=0,"Tied 平衡",IF(ABS(B3904)&lt;='Opening Balance'!$B$13,"Small difference 小额差额: adjusted on c/f petty cash 已调整备用金",IF(B3904&gt;0,"Short 短收: added to Misc Charges 已加入杂项费用","Over 多收: added to Cash Sales 已加入现金销售")))))</f>
        <v/>
      </c>
      <c r="H3904" t="inlineStr">
        <is>
          <t>Different 差额</t>
        </is>
      </c>
      <c r="I3904" s="6">
        <f>IF($B3893="","",ROUND(I3902-L3902,2))</f>
        <v/>
      </c>
    </row>
    <row r="3905"/>
    <row r="3906"/>
    <row r="3907">
      <c r="A3907" t="inlineStr">
        <is>
          <t>Date 日期</t>
        </is>
      </c>
      <c r="B3907" s="5">
        <f>IF('Daily Sale entry '!$A281="","",'Daily Sale entry '!$A281)</f>
        <v/>
      </c>
      <c r="H3907" t="inlineStr">
        <is>
          <t>After 调整后 (After)</t>
        </is>
      </c>
      <c r="I3907" s="5">
        <f>IF($B3907="","",B3907)</f>
        <v/>
      </c>
    </row>
    <row r="3908">
      <c r="A3908" t="inlineStr">
        <is>
          <t>Cash Sales 现金销售</t>
        </is>
      </c>
      <c r="B3908" s="6">
        <f>IF($B3907="","",'Daily Sale entry '!B281)</f>
        <v/>
      </c>
      <c r="D3908" t="inlineStr">
        <is>
          <t>c/f petty cash 今日备用金结转</t>
        </is>
      </c>
      <c r="E3908" s="6">
        <f>IF($B3907="","",'Daily Sale entry '!G281)</f>
        <v/>
      </c>
      <c r="H3908" t="inlineStr">
        <is>
          <t>Cash Sales 现金销售</t>
        </is>
      </c>
      <c r="I3908" s="6">
        <f>IF($B3907="","",IF(AND(ABS(B3918)&gt;'Opening Balance'!$B$13,B3918&lt;0),ROUND(B3908-B3918,2),B3908))</f>
        <v/>
      </c>
      <c r="K3908" t="inlineStr">
        <is>
          <t>c/f petty cash 今日备用金结转</t>
        </is>
      </c>
      <c r="L3908" s="6">
        <f>IF($B3907="","",IF(ABS(B3918)&lt;='Opening Balance'!$B$13,ROUND(E3908+B3918,2),E3908))</f>
        <v/>
      </c>
    </row>
    <row r="3909">
      <c r="A3909" t="inlineStr">
        <is>
          <t>Misc Charges 杂项费用</t>
        </is>
      </c>
      <c r="B3909" s="6">
        <f>IF($B3907="","",'Daily Sale entry '!C281)</f>
        <v/>
      </c>
      <c r="D3909" t="inlineStr">
        <is>
          <t>cash collection 现金收款</t>
        </is>
      </c>
      <c r="E3909" s="6">
        <f>IF($B3907="","",'Daily Sale entry '!H281)</f>
        <v/>
      </c>
      <c r="H3909" t="inlineStr">
        <is>
          <t>Misc Charges 杂项费用</t>
        </is>
      </c>
      <c r="I3909" s="6">
        <f>IF($B3907="","",IF(AND(ABS(B3918)&gt;'Opening Balance'!$B$13,B3918&gt;0),ROUND(B3909+B3918,2),B3909))</f>
        <v/>
      </c>
      <c r="K3909" t="inlineStr">
        <is>
          <t>cash collection 现金收款</t>
        </is>
      </c>
      <c r="L3909" s="6">
        <f>IF($B3907="","",E3909)</f>
        <v/>
      </c>
    </row>
    <row r="3910">
      <c r="A3910" s="1" t="inlineStr">
        <is>
          <t>Other Charges 其他费用</t>
        </is>
      </c>
      <c r="B3910" s="9">
        <f>IF($B3907="","",'Daily Sale entry '!D281)</f>
        <v/>
      </c>
      <c r="D3910" s="1" t="inlineStr">
        <is>
          <t>Cheque Collection 支票收款</t>
        </is>
      </c>
      <c r="E3910" s="9">
        <f>IF($B3907="","",'Daily Sale entry '!J281)</f>
        <v/>
      </c>
      <c r="H3910" s="1" t="inlineStr">
        <is>
          <t>Other Charges 其他费用</t>
        </is>
      </c>
      <c r="I3910" s="9">
        <f>IF($B3907="","",B3910)</f>
        <v/>
      </c>
      <c r="K3910" s="1" t="inlineStr">
        <is>
          <t>Cheque Collection 支票收款</t>
        </is>
      </c>
      <c r="L3910" s="9">
        <f>IF($B3907="","",E3910)</f>
        <v/>
      </c>
    </row>
    <row r="3911">
      <c r="A3911" s="10" t="inlineStr">
        <is>
          <t>Amount 金额  (Cash Sales - Misc - Other)</t>
        </is>
      </c>
      <c r="B3911" s="11">
        <f>IF($B3907="","",ROUND(B3908-B3909-B3910,2))</f>
        <v/>
      </c>
      <c r="D3911" s="12" t="inlineStr">
        <is>
          <t>TNG collection TNG收款</t>
        </is>
      </c>
      <c r="E3911" s="13">
        <f>IF($B3907="","",'Daily Sale entry '!K281)</f>
        <v/>
      </c>
      <c r="H3911" s="10" t="inlineStr">
        <is>
          <t>Amount 金额  (Cash Sales - Misc - Other)</t>
        </is>
      </c>
      <c r="I3911" s="11">
        <f>IF($B3907="","",ROUND(I3908-I3909-I3910,2))</f>
        <v/>
      </c>
      <c r="K3911" s="12" t="inlineStr">
        <is>
          <t>TNG collection TNG收款</t>
        </is>
      </c>
      <c r="L3911" s="13">
        <f>IF($B3907="","",E3911)</f>
        <v/>
      </c>
    </row>
    <row r="3912">
      <c r="A3912" t="inlineStr">
        <is>
          <t>Credit Collection 赊账收款</t>
        </is>
      </c>
      <c r="B3912" s="6">
        <f>IF($B3907="","",'Daily Sale entry '!E281)</f>
        <v/>
      </c>
      <c r="D3912" t="inlineStr">
        <is>
          <t>Advance Salary_M 预支薪水_M</t>
        </is>
      </c>
      <c r="E3912" s="6">
        <f>IF($B3907="","",'Daily Sale entry '!L281)</f>
        <v/>
      </c>
      <c r="H3912" t="inlineStr">
        <is>
          <t>Credit Collection 赊账收款</t>
        </is>
      </c>
      <c r="I3912" s="6">
        <f>IF($B3907="","",B3912)</f>
        <v/>
      </c>
      <c r="K3912" t="inlineStr">
        <is>
          <t>Advance Salary_M 预支薪水_M</t>
        </is>
      </c>
      <c r="L3912" s="6">
        <f>IF($B3907="","",E3912)</f>
        <v/>
      </c>
    </row>
    <row r="3913">
      <c r="A3913" s="10" t="inlineStr">
        <is>
          <t>Amount 2 金额2  (Amount + Credit Collection)</t>
        </is>
      </c>
      <c r="B3913" s="11">
        <f>IF($B3907="","",ROUND(B3911+B3912,2))</f>
        <v/>
      </c>
      <c r="D3913" t="inlineStr">
        <is>
          <t>Advance Salary_H 预支薪水_H</t>
        </is>
      </c>
      <c r="E3913" s="6">
        <f>IF($B3907="","",'Daily Sale entry '!M281)</f>
        <v/>
      </c>
      <c r="H3913" s="10" t="inlineStr">
        <is>
          <t>Amount 2 金额2  (Amount + Credit Collection)</t>
        </is>
      </c>
      <c r="I3913" s="11">
        <f>IF($B3907="","",ROUND(I3911+I3912,2))</f>
        <v/>
      </c>
      <c r="K3913" t="inlineStr">
        <is>
          <t>Advance Salary_H 预支薪水_H</t>
        </is>
      </c>
      <c r="L3913" s="6">
        <f>IF($B3907="","",E3913)</f>
        <v/>
      </c>
    </row>
    <row r="3914"/>
    <row r="3915">
      <c r="A3915" s="1" t="inlineStr">
        <is>
          <t>b/f petty cash 上日备用金结转</t>
        </is>
      </c>
      <c r="B3915" s="9">
        <f>IF($B3907="","",'Daily Sale entry '!F281)</f>
        <v/>
      </c>
      <c r="D3915" s="1" t="n"/>
      <c r="E3915" s="1" t="n"/>
      <c r="H3915" s="1" t="inlineStr">
        <is>
          <t>b/f petty cash 上日备用金结转</t>
        </is>
      </c>
      <c r="I3915" s="9">
        <f>IF($B3907="","",B3915)</f>
        <v/>
      </c>
      <c r="K3915" s="1" t="n"/>
      <c r="L3915" s="1" t="n"/>
    </row>
    <row r="3916">
      <c r="A3916" t="inlineStr">
        <is>
          <t>Total (A) 总计 (A)</t>
        </is>
      </c>
      <c r="B3916" s="6">
        <f>IF($B3907="","",ROUND(B3913+B3915,2))</f>
        <v/>
      </c>
      <c r="D3916" t="inlineStr">
        <is>
          <t>Total(B) 总计 (B)</t>
        </is>
      </c>
      <c r="E3916" s="6">
        <f>IF($B3907="","",ROUND(E3908+E3909+E3910+E3911+E3912+E3913,2))</f>
        <v/>
      </c>
      <c r="H3916" t="inlineStr">
        <is>
          <t>Total© 总计 (C)</t>
        </is>
      </c>
      <c r="I3916" s="6">
        <f>IF($B3907="","",ROUND(I3913+I3915,2))</f>
        <v/>
      </c>
      <c r="K3916" t="inlineStr">
        <is>
          <t>Total(D) 总计 (D)</t>
        </is>
      </c>
      <c r="L3916" s="6">
        <f>IF($B3907="","",ROUND(L3908+L3909+L3910+L3911+L3912+L3913,2))</f>
        <v/>
      </c>
    </row>
    <row r="3917">
      <c r="A3917" s="14" t="inlineStr">
        <is>
          <t>Total = Amount 2 + b/f petty cash  (金额2 + 上日备用金)</t>
        </is>
      </c>
      <c r="H3917" s="14" t="inlineStr">
        <is>
          <t>Total = Amount 2 + b/f petty cash  (金额2 + 上日备用金)</t>
        </is>
      </c>
    </row>
    <row r="3918">
      <c r="A3918" t="inlineStr">
        <is>
          <t>Different 差额</t>
        </is>
      </c>
      <c r="B3918" s="6">
        <f>IF($B3907="","",ROUND(B3916-E3916,2))</f>
        <v/>
      </c>
      <c r="D3918">
        <f>IF($B3907="","",IF(ABS(B3918)&gt;'Opening Balance'!$B$16,"ALERT 警报: Different over RM"&amp;'Opening Balance'!$B$16&amp;" 差额超过RM"&amp;'Opening Balance'!$B$16&amp;" - please check 请检查",IF(B3918=0,"Tied 平衡",IF(ABS(B3918)&lt;='Opening Balance'!$B$13,"Small difference 小额差额: adjusted on c/f petty cash 已调整备用金",IF(B3918&gt;0,"Short 短收: added to Misc Charges 已加入杂项费用","Over 多收: added to Cash Sales 已加入现金销售")))))</f>
        <v/>
      </c>
      <c r="H3918" t="inlineStr">
        <is>
          <t>Different 差额</t>
        </is>
      </c>
      <c r="I3918" s="6">
        <f>IF($B3907="","",ROUND(I3916-L3916,2))</f>
        <v/>
      </c>
    </row>
    <row r="3919"/>
    <row r="3920"/>
    <row r="3921">
      <c r="A3921" t="inlineStr">
        <is>
          <t>Date 日期</t>
        </is>
      </c>
      <c r="B3921" s="5">
        <f>IF('Daily Sale entry '!$A282="","",'Daily Sale entry '!$A282)</f>
        <v/>
      </c>
      <c r="H3921" t="inlineStr">
        <is>
          <t>After 调整后 (After)</t>
        </is>
      </c>
      <c r="I3921" s="5">
        <f>IF($B3921="","",B3921)</f>
        <v/>
      </c>
    </row>
    <row r="3922">
      <c r="A3922" t="inlineStr">
        <is>
          <t>Cash Sales 现金销售</t>
        </is>
      </c>
      <c r="B3922" s="6">
        <f>IF($B3921="","",'Daily Sale entry '!B282)</f>
        <v/>
      </c>
      <c r="D3922" t="inlineStr">
        <is>
          <t>c/f petty cash 今日备用金结转</t>
        </is>
      </c>
      <c r="E3922" s="6">
        <f>IF($B3921="","",'Daily Sale entry '!G282)</f>
        <v/>
      </c>
      <c r="H3922" t="inlineStr">
        <is>
          <t>Cash Sales 现金销售</t>
        </is>
      </c>
      <c r="I3922" s="6">
        <f>IF($B3921="","",IF(AND(ABS(B3932)&gt;'Opening Balance'!$B$13,B3932&lt;0),ROUND(B3922-B3932,2),B3922))</f>
        <v/>
      </c>
      <c r="K3922" t="inlineStr">
        <is>
          <t>c/f petty cash 今日备用金结转</t>
        </is>
      </c>
      <c r="L3922" s="6">
        <f>IF($B3921="","",IF(ABS(B3932)&lt;='Opening Balance'!$B$13,ROUND(E3922+B3932,2),E3922))</f>
        <v/>
      </c>
    </row>
    <row r="3923">
      <c r="A3923" t="inlineStr">
        <is>
          <t>Misc Charges 杂项费用</t>
        </is>
      </c>
      <c r="B3923" s="6">
        <f>IF($B3921="","",'Daily Sale entry '!C282)</f>
        <v/>
      </c>
      <c r="D3923" t="inlineStr">
        <is>
          <t>cash collection 现金收款</t>
        </is>
      </c>
      <c r="E3923" s="6">
        <f>IF($B3921="","",'Daily Sale entry '!H282)</f>
        <v/>
      </c>
      <c r="H3923" t="inlineStr">
        <is>
          <t>Misc Charges 杂项费用</t>
        </is>
      </c>
      <c r="I3923" s="6">
        <f>IF($B3921="","",IF(AND(ABS(B3932)&gt;'Opening Balance'!$B$13,B3932&gt;0),ROUND(B3923+B3932,2),B3923))</f>
        <v/>
      </c>
      <c r="K3923" t="inlineStr">
        <is>
          <t>cash collection 现金收款</t>
        </is>
      </c>
      <c r="L3923" s="6">
        <f>IF($B3921="","",E3923)</f>
        <v/>
      </c>
    </row>
    <row r="3924">
      <c r="A3924" s="1" t="inlineStr">
        <is>
          <t>Other Charges 其他费用</t>
        </is>
      </c>
      <c r="B3924" s="9">
        <f>IF($B3921="","",'Daily Sale entry '!D282)</f>
        <v/>
      </c>
      <c r="D3924" s="1" t="inlineStr">
        <is>
          <t>Cheque Collection 支票收款</t>
        </is>
      </c>
      <c r="E3924" s="9">
        <f>IF($B3921="","",'Daily Sale entry '!J282)</f>
        <v/>
      </c>
      <c r="H3924" s="1" t="inlineStr">
        <is>
          <t>Other Charges 其他费用</t>
        </is>
      </c>
      <c r="I3924" s="9">
        <f>IF($B3921="","",B3924)</f>
        <v/>
      </c>
      <c r="K3924" s="1" t="inlineStr">
        <is>
          <t>Cheque Collection 支票收款</t>
        </is>
      </c>
      <c r="L3924" s="9">
        <f>IF($B3921="","",E3924)</f>
        <v/>
      </c>
    </row>
    <row r="3925">
      <c r="A3925" s="10" t="inlineStr">
        <is>
          <t>Amount 金额  (Cash Sales - Misc - Other)</t>
        </is>
      </c>
      <c r="B3925" s="11">
        <f>IF($B3921="","",ROUND(B3922-B3923-B3924,2))</f>
        <v/>
      </c>
      <c r="D3925" s="12" t="inlineStr">
        <is>
          <t>TNG collection TNG收款</t>
        </is>
      </c>
      <c r="E3925" s="13">
        <f>IF($B3921="","",'Daily Sale entry '!K282)</f>
        <v/>
      </c>
      <c r="H3925" s="10" t="inlineStr">
        <is>
          <t>Amount 金额  (Cash Sales - Misc - Other)</t>
        </is>
      </c>
      <c r="I3925" s="11">
        <f>IF($B3921="","",ROUND(I3922-I3923-I3924,2))</f>
        <v/>
      </c>
      <c r="K3925" s="12" t="inlineStr">
        <is>
          <t>TNG collection TNG收款</t>
        </is>
      </c>
      <c r="L3925" s="13">
        <f>IF($B3921="","",E3925)</f>
        <v/>
      </c>
    </row>
    <row r="3926">
      <c r="A3926" t="inlineStr">
        <is>
          <t>Credit Collection 赊账收款</t>
        </is>
      </c>
      <c r="B3926" s="6">
        <f>IF($B3921="","",'Daily Sale entry '!E282)</f>
        <v/>
      </c>
      <c r="D3926" t="inlineStr">
        <is>
          <t>Advance Salary_M 预支薪水_M</t>
        </is>
      </c>
      <c r="E3926" s="6">
        <f>IF($B3921="","",'Daily Sale entry '!L282)</f>
        <v/>
      </c>
      <c r="H3926" t="inlineStr">
        <is>
          <t>Credit Collection 赊账收款</t>
        </is>
      </c>
      <c r="I3926" s="6">
        <f>IF($B3921="","",B3926)</f>
        <v/>
      </c>
      <c r="K3926" t="inlineStr">
        <is>
          <t>Advance Salary_M 预支薪水_M</t>
        </is>
      </c>
      <c r="L3926" s="6">
        <f>IF($B3921="","",E3926)</f>
        <v/>
      </c>
    </row>
    <row r="3927">
      <c r="A3927" s="10" t="inlineStr">
        <is>
          <t>Amount 2 金额2  (Amount + Credit Collection)</t>
        </is>
      </c>
      <c r="B3927" s="11">
        <f>IF($B3921="","",ROUND(B3925+B3926,2))</f>
        <v/>
      </c>
      <c r="D3927" t="inlineStr">
        <is>
          <t>Advance Salary_H 预支薪水_H</t>
        </is>
      </c>
      <c r="E3927" s="6">
        <f>IF($B3921="","",'Daily Sale entry '!M282)</f>
        <v/>
      </c>
      <c r="H3927" s="10" t="inlineStr">
        <is>
          <t>Amount 2 金额2  (Amount + Credit Collection)</t>
        </is>
      </c>
      <c r="I3927" s="11">
        <f>IF($B3921="","",ROUND(I3925+I3926,2))</f>
        <v/>
      </c>
      <c r="K3927" t="inlineStr">
        <is>
          <t>Advance Salary_H 预支薪水_H</t>
        </is>
      </c>
      <c r="L3927" s="6">
        <f>IF($B3921="","",E3927)</f>
        <v/>
      </c>
    </row>
    <row r="3928"/>
    <row r="3929">
      <c r="A3929" s="1" t="inlineStr">
        <is>
          <t>b/f petty cash 上日备用金结转</t>
        </is>
      </c>
      <c r="B3929" s="9">
        <f>IF($B3921="","",'Daily Sale entry '!F282)</f>
        <v/>
      </c>
      <c r="D3929" s="1" t="n"/>
      <c r="E3929" s="1" t="n"/>
      <c r="H3929" s="1" t="inlineStr">
        <is>
          <t>b/f petty cash 上日备用金结转</t>
        </is>
      </c>
      <c r="I3929" s="9">
        <f>IF($B3921="","",B3929)</f>
        <v/>
      </c>
      <c r="K3929" s="1" t="n"/>
      <c r="L3929" s="1" t="n"/>
    </row>
    <row r="3930">
      <c r="A3930" t="inlineStr">
        <is>
          <t>Total (A) 总计 (A)</t>
        </is>
      </c>
      <c r="B3930" s="6">
        <f>IF($B3921="","",ROUND(B3927+B3929,2))</f>
        <v/>
      </c>
      <c r="D3930" t="inlineStr">
        <is>
          <t>Total(B) 总计 (B)</t>
        </is>
      </c>
      <c r="E3930" s="6">
        <f>IF($B3921="","",ROUND(E3922+E3923+E3924+E3925+E3926+E3927,2))</f>
        <v/>
      </c>
      <c r="H3930" t="inlineStr">
        <is>
          <t>Total© 总计 (C)</t>
        </is>
      </c>
      <c r="I3930" s="6">
        <f>IF($B3921="","",ROUND(I3927+I3929,2))</f>
        <v/>
      </c>
      <c r="K3930" t="inlineStr">
        <is>
          <t>Total(D) 总计 (D)</t>
        </is>
      </c>
      <c r="L3930" s="6">
        <f>IF($B3921="","",ROUND(L3922+L3923+L3924+L3925+L3926+L3927,2))</f>
        <v/>
      </c>
    </row>
    <row r="3931">
      <c r="A3931" s="14" t="inlineStr">
        <is>
          <t>Total = Amount 2 + b/f petty cash  (金额2 + 上日备用金)</t>
        </is>
      </c>
      <c r="H3931" s="14" t="inlineStr">
        <is>
          <t>Total = Amount 2 + b/f petty cash  (金额2 + 上日备用金)</t>
        </is>
      </c>
    </row>
    <row r="3932">
      <c r="A3932" t="inlineStr">
        <is>
          <t>Different 差额</t>
        </is>
      </c>
      <c r="B3932" s="6">
        <f>IF($B3921="","",ROUND(B3930-E3930,2))</f>
        <v/>
      </c>
      <c r="D3932">
        <f>IF($B3921="","",IF(ABS(B3932)&gt;'Opening Balance'!$B$16,"ALERT 警报: Different over RM"&amp;'Opening Balance'!$B$16&amp;" 差额超过RM"&amp;'Opening Balance'!$B$16&amp;" - please check 请检查",IF(B3932=0,"Tied 平衡",IF(ABS(B3932)&lt;='Opening Balance'!$B$13,"Small difference 小额差额: adjusted on c/f petty cash 已调整备用金",IF(B3932&gt;0,"Short 短收: added to Misc Charges 已加入杂项费用","Over 多收: added to Cash Sales 已加入现金销售")))))</f>
        <v/>
      </c>
      <c r="H3932" t="inlineStr">
        <is>
          <t>Different 差额</t>
        </is>
      </c>
      <c r="I3932" s="6">
        <f>IF($B3921="","",ROUND(I3930-L3930,2))</f>
        <v/>
      </c>
    </row>
    <row r="3933"/>
    <row r="3934"/>
    <row r="3935">
      <c r="A3935" t="inlineStr">
        <is>
          <t>Date 日期</t>
        </is>
      </c>
      <c r="B3935" s="5">
        <f>IF('Daily Sale entry '!$A283="","",'Daily Sale entry '!$A283)</f>
        <v/>
      </c>
      <c r="H3935" t="inlineStr">
        <is>
          <t>After 调整后 (After)</t>
        </is>
      </c>
      <c r="I3935" s="5">
        <f>IF($B3935="","",B3935)</f>
        <v/>
      </c>
    </row>
    <row r="3936">
      <c r="A3936" t="inlineStr">
        <is>
          <t>Cash Sales 现金销售</t>
        </is>
      </c>
      <c r="B3936" s="6">
        <f>IF($B3935="","",'Daily Sale entry '!B283)</f>
        <v/>
      </c>
      <c r="D3936" t="inlineStr">
        <is>
          <t>c/f petty cash 今日备用金结转</t>
        </is>
      </c>
      <c r="E3936" s="6">
        <f>IF($B3935="","",'Daily Sale entry '!G283)</f>
        <v/>
      </c>
      <c r="H3936" t="inlineStr">
        <is>
          <t>Cash Sales 现金销售</t>
        </is>
      </c>
      <c r="I3936" s="6">
        <f>IF($B3935="","",IF(AND(ABS(B3946)&gt;'Opening Balance'!$B$13,B3946&lt;0),ROUND(B3936-B3946,2),B3936))</f>
        <v/>
      </c>
      <c r="K3936" t="inlineStr">
        <is>
          <t>c/f petty cash 今日备用金结转</t>
        </is>
      </c>
      <c r="L3936" s="6">
        <f>IF($B3935="","",IF(ABS(B3946)&lt;='Opening Balance'!$B$13,ROUND(E3936+B3946,2),E3936))</f>
        <v/>
      </c>
    </row>
    <row r="3937">
      <c r="A3937" t="inlineStr">
        <is>
          <t>Misc Charges 杂项费用</t>
        </is>
      </c>
      <c r="B3937" s="6">
        <f>IF($B3935="","",'Daily Sale entry '!C283)</f>
        <v/>
      </c>
      <c r="D3937" t="inlineStr">
        <is>
          <t>cash collection 现金收款</t>
        </is>
      </c>
      <c r="E3937" s="6">
        <f>IF($B3935="","",'Daily Sale entry '!H283)</f>
        <v/>
      </c>
      <c r="H3937" t="inlineStr">
        <is>
          <t>Misc Charges 杂项费用</t>
        </is>
      </c>
      <c r="I3937" s="6">
        <f>IF($B3935="","",IF(AND(ABS(B3946)&gt;'Opening Balance'!$B$13,B3946&gt;0),ROUND(B3937+B3946,2),B3937))</f>
        <v/>
      </c>
      <c r="K3937" t="inlineStr">
        <is>
          <t>cash collection 现金收款</t>
        </is>
      </c>
      <c r="L3937" s="6">
        <f>IF($B3935="","",E3937)</f>
        <v/>
      </c>
    </row>
    <row r="3938">
      <c r="A3938" s="1" t="inlineStr">
        <is>
          <t>Other Charges 其他费用</t>
        </is>
      </c>
      <c r="B3938" s="9">
        <f>IF($B3935="","",'Daily Sale entry '!D283)</f>
        <v/>
      </c>
      <c r="D3938" s="1" t="inlineStr">
        <is>
          <t>Cheque Collection 支票收款</t>
        </is>
      </c>
      <c r="E3938" s="9">
        <f>IF($B3935="","",'Daily Sale entry '!J283)</f>
        <v/>
      </c>
      <c r="H3938" s="1" t="inlineStr">
        <is>
          <t>Other Charges 其他费用</t>
        </is>
      </c>
      <c r="I3938" s="9">
        <f>IF($B3935="","",B3938)</f>
        <v/>
      </c>
      <c r="K3938" s="1" t="inlineStr">
        <is>
          <t>Cheque Collection 支票收款</t>
        </is>
      </c>
      <c r="L3938" s="9">
        <f>IF($B3935="","",E3938)</f>
        <v/>
      </c>
    </row>
    <row r="3939">
      <c r="A3939" s="10" t="inlineStr">
        <is>
          <t>Amount 金额  (Cash Sales - Misc - Other)</t>
        </is>
      </c>
      <c r="B3939" s="11">
        <f>IF($B3935="","",ROUND(B3936-B3937-B3938,2))</f>
        <v/>
      </c>
      <c r="D3939" s="12" t="inlineStr">
        <is>
          <t>TNG collection TNG收款</t>
        </is>
      </c>
      <c r="E3939" s="13">
        <f>IF($B3935="","",'Daily Sale entry '!K283)</f>
        <v/>
      </c>
      <c r="H3939" s="10" t="inlineStr">
        <is>
          <t>Amount 金额  (Cash Sales - Misc - Other)</t>
        </is>
      </c>
      <c r="I3939" s="11">
        <f>IF($B3935="","",ROUND(I3936-I3937-I3938,2))</f>
        <v/>
      </c>
      <c r="K3939" s="12" t="inlineStr">
        <is>
          <t>TNG collection TNG收款</t>
        </is>
      </c>
      <c r="L3939" s="13">
        <f>IF($B3935="","",E3939)</f>
        <v/>
      </c>
    </row>
    <row r="3940">
      <c r="A3940" t="inlineStr">
        <is>
          <t>Credit Collection 赊账收款</t>
        </is>
      </c>
      <c r="B3940" s="6">
        <f>IF($B3935="","",'Daily Sale entry '!E283)</f>
        <v/>
      </c>
      <c r="D3940" t="inlineStr">
        <is>
          <t>Advance Salary_M 预支薪水_M</t>
        </is>
      </c>
      <c r="E3940" s="6">
        <f>IF($B3935="","",'Daily Sale entry '!L283)</f>
        <v/>
      </c>
      <c r="H3940" t="inlineStr">
        <is>
          <t>Credit Collection 赊账收款</t>
        </is>
      </c>
      <c r="I3940" s="6">
        <f>IF($B3935="","",B3940)</f>
        <v/>
      </c>
      <c r="K3940" t="inlineStr">
        <is>
          <t>Advance Salary_M 预支薪水_M</t>
        </is>
      </c>
      <c r="L3940" s="6">
        <f>IF($B3935="","",E3940)</f>
        <v/>
      </c>
    </row>
    <row r="3941">
      <c r="A3941" s="10" t="inlineStr">
        <is>
          <t>Amount 2 金额2  (Amount + Credit Collection)</t>
        </is>
      </c>
      <c r="B3941" s="11">
        <f>IF($B3935="","",ROUND(B3939+B3940,2))</f>
        <v/>
      </c>
      <c r="D3941" t="inlineStr">
        <is>
          <t>Advance Salary_H 预支薪水_H</t>
        </is>
      </c>
      <c r="E3941" s="6">
        <f>IF($B3935="","",'Daily Sale entry '!M283)</f>
        <v/>
      </c>
      <c r="H3941" s="10" t="inlineStr">
        <is>
          <t>Amount 2 金额2  (Amount + Credit Collection)</t>
        </is>
      </c>
      <c r="I3941" s="11">
        <f>IF($B3935="","",ROUND(I3939+I3940,2))</f>
        <v/>
      </c>
      <c r="K3941" t="inlineStr">
        <is>
          <t>Advance Salary_H 预支薪水_H</t>
        </is>
      </c>
      <c r="L3941" s="6">
        <f>IF($B3935="","",E3941)</f>
        <v/>
      </c>
    </row>
    <row r="3942"/>
    <row r="3943">
      <c r="A3943" s="1" t="inlineStr">
        <is>
          <t>b/f petty cash 上日备用金结转</t>
        </is>
      </c>
      <c r="B3943" s="9">
        <f>IF($B3935="","",'Daily Sale entry '!F283)</f>
        <v/>
      </c>
      <c r="D3943" s="1" t="n"/>
      <c r="E3943" s="1" t="n"/>
      <c r="H3943" s="1" t="inlineStr">
        <is>
          <t>b/f petty cash 上日备用金结转</t>
        </is>
      </c>
      <c r="I3943" s="9">
        <f>IF($B3935="","",B3943)</f>
        <v/>
      </c>
      <c r="K3943" s="1" t="n"/>
      <c r="L3943" s="1" t="n"/>
    </row>
    <row r="3944">
      <c r="A3944" t="inlineStr">
        <is>
          <t>Total (A) 总计 (A)</t>
        </is>
      </c>
      <c r="B3944" s="6">
        <f>IF($B3935="","",ROUND(B3941+B3943,2))</f>
        <v/>
      </c>
      <c r="D3944" t="inlineStr">
        <is>
          <t>Total(B) 总计 (B)</t>
        </is>
      </c>
      <c r="E3944" s="6">
        <f>IF($B3935="","",ROUND(E3936+E3937+E3938+E3939+E3940+E3941,2))</f>
        <v/>
      </c>
      <c r="H3944" t="inlineStr">
        <is>
          <t>Total© 总计 (C)</t>
        </is>
      </c>
      <c r="I3944" s="6">
        <f>IF($B3935="","",ROUND(I3941+I3943,2))</f>
        <v/>
      </c>
      <c r="K3944" t="inlineStr">
        <is>
          <t>Total(D) 总计 (D)</t>
        </is>
      </c>
      <c r="L3944" s="6">
        <f>IF($B3935="","",ROUND(L3936+L3937+L3938+L3939+L3940+L3941,2))</f>
        <v/>
      </c>
    </row>
    <row r="3945">
      <c r="A3945" s="14" t="inlineStr">
        <is>
          <t>Total = Amount 2 + b/f petty cash  (金额2 + 上日备用金)</t>
        </is>
      </c>
      <c r="H3945" s="14" t="inlineStr">
        <is>
          <t>Total = Amount 2 + b/f petty cash  (金额2 + 上日备用金)</t>
        </is>
      </c>
    </row>
    <row r="3946">
      <c r="A3946" t="inlineStr">
        <is>
          <t>Different 差额</t>
        </is>
      </c>
      <c r="B3946" s="6">
        <f>IF($B3935="","",ROUND(B3944-E3944,2))</f>
        <v/>
      </c>
      <c r="D3946">
        <f>IF($B3935="","",IF(ABS(B3946)&gt;'Opening Balance'!$B$16,"ALERT 警报: Different over RM"&amp;'Opening Balance'!$B$16&amp;" 差额超过RM"&amp;'Opening Balance'!$B$16&amp;" - please check 请检查",IF(B3946=0,"Tied 平衡",IF(ABS(B3946)&lt;='Opening Balance'!$B$13,"Small difference 小额差额: adjusted on c/f petty cash 已调整备用金",IF(B3946&gt;0,"Short 短收: added to Misc Charges 已加入杂项费用","Over 多收: added to Cash Sales 已加入现金销售")))))</f>
        <v/>
      </c>
      <c r="H3946" t="inlineStr">
        <is>
          <t>Different 差额</t>
        </is>
      </c>
      <c r="I3946" s="6">
        <f>IF($B3935="","",ROUND(I3944-L3944,2))</f>
        <v/>
      </c>
    </row>
    <row r="3947"/>
    <row r="3948"/>
    <row r="3949">
      <c r="A3949" t="inlineStr">
        <is>
          <t>Date 日期</t>
        </is>
      </c>
      <c r="B3949" s="5">
        <f>IF('Daily Sale entry '!$A284="","",'Daily Sale entry '!$A284)</f>
        <v/>
      </c>
      <c r="H3949" t="inlineStr">
        <is>
          <t>After 调整后 (After)</t>
        </is>
      </c>
      <c r="I3949" s="5">
        <f>IF($B3949="","",B3949)</f>
        <v/>
      </c>
    </row>
    <row r="3950">
      <c r="A3950" t="inlineStr">
        <is>
          <t>Cash Sales 现金销售</t>
        </is>
      </c>
      <c r="B3950" s="6">
        <f>IF($B3949="","",'Daily Sale entry '!B284)</f>
        <v/>
      </c>
      <c r="D3950" t="inlineStr">
        <is>
          <t>c/f petty cash 今日备用金结转</t>
        </is>
      </c>
      <c r="E3950" s="6">
        <f>IF($B3949="","",'Daily Sale entry '!G284)</f>
        <v/>
      </c>
      <c r="H3950" t="inlineStr">
        <is>
          <t>Cash Sales 现金销售</t>
        </is>
      </c>
      <c r="I3950" s="6">
        <f>IF($B3949="","",IF(AND(ABS(B3960)&gt;'Opening Balance'!$B$13,B3960&lt;0),ROUND(B3950-B3960,2),B3950))</f>
        <v/>
      </c>
      <c r="K3950" t="inlineStr">
        <is>
          <t>c/f petty cash 今日备用金结转</t>
        </is>
      </c>
      <c r="L3950" s="6">
        <f>IF($B3949="","",IF(ABS(B3960)&lt;='Opening Balance'!$B$13,ROUND(E3950+B3960,2),E3950))</f>
        <v/>
      </c>
    </row>
    <row r="3951">
      <c r="A3951" t="inlineStr">
        <is>
          <t>Misc Charges 杂项费用</t>
        </is>
      </c>
      <c r="B3951" s="6">
        <f>IF($B3949="","",'Daily Sale entry '!C284)</f>
        <v/>
      </c>
      <c r="D3951" t="inlineStr">
        <is>
          <t>cash collection 现金收款</t>
        </is>
      </c>
      <c r="E3951" s="6">
        <f>IF($B3949="","",'Daily Sale entry '!H284)</f>
        <v/>
      </c>
      <c r="H3951" t="inlineStr">
        <is>
          <t>Misc Charges 杂项费用</t>
        </is>
      </c>
      <c r="I3951" s="6">
        <f>IF($B3949="","",IF(AND(ABS(B3960)&gt;'Opening Balance'!$B$13,B3960&gt;0),ROUND(B3951+B3960,2),B3951))</f>
        <v/>
      </c>
      <c r="K3951" t="inlineStr">
        <is>
          <t>cash collection 现金收款</t>
        </is>
      </c>
      <c r="L3951" s="6">
        <f>IF($B3949="","",E3951)</f>
        <v/>
      </c>
    </row>
    <row r="3952">
      <c r="A3952" s="1" t="inlineStr">
        <is>
          <t>Other Charges 其他费用</t>
        </is>
      </c>
      <c r="B3952" s="9">
        <f>IF($B3949="","",'Daily Sale entry '!D284)</f>
        <v/>
      </c>
      <c r="D3952" s="1" t="inlineStr">
        <is>
          <t>Cheque Collection 支票收款</t>
        </is>
      </c>
      <c r="E3952" s="9">
        <f>IF($B3949="","",'Daily Sale entry '!J284)</f>
        <v/>
      </c>
      <c r="H3952" s="1" t="inlineStr">
        <is>
          <t>Other Charges 其他费用</t>
        </is>
      </c>
      <c r="I3952" s="9">
        <f>IF($B3949="","",B3952)</f>
        <v/>
      </c>
      <c r="K3952" s="1" t="inlineStr">
        <is>
          <t>Cheque Collection 支票收款</t>
        </is>
      </c>
      <c r="L3952" s="9">
        <f>IF($B3949="","",E3952)</f>
        <v/>
      </c>
    </row>
    <row r="3953">
      <c r="A3953" s="10" t="inlineStr">
        <is>
          <t>Amount 金额  (Cash Sales - Misc - Other)</t>
        </is>
      </c>
      <c r="B3953" s="11">
        <f>IF($B3949="","",ROUND(B3950-B3951-B3952,2))</f>
        <v/>
      </c>
      <c r="D3953" s="12" t="inlineStr">
        <is>
          <t>TNG collection TNG收款</t>
        </is>
      </c>
      <c r="E3953" s="13">
        <f>IF($B3949="","",'Daily Sale entry '!K284)</f>
        <v/>
      </c>
      <c r="H3953" s="10" t="inlineStr">
        <is>
          <t>Amount 金额  (Cash Sales - Misc - Other)</t>
        </is>
      </c>
      <c r="I3953" s="11">
        <f>IF($B3949="","",ROUND(I3950-I3951-I3952,2))</f>
        <v/>
      </c>
      <c r="K3953" s="12" t="inlineStr">
        <is>
          <t>TNG collection TNG收款</t>
        </is>
      </c>
      <c r="L3953" s="13">
        <f>IF($B3949="","",E3953)</f>
        <v/>
      </c>
    </row>
    <row r="3954">
      <c r="A3954" t="inlineStr">
        <is>
          <t>Credit Collection 赊账收款</t>
        </is>
      </c>
      <c r="B3954" s="6">
        <f>IF($B3949="","",'Daily Sale entry '!E284)</f>
        <v/>
      </c>
      <c r="D3954" t="inlineStr">
        <is>
          <t>Advance Salary_M 预支薪水_M</t>
        </is>
      </c>
      <c r="E3954" s="6">
        <f>IF($B3949="","",'Daily Sale entry '!L284)</f>
        <v/>
      </c>
      <c r="H3954" t="inlineStr">
        <is>
          <t>Credit Collection 赊账收款</t>
        </is>
      </c>
      <c r="I3954" s="6">
        <f>IF($B3949="","",B3954)</f>
        <v/>
      </c>
      <c r="K3954" t="inlineStr">
        <is>
          <t>Advance Salary_M 预支薪水_M</t>
        </is>
      </c>
      <c r="L3954" s="6">
        <f>IF($B3949="","",E3954)</f>
        <v/>
      </c>
    </row>
    <row r="3955">
      <c r="A3955" s="10" t="inlineStr">
        <is>
          <t>Amount 2 金额2  (Amount + Credit Collection)</t>
        </is>
      </c>
      <c r="B3955" s="11">
        <f>IF($B3949="","",ROUND(B3953+B3954,2))</f>
        <v/>
      </c>
      <c r="D3955" t="inlineStr">
        <is>
          <t>Advance Salary_H 预支薪水_H</t>
        </is>
      </c>
      <c r="E3955" s="6">
        <f>IF($B3949="","",'Daily Sale entry '!M284)</f>
        <v/>
      </c>
      <c r="H3955" s="10" t="inlineStr">
        <is>
          <t>Amount 2 金额2  (Amount + Credit Collection)</t>
        </is>
      </c>
      <c r="I3955" s="11">
        <f>IF($B3949="","",ROUND(I3953+I3954,2))</f>
        <v/>
      </c>
      <c r="K3955" t="inlineStr">
        <is>
          <t>Advance Salary_H 预支薪水_H</t>
        </is>
      </c>
      <c r="L3955" s="6">
        <f>IF($B3949="","",E3955)</f>
        <v/>
      </c>
    </row>
    <row r="3956"/>
    <row r="3957">
      <c r="A3957" s="1" t="inlineStr">
        <is>
          <t>b/f petty cash 上日备用金结转</t>
        </is>
      </c>
      <c r="B3957" s="9">
        <f>IF($B3949="","",'Daily Sale entry '!F284)</f>
        <v/>
      </c>
      <c r="D3957" s="1" t="n"/>
      <c r="E3957" s="1" t="n"/>
      <c r="H3957" s="1" t="inlineStr">
        <is>
          <t>b/f petty cash 上日备用金结转</t>
        </is>
      </c>
      <c r="I3957" s="9">
        <f>IF($B3949="","",B3957)</f>
        <v/>
      </c>
      <c r="K3957" s="1" t="n"/>
      <c r="L3957" s="1" t="n"/>
    </row>
    <row r="3958">
      <c r="A3958" t="inlineStr">
        <is>
          <t>Total (A) 总计 (A)</t>
        </is>
      </c>
      <c r="B3958" s="6">
        <f>IF($B3949="","",ROUND(B3955+B3957,2))</f>
        <v/>
      </c>
      <c r="D3958" t="inlineStr">
        <is>
          <t>Total(B) 总计 (B)</t>
        </is>
      </c>
      <c r="E3958" s="6">
        <f>IF($B3949="","",ROUND(E3950+E3951+E3952+E3953+E3954+E3955,2))</f>
        <v/>
      </c>
      <c r="H3958" t="inlineStr">
        <is>
          <t>Total© 总计 (C)</t>
        </is>
      </c>
      <c r="I3958" s="6">
        <f>IF($B3949="","",ROUND(I3955+I3957,2))</f>
        <v/>
      </c>
      <c r="K3958" t="inlineStr">
        <is>
          <t>Total(D) 总计 (D)</t>
        </is>
      </c>
      <c r="L3958" s="6">
        <f>IF($B3949="","",ROUND(L3950+L3951+L3952+L3953+L3954+L3955,2))</f>
        <v/>
      </c>
    </row>
    <row r="3959">
      <c r="A3959" s="14" t="inlineStr">
        <is>
          <t>Total = Amount 2 + b/f petty cash  (金额2 + 上日备用金)</t>
        </is>
      </c>
      <c r="H3959" s="14" t="inlineStr">
        <is>
          <t>Total = Amount 2 + b/f petty cash  (金额2 + 上日备用金)</t>
        </is>
      </c>
    </row>
    <row r="3960">
      <c r="A3960" t="inlineStr">
        <is>
          <t>Different 差额</t>
        </is>
      </c>
      <c r="B3960" s="6">
        <f>IF($B3949="","",ROUND(B3958-E3958,2))</f>
        <v/>
      </c>
      <c r="D3960">
        <f>IF($B3949="","",IF(ABS(B3960)&gt;'Opening Balance'!$B$16,"ALERT 警报: Different over RM"&amp;'Opening Balance'!$B$16&amp;" 差额超过RM"&amp;'Opening Balance'!$B$16&amp;" - please check 请检查",IF(B3960=0,"Tied 平衡",IF(ABS(B3960)&lt;='Opening Balance'!$B$13,"Small difference 小额差额: adjusted on c/f petty cash 已调整备用金",IF(B3960&gt;0,"Short 短收: added to Misc Charges 已加入杂项费用","Over 多收: added to Cash Sales 已加入现金销售")))))</f>
        <v/>
      </c>
      <c r="H3960" t="inlineStr">
        <is>
          <t>Different 差额</t>
        </is>
      </c>
      <c r="I3960" s="6">
        <f>IF($B3949="","",ROUND(I3958-L3958,2))</f>
        <v/>
      </c>
    </row>
    <row r="3961"/>
    <row r="3962"/>
    <row r="3963">
      <c r="A3963" t="inlineStr">
        <is>
          <t>Date 日期</t>
        </is>
      </c>
      <c r="B3963" s="5">
        <f>IF('Daily Sale entry '!$A285="","",'Daily Sale entry '!$A285)</f>
        <v/>
      </c>
      <c r="H3963" t="inlineStr">
        <is>
          <t>After 调整后 (After)</t>
        </is>
      </c>
      <c r="I3963" s="5">
        <f>IF($B3963="","",B3963)</f>
        <v/>
      </c>
    </row>
    <row r="3964">
      <c r="A3964" t="inlineStr">
        <is>
          <t>Cash Sales 现金销售</t>
        </is>
      </c>
      <c r="B3964" s="6">
        <f>IF($B3963="","",'Daily Sale entry '!B285)</f>
        <v/>
      </c>
      <c r="D3964" t="inlineStr">
        <is>
          <t>c/f petty cash 今日备用金结转</t>
        </is>
      </c>
      <c r="E3964" s="6">
        <f>IF($B3963="","",'Daily Sale entry '!G285)</f>
        <v/>
      </c>
      <c r="H3964" t="inlineStr">
        <is>
          <t>Cash Sales 现金销售</t>
        </is>
      </c>
      <c r="I3964" s="6">
        <f>IF($B3963="","",IF(AND(ABS(B3974)&gt;'Opening Balance'!$B$13,B3974&lt;0),ROUND(B3964-B3974,2),B3964))</f>
        <v/>
      </c>
      <c r="K3964" t="inlineStr">
        <is>
          <t>c/f petty cash 今日备用金结转</t>
        </is>
      </c>
      <c r="L3964" s="6">
        <f>IF($B3963="","",IF(ABS(B3974)&lt;='Opening Balance'!$B$13,ROUND(E3964+B3974,2),E3964))</f>
        <v/>
      </c>
    </row>
    <row r="3965">
      <c r="A3965" t="inlineStr">
        <is>
          <t>Misc Charges 杂项费用</t>
        </is>
      </c>
      <c r="B3965" s="6">
        <f>IF($B3963="","",'Daily Sale entry '!C285)</f>
        <v/>
      </c>
      <c r="D3965" t="inlineStr">
        <is>
          <t>cash collection 现金收款</t>
        </is>
      </c>
      <c r="E3965" s="6">
        <f>IF($B3963="","",'Daily Sale entry '!H285)</f>
        <v/>
      </c>
      <c r="H3965" t="inlineStr">
        <is>
          <t>Misc Charges 杂项费用</t>
        </is>
      </c>
      <c r="I3965" s="6">
        <f>IF($B3963="","",IF(AND(ABS(B3974)&gt;'Opening Balance'!$B$13,B3974&gt;0),ROUND(B3965+B3974,2),B3965))</f>
        <v/>
      </c>
      <c r="K3965" t="inlineStr">
        <is>
          <t>cash collection 现金收款</t>
        </is>
      </c>
      <c r="L3965" s="6">
        <f>IF($B3963="","",E3965)</f>
        <v/>
      </c>
    </row>
    <row r="3966">
      <c r="A3966" s="1" t="inlineStr">
        <is>
          <t>Other Charges 其他费用</t>
        </is>
      </c>
      <c r="B3966" s="9">
        <f>IF($B3963="","",'Daily Sale entry '!D285)</f>
        <v/>
      </c>
      <c r="D3966" s="1" t="inlineStr">
        <is>
          <t>Cheque Collection 支票收款</t>
        </is>
      </c>
      <c r="E3966" s="9">
        <f>IF($B3963="","",'Daily Sale entry '!J285)</f>
        <v/>
      </c>
      <c r="H3966" s="1" t="inlineStr">
        <is>
          <t>Other Charges 其他费用</t>
        </is>
      </c>
      <c r="I3966" s="9">
        <f>IF($B3963="","",B3966)</f>
        <v/>
      </c>
      <c r="K3966" s="1" t="inlineStr">
        <is>
          <t>Cheque Collection 支票收款</t>
        </is>
      </c>
      <c r="L3966" s="9">
        <f>IF($B3963="","",E3966)</f>
        <v/>
      </c>
    </row>
    <row r="3967">
      <c r="A3967" s="10" t="inlineStr">
        <is>
          <t>Amount 金额  (Cash Sales - Misc - Other)</t>
        </is>
      </c>
      <c r="B3967" s="11">
        <f>IF($B3963="","",ROUND(B3964-B3965-B3966,2))</f>
        <v/>
      </c>
      <c r="D3967" s="12" t="inlineStr">
        <is>
          <t>TNG collection TNG收款</t>
        </is>
      </c>
      <c r="E3967" s="13">
        <f>IF($B3963="","",'Daily Sale entry '!K285)</f>
        <v/>
      </c>
      <c r="H3967" s="10" t="inlineStr">
        <is>
          <t>Amount 金额  (Cash Sales - Misc - Other)</t>
        </is>
      </c>
      <c r="I3967" s="11">
        <f>IF($B3963="","",ROUND(I3964-I3965-I3966,2))</f>
        <v/>
      </c>
      <c r="K3967" s="12" t="inlineStr">
        <is>
          <t>TNG collection TNG收款</t>
        </is>
      </c>
      <c r="L3967" s="13">
        <f>IF($B3963="","",E3967)</f>
        <v/>
      </c>
    </row>
    <row r="3968">
      <c r="A3968" t="inlineStr">
        <is>
          <t>Credit Collection 赊账收款</t>
        </is>
      </c>
      <c r="B3968" s="6">
        <f>IF($B3963="","",'Daily Sale entry '!E285)</f>
        <v/>
      </c>
      <c r="D3968" t="inlineStr">
        <is>
          <t>Advance Salary_M 预支薪水_M</t>
        </is>
      </c>
      <c r="E3968" s="6">
        <f>IF($B3963="","",'Daily Sale entry '!L285)</f>
        <v/>
      </c>
      <c r="H3968" t="inlineStr">
        <is>
          <t>Credit Collection 赊账收款</t>
        </is>
      </c>
      <c r="I3968" s="6">
        <f>IF($B3963="","",B3968)</f>
        <v/>
      </c>
      <c r="K3968" t="inlineStr">
        <is>
          <t>Advance Salary_M 预支薪水_M</t>
        </is>
      </c>
      <c r="L3968" s="6">
        <f>IF($B3963="","",E3968)</f>
        <v/>
      </c>
    </row>
    <row r="3969">
      <c r="A3969" s="10" t="inlineStr">
        <is>
          <t>Amount 2 金额2  (Amount + Credit Collection)</t>
        </is>
      </c>
      <c r="B3969" s="11">
        <f>IF($B3963="","",ROUND(B3967+B3968,2))</f>
        <v/>
      </c>
      <c r="D3969" t="inlineStr">
        <is>
          <t>Advance Salary_H 预支薪水_H</t>
        </is>
      </c>
      <c r="E3969" s="6">
        <f>IF($B3963="","",'Daily Sale entry '!M285)</f>
        <v/>
      </c>
      <c r="H3969" s="10" t="inlineStr">
        <is>
          <t>Amount 2 金额2  (Amount + Credit Collection)</t>
        </is>
      </c>
      <c r="I3969" s="11">
        <f>IF($B3963="","",ROUND(I3967+I3968,2))</f>
        <v/>
      </c>
      <c r="K3969" t="inlineStr">
        <is>
          <t>Advance Salary_H 预支薪水_H</t>
        </is>
      </c>
      <c r="L3969" s="6">
        <f>IF($B3963="","",E3969)</f>
        <v/>
      </c>
    </row>
    <row r="3970"/>
    <row r="3971">
      <c r="A3971" s="1" t="inlineStr">
        <is>
          <t>b/f petty cash 上日备用金结转</t>
        </is>
      </c>
      <c r="B3971" s="9">
        <f>IF($B3963="","",'Daily Sale entry '!F285)</f>
        <v/>
      </c>
      <c r="D3971" s="1" t="n"/>
      <c r="E3971" s="1" t="n"/>
      <c r="H3971" s="1" t="inlineStr">
        <is>
          <t>b/f petty cash 上日备用金结转</t>
        </is>
      </c>
      <c r="I3971" s="9">
        <f>IF($B3963="","",B3971)</f>
        <v/>
      </c>
      <c r="K3971" s="1" t="n"/>
      <c r="L3971" s="1" t="n"/>
    </row>
    <row r="3972">
      <c r="A3972" t="inlineStr">
        <is>
          <t>Total (A) 总计 (A)</t>
        </is>
      </c>
      <c r="B3972" s="6">
        <f>IF($B3963="","",ROUND(B3969+B3971,2))</f>
        <v/>
      </c>
      <c r="D3972" t="inlineStr">
        <is>
          <t>Total(B) 总计 (B)</t>
        </is>
      </c>
      <c r="E3972" s="6">
        <f>IF($B3963="","",ROUND(E3964+E3965+E3966+E3967+E3968+E3969,2))</f>
        <v/>
      </c>
      <c r="H3972" t="inlineStr">
        <is>
          <t>Total© 总计 (C)</t>
        </is>
      </c>
      <c r="I3972" s="6">
        <f>IF($B3963="","",ROUND(I3969+I3971,2))</f>
        <v/>
      </c>
      <c r="K3972" t="inlineStr">
        <is>
          <t>Total(D) 总计 (D)</t>
        </is>
      </c>
      <c r="L3972" s="6">
        <f>IF($B3963="","",ROUND(L3964+L3965+L3966+L3967+L3968+L3969,2))</f>
        <v/>
      </c>
    </row>
    <row r="3973">
      <c r="A3973" s="14" t="inlineStr">
        <is>
          <t>Total = Amount 2 + b/f petty cash  (金额2 + 上日备用金)</t>
        </is>
      </c>
      <c r="H3973" s="14" t="inlineStr">
        <is>
          <t>Total = Amount 2 + b/f petty cash  (金额2 + 上日备用金)</t>
        </is>
      </c>
    </row>
    <row r="3974">
      <c r="A3974" t="inlineStr">
        <is>
          <t>Different 差额</t>
        </is>
      </c>
      <c r="B3974" s="6">
        <f>IF($B3963="","",ROUND(B3972-E3972,2))</f>
        <v/>
      </c>
      <c r="D3974">
        <f>IF($B3963="","",IF(ABS(B3974)&gt;'Opening Balance'!$B$16,"ALERT 警报: Different over RM"&amp;'Opening Balance'!$B$16&amp;" 差额超过RM"&amp;'Opening Balance'!$B$16&amp;" - please check 请检查",IF(B3974=0,"Tied 平衡",IF(ABS(B3974)&lt;='Opening Balance'!$B$13,"Small difference 小额差额: adjusted on c/f petty cash 已调整备用金",IF(B3974&gt;0,"Short 短收: added to Misc Charges 已加入杂项费用","Over 多收: added to Cash Sales 已加入现金销售")))))</f>
        <v/>
      </c>
      <c r="H3974" t="inlineStr">
        <is>
          <t>Different 差额</t>
        </is>
      </c>
      <c r="I3974" s="6">
        <f>IF($B3963="","",ROUND(I3972-L3972,2))</f>
        <v/>
      </c>
    </row>
    <row r="3975"/>
    <row r="3976"/>
    <row r="3977">
      <c r="A3977" t="inlineStr">
        <is>
          <t>Date 日期</t>
        </is>
      </c>
      <c r="B3977" s="5">
        <f>IF('Daily Sale entry '!$A286="","",'Daily Sale entry '!$A286)</f>
        <v/>
      </c>
      <c r="H3977" t="inlineStr">
        <is>
          <t>After 调整后 (After)</t>
        </is>
      </c>
      <c r="I3977" s="5">
        <f>IF($B3977="","",B3977)</f>
        <v/>
      </c>
    </row>
    <row r="3978">
      <c r="A3978" t="inlineStr">
        <is>
          <t>Cash Sales 现金销售</t>
        </is>
      </c>
      <c r="B3978" s="6">
        <f>IF($B3977="","",'Daily Sale entry '!B286)</f>
        <v/>
      </c>
      <c r="D3978" t="inlineStr">
        <is>
          <t>c/f petty cash 今日备用金结转</t>
        </is>
      </c>
      <c r="E3978" s="6">
        <f>IF($B3977="","",'Daily Sale entry '!G286)</f>
        <v/>
      </c>
      <c r="H3978" t="inlineStr">
        <is>
          <t>Cash Sales 现金销售</t>
        </is>
      </c>
      <c r="I3978" s="6">
        <f>IF($B3977="","",IF(AND(ABS(B3988)&gt;'Opening Balance'!$B$13,B3988&lt;0),ROUND(B3978-B3988,2),B3978))</f>
        <v/>
      </c>
      <c r="K3978" t="inlineStr">
        <is>
          <t>c/f petty cash 今日备用金结转</t>
        </is>
      </c>
      <c r="L3978" s="6">
        <f>IF($B3977="","",IF(ABS(B3988)&lt;='Opening Balance'!$B$13,ROUND(E3978+B3988,2),E3978))</f>
        <v/>
      </c>
    </row>
    <row r="3979">
      <c r="A3979" t="inlineStr">
        <is>
          <t>Misc Charges 杂项费用</t>
        </is>
      </c>
      <c r="B3979" s="6">
        <f>IF($B3977="","",'Daily Sale entry '!C286)</f>
        <v/>
      </c>
      <c r="D3979" t="inlineStr">
        <is>
          <t>cash collection 现金收款</t>
        </is>
      </c>
      <c r="E3979" s="6">
        <f>IF($B3977="","",'Daily Sale entry '!H286)</f>
        <v/>
      </c>
      <c r="H3979" t="inlineStr">
        <is>
          <t>Misc Charges 杂项费用</t>
        </is>
      </c>
      <c r="I3979" s="6">
        <f>IF($B3977="","",IF(AND(ABS(B3988)&gt;'Opening Balance'!$B$13,B3988&gt;0),ROUND(B3979+B3988,2),B3979))</f>
        <v/>
      </c>
      <c r="K3979" t="inlineStr">
        <is>
          <t>cash collection 现金收款</t>
        </is>
      </c>
      <c r="L3979" s="6">
        <f>IF($B3977="","",E3979)</f>
        <v/>
      </c>
    </row>
    <row r="3980">
      <c r="A3980" s="1" t="inlineStr">
        <is>
          <t>Other Charges 其他费用</t>
        </is>
      </c>
      <c r="B3980" s="9">
        <f>IF($B3977="","",'Daily Sale entry '!D286)</f>
        <v/>
      </c>
      <c r="D3980" s="1" t="inlineStr">
        <is>
          <t>Cheque Collection 支票收款</t>
        </is>
      </c>
      <c r="E3980" s="9">
        <f>IF($B3977="","",'Daily Sale entry '!J286)</f>
        <v/>
      </c>
      <c r="H3980" s="1" t="inlineStr">
        <is>
          <t>Other Charges 其他费用</t>
        </is>
      </c>
      <c r="I3980" s="9">
        <f>IF($B3977="","",B3980)</f>
        <v/>
      </c>
      <c r="K3980" s="1" t="inlineStr">
        <is>
          <t>Cheque Collection 支票收款</t>
        </is>
      </c>
      <c r="L3980" s="9">
        <f>IF($B3977="","",E3980)</f>
        <v/>
      </c>
    </row>
    <row r="3981">
      <c r="A3981" s="10" t="inlineStr">
        <is>
          <t>Amount 金额  (Cash Sales - Misc - Other)</t>
        </is>
      </c>
      <c r="B3981" s="11">
        <f>IF($B3977="","",ROUND(B3978-B3979-B3980,2))</f>
        <v/>
      </c>
      <c r="D3981" s="12" t="inlineStr">
        <is>
          <t>TNG collection TNG收款</t>
        </is>
      </c>
      <c r="E3981" s="13">
        <f>IF($B3977="","",'Daily Sale entry '!K286)</f>
        <v/>
      </c>
      <c r="H3981" s="10" t="inlineStr">
        <is>
          <t>Amount 金额  (Cash Sales - Misc - Other)</t>
        </is>
      </c>
      <c r="I3981" s="11">
        <f>IF($B3977="","",ROUND(I3978-I3979-I3980,2))</f>
        <v/>
      </c>
      <c r="K3981" s="12" t="inlineStr">
        <is>
          <t>TNG collection TNG收款</t>
        </is>
      </c>
      <c r="L3981" s="13">
        <f>IF($B3977="","",E3981)</f>
        <v/>
      </c>
    </row>
    <row r="3982">
      <c r="A3982" t="inlineStr">
        <is>
          <t>Credit Collection 赊账收款</t>
        </is>
      </c>
      <c r="B3982" s="6">
        <f>IF($B3977="","",'Daily Sale entry '!E286)</f>
        <v/>
      </c>
      <c r="D3982" t="inlineStr">
        <is>
          <t>Advance Salary_M 预支薪水_M</t>
        </is>
      </c>
      <c r="E3982" s="6">
        <f>IF($B3977="","",'Daily Sale entry '!L286)</f>
        <v/>
      </c>
      <c r="H3982" t="inlineStr">
        <is>
          <t>Credit Collection 赊账收款</t>
        </is>
      </c>
      <c r="I3982" s="6">
        <f>IF($B3977="","",B3982)</f>
        <v/>
      </c>
      <c r="K3982" t="inlineStr">
        <is>
          <t>Advance Salary_M 预支薪水_M</t>
        </is>
      </c>
      <c r="L3982" s="6">
        <f>IF($B3977="","",E3982)</f>
        <v/>
      </c>
    </row>
    <row r="3983">
      <c r="A3983" s="10" t="inlineStr">
        <is>
          <t>Amount 2 金额2  (Amount + Credit Collection)</t>
        </is>
      </c>
      <c r="B3983" s="11">
        <f>IF($B3977="","",ROUND(B3981+B3982,2))</f>
        <v/>
      </c>
      <c r="D3983" t="inlineStr">
        <is>
          <t>Advance Salary_H 预支薪水_H</t>
        </is>
      </c>
      <c r="E3983" s="6">
        <f>IF($B3977="","",'Daily Sale entry '!M286)</f>
        <v/>
      </c>
      <c r="H3983" s="10" t="inlineStr">
        <is>
          <t>Amount 2 金额2  (Amount + Credit Collection)</t>
        </is>
      </c>
      <c r="I3983" s="11">
        <f>IF($B3977="","",ROUND(I3981+I3982,2))</f>
        <v/>
      </c>
      <c r="K3983" t="inlineStr">
        <is>
          <t>Advance Salary_H 预支薪水_H</t>
        </is>
      </c>
      <c r="L3983" s="6">
        <f>IF($B3977="","",E3983)</f>
        <v/>
      </c>
    </row>
    <row r="3984"/>
    <row r="3985">
      <c r="A3985" s="1" t="inlineStr">
        <is>
          <t>b/f petty cash 上日备用金结转</t>
        </is>
      </c>
      <c r="B3985" s="9">
        <f>IF($B3977="","",'Daily Sale entry '!F286)</f>
        <v/>
      </c>
      <c r="D3985" s="1" t="n"/>
      <c r="E3985" s="1" t="n"/>
      <c r="H3985" s="1" t="inlineStr">
        <is>
          <t>b/f petty cash 上日备用金结转</t>
        </is>
      </c>
      <c r="I3985" s="9">
        <f>IF($B3977="","",B3985)</f>
        <v/>
      </c>
      <c r="K3985" s="1" t="n"/>
      <c r="L3985" s="1" t="n"/>
    </row>
    <row r="3986">
      <c r="A3986" t="inlineStr">
        <is>
          <t>Total (A) 总计 (A)</t>
        </is>
      </c>
      <c r="B3986" s="6">
        <f>IF($B3977="","",ROUND(B3983+B3985,2))</f>
        <v/>
      </c>
      <c r="D3986" t="inlineStr">
        <is>
          <t>Total(B) 总计 (B)</t>
        </is>
      </c>
      <c r="E3986" s="6">
        <f>IF($B3977="","",ROUND(E3978+E3979+E3980+E3981+E3982+E3983,2))</f>
        <v/>
      </c>
      <c r="H3986" t="inlineStr">
        <is>
          <t>Total© 总计 (C)</t>
        </is>
      </c>
      <c r="I3986" s="6">
        <f>IF($B3977="","",ROUND(I3983+I3985,2))</f>
        <v/>
      </c>
      <c r="K3986" t="inlineStr">
        <is>
          <t>Total(D) 总计 (D)</t>
        </is>
      </c>
      <c r="L3986" s="6">
        <f>IF($B3977="","",ROUND(L3978+L3979+L3980+L3981+L3982+L3983,2))</f>
        <v/>
      </c>
    </row>
    <row r="3987">
      <c r="A3987" s="14" t="inlineStr">
        <is>
          <t>Total = Amount 2 + b/f petty cash  (金额2 + 上日备用金)</t>
        </is>
      </c>
      <c r="H3987" s="14" t="inlineStr">
        <is>
          <t>Total = Amount 2 + b/f petty cash  (金额2 + 上日备用金)</t>
        </is>
      </c>
    </row>
    <row r="3988">
      <c r="A3988" t="inlineStr">
        <is>
          <t>Different 差额</t>
        </is>
      </c>
      <c r="B3988" s="6">
        <f>IF($B3977="","",ROUND(B3986-E3986,2))</f>
        <v/>
      </c>
      <c r="D3988">
        <f>IF($B3977="","",IF(ABS(B3988)&gt;'Opening Balance'!$B$16,"ALERT 警报: Different over RM"&amp;'Opening Balance'!$B$16&amp;" 差额超过RM"&amp;'Opening Balance'!$B$16&amp;" - please check 请检查",IF(B3988=0,"Tied 平衡",IF(ABS(B3988)&lt;='Opening Balance'!$B$13,"Small difference 小额差额: adjusted on c/f petty cash 已调整备用金",IF(B3988&gt;0,"Short 短收: added to Misc Charges 已加入杂项费用","Over 多收: added to Cash Sales 已加入现金销售")))))</f>
        <v/>
      </c>
      <c r="H3988" t="inlineStr">
        <is>
          <t>Different 差额</t>
        </is>
      </c>
      <c r="I3988" s="6">
        <f>IF($B3977="","",ROUND(I3986-L3986,2))</f>
        <v/>
      </c>
    </row>
    <row r="3989"/>
    <row r="3990"/>
    <row r="3991">
      <c r="A3991" t="inlineStr">
        <is>
          <t>Date 日期</t>
        </is>
      </c>
      <c r="B3991" s="5">
        <f>IF('Daily Sale entry '!$A287="","",'Daily Sale entry '!$A287)</f>
        <v/>
      </c>
      <c r="H3991" t="inlineStr">
        <is>
          <t>After 调整后 (After)</t>
        </is>
      </c>
      <c r="I3991" s="5">
        <f>IF($B3991="","",B3991)</f>
        <v/>
      </c>
    </row>
    <row r="3992">
      <c r="A3992" t="inlineStr">
        <is>
          <t>Cash Sales 现金销售</t>
        </is>
      </c>
      <c r="B3992" s="6">
        <f>IF($B3991="","",'Daily Sale entry '!B287)</f>
        <v/>
      </c>
      <c r="D3992" t="inlineStr">
        <is>
          <t>c/f petty cash 今日备用金结转</t>
        </is>
      </c>
      <c r="E3992" s="6">
        <f>IF($B3991="","",'Daily Sale entry '!G287)</f>
        <v/>
      </c>
      <c r="H3992" t="inlineStr">
        <is>
          <t>Cash Sales 现金销售</t>
        </is>
      </c>
      <c r="I3992" s="6">
        <f>IF($B3991="","",IF(AND(ABS(B4002)&gt;'Opening Balance'!$B$13,B4002&lt;0),ROUND(B3992-B4002,2),B3992))</f>
        <v/>
      </c>
      <c r="K3992" t="inlineStr">
        <is>
          <t>c/f petty cash 今日备用金结转</t>
        </is>
      </c>
      <c r="L3992" s="6">
        <f>IF($B3991="","",IF(ABS(B4002)&lt;='Opening Balance'!$B$13,ROUND(E3992+B4002,2),E3992))</f>
        <v/>
      </c>
    </row>
    <row r="3993">
      <c r="A3993" t="inlineStr">
        <is>
          <t>Misc Charges 杂项费用</t>
        </is>
      </c>
      <c r="B3993" s="6">
        <f>IF($B3991="","",'Daily Sale entry '!C287)</f>
        <v/>
      </c>
      <c r="D3993" t="inlineStr">
        <is>
          <t>cash collection 现金收款</t>
        </is>
      </c>
      <c r="E3993" s="6">
        <f>IF($B3991="","",'Daily Sale entry '!H287)</f>
        <v/>
      </c>
      <c r="H3993" t="inlineStr">
        <is>
          <t>Misc Charges 杂项费用</t>
        </is>
      </c>
      <c r="I3993" s="6">
        <f>IF($B3991="","",IF(AND(ABS(B4002)&gt;'Opening Balance'!$B$13,B4002&gt;0),ROUND(B3993+B4002,2),B3993))</f>
        <v/>
      </c>
      <c r="K3993" t="inlineStr">
        <is>
          <t>cash collection 现金收款</t>
        </is>
      </c>
      <c r="L3993" s="6">
        <f>IF($B3991="","",E3993)</f>
        <v/>
      </c>
    </row>
    <row r="3994">
      <c r="A3994" s="1" t="inlineStr">
        <is>
          <t>Other Charges 其他费用</t>
        </is>
      </c>
      <c r="B3994" s="9">
        <f>IF($B3991="","",'Daily Sale entry '!D287)</f>
        <v/>
      </c>
      <c r="D3994" s="1" t="inlineStr">
        <is>
          <t>Cheque Collection 支票收款</t>
        </is>
      </c>
      <c r="E3994" s="9">
        <f>IF($B3991="","",'Daily Sale entry '!J287)</f>
        <v/>
      </c>
      <c r="H3994" s="1" t="inlineStr">
        <is>
          <t>Other Charges 其他费用</t>
        </is>
      </c>
      <c r="I3994" s="9">
        <f>IF($B3991="","",B3994)</f>
        <v/>
      </c>
      <c r="K3994" s="1" t="inlineStr">
        <is>
          <t>Cheque Collection 支票收款</t>
        </is>
      </c>
      <c r="L3994" s="9">
        <f>IF($B3991="","",E3994)</f>
        <v/>
      </c>
    </row>
    <row r="3995">
      <c r="A3995" s="10" t="inlineStr">
        <is>
          <t>Amount 金额  (Cash Sales - Misc - Other)</t>
        </is>
      </c>
      <c r="B3995" s="11">
        <f>IF($B3991="","",ROUND(B3992-B3993-B3994,2))</f>
        <v/>
      </c>
      <c r="D3995" s="12" t="inlineStr">
        <is>
          <t>TNG collection TNG收款</t>
        </is>
      </c>
      <c r="E3995" s="13">
        <f>IF($B3991="","",'Daily Sale entry '!K287)</f>
        <v/>
      </c>
      <c r="H3995" s="10" t="inlineStr">
        <is>
          <t>Amount 金额  (Cash Sales - Misc - Other)</t>
        </is>
      </c>
      <c r="I3995" s="11">
        <f>IF($B3991="","",ROUND(I3992-I3993-I3994,2))</f>
        <v/>
      </c>
      <c r="K3995" s="12" t="inlineStr">
        <is>
          <t>TNG collection TNG收款</t>
        </is>
      </c>
      <c r="L3995" s="13">
        <f>IF($B3991="","",E3995)</f>
        <v/>
      </c>
    </row>
    <row r="3996">
      <c r="A3996" t="inlineStr">
        <is>
          <t>Credit Collection 赊账收款</t>
        </is>
      </c>
      <c r="B3996" s="6">
        <f>IF($B3991="","",'Daily Sale entry '!E287)</f>
        <v/>
      </c>
      <c r="D3996" t="inlineStr">
        <is>
          <t>Advance Salary_M 预支薪水_M</t>
        </is>
      </c>
      <c r="E3996" s="6">
        <f>IF($B3991="","",'Daily Sale entry '!L287)</f>
        <v/>
      </c>
      <c r="H3996" t="inlineStr">
        <is>
          <t>Credit Collection 赊账收款</t>
        </is>
      </c>
      <c r="I3996" s="6">
        <f>IF($B3991="","",B3996)</f>
        <v/>
      </c>
      <c r="K3996" t="inlineStr">
        <is>
          <t>Advance Salary_M 预支薪水_M</t>
        </is>
      </c>
      <c r="L3996" s="6">
        <f>IF($B3991="","",E3996)</f>
        <v/>
      </c>
    </row>
    <row r="3997">
      <c r="A3997" s="10" t="inlineStr">
        <is>
          <t>Amount 2 金额2  (Amount + Credit Collection)</t>
        </is>
      </c>
      <c r="B3997" s="11">
        <f>IF($B3991="","",ROUND(B3995+B3996,2))</f>
        <v/>
      </c>
      <c r="D3997" t="inlineStr">
        <is>
          <t>Advance Salary_H 预支薪水_H</t>
        </is>
      </c>
      <c r="E3997" s="6">
        <f>IF($B3991="","",'Daily Sale entry '!M287)</f>
        <v/>
      </c>
      <c r="H3997" s="10" t="inlineStr">
        <is>
          <t>Amount 2 金额2  (Amount + Credit Collection)</t>
        </is>
      </c>
      <c r="I3997" s="11">
        <f>IF($B3991="","",ROUND(I3995+I3996,2))</f>
        <v/>
      </c>
      <c r="K3997" t="inlineStr">
        <is>
          <t>Advance Salary_H 预支薪水_H</t>
        </is>
      </c>
      <c r="L3997" s="6">
        <f>IF($B3991="","",E3997)</f>
        <v/>
      </c>
    </row>
    <row r="3998"/>
    <row r="3999">
      <c r="A3999" s="1" t="inlineStr">
        <is>
          <t>b/f petty cash 上日备用金结转</t>
        </is>
      </c>
      <c r="B3999" s="9">
        <f>IF($B3991="","",'Daily Sale entry '!F287)</f>
        <v/>
      </c>
      <c r="D3999" s="1" t="n"/>
      <c r="E3999" s="1" t="n"/>
      <c r="H3999" s="1" t="inlineStr">
        <is>
          <t>b/f petty cash 上日备用金结转</t>
        </is>
      </c>
      <c r="I3999" s="9">
        <f>IF($B3991="","",B3999)</f>
        <v/>
      </c>
      <c r="K3999" s="1" t="n"/>
      <c r="L3999" s="1" t="n"/>
    </row>
    <row r="4000">
      <c r="A4000" t="inlineStr">
        <is>
          <t>Total (A) 总计 (A)</t>
        </is>
      </c>
      <c r="B4000" s="6">
        <f>IF($B3991="","",ROUND(B3997+B3999,2))</f>
        <v/>
      </c>
      <c r="D4000" t="inlineStr">
        <is>
          <t>Total(B) 总计 (B)</t>
        </is>
      </c>
      <c r="E4000" s="6">
        <f>IF($B3991="","",ROUND(E3992+E3993+E3994+E3995+E3996+E3997,2))</f>
        <v/>
      </c>
      <c r="H4000" t="inlineStr">
        <is>
          <t>Total© 总计 (C)</t>
        </is>
      </c>
      <c r="I4000" s="6">
        <f>IF($B3991="","",ROUND(I3997+I3999,2))</f>
        <v/>
      </c>
      <c r="K4000" t="inlineStr">
        <is>
          <t>Total(D) 总计 (D)</t>
        </is>
      </c>
      <c r="L4000" s="6">
        <f>IF($B3991="","",ROUND(L3992+L3993+L3994+L3995+L3996+L3997,2))</f>
        <v/>
      </c>
    </row>
    <row r="4001">
      <c r="A4001" s="14" t="inlineStr">
        <is>
          <t>Total = Amount 2 + b/f petty cash  (金额2 + 上日备用金)</t>
        </is>
      </c>
      <c r="H4001" s="14" t="inlineStr">
        <is>
          <t>Total = Amount 2 + b/f petty cash  (金额2 + 上日备用金)</t>
        </is>
      </c>
    </row>
    <row r="4002">
      <c r="A4002" t="inlineStr">
        <is>
          <t>Different 差额</t>
        </is>
      </c>
      <c r="B4002" s="6">
        <f>IF($B3991="","",ROUND(B4000-E4000,2))</f>
        <v/>
      </c>
      <c r="D4002">
        <f>IF($B3991="","",IF(ABS(B4002)&gt;'Opening Balance'!$B$16,"ALERT 警报: Different over RM"&amp;'Opening Balance'!$B$16&amp;" 差额超过RM"&amp;'Opening Balance'!$B$16&amp;" - please check 请检查",IF(B4002=0,"Tied 平衡",IF(ABS(B4002)&lt;='Opening Balance'!$B$13,"Small difference 小额差额: adjusted on c/f petty cash 已调整备用金",IF(B4002&gt;0,"Short 短收: added to Misc Charges 已加入杂项费用","Over 多收: added to Cash Sales 已加入现金销售")))))</f>
        <v/>
      </c>
      <c r="H4002" t="inlineStr">
        <is>
          <t>Different 差额</t>
        </is>
      </c>
      <c r="I4002" s="6">
        <f>IF($B3991="","",ROUND(I4000-L4000,2))</f>
        <v/>
      </c>
    </row>
    <row r="4003"/>
    <row r="4004"/>
    <row r="4005">
      <c r="A4005" t="inlineStr">
        <is>
          <t>Date 日期</t>
        </is>
      </c>
      <c r="B4005" s="5">
        <f>IF('Daily Sale entry '!$A288="","",'Daily Sale entry '!$A288)</f>
        <v/>
      </c>
      <c r="H4005" t="inlineStr">
        <is>
          <t>After 调整后 (After)</t>
        </is>
      </c>
      <c r="I4005" s="5">
        <f>IF($B4005="","",B4005)</f>
        <v/>
      </c>
    </row>
    <row r="4006">
      <c r="A4006" t="inlineStr">
        <is>
          <t>Cash Sales 现金销售</t>
        </is>
      </c>
      <c r="B4006" s="6">
        <f>IF($B4005="","",'Daily Sale entry '!B288)</f>
        <v/>
      </c>
      <c r="D4006" t="inlineStr">
        <is>
          <t>c/f petty cash 今日备用金结转</t>
        </is>
      </c>
      <c r="E4006" s="6">
        <f>IF($B4005="","",'Daily Sale entry '!G288)</f>
        <v/>
      </c>
      <c r="H4006" t="inlineStr">
        <is>
          <t>Cash Sales 现金销售</t>
        </is>
      </c>
      <c r="I4006" s="6">
        <f>IF($B4005="","",IF(AND(ABS(B4016)&gt;'Opening Balance'!$B$13,B4016&lt;0),ROUND(B4006-B4016,2),B4006))</f>
        <v/>
      </c>
      <c r="K4006" t="inlineStr">
        <is>
          <t>c/f petty cash 今日备用金结转</t>
        </is>
      </c>
      <c r="L4006" s="6">
        <f>IF($B4005="","",IF(ABS(B4016)&lt;='Opening Balance'!$B$13,ROUND(E4006+B4016,2),E4006))</f>
        <v/>
      </c>
    </row>
    <row r="4007">
      <c r="A4007" t="inlineStr">
        <is>
          <t>Misc Charges 杂项费用</t>
        </is>
      </c>
      <c r="B4007" s="6">
        <f>IF($B4005="","",'Daily Sale entry '!C288)</f>
        <v/>
      </c>
      <c r="D4007" t="inlineStr">
        <is>
          <t>cash collection 现金收款</t>
        </is>
      </c>
      <c r="E4007" s="6">
        <f>IF($B4005="","",'Daily Sale entry '!H288)</f>
        <v/>
      </c>
      <c r="H4007" t="inlineStr">
        <is>
          <t>Misc Charges 杂项费用</t>
        </is>
      </c>
      <c r="I4007" s="6">
        <f>IF($B4005="","",IF(AND(ABS(B4016)&gt;'Opening Balance'!$B$13,B4016&gt;0),ROUND(B4007+B4016,2),B4007))</f>
        <v/>
      </c>
      <c r="K4007" t="inlineStr">
        <is>
          <t>cash collection 现金收款</t>
        </is>
      </c>
      <c r="L4007" s="6">
        <f>IF($B4005="","",E4007)</f>
        <v/>
      </c>
    </row>
    <row r="4008">
      <c r="A4008" s="1" t="inlineStr">
        <is>
          <t>Other Charges 其他费用</t>
        </is>
      </c>
      <c r="B4008" s="9">
        <f>IF($B4005="","",'Daily Sale entry '!D288)</f>
        <v/>
      </c>
      <c r="D4008" s="1" t="inlineStr">
        <is>
          <t>Cheque Collection 支票收款</t>
        </is>
      </c>
      <c r="E4008" s="9">
        <f>IF($B4005="","",'Daily Sale entry '!J288)</f>
        <v/>
      </c>
      <c r="H4008" s="1" t="inlineStr">
        <is>
          <t>Other Charges 其他费用</t>
        </is>
      </c>
      <c r="I4008" s="9">
        <f>IF($B4005="","",B4008)</f>
        <v/>
      </c>
      <c r="K4008" s="1" t="inlineStr">
        <is>
          <t>Cheque Collection 支票收款</t>
        </is>
      </c>
      <c r="L4008" s="9">
        <f>IF($B4005="","",E4008)</f>
        <v/>
      </c>
    </row>
    <row r="4009">
      <c r="A4009" s="10" t="inlineStr">
        <is>
          <t>Amount 金额  (Cash Sales - Misc - Other)</t>
        </is>
      </c>
      <c r="B4009" s="11">
        <f>IF($B4005="","",ROUND(B4006-B4007-B4008,2))</f>
        <v/>
      </c>
      <c r="D4009" s="12" t="inlineStr">
        <is>
          <t>TNG collection TNG收款</t>
        </is>
      </c>
      <c r="E4009" s="13">
        <f>IF($B4005="","",'Daily Sale entry '!K288)</f>
        <v/>
      </c>
      <c r="H4009" s="10" t="inlineStr">
        <is>
          <t>Amount 金额  (Cash Sales - Misc - Other)</t>
        </is>
      </c>
      <c r="I4009" s="11">
        <f>IF($B4005="","",ROUND(I4006-I4007-I4008,2))</f>
        <v/>
      </c>
      <c r="K4009" s="12" t="inlineStr">
        <is>
          <t>TNG collection TNG收款</t>
        </is>
      </c>
      <c r="L4009" s="13">
        <f>IF($B4005="","",E4009)</f>
        <v/>
      </c>
    </row>
    <row r="4010">
      <c r="A4010" t="inlineStr">
        <is>
          <t>Credit Collection 赊账收款</t>
        </is>
      </c>
      <c r="B4010" s="6">
        <f>IF($B4005="","",'Daily Sale entry '!E288)</f>
        <v/>
      </c>
      <c r="D4010" t="inlineStr">
        <is>
          <t>Advance Salary_M 预支薪水_M</t>
        </is>
      </c>
      <c r="E4010" s="6">
        <f>IF($B4005="","",'Daily Sale entry '!L288)</f>
        <v/>
      </c>
      <c r="H4010" t="inlineStr">
        <is>
          <t>Credit Collection 赊账收款</t>
        </is>
      </c>
      <c r="I4010" s="6">
        <f>IF($B4005="","",B4010)</f>
        <v/>
      </c>
      <c r="K4010" t="inlineStr">
        <is>
          <t>Advance Salary_M 预支薪水_M</t>
        </is>
      </c>
      <c r="L4010" s="6">
        <f>IF($B4005="","",E4010)</f>
        <v/>
      </c>
    </row>
    <row r="4011">
      <c r="A4011" s="10" t="inlineStr">
        <is>
          <t>Amount 2 金额2  (Amount + Credit Collection)</t>
        </is>
      </c>
      <c r="B4011" s="11">
        <f>IF($B4005="","",ROUND(B4009+B4010,2))</f>
        <v/>
      </c>
      <c r="D4011" t="inlineStr">
        <is>
          <t>Advance Salary_H 预支薪水_H</t>
        </is>
      </c>
      <c r="E4011" s="6">
        <f>IF($B4005="","",'Daily Sale entry '!M288)</f>
        <v/>
      </c>
      <c r="H4011" s="10" t="inlineStr">
        <is>
          <t>Amount 2 金额2  (Amount + Credit Collection)</t>
        </is>
      </c>
      <c r="I4011" s="11">
        <f>IF($B4005="","",ROUND(I4009+I4010,2))</f>
        <v/>
      </c>
      <c r="K4011" t="inlineStr">
        <is>
          <t>Advance Salary_H 预支薪水_H</t>
        </is>
      </c>
      <c r="L4011" s="6">
        <f>IF($B4005="","",E4011)</f>
        <v/>
      </c>
    </row>
    <row r="4012"/>
    <row r="4013">
      <c r="A4013" s="1" t="inlineStr">
        <is>
          <t>b/f petty cash 上日备用金结转</t>
        </is>
      </c>
      <c r="B4013" s="9">
        <f>IF($B4005="","",'Daily Sale entry '!F288)</f>
        <v/>
      </c>
      <c r="D4013" s="1" t="n"/>
      <c r="E4013" s="1" t="n"/>
      <c r="H4013" s="1" t="inlineStr">
        <is>
          <t>b/f petty cash 上日备用金结转</t>
        </is>
      </c>
      <c r="I4013" s="9">
        <f>IF($B4005="","",B4013)</f>
        <v/>
      </c>
      <c r="K4013" s="1" t="n"/>
      <c r="L4013" s="1" t="n"/>
    </row>
    <row r="4014">
      <c r="A4014" t="inlineStr">
        <is>
          <t>Total (A) 总计 (A)</t>
        </is>
      </c>
      <c r="B4014" s="6">
        <f>IF($B4005="","",ROUND(B4011+B4013,2))</f>
        <v/>
      </c>
      <c r="D4014" t="inlineStr">
        <is>
          <t>Total(B) 总计 (B)</t>
        </is>
      </c>
      <c r="E4014" s="6">
        <f>IF($B4005="","",ROUND(E4006+E4007+E4008+E4009+E4010+E4011,2))</f>
        <v/>
      </c>
      <c r="H4014" t="inlineStr">
        <is>
          <t>Total© 总计 (C)</t>
        </is>
      </c>
      <c r="I4014" s="6">
        <f>IF($B4005="","",ROUND(I4011+I4013,2))</f>
        <v/>
      </c>
      <c r="K4014" t="inlineStr">
        <is>
          <t>Total(D) 总计 (D)</t>
        </is>
      </c>
      <c r="L4014" s="6">
        <f>IF($B4005="","",ROUND(L4006+L4007+L4008+L4009+L4010+L4011,2))</f>
        <v/>
      </c>
    </row>
    <row r="4015">
      <c r="A4015" s="14" t="inlineStr">
        <is>
          <t>Total = Amount 2 + b/f petty cash  (金额2 + 上日备用金)</t>
        </is>
      </c>
      <c r="H4015" s="14" t="inlineStr">
        <is>
          <t>Total = Amount 2 + b/f petty cash  (金额2 + 上日备用金)</t>
        </is>
      </c>
    </row>
    <row r="4016">
      <c r="A4016" t="inlineStr">
        <is>
          <t>Different 差额</t>
        </is>
      </c>
      <c r="B4016" s="6">
        <f>IF($B4005="","",ROUND(B4014-E4014,2))</f>
        <v/>
      </c>
      <c r="D4016">
        <f>IF($B4005="","",IF(ABS(B4016)&gt;'Opening Balance'!$B$16,"ALERT 警报: Different over RM"&amp;'Opening Balance'!$B$16&amp;" 差额超过RM"&amp;'Opening Balance'!$B$16&amp;" - please check 请检查",IF(B4016=0,"Tied 平衡",IF(ABS(B4016)&lt;='Opening Balance'!$B$13,"Small difference 小额差额: adjusted on c/f petty cash 已调整备用金",IF(B4016&gt;0,"Short 短收: added to Misc Charges 已加入杂项费用","Over 多收: added to Cash Sales 已加入现金销售")))))</f>
        <v/>
      </c>
      <c r="H4016" t="inlineStr">
        <is>
          <t>Different 差额</t>
        </is>
      </c>
      <c r="I4016" s="6">
        <f>IF($B4005="","",ROUND(I4014-L4014,2))</f>
        <v/>
      </c>
    </row>
    <row r="4017"/>
    <row r="4018"/>
    <row r="4019">
      <c r="A4019" t="inlineStr">
        <is>
          <t>Date 日期</t>
        </is>
      </c>
      <c r="B4019" s="5">
        <f>IF('Daily Sale entry '!$A289="","",'Daily Sale entry '!$A289)</f>
        <v/>
      </c>
      <c r="H4019" t="inlineStr">
        <is>
          <t>After 调整后 (After)</t>
        </is>
      </c>
      <c r="I4019" s="5">
        <f>IF($B4019="","",B4019)</f>
        <v/>
      </c>
    </row>
    <row r="4020">
      <c r="A4020" t="inlineStr">
        <is>
          <t>Cash Sales 现金销售</t>
        </is>
      </c>
      <c r="B4020" s="6">
        <f>IF($B4019="","",'Daily Sale entry '!B289)</f>
        <v/>
      </c>
      <c r="D4020" t="inlineStr">
        <is>
          <t>c/f petty cash 今日备用金结转</t>
        </is>
      </c>
      <c r="E4020" s="6">
        <f>IF($B4019="","",'Daily Sale entry '!G289)</f>
        <v/>
      </c>
      <c r="H4020" t="inlineStr">
        <is>
          <t>Cash Sales 现金销售</t>
        </is>
      </c>
      <c r="I4020" s="6">
        <f>IF($B4019="","",IF(AND(ABS(B4030)&gt;'Opening Balance'!$B$13,B4030&lt;0),ROUND(B4020-B4030,2),B4020))</f>
        <v/>
      </c>
      <c r="K4020" t="inlineStr">
        <is>
          <t>c/f petty cash 今日备用金结转</t>
        </is>
      </c>
      <c r="L4020" s="6">
        <f>IF($B4019="","",IF(ABS(B4030)&lt;='Opening Balance'!$B$13,ROUND(E4020+B4030,2),E4020))</f>
        <v/>
      </c>
    </row>
    <row r="4021">
      <c r="A4021" t="inlineStr">
        <is>
          <t>Misc Charges 杂项费用</t>
        </is>
      </c>
      <c r="B4021" s="6">
        <f>IF($B4019="","",'Daily Sale entry '!C289)</f>
        <v/>
      </c>
      <c r="D4021" t="inlineStr">
        <is>
          <t>cash collection 现金收款</t>
        </is>
      </c>
      <c r="E4021" s="6">
        <f>IF($B4019="","",'Daily Sale entry '!H289)</f>
        <v/>
      </c>
      <c r="H4021" t="inlineStr">
        <is>
          <t>Misc Charges 杂项费用</t>
        </is>
      </c>
      <c r="I4021" s="6">
        <f>IF($B4019="","",IF(AND(ABS(B4030)&gt;'Opening Balance'!$B$13,B4030&gt;0),ROUND(B4021+B4030,2),B4021))</f>
        <v/>
      </c>
      <c r="K4021" t="inlineStr">
        <is>
          <t>cash collection 现金收款</t>
        </is>
      </c>
      <c r="L4021" s="6">
        <f>IF($B4019="","",E4021)</f>
        <v/>
      </c>
    </row>
    <row r="4022">
      <c r="A4022" s="1" t="inlineStr">
        <is>
          <t>Other Charges 其他费用</t>
        </is>
      </c>
      <c r="B4022" s="9">
        <f>IF($B4019="","",'Daily Sale entry '!D289)</f>
        <v/>
      </c>
      <c r="D4022" s="1" t="inlineStr">
        <is>
          <t>Cheque Collection 支票收款</t>
        </is>
      </c>
      <c r="E4022" s="9">
        <f>IF($B4019="","",'Daily Sale entry '!J289)</f>
        <v/>
      </c>
      <c r="H4022" s="1" t="inlineStr">
        <is>
          <t>Other Charges 其他费用</t>
        </is>
      </c>
      <c r="I4022" s="9">
        <f>IF($B4019="","",B4022)</f>
        <v/>
      </c>
      <c r="K4022" s="1" t="inlineStr">
        <is>
          <t>Cheque Collection 支票收款</t>
        </is>
      </c>
      <c r="L4022" s="9">
        <f>IF($B4019="","",E4022)</f>
        <v/>
      </c>
    </row>
    <row r="4023">
      <c r="A4023" s="10" t="inlineStr">
        <is>
          <t>Amount 金额  (Cash Sales - Misc - Other)</t>
        </is>
      </c>
      <c r="B4023" s="11">
        <f>IF($B4019="","",ROUND(B4020-B4021-B4022,2))</f>
        <v/>
      </c>
      <c r="D4023" s="12" t="inlineStr">
        <is>
          <t>TNG collection TNG收款</t>
        </is>
      </c>
      <c r="E4023" s="13">
        <f>IF($B4019="","",'Daily Sale entry '!K289)</f>
        <v/>
      </c>
      <c r="H4023" s="10" t="inlineStr">
        <is>
          <t>Amount 金额  (Cash Sales - Misc - Other)</t>
        </is>
      </c>
      <c r="I4023" s="11">
        <f>IF($B4019="","",ROUND(I4020-I4021-I4022,2))</f>
        <v/>
      </c>
      <c r="K4023" s="12" t="inlineStr">
        <is>
          <t>TNG collection TNG收款</t>
        </is>
      </c>
      <c r="L4023" s="13">
        <f>IF($B4019="","",E4023)</f>
        <v/>
      </c>
    </row>
    <row r="4024">
      <c r="A4024" t="inlineStr">
        <is>
          <t>Credit Collection 赊账收款</t>
        </is>
      </c>
      <c r="B4024" s="6">
        <f>IF($B4019="","",'Daily Sale entry '!E289)</f>
        <v/>
      </c>
      <c r="D4024" t="inlineStr">
        <is>
          <t>Advance Salary_M 预支薪水_M</t>
        </is>
      </c>
      <c r="E4024" s="6">
        <f>IF($B4019="","",'Daily Sale entry '!L289)</f>
        <v/>
      </c>
      <c r="H4024" t="inlineStr">
        <is>
          <t>Credit Collection 赊账收款</t>
        </is>
      </c>
      <c r="I4024" s="6">
        <f>IF($B4019="","",B4024)</f>
        <v/>
      </c>
      <c r="K4024" t="inlineStr">
        <is>
          <t>Advance Salary_M 预支薪水_M</t>
        </is>
      </c>
      <c r="L4024" s="6">
        <f>IF($B4019="","",E4024)</f>
        <v/>
      </c>
    </row>
    <row r="4025">
      <c r="A4025" s="10" t="inlineStr">
        <is>
          <t>Amount 2 金额2  (Amount + Credit Collection)</t>
        </is>
      </c>
      <c r="B4025" s="11">
        <f>IF($B4019="","",ROUND(B4023+B4024,2))</f>
        <v/>
      </c>
      <c r="D4025" t="inlineStr">
        <is>
          <t>Advance Salary_H 预支薪水_H</t>
        </is>
      </c>
      <c r="E4025" s="6">
        <f>IF($B4019="","",'Daily Sale entry '!M289)</f>
        <v/>
      </c>
      <c r="H4025" s="10" t="inlineStr">
        <is>
          <t>Amount 2 金额2  (Amount + Credit Collection)</t>
        </is>
      </c>
      <c r="I4025" s="11">
        <f>IF($B4019="","",ROUND(I4023+I4024,2))</f>
        <v/>
      </c>
      <c r="K4025" t="inlineStr">
        <is>
          <t>Advance Salary_H 预支薪水_H</t>
        </is>
      </c>
      <c r="L4025" s="6">
        <f>IF($B4019="","",E4025)</f>
        <v/>
      </c>
    </row>
    <row r="4026"/>
    <row r="4027">
      <c r="A4027" s="1" t="inlineStr">
        <is>
          <t>b/f petty cash 上日备用金结转</t>
        </is>
      </c>
      <c r="B4027" s="9">
        <f>IF($B4019="","",'Daily Sale entry '!F289)</f>
        <v/>
      </c>
      <c r="D4027" s="1" t="n"/>
      <c r="E4027" s="1" t="n"/>
      <c r="H4027" s="1" t="inlineStr">
        <is>
          <t>b/f petty cash 上日备用金结转</t>
        </is>
      </c>
      <c r="I4027" s="9">
        <f>IF($B4019="","",B4027)</f>
        <v/>
      </c>
      <c r="K4027" s="1" t="n"/>
      <c r="L4027" s="1" t="n"/>
    </row>
    <row r="4028">
      <c r="A4028" t="inlineStr">
        <is>
          <t>Total (A) 总计 (A)</t>
        </is>
      </c>
      <c r="B4028" s="6">
        <f>IF($B4019="","",ROUND(B4025+B4027,2))</f>
        <v/>
      </c>
      <c r="D4028" t="inlineStr">
        <is>
          <t>Total(B) 总计 (B)</t>
        </is>
      </c>
      <c r="E4028" s="6">
        <f>IF($B4019="","",ROUND(E4020+E4021+E4022+E4023+E4024+E4025,2))</f>
        <v/>
      </c>
      <c r="H4028" t="inlineStr">
        <is>
          <t>Total© 总计 (C)</t>
        </is>
      </c>
      <c r="I4028" s="6">
        <f>IF($B4019="","",ROUND(I4025+I4027,2))</f>
        <v/>
      </c>
      <c r="K4028" t="inlineStr">
        <is>
          <t>Total(D) 总计 (D)</t>
        </is>
      </c>
      <c r="L4028" s="6">
        <f>IF($B4019="","",ROUND(L4020+L4021+L4022+L4023+L4024+L4025,2))</f>
        <v/>
      </c>
    </row>
    <row r="4029">
      <c r="A4029" s="14" t="inlineStr">
        <is>
          <t>Total = Amount 2 + b/f petty cash  (金额2 + 上日备用金)</t>
        </is>
      </c>
      <c r="H4029" s="14" t="inlineStr">
        <is>
          <t>Total = Amount 2 + b/f petty cash  (金额2 + 上日备用金)</t>
        </is>
      </c>
    </row>
    <row r="4030">
      <c r="A4030" t="inlineStr">
        <is>
          <t>Different 差额</t>
        </is>
      </c>
      <c r="B4030" s="6">
        <f>IF($B4019="","",ROUND(B4028-E4028,2))</f>
        <v/>
      </c>
      <c r="D4030">
        <f>IF($B4019="","",IF(ABS(B4030)&gt;'Opening Balance'!$B$16,"ALERT 警报: Different over RM"&amp;'Opening Balance'!$B$16&amp;" 差额超过RM"&amp;'Opening Balance'!$B$16&amp;" - please check 请检查",IF(B4030=0,"Tied 平衡",IF(ABS(B4030)&lt;='Opening Balance'!$B$13,"Small difference 小额差额: adjusted on c/f petty cash 已调整备用金",IF(B4030&gt;0,"Short 短收: added to Misc Charges 已加入杂项费用","Over 多收: added to Cash Sales 已加入现金销售")))))</f>
        <v/>
      </c>
      <c r="H4030" t="inlineStr">
        <is>
          <t>Different 差额</t>
        </is>
      </c>
      <c r="I4030" s="6">
        <f>IF($B4019="","",ROUND(I4028-L4028,2))</f>
        <v/>
      </c>
    </row>
    <row r="4031"/>
    <row r="4032"/>
    <row r="4033">
      <c r="A4033" t="inlineStr">
        <is>
          <t>Date 日期</t>
        </is>
      </c>
      <c r="B4033" s="5">
        <f>IF('Daily Sale entry '!$A290="","",'Daily Sale entry '!$A290)</f>
        <v/>
      </c>
      <c r="H4033" t="inlineStr">
        <is>
          <t>After 调整后 (After)</t>
        </is>
      </c>
      <c r="I4033" s="5">
        <f>IF($B4033="","",B4033)</f>
        <v/>
      </c>
    </row>
    <row r="4034">
      <c r="A4034" t="inlineStr">
        <is>
          <t>Cash Sales 现金销售</t>
        </is>
      </c>
      <c r="B4034" s="6">
        <f>IF($B4033="","",'Daily Sale entry '!B290)</f>
        <v/>
      </c>
      <c r="D4034" t="inlineStr">
        <is>
          <t>c/f petty cash 今日备用金结转</t>
        </is>
      </c>
      <c r="E4034" s="6">
        <f>IF($B4033="","",'Daily Sale entry '!G290)</f>
        <v/>
      </c>
      <c r="H4034" t="inlineStr">
        <is>
          <t>Cash Sales 现金销售</t>
        </is>
      </c>
      <c r="I4034" s="6">
        <f>IF($B4033="","",IF(AND(ABS(B4044)&gt;'Opening Balance'!$B$13,B4044&lt;0),ROUND(B4034-B4044,2),B4034))</f>
        <v/>
      </c>
      <c r="K4034" t="inlineStr">
        <is>
          <t>c/f petty cash 今日备用金结转</t>
        </is>
      </c>
      <c r="L4034" s="6">
        <f>IF($B4033="","",IF(ABS(B4044)&lt;='Opening Balance'!$B$13,ROUND(E4034+B4044,2),E4034))</f>
        <v/>
      </c>
    </row>
    <row r="4035">
      <c r="A4035" t="inlineStr">
        <is>
          <t>Misc Charges 杂项费用</t>
        </is>
      </c>
      <c r="B4035" s="6">
        <f>IF($B4033="","",'Daily Sale entry '!C290)</f>
        <v/>
      </c>
      <c r="D4035" t="inlineStr">
        <is>
          <t>cash collection 现金收款</t>
        </is>
      </c>
      <c r="E4035" s="6">
        <f>IF($B4033="","",'Daily Sale entry '!H290)</f>
        <v/>
      </c>
      <c r="H4035" t="inlineStr">
        <is>
          <t>Misc Charges 杂项费用</t>
        </is>
      </c>
      <c r="I4035" s="6">
        <f>IF($B4033="","",IF(AND(ABS(B4044)&gt;'Opening Balance'!$B$13,B4044&gt;0),ROUND(B4035+B4044,2),B4035))</f>
        <v/>
      </c>
      <c r="K4035" t="inlineStr">
        <is>
          <t>cash collection 现金收款</t>
        </is>
      </c>
      <c r="L4035" s="6">
        <f>IF($B4033="","",E4035)</f>
        <v/>
      </c>
    </row>
    <row r="4036">
      <c r="A4036" s="1" t="inlineStr">
        <is>
          <t>Other Charges 其他费用</t>
        </is>
      </c>
      <c r="B4036" s="9">
        <f>IF($B4033="","",'Daily Sale entry '!D290)</f>
        <v/>
      </c>
      <c r="D4036" s="1" t="inlineStr">
        <is>
          <t>Cheque Collection 支票收款</t>
        </is>
      </c>
      <c r="E4036" s="9">
        <f>IF($B4033="","",'Daily Sale entry '!J290)</f>
        <v/>
      </c>
      <c r="H4036" s="1" t="inlineStr">
        <is>
          <t>Other Charges 其他费用</t>
        </is>
      </c>
      <c r="I4036" s="9">
        <f>IF($B4033="","",B4036)</f>
        <v/>
      </c>
      <c r="K4036" s="1" t="inlineStr">
        <is>
          <t>Cheque Collection 支票收款</t>
        </is>
      </c>
      <c r="L4036" s="9">
        <f>IF($B4033="","",E4036)</f>
        <v/>
      </c>
    </row>
    <row r="4037">
      <c r="A4037" s="10" t="inlineStr">
        <is>
          <t>Amount 金额  (Cash Sales - Misc - Other)</t>
        </is>
      </c>
      <c r="B4037" s="11">
        <f>IF($B4033="","",ROUND(B4034-B4035-B4036,2))</f>
        <v/>
      </c>
      <c r="D4037" s="12" t="inlineStr">
        <is>
          <t>TNG collection TNG收款</t>
        </is>
      </c>
      <c r="E4037" s="13">
        <f>IF($B4033="","",'Daily Sale entry '!K290)</f>
        <v/>
      </c>
      <c r="H4037" s="10" t="inlineStr">
        <is>
          <t>Amount 金额  (Cash Sales - Misc - Other)</t>
        </is>
      </c>
      <c r="I4037" s="11">
        <f>IF($B4033="","",ROUND(I4034-I4035-I4036,2))</f>
        <v/>
      </c>
      <c r="K4037" s="12" t="inlineStr">
        <is>
          <t>TNG collection TNG收款</t>
        </is>
      </c>
      <c r="L4037" s="13">
        <f>IF($B4033="","",E4037)</f>
        <v/>
      </c>
    </row>
    <row r="4038">
      <c r="A4038" t="inlineStr">
        <is>
          <t>Credit Collection 赊账收款</t>
        </is>
      </c>
      <c r="B4038" s="6">
        <f>IF($B4033="","",'Daily Sale entry '!E290)</f>
        <v/>
      </c>
      <c r="D4038" t="inlineStr">
        <is>
          <t>Advance Salary_M 预支薪水_M</t>
        </is>
      </c>
      <c r="E4038" s="6">
        <f>IF($B4033="","",'Daily Sale entry '!L290)</f>
        <v/>
      </c>
      <c r="H4038" t="inlineStr">
        <is>
          <t>Credit Collection 赊账收款</t>
        </is>
      </c>
      <c r="I4038" s="6">
        <f>IF($B4033="","",B4038)</f>
        <v/>
      </c>
      <c r="K4038" t="inlineStr">
        <is>
          <t>Advance Salary_M 预支薪水_M</t>
        </is>
      </c>
      <c r="L4038" s="6">
        <f>IF($B4033="","",E4038)</f>
        <v/>
      </c>
    </row>
    <row r="4039">
      <c r="A4039" s="10" t="inlineStr">
        <is>
          <t>Amount 2 金额2  (Amount + Credit Collection)</t>
        </is>
      </c>
      <c r="B4039" s="11">
        <f>IF($B4033="","",ROUND(B4037+B4038,2))</f>
        <v/>
      </c>
      <c r="D4039" t="inlineStr">
        <is>
          <t>Advance Salary_H 预支薪水_H</t>
        </is>
      </c>
      <c r="E4039" s="6">
        <f>IF($B4033="","",'Daily Sale entry '!M290)</f>
        <v/>
      </c>
      <c r="H4039" s="10" t="inlineStr">
        <is>
          <t>Amount 2 金额2  (Amount + Credit Collection)</t>
        </is>
      </c>
      <c r="I4039" s="11">
        <f>IF($B4033="","",ROUND(I4037+I4038,2))</f>
        <v/>
      </c>
      <c r="K4039" t="inlineStr">
        <is>
          <t>Advance Salary_H 预支薪水_H</t>
        </is>
      </c>
      <c r="L4039" s="6">
        <f>IF($B4033="","",E4039)</f>
        <v/>
      </c>
    </row>
    <row r="4040"/>
    <row r="4041">
      <c r="A4041" s="1" t="inlineStr">
        <is>
          <t>b/f petty cash 上日备用金结转</t>
        </is>
      </c>
      <c r="B4041" s="9">
        <f>IF($B4033="","",'Daily Sale entry '!F290)</f>
        <v/>
      </c>
      <c r="D4041" s="1" t="n"/>
      <c r="E4041" s="1" t="n"/>
      <c r="H4041" s="1" t="inlineStr">
        <is>
          <t>b/f petty cash 上日备用金结转</t>
        </is>
      </c>
      <c r="I4041" s="9">
        <f>IF($B4033="","",B4041)</f>
        <v/>
      </c>
      <c r="K4041" s="1" t="n"/>
      <c r="L4041" s="1" t="n"/>
    </row>
    <row r="4042">
      <c r="A4042" t="inlineStr">
        <is>
          <t>Total (A) 总计 (A)</t>
        </is>
      </c>
      <c r="B4042" s="6">
        <f>IF($B4033="","",ROUND(B4039+B4041,2))</f>
        <v/>
      </c>
      <c r="D4042" t="inlineStr">
        <is>
          <t>Total(B) 总计 (B)</t>
        </is>
      </c>
      <c r="E4042" s="6">
        <f>IF($B4033="","",ROUND(E4034+E4035+E4036+E4037+E4038+E4039,2))</f>
        <v/>
      </c>
      <c r="H4042" t="inlineStr">
        <is>
          <t>Total© 总计 (C)</t>
        </is>
      </c>
      <c r="I4042" s="6">
        <f>IF($B4033="","",ROUND(I4039+I4041,2))</f>
        <v/>
      </c>
      <c r="K4042" t="inlineStr">
        <is>
          <t>Total(D) 总计 (D)</t>
        </is>
      </c>
      <c r="L4042" s="6">
        <f>IF($B4033="","",ROUND(L4034+L4035+L4036+L4037+L4038+L4039,2))</f>
        <v/>
      </c>
    </row>
    <row r="4043">
      <c r="A4043" s="14" t="inlineStr">
        <is>
          <t>Total = Amount 2 + b/f petty cash  (金额2 + 上日备用金)</t>
        </is>
      </c>
      <c r="H4043" s="14" t="inlineStr">
        <is>
          <t>Total = Amount 2 + b/f petty cash  (金额2 + 上日备用金)</t>
        </is>
      </c>
    </row>
    <row r="4044">
      <c r="A4044" t="inlineStr">
        <is>
          <t>Different 差额</t>
        </is>
      </c>
      <c r="B4044" s="6">
        <f>IF($B4033="","",ROUND(B4042-E4042,2))</f>
        <v/>
      </c>
      <c r="D4044">
        <f>IF($B4033="","",IF(ABS(B4044)&gt;'Opening Balance'!$B$16,"ALERT 警报: Different over RM"&amp;'Opening Balance'!$B$16&amp;" 差额超过RM"&amp;'Opening Balance'!$B$16&amp;" - please check 请检查",IF(B4044=0,"Tied 平衡",IF(ABS(B4044)&lt;='Opening Balance'!$B$13,"Small difference 小额差额: adjusted on c/f petty cash 已调整备用金",IF(B4044&gt;0,"Short 短收: added to Misc Charges 已加入杂项费用","Over 多收: added to Cash Sales 已加入现金销售")))))</f>
        <v/>
      </c>
      <c r="H4044" t="inlineStr">
        <is>
          <t>Different 差额</t>
        </is>
      </c>
      <c r="I4044" s="6">
        <f>IF($B4033="","",ROUND(I4042-L4042,2))</f>
        <v/>
      </c>
    </row>
    <row r="4045"/>
    <row r="4046"/>
    <row r="4047">
      <c r="A4047" t="inlineStr">
        <is>
          <t>Date 日期</t>
        </is>
      </c>
      <c r="B4047" s="5">
        <f>IF('Daily Sale entry '!$A291="","",'Daily Sale entry '!$A291)</f>
        <v/>
      </c>
      <c r="H4047" t="inlineStr">
        <is>
          <t>After 调整后 (After)</t>
        </is>
      </c>
      <c r="I4047" s="5">
        <f>IF($B4047="","",B4047)</f>
        <v/>
      </c>
    </row>
    <row r="4048">
      <c r="A4048" t="inlineStr">
        <is>
          <t>Cash Sales 现金销售</t>
        </is>
      </c>
      <c r="B4048" s="6">
        <f>IF($B4047="","",'Daily Sale entry '!B291)</f>
        <v/>
      </c>
      <c r="D4048" t="inlineStr">
        <is>
          <t>c/f petty cash 今日备用金结转</t>
        </is>
      </c>
      <c r="E4048" s="6">
        <f>IF($B4047="","",'Daily Sale entry '!G291)</f>
        <v/>
      </c>
      <c r="H4048" t="inlineStr">
        <is>
          <t>Cash Sales 现金销售</t>
        </is>
      </c>
      <c r="I4048" s="6">
        <f>IF($B4047="","",IF(AND(ABS(B4058)&gt;'Opening Balance'!$B$13,B4058&lt;0),ROUND(B4048-B4058,2),B4048))</f>
        <v/>
      </c>
      <c r="K4048" t="inlineStr">
        <is>
          <t>c/f petty cash 今日备用金结转</t>
        </is>
      </c>
      <c r="L4048" s="6">
        <f>IF($B4047="","",IF(ABS(B4058)&lt;='Opening Balance'!$B$13,ROUND(E4048+B4058,2),E4048))</f>
        <v/>
      </c>
    </row>
    <row r="4049">
      <c r="A4049" t="inlineStr">
        <is>
          <t>Misc Charges 杂项费用</t>
        </is>
      </c>
      <c r="B4049" s="6">
        <f>IF($B4047="","",'Daily Sale entry '!C291)</f>
        <v/>
      </c>
      <c r="D4049" t="inlineStr">
        <is>
          <t>cash collection 现金收款</t>
        </is>
      </c>
      <c r="E4049" s="6">
        <f>IF($B4047="","",'Daily Sale entry '!H291)</f>
        <v/>
      </c>
      <c r="H4049" t="inlineStr">
        <is>
          <t>Misc Charges 杂项费用</t>
        </is>
      </c>
      <c r="I4049" s="6">
        <f>IF($B4047="","",IF(AND(ABS(B4058)&gt;'Opening Balance'!$B$13,B4058&gt;0),ROUND(B4049+B4058,2),B4049))</f>
        <v/>
      </c>
      <c r="K4049" t="inlineStr">
        <is>
          <t>cash collection 现金收款</t>
        </is>
      </c>
      <c r="L4049" s="6">
        <f>IF($B4047="","",E4049)</f>
        <v/>
      </c>
    </row>
    <row r="4050">
      <c r="A4050" s="1" t="inlineStr">
        <is>
          <t>Other Charges 其他费用</t>
        </is>
      </c>
      <c r="B4050" s="9">
        <f>IF($B4047="","",'Daily Sale entry '!D291)</f>
        <v/>
      </c>
      <c r="D4050" s="1" t="inlineStr">
        <is>
          <t>Cheque Collection 支票收款</t>
        </is>
      </c>
      <c r="E4050" s="9">
        <f>IF($B4047="","",'Daily Sale entry '!J291)</f>
        <v/>
      </c>
      <c r="H4050" s="1" t="inlineStr">
        <is>
          <t>Other Charges 其他费用</t>
        </is>
      </c>
      <c r="I4050" s="9">
        <f>IF($B4047="","",B4050)</f>
        <v/>
      </c>
      <c r="K4050" s="1" t="inlineStr">
        <is>
          <t>Cheque Collection 支票收款</t>
        </is>
      </c>
      <c r="L4050" s="9">
        <f>IF($B4047="","",E4050)</f>
        <v/>
      </c>
    </row>
    <row r="4051">
      <c r="A4051" s="10" t="inlineStr">
        <is>
          <t>Amount 金额  (Cash Sales - Misc - Other)</t>
        </is>
      </c>
      <c r="B4051" s="11">
        <f>IF($B4047="","",ROUND(B4048-B4049-B4050,2))</f>
        <v/>
      </c>
      <c r="D4051" s="12" t="inlineStr">
        <is>
          <t>TNG collection TNG收款</t>
        </is>
      </c>
      <c r="E4051" s="13">
        <f>IF($B4047="","",'Daily Sale entry '!K291)</f>
        <v/>
      </c>
      <c r="H4051" s="10" t="inlineStr">
        <is>
          <t>Amount 金额  (Cash Sales - Misc - Other)</t>
        </is>
      </c>
      <c r="I4051" s="11">
        <f>IF($B4047="","",ROUND(I4048-I4049-I4050,2))</f>
        <v/>
      </c>
      <c r="K4051" s="12" t="inlineStr">
        <is>
          <t>TNG collection TNG收款</t>
        </is>
      </c>
      <c r="L4051" s="13">
        <f>IF($B4047="","",E4051)</f>
        <v/>
      </c>
    </row>
    <row r="4052">
      <c r="A4052" t="inlineStr">
        <is>
          <t>Credit Collection 赊账收款</t>
        </is>
      </c>
      <c r="B4052" s="6">
        <f>IF($B4047="","",'Daily Sale entry '!E291)</f>
        <v/>
      </c>
      <c r="D4052" t="inlineStr">
        <is>
          <t>Advance Salary_M 预支薪水_M</t>
        </is>
      </c>
      <c r="E4052" s="6">
        <f>IF($B4047="","",'Daily Sale entry '!L291)</f>
        <v/>
      </c>
      <c r="H4052" t="inlineStr">
        <is>
          <t>Credit Collection 赊账收款</t>
        </is>
      </c>
      <c r="I4052" s="6">
        <f>IF($B4047="","",B4052)</f>
        <v/>
      </c>
      <c r="K4052" t="inlineStr">
        <is>
          <t>Advance Salary_M 预支薪水_M</t>
        </is>
      </c>
      <c r="L4052" s="6">
        <f>IF($B4047="","",E4052)</f>
        <v/>
      </c>
    </row>
    <row r="4053">
      <c r="A4053" s="10" t="inlineStr">
        <is>
          <t>Amount 2 金额2  (Amount + Credit Collection)</t>
        </is>
      </c>
      <c r="B4053" s="11">
        <f>IF($B4047="","",ROUND(B4051+B4052,2))</f>
        <v/>
      </c>
      <c r="D4053" t="inlineStr">
        <is>
          <t>Advance Salary_H 预支薪水_H</t>
        </is>
      </c>
      <c r="E4053" s="6">
        <f>IF($B4047="","",'Daily Sale entry '!M291)</f>
        <v/>
      </c>
      <c r="H4053" s="10" t="inlineStr">
        <is>
          <t>Amount 2 金额2  (Amount + Credit Collection)</t>
        </is>
      </c>
      <c r="I4053" s="11">
        <f>IF($B4047="","",ROUND(I4051+I4052,2))</f>
        <v/>
      </c>
      <c r="K4053" t="inlineStr">
        <is>
          <t>Advance Salary_H 预支薪水_H</t>
        </is>
      </c>
      <c r="L4053" s="6">
        <f>IF($B4047="","",E4053)</f>
        <v/>
      </c>
    </row>
    <row r="4054"/>
    <row r="4055">
      <c r="A4055" s="1" t="inlineStr">
        <is>
          <t>b/f petty cash 上日备用金结转</t>
        </is>
      </c>
      <c r="B4055" s="9">
        <f>IF($B4047="","",'Daily Sale entry '!F291)</f>
        <v/>
      </c>
      <c r="D4055" s="1" t="n"/>
      <c r="E4055" s="1" t="n"/>
      <c r="H4055" s="1" t="inlineStr">
        <is>
          <t>b/f petty cash 上日备用金结转</t>
        </is>
      </c>
      <c r="I4055" s="9">
        <f>IF($B4047="","",B4055)</f>
        <v/>
      </c>
      <c r="K4055" s="1" t="n"/>
      <c r="L4055" s="1" t="n"/>
    </row>
    <row r="4056">
      <c r="A4056" t="inlineStr">
        <is>
          <t>Total (A) 总计 (A)</t>
        </is>
      </c>
      <c r="B4056" s="6">
        <f>IF($B4047="","",ROUND(B4053+B4055,2))</f>
        <v/>
      </c>
      <c r="D4056" t="inlineStr">
        <is>
          <t>Total(B) 总计 (B)</t>
        </is>
      </c>
      <c r="E4056" s="6">
        <f>IF($B4047="","",ROUND(E4048+E4049+E4050+E4051+E4052+E4053,2))</f>
        <v/>
      </c>
      <c r="H4056" t="inlineStr">
        <is>
          <t>Total© 总计 (C)</t>
        </is>
      </c>
      <c r="I4056" s="6">
        <f>IF($B4047="","",ROUND(I4053+I4055,2))</f>
        <v/>
      </c>
      <c r="K4056" t="inlineStr">
        <is>
          <t>Total(D) 总计 (D)</t>
        </is>
      </c>
      <c r="L4056" s="6">
        <f>IF($B4047="","",ROUND(L4048+L4049+L4050+L4051+L4052+L4053,2))</f>
        <v/>
      </c>
    </row>
    <row r="4057">
      <c r="A4057" s="14" t="inlineStr">
        <is>
          <t>Total = Amount 2 + b/f petty cash  (金额2 + 上日备用金)</t>
        </is>
      </c>
      <c r="H4057" s="14" t="inlineStr">
        <is>
          <t>Total = Amount 2 + b/f petty cash  (金额2 + 上日备用金)</t>
        </is>
      </c>
    </row>
    <row r="4058">
      <c r="A4058" t="inlineStr">
        <is>
          <t>Different 差额</t>
        </is>
      </c>
      <c r="B4058" s="6">
        <f>IF($B4047="","",ROUND(B4056-E4056,2))</f>
        <v/>
      </c>
      <c r="D4058">
        <f>IF($B4047="","",IF(ABS(B4058)&gt;'Opening Balance'!$B$16,"ALERT 警报: Different over RM"&amp;'Opening Balance'!$B$16&amp;" 差额超过RM"&amp;'Opening Balance'!$B$16&amp;" - please check 请检查",IF(B4058=0,"Tied 平衡",IF(ABS(B4058)&lt;='Opening Balance'!$B$13,"Small difference 小额差额: adjusted on c/f petty cash 已调整备用金",IF(B4058&gt;0,"Short 短收: added to Misc Charges 已加入杂项费用","Over 多收: added to Cash Sales 已加入现金销售")))))</f>
        <v/>
      </c>
      <c r="H4058" t="inlineStr">
        <is>
          <t>Different 差额</t>
        </is>
      </c>
      <c r="I4058" s="6">
        <f>IF($B4047="","",ROUND(I4056-L4056,2))</f>
        <v/>
      </c>
    </row>
    <row r="4059"/>
    <row r="4060"/>
    <row r="4061">
      <c r="A4061" t="inlineStr">
        <is>
          <t>Date 日期</t>
        </is>
      </c>
      <c r="B4061" s="5">
        <f>IF('Daily Sale entry '!$A292="","",'Daily Sale entry '!$A292)</f>
        <v/>
      </c>
      <c r="H4061" t="inlineStr">
        <is>
          <t>After 调整后 (After)</t>
        </is>
      </c>
      <c r="I4061" s="5">
        <f>IF($B4061="","",B4061)</f>
        <v/>
      </c>
    </row>
    <row r="4062">
      <c r="A4062" t="inlineStr">
        <is>
          <t>Cash Sales 现金销售</t>
        </is>
      </c>
      <c r="B4062" s="6">
        <f>IF($B4061="","",'Daily Sale entry '!B292)</f>
        <v/>
      </c>
      <c r="D4062" t="inlineStr">
        <is>
          <t>c/f petty cash 今日备用金结转</t>
        </is>
      </c>
      <c r="E4062" s="6">
        <f>IF($B4061="","",'Daily Sale entry '!G292)</f>
        <v/>
      </c>
      <c r="H4062" t="inlineStr">
        <is>
          <t>Cash Sales 现金销售</t>
        </is>
      </c>
      <c r="I4062" s="6">
        <f>IF($B4061="","",IF(AND(ABS(B4072)&gt;'Opening Balance'!$B$13,B4072&lt;0),ROUND(B4062-B4072,2),B4062))</f>
        <v/>
      </c>
      <c r="K4062" t="inlineStr">
        <is>
          <t>c/f petty cash 今日备用金结转</t>
        </is>
      </c>
      <c r="L4062" s="6">
        <f>IF($B4061="","",IF(ABS(B4072)&lt;='Opening Balance'!$B$13,ROUND(E4062+B4072,2),E4062))</f>
        <v/>
      </c>
    </row>
    <row r="4063">
      <c r="A4063" t="inlineStr">
        <is>
          <t>Misc Charges 杂项费用</t>
        </is>
      </c>
      <c r="B4063" s="6">
        <f>IF($B4061="","",'Daily Sale entry '!C292)</f>
        <v/>
      </c>
      <c r="D4063" t="inlineStr">
        <is>
          <t>cash collection 现金收款</t>
        </is>
      </c>
      <c r="E4063" s="6">
        <f>IF($B4061="","",'Daily Sale entry '!H292)</f>
        <v/>
      </c>
      <c r="H4063" t="inlineStr">
        <is>
          <t>Misc Charges 杂项费用</t>
        </is>
      </c>
      <c r="I4063" s="6">
        <f>IF($B4061="","",IF(AND(ABS(B4072)&gt;'Opening Balance'!$B$13,B4072&gt;0),ROUND(B4063+B4072,2),B4063))</f>
        <v/>
      </c>
      <c r="K4063" t="inlineStr">
        <is>
          <t>cash collection 现金收款</t>
        </is>
      </c>
      <c r="L4063" s="6">
        <f>IF($B4061="","",E4063)</f>
        <v/>
      </c>
    </row>
    <row r="4064">
      <c r="A4064" s="1" t="inlineStr">
        <is>
          <t>Other Charges 其他费用</t>
        </is>
      </c>
      <c r="B4064" s="9">
        <f>IF($B4061="","",'Daily Sale entry '!D292)</f>
        <v/>
      </c>
      <c r="D4064" s="1" t="inlineStr">
        <is>
          <t>Cheque Collection 支票收款</t>
        </is>
      </c>
      <c r="E4064" s="9">
        <f>IF($B4061="","",'Daily Sale entry '!J292)</f>
        <v/>
      </c>
      <c r="H4064" s="1" t="inlineStr">
        <is>
          <t>Other Charges 其他费用</t>
        </is>
      </c>
      <c r="I4064" s="9">
        <f>IF($B4061="","",B4064)</f>
        <v/>
      </c>
      <c r="K4064" s="1" t="inlineStr">
        <is>
          <t>Cheque Collection 支票收款</t>
        </is>
      </c>
      <c r="L4064" s="9">
        <f>IF($B4061="","",E4064)</f>
        <v/>
      </c>
    </row>
    <row r="4065">
      <c r="A4065" s="10" t="inlineStr">
        <is>
          <t>Amount 金额  (Cash Sales - Misc - Other)</t>
        </is>
      </c>
      <c r="B4065" s="11">
        <f>IF($B4061="","",ROUND(B4062-B4063-B4064,2))</f>
        <v/>
      </c>
      <c r="D4065" s="12" t="inlineStr">
        <is>
          <t>TNG collection TNG收款</t>
        </is>
      </c>
      <c r="E4065" s="13">
        <f>IF($B4061="","",'Daily Sale entry '!K292)</f>
        <v/>
      </c>
      <c r="H4065" s="10" t="inlineStr">
        <is>
          <t>Amount 金额  (Cash Sales - Misc - Other)</t>
        </is>
      </c>
      <c r="I4065" s="11">
        <f>IF($B4061="","",ROUND(I4062-I4063-I4064,2))</f>
        <v/>
      </c>
      <c r="K4065" s="12" t="inlineStr">
        <is>
          <t>TNG collection TNG收款</t>
        </is>
      </c>
      <c r="L4065" s="13">
        <f>IF($B4061="","",E4065)</f>
        <v/>
      </c>
    </row>
    <row r="4066">
      <c r="A4066" t="inlineStr">
        <is>
          <t>Credit Collection 赊账收款</t>
        </is>
      </c>
      <c r="B4066" s="6">
        <f>IF($B4061="","",'Daily Sale entry '!E292)</f>
        <v/>
      </c>
      <c r="D4066" t="inlineStr">
        <is>
          <t>Advance Salary_M 预支薪水_M</t>
        </is>
      </c>
      <c r="E4066" s="6">
        <f>IF($B4061="","",'Daily Sale entry '!L292)</f>
        <v/>
      </c>
      <c r="H4066" t="inlineStr">
        <is>
          <t>Credit Collection 赊账收款</t>
        </is>
      </c>
      <c r="I4066" s="6">
        <f>IF($B4061="","",B4066)</f>
        <v/>
      </c>
      <c r="K4066" t="inlineStr">
        <is>
          <t>Advance Salary_M 预支薪水_M</t>
        </is>
      </c>
      <c r="L4066" s="6">
        <f>IF($B4061="","",E4066)</f>
        <v/>
      </c>
    </row>
    <row r="4067">
      <c r="A4067" s="10" t="inlineStr">
        <is>
          <t>Amount 2 金额2  (Amount + Credit Collection)</t>
        </is>
      </c>
      <c r="B4067" s="11">
        <f>IF($B4061="","",ROUND(B4065+B4066,2))</f>
        <v/>
      </c>
      <c r="D4067" t="inlineStr">
        <is>
          <t>Advance Salary_H 预支薪水_H</t>
        </is>
      </c>
      <c r="E4067" s="6">
        <f>IF($B4061="","",'Daily Sale entry '!M292)</f>
        <v/>
      </c>
      <c r="H4067" s="10" t="inlineStr">
        <is>
          <t>Amount 2 金额2  (Amount + Credit Collection)</t>
        </is>
      </c>
      <c r="I4067" s="11">
        <f>IF($B4061="","",ROUND(I4065+I4066,2))</f>
        <v/>
      </c>
      <c r="K4067" t="inlineStr">
        <is>
          <t>Advance Salary_H 预支薪水_H</t>
        </is>
      </c>
      <c r="L4067" s="6">
        <f>IF($B4061="","",E4067)</f>
        <v/>
      </c>
    </row>
    <row r="4068"/>
    <row r="4069">
      <c r="A4069" s="1" t="inlineStr">
        <is>
          <t>b/f petty cash 上日备用金结转</t>
        </is>
      </c>
      <c r="B4069" s="9">
        <f>IF($B4061="","",'Daily Sale entry '!F292)</f>
        <v/>
      </c>
      <c r="D4069" s="1" t="n"/>
      <c r="E4069" s="1" t="n"/>
      <c r="H4069" s="1" t="inlineStr">
        <is>
          <t>b/f petty cash 上日备用金结转</t>
        </is>
      </c>
      <c r="I4069" s="9">
        <f>IF($B4061="","",B4069)</f>
        <v/>
      </c>
      <c r="K4069" s="1" t="n"/>
      <c r="L4069" s="1" t="n"/>
    </row>
    <row r="4070">
      <c r="A4070" t="inlineStr">
        <is>
          <t>Total (A) 总计 (A)</t>
        </is>
      </c>
      <c r="B4070" s="6">
        <f>IF($B4061="","",ROUND(B4067+B4069,2))</f>
        <v/>
      </c>
      <c r="D4070" t="inlineStr">
        <is>
          <t>Total(B) 总计 (B)</t>
        </is>
      </c>
      <c r="E4070" s="6">
        <f>IF($B4061="","",ROUND(E4062+E4063+E4064+E4065+E4066+E4067,2))</f>
        <v/>
      </c>
      <c r="H4070" t="inlineStr">
        <is>
          <t>Total© 总计 (C)</t>
        </is>
      </c>
      <c r="I4070" s="6">
        <f>IF($B4061="","",ROUND(I4067+I4069,2))</f>
        <v/>
      </c>
      <c r="K4070" t="inlineStr">
        <is>
          <t>Total(D) 总计 (D)</t>
        </is>
      </c>
      <c r="L4070" s="6">
        <f>IF($B4061="","",ROUND(L4062+L4063+L4064+L4065+L4066+L4067,2))</f>
        <v/>
      </c>
    </row>
    <row r="4071">
      <c r="A4071" s="14" t="inlineStr">
        <is>
          <t>Total = Amount 2 + b/f petty cash  (金额2 + 上日备用金)</t>
        </is>
      </c>
      <c r="H4071" s="14" t="inlineStr">
        <is>
          <t>Total = Amount 2 + b/f petty cash  (金额2 + 上日备用金)</t>
        </is>
      </c>
    </row>
    <row r="4072">
      <c r="A4072" t="inlineStr">
        <is>
          <t>Different 差额</t>
        </is>
      </c>
      <c r="B4072" s="6">
        <f>IF($B4061="","",ROUND(B4070-E4070,2))</f>
        <v/>
      </c>
      <c r="D4072">
        <f>IF($B4061="","",IF(ABS(B4072)&gt;'Opening Balance'!$B$16,"ALERT 警报: Different over RM"&amp;'Opening Balance'!$B$16&amp;" 差额超过RM"&amp;'Opening Balance'!$B$16&amp;" - please check 请检查",IF(B4072=0,"Tied 平衡",IF(ABS(B4072)&lt;='Opening Balance'!$B$13,"Small difference 小额差额: adjusted on c/f petty cash 已调整备用金",IF(B4072&gt;0,"Short 短收: added to Misc Charges 已加入杂项费用","Over 多收: added to Cash Sales 已加入现金销售")))))</f>
        <v/>
      </c>
      <c r="H4072" t="inlineStr">
        <is>
          <t>Different 差额</t>
        </is>
      </c>
      <c r="I4072" s="6">
        <f>IF($B4061="","",ROUND(I4070-L4070,2))</f>
        <v/>
      </c>
    </row>
    <row r="4073"/>
    <row r="4074"/>
    <row r="4075">
      <c r="A4075" t="inlineStr">
        <is>
          <t>Date 日期</t>
        </is>
      </c>
      <c r="B4075" s="5">
        <f>IF('Daily Sale entry '!$A293="","",'Daily Sale entry '!$A293)</f>
        <v/>
      </c>
      <c r="H4075" t="inlineStr">
        <is>
          <t>After 调整后 (After)</t>
        </is>
      </c>
      <c r="I4075" s="5">
        <f>IF($B4075="","",B4075)</f>
        <v/>
      </c>
    </row>
    <row r="4076">
      <c r="A4076" t="inlineStr">
        <is>
          <t>Cash Sales 现金销售</t>
        </is>
      </c>
      <c r="B4076" s="6">
        <f>IF($B4075="","",'Daily Sale entry '!B293)</f>
        <v/>
      </c>
      <c r="D4076" t="inlineStr">
        <is>
          <t>c/f petty cash 今日备用金结转</t>
        </is>
      </c>
      <c r="E4076" s="6">
        <f>IF($B4075="","",'Daily Sale entry '!G293)</f>
        <v/>
      </c>
      <c r="H4076" t="inlineStr">
        <is>
          <t>Cash Sales 现金销售</t>
        </is>
      </c>
      <c r="I4076" s="6">
        <f>IF($B4075="","",IF(AND(ABS(B4086)&gt;'Opening Balance'!$B$13,B4086&lt;0),ROUND(B4076-B4086,2),B4076))</f>
        <v/>
      </c>
      <c r="K4076" t="inlineStr">
        <is>
          <t>c/f petty cash 今日备用金结转</t>
        </is>
      </c>
      <c r="L4076" s="6">
        <f>IF($B4075="","",IF(ABS(B4086)&lt;='Opening Balance'!$B$13,ROUND(E4076+B4086,2),E4076))</f>
        <v/>
      </c>
    </row>
    <row r="4077">
      <c r="A4077" t="inlineStr">
        <is>
          <t>Misc Charges 杂项费用</t>
        </is>
      </c>
      <c r="B4077" s="6">
        <f>IF($B4075="","",'Daily Sale entry '!C293)</f>
        <v/>
      </c>
      <c r="D4077" t="inlineStr">
        <is>
          <t>cash collection 现金收款</t>
        </is>
      </c>
      <c r="E4077" s="6">
        <f>IF($B4075="","",'Daily Sale entry '!H293)</f>
        <v/>
      </c>
      <c r="H4077" t="inlineStr">
        <is>
          <t>Misc Charges 杂项费用</t>
        </is>
      </c>
      <c r="I4077" s="6">
        <f>IF($B4075="","",IF(AND(ABS(B4086)&gt;'Opening Balance'!$B$13,B4086&gt;0),ROUND(B4077+B4086,2),B4077))</f>
        <v/>
      </c>
      <c r="K4077" t="inlineStr">
        <is>
          <t>cash collection 现金收款</t>
        </is>
      </c>
      <c r="L4077" s="6">
        <f>IF($B4075="","",E4077)</f>
        <v/>
      </c>
    </row>
    <row r="4078">
      <c r="A4078" s="1" t="inlineStr">
        <is>
          <t>Other Charges 其他费用</t>
        </is>
      </c>
      <c r="B4078" s="9">
        <f>IF($B4075="","",'Daily Sale entry '!D293)</f>
        <v/>
      </c>
      <c r="D4078" s="1" t="inlineStr">
        <is>
          <t>Cheque Collection 支票收款</t>
        </is>
      </c>
      <c r="E4078" s="9">
        <f>IF($B4075="","",'Daily Sale entry '!J293)</f>
        <v/>
      </c>
      <c r="H4078" s="1" t="inlineStr">
        <is>
          <t>Other Charges 其他费用</t>
        </is>
      </c>
      <c r="I4078" s="9">
        <f>IF($B4075="","",B4078)</f>
        <v/>
      </c>
      <c r="K4078" s="1" t="inlineStr">
        <is>
          <t>Cheque Collection 支票收款</t>
        </is>
      </c>
      <c r="L4078" s="9">
        <f>IF($B4075="","",E4078)</f>
        <v/>
      </c>
    </row>
    <row r="4079">
      <c r="A4079" s="10" t="inlineStr">
        <is>
          <t>Amount 金额  (Cash Sales - Misc - Other)</t>
        </is>
      </c>
      <c r="B4079" s="11">
        <f>IF($B4075="","",ROUND(B4076-B4077-B4078,2))</f>
        <v/>
      </c>
      <c r="D4079" s="12" t="inlineStr">
        <is>
          <t>TNG collection TNG收款</t>
        </is>
      </c>
      <c r="E4079" s="13">
        <f>IF($B4075="","",'Daily Sale entry '!K293)</f>
        <v/>
      </c>
      <c r="H4079" s="10" t="inlineStr">
        <is>
          <t>Amount 金额  (Cash Sales - Misc - Other)</t>
        </is>
      </c>
      <c r="I4079" s="11">
        <f>IF($B4075="","",ROUND(I4076-I4077-I4078,2))</f>
        <v/>
      </c>
      <c r="K4079" s="12" t="inlineStr">
        <is>
          <t>TNG collection TNG收款</t>
        </is>
      </c>
      <c r="L4079" s="13">
        <f>IF($B4075="","",E4079)</f>
        <v/>
      </c>
    </row>
    <row r="4080">
      <c r="A4080" t="inlineStr">
        <is>
          <t>Credit Collection 赊账收款</t>
        </is>
      </c>
      <c r="B4080" s="6">
        <f>IF($B4075="","",'Daily Sale entry '!E293)</f>
        <v/>
      </c>
      <c r="D4080" t="inlineStr">
        <is>
          <t>Advance Salary_M 预支薪水_M</t>
        </is>
      </c>
      <c r="E4080" s="6">
        <f>IF($B4075="","",'Daily Sale entry '!L293)</f>
        <v/>
      </c>
      <c r="H4080" t="inlineStr">
        <is>
          <t>Credit Collection 赊账收款</t>
        </is>
      </c>
      <c r="I4080" s="6">
        <f>IF($B4075="","",B4080)</f>
        <v/>
      </c>
      <c r="K4080" t="inlineStr">
        <is>
          <t>Advance Salary_M 预支薪水_M</t>
        </is>
      </c>
      <c r="L4080" s="6">
        <f>IF($B4075="","",E4080)</f>
        <v/>
      </c>
    </row>
    <row r="4081">
      <c r="A4081" s="10" t="inlineStr">
        <is>
          <t>Amount 2 金额2  (Amount + Credit Collection)</t>
        </is>
      </c>
      <c r="B4081" s="11">
        <f>IF($B4075="","",ROUND(B4079+B4080,2))</f>
        <v/>
      </c>
      <c r="D4081" t="inlineStr">
        <is>
          <t>Advance Salary_H 预支薪水_H</t>
        </is>
      </c>
      <c r="E4081" s="6">
        <f>IF($B4075="","",'Daily Sale entry '!M293)</f>
        <v/>
      </c>
      <c r="H4081" s="10" t="inlineStr">
        <is>
          <t>Amount 2 金额2  (Amount + Credit Collection)</t>
        </is>
      </c>
      <c r="I4081" s="11">
        <f>IF($B4075="","",ROUND(I4079+I4080,2))</f>
        <v/>
      </c>
      <c r="K4081" t="inlineStr">
        <is>
          <t>Advance Salary_H 预支薪水_H</t>
        </is>
      </c>
      <c r="L4081" s="6">
        <f>IF($B4075="","",E4081)</f>
        <v/>
      </c>
    </row>
    <row r="4082"/>
    <row r="4083">
      <c r="A4083" s="1" t="inlineStr">
        <is>
          <t>b/f petty cash 上日备用金结转</t>
        </is>
      </c>
      <c r="B4083" s="9">
        <f>IF($B4075="","",'Daily Sale entry '!F293)</f>
        <v/>
      </c>
      <c r="D4083" s="1" t="n"/>
      <c r="E4083" s="1" t="n"/>
      <c r="H4083" s="1" t="inlineStr">
        <is>
          <t>b/f petty cash 上日备用金结转</t>
        </is>
      </c>
      <c r="I4083" s="9">
        <f>IF($B4075="","",B4083)</f>
        <v/>
      </c>
      <c r="K4083" s="1" t="n"/>
      <c r="L4083" s="1" t="n"/>
    </row>
    <row r="4084">
      <c r="A4084" t="inlineStr">
        <is>
          <t>Total (A) 总计 (A)</t>
        </is>
      </c>
      <c r="B4084" s="6">
        <f>IF($B4075="","",ROUND(B4081+B4083,2))</f>
        <v/>
      </c>
      <c r="D4084" t="inlineStr">
        <is>
          <t>Total(B) 总计 (B)</t>
        </is>
      </c>
      <c r="E4084" s="6">
        <f>IF($B4075="","",ROUND(E4076+E4077+E4078+E4079+E4080+E4081,2))</f>
        <v/>
      </c>
      <c r="H4084" t="inlineStr">
        <is>
          <t>Total© 总计 (C)</t>
        </is>
      </c>
      <c r="I4084" s="6">
        <f>IF($B4075="","",ROUND(I4081+I4083,2))</f>
        <v/>
      </c>
      <c r="K4084" t="inlineStr">
        <is>
          <t>Total(D) 总计 (D)</t>
        </is>
      </c>
      <c r="L4084" s="6">
        <f>IF($B4075="","",ROUND(L4076+L4077+L4078+L4079+L4080+L4081,2))</f>
        <v/>
      </c>
    </row>
    <row r="4085">
      <c r="A4085" s="14" t="inlineStr">
        <is>
          <t>Total = Amount 2 + b/f petty cash  (金额2 + 上日备用金)</t>
        </is>
      </c>
      <c r="H4085" s="14" t="inlineStr">
        <is>
          <t>Total = Amount 2 + b/f petty cash  (金额2 + 上日备用金)</t>
        </is>
      </c>
    </row>
    <row r="4086">
      <c r="A4086" t="inlineStr">
        <is>
          <t>Different 差额</t>
        </is>
      </c>
      <c r="B4086" s="6">
        <f>IF($B4075="","",ROUND(B4084-E4084,2))</f>
        <v/>
      </c>
      <c r="D4086">
        <f>IF($B4075="","",IF(ABS(B4086)&gt;'Opening Balance'!$B$16,"ALERT 警报: Different over RM"&amp;'Opening Balance'!$B$16&amp;" 差额超过RM"&amp;'Opening Balance'!$B$16&amp;" - please check 请检查",IF(B4086=0,"Tied 平衡",IF(ABS(B4086)&lt;='Opening Balance'!$B$13,"Small difference 小额差额: adjusted on c/f petty cash 已调整备用金",IF(B4086&gt;0,"Short 短收: added to Misc Charges 已加入杂项费用","Over 多收: added to Cash Sales 已加入现金销售")))))</f>
        <v/>
      </c>
      <c r="H4086" t="inlineStr">
        <is>
          <t>Different 差额</t>
        </is>
      </c>
      <c r="I4086" s="6">
        <f>IF($B4075="","",ROUND(I4084-L4084,2))</f>
        <v/>
      </c>
    </row>
    <row r="4087"/>
    <row r="4088"/>
    <row r="4089">
      <c r="A4089" t="inlineStr">
        <is>
          <t>Date 日期</t>
        </is>
      </c>
      <c r="B4089" s="5">
        <f>IF('Daily Sale entry '!$A294="","",'Daily Sale entry '!$A294)</f>
        <v/>
      </c>
      <c r="H4089" t="inlineStr">
        <is>
          <t>After 调整后 (After)</t>
        </is>
      </c>
      <c r="I4089" s="5">
        <f>IF($B4089="","",B4089)</f>
        <v/>
      </c>
    </row>
    <row r="4090">
      <c r="A4090" t="inlineStr">
        <is>
          <t>Cash Sales 现金销售</t>
        </is>
      </c>
      <c r="B4090" s="6">
        <f>IF($B4089="","",'Daily Sale entry '!B294)</f>
        <v/>
      </c>
      <c r="D4090" t="inlineStr">
        <is>
          <t>c/f petty cash 今日备用金结转</t>
        </is>
      </c>
      <c r="E4090" s="6">
        <f>IF($B4089="","",'Daily Sale entry '!G294)</f>
        <v/>
      </c>
      <c r="H4090" t="inlineStr">
        <is>
          <t>Cash Sales 现金销售</t>
        </is>
      </c>
      <c r="I4090" s="6">
        <f>IF($B4089="","",IF(AND(ABS(B4100)&gt;'Opening Balance'!$B$13,B4100&lt;0),ROUND(B4090-B4100,2),B4090))</f>
        <v/>
      </c>
      <c r="K4090" t="inlineStr">
        <is>
          <t>c/f petty cash 今日备用金结转</t>
        </is>
      </c>
      <c r="L4090" s="6">
        <f>IF($B4089="","",IF(ABS(B4100)&lt;='Opening Balance'!$B$13,ROUND(E4090+B4100,2),E4090))</f>
        <v/>
      </c>
    </row>
    <row r="4091">
      <c r="A4091" t="inlineStr">
        <is>
          <t>Misc Charges 杂项费用</t>
        </is>
      </c>
      <c r="B4091" s="6">
        <f>IF($B4089="","",'Daily Sale entry '!C294)</f>
        <v/>
      </c>
      <c r="D4091" t="inlineStr">
        <is>
          <t>cash collection 现金收款</t>
        </is>
      </c>
      <c r="E4091" s="6">
        <f>IF($B4089="","",'Daily Sale entry '!H294)</f>
        <v/>
      </c>
      <c r="H4091" t="inlineStr">
        <is>
          <t>Misc Charges 杂项费用</t>
        </is>
      </c>
      <c r="I4091" s="6">
        <f>IF($B4089="","",IF(AND(ABS(B4100)&gt;'Opening Balance'!$B$13,B4100&gt;0),ROUND(B4091+B4100,2),B4091))</f>
        <v/>
      </c>
      <c r="K4091" t="inlineStr">
        <is>
          <t>cash collection 现金收款</t>
        </is>
      </c>
      <c r="L4091" s="6">
        <f>IF($B4089="","",E4091)</f>
        <v/>
      </c>
    </row>
    <row r="4092">
      <c r="A4092" s="1" t="inlineStr">
        <is>
          <t>Other Charges 其他费用</t>
        </is>
      </c>
      <c r="B4092" s="9">
        <f>IF($B4089="","",'Daily Sale entry '!D294)</f>
        <v/>
      </c>
      <c r="D4092" s="1" t="inlineStr">
        <is>
          <t>Cheque Collection 支票收款</t>
        </is>
      </c>
      <c r="E4092" s="9">
        <f>IF($B4089="","",'Daily Sale entry '!J294)</f>
        <v/>
      </c>
      <c r="H4092" s="1" t="inlineStr">
        <is>
          <t>Other Charges 其他费用</t>
        </is>
      </c>
      <c r="I4092" s="9">
        <f>IF($B4089="","",B4092)</f>
        <v/>
      </c>
      <c r="K4092" s="1" t="inlineStr">
        <is>
          <t>Cheque Collection 支票收款</t>
        </is>
      </c>
      <c r="L4092" s="9">
        <f>IF($B4089="","",E4092)</f>
        <v/>
      </c>
    </row>
    <row r="4093">
      <c r="A4093" s="10" t="inlineStr">
        <is>
          <t>Amount 金额  (Cash Sales - Misc - Other)</t>
        </is>
      </c>
      <c r="B4093" s="11">
        <f>IF($B4089="","",ROUND(B4090-B4091-B4092,2))</f>
        <v/>
      </c>
      <c r="D4093" s="12" t="inlineStr">
        <is>
          <t>TNG collection TNG收款</t>
        </is>
      </c>
      <c r="E4093" s="13">
        <f>IF($B4089="","",'Daily Sale entry '!K294)</f>
        <v/>
      </c>
      <c r="H4093" s="10" t="inlineStr">
        <is>
          <t>Amount 金额  (Cash Sales - Misc - Other)</t>
        </is>
      </c>
      <c r="I4093" s="11">
        <f>IF($B4089="","",ROUND(I4090-I4091-I4092,2))</f>
        <v/>
      </c>
      <c r="K4093" s="12" t="inlineStr">
        <is>
          <t>TNG collection TNG收款</t>
        </is>
      </c>
      <c r="L4093" s="13">
        <f>IF($B4089="","",E4093)</f>
        <v/>
      </c>
    </row>
    <row r="4094">
      <c r="A4094" t="inlineStr">
        <is>
          <t>Credit Collection 赊账收款</t>
        </is>
      </c>
      <c r="B4094" s="6">
        <f>IF($B4089="","",'Daily Sale entry '!E294)</f>
        <v/>
      </c>
      <c r="D4094" t="inlineStr">
        <is>
          <t>Advance Salary_M 预支薪水_M</t>
        </is>
      </c>
      <c r="E4094" s="6">
        <f>IF($B4089="","",'Daily Sale entry '!L294)</f>
        <v/>
      </c>
      <c r="H4094" t="inlineStr">
        <is>
          <t>Credit Collection 赊账收款</t>
        </is>
      </c>
      <c r="I4094" s="6">
        <f>IF($B4089="","",B4094)</f>
        <v/>
      </c>
      <c r="K4094" t="inlineStr">
        <is>
          <t>Advance Salary_M 预支薪水_M</t>
        </is>
      </c>
      <c r="L4094" s="6">
        <f>IF($B4089="","",E4094)</f>
        <v/>
      </c>
    </row>
    <row r="4095">
      <c r="A4095" s="10" t="inlineStr">
        <is>
          <t>Amount 2 金额2  (Amount + Credit Collection)</t>
        </is>
      </c>
      <c r="B4095" s="11">
        <f>IF($B4089="","",ROUND(B4093+B4094,2))</f>
        <v/>
      </c>
      <c r="D4095" t="inlineStr">
        <is>
          <t>Advance Salary_H 预支薪水_H</t>
        </is>
      </c>
      <c r="E4095" s="6">
        <f>IF($B4089="","",'Daily Sale entry '!M294)</f>
        <v/>
      </c>
      <c r="H4095" s="10" t="inlineStr">
        <is>
          <t>Amount 2 金额2  (Amount + Credit Collection)</t>
        </is>
      </c>
      <c r="I4095" s="11">
        <f>IF($B4089="","",ROUND(I4093+I4094,2))</f>
        <v/>
      </c>
      <c r="K4095" t="inlineStr">
        <is>
          <t>Advance Salary_H 预支薪水_H</t>
        </is>
      </c>
      <c r="L4095" s="6">
        <f>IF($B4089="","",E4095)</f>
        <v/>
      </c>
    </row>
    <row r="4096"/>
    <row r="4097">
      <c r="A4097" s="1" t="inlineStr">
        <is>
          <t>b/f petty cash 上日备用金结转</t>
        </is>
      </c>
      <c r="B4097" s="9">
        <f>IF($B4089="","",'Daily Sale entry '!F294)</f>
        <v/>
      </c>
      <c r="D4097" s="1" t="n"/>
      <c r="E4097" s="1" t="n"/>
      <c r="H4097" s="1" t="inlineStr">
        <is>
          <t>b/f petty cash 上日备用金结转</t>
        </is>
      </c>
      <c r="I4097" s="9">
        <f>IF($B4089="","",B4097)</f>
        <v/>
      </c>
      <c r="K4097" s="1" t="n"/>
      <c r="L4097" s="1" t="n"/>
    </row>
    <row r="4098">
      <c r="A4098" t="inlineStr">
        <is>
          <t>Total (A) 总计 (A)</t>
        </is>
      </c>
      <c r="B4098" s="6">
        <f>IF($B4089="","",ROUND(B4095+B4097,2))</f>
        <v/>
      </c>
      <c r="D4098" t="inlineStr">
        <is>
          <t>Total(B) 总计 (B)</t>
        </is>
      </c>
      <c r="E4098" s="6">
        <f>IF($B4089="","",ROUND(E4090+E4091+E4092+E4093+E4094+E4095,2))</f>
        <v/>
      </c>
      <c r="H4098" t="inlineStr">
        <is>
          <t>Total© 总计 (C)</t>
        </is>
      </c>
      <c r="I4098" s="6">
        <f>IF($B4089="","",ROUND(I4095+I4097,2))</f>
        <v/>
      </c>
      <c r="K4098" t="inlineStr">
        <is>
          <t>Total(D) 总计 (D)</t>
        </is>
      </c>
      <c r="L4098" s="6">
        <f>IF($B4089="","",ROUND(L4090+L4091+L4092+L4093+L4094+L4095,2))</f>
        <v/>
      </c>
    </row>
    <row r="4099">
      <c r="A4099" s="14" t="inlineStr">
        <is>
          <t>Total = Amount 2 + b/f petty cash  (金额2 + 上日备用金)</t>
        </is>
      </c>
      <c r="H4099" s="14" t="inlineStr">
        <is>
          <t>Total = Amount 2 + b/f petty cash  (金额2 + 上日备用金)</t>
        </is>
      </c>
    </row>
    <row r="4100">
      <c r="A4100" t="inlineStr">
        <is>
          <t>Different 差额</t>
        </is>
      </c>
      <c r="B4100" s="6">
        <f>IF($B4089="","",ROUND(B4098-E4098,2))</f>
        <v/>
      </c>
      <c r="D4100">
        <f>IF($B4089="","",IF(ABS(B4100)&gt;'Opening Balance'!$B$16,"ALERT 警报: Different over RM"&amp;'Opening Balance'!$B$16&amp;" 差额超过RM"&amp;'Opening Balance'!$B$16&amp;" - please check 请检查",IF(B4100=0,"Tied 平衡",IF(ABS(B4100)&lt;='Opening Balance'!$B$13,"Small difference 小额差额: adjusted on c/f petty cash 已调整备用金",IF(B4100&gt;0,"Short 短收: added to Misc Charges 已加入杂项费用","Over 多收: added to Cash Sales 已加入现金销售")))))</f>
        <v/>
      </c>
      <c r="H4100" t="inlineStr">
        <is>
          <t>Different 差额</t>
        </is>
      </c>
      <c r="I4100" s="6">
        <f>IF($B4089="","",ROUND(I4098-L4098,2))</f>
        <v/>
      </c>
    </row>
    <row r="4101"/>
    <row r="4102"/>
    <row r="4103">
      <c r="A4103" t="inlineStr">
        <is>
          <t>Date 日期</t>
        </is>
      </c>
      <c r="B4103" s="5">
        <f>IF('Daily Sale entry '!$A295="","",'Daily Sale entry '!$A295)</f>
        <v/>
      </c>
      <c r="H4103" t="inlineStr">
        <is>
          <t>After 调整后 (After)</t>
        </is>
      </c>
      <c r="I4103" s="5">
        <f>IF($B4103="","",B4103)</f>
        <v/>
      </c>
    </row>
    <row r="4104">
      <c r="A4104" t="inlineStr">
        <is>
          <t>Cash Sales 现金销售</t>
        </is>
      </c>
      <c r="B4104" s="6">
        <f>IF($B4103="","",'Daily Sale entry '!B295)</f>
        <v/>
      </c>
      <c r="D4104" t="inlineStr">
        <is>
          <t>c/f petty cash 今日备用金结转</t>
        </is>
      </c>
      <c r="E4104" s="6">
        <f>IF($B4103="","",'Daily Sale entry '!G295)</f>
        <v/>
      </c>
      <c r="H4104" t="inlineStr">
        <is>
          <t>Cash Sales 现金销售</t>
        </is>
      </c>
      <c r="I4104" s="6">
        <f>IF($B4103="","",IF(AND(ABS(B4114)&gt;'Opening Balance'!$B$13,B4114&lt;0),ROUND(B4104-B4114,2),B4104))</f>
        <v/>
      </c>
      <c r="K4104" t="inlineStr">
        <is>
          <t>c/f petty cash 今日备用金结转</t>
        </is>
      </c>
      <c r="L4104" s="6">
        <f>IF($B4103="","",IF(ABS(B4114)&lt;='Opening Balance'!$B$13,ROUND(E4104+B4114,2),E4104))</f>
        <v/>
      </c>
    </row>
    <row r="4105">
      <c r="A4105" t="inlineStr">
        <is>
          <t>Misc Charges 杂项费用</t>
        </is>
      </c>
      <c r="B4105" s="6">
        <f>IF($B4103="","",'Daily Sale entry '!C295)</f>
        <v/>
      </c>
      <c r="D4105" t="inlineStr">
        <is>
          <t>cash collection 现金收款</t>
        </is>
      </c>
      <c r="E4105" s="6">
        <f>IF($B4103="","",'Daily Sale entry '!H295)</f>
        <v/>
      </c>
      <c r="H4105" t="inlineStr">
        <is>
          <t>Misc Charges 杂项费用</t>
        </is>
      </c>
      <c r="I4105" s="6">
        <f>IF($B4103="","",IF(AND(ABS(B4114)&gt;'Opening Balance'!$B$13,B4114&gt;0),ROUND(B4105+B4114,2),B4105))</f>
        <v/>
      </c>
      <c r="K4105" t="inlineStr">
        <is>
          <t>cash collection 现金收款</t>
        </is>
      </c>
      <c r="L4105" s="6">
        <f>IF($B4103="","",E4105)</f>
        <v/>
      </c>
    </row>
    <row r="4106">
      <c r="A4106" s="1" t="inlineStr">
        <is>
          <t>Other Charges 其他费用</t>
        </is>
      </c>
      <c r="B4106" s="9">
        <f>IF($B4103="","",'Daily Sale entry '!D295)</f>
        <v/>
      </c>
      <c r="D4106" s="1" t="inlineStr">
        <is>
          <t>Cheque Collection 支票收款</t>
        </is>
      </c>
      <c r="E4106" s="9">
        <f>IF($B4103="","",'Daily Sale entry '!J295)</f>
        <v/>
      </c>
      <c r="H4106" s="1" t="inlineStr">
        <is>
          <t>Other Charges 其他费用</t>
        </is>
      </c>
      <c r="I4106" s="9">
        <f>IF($B4103="","",B4106)</f>
        <v/>
      </c>
      <c r="K4106" s="1" t="inlineStr">
        <is>
          <t>Cheque Collection 支票收款</t>
        </is>
      </c>
      <c r="L4106" s="9">
        <f>IF($B4103="","",E4106)</f>
        <v/>
      </c>
    </row>
    <row r="4107">
      <c r="A4107" s="10" t="inlineStr">
        <is>
          <t>Amount 金额  (Cash Sales - Misc - Other)</t>
        </is>
      </c>
      <c r="B4107" s="11">
        <f>IF($B4103="","",ROUND(B4104-B4105-B4106,2))</f>
        <v/>
      </c>
      <c r="D4107" s="12" t="inlineStr">
        <is>
          <t>TNG collection TNG收款</t>
        </is>
      </c>
      <c r="E4107" s="13">
        <f>IF($B4103="","",'Daily Sale entry '!K295)</f>
        <v/>
      </c>
      <c r="H4107" s="10" t="inlineStr">
        <is>
          <t>Amount 金额  (Cash Sales - Misc - Other)</t>
        </is>
      </c>
      <c r="I4107" s="11">
        <f>IF($B4103="","",ROUND(I4104-I4105-I4106,2))</f>
        <v/>
      </c>
      <c r="K4107" s="12" t="inlineStr">
        <is>
          <t>TNG collection TNG收款</t>
        </is>
      </c>
      <c r="L4107" s="13">
        <f>IF($B4103="","",E4107)</f>
        <v/>
      </c>
    </row>
    <row r="4108">
      <c r="A4108" t="inlineStr">
        <is>
          <t>Credit Collection 赊账收款</t>
        </is>
      </c>
      <c r="B4108" s="6">
        <f>IF($B4103="","",'Daily Sale entry '!E295)</f>
        <v/>
      </c>
      <c r="D4108" t="inlineStr">
        <is>
          <t>Advance Salary_M 预支薪水_M</t>
        </is>
      </c>
      <c r="E4108" s="6">
        <f>IF($B4103="","",'Daily Sale entry '!L295)</f>
        <v/>
      </c>
      <c r="H4108" t="inlineStr">
        <is>
          <t>Credit Collection 赊账收款</t>
        </is>
      </c>
      <c r="I4108" s="6">
        <f>IF($B4103="","",B4108)</f>
        <v/>
      </c>
      <c r="K4108" t="inlineStr">
        <is>
          <t>Advance Salary_M 预支薪水_M</t>
        </is>
      </c>
      <c r="L4108" s="6">
        <f>IF($B4103="","",E4108)</f>
        <v/>
      </c>
    </row>
    <row r="4109">
      <c r="A4109" s="10" t="inlineStr">
        <is>
          <t>Amount 2 金额2  (Amount + Credit Collection)</t>
        </is>
      </c>
      <c r="B4109" s="11">
        <f>IF($B4103="","",ROUND(B4107+B4108,2))</f>
        <v/>
      </c>
      <c r="D4109" t="inlineStr">
        <is>
          <t>Advance Salary_H 预支薪水_H</t>
        </is>
      </c>
      <c r="E4109" s="6">
        <f>IF($B4103="","",'Daily Sale entry '!M295)</f>
        <v/>
      </c>
      <c r="H4109" s="10" t="inlineStr">
        <is>
          <t>Amount 2 金额2  (Amount + Credit Collection)</t>
        </is>
      </c>
      <c r="I4109" s="11">
        <f>IF($B4103="","",ROUND(I4107+I4108,2))</f>
        <v/>
      </c>
      <c r="K4109" t="inlineStr">
        <is>
          <t>Advance Salary_H 预支薪水_H</t>
        </is>
      </c>
      <c r="L4109" s="6">
        <f>IF($B4103="","",E4109)</f>
        <v/>
      </c>
    </row>
    <row r="4110"/>
    <row r="4111">
      <c r="A4111" s="1" t="inlineStr">
        <is>
          <t>b/f petty cash 上日备用金结转</t>
        </is>
      </c>
      <c r="B4111" s="9">
        <f>IF($B4103="","",'Daily Sale entry '!F295)</f>
        <v/>
      </c>
      <c r="D4111" s="1" t="n"/>
      <c r="E4111" s="1" t="n"/>
      <c r="H4111" s="1" t="inlineStr">
        <is>
          <t>b/f petty cash 上日备用金结转</t>
        </is>
      </c>
      <c r="I4111" s="9">
        <f>IF($B4103="","",B4111)</f>
        <v/>
      </c>
      <c r="K4111" s="1" t="n"/>
      <c r="L4111" s="1" t="n"/>
    </row>
    <row r="4112">
      <c r="A4112" t="inlineStr">
        <is>
          <t>Total (A) 总计 (A)</t>
        </is>
      </c>
      <c r="B4112" s="6">
        <f>IF($B4103="","",ROUND(B4109+B4111,2))</f>
        <v/>
      </c>
      <c r="D4112" t="inlineStr">
        <is>
          <t>Total(B) 总计 (B)</t>
        </is>
      </c>
      <c r="E4112" s="6">
        <f>IF($B4103="","",ROUND(E4104+E4105+E4106+E4107+E4108+E4109,2))</f>
        <v/>
      </c>
      <c r="H4112" t="inlineStr">
        <is>
          <t>Total© 总计 (C)</t>
        </is>
      </c>
      <c r="I4112" s="6">
        <f>IF($B4103="","",ROUND(I4109+I4111,2))</f>
        <v/>
      </c>
      <c r="K4112" t="inlineStr">
        <is>
          <t>Total(D) 总计 (D)</t>
        </is>
      </c>
      <c r="L4112" s="6">
        <f>IF($B4103="","",ROUND(L4104+L4105+L4106+L4107+L4108+L4109,2))</f>
        <v/>
      </c>
    </row>
    <row r="4113">
      <c r="A4113" s="14" t="inlineStr">
        <is>
          <t>Total = Amount 2 + b/f petty cash  (金额2 + 上日备用金)</t>
        </is>
      </c>
      <c r="H4113" s="14" t="inlineStr">
        <is>
          <t>Total = Amount 2 + b/f petty cash  (金额2 + 上日备用金)</t>
        </is>
      </c>
    </row>
    <row r="4114">
      <c r="A4114" t="inlineStr">
        <is>
          <t>Different 差额</t>
        </is>
      </c>
      <c r="B4114" s="6">
        <f>IF($B4103="","",ROUND(B4112-E4112,2))</f>
        <v/>
      </c>
      <c r="D4114">
        <f>IF($B4103="","",IF(ABS(B4114)&gt;'Opening Balance'!$B$16,"ALERT 警报: Different over RM"&amp;'Opening Balance'!$B$16&amp;" 差额超过RM"&amp;'Opening Balance'!$B$16&amp;" - please check 请检查",IF(B4114=0,"Tied 平衡",IF(ABS(B4114)&lt;='Opening Balance'!$B$13,"Small difference 小额差额: adjusted on c/f petty cash 已调整备用金",IF(B4114&gt;0,"Short 短收: added to Misc Charges 已加入杂项费用","Over 多收: added to Cash Sales 已加入现金销售")))))</f>
        <v/>
      </c>
      <c r="H4114" t="inlineStr">
        <is>
          <t>Different 差额</t>
        </is>
      </c>
      <c r="I4114" s="6">
        <f>IF($B4103="","",ROUND(I4112-L4112,2))</f>
        <v/>
      </c>
    </row>
    <row r="4115"/>
    <row r="4116"/>
    <row r="4117">
      <c r="A4117" t="inlineStr">
        <is>
          <t>Date 日期</t>
        </is>
      </c>
      <c r="B4117" s="5">
        <f>IF('Daily Sale entry '!$A296="","",'Daily Sale entry '!$A296)</f>
        <v/>
      </c>
      <c r="H4117" t="inlineStr">
        <is>
          <t>After 调整后 (After)</t>
        </is>
      </c>
      <c r="I4117" s="5">
        <f>IF($B4117="","",B4117)</f>
        <v/>
      </c>
    </row>
    <row r="4118">
      <c r="A4118" t="inlineStr">
        <is>
          <t>Cash Sales 现金销售</t>
        </is>
      </c>
      <c r="B4118" s="6">
        <f>IF($B4117="","",'Daily Sale entry '!B296)</f>
        <v/>
      </c>
      <c r="D4118" t="inlineStr">
        <is>
          <t>c/f petty cash 今日备用金结转</t>
        </is>
      </c>
      <c r="E4118" s="6">
        <f>IF($B4117="","",'Daily Sale entry '!G296)</f>
        <v/>
      </c>
      <c r="H4118" t="inlineStr">
        <is>
          <t>Cash Sales 现金销售</t>
        </is>
      </c>
      <c r="I4118" s="6">
        <f>IF($B4117="","",IF(AND(ABS(B4128)&gt;'Opening Balance'!$B$13,B4128&lt;0),ROUND(B4118-B4128,2),B4118))</f>
        <v/>
      </c>
      <c r="K4118" t="inlineStr">
        <is>
          <t>c/f petty cash 今日备用金结转</t>
        </is>
      </c>
      <c r="L4118" s="6">
        <f>IF($B4117="","",IF(ABS(B4128)&lt;='Opening Balance'!$B$13,ROUND(E4118+B4128,2),E4118))</f>
        <v/>
      </c>
    </row>
    <row r="4119">
      <c r="A4119" t="inlineStr">
        <is>
          <t>Misc Charges 杂项费用</t>
        </is>
      </c>
      <c r="B4119" s="6">
        <f>IF($B4117="","",'Daily Sale entry '!C296)</f>
        <v/>
      </c>
      <c r="D4119" t="inlineStr">
        <is>
          <t>cash collection 现金收款</t>
        </is>
      </c>
      <c r="E4119" s="6">
        <f>IF($B4117="","",'Daily Sale entry '!H296)</f>
        <v/>
      </c>
      <c r="H4119" t="inlineStr">
        <is>
          <t>Misc Charges 杂项费用</t>
        </is>
      </c>
      <c r="I4119" s="6">
        <f>IF($B4117="","",IF(AND(ABS(B4128)&gt;'Opening Balance'!$B$13,B4128&gt;0),ROUND(B4119+B4128,2),B4119))</f>
        <v/>
      </c>
      <c r="K4119" t="inlineStr">
        <is>
          <t>cash collection 现金收款</t>
        </is>
      </c>
      <c r="L4119" s="6">
        <f>IF($B4117="","",E4119)</f>
        <v/>
      </c>
    </row>
    <row r="4120">
      <c r="A4120" s="1" t="inlineStr">
        <is>
          <t>Other Charges 其他费用</t>
        </is>
      </c>
      <c r="B4120" s="9">
        <f>IF($B4117="","",'Daily Sale entry '!D296)</f>
        <v/>
      </c>
      <c r="D4120" s="1" t="inlineStr">
        <is>
          <t>Cheque Collection 支票收款</t>
        </is>
      </c>
      <c r="E4120" s="9">
        <f>IF($B4117="","",'Daily Sale entry '!J296)</f>
        <v/>
      </c>
      <c r="H4120" s="1" t="inlineStr">
        <is>
          <t>Other Charges 其他费用</t>
        </is>
      </c>
      <c r="I4120" s="9">
        <f>IF($B4117="","",B4120)</f>
        <v/>
      </c>
      <c r="K4120" s="1" t="inlineStr">
        <is>
          <t>Cheque Collection 支票收款</t>
        </is>
      </c>
      <c r="L4120" s="9">
        <f>IF($B4117="","",E4120)</f>
        <v/>
      </c>
    </row>
    <row r="4121">
      <c r="A4121" s="10" t="inlineStr">
        <is>
          <t>Amount 金额  (Cash Sales - Misc - Other)</t>
        </is>
      </c>
      <c r="B4121" s="11">
        <f>IF($B4117="","",ROUND(B4118-B4119-B4120,2))</f>
        <v/>
      </c>
      <c r="D4121" s="12" t="inlineStr">
        <is>
          <t>TNG collection TNG收款</t>
        </is>
      </c>
      <c r="E4121" s="13">
        <f>IF($B4117="","",'Daily Sale entry '!K296)</f>
        <v/>
      </c>
      <c r="H4121" s="10" t="inlineStr">
        <is>
          <t>Amount 金额  (Cash Sales - Misc - Other)</t>
        </is>
      </c>
      <c r="I4121" s="11">
        <f>IF($B4117="","",ROUND(I4118-I4119-I4120,2))</f>
        <v/>
      </c>
      <c r="K4121" s="12" t="inlineStr">
        <is>
          <t>TNG collection TNG收款</t>
        </is>
      </c>
      <c r="L4121" s="13">
        <f>IF($B4117="","",E4121)</f>
        <v/>
      </c>
    </row>
    <row r="4122">
      <c r="A4122" t="inlineStr">
        <is>
          <t>Credit Collection 赊账收款</t>
        </is>
      </c>
      <c r="B4122" s="6">
        <f>IF($B4117="","",'Daily Sale entry '!E296)</f>
        <v/>
      </c>
      <c r="D4122" t="inlineStr">
        <is>
          <t>Advance Salary_M 预支薪水_M</t>
        </is>
      </c>
      <c r="E4122" s="6">
        <f>IF($B4117="","",'Daily Sale entry '!L296)</f>
        <v/>
      </c>
      <c r="H4122" t="inlineStr">
        <is>
          <t>Credit Collection 赊账收款</t>
        </is>
      </c>
      <c r="I4122" s="6">
        <f>IF($B4117="","",B4122)</f>
        <v/>
      </c>
      <c r="K4122" t="inlineStr">
        <is>
          <t>Advance Salary_M 预支薪水_M</t>
        </is>
      </c>
      <c r="L4122" s="6">
        <f>IF($B4117="","",E4122)</f>
        <v/>
      </c>
    </row>
    <row r="4123">
      <c r="A4123" s="10" t="inlineStr">
        <is>
          <t>Amount 2 金额2  (Amount + Credit Collection)</t>
        </is>
      </c>
      <c r="B4123" s="11">
        <f>IF($B4117="","",ROUND(B4121+B4122,2))</f>
        <v/>
      </c>
      <c r="D4123" t="inlineStr">
        <is>
          <t>Advance Salary_H 预支薪水_H</t>
        </is>
      </c>
      <c r="E4123" s="6">
        <f>IF($B4117="","",'Daily Sale entry '!M296)</f>
        <v/>
      </c>
      <c r="H4123" s="10" t="inlineStr">
        <is>
          <t>Amount 2 金额2  (Amount + Credit Collection)</t>
        </is>
      </c>
      <c r="I4123" s="11">
        <f>IF($B4117="","",ROUND(I4121+I4122,2))</f>
        <v/>
      </c>
      <c r="K4123" t="inlineStr">
        <is>
          <t>Advance Salary_H 预支薪水_H</t>
        </is>
      </c>
      <c r="L4123" s="6">
        <f>IF($B4117="","",E4123)</f>
        <v/>
      </c>
    </row>
    <row r="4124"/>
    <row r="4125">
      <c r="A4125" s="1" t="inlineStr">
        <is>
          <t>b/f petty cash 上日备用金结转</t>
        </is>
      </c>
      <c r="B4125" s="9">
        <f>IF($B4117="","",'Daily Sale entry '!F296)</f>
        <v/>
      </c>
      <c r="D4125" s="1" t="n"/>
      <c r="E4125" s="1" t="n"/>
      <c r="H4125" s="1" t="inlineStr">
        <is>
          <t>b/f petty cash 上日备用金结转</t>
        </is>
      </c>
      <c r="I4125" s="9">
        <f>IF($B4117="","",B4125)</f>
        <v/>
      </c>
      <c r="K4125" s="1" t="n"/>
      <c r="L4125" s="1" t="n"/>
    </row>
    <row r="4126">
      <c r="A4126" t="inlineStr">
        <is>
          <t>Total (A) 总计 (A)</t>
        </is>
      </c>
      <c r="B4126" s="6">
        <f>IF($B4117="","",ROUND(B4123+B4125,2))</f>
        <v/>
      </c>
      <c r="D4126" t="inlineStr">
        <is>
          <t>Total(B) 总计 (B)</t>
        </is>
      </c>
      <c r="E4126" s="6">
        <f>IF($B4117="","",ROUND(E4118+E4119+E4120+E4121+E4122+E4123,2))</f>
        <v/>
      </c>
      <c r="H4126" t="inlineStr">
        <is>
          <t>Total© 总计 (C)</t>
        </is>
      </c>
      <c r="I4126" s="6">
        <f>IF($B4117="","",ROUND(I4123+I4125,2))</f>
        <v/>
      </c>
      <c r="K4126" t="inlineStr">
        <is>
          <t>Total(D) 总计 (D)</t>
        </is>
      </c>
      <c r="L4126" s="6">
        <f>IF($B4117="","",ROUND(L4118+L4119+L4120+L4121+L4122+L4123,2))</f>
        <v/>
      </c>
    </row>
    <row r="4127">
      <c r="A4127" s="14" t="inlineStr">
        <is>
          <t>Total = Amount 2 + b/f petty cash  (金额2 + 上日备用金)</t>
        </is>
      </c>
      <c r="H4127" s="14" t="inlineStr">
        <is>
          <t>Total = Amount 2 + b/f petty cash  (金额2 + 上日备用金)</t>
        </is>
      </c>
    </row>
    <row r="4128">
      <c r="A4128" t="inlineStr">
        <is>
          <t>Different 差额</t>
        </is>
      </c>
      <c r="B4128" s="6">
        <f>IF($B4117="","",ROUND(B4126-E4126,2))</f>
        <v/>
      </c>
      <c r="D4128">
        <f>IF($B4117="","",IF(ABS(B4128)&gt;'Opening Balance'!$B$16,"ALERT 警报: Different over RM"&amp;'Opening Balance'!$B$16&amp;" 差额超过RM"&amp;'Opening Balance'!$B$16&amp;" - please check 请检查",IF(B4128=0,"Tied 平衡",IF(ABS(B4128)&lt;='Opening Balance'!$B$13,"Small difference 小额差额: adjusted on c/f petty cash 已调整备用金",IF(B4128&gt;0,"Short 短收: added to Misc Charges 已加入杂项费用","Over 多收: added to Cash Sales 已加入现金销售")))))</f>
        <v/>
      </c>
      <c r="H4128" t="inlineStr">
        <is>
          <t>Different 差额</t>
        </is>
      </c>
      <c r="I4128" s="6">
        <f>IF($B4117="","",ROUND(I4126-L4126,2))</f>
        <v/>
      </c>
    </row>
    <row r="4129"/>
    <row r="4130"/>
    <row r="4131">
      <c r="A4131" t="inlineStr">
        <is>
          <t>Date 日期</t>
        </is>
      </c>
      <c r="B4131" s="5">
        <f>IF('Daily Sale entry '!$A297="","",'Daily Sale entry '!$A297)</f>
        <v/>
      </c>
      <c r="H4131" t="inlineStr">
        <is>
          <t>After 调整后 (After)</t>
        </is>
      </c>
      <c r="I4131" s="5">
        <f>IF($B4131="","",B4131)</f>
        <v/>
      </c>
    </row>
    <row r="4132">
      <c r="A4132" t="inlineStr">
        <is>
          <t>Cash Sales 现金销售</t>
        </is>
      </c>
      <c r="B4132" s="6">
        <f>IF($B4131="","",'Daily Sale entry '!B297)</f>
        <v/>
      </c>
      <c r="D4132" t="inlineStr">
        <is>
          <t>c/f petty cash 今日备用金结转</t>
        </is>
      </c>
      <c r="E4132" s="6">
        <f>IF($B4131="","",'Daily Sale entry '!G297)</f>
        <v/>
      </c>
      <c r="H4132" t="inlineStr">
        <is>
          <t>Cash Sales 现金销售</t>
        </is>
      </c>
      <c r="I4132" s="6">
        <f>IF($B4131="","",IF(AND(ABS(B4142)&gt;'Opening Balance'!$B$13,B4142&lt;0),ROUND(B4132-B4142,2),B4132))</f>
        <v/>
      </c>
      <c r="K4132" t="inlineStr">
        <is>
          <t>c/f petty cash 今日备用金结转</t>
        </is>
      </c>
      <c r="L4132" s="6">
        <f>IF($B4131="","",IF(ABS(B4142)&lt;='Opening Balance'!$B$13,ROUND(E4132+B4142,2),E4132))</f>
        <v/>
      </c>
    </row>
    <row r="4133">
      <c r="A4133" t="inlineStr">
        <is>
          <t>Misc Charges 杂项费用</t>
        </is>
      </c>
      <c r="B4133" s="6">
        <f>IF($B4131="","",'Daily Sale entry '!C297)</f>
        <v/>
      </c>
      <c r="D4133" t="inlineStr">
        <is>
          <t>cash collection 现金收款</t>
        </is>
      </c>
      <c r="E4133" s="6">
        <f>IF($B4131="","",'Daily Sale entry '!H297)</f>
        <v/>
      </c>
      <c r="H4133" t="inlineStr">
        <is>
          <t>Misc Charges 杂项费用</t>
        </is>
      </c>
      <c r="I4133" s="6">
        <f>IF($B4131="","",IF(AND(ABS(B4142)&gt;'Opening Balance'!$B$13,B4142&gt;0),ROUND(B4133+B4142,2),B4133))</f>
        <v/>
      </c>
      <c r="K4133" t="inlineStr">
        <is>
          <t>cash collection 现金收款</t>
        </is>
      </c>
      <c r="L4133" s="6">
        <f>IF($B4131="","",E4133)</f>
        <v/>
      </c>
    </row>
    <row r="4134">
      <c r="A4134" s="1" t="inlineStr">
        <is>
          <t>Other Charges 其他费用</t>
        </is>
      </c>
      <c r="B4134" s="9">
        <f>IF($B4131="","",'Daily Sale entry '!D297)</f>
        <v/>
      </c>
      <c r="D4134" s="1" t="inlineStr">
        <is>
          <t>Cheque Collection 支票收款</t>
        </is>
      </c>
      <c r="E4134" s="9">
        <f>IF($B4131="","",'Daily Sale entry '!J297)</f>
        <v/>
      </c>
      <c r="H4134" s="1" t="inlineStr">
        <is>
          <t>Other Charges 其他费用</t>
        </is>
      </c>
      <c r="I4134" s="9">
        <f>IF($B4131="","",B4134)</f>
        <v/>
      </c>
      <c r="K4134" s="1" t="inlineStr">
        <is>
          <t>Cheque Collection 支票收款</t>
        </is>
      </c>
      <c r="L4134" s="9">
        <f>IF($B4131="","",E4134)</f>
        <v/>
      </c>
    </row>
    <row r="4135">
      <c r="A4135" s="10" t="inlineStr">
        <is>
          <t>Amount 金额  (Cash Sales - Misc - Other)</t>
        </is>
      </c>
      <c r="B4135" s="11">
        <f>IF($B4131="","",ROUND(B4132-B4133-B4134,2))</f>
        <v/>
      </c>
      <c r="D4135" s="12" t="inlineStr">
        <is>
          <t>TNG collection TNG收款</t>
        </is>
      </c>
      <c r="E4135" s="13">
        <f>IF($B4131="","",'Daily Sale entry '!K297)</f>
        <v/>
      </c>
      <c r="H4135" s="10" t="inlineStr">
        <is>
          <t>Amount 金额  (Cash Sales - Misc - Other)</t>
        </is>
      </c>
      <c r="I4135" s="11">
        <f>IF($B4131="","",ROUND(I4132-I4133-I4134,2))</f>
        <v/>
      </c>
      <c r="K4135" s="12" t="inlineStr">
        <is>
          <t>TNG collection TNG收款</t>
        </is>
      </c>
      <c r="L4135" s="13">
        <f>IF($B4131="","",E4135)</f>
        <v/>
      </c>
    </row>
    <row r="4136">
      <c r="A4136" t="inlineStr">
        <is>
          <t>Credit Collection 赊账收款</t>
        </is>
      </c>
      <c r="B4136" s="6">
        <f>IF($B4131="","",'Daily Sale entry '!E297)</f>
        <v/>
      </c>
      <c r="D4136" t="inlineStr">
        <is>
          <t>Advance Salary_M 预支薪水_M</t>
        </is>
      </c>
      <c r="E4136" s="6">
        <f>IF($B4131="","",'Daily Sale entry '!L297)</f>
        <v/>
      </c>
      <c r="H4136" t="inlineStr">
        <is>
          <t>Credit Collection 赊账收款</t>
        </is>
      </c>
      <c r="I4136" s="6">
        <f>IF($B4131="","",B4136)</f>
        <v/>
      </c>
      <c r="K4136" t="inlineStr">
        <is>
          <t>Advance Salary_M 预支薪水_M</t>
        </is>
      </c>
      <c r="L4136" s="6">
        <f>IF($B4131="","",E4136)</f>
        <v/>
      </c>
    </row>
    <row r="4137">
      <c r="A4137" s="10" t="inlineStr">
        <is>
          <t>Amount 2 金额2  (Amount + Credit Collection)</t>
        </is>
      </c>
      <c r="B4137" s="11">
        <f>IF($B4131="","",ROUND(B4135+B4136,2))</f>
        <v/>
      </c>
      <c r="D4137" t="inlineStr">
        <is>
          <t>Advance Salary_H 预支薪水_H</t>
        </is>
      </c>
      <c r="E4137" s="6">
        <f>IF($B4131="","",'Daily Sale entry '!M297)</f>
        <v/>
      </c>
      <c r="H4137" s="10" t="inlineStr">
        <is>
          <t>Amount 2 金额2  (Amount + Credit Collection)</t>
        </is>
      </c>
      <c r="I4137" s="11">
        <f>IF($B4131="","",ROUND(I4135+I4136,2))</f>
        <v/>
      </c>
      <c r="K4137" t="inlineStr">
        <is>
          <t>Advance Salary_H 预支薪水_H</t>
        </is>
      </c>
      <c r="L4137" s="6">
        <f>IF($B4131="","",E4137)</f>
        <v/>
      </c>
    </row>
    <row r="4138"/>
    <row r="4139">
      <c r="A4139" s="1" t="inlineStr">
        <is>
          <t>b/f petty cash 上日备用金结转</t>
        </is>
      </c>
      <c r="B4139" s="9">
        <f>IF($B4131="","",'Daily Sale entry '!F297)</f>
        <v/>
      </c>
      <c r="D4139" s="1" t="n"/>
      <c r="E4139" s="1" t="n"/>
      <c r="H4139" s="1" t="inlineStr">
        <is>
          <t>b/f petty cash 上日备用金结转</t>
        </is>
      </c>
      <c r="I4139" s="9">
        <f>IF($B4131="","",B4139)</f>
        <v/>
      </c>
      <c r="K4139" s="1" t="n"/>
      <c r="L4139" s="1" t="n"/>
    </row>
    <row r="4140">
      <c r="A4140" t="inlineStr">
        <is>
          <t>Total (A) 总计 (A)</t>
        </is>
      </c>
      <c r="B4140" s="6">
        <f>IF($B4131="","",ROUND(B4137+B4139,2))</f>
        <v/>
      </c>
      <c r="D4140" t="inlineStr">
        <is>
          <t>Total(B) 总计 (B)</t>
        </is>
      </c>
      <c r="E4140" s="6">
        <f>IF($B4131="","",ROUND(E4132+E4133+E4134+E4135+E4136+E4137,2))</f>
        <v/>
      </c>
      <c r="H4140" t="inlineStr">
        <is>
          <t>Total© 总计 (C)</t>
        </is>
      </c>
      <c r="I4140" s="6">
        <f>IF($B4131="","",ROUND(I4137+I4139,2))</f>
        <v/>
      </c>
      <c r="K4140" t="inlineStr">
        <is>
          <t>Total(D) 总计 (D)</t>
        </is>
      </c>
      <c r="L4140" s="6">
        <f>IF($B4131="","",ROUND(L4132+L4133+L4134+L4135+L4136+L4137,2))</f>
        <v/>
      </c>
    </row>
    <row r="4141">
      <c r="A4141" s="14" t="inlineStr">
        <is>
          <t>Total = Amount 2 + b/f petty cash  (金额2 + 上日备用金)</t>
        </is>
      </c>
      <c r="H4141" s="14" t="inlineStr">
        <is>
          <t>Total = Amount 2 + b/f petty cash  (金额2 + 上日备用金)</t>
        </is>
      </c>
    </row>
    <row r="4142">
      <c r="A4142" t="inlineStr">
        <is>
          <t>Different 差额</t>
        </is>
      </c>
      <c r="B4142" s="6">
        <f>IF($B4131="","",ROUND(B4140-E4140,2))</f>
        <v/>
      </c>
      <c r="D4142">
        <f>IF($B4131="","",IF(ABS(B4142)&gt;'Opening Balance'!$B$16,"ALERT 警报: Different over RM"&amp;'Opening Balance'!$B$16&amp;" 差额超过RM"&amp;'Opening Balance'!$B$16&amp;" - please check 请检查",IF(B4142=0,"Tied 平衡",IF(ABS(B4142)&lt;='Opening Balance'!$B$13,"Small difference 小额差额: adjusted on c/f petty cash 已调整备用金",IF(B4142&gt;0,"Short 短收: added to Misc Charges 已加入杂项费用","Over 多收: added to Cash Sales 已加入现金销售")))))</f>
        <v/>
      </c>
      <c r="H4142" t="inlineStr">
        <is>
          <t>Different 差额</t>
        </is>
      </c>
      <c r="I4142" s="6">
        <f>IF($B4131="","",ROUND(I4140-L4140,2))</f>
        <v/>
      </c>
    </row>
    <row r="4143"/>
    <row r="4144"/>
    <row r="4145">
      <c r="A4145" t="inlineStr">
        <is>
          <t>Date 日期</t>
        </is>
      </c>
      <c r="B4145" s="5">
        <f>IF('Daily Sale entry '!$A298="","",'Daily Sale entry '!$A298)</f>
        <v/>
      </c>
      <c r="H4145" t="inlineStr">
        <is>
          <t>After 调整后 (After)</t>
        </is>
      </c>
      <c r="I4145" s="5">
        <f>IF($B4145="","",B4145)</f>
        <v/>
      </c>
    </row>
    <row r="4146">
      <c r="A4146" t="inlineStr">
        <is>
          <t>Cash Sales 现金销售</t>
        </is>
      </c>
      <c r="B4146" s="6">
        <f>IF($B4145="","",'Daily Sale entry '!B298)</f>
        <v/>
      </c>
      <c r="D4146" t="inlineStr">
        <is>
          <t>c/f petty cash 今日备用金结转</t>
        </is>
      </c>
      <c r="E4146" s="6">
        <f>IF($B4145="","",'Daily Sale entry '!G298)</f>
        <v/>
      </c>
      <c r="H4146" t="inlineStr">
        <is>
          <t>Cash Sales 现金销售</t>
        </is>
      </c>
      <c r="I4146" s="6">
        <f>IF($B4145="","",IF(AND(ABS(B4156)&gt;'Opening Balance'!$B$13,B4156&lt;0),ROUND(B4146-B4156,2),B4146))</f>
        <v/>
      </c>
      <c r="K4146" t="inlineStr">
        <is>
          <t>c/f petty cash 今日备用金结转</t>
        </is>
      </c>
      <c r="L4146" s="6">
        <f>IF($B4145="","",IF(ABS(B4156)&lt;='Opening Balance'!$B$13,ROUND(E4146+B4156,2),E4146))</f>
        <v/>
      </c>
    </row>
    <row r="4147">
      <c r="A4147" t="inlineStr">
        <is>
          <t>Misc Charges 杂项费用</t>
        </is>
      </c>
      <c r="B4147" s="6">
        <f>IF($B4145="","",'Daily Sale entry '!C298)</f>
        <v/>
      </c>
      <c r="D4147" t="inlineStr">
        <is>
          <t>cash collection 现金收款</t>
        </is>
      </c>
      <c r="E4147" s="6">
        <f>IF($B4145="","",'Daily Sale entry '!H298)</f>
        <v/>
      </c>
      <c r="H4147" t="inlineStr">
        <is>
          <t>Misc Charges 杂项费用</t>
        </is>
      </c>
      <c r="I4147" s="6">
        <f>IF($B4145="","",IF(AND(ABS(B4156)&gt;'Opening Balance'!$B$13,B4156&gt;0),ROUND(B4147+B4156,2),B4147))</f>
        <v/>
      </c>
      <c r="K4147" t="inlineStr">
        <is>
          <t>cash collection 现金收款</t>
        </is>
      </c>
      <c r="L4147" s="6">
        <f>IF($B4145="","",E4147)</f>
        <v/>
      </c>
    </row>
    <row r="4148">
      <c r="A4148" s="1" t="inlineStr">
        <is>
          <t>Other Charges 其他费用</t>
        </is>
      </c>
      <c r="B4148" s="9">
        <f>IF($B4145="","",'Daily Sale entry '!D298)</f>
        <v/>
      </c>
      <c r="D4148" s="1" t="inlineStr">
        <is>
          <t>Cheque Collection 支票收款</t>
        </is>
      </c>
      <c r="E4148" s="9">
        <f>IF($B4145="","",'Daily Sale entry '!J298)</f>
        <v/>
      </c>
      <c r="H4148" s="1" t="inlineStr">
        <is>
          <t>Other Charges 其他费用</t>
        </is>
      </c>
      <c r="I4148" s="9">
        <f>IF($B4145="","",B4148)</f>
        <v/>
      </c>
      <c r="K4148" s="1" t="inlineStr">
        <is>
          <t>Cheque Collection 支票收款</t>
        </is>
      </c>
      <c r="L4148" s="9">
        <f>IF($B4145="","",E4148)</f>
        <v/>
      </c>
    </row>
    <row r="4149">
      <c r="A4149" s="10" t="inlineStr">
        <is>
          <t>Amount 金额  (Cash Sales - Misc - Other)</t>
        </is>
      </c>
      <c r="B4149" s="11">
        <f>IF($B4145="","",ROUND(B4146-B4147-B4148,2))</f>
        <v/>
      </c>
      <c r="D4149" s="12" t="inlineStr">
        <is>
          <t>TNG collection TNG收款</t>
        </is>
      </c>
      <c r="E4149" s="13">
        <f>IF($B4145="","",'Daily Sale entry '!K298)</f>
        <v/>
      </c>
      <c r="H4149" s="10" t="inlineStr">
        <is>
          <t>Amount 金额  (Cash Sales - Misc - Other)</t>
        </is>
      </c>
      <c r="I4149" s="11">
        <f>IF($B4145="","",ROUND(I4146-I4147-I4148,2))</f>
        <v/>
      </c>
      <c r="K4149" s="12" t="inlineStr">
        <is>
          <t>TNG collection TNG收款</t>
        </is>
      </c>
      <c r="L4149" s="13">
        <f>IF($B4145="","",E4149)</f>
        <v/>
      </c>
    </row>
    <row r="4150">
      <c r="A4150" t="inlineStr">
        <is>
          <t>Credit Collection 赊账收款</t>
        </is>
      </c>
      <c r="B4150" s="6">
        <f>IF($B4145="","",'Daily Sale entry '!E298)</f>
        <v/>
      </c>
      <c r="D4150" t="inlineStr">
        <is>
          <t>Advance Salary_M 预支薪水_M</t>
        </is>
      </c>
      <c r="E4150" s="6">
        <f>IF($B4145="","",'Daily Sale entry '!L298)</f>
        <v/>
      </c>
      <c r="H4150" t="inlineStr">
        <is>
          <t>Credit Collection 赊账收款</t>
        </is>
      </c>
      <c r="I4150" s="6">
        <f>IF($B4145="","",B4150)</f>
        <v/>
      </c>
      <c r="K4150" t="inlineStr">
        <is>
          <t>Advance Salary_M 预支薪水_M</t>
        </is>
      </c>
      <c r="L4150" s="6">
        <f>IF($B4145="","",E4150)</f>
        <v/>
      </c>
    </row>
    <row r="4151">
      <c r="A4151" s="10" t="inlineStr">
        <is>
          <t>Amount 2 金额2  (Amount + Credit Collection)</t>
        </is>
      </c>
      <c r="B4151" s="11">
        <f>IF($B4145="","",ROUND(B4149+B4150,2))</f>
        <v/>
      </c>
      <c r="D4151" t="inlineStr">
        <is>
          <t>Advance Salary_H 预支薪水_H</t>
        </is>
      </c>
      <c r="E4151" s="6">
        <f>IF($B4145="","",'Daily Sale entry '!M298)</f>
        <v/>
      </c>
      <c r="H4151" s="10" t="inlineStr">
        <is>
          <t>Amount 2 金额2  (Amount + Credit Collection)</t>
        </is>
      </c>
      <c r="I4151" s="11">
        <f>IF($B4145="","",ROUND(I4149+I4150,2))</f>
        <v/>
      </c>
      <c r="K4151" t="inlineStr">
        <is>
          <t>Advance Salary_H 预支薪水_H</t>
        </is>
      </c>
      <c r="L4151" s="6">
        <f>IF($B4145="","",E4151)</f>
        <v/>
      </c>
    </row>
    <row r="4152"/>
    <row r="4153">
      <c r="A4153" s="1" t="inlineStr">
        <is>
          <t>b/f petty cash 上日备用金结转</t>
        </is>
      </c>
      <c r="B4153" s="9">
        <f>IF($B4145="","",'Daily Sale entry '!F298)</f>
        <v/>
      </c>
      <c r="D4153" s="1" t="n"/>
      <c r="E4153" s="1" t="n"/>
      <c r="H4153" s="1" t="inlineStr">
        <is>
          <t>b/f petty cash 上日备用金结转</t>
        </is>
      </c>
      <c r="I4153" s="9">
        <f>IF($B4145="","",B4153)</f>
        <v/>
      </c>
      <c r="K4153" s="1" t="n"/>
      <c r="L4153" s="1" t="n"/>
    </row>
    <row r="4154">
      <c r="A4154" t="inlineStr">
        <is>
          <t>Total (A) 总计 (A)</t>
        </is>
      </c>
      <c r="B4154" s="6">
        <f>IF($B4145="","",ROUND(B4151+B4153,2))</f>
        <v/>
      </c>
      <c r="D4154" t="inlineStr">
        <is>
          <t>Total(B) 总计 (B)</t>
        </is>
      </c>
      <c r="E4154" s="6">
        <f>IF($B4145="","",ROUND(E4146+E4147+E4148+E4149+E4150+E4151,2))</f>
        <v/>
      </c>
      <c r="H4154" t="inlineStr">
        <is>
          <t>Total© 总计 (C)</t>
        </is>
      </c>
      <c r="I4154" s="6">
        <f>IF($B4145="","",ROUND(I4151+I4153,2))</f>
        <v/>
      </c>
      <c r="K4154" t="inlineStr">
        <is>
          <t>Total(D) 总计 (D)</t>
        </is>
      </c>
      <c r="L4154" s="6">
        <f>IF($B4145="","",ROUND(L4146+L4147+L4148+L4149+L4150+L4151,2))</f>
        <v/>
      </c>
    </row>
    <row r="4155">
      <c r="A4155" s="14" t="inlineStr">
        <is>
          <t>Total = Amount 2 + b/f petty cash  (金额2 + 上日备用金)</t>
        </is>
      </c>
      <c r="H4155" s="14" t="inlineStr">
        <is>
          <t>Total = Amount 2 + b/f petty cash  (金额2 + 上日备用金)</t>
        </is>
      </c>
    </row>
    <row r="4156">
      <c r="A4156" t="inlineStr">
        <is>
          <t>Different 差额</t>
        </is>
      </c>
      <c r="B4156" s="6">
        <f>IF($B4145="","",ROUND(B4154-E4154,2))</f>
        <v/>
      </c>
      <c r="D4156">
        <f>IF($B4145="","",IF(ABS(B4156)&gt;'Opening Balance'!$B$16,"ALERT 警报: Different over RM"&amp;'Opening Balance'!$B$16&amp;" 差额超过RM"&amp;'Opening Balance'!$B$16&amp;" - please check 请检查",IF(B4156=0,"Tied 平衡",IF(ABS(B4156)&lt;='Opening Balance'!$B$13,"Small difference 小额差额: adjusted on c/f petty cash 已调整备用金",IF(B4156&gt;0,"Short 短收: added to Misc Charges 已加入杂项费用","Over 多收: added to Cash Sales 已加入现金销售")))))</f>
        <v/>
      </c>
      <c r="H4156" t="inlineStr">
        <is>
          <t>Different 差额</t>
        </is>
      </c>
      <c r="I4156" s="6">
        <f>IF($B4145="","",ROUND(I4154-L4154,2))</f>
        <v/>
      </c>
    </row>
    <row r="4157"/>
    <row r="4158"/>
    <row r="4159">
      <c r="A4159" t="inlineStr">
        <is>
          <t>Date 日期</t>
        </is>
      </c>
      <c r="B4159" s="5">
        <f>IF('Daily Sale entry '!$A299="","",'Daily Sale entry '!$A299)</f>
        <v/>
      </c>
      <c r="H4159" t="inlineStr">
        <is>
          <t>After 调整后 (After)</t>
        </is>
      </c>
      <c r="I4159" s="5">
        <f>IF($B4159="","",B4159)</f>
        <v/>
      </c>
    </row>
    <row r="4160">
      <c r="A4160" t="inlineStr">
        <is>
          <t>Cash Sales 现金销售</t>
        </is>
      </c>
      <c r="B4160" s="6">
        <f>IF($B4159="","",'Daily Sale entry '!B299)</f>
        <v/>
      </c>
      <c r="D4160" t="inlineStr">
        <is>
          <t>c/f petty cash 今日备用金结转</t>
        </is>
      </c>
      <c r="E4160" s="6">
        <f>IF($B4159="","",'Daily Sale entry '!G299)</f>
        <v/>
      </c>
      <c r="H4160" t="inlineStr">
        <is>
          <t>Cash Sales 现金销售</t>
        </is>
      </c>
      <c r="I4160" s="6">
        <f>IF($B4159="","",IF(AND(ABS(B4170)&gt;'Opening Balance'!$B$13,B4170&lt;0),ROUND(B4160-B4170,2),B4160))</f>
        <v/>
      </c>
      <c r="K4160" t="inlineStr">
        <is>
          <t>c/f petty cash 今日备用金结转</t>
        </is>
      </c>
      <c r="L4160" s="6">
        <f>IF($B4159="","",IF(ABS(B4170)&lt;='Opening Balance'!$B$13,ROUND(E4160+B4170,2),E4160))</f>
        <v/>
      </c>
    </row>
    <row r="4161">
      <c r="A4161" t="inlineStr">
        <is>
          <t>Misc Charges 杂项费用</t>
        </is>
      </c>
      <c r="B4161" s="6">
        <f>IF($B4159="","",'Daily Sale entry '!C299)</f>
        <v/>
      </c>
      <c r="D4161" t="inlineStr">
        <is>
          <t>cash collection 现金收款</t>
        </is>
      </c>
      <c r="E4161" s="6">
        <f>IF($B4159="","",'Daily Sale entry '!H299)</f>
        <v/>
      </c>
      <c r="H4161" t="inlineStr">
        <is>
          <t>Misc Charges 杂项费用</t>
        </is>
      </c>
      <c r="I4161" s="6">
        <f>IF($B4159="","",IF(AND(ABS(B4170)&gt;'Opening Balance'!$B$13,B4170&gt;0),ROUND(B4161+B4170,2),B4161))</f>
        <v/>
      </c>
      <c r="K4161" t="inlineStr">
        <is>
          <t>cash collection 现金收款</t>
        </is>
      </c>
      <c r="L4161" s="6">
        <f>IF($B4159="","",E4161)</f>
        <v/>
      </c>
    </row>
    <row r="4162">
      <c r="A4162" s="1" t="inlineStr">
        <is>
          <t>Other Charges 其他费用</t>
        </is>
      </c>
      <c r="B4162" s="9">
        <f>IF($B4159="","",'Daily Sale entry '!D299)</f>
        <v/>
      </c>
      <c r="D4162" s="1" t="inlineStr">
        <is>
          <t>Cheque Collection 支票收款</t>
        </is>
      </c>
      <c r="E4162" s="9">
        <f>IF($B4159="","",'Daily Sale entry '!J299)</f>
        <v/>
      </c>
      <c r="H4162" s="1" t="inlineStr">
        <is>
          <t>Other Charges 其他费用</t>
        </is>
      </c>
      <c r="I4162" s="9">
        <f>IF($B4159="","",B4162)</f>
        <v/>
      </c>
      <c r="K4162" s="1" t="inlineStr">
        <is>
          <t>Cheque Collection 支票收款</t>
        </is>
      </c>
      <c r="L4162" s="9">
        <f>IF($B4159="","",E4162)</f>
        <v/>
      </c>
    </row>
    <row r="4163">
      <c r="A4163" s="10" t="inlineStr">
        <is>
          <t>Amount 金额  (Cash Sales - Misc - Other)</t>
        </is>
      </c>
      <c r="B4163" s="11">
        <f>IF($B4159="","",ROUND(B4160-B4161-B4162,2))</f>
        <v/>
      </c>
      <c r="D4163" s="12" t="inlineStr">
        <is>
          <t>TNG collection TNG收款</t>
        </is>
      </c>
      <c r="E4163" s="13">
        <f>IF($B4159="","",'Daily Sale entry '!K299)</f>
        <v/>
      </c>
      <c r="H4163" s="10" t="inlineStr">
        <is>
          <t>Amount 金额  (Cash Sales - Misc - Other)</t>
        </is>
      </c>
      <c r="I4163" s="11">
        <f>IF($B4159="","",ROUND(I4160-I4161-I4162,2))</f>
        <v/>
      </c>
      <c r="K4163" s="12" t="inlineStr">
        <is>
          <t>TNG collection TNG收款</t>
        </is>
      </c>
      <c r="L4163" s="13">
        <f>IF($B4159="","",E4163)</f>
        <v/>
      </c>
    </row>
    <row r="4164">
      <c r="A4164" t="inlineStr">
        <is>
          <t>Credit Collection 赊账收款</t>
        </is>
      </c>
      <c r="B4164" s="6">
        <f>IF($B4159="","",'Daily Sale entry '!E299)</f>
        <v/>
      </c>
      <c r="D4164" t="inlineStr">
        <is>
          <t>Advance Salary_M 预支薪水_M</t>
        </is>
      </c>
      <c r="E4164" s="6">
        <f>IF($B4159="","",'Daily Sale entry '!L299)</f>
        <v/>
      </c>
      <c r="H4164" t="inlineStr">
        <is>
          <t>Credit Collection 赊账收款</t>
        </is>
      </c>
      <c r="I4164" s="6">
        <f>IF($B4159="","",B4164)</f>
        <v/>
      </c>
      <c r="K4164" t="inlineStr">
        <is>
          <t>Advance Salary_M 预支薪水_M</t>
        </is>
      </c>
      <c r="L4164" s="6">
        <f>IF($B4159="","",E4164)</f>
        <v/>
      </c>
    </row>
    <row r="4165">
      <c r="A4165" s="10" t="inlineStr">
        <is>
          <t>Amount 2 金额2  (Amount + Credit Collection)</t>
        </is>
      </c>
      <c r="B4165" s="11">
        <f>IF($B4159="","",ROUND(B4163+B4164,2))</f>
        <v/>
      </c>
      <c r="D4165" t="inlineStr">
        <is>
          <t>Advance Salary_H 预支薪水_H</t>
        </is>
      </c>
      <c r="E4165" s="6">
        <f>IF($B4159="","",'Daily Sale entry '!M299)</f>
        <v/>
      </c>
      <c r="H4165" s="10" t="inlineStr">
        <is>
          <t>Amount 2 金额2  (Amount + Credit Collection)</t>
        </is>
      </c>
      <c r="I4165" s="11">
        <f>IF($B4159="","",ROUND(I4163+I4164,2))</f>
        <v/>
      </c>
      <c r="K4165" t="inlineStr">
        <is>
          <t>Advance Salary_H 预支薪水_H</t>
        </is>
      </c>
      <c r="L4165" s="6">
        <f>IF($B4159="","",E4165)</f>
        <v/>
      </c>
    </row>
    <row r="4166"/>
    <row r="4167">
      <c r="A4167" s="1" t="inlineStr">
        <is>
          <t>b/f petty cash 上日备用金结转</t>
        </is>
      </c>
      <c r="B4167" s="9">
        <f>IF($B4159="","",'Daily Sale entry '!F299)</f>
        <v/>
      </c>
      <c r="D4167" s="1" t="n"/>
      <c r="E4167" s="1" t="n"/>
      <c r="H4167" s="1" t="inlineStr">
        <is>
          <t>b/f petty cash 上日备用金结转</t>
        </is>
      </c>
      <c r="I4167" s="9">
        <f>IF($B4159="","",B4167)</f>
        <v/>
      </c>
      <c r="K4167" s="1" t="n"/>
      <c r="L4167" s="1" t="n"/>
    </row>
    <row r="4168">
      <c r="A4168" t="inlineStr">
        <is>
          <t>Total (A) 总计 (A)</t>
        </is>
      </c>
      <c r="B4168" s="6">
        <f>IF($B4159="","",ROUND(B4165+B4167,2))</f>
        <v/>
      </c>
      <c r="D4168" t="inlineStr">
        <is>
          <t>Total(B) 总计 (B)</t>
        </is>
      </c>
      <c r="E4168" s="6">
        <f>IF($B4159="","",ROUND(E4160+E4161+E4162+E4163+E4164+E4165,2))</f>
        <v/>
      </c>
      <c r="H4168" t="inlineStr">
        <is>
          <t>Total© 总计 (C)</t>
        </is>
      </c>
      <c r="I4168" s="6">
        <f>IF($B4159="","",ROUND(I4165+I4167,2))</f>
        <v/>
      </c>
      <c r="K4168" t="inlineStr">
        <is>
          <t>Total(D) 总计 (D)</t>
        </is>
      </c>
      <c r="L4168" s="6">
        <f>IF($B4159="","",ROUND(L4160+L4161+L4162+L4163+L4164+L4165,2))</f>
        <v/>
      </c>
    </row>
    <row r="4169">
      <c r="A4169" s="14" t="inlineStr">
        <is>
          <t>Total = Amount 2 + b/f petty cash  (金额2 + 上日备用金)</t>
        </is>
      </c>
      <c r="H4169" s="14" t="inlineStr">
        <is>
          <t>Total = Amount 2 + b/f petty cash  (金额2 + 上日备用金)</t>
        </is>
      </c>
    </row>
    <row r="4170">
      <c r="A4170" t="inlineStr">
        <is>
          <t>Different 差额</t>
        </is>
      </c>
      <c r="B4170" s="6">
        <f>IF($B4159="","",ROUND(B4168-E4168,2))</f>
        <v/>
      </c>
      <c r="D4170">
        <f>IF($B4159="","",IF(ABS(B4170)&gt;'Opening Balance'!$B$16,"ALERT 警报: Different over RM"&amp;'Opening Balance'!$B$16&amp;" 差额超过RM"&amp;'Opening Balance'!$B$16&amp;" - please check 请检查",IF(B4170=0,"Tied 平衡",IF(ABS(B4170)&lt;='Opening Balance'!$B$13,"Small difference 小额差额: adjusted on c/f petty cash 已调整备用金",IF(B4170&gt;0,"Short 短收: added to Misc Charges 已加入杂项费用","Over 多收: added to Cash Sales 已加入现金销售")))))</f>
        <v/>
      </c>
      <c r="H4170" t="inlineStr">
        <is>
          <t>Different 差额</t>
        </is>
      </c>
      <c r="I4170" s="6">
        <f>IF($B4159="","",ROUND(I4168-L4168,2))</f>
        <v/>
      </c>
    </row>
    <row r="4171"/>
    <row r="4172"/>
    <row r="4173">
      <c r="A4173" t="inlineStr">
        <is>
          <t>Date 日期</t>
        </is>
      </c>
      <c r="B4173" s="5">
        <f>IF('Daily Sale entry '!$A300="","",'Daily Sale entry '!$A300)</f>
        <v/>
      </c>
      <c r="H4173" t="inlineStr">
        <is>
          <t>After 调整后 (After)</t>
        </is>
      </c>
      <c r="I4173" s="5">
        <f>IF($B4173="","",B4173)</f>
        <v/>
      </c>
    </row>
    <row r="4174">
      <c r="A4174" t="inlineStr">
        <is>
          <t>Cash Sales 现金销售</t>
        </is>
      </c>
      <c r="B4174" s="6">
        <f>IF($B4173="","",'Daily Sale entry '!B300)</f>
        <v/>
      </c>
      <c r="D4174" t="inlineStr">
        <is>
          <t>c/f petty cash 今日备用金结转</t>
        </is>
      </c>
      <c r="E4174" s="6">
        <f>IF($B4173="","",'Daily Sale entry '!G300)</f>
        <v/>
      </c>
      <c r="H4174" t="inlineStr">
        <is>
          <t>Cash Sales 现金销售</t>
        </is>
      </c>
      <c r="I4174" s="6">
        <f>IF($B4173="","",IF(AND(ABS(B4184)&gt;'Opening Balance'!$B$13,B4184&lt;0),ROUND(B4174-B4184,2),B4174))</f>
        <v/>
      </c>
      <c r="K4174" t="inlineStr">
        <is>
          <t>c/f petty cash 今日备用金结转</t>
        </is>
      </c>
      <c r="L4174" s="6">
        <f>IF($B4173="","",IF(ABS(B4184)&lt;='Opening Balance'!$B$13,ROUND(E4174+B4184,2),E4174))</f>
        <v/>
      </c>
    </row>
    <row r="4175">
      <c r="A4175" t="inlineStr">
        <is>
          <t>Misc Charges 杂项费用</t>
        </is>
      </c>
      <c r="B4175" s="6">
        <f>IF($B4173="","",'Daily Sale entry '!C300)</f>
        <v/>
      </c>
      <c r="D4175" t="inlineStr">
        <is>
          <t>cash collection 现金收款</t>
        </is>
      </c>
      <c r="E4175" s="6">
        <f>IF($B4173="","",'Daily Sale entry '!H300)</f>
        <v/>
      </c>
      <c r="H4175" t="inlineStr">
        <is>
          <t>Misc Charges 杂项费用</t>
        </is>
      </c>
      <c r="I4175" s="6">
        <f>IF($B4173="","",IF(AND(ABS(B4184)&gt;'Opening Balance'!$B$13,B4184&gt;0),ROUND(B4175+B4184,2),B4175))</f>
        <v/>
      </c>
      <c r="K4175" t="inlineStr">
        <is>
          <t>cash collection 现金收款</t>
        </is>
      </c>
      <c r="L4175" s="6">
        <f>IF($B4173="","",E4175)</f>
        <v/>
      </c>
    </row>
    <row r="4176">
      <c r="A4176" s="1" t="inlineStr">
        <is>
          <t>Other Charges 其他费用</t>
        </is>
      </c>
      <c r="B4176" s="9">
        <f>IF($B4173="","",'Daily Sale entry '!D300)</f>
        <v/>
      </c>
      <c r="D4176" s="1" t="inlineStr">
        <is>
          <t>Cheque Collection 支票收款</t>
        </is>
      </c>
      <c r="E4176" s="9">
        <f>IF($B4173="","",'Daily Sale entry '!J300)</f>
        <v/>
      </c>
      <c r="H4176" s="1" t="inlineStr">
        <is>
          <t>Other Charges 其他费用</t>
        </is>
      </c>
      <c r="I4176" s="9">
        <f>IF($B4173="","",B4176)</f>
        <v/>
      </c>
      <c r="K4176" s="1" t="inlineStr">
        <is>
          <t>Cheque Collection 支票收款</t>
        </is>
      </c>
      <c r="L4176" s="9">
        <f>IF($B4173="","",E4176)</f>
        <v/>
      </c>
    </row>
    <row r="4177">
      <c r="A4177" s="10" t="inlineStr">
        <is>
          <t>Amount 金额  (Cash Sales - Misc - Other)</t>
        </is>
      </c>
      <c r="B4177" s="11">
        <f>IF($B4173="","",ROUND(B4174-B4175-B4176,2))</f>
        <v/>
      </c>
      <c r="D4177" s="12" t="inlineStr">
        <is>
          <t>TNG collection TNG收款</t>
        </is>
      </c>
      <c r="E4177" s="13">
        <f>IF($B4173="","",'Daily Sale entry '!K300)</f>
        <v/>
      </c>
      <c r="H4177" s="10" t="inlineStr">
        <is>
          <t>Amount 金额  (Cash Sales - Misc - Other)</t>
        </is>
      </c>
      <c r="I4177" s="11">
        <f>IF($B4173="","",ROUND(I4174-I4175-I4176,2))</f>
        <v/>
      </c>
      <c r="K4177" s="12" t="inlineStr">
        <is>
          <t>TNG collection TNG收款</t>
        </is>
      </c>
      <c r="L4177" s="13">
        <f>IF($B4173="","",E4177)</f>
        <v/>
      </c>
    </row>
    <row r="4178">
      <c r="A4178" t="inlineStr">
        <is>
          <t>Credit Collection 赊账收款</t>
        </is>
      </c>
      <c r="B4178" s="6">
        <f>IF($B4173="","",'Daily Sale entry '!E300)</f>
        <v/>
      </c>
      <c r="D4178" t="inlineStr">
        <is>
          <t>Advance Salary_M 预支薪水_M</t>
        </is>
      </c>
      <c r="E4178" s="6">
        <f>IF($B4173="","",'Daily Sale entry '!L300)</f>
        <v/>
      </c>
      <c r="H4178" t="inlineStr">
        <is>
          <t>Credit Collection 赊账收款</t>
        </is>
      </c>
      <c r="I4178" s="6">
        <f>IF($B4173="","",B4178)</f>
        <v/>
      </c>
      <c r="K4178" t="inlineStr">
        <is>
          <t>Advance Salary_M 预支薪水_M</t>
        </is>
      </c>
      <c r="L4178" s="6">
        <f>IF($B4173="","",E4178)</f>
        <v/>
      </c>
    </row>
    <row r="4179">
      <c r="A4179" s="10" t="inlineStr">
        <is>
          <t>Amount 2 金额2  (Amount + Credit Collection)</t>
        </is>
      </c>
      <c r="B4179" s="11">
        <f>IF($B4173="","",ROUND(B4177+B4178,2))</f>
        <v/>
      </c>
      <c r="D4179" t="inlineStr">
        <is>
          <t>Advance Salary_H 预支薪水_H</t>
        </is>
      </c>
      <c r="E4179" s="6">
        <f>IF($B4173="","",'Daily Sale entry '!M300)</f>
        <v/>
      </c>
      <c r="H4179" s="10" t="inlineStr">
        <is>
          <t>Amount 2 金额2  (Amount + Credit Collection)</t>
        </is>
      </c>
      <c r="I4179" s="11">
        <f>IF($B4173="","",ROUND(I4177+I4178,2))</f>
        <v/>
      </c>
      <c r="K4179" t="inlineStr">
        <is>
          <t>Advance Salary_H 预支薪水_H</t>
        </is>
      </c>
      <c r="L4179" s="6">
        <f>IF($B4173="","",E4179)</f>
        <v/>
      </c>
    </row>
    <row r="4180"/>
    <row r="4181">
      <c r="A4181" s="1" t="inlineStr">
        <is>
          <t>b/f petty cash 上日备用金结转</t>
        </is>
      </c>
      <c r="B4181" s="9">
        <f>IF($B4173="","",'Daily Sale entry '!F300)</f>
        <v/>
      </c>
      <c r="D4181" s="1" t="n"/>
      <c r="E4181" s="1" t="n"/>
      <c r="H4181" s="1" t="inlineStr">
        <is>
          <t>b/f petty cash 上日备用金结转</t>
        </is>
      </c>
      <c r="I4181" s="9">
        <f>IF($B4173="","",B4181)</f>
        <v/>
      </c>
      <c r="K4181" s="1" t="n"/>
      <c r="L4181" s="1" t="n"/>
    </row>
    <row r="4182">
      <c r="A4182" t="inlineStr">
        <is>
          <t>Total (A) 总计 (A)</t>
        </is>
      </c>
      <c r="B4182" s="6">
        <f>IF($B4173="","",ROUND(B4179+B4181,2))</f>
        <v/>
      </c>
      <c r="D4182" t="inlineStr">
        <is>
          <t>Total(B) 总计 (B)</t>
        </is>
      </c>
      <c r="E4182" s="6">
        <f>IF($B4173="","",ROUND(E4174+E4175+E4176+E4177+E4178+E4179,2))</f>
        <v/>
      </c>
      <c r="H4182" t="inlineStr">
        <is>
          <t>Total© 总计 (C)</t>
        </is>
      </c>
      <c r="I4182" s="6">
        <f>IF($B4173="","",ROUND(I4179+I4181,2))</f>
        <v/>
      </c>
      <c r="K4182" t="inlineStr">
        <is>
          <t>Total(D) 总计 (D)</t>
        </is>
      </c>
      <c r="L4182" s="6">
        <f>IF($B4173="","",ROUND(L4174+L4175+L4176+L4177+L4178+L4179,2))</f>
        <v/>
      </c>
    </row>
    <row r="4183">
      <c r="A4183" s="14" t="inlineStr">
        <is>
          <t>Total = Amount 2 + b/f petty cash  (金额2 + 上日备用金)</t>
        </is>
      </c>
      <c r="H4183" s="14" t="inlineStr">
        <is>
          <t>Total = Amount 2 + b/f petty cash  (金额2 + 上日备用金)</t>
        </is>
      </c>
    </row>
    <row r="4184">
      <c r="A4184" t="inlineStr">
        <is>
          <t>Different 差额</t>
        </is>
      </c>
      <c r="B4184" s="6">
        <f>IF($B4173="","",ROUND(B4182-E4182,2))</f>
        <v/>
      </c>
      <c r="D4184">
        <f>IF($B4173="","",IF(ABS(B4184)&gt;'Opening Balance'!$B$16,"ALERT 警报: Different over RM"&amp;'Opening Balance'!$B$16&amp;" 差额超过RM"&amp;'Opening Balance'!$B$16&amp;" - please check 请检查",IF(B4184=0,"Tied 平衡",IF(ABS(B4184)&lt;='Opening Balance'!$B$13,"Small difference 小额差额: adjusted on c/f petty cash 已调整备用金",IF(B4184&gt;0,"Short 短收: added to Misc Charges 已加入杂项费用","Over 多收: added to Cash Sales 已加入现金销售")))))</f>
        <v/>
      </c>
      <c r="H4184" t="inlineStr">
        <is>
          <t>Different 差额</t>
        </is>
      </c>
      <c r="I4184" s="6">
        <f>IF($B4173="","",ROUND(I4182-L4182,2))</f>
        <v/>
      </c>
    </row>
    <row r="4185"/>
    <row r="4186"/>
    <row r="4187">
      <c r="A4187" t="inlineStr">
        <is>
          <t>Date 日期</t>
        </is>
      </c>
      <c r="B4187" s="5">
        <f>IF('Daily Sale entry '!$A301="","",'Daily Sale entry '!$A301)</f>
        <v/>
      </c>
      <c r="H4187" t="inlineStr">
        <is>
          <t>After 调整后 (After)</t>
        </is>
      </c>
      <c r="I4187" s="5">
        <f>IF($B4187="","",B4187)</f>
        <v/>
      </c>
    </row>
    <row r="4188">
      <c r="A4188" t="inlineStr">
        <is>
          <t>Cash Sales 现金销售</t>
        </is>
      </c>
      <c r="B4188" s="6">
        <f>IF($B4187="","",'Daily Sale entry '!B301)</f>
        <v/>
      </c>
      <c r="D4188" t="inlineStr">
        <is>
          <t>c/f petty cash 今日备用金结转</t>
        </is>
      </c>
      <c r="E4188" s="6">
        <f>IF($B4187="","",'Daily Sale entry '!G301)</f>
        <v/>
      </c>
      <c r="H4188" t="inlineStr">
        <is>
          <t>Cash Sales 现金销售</t>
        </is>
      </c>
      <c r="I4188" s="6">
        <f>IF($B4187="","",IF(AND(ABS(B4198)&gt;'Opening Balance'!$B$13,B4198&lt;0),ROUND(B4188-B4198,2),B4188))</f>
        <v/>
      </c>
      <c r="K4188" t="inlineStr">
        <is>
          <t>c/f petty cash 今日备用金结转</t>
        </is>
      </c>
      <c r="L4188" s="6">
        <f>IF($B4187="","",IF(ABS(B4198)&lt;='Opening Balance'!$B$13,ROUND(E4188+B4198,2),E4188))</f>
        <v/>
      </c>
    </row>
    <row r="4189">
      <c r="A4189" t="inlineStr">
        <is>
          <t>Misc Charges 杂项费用</t>
        </is>
      </c>
      <c r="B4189" s="6">
        <f>IF($B4187="","",'Daily Sale entry '!C301)</f>
        <v/>
      </c>
      <c r="D4189" t="inlineStr">
        <is>
          <t>cash collection 现金收款</t>
        </is>
      </c>
      <c r="E4189" s="6">
        <f>IF($B4187="","",'Daily Sale entry '!H301)</f>
        <v/>
      </c>
      <c r="H4189" t="inlineStr">
        <is>
          <t>Misc Charges 杂项费用</t>
        </is>
      </c>
      <c r="I4189" s="6">
        <f>IF($B4187="","",IF(AND(ABS(B4198)&gt;'Opening Balance'!$B$13,B4198&gt;0),ROUND(B4189+B4198,2),B4189))</f>
        <v/>
      </c>
      <c r="K4189" t="inlineStr">
        <is>
          <t>cash collection 现金收款</t>
        </is>
      </c>
      <c r="L4189" s="6">
        <f>IF($B4187="","",E4189)</f>
        <v/>
      </c>
    </row>
    <row r="4190">
      <c r="A4190" s="1" t="inlineStr">
        <is>
          <t>Other Charges 其他费用</t>
        </is>
      </c>
      <c r="B4190" s="9">
        <f>IF($B4187="","",'Daily Sale entry '!D301)</f>
        <v/>
      </c>
      <c r="D4190" s="1" t="inlineStr">
        <is>
          <t>Cheque Collection 支票收款</t>
        </is>
      </c>
      <c r="E4190" s="9">
        <f>IF($B4187="","",'Daily Sale entry '!J301)</f>
        <v/>
      </c>
      <c r="H4190" s="1" t="inlineStr">
        <is>
          <t>Other Charges 其他费用</t>
        </is>
      </c>
      <c r="I4190" s="9">
        <f>IF($B4187="","",B4190)</f>
        <v/>
      </c>
      <c r="K4190" s="1" t="inlineStr">
        <is>
          <t>Cheque Collection 支票收款</t>
        </is>
      </c>
      <c r="L4190" s="9">
        <f>IF($B4187="","",E4190)</f>
        <v/>
      </c>
    </row>
    <row r="4191">
      <c r="A4191" s="10" t="inlineStr">
        <is>
          <t>Amount 金额  (Cash Sales - Misc - Other)</t>
        </is>
      </c>
      <c r="B4191" s="11">
        <f>IF($B4187="","",ROUND(B4188-B4189-B4190,2))</f>
        <v/>
      </c>
      <c r="D4191" s="12" t="inlineStr">
        <is>
          <t>TNG collection TNG收款</t>
        </is>
      </c>
      <c r="E4191" s="13">
        <f>IF($B4187="","",'Daily Sale entry '!K301)</f>
        <v/>
      </c>
      <c r="H4191" s="10" t="inlineStr">
        <is>
          <t>Amount 金额  (Cash Sales - Misc - Other)</t>
        </is>
      </c>
      <c r="I4191" s="11">
        <f>IF($B4187="","",ROUND(I4188-I4189-I4190,2))</f>
        <v/>
      </c>
      <c r="K4191" s="12" t="inlineStr">
        <is>
          <t>TNG collection TNG收款</t>
        </is>
      </c>
      <c r="L4191" s="13">
        <f>IF($B4187="","",E4191)</f>
        <v/>
      </c>
    </row>
    <row r="4192">
      <c r="A4192" t="inlineStr">
        <is>
          <t>Credit Collection 赊账收款</t>
        </is>
      </c>
      <c r="B4192" s="6">
        <f>IF($B4187="","",'Daily Sale entry '!E301)</f>
        <v/>
      </c>
      <c r="D4192" t="inlineStr">
        <is>
          <t>Advance Salary_M 预支薪水_M</t>
        </is>
      </c>
      <c r="E4192" s="6">
        <f>IF($B4187="","",'Daily Sale entry '!L301)</f>
        <v/>
      </c>
      <c r="H4192" t="inlineStr">
        <is>
          <t>Credit Collection 赊账收款</t>
        </is>
      </c>
      <c r="I4192" s="6">
        <f>IF($B4187="","",B4192)</f>
        <v/>
      </c>
      <c r="K4192" t="inlineStr">
        <is>
          <t>Advance Salary_M 预支薪水_M</t>
        </is>
      </c>
      <c r="L4192" s="6">
        <f>IF($B4187="","",E4192)</f>
        <v/>
      </c>
    </row>
    <row r="4193">
      <c r="A4193" s="10" t="inlineStr">
        <is>
          <t>Amount 2 金额2  (Amount + Credit Collection)</t>
        </is>
      </c>
      <c r="B4193" s="11">
        <f>IF($B4187="","",ROUND(B4191+B4192,2))</f>
        <v/>
      </c>
      <c r="D4193" t="inlineStr">
        <is>
          <t>Advance Salary_H 预支薪水_H</t>
        </is>
      </c>
      <c r="E4193" s="6">
        <f>IF($B4187="","",'Daily Sale entry '!M301)</f>
        <v/>
      </c>
      <c r="H4193" s="10" t="inlineStr">
        <is>
          <t>Amount 2 金额2  (Amount + Credit Collection)</t>
        </is>
      </c>
      <c r="I4193" s="11">
        <f>IF($B4187="","",ROUND(I4191+I4192,2))</f>
        <v/>
      </c>
      <c r="K4193" t="inlineStr">
        <is>
          <t>Advance Salary_H 预支薪水_H</t>
        </is>
      </c>
      <c r="L4193" s="6">
        <f>IF($B4187="","",E4193)</f>
        <v/>
      </c>
    </row>
    <row r="4194"/>
    <row r="4195">
      <c r="A4195" s="1" t="inlineStr">
        <is>
          <t>b/f petty cash 上日备用金结转</t>
        </is>
      </c>
      <c r="B4195" s="9">
        <f>IF($B4187="","",'Daily Sale entry '!F301)</f>
        <v/>
      </c>
      <c r="D4195" s="1" t="n"/>
      <c r="E4195" s="1" t="n"/>
      <c r="H4195" s="1" t="inlineStr">
        <is>
          <t>b/f petty cash 上日备用金结转</t>
        </is>
      </c>
      <c r="I4195" s="9">
        <f>IF($B4187="","",B4195)</f>
        <v/>
      </c>
      <c r="K4195" s="1" t="n"/>
      <c r="L4195" s="1" t="n"/>
    </row>
    <row r="4196">
      <c r="A4196" t="inlineStr">
        <is>
          <t>Total (A) 总计 (A)</t>
        </is>
      </c>
      <c r="B4196" s="6">
        <f>IF($B4187="","",ROUND(B4193+B4195,2))</f>
        <v/>
      </c>
      <c r="D4196" t="inlineStr">
        <is>
          <t>Total(B) 总计 (B)</t>
        </is>
      </c>
      <c r="E4196" s="6">
        <f>IF($B4187="","",ROUND(E4188+E4189+E4190+E4191+E4192+E4193,2))</f>
        <v/>
      </c>
      <c r="H4196" t="inlineStr">
        <is>
          <t>Total© 总计 (C)</t>
        </is>
      </c>
      <c r="I4196" s="6">
        <f>IF($B4187="","",ROUND(I4193+I4195,2))</f>
        <v/>
      </c>
      <c r="K4196" t="inlineStr">
        <is>
          <t>Total(D) 总计 (D)</t>
        </is>
      </c>
      <c r="L4196" s="6">
        <f>IF($B4187="","",ROUND(L4188+L4189+L4190+L4191+L4192+L4193,2))</f>
        <v/>
      </c>
    </row>
    <row r="4197">
      <c r="A4197" s="14" t="inlineStr">
        <is>
          <t>Total = Amount 2 + b/f petty cash  (金额2 + 上日备用金)</t>
        </is>
      </c>
      <c r="H4197" s="14" t="inlineStr">
        <is>
          <t>Total = Amount 2 + b/f petty cash  (金额2 + 上日备用金)</t>
        </is>
      </c>
    </row>
    <row r="4198">
      <c r="A4198" t="inlineStr">
        <is>
          <t>Different 差额</t>
        </is>
      </c>
      <c r="B4198" s="6">
        <f>IF($B4187="","",ROUND(B4196-E4196,2))</f>
        <v/>
      </c>
      <c r="D4198">
        <f>IF($B4187="","",IF(ABS(B4198)&gt;'Opening Balance'!$B$16,"ALERT 警报: Different over RM"&amp;'Opening Balance'!$B$16&amp;" 差额超过RM"&amp;'Opening Balance'!$B$16&amp;" - please check 请检查",IF(B4198=0,"Tied 平衡",IF(ABS(B4198)&lt;='Opening Balance'!$B$13,"Small difference 小额差额: adjusted on c/f petty cash 已调整备用金",IF(B4198&gt;0,"Short 短收: added to Misc Charges 已加入杂项费用","Over 多收: added to Cash Sales 已加入现金销售")))))</f>
        <v/>
      </c>
      <c r="H4198" t="inlineStr">
        <is>
          <t>Different 差额</t>
        </is>
      </c>
      <c r="I4198" s="6">
        <f>IF($B4187="","",ROUND(I4196-L4196,2))</f>
        <v/>
      </c>
    </row>
    <row r="4199"/>
    <row r="4200"/>
    <row r="4201">
      <c r="A4201" t="inlineStr">
        <is>
          <t>Date 日期</t>
        </is>
      </c>
      <c r="B4201" s="5">
        <f>IF('Daily Sale entry '!$A302="","",'Daily Sale entry '!$A302)</f>
        <v/>
      </c>
      <c r="H4201" t="inlineStr">
        <is>
          <t>After 调整后 (After)</t>
        </is>
      </c>
      <c r="I4201" s="5">
        <f>IF($B4201="","",B4201)</f>
        <v/>
      </c>
    </row>
    <row r="4202">
      <c r="A4202" t="inlineStr">
        <is>
          <t>Cash Sales 现金销售</t>
        </is>
      </c>
      <c r="B4202" s="6">
        <f>IF($B4201="","",'Daily Sale entry '!B302)</f>
        <v/>
      </c>
      <c r="D4202" t="inlineStr">
        <is>
          <t>c/f petty cash 今日备用金结转</t>
        </is>
      </c>
      <c r="E4202" s="6">
        <f>IF($B4201="","",'Daily Sale entry '!G302)</f>
        <v/>
      </c>
      <c r="H4202" t="inlineStr">
        <is>
          <t>Cash Sales 现金销售</t>
        </is>
      </c>
      <c r="I4202" s="6">
        <f>IF($B4201="","",IF(AND(ABS(B4212)&gt;'Opening Balance'!$B$13,B4212&lt;0),ROUND(B4202-B4212,2),B4202))</f>
        <v/>
      </c>
      <c r="K4202" t="inlineStr">
        <is>
          <t>c/f petty cash 今日备用金结转</t>
        </is>
      </c>
      <c r="L4202" s="6">
        <f>IF($B4201="","",IF(ABS(B4212)&lt;='Opening Balance'!$B$13,ROUND(E4202+B4212,2),E4202))</f>
        <v/>
      </c>
    </row>
    <row r="4203">
      <c r="A4203" t="inlineStr">
        <is>
          <t>Misc Charges 杂项费用</t>
        </is>
      </c>
      <c r="B4203" s="6">
        <f>IF($B4201="","",'Daily Sale entry '!C302)</f>
        <v/>
      </c>
      <c r="D4203" t="inlineStr">
        <is>
          <t>cash collection 现金收款</t>
        </is>
      </c>
      <c r="E4203" s="6">
        <f>IF($B4201="","",'Daily Sale entry '!H302)</f>
        <v/>
      </c>
      <c r="H4203" t="inlineStr">
        <is>
          <t>Misc Charges 杂项费用</t>
        </is>
      </c>
      <c r="I4203" s="6">
        <f>IF($B4201="","",IF(AND(ABS(B4212)&gt;'Opening Balance'!$B$13,B4212&gt;0),ROUND(B4203+B4212,2),B4203))</f>
        <v/>
      </c>
      <c r="K4203" t="inlineStr">
        <is>
          <t>cash collection 现金收款</t>
        </is>
      </c>
      <c r="L4203" s="6">
        <f>IF($B4201="","",E4203)</f>
        <v/>
      </c>
    </row>
    <row r="4204">
      <c r="A4204" s="1" t="inlineStr">
        <is>
          <t>Other Charges 其他费用</t>
        </is>
      </c>
      <c r="B4204" s="9">
        <f>IF($B4201="","",'Daily Sale entry '!D302)</f>
        <v/>
      </c>
      <c r="D4204" s="1" t="inlineStr">
        <is>
          <t>Cheque Collection 支票收款</t>
        </is>
      </c>
      <c r="E4204" s="9">
        <f>IF($B4201="","",'Daily Sale entry '!J302)</f>
        <v/>
      </c>
      <c r="H4204" s="1" t="inlineStr">
        <is>
          <t>Other Charges 其他费用</t>
        </is>
      </c>
      <c r="I4204" s="9">
        <f>IF($B4201="","",B4204)</f>
        <v/>
      </c>
      <c r="K4204" s="1" t="inlineStr">
        <is>
          <t>Cheque Collection 支票收款</t>
        </is>
      </c>
      <c r="L4204" s="9">
        <f>IF($B4201="","",E4204)</f>
        <v/>
      </c>
    </row>
    <row r="4205">
      <c r="A4205" s="10" t="inlineStr">
        <is>
          <t>Amount 金额  (Cash Sales - Misc - Other)</t>
        </is>
      </c>
      <c r="B4205" s="11">
        <f>IF($B4201="","",ROUND(B4202-B4203-B4204,2))</f>
        <v/>
      </c>
      <c r="D4205" s="12" t="inlineStr">
        <is>
          <t>TNG collection TNG收款</t>
        </is>
      </c>
      <c r="E4205" s="13">
        <f>IF($B4201="","",'Daily Sale entry '!K302)</f>
        <v/>
      </c>
      <c r="H4205" s="10" t="inlineStr">
        <is>
          <t>Amount 金额  (Cash Sales - Misc - Other)</t>
        </is>
      </c>
      <c r="I4205" s="11">
        <f>IF($B4201="","",ROUND(I4202-I4203-I4204,2))</f>
        <v/>
      </c>
      <c r="K4205" s="12" t="inlineStr">
        <is>
          <t>TNG collection TNG收款</t>
        </is>
      </c>
      <c r="L4205" s="13">
        <f>IF($B4201="","",E4205)</f>
        <v/>
      </c>
    </row>
    <row r="4206">
      <c r="A4206" t="inlineStr">
        <is>
          <t>Credit Collection 赊账收款</t>
        </is>
      </c>
      <c r="B4206" s="6">
        <f>IF($B4201="","",'Daily Sale entry '!E302)</f>
        <v/>
      </c>
      <c r="D4206" t="inlineStr">
        <is>
          <t>Advance Salary_M 预支薪水_M</t>
        </is>
      </c>
      <c r="E4206" s="6">
        <f>IF($B4201="","",'Daily Sale entry '!L302)</f>
        <v/>
      </c>
      <c r="H4206" t="inlineStr">
        <is>
          <t>Credit Collection 赊账收款</t>
        </is>
      </c>
      <c r="I4206" s="6">
        <f>IF($B4201="","",B4206)</f>
        <v/>
      </c>
      <c r="K4206" t="inlineStr">
        <is>
          <t>Advance Salary_M 预支薪水_M</t>
        </is>
      </c>
      <c r="L4206" s="6">
        <f>IF($B4201="","",E4206)</f>
        <v/>
      </c>
    </row>
    <row r="4207">
      <c r="A4207" s="10" t="inlineStr">
        <is>
          <t>Amount 2 金额2  (Amount + Credit Collection)</t>
        </is>
      </c>
      <c r="B4207" s="11">
        <f>IF($B4201="","",ROUND(B4205+B4206,2))</f>
        <v/>
      </c>
      <c r="D4207" t="inlineStr">
        <is>
          <t>Advance Salary_H 预支薪水_H</t>
        </is>
      </c>
      <c r="E4207" s="6">
        <f>IF($B4201="","",'Daily Sale entry '!M302)</f>
        <v/>
      </c>
      <c r="H4207" s="10" t="inlineStr">
        <is>
          <t>Amount 2 金额2  (Amount + Credit Collection)</t>
        </is>
      </c>
      <c r="I4207" s="11">
        <f>IF($B4201="","",ROUND(I4205+I4206,2))</f>
        <v/>
      </c>
      <c r="K4207" t="inlineStr">
        <is>
          <t>Advance Salary_H 预支薪水_H</t>
        </is>
      </c>
      <c r="L4207" s="6">
        <f>IF($B4201="","",E4207)</f>
        <v/>
      </c>
    </row>
    <row r="4208"/>
    <row r="4209">
      <c r="A4209" s="1" t="inlineStr">
        <is>
          <t>b/f petty cash 上日备用金结转</t>
        </is>
      </c>
      <c r="B4209" s="9">
        <f>IF($B4201="","",'Daily Sale entry '!F302)</f>
        <v/>
      </c>
      <c r="D4209" s="1" t="n"/>
      <c r="E4209" s="1" t="n"/>
      <c r="H4209" s="1" t="inlineStr">
        <is>
          <t>b/f petty cash 上日备用金结转</t>
        </is>
      </c>
      <c r="I4209" s="9">
        <f>IF($B4201="","",B4209)</f>
        <v/>
      </c>
      <c r="K4209" s="1" t="n"/>
      <c r="L4209" s="1" t="n"/>
    </row>
    <row r="4210">
      <c r="A4210" t="inlineStr">
        <is>
          <t>Total (A) 总计 (A)</t>
        </is>
      </c>
      <c r="B4210" s="6">
        <f>IF($B4201="","",ROUND(B4207+B4209,2))</f>
        <v/>
      </c>
      <c r="D4210" t="inlineStr">
        <is>
          <t>Total(B) 总计 (B)</t>
        </is>
      </c>
      <c r="E4210" s="6">
        <f>IF($B4201="","",ROUND(E4202+E4203+E4204+E4205+E4206+E4207,2))</f>
        <v/>
      </c>
      <c r="H4210" t="inlineStr">
        <is>
          <t>Total© 总计 (C)</t>
        </is>
      </c>
      <c r="I4210" s="6">
        <f>IF($B4201="","",ROUND(I4207+I4209,2))</f>
        <v/>
      </c>
      <c r="K4210" t="inlineStr">
        <is>
          <t>Total(D) 总计 (D)</t>
        </is>
      </c>
      <c r="L4210" s="6">
        <f>IF($B4201="","",ROUND(L4202+L4203+L4204+L4205+L4206+L4207,2))</f>
        <v/>
      </c>
    </row>
    <row r="4211">
      <c r="A4211" s="14" t="inlineStr">
        <is>
          <t>Total = Amount 2 + b/f petty cash  (金额2 + 上日备用金)</t>
        </is>
      </c>
      <c r="H4211" s="14" t="inlineStr">
        <is>
          <t>Total = Amount 2 + b/f petty cash  (金额2 + 上日备用金)</t>
        </is>
      </c>
    </row>
    <row r="4212">
      <c r="A4212" t="inlineStr">
        <is>
          <t>Different 差额</t>
        </is>
      </c>
      <c r="B4212" s="6">
        <f>IF($B4201="","",ROUND(B4210-E4210,2))</f>
        <v/>
      </c>
      <c r="D4212">
        <f>IF($B4201="","",IF(ABS(B4212)&gt;'Opening Balance'!$B$16,"ALERT 警报: Different over RM"&amp;'Opening Balance'!$B$16&amp;" 差额超过RM"&amp;'Opening Balance'!$B$16&amp;" - please check 请检查",IF(B4212=0,"Tied 平衡",IF(ABS(B4212)&lt;='Opening Balance'!$B$13,"Small difference 小额差额: adjusted on c/f petty cash 已调整备用金",IF(B4212&gt;0,"Short 短收: added to Misc Charges 已加入杂项费用","Over 多收: added to Cash Sales 已加入现金销售")))))</f>
        <v/>
      </c>
      <c r="H4212" t="inlineStr">
        <is>
          <t>Different 差额</t>
        </is>
      </c>
      <c r="I4212" s="6">
        <f>IF($B4201="","",ROUND(I4210-L4210,2))</f>
        <v/>
      </c>
    </row>
    <row r="4213"/>
    <row r="4214"/>
    <row r="4215">
      <c r="A4215" t="inlineStr">
        <is>
          <t>Date 日期</t>
        </is>
      </c>
      <c r="B4215" s="5">
        <f>IF('Daily Sale entry '!$A303="","",'Daily Sale entry '!$A303)</f>
        <v/>
      </c>
      <c r="H4215" t="inlineStr">
        <is>
          <t>After 调整后 (After)</t>
        </is>
      </c>
      <c r="I4215" s="5">
        <f>IF($B4215="","",B4215)</f>
        <v/>
      </c>
    </row>
    <row r="4216">
      <c r="A4216" t="inlineStr">
        <is>
          <t>Cash Sales 现金销售</t>
        </is>
      </c>
      <c r="B4216" s="6">
        <f>IF($B4215="","",'Daily Sale entry '!B303)</f>
        <v/>
      </c>
      <c r="D4216" t="inlineStr">
        <is>
          <t>c/f petty cash 今日备用金结转</t>
        </is>
      </c>
      <c r="E4216" s="6">
        <f>IF($B4215="","",'Daily Sale entry '!G303)</f>
        <v/>
      </c>
      <c r="H4216" t="inlineStr">
        <is>
          <t>Cash Sales 现金销售</t>
        </is>
      </c>
      <c r="I4216" s="6">
        <f>IF($B4215="","",IF(AND(ABS(B4226)&gt;'Opening Balance'!$B$13,B4226&lt;0),ROUND(B4216-B4226,2),B4216))</f>
        <v/>
      </c>
      <c r="K4216" t="inlineStr">
        <is>
          <t>c/f petty cash 今日备用金结转</t>
        </is>
      </c>
      <c r="L4216" s="6">
        <f>IF($B4215="","",IF(ABS(B4226)&lt;='Opening Balance'!$B$13,ROUND(E4216+B4226,2),E4216))</f>
        <v/>
      </c>
    </row>
    <row r="4217">
      <c r="A4217" t="inlineStr">
        <is>
          <t>Misc Charges 杂项费用</t>
        </is>
      </c>
      <c r="B4217" s="6">
        <f>IF($B4215="","",'Daily Sale entry '!C303)</f>
        <v/>
      </c>
      <c r="D4217" t="inlineStr">
        <is>
          <t>cash collection 现金收款</t>
        </is>
      </c>
      <c r="E4217" s="6">
        <f>IF($B4215="","",'Daily Sale entry '!H303)</f>
        <v/>
      </c>
      <c r="H4217" t="inlineStr">
        <is>
          <t>Misc Charges 杂项费用</t>
        </is>
      </c>
      <c r="I4217" s="6">
        <f>IF($B4215="","",IF(AND(ABS(B4226)&gt;'Opening Balance'!$B$13,B4226&gt;0),ROUND(B4217+B4226,2),B4217))</f>
        <v/>
      </c>
      <c r="K4217" t="inlineStr">
        <is>
          <t>cash collection 现金收款</t>
        </is>
      </c>
      <c r="L4217" s="6">
        <f>IF($B4215="","",E4217)</f>
        <v/>
      </c>
    </row>
    <row r="4218">
      <c r="A4218" s="1" t="inlineStr">
        <is>
          <t>Other Charges 其他费用</t>
        </is>
      </c>
      <c r="B4218" s="9">
        <f>IF($B4215="","",'Daily Sale entry '!D303)</f>
        <v/>
      </c>
      <c r="D4218" s="1" t="inlineStr">
        <is>
          <t>Cheque Collection 支票收款</t>
        </is>
      </c>
      <c r="E4218" s="9">
        <f>IF($B4215="","",'Daily Sale entry '!J303)</f>
        <v/>
      </c>
      <c r="H4218" s="1" t="inlineStr">
        <is>
          <t>Other Charges 其他费用</t>
        </is>
      </c>
      <c r="I4218" s="9">
        <f>IF($B4215="","",B4218)</f>
        <v/>
      </c>
      <c r="K4218" s="1" t="inlineStr">
        <is>
          <t>Cheque Collection 支票收款</t>
        </is>
      </c>
      <c r="L4218" s="9">
        <f>IF($B4215="","",E4218)</f>
        <v/>
      </c>
    </row>
    <row r="4219">
      <c r="A4219" s="10" t="inlineStr">
        <is>
          <t>Amount 金额  (Cash Sales - Misc - Other)</t>
        </is>
      </c>
      <c r="B4219" s="11">
        <f>IF($B4215="","",ROUND(B4216-B4217-B4218,2))</f>
        <v/>
      </c>
      <c r="D4219" s="12" t="inlineStr">
        <is>
          <t>TNG collection TNG收款</t>
        </is>
      </c>
      <c r="E4219" s="13">
        <f>IF($B4215="","",'Daily Sale entry '!K303)</f>
        <v/>
      </c>
      <c r="H4219" s="10" t="inlineStr">
        <is>
          <t>Amount 金额  (Cash Sales - Misc - Other)</t>
        </is>
      </c>
      <c r="I4219" s="11">
        <f>IF($B4215="","",ROUND(I4216-I4217-I4218,2))</f>
        <v/>
      </c>
      <c r="K4219" s="12" t="inlineStr">
        <is>
          <t>TNG collection TNG收款</t>
        </is>
      </c>
      <c r="L4219" s="13">
        <f>IF($B4215="","",E4219)</f>
        <v/>
      </c>
    </row>
    <row r="4220">
      <c r="A4220" t="inlineStr">
        <is>
          <t>Credit Collection 赊账收款</t>
        </is>
      </c>
      <c r="B4220" s="6">
        <f>IF($B4215="","",'Daily Sale entry '!E303)</f>
        <v/>
      </c>
      <c r="D4220" t="inlineStr">
        <is>
          <t>Advance Salary_M 预支薪水_M</t>
        </is>
      </c>
      <c r="E4220" s="6">
        <f>IF($B4215="","",'Daily Sale entry '!L303)</f>
        <v/>
      </c>
      <c r="H4220" t="inlineStr">
        <is>
          <t>Credit Collection 赊账收款</t>
        </is>
      </c>
      <c r="I4220" s="6">
        <f>IF($B4215="","",B4220)</f>
        <v/>
      </c>
      <c r="K4220" t="inlineStr">
        <is>
          <t>Advance Salary_M 预支薪水_M</t>
        </is>
      </c>
      <c r="L4220" s="6">
        <f>IF($B4215="","",E4220)</f>
        <v/>
      </c>
    </row>
    <row r="4221">
      <c r="A4221" s="10" t="inlineStr">
        <is>
          <t>Amount 2 金额2  (Amount + Credit Collection)</t>
        </is>
      </c>
      <c r="B4221" s="11">
        <f>IF($B4215="","",ROUND(B4219+B4220,2))</f>
        <v/>
      </c>
      <c r="D4221" t="inlineStr">
        <is>
          <t>Advance Salary_H 预支薪水_H</t>
        </is>
      </c>
      <c r="E4221" s="6">
        <f>IF($B4215="","",'Daily Sale entry '!M303)</f>
        <v/>
      </c>
      <c r="H4221" s="10" t="inlineStr">
        <is>
          <t>Amount 2 金额2  (Amount + Credit Collection)</t>
        </is>
      </c>
      <c r="I4221" s="11">
        <f>IF($B4215="","",ROUND(I4219+I4220,2))</f>
        <v/>
      </c>
      <c r="K4221" t="inlineStr">
        <is>
          <t>Advance Salary_H 预支薪水_H</t>
        </is>
      </c>
      <c r="L4221" s="6">
        <f>IF($B4215="","",E4221)</f>
        <v/>
      </c>
    </row>
    <row r="4222"/>
    <row r="4223">
      <c r="A4223" s="1" t="inlineStr">
        <is>
          <t>b/f petty cash 上日备用金结转</t>
        </is>
      </c>
      <c r="B4223" s="9">
        <f>IF($B4215="","",'Daily Sale entry '!F303)</f>
        <v/>
      </c>
      <c r="D4223" s="1" t="n"/>
      <c r="E4223" s="1" t="n"/>
      <c r="H4223" s="1" t="inlineStr">
        <is>
          <t>b/f petty cash 上日备用金结转</t>
        </is>
      </c>
      <c r="I4223" s="9">
        <f>IF($B4215="","",B4223)</f>
        <v/>
      </c>
      <c r="K4223" s="1" t="n"/>
      <c r="L4223" s="1" t="n"/>
    </row>
    <row r="4224">
      <c r="A4224" t="inlineStr">
        <is>
          <t>Total (A) 总计 (A)</t>
        </is>
      </c>
      <c r="B4224" s="6">
        <f>IF($B4215="","",ROUND(B4221+B4223,2))</f>
        <v/>
      </c>
      <c r="D4224" t="inlineStr">
        <is>
          <t>Total(B) 总计 (B)</t>
        </is>
      </c>
      <c r="E4224" s="6">
        <f>IF($B4215="","",ROUND(E4216+E4217+E4218+E4219+E4220+E4221,2))</f>
        <v/>
      </c>
      <c r="H4224" t="inlineStr">
        <is>
          <t>Total© 总计 (C)</t>
        </is>
      </c>
      <c r="I4224" s="6">
        <f>IF($B4215="","",ROUND(I4221+I4223,2))</f>
        <v/>
      </c>
      <c r="K4224" t="inlineStr">
        <is>
          <t>Total(D) 总计 (D)</t>
        </is>
      </c>
      <c r="L4224" s="6">
        <f>IF($B4215="","",ROUND(L4216+L4217+L4218+L4219+L4220+L4221,2))</f>
        <v/>
      </c>
    </row>
    <row r="4225">
      <c r="A4225" s="14" t="inlineStr">
        <is>
          <t>Total = Amount 2 + b/f petty cash  (金额2 + 上日备用金)</t>
        </is>
      </c>
      <c r="H4225" s="14" t="inlineStr">
        <is>
          <t>Total = Amount 2 + b/f petty cash  (金额2 + 上日备用金)</t>
        </is>
      </c>
    </row>
    <row r="4226">
      <c r="A4226" t="inlineStr">
        <is>
          <t>Different 差额</t>
        </is>
      </c>
      <c r="B4226" s="6">
        <f>IF($B4215="","",ROUND(B4224-E4224,2))</f>
        <v/>
      </c>
      <c r="D4226">
        <f>IF($B4215="","",IF(ABS(B4226)&gt;'Opening Balance'!$B$16,"ALERT 警报: Different over RM"&amp;'Opening Balance'!$B$16&amp;" 差额超过RM"&amp;'Opening Balance'!$B$16&amp;" - please check 请检查",IF(B4226=0,"Tied 平衡",IF(ABS(B4226)&lt;='Opening Balance'!$B$13,"Small difference 小额差额: adjusted on c/f petty cash 已调整备用金",IF(B4226&gt;0,"Short 短收: added to Misc Charges 已加入杂项费用","Over 多收: added to Cash Sales 已加入现金销售")))))</f>
        <v/>
      </c>
      <c r="H4226" t="inlineStr">
        <is>
          <t>Different 差额</t>
        </is>
      </c>
      <c r="I4226" s="6">
        <f>IF($B4215="","",ROUND(I4224-L4224,2))</f>
        <v/>
      </c>
    </row>
    <row r="4227"/>
    <row r="4228"/>
    <row r="4229">
      <c r="A4229" t="inlineStr">
        <is>
          <t>Date 日期</t>
        </is>
      </c>
      <c r="B4229" s="5">
        <f>IF('Daily Sale entry '!$A304="","",'Daily Sale entry '!$A304)</f>
        <v/>
      </c>
      <c r="H4229" t="inlineStr">
        <is>
          <t>After 调整后 (After)</t>
        </is>
      </c>
      <c r="I4229" s="5">
        <f>IF($B4229="","",B4229)</f>
        <v/>
      </c>
    </row>
    <row r="4230">
      <c r="A4230" t="inlineStr">
        <is>
          <t>Cash Sales 现金销售</t>
        </is>
      </c>
      <c r="B4230" s="6">
        <f>IF($B4229="","",'Daily Sale entry '!B304)</f>
        <v/>
      </c>
      <c r="D4230" t="inlineStr">
        <is>
          <t>c/f petty cash 今日备用金结转</t>
        </is>
      </c>
      <c r="E4230" s="6">
        <f>IF($B4229="","",'Daily Sale entry '!G304)</f>
        <v/>
      </c>
      <c r="H4230" t="inlineStr">
        <is>
          <t>Cash Sales 现金销售</t>
        </is>
      </c>
      <c r="I4230" s="6">
        <f>IF($B4229="","",IF(AND(ABS(B4240)&gt;'Opening Balance'!$B$13,B4240&lt;0),ROUND(B4230-B4240,2),B4230))</f>
        <v/>
      </c>
      <c r="K4230" t="inlineStr">
        <is>
          <t>c/f petty cash 今日备用金结转</t>
        </is>
      </c>
      <c r="L4230" s="6">
        <f>IF($B4229="","",IF(ABS(B4240)&lt;='Opening Balance'!$B$13,ROUND(E4230+B4240,2),E4230))</f>
        <v/>
      </c>
    </row>
    <row r="4231">
      <c r="A4231" t="inlineStr">
        <is>
          <t>Misc Charges 杂项费用</t>
        </is>
      </c>
      <c r="B4231" s="6">
        <f>IF($B4229="","",'Daily Sale entry '!C304)</f>
        <v/>
      </c>
      <c r="D4231" t="inlineStr">
        <is>
          <t>cash collection 现金收款</t>
        </is>
      </c>
      <c r="E4231" s="6">
        <f>IF($B4229="","",'Daily Sale entry '!H304)</f>
        <v/>
      </c>
      <c r="H4231" t="inlineStr">
        <is>
          <t>Misc Charges 杂项费用</t>
        </is>
      </c>
      <c r="I4231" s="6">
        <f>IF($B4229="","",IF(AND(ABS(B4240)&gt;'Opening Balance'!$B$13,B4240&gt;0),ROUND(B4231+B4240,2),B4231))</f>
        <v/>
      </c>
      <c r="K4231" t="inlineStr">
        <is>
          <t>cash collection 现金收款</t>
        </is>
      </c>
      <c r="L4231" s="6">
        <f>IF($B4229="","",E4231)</f>
        <v/>
      </c>
    </row>
    <row r="4232">
      <c r="A4232" s="1" t="inlineStr">
        <is>
          <t>Other Charges 其他费用</t>
        </is>
      </c>
      <c r="B4232" s="9">
        <f>IF($B4229="","",'Daily Sale entry '!D304)</f>
        <v/>
      </c>
      <c r="D4232" s="1" t="inlineStr">
        <is>
          <t>Cheque Collection 支票收款</t>
        </is>
      </c>
      <c r="E4232" s="9">
        <f>IF($B4229="","",'Daily Sale entry '!J304)</f>
        <v/>
      </c>
      <c r="H4232" s="1" t="inlineStr">
        <is>
          <t>Other Charges 其他费用</t>
        </is>
      </c>
      <c r="I4232" s="9">
        <f>IF($B4229="","",B4232)</f>
        <v/>
      </c>
      <c r="K4232" s="1" t="inlineStr">
        <is>
          <t>Cheque Collection 支票收款</t>
        </is>
      </c>
      <c r="L4232" s="9">
        <f>IF($B4229="","",E4232)</f>
        <v/>
      </c>
    </row>
    <row r="4233">
      <c r="A4233" s="10" t="inlineStr">
        <is>
          <t>Amount 金额  (Cash Sales - Misc - Other)</t>
        </is>
      </c>
      <c r="B4233" s="11">
        <f>IF($B4229="","",ROUND(B4230-B4231-B4232,2))</f>
        <v/>
      </c>
      <c r="D4233" s="12" t="inlineStr">
        <is>
          <t>TNG collection TNG收款</t>
        </is>
      </c>
      <c r="E4233" s="13">
        <f>IF($B4229="","",'Daily Sale entry '!K304)</f>
        <v/>
      </c>
      <c r="H4233" s="10" t="inlineStr">
        <is>
          <t>Amount 金额  (Cash Sales - Misc - Other)</t>
        </is>
      </c>
      <c r="I4233" s="11">
        <f>IF($B4229="","",ROUND(I4230-I4231-I4232,2))</f>
        <v/>
      </c>
      <c r="K4233" s="12" t="inlineStr">
        <is>
          <t>TNG collection TNG收款</t>
        </is>
      </c>
      <c r="L4233" s="13">
        <f>IF($B4229="","",E4233)</f>
        <v/>
      </c>
    </row>
    <row r="4234">
      <c r="A4234" t="inlineStr">
        <is>
          <t>Credit Collection 赊账收款</t>
        </is>
      </c>
      <c r="B4234" s="6">
        <f>IF($B4229="","",'Daily Sale entry '!E304)</f>
        <v/>
      </c>
      <c r="D4234" t="inlineStr">
        <is>
          <t>Advance Salary_M 预支薪水_M</t>
        </is>
      </c>
      <c r="E4234" s="6">
        <f>IF($B4229="","",'Daily Sale entry '!L304)</f>
        <v/>
      </c>
      <c r="H4234" t="inlineStr">
        <is>
          <t>Credit Collection 赊账收款</t>
        </is>
      </c>
      <c r="I4234" s="6">
        <f>IF($B4229="","",B4234)</f>
        <v/>
      </c>
      <c r="K4234" t="inlineStr">
        <is>
          <t>Advance Salary_M 预支薪水_M</t>
        </is>
      </c>
      <c r="L4234" s="6">
        <f>IF($B4229="","",E4234)</f>
        <v/>
      </c>
    </row>
    <row r="4235">
      <c r="A4235" s="10" t="inlineStr">
        <is>
          <t>Amount 2 金额2  (Amount + Credit Collection)</t>
        </is>
      </c>
      <c r="B4235" s="11">
        <f>IF($B4229="","",ROUND(B4233+B4234,2))</f>
        <v/>
      </c>
      <c r="D4235" t="inlineStr">
        <is>
          <t>Advance Salary_H 预支薪水_H</t>
        </is>
      </c>
      <c r="E4235" s="6">
        <f>IF($B4229="","",'Daily Sale entry '!M304)</f>
        <v/>
      </c>
      <c r="H4235" s="10" t="inlineStr">
        <is>
          <t>Amount 2 金额2  (Amount + Credit Collection)</t>
        </is>
      </c>
      <c r="I4235" s="11">
        <f>IF($B4229="","",ROUND(I4233+I4234,2))</f>
        <v/>
      </c>
      <c r="K4235" t="inlineStr">
        <is>
          <t>Advance Salary_H 预支薪水_H</t>
        </is>
      </c>
      <c r="L4235" s="6">
        <f>IF($B4229="","",E4235)</f>
        <v/>
      </c>
    </row>
    <row r="4236"/>
    <row r="4237">
      <c r="A4237" s="1" t="inlineStr">
        <is>
          <t>b/f petty cash 上日备用金结转</t>
        </is>
      </c>
      <c r="B4237" s="9">
        <f>IF($B4229="","",'Daily Sale entry '!F304)</f>
        <v/>
      </c>
      <c r="D4237" s="1" t="n"/>
      <c r="E4237" s="1" t="n"/>
      <c r="H4237" s="1" t="inlineStr">
        <is>
          <t>b/f petty cash 上日备用金结转</t>
        </is>
      </c>
      <c r="I4237" s="9">
        <f>IF($B4229="","",B4237)</f>
        <v/>
      </c>
      <c r="K4237" s="1" t="n"/>
      <c r="L4237" s="1" t="n"/>
    </row>
    <row r="4238">
      <c r="A4238" t="inlineStr">
        <is>
          <t>Total (A) 总计 (A)</t>
        </is>
      </c>
      <c r="B4238" s="6">
        <f>IF($B4229="","",ROUND(B4235+B4237,2))</f>
        <v/>
      </c>
      <c r="D4238" t="inlineStr">
        <is>
          <t>Total(B) 总计 (B)</t>
        </is>
      </c>
      <c r="E4238" s="6">
        <f>IF($B4229="","",ROUND(E4230+E4231+E4232+E4233+E4234+E4235,2))</f>
        <v/>
      </c>
      <c r="H4238" t="inlineStr">
        <is>
          <t>Total© 总计 (C)</t>
        </is>
      </c>
      <c r="I4238" s="6">
        <f>IF($B4229="","",ROUND(I4235+I4237,2))</f>
        <v/>
      </c>
      <c r="K4238" t="inlineStr">
        <is>
          <t>Total(D) 总计 (D)</t>
        </is>
      </c>
      <c r="L4238" s="6">
        <f>IF($B4229="","",ROUND(L4230+L4231+L4232+L4233+L4234+L4235,2))</f>
        <v/>
      </c>
    </row>
    <row r="4239">
      <c r="A4239" s="14" t="inlineStr">
        <is>
          <t>Total = Amount 2 + b/f petty cash  (金额2 + 上日备用金)</t>
        </is>
      </c>
      <c r="H4239" s="14" t="inlineStr">
        <is>
          <t>Total = Amount 2 + b/f petty cash  (金额2 + 上日备用金)</t>
        </is>
      </c>
    </row>
    <row r="4240">
      <c r="A4240" t="inlineStr">
        <is>
          <t>Different 差额</t>
        </is>
      </c>
      <c r="B4240" s="6">
        <f>IF($B4229="","",ROUND(B4238-E4238,2))</f>
        <v/>
      </c>
      <c r="D4240">
        <f>IF($B4229="","",IF(ABS(B4240)&gt;'Opening Balance'!$B$16,"ALERT 警报: Different over RM"&amp;'Opening Balance'!$B$16&amp;" 差额超过RM"&amp;'Opening Balance'!$B$16&amp;" - please check 请检查",IF(B4240=0,"Tied 平衡",IF(ABS(B4240)&lt;='Opening Balance'!$B$13,"Small difference 小额差额: adjusted on c/f petty cash 已调整备用金",IF(B4240&gt;0,"Short 短收: added to Misc Charges 已加入杂项费用","Over 多收: added to Cash Sales 已加入现金销售")))))</f>
        <v/>
      </c>
      <c r="H4240" t="inlineStr">
        <is>
          <t>Different 差额</t>
        </is>
      </c>
      <c r="I4240" s="6">
        <f>IF($B4229="","",ROUND(I4238-L4238,2))</f>
        <v/>
      </c>
    </row>
    <row r="4241"/>
    <row r="4242"/>
    <row r="4243">
      <c r="A4243" t="inlineStr">
        <is>
          <t>Date 日期</t>
        </is>
      </c>
      <c r="B4243" s="5">
        <f>IF('Daily Sale entry '!$A305="","",'Daily Sale entry '!$A305)</f>
        <v/>
      </c>
      <c r="H4243" t="inlineStr">
        <is>
          <t>After 调整后 (After)</t>
        </is>
      </c>
      <c r="I4243" s="5">
        <f>IF($B4243="","",B4243)</f>
        <v/>
      </c>
    </row>
    <row r="4244">
      <c r="A4244" t="inlineStr">
        <is>
          <t>Cash Sales 现金销售</t>
        </is>
      </c>
      <c r="B4244" s="6">
        <f>IF($B4243="","",'Daily Sale entry '!B305)</f>
        <v/>
      </c>
      <c r="D4244" t="inlineStr">
        <is>
          <t>c/f petty cash 今日备用金结转</t>
        </is>
      </c>
      <c r="E4244" s="6">
        <f>IF($B4243="","",'Daily Sale entry '!G305)</f>
        <v/>
      </c>
      <c r="H4244" t="inlineStr">
        <is>
          <t>Cash Sales 现金销售</t>
        </is>
      </c>
      <c r="I4244" s="6">
        <f>IF($B4243="","",IF(AND(ABS(B4254)&gt;'Opening Balance'!$B$13,B4254&lt;0),ROUND(B4244-B4254,2),B4244))</f>
        <v/>
      </c>
      <c r="K4244" t="inlineStr">
        <is>
          <t>c/f petty cash 今日备用金结转</t>
        </is>
      </c>
      <c r="L4244" s="6">
        <f>IF($B4243="","",IF(ABS(B4254)&lt;='Opening Balance'!$B$13,ROUND(E4244+B4254,2),E4244))</f>
        <v/>
      </c>
    </row>
    <row r="4245">
      <c r="A4245" t="inlineStr">
        <is>
          <t>Misc Charges 杂项费用</t>
        </is>
      </c>
      <c r="B4245" s="6">
        <f>IF($B4243="","",'Daily Sale entry '!C305)</f>
        <v/>
      </c>
      <c r="D4245" t="inlineStr">
        <is>
          <t>cash collection 现金收款</t>
        </is>
      </c>
      <c r="E4245" s="6">
        <f>IF($B4243="","",'Daily Sale entry '!H305)</f>
        <v/>
      </c>
      <c r="H4245" t="inlineStr">
        <is>
          <t>Misc Charges 杂项费用</t>
        </is>
      </c>
      <c r="I4245" s="6">
        <f>IF($B4243="","",IF(AND(ABS(B4254)&gt;'Opening Balance'!$B$13,B4254&gt;0),ROUND(B4245+B4254,2),B4245))</f>
        <v/>
      </c>
      <c r="K4245" t="inlineStr">
        <is>
          <t>cash collection 现金收款</t>
        </is>
      </c>
      <c r="L4245" s="6">
        <f>IF($B4243="","",E4245)</f>
        <v/>
      </c>
    </row>
    <row r="4246">
      <c r="A4246" s="1" t="inlineStr">
        <is>
          <t>Other Charges 其他费用</t>
        </is>
      </c>
      <c r="B4246" s="9">
        <f>IF($B4243="","",'Daily Sale entry '!D305)</f>
        <v/>
      </c>
      <c r="D4246" s="1" t="inlineStr">
        <is>
          <t>Cheque Collection 支票收款</t>
        </is>
      </c>
      <c r="E4246" s="9">
        <f>IF($B4243="","",'Daily Sale entry '!J305)</f>
        <v/>
      </c>
      <c r="H4246" s="1" t="inlineStr">
        <is>
          <t>Other Charges 其他费用</t>
        </is>
      </c>
      <c r="I4246" s="9">
        <f>IF($B4243="","",B4246)</f>
        <v/>
      </c>
      <c r="K4246" s="1" t="inlineStr">
        <is>
          <t>Cheque Collection 支票收款</t>
        </is>
      </c>
      <c r="L4246" s="9">
        <f>IF($B4243="","",E4246)</f>
        <v/>
      </c>
    </row>
    <row r="4247">
      <c r="A4247" s="10" t="inlineStr">
        <is>
          <t>Amount 金额  (Cash Sales - Misc - Other)</t>
        </is>
      </c>
      <c r="B4247" s="11">
        <f>IF($B4243="","",ROUND(B4244-B4245-B4246,2))</f>
        <v/>
      </c>
      <c r="D4247" s="12" t="inlineStr">
        <is>
          <t>TNG collection TNG收款</t>
        </is>
      </c>
      <c r="E4247" s="13">
        <f>IF($B4243="","",'Daily Sale entry '!K305)</f>
        <v/>
      </c>
      <c r="H4247" s="10" t="inlineStr">
        <is>
          <t>Amount 金额  (Cash Sales - Misc - Other)</t>
        </is>
      </c>
      <c r="I4247" s="11">
        <f>IF($B4243="","",ROUND(I4244-I4245-I4246,2))</f>
        <v/>
      </c>
      <c r="K4247" s="12" t="inlineStr">
        <is>
          <t>TNG collection TNG收款</t>
        </is>
      </c>
      <c r="L4247" s="13">
        <f>IF($B4243="","",E4247)</f>
        <v/>
      </c>
    </row>
    <row r="4248">
      <c r="A4248" t="inlineStr">
        <is>
          <t>Credit Collection 赊账收款</t>
        </is>
      </c>
      <c r="B4248" s="6">
        <f>IF($B4243="","",'Daily Sale entry '!E305)</f>
        <v/>
      </c>
      <c r="D4248" t="inlineStr">
        <is>
          <t>Advance Salary_M 预支薪水_M</t>
        </is>
      </c>
      <c r="E4248" s="6">
        <f>IF($B4243="","",'Daily Sale entry '!L305)</f>
        <v/>
      </c>
      <c r="H4248" t="inlineStr">
        <is>
          <t>Credit Collection 赊账收款</t>
        </is>
      </c>
      <c r="I4248" s="6">
        <f>IF($B4243="","",B4248)</f>
        <v/>
      </c>
      <c r="K4248" t="inlineStr">
        <is>
          <t>Advance Salary_M 预支薪水_M</t>
        </is>
      </c>
      <c r="L4248" s="6">
        <f>IF($B4243="","",E4248)</f>
        <v/>
      </c>
    </row>
    <row r="4249">
      <c r="A4249" s="10" t="inlineStr">
        <is>
          <t>Amount 2 金额2  (Amount + Credit Collection)</t>
        </is>
      </c>
      <c r="B4249" s="11">
        <f>IF($B4243="","",ROUND(B4247+B4248,2))</f>
        <v/>
      </c>
      <c r="D4249" t="inlineStr">
        <is>
          <t>Advance Salary_H 预支薪水_H</t>
        </is>
      </c>
      <c r="E4249" s="6">
        <f>IF($B4243="","",'Daily Sale entry '!M305)</f>
        <v/>
      </c>
      <c r="H4249" s="10" t="inlineStr">
        <is>
          <t>Amount 2 金额2  (Amount + Credit Collection)</t>
        </is>
      </c>
      <c r="I4249" s="11">
        <f>IF($B4243="","",ROUND(I4247+I4248,2))</f>
        <v/>
      </c>
      <c r="K4249" t="inlineStr">
        <is>
          <t>Advance Salary_H 预支薪水_H</t>
        </is>
      </c>
      <c r="L4249" s="6">
        <f>IF($B4243="","",E4249)</f>
        <v/>
      </c>
    </row>
    <row r="4250"/>
    <row r="4251">
      <c r="A4251" s="1" t="inlineStr">
        <is>
          <t>b/f petty cash 上日备用金结转</t>
        </is>
      </c>
      <c r="B4251" s="9">
        <f>IF($B4243="","",'Daily Sale entry '!F305)</f>
        <v/>
      </c>
      <c r="D4251" s="1" t="n"/>
      <c r="E4251" s="1" t="n"/>
      <c r="H4251" s="1" t="inlineStr">
        <is>
          <t>b/f petty cash 上日备用金结转</t>
        </is>
      </c>
      <c r="I4251" s="9">
        <f>IF($B4243="","",B4251)</f>
        <v/>
      </c>
      <c r="K4251" s="1" t="n"/>
      <c r="L4251" s="1" t="n"/>
    </row>
    <row r="4252">
      <c r="A4252" t="inlineStr">
        <is>
          <t>Total (A) 总计 (A)</t>
        </is>
      </c>
      <c r="B4252" s="6">
        <f>IF($B4243="","",ROUND(B4249+B4251,2))</f>
        <v/>
      </c>
      <c r="D4252" t="inlineStr">
        <is>
          <t>Total(B) 总计 (B)</t>
        </is>
      </c>
      <c r="E4252" s="6">
        <f>IF($B4243="","",ROUND(E4244+E4245+E4246+E4247+E4248+E4249,2))</f>
        <v/>
      </c>
      <c r="H4252" t="inlineStr">
        <is>
          <t>Total© 总计 (C)</t>
        </is>
      </c>
      <c r="I4252" s="6">
        <f>IF($B4243="","",ROUND(I4249+I4251,2))</f>
        <v/>
      </c>
      <c r="K4252" t="inlineStr">
        <is>
          <t>Total(D) 总计 (D)</t>
        </is>
      </c>
      <c r="L4252" s="6">
        <f>IF($B4243="","",ROUND(L4244+L4245+L4246+L4247+L4248+L4249,2))</f>
        <v/>
      </c>
    </row>
    <row r="4253">
      <c r="A4253" s="14" t="inlineStr">
        <is>
          <t>Total = Amount 2 + b/f petty cash  (金额2 + 上日备用金)</t>
        </is>
      </c>
      <c r="H4253" s="14" t="inlineStr">
        <is>
          <t>Total = Amount 2 + b/f petty cash  (金额2 + 上日备用金)</t>
        </is>
      </c>
    </row>
    <row r="4254">
      <c r="A4254" t="inlineStr">
        <is>
          <t>Different 差额</t>
        </is>
      </c>
      <c r="B4254" s="6">
        <f>IF($B4243="","",ROUND(B4252-E4252,2))</f>
        <v/>
      </c>
      <c r="D4254">
        <f>IF($B4243="","",IF(ABS(B4254)&gt;'Opening Balance'!$B$16,"ALERT 警报: Different over RM"&amp;'Opening Balance'!$B$16&amp;" 差额超过RM"&amp;'Opening Balance'!$B$16&amp;" - please check 请检查",IF(B4254=0,"Tied 平衡",IF(ABS(B4254)&lt;='Opening Balance'!$B$13,"Small difference 小额差额: adjusted on c/f petty cash 已调整备用金",IF(B4254&gt;0,"Short 短收: added to Misc Charges 已加入杂项费用","Over 多收: added to Cash Sales 已加入现金销售")))))</f>
        <v/>
      </c>
      <c r="H4254" t="inlineStr">
        <is>
          <t>Different 差额</t>
        </is>
      </c>
      <c r="I4254" s="6">
        <f>IF($B4243="","",ROUND(I4252-L4252,2))</f>
        <v/>
      </c>
    </row>
    <row r="4255"/>
    <row r="4256"/>
    <row r="4257">
      <c r="A4257" t="inlineStr">
        <is>
          <t>Date 日期</t>
        </is>
      </c>
      <c r="B4257" s="5">
        <f>IF('Daily Sale entry '!$A306="","",'Daily Sale entry '!$A306)</f>
        <v/>
      </c>
      <c r="H4257" t="inlineStr">
        <is>
          <t>After 调整后 (After)</t>
        </is>
      </c>
      <c r="I4257" s="5">
        <f>IF($B4257="","",B4257)</f>
        <v/>
      </c>
    </row>
    <row r="4258">
      <c r="A4258" t="inlineStr">
        <is>
          <t>Cash Sales 现金销售</t>
        </is>
      </c>
      <c r="B4258" s="6">
        <f>IF($B4257="","",'Daily Sale entry '!B306)</f>
        <v/>
      </c>
      <c r="D4258" t="inlineStr">
        <is>
          <t>c/f petty cash 今日备用金结转</t>
        </is>
      </c>
      <c r="E4258" s="6">
        <f>IF($B4257="","",'Daily Sale entry '!G306)</f>
        <v/>
      </c>
      <c r="H4258" t="inlineStr">
        <is>
          <t>Cash Sales 现金销售</t>
        </is>
      </c>
      <c r="I4258" s="6">
        <f>IF($B4257="","",IF(AND(ABS(B4268)&gt;'Opening Balance'!$B$13,B4268&lt;0),ROUND(B4258-B4268,2),B4258))</f>
        <v/>
      </c>
      <c r="K4258" t="inlineStr">
        <is>
          <t>c/f petty cash 今日备用金结转</t>
        </is>
      </c>
      <c r="L4258" s="6">
        <f>IF($B4257="","",IF(ABS(B4268)&lt;='Opening Balance'!$B$13,ROUND(E4258+B4268,2),E4258))</f>
        <v/>
      </c>
    </row>
    <row r="4259">
      <c r="A4259" t="inlineStr">
        <is>
          <t>Misc Charges 杂项费用</t>
        </is>
      </c>
      <c r="B4259" s="6">
        <f>IF($B4257="","",'Daily Sale entry '!C306)</f>
        <v/>
      </c>
      <c r="D4259" t="inlineStr">
        <is>
          <t>cash collection 现金收款</t>
        </is>
      </c>
      <c r="E4259" s="6">
        <f>IF($B4257="","",'Daily Sale entry '!H306)</f>
        <v/>
      </c>
      <c r="H4259" t="inlineStr">
        <is>
          <t>Misc Charges 杂项费用</t>
        </is>
      </c>
      <c r="I4259" s="6">
        <f>IF($B4257="","",IF(AND(ABS(B4268)&gt;'Opening Balance'!$B$13,B4268&gt;0),ROUND(B4259+B4268,2),B4259))</f>
        <v/>
      </c>
      <c r="K4259" t="inlineStr">
        <is>
          <t>cash collection 现金收款</t>
        </is>
      </c>
      <c r="L4259" s="6">
        <f>IF($B4257="","",E4259)</f>
        <v/>
      </c>
    </row>
    <row r="4260">
      <c r="A4260" s="1" t="inlineStr">
        <is>
          <t>Other Charges 其他费用</t>
        </is>
      </c>
      <c r="B4260" s="9">
        <f>IF($B4257="","",'Daily Sale entry '!D306)</f>
        <v/>
      </c>
      <c r="D4260" s="1" t="inlineStr">
        <is>
          <t>Cheque Collection 支票收款</t>
        </is>
      </c>
      <c r="E4260" s="9">
        <f>IF($B4257="","",'Daily Sale entry '!J306)</f>
        <v/>
      </c>
      <c r="H4260" s="1" t="inlineStr">
        <is>
          <t>Other Charges 其他费用</t>
        </is>
      </c>
      <c r="I4260" s="9">
        <f>IF($B4257="","",B4260)</f>
        <v/>
      </c>
      <c r="K4260" s="1" t="inlineStr">
        <is>
          <t>Cheque Collection 支票收款</t>
        </is>
      </c>
      <c r="L4260" s="9">
        <f>IF($B4257="","",E4260)</f>
        <v/>
      </c>
    </row>
    <row r="4261">
      <c r="A4261" s="10" t="inlineStr">
        <is>
          <t>Amount 金额  (Cash Sales - Misc - Other)</t>
        </is>
      </c>
      <c r="B4261" s="11">
        <f>IF($B4257="","",ROUND(B4258-B4259-B4260,2))</f>
        <v/>
      </c>
      <c r="D4261" s="12" t="inlineStr">
        <is>
          <t>TNG collection TNG收款</t>
        </is>
      </c>
      <c r="E4261" s="13">
        <f>IF($B4257="","",'Daily Sale entry '!K306)</f>
        <v/>
      </c>
      <c r="H4261" s="10" t="inlineStr">
        <is>
          <t>Amount 金额  (Cash Sales - Misc - Other)</t>
        </is>
      </c>
      <c r="I4261" s="11">
        <f>IF($B4257="","",ROUND(I4258-I4259-I4260,2))</f>
        <v/>
      </c>
      <c r="K4261" s="12" t="inlineStr">
        <is>
          <t>TNG collection TNG收款</t>
        </is>
      </c>
      <c r="L4261" s="13">
        <f>IF($B4257="","",E4261)</f>
        <v/>
      </c>
    </row>
    <row r="4262">
      <c r="A4262" t="inlineStr">
        <is>
          <t>Credit Collection 赊账收款</t>
        </is>
      </c>
      <c r="B4262" s="6">
        <f>IF($B4257="","",'Daily Sale entry '!E306)</f>
        <v/>
      </c>
      <c r="D4262" t="inlineStr">
        <is>
          <t>Advance Salary_M 预支薪水_M</t>
        </is>
      </c>
      <c r="E4262" s="6">
        <f>IF($B4257="","",'Daily Sale entry '!L306)</f>
        <v/>
      </c>
      <c r="H4262" t="inlineStr">
        <is>
          <t>Credit Collection 赊账收款</t>
        </is>
      </c>
      <c r="I4262" s="6">
        <f>IF($B4257="","",B4262)</f>
        <v/>
      </c>
      <c r="K4262" t="inlineStr">
        <is>
          <t>Advance Salary_M 预支薪水_M</t>
        </is>
      </c>
      <c r="L4262" s="6">
        <f>IF($B4257="","",E4262)</f>
        <v/>
      </c>
    </row>
    <row r="4263">
      <c r="A4263" s="10" t="inlineStr">
        <is>
          <t>Amount 2 金额2  (Amount + Credit Collection)</t>
        </is>
      </c>
      <c r="B4263" s="11">
        <f>IF($B4257="","",ROUND(B4261+B4262,2))</f>
        <v/>
      </c>
      <c r="D4263" t="inlineStr">
        <is>
          <t>Advance Salary_H 预支薪水_H</t>
        </is>
      </c>
      <c r="E4263" s="6">
        <f>IF($B4257="","",'Daily Sale entry '!M306)</f>
        <v/>
      </c>
      <c r="H4263" s="10" t="inlineStr">
        <is>
          <t>Amount 2 金额2  (Amount + Credit Collection)</t>
        </is>
      </c>
      <c r="I4263" s="11">
        <f>IF($B4257="","",ROUND(I4261+I4262,2))</f>
        <v/>
      </c>
      <c r="K4263" t="inlineStr">
        <is>
          <t>Advance Salary_H 预支薪水_H</t>
        </is>
      </c>
      <c r="L4263" s="6">
        <f>IF($B4257="","",E4263)</f>
        <v/>
      </c>
    </row>
    <row r="4264"/>
    <row r="4265">
      <c r="A4265" s="1" t="inlineStr">
        <is>
          <t>b/f petty cash 上日备用金结转</t>
        </is>
      </c>
      <c r="B4265" s="9">
        <f>IF($B4257="","",'Daily Sale entry '!F306)</f>
        <v/>
      </c>
      <c r="D4265" s="1" t="n"/>
      <c r="E4265" s="1" t="n"/>
      <c r="H4265" s="1" t="inlineStr">
        <is>
          <t>b/f petty cash 上日备用金结转</t>
        </is>
      </c>
      <c r="I4265" s="9">
        <f>IF($B4257="","",B4265)</f>
        <v/>
      </c>
      <c r="K4265" s="1" t="n"/>
      <c r="L4265" s="1" t="n"/>
    </row>
    <row r="4266">
      <c r="A4266" t="inlineStr">
        <is>
          <t>Total (A) 总计 (A)</t>
        </is>
      </c>
      <c r="B4266" s="6">
        <f>IF($B4257="","",ROUND(B4263+B4265,2))</f>
        <v/>
      </c>
      <c r="D4266" t="inlineStr">
        <is>
          <t>Total(B) 总计 (B)</t>
        </is>
      </c>
      <c r="E4266" s="6">
        <f>IF($B4257="","",ROUND(E4258+E4259+E4260+E4261+E4262+E4263,2))</f>
        <v/>
      </c>
      <c r="H4266" t="inlineStr">
        <is>
          <t>Total© 总计 (C)</t>
        </is>
      </c>
      <c r="I4266" s="6">
        <f>IF($B4257="","",ROUND(I4263+I4265,2))</f>
        <v/>
      </c>
      <c r="K4266" t="inlineStr">
        <is>
          <t>Total(D) 总计 (D)</t>
        </is>
      </c>
      <c r="L4266" s="6">
        <f>IF($B4257="","",ROUND(L4258+L4259+L4260+L4261+L4262+L4263,2))</f>
        <v/>
      </c>
    </row>
    <row r="4267">
      <c r="A4267" s="14" t="inlineStr">
        <is>
          <t>Total = Amount 2 + b/f petty cash  (金额2 + 上日备用金)</t>
        </is>
      </c>
      <c r="H4267" s="14" t="inlineStr">
        <is>
          <t>Total = Amount 2 + b/f petty cash  (金额2 + 上日备用金)</t>
        </is>
      </c>
    </row>
    <row r="4268">
      <c r="A4268" t="inlineStr">
        <is>
          <t>Different 差额</t>
        </is>
      </c>
      <c r="B4268" s="6">
        <f>IF($B4257="","",ROUND(B4266-E4266,2))</f>
        <v/>
      </c>
      <c r="D4268">
        <f>IF($B4257="","",IF(ABS(B4268)&gt;'Opening Balance'!$B$16,"ALERT 警报: Different over RM"&amp;'Opening Balance'!$B$16&amp;" 差额超过RM"&amp;'Opening Balance'!$B$16&amp;" - please check 请检查",IF(B4268=0,"Tied 平衡",IF(ABS(B4268)&lt;='Opening Balance'!$B$13,"Small difference 小额差额: adjusted on c/f petty cash 已调整备用金",IF(B4268&gt;0,"Short 短收: added to Misc Charges 已加入杂项费用","Over 多收: added to Cash Sales 已加入现金销售")))))</f>
        <v/>
      </c>
      <c r="H4268" t="inlineStr">
        <is>
          <t>Different 差额</t>
        </is>
      </c>
      <c r="I4268" s="6">
        <f>IF($B4257="","",ROUND(I4266-L4266,2))</f>
        <v/>
      </c>
    </row>
    <row r="4269"/>
    <row r="4270"/>
    <row r="4271">
      <c r="A4271" t="inlineStr">
        <is>
          <t>Date 日期</t>
        </is>
      </c>
      <c r="B4271" s="5">
        <f>IF('Daily Sale entry '!$A307="","",'Daily Sale entry '!$A307)</f>
        <v/>
      </c>
      <c r="H4271" t="inlineStr">
        <is>
          <t>After 调整后 (After)</t>
        </is>
      </c>
      <c r="I4271" s="5">
        <f>IF($B4271="","",B4271)</f>
        <v/>
      </c>
    </row>
    <row r="4272">
      <c r="A4272" t="inlineStr">
        <is>
          <t>Cash Sales 现金销售</t>
        </is>
      </c>
      <c r="B4272" s="6">
        <f>IF($B4271="","",'Daily Sale entry '!B307)</f>
        <v/>
      </c>
      <c r="D4272" t="inlineStr">
        <is>
          <t>c/f petty cash 今日备用金结转</t>
        </is>
      </c>
      <c r="E4272" s="6">
        <f>IF($B4271="","",'Daily Sale entry '!G307)</f>
        <v/>
      </c>
      <c r="H4272" t="inlineStr">
        <is>
          <t>Cash Sales 现金销售</t>
        </is>
      </c>
      <c r="I4272" s="6">
        <f>IF($B4271="","",IF(AND(ABS(B4282)&gt;'Opening Balance'!$B$13,B4282&lt;0),ROUND(B4272-B4282,2),B4272))</f>
        <v/>
      </c>
      <c r="K4272" t="inlineStr">
        <is>
          <t>c/f petty cash 今日备用金结转</t>
        </is>
      </c>
      <c r="L4272" s="6">
        <f>IF($B4271="","",IF(ABS(B4282)&lt;='Opening Balance'!$B$13,ROUND(E4272+B4282,2),E4272))</f>
        <v/>
      </c>
    </row>
    <row r="4273">
      <c r="A4273" t="inlineStr">
        <is>
          <t>Misc Charges 杂项费用</t>
        </is>
      </c>
      <c r="B4273" s="6">
        <f>IF($B4271="","",'Daily Sale entry '!C307)</f>
        <v/>
      </c>
      <c r="D4273" t="inlineStr">
        <is>
          <t>cash collection 现金收款</t>
        </is>
      </c>
      <c r="E4273" s="6">
        <f>IF($B4271="","",'Daily Sale entry '!H307)</f>
        <v/>
      </c>
      <c r="H4273" t="inlineStr">
        <is>
          <t>Misc Charges 杂项费用</t>
        </is>
      </c>
      <c r="I4273" s="6">
        <f>IF($B4271="","",IF(AND(ABS(B4282)&gt;'Opening Balance'!$B$13,B4282&gt;0),ROUND(B4273+B4282,2),B4273))</f>
        <v/>
      </c>
      <c r="K4273" t="inlineStr">
        <is>
          <t>cash collection 现金收款</t>
        </is>
      </c>
      <c r="L4273" s="6">
        <f>IF($B4271="","",E4273)</f>
        <v/>
      </c>
    </row>
    <row r="4274">
      <c r="A4274" s="1" t="inlineStr">
        <is>
          <t>Other Charges 其他费用</t>
        </is>
      </c>
      <c r="B4274" s="9">
        <f>IF($B4271="","",'Daily Sale entry '!D307)</f>
        <v/>
      </c>
      <c r="D4274" s="1" t="inlineStr">
        <is>
          <t>Cheque Collection 支票收款</t>
        </is>
      </c>
      <c r="E4274" s="9">
        <f>IF($B4271="","",'Daily Sale entry '!J307)</f>
        <v/>
      </c>
      <c r="H4274" s="1" t="inlineStr">
        <is>
          <t>Other Charges 其他费用</t>
        </is>
      </c>
      <c r="I4274" s="9">
        <f>IF($B4271="","",B4274)</f>
        <v/>
      </c>
      <c r="K4274" s="1" t="inlineStr">
        <is>
          <t>Cheque Collection 支票收款</t>
        </is>
      </c>
      <c r="L4274" s="9">
        <f>IF($B4271="","",E4274)</f>
        <v/>
      </c>
    </row>
    <row r="4275">
      <c r="A4275" s="10" t="inlineStr">
        <is>
          <t>Amount 金额  (Cash Sales - Misc - Other)</t>
        </is>
      </c>
      <c r="B4275" s="11">
        <f>IF($B4271="","",ROUND(B4272-B4273-B4274,2))</f>
        <v/>
      </c>
      <c r="D4275" s="12" t="inlineStr">
        <is>
          <t>TNG collection TNG收款</t>
        </is>
      </c>
      <c r="E4275" s="13">
        <f>IF($B4271="","",'Daily Sale entry '!K307)</f>
        <v/>
      </c>
      <c r="H4275" s="10" t="inlineStr">
        <is>
          <t>Amount 金额  (Cash Sales - Misc - Other)</t>
        </is>
      </c>
      <c r="I4275" s="11">
        <f>IF($B4271="","",ROUND(I4272-I4273-I4274,2))</f>
        <v/>
      </c>
      <c r="K4275" s="12" t="inlineStr">
        <is>
          <t>TNG collection TNG收款</t>
        </is>
      </c>
      <c r="L4275" s="13">
        <f>IF($B4271="","",E4275)</f>
        <v/>
      </c>
    </row>
    <row r="4276">
      <c r="A4276" t="inlineStr">
        <is>
          <t>Credit Collection 赊账收款</t>
        </is>
      </c>
      <c r="B4276" s="6">
        <f>IF($B4271="","",'Daily Sale entry '!E307)</f>
        <v/>
      </c>
      <c r="D4276" t="inlineStr">
        <is>
          <t>Advance Salary_M 预支薪水_M</t>
        </is>
      </c>
      <c r="E4276" s="6">
        <f>IF($B4271="","",'Daily Sale entry '!L307)</f>
        <v/>
      </c>
      <c r="H4276" t="inlineStr">
        <is>
          <t>Credit Collection 赊账收款</t>
        </is>
      </c>
      <c r="I4276" s="6">
        <f>IF($B4271="","",B4276)</f>
        <v/>
      </c>
      <c r="K4276" t="inlineStr">
        <is>
          <t>Advance Salary_M 预支薪水_M</t>
        </is>
      </c>
      <c r="L4276" s="6">
        <f>IF($B4271="","",E4276)</f>
        <v/>
      </c>
    </row>
    <row r="4277">
      <c r="A4277" s="10" t="inlineStr">
        <is>
          <t>Amount 2 金额2  (Amount + Credit Collection)</t>
        </is>
      </c>
      <c r="B4277" s="11">
        <f>IF($B4271="","",ROUND(B4275+B4276,2))</f>
        <v/>
      </c>
      <c r="D4277" t="inlineStr">
        <is>
          <t>Advance Salary_H 预支薪水_H</t>
        </is>
      </c>
      <c r="E4277" s="6">
        <f>IF($B4271="","",'Daily Sale entry '!M307)</f>
        <v/>
      </c>
      <c r="H4277" s="10" t="inlineStr">
        <is>
          <t>Amount 2 金额2  (Amount + Credit Collection)</t>
        </is>
      </c>
      <c r="I4277" s="11">
        <f>IF($B4271="","",ROUND(I4275+I4276,2))</f>
        <v/>
      </c>
      <c r="K4277" t="inlineStr">
        <is>
          <t>Advance Salary_H 预支薪水_H</t>
        </is>
      </c>
      <c r="L4277" s="6">
        <f>IF($B4271="","",E4277)</f>
        <v/>
      </c>
    </row>
    <row r="4278"/>
    <row r="4279">
      <c r="A4279" s="1" t="inlineStr">
        <is>
          <t>b/f petty cash 上日备用金结转</t>
        </is>
      </c>
      <c r="B4279" s="9">
        <f>IF($B4271="","",'Daily Sale entry '!F307)</f>
        <v/>
      </c>
      <c r="D4279" s="1" t="n"/>
      <c r="E4279" s="1" t="n"/>
      <c r="H4279" s="1" t="inlineStr">
        <is>
          <t>b/f petty cash 上日备用金结转</t>
        </is>
      </c>
      <c r="I4279" s="9">
        <f>IF($B4271="","",B4279)</f>
        <v/>
      </c>
      <c r="K4279" s="1" t="n"/>
      <c r="L4279" s="1" t="n"/>
    </row>
    <row r="4280">
      <c r="A4280" t="inlineStr">
        <is>
          <t>Total (A) 总计 (A)</t>
        </is>
      </c>
      <c r="B4280" s="6">
        <f>IF($B4271="","",ROUND(B4277+B4279,2))</f>
        <v/>
      </c>
      <c r="D4280" t="inlineStr">
        <is>
          <t>Total(B) 总计 (B)</t>
        </is>
      </c>
      <c r="E4280" s="6">
        <f>IF($B4271="","",ROUND(E4272+E4273+E4274+E4275+E4276+E4277,2))</f>
        <v/>
      </c>
      <c r="H4280" t="inlineStr">
        <is>
          <t>Total© 总计 (C)</t>
        </is>
      </c>
      <c r="I4280" s="6">
        <f>IF($B4271="","",ROUND(I4277+I4279,2))</f>
        <v/>
      </c>
      <c r="K4280" t="inlineStr">
        <is>
          <t>Total(D) 总计 (D)</t>
        </is>
      </c>
      <c r="L4280" s="6">
        <f>IF($B4271="","",ROUND(L4272+L4273+L4274+L4275+L4276+L4277,2))</f>
        <v/>
      </c>
    </row>
    <row r="4281">
      <c r="A4281" s="14" t="inlineStr">
        <is>
          <t>Total = Amount 2 + b/f petty cash  (金额2 + 上日备用金)</t>
        </is>
      </c>
      <c r="H4281" s="14" t="inlineStr">
        <is>
          <t>Total = Amount 2 + b/f petty cash  (金额2 + 上日备用金)</t>
        </is>
      </c>
    </row>
    <row r="4282">
      <c r="A4282" t="inlineStr">
        <is>
          <t>Different 差额</t>
        </is>
      </c>
      <c r="B4282" s="6">
        <f>IF($B4271="","",ROUND(B4280-E4280,2))</f>
        <v/>
      </c>
      <c r="D4282">
        <f>IF($B4271="","",IF(ABS(B4282)&gt;'Opening Balance'!$B$16,"ALERT 警报: Different over RM"&amp;'Opening Balance'!$B$16&amp;" 差额超过RM"&amp;'Opening Balance'!$B$16&amp;" - please check 请检查",IF(B4282=0,"Tied 平衡",IF(ABS(B4282)&lt;='Opening Balance'!$B$13,"Small difference 小额差额: adjusted on c/f petty cash 已调整备用金",IF(B4282&gt;0,"Short 短收: added to Misc Charges 已加入杂项费用","Over 多收: added to Cash Sales 已加入现金销售")))))</f>
        <v/>
      </c>
      <c r="H4282" t="inlineStr">
        <is>
          <t>Different 差额</t>
        </is>
      </c>
      <c r="I4282" s="6">
        <f>IF($B4271="","",ROUND(I4280-L4280,2))</f>
        <v/>
      </c>
    </row>
    <row r="4283"/>
    <row r="4284"/>
    <row r="4285">
      <c r="A4285" t="inlineStr">
        <is>
          <t>Date 日期</t>
        </is>
      </c>
      <c r="B4285" s="5">
        <f>IF('Daily Sale entry '!$A308="","",'Daily Sale entry '!$A308)</f>
        <v/>
      </c>
      <c r="H4285" t="inlineStr">
        <is>
          <t>After 调整后 (After)</t>
        </is>
      </c>
      <c r="I4285" s="5">
        <f>IF($B4285="","",B4285)</f>
        <v/>
      </c>
    </row>
    <row r="4286">
      <c r="A4286" t="inlineStr">
        <is>
          <t>Cash Sales 现金销售</t>
        </is>
      </c>
      <c r="B4286" s="6">
        <f>IF($B4285="","",'Daily Sale entry '!B308)</f>
        <v/>
      </c>
      <c r="D4286" t="inlineStr">
        <is>
          <t>c/f petty cash 今日备用金结转</t>
        </is>
      </c>
      <c r="E4286" s="6">
        <f>IF($B4285="","",'Daily Sale entry '!G308)</f>
        <v/>
      </c>
      <c r="H4286" t="inlineStr">
        <is>
          <t>Cash Sales 现金销售</t>
        </is>
      </c>
      <c r="I4286" s="6">
        <f>IF($B4285="","",IF(AND(ABS(B4296)&gt;'Opening Balance'!$B$13,B4296&lt;0),ROUND(B4286-B4296,2),B4286))</f>
        <v/>
      </c>
      <c r="K4286" t="inlineStr">
        <is>
          <t>c/f petty cash 今日备用金结转</t>
        </is>
      </c>
      <c r="L4286" s="6">
        <f>IF($B4285="","",IF(ABS(B4296)&lt;='Opening Balance'!$B$13,ROUND(E4286+B4296,2),E4286))</f>
        <v/>
      </c>
    </row>
    <row r="4287">
      <c r="A4287" t="inlineStr">
        <is>
          <t>Misc Charges 杂项费用</t>
        </is>
      </c>
      <c r="B4287" s="6">
        <f>IF($B4285="","",'Daily Sale entry '!C308)</f>
        <v/>
      </c>
      <c r="D4287" t="inlineStr">
        <is>
          <t>cash collection 现金收款</t>
        </is>
      </c>
      <c r="E4287" s="6">
        <f>IF($B4285="","",'Daily Sale entry '!H308)</f>
        <v/>
      </c>
      <c r="H4287" t="inlineStr">
        <is>
          <t>Misc Charges 杂项费用</t>
        </is>
      </c>
      <c r="I4287" s="6">
        <f>IF($B4285="","",IF(AND(ABS(B4296)&gt;'Opening Balance'!$B$13,B4296&gt;0),ROUND(B4287+B4296,2),B4287))</f>
        <v/>
      </c>
      <c r="K4287" t="inlineStr">
        <is>
          <t>cash collection 现金收款</t>
        </is>
      </c>
      <c r="L4287" s="6">
        <f>IF($B4285="","",E4287)</f>
        <v/>
      </c>
    </row>
    <row r="4288">
      <c r="A4288" s="1" t="inlineStr">
        <is>
          <t>Other Charges 其他费用</t>
        </is>
      </c>
      <c r="B4288" s="9">
        <f>IF($B4285="","",'Daily Sale entry '!D308)</f>
        <v/>
      </c>
      <c r="D4288" s="1" t="inlineStr">
        <is>
          <t>Cheque Collection 支票收款</t>
        </is>
      </c>
      <c r="E4288" s="9">
        <f>IF($B4285="","",'Daily Sale entry '!J308)</f>
        <v/>
      </c>
      <c r="H4288" s="1" t="inlineStr">
        <is>
          <t>Other Charges 其他费用</t>
        </is>
      </c>
      <c r="I4288" s="9">
        <f>IF($B4285="","",B4288)</f>
        <v/>
      </c>
      <c r="K4288" s="1" t="inlineStr">
        <is>
          <t>Cheque Collection 支票收款</t>
        </is>
      </c>
      <c r="L4288" s="9">
        <f>IF($B4285="","",E4288)</f>
        <v/>
      </c>
    </row>
    <row r="4289">
      <c r="A4289" s="10" t="inlineStr">
        <is>
          <t>Amount 金额  (Cash Sales - Misc - Other)</t>
        </is>
      </c>
      <c r="B4289" s="11">
        <f>IF($B4285="","",ROUND(B4286-B4287-B4288,2))</f>
        <v/>
      </c>
      <c r="D4289" s="12" t="inlineStr">
        <is>
          <t>TNG collection TNG收款</t>
        </is>
      </c>
      <c r="E4289" s="13">
        <f>IF($B4285="","",'Daily Sale entry '!K308)</f>
        <v/>
      </c>
      <c r="H4289" s="10" t="inlineStr">
        <is>
          <t>Amount 金额  (Cash Sales - Misc - Other)</t>
        </is>
      </c>
      <c r="I4289" s="11">
        <f>IF($B4285="","",ROUND(I4286-I4287-I4288,2))</f>
        <v/>
      </c>
      <c r="K4289" s="12" t="inlineStr">
        <is>
          <t>TNG collection TNG收款</t>
        </is>
      </c>
      <c r="L4289" s="13">
        <f>IF($B4285="","",E4289)</f>
        <v/>
      </c>
    </row>
    <row r="4290">
      <c r="A4290" t="inlineStr">
        <is>
          <t>Credit Collection 赊账收款</t>
        </is>
      </c>
      <c r="B4290" s="6">
        <f>IF($B4285="","",'Daily Sale entry '!E308)</f>
        <v/>
      </c>
      <c r="D4290" t="inlineStr">
        <is>
          <t>Advance Salary_M 预支薪水_M</t>
        </is>
      </c>
      <c r="E4290" s="6">
        <f>IF($B4285="","",'Daily Sale entry '!L308)</f>
        <v/>
      </c>
      <c r="H4290" t="inlineStr">
        <is>
          <t>Credit Collection 赊账收款</t>
        </is>
      </c>
      <c r="I4290" s="6">
        <f>IF($B4285="","",B4290)</f>
        <v/>
      </c>
      <c r="K4290" t="inlineStr">
        <is>
          <t>Advance Salary_M 预支薪水_M</t>
        </is>
      </c>
      <c r="L4290" s="6">
        <f>IF($B4285="","",E4290)</f>
        <v/>
      </c>
    </row>
    <row r="4291">
      <c r="A4291" s="10" t="inlineStr">
        <is>
          <t>Amount 2 金额2  (Amount + Credit Collection)</t>
        </is>
      </c>
      <c r="B4291" s="11">
        <f>IF($B4285="","",ROUND(B4289+B4290,2))</f>
        <v/>
      </c>
      <c r="D4291" t="inlineStr">
        <is>
          <t>Advance Salary_H 预支薪水_H</t>
        </is>
      </c>
      <c r="E4291" s="6">
        <f>IF($B4285="","",'Daily Sale entry '!M308)</f>
        <v/>
      </c>
      <c r="H4291" s="10" t="inlineStr">
        <is>
          <t>Amount 2 金额2  (Amount + Credit Collection)</t>
        </is>
      </c>
      <c r="I4291" s="11">
        <f>IF($B4285="","",ROUND(I4289+I4290,2))</f>
        <v/>
      </c>
      <c r="K4291" t="inlineStr">
        <is>
          <t>Advance Salary_H 预支薪水_H</t>
        </is>
      </c>
      <c r="L4291" s="6">
        <f>IF($B4285="","",E4291)</f>
        <v/>
      </c>
    </row>
    <row r="4292"/>
    <row r="4293">
      <c r="A4293" s="1" t="inlineStr">
        <is>
          <t>b/f petty cash 上日备用金结转</t>
        </is>
      </c>
      <c r="B4293" s="9">
        <f>IF($B4285="","",'Daily Sale entry '!F308)</f>
        <v/>
      </c>
      <c r="D4293" s="1" t="n"/>
      <c r="E4293" s="1" t="n"/>
      <c r="H4293" s="1" t="inlineStr">
        <is>
          <t>b/f petty cash 上日备用金结转</t>
        </is>
      </c>
      <c r="I4293" s="9">
        <f>IF($B4285="","",B4293)</f>
        <v/>
      </c>
      <c r="K4293" s="1" t="n"/>
      <c r="L4293" s="1" t="n"/>
    </row>
    <row r="4294">
      <c r="A4294" t="inlineStr">
        <is>
          <t>Total (A) 总计 (A)</t>
        </is>
      </c>
      <c r="B4294" s="6">
        <f>IF($B4285="","",ROUND(B4291+B4293,2))</f>
        <v/>
      </c>
      <c r="D4294" t="inlineStr">
        <is>
          <t>Total(B) 总计 (B)</t>
        </is>
      </c>
      <c r="E4294" s="6">
        <f>IF($B4285="","",ROUND(E4286+E4287+E4288+E4289+E4290+E4291,2))</f>
        <v/>
      </c>
      <c r="H4294" t="inlineStr">
        <is>
          <t>Total© 总计 (C)</t>
        </is>
      </c>
      <c r="I4294" s="6">
        <f>IF($B4285="","",ROUND(I4291+I4293,2))</f>
        <v/>
      </c>
      <c r="K4294" t="inlineStr">
        <is>
          <t>Total(D) 总计 (D)</t>
        </is>
      </c>
      <c r="L4294" s="6">
        <f>IF($B4285="","",ROUND(L4286+L4287+L4288+L4289+L4290+L4291,2))</f>
        <v/>
      </c>
    </row>
    <row r="4295">
      <c r="A4295" s="14" t="inlineStr">
        <is>
          <t>Total = Amount 2 + b/f petty cash  (金额2 + 上日备用金)</t>
        </is>
      </c>
      <c r="H4295" s="14" t="inlineStr">
        <is>
          <t>Total = Amount 2 + b/f petty cash  (金额2 + 上日备用金)</t>
        </is>
      </c>
    </row>
    <row r="4296">
      <c r="A4296" t="inlineStr">
        <is>
          <t>Different 差额</t>
        </is>
      </c>
      <c r="B4296" s="6">
        <f>IF($B4285="","",ROUND(B4294-E4294,2))</f>
        <v/>
      </c>
      <c r="D4296">
        <f>IF($B4285="","",IF(ABS(B4296)&gt;'Opening Balance'!$B$16,"ALERT 警报: Different over RM"&amp;'Opening Balance'!$B$16&amp;" 差额超过RM"&amp;'Opening Balance'!$B$16&amp;" - please check 请检查",IF(B4296=0,"Tied 平衡",IF(ABS(B4296)&lt;='Opening Balance'!$B$13,"Small difference 小额差额: adjusted on c/f petty cash 已调整备用金",IF(B4296&gt;0,"Short 短收: added to Misc Charges 已加入杂项费用","Over 多收: added to Cash Sales 已加入现金销售")))))</f>
        <v/>
      </c>
      <c r="H4296" t="inlineStr">
        <is>
          <t>Different 差额</t>
        </is>
      </c>
      <c r="I4296" s="6">
        <f>IF($B4285="","",ROUND(I4294-L4294,2))</f>
        <v/>
      </c>
    </row>
    <row r="4297"/>
    <row r="4298"/>
    <row r="4299">
      <c r="A4299" t="inlineStr">
        <is>
          <t>Date 日期</t>
        </is>
      </c>
      <c r="B4299" s="5">
        <f>IF('Daily Sale entry '!$A309="","",'Daily Sale entry '!$A309)</f>
        <v/>
      </c>
      <c r="H4299" t="inlineStr">
        <is>
          <t>After 调整后 (After)</t>
        </is>
      </c>
      <c r="I4299" s="5">
        <f>IF($B4299="","",B4299)</f>
        <v/>
      </c>
    </row>
    <row r="4300">
      <c r="A4300" t="inlineStr">
        <is>
          <t>Cash Sales 现金销售</t>
        </is>
      </c>
      <c r="B4300" s="6">
        <f>IF($B4299="","",'Daily Sale entry '!B309)</f>
        <v/>
      </c>
      <c r="D4300" t="inlineStr">
        <is>
          <t>c/f petty cash 今日备用金结转</t>
        </is>
      </c>
      <c r="E4300" s="6">
        <f>IF($B4299="","",'Daily Sale entry '!G309)</f>
        <v/>
      </c>
      <c r="H4300" t="inlineStr">
        <is>
          <t>Cash Sales 现金销售</t>
        </is>
      </c>
      <c r="I4300" s="6">
        <f>IF($B4299="","",IF(AND(ABS(B4310)&gt;'Opening Balance'!$B$13,B4310&lt;0),ROUND(B4300-B4310,2),B4300))</f>
        <v/>
      </c>
      <c r="K4300" t="inlineStr">
        <is>
          <t>c/f petty cash 今日备用金结转</t>
        </is>
      </c>
      <c r="L4300" s="6">
        <f>IF($B4299="","",IF(ABS(B4310)&lt;='Opening Balance'!$B$13,ROUND(E4300+B4310,2),E4300))</f>
        <v/>
      </c>
    </row>
    <row r="4301">
      <c r="A4301" t="inlineStr">
        <is>
          <t>Misc Charges 杂项费用</t>
        </is>
      </c>
      <c r="B4301" s="6">
        <f>IF($B4299="","",'Daily Sale entry '!C309)</f>
        <v/>
      </c>
      <c r="D4301" t="inlineStr">
        <is>
          <t>cash collection 现金收款</t>
        </is>
      </c>
      <c r="E4301" s="6">
        <f>IF($B4299="","",'Daily Sale entry '!H309)</f>
        <v/>
      </c>
      <c r="H4301" t="inlineStr">
        <is>
          <t>Misc Charges 杂项费用</t>
        </is>
      </c>
      <c r="I4301" s="6">
        <f>IF($B4299="","",IF(AND(ABS(B4310)&gt;'Opening Balance'!$B$13,B4310&gt;0),ROUND(B4301+B4310,2),B4301))</f>
        <v/>
      </c>
      <c r="K4301" t="inlineStr">
        <is>
          <t>cash collection 现金收款</t>
        </is>
      </c>
      <c r="L4301" s="6">
        <f>IF($B4299="","",E4301)</f>
        <v/>
      </c>
    </row>
    <row r="4302">
      <c r="A4302" s="1" t="inlineStr">
        <is>
          <t>Other Charges 其他费用</t>
        </is>
      </c>
      <c r="B4302" s="9">
        <f>IF($B4299="","",'Daily Sale entry '!D309)</f>
        <v/>
      </c>
      <c r="D4302" s="1" t="inlineStr">
        <is>
          <t>Cheque Collection 支票收款</t>
        </is>
      </c>
      <c r="E4302" s="9">
        <f>IF($B4299="","",'Daily Sale entry '!J309)</f>
        <v/>
      </c>
      <c r="H4302" s="1" t="inlineStr">
        <is>
          <t>Other Charges 其他费用</t>
        </is>
      </c>
      <c r="I4302" s="9">
        <f>IF($B4299="","",B4302)</f>
        <v/>
      </c>
      <c r="K4302" s="1" t="inlineStr">
        <is>
          <t>Cheque Collection 支票收款</t>
        </is>
      </c>
      <c r="L4302" s="9">
        <f>IF($B4299="","",E4302)</f>
        <v/>
      </c>
    </row>
    <row r="4303">
      <c r="A4303" s="10" t="inlineStr">
        <is>
          <t>Amount 金额  (Cash Sales - Misc - Other)</t>
        </is>
      </c>
      <c r="B4303" s="11">
        <f>IF($B4299="","",ROUND(B4300-B4301-B4302,2))</f>
        <v/>
      </c>
      <c r="D4303" s="12" t="inlineStr">
        <is>
          <t>TNG collection TNG收款</t>
        </is>
      </c>
      <c r="E4303" s="13">
        <f>IF($B4299="","",'Daily Sale entry '!K309)</f>
        <v/>
      </c>
      <c r="H4303" s="10" t="inlineStr">
        <is>
          <t>Amount 金额  (Cash Sales - Misc - Other)</t>
        </is>
      </c>
      <c r="I4303" s="11">
        <f>IF($B4299="","",ROUND(I4300-I4301-I4302,2))</f>
        <v/>
      </c>
      <c r="K4303" s="12" t="inlineStr">
        <is>
          <t>TNG collection TNG收款</t>
        </is>
      </c>
      <c r="L4303" s="13">
        <f>IF($B4299="","",E4303)</f>
        <v/>
      </c>
    </row>
    <row r="4304">
      <c r="A4304" t="inlineStr">
        <is>
          <t>Credit Collection 赊账收款</t>
        </is>
      </c>
      <c r="B4304" s="6">
        <f>IF($B4299="","",'Daily Sale entry '!E309)</f>
        <v/>
      </c>
      <c r="D4304" t="inlineStr">
        <is>
          <t>Advance Salary_M 预支薪水_M</t>
        </is>
      </c>
      <c r="E4304" s="6">
        <f>IF($B4299="","",'Daily Sale entry '!L309)</f>
        <v/>
      </c>
      <c r="H4304" t="inlineStr">
        <is>
          <t>Credit Collection 赊账收款</t>
        </is>
      </c>
      <c r="I4304" s="6">
        <f>IF($B4299="","",B4304)</f>
        <v/>
      </c>
      <c r="K4304" t="inlineStr">
        <is>
          <t>Advance Salary_M 预支薪水_M</t>
        </is>
      </c>
      <c r="L4304" s="6">
        <f>IF($B4299="","",E4304)</f>
        <v/>
      </c>
    </row>
    <row r="4305">
      <c r="A4305" s="10" t="inlineStr">
        <is>
          <t>Amount 2 金额2  (Amount + Credit Collection)</t>
        </is>
      </c>
      <c r="B4305" s="11">
        <f>IF($B4299="","",ROUND(B4303+B4304,2))</f>
        <v/>
      </c>
      <c r="D4305" t="inlineStr">
        <is>
          <t>Advance Salary_H 预支薪水_H</t>
        </is>
      </c>
      <c r="E4305" s="6">
        <f>IF($B4299="","",'Daily Sale entry '!M309)</f>
        <v/>
      </c>
      <c r="H4305" s="10" t="inlineStr">
        <is>
          <t>Amount 2 金额2  (Amount + Credit Collection)</t>
        </is>
      </c>
      <c r="I4305" s="11">
        <f>IF($B4299="","",ROUND(I4303+I4304,2))</f>
        <v/>
      </c>
      <c r="K4305" t="inlineStr">
        <is>
          <t>Advance Salary_H 预支薪水_H</t>
        </is>
      </c>
      <c r="L4305" s="6">
        <f>IF($B4299="","",E4305)</f>
        <v/>
      </c>
    </row>
    <row r="4306"/>
    <row r="4307">
      <c r="A4307" s="1" t="inlineStr">
        <is>
          <t>b/f petty cash 上日备用金结转</t>
        </is>
      </c>
      <c r="B4307" s="9">
        <f>IF($B4299="","",'Daily Sale entry '!F309)</f>
        <v/>
      </c>
      <c r="D4307" s="1" t="n"/>
      <c r="E4307" s="1" t="n"/>
      <c r="H4307" s="1" t="inlineStr">
        <is>
          <t>b/f petty cash 上日备用金结转</t>
        </is>
      </c>
      <c r="I4307" s="9">
        <f>IF($B4299="","",B4307)</f>
        <v/>
      </c>
      <c r="K4307" s="1" t="n"/>
      <c r="L4307" s="1" t="n"/>
    </row>
    <row r="4308">
      <c r="A4308" t="inlineStr">
        <is>
          <t>Total (A) 总计 (A)</t>
        </is>
      </c>
      <c r="B4308" s="6">
        <f>IF($B4299="","",ROUND(B4305+B4307,2))</f>
        <v/>
      </c>
      <c r="D4308" t="inlineStr">
        <is>
          <t>Total(B) 总计 (B)</t>
        </is>
      </c>
      <c r="E4308" s="6">
        <f>IF($B4299="","",ROUND(E4300+E4301+E4302+E4303+E4304+E4305,2))</f>
        <v/>
      </c>
      <c r="H4308" t="inlineStr">
        <is>
          <t>Total© 总计 (C)</t>
        </is>
      </c>
      <c r="I4308" s="6">
        <f>IF($B4299="","",ROUND(I4305+I4307,2))</f>
        <v/>
      </c>
      <c r="K4308" t="inlineStr">
        <is>
          <t>Total(D) 总计 (D)</t>
        </is>
      </c>
      <c r="L4308" s="6">
        <f>IF($B4299="","",ROUND(L4300+L4301+L4302+L4303+L4304+L4305,2))</f>
        <v/>
      </c>
    </row>
    <row r="4309">
      <c r="A4309" s="14" t="inlineStr">
        <is>
          <t>Total = Amount 2 + b/f petty cash  (金额2 + 上日备用金)</t>
        </is>
      </c>
      <c r="H4309" s="14" t="inlineStr">
        <is>
          <t>Total = Amount 2 + b/f petty cash  (金额2 + 上日备用金)</t>
        </is>
      </c>
    </row>
    <row r="4310">
      <c r="A4310" t="inlineStr">
        <is>
          <t>Different 差额</t>
        </is>
      </c>
      <c r="B4310" s="6">
        <f>IF($B4299="","",ROUND(B4308-E4308,2))</f>
        <v/>
      </c>
      <c r="D4310">
        <f>IF($B4299="","",IF(ABS(B4310)&gt;'Opening Balance'!$B$16,"ALERT 警报: Different over RM"&amp;'Opening Balance'!$B$16&amp;" 差额超过RM"&amp;'Opening Balance'!$B$16&amp;" - please check 请检查",IF(B4310=0,"Tied 平衡",IF(ABS(B4310)&lt;='Opening Balance'!$B$13,"Small difference 小额差额: adjusted on c/f petty cash 已调整备用金",IF(B4310&gt;0,"Short 短收: added to Misc Charges 已加入杂项费用","Over 多收: added to Cash Sales 已加入现金销售")))))</f>
        <v/>
      </c>
      <c r="H4310" t="inlineStr">
        <is>
          <t>Different 差额</t>
        </is>
      </c>
      <c r="I4310" s="6">
        <f>IF($B4299="","",ROUND(I4308-L4308,2))</f>
        <v/>
      </c>
    </row>
    <row r="4311"/>
    <row r="4312"/>
    <row r="4313">
      <c r="A4313" t="inlineStr">
        <is>
          <t>Date 日期</t>
        </is>
      </c>
      <c r="B4313" s="5">
        <f>IF('Daily Sale entry '!$A310="","",'Daily Sale entry '!$A310)</f>
        <v/>
      </c>
      <c r="H4313" t="inlineStr">
        <is>
          <t>After 调整后 (After)</t>
        </is>
      </c>
      <c r="I4313" s="5">
        <f>IF($B4313="","",B4313)</f>
        <v/>
      </c>
    </row>
    <row r="4314">
      <c r="A4314" t="inlineStr">
        <is>
          <t>Cash Sales 现金销售</t>
        </is>
      </c>
      <c r="B4314" s="6">
        <f>IF($B4313="","",'Daily Sale entry '!B310)</f>
        <v/>
      </c>
      <c r="D4314" t="inlineStr">
        <is>
          <t>c/f petty cash 今日备用金结转</t>
        </is>
      </c>
      <c r="E4314" s="6">
        <f>IF($B4313="","",'Daily Sale entry '!G310)</f>
        <v/>
      </c>
      <c r="H4314" t="inlineStr">
        <is>
          <t>Cash Sales 现金销售</t>
        </is>
      </c>
      <c r="I4314" s="6">
        <f>IF($B4313="","",IF(AND(ABS(B4324)&gt;'Opening Balance'!$B$13,B4324&lt;0),ROUND(B4314-B4324,2),B4314))</f>
        <v/>
      </c>
      <c r="K4314" t="inlineStr">
        <is>
          <t>c/f petty cash 今日备用金结转</t>
        </is>
      </c>
      <c r="L4314" s="6">
        <f>IF($B4313="","",IF(ABS(B4324)&lt;='Opening Balance'!$B$13,ROUND(E4314+B4324,2),E4314))</f>
        <v/>
      </c>
    </row>
    <row r="4315">
      <c r="A4315" t="inlineStr">
        <is>
          <t>Misc Charges 杂项费用</t>
        </is>
      </c>
      <c r="B4315" s="6">
        <f>IF($B4313="","",'Daily Sale entry '!C310)</f>
        <v/>
      </c>
      <c r="D4315" t="inlineStr">
        <is>
          <t>cash collection 现金收款</t>
        </is>
      </c>
      <c r="E4315" s="6">
        <f>IF($B4313="","",'Daily Sale entry '!H310)</f>
        <v/>
      </c>
      <c r="H4315" t="inlineStr">
        <is>
          <t>Misc Charges 杂项费用</t>
        </is>
      </c>
      <c r="I4315" s="6">
        <f>IF($B4313="","",IF(AND(ABS(B4324)&gt;'Opening Balance'!$B$13,B4324&gt;0),ROUND(B4315+B4324,2),B4315))</f>
        <v/>
      </c>
      <c r="K4315" t="inlineStr">
        <is>
          <t>cash collection 现金收款</t>
        </is>
      </c>
      <c r="L4315" s="6">
        <f>IF($B4313="","",E4315)</f>
        <v/>
      </c>
    </row>
    <row r="4316">
      <c r="A4316" s="1" t="inlineStr">
        <is>
          <t>Other Charges 其他费用</t>
        </is>
      </c>
      <c r="B4316" s="9">
        <f>IF($B4313="","",'Daily Sale entry '!D310)</f>
        <v/>
      </c>
      <c r="D4316" s="1" t="inlineStr">
        <is>
          <t>Cheque Collection 支票收款</t>
        </is>
      </c>
      <c r="E4316" s="9">
        <f>IF($B4313="","",'Daily Sale entry '!J310)</f>
        <v/>
      </c>
      <c r="H4316" s="1" t="inlineStr">
        <is>
          <t>Other Charges 其他费用</t>
        </is>
      </c>
      <c r="I4316" s="9">
        <f>IF($B4313="","",B4316)</f>
        <v/>
      </c>
      <c r="K4316" s="1" t="inlineStr">
        <is>
          <t>Cheque Collection 支票收款</t>
        </is>
      </c>
      <c r="L4316" s="9">
        <f>IF($B4313="","",E4316)</f>
        <v/>
      </c>
    </row>
    <row r="4317">
      <c r="A4317" s="10" t="inlineStr">
        <is>
          <t>Amount 金额  (Cash Sales - Misc - Other)</t>
        </is>
      </c>
      <c r="B4317" s="11">
        <f>IF($B4313="","",ROUND(B4314-B4315-B4316,2))</f>
        <v/>
      </c>
      <c r="D4317" s="12" t="inlineStr">
        <is>
          <t>TNG collection TNG收款</t>
        </is>
      </c>
      <c r="E4317" s="13">
        <f>IF($B4313="","",'Daily Sale entry '!K310)</f>
        <v/>
      </c>
      <c r="H4317" s="10" t="inlineStr">
        <is>
          <t>Amount 金额  (Cash Sales - Misc - Other)</t>
        </is>
      </c>
      <c r="I4317" s="11">
        <f>IF($B4313="","",ROUND(I4314-I4315-I4316,2))</f>
        <v/>
      </c>
      <c r="K4317" s="12" t="inlineStr">
        <is>
          <t>TNG collection TNG收款</t>
        </is>
      </c>
      <c r="L4317" s="13">
        <f>IF($B4313="","",E4317)</f>
        <v/>
      </c>
    </row>
    <row r="4318">
      <c r="A4318" t="inlineStr">
        <is>
          <t>Credit Collection 赊账收款</t>
        </is>
      </c>
      <c r="B4318" s="6">
        <f>IF($B4313="","",'Daily Sale entry '!E310)</f>
        <v/>
      </c>
      <c r="D4318" t="inlineStr">
        <is>
          <t>Advance Salary_M 预支薪水_M</t>
        </is>
      </c>
      <c r="E4318" s="6">
        <f>IF($B4313="","",'Daily Sale entry '!L310)</f>
        <v/>
      </c>
      <c r="H4318" t="inlineStr">
        <is>
          <t>Credit Collection 赊账收款</t>
        </is>
      </c>
      <c r="I4318" s="6">
        <f>IF($B4313="","",B4318)</f>
        <v/>
      </c>
      <c r="K4318" t="inlineStr">
        <is>
          <t>Advance Salary_M 预支薪水_M</t>
        </is>
      </c>
      <c r="L4318" s="6">
        <f>IF($B4313="","",E4318)</f>
        <v/>
      </c>
    </row>
    <row r="4319">
      <c r="A4319" s="10" t="inlineStr">
        <is>
          <t>Amount 2 金额2  (Amount + Credit Collection)</t>
        </is>
      </c>
      <c r="B4319" s="11">
        <f>IF($B4313="","",ROUND(B4317+B4318,2))</f>
        <v/>
      </c>
      <c r="D4319" t="inlineStr">
        <is>
          <t>Advance Salary_H 预支薪水_H</t>
        </is>
      </c>
      <c r="E4319" s="6">
        <f>IF($B4313="","",'Daily Sale entry '!M310)</f>
        <v/>
      </c>
      <c r="H4319" s="10" t="inlineStr">
        <is>
          <t>Amount 2 金额2  (Amount + Credit Collection)</t>
        </is>
      </c>
      <c r="I4319" s="11">
        <f>IF($B4313="","",ROUND(I4317+I4318,2))</f>
        <v/>
      </c>
      <c r="K4319" t="inlineStr">
        <is>
          <t>Advance Salary_H 预支薪水_H</t>
        </is>
      </c>
      <c r="L4319" s="6">
        <f>IF($B4313="","",E4319)</f>
        <v/>
      </c>
    </row>
    <row r="4320"/>
    <row r="4321">
      <c r="A4321" s="1" t="inlineStr">
        <is>
          <t>b/f petty cash 上日备用金结转</t>
        </is>
      </c>
      <c r="B4321" s="9">
        <f>IF($B4313="","",'Daily Sale entry '!F310)</f>
        <v/>
      </c>
      <c r="D4321" s="1" t="n"/>
      <c r="E4321" s="1" t="n"/>
      <c r="H4321" s="1" t="inlineStr">
        <is>
          <t>b/f petty cash 上日备用金结转</t>
        </is>
      </c>
      <c r="I4321" s="9">
        <f>IF($B4313="","",B4321)</f>
        <v/>
      </c>
      <c r="K4321" s="1" t="n"/>
      <c r="L4321" s="1" t="n"/>
    </row>
    <row r="4322">
      <c r="A4322" t="inlineStr">
        <is>
          <t>Total (A) 总计 (A)</t>
        </is>
      </c>
      <c r="B4322" s="6">
        <f>IF($B4313="","",ROUND(B4319+B4321,2))</f>
        <v/>
      </c>
      <c r="D4322" t="inlineStr">
        <is>
          <t>Total(B) 总计 (B)</t>
        </is>
      </c>
      <c r="E4322" s="6">
        <f>IF($B4313="","",ROUND(E4314+E4315+E4316+E4317+E4318+E4319,2))</f>
        <v/>
      </c>
      <c r="H4322" t="inlineStr">
        <is>
          <t>Total© 总计 (C)</t>
        </is>
      </c>
      <c r="I4322" s="6">
        <f>IF($B4313="","",ROUND(I4319+I4321,2))</f>
        <v/>
      </c>
      <c r="K4322" t="inlineStr">
        <is>
          <t>Total(D) 总计 (D)</t>
        </is>
      </c>
      <c r="L4322" s="6">
        <f>IF($B4313="","",ROUND(L4314+L4315+L4316+L4317+L4318+L4319,2))</f>
        <v/>
      </c>
    </row>
    <row r="4323">
      <c r="A4323" s="14" t="inlineStr">
        <is>
          <t>Total = Amount 2 + b/f petty cash  (金额2 + 上日备用金)</t>
        </is>
      </c>
      <c r="H4323" s="14" t="inlineStr">
        <is>
          <t>Total = Amount 2 + b/f petty cash  (金额2 + 上日备用金)</t>
        </is>
      </c>
    </row>
    <row r="4324">
      <c r="A4324" t="inlineStr">
        <is>
          <t>Different 差额</t>
        </is>
      </c>
      <c r="B4324" s="6">
        <f>IF($B4313="","",ROUND(B4322-E4322,2))</f>
        <v/>
      </c>
      <c r="D4324">
        <f>IF($B4313="","",IF(ABS(B4324)&gt;'Opening Balance'!$B$16,"ALERT 警报: Different over RM"&amp;'Opening Balance'!$B$16&amp;" 差额超过RM"&amp;'Opening Balance'!$B$16&amp;" - please check 请检查",IF(B4324=0,"Tied 平衡",IF(ABS(B4324)&lt;='Opening Balance'!$B$13,"Small difference 小额差额: adjusted on c/f petty cash 已调整备用金",IF(B4324&gt;0,"Short 短收: added to Misc Charges 已加入杂项费用","Over 多收: added to Cash Sales 已加入现金销售")))))</f>
        <v/>
      </c>
      <c r="H4324" t="inlineStr">
        <is>
          <t>Different 差额</t>
        </is>
      </c>
      <c r="I4324" s="6">
        <f>IF($B4313="","",ROUND(I4322-L4322,2))</f>
        <v/>
      </c>
    </row>
    <row r="4325"/>
    <row r="4326"/>
    <row r="4327">
      <c r="A4327" t="inlineStr">
        <is>
          <t>Date 日期</t>
        </is>
      </c>
      <c r="B4327" s="5">
        <f>IF('Daily Sale entry '!$A311="","",'Daily Sale entry '!$A311)</f>
        <v/>
      </c>
      <c r="H4327" t="inlineStr">
        <is>
          <t>After 调整后 (After)</t>
        </is>
      </c>
      <c r="I4327" s="5">
        <f>IF($B4327="","",B4327)</f>
        <v/>
      </c>
    </row>
    <row r="4328">
      <c r="A4328" t="inlineStr">
        <is>
          <t>Cash Sales 现金销售</t>
        </is>
      </c>
      <c r="B4328" s="6">
        <f>IF($B4327="","",'Daily Sale entry '!B311)</f>
        <v/>
      </c>
      <c r="D4328" t="inlineStr">
        <is>
          <t>c/f petty cash 今日备用金结转</t>
        </is>
      </c>
      <c r="E4328" s="6">
        <f>IF($B4327="","",'Daily Sale entry '!G311)</f>
        <v/>
      </c>
      <c r="H4328" t="inlineStr">
        <is>
          <t>Cash Sales 现金销售</t>
        </is>
      </c>
      <c r="I4328" s="6">
        <f>IF($B4327="","",IF(AND(ABS(B4338)&gt;'Opening Balance'!$B$13,B4338&lt;0),ROUND(B4328-B4338,2),B4328))</f>
        <v/>
      </c>
      <c r="K4328" t="inlineStr">
        <is>
          <t>c/f petty cash 今日备用金结转</t>
        </is>
      </c>
      <c r="L4328" s="6">
        <f>IF($B4327="","",IF(ABS(B4338)&lt;='Opening Balance'!$B$13,ROUND(E4328+B4338,2),E4328))</f>
        <v/>
      </c>
    </row>
    <row r="4329">
      <c r="A4329" t="inlineStr">
        <is>
          <t>Misc Charges 杂项费用</t>
        </is>
      </c>
      <c r="B4329" s="6">
        <f>IF($B4327="","",'Daily Sale entry '!C311)</f>
        <v/>
      </c>
      <c r="D4329" t="inlineStr">
        <is>
          <t>cash collection 现金收款</t>
        </is>
      </c>
      <c r="E4329" s="6">
        <f>IF($B4327="","",'Daily Sale entry '!H311)</f>
        <v/>
      </c>
      <c r="H4329" t="inlineStr">
        <is>
          <t>Misc Charges 杂项费用</t>
        </is>
      </c>
      <c r="I4329" s="6">
        <f>IF($B4327="","",IF(AND(ABS(B4338)&gt;'Opening Balance'!$B$13,B4338&gt;0),ROUND(B4329+B4338,2),B4329))</f>
        <v/>
      </c>
      <c r="K4329" t="inlineStr">
        <is>
          <t>cash collection 现金收款</t>
        </is>
      </c>
      <c r="L4329" s="6">
        <f>IF($B4327="","",E4329)</f>
        <v/>
      </c>
    </row>
    <row r="4330">
      <c r="A4330" s="1" t="inlineStr">
        <is>
          <t>Other Charges 其他费用</t>
        </is>
      </c>
      <c r="B4330" s="9">
        <f>IF($B4327="","",'Daily Sale entry '!D311)</f>
        <v/>
      </c>
      <c r="D4330" s="1" t="inlineStr">
        <is>
          <t>Cheque Collection 支票收款</t>
        </is>
      </c>
      <c r="E4330" s="9">
        <f>IF($B4327="","",'Daily Sale entry '!J311)</f>
        <v/>
      </c>
      <c r="H4330" s="1" t="inlineStr">
        <is>
          <t>Other Charges 其他费用</t>
        </is>
      </c>
      <c r="I4330" s="9">
        <f>IF($B4327="","",B4330)</f>
        <v/>
      </c>
      <c r="K4330" s="1" t="inlineStr">
        <is>
          <t>Cheque Collection 支票收款</t>
        </is>
      </c>
      <c r="L4330" s="9">
        <f>IF($B4327="","",E4330)</f>
        <v/>
      </c>
    </row>
    <row r="4331">
      <c r="A4331" s="10" t="inlineStr">
        <is>
          <t>Amount 金额  (Cash Sales - Misc - Other)</t>
        </is>
      </c>
      <c r="B4331" s="11">
        <f>IF($B4327="","",ROUND(B4328-B4329-B4330,2))</f>
        <v/>
      </c>
      <c r="D4331" s="12" t="inlineStr">
        <is>
          <t>TNG collection TNG收款</t>
        </is>
      </c>
      <c r="E4331" s="13">
        <f>IF($B4327="","",'Daily Sale entry '!K311)</f>
        <v/>
      </c>
      <c r="H4331" s="10" t="inlineStr">
        <is>
          <t>Amount 金额  (Cash Sales - Misc - Other)</t>
        </is>
      </c>
      <c r="I4331" s="11">
        <f>IF($B4327="","",ROUND(I4328-I4329-I4330,2))</f>
        <v/>
      </c>
      <c r="K4331" s="12" t="inlineStr">
        <is>
          <t>TNG collection TNG收款</t>
        </is>
      </c>
      <c r="L4331" s="13">
        <f>IF($B4327="","",E4331)</f>
        <v/>
      </c>
    </row>
    <row r="4332">
      <c r="A4332" t="inlineStr">
        <is>
          <t>Credit Collection 赊账收款</t>
        </is>
      </c>
      <c r="B4332" s="6">
        <f>IF($B4327="","",'Daily Sale entry '!E311)</f>
        <v/>
      </c>
      <c r="D4332" t="inlineStr">
        <is>
          <t>Advance Salary_M 预支薪水_M</t>
        </is>
      </c>
      <c r="E4332" s="6">
        <f>IF($B4327="","",'Daily Sale entry '!L311)</f>
        <v/>
      </c>
      <c r="H4332" t="inlineStr">
        <is>
          <t>Credit Collection 赊账收款</t>
        </is>
      </c>
      <c r="I4332" s="6">
        <f>IF($B4327="","",B4332)</f>
        <v/>
      </c>
      <c r="K4332" t="inlineStr">
        <is>
          <t>Advance Salary_M 预支薪水_M</t>
        </is>
      </c>
      <c r="L4332" s="6">
        <f>IF($B4327="","",E4332)</f>
        <v/>
      </c>
    </row>
    <row r="4333">
      <c r="A4333" s="10" t="inlineStr">
        <is>
          <t>Amount 2 金额2  (Amount + Credit Collection)</t>
        </is>
      </c>
      <c r="B4333" s="11">
        <f>IF($B4327="","",ROUND(B4331+B4332,2))</f>
        <v/>
      </c>
      <c r="D4333" t="inlineStr">
        <is>
          <t>Advance Salary_H 预支薪水_H</t>
        </is>
      </c>
      <c r="E4333" s="6">
        <f>IF($B4327="","",'Daily Sale entry '!M311)</f>
        <v/>
      </c>
      <c r="H4333" s="10" t="inlineStr">
        <is>
          <t>Amount 2 金额2  (Amount + Credit Collection)</t>
        </is>
      </c>
      <c r="I4333" s="11">
        <f>IF($B4327="","",ROUND(I4331+I4332,2))</f>
        <v/>
      </c>
      <c r="K4333" t="inlineStr">
        <is>
          <t>Advance Salary_H 预支薪水_H</t>
        </is>
      </c>
      <c r="L4333" s="6">
        <f>IF($B4327="","",E4333)</f>
        <v/>
      </c>
    </row>
    <row r="4334"/>
    <row r="4335">
      <c r="A4335" s="1" t="inlineStr">
        <is>
          <t>b/f petty cash 上日备用金结转</t>
        </is>
      </c>
      <c r="B4335" s="9">
        <f>IF($B4327="","",'Daily Sale entry '!F311)</f>
        <v/>
      </c>
      <c r="D4335" s="1" t="n"/>
      <c r="E4335" s="1" t="n"/>
      <c r="H4335" s="1" t="inlineStr">
        <is>
          <t>b/f petty cash 上日备用金结转</t>
        </is>
      </c>
      <c r="I4335" s="9">
        <f>IF($B4327="","",B4335)</f>
        <v/>
      </c>
      <c r="K4335" s="1" t="n"/>
      <c r="L4335" s="1" t="n"/>
    </row>
    <row r="4336">
      <c r="A4336" t="inlineStr">
        <is>
          <t>Total (A) 总计 (A)</t>
        </is>
      </c>
      <c r="B4336" s="6">
        <f>IF($B4327="","",ROUND(B4333+B4335,2))</f>
        <v/>
      </c>
      <c r="D4336" t="inlineStr">
        <is>
          <t>Total(B) 总计 (B)</t>
        </is>
      </c>
      <c r="E4336" s="6">
        <f>IF($B4327="","",ROUND(E4328+E4329+E4330+E4331+E4332+E4333,2))</f>
        <v/>
      </c>
      <c r="H4336" t="inlineStr">
        <is>
          <t>Total© 总计 (C)</t>
        </is>
      </c>
      <c r="I4336" s="6">
        <f>IF($B4327="","",ROUND(I4333+I4335,2))</f>
        <v/>
      </c>
      <c r="K4336" t="inlineStr">
        <is>
          <t>Total(D) 总计 (D)</t>
        </is>
      </c>
      <c r="L4336" s="6">
        <f>IF($B4327="","",ROUND(L4328+L4329+L4330+L4331+L4332+L4333,2))</f>
        <v/>
      </c>
    </row>
    <row r="4337">
      <c r="A4337" s="14" t="inlineStr">
        <is>
          <t>Total = Amount 2 + b/f petty cash  (金额2 + 上日备用金)</t>
        </is>
      </c>
      <c r="H4337" s="14" t="inlineStr">
        <is>
          <t>Total = Amount 2 + b/f petty cash  (金额2 + 上日备用金)</t>
        </is>
      </c>
    </row>
    <row r="4338">
      <c r="A4338" t="inlineStr">
        <is>
          <t>Different 差额</t>
        </is>
      </c>
      <c r="B4338" s="6">
        <f>IF($B4327="","",ROUND(B4336-E4336,2))</f>
        <v/>
      </c>
      <c r="D4338">
        <f>IF($B4327="","",IF(ABS(B4338)&gt;'Opening Balance'!$B$16,"ALERT 警报: Different over RM"&amp;'Opening Balance'!$B$16&amp;" 差额超过RM"&amp;'Opening Balance'!$B$16&amp;" - please check 请检查",IF(B4338=0,"Tied 平衡",IF(ABS(B4338)&lt;='Opening Balance'!$B$13,"Small difference 小额差额: adjusted on c/f petty cash 已调整备用金",IF(B4338&gt;0,"Short 短收: added to Misc Charges 已加入杂项费用","Over 多收: added to Cash Sales 已加入现金销售")))))</f>
        <v/>
      </c>
      <c r="H4338" t="inlineStr">
        <is>
          <t>Different 差额</t>
        </is>
      </c>
      <c r="I4338" s="6">
        <f>IF($B4327="","",ROUND(I4336-L4336,2))</f>
        <v/>
      </c>
    </row>
    <row r="4339"/>
    <row r="4340"/>
    <row r="4341">
      <c r="A4341" t="inlineStr">
        <is>
          <t>Date 日期</t>
        </is>
      </c>
      <c r="B4341" s="5">
        <f>IF('Daily Sale entry '!$A312="","",'Daily Sale entry '!$A312)</f>
        <v/>
      </c>
      <c r="H4341" t="inlineStr">
        <is>
          <t>After 调整后 (After)</t>
        </is>
      </c>
      <c r="I4341" s="5">
        <f>IF($B4341="","",B4341)</f>
        <v/>
      </c>
    </row>
    <row r="4342">
      <c r="A4342" t="inlineStr">
        <is>
          <t>Cash Sales 现金销售</t>
        </is>
      </c>
      <c r="B4342" s="6">
        <f>IF($B4341="","",'Daily Sale entry '!B312)</f>
        <v/>
      </c>
      <c r="D4342" t="inlineStr">
        <is>
          <t>c/f petty cash 今日备用金结转</t>
        </is>
      </c>
      <c r="E4342" s="6">
        <f>IF($B4341="","",'Daily Sale entry '!G312)</f>
        <v/>
      </c>
      <c r="H4342" t="inlineStr">
        <is>
          <t>Cash Sales 现金销售</t>
        </is>
      </c>
      <c r="I4342" s="6">
        <f>IF($B4341="","",IF(AND(ABS(B4352)&gt;'Opening Balance'!$B$13,B4352&lt;0),ROUND(B4342-B4352,2),B4342))</f>
        <v/>
      </c>
      <c r="K4342" t="inlineStr">
        <is>
          <t>c/f petty cash 今日备用金结转</t>
        </is>
      </c>
      <c r="L4342" s="6">
        <f>IF($B4341="","",IF(ABS(B4352)&lt;='Opening Balance'!$B$13,ROUND(E4342+B4352,2),E4342))</f>
        <v/>
      </c>
    </row>
    <row r="4343">
      <c r="A4343" t="inlineStr">
        <is>
          <t>Misc Charges 杂项费用</t>
        </is>
      </c>
      <c r="B4343" s="6">
        <f>IF($B4341="","",'Daily Sale entry '!C312)</f>
        <v/>
      </c>
      <c r="D4343" t="inlineStr">
        <is>
          <t>cash collection 现金收款</t>
        </is>
      </c>
      <c r="E4343" s="6">
        <f>IF($B4341="","",'Daily Sale entry '!H312)</f>
        <v/>
      </c>
      <c r="H4343" t="inlineStr">
        <is>
          <t>Misc Charges 杂项费用</t>
        </is>
      </c>
      <c r="I4343" s="6">
        <f>IF($B4341="","",IF(AND(ABS(B4352)&gt;'Opening Balance'!$B$13,B4352&gt;0),ROUND(B4343+B4352,2),B4343))</f>
        <v/>
      </c>
      <c r="K4343" t="inlineStr">
        <is>
          <t>cash collection 现金收款</t>
        </is>
      </c>
      <c r="L4343" s="6">
        <f>IF($B4341="","",E4343)</f>
        <v/>
      </c>
    </row>
    <row r="4344">
      <c r="A4344" s="1" t="inlineStr">
        <is>
          <t>Other Charges 其他费用</t>
        </is>
      </c>
      <c r="B4344" s="9">
        <f>IF($B4341="","",'Daily Sale entry '!D312)</f>
        <v/>
      </c>
      <c r="D4344" s="1" t="inlineStr">
        <is>
          <t>Cheque Collection 支票收款</t>
        </is>
      </c>
      <c r="E4344" s="9">
        <f>IF($B4341="","",'Daily Sale entry '!J312)</f>
        <v/>
      </c>
      <c r="H4344" s="1" t="inlineStr">
        <is>
          <t>Other Charges 其他费用</t>
        </is>
      </c>
      <c r="I4344" s="9">
        <f>IF($B4341="","",B4344)</f>
        <v/>
      </c>
      <c r="K4344" s="1" t="inlineStr">
        <is>
          <t>Cheque Collection 支票收款</t>
        </is>
      </c>
      <c r="L4344" s="9">
        <f>IF($B4341="","",E4344)</f>
        <v/>
      </c>
    </row>
    <row r="4345">
      <c r="A4345" s="10" t="inlineStr">
        <is>
          <t>Amount 金额  (Cash Sales - Misc - Other)</t>
        </is>
      </c>
      <c r="B4345" s="11">
        <f>IF($B4341="","",ROUND(B4342-B4343-B4344,2))</f>
        <v/>
      </c>
      <c r="D4345" s="12" t="inlineStr">
        <is>
          <t>TNG collection TNG收款</t>
        </is>
      </c>
      <c r="E4345" s="13">
        <f>IF($B4341="","",'Daily Sale entry '!K312)</f>
        <v/>
      </c>
      <c r="H4345" s="10" t="inlineStr">
        <is>
          <t>Amount 金额  (Cash Sales - Misc - Other)</t>
        </is>
      </c>
      <c r="I4345" s="11">
        <f>IF($B4341="","",ROUND(I4342-I4343-I4344,2))</f>
        <v/>
      </c>
      <c r="K4345" s="12" t="inlineStr">
        <is>
          <t>TNG collection TNG收款</t>
        </is>
      </c>
      <c r="L4345" s="13">
        <f>IF($B4341="","",E4345)</f>
        <v/>
      </c>
    </row>
    <row r="4346">
      <c r="A4346" t="inlineStr">
        <is>
          <t>Credit Collection 赊账收款</t>
        </is>
      </c>
      <c r="B4346" s="6">
        <f>IF($B4341="","",'Daily Sale entry '!E312)</f>
        <v/>
      </c>
      <c r="D4346" t="inlineStr">
        <is>
          <t>Advance Salary_M 预支薪水_M</t>
        </is>
      </c>
      <c r="E4346" s="6">
        <f>IF($B4341="","",'Daily Sale entry '!L312)</f>
        <v/>
      </c>
      <c r="H4346" t="inlineStr">
        <is>
          <t>Credit Collection 赊账收款</t>
        </is>
      </c>
      <c r="I4346" s="6">
        <f>IF($B4341="","",B4346)</f>
        <v/>
      </c>
      <c r="K4346" t="inlineStr">
        <is>
          <t>Advance Salary_M 预支薪水_M</t>
        </is>
      </c>
      <c r="L4346" s="6">
        <f>IF($B4341="","",E4346)</f>
        <v/>
      </c>
    </row>
    <row r="4347">
      <c r="A4347" s="10" t="inlineStr">
        <is>
          <t>Amount 2 金额2  (Amount + Credit Collection)</t>
        </is>
      </c>
      <c r="B4347" s="11">
        <f>IF($B4341="","",ROUND(B4345+B4346,2))</f>
        <v/>
      </c>
      <c r="D4347" t="inlineStr">
        <is>
          <t>Advance Salary_H 预支薪水_H</t>
        </is>
      </c>
      <c r="E4347" s="6">
        <f>IF($B4341="","",'Daily Sale entry '!M312)</f>
        <v/>
      </c>
      <c r="H4347" s="10" t="inlineStr">
        <is>
          <t>Amount 2 金额2  (Amount + Credit Collection)</t>
        </is>
      </c>
      <c r="I4347" s="11">
        <f>IF($B4341="","",ROUND(I4345+I4346,2))</f>
        <v/>
      </c>
      <c r="K4347" t="inlineStr">
        <is>
          <t>Advance Salary_H 预支薪水_H</t>
        </is>
      </c>
      <c r="L4347" s="6">
        <f>IF($B4341="","",E4347)</f>
        <v/>
      </c>
    </row>
    <row r="4348"/>
    <row r="4349">
      <c r="A4349" s="1" t="inlineStr">
        <is>
          <t>b/f petty cash 上日备用金结转</t>
        </is>
      </c>
      <c r="B4349" s="9">
        <f>IF($B4341="","",'Daily Sale entry '!F312)</f>
        <v/>
      </c>
      <c r="D4349" s="1" t="n"/>
      <c r="E4349" s="1" t="n"/>
      <c r="H4349" s="1" t="inlineStr">
        <is>
          <t>b/f petty cash 上日备用金结转</t>
        </is>
      </c>
      <c r="I4349" s="9">
        <f>IF($B4341="","",B4349)</f>
        <v/>
      </c>
      <c r="K4349" s="1" t="n"/>
      <c r="L4349" s="1" t="n"/>
    </row>
    <row r="4350">
      <c r="A4350" t="inlineStr">
        <is>
          <t>Total (A) 总计 (A)</t>
        </is>
      </c>
      <c r="B4350" s="6">
        <f>IF($B4341="","",ROUND(B4347+B4349,2))</f>
        <v/>
      </c>
      <c r="D4350" t="inlineStr">
        <is>
          <t>Total(B) 总计 (B)</t>
        </is>
      </c>
      <c r="E4350" s="6">
        <f>IF($B4341="","",ROUND(E4342+E4343+E4344+E4345+E4346+E4347,2))</f>
        <v/>
      </c>
      <c r="H4350" t="inlineStr">
        <is>
          <t>Total© 总计 (C)</t>
        </is>
      </c>
      <c r="I4350" s="6">
        <f>IF($B4341="","",ROUND(I4347+I4349,2))</f>
        <v/>
      </c>
      <c r="K4350" t="inlineStr">
        <is>
          <t>Total(D) 总计 (D)</t>
        </is>
      </c>
      <c r="L4350" s="6">
        <f>IF($B4341="","",ROUND(L4342+L4343+L4344+L4345+L4346+L4347,2))</f>
        <v/>
      </c>
    </row>
    <row r="4351">
      <c r="A4351" s="14" t="inlineStr">
        <is>
          <t>Total = Amount 2 + b/f petty cash  (金额2 + 上日备用金)</t>
        </is>
      </c>
      <c r="H4351" s="14" t="inlineStr">
        <is>
          <t>Total = Amount 2 + b/f petty cash  (金额2 + 上日备用金)</t>
        </is>
      </c>
    </row>
    <row r="4352">
      <c r="A4352" t="inlineStr">
        <is>
          <t>Different 差额</t>
        </is>
      </c>
      <c r="B4352" s="6">
        <f>IF($B4341="","",ROUND(B4350-E4350,2))</f>
        <v/>
      </c>
      <c r="D4352">
        <f>IF($B4341="","",IF(ABS(B4352)&gt;'Opening Balance'!$B$16,"ALERT 警报: Different over RM"&amp;'Opening Balance'!$B$16&amp;" 差额超过RM"&amp;'Opening Balance'!$B$16&amp;" - please check 请检查",IF(B4352=0,"Tied 平衡",IF(ABS(B4352)&lt;='Opening Balance'!$B$13,"Small difference 小额差额: adjusted on c/f petty cash 已调整备用金",IF(B4352&gt;0,"Short 短收: added to Misc Charges 已加入杂项费用","Over 多收: added to Cash Sales 已加入现金销售")))))</f>
        <v/>
      </c>
      <c r="H4352" t="inlineStr">
        <is>
          <t>Different 差额</t>
        </is>
      </c>
      <c r="I4352" s="6">
        <f>IF($B4341="","",ROUND(I4350-L4350,2))</f>
        <v/>
      </c>
    </row>
    <row r="4353"/>
    <row r="4354"/>
    <row r="4355">
      <c r="A4355" t="inlineStr">
        <is>
          <t>Date 日期</t>
        </is>
      </c>
      <c r="B4355" s="5">
        <f>IF('Daily Sale entry '!$A313="","",'Daily Sale entry '!$A313)</f>
        <v/>
      </c>
      <c r="H4355" t="inlineStr">
        <is>
          <t>After 调整后 (After)</t>
        </is>
      </c>
      <c r="I4355" s="5">
        <f>IF($B4355="","",B4355)</f>
        <v/>
      </c>
    </row>
    <row r="4356">
      <c r="A4356" t="inlineStr">
        <is>
          <t>Cash Sales 现金销售</t>
        </is>
      </c>
      <c r="B4356" s="6">
        <f>IF($B4355="","",'Daily Sale entry '!B313)</f>
        <v/>
      </c>
      <c r="D4356" t="inlineStr">
        <is>
          <t>c/f petty cash 今日备用金结转</t>
        </is>
      </c>
      <c r="E4356" s="6">
        <f>IF($B4355="","",'Daily Sale entry '!G313)</f>
        <v/>
      </c>
      <c r="H4356" t="inlineStr">
        <is>
          <t>Cash Sales 现金销售</t>
        </is>
      </c>
      <c r="I4356" s="6">
        <f>IF($B4355="","",IF(AND(ABS(B4366)&gt;'Opening Balance'!$B$13,B4366&lt;0),ROUND(B4356-B4366,2),B4356))</f>
        <v/>
      </c>
      <c r="K4356" t="inlineStr">
        <is>
          <t>c/f petty cash 今日备用金结转</t>
        </is>
      </c>
      <c r="L4356" s="6">
        <f>IF($B4355="","",IF(ABS(B4366)&lt;='Opening Balance'!$B$13,ROUND(E4356+B4366,2),E4356))</f>
        <v/>
      </c>
    </row>
    <row r="4357">
      <c r="A4357" t="inlineStr">
        <is>
          <t>Misc Charges 杂项费用</t>
        </is>
      </c>
      <c r="B4357" s="6">
        <f>IF($B4355="","",'Daily Sale entry '!C313)</f>
        <v/>
      </c>
      <c r="D4357" t="inlineStr">
        <is>
          <t>cash collection 现金收款</t>
        </is>
      </c>
      <c r="E4357" s="6">
        <f>IF($B4355="","",'Daily Sale entry '!H313)</f>
        <v/>
      </c>
      <c r="H4357" t="inlineStr">
        <is>
          <t>Misc Charges 杂项费用</t>
        </is>
      </c>
      <c r="I4357" s="6">
        <f>IF($B4355="","",IF(AND(ABS(B4366)&gt;'Opening Balance'!$B$13,B4366&gt;0),ROUND(B4357+B4366,2),B4357))</f>
        <v/>
      </c>
      <c r="K4357" t="inlineStr">
        <is>
          <t>cash collection 现金收款</t>
        </is>
      </c>
      <c r="L4357" s="6">
        <f>IF($B4355="","",E4357)</f>
        <v/>
      </c>
    </row>
    <row r="4358">
      <c r="A4358" s="1" t="inlineStr">
        <is>
          <t>Other Charges 其他费用</t>
        </is>
      </c>
      <c r="B4358" s="9">
        <f>IF($B4355="","",'Daily Sale entry '!D313)</f>
        <v/>
      </c>
      <c r="D4358" s="1" t="inlineStr">
        <is>
          <t>Cheque Collection 支票收款</t>
        </is>
      </c>
      <c r="E4358" s="9">
        <f>IF($B4355="","",'Daily Sale entry '!J313)</f>
        <v/>
      </c>
      <c r="H4358" s="1" t="inlineStr">
        <is>
          <t>Other Charges 其他费用</t>
        </is>
      </c>
      <c r="I4358" s="9">
        <f>IF($B4355="","",B4358)</f>
        <v/>
      </c>
      <c r="K4358" s="1" t="inlineStr">
        <is>
          <t>Cheque Collection 支票收款</t>
        </is>
      </c>
      <c r="L4358" s="9">
        <f>IF($B4355="","",E4358)</f>
        <v/>
      </c>
    </row>
    <row r="4359">
      <c r="A4359" s="10" t="inlineStr">
        <is>
          <t>Amount 金额  (Cash Sales - Misc - Other)</t>
        </is>
      </c>
      <c r="B4359" s="11">
        <f>IF($B4355="","",ROUND(B4356-B4357-B4358,2))</f>
        <v/>
      </c>
      <c r="D4359" s="12" t="inlineStr">
        <is>
          <t>TNG collection TNG收款</t>
        </is>
      </c>
      <c r="E4359" s="13">
        <f>IF($B4355="","",'Daily Sale entry '!K313)</f>
        <v/>
      </c>
      <c r="H4359" s="10" t="inlineStr">
        <is>
          <t>Amount 金额  (Cash Sales - Misc - Other)</t>
        </is>
      </c>
      <c r="I4359" s="11">
        <f>IF($B4355="","",ROUND(I4356-I4357-I4358,2))</f>
        <v/>
      </c>
      <c r="K4359" s="12" t="inlineStr">
        <is>
          <t>TNG collection TNG收款</t>
        </is>
      </c>
      <c r="L4359" s="13">
        <f>IF($B4355="","",E4359)</f>
        <v/>
      </c>
    </row>
    <row r="4360">
      <c r="A4360" t="inlineStr">
        <is>
          <t>Credit Collection 赊账收款</t>
        </is>
      </c>
      <c r="B4360" s="6">
        <f>IF($B4355="","",'Daily Sale entry '!E313)</f>
        <v/>
      </c>
      <c r="D4360" t="inlineStr">
        <is>
          <t>Advance Salary_M 预支薪水_M</t>
        </is>
      </c>
      <c r="E4360" s="6">
        <f>IF($B4355="","",'Daily Sale entry '!L313)</f>
        <v/>
      </c>
      <c r="H4360" t="inlineStr">
        <is>
          <t>Credit Collection 赊账收款</t>
        </is>
      </c>
      <c r="I4360" s="6">
        <f>IF($B4355="","",B4360)</f>
        <v/>
      </c>
      <c r="K4360" t="inlineStr">
        <is>
          <t>Advance Salary_M 预支薪水_M</t>
        </is>
      </c>
      <c r="L4360" s="6">
        <f>IF($B4355="","",E4360)</f>
        <v/>
      </c>
    </row>
    <row r="4361">
      <c r="A4361" s="10" t="inlineStr">
        <is>
          <t>Amount 2 金额2  (Amount + Credit Collection)</t>
        </is>
      </c>
      <c r="B4361" s="11">
        <f>IF($B4355="","",ROUND(B4359+B4360,2))</f>
        <v/>
      </c>
      <c r="D4361" t="inlineStr">
        <is>
          <t>Advance Salary_H 预支薪水_H</t>
        </is>
      </c>
      <c r="E4361" s="6">
        <f>IF($B4355="","",'Daily Sale entry '!M313)</f>
        <v/>
      </c>
      <c r="H4361" s="10" t="inlineStr">
        <is>
          <t>Amount 2 金额2  (Amount + Credit Collection)</t>
        </is>
      </c>
      <c r="I4361" s="11">
        <f>IF($B4355="","",ROUND(I4359+I4360,2))</f>
        <v/>
      </c>
      <c r="K4361" t="inlineStr">
        <is>
          <t>Advance Salary_H 预支薪水_H</t>
        </is>
      </c>
      <c r="L4361" s="6">
        <f>IF($B4355="","",E4361)</f>
        <v/>
      </c>
    </row>
    <row r="4362"/>
    <row r="4363">
      <c r="A4363" s="1" t="inlineStr">
        <is>
          <t>b/f petty cash 上日备用金结转</t>
        </is>
      </c>
      <c r="B4363" s="9">
        <f>IF($B4355="","",'Daily Sale entry '!F313)</f>
        <v/>
      </c>
      <c r="D4363" s="1" t="n"/>
      <c r="E4363" s="1" t="n"/>
      <c r="H4363" s="1" t="inlineStr">
        <is>
          <t>b/f petty cash 上日备用金结转</t>
        </is>
      </c>
      <c r="I4363" s="9">
        <f>IF($B4355="","",B4363)</f>
        <v/>
      </c>
      <c r="K4363" s="1" t="n"/>
      <c r="L4363" s="1" t="n"/>
    </row>
    <row r="4364">
      <c r="A4364" t="inlineStr">
        <is>
          <t>Total (A) 总计 (A)</t>
        </is>
      </c>
      <c r="B4364" s="6">
        <f>IF($B4355="","",ROUND(B4361+B4363,2))</f>
        <v/>
      </c>
      <c r="D4364" t="inlineStr">
        <is>
          <t>Total(B) 总计 (B)</t>
        </is>
      </c>
      <c r="E4364" s="6">
        <f>IF($B4355="","",ROUND(E4356+E4357+E4358+E4359+E4360+E4361,2))</f>
        <v/>
      </c>
      <c r="H4364" t="inlineStr">
        <is>
          <t>Total© 总计 (C)</t>
        </is>
      </c>
      <c r="I4364" s="6">
        <f>IF($B4355="","",ROUND(I4361+I4363,2))</f>
        <v/>
      </c>
      <c r="K4364" t="inlineStr">
        <is>
          <t>Total(D) 总计 (D)</t>
        </is>
      </c>
      <c r="L4364" s="6">
        <f>IF($B4355="","",ROUND(L4356+L4357+L4358+L4359+L4360+L4361,2))</f>
        <v/>
      </c>
    </row>
    <row r="4365">
      <c r="A4365" s="14" t="inlineStr">
        <is>
          <t>Total = Amount 2 + b/f petty cash  (金额2 + 上日备用金)</t>
        </is>
      </c>
      <c r="H4365" s="14" t="inlineStr">
        <is>
          <t>Total = Amount 2 + b/f petty cash  (金额2 + 上日备用金)</t>
        </is>
      </c>
    </row>
    <row r="4366">
      <c r="A4366" t="inlineStr">
        <is>
          <t>Different 差额</t>
        </is>
      </c>
      <c r="B4366" s="6">
        <f>IF($B4355="","",ROUND(B4364-E4364,2))</f>
        <v/>
      </c>
      <c r="D4366">
        <f>IF($B4355="","",IF(ABS(B4366)&gt;'Opening Balance'!$B$16,"ALERT 警报: Different over RM"&amp;'Opening Balance'!$B$16&amp;" 差额超过RM"&amp;'Opening Balance'!$B$16&amp;" - please check 请检查",IF(B4366=0,"Tied 平衡",IF(ABS(B4366)&lt;='Opening Balance'!$B$13,"Small difference 小额差额: adjusted on c/f petty cash 已调整备用金",IF(B4366&gt;0,"Short 短收: added to Misc Charges 已加入杂项费用","Over 多收: added to Cash Sales 已加入现金销售")))))</f>
        <v/>
      </c>
      <c r="H4366" t="inlineStr">
        <is>
          <t>Different 差额</t>
        </is>
      </c>
      <c r="I4366" s="6">
        <f>IF($B4355="","",ROUND(I4364-L4364,2))</f>
        <v/>
      </c>
    </row>
    <row r="4367"/>
    <row r="4368"/>
    <row r="4369">
      <c r="A4369" t="inlineStr">
        <is>
          <t>Date 日期</t>
        </is>
      </c>
      <c r="B4369" s="5">
        <f>IF('Daily Sale entry '!$A314="","",'Daily Sale entry '!$A314)</f>
        <v/>
      </c>
      <c r="H4369" t="inlineStr">
        <is>
          <t>After 调整后 (After)</t>
        </is>
      </c>
      <c r="I4369" s="5">
        <f>IF($B4369="","",B4369)</f>
        <v/>
      </c>
    </row>
    <row r="4370">
      <c r="A4370" t="inlineStr">
        <is>
          <t>Cash Sales 现金销售</t>
        </is>
      </c>
      <c r="B4370" s="6">
        <f>IF($B4369="","",'Daily Sale entry '!B314)</f>
        <v/>
      </c>
      <c r="D4370" t="inlineStr">
        <is>
          <t>c/f petty cash 今日备用金结转</t>
        </is>
      </c>
      <c r="E4370" s="6">
        <f>IF($B4369="","",'Daily Sale entry '!G314)</f>
        <v/>
      </c>
      <c r="H4370" t="inlineStr">
        <is>
          <t>Cash Sales 现金销售</t>
        </is>
      </c>
      <c r="I4370" s="6">
        <f>IF($B4369="","",IF(AND(ABS(B4380)&gt;'Opening Balance'!$B$13,B4380&lt;0),ROUND(B4370-B4380,2),B4370))</f>
        <v/>
      </c>
      <c r="K4370" t="inlineStr">
        <is>
          <t>c/f petty cash 今日备用金结转</t>
        </is>
      </c>
      <c r="L4370" s="6">
        <f>IF($B4369="","",IF(ABS(B4380)&lt;='Opening Balance'!$B$13,ROUND(E4370+B4380,2),E4370))</f>
        <v/>
      </c>
    </row>
    <row r="4371">
      <c r="A4371" t="inlineStr">
        <is>
          <t>Misc Charges 杂项费用</t>
        </is>
      </c>
      <c r="B4371" s="6">
        <f>IF($B4369="","",'Daily Sale entry '!C314)</f>
        <v/>
      </c>
      <c r="D4371" t="inlineStr">
        <is>
          <t>cash collection 现金收款</t>
        </is>
      </c>
      <c r="E4371" s="6">
        <f>IF($B4369="","",'Daily Sale entry '!H314)</f>
        <v/>
      </c>
      <c r="H4371" t="inlineStr">
        <is>
          <t>Misc Charges 杂项费用</t>
        </is>
      </c>
      <c r="I4371" s="6">
        <f>IF($B4369="","",IF(AND(ABS(B4380)&gt;'Opening Balance'!$B$13,B4380&gt;0),ROUND(B4371+B4380,2),B4371))</f>
        <v/>
      </c>
      <c r="K4371" t="inlineStr">
        <is>
          <t>cash collection 现金收款</t>
        </is>
      </c>
      <c r="L4371" s="6">
        <f>IF($B4369="","",E4371)</f>
        <v/>
      </c>
    </row>
    <row r="4372">
      <c r="A4372" s="1" t="inlineStr">
        <is>
          <t>Other Charges 其他费用</t>
        </is>
      </c>
      <c r="B4372" s="9">
        <f>IF($B4369="","",'Daily Sale entry '!D314)</f>
        <v/>
      </c>
      <c r="D4372" s="1" t="inlineStr">
        <is>
          <t>Cheque Collection 支票收款</t>
        </is>
      </c>
      <c r="E4372" s="9">
        <f>IF($B4369="","",'Daily Sale entry '!J314)</f>
        <v/>
      </c>
      <c r="H4372" s="1" t="inlineStr">
        <is>
          <t>Other Charges 其他费用</t>
        </is>
      </c>
      <c r="I4372" s="9">
        <f>IF($B4369="","",B4372)</f>
        <v/>
      </c>
      <c r="K4372" s="1" t="inlineStr">
        <is>
          <t>Cheque Collection 支票收款</t>
        </is>
      </c>
      <c r="L4372" s="9">
        <f>IF($B4369="","",E4372)</f>
        <v/>
      </c>
    </row>
    <row r="4373">
      <c r="A4373" s="10" t="inlineStr">
        <is>
          <t>Amount 金额  (Cash Sales - Misc - Other)</t>
        </is>
      </c>
      <c r="B4373" s="11">
        <f>IF($B4369="","",ROUND(B4370-B4371-B4372,2))</f>
        <v/>
      </c>
      <c r="D4373" s="12" t="inlineStr">
        <is>
          <t>TNG collection TNG收款</t>
        </is>
      </c>
      <c r="E4373" s="13">
        <f>IF($B4369="","",'Daily Sale entry '!K314)</f>
        <v/>
      </c>
      <c r="H4373" s="10" t="inlineStr">
        <is>
          <t>Amount 金额  (Cash Sales - Misc - Other)</t>
        </is>
      </c>
      <c r="I4373" s="11">
        <f>IF($B4369="","",ROUND(I4370-I4371-I4372,2))</f>
        <v/>
      </c>
      <c r="K4373" s="12" t="inlineStr">
        <is>
          <t>TNG collection TNG收款</t>
        </is>
      </c>
      <c r="L4373" s="13">
        <f>IF($B4369="","",E4373)</f>
        <v/>
      </c>
    </row>
    <row r="4374">
      <c r="A4374" t="inlineStr">
        <is>
          <t>Credit Collection 赊账收款</t>
        </is>
      </c>
      <c r="B4374" s="6">
        <f>IF($B4369="","",'Daily Sale entry '!E314)</f>
        <v/>
      </c>
      <c r="D4374" t="inlineStr">
        <is>
          <t>Advance Salary_M 预支薪水_M</t>
        </is>
      </c>
      <c r="E4374" s="6">
        <f>IF($B4369="","",'Daily Sale entry '!L314)</f>
        <v/>
      </c>
      <c r="H4374" t="inlineStr">
        <is>
          <t>Credit Collection 赊账收款</t>
        </is>
      </c>
      <c r="I4374" s="6">
        <f>IF($B4369="","",B4374)</f>
        <v/>
      </c>
      <c r="K4374" t="inlineStr">
        <is>
          <t>Advance Salary_M 预支薪水_M</t>
        </is>
      </c>
      <c r="L4374" s="6">
        <f>IF($B4369="","",E4374)</f>
        <v/>
      </c>
    </row>
    <row r="4375">
      <c r="A4375" s="10" t="inlineStr">
        <is>
          <t>Amount 2 金额2  (Amount + Credit Collection)</t>
        </is>
      </c>
      <c r="B4375" s="11">
        <f>IF($B4369="","",ROUND(B4373+B4374,2))</f>
        <v/>
      </c>
      <c r="D4375" t="inlineStr">
        <is>
          <t>Advance Salary_H 预支薪水_H</t>
        </is>
      </c>
      <c r="E4375" s="6">
        <f>IF($B4369="","",'Daily Sale entry '!M314)</f>
        <v/>
      </c>
      <c r="H4375" s="10" t="inlineStr">
        <is>
          <t>Amount 2 金额2  (Amount + Credit Collection)</t>
        </is>
      </c>
      <c r="I4375" s="11">
        <f>IF($B4369="","",ROUND(I4373+I4374,2))</f>
        <v/>
      </c>
      <c r="K4375" t="inlineStr">
        <is>
          <t>Advance Salary_H 预支薪水_H</t>
        </is>
      </c>
      <c r="L4375" s="6">
        <f>IF($B4369="","",E4375)</f>
        <v/>
      </c>
    </row>
    <row r="4376"/>
    <row r="4377">
      <c r="A4377" s="1" t="inlineStr">
        <is>
          <t>b/f petty cash 上日备用金结转</t>
        </is>
      </c>
      <c r="B4377" s="9">
        <f>IF($B4369="","",'Daily Sale entry '!F314)</f>
        <v/>
      </c>
      <c r="D4377" s="1" t="n"/>
      <c r="E4377" s="1" t="n"/>
      <c r="H4377" s="1" t="inlineStr">
        <is>
          <t>b/f petty cash 上日备用金结转</t>
        </is>
      </c>
      <c r="I4377" s="9">
        <f>IF($B4369="","",B4377)</f>
        <v/>
      </c>
      <c r="K4377" s="1" t="n"/>
      <c r="L4377" s="1" t="n"/>
    </row>
    <row r="4378">
      <c r="A4378" t="inlineStr">
        <is>
          <t>Total (A) 总计 (A)</t>
        </is>
      </c>
      <c r="B4378" s="6">
        <f>IF($B4369="","",ROUND(B4375+B4377,2))</f>
        <v/>
      </c>
      <c r="D4378" t="inlineStr">
        <is>
          <t>Total(B) 总计 (B)</t>
        </is>
      </c>
      <c r="E4378" s="6">
        <f>IF($B4369="","",ROUND(E4370+E4371+E4372+E4373+E4374+E4375,2))</f>
        <v/>
      </c>
      <c r="H4378" t="inlineStr">
        <is>
          <t>Total© 总计 (C)</t>
        </is>
      </c>
      <c r="I4378" s="6">
        <f>IF($B4369="","",ROUND(I4375+I4377,2))</f>
        <v/>
      </c>
      <c r="K4378" t="inlineStr">
        <is>
          <t>Total(D) 总计 (D)</t>
        </is>
      </c>
      <c r="L4378" s="6">
        <f>IF($B4369="","",ROUND(L4370+L4371+L4372+L4373+L4374+L4375,2))</f>
        <v/>
      </c>
    </row>
    <row r="4379">
      <c r="A4379" s="14" t="inlineStr">
        <is>
          <t>Total = Amount 2 + b/f petty cash  (金额2 + 上日备用金)</t>
        </is>
      </c>
      <c r="H4379" s="14" t="inlineStr">
        <is>
          <t>Total = Amount 2 + b/f petty cash  (金额2 + 上日备用金)</t>
        </is>
      </c>
    </row>
    <row r="4380">
      <c r="A4380" t="inlineStr">
        <is>
          <t>Different 差额</t>
        </is>
      </c>
      <c r="B4380" s="6">
        <f>IF($B4369="","",ROUND(B4378-E4378,2))</f>
        <v/>
      </c>
      <c r="D4380">
        <f>IF($B4369="","",IF(ABS(B4380)&gt;'Opening Balance'!$B$16,"ALERT 警报: Different over RM"&amp;'Opening Balance'!$B$16&amp;" 差额超过RM"&amp;'Opening Balance'!$B$16&amp;" - please check 请检查",IF(B4380=0,"Tied 平衡",IF(ABS(B4380)&lt;='Opening Balance'!$B$13,"Small difference 小额差额: adjusted on c/f petty cash 已调整备用金",IF(B4380&gt;0,"Short 短收: added to Misc Charges 已加入杂项费用","Over 多收: added to Cash Sales 已加入现金销售")))))</f>
        <v/>
      </c>
      <c r="H4380" t="inlineStr">
        <is>
          <t>Different 差额</t>
        </is>
      </c>
      <c r="I4380" s="6">
        <f>IF($B4369="","",ROUND(I4378-L4378,2))</f>
        <v/>
      </c>
    </row>
    <row r="4381"/>
    <row r="4382"/>
    <row r="4383">
      <c r="A4383" t="inlineStr">
        <is>
          <t>Date 日期</t>
        </is>
      </c>
      <c r="B4383" s="5">
        <f>IF('Daily Sale entry '!$A315="","",'Daily Sale entry '!$A315)</f>
        <v/>
      </c>
      <c r="H4383" t="inlineStr">
        <is>
          <t>After 调整后 (After)</t>
        </is>
      </c>
      <c r="I4383" s="5">
        <f>IF($B4383="","",B4383)</f>
        <v/>
      </c>
    </row>
    <row r="4384">
      <c r="A4384" t="inlineStr">
        <is>
          <t>Cash Sales 现金销售</t>
        </is>
      </c>
      <c r="B4384" s="6">
        <f>IF($B4383="","",'Daily Sale entry '!B315)</f>
        <v/>
      </c>
      <c r="D4384" t="inlineStr">
        <is>
          <t>c/f petty cash 今日备用金结转</t>
        </is>
      </c>
      <c r="E4384" s="6">
        <f>IF($B4383="","",'Daily Sale entry '!G315)</f>
        <v/>
      </c>
      <c r="H4384" t="inlineStr">
        <is>
          <t>Cash Sales 现金销售</t>
        </is>
      </c>
      <c r="I4384" s="6">
        <f>IF($B4383="","",IF(AND(ABS(B4394)&gt;'Opening Balance'!$B$13,B4394&lt;0),ROUND(B4384-B4394,2),B4384))</f>
        <v/>
      </c>
      <c r="K4384" t="inlineStr">
        <is>
          <t>c/f petty cash 今日备用金结转</t>
        </is>
      </c>
      <c r="L4384" s="6">
        <f>IF($B4383="","",IF(ABS(B4394)&lt;='Opening Balance'!$B$13,ROUND(E4384+B4394,2),E4384))</f>
        <v/>
      </c>
    </row>
    <row r="4385">
      <c r="A4385" t="inlineStr">
        <is>
          <t>Misc Charges 杂项费用</t>
        </is>
      </c>
      <c r="B4385" s="6">
        <f>IF($B4383="","",'Daily Sale entry '!C315)</f>
        <v/>
      </c>
      <c r="D4385" t="inlineStr">
        <is>
          <t>cash collection 现金收款</t>
        </is>
      </c>
      <c r="E4385" s="6">
        <f>IF($B4383="","",'Daily Sale entry '!H315)</f>
        <v/>
      </c>
      <c r="H4385" t="inlineStr">
        <is>
          <t>Misc Charges 杂项费用</t>
        </is>
      </c>
      <c r="I4385" s="6">
        <f>IF($B4383="","",IF(AND(ABS(B4394)&gt;'Opening Balance'!$B$13,B4394&gt;0),ROUND(B4385+B4394,2),B4385))</f>
        <v/>
      </c>
      <c r="K4385" t="inlineStr">
        <is>
          <t>cash collection 现金收款</t>
        </is>
      </c>
      <c r="L4385" s="6">
        <f>IF($B4383="","",E4385)</f>
        <v/>
      </c>
    </row>
    <row r="4386">
      <c r="A4386" s="1" t="inlineStr">
        <is>
          <t>Other Charges 其他费用</t>
        </is>
      </c>
      <c r="B4386" s="9">
        <f>IF($B4383="","",'Daily Sale entry '!D315)</f>
        <v/>
      </c>
      <c r="D4386" s="1" t="inlineStr">
        <is>
          <t>Cheque Collection 支票收款</t>
        </is>
      </c>
      <c r="E4386" s="9">
        <f>IF($B4383="","",'Daily Sale entry '!J315)</f>
        <v/>
      </c>
      <c r="H4386" s="1" t="inlineStr">
        <is>
          <t>Other Charges 其他费用</t>
        </is>
      </c>
      <c r="I4386" s="9">
        <f>IF($B4383="","",B4386)</f>
        <v/>
      </c>
      <c r="K4386" s="1" t="inlineStr">
        <is>
          <t>Cheque Collection 支票收款</t>
        </is>
      </c>
      <c r="L4386" s="9">
        <f>IF($B4383="","",E4386)</f>
        <v/>
      </c>
    </row>
    <row r="4387">
      <c r="A4387" s="10" t="inlineStr">
        <is>
          <t>Amount 金额  (Cash Sales - Misc - Other)</t>
        </is>
      </c>
      <c r="B4387" s="11">
        <f>IF($B4383="","",ROUND(B4384-B4385-B4386,2))</f>
        <v/>
      </c>
      <c r="D4387" s="12" t="inlineStr">
        <is>
          <t>TNG collection TNG收款</t>
        </is>
      </c>
      <c r="E4387" s="13">
        <f>IF($B4383="","",'Daily Sale entry '!K315)</f>
        <v/>
      </c>
      <c r="H4387" s="10" t="inlineStr">
        <is>
          <t>Amount 金额  (Cash Sales - Misc - Other)</t>
        </is>
      </c>
      <c r="I4387" s="11">
        <f>IF($B4383="","",ROUND(I4384-I4385-I4386,2))</f>
        <v/>
      </c>
      <c r="K4387" s="12" t="inlineStr">
        <is>
          <t>TNG collection TNG收款</t>
        </is>
      </c>
      <c r="L4387" s="13">
        <f>IF($B4383="","",E4387)</f>
        <v/>
      </c>
    </row>
    <row r="4388">
      <c r="A4388" t="inlineStr">
        <is>
          <t>Credit Collection 赊账收款</t>
        </is>
      </c>
      <c r="B4388" s="6">
        <f>IF($B4383="","",'Daily Sale entry '!E315)</f>
        <v/>
      </c>
      <c r="D4388" t="inlineStr">
        <is>
          <t>Advance Salary_M 预支薪水_M</t>
        </is>
      </c>
      <c r="E4388" s="6">
        <f>IF($B4383="","",'Daily Sale entry '!L315)</f>
        <v/>
      </c>
      <c r="H4388" t="inlineStr">
        <is>
          <t>Credit Collection 赊账收款</t>
        </is>
      </c>
      <c r="I4388" s="6">
        <f>IF($B4383="","",B4388)</f>
        <v/>
      </c>
      <c r="K4388" t="inlineStr">
        <is>
          <t>Advance Salary_M 预支薪水_M</t>
        </is>
      </c>
      <c r="L4388" s="6">
        <f>IF($B4383="","",E4388)</f>
        <v/>
      </c>
    </row>
    <row r="4389">
      <c r="A4389" s="10" t="inlineStr">
        <is>
          <t>Amount 2 金额2  (Amount + Credit Collection)</t>
        </is>
      </c>
      <c r="B4389" s="11">
        <f>IF($B4383="","",ROUND(B4387+B4388,2))</f>
        <v/>
      </c>
      <c r="D4389" t="inlineStr">
        <is>
          <t>Advance Salary_H 预支薪水_H</t>
        </is>
      </c>
      <c r="E4389" s="6">
        <f>IF($B4383="","",'Daily Sale entry '!M315)</f>
        <v/>
      </c>
      <c r="H4389" s="10" t="inlineStr">
        <is>
          <t>Amount 2 金额2  (Amount + Credit Collection)</t>
        </is>
      </c>
      <c r="I4389" s="11">
        <f>IF($B4383="","",ROUND(I4387+I4388,2))</f>
        <v/>
      </c>
      <c r="K4389" t="inlineStr">
        <is>
          <t>Advance Salary_H 预支薪水_H</t>
        </is>
      </c>
      <c r="L4389" s="6">
        <f>IF($B4383="","",E4389)</f>
        <v/>
      </c>
    </row>
    <row r="4390"/>
    <row r="4391">
      <c r="A4391" s="1" t="inlineStr">
        <is>
          <t>b/f petty cash 上日备用金结转</t>
        </is>
      </c>
      <c r="B4391" s="9">
        <f>IF($B4383="","",'Daily Sale entry '!F315)</f>
        <v/>
      </c>
      <c r="D4391" s="1" t="n"/>
      <c r="E4391" s="1" t="n"/>
      <c r="H4391" s="1" t="inlineStr">
        <is>
          <t>b/f petty cash 上日备用金结转</t>
        </is>
      </c>
      <c r="I4391" s="9">
        <f>IF($B4383="","",B4391)</f>
        <v/>
      </c>
      <c r="K4391" s="1" t="n"/>
      <c r="L4391" s="1" t="n"/>
    </row>
    <row r="4392">
      <c r="A4392" t="inlineStr">
        <is>
          <t>Total (A) 总计 (A)</t>
        </is>
      </c>
      <c r="B4392" s="6">
        <f>IF($B4383="","",ROUND(B4389+B4391,2))</f>
        <v/>
      </c>
      <c r="D4392" t="inlineStr">
        <is>
          <t>Total(B) 总计 (B)</t>
        </is>
      </c>
      <c r="E4392" s="6">
        <f>IF($B4383="","",ROUND(E4384+E4385+E4386+E4387+E4388+E4389,2))</f>
        <v/>
      </c>
      <c r="H4392" t="inlineStr">
        <is>
          <t>Total© 总计 (C)</t>
        </is>
      </c>
      <c r="I4392" s="6">
        <f>IF($B4383="","",ROUND(I4389+I4391,2))</f>
        <v/>
      </c>
      <c r="K4392" t="inlineStr">
        <is>
          <t>Total(D) 总计 (D)</t>
        </is>
      </c>
      <c r="L4392" s="6">
        <f>IF($B4383="","",ROUND(L4384+L4385+L4386+L4387+L4388+L4389,2))</f>
        <v/>
      </c>
    </row>
    <row r="4393">
      <c r="A4393" s="14" t="inlineStr">
        <is>
          <t>Total = Amount 2 + b/f petty cash  (金额2 + 上日备用金)</t>
        </is>
      </c>
      <c r="H4393" s="14" t="inlineStr">
        <is>
          <t>Total = Amount 2 + b/f petty cash  (金额2 + 上日备用金)</t>
        </is>
      </c>
    </row>
    <row r="4394">
      <c r="A4394" t="inlineStr">
        <is>
          <t>Different 差额</t>
        </is>
      </c>
      <c r="B4394" s="6">
        <f>IF($B4383="","",ROUND(B4392-E4392,2))</f>
        <v/>
      </c>
      <c r="D4394">
        <f>IF($B4383="","",IF(ABS(B4394)&gt;'Opening Balance'!$B$16,"ALERT 警报: Different over RM"&amp;'Opening Balance'!$B$16&amp;" 差额超过RM"&amp;'Opening Balance'!$B$16&amp;" - please check 请检查",IF(B4394=0,"Tied 平衡",IF(ABS(B4394)&lt;='Opening Balance'!$B$13,"Small difference 小额差额: adjusted on c/f petty cash 已调整备用金",IF(B4394&gt;0,"Short 短收: added to Misc Charges 已加入杂项费用","Over 多收: added to Cash Sales 已加入现金销售")))))</f>
        <v/>
      </c>
      <c r="H4394" t="inlineStr">
        <is>
          <t>Different 差额</t>
        </is>
      </c>
      <c r="I4394" s="6">
        <f>IF($B4383="","",ROUND(I4392-L4392,2))</f>
        <v/>
      </c>
    </row>
    <row r="4395"/>
    <row r="4396"/>
    <row r="4397">
      <c r="A4397" t="inlineStr">
        <is>
          <t>Date 日期</t>
        </is>
      </c>
      <c r="B4397" s="5">
        <f>IF('Daily Sale entry '!$A316="","",'Daily Sale entry '!$A316)</f>
        <v/>
      </c>
      <c r="H4397" t="inlineStr">
        <is>
          <t>After 调整后 (After)</t>
        </is>
      </c>
      <c r="I4397" s="5">
        <f>IF($B4397="","",B4397)</f>
        <v/>
      </c>
    </row>
    <row r="4398">
      <c r="A4398" t="inlineStr">
        <is>
          <t>Cash Sales 现金销售</t>
        </is>
      </c>
      <c r="B4398" s="6">
        <f>IF($B4397="","",'Daily Sale entry '!B316)</f>
        <v/>
      </c>
      <c r="D4398" t="inlineStr">
        <is>
          <t>c/f petty cash 今日备用金结转</t>
        </is>
      </c>
      <c r="E4398" s="6">
        <f>IF($B4397="","",'Daily Sale entry '!G316)</f>
        <v/>
      </c>
      <c r="H4398" t="inlineStr">
        <is>
          <t>Cash Sales 现金销售</t>
        </is>
      </c>
      <c r="I4398" s="6">
        <f>IF($B4397="","",IF(AND(ABS(B4408)&gt;'Opening Balance'!$B$13,B4408&lt;0),ROUND(B4398-B4408,2),B4398))</f>
        <v/>
      </c>
      <c r="K4398" t="inlineStr">
        <is>
          <t>c/f petty cash 今日备用金结转</t>
        </is>
      </c>
      <c r="L4398" s="6">
        <f>IF($B4397="","",IF(ABS(B4408)&lt;='Opening Balance'!$B$13,ROUND(E4398+B4408,2),E4398))</f>
        <v/>
      </c>
    </row>
    <row r="4399">
      <c r="A4399" t="inlineStr">
        <is>
          <t>Misc Charges 杂项费用</t>
        </is>
      </c>
      <c r="B4399" s="6">
        <f>IF($B4397="","",'Daily Sale entry '!C316)</f>
        <v/>
      </c>
      <c r="D4399" t="inlineStr">
        <is>
          <t>cash collection 现金收款</t>
        </is>
      </c>
      <c r="E4399" s="6">
        <f>IF($B4397="","",'Daily Sale entry '!H316)</f>
        <v/>
      </c>
      <c r="H4399" t="inlineStr">
        <is>
          <t>Misc Charges 杂项费用</t>
        </is>
      </c>
      <c r="I4399" s="6">
        <f>IF($B4397="","",IF(AND(ABS(B4408)&gt;'Opening Balance'!$B$13,B4408&gt;0),ROUND(B4399+B4408,2),B4399))</f>
        <v/>
      </c>
      <c r="K4399" t="inlineStr">
        <is>
          <t>cash collection 现金收款</t>
        </is>
      </c>
      <c r="L4399" s="6">
        <f>IF($B4397="","",E4399)</f>
        <v/>
      </c>
    </row>
    <row r="4400">
      <c r="A4400" s="1" t="inlineStr">
        <is>
          <t>Other Charges 其他费用</t>
        </is>
      </c>
      <c r="B4400" s="9">
        <f>IF($B4397="","",'Daily Sale entry '!D316)</f>
        <v/>
      </c>
      <c r="D4400" s="1" t="inlineStr">
        <is>
          <t>Cheque Collection 支票收款</t>
        </is>
      </c>
      <c r="E4400" s="9">
        <f>IF($B4397="","",'Daily Sale entry '!J316)</f>
        <v/>
      </c>
      <c r="H4400" s="1" t="inlineStr">
        <is>
          <t>Other Charges 其他费用</t>
        </is>
      </c>
      <c r="I4400" s="9">
        <f>IF($B4397="","",B4400)</f>
        <v/>
      </c>
      <c r="K4400" s="1" t="inlineStr">
        <is>
          <t>Cheque Collection 支票收款</t>
        </is>
      </c>
      <c r="L4400" s="9">
        <f>IF($B4397="","",E4400)</f>
        <v/>
      </c>
    </row>
    <row r="4401">
      <c r="A4401" s="10" t="inlineStr">
        <is>
          <t>Amount 金额  (Cash Sales - Misc - Other)</t>
        </is>
      </c>
      <c r="B4401" s="11">
        <f>IF($B4397="","",ROUND(B4398-B4399-B4400,2))</f>
        <v/>
      </c>
      <c r="D4401" s="12" t="inlineStr">
        <is>
          <t>TNG collection TNG收款</t>
        </is>
      </c>
      <c r="E4401" s="13">
        <f>IF($B4397="","",'Daily Sale entry '!K316)</f>
        <v/>
      </c>
      <c r="H4401" s="10" t="inlineStr">
        <is>
          <t>Amount 金额  (Cash Sales - Misc - Other)</t>
        </is>
      </c>
      <c r="I4401" s="11">
        <f>IF($B4397="","",ROUND(I4398-I4399-I4400,2))</f>
        <v/>
      </c>
      <c r="K4401" s="12" t="inlineStr">
        <is>
          <t>TNG collection TNG收款</t>
        </is>
      </c>
      <c r="L4401" s="13">
        <f>IF($B4397="","",E4401)</f>
        <v/>
      </c>
    </row>
    <row r="4402">
      <c r="A4402" t="inlineStr">
        <is>
          <t>Credit Collection 赊账收款</t>
        </is>
      </c>
      <c r="B4402" s="6">
        <f>IF($B4397="","",'Daily Sale entry '!E316)</f>
        <v/>
      </c>
      <c r="D4402" t="inlineStr">
        <is>
          <t>Advance Salary_M 预支薪水_M</t>
        </is>
      </c>
      <c r="E4402" s="6">
        <f>IF($B4397="","",'Daily Sale entry '!L316)</f>
        <v/>
      </c>
      <c r="H4402" t="inlineStr">
        <is>
          <t>Credit Collection 赊账收款</t>
        </is>
      </c>
      <c r="I4402" s="6">
        <f>IF($B4397="","",B4402)</f>
        <v/>
      </c>
      <c r="K4402" t="inlineStr">
        <is>
          <t>Advance Salary_M 预支薪水_M</t>
        </is>
      </c>
      <c r="L4402" s="6">
        <f>IF($B4397="","",E4402)</f>
        <v/>
      </c>
    </row>
    <row r="4403">
      <c r="A4403" s="10" t="inlineStr">
        <is>
          <t>Amount 2 金额2  (Amount + Credit Collection)</t>
        </is>
      </c>
      <c r="B4403" s="11">
        <f>IF($B4397="","",ROUND(B4401+B4402,2))</f>
        <v/>
      </c>
      <c r="D4403" t="inlineStr">
        <is>
          <t>Advance Salary_H 预支薪水_H</t>
        </is>
      </c>
      <c r="E4403" s="6">
        <f>IF($B4397="","",'Daily Sale entry '!M316)</f>
        <v/>
      </c>
      <c r="H4403" s="10" t="inlineStr">
        <is>
          <t>Amount 2 金额2  (Amount + Credit Collection)</t>
        </is>
      </c>
      <c r="I4403" s="11">
        <f>IF($B4397="","",ROUND(I4401+I4402,2))</f>
        <v/>
      </c>
      <c r="K4403" t="inlineStr">
        <is>
          <t>Advance Salary_H 预支薪水_H</t>
        </is>
      </c>
      <c r="L4403" s="6">
        <f>IF($B4397="","",E4403)</f>
        <v/>
      </c>
    </row>
    <row r="4404"/>
    <row r="4405">
      <c r="A4405" s="1" t="inlineStr">
        <is>
          <t>b/f petty cash 上日备用金结转</t>
        </is>
      </c>
      <c r="B4405" s="9">
        <f>IF($B4397="","",'Daily Sale entry '!F316)</f>
        <v/>
      </c>
      <c r="D4405" s="1" t="n"/>
      <c r="E4405" s="1" t="n"/>
      <c r="H4405" s="1" t="inlineStr">
        <is>
          <t>b/f petty cash 上日备用金结转</t>
        </is>
      </c>
      <c r="I4405" s="9">
        <f>IF($B4397="","",B4405)</f>
        <v/>
      </c>
      <c r="K4405" s="1" t="n"/>
      <c r="L4405" s="1" t="n"/>
    </row>
    <row r="4406">
      <c r="A4406" t="inlineStr">
        <is>
          <t>Total (A) 总计 (A)</t>
        </is>
      </c>
      <c r="B4406" s="6">
        <f>IF($B4397="","",ROUND(B4403+B4405,2))</f>
        <v/>
      </c>
      <c r="D4406" t="inlineStr">
        <is>
          <t>Total(B) 总计 (B)</t>
        </is>
      </c>
      <c r="E4406" s="6">
        <f>IF($B4397="","",ROUND(E4398+E4399+E4400+E4401+E4402+E4403,2))</f>
        <v/>
      </c>
      <c r="H4406" t="inlineStr">
        <is>
          <t>Total© 总计 (C)</t>
        </is>
      </c>
      <c r="I4406" s="6">
        <f>IF($B4397="","",ROUND(I4403+I4405,2))</f>
        <v/>
      </c>
      <c r="K4406" t="inlineStr">
        <is>
          <t>Total(D) 总计 (D)</t>
        </is>
      </c>
      <c r="L4406" s="6">
        <f>IF($B4397="","",ROUND(L4398+L4399+L4400+L4401+L4402+L4403,2))</f>
        <v/>
      </c>
    </row>
    <row r="4407">
      <c r="A4407" s="14" t="inlineStr">
        <is>
          <t>Total = Amount 2 + b/f petty cash  (金额2 + 上日备用金)</t>
        </is>
      </c>
      <c r="H4407" s="14" t="inlineStr">
        <is>
          <t>Total = Amount 2 + b/f petty cash  (金额2 + 上日备用金)</t>
        </is>
      </c>
    </row>
    <row r="4408">
      <c r="A4408" t="inlineStr">
        <is>
          <t>Different 差额</t>
        </is>
      </c>
      <c r="B4408" s="6">
        <f>IF($B4397="","",ROUND(B4406-E4406,2))</f>
        <v/>
      </c>
      <c r="D4408">
        <f>IF($B4397="","",IF(ABS(B4408)&gt;'Opening Balance'!$B$16,"ALERT 警报: Different over RM"&amp;'Opening Balance'!$B$16&amp;" 差额超过RM"&amp;'Opening Balance'!$B$16&amp;" - please check 请检查",IF(B4408=0,"Tied 平衡",IF(ABS(B4408)&lt;='Opening Balance'!$B$13,"Small difference 小额差额: adjusted on c/f petty cash 已调整备用金",IF(B4408&gt;0,"Short 短收: added to Misc Charges 已加入杂项费用","Over 多收: added to Cash Sales 已加入现金销售")))))</f>
        <v/>
      </c>
      <c r="H4408" t="inlineStr">
        <is>
          <t>Different 差额</t>
        </is>
      </c>
      <c r="I4408" s="6">
        <f>IF($B4397="","",ROUND(I4406-L4406,2))</f>
        <v/>
      </c>
    </row>
    <row r="4409"/>
    <row r="4410"/>
    <row r="4411">
      <c r="A4411" t="inlineStr">
        <is>
          <t>Date 日期</t>
        </is>
      </c>
      <c r="B4411" s="5">
        <f>IF('Daily Sale entry '!$A317="","",'Daily Sale entry '!$A317)</f>
        <v/>
      </c>
      <c r="H4411" t="inlineStr">
        <is>
          <t>After 调整后 (After)</t>
        </is>
      </c>
      <c r="I4411" s="5">
        <f>IF($B4411="","",B4411)</f>
        <v/>
      </c>
    </row>
    <row r="4412">
      <c r="A4412" t="inlineStr">
        <is>
          <t>Cash Sales 现金销售</t>
        </is>
      </c>
      <c r="B4412" s="6">
        <f>IF($B4411="","",'Daily Sale entry '!B317)</f>
        <v/>
      </c>
      <c r="D4412" t="inlineStr">
        <is>
          <t>c/f petty cash 今日备用金结转</t>
        </is>
      </c>
      <c r="E4412" s="6">
        <f>IF($B4411="","",'Daily Sale entry '!G317)</f>
        <v/>
      </c>
      <c r="H4412" t="inlineStr">
        <is>
          <t>Cash Sales 现金销售</t>
        </is>
      </c>
      <c r="I4412" s="6">
        <f>IF($B4411="","",IF(AND(ABS(B4422)&gt;'Opening Balance'!$B$13,B4422&lt;0),ROUND(B4412-B4422,2),B4412))</f>
        <v/>
      </c>
      <c r="K4412" t="inlineStr">
        <is>
          <t>c/f petty cash 今日备用金结转</t>
        </is>
      </c>
      <c r="L4412" s="6">
        <f>IF($B4411="","",IF(ABS(B4422)&lt;='Opening Balance'!$B$13,ROUND(E4412+B4422,2),E4412))</f>
        <v/>
      </c>
    </row>
    <row r="4413">
      <c r="A4413" t="inlineStr">
        <is>
          <t>Misc Charges 杂项费用</t>
        </is>
      </c>
      <c r="B4413" s="6">
        <f>IF($B4411="","",'Daily Sale entry '!C317)</f>
        <v/>
      </c>
      <c r="D4413" t="inlineStr">
        <is>
          <t>cash collection 现金收款</t>
        </is>
      </c>
      <c r="E4413" s="6">
        <f>IF($B4411="","",'Daily Sale entry '!H317)</f>
        <v/>
      </c>
      <c r="H4413" t="inlineStr">
        <is>
          <t>Misc Charges 杂项费用</t>
        </is>
      </c>
      <c r="I4413" s="6">
        <f>IF($B4411="","",IF(AND(ABS(B4422)&gt;'Opening Balance'!$B$13,B4422&gt;0),ROUND(B4413+B4422,2),B4413))</f>
        <v/>
      </c>
      <c r="K4413" t="inlineStr">
        <is>
          <t>cash collection 现金收款</t>
        </is>
      </c>
      <c r="L4413" s="6">
        <f>IF($B4411="","",E4413)</f>
        <v/>
      </c>
    </row>
    <row r="4414">
      <c r="A4414" s="1" t="inlineStr">
        <is>
          <t>Other Charges 其他费用</t>
        </is>
      </c>
      <c r="B4414" s="9">
        <f>IF($B4411="","",'Daily Sale entry '!D317)</f>
        <v/>
      </c>
      <c r="D4414" s="1" t="inlineStr">
        <is>
          <t>Cheque Collection 支票收款</t>
        </is>
      </c>
      <c r="E4414" s="9">
        <f>IF($B4411="","",'Daily Sale entry '!J317)</f>
        <v/>
      </c>
      <c r="H4414" s="1" t="inlineStr">
        <is>
          <t>Other Charges 其他费用</t>
        </is>
      </c>
      <c r="I4414" s="9">
        <f>IF($B4411="","",B4414)</f>
        <v/>
      </c>
      <c r="K4414" s="1" t="inlineStr">
        <is>
          <t>Cheque Collection 支票收款</t>
        </is>
      </c>
      <c r="L4414" s="9">
        <f>IF($B4411="","",E4414)</f>
        <v/>
      </c>
    </row>
    <row r="4415">
      <c r="A4415" s="10" t="inlineStr">
        <is>
          <t>Amount 金额  (Cash Sales - Misc - Other)</t>
        </is>
      </c>
      <c r="B4415" s="11">
        <f>IF($B4411="","",ROUND(B4412-B4413-B4414,2))</f>
        <v/>
      </c>
      <c r="D4415" s="12" t="inlineStr">
        <is>
          <t>TNG collection TNG收款</t>
        </is>
      </c>
      <c r="E4415" s="13">
        <f>IF($B4411="","",'Daily Sale entry '!K317)</f>
        <v/>
      </c>
      <c r="H4415" s="10" t="inlineStr">
        <is>
          <t>Amount 金额  (Cash Sales - Misc - Other)</t>
        </is>
      </c>
      <c r="I4415" s="11">
        <f>IF($B4411="","",ROUND(I4412-I4413-I4414,2))</f>
        <v/>
      </c>
      <c r="K4415" s="12" t="inlineStr">
        <is>
          <t>TNG collection TNG收款</t>
        </is>
      </c>
      <c r="L4415" s="13">
        <f>IF($B4411="","",E4415)</f>
        <v/>
      </c>
    </row>
    <row r="4416">
      <c r="A4416" t="inlineStr">
        <is>
          <t>Credit Collection 赊账收款</t>
        </is>
      </c>
      <c r="B4416" s="6">
        <f>IF($B4411="","",'Daily Sale entry '!E317)</f>
        <v/>
      </c>
      <c r="D4416" t="inlineStr">
        <is>
          <t>Advance Salary_M 预支薪水_M</t>
        </is>
      </c>
      <c r="E4416" s="6">
        <f>IF($B4411="","",'Daily Sale entry '!L317)</f>
        <v/>
      </c>
      <c r="H4416" t="inlineStr">
        <is>
          <t>Credit Collection 赊账收款</t>
        </is>
      </c>
      <c r="I4416" s="6">
        <f>IF($B4411="","",B4416)</f>
        <v/>
      </c>
      <c r="K4416" t="inlineStr">
        <is>
          <t>Advance Salary_M 预支薪水_M</t>
        </is>
      </c>
      <c r="L4416" s="6">
        <f>IF($B4411="","",E4416)</f>
        <v/>
      </c>
    </row>
    <row r="4417">
      <c r="A4417" s="10" t="inlineStr">
        <is>
          <t>Amount 2 金额2  (Amount + Credit Collection)</t>
        </is>
      </c>
      <c r="B4417" s="11">
        <f>IF($B4411="","",ROUND(B4415+B4416,2))</f>
        <v/>
      </c>
      <c r="D4417" t="inlineStr">
        <is>
          <t>Advance Salary_H 预支薪水_H</t>
        </is>
      </c>
      <c r="E4417" s="6">
        <f>IF($B4411="","",'Daily Sale entry '!M317)</f>
        <v/>
      </c>
      <c r="H4417" s="10" t="inlineStr">
        <is>
          <t>Amount 2 金额2  (Amount + Credit Collection)</t>
        </is>
      </c>
      <c r="I4417" s="11">
        <f>IF($B4411="","",ROUND(I4415+I4416,2))</f>
        <v/>
      </c>
      <c r="K4417" t="inlineStr">
        <is>
          <t>Advance Salary_H 预支薪水_H</t>
        </is>
      </c>
      <c r="L4417" s="6">
        <f>IF($B4411="","",E4417)</f>
        <v/>
      </c>
    </row>
    <row r="4418"/>
    <row r="4419">
      <c r="A4419" s="1" t="inlineStr">
        <is>
          <t>b/f petty cash 上日备用金结转</t>
        </is>
      </c>
      <c r="B4419" s="9">
        <f>IF($B4411="","",'Daily Sale entry '!F317)</f>
        <v/>
      </c>
      <c r="D4419" s="1" t="n"/>
      <c r="E4419" s="1" t="n"/>
      <c r="H4419" s="1" t="inlineStr">
        <is>
          <t>b/f petty cash 上日备用金结转</t>
        </is>
      </c>
      <c r="I4419" s="9">
        <f>IF($B4411="","",B4419)</f>
        <v/>
      </c>
      <c r="K4419" s="1" t="n"/>
      <c r="L4419" s="1" t="n"/>
    </row>
    <row r="4420">
      <c r="A4420" t="inlineStr">
        <is>
          <t>Total (A) 总计 (A)</t>
        </is>
      </c>
      <c r="B4420" s="6">
        <f>IF($B4411="","",ROUND(B4417+B4419,2))</f>
        <v/>
      </c>
      <c r="D4420" t="inlineStr">
        <is>
          <t>Total(B) 总计 (B)</t>
        </is>
      </c>
      <c r="E4420" s="6">
        <f>IF($B4411="","",ROUND(E4412+E4413+E4414+E4415+E4416+E4417,2))</f>
        <v/>
      </c>
      <c r="H4420" t="inlineStr">
        <is>
          <t>Total© 总计 (C)</t>
        </is>
      </c>
      <c r="I4420" s="6">
        <f>IF($B4411="","",ROUND(I4417+I4419,2))</f>
        <v/>
      </c>
      <c r="K4420" t="inlineStr">
        <is>
          <t>Total(D) 总计 (D)</t>
        </is>
      </c>
      <c r="L4420" s="6">
        <f>IF($B4411="","",ROUND(L4412+L4413+L4414+L4415+L4416+L4417,2))</f>
        <v/>
      </c>
    </row>
    <row r="4421">
      <c r="A4421" s="14" t="inlineStr">
        <is>
          <t>Total = Amount 2 + b/f petty cash  (金额2 + 上日备用金)</t>
        </is>
      </c>
      <c r="H4421" s="14" t="inlineStr">
        <is>
          <t>Total = Amount 2 + b/f petty cash  (金额2 + 上日备用金)</t>
        </is>
      </c>
    </row>
    <row r="4422">
      <c r="A4422" t="inlineStr">
        <is>
          <t>Different 差额</t>
        </is>
      </c>
      <c r="B4422" s="6">
        <f>IF($B4411="","",ROUND(B4420-E4420,2))</f>
        <v/>
      </c>
      <c r="D4422">
        <f>IF($B4411="","",IF(ABS(B4422)&gt;'Opening Balance'!$B$16,"ALERT 警报: Different over RM"&amp;'Opening Balance'!$B$16&amp;" 差额超过RM"&amp;'Opening Balance'!$B$16&amp;" - please check 请检查",IF(B4422=0,"Tied 平衡",IF(ABS(B4422)&lt;='Opening Balance'!$B$13,"Small difference 小额差额: adjusted on c/f petty cash 已调整备用金",IF(B4422&gt;0,"Short 短收: added to Misc Charges 已加入杂项费用","Over 多收: added to Cash Sales 已加入现金销售")))))</f>
        <v/>
      </c>
      <c r="H4422" t="inlineStr">
        <is>
          <t>Different 差额</t>
        </is>
      </c>
      <c r="I4422" s="6">
        <f>IF($B4411="","",ROUND(I4420-L4420,2))</f>
        <v/>
      </c>
    </row>
    <row r="4423"/>
    <row r="4424"/>
    <row r="4425">
      <c r="A4425" t="inlineStr">
        <is>
          <t>Date 日期</t>
        </is>
      </c>
      <c r="B4425" s="5">
        <f>IF('Daily Sale entry '!$A318="","",'Daily Sale entry '!$A318)</f>
        <v/>
      </c>
      <c r="H4425" t="inlineStr">
        <is>
          <t>After 调整后 (After)</t>
        </is>
      </c>
      <c r="I4425" s="5">
        <f>IF($B4425="","",B4425)</f>
        <v/>
      </c>
    </row>
    <row r="4426">
      <c r="A4426" t="inlineStr">
        <is>
          <t>Cash Sales 现金销售</t>
        </is>
      </c>
      <c r="B4426" s="6">
        <f>IF($B4425="","",'Daily Sale entry '!B318)</f>
        <v/>
      </c>
      <c r="D4426" t="inlineStr">
        <is>
          <t>c/f petty cash 今日备用金结转</t>
        </is>
      </c>
      <c r="E4426" s="6">
        <f>IF($B4425="","",'Daily Sale entry '!G318)</f>
        <v/>
      </c>
      <c r="H4426" t="inlineStr">
        <is>
          <t>Cash Sales 现金销售</t>
        </is>
      </c>
      <c r="I4426" s="6">
        <f>IF($B4425="","",IF(AND(ABS(B4436)&gt;'Opening Balance'!$B$13,B4436&lt;0),ROUND(B4426-B4436,2),B4426))</f>
        <v/>
      </c>
      <c r="K4426" t="inlineStr">
        <is>
          <t>c/f petty cash 今日备用金结转</t>
        </is>
      </c>
      <c r="L4426" s="6">
        <f>IF($B4425="","",IF(ABS(B4436)&lt;='Opening Balance'!$B$13,ROUND(E4426+B4436,2),E4426))</f>
        <v/>
      </c>
    </row>
    <row r="4427">
      <c r="A4427" t="inlineStr">
        <is>
          <t>Misc Charges 杂项费用</t>
        </is>
      </c>
      <c r="B4427" s="6">
        <f>IF($B4425="","",'Daily Sale entry '!C318)</f>
        <v/>
      </c>
      <c r="D4427" t="inlineStr">
        <is>
          <t>cash collection 现金收款</t>
        </is>
      </c>
      <c r="E4427" s="6">
        <f>IF($B4425="","",'Daily Sale entry '!H318)</f>
        <v/>
      </c>
      <c r="H4427" t="inlineStr">
        <is>
          <t>Misc Charges 杂项费用</t>
        </is>
      </c>
      <c r="I4427" s="6">
        <f>IF($B4425="","",IF(AND(ABS(B4436)&gt;'Opening Balance'!$B$13,B4436&gt;0),ROUND(B4427+B4436,2),B4427))</f>
        <v/>
      </c>
      <c r="K4427" t="inlineStr">
        <is>
          <t>cash collection 现金收款</t>
        </is>
      </c>
      <c r="L4427" s="6">
        <f>IF($B4425="","",E4427)</f>
        <v/>
      </c>
    </row>
    <row r="4428">
      <c r="A4428" s="1" t="inlineStr">
        <is>
          <t>Other Charges 其他费用</t>
        </is>
      </c>
      <c r="B4428" s="9">
        <f>IF($B4425="","",'Daily Sale entry '!D318)</f>
        <v/>
      </c>
      <c r="D4428" s="1" t="inlineStr">
        <is>
          <t>Cheque Collection 支票收款</t>
        </is>
      </c>
      <c r="E4428" s="9">
        <f>IF($B4425="","",'Daily Sale entry '!J318)</f>
        <v/>
      </c>
      <c r="H4428" s="1" t="inlineStr">
        <is>
          <t>Other Charges 其他费用</t>
        </is>
      </c>
      <c r="I4428" s="9">
        <f>IF($B4425="","",B4428)</f>
        <v/>
      </c>
      <c r="K4428" s="1" t="inlineStr">
        <is>
          <t>Cheque Collection 支票收款</t>
        </is>
      </c>
      <c r="L4428" s="9">
        <f>IF($B4425="","",E4428)</f>
        <v/>
      </c>
    </row>
    <row r="4429">
      <c r="A4429" s="10" t="inlineStr">
        <is>
          <t>Amount 金额  (Cash Sales - Misc - Other)</t>
        </is>
      </c>
      <c r="B4429" s="11">
        <f>IF($B4425="","",ROUND(B4426-B4427-B4428,2))</f>
        <v/>
      </c>
      <c r="D4429" s="12" t="inlineStr">
        <is>
          <t>TNG collection TNG收款</t>
        </is>
      </c>
      <c r="E4429" s="13">
        <f>IF($B4425="","",'Daily Sale entry '!K318)</f>
        <v/>
      </c>
      <c r="H4429" s="10" t="inlineStr">
        <is>
          <t>Amount 金额  (Cash Sales - Misc - Other)</t>
        </is>
      </c>
      <c r="I4429" s="11">
        <f>IF($B4425="","",ROUND(I4426-I4427-I4428,2))</f>
        <v/>
      </c>
      <c r="K4429" s="12" t="inlineStr">
        <is>
          <t>TNG collection TNG收款</t>
        </is>
      </c>
      <c r="L4429" s="13">
        <f>IF($B4425="","",E4429)</f>
        <v/>
      </c>
    </row>
    <row r="4430">
      <c r="A4430" t="inlineStr">
        <is>
          <t>Credit Collection 赊账收款</t>
        </is>
      </c>
      <c r="B4430" s="6">
        <f>IF($B4425="","",'Daily Sale entry '!E318)</f>
        <v/>
      </c>
      <c r="D4430" t="inlineStr">
        <is>
          <t>Advance Salary_M 预支薪水_M</t>
        </is>
      </c>
      <c r="E4430" s="6">
        <f>IF($B4425="","",'Daily Sale entry '!L318)</f>
        <v/>
      </c>
      <c r="H4430" t="inlineStr">
        <is>
          <t>Credit Collection 赊账收款</t>
        </is>
      </c>
      <c r="I4430" s="6">
        <f>IF($B4425="","",B4430)</f>
        <v/>
      </c>
      <c r="K4430" t="inlineStr">
        <is>
          <t>Advance Salary_M 预支薪水_M</t>
        </is>
      </c>
      <c r="L4430" s="6">
        <f>IF($B4425="","",E4430)</f>
        <v/>
      </c>
    </row>
    <row r="4431">
      <c r="A4431" s="10" t="inlineStr">
        <is>
          <t>Amount 2 金额2  (Amount + Credit Collection)</t>
        </is>
      </c>
      <c r="B4431" s="11">
        <f>IF($B4425="","",ROUND(B4429+B4430,2))</f>
        <v/>
      </c>
      <c r="D4431" t="inlineStr">
        <is>
          <t>Advance Salary_H 预支薪水_H</t>
        </is>
      </c>
      <c r="E4431" s="6">
        <f>IF($B4425="","",'Daily Sale entry '!M318)</f>
        <v/>
      </c>
      <c r="H4431" s="10" t="inlineStr">
        <is>
          <t>Amount 2 金额2  (Amount + Credit Collection)</t>
        </is>
      </c>
      <c r="I4431" s="11">
        <f>IF($B4425="","",ROUND(I4429+I4430,2))</f>
        <v/>
      </c>
      <c r="K4431" t="inlineStr">
        <is>
          <t>Advance Salary_H 预支薪水_H</t>
        </is>
      </c>
      <c r="L4431" s="6">
        <f>IF($B4425="","",E4431)</f>
        <v/>
      </c>
    </row>
    <row r="4432"/>
    <row r="4433">
      <c r="A4433" s="1" t="inlineStr">
        <is>
          <t>b/f petty cash 上日备用金结转</t>
        </is>
      </c>
      <c r="B4433" s="9">
        <f>IF($B4425="","",'Daily Sale entry '!F318)</f>
        <v/>
      </c>
      <c r="D4433" s="1" t="n"/>
      <c r="E4433" s="1" t="n"/>
      <c r="H4433" s="1" t="inlineStr">
        <is>
          <t>b/f petty cash 上日备用金结转</t>
        </is>
      </c>
      <c r="I4433" s="9">
        <f>IF($B4425="","",B4433)</f>
        <v/>
      </c>
      <c r="K4433" s="1" t="n"/>
      <c r="L4433" s="1" t="n"/>
    </row>
    <row r="4434">
      <c r="A4434" t="inlineStr">
        <is>
          <t>Total (A) 总计 (A)</t>
        </is>
      </c>
      <c r="B4434" s="6">
        <f>IF($B4425="","",ROUND(B4431+B4433,2))</f>
        <v/>
      </c>
      <c r="D4434" t="inlineStr">
        <is>
          <t>Total(B) 总计 (B)</t>
        </is>
      </c>
      <c r="E4434" s="6">
        <f>IF($B4425="","",ROUND(E4426+E4427+E4428+E4429+E4430+E4431,2))</f>
        <v/>
      </c>
      <c r="H4434" t="inlineStr">
        <is>
          <t>Total© 总计 (C)</t>
        </is>
      </c>
      <c r="I4434" s="6">
        <f>IF($B4425="","",ROUND(I4431+I4433,2))</f>
        <v/>
      </c>
      <c r="K4434" t="inlineStr">
        <is>
          <t>Total(D) 总计 (D)</t>
        </is>
      </c>
      <c r="L4434" s="6">
        <f>IF($B4425="","",ROUND(L4426+L4427+L4428+L4429+L4430+L4431,2))</f>
        <v/>
      </c>
    </row>
    <row r="4435">
      <c r="A4435" s="14" t="inlineStr">
        <is>
          <t>Total = Amount 2 + b/f petty cash  (金额2 + 上日备用金)</t>
        </is>
      </c>
      <c r="H4435" s="14" t="inlineStr">
        <is>
          <t>Total = Amount 2 + b/f petty cash  (金额2 + 上日备用金)</t>
        </is>
      </c>
    </row>
    <row r="4436">
      <c r="A4436" t="inlineStr">
        <is>
          <t>Different 差额</t>
        </is>
      </c>
      <c r="B4436" s="6">
        <f>IF($B4425="","",ROUND(B4434-E4434,2))</f>
        <v/>
      </c>
      <c r="D4436">
        <f>IF($B4425="","",IF(ABS(B4436)&gt;'Opening Balance'!$B$16,"ALERT 警报: Different over RM"&amp;'Opening Balance'!$B$16&amp;" 差额超过RM"&amp;'Opening Balance'!$B$16&amp;" - please check 请检查",IF(B4436=0,"Tied 平衡",IF(ABS(B4436)&lt;='Opening Balance'!$B$13,"Small difference 小额差额: adjusted on c/f petty cash 已调整备用金",IF(B4436&gt;0,"Short 短收: added to Misc Charges 已加入杂项费用","Over 多收: added to Cash Sales 已加入现金销售")))))</f>
        <v/>
      </c>
      <c r="H4436" t="inlineStr">
        <is>
          <t>Different 差额</t>
        </is>
      </c>
      <c r="I4436" s="6">
        <f>IF($B4425="","",ROUND(I4434-L4434,2))</f>
        <v/>
      </c>
    </row>
    <row r="4437"/>
    <row r="4438"/>
    <row r="4439">
      <c r="A4439" t="inlineStr">
        <is>
          <t>Date 日期</t>
        </is>
      </c>
      <c r="B4439" s="5">
        <f>IF('Daily Sale entry '!$A319="","",'Daily Sale entry '!$A319)</f>
        <v/>
      </c>
      <c r="H4439" t="inlineStr">
        <is>
          <t>After 调整后 (After)</t>
        </is>
      </c>
      <c r="I4439" s="5">
        <f>IF($B4439="","",B4439)</f>
        <v/>
      </c>
    </row>
    <row r="4440">
      <c r="A4440" t="inlineStr">
        <is>
          <t>Cash Sales 现金销售</t>
        </is>
      </c>
      <c r="B4440" s="6">
        <f>IF($B4439="","",'Daily Sale entry '!B319)</f>
        <v/>
      </c>
      <c r="D4440" t="inlineStr">
        <is>
          <t>c/f petty cash 今日备用金结转</t>
        </is>
      </c>
      <c r="E4440" s="6">
        <f>IF($B4439="","",'Daily Sale entry '!G319)</f>
        <v/>
      </c>
      <c r="H4440" t="inlineStr">
        <is>
          <t>Cash Sales 现金销售</t>
        </is>
      </c>
      <c r="I4440" s="6">
        <f>IF($B4439="","",IF(AND(ABS(B4450)&gt;'Opening Balance'!$B$13,B4450&lt;0),ROUND(B4440-B4450,2),B4440))</f>
        <v/>
      </c>
      <c r="K4440" t="inlineStr">
        <is>
          <t>c/f petty cash 今日备用金结转</t>
        </is>
      </c>
      <c r="L4440" s="6">
        <f>IF($B4439="","",IF(ABS(B4450)&lt;='Opening Balance'!$B$13,ROUND(E4440+B4450,2),E4440))</f>
        <v/>
      </c>
    </row>
    <row r="4441">
      <c r="A4441" t="inlineStr">
        <is>
          <t>Misc Charges 杂项费用</t>
        </is>
      </c>
      <c r="B4441" s="6">
        <f>IF($B4439="","",'Daily Sale entry '!C319)</f>
        <v/>
      </c>
      <c r="D4441" t="inlineStr">
        <is>
          <t>cash collection 现金收款</t>
        </is>
      </c>
      <c r="E4441" s="6">
        <f>IF($B4439="","",'Daily Sale entry '!H319)</f>
        <v/>
      </c>
      <c r="H4441" t="inlineStr">
        <is>
          <t>Misc Charges 杂项费用</t>
        </is>
      </c>
      <c r="I4441" s="6">
        <f>IF($B4439="","",IF(AND(ABS(B4450)&gt;'Opening Balance'!$B$13,B4450&gt;0),ROUND(B4441+B4450,2),B4441))</f>
        <v/>
      </c>
      <c r="K4441" t="inlineStr">
        <is>
          <t>cash collection 现金收款</t>
        </is>
      </c>
      <c r="L4441" s="6">
        <f>IF($B4439="","",E4441)</f>
        <v/>
      </c>
    </row>
    <row r="4442">
      <c r="A4442" s="1" t="inlineStr">
        <is>
          <t>Other Charges 其他费用</t>
        </is>
      </c>
      <c r="B4442" s="9">
        <f>IF($B4439="","",'Daily Sale entry '!D319)</f>
        <v/>
      </c>
      <c r="D4442" s="1" t="inlineStr">
        <is>
          <t>Cheque Collection 支票收款</t>
        </is>
      </c>
      <c r="E4442" s="9">
        <f>IF($B4439="","",'Daily Sale entry '!J319)</f>
        <v/>
      </c>
      <c r="H4442" s="1" t="inlineStr">
        <is>
          <t>Other Charges 其他费用</t>
        </is>
      </c>
      <c r="I4442" s="9">
        <f>IF($B4439="","",B4442)</f>
        <v/>
      </c>
      <c r="K4442" s="1" t="inlineStr">
        <is>
          <t>Cheque Collection 支票收款</t>
        </is>
      </c>
      <c r="L4442" s="9">
        <f>IF($B4439="","",E4442)</f>
        <v/>
      </c>
    </row>
    <row r="4443">
      <c r="A4443" s="10" t="inlineStr">
        <is>
          <t>Amount 金额  (Cash Sales - Misc - Other)</t>
        </is>
      </c>
      <c r="B4443" s="11">
        <f>IF($B4439="","",ROUND(B4440-B4441-B4442,2))</f>
        <v/>
      </c>
      <c r="D4443" s="12" t="inlineStr">
        <is>
          <t>TNG collection TNG收款</t>
        </is>
      </c>
      <c r="E4443" s="13">
        <f>IF($B4439="","",'Daily Sale entry '!K319)</f>
        <v/>
      </c>
      <c r="H4443" s="10" t="inlineStr">
        <is>
          <t>Amount 金额  (Cash Sales - Misc - Other)</t>
        </is>
      </c>
      <c r="I4443" s="11">
        <f>IF($B4439="","",ROUND(I4440-I4441-I4442,2))</f>
        <v/>
      </c>
      <c r="K4443" s="12" t="inlineStr">
        <is>
          <t>TNG collection TNG收款</t>
        </is>
      </c>
      <c r="L4443" s="13">
        <f>IF($B4439="","",E4443)</f>
        <v/>
      </c>
    </row>
    <row r="4444">
      <c r="A4444" t="inlineStr">
        <is>
          <t>Credit Collection 赊账收款</t>
        </is>
      </c>
      <c r="B4444" s="6">
        <f>IF($B4439="","",'Daily Sale entry '!E319)</f>
        <v/>
      </c>
      <c r="D4444" t="inlineStr">
        <is>
          <t>Advance Salary_M 预支薪水_M</t>
        </is>
      </c>
      <c r="E4444" s="6">
        <f>IF($B4439="","",'Daily Sale entry '!L319)</f>
        <v/>
      </c>
      <c r="H4444" t="inlineStr">
        <is>
          <t>Credit Collection 赊账收款</t>
        </is>
      </c>
      <c r="I4444" s="6">
        <f>IF($B4439="","",B4444)</f>
        <v/>
      </c>
      <c r="K4444" t="inlineStr">
        <is>
          <t>Advance Salary_M 预支薪水_M</t>
        </is>
      </c>
      <c r="L4444" s="6">
        <f>IF($B4439="","",E4444)</f>
        <v/>
      </c>
    </row>
    <row r="4445">
      <c r="A4445" s="10" t="inlineStr">
        <is>
          <t>Amount 2 金额2  (Amount + Credit Collection)</t>
        </is>
      </c>
      <c r="B4445" s="11">
        <f>IF($B4439="","",ROUND(B4443+B4444,2))</f>
        <v/>
      </c>
      <c r="D4445" t="inlineStr">
        <is>
          <t>Advance Salary_H 预支薪水_H</t>
        </is>
      </c>
      <c r="E4445" s="6">
        <f>IF($B4439="","",'Daily Sale entry '!M319)</f>
        <v/>
      </c>
      <c r="H4445" s="10" t="inlineStr">
        <is>
          <t>Amount 2 金额2  (Amount + Credit Collection)</t>
        </is>
      </c>
      <c r="I4445" s="11">
        <f>IF($B4439="","",ROUND(I4443+I4444,2))</f>
        <v/>
      </c>
      <c r="K4445" t="inlineStr">
        <is>
          <t>Advance Salary_H 预支薪水_H</t>
        </is>
      </c>
      <c r="L4445" s="6">
        <f>IF($B4439="","",E4445)</f>
        <v/>
      </c>
    </row>
    <row r="4446"/>
    <row r="4447">
      <c r="A4447" s="1" t="inlineStr">
        <is>
          <t>b/f petty cash 上日备用金结转</t>
        </is>
      </c>
      <c r="B4447" s="9">
        <f>IF($B4439="","",'Daily Sale entry '!F319)</f>
        <v/>
      </c>
      <c r="D4447" s="1" t="n"/>
      <c r="E4447" s="1" t="n"/>
      <c r="H4447" s="1" t="inlineStr">
        <is>
          <t>b/f petty cash 上日备用金结转</t>
        </is>
      </c>
      <c r="I4447" s="9">
        <f>IF($B4439="","",B4447)</f>
        <v/>
      </c>
      <c r="K4447" s="1" t="n"/>
      <c r="L4447" s="1" t="n"/>
    </row>
    <row r="4448">
      <c r="A4448" t="inlineStr">
        <is>
          <t>Total (A) 总计 (A)</t>
        </is>
      </c>
      <c r="B4448" s="6">
        <f>IF($B4439="","",ROUND(B4445+B4447,2))</f>
        <v/>
      </c>
      <c r="D4448" t="inlineStr">
        <is>
          <t>Total(B) 总计 (B)</t>
        </is>
      </c>
      <c r="E4448" s="6">
        <f>IF($B4439="","",ROUND(E4440+E4441+E4442+E4443+E4444+E4445,2))</f>
        <v/>
      </c>
      <c r="H4448" t="inlineStr">
        <is>
          <t>Total© 总计 (C)</t>
        </is>
      </c>
      <c r="I4448" s="6">
        <f>IF($B4439="","",ROUND(I4445+I4447,2))</f>
        <v/>
      </c>
      <c r="K4448" t="inlineStr">
        <is>
          <t>Total(D) 总计 (D)</t>
        </is>
      </c>
      <c r="L4448" s="6">
        <f>IF($B4439="","",ROUND(L4440+L4441+L4442+L4443+L4444+L4445,2))</f>
        <v/>
      </c>
    </row>
    <row r="4449">
      <c r="A4449" s="14" t="inlineStr">
        <is>
          <t>Total = Amount 2 + b/f petty cash  (金额2 + 上日备用金)</t>
        </is>
      </c>
      <c r="H4449" s="14" t="inlineStr">
        <is>
          <t>Total = Amount 2 + b/f petty cash  (金额2 + 上日备用金)</t>
        </is>
      </c>
    </row>
    <row r="4450">
      <c r="A4450" t="inlineStr">
        <is>
          <t>Different 差额</t>
        </is>
      </c>
      <c r="B4450" s="6">
        <f>IF($B4439="","",ROUND(B4448-E4448,2))</f>
        <v/>
      </c>
      <c r="D4450">
        <f>IF($B4439="","",IF(ABS(B4450)&gt;'Opening Balance'!$B$16,"ALERT 警报: Different over RM"&amp;'Opening Balance'!$B$16&amp;" 差额超过RM"&amp;'Opening Balance'!$B$16&amp;" - please check 请检查",IF(B4450=0,"Tied 平衡",IF(ABS(B4450)&lt;='Opening Balance'!$B$13,"Small difference 小额差额: adjusted on c/f petty cash 已调整备用金",IF(B4450&gt;0,"Short 短收: added to Misc Charges 已加入杂项费用","Over 多收: added to Cash Sales 已加入现金销售")))))</f>
        <v/>
      </c>
      <c r="H4450" t="inlineStr">
        <is>
          <t>Different 差额</t>
        </is>
      </c>
      <c r="I4450" s="6">
        <f>IF($B4439="","",ROUND(I4448-L4448,2))</f>
        <v/>
      </c>
    </row>
    <row r="4451"/>
    <row r="4452"/>
    <row r="4453">
      <c r="A4453" t="inlineStr">
        <is>
          <t>Date 日期</t>
        </is>
      </c>
      <c r="B4453" s="5">
        <f>IF('Daily Sale entry '!$A320="","",'Daily Sale entry '!$A320)</f>
        <v/>
      </c>
      <c r="H4453" t="inlineStr">
        <is>
          <t>After 调整后 (After)</t>
        </is>
      </c>
      <c r="I4453" s="5">
        <f>IF($B4453="","",B4453)</f>
        <v/>
      </c>
    </row>
    <row r="4454">
      <c r="A4454" t="inlineStr">
        <is>
          <t>Cash Sales 现金销售</t>
        </is>
      </c>
      <c r="B4454" s="6">
        <f>IF($B4453="","",'Daily Sale entry '!B320)</f>
        <v/>
      </c>
      <c r="D4454" t="inlineStr">
        <is>
          <t>c/f petty cash 今日备用金结转</t>
        </is>
      </c>
      <c r="E4454" s="6">
        <f>IF($B4453="","",'Daily Sale entry '!G320)</f>
        <v/>
      </c>
      <c r="H4454" t="inlineStr">
        <is>
          <t>Cash Sales 现金销售</t>
        </is>
      </c>
      <c r="I4454" s="6">
        <f>IF($B4453="","",IF(AND(ABS(B4464)&gt;'Opening Balance'!$B$13,B4464&lt;0),ROUND(B4454-B4464,2),B4454))</f>
        <v/>
      </c>
      <c r="K4454" t="inlineStr">
        <is>
          <t>c/f petty cash 今日备用金结转</t>
        </is>
      </c>
      <c r="L4454" s="6">
        <f>IF($B4453="","",IF(ABS(B4464)&lt;='Opening Balance'!$B$13,ROUND(E4454+B4464,2),E4454))</f>
        <v/>
      </c>
    </row>
    <row r="4455">
      <c r="A4455" t="inlineStr">
        <is>
          <t>Misc Charges 杂项费用</t>
        </is>
      </c>
      <c r="B4455" s="6">
        <f>IF($B4453="","",'Daily Sale entry '!C320)</f>
        <v/>
      </c>
      <c r="D4455" t="inlineStr">
        <is>
          <t>cash collection 现金收款</t>
        </is>
      </c>
      <c r="E4455" s="6">
        <f>IF($B4453="","",'Daily Sale entry '!H320)</f>
        <v/>
      </c>
      <c r="H4455" t="inlineStr">
        <is>
          <t>Misc Charges 杂项费用</t>
        </is>
      </c>
      <c r="I4455" s="6">
        <f>IF($B4453="","",IF(AND(ABS(B4464)&gt;'Opening Balance'!$B$13,B4464&gt;0),ROUND(B4455+B4464,2),B4455))</f>
        <v/>
      </c>
      <c r="K4455" t="inlineStr">
        <is>
          <t>cash collection 现金收款</t>
        </is>
      </c>
      <c r="L4455" s="6">
        <f>IF($B4453="","",E4455)</f>
        <v/>
      </c>
    </row>
    <row r="4456">
      <c r="A4456" s="1" t="inlineStr">
        <is>
          <t>Other Charges 其他费用</t>
        </is>
      </c>
      <c r="B4456" s="9">
        <f>IF($B4453="","",'Daily Sale entry '!D320)</f>
        <v/>
      </c>
      <c r="D4456" s="1" t="inlineStr">
        <is>
          <t>Cheque Collection 支票收款</t>
        </is>
      </c>
      <c r="E4456" s="9">
        <f>IF($B4453="","",'Daily Sale entry '!J320)</f>
        <v/>
      </c>
      <c r="H4456" s="1" t="inlineStr">
        <is>
          <t>Other Charges 其他费用</t>
        </is>
      </c>
      <c r="I4456" s="9">
        <f>IF($B4453="","",B4456)</f>
        <v/>
      </c>
      <c r="K4456" s="1" t="inlineStr">
        <is>
          <t>Cheque Collection 支票收款</t>
        </is>
      </c>
      <c r="L4456" s="9">
        <f>IF($B4453="","",E4456)</f>
        <v/>
      </c>
    </row>
    <row r="4457">
      <c r="A4457" s="10" t="inlineStr">
        <is>
          <t>Amount 金额  (Cash Sales - Misc - Other)</t>
        </is>
      </c>
      <c r="B4457" s="11">
        <f>IF($B4453="","",ROUND(B4454-B4455-B4456,2))</f>
        <v/>
      </c>
      <c r="D4457" s="12" t="inlineStr">
        <is>
          <t>TNG collection TNG收款</t>
        </is>
      </c>
      <c r="E4457" s="13">
        <f>IF($B4453="","",'Daily Sale entry '!K320)</f>
        <v/>
      </c>
      <c r="H4457" s="10" t="inlineStr">
        <is>
          <t>Amount 金额  (Cash Sales - Misc - Other)</t>
        </is>
      </c>
      <c r="I4457" s="11">
        <f>IF($B4453="","",ROUND(I4454-I4455-I4456,2))</f>
        <v/>
      </c>
      <c r="K4457" s="12" t="inlineStr">
        <is>
          <t>TNG collection TNG收款</t>
        </is>
      </c>
      <c r="L4457" s="13">
        <f>IF($B4453="","",E4457)</f>
        <v/>
      </c>
    </row>
    <row r="4458">
      <c r="A4458" t="inlineStr">
        <is>
          <t>Credit Collection 赊账收款</t>
        </is>
      </c>
      <c r="B4458" s="6">
        <f>IF($B4453="","",'Daily Sale entry '!E320)</f>
        <v/>
      </c>
      <c r="D4458" t="inlineStr">
        <is>
          <t>Advance Salary_M 预支薪水_M</t>
        </is>
      </c>
      <c r="E4458" s="6">
        <f>IF($B4453="","",'Daily Sale entry '!L320)</f>
        <v/>
      </c>
      <c r="H4458" t="inlineStr">
        <is>
          <t>Credit Collection 赊账收款</t>
        </is>
      </c>
      <c r="I4458" s="6">
        <f>IF($B4453="","",B4458)</f>
        <v/>
      </c>
      <c r="K4458" t="inlineStr">
        <is>
          <t>Advance Salary_M 预支薪水_M</t>
        </is>
      </c>
      <c r="L4458" s="6">
        <f>IF($B4453="","",E4458)</f>
        <v/>
      </c>
    </row>
    <row r="4459">
      <c r="A4459" s="10" t="inlineStr">
        <is>
          <t>Amount 2 金额2  (Amount + Credit Collection)</t>
        </is>
      </c>
      <c r="B4459" s="11">
        <f>IF($B4453="","",ROUND(B4457+B4458,2))</f>
        <v/>
      </c>
      <c r="D4459" t="inlineStr">
        <is>
          <t>Advance Salary_H 预支薪水_H</t>
        </is>
      </c>
      <c r="E4459" s="6">
        <f>IF($B4453="","",'Daily Sale entry '!M320)</f>
        <v/>
      </c>
      <c r="H4459" s="10" t="inlineStr">
        <is>
          <t>Amount 2 金额2  (Amount + Credit Collection)</t>
        </is>
      </c>
      <c r="I4459" s="11">
        <f>IF($B4453="","",ROUND(I4457+I4458,2))</f>
        <v/>
      </c>
      <c r="K4459" t="inlineStr">
        <is>
          <t>Advance Salary_H 预支薪水_H</t>
        </is>
      </c>
      <c r="L4459" s="6">
        <f>IF($B4453="","",E4459)</f>
        <v/>
      </c>
    </row>
    <row r="4460"/>
    <row r="4461">
      <c r="A4461" s="1" t="inlineStr">
        <is>
          <t>b/f petty cash 上日备用金结转</t>
        </is>
      </c>
      <c r="B4461" s="9">
        <f>IF($B4453="","",'Daily Sale entry '!F320)</f>
        <v/>
      </c>
      <c r="D4461" s="1" t="n"/>
      <c r="E4461" s="1" t="n"/>
      <c r="H4461" s="1" t="inlineStr">
        <is>
          <t>b/f petty cash 上日备用金结转</t>
        </is>
      </c>
      <c r="I4461" s="9">
        <f>IF($B4453="","",B4461)</f>
        <v/>
      </c>
      <c r="K4461" s="1" t="n"/>
      <c r="L4461" s="1" t="n"/>
    </row>
    <row r="4462">
      <c r="A4462" t="inlineStr">
        <is>
          <t>Total (A) 总计 (A)</t>
        </is>
      </c>
      <c r="B4462" s="6">
        <f>IF($B4453="","",ROUND(B4459+B4461,2))</f>
        <v/>
      </c>
      <c r="D4462" t="inlineStr">
        <is>
          <t>Total(B) 总计 (B)</t>
        </is>
      </c>
      <c r="E4462" s="6">
        <f>IF($B4453="","",ROUND(E4454+E4455+E4456+E4457+E4458+E4459,2))</f>
        <v/>
      </c>
      <c r="H4462" t="inlineStr">
        <is>
          <t>Total© 总计 (C)</t>
        </is>
      </c>
      <c r="I4462" s="6">
        <f>IF($B4453="","",ROUND(I4459+I4461,2))</f>
        <v/>
      </c>
      <c r="K4462" t="inlineStr">
        <is>
          <t>Total(D) 总计 (D)</t>
        </is>
      </c>
      <c r="L4462" s="6">
        <f>IF($B4453="","",ROUND(L4454+L4455+L4456+L4457+L4458+L4459,2))</f>
        <v/>
      </c>
    </row>
    <row r="4463">
      <c r="A4463" s="14" t="inlineStr">
        <is>
          <t>Total = Amount 2 + b/f petty cash  (金额2 + 上日备用金)</t>
        </is>
      </c>
      <c r="H4463" s="14" t="inlineStr">
        <is>
          <t>Total = Amount 2 + b/f petty cash  (金额2 + 上日备用金)</t>
        </is>
      </c>
    </row>
    <row r="4464">
      <c r="A4464" t="inlineStr">
        <is>
          <t>Different 差额</t>
        </is>
      </c>
      <c r="B4464" s="6">
        <f>IF($B4453="","",ROUND(B4462-E4462,2))</f>
        <v/>
      </c>
      <c r="D4464">
        <f>IF($B4453="","",IF(ABS(B4464)&gt;'Opening Balance'!$B$16,"ALERT 警报: Different over RM"&amp;'Opening Balance'!$B$16&amp;" 差额超过RM"&amp;'Opening Balance'!$B$16&amp;" - please check 请检查",IF(B4464=0,"Tied 平衡",IF(ABS(B4464)&lt;='Opening Balance'!$B$13,"Small difference 小额差额: adjusted on c/f petty cash 已调整备用金",IF(B4464&gt;0,"Short 短收: added to Misc Charges 已加入杂项费用","Over 多收: added to Cash Sales 已加入现金销售")))))</f>
        <v/>
      </c>
      <c r="H4464" t="inlineStr">
        <is>
          <t>Different 差额</t>
        </is>
      </c>
      <c r="I4464" s="6">
        <f>IF($B4453="","",ROUND(I4462-L4462,2))</f>
        <v/>
      </c>
    </row>
    <row r="4465"/>
    <row r="4466"/>
    <row r="4467">
      <c r="A4467" t="inlineStr">
        <is>
          <t>Date 日期</t>
        </is>
      </c>
      <c r="B4467" s="5">
        <f>IF('Daily Sale entry '!$A321="","",'Daily Sale entry '!$A321)</f>
        <v/>
      </c>
      <c r="H4467" t="inlineStr">
        <is>
          <t>After 调整后 (After)</t>
        </is>
      </c>
      <c r="I4467" s="5">
        <f>IF($B4467="","",B4467)</f>
        <v/>
      </c>
    </row>
    <row r="4468">
      <c r="A4468" t="inlineStr">
        <is>
          <t>Cash Sales 现金销售</t>
        </is>
      </c>
      <c r="B4468" s="6">
        <f>IF($B4467="","",'Daily Sale entry '!B321)</f>
        <v/>
      </c>
      <c r="D4468" t="inlineStr">
        <is>
          <t>c/f petty cash 今日备用金结转</t>
        </is>
      </c>
      <c r="E4468" s="6">
        <f>IF($B4467="","",'Daily Sale entry '!G321)</f>
        <v/>
      </c>
      <c r="H4468" t="inlineStr">
        <is>
          <t>Cash Sales 现金销售</t>
        </is>
      </c>
      <c r="I4468" s="6">
        <f>IF($B4467="","",IF(AND(ABS(B4478)&gt;'Opening Balance'!$B$13,B4478&lt;0),ROUND(B4468-B4478,2),B4468))</f>
        <v/>
      </c>
      <c r="K4468" t="inlineStr">
        <is>
          <t>c/f petty cash 今日备用金结转</t>
        </is>
      </c>
      <c r="L4468" s="6">
        <f>IF($B4467="","",IF(ABS(B4478)&lt;='Opening Balance'!$B$13,ROUND(E4468+B4478,2),E4468))</f>
        <v/>
      </c>
    </row>
    <row r="4469">
      <c r="A4469" t="inlineStr">
        <is>
          <t>Misc Charges 杂项费用</t>
        </is>
      </c>
      <c r="B4469" s="6">
        <f>IF($B4467="","",'Daily Sale entry '!C321)</f>
        <v/>
      </c>
      <c r="D4469" t="inlineStr">
        <is>
          <t>cash collection 现金收款</t>
        </is>
      </c>
      <c r="E4469" s="6">
        <f>IF($B4467="","",'Daily Sale entry '!H321)</f>
        <v/>
      </c>
      <c r="H4469" t="inlineStr">
        <is>
          <t>Misc Charges 杂项费用</t>
        </is>
      </c>
      <c r="I4469" s="6">
        <f>IF($B4467="","",IF(AND(ABS(B4478)&gt;'Opening Balance'!$B$13,B4478&gt;0),ROUND(B4469+B4478,2),B4469))</f>
        <v/>
      </c>
      <c r="K4469" t="inlineStr">
        <is>
          <t>cash collection 现金收款</t>
        </is>
      </c>
      <c r="L4469" s="6">
        <f>IF($B4467="","",E4469)</f>
        <v/>
      </c>
    </row>
    <row r="4470">
      <c r="A4470" s="1" t="inlineStr">
        <is>
          <t>Other Charges 其他费用</t>
        </is>
      </c>
      <c r="B4470" s="9">
        <f>IF($B4467="","",'Daily Sale entry '!D321)</f>
        <v/>
      </c>
      <c r="D4470" s="1" t="inlineStr">
        <is>
          <t>Cheque Collection 支票收款</t>
        </is>
      </c>
      <c r="E4470" s="9">
        <f>IF($B4467="","",'Daily Sale entry '!J321)</f>
        <v/>
      </c>
      <c r="H4470" s="1" t="inlineStr">
        <is>
          <t>Other Charges 其他费用</t>
        </is>
      </c>
      <c r="I4470" s="9">
        <f>IF($B4467="","",B4470)</f>
        <v/>
      </c>
      <c r="K4470" s="1" t="inlineStr">
        <is>
          <t>Cheque Collection 支票收款</t>
        </is>
      </c>
      <c r="L4470" s="9">
        <f>IF($B4467="","",E4470)</f>
        <v/>
      </c>
    </row>
    <row r="4471">
      <c r="A4471" s="10" t="inlineStr">
        <is>
          <t>Amount 金额  (Cash Sales - Misc - Other)</t>
        </is>
      </c>
      <c r="B4471" s="11">
        <f>IF($B4467="","",ROUND(B4468-B4469-B4470,2))</f>
        <v/>
      </c>
      <c r="D4471" s="12" t="inlineStr">
        <is>
          <t>TNG collection TNG收款</t>
        </is>
      </c>
      <c r="E4471" s="13">
        <f>IF($B4467="","",'Daily Sale entry '!K321)</f>
        <v/>
      </c>
      <c r="H4471" s="10" t="inlineStr">
        <is>
          <t>Amount 金额  (Cash Sales - Misc - Other)</t>
        </is>
      </c>
      <c r="I4471" s="11">
        <f>IF($B4467="","",ROUND(I4468-I4469-I4470,2))</f>
        <v/>
      </c>
      <c r="K4471" s="12" t="inlineStr">
        <is>
          <t>TNG collection TNG收款</t>
        </is>
      </c>
      <c r="L4471" s="13">
        <f>IF($B4467="","",E4471)</f>
        <v/>
      </c>
    </row>
    <row r="4472">
      <c r="A4472" t="inlineStr">
        <is>
          <t>Credit Collection 赊账收款</t>
        </is>
      </c>
      <c r="B4472" s="6">
        <f>IF($B4467="","",'Daily Sale entry '!E321)</f>
        <v/>
      </c>
      <c r="D4472" t="inlineStr">
        <is>
          <t>Advance Salary_M 预支薪水_M</t>
        </is>
      </c>
      <c r="E4472" s="6">
        <f>IF($B4467="","",'Daily Sale entry '!L321)</f>
        <v/>
      </c>
      <c r="H4472" t="inlineStr">
        <is>
          <t>Credit Collection 赊账收款</t>
        </is>
      </c>
      <c r="I4472" s="6">
        <f>IF($B4467="","",B4472)</f>
        <v/>
      </c>
      <c r="K4472" t="inlineStr">
        <is>
          <t>Advance Salary_M 预支薪水_M</t>
        </is>
      </c>
      <c r="L4472" s="6">
        <f>IF($B4467="","",E4472)</f>
        <v/>
      </c>
    </row>
    <row r="4473">
      <c r="A4473" s="10" t="inlineStr">
        <is>
          <t>Amount 2 金额2  (Amount + Credit Collection)</t>
        </is>
      </c>
      <c r="B4473" s="11">
        <f>IF($B4467="","",ROUND(B4471+B4472,2))</f>
        <v/>
      </c>
      <c r="D4473" t="inlineStr">
        <is>
          <t>Advance Salary_H 预支薪水_H</t>
        </is>
      </c>
      <c r="E4473" s="6">
        <f>IF($B4467="","",'Daily Sale entry '!M321)</f>
        <v/>
      </c>
      <c r="H4473" s="10" t="inlineStr">
        <is>
          <t>Amount 2 金额2  (Amount + Credit Collection)</t>
        </is>
      </c>
      <c r="I4473" s="11">
        <f>IF($B4467="","",ROUND(I4471+I4472,2))</f>
        <v/>
      </c>
      <c r="K4473" t="inlineStr">
        <is>
          <t>Advance Salary_H 预支薪水_H</t>
        </is>
      </c>
      <c r="L4473" s="6">
        <f>IF($B4467="","",E4473)</f>
        <v/>
      </c>
    </row>
    <row r="4474"/>
    <row r="4475">
      <c r="A4475" s="1" t="inlineStr">
        <is>
          <t>b/f petty cash 上日备用金结转</t>
        </is>
      </c>
      <c r="B4475" s="9">
        <f>IF($B4467="","",'Daily Sale entry '!F321)</f>
        <v/>
      </c>
      <c r="D4475" s="1" t="n"/>
      <c r="E4475" s="1" t="n"/>
      <c r="H4475" s="1" t="inlineStr">
        <is>
          <t>b/f petty cash 上日备用金结转</t>
        </is>
      </c>
      <c r="I4475" s="9">
        <f>IF($B4467="","",B4475)</f>
        <v/>
      </c>
      <c r="K4475" s="1" t="n"/>
      <c r="L4475" s="1" t="n"/>
    </row>
    <row r="4476">
      <c r="A4476" t="inlineStr">
        <is>
          <t>Total (A) 总计 (A)</t>
        </is>
      </c>
      <c r="B4476" s="6">
        <f>IF($B4467="","",ROUND(B4473+B4475,2))</f>
        <v/>
      </c>
      <c r="D4476" t="inlineStr">
        <is>
          <t>Total(B) 总计 (B)</t>
        </is>
      </c>
      <c r="E4476" s="6">
        <f>IF($B4467="","",ROUND(E4468+E4469+E4470+E4471+E4472+E4473,2))</f>
        <v/>
      </c>
      <c r="H4476" t="inlineStr">
        <is>
          <t>Total© 总计 (C)</t>
        </is>
      </c>
      <c r="I4476" s="6">
        <f>IF($B4467="","",ROUND(I4473+I4475,2))</f>
        <v/>
      </c>
      <c r="K4476" t="inlineStr">
        <is>
          <t>Total(D) 总计 (D)</t>
        </is>
      </c>
      <c r="L4476" s="6">
        <f>IF($B4467="","",ROUND(L4468+L4469+L4470+L4471+L4472+L4473,2))</f>
        <v/>
      </c>
    </row>
    <row r="4477">
      <c r="A4477" s="14" t="inlineStr">
        <is>
          <t>Total = Amount 2 + b/f petty cash  (金额2 + 上日备用金)</t>
        </is>
      </c>
      <c r="H4477" s="14" t="inlineStr">
        <is>
          <t>Total = Amount 2 + b/f petty cash  (金额2 + 上日备用金)</t>
        </is>
      </c>
    </row>
    <row r="4478">
      <c r="A4478" t="inlineStr">
        <is>
          <t>Different 差额</t>
        </is>
      </c>
      <c r="B4478" s="6">
        <f>IF($B4467="","",ROUND(B4476-E4476,2))</f>
        <v/>
      </c>
      <c r="D4478">
        <f>IF($B4467="","",IF(ABS(B4478)&gt;'Opening Balance'!$B$16,"ALERT 警报: Different over RM"&amp;'Opening Balance'!$B$16&amp;" 差额超过RM"&amp;'Opening Balance'!$B$16&amp;" - please check 请检查",IF(B4478=0,"Tied 平衡",IF(ABS(B4478)&lt;='Opening Balance'!$B$13,"Small difference 小额差额: adjusted on c/f petty cash 已调整备用金",IF(B4478&gt;0,"Short 短收: added to Misc Charges 已加入杂项费用","Over 多收: added to Cash Sales 已加入现金销售")))))</f>
        <v/>
      </c>
      <c r="H4478" t="inlineStr">
        <is>
          <t>Different 差额</t>
        </is>
      </c>
      <c r="I4478" s="6">
        <f>IF($B4467="","",ROUND(I4476-L4476,2))</f>
        <v/>
      </c>
    </row>
    <row r="4479"/>
    <row r="4480"/>
    <row r="4481">
      <c r="A4481" t="inlineStr">
        <is>
          <t>Date 日期</t>
        </is>
      </c>
      <c r="B4481" s="5">
        <f>IF('Daily Sale entry '!$A322="","",'Daily Sale entry '!$A322)</f>
        <v/>
      </c>
      <c r="H4481" t="inlineStr">
        <is>
          <t>After 调整后 (After)</t>
        </is>
      </c>
      <c r="I4481" s="5">
        <f>IF($B4481="","",B4481)</f>
        <v/>
      </c>
    </row>
    <row r="4482">
      <c r="A4482" t="inlineStr">
        <is>
          <t>Cash Sales 现金销售</t>
        </is>
      </c>
      <c r="B4482" s="6">
        <f>IF($B4481="","",'Daily Sale entry '!B322)</f>
        <v/>
      </c>
      <c r="D4482" t="inlineStr">
        <is>
          <t>c/f petty cash 今日备用金结转</t>
        </is>
      </c>
      <c r="E4482" s="6">
        <f>IF($B4481="","",'Daily Sale entry '!G322)</f>
        <v/>
      </c>
      <c r="H4482" t="inlineStr">
        <is>
          <t>Cash Sales 现金销售</t>
        </is>
      </c>
      <c r="I4482" s="6">
        <f>IF($B4481="","",IF(AND(ABS(B4492)&gt;'Opening Balance'!$B$13,B4492&lt;0),ROUND(B4482-B4492,2),B4482))</f>
        <v/>
      </c>
      <c r="K4482" t="inlineStr">
        <is>
          <t>c/f petty cash 今日备用金结转</t>
        </is>
      </c>
      <c r="L4482" s="6">
        <f>IF($B4481="","",IF(ABS(B4492)&lt;='Opening Balance'!$B$13,ROUND(E4482+B4492,2),E4482))</f>
        <v/>
      </c>
    </row>
    <row r="4483">
      <c r="A4483" t="inlineStr">
        <is>
          <t>Misc Charges 杂项费用</t>
        </is>
      </c>
      <c r="B4483" s="6">
        <f>IF($B4481="","",'Daily Sale entry '!C322)</f>
        <v/>
      </c>
      <c r="D4483" t="inlineStr">
        <is>
          <t>cash collection 现金收款</t>
        </is>
      </c>
      <c r="E4483" s="6">
        <f>IF($B4481="","",'Daily Sale entry '!H322)</f>
        <v/>
      </c>
      <c r="H4483" t="inlineStr">
        <is>
          <t>Misc Charges 杂项费用</t>
        </is>
      </c>
      <c r="I4483" s="6">
        <f>IF($B4481="","",IF(AND(ABS(B4492)&gt;'Opening Balance'!$B$13,B4492&gt;0),ROUND(B4483+B4492,2),B4483))</f>
        <v/>
      </c>
      <c r="K4483" t="inlineStr">
        <is>
          <t>cash collection 现金收款</t>
        </is>
      </c>
      <c r="L4483" s="6">
        <f>IF($B4481="","",E4483)</f>
        <v/>
      </c>
    </row>
    <row r="4484">
      <c r="A4484" s="1" t="inlineStr">
        <is>
          <t>Other Charges 其他费用</t>
        </is>
      </c>
      <c r="B4484" s="9">
        <f>IF($B4481="","",'Daily Sale entry '!D322)</f>
        <v/>
      </c>
      <c r="D4484" s="1" t="inlineStr">
        <is>
          <t>Cheque Collection 支票收款</t>
        </is>
      </c>
      <c r="E4484" s="9">
        <f>IF($B4481="","",'Daily Sale entry '!J322)</f>
        <v/>
      </c>
      <c r="H4484" s="1" t="inlineStr">
        <is>
          <t>Other Charges 其他费用</t>
        </is>
      </c>
      <c r="I4484" s="9">
        <f>IF($B4481="","",B4484)</f>
        <v/>
      </c>
      <c r="K4484" s="1" t="inlineStr">
        <is>
          <t>Cheque Collection 支票收款</t>
        </is>
      </c>
      <c r="L4484" s="9">
        <f>IF($B4481="","",E4484)</f>
        <v/>
      </c>
    </row>
    <row r="4485">
      <c r="A4485" s="10" t="inlineStr">
        <is>
          <t>Amount 金额  (Cash Sales - Misc - Other)</t>
        </is>
      </c>
      <c r="B4485" s="11">
        <f>IF($B4481="","",ROUND(B4482-B4483-B4484,2))</f>
        <v/>
      </c>
      <c r="D4485" s="12" t="inlineStr">
        <is>
          <t>TNG collection TNG收款</t>
        </is>
      </c>
      <c r="E4485" s="13">
        <f>IF($B4481="","",'Daily Sale entry '!K322)</f>
        <v/>
      </c>
      <c r="H4485" s="10" t="inlineStr">
        <is>
          <t>Amount 金额  (Cash Sales - Misc - Other)</t>
        </is>
      </c>
      <c r="I4485" s="11">
        <f>IF($B4481="","",ROUND(I4482-I4483-I4484,2))</f>
        <v/>
      </c>
      <c r="K4485" s="12" t="inlineStr">
        <is>
          <t>TNG collection TNG收款</t>
        </is>
      </c>
      <c r="L4485" s="13">
        <f>IF($B4481="","",E4485)</f>
        <v/>
      </c>
    </row>
    <row r="4486">
      <c r="A4486" t="inlineStr">
        <is>
          <t>Credit Collection 赊账收款</t>
        </is>
      </c>
      <c r="B4486" s="6">
        <f>IF($B4481="","",'Daily Sale entry '!E322)</f>
        <v/>
      </c>
      <c r="D4486" t="inlineStr">
        <is>
          <t>Advance Salary_M 预支薪水_M</t>
        </is>
      </c>
      <c r="E4486" s="6">
        <f>IF($B4481="","",'Daily Sale entry '!L322)</f>
        <v/>
      </c>
      <c r="H4486" t="inlineStr">
        <is>
          <t>Credit Collection 赊账收款</t>
        </is>
      </c>
      <c r="I4486" s="6">
        <f>IF($B4481="","",B4486)</f>
        <v/>
      </c>
      <c r="K4486" t="inlineStr">
        <is>
          <t>Advance Salary_M 预支薪水_M</t>
        </is>
      </c>
      <c r="L4486" s="6">
        <f>IF($B4481="","",E4486)</f>
        <v/>
      </c>
    </row>
    <row r="4487">
      <c r="A4487" s="10" t="inlineStr">
        <is>
          <t>Amount 2 金额2  (Amount + Credit Collection)</t>
        </is>
      </c>
      <c r="B4487" s="11">
        <f>IF($B4481="","",ROUND(B4485+B4486,2))</f>
        <v/>
      </c>
      <c r="D4487" t="inlineStr">
        <is>
          <t>Advance Salary_H 预支薪水_H</t>
        </is>
      </c>
      <c r="E4487" s="6">
        <f>IF($B4481="","",'Daily Sale entry '!M322)</f>
        <v/>
      </c>
      <c r="H4487" s="10" t="inlineStr">
        <is>
          <t>Amount 2 金额2  (Amount + Credit Collection)</t>
        </is>
      </c>
      <c r="I4487" s="11">
        <f>IF($B4481="","",ROUND(I4485+I4486,2))</f>
        <v/>
      </c>
      <c r="K4487" t="inlineStr">
        <is>
          <t>Advance Salary_H 预支薪水_H</t>
        </is>
      </c>
      <c r="L4487" s="6">
        <f>IF($B4481="","",E4487)</f>
        <v/>
      </c>
    </row>
    <row r="4488"/>
    <row r="4489">
      <c r="A4489" s="1" t="inlineStr">
        <is>
          <t>b/f petty cash 上日备用金结转</t>
        </is>
      </c>
      <c r="B4489" s="9">
        <f>IF($B4481="","",'Daily Sale entry '!F322)</f>
        <v/>
      </c>
      <c r="D4489" s="1" t="n"/>
      <c r="E4489" s="1" t="n"/>
      <c r="H4489" s="1" t="inlineStr">
        <is>
          <t>b/f petty cash 上日备用金结转</t>
        </is>
      </c>
      <c r="I4489" s="9">
        <f>IF($B4481="","",B4489)</f>
        <v/>
      </c>
      <c r="K4489" s="1" t="n"/>
      <c r="L4489" s="1" t="n"/>
    </row>
    <row r="4490">
      <c r="A4490" t="inlineStr">
        <is>
          <t>Total (A) 总计 (A)</t>
        </is>
      </c>
      <c r="B4490" s="6">
        <f>IF($B4481="","",ROUND(B4487+B4489,2))</f>
        <v/>
      </c>
      <c r="D4490" t="inlineStr">
        <is>
          <t>Total(B) 总计 (B)</t>
        </is>
      </c>
      <c r="E4490" s="6">
        <f>IF($B4481="","",ROUND(E4482+E4483+E4484+E4485+E4486+E4487,2))</f>
        <v/>
      </c>
      <c r="H4490" t="inlineStr">
        <is>
          <t>Total© 总计 (C)</t>
        </is>
      </c>
      <c r="I4490" s="6">
        <f>IF($B4481="","",ROUND(I4487+I4489,2))</f>
        <v/>
      </c>
      <c r="K4490" t="inlineStr">
        <is>
          <t>Total(D) 总计 (D)</t>
        </is>
      </c>
      <c r="L4490" s="6">
        <f>IF($B4481="","",ROUND(L4482+L4483+L4484+L4485+L4486+L4487,2))</f>
        <v/>
      </c>
    </row>
    <row r="4491">
      <c r="A4491" s="14" t="inlineStr">
        <is>
          <t>Total = Amount 2 + b/f petty cash  (金额2 + 上日备用金)</t>
        </is>
      </c>
      <c r="H4491" s="14" t="inlineStr">
        <is>
          <t>Total = Amount 2 + b/f petty cash  (金额2 + 上日备用金)</t>
        </is>
      </c>
    </row>
    <row r="4492">
      <c r="A4492" t="inlineStr">
        <is>
          <t>Different 差额</t>
        </is>
      </c>
      <c r="B4492" s="6">
        <f>IF($B4481="","",ROUND(B4490-E4490,2))</f>
        <v/>
      </c>
      <c r="D4492">
        <f>IF($B4481="","",IF(ABS(B4492)&gt;'Opening Balance'!$B$16,"ALERT 警报: Different over RM"&amp;'Opening Balance'!$B$16&amp;" 差额超过RM"&amp;'Opening Balance'!$B$16&amp;" - please check 请检查",IF(B4492=0,"Tied 平衡",IF(ABS(B4492)&lt;='Opening Balance'!$B$13,"Small difference 小额差额: adjusted on c/f petty cash 已调整备用金",IF(B4492&gt;0,"Short 短收: added to Misc Charges 已加入杂项费用","Over 多收: added to Cash Sales 已加入现金销售")))))</f>
        <v/>
      </c>
      <c r="H4492" t="inlineStr">
        <is>
          <t>Different 差额</t>
        </is>
      </c>
      <c r="I4492" s="6">
        <f>IF($B4481="","",ROUND(I4490-L4490,2))</f>
        <v/>
      </c>
    </row>
    <row r="4493"/>
    <row r="4494"/>
    <row r="4495">
      <c r="A4495" t="inlineStr">
        <is>
          <t>Date 日期</t>
        </is>
      </c>
      <c r="B4495" s="5">
        <f>IF('Daily Sale entry '!$A323="","",'Daily Sale entry '!$A323)</f>
        <v/>
      </c>
      <c r="H4495" t="inlineStr">
        <is>
          <t>After 调整后 (After)</t>
        </is>
      </c>
      <c r="I4495" s="5">
        <f>IF($B4495="","",B4495)</f>
        <v/>
      </c>
    </row>
    <row r="4496">
      <c r="A4496" t="inlineStr">
        <is>
          <t>Cash Sales 现金销售</t>
        </is>
      </c>
      <c r="B4496" s="6">
        <f>IF($B4495="","",'Daily Sale entry '!B323)</f>
        <v/>
      </c>
      <c r="D4496" t="inlineStr">
        <is>
          <t>c/f petty cash 今日备用金结转</t>
        </is>
      </c>
      <c r="E4496" s="6">
        <f>IF($B4495="","",'Daily Sale entry '!G323)</f>
        <v/>
      </c>
      <c r="H4496" t="inlineStr">
        <is>
          <t>Cash Sales 现金销售</t>
        </is>
      </c>
      <c r="I4496" s="6">
        <f>IF($B4495="","",IF(AND(ABS(B4506)&gt;'Opening Balance'!$B$13,B4506&lt;0),ROUND(B4496-B4506,2),B4496))</f>
        <v/>
      </c>
      <c r="K4496" t="inlineStr">
        <is>
          <t>c/f petty cash 今日备用金结转</t>
        </is>
      </c>
      <c r="L4496" s="6">
        <f>IF($B4495="","",IF(ABS(B4506)&lt;='Opening Balance'!$B$13,ROUND(E4496+B4506,2),E4496))</f>
        <v/>
      </c>
    </row>
    <row r="4497">
      <c r="A4497" t="inlineStr">
        <is>
          <t>Misc Charges 杂项费用</t>
        </is>
      </c>
      <c r="B4497" s="6">
        <f>IF($B4495="","",'Daily Sale entry '!C323)</f>
        <v/>
      </c>
      <c r="D4497" t="inlineStr">
        <is>
          <t>cash collection 现金收款</t>
        </is>
      </c>
      <c r="E4497" s="6">
        <f>IF($B4495="","",'Daily Sale entry '!H323)</f>
        <v/>
      </c>
      <c r="H4497" t="inlineStr">
        <is>
          <t>Misc Charges 杂项费用</t>
        </is>
      </c>
      <c r="I4497" s="6">
        <f>IF($B4495="","",IF(AND(ABS(B4506)&gt;'Opening Balance'!$B$13,B4506&gt;0),ROUND(B4497+B4506,2),B4497))</f>
        <v/>
      </c>
      <c r="K4497" t="inlineStr">
        <is>
          <t>cash collection 现金收款</t>
        </is>
      </c>
      <c r="L4497" s="6">
        <f>IF($B4495="","",E4497)</f>
        <v/>
      </c>
    </row>
    <row r="4498">
      <c r="A4498" s="1" t="inlineStr">
        <is>
          <t>Other Charges 其他费用</t>
        </is>
      </c>
      <c r="B4498" s="9">
        <f>IF($B4495="","",'Daily Sale entry '!D323)</f>
        <v/>
      </c>
      <c r="D4498" s="1" t="inlineStr">
        <is>
          <t>Cheque Collection 支票收款</t>
        </is>
      </c>
      <c r="E4498" s="9">
        <f>IF($B4495="","",'Daily Sale entry '!J323)</f>
        <v/>
      </c>
      <c r="H4498" s="1" t="inlineStr">
        <is>
          <t>Other Charges 其他费用</t>
        </is>
      </c>
      <c r="I4498" s="9">
        <f>IF($B4495="","",B4498)</f>
        <v/>
      </c>
      <c r="K4498" s="1" t="inlineStr">
        <is>
          <t>Cheque Collection 支票收款</t>
        </is>
      </c>
      <c r="L4498" s="9">
        <f>IF($B4495="","",E4498)</f>
        <v/>
      </c>
    </row>
    <row r="4499">
      <c r="A4499" s="10" t="inlineStr">
        <is>
          <t>Amount 金额  (Cash Sales - Misc - Other)</t>
        </is>
      </c>
      <c r="B4499" s="11">
        <f>IF($B4495="","",ROUND(B4496-B4497-B4498,2))</f>
        <v/>
      </c>
      <c r="D4499" s="12" t="inlineStr">
        <is>
          <t>TNG collection TNG收款</t>
        </is>
      </c>
      <c r="E4499" s="13">
        <f>IF($B4495="","",'Daily Sale entry '!K323)</f>
        <v/>
      </c>
      <c r="H4499" s="10" t="inlineStr">
        <is>
          <t>Amount 金额  (Cash Sales - Misc - Other)</t>
        </is>
      </c>
      <c r="I4499" s="11">
        <f>IF($B4495="","",ROUND(I4496-I4497-I4498,2))</f>
        <v/>
      </c>
      <c r="K4499" s="12" t="inlineStr">
        <is>
          <t>TNG collection TNG收款</t>
        </is>
      </c>
      <c r="L4499" s="13">
        <f>IF($B4495="","",E4499)</f>
        <v/>
      </c>
    </row>
    <row r="4500">
      <c r="A4500" t="inlineStr">
        <is>
          <t>Credit Collection 赊账收款</t>
        </is>
      </c>
      <c r="B4500" s="6">
        <f>IF($B4495="","",'Daily Sale entry '!E323)</f>
        <v/>
      </c>
      <c r="D4500" t="inlineStr">
        <is>
          <t>Advance Salary_M 预支薪水_M</t>
        </is>
      </c>
      <c r="E4500" s="6">
        <f>IF($B4495="","",'Daily Sale entry '!L323)</f>
        <v/>
      </c>
      <c r="H4500" t="inlineStr">
        <is>
          <t>Credit Collection 赊账收款</t>
        </is>
      </c>
      <c r="I4500" s="6">
        <f>IF($B4495="","",B4500)</f>
        <v/>
      </c>
      <c r="K4500" t="inlineStr">
        <is>
          <t>Advance Salary_M 预支薪水_M</t>
        </is>
      </c>
      <c r="L4500" s="6">
        <f>IF($B4495="","",E4500)</f>
        <v/>
      </c>
    </row>
    <row r="4501">
      <c r="A4501" s="10" t="inlineStr">
        <is>
          <t>Amount 2 金额2  (Amount + Credit Collection)</t>
        </is>
      </c>
      <c r="B4501" s="11">
        <f>IF($B4495="","",ROUND(B4499+B4500,2))</f>
        <v/>
      </c>
      <c r="D4501" t="inlineStr">
        <is>
          <t>Advance Salary_H 预支薪水_H</t>
        </is>
      </c>
      <c r="E4501" s="6">
        <f>IF($B4495="","",'Daily Sale entry '!M323)</f>
        <v/>
      </c>
      <c r="H4501" s="10" t="inlineStr">
        <is>
          <t>Amount 2 金额2  (Amount + Credit Collection)</t>
        </is>
      </c>
      <c r="I4501" s="11">
        <f>IF($B4495="","",ROUND(I4499+I4500,2))</f>
        <v/>
      </c>
      <c r="K4501" t="inlineStr">
        <is>
          <t>Advance Salary_H 预支薪水_H</t>
        </is>
      </c>
      <c r="L4501" s="6">
        <f>IF($B4495="","",E4501)</f>
        <v/>
      </c>
    </row>
    <row r="4502"/>
    <row r="4503">
      <c r="A4503" s="1" t="inlineStr">
        <is>
          <t>b/f petty cash 上日备用金结转</t>
        </is>
      </c>
      <c r="B4503" s="9">
        <f>IF($B4495="","",'Daily Sale entry '!F323)</f>
        <v/>
      </c>
      <c r="D4503" s="1" t="n"/>
      <c r="E4503" s="1" t="n"/>
      <c r="H4503" s="1" t="inlineStr">
        <is>
          <t>b/f petty cash 上日备用金结转</t>
        </is>
      </c>
      <c r="I4503" s="9">
        <f>IF($B4495="","",B4503)</f>
        <v/>
      </c>
      <c r="K4503" s="1" t="n"/>
      <c r="L4503" s="1" t="n"/>
    </row>
    <row r="4504">
      <c r="A4504" t="inlineStr">
        <is>
          <t>Total (A) 总计 (A)</t>
        </is>
      </c>
      <c r="B4504" s="6">
        <f>IF($B4495="","",ROUND(B4501+B4503,2))</f>
        <v/>
      </c>
      <c r="D4504" t="inlineStr">
        <is>
          <t>Total(B) 总计 (B)</t>
        </is>
      </c>
      <c r="E4504" s="6">
        <f>IF($B4495="","",ROUND(E4496+E4497+E4498+E4499+E4500+E4501,2))</f>
        <v/>
      </c>
      <c r="H4504" t="inlineStr">
        <is>
          <t>Total© 总计 (C)</t>
        </is>
      </c>
      <c r="I4504" s="6">
        <f>IF($B4495="","",ROUND(I4501+I4503,2))</f>
        <v/>
      </c>
      <c r="K4504" t="inlineStr">
        <is>
          <t>Total(D) 总计 (D)</t>
        </is>
      </c>
      <c r="L4504" s="6">
        <f>IF($B4495="","",ROUND(L4496+L4497+L4498+L4499+L4500+L4501,2))</f>
        <v/>
      </c>
    </row>
    <row r="4505">
      <c r="A4505" s="14" t="inlineStr">
        <is>
          <t>Total = Amount 2 + b/f petty cash  (金额2 + 上日备用金)</t>
        </is>
      </c>
      <c r="H4505" s="14" t="inlineStr">
        <is>
          <t>Total = Amount 2 + b/f petty cash  (金额2 + 上日备用金)</t>
        </is>
      </c>
    </row>
    <row r="4506">
      <c r="A4506" t="inlineStr">
        <is>
          <t>Different 差额</t>
        </is>
      </c>
      <c r="B4506" s="6">
        <f>IF($B4495="","",ROUND(B4504-E4504,2))</f>
        <v/>
      </c>
      <c r="D4506">
        <f>IF($B4495="","",IF(ABS(B4506)&gt;'Opening Balance'!$B$16,"ALERT 警报: Different over RM"&amp;'Opening Balance'!$B$16&amp;" 差额超过RM"&amp;'Opening Balance'!$B$16&amp;" - please check 请检查",IF(B4506=0,"Tied 平衡",IF(ABS(B4506)&lt;='Opening Balance'!$B$13,"Small difference 小额差额: adjusted on c/f petty cash 已调整备用金",IF(B4506&gt;0,"Short 短收: added to Misc Charges 已加入杂项费用","Over 多收: added to Cash Sales 已加入现金销售")))))</f>
        <v/>
      </c>
      <c r="H4506" t="inlineStr">
        <is>
          <t>Different 差额</t>
        </is>
      </c>
      <c r="I4506" s="6">
        <f>IF($B4495="","",ROUND(I4504-L4504,2))</f>
        <v/>
      </c>
    </row>
    <row r="4507"/>
    <row r="4508"/>
    <row r="4509">
      <c r="A4509" t="inlineStr">
        <is>
          <t>Date 日期</t>
        </is>
      </c>
      <c r="B4509" s="5">
        <f>IF('Daily Sale entry '!$A324="","",'Daily Sale entry '!$A324)</f>
        <v/>
      </c>
      <c r="H4509" t="inlineStr">
        <is>
          <t>After 调整后 (After)</t>
        </is>
      </c>
      <c r="I4509" s="5">
        <f>IF($B4509="","",B4509)</f>
        <v/>
      </c>
    </row>
    <row r="4510">
      <c r="A4510" t="inlineStr">
        <is>
          <t>Cash Sales 现金销售</t>
        </is>
      </c>
      <c r="B4510" s="6">
        <f>IF($B4509="","",'Daily Sale entry '!B324)</f>
        <v/>
      </c>
      <c r="D4510" t="inlineStr">
        <is>
          <t>c/f petty cash 今日备用金结转</t>
        </is>
      </c>
      <c r="E4510" s="6">
        <f>IF($B4509="","",'Daily Sale entry '!G324)</f>
        <v/>
      </c>
      <c r="H4510" t="inlineStr">
        <is>
          <t>Cash Sales 现金销售</t>
        </is>
      </c>
      <c r="I4510" s="6">
        <f>IF($B4509="","",IF(AND(ABS(B4520)&gt;'Opening Balance'!$B$13,B4520&lt;0),ROUND(B4510-B4520,2),B4510))</f>
        <v/>
      </c>
      <c r="K4510" t="inlineStr">
        <is>
          <t>c/f petty cash 今日备用金结转</t>
        </is>
      </c>
      <c r="L4510" s="6">
        <f>IF($B4509="","",IF(ABS(B4520)&lt;='Opening Balance'!$B$13,ROUND(E4510+B4520,2),E4510))</f>
        <v/>
      </c>
    </row>
    <row r="4511">
      <c r="A4511" t="inlineStr">
        <is>
          <t>Misc Charges 杂项费用</t>
        </is>
      </c>
      <c r="B4511" s="6">
        <f>IF($B4509="","",'Daily Sale entry '!C324)</f>
        <v/>
      </c>
      <c r="D4511" t="inlineStr">
        <is>
          <t>cash collection 现金收款</t>
        </is>
      </c>
      <c r="E4511" s="6">
        <f>IF($B4509="","",'Daily Sale entry '!H324)</f>
        <v/>
      </c>
      <c r="H4511" t="inlineStr">
        <is>
          <t>Misc Charges 杂项费用</t>
        </is>
      </c>
      <c r="I4511" s="6">
        <f>IF($B4509="","",IF(AND(ABS(B4520)&gt;'Opening Balance'!$B$13,B4520&gt;0),ROUND(B4511+B4520,2),B4511))</f>
        <v/>
      </c>
      <c r="K4511" t="inlineStr">
        <is>
          <t>cash collection 现金收款</t>
        </is>
      </c>
      <c r="L4511" s="6">
        <f>IF($B4509="","",E4511)</f>
        <v/>
      </c>
    </row>
    <row r="4512">
      <c r="A4512" s="1" t="inlineStr">
        <is>
          <t>Other Charges 其他费用</t>
        </is>
      </c>
      <c r="B4512" s="9">
        <f>IF($B4509="","",'Daily Sale entry '!D324)</f>
        <v/>
      </c>
      <c r="D4512" s="1" t="inlineStr">
        <is>
          <t>Cheque Collection 支票收款</t>
        </is>
      </c>
      <c r="E4512" s="9">
        <f>IF($B4509="","",'Daily Sale entry '!J324)</f>
        <v/>
      </c>
      <c r="H4512" s="1" t="inlineStr">
        <is>
          <t>Other Charges 其他费用</t>
        </is>
      </c>
      <c r="I4512" s="9">
        <f>IF($B4509="","",B4512)</f>
        <v/>
      </c>
      <c r="K4512" s="1" t="inlineStr">
        <is>
          <t>Cheque Collection 支票收款</t>
        </is>
      </c>
      <c r="L4512" s="9">
        <f>IF($B4509="","",E4512)</f>
        <v/>
      </c>
    </row>
    <row r="4513">
      <c r="A4513" s="10" t="inlineStr">
        <is>
          <t>Amount 金额  (Cash Sales - Misc - Other)</t>
        </is>
      </c>
      <c r="B4513" s="11">
        <f>IF($B4509="","",ROUND(B4510-B4511-B4512,2))</f>
        <v/>
      </c>
      <c r="D4513" s="12" t="inlineStr">
        <is>
          <t>TNG collection TNG收款</t>
        </is>
      </c>
      <c r="E4513" s="13">
        <f>IF($B4509="","",'Daily Sale entry '!K324)</f>
        <v/>
      </c>
      <c r="H4513" s="10" t="inlineStr">
        <is>
          <t>Amount 金额  (Cash Sales - Misc - Other)</t>
        </is>
      </c>
      <c r="I4513" s="11">
        <f>IF($B4509="","",ROUND(I4510-I4511-I4512,2))</f>
        <v/>
      </c>
      <c r="K4513" s="12" t="inlineStr">
        <is>
          <t>TNG collection TNG收款</t>
        </is>
      </c>
      <c r="L4513" s="13">
        <f>IF($B4509="","",E4513)</f>
        <v/>
      </c>
    </row>
    <row r="4514">
      <c r="A4514" t="inlineStr">
        <is>
          <t>Credit Collection 赊账收款</t>
        </is>
      </c>
      <c r="B4514" s="6">
        <f>IF($B4509="","",'Daily Sale entry '!E324)</f>
        <v/>
      </c>
      <c r="D4514" t="inlineStr">
        <is>
          <t>Advance Salary_M 预支薪水_M</t>
        </is>
      </c>
      <c r="E4514" s="6">
        <f>IF($B4509="","",'Daily Sale entry '!L324)</f>
        <v/>
      </c>
      <c r="H4514" t="inlineStr">
        <is>
          <t>Credit Collection 赊账收款</t>
        </is>
      </c>
      <c r="I4514" s="6">
        <f>IF($B4509="","",B4514)</f>
        <v/>
      </c>
      <c r="K4514" t="inlineStr">
        <is>
          <t>Advance Salary_M 预支薪水_M</t>
        </is>
      </c>
      <c r="L4514" s="6">
        <f>IF($B4509="","",E4514)</f>
        <v/>
      </c>
    </row>
    <row r="4515">
      <c r="A4515" s="10" t="inlineStr">
        <is>
          <t>Amount 2 金额2  (Amount + Credit Collection)</t>
        </is>
      </c>
      <c r="B4515" s="11">
        <f>IF($B4509="","",ROUND(B4513+B4514,2))</f>
        <v/>
      </c>
      <c r="D4515" t="inlineStr">
        <is>
          <t>Advance Salary_H 预支薪水_H</t>
        </is>
      </c>
      <c r="E4515" s="6">
        <f>IF($B4509="","",'Daily Sale entry '!M324)</f>
        <v/>
      </c>
      <c r="H4515" s="10" t="inlineStr">
        <is>
          <t>Amount 2 金额2  (Amount + Credit Collection)</t>
        </is>
      </c>
      <c r="I4515" s="11">
        <f>IF($B4509="","",ROUND(I4513+I4514,2))</f>
        <v/>
      </c>
      <c r="K4515" t="inlineStr">
        <is>
          <t>Advance Salary_H 预支薪水_H</t>
        </is>
      </c>
      <c r="L4515" s="6">
        <f>IF($B4509="","",E4515)</f>
        <v/>
      </c>
    </row>
    <row r="4516"/>
    <row r="4517">
      <c r="A4517" s="1" t="inlineStr">
        <is>
          <t>b/f petty cash 上日备用金结转</t>
        </is>
      </c>
      <c r="B4517" s="9">
        <f>IF($B4509="","",'Daily Sale entry '!F324)</f>
        <v/>
      </c>
      <c r="D4517" s="1" t="n"/>
      <c r="E4517" s="1" t="n"/>
      <c r="H4517" s="1" t="inlineStr">
        <is>
          <t>b/f petty cash 上日备用金结转</t>
        </is>
      </c>
      <c r="I4517" s="9">
        <f>IF($B4509="","",B4517)</f>
        <v/>
      </c>
      <c r="K4517" s="1" t="n"/>
      <c r="L4517" s="1" t="n"/>
    </row>
    <row r="4518">
      <c r="A4518" t="inlineStr">
        <is>
          <t>Total (A) 总计 (A)</t>
        </is>
      </c>
      <c r="B4518" s="6">
        <f>IF($B4509="","",ROUND(B4515+B4517,2))</f>
        <v/>
      </c>
      <c r="D4518" t="inlineStr">
        <is>
          <t>Total(B) 总计 (B)</t>
        </is>
      </c>
      <c r="E4518" s="6">
        <f>IF($B4509="","",ROUND(E4510+E4511+E4512+E4513+E4514+E4515,2))</f>
        <v/>
      </c>
      <c r="H4518" t="inlineStr">
        <is>
          <t>Total© 总计 (C)</t>
        </is>
      </c>
      <c r="I4518" s="6">
        <f>IF($B4509="","",ROUND(I4515+I4517,2))</f>
        <v/>
      </c>
      <c r="K4518" t="inlineStr">
        <is>
          <t>Total(D) 总计 (D)</t>
        </is>
      </c>
      <c r="L4518" s="6">
        <f>IF($B4509="","",ROUND(L4510+L4511+L4512+L4513+L4514+L4515,2))</f>
        <v/>
      </c>
    </row>
    <row r="4519">
      <c r="A4519" s="14" t="inlineStr">
        <is>
          <t>Total = Amount 2 + b/f petty cash  (金额2 + 上日备用金)</t>
        </is>
      </c>
      <c r="H4519" s="14" t="inlineStr">
        <is>
          <t>Total = Amount 2 + b/f petty cash  (金额2 + 上日备用金)</t>
        </is>
      </c>
    </row>
    <row r="4520">
      <c r="A4520" t="inlineStr">
        <is>
          <t>Different 差额</t>
        </is>
      </c>
      <c r="B4520" s="6">
        <f>IF($B4509="","",ROUND(B4518-E4518,2))</f>
        <v/>
      </c>
      <c r="D4520">
        <f>IF($B4509="","",IF(ABS(B4520)&gt;'Opening Balance'!$B$16,"ALERT 警报: Different over RM"&amp;'Opening Balance'!$B$16&amp;" 差额超过RM"&amp;'Opening Balance'!$B$16&amp;" - please check 请检查",IF(B4520=0,"Tied 平衡",IF(ABS(B4520)&lt;='Opening Balance'!$B$13,"Small difference 小额差额: adjusted on c/f petty cash 已调整备用金",IF(B4520&gt;0,"Short 短收: added to Misc Charges 已加入杂项费用","Over 多收: added to Cash Sales 已加入现金销售")))))</f>
        <v/>
      </c>
      <c r="H4520" t="inlineStr">
        <is>
          <t>Different 差额</t>
        </is>
      </c>
      <c r="I4520" s="6">
        <f>IF($B4509="","",ROUND(I4518-L4518,2))</f>
        <v/>
      </c>
    </row>
    <row r="4521"/>
    <row r="4522"/>
    <row r="4523">
      <c r="A4523" t="inlineStr">
        <is>
          <t>Date 日期</t>
        </is>
      </c>
      <c r="B4523" s="5">
        <f>IF('Daily Sale entry '!$A325="","",'Daily Sale entry '!$A325)</f>
        <v/>
      </c>
      <c r="H4523" t="inlineStr">
        <is>
          <t>After 调整后 (After)</t>
        </is>
      </c>
      <c r="I4523" s="5">
        <f>IF($B4523="","",B4523)</f>
        <v/>
      </c>
    </row>
    <row r="4524">
      <c r="A4524" t="inlineStr">
        <is>
          <t>Cash Sales 现金销售</t>
        </is>
      </c>
      <c r="B4524" s="6">
        <f>IF($B4523="","",'Daily Sale entry '!B325)</f>
        <v/>
      </c>
      <c r="D4524" t="inlineStr">
        <is>
          <t>c/f petty cash 今日备用金结转</t>
        </is>
      </c>
      <c r="E4524" s="6">
        <f>IF($B4523="","",'Daily Sale entry '!G325)</f>
        <v/>
      </c>
      <c r="H4524" t="inlineStr">
        <is>
          <t>Cash Sales 现金销售</t>
        </is>
      </c>
      <c r="I4524" s="6">
        <f>IF($B4523="","",IF(AND(ABS(B4534)&gt;'Opening Balance'!$B$13,B4534&lt;0),ROUND(B4524-B4534,2),B4524))</f>
        <v/>
      </c>
      <c r="K4524" t="inlineStr">
        <is>
          <t>c/f petty cash 今日备用金结转</t>
        </is>
      </c>
      <c r="L4524" s="6">
        <f>IF($B4523="","",IF(ABS(B4534)&lt;='Opening Balance'!$B$13,ROUND(E4524+B4534,2),E4524))</f>
        <v/>
      </c>
    </row>
    <row r="4525">
      <c r="A4525" t="inlineStr">
        <is>
          <t>Misc Charges 杂项费用</t>
        </is>
      </c>
      <c r="B4525" s="6">
        <f>IF($B4523="","",'Daily Sale entry '!C325)</f>
        <v/>
      </c>
      <c r="D4525" t="inlineStr">
        <is>
          <t>cash collection 现金收款</t>
        </is>
      </c>
      <c r="E4525" s="6">
        <f>IF($B4523="","",'Daily Sale entry '!H325)</f>
        <v/>
      </c>
      <c r="H4525" t="inlineStr">
        <is>
          <t>Misc Charges 杂项费用</t>
        </is>
      </c>
      <c r="I4525" s="6">
        <f>IF($B4523="","",IF(AND(ABS(B4534)&gt;'Opening Balance'!$B$13,B4534&gt;0),ROUND(B4525+B4534,2),B4525))</f>
        <v/>
      </c>
      <c r="K4525" t="inlineStr">
        <is>
          <t>cash collection 现金收款</t>
        </is>
      </c>
      <c r="L4525" s="6">
        <f>IF($B4523="","",E4525)</f>
        <v/>
      </c>
    </row>
    <row r="4526">
      <c r="A4526" s="1" t="inlineStr">
        <is>
          <t>Other Charges 其他费用</t>
        </is>
      </c>
      <c r="B4526" s="9">
        <f>IF($B4523="","",'Daily Sale entry '!D325)</f>
        <v/>
      </c>
      <c r="D4526" s="1" t="inlineStr">
        <is>
          <t>Cheque Collection 支票收款</t>
        </is>
      </c>
      <c r="E4526" s="9">
        <f>IF($B4523="","",'Daily Sale entry '!J325)</f>
        <v/>
      </c>
      <c r="H4526" s="1" t="inlineStr">
        <is>
          <t>Other Charges 其他费用</t>
        </is>
      </c>
      <c r="I4526" s="9">
        <f>IF($B4523="","",B4526)</f>
        <v/>
      </c>
      <c r="K4526" s="1" t="inlineStr">
        <is>
          <t>Cheque Collection 支票收款</t>
        </is>
      </c>
      <c r="L4526" s="9">
        <f>IF($B4523="","",E4526)</f>
        <v/>
      </c>
    </row>
    <row r="4527">
      <c r="A4527" s="10" t="inlineStr">
        <is>
          <t>Amount 金额  (Cash Sales - Misc - Other)</t>
        </is>
      </c>
      <c r="B4527" s="11">
        <f>IF($B4523="","",ROUND(B4524-B4525-B4526,2))</f>
        <v/>
      </c>
      <c r="D4527" s="12" t="inlineStr">
        <is>
          <t>TNG collection TNG收款</t>
        </is>
      </c>
      <c r="E4527" s="13">
        <f>IF($B4523="","",'Daily Sale entry '!K325)</f>
        <v/>
      </c>
      <c r="H4527" s="10" t="inlineStr">
        <is>
          <t>Amount 金额  (Cash Sales - Misc - Other)</t>
        </is>
      </c>
      <c r="I4527" s="11">
        <f>IF($B4523="","",ROUND(I4524-I4525-I4526,2))</f>
        <v/>
      </c>
      <c r="K4527" s="12" t="inlineStr">
        <is>
          <t>TNG collection TNG收款</t>
        </is>
      </c>
      <c r="L4527" s="13">
        <f>IF($B4523="","",E4527)</f>
        <v/>
      </c>
    </row>
    <row r="4528">
      <c r="A4528" t="inlineStr">
        <is>
          <t>Credit Collection 赊账收款</t>
        </is>
      </c>
      <c r="B4528" s="6">
        <f>IF($B4523="","",'Daily Sale entry '!E325)</f>
        <v/>
      </c>
      <c r="D4528" t="inlineStr">
        <is>
          <t>Advance Salary_M 预支薪水_M</t>
        </is>
      </c>
      <c r="E4528" s="6">
        <f>IF($B4523="","",'Daily Sale entry '!L325)</f>
        <v/>
      </c>
      <c r="H4528" t="inlineStr">
        <is>
          <t>Credit Collection 赊账收款</t>
        </is>
      </c>
      <c r="I4528" s="6">
        <f>IF($B4523="","",B4528)</f>
        <v/>
      </c>
      <c r="K4528" t="inlineStr">
        <is>
          <t>Advance Salary_M 预支薪水_M</t>
        </is>
      </c>
      <c r="L4528" s="6">
        <f>IF($B4523="","",E4528)</f>
        <v/>
      </c>
    </row>
    <row r="4529">
      <c r="A4529" s="10" t="inlineStr">
        <is>
          <t>Amount 2 金额2  (Amount + Credit Collection)</t>
        </is>
      </c>
      <c r="B4529" s="11">
        <f>IF($B4523="","",ROUND(B4527+B4528,2))</f>
        <v/>
      </c>
      <c r="D4529" t="inlineStr">
        <is>
          <t>Advance Salary_H 预支薪水_H</t>
        </is>
      </c>
      <c r="E4529" s="6">
        <f>IF($B4523="","",'Daily Sale entry '!M325)</f>
        <v/>
      </c>
      <c r="H4529" s="10" t="inlineStr">
        <is>
          <t>Amount 2 金额2  (Amount + Credit Collection)</t>
        </is>
      </c>
      <c r="I4529" s="11">
        <f>IF($B4523="","",ROUND(I4527+I4528,2))</f>
        <v/>
      </c>
      <c r="K4529" t="inlineStr">
        <is>
          <t>Advance Salary_H 预支薪水_H</t>
        </is>
      </c>
      <c r="L4529" s="6">
        <f>IF($B4523="","",E4529)</f>
        <v/>
      </c>
    </row>
    <row r="4530"/>
    <row r="4531">
      <c r="A4531" s="1" t="inlineStr">
        <is>
          <t>b/f petty cash 上日备用金结转</t>
        </is>
      </c>
      <c r="B4531" s="9">
        <f>IF($B4523="","",'Daily Sale entry '!F325)</f>
        <v/>
      </c>
      <c r="D4531" s="1" t="n"/>
      <c r="E4531" s="1" t="n"/>
      <c r="H4531" s="1" t="inlineStr">
        <is>
          <t>b/f petty cash 上日备用金结转</t>
        </is>
      </c>
      <c r="I4531" s="9">
        <f>IF($B4523="","",B4531)</f>
        <v/>
      </c>
      <c r="K4531" s="1" t="n"/>
      <c r="L4531" s="1" t="n"/>
    </row>
    <row r="4532">
      <c r="A4532" t="inlineStr">
        <is>
          <t>Total (A) 总计 (A)</t>
        </is>
      </c>
      <c r="B4532" s="6">
        <f>IF($B4523="","",ROUND(B4529+B4531,2))</f>
        <v/>
      </c>
      <c r="D4532" t="inlineStr">
        <is>
          <t>Total(B) 总计 (B)</t>
        </is>
      </c>
      <c r="E4532" s="6">
        <f>IF($B4523="","",ROUND(E4524+E4525+E4526+E4527+E4528+E4529,2))</f>
        <v/>
      </c>
      <c r="H4532" t="inlineStr">
        <is>
          <t>Total© 总计 (C)</t>
        </is>
      </c>
      <c r="I4532" s="6">
        <f>IF($B4523="","",ROUND(I4529+I4531,2))</f>
        <v/>
      </c>
      <c r="K4532" t="inlineStr">
        <is>
          <t>Total(D) 总计 (D)</t>
        </is>
      </c>
      <c r="L4532" s="6">
        <f>IF($B4523="","",ROUND(L4524+L4525+L4526+L4527+L4528+L4529,2))</f>
        <v/>
      </c>
    </row>
    <row r="4533">
      <c r="A4533" s="14" t="inlineStr">
        <is>
          <t>Total = Amount 2 + b/f petty cash  (金额2 + 上日备用金)</t>
        </is>
      </c>
      <c r="H4533" s="14" t="inlineStr">
        <is>
          <t>Total = Amount 2 + b/f petty cash  (金额2 + 上日备用金)</t>
        </is>
      </c>
    </row>
    <row r="4534">
      <c r="A4534" t="inlineStr">
        <is>
          <t>Different 差额</t>
        </is>
      </c>
      <c r="B4534" s="6">
        <f>IF($B4523="","",ROUND(B4532-E4532,2))</f>
        <v/>
      </c>
      <c r="D4534">
        <f>IF($B4523="","",IF(ABS(B4534)&gt;'Opening Balance'!$B$16,"ALERT 警报: Different over RM"&amp;'Opening Balance'!$B$16&amp;" 差额超过RM"&amp;'Opening Balance'!$B$16&amp;" - please check 请检查",IF(B4534=0,"Tied 平衡",IF(ABS(B4534)&lt;='Opening Balance'!$B$13,"Small difference 小额差额: adjusted on c/f petty cash 已调整备用金",IF(B4534&gt;0,"Short 短收: added to Misc Charges 已加入杂项费用","Over 多收: added to Cash Sales 已加入现金销售")))))</f>
        <v/>
      </c>
      <c r="H4534" t="inlineStr">
        <is>
          <t>Different 差额</t>
        </is>
      </c>
      <c r="I4534" s="6">
        <f>IF($B4523="","",ROUND(I4532-L4532,2))</f>
        <v/>
      </c>
    </row>
    <row r="4535"/>
    <row r="4536"/>
    <row r="4537">
      <c r="A4537" t="inlineStr">
        <is>
          <t>Date 日期</t>
        </is>
      </c>
      <c r="B4537" s="5">
        <f>IF('Daily Sale entry '!$A326="","",'Daily Sale entry '!$A326)</f>
        <v/>
      </c>
      <c r="H4537" t="inlineStr">
        <is>
          <t>After 调整后 (After)</t>
        </is>
      </c>
      <c r="I4537" s="5">
        <f>IF($B4537="","",B4537)</f>
        <v/>
      </c>
    </row>
    <row r="4538">
      <c r="A4538" t="inlineStr">
        <is>
          <t>Cash Sales 现金销售</t>
        </is>
      </c>
      <c r="B4538" s="6">
        <f>IF($B4537="","",'Daily Sale entry '!B326)</f>
        <v/>
      </c>
      <c r="D4538" t="inlineStr">
        <is>
          <t>c/f petty cash 今日备用金结转</t>
        </is>
      </c>
      <c r="E4538" s="6">
        <f>IF($B4537="","",'Daily Sale entry '!G326)</f>
        <v/>
      </c>
      <c r="H4538" t="inlineStr">
        <is>
          <t>Cash Sales 现金销售</t>
        </is>
      </c>
      <c r="I4538" s="6">
        <f>IF($B4537="","",IF(AND(ABS(B4548)&gt;'Opening Balance'!$B$13,B4548&lt;0),ROUND(B4538-B4548,2),B4538))</f>
        <v/>
      </c>
      <c r="K4538" t="inlineStr">
        <is>
          <t>c/f petty cash 今日备用金结转</t>
        </is>
      </c>
      <c r="L4538" s="6">
        <f>IF($B4537="","",IF(ABS(B4548)&lt;='Opening Balance'!$B$13,ROUND(E4538+B4548,2),E4538))</f>
        <v/>
      </c>
    </row>
    <row r="4539">
      <c r="A4539" t="inlineStr">
        <is>
          <t>Misc Charges 杂项费用</t>
        </is>
      </c>
      <c r="B4539" s="6">
        <f>IF($B4537="","",'Daily Sale entry '!C326)</f>
        <v/>
      </c>
      <c r="D4539" t="inlineStr">
        <is>
          <t>cash collection 现金收款</t>
        </is>
      </c>
      <c r="E4539" s="6">
        <f>IF($B4537="","",'Daily Sale entry '!H326)</f>
        <v/>
      </c>
      <c r="H4539" t="inlineStr">
        <is>
          <t>Misc Charges 杂项费用</t>
        </is>
      </c>
      <c r="I4539" s="6">
        <f>IF($B4537="","",IF(AND(ABS(B4548)&gt;'Opening Balance'!$B$13,B4548&gt;0),ROUND(B4539+B4548,2),B4539))</f>
        <v/>
      </c>
      <c r="K4539" t="inlineStr">
        <is>
          <t>cash collection 现金收款</t>
        </is>
      </c>
      <c r="L4539" s="6">
        <f>IF($B4537="","",E4539)</f>
        <v/>
      </c>
    </row>
    <row r="4540">
      <c r="A4540" s="1" t="inlineStr">
        <is>
          <t>Other Charges 其他费用</t>
        </is>
      </c>
      <c r="B4540" s="9">
        <f>IF($B4537="","",'Daily Sale entry '!D326)</f>
        <v/>
      </c>
      <c r="D4540" s="1" t="inlineStr">
        <is>
          <t>Cheque Collection 支票收款</t>
        </is>
      </c>
      <c r="E4540" s="9">
        <f>IF($B4537="","",'Daily Sale entry '!J326)</f>
        <v/>
      </c>
      <c r="H4540" s="1" t="inlineStr">
        <is>
          <t>Other Charges 其他费用</t>
        </is>
      </c>
      <c r="I4540" s="9">
        <f>IF($B4537="","",B4540)</f>
        <v/>
      </c>
      <c r="K4540" s="1" t="inlineStr">
        <is>
          <t>Cheque Collection 支票收款</t>
        </is>
      </c>
      <c r="L4540" s="9">
        <f>IF($B4537="","",E4540)</f>
        <v/>
      </c>
    </row>
    <row r="4541">
      <c r="A4541" s="10" t="inlineStr">
        <is>
          <t>Amount 金额  (Cash Sales - Misc - Other)</t>
        </is>
      </c>
      <c r="B4541" s="11">
        <f>IF($B4537="","",ROUND(B4538-B4539-B4540,2))</f>
        <v/>
      </c>
      <c r="D4541" s="12" t="inlineStr">
        <is>
          <t>TNG collection TNG收款</t>
        </is>
      </c>
      <c r="E4541" s="13">
        <f>IF($B4537="","",'Daily Sale entry '!K326)</f>
        <v/>
      </c>
      <c r="H4541" s="10" t="inlineStr">
        <is>
          <t>Amount 金额  (Cash Sales - Misc - Other)</t>
        </is>
      </c>
      <c r="I4541" s="11">
        <f>IF($B4537="","",ROUND(I4538-I4539-I4540,2))</f>
        <v/>
      </c>
      <c r="K4541" s="12" t="inlineStr">
        <is>
          <t>TNG collection TNG收款</t>
        </is>
      </c>
      <c r="L4541" s="13">
        <f>IF($B4537="","",E4541)</f>
        <v/>
      </c>
    </row>
    <row r="4542">
      <c r="A4542" t="inlineStr">
        <is>
          <t>Credit Collection 赊账收款</t>
        </is>
      </c>
      <c r="B4542" s="6">
        <f>IF($B4537="","",'Daily Sale entry '!E326)</f>
        <v/>
      </c>
      <c r="D4542" t="inlineStr">
        <is>
          <t>Advance Salary_M 预支薪水_M</t>
        </is>
      </c>
      <c r="E4542" s="6">
        <f>IF($B4537="","",'Daily Sale entry '!L326)</f>
        <v/>
      </c>
      <c r="H4542" t="inlineStr">
        <is>
          <t>Credit Collection 赊账收款</t>
        </is>
      </c>
      <c r="I4542" s="6">
        <f>IF($B4537="","",B4542)</f>
        <v/>
      </c>
      <c r="K4542" t="inlineStr">
        <is>
          <t>Advance Salary_M 预支薪水_M</t>
        </is>
      </c>
      <c r="L4542" s="6">
        <f>IF($B4537="","",E4542)</f>
        <v/>
      </c>
    </row>
    <row r="4543">
      <c r="A4543" s="10" t="inlineStr">
        <is>
          <t>Amount 2 金额2  (Amount + Credit Collection)</t>
        </is>
      </c>
      <c r="B4543" s="11">
        <f>IF($B4537="","",ROUND(B4541+B4542,2))</f>
        <v/>
      </c>
      <c r="D4543" t="inlineStr">
        <is>
          <t>Advance Salary_H 预支薪水_H</t>
        </is>
      </c>
      <c r="E4543" s="6">
        <f>IF($B4537="","",'Daily Sale entry '!M326)</f>
        <v/>
      </c>
      <c r="H4543" s="10" t="inlineStr">
        <is>
          <t>Amount 2 金额2  (Amount + Credit Collection)</t>
        </is>
      </c>
      <c r="I4543" s="11">
        <f>IF($B4537="","",ROUND(I4541+I4542,2))</f>
        <v/>
      </c>
      <c r="K4543" t="inlineStr">
        <is>
          <t>Advance Salary_H 预支薪水_H</t>
        </is>
      </c>
      <c r="L4543" s="6">
        <f>IF($B4537="","",E4543)</f>
        <v/>
      </c>
    </row>
    <row r="4544"/>
    <row r="4545">
      <c r="A4545" s="1" t="inlineStr">
        <is>
          <t>b/f petty cash 上日备用金结转</t>
        </is>
      </c>
      <c r="B4545" s="9">
        <f>IF($B4537="","",'Daily Sale entry '!F326)</f>
        <v/>
      </c>
      <c r="D4545" s="1" t="n"/>
      <c r="E4545" s="1" t="n"/>
      <c r="H4545" s="1" t="inlineStr">
        <is>
          <t>b/f petty cash 上日备用金结转</t>
        </is>
      </c>
      <c r="I4545" s="9">
        <f>IF($B4537="","",B4545)</f>
        <v/>
      </c>
      <c r="K4545" s="1" t="n"/>
      <c r="L4545" s="1" t="n"/>
    </row>
    <row r="4546">
      <c r="A4546" t="inlineStr">
        <is>
          <t>Total (A) 总计 (A)</t>
        </is>
      </c>
      <c r="B4546" s="6">
        <f>IF($B4537="","",ROUND(B4543+B4545,2))</f>
        <v/>
      </c>
      <c r="D4546" t="inlineStr">
        <is>
          <t>Total(B) 总计 (B)</t>
        </is>
      </c>
      <c r="E4546" s="6">
        <f>IF($B4537="","",ROUND(E4538+E4539+E4540+E4541+E4542+E4543,2))</f>
        <v/>
      </c>
      <c r="H4546" t="inlineStr">
        <is>
          <t>Total© 总计 (C)</t>
        </is>
      </c>
      <c r="I4546" s="6">
        <f>IF($B4537="","",ROUND(I4543+I4545,2))</f>
        <v/>
      </c>
      <c r="K4546" t="inlineStr">
        <is>
          <t>Total(D) 总计 (D)</t>
        </is>
      </c>
      <c r="L4546" s="6">
        <f>IF($B4537="","",ROUND(L4538+L4539+L4540+L4541+L4542+L4543,2))</f>
        <v/>
      </c>
    </row>
    <row r="4547">
      <c r="A4547" s="14" t="inlineStr">
        <is>
          <t>Total = Amount 2 + b/f petty cash  (金额2 + 上日备用金)</t>
        </is>
      </c>
      <c r="H4547" s="14" t="inlineStr">
        <is>
          <t>Total = Amount 2 + b/f petty cash  (金额2 + 上日备用金)</t>
        </is>
      </c>
    </row>
    <row r="4548">
      <c r="A4548" t="inlineStr">
        <is>
          <t>Different 差额</t>
        </is>
      </c>
      <c r="B4548" s="6">
        <f>IF($B4537="","",ROUND(B4546-E4546,2))</f>
        <v/>
      </c>
      <c r="D4548">
        <f>IF($B4537="","",IF(ABS(B4548)&gt;'Opening Balance'!$B$16,"ALERT 警报: Different over RM"&amp;'Opening Balance'!$B$16&amp;" 差额超过RM"&amp;'Opening Balance'!$B$16&amp;" - please check 请检查",IF(B4548=0,"Tied 平衡",IF(ABS(B4548)&lt;='Opening Balance'!$B$13,"Small difference 小额差额: adjusted on c/f petty cash 已调整备用金",IF(B4548&gt;0,"Short 短收: added to Misc Charges 已加入杂项费用","Over 多收: added to Cash Sales 已加入现金销售")))))</f>
        <v/>
      </c>
      <c r="H4548" t="inlineStr">
        <is>
          <t>Different 差额</t>
        </is>
      </c>
      <c r="I4548" s="6">
        <f>IF($B4537="","",ROUND(I4546-L4546,2))</f>
        <v/>
      </c>
    </row>
    <row r="4549"/>
    <row r="4550"/>
    <row r="4551">
      <c r="A4551" t="inlineStr">
        <is>
          <t>Date 日期</t>
        </is>
      </c>
      <c r="B4551" s="5">
        <f>IF('Daily Sale entry '!$A327="","",'Daily Sale entry '!$A327)</f>
        <v/>
      </c>
      <c r="H4551" t="inlineStr">
        <is>
          <t>After 调整后 (After)</t>
        </is>
      </c>
      <c r="I4551" s="5">
        <f>IF($B4551="","",B4551)</f>
        <v/>
      </c>
    </row>
    <row r="4552">
      <c r="A4552" t="inlineStr">
        <is>
          <t>Cash Sales 现金销售</t>
        </is>
      </c>
      <c r="B4552" s="6">
        <f>IF($B4551="","",'Daily Sale entry '!B327)</f>
        <v/>
      </c>
      <c r="D4552" t="inlineStr">
        <is>
          <t>c/f petty cash 今日备用金结转</t>
        </is>
      </c>
      <c r="E4552" s="6">
        <f>IF($B4551="","",'Daily Sale entry '!G327)</f>
        <v/>
      </c>
      <c r="H4552" t="inlineStr">
        <is>
          <t>Cash Sales 现金销售</t>
        </is>
      </c>
      <c r="I4552" s="6">
        <f>IF($B4551="","",IF(AND(ABS(B4562)&gt;'Opening Balance'!$B$13,B4562&lt;0),ROUND(B4552-B4562,2),B4552))</f>
        <v/>
      </c>
      <c r="K4552" t="inlineStr">
        <is>
          <t>c/f petty cash 今日备用金结转</t>
        </is>
      </c>
      <c r="L4552" s="6">
        <f>IF($B4551="","",IF(ABS(B4562)&lt;='Opening Balance'!$B$13,ROUND(E4552+B4562,2),E4552))</f>
        <v/>
      </c>
    </row>
    <row r="4553">
      <c r="A4553" t="inlineStr">
        <is>
          <t>Misc Charges 杂项费用</t>
        </is>
      </c>
      <c r="B4553" s="6">
        <f>IF($B4551="","",'Daily Sale entry '!C327)</f>
        <v/>
      </c>
      <c r="D4553" t="inlineStr">
        <is>
          <t>cash collection 现金收款</t>
        </is>
      </c>
      <c r="E4553" s="6">
        <f>IF($B4551="","",'Daily Sale entry '!H327)</f>
        <v/>
      </c>
      <c r="H4553" t="inlineStr">
        <is>
          <t>Misc Charges 杂项费用</t>
        </is>
      </c>
      <c r="I4553" s="6">
        <f>IF($B4551="","",IF(AND(ABS(B4562)&gt;'Opening Balance'!$B$13,B4562&gt;0),ROUND(B4553+B4562,2),B4553))</f>
        <v/>
      </c>
      <c r="K4553" t="inlineStr">
        <is>
          <t>cash collection 现金收款</t>
        </is>
      </c>
      <c r="L4553" s="6">
        <f>IF($B4551="","",E4553)</f>
        <v/>
      </c>
    </row>
    <row r="4554">
      <c r="A4554" s="1" t="inlineStr">
        <is>
          <t>Other Charges 其他费用</t>
        </is>
      </c>
      <c r="B4554" s="9">
        <f>IF($B4551="","",'Daily Sale entry '!D327)</f>
        <v/>
      </c>
      <c r="D4554" s="1" t="inlineStr">
        <is>
          <t>Cheque Collection 支票收款</t>
        </is>
      </c>
      <c r="E4554" s="9">
        <f>IF($B4551="","",'Daily Sale entry '!J327)</f>
        <v/>
      </c>
      <c r="H4554" s="1" t="inlineStr">
        <is>
          <t>Other Charges 其他费用</t>
        </is>
      </c>
      <c r="I4554" s="9">
        <f>IF($B4551="","",B4554)</f>
        <v/>
      </c>
      <c r="K4554" s="1" t="inlineStr">
        <is>
          <t>Cheque Collection 支票收款</t>
        </is>
      </c>
      <c r="L4554" s="9">
        <f>IF($B4551="","",E4554)</f>
        <v/>
      </c>
    </row>
    <row r="4555">
      <c r="A4555" s="10" t="inlineStr">
        <is>
          <t>Amount 金额  (Cash Sales - Misc - Other)</t>
        </is>
      </c>
      <c r="B4555" s="11">
        <f>IF($B4551="","",ROUND(B4552-B4553-B4554,2))</f>
        <v/>
      </c>
      <c r="D4555" s="12" t="inlineStr">
        <is>
          <t>TNG collection TNG收款</t>
        </is>
      </c>
      <c r="E4555" s="13">
        <f>IF($B4551="","",'Daily Sale entry '!K327)</f>
        <v/>
      </c>
      <c r="H4555" s="10" t="inlineStr">
        <is>
          <t>Amount 金额  (Cash Sales - Misc - Other)</t>
        </is>
      </c>
      <c r="I4555" s="11">
        <f>IF($B4551="","",ROUND(I4552-I4553-I4554,2))</f>
        <v/>
      </c>
      <c r="K4555" s="12" t="inlineStr">
        <is>
          <t>TNG collection TNG收款</t>
        </is>
      </c>
      <c r="L4555" s="13">
        <f>IF($B4551="","",E4555)</f>
        <v/>
      </c>
    </row>
    <row r="4556">
      <c r="A4556" t="inlineStr">
        <is>
          <t>Credit Collection 赊账收款</t>
        </is>
      </c>
      <c r="B4556" s="6">
        <f>IF($B4551="","",'Daily Sale entry '!E327)</f>
        <v/>
      </c>
      <c r="D4556" t="inlineStr">
        <is>
          <t>Advance Salary_M 预支薪水_M</t>
        </is>
      </c>
      <c r="E4556" s="6">
        <f>IF($B4551="","",'Daily Sale entry '!L327)</f>
        <v/>
      </c>
      <c r="H4556" t="inlineStr">
        <is>
          <t>Credit Collection 赊账收款</t>
        </is>
      </c>
      <c r="I4556" s="6">
        <f>IF($B4551="","",B4556)</f>
        <v/>
      </c>
      <c r="K4556" t="inlineStr">
        <is>
          <t>Advance Salary_M 预支薪水_M</t>
        </is>
      </c>
      <c r="L4556" s="6">
        <f>IF($B4551="","",E4556)</f>
        <v/>
      </c>
    </row>
    <row r="4557">
      <c r="A4557" s="10" t="inlineStr">
        <is>
          <t>Amount 2 金额2  (Amount + Credit Collection)</t>
        </is>
      </c>
      <c r="B4557" s="11">
        <f>IF($B4551="","",ROUND(B4555+B4556,2))</f>
        <v/>
      </c>
      <c r="D4557" t="inlineStr">
        <is>
          <t>Advance Salary_H 预支薪水_H</t>
        </is>
      </c>
      <c r="E4557" s="6">
        <f>IF($B4551="","",'Daily Sale entry '!M327)</f>
        <v/>
      </c>
      <c r="H4557" s="10" t="inlineStr">
        <is>
          <t>Amount 2 金额2  (Amount + Credit Collection)</t>
        </is>
      </c>
      <c r="I4557" s="11">
        <f>IF($B4551="","",ROUND(I4555+I4556,2))</f>
        <v/>
      </c>
      <c r="K4557" t="inlineStr">
        <is>
          <t>Advance Salary_H 预支薪水_H</t>
        </is>
      </c>
      <c r="L4557" s="6">
        <f>IF($B4551="","",E4557)</f>
        <v/>
      </c>
    </row>
    <row r="4558"/>
    <row r="4559">
      <c r="A4559" s="1" t="inlineStr">
        <is>
          <t>b/f petty cash 上日备用金结转</t>
        </is>
      </c>
      <c r="B4559" s="9">
        <f>IF($B4551="","",'Daily Sale entry '!F327)</f>
        <v/>
      </c>
      <c r="D4559" s="1" t="n"/>
      <c r="E4559" s="1" t="n"/>
      <c r="H4559" s="1" t="inlineStr">
        <is>
          <t>b/f petty cash 上日备用金结转</t>
        </is>
      </c>
      <c r="I4559" s="9">
        <f>IF($B4551="","",B4559)</f>
        <v/>
      </c>
      <c r="K4559" s="1" t="n"/>
      <c r="L4559" s="1" t="n"/>
    </row>
    <row r="4560">
      <c r="A4560" t="inlineStr">
        <is>
          <t>Total (A) 总计 (A)</t>
        </is>
      </c>
      <c r="B4560" s="6">
        <f>IF($B4551="","",ROUND(B4557+B4559,2))</f>
        <v/>
      </c>
      <c r="D4560" t="inlineStr">
        <is>
          <t>Total(B) 总计 (B)</t>
        </is>
      </c>
      <c r="E4560" s="6">
        <f>IF($B4551="","",ROUND(E4552+E4553+E4554+E4555+E4556+E4557,2))</f>
        <v/>
      </c>
      <c r="H4560" t="inlineStr">
        <is>
          <t>Total© 总计 (C)</t>
        </is>
      </c>
      <c r="I4560" s="6">
        <f>IF($B4551="","",ROUND(I4557+I4559,2))</f>
        <v/>
      </c>
      <c r="K4560" t="inlineStr">
        <is>
          <t>Total(D) 总计 (D)</t>
        </is>
      </c>
      <c r="L4560" s="6">
        <f>IF($B4551="","",ROUND(L4552+L4553+L4554+L4555+L4556+L4557,2))</f>
        <v/>
      </c>
    </row>
    <row r="4561">
      <c r="A4561" s="14" t="inlineStr">
        <is>
          <t>Total = Amount 2 + b/f petty cash  (金额2 + 上日备用金)</t>
        </is>
      </c>
      <c r="H4561" s="14" t="inlineStr">
        <is>
          <t>Total = Amount 2 + b/f petty cash  (金额2 + 上日备用金)</t>
        </is>
      </c>
    </row>
    <row r="4562">
      <c r="A4562" t="inlineStr">
        <is>
          <t>Different 差额</t>
        </is>
      </c>
      <c r="B4562" s="6">
        <f>IF($B4551="","",ROUND(B4560-E4560,2))</f>
        <v/>
      </c>
      <c r="D4562">
        <f>IF($B4551="","",IF(ABS(B4562)&gt;'Opening Balance'!$B$16,"ALERT 警报: Different over RM"&amp;'Opening Balance'!$B$16&amp;" 差额超过RM"&amp;'Opening Balance'!$B$16&amp;" - please check 请检查",IF(B4562=0,"Tied 平衡",IF(ABS(B4562)&lt;='Opening Balance'!$B$13,"Small difference 小额差额: adjusted on c/f petty cash 已调整备用金",IF(B4562&gt;0,"Short 短收: added to Misc Charges 已加入杂项费用","Over 多收: added to Cash Sales 已加入现金销售")))))</f>
        <v/>
      </c>
      <c r="H4562" t="inlineStr">
        <is>
          <t>Different 差额</t>
        </is>
      </c>
      <c r="I4562" s="6">
        <f>IF($B4551="","",ROUND(I4560-L4560,2))</f>
        <v/>
      </c>
    </row>
    <row r="4563"/>
    <row r="4564"/>
    <row r="4565">
      <c r="A4565" t="inlineStr">
        <is>
          <t>Date 日期</t>
        </is>
      </c>
      <c r="B4565" s="5">
        <f>IF('Daily Sale entry '!$A328="","",'Daily Sale entry '!$A328)</f>
        <v/>
      </c>
      <c r="H4565" t="inlineStr">
        <is>
          <t>After 调整后 (After)</t>
        </is>
      </c>
      <c r="I4565" s="5">
        <f>IF($B4565="","",B4565)</f>
        <v/>
      </c>
    </row>
    <row r="4566">
      <c r="A4566" t="inlineStr">
        <is>
          <t>Cash Sales 现金销售</t>
        </is>
      </c>
      <c r="B4566" s="6">
        <f>IF($B4565="","",'Daily Sale entry '!B328)</f>
        <v/>
      </c>
      <c r="D4566" t="inlineStr">
        <is>
          <t>c/f petty cash 今日备用金结转</t>
        </is>
      </c>
      <c r="E4566" s="6">
        <f>IF($B4565="","",'Daily Sale entry '!G328)</f>
        <v/>
      </c>
      <c r="H4566" t="inlineStr">
        <is>
          <t>Cash Sales 现金销售</t>
        </is>
      </c>
      <c r="I4566" s="6">
        <f>IF($B4565="","",IF(AND(ABS(B4576)&gt;'Opening Balance'!$B$13,B4576&lt;0),ROUND(B4566-B4576,2),B4566))</f>
        <v/>
      </c>
      <c r="K4566" t="inlineStr">
        <is>
          <t>c/f petty cash 今日备用金结转</t>
        </is>
      </c>
      <c r="L4566" s="6">
        <f>IF($B4565="","",IF(ABS(B4576)&lt;='Opening Balance'!$B$13,ROUND(E4566+B4576,2),E4566))</f>
        <v/>
      </c>
    </row>
    <row r="4567">
      <c r="A4567" t="inlineStr">
        <is>
          <t>Misc Charges 杂项费用</t>
        </is>
      </c>
      <c r="B4567" s="6">
        <f>IF($B4565="","",'Daily Sale entry '!C328)</f>
        <v/>
      </c>
      <c r="D4567" t="inlineStr">
        <is>
          <t>cash collection 现金收款</t>
        </is>
      </c>
      <c r="E4567" s="6">
        <f>IF($B4565="","",'Daily Sale entry '!H328)</f>
        <v/>
      </c>
      <c r="H4567" t="inlineStr">
        <is>
          <t>Misc Charges 杂项费用</t>
        </is>
      </c>
      <c r="I4567" s="6">
        <f>IF($B4565="","",IF(AND(ABS(B4576)&gt;'Opening Balance'!$B$13,B4576&gt;0),ROUND(B4567+B4576,2),B4567))</f>
        <v/>
      </c>
      <c r="K4567" t="inlineStr">
        <is>
          <t>cash collection 现金收款</t>
        </is>
      </c>
      <c r="L4567" s="6">
        <f>IF($B4565="","",E4567)</f>
        <v/>
      </c>
    </row>
    <row r="4568">
      <c r="A4568" s="1" t="inlineStr">
        <is>
          <t>Other Charges 其他费用</t>
        </is>
      </c>
      <c r="B4568" s="9">
        <f>IF($B4565="","",'Daily Sale entry '!D328)</f>
        <v/>
      </c>
      <c r="D4568" s="1" t="inlineStr">
        <is>
          <t>Cheque Collection 支票收款</t>
        </is>
      </c>
      <c r="E4568" s="9">
        <f>IF($B4565="","",'Daily Sale entry '!J328)</f>
        <v/>
      </c>
      <c r="H4568" s="1" t="inlineStr">
        <is>
          <t>Other Charges 其他费用</t>
        </is>
      </c>
      <c r="I4568" s="9">
        <f>IF($B4565="","",B4568)</f>
        <v/>
      </c>
      <c r="K4568" s="1" t="inlineStr">
        <is>
          <t>Cheque Collection 支票收款</t>
        </is>
      </c>
      <c r="L4568" s="9">
        <f>IF($B4565="","",E4568)</f>
        <v/>
      </c>
    </row>
    <row r="4569">
      <c r="A4569" s="10" t="inlineStr">
        <is>
          <t>Amount 金额  (Cash Sales - Misc - Other)</t>
        </is>
      </c>
      <c r="B4569" s="11">
        <f>IF($B4565="","",ROUND(B4566-B4567-B4568,2))</f>
        <v/>
      </c>
      <c r="D4569" s="12" t="inlineStr">
        <is>
          <t>TNG collection TNG收款</t>
        </is>
      </c>
      <c r="E4569" s="13">
        <f>IF($B4565="","",'Daily Sale entry '!K328)</f>
        <v/>
      </c>
      <c r="H4569" s="10" t="inlineStr">
        <is>
          <t>Amount 金额  (Cash Sales - Misc - Other)</t>
        </is>
      </c>
      <c r="I4569" s="11">
        <f>IF($B4565="","",ROUND(I4566-I4567-I4568,2))</f>
        <v/>
      </c>
      <c r="K4569" s="12" t="inlineStr">
        <is>
          <t>TNG collection TNG收款</t>
        </is>
      </c>
      <c r="L4569" s="13">
        <f>IF($B4565="","",E4569)</f>
        <v/>
      </c>
    </row>
    <row r="4570">
      <c r="A4570" t="inlineStr">
        <is>
          <t>Credit Collection 赊账收款</t>
        </is>
      </c>
      <c r="B4570" s="6">
        <f>IF($B4565="","",'Daily Sale entry '!E328)</f>
        <v/>
      </c>
      <c r="D4570" t="inlineStr">
        <is>
          <t>Advance Salary_M 预支薪水_M</t>
        </is>
      </c>
      <c r="E4570" s="6">
        <f>IF($B4565="","",'Daily Sale entry '!L328)</f>
        <v/>
      </c>
      <c r="H4570" t="inlineStr">
        <is>
          <t>Credit Collection 赊账收款</t>
        </is>
      </c>
      <c r="I4570" s="6">
        <f>IF($B4565="","",B4570)</f>
        <v/>
      </c>
      <c r="K4570" t="inlineStr">
        <is>
          <t>Advance Salary_M 预支薪水_M</t>
        </is>
      </c>
      <c r="L4570" s="6">
        <f>IF($B4565="","",E4570)</f>
        <v/>
      </c>
    </row>
    <row r="4571">
      <c r="A4571" s="10" t="inlineStr">
        <is>
          <t>Amount 2 金额2  (Amount + Credit Collection)</t>
        </is>
      </c>
      <c r="B4571" s="11">
        <f>IF($B4565="","",ROUND(B4569+B4570,2))</f>
        <v/>
      </c>
      <c r="D4571" t="inlineStr">
        <is>
          <t>Advance Salary_H 预支薪水_H</t>
        </is>
      </c>
      <c r="E4571" s="6">
        <f>IF($B4565="","",'Daily Sale entry '!M328)</f>
        <v/>
      </c>
      <c r="H4571" s="10" t="inlineStr">
        <is>
          <t>Amount 2 金额2  (Amount + Credit Collection)</t>
        </is>
      </c>
      <c r="I4571" s="11">
        <f>IF($B4565="","",ROUND(I4569+I4570,2))</f>
        <v/>
      </c>
      <c r="K4571" t="inlineStr">
        <is>
          <t>Advance Salary_H 预支薪水_H</t>
        </is>
      </c>
      <c r="L4571" s="6">
        <f>IF($B4565="","",E4571)</f>
        <v/>
      </c>
    </row>
    <row r="4572"/>
    <row r="4573">
      <c r="A4573" s="1" t="inlineStr">
        <is>
          <t>b/f petty cash 上日备用金结转</t>
        </is>
      </c>
      <c r="B4573" s="9">
        <f>IF($B4565="","",'Daily Sale entry '!F328)</f>
        <v/>
      </c>
      <c r="D4573" s="1" t="n"/>
      <c r="E4573" s="1" t="n"/>
      <c r="H4573" s="1" t="inlineStr">
        <is>
          <t>b/f petty cash 上日备用金结转</t>
        </is>
      </c>
      <c r="I4573" s="9">
        <f>IF($B4565="","",B4573)</f>
        <v/>
      </c>
      <c r="K4573" s="1" t="n"/>
      <c r="L4573" s="1" t="n"/>
    </row>
    <row r="4574">
      <c r="A4574" t="inlineStr">
        <is>
          <t>Total (A) 总计 (A)</t>
        </is>
      </c>
      <c r="B4574" s="6">
        <f>IF($B4565="","",ROUND(B4571+B4573,2))</f>
        <v/>
      </c>
      <c r="D4574" t="inlineStr">
        <is>
          <t>Total(B) 总计 (B)</t>
        </is>
      </c>
      <c r="E4574" s="6">
        <f>IF($B4565="","",ROUND(E4566+E4567+E4568+E4569+E4570+E4571,2))</f>
        <v/>
      </c>
      <c r="H4574" t="inlineStr">
        <is>
          <t>Total© 总计 (C)</t>
        </is>
      </c>
      <c r="I4574" s="6">
        <f>IF($B4565="","",ROUND(I4571+I4573,2))</f>
        <v/>
      </c>
      <c r="K4574" t="inlineStr">
        <is>
          <t>Total(D) 总计 (D)</t>
        </is>
      </c>
      <c r="L4574" s="6">
        <f>IF($B4565="","",ROUND(L4566+L4567+L4568+L4569+L4570+L4571,2))</f>
        <v/>
      </c>
    </row>
    <row r="4575">
      <c r="A4575" s="14" t="inlineStr">
        <is>
          <t>Total = Amount 2 + b/f petty cash  (金额2 + 上日备用金)</t>
        </is>
      </c>
      <c r="H4575" s="14" t="inlineStr">
        <is>
          <t>Total = Amount 2 + b/f petty cash  (金额2 + 上日备用金)</t>
        </is>
      </c>
    </row>
    <row r="4576">
      <c r="A4576" t="inlineStr">
        <is>
          <t>Different 差额</t>
        </is>
      </c>
      <c r="B4576" s="6">
        <f>IF($B4565="","",ROUND(B4574-E4574,2))</f>
        <v/>
      </c>
      <c r="D4576">
        <f>IF($B4565="","",IF(ABS(B4576)&gt;'Opening Balance'!$B$16,"ALERT 警报: Different over RM"&amp;'Opening Balance'!$B$16&amp;" 差额超过RM"&amp;'Opening Balance'!$B$16&amp;" - please check 请检查",IF(B4576=0,"Tied 平衡",IF(ABS(B4576)&lt;='Opening Balance'!$B$13,"Small difference 小额差额: adjusted on c/f petty cash 已调整备用金",IF(B4576&gt;0,"Short 短收: added to Misc Charges 已加入杂项费用","Over 多收: added to Cash Sales 已加入现金销售")))))</f>
        <v/>
      </c>
      <c r="H4576" t="inlineStr">
        <is>
          <t>Different 差额</t>
        </is>
      </c>
      <c r="I4576" s="6">
        <f>IF($B4565="","",ROUND(I4574-L4574,2))</f>
        <v/>
      </c>
    </row>
    <row r="4577"/>
    <row r="4578"/>
    <row r="4579">
      <c r="A4579" t="inlineStr">
        <is>
          <t>Date 日期</t>
        </is>
      </c>
      <c r="B4579" s="5">
        <f>IF('Daily Sale entry '!$A329="","",'Daily Sale entry '!$A329)</f>
        <v/>
      </c>
      <c r="H4579" t="inlineStr">
        <is>
          <t>After 调整后 (After)</t>
        </is>
      </c>
      <c r="I4579" s="5">
        <f>IF($B4579="","",B4579)</f>
        <v/>
      </c>
    </row>
    <row r="4580">
      <c r="A4580" t="inlineStr">
        <is>
          <t>Cash Sales 现金销售</t>
        </is>
      </c>
      <c r="B4580" s="6">
        <f>IF($B4579="","",'Daily Sale entry '!B329)</f>
        <v/>
      </c>
      <c r="D4580" t="inlineStr">
        <is>
          <t>c/f petty cash 今日备用金结转</t>
        </is>
      </c>
      <c r="E4580" s="6">
        <f>IF($B4579="","",'Daily Sale entry '!G329)</f>
        <v/>
      </c>
      <c r="H4580" t="inlineStr">
        <is>
          <t>Cash Sales 现金销售</t>
        </is>
      </c>
      <c r="I4580" s="6">
        <f>IF($B4579="","",IF(AND(ABS(B4590)&gt;'Opening Balance'!$B$13,B4590&lt;0),ROUND(B4580-B4590,2),B4580))</f>
        <v/>
      </c>
      <c r="K4580" t="inlineStr">
        <is>
          <t>c/f petty cash 今日备用金结转</t>
        </is>
      </c>
      <c r="L4580" s="6">
        <f>IF($B4579="","",IF(ABS(B4590)&lt;='Opening Balance'!$B$13,ROUND(E4580+B4590,2),E4580))</f>
        <v/>
      </c>
    </row>
    <row r="4581">
      <c r="A4581" t="inlineStr">
        <is>
          <t>Misc Charges 杂项费用</t>
        </is>
      </c>
      <c r="B4581" s="6">
        <f>IF($B4579="","",'Daily Sale entry '!C329)</f>
        <v/>
      </c>
      <c r="D4581" t="inlineStr">
        <is>
          <t>cash collection 现金收款</t>
        </is>
      </c>
      <c r="E4581" s="6">
        <f>IF($B4579="","",'Daily Sale entry '!H329)</f>
        <v/>
      </c>
      <c r="H4581" t="inlineStr">
        <is>
          <t>Misc Charges 杂项费用</t>
        </is>
      </c>
      <c r="I4581" s="6">
        <f>IF($B4579="","",IF(AND(ABS(B4590)&gt;'Opening Balance'!$B$13,B4590&gt;0),ROUND(B4581+B4590,2),B4581))</f>
        <v/>
      </c>
      <c r="K4581" t="inlineStr">
        <is>
          <t>cash collection 现金收款</t>
        </is>
      </c>
      <c r="L4581" s="6">
        <f>IF($B4579="","",E4581)</f>
        <v/>
      </c>
    </row>
    <row r="4582">
      <c r="A4582" s="1" t="inlineStr">
        <is>
          <t>Other Charges 其他费用</t>
        </is>
      </c>
      <c r="B4582" s="9">
        <f>IF($B4579="","",'Daily Sale entry '!D329)</f>
        <v/>
      </c>
      <c r="D4582" s="1" t="inlineStr">
        <is>
          <t>Cheque Collection 支票收款</t>
        </is>
      </c>
      <c r="E4582" s="9">
        <f>IF($B4579="","",'Daily Sale entry '!J329)</f>
        <v/>
      </c>
      <c r="H4582" s="1" t="inlineStr">
        <is>
          <t>Other Charges 其他费用</t>
        </is>
      </c>
      <c r="I4582" s="9">
        <f>IF($B4579="","",B4582)</f>
        <v/>
      </c>
      <c r="K4582" s="1" t="inlineStr">
        <is>
          <t>Cheque Collection 支票收款</t>
        </is>
      </c>
      <c r="L4582" s="9">
        <f>IF($B4579="","",E4582)</f>
        <v/>
      </c>
    </row>
    <row r="4583">
      <c r="A4583" s="10" t="inlineStr">
        <is>
          <t>Amount 金额  (Cash Sales - Misc - Other)</t>
        </is>
      </c>
      <c r="B4583" s="11">
        <f>IF($B4579="","",ROUND(B4580-B4581-B4582,2))</f>
        <v/>
      </c>
      <c r="D4583" s="12" t="inlineStr">
        <is>
          <t>TNG collection TNG收款</t>
        </is>
      </c>
      <c r="E4583" s="13">
        <f>IF($B4579="","",'Daily Sale entry '!K329)</f>
        <v/>
      </c>
      <c r="H4583" s="10" t="inlineStr">
        <is>
          <t>Amount 金额  (Cash Sales - Misc - Other)</t>
        </is>
      </c>
      <c r="I4583" s="11">
        <f>IF($B4579="","",ROUND(I4580-I4581-I4582,2))</f>
        <v/>
      </c>
      <c r="K4583" s="12" t="inlineStr">
        <is>
          <t>TNG collection TNG收款</t>
        </is>
      </c>
      <c r="L4583" s="13">
        <f>IF($B4579="","",E4583)</f>
        <v/>
      </c>
    </row>
    <row r="4584">
      <c r="A4584" t="inlineStr">
        <is>
          <t>Credit Collection 赊账收款</t>
        </is>
      </c>
      <c r="B4584" s="6">
        <f>IF($B4579="","",'Daily Sale entry '!E329)</f>
        <v/>
      </c>
      <c r="D4584" t="inlineStr">
        <is>
          <t>Advance Salary_M 预支薪水_M</t>
        </is>
      </c>
      <c r="E4584" s="6">
        <f>IF($B4579="","",'Daily Sale entry '!L329)</f>
        <v/>
      </c>
      <c r="H4584" t="inlineStr">
        <is>
          <t>Credit Collection 赊账收款</t>
        </is>
      </c>
      <c r="I4584" s="6">
        <f>IF($B4579="","",B4584)</f>
        <v/>
      </c>
      <c r="K4584" t="inlineStr">
        <is>
          <t>Advance Salary_M 预支薪水_M</t>
        </is>
      </c>
      <c r="L4584" s="6">
        <f>IF($B4579="","",E4584)</f>
        <v/>
      </c>
    </row>
    <row r="4585">
      <c r="A4585" s="10" t="inlineStr">
        <is>
          <t>Amount 2 金额2  (Amount + Credit Collection)</t>
        </is>
      </c>
      <c r="B4585" s="11">
        <f>IF($B4579="","",ROUND(B4583+B4584,2))</f>
        <v/>
      </c>
      <c r="D4585" t="inlineStr">
        <is>
          <t>Advance Salary_H 预支薪水_H</t>
        </is>
      </c>
      <c r="E4585" s="6">
        <f>IF($B4579="","",'Daily Sale entry '!M329)</f>
        <v/>
      </c>
      <c r="H4585" s="10" t="inlineStr">
        <is>
          <t>Amount 2 金额2  (Amount + Credit Collection)</t>
        </is>
      </c>
      <c r="I4585" s="11">
        <f>IF($B4579="","",ROUND(I4583+I4584,2))</f>
        <v/>
      </c>
      <c r="K4585" t="inlineStr">
        <is>
          <t>Advance Salary_H 预支薪水_H</t>
        </is>
      </c>
      <c r="L4585" s="6">
        <f>IF($B4579="","",E4585)</f>
        <v/>
      </c>
    </row>
    <row r="4586"/>
    <row r="4587">
      <c r="A4587" s="1" t="inlineStr">
        <is>
          <t>b/f petty cash 上日备用金结转</t>
        </is>
      </c>
      <c r="B4587" s="9">
        <f>IF($B4579="","",'Daily Sale entry '!F329)</f>
        <v/>
      </c>
      <c r="D4587" s="1" t="n"/>
      <c r="E4587" s="1" t="n"/>
      <c r="H4587" s="1" t="inlineStr">
        <is>
          <t>b/f petty cash 上日备用金结转</t>
        </is>
      </c>
      <c r="I4587" s="9">
        <f>IF($B4579="","",B4587)</f>
        <v/>
      </c>
      <c r="K4587" s="1" t="n"/>
      <c r="L4587" s="1" t="n"/>
    </row>
    <row r="4588">
      <c r="A4588" t="inlineStr">
        <is>
          <t>Total (A) 总计 (A)</t>
        </is>
      </c>
      <c r="B4588" s="6">
        <f>IF($B4579="","",ROUND(B4585+B4587,2))</f>
        <v/>
      </c>
      <c r="D4588" t="inlineStr">
        <is>
          <t>Total(B) 总计 (B)</t>
        </is>
      </c>
      <c r="E4588" s="6">
        <f>IF($B4579="","",ROUND(E4580+E4581+E4582+E4583+E4584+E4585,2))</f>
        <v/>
      </c>
      <c r="H4588" t="inlineStr">
        <is>
          <t>Total© 总计 (C)</t>
        </is>
      </c>
      <c r="I4588" s="6">
        <f>IF($B4579="","",ROUND(I4585+I4587,2))</f>
        <v/>
      </c>
      <c r="K4588" t="inlineStr">
        <is>
          <t>Total(D) 总计 (D)</t>
        </is>
      </c>
      <c r="L4588" s="6">
        <f>IF($B4579="","",ROUND(L4580+L4581+L4582+L4583+L4584+L4585,2))</f>
        <v/>
      </c>
    </row>
    <row r="4589">
      <c r="A4589" s="14" t="inlineStr">
        <is>
          <t>Total = Amount 2 + b/f petty cash  (金额2 + 上日备用金)</t>
        </is>
      </c>
      <c r="H4589" s="14" t="inlineStr">
        <is>
          <t>Total = Amount 2 + b/f petty cash  (金额2 + 上日备用金)</t>
        </is>
      </c>
    </row>
    <row r="4590">
      <c r="A4590" t="inlineStr">
        <is>
          <t>Different 差额</t>
        </is>
      </c>
      <c r="B4590" s="6">
        <f>IF($B4579="","",ROUND(B4588-E4588,2))</f>
        <v/>
      </c>
      <c r="D4590">
        <f>IF($B4579="","",IF(ABS(B4590)&gt;'Opening Balance'!$B$16,"ALERT 警报: Different over RM"&amp;'Opening Balance'!$B$16&amp;" 差额超过RM"&amp;'Opening Balance'!$B$16&amp;" - please check 请检查",IF(B4590=0,"Tied 平衡",IF(ABS(B4590)&lt;='Opening Balance'!$B$13,"Small difference 小额差额: adjusted on c/f petty cash 已调整备用金",IF(B4590&gt;0,"Short 短收: added to Misc Charges 已加入杂项费用","Over 多收: added to Cash Sales 已加入现金销售")))))</f>
        <v/>
      </c>
      <c r="H4590" t="inlineStr">
        <is>
          <t>Different 差额</t>
        </is>
      </c>
      <c r="I4590" s="6">
        <f>IF($B4579="","",ROUND(I4588-L4588,2))</f>
        <v/>
      </c>
    </row>
    <row r="4591"/>
    <row r="4592"/>
    <row r="4593">
      <c r="A4593" t="inlineStr">
        <is>
          <t>Date 日期</t>
        </is>
      </c>
      <c r="B4593" s="5">
        <f>IF('Daily Sale entry '!$A330="","",'Daily Sale entry '!$A330)</f>
        <v/>
      </c>
      <c r="H4593" t="inlineStr">
        <is>
          <t>After 调整后 (After)</t>
        </is>
      </c>
      <c r="I4593" s="5">
        <f>IF($B4593="","",B4593)</f>
        <v/>
      </c>
    </row>
    <row r="4594">
      <c r="A4594" t="inlineStr">
        <is>
          <t>Cash Sales 现金销售</t>
        </is>
      </c>
      <c r="B4594" s="6">
        <f>IF($B4593="","",'Daily Sale entry '!B330)</f>
        <v/>
      </c>
      <c r="D4594" t="inlineStr">
        <is>
          <t>c/f petty cash 今日备用金结转</t>
        </is>
      </c>
      <c r="E4594" s="6">
        <f>IF($B4593="","",'Daily Sale entry '!G330)</f>
        <v/>
      </c>
      <c r="H4594" t="inlineStr">
        <is>
          <t>Cash Sales 现金销售</t>
        </is>
      </c>
      <c r="I4594" s="6">
        <f>IF($B4593="","",IF(AND(ABS(B4604)&gt;'Opening Balance'!$B$13,B4604&lt;0),ROUND(B4594-B4604,2),B4594))</f>
        <v/>
      </c>
      <c r="K4594" t="inlineStr">
        <is>
          <t>c/f petty cash 今日备用金结转</t>
        </is>
      </c>
      <c r="L4594" s="6">
        <f>IF($B4593="","",IF(ABS(B4604)&lt;='Opening Balance'!$B$13,ROUND(E4594+B4604,2),E4594))</f>
        <v/>
      </c>
    </row>
    <row r="4595">
      <c r="A4595" t="inlineStr">
        <is>
          <t>Misc Charges 杂项费用</t>
        </is>
      </c>
      <c r="B4595" s="6">
        <f>IF($B4593="","",'Daily Sale entry '!C330)</f>
        <v/>
      </c>
      <c r="D4595" t="inlineStr">
        <is>
          <t>cash collection 现金收款</t>
        </is>
      </c>
      <c r="E4595" s="6">
        <f>IF($B4593="","",'Daily Sale entry '!H330)</f>
        <v/>
      </c>
      <c r="H4595" t="inlineStr">
        <is>
          <t>Misc Charges 杂项费用</t>
        </is>
      </c>
      <c r="I4595" s="6">
        <f>IF($B4593="","",IF(AND(ABS(B4604)&gt;'Opening Balance'!$B$13,B4604&gt;0),ROUND(B4595+B4604,2),B4595))</f>
        <v/>
      </c>
      <c r="K4595" t="inlineStr">
        <is>
          <t>cash collection 现金收款</t>
        </is>
      </c>
      <c r="L4595" s="6">
        <f>IF($B4593="","",E4595)</f>
        <v/>
      </c>
    </row>
    <row r="4596">
      <c r="A4596" s="1" t="inlineStr">
        <is>
          <t>Other Charges 其他费用</t>
        </is>
      </c>
      <c r="B4596" s="9">
        <f>IF($B4593="","",'Daily Sale entry '!D330)</f>
        <v/>
      </c>
      <c r="D4596" s="1" t="inlineStr">
        <is>
          <t>Cheque Collection 支票收款</t>
        </is>
      </c>
      <c r="E4596" s="9">
        <f>IF($B4593="","",'Daily Sale entry '!J330)</f>
        <v/>
      </c>
      <c r="H4596" s="1" t="inlineStr">
        <is>
          <t>Other Charges 其他费用</t>
        </is>
      </c>
      <c r="I4596" s="9">
        <f>IF($B4593="","",B4596)</f>
        <v/>
      </c>
      <c r="K4596" s="1" t="inlineStr">
        <is>
          <t>Cheque Collection 支票收款</t>
        </is>
      </c>
      <c r="L4596" s="9">
        <f>IF($B4593="","",E4596)</f>
        <v/>
      </c>
    </row>
    <row r="4597">
      <c r="A4597" s="10" t="inlineStr">
        <is>
          <t>Amount 金额  (Cash Sales - Misc - Other)</t>
        </is>
      </c>
      <c r="B4597" s="11">
        <f>IF($B4593="","",ROUND(B4594-B4595-B4596,2))</f>
        <v/>
      </c>
      <c r="D4597" s="12" t="inlineStr">
        <is>
          <t>TNG collection TNG收款</t>
        </is>
      </c>
      <c r="E4597" s="13">
        <f>IF($B4593="","",'Daily Sale entry '!K330)</f>
        <v/>
      </c>
      <c r="H4597" s="10" t="inlineStr">
        <is>
          <t>Amount 金额  (Cash Sales - Misc - Other)</t>
        </is>
      </c>
      <c r="I4597" s="11">
        <f>IF($B4593="","",ROUND(I4594-I4595-I4596,2))</f>
        <v/>
      </c>
      <c r="K4597" s="12" t="inlineStr">
        <is>
          <t>TNG collection TNG收款</t>
        </is>
      </c>
      <c r="L4597" s="13">
        <f>IF($B4593="","",E4597)</f>
        <v/>
      </c>
    </row>
    <row r="4598">
      <c r="A4598" t="inlineStr">
        <is>
          <t>Credit Collection 赊账收款</t>
        </is>
      </c>
      <c r="B4598" s="6">
        <f>IF($B4593="","",'Daily Sale entry '!E330)</f>
        <v/>
      </c>
      <c r="D4598" t="inlineStr">
        <is>
          <t>Advance Salary_M 预支薪水_M</t>
        </is>
      </c>
      <c r="E4598" s="6">
        <f>IF($B4593="","",'Daily Sale entry '!L330)</f>
        <v/>
      </c>
      <c r="H4598" t="inlineStr">
        <is>
          <t>Credit Collection 赊账收款</t>
        </is>
      </c>
      <c r="I4598" s="6">
        <f>IF($B4593="","",B4598)</f>
        <v/>
      </c>
      <c r="K4598" t="inlineStr">
        <is>
          <t>Advance Salary_M 预支薪水_M</t>
        </is>
      </c>
      <c r="L4598" s="6">
        <f>IF($B4593="","",E4598)</f>
        <v/>
      </c>
    </row>
    <row r="4599">
      <c r="A4599" s="10" t="inlineStr">
        <is>
          <t>Amount 2 金额2  (Amount + Credit Collection)</t>
        </is>
      </c>
      <c r="B4599" s="11">
        <f>IF($B4593="","",ROUND(B4597+B4598,2))</f>
        <v/>
      </c>
      <c r="D4599" t="inlineStr">
        <is>
          <t>Advance Salary_H 预支薪水_H</t>
        </is>
      </c>
      <c r="E4599" s="6">
        <f>IF($B4593="","",'Daily Sale entry '!M330)</f>
        <v/>
      </c>
      <c r="H4599" s="10" t="inlineStr">
        <is>
          <t>Amount 2 金额2  (Amount + Credit Collection)</t>
        </is>
      </c>
      <c r="I4599" s="11">
        <f>IF($B4593="","",ROUND(I4597+I4598,2))</f>
        <v/>
      </c>
      <c r="K4599" t="inlineStr">
        <is>
          <t>Advance Salary_H 预支薪水_H</t>
        </is>
      </c>
      <c r="L4599" s="6">
        <f>IF($B4593="","",E4599)</f>
        <v/>
      </c>
    </row>
    <row r="4600"/>
    <row r="4601">
      <c r="A4601" s="1" t="inlineStr">
        <is>
          <t>b/f petty cash 上日备用金结转</t>
        </is>
      </c>
      <c r="B4601" s="9">
        <f>IF($B4593="","",'Daily Sale entry '!F330)</f>
        <v/>
      </c>
      <c r="D4601" s="1" t="n"/>
      <c r="E4601" s="1" t="n"/>
      <c r="H4601" s="1" t="inlineStr">
        <is>
          <t>b/f petty cash 上日备用金结转</t>
        </is>
      </c>
      <c r="I4601" s="9">
        <f>IF($B4593="","",B4601)</f>
        <v/>
      </c>
      <c r="K4601" s="1" t="n"/>
      <c r="L4601" s="1" t="n"/>
    </row>
    <row r="4602">
      <c r="A4602" t="inlineStr">
        <is>
          <t>Total (A) 总计 (A)</t>
        </is>
      </c>
      <c r="B4602" s="6">
        <f>IF($B4593="","",ROUND(B4599+B4601,2))</f>
        <v/>
      </c>
      <c r="D4602" t="inlineStr">
        <is>
          <t>Total(B) 总计 (B)</t>
        </is>
      </c>
      <c r="E4602" s="6">
        <f>IF($B4593="","",ROUND(E4594+E4595+E4596+E4597+E4598+E4599,2))</f>
        <v/>
      </c>
      <c r="H4602" t="inlineStr">
        <is>
          <t>Total© 总计 (C)</t>
        </is>
      </c>
      <c r="I4602" s="6">
        <f>IF($B4593="","",ROUND(I4599+I4601,2))</f>
        <v/>
      </c>
      <c r="K4602" t="inlineStr">
        <is>
          <t>Total(D) 总计 (D)</t>
        </is>
      </c>
      <c r="L4602" s="6">
        <f>IF($B4593="","",ROUND(L4594+L4595+L4596+L4597+L4598+L4599,2))</f>
        <v/>
      </c>
    </row>
    <row r="4603">
      <c r="A4603" s="14" t="inlineStr">
        <is>
          <t>Total = Amount 2 + b/f petty cash  (金额2 + 上日备用金)</t>
        </is>
      </c>
      <c r="H4603" s="14" t="inlineStr">
        <is>
          <t>Total = Amount 2 + b/f petty cash  (金额2 + 上日备用金)</t>
        </is>
      </c>
    </row>
    <row r="4604">
      <c r="A4604" t="inlineStr">
        <is>
          <t>Different 差额</t>
        </is>
      </c>
      <c r="B4604" s="6">
        <f>IF($B4593="","",ROUND(B4602-E4602,2))</f>
        <v/>
      </c>
      <c r="D4604">
        <f>IF($B4593="","",IF(ABS(B4604)&gt;'Opening Balance'!$B$16,"ALERT 警报: Different over RM"&amp;'Opening Balance'!$B$16&amp;" 差额超过RM"&amp;'Opening Balance'!$B$16&amp;" - please check 请检查",IF(B4604=0,"Tied 平衡",IF(ABS(B4604)&lt;='Opening Balance'!$B$13,"Small difference 小额差额: adjusted on c/f petty cash 已调整备用金",IF(B4604&gt;0,"Short 短收: added to Misc Charges 已加入杂项费用","Over 多收: added to Cash Sales 已加入现金销售")))))</f>
        <v/>
      </c>
      <c r="H4604" t="inlineStr">
        <is>
          <t>Different 差额</t>
        </is>
      </c>
      <c r="I4604" s="6">
        <f>IF($B4593="","",ROUND(I4602-L4602,2))</f>
        <v/>
      </c>
    </row>
    <row r="4605"/>
    <row r="4606"/>
    <row r="4607">
      <c r="A4607" t="inlineStr">
        <is>
          <t>Date 日期</t>
        </is>
      </c>
      <c r="B4607" s="5">
        <f>IF('Daily Sale entry '!$A331="","",'Daily Sale entry '!$A331)</f>
        <v/>
      </c>
      <c r="H4607" t="inlineStr">
        <is>
          <t>After 调整后 (After)</t>
        </is>
      </c>
      <c r="I4607" s="5">
        <f>IF($B4607="","",B4607)</f>
        <v/>
      </c>
    </row>
    <row r="4608">
      <c r="A4608" t="inlineStr">
        <is>
          <t>Cash Sales 现金销售</t>
        </is>
      </c>
      <c r="B4608" s="6">
        <f>IF($B4607="","",'Daily Sale entry '!B331)</f>
        <v/>
      </c>
      <c r="D4608" t="inlineStr">
        <is>
          <t>c/f petty cash 今日备用金结转</t>
        </is>
      </c>
      <c r="E4608" s="6">
        <f>IF($B4607="","",'Daily Sale entry '!G331)</f>
        <v/>
      </c>
      <c r="H4608" t="inlineStr">
        <is>
          <t>Cash Sales 现金销售</t>
        </is>
      </c>
      <c r="I4608" s="6">
        <f>IF($B4607="","",IF(AND(ABS(B4618)&gt;'Opening Balance'!$B$13,B4618&lt;0),ROUND(B4608-B4618,2),B4608))</f>
        <v/>
      </c>
      <c r="K4608" t="inlineStr">
        <is>
          <t>c/f petty cash 今日备用金结转</t>
        </is>
      </c>
      <c r="L4608" s="6">
        <f>IF($B4607="","",IF(ABS(B4618)&lt;='Opening Balance'!$B$13,ROUND(E4608+B4618,2),E4608))</f>
        <v/>
      </c>
    </row>
    <row r="4609">
      <c r="A4609" t="inlineStr">
        <is>
          <t>Misc Charges 杂项费用</t>
        </is>
      </c>
      <c r="B4609" s="6">
        <f>IF($B4607="","",'Daily Sale entry '!C331)</f>
        <v/>
      </c>
      <c r="D4609" t="inlineStr">
        <is>
          <t>cash collection 现金收款</t>
        </is>
      </c>
      <c r="E4609" s="6">
        <f>IF($B4607="","",'Daily Sale entry '!H331)</f>
        <v/>
      </c>
      <c r="H4609" t="inlineStr">
        <is>
          <t>Misc Charges 杂项费用</t>
        </is>
      </c>
      <c r="I4609" s="6">
        <f>IF($B4607="","",IF(AND(ABS(B4618)&gt;'Opening Balance'!$B$13,B4618&gt;0),ROUND(B4609+B4618,2),B4609))</f>
        <v/>
      </c>
      <c r="K4609" t="inlineStr">
        <is>
          <t>cash collection 现金收款</t>
        </is>
      </c>
      <c r="L4609" s="6">
        <f>IF($B4607="","",E4609)</f>
        <v/>
      </c>
    </row>
    <row r="4610">
      <c r="A4610" s="1" t="inlineStr">
        <is>
          <t>Other Charges 其他费用</t>
        </is>
      </c>
      <c r="B4610" s="9">
        <f>IF($B4607="","",'Daily Sale entry '!D331)</f>
        <v/>
      </c>
      <c r="D4610" s="1" t="inlineStr">
        <is>
          <t>Cheque Collection 支票收款</t>
        </is>
      </c>
      <c r="E4610" s="9">
        <f>IF($B4607="","",'Daily Sale entry '!J331)</f>
        <v/>
      </c>
      <c r="H4610" s="1" t="inlineStr">
        <is>
          <t>Other Charges 其他费用</t>
        </is>
      </c>
      <c r="I4610" s="9">
        <f>IF($B4607="","",B4610)</f>
        <v/>
      </c>
      <c r="K4610" s="1" t="inlineStr">
        <is>
          <t>Cheque Collection 支票收款</t>
        </is>
      </c>
      <c r="L4610" s="9">
        <f>IF($B4607="","",E4610)</f>
        <v/>
      </c>
    </row>
    <row r="4611">
      <c r="A4611" s="10" t="inlineStr">
        <is>
          <t>Amount 金额  (Cash Sales - Misc - Other)</t>
        </is>
      </c>
      <c r="B4611" s="11">
        <f>IF($B4607="","",ROUND(B4608-B4609-B4610,2))</f>
        <v/>
      </c>
      <c r="D4611" s="12" t="inlineStr">
        <is>
          <t>TNG collection TNG收款</t>
        </is>
      </c>
      <c r="E4611" s="13">
        <f>IF($B4607="","",'Daily Sale entry '!K331)</f>
        <v/>
      </c>
      <c r="H4611" s="10" t="inlineStr">
        <is>
          <t>Amount 金额  (Cash Sales - Misc - Other)</t>
        </is>
      </c>
      <c r="I4611" s="11">
        <f>IF($B4607="","",ROUND(I4608-I4609-I4610,2))</f>
        <v/>
      </c>
      <c r="K4611" s="12" t="inlineStr">
        <is>
          <t>TNG collection TNG收款</t>
        </is>
      </c>
      <c r="L4611" s="13">
        <f>IF($B4607="","",E4611)</f>
        <v/>
      </c>
    </row>
    <row r="4612">
      <c r="A4612" t="inlineStr">
        <is>
          <t>Credit Collection 赊账收款</t>
        </is>
      </c>
      <c r="B4612" s="6">
        <f>IF($B4607="","",'Daily Sale entry '!E331)</f>
        <v/>
      </c>
      <c r="D4612" t="inlineStr">
        <is>
          <t>Advance Salary_M 预支薪水_M</t>
        </is>
      </c>
      <c r="E4612" s="6">
        <f>IF($B4607="","",'Daily Sale entry '!L331)</f>
        <v/>
      </c>
      <c r="H4612" t="inlineStr">
        <is>
          <t>Credit Collection 赊账收款</t>
        </is>
      </c>
      <c r="I4612" s="6">
        <f>IF($B4607="","",B4612)</f>
        <v/>
      </c>
      <c r="K4612" t="inlineStr">
        <is>
          <t>Advance Salary_M 预支薪水_M</t>
        </is>
      </c>
      <c r="L4612" s="6">
        <f>IF($B4607="","",E4612)</f>
        <v/>
      </c>
    </row>
    <row r="4613">
      <c r="A4613" s="10" t="inlineStr">
        <is>
          <t>Amount 2 金额2  (Amount + Credit Collection)</t>
        </is>
      </c>
      <c r="B4613" s="11">
        <f>IF($B4607="","",ROUND(B4611+B4612,2))</f>
        <v/>
      </c>
      <c r="D4613" t="inlineStr">
        <is>
          <t>Advance Salary_H 预支薪水_H</t>
        </is>
      </c>
      <c r="E4613" s="6">
        <f>IF($B4607="","",'Daily Sale entry '!M331)</f>
        <v/>
      </c>
      <c r="H4613" s="10" t="inlineStr">
        <is>
          <t>Amount 2 金额2  (Amount + Credit Collection)</t>
        </is>
      </c>
      <c r="I4613" s="11">
        <f>IF($B4607="","",ROUND(I4611+I4612,2))</f>
        <v/>
      </c>
      <c r="K4613" t="inlineStr">
        <is>
          <t>Advance Salary_H 预支薪水_H</t>
        </is>
      </c>
      <c r="L4613" s="6">
        <f>IF($B4607="","",E4613)</f>
        <v/>
      </c>
    </row>
    <row r="4614"/>
    <row r="4615">
      <c r="A4615" s="1" t="inlineStr">
        <is>
          <t>b/f petty cash 上日备用金结转</t>
        </is>
      </c>
      <c r="B4615" s="9">
        <f>IF($B4607="","",'Daily Sale entry '!F331)</f>
        <v/>
      </c>
      <c r="D4615" s="1" t="n"/>
      <c r="E4615" s="1" t="n"/>
      <c r="H4615" s="1" t="inlineStr">
        <is>
          <t>b/f petty cash 上日备用金结转</t>
        </is>
      </c>
      <c r="I4615" s="9">
        <f>IF($B4607="","",B4615)</f>
        <v/>
      </c>
      <c r="K4615" s="1" t="n"/>
      <c r="L4615" s="1" t="n"/>
    </row>
    <row r="4616">
      <c r="A4616" t="inlineStr">
        <is>
          <t>Total (A) 总计 (A)</t>
        </is>
      </c>
      <c r="B4616" s="6">
        <f>IF($B4607="","",ROUND(B4613+B4615,2))</f>
        <v/>
      </c>
      <c r="D4616" t="inlineStr">
        <is>
          <t>Total(B) 总计 (B)</t>
        </is>
      </c>
      <c r="E4616" s="6">
        <f>IF($B4607="","",ROUND(E4608+E4609+E4610+E4611+E4612+E4613,2))</f>
        <v/>
      </c>
      <c r="H4616" t="inlineStr">
        <is>
          <t>Total© 总计 (C)</t>
        </is>
      </c>
      <c r="I4616" s="6">
        <f>IF($B4607="","",ROUND(I4613+I4615,2))</f>
        <v/>
      </c>
      <c r="K4616" t="inlineStr">
        <is>
          <t>Total(D) 总计 (D)</t>
        </is>
      </c>
      <c r="L4616" s="6">
        <f>IF($B4607="","",ROUND(L4608+L4609+L4610+L4611+L4612+L4613,2))</f>
        <v/>
      </c>
    </row>
    <row r="4617">
      <c r="A4617" s="14" t="inlineStr">
        <is>
          <t>Total = Amount 2 + b/f petty cash  (金额2 + 上日备用金)</t>
        </is>
      </c>
      <c r="H4617" s="14" t="inlineStr">
        <is>
          <t>Total = Amount 2 + b/f petty cash  (金额2 + 上日备用金)</t>
        </is>
      </c>
    </row>
    <row r="4618">
      <c r="A4618" t="inlineStr">
        <is>
          <t>Different 差额</t>
        </is>
      </c>
      <c r="B4618" s="6">
        <f>IF($B4607="","",ROUND(B4616-E4616,2))</f>
        <v/>
      </c>
      <c r="D4618">
        <f>IF($B4607="","",IF(ABS(B4618)&gt;'Opening Balance'!$B$16,"ALERT 警报: Different over RM"&amp;'Opening Balance'!$B$16&amp;" 差额超过RM"&amp;'Opening Balance'!$B$16&amp;" - please check 请检查",IF(B4618=0,"Tied 平衡",IF(ABS(B4618)&lt;='Opening Balance'!$B$13,"Small difference 小额差额: adjusted on c/f petty cash 已调整备用金",IF(B4618&gt;0,"Short 短收: added to Misc Charges 已加入杂项费用","Over 多收: added to Cash Sales 已加入现金销售")))))</f>
        <v/>
      </c>
      <c r="H4618" t="inlineStr">
        <is>
          <t>Different 差额</t>
        </is>
      </c>
      <c r="I4618" s="6">
        <f>IF($B4607="","",ROUND(I4616-L4616,2))</f>
        <v/>
      </c>
    </row>
    <row r="4619"/>
    <row r="4620"/>
    <row r="4621">
      <c r="A4621" t="inlineStr">
        <is>
          <t>Date 日期</t>
        </is>
      </c>
      <c r="B4621" s="5">
        <f>IF('Daily Sale entry '!$A332="","",'Daily Sale entry '!$A332)</f>
        <v/>
      </c>
      <c r="H4621" t="inlineStr">
        <is>
          <t>After 调整后 (After)</t>
        </is>
      </c>
      <c r="I4621" s="5">
        <f>IF($B4621="","",B4621)</f>
        <v/>
      </c>
    </row>
    <row r="4622">
      <c r="A4622" t="inlineStr">
        <is>
          <t>Cash Sales 现金销售</t>
        </is>
      </c>
      <c r="B4622" s="6">
        <f>IF($B4621="","",'Daily Sale entry '!B332)</f>
        <v/>
      </c>
      <c r="D4622" t="inlineStr">
        <is>
          <t>c/f petty cash 今日备用金结转</t>
        </is>
      </c>
      <c r="E4622" s="6">
        <f>IF($B4621="","",'Daily Sale entry '!G332)</f>
        <v/>
      </c>
      <c r="H4622" t="inlineStr">
        <is>
          <t>Cash Sales 现金销售</t>
        </is>
      </c>
      <c r="I4622" s="6">
        <f>IF($B4621="","",IF(AND(ABS(B4632)&gt;'Opening Balance'!$B$13,B4632&lt;0),ROUND(B4622-B4632,2),B4622))</f>
        <v/>
      </c>
      <c r="K4622" t="inlineStr">
        <is>
          <t>c/f petty cash 今日备用金结转</t>
        </is>
      </c>
      <c r="L4622" s="6">
        <f>IF($B4621="","",IF(ABS(B4632)&lt;='Opening Balance'!$B$13,ROUND(E4622+B4632,2),E4622))</f>
        <v/>
      </c>
    </row>
    <row r="4623">
      <c r="A4623" t="inlineStr">
        <is>
          <t>Misc Charges 杂项费用</t>
        </is>
      </c>
      <c r="B4623" s="6">
        <f>IF($B4621="","",'Daily Sale entry '!C332)</f>
        <v/>
      </c>
      <c r="D4623" t="inlineStr">
        <is>
          <t>cash collection 现金收款</t>
        </is>
      </c>
      <c r="E4623" s="6">
        <f>IF($B4621="","",'Daily Sale entry '!H332)</f>
        <v/>
      </c>
      <c r="H4623" t="inlineStr">
        <is>
          <t>Misc Charges 杂项费用</t>
        </is>
      </c>
      <c r="I4623" s="6">
        <f>IF($B4621="","",IF(AND(ABS(B4632)&gt;'Opening Balance'!$B$13,B4632&gt;0),ROUND(B4623+B4632,2),B4623))</f>
        <v/>
      </c>
      <c r="K4623" t="inlineStr">
        <is>
          <t>cash collection 现金收款</t>
        </is>
      </c>
      <c r="L4623" s="6">
        <f>IF($B4621="","",E4623)</f>
        <v/>
      </c>
    </row>
    <row r="4624">
      <c r="A4624" s="1" t="inlineStr">
        <is>
          <t>Other Charges 其他费用</t>
        </is>
      </c>
      <c r="B4624" s="9">
        <f>IF($B4621="","",'Daily Sale entry '!D332)</f>
        <v/>
      </c>
      <c r="D4624" s="1" t="inlineStr">
        <is>
          <t>Cheque Collection 支票收款</t>
        </is>
      </c>
      <c r="E4624" s="9">
        <f>IF($B4621="","",'Daily Sale entry '!J332)</f>
        <v/>
      </c>
      <c r="H4624" s="1" t="inlineStr">
        <is>
          <t>Other Charges 其他费用</t>
        </is>
      </c>
      <c r="I4624" s="9">
        <f>IF($B4621="","",B4624)</f>
        <v/>
      </c>
      <c r="K4624" s="1" t="inlineStr">
        <is>
          <t>Cheque Collection 支票收款</t>
        </is>
      </c>
      <c r="L4624" s="9">
        <f>IF($B4621="","",E4624)</f>
        <v/>
      </c>
    </row>
    <row r="4625">
      <c r="A4625" s="10" t="inlineStr">
        <is>
          <t>Amount 金额  (Cash Sales - Misc - Other)</t>
        </is>
      </c>
      <c r="B4625" s="11">
        <f>IF($B4621="","",ROUND(B4622-B4623-B4624,2))</f>
        <v/>
      </c>
      <c r="D4625" s="12" t="inlineStr">
        <is>
          <t>TNG collection TNG收款</t>
        </is>
      </c>
      <c r="E4625" s="13">
        <f>IF($B4621="","",'Daily Sale entry '!K332)</f>
        <v/>
      </c>
      <c r="H4625" s="10" t="inlineStr">
        <is>
          <t>Amount 金额  (Cash Sales - Misc - Other)</t>
        </is>
      </c>
      <c r="I4625" s="11">
        <f>IF($B4621="","",ROUND(I4622-I4623-I4624,2))</f>
        <v/>
      </c>
      <c r="K4625" s="12" t="inlineStr">
        <is>
          <t>TNG collection TNG收款</t>
        </is>
      </c>
      <c r="L4625" s="13">
        <f>IF($B4621="","",E4625)</f>
        <v/>
      </c>
    </row>
    <row r="4626">
      <c r="A4626" t="inlineStr">
        <is>
          <t>Credit Collection 赊账收款</t>
        </is>
      </c>
      <c r="B4626" s="6">
        <f>IF($B4621="","",'Daily Sale entry '!E332)</f>
        <v/>
      </c>
      <c r="D4626" t="inlineStr">
        <is>
          <t>Advance Salary_M 预支薪水_M</t>
        </is>
      </c>
      <c r="E4626" s="6">
        <f>IF($B4621="","",'Daily Sale entry '!L332)</f>
        <v/>
      </c>
      <c r="H4626" t="inlineStr">
        <is>
          <t>Credit Collection 赊账收款</t>
        </is>
      </c>
      <c r="I4626" s="6">
        <f>IF($B4621="","",B4626)</f>
        <v/>
      </c>
      <c r="K4626" t="inlineStr">
        <is>
          <t>Advance Salary_M 预支薪水_M</t>
        </is>
      </c>
      <c r="L4626" s="6">
        <f>IF($B4621="","",E4626)</f>
        <v/>
      </c>
    </row>
    <row r="4627">
      <c r="A4627" s="10" t="inlineStr">
        <is>
          <t>Amount 2 金额2  (Amount + Credit Collection)</t>
        </is>
      </c>
      <c r="B4627" s="11">
        <f>IF($B4621="","",ROUND(B4625+B4626,2))</f>
        <v/>
      </c>
      <c r="D4627" t="inlineStr">
        <is>
          <t>Advance Salary_H 预支薪水_H</t>
        </is>
      </c>
      <c r="E4627" s="6">
        <f>IF($B4621="","",'Daily Sale entry '!M332)</f>
        <v/>
      </c>
      <c r="H4627" s="10" t="inlineStr">
        <is>
          <t>Amount 2 金额2  (Amount + Credit Collection)</t>
        </is>
      </c>
      <c r="I4627" s="11">
        <f>IF($B4621="","",ROUND(I4625+I4626,2))</f>
        <v/>
      </c>
      <c r="K4627" t="inlineStr">
        <is>
          <t>Advance Salary_H 预支薪水_H</t>
        </is>
      </c>
      <c r="L4627" s="6">
        <f>IF($B4621="","",E4627)</f>
        <v/>
      </c>
    </row>
    <row r="4628"/>
    <row r="4629">
      <c r="A4629" s="1" t="inlineStr">
        <is>
          <t>b/f petty cash 上日备用金结转</t>
        </is>
      </c>
      <c r="B4629" s="9">
        <f>IF($B4621="","",'Daily Sale entry '!F332)</f>
        <v/>
      </c>
      <c r="D4629" s="1" t="n"/>
      <c r="E4629" s="1" t="n"/>
      <c r="H4629" s="1" t="inlineStr">
        <is>
          <t>b/f petty cash 上日备用金结转</t>
        </is>
      </c>
      <c r="I4629" s="9">
        <f>IF($B4621="","",B4629)</f>
        <v/>
      </c>
      <c r="K4629" s="1" t="n"/>
      <c r="L4629" s="1" t="n"/>
    </row>
    <row r="4630">
      <c r="A4630" t="inlineStr">
        <is>
          <t>Total (A) 总计 (A)</t>
        </is>
      </c>
      <c r="B4630" s="6">
        <f>IF($B4621="","",ROUND(B4627+B4629,2))</f>
        <v/>
      </c>
      <c r="D4630" t="inlineStr">
        <is>
          <t>Total(B) 总计 (B)</t>
        </is>
      </c>
      <c r="E4630" s="6">
        <f>IF($B4621="","",ROUND(E4622+E4623+E4624+E4625+E4626+E4627,2))</f>
        <v/>
      </c>
      <c r="H4630" t="inlineStr">
        <is>
          <t>Total© 总计 (C)</t>
        </is>
      </c>
      <c r="I4630" s="6">
        <f>IF($B4621="","",ROUND(I4627+I4629,2))</f>
        <v/>
      </c>
      <c r="K4630" t="inlineStr">
        <is>
          <t>Total(D) 总计 (D)</t>
        </is>
      </c>
      <c r="L4630" s="6">
        <f>IF($B4621="","",ROUND(L4622+L4623+L4624+L4625+L4626+L4627,2))</f>
        <v/>
      </c>
    </row>
    <row r="4631">
      <c r="A4631" s="14" t="inlineStr">
        <is>
          <t>Total = Amount 2 + b/f petty cash  (金额2 + 上日备用金)</t>
        </is>
      </c>
      <c r="H4631" s="14" t="inlineStr">
        <is>
          <t>Total = Amount 2 + b/f petty cash  (金额2 + 上日备用金)</t>
        </is>
      </c>
    </row>
    <row r="4632">
      <c r="A4632" t="inlineStr">
        <is>
          <t>Different 差额</t>
        </is>
      </c>
      <c r="B4632" s="6">
        <f>IF($B4621="","",ROUND(B4630-E4630,2))</f>
        <v/>
      </c>
      <c r="D4632">
        <f>IF($B4621="","",IF(ABS(B4632)&gt;'Opening Balance'!$B$16,"ALERT 警报: Different over RM"&amp;'Opening Balance'!$B$16&amp;" 差额超过RM"&amp;'Opening Balance'!$B$16&amp;" - please check 请检查",IF(B4632=0,"Tied 平衡",IF(ABS(B4632)&lt;='Opening Balance'!$B$13,"Small difference 小额差额: adjusted on c/f petty cash 已调整备用金",IF(B4632&gt;0,"Short 短收: added to Misc Charges 已加入杂项费用","Over 多收: added to Cash Sales 已加入现金销售")))))</f>
        <v/>
      </c>
      <c r="H4632" t="inlineStr">
        <is>
          <t>Different 差额</t>
        </is>
      </c>
      <c r="I4632" s="6">
        <f>IF($B4621="","",ROUND(I4630-L4630,2))</f>
        <v/>
      </c>
    </row>
    <row r="4633"/>
    <row r="4634"/>
    <row r="4635">
      <c r="A4635" t="inlineStr">
        <is>
          <t>Date 日期</t>
        </is>
      </c>
      <c r="B4635" s="5">
        <f>IF('Daily Sale entry '!$A333="","",'Daily Sale entry '!$A333)</f>
        <v/>
      </c>
      <c r="H4635" t="inlineStr">
        <is>
          <t>After 调整后 (After)</t>
        </is>
      </c>
      <c r="I4635" s="5">
        <f>IF($B4635="","",B4635)</f>
        <v/>
      </c>
    </row>
    <row r="4636">
      <c r="A4636" t="inlineStr">
        <is>
          <t>Cash Sales 现金销售</t>
        </is>
      </c>
      <c r="B4636" s="6">
        <f>IF($B4635="","",'Daily Sale entry '!B333)</f>
        <v/>
      </c>
      <c r="D4636" t="inlineStr">
        <is>
          <t>c/f petty cash 今日备用金结转</t>
        </is>
      </c>
      <c r="E4636" s="6">
        <f>IF($B4635="","",'Daily Sale entry '!G333)</f>
        <v/>
      </c>
      <c r="H4636" t="inlineStr">
        <is>
          <t>Cash Sales 现金销售</t>
        </is>
      </c>
      <c r="I4636" s="6">
        <f>IF($B4635="","",IF(AND(ABS(B4646)&gt;'Opening Balance'!$B$13,B4646&lt;0),ROUND(B4636-B4646,2),B4636))</f>
        <v/>
      </c>
      <c r="K4636" t="inlineStr">
        <is>
          <t>c/f petty cash 今日备用金结转</t>
        </is>
      </c>
      <c r="L4636" s="6">
        <f>IF($B4635="","",IF(ABS(B4646)&lt;='Opening Balance'!$B$13,ROUND(E4636+B4646,2),E4636))</f>
        <v/>
      </c>
    </row>
    <row r="4637">
      <c r="A4637" t="inlineStr">
        <is>
          <t>Misc Charges 杂项费用</t>
        </is>
      </c>
      <c r="B4637" s="6">
        <f>IF($B4635="","",'Daily Sale entry '!C333)</f>
        <v/>
      </c>
      <c r="D4637" t="inlineStr">
        <is>
          <t>cash collection 现金收款</t>
        </is>
      </c>
      <c r="E4637" s="6">
        <f>IF($B4635="","",'Daily Sale entry '!H333)</f>
        <v/>
      </c>
      <c r="H4637" t="inlineStr">
        <is>
          <t>Misc Charges 杂项费用</t>
        </is>
      </c>
      <c r="I4637" s="6">
        <f>IF($B4635="","",IF(AND(ABS(B4646)&gt;'Opening Balance'!$B$13,B4646&gt;0),ROUND(B4637+B4646,2),B4637))</f>
        <v/>
      </c>
      <c r="K4637" t="inlineStr">
        <is>
          <t>cash collection 现金收款</t>
        </is>
      </c>
      <c r="L4637" s="6">
        <f>IF($B4635="","",E4637)</f>
        <v/>
      </c>
    </row>
    <row r="4638">
      <c r="A4638" s="1" t="inlineStr">
        <is>
          <t>Other Charges 其他费用</t>
        </is>
      </c>
      <c r="B4638" s="9">
        <f>IF($B4635="","",'Daily Sale entry '!D333)</f>
        <v/>
      </c>
      <c r="D4638" s="1" t="inlineStr">
        <is>
          <t>Cheque Collection 支票收款</t>
        </is>
      </c>
      <c r="E4638" s="9">
        <f>IF($B4635="","",'Daily Sale entry '!J333)</f>
        <v/>
      </c>
      <c r="H4638" s="1" t="inlineStr">
        <is>
          <t>Other Charges 其他费用</t>
        </is>
      </c>
      <c r="I4638" s="9">
        <f>IF($B4635="","",B4638)</f>
        <v/>
      </c>
      <c r="K4638" s="1" t="inlineStr">
        <is>
          <t>Cheque Collection 支票收款</t>
        </is>
      </c>
      <c r="L4638" s="9">
        <f>IF($B4635="","",E4638)</f>
        <v/>
      </c>
    </row>
    <row r="4639">
      <c r="A4639" s="10" t="inlineStr">
        <is>
          <t>Amount 金额  (Cash Sales - Misc - Other)</t>
        </is>
      </c>
      <c r="B4639" s="11">
        <f>IF($B4635="","",ROUND(B4636-B4637-B4638,2))</f>
        <v/>
      </c>
      <c r="D4639" s="12" t="inlineStr">
        <is>
          <t>TNG collection TNG收款</t>
        </is>
      </c>
      <c r="E4639" s="13">
        <f>IF($B4635="","",'Daily Sale entry '!K333)</f>
        <v/>
      </c>
      <c r="H4639" s="10" t="inlineStr">
        <is>
          <t>Amount 金额  (Cash Sales - Misc - Other)</t>
        </is>
      </c>
      <c r="I4639" s="11">
        <f>IF($B4635="","",ROUND(I4636-I4637-I4638,2))</f>
        <v/>
      </c>
      <c r="K4639" s="12" t="inlineStr">
        <is>
          <t>TNG collection TNG收款</t>
        </is>
      </c>
      <c r="L4639" s="13">
        <f>IF($B4635="","",E4639)</f>
        <v/>
      </c>
    </row>
    <row r="4640">
      <c r="A4640" t="inlineStr">
        <is>
          <t>Credit Collection 赊账收款</t>
        </is>
      </c>
      <c r="B4640" s="6">
        <f>IF($B4635="","",'Daily Sale entry '!E333)</f>
        <v/>
      </c>
      <c r="D4640" t="inlineStr">
        <is>
          <t>Advance Salary_M 预支薪水_M</t>
        </is>
      </c>
      <c r="E4640" s="6">
        <f>IF($B4635="","",'Daily Sale entry '!L333)</f>
        <v/>
      </c>
      <c r="H4640" t="inlineStr">
        <is>
          <t>Credit Collection 赊账收款</t>
        </is>
      </c>
      <c r="I4640" s="6">
        <f>IF($B4635="","",B4640)</f>
        <v/>
      </c>
      <c r="K4640" t="inlineStr">
        <is>
          <t>Advance Salary_M 预支薪水_M</t>
        </is>
      </c>
      <c r="L4640" s="6">
        <f>IF($B4635="","",E4640)</f>
        <v/>
      </c>
    </row>
    <row r="4641">
      <c r="A4641" s="10" t="inlineStr">
        <is>
          <t>Amount 2 金额2  (Amount + Credit Collection)</t>
        </is>
      </c>
      <c r="B4641" s="11">
        <f>IF($B4635="","",ROUND(B4639+B4640,2))</f>
        <v/>
      </c>
      <c r="D4641" t="inlineStr">
        <is>
          <t>Advance Salary_H 预支薪水_H</t>
        </is>
      </c>
      <c r="E4641" s="6">
        <f>IF($B4635="","",'Daily Sale entry '!M333)</f>
        <v/>
      </c>
      <c r="H4641" s="10" t="inlineStr">
        <is>
          <t>Amount 2 金额2  (Amount + Credit Collection)</t>
        </is>
      </c>
      <c r="I4641" s="11">
        <f>IF($B4635="","",ROUND(I4639+I4640,2))</f>
        <v/>
      </c>
      <c r="K4641" t="inlineStr">
        <is>
          <t>Advance Salary_H 预支薪水_H</t>
        </is>
      </c>
      <c r="L4641" s="6">
        <f>IF($B4635="","",E4641)</f>
        <v/>
      </c>
    </row>
    <row r="4642"/>
    <row r="4643">
      <c r="A4643" s="1" t="inlineStr">
        <is>
          <t>b/f petty cash 上日备用金结转</t>
        </is>
      </c>
      <c r="B4643" s="9">
        <f>IF($B4635="","",'Daily Sale entry '!F333)</f>
        <v/>
      </c>
      <c r="D4643" s="1" t="n"/>
      <c r="E4643" s="1" t="n"/>
      <c r="H4643" s="1" t="inlineStr">
        <is>
          <t>b/f petty cash 上日备用金结转</t>
        </is>
      </c>
      <c r="I4643" s="9">
        <f>IF($B4635="","",B4643)</f>
        <v/>
      </c>
      <c r="K4643" s="1" t="n"/>
      <c r="L4643" s="1" t="n"/>
    </row>
    <row r="4644">
      <c r="A4644" t="inlineStr">
        <is>
          <t>Total (A) 总计 (A)</t>
        </is>
      </c>
      <c r="B4644" s="6">
        <f>IF($B4635="","",ROUND(B4641+B4643,2))</f>
        <v/>
      </c>
      <c r="D4644" t="inlineStr">
        <is>
          <t>Total(B) 总计 (B)</t>
        </is>
      </c>
      <c r="E4644" s="6">
        <f>IF($B4635="","",ROUND(E4636+E4637+E4638+E4639+E4640+E4641,2))</f>
        <v/>
      </c>
      <c r="H4644" t="inlineStr">
        <is>
          <t>Total© 总计 (C)</t>
        </is>
      </c>
      <c r="I4644" s="6">
        <f>IF($B4635="","",ROUND(I4641+I4643,2))</f>
        <v/>
      </c>
      <c r="K4644" t="inlineStr">
        <is>
          <t>Total(D) 总计 (D)</t>
        </is>
      </c>
      <c r="L4644" s="6">
        <f>IF($B4635="","",ROUND(L4636+L4637+L4638+L4639+L4640+L4641,2))</f>
        <v/>
      </c>
    </row>
    <row r="4645">
      <c r="A4645" s="14" t="inlineStr">
        <is>
          <t>Total = Amount 2 + b/f petty cash  (金额2 + 上日备用金)</t>
        </is>
      </c>
      <c r="H4645" s="14" t="inlineStr">
        <is>
          <t>Total = Amount 2 + b/f petty cash  (金额2 + 上日备用金)</t>
        </is>
      </c>
    </row>
    <row r="4646">
      <c r="A4646" t="inlineStr">
        <is>
          <t>Different 差额</t>
        </is>
      </c>
      <c r="B4646" s="6">
        <f>IF($B4635="","",ROUND(B4644-E4644,2))</f>
        <v/>
      </c>
      <c r="D4646">
        <f>IF($B4635="","",IF(ABS(B4646)&gt;'Opening Balance'!$B$16,"ALERT 警报: Different over RM"&amp;'Opening Balance'!$B$16&amp;" 差额超过RM"&amp;'Opening Balance'!$B$16&amp;" - please check 请检查",IF(B4646=0,"Tied 平衡",IF(ABS(B4646)&lt;='Opening Balance'!$B$13,"Small difference 小额差额: adjusted on c/f petty cash 已调整备用金",IF(B4646&gt;0,"Short 短收: added to Misc Charges 已加入杂项费用","Over 多收: added to Cash Sales 已加入现金销售")))))</f>
        <v/>
      </c>
      <c r="H4646" t="inlineStr">
        <is>
          <t>Different 差额</t>
        </is>
      </c>
      <c r="I4646" s="6">
        <f>IF($B4635="","",ROUND(I4644-L4644,2))</f>
        <v/>
      </c>
    </row>
    <row r="4647"/>
    <row r="4648"/>
    <row r="4649">
      <c r="A4649" t="inlineStr">
        <is>
          <t>Date 日期</t>
        </is>
      </c>
      <c r="B4649" s="5">
        <f>IF('Daily Sale entry '!$A334="","",'Daily Sale entry '!$A334)</f>
        <v/>
      </c>
      <c r="H4649" t="inlineStr">
        <is>
          <t>After 调整后 (After)</t>
        </is>
      </c>
      <c r="I4649" s="5">
        <f>IF($B4649="","",B4649)</f>
        <v/>
      </c>
    </row>
    <row r="4650">
      <c r="A4650" t="inlineStr">
        <is>
          <t>Cash Sales 现金销售</t>
        </is>
      </c>
      <c r="B4650" s="6">
        <f>IF($B4649="","",'Daily Sale entry '!B334)</f>
        <v/>
      </c>
      <c r="D4650" t="inlineStr">
        <is>
          <t>c/f petty cash 今日备用金结转</t>
        </is>
      </c>
      <c r="E4650" s="6">
        <f>IF($B4649="","",'Daily Sale entry '!G334)</f>
        <v/>
      </c>
      <c r="H4650" t="inlineStr">
        <is>
          <t>Cash Sales 现金销售</t>
        </is>
      </c>
      <c r="I4650" s="6">
        <f>IF($B4649="","",IF(AND(ABS(B4660)&gt;'Opening Balance'!$B$13,B4660&lt;0),ROUND(B4650-B4660,2),B4650))</f>
        <v/>
      </c>
      <c r="K4650" t="inlineStr">
        <is>
          <t>c/f petty cash 今日备用金结转</t>
        </is>
      </c>
      <c r="L4650" s="6">
        <f>IF($B4649="","",IF(ABS(B4660)&lt;='Opening Balance'!$B$13,ROUND(E4650+B4660,2),E4650))</f>
        <v/>
      </c>
    </row>
    <row r="4651">
      <c r="A4651" t="inlineStr">
        <is>
          <t>Misc Charges 杂项费用</t>
        </is>
      </c>
      <c r="B4651" s="6">
        <f>IF($B4649="","",'Daily Sale entry '!C334)</f>
        <v/>
      </c>
      <c r="D4651" t="inlineStr">
        <is>
          <t>cash collection 现金收款</t>
        </is>
      </c>
      <c r="E4651" s="6">
        <f>IF($B4649="","",'Daily Sale entry '!H334)</f>
        <v/>
      </c>
      <c r="H4651" t="inlineStr">
        <is>
          <t>Misc Charges 杂项费用</t>
        </is>
      </c>
      <c r="I4651" s="6">
        <f>IF($B4649="","",IF(AND(ABS(B4660)&gt;'Opening Balance'!$B$13,B4660&gt;0),ROUND(B4651+B4660,2),B4651))</f>
        <v/>
      </c>
      <c r="K4651" t="inlineStr">
        <is>
          <t>cash collection 现金收款</t>
        </is>
      </c>
      <c r="L4651" s="6">
        <f>IF($B4649="","",E4651)</f>
        <v/>
      </c>
    </row>
    <row r="4652">
      <c r="A4652" s="1" t="inlineStr">
        <is>
          <t>Other Charges 其他费用</t>
        </is>
      </c>
      <c r="B4652" s="9">
        <f>IF($B4649="","",'Daily Sale entry '!D334)</f>
        <v/>
      </c>
      <c r="D4652" s="1" t="inlineStr">
        <is>
          <t>Cheque Collection 支票收款</t>
        </is>
      </c>
      <c r="E4652" s="9">
        <f>IF($B4649="","",'Daily Sale entry '!J334)</f>
        <v/>
      </c>
      <c r="H4652" s="1" t="inlineStr">
        <is>
          <t>Other Charges 其他费用</t>
        </is>
      </c>
      <c r="I4652" s="9">
        <f>IF($B4649="","",B4652)</f>
        <v/>
      </c>
      <c r="K4652" s="1" t="inlineStr">
        <is>
          <t>Cheque Collection 支票收款</t>
        </is>
      </c>
      <c r="L4652" s="9">
        <f>IF($B4649="","",E4652)</f>
        <v/>
      </c>
    </row>
    <row r="4653">
      <c r="A4653" s="10" t="inlineStr">
        <is>
          <t>Amount 金额  (Cash Sales - Misc - Other)</t>
        </is>
      </c>
      <c r="B4653" s="11">
        <f>IF($B4649="","",ROUND(B4650-B4651-B4652,2))</f>
        <v/>
      </c>
      <c r="D4653" s="12" t="inlineStr">
        <is>
          <t>TNG collection TNG收款</t>
        </is>
      </c>
      <c r="E4653" s="13">
        <f>IF($B4649="","",'Daily Sale entry '!K334)</f>
        <v/>
      </c>
      <c r="H4653" s="10" t="inlineStr">
        <is>
          <t>Amount 金额  (Cash Sales - Misc - Other)</t>
        </is>
      </c>
      <c r="I4653" s="11">
        <f>IF($B4649="","",ROUND(I4650-I4651-I4652,2))</f>
        <v/>
      </c>
      <c r="K4653" s="12" t="inlineStr">
        <is>
          <t>TNG collection TNG收款</t>
        </is>
      </c>
      <c r="L4653" s="13">
        <f>IF($B4649="","",E4653)</f>
        <v/>
      </c>
    </row>
    <row r="4654">
      <c r="A4654" t="inlineStr">
        <is>
          <t>Credit Collection 赊账收款</t>
        </is>
      </c>
      <c r="B4654" s="6">
        <f>IF($B4649="","",'Daily Sale entry '!E334)</f>
        <v/>
      </c>
      <c r="D4654" t="inlineStr">
        <is>
          <t>Advance Salary_M 预支薪水_M</t>
        </is>
      </c>
      <c r="E4654" s="6">
        <f>IF($B4649="","",'Daily Sale entry '!L334)</f>
        <v/>
      </c>
      <c r="H4654" t="inlineStr">
        <is>
          <t>Credit Collection 赊账收款</t>
        </is>
      </c>
      <c r="I4654" s="6">
        <f>IF($B4649="","",B4654)</f>
        <v/>
      </c>
      <c r="K4654" t="inlineStr">
        <is>
          <t>Advance Salary_M 预支薪水_M</t>
        </is>
      </c>
      <c r="L4654" s="6">
        <f>IF($B4649="","",E4654)</f>
        <v/>
      </c>
    </row>
    <row r="4655">
      <c r="A4655" s="10" t="inlineStr">
        <is>
          <t>Amount 2 金额2  (Amount + Credit Collection)</t>
        </is>
      </c>
      <c r="B4655" s="11">
        <f>IF($B4649="","",ROUND(B4653+B4654,2))</f>
        <v/>
      </c>
      <c r="D4655" t="inlineStr">
        <is>
          <t>Advance Salary_H 预支薪水_H</t>
        </is>
      </c>
      <c r="E4655" s="6">
        <f>IF($B4649="","",'Daily Sale entry '!M334)</f>
        <v/>
      </c>
      <c r="H4655" s="10" t="inlineStr">
        <is>
          <t>Amount 2 金额2  (Amount + Credit Collection)</t>
        </is>
      </c>
      <c r="I4655" s="11">
        <f>IF($B4649="","",ROUND(I4653+I4654,2))</f>
        <v/>
      </c>
      <c r="K4655" t="inlineStr">
        <is>
          <t>Advance Salary_H 预支薪水_H</t>
        </is>
      </c>
      <c r="L4655" s="6">
        <f>IF($B4649="","",E4655)</f>
        <v/>
      </c>
    </row>
    <row r="4656"/>
    <row r="4657">
      <c r="A4657" s="1" t="inlineStr">
        <is>
          <t>b/f petty cash 上日备用金结转</t>
        </is>
      </c>
      <c r="B4657" s="9">
        <f>IF($B4649="","",'Daily Sale entry '!F334)</f>
        <v/>
      </c>
      <c r="D4657" s="1" t="n"/>
      <c r="E4657" s="1" t="n"/>
      <c r="H4657" s="1" t="inlineStr">
        <is>
          <t>b/f petty cash 上日备用金结转</t>
        </is>
      </c>
      <c r="I4657" s="9">
        <f>IF($B4649="","",B4657)</f>
        <v/>
      </c>
      <c r="K4657" s="1" t="n"/>
      <c r="L4657" s="1" t="n"/>
    </row>
    <row r="4658">
      <c r="A4658" t="inlineStr">
        <is>
          <t>Total (A) 总计 (A)</t>
        </is>
      </c>
      <c r="B4658" s="6">
        <f>IF($B4649="","",ROUND(B4655+B4657,2))</f>
        <v/>
      </c>
      <c r="D4658" t="inlineStr">
        <is>
          <t>Total(B) 总计 (B)</t>
        </is>
      </c>
      <c r="E4658" s="6">
        <f>IF($B4649="","",ROUND(E4650+E4651+E4652+E4653+E4654+E4655,2))</f>
        <v/>
      </c>
      <c r="H4658" t="inlineStr">
        <is>
          <t>Total© 总计 (C)</t>
        </is>
      </c>
      <c r="I4658" s="6">
        <f>IF($B4649="","",ROUND(I4655+I4657,2))</f>
        <v/>
      </c>
      <c r="K4658" t="inlineStr">
        <is>
          <t>Total(D) 总计 (D)</t>
        </is>
      </c>
      <c r="L4658" s="6">
        <f>IF($B4649="","",ROUND(L4650+L4651+L4652+L4653+L4654+L4655,2))</f>
        <v/>
      </c>
    </row>
    <row r="4659">
      <c r="A4659" s="14" t="inlineStr">
        <is>
          <t>Total = Amount 2 + b/f petty cash  (金额2 + 上日备用金)</t>
        </is>
      </c>
      <c r="H4659" s="14" t="inlineStr">
        <is>
          <t>Total = Amount 2 + b/f petty cash  (金额2 + 上日备用金)</t>
        </is>
      </c>
    </row>
    <row r="4660">
      <c r="A4660" t="inlineStr">
        <is>
          <t>Different 差额</t>
        </is>
      </c>
      <c r="B4660" s="6">
        <f>IF($B4649="","",ROUND(B4658-E4658,2))</f>
        <v/>
      </c>
      <c r="D4660">
        <f>IF($B4649="","",IF(ABS(B4660)&gt;'Opening Balance'!$B$16,"ALERT 警报: Different over RM"&amp;'Opening Balance'!$B$16&amp;" 差额超过RM"&amp;'Opening Balance'!$B$16&amp;" - please check 请检查",IF(B4660=0,"Tied 平衡",IF(ABS(B4660)&lt;='Opening Balance'!$B$13,"Small difference 小额差额: adjusted on c/f petty cash 已调整备用金",IF(B4660&gt;0,"Short 短收: added to Misc Charges 已加入杂项费用","Over 多收: added to Cash Sales 已加入现金销售")))))</f>
        <v/>
      </c>
      <c r="H4660" t="inlineStr">
        <is>
          <t>Different 差额</t>
        </is>
      </c>
      <c r="I4660" s="6">
        <f>IF($B4649="","",ROUND(I4658-L4658,2))</f>
        <v/>
      </c>
    </row>
    <row r="4661"/>
    <row r="4662"/>
    <row r="4663">
      <c r="A4663" t="inlineStr">
        <is>
          <t>Date 日期</t>
        </is>
      </c>
      <c r="B4663" s="5">
        <f>IF('Daily Sale entry '!$A335="","",'Daily Sale entry '!$A335)</f>
        <v/>
      </c>
      <c r="H4663" t="inlineStr">
        <is>
          <t>After 调整后 (After)</t>
        </is>
      </c>
      <c r="I4663" s="5">
        <f>IF($B4663="","",B4663)</f>
        <v/>
      </c>
    </row>
    <row r="4664">
      <c r="A4664" t="inlineStr">
        <is>
          <t>Cash Sales 现金销售</t>
        </is>
      </c>
      <c r="B4664" s="6">
        <f>IF($B4663="","",'Daily Sale entry '!B335)</f>
        <v/>
      </c>
      <c r="D4664" t="inlineStr">
        <is>
          <t>c/f petty cash 今日备用金结转</t>
        </is>
      </c>
      <c r="E4664" s="6">
        <f>IF($B4663="","",'Daily Sale entry '!G335)</f>
        <v/>
      </c>
      <c r="H4664" t="inlineStr">
        <is>
          <t>Cash Sales 现金销售</t>
        </is>
      </c>
      <c r="I4664" s="6">
        <f>IF($B4663="","",IF(AND(ABS(B4674)&gt;'Opening Balance'!$B$13,B4674&lt;0),ROUND(B4664-B4674,2),B4664))</f>
        <v/>
      </c>
      <c r="K4664" t="inlineStr">
        <is>
          <t>c/f petty cash 今日备用金结转</t>
        </is>
      </c>
      <c r="L4664" s="6">
        <f>IF($B4663="","",IF(ABS(B4674)&lt;='Opening Balance'!$B$13,ROUND(E4664+B4674,2),E4664))</f>
        <v/>
      </c>
    </row>
    <row r="4665">
      <c r="A4665" t="inlineStr">
        <is>
          <t>Misc Charges 杂项费用</t>
        </is>
      </c>
      <c r="B4665" s="6">
        <f>IF($B4663="","",'Daily Sale entry '!C335)</f>
        <v/>
      </c>
      <c r="D4665" t="inlineStr">
        <is>
          <t>cash collection 现金收款</t>
        </is>
      </c>
      <c r="E4665" s="6">
        <f>IF($B4663="","",'Daily Sale entry '!H335)</f>
        <v/>
      </c>
      <c r="H4665" t="inlineStr">
        <is>
          <t>Misc Charges 杂项费用</t>
        </is>
      </c>
      <c r="I4665" s="6">
        <f>IF($B4663="","",IF(AND(ABS(B4674)&gt;'Opening Balance'!$B$13,B4674&gt;0),ROUND(B4665+B4674,2),B4665))</f>
        <v/>
      </c>
      <c r="K4665" t="inlineStr">
        <is>
          <t>cash collection 现金收款</t>
        </is>
      </c>
      <c r="L4665" s="6">
        <f>IF($B4663="","",E4665)</f>
        <v/>
      </c>
    </row>
    <row r="4666">
      <c r="A4666" s="1" t="inlineStr">
        <is>
          <t>Other Charges 其他费用</t>
        </is>
      </c>
      <c r="B4666" s="9">
        <f>IF($B4663="","",'Daily Sale entry '!D335)</f>
        <v/>
      </c>
      <c r="D4666" s="1" t="inlineStr">
        <is>
          <t>Cheque Collection 支票收款</t>
        </is>
      </c>
      <c r="E4666" s="9">
        <f>IF($B4663="","",'Daily Sale entry '!J335)</f>
        <v/>
      </c>
      <c r="H4666" s="1" t="inlineStr">
        <is>
          <t>Other Charges 其他费用</t>
        </is>
      </c>
      <c r="I4666" s="9">
        <f>IF($B4663="","",B4666)</f>
        <v/>
      </c>
      <c r="K4666" s="1" t="inlineStr">
        <is>
          <t>Cheque Collection 支票收款</t>
        </is>
      </c>
      <c r="L4666" s="9">
        <f>IF($B4663="","",E4666)</f>
        <v/>
      </c>
    </row>
    <row r="4667">
      <c r="A4667" s="10" t="inlineStr">
        <is>
          <t>Amount 金额  (Cash Sales - Misc - Other)</t>
        </is>
      </c>
      <c r="B4667" s="11">
        <f>IF($B4663="","",ROUND(B4664-B4665-B4666,2))</f>
        <v/>
      </c>
      <c r="D4667" s="12" t="inlineStr">
        <is>
          <t>TNG collection TNG收款</t>
        </is>
      </c>
      <c r="E4667" s="13">
        <f>IF($B4663="","",'Daily Sale entry '!K335)</f>
        <v/>
      </c>
      <c r="H4667" s="10" t="inlineStr">
        <is>
          <t>Amount 金额  (Cash Sales - Misc - Other)</t>
        </is>
      </c>
      <c r="I4667" s="11">
        <f>IF($B4663="","",ROUND(I4664-I4665-I4666,2))</f>
        <v/>
      </c>
      <c r="K4667" s="12" t="inlineStr">
        <is>
          <t>TNG collection TNG收款</t>
        </is>
      </c>
      <c r="L4667" s="13">
        <f>IF($B4663="","",E4667)</f>
        <v/>
      </c>
    </row>
    <row r="4668">
      <c r="A4668" t="inlineStr">
        <is>
          <t>Credit Collection 赊账收款</t>
        </is>
      </c>
      <c r="B4668" s="6">
        <f>IF($B4663="","",'Daily Sale entry '!E335)</f>
        <v/>
      </c>
      <c r="D4668" t="inlineStr">
        <is>
          <t>Advance Salary_M 预支薪水_M</t>
        </is>
      </c>
      <c r="E4668" s="6">
        <f>IF($B4663="","",'Daily Sale entry '!L335)</f>
        <v/>
      </c>
      <c r="H4668" t="inlineStr">
        <is>
          <t>Credit Collection 赊账收款</t>
        </is>
      </c>
      <c r="I4668" s="6">
        <f>IF($B4663="","",B4668)</f>
        <v/>
      </c>
      <c r="K4668" t="inlineStr">
        <is>
          <t>Advance Salary_M 预支薪水_M</t>
        </is>
      </c>
      <c r="L4668" s="6">
        <f>IF($B4663="","",E4668)</f>
        <v/>
      </c>
    </row>
    <row r="4669">
      <c r="A4669" s="10" t="inlineStr">
        <is>
          <t>Amount 2 金额2  (Amount + Credit Collection)</t>
        </is>
      </c>
      <c r="B4669" s="11">
        <f>IF($B4663="","",ROUND(B4667+B4668,2))</f>
        <v/>
      </c>
      <c r="D4669" t="inlineStr">
        <is>
          <t>Advance Salary_H 预支薪水_H</t>
        </is>
      </c>
      <c r="E4669" s="6">
        <f>IF($B4663="","",'Daily Sale entry '!M335)</f>
        <v/>
      </c>
      <c r="H4669" s="10" t="inlineStr">
        <is>
          <t>Amount 2 金额2  (Amount + Credit Collection)</t>
        </is>
      </c>
      <c r="I4669" s="11">
        <f>IF($B4663="","",ROUND(I4667+I4668,2))</f>
        <v/>
      </c>
      <c r="K4669" t="inlineStr">
        <is>
          <t>Advance Salary_H 预支薪水_H</t>
        </is>
      </c>
      <c r="L4669" s="6">
        <f>IF($B4663="","",E4669)</f>
        <v/>
      </c>
    </row>
    <row r="4670"/>
    <row r="4671">
      <c r="A4671" s="1" t="inlineStr">
        <is>
          <t>b/f petty cash 上日备用金结转</t>
        </is>
      </c>
      <c r="B4671" s="9">
        <f>IF($B4663="","",'Daily Sale entry '!F335)</f>
        <v/>
      </c>
      <c r="D4671" s="1" t="n"/>
      <c r="E4671" s="1" t="n"/>
      <c r="H4671" s="1" t="inlineStr">
        <is>
          <t>b/f petty cash 上日备用金结转</t>
        </is>
      </c>
      <c r="I4671" s="9">
        <f>IF($B4663="","",B4671)</f>
        <v/>
      </c>
      <c r="K4671" s="1" t="n"/>
      <c r="L4671" s="1" t="n"/>
    </row>
    <row r="4672">
      <c r="A4672" t="inlineStr">
        <is>
          <t>Total (A) 总计 (A)</t>
        </is>
      </c>
      <c r="B4672" s="6">
        <f>IF($B4663="","",ROUND(B4669+B4671,2))</f>
        <v/>
      </c>
      <c r="D4672" t="inlineStr">
        <is>
          <t>Total(B) 总计 (B)</t>
        </is>
      </c>
      <c r="E4672" s="6">
        <f>IF($B4663="","",ROUND(E4664+E4665+E4666+E4667+E4668+E4669,2))</f>
        <v/>
      </c>
      <c r="H4672" t="inlineStr">
        <is>
          <t>Total© 总计 (C)</t>
        </is>
      </c>
      <c r="I4672" s="6">
        <f>IF($B4663="","",ROUND(I4669+I4671,2))</f>
        <v/>
      </c>
      <c r="K4672" t="inlineStr">
        <is>
          <t>Total(D) 总计 (D)</t>
        </is>
      </c>
      <c r="L4672" s="6">
        <f>IF($B4663="","",ROUND(L4664+L4665+L4666+L4667+L4668+L4669,2))</f>
        <v/>
      </c>
    </row>
    <row r="4673">
      <c r="A4673" s="14" t="inlineStr">
        <is>
          <t>Total = Amount 2 + b/f petty cash  (金额2 + 上日备用金)</t>
        </is>
      </c>
      <c r="H4673" s="14" t="inlineStr">
        <is>
          <t>Total = Amount 2 + b/f petty cash  (金额2 + 上日备用金)</t>
        </is>
      </c>
    </row>
    <row r="4674">
      <c r="A4674" t="inlineStr">
        <is>
          <t>Different 差额</t>
        </is>
      </c>
      <c r="B4674" s="6">
        <f>IF($B4663="","",ROUND(B4672-E4672,2))</f>
        <v/>
      </c>
      <c r="D4674">
        <f>IF($B4663="","",IF(ABS(B4674)&gt;'Opening Balance'!$B$16,"ALERT 警报: Different over RM"&amp;'Opening Balance'!$B$16&amp;" 差额超过RM"&amp;'Opening Balance'!$B$16&amp;" - please check 请检查",IF(B4674=0,"Tied 平衡",IF(ABS(B4674)&lt;='Opening Balance'!$B$13,"Small difference 小额差额: adjusted on c/f petty cash 已调整备用金",IF(B4674&gt;0,"Short 短收: added to Misc Charges 已加入杂项费用","Over 多收: added to Cash Sales 已加入现金销售")))))</f>
        <v/>
      </c>
      <c r="H4674" t="inlineStr">
        <is>
          <t>Different 差额</t>
        </is>
      </c>
      <c r="I4674" s="6">
        <f>IF($B4663="","",ROUND(I4672-L4672,2))</f>
        <v/>
      </c>
    </row>
    <row r="4675"/>
    <row r="4676"/>
    <row r="4677">
      <c r="A4677" t="inlineStr">
        <is>
          <t>Date 日期</t>
        </is>
      </c>
      <c r="B4677" s="5">
        <f>IF('Daily Sale entry '!$A336="","",'Daily Sale entry '!$A336)</f>
        <v/>
      </c>
      <c r="H4677" t="inlineStr">
        <is>
          <t>After 调整后 (After)</t>
        </is>
      </c>
      <c r="I4677" s="5">
        <f>IF($B4677="","",B4677)</f>
        <v/>
      </c>
    </row>
    <row r="4678">
      <c r="A4678" t="inlineStr">
        <is>
          <t>Cash Sales 现金销售</t>
        </is>
      </c>
      <c r="B4678" s="6">
        <f>IF($B4677="","",'Daily Sale entry '!B336)</f>
        <v/>
      </c>
      <c r="D4678" t="inlineStr">
        <is>
          <t>c/f petty cash 今日备用金结转</t>
        </is>
      </c>
      <c r="E4678" s="6">
        <f>IF($B4677="","",'Daily Sale entry '!G336)</f>
        <v/>
      </c>
      <c r="H4678" t="inlineStr">
        <is>
          <t>Cash Sales 现金销售</t>
        </is>
      </c>
      <c r="I4678" s="6">
        <f>IF($B4677="","",IF(AND(ABS(B4688)&gt;'Opening Balance'!$B$13,B4688&lt;0),ROUND(B4678-B4688,2),B4678))</f>
        <v/>
      </c>
      <c r="K4678" t="inlineStr">
        <is>
          <t>c/f petty cash 今日备用金结转</t>
        </is>
      </c>
      <c r="L4678" s="6">
        <f>IF($B4677="","",IF(ABS(B4688)&lt;='Opening Balance'!$B$13,ROUND(E4678+B4688,2),E4678))</f>
        <v/>
      </c>
    </row>
    <row r="4679">
      <c r="A4679" t="inlineStr">
        <is>
          <t>Misc Charges 杂项费用</t>
        </is>
      </c>
      <c r="B4679" s="6">
        <f>IF($B4677="","",'Daily Sale entry '!C336)</f>
        <v/>
      </c>
      <c r="D4679" t="inlineStr">
        <is>
          <t>cash collection 现金收款</t>
        </is>
      </c>
      <c r="E4679" s="6">
        <f>IF($B4677="","",'Daily Sale entry '!H336)</f>
        <v/>
      </c>
      <c r="H4679" t="inlineStr">
        <is>
          <t>Misc Charges 杂项费用</t>
        </is>
      </c>
      <c r="I4679" s="6">
        <f>IF($B4677="","",IF(AND(ABS(B4688)&gt;'Opening Balance'!$B$13,B4688&gt;0),ROUND(B4679+B4688,2),B4679))</f>
        <v/>
      </c>
      <c r="K4679" t="inlineStr">
        <is>
          <t>cash collection 现金收款</t>
        </is>
      </c>
      <c r="L4679" s="6">
        <f>IF($B4677="","",E4679)</f>
        <v/>
      </c>
    </row>
    <row r="4680">
      <c r="A4680" s="1" t="inlineStr">
        <is>
          <t>Other Charges 其他费用</t>
        </is>
      </c>
      <c r="B4680" s="9">
        <f>IF($B4677="","",'Daily Sale entry '!D336)</f>
        <v/>
      </c>
      <c r="D4680" s="1" t="inlineStr">
        <is>
          <t>Cheque Collection 支票收款</t>
        </is>
      </c>
      <c r="E4680" s="9">
        <f>IF($B4677="","",'Daily Sale entry '!J336)</f>
        <v/>
      </c>
      <c r="H4680" s="1" t="inlineStr">
        <is>
          <t>Other Charges 其他费用</t>
        </is>
      </c>
      <c r="I4680" s="9">
        <f>IF($B4677="","",B4680)</f>
        <v/>
      </c>
      <c r="K4680" s="1" t="inlineStr">
        <is>
          <t>Cheque Collection 支票收款</t>
        </is>
      </c>
      <c r="L4680" s="9">
        <f>IF($B4677="","",E4680)</f>
        <v/>
      </c>
    </row>
    <row r="4681">
      <c r="A4681" s="10" t="inlineStr">
        <is>
          <t>Amount 金额  (Cash Sales - Misc - Other)</t>
        </is>
      </c>
      <c r="B4681" s="11">
        <f>IF($B4677="","",ROUND(B4678-B4679-B4680,2))</f>
        <v/>
      </c>
      <c r="D4681" s="12" t="inlineStr">
        <is>
          <t>TNG collection TNG收款</t>
        </is>
      </c>
      <c r="E4681" s="13">
        <f>IF($B4677="","",'Daily Sale entry '!K336)</f>
        <v/>
      </c>
      <c r="H4681" s="10" t="inlineStr">
        <is>
          <t>Amount 金额  (Cash Sales - Misc - Other)</t>
        </is>
      </c>
      <c r="I4681" s="11">
        <f>IF($B4677="","",ROUND(I4678-I4679-I4680,2))</f>
        <v/>
      </c>
      <c r="K4681" s="12" t="inlineStr">
        <is>
          <t>TNG collection TNG收款</t>
        </is>
      </c>
      <c r="L4681" s="13">
        <f>IF($B4677="","",E4681)</f>
        <v/>
      </c>
    </row>
    <row r="4682">
      <c r="A4682" t="inlineStr">
        <is>
          <t>Credit Collection 赊账收款</t>
        </is>
      </c>
      <c r="B4682" s="6">
        <f>IF($B4677="","",'Daily Sale entry '!E336)</f>
        <v/>
      </c>
      <c r="D4682" t="inlineStr">
        <is>
          <t>Advance Salary_M 预支薪水_M</t>
        </is>
      </c>
      <c r="E4682" s="6">
        <f>IF($B4677="","",'Daily Sale entry '!L336)</f>
        <v/>
      </c>
      <c r="H4682" t="inlineStr">
        <is>
          <t>Credit Collection 赊账收款</t>
        </is>
      </c>
      <c r="I4682" s="6">
        <f>IF($B4677="","",B4682)</f>
        <v/>
      </c>
      <c r="K4682" t="inlineStr">
        <is>
          <t>Advance Salary_M 预支薪水_M</t>
        </is>
      </c>
      <c r="L4682" s="6">
        <f>IF($B4677="","",E4682)</f>
        <v/>
      </c>
    </row>
    <row r="4683">
      <c r="A4683" s="10" t="inlineStr">
        <is>
          <t>Amount 2 金额2  (Amount + Credit Collection)</t>
        </is>
      </c>
      <c r="B4683" s="11">
        <f>IF($B4677="","",ROUND(B4681+B4682,2))</f>
        <v/>
      </c>
      <c r="D4683" t="inlineStr">
        <is>
          <t>Advance Salary_H 预支薪水_H</t>
        </is>
      </c>
      <c r="E4683" s="6">
        <f>IF($B4677="","",'Daily Sale entry '!M336)</f>
        <v/>
      </c>
      <c r="H4683" s="10" t="inlineStr">
        <is>
          <t>Amount 2 金额2  (Amount + Credit Collection)</t>
        </is>
      </c>
      <c r="I4683" s="11">
        <f>IF($B4677="","",ROUND(I4681+I4682,2))</f>
        <v/>
      </c>
      <c r="K4683" t="inlineStr">
        <is>
          <t>Advance Salary_H 预支薪水_H</t>
        </is>
      </c>
      <c r="L4683" s="6">
        <f>IF($B4677="","",E4683)</f>
        <v/>
      </c>
    </row>
    <row r="4684"/>
    <row r="4685">
      <c r="A4685" s="1" t="inlineStr">
        <is>
          <t>b/f petty cash 上日备用金结转</t>
        </is>
      </c>
      <c r="B4685" s="9">
        <f>IF($B4677="","",'Daily Sale entry '!F336)</f>
        <v/>
      </c>
      <c r="D4685" s="1" t="n"/>
      <c r="E4685" s="1" t="n"/>
      <c r="H4685" s="1" t="inlineStr">
        <is>
          <t>b/f petty cash 上日备用金结转</t>
        </is>
      </c>
      <c r="I4685" s="9">
        <f>IF($B4677="","",B4685)</f>
        <v/>
      </c>
      <c r="K4685" s="1" t="n"/>
      <c r="L4685" s="1" t="n"/>
    </row>
    <row r="4686">
      <c r="A4686" t="inlineStr">
        <is>
          <t>Total (A) 总计 (A)</t>
        </is>
      </c>
      <c r="B4686" s="6">
        <f>IF($B4677="","",ROUND(B4683+B4685,2))</f>
        <v/>
      </c>
      <c r="D4686" t="inlineStr">
        <is>
          <t>Total(B) 总计 (B)</t>
        </is>
      </c>
      <c r="E4686" s="6">
        <f>IF($B4677="","",ROUND(E4678+E4679+E4680+E4681+E4682+E4683,2))</f>
        <v/>
      </c>
      <c r="H4686" t="inlineStr">
        <is>
          <t>Total© 总计 (C)</t>
        </is>
      </c>
      <c r="I4686" s="6">
        <f>IF($B4677="","",ROUND(I4683+I4685,2))</f>
        <v/>
      </c>
      <c r="K4686" t="inlineStr">
        <is>
          <t>Total(D) 总计 (D)</t>
        </is>
      </c>
      <c r="L4686" s="6">
        <f>IF($B4677="","",ROUND(L4678+L4679+L4680+L4681+L4682+L4683,2))</f>
        <v/>
      </c>
    </row>
    <row r="4687">
      <c r="A4687" s="14" t="inlineStr">
        <is>
          <t>Total = Amount 2 + b/f petty cash  (金额2 + 上日备用金)</t>
        </is>
      </c>
      <c r="H4687" s="14" t="inlineStr">
        <is>
          <t>Total = Amount 2 + b/f petty cash  (金额2 + 上日备用金)</t>
        </is>
      </c>
    </row>
    <row r="4688">
      <c r="A4688" t="inlineStr">
        <is>
          <t>Different 差额</t>
        </is>
      </c>
      <c r="B4688" s="6">
        <f>IF($B4677="","",ROUND(B4686-E4686,2))</f>
        <v/>
      </c>
      <c r="D4688">
        <f>IF($B4677="","",IF(ABS(B4688)&gt;'Opening Balance'!$B$16,"ALERT 警报: Different over RM"&amp;'Opening Balance'!$B$16&amp;" 差额超过RM"&amp;'Opening Balance'!$B$16&amp;" - please check 请检查",IF(B4688=0,"Tied 平衡",IF(ABS(B4688)&lt;='Opening Balance'!$B$13,"Small difference 小额差额: adjusted on c/f petty cash 已调整备用金",IF(B4688&gt;0,"Short 短收: added to Misc Charges 已加入杂项费用","Over 多收: added to Cash Sales 已加入现金销售")))))</f>
        <v/>
      </c>
      <c r="H4688" t="inlineStr">
        <is>
          <t>Different 差额</t>
        </is>
      </c>
      <c r="I4688" s="6">
        <f>IF($B4677="","",ROUND(I4686-L4686,2))</f>
        <v/>
      </c>
    </row>
    <row r="4689"/>
    <row r="4690"/>
    <row r="4691">
      <c r="A4691" t="inlineStr">
        <is>
          <t>Date 日期</t>
        </is>
      </c>
      <c r="B4691" s="5">
        <f>IF('Daily Sale entry '!$A337="","",'Daily Sale entry '!$A337)</f>
        <v/>
      </c>
      <c r="H4691" t="inlineStr">
        <is>
          <t>After 调整后 (After)</t>
        </is>
      </c>
      <c r="I4691" s="5">
        <f>IF($B4691="","",B4691)</f>
        <v/>
      </c>
    </row>
    <row r="4692">
      <c r="A4692" t="inlineStr">
        <is>
          <t>Cash Sales 现金销售</t>
        </is>
      </c>
      <c r="B4692" s="6">
        <f>IF($B4691="","",'Daily Sale entry '!B337)</f>
        <v/>
      </c>
      <c r="D4692" t="inlineStr">
        <is>
          <t>c/f petty cash 今日备用金结转</t>
        </is>
      </c>
      <c r="E4692" s="6">
        <f>IF($B4691="","",'Daily Sale entry '!G337)</f>
        <v/>
      </c>
      <c r="H4692" t="inlineStr">
        <is>
          <t>Cash Sales 现金销售</t>
        </is>
      </c>
      <c r="I4692" s="6">
        <f>IF($B4691="","",IF(AND(ABS(B4702)&gt;'Opening Balance'!$B$13,B4702&lt;0),ROUND(B4692-B4702,2),B4692))</f>
        <v/>
      </c>
      <c r="K4692" t="inlineStr">
        <is>
          <t>c/f petty cash 今日备用金结转</t>
        </is>
      </c>
      <c r="L4692" s="6">
        <f>IF($B4691="","",IF(ABS(B4702)&lt;='Opening Balance'!$B$13,ROUND(E4692+B4702,2),E4692))</f>
        <v/>
      </c>
    </row>
    <row r="4693">
      <c r="A4693" t="inlineStr">
        <is>
          <t>Misc Charges 杂项费用</t>
        </is>
      </c>
      <c r="B4693" s="6">
        <f>IF($B4691="","",'Daily Sale entry '!C337)</f>
        <v/>
      </c>
      <c r="D4693" t="inlineStr">
        <is>
          <t>cash collection 现金收款</t>
        </is>
      </c>
      <c r="E4693" s="6">
        <f>IF($B4691="","",'Daily Sale entry '!H337)</f>
        <v/>
      </c>
      <c r="H4693" t="inlineStr">
        <is>
          <t>Misc Charges 杂项费用</t>
        </is>
      </c>
      <c r="I4693" s="6">
        <f>IF($B4691="","",IF(AND(ABS(B4702)&gt;'Opening Balance'!$B$13,B4702&gt;0),ROUND(B4693+B4702,2),B4693))</f>
        <v/>
      </c>
      <c r="K4693" t="inlineStr">
        <is>
          <t>cash collection 现金收款</t>
        </is>
      </c>
      <c r="L4693" s="6">
        <f>IF($B4691="","",E4693)</f>
        <v/>
      </c>
    </row>
    <row r="4694">
      <c r="A4694" s="1" t="inlineStr">
        <is>
          <t>Other Charges 其他费用</t>
        </is>
      </c>
      <c r="B4694" s="9">
        <f>IF($B4691="","",'Daily Sale entry '!D337)</f>
        <v/>
      </c>
      <c r="D4694" s="1" t="inlineStr">
        <is>
          <t>Cheque Collection 支票收款</t>
        </is>
      </c>
      <c r="E4694" s="9">
        <f>IF($B4691="","",'Daily Sale entry '!J337)</f>
        <v/>
      </c>
      <c r="H4694" s="1" t="inlineStr">
        <is>
          <t>Other Charges 其他费用</t>
        </is>
      </c>
      <c r="I4694" s="9">
        <f>IF($B4691="","",B4694)</f>
        <v/>
      </c>
      <c r="K4694" s="1" t="inlineStr">
        <is>
          <t>Cheque Collection 支票收款</t>
        </is>
      </c>
      <c r="L4694" s="9">
        <f>IF($B4691="","",E4694)</f>
        <v/>
      </c>
    </row>
    <row r="4695">
      <c r="A4695" s="10" t="inlineStr">
        <is>
          <t>Amount 金额  (Cash Sales - Misc - Other)</t>
        </is>
      </c>
      <c r="B4695" s="11">
        <f>IF($B4691="","",ROUND(B4692-B4693-B4694,2))</f>
        <v/>
      </c>
      <c r="D4695" s="12" t="inlineStr">
        <is>
          <t>TNG collection TNG收款</t>
        </is>
      </c>
      <c r="E4695" s="13">
        <f>IF($B4691="","",'Daily Sale entry '!K337)</f>
        <v/>
      </c>
      <c r="H4695" s="10" t="inlineStr">
        <is>
          <t>Amount 金额  (Cash Sales - Misc - Other)</t>
        </is>
      </c>
      <c r="I4695" s="11">
        <f>IF($B4691="","",ROUND(I4692-I4693-I4694,2))</f>
        <v/>
      </c>
      <c r="K4695" s="12" t="inlineStr">
        <is>
          <t>TNG collection TNG收款</t>
        </is>
      </c>
      <c r="L4695" s="13">
        <f>IF($B4691="","",E4695)</f>
        <v/>
      </c>
    </row>
    <row r="4696">
      <c r="A4696" t="inlineStr">
        <is>
          <t>Credit Collection 赊账收款</t>
        </is>
      </c>
      <c r="B4696" s="6">
        <f>IF($B4691="","",'Daily Sale entry '!E337)</f>
        <v/>
      </c>
      <c r="D4696" t="inlineStr">
        <is>
          <t>Advance Salary_M 预支薪水_M</t>
        </is>
      </c>
      <c r="E4696" s="6">
        <f>IF($B4691="","",'Daily Sale entry '!L337)</f>
        <v/>
      </c>
      <c r="H4696" t="inlineStr">
        <is>
          <t>Credit Collection 赊账收款</t>
        </is>
      </c>
      <c r="I4696" s="6">
        <f>IF($B4691="","",B4696)</f>
        <v/>
      </c>
      <c r="K4696" t="inlineStr">
        <is>
          <t>Advance Salary_M 预支薪水_M</t>
        </is>
      </c>
      <c r="L4696" s="6">
        <f>IF($B4691="","",E4696)</f>
        <v/>
      </c>
    </row>
    <row r="4697">
      <c r="A4697" s="10" t="inlineStr">
        <is>
          <t>Amount 2 金额2  (Amount + Credit Collection)</t>
        </is>
      </c>
      <c r="B4697" s="11">
        <f>IF($B4691="","",ROUND(B4695+B4696,2))</f>
        <v/>
      </c>
      <c r="D4697" t="inlineStr">
        <is>
          <t>Advance Salary_H 预支薪水_H</t>
        </is>
      </c>
      <c r="E4697" s="6">
        <f>IF($B4691="","",'Daily Sale entry '!M337)</f>
        <v/>
      </c>
      <c r="H4697" s="10" t="inlineStr">
        <is>
          <t>Amount 2 金额2  (Amount + Credit Collection)</t>
        </is>
      </c>
      <c r="I4697" s="11">
        <f>IF($B4691="","",ROUND(I4695+I4696,2))</f>
        <v/>
      </c>
      <c r="K4697" t="inlineStr">
        <is>
          <t>Advance Salary_H 预支薪水_H</t>
        </is>
      </c>
      <c r="L4697" s="6">
        <f>IF($B4691="","",E4697)</f>
        <v/>
      </c>
    </row>
    <row r="4698"/>
    <row r="4699">
      <c r="A4699" s="1" t="inlineStr">
        <is>
          <t>b/f petty cash 上日备用金结转</t>
        </is>
      </c>
      <c r="B4699" s="9">
        <f>IF($B4691="","",'Daily Sale entry '!F337)</f>
        <v/>
      </c>
      <c r="D4699" s="1" t="n"/>
      <c r="E4699" s="1" t="n"/>
      <c r="H4699" s="1" t="inlineStr">
        <is>
          <t>b/f petty cash 上日备用金结转</t>
        </is>
      </c>
      <c r="I4699" s="9">
        <f>IF($B4691="","",B4699)</f>
        <v/>
      </c>
      <c r="K4699" s="1" t="n"/>
      <c r="L4699" s="1" t="n"/>
    </row>
    <row r="4700">
      <c r="A4700" t="inlineStr">
        <is>
          <t>Total (A) 总计 (A)</t>
        </is>
      </c>
      <c r="B4700" s="6">
        <f>IF($B4691="","",ROUND(B4697+B4699,2))</f>
        <v/>
      </c>
      <c r="D4700" t="inlineStr">
        <is>
          <t>Total(B) 总计 (B)</t>
        </is>
      </c>
      <c r="E4700" s="6">
        <f>IF($B4691="","",ROUND(E4692+E4693+E4694+E4695+E4696+E4697,2))</f>
        <v/>
      </c>
      <c r="H4700" t="inlineStr">
        <is>
          <t>Total© 总计 (C)</t>
        </is>
      </c>
      <c r="I4700" s="6">
        <f>IF($B4691="","",ROUND(I4697+I4699,2))</f>
        <v/>
      </c>
      <c r="K4700" t="inlineStr">
        <is>
          <t>Total(D) 总计 (D)</t>
        </is>
      </c>
      <c r="L4700" s="6">
        <f>IF($B4691="","",ROUND(L4692+L4693+L4694+L4695+L4696+L4697,2))</f>
        <v/>
      </c>
    </row>
    <row r="4701">
      <c r="A4701" s="14" t="inlineStr">
        <is>
          <t>Total = Amount 2 + b/f petty cash  (金额2 + 上日备用金)</t>
        </is>
      </c>
      <c r="H4701" s="14" t="inlineStr">
        <is>
          <t>Total = Amount 2 + b/f petty cash  (金额2 + 上日备用金)</t>
        </is>
      </c>
    </row>
    <row r="4702">
      <c r="A4702" t="inlineStr">
        <is>
          <t>Different 差额</t>
        </is>
      </c>
      <c r="B4702" s="6">
        <f>IF($B4691="","",ROUND(B4700-E4700,2))</f>
        <v/>
      </c>
      <c r="D4702">
        <f>IF($B4691="","",IF(ABS(B4702)&gt;'Opening Balance'!$B$16,"ALERT 警报: Different over RM"&amp;'Opening Balance'!$B$16&amp;" 差额超过RM"&amp;'Opening Balance'!$B$16&amp;" - please check 请检查",IF(B4702=0,"Tied 平衡",IF(ABS(B4702)&lt;='Opening Balance'!$B$13,"Small difference 小额差额: adjusted on c/f petty cash 已调整备用金",IF(B4702&gt;0,"Short 短收: added to Misc Charges 已加入杂项费用","Over 多收: added to Cash Sales 已加入现金销售")))))</f>
        <v/>
      </c>
      <c r="H4702" t="inlineStr">
        <is>
          <t>Different 差额</t>
        </is>
      </c>
      <c r="I4702" s="6">
        <f>IF($B4691="","",ROUND(I4700-L4700,2))</f>
        <v/>
      </c>
    </row>
    <row r="4703"/>
    <row r="4704"/>
    <row r="4705">
      <c r="A4705" t="inlineStr">
        <is>
          <t>Date 日期</t>
        </is>
      </c>
      <c r="B4705" s="5">
        <f>IF('Daily Sale entry '!$A338="","",'Daily Sale entry '!$A338)</f>
        <v/>
      </c>
      <c r="H4705" t="inlineStr">
        <is>
          <t>After 调整后 (After)</t>
        </is>
      </c>
      <c r="I4705" s="5">
        <f>IF($B4705="","",B4705)</f>
        <v/>
      </c>
    </row>
    <row r="4706">
      <c r="A4706" t="inlineStr">
        <is>
          <t>Cash Sales 现金销售</t>
        </is>
      </c>
      <c r="B4706" s="6">
        <f>IF($B4705="","",'Daily Sale entry '!B338)</f>
        <v/>
      </c>
      <c r="D4706" t="inlineStr">
        <is>
          <t>c/f petty cash 今日备用金结转</t>
        </is>
      </c>
      <c r="E4706" s="6">
        <f>IF($B4705="","",'Daily Sale entry '!G338)</f>
        <v/>
      </c>
      <c r="H4706" t="inlineStr">
        <is>
          <t>Cash Sales 现金销售</t>
        </is>
      </c>
      <c r="I4706" s="6">
        <f>IF($B4705="","",IF(AND(ABS(B4716)&gt;'Opening Balance'!$B$13,B4716&lt;0),ROUND(B4706-B4716,2),B4706))</f>
        <v/>
      </c>
      <c r="K4706" t="inlineStr">
        <is>
          <t>c/f petty cash 今日备用金结转</t>
        </is>
      </c>
      <c r="L4706" s="6">
        <f>IF($B4705="","",IF(ABS(B4716)&lt;='Opening Balance'!$B$13,ROUND(E4706+B4716,2),E4706))</f>
        <v/>
      </c>
    </row>
    <row r="4707">
      <c r="A4707" t="inlineStr">
        <is>
          <t>Misc Charges 杂项费用</t>
        </is>
      </c>
      <c r="B4707" s="6">
        <f>IF($B4705="","",'Daily Sale entry '!C338)</f>
        <v/>
      </c>
      <c r="D4707" t="inlineStr">
        <is>
          <t>cash collection 现金收款</t>
        </is>
      </c>
      <c r="E4707" s="6">
        <f>IF($B4705="","",'Daily Sale entry '!H338)</f>
        <v/>
      </c>
      <c r="H4707" t="inlineStr">
        <is>
          <t>Misc Charges 杂项费用</t>
        </is>
      </c>
      <c r="I4707" s="6">
        <f>IF($B4705="","",IF(AND(ABS(B4716)&gt;'Opening Balance'!$B$13,B4716&gt;0),ROUND(B4707+B4716,2),B4707))</f>
        <v/>
      </c>
      <c r="K4707" t="inlineStr">
        <is>
          <t>cash collection 现金收款</t>
        </is>
      </c>
      <c r="L4707" s="6">
        <f>IF($B4705="","",E4707)</f>
        <v/>
      </c>
    </row>
    <row r="4708">
      <c r="A4708" s="1" t="inlineStr">
        <is>
          <t>Other Charges 其他费用</t>
        </is>
      </c>
      <c r="B4708" s="9">
        <f>IF($B4705="","",'Daily Sale entry '!D338)</f>
        <v/>
      </c>
      <c r="D4708" s="1" t="inlineStr">
        <is>
          <t>Cheque Collection 支票收款</t>
        </is>
      </c>
      <c r="E4708" s="9">
        <f>IF($B4705="","",'Daily Sale entry '!J338)</f>
        <v/>
      </c>
      <c r="H4708" s="1" t="inlineStr">
        <is>
          <t>Other Charges 其他费用</t>
        </is>
      </c>
      <c r="I4708" s="9">
        <f>IF($B4705="","",B4708)</f>
        <v/>
      </c>
      <c r="K4708" s="1" t="inlineStr">
        <is>
          <t>Cheque Collection 支票收款</t>
        </is>
      </c>
      <c r="L4708" s="9">
        <f>IF($B4705="","",E4708)</f>
        <v/>
      </c>
    </row>
    <row r="4709">
      <c r="A4709" s="10" t="inlineStr">
        <is>
          <t>Amount 金额  (Cash Sales - Misc - Other)</t>
        </is>
      </c>
      <c r="B4709" s="11">
        <f>IF($B4705="","",ROUND(B4706-B4707-B4708,2))</f>
        <v/>
      </c>
      <c r="D4709" s="12" t="inlineStr">
        <is>
          <t>TNG collection TNG收款</t>
        </is>
      </c>
      <c r="E4709" s="13">
        <f>IF($B4705="","",'Daily Sale entry '!K338)</f>
        <v/>
      </c>
      <c r="H4709" s="10" t="inlineStr">
        <is>
          <t>Amount 金额  (Cash Sales - Misc - Other)</t>
        </is>
      </c>
      <c r="I4709" s="11">
        <f>IF($B4705="","",ROUND(I4706-I4707-I4708,2))</f>
        <v/>
      </c>
      <c r="K4709" s="12" t="inlineStr">
        <is>
          <t>TNG collection TNG收款</t>
        </is>
      </c>
      <c r="L4709" s="13">
        <f>IF($B4705="","",E4709)</f>
        <v/>
      </c>
    </row>
    <row r="4710">
      <c r="A4710" t="inlineStr">
        <is>
          <t>Credit Collection 赊账收款</t>
        </is>
      </c>
      <c r="B4710" s="6">
        <f>IF($B4705="","",'Daily Sale entry '!E338)</f>
        <v/>
      </c>
      <c r="D4710" t="inlineStr">
        <is>
          <t>Advance Salary_M 预支薪水_M</t>
        </is>
      </c>
      <c r="E4710" s="6">
        <f>IF($B4705="","",'Daily Sale entry '!L338)</f>
        <v/>
      </c>
      <c r="H4710" t="inlineStr">
        <is>
          <t>Credit Collection 赊账收款</t>
        </is>
      </c>
      <c r="I4710" s="6">
        <f>IF($B4705="","",B4710)</f>
        <v/>
      </c>
      <c r="K4710" t="inlineStr">
        <is>
          <t>Advance Salary_M 预支薪水_M</t>
        </is>
      </c>
      <c r="L4710" s="6">
        <f>IF($B4705="","",E4710)</f>
        <v/>
      </c>
    </row>
    <row r="4711">
      <c r="A4711" s="10" t="inlineStr">
        <is>
          <t>Amount 2 金额2  (Amount + Credit Collection)</t>
        </is>
      </c>
      <c r="B4711" s="11">
        <f>IF($B4705="","",ROUND(B4709+B4710,2))</f>
        <v/>
      </c>
      <c r="D4711" t="inlineStr">
        <is>
          <t>Advance Salary_H 预支薪水_H</t>
        </is>
      </c>
      <c r="E4711" s="6">
        <f>IF($B4705="","",'Daily Sale entry '!M338)</f>
        <v/>
      </c>
      <c r="H4711" s="10" t="inlineStr">
        <is>
          <t>Amount 2 金额2  (Amount + Credit Collection)</t>
        </is>
      </c>
      <c r="I4711" s="11">
        <f>IF($B4705="","",ROUND(I4709+I4710,2))</f>
        <v/>
      </c>
      <c r="K4711" t="inlineStr">
        <is>
          <t>Advance Salary_H 预支薪水_H</t>
        </is>
      </c>
      <c r="L4711" s="6">
        <f>IF($B4705="","",E4711)</f>
        <v/>
      </c>
    </row>
    <row r="4712"/>
    <row r="4713">
      <c r="A4713" s="1" t="inlineStr">
        <is>
          <t>b/f petty cash 上日备用金结转</t>
        </is>
      </c>
      <c r="B4713" s="9">
        <f>IF($B4705="","",'Daily Sale entry '!F338)</f>
        <v/>
      </c>
      <c r="D4713" s="1" t="n"/>
      <c r="E4713" s="1" t="n"/>
      <c r="H4713" s="1" t="inlineStr">
        <is>
          <t>b/f petty cash 上日备用金结转</t>
        </is>
      </c>
      <c r="I4713" s="9">
        <f>IF($B4705="","",B4713)</f>
        <v/>
      </c>
      <c r="K4713" s="1" t="n"/>
      <c r="L4713" s="1" t="n"/>
    </row>
    <row r="4714">
      <c r="A4714" t="inlineStr">
        <is>
          <t>Total (A) 总计 (A)</t>
        </is>
      </c>
      <c r="B4714" s="6">
        <f>IF($B4705="","",ROUND(B4711+B4713,2))</f>
        <v/>
      </c>
      <c r="D4714" t="inlineStr">
        <is>
          <t>Total(B) 总计 (B)</t>
        </is>
      </c>
      <c r="E4714" s="6">
        <f>IF($B4705="","",ROUND(E4706+E4707+E4708+E4709+E4710+E4711,2))</f>
        <v/>
      </c>
      <c r="H4714" t="inlineStr">
        <is>
          <t>Total© 总计 (C)</t>
        </is>
      </c>
      <c r="I4714" s="6">
        <f>IF($B4705="","",ROUND(I4711+I4713,2))</f>
        <v/>
      </c>
      <c r="K4714" t="inlineStr">
        <is>
          <t>Total(D) 总计 (D)</t>
        </is>
      </c>
      <c r="L4714" s="6">
        <f>IF($B4705="","",ROUND(L4706+L4707+L4708+L4709+L4710+L4711,2))</f>
        <v/>
      </c>
    </row>
    <row r="4715">
      <c r="A4715" s="14" t="inlineStr">
        <is>
          <t>Total = Amount 2 + b/f petty cash  (金额2 + 上日备用金)</t>
        </is>
      </c>
      <c r="H4715" s="14" t="inlineStr">
        <is>
          <t>Total = Amount 2 + b/f petty cash  (金额2 + 上日备用金)</t>
        </is>
      </c>
    </row>
    <row r="4716">
      <c r="A4716" t="inlineStr">
        <is>
          <t>Different 差额</t>
        </is>
      </c>
      <c r="B4716" s="6">
        <f>IF($B4705="","",ROUND(B4714-E4714,2))</f>
        <v/>
      </c>
      <c r="D4716">
        <f>IF($B4705="","",IF(ABS(B4716)&gt;'Opening Balance'!$B$16,"ALERT 警报: Different over RM"&amp;'Opening Balance'!$B$16&amp;" 差额超过RM"&amp;'Opening Balance'!$B$16&amp;" - please check 请检查",IF(B4716=0,"Tied 平衡",IF(ABS(B4716)&lt;='Opening Balance'!$B$13,"Small difference 小额差额: adjusted on c/f petty cash 已调整备用金",IF(B4716&gt;0,"Short 短收: added to Misc Charges 已加入杂项费用","Over 多收: added to Cash Sales 已加入现金销售")))))</f>
        <v/>
      </c>
      <c r="H4716" t="inlineStr">
        <is>
          <t>Different 差额</t>
        </is>
      </c>
      <c r="I4716" s="6">
        <f>IF($B4705="","",ROUND(I4714-L4714,2))</f>
        <v/>
      </c>
    </row>
    <row r="4717"/>
    <row r="4718"/>
    <row r="4719">
      <c r="A4719" t="inlineStr">
        <is>
          <t>Date 日期</t>
        </is>
      </c>
      <c r="B4719" s="5">
        <f>IF('Daily Sale entry '!$A339="","",'Daily Sale entry '!$A339)</f>
        <v/>
      </c>
      <c r="H4719" t="inlineStr">
        <is>
          <t>After 调整后 (After)</t>
        </is>
      </c>
      <c r="I4719" s="5">
        <f>IF($B4719="","",B4719)</f>
        <v/>
      </c>
    </row>
    <row r="4720">
      <c r="A4720" t="inlineStr">
        <is>
          <t>Cash Sales 现金销售</t>
        </is>
      </c>
      <c r="B4720" s="6">
        <f>IF($B4719="","",'Daily Sale entry '!B339)</f>
        <v/>
      </c>
      <c r="D4720" t="inlineStr">
        <is>
          <t>c/f petty cash 今日备用金结转</t>
        </is>
      </c>
      <c r="E4720" s="6">
        <f>IF($B4719="","",'Daily Sale entry '!G339)</f>
        <v/>
      </c>
      <c r="H4720" t="inlineStr">
        <is>
          <t>Cash Sales 现金销售</t>
        </is>
      </c>
      <c r="I4720" s="6">
        <f>IF($B4719="","",IF(AND(ABS(B4730)&gt;'Opening Balance'!$B$13,B4730&lt;0),ROUND(B4720-B4730,2),B4720))</f>
        <v/>
      </c>
      <c r="K4720" t="inlineStr">
        <is>
          <t>c/f petty cash 今日备用金结转</t>
        </is>
      </c>
      <c r="L4720" s="6">
        <f>IF($B4719="","",IF(ABS(B4730)&lt;='Opening Balance'!$B$13,ROUND(E4720+B4730,2),E4720))</f>
        <v/>
      </c>
    </row>
    <row r="4721">
      <c r="A4721" t="inlineStr">
        <is>
          <t>Misc Charges 杂项费用</t>
        </is>
      </c>
      <c r="B4721" s="6">
        <f>IF($B4719="","",'Daily Sale entry '!C339)</f>
        <v/>
      </c>
      <c r="D4721" t="inlineStr">
        <is>
          <t>cash collection 现金收款</t>
        </is>
      </c>
      <c r="E4721" s="6">
        <f>IF($B4719="","",'Daily Sale entry '!H339)</f>
        <v/>
      </c>
      <c r="H4721" t="inlineStr">
        <is>
          <t>Misc Charges 杂项费用</t>
        </is>
      </c>
      <c r="I4721" s="6">
        <f>IF($B4719="","",IF(AND(ABS(B4730)&gt;'Opening Balance'!$B$13,B4730&gt;0),ROUND(B4721+B4730,2),B4721))</f>
        <v/>
      </c>
      <c r="K4721" t="inlineStr">
        <is>
          <t>cash collection 现金收款</t>
        </is>
      </c>
      <c r="L4721" s="6">
        <f>IF($B4719="","",E4721)</f>
        <v/>
      </c>
    </row>
    <row r="4722">
      <c r="A4722" s="1" t="inlineStr">
        <is>
          <t>Other Charges 其他费用</t>
        </is>
      </c>
      <c r="B4722" s="9">
        <f>IF($B4719="","",'Daily Sale entry '!D339)</f>
        <v/>
      </c>
      <c r="D4722" s="1" t="inlineStr">
        <is>
          <t>Cheque Collection 支票收款</t>
        </is>
      </c>
      <c r="E4722" s="9">
        <f>IF($B4719="","",'Daily Sale entry '!J339)</f>
        <v/>
      </c>
      <c r="H4722" s="1" t="inlineStr">
        <is>
          <t>Other Charges 其他费用</t>
        </is>
      </c>
      <c r="I4722" s="9">
        <f>IF($B4719="","",B4722)</f>
        <v/>
      </c>
      <c r="K4722" s="1" t="inlineStr">
        <is>
          <t>Cheque Collection 支票收款</t>
        </is>
      </c>
      <c r="L4722" s="9">
        <f>IF($B4719="","",E4722)</f>
        <v/>
      </c>
    </row>
    <row r="4723">
      <c r="A4723" s="10" t="inlineStr">
        <is>
          <t>Amount 金额  (Cash Sales - Misc - Other)</t>
        </is>
      </c>
      <c r="B4723" s="11">
        <f>IF($B4719="","",ROUND(B4720-B4721-B4722,2))</f>
        <v/>
      </c>
      <c r="D4723" s="12" t="inlineStr">
        <is>
          <t>TNG collection TNG收款</t>
        </is>
      </c>
      <c r="E4723" s="13">
        <f>IF($B4719="","",'Daily Sale entry '!K339)</f>
        <v/>
      </c>
      <c r="H4723" s="10" t="inlineStr">
        <is>
          <t>Amount 金额  (Cash Sales - Misc - Other)</t>
        </is>
      </c>
      <c r="I4723" s="11">
        <f>IF($B4719="","",ROUND(I4720-I4721-I4722,2))</f>
        <v/>
      </c>
      <c r="K4723" s="12" t="inlineStr">
        <is>
          <t>TNG collection TNG收款</t>
        </is>
      </c>
      <c r="L4723" s="13">
        <f>IF($B4719="","",E4723)</f>
        <v/>
      </c>
    </row>
    <row r="4724">
      <c r="A4724" t="inlineStr">
        <is>
          <t>Credit Collection 赊账收款</t>
        </is>
      </c>
      <c r="B4724" s="6">
        <f>IF($B4719="","",'Daily Sale entry '!E339)</f>
        <v/>
      </c>
      <c r="D4724" t="inlineStr">
        <is>
          <t>Advance Salary_M 预支薪水_M</t>
        </is>
      </c>
      <c r="E4724" s="6">
        <f>IF($B4719="","",'Daily Sale entry '!L339)</f>
        <v/>
      </c>
      <c r="H4724" t="inlineStr">
        <is>
          <t>Credit Collection 赊账收款</t>
        </is>
      </c>
      <c r="I4724" s="6">
        <f>IF($B4719="","",B4724)</f>
        <v/>
      </c>
      <c r="K4724" t="inlineStr">
        <is>
          <t>Advance Salary_M 预支薪水_M</t>
        </is>
      </c>
      <c r="L4724" s="6">
        <f>IF($B4719="","",E4724)</f>
        <v/>
      </c>
    </row>
    <row r="4725">
      <c r="A4725" s="10" t="inlineStr">
        <is>
          <t>Amount 2 金额2  (Amount + Credit Collection)</t>
        </is>
      </c>
      <c r="B4725" s="11">
        <f>IF($B4719="","",ROUND(B4723+B4724,2))</f>
        <v/>
      </c>
      <c r="D4725" t="inlineStr">
        <is>
          <t>Advance Salary_H 预支薪水_H</t>
        </is>
      </c>
      <c r="E4725" s="6">
        <f>IF($B4719="","",'Daily Sale entry '!M339)</f>
        <v/>
      </c>
      <c r="H4725" s="10" t="inlineStr">
        <is>
          <t>Amount 2 金额2  (Amount + Credit Collection)</t>
        </is>
      </c>
      <c r="I4725" s="11">
        <f>IF($B4719="","",ROUND(I4723+I4724,2))</f>
        <v/>
      </c>
      <c r="K4725" t="inlineStr">
        <is>
          <t>Advance Salary_H 预支薪水_H</t>
        </is>
      </c>
      <c r="L4725" s="6">
        <f>IF($B4719="","",E4725)</f>
        <v/>
      </c>
    </row>
    <row r="4726"/>
    <row r="4727">
      <c r="A4727" s="1" t="inlineStr">
        <is>
          <t>b/f petty cash 上日备用金结转</t>
        </is>
      </c>
      <c r="B4727" s="9">
        <f>IF($B4719="","",'Daily Sale entry '!F339)</f>
        <v/>
      </c>
      <c r="D4727" s="1" t="n"/>
      <c r="E4727" s="1" t="n"/>
      <c r="H4727" s="1" t="inlineStr">
        <is>
          <t>b/f petty cash 上日备用金结转</t>
        </is>
      </c>
      <c r="I4727" s="9">
        <f>IF($B4719="","",B4727)</f>
        <v/>
      </c>
      <c r="K4727" s="1" t="n"/>
      <c r="L4727" s="1" t="n"/>
    </row>
    <row r="4728">
      <c r="A4728" t="inlineStr">
        <is>
          <t>Total (A) 总计 (A)</t>
        </is>
      </c>
      <c r="B4728" s="6">
        <f>IF($B4719="","",ROUND(B4725+B4727,2))</f>
        <v/>
      </c>
      <c r="D4728" t="inlineStr">
        <is>
          <t>Total(B) 总计 (B)</t>
        </is>
      </c>
      <c r="E4728" s="6">
        <f>IF($B4719="","",ROUND(E4720+E4721+E4722+E4723+E4724+E4725,2))</f>
        <v/>
      </c>
      <c r="H4728" t="inlineStr">
        <is>
          <t>Total© 总计 (C)</t>
        </is>
      </c>
      <c r="I4728" s="6">
        <f>IF($B4719="","",ROUND(I4725+I4727,2))</f>
        <v/>
      </c>
      <c r="K4728" t="inlineStr">
        <is>
          <t>Total(D) 总计 (D)</t>
        </is>
      </c>
      <c r="L4728" s="6">
        <f>IF($B4719="","",ROUND(L4720+L4721+L4722+L4723+L4724+L4725,2))</f>
        <v/>
      </c>
    </row>
    <row r="4729">
      <c r="A4729" s="14" t="inlineStr">
        <is>
          <t>Total = Amount 2 + b/f petty cash  (金额2 + 上日备用金)</t>
        </is>
      </c>
      <c r="H4729" s="14" t="inlineStr">
        <is>
          <t>Total = Amount 2 + b/f petty cash  (金额2 + 上日备用金)</t>
        </is>
      </c>
    </row>
    <row r="4730">
      <c r="A4730" t="inlineStr">
        <is>
          <t>Different 差额</t>
        </is>
      </c>
      <c r="B4730" s="6">
        <f>IF($B4719="","",ROUND(B4728-E4728,2))</f>
        <v/>
      </c>
      <c r="D4730">
        <f>IF($B4719="","",IF(ABS(B4730)&gt;'Opening Balance'!$B$16,"ALERT 警报: Different over RM"&amp;'Opening Balance'!$B$16&amp;" 差额超过RM"&amp;'Opening Balance'!$B$16&amp;" - please check 请检查",IF(B4730=0,"Tied 平衡",IF(ABS(B4730)&lt;='Opening Balance'!$B$13,"Small difference 小额差额: adjusted on c/f petty cash 已调整备用金",IF(B4730&gt;0,"Short 短收: added to Misc Charges 已加入杂项费用","Over 多收: added to Cash Sales 已加入现金销售")))))</f>
        <v/>
      </c>
      <c r="H4730" t="inlineStr">
        <is>
          <t>Different 差额</t>
        </is>
      </c>
      <c r="I4730" s="6">
        <f>IF($B4719="","",ROUND(I4728-L4728,2))</f>
        <v/>
      </c>
    </row>
    <row r="4731"/>
    <row r="4732"/>
    <row r="4733">
      <c r="A4733" t="inlineStr">
        <is>
          <t>Date 日期</t>
        </is>
      </c>
      <c r="B4733" s="5">
        <f>IF('Daily Sale entry '!$A340="","",'Daily Sale entry '!$A340)</f>
        <v/>
      </c>
      <c r="H4733" t="inlineStr">
        <is>
          <t>After 调整后 (After)</t>
        </is>
      </c>
      <c r="I4733" s="5">
        <f>IF($B4733="","",B4733)</f>
        <v/>
      </c>
    </row>
    <row r="4734">
      <c r="A4734" t="inlineStr">
        <is>
          <t>Cash Sales 现金销售</t>
        </is>
      </c>
      <c r="B4734" s="6">
        <f>IF($B4733="","",'Daily Sale entry '!B340)</f>
        <v/>
      </c>
      <c r="D4734" t="inlineStr">
        <is>
          <t>c/f petty cash 今日备用金结转</t>
        </is>
      </c>
      <c r="E4734" s="6">
        <f>IF($B4733="","",'Daily Sale entry '!G340)</f>
        <v/>
      </c>
      <c r="H4734" t="inlineStr">
        <is>
          <t>Cash Sales 现金销售</t>
        </is>
      </c>
      <c r="I4734" s="6">
        <f>IF($B4733="","",IF(AND(ABS(B4744)&gt;'Opening Balance'!$B$13,B4744&lt;0),ROUND(B4734-B4744,2),B4734))</f>
        <v/>
      </c>
      <c r="K4734" t="inlineStr">
        <is>
          <t>c/f petty cash 今日备用金结转</t>
        </is>
      </c>
      <c r="L4734" s="6">
        <f>IF($B4733="","",IF(ABS(B4744)&lt;='Opening Balance'!$B$13,ROUND(E4734+B4744,2),E4734))</f>
        <v/>
      </c>
    </row>
    <row r="4735">
      <c r="A4735" t="inlineStr">
        <is>
          <t>Misc Charges 杂项费用</t>
        </is>
      </c>
      <c r="B4735" s="6">
        <f>IF($B4733="","",'Daily Sale entry '!C340)</f>
        <v/>
      </c>
      <c r="D4735" t="inlineStr">
        <is>
          <t>cash collection 现金收款</t>
        </is>
      </c>
      <c r="E4735" s="6">
        <f>IF($B4733="","",'Daily Sale entry '!H340)</f>
        <v/>
      </c>
      <c r="H4735" t="inlineStr">
        <is>
          <t>Misc Charges 杂项费用</t>
        </is>
      </c>
      <c r="I4735" s="6">
        <f>IF($B4733="","",IF(AND(ABS(B4744)&gt;'Opening Balance'!$B$13,B4744&gt;0),ROUND(B4735+B4744,2),B4735))</f>
        <v/>
      </c>
      <c r="K4735" t="inlineStr">
        <is>
          <t>cash collection 现金收款</t>
        </is>
      </c>
      <c r="L4735" s="6">
        <f>IF($B4733="","",E4735)</f>
        <v/>
      </c>
    </row>
    <row r="4736">
      <c r="A4736" s="1" t="inlineStr">
        <is>
          <t>Other Charges 其他费用</t>
        </is>
      </c>
      <c r="B4736" s="9">
        <f>IF($B4733="","",'Daily Sale entry '!D340)</f>
        <v/>
      </c>
      <c r="D4736" s="1" t="inlineStr">
        <is>
          <t>Cheque Collection 支票收款</t>
        </is>
      </c>
      <c r="E4736" s="9">
        <f>IF($B4733="","",'Daily Sale entry '!J340)</f>
        <v/>
      </c>
      <c r="H4736" s="1" t="inlineStr">
        <is>
          <t>Other Charges 其他费用</t>
        </is>
      </c>
      <c r="I4736" s="9">
        <f>IF($B4733="","",B4736)</f>
        <v/>
      </c>
      <c r="K4736" s="1" t="inlineStr">
        <is>
          <t>Cheque Collection 支票收款</t>
        </is>
      </c>
      <c r="L4736" s="9">
        <f>IF($B4733="","",E4736)</f>
        <v/>
      </c>
    </row>
    <row r="4737">
      <c r="A4737" s="10" t="inlineStr">
        <is>
          <t>Amount 金额  (Cash Sales - Misc - Other)</t>
        </is>
      </c>
      <c r="B4737" s="11">
        <f>IF($B4733="","",ROUND(B4734-B4735-B4736,2))</f>
        <v/>
      </c>
      <c r="D4737" s="12" t="inlineStr">
        <is>
          <t>TNG collection TNG收款</t>
        </is>
      </c>
      <c r="E4737" s="13">
        <f>IF($B4733="","",'Daily Sale entry '!K340)</f>
        <v/>
      </c>
      <c r="H4737" s="10" t="inlineStr">
        <is>
          <t>Amount 金额  (Cash Sales - Misc - Other)</t>
        </is>
      </c>
      <c r="I4737" s="11">
        <f>IF($B4733="","",ROUND(I4734-I4735-I4736,2))</f>
        <v/>
      </c>
      <c r="K4737" s="12" t="inlineStr">
        <is>
          <t>TNG collection TNG收款</t>
        </is>
      </c>
      <c r="L4737" s="13">
        <f>IF($B4733="","",E4737)</f>
        <v/>
      </c>
    </row>
    <row r="4738">
      <c r="A4738" t="inlineStr">
        <is>
          <t>Credit Collection 赊账收款</t>
        </is>
      </c>
      <c r="B4738" s="6">
        <f>IF($B4733="","",'Daily Sale entry '!E340)</f>
        <v/>
      </c>
      <c r="D4738" t="inlineStr">
        <is>
          <t>Advance Salary_M 预支薪水_M</t>
        </is>
      </c>
      <c r="E4738" s="6">
        <f>IF($B4733="","",'Daily Sale entry '!L340)</f>
        <v/>
      </c>
      <c r="H4738" t="inlineStr">
        <is>
          <t>Credit Collection 赊账收款</t>
        </is>
      </c>
      <c r="I4738" s="6">
        <f>IF($B4733="","",B4738)</f>
        <v/>
      </c>
      <c r="K4738" t="inlineStr">
        <is>
          <t>Advance Salary_M 预支薪水_M</t>
        </is>
      </c>
      <c r="L4738" s="6">
        <f>IF($B4733="","",E4738)</f>
        <v/>
      </c>
    </row>
    <row r="4739">
      <c r="A4739" s="10" t="inlineStr">
        <is>
          <t>Amount 2 金额2  (Amount + Credit Collection)</t>
        </is>
      </c>
      <c r="B4739" s="11">
        <f>IF($B4733="","",ROUND(B4737+B4738,2))</f>
        <v/>
      </c>
      <c r="D4739" t="inlineStr">
        <is>
          <t>Advance Salary_H 预支薪水_H</t>
        </is>
      </c>
      <c r="E4739" s="6">
        <f>IF($B4733="","",'Daily Sale entry '!M340)</f>
        <v/>
      </c>
      <c r="H4739" s="10" t="inlineStr">
        <is>
          <t>Amount 2 金额2  (Amount + Credit Collection)</t>
        </is>
      </c>
      <c r="I4739" s="11">
        <f>IF($B4733="","",ROUND(I4737+I4738,2))</f>
        <v/>
      </c>
      <c r="K4739" t="inlineStr">
        <is>
          <t>Advance Salary_H 预支薪水_H</t>
        </is>
      </c>
      <c r="L4739" s="6">
        <f>IF($B4733="","",E4739)</f>
        <v/>
      </c>
    </row>
    <row r="4740"/>
    <row r="4741">
      <c r="A4741" s="1" t="inlineStr">
        <is>
          <t>b/f petty cash 上日备用金结转</t>
        </is>
      </c>
      <c r="B4741" s="9">
        <f>IF($B4733="","",'Daily Sale entry '!F340)</f>
        <v/>
      </c>
      <c r="D4741" s="1" t="n"/>
      <c r="E4741" s="1" t="n"/>
      <c r="H4741" s="1" t="inlineStr">
        <is>
          <t>b/f petty cash 上日备用金结转</t>
        </is>
      </c>
      <c r="I4741" s="9">
        <f>IF($B4733="","",B4741)</f>
        <v/>
      </c>
      <c r="K4741" s="1" t="n"/>
      <c r="L4741" s="1" t="n"/>
    </row>
    <row r="4742">
      <c r="A4742" t="inlineStr">
        <is>
          <t>Total (A) 总计 (A)</t>
        </is>
      </c>
      <c r="B4742" s="6">
        <f>IF($B4733="","",ROUND(B4739+B4741,2))</f>
        <v/>
      </c>
      <c r="D4742" t="inlineStr">
        <is>
          <t>Total(B) 总计 (B)</t>
        </is>
      </c>
      <c r="E4742" s="6">
        <f>IF($B4733="","",ROUND(E4734+E4735+E4736+E4737+E4738+E4739,2))</f>
        <v/>
      </c>
      <c r="H4742" t="inlineStr">
        <is>
          <t>Total© 总计 (C)</t>
        </is>
      </c>
      <c r="I4742" s="6">
        <f>IF($B4733="","",ROUND(I4739+I4741,2))</f>
        <v/>
      </c>
      <c r="K4742" t="inlineStr">
        <is>
          <t>Total(D) 总计 (D)</t>
        </is>
      </c>
      <c r="L4742" s="6">
        <f>IF($B4733="","",ROUND(L4734+L4735+L4736+L4737+L4738+L4739,2))</f>
        <v/>
      </c>
    </row>
    <row r="4743">
      <c r="A4743" s="14" t="inlineStr">
        <is>
          <t>Total = Amount 2 + b/f petty cash  (金额2 + 上日备用金)</t>
        </is>
      </c>
      <c r="H4743" s="14" t="inlineStr">
        <is>
          <t>Total = Amount 2 + b/f petty cash  (金额2 + 上日备用金)</t>
        </is>
      </c>
    </row>
    <row r="4744">
      <c r="A4744" t="inlineStr">
        <is>
          <t>Different 差额</t>
        </is>
      </c>
      <c r="B4744" s="6">
        <f>IF($B4733="","",ROUND(B4742-E4742,2))</f>
        <v/>
      </c>
      <c r="D4744">
        <f>IF($B4733="","",IF(ABS(B4744)&gt;'Opening Balance'!$B$16,"ALERT 警报: Different over RM"&amp;'Opening Balance'!$B$16&amp;" 差额超过RM"&amp;'Opening Balance'!$B$16&amp;" - please check 请检查",IF(B4744=0,"Tied 平衡",IF(ABS(B4744)&lt;='Opening Balance'!$B$13,"Small difference 小额差额: adjusted on c/f petty cash 已调整备用金",IF(B4744&gt;0,"Short 短收: added to Misc Charges 已加入杂项费用","Over 多收: added to Cash Sales 已加入现金销售")))))</f>
        <v/>
      </c>
      <c r="H4744" t="inlineStr">
        <is>
          <t>Different 差额</t>
        </is>
      </c>
      <c r="I4744" s="6">
        <f>IF($B4733="","",ROUND(I4742-L4742,2))</f>
        <v/>
      </c>
    </row>
    <row r="4745"/>
    <row r="4746"/>
    <row r="4747">
      <c r="A4747" t="inlineStr">
        <is>
          <t>Date 日期</t>
        </is>
      </c>
      <c r="B4747" s="5">
        <f>IF('Daily Sale entry '!$A341="","",'Daily Sale entry '!$A341)</f>
        <v/>
      </c>
      <c r="H4747" t="inlineStr">
        <is>
          <t>After 调整后 (After)</t>
        </is>
      </c>
      <c r="I4747" s="5">
        <f>IF($B4747="","",B4747)</f>
        <v/>
      </c>
    </row>
    <row r="4748">
      <c r="A4748" t="inlineStr">
        <is>
          <t>Cash Sales 现金销售</t>
        </is>
      </c>
      <c r="B4748" s="6">
        <f>IF($B4747="","",'Daily Sale entry '!B341)</f>
        <v/>
      </c>
      <c r="D4748" t="inlineStr">
        <is>
          <t>c/f petty cash 今日备用金结转</t>
        </is>
      </c>
      <c r="E4748" s="6">
        <f>IF($B4747="","",'Daily Sale entry '!G341)</f>
        <v/>
      </c>
      <c r="H4748" t="inlineStr">
        <is>
          <t>Cash Sales 现金销售</t>
        </is>
      </c>
      <c r="I4748" s="6">
        <f>IF($B4747="","",IF(AND(ABS(B4758)&gt;'Opening Balance'!$B$13,B4758&lt;0),ROUND(B4748-B4758,2),B4748))</f>
        <v/>
      </c>
      <c r="K4748" t="inlineStr">
        <is>
          <t>c/f petty cash 今日备用金结转</t>
        </is>
      </c>
      <c r="L4748" s="6">
        <f>IF($B4747="","",IF(ABS(B4758)&lt;='Opening Balance'!$B$13,ROUND(E4748+B4758,2),E4748))</f>
        <v/>
      </c>
    </row>
    <row r="4749">
      <c r="A4749" t="inlineStr">
        <is>
          <t>Misc Charges 杂项费用</t>
        </is>
      </c>
      <c r="B4749" s="6">
        <f>IF($B4747="","",'Daily Sale entry '!C341)</f>
        <v/>
      </c>
      <c r="D4749" t="inlineStr">
        <is>
          <t>cash collection 现金收款</t>
        </is>
      </c>
      <c r="E4749" s="6">
        <f>IF($B4747="","",'Daily Sale entry '!H341)</f>
        <v/>
      </c>
      <c r="H4749" t="inlineStr">
        <is>
          <t>Misc Charges 杂项费用</t>
        </is>
      </c>
      <c r="I4749" s="6">
        <f>IF($B4747="","",IF(AND(ABS(B4758)&gt;'Opening Balance'!$B$13,B4758&gt;0),ROUND(B4749+B4758,2),B4749))</f>
        <v/>
      </c>
      <c r="K4749" t="inlineStr">
        <is>
          <t>cash collection 现金收款</t>
        </is>
      </c>
      <c r="L4749" s="6">
        <f>IF($B4747="","",E4749)</f>
        <v/>
      </c>
    </row>
    <row r="4750">
      <c r="A4750" s="1" t="inlineStr">
        <is>
          <t>Other Charges 其他费用</t>
        </is>
      </c>
      <c r="B4750" s="9">
        <f>IF($B4747="","",'Daily Sale entry '!D341)</f>
        <v/>
      </c>
      <c r="D4750" s="1" t="inlineStr">
        <is>
          <t>Cheque Collection 支票收款</t>
        </is>
      </c>
      <c r="E4750" s="9">
        <f>IF($B4747="","",'Daily Sale entry '!J341)</f>
        <v/>
      </c>
      <c r="H4750" s="1" t="inlineStr">
        <is>
          <t>Other Charges 其他费用</t>
        </is>
      </c>
      <c r="I4750" s="9">
        <f>IF($B4747="","",B4750)</f>
        <v/>
      </c>
      <c r="K4750" s="1" t="inlineStr">
        <is>
          <t>Cheque Collection 支票收款</t>
        </is>
      </c>
      <c r="L4750" s="9">
        <f>IF($B4747="","",E4750)</f>
        <v/>
      </c>
    </row>
    <row r="4751">
      <c r="A4751" s="10" t="inlineStr">
        <is>
          <t>Amount 金额  (Cash Sales - Misc - Other)</t>
        </is>
      </c>
      <c r="B4751" s="11">
        <f>IF($B4747="","",ROUND(B4748-B4749-B4750,2))</f>
        <v/>
      </c>
      <c r="D4751" s="12" t="inlineStr">
        <is>
          <t>TNG collection TNG收款</t>
        </is>
      </c>
      <c r="E4751" s="13">
        <f>IF($B4747="","",'Daily Sale entry '!K341)</f>
        <v/>
      </c>
      <c r="H4751" s="10" t="inlineStr">
        <is>
          <t>Amount 金额  (Cash Sales - Misc - Other)</t>
        </is>
      </c>
      <c r="I4751" s="11">
        <f>IF($B4747="","",ROUND(I4748-I4749-I4750,2))</f>
        <v/>
      </c>
      <c r="K4751" s="12" t="inlineStr">
        <is>
          <t>TNG collection TNG收款</t>
        </is>
      </c>
      <c r="L4751" s="13">
        <f>IF($B4747="","",E4751)</f>
        <v/>
      </c>
    </row>
    <row r="4752">
      <c r="A4752" t="inlineStr">
        <is>
          <t>Credit Collection 赊账收款</t>
        </is>
      </c>
      <c r="B4752" s="6">
        <f>IF($B4747="","",'Daily Sale entry '!E341)</f>
        <v/>
      </c>
      <c r="D4752" t="inlineStr">
        <is>
          <t>Advance Salary_M 预支薪水_M</t>
        </is>
      </c>
      <c r="E4752" s="6">
        <f>IF($B4747="","",'Daily Sale entry '!L341)</f>
        <v/>
      </c>
      <c r="H4752" t="inlineStr">
        <is>
          <t>Credit Collection 赊账收款</t>
        </is>
      </c>
      <c r="I4752" s="6">
        <f>IF($B4747="","",B4752)</f>
        <v/>
      </c>
      <c r="K4752" t="inlineStr">
        <is>
          <t>Advance Salary_M 预支薪水_M</t>
        </is>
      </c>
      <c r="L4752" s="6">
        <f>IF($B4747="","",E4752)</f>
        <v/>
      </c>
    </row>
    <row r="4753">
      <c r="A4753" s="10" t="inlineStr">
        <is>
          <t>Amount 2 金额2  (Amount + Credit Collection)</t>
        </is>
      </c>
      <c r="B4753" s="11">
        <f>IF($B4747="","",ROUND(B4751+B4752,2))</f>
        <v/>
      </c>
      <c r="D4753" t="inlineStr">
        <is>
          <t>Advance Salary_H 预支薪水_H</t>
        </is>
      </c>
      <c r="E4753" s="6">
        <f>IF($B4747="","",'Daily Sale entry '!M341)</f>
        <v/>
      </c>
      <c r="H4753" s="10" t="inlineStr">
        <is>
          <t>Amount 2 金额2  (Amount + Credit Collection)</t>
        </is>
      </c>
      <c r="I4753" s="11">
        <f>IF($B4747="","",ROUND(I4751+I4752,2))</f>
        <v/>
      </c>
      <c r="K4753" t="inlineStr">
        <is>
          <t>Advance Salary_H 预支薪水_H</t>
        </is>
      </c>
      <c r="L4753" s="6">
        <f>IF($B4747="","",E4753)</f>
        <v/>
      </c>
    </row>
    <row r="4754"/>
    <row r="4755">
      <c r="A4755" s="1" t="inlineStr">
        <is>
          <t>b/f petty cash 上日备用金结转</t>
        </is>
      </c>
      <c r="B4755" s="9">
        <f>IF($B4747="","",'Daily Sale entry '!F341)</f>
        <v/>
      </c>
      <c r="D4755" s="1" t="n"/>
      <c r="E4755" s="1" t="n"/>
      <c r="H4755" s="1" t="inlineStr">
        <is>
          <t>b/f petty cash 上日备用金结转</t>
        </is>
      </c>
      <c r="I4755" s="9">
        <f>IF($B4747="","",B4755)</f>
        <v/>
      </c>
      <c r="K4755" s="1" t="n"/>
      <c r="L4755" s="1" t="n"/>
    </row>
    <row r="4756">
      <c r="A4756" t="inlineStr">
        <is>
          <t>Total (A) 总计 (A)</t>
        </is>
      </c>
      <c r="B4756" s="6">
        <f>IF($B4747="","",ROUND(B4753+B4755,2))</f>
        <v/>
      </c>
      <c r="D4756" t="inlineStr">
        <is>
          <t>Total(B) 总计 (B)</t>
        </is>
      </c>
      <c r="E4756" s="6">
        <f>IF($B4747="","",ROUND(E4748+E4749+E4750+E4751+E4752+E4753,2))</f>
        <v/>
      </c>
      <c r="H4756" t="inlineStr">
        <is>
          <t>Total© 总计 (C)</t>
        </is>
      </c>
      <c r="I4756" s="6">
        <f>IF($B4747="","",ROUND(I4753+I4755,2))</f>
        <v/>
      </c>
      <c r="K4756" t="inlineStr">
        <is>
          <t>Total(D) 总计 (D)</t>
        </is>
      </c>
      <c r="L4756" s="6">
        <f>IF($B4747="","",ROUND(L4748+L4749+L4750+L4751+L4752+L4753,2))</f>
        <v/>
      </c>
    </row>
    <row r="4757">
      <c r="A4757" s="14" t="inlineStr">
        <is>
          <t>Total = Amount 2 + b/f petty cash  (金额2 + 上日备用金)</t>
        </is>
      </c>
      <c r="H4757" s="14" t="inlineStr">
        <is>
          <t>Total = Amount 2 + b/f petty cash  (金额2 + 上日备用金)</t>
        </is>
      </c>
    </row>
    <row r="4758">
      <c r="A4758" t="inlineStr">
        <is>
          <t>Different 差额</t>
        </is>
      </c>
      <c r="B4758" s="6">
        <f>IF($B4747="","",ROUND(B4756-E4756,2))</f>
        <v/>
      </c>
      <c r="D4758">
        <f>IF($B4747="","",IF(ABS(B4758)&gt;'Opening Balance'!$B$16,"ALERT 警报: Different over RM"&amp;'Opening Balance'!$B$16&amp;" 差额超过RM"&amp;'Opening Balance'!$B$16&amp;" - please check 请检查",IF(B4758=0,"Tied 平衡",IF(ABS(B4758)&lt;='Opening Balance'!$B$13,"Small difference 小额差额: adjusted on c/f petty cash 已调整备用金",IF(B4758&gt;0,"Short 短收: added to Misc Charges 已加入杂项费用","Over 多收: added to Cash Sales 已加入现金销售")))))</f>
        <v/>
      </c>
      <c r="H4758" t="inlineStr">
        <is>
          <t>Different 差额</t>
        </is>
      </c>
      <c r="I4758" s="6">
        <f>IF($B4747="","",ROUND(I4756-L4756,2))</f>
        <v/>
      </c>
    </row>
    <row r="4759"/>
    <row r="4760"/>
    <row r="4761">
      <c r="A4761" t="inlineStr">
        <is>
          <t>Date 日期</t>
        </is>
      </c>
      <c r="B4761" s="5">
        <f>IF('Daily Sale entry '!$A342="","",'Daily Sale entry '!$A342)</f>
        <v/>
      </c>
      <c r="H4761" t="inlineStr">
        <is>
          <t>After 调整后 (After)</t>
        </is>
      </c>
      <c r="I4761" s="5">
        <f>IF($B4761="","",B4761)</f>
        <v/>
      </c>
    </row>
    <row r="4762">
      <c r="A4762" t="inlineStr">
        <is>
          <t>Cash Sales 现金销售</t>
        </is>
      </c>
      <c r="B4762" s="6">
        <f>IF($B4761="","",'Daily Sale entry '!B342)</f>
        <v/>
      </c>
      <c r="D4762" t="inlineStr">
        <is>
          <t>c/f petty cash 今日备用金结转</t>
        </is>
      </c>
      <c r="E4762" s="6">
        <f>IF($B4761="","",'Daily Sale entry '!G342)</f>
        <v/>
      </c>
      <c r="H4762" t="inlineStr">
        <is>
          <t>Cash Sales 现金销售</t>
        </is>
      </c>
      <c r="I4762" s="6">
        <f>IF($B4761="","",IF(AND(ABS(B4772)&gt;'Opening Balance'!$B$13,B4772&lt;0),ROUND(B4762-B4772,2),B4762))</f>
        <v/>
      </c>
      <c r="K4762" t="inlineStr">
        <is>
          <t>c/f petty cash 今日备用金结转</t>
        </is>
      </c>
      <c r="L4762" s="6">
        <f>IF($B4761="","",IF(ABS(B4772)&lt;='Opening Balance'!$B$13,ROUND(E4762+B4772,2),E4762))</f>
        <v/>
      </c>
    </row>
    <row r="4763">
      <c r="A4763" t="inlineStr">
        <is>
          <t>Misc Charges 杂项费用</t>
        </is>
      </c>
      <c r="B4763" s="6">
        <f>IF($B4761="","",'Daily Sale entry '!C342)</f>
        <v/>
      </c>
      <c r="D4763" t="inlineStr">
        <is>
          <t>cash collection 现金收款</t>
        </is>
      </c>
      <c r="E4763" s="6">
        <f>IF($B4761="","",'Daily Sale entry '!H342)</f>
        <v/>
      </c>
      <c r="H4763" t="inlineStr">
        <is>
          <t>Misc Charges 杂项费用</t>
        </is>
      </c>
      <c r="I4763" s="6">
        <f>IF($B4761="","",IF(AND(ABS(B4772)&gt;'Opening Balance'!$B$13,B4772&gt;0),ROUND(B4763+B4772,2),B4763))</f>
        <v/>
      </c>
      <c r="K4763" t="inlineStr">
        <is>
          <t>cash collection 现金收款</t>
        </is>
      </c>
      <c r="L4763" s="6">
        <f>IF($B4761="","",E4763)</f>
        <v/>
      </c>
    </row>
    <row r="4764">
      <c r="A4764" s="1" t="inlineStr">
        <is>
          <t>Other Charges 其他费用</t>
        </is>
      </c>
      <c r="B4764" s="9">
        <f>IF($B4761="","",'Daily Sale entry '!D342)</f>
        <v/>
      </c>
      <c r="D4764" s="1" t="inlineStr">
        <is>
          <t>Cheque Collection 支票收款</t>
        </is>
      </c>
      <c r="E4764" s="9">
        <f>IF($B4761="","",'Daily Sale entry '!J342)</f>
        <v/>
      </c>
      <c r="H4764" s="1" t="inlineStr">
        <is>
          <t>Other Charges 其他费用</t>
        </is>
      </c>
      <c r="I4764" s="9">
        <f>IF($B4761="","",B4764)</f>
        <v/>
      </c>
      <c r="K4764" s="1" t="inlineStr">
        <is>
          <t>Cheque Collection 支票收款</t>
        </is>
      </c>
      <c r="L4764" s="9">
        <f>IF($B4761="","",E4764)</f>
        <v/>
      </c>
    </row>
    <row r="4765">
      <c r="A4765" s="10" t="inlineStr">
        <is>
          <t>Amount 金额  (Cash Sales - Misc - Other)</t>
        </is>
      </c>
      <c r="B4765" s="11">
        <f>IF($B4761="","",ROUND(B4762-B4763-B4764,2))</f>
        <v/>
      </c>
      <c r="D4765" s="12" t="inlineStr">
        <is>
          <t>TNG collection TNG收款</t>
        </is>
      </c>
      <c r="E4765" s="13">
        <f>IF($B4761="","",'Daily Sale entry '!K342)</f>
        <v/>
      </c>
      <c r="H4765" s="10" t="inlineStr">
        <is>
          <t>Amount 金额  (Cash Sales - Misc - Other)</t>
        </is>
      </c>
      <c r="I4765" s="11">
        <f>IF($B4761="","",ROUND(I4762-I4763-I4764,2))</f>
        <v/>
      </c>
      <c r="K4765" s="12" t="inlineStr">
        <is>
          <t>TNG collection TNG收款</t>
        </is>
      </c>
      <c r="L4765" s="13">
        <f>IF($B4761="","",E4765)</f>
        <v/>
      </c>
    </row>
    <row r="4766">
      <c r="A4766" t="inlineStr">
        <is>
          <t>Credit Collection 赊账收款</t>
        </is>
      </c>
      <c r="B4766" s="6">
        <f>IF($B4761="","",'Daily Sale entry '!E342)</f>
        <v/>
      </c>
      <c r="D4766" t="inlineStr">
        <is>
          <t>Advance Salary_M 预支薪水_M</t>
        </is>
      </c>
      <c r="E4766" s="6">
        <f>IF($B4761="","",'Daily Sale entry '!L342)</f>
        <v/>
      </c>
      <c r="H4766" t="inlineStr">
        <is>
          <t>Credit Collection 赊账收款</t>
        </is>
      </c>
      <c r="I4766" s="6">
        <f>IF($B4761="","",B4766)</f>
        <v/>
      </c>
      <c r="K4766" t="inlineStr">
        <is>
          <t>Advance Salary_M 预支薪水_M</t>
        </is>
      </c>
      <c r="L4766" s="6">
        <f>IF($B4761="","",E4766)</f>
        <v/>
      </c>
    </row>
    <row r="4767">
      <c r="A4767" s="10" t="inlineStr">
        <is>
          <t>Amount 2 金额2  (Amount + Credit Collection)</t>
        </is>
      </c>
      <c r="B4767" s="11">
        <f>IF($B4761="","",ROUND(B4765+B4766,2))</f>
        <v/>
      </c>
      <c r="D4767" t="inlineStr">
        <is>
          <t>Advance Salary_H 预支薪水_H</t>
        </is>
      </c>
      <c r="E4767" s="6">
        <f>IF($B4761="","",'Daily Sale entry '!M342)</f>
        <v/>
      </c>
      <c r="H4767" s="10" t="inlineStr">
        <is>
          <t>Amount 2 金额2  (Amount + Credit Collection)</t>
        </is>
      </c>
      <c r="I4767" s="11">
        <f>IF($B4761="","",ROUND(I4765+I4766,2))</f>
        <v/>
      </c>
      <c r="K4767" t="inlineStr">
        <is>
          <t>Advance Salary_H 预支薪水_H</t>
        </is>
      </c>
      <c r="L4767" s="6">
        <f>IF($B4761="","",E4767)</f>
        <v/>
      </c>
    </row>
    <row r="4768"/>
    <row r="4769">
      <c r="A4769" s="1" t="inlineStr">
        <is>
          <t>b/f petty cash 上日备用金结转</t>
        </is>
      </c>
      <c r="B4769" s="9">
        <f>IF($B4761="","",'Daily Sale entry '!F342)</f>
        <v/>
      </c>
      <c r="D4769" s="1" t="n"/>
      <c r="E4769" s="1" t="n"/>
      <c r="H4769" s="1" t="inlineStr">
        <is>
          <t>b/f petty cash 上日备用金结转</t>
        </is>
      </c>
      <c r="I4769" s="9">
        <f>IF($B4761="","",B4769)</f>
        <v/>
      </c>
      <c r="K4769" s="1" t="n"/>
      <c r="L4769" s="1" t="n"/>
    </row>
    <row r="4770">
      <c r="A4770" t="inlineStr">
        <is>
          <t>Total (A) 总计 (A)</t>
        </is>
      </c>
      <c r="B4770" s="6">
        <f>IF($B4761="","",ROUND(B4767+B4769,2))</f>
        <v/>
      </c>
      <c r="D4770" t="inlineStr">
        <is>
          <t>Total(B) 总计 (B)</t>
        </is>
      </c>
      <c r="E4770" s="6">
        <f>IF($B4761="","",ROUND(E4762+E4763+E4764+E4765+E4766+E4767,2))</f>
        <v/>
      </c>
      <c r="H4770" t="inlineStr">
        <is>
          <t>Total© 总计 (C)</t>
        </is>
      </c>
      <c r="I4770" s="6">
        <f>IF($B4761="","",ROUND(I4767+I4769,2))</f>
        <v/>
      </c>
      <c r="K4770" t="inlineStr">
        <is>
          <t>Total(D) 总计 (D)</t>
        </is>
      </c>
      <c r="L4770" s="6">
        <f>IF($B4761="","",ROUND(L4762+L4763+L4764+L4765+L4766+L4767,2))</f>
        <v/>
      </c>
    </row>
    <row r="4771">
      <c r="A4771" s="14" t="inlineStr">
        <is>
          <t>Total = Amount 2 + b/f petty cash  (金额2 + 上日备用金)</t>
        </is>
      </c>
      <c r="H4771" s="14" t="inlineStr">
        <is>
          <t>Total = Amount 2 + b/f petty cash  (金额2 + 上日备用金)</t>
        </is>
      </c>
    </row>
    <row r="4772">
      <c r="A4772" t="inlineStr">
        <is>
          <t>Different 差额</t>
        </is>
      </c>
      <c r="B4772" s="6">
        <f>IF($B4761="","",ROUND(B4770-E4770,2))</f>
        <v/>
      </c>
      <c r="D4772">
        <f>IF($B4761="","",IF(ABS(B4772)&gt;'Opening Balance'!$B$16,"ALERT 警报: Different over RM"&amp;'Opening Balance'!$B$16&amp;" 差额超过RM"&amp;'Opening Balance'!$B$16&amp;" - please check 请检查",IF(B4772=0,"Tied 平衡",IF(ABS(B4772)&lt;='Opening Balance'!$B$13,"Small difference 小额差额: adjusted on c/f petty cash 已调整备用金",IF(B4772&gt;0,"Short 短收: added to Misc Charges 已加入杂项费用","Over 多收: added to Cash Sales 已加入现金销售")))))</f>
        <v/>
      </c>
      <c r="H4772" t="inlineStr">
        <is>
          <t>Different 差额</t>
        </is>
      </c>
      <c r="I4772" s="6">
        <f>IF($B4761="","",ROUND(I4770-L4770,2))</f>
        <v/>
      </c>
    </row>
    <row r="4773"/>
    <row r="4774"/>
    <row r="4775">
      <c r="A4775" t="inlineStr">
        <is>
          <t>Date 日期</t>
        </is>
      </c>
      <c r="B4775" s="5">
        <f>IF('Daily Sale entry '!$A343="","",'Daily Sale entry '!$A343)</f>
        <v/>
      </c>
      <c r="H4775" t="inlineStr">
        <is>
          <t>After 调整后 (After)</t>
        </is>
      </c>
      <c r="I4775" s="5">
        <f>IF($B4775="","",B4775)</f>
        <v/>
      </c>
    </row>
    <row r="4776">
      <c r="A4776" t="inlineStr">
        <is>
          <t>Cash Sales 现金销售</t>
        </is>
      </c>
      <c r="B4776" s="6">
        <f>IF($B4775="","",'Daily Sale entry '!B343)</f>
        <v/>
      </c>
      <c r="D4776" t="inlineStr">
        <is>
          <t>c/f petty cash 今日备用金结转</t>
        </is>
      </c>
      <c r="E4776" s="6">
        <f>IF($B4775="","",'Daily Sale entry '!G343)</f>
        <v/>
      </c>
      <c r="H4776" t="inlineStr">
        <is>
          <t>Cash Sales 现金销售</t>
        </is>
      </c>
      <c r="I4776" s="6">
        <f>IF($B4775="","",IF(AND(ABS(B4786)&gt;'Opening Balance'!$B$13,B4786&lt;0),ROUND(B4776-B4786,2),B4776))</f>
        <v/>
      </c>
      <c r="K4776" t="inlineStr">
        <is>
          <t>c/f petty cash 今日备用金结转</t>
        </is>
      </c>
      <c r="L4776" s="6">
        <f>IF($B4775="","",IF(ABS(B4786)&lt;='Opening Balance'!$B$13,ROUND(E4776+B4786,2),E4776))</f>
        <v/>
      </c>
    </row>
    <row r="4777">
      <c r="A4777" t="inlineStr">
        <is>
          <t>Misc Charges 杂项费用</t>
        </is>
      </c>
      <c r="B4777" s="6">
        <f>IF($B4775="","",'Daily Sale entry '!C343)</f>
        <v/>
      </c>
      <c r="D4777" t="inlineStr">
        <is>
          <t>cash collection 现金收款</t>
        </is>
      </c>
      <c r="E4777" s="6">
        <f>IF($B4775="","",'Daily Sale entry '!H343)</f>
        <v/>
      </c>
      <c r="H4777" t="inlineStr">
        <is>
          <t>Misc Charges 杂项费用</t>
        </is>
      </c>
      <c r="I4777" s="6">
        <f>IF($B4775="","",IF(AND(ABS(B4786)&gt;'Opening Balance'!$B$13,B4786&gt;0),ROUND(B4777+B4786,2),B4777))</f>
        <v/>
      </c>
      <c r="K4777" t="inlineStr">
        <is>
          <t>cash collection 现金收款</t>
        </is>
      </c>
      <c r="L4777" s="6">
        <f>IF($B4775="","",E4777)</f>
        <v/>
      </c>
    </row>
    <row r="4778">
      <c r="A4778" s="1" t="inlineStr">
        <is>
          <t>Other Charges 其他费用</t>
        </is>
      </c>
      <c r="B4778" s="9">
        <f>IF($B4775="","",'Daily Sale entry '!D343)</f>
        <v/>
      </c>
      <c r="D4778" s="1" t="inlineStr">
        <is>
          <t>Cheque Collection 支票收款</t>
        </is>
      </c>
      <c r="E4778" s="9">
        <f>IF($B4775="","",'Daily Sale entry '!J343)</f>
        <v/>
      </c>
      <c r="H4778" s="1" t="inlineStr">
        <is>
          <t>Other Charges 其他费用</t>
        </is>
      </c>
      <c r="I4778" s="9">
        <f>IF($B4775="","",B4778)</f>
        <v/>
      </c>
      <c r="K4778" s="1" t="inlineStr">
        <is>
          <t>Cheque Collection 支票收款</t>
        </is>
      </c>
      <c r="L4778" s="9">
        <f>IF($B4775="","",E4778)</f>
        <v/>
      </c>
    </row>
    <row r="4779">
      <c r="A4779" s="10" t="inlineStr">
        <is>
          <t>Amount 金额  (Cash Sales - Misc - Other)</t>
        </is>
      </c>
      <c r="B4779" s="11">
        <f>IF($B4775="","",ROUND(B4776-B4777-B4778,2))</f>
        <v/>
      </c>
      <c r="D4779" s="12" t="inlineStr">
        <is>
          <t>TNG collection TNG收款</t>
        </is>
      </c>
      <c r="E4779" s="13">
        <f>IF($B4775="","",'Daily Sale entry '!K343)</f>
        <v/>
      </c>
      <c r="H4779" s="10" t="inlineStr">
        <is>
          <t>Amount 金额  (Cash Sales - Misc - Other)</t>
        </is>
      </c>
      <c r="I4779" s="11">
        <f>IF($B4775="","",ROUND(I4776-I4777-I4778,2))</f>
        <v/>
      </c>
      <c r="K4779" s="12" t="inlineStr">
        <is>
          <t>TNG collection TNG收款</t>
        </is>
      </c>
      <c r="L4779" s="13">
        <f>IF($B4775="","",E4779)</f>
        <v/>
      </c>
    </row>
    <row r="4780">
      <c r="A4780" t="inlineStr">
        <is>
          <t>Credit Collection 赊账收款</t>
        </is>
      </c>
      <c r="B4780" s="6">
        <f>IF($B4775="","",'Daily Sale entry '!E343)</f>
        <v/>
      </c>
      <c r="D4780" t="inlineStr">
        <is>
          <t>Advance Salary_M 预支薪水_M</t>
        </is>
      </c>
      <c r="E4780" s="6">
        <f>IF($B4775="","",'Daily Sale entry '!L343)</f>
        <v/>
      </c>
      <c r="H4780" t="inlineStr">
        <is>
          <t>Credit Collection 赊账收款</t>
        </is>
      </c>
      <c r="I4780" s="6">
        <f>IF($B4775="","",B4780)</f>
        <v/>
      </c>
      <c r="K4780" t="inlineStr">
        <is>
          <t>Advance Salary_M 预支薪水_M</t>
        </is>
      </c>
      <c r="L4780" s="6">
        <f>IF($B4775="","",E4780)</f>
        <v/>
      </c>
    </row>
    <row r="4781">
      <c r="A4781" s="10" t="inlineStr">
        <is>
          <t>Amount 2 金额2  (Amount + Credit Collection)</t>
        </is>
      </c>
      <c r="B4781" s="11">
        <f>IF($B4775="","",ROUND(B4779+B4780,2))</f>
        <v/>
      </c>
      <c r="D4781" t="inlineStr">
        <is>
          <t>Advance Salary_H 预支薪水_H</t>
        </is>
      </c>
      <c r="E4781" s="6">
        <f>IF($B4775="","",'Daily Sale entry '!M343)</f>
        <v/>
      </c>
      <c r="H4781" s="10" t="inlineStr">
        <is>
          <t>Amount 2 金额2  (Amount + Credit Collection)</t>
        </is>
      </c>
      <c r="I4781" s="11">
        <f>IF($B4775="","",ROUND(I4779+I4780,2))</f>
        <v/>
      </c>
      <c r="K4781" t="inlineStr">
        <is>
          <t>Advance Salary_H 预支薪水_H</t>
        </is>
      </c>
      <c r="L4781" s="6">
        <f>IF($B4775="","",E4781)</f>
        <v/>
      </c>
    </row>
    <row r="4782"/>
    <row r="4783">
      <c r="A4783" s="1" t="inlineStr">
        <is>
          <t>b/f petty cash 上日备用金结转</t>
        </is>
      </c>
      <c r="B4783" s="9">
        <f>IF($B4775="","",'Daily Sale entry '!F343)</f>
        <v/>
      </c>
      <c r="D4783" s="1" t="n"/>
      <c r="E4783" s="1" t="n"/>
      <c r="H4783" s="1" t="inlineStr">
        <is>
          <t>b/f petty cash 上日备用金结转</t>
        </is>
      </c>
      <c r="I4783" s="9">
        <f>IF($B4775="","",B4783)</f>
        <v/>
      </c>
      <c r="K4783" s="1" t="n"/>
      <c r="L4783" s="1" t="n"/>
    </row>
    <row r="4784">
      <c r="A4784" t="inlineStr">
        <is>
          <t>Total (A) 总计 (A)</t>
        </is>
      </c>
      <c r="B4784" s="6">
        <f>IF($B4775="","",ROUND(B4781+B4783,2))</f>
        <v/>
      </c>
      <c r="D4784" t="inlineStr">
        <is>
          <t>Total(B) 总计 (B)</t>
        </is>
      </c>
      <c r="E4784" s="6">
        <f>IF($B4775="","",ROUND(E4776+E4777+E4778+E4779+E4780+E4781,2))</f>
        <v/>
      </c>
      <c r="H4784" t="inlineStr">
        <is>
          <t>Total© 总计 (C)</t>
        </is>
      </c>
      <c r="I4784" s="6">
        <f>IF($B4775="","",ROUND(I4781+I4783,2))</f>
        <v/>
      </c>
      <c r="K4784" t="inlineStr">
        <is>
          <t>Total(D) 总计 (D)</t>
        </is>
      </c>
      <c r="L4784" s="6">
        <f>IF($B4775="","",ROUND(L4776+L4777+L4778+L4779+L4780+L4781,2))</f>
        <v/>
      </c>
    </row>
    <row r="4785">
      <c r="A4785" s="14" t="inlineStr">
        <is>
          <t>Total = Amount 2 + b/f petty cash  (金额2 + 上日备用金)</t>
        </is>
      </c>
      <c r="H4785" s="14" t="inlineStr">
        <is>
          <t>Total = Amount 2 + b/f petty cash  (金额2 + 上日备用金)</t>
        </is>
      </c>
    </row>
    <row r="4786">
      <c r="A4786" t="inlineStr">
        <is>
          <t>Different 差额</t>
        </is>
      </c>
      <c r="B4786" s="6">
        <f>IF($B4775="","",ROUND(B4784-E4784,2))</f>
        <v/>
      </c>
      <c r="D4786">
        <f>IF($B4775="","",IF(ABS(B4786)&gt;'Opening Balance'!$B$16,"ALERT 警报: Different over RM"&amp;'Opening Balance'!$B$16&amp;" 差额超过RM"&amp;'Opening Balance'!$B$16&amp;" - please check 请检查",IF(B4786=0,"Tied 平衡",IF(ABS(B4786)&lt;='Opening Balance'!$B$13,"Small difference 小额差额: adjusted on c/f petty cash 已调整备用金",IF(B4786&gt;0,"Short 短收: added to Misc Charges 已加入杂项费用","Over 多收: added to Cash Sales 已加入现金销售")))))</f>
        <v/>
      </c>
      <c r="H4786" t="inlineStr">
        <is>
          <t>Different 差额</t>
        </is>
      </c>
      <c r="I4786" s="6">
        <f>IF($B4775="","",ROUND(I4784-L4784,2))</f>
        <v/>
      </c>
    </row>
    <row r="4787"/>
    <row r="4788"/>
    <row r="4789">
      <c r="A4789" t="inlineStr">
        <is>
          <t>Date 日期</t>
        </is>
      </c>
      <c r="B4789" s="5">
        <f>IF('Daily Sale entry '!$A344="","",'Daily Sale entry '!$A344)</f>
        <v/>
      </c>
      <c r="H4789" t="inlineStr">
        <is>
          <t>After 调整后 (After)</t>
        </is>
      </c>
      <c r="I4789" s="5">
        <f>IF($B4789="","",B4789)</f>
        <v/>
      </c>
    </row>
    <row r="4790">
      <c r="A4790" t="inlineStr">
        <is>
          <t>Cash Sales 现金销售</t>
        </is>
      </c>
      <c r="B4790" s="6">
        <f>IF($B4789="","",'Daily Sale entry '!B344)</f>
        <v/>
      </c>
      <c r="D4790" t="inlineStr">
        <is>
          <t>c/f petty cash 今日备用金结转</t>
        </is>
      </c>
      <c r="E4790" s="6">
        <f>IF($B4789="","",'Daily Sale entry '!G344)</f>
        <v/>
      </c>
      <c r="H4790" t="inlineStr">
        <is>
          <t>Cash Sales 现金销售</t>
        </is>
      </c>
      <c r="I4790" s="6">
        <f>IF($B4789="","",IF(AND(ABS(B4800)&gt;'Opening Balance'!$B$13,B4800&lt;0),ROUND(B4790-B4800,2),B4790))</f>
        <v/>
      </c>
      <c r="K4790" t="inlineStr">
        <is>
          <t>c/f petty cash 今日备用金结转</t>
        </is>
      </c>
      <c r="L4790" s="6">
        <f>IF($B4789="","",IF(ABS(B4800)&lt;='Opening Balance'!$B$13,ROUND(E4790+B4800,2),E4790))</f>
        <v/>
      </c>
    </row>
    <row r="4791">
      <c r="A4791" t="inlineStr">
        <is>
          <t>Misc Charges 杂项费用</t>
        </is>
      </c>
      <c r="B4791" s="6">
        <f>IF($B4789="","",'Daily Sale entry '!C344)</f>
        <v/>
      </c>
      <c r="D4791" t="inlineStr">
        <is>
          <t>cash collection 现金收款</t>
        </is>
      </c>
      <c r="E4791" s="6">
        <f>IF($B4789="","",'Daily Sale entry '!H344)</f>
        <v/>
      </c>
      <c r="H4791" t="inlineStr">
        <is>
          <t>Misc Charges 杂项费用</t>
        </is>
      </c>
      <c r="I4791" s="6">
        <f>IF($B4789="","",IF(AND(ABS(B4800)&gt;'Opening Balance'!$B$13,B4800&gt;0),ROUND(B4791+B4800,2),B4791))</f>
        <v/>
      </c>
      <c r="K4791" t="inlineStr">
        <is>
          <t>cash collection 现金收款</t>
        </is>
      </c>
      <c r="L4791" s="6">
        <f>IF($B4789="","",E4791)</f>
        <v/>
      </c>
    </row>
    <row r="4792">
      <c r="A4792" s="1" t="inlineStr">
        <is>
          <t>Other Charges 其他费用</t>
        </is>
      </c>
      <c r="B4792" s="9">
        <f>IF($B4789="","",'Daily Sale entry '!D344)</f>
        <v/>
      </c>
      <c r="D4792" s="1" t="inlineStr">
        <is>
          <t>Cheque Collection 支票收款</t>
        </is>
      </c>
      <c r="E4792" s="9">
        <f>IF($B4789="","",'Daily Sale entry '!J344)</f>
        <v/>
      </c>
      <c r="H4792" s="1" t="inlineStr">
        <is>
          <t>Other Charges 其他费用</t>
        </is>
      </c>
      <c r="I4792" s="9">
        <f>IF($B4789="","",B4792)</f>
        <v/>
      </c>
      <c r="K4792" s="1" t="inlineStr">
        <is>
          <t>Cheque Collection 支票收款</t>
        </is>
      </c>
      <c r="L4792" s="9">
        <f>IF($B4789="","",E4792)</f>
        <v/>
      </c>
    </row>
    <row r="4793">
      <c r="A4793" s="10" t="inlineStr">
        <is>
          <t>Amount 金额  (Cash Sales - Misc - Other)</t>
        </is>
      </c>
      <c r="B4793" s="11">
        <f>IF($B4789="","",ROUND(B4790-B4791-B4792,2))</f>
        <v/>
      </c>
      <c r="D4793" s="12" t="inlineStr">
        <is>
          <t>TNG collection TNG收款</t>
        </is>
      </c>
      <c r="E4793" s="13">
        <f>IF($B4789="","",'Daily Sale entry '!K344)</f>
        <v/>
      </c>
      <c r="H4793" s="10" t="inlineStr">
        <is>
          <t>Amount 金额  (Cash Sales - Misc - Other)</t>
        </is>
      </c>
      <c r="I4793" s="11">
        <f>IF($B4789="","",ROUND(I4790-I4791-I4792,2))</f>
        <v/>
      </c>
      <c r="K4793" s="12" t="inlineStr">
        <is>
          <t>TNG collection TNG收款</t>
        </is>
      </c>
      <c r="L4793" s="13">
        <f>IF($B4789="","",E4793)</f>
        <v/>
      </c>
    </row>
    <row r="4794">
      <c r="A4794" t="inlineStr">
        <is>
          <t>Credit Collection 赊账收款</t>
        </is>
      </c>
      <c r="B4794" s="6">
        <f>IF($B4789="","",'Daily Sale entry '!E344)</f>
        <v/>
      </c>
      <c r="D4794" t="inlineStr">
        <is>
          <t>Advance Salary_M 预支薪水_M</t>
        </is>
      </c>
      <c r="E4794" s="6">
        <f>IF($B4789="","",'Daily Sale entry '!L344)</f>
        <v/>
      </c>
      <c r="H4794" t="inlineStr">
        <is>
          <t>Credit Collection 赊账收款</t>
        </is>
      </c>
      <c r="I4794" s="6">
        <f>IF($B4789="","",B4794)</f>
        <v/>
      </c>
      <c r="K4794" t="inlineStr">
        <is>
          <t>Advance Salary_M 预支薪水_M</t>
        </is>
      </c>
      <c r="L4794" s="6">
        <f>IF($B4789="","",E4794)</f>
        <v/>
      </c>
    </row>
    <row r="4795">
      <c r="A4795" s="10" t="inlineStr">
        <is>
          <t>Amount 2 金额2  (Amount + Credit Collection)</t>
        </is>
      </c>
      <c r="B4795" s="11">
        <f>IF($B4789="","",ROUND(B4793+B4794,2))</f>
        <v/>
      </c>
      <c r="D4795" t="inlineStr">
        <is>
          <t>Advance Salary_H 预支薪水_H</t>
        </is>
      </c>
      <c r="E4795" s="6">
        <f>IF($B4789="","",'Daily Sale entry '!M344)</f>
        <v/>
      </c>
      <c r="H4795" s="10" t="inlineStr">
        <is>
          <t>Amount 2 金额2  (Amount + Credit Collection)</t>
        </is>
      </c>
      <c r="I4795" s="11">
        <f>IF($B4789="","",ROUND(I4793+I4794,2))</f>
        <v/>
      </c>
      <c r="K4795" t="inlineStr">
        <is>
          <t>Advance Salary_H 预支薪水_H</t>
        </is>
      </c>
      <c r="L4795" s="6">
        <f>IF($B4789="","",E4795)</f>
        <v/>
      </c>
    </row>
    <row r="4796"/>
    <row r="4797">
      <c r="A4797" s="1" t="inlineStr">
        <is>
          <t>b/f petty cash 上日备用金结转</t>
        </is>
      </c>
      <c r="B4797" s="9">
        <f>IF($B4789="","",'Daily Sale entry '!F344)</f>
        <v/>
      </c>
      <c r="D4797" s="1" t="n"/>
      <c r="E4797" s="1" t="n"/>
      <c r="H4797" s="1" t="inlineStr">
        <is>
          <t>b/f petty cash 上日备用金结转</t>
        </is>
      </c>
      <c r="I4797" s="9">
        <f>IF($B4789="","",B4797)</f>
        <v/>
      </c>
      <c r="K4797" s="1" t="n"/>
      <c r="L4797" s="1" t="n"/>
    </row>
    <row r="4798">
      <c r="A4798" t="inlineStr">
        <is>
          <t>Total (A) 总计 (A)</t>
        </is>
      </c>
      <c r="B4798" s="6">
        <f>IF($B4789="","",ROUND(B4795+B4797,2))</f>
        <v/>
      </c>
      <c r="D4798" t="inlineStr">
        <is>
          <t>Total(B) 总计 (B)</t>
        </is>
      </c>
      <c r="E4798" s="6">
        <f>IF($B4789="","",ROUND(E4790+E4791+E4792+E4793+E4794+E4795,2))</f>
        <v/>
      </c>
      <c r="H4798" t="inlineStr">
        <is>
          <t>Total© 总计 (C)</t>
        </is>
      </c>
      <c r="I4798" s="6">
        <f>IF($B4789="","",ROUND(I4795+I4797,2))</f>
        <v/>
      </c>
      <c r="K4798" t="inlineStr">
        <is>
          <t>Total(D) 总计 (D)</t>
        </is>
      </c>
      <c r="L4798" s="6">
        <f>IF($B4789="","",ROUND(L4790+L4791+L4792+L4793+L4794+L4795,2))</f>
        <v/>
      </c>
    </row>
    <row r="4799">
      <c r="A4799" s="14" t="inlineStr">
        <is>
          <t>Total = Amount 2 + b/f petty cash  (金额2 + 上日备用金)</t>
        </is>
      </c>
      <c r="H4799" s="14" t="inlineStr">
        <is>
          <t>Total = Amount 2 + b/f petty cash  (金额2 + 上日备用金)</t>
        </is>
      </c>
    </row>
    <row r="4800">
      <c r="A4800" t="inlineStr">
        <is>
          <t>Different 差额</t>
        </is>
      </c>
      <c r="B4800" s="6">
        <f>IF($B4789="","",ROUND(B4798-E4798,2))</f>
        <v/>
      </c>
      <c r="D4800">
        <f>IF($B4789="","",IF(ABS(B4800)&gt;'Opening Balance'!$B$16,"ALERT 警报: Different over RM"&amp;'Opening Balance'!$B$16&amp;" 差额超过RM"&amp;'Opening Balance'!$B$16&amp;" - please check 请检查",IF(B4800=0,"Tied 平衡",IF(ABS(B4800)&lt;='Opening Balance'!$B$13,"Small difference 小额差额: adjusted on c/f petty cash 已调整备用金",IF(B4800&gt;0,"Short 短收: added to Misc Charges 已加入杂项费用","Over 多收: added to Cash Sales 已加入现金销售")))))</f>
        <v/>
      </c>
      <c r="H4800" t="inlineStr">
        <is>
          <t>Different 差额</t>
        </is>
      </c>
      <c r="I4800" s="6">
        <f>IF($B4789="","",ROUND(I4798-L4798,2))</f>
        <v/>
      </c>
    </row>
    <row r="4801"/>
    <row r="4802"/>
    <row r="4803">
      <c r="A4803" t="inlineStr">
        <is>
          <t>Date 日期</t>
        </is>
      </c>
      <c r="B4803" s="5">
        <f>IF('Daily Sale entry '!$A345="","",'Daily Sale entry '!$A345)</f>
        <v/>
      </c>
      <c r="H4803" t="inlineStr">
        <is>
          <t>After 调整后 (After)</t>
        </is>
      </c>
      <c r="I4803" s="5">
        <f>IF($B4803="","",B4803)</f>
        <v/>
      </c>
    </row>
    <row r="4804">
      <c r="A4804" t="inlineStr">
        <is>
          <t>Cash Sales 现金销售</t>
        </is>
      </c>
      <c r="B4804" s="6">
        <f>IF($B4803="","",'Daily Sale entry '!B345)</f>
        <v/>
      </c>
      <c r="D4804" t="inlineStr">
        <is>
          <t>c/f petty cash 今日备用金结转</t>
        </is>
      </c>
      <c r="E4804" s="6">
        <f>IF($B4803="","",'Daily Sale entry '!G345)</f>
        <v/>
      </c>
      <c r="H4804" t="inlineStr">
        <is>
          <t>Cash Sales 现金销售</t>
        </is>
      </c>
      <c r="I4804" s="6">
        <f>IF($B4803="","",IF(AND(ABS(B4814)&gt;'Opening Balance'!$B$13,B4814&lt;0),ROUND(B4804-B4814,2),B4804))</f>
        <v/>
      </c>
      <c r="K4804" t="inlineStr">
        <is>
          <t>c/f petty cash 今日备用金结转</t>
        </is>
      </c>
      <c r="L4804" s="6">
        <f>IF($B4803="","",IF(ABS(B4814)&lt;='Opening Balance'!$B$13,ROUND(E4804+B4814,2),E4804))</f>
        <v/>
      </c>
    </row>
    <row r="4805">
      <c r="A4805" t="inlineStr">
        <is>
          <t>Misc Charges 杂项费用</t>
        </is>
      </c>
      <c r="B4805" s="6">
        <f>IF($B4803="","",'Daily Sale entry '!C345)</f>
        <v/>
      </c>
      <c r="D4805" t="inlineStr">
        <is>
          <t>cash collection 现金收款</t>
        </is>
      </c>
      <c r="E4805" s="6">
        <f>IF($B4803="","",'Daily Sale entry '!H345)</f>
        <v/>
      </c>
      <c r="H4805" t="inlineStr">
        <is>
          <t>Misc Charges 杂项费用</t>
        </is>
      </c>
      <c r="I4805" s="6">
        <f>IF($B4803="","",IF(AND(ABS(B4814)&gt;'Opening Balance'!$B$13,B4814&gt;0),ROUND(B4805+B4814,2),B4805))</f>
        <v/>
      </c>
      <c r="K4805" t="inlineStr">
        <is>
          <t>cash collection 现金收款</t>
        </is>
      </c>
      <c r="L4805" s="6">
        <f>IF($B4803="","",E4805)</f>
        <v/>
      </c>
    </row>
    <row r="4806">
      <c r="A4806" s="1" t="inlineStr">
        <is>
          <t>Other Charges 其他费用</t>
        </is>
      </c>
      <c r="B4806" s="9">
        <f>IF($B4803="","",'Daily Sale entry '!D345)</f>
        <v/>
      </c>
      <c r="D4806" s="1" t="inlineStr">
        <is>
          <t>Cheque Collection 支票收款</t>
        </is>
      </c>
      <c r="E4806" s="9">
        <f>IF($B4803="","",'Daily Sale entry '!J345)</f>
        <v/>
      </c>
      <c r="H4806" s="1" t="inlineStr">
        <is>
          <t>Other Charges 其他费用</t>
        </is>
      </c>
      <c r="I4806" s="9">
        <f>IF($B4803="","",B4806)</f>
        <v/>
      </c>
      <c r="K4806" s="1" t="inlineStr">
        <is>
          <t>Cheque Collection 支票收款</t>
        </is>
      </c>
      <c r="L4806" s="9">
        <f>IF($B4803="","",E4806)</f>
        <v/>
      </c>
    </row>
    <row r="4807">
      <c r="A4807" s="10" t="inlineStr">
        <is>
          <t>Amount 金额  (Cash Sales - Misc - Other)</t>
        </is>
      </c>
      <c r="B4807" s="11">
        <f>IF($B4803="","",ROUND(B4804-B4805-B4806,2))</f>
        <v/>
      </c>
      <c r="D4807" s="12" t="inlineStr">
        <is>
          <t>TNG collection TNG收款</t>
        </is>
      </c>
      <c r="E4807" s="13">
        <f>IF($B4803="","",'Daily Sale entry '!K345)</f>
        <v/>
      </c>
      <c r="H4807" s="10" t="inlineStr">
        <is>
          <t>Amount 金额  (Cash Sales - Misc - Other)</t>
        </is>
      </c>
      <c r="I4807" s="11">
        <f>IF($B4803="","",ROUND(I4804-I4805-I4806,2))</f>
        <v/>
      </c>
      <c r="K4807" s="12" t="inlineStr">
        <is>
          <t>TNG collection TNG收款</t>
        </is>
      </c>
      <c r="L4807" s="13">
        <f>IF($B4803="","",E4807)</f>
        <v/>
      </c>
    </row>
    <row r="4808">
      <c r="A4808" t="inlineStr">
        <is>
          <t>Credit Collection 赊账收款</t>
        </is>
      </c>
      <c r="B4808" s="6">
        <f>IF($B4803="","",'Daily Sale entry '!E345)</f>
        <v/>
      </c>
      <c r="D4808" t="inlineStr">
        <is>
          <t>Advance Salary_M 预支薪水_M</t>
        </is>
      </c>
      <c r="E4808" s="6">
        <f>IF($B4803="","",'Daily Sale entry '!L345)</f>
        <v/>
      </c>
      <c r="H4808" t="inlineStr">
        <is>
          <t>Credit Collection 赊账收款</t>
        </is>
      </c>
      <c r="I4808" s="6">
        <f>IF($B4803="","",B4808)</f>
        <v/>
      </c>
      <c r="K4808" t="inlineStr">
        <is>
          <t>Advance Salary_M 预支薪水_M</t>
        </is>
      </c>
      <c r="L4808" s="6">
        <f>IF($B4803="","",E4808)</f>
        <v/>
      </c>
    </row>
    <row r="4809">
      <c r="A4809" s="10" t="inlineStr">
        <is>
          <t>Amount 2 金额2  (Amount + Credit Collection)</t>
        </is>
      </c>
      <c r="B4809" s="11">
        <f>IF($B4803="","",ROUND(B4807+B4808,2))</f>
        <v/>
      </c>
      <c r="D4809" t="inlineStr">
        <is>
          <t>Advance Salary_H 预支薪水_H</t>
        </is>
      </c>
      <c r="E4809" s="6">
        <f>IF($B4803="","",'Daily Sale entry '!M345)</f>
        <v/>
      </c>
      <c r="H4809" s="10" t="inlineStr">
        <is>
          <t>Amount 2 金额2  (Amount + Credit Collection)</t>
        </is>
      </c>
      <c r="I4809" s="11">
        <f>IF($B4803="","",ROUND(I4807+I4808,2))</f>
        <v/>
      </c>
      <c r="K4809" t="inlineStr">
        <is>
          <t>Advance Salary_H 预支薪水_H</t>
        </is>
      </c>
      <c r="L4809" s="6">
        <f>IF($B4803="","",E4809)</f>
        <v/>
      </c>
    </row>
    <row r="4810"/>
    <row r="4811">
      <c r="A4811" s="1" t="inlineStr">
        <is>
          <t>b/f petty cash 上日备用金结转</t>
        </is>
      </c>
      <c r="B4811" s="9">
        <f>IF($B4803="","",'Daily Sale entry '!F345)</f>
        <v/>
      </c>
      <c r="D4811" s="1" t="n"/>
      <c r="E4811" s="1" t="n"/>
      <c r="H4811" s="1" t="inlineStr">
        <is>
          <t>b/f petty cash 上日备用金结转</t>
        </is>
      </c>
      <c r="I4811" s="9">
        <f>IF($B4803="","",B4811)</f>
        <v/>
      </c>
      <c r="K4811" s="1" t="n"/>
      <c r="L4811" s="1" t="n"/>
    </row>
    <row r="4812">
      <c r="A4812" t="inlineStr">
        <is>
          <t>Total (A) 总计 (A)</t>
        </is>
      </c>
      <c r="B4812" s="6">
        <f>IF($B4803="","",ROUND(B4809+B4811,2))</f>
        <v/>
      </c>
      <c r="D4812" t="inlineStr">
        <is>
          <t>Total(B) 总计 (B)</t>
        </is>
      </c>
      <c r="E4812" s="6">
        <f>IF($B4803="","",ROUND(E4804+E4805+E4806+E4807+E4808+E4809,2))</f>
        <v/>
      </c>
      <c r="H4812" t="inlineStr">
        <is>
          <t>Total© 总计 (C)</t>
        </is>
      </c>
      <c r="I4812" s="6">
        <f>IF($B4803="","",ROUND(I4809+I4811,2))</f>
        <v/>
      </c>
      <c r="K4812" t="inlineStr">
        <is>
          <t>Total(D) 总计 (D)</t>
        </is>
      </c>
      <c r="L4812" s="6">
        <f>IF($B4803="","",ROUND(L4804+L4805+L4806+L4807+L4808+L4809,2))</f>
        <v/>
      </c>
    </row>
    <row r="4813">
      <c r="A4813" s="14" t="inlineStr">
        <is>
          <t>Total = Amount 2 + b/f petty cash  (金额2 + 上日备用金)</t>
        </is>
      </c>
      <c r="H4813" s="14" t="inlineStr">
        <is>
          <t>Total = Amount 2 + b/f petty cash  (金额2 + 上日备用金)</t>
        </is>
      </c>
    </row>
    <row r="4814">
      <c r="A4814" t="inlineStr">
        <is>
          <t>Different 差额</t>
        </is>
      </c>
      <c r="B4814" s="6">
        <f>IF($B4803="","",ROUND(B4812-E4812,2))</f>
        <v/>
      </c>
      <c r="D4814">
        <f>IF($B4803="","",IF(ABS(B4814)&gt;'Opening Balance'!$B$16,"ALERT 警报: Different over RM"&amp;'Opening Balance'!$B$16&amp;" 差额超过RM"&amp;'Opening Balance'!$B$16&amp;" - please check 请检查",IF(B4814=0,"Tied 平衡",IF(ABS(B4814)&lt;='Opening Balance'!$B$13,"Small difference 小额差额: adjusted on c/f petty cash 已调整备用金",IF(B4814&gt;0,"Short 短收: added to Misc Charges 已加入杂项费用","Over 多收: added to Cash Sales 已加入现金销售")))))</f>
        <v/>
      </c>
      <c r="H4814" t="inlineStr">
        <is>
          <t>Different 差额</t>
        </is>
      </c>
      <c r="I4814" s="6">
        <f>IF($B4803="","",ROUND(I4812-L4812,2))</f>
        <v/>
      </c>
    </row>
    <row r="4815"/>
    <row r="4816"/>
    <row r="4817">
      <c r="A4817" t="inlineStr">
        <is>
          <t>Date 日期</t>
        </is>
      </c>
      <c r="B4817" s="5">
        <f>IF('Daily Sale entry '!$A346="","",'Daily Sale entry '!$A346)</f>
        <v/>
      </c>
      <c r="H4817" t="inlineStr">
        <is>
          <t>After 调整后 (After)</t>
        </is>
      </c>
      <c r="I4817" s="5">
        <f>IF($B4817="","",B4817)</f>
        <v/>
      </c>
    </row>
    <row r="4818">
      <c r="A4818" t="inlineStr">
        <is>
          <t>Cash Sales 现金销售</t>
        </is>
      </c>
      <c r="B4818" s="6">
        <f>IF($B4817="","",'Daily Sale entry '!B346)</f>
        <v/>
      </c>
      <c r="D4818" t="inlineStr">
        <is>
          <t>c/f petty cash 今日备用金结转</t>
        </is>
      </c>
      <c r="E4818" s="6">
        <f>IF($B4817="","",'Daily Sale entry '!G346)</f>
        <v/>
      </c>
      <c r="H4818" t="inlineStr">
        <is>
          <t>Cash Sales 现金销售</t>
        </is>
      </c>
      <c r="I4818" s="6">
        <f>IF($B4817="","",IF(AND(ABS(B4828)&gt;'Opening Balance'!$B$13,B4828&lt;0),ROUND(B4818-B4828,2),B4818))</f>
        <v/>
      </c>
      <c r="K4818" t="inlineStr">
        <is>
          <t>c/f petty cash 今日备用金结转</t>
        </is>
      </c>
      <c r="L4818" s="6">
        <f>IF($B4817="","",IF(ABS(B4828)&lt;='Opening Balance'!$B$13,ROUND(E4818+B4828,2),E4818))</f>
        <v/>
      </c>
    </row>
    <row r="4819">
      <c r="A4819" t="inlineStr">
        <is>
          <t>Misc Charges 杂项费用</t>
        </is>
      </c>
      <c r="B4819" s="6">
        <f>IF($B4817="","",'Daily Sale entry '!C346)</f>
        <v/>
      </c>
      <c r="D4819" t="inlineStr">
        <is>
          <t>cash collection 现金收款</t>
        </is>
      </c>
      <c r="E4819" s="6">
        <f>IF($B4817="","",'Daily Sale entry '!H346)</f>
        <v/>
      </c>
      <c r="H4819" t="inlineStr">
        <is>
          <t>Misc Charges 杂项费用</t>
        </is>
      </c>
      <c r="I4819" s="6">
        <f>IF($B4817="","",IF(AND(ABS(B4828)&gt;'Opening Balance'!$B$13,B4828&gt;0),ROUND(B4819+B4828,2),B4819))</f>
        <v/>
      </c>
      <c r="K4819" t="inlineStr">
        <is>
          <t>cash collection 现金收款</t>
        </is>
      </c>
      <c r="L4819" s="6">
        <f>IF($B4817="","",E4819)</f>
        <v/>
      </c>
    </row>
    <row r="4820">
      <c r="A4820" s="1" t="inlineStr">
        <is>
          <t>Other Charges 其他费用</t>
        </is>
      </c>
      <c r="B4820" s="9">
        <f>IF($B4817="","",'Daily Sale entry '!D346)</f>
        <v/>
      </c>
      <c r="D4820" s="1" t="inlineStr">
        <is>
          <t>Cheque Collection 支票收款</t>
        </is>
      </c>
      <c r="E4820" s="9">
        <f>IF($B4817="","",'Daily Sale entry '!J346)</f>
        <v/>
      </c>
      <c r="H4820" s="1" t="inlineStr">
        <is>
          <t>Other Charges 其他费用</t>
        </is>
      </c>
      <c r="I4820" s="9">
        <f>IF($B4817="","",B4820)</f>
        <v/>
      </c>
      <c r="K4820" s="1" t="inlineStr">
        <is>
          <t>Cheque Collection 支票收款</t>
        </is>
      </c>
      <c r="L4820" s="9">
        <f>IF($B4817="","",E4820)</f>
        <v/>
      </c>
    </row>
    <row r="4821">
      <c r="A4821" s="10" t="inlineStr">
        <is>
          <t>Amount 金额  (Cash Sales - Misc - Other)</t>
        </is>
      </c>
      <c r="B4821" s="11">
        <f>IF($B4817="","",ROUND(B4818-B4819-B4820,2))</f>
        <v/>
      </c>
      <c r="D4821" s="12" t="inlineStr">
        <is>
          <t>TNG collection TNG收款</t>
        </is>
      </c>
      <c r="E4821" s="13">
        <f>IF($B4817="","",'Daily Sale entry '!K346)</f>
        <v/>
      </c>
      <c r="H4821" s="10" t="inlineStr">
        <is>
          <t>Amount 金额  (Cash Sales - Misc - Other)</t>
        </is>
      </c>
      <c r="I4821" s="11">
        <f>IF($B4817="","",ROUND(I4818-I4819-I4820,2))</f>
        <v/>
      </c>
      <c r="K4821" s="12" t="inlineStr">
        <is>
          <t>TNG collection TNG收款</t>
        </is>
      </c>
      <c r="L4821" s="13">
        <f>IF($B4817="","",E4821)</f>
        <v/>
      </c>
    </row>
    <row r="4822">
      <c r="A4822" t="inlineStr">
        <is>
          <t>Credit Collection 赊账收款</t>
        </is>
      </c>
      <c r="B4822" s="6">
        <f>IF($B4817="","",'Daily Sale entry '!E346)</f>
        <v/>
      </c>
      <c r="D4822" t="inlineStr">
        <is>
          <t>Advance Salary_M 预支薪水_M</t>
        </is>
      </c>
      <c r="E4822" s="6">
        <f>IF($B4817="","",'Daily Sale entry '!L346)</f>
        <v/>
      </c>
      <c r="H4822" t="inlineStr">
        <is>
          <t>Credit Collection 赊账收款</t>
        </is>
      </c>
      <c r="I4822" s="6">
        <f>IF($B4817="","",B4822)</f>
        <v/>
      </c>
      <c r="K4822" t="inlineStr">
        <is>
          <t>Advance Salary_M 预支薪水_M</t>
        </is>
      </c>
      <c r="L4822" s="6">
        <f>IF($B4817="","",E4822)</f>
        <v/>
      </c>
    </row>
    <row r="4823">
      <c r="A4823" s="10" t="inlineStr">
        <is>
          <t>Amount 2 金额2  (Amount + Credit Collection)</t>
        </is>
      </c>
      <c r="B4823" s="11">
        <f>IF($B4817="","",ROUND(B4821+B4822,2))</f>
        <v/>
      </c>
      <c r="D4823" t="inlineStr">
        <is>
          <t>Advance Salary_H 预支薪水_H</t>
        </is>
      </c>
      <c r="E4823" s="6">
        <f>IF($B4817="","",'Daily Sale entry '!M346)</f>
        <v/>
      </c>
      <c r="H4823" s="10" t="inlineStr">
        <is>
          <t>Amount 2 金额2  (Amount + Credit Collection)</t>
        </is>
      </c>
      <c r="I4823" s="11">
        <f>IF($B4817="","",ROUND(I4821+I4822,2))</f>
        <v/>
      </c>
      <c r="K4823" t="inlineStr">
        <is>
          <t>Advance Salary_H 预支薪水_H</t>
        </is>
      </c>
      <c r="L4823" s="6">
        <f>IF($B4817="","",E4823)</f>
        <v/>
      </c>
    </row>
    <row r="4824"/>
    <row r="4825">
      <c r="A4825" s="1" t="inlineStr">
        <is>
          <t>b/f petty cash 上日备用金结转</t>
        </is>
      </c>
      <c r="B4825" s="9">
        <f>IF($B4817="","",'Daily Sale entry '!F346)</f>
        <v/>
      </c>
      <c r="D4825" s="1" t="n"/>
      <c r="E4825" s="1" t="n"/>
      <c r="H4825" s="1" t="inlineStr">
        <is>
          <t>b/f petty cash 上日备用金结转</t>
        </is>
      </c>
      <c r="I4825" s="9">
        <f>IF($B4817="","",B4825)</f>
        <v/>
      </c>
      <c r="K4825" s="1" t="n"/>
      <c r="L4825" s="1" t="n"/>
    </row>
    <row r="4826">
      <c r="A4826" t="inlineStr">
        <is>
          <t>Total (A) 总计 (A)</t>
        </is>
      </c>
      <c r="B4826" s="6">
        <f>IF($B4817="","",ROUND(B4823+B4825,2))</f>
        <v/>
      </c>
      <c r="D4826" t="inlineStr">
        <is>
          <t>Total(B) 总计 (B)</t>
        </is>
      </c>
      <c r="E4826" s="6">
        <f>IF($B4817="","",ROUND(E4818+E4819+E4820+E4821+E4822+E4823,2))</f>
        <v/>
      </c>
      <c r="H4826" t="inlineStr">
        <is>
          <t>Total© 总计 (C)</t>
        </is>
      </c>
      <c r="I4826" s="6">
        <f>IF($B4817="","",ROUND(I4823+I4825,2))</f>
        <v/>
      </c>
      <c r="K4826" t="inlineStr">
        <is>
          <t>Total(D) 总计 (D)</t>
        </is>
      </c>
      <c r="L4826" s="6">
        <f>IF($B4817="","",ROUND(L4818+L4819+L4820+L4821+L4822+L4823,2))</f>
        <v/>
      </c>
    </row>
    <row r="4827">
      <c r="A4827" s="14" t="inlineStr">
        <is>
          <t>Total = Amount 2 + b/f petty cash  (金额2 + 上日备用金)</t>
        </is>
      </c>
      <c r="H4827" s="14" t="inlineStr">
        <is>
          <t>Total = Amount 2 + b/f petty cash  (金额2 + 上日备用金)</t>
        </is>
      </c>
    </row>
    <row r="4828">
      <c r="A4828" t="inlineStr">
        <is>
          <t>Different 差额</t>
        </is>
      </c>
      <c r="B4828" s="6">
        <f>IF($B4817="","",ROUND(B4826-E4826,2))</f>
        <v/>
      </c>
      <c r="D4828">
        <f>IF($B4817="","",IF(ABS(B4828)&gt;'Opening Balance'!$B$16,"ALERT 警报: Different over RM"&amp;'Opening Balance'!$B$16&amp;" 差额超过RM"&amp;'Opening Balance'!$B$16&amp;" - please check 请检查",IF(B4828=0,"Tied 平衡",IF(ABS(B4828)&lt;='Opening Balance'!$B$13,"Small difference 小额差额: adjusted on c/f petty cash 已调整备用金",IF(B4828&gt;0,"Short 短收: added to Misc Charges 已加入杂项费用","Over 多收: added to Cash Sales 已加入现金销售")))))</f>
        <v/>
      </c>
      <c r="H4828" t="inlineStr">
        <is>
          <t>Different 差额</t>
        </is>
      </c>
      <c r="I4828" s="6">
        <f>IF($B4817="","",ROUND(I4826-L4826,2))</f>
        <v/>
      </c>
    </row>
    <row r="4829"/>
    <row r="4830"/>
    <row r="4831">
      <c r="A4831" t="inlineStr">
        <is>
          <t>Date 日期</t>
        </is>
      </c>
      <c r="B4831" s="5">
        <f>IF('Daily Sale entry '!$A347="","",'Daily Sale entry '!$A347)</f>
        <v/>
      </c>
      <c r="H4831" t="inlineStr">
        <is>
          <t>After 调整后 (After)</t>
        </is>
      </c>
      <c r="I4831" s="5">
        <f>IF($B4831="","",B4831)</f>
        <v/>
      </c>
    </row>
    <row r="4832">
      <c r="A4832" t="inlineStr">
        <is>
          <t>Cash Sales 现金销售</t>
        </is>
      </c>
      <c r="B4832" s="6">
        <f>IF($B4831="","",'Daily Sale entry '!B347)</f>
        <v/>
      </c>
      <c r="D4832" t="inlineStr">
        <is>
          <t>c/f petty cash 今日备用金结转</t>
        </is>
      </c>
      <c r="E4832" s="6">
        <f>IF($B4831="","",'Daily Sale entry '!G347)</f>
        <v/>
      </c>
      <c r="H4832" t="inlineStr">
        <is>
          <t>Cash Sales 现金销售</t>
        </is>
      </c>
      <c r="I4832" s="6">
        <f>IF($B4831="","",IF(AND(ABS(B4842)&gt;'Opening Balance'!$B$13,B4842&lt;0),ROUND(B4832-B4842,2),B4832))</f>
        <v/>
      </c>
      <c r="K4832" t="inlineStr">
        <is>
          <t>c/f petty cash 今日备用金结转</t>
        </is>
      </c>
      <c r="L4832" s="6">
        <f>IF($B4831="","",IF(ABS(B4842)&lt;='Opening Balance'!$B$13,ROUND(E4832+B4842,2),E4832))</f>
        <v/>
      </c>
    </row>
    <row r="4833">
      <c r="A4833" t="inlineStr">
        <is>
          <t>Misc Charges 杂项费用</t>
        </is>
      </c>
      <c r="B4833" s="6">
        <f>IF($B4831="","",'Daily Sale entry '!C347)</f>
        <v/>
      </c>
      <c r="D4833" t="inlineStr">
        <is>
          <t>cash collection 现金收款</t>
        </is>
      </c>
      <c r="E4833" s="6">
        <f>IF($B4831="","",'Daily Sale entry '!H347)</f>
        <v/>
      </c>
      <c r="H4833" t="inlineStr">
        <is>
          <t>Misc Charges 杂项费用</t>
        </is>
      </c>
      <c r="I4833" s="6">
        <f>IF($B4831="","",IF(AND(ABS(B4842)&gt;'Opening Balance'!$B$13,B4842&gt;0),ROUND(B4833+B4842,2),B4833))</f>
        <v/>
      </c>
      <c r="K4833" t="inlineStr">
        <is>
          <t>cash collection 现金收款</t>
        </is>
      </c>
      <c r="L4833" s="6">
        <f>IF($B4831="","",E4833)</f>
        <v/>
      </c>
    </row>
    <row r="4834">
      <c r="A4834" s="1" t="inlineStr">
        <is>
          <t>Other Charges 其他费用</t>
        </is>
      </c>
      <c r="B4834" s="9">
        <f>IF($B4831="","",'Daily Sale entry '!D347)</f>
        <v/>
      </c>
      <c r="D4834" s="1" t="inlineStr">
        <is>
          <t>Cheque Collection 支票收款</t>
        </is>
      </c>
      <c r="E4834" s="9">
        <f>IF($B4831="","",'Daily Sale entry '!J347)</f>
        <v/>
      </c>
      <c r="H4834" s="1" t="inlineStr">
        <is>
          <t>Other Charges 其他费用</t>
        </is>
      </c>
      <c r="I4834" s="9">
        <f>IF($B4831="","",B4834)</f>
        <v/>
      </c>
      <c r="K4834" s="1" t="inlineStr">
        <is>
          <t>Cheque Collection 支票收款</t>
        </is>
      </c>
      <c r="L4834" s="9">
        <f>IF($B4831="","",E4834)</f>
        <v/>
      </c>
    </row>
    <row r="4835">
      <c r="A4835" s="10" t="inlineStr">
        <is>
          <t>Amount 金额  (Cash Sales - Misc - Other)</t>
        </is>
      </c>
      <c r="B4835" s="11">
        <f>IF($B4831="","",ROUND(B4832-B4833-B4834,2))</f>
        <v/>
      </c>
      <c r="D4835" s="12" t="inlineStr">
        <is>
          <t>TNG collection TNG收款</t>
        </is>
      </c>
      <c r="E4835" s="13">
        <f>IF($B4831="","",'Daily Sale entry '!K347)</f>
        <v/>
      </c>
      <c r="H4835" s="10" t="inlineStr">
        <is>
          <t>Amount 金额  (Cash Sales - Misc - Other)</t>
        </is>
      </c>
      <c r="I4835" s="11">
        <f>IF($B4831="","",ROUND(I4832-I4833-I4834,2))</f>
        <v/>
      </c>
      <c r="K4835" s="12" t="inlineStr">
        <is>
          <t>TNG collection TNG收款</t>
        </is>
      </c>
      <c r="L4835" s="13">
        <f>IF($B4831="","",E4835)</f>
        <v/>
      </c>
    </row>
    <row r="4836">
      <c r="A4836" t="inlineStr">
        <is>
          <t>Credit Collection 赊账收款</t>
        </is>
      </c>
      <c r="B4836" s="6">
        <f>IF($B4831="","",'Daily Sale entry '!E347)</f>
        <v/>
      </c>
      <c r="D4836" t="inlineStr">
        <is>
          <t>Advance Salary_M 预支薪水_M</t>
        </is>
      </c>
      <c r="E4836" s="6">
        <f>IF($B4831="","",'Daily Sale entry '!L347)</f>
        <v/>
      </c>
      <c r="H4836" t="inlineStr">
        <is>
          <t>Credit Collection 赊账收款</t>
        </is>
      </c>
      <c r="I4836" s="6">
        <f>IF($B4831="","",B4836)</f>
        <v/>
      </c>
      <c r="K4836" t="inlineStr">
        <is>
          <t>Advance Salary_M 预支薪水_M</t>
        </is>
      </c>
      <c r="L4836" s="6">
        <f>IF($B4831="","",E4836)</f>
        <v/>
      </c>
    </row>
    <row r="4837">
      <c r="A4837" s="10" t="inlineStr">
        <is>
          <t>Amount 2 金额2  (Amount + Credit Collection)</t>
        </is>
      </c>
      <c r="B4837" s="11">
        <f>IF($B4831="","",ROUND(B4835+B4836,2))</f>
        <v/>
      </c>
      <c r="D4837" t="inlineStr">
        <is>
          <t>Advance Salary_H 预支薪水_H</t>
        </is>
      </c>
      <c r="E4837" s="6">
        <f>IF($B4831="","",'Daily Sale entry '!M347)</f>
        <v/>
      </c>
      <c r="H4837" s="10" t="inlineStr">
        <is>
          <t>Amount 2 金额2  (Amount + Credit Collection)</t>
        </is>
      </c>
      <c r="I4837" s="11">
        <f>IF($B4831="","",ROUND(I4835+I4836,2))</f>
        <v/>
      </c>
      <c r="K4837" t="inlineStr">
        <is>
          <t>Advance Salary_H 预支薪水_H</t>
        </is>
      </c>
      <c r="L4837" s="6">
        <f>IF($B4831="","",E4837)</f>
        <v/>
      </c>
    </row>
    <row r="4838"/>
    <row r="4839">
      <c r="A4839" s="1" t="inlineStr">
        <is>
          <t>b/f petty cash 上日备用金结转</t>
        </is>
      </c>
      <c r="B4839" s="9">
        <f>IF($B4831="","",'Daily Sale entry '!F347)</f>
        <v/>
      </c>
      <c r="D4839" s="1" t="n"/>
      <c r="E4839" s="1" t="n"/>
      <c r="H4839" s="1" t="inlineStr">
        <is>
          <t>b/f petty cash 上日备用金结转</t>
        </is>
      </c>
      <c r="I4839" s="9">
        <f>IF($B4831="","",B4839)</f>
        <v/>
      </c>
      <c r="K4839" s="1" t="n"/>
      <c r="L4839" s="1" t="n"/>
    </row>
    <row r="4840">
      <c r="A4840" t="inlineStr">
        <is>
          <t>Total (A) 总计 (A)</t>
        </is>
      </c>
      <c r="B4840" s="6">
        <f>IF($B4831="","",ROUND(B4837+B4839,2))</f>
        <v/>
      </c>
      <c r="D4840" t="inlineStr">
        <is>
          <t>Total(B) 总计 (B)</t>
        </is>
      </c>
      <c r="E4840" s="6">
        <f>IF($B4831="","",ROUND(E4832+E4833+E4834+E4835+E4836+E4837,2))</f>
        <v/>
      </c>
      <c r="H4840" t="inlineStr">
        <is>
          <t>Total© 总计 (C)</t>
        </is>
      </c>
      <c r="I4840" s="6">
        <f>IF($B4831="","",ROUND(I4837+I4839,2))</f>
        <v/>
      </c>
      <c r="K4840" t="inlineStr">
        <is>
          <t>Total(D) 总计 (D)</t>
        </is>
      </c>
      <c r="L4840" s="6">
        <f>IF($B4831="","",ROUND(L4832+L4833+L4834+L4835+L4836+L4837,2))</f>
        <v/>
      </c>
    </row>
    <row r="4841">
      <c r="A4841" s="14" t="inlineStr">
        <is>
          <t>Total = Amount 2 + b/f petty cash  (金额2 + 上日备用金)</t>
        </is>
      </c>
      <c r="H4841" s="14" t="inlineStr">
        <is>
          <t>Total = Amount 2 + b/f petty cash  (金额2 + 上日备用金)</t>
        </is>
      </c>
    </row>
    <row r="4842">
      <c r="A4842" t="inlineStr">
        <is>
          <t>Different 差额</t>
        </is>
      </c>
      <c r="B4842" s="6">
        <f>IF($B4831="","",ROUND(B4840-E4840,2))</f>
        <v/>
      </c>
      <c r="D4842">
        <f>IF($B4831="","",IF(ABS(B4842)&gt;'Opening Balance'!$B$16,"ALERT 警报: Different over RM"&amp;'Opening Balance'!$B$16&amp;" 差额超过RM"&amp;'Opening Balance'!$B$16&amp;" - please check 请检查",IF(B4842=0,"Tied 平衡",IF(ABS(B4842)&lt;='Opening Balance'!$B$13,"Small difference 小额差额: adjusted on c/f petty cash 已调整备用金",IF(B4842&gt;0,"Short 短收: added to Misc Charges 已加入杂项费用","Over 多收: added to Cash Sales 已加入现金销售")))))</f>
        <v/>
      </c>
      <c r="H4842" t="inlineStr">
        <is>
          <t>Different 差额</t>
        </is>
      </c>
      <c r="I4842" s="6">
        <f>IF($B4831="","",ROUND(I4840-L4840,2))</f>
        <v/>
      </c>
    </row>
    <row r="4843"/>
    <row r="4844"/>
    <row r="4845">
      <c r="A4845" t="inlineStr">
        <is>
          <t>Date 日期</t>
        </is>
      </c>
      <c r="B4845" s="5">
        <f>IF('Daily Sale entry '!$A348="","",'Daily Sale entry '!$A348)</f>
        <v/>
      </c>
      <c r="H4845" t="inlineStr">
        <is>
          <t>After 调整后 (After)</t>
        </is>
      </c>
      <c r="I4845" s="5">
        <f>IF($B4845="","",B4845)</f>
        <v/>
      </c>
    </row>
    <row r="4846">
      <c r="A4846" t="inlineStr">
        <is>
          <t>Cash Sales 现金销售</t>
        </is>
      </c>
      <c r="B4846" s="6">
        <f>IF($B4845="","",'Daily Sale entry '!B348)</f>
        <v/>
      </c>
      <c r="D4846" t="inlineStr">
        <is>
          <t>c/f petty cash 今日备用金结转</t>
        </is>
      </c>
      <c r="E4846" s="6">
        <f>IF($B4845="","",'Daily Sale entry '!G348)</f>
        <v/>
      </c>
      <c r="H4846" t="inlineStr">
        <is>
          <t>Cash Sales 现金销售</t>
        </is>
      </c>
      <c r="I4846" s="6">
        <f>IF($B4845="","",IF(AND(ABS(B4856)&gt;'Opening Balance'!$B$13,B4856&lt;0),ROUND(B4846-B4856,2),B4846))</f>
        <v/>
      </c>
      <c r="K4846" t="inlineStr">
        <is>
          <t>c/f petty cash 今日备用金结转</t>
        </is>
      </c>
      <c r="L4846" s="6">
        <f>IF($B4845="","",IF(ABS(B4856)&lt;='Opening Balance'!$B$13,ROUND(E4846+B4856,2),E4846))</f>
        <v/>
      </c>
    </row>
    <row r="4847">
      <c r="A4847" t="inlineStr">
        <is>
          <t>Misc Charges 杂项费用</t>
        </is>
      </c>
      <c r="B4847" s="6">
        <f>IF($B4845="","",'Daily Sale entry '!C348)</f>
        <v/>
      </c>
      <c r="D4847" t="inlineStr">
        <is>
          <t>cash collection 现金收款</t>
        </is>
      </c>
      <c r="E4847" s="6">
        <f>IF($B4845="","",'Daily Sale entry '!H348)</f>
        <v/>
      </c>
      <c r="H4847" t="inlineStr">
        <is>
          <t>Misc Charges 杂项费用</t>
        </is>
      </c>
      <c r="I4847" s="6">
        <f>IF($B4845="","",IF(AND(ABS(B4856)&gt;'Opening Balance'!$B$13,B4856&gt;0),ROUND(B4847+B4856,2),B4847))</f>
        <v/>
      </c>
      <c r="K4847" t="inlineStr">
        <is>
          <t>cash collection 现金收款</t>
        </is>
      </c>
      <c r="L4847" s="6">
        <f>IF($B4845="","",E4847)</f>
        <v/>
      </c>
    </row>
    <row r="4848">
      <c r="A4848" s="1" t="inlineStr">
        <is>
          <t>Other Charges 其他费用</t>
        </is>
      </c>
      <c r="B4848" s="9">
        <f>IF($B4845="","",'Daily Sale entry '!D348)</f>
        <v/>
      </c>
      <c r="D4848" s="1" t="inlineStr">
        <is>
          <t>Cheque Collection 支票收款</t>
        </is>
      </c>
      <c r="E4848" s="9">
        <f>IF($B4845="","",'Daily Sale entry '!J348)</f>
        <v/>
      </c>
      <c r="H4848" s="1" t="inlineStr">
        <is>
          <t>Other Charges 其他费用</t>
        </is>
      </c>
      <c r="I4848" s="9">
        <f>IF($B4845="","",B4848)</f>
        <v/>
      </c>
      <c r="K4848" s="1" t="inlineStr">
        <is>
          <t>Cheque Collection 支票收款</t>
        </is>
      </c>
      <c r="L4848" s="9">
        <f>IF($B4845="","",E4848)</f>
        <v/>
      </c>
    </row>
    <row r="4849">
      <c r="A4849" s="10" t="inlineStr">
        <is>
          <t>Amount 金额  (Cash Sales - Misc - Other)</t>
        </is>
      </c>
      <c r="B4849" s="11">
        <f>IF($B4845="","",ROUND(B4846-B4847-B4848,2))</f>
        <v/>
      </c>
      <c r="D4849" s="12" t="inlineStr">
        <is>
          <t>TNG collection TNG收款</t>
        </is>
      </c>
      <c r="E4849" s="13">
        <f>IF($B4845="","",'Daily Sale entry '!K348)</f>
        <v/>
      </c>
      <c r="H4849" s="10" t="inlineStr">
        <is>
          <t>Amount 金额  (Cash Sales - Misc - Other)</t>
        </is>
      </c>
      <c r="I4849" s="11">
        <f>IF($B4845="","",ROUND(I4846-I4847-I4848,2))</f>
        <v/>
      </c>
      <c r="K4849" s="12" t="inlineStr">
        <is>
          <t>TNG collection TNG收款</t>
        </is>
      </c>
      <c r="L4849" s="13">
        <f>IF($B4845="","",E4849)</f>
        <v/>
      </c>
    </row>
    <row r="4850">
      <c r="A4850" t="inlineStr">
        <is>
          <t>Credit Collection 赊账收款</t>
        </is>
      </c>
      <c r="B4850" s="6">
        <f>IF($B4845="","",'Daily Sale entry '!E348)</f>
        <v/>
      </c>
      <c r="D4850" t="inlineStr">
        <is>
          <t>Advance Salary_M 预支薪水_M</t>
        </is>
      </c>
      <c r="E4850" s="6">
        <f>IF($B4845="","",'Daily Sale entry '!L348)</f>
        <v/>
      </c>
      <c r="H4850" t="inlineStr">
        <is>
          <t>Credit Collection 赊账收款</t>
        </is>
      </c>
      <c r="I4850" s="6">
        <f>IF($B4845="","",B4850)</f>
        <v/>
      </c>
      <c r="K4850" t="inlineStr">
        <is>
          <t>Advance Salary_M 预支薪水_M</t>
        </is>
      </c>
      <c r="L4850" s="6">
        <f>IF($B4845="","",E4850)</f>
        <v/>
      </c>
    </row>
    <row r="4851">
      <c r="A4851" s="10" t="inlineStr">
        <is>
          <t>Amount 2 金额2  (Amount + Credit Collection)</t>
        </is>
      </c>
      <c r="B4851" s="11">
        <f>IF($B4845="","",ROUND(B4849+B4850,2))</f>
        <v/>
      </c>
      <c r="D4851" t="inlineStr">
        <is>
          <t>Advance Salary_H 预支薪水_H</t>
        </is>
      </c>
      <c r="E4851" s="6">
        <f>IF($B4845="","",'Daily Sale entry '!M348)</f>
        <v/>
      </c>
      <c r="H4851" s="10" t="inlineStr">
        <is>
          <t>Amount 2 金额2  (Amount + Credit Collection)</t>
        </is>
      </c>
      <c r="I4851" s="11">
        <f>IF($B4845="","",ROUND(I4849+I4850,2))</f>
        <v/>
      </c>
      <c r="K4851" t="inlineStr">
        <is>
          <t>Advance Salary_H 预支薪水_H</t>
        </is>
      </c>
      <c r="L4851" s="6">
        <f>IF($B4845="","",E4851)</f>
        <v/>
      </c>
    </row>
    <row r="4852"/>
    <row r="4853">
      <c r="A4853" s="1" t="inlineStr">
        <is>
          <t>b/f petty cash 上日备用金结转</t>
        </is>
      </c>
      <c r="B4853" s="9">
        <f>IF($B4845="","",'Daily Sale entry '!F348)</f>
        <v/>
      </c>
      <c r="D4853" s="1" t="n"/>
      <c r="E4853" s="1" t="n"/>
      <c r="H4853" s="1" t="inlineStr">
        <is>
          <t>b/f petty cash 上日备用金结转</t>
        </is>
      </c>
      <c r="I4853" s="9">
        <f>IF($B4845="","",B4853)</f>
        <v/>
      </c>
      <c r="K4853" s="1" t="n"/>
      <c r="L4853" s="1" t="n"/>
    </row>
    <row r="4854">
      <c r="A4854" t="inlineStr">
        <is>
          <t>Total (A) 总计 (A)</t>
        </is>
      </c>
      <c r="B4854" s="6">
        <f>IF($B4845="","",ROUND(B4851+B4853,2))</f>
        <v/>
      </c>
      <c r="D4854" t="inlineStr">
        <is>
          <t>Total(B) 总计 (B)</t>
        </is>
      </c>
      <c r="E4854" s="6">
        <f>IF($B4845="","",ROUND(E4846+E4847+E4848+E4849+E4850+E4851,2))</f>
        <v/>
      </c>
      <c r="H4854" t="inlineStr">
        <is>
          <t>Total© 总计 (C)</t>
        </is>
      </c>
      <c r="I4854" s="6">
        <f>IF($B4845="","",ROUND(I4851+I4853,2))</f>
        <v/>
      </c>
      <c r="K4854" t="inlineStr">
        <is>
          <t>Total(D) 总计 (D)</t>
        </is>
      </c>
      <c r="L4854" s="6">
        <f>IF($B4845="","",ROUND(L4846+L4847+L4848+L4849+L4850+L4851,2))</f>
        <v/>
      </c>
    </row>
    <row r="4855">
      <c r="A4855" s="14" t="inlineStr">
        <is>
          <t>Total = Amount 2 + b/f petty cash  (金额2 + 上日备用金)</t>
        </is>
      </c>
      <c r="H4855" s="14" t="inlineStr">
        <is>
          <t>Total = Amount 2 + b/f petty cash  (金额2 + 上日备用金)</t>
        </is>
      </c>
    </row>
    <row r="4856">
      <c r="A4856" t="inlineStr">
        <is>
          <t>Different 差额</t>
        </is>
      </c>
      <c r="B4856" s="6">
        <f>IF($B4845="","",ROUND(B4854-E4854,2))</f>
        <v/>
      </c>
      <c r="D4856">
        <f>IF($B4845="","",IF(ABS(B4856)&gt;'Opening Balance'!$B$16,"ALERT 警报: Different over RM"&amp;'Opening Balance'!$B$16&amp;" 差额超过RM"&amp;'Opening Balance'!$B$16&amp;" - please check 请检查",IF(B4856=0,"Tied 平衡",IF(ABS(B4856)&lt;='Opening Balance'!$B$13,"Small difference 小额差额: adjusted on c/f petty cash 已调整备用金",IF(B4856&gt;0,"Short 短收: added to Misc Charges 已加入杂项费用","Over 多收: added to Cash Sales 已加入现金销售")))))</f>
        <v/>
      </c>
      <c r="H4856" t="inlineStr">
        <is>
          <t>Different 差额</t>
        </is>
      </c>
      <c r="I4856" s="6">
        <f>IF($B4845="","",ROUND(I4854-L4854,2))</f>
        <v/>
      </c>
    </row>
    <row r="4857"/>
    <row r="4858"/>
    <row r="4859">
      <c r="A4859" t="inlineStr">
        <is>
          <t>Date 日期</t>
        </is>
      </c>
      <c r="B4859" s="5">
        <f>IF('Daily Sale entry '!$A349="","",'Daily Sale entry '!$A349)</f>
        <v/>
      </c>
      <c r="H4859" t="inlineStr">
        <is>
          <t>After 调整后 (After)</t>
        </is>
      </c>
      <c r="I4859" s="5">
        <f>IF($B4859="","",B4859)</f>
        <v/>
      </c>
    </row>
    <row r="4860">
      <c r="A4860" t="inlineStr">
        <is>
          <t>Cash Sales 现金销售</t>
        </is>
      </c>
      <c r="B4860" s="6">
        <f>IF($B4859="","",'Daily Sale entry '!B349)</f>
        <v/>
      </c>
      <c r="D4860" t="inlineStr">
        <is>
          <t>c/f petty cash 今日备用金结转</t>
        </is>
      </c>
      <c r="E4860" s="6">
        <f>IF($B4859="","",'Daily Sale entry '!G349)</f>
        <v/>
      </c>
      <c r="H4860" t="inlineStr">
        <is>
          <t>Cash Sales 现金销售</t>
        </is>
      </c>
      <c r="I4860" s="6">
        <f>IF($B4859="","",IF(AND(ABS(B4870)&gt;'Opening Balance'!$B$13,B4870&lt;0),ROUND(B4860-B4870,2),B4860))</f>
        <v/>
      </c>
      <c r="K4860" t="inlineStr">
        <is>
          <t>c/f petty cash 今日备用金结转</t>
        </is>
      </c>
      <c r="L4860" s="6">
        <f>IF($B4859="","",IF(ABS(B4870)&lt;='Opening Balance'!$B$13,ROUND(E4860+B4870,2),E4860))</f>
        <v/>
      </c>
    </row>
    <row r="4861">
      <c r="A4861" t="inlineStr">
        <is>
          <t>Misc Charges 杂项费用</t>
        </is>
      </c>
      <c r="B4861" s="6">
        <f>IF($B4859="","",'Daily Sale entry '!C349)</f>
        <v/>
      </c>
      <c r="D4861" t="inlineStr">
        <is>
          <t>cash collection 现金收款</t>
        </is>
      </c>
      <c r="E4861" s="6">
        <f>IF($B4859="","",'Daily Sale entry '!H349)</f>
        <v/>
      </c>
      <c r="H4861" t="inlineStr">
        <is>
          <t>Misc Charges 杂项费用</t>
        </is>
      </c>
      <c r="I4861" s="6">
        <f>IF($B4859="","",IF(AND(ABS(B4870)&gt;'Opening Balance'!$B$13,B4870&gt;0),ROUND(B4861+B4870,2),B4861))</f>
        <v/>
      </c>
      <c r="K4861" t="inlineStr">
        <is>
          <t>cash collection 现金收款</t>
        </is>
      </c>
      <c r="L4861" s="6">
        <f>IF($B4859="","",E4861)</f>
        <v/>
      </c>
    </row>
    <row r="4862">
      <c r="A4862" s="1" t="inlineStr">
        <is>
          <t>Other Charges 其他费用</t>
        </is>
      </c>
      <c r="B4862" s="9">
        <f>IF($B4859="","",'Daily Sale entry '!D349)</f>
        <v/>
      </c>
      <c r="D4862" s="1" t="inlineStr">
        <is>
          <t>Cheque Collection 支票收款</t>
        </is>
      </c>
      <c r="E4862" s="9">
        <f>IF($B4859="","",'Daily Sale entry '!J349)</f>
        <v/>
      </c>
      <c r="H4862" s="1" t="inlineStr">
        <is>
          <t>Other Charges 其他费用</t>
        </is>
      </c>
      <c r="I4862" s="9">
        <f>IF($B4859="","",B4862)</f>
        <v/>
      </c>
      <c r="K4862" s="1" t="inlineStr">
        <is>
          <t>Cheque Collection 支票收款</t>
        </is>
      </c>
      <c r="L4862" s="9">
        <f>IF($B4859="","",E4862)</f>
        <v/>
      </c>
    </row>
    <row r="4863">
      <c r="A4863" s="10" t="inlineStr">
        <is>
          <t>Amount 金额  (Cash Sales - Misc - Other)</t>
        </is>
      </c>
      <c r="B4863" s="11">
        <f>IF($B4859="","",ROUND(B4860-B4861-B4862,2))</f>
        <v/>
      </c>
      <c r="D4863" s="12" t="inlineStr">
        <is>
          <t>TNG collection TNG收款</t>
        </is>
      </c>
      <c r="E4863" s="13">
        <f>IF($B4859="","",'Daily Sale entry '!K349)</f>
        <v/>
      </c>
      <c r="H4863" s="10" t="inlineStr">
        <is>
          <t>Amount 金额  (Cash Sales - Misc - Other)</t>
        </is>
      </c>
      <c r="I4863" s="11">
        <f>IF($B4859="","",ROUND(I4860-I4861-I4862,2))</f>
        <v/>
      </c>
      <c r="K4863" s="12" t="inlineStr">
        <is>
          <t>TNG collection TNG收款</t>
        </is>
      </c>
      <c r="L4863" s="13">
        <f>IF($B4859="","",E4863)</f>
        <v/>
      </c>
    </row>
    <row r="4864">
      <c r="A4864" t="inlineStr">
        <is>
          <t>Credit Collection 赊账收款</t>
        </is>
      </c>
      <c r="B4864" s="6">
        <f>IF($B4859="","",'Daily Sale entry '!E349)</f>
        <v/>
      </c>
      <c r="D4864" t="inlineStr">
        <is>
          <t>Advance Salary_M 预支薪水_M</t>
        </is>
      </c>
      <c r="E4864" s="6">
        <f>IF($B4859="","",'Daily Sale entry '!L349)</f>
        <v/>
      </c>
      <c r="H4864" t="inlineStr">
        <is>
          <t>Credit Collection 赊账收款</t>
        </is>
      </c>
      <c r="I4864" s="6">
        <f>IF($B4859="","",B4864)</f>
        <v/>
      </c>
      <c r="K4864" t="inlineStr">
        <is>
          <t>Advance Salary_M 预支薪水_M</t>
        </is>
      </c>
      <c r="L4864" s="6">
        <f>IF($B4859="","",E4864)</f>
        <v/>
      </c>
    </row>
    <row r="4865">
      <c r="A4865" s="10" t="inlineStr">
        <is>
          <t>Amount 2 金额2  (Amount + Credit Collection)</t>
        </is>
      </c>
      <c r="B4865" s="11">
        <f>IF($B4859="","",ROUND(B4863+B4864,2))</f>
        <v/>
      </c>
      <c r="D4865" t="inlineStr">
        <is>
          <t>Advance Salary_H 预支薪水_H</t>
        </is>
      </c>
      <c r="E4865" s="6">
        <f>IF($B4859="","",'Daily Sale entry '!M349)</f>
        <v/>
      </c>
      <c r="H4865" s="10" t="inlineStr">
        <is>
          <t>Amount 2 金额2  (Amount + Credit Collection)</t>
        </is>
      </c>
      <c r="I4865" s="11">
        <f>IF($B4859="","",ROUND(I4863+I4864,2))</f>
        <v/>
      </c>
      <c r="K4865" t="inlineStr">
        <is>
          <t>Advance Salary_H 预支薪水_H</t>
        </is>
      </c>
      <c r="L4865" s="6">
        <f>IF($B4859="","",E4865)</f>
        <v/>
      </c>
    </row>
    <row r="4866"/>
    <row r="4867">
      <c r="A4867" s="1" t="inlineStr">
        <is>
          <t>b/f petty cash 上日备用金结转</t>
        </is>
      </c>
      <c r="B4867" s="9">
        <f>IF($B4859="","",'Daily Sale entry '!F349)</f>
        <v/>
      </c>
      <c r="D4867" s="1" t="n"/>
      <c r="E4867" s="1" t="n"/>
      <c r="H4867" s="1" t="inlineStr">
        <is>
          <t>b/f petty cash 上日备用金结转</t>
        </is>
      </c>
      <c r="I4867" s="9">
        <f>IF($B4859="","",B4867)</f>
        <v/>
      </c>
      <c r="K4867" s="1" t="n"/>
      <c r="L4867" s="1" t="n"/>
    </row>
    <row r="4868">
      <c r="A4868" t="inlineStr">
        <is>
          <t>Total (A) 总计 (A)</t>
        </is>
      </c>
      <c r="B4868" s="6">
        <f>IF($B4859="","",ROUND(B4865+B4867,2))</f>
        <v/>
      </c>
      <c r="D4868" t="inlineStr">
        <is>
          <t>Total(B) 总计 (B)</t>
        </is>
      </c>
      <c r="E4868" s="6">
        <f>IF($B4859="","",ROUND(E4860+E4861+E4862+E4863+E4864+E4865,2))</f>
        <v/>
      </c>
      <c r="H4868" t="inlineStr">
        <is>
          <t>Total© 总计 (C)</t>
        </is>
      </c>
      <c r="I4868" s="6">
        <f>IF($B4859="","",ROUND(I4865+I4867,2))</f>
        <v/>
      </c>
      <c r="K4868" t="inlineStr">
        <is>
          <t>Total(D) 总计 (D)</t>
        </is>
      </c>
      <c r="L4868" s="6">
        <f>IF($B4859="","",ROUND(L4860+L4861+L4862+L4863+L4864+L4865,2))</f>
        <v/>
      </c>
    </row>
    <row r="4869">
      <c r="A4869" s="14" t="inlineStr">
        <is>
          <t>Total = Amount 2 + b/f petty cash  (金额2 + 上日备用金)</t>
        </is>
      </c>
      <c r="H4869" s="14" t="inlineStr">
        <is>
          <t>Total = Amount 2 + b/f petty cash  (金额2 + 上日备用金)</t>
        </is>
      </c>
    </row>
    <row r="4870">
      <c r="A4870" t="inlineStr">
        <is>
          <t>Different 差额</t>
        </is>
      </c>
      <c r="B4870" s="6">
        <f>IF($B4859="","",ROUND(B4868-E4868,2))</f>
        <v/>
      </c>
      <c r="D4870">
        <f>IF($B4859="","",IF(ABS(B4870)&gt;'Opening Balance'!$B$16,"ALERT 警报: Different over RM"&amp;'Opening Balance'!$B$16&amp;" 差额超过RM"&amp;'Opening Balance'!$B$16&amp;" - please check 请检查",IF(B4870=0,"Tied 平衡",IF(ABS(B4870)&lt;='Opening Balance'!$B$13,"Small difference 小额差额: adjusted on c/f petty cash 已调整备用金",IF(B4870&gt;0,"Short 短收: added to Misc Charges 已加入杂项费用","Over 多收: added to Cash Sales 已加入现金销售")))))</f>
        <v/>
      </c>
      <c r="H4870" t="inlineStr">
        <is>
          <t>Different 差额</t>
        </is>
      </c>
      <c r="I4870" s="6">
        <f>IF($B4859="","",ROUND(I4868-L4868,2))</f>
        <v/>
      </c>
    </row>
    <row r="4871"/>
    <row r="4872"/>
    <row r="4873">
      <c r="A4873" t="inlineStr">
        <is>
          <t>Date 日期</t>
        </is>
      </c>
      <c r="B4873" s="5">
        <f>IF('Daily Sale entry '!$A350="","",'Daily Sale entry '!$A350)</f>
        <v/>
      </c>
      <c r="H4873" t="inlineStr">
        <is>
          <t>After 调整后 (After)</t>
        </is>
      </c>
      <c r="I4873" s="5">
        <f>IF($B4873="","",B4873)</f>
        <v/>
      </c>
    </row>
    <row r="4874">
      <c r="A4874" t="inlineStr">
        <is>
          <t>Cash Sales 现金销售</t>
        </is>
      </c>
      <c r="B4874" s="6">
        <f>IF($B4873="","",'Daily Sale entry '!B350)</f>
        <v/>
      </c>
      <c r="D4874" t="inlineStr">
        <is>
          <t>c/f petty cash 今日备用金结转</t>
        </is>
      </c>
      <c r="E4874" s="6">
        <f>IF($B4873="","",'Daily Sale entry '!G350)</f>
        <v/>
      </c>
      <c r="H4874" t="inlineStr">
        <is>
          <t>Cash Sales 现金销售</t>
        </is>
      </c>
      <c r="I4874" s="6">
        <f>IF($B4873="","",IF(AND(ABS(B4884)&gt;'Opening Balance'!$B$13,B4884&lt;0),ROUND(B4874-B4884,2),B4874))</f>
        <v/>
      </c>
      <c r="K4874" t="inlineStr">
        <is>
          <t>c/f petty cash 今日备用金结转</t>
        </is>
      </c>
      <c r="L4874" s="6">
        <f>IF($B4873="","",IF(ABS(B4884)&lt;='Opening Balance'!$B$13,ROUND(E4874+B4884,2),E4874))</f>
        <v/>
      </c>
    </row>
    <row r="4875">
      <c r="A4875" t="inlineStr">
        <is>
          <t>Misc Charges 杂项费用</t>
        </is>
      </c>
      <c r="B4875" s="6">
        <f>IF($B4873="","",'Daily Sale entry '!C350)</f>
        <v/>
      </c>
      <c r="D4875" t="inlineStr">
        <is>
          <t>cash collection 现金收款</t>
        </is>
      </c>
      <c r="E4875" s="6">
        <f>IF($B4873="","",'Daily Sale entry '!H350)</f>
        <v/>
      </c>
      <c r="H4875" t="inlineStr">
        <is>
          <t>Misc Charges 杂项费用</t>
        </is>
      </c>
      <c r="I4875" s="6">
        <f>IF($B4873="","",IF(AND(ABS(B4884)&gt;'Opening Balance'!$B$13,B4884&gt;0),ROUND(B4875+B4884,2),B4875))</f>
        <v/>
      </c>
      <c r="K4875" t="inlineStr">
        <is>
          <t>cash collection 现金收款</t>
        </is>
      </c>
      <c r="L4875" s="6">
        <f>IF($B4873="","",E4875)</f>
        <v/>
      </c>
    </row>
    <row r="4876">
      <c r="A4876" s="1" t="inlineStr">
        <is>
          <t>Other Charges 其他费用</t>
        </is>
      </c>
      <c r="B4876" s="9">
        <f>IF($B4873="","",'Daily Sale entry '!D350)</f>
        <v/>
      </c>
      <c r="D4876" s="1" t="inlineStr">
        <is>
          <t>Cheque Collection 支票收款</t>
        </is>
      </c>
      <c r="E4876" s="9">
        <f>IF($B4873="","",'Daily Sale entry '!J350)</f>
        <v/>
      </c>
      <c r="H4876" s="1" t="inlineStr">
        <is>
          <t>Other Charges 其他费用</t>
        </is>
      </c>
      <c r="I4876" s="9">
        <f>IF($B4873="","",B4876)</f>
        <v/>
      </c>
      <c r="K4876" s="1" t="inlineStr">
        <is>
          <t>Cheque Collection 支票收款</t>
        </is>
      </c>
      <c r="L4876" s="9">
        <f>IF($B4873="","",E4876)</f>
        <v/>
      </c>
    </row>
    <row r="4877">
      <c r="A4877" s="10" t="inlineStr">
        <is>
          <t>Amount 金额  (Cash Sales - Misc - Other)</t>
        </is>
      </c>
      <c r="B4877" s="11">
        <f>IF($B4873="","",ROUND(B4874-B4875-B4876,2))</f>
        <v/>
      </c>
      <c r="D4877" s="12" t="inlineStr">
        <is>
          <t>TNG collection TNG收款</t>
        </is>
      </c>
      <c r="E4877" s="13">
        <f>IF($B4873="","",'Daily Sale entry '!K350)</f>
        <v/>
      </c>
      <c r="H4877" s="10" t="inlineStr">
        <is>
          <t>Amount 金额  (Cash Sales - Misc - Other)</t>
        </is>
      </c>
      <c r="I4877" s="11">
        <f>IF($B4873="","",ROUND(I4874-I4875-I4876,2))</f>
        <v/>
      </c>
      <c r="K4877" s="12" t="inlineStr">
        <is>
          <t>TNG collection TNG收款</t>
        </is>
      </c>
      <c r="L4877" s="13">
        <f>IF($B4873="","",E4877)</f>
        <v/>
      </c>
    </row>
    <row r="4878">
      <c r="A4878" t="inlineStr">
        <is>
          <t>Credit Collection 赊账收款</t>
        </is>
      </c>
      <c r="B4878" s="6">
        <f>IF($B4873="","",'Daily Sale entry '!E350)</f>
        <v/>
      </c>
      <c r="D4878" t="inlineStr">
        <is>
          <t>Advance Salary_M 预支薪水_M</t>
        </is>
      </c>
      <c r="E4878" s="6">
        <f>IF($B4873="","",'Daily Sale entry '!L350)</f>
        <v/>
      </c>
      <c r="H4878" t="inlineStr">
        <is>
          <t>Credit Collection 赊账收款</t>
        </is>
      </c>
      <c r="I4878" s="6">
        <f>IF($B4873="","",B4878)</f>
        <v/>
      </c>
      <c r="K4878" t="inlineStr">
        <is>
          <t>Advance Salary_M 预支薪水_M</t>
        </is>
      </c>
      <c r="L4878" s="6">
        <f>IF($B4873="","",E4878)</f>
        <v/>
      </c>
    </row>
    <row r="4879">
      <c r="A4879" s="10" t="inlineStr">
        <is>
          <t>Amount 2 金额2  (Amount + Credit Collection)</t>
        </is>
      </c>
      <c r="B4879" s="11">
        <f>IF($B4873="","",ROUND(B4877+B4878,2))</f>
        <v/>
      </c>
      <c r="D4879" t="inlineStr">
        <is>
          <t>Advance Salary_H 预支薪水_H</t>
        </is>
      </c>
      <c r="E4879" s="6">
        <f>IF($B4873="","",'Daily Sale entry '!M350)</f>
        <v/>
      </c>
      <c r="H4879" s="10" t="inlineStr">
        <is>
          <t>Amount 2 金额2  (Amount + Credit Collection)</t>
        </is>
      </c>
      <c r="I4879" s="11">
        <f>IF($B4873="","",ROUND(I4877+I4878,2))</f>
        <v/>
      </c>
      <c r="K4879" t="inlineStr">
        <is>
          <t>Advance Salary_H 预支薪水_H</t>
        </is>
      </c>
      <c r="L4879" s="6">
        <f>IF($B4873="","",E4879)</f>
        <v/>
      </c>
    </row>
    <row r="4880"/>
    <row r="4881">
      <c r="A4881" s="1" t="inlineStr">
        <is>
          <t>b/f petty cash 上日备用金结转</t>
        </is>
      </c>
      <c r="B4881" s="9">
        <f>IF($B4873="","",'Daily Sale entry '!F350)</f>
        <v/>
      </c>
      <c r="D4881" s="1" t="n"/>
      <c r="E4881" s="1" t="n"/>
      <c r="H4881" s="1" t="inlineStr">
        <is>
          <t>b/f petty cash 上日备用金结转</t>
        </is>
      </c>
      <c r="I4881" s="9">
        <f>IF($B4873="","",B4881)</f>
        <v/>
      </c>
      <c r="K4881" s="1" t="n"/>
      <c r="L4881" s="1" t="n"/>
    </row>
    <row r="4882">
      <c r="A4882" t="inlineStr">
        <is>
          <t>Total (A) 总计 (A)</t>
        </is>
      </c>
      <c r="B4882" s="6">
        <f>IF($B4873="","",ROUND(B4879+B4881,2))</f>
        <v/>
      </c>
      <c r="D4882" t="inlineStr">
        <is>
          <t>Total(B) 总计 (B)</t>
        </is>
      </c>
      <c r="E4882" s="6">
        <f>IF($B4873="","",ROUND(E4874+E4875+E4876+E4877+E4878+E4879,2))</f>
        <v/>
      </c>
      <c r="H4882" t="inlineStr">
        <is>
          <t>Total© 总计 (C)</t>
        </is>
      </c>
      <c r="I4882" s="6">
        <f>IF($B4873="","",ROUND(I4879+I4881,2))</f>
        <v/>
      </c>
      <c r="K4882" t="inlineStr">
        <is>
          <t>Total(D) 总计 (D)</t>
        </is>
      </c>
      <c r="L4882" s="6">
        <f>IF($B4873="","",ROUND(L4874+L4875+L4876+L4877+L4878+L4879,2))</f>
        <v/>
      </c>
    </row>
    <row r="4883">
      <c r="A4883" s="14" t="inlineStr">
        <is>
          <t>Total = Amount 2 + b/f petty cash  (金额2 + 上日备用金)</t>
        </is>
      </c>
      <c r="H4883" s="14" t="inlineStr">
        <is>
          <t>Total = Amount 2 + b/f petty cash  (金额2 + 上日备用金)</t>
        </is>
      </c>
    </row>
    <row r="4884">
      <c r="A4884" t="inlineStr">
        <is>
          <t>Different 差额</t>
        </is>
      </c>
      <c r="B4884" s="6">
        <f>IF($B4873="","",ROUND(B4882-E4882,2))</f>
        <v/>
      </c>
      <c r="D4884">
        <f>IF($B4873="","",IF(ABS(B4884)&gt;'Opening Balance'!$B$16,"ALERT 警报: Different over RM"&amp;'Opening Balance'!$B$16&amp;" 差额超过RM"&amp;'Opening Balance'!$B$16&amp;" - please check 请检查",IF(B4884=0,"Tied 平衡",IF(ABS(B4884)&lt;='Opening Balance'!$B$13,"Small difference 小额差额: adjusted on c/f petty cash 已调整备用金",IF(B4884&gt;0,"Short 短收: added to Misc Charges 已加入杂项费用","Over 多收: added to Cash Sales 已加入现金销售")))))</f>
        <v/>
      </c>
      <c r="H4884" t="inlineStr">
        <is>
          <t>Different 差额</t>
        </is>
      </c>
      <c r="I4884" s="6">
        <f>IF($B4873="","",ROUND(I4882-L4882,2))</f>
        <v/>
      </c>
    </row>
    <row r="4885"/>
    <row r="4886"/>
    <row r="4887">
      <c r="A4887" t="inlineStr">
        <is>
          <t>Date 日期</t>
        </is>
      </c>
      <c r="B4887" s="5">
        <f>IF('Daily Sale entry '!$A351="","",'Daily Sale entry '!$A351)</f>
        <v/>
      </c>
      <c r="H4887" t="inlineStr">
        <is>
          <t>After 调整后 (After)</t>
        </is>
      </c>
      <c r="I4887" s="5">
        <f>IF($B4887="","",B4887)</f>
        <v/>
      </c>
    </row>
    <row r="4888">
      <c r="A4888" t="inlineStr">
        <is>
          <t>Cash Sales 现金销售</t>
        </is>
      </c>
      <c r="B4888" s="6">
        <f>IF($B4887="","",'Daily Sale entry '!B351)</f>
        <v/>
      </c>
      <c r="D4888" t="inlineStr">
        <is>
          <t>c/f petty cash 今日备用金结转</t>
        </is>
      </c>
      <c r="E4888" s="6">
        <f>IF($B4887="","",'Daily Sale entry '!G351)</f>
        <v/>
      </c>
      <c r="H4888" t="inlineStr">
        <is>
          <t>Cash Sales 现金销售</t>
        </is>
      </c>
      <c r="I4888" s="6">
        <f>IF($B4887="","",IF(AND(ABS(B4898)&gt;'Opening Balance'!$B$13,B4898&lt;0),ROUND(B4888-B4898,2),B4888))</f>
        <v/>
      </c>
      <c r="K4888" t="inlineStr">
        <is>
          <t>c/f petty cash 今日备用金结转</t>
        </is>
      </c>
      <c r="L4888" s="6">
        <f>IF($B4887="","",IF(ABS(B4898)&lt;='Opening Balance'!$B$13,ROUND(E4888+B4898,2),E4888))</f>
        <v/>
      </c>
    </row>
    <row r="4889">
      <c r="A4889" t="inlineStr">
        <is>
          <t>Misc Charges 杂项费用</t>
        </is>
      </c>
      <c r="B4889" s="6">
        <f>IF($B4887="","",'Daily Sale entry '!C351)</f>
        <v/>
      </c>
      <c r="D4889" t="inlineStr">
        <is>
          <t>cash collection 现金收款</t>
        </is>
      </c>
      <c r="E4889" s="6">
        <f>IF($B4887="","",'Daily Sale entry '!H351)</f>
        <v/>
      </c>
      <c r="H4889" t="inlineStr">
        <is>
          <t>Misc Charges 杂项费用</t>
        </is>
      </c>
      <c r="I4889" s="6">
        <f>IF($B4887="","",IF(AND(ABS(B4898)&gt;'Opening Balance'!$B$13,B4898&gt;0),ROUND(B4889+B4898,2),B4889))</f>
        <v/>
      </c>
      <c r="K4889" t="inlineStr">
        <is>
          <t>cash collection 现金收款</t>
        </is>
      </c>
      <c r="L4889" s="6">
        <f>IF($B4887="","",E4889)</f>
        <v/>
      </c>
    </row>
    <row r="4890">
      <c r="A4890" s="1" t="inlineStr">
        <is>
          <t>Other Charges 其他费用</t>
        </is>
      </c>
      <c r="B4890" s="9">
        <f>IF($B4887="","",'Daily Sale entry '!D351)</f>
        <v/>
      </c>
      <c r="D4890" s="1" t="inlineStr">
        <is>
          <t>Cheque Collection 支票收款</t>
        </is>
      </c>
      <c r="E4890" s="9">
        <f>IF($B4887="","",'Daily Sale entry '!J351)</f>
        <v/>
      </c>
      <c r="H4890" s="1" t="inlineStr">
        <is>
          <t>Other Charges 其他费用</t>
        </is>
      </c>
      <c r="I4890" s="9">
        <f>IF($B4887="","",B4890)</f>
        <v/>
      </c>
      <c r="K4890" s="1" t="inlineStr">
        <is>
          <t>Cheque Collection 支票收款</t>
        </is>
      </c>
      <c r="L4890" s="9">
        <f>IF($B4887="","",E4890)</f>
        <v/>
      </c>
    </row>
    <row r="4891">
      <c r="A4891" s="10" t="inlineStr">
        <is>
          <t>Amount 金额  (Cash Sales - Misc - Other)</t>
        </is>
      </c>
      <c r="B4891" s="11">
        <f>IF($B4887="","",ROUND(B4888-B4889-B4890,2))</f>
        <v/>
      </c>
      <c r="D4891" s="12" t="inlineStr">
        <is>
          <t>TNG collection TNG收款</t>
        </is>
      </c>
      <c r="E4891" s="13">
        <f>IF($B4887="","",'Daily Sale entry '!K351)</f>
        <v/>
      </c>
      <c r="H4891" s="10" t="inlineStr">
        <is>
          <t>Amount 金额  (Cash Sales - Misc - Other)</t>
        </is>
      </c>
      <c r="I4891" s="11">
        <f>IF($B4887="","",ROUND(I4888-I4889-I4890,2))</f>
        <v/>
      </c>
      <c r="K4891" s="12" t="inlineStr">
        <is>
          <t>TNG collection TNG收款</t>
        </is>
      </c>
      <c r="L4891" s="13">
        <f>IF($B4887="","",E4891)</f>
        <v/>
      </c>
    </row>
    <row r="4892">
      <c r="A4892" t="inlineStr">
        <is>
          <t>Credit Collection 赊账收款</t>
        </is>
      </c>
      <c r="B4892" s="6">
        <f>IF($B4887="","",'Daily Sale entry '!E351)</f>
        <v/>
      </c>
      <c r="D4892" t="inlineStr">
        <is>
          <t>Advance Salary_M 预支薪水_M</t>
        </is>
      </c>
      <c r="E4892" s="6">
        <f>IF($B4887="","",'Daily Sale entry '!L351)</f>
        <v/>
      </c>
      <c r="H4892" t="inlineStr">
        <is>
          <t>Credit Collection 赊账收款</t>
        </is>
      </c>
      <c r="I4892" s="6">
        <f>IF($B4887="","",B4892)</f>
        <v/>
      </c>
      <c r="K4892" t="inlineStr">
        <is>
          <t>Advance Salary_M 预支薪水_M</t>
        </is>
      </c>
      <c r="L4892" s="6">
        <f>IF($B4887="","",E4892)</f>
        <v/>
      </c>
    </row>
    <row r="4893">
      <c r="A4893" s="10" t="inlineStr">
        <is>
          <t>Amount 2 金额2  (Amount + Credit Collection)</t>
        </is>
      </c>
      <c r="B4893" s="11">
        <f>IF($B4887="","",ROUND(B4891+B4892,2))</f>
        <v/>
      </c>
      <c r="D4893" t="inlineStr">
        <is>
          <t>Advance Salary_H 预支薪水_H</t>
        </is>
      </c>
      <c r="E4893" s="6">
        <f>IF($B4887="","",'Daily Sale entry '!M351)</f>
        <v/>
      </c>
      <c r="H4893" s="10" t="inlineStr">
        <is>
          <t>Amount 2 金额2  (Amount + Credit Collection)</t>
        </is>
      </c>
      <c r="I4893" s="11">
        <f>IF($B4887="","",ROUND(I4891+I4892,2))</f>
        <v/>
      </c>
      <c r="K4893" t="inlineStr">
        <is>
          <t>Advance Salary_H 预支薪水_H</t>
        </is>
      </c>
      <c r="L4893" s="6">
        <f>IF($B4887="","",E4893)</f>
        <v/>
      </c>
    </row>
    <row r="4894"/>
    <row r="4895">
      <c r="A4895" s="1" t="inlineStr">
        <is>
          <t>b/f petty cash 上日备用金结转</t>
        </is>
      </c>
      <c r="B4895" s="9">
        <f>IF($B4887="","",'Daily Sale entry '!F351)</f>
        <v/>
      </c>
      <c r="D4895" s="1" t="n"/>
      <c r="E4895" s="1" t="n"/>
      <c r="H4895" s="1" t="inlineStr">
        <is>
          <t>b/f petty cash 上日备用金结转</t>
        </is>
      </c>
      <c r="I4895" s="9">
        <f>IF($B4887="","",B4895)</f>
        <v/>
      </c>
      <c r="K4895" s="1" t="n"/>
      <c r="L4895" s="1" t="n"/>
    </row>
    <row r="4896">
      <c r="A4896" t="inlineStr">
        <is>
          <t>Total (A) 总计 (A)</t>
        </is>
      </c>
      <c r="B4896" s="6">
        <f>IF($B4887="","",ROUND(B4893+B4895,2))</f>
        <v/>
      </c>
      <c r="D4896" t="inlineStr">
        <is>
          <t>Total(B) 总计 (B)</t>
        </is>
      </c>
      <c r="E4896" s="6">
        <f>IF($B4887="","",ROUND(E4888+E4889+E4890+E4891+E4892+E4893,2))</f>
        <v/>
      </c>
      <c r="H4896" t="inlineStr">
        <is>
          <t>Total© 总计 (C)</t>
        </is>
      </c>
      <c r="I4896" s="6">
        <f>IF($B4887="","",ROUND(I4893+I4895,2))</f>
        <v/>
      </c>
      <c r="K4896" t="inlineStr">
        <is>
          <t>Total(D) 总计 (D)</t>
        </is>
      </c>
      <c r="L4896" s="6">
        <f>IF($B4887="","",ROUND(L4888+L4889+L4890+L4891+L4892+L4893,2))</f>
        <v/>
      </c>
    </row>
    <row r="4897">
      <c r="A4897" s="14" t="inlineStr">
        <is>
          <t>Total = Amount 2 + b/f petty cash  (金额2 + 上日备用金)</t>
        </is>
      </c>
      <c r="H4897" s="14" t="inlineStr">
        <is>
          <t>Total = Amount 2 + b/f petty cash  (金额2 + 上日备用金)</t>
        </is>
      </c>
    </row>
    <row r="4898">
      <c r="A4898" t="inlineStr">
        <is>
          <t>Different 差额</t>
        </is>
      </c>
      <c r="B4898" s="6">
        <f>IF($B4887="","",ROUND(B4896-E4896,2))</f>
        <v/>
      </c>
      <c r="D4898">
        <f>IF($B4887="","",IF(ABS(B4898)&gt;'Opening Balance'!$B$16,"ALERT 警报: Different over RM"&amp;'Opening Balance'!$B$16&amp;" 差额超过RM"&amp;'Opening Balance'!$B$16&amp;" - please check 请检查",IF(B4898=0,"Tied 平衡",IF(ABS(B4898)&lt;='Opening Balance'!$B$13,"Small difference 小额差额: adjusted on c/f petty cash 已调整备用金",IF(B4898&gt;0,"Short 短收: added to Misc Charges 已加入杂项费用","Over 多收: added to Cash Sales 已加入现金销售")))))</f>
        <v/>
      </c>
      <c r="H4898" t="inlineStr">
        <is>
          <t>Different 差额</t>
        </is>
      </c>
      <c r="I4898" s="6">
        <f>IF($B4887="","",ROUND(I4896-L4896,2))</f>
        <v/>
      </c>
    </row>
    <row r="4899"/>
    <row r="4900"/>
    <row r="4901">
      <c r="A4901" t="inlineStr">
        <is>
          <t>Date 日期</t>
        </is>
      </c>
      <c r="B4901" s="5">
        <f>IF('Daily Sale entry '!$A352="","",'Daily Sale entry '!$A352)</f>
        <v/>
      </c>
      <c r="H4901" t="inlineStr">
        <is>
          <t>After 调整后 (After)</t>
        </is>
      </c>
      <c r="I4901" s="5">
        <f>IF($B4901="","",B4901)</f>
        <v/>
      </c>
    </row>
    <row r="4902">
      <c r="A4902" t="inlineStr">
        <is>
          <t>Cash Sales 现金销售</t>
        </is>
      </c>
      <c r="B4902" s="6">
        <f>IF($B4901="","",'Daily Sale entry '!B352)</f>
        <v/>
      </c>
      <c r="D4902" t="inlineStr">
        <is>
          <t>c/f petty cash 今日备用金结转</t>
        </is>
      </c>
      <c r="E4902" s="6">
        <f>IF($B4901="","",'Daily Sale entry '!G352)</f>
        <v/>
      </c>
      <c r="H4902" t="inlineStr">
        <is>
          <t>Cash Sales 现金销售</t>
        </is>
      </c>
      <c r="I4902" s="6">
        <f>IF($B4901="","",IF(AND(ABS(B4912)&gt;'Opening Balance'!$B$13,B4912&lt;0),ROUND(B4902-B4912,2),B4902))</f>
        <v/>
      </c>
      <c r="K4902" t="inlineStr">
        <is>
          <t>c/f petty cash 今日备用金结转</t>
        </is>
      </c>
      <c r="L4902" s="6">
        <f>IF($B4901="","",IF(ABS(B4912)&lt;='Opening Balance'!$B$13,ROUND(E4902+B4912,2),E4902))</f>
        <v/>
      </c>
    </row>
    <row r="4903">
      <c r="A4903" t="inlineStr">
        <is>
          <t>Misc Charges 杂项费用</t>
        </is>
      </c>
      <c r="B4903" s="6">
        <f>IF($B4901="","",'Daily Sale entry '!C352)</f>
        <v/>
      </c>
      <c r="D4903" t="inlineStr">
        <is>
          <t>cash collection 现金收款</t>
        </is>
      </c>
      <c r="E4903" s="6">
        <f>IF($B4901="","",'Daily Sale entry '!H352)</f>
        <v/>
      </c>
      <c r="H4903" t="inlineStr">
        <is>
          <t>Misc Charges 杂项费用</t>
        </is>
      </c>
      <c r="I4903" s="6">
        <f>IF($B4901="","",IF(AND(ABS(B4912)&gt;'Opening Balance'!$B$13,B4912&gt;0),ROUND(B4903+B4912,2),B4903))</f>
        <v/>
      </c>
      <c r="K4903" t="inlineStr">
        <is>
          <t>cash collection 现金收款</t>
        </is>
      </c>
      <c r="L4903" s="6">
        <f>IF($B4901="","",E4903)</f>
        <v/>
      </c>
    </row>
    <row r="4904">
      <c r="A4904" s="1" t="inlineStr">
        <is>
          <t>Other Charges 其他费用</t>
        </is>
      </c>
      <c r="B4904" s="9">
        <f>IF($B4901="","",'Daily Sale entry '!D352)</f>
        <v/>
      </c>
      <c r="D4904" s="1" t="inlineStr">
        <is>
          <t>Cheque Collection 支票收款</t>
        </is>
      </c>
      <c r="E4904" s="9">
        <f>IF($B4901="","",'Daily Sale entry '!J352)</f>
        <v/>
      </c>
      <c r="H4904" s="1" t="inlineStr">
        <is>
          <t>Other Charges 其他费用</t>
        </is>
      </c>
      <c r="I4904" s="9">
        <f>IF($B4901="","",B4904)</f>
        <v/>
      </c>
      <c r="K4904" s="1" t="inlineStr">
        <is>
          <t>Cheque Collection 支票收款</t>
        </is>
      </c>
      <c r="L4904" s="9">
        <f>IF($B4901="","",E4904)</f>
        <v/>
      </c>
    </row>
    <row r="4905">
      <c r="A4905" s="10" t="inlineStr">
        <is>
          <t>Amount 金额  (Cash Sales - Misc - Other)</t>
        </is>
      </c>
      <c r="B4905" s="11">
        <f>IF($B4901="","",ROUND(B4902-B4903-B4904,2))</f>
        <v/>
      </c>
      <c r="D4905" s="12" t="inlineStr">
        <is>
          <t>TNG collection TNG收款</t>
        </is>
      </c>
      <c r="E4905" s="13">
        <f>IF($B4901="","",'Daily Sale entry '!K352)</f>
        <v/>
      </c>
      <c r="H4905" s="10" t="inlineStr">
        <is>
          <t>Amount 金额  (Cash Sales - Misc - Other)</t>
        </is>
      </c>
      <c r="I4905" s="11">
        <f>IF($B4901="","",ROUND(I4902-I4903-I4904,2))</f>
        <v/>
      </c>
      <c r="K4905" s="12" t="inlineStr">
        <is>
          <t>TNG collection TNG收款</t>
        </is>
      </c>
      <c r="L4905" s="13">
        <f>IF($B4901="","",E4905)</f>
        <v/>
      </c>
    </row>
    <row r="4906">
      <c r="A4906" t="inlineStr">
        <is>
          <t>Credit Collection 赊账收款</t>
        </is>
      </c>
      <c r="B4906" s="6">
        <f>IF($B4901="","",'Daily Sale entry '!E352)</f>
        <v/>
      </c>
      <c r="D4906" t="inlineStr">
        <is>
          <t>Advance Salary_M 预支薪水_M</t>
        </is>
      </c>
      <c r="E4906" s="6">
        <f>IF($B4901="","",'Daily Sale entry '!L352)</f>
        <v/>
      </c>
      <c r="H4906" t="inlineStr">
        <is>
          <t>Credit Collection 赊账收款</t>
        </is>
      </c>
      <c r="I4906" s="6">
        <f>IF($B4901="","",B4906)</f>
        <v/>
      </c>
      <c r="K4906" t="inlineStr">
        <is>
          <t>Advance Salary_M 预支薪水_M</t>
        </is>
      </c>
      <c r="L4906" s="6">
        <f>IF($B4901="","",E4906)</f>
        <v/>
      </c>
    </row>
    <row r="4907">
      <c r="A4907" s="10" t="inlineStr">
        <is>
          <t>Amount 2 金额2  (Amount + Credit Collection)</t>
        </is>
      </c>
      <c r="B4907" s="11">
        <f>IF($B4901="","",ROUND(B4905+B4906,2))</f>
        <v/>
      </c>
      <c r="D4907" t="inlineStr">
        <is>
          <t>Advance Salary_H 预支薪水_H</t>
        </is>
      </c>
      <c r="E4907" s="6">
        <f>IF($B4901="","",'Daily Sale entry '!M352)</f>
        <v/>
      </c>
      <c r="H4907" s="10" t="inlineStr">
        <is>
          <t>Amount 2 金额2  (Amount + Credit Collection)</t>
        </is>
      </c>
      <c r="I4907" s="11">
        <f>IF($B4901="","",ROUND(I4905+I4906,2))</f>
        <v/>
      </c>
      <c r="K4907" t="inlineStr">
        <is>
          <t>Advance Salary_H 预支薪水_H</t>
        </is>
      </c>
      <c r="L4907" s="6">
        <f>IF($B4901="","",E4907)</f>
        <v/>
      </c>
    </row>
    <row r="4908"/>
    <row r="4909">
      <c r="A4909" s="1" t="inlineStr">
        <is>
          <t>b/f petty cash 上日备用金结转</t>
        </is>
      </c>
      <c r="B4909" s="9">
        <f>IF($B4901="","",'Daily Sale entry '!F352)</f>
        <v/>
      </c>
      <c r="D4909" s="1" t="n"/>
      <c r="E4909" s="1" t="n"/>
      <c r="H4909" s="1" t="inlineStr">
        <is>
          <t>b/f petty cash 上日备用金结转</t>
        </is>
      </c>
      <c r="I4909" s="9">
        <f>IF($B4901="","",B4909)</f>
        <v/>
      </c>
      <c r="K4909" s="1" t="n"/>
      <c r="L4909" s="1" t="n"/>
    </row>
    <row r="4910">
      <c r="A4910" t="inlineStr">
        <is>
          <t>Total (A) 总计 (A)</t>
        </is>
      </c>
      <c r="B4910" s="6">
        <f>IF($B4901="","",ROUND(B4907+B4909,2))</f>
        <v/>
      </c>
      <c r="D4910" t="inlineStr">
        <is>
          <t>Total(B) 总计 (B)</t>
        </is>
      </c>
      <c r="E4910" s="6">
        <f>IF($B4901="","",ROUND(E4902+E4903+E4904+E4905+E4906+E4907,2))</f>
        <v/>
      </c>
      <c r="H4910" t="inlineStr">
        <is>
          <t>Total© 总计 (C)</t>
        </is>
      </c>
      <c r="I4910" s="6">
        <f>IF($B4901="","",ROUND(I4907+I4909,2))</f>
        <v/>
      </c>
      <c r="K4910" t="inlineStr">
        <is>
          <t>Total(D) 总计 (D)</t>
        </is>
      </c>
      <c r="L4910" s="6">
        <f>IF($B4901="","",ROUND(L4902+L4903+L4904+L4905+L4906+L4907,2))</f>
        <v/>
      </c>
    </row>
    <row r="4911">
      <c r="A4911" s="14" t="inlineStr">
        <is>
          <t>Total = Amount 2 + b/f petty cash  (金额2 + 上日备用金)</t>
        </is>
      </c>
      <c r="H4911" s="14" t="inlineStr">
        <is>
          <t>Total = Amount 2 + b/f petty cash  (金额2 + 上日备用金)</t>
        </is>
      </c>
    </row>
    <row r="4912">
      <c r="A4912" t="inlineStr">
        <is>
          <t>Different 差额</t>
        </is>
      </c>
      <c r="B4912" s="6">
        <f>IF($B4901="","",ROUND(B4910-E4910,2))</f>
        <v/>
      </c>
      <c r="D4912">
        <f>IF($B4901="","",IF(ABS(B4912)&gt;'Opening Balance'!$B$16,"ALERT 警报: Different over RM"&amp;'Opening Balance'!$B$16&amp;" 差额超过RM"&amp;'Opening Balance'!$B$16&amp;" - please check 请检查",IF(B4912=0,"Tied 平衡",IF(ABS(B4912)&lt;='Opening Balance'!$B$13,"Small difference 小额差额: adjusted on c/f petty cash 已调整备用金",IF(B4912&gt;0,"Short 短收: added to Misc Charges 已加入杂项费用","Over 多收: added to Cash Sales 已加入现金销售")))))</f>
        <v/>
      </c>
      <c r="H4912" t="inlineStr">
        <is>
          <t>Different 差额</t>
        </is>
      </c>
      <c r="I4912" s="6">
        <f>IF($B4901="","",ROUND(I4910-L4910,2))</f>
        <v/>
      </c>
    </row>
    <row r="4913"/>
    <row r="4914"/>
    <row r="4915">
      <c r="A4915" t="inlineStr">
        <is>
          <t>Date 日期</t>
        </is>
      </c>
      <c r="B4915" s="5">
        <f>IF('Daily Sale entry '!$A353="","",'Daily Sale entry '!$A353)</f>
        <v/>
      </c>
      <c r="H4915" t="inlineStr">
        <is>
          <t>After 调整后 (After)</t>
        </is>
      </c>
      <c r="I4915" s="5">
        <f>IF($B4915="","",B4915)</f>
        <v/>
      </c>
    </row>
    <row r="4916">
      <c r="A4916" t="inlineStr">
        <is>
          <t>Cash Sales 现金销售</t>
        </is>
      </c>
      <c r="B4916" s="6">
        <f>IF($B4915="","",'Daily Sale entry '!B353)</f>
        <v/>
      </c>
      <c r="D4916" t="inlineStr">
        <is>
          <t>c/f petty cash 今日备用金结转</t>
        </is>
      </c>
      <c r="E4916" s="6">
        <f>IF($B4915="","",'Daily Sale entry '!G353)</f>
        <v/>
      </c>
      <c r="H4916" t="inlineStr">
        <is>
          <t>Cash Sales 现金销售</t>
        </is>
      </c>
      <c r="I4916" s="6">
        <f>IF($B4915="","",IF(AND(ABS(B4926)&gt;'Opening Balance'!$B$13,B4926&lt;0),ROUND(B4916-B4926,2),B4916))</f>
        <v/>
      </c>
      <c r="K4916" t="inlineStr">
        <is>
          <t>c/f petty cash 今日备用金结转</t>
        </is>
      </c>
      <c r="L4916" s="6">
        <f>IF($B4915="","",IF(ABS(B4926)&lt;='Opening Balance'!$B$13,ROUND(E4916+B4926,2),E4916))</f>
        <v/>
      </c>
    </row>
    <row r="4917">
      <c r="A4917" t="inlineStr">
        <is>
          <t>Misc Charges 杂项费用</t>
        </is>
      </c>
      <c r="B4917" s="6">
        <f>IF($B4915="","",'Daily Sale entry '!C353)</f>
        <v/>
      </c>
      <c r="D4917" t="inlineStr">
        <is>
          <t>cash collection 现金收款</t>
        </is>
      </c>
      <c r="E4917" s="6">
        <f>IF($B4915="","",'Daily Sale entry '!H353)</f>
        <v/>
      </c>
      <c r="H4917" t="inlineStr">
        <is>
          <t>Misc Charges 杂项费用</t>
        </is>
      </c>
      <c r="I4917" s="6">
        <f>IF($B4915="","",IF(AND(ABS(B4926)&gt;'Opening Balance'!$B$13,B4926&gt;0),ROUND(B4917+B4926,2),B4917))</f>
        <v/>
      </c>
      <c r="K4917" t="inlineStr">
        <is>
          <t>cash collection 现金收款</t>
        </is>
      </c>
      <c r="L4917" s="6">
        <f>IF($B4915="","",E4917)</f>
        <v/>
      </c>
    </row>
    <row r="4918">
      <c r="A4918" s="1" t="inlineStr">
        <is>
          <t>Other Charges 其他费用</t>
        </is>
      </c>
      <c r="B4918" s="9">
        <f>IF($B4915="","",'Daily Sale entry '!D353)</f>
        <v/>
      </c>
      <c r="D4918" s="1" t="inlineStr">
        <is>
          <t>Cheque Collection 支票收款</t>
        </is>
      </c>
      <c r="E4918" s="9">
        <f>IF($B4915="","",'Daily Sale entry '!J353)</f>
        <v/>
      </c>
      <c r="H4918" s="1" t="inlineStr">
        <is>
          <t>Other Charges 其他费用</t>
        </is>
      </c>
      <c r="I4918" s="9">
        <f>IF($B4915="","",B4918)</f>
        <v/>
      </c>
      <c r="K4918" s="1" t="inlineStr">
        <is>
          <t>Cheque Collection 支票收款</t>
        </is>
      </c>
      <c r="L4918" s="9">
        <f>IF($B4915="","",E4918)</f>
        <v/>
      </c>
    </row>
    <row r="4919">
      <c r="A4919" s="10" t="inlineStr">
        <is>
          <t>Amount 金额  (Cash Sales - Misc - Other)</t>
        </is>
      </c>
      <c r="B4919" s="11">
        <f>IF($B4915="","",ROUND(B4916-B4917-B4918,2))</f>
        <v/>
      </c>
      <c r="D4919" s="12" t="inlineStr">
        <is>
          <t>TNG collection TNG收款</t>
        </is>
      </c>
      <c r="E4919" s="13">
        <f>IF($B4915="","",'Daily Sale entry '!K353)</f>
        <v/>
      </c>
      <c r="H4919" s="10" t="inlineStr">
        <is>
          <t>Amount 金额  (Cash Sales - Misc - Other)</t>
        </is>
      </c>
      <c r="I4919" s="11">
        <f>IF($B4915="","",ROUND(I4916-I4917-I4918,2))</f>
        <v/>
      </c>
      <c r="K4919" s="12" t="inlineStr">
        <is>
          <t>TNG collection TNG收款</t>
        </is>
      </c>
      <c r="L4919" s="13">
        <f>IF($B4915="","",E4919)</f>
        <v/>
      </c>
    </row>
    <row r="4920">
      <c r="A4920" t="inlineStr">
        <is>
          <t>Credit Collection 赊账收款</t>
        </is>
      </c>
      <c r="B4920" s="6">
        <f>IF($B4915="","",'Daily Sale entry '!E353)</f>
        <v/>
      </c>
      <c r="D4920" t="inlineStr">
        <is>
          <t>Advance Salary_M 预支薪水_M</t>
        </is>
      </c>
      <c r="E4920" s="6">
        <f>IF($B4915="","",'Daily Sale entry '!L353)</f>
        <v/>
      </c>
      <c r="H4920" t="inlineStr">
        <is>
          <t>Credit Collection 赊账收款</t>
        </is>
      </c>
      <c r="I4920" s="6">
        <f>IF($B4915="","",B4920)</f>
        <v/>
      </c>
      <c r="K4920" t="inlineStr">
        <is>
          <t>Advance Salary_M 预支薪水_M</t>
        </is>
      </c>
      <c r="L4920" s="6">
        <f>IF($B4915="","",E4920)</f>
        <v/>
      </c>
    </row>
    <row r="4921">
      <c r="A4921" s="10" t="inlineStr">
        <is>
          <t>Amount 2 金额2  (Amount + Credit Collection)</t>
        </is>
      </c>
      <c r="B4921" s="11">
        <f>IF($B4915="","",ROUND(B4919+B4920,2))</f>
        <v/>
      </c>
      <c r="D4921" t="inlineStr">
        <is>
          <t>Advance Salary_H 预支薪水_H</t>
        </is>
      </c>
      <c r="E4921" s="6">
        <f>IF($B4915="","",'Daily Sale entry '!M353)</f>
        <v/>
      </c>
      <c r="H4921" s="10" t="inlineStr">
        <is>
          <t>Amount 2 金额2  (Amount + Credit Collection)</t>
        </is>
      </c>
      <c r="I4921" s="11">
        <f>IF($B4915="","",ROUND(I4919+I4920,2))</f>
        <v/>
      </c>
      <c r="K4921" t="inlineStr">
        <is>
          <t>Advance Salary_H 预支薪水_H</t>
        </is>
      </c>
      <c r="L4921" s="6">
        <f>IF($B4915="","",E4921)</f>
        <v/>
      </c>
    </row>
    <row r="4922"/>
    <row r="4923">
      <c r="A4923" s="1" t="inlineStr">
        <is>
          <t>b/f petty cash 上日备用金结转</t>
        </is>
      </c>
      <c r="B4923" s="9">
        <f>IF($B4915="","",'Daily Sale entry '!F353)</f>
        <v/>
      </c>
      <c r="D4923" s="1" t="n"/>
      <c r="E4923" s="1" t="n"/>
      <c r="H4923" s="1" t="inlineStr">
        <is>
          <t>b/f petty cash 上日备用金结转</t>
        </is>
      </c>
      <c r="I4923" s="9">
        <f>IF($B4915="","",B4923)</f>
        <v/>
      </c>
      <c r="K4923" s="1" t="n"/>
      <c r="L4923" s="1" t="n"/>
    </row>
    <row r="4924">
      <c r="A4924" t="inlineStr">
        <is>
          <t>Total (A) 总计 (A)</t>
        </is>
      </c>
      <c r="B4924" s="6">
        <f>IF($B4915="","",ROUND(B4921+B4923,2))</f>
        <v/>
      </c>
      <c r="D4924" t="inlineStr">
        <is>
          <t>Total(B) 总计 (B)</t>
        </is>
      </c>
      <c r="E4924" s="6">
        <f>IF($B4915="","",ROUND(E4916+E4917+E4918+E4919+E4920+E4921,2))</f>
        <v/>
      </c>
      <c r="H4924" t="inlineStr">
        <is>
          <t>Total© 总计 (C)</t>
        </is>
      </c>
      <c r="I4924" s="6">
        <f>IF($B4915="","",ROUND(I4921+I4923,2))</f>
        <v/>
      </c>
      <c r="K4924" t="inlineStr">
        <is>
          <t>Total(D) 总计 (D)</t>
        </is>
      </c>
      <c r="L4924" s="6">
        <f>IF($B4915="","",ROUND(L4916+L4917+L4918+L4919+L4920+L4921,2))</f>
        <v/>
      </c>
    </row>
    <row r="4925">
      <c r="A4925" s="14" t="inlineStr">
        <is>
          <t>Total = Amount 2 + b/f petty cash  (金额2 + 上日备用金)</t>
        </is>
      </c>
      <c r="H4925" s="14" t="inlineStr">
        <is>
          <t>Total = Amount 2 + b/f petty cash  (金额2 + 上日备用金)</t>
        </is>
      </c>
    </row>
    <row r="4926">
      <c r="A4926" t="inlineStr">
        <is>
          <t>Different 差额</t>
        </is>
      </c>
      <c r="B4926" s="6">
        <f>IF($B4915="","",ROUND(B4924-E4924,2))</f>
        <v/>
      </c>
      <c r="D4926">
        <f>IF($B4915="","",IF(ABS(B4926)&gt;'Opening Balance'!$B$16,"ALERT 警报: Different over RM"&amp;'Opening Balance'!$B$16&amp;" 差额超过RM"&amp;'Opening Balance'!$B$16&amp;" - please check 请检查",IF(B4926=0,"Tied 平衡",IF(ABS(B4926)&lt;='Opening Balance'!$B$13,"Small difference 小额差额: adjusted on c/f petty cash 已调整备用金",IF(B4926&gt;0,"Short 短收: added to Misc Charges 已加入杂项费用","Over 多收: added to Cash Sales 已加入现金销售")))))</f>
        <v/>
      </c>
      <c r="H4926" t="inlineStr">
        <is>
          <t>Different 差额</t>
        </is>
      </c>
      <c r="I4926" s="6">
        <f>IF($B4915="","",ROUND(I4924-L4924,2))</f>
        <v/>
      </c>
    </row>
    <row r="4927"/>
    <row r="4928"/>
    <row r="4929">
      <c r="A4929" t="inlineStr">
        <is>
          <t>Date 日期</t>
        </is>
      </c>
      <c r="B4929" s="5">
        <f>IF('Daily Sale entry '!$A354="","",'Daily Sale entry '!$A354)</f>
        <v/>
      </c>
      <c r="H4929" t="inlineStr">
        <is>
          <t>After 调整后 (After)</t>
        </is>
      </c>
      <c r="I4929" s="5">
        <f>IF($B4929="","",B4929)</f>
        <v/>
      </c>
    </row>
    <row r="4930">
      <c r="A4930" t="inlineStr">
        <is>
          <t>Cash Sales 现金销售</t>
        </is>
      </c>
      <c r="B4930" s="6">
        <f>IF($B4929="","",'Daily Sale entry '!B354)</f>
        <v/>
      </c>
      <c r="D4930" t="inlineStr">
        <is>
          <t>c/f petty cash 今日备用金结转</t>
        </is>
      </c>
      <c r="E4930" s="6">
        <f>IF($B4929="","",'Daily Sale entry '!G354)</f>
        <v/>
      </c>
      <c r="H4930" t="inlineStr">
        <is>
          <t>Cash Sales 现金销售</t>
        </is>
      </c>
      <c r="I4930" s="6">
        <f>IF($B4929="","",IF(AND(ABS(B4940)&gt;'Opening Balance'!$B$13,B4940&lt;0),ROUND(B4930-B4940,2),B4930))</f>
        <v/>
      </c>
      <c r="K4930" t="inlineStr">
        <is>
          <t>c/f petty cash 今日备用金结转</t>
        </is>
      </c>
      <c r="L4930" s="6">
        <f>IF($B4929="","",IF(ABS(B4940)&lt;='Opening Balance'!$B$13,ROUND(E4930+B4940,2),E4930))</f>
        <v/>
      </c>
    </row>
    <row r="4931">
      <c r="A4931" t="inlineStr">
        <is>
          <t>Misc Charges 杂项费用</t>
        </is>
      </c>
      <c r="B4931" s="6">
        <f>IF($B4929="","",'Daily Sale entry '!C354)</f>
        <v/>
      </c>
      <c r="D4931" t="inlineStr">
        <is>
          <t>cash collection 现金收款</t>
        </is>
      </c>
      <c r="E4931" s="6">
        <f>IF($B4929="","",'Daily Sale entry '!H354)</f>
        <v/>
      </c>
      <c r="H4931" t="inlineStr">
        <is>
          <t>Misc Charges 杂项费用</t>
        </is>
      </c>
      <c r="I4931" s="6">
        <f>IF($B4929="","",IF(AND(ABS(B4940)&gt;'Opening Balance'!$B$13,B4940&gt;0),ROUND(B4931+B4940,2),B4931))</f>
        <v/>
      </c>
      <c r="K4931" t="inlineStr">
        <is>
          <t>cash collection 现金收款</t>
        </is>
      </c>
      <c r="L4931" s="6">
        <f>IF($B4929="","",E4931)</f>
        <v/>
      </c>
    </row>
    <row r="4932">
      <c r="A4932" s="1" t="inlineStr">
        <is>
          <t>Other Charges 其他费用</t>
        </is>
      </c>
      <c r="B4932" s="9">
        <f>IF($B4929="","",'Daily Sale entry '!D354)</f>
        <v/>
      </c>
      <c r="D4932" s="1" t="inlineStr">
        <is>
          <t>Cheque Collection 支票收款</t>
        </is>
      </c>
      <c r="E4932" s="9">
        <f>IF($B4929="","",'Daily Sale entry '!J354)</f>
        <v/>
      </c>
      <c r="H4932" s="1" t="inlineStr">
        <is>
          <t>Other Charges 其他费用</t>
        </is>
      </c>
      <c r="I4932" s="9">
        <f>IF($B4929="","",B4932)</f>
        <v/>
      </c>
      <c r="K4932" s="1" t="inlineStr">
        <is>
          <t>Cheque Collection 支票收款</t>
        </is>
      </c>
      <c r="L4932" s="9">
        <f>IF($B4929="","",E4932)</f>
        <v/>
      </c>
    </row>
    <row r="4933">
      <c r="A4933" s="10" t="inlineStr">
        <is>
          <t>Amount 金额  (Cash Sales - Misc - Other)</t>
        </is>
      </c>
      <c r="B4933" s="11">
        <f>IF($B4929="","",ROUND(B4930-B4931-B4932,2))</f>
        <v/>
      </c>
      <c r="D4933" s="12" t="inlineStr">
        <is>
          <t>TNG collection TNG收款</t>
        </is>
      </c>
      <c r="E4933" s="13">
        <f>IF($B4929="","",'Daily Sale entry '!K354)</f>
        <v/>
      </c>
      <c r="H4933" s="10" t="inlineStr">
        <is>
          <t>Amount 金额  (Cash Sales - Misc - Other)</t>
        </is>
      </c>
      <c r="I4933" s="11">
        <f>IF($B4929="","",ROUND(I4930-I4931-I4932,2))</f>
        <v/>
      </c>
      <c r="K4933" s="12" t="inlineStr">
        <is>
          <t>TNG collection TNG收款</t>
        </is>
      </c>
      <c r="L4933" s="13">
        <f>IF($B4929="","",E4933)</f>
        <v/>
      </c>
    </row>
    <row r="4934">
      <c r="A4934" t="inlineStr">
        <is>
          <t>Credit Collection 赊账收款</t>
        </is>
      </c>
      <c r="B4934" s="6">
        <f>IF($B4929="","",'Daily Sale entry '!E354)</f>
        <v/>
      </c>
      <c r="D4934" t="inlineStr">
        <is>
          <t>Advance Salary_M 预支薪水_M</t>
        </is>
      </c>
      <c r="E4934" s="6">
        <f>IF($B4929="","",'Daily Sale entry '!L354)</f>
        <v/>
      </c>
      <c r="H4934" t="inlineStr">
        <is>
          <t>Credit Collection 赊账收款</t>
        </is>
      </c>
      <c r="I4934" s="6">
        <f>IF($B4929="","",B4934)</f>
        <v/>
      </c>
      <c r="K4934" t="inlineStr">
        <is>
          <t>Advance Salary_M 预支薪水_M</t>
        </is>
      </c>
      <c r="L4934" s="6">
        <f>IF($B4929="","",E4934)</f>
        <v/>
      </c>
    </row>
    <row r="4935">
      <c r="A4935" s="10" t="inlineStr">
        <is>
          <t>Amount 2 金额2  (Amount + Credit Collection)</t>
        </is>
      </c>
      <c r="B4935" s="11">
        <f>IF($B4929="","",ROUND(B4933+B4934,2))</f>
        <v/>
      </c>
      <c r="D4935" t="inlineStr">
        <is>
          <t>Advance Salary_H 预支薪水_H</t>
        </is>
      </c>
      <c r="E4935" s="6">
        <f>IF($B4929="","",'Daily Sale entry '!M354)</f>
        <v/>
      </c>
      <c r="H4935" s="10" t="inlineStr">
        <is>
          <t>Amount 2 金额2  (Amount + Credit Collection)</t>
        </is>
      </c>
      <c r="I4935" s="11">
        <f>IF($B4929="","",ROUND(I4933+I4934,2))</f>
        <v/>
      </c>
      <c r="K4935" t="inlineStr">
        <is>
          <t>Advance Salary_H 预支薪水_H</t>
        </is>
      </c>
      <c r="L4935" s="6">
        <f>IF($B4929="","",E4935)</f>
        <v/>
      </c>
    </row>
    <row r="4936"/>
    <row r="4937">
      <c r="A4937" s="1" t="inlineStr">
        <is>
          <t>b/f petty cash 上日备用金结转</t>
        </is>
      </c>
      <c r="B4937" s="9">
        <f>IF($B4929="","",'Daily Sale entry '!F354)</f>
        <v/>
      </c>
      <c r="D4937" s="1" t="n"/>
      <c r="E4937" s="1" t="n"/>
      <c r="H4937" s="1" t="inlineStr">
        <is>
          <t>b/f petty cash 上日备用金结转</t>
        </is>
      </c>
      <c r="I4937" s="9">
        <f>IF($B4929="","",B4937)</f>
        <v/>
      </c>
      <c r="K4937" s="1" t="n"/>
      <c r="L4937" s="1" t="n"/>
    </row>
    <row r="4938">
      <c r="A4938" t="inlineStr">
        <is>
          <t>Total (A) 总计 (A)</t>
        </is>
      </c>
      <c r="B4938" s="6">
        <f>IF($B4929="","",ROUND(B4935+B4937,2))</f>
        <v/>
      </c>
      <c r="D4938" t="inlineStr">
        <is>
          <t>Total(B) 总计 (B)</t>
        </is>
      </c>
      <c r="E4938" s="6">
        <f>IF($B4929="","",ROUND(E4930+E4931+E4932+E4933+E4934+E4935,2))</f>
        <v/>
      </c>
      <c r="H4938" t="inlineStr">
        <is>
          <t>Total© 总计 (C)</t>
        </is>
      </c>
      <c r="I4938" s="6">
        <f>IF($B4929="","",ROUND(I4935+I4937,2))</f>
        <v/>
      </c>
      <c r="K4938" t="inlineStr">
        <is>
          <t>Total(D) 总计 (D)</t>
        </is>
      </c>
      <c r="L4938" s="6">
        <f>IF($B4929="","",ROUND(L4930+L4931+L4932+L4933+L4934+L4935,2))</f>
        <v/>
      </c>
    </row>
    <row r="4939">
      <c r="A4939" s="14" t="inlineStr">
        <is>
          <t>Total = Amount 2 + b/f petty cash  (金额2 + 上日备用金)</t>
        </is>
      </c>
      <c r="H4939" s="14" t="inlineStr">
        <is>
          <t>Total = Amount 2 + b/f petty cash  (金额2 + 上日备用金)</t>
        </is>
      </c>
    </row>
    <row r="4940">
      <c r="A4940" t="inlineStr">
        <is>
          <t>Different 差额</t>
        </is>
      </c>
      <c r="B4940" s="6">
        <f>IF($B4929="","",ROUND(B4938-E4938,2))</f>
        <v/>
      </c>
      <c r="D4940">
        <f>IF($B4929="","",IF(ABS(B4940)&gt;'Opening Balance'!$B$16,"ALERT 警报: Different over RM"&amp;'Opening Balance'!$B$16&amp;" 差额超过RM"&amp;'Opening Balance'!$B$16&amp;" - please check 请检查",IF(B4940=0,"Tied 平衡",IF(ABS(B4940)&lt;='Opening Balance'!$B$13,"Small difference 小额差额: adjusted on c/f petty cash 已调整备用金",IF(B4940&gt;0,"Short 短收: added to Misc Charges 已加入杂项费用","Over 多收: added to Cash Sales 已加入现金销售")))))</f>
        <v/>
      </c>
      <c r="H4940" t="inlineStr">
        <is>
          <t>Different 差额</t>
        </is>
      </c>
      <c r="I4940" s="6">
        <f>IF($B4929="","",ROUND(I4938-L4938,2))</f>
        <v/>
      </c>
    </row>
    <row r="4941"/>
    <row r="4942"/>
    <row r="4943">
      <c r="A4943" t="inlineStr">
        <is>
          <t>Date 日期</t>
        </is>
      </c>
      <c r="B4943" s="5">
        <f>IF('Daily Sale entry '!$A355="","",'Daily Sale entry '!$A355)</f>
        <v/>
      </c>
      <c r="H4943" t="inlineStr">
        <is>
          <t>After 调整后 (After)</t>
        </is>
      </c>
      <c r="I4943" s="5">
        <f>IF($B4943="","",B4943)</f>
        <v/>
      </c>
    </row>
    <row r="4944">
      <c r="A4944" t="inlineStr">
        <is>
          <t>Cash Sales 现金销售</t>
        </is>
      </c>
      <c r="B4944" s="6">
        <f>IF($B4943="","",'Daily Sale entry '!B355)</f>
        <v/>
      </c>
      <c r="D4944" t="inlineStr">
        <is>
          <t>c/f petty cash 今日备用金结转</t>
        </is>
      </c>
      <c r="E4944" s="6">
        <f>IF($B4943="","",'Daily Sale entry '!G355)</f>
        <v/>
      </c>
      <c r="H4944" t="inlineStr">
        <is>
          <t>Cash Sales 现金销售</t>
        </is>
      </c>
      <c r="I4944" s="6">
        <f>IF($B4943="","",IF(AND(ABS(B4954)&gt;'Opening Balance'!$B$13,B4954&lt;0),ROUND(B4944-B4954,2),B4944))</f>
        <v/>
      </c>
      <c r="K4944" t="inlineStr">
        <is>
          <t>c/f petty cash 今日备用金结转</t>
        </is>
      </c>
      <c r="L4944" s="6">
        <f>IF($B4943="","",IF(ABS(B4954)&lt;='Opening Balance'!$B$13,ROUND(E4944+B4954,2),E4944))</f>
        <v/>
      </c>
    </row>
    <row r="4945">
      <c r="A4945" t="inlineStr">
        <is>
          <t>Misc Charges 杂项费用</t>
        </is>
      </c>
      <c r="B4945" s="6">
        <f>IF($B4943="","",'Daily Sale entry '!C355)</f>
        <v/>
      </c>
      <c r="D4945" t="inlineStr">
        <is>
          <t>cash collection 现金收款</t>
        </is>
      </c>
      <c r="E4945" s="6">
        <f>IF($B4943="","",'Daily Sale entry '!H355)</f>
        <v/>
      </c>
      <c r="H4945" t="inlineStr">
        <is>
          <t>Misc Charges 杂项费用</t>
        </is>
      </c>
      <c r="I4945" s="6">
        <f>IF($B4943="","",IF(AND(ABS(B4954)&gt;'Opening Balance'!$B$13,B4954&gt;0),ROUND(B4945+B4954,2),B4945))</f>
        <v/>
      </c>
      <c r="K4945" t="inlineStr">
        <is>
          <t>cash collection 现金收款</t>
        </is>
      </c>
      <c r="L4945" s="6">
        <f>IF($B4943="","",E4945)</f>
        <v/>
      </c>
    </row>
    <row r="4946">
      <c r="A4946" s="1" t="inlineStr">
        <is>
          <t>Other Charges 其他费用</t>
        </is>
      </c>
      <c r="B4946" s="9">
        <f>IF($B4943="","",'Daily Sale entry '!D355)</f>
        <v/>
      </c>
      <c r="D4946" s="1" t="inlineStr">
        <is>
          <t>Cheque Collection 支票收款</t>
        </is>
      </c>
      <c r="E4946" s="9">
        <f>IF($B4943="","",'Daily Sale entry '!J355)</f>
        <v/>
      </c>
      <c r="H4946" s="1" t="inlineStr">
        <is>
          <t>Other Charges 其他费用</t>
        </is>
      </c>
      <c r="I4946" s="9">
        <f>IF($B4943="","",B4946)</f>
        <v/>
      </c>
      <c r="K4946" s="1" t="inlineStr">
        <is>
          <t>Cheque Collection 支票收款</t>
        </is>
      </c>
      <c r="L4946" s="9">
        <f>IF($B4943="","",E4946)</f>
        <v/>
      </c>
    </row>
    <row r="4947">
      <c r="A4947" s="10" t="inlineStr">
        <is>
          <t>Amount 金额  (Cash Sales - Misc - Other)</t>
        </is>
      </c>
      <c r="B4947" s="11">
        <f>IF($B4943="","",ROUND(B4944-B4945-B4946,2))</f>
        <v/>
      </c>
      <c r="D4947" s="12" t="inlineStr">
        <is>
          <t>TNG collection TNG收款</t>
        </is>
      </c>
      <c r="E4947" s="13">
        <f>IF($B4943="","",'Daily Sale entry '!K355)</f>
        <v/>
      </c>
      <c r="H4947" s="10" t="inlineStr">
        <is>
          <t>Amount 金额  (Cash Sales - Misc - Other)</t>
        </is>
      </c>
      <c r="I4947" s="11">
        <f>IF($B4943="","",ROUND(I4944-I4945-I4946,2))</f>
        <v/>
      </c>
      <c r="K4947" s="12" t="inlineStr">
        <is>
          <t>TNG collection TNG收款</t>
        </is>
      </c>
      <c r="L4947" s="13">
        <f>IF($B4943="","",E4947)</f>
        <v/>
      </c>
    </row>
    <row r="4948">
      <c r="A4948" t="inlineStr">
        <is>
          <t>Credit Collection 赊账收款</t>
        </is>
      </c>
      <c r="B4948" s="6">
        <f>IF($B4943="","",'Daily Sale entry '!E355)</f>
        <v/>
      </c>
      <c r="D4948" t="inlineStr">
        <is>
          <t>Advance Salary_M 预支薪水_M</t>
        </is>
      </c>
      <c r="E4948" s="6">
        <f>IF($B4943="","",'Daily Sale entry '!L355)</f>
        <v/>
      </c>
      <c r="H4948" t="inlineStr">
        <is>
          <t>Credit Collection 赊账收款</t>
        </is>
      </c>
      <c r="I4948" s="6">
        <f>IF($B4943="","",B4948)</f>
        <v/>
      </c>
      <c r="K4948" t="inlineStr">
        <is>
          <t>Advance Salary_M 预支薪水_M</t>
        </is>
      </c>
      <c r="L4948" s="6">
        <f>IF($B4943="","",E4948)</f>
        <v/>
      </c>
    </row>
    <row r="4949">
      <c r="A4949" s="10" t="inlineStr">
        <is>
          <t>Amount 2 金额2  (Amount + Credit Collection)</t>
        </is>
      </c>
      <c r="B4949" s="11">
        <f>IF($B4943="","",ROUND(B4947+B4948,2))</f>
        <v/>
      </c>
      <c r="D4949" t="inlineStr">
        <is>
          <t>Advance Salary_H 预支薪水_H</t>
        </is>
      </c>
      <c r="E4949" s="6">
        <f>IF($B4943="","",'Daily Sale entry '!M355)</f>
        <v/>
      </c>
      <c r="H4949" s="10" t="inlineStr">
        <is>
          <t>Amount 2 金额2  (Amount + Credit Collection)</t>
        </is>
      </c>
      <c r="I4949" s="11">
        <f>IF($B4943="","",ROUND(I4947+I4948,2))</f>
        <v/>
      </c>
      <c r="K4949" t="inlineStr">
        <is>
          <t>Advance Salary_H 预支薪水_H</t>
        </is>
      </c>
      <c r="L4949" s="6">
        <f>IF($B4943="","",E4949)</f>
        <v/>
      </c>
    </row>
    <row r="4950"/>
    <row r="4951">
      <c r="A4951" s="1" t="inlineStr">
        <is>
          <t>b/f petty cash 上日备用金结转</t>
        </is>
      </c>
      <c r="B4951" s="9">
        <f>IF($B4943="","",'Daily Sale entry '!F355)</f>
        <v/>
      </c>
      <c r="D4951" s="1" t="n"/>
      <c r="E4951" s="1" t="n"/>
      <c r="H4951" s="1" t="inlineStr">
        <is>
          <t>b/f petty cash 上日备用金结转</t>
        </is>
      </c>
      <c r="I4951" s="9">
        <f>IF($B4943="","",B4951)</f>
        <v/>
      </c>
      <c r="K4951" s="1" t="n"/>
      <c r="L4951" s="1" t="n"/>
    </row>
    <row r="4952">
      <c r="A4952" t="inlineStr">
        <is>
          <t>Total (A) 总计 (A)</t>
        </is>
      </c>
      <c r="B4952" s="6">
        <f>IF($B4943="","",ROUND(B4949+B4951,2))</f>
        <v/>
      </c>
      <c r="D4952" t="inlineStr">
        <is>
          <t>Total(B) 总计 (B)</t>
        </is>
      </c>
      <c r="E4952" s="6">
        <f>IF($B4943="","",ROUND(E4944+E4945+E4946+E4947+E4948+E4949,2))</f>
        <v/>
      </c>
      <c r="H4952" t="inlineStr">
        <is>
          <t>Total© 总计 (C)</t>
        </is>
      </c>
      <c r="I4952" s="6">
        <f>IF($B4943="","",ROUND(I4949+I4951,2))</f>
        <v/>
      </c>
      <c r="K4952" t="inlineStr">
        <is>
          <t>Total(D) 总计 (D)</t>
        </is>
      </c>
      <c r="L4952" s="6">
        <f>IF($B4943="","",ROUND(L4944+L4945+L4946+L4947+L4948+L4949,2))</f>
        <v/>
      </c>
    </row>
    <row r="4953">
      <c r="A4953" s="14" t="inlineStr">
        <is>
          <t>Total = Amount 2 + b/f petty cash  (金额2 + 上日备用金)</t>
        </is>
      </c>
      <c r="H4953" s="14" t="inlineStr">
        <is>
          <t>Total = Amount 2 + b/f petty cash  (金额2 + 上日备用金)</t>
        </is>
      </c>
    </row>
    <row r="4954">
      <c r="A4954" t="inlineStr">
        <is>
          <t>Different 差额</t>
        </is>
      </c>
      <c r="B4954" s="6">
        <f>IF($B4943="","",ROUND(B4952-E4952,2))</f>
        <v/>
      </c>
      <c r="D4954">
        <f>IF($B4943="","",IF(ABS(B4954)&gt;'Opening Balance'!$B$16,"ALERT 警报: Different over RM"&amp;'Opening Balance'!$B$16&amp;" 差额超过RM"&amp;'Opening Balance'!$B$16&amp;" - please check 请检查",IF(B4954=0,"Tied 平衡",IF(ABS(B4954)&lt;='Opening Balance'!$B$13,"Small difference 小额差额: adjusted on c/f petty cash 已调整备用金",IF(B4954&gt;0,"Short 短收: added to Misc Charges 已加入杂项费用","Over 多收: added to Cash Sales 已加入现金销售")))))</f>
        <v/>
      </c>
      <c r="H4954" t="inlineStr">
        <is>
          <t>Different 差额</t>
        </is>
      </c>
      <c r="I4954" s="6">
        <f>IF($B4943="","",ROUND(I4952-L4952,2))</f>
        <v/>
      </c>
    </row>
    <row r="4955"/>
    <row r="4956"/>
    <row r="4957">
      <c r="A4957" t="inlineStr">
        <is>
          <t>Date 日期</t>
        </is>
      </c>
      <c r="B4957" s="5">
        <f>IF('Daily Sale entry '!$A356="","",'Daily Sale entry '!$A356)</f>
        <v/>
      </c>
      <c r="H4957" t="inlineStr">
        <is>
          <t>After 调整后 (After)</t>
        </is>
      </c>
      <c r="I4957" s="5">
        <f>IF($B4957="","",B4957)</f>
        <v/>
      </c>
    </row>
    <row r="4958">
      <c r="A4958" t="inlineStr">
        <is>
          <t>Cash Sales 现金销售</t>
        </is>
      </c>
      <c r="B4958" s="6">
        <f>IF($B4957="","",'Daily Sale entry '!B356)</f>
        <v/>
      </c>
      <c r="D4958" t="inlineStr">
        <is>
          <t>c/f petty cash 今日备用金结转</t>
        </is>
      </c>
      <c r="E4958" s="6">
        <f>IF($B4957="","",'Daily Sale entry '!G356)</f>
        <v/>
      </c>
      <c r="H4958" t="inlineStr">
        <is>
          <t>Cash Sales 现金销售</t>
        </is>
      </c>
      <c r="I4958" s="6">
        <f>IF($B4957="","",IF(AND(ABS(B4968)&gt;'Opening Balance'!$B$13,B4968&lt;0),ROUND(B4958-B4968,2),B4958))</f>
        <v/>
      </c>
      <c r="K4958" t="inlineStr">
        <is>
          <t>c/f petty cash 今日备用金结转</t>
        </is>
      </c>
      <c r="L4958" s="6">
        <f>IF($B4957="","",IF(ABS(B4968)&lt;='Opening Balance'!$B$13,ROUND(E4958+B4968,2),E4958))</f>
        <v/>
      </c>
    </row>
    <row r="4959">
      <c r="A4959" t="inlineStr">
        <is>
          <t>Misc Charges 杂项费用</t>
        </is>
      </c>
      <c r="B4959" s="6">
        <f>IF($B4957="","",'Daily Sale entry '!C356)</f>
        <v/>
      </c>
      <c r="D4959" t="inlineStr">
        <is>
          <t>cash collection 现金收款</t>
        </is>
      </c>
      <c r="E4959" s="6">
        <f>IF($B4957="","",'Daily Sale entry '!H356)</f>
        <v/>
      </c>
      <c r="H4959" t="inlineStr">
        <is>
          <t>Misc Charges 杂项费用</t>
        </is>
      </c>
      <c r="I4959" s="6">
        <f>IF($B4957="","",IF(AND(ABS(B4968)&gt;'Opening Balance'!$B$13,B4968&gt;0),ROUND(B4959+B4968,2),B4959))</f>
        <v/>
      </c>
      <c r="K4959" t="inlineStr">
        <is>
          <t>cash collection 现金收款</t>
        </is>
      </c>
      <c r="L4959" s="6">
        <f>IF($B4957="","",E4959)</f>
        <v/>
      </c>
    </row>
    <row r="4960">
      <c r="A4960" s="1" t="inlineStr">
        <is>
          <t>Other Charges 其他费用</t>
        </is>
      </c>
      <c r="B4960" s="9">
        <f>IF($B4957="","",'Daily Sale entry '!D356)</f>
        <v/>
      </c>
      <c r="D4960" s="1" t="inlineStr">
        <is>
          <t>Cheque Collection 支票收款</t>
        </is>
      </c>
      <c r="E4960" s="9">
        <f>IF($B4957="","",'Daily Sale entry '!J356)</f>
        <v/>
      </c>
      <c r="H4960" s="1" t="inlineStr">
        <is>
          <t>Other Charges 其他费用</t>
        </is>
      </c>
      <c r="I4960" s="9">
        <f>IF($B4957="","",B4960)</f>
        <v/>
      </c>
      <c r="K4960" s="1" t="inlineStr">
        <is>
          <t>Cheque Collection 支票收款</t>
        </is>
      </c>
      <c r="L4960" s="9">
        <f>IF($B4957="","",E4960)</f>
        <v/>
      </c>
    </row>
    <row r="4961">
      <c r="A4961" s="10" t="inlineStr">
        <is>
          <t>Amount 金额  (Cash Sales - Misc - Other)</t>
        </is>
      </c>
      <c r="B4961" s="11">
        <f>IF($B4957="","",ROUND(B4958-B4959-B4960,2))</f>
        <v/>
      </c>
      <c r="D4961" s="12" t="inlineStr">
        <is>
          <t>TNG collection TNG收款</t>
        </is>
      </c>
      <c r="E4961" s="13">
        <f>IF($B4957="","",'Daily Sale entry '!K356)</f>
        <v/>
      </c>
      <c r="H4961" s="10" t="inlineStr">
        <is>
          <t>Amount 金额  (Cash Sales - Misc - Other)</t>
        </is>
      </c>
      <c r="I4961" s="11">
        <f>IF($B4957="","",ROUND(I4958-I4959-I4960,2))</f>
        <v/>
      </c>
      <c r="K4961" s="12" t="inlineStr">
        <is>
          <t>TNG collection TNG收款</t>
        </is>
      </c>
      <c r="L4961" s="13">
        <f>IF($B4957="","",E4961)</f>
        <v/>
      </c>
    </row>
    <row r="4962">
      <c r="A4962" t="inlineStr">
        <is>
          <t>Credit Collection 赊账收款</t>
        </is>
      </c>
      <c r="B4962" s="6">
        <f>IF($B4957="","",'Daily Sale entry '!E356)</f>
        <v/>
      </c>
      <c r="D4962" t="inlineStr">
        <is>
          <t>Advance Salary_M 预支薪水_M</t>
        </is>
      </c>
      <c r="E4962" s="6">
        <f>IF($B4957="","",'Daily Sale entry '!L356)</f>
        <v/>
      </c>
      <c r="H4962" t="inlineStr">
        <is>
          <t>Credit Collection 赊账收款</t>
        </is>
      </c>
      <c r="I4962" s="6">
        <f>IF($B4957="","",B4962)</f>
        <v/>
      </c>
      <c r="K4962" t="inlineStr">
        <is>
          <t>Advance Salary_M 预支薪水_M</t>
        </is>
      </c>
      <c r="L4962" s="6">
        <f>IF($B4957="","",E4962)</f>
        <v/>
      </c>
    </row>
    <row r="4963">
      <c r="A4963" s="10" t="inlineStr">
        <is>
          <t>Amount 2 金额2  (Amount + Credit Collection)</t>
        </is>
      </c>
      <c r="B4963" s="11">
        <f>IF($B4957="","",ROUND(B4961+B4962,2))</f>
        <v/>
      </c>
      <c r="D4963" t="inlineStr">
        <is>
          <t>Advance Salary_H 预支薪水_H</t>
        </is>
      </c>
      <c r="E4963" s="6">
        <f>IF($B4957="","",'Daily Sale entry '!M356)</f>
        <v/>
      </c>
      <c r="H4963" s="10" t="inlineStr">
        <is>
          <t>Amount 2 金额2  (Amount + Credit Collection)</t>
        </is>
      </c>
      <c r="I4963" s="11">
        <f>IF($B4957="","",ROUND(I4961+I4962,2))</f>
        <v/>
      </c>
      <c r="K4963" t="inlineStr">
        <is>
          <t>Advance Salary_H 预支薪水_H</t>
        </is>
      </c>
      <c r="L4963" s="6">
        <f>IF($B4957="","",E4963)</f>
        <v/>
      </c>
    </row>
    <row r="4964"/>
    <row r="4965">
      <c r="A4965" s="1" t="inlineStr">
        <is>
          <t>b/f petty cash 上日备用金结转</t>
        </is>
      </c>
      <c r="B4965" s="9">
        <f>IF($B4957="","",'Daily Sale entry '!F356)</f>
        <v/>
      </c>
      <c r="D4965" s="1" t="n"/>
      <c r="E4965" s="1" t="n"/>
      <c r="H4965" s="1" t="inlineStr">
        <is>
          <t>b/f petty cash 上日备用金结转</t>
        </is>
      </c>
      <c r="I4965" s="9">
        <f>IF($B4957="","",B4965)</f>
        <v/>
      </c>
      <c r="K4965" s="1" t="n"/>
      <c r="L4965" s="1" t="n"/>
    </row>
    <row r="4966">
      <c r="A4966" t="inlineStr">
        <is>
          <t>Total (A) 总计 (A)</t>
        </is>
      </c>
      <c r="B4966" s="6">
        <f>IF($B4957="","",ROUND(B4963+B4965,2))</f>
        <v/>
      </c>
      <c r="D4966" t="inlineStr">
        <is>
          <t>Total(B) 总计 (B)</t>
        </is>
      </c>
      <c r="E4966" s="6">
        <f>IF($B4957="","",ROUND(E4958+E4959+E4960+E4961+E4962+E4963,2))</f>
        <v/>
      </c>
      <c r="H4966" t="inlineStr">
        <is>
          <t>Total© 总计 (C)</t>
        </is>
      </c>
      <c r="I4966" s="6">
        <f>IF($B4957="","",ROUND(I4963+I4965,2))</f>
        <v/>
      </c>
      <c r="K4966" t="inlineStr">
        <is>
          <t>Total(D) 总计 (D)</t>
        </is>
      </c>
      <c r="L4966" s="6">
        <f>IF($B4957="","",ROUND(L4958+L4959+L4960+L4961+L4962+L4963,2))</f>
        <v/>
      </c>
    </row>
    <row r="4967">
      <c r="A4967" s="14" t="inlineStr">
        <is>
          <t>Total = Amount 2 + b/f petty cash  (金额2 + 上日备用金)</t>
        </is>
      </c>
      <c r="H4967" s="14" t="inlineStr">
        <is>
          <t>Total = Amount 2 + b/f petty cash  (金额2 + 上日备用金)</t>
        </is>
      </c>
    </row>
    <row r="4968">
      <c r="A4968" t="inlineStr">
        <is>
          <t>Different 差额</t>
        </is>
      </c>
      <c r="B4968" s="6">
        <f>IF($B4957="","",ROUND(B4966-E4966,2))</f>
        <v/>
      </c>
      <c r="D4968">
        <f>IF($B4957="","",IF(ABS(B4968)&gt;'Opening Balance'!$B$16,"ALERT 警报: Different over RM"&amp;'Opening Balance'!$B$16&amp;" 差额超过RM"&amp;'Opening Balance'!$B$16&amp;" - please check 请检查",IF(B4968=0,"Tied 平衡",IF(ABS(B4968)&lt;='Opening Balance'!$B$13,"Small difference 小额差额: adjusted on c/f petty cash 已调整备用金",IF(B4968&gt;0,"Short 短收: added to Misc Charges 已加入杂项费用","Over 多收: added to Cash Sales 已加入现金销售")))))</f>
        <v/>
      </c>
      <c r="H4968" t="inlineStr">
        <is>
          <t>Different 差额</t>
        </is>
      </c>
      <c r="I4968" s="6">
        <f>IF($B4957="","",ROUND(I4966-L4966,2))</f>
        <v/>
      </c>
    </row>
    <row r="4969"/>
    <row r="4970"/>
    <row r="4971">
      <c r="A4971" t="inlineStr">
        <is>
          <t>Date 日期</t>
        </is>
      </c>
      <c r="B4971" s="5">
        <f>IF('Daily Sale entry '!$A357="","",'Daily Sale entry '!$A357)</f>
        <v/>
      </c>
      <c r="H4971" t="inlineStr">
        <is>
          <t>After 调整后 (After)</t>
        </is>
      </c>
      <c r="I4971" s="5">
        <f>IF($B4971="","",B4971)</f>
        <v/>
      </c>
    </row>
    <row r="4972">
      <c r="A4972" t="inlineStr">
        <is>
          <t>Cash Sales 现金销售</t>
        </is>
      </c>
      <c r="B4972" s="6">
        <f>IF($B4971="","",'Daily Sale entry '!B357)</f>
        <v/>
      </c>
      <c r="D4972" t="inlineStr">
        <is>
          <t>c/f petty cash 今日备用金结转</t>
        </is>
      </c>
      <c r="E4972" s="6">
        <f>IF($B4971="","",'Daily Sale entry '!G357)</f>
        <v/>
      </c>
      <c r="H4972" t="inlineStr">
        <is>
          <t>Cash Sales 现金销售</t>
        </is>
      </c>
      <c r="I4972" s="6">
        <f>IF($B4971="","",IF(AND(ABS(B4982)&gt;'Opening Balance'!$B$13,B4982&lt;0),ROUND(B4972-B4982,2),B4972))</f>
        <v/>
      </c>
      <c r="K4972" t="inlineStr">
        <is>
          <t>c/f petty cash 今日备用金结转</t>
        </is>
      </c>
      <c r="L4972" s="6">
        <f>IF($B4971="","",IF(ABS(B4982)&lt;='Opening Balance'!$B$13,ROUND(E4972+B4982,2),E4972))</f>
        <v/>
      </c>
    </row>
    <row r="4973">
      <c r="A4973" t="inlineStr">
        <is>
          <t>Misc Charges 杂项费用</t>
        </is>
      </c>
      <c r="B4973" s="6">
        <f>IF($B4971="","",'Daily Sale entry '!C357)</f>
        <v/>
      </c>
      <c r="D4973" t="inlineStr">
        <is>
          <t>cash collection 现金收款</t>
        </is>
      </c>
      <c r="E4973" s="6">
        <f>IF($B4971="","",'Daily Sale entry '!H357)</f>
        <v/>
      </c>
      <c r="H4973" t="inlineStr">
        <is>
          <t>Misc Charges 杂项费用</t>
        </is>
      </c>
      <c r="I4973" s="6">
        <f>IF($B4971="","",IF(AND(ABS(B4982)&gt;'Opening Balance'!$B$13,B4982&gt;0),ROUND(B4973+B4982,2),B4973))</f>
        <v/>
      </c>
      <c r="K4973" t="inlineStr">
        <is>
          <t>cash collection 现金收款</t>
        </is>
      </c>
      <c r="L4973" s="6">
        <f>IF($B4971="","",E4973)</f>
        <v/>
      </c>
    </row>
    <row r="4974">
      <c r="A4974" s="1" t="inlineStr">
        <is>
          <t>Other Charges 其他费用</t>
        </is>
      </c>
      <c r="B4974" s="9">
        <f>IF($B4971="","",'Daily Sale entry '!D357)</f>
        <v/>
      </c>
      <c r="D4974" s="1" t="inlineStr">
        <is>
          <t>Cheque Collection 支票收款</t>
        </is>
      </c>
      <c r="E4974" s="9">
        <f>IF($B4971="","",'Daily Sale entry '!J357)</f>
        <v/>
      </c>
      <c r="H4974" s="1" t="inlineStr">
        <is>
          <t>Other Charges 其他费用</t>
        </is>
      </c>
      <c r="I4974" s="9">
        <f>IF($B4971="","",B4974)</f>
        <v/>
      </c>
      <c r="K4974" s="1" t="inlineStr">
        <is>
          <t>Cheque Collection 支票收款</t>
        </is>
      </c>
      <c r="L4974" s="9">
        <f>IF($B4971="","",E4974)</f>
        <v/>
      </c>
    </row>
    <row r="4975">
      <c r="A4975" s="10" t="inlineStr">
        <is>
          <t>Amount 金额  (Cash Sales - Misc - Other)</t>
        </is>
      </c>
      <c r="B4975" s="11">
        <f>IF($B4971="","",ROUND(B4972-B4973-B4974,2))</f>
        <v/>
      </c>
      <c r="D4975" s="12" t="inlineStr">
        <is>
          <t>TNG collection TNG收款</t>
        </is>
      </c>
      <c r="E4975" s="13">
        <f>IF($B4971="","",'Daily Sale entry '!K357)</f>
        <v/>
      </c>
      <c r="H4975" s="10" t="inlineStr">
        <is>
          <t>Amount 金额  (Cash Sales - Misc - Other)</t>
        </is>
      </c>
      <c r="I4975" s="11">
        <f>IF($B4971="","",ROUND(I4972-I4973-I4974,2))</f>
        <v/>
      </c>
      <c r="K4975" s="12" t="inlineStr">
        <is>
          <t>TNG collection TNG收款</t>
        </is>
      </c>
      <c r="L4975" s="13">
        <f>IF($B4971="","",E4975)</f>
        <v/>
      </c>
    </row>
    <row r="4976">
      <c r="A4976" t="inlineStr">
        <is>
          <t>Credit Collection 赊账收款</t>
        </is>
      </c>
      <c r="B4976" s="6">
        <f>IF($B4971="","",'Daily Sale entry '!E357)</f>
        <v/>
      </c>
      <c r="D4976" t="inlineStr">
        <is>
          <t>Advance Salary_M 预支薪水_M</t>
        </is>
      </c>
      <c r="E4976" s="6">
        <f>IF($B4971="","",'Daily Sale entry '!L357)</f>
        <v/>
      </c>
      <c r="H4976" t="inlineStr">
        <is>
          <t>Credit Collection 赊账收款</t>
        </is>
      </c>
      <c r="I4976" s="6">
        <f>IF($B4971="","",B4976)</f>
        <v/>
      </c>
      <c r="K4976" t="inlineStr">
        <is>
          <t>Advance Salary_M 预支薪水_M</t>
        </is>
      </c>
      <c r="L4976" s="6">
        <f>IF($B4971="","",E4976)</f>
        <v/>
      </c>
    </row>
    <row r="4977">
      <c r="A4977" s="10" t="inlineStr">
        <is>
          <t>Amount 2 金额2  (Amount + Credit Collection)</t>
        </is>
      </c>
      <c r="B4977" s="11">
        <f>IF($B4971="","",ROUND(B4975+B4976,2))</f>
        <v/>
      </c>
      <c r="D4977" t="inlineStr">
        <is>
          <t>Advance Salary_H 预支薪水_H</t>
        </is>
      </c>
      <c r="E4977" s="6">
        <f>IF($B4971="","",'Daily Sale entry '!M357)</f>
        <v/>
      </c>
      <c r="H4977" s="10" t="inlineStr">
        <is>
          <t>Amount 2 金额2  (Amount + Credit Collection)</t>
        </is>
      </c>
      <c r="I4977" s="11">
        <f>IF($B4971="","",ROUND(I4975+I4976,2))</f>
        <v/>
      </c>
      <c r="K4977" t="inlineStr">
        <is>
          <t>Advance Salary_H 预支薪水_H</t>
        </is>
      </c>
      <c r="L4977" s="6">
        <f>IF($B4971="","",E4977)</f>
        <v/>
      </c>
    </row>
    <row r="4978"/>
    <row r="4979">
      <c r="A4979" s="1" t="inlineStr">
        <is>
          <t>b/f petty cash 上日备用金结转</t>
        </is>
      </c>
      <c r="B4979" s="9">
        <f>IF($B4971="","",'Daily Sale entry '!F357)</f>
        <v/>
      </c>
      <c r="D4979" s="1" t="n"/>
      <c r="E4979" s="1" t="n"/>
      <c r="H4979" s="1" t="inlineStr">
        <is>
          <t>b/f petty cash 上日备用金结转</t>
        </is>
      </c>
      <c r="I4979" s="9">
        <f>IF($B4971="","",B4979)</f>
        <v/>
      </c>
      <c r="K4979" s="1" t="n"/>
      <c r="L4979" s="1" t="n"/>
    </row>
    <row r="4980">
      <c r="A4980" t="inlineStr">
        <is>
          <t>Total (A) 总计 (A)</t>
        </is>
      </c>
      <c r="B4980" s="6">
        <f>IF($B4971="","",ROUND(B4977+B4979,2))</f>
        <v/>
      </c>
      <c r="D4980" t="inlineStr">
        <is>
          <t>Total(B) 总计 (B)</t>
        </is>
      </c>
      <c r="E4980" s="6">
        <f>IF($B4971="","",ROUND(E4972+E4973+E4974+E4975+E4976+E4977,2))</f>
        <v/>
      </c>
      <c r="H4980" t="inlineStr">
        <is>
          <t>Total© 总计 (C)</t>
        </is>
      </c>
      <c r="I4980" s="6">
        <f>IF($B4971="","",ROUND(I4977+I4979,2))</f>
        <v/>
      </c>
      <c r="K4980" t="inlineStr">
        <is>
          <t>Total(D) 总计 (D)</t>
        </is>
      </c>
      <c r="L4980" s="6">
        <f>IF($B4971="","",ROUND(L4972+L4973+L4974+L4975+L4976+L4977,2))</f>
        <v/>
      </c>
    </row>
    <row r="4981">
      <c r="A4981" s="14" t="inlineStr">
        <is>
          <t>Total = Amount 2 + b/f petty cash  (金额2 + 上日备用金)</t>
        </is>
      </c>
      <c r="H4981" s="14" t="inlineStr">
        <is>
          <t>Total = Amount 2 + b/f petty cash  (金额2 + 上日备用金)</t>
        </is>
      </c>
    </row>
    <row r="4982">
      <c r="A4982" t="inlineStr">
        <is>
          <t>Different 差额</t>
        </is>
      </c>
      <c r="B4982" s="6">
        <f>IF($B4971="","",ROUND(B4980-E4980,2))</f>
        <v/>
      </c>
      <c r="D4982">
        <f>IF($B4971="","",IF(ABS(B4982)&gt;'Opening Balance'!$B$16,"ALERT 警报: Different over RM"&amp;'Opening Balance'!$B$16&amp;" 差额超过RM"&amp;'Opening Balance'!$B$16&amp;" - please check 请检查",IF(B4982=0,"Tied 平衡",IF(ABS(B4982)&lt;='Opening Balance'!$B$13,"Small difference 小额差额: adjusted on c/f petty cash 已调整备用金",IF(B4982&gt;0,"Short 短收: added to Misc Charges 已加入杂项费用","Over 多收: added to Cash Sales 已加入现金销售")))))</f>
        <v/>
      </c>
      <c r="H4982" t="inlineStr">
        <is>
          <t>Different 差额</t>
        </is>
      </c>
      <c r="I4982" s="6">
        <f>IF($B4971="","",ROUND(I4980-L4980,2))</f>
        <v/>
      </c>
    </row>
    <row r="4983"/>
    <row r="4984"/>
    <row r="4985">
      <c r="A4985" t="inlineStr">
        <is>
          <t>Date 日期</t>
        </is>
      </c>
      <c r="B4985" s="5">
        <f>IF('Daily Sale entry '!$A358="","",'Daily Sale entry '!$A358)</f>
        <v/>
      </c>
      <c r="H4985" t="inlineStr">
        <is>
          <t>After 调整后 (After)</t>
        </is>
      </c>
      <c r="I4985" s="5">
        <f>IF($B4985="","",B4985)</f>
        <v/>
      </c>
    </row>
    <row r="4986">
      <c r="A4986" t="inlineStr">
        <is>
          <t>Cash Sales 现金销售</t>
        </is>
      </c>
      <c r="B4986" s="6">
        <f>IF($B4985="","",'Daily Sale entry '!B358)</f>
        <v/>
      </c>
      <c r="D4986" t="inlineStr">
        <is>
          <t>c/f petty cash 今日备用金结转</t>
        </is>
      </c>
      <c r="E4986" s="6">
        <f>IF($B4985="","",'Daily Sale entry '!G358)</f>
        <v/>
      </c>
      <c r="H4986" t="inlineStr">
        <is>
          <t>Cash Sales 现金销售</t>
        </is>
      </c>
      <c r="I4986" s="6">
        <f>IF($B4985="","",IF(AND(ABS(B4996)&gt;'Opening Balance'!$B$13,B4996&lt;0),ROUND(B4986-B4996,2),B4986))</f>
        <v/>
      </c>
      <c r="K4986" t="inlineStr">
        <is>
          <t>c/f petty cash 今日备用金结转</t>
        </is>
      </c>
      <c r="L4986" s="6">
        <f>IF($B4985="","",IF(ABS(B4996)&lt;='Opening Balance'!$B$13,ROUND(E4986+B4996,2),E4986))</f>
        <v/>
      </c>
    </row>
    <row r="4987">
      <c r="A4987" t="inlineStr">
        <is>
          <t>Misc Charges 杂项费用</t>
        </is>
      </c>
      <c r="B4987" s="6">
        <f>IF($B4985="","",'Daily Sale entry '!C358)</f>
        <v/>
      </c>
      <c r="D4987" t="inlineStr">
        <is>
          <t>cash collection 现金收款</t>
        </is>
      </c>
      <c r="E4987" s="6">
        <f>IF($B4985="","",'Daily Sale entry '!H358)</f>
        <v/>
      </c>
      <c r="H4987" t="inlineStr">
        <is>
          <t>Misc Charges 杂项费用</t>
        </is>
      </c>
      <c r="I4987" s="6">
        <f>IF($B4985="","",IF(AND(ABS(B4996)&gt;'Opening Balance'!$B$13,B4996&gt;0),ROUND(B4987+B4996,2),B4987))</f>
        <v/>
      </c>
      <c r="K4987" t="inlineStr">
        <is>
          <t>cash collection 现金收款</t>
        </is>
      </c>
      <c r="L4987" s="6">
        <f>IF($B4985="","",E4987)</f>
        <v/>
      </c>
    </row>
    <row r="4988">
      <c r="A4988" s="1" t="inlineStr">
        <is>
          <t>Other Charges 其他费用</t>
        </is>
      </c>
      <c r="B4988" s="9">
        <f>IF($B4985="","",'Daily Sale entry '!D358)</f>
        <v/>
      </c>
      <c r="D4988" s="1" t="inlineStr">
        <is>
          <t>Cheque Collection 支票收款</t>
        </is>
      </c>
      <c r="E4988" s="9">
        <f>IF($B4985="","",'Daily Sale entry '!J358)</f>
        <v/>
      </c>
      <c r="H4988" s="1" t="inlineStr">
        <is>
          <t>Other Charges 其他费用</t>
        </is>
      </c>
      <c r="I4988" s="9">
        <f>IF($B4985="","",B4988)</f>
        <v/>
      </c>
      <c r="K4988" s="1" t="inlineStr">
        <is>
          <t>Cheque Collection 支票收款</t>
        </is>
      </c>
      <c r="L4988" s="9">
        <f>IF($B4985="","",E4988)</f>
        <v/>
      </c>
    </row>
    <row r="4989">
      <c r="A4989" s="10" t="inlineStr">
        <is>
          <t>Amount 金额  (Cash Sales - Misc - Other)</t>
        </is>
      </c>
      <c r="B4989" s="11">
        <f>IF($B4985="","",ROUND(B4986-B4987-B4988,2))</f>
        <v/>
      </c>
      <c r="D4989" s="12" t="inlineStr">
        <is>
          <t>TNG collection TNG收款</t>
        </is>
      </c>
      <c r="E4989" s="13">
        <f>IF($B4985="","",'Daily Sale entry '!K358)</f>
        <v/>
      </c>
      <c r="H4989" s="10" t="inlineStr">
        <is>
          <t>Amount 金额  (Cash Sales - Misc - Other)</t>
        </is>
      </c>
      <c r="I4989" s="11">
        <f>IF($B4985="","",ROUND(I4986-I4987-I4988,2))</f>
        <v/>
      </c>
      <c r="K4989" s="12" t="inlineStr">
        <is>
          <t>TNG collection TNG收款</t>
        </is>
      </c>
      <c r="L4989" s="13">
        <f>IF($B4985="","",E4989)</f>
        <v/>
      </c>
    </row>
    <row r="4990">
      <c r="A4990" t="inlineStr">
        <is>
          <t>Credit Collection 赊账收款</t>
        </is>
      </c>
      <c r="B4990" s="6">
        <f>IF($B4985="","",'Daily Sale entry '!E358)</f>
        <v/>
      </c>
      <c r="D4990" t="inlineStr">
        <is>
          <t>Advance Salary_M 预支薪水_M</t>
        </is>
      </c>
      <c r="E4990" s="6">
        <f>IF($B4985="","",'Daily Sale entry '!L358)</f>
        <v/>
      </c>
      <c r="H4990" t="inlineStr">
        <is>
          <t>Credit Collection 赊账收款</t>
        </is>
      </c>
      <c r="I4990" s="6">
        <f>IF($B4985="","",B4990)</f>
        <v/>
      </c>
      <c r="K4990" t="inlineStr">
        <is>
          <t>Advance Salary_M 预支薪水_M</t>
        </is>
      </c>
      <c r="L4990" s="6">
        <f>IF($B4985="","",E4990)</f>
        <v/>
      </c>
    </row>
    <row r="4991">
      <c r="A4991" s="10" t="inlineStr">
        <is>
          <t>Amount 2 金额2  (Amount + Credit Collection)</t>
        </is>
      </c>
      <c r="B4991" s="11">
        <f>IF($B4985="","",ROUND(B4989+B4990,2))</f>
        <v/>
      </c>
      <c r="D4991" t="inlineStr">
        <is>
          <t>Advance Salary_H 预支薪水_H</t>
        </is>
      </c>
      <c r="E4991" s="6">
        <f>IF($B4985="","",'Daily Sale entry '!M358)</f>
        <v/>
      </c>
      <c r="H4991" s="10" t="inlineStr">
        <is>
          <t>Amount 2 金额2  (Amount + Credit Collection)</t>
        </is>
      </c>
      <c r="I4991" s="11">
        <f>IF($B4985="","",ROUND(I4989+I4990,2))</f>
        <v/>
      </c>
      <c r="K4991" t="inlineStr">
        <is>
          <t>Advance Salary_H 预支薪水_H</t>
        </is>
      </c>
      <c r="L4991" s="6">
        <f>IF($B4985="","",E4991)</f>
        <v/>
      </c>
    </row>
    <row r="4992"/>
    <row r="4993">
      <c r="A4993" s="1" t="inlineStr">
        <is>
          <t>b/f petty cash 上日备用金结转</t>
        </is>
      </c>
      <c r="B4993" s="9">
        <f>IF($B4985="","",'Daily Sale entry '!F358)</f>
        <v/>
      </c>
      <c r="D4993" s="1" t="n"/>
      <c r="E4993" s="1" t="n"/>
      <c r="H4993" s="1" t="inlineStr">
        <is>
          <t>b/f petty cash 上日备用金结转</t>
        </is>
      </c>
      <c r="I4993" s="9">
        <f>IF($B4985="","",B4993)</f>
        <v/>
      </c>
      <c r="K4993" s="1" t="n"/>
      <c r="L4993" s="1" t="n"/>
    </row>
    <row r="4994">
      <c r="A4994" t="inlineStr">
        <is>
          <t>Total (A) 总计 (A)</t>
        </is>
      </c>
      <c r="B4994" s="6">
        <f>IF($B4985="","",ROUND(B4991+B4993,2))</f>
        <v/>
      </c>
      <c r="D4994" t="inlineStr">
        <is>
          <t>Total(B) 总计 (B)</t>
        </is>
      </c>
      <c r="E4994" s="6">
        <f>IF($B4985="","",ROUND(E4986+E4987+E4988+E4989+E4990+E4991,2))</f>
        <v/>
      </c>
      <c r="H4994" t="inlineStr">
        <is>
          <t>Total© 总计 (C)</t>
        </is>
      </c>
      <c r="I4994" s="6">
        <f>IF($B4985="","",ROUND(I4991+I4993,2))</f>
        <v/>
      </c>
      <c r="K4994" t="inlineStr">
        <is>
          <t>Total(D) 总计 (D)</t>
        </is>
      </c>
      <c r="L4994" s="6">
        <f>IF($B4985="","",ROUND(L4986+L4987+L4988+L4989+L4990+L4991,2))</f>
        <v/>
      </c>
    </row>
    <row r="4995">
      <c r="A4995" s="14" t="inlineStr">
        <is>
          <t>Total = Amount 2 + b/f petty cash  (金额2 + 上日备用金)</t>
        </is>
      </c>
      <c r="H4995" s="14" t="inlineStr">
        <is>
          <t>Total = Amount 2 + b/f petty cash  (金额2 + 上日备用金)</t>
        </is>
      </c>
    </row>
    <row r="4996">
      <c r="A4996" t="inlineStr">
        <is>
          <t>Different 差额</t>
        </is>
      </c>
      <c r="B4996" s="6">
        <f>IF($B4985="","",ROUND(B4994-E4994,2))</f>
        <v/>
      </c>
      <c r="D4996">
        <f>IF($B4985="","",IF(ABS(B4996)&gt;'Opening Balance'!$B$16,"ALERT 警报: Different over RM"&amp;'Opening Balance'!$B$16&amp;" 差额超过RM"&amp;'Opening Balance'!$B$16&amp;" - please check 请检查",IF(B4996=0,"Tied 平衡",IF(ABS(B4996)&lt;='Opening Balance'!$B$13,"Small difference 小额差额: adjusted on c/f petty cash 已调整备用金",IF(B4996&gt;0,"Short 短收: added to Misc Charges 已加入杂项费用","Over 多收: added to Cash Sales 已加入现金销售")))))</f>
        <v/>
      </c>
      <c r="H4996" t="inlineStr">
        <is>
          <t>Different 差额</t>
        </is>
      </c>
      <c r="I4996" s="6">
        <f>IF($B4985="","",ROUND(I4994-L4994,2))</f>
        <v/>
      </c>
    </row>
    <row r="4997"/>
    <row r="4998"/>
    <row r="4999">
      <c r="A4999" t="inlineStr">
        <is>
          <t>Date 日期</t>
        </is>
      </c>
      <c r="B4999" s="5">
        <f>IF('Daily Sale entry '!$A359="","",'Daily Sale entry '!$A359)</f>
        <v/>
      </c>
      <c r="H4999" t="inlineStr">
        <is>
          <t>After 调整后 (After)</t>
        </is>
      </c>
      <c r="I4999" s="5">
        <f>IF($B4999="","",B4999)</f>
        <v/>
      </c>
    </row>
    <row r="5000">
      <c r="A5000" t="inlineStr">
        <is>
          <t>Cash Sales 现金销售</t>
        </is>
      </c>
      <c r="B5000" s="6">
        <f>IF($B4999="","",'Daily Sale entry '!B359)</f>
        <v/>
      </c>
      <c r="D5000" t="inlineStr">
        <is>
          <t>c/f petty cash 今日备用金结转</t>
        </is>
      </c>
      <c r="E5000" s="6">
        <f>IF($B4999="","",'Daily Sale entry '!G359)</f>
        <v/>
      </c>
      <c r="H5000" t="inlineStr">
        <is>
          <t>Cash Sales 现金销售</t>
        </is>
      </c>
      <c r="I5000" s="6">
        <f>IF($B4999="","",IF(AND(ABS(B5010)&gt;'Opening Balance'!$B$13,B5010&lt;0),ROUND(B5000-B5010,2),B5000))</f>
        <v/>
      </c>
      <c r="K5000" t="inlineStr">
        <is>
          <t>c/f petty cash 今日备用金结转</t>
        </is>
      </c>
      <c r="L5000" s="6">
        <f>IF($B4999="","",IF(ABS(B5010)&lt;='Opening Balance'!$B$13,ROUND(E5000+B5010,2),E5000))</f>
        <v/>
      </c>
    </row>
    <row r="5001">
      <c r="A5001" t="inlineStr">
        <is>
          <t>Misc Charges 杂项费用</t>
        </is>
      </c>
      <c r="B5001" s="6">
        <f>IF($B4999="","",'Daily Sale entry '!C359)</f>
        <v/>
      </c>
      <c r="D5001" t="inlineStr">
        <is>
          <t>cash collection 现金收款</t>
        </is>
      </c>
      <c r="E5001" s="6">
        <f>IF($B4999="","",'Daily Sale entry '!H359)</f>
        <v/>
      </c>
      <c r="H5001" t="inlineStr">
        <is>
          <t>Misc Charges 杂项费用</t>
        </is>
      </c>
      <c r="I5001" s="6">
        <f>IF($B4999="","",IF(AND(ABS(B5010)&gt;'Opening Balance'!$B$13,B5010&gt;0),ROUND(B5001+B5010,2),B5001))</f>
        <v/>
      </c>
      <c r="K5001" t="inlineStr">
        <is>
          <t>cash collection 现金收款</t>
        </is>
      </c>
      <c r="L5001" s="6">
        <f>IF($B4999="","",E5001)</f>
        <v/>
      </c>
    </row>
    <row r="5002">
      <c r="A5002" s="1" t="inlineStr">
        <is>
          <t>Other Charges 其他费用</t>
        </is>
      </c>
      <c r="B5002" s="9">
        <f>IF($B4999="","",'Daily Sale entry '!D359)</f>
        <v/>
      </c>
      <c r="D5002" s="1" t="inlineStr">
        <is>
          <t>Cheque Collection 支票收款</t>
        </is>
      </c>
      <c r="E5002" s="9">
        <f>IF($B4999="","",'Daily Sale entry '!J359)</f>
        <v/>
      </c>
      <c r="H5002" s="1" t="inlineStr">
        <is>
          <t>Other Charges 其他费用</t>
        </is>
      </c>
      <c r="I5002" s="9">
        <f>IF($B4999="","",B5002)</f>
        <v/>
      </c>
      <c r="K5002" s="1" t="inlineStr">
        <is>
          <t>Cheque Collection 支票收款</t>
        </is>
      </c>
      <c r="L5002" s="9">
        <f>IF($B4999="","",E5002)</f>
        <v/>
      </c>
    </row>
    <row r="5003">
      <c r="A5003" s="10" t="inlineStr">
        <is>
          <t>Amount 金额  (Cash Sales - Misc - Other)</t>
        </is>
      </c>
      <c r="B5003" s="11">
        <f>IF($B4999="","",ROUND(B5000-B5001-B5002,2))</f>
        <v/>
      </c>
      <c r="D5003" s="12" t="inlineStr">
        <is>
          <t>TNG collection TNG收款</t>
        </is>
      </c>
      <c r="E5003" s="13">
        <f>IF($B4999="","",'Daily Sale entry '!K359)</f>
        <v/>
      </c>
      <c r="H5003" s="10" t="inlineStr">
        <is>
          <t>Amount 金额  (Cash Sales - Misc - Other)</t>
        </is>
      </c>
      <c r="I5003" s="11">
        <f>IF($B4999="","",ROUND(I5000-I5001-I5002,2))</f>
        <v/>
      </c>
      <c r="K5003" s="12" t="inlineStr">
        <is>
          <t>TNG collection TNG收款</t>
        </is>
      </c>
      <c r="L5003" s="13">
        <f>IF($B4999="","",E5003)</f>
        <v/>
      </c>
    </row>
    <row r="5004">
      <c r="A5004" t="inlineStr">
        <is>
          <t>Credit Collection 赊账收款</t>
        </is>
      </c>
      <c r="B5004" s="6">
        <f>IF($B4999="","",'Daily Sale entry '!E359)</f>
        <v/>
      </c>
      <c r="D5004" t="inlineStr">
        <is>
          <t>Advance Salary_M 预支薪水_M</t>
        </is>
      </c>
      <c r="E5004" s="6">
        <f>IF($B4999="","",'Daily Sale entry '!L359)</f>
        <v/>
      </c>
      <c r="H5004" t="inlineStr">
        <is>
          <t>Credit Collection 赊账收款</t>
        </is>
      </c>
      <c r="I5004" s="6">
        <f>IF($B4999="","",B5004)</f>
        <v/>
      </c>
      <c r="K5004" t="inlineStr">
        <is>
          <t>Advance Salary_M 预支薪水_M</t>
        </is>
      </c>
      <c r="L5004" s="6">
        <f>IF($B4999="","",E5004)</f>
        <v/>
      </c>
    </row>
    <row r="5005">
      <c r="A5005" s="10" t="inlineStr">
        <is>
          <t>Amount 2 金额2  (Amount + Credit Collection)</t>
        </is>
      </c>
      <c r="B5005" s="11">
        <f>IF($B4999="","",ROUND(B5003+B5004,2))</f>
        <v/>
      </c>
      <c r="D5005" t="inlineStr">
        <is>
          <t>Advance Salary_H 预支薪水_H</t>
        </is>
      </c>
      <c r="E5005" s="6">
        <f>IF($B4999="","",'Daily Sale entry '!M359)</f>
        <v/>
      </c>
      <c r="H5005" s="10" t="inlineStr">
        <is>
          <t>Amount 2 金额2  (Amount + Credit Collection)</t>
        </is>
      </c>
      <c r="I5005" s="11">
        <f>IF($B4999="","",ROUND(I5003+I5004,2))</f>
        <v/>
      </c>
      <c r="K5005" t="inlineStr">
        <is>
          <t>Advance Salary_H 预支薪水_H</t>
        </is>
      </c>
      <c r="L5005" s="6">
        <f>IF($B4999="","",E5005)</f>
        <v/>
      </c>
    </row>
    <row r="5006"/>
    <row r="5007">
      <c r="A5007" s="1" t="inlineStr">
        <is>
          <t>b/f petty cash 上日备用金结转</t>
        </is>
      </c>
      <c r="B5007" s="9">
        <f>IF($B4999="","",'Daily Sale entry '!F359)</f>
        <v/>
      </c>
      <c r="D5007" s="1" t="n"/>
      <c r="E5007" s="1" t="n"/>
      <c r="H5007" s="1" t="inlineStr">
        <is>
          <t>b/f petty cash 上日备用金结转</t>
        </is>
      </c>
      <c r="I5007" s="9">
        <f>IF($B4999="","",B5007)</f>
        <v/>
      </c>
      <c r="K5007" s="1" t="n"/>
      <c r="L5007" s="1" t="n"/>
    </row>
    <row r="5008">
      <c r="A5008" t="inlineStr">
        <is>
          <t>Total (A) 总计 (A)</t>
        </is>
      </c>
      <c r="B5008" s="6">
        <f>IF($B4999="","",ROUND(B5005+B5007,2))</f>
        <v/>
      </c>
      <c r="D5008" t="inlineStr">
        <is>
          <t>Total(B) 总计 (B)</t>
        </is>
      </c>
      <c r="E5008" s="6">
        <f>IF($B4999="","",ROUND(E5000+E5001+E5002+E5003+E5004+E5005,2))</f>
        <v/>
      </c>
      <c r="H5008" t="inlineStr">
        <is>
          <t>Total© 总计 (C)</t>
        </is>
      </c>
      <c r="I5008" s="6">
        <f>IF($B4999="","",ROUND(I5005+I5007,2))</f>
        <v/>
      </c>
      <c r="K5008" t="inlineStr">
        <is>
          <t>Total(D) 总计 (D)</t>
        </is>
      </c>
      <c r="L5008" s="6">
        <f>IF($B4999="","",ROUND(L5000+L5001+L5002+L5003+L5004+L5005,2))</f>
        <v/>
      </c>
    </row>
    <row r="5009">
      <c r="A5009" s="14" t="inlineStr">
        <is>
          <t>Total = Amount 2 + b/f petty cash  (金额2 + 上日备用金)</t>
        </is>
      </c>
      <c r="H5009" s="14" t="inlineStr">
        <is>
          <t>Total = Amount 2 + b/f petty cash  (金额2 + 上日备用金)</t>
        </is>
      </c>
    </row>
    <row r="5010">
      <c r="A5010" t="inlineStr">
        <is>
          <t>Different 差额</t>
        </is>
      </c>
      <c r="B5010" s="6">
        <f>IF($B4999="","",ROUND(B5008-E5008,2))</f>
        <v/>
      </c>
      <c r="D5010">
        <f>IF($B4999="","",IF(ABS(B5010)&gt;'Opening Balance'!$B$16,"ALERT 警报: Different over RM"&amp;'Opening Balance'!$B$16&amp;" 差额超过RM"&amp;'Opening Balance'!$B$16&amp;" - please check 请检查",IF(B5010=0,"Tied 平衡",IF(ABS(B5010)&lt;='Opening Balance'!$B$13,"Small difference 小额差额: adjusted on c/f petty cash 已调整备用金",IF(B5010&gt;0,"Short 短收: added to Misc Charges 已加入杂项费用","Over 多收: added to Cash Sales 已加入现金销售")))))</f>
        <v/>
      </c>
      <c r="H5010" t="inlineStr">
        <is>
          <t>Different 差额</t>
        </is>
      </c>
      <c r="I5010" s="6">
        <f>IF($B4999="","",ROUND(I5008-L5008,2))</f>
        <v/>
      </c>
    </row>
    <row r="5011"/>
    <row r="5012"/>
    <row r="5013">
      <c r="A5013" t="inlineStr">
        <is>
          <t>Date 日期</t>
        </is>
      </c>
      <c r="B5013" s="5">
        <f>IF('Daily Sale entry '!$A360="","",'Daily Sale entry '!$A360)</f>
        <v/>
      </c>
      <c r="H5013" t="inlineStr">
        <is>
          <t>After 调整后 (After)</t>
        </is>
      </c>
      <c r="I5013" s="5">
        <f>IF($B5013="","",B5013)</f>
        <v/>
      </c>
    </row>
    <row r="5014">
      <c r="A5014" t="inlineStr">
        <is>
          <t>Cash Sales 现金销售</t>
        </is>
      </c>
      <c r="B5014" s="6">
        <f>IF($B5013="","",'Daily Sale entry '!B360)</f>
        <v/>
      </c>
      <c r="D5014" t="inlineStr">
        <is>
          <t>c/f petty cash 今日备用金结转</t>
        </is>
      </c>
      <c r="E5014" s="6">
        <f>IF($B5013="","",'Daily Sale entry '!G360)</f>
        <v/>
      </c>
      <c r="H5014" t="inlineStr">
        <is>
          <t>Cash Sales 现金销售</t>
        </is>
      </c>
      <c r="I5014" s="6">
        <f>IF($B5013="","",IF(AND(ABS(B5024)&gt;'Opening Balance'!$B$13,B5024&lt;0),ROUND(B5014-B5024,2),B5014))</f>
        <v/>
      </c>
      <c r="K5014" t="inlineStr">
        <is>
          <t>c/f petty cash 今日备用金结转</t>
        </is>
      </c>
      <c r="L5014" s="6">
        <f>IF($B5013="","",IF(ABS(B5024)&lt;='Opening Balance'!$B$13,ROUND(E5014+B5024,2),E5014))</f>
        <v/>
      </c>
    </row>
    <row r="5015">
      <c r="A5015" t="inlineStr">
        <is>
          <t>Misc Charges 杂项费用</t>
        </is>
      </c>
      <c r="B5015" s="6">
        <f>IF($B5013="","",'Daily Sale entry '!C360)</f>
        <v/>
      </c>
      <c r="D5015" t="inlineStr">
        <is>
          <t>cash collection 现金收款</t>
        </is>
      </c>
      <c r="E5015" s="6">
        <f>IF($B5013="","",'Daily Sale entry '!H360)</f>
        <v/>
      </c>
      <c r="H5015" t="inlineStr">
        <is>
          <t>Misc Charges 杂项费用</t>
        </is>
      </c>
      <c r="I5015" s="6">
        <f>IF($B5013="","",IF(AND(ABS(B5024)&gt;'Opening Balance'!$B$13,B5024&gt;0),ROUND(B5015+B5024,2),B5015))</f>
        <v/>
      </c>
      <c r="K5015" t="inlineStr">
        <is>
          <t>cash collection 现金收款</t>
        </is>
      </c>
      <c r="L5015" s="6">
        <f>IF($B5013="","",E5015)</f>
        <v/>
      </c>
    </row>
    <row r="5016">
      <c r="A5016" s="1" t="inlineStr">
        <is>
          <t>Other Charges 其他费用</t>
        </is>
      </c>
      <c r="B5016" s="9">
        <f>IF($B5013="","",'Daily Sale entry '!D360)</f>
        <v/>
      </c>
      <c r="D5016" s="1" t="inlineStr">
        <is>
          <t>Cheque Collection 支票收款</t>
        </is>
      </c>
      <c r="E5016" s="9">
        <f>IF($B5013="","",'Daily Sale entry '!J360)</f>
        <v/>
      </c>
      <c r="H5016" s="1" t="inlineStr">
        <is>
          <t>Other Charges 其他费用</t>
        </is>
      </c>
      <c r="I5016" s="9">
        <f>IF($B5013="","",B5016)</f>
        <v/>
      </c>
      <c r="K5016" s="1" t="inlineStr">
        <is>
          <t>Cheque Collection 支票收款</t>
        </is>
      </c>
      <c r="L5016" s="9">
        <f>IF($B5013="","",E5016)</f>
        <v/>
      </c>
    </row>
    <row r="5017">
      <c r="A5017" s="10" t="inlineStr">
        <is>
          <t>Amount 金额  (Cash Sales - Misc - Other)</t>
        </is>
      </c>
      <c r="B5017" s="11">
        <f>IF($B5013="","",ROUND(B5014-B5015-B5016,2))</f>
        <v/>
      </c>
      <c r="D5017" s="12" t="inlineStr">
        <is>
          <t>TNG collection TNG收款</t>
        </is>
      </c>
      <c r="E5017" s="13">
        <f>IF($B5013="","",'Daily Sale entry '!K360)</f>
        <v/>
      </c>
      <c r="H5017" s="10" t="inlineStr">
        <is>
          <t>Amount 金额  (Cash Sales - Misc - Other)</t>
        </is>
      </c>
      <c r="I5017" s="11">
        <f>IF($B5013="","",ROUND(I5014-I5015-I5016,2))</f>
        <v/>
      </c>
      <c r="K5017" s="12" t="inlineStr">
        <is>
          <t>TNG collection TNG收款</t>
        </is>
      </c>
      <c r="L5017" s="13">
        <f>IF($B5013="","",E5017)</f>
        <v/>
      </c>
    </row>
    <row r="5018">
      <c r="A5018" t="inlineStr">
        <is>
          <t>Credit Collection 赊账收款</t>
        </is>
      </c>
      <c r="B5018" s="6">
        <f>IF($B5013="","",'Daily Sale entry '!E360)</f>
        <v/>
      </c>
      <c r="D5018" t="inlineStr">
        <is>
          <t>Advance Salary_M 预支薪水_M</t>
        </is>
      </c>
      <c r="E5018" s="6">
        <f>IF($B5013="","",'Daily Sale entry '!L360)</f>
        <v/>
      </c>
      <c r="H5018" t="inlineStr">
        <is>
          <t>Credit Collection 赊账收款</t>
        </is>
      </c>
      <c r="I5018" s="6">
        <f>IF($B5013="","",B5018)</f>
        <v/>
      </c>
      <c r="K5018" t="inlineStr">
        <is>
          <t>Advance Salary_M 预支薪水_M</t>
        </is>
      </c>
      <c r="L5018" s="6">
        <f>IF($B5013="","",E5018)</f>
        <v/>
      </c>
    </row>
    <row r="5019">
      <c r="A5019" s="10" t="inlineStr">
        <is>
          <t>Amount 2 金额2  (Amount + Credit Collection)</t>
        </is>
      </c>
      <c r="B5019" s="11">
        <f>IF($B5013="","",ROUND(B5017+B5018,2))</f>
        <v/>
      </c>
      <c r="D5019" t="inlineStr">
        <is>
          <t>Advance Salary_H 预支薪水_H</t>
        </is>
      </c>
      <c r="E5019" s="6">
        <f>IF($B5013="","",'Daily Sale entry '!M360)</f>
        <v/>
      </c>
      <c r="H5019" s="10" t="inlineStr">
        <is>
          <t>Amount 2 金额2  (Amount + Credit Collection)</t>
        </is>
      </c>
      <c r="I5019" s="11">
        <f>IF($B5013="","",ROUND(I5017+I5018,2))</f>
        <v/>
      </c>
      <c r="K5019" t="inlineStr">
        <is>
          <t>Advance Salary_H 预支薪水_H</t>
        </is>
      </c>
      <c r="L5019" s="6">
        <f>IF($B5013="","",E5019)</f>
        <v/>
      </c>
    </row>
    <row r="5020"/>
    <row r="5021">
      <c r="A5021" s="1" t="inlineStr">
        <is>
          <t>b/f petty cash 上日备用金结转</t>
        </is>
      </c>
      <c r="B5021" s="9">
        <f>IF($B5013="","",'Daily Sale entry '!F360)</f>
        <v/>
      </c>
      <c r="D5021" s="1" t="n"/>
      <c r="E5021" s="1" t="n"/>
      <c r="H5021" s="1" t="inlineStr">
        <is>
          <t>b/f petty cash 上日备用金结转</t>
        </is>
      </c>
      <c r="I5021" s="9">
        <f>IF($B5013="","",B5021)</f>
        <v/>
      </c>
      <c r="K5021" s="1" t="n"/>
      <c r="L5021" s="1" t="n"/>
    </row>
    <row r="5022">
      <c r="A5022" t="inlineStr">
        <is>
          <t>Total (A) 总计 (A)</t>
        </is>
      </c>
      <c r="B5022" s="6">
        <f>IF($B5013="","",ROUND(B5019+B5021,2))</f>
        <v/>
      </c>
      <c r="D5022" t="inlineStr">
        <is>
          <t>Total(B) 总计 (B)</t>
        </is>
      </c>
      <c r="E5022" s="6">
        <f>IF($B5013="","",ROUND(E5014+E5015+E5016+E5017+E5018+E5019,2))</f>
        <v/>
      </c>
      <c r="H5022" t="inlineStr">
        <is>
          <t>Total© 总计 (C)</t>
        </is>
      </c>
      <c r="I5022" s="6">
        <f>IF($B5013="","",ROUND(I5019+I5021,2))</f>
        <v/>
      </c>
      <c r="K5022" t="inlineStr">
        <is>
          <t>Total(D) 总计 (D)</t>
        </is>
      </c>
      <c r="L5022" s="6">
        <f>IF($B5013="","",ROUND(L5014+L5015+L5016+L5017+L5018+L5019,2))</f>
        <v/>
      </c>
    </row>
    <row r="5023">
      <c r="A5023" s="14" t="inlineStr">
        <is>
          <t>Total = Amount 2 + b/f petty cash  (金额2 + 上日备用金)</t>
        </is>
      </c>
      <c r="H5023" s="14" t="inlineStr">
        <is>
          <t>Total = Amount 2 + b/f petty cash  (金额2 + 上日备用金)</t>
        </is>
      </c>
    </row>
    <row r="5024">
      <c r="A5024" t="inlineStr">
        <is>
          <t>Different 差额</t>
        </is>
      </c>
      <c r="B5024" s="6">
        <f>IF($B5013="","",ROUND(B5022-E5022,2))</f>
        <v/>
      </c>
      <c r="D5024">
        <f>IF($B5013="","",IF(ABS(B5024)&gt;'Opening Balance'!$B$16,"ALERT 警报: Different over RM"&amp;'Opening Balance'!$B$16&amp;" 差额超过RM"&amp;'Opening Balance'!$B$16&amp;" - please check 请检查",IF(B5024=0,"Tied 平衡",IF(ABS(B5024)&lt;='Opening Balance'!$B$13,"Small difference 小额差额: adjusted on c/f petty cash 已调整备用金",IF(B5024&gt;0,"Short 短收: added to Misc Charges 已加入杂项费用","Over 多收: added to Cash Sales 已加入现金销售")))))</f>
        <v/>
      </c>
      <c r="H5024" t="inlineStr">
        <is>
          <t>Different 差额</t>
        </is>
      </c>
      <c r="I5024" s="6">
        <f>IF($B5013="","",ROUND(I5022-L5022,2))</f>
        <v/>
      </c>
    </row>
    <row r="5025"/>
    <row r="5026"/>
    <row r="5027">
      <c r="A5027" t="inlineStr">
        <is>
          <t>Date 日期</t>
        </is>
      </c>
      <c r="B5027" s="5">
        <f>IF('Daily Sale entry '!$A361="","",'Daily Sale entry '!$A361)</f>
        <v/>
      </c>
      <c r="H5027" t="inlineStr">
        <is>
          <t>After 调整后 (After)</t>
        </is>
      </c>
      <c r="I5027" s="5">
        <f>IF($B5027="","",B5027)</f>
        <v/>
      </c>
    </row>
    <row r="5028">
      <c r="A5028" t="inlineStr">
        <is>
          <t>Cash Sales 现金销售</t>
        </is>
      </c>
      <c r="B5028" s="6">
        <f>IF($B5027="","",'Daily Sale entry '!B361)</f>
        <v/>
      </c>
      <c r="D5028" t="inlineStr">
        <is>
          <t>c/f petty cash 今日备用金结转</t>
        </is>
      </c>
      <c r="E5028" s="6">
        <f>IF($B5027="","",'Daily Sale entry '!G361)</f>
        <v/>
      </c>
      <c r="H5028" t="inlineStr">
        <is>
          <t>Cash Sales 现金销售</t>
        </is>
      </c>
      <c r="I5028" s="6">
        <f>IF($B5027="","",IF(AND(ABS(B5038)&gt;'Opening Balance'!$B$13,B5038&lt;0),ROUND(B5028-B5038,2),B5028))</f>
        <v/>
      </c>
      <c r="K5028" t="inlineStr">
        <is>
          <t>c/f petty cash 今日备用金结转</t>
        </is>
      </c>
      <c r="L5028" s="6">
        <f>IF($B5027="","",IF(ABS(B5038)&lt;='Opening Balance'!$B$13,ROUND(E5028+B5038,2),E5028))</f>
        <v/>
      </c>
    </row>
    <row r="5029">
      <c r="A5029" t="inlineStr">
        <is>
          <t>Misc Charges 杂项费用</t>
        </is>
      </c>
      <c r="B5029" s="6">
        <f>IF($B5027="","",'Daily Sale entry '!C361)</f>
        <v/>
      </c>
      <c r="D5029" t="inlineStr">
        <is>
          <t>cash collection 现金收款</t>
        </is>
      </c>
      <c r="E5029" s="6">
        <f>IF($B5027="","",'Daily Sale entry '!H361)</f>
        <v/>
      </c>
      <c r="H5029" t="inlineStr">
        <is>
          <t>Misc Charges 杂项费用</t>
        </is>
      </c>
      <c r="I5029" s="6">
        <f>IF($B5027="","",IF(AND(ABS(B5038)&gt;'Opening Balance'!$B$13,B5038&gt;0),ROUND(B5029+B5038,2),B5029))</f>
        <v/>
      </c>
      <c r="K5029" t="inlineStr">
        <is>
          <t>cash collection 现金收款</t>
        </is>
      </c>
      <c r="L5029" s="6">
        <f>IF($B5027="","",E5029)</f>
        <v/>
      </c>
    </row>
    <row r="5030">
      <c r="A5030" s="1" t="inlineStr">
        <is>
          <t>Other Charges 其他费用</t>
        </is>
      </c>
      <c r="B5030" s="9">
        <f>IF($B5027="","",'Daily Sale entry '!D361)</f>
        <v/>
      </c>
      <c r="D5030" s="1" t="inlineStr">
        <is>
          <t>Cheque Collection 支票收款</t>
        </is>
      </c>
      <c r="E5030" s="9">
        <f>IF($B5027="","",'Daily Sale entry '!J361)</f>
        <v/>
      </c>
      <c r="H5030" s="1" t="inlineStr">
        <is>
          <t>Other Charges 其他费用</t>
        </is>
      </c>
      <c r="I5030" s="9">
        <f>IF($B5027="","",B5030)</f>
        <v/>
      </c>
      <c r="K5030" s="1" t="inlineStr">
        <is>
          <t>Cheque Collection 支票收款</t>
        </is>
      </c>
      <c r="L5030" s="9">
        <f>IF($B5027="","",E5030)</f>
        <v/>
      </c>
    </row>
    <row r="5031">
      <c r="A5031" s="10" t="inlineStr">
        <is>
          <t>Amount 金额  (Cash Sales - Misc - Other)</t>
        </is>
      </c>
      <c r="B5031" s="11">
        <f>IF($B5027="","",ROUND(B5028-B5029-B5030,2))</f>
        <v/>
      </c>
      <c r="D5031" s="12" t="inlineStr">
        <is>
          <t>TNG collection TNG收款</t>
        </is>
      </c>
      <c r="E5031" s="13">
        <f>IF($B5027="","",'Daily Sale entry '!K361)</f>
        <v/>
      </c>
      <c r="H5031" s="10" t="inlineStr">
        <is>
          <t>Amount 金额  (Cash Sales - Misc - Other)</t>
        </is>
      </c>
      <c r="I5031" s="11">
        <f>IF($B5027="","",ROUND(I5028-I5029-I5030,2))</f>
        <v/>
      </c>
      <c r="K5031" s="12" t="inlineStr">
        <is>
          <t>TNG collection TNG收款</t>
        </is>
      </c>
      <c r="L5031" s="13">
        <f>IF($B5027="","",E5031)</f>
        <v/>
      </c>
    </row>
    <row r="5032">
      <c r="A5032" t="inlineStr">
        <is>
          <t>Credit Collection 赊账收款</t>
        </is>
      </c>
      <c r="B5032" s="6">
        <f>IF($B5027="","",'Daily Sale entry '!E361)</f>
        <v/>
      </c>
      <c r="D5032" t="inlineStr">
        <is>
          <t>Advance Salary_M 预支薪水_M</t>
        </is>
      </c>
      <c r="E5032" s="6">
        <f>IF($B5027="","",'Daily Sale entry '!L361)</f>
        <v/>
      </c>
      <c r="H5032" t="inlineStr">
        <is>
          <t>Credit Collection 赊账收款</t>
        </is>
      </c>
      <c r="I5032" s="6">
        <f>IF($B5027="","",B5032)</f>
        <v/>
      </c>
      <c r="K5032" t="inlineStr">
        <is>
          <t>Advance Salary_M 预支薪水_M</t>
        </is>
      </c>
      <c r="L5032" s="6">
        <f>IF($B5027="","",E5032)</f>
        <v/>
      </c>
    </row>
    <row r="5033">
      <c r="A5033" s="10" t="inlineStr">
        <is>
          <t>Amount 2 金额2  (Amount + Credit Collection)</t>
        </is>
      </c>
      <c r="B5033" s="11">
        <f>IF($B5027="","",ROUND(B5031+B5032,2))</f>
        <v/>
      </c>
      <c r="D5033" t="inlineStr">
        <is>
          <t>Advance Salary_H 预支薪水_H</t>
        </is>
      </c>
      <c r="E5033" s="6">
        <f>IF($B5027="","",'Daily Sale entry '!M361)</f>
        <v/>
      </c>
      <c r="H5033" s="10" t="inlineStr">
        <is>
          <t>Amount 2 金额2  (Amount + Credit Collection)</t>
        </is>
      </c>
      <c r="I5033" s="11">
        <f>IF($B5027="","",ROUND(I5031+I5032,2))</f>
        <v/>
      </c>
      <c r="K5033" t="inlineStr">
        <is>
          <t>Advance Salary_H 预支薪水_H</t>
        </is>
      </c>
      <c r="L5033" s="6">
        <f>IF($B5027="","",E5033)</f>
        <v/>
      </c>
    </row>
    <row r="5034"/>
    <row r="5035">
      <c r="A5035" s="1" t="inlineStr">
        <is>
          <t>b/f petty cash 上日备用金结转</t>
        </is>
      </c>
      <c r="B5035" s="9">
        <f>IF($B5027="","",'Daily Sale entry '!F361)</f>
        <v/>
      </c>
      <c r="D5035" s="1" t="n"/>
      <c r="E5035" s="1" t="n"/>
      <c r="H5035" s="1" t="inlineStr">
        <is>
          <t>b/f petty cash 上日备用金结转</t>
        </is>
      </c>
      <c r="I5035" s="9">
        <f>IF($B5027="","",B5035)</f>
        <v/>
      </c>
      <c r="K5035" s="1" t="n"/>
      <c r="L5035" s="1" t="n"/>
    </row>
    <row r="5036">
      <c r="A5036" t="inlineStr">
        <is>
          <t>Total (A) 总计 (A)</t>
        </is>
      </c>
      <c r="B5036" s="6">
        <f>IF($B5027="","",ROUND(B5033+B5035,2))</f>
        <v/>
      </c>
      <c r="D5036" t="inlineStr">
        <is>
          <t>Total(B) 总计 (B)</t>
        </is>
      </c>
      <c r="E5036" s="6">
        <f>IF($B5027="","",ROUND(E5028+E5029+E5030+E5031+E5032+E5033,2))</f>
        <v/>
      </c>
      <c r="H5036" t="inlineStr">
        <is>
          <t>Total© 总计 (C)</t>
        </is>
      </c>
      <c r="I5036" s="6">
        <f>IF($B5027="","",ROUND(I5033+I5035,2))</f>
        <v/>
      </c>
      <c r="K5036" t="inlineStr">
        <is>
          <t>Total(D) 总计 (D)</t>
        </is>
      </c>
      <c r="L5036" s="6">
        <f>IF($B5027="","",ROUND(L5028+L5029+L5030+L5031+L5032+L5033,2))</f>
        <v/>
      </c>
    </row>
    <row r="5037">
      <c r="A5037" s="14" t="inlineStr">
        <is>
          <t>Total = Amount 2 + b/f petty cash  (金额2 + 上日备用金)</t>
        </is>
      </c>
      <c r="H5037" s="14" t="inlineStr">
        <is>
          <t>Total = Amount 2 + b/f petty cash  (金额2 + 上日备用金)</t>
        </is>
      </c>
    </row>
    <row r="5038">
      <c r="A5038" t="inlineStr">
        <is>
          <t>Different 差额</t>
        </is>
      </c>
      <c r="B5038" s="6">
        <f>IF($B5027="","",ROUND(B5036-E5036,2))</f>
        <v/>
      </c>
      <c r="D5038">
        <f>IF($B5027="","",IF(ABS(B5038)&gt;'Opening Balance'!$B$16,"ALERT 警报: Different over RM"&amp;'Opening Balance'!$B$16&amp;" 差额超过RM"&amp;'Opening Balance'!$B$16&amp;" - please check 请检查",IF(B5038=0,"Tied 平衡",IF(ABS(B5038)&lt;='Opening Balance'!$B$13,"Small difference 小额差额: adjusted on c/f petty cash 已调整备用金",IF(B5038&gt;0,"Short 短收: added to Misc Charges 已加入杂项费用","Over 多收: added to Cash Sales 已加入现金销售")))))</f>
        <v/>
      </c>
      <c r="H5038" t="inlineStr">
        <is>
          <t>Different 差额</t>
        </is>
      </c>
      <c r="I5038" s="6">
        <f>IF($B5027="","",ROUND(I5036-L5036,2))</f>
        <v/>
      </c>
    </row>
    <row r="5039"/>
    <row r="5040"/>
    <row r="5041">
      <c r="A5041" t="inlineStr">
        <is>
          <t>Date 日期</t>
        </is>
      </c>
      <c r="B5041" s="5">
        <f>IF('Daily Sale entry '!$A362="","",'Daily Sale entry '!$A362)</f>
        <v/>
      </c>
      <c r="H5041" t="inlineStr">
        <is>
          <t>After 调整后 (After)</t>
        </is>
      </c>
      <c r="I5041" s="5">
        <f>IF($B5041="","",B5041)</f>
        <v/>
      </c>
    </row>
    <row r="5042">
      <c r="A5042" t="inlineStr">
        <is>
          <t>Cash Sales 现金销售</t>
        </is>
      </c>
      <c r="B5042" s="6">
        <f>IF($B5041="","",'Daily Sale entry '!B362)</f>
        <v/>
      </c>
      <c r="D5042" t="inlineStr">
        <is>
          <t>c/f petty cash 今日备用金结转</t>
        </is>
      </c>
      <c r="E5042" s="6">
        <f>IF($B5041="","",'Daily Sale entry '!G362)</f>
        <v/>
      </c>
      <c r="H5042" t="inlineStr">
        <is>
          <t>Cash Sales 现金销售</t>
        </is>
      </c>
      <c r="I5042" s="6">
        <f>IF($B5041="","",IF(AND(ABS(B5052)&gt;'Opening Balance'!$B$13,B5052&lt;0),ROUND(B5042-B5052,2),B5042))</f>
        <v/>
      </c>
      <c r="K5042" t="inlineStr">
        <is>
          <t>c/f petty cash 今日备用金结转</t>
        </is>
      </c>
      <c r="L5042" s="6">
        <f>IF($B5041="","",IF(ABS(B5052)&lt;='Opening Balance'!$B$13,ROUND(E5042+B5052,2),E5042))</f>
        <v/>
      </c>
    </row>
    <row r="5043">
      <c r="A5043" t="inlineStr">
        <is>
          <t>Misc Charges 杂项费用</t>
        </is>
      </c>
      <c r="B5043" s="6">
        <f>IF($B5041="","",'Daily Sale entry '!C362)</f>
        <v/>
      </c>
      <c r="D5043" t="inlineStr">
        <is>
          <t>cash collection 现金收款</t>
        </is>
      </c>
      <c r="E5043" s="6">
        <f>IF($B5041="","",'Daily Sale entry '!H362)</f>
        <v/>
      </c>
      <c r="H5043" t="inlineStr">
        <is>
          <t>Misc Charges 杂项费用</t>
        </is>
      </c>
      <c r="I5043" s="6">
        <f>IF($B5041="","",IF(AND(ABS(B5052)&gt;'Opening Balance'!$B$13,B5052&gt;0),ROUND(B5043+B5052,2),B5043))</f>
        <v/>
      </c>
      <c r="K5043" t="inlineStr">
        <is>
          <t>cash collection 现金收款</t>
        </is>
      </c>
      <c r="L5043" s="6">
        <f>IF($B5041="","",E5043)</f>
        <v/>
      </c>
    </row>
    <row r="5044">
      <c r="A5044" s="1" t="inlineStr">
        <is>
          <t>Other Charges 其他费用</t>
        </is>
      </c>
      <c r="B5044" s="9">
        <f>IF($B5041="","",'Daily Sale entry '!D362)</f>
        <v/>
      </c>
      <c r="D5044" s="1" t="inlineStr">
        <is>
          <t>Cheque Collection 支票收款</t>
        </is>
      </c>
      <c r="E5044" s="9">
        <f>IF($B5041="","",'Daily Sale entry '!J362)</f>
        <v/>
      </c>
      <c r="H5044" s="1" t="inlineStr">
        <is>
          <t>Other Charges 其他费用</t>
        </is>
      </c>
      <c r="I5044" s="9">
        <f>IF($B5041="","",B5044)</f>
        <v/>
      </c>
      <c r="K5044" s="1" t="inlineStr">
        <is>
          <t>Cheque Collection 支票收款</t>
        </is>
      </c>
      <c r="L5044" s="9">
        <f>IF($B5041="","",E5044)</f>
        <v/>
      </c>
    </row>
    <row r="5045">
      <c r="A5045" s="10" t="inlineStr">
        <is>
          <t>Amount 金额  (Cash Sales - Misc - Other)</t>
        </is>
      </c>
      <c r="B5045" s="11">
        <f>IF($B5041="","",ROUND(B5042-B5043-B5044,2))</f>
        <v/>
      </c>
      <c r="D5045" s="12" t="inlineStr">
        <is>
          <t>TNG collection TNG收款</t>
        </is>
      </c>
      <c r="E5045" s="13">
        <f>IF($B5041="","",'Daily Sale entry '!K362)</f>
        <v/>
      </c>
      <c r="H5045" s="10" t="inlineStr">
        <is>
          <t>Amount 金额  (Cash Sales - Misc - Other)</t>
        </is>
      </c>
      <c r="I5045" s="11">
        <f>IF($B5041="","",ROUND(I5042-I5043-I5044,2))</f>
        <v/>
      </c>
      <c r="K5045" s="12" t="inlineStr">
        <is>
          <t>TNG collection TNG收款</t>
        </is>
      </c>
      <c r="L5045" s="13">
        <f>IF($B5041="","",E5045)</f>
        <v/>
      </c>
    </row>
    <row r="5046">
      <c r="A5046" t="inlineStr">
        <is>
          <t>Credit Collection 赊账收款</t>
        </is>
      </c>
      <c r="B5046" s="6">
        <f>IF($B5041="","",'Daily Sale entry '!E362)</f>
        <v/>
      </c>
      <c r="D5046" t="inlineStr">
        <is>
          <t>Advance Salary_M 预支薪水_M</t>
        </is>
      </c>
      <c r="E5046" s="6">
        <f>IF($B5041="","",'Daily Sale entry '!L362)</f>
        <v/>
      </c>
      <c r="H5046" t="inlineStr">
        <is>
          <t>Credit Collection 赊账收款</t>
        </is>
      </c>
      <c r="I5046" s="6">
        <f>IF($B5041="","",B5046)</f>
        <v/>
      </c>
      <c r="K5046" t="inlineStr">
        <is>
          <t>Advance Salary_M 预支薪水_M</t>
        </is>
      </c>
      <c r="L5046" s="6">
        <f>IF($B5041="","",E5046)</f>
        <v/>
      </c>
    </row>
    <row r="5047">
      <c r="A5047" s="10" t="inlineStr">
        <is>
          <t>Amount 2 金额2  (Amount + Credit Collection)</t>
        </is>
      </c>
      <c r="B5047" s="11">
        <f>IF($B5041="","",ROUND(B5045+B5046,2))</f>
        <v/>
      </c>
      <c r="D5047" t="inlineStr">
        <is>
          <t>Advance Salary_H 预支薪水_H</t>
        </is>
      </c>
      <c r="E5047" s="6">
        <f>IF($B5041="","",'Daily Sale entry '!M362)</f>
        <v/>
      </c>
      <c r="H5047" s="10" t="inlineStr">
        <is>
          <t>Amount 2 金额2  (Amount + Credit Collection)</t>
        </is>
      </c>
      <c r="I5047" s="11">
        <f>IF($B5041="","",ROUND(I5045+I5046,2))</f>
        <v/>
      </c>
      <c r="K5047" t="inlineStr">
        <is>
          <t>Advance Salary_H 预支薪水_H</t>
        </is>
      </c>
      <c r="L5047" s="6">
        <f>IF($B5041="","",E5047)</f>
        <v/>
      </c>
    </row>
    <row r="5048"/>
    <row r="5049">
      <c r="A5049" s="1" t="inlineStr">
        <is>
          <t>b/f petty cash 上日备用金结转</t>
        </is>
      </c>
      <c r="B5049" s="9">
        <f>IF($B5041="","",'Daily Sale entry '!F362)</f>
        <v/>
      </c>
      <c r="D5049" s="1" t="n"/>
      <c r="E5049" s="1" t="n"/>
      <c r="H5049" s="1" t="inlineStr">
        <is>
          <t>b/f petty cash 上日备用金结转</t>
        </is>
      </c>
      <c r="I5049" s="9">
        <f>IF($B5041="","",B5049)</f>
        <v/>
      </c>
      <c r="K5049" s="1" t="n"/>
      <c r="L5049" s="1" t="n"/>
    </row>
    <row r="5050">
      <c r="A5050" t="inlineStr">
        <is>
          <t>Total (A) 总计 (A)</t>
        </is>
      </c>
      <c r="B5050" s="6">
        <f>IF($B5041="","",ROUND(B5047+B5049,2))</f>
        <v/>
      </c>
      <c r="D5050" t="inlineStr">
        <is>
          <t>Total(B) 总计 (B)</t>
        </is>
      </c>
      <c r="E5050" s="6">
        <f>IF($B5041="","",ROUND(E5042+E5043+E5044+E5045+E5046+E5047,2))</f>
        <v/>
      </c>
      <c r="H5050" t="inlineStr">
        <is>
          <t>Total© 总计 (C)</t>
        </is>
      </c>
      <c r="I5050" s="6">
        <f>IF($B5041="","",ROUND(I5047+I5049,2))</f>
        <v/>
      </c>
      <c r="K5050" t="inlineStr">
        <is>
          <t>Total(D) 总计 (D)</t>
        </is>
      </c>
      <c r="L5050" s="6">
        <f>IF($B5041="","",ROUND(L5042+L5043+L5044+L5045+L5046+L5047,2))</f>
        <v/>
      </c>
    </row>
    <row r="5051">
      <c r="A5051" s="14" t="inlineStr">
        <is>
          <t>Total = Amount 2 + b/f petty cash  (金额2 + 上日备用金)</t>
        </is>
      </c>
      <c r="H5051" s="14" t="inlineStr">
        <is>
          <t>Total = Amount 2 + b/f petty cash  (金额2 + 上日备用金)</t>
        </is>
      </c>
    </row>
    <row r="5052">
      <c r="A5052" t="inlineStr">
        <is>
          <t>Different 差额</t>
        </is>
      </c>
      <c r="B5052" s="6">
        <f>IF($B5041="","",ROUND(B5050-E5050,2))</f>
        <v/>
      </c>
      <c r="D5052">
        <f>IF($B5041="","",IF(ABS(B5052)&gt;'Opening Balance'!$B$16,"ALERT 警报: Different over RM"&amp;'Opening Balance'!$B$16&amp;" 差额超过RM"&amp;'Opening Balance'!$B$16&amp;" - please check 请检查",IF(B5052=0,"Tied 平衡",IF(ABS(B5052)&lt;='Opening Balance'!$B$13,"Small difference 小额差额: adjusted on c/f petty cash 已调整备用金",IF(B5052&gt;0,"Short 短收: added to Misc Charges 已加入杂项费用","Over 多收: added to Cash Sales 已加入现金销售")))))</f>
        <v/>
      </c>
      <c r="H5052" t="inlineStr">
        <is>
          <t>Different 差额</t>
        </is>
      </c>
      <c r="I5052" s="6">
        <f>IF($B5041="","",ROUND(I5050-L5050,2))</f>
        <v/>
      </c>
    </row>
    <row r="5053"/>
    <row r="5054"/>
    <row r="5055">
      <c r="A5055" t="inlineStr">
        <is>
          <t>Date 日期</t>
        </is>
      </c>
      <c r="B5055" s="5">
        <f>IF('Daily Sale entry '!$A363="","",'Daily Sale entry '!$A363)</f>
        <v/>
      </c>
      <c r="H5055" t="inlineStr">
        <is>
          <t>After 调整后 (After)</t>
        </is>
      </c>
      <c r="I5055" s="5">
        <f>IF($B5055="","",B5055)</f>
        <v/>
      </c>
    </row>
    <row r="5056">
      <c r="A5056" t="inlineStr">
        <is>
          <t>Cash Sales 现金销售</t>
        </is>
      </c>
      <c r="B5056" s="6">
        <f>IF($B5055="","",'Daily Sale entry '!B363)</f>
        <v/>
      </c>
      <c r="D5056" t="inlineStr">
        <is>
          <t>c/f petty cash 今日备用金结转</t>
        </is>
      </c>
      <c r="E5056" s="6">
        <f>IF($B5055="","",'Daily Sale entry '!G363)</f>
        <v/>
      </c>
      <c r="H5056" t="inlineStr">
        <is>
          <t>Cash Sales 现金销售</t>
        </is>
      </c>
      <c r="I5056" s="6">
        <f>IF($B5055="","",IF(AND(ABS(B5066)&gt;'Opening Balance'!$B$13,B5066&lt;0),ROUND(B5056-B5066,2),B5056))</f>
        <v/>
      </c>
      <c r="K5056" t="inlineStr">
        <is>
          <t>c/f petty cash 今日备用金结转</t>
        </is>
      </c>
      <c r="L5056" s="6">
        <f>IF($B5055="","",IF(ABS(B5066)&lt;='Opening Balance'!$B$13,ROUND(E5056+B5066,2),E5056))</f>
        <v/>
      </c>
    </row>
    <row r="5057">
      <c r="A5057" t="inlineStr">
        <is>
          <t>Misc Charges 杂项费用</t>
        </is>
      </c>
      <c r="B5057" s="6">
        <f>IF($B5055="","",'Daily Sale entry '!C363)</f>
        <v/>
      </c>
      <c r="D5057" t="inlineStr">
        <is>
          <t>cash collection 现金收款</t>
        </is>
      </c>
      <c r="E5057" s="6">
        <f>IF($B5055="","",'Daily Sale entry '!H363)</f>
        <v/>
      </c>
      <c r="H5057" t="inlineStr">
        <is>
          <t>Misc Charges 杂项费用</t>
        </is>
      </c>
      <c r="I5057" s="6">
        <f>IF($B5055="","",IF(AND(ABS(B5066)&gt;'Opening Balance'!$B$13,B5066&gt;0),ROUND(B5057+B5066,2),B5057))</f>
        <v/>
      </c>
      <c r="K5057" t="inlineStr">
        <is>
          <t>cash collection 现金收款</t>
        </is>
      </c>
      <c r="L5057" s="6">
        <f>IF($B5055="","",E5057)</f>
        <v/>
      </c>
    </row>
    <row r="5058">
      <c r="A5058" s="1" t="inlineStr">
        <is>
          <t>Other Charges 其他费用</t>
        </is>
      </c>
      <c r="B5058" s="9">
        <f>IF($B5055="","",'Daily Sale entry '!D363)</f>
        <v/>
      </c>
      <c r="D5058" s="1" t="inlineStr">
        <is>
          <t>Cheque Collection 支票收款</t>
        </is>
      </c>
      <c r="E5058" s="9">
        <f>IF($B5055="","",'Daily Sale entry '!J363)</f>
        <v/>
      </c>
      <c r="H5058" s="1" t="inlineStr">
        <is>
          <t>Other Charges 其他费用</t>
        </is>
      </c>
      <c r="I5058" s="9">
        <f>IF($B5055="","",B5058)</f>
        <v/>
      </c>
      <c r="K5058" s="1" t="inlineStr">
        <is>
          <t>Cheque Collection 支票收款</t>
        </is>
      </c>
      <c r="L5058" s="9">
        <f>IF($B5055="","",E5058)</f>
        <v/>
      </c>
    </row>
    <row r="5059">
      <c r="A5059" s="10" t="inlineStr">
        <is>
          <t>Amount 金额  (Cash Sales - Misc - Other)</t>
        </is>
      </c>
      <c r="B5059" s="11">
        <f>IF($B5055="","",ROUND(B5056-B5057-B5058,2))</f>
        <v/>
      </c>
      <c r="D5059" s="12" t="inlineStr">
        <is>
          <t>TNG collection TNG收款</t>
        </is>
      </c>
      <c r="E5059" s="13">
        <f>IF($B5055="","",'Daily Sale entry '!K363)</f>
        <v/>
      </c>
      <c r="H5059" s="10" t="inlineStr">
        <is>
          <t>Amount 金额  (Cash Sales - Misc - Other)</t>
        </is>
      </c>
      <c r="I5059" s="11">
        <f>IF($B5055="","",ROUND(I5056-I5057-I5058,2))</f>
        <v/>
      </c>
      <c r="K5059" s="12" t="inlineStr">
        <is>
          <t>TNG collection TNG收款</t>
        </is>
      </c>
      <c r="L5059" s="13">
        <f>IF($B5055="","",E5059)</f>
        <v/>
      </c>
    </row>
    <row r="5060">
      <c r="A5060" t="inlineStr">
        <is>
          <t>Credit Collection 赊账收款</t>
        </is>
      </c>
      <c r="B5060" s="6">
        <f>IF($B5055="","",'Daily Sale entry '!E363)</f>
        <v/>
      </c>
      <c r="D5060" t="inlineStr">
        <is>
          <t>Advance Salary_M 预支薪水_M</t>
        </is>
      </c>
      <c r="E5060" s="6">
        <f>IF($B5055="","",'Daily Sale entry '!L363)</f>
        <v/>
      </c>
      <c r="H5060" t="inlineStr">
        <is>
          <t>Credit Collection 赊账收款</t>
        </is>
      </c>
      <c r="I5060" s="6">
        <f>IF($B5055="","",B5060)</f>
        <v/>
      </c>
      <c r="K5060" t="inlineStr">
        <is>
          <t>Advance Salary_M 预支薪水_M</t>
        </is>
      </c>
      <c r="L5060" s="6">
        <f>IF($B5055="","",E5060)</f>
        <v/>
      </c>
    </row>
    <row r="5061">
      <c r="A5061" s="10" t="inlineStr">
        <is>
          <t>Amount 2 金额2  (Amount + Credit Collection)</t>
        </is>
      </c>
      <c r="B5061" s="11">
        <f>IF($B5055="","",ROUND(B5059+B5060,2))</f>
        <v/>
      </c>
      <c r="D5061" t="inlineStr">
        <is>
          <t>Advance Salary_H 预支薪水_H</t>
        </is>
      </c>
      <c r="E5061" s="6">
        <f>IF($B5055="","",'Daily Sale entry '!M363)</f>
        <v/>
      </c>
      <c r="H5061" s="10" t="inlineStr">
        <is>
          <t>Amount 2 金额2  (Amount + Credit Collection)</t>
        </is>
      </c>
      <c r="I5061" s="11">
        <f>IF($B5055="","",ROUND(I5059+I5060,2))</f>
        <v/>
      </c>
      <c r="K5061" t="inlineStr">
        <is>
          <t>Advance Salary_H 预支薪水_H</t>
        </is>
      </c>
      <c r="L5061" s="6">
        <f>IF($B5055="","",E5061)</f>
        <v/>
      </c>
    </row>
    <row r="5062"/>
    <row r="5063">
      <c r="A5063" s="1" t="inlineStr">
        <is>
          <t>b/f petty cash 上日备用金结转</t>
        </is>
      </c>
      <c r="B5063" s="9">
        <f>IF($B5055="","",'Daily Sale entry '!F363)</f>
        <v/>
      </c>
      <c r="D5063" s="1" t="n"/>
      <c r="E5063" s="1" t="n"/>
      <c r="H5063" s="1" t="inlineStr">
        <is>
          <t>b/f petty cash 上日备用金结转</t>
        </is>
      </c>
      <c r="I5063" s="9">
        <f>IF($B5055="","",B5063)</f>
        <v/>
      </c>
      <c r="K5063" s="1" t="n"/>
      <c r="L5063" s="1" t="n"/>
    </row>
    <row r="5064">
      <c r="A5064" t="inlineStr">
        <is>
          <t>Total (A) 总计 (A)</t>
        </is>
      </c>
      <c r="B5064" s="6">
        <f>IF($B5055="","",ROUND(B5061+B5063,2))</f>
        <v/>
      </c>
      <c r="D5064" t="inlineStr">
        <is>
          <t>Total(B) 总计 (B)</t>
        </is>
      </c>
      <c r="E5064" s="6">
        <f>IF($B5055="","",ROUND(E5056+E5057+E5058+E5059+E5060+E5061,2))</f>
        <v/>
      </c>
      <c r="H5064" t="inlineStr">
        <is>
          <t>Total© 总计 (C)</t>
        </is>
      </c>
      <c r="I5064" s="6">
        <f>IF($B5055="","",ROUND(I5061+I5063,2))</f>
        <v/>
      </c>
      <c r="K5064" t="inlineStr">
        <is>
          <t>Total(D) 总计 (D)</t>
        </is>
      </c>
      <c r="L5064" s="6">
        <f>IF($B5055="","",ROUND(L5056+L5057+L5058+L5059+L5060+L5061,2))</f>
        <v/>
      </c>
    </row>
    <row r="5065">
      <c r="A5065" s="14" t="inlineStr">
        <is>
          <t>Total = Amount 2 + b/f petty cash  (金额2 + 上日备用金)</t>
        </is>
      </c>
      <c r="H5065" s="14" t="inlineStr">
        <is>
          <t>Total = Amount 2 + b/f petty cash  (金额2 + 上日备用金)</t>
        </is>
      </c>
    </row>
    <row r="5066">
      <c r="A5066" t="inlineStr">
        <is>
          <t>Different 差额</t>
        </is>
      </c>
      <c r="B5066" s="6">
        <f>IF($B5055="","",ROUND(B5064-E5064,2))</f>
        <v/>
      </c>
      <c r="D5066">
        <f>IF($B5055="","",IF(ABS(B5066)&gt;'Opening Balance'!$B$16,"ALERT 警报: Different over RM"&amp;'Opening Balance'!$B$16&amp;" 差额超过RM"&amp;'Opening Balance'!$B$16&amp;" - please check 请检查",IF(B5066=0,"Tied 平衡",IF(ABS(B5066)&lt;='Opening Balance'!$B$13,"Small difference 小额差额: adjusted on c/f petty cash 已调整备用金",IF(B5066&gt;0,"Short 短收: added to Misc Charges 已加入杂项费用","Over 多收: added to Cash Sales 已加入现金销售")))))</f>
        <v/>
      </c>
      <c r="H5066" t="inlineStr">
        <is>
          <t>Different 差额</t>
        </is>
      </c>
      <c r="I5066" s="6">
        <f>IF($B5055="","",ROUND(I5064-L5064,2))</f>
        <v/>
      </c>
    </row>
    <row r="5067"/>
    <row r="5068"/>
    <row r="5069">
      <c r="A5069" t="inlineStr">
        <is>
          <t>Date 日期</t>
        </is>
      </c>
      <c r="B5069" s="5">
        <f>IF('Daily Sale entry '!$A364="","",'Daily Sale entry '!$A364)</f>
        <v/>
      </c>
      <c r="H5069" t="inlineStr">
        <is>
          <t>After 调整后 (After)</t>
        </is>
      </c>
      <c r="I5069" s="5">
        <f>IF($B5069="","",B5069)</f>
        <v/>
      </c>
    </row>
    <row r="5070">
      <c r="A5070" t="inlineStr">
        <is>
          <t>Cash Sales 现金销售</t>
        </is>
      </c>
      <c r="B5070" s="6">
        <f>IF($B5069="","",'Daily Sale entry '!B364)</f>
        <v/>
      </c>
      <c r="D5070" t="inlineStr">
        <is>
          <t>c/f petty cash 今日备用金结转</t>
        </is>
      </c>
      <c r="E5070" s="6">
        <f>IF($B5069="","",'Daily Sale entry '!G364)</f>
        <v/>
      </c>
      <c r="H5070" t="inlineStr">
        <is>
          <t>Cash Sales 现金销售</t>
        </is>
      </c>
      <c r="I5070" s="6">
        <f>IF($B5069="","",IF(AND(ABS(B5080)&gt;'Opening Balance'!$B$13,B5080&lt;0),ROUND(B5070-B5080,2),B5070))</f>
        <v/>
      </c>
      <c r="K5070" t="inlineStr">
        <is>
          <t>c/f petty cash 今日备用金结转</t>
        </is>
      </c>
      <c r="L5070" s="6">
        <f>IF($B5069="","",IF(ABS(B5080)&lt;='Opening Balance'!$B$13,ROUND(E5070+B5080,2),E5070))</f>
        <v/>
      </c>
    </row>
    <row r="5071">
      <c r="A5071" t="inlineStr">
        <is>
          <t>Misc Charges 杂项费用</t>
        </is>
      </c>
      <c r="B5071" s="6">
        <f>IF($B5069="","",'Daily Sale entry '!C364)</f>
        <v/>
      </c>
      <c r="D5071" t="inlineStr">
        <is>
          <t>cash collection 现金收款</t>
        </is>
      </c>
      <c r="E5071" s="6">
        <f>IF($B5069="","",'Daily Sale entry '!H364)</f>
        <v/>
      </c>
      <c r="H5071" t="inlineStr">
        <is>
          <t>Misc Charges 杂项费用</t>
        </is>
      </c>
      <c r="I5071" s="6">
        <f>IF($B5069="","",IF(AND(ABS(B5080)&gt;'Opening Balance'!$B$13,B5080&gt;0),ROUND(B5071+B5080,2),B5071))</f>
        <v/>
      </c>
      <c r="K5071" t="inlineStr">
        <is>
          <t>cash collection 现金收款</t>
        </is>
      </c>
      <c r="L5071" s="6">
        <f>IF($B5069="","",E5071)</f>
        <v/>
      </c>
    </row>
    <row r="5072">
      <c r="A5072" s="1" t="inlineStr">
        <is>
          <t>Other Charges 其他费用</t>
        </is>
      </c>
      <c r="B5072" s="9">
        <f>IF($B5069="","",'Daily Sale entry '!D364)</f>
        <v/>
      </c>
      <c r="D5072" s="1" t="inlineStr">
        <is>
          <t>Cheque Collection 支票收款</t>
        </is>
      </c>
      <c r="E5072" s="9">
        <f>IF($B5069="","",'Daily Sale entry '!J364)</f>
        <v/>
      </c>
      <c r="H5072" s="1" t="inlineStr">
        <is>
          <t>Other Charges 其他费用</t>
        </is>
      </c>
      <c r="I5072" s="9">
        <f>IF($B5069="","",B5072)</f>
        <v/>
      </c>
      <c r="K5072" s="1" t="inlineStr">
        <is>
          <t>Cheque Collection 支票收款</t>
        </is>
      </c>
      <c r="L5072" s="9">
        <f>IF($B5069="","",E5072)</f>
        <v/>
      </c>
    </row>
    <row r="5073">
      <c r="A5073" s="10" t="inlineStr">
        <is>
          <t>Amount 金额  (Cash Sales - Misc - Other)</t>
        </is>
      </c>
      <c r="B5073" s="11">
        <f>IF($B5069="","",ROUND(B5070-B5071-B5072,2))</f>
        <v/>
      </c>
      <c r="D5073" s="12" t="inlineStr">
        <is>
          <t>TNG collection TNG收款</t>
        </is>
      </c>
      <c r="E5073" s="13">
        <f>IF($B5069="","",'Daily Sale entry '!K364)</f>
        <v/>
      </c>
      <c r="H5073" s="10" t="inlineStr">
        <is>
          <t>Amount 金额  (Cash Sales - Misc - Other)</t>
        </is>
      </c>
      <c r="I5073" s="11">
        <f>IF($B5069="","",ROUND(I5070-I5071-I5072,2))</f>
        <v/>
      </c>
      <c r="K5073" s="12" t="inlineStr">
        <is>
          <t>TNG collection TNG收款</t>
        </is>
      </c>
      <c r="L5073" s="13">
        <f>IF($B5069="","",E5073)</f>
        <v/>
      </c>
    </row>
    <row r="5074">
      <c r="A5074" t="inlineStr">
        <is>
          <t>Credit Collection 赊账收款</t>
        </is>
      </c>
      <c r="B5074" s="6">
        <f>IF($B5069="","",'Daily Sale entry '!E364)</f>
        <v/>
      </c>
      <c r="D5074" t="inlineStr">
        <is>
          <t>Advance Salary_M 预支薪水_M</t>
        </is>
      </c>
      <c r="E5074" s="6">
        <f>IF($B5069="","",'Daily Sale entry '!L364)</f>
        <v/>
      </c>
      <c r="H5074" t="inlineStr">
        <is>
          <t>Credit Collection 赊账收款</t>
        </is>
      </c>
      <c r="I5074" s="6">
        <f>IF($B5069="","",B5074)</f>
        <v/>
      </c>
      <c r="K5074" t="inlineStr">
        <is>
          <t>Advance Salary_M 预支薪水_M</t>
        </is>
      </c>
      <c r="L5074" s="6">
        <f>IF($B5069="","",E5074)</f>
        <v/>
      </c>
    </row>
    <row r="5075">
      <c r="A5075" s="10" t="inlineStr">
        <is>
          <t>Amount 2 金额2  (Amount + Credit Collection)</t>
        </is>
      </c>
      <c r="B5075" s="11">
        <f>IF($B5069="","",ROUND(B5073+B5074,2))</f>
        <v/>
      </c>
      <c r="D5075" t="inlineStr">
        <is>
          <t>Advance Salary_H 预支薪水_H</t>
        </is>
      </c>
      <c r="E5075" s="6">
        <f>IF($B5069="","",'Daily Sale entry '!M364)</f>
        <v/>
      </c>
      <c r="H5075" s="10" t="inlineStr">
        <is>
          <t>Amount 2 金额2  (Amount + Credit Collection)</t>
        </is>
      </c>
      <c r="I5075" s="11">
        <f>IF($B5069="","",ROUND(I5073+I5074,2))</f>
        <v/>
      </c>
      <c r="K5075" t="inlineStr">
        <is>
          <t>Advance Salary_H 预支薪水_H</t>
        </is>
      </c>
      <c r="L5075" s="6">
        <f>IF($B5069="","",E5075)</f>
        <v/>
      </c>
    </row>
    <row r="5076"/>
    <row r="5077">
      <c r="A5077" s="1" t="inlineStr">
        <is>
          <t>b/f petty cash 上日备用金结转</t>
        </is>
      </c>
      <c r="B5077" s="9">
        <f>IF($B5069="","",'Daily Sale entry '!F364)</f>
        <v/>
      </c>
      <c r="D5077" s="1" t="n"/>
      <c r="E5077" s="1" t="n"/>
      <c r="H5077" s="1" t="inlineStr">
        <is>
          <t>b/f petty cash 上日备用金结转</t>
        </is>
      </c>
      <c r="I5077" s="9">
        <f>IF($B5069="","",B5077)</f>
        <v/>
      </c>
      <c r="K5077" s="1" t="n"/>
      <c r="L5077" s="1" t="n"/>
    </row>
    <row r="5078">
      <c r="A5078" t="inlineStr">
        <is>
          <t>Total (A) 总计 (A)</t>
        </is>
      </c>
      <c r="B5078" s="6">
        <f>IF($B5069="","",ROUND(B5075+B5077,2))</f>
        <v/>
      </c>
      <c r="D5078" t="inlineStr">
        <is>
          <t>Total(B) 总计 (B)</t>
        </is>
      </c>
      <c r="E5078" s="6">
        <f>IF($B5069="","",ROUND(E5070+E5071+E5072+E5073+E5074+E5075,2))</f>
        <v/>
      </c>
      <c r="H5078" t="inlineStr">
        <is>
          <t>Total© 总计 (C)</t>
        </is>
      </c>
      <c r="I5078" s="6">
        <f>IF($B5069="","",ROUND(I5075+I5077,2))</f>
        <v/>
      </c>
      <c r="K5078" t="inlineStr">
        <is>
          <t>Total(D) 总计 (D)</t>
        </is>
      </c>
      <c r="L5078" s="6">
        <f>IF($B5069="","",ROUND(L5070+L5071+L5072+L5073+L5074+L5075,2))</f>
        <v/>
      </c>
    </row>
    <row r="5079">
      <c r="A5079" s="14" t="inlineStr">
        <is>
          <t>Total = Amount 2 + b/f petty cash  (金额2 + 上日备用金)</t>
        </is>
      </c>
      <c r="H5079" s="14" t="inlineStr">
        <is>
          <t>Total = Amount 2 + b/f petty cash  (金额2 + 上日备用金)</t>
        </is>
      </c>
    </row>
    <row r="5080">
      <c r="A5080" t="inlineStr">
        <is>
          <t>Different 差额</t>
        </is>
      </c>
      <c r="B5080" s="6">
        <f>IF($B5069="","",ROUND(B5078-E5078,2))</f>
        <v/>
      </c>
      <c r="D5080">
        <f>IF($B5069="","",IF(ABS(B5080)&gt;'Opening Balance'!$B$16,"ALERT 警报: Different over RM"&amp;'Opening Balance'!$B$16&amp;" 差额超过RM"&amp;'Opening Balance'!$B$16&amp;" - please check 请检查",IF(B5080=0,"Tied 平衡",IF(ABS(B5080)&lt;='Opening Balance'!$B$13,"Small difference 小额差额: adjusted on c/f petty cash 已调整备用金",IF(B5080&gt;0,"Short 短收: added to Misc Charges 已加入杂项费用","Over 多收: added to Cash Sales 已加入现金销售")))))</f>
        <v/>
      </c>
      <c r="H5080" t="inlineStr">
        <is>
          <t>Different 差额</t>
        </is>
      </c>
      <c r="I5080" s="6">
        <f>IF($B5069="","",ROUND(I5078-L5078,2))</f>
        <v/>
      </c>
    </row>
    <row r="5081"/>
    <row r="5082"/>
    <row r="5083">
      <c r="A5083" t="inlineStr">
        <is>
          <t>Date 日期</t>
        </is>
      </c>
      <c r="B5083" s="5">
        <f>IF('Daily Sale entry '!$A365="","",'Daily Sale entry '!$A365)</f>
        <v/>
      </c>
      <c r="H5083" t="inlineStr">
        <is>
          <t>After 调整后 (After)</t>
        </is>
      </c>
      <c r="I5083" s="5">
        <f>IF($B5083="","",B5083)</f>
        <v/>
      </c>
    </row>
    <row r="5084">
      <c r="A5084" t="inlineStr">
        <is>
          <t>Cash Sales 现金销售</t>
        </is>
      </c>
      <c r="B5084" s="6">
        <f>IF($B5083="","",'Daily Sale entry '!B365)</f>
        <v/>
      </c>
      <c r="D5084" t="inlineStr">
        <is>
          <t>c/f petty cash 今日备用金结转</t>
        </is>
      </c>
      <c r="E5084" s="6">
        <f>IF($B5083="","",'Daily Sale entry '!G365)</f>
        <v/>
      </c>
      <c r="H5084" t="inlineStr">
        <is>
          <t>Cash Sales 现金销售</t>
        </is>
      </c>
      <c r="I5084" s="6">
        <f>IF($B5083="","",IF(AND(ABS(B5094)&gt;'Opening Balance'!$B$13,B5094&lt;0),ROUND(B5084-B5094,2),B5084))</f>
        <v/>
      </c>
      <c r="K5084" t="inlineStr">
        <is>
          <t>c/f petty cash 今日备用金结转</t>
        </is>
      </c>
      <c r="L5084" s="6">
        <f>IF($B5083="","",IF(ABS(B5094)&lt;='Opening Balance'!$B$13,ROUND(E5084+B5094,2),E5084))</f>
        <v/>
      </c>
    </row>
    <row r="5085">
      <c r="A5085" t="inlineStr">
        <is>
          <t>Misc Charges 杂项费用</t>
        </is>
      </c>
      <c r="B5085" s="6">
        <f>IF($B5083="","",'Daily Sale entry '!C365)</f>
        <v/>
      </c>
      <c r="D5085" t="inlineStr">
        <is>
          <t>cash collection 现金收款</t>
        </is>
      </c>
      <c r="E5085" s="6">
        <f>IF($B5083="","",'Daily Sale entry '!H365)</f>
        <v/>
      </c>
      <c r="H5085" t="inlineStr">
        <is>
          <t>Misc Charges 杂项费用</t>
        </is>
      </c>
      <c r="I5085" s="6">
        <f>IF($B5083="","",IF(AND(ABS(B5094)&gt;'Opening Balance'!$B$13,B5094&gt;0),ROUND(B5085+B5094,2),B5085))</f>
        <v/>
      </c>
      <c r="K5085" t="inlineStr">
        <is>
          <t>cash collection 现金收款</t>
        </is>
      </c>
      <c r="L5085" s="6">
        <f>IF($B5083="","",E5085)</f>
        <v/>
      </c>
    </row>
    <row r="5086">
      <c r="A5086" s="1" t="inlineStr">
        <is>
          <t>Other Charges 其他费用</t>
        </is>
      </c>
      <c r="B5086" s="9">
        <f>IF($B5083="","",'Daily Sale entry '!D365)</f>
        <v/>
      </c>
      <c r="D5086" s="1" t="inlineStr">
        <is>
          <t>Cheque Collection 支票收款</t>
        </is>
      </c>
      <c r="E5086" s="9">
        <f>IF($B5083="","",'Daily Sale entry '!J365)</f>
        <v/>
      </c>
      <c r="H5086" s="1" t="inlineStr">
        <is>
          <t>Other Charges 其他费用</t>
        </is>
      </c>
      <c r="I5086" s="9">
        <f>IF($B5083="","",B5086)</f>
        <v/>
      </c>
      <c r="K5086" s="1" t="inlineStr">
        <is>
          <t>Cheque Collection 支票收款</t>
        </is>
      </c>
      <c r="L5086" s="9">
        <f>IF($B5083="","",E5086)</f>
        <v/>
      </c>
    </row>
    <row r="5087">
      <c r="A5087" s="10" t="inlineStr">
        <is>
          <t>Amount 金额  (Cash Sales - Misc - Other)</t>
        </is>
      </c>
      <c r="B5087" s="11">
        <f>IF($B5083="","",ROUND(B5084-B5085-B5086,2))</f>
        <v/>
      </c>
      <c r="D5087" s="12" t="inlineStr">
        <is>
          <t>TNG collection TNG收款</t>
        </is>
      </c>
      <c r="E5087" s="13">
        <f>IF($B5083="","",'Daily Sale entry '!K365)</f>
        <v/>
      </c>
      <c r="H5087" s="10" t="inlineStr">
        <is>
          <t>Amount 金额  (Cash Sales - Misc - Other)</t>
        </is>
      </c>
      <c r="I5087" s="11">
        <f>IF($B5083="","",ROUND(I5084-I5085-I5086,2))</f>
        <v/>
      </c>
      <c r="K5087" s="12" t="inlineStr">
        <is>
          <t>TNG collection TNG收款</t>
        </is>
      </c>
      <c r="L5087" s="13">
        <f>IF($B5083="","",E5087)</f>
        <v/>
      </c>
    </row>
    <row r="5088">
      <c r="A5088" t="inlineStr">
        <is>
          <t>Credit Collection 赊账收款</t>
        </is>
      </c>
      <c r="B5088" s="6">
        <f>IF($B5083="","",'Daily Sale entry '!E365)</f>
        <v/>
      </c>
      <c r="D5088" t="inlineStr">
        <is>
          <t>Advance Salary_M 预支薪水_M</t>
        </is>
      </c>
      <c r="E5088" s="6">
        <f>IF($B5083="","",'Daily Sale entry '!L365)</f>
        <v/>
      </c>
      <c r="H5088" t="inlineStr">
        <is>
          <t>Credit Collection 赊账收款</t>
        </is>
      </c>
      <c r="I5088" s="6">
        <f>IF($B5083="","",B5088)</f>
        <v/>
      </c>
      <c r="K5088" t="inlineStr">
        <is>
          <t>Advance Salary_M 预支薪水_M</t>
        </is>
      </c>
      <c r="L5088" s="6">
        <f>IF($B5083="","",E5088)</f>
        <v/>
      </c>
    </row>
    <row r="5089">
      <c r="A5089" s="10" t="inlineStr">
        <is>
          <t>Amount 2 金额2  (Amount + Credit Collection)</t>
        </is>
      </c>
      <c r="B5089" s="11">
        <f>IF($B5083="","",ROUND(B5087+B5088,2))</f>
        <v/>
      </c>
      <c r="D5089" t="inlineStr">
        <is>
          <t>Advance Salary_H 预支薪水_H</t>
        </is>
      </c>
      <c r="E5089" s="6">
        <f>IF($B5083="","",'Daily Sale entry '!M365)</f>
        <v/>
      </c>
      <c r="H5089" s="10" t="inlineStr">
        <is>
          <t>Amount 2 金额2  (Amount + Credit Collection)</t>
        </is>
      </c>
      <c r="I5089" s="11">
        <f>IF($B5083="","",ROUND(I5087+I5088,2))</f>
        <v/>
      </c>
      <c r="K5089" t="inlineStr">
        <is>
          <t>Advance Salary_H 预支薪水_H</t>
        </is>
      </c>
      <c r="L5089" s="6">
        <f>IF($B5083="","",E5089)</f>
        <v/>
      </c>
    </row>
    <row r="5090"/>
    <row r="5091">
      <c r="A5091" s="1" t="inlineStr">
        <is>
          <t>b/f petty cash 上日备用金结转</t>
        </is>
      </c>
      <c r="B5091" s="9">
        <f>IF($B5083="","",'Daily Sale entry '!F365)</f>
        <v/>
      </c>
      <c r="D5091" s="1" t="n"/>
      <c r="E5091" s="1" t="n"/>
      <c r="H5091" s="1" t="inlineStr">
        <is>
          <t>b/f petty cash 上日备用金结转</t>
        </is>
      </c>
      <c r="I5091" s="9">
        <f>IF($B5083="","",B5091)</f>
        <v/>
      </c>
      <c r="K5091" s="1" t="n"/>
      <c r="L5091" s="1" t="n"/>
    </row>
    <row r="5092">
      <c r="A5092" t="inlineStr">
        <is>
          <t>Total (A) 总计 (A)</t>
        </is>
      </c>
      <c r="B5092" s="6">
        <f>IF($B5083="","",ROUND(B5089+B5091,2))</f>
        <v/>
      </c>
      <c r="D5092" t="inlineStr">
        <is>
          <t>Total(B) 总计 (B)</t>
        </is>
      </c>
      <c r="E5092" s="6">
        <f>IF($B5083="","",ROUND(E5084+E5085+E5086+E5087+E5088+E5089,2))</f>
        <v/>
      </c>
      <c r="H5092" t="inlineStr">
        <is>
          <t>Total© 总计 (C)</t>
        </is>
      </c>
      <c r="I5092" s="6">
        <f>IF($B5083="","",ROUND(I5089+I5091,2))</f>
        <v/>
      </c>
      <c r="K5092" t="inlineStr">
        <is>
          <t>Total(D) 总计 (D)</t>
        </is>
      </c>
      <c r="L5092" s="6">
        <f>IF($B5083="","",ROUND(L5084+L5085+L5086+L5087+L5088+L5089,2))</f>
        <v/>
      </c>
    </row>
    <row r="5093">
      <c r="A5093" s="14" t="inlineStr">
        <is>
          <t>Total = Amount 2 + b/f petty cash  (金额2 + 上日备用金)</t>
        </is>
      </c>
      <c r="H5093" s="14" t="inlineStr">
        <is>
          <t>Total = Amount 2 + b/f petty cash  (金额2 + 上日备用金)</t>
        </is>
      </c>
    </row>
    <row r="5094">
      <c r="A5094" t="inlineStr">
        <is>
          <t>Different 差额</t>
        </is>
      </c>
      <c r="B5094" s="6">
        <f>IF($B5083="","",ROUND(B5092-E5092,2))</f>
        <v/>
      </c>
      <c r="D5094">
        <f>IF($B5083="","",IF(ABS(B5094)&gt;'Opening Balance'!$B$16,"ALERT 警报: Different over RM"&amp;'Opening Balance'!$B$16&amp;" 差额超过RM"&amp;'Opening Balance'!$B$16&amp;" - please check 请检查",IF(B5094=0,"Tied 平衡",IF(ABS(B5094)&lt;='Opening Balance'!$B$13,"Small difference 小额差额: adjusted on c/f petty cash 已调整备用金",IF(B5094&gt;0,"Short 短收: added to Misc Charges 已加入杂项费用","Over 多收: added to Cash Sales 已加入现金销售")))))</f>
        <v/>
      </c>
      <c r="H5094" t="inlineStr">
        <is>
          <t>Different 差额</t>
        </is>
      </c>
      <c r="I5094" s="6">
        <f>IF($B5083="","",ROUND(I5092-L5092,2))</f>
        <v/>
      </c>
    </row>
    <row r="5095"/>
    <row r="5096"/>
    <row r="5097">
      <c r="A5097" t="inlineStr">
        <is>
          <t>Date 日期</t>
        </is>
      </c>
      <c r="B5097" s="5">
        <f>IF('Daily Sale entry '!$A366="","",'Daily Sale entry '!$A366)</f>
        <v/>
      </c>
      <c r="H5097" t="inlineStr">
        <is>
          <t>After 调整后 (After)</t>
        </is>
      </c>
      <c r="I5097" s="5">
        <f>IF($B5097="","",B5097)</f>
        <v/>
      </c>
    </row>
    <row r="5098">
      <c r="A5098" t="inlineStr">
        <is>
          <t>Cash Sales 现金销售</t>
        </is>
      </c>
      <c r="B5098" s="6">
        <f>IF($B5097="","",'Daily Sale entry '!B366)</f>
        <v/>
      </c>
      <c r="D5098" t="inlineStr">
        <is>
          <t>c/f petty cash 今日备用金结转</t>
        </is>
      </c>
      <c r="E5098" s="6">
        <f>IF($B5097="","",'Daily Sale entry '!G366)</f>
        <v/>
      </c>
      <c r="H5098" t="inlineStr">
        <is>
          <t>Cash Sales 现金销售</t>
        </is>
      </c>
      <c r="I5098" s="6">
        <f>IF($B5097="","",IF(AND(ABS(B5108)&gt;'Opening Balance'!$B$13,B5108&lt;0),ROUND(B5098-B5108,2),B5098))</f>
        <v/>
      </c>
      <c r="K5098" t="inlineStr">
        <is>
          <t>c/f petty cash 今日备用金结转</t>
        </is>
      </c>
      <c r="L5098" s="6">
        <f>IF($B5097="","",IF(ABS(B5108)&lt;='Opening Balance'!$B$13,ROUND(E5098+B5108,2),E5098))</f>
        <v/>
      </c>
    </row>
    <row r="5099">
      <c r="A5099" t="inlineStr">
        <is>
          <t>Misc Charges 杂项费用</t>
        </is>
      </c>
      <c r="B5099" s="6">
        <f>IF($B5097="","",'Daily Sale entry '!C366)</f>
        <v/>
      </c>
      <c r="D5099" t="inlineStr">
        <is>
          <t>cash collection 现金收款</t>
        </is>
      </c>
      <c r="E5099" s="6">
        <f>IF($B5097="","",'Daily Sale entry '!H366)</f>
        <v/>
      </c>
      <c r="H5099" t="inlineStr">
        <is>
          <t>Misc Charges 杂项费用</t>
        </is>
      </c>
      <c r="I5099" s="6">
        <f>IF($B5097="","",IF(AND(ABS(B5108)&gt;'Opening Balance'!$B$13,B5108&gt;0),ROUND(B5099+B5108,2),B5099))</f>
        <v/>
      </c>
      <c r="K5099" t="inlineStr">
        <is>
          <t>cash collection 现金收款</t>
        </is>
      </c>
      <c r="L5099" s="6">
        <f>IF($B5097="","",E5099)</f>
        <v/>
      </c>
    </row>
    <row r="5100">
      <c r="A5100" s="1" t="inlineStr">
        <is>
          <t>Other Charges 其他费用</t>
        </is>
      </c>
      <c r="B5100" s="9">
        <f>IF($B5097="","",'Daily Sale entry '!D366)</f>
        <v/>
      </c>
      <c r="D5100" s="1" t="inlineStr">
        <is>
          <t>Cheque Collection 支票收款</t>
        </is>
      </c>
      <c r="E5100" s="9">
        <f>IF($B5097="","",'Daily Sale entry '!J366)</f>
        <v/>
      </c>
      <c r="H5100" s="1" t="inlineStr">
        <is>
          <t>Other Charges 其他费用</t>
        </is>
      </c>
      <c r="I5100" s="9">
        <f>IF($B5097="","",B5100)</f>
        <v/>
      </c>
      <c r="K5100" s="1" t="inlineStr">
        <is>
          <t>Cheque Collection 支票收款</t>
        </is>
      </c>
      <c r="L5100" s="9">
        <f>IF($B5097="","",E5100)</f>
        <v/>
      </c>
    </row>
    <row r="5101">
      <c r="A5101" s="10" t="inlineStr">
        <is>
          <t>Amount 金额  (Cash Sales - Misc - Other)</t>
        </is>
      </c>
      <c r="B5101" s="11">
        <f>IF($B5097="","",ROUND(B5098-B5099-B5100,2))</f>
        <v/>
      </c>
      <c r="D5101" s="12" t="inlineStr">
        <is>
          <t>TNG collection TNG收款</t>
        </is>
      </c>
      <c r="E5101" s="13">
        <f>IF($B5097="","",'Daily Sale entry '!K366)</f>
        <v/>
      </c>
      <c r="H5101" s="10" t="inlineStr">
        <is>
          <t>Amount 金额  (Cash Sales - Misc - Other)</t>
        </is>
      </c>
      <c r="I5101" s="11">
        <f>IF($B5097="","",ROUND(I5098-I5099-I5100,2))</f>
        <v/>
      </c>
      <c r="K5101" s="12" t="inlineStr">
        <is>
          <t>TNG collection TNG收款</t>
        </is>
      </c>
      <c r="L5101" s="13">
        <f>IF($B5097="","",E5101)</f>
        <v/>
      </c>
    </row>
    <row r="5102">
      <c r="A5102" t="inlineStr">
        <is>
          <t>Credit Collection 赊账收款</t>
        </is>
      </c>
      <c r="B5102" s="6">
        <f>IF($B5097="","",'Daily Sale entry '!E366)</f>
        <v/>
      </c>
      <c r="D5102" t="inlineStr">
        <is>
          <t>Advance Salary_M 预支薪水_M</t>
        </is>
      </c>
      <c r="E5102" s="6">
        <f>IF($B5097="","",'Daily Sale entry '!L366)</f>
        <v/>
      </c>
      <c r="H5102" t="inlineStr">
        <is>
          <t>Credit Collection 赊账收款</t>
        </is>
      </c>
      <c r="I5102" s="6">
        <f>IF($B5097="","",B5102)</f>
        <v/>
      </c>
      <c r="K5102" t="inlineStr">
        <is>
          <t>Advance Salary_M 预支薪水_M</t>
        </is>
      </c>
      <c r="L5102" s="6">
        <f>IF($B5097="","",E5102)</f>
        <v/>
      </c>
    </row>
    <row r="5103">
      <c r="A5103" s="10" t="inlineStr">
        <is>
          <t>Amount 2 金额2  (Amount + Credit Collection)</t>
        </is>
      </c>
      <c r="B5103" s="11">
        <f>IF($B5097="","",ROUND(B5101+B5102,2))</f>
        <v/>
      </c>
      <c r="D5103" t="inlineStr">
        <is>
          <t>Advance Salary_H 预支薪水_H</t>
        </is>
      </c>
      <c r="E5103" s="6">
        <f>IF($B5097="","",'Daily Sale entry '!M366)</f>
        <v/>
      </c>
      <c r="H5103" s="10" t="inlineStr">
        <is>
          <t>Amount 2 金额2  (Amount + Credit Collection)</t>
        </is>
      </c>
      <c r="I5103" s="11">
        <f>IF($B5097="","",ROUND(I5101+I5102,2))</f>
        <v/>
      </c>
      <c r="K5103" t="inlineStr">
        <is>
          <t>Advance Salary_H 预支薪水_H</t>
        </is>
      </c>
      <c r="L5103" s="6">
        <f>IF($B5097="","",E5103)</f>
        <v/>
      </c>
    </row>
    <row r="5104"/>
    <row r="5105">
      <c r="A5105" s="1" t="inlineStr">
        <is>
          <t>b/f petty cash 上日备用金结转</t>
        </is>
      </c>
      <c r="B5105" s="9">
        <f>IF($B5097="","",'Daily Sale entry '!F366)</f>
        <v/>
      </c>
      <c r="D5105" s="1" t="n"/>
      <c r="E5105" s="1" t="n"/>
      <c r="H5105" s="1" t="inlineStr">
        <is>
          <t>b/f petty cash 上日备用金结转</t>
        </is>
      </c>
      <c r="I5105" s="9">
        <f>IF($B5097="","",B5105)</f>
        <v/>
      </c>
      <c r="K5105" s="1" t="n"/>
      <c r="L5105" s="1" t="n"/>
    </row>
    <row r="5106">
      <c r="A5106" t="inlineStr">
        <is>
          <t>Total (A) 总计 (A)</t>
        </is>
      </c>
      <c r="B5106" s="6">
        <f>IF($B5097="","",ROUND(B5103+B5105,2))</f>
        <v/>
      </c>
      <c r="D5106" t="inlineStr">
        <is>
          <t>Total(B) 总计 (B)</t>
        </is>
      </c>
      <c r="E5106" s="6">
        <f>IF($B5097="","",ROUND(E5098+E5099+E5100+E5101+E5102+E5103,2))</f>
        <v/>
      </c>
      <c r="H5106" t="inlineStr">
        <is>
          <t>Total© 总计 (C)</t>
        </is>
      </c>
      <c r="I5106" s="6">
        <f>IF($B5097="","",ROUND(I5103+I5105,2))</f>
        <v/>
      </c>
      <c r="K5106" t="inlineStr">
        <is>
          <t>Total(D) 总计 (D)</t>
        </is>
      </c>
      <c r="L5106" s="6">
        <f>IF($B5097="","",ROUND(L5098+L5099+L5100+L5101+L5102+L5103,2))</f>
        <v/>
      </c>
    </row>
    <row r="5107">
      <c r="A5107" s="14" t="inlineStr">
        <is>
          <t>Total = Amount 2 + b/f petty cash  (金额2 + 上日备用金)</t>
        </is>
      </c>
      <c r="H5107" s="14" t="inlineStr">
        <is>
          <t>Total = Amount 2 + b/f petty cash  (金额2 + 上日备用金)</t>
        </is>
      </c>
    </row>
    <row r="5108">
      <c r="A5108" t="inlineStr">
        <is>
          <t>Different 差额</t>
        </is>
      </c>
      <c r="B5108" s="6">
        <f>IF($B5097="","",ROUND(B5106-E5106,2))</f>
        <v/>
      </c>
      <c r="D5108">
        <f>IF($B5097="","",IF(ABS(B5108)&gt;'Opening Balance'!$B$16,"ALERT 警报: Different over RM"&amp;'Opening Balance'!$B$16&amp;" 差额超过RM"&amp;'Opening Balance'!$B$16&amp;" - please check 请检查",IF(B5108=0,"Tied 平衡",IF(ABS(B5108)&lt;='Opening Balance'!$B$13,"Small difference 小额差额: adjusted on c/f petty cash 已调整备用金",IF(B5108&gt;0,"Short 短收: added to Misc Charges 已加入杂项费用","Over 多收: added to Cash Sales 已加入现金销售")))))</f>
        <v/>
      </c>
      <c r="H5108" t="inlineStr">
        <is>
          <t>Different 差额</t>
        </is>
      </c>
      <c r="I5108" s="6">
        <f>IF($B5097="","",ROUND(I5106-L5106,2))</f>
        <v/>
      </c>
    </row>
    <row r="5109"/>
    <row r="5110"/>
    <row r="5111">
      <c r="A5111" t="inlineStr">
        <is>
          <t>Date 日期</t>
        </is>
      </c>
      <c r="B5111" s="5">
        <f>IF('Daily Sale entry '!$A367="","",'Daily Sale entry '!$A367)</f>
        <v/>
      </c>
      <c r="H5111" t="inlineStr">
        <is>
          <t>After 调整后 (After)</t>
        </is>
      </c>
      <c r="I5111" s="5">
        <f>IF($B5111="","",B5111)</f>
        <v/>
      </c>
    </row>
    <row r="5112">
      <c r="A5112" t="inlineStr">
        <is>
          <t>Cash Sales 现金销售</t>
        </is>
      </c>
      <c r="B5112" s="6">
        <f>IF($B5111="","",'Daily Sale entry '!B367)</f>
        <v/>
      </c>
      <c r="D5112" t="inlineStr">
        <is>
          <t>c/f petty cash 今日备用金结转</t>
        </is>
      </c>
      <c r="E5112" s="6">
        <f>IF($B5111="","",'Daily Sale entry '!G367)</f>
        <v/>
      </c>
      <c r="H5112" t="inlineStr">
        <is>
          <t>Cash Sales 现金销售</t>
        </is>
      </c>
      <c r="I5112" s="6">
        <f>IF($B5111="","",IF(AND(ABS(B5122)&gt;'Opening Balance'!$B$13,B5122&lt;0),ROUND(B5112-B5122,2),B5112))</f>
        <v/>
      </c>
      <c r="K5112" t="inlineStr">
        <is>
          <t>c/f petty cash 今日备用金结转</t>
        </is>
      </c>
      <c r="L5112" s="6">
        <f>IF($B5111="","",IF(ABS(B5122)&lt;='Opening Balance'!$B$13,ROUND(E5112+B5122,2),E5112))</f>
        <v/>
      </c>
    </row>
    <row r="5113">
      <c r="A5113" t="inlineStr">
        <is>
          <t>Misc Charges 杂项费用</t>
        </is>
      </c>
      <c r="B5113" s="6">
        <f>IF($B5111="","",'Daily Sale entry '!C367)</f>
        <v/>
      </c>
      <c r="D5113" t="inlineStr">
        <is>
          <t>cash collection 现金收款</t>
        </is>
      </c>
      <c r="E5113" s="6">
        <f>IF($B5111="","",'Daily Sale entry '!H367)</f>
        <v/>
      </c>
      <c r="H5113" t="inlineStr">
        <is>
          <t>Misc Charges 杂项费用</t>
        </is>
      </c>
      <c r="I5113" s="6">
        <f>IF($B5111="","",IF(AND(ABS(B5122)&gt;'Opening Balance'!$B$13,B5122&gt;0),ROUND(B5113+B5122,2),B5113))</f>
        <v/>
      </c>
      <c r="K5113" t="inlineStr">
        <is>
          <t>cash collection 现金收款</t>
        </is>
      </c>
      <c r="L5113" s="6">
        <f>IF($B5111="","",E5113)</f>
        <v/>
      </c>
    </row>
    <row r="5114">
      <c r="A5114" s="1" t="inlineStr">
        <is>
          <t>Other Charges 其他费用</t>
        </is>
      </c>
      <c r="B5114" s="9">
        <f>IF($B5111="","",'Daily Sale entry '!D367)</f>
        <v/>
      </c>
      <c r="D5114" s="1" t="inlineStr">
        <is>
          <t>Cheque Collection 支票收款</t>
        </is>
      </c>
      <c r="E5114" s="9">
        <f>IF($B5111="","",'Daily Sale entry '!J367)</f>
        <v/>
      </c>
      <c r="H5114" s="1" t="inlineStr">
        <is>
          <t>Other Charges 其他费用</t>
        </is>
      </c>
      <c r="I5114" s="9">
        <f>IF($B5111="","",B5114)</f>
        <v/>
      </c>
      <c r="K5114" s="1" t="inlineStr">
        <is>
          <t>Cheque Collection 支票收款</t>
        </is>
      </c>
      <c r="L5114" s="9">
        <f>IF($B5111="","",E5114)</f>
        <v/>
      </c>
    </row>
    <row r="5115">
      <c r="A5115" s="10" t="inlineStr">
        <is>
          <t>Amount 金额  (Cash Sales - Misc - Other)</t>
        </is>
      </c>
      <c r="B5115" s="11">
        <f>IF($B5111="","",ROUND(B5112-B5113-B5114,2))</f>
        <v/>
      </c>
      <c r="D5115" s="12" t="inlineStr">
        <is>
          <t>TNG collection TNG收款</t>
        </is>
      </c>
      <c r="E5115" s="13">
        <f>IF($B5111="","",'Daily Sale entry '!K367)</f>
        <v/>
      </c>
      <c r="H5115" s="10" t="inlineStr">
        <is>
          <t>Amount 金额  (Cash Sales - Misc - Other)</t>
        </is>
      </c>
      <c r="I5115" s="11">
        <f>IF($B5111="","",ROUND(I5112-I5113-I5114,2))</f>
        <v/>
      </c>
      <c r="K5115" s="12" t="inlineStr">
        <is>
          <t>TNG collection TNG收款</t>
        </is>
      </c>
      <c r="L5115" s="13">
        <f>IF($B5111="","",E5115)</f>
        <v/>
      </c>
    </row>
    <row r="5116">
      <c r="A5116" t="inlineStr">
        <is>
          <t>Credit Collection 赊账收款</t>
        </is>
      </c>
      <c r="B5116" s="6">
        <f>IF($B5111="","",'Daily Sale entry '!E367)</f>
        <v/>
      </c>
      <c r="D5116" t="inlineStr">
        <is>
          <t>Advance Salary_M 预支薪水_M</t>
        </is>
      </c>
      <c r="E5116" s="6">
        <f>IF($B5111="","",'Daily Sale entry '!L367)</f>
        <v/>
      </c>
      <c r="H5116" t="inlineStr">
        <is>
          <t>Credit Collection 赊账收款</t>
        </is>
      </c>
      <c r="I5116" s="6">
        <f>IF($B5111="","",B5116)</f>
        <v/>
      </c>
      <c r="K5116" t="inlineStr">
        <is>
          <t>Advance Salary_M 预支薪水_M</t>
        </is>
      </c>
      <c r="L5116" s="6">
        <f>IF($B5111="","",E5116)</f>
        <v/>
      </c>
    </row>
    <row r="5117">
      <c r="A5117" s="10" t="inlineStr">
        <is>
          <t>Amount 2 金额2  (Amount + Credit Collection)</t>
        </is>
      </c>
      <c r="B5117" s="11">
        <f>IF($B5111="","",ROUND(B5115+B5116,2))</f>
        <v/>
      </c>
      <c r="D5117" t="inlineStr">
        <is>
          <t>Advance Salary_H 预支薪水_H</t>
        </is>
      </c>
      <c r="E5117" s="6">
        <f>IF($B5111="","",'Daily Sale entry '!M367)</f>
        <v/>
      </c>
      <c r="H5117" s="10" t="inlineStr">
        <is>
          <t>Amount 2 金额2  (Amount + Credit Collection)</t>
        </is>
      </c>
      <c r="I5117" s="11">
        <f>IF($B5111="","",ROUND(I5115+I5116,2))</f>
        <v/>
      </c>
      <c r="K5117" t="inlineStr">
        <is>
          <t>Advance Salary_H 预支薪水_H</t>
        </is>
      </c>
      <c r="L5117" s="6">
        <f>IF($B5111="","",E5117)</f>
        <v/>
      </c>
    </row>
    <row r="5118"/>
    <row r="5119">
      <c r="A5119" s="1" t="inlineStr">
        <is>
          <t>b/f petty cash 上日备用金结转</t>
        </is>
      </c>
      <c r="B5119" s="9">
        <f>IF($B5111="","",'Daily Sale entry '!F367)</f>
        <v/>
      </c>
      <c r="D5119" s="1" t="n"/>
      <c r="E5119" s="1" t="n"/>
      <c r="H5119" s="1" t="inlineStr">
        <is>
          <t>b/f petty cash 上日备用金结转</t>
        </is>
      </c>
      <c r="I5119" s="9">
        <f>IF($B5111="","",B5119)</f>
        <v/>
      </c>
      <c r="K5119" s="1" t="n"/>
      <c r="L5119" s="1" t="n"/>
    </row>
    <row r="5120">
      <c r="A5120" t="inlineStr">
        <is>
          <t>Total (A) 总计 (A)</t>
        </is>
      </c>
      <c r="B5120" s="6">
        <f>IF($B5111="","",ROUND(B5117+B5119,2))</f>
        <v/>
      </c>
      <c r="D5120" t="inlineStr">
        <is>
          <t>Total(B) 总计 (B)</t>
        </is>
      </c>
      <c r="E5120" s="6">
        <f>IF($B5111="","",ROUND(E5112+E5113+E5114+E5115+E5116+E5117,2))</f>
        <v/>
      </c>
      <c r="H5120" t="inlineStr">
        <is>
          <t>Total© 总计 (C)</t>
        </is>
      </c>
      <c r="I5120" s="6">
        <f>IF($B5111="","",ROUND(I5117+I5119,2))</f>
        <v/>
      </c>
      <c r="K5120" t="inlineStr">
        <is>
          <t>Total(D) 总计 (D)</t>
        </is>
      </c>
      <c r="L5120" s="6">
        <f>IF($B5111="","",ROUND(L5112+L5113+L5114+L5115+L5116+L5117,2))</f>
        <v/>
      </c>
    </row>
    <row r="5121">
      <c r="A5121" s="14" t="inlineStr">
        <is>
          <t>Total = Amount 2 + b/f petty cash  (金额2 + 上日备用金)</t>
        </is>
      </c>
      <c r="H5121" s="14" t="inlineStr">
        <is>
          <t>Total = Amount 2 + b/f petty cash  (金额2 + 上日备用金)</t>
        </is>
      </c>
    </row>
    <row r="5122">
      <c r="A5122" t="inlineStr">
        <is>
          <t>Different 差额</t>
        </is>
      </c>
      <c r="B5122" s="6">
        <f>IF($B5111="","",ROUND(B5120-E5120,2))</f>
        <v/>
      </c>
      <c r="D5122">
        <f>IF($B5111="","",IF(ABS(B5122)&gt;'Opening Balance'!$B$16,"ALERT 警报: Different over RM"&amp;'Opening Balance'!$B$16&amp;" 差额超过RM"&amp;'Opening Balance'!$B$16&amp;" - please check 请检查",IF(B5122=0,"Tied 平衡",IF(ABS(B5122)&lt;='Opening Balance'!$B$13,"Small difference 小额差额: adjusted on c/f petty cash 已调整备用金",IF(B5122&gt;0,"Short 短收: added to Misc Charges 已加入杂项费用","Over 多收: added to Cash Sales 已加入现金销售")))))</f>
        <v/>
      </c>
      <c r="H5122" t="inlineStr">
        <is>
          <t>Different 差额</t>
        </is>
      </c>
      <c r="I5122" s="6">
        <f>IF($B5111="","",ROUND(I5120-L5120,2))</f>
        <v/>
      </c>
    </row>
  </sheetData>
  <conditionalFormatting sqref="B12">
    <cfRule type="expression" priority="1" dxfId="0" stopIfTrue="1">
      <formula>AND(ISNUMBER($B12),ABS($B12)&gt;'Opening Balance'!$B$16)</formula>
    </cfRule>
    <cfRule type="cellIs" priority="3" operator="greaterThan" dxfId="1">
      <formula>0</formula>
    </cfRule>
    <cfRule type="cellIs" priority="4" operator="lessThan" dxfId="2">
      <formula>0</formula>
    </cfRule>
  </conditionalFormatting>
  <conditionalFormatting sqref="D12">
    <cfRule type="expression" priority="2" dxfId="0" stopIfTrue="1">
      <formula>AND(ISNUMBER($B12),ABS($B12)&gt;'Opening Balance'!$B$16)</formula>
    </cfRule>
  </conditionalFormatting>
  <conditionalFormatting sqref="B26">
    <cfRule type="expression" priority="5" dxfId="0" stopIfTrue="1">
      <formula>AND(ISNUMBER($B26),ABS($B26)&gt;'Opening Balance'!$B$16)</formula>
    </cfRule>
    <cfRule type="cellIs" priority="7" operator="greaterThan" dxfId="1">
      <formula>0</formula>
    </cfRule>
    <cfRule type="cellIs" priority="8" operator="lessThan" dxfId="2">
      <formula>0</formula>
    </cfRule>
  </conditionalFormatting>
  <conditionalFormatting sqref="D26">
    <cfRule type="expression" priority="6" dxfId="0" stopIfTrue="1">
      <formula>AND(ISNUMBER($B26),ABS($B26)&gt;'Opening Balance'!$B$16)</formula>
    </cfRule>
  </conditionalFormatting>
  <conditionalFormatting sqref="B40">
    <cfRule type="expression" priority="9" dxfId="0" stopIfTrue="1">
      <formula>AND(ISNUMBER($B40),ABS($B40)&gt;'Opening Balance'!$B$16)</formula>
    </cfRule>
    <cfRule type="cellIs" priority="11" operator="greaterThan" dxfId="1">
      <formula>0</formula>
    </cfRule>
    <cfRule type="cellIs" priority="12" operator="lessThan" dxfId="2">
      <formula>0</formula>
    </cfRule>
  </conditionalFormatting>
  <conditionalFormatting sqref="D40">
    <cfRule type="expression" priority="10" dxfId="0" stopIfTrue="1">
      <formula>AND(ISNUMBER($B40),ABS($B40)&gt;'Opening Balance'!$B$16)</formula>
    </cfRule>
  </conditionalFormatting>
  <conditionalFormatting sqref="B54">
    <cfRule type="expression" priority="13" dxfId="0" stopIfTrue="1">
      <formula>AND(ISNUMBER($B54),ABS($B54)&gt;'Opening Balance'!$B$16)</formula>
    </cfRule>
    <cfRule type="cellIs" priority="15" operator="greaterThan" dxfId="1">
      <formula>0</formula>
    </cfRule>
    <cfRule type="cellIs" priority="16" operator="lessThan" dxfId="2">
      <formula>0</formula>
    </cfRule>
  </conditionalFormatting>
  <conditionalFormatting sqref="D54">
    <cfRule type="expression" priority="14" dxfId="0" stopIfTrue="1">
      <formula>AND(ISNUMBER($B54),ABS($B54)&gt;'Opening Balance'!$B$16)</formula>
    </cfRule>
  </conditionalFormatting>
  <conditionalFormatting sqref="B68">
    <cfRule type="expression" priority="17" dxfId="0" stopIfTrue="1">
      <formula>AND(ISNUMBER($B68),ABS($B68)&gt;'Opening Balance'!$B$16)</formula>
    </cfRule>
    <cfRule type="cellIs" priority="19" operator="greaterThan" dxfId="1">
      <formula>0</formula>
    </cfRule>
    <cfRule type="cellIs" priority="20" operator="lessThan" dxfId="2">
      <formula>0</formula>
    </cfRule>
  </conditionalFormatting>
  <conditionalFormatting sqref="D68">
    <cfRule type="expression" priority="18" dxfId="0" stopIfTrue="1">
      <formula>AND(ISNUMBER($B68),ABS($B68)&gt;'Opening Balance'!$B$16)</formula>
    </cfRule>
  </conditionalFormatting>
  <conditionalFormatting sqref="B82">
    <cfRule type="expression" priority="21" dxfId="0" stopIfTrue="1">
      <formula>AND(ISNUMBER($B82),ABS($B82)&gt;'Opening Balance'!$B$16)</formula>
    </cfRule>
    <cfRule type="cellIs" priority="23" operator="greaterThan" dxfId="1">
      <formula>0</formula>
    </cfRule>
    <cfRule type="cellIs" priority="24" operator="lessThan" dxfId="2">
      <formula>0</formula>
    </cfRule>
  </conditionalFormatting>
  <conditionalFormatting sqref="D82">
    <cfRule type="expression" priority="22" dxfId="0" stopIfTrue="1">
      <formula>AND(ISNUMBER($B82),ABS($B82)&gt;'Opening Balance'!$B$16)</formula>
    </cfRule>
  </conditionalFormatting>
  <conditionalFormatting sqref="B96">
    <cfRule type="expression" priority="25" dxfId="0" stopIfTrue="1">
      <formula>AND(ISNUMBER($B96),ABS($B96)&gt;'Opening Balance'!$B$16)</formula>
    </cfRule>
    <cfRule type="cellIs" priority="27" operator="greaterThan" dxfId="1">
      <formula>0</formula>
    </cfRule>
    <cfRule type="cellIs" priority="28" operator="lessThan" dxfId="2">
      <formula>0</formula>
    </cfRule>
  </conditionalFormatting>
  <conditionalFormatting sqref="D96">
    <cfRule type="expression" priority="26" dxfId="0" stopIfTrue="1">
      <formula>AND(ISNUMBER($B96),ABS($B96)&gt;'Opening Balance'!$B$16)</formula>
    </cfRule>
  </conditionalFormatting>
  <conditionalFormatting sqref="B110">
    <cfRule type="expression" priority="29" dxfId="0" stopIfTrue="1">
      <formula>AND(ISNUMBER($B110),ABS($B110)&gt;'Opening Balance'!$B$16)</formula>
    </cfRule>
    <cfRule type="cellIs" priority="31" operator="greaterThan" dxfId="1">
      <formula>0</formula>
    </cfRule>
    <cfRule type="cellIs" priority="32" operator="lessThan" dxfId="2">
      <formula>0</formula>
    </cfRule>
  </conditionalFormatting>
  <conditionalFormatting sqref="D110">
    <cfRule type="expression" priority="30" dxfId="0" stopIfTrue="1">
      <formula>AND(ISNUMBER($B110),ABS($B110)&gt;'Opening Balance'!$B$16)</formula>
    </cfRule>
  </conditionalFormatting>
  <conditionalFormatting sqref="B124">
    <cfRule type="expression" priority="33" dxfId="0" stopIfTrue="1">
      <formula>AND(ISNUMBER($B124),ABS($B124)&gt;'Opening Balance'!$B$16)</formula>
    </cfRule>
    <cfRule type="cellIs" priority="35" operator="greaterThan" dxfId="1">
      <formula>0</formula>
    </cfRule>
    <cfRule type="cellIs" priority="36" operator="lessThan" dxfId="2">
      <formula>0</formula>
    </cfRule>
  </conditionalFormatting>
  <conditionalFormatting sqref="D124">
    <cfRule type="expression" priority="34" dxfId="0" stopIfTrue="1">
      <formula>AND(ISNUMBER($B124),ABS($B124)&gt;'Opening Balance'!$B$16)</formula>
    </cfRule>
  </conditionalFormatting>
  <conditionalFormatting sqref="B138">
    <cfRule type="expression" priority="37" dxfId="0" stopIfTrue="1">
      <formula>AND(ISNUMBER($B138),ABS($B138)&gt;'Opening Balance'!$B$16)</formula>
    </cfRule>
    <cfRule type="cellIs" priority="39" operator="greaterThan" dxfId="1">
      <formula>0</formula>
    </cfRule>
    <cfRule type="cellIs" priority="40" operator="lessThan" dxfId="2">
      <formula>0</formula>
    </cfRule>
  </conditionalFormatting>
  <conditionalFormatting sqref="D138">
    <cfRule type="expression" priority="38" dxfId="0" stopIfTrue="1">
      <formula>AND(ISNUMBER($B138),ABS($B138)&gt;'Opening Balance'!$B$16)</formula>
    </cfRule>
  </conditionalFormatting>
  <conditionalFormatting sqref="B152">
    <cfRule type="expression" priority="41" dxfId="0" stopIfTrue="1">
      <formula>AND(ISNUMBER($B152),ABS($B152)&gt;'Opening Balance'!$B$16)</formula>
    </cfRule>
    <cfRule type="cellIs" priority="43" operator="greaterThan" dxfId="1">
      <formula>0</formula>
    </cfRule>
    <cfRule type="cellIs" priority="44" operator="lessThan" dxfId="2">
      <formula>0</formula>
    </cfRule>
  </conditionalFormatting>
  <conditionalFormatting sqref="D152">
    <cfRule type="expression" priority="42" dxfId="0" stopIfTrue="1">
      <formula>AND(ISNUMBER($B152),ABS($B152)&gt;'Opening Balance'!$B$16)</formula>
    </cfRule>
  </conditionalFormatting>
  <conditionalFormatting sqref="B166">
    <cfRule type="expression" priority="45" dxfId="0" stopIfTrue="1">
      <formula>AND(ISNUMBER($B166),ABS($B166)&gt;'Opening Balance'!$B$16)</formula>
    </cfRule>
    <cfRule type="cellIs" priority="47" operator="greaterThan" dxfId="1">
      <formula>0</formula>
    </cfRule>
    <cfRule type="cellIs" priority="48" operator="lessThan" dxfId="2">
      <formula>0</formula>
    </cfRule>
  </conditionalFormatting>
  <conditionalFormatting sqref="D166">
    <cfRule type="expression" priority="46" dxfId="0" stopIfTrue="1">
      <formula>AND(ISNUMBER($B166),ABS($B166)&gt;'Opening Balance'!$B$16)</formula>
    </cfRule>
  </conditionalFormatting>
  <conditionalFormatting sqref="B180">
    <cfRule type="expression" priority="49" dxfId="0" stopIfTrue="1">
      <formula>AND(ISNUMBER($B180),ABS($B180)&gt;'Opening Balance'!$B$16)</formula>
    </cfRule>
    <cfRule type="cellIs" priority="51" operator="greaterThan" dxfId="1">
      <formula>0</formula>
    </cfRule>
    <cfRule type="cellIs" priority="52" operator="lessThan" dxfId="2">
      <formula>0</formula>
    </cfRule>
  </conditionalFormatting>
  <conditionalFormatting sqref="D180">
    <cfRule type="expression" priority="50" dxfId="0" stopIfTrue="1">
      <formula>AND(ISNUMBER($B180),ABS($B180)&gt;'Opening Balance'!$B$16)</formula>
    </cfRule>
  </conditionalFormatting>
  <conditionalFormatting sqref="B194">
    <cfRule type="expression" priority="53" dxfId="0" stopIfTrue="1">
      <formula>AND(ISNUMBER($B194),ABS($B194)&gt;'Opening Balance'!$B$16)</formula>
    </cfRule>
    <cfRule type="cellIs" priority="55" operator="greaterThan" dxfId="1">
      <formula>0</formula>
    </cfRule>
    <cfRule type="cellIs" priority="56" operator="lessThan" dxfId="2">
      <formula>0</formula>
    </cfRule>
  </conditionalFormatting>
  <conditionalFormatting sqref="D194">
    <cfRule type="expression" priority="54" dxfId="0" stopIfTrue="1">
      <formula>AND(ISNUMBER($B194),ABS($B194)&gt;'Opening Balance'!$B$16)</formula>
    </cfRule>
  </conditionalFormatting>
  <conditionalFormatting sqref="B208">
    <cfRule type="expression" priority="57" dxfId="0" stopIfTrue="1">
      <formula>AND(ISNUMBER($B208),ABS($B208)&gt;'Opening Balance'!$B$16)</formula>
    </cfRule>
    <cfRule type="cellIs" priority="59" operator="greaterThan" dxfId="1">
      <formula>0</formula>
    </cfRule>
    <cfRule type="cellIs" priority="60" operator="lessThan" dxfId="2">
      <formula>0</formula>
    </cfRule>
  </conditionalFormatting>
  <conditionalFormatting sqref="D208">
    <cfRule type="expression" priority="58" dxfId="0" stopIfTrue="1">
      <formula>AND(ISNUMBER($B208),ABS($B208)&gt;'Opening Balance'!$B$16)</formula>
    </cfRule>
  </conditionalFormatting>
  <conditionalFormatting sqref="B222">
    <cfRule type="expression" priority="61" dxfId="0" stopIfTrue="1">
      <formula>AND(ISNUMBER($B222),ABS($B222)&gt;'Opening Balance'!$B$16)</formula>
    </cfRule>
    <cfRule type="cellIs" priority="63" operator="greaterThan" dxfId="1">
      <formula>0</formula>
    </cfRule>
    <cfRule type="cellIs" priority="64" operator="lessThan" dxfId="2">
      <formula>0</formula>
    </cfRule>
  </conditionalFormatting>
  <conditionalFormatting sqref="D222">
    <cfRule type="expression" priority="62" dxfId="0" stopIfTrue="1">
      <formula>AND(ISNUMBER($B222),ABS($B222)&gt;'Opening Balance'!$B$16)</formula>
    </cfRule>
  </conditionalFormatting>
  <conditionalFormatting sqref="B236">
    <cfRule type="expression" priority="65" dxfId="0" stopIfTrue="1">
      <formula>AND(ISNUMBER($B236),ABS($B236)&gt;'Opening Balance'!$B$16)</formula>
    </cfRule>
    <cfRule type="cellIs" priority="67" operator="greaterThan" dxfId="1">
      <formula>0</formula>
    </cfRule>
    <cfRule type="cellIs" priority="68" operator="lessThan" dxfId="2">
      <formula>0</formula>
    </cfRule>
  </conditionalFormatting>
  <conditionalFormatting sqref="D236">
    <cfRule type="expression" priority="66" dxfId="0" stopIfTrue="1">
      <formula>AND(ISNUMBER($B236),ABS($B236)&gt;'Opening Balance'!$B$16)</formula>
    </cfRule>
  </conditionalFormatting>
  <conditionalFormatting sqref="B250">
    <cfRule type="expression" priority="69" dxfId="0" stopIfTrue="1">
      <formula>AND(ISNUMBER($B250),ABS($B250)&gt;'Opening Balance'!$B$16)</formula>
    </cfRule>
    <cfRule type="cellIs" priority="71" operator="greaterThan" dxfId="1">
      <formula>0</formula>
    </cfRule>
    <cfRule type="cellIs" priority="72" operator="lessThan" dxfId="2">
      <formula>0</formula>
    </cfRule>
  </conditionalFormatting>
  <conditionalFormatting sqref="D250">
    <cfRule type="expression" priority="70" dxfId="0" stopIfTrue="1">
      <formula>AND(ISNUMBER($B250),ABS($B250)&gt;'Opening Balance'!$B$16)</formula>
    </cfRule>
  </conditionalFormatting>
  <conditionalFormatting sqref="B264">
    <cfRule type="expression" priority="73" dxfId="0" stopIfTrue="1">
      <formula>AND(ISNUMBER($B264),ABS($B264)&gt;'Opening Balance'!$B$16)</formula>
    </cfRule>
    <cfRule type="cellIs" priority="75" operator="greaterThan" dxfId="1">
      <formula>0</formula>
    </cfRule>
    <cfRule type="cellIs" priority="76" operator="lessThan" dxfId="2">
      <formula>0</formula>
    </cfRule>
  </conditionalFormatting>
  <conditionalFormatting sqref="D264">
    <cfRule type="expression" priority="74" dxfId="0" stopIfTrue="1">
      <formula>AND(ISNUMBER($B264),ABS($B264)&gt;'Opening Balance'!$B$16)</formula>
    </cfRule>
  </conditionalFormatting>
  <conditionalFormatting sqref="B278">
    <cfRule type="expression" priority="77" dxfId="0" stopIfTrue="1">
      <formula>AND(ISNUMBER($B278),ABS($B278)&gt;'Opening Balance'!$B$16)</formula>
    </cfRule>
    <cfRule type="cellIs" priority="79" operator="greaterThan" dxfId="1">
      <formula>0</formula>
    </cfRule>
    <cfRule type="cellIs" priority="80" operator="lessThan" dxfId="2">
      <formula>0</formula>
    </cfRule>
  </conditionalFormatting>
  <conditionalFormatting sqref="D278">
    <cfRule type="expression" priority="78" dxfId="0" stopIfTrue="1">
      <formula>AND(ISNUMBER($B278),ABS($B278)&gt;'Opening Balance'!$B$16)</formula>
    </cfRule>
  </conditionalFormatting>
  <conditionalFormatting sqref="B292">
    <cfRule type="expression" priority="81" dxfId="0" stopIfTrue="1">
      <formula>AND(ISNUMBER($B292),ABS($B292)&gt;'Opening Balance'!$B$16)</formula>
    </cfRule>
    <cfRule type="cellIs" priority="83" operator="greaterThan" dxfId="1">
      <formula>0</formula>
    </cfRule>
    <cfRule type="cellIs" priority="84" operator="lessThan" dxfId="2">
      <formula>0</formula>
    </cfRule>
  </conditionalFormatting>
  <conditionalFormatting sqref="D292">
    <cfRule type="expression" priority="82" dxfId="0" stopIfTrue="1">
      <formula>AND(ISNUMBER($B292),ABS($B292)&gt;'Opening Balance'!$B$16)</formula>
    </cfRule>
  </conditionalFormatting>
  <conditionalFormatting sqref="B306">
    <cfRule type="expression" priority="85" dxfId="0" stopIfTrue="1">
      <formula>AND(ISNUMBER($B306),ABS($B306)&gt;'Opening Balance'!$B$16)</formula>
    </cfRule>
    <cfRule type="cellIs" priority="87" operator="greaterThan" dxfId="1">
      <formula>0</formula>
    </cfRule>
    <cfRule type="cellIs" priority="88" operator="lessThan" dxfId="2">
      <formula>0</formula>
    </cfRule>
  </conditionalFormatting>
  <conditionalFormatting sqref="D306">
    <cfRule type="expression" priority="86" dxfId="0" stopIfTrue="1">
      <formula>AND(ISNUMBER($B306),ABS($B306)&gt;'Opening Balance'!$B$16)</formula>
    </cfRule>
  </conditionalFormatting>
  <conditionalFormatting sqref="B320">
    <cfRule type="expression" priority="89" dxfId="0" stopIfTrue="1">
      <formula>AND(ISNUMBER($B320),ABS($B320)&gt;'Opening Balance'!$B$16)</formula>
    </cfRule>
    <cfRule type="cellIs" priority="91" operator="greaterThan" dxfId="1">
      <formula>0</formula>
    </cfRule>
    <cfRule type="cellIs" priority="92" operator="lessThan" dxfId="2">
      <formula>0</formula>
    </cfRule>
  </conditionalFormatting>
  <conditionalFormatting sqref="D320">
    <cfRule type="expression" priority="90" dxfId="0" stopIfTrue="1">
      <formula>AND(ISNUMBER($B320),ABS($B320)&gt;'Opening Balance'!$B$16)</formula>
    </cfRule>
  </conditionalFormatting>
  <conditionalFormatting sqref="B334">
    <cfRule type="expression" priority="93" dxfId="0" stopIfTrue="1">
      <formula>AND(ISNUMBER($B334),ABS($B334)&gt;'Opening Balance'!$B$16)</formula>
    </cfRule>
    <cfRule type="cellIs" priority="95" operator="greaterThan" dxfId="1">
      <formula>0</formula>
    </cfRule>
    <cfRule type="cellIs" priority="96" operator="lessThan" dxfId="2">
      <formula>0</formula>
    </cfRule>
  </conditionalFormatting>
  <conditionalFormatting sqref="D334">
    <cfRule type="expression" priority="94" dxfId="0" stopIfTrue="1">
      <formula>AND(ISNUMBER($B334),ABS($B334)&gt;'Opening Balance'!$B$16)</formula>
    </cfRule>
  </conditionalFormatting>
  <conditionalFormatting sqref="B348">
    <cfRule type="expression" priority="97" dxfId="0" stopIfTrue="1">
      <formula>AND(ISNUMBER($B348),ABS($B348)&gt;'Opening Balance'!$B$16)</formula>
    </cfRule>
    <cfRule type="cellIs" priority="99" operator="greaterThan" dxfId="1">
      <formula>0</formula>
    </cfRule>
    <cfRule type="cellIs" priority="100" operator="lessThan" dxfId="2">
      <formula>0</formula>
    </cfRule>
  </conditionalFormatting>
  <conditionalFormatting sqref="D348">
    <cfRule type="expression" priority="98" dxfId="0" stopIfTrue="1">
      <formula>AND(ISNUMBER($B348),ABS($B348)&gt;'Opening Balance'!$B$16)</formula>
    </cfRule>
  </conditionalFormatting>
  <conditionalFormatting sqref="B362">
    <cfRule type="expression" priority="101" dxfId="0" stopIfTrue="1">
      <formula>AND(ISNUMBER($B362),ABS($B362)&gt;'Opening Balance'!$B$16)</formula>
    </cfRule>
    <cfRule type="cellIs" priority="103" operator="greaterThan" dxfId="1">
      <formula>0</formula>
    </cfRule>
    <cfRule type="cellIs" priority="104" operator="lessThan" dxfId="2">
      <formula>0</formula>
    </cfRule>
  </conditionalFormatting>
  <conditionalFormatting sqref="D362">
    <cfRule type="expression" priority="102" dxfId="0" stopIfTrue="1">
      <formula>AND(ISNUMBER($B362),ABS($B362)&gt;'Opening Balance'!$B$16)</formula>
    </cfRule>
  </conditionalFormatting>
  <conditionalFormatting sqref="B376">
    <cfRule type="expression" priority="105" dxfId="0" stopIfTrue="1">
      <formula>AND(ISNUMBER($B376),ABS($B376)&gt;'Opening Balance'!$B$16)</formula>
    </cfRule>
    <cfRule type="cellIs" priority="107" operator="greaterThan" dxfId="1">
      <formula>0</formula>
    </cfRule>
    <cfRule type="cellIs" priority="108" operator="lessThan" dxfId="2">
      <formula>0</formula>
    </cfRule>
  </conditionalFormatting>
  <conditionalFormatting sqref="D376">
    <cfRule type="expression" priority="106" dxfId="0" stopIfTrue="1">
      <formula>AND(ISNUMBER($B376),ABS($B376)&gt;'Opening Balance'!$B$16)</formula>
    </cfRule>
  </conditionalFormatting>
  <conditionalFormatting sqref="B390">
    <cfRule type="expression" priority="109" dxfId="0" stopIfTrue="1">
      <formula>AND(ISNUMBER($B390),ABS($B390)&gt;'Opening Balance'!$B$16)</formula>
    </cfRule>
    <cfRule type="cellIs" priority="111" operator="greaterThan" dxfId="1">
      <formula>0</formula>
    </cfRule>
    <cfRule type="cellIs" priority="112" operator="lessThan" dxfId="2">
      <formula>0</formula>
    </cfRule>
  </conditionalFormatting>
  <conditionalFormatting sqref="D390">
    <cfRule type="expression" priority="110" dxfId="0" stopIfTrue="1">
      <formula>AND(ISNUMBER($B390),ABS($B390)&gt;'Opening Balance'!$B$16)</formula>
    </cfRule>
  </conditionalFormatting>
  <conditionalFormatting sqref="B404">
    <cfRule type="expression" priority="113" dxfId="0" stopIfTrue="1">
      <formula>AND(ISNUMBER($B404),ABS($B404)&gt;'Opening Balance'!$B$16)</formula>
    </cfRule>
    <cfRule type="cellIs" priority="115" operator="greaterThan" dxfId="1">
      <formula>0</formula>
    </cfRule>
    <cfRule type="cellIs" priority="116" operator="lessThan" dxfId="2">
      <formula>0</formula>
    </cfRule>
  </conditionalFormatting>
  <conditionalFormatting sqref="D404">
    <cfRule type="expression" priority="114" dxfId="0" stopIfTrue="1">
      <formula>AND(ISNUMBER($B404),ABS($B404)&gt;'Opening Balance'!$B$16)</formula>
    </cfRule>
  </conditionalFormatting>
  <conditionalFormatting sqref="B418">
    <cfRule type="expression" priority="117" dxfId="0" stopIfTrue="1">
      <formula>AND(ISNUMBER($B418),ABS($B418)&gt;'Opening Balance'!$B$16)</formula>
    </cfRule>
    <cfRule type="cellIs" priority="119" operator="greaterThan" dxfId="1">
      <formula>0</formula>
    </cfRule>
    <cfRule type="cellIs" priority="120" operator="lessThan" dxfId="2">
      <formula>0</formula>
    </cfRule>
  </conditionalFormatting>
  <conditionalFormatting sqref="D418">
    <cfRule type="expression" priority="118" dxfId="0" stopIfTrue="1">
      <formula>AND(ISNUMBER($B418),ABS($B418)&gt;'Opening Balance'!$B$16)</formula>
    </cfRule>
  </conditionalFormatting>
  <conditionalFormatting sqref="B432">
    <cfRule type="expression" priority="121" dxfId="0" stopIfTrue="1">
      <formula>AND(ISNUMBER($B432),ABS($B432)&gt;'Opening Balance'!$B$16)</formula>
    </cfRule>
    <cfRule type="cellIs" priority="123" operator="greaterThan" dxfId="1">
      <formula>0</formula>
    </cfRule>
    <cfRule type="cellIs" priority="124" operator="lessThan" dxfId="2">
      <formula>0</formula>
    </cfRule>
  </conditionalFormatting>
  <conditionalFormatting sqref="D432">
    <cfRule type="expression" priority="122" dxfId="0" stopIfTrue="1">
      <formula>AND(ISNUMBER($B432),ABS($B432)&gt;'Opening Balance'!$B$16)</formula>
    </cfRule>
  </conditionalFormatting>
  <conditionalFormatting sqref="B446">
    <cfRule type="expression" priority="125" dxfId="0" stopIfTrue="1">
      <formula>AND(ISNUMBER($B446),ABS($B446)&gt;'Opening Balance'!$B$16)</formula>
    </cfRule>
    <cfRule type="cellIs" priority="127" operator="greaterThan" dxfId="1">
      <formula>0</formula>
    </cfRule>
    <cfRule type="cellIs" priority="128" operator="lessThan" dxfId="2">
      <formula>0</formula>
    </cfRule>
  </conditionalFormatting>
  <conditionalFormatting sqref="D446">
    <cfRule type="expression" priority="126" dxfId="0" stopIfTrue="1">
      <formula>AND(ISNUMBER($B446),ABS($B446)&gt;'Opening Balance'!$B$16)</formula>
    </cfRule>
  </conditionalFormatting>
  <conditionalFormatting sqref="B460">
    <cfRule type="expression" priority="129" dxfId="0" stopIfTrue="1">
      <formula>AND(ISNUMBER($B460),ABS($B460)&gt;'Opening Balance'!$B$16)</formula>
    </cfRule>
    <cfRule type="cellIs" priority="131" operator="greaterThan" dxfId="1">
      <formula>0</formula>
    </cfRule>
    <cfRule type="cellIs" priority="132" operator="lessThan" dxfId="2">
      <formula>0</formula>
    </cfRule>
  </conditionalFormatting>
  <conditionalFormatting sqref="D460">
    <cfRule type="expression" priority="130" dxfId="0" stopIfTrue="1">
      <formula>AND(ISNUMBER($B460),ABS($B460)&gt;'Opening Balance'!$B$16)</formula>
    </cfRule>
  </conditionalFormatting>
  <conditionalFormatting sqref="B474">
    <cfRule type="expression" priority="133" dxfId="0" stopIfTrue="1">
      <formula>AND(ISNUMBER($B474),ABS($B474)&gt;'Opening Balance'!$B$16)</formula>
    </cfRule>
    <cfRule type="cellIs" priority="135" operator="greaterThan" dxfId="1">
      <formula>0</formula>
    </cfRule>
    <cfRule type="cellIs" priority="136" operator="lessThan" dxfId="2">
      <formula>0</formula>
    </cfRule>
  </conditionalFormatting>
  <conditionalFormatting sqref="D474">
    <cfRule type="expression" priority="134" dxfId="0" stopIfTrue="1">
      <formula>AND(ISNUMBER($B474),ABS($B474)&gt;'Opening Balance'!$B$16)</formula>
    </cfRule>
  </conditionalFormatting>
  <conditionalFormatting sqref="B488">
    <cfRule type="expression" priority="137" dxfId="0" stopIfTrue="1">
      <formula>AND(ISNUMBER($B488),ABS($B488)&gt;'Opening Balance'!$B$16)</formula>
    </cfRule>
    <cfRule type="cellIs" priority="139" operator="greaterThan" dxfId="1">
      <formula>0</formula>
    </cfRule>
    <cfRule type="cellIs" priority="140" operator="lessThan" dxfId="2">
      <formula>0</formula>
    </cfRule>
  </conditionalFormatting>
  <conditionalFormatting sqref="D488">
    <cfRule type="expression" priority="138" dxfId="0" stopIfTrue="1">
      <formula>AND(ISNUMBER($B488),ABS($B488)&gt;'Opening Balance'!$B$16)</formula>
    </cfRule>
  </conditionalFormatting>
  <conditionalFormatting sqref="B502">
    <cfRule type="expression" priority="141" dxfId="0" stopIfTrue="1">
      <formula>AND(ISNUMBER($B502),ABS($B502)&gt;'Opening Balance'!$B$16)</formula>
    </cfRule>
    <cfRule type="cellIs" priority="143" operator="greaterThan" dxfId="1">
      <formula>0</formula>
    </cfRule>
    <cfRule type="cellIs" priority="144" operator="lessThan" dxfId="2">
      <formula>0</formula>
    </cfRule>
  </conditionalFormatting>
  <conditionalFormatting sqref="D502">
    <cfRule type="expression" priority="142" dxfId="0" stopIfTrue="1">
      <formula>AND(ISNUMBER($B502),ABS($B502)&gt;'Opening Balance'!$B$16)</formula>
    </cfRule>
  </conditionalFormatting>
  <conditionalFormatting sqref="B516">
    <cfRule type="expression" priority="145" dxfId="0" stopIfTrue="1">
      <formula>AND(ISNUMBER($B516),ABS($B516)&gt;'Opening Balance'!$B$16)</formula>
    </cfRule>
    <cfRule type="cellIs" priority="147" operator="greaterThan" dxfId="1">
      <formula>0</formula>
    </cfRule>
    <cfRule type="cellIs" priority="148" operator="lessThan" dxfId="2">
      <formula>0</formula>
    </cfRule>
  </conditionalFormatting>
  <conditionalFormatting sqref="D516">
    <cfRule type="expression" priority="146" dxfId="0" stopIfTrue="1">
      <formula>AND(ISNUMBER($B516),ABS($B516)&gt;'Opening Balance'!$B$16)</formula>
    </cfRule>
  </conditionalFormatting>
  <conditionalFormatting sqref="B530">
    <cfRule type="expression" priority="149" dxfId="0" stopIfTrue="1">
      <formula>AND(ISNUMBER($B530),ABS($B530)&gt;'Opening Balance'!$B$16)</formula>
    </cfRule>
    <cfRule type="cellIs" priority="151" operator="greaterThan" dxfId="1">
      <formula>0</formula>
    </cfRule>
    <cfRule type="cellIs" priority="152" operator="lessThan" dxfId="2">
      <formula>0</formula>
    </cfRule>
  </conditionalFormatting>
  <conditionalFormatting sqref="D530">
    <cfRule type="expression" priority="150" dxfId="0" stopIfTrue="1">
      <formula>AND(ISNUMBER($B530),ABS($B530)&gt;'Opening Balance'!$B$16)</formula>
    </cfRule>
  </conditionalFormatting>
  <conditionalFormatting sqref="B544">
    <cfRule type="expression" priority="153" dxfId="0" stopIfTrue="1">
      <formula>AND(ISNUMBER($B544),ABS($B544)&gt;'Opening Balance'!$B$16)</formula>
    </cfRule>
    <cfRule type="cellIs" priority="155" operator="greaterThan" dxfId="1">
      <formula>0</formula>
    </cfRule>
    <cfRule type="cellIs" priority="156" operator="lessThan" dxfId="2">
      <formula>0</formula>
    </cfRule>
  </conditionalFormatting>
  <conditionalFormatting sqref="D544">
    <cfRule type="expression" priority="154" dxfId="0" stopIfTrue="1">
      <formula>AND(ISNUMBER($B544),ABS($B544)&gt;'Opening Balance'!$B$16)</formula>
    </cfRule>
  </conditionalFormatting>
  <conditionalFormatting sqref="B558">
    <cfRule type="expression" priority="157" dxfId="0" stopIfTrue="1">
      <formula>AND(ISNUMBER($B558),ABS($B558)&gt;'Opening Balance'!$B$16)</formula>
    </cfRule>
    <cfRule type="cellIs" priority="159" operator="greaterThan" dxfId="1">
      <formula>0</formula>
    </cfRule>
    <cfRule type="cellIs" priority="160" operator="lessThan" dxfId="2">
      <formula>0</formula>
    </cfRule>
  </conditionalFormatting>
  <conditionalFormatting sqref="D558">
    <cfRule type="expression" priority="158" dxfId="0" stopIfTrue="1">
      <formula>AND(ISNUMBER($B558),ABS($B558)&gt;'Opening Balance'!$B$16)</formula>
    </cfRule>
  </conditionalFormatting>
  <conditionalFormatting sqref="B572">
    <cfRule type="expression" priority="161" dxfId="0" stopIfTrue="1">
      <formula>AND(ISNUMBER($B572),ABS($B572)&gt;'Opening Balance'!$B$16)</formula>
    </cfRule>
    <cfRule type="cellIs" priority="163" operator="greaterThan" dxfId="1">
      <formula>0</formula>
    </cfRule>
    <cfRule type="cellIs" priority="164" operator="lessThan" dxfId="2">
      <formula>0</formula>
    </cfRule>
  </conditionalFormatting>
  <conditionalFormatting sqref="D572">
    <cfRule type="expression" priority="162" dxfId="0" stopIfTrue="1">
      <formula>AND(ISNUMBER($B572),ABS($B572)&gt;'Opening Balance'!$B$16)</formula>
    </cfRule>
  </conditionalFormatting>
  <conditionalFormatting sqref="B586">
    <cfRule type="expression" priority="165" dxfId="0" stopIfTrue="1">
      <formula>AND(ISNUMBER($B586),ABS($B586)&gt;'Opening Balance'!$B$16)</formula>
    </cfRule>
    <cfRule type="cellIs" priority="167" operator="greaterThan" dxfId="1">
      <formula>0</formula>
    </cfRule>
    <cfRule type="cellIs" priority="168" operator="lessThan" dxfId="2">
      <formula>0</formula>
    </cfRule>
  </conditionalFormatting>
  <conditionalFormatting sqref="D586">
    <cfRule type="expression" priority="166" dxfId="0" stopIfTrue="1">
      <formula>AND(ISNUMBER($B586),ABS($B586)&gt;'Opening Balance'!$B$16)</formula>
    </cfRule>
  </conditionalFormatting>
  <conditionalFormatting sqref="B600">
    <cfRule type="expression" priority="169" dxfId="0" stopIfTrue="1">
      <formula>AND(ISNUMBER($B600),ABS($B600)&gt;'Opening Balance'!$B$16)</formula>
    </cfRule>
    <cfRule type="cellIs" priority="171" operator="greaterThan" dxfId="1">
      <formula>0</formula>
    </cfRule>
    <cfRule type="cellIs" priority="172" operator="lessThan" dxfId="2">
      <formula>0</formula>
    </cfRule>
  </conditionalFormatting>
  <conditionalFormatting sqref="D600">
    <cfRule type="expression" priority="170" dxfId="0" stopIfTrue="1">
      <formula>AND(ISNUMBER($B600),ABS($B600)&gt;'Opening Balance'!$B$16)</formula>
    </cfRule>
  </conditionalFormatting>
  <conditionalFormatting sqref="B614">
    <cfRule type="expression" priority="173" dxfId="0" stopIfTrue="1">
      <formula>AND(ISNUMBER($B614),ABS($B614)&gt;'Opening Balance'!$B$16)</formula>
    </cfRule>
    <cfRule type="cellIs" priority="175" operator="greaterThan" dxfId="1">
      <formula>0</formula>
    </cfRule>
    <cfRule type="cellIs" priority="176" operator="lessThan" dxfId="2">
      <formula>0</formula>
    </cfRule>
  </conditionalFormatting>
  <conditionalFormatting sqref="D614">
    <cfRule type="expression" priority="174" dxfId="0" stopIfTrue="1">
      <formula>AND(ISNUMBER($B614),ABS($B614)&gt;'Opening Balance'!$B$16)</formula>
    </cfRule>
  </conditionalFormatting>
  <conditionalFormatting sqref="B628">
    <cfRule type="expression" priority="177" dxfId="0" stopIfTrue="1">
      <formula>AND(ISNUMBER($B628),ABS($B628)&gt;'Opening Balance'!$B$16)</formula>
    </cfRule>
    <cfRule type="cellIs" priority="179" operator="greaterThan" dxfId="1">
      <formula>0</formula>
    </cfRule>
    <cfRule type="cellIs" priority="180" operator="lessThan" dxfId="2">
      <formula>0</formula>
    </cfRule>
  </conditionalFormatting>
  <conditionalFormatting sqref="D628">
    <cfRule type="expression" priority="178" dxfId="0" stopIfTrue="1">
      <formula>AND(ISNUMBER($B628),ABS($B628)&gt;'Opening Balance'!$B$16)</formula>
    </cfRule>
  </conditionalFormatting>
  <conditionalFormatting sqref="B642">
    <cfRule type="expression" priority="181" dxfId="0" stopIfTrue="1">
      <formula>AND(ISNUMBER($B642),ABS($B642)&gt;'Opening Balance'!$B$16)</formula>
    </cfRule>
    <cfRule type="cellIs" priority="183" operator="greaterThan" dxfId="1">
      <formula>0</formula>
    </cfRule>
    <cfRule type="cellIs" priority="184" operator="lessThan" dxfId="2">
      <formula>0</formula>
    </cfRule>
  </conditionalFormatting>
  <conditionalFormatting sqref="D642">
    <cfRule type="expression" priority="182" dxfId="0" stopIfTrue="1">
      <formula>AND(ISNUMBER($B642),ABS($B642)&gt;'Opening Balance'!$B$16)</formula>
    </cfRule>
  </conditionalFormatting>
  <conditionalFormatting sqref="B656">
    <cfRule type="expression" priority="185" dxfId="0" stopIfTrue="1">
      <formula>AND(ISNUMBER($B656),ABS($B656)&gt;'Opening Balance'!$B$16)</formula>
    </cfRule>
    <cfRule type="cellIs" priority="187" operator="greaterThan" dxfId="1">
      <formula>0</formula>
    </cfRule>
    <cfRule type="cellIs" priority="188" operator="lessThan" dxfId="2">
      <formula>0</formula>
    </cfRule>
  </conditionalFormatting>
  <conditionalFormatting sqref="D656">
    <cfRule type="expression" priority="186" dxfId="0" stopIfTrue="1">
      <formula>AND(ISNUMBER($B656),ABS($B656)&gt;'Opening Balance'!$B$16)</formula>
    </cfRule>
  </conditionalFormatting>
  <conditionalFormatting sqref="B670">
    <cfRule type="expression" priority="189" dxfId="0" stopIfTrue="1">
      <formula>AND(ISNUMBER($B670),ABS($B670)&gt;'Opening Balance'!$B$16)</formula>
    </cfRule>
    <cfRule type="cellIs" priority="191" operator="greaterThan" dxfId="1">
      <formula>0</formula>
    </cfRule>
    <cfRule type="cellIs" priority="192" operator="lessThan" dxfId="2">
      <formula>0</formula>
    </cfRule>
  </conditionalFormatting>
  <conditionalFormatting sqref="D670">
    <cfRule type="expression" priority="190" dxfId="0" stopIfTrue="1">
      <formula>AND(ISNUMBER($B670),ABS($B670)&gt;'Opening Balance'!$B$16)</formula>
    </cfRule>
  </conditionalFormatting>
  <conditionalFormatting sqref="B684">
    <cfRule type="expression" priority="193" dxfId="0" stopIfTrue="1">
      <formula>AND(ISNUMBER($B684),ABS($B684)&gt;'Opening Balance'!$B$16)</formula>
    </cfRule>
    <cfRule type="cellIs" priority="195" operator="greaterThan" dxfId="1">
      <formula>0</formula>
    </cfRule>
    <cfRule type="cellIs" priority="196" operator="lessThan" dxfId="2">
      <formula>0</formula>
    </cfRule>
  </conditionalFormatting>
  <conditionalFormatting sqref="D684">
    <cfRule type="expression" priority="194" dxfId="0" stopIfTrue="1">
      <formula>AND(ISNUMBER($B684),ABS($B684)&gt;'Opening Balance'!$B$16)</formula>
    </cfRule>
  </conditionalFormatting>
  <conditionalFormatting sqref="B698">
    <cfRule type="expression" priority="197" dxfId="0" stopIfTrue="1">
      <formula>AND(ISNUMBER($B698),ABS($B698)&gt;'Opening Balance'!$B$16)</formula>
    </cfRule>
    <cfRule type="cellIs" priority="199" operator="greaterThan" dxfId="1">
      <formula>0</formula>
    </cfRule>
    <cfRule type="cellIs" priority="200" operator="lessThan" dxfId="2">
      <formula>0</formula>
    </cfRule>
  </conditionalFormatting>
  <conditionalFormatting sqref="D698">
    <cfRule type="expression" priority="198" dxfId="0" stopIfTrue="1">
      <formula>AND(ISNUMBER($B698),ABS($B698)&gt;'Opening Balance'!$B$16)</formula>
    </cfRule>
  </conditionalFormatting>
  <conditionalFormatting sqref="B712">
    <cfRule type="expression" priority="201" dxfId="0" stopIfTrue="1">
      <formula>AND(ISNUMBER($B712),ABS($B712)&gt;'Opening Balance'!$B$16)</formula>
    </cfRule>
    <cfRule type="cellIs" priority="203" operator="greaterThan" dxfId="1">
      <formula>0</formula>
    </cfRule>
    <cfRule type="cellIs" priority="204" operator="lessThan" dxfId="2">
      <formula>0</formula>
    </cfRule>
  </conditionalFormatting>
  <conditionalFormatting sqref="D712">
    <cfRule type="expression" priority="202" dxfId="0" stopIfTrue="1">
      <formula>AND(ISNUMBER($B712),ABS($B712)&gt;'Opening Balance'!$B$16)</formula>
    </cfRule>
  </conditionalFormatting>
  <conditionalFormatting sqref="B726">
    <cfRule type="expression" priority="205" dxfId="0" stopIfTrue="1">
      <formula>AND(ISNUMBER($B726),ABS($B726)&gt;'Opening Balance'!$B$16)</formula>
    </cfRule>
    <cfRule type="cellIs" priority="207" operator="greaterThan" dxfId="1">
      <formula>0</formula>
    </cfRule>
    <cfRule type="cellIs" priority="208" operator="lessThan" dxfId="2">
      <formula>0</formula>
    </cfRule>
  </conditionalFormatting>
  <conditionalFormatting sqref="D726">
    <cfRule type="expression" priority="206" dxfId="0" stopIfTrue="1">
      <formula>AND(ISNUMBER($B726),ABS($B726)&gt;'Opening Balance'!$B$16)</formula>
    </cfRule>
  </conditionalFormatting>
  <conditionalFormatting sqref="B740">
    <cfRule type="expression" priority="209" dxfId="0" stopIfTrue="1">
      <formula>AND(ISNUMBER($B740),ABS($B740)&gt;'Opening Balance'!$B$16)</formula>
    </cfRule>
    <cfRule type="cellIs" priority="211" operator="greaterThan" dxfId="1">
      <formula>0</formula>
    </cfRule>
    <cfRule type="cellIs" priority="212" operator="lessThan" dxfId="2">
      <formula>0</formula>
    </cfRule>
  </conditionalFormatting>
  <conditionalFormatting sqref="D740">
    <cfRule type="expression" priority="210" dxfId="0" stopIfTrue="1">
      <formula>AND(ISNUMBER($B740),ABS($B740)&gt;'Opening Balance'!$B$16)</formula>
    </cfRule>
  </conditionalFormatting>
  <conditionalFormatting sqref="B754">
    <cfRule type="expression" priority="213" dxfId="0" stopIfTrue="1">
      <formula>AND(ISNUMBER($B754),ABS($B754)&gt;'Opening Balance'!$B$16)</formula>
    </cfRule>
    <cfRule type="cellIs" priority="215" operator="greaterThan" dxfId="1">
      <formula>0</formula>
    </cfRule>
    <cfRule type="cellIs" priority="216" operator="lessThan" dxfId="2">
      <formula>0</formula>
    </cfRule>
  </conditionalFormatting>
  <conditionalFormatting sqref="D754">
    <cfRule type="expression" priority="214" dxfId="0" stopIfTrue="1">
      <formula>AND(ISNUMBER($B754),ABS($B754)&gt;'Opening Balance'!$B$16)</formula>
    </cfRule>
  </conditionalFormatting>
  <conditionalFormatting sqref="B768">
    <cfRule type="expression" priority="217" dxfId="0" stopIfTrue="1">
      <formula>AND(ISNUMBER($B768),ABS($B768)&gt;'Opening Balance'!$B$16)</formula>
    </cfRule>
    <cfRule type="cellIs" priority="219" operator="greaterThan" dxfId="1">
      <formula>0</formula>
    </cfRule>
    <cfRule type="cellIs" priority="220" operator="lessThan" dxfId="2">
      <formula>0</formula>
    </cfRule>
  </conditionalFormatting>
  <conditionalFormatting sqref="D768">
    <cfRule type="expression" priority="218" dxfId="0" stopIfTrue="1">
      <formula>AND(ISNUMBER($B768),ABS($B768)&gt;'Opening Balance'!$B$16)</formula>
    </cfRule>
  </conditionalFormatting>
  <conditionalFormatting sqref="B782">
    <cfRule type="expression" priority="221" dxfId="0" stopIfTrue="1">
      <formula>AND(ISNUMBER($B782),ABS($B782)&gt;'Opening Balance'!$B$16)</formula>
    </cfRule>
    <cfRule type="cellIs" priority="223" operator="greaterThan" dxfId="1">
      <formula>0</formula>
    </cfRule>
    <cfRule type="cellIs" priority="224" operator="lessThan" dxfId="2">
      <formula>0</formula>
    </cfRule>
  </conditionalFormatting>
  <conditionalFormatting sqref="D782">
    <cfRule type="expression" priority="222" dxfId="0" stopIfTrue="1">
      <formula>AND(ISNUMBER($B782),ABS($B782)&gt;'Opening Balance'!$B$16)</formula>
    </cfRule>
  </conditionalFormatting>
  <conditionalFormatting sqref="B796">
    <cfRule type="expression" priority="225" dxfId="0" stopIfTrue="1">
      <formula>AND(ISNUMBER($B796),ABS($B796)&gt;'Opening Balance'!$B$16)</formula>
    </cfRule>
    <cfRule type="cellIs" priority="227" operator="greaterThan" dxfId="1">
      <formula>0</formula>
    </cfRule>
    <cfRule type="cellIs" priority="228" operator="lessThan" dxfId="2">
      <formula>0</formula>
    </cfRule>
  </conditionalFormatting>
  <conditionalFormatting sqref="D796">
    <cfRule type="expression" priority="226" dxfId="0" stopIfTrue="1">
      <formula>AND(ISNUMBER($B796),ABS($B796)&gt;'Opening Balance'!$B$16)</formula>
    </cfRule>
  </conditionalFormatting>
  <conditionalFormatting sqref="B810">
    <cfRule type="expression" priority="229" dxfId="0" stopIfTrue="1">
      <formula>AND(ISNUMBER($B810),ABS($B810)&gt;'Opening Balance'!$B$16)</formula>
    </cfRule>
    <cfRule type="cellIs" priority="231" operator="greaterThan" dxfId="1">
      <formula>0</formula>
    </cfRule>
    <cfRule type="cellIs" priority="232" operator="lessThan" dxfId="2">
      <formula>0</formula>
    </cfRule>
  </conditionalFormatting>
  <conditionalFormatting sqref="D810">
    <cfRule type="expression" priority="230" dxfId="0" stopIfTrue="1">
      <formula>AND(ISNUMBER($B810),ABS($B810)&gt;'Opening Balance'!$B$16)</formula>
    </cfRule>
  </conditionalFormatting>
  <conditionalFormatting sqref="B824">
    <cfRule type="expression" priority="233" dxfId="0" stopIfTrue="1">
      <formula>AND(ISNUMBER($B824),ABS($B824)&gt;'Opening Balance'!$B$16)</formula>
    </cfRule>
    <cfRule type="cellIs" priority="235" operator="greaterThan" dxfId="1">
      <formula>0</formula>
    </cfRule>
    <cfRule type="cellIs" priority="236" operator="lessThan" dxfId="2">
      <formula>0</formula>
    </cfRule>
  </conditionalFormatting>
  <conditionalFormatting sqref="D824">
    <cfRule type="expression" priority="234" dxfId="0" stopIfTrue="1">
      <formula>AND(ISNUMBER($B824),ABS($B824)&gt;'Opening Balance'!$B$16)</formula>
    </cfRule>
  </conditionalFormatting>
  <conditionalFormatting sqref="B838">
    <cfRule type="expression" priority="237" dxfId="0" stopIfTrue="1">
      <formula>AND(ISNUMBER($B838),ABS($B838)&gt;'Opening Balance'!$B$16)</formula>
    </cfRule>
    <cfRule type="cellIs" priority="239" operator="greaterThan" dxfId="1">
      <formula>0</formula>
    </cfRule>
    <cfRule type="cellIs" priority="240" operator="lessThan" dxfId="2">
      <formula>0</formula>
    </cfRule>
  </conditionalFormatting>
  <conditionalFormatting sqref="D838">
    <cfRule type="expression" priority="238" dxfId="0" stopIfTrue="1">
      <formula>AND(ISNUMBER($B838),ABS($B838)&gt;'Opening Balance'!$B$16)</formula>
    </cfRule>
  </conditionalFormatting>
  <conditionalFormatting sqref="B852">
    <cfRule type="expression" priority="241" dxfId="0" stopIfTrue="1">
      <formula>AND(ISNUMBER($B852),ABS($B852)&gt;'Opening Balance'!$B$16)</formula>
    </cfRule>
    <cfRule type="cellIs" priority="243" operator="greaterThan" dxfId="1">
      <formula>0</formula>
    </cfRule>
    <cfRule type="cellIs" priority="244" operator="lessThan" dxfId="2">
      <formula>0</formula>
    </cfRule>
  </conditionalFormatting>
  <conditionalFormatting sqref="D852">
    <cfRule type="expression" priority="242" dxfId="0" stopIfTrue="1">
      <formula>AND(ISNUMBER($B852),ABS($B852)&gt;'Opening Balance'!$B$16)</formula>
    </cfRule>
  </conditionalFormatting>
  <conditionalFormatting sqref="B866">
    <cfRule type="expression" priority="245" dxfId="0" stopIfTrue="1">
      <formula>AND(ISNUMBER($B866),ABS($B866)&gt;'Opening Balance'!$B$16)</formula>
    </cfRule>
    <cfRule type="cellIs" priority="247" operator="greaterThan" dxfId="1">
      <formula>0</formula>
    </cfRule>
    <cfRule type="cellIs" priority="248" operator="lessThan" dxfId="2">
      <formula>0</formula>
    </cfRule>
  </conditionalFormatting>
  <conditionalFormatting sqref="D866">
    <cfRule type="expression" priority="246" dxfId="0" stopIfTrue="1">
      <formula>AND(ISNUMBER($B866),ABS($B866)&gt;'Opening Balance'!$B$16)</formula>
    </cfRule>
  </conditionalFormatting>
  <conditionalFormatting sqref="B880">
    <cfRule type="expression" priority="249" dxfId="0" stopIfTrue="1">
      <formula>AND(ISNUMBER($B880),ABS($B880)&gt;'Opening Balance'!$B$16)</formula>
    </cfRule>
    <cfRule type="cellIs" priority="251" operator="greaterThan" dxfId="1">
      <formula>0</formula>
    </cfRule>
    <cfRule type="cellIs" priority="252" operator="lessThan" dxfId="2">
      <formula>0</formula>
    </cfRule>
  </conditionalFormatting>
  <conditionalFormatting sqref="D880">
    <cfRule type="expression" priority="250" dxfId="0" stopIfTrue="1">
      <formula>AND(ISNUMBER($B880),ABS($B880)&gt;'Opening Balance'!$B$16)</formula>
    </cfRule>
  </conditionalFormatting>
  <conditionalFormatting sqref="B894">
    <cfRule type="expression" priority="253" dxfId="0" stopIfTrue="1">
      <formula>AND(ISNUMBER($B894),ABS($B894)&gt;'Opening Balance'!$B$16)</formula>
    </cfRule>
    <cfRule type="cellIs" priority="255" operator="greaterThan" dxfId="1">
      <formula>0</formula>
    </cfRule>
    <cfRule type="cellIs" priority="256" operator="lessThan" dxfId="2">
      <formula>0</formula>
    </cfRule>
  </conditionalFormatting>
  <conditionalFormatting sqref="D894">
    <cfRule type="expression" priority="254" dxfId="0" stopIfTrue="1">
      <formula>AND(ISNUMBER($B894),ABS($B894)&gt;'Opening Balance'!$B$16)</formula>
    </cfRule>
  </conditionalFormatting>
  <conditionalFormatting sqref="B908">
    <cfRule type="expression" priority="257" dxfId="0" stopIfTrue="1">
      <formula>AND(ISNUMBER($B908),ABS($B908)&gt;'Opening Balance'!$B$16)</formula>
    </cfRule>
    <cfRule type="cellIs" priority="259" operator="greaterThan" dxfId="1">
      <formula>0</formula>
    </cfRule>
    <cfRule type="cellIs" priority="260" operator="lessThan" dxfId="2">
      <formula>0</formula>
    </cfRule>
  </conditionalFormatting>
  <conditionalFormatting sqref="D908">
    <cfRule type="expression" priority="258" dxfId="0" stopIfTrue="1">
      <formula>AND(ISNUMBER($B908),ABS($B908)&gt;'Opening Balance'!$B$16)</formula>
    </cfRule>
  </conditionalFormatting>
  <conditionalFormatting sqref="B922">
    <cfRule type="expression" priority="261" dxfId="0" stopIfTrue="1">
      <formula>AND(ISNUMBER($B922),ABS($B922)&gt;'Opening Balance'!$B$16)</formula>
    </cfRule>
    <cfRule type="cellIs" priority="263" operator="greaterThan" dxfId="1">
      <formula>0</formula>
    </cfRule>
    <cfRule type="cellIs" priority="264" operator="lessThan" dxfId="2">
      <formula>0</formula>
    </cfRule>
  </conditionalFormatting>
  <conditionalFormatting sqref="D922">
    <cfRule type="expression" priority="262" dxfId="0" stopIfTrue="1">
      <formula>AND(ISNUMBER($B922),ABS($B922)&gt;'Opening Balance'!$B$16)</formula>
    </cfRule>
  </conditionalFormatting>
  <conditionalFormatting sqref="B936">
    <cfRule type="expression" priority="265" dxfId="0" stopIfTrue="1">
      <formula>AND(ISNUMBER($B936),ABS($B936)&gt;'Opening Balance'!$B$16)</formula>
    </cfRule>
    <cfRule type="cellIs" priority="267" operator="greaterThan" dxfId="1">
      <formula>0</formula>
    </cfRule>
    <cfRule type="cellIs" priority="268" operator="lessThan" dxfId="2">
      <formula>0</formula>
    </cfRule>
  </conditionalFormatting>
  <conditionalFormatting sqref="D936">
    <cfRule type="expression" priority="266" dxfId="0" stopIfTrue="1">
      <formula>AND(ISNUMBER($B936),ABS($B936)&gt;'Opening Balance'!$B$16)</formula>
    </cfRule>
  </conditionalFormatting>
  <conditionalFormatting sqref="B950">
    <cfRule type="expression" priority="269" dxfId="0" stopIfTrue="1">
      <formula>AND(ISNUMBER($B950),ABS($B950)&gt;'Opening Balance'!$B$16)</formula>
    </cfRule>
    <cfRule type="cellIs" priority="271" operator="greaterThan" dxfId="1">
      <formula>0</formula>
    </cfRule>
    <cfRule type="cellIs" priority="272" operator="lessThan" dxfId="2">
      <formula>0</formula>
    </cfRule>
  </conditionalFormatting>
  <conditionalFormatting sqref="D950">
    <cfRule type="expression" priority="270" dxfId="0" stopIfTrue="1">
      <formula>AND(ISNUMBER($B950),ABS($B950)&gt;'Opening Balance'!$B$16)</formula>
    </cfRule>
  </conditionalFormatting>
  <conditionalFormatting sqref="B964">
    <cfRule type="expression" priority="273" dxfId="0" stopIfTrue="1">
      <formula>AND(ISNUMBER($B964),ABS($B964)&gt;'Opening Balance'!$B$16)</formula>
    </cfRule>
    <cfRule type="cellIs" priority="275" operator="greaterThan" dxfId="1">
      <formula>0</formula>
    </cfRule>
    <cfRule type="cellIs" priority="276" operator="lessThan" dxfId="2">
      <formula>0</formula>
    </cfRule>
  </conditionalFormatting>
  <conditionalFormatting sqref="D964">
    <cfRule type="expression" priority="274" dxfId="0" stopIfTrue="1">
      <formula>AND(ISNUMBER($B964),ABS($B964)&gt;'Opening Balance'!$B$16)</formula>
    </cfRule>
  </conditionalFormatting>
  <conditionalFormatting sqref="B978">
    <cfRule type="expression" priority="277" dxfId="0" stopIfTrue="1">
      <formula>AND(ISNUMBER($B978),ABS($B978)&gt;'Opening Balance'!$B$16)</formula>
    </cfRule>
    <cfRule type="cellIs" priority="279" operator="greaterThan" dxfId="1">
      <formula>0</formula>
    </cfRule>
    <cfRule type="cellIs" priority="280" operator="lessThan" dxfId="2">
      <formula>0</formula>
    </cfRule>
  </conditionalFormatting>
  <conditionalFormatting sqref="D978">
    <cfRule type="expression" priority="278" dxfId="0" stopIfTrue="1">
      <formula>AND(ISNUMBER($B978),ABS($B978)&gt;'Opening Balance'!$B$16)</formula>
    </cfRule>
  </conditionalFormatting>
  <conditionalFormatting sqref="B992">
    <cfRule type="expression" priority="281" dxfId="0" stopIfTrue="1">
      <formula>AND(ISNUMBER($B992),ABS($B992)&gt;'Opening Balance'!$B$16)</formula>
    </cfRule>
    <cfRule type="cellIs" priority="283" operator="greaterThan" dxfId="1">
      <formula>0</formula>
    </cfRule>
    <cfRule type="cellIs" priority="284" operator="lessThan" dxfId="2">
      <formula>0</formula>
    </cfRule>
  </conditionalFormatting>
  <conditionalFormatting sqref="D992">
    <cfRule type="expression" priority="282" dxfId="0" stopIfTrue="1">
      <formula>AND(ISNUMBER($B992),ABS($B992)&gt;'Opening Balance'!$B$16)</formula>
    </cfRule>
  </conditionalFormatting>
  <conditionalFormatting sqref="B1006">
    <cfRule type="expression" priority="285" dxfId="0" stopIfTrue="1">
      <formula>AND(ISNUMBER($B1006),ABS($B1006)&gt;'Opening Balance'!$B$16)</formula>
    </cfRule>
    <cfRule type="cellIs" priority="287" operator="greaterThan" dxfId="1">
      <formula>0</formula>
    </cfRule>
    <cfRule type="cellIs" priority="288" operator="lessThan" dxfId="2">
      <formula>0</formula>
    </cfRule>
  </conditionalFormatting>
  <conditionalFormatting sqref="D1006">
    <cfRule type="expression" priority="286" dxfId="0" stopIfTrue="1">
      <formula>AND(ISNUMBER($B1006),ABS($B1006)&gt;'Opening Balance'!$B$16)</formula>
    </cfRule>
  </conditionalFormatting>
  <conditionalFormatting sqref="B1020">
    <cfRule type="expression" priority="289" dxfId="0" stopIfTrue="1">
      <formula>AND(ISNUMBER($B1020),ABS($B1020)&gt;'Opening Balance'!$B$16)</formula>
    </cfRule>
    <cfRule type="cellIs" priority="291" operator="greaterThan" dxfId="1">
      <formula>0</formula>
    </cfRule>
    <cfRule type="cellIs" priority="292" operator="lessThan" dxfId="2">
      <formula>0</formula>
    </cfRule>
  </conditionalFormatting>
  <conditionalFormatting sqref="D1020">
    <cfRule type="expression" priority="290" dxfId="0" stopIfTrue="1">
      <formula>AND(ISNUMBER($B1020),ABS($B1020)&gt;'Opening Balance'!$B$16)</formula>
    </cfRule>
  </conditionalFormatting>
  <conditionalFormatting sqref="B1034">
    <cfRule type="expression" priority="293" dxfId="0" stopIfTrue="1">
      <formula>AND(ISNUMBER($B1034),ABS($B1034)&gt;'Opening Balance'!$B$16)</formula>
    </cfRule>
    <cfRule type="cellIs" priority="295" operator="greaterThan" dxfId="1">
      <formula>0</formula>
    </cfRule>
    <cfRule type="cellIs" priority="296" operator="lessThan" dxfId="2">
      <formula>0</formula>
    </cfRule>
  </conditionalFormatting>
  <conditionalFormatting sqref="D1034">
    <cfRule type="expression" priority="294" dxfId="0" stopIfTrue="1">
      <formula>AND(ISNUMBER($B1034),ABS($B1034)&gt;'Opening Balance'!$B$16)</formula>
    </cfRule>
  </conditionalFormatting>
  <conditionalFormatting sqref="B1048">
    <cfRule type="expression" priority="297" dxfId="0" stopIfTrue="1">
      <formula>AND(ISNUMBER($B1048),ABS($B1048)&gt;'Opening Balance'!$B$16)</formula>
    </cfRule>
    <cfRule type="cellIs" priority="299" operator="greaterThan" dxfId="1">
      <formula>0</formula>
    </cfRule>
    <cfRule type="cellIs" priority="300" operator="lessThan" dxfId="2">
      <formula>0</formula>
    </cfRule>
  </conditionalFormatting>
  <conditionalFormatting sqref="D1048">
    <cfRule type="expression" priority="298" dxfId="0" stopIfTrue="1">
      <formula>AND(ISNUMBER($B1048),ABS($B1048)&gt;'Opening Balance'!$B$16)</formula>
    </cfRule>
  </conditionalFormatting>
  <conditionalFormatting sqref="B1062">
    <cfRule type="expression" priority="301" dxfId="0" stopIfTrue="1">
      <formula>AND(ISNUMBER($B1062),ABS($B1062)&gt;'Opening Balance'!$B$16)</formula>
    </cfRule>
    <cfRule type="cellIs" priority="303" operator="greaterThan" dxfId="1">
      <formula>0</formula>
    </cfRule>
    <cfRule type="cellIs" priority="304" operator="lessThan" dxfId="2">
      <formula>0</formula>
    </cfRule>
  </conditionalFormatting>
  <conditionalFormatting sqref="D1062">
    <cfRule type="expression" priority="302" dxfId="0" stopIfTrue="1">
      <formula>AND(ISNUMBER($B1062),ABS($B1062)&gt;'Opening Balance'!$B$16)</formula>
    </cfRule>
  </conditionalFormatting>
  <conditionalFormatting sqref="B1076">
    <cfRule type="expression" priority="305" dxfId="0" stopIfTrue="1">
      <formula>AND(ISNUMBER($B1076),ABS($B1076)&gt;'Opening Balance'!$B$16)</formula>
    </cfRule>
    <cfRule type="cellIs" priority="307" operator="greaterThan" dxfId="1">
      <formula>0</formula>
    </cfRule>
    <cfRule type="cellIs" priority="308" operator="lessThan" dxfId="2">
      <formula>0</formula>
    </cfRule>
  </conditionalFormatting>
  <conditionalFormatting sqref="D1076">
    <cfRule type="expression" priority="306" dxfId="0" stopIfTrue="1">
      <formula>AND(ISNUMBER($B1076),ABS($B1076)&gt;'Opening Balance'!$B$16)</formula>
    </cfRule>
  </conditionalFormatting>
  <conditionalFormatting sqref="B1090">
    <cfRule type="expression" priority="309" dxfId="0" stopIfTrue="1">
      <formula>AND(ISNUMBER($B1090),ABS($B1090)&gt;'Opening Balance'!$B$16)</formula>
    </cfRule>
    <cfRule type="cellIs" priority="311" operator="greaterThan" dxfId="1">
      <formula>0</formula>
    </cfRule>
    <cfRule type="cellIs" priority="312" operator="lessThan" dxfId="2">
      <formula>0</formula>
    </cfRule>
  </conditionalFormatting>
  <conditionalFormatting sqref="D1090">
    <cfRule type="expression" priority="310" dxfId="0" stopIfTrue="1">
      <formula>AND(ISNUMBER($B1090),ABS($B1090)&gt;'Opening Balance'!$B$16)</formula>
    </cfRule>
  </conditionalFormatting>
  <conditionalFormatting sqref="B1104">
    <cfRule type="expression" priority="313" dxfId="0" stopIfTrue="1">
      <formula>AND(ISNUMBER($B1104),ABS($B1104)&gt;'Opening Balance'!$B$16)</formula>
    </cfRule>
    <cfRule type="cellIs" priority="315" operator="greaterThan" dxfId="1">
      <formula>0</formula>
    </cfRule>
    <cfRule type="cellIs" priority="316" operator="lessThan" dxfId="2">
      <formula>0</formula>
    </cfRule>
  </conditionalFormatting>
  <conditionalFormatting sqref="D1104">
    <cfRule type="expression" priority="314" dxfId="0" stopIfTrue="1">
      <formula>AND(ISNUMBER($B1104),ABS($B1104)&gt;'Opening Balance'!$B$16)</formula>
    </cfRule>
  </conditionalFormatting>
  <conditionalFormatting sqref="B1118">
    <cfRule type="expression" priority="317" dxfId="0" stopIfTrue="1">
      <formula>AND(ISNUMBER($B1118),ABS($B1118)&gt;'Opening Balance'!$B$16)</formula>
    </cfRule>
    <cfRule type="cellIs" priority="319" operator="greaterThan" dxfId="1">
      <formula>0</formula>
    </cfRule>
    <cfRule type="cellIs" priority="320" operator="lessThan" dxfId="2">
      <formula>0</formula>
    </cfRule>
  </conditionalFormatting>
  <conditionalFormatting sqref="D1118">
    <cfRule type="expression" priority="318" dxfId="0" stopIfTrue="1">
      <formula>AND(ISNUMBER($B1118),ABS($B1118)&gt;'Opening Balance'!$B$16)</formula>
    </cfRule>
  </conditionalFormatting>
  <conditionalFormatting sqref="B1132">
    <cfRule type="expression" priority="321" dxfId="0" stopIfTrue="1">
      <formula>AND(ISNUMBER($B1132),ABS($B1132)&gt;'Opening Balance'!$B$16)</formula>
    </cfRule>
    <cfRule type="cellIs" priority="323" operator="greaterThan" dxfId="1">
      <formula>0</formula>
    </cfRule>
    <cfRule type="cellIs" priority="324" operator="lessThan" dxfId="2">
      <formula>0</formula>
    </cfRule>
  </conditionalFormatting>
  <conditionalFormatting sqref="D1132">
    <cfRule type="expression" priority="322" dxfId="0" stopIfTrue="1">
      <formula>AND(ISNUMBER($B1132),ABS($B1132)&gt;'Opening Balance'!$B$16)</formula>
    </cfRule>
  </conditionalFormatting>
  <conditionalFormatting sqref="B1146">
    <cfRule type="expression" priority="325" dxfId="0" stopIfTrue="1">
      <formula>AND(ISNUMBER($B1146),ABS($B1146)&gt;'Opening Balance'!$B$16)</formula>
    </cfRule>
    <cfRule type="cellIs" priority="327" operator="greaterThan" dxfId="1">
      <formula>0</formula>
    </cfRule>
    <cfRule type="cellIs" priority="328" operator="lessThan" dxfId="2">
      <formula>0</formula>
    </cfRule>
  </conditionalFormatting>
  <conditionalFormatting sqref="D1146">
    <cfRule type="expression" priority="326" dxfId="0" stopIfTrue="1">
      <formula>AND(ISNUMBER($B1146),ABS($B1146)&gt;'Opening Balance'!$B$16)</formula>
    </cfRule>
  </conditionalFormatting>
  <conditionalFormatting sqref="B1160">
    <cfRule type="expression" priority="329" dxfId="0" stopIfTrue="1">
      <formula>AND(ISNUMBER($B1160),ABS($B1160)&gt;'Opening Balance'!$B$16)</formula>
    </cfRule>
    <cfRule type="cellIs" priority="331" operator="greaterThan" dxfId="1">
      <formula>0</formula>
    </cfRule>
    <cfRule type="cellIs" priority="332" operator="lessThan" dxfId="2">
      <formula>0</formula>
    </cfRule>
  </conditionalFormatting>
  <conditionalFormatting sqref="D1160">
    <cfRule type="expression" priority="330" dxfId="0" stopIfTrue="1">
      <formula>AND(ISNUMBER($B1160),ABS($B1160)&gt;'Opening Balance'!$B$16)</formula>
    </cfRule>
  </conditionalFormatting>
  <conditionalFormatting sqref="B1174">
    <cfRule type="expression" priority="333" dxfId="0" stopIfTrue="1">
      <formula>AND(ISNUMBER($B1174),ABS($B1174)&gt;'Opening Balance'!$B$16)</formula>
    </cfRule>
    <cfRule type="cellIs" priority="335" operator="greaterThan" dxfId="1">
      <formula>0</formula>
    </cfRule>
    <cfRule type="cellIs" priority="336" operator="lessThan" dxfId="2">
      <formula>0</formula>
    </cfRule>
  </conditionalFormatting>
  <conditionalFormatting sqref="D1174">
    <cfRule type="expression" priority="334" dxfId="0" stopIfTrue="1">
      <formula>AND(ISNUMBER($B1174),ABS($B1174)&gt;'Opening Balance'!$B$16)</formula>
    </cfRule>
  </conditionalFormatting>
  <conditionalFormatting sqref="B1188">
    <cfRule type="expression" priority="337" dxfId="0" stopIfTrue="1">
      <formula>AND(ISNUMBER($B1188),ABS($B1188)&gt;'Opening Balance'!$B$16)</formula>
    </cfRule>
    <cfRule type="cellIs" priority="339" operator="greaterThan" dxfId="1">
      <formula>0</formula>
    </cfRule>
    <cfRule type="cellIs" priority="340" operator="lessThan" dxfId="2">
      <formula>0</formula>
    </cfRule>
  </conditionalFormatting>
  <conditionalFormatting sqref="D1188">
    <cfRule type="expression" priority="338" dxfId="0" stopIfTrue="1">
      <formula>AND(ISNUMBER($B1188),ABS($B1188)&gt;'Opening Balance'!$B$16)</formula>
    </cfRule>
  </conditionalFormatting>
  <conditionalFormatting sqref="B1202">
    <cfRule type="expression" priority="341" dxfId="0" stopIfTrue="1">
      <formula>AND(ISNUMBER($B1202),ABS($B1202)&gt;'Opening Balance'!$B$16)</formula>
    </cfRule>
    <cfRule type="cellIs" priority="343" operator="greaterThan" dxfId="1">
      <formula>0</formula>
    </cfRule>
    <cfRule type="cellIs" priority="344" operator="lessThan" dxfId="2">
      <formula>0</formula>
    </cfRule>
  </conditionalFormatting>
  <conditionalFormatting sqref="D1202">
    <cfRule type="expression" priority="342" dxfId="0" stopIfTrue="1">
      <formula>AND(ISNUMBER($B1202),ABS($B1202)&gt;'Opening Balance'!$B$16)</formula>
    </cfRule>
  </conditionalFormatting>
  <conditionalFormatting sqref="B1216">
    <cfRule type="expression" priority="345" dxfId="0" stopIfTrue="1">
      <formula>AND(ISNUMBER($B1216),ABS($B1216)&gt;'Opening Balance'!$B$16)</formula>
    </cfRule>
    <cfRule type="cellIs" priority="347" operator="greaterThan" dxfId="1">
      <formula>0</formula>
    </cfRule>
    <cfRule type="cellIs" priority="348" operator="lessThan" dxfId="2">
      <formula>0</formula>
    </cfRule>
  </conditionalFormatting>
  <conditionalFormatting sqref="D1216">
    <cfRule type="expression" priority="346" dxfId="0" stopIfTrue="1">
      <formula>AND(ISNUMBER($B1216),ABS($B1216)&gt;'Opening Balance'!$B$16)</formula>
    </cfRule>
  </conditionalFormatting>
  <conditionalFormatting sqref="B1230">
    <cfRule type="expression" priority="349" dxfId="0" stopIfTrue="1">
      <formula>AND(ISNUMBER($B1230),ABS($B1230)&gt;'Opening Balance'!$B$16)</formula>
    </cfRule>
    <cfRule type="cellIs" priority="351" operator="greaterThan" dxfId="1">
      <formula>0</formula>
    </cfRule>
    <cfRule type="cellIs" priority="352" operator="lessThan" dxfId="2">
      <formula>0</formula>
    </cfRule>
  </conditionalFormatting>
  <conditionalFormatting sqref="D1230">
    <cfRule type="expression" priority="350" dxfId="0" stopIfTrue="1">
      <formula>AND(ISNUMBER($B1230),ABS($B1230)&gt;'Opening Balance'!$B$16)</formula>
    </cfRule>
  </conditionalFormatting>
  <conditionalFormatting sqref="B1244">
    <cfRule type="expression" priority="353" dxfId="0" stopIfTrue="1">
      <formula>AND(ISNUMBER($B1244),ABS($B1244)&gt;'Opening Balance'!$B$16)</formula>
    </cfRule>
    <cfRule type="cellIs" priority="355" operator="greaterThan" dxfId="1">
      <formula>0</formula>
    </cfRule>
    <cfRule type="cellIs" priority="356" operator="lessThan" dxfId="2">
      <formula>0</formula>
    </cfRule>
  </conditionalFormatting>
  <conditionalFormatting sqref="D1244">
    <cfRule type="expression" priority="354" dxfId="0" stopIfTrue="1">
      <formula>AND(ISNUMBER($B1244),ABS($B1244)&gt;'Opening Balance'!$B$16)</formula>
    </cfRule>
  </conditionalFormatting>
  <conditionalFormatting sqref="B1258">
    <cfRule type="expression" priority="357" dxfId="0" stopIfTrue="1">
      <formula>AND(ISNUMBER($B1258),ABS($B1258)&gt;'Opening Balance'!$B$16)</formula>
    </cfRule>
    <cfRule type="cellIs" priority="359" operator="greaterThan" dxfId="1">
      <formula>0</formula>
    </cfRule>
    <cfRule type="cellIs" priority="360" operator="lessThan" dxfId="2">
      <formula>0</formula>
    </cfRule>
  </conditionalFormatting>
  <conditionalFormatting sqref="D1258">
    <cfRule type="expression" priority="358" dxfId="0" stopIfTrue="1">
      <formula>AND(ISNUMBER($B1258),ABS($B1258)&gt;'Opening Balance'!$B$16)</formula>
    </cfRule>
  </conditionalFormatting>
  <conditionalFormatting sqref="B1272">
    <cfRule type="expression" priority="361" dxfId="0" stopIfTrue="1">
      <formula>AND(ISNUMBER($B1272),ABS($B1272)&gt;'Opening Balance'!$B$16)</formula>
    </cfRule>
    <cfRule type="cellIs" priority="363" operator="greaterThan" dxfId="1">
      <formula>0</formula>
    </cfRule>
    <cfRule type="cellIs" priority="364" operator="lessThan" dxfId="2">
      <formula>0</formula>
    </cfRule>
  </conditionalFormatting>
  <conditionalFormatting sqref="D1272">
    <cfRule type="expression" priority="362" dxfId="0" stopIfTrue="1">
      <formula>AND(ISNUMBER($B1272),ABS($B1272)&gt;'Opening Balance'!$B$16)</formula>
    </cfRule>
  </conditionalFormatting>
  <conditionalFormatting sqref="B1286">
    <cfRule type="expression" priority="365" dxfId="0" stopIfTrue="1">
      <formula>AND(ISNUMBER($B1286),ABS($B1286)&gt;'Opening Balance'!$B$16)</formula>
    </cfRule>
    <cfRule type="cellIs" priority="367" operator="greaterThan" dxfId="1">
      <formula>0</formula>
    </cfRule>
    <cfRule type="cellIs" priority="368" operator="lessThan" dxfId="2">
      <formula>0</formula>
    </cfRule>
  </conditionalFormatting>
  <conditionalFormatting sqref="D1286">
    <cfRule type="expression" priority="366" dxfId="0" stopIfTrue="1">
      <formula>AND(ISNUMBER($B1286),ABS($B1286)&gt;'Opening Balance'!$B$16)</formula>
    </cfRule>
  </conditionalFormatting>
  <conditionalFormatting sqref="B1300">
    <cfRule type="expression" priority="369" dxfId="0" stopIfTrue="1">
      <formula>AND(ISNUMBER($B1300),ABS($B1300)&gt;'Opening Balance'!$B$16)</formula>
    </cfRule>
    <cfRule type="cellIs" priority="371" operator="greaterThan" dxfId="1">
      <formula>0</formula>
    </cfRule>
    <cfRule type="cellIs" priority="372" operator="lessThan" dxfId="2">
      <formula>0</formula>
    </cfRule>
  </conditionalFormatting>
  <conditionalFormatting sqref="D1300">
    <cfRule type="expression" priority="370" dxfId="0" stopIfTrue="1">
      <formula>AND(ISNUMBER($B1300),ABS($B1300)&gt;'Opening Balance'!$B$16)</formula>
    </cfRule>
  </conditionalFormatting>
  <conditionalFormatting sqref="B1314">
    <cfRule type="expression" priority="373" dxfId="0" stopIfTrue="1">
      <formula>AND(ISNUMBER($B1314),ABS($B1314)&gt;'Opening Balance'!$B$16)</formula>
    </cfRule>
    <cfRule type="cellIs" priority="375" operator="greaterThan" dxfId="1">
      <formula>0</formula>
    </cfRule>
    <cfRule type="cellIs" priority="376" operator="lessThan" dxfId="2">
      <formula>0</formula>
    </cfRule>
  </conditionalFormatting>
  <conditionalFormatting sqref="D1314">
    <cfRule type="expression" priority="374" dxfId="0" stopIfTrue="1">
      <formula>AND(ISNUMBER($B1314),ABS($B1314)&gt;'Opening Balance'!$B$16)</formula>
    </cfRule>
  </conditionalFormatting>
  <conditionalFormatting sqref="B1328">
    <cfRule type="expression" priority="377" dxfId="0" stopIfTrue="1">
      <formula>AND(ISNUMBER($B1328),ABS($B1328)&gt;'Opening Balance'!$B$16)</formula>
    </cfRule>
    <cfRule type="cellIs" priority="379" operator="greaterThan" dxfId="1">
      <formula>0</formula>
    </cfRule>
    <cfRule type="cellIs" priority="380" operator="lessThan" dxfId="2">
      <formula>0</formula>
    </cfRule>
  </conditionalFormatting>
  <conditionalFormatting sqref="D1328">
    <cfRule type="expression" priority="378" dxfId="0" stopIfTrue="1">
      <formula>AND(ISNUMBER($B1328),ABS($B1328)&gt;'Opening Balance'!$B$16)</formula>
    </cfRule>
  </conditionalFormatting>
  <conditionalFormatting sqref="B1342">
    <cfRule type="expression" priority="381" dxfId="0" stopIfTrue="1">
      <formula>AND(ISNUMBER($B1342),ABS($B1342)&gt;'Opening Balance'!$B$16)</formula>
    </cfRule>
    <cfRule type="cellIs" priority="383" operator="greaterThan" dxfId="1">
      <formula>0</formula>
    </cfRule>
    <cfRule type="cellIs" priority="384" operator="lessThan" dxfId="2">
      <formula>0</formula>
    </cfRule>
  </conditionalFormatting>
  <conditionalFormatting sqref="D1342">
    <cfRule type="expression" priority="382" dxfId="0" stopIfTrue="1">
      <formula>AND(ISNUMBER($B1342),ABS($B1342)&gt;'Opening Balance'!$B$16)</formula>
    </cfRule>
  </conditionalFormatting>
  <conditionalFormatting sqref="B1356">
    <cfRule type="expression" priority="385" dxfId="0" stopIfTrue="1">
      <formula>AND(ISNUMBER($B1356),ABS($B1356)&gt;'Opening Balance'!$B$16)</formula>
    </cfRule>
    <cfRule type="cellIs" priority="387" operator="greaterThan" dxfId="1">
      <formula>0</formula>
    </cfRule>
    <cfRule type="cellIs" priority="388" operator="lessThan" dxfId="2">
      <formula>0</formula>
    </cfRule>
  </conditionalFormatting>
  <conditionalFormatting sqref="D1356">
    <cfRule type="expression" priority="386" dxfId="0" stopIfTrue="1">
      <formula>AND(ISNUMBER($B1356),ABS($B1356)&gt;'Opening Balance'!$B$16)</formula>
    </cfRule>
  </conditionalFormatting>
  <conditionalFormatting sqref="B1370">
    <cfRule type="expression" priority="389" dxfId="0" stopIfTrue="1">
      <formula>AND(ISNUMBER($B1370),ABS($B1370)&gt;'Opening Balance'!$B$16)</formula>
    </cfRule>
    <cfRule type="cellIs" priority="391" operator="greaterThan" dxfId="1">
      <formula>0</formula>
    </cfRule>
    <cfRule type="cellIs" priority="392" operator="lessThan" dxfId="2">
      <formula>0</formula>
    </cfRule>
  </conditionalFormatting>
  <conditionalFormatting sqref="D1370">
    <cfRule type="expression" priority="390" dxfId="0" stopIfTrue="1">
      <formula>AND(ISNUMBER($B1370),ABS($B1370)&gt;'Opening Balance'!$B$16)</formula>
    </cfRule>
  </conditionalFormatting>
  <conditionalFormatting sqref="B1384">
    <cfRule type="expression" priority="393" dxfId="0" stopIfTrue="1">
      <formula>AND(ISNUMBER($B1384),ABS($B1384)&gt;'Opening Balance'!$B$16)</formula>
    </cfRule>
    <cfRule type="cellIs" priority="395" operator="greaterThan" dxfId="1">
      <formula>0</formula>
    </cfRule>
    <cfRule type="cellIs" priority="396" operator="lessThan" dxfId="2">
      <formula>0</formula>
    </cfRule>
  </conditionalFormatting>
  <conditionalFormatting sqref="D1384">
    <cfRule type="expression" priority="394" dxfId="0" stopIfTrue="1">
      <formula>AND(ISNUMBER($B1384),ABS($B1384)&gt;'Opening Balance'!$B$16)</formula>
    </cfRule>
  </conditionalFormatting>
  <conditionalFormatting sqref="B1398">
    <cfRule type="expression" priority="397" dxfId="0" stopIfTrue="1">
      <formula>AND(ISNUMBER($B1398),ABS($B1398)&gt;'Opening Balance'!$B$16)</formula>
    </cfRule>
    <cfRule type="cellIs" priority="399" operator="greaterThan" dxfId="1">
      <formula>0</formula>
    </cfRule>
    <cfRule type="cellIs" priority="400" operator="lessThan" dxfId="2">
      <formula>0</formula>
    </cfRule>
  </conditionalFormatting>
  <conditionalFormatting sqref="D1398">
    <cfRule type="expression" priority="398" dxfId="0" stopIfTrue="1">
      <formula>AND(ISNUMBER($B1398),ABS($B1398)&gt;'Opening Balance'!$B$16)</formula>
    </cfRule>
  </conditionalFormatting>
  <conditionalFormatting sqref="B1412">
    <cfRule type="expression" priority="401" dxfId="0" stopIfTrue="1">
      <formula>AND(ISNUMBER($B1412),ABS($B1412)&gt;'Opening Balance'!$B$16)</formula>
    </cfRule>
    <cfRule type="cellIs" priority="403" operator="greaterThan" dxfId="1">
      <formula>0</formula>
    </cfRule>
    <cfRule type="cellIs" priority="404" operator="lessThan" dxfId="2">
      <formula>0</formula>
    </cfRule>
  </conditionalFormatting>
  <conditionalFormatting sqref="D1412">
    <cfRule type="expression" priority="402" dxfId="0" stopIfTrue="1">
      <formula>AND(ISNUMBER($B1412),ABS($B1412)&gt;'Opening Balance'!$B$16)</formula>
    </cfRule>
  </conditionalFormatting>
  <conditionalFormatting sqref="B1426">
    <cfRule type="expression" priority="405" dxfId="0" stopIfTrue="1">
      <formula>AND(ISNUMBER($B1426),ABS($B1426)&gt;'Opening Balance'!$B$16)</formula>
    </cfRule>
    <cfRule type="cellIs" priority="407" operator="greaterThan" dxfId="1">
      <formula>0</formula>
    </cfRule>
    <cfRule type="cellIs" priority="408" operator="lessThan" dxfId="2">
      <formula>0</formula>
    </cfRule>
  </conditionalFormatting>
  <conditionalFormatting sqref="D1426">
    <cfRule type="expression" priority="406" dxfId="0" stopIfTrue="1">
      <formula>AND(ISNUMBER($B1426),ABS($B1426)&gt;'Opening Balance'!$B$16)</formula>
    </cfRule>
  </conditionalFormatting>
  <conditionalFormatting sqref="B1440">
    <cfRule type="expression" priority="409" dxfId="0" stopIfTrue="1">
      <formula>AND(ISNUMBER($B1440),ABS($B1440)&gt;'Opening Balance'!$B$16)</formula>
    </cfRule>
    <cfRule type="cellIs" priority="411" operator="greaterThan" dxfId="1">
      <formula>0</formula>
    </cfRule>
    <cfRule type="cellIs" priority="412" operator="lessThan" dxfId="2">
      <formula>0</formula>
    </cfRule>
  </conditionalFormatting>
  <conditionalFormatting sqref="D1440">
    <cfRule type="expression" priority="410" dxfId="0" stopIfTrue="1">
      <formula>AND(ISNUMBER($B1440),ABS($B1440)&gt;'Opening Balance'!$B$16)</formula>
    </cfRule>
  </conditionalFormatting>
  <conditionalFormatting sqref="B1454">
    <cfRule type="expression" priority="413" dxfId="0" stopIfTrue="1">
      <formula>AND(ISNUMBER($B1454),ABS($B1454)&gt;'Opening Balance'!$B$16)</formula>
    </cfRule>
    <cfRule type="cellIs" priority="415" operator="greaterThan" dxfId="1">
      <formula>0</formula>
    </cfRule>
    <cfRule type="cellIs" priority="416" operator="lessThan" dxfId="2">
      <formula>0</formula>
    </cfRule>
  </conditionalFormatting>
  <conditionalFormatting sqref="D1454">
    <cfRule type="expression" priority="414" dxfId="0" stopIfTrue="1">
      <formula>AND(ISNUMBER($B1454),ABS($B1454)&gt;'Opening Balance'!$B$16)</formula>
    </cfRule>
  </conditionalFormatting>
  <conditionalFormatting sqref="B1468">
    <cfRule type="expression" priority="417" dxfId="0" stopIfTrue="1">
      <formula>AND(ISNUMBER($B1468),ABS($B1468)&gt;'Opening Balance'!$B$16)</formula>
    </cfRule>
    <cfRule type="cellIs" priority="419" operator="greaterThan" dxfId="1">
      <formula>0</formula>
    </cfRule>
    <cfRule type="cellIs" priority="420" operator="lessThan" dxfId="2">
      <formula>0</formula>
    </cfRule>
  </conditionalFormatting>
  <conditionalFormatting sqref="D1468">
    <cfRule type="expression" priority="418" dxfId="0" stopIfTrue="1">
      <formula>AND(ISNUMBER($B1468),ABS($B1468)&gt;'Opening Balance'!$B$16)</formula>
    </cfRule>
  </conditionalFormatting>
  <conditionalFormatting sqref="B1482">
    <cfRule type="expression" priority="421" dxfId="0" stopIfTrue="1">
      <formula>AND(ISNUMBER($B1482),ABS($B1482)&gt;'Opening Balance'!$B$16)</formula>
    </cfRule>
    <cfRule type="cellIs" priority="423" operator="greaterThan" dxfId="1">
      <formula>0</formula>
    </cfRule>
    <cfRule type="cellIs" priority="424" operator="lessThan" dxfId="2">
      <formula>0</formula>
    </cfRule>
  </conditionalFormatting>
  <conditionalFormatting sqref="D1482">
    <cfRule type="expression" priority="422" dxfId="0" stopIfTrue="1">
      <formula>AND(ISNUMBER($B1482),ABS($B1482)&gt;'Opening Balance'!$B$16)</formula>
    </cfRule>
  </conditionalFormatting>
  <conditionalFormatting sqref="B1496">
    <cfRule type="expression" priority="425" dxfId="0" stopIfTrue="1">
      <formula>AND(ISNUMBER($B1496),ABS($B1496)&gt;'Opening Balance'!$B$16)</formula>
    </cfRule>
    <cfRule type="cellIs" priority="427" operator="greaterThan" dxfId="1">
      <formula>0</formula>
    </cfRule>
    <cfRule type="cellIs" priority="428" operator="lessThan" dxfId="2">
      <formula>0</formula>
    </cfRule>
  </conditionalFormatting>
  <conditionalFormatting sqref="D1496">
    <cfRule type="expression" priority="426" dxfId="0" stopIfTrue="1">
      <formula>AND(ISNUMBER($B1496),ABS($B1496)&gt;'Opening Balance'!$B$16)</formula>
    </cfRule>
  </conditionalFormatting>
  <conditionalFormatting sqref="B1510">
    <cfRule type="expression" priority="429" dxfId="0" stopIfTrue="1">
      <formula>AND(ISNUMBER($B1510),ABS($B1510)&gt;'Opening Balance'!$B$16)</formula>
    </cfRule>
    <cfRule type="cellIs" priority="431" operator="greaterThan" dxfId="1">
      <formula>0</formula>
    </cfRule>
    <cfRule type="cellIs" priority="432" operator="lessThan" dxfId="2">
      <formula>0</formula>
    </cfRule>
  </conditionalFormatting>
  <conditionalFormatting sqref="D1510">
    <cfRule type="expression" priority="430" dxfId="0" stopIfTrue="1">
      <formula>AND(ISNUMBER($B1510),ABS($B1510)&gt;'Opening Balance'!$B$16)</formula>
    </cfRule>
  </conditionalFormatting>
  <conditionalFormatting sqref="B1524">
    <cfRule type="expression" priority="433" dxfId="0" stopIfTrue="1">
      <formula>AND(ISNUMBER($B1524),ABS($B1524)&gt;'Opening Balance'!$B$16)</formula>
    </cfRule>
    <cfRule type="cellIs" priority="435" operator="greaterThan" dxfId="1">
      <formula>0</formula>
    </cfRule>
    <cfRule type="cellIs" priority="436" operator="lessThan" dxfId="2">
      <formula>0</formula>
    </cfRule>
  </conditionalFormatting>
  <conditionalFormatting sqref="D1524">
    <cfRule type="expression" priority="434" dxfId="0" stopIfTrue="1">
      <formula>AND(ISNUMBER($B1524),ABS($B1524)&gt;'Opening Balance'!$B$16)</formula>
    </cfRule>
  </conditionalFormatting>
  <conditionalFormatting sqref="B1538">
    <cfRule type="expression" priority="437" dxfId="0" stopIfTrue="1">
      <formula>AND(ISNUMBER($B1538),ABS($B1538)&gt;'Opening Balance'!$B$16)</formula>
    </cfRule>
    <cfRule type="cellIs" priority="439" operator="greaterThan" dxfId="1">
      <formula>0</formula>
    </cfRule>
    <cfRule type="cellIs" priority="440" operator="lessThan" dxfId="2">
      <formula>0</formula>
    </cfRule>
  </conditionalFormatting>
  <conditionalFormatting sqref="D1538">
    <cfRule type="expression" priority="438" dxfId="0" stopIfTrue="1">
      <formula>AND(ISNUMBER($B1538),ABS($B1538)&gt;'Opening Balance'!$B$16)</formula>
    </cfRule>
  </conditionalFormatting>
  <conditionalFormatting sqref="B1552">
    <cfRule type="expression" priority="441" dxfId="0" stopIfTrue="1">
      <formula>AND(ISNUMBER($B1552),ABS($B1552)&gt;'Opening Balance'!$B$16)</formula>
    </cfRule>
    <cfRule type="cellIs" priority="443" operator="greaterThan" dxfId="1">
      <formula>0</formula>
    </cfRule>
    <cfRule type="cellIs" priority="444" operator="lessThan" dxfId="2">
      <formula>0</formula>
    </cfRule>
  </conditionalFormatting>
  <conditionalFormatting sqref="D1552">
    <cfRule type="expression" priority="442" dxfId="0" stopIfTrue="1">
      <formula>AND(ISNUMBER($B1552),ABS($B1552)&gt;'Opening Balance'!$B$16)</formula>
    </cfRule>
  </conditionalFormatting>
  <conditionalFormatting sqref="B1566">
    <cfRule type="expression" priority="445" dxfId="0" stopIfTrue="1">
      <formula>AND(ISNUMBER($B1566),ABS($B1566)&gt;'Opening Balance'!$B$16)</formula>
    </cfRule>
    <cfRule type="cellIs" priority="447" operator="greaterThan" dxfId="1">
      <formula>0</formula>
    </cfRule>
    <cfRule type="cellIs" priority="448" operator="lessThan" dxfId="2">
      <formula>0</formula>
    </cfRule>
  </conditionalFormatting>
  <conditionalFormatting sqref="D1566">
    <cfRule type="expression" priority="446" dxfId="0" stopIfTrue="1">
      <formula>AND(ISNUMBER($B1566),ABS($B1566)&gt;'Opening Balance'!$B$16)</formula>
    </cfRule>
  </conditionalFormatting>
  <conditionalFormatting sqref="B1580">
    <cfRule type="expression" priority="449" dxfId="0" stopIfTrue="1">
      <formula>AND(ISNUMBER($B1580),ABS($B1580)&gt;'Opening Balance'!$B$16)</formula>
    </cfRule>
    <cfRule type="cellIs" priority="451" operator="greaterThan" dxfId="1">
      <formula>0</formula>
    </cfRule>
    <cfRule type="cellIs" priority="452" operator="lessThan" dxfId="2">
      <formula>0</formula>
    </cfRule>
  </conditionalFormatting>
  <conditionalFormatting sqref="D1580">
    <cfRule type="expression" priority="450" dxfId="0" stopIfTrue="1">
      <formula>AND(ISNUMBER($B1580),ABS($B1580)&gt;'Opening Balance'!$B$16)</formula>
    </cfRule>
  </conditionalFormatting>
  <conditionalFormatting sqref="B1594">
    <cfRule type="expression" priority="453" dxfId="0" stopIfTrue="1">
      <formula>AND(ISNUMBER($B1594),ABS($B1594)&gt;'Opening Balance'!$B$16)</formula>
    </cfRule>
    <cfRule type="cellIs" priority="455" operator="greaterThan" dxfId="1">
      <formula>0</formula>
    </cfRule>
    <cfRule type="cellIs" priority="456" operator="lessThan" dxfId="2">
      <formula>0</formula>
    </cfRule>
  </conditionalFormatting>
  <conditionalFormatting sqref="D1594">
    <cfRule type="expression" priority="454" dxfId="0" stopIfTrue="1">
      <formula>AND(ISNUMBER($B1594),ABS($B1594)&gt;'Opening Balance'!$B$16)</formula>
    </cfRule>
  </conditionalFormatting>
  <conditionalFormatting sqref="B1608">
    <cfRule type="expression" priority="457" dxfId="0" stopIfTrue="1">
      <formula>AND(ISNUMBER($B1608),ABS($B1608)&gt;'Opening Balance'!$B$16)</formula>
    </cfRule>
    <cfRule type="cellIs" priority="459" operator="greaterThan" dxfId="1">
      <formula>0</formula>
    </cfRule>
    <cfRule type="cellIs" priority="460" operator="lessThan" dxfId="2">
      <formula>0</formula>
    </cfRule>
  </conditionalFormatting>
  <conditionalFormatting sqref="D1608">
    <cfRule type="expression" priority="458" dxfId="0" stopIfTrue="1">
      <formula>AND(ISNUMBER($B1608),ABS($B1608)&gt;'Opening Balance'!$B$16)</formula>
    </cfRule>
  </conditionalFormatting>
  <conditionalFormatting sqref="B1622">
    <cfRule type="expression" priority="461" dxfId="0" stopIfTrue="1">
      <formula>AND(ISNUMBER($B1622),ABS($B1622)&gt;'Opening Balance'!$B$16)</formula>
    </cfRule>
    <cfRule type="cellIs" priority="463" operator="greaterThan" dxfId="1">
      <formula>0</formula>
    </cfRule>
    <cfRule type="cellIs" priority="464" operator="lessThan" dxfId="2">
      <formula>0</formula>
    </cfRule>
  </conditionalFormatting>
  <conditionalFormatting sqref="D1622">
    <cfRule type="expression" priority="462" dxfId="0" stopIfTrue="1">
      <formula>AND(ISNUMBER($B1622),ABS($B1622)&gt;'Opening Balance'!$B$16)</formula>
    </cfRule>
  </conditionalFormatting>
  <conditionalFormatting sqref="B1636">
    <cfRule type="expression" priority="465" dxfId="0" stopIfTrue="1">
      <formula>AND(ISNUMBER($B1636),ABS($B1636)&gt;'Opening Balance'!$B$16)</formula>
    </cfRule>
    <cfRule type="cellIs" priority="467" operator="greaterThan" dxfId="1">
      <formula>0</formula>
    </cfRule>
    <cfRule type="cellIs" priority="468" operator="lessThan" dxfId="2">
      <formula>0</formula>
    </cfRule>
  </conditionalFormatting>
  <conditionalFormatting sqref="D1636">
    <cfRule type="expression" priority="466" dxfId="0" stopIfTrue="1">
      <formula>AND(ISNUMBER($B1636),ABS($B1636)&gt;'Opening Balance'!$B$16)</formula>
    </cfRule>
  </conditionalFormatting>
  <conditionalFormatting sqref="B1650">
    <cfRule type="expression" priority="469" dxfId="0" stopIfTrue="1">
      <formula>AND(ISNUMBER($B1650),ABS($B1650)&gt;'Opening Balance'!$B$16)</formula>
    </cfRule>
    <cfRule type="cellIs" priority="471" operator="greaterThan" dxfId="1">
      <formula>0</formula>
    </cfRule>
    <cfRule type="cellIs" priority="472" operator="lessThan" dxfId="2">
      <formula>0</formula>
    </cfRule>
  </conditionalFormatting>
  <conditionalFormatting sqref="D1650">
    <cfRule type="expression" priority="470" dxfId="0" stopIfTrue="1">
      <formula>AND(ISNUMBER($B1650),ABS($B1650)&gt;'Opening Balance'!$B$16)</formula>
    </cfRule>
  </conditionalFormatting>
  <conditionalFormatting sqref="B1664">
    <cfRule type="expression" priority="473" dxfId="0" stopIfTrue="1">
      <formula>AND(ISNUMBER($B1664),ABS($B1664)&gt;'Opening Balance'!$B$16)</formula>
    </cfRule>
    <cfRule type="cellIs" priority="475" operator="greaterThan" dxfId="1">
      <formula>0</formula>
    </cfRule>
    <cfRule type="cellIs" priority="476" operator="lessThan" dxfId="2">
      <formula>0</formula>
    </cfRule>
  </conditionalFormatting>
  <conditionalFormatting sqref="D1664">
    <cfRule type="expression" priority="474" dxfId="0" stopIfTrue="1">
      <formula>AND(ISNUMBER($B1664),ABS($B1664)&gt;'Opening Balance'!$B$16)</formula>
    </cfRule>
  </conditionalFormatting>
  <conditionalFormatting sqref="B1678">
    <cfRule type="expression" priority="477" dxfId="0" stopIfTrue="1">
      <formula>AND(ISNUMBER($B1678),ABS($B1678)&gt;'Opening Balance'!$B$16)</formula>
    </cfRule>
    <cfRule type="cellIs" priority="479" operator="greaterThan" dxfId="1">
      <formula>0</formula>
    </cfRule>
    <cfRule type="cellIs" priority="480" operator="lessThan" dxfId="2">
      <formula>0</formula>
    </cfRule>
  </conditionalFormatting>
  <conditionalFormatting sqref="D1678">
    <cfRule type="expression" priority="478" dxfId="0" stopIfTrue="1">
      <formula>AND(ISNUMBER($B1678),ABS($B1678)&gt;'Opening Balance'!$B$16)</formula>
    </cfRule>
  </conditionalFormatting>
  <conditionalFormatting sqref="B1692">
    <cfRule type="expression" priority="481" dxfId="0" stopIfTrue="1">
      <formula>AND(ISNUMBER($B1692),ABS($B1692)&gt;'Opening Balance'!$B$16)</formula>
    </cfRule>
    <cfRule type="cellIs" priority="483" operator="greaterThan" dxfId="1">
      <formula>0</formula>
    </cfRule>
    <cfRule type="cellIs" priority="484" operator="lessThan" dxfId="2">
      <formula>0</formula>
    </cfRule>
  </conditionalFormatting>
  <conditionalFormatting sqref="D1692">
    <cfRule type="expression" priority="482" dxfId="0" stopIfTrue="1">
      <formula>AND(ISNUMBER($B1692),ABS($B1692)&gt;'Opening Balance'!$B$16)</formula>
    </cfRule>
  </conditionalFormatting>
  <conditionalFormatting sqref="B1706">
    <cfRule type="expression" priority="485" dxfId="0" stopIfTrue="1">
      <formula>AND(ISNUMBER($B1706),ABS($B1706)&gt;'Opening Balance'!$B$16)</formula>
    </cfRule>
    <cfRule type="cellIs" priority="487" operator="greaterThan" dxfId="1">
      <formula>0</formula>
    </cfRule>
    <cfRule type="cellIs" priority="488" operator="lessThan" dxfId="2">
      <formula>0</formula>
    </cfRule>
  </conditionalFormatting>
  <conditionalFormatting sqref="D1706">
    <cfRule type="expression" priority="486" dxfId="0" stopIfTrue="1">
      <formula>AND(ISNUMBER($B1706),ABS($B1706)&gt;'Opening Balance'!$B$16)</formula>
    </cfRule>
  </conditionalFormatting>
  <conditionalFormatting sqref="B1720">
    <cfRule type="expression" priority="489" dxfId="0" stopIfTrue="1">
      <formula>AND(ISNUMBER($B1720),ABS($B1720)&gt;'Opening Balance'!$B$16)</formula>
    </cfRule>
    <cfRule type="cellIs" priority="491" operator="greaterThan" dxfId="1">
      <formula>0</formula>
    </cfRule>
    <cfRule type="cellIs" priority="492" operator="lessThan" dxfId="2">
      <formula>0</formula>
    </cfRule>
  </conditionalFormatting>
  <conditionalFormatting sqref="D1720">
    <cfRule type="expression" priority="490" dxfId="0" stopIfTrue="1">
      <formula>AND(ISNUMBER($B1720),ABS($B1720)&gt;'Opening Balance'!$B$16)</formula>
    </cfRule>
  </conditionalFormatting>
  <conditionalFormatting sqref="B1734">
    <cfRule type="expression" priority="493" dxfId="0" stopIfTrue="1">
      <formula>AND(ISNUMBER($B1734),ABS($B1734)&gt;'Opening Balance'!$B$16)</formula>
    </cfRule>
    <cfRule type="cellIs" priority="495" operator="greaterThan" dxfId="1">
      <formula>0</formula>
    </cfRule>
    <cfRule type="cellIs" priority="496" operator="lessThan" dxfId="2">
      <formula>0</formula>
    </cfRule>
  </conditionalFormatting>
  <conditionalFormatting sqref="D1734">
    <cfRule type="expression" priority="494" dxfId="0" stopIfTrue="1">
      <formula>AND(ISNUMBER($B1734),ABS($B1734)&gt;'Opening Balance'!$B$16)</formula>
    </cfRule>
  </conditionalFormatting>
  <conditionalFormatting sqref="B1748">
    <cfRule type="expression" priority="497" dxfId="0" stopIfTrue="1">
      <formula>AND(ISNUMBER($B1748),ABS($B1748)&gt;'Opening Balance'!$B$16)</formula>
    </cfRule>
    <cfRule type="cellIs" priority="499" operator="greaterThan" dxfId="1">
      <formula>0</formula>
    </cfRule>
    <cfRule type="cellIs" priority="500" operator="lessThan" dxfId="2">
      <formula>0</formula>
    </cfRule>
  </conditionalFormatting>
  <conditionalFormatting sqref="D1748">
    <cfRule type="expression" priority="498" dxfId="0" stopIfTrue="1">
      <formula>AND(ISNUMBER($B1748),ABS($B1748)&gt;'Opening Balance'!$B$16)</formula>
    </cfRule>
  </conditionalFormatting>
  <conditionalFormatting sqref="B1762">
    <cfRule type="expression" priority="501" dxfId="0" stopIfTrue="1">
      <formula>AND(ISNUMBER($B1762),ABS($B1762)&gt;'Opening Balance'!$B$16)</formula>
    </cfRule>
    <cfRule type="cellIs" priority="503" operator="greaterThan" dxfId="1">
      <formula>0</formula>
    </cfRule>
    <cfRule type="cellIs" priority="504" operator="lessThan" dxfId="2">
      <formula>0</formula>
    </cfRule>
  </conditionalFormatting>
  <conditionalFormatting sqref="D1762">
    <cfRule type="expression" priority="502" dxfId="0" stopIfTrue="1">
      <formula>AND(ISNUMBER($B1762),ABS($B1762)&gt;'Opening Balance'!$B$16)</formula>
    </cfRule>
  </conditionalFormatting>
  <conditionalFormatting sqref="B1776">
    <cfRule type="expression" priority="505" dxfId="0" stopIfTrue="1">
      <formula>AND(ISNUMBER($B1776),ABS($B1776)&gt;'Opening Balance'!$B$16)</formula>
    </cfRule>
    <cfRule type="cellIs" priority="507" operator="greaterThan" dxfId="1">
      <formula>0</formula>
    </cfRule>
    <cfRule type="cellIs" priority="508" operator="lessThan" dxfId="2">
      <formula>0</formula>
    </cfRule>
  </conditionalFormatting>
  <conditionalFormatting sqref="D1776">
    <cfRule type="expression" priority="506" dxfId="0" stopIfTrue="1">
      <formula>AND(ISNUMBER($B1776),ABS($B1776)&gt;'Opening Balance'!$B$16)</formula>
    </cfRule>
  </conditionalFormatting>
  <conditionalFormatting sqref="B1790">
    <cfRule type="expression" priority="509" dxfId="0" stopIfTrue="1">
      <formula>AND(ISNUMBER($B1790),ABS($B1790)&gt;'Opening Balance'!$B$16)</formula>
    </cfRule>
    <cfRule type="cellIs" priority="511" operator="greaterThan" dxfId="1">
      <formula>0</formula>
    </cfRule>
    <cfRule type="cellIs" priority="512" operator="lessThan" dxfId="2">
      <formula>0</formula>
    </cfRule>
  </conditionalFormatting>
  <conditionalFormatting sqref="D1790">
    <cfRule type="expression" priority="510" dxfId="0" stopIfTrue="1">
      <formula>AND(ISNUMBER($B1790),ABS($B1790)&gt;'Opening Balance'!$B$16)</formula>
    </cfRule>
  </conditionalFormatting>
  <conditionalFormatting sqref="B1804">
    <cfRule type="expression" priority="513" dxfId="0" stopIfTrue="1">
      <formula>AND(ISNUMBER($B1804),ABS($B1804)&gt;'Opening Balance'!$B$16)</formula>
    </cfRule>
    <cfRule type="cellIs" priority="515" operator="greaterThan" dxfId="1">
      <formula>0</formula>
    </cfRule>
    <cfRule type="cellIs" priority="516" operator="lessThan" dxfId="2">
      <formula>0</formula>
    </cfRule>
  </conditionalFormatting>
  <conditionalFormatting sqref="D1804">
    <cfRule type="expression" priority="514" dxfId="0" stopIfTrue="1">
      <formula>AND(ISNUMBER($B1804),ABS($B1804)&gt;'Opening Balance'!$B$16)</formula>
    </cfRule>
  </conditionalFormatting>
  <conditionalFormatting sqref="B1818">
    <cfRule type="expression" priority="517" dxfId="0" stopIfTrue="1">
      <formula>AND(ISNUMBER($B1818),ABS($B1818)&gt;'Opening Balance'!$B$16)</formula>
    </cfRule>
    <cfRule type="cellIs" priority="519" operator="greaterThan" dxfId="1">
      <formula>0</formula>
    </cfRule>
    <cfRule type="cellIs" priority="520" operator="lessThan" dxfId="2">
      <formula>0</formula>
    </cfRule>
  </conditionalFormatting>
  <conditionalFormatting sqref="D1818">
    <cfRule type="expression" priority="518" dxfId="0" stopIfTrue="1">
      <formula>AND(ISNUMBER($B1818),ABS($B1818)&gt;'Opening Balance'!$B$16)</formula>
    </cfRule>
  </conditionalFormatting>
  <conditionalFormatting sqref="B1832">
    <cfRule type="expression" priority="521" dxfId="0" stopIfTrue="1">
      <formula>AND(ISNUMBER($B1832),ABS($B1832)&gt;'Opening Balance'!$B$16)</formula>
    </cfRule>
    <cfRule type="cellIs" priority="523" operator="greaterThan" dxfId="1">
      <formula>0</formula>
    </cfRule>
    <cfRule type="cellIs" priority="524" operator="lessThan" dxfId="2">
      <formula>0</formula>
    </cfRule>
  </conditionalFormatting>
  <conditionalFormatting sqref="D1832">
    <cfRule type="expression" priority="522" dxfId="0" stopIfTrue="1">
      <formula>AND(ISNUMBER($B1832),ABS($B1832)&gt;'Opening Balance'!$B$16)</formula>
    </cfRule>
  </conditionalFormatting>
  <conditionalFormatting sqref="B1846">
    <cfRule type="expression" priority="525" dxfId="0" stopIfTrue="1">
      <formula>AND(ISNUMBER($B1846),ABS($B1846)&gt;'Opening Balance'!$B$16)</formula>
    </cfRule>
    <cfRule type="cellIs" priority="527" operator="greaterThan" dxfId="1">
      <formula>0</formula>
    </cfRule>
    <cfRule type="cellIs" priority="528" operator="lessThan" dxfId="2">
      <formula>0</formula>
    </cfRule>
  </conditionalFormatting>
  <conditionalFormatting sqref="D1846">
    <cfRule type="expression" priority="526" dxfId="0" stopIfTrue="1">
      <formula>AND(ISNUMBER($B1846),ABS($B1846)&gt;'Opening Balance'!$B$16)</formula>
    </cfRule>
  </conditionalFormatting>
  <conditionalFormatting sqref="B1860">
    <cfRule type="expression" priority="529" dxfId="0" stopIfTrue="1">
      <formula>AND(ISNUMBER($B1860),ABS($B1860)&gt;'Opening Balance'!$B$16)</formula>
    </cfRule>
    <cfRule type="cellIs" priority="531" operator="greaterThan" dxfId="1">
      <formula>0</formula>
    </cfRule>
    <cfRule type="cellIs" priority="532" operator="lessThan" dxfId="2">
      <formula>0</formula>
    </cfRule>
  </conditionalFormatting>
  <conditionalFormatting sqref="D1860">
    <cfRule type="expression" priority="530" dxfId="0" stopIfTrue="1">
      <formula>AND(ISNUMBER($B1860),ABS($B1860)&gt;'Opening Balance'!$B$16)</formula>
    </cfRule>
  </conditionalFormatting>
  <conditionalFormatting sqref="B1874">
    <cfRule type="expression" priority="533" dxfId="0" stopIfTrue="1">
      <formula>AND(ISNUMBER($B1874),ABS($B1874)&gt;'Opening Balance'!$B$16)</formula>
    </cfRule>
    <cfRule type="cellIs" priority="535" operator="greaterThan" dxfId="1">
      <formula>0</formula>
    </cfRule>
    <cfRule type="cellIs" priority="536" operator="lessThan" dxfId="2">
      <formula>0</formula>
    </cfRule>
  </conditionalFormatting>
  <conditionalFormatting sqref="D1874">
    <cfRule type="expression" priority="534" dxfId="0" stopIfTrue="1">
      <formula>AND(ISNUMBER($B1874),ABS($B1874)&gt;'Opening Balance'!$B$16)</formula>
    </cfRule>
  </conditionalFormatting>
  <conditionalFormatting sqref="B1888">
    <cfRule type="expression" priority="537" dxfId="0" stopIfTrue="1">
      <formula>AND(ISNUMBER($B1888),ABS($B1888)&gt;'Opening Balance'!$B$16)</formula>
    </cfRule>
    <cfRule type="cellIs" priority="539" operator="greaterThan" dxfId="1">
      <formula>0</formula>
    </cfRule>
    <cfRule type="cellIs" priority="540" operator="lessThan" dxfId="2">
      <formula>0</formula>
    </cfRule>
  </conditionalFormatting>
  <conditionalFormatting sqref="D1888">
    <cfRule type="expression" priority="538" dxfId="0" stopIfTrue="1">
      <formula>AND(ISNUMBER($B1888),ABS($B1888)&gt;'Opening Balance'!$B$16)</formula>
    </cfRule>
  </conditionalFormatting>
  <conditionalFormatting sqref="B1902">
    <cfRule type="expression" priority="541" dxfId="0" stopIfTrue="1">
      <formula>AND(ISNUMBER($B1902),ABS($B1902)&gt;'Opening Balance'!$B$16)</formula>
    </cfRule>
    <cfRule type="cellIs" priority="543" operator="greaterThan" dxfId="1">
      <formula>0</formula>
    </cfRule>
    <cfRule type="cellIs" priority="544" operator="lessThan" dxfId="2">
      <formula>0</formula>
    </cfRule>
  </conditionalFormatting>
  <conditionalFormatting sqref="D1902">
    <cfRule type="expression" priority="542" dxfId="0" stopIfTrue="1">
      <formula>AND(ISNUMBER($B1902),ABS($B1902)&gt;'Opening Balance'!$B$16)</formula>
    </cfRule>
  </conditionalFormatting>
  <conditionalFormatting sqref="B1916">
    <cfRule type="expression" priority="545" dxfId="0" stopIfTrue="1">
      <formula>AND(ISNUMBER($B1916),ABS($B1916)&gt;'Opening Balance'!$B$16)</formula>
    </cfRule>
    <cfRule type="cellIs" priority="547" operator="greaterThan" dxfId="1">
      <formula>0</formula>
    </cfRule>
    <cfRule type="cellIs" priority="548" operator="lessThan" dxfId="2">
      <formula>0</formula>
    </cfRule>
  </conditionalFormatting>
  <conditionalFormatting sqref="D1916">
    <cfRule type="expression" priority="546" dxfId="0" stopIfTrue="1">
      <formula>AND(ISNUMBER($B1916),ABS($B1916)&gt;'Opening Balance'!$B$16)</formula>
    </cfRule>
  </conditionalFormatting>
  <conditionalFormatting sqref="B1930">
    <cfRule type="expression" priority="549" dxfId="0" stopIfTrue="1">
      <formula>AND(ISNUMBER($B1930),ABS($B1930)&gt;'Opening Balance'!$B$16)</formula>
    </cfRule>
    <cfRule type="cellIs" priority="551" operator="greaterThan" dxfId="1">
      <formula>0</formula>
    </cfRule>
    <cfRule type="cellIs" priority="552" operator="lessThan" dxfId="2">
      <formula>0</formula>
    </cfRule>
  </conditionalFormatting>
  <conditionalFormatting sqref="D1930">
    <cfRule type="expression" priority="550" dxfId="0" stopIfTrue="1">
      <formula>AND(ISNUMBER($B1930),ABS($B1930)&gt;'Opening Balance'!$B$16)</formula>
    </cfRule>
  </conditionalFormatting>
  <conditionalFormatting sqref="B1944">
    <cfRule type="expression" priority="553" dxfId="0" stopIfTrue="1">
      <formula>AND(ISNUMBER($B1944),ABS($B1944)&gt;'Opening Balance'!$B$16)</formula>
    </cfRule>
    <cfRule type="cellIs" priority="555" operator="greaterThan" dxfId="1">
      <formula>0</formula>
    </cfRule>
    <cfRule type="cellIs" priority="556" operator="lessThan" dxfId="2">
      <formula>0</formula>
    </cfRule>
  </conditionalFormatting>
  <conditionalFormatting sqref="D1944">
    <cfRule type="expression" priority="554" dxfId="0" stopIfTrue="1">
      <formula>AND(ISNUMBER($B1944),ABS($B1944)&gt;'Opening Balance'!$B$16)</formula>
    </cfRule>
  </conditionalFormatting>
  <conditionalFormatting sqref="B1958">
    <cfRule type="expression" priority="557" dxfId="0" stopIfTrue="1">
      <formula>AND(ISNUMBER($B1958),ABS($B1958)&gt;'Opening Balance'!$B$16)</formula>
    </cfRule>
    <cfRule type="cellIs" priority="559" operator="greaterThan" dxfId="1">
      <formula>0</formula>
    </cfRule>
    <cfRule type="cellIs" priority="560" operator="lessThan" dxfId="2">
      <formula>0</formula>
    </cfRule>
  </conditionalFormatting>
  <conditionalFormatting sqref="D1958">
    <cfRule type="expression" priority="558" dxfId="0" stopIfTrue="1">
      <formula>AND(ISNUMBER($B1958),ABS($B1958)&gt;'Opening Balance'!$B$16)</formula>
    </cfRule>
  </conditionalFormatting>
  <conditionalFormatting sqref="B1972">
    <cfRule type="expression" priority="561" dxfId="0" stopIfTrue="1">
      <formula>AND(ISNUMBER($B1972),ABS($B1972)&gt;'Opening Balance'!$B$16)</formula>
    </cfRule>
    <cfRule type="cellIs" priority="563" operator="greaterThan" dxfId="1">
      <formula>0</formula>
    </cfRule>
    <cfRule type="cellIs" priority="564" operator="lessThan" dxfId="2">
      <formula>0</formula>
    </cfRule>
  </conditionalFormatting>
  <conditionalFormatting sqref="D1972">
    <cfRule type="expression" priority="562" dxfId="0" stopIfTrue="1">
      <formula>AND(ISNUMBER($B1972),ABS($B1972)&gt;'Opening Balance'!$B$16)</formula>
    </cfRule>
  </conditionalFormatting>
  <conditionalFormatting sqref="B1986">
    <cfRule type="expression" priority="565" dxfId="0" stopIfTrue="1">
      <formula>AND(ISNUMBER($B1986),ABS($B1986)&gt;'Opening Balance'!$B$16)</formula>
    </cfRule>
    <cfRule type="cellIs" priority="567" operator="greaterThan" dxfId="1">
      <formula>0</formula>
    </cfRule>
    <cfRule type="cellIs" priority="568" operator="lessThan" dxfId="2">
      <formula>0</formula>
    </cfRule>
  </conditionalFormatting>
  <conditionalFormatting sqref="D1986">
    <cfRule type="expression" priority="566" dxfId="0" stopIfTrue="1">
      <formula>AND(ISNUMBER($B1986),ABS($B1986)&gt;'Opening Balance'!$B$16)</formula>
    </cfRule>
  </conditionalFormatting>
  <conditionalFormatting sqref="B2000">
    <cfRule type="expression" priority="569" dxfId="0" stopIfTrue="1">
      <formula>AND(ISNUMBER($B2000),ABS($B2000)&gt;'Opening Balance'!$B$16)</formula>
    </cfRule>
    <cfRule type="cellIs" priority="571" operator="greaterThan" dxfId="1">
      <formula>0</formula>
    </cfRule>
    <cfRule type="cellIs" priority="572" operator="lessThan" dxfId="2">
      <formula>0</formula>
    </cfRule>
  </conditionalFormatting>
  <conditionalFormatting sqref="D2000">
    <cfRule type="expression" priority="570" dxfId="0" stopIfTrue="1">
      <formula>AND(ISNUMBER($B2000),ABS($B2000)&gt;'Opening Balance'!$B$16)</formula>
    </cfRule>
  </conditionalFormatting>
  <conditionalFormatting sqref="B2014">
    <cfRule type="expression" priority="573" dxfId="0" stopIfTrue="1">
      <formula>AND(ISNUMBER($B2014),ABS($B2014)&gt;'Opening Balance'!$B$16)</formula>
    </cfRule>
    <cfRule type="cellIs" priority="575" operator="greaterThan" dxfId="1">
      <formula>0</formula>
    </cfRule>
    <cfRule type="cellIs" priority="576" operator="lessThan" dxfId="2">
      <formula>0</formula>
    </cfRule>
  </conditionalFormatting>
  <conditionalFormatting sqref="D2014">
    <cfRule type="expression" priority="574" dxfId="0" stopIfTrue="1">
      <formula>AND(ISNUMBER($B2014),ABS($B2014)&gt;'Opening Balance'!$B$16)</formula>
    </cfRule>
  </conditionalFormatting>
  <conditionalFormatting sqref="B2028">
    <cfRule type="expression" priority="577" dxfId="0" stopIfTrue="1">
      <formula>AND(ISNUMBER($B2028),ABS($B2028)&gt;'Opening Balance'!$B$16)</formula>
    </cfRule>
    <cfRule type="cellIs" priority="579" operator="greaterThan" dxfId="1">
      <formula>0</formula>
    </cfRule>
    <cfRule type="cellIs" priority="580" operator="lessThan" dxfId="2">
      <formula>0</formula>
    </cfRule>
  </conditionalFormatting>
  <conditionalFormatting sqref="D2028">
    <cfRule type="expression" priority="578" dxfId="0" stopIfTrue="1">
      <formula>AND(ISNUMBER($B2028),ABS($B2028)&gt;'Opening Balance'!$B$16)</formula>
    </cfRule>
  </conditionalFormatting>
  <conditionalFormatting sqref="B2042">
    <cfRule type="expression" priority="581" dxfId="0" stopIfTrue="1">
      <formula>AND(ISNUMBER($B2042),ABS($B2042)&gt;'Opening Balance'!$B$16)</formula>
    </cfRule>
    <cfRule type="cellIs" priority="583" operator="greaterThan" dxfId="1">
      <formula>0</formula>
    </cfRule>
    <cfRule type="cellIs" priority="584" operator="lessThan" dxfId="2">
      <formula>0</formula>
    </cfRule>
  </conditionalFormatting>
  <conditionalFormatting sqref="D2042">
    <cfRule type="expression" priority="582" dxfId="0" stopIfTrue="1">
      <formula>AND(ISNUMBER($B2042),ABS($B2042)&gt;'Opening Balance'!$B$16)</formula>
    </cfRule>
  </conditionalFormatting>
  <conditionalFormatting sqref="B2056">
    <cfRule type="expression" priority="585" dxfId="0" stopIfTrue="1">
      <formula>AND(ISNUMBER($B2056),ABS($B2056)&gt;'Opening Balance'!$B$16)</formula>
    </cfRule>
    <cfRule type="cellIs" priority="587" operator="greaterThan" dxfId="1">
      <formula>0</formula>
    </cfRule>
    <cfRule type="cellIs" priority="588" operator="lessThan" dxfId="2">
      <formula>0</formula>
    </cfRule>
  </conditionalFormatting>
  <conditionalFormatting sqref="D2056">
    <cfRule type="expression" priority="586" dxfId="0" stopIfTrue="1">
      <formula>AND(ISNUMBER($B2056),ABS($B2056)&gt;'Opening Balance'!$B$16)</formula>
    </cfRule>
  </conditionalFormatting>
  <conditionalFormatting sqref="B2070">
    <cfRule type="expression" priority="589" dxfId="0" stopIfTrue="1">
      <formula>AND(ISNUMBER($B2070),ABS($B2070)&gt;'Opening Balance'!$B$16)</formula>
    </cfRule>
    <cfRule type="cellIs" priority="591" operator="greaterThan" dxfId="1">
      <formula>0</formula>
    </cfRule>
    <cfRule type="cellIs" priority="592" operator="lessThan" dxfId="2">
      <formula>0</formula>
    </cfRule>
  </conditionalFormatting>
  <conditionalFormatting sqref="D2070">
    <cfRule type="expression" priority="590" dxfId="0" stopIfTrue="1">
      <formula>AND(ISNUMBER($B2070),ABS($B2070)&gt;'Opening Balance'!$B$16)</formula>
    </cfRule>
  </conditionalFormatting>
  <conditionalFormatting sqref="B2084">
    <cfRule type="expression" priority="593" dxfId="0" stopIfTrue="1">
      <formula>AND(ISNUMBER($B2084),ABS($B2084)&gt;'Opening Balance'!$B$16)</formula>
    </cfRule>
    <cfRule type="cellIs" priority="595" operator="greaterThan" dxfId="1">
      <formula>0</formula>
    </cfRule>
    <cfRule type="cellIs" priority="596" operator="lessThan" dxfId="2">
      <formula>0</formula>
    </cfRule>
  </conditionalFormatting>
  <conditionalFormatting sqref="D2084">
    <cfRule type="expression" priority="594" dxfId="0" stopIfTrue="1">
      <formula>AND(ISNUMBER($B2084),ABS($B2084)&gt;'Opening Balance'!$B$16)</formula>
    </cfRule>
  </conditionalFormatting>
  <conditionalFormatting sqref="B2098">
    <cfRule type="expression" priority="597" dxfId="0" stopIfTrue="1">
      <formula>AND(ISNUMBER($B2098),ABS($B2098)&gt;'Opening Balance'!$B$16)</formula>
    </cfRule>
    <cfRule type="cellIs" priority="599" operator="greaterThan" dxfId="1">
      <formula>0</formula>
    </cfRule>
    <cfRule type="cellIs" priority="600" operator="lessThan" dxfId="2">
      <formula>0</formula>
    </cfRule>
  </conditionalFormatting>
  <conditionalFormatting sqref="D2098">
    <cfRule type="expression" priority="598" dxfId="0" stopIfTrue="1">
      <formula>AND(ISNUMBER($B2098),ABS($B2098)&gt;'Opening Balance'!$B$16)</formula>
    </cfRule>
  </conditionalFormatting>
  <conditionalFormatting sqref="B2112">
    <cfRule type="expression" priority="601" dxfId="0" stopIfTrue="1">
      <formula>AND(ISNUMBER($B2112),ABS($B2112)&gt;'Opening Balance'!$B$16)</formula>
    </cfRule>
    <cfRule type="cellIs" priority="603" operator="greaterThan" dxfId="1">
      <formula>0</formula>
    </cfRule>
    <cfRule type="cellIs" priority="604" operator="lessThan" dxfId="2">
      <formula>0</formula>
    </cfRule>
  </conditionalFormatting>
  <conditionalFormatting sqref="D2112">
    <cfRule type="expression" priority="602" dxfId="0" stopIfTrue="1">
      <formula>AND(ISNUMBER($B2112),ABS($B2112)&gt;'Opening Balance'!$B$16)</formula>
    </cfRule>
  </conditionalFormatting>
  <conditionalFormatting sqref="B2126">
    <cfRule type="expression" priority="605" dxfId="0" stopIfTrue="1">
      <formula>AND(ISNUMBER($B2126),ABS($B2126)&gt;'Opening Balance'!$B$16)</formula>
    </cfRule>
    <cfRule type="cellIs" priority="607" operator="greaterThan" dxfId="1">
      <formula>0</formula>
    </cfRule>
    <cfRule type="cellIs" priority="608" operator="lessThan" dxfId="2">
      <formula>0</formula>
    </cfRule>
  </conditionalFormatting>
  <conditionalFormatting sqref="D2126">
    <cfRule type="expression" priority="606" dxfId="0" stopIfTrue="1">
      <formula>AND(ISNUMBER($B2126),ABS($B2126)&gt;'Opening Balance'!$B$16)</formula>
    </cfRule>
  </conditionalFormatting>
  <conditionalFormatting sqref="B2140">
    <cfRule type="expression" priority="609" dxfId="0" stopIfTrue="1">
      <formula>AND(ISNUMBER($B2140),ABS($B2140)&gt;'Opening Balance'!$B$16)</formula>
    </cfRule>
    <cfRule type="cellIs" priority="611" operator="greaterThan" dxfId="1">
      <formula>0</formula>
    </cfRule>
    <cfRule type="cellIs" priority="612" operator="lessThan" dxfId="2">
      <formula>0</formula>
    </cfRule>
  </conditionalFormatting>
  <conditionalFormatting sqref="D2140">
    <cfRule type="expression" priority="610" dxfId="0" stopIfTrue="1">
      <formula>AND(ISNUMBER($B2140),ABS($B2140)&gt;'Opening Balance'!$B$16)</formula>
    </cfRule>
  </conditionalFormatting>
  <conditionalFormatting sqref="B2154">
    <cfRule type="expression" priority="613" dxfId="0" stopIfTrue="1">
      <formula>AND(ISNUMBER($B2154),ABS($B2154)&gt;'Opening Balance'!$B$16)</formula>
    </cfRule>
    <cfRule type="cellIs" priority="615" operator="greaterThan" dxfId="1">
      <formula>0</formula>
    </cfRule>
    <cfRule type="cellIs" priority="616" operator="lessThan" dxfId="2">
      <formula>0</formula>
    </cfRule>
  </conditionalFormatting>
  <conditionalFormatting sqref="D2154">
    <cfRule type="expression" priority="614" dxfId="0" stopIfTrue="1">
      <formula>AND(ISNUMBER($B2154),ABS($B2154)&gt;'Opening Balance'!$B$16)</formula>
    </cfRule>
  </conditionalFormatting>
  <conditionalFormatting sqref="B2168">
    <cfRule type="expression" priority="617" dxfId="0" stopIfTrue="1">
      <formula>AND(ISNUMBER($B2168),ABS($B2168)&gt;'Opening Balance'!$B$16)</formula>
    </cfRule>
    <cfRule type="cellIs" priority="619" operator="greaterThan" dxfId="1">
      <formula>0</formula>
    </cfRule>
    <cfRule type="cellIs" priority="620" operator="lessThan" dxfId="2">
      <formula>0</formula>
    </cfRule>
  </conditionalFormatting>
  <conditionalFormatting sqref="D2168">
    <cfRule type="expression" priority="618" dxfId="0" stopIfTrue="1">
      <formula>AND(ISNUMBER($B2168),ABS($B2168)&gt;'Opening Balance'!$B$16)</formula>
    </cfRule>
  </conditionalFormatting>
  <conditionalFormatting sqref="B2182">
    <cfRule type="expression" priority="621" dxfId="0" stopIfTrue="1">
      <formula>AND(ISNUMBER($B2182),ABS($B2182)&gt;'Opening Balance'!$B$16)</formula>
    </cfRule>
    <cfRule type="cellIs" priority="623" operator="greaterThan" dxfId="1">
      <formula>0</formula>
    </cfRule>
    <cfRule type="cellIs" priority="624" operator="lessThan" dxfId="2">
      <formula>0</formula>
    </cfRule>
  </conditionalFormatting>
  <conditionalFormatting sqref="D2182">
    <cfRule type="expression" priority="622" dxfId="0" stopIfTrue="1">
      <formula>AND(ISNUMBER($B2182),ABS($B2182)&gt;'Opening Balance'!$B$16)</formula>
    </cfRule>
  </conditionalFormatting>
  <conditionalFormatting sqref="B2196">
    <cfRule type="expression" priority="625" dxfId="0" stopIfTrue="1">
      <formula>AND(ISNUMBER($B2196),ABS($B2196)&gt;'Opening Balance'!$B$16)</formula>
    </cfRule>
    <cfRule type="cellIs" priority="627" operator="greaterThan" dxfId="1">
      <formula>0</formula>
    </cfRule>
    <cfRule type="cellIs" priority="628" operator="lessThan" dxfId="2">
      <formula>0</formula>
    </cfRule>
  </conditionalFormatting>
  <conditionalFormatting sqref="D2196">
    <cfRule type="expression" priority="626" dxfId="0" stopIfTrue="1">
      <formula>AND(ISNUMBER($B2196),ABS($B2196)&gt;'Opening Balance'!$B$16)</formula>
    </cfRule>
  </conditionalFormatting>
  <conditionalFormatting sqref="B2210">
    <cfRule type="expression" priority="629" dxfId="0" stopIfTrue="1">
      <formula>AND(ISNUMBER($B2210),ABS($B2210)&gt;'Opening Balance'!$B$16)</formula>
    </cfRule>
    <cfRule type="cellIs" priority="631" operator="greaterThan" dxfId="1">
      <formula>0</formula>
    </cfRule>
    <cfRule type="cellIs" priority="632" operator="lessThan" dxfId="2">
      <formula>0</formula>
    </cfRule>
  </conditionalFormatting>
  <conditionalFormatting sqref="D2210">
    <cfRule type="expression" priority="630" dxfId="0" stopIfTrue="1">
      <formula>AND(ISNUMBER($B2210),ABS($B2210)&gt;'Opening Balance'!$B$16)</formula>
    </cfRule>
  </conditionalFormatting>
  <conditionalFormatting sqref="B2224">
    <cfRule type="expression" priority="633" dxfId="0" stopIfTrue="1">
      <formula>AND(ISNUMBER($B2224),ABS($B2224)&gt;'Opening Balance'!$B$16)</formula>
    </cfRule>
    <cfRule type="cellIs" priority="635" operator="greaterThan" dxfId="1">
      <formula>0</formula>
    </cfRule>
    <cfRule type="cellIs" priority="636" operator="lessThan" dxfId="2">
      <formula>0</formula>
    </cfRule>
  </conditionalFormatting>
  <conditionalFormatting sqref="D2224">
    <cfRule type="expression" priority="634" dxfId="0" stopIfTrue="1">
      <formula>AND(ISNUMBER($B2224),ABS($B2224)&gt;'Opening Balance'!$B$16)</formula>
    </cfRule>
  </conditionalFormatting>
  <conditionalFormatting sqref="B2238">
    <cfRule type="expression" priority="637" dxfId="0" stopIfTrue="1">
      <formula>AND(ISNUMBER($B2238),ABS($B2238)&gt;'Opening Balance'!$B$16)</formula>
    </cfRule>
    <cfRule type="cellIs" priority="639" operator="greaterThan" dxfId="1">
      <formula>0</formula>
    </cfRule>
    <cfRule type="cellIs" priority="640" operator="lessThan" dxfId="2">
      <formula>0</formula>
    </cfRule>
  </conditionalFormatting>
  <conditionalFormatting sqref="D2238">
    <cfRule type="expression" priority="638" dxfId="0" stopIfTrue="1">
      <formula>AND(ISNUMBER($B2238),ABS($B2238)&gt;'Opening Balance'!$B$16)</formula>
    </cfRule>
  </conditionalFormatting>
  <conditionalFormatting sqref="B2252">
    <cfRule type="expression" priority="641" dxfId="0" stopIfTrue="1">
      <formula>AND(ISNUMBER($B2252),ABS($B2252)&gt;'Opening Balance'!$B$16)</formula>
    </cfRule>
    <cfRule type="cellIs" priority="643" operator="greaterThan" dxfId="1">
      <formula>0</formula>
    </cfRule>
    <cfRule type="cellIs" priority="644" operator="lessThan" dxfId="2">
      <formula>0</formula>
    </cfRule>
  </conditionalFormatting>
  <conditionalFormatting sqref="D2252">
    <cfRule type="expression" priority="642" dxfId="0" stopIfTrue="1">
      <formula>AND(ISNUMBER($B2252),ABS($B2252)&gt;'Opening Balance'!$B$16)</formula>
    </cfRule>
  </conditionalFormatting>
  <conditionalFormatting sqref="B2266">
    <cfRule type="expression" priority="645" dxfId="0" stopIfTrue="1">
      <formula>AND(ISNUMBER($B2266),ABS($B2266)&gt;'Opening Balance'!$B$16)</formula>
    </cfRule>
    <cfRule type="cellIs" priority="647" operator="greaterThan" dxfId="1">
      <formula>0</formula>
    </cfRule>
    <cfRule type="cellIs" priority="648" operator="lessThan" dxfId="2">
      <formula>0</formula>
    </cfRule>
  </conditionalFormatting>
  <conditionalFormatting sqref="D2266">
    <cfRule type="expression" priority="646" dxfId="0" stopIfTrue="1">
      <formula>AND(ISNUMBER($B2266),ABS($B2266)&gt;'Opening Balance'!$B$16)</formula>
    </cfRule>
  </conditionalFormatting>
  <conditionalFormatting sqref="B2280">
    <cfRule type="expression" priority="649" dxfId="0" stopIfTrue="1">
      <formula>AND(ISNUMBER($B2280),ABS($B2280)&gt;'Opening Balance'!$B$16)</formula>
    </cfRule>
    <cfRule type="cellIs" priority="651" operator="greaterThan" dxfId="1">
      <formula>0</formula>
    </cfRule>
    <cfRule type="cellIs" priority="652" operator="lessThan" dxfId="2">
      <formula>0</formula>
    </cfRule>
  </conditionalFormatting>
  <conditionalFormatting sqref="D2280">
    <cfRule type="expression" priority="650" dxfId="0" stopIfTrue="1">
      <formula>AND(ISNUMBER($B2280),ABS($B2280)&gt;'Opening Balance'!$B$16)</formula>
    </cfRule>
  </conditionalFormatting>
  <conditionalFormatting sqref="B2294">
    <cfRule type="expression" priority="653" dxfId="0" stopIfTrue="1">
      <formula>AND(ISNUMBER($B2294),ABS($B2294)&gt;'Opening Balance'!$B$16)</formula>
    </cfRule>
    <cfRule type="cellIs" priority="655" operator="greaterThan" dxfId="1">
      <formula>0</formula>
    </cfRule>
    <cfRule type="cellIs" priority="656" operator="lessThan" dxfId="2">
      <formula>0</formula>
    </cfRule>
  </conditionalFormatting>
  <conditionalFormatting sqref="D2294">
    <cfRule type="expression" priority="654" dxfId="0" stopIfTrue="1">
      <formula>AND(ISNUMBER($B2294),ABS($B2294)&gt;'Opening Balance'!$B$16)</formula>
    </cfRule>
  </conditionalFormatting>
  <conditionalFormatting sqref="B2308">
    <cfRule type="expression" priority="657" dxfId="0" stopIfTrue="1">
      <formula>AND(ISNUMBER($B2308),ABS($B2308)&gt;'Opening Balance'!$B$16)</formula>
    </cfRule>
    <cfRule type="cellIs" priority="659" operator="greaterThan" dxfId="1">
      <formula>0</formula>
    </cfRule>
    <cfRule type="cellIs" priority="660" operator="lessThan" dxfId="2">
      <formula>0</formula>
    </cfRule>
  </conditionalFormatting>
  <conditionalFormatting sqref="D2308">
    <cfRule type="expression" priority="658" dxfId="0" stopIfTrue="1">
      <formula>AND(ISNUMBER($B2308),ABS($B2308)&gt;'Opening Balance'!$B$16)</formula>
    </cfRule>
  </conditionalFormatting>
  <conditionalFormatting sqref="B2322">
    <cfRule type="expression" priority="661" dxfId="0" stopIfTrue="1">
      <formula>AND(ISNUMBER($B2322),ABS($B2322)&gt;'Opening Balance'!$B$16)</formula>
    </cfRule>
    <cfRule type="cellIs" priority="663" operator="greaterThan" dxfId="1">
      <formula>0</formula>
    </cfRule>
    <cfRule type="cellIs" priority="664" operator="lessThan" dxfId="2">
      <formula>0</formula>
    </cfRule>
  </conditionalFormatting>
  <conditionalFormatting sqref="D2322">
    <cfRule type="expression" priority="662" dxfId="0" stopIfTrue="1">
      <formula>AND(ISNUMBER($B2322),ABS($B2322)&gt;'Opening Balance'!$B$16)</formula>
    </cfRule>
  </conditionalFormatting>
  <conditionalFormatting sqref="B2336">
    <cfRule type="expression" priority="665" dxfId="0" stopIfTrue="1">
      <formula>AND(ISNUMBER($B2336),ABS($B2336)&gt;'Opening Balance'!$B$16)</formula>
    </cfRule>
    <cfRule type="cellIs" priority="667" operator="greaterThan" dxfId="1">
      <formula>0</formula>
    </cfRule>
    <cfRule type="cellIs" priority="668" operator="lessThan" dxfId="2">
      <formula>0</formula>
    </cfRule>
  </conditionalFormatting>
  <conditionalFormatting sqref="D2336">
    <cfRule type="expression" priority="666" dxfId="0" stopIfTrue="1">
      <formula>AND(ISNUMBER($B2336),ABS($B2336)&gt;'Opening Balance'!$B$16)</formula>
    </cfRule>
  </conditionalFormatting>
  <conditionalFormatting sqref="B2350">
    <cfRule type="expression" priority="669" dxfId="0" stopIfTrue="1">
      <formula>AND(ISNUMBER($B2350),ABS($B2350)&gt;'Opening Balance'!$B$16)</formula>
    </cfRule>
    <cfRule type="cellIs" priority="671" operator="greaterThan" dxfId="1">
      <formula>0</formula>
    </cfRule>
    <cfRule type="cellIs" priority="672" operator="lessThan" dxfId="2">
      <formula>0</formula>
    </cfRule>
  </conditionalFormatting>
  <conditionalFormatting sqref="D2350">
    <cfRule type="expression" priority="670" dxfId="0" stopIfTrue="1">
      <formula>AND(ISNUMBER($B2350),ABS($B2350)&gt;'Opening Balance'!$B$16)</formula>
    </cfRule>
  </conditionalFormatting>
  <conditionalFormatting sqref="B2364">
    <cfRule type="expression" priority="673" dxfId="0" stopIfTrue="1">
      <formula>AND(ISNUMBER($B2364),ABS($B2364)&gt;'Opening Balance'!$B$16)</formula>
    </cfRule>
    <cfRule type="cellIs" priority="675" operator="greaterThan" dxfId="1">
      <formula>0</formula>
    </cfRule>
    <cfRule type="cellIs" priority="676" operator="lessThan" dxfId="2">
      <formula>0</formula>
    </cfRule>
  </conditionalFormatting>
  <conditionalFormatting sqref="D2364">
    <cfRule type="expression" priority="674" dxfId="0" stopIfTrue="1">
      <formula>AND(ISNUMBER($B2364),ABS($B2364)&gt;'Opening Balance'!$B$16)</formula>
    </cfRule>
  </conditionalFormatting>
  <conditionalFormatting sqref="B2378">
    <cfRule type="expression" priority="677" dxfId="0" stopIfTrue="1">
      <formula>AND(ISNUMBER($B2378),ABS($B2378)&gt;'Opening Balance'!$B$16)</formula>
    </cfRule>
    <cfRule type="cellIs" priority="679" operator="greaterThan" dxfId="1">
      <formula>0</formula>
    </cfRule>
    <cfRule type="cellIs" priority="680" operator="lessThan" dxfId="2">
      <formula>0</formula>
    </cfRule>
  </conditionalFormatting>
  <conditionalFormatting sqref="D2378">
    <cfRule type="expression" priority="678" dxfId="0" stopIfTrue="1">
      <formula>AND(ISNUMBER($B2378),ABS($B2378)&gt;'Opening Balance'!$B$16)</formula>
    </cfRule>
  </conditionalFormatting>
  <conditionalFormatting sqref="B2392">
    <cfRule type="expression" priority="681" dxfId="0" stopIfTrue="1">
      <formula>AND(ISNUMBER($B2392),ABS($B2392)&gt;'Opening Balance'!$B$16)</formula>
    </cfRule>
    <cfRule type="cellIs" priority="683" operator="greaterThan" dxfId="1">
      <formula>0</formula>
    </cfRule>
    <cfRule type="cellIs" priority="684" operator="lessThan" dxfId="2">
      <formula>0</formula>
    </cfRule>
  </conditionalFormatting>
  <conditionalFormatting sqref="D2392">
    <cfRule type="expression" priority="682" dxfId="0" stopIfTrue="1">
      <formula>AND(ISNUMBER($B2392),ABS($B2392)&gt;'Opening Balance'!$B$16)</formula>
    </cfRule>
  </conditionalFormatting>
  <conditionalFormatting sqref="B2406">
    <cfRule type="expression" priority="685" dxfId="0" stopIfTrue="1">
      <formula>AND(ISNUMBER($B2406),ABS($B2406)&gt;'Opening Balance'!$B$16)</formula>
    </cfRule>
    <cfRule type="cellIs" priority="687" operator="greaterThan" dxfId="1">
      <formula>0</formula>
    </cfRule>
    <cfRule type="cellIs" priority="688" operator="lessThan" dxfId="2">
      <formula>0</formula>
    </cfRule>
  </conditionalFormatting>
  <conditionalFormatting sqref="D2406">
    <cfRule type="expression" priority="686" dxfId="0" stopIfTrue="1">
      <formula>AND(ISNUMBER($B2406),ABS($B2406)&gt;'Opening Balance'!$B$16)</formula>
    </cfRule>
  </conditionalFormatting>
  <conditionalFormatting sqref="B2420">
    <cfRule type="expression" priority="689" dxfId="0" stopIfTrue="1">
      <formula>AND(ISNUMBER($B2420),ABS($B2420)&gt;'Opening Balance'!$B$16)</formula>
    </cfRule>
    <cfRule type="cellIs" priority="691" operator="greaterThan" dxfId="1">
      <formula>0</formula>
    </cfRule>
    <cfRule type="cellIs" priority="692" operator="lessThan" dxfId="2">
      <formula>0</formula>
    </cfRule>
  </conditionalFormatting>
  <conditionalFormatting sqref="D2420">
    <cfRule type="expression" priority="690" dxfId="0" stopIfTrue="1">
      <formula>AND(ISNUMBER($B2420),ABS($B2420)&gt;'Opening Balance'!$B$16)</formula>
    </cfRule>
  </conditionalFormatting>
  <conditionalFormatting sqref="B2434">
    <cfRule type="expression" priority="693" dxfId="0" stopIfTrue="1">
      <formula>AND(ISNUMBER($B2434),ABS($B2434)&gt;'Opening Balance'!$B$16)</formula>
    </cfRule>
    <cfRule type="cellIs" priority="695" operator="greaterThan" dxfId="1">
      <formula>0</formula>
    </cfRule>
    <cfRule type="cellIs" priority="696" operator="lessThan" dxfId="2">
      <formula>0</formula>
    </cfRule>
  </conditionalFormatting>
  <conditionalFormatting sqref="D2434">
    <cfRule type="expression" priority="694" dxfId="0" stopIfTrue="1">
      <formula>AND(ISNUMBER($B2434),ABS($B2434)&gt;'Opening Balance'!$B$16)</formula>
    </cfRule>
  </conditionalFormatting>
  <conditionalFormatting sqref="B2448">
    <cfRule type="expression" priority="697" dxfId="0" stopIfTrue="1">
      <formula>AND(ISNUMBER($B2448),ABS($B2448)&gt;'Opening Balance'!$B$16)</formula>
    </cfRule>
    <cfRule type="cellIs" priority="699" operator="greaterThan" dxfId="1">
      <formula>0</formula>
    </cfRule>
    <cfRule type="cellIs" priority="700" operator="lessThan" dxfId="2">
      <formula>0</formula>
    </cfRule>
  </conditionalFormatting>
  <conditionalFormatting sqref="D2448">
    <cfRule type="expression" priority="698" dxfId="0" stopIfTrue="1">
      <formula>AND(ISNUMBER($B2448),ABS($B2448)&gt;'Opening Balance'!$B$16)</formula>
    </cfRule>
  </conditionalFormatting>
  <conditionalFormatting sqref="B2462">
    <cfRule type="expression" priority="701" dxfId="0" stopIfTrue="1">
      <formula>AND(ISNUMBER($B2462),ABS($B2462)&gt;'Opening Balance'!$B$16)</formula>
    </cfRule>
    <cfRule type="cellIs" priority="703" operator="greaterThan" dxfId="1">
      <formula>0</formula>
    </cfRule>
    <cfRule type="cellIs" priority="704" operator="lessThan" dxfId="2">
      <formula>0</formula>
    </cfRule>
  </conditionalFormatting>
  <conditionalFormatting sqref="D2462">
    <cfRule type="expression" priority="702" dxfId="0" stopIfTrue="1">
      <formula>AND(ISNUMBER($B2462),ABS($B2462)&gt;'Opening Balance'!$B$16)</formula>
    </cfRule>
  </conditionalFormatting>
  <conditionalFormatting sqref="B2476">
    <cfRule type="expression" priority="705" dxfId="0" stopIfTrue="1">
      <formula>AND(ISNUMBER($B2476),ABS($B2476)&gt;'Opening Balance'!$B$16)</formula>
    </cfRule>
    <cfRule type="cellIs" priority="707" operator="greaterThan" dxfId="1">
      <formula>0</formula>
    </cfRule>
    <cfRule type="cellIs" priority="708" operator="lessThan" dxfId="2">
      <formula>0</formula>
    </cfRule>
  </conditionalFormatting>
  <conditionalFormatting sqref="D2476">
    <cfRule type="expression" priority="706" dxfId="0" stopIfTrue="1">
      <formula>AND(ISNUMBER($B2476),ABS($B2476)&gt;'Opening Balance'!$B$16)</formula>
    </cfRule>
  </conditionalFormatting>
  <conditionalFormatting sqref="B2490">
    <cfRule type="expression" priority="709" dxfId="0" stopIfTrue="1">
      <formula>AND(ISNUMBER($B2490),ABS($B2490)&gt;'Opening Balance'!$B$16)</formula>
    </cfRule>
    <cfRule type="cellIs" priority="711" operator="greaterThan" dxfId="1">
      <formula>0</formula>
    </cfRule>
    <cfRule type="cellIs" priority="712" operator="lessThan" dxfId="2">
      <formula>0</formula>
    </cfRule>
  </conditionalFormatting>
  <conditionalFormatting sqref="D2490">
    <cfRule type="expression" priority="710" dxfId="0" stopIfTrue="1">
      <formula>AND(ISNUMBER($B2490),ABS($B2490)&gt;'Opening Balance'!$B$16)</formula>
    </cfRule>
  </conditionalFormatting>
  <conditionalFormatting sqref="B2504">
    <cfRule type="expression" priority="713" dxfId="0" stopIfTrue="1">
      <formula>AND(ISNUMBER($B2504),ABS($B2504)&gt;'Opening Balance'!$B$16)</formula>
    </cfRule>
    <cfRule type="cellIs" priority="715" operator="greaterThan" dxfId="1">
      <formula>0</formula>
    </cfRule>
    <cfRule type="cellIs" priority="716" operator="lessThan" dxfId="2">
      <formula>0</formula>
    </cfRule>
  </conditionalFormatting>
  <conditionalFormatting sqref="D2504">
    <cfRule type="expression" priority="714" dxfId="0" stopIfTrue="1">
      <formula>AND(ISNUMBER($B2504),ABS($B2504)&gt;'Opening Balance'!$B$16)</formula>
    </cfRule>
  </conditionalFormatting>
  <conditionalFormatting sqref="B2518">
    <cfRule type="expression" priority="717" dxfId="0" stopIfTrue="1">
      <formula>AND(ISNUMBER($B2518),ABS($B2518)&gt;'Opening Balance'!$B$16)</formula>
    </cfRule>
    <cfRule type="cellIs" priority="719" operator="greaterThan" dxfId="1">
      <formula>0</formula>
    </cfRule>
    <cfRule type="cellIs" priority="720" operator="lessThan" dxfId="2">
      <formula>0</formula>
    </cfRule>
  </conditionalFormatting>
  <conditionalFormatting sqref="D2518">
    <cfRule type="expression" priority="718" dxfId="0" stopIfTrue="1">
      <formula>AND(ISNUMBER($B2518),ABS($B2518)&gt;'Opening Balance'!$B$16)</formula>
    </cfRule>
  </conditionalFormatting>
  <conditionalFormatting sqref="B2532">
    <cfRule type="expression" priority="721" dxfId="0" stopIfTrue="1">
      <formula>AND(ISNUMBER($B2532),ABS($B2532)&gt;'Opening Balance'!$B$16)</formula>
    </cfRule>
    <cfRule type="cellIs" priority="723" operator="greaterThan" dxfId="1">
      <formula>0</formula>
    </cfRule>
    <cfRule type="cellIs" priority="724" operator="lessThan" dxfId="2">
      <formula>0</formula>
    </cfRule>
  </conditionalFormatting>
  <conditionalFormatting sqref="D2532">
    <cfRule type="expression" priority="722" dxfId="0" stopIfTrue="1">
      <formula>AND(ISNUMBER($B2532),ABS($B2532)&gt;'Opening Balance'!$B$16)</formula>
    </cfRule>
  </conditionalFormatting>
  <conditionalFormatting sqref="B2546">
    <cfRule type="expression" priority="725" dxfId="0" stopIfTrue="1">
      <formula>AND(ISNUMBER($B2546),ABS($B2546)&gt;'Opening Balance'!$B$16)</formula>
    </cfRule>
    <cfRule type="cellIs" priority="727" operator="greaterThan" dxfId="1">
      <formula>0</formula>
    </cfRule>
    <cfRule type="cellIs" priority="728" operator="lessThan" dxfId="2">
      <formula>0</formula>
    </cfRule>
  </conditionalFormatting>
  <conditionalFormatting sqref="D2546">
    <cfRule type="expression" priority="726" dxfId="0" stopIfTrue="1">
      <formula>AND(ISNUMBER($B2546),ABS($B2546)&gt;'Opening Balance'!$B$16)</formula>
    </cfRule>
  </conditionalFormatting>
  <conditionalFormatting sqref="B2560">
    <cfRule type="expression" priority="729" dxfId="0" stopIfTrue="1">
      <formula>AND(ISNUMBER($B2560),ABS($B2560)&gt;'Opening Balance'!$B$16)</formula>
    </cfRule>
    <cfRule type="cellIs" priority="731" operator="greaterThan" dxfId="1">
      <formula>0</formula>
    </cfRule>
    <cfRule type="cellIs" priority="732" operator="lessThan" dxfId="2">
      <formula>0</formula>
    </cfRule>
  </conditionalFormatting>
  <conditionalFormatting sqref="D2560">
    <cfRule type="expression" priority="730" dxfId="0" stopIfTrue="1">
      <formula>AND(ISNUMBER($B2560),ABS($B2560)&gt;'Opening Balance'!$B$16)</formula>
    </cfRule>
  </conditionalFormatting>
  <conditionalFormatting sqref="B2574">
    <cfRule type="expression" priority="733" dxfId="0" stopIfTrue="1">
      <formula>AND(ISNUMBER($B2574),ABS($B2574)&gt;'Opening Balance'!$B$16)</formula>
    </cfRule>
    <cfRule type="cellIs" priority="735" operator="greaterThan" dxfId="1">
      <formula>0</formula>
    </cfRule>
    <cfRule type="cellIs" priority="736" operator="lessThan" dxfId="2">
      <formula>0</formula>
    </cfRule>
  </conditionalFormatting>
  <conditionalFormatting sqref="D2574">
    <cfRule type="expression" priority="734" dxfId="0" stopIfTrue="1">
      <formula>AND(ISNUMBER($B2574),ABS($B2574)&gt;'Opening Balance'!$B$16)</formula>
    </cfRule>
  </conditionalFormatting>
  <conditionalFormatting sqref="B2588">
    <cfRule type="expression" priority="737" dxfId="0" stopIfTrue="1">
      <formula>AND(ISNUMBER($B2588),ABS($B2588)&gt;'Opening Balance'!$B$16)</formula>
    </cfRule>
    <cfRule type="cellIs" priority="739" operator="greaterThan" dxfId="1">
      <formula>0</formula>
    </cfRule>
    <cfRule type="cellIs" priority="740" operator="lessThan" dxfId="2">
      <formula>0</formula>
    </cfRule>
  </conditionalFormatting>
  <conditionalFormatting sqref="D2588">
    <cfRule type="expression" priority="738" dxfId="0" stopIfTrue="1">
      <formula>AND(ISNUMBER($B2588),ABS($B2588)&gt;'Opening Balance'!$B$16)</formula>
    </cfRule>
  </conditionalFormatting>
  <conditionalFormatting sqref="B2602">
    <cfRule type="expression" priority="741" dxfId="0" stopIfTrue="1">
      <formula>AND(ISNUMBER($B2602),ABS($B2602)&gt;'Opening Balance'!$B$16)</formula>
    </cfRule>
    <cfRule type="cellIs" priority="743" operator="greaterThan" dxfId="1">
      <formula>0</formula>
    </cfRule>
    <cfRule type="cellIs" priority="744" operator="lessThan" dxfId="2">
      <formula>0</formula>
    </cfRule>
  </conditionalFormatting>
  <conditionalFormatting sqref="D2602">
    <cfRule type="expression" priority="742" dxfId="0" stopIfTrue="1">
      <formula>AND(ISNUMBER($B2602),ABS($B2602)&gt;'Opening Balance'!$B$16)</formula>
    </cfRule>
  </conditionalFormatting>
  <conditionalFormatting sqref="B2616">
    <cfRule type="expression" priority="745" dxfId="0" stopIfTrue="1">
      <formula>AND(ISNUMBER($B2616),ABS($B2616)&gt;'Opening Balance'!$B$16)</formula>
    </cfRule>
    <cfRule type="cellIs" priority="747" operator="greaterThan" dxfId="1">
      <formula>0</formula>
    </cfRule>
    <cfRule type="cellIs" priority="748" operator="lessThan" dxfId="2">
      <formula>0</formula>
    </cfRule>
  </conditionalFormatting>
  <conditionalFormatting sqref="D2616">
    <cfRule type="expression" priority="746" dxfId="0" stopIfTrue="1">
      <formula>AND(ISNUMBER($B2616),ABS($B2616)&gt;'Opening Balance'!$B$16)</formula>
    </cfRule>
  </conditionalFormatting>
  <conditionalFormatting sqref="B2630">
    <cfRule type="expression" priority="749" dxfId="0" stopIfTrue="1">
      <formula>AND(ISNUMBER($B2630),ABS($B2630)&gt;'Opening Balance'!$B$16)</formula>
    </cfRule>
    <cfRule type="cellIs" priority="751" operator="greaterThan" dxfId="1">
      <formula>0</formula>
    </cfRule>
    <cfRule type="cellIs" priority="752" operator="lessThan" dxfId="2">
      <formula>0</formula>
    </cfRule>
  </conditionalFormatting>
  <conditionalFormatting sqref="D2630">
    <cfRule type="expression" priority="750" dxfId="0" stopIfTrue="1">
      <formula>AND(ISNUMBER($B2630),ABS($B2630)&gt;'Opening Balance'!$B$16)</formula>
    </cfRule>
  </conditionalFormatting>
  <conditionalFormatting sqref="B2644">
    <cfRule type="expression" priority="753" dxfId="0" stopIfTrue="1">
      <formula>AND(ISNUMBER($B2644),ABS($B2644)&gt;'Opening Balance'!$B$16)</formula>
    </cfRule>
    <cfRule type="cellIs" priority="755" operator="greaterThan" dxfId="1">
      <formula>0</formula>
    </cfRule>
    <cfRule type="cellIs" priority="756" operator="lessThan" dxfId="2">
      <formula>0</formula>
    </cfRule>
  </conditionalFormatting>
  <conditionalFormatting sqref="D2644">
    <cfRule type="expression" priority="754" dxfId="0" stopIfTrue="1">
      <formula>AND(ISNUMBER($B2644),ABS($B2644)&gt;'Opening Balance'!$B$16)</formula>
    </cfRule>
  </conditionalFormatting>
  <conditionalFormatting sqref="B2658">
    <cfRule type="expression" priority="757" dxfId="0" stopIfTrue="1">
      <formula>AND(ISNUMBER($B2658),ABS($B2658)&gt;'Opening Balance'!$B$16)</formula>
    </cfRule>
    <cfRule type="cellIs" priority="759" operator="greaterThan" dxfId="1">
      <formula>0</formula>
    </cfRule>
    <cfRule type="cellIs" priority="760" operator="lessThan" dxfId="2">
      <formula>0</formula>
    </cfRule>
  </conditionalFormatting>
  <conditionalFormatting sqref="D2658">
    <cfRule type="expression" priority="758" dxfId="0" stopIfTrue="1">
      <formula>AND(ISNUMBER($B2658),ABS($B2658)&gt;'Opening Balance'!$B$16)</formula>
    </cfRule>
  </conditionalFormatting>
  <conditionalFormatting sqref="B2672">
    <cfRule type="expression" priority="761" dxfId="0" stopIfTrue="1">
      <formula>AND(ISNUMBER($B2672),ABS($B2672)&gt;'Opening Balance'!$B$16)</formula>
    </cfRule>
    <cfRule type="cellIs" priority="763" operator="greaterThan" dxfId="1">
      <formula>0</formula>
    </cfRule>
    <cfRule type="cellIs" priority="764" operator="lessThan" dxfId="2">
      <formula>0</formula>
    </cfRule>
  </conditionalFormatting>
  <conditionalFormatting sqref="D2672">
    <cfRule type="expression" priority="762" dxfId="0" stopIfTrue="1">
      <formula>AND(ISNUMBER($B2672),ABS($B2672)&gt;'Opening Balance'!$B$16)</formula>
    </cfRule>
  </conditionalFormatting>
  <conditionalFormatting sqref="B2686">
    <cfRule type="expression" priority="765" dxfId="0" stopIfTrue="1">
      <formula>AND(ISNUMBER($B2686),ABS($B2686)&gt;'Opening Balance'!$B$16)</formula>
    </cfRule>
    <cfRule type="cellIs" priority="767" operator="greaterThan" dxfId="1">
      <formula>0</formula>
    </cfRule>
    <cfRule type="cellIs" priority="768" operator="lessThan" dxfId="2">
      <formula>0</formula>
    </cfRule>
  </conditionalFormatting>
  <conditionalFormatting sqref="D2686">
    <cfRule type="expression" priority="766" dxfId="0" stopIfTrue="1">
      <formula>AND(ISNUMBER($B2686),ABS($B2686)&gt;'Opening Balance'!$B$16)</formula>
    </cfRule>
  </conditionalFormatting>
  <conditionalFormatting sqref="B2700">
    <cfRule type="expression" priority="769" dxfId="0" stopIfTrue="1">
      <formula>AND(ISNUMBER($B2700),ABS($B2700)&gt;'Opening Balance'!$B$16)</formula>
    </cfRule>
    <cfRule type="cellIs" priority="771" operator="greaterThan" dxfId="1">
      <formula>0</formula>
    </cfRule>
    <cfRule type="cellIs" priority="772" operator="lessThan" dxfId="2">
      <formula>0</formula>
    </cfRule>
  </conditionalFormatting>
  <conditionalFormatting sqref="D2700">
    <cfRule type="expression" priority="770" dxfId="0" stopIfTrue="1">
      <formula>AND(ISNUMBER($B2700),ABS($B2700)&gt;'Opening Balance'!$B$16)</formula>
    </cfRule>
  </conditionalFormatting>
  <conditionalFormatting sqref="B2714">
    <cfRule type="expression" priority="773" dxfId="0" stopIfTrue="1">
      <formula>AND(ISNUMBER($B2714),ABS($B2714)&gt;'Opening Balance'!$B$16)</formula>
    </cfRule>
    <cfRule type="cellIs" priority="775" operator="greaterThan" dxfId="1">
      <formula>0</formula>
    </cfRule>
    <cfRule type="cellIs" priority="776" operator="lessThan" dxfId="2">
      <formula>0</formula>
    </cfRule>
  </conditionalFormatting>
  <conditionalFormatting sqref="D2714">
    <cfRule type="expression" priority="774" dxfId="0" stopIfTrue="1">
      <formula>AND(ISNUMBER($B2714),ABS($B2714)&gt;'Opening Balance'!$B$16)</formula>
    </cfRule>
  </conditionalFormatting>
  <conditionalFormatting sqref="B2728">
    <cfRule type="expression" priority="777" dxfId="0" stopIfTrue="1">
      <formula>AND(ISNUMBER($B2728),ABS($B2728)&gt;'Opening Balance'!$B$16)</formula>
    </cfRule>
    <cfRule type="cellIs" priority="779" operator="greaterThan" dxfId="1">
      <formula>0</formula>
    </cfRule>
    <cfRule type="cellIs" priority="780" operator="lessThan" dxfId="2">
      <formula>0</formula>
    </cfRule>
  </conditionalFormatting>
  <conditionalFormatting sqref="D2728">
    <cfRule type="expression" priority="778" dxfId="0" stopIfTrue="1">
      <formula>AND(ISNUMBER($B2728),ABS($B2728)&gt;'Opening Balance'!$B$16)</formula>
    </cfRule>
  </conditionalFormatting>
  <conditionalFormatting sqref="B2742">
    <cfRule type="expression" priority="781" dxfId="0" stopIfTrue="1">
      <formula>AND(ISNUMBER($B2742),ABS($B2742)&gt;'Opening Balance'!$B$16)</formula>
    </cfRule>
    <cfRule type="cellIs" priority="783" operator="greaterThan" dxfId="1">
      <formula>0</formula>
    </cfRule>
    <cfRule type="cellIs" priority="784" operator="lessThan" dxfId="2">
      <formula>0</formula>
    </cfRule>
  </conditionalFormatting>
  <conditionalFormatting sqref="D2742">
    <cfRule type="expression" priority="782" dxfId="0" stopIfTrue="1">
      <formula>AND(ISNUMBER($B2742),ABS($B2742)&gt;'Opening Balance'!$B$16)</formula>
    </cfRule>
  </conditionalFormatting>
  <conditionalFormatting sqref="B2756">
    <cfRule type="expression" priority="785" dxfId="0" stopIfTrue="1">
      <formula>AND(ISNUMBER($B2756),ABS($B2756)&gt;'Opening Balance'!$B$16)</formula>
    </cfRule>
    <cfRule type="cellIs" priority="787" operator="greaterThan" dxfId="1">
      <formula>0</formula>
    </cfRule>
    <cfRule type="cellIs" priority="788" operator="lessThan" dxfId="2">
      <formula>0</formula>
    </cfRule>
  </conditionalFormatting>
  <conditionalFormatting sqref="D2756">
    <cfRule type="expression" priority="786" dxfId="0" stopIfTrue="1">
      <formula>AND(ISNUMBER($B2756),ABS($B2756)&gt;'Opening Balance'!$B$16)</formula>
    </cfRule>
  </conditionalFormatting>
  <conditionalFormatting sqref="B2770">
    <cfRule type="expression" priority="789" dxfId="0" stopIfTrue="1">
      <formula>AND(ISNUMBER($B2770),ABS($B2770)&gt;'Opening Balance'!$B$16)</formula>
    </cfRule>
    <cfRule type="cellIs" priority="791" operator="greaterThan" dxfId="1">
      <formula>0</formula>
    </cfRule>
    <cfRule type="cellIs" priority="792" operator="lessThan" dxfId="2">
      <formula>0</formula>
    </cfRule>
  </conditionalFormatting>
  <conditionalFormatting sqref="D2770">
    <cfRule type="expression" priority="790" dxfId="0" stopIfTrue="1">
      <formula>AND(ISNUMBER($B2770),ABS($B2770)&gt;'Opening Balance'!$B$16)</formula>
    </cfRule>
  </conditionalFormatting>
  <conditionalFormatting sqref="B2784">
    <cfRule type="expression" priority="793" dxfId="0" stopIfTrue="1">
      <formula>AND(ISNUMBER($B2784),ABS($B2784)&gt;'Opening Balance'!$B$16)</formula>
    </cfRule>
    <cfRule type="cellIs" priority="795" operator="greaterThan" dxfId="1">
      <formula>0</formula>
    </cfRule>
    <cfRule type="cellIs" priority="796" operator="lessThan" dxfId="2">
      <formula>0</formula>
    </cfRule>
  </conditionalFormatting>
  <conditionalFormatting sqref="D2784">
    <cfRule type="expression" priority="794" dxfId="0" stopIfTrue="1">
      <formula>AND(ISNUMBER($B2784),ABS($B2784)&gt;'Opening Balance'!$B$16)</formula>
    </cfRule>
  </conditionalFormatting>
  <conditionalFormatting sqref="B2798">
    <cfRule type="expression" priority="797" dxfId="0" stopIfTrue="1">
      <formula>AND(ISNUMBER($B2798),ABS($B2798)&gt;'Opening Balance'!$B$16)</formula>
    </cfRule>
    <cfRule type="cellIs" priority="799" operator="greaterThan" dxfId="1">
      <formula>0</formula>
    </cfRule>
    <cfRule type="cellIs" priority="800" operator="lessThan" dxfId="2">
      <formula>0</formula>
    </cfRule>
  </conditionalFormatting>
  <conditionalFormatting sqref="D2798">
    <cfRule type="expression" priority="798" dxfId="0" stopIfTrue="1">
      <formula>AND(ISNUMBER($B2798),ABS($B2798)&gt;'Opening Balance'!$B$16)</formula>
    </cfRule>
  </conditionalFormatting>
  <conditionalFormatting sqref="B2812">
    <cfRule type="expression" priority="801" dxfId="0" stopIfTrue="1">
      <formula>AND(ISNUMBER($B2812),ABS($B2812)&gt;'Opening Balance'!$B$16)</formula>
    </cfRule>
    <cfRule type="cellIs" priority="803" operator="greaterThan" dxfId="1">
      <formula>0</formula>
    </cfRule>
    <cfRule type="cellIs" priority="804" operator="lessThan" dxfId="2">
      <formula>0</formula>
    </cfRule>
  </conditionalFormatting>
  <conditionalFormatting sqref="D2812">
    <cfRule type="expression" priority="802" dxfId="0" stopIfTrue="1">
      <formula>AND(ISNUMBER($B2812),ABS($B2812)&gt;'Opening Balance'!$B$16)</formula>
    </cfRule>
  </conditionalFormatting>
  <conditionalFormatting sqref="B2826">
    <cfRule type="expression" priority="805" dxfId="0" stopIfTrue="1">
      <formula>AND(ISNUMBER($B2826),ABS($B2826)&gt;'Opening Balance'!$B$16)</formula>
    </cfRule>
    <cfRule type="cellIs" priority="807" operator="greaterThan" dxfId="1">
      <formula>0</formula>
    </cfRule>
    <cfRule type="cellIs" priority="808" operator="lessThan" dxfId="2">
      <formula>0</formula>
    </cfRule>
  </conditionalFormatting>
  <conditionalFormatting sqref="D2826">
    <cfRule type="expression" priority="806" dxfId="0" stopIfTrue="1">
      <formula>AND(ISNUMBER($B2826),ABS($B2826)&gt;'Opening Balance'!$B$16)</formula>
    </cfRule>
  </conditionalFormatting>
  <conditionalFormatting sqref="B2840">
    <cfRule type="expression" priority="809" dxfId="0" stopIfTrue="1">
      <formula>AND(ISNUMBER($B2840),ABS($B2840)&gt;'Opening Balance'!$B$16)</formula>
    </cfRule>
    <cfRule type="cellIs" priority="811" operator="greaterThan" dxfId="1">
      <formula>0</formula>
    </cfRule>
    <cfRule type="cellIs" priority="812" operator="lessThan" dxfId="2">
      <formula>0</formula>
    </cfRule>
  </conditionalFormatting>
  <conditionalFormatting sqref="D2840">
    <cfRule type="expression" priority="810" dxfId="0" stopIfTrue="1">
      <formula>AND(ISNUMBER($B2840),ABS($B2840)&gt;'Opening Balance'!$B$16)</formula>
    </cfRule>
  </conditionalFormatting>
  <conditionalFormatting sqref="B2854">
    <cfRule type="expression" priority="813" dxfId="0" stopIfTrue="1">
      <formula>AND(ISNUMBER($B2854),ABS($B2854)&gt;'Opening Balance'!$B$16)</formula>
    </cfRule>
    <cfRule type="cellIs" priority="815" operator="greaterThan" dxfId="1">
      <formula>0</formula>
    </cfRule>
    <cfRule type="cellIs" priority="816" operator="lessThan" dxfId="2">
      <formula>0</formula>
    </cfRule>
  </conditionalFormatting>
  <conditionalFormatting sqref="D2854">
    <cfRule type="expression" priority="814" dxfId="0" stopIfTrue="1">
      <formula>AND(ISNUMBER($B2854),ABS($B2854)&gt;'Opening Balance'!$B$16)</formula>
    </cfRule>
  </conditionalFormatting>
  <conditionalFormatting sqref="B2868">
    <cfRule type="expression" priority="817" dxfId="0" stopIfTrue="1">
      <formula>AND(ISNUMBER($B2868),ABS($B2868)&gt;'Opening Balance'!$B$16)</formula>
    </cfRule>
    <cfRule type="cellIs" priority="819" operator="greaterThan" dxfId="1">
      <formula>0</formula>
    </cfRule>
    <cfRule type="cellIs" priority="820" operator="lessThan" dxfId="2">
      <formula>0</formula>
    </cfRule>
  </conditionalFormatting>
  <conditionalFormatting sqref="D2868">
    <cfRule type="expression" priority="818" dxfId="0" stopIfTrue="1">
      <formula>AND(ISNUMBER($B2868),ABS($B2868)&gt;'Opening Balance'!$B$16)</formula>
    </cfRule>
  </conditionalFormatting>
  <conditionalFormatting sqref="B2882">
    <cfRule type="expression" priority="821" dxfId="0" stopIfTrue="1">
      <formula>AND(ISNUMBER($B2882),ABS($B2882)&gt;'Opening Balance'!$B$16)</formula>
    </cfRule>
    <cfRule type="cellIs" priority="823" operator="greaterThan" dxfId="1">
      <formula>0</formula>
    </cfRule>
    <cfRule type="cellIs" priority="824" operator="lessThan" dxfId="2">
      <formula>0</formula>
    </cfRule>
  </conditionalFormatting>
  <conditionalFormatting sqref="D2882">
    <cfRule type="expression" priority="822" dxfId="0" stopIfTrue="1">
      <formula>AND(ISNUMBER($B2882),ABS($B2882)&gt;'Opening Balance'!$B$16)</formula>
    </cfRule>
  </conditionalFormatting>
  <conditionalFormatting sqref="B2896">
    <cfRule type="expression" priority="825" dxfId="0" stopIfTrue="1">
      <formula>AND(ISNUMBER($B2896),ABS($B2896)&gt;'Opening Balance'!$B$16)</formula>
    </cfRule>
    <cfRule type="cellIs" priority="827" operator="greaterThan" dxfId="1">
      <formula>0</formula>
    </cfRule>
    <cfRule type="cellIs" priority="828" operator="lessThan" dxfId="2">
      <formula>0</formula>
    </cfRule>
  </conditionalFormatting>
  <conditionalFormatting sqref="D2896">
    <cfRule type="expression" priority="826" dxfId="0" stopIfTrue="1">
      <formula>AND(ISNUMBER($B2896),ABS($B2896)&gt;'Opening Balance'!$B$16)</formula>
    </cfRule>
  </conditionalFormatting>
  <conditionalFormatting sqref="B2910">
    <cfRule type="expression" priority="829" dxfId="0" stopIfTrue="1">
      <formula>AND(ISNUMBER($B2910),ABS($B2910)&gt;'Opening Balance'!$B$16)</formula>
    </cfRule>
    <cfRule type="cellIs" priority="831" operator="greaterThan" dxfId="1">
      <formula>0</formula>
    </cfRule>
    <cfRule type="cellIs" priority="832" operator="lessThan" dxfId="2">
      <formula>0</formula>
    </cfRule>
  </conditionalFormatting>
  <conditionalFormatting sqref="D2910">
    <cfRule type="expression" priority="830" dxfId="0" stopIfTrue="1">
      <formula>AND(ISNUMBER($B2910),ABS($B2910)&gt;'Opening Balance'!$B$16)</formula>
    </cfRule>
  </conditionalFormatting>
  <conditionalFormatting sqref="B2924">
    <cfRule type="expression" priority="833" dxfId="0" stopIfTrue="1">
      <formula>AND(ISNUMBER($B2924),ABS($B2924)&gt;'Opening Balance'!$B$16)</formula>
    </cfRule>
    <cfRule type="cellIs" priority="835" operator="greaterThan" dxfId="1">
      <formula>0</formula>
    </cfRule>
    <cfRule type="cellIs" priority="836" operator="lessThan" dxfId="2">
      <formula>0</formula>
    </cfRule>
  </conditionalFormatting>
  <conditionalFormatting sqref="D2924">
    <cfRule type="expression" priority="834" dxfId="0" stopIfTrue="1">
      <formula>AND(ISNUMBER($B2924),ABS($B2924)&gt;'Opening Balance'!$B$16)</formula>
    </cfRule>
  </conditionalFormatting>
  <conditionalFormatting sqref="B2938">
    <cfRule type="expression" priority="837" dxfId="0" stopIfTrue="1">
      <formula>AND(ISNUMBER($B2938),ABS($B2938)&gt;'Opening Balance'!$B$16)</formula>
    </cfRule>
    <cfRule type="cellIs" priority="839" operator="greaterThan" dxfId="1">
      <formula>0</formula>
    </cfRule>
    <cfRule type="cellIs" priority="840" operator="lessThan" dxfId="2">
      <formula>0</formula>
    </cfRule>
  </conditionalFormatting>
  <conditionalFormatting sqref="D2938">
    <cfRule type="expression" priority="838" dxfId="0" stopIfTrue="1">
      <formula>AND(ISNUMBER($B2938),ABS($B2938)&gt;'Opening Balance'!$B$16)</formula>
    </cfRule>
  </conditionalFormatting>
  <conditionalFormatting sqref="B2952">
    <cfRule type="expression" priority="841" dxfId="0" stopIfTrue="1">
      <formula>AND(ISNUMBER($B2952),ABS($B2952)&gt;'Opening Balance'!$B$16)</formula>
    </cfRule>
    <cfRule type="cellIs" priority="843" operator="greaterThan" dxfId="1">
      <formula>0</formula>
    </cfRule>
    <cfRule type="cellIs" priority="844" operator="lessThan" dxfId="2">
      <formula>0</formula>
    </cfRule>
  </conditionalFormatting>
  <conditionalFormatting sqref="D2952">
    <cfRule type="expression" priority="842" dxfId="0" stopIfTrue="1">
      <formula>AND(ISNUMBER($B2952),ABS($B2952)&gt;'Opening Balance'!$B$16)</formula>
    </cfRule>
  </conditionalFormatting>
  <conditionalFormatting sqref="B2966">
    <cfRule type="expression" priority="845" dxfId="0" stopIfTrue="1">
      <formula>AND(ISNUMBER($B2966),ABS($B2966)&gt;'Opening Balance'!$B$16)</formula>
    </cfRule>
    <cfRule type="cellIs" priority="847" operator="greaterThan" dxfId="1">
      <formula>0</formula>
    </cfRule>
    <cfRule type="cellIs" priority="848" operator="lessThan" dxfId="2">
      <formula>0</formula>
    </cfRule>
  </conditionalFormatting>
  <conditionalFormatting sqref="D2966">
    <cfRule type="expression" priority="846" dxfId="0" stopIfTrue="1">
      <formula>AND(ISNUMBER($B2966),ABS($B2966)&gt;'Opening Balance'!$B$16)</formula>
    </cfRule>
  </conditionalFormatting>
  <conditionalFormatting sqref="B2980">
    <cfRule type="expression" priority="849" dxfId="0" stopIfTrue="1">
      <formula>AND(ISNUMBER($B2980),ABS($B2980)&gt;'Opening Balance'!$B$16)</formula>
    </cfRule>
    <cfRule type="cellIs" priority="851" operator="greaterThan" dxfId="1">
      <formula>0</formula>
    </cfRule>
    <cfRule type="cellIs" priority="852" operator="lessThan" dxfId="2">
      <formula>0</formula>
    </cfRule>
  </conditionalFormatting>
  <conditionalFormatting sqref="D2980">
    <cfRule type="expression" priority="850" dxfId="0" stopIfTrue="1">
      <formula>AND(ISNUMBER($B2980),ABS($B2980)&gt;'Opening Balance'!$B$16)</formula>
    </cfRule>
  </conditionalFormatting>
  <conditionalFormatting sqref="B2994">
    <cfRule type="expression" priority="853" dxfId="0" stopIfTrue="1">
      <formula>AND(ISNUMBER($B2994),ABS($B2994)&gt;'Opening Balance'!$B$16)</formula>
    </cfRule>
    <cfRule type="cellIs" priority="855" operator="greaterThan" dxfId="1">
      <formula>0</formula>
    </cfRule>
    <cfRule type="cellIs" priority="856" operator="lessThan" dxfId="2">
      <formula>0</formula>
    </cfRule>
  </conditionalFormatting>
  <conditionalFormatting sqref="D2994">
    <cfRule type="expression" priority="854" dxfId="0" stopIfTrue="1">
      <formula>AND(ISNUMBER($B2994),ABS($B2994)&gt;'Opening Balance'!$B$16)</formula>
    </cfRule>
  </conditionalFormatting>
  <conditionalFormatting sqref="B3008">
    <cfRule type="expression" priority="857" dxfId="0" stopIfTrue="1">
      <formula>AND(ISNUMBER($B3008),ABS($B3008)&gt;'Opening Balance'!$B$16)</formula>
    </cfRule>
    <cfRule type="cellIs" priority="859" operator="greaterThan" dxfId="1">
      <formula>0</formula>
    </cfRule>
    <cfRule type="cellIs" priority="860" operator="lessThan" dxfId="2">
      <formula>0</formula>
    </cfRule>
  </conditionalFormatting>
  <conditionalFormatting sqref="D3008">
    <cfRule type="expression" priority="858" dxfId="0" stopIfTrue="1">
      <formula>AND(ISNUMBER($B3008),ABS($B3008)&gt;'Opening Balance'!$B$16)</formula>
    </cfRule>
  </conditionalFormatting>
  <conditionalFormatting sqref="B3022">
    <cfRule type="expression" priority="861" dxfId="0" stopIfTrue="1">
      <formula>AND(ISNUMBER($B3022),ABS($B3022)&gt;'Opening Balance'!$B$16)</formula>
    </cfRule>
    <cfRule type="cellIs" priority="863" operator="greaterThan" dxfId="1">
      <formula>0</formula>
    </cfRule>
    <cfRule type="cellIs" priority="864" operator="lessThan" dxfId="2">
      <formula>0</formula>
    </cfRule>
  </conditionalFormatting>
  <conditionalFormatting sqref="D3022">
    <cfRule type="expression" priority="862" dxfId="0" stopIfTrue="1">
      <formula>AND(ISNUMBER($B3022),ABS($B3022)&gt;'Opening Balance'!$B$16)</formula>
    </cfRule>
  </conditionalFormatting>
  <conditionalFormatting sqref="B3036">
    <cfRule type="expression" priority="865" dxfId="0" stopIfTrue="1">
      <formula>AND(ISNUMBER($B3036),ABS($B3036)&gt;'Opening Balance'!$B$16)</formula>
    </cfRule>
    <cfRule type="cellIs" priority="867" operator="greaterThan" dxfId="1">
      <formula>0</formula>
    </cfRule>
    <cfRule type="cellIs" priority="868" operator="lessThan" dxfId="2">
      <formula>0</formula>
    </cfRule>
  </conditionalFormatting>
  <conditionalFormatting sqref="D3036">
    <cfRule type="expression" priority="866" dxfId="0" stopIfTrue="1">
      <formula>AND(ISNUMBER($B3036),ABS($B3036)&gt;'Opening Balance'!$B$16)</formula>
    </cfRule>
  </conditionalFormatting>
  <conditionalFormatting sqref="B3050">
    <cfRule type="expression" priority="869" dxfId="0" stopIfTrue="1">
      <formula>AND(ISNUMBER($B3050),ABS($B3050)&gt;'Opening Balance'!$B$16)</formula>
    </cfRule>
    <cfRule type="cellIs" priority="871" operator="greaterThan" dxfId="1">
      <formula>0</formula>
    </cfRule>
    <cfRule type="cellIs" priority="872" operator="lessThan" dxfId="2">
      <formula>0</formula>
    </cfRule>
  </conditionalFormatting>
  <conditionalFormatting sqref="D3050">
    <cfRule type="expression" priority="870" dxfId="0" stopIfTrue="1">
      <formula>AND(ISNUMBER($B3050),ABS($B3050)&gt;'Opening Balance'!$B$16)</formula>
    </cfRule>
  </conditionalFormatting>
  <conditionalFormatting sqref="B3064">
    <cfRule type="expression" priority="873" dxfId="0" stopIfTrue="1">
      <formula>AND(ISNUMBER($B3064),ABS($B3064)&gt;'Opening Balance'!$B$16)</formula>
    </cfRule>
    <cfRule type="cellIs" priority="875" operator="greaterThan" dxfId="1">
      <formula>0</formula>
    </cfRule>
    <cfRule type="cellIs" priority="876" operator="lessThan" dxfId="2">
      <formula>0</formula>
    </cfRule>
  </conditionalFormatting>
  <conditionalFormatting sqref="D3064">
    <cfRule type="expression" priority="874" dxfId="0" stopIfTrue="1">
      <formula>AND(ISNUMBER($B3064),ABS($B3064)&gt;'Opening Balance'!$B$16)</formula>
    </cfRule>
  </conditionalFormatting>
  <conditionalFormatting sqref="B3078">
    <cfRule type="expression" priority="877" dxfId="0" stopIfTrue="1">
      <formula>AND(ISNUMBER($B3078),ABS($B3078)&gt;'Opening Balance'!$B$16)</formula>
    </cfRule>
    <cfRule type="cellIs" priority="879" operator="greaterThan" dxfId="1">
      <formula>0</formula>
    </cfRule>
    <cfRule type="cellIs" priority="880" operator="lessThan" dxfId="2">
      <formula>0</formula>
    </cfRule>
  </conditionalFormatting>
  <conditionalFormatting sqref="D3078">
    <cfRule type="expression" priority="878" dxfId="0" stopIfTrue="1">
      <formula>AND(ISNUMBER($B3078),ABS($B3078)&gt;'Opening Balance'!$B$16)</formula>
    </cfRule>
  </conditionalFormatting>
  <conditionalFormatting sqref="B3092">
    <cfRule type="expression" priority="881" dxfId="0" stopIfTrue="1">
      <formula>AND(ISNUMBER($B3092),ABS($B3092)&gt;'Opening Balance'!$B$16)</formula>
    </cfRule>
    <cfRule type="cellIs" priority="883" operator="greaterThan" dxfId="1">
      <formula>0</formula>
    </cfRule>
    <cfRule type="cellIs" priority="884" operator="lessThan" dxfId="2">
      <formula>0</formula>
    </cfRule>
  </conditionalFormatting>
  <conditionalFormatting sqref="D3092">
    <cfRule type="expression" priority="882" dxfId="0" stopIfTrue="1">
      <formula>AND(ISNUMBER($B3092),ABS($B3092)&gt;'Opening Balance'!$B$16)</formula>
    </cfRule>
  </conditionalFormatting>
  <conditionalFormatting sqref="B3106">
    <cfRule type="expression" priority="885" dxfId="0" stopIfTrue="1">
      <formula>AND(ISNUMBER($B3106),ABS($B3106)&gt;'Opening Balance'!$B$16)</formula>
    </cfRule>
    <cfRule type="cellIs" priority="887" operator="greaterThan" dxfId="1">
      <formula>0</formula>
    </cfRule>
    <cfRule type="cellIs" priority="888" operator="lessThan" dxfId="2">
      <formula>0</formula>
    </cfRule>
  </conditionalFormatting>
  <conditionalFormatting sqref="D3106">
    <cfRule type="expression" priority="886" dxfId="0" stopIfTrue="1">
      <formula>AND(ISNUMBER($B3106),ABS($B3106)&gt;'Opening Balance'!$B$16)</formula>
    </cfRule>
  </conditionalFormatting>
  <conditionalFormatting sqref="B3120">
    <cfRule type="expression" priority="889" dxfId="0" stopIfTrue="1">
      <formula>AND(ISNUMBER($B3120),ABS($B3120)&gt;'Opening Balance'!$B$16)</formula>
    </cfRule>
    <cfRule type="cellIs" priority="891" operator="greaterThan" dxfId="1">
      <formula>0</formula>
    </cfRule>
    <cfRule type="cellIs" priority="892" operator="lessThan" dxfId="2">
      <formula>0</formula>
    </cfRule>
  </conditionalFormatting>
  <conditionalFormatting sqref="D3120">
    <cfRule type="expression" priority="890" dxfId="0" stopIfTrue="1">
      <formula>AND(ISNUMBER($B3120),ABS($B3120)&gt;'Opening Balance'!$B$16)</formula>
    </cfRule>
  </conditionalFormatting>
  <conditionalFormatting sqref="B3134">
    <cfRule type="expression" priority="893" dxfId="0" stopIfTrue="1">
      <formula>AND(ISNUMBER($B3134),ABS($B3134)&gt;'Opening Balance'!$B$16)</formula>
    </cfRule>
    <cfRule type="cellIs" priority="895" operator="greaterThan" dxfId="1">
      <formula>0</formula>
    </cfRule>
    <cfRule type="cellIs" priority="896" operator="lessThan" dxfId="2">
      <formula>0</formula>
    </cfRule>
  </conditionalFormatting>
  <conditionalFormatting sqref="D3134">
    <cfRule type="expression" priority="894" dxfId="0" stopIfTrue="1">
      <formula>AND(ISNUMBER($B3134),ABS($B3134)&gt;'Opening Balance'!$B$16)</formula>
    </cfRule>
  </conditionalFormatting>
  <conditionalFormatting sqref="B3148">
    <cfRule type="expression" priority="897" dxfId="0" stopIfTrue="1">
      <formula>AND(ISNUMBER($B3148),ABS($B3148)&gt;'Opening Balance'!$B$16)</formula>
    </cfRule>
    <cfRule type="cellIs" priority="899" operator="greaterThan" dxfId="1">
      <formula>0</formula>
    </cfRule>
    <cfRule type="cellIs" priority="900" operator="lessThan" dxfId="2">
      <formula>0</formula>
    </cfRule>
  </conditionalFormatting>
  <conditionalFormatting sqref="D3148">
    <cfRule type="expression" priority="898" dxfId="0" stopIfTrue="1">
      <formula>AND(ISNUMBER($B3148),ABS($B3148)&gt;'Opening Balance'!$B$16)</formula>
    </cfRule>
  </conditionalFormatting>
  <conditionalFormatting sqref="B3162">
    <cfRule type="expression" priority="901" dxfId="0" stopIfTrue="1">
      <formula>AND(ISNUMBER($B3162),ABS($B3162)&gt;'Opening Balance'!$B$16)</formula>
    </cfRule>
    <cfRule type="cellIs" priority="903" operator="greaterThan" dxfId="1">
      <formula>0</formula>
    </cfRule>
    <cfRule type="cellIs" priority="904" operator="lessThan" dxfId="2">
      <formula>0</formula>
    </cfRule>
  </conditionalFormatting>
  <conditionalFormatting sqref="D3162">
    <cfRule type="expression" priority="902" dxfId="0" stopIfTrue="1">
      <formula>AND(ISNUMBER($B3162),ABS($B3162)&gt;'Opening Balance'!$B$16)</formula>
    </cfRule>
  </conditionalFormatting>
  <conditionalFormatting sqref="B3176">
    <cfRule type="expression" priority="905" dxfId="0" stopIfTrue="1">
      <formula>AND(ISNUMBER($B3176),ABS($B3176)&gt;'Opening Balance'!$B$16)</formula>
    </cfRule>
    <cfRule type="cellIs" priority="907" operator="greaterThan" dxfId="1">
      <formula>0</formula>
    </cfRule>
    <cfRule type="cellIs" priority="908" operator="lessThan" dxfId="2">
      <formula>0</formula>
    </cfRule>
  </conditionalFormatting>
  <conditionalFormatting sqref="D3176">
    <cfRule type="expression" priority="906" dxfId="0" stopIfTrue="1">
      <formula>AND(ISNUMBER($B3176),ABS($B3176)&gt;'Opening Balance'!$B$16)</formula>
    </cfRule>
  </conditionalFormatting>
  <conditionalFormatting sqref="B3190">
    <cfRule type="expression" priority="909" dxfId="0" stopIfTrue="1">
      <formula>AND(ISNUMBER($B3190),ABS($B3190)&gt;'Opening Balance'!$B$16)</formula>
    </cfRule>
    <cfRule type="cellIs" priority="911" operator="greaterThan" dxfId="1">
      <formula>0</formula>
    </cfRule>
    <cfRule type="cellIs" priority="912" operator="lessThan" dxfId="2">
      <formula>0</formula>
    </cfRule>
  </conditionalFormatting>
  <conditionalFormatting sqref="D3190">
    <cfRule type="expression" priority="910" dxfId="0" stopIfTrue="1">
      <formula>AND(ISNUMBER($B3190),ABS($B3190)&gt;'Opening Balance'!$B$16)</formula>
    </cfRule>
  </conditionalFormatting>
  <conditionalFormatting sqref="B3204">
    <cfRule type="expression" priority="913" dxfId="0" stopIfTrue="1">
      <formula>AND(ISNUMBER($B3204),ABS($B3204)&gt;'Opening Balance'!$B$16)</formula>
    </cfRule>
    <cfRule type="cellIs" priority="915" operator="greaterThan" dxfId="1">
      <formula>0</formula>
    </cfRule>
    <cfRule type="cellIs" priority="916" operator="lessThan" dxfId="2">
      <formula>0</formula>
    </cfRule>
  </conditionalFormatting>
  <conditionalFormatting sqref="D3204">
    <cfRule type="expression" priority="914" dxfId="0" stopIfTrue="1">
      <formula>AND(ISNUMBER($B3204),ABS($B3204)&gt;'Opening Balance'!$B$16)</formula>
    </cfRule>
  </conditionalFormatting>
  <conditionalFormatting sqref="B3218">
    <cfRule type="expression" priority="917" dxfId="0" stopIfTrue="1">
      <formula>AND(ISNUMBER($B3218),ABS($B3218)&gt;'Opening Balance'!$B$16)</formula>
    </cfRule>
    <cfRule type="cellIs" priority="919" operator="greaterThan" dxfId="1">
      <formula>0</formula>
    </cfRule>
    <cfRule type="cellIs" priority="920" operator="lessThan" dxfId="2">
      <formula>0</formula>
    </cfRule>
  </conditionalFormatting>
  <conditionalFormatting sqref="D3218">
    <cfRule type="expression" priority="918" dxfId="0" stopIfTrue="1">
      <formula>AND(ISNUMBER($B3218),ABS($B3218)&gt;'Opening Balance'!$B$16)</formula>
    </cfRule>
  </conditionalFormatting>
  <conditionalFormatting sqref="B3232">
    <cfRule type="expression" priority="921" dxfId="0" stopIfTrue="1">
      <formula>AND(ISNUMBER($B3232),ABS($B3232)&gt;'Opening Balance'!$B$16)</formula>
    </cfRule>
    <cfRule type="cellIs" priority="923" operator="greaterThan" dxfId="1">
      <formula>0</formula>
    </cfRule>
    <cfRule type="cellIs" priority="924" operator="lessThan" dxfId="2">
      <formula>0</formula>
    </cfRule>
  </conditionalFormatting>
  <conditionalFormatting sqref="D3232">
    <cfRule type="expression" priority="922" dxfId="0" stopIfTrue="1">
      <formula>AND(ISNUMBER($B3232),ABS($B3232)&gt;'Opening Balance'!$B$16)</formula>
    </cfRule>
  </conditionalFormatting>
  <conditionalFormatting sqref="B3246">
    <cfRule type="expression" priority="925" dxfId="0" stopIfTrue="1">
      <formula>AND(ISNUMBER($B3246),ABS($B3246)&gt;'Opening Balance'!$B$16)</formula>
    </cfRule>
    <cfRule type="cellIs" priority="927" operator="greaterThan" dxfId="1">
      <formula>0</formula>
    </cfRule>
    <cfRule type="cellIs" priority="928" operator="lessThan" dxfId="2">
      <formula>0</formula>
    </cfRule>
  </conditionalFormatting>
  <conditionalFormatting sqref="D3246">
    <cfRule type="expression" priority="926" dxfId="0" stopIfTrue="1">
      <formula>AND(ISNUMBER($B3246),ABS($B3246)&gt;'Opening Balance'!$B$16)</formula>
    </cfRule>
  </conditionalFormatting>
  <conditionalFormatting sqref="B3260">
    <cfRule type="expression" priority="929" dxfId="0" stopIfTrue="1">
      <formula>AND(ISNUMBER($B3260),ABS($B3260)&gt;'Opening Balance'!$B$16)</formula>
    </cfRule>
    <cfRule type="cellIs" priority="931" operator="greaterThan" dxfId="1">
      <formula>0</formula>
    </cfRule>
    <cfRule type="cellIs" priority="932" operator="lessThan" dxfId="2">
      <formula>0</formula>
    </cfRule>
  </conditionalFormatting>
  <conditionalFormatting sqref="D3260">
    <cfRule type="expression" priority="930" dxfId="0" stopIfTrue="1">
      <formula>AND(ISNUMBER($B3260),ABS($B3260)&gt;'Opening Balance'!$B$16)</formula>
    </cfRule>
  </conditionalFormatting>
  <conditionalFormatting sqref="B3274">
    <cfRule type="expression" priority="933" dxfId="0" stopIfTrue="1">
      <formula>AND(ISNUMBER($B3274),ABS($B3274)&gt;'Opening Balance'!$B$16)</formula>
    </cfRule>
    <cfRule type="cellIs" priority="935" operator="greaterThan" dxfId="1">
      <formula>0</formula>
    </cfRule>
    <cfRule type="cellIs" priority="936" operator="lessThan" dxfId="2">
      <formula>0</formula>
    </cfRule>
  </conditionalFormatting>
  <conditionalFormatting sqref="D3274">
    <cfRule type="expression" priority="934" dxfId="0" stopIfTrue="1">
      <formula>AND(ISNUMBER($B3274),ABS($B3274)&gt;'Opening Balance'!$B$16)</formula>
    </cfRule>
  </conditionalFormatting>
  <conditionalFormatting sqref="B3288">
    <cfRule type="expression" priority="937" dxfId="0" stopIfTrue="1">
      <formula>AND(ISNUMBER($B3288),ABS($B3288)&gt;'Opening Balance'!$B$16)</formula>
    </cfRule>
    <cfRule type="cellIs" priority="939" operator="greaterThan" dxfId="1">
      <formula>0</formula>
    </cfRule>
    <cfRule type="cellIs" priority="940" operator="lessThan" dxfId="2">
      <formula>0</formula>
    </cfRule>
  </conditionalFormatting>
  <conditionalFormatting sqref="D3288">
    <cfRule type="expression" priority="938" dxfId="0" stopIfTrue="1">
      <formula>AND(ISNUMBER($B3288),ABS($B3288)&gt;'Opening Balance'!$B$16)</formula>
    </cfRule>
  </conditionalFormatting>
  <conditionalFormatting sqref="B3302">
    <cfRule type="expression" priority="941" dxfId="0" stopIfTrue="1">
      <formula>AND(ISNUMBER($B3302),ABS($B3302)&gt;'Opening Balance'!$B$16)</formula>
    </cfRule>
    <cfRule type="cellIs" priority="943" operator="greaterThan" dxfId="1">
      <formula>0</formula>
    </cfRule>
    <cfRule type="cellIs" priority="944" operator="lessThan" dxfId="2">
      <formula>0</formula>
    </cfRule>
  </conditionalFormatting>
  <conditionalFormatting sqref="D3302">
    <cfRule type="expression" priority="942" dxfId="0" stopIfTrue="1">
      <formula>AND(ISNUMBER($B3302),ABS($B3302)&gt;'Opening Balance'!$B$16)</formula>
    </cfRule>
  </conditionalFormatting>
  <conditionalFormatting sqref="B3316">
    <cfRule type="expression" priority="945" dxfId="0" stopIfTrue="1">
      <formula>AND(ISNUMBER($B3316),ABS($B3316)&gt;'Opening Balance'!$B$16)</formula>
    </cfRule>
    <cfRule type="cellIs" priority="947" operator="greaterThan" dxfId="1">
      <formula>0</formula>
    </cfRule>
    <cfRule type="cellIs" priority="948" operator="lessThan" dxfId="2">
      <formula>0</formula>
    </cfRule>
  </conditionalFormatting>
  <conditionalFormatting sqref="D3316">
    <cfRule type="expression" priority="946" dxfId="0" stopIfTrue="1">
      <formula>AND(ISNUMBER($B3316),ABS($B3316)&gt;'Opening Balance'!$B$16)</formula>
    </cfRule>
  </conditionalFormatting>
  <conditionalFormatting sqref="B3330">
    <cfRule type="expression" priority="949" dxfId="0" stopIfTrue="1">
      <formula>AND(ISNUMBER($B3330),ABS($B3330)&gt;'Opening Balance'!$B$16)</formula>
    </cfRule>
    <cfRule type="cellIs" priority="951" operator="greaterThan" dxfId="1">
      <formula>0</formula>
    </cfRule>
    <cfRule type="cellIs" priority="952" operator="lessThan" dxfId="2">
      <formula>0</formula>
    </cfRule>
  </conditionalFormatting>
  <conditionalFormatting sqref="D3330">
    <cfRule type="expression" priority="950" dxfId="0" stopIfTrue="1">
      <formula>AND(ISNUMBER($B3330),ABS($B3330)&gt;'Opening Balance'!$B$16)</formula>
    </cfRule>
  </conditionalFormatting>
  <conditionalFormatting sqref="B3344">
    <cfRule type="expression" priority="953" dxfId="0" stopIfTrue="1">
      <formula>AND(ISNUMBER($B3344),ABS($B3344)&gt;'Opening Balance'!$B$16)</formula>
    </cfRule>
    <cfRule type="cellIs" priority="955" operator="greaterThan" dxfId="1">
      <formula>0</formula>
    </cfRule>
    <cfRule type="cellIs" priority="956" operator="lessThan" dxfId="2">
      <formula>0</formula>
    </cfRule>
  </conditionalFormatting>
  <conditionalFormatting sqref="D3344">
    <cfRule type="expression" priority="954" dxfId="0" stopIfTrue="1">
      <formula>AND(ISNUMBER($B3344),ABS($B3344)&gt;'Opening Balance'!$B$16)</formula>
    </cfRule>
  </conditionalFormatting>
  <conditionalFormatting sqref="B3358">
    <cfRule type="expression" priority="957" dxfId="0" stopIfTrue="1">
      <formula>AND(ISNUMBER($B3358),ABS($B3358)&gt;'Opening Balance'!$B$16)</formula>
    </cfRule>
    <cfRule type="cellIs" priority="959" operator="greaterThan" dxfId="1">
      <formula>0</formula>
    </cfRule>
    <cfRule type="cellIs" priority="960" operator="lessThan" dxfId="2">
      <formula>0</formula>
    </cfRule>
  </conditionalFormatting>
  <conditionalFormatting sqref="D3358">
    <cfRule type="expression" priority="958" dxfId="0" stopIfTrue="1">
      <formula>AND(ISNUMBER($B3358),ABS($B3358)&gt;'Opening Balance'!$B$16)</formula>
    </cfRule>
  </conditionalFormatting>
  <conditionalFormatting sqref="B3372">
    <cfRule type="expression" priority="961" dxfId="0" stopIfTrue="1">
      <formula>AND(ISNUMBER($B3372),ABS($B3372)&gt;'Opening Balance'!$B$16)</formula>
    </cfRule>
    <cfRule type="cellIs" priority="963" operator="greaterThan" dxfId="1">
      <formula>0</formula>
    </cfRule>
    <cfRule type="cellIs" priority="964" operator="lessThan" dxfId="2">
      <formula>0</formula>
    </cfRule>
  </conditionalFormatting>
  <conditionalFormatting sqref="D3372">
    <cfRule type="expression" priority="962" dxfId="0" stopIfTrue="1">
      <formula>AND(ISNUMBER($B3372),ABS($B3372)&gt;'Opening Balance'!$B$16)</formula>
    </cfRule>
  </conditionalFormatting>
  <conditionalFormatting sqref="B3386">
    <cfRule type="expression" priority="965" dxfId="0" stopIfTrue="1">
      <formula>AND(ISNUMBER($B3386),ABS($B3386)&gt;'Opening Balance'!$B$16)</formula>
    </cfRule>
    <cfRule type="cellIs" priority="967" operator="greaterThan" dxfId="1">
      <formula>0</formula>
    </cfRule>
    <cfRule type="cellIs" priority="968" operator="lessThan" dxfId="2">
      <formula>0</formula>
    </cfRule>
  </conditionalFormatting>
  <conditionalFormatting sqref="D3386">
    <cfRule type="expression" priority="966" dxfId="0" stopIfTrue="1">
      <formula>AND(ISNUMBER($B3386),ABS($B3386)&gt;'Opening Balance'!$B$16)</formula>
    </cfRule>
  </conditionalFormatting>
  <conditionalFormatting sqref="B3400">
    <cfRule type="expression" priority="969" dxfId="0" stopIfTrue="1">
      <formula>AND(ISNUMBER($B3400),ABS($B3400)&gt;'Opening Balance'!$B$16)</formula>
    </cfRule>
    <cfRule type="cellIs" priority="971" operator="greaterThan" dxfId="1">
      <formula>0</formula>
    </cfRule>
    <cfRule type="cellIs" priority="972" operator="lessThan" dxfId="2">
      <formula>0</formula>
    </cfRule>
  </conditionalFormatting>
  <conditionalFormatting sqref="D3400">
    <cfRule type="expression" priority="970" dxfId="0" stopIfTrue="1">
      <formula>AND(ISNUMBER($B3400),ABS($B3400)&gt;'Opening Balance'!$B$16)</formula>
    </cfRule>
  </conditionalFormatting>
  <conditionalFormatting sqref="B3414">
    <cfRule type="expression" priority="973" dxfId="0" stopIfTrue="1">
      <formula>AND(ISNUMBER($B3414),ABS($B3414)&gt;'Opening Balance'!$B$16)</formula>
    </cfRule>
    <cfRule type="cellIs" priority="975" operator="greaterThan" dxfId="1">
      <formula>0</formula>
    </cfRule>
    <cfRule type="cellIs" priority="976" operator="lessThan" dxfId="2">
      <formula>0</formula>
    </cfRule>
  </conditionalFormatting>
  <conditionalFormatting sqref="D3414">
    <cfRule type="expression" priority="974" dxfId="0" stopIfTrue="1">
      <formula>AND(ISNUMBER($B3414),ABS($B3414)&gt;'Opening Balance'!$B$16)</formula>
    </cfRule>
  </conditionalFormatting>
  <conditionalFormatting sqref="B3428">
    <cfRule type="expression" priority="977" dxfId="0" stopIfTrue="1">
      <formula>AND(ISNUMBER($B3428),ABS($B3428)&gt;'Opening Balance'!$B$16)</formula>
    </cfRule>
    <cfRule type="cellIs" priority="979" operator="greaterThan" dxfId="1">
      <formula>0</formula>
    </cfRule>
    <cfRule type="cellIs" priority="980" operator="lessThan" dxfId="2">
      <formula>0</formula>
    </cfRule>
  </conditionalFormatting>
  <conditionalFormatting sqref="D3428">
    <cfRule type="expression" priority="978" dxfId="0" stopIfTrue="1">
      <formula>AND(ISNUMBER($B3428),ABS($B3428)&gt;'Opening Balance'!$B$16)</formula>
    </cfRule>
  </conditionalFormatting>
  <conditionalFormatting sqref="B3442">
    <cfRule type="expression" priority="981" dxfId="0" stopIfTrue="1">
      <formula>AND(ISNUMBER($B3442),ABS($B3442)&gt;'Opening Balance'!$B$16)</formula>
    </cfRule>
    <cfRule type="cellIs" priority="983" operator="greaterThan" dxfId="1">
      <formula>0</formula>
    </cfRule>
    <cfRule type="cellIs" priority="984" operator="lessThan" dxfId="2">
      <formula>0</formula>
    </cfRule>
  </conditionalFormatting>
  <conditionalFormatting sqref="D3442">
    <cfRule type="expression" priority="982" dxfId="0" stopIfTrue="1">
      <formula>AND(ISNUMBER($B3442),ABS($B3442)&gt;'Opening Balance'!$B$16)</formula>
    </cfRule>
  </conditionalFormatting>
  <conditionalFormatting sqref="B3456">
    <cfRule type="expression" priority="985" dxfId="0" stopIfTrue="1">
      <formula>AND(ISNUMBER($B3456),ABS($B3456)&gt;'Opening Balance'!$B$16)</formula>
    </cfRule>
    <cfRule type="cellIs" priority="987" operator="greaterThan" dxfId="1">
      <formula>0</formula>
    </cfRule>
    <cfRule type="cellIs" priority="988" operator="lessThan" dxfId="2">
      <formula>0</formula>
    </cfRule>
  </conditionalFormatting>
  <conditionalFormatting sqref="D3456">
    <cfRule type="expression" priority="986" dxfId="0" stopIfTrue="1">
      <formula>AND(ISNUMBER($B3456),ABS($B3456)&gt;'Opening Balance'!$B$16)</formula>
    </cfRule>
  </conditionalFormatting>
  <conditionalFormatting sqref="B3470">
    <cfRule type="expression" priority="989" dxfId="0" stopIfTrue="1">
      <formula>AND(ISNUMBER($B3470),ABS($B3470)&gt;'Opening Balance'!$B$16)</formula>
    </cfRule>
    <cfRule type="cellIs" priority="991" operator="greaterThan" dxfId="1">
      <formula>0</formula>
    </cfRule>
    <cfRule type="cellIs" priority="992" operator="lessThan" dxfId="2">
      <formula>0</formula>
    </cfRule>
  </conditionalFormatting>
  <conditionalFormatting sqref="D3470">
    <cfRule type="expression" priority="990" dxfId="0" stopIfTrue="1">
      <formula>AND(ISNUMBER($B3470),ABS($B3470)&gt;'Opening Balance'!$B$16)</formula>
    </cfRule>
  </conditionalFormatting>
  <conditionalFormatting sqref="B3484">
    <cfRule type="expression" priority="993" dxfId="0" stopIfTrue="1">
      <formula>AND(ISNUMBER($B3484),ABS($B3484)&gt;'Opening Balance'!$B$16)</formula>
    </cfRule>
    <cfRule type="cellIs" priority="995" operator="greaterThan" dxfId="1">
      <formula>0</formula>
    </cfRule>
    <cfRule type="cellIs" priority="996" operator="lessThan" dxfId="2">
      <formula>0</formula>
    </cfRule>
  </conditionalFormatting>
  <conditionalFormatting sqref="D3484">
    <cfRule type="expression" priority="994" dxfId="0" stopIfTrue="1">
      <formula>AND(ISNUMBER($B3484),ABS($B3484)&gt;'Opening Balance'!$B$16)</formula>
    </cfRule>
  </conditionalFormatting>
  <conditionalFormatting sqref="B3498">
    <cfRule type="expression" priority="997" dxfId="0" stopIfTrue="1">
      <formula>AND(ISNUMBER($B3498),ABS($B3498)&gt;'Opening Balance'!$B$16)</formula>
    </cfRule>
    <cfRule type="cellIs" priority="999" operator="greaterThan" dxfId="1">
      <formula>0</formula>
    </cfRule>
    <cfRule type="cellIs" priority="1000" operator="lessThan" dxfId="2">
      <formula>0</formula>
    </cfRule>
  </conditionalFormatting>
  <conditionalFormatting sqref="D3498">
    <cfRule type="expression" priority="998" dxfId="0" stopIfTrue="1">
      <formula>AND(ISNUMBER($B3498),ABS($B3498)&gt;'Opening Balance'!$B$16)</formula>
    </cfRule>
  </conditionalFormatting>
  <conditionalFormatting sqref="B3512">
    <cfRule type="expression" priority="1001" dxfId="0" stopIfTrue="1">
      <formula>AND(ISNUMBER($B3512),ABS($B3512)&gt;'Opening Balance'!$B$16)</formula>
    </cfRule>
    <cfRule type="cellIs" priority="1003" operator="greaterThan" dxfId="1">
      <formula>0</formula>
    </cfRule>
    <cfRule type="cellIs" priority="1004" operator="lessThan" dxfId="2">
      <formula>0</formula>
    </cfRule>
  </conditionalFormatting>
  <conditionalFormatting sqref="D3512">
    <cfRule type="expression" priority="1002" dxfId="0" stopIfTrue="1">
      <formula>AND(ISNUMBER($B3512),ABS($B3512)&gt;'Opening Balance'!$B$16)</formula>
    </cfRule>
  </conditionalFormatting>
  <conditionalFormatting sqref="B3526">
    <cfRule type="expression" priority="1005" dxfId="0" stopIfTrue="1">
      <formula>AND(ISNUMBER($B3526),ABS($B3526)&gt;'Opening Balance'!$B$16)</formula>
    </cfRule>
    <cfRule type="cellIs" priority="1007" operator="greaterThan" dxfId="1">
      <formula>0</formula>
    </cfRule>
    <cfRule type="cellIs" priority="1008" operator="lessThan" dxfId="2">
      <formula>0</formula>
    </cfRule>
  </conditionalFormatting>
  <conditionalFormatting sqref="D3526">
    <cfRule type="expression" priority="1006" dxfId="0" stopIfTrue="1">
      <formula>AND(ISNUMBER($B3526),ABS($B3526)&gt;'Opening Balance'!$B$16)</formula>
    </cfRule>
  </conditionalFormatting>
  <conditionalFormatting sqref="B3540">
    <cfRule type="expression" priority="1009" dxfId="0" stopIfTrue="1">
      <formula>AND(ISNUMBER($B3540),ABS($B3540)&gt;'Opening Balance'!$B$16)</formula>
    </cfRule>
    <cfRule type="cellIs" priority="1011" operator="greaterThan" dxfId="1">
      <formula>0</formula>
    </cfRule>
    <cfRule type="cellIs" priority="1012" operator="lessThan" dxfId="2">
      <formula>0</formula>
    </cfRule>
  </conditionalFormatting>
  <conditionalFormatting sqref="D3540">
    <cfRule type="expression" priority="1010" dxfId="0" stopIfTrue="1">
      <formula>AND(ISNUMBER($B3540),ABS($B3540)&gt;'Opening Balance'!$B$16)</formula>
    </cfRule>
  </conditionalFormatting>
  <conditionalFormatting sqref="B3554">
    <cfRule type="expression" priority="1013" dxfId="0" stopIfTrue="1">
      <formula>AND(ISNUMBER($B3554),ABS($B3554)&gt;'Opening Balance'!$B$16)</formula>
    </cfRule>
    <cfRule type="cellIs" priority="1015" operator="greaterThan" dxfId="1">
      <formula>0</formula>
    </cfRule>
    <cfRule type="cellIs" priority="1016" operator="lessThan" dxfId="2">
      <formula>0</formula>
    </cfRule>
  </conditionalFormatting>
  <conditionalFormatting sqref="D3554">
    <cfRule type="expression" priority="1014" dxfId="0" stopIfTrue="1">
      <formula>AND(ISNUMBER($B3554),ABS($B3554)&gt;'Opening Balance'!$B$16)</formula>
    </cfRule>
  </conditionalFormatting>
  <conditionalFormatting sqref="B3568">
    <cfRule type="expression" priority="1017" dxfId="0" stopIfTrue="1">
      <formula>AND(ISNUMBER($B3568),ABS($B3568)&gt;'Opening Balance'!$B$16)</formula>
    </cfRule>
    <cfRule type="cellIs" priority="1019" operator="greaterThan" dxfId="1">
      <formula>0</formula>
    </cfRule>
    <cfRule type="cellIs" priority="1020" operator="lessThan" dxfId="2">
      <formula>0</formula>
    </cfRule>
  </conditionalFormatting>
  <conditionalFormatting sqref="D3568">
    <cfRule type="expression" priority="1018" dxfId="0" stopIfTrue="1">
      <formula>AND(ISNUMBER($B3568),ABS($B3568)&gt;'Opening Balance'!$B$16)</formula>
    </cfRule>
  </conditionalFormatting>
  <conditionalFormatting sqref="B3582">
    <cfRule type="expression" priority="1021" dxfId="0" stopIfTrue="1">
      <formula>AND(ISNUMBER($B3582),ABS($B3582)&gt;'Opening Balance'!$B$16)</formula>
    </cfRule>
    <cfRule type="cellIs" priority="1023" operator="greaterThan" dxfId="1">
      <formula>0</formula>
    </cfRule>
    <cfRule type="cellIs" priority="1024" operator="lessThan" dxfId="2">
      <formula>0</formula>
    </cfRule>
  </conditionalFormatting>
  <conditionalFormatting sqref="D3582">
    <cfRule type="expression" priority="1022" dxfId="0" stopIfTrue="1">
      <formula>AND(ISNUMBER($B3582),ABS($B3582)&gt;'Opening Balance'!$B$16)</formula>
    </cfRule>
  </conditionalFormatting>
  <conditionalFormatting sqref="B3596">
    <cfRule type="expression" priority="1025" dxfId="0" stopIfTrue="1">
      <formula>AND(ISNUMBER($B3596),ABS($B3596)&gt;'Opening Balance'!$B$16)</formula>
    </cfRule>
    <cfRule type="cellIs" priority="1027" operator="greaterThan" dxfId="1">
      <formula>0</formula>
    </cfRule>
    <cfRule type="cellIs" priority="1028" operator="lessThan" dxfId="2">
      <formula>0</formula>
    </cfRule>
  </conditionalFormatting>
  <conditionalFormatting sqref="D3596">
    <cfRule type="expression" priority="1026" dxfId="0" stopIfTrue="1">
      <formula>AND(ISNUMBER($B3596),ABS($B3596)&gt;'Opening Balance'!$B$16)</formula>
    </cfRule>
  </conditionalFormatting>
  <conditionalFormatting sqref="B3610">
    <cfRule type="expression" priority="1029" dxfId="0" stopIfTrue="1">
      <formula>AND(ISNUMBER($B3610),ABS($B3610)&gt;'Opening Balance'!$B$16)</formula>
    </cfRule>
    <cfRule type="cellIs" priority="1031" operator="greaterThan" dxfId="1">
      <formula>0</formula>
    </cfRule>
    <cfRule type="cellIs" priority="1032" operator="lessThan" dxfId="2">
      <formula>0</formula>
    </cfRule>
  </conditionalFormatting>
  <conditionalFormatting sqref="D3610">
    <cfRule type="expression" priority="1030" dxfId="0" stopIfTrue="1">
      <formula>AND(ISNUMBER($B3610),ABS($B3610)&gt;'Opening Balance'!$B$16)</formula>
    </cfRule>
  </conditionalFormatting>
  <conditionalFormatting sqref="B3624">
    <cfRule type="expression" priority="1033" dxfId="0" stopIfTrue="1">
      <formula>AND(ISNUMBER($B3624),ABS($B3624)&gt;'Opening Balance'!$B$16)</formula>
    </cfRule>
    <cfRule type="cellIs" priority="1035" operator="greaterThan" dxfId="1">
      <formula>0</formula>
    </cfRule>
    <cfRule type="cellIs" priority="1036" operator="lessThan" dxfId="2">
      <formula>0</formula>
    </cfRule>
  </conditionalFormatting>
  <conditionalFormatting sqref="D3624">
    <cfRule type="expression" priority="1034" dxfId="0" stopIfTrue="1">
      <formula>AND(ISNUMBER($B3624),ABS($B3624)&gt;'Opening Balance'!$B$16)</formula>
    </cfRule>
  </conditionalFormatting>
  <conditionalFormatting sqref="B3638">
    <cfRule type="expression" priority="1037" dxfId="0" stopIfTrue="1">
      <formula>AND(ISNUMBER($B3638),ABS($B3638)&gt;'Opening Balance'!$B$16)</formula>
    </cfRule>
    <cfRule type="cellIs" priority="1039" operator="greaterThan" dxfId="1">
      <formula>0</formula>
    </cfRule>
    <cfRule type="cellIs" priority="1040" operator="lessThan" dxfId="2">
      <formula>0</formula>
    </cfRule>
  </conditionalFormatting>
  <conditionalFormatting sqref="D3638">
    <cfRule type="expression" priority="1038" dxfId="0" stopIfTrue="1">
      <formula>AND(ISNUMBER($B3638),ABS($B3638)&gt;'Opening Balance'!$B$16)</formula>
    </cfRule>
  </conditionalFormatting>
  <conditionalFormatting sqref="B3652">
    <cfRule type="expression" priority="1041" dxfId="0" stopIfTrue="1">
      <formula>AND(ISNUMBER($B3652),ABS($B3652)&gt;'Opening Balance'!$B$16)</formula>
    </cfRule>
    <cfRule type="cellIs" priority="1043" operator="greaterThan" dxfId="1">
      <formula>0</formula>
    </cfRule>
    <cfRule type="cellIs" priority="1044" operator="lessThan" dxfId="2">
      <formula>0</formula>
    </cfRule>
  </conditionalFormatting>
  <conditionalFormatting sqref="D3652">
    <cfRule type="expression" priority="1042" dxfId="0" stopIfTrue="1">
      <formula>AND(ISNUMBER($B3652),ABS($B3652)&gt;'Opening Balance'!$B$16)</formula>
    </cfRule>
  </conditionalFormatting>
  <conditionalFormatting sqref="B3666">
    <cfRule type="expression" priority="1045" dxfId="0" stopIfTrue="1">
      <formula>AND(ISNUMBER($B3666),ABS($B3666)&gt;'Opening Balance'!$B$16)</formula>
    </cfRule>
    <cfRule type="cellIs" priority="1047" operator="greaterThan" dxfId="1">
      <formula>0</formula>
    </cfRule>
    <cfRule type="cellIs" priority="1048" operator="lessThan" dxfId="2">
      <formula>0</formula>
    </cfRule>
  </conditionalFormatting>
  <conditionalFormatting sqref="D3666">
    <cfRule type="expression" priority="1046" dxfId="0" stopIfTrue="1">
      <formula>AND(ISNUMBER($B3666),ABS($B3666)&gt;'Opening Balance'!$B$16)</formula>
    </cfRule>
  </conditionalFormatting>
  <conditionalFormatting sqref="B3680">
    <cfRule type="expression" priority="1049" dxfId="0" stopIfTrue="1">
      <formula>AND(ISNUMBER($B3680),ABS($B3680)&gt;'Opening Balance'!$B$16)</formula>
    </cfRule>
    <cfRule type="cellIs" priority="1051" operator="greaterThan" dxfId="1">
      <formula>0</formula>
    </cfRule>
    <cfRule type="cellIs" priority="1052" operator="lessThan" dxfId="2">
      <formula>0</formula>
    </cfRule>
  </conditionalFormatting>
  <conditionalFormatting sqref="D3680">
    <cfRule type="expression" priority="1050" dxfId="0" stopIfTrue="1">
      <formula>AND(ISNUMBER($B3680),ABS($B3680)&gt;'Opening Balance'!$B$16)</formula>
    </cfRule>
  </conditionalFormatting>
  <conditionalFormatting sqref="B3694">
    <cfRule type="expression" priority="1053" dxfId="0" stopIfTrue="1">
      <formula>AND(ISNUMBER($B3694),ABS($B3694)&gt;'Opening Balance'!$B$16)</formula>
    </cfRule>
    <cfRule type="cellIs" priority="1055" operator="greaterThan" dxfId="1">
      <formula>0</formula>
    </cfRule>
    <cfRule type="cellIs" priority="1056" operator="lessThan" dxfId="2">
      <formula>0</formula>
    </cfRule>
  </conditionalFormatting>
  <conditionalFormatting sqref="D3694">
    <cfRule type="expression" priority="1054" dxfId="0" stopIfTrue="1">
      <formula>AND(ISNUMBER($B3694),ABS($B3694)&gt;'Opening Balance'!$B$16)</formula>
    </cfRule>
  </conditionalFormatting>
  <conditionalFormatting sqref="B3708">
    <cfRule type="expression" priority="1057" dxfId="0" stopIfTrue="1">
      <formula>AND(ISNUMBER($B3708),ABS($B3708)&gt;'Opening Balance'!$B$16)</formula>
    </cfRule>
    <cfRule type="cellIs" priority="1059" operator="greaterThan" dxfId="1">
      <formula>0</formula>
    </cfRule>
    <cfRule type="cellIs" priority="1060" operator="lessThan" dxfId="2">
      <formula>0</formula>
    </cfRule>
  </conditionalFormatting>
  <conditionalFormatting sqref="D3708">
    <cfRule type="expression" priority="1058" dxfId="0" stopIfTrue="1">
      <formula>AND(ISNUMBER($B3708),ABS($B3708)&gt;'Opening Balance'!$B$16)</formula>
    </cfRule>
  </conditionalFormatting>
  <conditionalFormatting sqref="B3722">
    <cfRule type="expression" priority="1061" dxfId="0" stopIfTrue="1">
      <formula>AND(ISNUMBER($B3722),ABS($B3722)&gt;'Opening Balance'!$B$16)</formula>
    </cfRule>
    <cfRule type="cellIs" priority="1063" operator="greaterThan" dxfId="1">
      <formula>0</formula>
    </cfRule>
    <cfRule type="cellIs" priority="1064" operator="lessThan" dxfId="2">
      <formula>0</formula>
    </cfRule>
  </conditionalFormatting>
  <conditionalFormatting sqref="D3722">
    <cfRule type="expression" priority="1062" dxfId="0" stopIfTrue="1">
      <formula>AND(ISNUMBER($B3722),ABS($B3722)&gt;'Opening Balance'!$B$16)</formula>
    </cfRule>
  </conditionalFormatting>
  <conditionalFormatting sqref="B3736">
    <cfRule type="expression" priority="1065" dxfId="0" stopIfTrue="1">
      <formula>AND(ISNUMBER($B3736),ABS($B3736)&gt;'Opening Balance'!$B$16)</formula>
    </cfRule>
    <cfRule type="cellIs" priority="1067" operator="greaterThan" dxfId="1">
      <formula>0</formula>
    </cfRule>
    <cfRule type="cellIs" priority="1068" operator="lessThan" dxfId="2">
      <formula>0</formula>
    </cfRule>
  </conditionalFormatting>
  <conditionalFormatting sqref="D3736">
    <cfRule type="expression" priority="1066" dxfId="0" stopIfTrue="1">
      <formula>AND(ISNUMBER($B3736),ABS($B3736)&gt;'Opening Balance'!$B$16)</formula>
    </cfRule>
  </conditionalFormatting>
  <conditionalFormatting sqref="B3750">
    <cfRule type="expression" priority="1069" dxfId="0" stopIfTrue="1">
      <formula>AND(ISNUMBER($B3750),ABS($B3750)&gt;'Opening Balance'!$B$16)</formula>
    </cfRule>
    <cfRule type="cellIs" priority="1071" operator="greaterThan" dxfId="1">
      <formula>0</formula>
    </cfRule>
    <cfRule type="cellIs" priority="1072" operator="lessThan" dxfId="2">
      <formula>0</formula>
    </cfRule>
  </conditionalFormatting>
  <conditionalFormatting sqref="D3750">
    <cfRule type="expression" priority="1070" dxfId="0" stopIfTrue="1">
      <formula>AND(ISNUMBER($B3750),ABS($B3750)&gt;'Opening Balance'!$B$16)</formula>
    </cfRule>
  </conditionalFormatting>
  <conditionalFormatting sqref="B3764">
    <cfRule type="expression" priority="1073" dxfId="0" stopIfTrue="1">
      <formula>AND(ISNUMBER($B3764),ABS($B3764)&gt;'Opening Balance'!$B$16)</formula>
    </cfRule>
    <cfRule type="cellIs" priority="1075" operator="greaterThan" dxfId="1">
      <formula>0</formula>
    </cfRule>
    <cfRule type="cellIs" priority="1076" operator="lessThan" dxfId="2">
      <formula>0</formula>
    </cfRule>
  </conditionalFormatting>
  <conditionalFormatting sqref="D3764">
    <cfRule type="expression" priority="1074" dxfId="0" stopIfTrue="1">
      <formula>AND(ISNUMBER($B3764),ABS($B3764)&gt;'Opening Balance'!$B$16)</formula>
    </cfRule>
  </conditionalFormatting>
  <conditionalFormatting sqref="B3778">
    <cfRule type="expression" priority="1077" dxfId="0" stopIfTrue="1">
      <formula>AND(ISNUMBER($B3778),ABS($B3778)&gt;'Opening Balance'!$B$16)</formula>
    </cfRule>
    <cfRule type="cellIs" priority="1079" operator="greaterThan" dxfId="1">
      <formula>0</formula>
    </cfRule>
    <cfRule type="cellIs" priority="1080" operator="lessThan" dxfId="2">
      <formula>0</formula>
    </cfRule>
  </conditionalFormatting>
  <conditionalFormatting sqref="D3778">
    <cfRule type="expression" priority="1078" dxfId="0" stopIfTrue="1">
      <formula>AND(ISNUMBER($B3778),ABS($B3778)&gt;'Opening Balance'!$B$16)</formula>
    </cfRule>
  </conditionalFormatting>
  <conditionalFormatting sqref="B3792">
    <cfRule type="expression" priority="1081" dxfId="0" stopIfTrue="1">
      <formula>AND(ISNUMBER($B3792),ABS($B3792)&gt;'Opening Balance'!$B$16)</formula>
    </cfRule>
    <cfRule type="cellIs" priority="1083" operator="greaterThan" dxfId="1">
      <formula>0</formula>
    </cfRule>
    <cfRule type="cellIs" priority="1084" operator="lessThan" dxfId="2">
      <formula>0</formula>
    </cfRule>
  </conditionalFormatting>
  <conditionalFormatting sqref="D3792">
    <cfRule type="expression" priority="1082" dxfId="0" stopIfTrue="1">
      <formula>AND(ISNUMBER($B3792),ABS($B3792)&gt;'Opening Balance'!$B$16)</formula>
    </cfRule>
  </conditionalFormatting>
  <conditionalFormatting sqref="B3806">
    <cfRule type="expression" priority="1085" dxfId="0" stopIfTrue="1">
      <formula>AND(ISNUMBER($B3806),ABS($B3806)&gt;'Opening Balance'!$B$16)</formula>
    </cfRule>
    <cfRule type="cellIs" priority="1087" operator="greaterThan" dxfId="1">
      <formula>0</formula>
    </cfRule>
    <cfRule type="cellIs" priority="1088" operator="lessThan" dxfId="2">
      <formula>0</formula>
    </cfRule>
  </conditionalFormatting>
  <conditionalFormatting sqref="D3806">
    <cfRule type="expression" priority="1086" dxfId="0" stopIfTrue="1">
      <formula>AND(ISNUMBER($B3806),ABS($B3806)&gt;'Opening Balance'!$B$16)</formula>
    </cfRule>
  </conditionalFormatting>
  <conditionalFormatting sqref="B3820">
    <cfRule type="expression" priority="1089" dxfId="0" stopIfTrue="1">
      <formula>AND(ISNUMBER($B3820),ABS($B3820)&gt;'Opening Balance'!$B$16)</formula>
    </cfRule>
    <cfRule type="cellIs" priority="1091" operator="greaterThan" dxfId="1">
      <formula>0</formula>
    </cfRule>
    <cfRule type="cellIs" priority="1092" operator="lessThan" dxfId="2">
      <formula>0</formula>
    </cfRule>
  </conditionalFormatting>
  <conditionalFormatting sqref="D3820">
    <cfRule type="expression" priority="1090" dxfId="0" stopIfTrue="1">
      <formula>AND(ISNUMBER($B3820),ABS($B3820)&gt;'Opening Balance'!$B$16)</formula>
    </cfRule>
  </conditionalFormatting>
  <conditionalFormatting sqref="B3834">
    <cfRule type="expression" priority="1093" dxfId="0" stopIfTrue="1">
      <formula>AND(ISNUMBER($B3834),ABS($B3834)&gt;'Opening Balance'!$B$16)</formula>
    </cfRule>
    <cfRule type="cellIs" priority="1095" operator="greaterThan" dxfId="1">
      <formula>0</formula>
    </cfRule>
    <cfRule type="cellIs" priority="1096" operator="lessThan" dxfId="2">
      <formula>0</formula>
    </cfRule>
  </conditionalFormatting>
  <conditionalFormatting sqref="D3834">
    <cfRule type="expression" priority="1094" dxfId="0" stopIfTrue="1">
      <formula>AND(ISNUMBER($B3834),ABS($B3834)&gt;'Opening Balance'!$B$16)</formula>
    </cfRule>
  </conditionalFormatting>
  <conditionalFormatting sqref="B3848">
    <cfRule type="expression" priority="1097" dxfId="0" stopIfTrue="1">
      <formula>AND(ISNUMBER($B3848),ABS($B3848)&gt;'Opening Balance'!$B$16)</formula>
    </cfRule>
    <cfRule type="cellIs" priority="1099" operator="greaterThan" dxfId="1">
      <formula>0</formula>
    </cfRule>
    <cfRule type="cellIs" priority="1100" operator="lessThan" dxfId="2">
      <formula>0</formula>
    </cfRule>
  </conditionalFormatting>
  <conditionalFormatting sqref="D3848">
    <cfRule type="expression" priority="1098" dxfId="0" stopIfTrue="1">
      <formula>AND(ISNUMBER($B3848),ABS($B3848)&gt;'Opening Balance'!$B$16)</formula>
    </cfRule>
  </conditionalFormatting>
  <conditionalFormatting sqref="B3862">
    <cfRule type="expression" priority="1101" dxfId="0" stopIfTrue="1">
      <formula>AND(ISNUMBER($B3862),ABS($B3862)&gt;'Opening Balance'!$B$16)</formula>
    </cfRule>
    <cfRule type="cellIs" priority="1103" operator="greaterThan" dxfId="1">
      <formula>0</formula>
    </cfRule>
    <cfRule type="cellIs" priority="1104" operator="lessThan" dxfId="2">
      <formula>0</formula>
    </cfRule>
  </conditionalFormatting>
  <conditionalFormatting sqref="D3862">
    <cfRule type="expression" priority="1102" dxfId="0" stopIfTrue="1">
      <formula>AND(ISNUMBER($B3862),ABS($B3862)&gt;'Opening Balance'!$B$16)</formula>
    </cfRule>
  </conditionalFormatting>
  <conditionalFormatting sqref="B3876">
    <cfRule type="expression" priority="1105" dxfId="0" stopIfTrue="1">
      <formula>AND(ISNUMBER($B3876),ABS($B3876)&gt;'Opening Balance'!$B$16)</formula>
    </cfRule>
    <cfRule type="cellIs" priority="1107" operator="greaterThan" dxfId="1">
      <formula>0</formula>
    </cfRule>
    <cfRule type="cellIs" priority="1108" operator="lessThan" dxfId="2">
      <formula>0</formula>
    </cfRule>
  </conditionalFormatting>
  <conditionalFormatting sqref="D3876">
    <cfRule type="expression" priority="1106" dxfId="0" stopIfTrue="1">
      <formula>AND(ISNUMBER($B3876),ABS($B3876)&gt;'Opening Balance'!$B$16)</formula>
    </cfRule>
  </conditionalFormatting>
  <conditionalFormatting sqref="B3890">
    <cfRule type="expression" priority="1109" dxfId="0" stopIfTrue="1">
      <formula>AND(ISNUMBER($B3890),ABS($B3890)&gt;'Opening Balance'!$B$16)</formula>
    </cfRule>
    <cfRule type="cellIs" priority="1111" operator="greaterThan" dxfId="1">
      <formula>0</formula>
    </cfRule>
    <cfRule type="cellIs" priority="1112" operator="lessThan" dxfId="2">
      <formula>0</formula>
    </cfRule>
  </conditionalFormatting>
  <conditionalFormatting sqref="D3890">
    <cfRule type="expression" priority="1110" dxfId="0" stopIfTrue="1">
      <formula>AND(ISNUMBER($B3890),ABS($B3890)&gt;'Opening Balance'!$B$16)</formula>
    </cfRule>
  </conditionalFormatting>
  <conditionalFormatting sqref="B3904">
    <cfRule type="expression" priority="1113" dxfId="0" stopIfTrue="1">
      <formula>AND(ISNUMBER($B3904),ABS($B3904)&gt;'Opening Balance'!$B$16)</formula>
    </cfRule>
    <cfRule type="cellIs" priority="1115" operator="greaterThan" dxfId="1">
      <formula>0</formula>
    </cfRule>
    <cfRule type="cellIs" priority="1116" operator="lessThan" dxfId="2">
      <formula>0</formula>
    </cfRule>
  </conditionalFormatting>
  <conditionalFormatting sqref="D3904">
    <cfRule type="expression" priority="1114" dxfId="0" stopIfTrue="1">
      <formula>AND(ISNUMBER($B3904),ABS($B3904)&gt;'Opening Balance'!$B$16)</formula>
    </cfRule>
  </conditionalFormatting>
  <conditionalFormatting sqref="B3918">
    <cfRule type="expression" priority="1117" dxfId="0" stopIfTrue="1">
      <formula>AND(ISNUMBER($B3918),ABS($B3918)&gt;'Opening Balance'!$B$16)</formula>
    </cfRule>
    <cfRule type="cellIs" priority="1119" operator="greaterThan" dxfId="1">
      <formula>0</formula>
    </cfRule>
    <cfRule type="cellIs" priority="1120" operator="lessThan" dxfId="2">
      <formula>0</formula>
    </cfRule>
  </conditionalFormatting>
  <conditionalFormatting sqref="D3918">
    <cfRule type="expression" priority="1118" dxfId="0" stopIfTrue="1">
      <formula>AND(ISNUMBER($B3918),ABS($B3918)&gt;'Opening Balance'!$B$16)</formula>
    </cfRule>
  </conditionalFormatting>
  <conditionalFormatting sqref="B3932">
    <cfRule type="expression" priority="1121" dxfId="0" stopIfTrue="1">
      <formula>AND(ISNUMBER($B3932),ABS($B3932)&gt;'Opening Balance'!$B$16)</formula>
    </cfRule>
    <cfRule type="cellIs" priority="1123" operator="greaterThan" dxfId="1">
      <formula>0</formula>
    </cfRule>
    <cfRule type="cellIs" priority="1124" operator="lessThan" dxfId="2">
      <formula>0</formula>
    </cfRule>
  </conditionalFormatting>
  <conditionalFormatting sqref="D3932">
    <cfRule type="expression" priority="1122" dxfId="0" stopIfTrue="1">
      <formula>AND(ISNUMBER($B3932),ABS($B3932)&gt;'Opening Balance'!$B$16)</formula>
    </cfRule>
  </conditionalFormatting>
  <conditionalFormatting sqref="B3946">
    <cfRule type="expression" priority="1125" dxfId="0" stopIfTrue="1">
      <formula>AND(ISNUMBER($B3946),ABS($B3946)&gt;'Opening Balance'!$B$16)</formula>
    </cfRule>
    <cfRule type="cellIs" priority="1127" operator="greaterThan" dxfId="1">
      <formula>0</formula>
    </cfRule>
    <cfRule type="cellIs" priority="1128" operator="lessThan" dxfId="2">
      <formula>0</formula>
    </cfRule>
  </conditionalFormatting>
  <conditionalFormatting sqref="D3946">
    <cfRule type="expression" priority="1126" dxfId="0" stopIfTrue="1">
      <formula>AND(ISNUMBER($B3946),ABS($B3946)&gt;'Opening Balance'!$B$16)</formula>
    </cfRule>
  </conditionalFormatting>
  <conditionalFormatting sqref="B3960">
    <cfRule type="expression" priority="1129" dxfId="0" stopIfTrue="1">
      <formula>AND(ISNUMBER($B3960),ABS($B3960)&gt;'Opening Balance'!$B$16)</formula>
    </cfRule>
    <cfRule type="cellIs" priority="1131" operator="greaterThan" dxfId="1">
      <formula>0</formula>
    </cfRule>
    <cfRule type="cellIs" priority="1132" operator="lessThan" dxfId="2">
      <formula>0</formula>
    </cfRule>
  </conditionalFormatting>
  <conditionalFormatting sqref="D3960">
    <cfRule type="expression" priority="1130" dxfId="0" stopIfTrue="1">
      <formula>AND(ISNUMBER($B3960),ABS($B3960)&gt;'Opening Balance'!$B$16)</formula>
    </cfRule>
  </conditionalFormatting>
  <conditionalFormatting sqref="B3974">
    <cfRule type="expression" priority="1133" dxfId="0" stopIfTrue="1">
      <formula>AND(ISNUMBER($B3974),ABS($B3974)&gt;'Opening Balance'!$B$16)</formula>
    </cfRule>
    <cfRule type="cellIs" priority="1135" operator="greaterThan" dxfId="1">
      <formula>0</formula>
    </cfRule>
    <cfRule type="cellIs" priority="1136" operator="lessThan" dxfId="2">
      <formula>0</formula>
    </cfRule>
  </conditionalFormatting>
  <conditionalFormatting sqref="D3974">
    <cfRule type="expression" priority="1134" dxfId="0" stopIfTrue="1">
      <formula>AND(ISNUMBER($B3974),ABS($B3974)&gt;'Opening Balance'!$B$16)</formula>
    </cfRule>
  </conditionalFormatting>
  <conditionalFormatting sqref="B3988">
    <cfRule type="expression" priority="1137" dxfId="0" stopIfTrue="1">
      <formula>AND(ISNUMBER($B3988),ABS($B3988)&gt;'Opening Balance'!$B$16)</formula>
    </cfRule>
    <cfRule type="cellIs" priority="1139" operator="greaterThan" dxfId="1">
      <formula>0</formula>
    </cfRule>
    <cfRule type="cellIs" priority="1140" operator="lessThan" dxfId="2">
      <formula>0</formula>
    </cfRule>
  </conditionalFormatting>
  <conditionalFormatting sqref="D3988">
    <cfRule type="expression" priority="1138" dxfId="0" stopIfTrue="1">
      <formula>AND(ISNUMBER($B3988),ABS($B3988)&gt;'Opening Balance'!$B$16)</formula>
    </cfRule>
  </conditionalFormatting>
  <conditionalFormatting sqref="B4002">
    <cfRule type="expression" priority="1141" dxfId="0" stopIfTrue="1">
      <formula>AND(ISNUMBER($B4002),ABS($B4002)&gt;'Opening Balance'!$B$16)</formula>
    </cfRule>
    <cfRule type="cellIs" priority="1143" operator="greaterThan" dxfId="1">
      <formula>0</formula>
    </cfRule>
    <cfRule type="cellIs" priority="1144" operator="lessThan" dxfId="2">
      <formula>0</formula>
    </cfRule>
  </conditionalFormatting>
  <conditionalFormatting sqref="D4002">
    <cfRule type="expression" priority="1142" dxfId="0" stopIfTrue="1">
      <formula>AND(ISNUMBER($B4002),ABS($B4002)&gt;'Opening Balance'!$B$16)</formula>
    </cfRule>
  </conditionalFormatting>
  <conditionalFormatting sqref="B4016">
    <cfRule type="expression" priority="1145" dxfId="0" stopIfTrue="1">
      <formula>AND(ISNUMBER($B4016),ABS($B4016)&gt;'Opening Balance'!$B$16)</formula>
    </cfRule>
    <cfRule type="cellIs" priority="1147" operator="greaterThan" dxfId="1">
      <formula>0</formula>
    </cfRule>
    <cfRule type="cellIs" priority="1148" operator="lessThan" dxfId="2">
      <formula>0</formula>
    </cfRule>
  </conditionalFormatting>
  <conditionalFormatting sqref="D4016">
    <cfRule type="expression" priority="1146" dxfId="0" stopIfTrue="1">
      <formula>AND(ISNUMBER($B4016),ABS($B4016)&gt;'Opening Balance'!$B$16)</formula>
    </cfRule>
  </conditionalFormatting>
  <conditionalFormatting sqref="B4030">
    <cfRule type="expression" priority="1149" dxfId="0" stopIfTrue="1">
      <formula>AND(ISNUMBER($B4030),ABS($B4030)&gt;'Opening Balance'!$B$16)</formula>
    </cfRule>
    <cfRule type="cellIs" priority="1151" operator="greaterThan" dxfId="1">
      <formula>0</formula>
    </cfRule>
    <cfRule type="cellIs" priority="1152" operator="lessThan" dxfId="2">
      <formula>0</formula>
    </cfRule>
  </conditionalFormatting>
  <conditionalFormatting sqref="D4030">
    <cfRule type="expression" priority="1150" dxfId="0" stopIfTrue="1">
      <formula>AND(ISNUMBER($B4030),ABS($B4030)&gt;'Opening Balance'!$B$16)</formula>
    </cfRule>
  </conditionalFormatting>
  <conditionalFormatting sqref="B4044">
    <cfRule type="expression" priority="1153" dxfId="0" stopIfTrue="1">
      <formula>AND(ISNUMBER($B4044),ABS($B4044)&gt;'Opening Balance'!$B$16)</formula>
    </cfRule>
    <cfRule type="cellIs" priority="1155" operator="greaterThan" dxfId="1">
      <formula>0</formula>
    </cfRule>
    <cfRule type="cellIs" priority="1156" operator="lessThan" dxfId="2">
      <formula>0</formula>
    </cfRule>
  </conditionalFormatting>
  <conditionalFormatting sqref="D4044">
    <cfRule type="expression" priority="1154" dxfId="0" stopIfTrue="1">
      <formula>AND(ISNUMBER($B4044),ABS($B4044)&gt;'Opening Balance'!$B$16)</formula>
    </cfRule>
  </conditionalFormatting>
  <conditionalFormatting sqref="B4058">
    <cfRule type="expression" priority="1157" dxfId="0" stopIfTrue="1">
      <formula>AND(ISNUMBER($B4058),ABS($B4058)&gt;'Opening Balance'!$B$16)</formula>
    </cfRule>
    <cfRule type="cellIs" priority="1159" operator="greaterThan" dxfId="1">
      <formula>0</formula>
    </cfRule>
    <cfRule type="cellIs" priority="1160" operator="lessThan" dxfId="2">
      <formula>0</formula>
    </cfRule>
  </conditionalFormatting>
  <conditionalFormatting sqref="D4058">
    <cfRule type="expression" priority="1158" dxfId="0" stopIfTrue="1">
      <formula>AND(ISNUMBER($B4058),ABS($B4058)&gt;'Opening Balance'!$B$16)</formula>
    </cfRule>
  </conditionalFormatting>
  <conditionalFormatting sqref="B4072">
    <cfRule type="expression" priority="1161" dxfId="0" stopIfTrue="1">
      <formula>AND(ISNUMBER($B4072),ABS($B4072)&gt;'Opening Balance'!$B$16)</formula>
    </cfRule>
    <cfRule type="cellIs" priority="1163" operator="greaterThan" dxfId="1">
      <formula>0</formula>
    </cfRule>
    <cfRule type="cellIs" priority="1164" operator="lessThan" dxfId="2">
      <formula>0</formula>
    </cfRule>
  </conditionalFormatting>
  <conditionalFormatting sqref="D4072">
    <cfRule type="expression" priority="1162" dxfId="0" stopIfTrue="1">
      <formula>AND(ISNUMBER($B4072),ABS($B4072)&gt;'Opening Balance'!$B$16)</formula>
    </cfRule>
  </conditionalFormatting>
  <conditionalFormatting sqref="B4086">
    <cfRule type="expression" priority="1165" dxfId="0" stopIfTrue="1">
      <formula>AND(ISNUMBER($B4086),ABS($B4086)&gt;'Opening Balance'!$B$16)</formula>
    </cfRule>
    <cfRule type="cellIs" priority="1167" operator="greaterThan" dxfId="1">
      <formula>0</formula>
    </cfRule>
    <cfRule type="cellIs" priority="1168" operator="lessThan" dxfId="2">
      <formula>0</formula>
    </cfRule>
  </conditionalFormatting>
  <conditionalFormatting sqref="D4086">
    <cfRule type="expression" priority="1166" dxfId="0" stopIfTrue="1">
      <formula>AND(ISNUMBER($B4086),ABS($B4086)&gt;'Opening Balance'!$B$16)</formula>
    </cfRule>
  </conditionalFormatting>
  <conditionalFormatting sqref="B4100">
    <cfRule type="expression" priority="1169" dxfId="0" stopIfTrue="1">
      <formula>AND(ISNUMBER($B4100),ABS($B4100)&gt;'Opening Balance'!$B$16)</formula>
    </cfRule>
    <cfRule type="cellIs" priority="1171" operator="greaterThan" dxfId="1">
      <formula>0</formula>
    </cfRule>
    <cfRule type="cellIs" priority="1172" operator="lessThan" dxfId="2">
      <formula>0</formula>
    </cfRule>
  </conditionalFormatting>
  <conditionalFormatting sqref="D4100">
    <cfRule type="expression" priority="1170" dxfId="0" stopIfTrue="1">
      <formula>AND(ISNUMBER($B4100),ABS($B4100)&gt;'Opening Balance'!$B$16)</formula>
    </cfRule>
  </conditionalFormatting>
  <conditionalFormatting sqref="B4114">
    <cfRule type="expression" priority="1173" dxfId="0" stopIfTrue="1">
      <formula>AND(ISNUMBER($B4114),ABS($B4114)&gt;'Opening Balance'!$B$16)</formula>
    </cfRule>
    <cfRule type="cellIs" priority="1175" operator="greaterThan" dxfId="1">
      <formula>0</formula>
    </cfRule>
    <cfRule type="cellIs" priority="1176" operator="lessThan" dxfId="2">
      <formula>0</formula>
    </cfRule>
  </conditionalFormatting>
  <conditionalFormatting sqref="D4114">
    <cfRule type="expression" priority="1174" dxfId="0" stopIfTrue="1">
      <formula>AND(ISNUMBER($B4114),ABS($B4114)&gt;'Opening Balance'!$B$16)</formula>
    </cfRule>
  </conditionalFormatting>
  <conditionalFormatting sqref="B4128">
    <cfRule type="expression" priority="1177" dxfId="0" stopIfTrue="1">
      <formula>AND(ISNUMBER($B4128),ABS($B4128)&gt;'Opening Balance'!$B$16)</formula>
    </cfRule>
    <cfRule type="cellIs" priority="1179" operator="greaterThan" dxfId="1">
      <formula>0</formula>
    </cfRule>
    <cfRule type="cellIs" priority="1180" operator="lessThan" dxfId="2">
      <formula>0</formula>
    </cfRule>
  </conditionalFormatting>
  <conditionalFormatting sqref="D4128">
    <cfRule type="expression" priority="1178" dxfId="0" stopIfTrue="1">
      <formula>AND(ISNUMBER($B4128),ABS($B4128)&gt;'Opening Balance'!$B$16)</formula>
    </cfRule>
  </conditionalFormatting>
  <conditionalFormatting sqref="B4142">
    <cfRule type="expression" priority="1181" dxfId="0" stopIfTrue="1">
      <formula>AND(ISNUMBER($B4142),ABS($B4142)&gt;'Opening Balance'!$B$16)</formula>
    </cfRule>
    <cfRule type="cellIs" priority="1183" operator="greaterThan" dxfId="1">
      <formula>0</formula>
    </cfRule>
    <cfRule type="cellIs" priority="1184" operator="lessThan" dxfId="2">
      <formula>0</formula>
    </cfRule>
  </conditionalFormatting>
  <conditionalFormatting sqref="D4142">
    <cfRule type="expression" priority="1182" dxfId="0" stopIfTrue="1">
      <formula>AND(ISNUMBER($B4142),ABS($B4142)&gt;'Opening Balance'!$B$16)</formula>
    </cfRule>
  </conditionalFormatting>
  <conditionalFormatting sqref="B4156">
    <cfRule type="expression" priority="1185" dxfId="0" stopIfTrue="1">
      <formula>AND(ISNUMBER($B4156),ABS($B4156)&gt;'Opening Balance'!$B$16)</formula>
    </cfRule>
    <cfRule type="cellIs" priority="1187" operator="greaterThan" dxfId="1">
      <formula>0</formula>
    </cfRule>
    <cfRule type="cellIs" priority="1188" operator="lessThan" dxfId="2">
      <formula>0</formula>
    </cfRule>
  </conditionalFormatting>
  <conditionalFormatting sqref="D4156">
    <cfRule type="expression" priority="1186" dxfId="0" stopIfTrue="1">
      <formula>AND(ISNUMBER($B4156),ABS($B4156)&gt;'Opening Balance'!$B$16)</formula>
    </cfRule>
  </conditionalFormatting>
  <conditionalFormatting sqref="B4170">
    <cfRule type="expression" priority="1189" dxfId="0" stopIfTrue="1">
      <formula>AND(ISNUMBER($B4170),ABS($B4170)&gt;'Opening Balance'!$B$16)</formula>
    </cfRule>
    <cfRule type="cellIs" priority="1191" operator="greaterThan" dxfId="1">
      <formula>0</formula>
    </cfRule>
    <cfRule type="cellIs" priority="1192" operator="lessThan" dxfId="2">
      <formula>0</formula>
    </cfRule>
  </conditionalFormatting>
  <conditionalFormatting sqref="D4170">
    <cfRule type="expression" priority="1190" dxfId="0" stopIfTrue="1">
      <formula>AND(ISNUMBER($B4170),ABS($B4170)&gt;'Opening Balance'!$B$16)</formula>
    </cfRule>
  </conditionalFormatting>
  <conditionalFormatting sqref="B4184">
    <cfRule type="expression" priority="1193" dxfId="0" stopIfTrue="1">
      <formula>AND(ISNUMBER($B4184),ABS($B4184)&gt;'Opening Balance'!$B$16)</formula>
    </cfRule>
    <cfRule type="cellIs" priority="1195" operator="greaterThan" dxfId="1">
      <formula>0</formula>
    </cfRule>
    <cfRule type="cellIs" priority="1196" operator="lessThan" dxfId="2">
      <formula>0</formula>
    </cfRule>
  </conditionalFormatting>
  <conditionalFormatting sqref="D4184">
    <cfRule type="expression" priority="1194" dxfId="0" stopIfTrue="1">
      <formula>AND(ISNUMBER($B4184),ABS($B4184)&gt;'Opening Balance'!$B$16)</formula>
    </cfRule>
  </conditionalFormatting>
  <conditionalFormatting sqref="B4198">
    <cfRule type="expression" priority="1197" dxfId="0" stopIfTrue="1">
      <formula>AND(ISNUMBER($B4198),ABS($B4198)&gt;'Opening Balance'!$B$16)</formula>
    </cfRule>
    <cfRule type="cellIs" priority="1199" operator="greaterThan" dxfId="1">
      <formula>0</formula>
    </cfRule>
    <cfRule type="cellIs" priority="1200" operator="lessThan" dxfId="2">
      <formula>0</formula>
    </cfRule>
  </conditionalFormatting>
  <conditionalFormatting sqref="D4198">
    <cfRule type="expression" priority="1198" dxfId="0" stopIfTrue="1">
      <formula>AND(ISNUMBER($B4198),ABS($B4198)&gt;'Opening Balance'!$B$16)</formula>
    </cfRule>
  </conditionalFormatting>
  <conditionalFormatting sqref="B4212">
    <cfRule type="expression" priority="1201" dxfId="0" stopIfTrue="1">
      <formula>AND(ISNUMBER($B4212),ABS($B4212)&gt;'Opening Balance'!$B$16)</formula>
    </cfRule>
    <cfRule type="cellIs" priority="1203" operator="greaterThan" dxfId="1">
      <formula>0</formula>
    </cfRule>
    <cfRule type="cellIs" priority="1204" operator="lessThan" dxfId="2">
      <formula>0</formula>
    </cfRule>
  </conditionalFormatting>
  <conditionalFormatting sqref="D4212">
    <cfRule type="expression" priority="1202" dxfId="0" stopIfTrue="1">
      <formula>AND(ISNUMBER($B4212),ABS($B4212)&gt;'Opening Balance'!$B$16)</formula>
    </cfRule>
  </conditionalFormatting>
  <conditionalFormatting sqref="B4226">
    <cfRule type="expression" priority="1205" dxfId="0" stopIfTrue="1">
      <formula>AND(ISNUMBER($B4226),ABS($B4226)&gt;'Opening Balance'!$B$16)</formula>
    </cfRule>
    <cfRule type="cellIs" priority="1207" operator="greaterThan" dxfId="1">
      <formula>0</formula>
    </cfRule>
    <cfRule type="cellIs" priority="1208" operator="lessThan" dxfId="2">
      <formula>0</formula>
    </cfRule>
  </conditionalFormatting>
  <conditionalFormatting sqref="D4226">
    <cfRule type="expression" priority="1206" dxfId="0" stopIfTrue="1">
      <formula>AND(ISNUMBER($B4226),ABS($B4226)&gt;'Opening Balance'!$B$16)</formula>
    </cfRule>
  </conditionalFormatting>
  <conditionalFormatting sqref="B4240">
    <cfRule type="expression" priority="1209" dxfId="0" stopIfTrue="1">
      <formula>AND(ISNUMBER($B4240),ABS($B4240)&gt;'Opening Balance'!$B$16)</formula>
    </cfRule>
    <cfRule type="cellIs" priority="1211" operator="greaterThan" dxfId="1">
      <formula>0</formula>
    </cfRule>
    <cfRule type="cellIs" priority="1212" operator="lessThan" dxfId="2">
      <formula>0</formula>
    </cfRule>
  </conditionalFormatting>
  <conditionalFormatting sqref="D4240">
    <cfRule type="expression" priority="1210" dxfId="0" stopIfTrue="1">
      <formula>AND(ISNUMBER($B4240),ABS($B4240)&gt;'Opening Balance'!$B$16)</formula>
    </cfRule>
  </conditionalFormatting>
  <conditionalFormatting sqref="B4254">
    <cfRule type="expression" priority="1213" dxfId="0" stopIfTrue="1">
      <formula>AND(ISNUMBER($B4254),ABS($B4254)&gt;'Opening Balance'!$B$16)</formula>
    </cfRule>
    <cfRule type="cellIs" priority="1215" operator="greaterThan" dxfId="1">
      <formula>0</formula>
    </cfRule>
    <cfRule type="cellIs" priority="1216" operator="lessThan" dxfId="2">
      <formula>0</formula>
    </cfRule>
  </conditionalFormatting>
  <conditionalFormatting sqref="D4254">
    <cfRule type="expression" priority="1214" dxfId="0" stopIfTrue="1">
      <formula>AND(ISNUMBER($B4254),ABS($B4254)&gt;'Opening Balance'!$B$16)</formula>
    </cfRule>
  </conditionalFormatting>
  <conditionalFormatting sqref="B4268">
    <cfRule type="expression" priority="1217" dxfId="0" stopIfTrue="1">
      <formula>AND(ISNUMBER($B4268),ABS($B4268)&gt;'Opening Balance'!$B$16)</formula>
    </cfRule>
    <cfRule type="cellIs" priority="1219" operator="greaterThan" dxfId="1">
      <formula>0</formula>
    </cfRule>
    <cfRule type="cellIs" priority="1220" operator="lessThan" dxfId="2">
      <formula>0</formula>
    </cfRule>
  </conditionalFormatting>
  <conditionalFormatting sqref="D4268">
    <cfRule type="expression" priority="1218" dxfId="0" stopIfTrue="1">
      <formula>AND(ISNUMBER($B4268),ABS($B4268)&gt;'Opening Balance'!$B$16)</formula>
    </cfRule>
  </conditionalFormatting>
  <conditionalFormatting sqref="B4282">
    <cfRule type="expression" priority="1221" dxfId="0" stopIfTrue="1">
      <formula>AND(ISNUMBER($B4282),ABS($B4282)&gt;'Opening Balance'!$B$16)</formula>
    </cfRule>
    <cfRule type="cellIs" priority="1223" operator="greaterThan" dxfId="1">
      <formula>0</formula>
    </cfRule>
    <cfRule type="cellIs" priority="1224" operator="lessThan" dxfId="2">
      <formula>0</formula>
    </cfRule>
  </conditionalFormatting>
  <conditionalFormatting sqref="D4282">
    <cfRule type="expression" priority="1222" dxfId="0" stopIfTrue="1">
      <formula>AND(ISNUMBER($B4282),ABS($B4282)&gt;'Opening Balance'!$B$16)</formula>
    </cfRule>
  </conditionalFormatting>
  <conditionalFormatting sqref="B4296">
    <cfRule type="expression" priority="1225" dxfId="0" stopIfTrue="1">
      <formula>AND(ISNUMBER($B4296),ABS($B4296)&gt;'Opening Balance'!$B$16)</formula>
    </cfRule>
    <cfRule type="cellIs" priority="1227" operator="greaterThan" dxfId="1">
      <formula>0</formula>
    </cfRule>
    <cfRule type="cellIs" priority="1228" operator="lessThan" dxfId="2">
      <formula>0</formula>
    </cfRule>
  </conditionalFormatting>
  <conditionalFormatting sqref="D4296">
    <cfRule type="expression" priority="1226" dxfId="0" stopIfTrue="1">
      <formula>AND(ISNUMBER($B4296),ABS($B4296)&gt;'Opening Balance'!$B$16)</formula>
    </cfRule>
  </conditionalFormatting>
  <conditionalFormatting sqref="B4310">
    <cfRule type="expression" priority="1229" dxfId="0" stopIfTrue="1">
      <formula>AND(ISNUMBER($B4310),ABS($B4310)&gt;'Opening Balance'!$B$16)</formula>
    </cfRule>
    <cfRule type="cellIs" priority="1231" operator="greaterThan" dxfId="1">
      <formula>0</formula>
    </cfRule>
    <cfRule type="cellIs" priority="1232" operator="lessThan" dxfId="2">
      <formula>0</formula>
    </cfRule>
  </conditionalFormatting>
  <conditionalFormatting sqref="D4310">
    <cfRule type="expression" priority="1230" dxfId="0" stopIfTrue="1">
      <formula>AND(ISNUMBER($B4310),ABS($B4310)&gt;'Opening Balance'!$B$16)</formula>
    </cfRule>
  </conditionalFormatting>
  <conditionalFormatting sqref="B4324">
    <cfRule type="expression" priority="1233" dxfId="0" stopIfTrue="1">
      <formula>AND(ISNUMBER($B4324),ABS($B4324)&gt;'Opening Balance'!$B$16)</formula>
    </cfRule>
    <cfRule type="cellIs" priority="1235" operator="greaterThan" dxfId="1">
      <formula>0</formula>
    </cfRule>
    <cfRule type="cellIs" priority="1236" operator="lessThan" dxfId="2">
      <formula>0</formula>
    </cfRule>
  </conditionalFormatting>
  <conditionalFormatting sqref="D4324">
    <cfRule type="expression" priority="1234" dxfId="0" stopIfTrue="1">
      <formula>AND(ISNUMBER($B4324),ABS($B4324)&gt;'Opening Balance'!$B$16)</formula>
    </cfRule>
  </conditionalFormatting>
  <conditionalFormatting sqref="B4338">
    <cfRule type="expression" priority="1237" dxfId="0" stopIfTrue="1">
      <formula>AND(ISNUMBER($B4338),ABS($B4338)&gt;'Opening Balance'!$B$16)</formula>
    </cfRule>
    <cfRule type="cellIs" priority="1239" operator="greaterThan" dxfId="1">
      <formula>0</formula>
    </cfRule>
    <cfRule type="cellIs" priority="1240" operator="lessThan" dxfId="2">
      <formula>0</formula>
    </cfRule>
  </conditionalFormatting>
  <conditionalFormatting sqref="D4338">
    <cfRule type="expression" priority="1238" dxfId="0" stopIfTrue="1">
      <formula>AND(ISNUMBER($B4338),ABS($B4338)&gt;'Opening Balance'!$B$16)</formula>
    </cfRule>
  </conditionalFormatting>
  <conditionalFormatting sqref="B4352">
    <cfRule type="expression" priority="1241" dxfId="0" stopIfTrue="1">
      <formula>AND(ISNUMBER($B4352),ABS($B4352)&gt;'Opening Balance'!$B$16)</formula>
    </cfRule>
    <cfRule type="cellIs" priority="1243" operator="greaterThan" dxfId="1">
      <formula>0</formula>
    </cfRule>
    <cfRule type="cellIs" priority="1244" operator="lessThan" dxfId="2">
      <formula>0</formula>
    </cfRule>
  </conditionalFormatting>
  <conditionalFormatting sqref="D4352">
    <cfRule type="expression" priority="1242" dxfId="0" stopIfTrue="1">
      <formula>AND(ISNUMBER($B4352),ABS($B4352)&gt;'Opening Balance'!$B$16)</formula>
    </cfRule>
  </conditionalFormatting>
  <conditionalFormatting sqref="B4366">
    <cfRule type="expression" priority="1245" dxfId="0" stopIfTrue="1">
      <formula>AND(ISNUMBER($B4366),ABS($B4366)&gt;'Opening Balance'!$B$16)</formula>
    </cfRule>
    <cfRule type="cellIs" priority="1247" operator="greaterThan" dxfId="1">
      <formula>0</formula>
    </cfRule>
    <cfRule type="cellIs" priority="1248" operator="lessThan" dxfId="2">
      <formula>0</formula>
    </cfRule>
  </conditionalFormatting>
  <conditionalFormatting sqref="D4366">
    <cfRule type="expression" priority="1246" dxfId="0" stopIfTrue="1">
      <formula>AND(ISNUMBER($B4366),ABS($B4366)&gt;'Opening Balance'!$B$16)</formula>
    </cfRule>
  </conditionalFormatting>
  <conditionalFormatting sqref="B4380">
    <cfRule type="expression" priority="1249" dxfId="0" stopIfTrue="1">
      <formula>AND(ISNUMBER($B4380),ABS($B4380)&gt;'Opening Balance'!$B$16)</formula>
    </cfRule>
    <cfRule type="cellIs" priority="1251" operator="greaterThan" dxfId="1">
      <formula>0</formula>
    </cfRule>
    <cfRule type="cellIs" priority="1252" operator="lessThan" dxfId="2">
      <formula>0</formula>
    </cfRule>
  </conditionalFormatting>
  <conditionalFormatting sqref="D4380">
    <cfRule type="expression" priority="1250" dxfId="0" stopIfTrue="1">
      <formula>AND(ISNUMBER($B4380),ABS($B4380)&gt;'Opening Balance'!$B$16)</formula>
    </cfRule>
  </conditionalFormatting>
  <conditionalFormatting sqref="B4394">
    <cfRule type="expression" priority="1253" dxfId="0" stopIfTrue="1">
      <formula>AND(ISNUMBER($B4394),ABS($B4394)&gt;'Opening Balance'!$B$16)</formula>
    </cfRule>
    <cfRule type="cellIs" priority="1255" operator="greaterThan" dxfId="1">
      <formula>0</formula>
    </cfRule>
    <cfRule type="cellIs" priority="1256" operator="lessThan" dxfId="2">
      <formula>0</formula>
    </cfRule>
  </conditionalFormatting>
  <conditionalFormatting sqref="D4394">
    <cfRule type="expression" priority="1254" dxfId="0" stopIfTrue="1">
      <formula>AND(ISNUMBER($B4394),ABS($B4394)&gt;'Opening Balance'!$B$16)</formula>
    </cfRule>
  </conditionalFormatting>
  <conditionalFormatting sqref="B4408">
    <cfRule type="expression" priority="1257" dxfId="0" stopIfTrue="1">
      <formula>AND(ISNUMBER($B4408),ABS($B4408)&gt;'Opening Balance'!$B$16)</formula>
    </cfRule>
    <cfRule type="cellIs" priority="1259" operator="greaterThan" dxfId="1">
      <formula>0</formula>
    </cfRule>
    <cfRule type="cellIs" priority="1260" operator="lessThan" dxfId="2">
      <formula>0</formula>
    </cfRule>
  </conditionalFormatting>
  <conditionalFormatting sqref="D4408">
    <cfRule type="expression" priority="1258" dxfId="0" stopIfTrue="1">
      <formula>AND(ISNUMBER($B4408),ABS($B4408)&gt;'Opening Balance'!$B$16)</formula>
    </cfRule>
  </conditionalFormatting>
  <conditionalFormatting sqref="B4422">
    <cfRule type="expression" priority="1261" dxfId="0" stopIfTrue="1">
      <formula>AND(ISNUMBER($B4422),ABS($B4422)&gt;'Opening Balance'!$B$16)</formula>
    </cfRule>
    <cfRule type="cellIs" priority="1263" operator="greaterThan" dxfId="1">
      <formula>0</formula>
    </cfRule>
    <cfRule type="cellIs" priority="1264" operator="lessThan" dxfId="2">
      <formula>0</formula>
    </cfRule>
  </conditionalFormatting>
  <conditionalFormatting sqref="D4422">
    <cfRule type="expression" priority="1262" dxfId="0" stopIfTrue="1">
      <formula>AND(ISNUMBER($B4422),ABS($B4422)&gt;'Opening Balance'!$B$16)</formula>
    </cfRule>
  </conditionalFormatting>
  <conditionalFormatting sqref="B4436">
    <cfRule type="expression" priority="1265" dxfId="0" stopIfTrue="1">
      <formula>AND(ISNUMBER($B4436),ABS($B4436)&gt;'Opening Balance'!$B$16)</formula>
    </cfRule>
    <cfRule type="cellIs" priority="1267" operator="greaterThan" dxfId="1">
      <formula>0</formula>
    </cfRule>
    <cfRule type="cellIs" priority="1268" operator="lessThan" dxfId="2">
      <formula>0</formula>
    </cfRule>
  </conditionalFormatting>
  <conditionalFormatting sqref="D4436">
    <cfRule type="expression" priority="1266" dxfId="0" stopIfTrue="1">
      <formula>AND(ISNUMBER($B4436),ABS($B4436)&gt;'Opening Balance'!$B$16)</formula>
    </cfRule>
  </conditionalFormatting>
  <conditionalFormatting sqref="B4450">
    <cfRule type="expression" priority="1269" dxfId="0" stopIfTrue="1">
      <formula>AND(ISNUMBER($B4450),ABS($B4450)&gt;'Opening Balance'!$B$16)</formula>
    </cfRule>
    <cfRule type="cellIs" priority="1271" operator="greaterThan" dxfId="1">
      <formula>0</formula>
    </cfRule>
    <cfRule type="cellIs" priority="1272" operator="lessThan" dxfId="2">
      <formula>0</formula>
    </cfRule>
  </conditionalFormatting>
  <conditionalFormatting sqref="D4450">
    <cfRule type="expression" priority="1270" dxfId="0" stopIfTrue="1">
      <formula>AND(ISNUMBER($B4450),ABS($B4450)&gt;'Opening Balance'!$B$16)</formula>
    </cfRule>
  </conditionalFormatting>
  <conditionalFormatting sqref="B4464">
    <cfRule type="expression" priority="1273" dxfId="0" stopIfTrue="1">
      <formula>AND(ISNUMBER($B4464),ABS($B4464)&gt;'Opening Balance'!$B$16)</formula>
    </cfRule>
    <cfRule type="cellIs" priority="1275" operator="greaterThan" dxfId="1">
      <formula>0</formula>
    </cfRule>
    <cfRule type="cellIs" priority="1276" operator="lessThan" dxfId="2">
      <formula>0</formula>
    </cfRule>
  </conditionalFormatting>
  <conditionalFormatting sqref="D4464">
    <cfRule type="expression" priority="1274" dxfId="0" stopIfTrue="1">
      <formula>AND(ISNUMBER($B4464),ABS($B4464)&gt;'Opening Balance'!$B$16)</formula>
    </cfRule>
  </conditionalFormatting>
  <conditionalFormatting sqref="B4478">
    <cfRule type="expression" priority="1277" dxfId="0" stopIfTrue="1">
      <formula>AND(ISNUMBER($B4478),ABS($B4478)&gt;'Opening Balance'!$B$16)</formula>
    </cfRule>
    <cfRule type="cellIs" priority="1279" operator="greaterThan" dxfId="1">
      <formula>0</formula>
    </cfRule>
    <cfRule type="cellIs" priority="1280" operator="lessThan" dxfId="2">
      <formula>0</formula>
    </cfRule>
  </conditionalFormatting>
  <conditionalFormatting sqref="D4478">
    <cfRule type="expression" priority="1278" dxfId="0" stopIfTrue="1">
      <formula>AND(ISNUMBER($B4478),ABS($B4478)&gt;'Opening Balance'!$B$16)</formula>
    </cfRule>
  </conditionalFormatting>
  <conditionalFormatting sqref="B4492">
    <cfRule type="expression" priority="1281" dxfId="0" stopIfTrue="1">
      <formula>AND(ISNUMBER($B4492),ABS($B4492)&gt;'Opening Balance'!$B$16)</formula>
    </cfRule>
    <cfRule type="cellIs" priority="1283" operator="greaterThan" dxfId="1">
      <formula>0</formula>
    </cfRule>
    <cfRule type="cellIs" priority="1284" operator="lessThan" dxfId="2">
      <formula>0</formula>
    </cfRule>
  </conditionalFormatting>
  <conditionalFormatting sqref="D4492">
    <cfRule type="expression" priority="1282" dxfId="0" stopIfTrue="1">
      <formula>AND(ISNUMBER($B4492),ABS($B4492)&gt;'Opening Balance'!$B$16)</formula>
    </cfRule>
  </conditionalFormatting>
  <conditionalFormatting sqref="B4506">
    <cfRule type="expression" priority="1285" dxfId="0" stopIfTrue="1">
      <formula>AND(ISNUMBER($B4506),ABS($B4506)&gt;'Opening Balance'!$B$16)</formula>
    </cfRule>
    <cfRule type="cellIs" priority="1287" operator="greaterThan" dxfId="1">
      <formula>0</formula>
    </cfRule>
    <cfRule type="cellIs" priority="1288" operator="lessThan" dxfId="2">
      <formula>0</formula>
    </cfRule>
  </conditionalFormatting>
  <conditionalFormatting sqref="D4506">
    <cfRule type="expression" priority="1286" dxfId="0" stopIfTrue="1">
      <formula>AND(ISNUMBER($B4506),ABS($B4506)&gt;'Opening Balance'!$B$16)</formula>
    </cfRule>
  </conditionalFormatting>
  <conditionalFormatting sqref="B4520">
    <cfRule type="expression" priority="1289" dxfId="0" stopIfTrue="1">
      <formula>AND(ISNUMBER($B4520),ABS($B4520)&gt;'Opening Balance'!$B$16)</formula>
    </cfRule>
    <cfRule type="cellIs" priority="1291" operator="greaterThan" dxfId="1">
      <formula>0</formula>
    </cfRule>
    <cfRule type="cellIs" priority="1292" operator="lessThan" dxfId="2">
      <formula>0</formula>
    </cfRule>
  </conditionalFormatting>
  <conditionalFormatting sqref="D4520">
    <cfRule type="expression" priority="1290" dxfId="0" stopIfTrue="1">
      <formula>AND(ISNUMBER($B4520),ABS($B4520)&gt;'Opening Balance'!$B$16)</formula>
    </cfRule>
  </conditionalFormatting>
  <conditionalFormatting sqref="B4534">
    <cfRule type="expression" priority="1293" dxfId="0" stopIfTrue="1">
      <formula>AND(ISNUMBER($B4534),ABS($B4534)&gt;'Opening Balance'!$B$16)</formula>
    </cfRule>
    <cfRule type="cellIs" priority="1295" operator="greaterThan" dxfId="1">
      <formula>0</formula>
    </cfRule>
    <cfRule type="cellIs" priority="1296" operator="lessThan" dxfId="2">
      <formula>0</formula>
    </cfRule>
  </conditionalFormatting>
  <conditionalFormatting sqref="D4534">
    <cfRule type="expression" priority="1294" dxfId="0" stopIfTrue="1">
      <formula>AND(ISNUMBER($B4534),ABS($B4534)&gt;'Opening Balance'!$B$16)</formula>
    </cfRule>
  </conditionalFormatting>
  <conditionalFormatting sqref="B4548">
    <cfRule type="expression" priority="1297" dxfId="0" stopIfTrue="1">
      <formula>AND(ISNUMBER($B4548),ABS($B4548)&gt;'Opening Balance'!$B$16)</formula>
    </cfRule>
    <cfRule type="cellIs" priority="1299" operator="greaterThan" dxfId="1">
      <formula>0</formula>
    </cfRule>
    <cfRule type="cellIs" priority="1300" operator="lessThan" dxfId="2">
      <formula>0</formula>
    </cfRule>
  </conditionalFormatting>
  <conditionalFormatting sqref="D4548">
    <cfRule type="expression" priority="1298" dxfId="0" stopIfTrue="1">
      <formula>AND(ISNUMBER($B4548),ABS($B4548)&gt;'Opening Balance'!$B$16)</formula>
    </cfRule>
  </conditionalFormatting>
  <conditionalFormatting sqref="B4562">
    <cfRule type="expression" priority="1301" dxfId="0" stopIfTrue="1">
      <formula>AND(ISNUMBER($B4562),ABS($B4562)&gt;'Opening Balance'!$B$16)</formula>
    </cfRule>
    <cfRule type="cellIs" priority="1303" operator="greaterThan" dxfId="1">
      <formula>0</formula>
    </cfRule>
    <cfRule type="cellIs" priority="1304" operator="lessThan" dxfId="2">
      <formula>0</formula>
    </cfRule>
  </conditionalFormatting>
  <conditionalFormatting sqref="D4562">
    <cfRule type="expression" priority="1302" dxfId="0" stopIfTrue="1">
      <formula>AND(ISNUMBER($B4562),ABS($B4562)&gt;'Opening Balance'!$B$16)</formula>
    </cfRule>
  </conditionalFormatting>
  <conditionalFormatting sqref="B4576">
    <cfRule type="expression" priority="1305" dxfId="0" stopIfTrue="1">
      <formula>AND(ISNUMBER($B4576),ABS($B4576)&gt;'Opening Balance'!$B$16)</formula>
    </cfRule>
    <cfRule type="cellIs" priority="1307" operator="greaterThan" dxfId="1">
      <formula>0</formula>
    </cfRule>
    <cfRule type="cellIs" priority="1308" operator="lessThan" dxfId="2">
      <formula>0</formula>
    </cfRule>
  </conditionalFormatting>
  <conditionalFormatting sqref="D4576">
    <cfRule type="expression" priority="1306" dxfId="0" stopIfTrue="1">
      <formula>AND(ISNUMBER($B4576),ABS($B4576)&gt;'Opening Balance'!$B$16)</formula>
    </cfRule>
  </conditionalFormatting>
  <conditionalFormatting sqref="B4590">
    <cfRule type="expression" priority="1309" dxfId="0" stopIfTrue="1">
      <formula>AND(ISNUMBER($B4590),ABS($B4590)&gt;'Opening Balance'!$B$16)</formula>
    </cfRule>
    <cfRule type="cellIs" priority="1311" operator="greaterThan" dxfId="1">
      <formula>0</formula>
    </cfRule>
    <cfRule type="cellIs" priority="1312" operator="lessThan" dxfId="2">
      <formula>0</formula>
    </cfRule>
  </conditionalFormatting>
  <conditionalFormatting sqref="D4590">
    <cfRule type="expression" priority="1310" dxfId="0" stopIfTrue="1">
      <formula>AND(ISNUMBER($B4590),ABS($B4590)&gt;'Opening Balance'!$B$16)</formula>
    </cfRule>
  </conditionalFormatting>
  <conditionalFormatting sqref="B4604">
    <cfRule type="expression" priority="1313" dxfId="0" stopIfTrue="1">
      <formula>AND(ISNUMBER($B4604),ABS($B4604)&gt;'Opening Balance'!$B$16)</formula>
    </cfRule>
    <cfRule type="cellIs" priority="1315" operator="greaterThan" dxfId="1">
      <formula>0</formula>
    </cfRule>
    <cfRule type="cellIs" priority="1316" operator="lessThan" dxfId="2">
      <formula>0</formula>
    </cfRule>
  </conditionalFormatting>
  <conditionalFormatting sqref="D4604">
    <cfRule type="expression" priority="1314" dxfId="0" stopIfTrue="1">
      <formula>AND(ISNUMBER($B4604),ABS($B4604)&gt;'Opening Balance'!$B$16)</formula>
    </cfRule>
  </conditionalFormatting>
  <conditionalFormatting sqref="B4618">
    <cfRule type="expression" priority="1317" dxfId="0" stopIfTrue="1">
      <formula>AND(ISNUMBER($B4618),ABS($B4618)&gt;'Opening Balance'!$B$16)</formula>
    </cfRule>
    <cfRule type="cellIs" priority="1319" operator="greaterThan" dxfId="1">
      <formula>0</formula>
    </cfRule>
    <cfRule type="cellIs" priority="1320" operator="lessThan" dxfId="2">
      <formula>0</formula>
    </cfRule>
  </conditionalFormatting>
  <conditionalFormatting sqref="D4618">
    <cfRule type="expression" priority="1318" dxfId="0" stopIfTrue="1">
      <formula>AND(ISNUMBER($B4618),ABS($B4618)&gt;'Opening Balance'!$B$16)</formula>
    </cfRule>
  </conditionalFormatting>
  <conditionalFormatting sqref="B4632">
    <cfRule type="expression" priority="1321" dxfId="0" stopIfTrue="1">
      <formula>AND(ISNUMBER($B4632),ABS($B4632)&gt;'Opening Balance'!$B$16)</formula>
    </cfRule>
    <cfRule type="cellIs" priority="1323" operator="greaterThan" dxfId="1">
      <formula>0</formula>
    </cfRule>
    <cfRule type="cellIs" priority="1324" operator="lessThan" dxfId="2">
      <formula>0</formula>
    </cfRule>
  </conditionalFormatting>
  <conditionalFormatting sqref="D4632">
    <cfRule type="expression" priority="1322" dxfId="0" stopIfTrue="1">
      <formula>AND(ISNUMBER($B4632),ABS($B4632)&gt;'Opening Balance'!$B$16)</formula>
    </cfRule>
  </conditionalFormatting>
  <conditionalFormatting sqref="B4646">
    <cfRule type="expression" priority="1325" dxfId="0" stopIfTrue="1">
      <formula>AND(ISNUMBER($B4646),ABS($B4646)&gt;'Opening Balance'!$B$16)</formula>
    </cfRule>
    <cfRule type="cellIs" priority="1327" operator="greaterThan" dxfId="1">
      <formula>0</formula>
    </cfRule>
    <cfRule type="cellIs" priority="1328" operator="lessThan" dxfId="2">
      <formula>0</formula>
    </cfRule>
  </conditionalFormatting>
  <conditionalFormatting sqref="D4646">
    <cfRule type="expression" priority="1326" dxfId="0" stopIfTrue="1">
      <formula>AND(ISNUMBER($B4646),ABS($B4646)&gt;'Opening Balance'!$B$16)</formula>
    </cfRule>
  </conditionalFormatting>
  <conditionalFormatting sqref="B4660">
    <cfRule type="expression" priority="1329" dxfId="0" stopIfTrue="1">
      <formula>AND(ISNUMBER($B4660),ABS($B4660)&gt;'Opening Balance'!$B$16)</formula>
    </cfRule>
    <cfRule type="cellIs" priority="1331" operator="greaterThan" dxfId="1">
      <formula>0</formula>
    </cfRule>
    <cfRule type="cellIs" priority="1332" operator="lessThan" dxfId="2">
      <formula>0</formula>
    </cfRule>
  </conditionalFormatting>
  <conditionalFormatting sqref="D4660">
    <cfRule type="expression" priority="1330" dxfId="0" stopIfTrue="1">
      <formula>AND(ISNUMBER($B4660),ABS($B4660)&gt;'Opening Balance'!$B$16)</formula>
    </cfRule>
  </conditionalFormatting>
  <conditionalFormatting sqref="B4674">
    <cfRule type="expression" priority="1333" dxfId="0" stopIfTrue="1">
      <formula>AND(ISNUMBER($B4674),ABS($B4674)&gt;'Opening Balance'!$B$16)</formula>
    </cfRule>
    <cfRule type="cellIs" priority="1335" operator="greaterThan" dxfId="1">
      <formula>0</formula>
    </cfRule>
    <cfRule type="cellIs" priority="1336" operator="lessThan" dxfId="2">
      <formula>0</formula>
    </cfRule>
  </conditionalFormatting>
  <conditionalFormatting sqref="D4674">
    <cfRule type="expression" priority="1334" dxfId="0" stopIfTrue="1">
      <formula>AND(ISNUMBER($B4674),ABS($B4674)&gt;'Opening Balance'!$B$16)</formula>
    </cfRule>
  </conditionalFormatting>
  <conditionalFormatting sqref="B4688">
    <cfRule type="expression" priority="1337" dxfId="0" stopIfTrue="1">
      <formula>AND(ISNUMBER($B4688),ABS($B4688)&gt;'Opening Balance'!$B$16)</formula>
    </cfRule>
    <cfRule type="cellIs" priority="1339" operator="greaterThan" dxfId="1">
      <formula>0</formula>
    </cfRule>
    <cfRule type="cellIs" priority="1340" operator="lessThan" dxfId="2">
      <formula>0</formula>
    </cfRule>
  </conditionalFormatting>
  <conditionalFormatting sqref="D4688">
    <cfRule type="expression" priority="1338" dxfId="0" stopIfTrue="1">
      <formula>AND(ISNUMBER($B4688),ABS($B4688)&gt;'Opening Balance'!$B$16)</formula>
    </cfRule>
  </conditionalFormatting>
  <conditionalFormatting sqref="B4702">
    <cfRule type="expression" priority="1341" dxfId="0" stopIfTrue="1">
      <formula>AND(ISNUMBER($B4702),ABS($B4702)&gt;'Opening Balance'!$B$16)</formula>
    </cfRule>
    <cfRule type="cellIs" priority="1343" operator="greaterThan" dxfId="1">
      <formula>0</formula>
    </cfRule>
    <cfRule type="cellIs" priority="1344" operator="lessThan" dxfId="2">
      <formula>0</formula>
    </cfRule>
  </conditionalFormatting>
  <conditionalFormatting sqref="D4702">
    <cfRule type="expression" priority="1342" dxfId="0" stopIfTrue="1">
      <formula>AND(ISNUMBER($B4702),ABS($B4702)&gt;'Opening Balance'!$B$16)</formula>
    </cfRule>
  </conditionalFormatting>
  <conditionalFormatting sqref="B4716">
    <cfRule type="expression" priority="1345" dxfId="0" stopIfTrue="1">
      <formula>AND(ISNUMBER($B4716),ABS($B4716)&gt;'Opening Balance'!$B$16)</formula>
    </cfRule>
    <cfRule type="cellIs" priority="1347" operator="greaterThan" dxfId="1">
      <formula>0</formula>
    </cfRule>
    <cfRule type="cellIs" priority="1348" operator="lessThan" dxfId="2">
      <formula>0</formula>
    </cfRule>
  </conditionalFormatting>
  <conditionalFormatting sqref="D4716">
    <cfRule type="expression" priority="1346" dxfId="0" stopIfTrue="1">
      <formula>AND(ISNUMBER($B4716),ABS($B4716)&gt;'Opening Balance'!$B$16)</formula>
    </cfRule>
  </conditionalFormatting>
  <conditionalFormatting sqref="B4730">
    <cfRule type="expression" priority="1349" dxfId="0" stopIfTrue="1">
      <formula>AND(ISNUMBER($B4730),ABS($B4730)&gt;'Opening Balance'!$B$16)</formula>
    </cfRule>
    <cfRule type="cellIs" priority="1351" operator="greaterThan" dxfId="1">
      <formula>0</formula>
    </cfRule>
    <cfRule type="cellIs" priority="1352" operator="lessThan" dxfId="2">
      <formula>0</formula>
    </cfRule>
  </conditionalFormatting>
  <conditionalFormatting sqref="D4730">
    <cfRule type="expression" priority="1350" dxfId="0" stopIfTrue="1">
      <formula>AND(ISNUMBER($B4730),ABS($B4730)&gt;'Opening Balance'!$B$16)</formula>
    </cfRule>
  </conditionalFormatting>
  <conditionalFormatting sqref="B4744">
    <cfRule type="expression" priority="1353" dxfId="0" stopIfTrue="1">
      <formula>AND(ISNUMBER($B4744),ABS($B4744)&gt;'Opening Balance'!$B$16)</formula>
    </cfRule>
    <cfRule type="cellIs" priority="1355" operator="greaterThan" dxfId="1">
      <formula>0</formula>
    </cfRule>
    <cfRule type="cellIs" priority="1356" operator="lessThan" dxfId="2">
      <formula>0</formula>
    </cfRule>
  </conditionalFormatting>
  <conditionalFormatting sqref="D4744">
    <cfRule type="expression" priority="1354" dxfId="0" stopIfTrue="1">
      <formula>AND(ISNUMBER($B4744),ABS($B4744)&gt;'Opening Balance'!$B$16)</formula>
    </cfRule>
  </conditionalFormatting>
  <conditionalFormatting sqref="B4758">
    <cfRule type="expression" priority="1357" dxfId="0" stopIfTrue="1">
      <formula>AND(ISNUMBER($B4758),ABS($B4758)&gt;'Opening Balance'!$B$16)</formula>
    </cfRule>
    <cfRule type="cellIs" priority="1359" operator="greaterThan" dxfId="1">
      <formula>0</formula>
    </cfRule>
    <cfRule type="cellIs" priority="1360" operator="lessThan" dxfId="2">
      <formula>0</formula>
    </cfRule>
  </conditionalFormatting>
  <conditionalFormatting sqref="D4758">
    <cfRule type="expression" priority="1358" dxfId="0" stopIfTrue="1">
      <formula>AND(ISNUMBER($B4758),ABS($B4758)&gt;'Opening Balance'!$B$16)</formula>
    </cfRule>
  </conditionalFormatting>
  <conditionalFormatting sqref="B4772">
    <cfRule type="expression" priority="1361" dxfId="0" stopIfTrue="1">
      <formula>AND(ISNUMBER($B4772),ABS($B4772)&gt;'Opening Balance'!$B$16)</formula>
    </cfRule>
    <cfRule type="cellIs" priority="1363" operator="greaterThan" dxfId="1">
      <formula>0</formula>
    </cfRule>
    <cfRule type="cellIs" priority="1364" operator="lessThan" dxfId="2">
      <formula>0</formula>
    </cfRule>
  </conditionalFormatting>
  <conditionalFormatting sqref="D4772">
    <cfRule type="expression" priority="1362" dxfId="0" stopIfTrue="1">
      <formula>AND(ISNUMBER($B4772),ABS($B4772)&gt;'Opening Balance'!$B$16)</formula>
    </cfRule>
  </conditionalFormatting>
  <conditionalFormatting sqref="B4786">
    <cfRule type="expression" priority="1365" dxfId="0" stopIfTrue="1">
      <formula>AND(ISNUMBER($B4786),ABS($B4786)&gt;'Opening Balance'!$B$16)</formula>
    </cfRule>
    <cfRule type="cellIs" priority="1367" operator="greaterThan" dxfId="1">
      <formula>0</formula>
    </cfRule>
    <cfRule type="cellIs" priority="1368" operator="lessThan" dxfId="2">
      <formula>0</formula>
    </cfRule>
  </conditionalFormatting>
  <conditionalFormatting sqref="D4786">
    <cfRule type="expression" priority="1366" dxfId="0" stopIfTrue="1">
      <formula>AND(ISNUMBER($B4786),ABS($B4786)&gt;'Opening Balance'!$B$16)</formula>
    </cfRule>
  </conditionalFormatting>
  <conditionalFormatting sqref="B4800">
    <cfRule type="expression" priority="1369" dxfId="0" stopIfTrue="1">
      <formula>AND(ISNUMBER($B4800),ABS($B4800)&gt;'Opening Balance'!$B$16)</formula>
    </cfRule>
    <cfRule type="cellIs" priority="1371" operator="greaterThan" dxfId="1">
      <formula>0</formula>
    </cfRule>
    <cfRule type="cellIs" priority="1372" operator="lessThan" dxfId="2">
      <formula>0</formula>
    </cfRule>
  </conditionalFormatting>
  <conditionalFormatting sqref="D4800">
    <cfRule type="expression" priority="1370" dxfId="0" stopIfTrue="1">
      <formula>AND(ISNUMBER($B4800),ABS($B4800)&gt;'Opening Balance'!$B$16)</formula>
    </cfRule>
  </conditionalFormatting>
  <conditionalFormatting sqref="B4814">
    <cfRule type="expression" priority="1373" dxfId="0" stopIfTrue="1">
      <formula>AND(ISNUMBER($B4814),ABS($B4814)&gt;'Opening Balance'!$B$16)</formula>
    </cfRule>
    <cfRule type="cellIs" priority="1375" operator="greaterThan" dxfId="1">
      <formula>0</formula>
    </cfRule>
    <cfRule type="cellIs" priority="1376" operator="lessThan" dxfId="2">
      <formula>0</formula>
    </cfRule>
  </conditionalFormatting>
  <conditionalFormatting sqref="D4814">
    <cfRule type="expression" priority="1374" dxfId="0" stopIfTrue="1">
      <formula>AND(ISNUMBER($B4814),ABS($B4814)&gt;'Opening Balance'!$B$16)</formula>
    </cfRule>
  </conditionalFormatting>
  <conditionalFormatting sqref="B4828">
    <cfRule type="expression" priority="1377" dxfId="0" stopIfTrue="1">
      <formula>AND(ISNUMBER($B4828),ABS($B4828)&gt;'Opening Balance'!$B$16)</formula>
    </cfRule>
    <cfRule type="cellIs" priority="1379" operator="greaterThan" dxfId="1">
      <formula>0</formula>
    </cfRule>
    <cfRule type="cellIs" priority="1380" operator="lessThan" dxfId="2">
      <formula>0</formula>
    </cfRule>
  </conditionalFormatting>
  <conditionalFormatting sqref="D4828">
    <cfRule type="expression" priority="1378" dxfId="0" stopIfTrue="1">
      <formula>AND(ISNUMBER($B4828),ABS($B4828)&gt;'Opening Balance'!$B$16)</formula>
    </cfRule>
  </conditionalFormatting>
  <conditionalFormatting sqref="B4842">
    <cfRule type="expression" priority="1381" dxfId="0" stopIfTrue="1">
      <formula>AND(ISNUMBER($B4842),ABS($B4842)&gt;'Opening Balance'!$B$16)</formula>
    </cfRule>
    <cfRule type="cellIs" priority="1383" operator="greaterThan" dxfId="1">
      <formula>0</formula>
    </cfRule>
    <cfRule type="cellIs" priority="1384" operator="lessThan" dxfId="2">
      <formula>0</formula>
    </cfRule>
  </conditionalFormatting>
  <conditionalFormatting sqref="D4842">
    <cfRule type="expression" priority="1382" dxfId="0" stopIfTrue="1">
      <formula>AND(ISNUMBER($B4842),ABS($B4842)&gt;'Opening Balance'!$B$16)</formula>
    </cfRule>
  </conditionalFormatting>
  <conditionalFormatting sqref="B4856">
    <cfRule type="expression" priority="1385" dxfId="0" stopIfTrue="1">
      <formula>AND(ISNUMBER($B4856),ABS($B4856)&gt;'Opening Balance'!$B$16)</formula>
    </cfRule>
    <cfRule type="cellIs" priority="1387" operator="greaterThan" dxfId="1">
      <formula>0</formula>
    </cfRule>
    <cfRule type="cellIs" priority="1388" operator="lessThan" dxfId="2">
      <formula>0</formula>
    </cfRule>
  </conditionalFormatting>
  <conditionalFormatting sqref="D4856">
    <cfRule type="expression" priority="1386" dxfId="0" stopIfTrue="1">
      <formula>AND(ISNUMBER($B4856),ABS($B4856)&gt;'Opening Balance'!$B$16)</formula>
    </cfRule>
  </conditionalFormatting>
  <conditionalFormatting sqref="B4870">
    <cfRule type="expression" priority="1389" dxfId="0" stopIfTrue="1">
      <formula>AND(ISNUMBER($B4870),ABS($B4870)&gt;'Opening Balance'!$B$16)</formula>
    </cfRule>
    <cfRule type="cellIs" priority="1391" operator="greaterThan" dxfId="1">
      <formula>0</formula>
    </cfRule>
    <cfRule type="cellIs" priority="1392" operator="lessThan" dxfId="2">
      <formula>0</formula>
    </cfRule>
  </conditionalFormatting>
  <conditionalFormatting sqref="D4870">
    <cfRule type="expression" priority="1390" dxfId="0" stopIfTrue="1">
      <formula>AND(ISNUMBER($B4870),ABS($B4870)&gt;'Opening Balance'!$B$16)</formula>
    </cfRule>
  </conditionalFormatting>
  <conditionalFormatting sqref="B4884">
    <cfRule type="expression" priority="1393" dxfId="0" stopIfTrue="1">
      <formula>AND(ISNUMBER($B4884),ABS($B4884)&gt;'Opening Balance'!$B$16)</formula>
    </cfRule>
    <cfRule type="cellIs" priority="1395" operator="greaterThan" dxfId="1">
      <formula>0</formula>
    </cfRule>
    <cfRule type="cellIs" priority="1396" operator="lessThan" dxfId="2">
      <formula>0</formula>
    </cfRule>
  </conditionalFormatting>
  <conditionalFormatting sqref="D4884">
    <cfRule type="expression" priority="1394" dxfId="0" stopIfTrue="1">
      <formula>AND(ISNUMBER($B4884),ABS($B4884)&gt;'Opening Balance'!$B$16)</formula>
    </cfRule>
  </conditionalFormatting>
  <conditionalFormatting sqref="B4898">
    <cfRule type="expression" priority="1397" dxfId="0" stopIfTrue="1">
      <formula>AND(ISNUMBER($B4898),ABS($B4898)&gt;'Opening Balance'!$B$16)</formula>
    </cfRule>
    <cfRule type="cellIs" priority="1399" operator="greaterThan" dxfId="1">
      <formula>0</formula>
    </cfRule>
    <cfRule type="cellIs" priority="1400" operator="lessThan" dxfId="2">
      <formula>0</formula>
    </cfRule>
  </conditionalFormatting>
  <conditionalFormatting sqref="D4898">
    <cfRule type="expression" priority="1398" dxfId="0" stopIfTrue="1">
      <formula>AND(ISNUMBER($B4898),ABS($B4898)&gt;'Opening Balance'!$B$16)</formula>
    </cfRule>
  </conditionalFormatting>
  <conditionalFormatting sqref="B4912">
    <cfRule type="expression" priority="1401" dxfId="0" stopIfTrue="1">
      <formula>AND(ISNUMBER($B4912),ABS($B4912)&gt;'Opening Balance'!$B$16)</formula>
    </cfRule>
    <cfRule type="cellIs" priority="1403" operator="greaterThan" dxfId="1">
      <formula>0</formula>
    </cfRule>
    <cfRule type="cellIs" priority="1404" operator="lessThan" dxfId="2">
      <formula>0</formula>
    </cfRule>
  </conditionalFormatting>
  <conditionalFormatting sqref="D4912">
    <cfRule type="expression" priority="1402" dxfId="0" stopIfTrue="1">
      <formula>AND(ISNUMBER($B4912),ABS($B4912)&gt;'Opening Balance'!$B$16)</formula>
    </cfRule>
  </conditionalFormatting>
  <conditionalFormatting sqref="B4926">
    <cfRule type="expression" priority="1405" dxfId="0" stopIfTrue="1">
      <formula>AND(ISNUMBER($B4926),ABS($B4926)&gt;'Opening Balance'!$B$16)</formula>
    </cfRule>
    <cfRule type="cellIs" priority="1407" operator="greaterThan" dxfId="1">
      <formula>0</formula>
    </cfRule>
    <cfRule type="cellIs" priority="1408" operator="lessThan" dxfId="2">
      <formula>0</formula>
    </cfRule>
  </conditionalFormatting>
  <conditionalFormatting sqref="D4926">
    <cfRule type="expression" priority="1406" dxfId="0" stopIfTrue="1">
      <formula>AND(ISNUMBER($B4926),ABS($B4926)&gt;'Opening Balance'!$B$16)</formula>
    </cfRule>
  </conditionalFormatting>
  <conditionalFormatting sqref="B4940">
    <cfRule type="expression" priority="1409" dxfId="0" stopIfTrue="1">
      <formula>AND(ISNUMBER($B4940),ABS($B4940)&gt;'Opening Balance'!$B$16)</formula>
    </cfRule>
    <cfRule type="cellIs" priority="1411" operator="greaterThan" dxfId="1">
      <formula>0</formula>
    </cfRule>
    <cfRule type="cellIs" priority="1412" operator="lessThan" dxfId="2">
      <formula>0</formula>
    </cfRule>
  </conditionalFormatting>
  <conditionalFormatting sqref="D4940">
    <cfRule type="expression" priority="1410" dxfId="0" stopIfTrue="1">
      <formula>AND(ISNUMBER($B4940),ABS($B4940)&gt;'Opening Balance'!$B$16)</formula>
    </cfRule>
  </conditionalFormatting>
  <conditionalFormatting sqref="B4954">
    <cfRule type="expression" priority="1413" dxfId="0" stopIfTrue="1">
      <formula>AND(ISNUMBER($B4954),ABS($B4954)&gt;'Opening Balance'!$B$16)</formula>
    </cfRule>
    <cfRule type="cellIs" priority="1415" operator="greaterThan" dxfId="1">
      <formula>0</formula>
    </cfRule>
    <cfRule type="cellIs" priority="1416" operator="lessThan" dxfId="2">
      <formula>0</formula>
    </cfRule>
  </conditionalFormatting>
  <conditionalFormatting sqref="D4954">
    <cfRule type="expression" priority="1414" dxfId="0" stopIfTrue="1">
      <formula>AND(ISNUMBER($B4954),ABS($B4954)&gt;'Opening Balance'!$B$16)</formula>
    </cfRule>
  </conditionalFormatting>
  <conditionalFormatting sqref="B4968">
    <cfRule type="expression" priority="1417" dxfId="0" stopIfTrue="1">
      <formula>AND(ISNUMBER($B4968),ABS($B4968)&gt;'Opening Balance'!$B$16)</formula>
    </cfRule>
    <cfRule type="cellIs" priority="1419" operator="greaterThan" dxfId="1">
      <formula>0</formula>
    </cfRule>
    <cfRule type="cellIs" priority="1420" operator="lessThan" dxfId="2">
      <formula>0</formula>
    </cfRule>
  </conditionalFormatting>
  <conditionalFormatting sqref="D4968">
    <cfRule type="expression" priority="1418" dxfId="0" stopIfTrue="1">
      <formula>AND(ISNUMBER($B4968),ABS($B4968)&gt;'Opening Balance'!$B$16)</formula>
    </cfRule>
  </conditionalFormatting>
  <conditionalFormatting sqref="B4982">
    <cfRule type="expression" priority="1421" dxfId="0" stopIfTrue="1">
      <formula>AND(ISNUMBER($B4982),ABS($B4982)&gt;'Opening Balance'!$B$16)</formula>
    </cfRule>
    <cfRule type="cellIs" priority="1423" operator="greaterThan" dxfId="1">
      <formula>0</formula>
    </cfRule>
    <cfRule type="cellIs" priority="1424" operator="lessThan" dxfId="2">
      <formula>0</formula>
    </cfRule>
  </conditionalFormatting>
  <conditionalFormatting sqref="D4982">
    <cfRule type="expression" priority="1422" dxfId="0" stopIfTrue="1">
      <formula>AND(ISNUMBER($B4982),ABS($B4982)&gt;'Opening Balance'!$B$16)</formula>
    </cfRule>
  </conditionalFormatting>
  <conditionalFormatting sqref="B4996">
    <cfRule type="expression" priority="1425" dxfId="0" stopIfTrue="1">
      <formula>AND(ISNUMBER($B4996),ABS($B4996)&gt;'Opening Balance'!$B$16)</formula>
    </cfRule>
    <cfRule type="cellIs" priority="1427" operator="greaterThan" dxfId="1">
      <formula>0</formula>
    </cfRule>
    <cfRule type="cellIs" priority="1428" operator="lessThan" dxfId="2">
      <formula>0</formula>
    </cfRule>
  </conditionalFormatting>
  <conditionalFormatting sqref="D4996">
    <cfRule type="expression" priority="1426" dxfId="0" stopIfTrue="1">
      <formula>AND(ISNUMBER($B4996),ABS($B4996)&gt;'Opening Balance'!$B$16)</formula>
    </cfRule>
  </conditionalFormatting>
  <conditionalFormatting sqref="B5010">
    <cfRule type="expression" priority="1429" dxfId="0" stopIfTrue="1">
      <formula>AND(ISNUMBER($B5010),ABS($B5010)&gt;'Opening Balance'!$B$16)</formula>
    </cfRule>
    <cfRule type="cellIs" priority="1431" operator="greaterThan" dxfId="1">
      <formula>0</formula>
    </cfRule>
    <cfRule type="cellIs" priority="1432" operator="lessThan" dxfId="2">
      <formula>0</formula>
    </cfRule>
  </conditionalFormatting>
  <conditionalFormatting sqref="D5010">
    <cfRule type="expression" priority="1430" dxfId="0" stopIfTrue="1">
      <formula>AND(ISNUMBER($B5010),ABS($B5010)&gt;'Opening Balance'!$B$16)</formula>
    </cfRule>
  </conditionalFormatting>
  <conditionalFormatting sqref="B5024">
    <cfRule type="expression" priority="1433" dxfId="0" stopIfTrue="1">
      <formula>AND(ISNUMBER($B5024),ABS($B5024)&gt;'Opening Balance'!$B$16)</formula>
    </cfRule>
    <cfRule type="cellIs" priority="1435" operator="greaterThan" dxfId="1">
      <formula>0</formula>
    </cfRule>
    <cfRule type="cellIs" priority="1436" operator="lessThan" dxfId="2">
      <formula>0</formula>
    </cfRule>
  </conditionalFormatting>
  <conditionalFormatting sqref="D5024">
    <cfRule type="expression" priority="1434" dxfId="0" stopIfTrue="1">
      <formula>AND(ISNUMBER($B5024),ABS($B5024)&gt;'Opening Balance'!$B$16)</formula>
    </cfRule>
  </conditionalFormatting>
  <conditionalFormatting sqref="B5038">
    <cfRule type="expression" priority="1437" dxfId="0" stopIfTrue="1">
      <formula>AND(ISNUMBER($B5038),ABS($B5038)&gt;'Opening Balance'!$B$16)</formula>
    </cfRule>
    <cfRule type="cellIs" priority="1439" operator="greaterThan" dxfId="1">
      <formula>0</formula>
    </cfRule>
    <cfRule type="cellIs" priority="1440" operator="lessThan" dxfId="2">
      <formula>0</formula>
    </cfRule>
  </conditionalFormatting>
  <conditionalFormatting sqref="D5038">
    <cfRule type="expression" priority="1438" dxfId="0" stopIfTrue="1">
      <formula>AND(ISNUMBER($B5038),ABS($B5038)&gt;'Opening Balance'!$B$16)</formula>
    </cfRule>
  </conditionalFormatting>
  <conditionalFormatting sqref="B5052">
    <cfRule type="expression" priority="1441" dxfId="0" stopIfTrue="1">
      <formula>AND(ISNUMBER($B5052),ABS($B5052)&gt;'Opening Balance'!$B$16)</formula>
    </cfRule>
    <cfRule type="cellIs" priority="1443" operator="greaterThan" dxfId="1">
      <formula>0</formula>
    </cfRule>
    <cfRule type="cellIs" priority="1444" operator="lessThan" dxfId="2">
      <formula>0</formula>
    </cfRule>
  </conditionalFormatting>
  <conditionalFormatting sqref="D5052">
    <cfRule type="expression" priority="1442" dxfId="0" stopIfTrue="1">
      <formula>AND(ISNUMBER($B5052),ABS($B5052)&gt;'Opening Balance'!$B$16)</formula>
    </cfRule>
  </conditionalFormatting>
  <conditionalFormatting sqref="B5066">
    <cfRule type="expression" priority="1445" dxfId="0" stopIfTrue="1">
      <formula>AND(ISNUMBER($B5066),ABS($B5066)&gt;'Opening Balance'!$B$16)</formula>
    </cfRule>
    <cfRule type="cellIs" priority="1447" operator="greaterThan" dxfId="1">
      <formula>0</formula>
    </cfRule>
    <cfRule type="cellIs" priority="1448" operator="lessThan" dxfId="2">
      <formula>0</formula>
    </cfRule>
  </conditionalFormatting>
  <conditionalFormatting sqref="D5066">
    <cfRule type="expression" priority="1446" dxfId="0" stopIfTrue="1">
      <formula>AND(ISNUMBER($B5066),ABS($B5066)&gt;'Opening Balance'!$B$16)</formula>
    </cfRule>
  </conditionalFormatting>
  <conditionalFormatting sqref="B5080">
    <cfRule type="expression" priority="1449" dxfId="0" stopIfTrue="1">
      <formula>AND(ISNUMBER($B5080),ABS($B5080)&gt;'Opening Balance'!$B$16)</formula>
    </cfRule>
    <cfRule type="cellIs" priority="1451" operator="greaterThan" dxfId="1">
      <formula>0</formula>
    </cfRule>
    <cfRule type="cellIs" priority="1452" operator="lessThan" dxfId="2">
      <formula>0</formula>
    </cfRule>
  </conditionalFormatting>
  <conditionalFormatting sqref="D5080">
    <cfRule type="expression" priority="1450" dxfId="0" stopIfTrue="1">
      <formula>AND(ISNUMBER($B5080),ABS($B5080)&gt;'Opening Balance'!$B$16)</formula>
    </cfRule>
  </conditionalFormatting>
  <conditionalFormatting sqref="B5094">
    <cfRule type="expression" priority="1453" dxfId="0" stopIfTrue="1">
      <formula>AND(ISNUMBER($B5094),ABS($B5094)&gt;'Opening Balance'!$B$16)</formula>
    </cfRule>
    <cfRule type="cellIs" priority="1455" operator="greaterThan" dxfId="1">
      <formula>0</formula>
    </cfRule>
    <cfRule type="cellIs" priority="1456" operator="lessThan" dxfId="2">
      <formula>0</formula>
    </cfRule>
  </conditionalFormatting>
  <conditionalFormatting sqref="D5094">
    <cfRule type="expression" priority="1454" dxfId="0" stopIfTrue="1">
      <formula>AND(ISNUMBER($B5094),ABS($B5094)&gt;'Opening Balance'!$B$16)</formula>
    </cfRule>
  </conditionalFormatting>
  <conditionalFormatting sqref="B5108">
    <cfRule type="expression" priority="1457" dxfId="0" stopIfTrue="1">
      <formula>AND(ISNUMBER($B5108),ABS($B5108)&gt;'Opening Balance'!$B$16)</formula>
    </cfRule>
    <cfRule type="cellIs" priority="1459" operator="greaterThan" dxfId="1">
      <formula>0</formula>
    </cfRule>
    <cfRule type="cellIs" priority="1460" operator="lessThan" dxfId="2">
      <formula>0</formula>
    </cfRule>
  </conditionalFormatting>
  <conditionalFormatting sqref="D5108">
    <cfRule type="expression" priority="1458" dxfId="0" stopIfTrue="1">
      <formula>AND(ISNUMBER($B5108),ABS($B5108)&gt;'Opening Balance'!$B$16)</formula>
    </cfRule>
  </conditionalFormatting>
  <conditionalFormatting sqref="B5122">
    <cfRule type="expression" priority="1461" dxfId="0" stopIfTrue="1">
      <formula>AND(ISNUMBER($B5122),ABS($B5122)&gt;'Opening Balance'!$B$16)</formula>
    </cfRule>
    <cfRule type="cellIs" priority="1463" operator="greaterThan" dxfId="1">
      <formula>0</formula>
    </cfRule>
    <cfRule type="cellIs" priority="1464" operator="lessThan" dxfId="2">
      <formula>0</formula>
    </cfRule>
  </conditionalFormatting>
  <conditionalFormatting sqref="D5122">
    <cfRule type="expression" priority="1462" dxfId="0" stopIfTrue="1">
      <formula>AND(ISNUMBER($B5122),ABS($B5122)&gt;'Opening Balance'!$B$16)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L367"/>
  <sheetViews>
    <sheetView workbookViewId="0">
      <pane xSplit="1" ySplit="1" topLeftCell="B2" activePane="bottomRight" state="frozen"/>
      <selection pane="topRight"/>
      <selection pane="bottomLeft"/>
      <selection pane="bottomRight" activeCell="I2" sqref="I2"/>
    </sheetView>
  </sheetViews>
  <sheetFormatPr baseColWidth="8" defaultRowHeight="14.4"/>
  <cols>
    <col width="12" customWidth="1" min="1" max="1"/>
    <col width="14" bestFit="1" customWidth="1" min="2" max="2"/>
    <col width="14" bestFit="1" customWidth="1" min="3" max="3"/>
    <col width="16" bestFit="1" customWidth="1" min="4" max="4"/>
    <col width="12" customWidth="1" min="5" max="5"/>
    <col width="14" bestFit="1" customWidth="1" min="6" max="6"/>
    <col width="24" bestFit="1" customWidth="1" min="7" max="7"/>
    <col width="17" bestFit="1" customWidth="1" min="8" max="8"/>
    <col width="15" customWidth="1" min="9" max="9"/>
    <col width="18" customWidth="1" min="10" max="10"/>
    <col width="16" customWidth="1" min="11" max="11"/>
    <col width="34" customWidth="1" min="12" max="12"/>
  </cols>
  <sheetData>
    <row r="1" ht="34" customHeight="1">
      <c r="A1" s="2" t="inlineStr">
        <is>
          <t>Date
日期</t>
        </is>
      </c>
      <c r="B1" s="2" t="inlineStr">
        <is>
          <t>Bank balance
银行余额</t>
        </is>
      </c>
      <c r="C1" s="2" t="inlineStr">
        <is>
          <t>Cheque in hand(unit)
手头支票(张)</t>
        </is>
      </c>
      <c r="D1" s="2" t="inlineStr">
        <is>
          <t>Cheque in hand(RM)
手头支票(RM)</t>
        </is>
      </c>
      <c r="E1" s="2" t="inlineStr">
        <is>
          <t>petty cash
备用金</t>
        </is>
      </c>
      <c r="F1" s="2" t="inlineStr">
        <is>
          <t>advance salary
预支薪水</t>
        </is>
      </c>
      <c r="G1" s="2" t="inlineStr">
        <is>
          <t>balance cash(yet reach RM 5000)
零散现金(未满RM5000)</t>
        </is>
      </c>
      <c r="H1" s="2" t="inlineStr">
        <is>
          <t>Cash in hand (RM)
手头现金(RM)</t>
        </is>
      </c>
      <c r="I1" s="2" t="inlineStr">
        <is>
          <t>Total
总计</t>
        </is>
      </c>
      <c r="J1" s="2" t="inlineStr">
        <is>
          <t>AR &amp; AP Balance c/f
AR&amp;AP 结余转下日</t>
        </is>
      </c>
      <c r="K1" s="2" t="inlineStr">
        <is>
          <t>Check (should be 0)
核对(应为0)</t>
        </is>
      </c>
      <c r="L1" s="2" t="inlineStr">
        <is>
          <t>Alert
警报</t>
        </is>
      </c>
    </row>
    <row r="2">
      <c r="A2" s="5">
        <f>IF('Daily Sale entry '!A2="","",'Daily Sale entry '!A2)</f>
        <v/>
      </c>
      <c r="B2" s="6">
        <f>IF($A2="","",ROUND('Opening Balance'!$B$4+SUM('Daily Sale entry '!$K$2:K2)+SUMIFS('Daily Sale entry '!$AC$2:$AC$1501,'Daily Sale entry '!$X$2:$X$1501,"&lt;="&amp;$A2)-SUMIFS('Daily Sale entry '!$AD$2:$AD$1501,'Daily Sale entry '!$X$2:$X$1501,"&lt;="&amp;$A2)+SUMPRODUCT(('Daily Sale entry '!$Q$2:$Q$1501="Collection 收款")*('Daily Sale entry '!$R$2:$R$1501="Cheque 支票")*('Daily Sale entry '!$V$2:$V$1501&lt;&gt;"")*('Daily Sale entry '!$V$2:$V$1501&lt;=$A2)*('Daily Sale entry '!$S$2:$S$1501-'Opening Balance'!$B$15*('Daily Sale entry '!$R$2:$R$1501="Cheque 支票")*('Daily Sale entry '!$S$2:$S$1501-TRUNC('Daily Sale entry '!$S$2:$S$1501))))-'Opening Balance'!$B$15*SUMPRODUCT(('Daily Sale entry '!$X$2:$X$1501&lt;=$A2)*('Daily Sale entry '!$Z$2:$Z$1501="Online collection 网上收款")*('Daily Sale entry '!$AA$2:$AA$1501&lt;&gt;"")*('Daily Sale entry '!$AC$2:$AC$1501-TRUNC('Daily Sale entry '!$AC$2:$AC$1501))),2))</f>
        <v/>
      </c>
      <c r="C2" s="8">
        <f>IF($A2="","",'Opening Balance'!$B$5+SUM('Daily Sale entry '!$I$2:I2)-SUMIFS('Daily Sale entry '!$AB$2:$AB$1501,'Daily Sale entry '!$X$2:$X$1501,"&lt;="&amp;$A2,'Daily Sale entry '!$Z$2:$Z$1501,"Cheque deposit 支票存入")-COUNTIFS('Daily Sale entry '!$Q$2:$Q$1501,"Collection 收款",'Daily Sale entry '!$R$2:$R$1501,"Cheque 支票",'Daily Sale entry '!$V$2:$V$1501,"&lt;="&amp;$A2))</f>
        <v/>
      </c>
      <c r="D2" s="6">
        <f>IF($A2="","",ROUND('Opening Balance'!$B$6+SUM('Daily Sale entry '!$J$2:J2)-SUMIFS('Daily Sale entry '!$AC$2:$AC$1501,'Daily Sale entry '!$X$2:$X$1501,"&lt;="&amp;$A2,'Daily Sale entry '!$Z$2:$Z$1501,"Cheque deposit 支票存入")-SUMPRODUCT(('Daily Sale entry '!$Q$2:$Q$1501="Collection 收款")*('Daily Sale entry '!$R$2:$R$1501="Cheque 支票")*('Daily Sale entry '!$V$2:$V$1501&lt;&gt;"")*('Daily Sale entry '!$V$2:$V$1501&lt;=$A2)*('Daily Sale entry '!$S$2:$S$1501-'Opening Balance'!$B$15*('Daily Sale entry '!$R$2:$R$1501="Cheque 支票")*('Daily Sale entry '!$S$2:$S$1501-TRUNC('Daily Sale entry '!$S$2:$S$1501)))),2))</f>
        <v/>
      </c>
      <c r="E2" s="6">
        <f>IF($A2="","",'Opening Balance'!$B$7)</f>
        <v/>
      </c>
      <c r="F2" s="6">
        <f>IF($A2="","",ROUND(SUMIFS('Daily Sale entry '!$L$2:$L$367,'Daily Sale entry '!$A$2:$A$367,"&gt;="&amp;DATE(YEAR($A2),MONTH($A2),1),'Daily Sale entry '!$A$2:$A$367,"&lt;="&amp;$A2)+SUMIFS('Daily Sale entry '!$M$2:$M$367,'Daily Sale entry '!$A$2:$A$367,"&gt;="&amp;DATE(YEAR($A2),MONTH($A2),1),'Daily Sale entry '!$A$2:$A$367,"&lt;="&amp;$A2)+IF(AND(YEAR($A2)=YEAR('Daily Sale entry '!$A$2),MONTH($A2)=MONTH('Daily Sale entry '!$A$2)),'Opening Balance'!$B$8,0),2))</f>
        <v/>
      </c>
      <c r="G2" s="6">
        <f>IF($A2="","",MOD(ROUND('Opening Balance'!$B$9+SUMIFS('Sales &amp; Collection'!$L$1:$L$3,'Sales &amp; Collection'!$K$1:$K$3,"cash collection*"),2),'Opening Balance'!$B$11))</f>
        <v/>
      </c>
      <c r="H2" s="6">
        <f>IF($A2="","",ROUND('Opening Balance'!$B$10+'Opening Balance'!$B$9+SUMIFS('Sales &amp; Collection'!$L$1:$L$3,'Sales &amp; Collection'!$K$1:$K$3,"cash collection*")-G2-SUMIFS('Daily Sale entry '!$AC$2:$AC$1501,'Daily Sale entry '!$X$2:$X$1501,"&lt;="&amp;$A2,'Daily Sale entry '!$Z$2:$Z$1501,"Cash deposit 现金存入"),2))</f>
        <v/>
      </c>
      <c r="I2" s="6">
        <f>IF($A2="","",ROUND(B2+D2+E2+F2+G2+H2,2))</f>
        <v/>
      </c>
      <c r="J2" s="6">
        <f>IF($A2="","",'AR &amp; AP'!K3)</f>
        <v/>
      </c>
      <c r="K2" s="6">
        <f>IF($A2="","",ROUND(I2-J2-SUMIFS('Daily Sale entry '!$AC$2:$AC$1501,'Daily Sale entry '!$X$2:$X$1501,"&lt;="&amp;$A2,'Daily Sale entry '!$Z$2:$Z$1501,"Other deposit 其他存入")+SUMIFS('Daily Sale entry '!$AD$2:$AD$1501,'Daily Sale entry '!$X$2:$X$1501,"&lt;="&amp;$A2)+('Opening Balance'!$B$8+SUM('Daily Sale entry '!$L$2:M2)-F2),2))</f>
        <v/>
      </c>
      <c r="L2">
        <f>IF($A2="","",IF(ABS('Sales &amp; Collection'!$B$12)&gt;'Opening Balance'!$B$16,"ALERT 警报: Different "&amp;TEXT('Sales &amp; Collection'!$B$12,"#,##0.00")&amp;" 差额过大",""))</f>
        <v/>
      </c>
    </row>
    <row r="3">
      <c r="A3" s="5">
        <f>IF('Daily Sale entry '!A3="","",'Daily Sale entry '!A3)</f>
        <v/>
      </c>
      <c r="B3" s="6">
        <f>IF($A3="","",ROUND('Opening Balance'!$B$4+SUM('Daily Sale entry '!$K$2:K3)+SUMIFS('Daily Sale entry '!$AC$2:$AC$1501,'Daily Sale entry '!$X$2:$X$1501,"&lt;="&amp;$A3)-SUMIFS('Daily Sale entry '!$AD$2:$AD$1501,'Daily Sale entry '!$X$2:$X$1501,"&lt;="&amp;$A3)+SUMPRODUCT(('Daily Sale entry '!$Q$2:$Q$1501="Collection 收款")*('Daily Sale entry '!$R$2:$R$1501="Cheque 支票")*('Daily Sale entry '!$V$2:$V$1501&lt;&gt;"")*('Daily Sale entry '!$V$2:$V$1501&lt;=$A3)*('Daily Sale entry '!$S$2:$S$1501-'Opening Balance'!$B$15*('Daily Sale entry '!$R$2:$R$1501="Cheque 支票")*('Daily Sale entry '!$S$2:$S$1501-TRUNC('Daily Sale entry '!$S$2:$S$1501))))-'Opening Balance'!$B$15*SUMPRODUCT(('Daily Sale entry '!$X$2:$X$1501&lt;=$A3)*('Daily Sale entry '!$Z$2:$Z$1501="Online collection 网上收款")*('Daily Sale entry '!$AA$2:$AA$1501&lt;&gt;"")*('Daily Sale entry '!$AC$2:$AC$1501-TRUNC('Daily Sale entry '!$AC$2:$AC$1501))),2))</f>
        <v/>
      </c>
      <c r="C3" s="8">
        <f>IF($A3="","",'Opening Balance'!$B$5+SUM('Daily Sale entry '!$I$2:I3)-SUMIFS('Daily Sale entry '!$AB$2:$AB$1501,'Daily Sale entry '!$X$2:$X$1501,"&lt;="&amp;$A3,'Daily Sale entry '!$Z$2:$Z$1501,"Cheque deposit 支票存入")-COUNTIFS('Daily Sale entry '!$Q$2:$Q$1501,"Collection 收款",'Daily Sale entry '!$R$2:$R$1501,"Cheque 支票",'Daily Sale entry '!$V$2:$V$1501,"&lt;="&amp;$A3))</f>
        <v/>
      </c>
      <c r="D3" s="6">
        <f>IF($A3="","",ROUND('Opening Balance'!$B$6+SUM('Daily Sale entry '!$J$2:J3)-SUMIFS('Daily Sale entry '!$AC$2:$AC$1501,'Daily Sale entry '!$X$2:$X$1501,"&lt;="&amp;$A3,'Daily Sale entry '!$Z$2:$Z$1501,"Cheque deposit 支票存入")-SUMPRODUCT(('Daily Sale entry '!$Q$2:$Q$1501="Collection 收款")*('Daily Sale entry '!$R$2:$R$1501="Cheque 支票")*('Daily Sale entry '!$V$2:$V$1501&lt;&gt;"")*('Daily Sale entry '!$V$2:$V$1501&lt;=$A3)*('Daily Sale entry '!$S$2:$S$1501-'Opening Balance'!$B$15*('Daily Sale entry '!$R$2:$R$1501="Cheque 支票")*('Daily Sale entry '!$S$2:$S$1501-TRUNC('Daily Sale entry '!$S$2:$S$1501)))),2))</f>
        <v/>
      </c>
      <c r="E3" s="6">
        <f>IF($A3="","",'Opening Balance'!$B$7)</f>
        <v/>
      </c>
      <c r="F3" s="6">
        <f>IF($A3="","",ROUND(SUMIFS('Daily Sale entry '!$L$2:$L$367,'Daily Sale entry '!$A$2:$A$367,"&gt;="&amp;DATE(YEAR($A3),MONTH($A3),1),'Daily Sale entry '!$A$2:$A$367,"&lt;="&amp;$A3)+SUMIFS('Daily Sale entry '!$M$2:$M$367,'Daily Sale entry '!$A$2:$A$367,"&gt;="&amp;DATE(YEAR($A3),MONTH($A3),1),'Daily Sale entry '!$A$2:$A$367,"&lt;="&amp;$A3)+IF(AND(YEAR($A3)=YEAR('Daily Sale entry '!$A$2),MONTH($A3)=MONTH('Daily Sale entry '!$A$2)),'Opening Balance'!$B$8,0),2))</f>
        <v/>
      </c>
      <c r="G3" s="6">
        <f>IF($A3="","",MOD(ROUND('Opening Balance'!$B$9+SUMIFS('Sales &amp; Collection'!$L$1:$L$17,'Sales &amp; Collection'!$K$1:$K$17,"cash collection*"),2),'Opening Balance'!$B$11))</f>
        <v/>
      </c>
      <c r="H3" s="6">
        <f>IF($A3="","",ROUND('Opening Balance'!$B$10+'Opening Balance'!$B$9+SUMIFS('Sales &amp; Collection'!$L$1:$L$17,'Sales &amp; Collection'!$K$1:$K$17,"cash collection*")-G3-SUMIFS('Daily Sale entry '!$AC$2:$AC$1501,'Daily Sale entry '!$X$2:$X$1501,"&lt;="&amp;$A3,'Daily Sale entry '!$Z$2:$Z$1501,"Cash deposit 现金存入"),2))</f>
        <v/>
      </c>
      <c r="I3" s="6">
        <f>IF($A3="","",ROUND(B3+D3+E3+F3+G3+H3,2))</f>
        <v/>
      </c>
      <c r="J3" s="6">
        <f>IF($A3="","",'AR &amp; AP'!K4)</f>
        <v/>
      </c>
      <c r="K3" s="6">
        <f>IF($A3="","",ROUND(I3-J3-SUMIFS('Daily Sale entry '!$AC$2:$AC$1501,'Daily Sale entry '!$X$2:$X$1501,"&lt;="&amp;$A3,'Daily Sale entry '!$Z$2:$Z$1501,"Other deposit 其他存入")+SUMIFS('Daily Sale entry '!$AD$2:$AD$1501,'Daily Sale entry '!$X$2:$X$1501,"&lt;="&amp;$A3)+('Opening Balance'!$B$8+SUM('Daily Sale entry '!$L$2:M3)-F3),2))</f>
        <v/>
      </c>
      <c r="L3">
        <f>IF($A3="","",IF(ABS('Sales &amp; Collection'!$B$26)&gt;'Opening Balance'!$B$16,"ALERT 警报: Different "&amp;TEXT('Sales &amp; Collection'!$B$26,"#,##0.00")&amp;" 差额过大",""))</f>
        <v/>
      </c>
    </row>
    <row r="4">
      <c r="A4" s="5">
        <f>IF('Daily Sale entry '!A4="","",'Daily Sale entry '!A4)</f>
        <v/>
      </c>
      <c r="B4" s="6">
        <f>IF($A4="","",ROUND('Opening Balance'!$B$4+SUM('Daily Sale entry '!$K$2:K4)+SUMIFS('Daily Sale entry '!$AC$2:$AC$1501,'Daily Sale entry '!$X$2:$X$1501,"&lt;="&amp;$A4)-SUMIFS('Daily Sale entry '!$AD$2:$AD$1501,'Daily Sale entry '!$X$2:$X$1501,"&lt;="&amp;$A4)+SUMPRODUCT(('Daily Sale entry '!$Q$2:$Q$1501="Collection 收款")*('Daily Sale entry '!$R$2:$R$1501="Cheque 支票")*('Daily Sale entry '!$V$2:$V$1501&lt;&gt;"")*('Daily Sale entry '!$V$2:$V$1501&lt;=$A4)*('Daily Sale entry '!$S$2:$S$1501-'Opening Balance'!$B$15*('Daily Sale entry '!$R$2:$R$1501="Cheque 支票")*('Daily Sale entry '!$S$2:$S$1501-TRUNC('Daily Sale entry '!$S$2:$S$1501))))-'Opening Balance'!$B$15*SUMPRODUCT(('Daily Sale entry '!$X$2:$X$1501&lt;=$A4)*('Daily Sale entry '!$Z$2:$Z$1501="Online collection 网上收款")*('Daily Sale entry '!$AA$2:$AA$1501&lt;&gt;"")*('Daily Sale entry '!$AC$2:$AC$1501-TRUNC('Daily Sale entry '!$AC$2:$AC$1501))),2))</f>
        <v/>
      </c>
      <c r="C4" s="8">
        <f>IF($A4="","",'Opening Balance'!$B$5+SUM('Daily Sale entry '!$I$2:I4)-SUMIFS('Daily Sale entry '!$AB$2:$AB$1501,'Daily Sale entry '!$X$2:$X$1501,"&lt;="&amp;$A4,'Daily Sale entry '!$Z$2:$Z$1501,"Cheque deposit 支票存入")-COUNTIFS('Daily Sale entry '!$Q$2:$Q$1501,"Collection 收款",'Daily Sale entry '!$R$2:$R$1501,"Cheque 支票",'Daily Sale entry '!$V$2:$V$1501,"&lt;="&amp;$A4))</f>
        <v/>
      </c>
      <c r="D4" s="6">
        <f>IF($A4="","",ROUND('Opening Balance'!$B$6+SUM('Daily Sale entry '!$J$2:J4)-SUMIFS('Daily Sale entry '!$AC$2:$AC$1501,'Daily Sale entry '!$X$2:$X$1501,"&lt;="&amp;$A4,'Daily Sale entry '!$Z$2:$Z$1501,"Cheque deposit 支票存入")-SUMPRODUCT(('Daily Sale entry '!$Q$2:$Q$1501="Collection 收款")*('Daily Sale entry '!$R$2:$R$1501="Cheque 支票")*('Daily Sale entry '!$V$2:$V$1501&lt;&gt;"")*('Daily Sale entry '!$V$2:$V$1501&lt;=$A4)*('Daily Sale entry '!$S$2:$S$1501-'Opening Balance'!$B$15*('Daily Sale entry '!$R$2:$R$1501="Cheque 支票")*('Daily Sale entry '!$S$2:$S$1501-TRUNC('Daily Sale entry '!$S$2:$S$1501)))),2))</f>
        <v/>
      </c>
      <c r="E4" s="6">
        <f>IF($A4="","",'Opening Balance'!$B$7)</f>
        <v/>
      </c>
      <c r="F4" s="6">
        <f>IF($A4="","",ROUND(SUMIFS('Daily Sale entry '!$L$2:$L$367,'Daily Sale entry '!$A$2:$A$367,"&gt;="&amp;DATE(YEAR($A4),MONTH($A4),1),'Daily Sale entry '!$A$2:$A$367,"&lt;="&amp;$A4)+SUMIFS('Daily Sale entry '!$M$2:$M$367,'Daily Sale entry '!$A$2:$A$367,"&gt;="&amp;DATE(YEAR($A4),MONTH($A4),1),'Daily Sale entry '!$A$2:$A$367,"&lt;="&amp;$A4)+IF(AND(YEAR($A4)=YEAR('Daily Sale entry '!$A$2),MONTH($A4)=MONTH('Daily Sale entry '!$A$2)),'Opening Balance'!$B$8,0),2))</f>
        <v/>
      </c>
      <c r="G4" s="6">
        <f>IF($A4="","",MOD(ROUND('Opening Balance'!$B$9+SUMIFS('Sales &amp; Collection'!$L$1:$L$31,'Sales &amp; Collection'!$K$1:$K$31,"cash collection*"),2),'Opening Balance'!$B$11))</f>
        <v/>
      </c>
      <c r="H4" s="6">
        <f>IF($A4="","",ROUND('Opening Balance'!$B$10+'Opening Balance'!$B$9+SUMIFS('Sales &amp; Collection'!$L$1:$L$31,'Sales &amp; Collection'!$K$1:$K$31,"cash collection*")-G4-SUMIFS('Daily Sale entry '!$AC$2:$AC$1501,'Daily Sale entry '!$X$2:$X$1501,"&lt;="&amp;$A4,'Daily Sale entry '!$Z$2:$Z$1501,"Cash deposit 现金存入"),2))</f>
        <v/>
      </c>
      <c r="I4" s="6">
        <f>IF($A4="","",ROUND(B4+D4+E4+F4+G4+H4,2))</f>
        <v/>
      </c>
      <c r="J4" s="6">
        <f>IF($A4="","",'AR &amp; AP'!K5)</f>
        <v/>
      </c>
      <c r="K4" s="6">
        <f>IF($A4="","",ROUND(I4-J4-SUMIFS('Daily Sale entry '!$AC$2:$AC$1501,'Daily Sale entry '!$X$2:$X$1501,"&lt;="&amp;$A4,'Daily Sale entry '!$Z$2:$Z$1501,"Other deposit 其他存入")+SUMIFS('Daily Sale entry '!$AD$2:$AD$1501,'Daily Sale entry '!$X$2:$X$1501,"&lt;="&amp;$A4)+('Opening Balance'!$B$8+SUM('Daily Sale entry '!$L$2:M4)-F4),2))</f>
        <v/>
      </c>
      <c r="L4">
        <f>IF($A4="","",IF(ABS('Sales &amp; Collection'!$B$40)&gt;'Opening Balance'!$B$16,"ALERT 警报: Different "&amp;TEXT('Sales &amp; Collection'!$B$40,"#,##0.00")&amp;" 差额过大",""))</f>
        <v/>
      </c>
    </row>
    <row r="5">
      <c r="A5" s="5">
        <f>IF('Daily Sale entry '!A5="","",'Daily Sale entry '!A5)</f>
        <v/>
      </c>
      <c r="B5" s="6">
        <f>IF($A5="","",ROUND('Opening Balance'!$B$4+SUM('Daily Sale entry '!$K$2:K5)+SUMIFS('Daily Sale entry '!$AC$2:$AC$1501,'Daily Sale entry '!$X$2:$X$1501,"&lt;="&amp;$A5)-SUMIFS('Daily Sale entry '!$AD$2:$AD$1501,'Daily Sale entry '!$X$2:$X$1501,"&lt;="&amp;$A5)+SUMPRODUCT(('Daily Sale entry '!$Q$2:$Q$1501="Collection 收款")*('Daily Sale entry '!$R$2:$R$1501="Cheque 支票")*('Daily Sale entry '!$V$2:$V$1501&lt;&gt;"")*('Daily Sale entry '!$V$2:$V$1501&lt;=$A5)*('Daily Sale entry '!$S$2:$S$1501-'Opening Balance'!$B$15*('Daily Sale entry '!$R$2:$R$1501="Cheque 支票")*('Daily Sale entry '!$S$2:$S$1501-TRUNC('Daily Sale entry '!$S$2:$S$1501))))-'Opening Balance'!$B$15*SUMPRODUCT(('Daily Sale entry '!$X$2:$X$1501&lt;=$A5)*('Daily Sale entry '!$Z$2:$Z$1501="Online collection 网上收款")*('Daily Sale entry '!$AA$2:$AA$1501&lt;&gt;"")*('Daily Sale entry '!$AC$2:$AC$1501-TRUNC('Daily Sale entry '!$AC$2:$AC$1501))),2))</f>
        <v/>
      </c>
      <c r="C5" s="8">
        <f>IF($A5="","",'Opening Balance'!$B$5+SUM('Daily Sale entry '!$I$2:I5)-SUMIFS('Daily Sale entry '!$AB$2:$AB$1501,'Daily Sale entry '!$X$2:$X$1501,"&lt;="&amp;$A5,'Daily Sale entry '!$Z$2:$Z$1501,"Cheque deposit 支票存入")-COUNTIFS('Daily Sale entry '!$Q$2:$Q$1501,"Collection 收款",'Daily Sale entry '!$R$2:$R$1501,"Cheque 支票",'Daily Sale entry '!$V$2:$V$1501,"&lt;="&amp;$A5))</f>
        <v/>
      </c>
      <c r="D5" s="6">
        <f>IF($A5="","",ROUND('Opening Balance'!$B$6+SUM('Daily Sale entry '!$J$2:J5)-SUMIFS('Daily Sale entry '!$AC$2:$AC$1501,'Daily Sale entry '!$X$2:$X$1501,"&lt;="&amp;$A5,'Daily Sale entry '!$Z$2:$Z$1501,"Cheque deposit 支票存入")-SUMPRODUCT(('Daily Sale entry '!$Q$2:$Q$1501="Collection 收款")*('Daily Sale entry '!$R$2:$R$1501="Cheque 支票")*('Daily Sale entry '!$V$2:$V$1501&lt;&gt;"")*('Daily Sale entry '!$V$2:$V$1501&lt;=$A5)*('Daily Sale entry '!$S$2:$S$1501-'Opening Balance'!$B$15*('Daily Sale entry '!$R$2:$R$1501="Cheque 支票")*('Daily Sale entry '!$S$2:$S$1501-TRUNC('Daily Sale entry '!$S$2:$S$1501)))),2))</f>
        <v/>
      </c>
      <c r="E5" s="6">
        <f>IF($A5="","",'Opening Balance'!$B$7)</f>
        <v/>
      </c>
      <c r="F5" s="6">
        <f>IF($A5="","",ROUND(SUMIFS('Daily Sale entry '!$L$2:$L$367,'Daily Sale entry '!$A$2:$A$367,"&gt;="&amp;DATE(YEAR($A5),MONTH($A5),1),'Daily Sale entry '!$A$2:$A$367,"&lt;="&amp;$A5)+SUMIFS('Daily Sale entry '!$M$2:$M$367,'Daily Sale entry '!$A$2:$A$367,"&gt;="&amp;DATE(YEAR($A5),MONTH($A5),1),'Daily Sale entry '!$A$2:$A$367,"&lt;="&amp;$A5)+IF(AND(YEAR($A5)=YEAR('Daily Sale entry '!$A$2),MONTH($A5)=MONTH('Daily Sale entry '!$A$2)),'Opening Balance'!$B$8,0),2))</f>
        <v/>
      </c>
      <c r="G5" s="6">
        <f>IF($A5="","",MOD(ROUND('Opening Balance'!$B$9+SUMIFS('Sales &amp; Collection'!$L$1:$L$45,'Sales &amp; Collection'!$K$1:$K$45,"cash collection*"),2),'Opening Balance'!$B$11))</f>
        <v/>
      </c>
      <c r="H5" s="6">
        <f>IF($A5="","",ROUND('Opening Balance'!$B$10+'Opening Balance'!$B$9+SUMIFS('Sales &amp; Collection'!$L$1:$L$45,'Sales &amp; Collection'!$K$1:$K$45,"cash collection*")-G5-SUMIFS('Daily Sale entry '!$AC$2:$AC$1501,'Daily Sale entry '!$X$2:$X$1501,"&lt;="&amp;$A5,'Daily Sale entry '!$Z$2:$Z$1501,"Cash deposit 现金存入"),2))</f>
        <v/>
      </c>
      <c r="I5" s="6">
        <f>IF($A5="","",ROUND(B5+D5+E5+F5+G5+H5,2))</f>
        <v/>
      </c>
      <c r="J5" s="6">
        <f>IF($A5="","",'AR &amp; AP'!K6)</f>
        <v/>
      </c>
      <c r="K5" s="6">
        <f>IF($A5="","",ROUND(I5-J5-SUMIFS('Daily Sale entry '!$AC$2:$AC$1501,'Daily Sale entry '!$X$2:$X$1501,"&lt;="&amp;$A5,'Daily Sale entry '!$Z$2:$Z$1501,"Other deposit 其他存入")+SUMIFS('Daily Sale entry '!$AD$2:$AD$1501,'Daily Sale entry '!$X$2:$X$1501,"&lt;="&amp;$A5)+('Opening Balance'!$B$8+SUM('Daily Sale entry '!$L$2:M5)-F5),2))</f>
        <v/>
      </c>
      <c r="L5">
        <f>IF($A5="","",IF(ABS('Sales &amp; Collection'!$B$54)&gt;'Opening Balance'!$B$16,"ALERT 警报: Different "&amp;TEXT('Sales &amp; Collection'!$B$54,"#,##0.00")&amp;" 差额过大",""))</f>
        <v/>
      </c>
    </row>
    <row r="6">
      <c r="A6" s="5">
        <f>IF('Daily Sale entry '!A6="","",'Daily Sale entry '!A6)</f>
        <v/>
      </c>
      <c r="B6" s="6">
        <f>IF($A6="","",ROUND('Opening Balance'!$B$4+SUM('Daily Sale entry '!$K$2:K6)+SUMIFS('Daily Sale entry '!$AC$2:$AC$1501,'Daily Sale entry '!$X$2:$X$1501,"&lt;="&amp;$A6)-SUMIFS('Daily Sale entry '!$AD$2:$AD$1501,'Daily Sale entry '!$X$2:$X$1501,"&lt;="&amp;$A6)+SUMPRODUCT(('Daily Sale entry '!$Q$2:$Q$1501="Collection 收款")*('Daily Sale entry '!$R$2:$R$1501="Cheque 支票")*('Daily Sale entry '!$V$2:$V$1501&lt;&gt;"")*('Daily Sale entry '!$V$2:$V$1501&lt;=$A6)*('Daily Sale entry '!$S$2:$S$1501-'Opening Balance'!$B$15*('Daily Sale entry '!$R$2:$R$1501="Cheque 支票")*('Daily Sale entry '!$S$2:$S$1501-TRUNC('Daily Sale entry '!$S$2:$S$1501))))-'Opening Balance'!$B$15*SUMPRODUCT(('Daily Sale entry '!$X$2:$X$1501&lt;=$A6)*('Daily Sale entry '!$Z$2:$Z$1501="Online collection 网上收款")*('Daily Sale entry '!$AA$2:$AA$1501&lt;&gt;"")*('Daily Sale entry '!$AC$2:$AC$1501-TRUNC('Daily Sale entry '!$AC$2:$AC$1501))),2))</f>
        <v/>
      </c>
      <c r="C6" s="8">
        <f>IF($A6="","",'Opening Balance'!$B$5+SUM('Daily Sale entry '!$I$2:I6)-SUMIFS('Daily Sale entry '!$AB$2:$AB$1501,'Daily Sale entry '!$X$2:$X$1501,"&lt;="&amp;$A6,'Daily Sale entry '!$Z$2:$Z$1501,"Cheque deposit 支票存入")-COUNTIFS('Daily Sale entry '!$Q$2:$Q$1501,"Collection 收款",'Daily Sale entry '!$R$2:$R$1501,"Cheque 支票",'Daily Sale entry '!$V$2:$V$1501,"&lt;="&amp;$A6))</f>
        <v/>
      </c>
      <c r="D6" s="6">
        <f>IF($A6="","",ROUND('Opening Balance'!$B$6+SUM('Daily Sale entry '!$J$2:J6)-SUMIFS('Daily Sale entry '!$AC$2:$AC$1501,'Daily Sale entry '!$X$2:$X$1501,"&lt;="&amp;$A6,'Daily Sale entry '!$Z$2:$Z$1501,"Cheque deposit 支票存入")-SUMPRODUCT(('Daily Sale entry '!$Q$2:$Q$1501="Collection 收款")*('Daily Sale entry '!$R$2:$R$1501="Cheque 支票")*('Daily Sale entry '!$V$2:$V$1501&lt;&gt;"")*('Daily Sale entry '!$V$2:$V$1501&lt;=$A6)*('Daily Sale entry '!$S$2:$S$1501-'Opening Balance'!$B$15*('Daily Sale entry '!$R$2:$R$1501="Cheque 支票")*('Daily Sale entry '!$S$2:$S$1501-TRUNC('Daily Sale entry '!$S$2:$S$1501)))),2))</f>
        <v/>
      </c>
      <c r="E6" s="6">
        <f>IF($A6="","",'Opening Balance'!$B$7)</f>
        <v/>
      </c>
      <c r="F6" s="6">
        <f>IF($A6="","",ROUND(SUMIFS('Daily Sale entry '!$L$2:$L$367,'Daily Sale entry '!$A$2:$A$367,"&gt;="&amp;DATE(YEAR($A6),MONTH($A6),1),'Daily Sale entry '!$A$2:$A$367,"&lt;="&amp;$A6)+SUMIFS('Daily Sale entry '!$M$2:$M$367,'Daily Sale entry '!$A$2:$A$367,"&gt;="&amp;DATE(YEAR($A6),MONTH($A6),1),'Daily Sale entry '!$A$2:$A$367,"&lt;="&amp;$A6)+IF(AND(YEAR($A6)=YEAR('Daily Sale entry '!$A$2),MONTH($A6)=MONTH('Daily Sale entry '!$A$2)),'Opening Balance'!$B$8,0),2))</f>
        <v/>
      </c>
      <c r="G6" s="6">
        <f>IF($A6="","",MOD(ROUND('Opening Balance'!$B$9+SUMIFS('Sales &amp; Collection'!$L$1:$L$59,'Sales &amp; Collection'!$K$1:$K$59,"cash collection*"),2),'Opening Balance'!$B$11))</f>
        <v/>
      </c>
      <c r="H6" s="6">
        <f>IF($A6="","",ROUND('Opening Balance'!$B$10+'Opening Balance'!$B$9+SUMIFS('Sales &amp; Collection'!$L$1:$L$59,'Sales &amp; Collection'!$K$1:$K$59,"cash collection*")-G6-SUMIFS('Daily Sale entry '!$AC$2:$AC$1501,'Daily Sale entry '!$X$2:$X$1501,"&lt;="&amp;$A6,'Daily Sale entry '!$Z$2:$Z$1501,"Cash deposit 现金存入"),2))</f>
        <v/>
      </c>
      <c r="I6" s="6">
        <f>IF($A6="","",ROUND(B6+D6+E6+F6+G6+H6,2))</f>
        <v/>
      </c>
      <c r="J6" s="6">
        <f>IF($A6="","",'AR &amp; AP'!K7)</f>
        <v/>
      </c>
      <c r="K6" s="6">
        <f>IF($A6="","",ROUND(I6-J6-SUMIFS('Daily Sale entry '!$AC$2:$AC$1501,'Daily Sale entry '!$X$2:$X$1501,"&lt;="&amp;$A6,'Daily Sale entry '!$Z$2:$Z$1501,"Other deposit 其他存入")+SUMIFS('Daily Sale entry '!$AD$2:$AD$1501,'Daily Sale entry '!$X$2:$X$1501,"&lt;="&amp;$A6)+('Opening Balance'!$B$8+SUM('Daily Sale entry '!$L$2:M6)-F6),2))</f>
        <v/>
      </c>
      <c r="L6">
        <f>IF($A6="","",IF(ABS('Sales &amp; Collection'!$B$68)&gt;'Opening Balance'!$B$16,"ALERT 警报: Different "&amp;TEXT('Sales &amp; Collection'!$B$68,"#,##0.00")&amp;" 差额过大",""))</f>
        <v/>
      </c>
    </row>
    <row r="7">
      <c r="A7" s="5">
        <f>IF('Daily Sale entry '!A7="","",'Daily Sale entry '!A7)</f>
        <v/>
      </c>
      <c r="B7" s="6">
        <f>IF($A7="","",ROUND('Opening Balance'!$B$4+SUM('Daily Sale entry '!$K$2:K7)+SUMIFS('Daily Sale entry '!$AC$2:$AC$1501,'Daily Sale entry '!$X$2:$X$1501,"&lt;="&amp;$A7)-SUMIFS('Daily Sale entry '!$AD$2:$AD$1501,'Daily Sale entry '!$X$2:$X$1501,"&lt;="&amp;$A7)+SUMPRODUCT(('Daily Sale entry '!$Q$2:$Q$1501="Collection 收款")*('Daily Sale entry '!$R$2:$R$1501="Cheque 支票")*('Daily Sale entry '!$V$2:$V$1501&lt;&gt;"")*('Daily Sale entry '!$V$2:$V$1501&lt;=$A7)*('Daily Sale entry '!$S$2:$S$1501-'Opening Balance'!$B$15*('Daily Sale entry '!$R$2:$R$1501="Cheque 支票")*('Daily Sale entry '!$S$2:$S$1501-TRUNC('Daily Sale entry '!$S$2:$S$1501))))-'Opening Balance'!$B$15*SUMPRODUCT(('Daily Sale entry '!$X$2:$X$1501&lt;=$A7)*('Daily Sale entry '!$Z$2:$Z$1501="Online collection 网上收款")*('Daily Sale entry '!$AA$2:$AA$1501&lt;&gt;"")*('Daily Sale entry '!$AC$2:$AC$1501-TRUNC('Daily Sale entry '!$AC$2:$AC$1501))),2))</f>
        <v/>
      </c>
      <c r="C7" s="8">
        <f>IF($A7="","",'Opening Balance'!$B$5+SUM('Daily Sale entry '!$I$2:I7)-SUMIFS('Daily Sale entry '!$AB$2:$AB$1501,'Daily Sale entry '!$X$2:$X$1501,"&lt;="&amp;$A7,'Daily Sale entry '!$Z$2:$Z$1501,"Cheque deposit 支票存入")-COUNTIFS('Daily Sale entry '!$Q$2:$Q$1501,"Collection 收款",'Daily Sale entry '!$R$2:$R$1501,"Cheque 支票",'Daily Sale entry '!$V$2:$V$1501,"&lt;="&amp;$A7))</f>
        <v/>
      </c>
      <c r="D7" s="6">
        <f>IF($A7="","",ROUND('Opening Balance'!$B$6+SUM('Daily Sale entry '!$J$2:J7)-SUMIFS('Daily Sale entry '!$AC$2:$AC$1501,'Daily Sale entry '!$X$2:$X$1501,"&lt;="&amp;$A7,'Daily Sale entry '!$Z$2:$Z$1501,"Cheque deposit 支票存入")-SUMPRODUCT(('Daily Sale entry '!$Q$2:$Q$1501="Collection 收款")*('Daily Sale entry '!$R$2:$R$1501="Cheque 支票")*('Daily Sale entry '!$V$2:$V$1501&lt;&gt;"")*('Daily Sale entry '!$V$2:$V$1501&lt;=$A7)*('Daily Sale entry '!$S$2:$S$1501-'Opening Balance'!$B$15*('Daily Sale entry '!$R$2:$R$1501="Cheque 支票")*('Daily Sale entry '!$S$2:$S$1501-TRUNC('Daily Sale entry '!$S$2:$S$1501)))),2))</f>
        <v/>
      </c>
      <c r="E7" s="6">
        <f>IF($A7="","",'Opening Balance'!$B$7)</f>
        <v/>
      </c>
      <c r="F7" s="6">
        <f>IF($A7="","",ROUND(SUMIFS('Daily Sale entry '!$L$2:$L$367,'Daily Sale entry '!$A$2:$A$367,"&gt;="&amp;DATE(YEAR($A7),MONTH($A7),1),'Daily Sale entry '!$A$2:$A$367,"&lt;="&amp;$A7)+SUMIFS('Daily Sale entry '!$M$2:$M$367,'Daily Sale entry '!$A$2:$A$367,"&gt;="&amp;DATE(YEAR($A7),MONTH($A7),1),'Daily Sale entry '!$A$2:$A$367,"&lt;="&amp;$A7)+IF(AND(YEAR($A7)=YEAR('Daily Sale entry '!$A$2),MONTH($A7)=MONTH('Daily Sale entry '!$A$2)),'Opening Balance'!$B$8,0),2))</f>
        <v/>
      </c>
      <c r="G7" s="6">
        <f>IF($A7="","",MOD(ROUND('Opening Balance'!$B$9+SUMIFS('Sales &amp; Collection'!$L$1:$L$73,'Sales &amp; Collection'!$K$1:$K$73,"cash collection*"),2),'Opening Balance'!$B$11))</f>
        <v/>
      </c>
      <c r="H7" s="6">
        <f>IF($A7="","",ROUND('Opening Balance'!$B$10+'Opening Balance'!$B$9+SUMIFS('Sales &amp; Collection'!$L$1:$L$73,'Sales &amp; Collection'!$K$1:$K$73,"cash collection*")-G7-SUMIFS('Daily Sale entry '!$AC$2:$AC$1501,'Daily Sale entry '!$X$2:$X$1501,"&lt;="&amp;$A7,'Daily Sale entry '!$Z$2:$Z$1501,"Cash deposit 现金存入"),2))</f>
        <v/>
      </c>
      <c r="I7" s="6">
        <f>IF($A7="","",ROUND(B7+D7+E7+F7+G7+H7,2))</f>
        <v/>
      </c>
      <c r="J7" s="6">
        <f>IF($A7="","",'AR &amp; AP'!K8)</f>
        <v/>
      </c>
      <c r="K7" s="6">
        <f>IF($A7="","",ROUND(I7-J7-SUMIFS('Daily Sale entry '!$AC$2:$AC$1501,'Daily Sale entry '!$X$2:$X$1501,"&lt;="&amp;$A7,'Daily Sale entry '!$Z$2:$Z$1501,"Other deposit 其他存入")+SUMIFS('Daily Sale entry '!$AD$2:$AD$1501,'Daily Sale entry '!$X$2:$X$1501,"&lt;="&amp;$A7)+('Opening Balance'!$B$8+SUM('Daily Sale entry '!$L$2:M7)-F7),2))</f>
        <v/>
      </c>
      <c r="L7">
        <f>IF($A7="","",IF(ABS('Sales &amp; Collection'!$B$82)&gt;'Opening Balance'!$B$16,"ALERT 警报: Different "&amp;TEXT('Sales &amp; Collection'!$B$82,"#,##0.00")&amp;" 差额过大",""))</f>
        <v/>
      </c>
    </row>
    <row r="8">
      <c r="A8" s="5">
        <f>IF('Daily Sale entry '!A8="","",'Daily Sale entry '!A8)</f>
        <v/>
      </c>
      <c r="B8" s="6">
        <f>IF($A8="","",ROUND('Opening Balance'!$B$4+SUM('Daily Sale entry '!$K$2:K8)+SUMIFS('Daily Sale entry '!$AC$2:$AC$1501,'Daily Sale entry '!$X$2:$X$1501,"&lt;="&amp;$A8)-SUMIFS('Daily Sale entry '!$AD$2:$AD$1501,'Daily Sale entry '!$X$2:$X$1501,"&lt;="&amp;$A8)+SUMPRODUCT(('Daily Sale entry '!$Q$2:$Q$1501="Collection 收款")*('Daily Sale entry '!$R$2:$R$1501="Cheque 支票")*('Daily Sale entry '!$V$2:$V$1501&lt;&gt;"")*('Daily Sale entry '!$V$2:$V$1501&lt;=$A8)*('Daily Sale entry '!$S$2:$S$1501-'Opening Balance'!$B$15*('Daily Sale entry '!$R$2:$R$1501="Cheque 支票")*('Daily Sale entry '!$S$2:$S$1501-TRUNC('Daily Sale entry '!$S$2:$S$1501))))-'Opening Balance'!$B$15*SUMPRODUCT(('Daily Sale entry '!$X$2:$X$1501&lt;=$A8)*('Daily Sale entry '!$Z$2:$Z$1501="Online collection 网上收款")*('Daily Sale entry '!$AA$2:$AA$1501&lt;&gt;"")*('Daily Sale entry '!$AC$2:$AC$1501-TRUNC('Daily Sale entry '!$AC$2:$AC$1501))),2))</f>
        <v/>
      </c>
      <c r="C8" s="8">
        <f>IF($A8="","",'Opening Balance'!$B$5+SUM('Daily Sale entry '!$I$2:I8)-SUMIFS('Daily Sale entry '!$AB$2:$AB$1501,'Daily Sale entry '!$X$2:$X$1501,"&lt;="&amp;$A8,'Daily Sale entry '!$Z$2:$Z$1501,"Cheque deposit 支票存入")-COUNTIFS('Daily Sale entry '!$Q$2:$Q$1501,"Collection 收款",'Daily Sale entry '!$R$2:$R$1501,"Cheque 支票",'Daily Sale entry '!$V$2:$V$1501,"&lt;="&amp;$A8))</f>
        <v/>
      </c>
      <c r="D8" s="6">
        <f>IF($A8="","",ROUND('Opening Balance'!$B$6+SUM('Daily Sale entry '!$J$2:J8)-SUMIFS('Daily Sale entry '!$AC$2:$AC$1501,'Daily Sale entry '!$X$2:$X$1501,"&lt;="&amp;$A8,'Daily Sale entry '!$Z$2:$Z$1501,"Cheque deposit 支票存入")-SUMPRODUCT(('Daily Sale entry '!$Q$2:$Q$1501="Collection 收款")*('Daily Sale entry '!$R$2:$R$1501="Cheque 支票")*('Daily Sale entry '!$V$2:$V$1501&lt;&gt;"")*('Daily Sale entry '!$V$2:$V$1501&lt;=$A8)*('Daily Sale entry '!$S$2:$S$1501-'Opening Balance'!$B$15*('Daily Sale entry '!$R$2:$R$1501="Cheque 支票")*('Daily Sale entry '!$S$2:$S$1501-TRUNC('Daily Sale entry '!$S$2:$S$1501)))),2))</f>
        <v/>
      </c>
      <c r="E8" s="6">
        <f>IF($A8="","",'Opening Balance'!$B$7)</f>
        <v/>
      </c>
      <c r="F8" s="6">
        <f>IF($A8="","",ROUND(SUMIFS('Daily Sale entry '!$L$2:$L$367,'Daily Sale entry '!$A$2:$A$367,"&gt;="&amp;DATE(YEAR($A8),MONTH($A8),1),'Daily Sale entry '!$A$2:$A$367,"&lt;="&amp;$A8)+SUMIFS('Daily Sale entry '!$M$2:$M$367,'Daily Sale entry '!$A$2:$A$367,"&gt;="&amp;DATE(YEAR($A8),MONTH($A8),1),'Daily Sale entry '!$A$2:$A$367,"&lt;="&amp;$A8)+IF(AND(YEAR($A8)=YEAR('Daily Sale entry '!$A$2),MONTH($A8)=MONTH('Daily Sale entry '!$A$2)),'Opening Balance'!$B$8,0),2))</f>
        <v/>
      </c>
      <c r="G8" s="6">
        <f>IF($A8="","",MOD(ROUND('Opening Balance'!$B$9+SUMIFS('Sales &amp; Collection'!$L$1:$L$87,'Sales &amp; Collection'!$K$1:$K$87,"cash collection*"),2),'Opening Balance'!$B$11))</f>
        <v/>
      </c>
      <c r="H8" s="6">
        <f>IF($A8="","",ROUND('Opening Balance'!$B$10+'Opening Balance'!$B$9+SUMIFS('Sales &amp; Collection'!$L$1:$L$87,'Sales &amp; Collection'!$K$1:$K$87,"cash collection*")-G8-SUMIFS('Daily Sale entry '!$AC$2:$AC$1501,'Daily Sale entry '!$X$2:$X$1501,"&lt;="&amp;$A8,'Daily Sale entry '!$Z$2:$Z$1501,"Cash deposit 现金存入"),2))</f>
        <v/>
      </c>
      <c r="I8" s="6">
        <f>IF($A8="","",ROUND(B8+D8+E8+F8+G8+H8,2))</f>
        <v/>
      </c>
      <c r="J8" s="6">
        <f>IF($A8="","",'AR &amp; AP'!K9)</f>
        <v/>
      </c>
      <c r="K8" s="6">
        <f>IF($A8="","",ROUND(I8-J8-SUMIFS('Daily Sale entry '!$AC$2:$AC$1501,'Daily Sale entry '!$X$2:$X$1501,"&lt;="&amp;$A8,'Daily Sale entry '!$Z$2:$Z$1501,"Other deposit 其他存入")+SUMIFS('Daily Sale entry '!$AD$2:$AD$1501,'Daily Sale entry '!$X$2:$X$1501,"&lt;="&amp;$A8)+('Opening Balance'!$B$8+SUM('Daily Sale entry '!$L$2:M8)-F8),2))</f>
        <v/>
      </c>
      <c r="L8">
        <f>IF($A8="","",IF(ABS('Sales &amp; Collection'!$B$96)&gt;'Opening Balance'!$B$16,"ALERT 警报: Different "&amp;TEXT('Sales &amp; Collection'!$B$96,"#,##0.00")&amp;" 差额过大",""))</f>
        <v/>
      </c>
    </row>
    <row r="9">
      <c r="A9" s="5">
        <f>IF('Daily Sale entry '!A9="","",'Daily Sale entry '!A9)</f>
        <v/>
      </c>
      <c r="B9" s="6">
        <f>IF($A9="","",ROUND('Opening Balance'!$B$4+SUM('Daily Sale entry '!$K$2:K9)+SUMIFS('Daily Sale entry '!$AC$2:$AC$1501,'Daily Sale entry '!$X$2:$X$1501,"&lt;="&amp;$A9)-SUMIFS('Daily Sale entry '!$AD$2:$AD$1501,'Daily Sale entry '!$X$2:$X$1501,"&lt;="&amp;$A9)+SUMPRODUCT(('Daily Sale entry '!$Q$2:$Q$1501="Collection 收款")*('Daily Sale entry '!$R$2:$R$1501="Cheque 支票")*('Daily Sale entry '!$V$2:$V$1501&lt;&gt;"")*('Daily Sale entry '!$V$2:$V$1501&lt;=$A9)*('Daily Sale entry '!$S$2:$S$1501-'Opening Balance'!$B$15*('Daily Sale entry '!$R$2:$R$1501="Cheque 支票")*('Daily Sale entry '!$S$2:$S$1501-TRUNC('Daily Sale entry '!$S$2:$S$1501))))-'Opening Balance'!$B$15*SUMPRODUCT(('Daily Sale entry '!$X$2:$X$1501&lt;=$A9)*('Daily Sale entry '!$Z$2:$Z$1501="Online collection 网上收款")*('Daily Sale entry '!$AA$2:$AA$1501&lt;&gt;"")*('Daily Sale entry '!$AC$2:$AC$1501-TRUNC('Daily Sale entry '!$AC$2:$AC$1501))),2))</f>
        <v/>
      </c>
      <c r="C9" s="8">
        <f>IF($A9="","",'Opening Balance'!$B$5+SUM('Daily Sale entry '!$I$2:I9)-SUMIFS('Daily Sale entry '!$AB$2:$AB$1501,'Daily Sale entry '!$X$2:$X$1501,"&lt;="&amp;$A9,'Daily Sale entry '!$Z$2:$Z$1501,"Cheque deposit 支票存入")-COUNTIFS('Daily Sale entry '!$Q$2:$Q$1501,"Collection 收款",'Daily Sale entry '!$R$2:$R$1501,"Cheque 支票",'Daily Sale entry '!$V$2:$V$1501,"&lt;="&amp;$A9))</f>
        <v/>
      </c>
      <c r="D9" s="6">
        <f>IF($A9="","",ROUND('Opening Balance'!$B$6+SUM('Daily Sale entry '!$J$2:J9)-SUMIFS('Daily Sale entry '!$AC$2:$AC$1501,'Daily Sale entry '!$X$2:$X$1501,"&lt;="&amp;$A9,'Daily Sale entry '!$Z$2:$Z$1501,"Cheque deposit 支票存入")-SUMPRODUCT(('Daily Sale entry '!$Q$2:$Q$1501="Collection 收款")*('Daily Sale entry '!$R$2:$R$1501="Cheque 支票")*('Daily Sale entry '!$V$2:$V$1501&lt;&gt;"")*('Daily Sale entry '!$V$2:$V$1501&lt;=$A9)*('Daily Sale entry '!$S$2:$S$1501-'Opening Balance'!$B$15*('Daily Sale entry '!$R$2:$R$1501="Cheque 支票")*('Daily Sale entry '!$S$2:$S$1501-TRUNC('Daily Sale entry '!$S$2:$S$1501)))),2))</f>
        <v/>
      </c>
      <c r="E9" s="6">
        <f>IF($A9="","",'Opening Balance'!$B$7)</f>
        <v/>
      </c>
      <c r="F9" s="6">
        <f>IF($A9="","",ROUND(SUMIFS('Daily Sale entry '!$L$2:$L$367,'Daily Sale entry '!$A$2:$A$367,"&gt;="&amp;DATE(YEAR($A9),MONTH($A9),1),'Daily Sale entry '!$A$2:$A$367,"&lt;="&amp;$A9)+SUMIFS('Daily Sale entry '!$M$2:$M$367,'Daily Sale entry '!$A$2:$A$367,"&gt;="&amp;DATE(YEAR($A9),MONTH($A9),1),'Daily Sale entry '!$A$2:$A$367,"&lt;="&amp;$A9)+IF(AND(YEAR($A9)=YEAR('Daily Sale entry '!$A$2),MONTH($A9)=MONTH('Daily Sale entry '!$A$2)),'Opening Balance'!$B$8,0),2))</f>
        <v/>
      </c>
      <c r="G9" s="6">
        <f>IF($A9="","",MOD(ROUND('Opening Balance'!$B$9+SUMIFS('Sales &amp; Collection'!$L$1:$L$101,'Sales &amp; Collection'!$K$1:$K$101,"cash collection*"),2),'Opening Balance'!$B$11))</f>
        <v/>
      </c>
      <c r="H9" s="6">
        <f>IF($A9="","",ROUND('Opening Balance'!$B$10+'Opening Balance'!$B$9+SUMIFS('Sales &amp; Collection'!$L$1:$L$101,'Sales &amp; Collection'!$K$1:$K$101,"cash collection*")-G9-SUMIFS('Daily Sale entry '!$AC$2:$AC$1501,'Daily Sale entry '!$X$2:$X$1501,"&lt;="&amp;$A9,'Daily Sale entry '!$Z$2:$Z$1501,"Cash deposit 现金存入"),2))</f>
        <v/>
      </c>
      <c r="I9" s="6">
        <f>IF($A9="","",ROUND(B9+D9+E9+F9+G9+H9,2))</f>
        <v/>
      </c>
      <c r="J9" s="6">
        <f>IF($A9="","",'AR &amp; AP'!K10)</f>
        <v/>
      </c>
      <c r="K9" s="6">
        <f>IF($A9="","",ROUND(I9-J9-SUMIFS('Daily Sale entry '!$AC$2:$AC$1501,'Daily Sale entry '!$X$2:$X$1501,"&lt;="&amp;$A9,'Daily Sale entry '!$Z$2:$Z$1501,"Other deposit 其他存入")+SUMIFS('Daily Sale entry '!$AD$2:$AD$1501,'Daily Sale entry '!$X$2:$X$1501,"&lt;="&amp;$A9)+('Opening Balance'!$B$8+SUM('Daily Sale entry '!$L$2:M9)-F9),2))</f>
        <v/>
      </c>
      <c r="L9">
        <f>IF($A9="","",IF(ABS('Sales &amp; Collection'!$B$110)&gt;'Opening Balance'!$B$16,"ALERT 警报: Different "&amp;TEXT('Sales &amp; Collection'!$B$110,"#,##0.00")&amp;" 差额过大",""))</f>
        <v/>
      </c>
    </row>
    <row r="10">
      <c r="A10" s="5">
        <f>IF('Daily Sale entry '!A10="","",'Daily Sale entry '!A10)</f>
        <v/>
      </c>
      <c r="B10" s="6">
        <f>IF($A10="","",ROUND('Opening Balance'!$B$4+SUM('Daily Sale entry '!$K$2:K10)+SUMIFS('Daily Sale entry '!$AC$2:$AC$1501,'Daily Sale entry '!$X$2:$X$1501,"&lt;="&amp;$A10)-SUMIFS('Daily Sale entry '!$AD$2:$AD$1501,'Daily Sale entry '!$X$2:$X$1501,"&lt;="&amp;$A10)+SUMPRODUCT(('Daily Sale entry '!$Q$2:$Q$1501="Collection 收款")*('Daily Sale entry '!$R$2:$R$1501="Cheque 支票")*('Daily Sale entry '!$V$2:$V$1501&lt;&gt;"")*('Daily Sale entry '!$V$2:$V$1501&lt;=$A10)*('Daily Sale entry '!$S$2:$S$1501-'Opening Balance'!$B$15*('Daily Sale entry '!$R$2:$R$1501="Cheque 支票")*('Daily Sale entry '!$S$2:$S$1501-TRUNC('Daily Sale entry '!$S$2:$S$1501))))-'Opening Balance'!$B$15*SUMPRODUCT(('Daily Sale entry '!$X$2:$X$1501&lt;=$A10)*('Daily Sale entry '!$Z$2:$Z$1501="Online collection 网上收款")*('Daily Sale entry '!$AA$2:$AA$1501&lt;&gt;"")*('Daily Sale entry '!$AC$2:$AC$1501-TRUNC('Daily Sale entry '!$AC$2:$AC$1501))),2))</f>
        <v/>
      </c>
      <c r="C10" s="8">
        <f>IF($A10="","",'Opening Balance'!$B$5+SUM('Daily Sale entry '!$I$2:I10)-SUMIFS('Daily Sale entry '!$AB$2:$AB$1501,'Daily Sale entry '!$X$2:$X$1501,"&lt;="&amp;$A10,'Daily Sale entry '!$Z$2:$Z$1501,"Cheque deposit 支票存入")-COUNTIFS('Daily Sale entry '!$Q$2:$Q$1501,"Collection 收款",'Daily Sale entry '!$R$2:$R$1501,"Cheque 支票",'Daily Sale entry '!$V$2:$V$1501,"&lt;="&amp;$A10))</f>
        <v/>
      </c>
      <c r="D10" s="6">
        <f>IF($A10="","",ROUND('Opening Balance'!$B$6+SUM('Daily Sale entry '!$J$2:J10)-SUMIFS('Daily Sale entry '!$AC$2:$AC$1501,'Daily Sale entry '!$X$2:$X$1501,"&lt;="&amp;$A10,'Daily Sale entry '!$Z$2:$Z$1501,"Cheque deposit 支票存入")-SUMPRODUCT(('Daily Sale entry '!$Q$2:$Q$1501="Collection 收款")*('Daily Sale entry '!$R$2:$R$1501="Cheque 支票")*('Daily Sale entry '!$V$2:$V$1501&lt;&gt;"")*('Daily Sale entry '!$V$2:$V$1501&lt;=$A10)*('Daily Sale entry '!$S$2:$S$1501-'Opening Balance'!$B$15*('Daily Sale entry '!$R$2:$R$1501="Cheque 支票")*('Daily Sale entry '!$S$2:$S$1501-TRUNC('Daily Sale entry '!$S$2:$S$1501)))),2))</f>
        <v/>
      </c>
      <c r="E10" s="6">
        <f>IF($A10="","",'Opening Balance'!$B$7)</f>
        <v/>
      </c>
      <c r="F10" s="6">
        <f>IF($A10="","",ROUND(SUMIFS('Daily Sale entry '!$L$2:$L$367,'Daily Sale entry '!$A$2:$A$367,"&gt;="&amp;DATE(YEAR($A10),MONTH($A10),1),'Daily Sale entry '!$A$2:$A$367,"&lt;="&amp;$A10)+SUMIFS('Daily Sale entry '!$M$2:$M$367,'Daily Sale entry '!$A$2:$A$367,"&gt;="&amp;DATE(YEAR($A10),MONTH($A10),1),'Daily Sale entry '!$A$2:$A$367,"&lt;="&amp;$A10)+IF(AND(YEAR($A10)=YEAR('Daily Sale entry '!$A$2),MONTH($A10)=MONTH('Daily Sale entry '!$A$2)),'Opening Balance'!$B$8,0),2))</f>
        <v/>
      </c>
      <c r="G10" s="6">
        <f>IF($A10="","",MOD(ROUND('Opening Balance'!$B$9+SUMIFS('Sales &amp; Collection'!$L$1:$L$115,'Sales &amp; Collection'!$K$1:$K$115,"cash collection*"),2),'Opening Balance'!$B$11))</f>
        <v/>
      </c>
      <c r="H10" s="6">
        <f>IF($A10="","",ROUND('Opening Balance'!$B$10+'Opening Balance'!$B$9+SUMIFS('Sales &amp; Collection'!$L$1:$L$115,'Sales &amp; Collection'!$K$1:$K$115,"cash collection*")-G10-SUMIFS('Daily Sale entry '!$AC$2:$AC$1501,'Daily Sale entry '!$X$2:$X$1501,"&lt;="&amp;$A10,'Daily Sale entry '!$Z$2:$Z$1501,"Cash deposit 现金存入"),2))</f>
        <v/>
      </c>
      <c r="I10" s="6">
        <f>IF($A10="","",ROUND(B10+D10+E10+F10+G10+H10,2))</f>
        <v/>
      </c>
      <c r="J10" s="6">
        <f>IF($A10="","",'AR &amp; AP'!K11)</f>
        <v/>
      </c>
      <c r="K10" s="6">
        <f>IF($A10="","",ROUND(I10-J10-SUMIFS('Daily Sale entry '!$AC$2:$AC$1501,'Daily Sale entry '!$X$2:$X$1501,"&lt;="&amp;$A10,'Daily Sale entry '!$Z$2:$Z$1501,"Other deposit 其他存入")+SUMIFS('Daily Sale entry '!$AD$2:$AD$1501,'Daily Sale entry '!$X$2:$X$1501,"&lt;="&amp;$A10)+('Opening Balance'!$B$8+SUM('Daily Sale entry '!$L$2:M10)-F10),2))</f>
        <v/>
      </c>
      <c r="L10">
        <f>IF($A10="","",IF(ABS('Sales &amp; Collection'!$B$124)&gt;'Opening Balance'!$B$16,"ALERT 警报: Different "&amp;TEXT('Sales &amp; Collection'!$B$124,"#,##0.00")&amp;" 差额过大",""))</f>
        <v/>
      </c>
    </row>
    <row r="11">
      <c r="A11" s="5">
        <f>IF('Daily Sale entry '!A11="","",'Daily Sale entry '!A11)</f>
        <v/>
      </c>
      <c r="B11" s="6">
        <f>IF($A11="","",ROUND('Opening Balance'!$B$4+SUM('Daily Sale entry '!$K$2:K11)+SUMIFS('Daily Sale entry '!$AC$2:$AC$1501,'Daily Sale entry '!$X$2:$X$1501,"&lt;="&amp;$A11)-SUMIFS('Daily Sale entry '!$AD$2:$AD$1501,'Daily Sale entry '!$X$2:$X$1501,"&lt;="&amp;$A11)+SUMPRODUCT(('Daily Sale entry '!$Q$2:$Q$1501="Collection 收款")*('Daily Sale entry '!$R$2:$R$1501="Cheque 支票")*('Daily Sale entry '!$V$2:$V$1501&lt;&gt;"")*('Daily Sale entry '!$V$2:$V$1501&lt;=$A11)*('Daily Sale entry '!$S$2:$S$1501-'Opening Balance'!$B$15*('Daily Sale entry '!$R$2:$R$1501="Cheque 支票")*('Daily Sale entry '!$S$2:$S$1501-TRUNC('Daily Sale entry '!$S$2:$S$1501))))-'Opening Balance'!$B$15*SUMPRODUCT(('Daily Sale entry '!$X$2:$X$1501&lt;=$A11)*('Daily Sale entry '!$Z$2:$Z$1501="Online collection 网上收款")*('Daily Sale entry '!$AA$2:$AA$1501&lt;&gt;"")*('Daily Sale entry '!$AC$2:$AC$1501-TRUNC('Daily Sale entry '!$AC$2:$AC$1501))),2))</f>
        <v/>
      </c>
      <c r="C11" s="8">
        <f>IF($A11="","",'Opening Balance'!$B$5+SUM('Daily Sale entry '!$I$2:I11)-SUMIFS('Daily Sale entry '!$AB$2:$AB$1501,'Daily Sale entry '!$X$2:$X$1501,"&lt;="&amp;$A11,'Daily Sale entry '!$Z$2:$Z$1501,"Cheque deposit 支票存入")-COUNTIFS('Daily Sale entry '!$Q$2:$Q$1501,"Collection 收款",'Daily Sale entry '!$R$2:$R$1501,"Cheque 支票",'Daily Sale entry '!$V$2:$V$1501,"&lt;="&amp;$A11))</f>
        <v/>
      </c>
      <c r="D11" s="6">
        <f>IF($A11="","",ROUND('Opening Balance'!$B$6+SUM('Daily Sale entry '!$J$2:J11)-SUMIFS('Daily Sale entry '!$AC$2:$AC$1501,'Daily Sale entry '!$X$2:$X$1501,"&lt;="&amp;$A11,'Daily Sale entry '!$Z$2:$Z$1501,"Cheque deposit 支票存入")-SUMPRODUCT(('Daily Sale entry '!$Q$2:$Q$1501="Collection 收款")*('Daily Sale entry '!$R$2:$R$1501="Cheque 支票")*('Daily Sale entry '!$V$2:$V$1501&lt;&gt;"")*('Daily Sale entry '!$V$2:$V$1501&lt;=$A11)*('Daily Sale entry '!$S$2:$S$1501-'Opening Balance'!$B$15*('Daily Sale entry '!$R$2:$R$1501="Cheque 支票")*('Daily Sale entry '!$S$2:$S$1501-TRUNC('Daily Sale entry '!$S$2:$S$1501)))),2))</f>
        <v/>
      </c>
      <c r="E11" s="6">
        <f>IF($A11="","",'Opening Balance'!$B$7)</f>
        <v/>
      </c>
      <c r="F11" s="6">
        <f>IF($A11="","",ROUND(SUMIFS('Daily Sale entry '!$L$2:$L$367,'Daily Sale entry '!$A$2:$A$367,"&gt;="&amp;DATE(YEAR($A11),MONTH($A11),1),'Daily Sale entry '!$A$2:$A$367,"&lt;="&amp;$A11)+SUMIFS('Daily Sale entry '!$M$2:$M$367,'Daily Sale entry '!$A$2:$A$367,"&gt;="&amp;DATE(YEAR($A11),MONTH($A11),1),'Daily Sale entry '!$A$2:$A$367,"&lt;="&amp;$A11)+IF(AND(YEAR($A11)=YEAR('Daily Sale entry '!$A$2),MONTH($A11)=MONTH('Daily Sale entry '!$A$2)),'Opening Balance'!$B$8,0),2))</f>
        <v/>
      </c>
      <c r="G11" s="6">
        <f>IF($A11="","",MOD(ROUND('Opening Balance'!$B$9+SUMIFS('Sales &amp; Collection'!$L$1:$L$129,'Sales &amp; Collection'!$K$1:$K$129,"cash collection*"),2),'Opening Balance'!$B$11))</f>
        <v/>
      </c>
      <c r="H11" s="6">
        <f>IF($A11="","",ROUND('Opening Balance'!$B$10+'Opening Balance'!$B$9+SUMIFS('Sales &amp; Collection'!$L$1:$L$129,'Sales &amp; Collection'!$K$1:$K$129,"cash collection*")-G11-SUMIFS('Daily Sale entry '!$AC$2:$AC$1501,'Daily Sale entry '!$X$2:$X$1501,"&lt;="&amp;$A11,'Daily Sale entry '!$Z$2:$Z$1501,"Cash deposit 现金存入"),2))</f>
        <v/>
      </c>
      <c r="I11" s="6">
        <f>IF($A11="","",ROUND(B11+D11+E11+F11+G11+H11,2))</f>
        <v/>
      </c>
      <c r="J11" s="6">
        <f>IF($A11="","",'AR &amp; AP'!K12)</f>
        <v/>
      </c>
      <c r="K11" s="6">
        <f>IF($A11="","",ROUND(I11-J11-SUMIFS('Daily Sale entry '!$AC$2:$AC$1501,'Daily Sale entry '!$X$2:$X$1501,"&lt;="&amp;$A11,'Daily Sale entry '!$Z$2:$Z$1501,"Other deposit 其他存入")+SUMIFS('Daily Sale entry '!$AD$2:$AD$1501,'Daily Sale entry '!$X$2:$X$1501,"&lt;="&amp;$A11)+('Opening Balance'!$B$8+SUM('Daily Sale entry '!$L$2:M11)-F11),2))</f>
        <v/>
      </c>
      <c r="L11">
        <f>IF($A11="","",IF(ABS('Sales &amp; Collection'!$B$138)&gt;'Opening Balance'!$B$16,"ALERT 警报: Different "&amp;TEXT('Sales &amp; Collection'!$B$138,"#,##0.00")&amp;" 差额过大",""))</f>
        <v/>
      </c>
    </row>
    <row r="12">
      <c r="A12" s="5">
        <f>IF('Daily Sale entry '!A12="","",'Daily Sale entry '!A12)</f>
        <v/>
      </c>
      <c r="B12" s="6">
        <f>IF($A12="","",ROUND('Opening Balance'!$B$4+SUM('Daily Sale entry '!$K$2:K12)+SUMIFS('Daily Sale entry '!$AC$2:$AC$1501,'Daily Sale entry '!$X$2:$X$1501,"&lt;="&amp;$A12)-SUMIFS('Daily Sale entry '!$AD$2:$AD$1501,'Daily Sale entry '!$X$2:$X$1501,"&lt;="&amp;$A12)+SUMPRODUCT(('Daily Sale entry '!$Q$2:$Q$1501="Collection 收款")*('Daily Sale entry '!$R$2:$R$1501="Cheque 支票")*('Daily Sale entry '!$V$2:$V$1501&lt;&gt;"")*('Daily Sale entry '!$V$2:$V$1501&lt;=$A12)*('Daily Sale entry '!$S$2:$S$1501-'Opening Balance'!$B$15*('Daily Sale entry '!$R$2:$R$1501="Cheque 支票")*('Daily Sale entry '!$S$2:$S$1501-TRUNC('Daily Sale entry '!$S$2:$S$1501))))-'Opening Balance'!$B$15*SUMPRODUCT(('Daily Sale entry '!$X$2:$X$1501&lt;=$A12)*('Daily Sale entry '!$Z$2:$Z$1501="Online collection 网上收款")*('Daily Sale entry '!$AA$2:$AA$1501&lt;&gt;"")*('Daily Sale entry '!$AC$2:$AC$1501-TRUNC('Daily Sale entry '!$AC$2:$AC$1501))),2))</f>
        <v/>
      </c>
      <c r="C12" s="8">
        <f>IF($A12="","",'Opening Balance'!$B$5+SUM('Daily Sale entry '!$I$2:I12)-SUMIFS('Daily Sale entry '!$AB$2:$AB$1501,'Daily Sale entry '!$X$2:$X$1501,"&lt;="&amp;$A12,'Daily Sale entry '!$Z$2:$Z$1501,"Cheque deposit 支票存入")-COUNTIFS('Daily Sale entry '!$Q$2:$Q$1501,"Collection 收款",'Daily Sale entry '!$R$2:$R$1501,"Cheque 支票",'Daily Sale entry '!$V$2:$V$1501,"&lt;="&amp;$A12))</f>
        <v/>
      </c>
      <c r="D12" s="6">
        <f>IF($A12="","",ROUND('Opening Balance'!$B$6+SUM('Daily Sale entry '!$J$2:J12)-SUMIFS('Daily Sale entry '!$AC$2:$AC$1501,'Daily Sale entry '!$X$2:$X$1501,"&lt;="&amp;$A12,'Daily Sale entry '!$Z$2:$Z$1501,"Cheque deposit 支票存入")-SUMPRODUCT(('Daily Sale entry '!$Q$2:$Q$1501="Collection 收款")*('Daily Sale entry '!$R$2:$R$1501="Cheque 支票")*('Daily Sale entry '!$V$2:$V$1501&lt;&gt;"")*('Daily Sale entry '!$V$2:$V$1501&lt;=$A12)*('Daily Sale entry '!$S$2:$S$1501-'Opening Balance'!$B$15*('Daily Sale entry '!$R$2:$R$1501="Cheque 支票")*('Daily Sale entry '!$S$2:$S$1501-TRUNC('Daily Sale entry '!$S$2:$S$1501)))),2))</f>
        <v/>
      </c>
      <c r="E12" s="6">
        <f>IF($A12="","",'Opening Balance'!$B$7)</f>
        <v/>
      </c>
      <c r="F12" s="6">
        <f>IF($A12="","",ROUND(SUMIFS('Daily Sale entry '!$L$2:$L$367,'Daily Sale entry '!$A$2:$A$367,"&gt;="&amp;DATE(YEAR($A12),MONTH($A12),1),'Daily Sale entry '!$A$2:$A$367,"&lt;="&amp;$A12)+SUMIFS('Daily Sale entry '!$M$2:$M$367,'Daily Sale entry '!$A$2:$A$367,"&gt;="&amp;DATE(YEAR($A12),MONTH($A12),1),'Daily Sale entry '!$A$2:$A$367,"&lt;="&amp;$A12)+IF(AND(YEAR($A12)=YEAR('Daily Sale entry '!$A$2),MONTH($A12)=MONTH('Daily Sale entry '!$A$2)),'Opening Balance'!$B$8,0),2))</f>
        <v/>
      </c>
      <c r="G12" s="6">
        <f>IF($A12="","",MOD(ROUND('Opening Balance'!$B$9+SUMIFS('Sales &amp; Collection'!$L$1:$L$143,'Sales &amp; Collection'!$K$1:$K$143,"cash collection*"),2),'Opening Balance'!$B$11))</f>
        <v/>
      </c>
      <c r="H12" s="6">
        <f>IF($A12="","",ROUND('Opening Balance'!$B$10+'Opening Balance'!$B$9+SUMIFS('Sales &amp; Collection'!$L$1:$L$143,'Sales &amp; Collection'!$K$1:$K$143,"cash collection*")-G12-SUMIFS('Daily Sale entry '!$AC$2:$AC$1501,'Daily Sale entry '!$X$2:$X$1501,"&lt;="&amp;$A12,'Daily Sale entry '!$Z$2:$Z$1501,"Cash deposit 现金存入"),2))</f>
        <v/>
      </c>
      <c r="I12" s="6">
        <f>IF($A12="","",ROUND(B12+D12+E12+F12+G12+H12,2))</f>
        <v/>
      </c>
      <c r="J12" s="6">
        <f>IF($A12="","",'AR &amp; AP'!K13)</f>
        <v/>
      </c>
      <c r="K12" s="6">
        <f>IF($A12="","",ROUND(I12-J12-SUMIFS('Daily Sale entry '!$AC$2:$AC$1501,'Daily Sale entry '!$X$2:$X$1501,"&lt;="&amp;$A12,'Daily Sale entry '!$Z$2:$Z$1501,"Other deposit 其他存入")+SUMIFS('Daily Sale entry '!$AD$2:$AD$1501,'Daily Sale entry '!$X$2:$X$1501,"&lt;="&amp;$A12)+('Opening Balance'!$B$8+SUM('Daily Sale entry '!$L$2:M12)-F12),2))</f>
        <v/>
      </c>
      <c r="L12">
        <f>IF($A12="","",IF(ABS('Sales &amp; Collection'!$B$152)&gt;'Opening Balance'!$B$16,"ALERT 警报: Different "&amp;TEXT('Sales &amp; Collection'!$B$152,"#,##0.00")&amp;" 差额过大",""))</f>
        <v/>
      </c>
    </row>
    <row r="13">
      <c r="A13" s="5">
        <f>IF('Daily Sale entry '!A13="","",'Daily Sale entry '!A13)</f>
        <v/>
      </c>
      <c r="B13" s="6">
        <f>IF($A13="","",ROUND('Opening Balance'!$B$4+SUM('Daily Sale entry '!$K$2:K13)+SUMIFS('Daily Sale entry '!$AC$2:$AC$1501,'Daily Sale entry '!$X$2:$X$1501,"&lt;="&amp;$A13)-SUMIFS('Daily Sale entry '!$AD$2:$AD$1501,'Daily Sale entry '!$X$2:$X$1501,"&lt;="&amp;$A13)+SUMPRODUCT(('Daily Sale entry '!$Q$2:$Q$1501="Collection 收款")*('Daily Sale entry '!$R$2:$R$1501="Cheque 支票")*('Daily Sale entry '!$V$2:$V$1501&lt;&gt;"")*('Daily Sale entry '!$V$2:$V$1501&lt;=$A13)*('Daily Sale entry '!$S$2:$S$1501-'Opening Balance'!$B$15*('Daily Sale entry '!$R$2:$R$1501="Cheque 支票")*('Daily Sale entry '!$S$2:$S$1501-TRUNC('Daily Sale entry '!$S$2:$S$1501))))-'Opening Balance'!$B$15*SUMPRODUCT(('Daily Sale entry '!$X$2:$X$1501&lt;=$A13)*('Daily Sale entry '!$Z$2:$Z$1501="Online collection 网上收款")*('Daily Sale entry '!$AA$2:$AA$1501&lt;&gt;"")*('Daily Sale entry '!$AC$2:$AC$1501-TRUNC('Daily Sale entry '!$AC$2:$AC$1501))),2))</f>
        <v/>
      </c>
      <c r="C13" s="8">
        <f>IF($A13="","",'Opening Balance'!$B$5+SUM('Daily Sale entry '!$I$2:I13)-SUMIFS('Daily Sale entry '!$AB$2:$AB$1501,'Daily Sale entry '!$X$2:$X$1501,"&lt;="&amp;$A13,'Daily Sale entry '!$Z$2:$Z$1501,"Cheque deposit 支票存入")-COUNTIFS('Daily Sale entry '!$Q$2:$Q$1501,"Collection 收款",'Daily Sale entry '!$R$2:$R$1501,"Cheque 支票",'Daily Sale entry '!$V$2:$V$1501,"&lt;="&amp;$A13))</f>
        <v/>
      </c>
      <c r="D13" s="6">
        <f>IF($A13="","",ROUND('Opening Balance'!$B$6+SUM('Daily Sale entry '!$J$2:J13)-SUMIFS('Daily Sale entry '!$AC$2:$AC$1501,'Daily Sale entry '!$X$2:$X$1501,"&lt;="&amp;$A13,'Daily Sale entry '!$Z$2:$Z$1501,"Cheque deposit 支票存入")-SUMPRODUCT(('Daily Sale entry '!$Q$2:$Q$1501="Collection 收款")*('Daily Sale entry '!$R$2:$R$1501="Cheque 支票")*('Daily Sale entry '!$V$2:$V$1501&lt;&gt;"")*('Daily Sale entry '!$V$2:$V$1501&lt;=$A13)*('Daily Sale entry '!$S$2:$S$1501-'Opening Balance'!$B$15*('Daily Sale entry '!$R$2:$R$1501="Cheque 支票")*('Daily Sale entry '!$S$2:$S$1501-TRUNC('Daily Sale entry '!$S$2:$S$1501)))),2))</f>
        <v/>
      </c>
      <c r="E13" s="6">
        <f>IF($A13="","",'Opening Balance'!$B$7)</f>
        <v/>
      </c>
      <c r="F13" s="6">
        <f>IF($A13="","",ROUND(SUMIFS('Daily Sale entry '!$L$2:$L$367,'Daily Sale entry '!$A$2:$A$367,"&gt;="&amp;DATE(YEAR($A13),MONTH($A13),1),'Daily Sale entry '!$A$2:$A$367,"&lt;="&amp;$A13)+SUMIFS('Daily Sale entry '!$M$2:$M$367,'Daily Sale entry '!$A$2:$A$367,"&gt;="&amp;DATE(YEAR($A13),MONTH($A13),1),'Daily Sale entry '!$A$2:$A$367,"&lt;="&amp;$A13)+IF(AND(YEAR($A13)=YEAR('Daily Sale entry '!$A$2),MONTH($A13)=MONTH('Daily Sale entry '!$A$2)),'Opening Balance'!$B$8,0),2))</f>
        <v/>
      </c>
      <c r="G13" s="6">
        <f>IF($A13="","",MOD(ROUND('Opening Balance'!$B$9+SUMIFS('Sales &amp; Collection'!$L$1:$L$157,'Sales &amp; Collection'!$K$1:$K$157,"cash collection*"),2),'Opening Balance'!$B$11))</f>
        <v/>
      </c>
      <c r="H13" s="6">
        <f>IF($A13="","",ROUND('Opening Balance'!$B$10+'Opening Balance'!$B$9+SUMIFS('Sales &amp; Collection'!$L$1:$L$157,'Sales &amp; Collection'!$K$1:$K$157,"cash collection*")-G13-SUMIFS('Daily Sale entry '!$AC$2:$AC$1501,'Daily Sale entry '!$X$2:$X$1501,"&lt;="&amp;$A13,'Daily Sale entry '!$Z$2:$Z$1501,"Cash deposit 现金存入"),2))</f>
        <v/>
      </c>
      <c r="I13" s="6">
        <f>IF($A13="","",ROUND(B13+D13+E13+F13+G13+H13,2))</f>
        <v/>
      </c>
      <c r="J13" s="6">
        <f>IF($A13="","",'AR &amp; AP'!K14)</f>
        <v/>
      </c>
      <c r="K13" s="6">
        <f>IF($A13="","",ROUND(I13-J13-SUMIFS('Daily Sale entry '!$AC$2:$AC$1501,'Daily Sale entry '!$X$2:$X$1501,"&lt;="&amp;$A13,'Daily Sale entry '!$Z$2:$Z$1501,"Other deposit 其他存入")+SUMIFS('Daily Sale entry '!$AD$2:$AD$1501,'Daily Sale entry '!$X$2:$X$1501,"&lt;="&amp;$A13)+('Opening Balance'!$B$8+SUM('Daily Sale entry '!$L$2:M13)-F13),2))</f>
        <v/>
      </c>
      <c r="L13">
        <f>IF($A13="","",IF(ABS('Sales &amp; Collection'!$B$166)&gt;'Opening Balance'!$B$16,"ALERT 警报: Different "&amp;TEXT('Sales &amp; Collection'!$B$166,"#,##0.00")&amp;" 差额过大",""))</f>
        <v/>
      </c>
    </row>
    <row r="14">
      <c r="A14" s="5">
        <f>IF('Daily Sale entry '!A14="","",'Daily Sale entry '!A14)</f>
        <v/>
      </c>
      <c r="B14" s="6">
        <f>IF($A14="","",ROUND('Opening Balance'!$B$4+SUM('Daily Sale entry '!$K$2:K14)+SUMIFS('Daily Sale entry '!$AC$2:$AC$1501,'Daily Sale entry '!$X$2:$X$1501,"&lt;="&amp;$A14)-SUMIFS('Daily Sale entry '!$AD$2:$AD$1501,'Daily Sale entry '!$X$2:$X$1501,"&lt;="&amp;$A14)+SUMPRODUCT(('Daily Sale entry '!$Q$2:$Q$1501="Collection 收款")*('Daily Sale entry '!$R$2:$R$1501="Cheque 支票")*('Daily Sale entry '!$V$2:$V$1501&lt;&gt;"")*('Daily Sale entry '!$V$2:$V$1501&lt;=$A14)*('Daily Sale entry '!$S$2:$S$1501-'Opening Balance'!$B$15*('Daily Sale entry '!$R$2:$R$1501="Cheque 支票")*('Daily Sale entry '!$S$2:$S$1501-TRUNC('Daily Sale entry '!$S$2:$S$1501))))-'Opening Balance'!$B$15*SUMPRODUCT(('Daily Sale entry '!$X$2:$X$1501&lt;=$A14)*('Daily Sale entry '!$Z$2:$Z$1501="Online collection 网上收款")*('Daily Sale entry '!$AA$2:$AA$1501&lt;&gt;"")*('Daily Sale entry '!$AC$2:$AC$1501-TRUNC('Daily Sale entry '!$AC$2:$AC$1501))),2))</f>
        <v/>
      </c>
      <c r="C14" s="8">
        <f>IF($A14="","",'Opening Balance'!$B$5+SUM('Daily Sale entry '!$I$2:I14)-SUMIFS('Daily Sale entry '!$AB$2:$AB$1501,'Daily Sale entry '!$X$2:$X$1501,"&lt;="&amp;$A14,'Daily Sale entry '!$Z$2:$Z$1501,"Cheque deposit 支票存入")-COUNTIFS('Daily Sale entry '!$Q$2:$Q$1501,"Collection 收款",'Daily Sale entry '!$R$2:$R$1501,"Cheque 支票",'Daily Sale entry '!$V$2:$V$1501,"&lt;="&amp;$A14))</f>
        <v/>
      </c>
      <c r="D14" s="6">
        <f>IF($A14="","",ROUND('Opening Balance'!$B$6+SUM('Daily Sale entry '!$J$2:J14)-SUMIFS('Daily Sale entry '!$AC$2:$AC$1501,'Daily Sale entry '!$X$2:$X$1501,"&lt;="&amp;$A14,'Daily Sale entry '!$Z$2:$Z$1501,"Cheque deposit 支票存入")-SUMPRODUCT(('Daily Sale entry '!$Q$2:$Q$1501="Collection 收款")*('Daily Sale entry '!$R$2:$R$1501="Cheque 支票")*('Daily Sale entry '!$V$2:$V$1501&lt;&gt;"")*('Daily Sale entry '!$V$2:$V$1501&lt;=$A14)*('Daily Sale entry '!$S$2:$S$1501-'Opening Balance'!$B$15*('Daily Sale entry '!$R$2:$R$1501="Cheque 支票")*('Daily Sale entry '!$S$2:$S$1501-TRUNC('Daily Sale entry '!$S$2:$S$1501)))),2))</f>
        <v/>
      </c>
      <c r="E14" s="6">
        <f>IF($A14="","",'Opening Balance'!$B$7)</f>
        <v/>
      </c>
      <c r="F14" s="6">
        <f>IF($A14="","",ROUND(SUMIFS('Daily Sale entry '!$L$2:$L$367,'Daily Sale entry '!$A$2:$A$367,"&gt;="&amp;DATE(YEAR($A14),MONTH($A14),1),'Daily Sale entry '!$A$2:$A$367,"&lt;="&amp;$A14)+SUMIFS('Daily Sale entry '!$M$2:$M$367,'Daily Sale entry '!$A$2:$A$367,"&gt;="&amp;DATE(YEAR($A14),MONTH($A14),1),'Daily Sale entry '!$A$2:$A$367,"&lt;="&amp;$A14)+IF(AND(YEAR($A14)=YEAR('Daily Sale entry '!$A$2),MONTH($A14)=MONTH('Daily Sale entry '!$A$2)),'Opening Balance'!$B$8,0),2))</f>
        <v/>
      </c>
      <c r="G14" s="6">
        <f>IF($A14="","",MOD(ROUND('Opening Balance'!$B$9+SUMIFS('Sales &amp; Collection'!$L$1:$L$171,'Sales &amp; Collection'!$K$1:$K$171,"cash collection*"),2),'Opening Balance'!$B$11))</f>
        <v/>
      </c>
      <c r="H14" s="6">
        <f>IF($A14="","",ROUND('Opening Balance'!$B$10+'Opening Balance'!$B$9+SUMIFS('Sales &amp; Collection'!$L$1:$L$171,'Sales &amp; Collection'!$K$1:$K$171,"cash collection*")-G14-SUMIFS('Daily Sale entry '!$AC$2:$AC$1501,'Daily Sale entry '!$X$2:$X$1501,"&lt;="&amp;$A14,'Daily Sale entry '!$Z$2:$Z$1501,"Cash deposit 现金存入"),2))</f>
        <v/>
      </c>
      <c r="I14" s="6">
        <f>IF($A14="","",ROUND(B14+D14+E14+F14+G14+H14,2))</f>
        <v/>
      </c>
      <c r="J14" s="6">
        <f>IF($A14="","",'AR &amp; AP'!K15)</f>
        <v/>
      </c>
      <c r="K14" s="6">
        <f>IF($A14="","",ROUND(I14-J14-SUMIFS('Daily Sale entry '!$AC$2:$AC$1501,'Daily Sale entry '!$X$2:$X$1501,"&lt;="&amp;$A14,'Daily Sale entry '!$Z$2:$Z$1501,"Other deposit 其他存入")+SUMIFS('Daily Sale entry '!$AD$2:$AD$1501,'Daily Sale entry '!$X$2:$X$1501,"&lt;="&amp;$A14)+('Opening Balance'!$B$8+SUM('Daily Sale entry '!$L$2:M14)-F14),2))</f>
        <v/>
      </c>
      <c r="L14">
        <f>IF($A14="","",IF(ABS('Sales &amp; Collection'!$B$180)&gt;'Opening Balance'!$B$16,"ALERT 警报: Different "&amp;TEXT('Sales &amp; Collection'!$B$180,"#,##0.00")&amp;" 差额过大",""))</f>
        <v/>
      </c>
    </row>
    <row r="15">
      <c r="A15" s="5">
        <f>IF('Daily Sale entry '!A15="","",'Daily Sale entry '!A15)</f>
        <v/>
      </c>
      <c r="B15" s="6">
        <f>IF($A15="","",ROUND('Opening Balance'!$B$4+SUM('Daily Sale entry '!$K$2:K15)+SUMIFS('Daily Sale entry '!$AC$2:$AC$1501,'Daily Sale entry '!$X$2:$X$1501,"&lt;="&amp;$A15)-SUMIFS('Daily Sale entry '!$AD$2:$AD$1501,'Daily Sale entry '!$X$2:$X$1501,"&lt;="&amp;$A15)+SUMPRODUCT(('Daily Sale entry '!$Q$2:$Q$1501="Collection 收款")*('Daily Sale entry '!$R$2:$R$1501="Cheque 支票")*('Daily Sale entry '!$V$2:$V$1501&lt;&gt;"")*('Daily Sale entry '!$V$2:$V$1501&lt;=$A15)*('Daily Sale entry '!$S$2:$S$1501-'Opening Balance'!$B$15*('Daily Sale entry '!$R$2:$R$1501="Cheque 支票")*('Daily Sale entry '!$S$2:$S$1501-TRUNC('Daily Sale entry '!$S$2:$S$1501))))-'Opening Balance'!$B$15*SUMPRODUCT(('Daily Sale entry '!$X$2:$X$1501&lt;=$A15)*('Daily Sale entry '!$Z$2:$Z$1501="Online collection 网上收款")*('Daily Sale entry '!$AA$2:$AA$1501&lt;&gt;"")*('Daily Sale entry '!$AC$2:$AC$1501-TRUNC('Daily Sale entry '!$AC$2:$AC$1501))),2))</f>
        <v/>
      </c>
      <c r="C15" s="8">
        <f>IF($A15="","",'Opening Balance'!$B$5+SUM('Daily Sale entry '!$I$2:I15)-SUMIFS('Daily Sale entry '!$AB$2:$AB$1501,'Daily Sale entry '!$X$2:$X$1501,"&lt;="&amp;$A15,'Daily Sale entry '!$Z$2:$Z$1501,"Cheque deposit 支票存入")-COUNTIFS('Daily Sale entry '!$Q$2:$Q$1501,"Collection 收款",'Daily Sale entry '!$R$2:$R$1501,"Cheque 支票",'Daily Sale entry '!$V$2:$V$1501,"&lt;="&amp;$A15))</f>
        <v/>
      </c>
      <c r="D15" s="6">
        <f>IF($A15="","",ROUND('Opening Balance'!$B$6+SUM('Daily Sale entry '!$J$2:J15)-SUMIFS('Daily Sale entry '!$AC$2:$AC$1501,'Daily Sale entry '!$X$2:$X$1501,"&lt;="&amp;$A15,'Daily Sale entry '!$Z$2:$Z$1501,"Cheque deposit 支票存入")-SUMPRODUCT(('Daily Sale entry '!$Q$2:$Q$1501="Collection 收款")*('Daily Sale entry '!$R$2:$R$1501="Cheque 支票")*('Daily Sale entry '!$V$2:$V$1501&lt;&gt;"")*('Daily Sale entry '!$V$2:$V$1501&lt;=$A15)*('Daily Sale entry '!$S$2:$S$1501-'Opening Balance'!$B$15*('Daily Sale entry '!$R$2:$R$1501="Cheque 支票")*('Daily Sale entry '!$S$2:$S$1501-TRUNC('Daily Sale entry '!$S$2:$S$1501)))),2))</f>
        <v/>
      </c>
      <c r="E15" s="6">
        <f>IF($A15="","",'Opening Balance'!$B$7)</f>
        <v/>
      </c>
      <c r="F15" s="6">
        <f>IF($A15="","",ROUND(SUMIFS('Daily Sale entry '!$L$2:$L$367,'Daily Sale entry '!$A$2:$A$367,"&gt;="&amp;DATE(YEAR($A15),MONTH($A15),1),'Daily Sale entry '!$A$2:$A$367,"&lt;="&amp;$A15)+SUMIFS('Daily Sale entry '!$M$2:$M$367,'Daily Sale entry '!$A$2:$A$367,"&gt;="&amp;DATE(YEAR($A15),MONTH($A15),1),'Daily Sale entry '!$A$2:$A$367,"&lt;="&amp;$A15)+IF(AND(YEAR($A15)=YEAR('Daily Sale entry '!$A$2),MONTH($A15)=MONTH('Daily Sale entry '!$A$2)),'Opening Balance'!$B$8,0),2))</f>
        <v/>
      </c>
      <c r="G15" s="6">
        <f>IF($A15="","",MOD(ROUND('Opening Balance'!$B$9+SUMIFS('Sales &amp; Collection'!$L$1:$L$185,'Sales &amp; Collection'!$K$1:$K$185,"cash collection*"),2),'Opening Balance'!$B$11))</f>
        <v/>
      </c>
      <c r="H15" s="6">
        <f>IF($A15="","",ROUND('Opening Balance'!$B$10+'Opening Balance'!$B$9+SUMIFS('Sales &amp; Collection'!$L$1:$L$185,'Sales &amp; Collection'!$K$1:$K$185,"cash collection*")-G15-SUMIFS('Daily Sale entry '!$AC$2:$AC$1501,'Daily Sale entry '!$X$2:$X$1501,"&lt;="&amp;$A15,'Daily Sale entry '!$Z$2:$Z$1501,"Cash deposit 现金存入"),2))</f>
        <v/>
      </c>
      <c r="I15" s="6">
        <f>IF($A15="","",ROUND(B15+D15+E15+F15+G15+H15,2))</f>
        <v/>
      </c>
      <c r="J15" s="6">
        <f>IF($A15="","",'AR &amp; AP'!K16)</f>
        <v/>
      </c>
      <c r="K15" s="6">
        <f>IF($A15="","",ROUND(I15-J15-SUMIFS('Daily Sale entry '!$AC$2:$AC$1501,'Daily Sale entry '!$X$2:$X$1501,"&lt;="&amp;$A15,'Daily Sale entry '!$Z$2:$Z$1501,"Other deposit 其他存入")+SUMIFS('Daily Sale entry '!$AD$2:$AD$1501,'Daily Sale entry '!$X$2:$X$1501,"&lt;="&amp;$A15)+('Opening Balance'!$B$8+SUM('Daily Sale entry '!$L$2:M15)-F15),2))</f>
        <v/>
      </c>
      <c r="L15">
        <f>IF($A15="","",IF(ABS('Sales &amp; Collection'!$B$194)&gt;'Opening Balance'!$B$16,"ALERT 警报: Different "&amp;TEXT('Sales &amp; Collection'!$B$194,"#,##0.00")&amp;" 差额过大",""))</f>
        <v/>
      </c>
    </row>
    <row r="16">
      <c r="A16" s="5">
        <f>IF('Daily Sale entry '!A16="","",'Daily Sale entry '!A16)</f>
        <v/>
      </c>
      <c r="B16" s="6">
        <f>IF($A16="","",ROUND('Opening Balance'!$B$4+SUM('Daily Sale entry '!$K$2:K16)+SUMIFS('Daily Sale entry '!$AC$2:$AC$1501,'Daily Sale entry '!$X$2:$X$1501,"&lt;="&amp;$A16)-SUMIFS('Daily Sale entry '!$AD$2:$AD$1501,'Daily Sale entry '!$X$2:$X$1501,"&lt;="&amp;$A16)+SUMPRODUCT(('Daily Sale entry '!$Q$2:$Q$1501="Collection 收款")*('Daily Sale entry '!$R$2:$R$1501="Cheque 支票")*('Daily Sale entry '!$V$2:$V$1501&lt;&gt;"")*('Daily Sale entry '!$V$2:$V$1501&lt;=$A16)*('Daily Sale entry '!$S$2:$S$1501-'Opening Balance'!$B$15*('Daily Sale entry '!$R$2:$R$1501="Cheque 支票")*('Daily Sale entry '!$S$2:$S$1501-TRUNC('Daily Sale entry '!$S$2:$S$1501))))-'Opening Balance'!$B$15*SUMPRODUCT(('Daily Sale entry '!$X$2:$X$1501&lt;=$A16)*('Daily Sale entry '!$Z$2:$Z$1501="Online collection 网上收款")*('Daily Sale entry '!$AA$2:$AA$1501&lt;&gt;"")*('Daily Sale entry '!$AC$2:$AC$1501-TRUNC('Daily Sale entry '!$AC$2:$AC$1501))),2))</f>
        <v/>
      </c>
      <c r="C16" s="8">
        <f>IF($A16="","",'Opening Balance'!$B$5+SUM('Daily Sale entry '!$I$2:I16)-SUMIFS('Daily Sale entry '!$AB$2:$AB$1501,'Daily Sale entry '!$X$2:$X$1501,"&lt;="&amp;$A16,'Daily Sale entry '!$Z$2:$Z$1501,"Cheque deposit 支票存入")-COUNTIFS('Daily Sale entry '!$Q$2:$Q$1501,"Collection 收款",'Daily Sale entry '!$R$2:$R$1501,"Cheque 支票",'Daily Sale entry '!$V$2:$V$1501,"&lt;="&amp;$A16))</f>
        <v/>
      </c>
      <c r="D16" s="6">
        <f>IF($A16="","",ROUND('Opening Balance'!$B$6+SUM('Daily Sale entry '!$J$2:J16)-SUMIFS('Daily Sale entry '!$AC$2:$AC$1501,'Daily Sale entry '!$X$2:$X$1501,"&lt;="&amp;$A16,'Daily Sale entry '!$Z$2:$Z$1501,"Cheque deposit 支票存入")-SUMPRODUCT(('Daily Sale entry '!$Q$2:$Q$1501="Collection 收款")*('Daily Sale entry '!$R$2:$R$1501="Cheque 支票")*('Daily Sale entry '!$V$2:$V$1501&lt;&gt;"")*('Daily Sale entry '!$V$2:$V$1501&lt;=$A16)*('Daily Sale entry '!$S$2:$S$1501-'Opening Balance'!$B$15*('Daily Sale entry '!$R$2:$R$1501="Cheque 支票")*('Daily Sale entry '!$S$2:$S$1501-TRUNC('Daily Sale entry '!$S$2:$S$1501)))),2))</f>
        <v/>
      </c>
      <c r="E16" s="6">
        <f>IF($A16="","",'Opening Balance'!$B$7)</f>
        <v/>
      </c>
      <c r="F16" s="6">
        <f>IF($A16="","",ROUND(SUMIFS('Daily Sale entry '!$L$2:$L$367,'Daily Sale entry '!$A$2:$A$367,"&gt;="&amp;DATE(YEAR($A16),MONTH($A16),1),'Daily Sale entry '!$A$2:$A$367,"&lt;="&amp;$A16)+SUMIFS('Daily Sale entry '!$M$2:$M$367,'Daily Sale entry '!$A$2:$A$367,"&gt;="&amp;DATE(YEAR($A16),MONTH($A16),1),'Daily Sale entry '!$A$2:$A$367,"&lt;="&amp;$A16)+IF(AND(YEAR($A16)=YEAR('Daily Sale entry '!$A$2),MONTH($A16)=MONTH('Daily Sale entry '!$A$2)),'Opening Balance'!$B$8,0),2))</f>
        <v/>
      </c>
      <c r="G16" s="6">
        <f>IF($A16="","",MOD(ROUND('Opening Balance'!$B$9+SUMIFS('Sales &amp; Collection'!$L$1:$L$199,'Sales &amp; Collection'!$K$1:$K$199,"cash collection*"),2),'Opening Balance'!$B$11))</f>
        <v/>
      </c>
      <c r="H16" s="6">
        <f>IF($A16="","",ROUND('Opening Balance'!$B$10+'Opening Balance'!$B$9+SUMIFS('Sales &amp; Collection'!$L$1:$L$199,'Sales &amp; Collection'!$K$1:$K$199,"cash collection*")-G16-SUMIFS('Daily Sale entry '!$AC$2:$AC$1501,'Daily Sale entry '!$X$2:$X$1501,"&lt;="&amp;$A16,'Daily Sale entry '!$Z$2:$Z$1501,"Cash deposit 现金存入"),2))</f>
        <v/>
      </c>
      <c r="I16" s="6">
        <f>IF($A16="","",ROUND(B16+D16+E16+F16+G16+H16,2))</f>
        <v/>
      </c>
      <c r="J16" s="6">
        <f>IF($A16="","",'AR &amp; AP'!K17)</f>
        <v/>
      </c>
      <c r="K16" s="6">
        <f>IF($A16="","",ROUND(I16-J16-SUMIFS('Daily Sale entry '!$AC$2:$AC$1501,'Daily Sale entry '!$X$2:$X$1501,"&lt;="&amp;$A16,'Daily Sale entry '!$Z$2:$Z$1501,"Other deposit 其他存入")+SUMIFS('Daily Sale entry '!$AD$2:$AD$1501,'Daily Sale entry '!$X$2:$X$1501,"&lt;="&amp;$A16)+('Opening Balance'!$B$8+SUM('Daily Sale entry '!$L$2:M16)-F16),2))</f>
        <v/>
      </c>
      <c r="L16">
        <f>IF($A16="","",IF(ABS('Sales &amp; Collection'!$B$208)&gt;'Opening Balance'!$B$16,"ALERT 警报: Different "&amp;TEXT('Sales &amp; Collection'!$B$208,"#,##0.00")&amp;" 差额过大",""))</f>
        <v/>
      </c>
    </row>
    <row r="17">
      <c r="A17" s="5">
        <f>IF('Daily Sale entry '!A17="","",'Daily Sale entry '!A17)</f>
        <v/>
      </c>
      <c r="B17" s="6">
        <f>IF($A17="","",ROUND('Opening Balance'!$B$4+SUM('Daily Sale entry '!$K$2:K17)+SUMIFS('Daily Sale entry '!$AC$2:$AC$1501,'Daily Sale entry '!$X$2:$X$1501,"&lt;="&amp;$A17)-SUMIFS('Daily Sale entry '!$AD$2:$AD$1501,'Daily Sale entry '!$X$2:$X$1501,"&lt;="&amp;$A17)+SUMPRODUCT(('Daily Sale entry '!$Q$2:$Q$1501="Collection 收款")*('Daily Sale entry '!$R$2:$R$1501="Cheque 支票")*('Daily Sale entry '!$V$2:$V$1501&lt;&gt;"")*('Daily Sale entry '!$V$2:$V$1501&lt;=$A17)*('Daily Sale entry '!$S$2:$S$1501-'Opening Balance'!$B$15*('Daily Sale entry '!$R$2:$R$1501="Cheque 支票")*('Daily Sale entry '!$S$2:$S$1501-TRUNC('Daily Sale entry '!$S$2:$S$1501))))-'Opening Balance'!$B$15*SUMPRODUCT(('Daily Sale entry '!$X$2:$X$1501&lt;=$A17)*('Daily Sale entry '!$Z$2:$Z$1501="Online collection 网上收款")*('Daily Sale entry '!$AA$2:$AA$1501&lt;&gt;"")*('Daily Sale entry '!$AC$2:$AC$1501-TRUNC('Daily Sale entry '!$AC$2:$AC$1501))),2))</f>
        <v/>
      </c>
      <c r="C17" s="8">
        <f>IF($A17="","",'Opening Balance'!$B$5+SUM('Daily Sale entry '!$I$2:I17)-SUMIFS('Daily Sale entry '!$AB$2:$AB$1501,'Daily Sale entry '!$X$2:$X$1501,"&lt;="&amp;$A17,'Daily Sale entry '!$Z$2:$Z$1501,"Cheque deposit 支票存入")-COUNTIFS('Daily Sale entry '!$Q$2:$Q$1501,"Collection 收款",'Daily Sale entry '!$R$2:$R$1501,"Cheque 支票",'Daily Sale entry '!$V$2:$V$1501,"&lt;="&amp;$A17))</f>
        <v/>
      </c>
      <c r="D17" s="6">
        <f>IF($A17="","",ROUND('Opening Balance'!$B$6+SUM('Daily Sale entry '!$J$2:J17)-SUMIFS('Daily Sale entry '!$AC$2:$AC$1501,'Daily Sale entry '!$X$2:$X$1501,"&lt;="&amp;$A17,'Daily Sale entry '!$Z$2:$Z$1501,"Cheque deposit 支票存入")-SUMPRODUCT(('Daily Sale entry '!$Q$2:$Q$1501="Collection 收款")*('Daily Sale entry '!$R$2:$R$1501="Cheque 支票")*('Daily Sale entry '!$V$2:$V$1501&lt;&gt;"")*('Daily Sale entry '!$V$2:$V$1501&lt;=$A17)*('Daily Sale entry '!$S$2:$S$1501-'Opening Balance'!$B$15*('Daily Sale entry '!$R$2:$R$1501="Cheque 支票")*('Daily Sale entry '!$S$2:$S$1501-TRUNC('Daily Sale entry '!$S$2:$S$1501)))),2))</f>
        <v/>
      </c>
      <c r="E17" s="6">
        <f>IF($A17="","",'Opening Balance'!$B$7)</f>
        <v/>
      </c>
      <c r="F17" s="6">
        <f>IF($A17="","",ROUND(SUMIFS('Daily Sale entry '!$L$2:$L$367,'Daily Sale entry '!$A$2:$A$367,"&gt;="&amp;DATE(YEAR($A17),MONTH($A17),1),'Daily Sale entry '!$A$2:$A$367,"&lt;="&amp;$A17)+SUMIFS('Daily Sale entry '!$M$2:$M$367,'Daily Sale entry '!$A$2:$A$367,"&gt;="&amp;DATE(YEAR($A17),MONTH($A17),1),'Daily Sale entry '!$A$2:$A$367,"&lt;="&amp;$A17)+IF(AND(YEAR($A17)=YEAR('Daily Sale entry '!$A$2),MONTH($A17)=MONTH('Daily Sale entry '!$A$2)),'Opening Balance'!$B$8,0),2))</f>
        <v/>
      </c>
      <c r="G17" s="6">
        <f>IF($A17="","",MOD(ROUND('Opening Balance'!$B$9+SUMIFS('Sales &amp; Collection'!$L$1:$L$213,'Sales &amp; Collection'!$K$1:$K$213,"cash collection*"),2),'Opening Balance'!$B$11))</f>
        <v/>
      </c>
      <c r="H17" s="6">
        <f>IF($A17="","",ROUND('Opening Balance'!$B$10+'Opening Balance'!$B$9+SUMIFS('Sales &amp; Collection'!$L$1:$L$213,'Sales &amp; Collection'!$K$1:$K$213,"cash collection*")-G17-SUMIFS('Daily Sale entry '!$AC$2:$AC$1501,'Daily Sale entry '!$X$2:$X$1501,"&lt;="&amp;$A17,'Daily Sale entry '!$Z$2:$Z$1501,"Cash deposit 现金存入"),2))</f>
        <v/>
      </c>
      <c r="I17" s="6">
        <f>IF($A17="","",ROUND(B17+D17+E17+F17+G17+H17,2))</f>
        <v/>
      </c>
      <c r="J17" s="6">
        <f>IF($A17="","",'AR &amp; AP'!K18)</f>
        <v/>
      </c>
      <c r="K17" s="6">
        <f>IF($A17="","",ROUND(I17-J17-SUMIFS('Daily Sale entry '!$AC$2:$AC$1501,'Daily Sale entry '!$X$2:$X$1501,"&lt;="&amp;$A17,'Daily Sale entry '!$Z$2:$Z$1501,"Other deposit 其他存入")+SUMIFS('Daily Sale entry '!$AD$2:$AD$1501,'Daily Sale entry '!$X$2:$X$1501,"&lt;="&amp;$A17)+('Opening Balance'!$B$8+SUM('Daily Sale entry '!$L$2:M17)-F17),2))</f>
        <v/>
      </c>
      <c r="L17">
        <f>IF($A17="","",IF(ABS('Sales &amp; Collection'!$B$222)&gt;'Opening Balance'!$B$16,"ALERT 警报: Different "&amp;TEXT('Sales &amp; Collection'!$B$222,"#,##0.00")&amp;" 差额过大",""))</f>
        <v/>
      </c>
    </row>
    <row r="18">
      <c r="A18" s="5">
        <f>IF('Daily Sale entry '!A18="","",'Daily Sale entry '!A18)</f>
        <v/>
      </c>
      <c r="B18" s="6">
        <f>IF($A18="","",ROUND('Opening Balance'!$B$4+SUM('Daily Sale entry '!$K$2:K18)+SUMIFS('Daily Sale entry '!$AC$2:$AC$1501,'Daily Sale entry '!$X$2:$X$1501,"&lt;="&amp;$A18)-SUMIFS('Daily Sale entry '!$AD$2:$AD$1501,'Daily Sale entry '!$X$2:$X$1501,"&lt;="&amp;$A18)+SUMPRODUCT(('Daily Sale entry '!$Q$2:$Q$1501="Collection 收款")*('Daily Sale entry '!$R$2:$R$1501="Cheque 支票")*('Daily Sale entry '!$V$2:$V$1501&lt;&gt;"")*('Daily Sale entry '!$V$2:$V$1501&lt;=$A18)*('Daily Sale entry '!$S$2:$S$1501-'Opening Balance'!$B$15*('Daily Sale entry '!$R$2:$R$1501="Cheque 支票")*('Daily Sale entry '!$S$2:$S$1501-TRUNC('Daily Sale entry '!$S$2:$S$1501))))-'Opening Balance'!$B$15*SUMPRODUCT(('Daily Sale entry '!$X$2:$X$1501&lt;=$A18)*('Daily Sale entry '!$Z$2:$Z$1501="Online collection 网上收款")*('Daily Sale entry '!$AA$2:$AA$1501&lt;&gt;"")*('Daily Sale entry '!$AC$2:$AC$1501-TRUNC('Daily Sale entry '!$AC$2:$AC$1501))),2))</f>
        <v/>
      </c>
      <c r="C18" s="8">
        <f>IF($A18="","",'Opening Balance'!$B$5+SUM('Daily Sale entry '!$I$2:I18)-SUMIFS('Daily Sale entry '!$AB$2:$AB$1501,'Daily Sale entry '!$X$2:$X$1501,"&lt;="&amp;$A18,'Daily Sale entry '!$Z$2:$Z$1501,"Cheque deposit 支票存入")-COUNTIFS('Daily Sale entry '!$Q$2:$Q$1501,"Collection 收款",'Daily Sale entry '!$R$2:$R$1501,"Cheque 支票",'Daily Sale entry '!$V$2:$V$1501,"&lt;="&amp;$A18))</f>
        <v/>
      </c>
      <c r="D18" s="6">
        <f>IF($A18="","",ROUND('Opening Balance'!$B$6+SUM('Daily Sale entry '!$J$2:J18)-SUMIFS('Daily Sale entry '!$AC$2:$AC$1501,'Daily Sale entry '!$X$2:$X$1501,"&lt;="&amp;$A18,'Daily Sale entry '!$Z$2:$Z$1501,"Cheque deposit 支票存入")-SUMPRODUCT(('Daily Sale entry '!$Q$2:$Q$1501="Collection 收款")*('Daily Sale entry '!$R$2:$R$1501="Cheque 支票")*('Daily Sale entry '!$V$2:$V$1501&lt;&gt;"")*('Daily Sale entry '!$V$2:$V$1501&lt;=$A18)*('Daily Sale entry '!$S$2:$S$1501-'Opening Balance'!$B$15*('Daily Sale entry '!$R$2:$R$1501="Cheque 支票")*('Daily Sale entry '!$S$2:$S$1501-TRUNC('Daily Sale entry '!$S$2:$S$1501)))),2))</f>
        <v/>
      </c>
      <c r="E18" s="6">
        <f>IF($A18="","",'Opening Balance'!$B$7)</f>
        <v/>
      </c>
      <c r="F18" s="6">
        <f>IF($A18="","",ROUND(SUMIFS('Daily Sale entry '!$L$2:$L$367,'Daily Sale entry '!$A$2:$A$367,"&gt;="&amp;DATE(YEAR($A18),MONTH($A18),1),'Daily Sale entry '!$A$2:$A$367,"&lt;="&amp;$A18)+SUMIFS('Daily Sale entry '!$M$2:$M$367,'Daily Sale entry '!$A$2:$A$367,"&gt;="&amp;DATE(YEAR($A18),MONTH($A18),1),'Daily Sale entry '!$A$2:$A$367,"&lt;="&amp;$A18)+IF(AND(YEAR($A18)=YEAR('Daily Sale entry '!$A$2),MONTH($A18)=MONTH('Daily Sale entry '!$A$2)),'Opening Balance'!$B$8,0),2))</f>
        <v/>
      </c>
      <c r="G18" s="6">
        <f>IF($A18="","",MOD(ROUND('Opening Balance'!$B$9+SUMIFS('Sales &amp; Collection'!$L$1:$L$227,'Sales &amp; Collection'!$K$1:$K$227,"cash collection*"),2),'Opening Balance'!$B$11))</f>
        <v/>
      </c>
      <c r="H18" s="6">
        <f>IF($A18="","",ROUND('Opening Balance'!$B$10+'Opening Balance'!$B$9+SUMIFS('Sales &amp; Collection'!$L$1:$L$227,'Sales &amp; Collection'!$K$1:$K$227,"cash collection*")-G18-SUMIFS('Daily Sale entry '!$AC$2:$AC$1501,'Daily Sale entry '!$X$2:$X$1501,"&lt;="&amp;$A18,'Daily Sale entry '!$Z$2:$Z$1501,"Cash deposit 现金存入"),2))</f>
        <v/>
      </c>
      <c r="I18" s="6">
        <f>IF($A18="","",ROUND(B18+D18+E18+F18+G18+H18,2))</f>
        <v/>
      </c>
      <c r="J18" s="6">
        <f>IF($A18="","",'AR &amp; AP'!K19)</f>
        <v/>
      </c>
      <c r="K18" s="6">
        <f>IF($A18="","",ROUND(I18-J18-SUMIFS('Daily Sale entry '!$AC$2:$AC$1501,'Daily Sale entry '!$X$2:$X$1501,"&lt;="&amp;$A18,'Daily Sale entry '!$Z$2:$Z$1501,"Other deposit 其他存入")+SUMIFS('Daily Sale entry '!$AD$2:$AD$1501,'Daily Sale entry '!$X$2:$X$1501,"&lt;="&amp;$A18)+('Opening Balance'!$B$8+SUM('Daily Sale entry '!$L$2:M18)-F18),2))</f>
        <v/>
      </c>
      <c r="L18">
        <f>IF($A18="","",IF(ABS('Sales &amp; Collection'!$B$236)&gt;'Opening Balance'!$B$16,"ALERT 警报: Different "&amp;TEXT('Sales &amp; Collection'!$B$236,"#,##0.00")&amp;" 差额过大",""))</f>
        <v/>
      </c>
    </row>
    <row r="19">
      <c r="A19" s="5">
        <f>IF('Daily Sale entry '!A19="","",'Daily Sale entry '!A19)</f>
        <v/>
      </c>
      <c r="B19" s="6">
        <f>IF($A19="","",ROUND('Opening Balance'!$B$4+SUM('Daily Sale entry '!$K$2:K19)+SUMIFS('Daily Sale entry '!$AC$2:$AC$1501,'Daily Sale entry '!$X$2:$X$1501,"&lt;="&amp;$A19)-SUMIFS('Daily Sale entry '!$AD$2:$AD$1501,'Daily Sale entry '!$X$2:$X$1501,"&lt;="&amp;$A19)+SUMPRODUCT(('Daily Sale entry '!$Q$2:$Q$1501="Collection 收款")*('Daily Sale entry '!$R$2:$R$1501="Cheque 支票")*('Daily Sale entry '!$V$2:$V$1501&lt;&gt;"")*('Daily Sale entry '!$V$2:$V$1501&lt;=$A19)*('Daily Sale entry '!$S$2:$S$1501-'Opening Balance'!$B$15*('Daily Sale entry '!$R$2:$R$1501="Cheque 支票")*('Daily Sale entry '!$S$2:$S$1501-TRUNC('Daily Sale entry '!$S$2:$S$1501))))-'Opening Balance'!$B$15*SUMPRODUCT(('Daily Sale entry '!$X$2:$X$1501&lt;=$A19)*('Daily Sale entry '!$Z$2:$Z$1501="Online collection 网上收款")*('Daily Sale entry '!$AA$2:$AA$1501&lt;&gt;"")*('Daily Sale entry '!$AC$2:$AC$1501-TRUNC('Daily Sale entry '!$AC$2:$AC$1501))),2))</f>
        <v/>
      </c>
      <c r="C19" s="8">
        <f>IF($A19="","",'Opening Balance'!$B$5+SUM('Daily Sale entry '!$I$2:I19)-SUMIFS('Daily Sale entry '!$AB$2:$AB$1501,'Daily Sale entry '!$X$2:$X$1501,"&lt;="&amp;$A19,'Daily Sale entry '!$Z$2:$Z$1501,"Cheque deposit 支票存入")-COUNTIFS('Daily Sale entry '!$Q$2:$Q$1501,"Collection 收款",'Daily Sale entry '!$R$2:$R$1501,"Cheque 支票",'Daily Sale entry '!$V$2:$V$1501,"&lt;="&amp;$A19))</f>
        <v/>
      </c>
      <c r="D19" s="6">
        <f>IF($A19="","",ROUND('Opening Balance'!$B$6+SUM('Daily Sale entry '!$J$2:J19)-SUMIFS('Daily Sale entry '!$AC$2:$AC$1501,'Daily Sale entry '!$X$2:$X$1501,"&lt;="&amp;$A19,'Daily Sale entry '!$Z$2:$Z$1501,"Cheque deposit 支票存入")-SUMPRODUCT(('Daily Sale entry '!$Q$2:$Q$1501="Collection 收款")*('Daily Sale entry '!$R$2:$R$1501="Cheque 支票")*('Daily Sale entry '!$V$2:$V$1501&lt;&gt;"")*('Daily Sale entry '!$V$2:$V$1501&lt;=$A19)*('Daily Sale entry '!$S$2:$S$1501-'Opening Balance'!$B$15*('Daily Sale entry '!$R$2:$R$1501="Cheque 支票")*('Daily Sale entry '!$S$2:$S$1501-TRUNC('Daily Sale entry '!$S$2:$S$1501)))),2))</f>
        <v/>
      </c>
      <c r="E19" s="6">
        <f>IF($A19="","",'Opening Balance'!$B$7)</f>
        <v/>
      </c>
      <c r="F19" s="6">
        <f>IF($A19="","",ROUND(SUMIFS('Daily Sale entry '!$L$2:$L$367,'Daily Sale entry '!$A$2:$A$367,"&gt;="&amp;DATE(YEAR($A19),MONTH($A19),1),'Daily Sale entry '!$A$2:$A$367,"&lt;="&amp;$A19)+SUMIFS('Daily Sale entry '!$M$2:$M$367,'Daily Sale entry '!$A$2:$A$367,"&gt;="&amp;DATE(YEAR($A19),MONTH($A19),1),'Daily Sale entry '!$A$2:$A$367,"&lt;="&amp;$A19)+IF(AND(YEAR($A19)=YEAR('Daily Sale entry '!$A$2),MONTH($A19)=MONTH('Daily Sale entry '!$A$2)),'Opening Balance'!$B$8,0),2))</f>
        <v/>
      </c>
      <c r="G19" s="6">
        <f>IF($A19="","",MOD(ROUND('Opening Balance'!$B$9+SUMIFS('Sales &amp; Collection'!$L$1:$L$241,'Sales &amp; Collection'!$K$1:$K$241,"cash collection*"),2),'Opening Balance'!$B$11))</f>
        <v/>
      </c>
      <c r="H19" s="6">
        <f>IF($A19="","",ROUND('Opening Balance'!$B$10+'Opening Balance'!$B$9+SUMIFS('Sales &amp; Collection'!$L$1:$L$241,'Sales &amp; Collection'!$K$1:$K$241,"cash collection*")-G19-SUMIFS('Daily Sale entry '!$AC$2:$AC$1501,'Daily Sale entry '!$X$2:$X$1501,"&lt;="&amp;$A19,'Daily Sale entry '!$Z$2:$Z$1501,"Cash deposit 现金存入"),2))</f>
        <v/>
      </c>
      <c r="I19" s="6">
        <f>IF($A19="","",ROUND(B19+D19+E19+F19+G19+H19,2))</f>
        <v/>
      </c>
      <c r="J19" s="6">
        <f>IF($A19="","",'AR &amp; AP'!K20)</f>
        <v/>
      </c>
      <c r="K19" s="6">
        <f>IF($A19="","",ROUND(I19-J19-SUMIFS('Daily Sale entry '!$AC$2:$AC$1501,'Daily Sale entry '!$X$2:$X$1501,"&lt;="&amp;$A19,'Daily Sale entry '!$Z$2:$Z$1501,"Other deposit 其他存入")+SUMIFS('Daily Sale entry '!$AD$2:$AD$1501,'Daily Sale entry '!$X$2:$X$1501,"&lt;="&amp;$A19)+('Opening Balance'!$B$8+SUM('Daily Sale entry '!$L$2:M19)-F19),2))</f>
        <v/>
      </c>
      <c r="L19">
        <f>IF($A19="","",IF(ABS('Sales &amp; Collection'!$B$250)&gt;'Opening Balance'!$B$16,"ALERT 警报: Different "&amp;TEXT('Sales &amp; Collection'!$B$250,"#,##0.00")&amp;" 差额过大",""))</f>
        <v/>
      </c>
    </row>
    <row r="20">
      <c r="A20" s="5">
        <f>IF('Daily Sale entry '!A20="","",'Daily Sale entry '!A20)</f>
        <v/>
      </c>
      <c r="B20" s="6">
        <f>IF($A20="","",ROUND('Opening Balance'!$B$4+SUM('Daily Sale entry '!$K$2:K20)+SUMIFS('Daily Sale entry '!$AC$2:$AC$1501,'Daily Sale entry '!$X$2:$X$1501,"&lt;="&amp;$A20)-SUMIFS('Daily Sale entry '!$AD$2:$AD$1501,'Daily Sale entry '!$X$2:$X$1501,"&lt;="&amp;$A20)+SUMPRODUCT(('Daily Sale entry '!$Q$2:$Q$1501="Collection 收款")*('Daily Sale entry '!$R$2:$R$1501="Cheque 支票")*('Daily Sale entry '!$V$2:$V$1501&lt;&gt;"")*('Daily Sale entry '!$V$2:$V$1501&lt;=$A20)*('Daily Sale entry '!$S$2:$S$1501-'Opening Balance'!$B$15*('Daily Sale entry '!$R$2:$R$1501="Cheque 支票")*('Daily Sale entry '!$S$2:$S$1501-TRUNC('Daily Sale entry '!$S$2:$S$1501))))-'Opening Balance'!$B$15*SUMPRODUCT(('Daily Sale entry '!$X$2:$X$1501&lt;=$A20)*('Daily Sale entry '!$Z$2:$Z$1501="Online collection 网上收款")*('Daily Sale entry '!$AA$2:$AA$1501&lt;&gt;"")*('Daily Sale entry '!$AC$2:$AC$1501-TRUNC('Daily Sale entry '!$AC$2:$AC$1501))),2))</f>
        <v/>
      </c>
      <c r="C20" s="8">
        <f>IF($A20="","",'Opening Balance'!$B$5+SUM('Daily Sale entry '!$I$2:I20)-SUMIFS('Daily Sale entry '!$AB$2:$AB$1501,'Daily Sale entry '!$X$2:$X$1501,"&lt;="&amp;$A20,'Daily Sale entry '!$Z$2:$Z$1501,"Cheque deposit 支票存入")-COUNTIFS('Daily Sale entry '!$Q$2:$Q$1501,"Collection 收款",'Daily Sale entry '!$R$2:$R$1501,"Cheque 支票",'Daily Sale entry '!$V$2:$V$1501,"&lt;="&amp;$A20))</f>
        <v/>
      </c>
      <c r="D20" s="6">
        <f>IF($A20="","",ROUND('Opening Balance'!$B$6+SUM('Daily Sale entry '!$J$2:J20)-SUMIFS('Daily Sale entry '!$AC$2:$AC$1501,'Daily Sale entry '!$X$2:$X$1501,"&lt;="&amp;$A20,'Daily Sale entry '!$Z$2:$Z$1501,"Cheque deposit 支票存入")-SUMPRODUCT(('Daily Sale entry '!$Q$2:$Q$1501="Collection 收款")*('Daily Sale entry '!$R$2:$R$1501="Cheque 支票")*('Daily Sale entry '!$V$2:$V$1501&lt;&gt;"")*('Daily Sale entry '!$V$2:$V$1501&lt;=$A20)*('Daily Sale entry '!$S$2:$S$1501-'Opening Balance'!$B$15*('Daily Sale entry '!$R$2:$R$1501="Cheque 支票")*('Daily Sale entry '!$S$2:$S$1501-TRUNC('Daily Sale entry '!$S$2:$S$1501)))),2))</f>
        <v/>
      </c>
      <c r="E20" s="6">
        <f>IF($A20="","",'Opening Balance'!$B$7)</f>
        <v/>
      </c>
      <c r="F20" s="6">
        <f>IF($A20="","",ROUND(SUMIFS('Daily Sale entry '!$L$2:$L$367,'Daily Sale entry '!$A$2:$A$367,"&gt;="&amp;DATE(YEAR($A20),MONTH($A20),1),'Daily Sale entry '!$A$2:$A$367,"&lt;="&amp;$A20)+SUMIFS('Daily Sale entry '!$M$2:$M$367,'Daily Sale entry '!$A$2:$A$367,"&gt;="&amp;DATE(YEAR($A20),MONTH($A20),1),'Daily Sale entry '!$A$2:$A$367,"&lt;="&amp;$A20)+IF(AND(YEAR($A20)=YEAR('Daily Sale entry '!$A$2),MONTH($A20)=MONTH('Daily Sale entry '!$A$2)),'Opening Balance'!$B$8,0),2))</f>
        <v/>
      </c>
      <c r="G20" s="6">
        <f>IF($A20="","",MOD(ROUND('Opening Balance'!$B$9+SUMIFS('Sales &amp; Collection'!$L$1:$L$255,'Sales &amp; Collection'!$K$1:$K$255,"cash collection*"),2),'Opening Balance'!$B$11))</f>
        <v/>
      </c>
      <c r="H20" s="6">
        <f>IF($A20="","",ROUND('Opening Balance'!$B$10+'Opening Balance'!$B$9+SUMIFS('Sales &amp; Collection'!$L$1:$L$255,'Sales &amp; Collection'!$K$1:$K$255,"cash collection*")-G20-SUMIFS('Daily Sale entry '!$AC$2:$AC$1501,'Daily Sale entry '!$X$2:$X$1501,"&lt;="&amp;$A20,'Daily Sale entry '!$Z$2:$Z$1501,"Cash deposit 现金存入"),2))</f>
        <v/>
      </c>
      <c r="I20" s="6">
        <f>IF($A20="","",ROUND(B20+D20+E20+F20+G20+H20,2))</f>
        <v/>
      </c>
      <c r="J20" s="6">
        <f>IF($A20="","",'AR &amp; AP'!K21)</f>
        <v/>
      </c>
      <c r="K20" s="6">
        <f>IF($A20="","",ROUND(I20-J20-SUMIFS('Daily Sale entry '!$AC$2:$AC$1501,'Daily Sale entry '!$X$2:$X$1501,"&lt;="&amp;$A20,'Daily Sale entry '!$Z$2:$Z$1501,"Other deposit 其他存入")+SUMIFS('Daily Sale entry '!$AD$2:$AD$1501,'Daily Sale entry '!$X$2:$X$1501,"&lt;="&amp;$A20)+('Opening Balance'!$B$8+SUM('Daily Sale entry '!$L$2:M20)-F20),2))</f>
        <v/>
      </c>
      <c r="L20">
        <f>IF($A20="","",IF(ABS('Sales &amp; Collection'!$B$264)&gt;'Opening Balance'!$B$16,"ALERT 警报: Different "&amp;TEXT('Sales &amp; Collection'!$B$264,"#,##0.00")&amp;" 差额过大",""))</f>
        <v/>
      </c>
    </row>
    <row r="21">
      <c r="A21" s="5">
        <f>IF('Daily Sale entry '!A21="","",'Daily Sale entry '!A21)</f>
        <v/>
      </c>
      <c r="B21" s="6">
        <f>IF($A21="","",ROUND('Opening Balance'!$B$4+SUM('Daily Sale entry '!$K$2:K21)+SUMIFS('Daily Sale entry '!$AC$2:$AC$1501,'Daily Sale entry '!$X$2:$X$1501,"&lt;="&amp;$A21)-SUMIFS('Daily Sale entry '!$AD$2:$AD$1501,'Daily Sale entry '!$X$2:$X$1501,"&lt;="&amp;$A21)+SUMPRODUCT(('Daily Sale entry '!$Q$2:$Q$1501="Collection 收款")*('Daily Sale entry '!$R$2:$R$1501="Cheque 支票")*('Daily Sale entry '!$V$2:$V$1501&lt;&gt;"")*('Daily Sale entry '!$V$2:$V$1501&lt;=$A21)*('Daily Sale entry '!$S$2:$S$1501-'Opening Balance'!$B$15*('Daily Sale entry '!$R$2:$R$1501="Cheque 支票")*('Daily Sale entry '!$S$2:$S$1501-TRUNC('Daily Sale entry '!$S$2:$S$1501))))-'Opening Balance'!$B$15*SUMPRODUCT(('Daily Sale entry '!$X$2:$X$1501&lt;=$A21)*('Daily Sale entry '!$Z$2:$Z$1501="Online collection 网上收款")*('Daily Sale entry '!$AA$2:$AA$1501&lt;&gt;"")*('Daily Sale entry '!$AC$2:$AC$1501-TRUNC('Daily Sale entry '!$AC$2:$AC$1501))),2))</f>
        <v/>
      </c>
      <c r="C21" s="8">
        <f>IF($A21="","",'Opening Balance'!$B$5+SUM('Daily Sale entry '!$I$2:I21)-SUMIFS('Daily Sale entry '!$AB$2:$AB$1501,'Daily Sale entry '!$X$2:$X$1501,"&lt;="&amp;$A21,'Daily Sale entry '!$Z$2:$Z$1501,"Cheque deposit 支票存入")-COUNTIFS('Daily Sale entry '!$Q$2:$Q$1501,"Collection 收款",'Daily Sale entry '!$R$2:$R$1501,"Cheque 支票",'Daily Sale entry '!$V$2:$V$1501,"&lt;="&amp;$A21))</f>
        <v/>
      </c>
      <c r="D21" s="6">
        <f>IF($A21="","",ROUND('Opening Balance'!$B$6+SUM('Daily Sale entry '!$J$2:J21)-SUMIFS('Daily Sale entry '!$AC$2:$AC$1501,'Daily Sale entry '!$X$2:$X$1501,"&lt;="&amp;$A21,'Daily Sale entry '!$Z$2:$Z$1501,"Cheque deposit 支票存入")-SUMPRODUCT(('Daily Sale entry '!$Q$2:$Q$1501="Collection 收款")*('Daily Sale entry '!$R$2:$R$1501="Cheque 支票")*('Daily Sale entry '!$V$2:$V$1501&lt;&gt;"")*('Daily Sale entry '!$V$2:$V$1501&lt;=$A21)*('Daily Sale entry '!$S$2:$S$1501-'Opening Balance'!$B$15*('Daily Sale entry '!$R$2:$R$1501="Cheque 支票")*('Daily Sale entry '!$S$2:$S$1501-TRUNC('Daily Sale entry '!$S$2:$S$1501)))),2))</f>
        <v/>
      </c>
      <c r="E21" s="6">
        <f>IF($A21="","",'Opening Balance'!$B$7)</f>
        <v/>
      </c>
      <c r="F21" s="6">
        <f>IF($A21="","",ROUND(SUMIFS('Daily Sale entry '!$L$2:$L$367,'Daily Sale entry '!$A$2:$A$367,"&gt;="&amp;DATE(YEAR($A21),MONTH($A21),1),'Daily Sale entry '!$A$2:$A$367,"&lt;="&amp;$A21)+SUMIFS('Daily Sale entry '!$M$2:$M$367,'Daily Sale entry '!$A$2:$A$367,"&gt;="&amp;DATE(YEAR($A21),MONTH($A21),1),'Daily Sale entry '!$A$2:$A$367,"&lt;="&amp;$A21)+IF(AND(YEAR($A21)=YEAR('Daily Sale entry '!$A$2),MONTH($A21)=MONTH('Daily Sale entry '!$A$2)),'Opening Balance'!$B$8,0),2))</f>
        <v/>
      </c>
      <c r="G21" s="6">
        <f>IF($A21="","",MOD(ROUND('Opening Balance'!$B$9+SUMIFS('Sales &amp; Collection'!$L$1:$L$269,'Sales &amp; Collection'!$K$1:$K$269,"cash collection*"),2),'Opening Balance'!$B$11))</f>
        <v/>
      </c>
      <c r="H21" s="6">
        <f>IF($A21="","",ROUND('Opening Balance'!$B$10+'Opening Balance'!$B$9+SUMIFS('Sales &amp; Collection'!$L$1:$L$269,'Sales &amp; Collection'!$K$1:$K$269,"cash collection*")-G21-SUMIFS('Daily Sale entry '!$AC$2:$AC$1501,'Daily Sale entry '!$X$2:$X$1501,"&lt;="&amp;$A21,'Daily Sale entry '!$Z$2:$Z$1501,"Cash deposit 现金存入"),2))</f>
        <v/>
      </c>
      <c r="I21" s="6">
        <f>IF($A21="","",ROUND(B21+D21+E21+F21+G21+H21,2))</f>
        <v/>
      </c>
      <c r="J21" s="6">
        <f>IF($A21="","",'AR &amp; AP'!K22)</f>
        <v/>
      </c>
      <c r="K21" s="6">
        <f>IF($A21="","",ROUND(I21-J21-SUMIFS('Daily Sale entry '!$AC$2:$AC$1501,'Daily Sale entry '!$X$2:$X$1501,"&lt;="&amp;$A21,'Daily Sale entry '!$Z$2:$Z$1501,"Other deposit 其他存入")+SUMIFS('Daily Sale entry '!$AD$2:$AD$1501,'Daily Sale entry '!$X$2:$X$1501,"&lt;="&amp;$A21)+('Opening Balance'!$B$8+SUM('Daily Sale entry '!$L$2:M21)-F21),2))</f>
        <v/>
      </c>
      <c r="L21">
        <f>IF($A21="","",IF(ABS('Sales &amp; Collection'!$B$278)&gt;'Opening Balance'!$B$16,"ALERT 警报: Different "&amp;TEXT('Sales &amp; Collection'!$B$278,"#,##0.00")&amp;" 差额过大",""))</f>
        <v/>
      </c>
    </row>
    <row r="22">
      <c r="A22" s="5">
        <f>IF('Daily Sale entry '!A22="","",'Daily Sale entry '!A22)</f>
        <v/>
      </c>
      <c r="B22" s="6">
        <f>IF($A22="","",ROUND('Opening Balance'!$B$4+SUM('Daily Sale entry '!$K$2:K22)+SUMIFS('Daily Sale entry '!$AC$2:$AC$1501,'Daily Sale entry '!$X$2:$X$1501,"&lt;="&amp;$A22)-SUMIFS('Daily Sale entry '!$AD$2:$AD$1501,'Daily Sale entry '!$X$2:$X$1501,"&lt;="&amp;$A22)+SUMPRODUCT(('Daily Sale entry '!$Q$2:$Q$1501="Collection 收款")*('Daily Sale entry '!$R$2:$R$1501="Cheque 支票")*('Daily Sale entry '!$V$2:$V$1501&lt;&gt;"")*('Daily Sale entry '!$V$2:$V$1501&lt;=$A22)*('Daily Sale entry '!$S$2:$S$1501-'Opening Balance'!$B$15*('Daily Sale entry '!$R$2:$R$1501="Cheque 支票")*('Daily Sale entry '!$S$2:$S$1501-TRUNC('Daily Sale entry '!$S$2:$S$1501))))-'Opening Balance'!$B$15*SUMPRODUCT(('Daily Sale entry '!$X$2:$X$1501&lt;=$A22)*('Daily Sale entry '!$Z$2:$Z$1501="Online collection 网上收款")*('Daily Sale entry '!$AA$2:$AA$1501&lt;&gt;"")*('Daily Sale entry '!$AC$2:$AC$1501-TRUNC('Daily Sale entry '!$AC$2:$AC$1501))),2))</f>
        <v/>
      </c>
      <c r="C22" s="8">
        <f>IF($A22="","",'Opening Balance'!$B$5+SUM('Daily Sale entry '!$I$2:I22)-SUMIFS('Daily Sale entry '!$AB$2:$AB$1501,'Daily Sale entry '!$X$2:$X$1501,"&lt;="&amp;$A22,'Daily Sale entry '!$Z$2:$Z$1501,"Cheque deposit 支票存入")-COUNTIFS('Daily Sale entry '!$Q$2:$Q$1501,"Collection 收款",'Daily Sale entry '!$R$2:$R$1501,"Cheque 支票",'Daily Sale entry '!$V$2:$V$1501,"&lt;="&amp;$A22))</f>
        <v/>
      </c>
      <c r="D22" s="6">
        <f>IF($A22="","",ROUND('Opening Balance'!$B$6+SUM('Daily Sale entry '!$J$2:J22)-SUMIFS('Daily Sale entry '!$AC$2:$AC$1501,'Daily Sale entry '!$X$2:$X$1501,"&lt;="&amp;$A22,'Daily Sale entry '!$Z$2:$Z$1501,"Cheque deposit 支票存入")-SUMPRODUCT(('Daily Sale entry '!$Q$2:$Q$1501="Collection 收款")*('Daily Sale entry '!$R$2:$R$1501="Cheque 支票")*('Daily Sale entry '!$V$2:$V$1501&lt;&gt;"")*('Daily Sale entry '!$V$2:$V$1501&lt;=$A22)*('Daily Sale entry '!$S$2:$S$1501-'Opening Balance'!$B$15*('Daily Sale entry '!$R$2:$R$1501="Cheque 支票")*('Daily Sale entry '!$S$2:$S$1501-TRUNC('Daily Sale entry '!$S$2:$S$1501)))),2))</f>
        <v/>
      </c>
      <c r="E22" s="6">
        <f>IF($A22="","",'Opening Balance'!$B$7)</f>
        <v/>
      </c>
      <c r="F22" s="6">
        <f>IF($A22="","",ROUND(SUMIFS('Daily Sale entry '!$L$2:$L$367,'Daily Sale entry '!$A$2:$A$367,"&gt;="&amp;DATE(YEAR($A22),MONTH($A22),1),'Daily Sale entry '!$A$2:$A$367,"&lt;="&amp;$A22)+SUMIFS('Daily Sale entry '!$M$2:$M$367,'Daily Sale entry '!$A$2:$A$367,"&gt;="&amp;DATE(YEAR($A22),MONTH($A22),1),'Daily Sale entry '!$A$2:$A$367,"&lt;="&amp;$A22)+IF(AND(YEAR($A22)=YEAR('Daily Sale entry '!$A$2),MONTH($A22)=MONTH('Daily Sale entry '!$A$2)),'Opening Balance'!$B$8,0),2))</f>
        <v/>
      </c>
      <c r="G22" s="6">
        <f>IF($A22="","",MOD(ROUND('Opening Balance'!$B$9+SUMIFS('Sales &amp; Collection'!$L$1:$L$283,'Sales &amp; Collection'!$K$1:$K$283,"cash collection*"),2),'Opening Balance'!$B$11))</f>
        <v/>
      </c>
      <c r="H22" s="6">
        <f>IF($A22="","",ROUND('Opening Balance'!$B$10+'Opening Balance'!$B$9+SUMIFS('Sales &amp; Collection'!$L$1:$L$283,'Sales &amp; Collection'!$K$1:$K$283,"cash collection*")-G22-SUMIFS('Daily Sale entry '!$AC$2:$AC$1501,'Daily Sale entry '!$X$2:$X$1501,"&lt;="&amp;$A22,'Daily Sale entry '!$Z$2:$Z$1501,"Cash deposit 现金存入"),2))</f>
        <v/>
      </c>
      <c r="I22" s="6">
        <f>IF($A22="","",ROUND(B22+D22+E22+F22+G22+H22,2))</f>
        <v/>
      </c>
      <c r="J22" s="6">
        <f>IF($A22="","",'AR &amp; AP'!K23)</f>
        <v/>
      </c>
      <c r="K22" s="6">
        <f>IF($A22="","",ROUND(I22-J22-SUMIFS('Daily Sale entry '!$AC$2:$AC$1501,'Daily Sale entry '!$X$2:$X$1501,"&lt;="&amp;$A22,'Daily Sale entry '!$Z$2:$Z$1501,"Other deposit 其他存入")+SUMIFS('Daily Sale entry '!$AD$2:$AD$1501,'Daily Sale entry '!$X$2:$X$1501,"&lt;="&amp;$A22)+('Opening Balance'!$B$8+SUM('Daily Sale entry '!$L$2:M22)-F22),2))</f>
        <v/>
      </c>
      <c r="L22">
        <f>IF($A22="","",IF(ABS('Sales &amp; Collection'!$B$292)&gt;'Opening Balance'!$B$16,"ALERT 警报: Different "&amp;TEXT('Sales &amp; Collection'!$B$292,"#,##0.00")&amp;" 差额过大",""))</f>
        <v/>
      </c>
    </row>
    <row r="23">
      <c r="A23" s="5">
        <f>IF('Daily Sale entry '!A23="","",'Daily Sale entry '!A23)</f>
        <v/>
      </c>
      <c r="B23" s="6">
        <f>IF($A23="","",ROUND('Opening Balance'!$B$4+SUM('Daily Sale entry '!$K$2:K23)+SUMIFS('Daily Sale entry '!$AC$2:$AC$1501,'Daily Sale entry '!$X$2:$X$1501,"&lt;="&amp;$A23)-SUMIFS('Daily Sale entry '!$AD$2:$AD$1501,'Daily Sale entry '!$X$2:$X$1501,"&lt;="&amp;$A23)+SUMPRODUCT(('Daily Sale entry '!$Q$2:$Q$1501="Collection 收款")*('Daily Sale entry '!$R$2:$R$1501="Cheque 支票")*('Daily Sale entry '!$V$2:$V$1501&lt;&gt;"")*('Daily Sale entry '!$V$2:$V$1501&lt;=$A23)*('Daily Sale entry '!$S$2:$S$1501-'Opening Balance'!$B$15*('Daily Sale entry '!$R$2:$R$1501="Cheque 支票")*('Daily Sale entry '!$S$2:$S$1501-TRUNC('Daily Sale entry '!$S$2:$S$1501))))-'Opening Balance'!$B$15*SUMPRODUCT(('Daily Sale entry '!$X$2:$X$1501&lt;=$A23)*('Daily Sale entry '!$Z$2:$Z$1501="Online collection 网上收款")*('Daily Sale entry '!$AA$2:$AA$1501&lt;&gt;"")*('Daily Sale entry '!$AC$2:$AC$1501-TRUNC('Daily Sale entry '!$AC$2:$AC$1501))),2))</f>
        <v/>
      </c>
      <c r="C23" s="8">
        <f>IF($A23="","",'Opening Balance'!$B$5+SUM('Daily Sale entry '!$I$2:I23)-SUMIFS('Daily Sale entry '!$AB$2:$AB$1501,'Daily Sale entry '!$X$2:$X$1501,"&lt;="&amp;$A23,'Daily Sale entry '!$Z$2:$Z$1501,"Cheque deposit 支票存入")-COUNTIFS('Daily Sale entry '!$Q$2:$Q$1501,"Collection 收款",'Daily Sale entry '!$R$2:$R$1501,"Cheque 支票",'Daily Sale entry '!$V$2:$V$1501,"&lt;="&amp;$A23))</f>
        <v/>
      </c>
      <c r="D23" s="6">
        <f>IF($A23="","",ROUND('Opening Balance'!$B$6+SUM('Daily Sale entry '!$J$2:J23)-SUMIFS('Daily Sale entry '!$AC$2:$AC$1501,'Daily Sale entry '!$X$2:$X$1501,"&lt;="&amp;$A23,'Daily Sale entry '!$Z$2:$Z$1501,"Cheque deposit 支票存入")-SUMPRODUCT(('Daily Sale entry '!$Q$2:$Q$1501="Collection 收款")*('Daily Sale entry '!$R$2:$R$1501="Cheque 支票")*('Daily Sale entry '!$V$2:$V$1501&lt;&gt;"")*('Daily Sale entry '!$V$2:$V$1501&lt;=$A23)*('Daily Sale entry '!$S$2:$S$1501-'Opening Balance'!$B$15*('Daily Sale entry '!$R$2:$R$1501="Cheque 支票")*('Daily Sale entry '!$S$2:$S$1501-TRUNC('Daily Sale entry '!$S$2:$S$1501)))),2))</f>
        <v/>
      </c>
      <c r="E23" s="6">
        <f>IF($A23="","",'Opening Balance'!$B$7)</f>
        <v/>
      </c>
      <c r="F23" s="6">
        <f>IF($A23="","",ROUND(SUMIFS('Daily Sale entry '!$L$2:$L$367,'Daily Sale entry '!$A$2:$A$367,"&gt;="&amp;DATE(YEAR($A23),MONTH($A23),1),'Daily Sale entry '!$A$2:$A$367,"&lt;="&amp;$A23)+SUMIFS('Daily Sale entry '!$M$2:$M$367,'Daily Sale entry '!$A$2:$A$367,"&gt;="&amp;DATE(YEAR($A23),MONTH($A23),1),'Daily Sale entry '!$A$2:$A$367,"&lt;="&amp;$A23)+IF(AND(YEAR($A23)=YEAR('Daily Sale entry '!$A$2),MONTH($A23)=MONTH('Daily Sale entry '!$A$2)),'Opening Balance'!$B$8,0),2))</f>
        <v/>
      </c>
      <c r="G23" s="6">
        <f>IF($A23="","",MOD(ROUND('Opening Balance'!$B$9+SUMIFS('Sales &amp; Collection'!$L$1:$L$297,'Sales &amp; Collection'!$K$1:$K$297,"cash collection*"),2),'Opening Balance'!$B$11))</f>
        <v/>
      </c>
      <c r="H23" s="6">
        <f>IF($A23="","",ROUND('Opening Balance'!$B$10+'Opening Balance'!$B$9+SUMIFS('Sales &amp; Collection'!$L$1:$L$297,'Sales &amp; Collection'!$K$1:$K$297,"cash collection*")-G23-SUMIFS('Daily Sale entry '!$AC$2:$AC$1501,'Daily Sale entry '!$X$2:$X$1501,"&lt;="&amp;$A23,'Daily Sale entry '!$Z$2:$Z$1501,"Cash deposit 现金存入"),2))</f>
        <v/>
      </c>
      <c r="I23" s="6">
        <f>IF($A23="","",ROUND(B23+D23+E23+F23+G23+H23,2))</f>
        <v/>
      </c>
      <c r="J23" s="6">
        <f>IF($A23="","",'AR &amp; AP'!K24)</f>
        <v/>
      </c>
      <c r="K23" s="6">
        <f>IF($A23="","",ROUND(I23-J23-SUMIFS('Daily Sale entry '!$AC$2:$AC$1501,'Daily Sale entry '!$X$2:$X$1501,"&lt;="&amp;$A23,'Daily Sale entry '!$Z$2:$Z$1501,"Other deposit 其他存入")+SUMIFS('Daily Sale entry '!$AD$2:$AD$1501,'Daily Sale entry '!$X$2:$X$1501,"&lt;="&amp;$A23)+('Opening Balance'!$B$8+SUM('Daily Sale entry '!$L$2:M23)-F23),2))</f>
        <v/>
      </c>
      <c r="L23">
        <f>IF($A23="","",IF(ABS('Sales &amp; Collection'!$B$306)&gt;'Opening Balance'!$B$16,"ALERT 警报: Different "&amp;TEXT('Sales &amp; Collection'!$B$306,"#,##0.00")&amp;" 差额过大",""))</f>
        <v/>
      </c>
    </row>
    <row r="24">
      <c r="A24" s="5">
        <f>IF('Daily Sale entry '!A24="","",'Daily Sale entry '!A24)</f>
        <v/>
      </c>
      <c r="B24" s="6">
        <f>IF($A24="","",ROUND('Opening Balance'!$B$4+SUM('Daily Sale entry '!$K$2:K24)+SUMIFS('Daily Sale entry '!$AC$2:$AC$1501,'Daily Sale entry '!$X$2:$X$1501,"&lt;="&amp;$A24)-SUMIFS('Daily Sale entry '!$AD$2:$AD$1501,'Daily Sale entry '!$X$2:$X$1501,"&lt;="&amp;$A24)+SUMPRODUCT(('Daily Sale entry '!$Q$2:$Q$1501="Collection 收款")*('Daily Sale entry '!$R$2:$R$1501="Cheque 支票")*('Daily Sale entry '!$V$2:$V$1501&lt;&gt;"")*('Daily Sale entry '!$V$2:$V$1501&lt;=$A24)*('Daily Sale entry '!$S$2:$S$1501-'Opening Balance'!$B$15*('Daily Sale entry '!$R$2:$R$1501="Cheque 支票")*('Daily Sale entry '!$S$2:$S$1501-TRUNC('Daily Sale entry '!$S$2:$S$1501))))-'Opening Balance'!$B$15*SUMPRODUCT(('Daily Sale entry '!$X$2:$X$1501&lt;=$A24)*('Daily Sale entry '!$Z$2:$Z$1501="Online collection 网上收款")*('Daily Sale entry '!$AA$2:$AA$1501&lt;&gt;"")*('Daily Sale entry '!$AC$2:$AC$1501-TRUNC('Daily Sale entry '!$AC$2:$AC$1501))),2))</f>
        <v/>
      </c>
      <c r="C24" s="8">
        <f>IF($A24="","",'Opening Balance'!$B$5+SUM('Daily Sale entry '!$I$2:I24)-SUMIFS('Daily Sale entry '!$AB$2:$AB$1501,'Daily Sale entry '!$X$2:$X$1501,"&lt;="&amp;$A24,'Daily Sale entry '!$Z$2:$Z$1501,"Cheque deposit 支票存入")-COUNTIFS('Daily Sale entry '!$Q$2:$Q$1501,"Collection 收款",'Daily Sale entry '!$R$2:$R$1501,"Cheque 支票",'Daily Sale entry '!$V$2:$V$1501,"&lt;="&amp;$A24))</f>
        <v/>
      </c>
      <c r="D24" s="6">
        <f>IF($A24="","",ROUND('Opening Balance'!$B$6+SUM('Daily Sale entry '!$J$2:J24)-SUMIFS('Daily Sale entry '!$AC$2:$AC$1501,'Daily Sale entry '!$X$2:$X$1501,"&lt;="&amp;$A24,'Daily Sale entry '!$Z$2:$Z$1501,"Cheque deposit 支票存入")-SUMPRODUCT(('Daily Sale entry '!$Q$2:$Q$1501="Collection 收款")*('Daily Sale entry '!$R$2:$R$1501="Cheque 支票")*('Daily Sale entry '!$V$2:$V$1501&lt;&gt;"")*('Daily Sale entry '!$V$2:$V$1501&lt;=$A24)*('Daily Sale entry '!$S$2:$S$1501-'Opening Balance'!$B$15*('Daily Sale entry '!$R$2:$R$1501="Cheque 支票")*('Daily Sale entry '!$S$2:$S$1501-TRUNC('Daily Sale entry '!$S$2:$S$1501)))),2))</f>
        <v/>
      </c>
      <c r="E24" s="6">
        <f>IF($A24="","",'Opening Balance'!$B$7)</f>
        <v/>
      </c>
      <c r="F24" s="6">
        <f>IF($A24="","",ROUND(SUMIFS('Daily Sale entry '!$L$2:$L$367,'Daily Sale entry '!$A$2:$A$367,"&gt;="&amp;DATE(YEAR($A24),MONTH($A24),1),'Daily Sale entry '!$A$2:$A$367,"&lt;="&amp;$A24)+SUMIFS('Daily Sale entry '!$M$2:$M$367,'Daily Sale entry '!$A$2:$A$367,"&gt;="&amp;DATE(YEAR($A24),MONTH($A24),1),'Daily Sale entry '!$A$2:$A$367,"&lt;="&amp;$A24)+IF(AND(YEAR($A24)=YEAR('Daily Sale entry '!$A$2),MONTH($A24)=MONTH('Daily Sale entry '!$A$2)),'Opening Balance'!$B$8,0),2))</f>
        <v/>
      </c>
      <c r="G24" s="6">
        <f>IF($A24="","",MOD(ROUND('Opening Balance'!$B$9+SUMIFS('Sales &amp; Collection'!$L$1:$L$311,'Sales &amp; Collection'!$K$1:$K$311,"cash collection*"),2),'Opening Balance'!$B$11))</f>
        <v/>
      </c>
      <c r="H24" s="6">
        <f>IF($A24="","",ROUND('Opening Balance'!$B$10+'Opening Balance'!$B$9+SUMIFS('Sales &amp; Collection'!$L$1:$L$311,'Sales &amp; Collection'!$K$1:$K$311,"cash collection*")-G24-SUMIFS('Daily Sale entry '!$AC$2:$AC$1501,'Daily Sale entry '!$X$2:$X$1501,"&lt;="&amp;$A24,'Daily Sale entry '!$Z$2:$Z$1501,"Cash deposit 现金存入"),2))</f>
        <v/>
      </c>
      <c r="I24" s="6">
        <f>IF($A24="","",ROUND(B24+D24+E24+F24+G24+H24,2))</f>
        <v/>
      </c>
      <c r="J24" s="6">
        <f>IF($A24="","",'AR &amp; AP'!K25)</f>
        <v/>
      </c>
      <c r="K24" s="6">
        <f>IF($A24="","",ROUND(I24-J24-SUMIFS('Daily Sale entry '!$AC$2:$AC$1501,'Daily Sale entry '!$X$2:$X$1501,"&lt;="&amp;$A24,'Daily Sale entry '!$Z$2:$Z$1501,"Other deposit 其他存入")+SUMIFS('Daily Sale entry '!$AD$2:$AD$1501,'Daily Sale entry '!$X$2:$X$1501,"&lt;="&amp;$A24)+('Opening Balance'!$B$8+SUM('Daily Sale entry '!$L$2:M24)-F24),2))</f>
        <v/>
      </c>
      <c r="L24">
        <f>IF($A24="","",IF(ABS('Sales &amp; Collection'!$B$320)&gt;'Opening Balance'!$B$16,"ALERT 警报: Different "&amp;TEXT('Sales &amp; Collection'!$B$320,"#,##0.00")&amp;" 差额过大",""))</f>
        <v/>
      </c>
    </row>
    <row r="25">
      <c r="A25" s="5">
        <f>IF('Daily Sale entry '!A25="","",'Daily Sale entry '!A25)</f>
        <v/>
      </c>
      <c r="B25" s="6">
        <f>IF($A25="","",ROUND('Opening Balance'!$B$4+SUM('Daily Sale entry '!$K$2:K25)+SUMIFS('Daily Sale entry '!$AC$2:$AC$1501,'Daily Sale entry '!$X$2:$X$1501,"&lt;="&amp;$A25)-SUMIFS('Daily Sale entry '!$AD$2:$AD$1501,'Daily Sale entry '!$X$2:$X$1501,"&lt;="&amp;$A25)+SUMPRODUCT(('Daily Sale entry '!$Q$2:$Q$1501="Collection 收款")*('Daily Sale entry '!$R$2:$R$1501="Cheque 支票")*('Daily Sale entry '!$V$2:$V$1501&lt;&gt;"")*('Daily Sale entry '!$V$2:$V$1501&lt;=$A25)*('Daily Sale entry '!$S$2:$S$1501-'Opening Balance'!$B$15*('Daily Sale entry '!$R$2:$R$1501="Cheque 支票")*('Daily Sale entry '!$S$2:$S$1501-TRUNC('Daily Sale entry '!$S$2:$S$1501))))-'Opening Balance'!$B$15*SUMPRODUCT(('Daily Sale entry '!$X$2:$X$1501&lt;=$A25)*('Daily Sale entry '!$Z$2:$Z$1501="Online collection 网上收款")*('Daily Sale entry '!$AA$2:$AA$1501&lt;&gt;"")*('Daily Sale entry '!$AC$2:$AC$1501-TRUNC('Daily Sale entry '!$AC$2:$AC$1501))),2))</f>
        <v/>
      </c>
      <c r="C25" s="8">
        <f>IF($A25="","",'Opening Balance'!$B$5+SUM('Daily Sale entry '!$I$2:I25)-SUMIFS('Daily Sale entry '!$AB$2:$AB$1501,'Daily Sale entry '!$X$2:$X$1501,"&lt;="&amp;$A25,'Daily Sale entry '!$Z$2:$Z$1501,"Cheque deposit 支票存入")-COUNTIFS('Daily Sale entry '!$Q$2:$Q$1501,"Collection 收款",'Daily Sale entry '!$R$2:$R$1501,"Cheque 支票",'Daily Sale entry '!$V$2:$V$1501,"&lt;="&amp;$A25))</f>
        <v/>
      </c>
      <c r="D25" s="6">
        <f>IF($A25="","",ROUND('Opening Balance'!$B$6+SUM('Daily Sale entry '!$J$2:J25)-SUMIFS('Daily Sale entry '!$AC$2:$AC$1501,'Daily Sale entry '!$X$2:$X$1501,"&lt;="&amp;$A25,'Daily Sale entry '!$Z$2:$Z$1501,"Cheque deposit 支票存入")-SUMPRODUCT(('Daily Sale entry '!$Q$2:$Q$1501="Collection 收款")*('Daily Sale entry '!$R$2:$R$1501="Cheque 支票")*('Daily Sale entry '!$V$2:$V$1501&lt;&gt;"")*('Daily Sale entry '!$V$2:$V$1501&lt;=$A25)*('Daily Sale entry '!$S$2:$S$1501-'Opening Balance'!$B$15*('Daily Sale entry '!$R$2:$R$1501="Cheque 支票")*('Daily Sale entry '!$S$2:$S$1501-TRUNC('Daily Sale entry '!$S$2:$S$1501)))),2))</f>
        <v/>
      </c>
      <c r="E25" s="6">
        <f>IF($A25="","",'Opening Balance'!$B$7)</f>
        <v/>
      </c>
      <c r="F25" s="6">
        <f>IF($A25="","",ROUND(SUMIFS('Daily Sale entry '!$L$2:$L$367,'Daily Sale entry '!$A$2:$A$367,"&gt;="&amp;DATE(YEAR($A25),MONTH($A25),1),'Daily Sale entry '!$A$2:$A$367,"&lt;="&amp;$A25)+SUMIFS('Daily Sale entry '!$M$2:$M$367,'Daily Sale entry '!$A$2:$A$367,"&gt;="&amp;DATE(YEAR($A25),MONTH($A25),1),'Daily Sale entry '!$A$2:$A$367,"&lt;="&amp;$A25)+IF(AND(YEAR($A25)=YEAR('Daily Sale entry '!$A$2),MONTH($A25)=MONTH('Daily Sale entry '!$A$2)),'Opening Balance'!$B$8,0),2))</f>
        <v/>
      </c>
      <c r="G25" s="6">
        <f>IF($A25="","",MOD(ROUND('Opening Balance'!$B$9+SUMIFS('Sales &amp; Collection'!$L$1:$L$325,'Sales &amp; Collection'!$K$1:$K$325,"cash collection*"),2),'Opening Balance'!$B$11))</f>
        <v/>
      </c>
      <c r="H25" s="6">
        <f>IF($A25="","",ROUND('Opening Balance'!$B$10+'Opening Balance'!$B$9+SUMIFS('Sales &amp; Collection'!$L$1:$L$325,'Sales &amp; Collection'!$K$1:$K$325,"cash collection*")-G25-SUMIFS('Daily Sale entry '!$AC$2:$AC$1501,'Daily Sale entry '!$X$2:$X$1501,"&lt;="&amp;$A25,'Daily Sale entry '!$Z$2:$Z$1501,"Cash deposit 现金存入"),2))</f>
        <v/>
      </c>
      <c r="I25" s="6">
        <f>IF($A25="","",ROUND(B25+D25+E25+F25+G25+H25,2))</f>
        <v/>
      </c>
      <c r="J25" s="6">
        <f>IF($A25="","",'AR &amp; AP'!K26)</f>
        <v/>
      </c>
      <c r="K25" s="6">
        <f>IF($A25="","",ROUND(I25-J25-SUMIFS('Daily Sale entry '!$AC$2:$AC$1501,'Daily Sale entry '!$X$2:$X$1501,"&lt;="&amp;$A25,'Daily Sale entry '!$Z$2:$Z$1501,"Other deposit 其他存入")+SUMIFS('Daily Sale entry '!$AD$2:$AD$1501,'Daily Sale entry '!$X$2:$X$1501,"&lt;="&amp;$A25)+('Opening Balance'!$B$8+SUM('Daily Sale entry '!$L$2:M25)-F25),2))</f>
        <v/>
      </c>
      <c r="L25">
        <f>IF($A25="","",IF(ABS('Sales &amp; Collection'!$B$334)&gt;'Opening Balance'!$B$16,"ALERT 警报: Different "&amp;TEXT('Sales &amp; Collection'!$B$334,"#,##0.00")&amp;" 差额过大",""))</f>
        <v/>
      </c>
    </row>
    <row r="26">
      <c r="A26" s="5">
        <f>IF('Daily Sale entry '!A26="","",'Daily Sale entry '!A26)</f>
        <v/>
      </c>
      <c r="B26" s="6">
        <f>IF($A26="","",ROUND('Opening Balance'!$B$4+SUM('Daily Sale entry '!$K$2:K26)+SUMIFS('Daily Sale entry '!$AC$2:$AC$1501,'Daily Sale entry '!$X$2:$X$1501,"&lt;="&amp;$A26)-SUMIFS('Daily Sale entry '!$AD$2:$AD$1501,'Daily Sale entry '!$X$2:$X$1501,"&lt;="&amp;$A26)+SUMPRODUCT(('Daily Sale entry '!$Q$2:$Q$1501="Collection 收款")*('Daily Sale entry '!$R$2:$R$1501="Cheque 支票")*('Daily Sale entry '!$V$2:$V$1501&lt;&gt;"")*('Daily Sale entry '!$V$2:$V$1501&lt;=$A26)*('Daily Sale entry '!$S$2:$S$1501-'Opening Balance'!$B$15*('Daily Sale entry '!$R$2:$R$1501="Cheque 支票")*('Daily Sale entry '!$S$2:$S$1501-TRUNC('Daily Sale entry '!$S$2:$S$1501))))-'Opening Balance'!$B$15*SUMPRODUCT(('Daily Sale entry '!$X$2:$X$1501&lt;=$A26)*('Daily Sale entry '!$Z$2:$Z$1501="Online collection 网上收款")*('Daily Sale entry '!$AA$2:$AA$1501&lt;&gt;"")*('Daily Sale entry '!$AC$2:$AC$1501-TRUNC('Daily Sale entry '!$AC$2:$AC$1501))),2))</f>
        <v/>
      </c>
      <c r="C26" s="8">
        <f>IF($A26="","",'Opening Balance'!$B$5+SUM('Daily Sale entry '!$I$2:I26)-SUMIFS('Daily Sale entry '!$AB$2:$AB$1501,'Daily Sale entry '!$X$2:$X$1501,"&lt;="&amp;$A26,'Daily Sale entry '!$Z$2:$Z$1501,"Cheque deposit 支票存入")-COUNTIFS('Daily Sale entry '!$Q$2:$Q$1501,"Collection 收款",'Daily Sale entry '!$R$2:$R$1501,"Cheque 支票",'Daily Sale entry '!$V$2:$V$1501,"&lt;="&amp;$A26))</f>
        <v/>
      </c>
      <c r="D26" s="6">
        <f>IF($A26="","",ROUND('Opening Balance'!$B$6+SUM('Daily Sale entry '!$J$2:J26)-SUMIFS('Daily Sale entry '!$AC$2:$AC$1501,'Daily Sale entry '!$X$2:$X$1501,"&lt;="&amp;$A26,'Daily Sale entry '!$Z$2:$Z$1501,"Cheque deposit 支票存入")-SUMPRODUCT(('Daily Sale entry '!$Q$2:$Q$1501="Collection 收款")*('Daily Sale entry '!$R$2:$R$1501="Cheque 支票")*('Daily Sale entry '!$V$2:$V$1501&lt;&gt;"")*('Daily Sale entry '!$V$2:$V$1501&lt;=$A26)*('Daily Sale entry '!$S$2:$S$1501-'Opening Balance'!$B$15*('Daily Sale entry '!$R$2:$R$1501="Cheque 支票")*('Daily Sale entry '!$S$2:$S$1501-TRUNC('Daily Sale entry '!$S$2:$S$1501)))),2))</f>
        <v/>
      </c>
      <c r="E26" s="6">
        <f>IF($A26="","",'Opening Balance'!$B$7)</f>
        <v/>
      </c>
      <c r="F26" s="6">
        <f>IF($A26="","",ROUND(SUMIFS('Daily Sale entry '!$L$2:$L$367,'Daily Sale entry '!$A$2:$A$367,"&gt;="&amp;DATE(YEAR($A26),MONTH($A26),1),'Daily Sale entry '!$A$2:$A$367,"&lt;="&amp;$A26)+SUMIFS('Daily Sale entry '!$M$2:$M$367,'Daily Sale entry '!$A$2:$A$367,"&gt;="&amp;DATE(YEAR($A26),MONTH($A26),1),'Daily Sale entry '!$A$2:$A$367,"&lt;="&amp;$A26)+IF(AND(YEAR($A26)=YEAR('Daily Sale entry '!$A$2),MONTH($A26)=MONTH('Daily Sale entry '!$A$2)),'Opening Balance'!$B$8,0),2))</f>
        <v/>
      </c>
      <c r="G26" s="6">
        <f>IF($A26="","",MOD(ROUND('Opening Balance'!$B$9+SUMIFS('Sales &amp; Collection'!$L$1:$L$339,'Sales &amp; Collection'!$K$1:$K$339,"cash collection*"),2),'Opening Balance'!$B$11))</f>
        <v/>
      </c>
      <c r="H26" s="6">
        <f>IF($A26="","",ROUND('Opening Balance'!$B$10+'Opening Balance'!$B$9+SUMIFS('Sales &amp; Collection'!$L$1:$L$339,'Sales &amp; Collection'!$K$1:$K$339,"cash collection*")-G26-SUMIFS('Daily Sale entry '!$AC$2:$AC$1501,'Daily Sale entry '!$X$2:$X$1501,"&lt;="&amp;$A26,'Daily Sale entry '!$Z$2:$Z$1501,"Cash deposit 现金存入"),2))</f>
        <v/>
      </c>
      <c r="I26" s="6">
        <f>IF($A26="","",ROUND(B26+D26+E26+F26+G26+H26,2))</f>
        <v/>
      </c>
      <c r="J26" s="6">
        <f>IF($A26="","",'AR &amp; AP'!K27)</f>
        <v/>
      </c>
      <c r="K26" s="6">
        <f>IF($A26="","",ROUND(I26-J26-SUMIFS('Daily Sale entry '!$AC$2:$AC$1501,'Daily Sale entry '!$X$2:$X$1501,"&lt;="&amp;$A26,'Daily Sale entry '!$Z$2:$Z$1501,"Other deposit 其他存入")+SUMIFS('Daily Sale entry '!$AD$2:$AD$1501,'Daily Sale entry '!$X$2:$X$1501,"&lt;="&amp;$A26)+('Opening Balance'!$B$8+SUM('Daily Sale entry '!$L$2:M26)-F26),2))</f>
        <v/>
      </c>
      <c r="L26">
        <f>IF($A26="","",IF(ABS('Sales &amp; Collection'!$B$348)&gt;'Opening Balance'!$B$16,"ALERT 警报: Different "&amp;TEXT('Sales &amp; Collection'!$B$348,"#,##0.00")&amp;" 差额过大",""))</f>
        <v/>
      </c>
    </row>
    <row r="27">
      <c r="A27" s="5">
        <f>IF('Daily Sale entry '!A27="","",'Daily Sale entry '!A27)</f>
        <v/>
      </c>
      <c r="B27" s="6">
        <f>IF($A27="","",ROUND('Opening Balance'!$B$4+SUM('Daily Sale entry '!$K$2:K27)+SUMIFS('Daily Sale entry '!$AC$2:$AC$1501,'Daily Sale entry '!$X$2:$X$1501,"&lt;="&amp;$A27)-SUMIFS('Daily Sale entry '!$AD$2:$AD$1501,'Daily Sale entry '!$X$2:$X$1501,"&lt;="&amp;$A27)+SUMPRODUCT(('Daily Sale entry '!$Q$2:$Q$1501="Collection 收款")*('Daily Sale entry '!$R$2:$R$1501="Cheque 支票")*('Daily Sale entry '!$V$2:$V$1501&lt;&gt;"")*('Daily Sale entry '!$V$2:$V$1501&lt;=$A27)*('Daily Sale entry '!$S$2:$S$1501-'Opening Balance'!$B$15*('Daily Sale entry '!$R$2:$R$1501="Cheque 支票")*('Daily Sale entry '!$S$2:$S$1501-TRUNC('Daily Sale entry '!$S$2:$S$1501))))-'Opening Balance'!$B$15*SUMPRODUCT(('Daily Sale entry '!$X$2:$X$1501&lt;=$A27)*('Daily Sale entry '!$Z$2:$Z$1501="Online collection 网上收款")*('Daily Sale entry '!$AA$2:$AA$1501&lt;&gt;"")*('Daily Sale entry '!$AC$2:$AC$1501-TRUNC('Daily Sale entry '!$AC$2:$AC$1501))),2))</f>
        <v/>
      </c>
      <c r="C27" s="8">
        <f>IF($A27="","",'Opening Balance'!$B$5+SUM('Daily Sale entry '!$I$2:I27)-SUMIFS('Daily Sale entry '!$AB$2:$AB$1501,'Daily Sale entry '!$X$2:$X$1501,"&lt;="&amp;$A27,'Daily Sale entry '!$Z$2:$Z$1501,"Cheque deposit 支票存入")-COUNTIFS('Daily Sale entry '!$Q$2:$Q$1501,"Collection 收款",'Daily Sale entry '!$R$2:$R$1501,"Cheque 支票",'Daily Sale entry '!$V$2:$V$1501,"&lt;="&amp;$A27))</f>
        <v/>
      </c>
      <c r="D27" s="6">
        <f>IF($A27="","",ROUND('Opening Balance'!$B$6+SUM('Daily Sale entry '!$J$2:J27)-SUMIFS('Daily Sale entry '!$AC$2:$AC$1501,'Daily Sale entry '!$X$2:$X$1501,"&lt;="&amp;$A27,'Daily Sale entry '!$Z$2:$Z$1501,"Cheque deposit 支票存入")-SUMPRODUCT(('Daily Sale entry '!$Q$2:$Q$1501="Collection 收款")*('Daily Sale entry '!$R$2:$R$1501="Cheque 支票")*('Daily Sale entry '!$V$2:$V$1501&lt;&gt;"")*('Daily Sale entry '!$V$2:$V$1501&lt;=$A27)*('Daily Sale entry '!$S$2:$S$1501-'Opening Balance'!$B$15*('Daily Sale entry '!$R$2:$R$1501="Cheque 支票")*('Daily Sale entry '!$S$2:$S$1501-TRUNC('Daily Sale entry '!$S$2:$S$1501)))),2))</f>
        <v/>
      </c>
      <c r="E27" s="6">
        <f>IF($A27="","",'Opening Balance'!$B$7)</f>
        <v/>
      </c>
      <c r="F27" s="6">
        <f>IF($A27="","",ROUND(SUMIFS('Daily Sale entry '!$L$2:$L$367,'Daily Sale entry '!$A$2:$A$367,"&gt;="&amp;DATE(YEAR($A27),MONTH($A27),1),'Daily Sale entry '!$A$2:$A$367,"&lt;="&amp;$A27)+SUMIFS('Daily Sale entry '!$M$2:$M$367,'Daily Sale entry '!$A$2:$A$367,"&gt;="&amp;DATE(YEAR($A27),MONTH($A27),1),'Daily Sale entry '!$A$2:$A$367,"&lt;="&amp;$A27)+IF(AND(YEAR($A27)=YEAR('Daily Sale entry '!$A$2),MONTH($A27)=MONTH('Daily Sale entry '!$A$2)),'Opening Balance'!$B$8,0),2))</f>
        <v/>
      </c>
      <c r="G27" s="6">
        <f>IF($A27="","",MOD(ROUND('Opening Balance'!$B$9+SUMIFS('Sales &amp; Collection'!$L$1:$L$353,'Sales &amp; Collection'!$K$1:$K$353,"cash collection*"),2),'Opening Balance'!$B$11))</f>
        <v/>
      </c>
      <c r="H27" s="6">
        <f>IF($A27="","",ROUND('Opening Balance'!$B$10+'Opening Balance'!$B$9+SUMIFS('Sales &amp; Collection'!$L$1:$L$353,'Sales &amp; Collection'!$K$1:$K$353,"cash collection*")-G27-SUMIFS('Daily Sale entry '!$AC$2:$AC$1501,'Daily Sale entry '!$X$2:$X$1501,"&lt;="&amp;$A27,'Daily Sale entry '!$Z$2:$Z$1501,"Cash deposit 现金存入"),2))</f>
        <v/>
      </c>
      <c r="I27" s="6">
        <f>IF($A27="","",ROUND(B27+D27+E27+F27+G27+H27,2))</f>
        <v/>
      </c>
      <c r="J27" s="6">
        <f>IF($A27="","",'AR &amp; AP'!K28)</f>
        <v/>
      </c>
      <c r="K27" s="6">
        <f>IF($A27="","",ROUND(I27-J27-SUMIFS('Daily Sale entry '!$AC$2:$AC$1501,'Daily Sale entry '!$X$2:$X$1501,"&lt;="&amp;$A27,'Daily Sale entry '!$Z$2:$Z$1501,"Other deposit 其他存入")+SUMIFS('Daily Sale entry '!$AD$2:$AD$1501,'Daily Sale entry '!$X$2:$X$1501,"&lt;="&amp;$A27)+('Opening Balance'!$B$8+SUM('Daily Sale entry '!$L$2:M27)-F27),2))</f>
        <v/>
      </c>
      <c r="L27">
        <f>IF($A27="","",IF(ABS('Sales &amp; Collection'!$B$362)&gt;'Opening Balance'!$B$16,"ALERT 警报: Different "&amp;TEXT('Sales &amp; Collection'!$B$362,"#,##0.00")&amp;" 差额过大",""))</f>
        <v/>
      </c>
    </row>
    <row r="28">
      <c r="A28" s="5">
        <f>IF('Daily Sale entry '!A28="","",'Daily Sale entry '!A28)</f>
        <v/>
      </c>
      <c r="B28" s="6">
        <f>IF($A28="","",ROUND('Opening Balance'!$B$4+SUM('Daily Sale entry '!$K$2:K28)+SUMIFS('Daily Sale entry '!$AC$2:$AC$1501,'Daily Sale entry '!$X$2:$X$1501,"&lt;="&amp;$A28)-SUMIFS('Daily Sale entry '!$AD$2:$AD$1501,'Daily Sale entry '!$X$2:$X$1501,"&lt;="&amp;$A28)+SUMPRODUCT(('Daily Sale entry '!$Q$2:$Q$1501="Collection 收款")*('Daily Sale entry '!$R$2:$R$1501="Cheque 支票")*('Daily Sale entry '!$V$2:$V$1501&lt;&gt;"")*('Daily Sale entry '!$V$2:$V$1501&lt;=$A28)*('Daily Sale entry '!$S$2:$S$1501-'Opening Balance'!$B$15*('Daily Sale entry '!$R$2:$R$1501="Cheque 支票")*('Daily Sale entry '!$S$2:$S$1501-TRUNC('Daily Sale entry '!$S$2:$S$1501))))-'Opening Balance'!$B$15*SUMPRODUCT(('Daily Sale entry '!$X$2:$X$1501&lt;=$A28)*('Daily Sale entry '!$Z$2:$Z$1501="Online collection 网上收款")*('Daily Sale entry '!$AA$2:$AA$1501&lt;&gt;"")*('Daily Sale entry '!$AC$2:$AC$1501-TRUNC('Daily Sale entry '!$AC$2:$AC$1501))),2))</f>
        <v/>
      </c>
      <c r="C28" s="8">
        <f>IF($A28="","",'Opening Balance'!$B$5+SUM('Daily Sale entry '!$I$2:I28)-SUMIFS('Daily Sale entry '!$AB$2:$AB$1501,'Daily Sale entry '!$X$2:$X$1501,"&lt;="&amp;$A28,'Daily Sale entry '!$Z$2:$Z$1501,"Cheque deposit 支票存入")-COUNTIFS('Daily Sale entry '!$Q$2:$Q$1501,"Collection 收款",'Daily Sale entry '!$R$2:$R$1501,"Cheque 支票",'Daily Sale entry '!$V$2:$V$1501,"&lt;="&amp;$A28))</f>
        <v/>
      </c>
      <c r="D28" s="6">
        <f>IF($A28="","",ROUND('Opening Balance'!$B$6+SUM('Daily Sale entry '!$J$2:J28)-SUMIFS('Daily Sale entry '!$AC$2:$AC$1501,'Daily Sale entry '!$X$2:$X$1501,"&lt;="&amp;$A28,'Daily Sale entry '!$Z$2:$Z$1501,"Cheque deposit 支票存入")-SUMPRODUCT(('Daily Sale entry '!$Q$2:$Q$1501="Collection 收款")*('Daily Sale entry '!$R$2:$R$1501="Cheque 支票")*('Daily Sale entry '!$V$2:$V$1501&lt;&gt;"")*('Daily Sale entry '!$V$2:$V$1501&lt;=$A28)*('Daily Sale entry '!$S$2:$S$1501-'Opening Balance'!$B$15*('Daily Sale entry '!$R$2:$R$1501="Cheque 支票")*('Daily Sale entry '!$S$2:$S$1501-TRUNC('Daily Sale entry '!$S$2:$S$1501)))),2))</f>
        <v/>
      </c>
      <c r="E28" s="6">
        <f>IF($A28="","",'Opening Balance'!$B$7)</f>
        <v/>
      </c>
      <c r="F28" s="6">
        <f>IF($A28="","",ROUND(SUMIFS('Daily Sale entry '!$L$2:$L$367,'Daily Sale entry '!$A$2:$A$367,"&gt;="&amp;DATE(YEAR($A28),MONTH($A28),1),'Daily Sale entry '!$A$2:$A$367,"&lt;="&amp;$A28)+SUMIFS('Daily Sale entry '!$M$2:$M$367,'Daily Sale entry '!$A$2:$A$367,"&gt;="&amp;DATE(YEAR($A28),MONTH($A28),1),'Daily Sale entry '!$A$2:$A$367,"&lt;="&amp;$A28)+IF(AND(YEAR($A28)=YEAR('Daily Sale entry '!$A$2),MONTH($A28)=MONTH('Daily Sale entry '!$A$2)),'Opening Balance'!$B$8,0),2))</f>
        <v/>
      </c>
      <c r="G28" s="6">
        <f>IF($A28="","",MOD(ROUND('Opening Balance'!$B$9+SUMIFS('Sales &amp; Collection'!$L$1:$L$367,'Sales &amp; Collection'!$K$1:$K$367,"cash collection*"),2),'Opening Balance'!$B$11))</f>
        <v/>
      </c>
      <c r="H28" s="6">
        <f>IF($A28="","",ROUND('Opening Balance'!$B$10+'Opening Balance'!$B$9+SUMIFS('Sales &amp; Collection'!$L$1:$L$367,'Sales &amp; Collection'!$K$1:$K$367,"cash collection*")-G28-SUMIFS('Daily Sale entry '!$AC$2:$AC$1501,'Daily Sale entry '!$X$2:$X$1501,"&lt;="&amp;$A28,'Daily Sale entry '!$Z$2:$Z$1501,"Cash deposit 现金存入"),2))</f>
        <v/>
      </c>
      <c r="I28" s="6">
        <f>IF($A28="","",ROUND(B28+D28+E28+F28+G28+H28,2))</f>
        <v/>
      </c>
      <c r="J28" s="6">
        <f>IF($A28="","",'AR &amp; AP'!K29)</f>
        <v/>
      </c>
      <c r="K28" s="6">
        <f>IF($A28="","",ROUND(I28-J28-SUMIFS('Daily Sale entry '!$AC$2:$AC$1501,'Daily Sale entry '!$X$2:$X$1501,"&lt;="&amp;$A28,'Daily Sale entry '!$Z$2:$Z$1501,"Other deposit 其他存入")+SUMIFS('Daily Sale entry '!$AD$2:$AD$1501,'Daily Sale entry '!$X$2:$X$1501,"&lt;="&amp;$A28)+('Opening Balance'!$B$8+SUM('Daily Sale entry '!$L$2:M28)-F28),2))</f>
        <v/>
      </c>
      <c r="L28">
        <f>IF($A28="","",IF(ABS('Sales &amp; Collection'!$B$376)&gt;'Opening Balance'!$B$16,"ALERT 警报: Different "&amp;TEXT('Sales &amp; Collection'!$B$376,"#,##0.00")&amp;" 差额过大",""))</f>
        <v/>
      </c>
    </row>
    <row r="29">
      <c r="A29" s="5">
        <f>IF('Daily Sale entry '!A29="","",'Daily Sale entry '!A29)</f>
        <v/>
      </c>
      <c r="B29" s="6">
        <f>IF($A29="","",ROUND('Opening Balance'!$B$4+SUM('Daily Sale entry '!$K$2:K29)+SUMIFS('Daily Sale entry '!$AC$2:$AC$1501,'Daily Sale entry '!$X$2:$X$1501,"&lt;="&amp;$A29)-SUMIFS('Daily Sale entry '!$AD$2:$AD$1501,'Daily Sale entry '!$X$2:$X$1501,"&lt;="&amp;$A29)+SUMPRODUCT(('Daily Sale entry '!$Q$2:$Q$1501="Collection 收款")*('Daily Sale entry '!$R$2:$R$1501="Cheque 支票")*('Daily Sale entry '!$V$2:$V$1501&lt;&gt;"")*('Daily Sale entry '!$V$2:$V$1501&lt;=$A29)*('Daily Sale entry '!$S$2:$S$1501-'Opening Balance'!$B$15*('Daily Sale entry '!$R$2:$R$1501="Cheque 支票")*('Daily Sale entry '!$S$2:$S$1501-TRUNC('Daily Sale entry '!$S$2:$S$1501))))-'Opening Balance'!$B$15*SUMPRODUCT(('Daily Sale entry '!$X$2:$X$1501&lt;=$A29)*('Daily Sale entry '!$Z$2:$Z$1501="Online collection 网上收款")*('Daily Sale entry '!$AA$2:$AA$1501&lt;&gt;"")*('Daily Sale entry '!$AC$2:$AC$1501-TRUNC('Daily Sale entry '!$AC$2:$AC$1501))),2))</f>
        <v/>
      </c>
      <c r="C29" s="8">
        <f>IF($A29="","",'Opening Balance'!$B$5+SUM('Daily Sale entry '!$I$2:I29)-SUMIFS('Daily Sale entry '!$AB$2:$AB$1501,'Daily Sale entry '!$X$2:$X$1501,"&lt;="&amp;$A29,'Daily Sale entry '!$Z$2:$Z$1501,"Cheque deposit 支票存入")-COUNTIFS('Daily Sale entry '!$Q$2:$Q$1501,"Collection 收款",'Daily Sale entry '!$R$2:$R$1501,"Cheque 支票",'Daily Sale entry '!$V$2:$V$1501,"&lt;="&amp;$A29))</f>
        <v/>
      </c>
      <c r="D29" s="6">
        <f>IF($A29="","",ROUND('Opening Balance'!$B$6+SUM('Daily Sale entry '!$J$2:J29)-SUMIFS('Daily Sale entry '!$AC$2:$AC$1501,'Daily Sale entry '!$X$2:$X$1501,"&lt;="&amp;$A29,'Daily Sale entry '!$Z$2:$Z$1501,"Cheque deposit 支票存入")-SUMPRODUCT(('Daily Sale entry '!$Q$2:$Q$1501="Collection 收款")*('Daily Sale entry '!$R$2:$R$1501="Cheque 支票")*('Daily Sale entry '!$V$2:$V$1501&lt;&gt;"")*('Daily Sale entry '!$V$2:$V$1501&lt;=$A29)*('Daily Sale entry '!$S$2:$S$1501-'Opening Balance'!$B$15*('Daily Sale entry '!$R$2:$R$1501="Cheque 支票")*('Daily Sale entry '!$S$2:$S$1501-TRUNC('Daily Sale entry '!$S$2:$S$1501)))),2))</f>
        <v/>
      </c>
      <c r="E29" s="6">
        <f>IF($A29="","",'Opening Balance'!$B$7)</f>
        <v/>
      </c>
      <c r="F29" s="6">
        <f>IF($A29="","",ROUND(SUMIFS('Daily Sale entry '!$L$2:$L$367,'Daily Sale entry '!$A$2:$A$367,"&gt;="&amp;DATE(YEAR($A29),MONTH($A29),1),'Daily Sale entry '!$A$2:$A$367,"&lt;="&amp;$A29)+SUMIFS('Daily Sale entry '!$M$2:$M$367,'Daily Sale entry '!$A$2:$A$367,"&gt;="&amp;DATE(YEAR($A29),MONTH($A29),1),'Daily Sale entry '!$A$2:$A$367,"&lt;="&amp;$A29)+IF(AND(YEAR($A29)=YEAR('Daily Sale entry '!$A$2),MONTH($A29)=MONTH('Daily Sale entry '!$A$2)),'Opening Balance'!$B$8,0),2))</f>
        <v/>
      </c>
      <c r="G29" s="6">
        <f>IF($A29="","",MOD(ROUND('Opening Balance'!$B$9+SUMIFS('Sales &amp; Collection'!$L$1:$L$381,'Sales &amp; Collection'!$K$1:$K$381,"cash collection*"),2),'Opening Balance'!$B$11))</f>
        <v/>
      </c>
      <c r="H29" s="6">
        <f>IF($A29="","",ROUND('Opening Balance'!$B$10+'Opening Balance'!$B$9+SUMIFS('Sales &amp; Collection'!$L$1:$L$381,'Sales &amp; Collection'!$K$1:$K$381,"cash collection*")-G29-SUMIFS('Daily Sale entry '!$AC$2:$AC$1501,'Daily Sale entry '!$X$2:$X$1501,"&lt;="&amp;$A29,'Daily Sale entry '!$Z$2:$Z$1501,"Cash deposit 现金存入"),2))</f>
        <v/>
      </c>
      <c r="I29" s="6">
        <f>IF($A29="","",ROUND(B29+D29+E29+F29+G29+H29,2))</f>
        <v/>
      </c>
      <c r="J29" s="6">
        <f>IF($A29="","",'AR &amp; AP'!K30)</f>
        <v/>
      </c>
      <c r="K29" s="6">
        <f>IF($A29="","",ROUND(I29-J29-SUMIFS('Daily Sale entry '!$AC$2:$AC$1501,'Daily Sale entry '!$X$2:$X$1501,"&lt;="&amp;$A29,'Daily Sale entry '!$Z$2:$Z$1501,"Other deposit 其他存入")+SUMIFS('Daily Sale entry '!$AD$2:$AD$1501,'Daily Sale entry '!$X$2:$X$1501,"&lt;="&amp;$A29)+('Opening Balance'!$B$8+SUM('Daily Sale entry '!$L$2:M29)-F29),2))</f>
        <v/>
      </c>
      <c r="L29">
        <f>IF($A29="","",IF(ABS('Sales &amp; Collection'!$B$390)&gt;'Opening Balance'!$B$16,"ALERT 警报: Different "&amp;TEXT('Sales &amp; Collection'!$B$390,"#,##0.00")&amp;" 差额过大",""))</f>
        <v/>
      </c>
    </row>
    <row r="30">
      <c r="A30" s="5">
        <f>IF('Daily Sale entry '!A30="","",'Daily Sale entry '!A30)</f>
        <v/>
      </c>
      <c r="B30" s="6">
        <f>IF($A30="","",ROUND('Opening Balance'!$B$4+SUM('Daily Sale entry '!$K$2:K30)+SUMIFS('Daily Sale entry '!$AC$2:$AC$1501,'Daily Sale entry '!$X$2:$X$1501,"&lt;="&amp;$A30)-SUMIFS('Daily Sale entry '!$AD$2:$AD$1501,'Daily Sale entry '!$X$2:$X$1501,"&lt;="&amp;$A30)+SUMPRODUCT(('Daily Sale entry '!$Q$2:$Q$1501="Collection 收款")*('Daily Sale entry '!$R$2:$R$1501="Cheque 支票")*('Daily Sale entry '!$V$2:$V$1501&lt;&gt;"")*('Daily Sale entry '!$V$2:$V$1501&lt;=$A30)*('Daily Sale entry '!$S$2:$S$1501-'Opening Balance'!$B$15*('Daily Sale entry '!$R$2:$R$1501="Cheque 支票")*('Daily Sale entry '!$S$2:$S$1501-TRUNC('Daily Sale entry '!$S$2:$S$1501))))-'Opening Balance'!$B$15*SUMPRODUCT(('Daily Sale entry '!$X$2:$X$1501&lt;=$A30)*('Daily Sale entry '!$Z$2:$Z$1501="Online collection 网上收款")*('Daily Sale entry '!$AA$2:$AA$1501&lt;&gt;"")*('Daily Sale entry '!$AC$2:$AC$1501-TRUNC('Daily Sale entry '!$AC$2:$AC$1501))),2))</f>
        <v/>
      </c>
      <c r="C30" s="8">
        <f>IF($A30="","",'Opening Balance'!$B$5+SUM('Daily Sale entry '!$I$2:I30)-SUMIFS('Daily Sale entry '!$AB$2:$AB$1501,'Daily Sale entry '!$X$2:$X$1501,"&lt;="&amp;$A30,'Daily Sale entry '!$Z$2:$Z$1501,"Cheque deposit 支票存入")-COUNTIFS('Daily Sale entry '!$Q$2:$Q$1501,"Collection 收款",'Daily Sale entry '!$R$2:$R$1501,"Cheque 支票",'Daily Sale entry '!$V$2:$V$1501,"&lt;="&amp;$A30))</f>
        <v/>
      </c>
      <c r="D30" s="6">
        <f>IF($A30="","",ROUND('Opening Balance'!$B$6+SUM('Daily Sale entry '!$J$2:J30)-SUMIFS('Daily Sale entry '!$AC$2:$AC$1501,'Daily Sale entry '!$X$2:$X$1501,"&lt;="&amp;$A30,'Daily Sale entry '!$Z$2:$Z$1501,"Cheque deposit 支票存入")-SUMPRODUCT(('Daily Sale entry '!$Q$2:$Q$1501="Collection 收款")*('Daily Sale entry '!$R$2:$R$1501="Cheque 支票")*('Daily Sale entry '!$V$2:$V$1501&lt;&gt;"")*('Daily Sale entry '!$V$2:$V$1501&lt;=$A30)*('Daily Sale entry '!$S$2:$S$1501-'Opening Balance'!$B$15*('Daily Sale entry '!$R$2:$R$1501="Cheque 支票")*('Daily Sale entry '!$S$2:$S$1501-TRUNC('Daily Sale entry '!$S$2:$S$1501)))),2))</f>
        <v/>
      </c>
      <c r="E30" s="6">
        <f>IF($A30="","",'Opening Balance'!$B$7)</f>
        <v/>
      </c>
      <c r="F30" s="6">
        <f>IF($A30="","",ROUND(SUMIFS('Daily Sale entry '!$L$2:$L$367,'Daily Sale entry '!$A$2:$A$367,"&gt;="&amp;DATE(YEAR($A30),MONTH($A30),1),'Daily Sale entry '!$A$2:$A$367,"&lt;="&amp;$A30)+SUMIFS('Daily Sale entry '!$M$2:$M$367,'Daily Sale entry '!$A$2:$A$367,"&gt;="&amp;DATE(YEAR($A30),MONTH($A30),1),'Daily Sale entry '!$A$2:$A$367,"&lt;="&amp;$A30)+IF(AND(YEAR($A30)=YEAR('Daily Sale entry '!$A$2),MONTH($A30)=MONTH('Daily Sale entry '!$A$2)),'Opening Balance'!$B$8,0),2))</f>
        <v/>
      </c>
      <c r="G30" s="6">
        <f>IF($A30="","",MOD(ROUND('Opening Balance'!$B$9+SUMIFS('Sales &amp; Collection'!$L$1:$L$395,'Sales &amp; Collection'!$K$1:$K$395,"cash collection*"),2),'Opening Balance'!$B$11))</f>
        <v/>
      </c>
      <c r="H30" s="6">
        <f>IF($A30="","",ROUND('Opening Balance'!$B$10+'Opening Balance'!$B$9+SUMIFS('Sales &amp; Collection'!$L$1:$L$395,'Sales &amp; Collection'!$K$1:$K$395,"cash collection*")-G30-SUMIFS('Daily Sale entry '!$AC$2:$AC$1501,'Daily Sale entry '!$X$2:$X$1501,"&lt;="&amp;$A30,'Daily Sale entry '!$Z$2:$Z$1501,"Cash deposit 现金存入"),2))</f>
        <v/>
      </c>
      <c r="I30" s="6">
        <f>IF($A30="","",ROUND(B30+D30+E30+F30+G30+H30,2))</f>
        <v/>
      </c>
      <c r="J30" s="6">
        <f>IF($A30="","",'AR &amp; AP'!K31)</f>
        <v/>
      </c>
      <c r="K30" s="6">
        <f>IF($A30="","",ROUND(I30-J30-SUMIFS('Daily Sale entry '!$AC$2:$AC$1501,'Daily Sale entry '!$X$2:$X$1501,"&lt;="&amp;$A30,'Daily Sale entry '!$Z$2:$Z$1501,"Other deposit 其他存入")+SUMIFS('Daily Sale entry '!$AD$2:$AD$1501,'Daily Sale entry '!$X$2:$X$1501,"&lt;="&amp;$A30)+('Opening Balance'!$B$8+SUM('Daily Sale entry '!$L$2:M30)-F30),2))</f>
        <v/>
      </c>
      <c r="L30">
        <f>IF($A30="","",IF(ABS('Sales &amp; Collection'!$B$404)&gt;'Opening Balance'!$B$16,"ALERT 警报: Different "&amp;TEXT('Sales &amp; Collection'!$B$404,"#,##0.00")&amp;" 差额过大",""))</f>
        <v/>
      </c>
    </row>
    <row r="31">
      <c r="A31" s="5">
        <f>IF('Daily Sale entry '!A31="","",'Daily Sale entry '!A31)</f>
        <v/>
      </c>
      <c r="B31" s="6">
        <f>IF($A31="","",ROUND('Opening Balance'!$B$4+SUM('Daily Sale entry '!$K$2:K31)+SUMIFS('Daily Sale entry '!$AC$2:$AC$1501,'Daily Sale entry '!$X$2:$X$1501,"&lt;="&amp;$A31)-SUMIFS('Daily Sale entry '!$AD$2:$AD$1501,'Daily Sale entry '!$X$2:$X$1501,"&lt;="&amp;$A31)+SUMPRODUCT(('Daily Sale entry '!$Q$2:$Q$1501="Collection 收款")*('Daily Sale entry '!$R$2:$R$1501="Cheque 支票")*('Daily Sale entry '!$V$2:$V$1501&lt;&gt;"")*('Daily Sale entry '!$V$2:$V$1501&lt;=$A31)*('Daily Sale entry '!$S$2:$S$1501-'Opening Balance'!$B$15*('Daily Sale entry '!$R$2:$R$1501="Cheque 支票")*('Daily Sale entry '!$S$2:$S$1501-TRUNC('Daily Sale entry '!$S$2:$S$1501))))-'Opening Balance'!$B$15*SUMPRODUCT(('Daily Sale entry '!$X$2:$X$1501&lt;=$A31)*('Daily Sale entry '!$Z$2:$Z$1501="Online collection 网上收款")*('Daily Sale entry '!$AA$2:$AA$1501&lt;&gt;"")*('Daily Sale entry '!$AC$2:$AC$1501-TRUNC('Daily Sale entry '!$AC$2:$AC$1501))),2))</f>
        <v/>
      </c>
      <c r="C31" s="8">
        <f>IF($A31="","",'Opening Balance'!$B$5+SUM('Daily Sale entry '!$I$2:I31)-SUMIFS('Daily Sale entry '!$AB$2:$AB$1501,'Daily Sale entry '!$X$2:$X$1501,"&lt;="&amp;$A31,'Daily Sale entry '!$Z$2:$Z$1501,"Cheque deposit 支票存入")-COUNTIFS('Daily Sale entry '!$Q$2:$Q$1501,"Collection 收款",'Daily Sale entry '!$R$2:$R$1501,"Cheque 支票",'Daily Sale entry '!$V$2:$V$1501,"&lt;="&amp;$A31))</f>
        <v/>
      </c>
      <c r="D31" s="6">
        <f>IF($A31="","",ROUND('Opening Balance'!$B$6+SUM('Daily Sale entry '!$J$2:J31)-SUMIFS('Daily Sale entry '!$AC$2:$AC$1501,'Daily Sale entry '!$X$2:$X$1501,"&lt;="&amp;$A31,'Daily Sale entry '!$Z$2:$Z$1501,"Cheque deposit 支票存入")-SUMPRODUCT(('Daily Sale entry '!$Q$2:$Q$1501="Collection 收款")*('Daily Sale entry '!$R$2:$R$1501="Cheque 支票")*('Daily Sale entry '!$V$2:$V$1501&lt;&gt;"")*('Daily Sale entry '!$V$2:$V$1501&lt;=$A31)*('Daily Sale entry '!$S$2:$S$1501-'Opening Balance'!$B$15*('Daily Sale entry '!$R$2:$R$1501="Cheque 支票")*('Daily Sale entry '!$S$2:$S$1501-TRUNC('Daily Sale entry '!$S$2:$S$1501)))),2))</f>
        <v/>
      </c>
      <c r="E31" s="6">
        <f>IF($A31="","",'Opening Balance'!$B$7)</f>
        <v/>
      </c>
      <c r="F31" s="6">
        <f>IF($A31="","",ROUND(SUMIFS('Daily Sale entry '!$L$2:$L$367,'Daily Sale entry '!$A$2:$A$367,"&gt;="&amp;DATE(YEAR($A31),MONTH($A31),1),'Daily Sale entry '!$A$2:$A$367,"&lt;="&amp;$A31)+SUMIFS('Daily Sale entry '!$M$2:$M$367,'Daily Sale entry '!$A$2:$A$367,"&gt;="&amp;DATE(YEAR($A31),MONTH($A31),1),'Daily Sale entry '!$A$2:$A$367,"&lt;="&amp;$A31)+IF(AND(YEAR($A31)=YEAR('Daily Sale entry '!$A$2),MONTH($A31)=MONTH('Daily Sale entry '!$A$2)),'Opening Balance'!$B$8,0),2))</f>
        <v/>
      </c>
      <c r="G31" s="6">
        <f>IF($A31="","",MOD(ROUND('Opening Balance'!$B$9+SUMIFS('Sales &amp; Collection'!$L$1:$L$409,'Sales &amp; Collection'!$K$1:$K$409,"cash collection*"),2),'Opening Balance'!$B$11))</f>
        <v/>
      </c>
      <c r="H31" s="6">
        <f>IF($A31="","",ROUND('Opening Balance'!$B$10+'Opening Balance'!$B$9+SUMIFS('Sales &amp; Collection'!$L$1:$L$409,'Sales &amp; Collection'!$K$1:$K$409,"cash collection*")-G31-SUMIFS('Daily Sale entry '!$AC$2:$AC$1501,'Daily Sale entry '!$X$2:$X$1501,"&lt;="&amp;$A31,'Daily Sale entry '!$Z$2:$Z$1501,"Cash deposit 现金存入"),2))</f>
        <v/>
      </c>
      <c r="I31" s="6">
        <f>IF($A31="","",ROUND(B31+D31+E31+F31+G31+H31,2))</f>
        <v/>
      </c>
      <c r="J31" s="6">
        <f>IF($A31="","",'AR &amp; AP'!K32)</f>
        <v/>
      </c>
      <c r="K31" s="6">
        <f>IF($A31="","",ROUND(I31-J31-SUMIFS('Daily Sale entry '!$AC$2:$AC$1501,'Daily Sale entry '!$X$2:$X$1501,"&lt;="&amp;$A31,'Daily Sale entry '!$Z$2:$Z$1501,"Other deposit 其他存入")+SUMIFS('Daily Sale entry '!$AD$2:$AD$1501,'Daily Sale entry '!$X$2:$X$1501,"&lt;="&amp;$A31)+('Opening Balance'!$B$8+SUM('Daily Sale entry '!$L$2:M31)-F31),2))</f>
        <v/>
      </c>
      <c r="L31">
        <f>IF($A31="","",IF(ABS('Sales &amp; Collection'!$B$418)&gt;'Opening Balance'!$B$16,"ALERT 警报: Different "&amp;TEXT('Sales &amp; Collection'!$B$418,"#,##0.00")&amp;" 差额过大",""))</f>
        <v/>
      </c>
    </row>
    <row r="32">
      <c r="A32" s="5">
        <f>IF('Daily Sale entry '!A32="","",'Daily Sale entry '!A32)</f>
        <v/>
      </c>
      <c r="B32" s="6">
        <f>IF($A32="","",ROUND('Opening Balance'!$B$4+SUM('Daily Sale entry '!$K$2:K32)+SUMIFS('Daily Sale entry '!$AC$2:$AC$1501,'Daily Sale entry '!$X$2:$X$1501,"&lt;="&amp;$A32)-SUMIFS('Daily Sale entry '!$AD$2:$AD$1501,'Daily Sale entry '!$X$2:$X$1501,"&lt;="&amp;$A32)+SUMPRODUCT(('Daily Sale entry '!$Q$2:$Q$1501="Collection 收款")*('Daily Sale entry '!$R$2:$R$1501="Cheque 支票")*('Daily Sale entry '!$V$2:$V$1501&lt;&gt;"")*('Daily Sale entry '!$V$2:$V$1501&lt;=$A32)*('Daily Sale entry '!$S$2:$S$1501-'Opening Balance'!$B$15*('Daily Sale entry '!$R$2:$R$1501="Cheque 支票")*('Daily Sale entry '!$S$2:$S$1501-TRUNC('Daily Sale entry '!$S$2:$S$1501))))-'Opening Balance'!$B$15*SUMPRODUCT(('Daily Sale entry '!$X$2:$X$1501&lt;=$A32)*('Daily Sale entry '!$Z$2:$Z$1501="Online collection 网上收款")*('Daily Sale entry '!$AA$2:$AA$1501&lt;&gt;"")*('Daily Sale entry '!$AC$2:$AC$1501-TRUNC('Daily Sale entry '!$AC$2:$AC$1501))),2))</f>
        <v/>
      </c>
      <c r="C32" s="8">
        <f>IF($A32="","",'Opening Balance'!$B$5+SUM('Daily Sale entry '!$I$2:I32)-SUMIFS('Daily Sale entry '!$AB$2:$AB$1501,'Daily Sale entry '!$X$2:$X$1501,"&lt;="&amp;$A32,'Daily Sale entry '!$Z$2:$Z$1501,"Cheque deposit 支票存入")-COUNTIFS('Daily Sale entry '!$Q$2:$Q$1501,"Collection 收款",'Daily Sale entry '!$R$2:$R$1501,"Cheque 支票",'Daily Sale entry '!$V$2:$V$1501,"&lt;="&amp;$A32))</f>
        <v/>
      </c>
      <c r="D32" s="6">
        <f>IF($A32="","",ROUND('Opening Balance'!$B$6+SUM('Daily Sale entry '!$J$2:J32)-SUMIFS('Daily Sale entry '!$AC$2:$AC$1501,'Daily Sale entry '!$X$2:$X$1501,"&lt;="&amp;$A32,'Daily Sale entry '!$Z$2:$Z$1501,"Cheque deposit 支票存入")-SUMPRODUCT(('Daily Sale entry '!$Q$2:$Q$1501="Collection 收款")*('Daily Sale entry '!$R$2:$R$1501="Cheque 支票")*('Daily Sale entry '!$V$2:$V$1501&lt;&gt;"")*('Daily Sale entry '!$V$2:$V$1501&lt;=$A32)*('Daily Sale entry '!$S$2:$S$1501-'Opening Balance'!$B$15*('Daily Sale entry '!$R$2:$R$1501="Cheque 支票")*('Daily Sale entry '!$S$2:$S$1501-TRUNC('Daily Sale entry '!$S$2:$S$1501)))),2))</f>
        <v/>
      </c>
      <c r="E32" s="6">
        <f>IF($A32="","",'Opening Balance'!$B$7)</f>
        <v/>
      </c>
      <c r="F32" s="6">
        <f>IF($A32="","",ROUND(SUMIFS('Daily Sale entry '!$L$2:$L$367,'Daily Sale entry '!$A$2:$A$367,"&gt;="&amp;DATE(YEAR($A32),MONTH($A32),1),'Daily Sale entry '!$A$2:$A$367,"&lt;="&amp;$A32)+SUMIFS('Daily Sale entry '!$M$2:$M$367,'Daily Sale entry '!$A$2:$A$367,"&gt;="&amp;DATE(YEAR($A32),MONTH($A32),1),'Daily Sale entry '!$A$2:$A$367,"&lt;="&amp;$A32)+IF(AND(YEAR($A32)=YEAR('Daily Sale entry '!$A$2),MONTH($A32)=MONTH('Daily Sale entry '!$A$2)),'Opening Balance'!$B$8,0),2))</f>
        <v/>
      </c>
      <c r="G32" s="6">
        <f>IF($A32="","",MOD(ROUND('Opening Balance'!$B$9+SUMIFS('Sales &amp; Collection'!$L$1:$L$423,'Sales &amp; Collection'!$K$1:$K$423,"cash collection*"),2),'Opening Balance'!$B$11))</f>
        <v/>
      </c>
      <c r="H32" s="6">
        <f>IF($A32="","",ROUND('Opening Balance'!$B$10+'Opening Balance'!$B$9+SUMIFS('Sales &amp; Collection'!$L$1:$L$423,'Sales &amp; Collection'!$K$1:$K$423,"cash collection*")-G32-SUMIFS('Daily Sale entry '!$AC$2:$AC$1501,'Daily Sale entry '!$X$2:$X$1501,"&lt;="&amp;$A32,'Daily Sale entry '!$Z$2:$Z$1501,"Cash deposit 现金存入"),2))</f>
        <v/>
      </c>
      <c r="I32" s="6">
        <f>IF($A32="","",ROUND(B32+D32+E32+F32+G32+H32,2))</f>
        <v/>
      </c>
      <c r="J32" s="6">
        <f>IF($A32="","",'AR &amp; AP'!K33)</f>
        <v/>
      </c>
      <c r="K32" s="6">
        <f>IF($A32="","",ROUND(I32-J32-SUMIFS('Daily Sale entry '!$AC$2:$AC$1501,'Daily Sale entry '!$X$2:$X$1501,"&lt;="&amp;$A32,'Daily Sale entry '!$Z$2:$Z$1501,"Other deposit 其他存入")+SUMIFS('Daily Sale entry '!$AD$2:$AD$1501,'Daily Sale entry '!$X$2:$X$1501,"&lt;="&amp;$A32)+('Opening Balance'!$B$8+SUM('Daily Sale entry '!$L$2:M32)-F32),2))</f>
        <v/>
      </c>
      <c r="L32">
        <f>IF($A32="","",IF(ABS('Sales &amp; Collection'!$B$432)&gt;'Opening Balance'!$B$16,"ALERT 警报: Different "&amp;TEXT('Sales &amp; Collection'!$B$432,"#,##0.00")&amp;" 差额过大",""))</f>
        <v/>
      </c>
    </row>
    <row r="33">
      <c r="A33" s="5">
        <f>IF('Daily Sale entry '!A33="","",'Daily Sale entry '!A33)</f>
        <v/>
      </c>
      <c r="B33" s="6">
        <f>IF($A33="","",ROUND('Opening Balance'!$B$4+SUM('Daily Sale entry '!$K$2:K33)+SUMIFS('Daily Sale entry '!$AC$2:$AC$1501,'Daily Sale entry '!$X$2:$X$1501,"&lt;="&amp;$A33)-SUMIFS('Daily Sale entry '!$AD$2:$AD$1501,'Daily Sale entry '!$X$2:$X$1501,"&lt;="&amp;$A33)+SUMPRODUCT(('Daily Sale entry '!$Q$2:$Q$1501="Collection 收款")*('Daily Sale entry '!$R$2:$R$1501="Cheque 支票")*('Daily Sale entry '!$V$2:$V$1501&lt;&gt;"")*('Daily Sale entry '!$V$2:$V$1501&lt;=$A33)*('Daily Sale entry '!$S$2:$S$1501-'Opening Balance'!$B$15*('Daily Sale entry '!$R$2:$R$1501="Cheque 支票")*('Daily Sale entry '!$S$2:$S$1501-TRUNC('Daily Sale entry '!$S$2:$S$1501))))-'Opening Balance'!$B$15*SUMPRODUCT(('Daily Sale entry '!$X$2:$X$1501&lt;=$A33)*('Daily Sale entry '!$Z$2:$Z$1501="Online collection 网上收款")*('Daily Sale entry '!$AA$2:$AA$1501&lt;&gt;"")*('Daily Sale entry '!$AC$2:$AC$1501-TRUNC('Daily Sale entry '!$AC$2:$AC$1501))),2))</f>
        <v/>
      </c>
      <c r="C33" s="8">
        <f>IF($A33="","",'Opening Balance'!$B$5+SUM('Daily Sale entry '!$I$2:I33)-SUMIFS('Daily Sale entry '!$AB$2:$AB$1501,'Daily Sale entry '!$X$2:$X$1501,"&lt;="&amp;$A33,'Daily Sale entry '!$Z$2:$Z$1501,"Cheque deposit 支票存入")-COUNTIFS('Daily Sale entry '!$Q$2:$Q$1501,"Collection 收款",'Daily Sale entry '!$R$2:$R$1501,"Cheque 支票",'Daily Sale entry '!$V$2:$V$1501,"&lt;="&amp;$A33))</f>
        <v/>
      </c>
      <c r="D33" s="6">
        <f>IF($A33="","",ROUND('Opening Balance'!$B$6+SUM('Daily Sale entry '!$J$2:J33)-SUMIFS('Daily Sale entry '!$AC$2:$AC$1501,'Daily Sale entry '!$X$2:$X$1501,"&lt;="&amp;$A33,'Daily Sale entry '!$Z$2:$Z$1501,"Cheque deposit 支票存入")-SUMPRODUCT(('Daily Sale entry '!$Q$2:$Q$1501="Collection 收款")*('Daily Sale entry '!$R$2:$R$1501="Cheque 支票")*('Daily Sale entry '!$V$2:$V$1501&lt;&gt;"")*('Daily Sale entry '!$V$2:$V$1501&lt;=$A33)*('Daily Sale entry '!$S$2:$S$1501-'Opening Balance'!$B$15*('Daily Sale entry '!$R$2:$R$1501="Cheque 支票")*('Daily Sale entry '!$S$2:$S$1501-TRUNC('Daily Sale entry '!$S$2:$S$1501)))),2))</f>
        <v/>
      </c>
      <c r="E33" s="6">
        <f>IF($A33="","",'Opening Balance'!$B$7)</f>
        <v/>
      </c>
      <c r="F33" s="6">
        <f>IF($A33="","",ROUND(SUMIFS('Daily Sale entry '!$L$2:$L$367,'Daily Sale entry '!$A$2:$A$367,"&gt;="&amp;DATE(YEAR($A33),MONTH($A33),1),'Daily Sale entry '!$A$2:$A$367,"&lt;="&amp;$A33)+SUMIFS('Daily Sale entry '!$M$2:$M$367,'Daily Sale entry '!$A$2:$A$367,"&gt;="&amp;DATE(YEAR($A33),MONTH($A33),1),'Daily Sale entry '!$A$2:$A$367,"&lt;="&amp;$A33)+IF(AND(YEAR($A33)=YEAR('Daily Sale entry '!$A$2),MONTH($A33)=MONTH('Daily Sale entry '!$A$2)),'Opening Balance'!$B$8,0),2))</f>
        <v/>
      </c>
      <c r="G33" s="6">
        <f>IF($A33="","",MOD(ROUND('Opening Balance'!$B$9+SUMIFS('Sales &amp; Collection'!$L$1:$L$437,'Sales &amp; Collection'!$K$1:$K$437,"cash collection*"),2),'Opening Balance'!$B$11))</f>
        <v/>
      </c>
      <c r="H33" s="6">
        <f>IF($A33="","",ROUND('Opening Balance'!$B$10+'Opening Balance'!$B$9+SUMIFS('Sales &amp; Collection'!$L$1:$L$437,'Sales &amp; Collection'!$K$1:$K$437,"cash collection*")-G33-SUMIFS('Daily Sale entry '!$AC$2:$AC$1501,'Daily Sale entry '!$X$2:$X$1501,"&lt;="&amp;$A33,'Daily Sale entry '!$Z$2:$Z$1501,"Cash deposit 现金存入"),2))</f>
        <v/>
      </c>
      <c r="I33" s="6">
        <f>IF($A33="","",ROUND(B33+D33+E33+F33+G33+H33,2))</f>
        <v/>
      </c>
      <c r="J33" s="6">
        <f>IF($A33="","",'AR &amp; AP'!K34)</f>
        <v/>
      </c>
      <c r="K33" s="6">
        <f>IF($A33="","",ROUND(I33-J33-SUMIFS('Daily Sale entry '!$AC$2:$AC$1501,'Daily Sale entry '!$X$2:$X$1501,"&lt;="&amp;$A33,'Daily Sale entry '!$Z$2:$Z$1501,"Other deposit 其他存入")+SUMIFS('Daily Sale entry '!$AD$2:$AD$1501,'Daily Sale entry '!$X$2:$X$1501,"&lt;="&amp;$A33)+('Opening Balance'!$B$8+SUM('Daily Sale entry '!$L$2:M33)-F33),2))</f>
        <v/>
      </c>
      <c r="L33">
        <f>IF($A33="","",IF(ABS('Sales &amp; Collection'!$B$446)&gt;'Opening Balance'!$B$16,"ALERT 警报: Different "&amp;TEXT('Sales &amp; Collection'!$B$446,"#,##0.00")&amp;" 差额过大",""))</f>
        <v/>
      </c>
    </row>
    <row r="34">
      <c r="A34" s="5">
        <f>IF('Daily Sale entry '!A34="","",'Daily Sale entry '!A34)</f>
        <v/>
      </c>
      <c r="B34" s="6">
        <f>IF($A34="","",ROUND('Opening Balance'!$B$4+SUM('Daily Sale entry '!$K$2:K34)+SUMIFS('Daily Sale entry '!$AC$2:$AC$1501,'Daily Sale entry '!$X$2:$X$1501,"&lt;="&amp;$A34)-SUMIFS('Daily Sale entry '!$AD$2:$AD$1501,'Daily Sale entry '!$X$2:$X$1501,"&lt;="&amp;$A34)+SUMPRODUCT(('Daily Sale entry '!$Q$2:$Q$1501="Collection 收款")*('Daily Sale entry '!$R$2:$R$1501="Cheque 支票")*('Daily Sale entry '!$V$2:$V$1501&lt;&gt;"")*('Daily Sale entry '!$V$2:$V$1501&lt;=$A34)*('Daily Sale entry '!$S$2:$S$1501-'Opening Balance'!$B$15*('Daily Sale entry '!$R$2:$R$1501="Cheque 支票")*('Daily Sale entry '!$S$2:$S$1501-TRUNC('Daily Sale entry '!$S$2:$S$1501))))-'Opening Balance'!$B$15*SUMPRODUCT(('Daily Sale entry '!$X$2:$X$1501&lt;=$A34)*('Daily Sale entry '!$Z$2:$Z$1501="Online collection 网上收款")*('Daily Sale entry '!$AA$2:$AA$1501&lt;&gt;"")*('Daily Sale entry '!$AC$2:$AC$1501-TRUNC('Daily Sale entry '!$AC$2:$AC$1501))),2))</f>
        <v/>
      </c>
      <c r="C34" s="8">
        <f>IF($A34="","",'Opening Balance'!$B$5+SUM('Daily Sale entry '!$I$2:I34)-SUMIFS('Daily Sale entry '!$AB$2:$AB$1501,'Daily Sale entry '!$X$2:$X$1501,"&lt;="&amp;$A34,'Daily Sale entry '!$Z$2:$Z$1501,"Cheque deposit 支票存入")-COUNTIFS('Daily Sale entry '!$Q$2:$Q$1501,"Collection 收款",'Daily Sale entry '!$R$2:$R$1501,"Cheque 支票",'Daily Sale entry '!$V$2:$V$1501,"&lt;="&amp;$A34))</f>
        <v/>
      </c>
      <c r="D34" s="6">
        <f>IF($A34="","",ROUND('Opening Balance'!$B$6+SUM('Daily Sale entry '!$J$2:J34)-SUMIFS('Daily Sale entry '!$AC$2:$AC$1501,'Daily Sale entry '!$X$2:$X$1501,"&lt;="&amp;$A34,'Daily Sale entry '!$Z$2:$Z$1501,"Cheque deposit 支票存入")-SUMPRODUCT(('Daily Sale entry '!$Q$2:$Q$1501="Collection 收款")*('Daily Sale entry '!$R$2:$R$1501="Cheque 支票")*('Daily Sale entry '!$V$2:$V$1501&lt;&gt;"")*('Daily Sale entry '!$V$2:$V$1501&lt;=$A34)*('Daily Sale entry '!$S$2:$S$1501-'Opening Balance'!$B$15*('Daily Sale entry '!$R$2:$R$1501="Cheque 支票")*('Daily Sale entry '!$S$2:$S$1501-TRUNC('Daily Sale entry '!$S$2:$S$1501)))),2))</f>
        <v/>
      </c>
      <c r="E34" s="6">
        <f>IF($A34="","",'Opening Balance'!$B$7)</f>
        <v/>
      </c>
      <c r="F34" s="6">
        <f>IF($A34="","",ROUND(SUMIFS('Daily Sale entry '!$L$2:$L$367,'Daily Sale entry '!$A$2:$A$367,"&gt;="&amp;DATE(YEAR($A34),MONTH($A34),1),'Daily Sale entry '!$A$2:$A$367,"&lt;="&amp;$A34)+SUMIFS('Daily Sale entry '!$M$2:$M$367,'Daily Sale entry '!$A$2:$A$367,"&gt;="&amp;DATE(YEAR($A34),MONTH($A34),1),'Daily Sale entry '!$A$2:$A$367,"&lt;="&amp;$A34)+IF(AND(YEAR($A34)=YEAR('Daily Sale entry '!$A$2),MONTH($A34)=MONTH('Daily Sale entry '!$A$2)),'Opening Balance'!$B$8,0),2))</f>
        <v/>
      </c>
      <c r="G34" s="6">
        <f>IF($A34="","",MOD(ROUND('Opening Balance'!$B$9+SUMIFS('Sales &amp; Collection'!$L$1:$L$451,'Sales &amp; Collection'!$K$1:$K$451,"cash collection*"),2),'Opening Balance'!$B$11))</f>
        <v/>
      </c>
      <c r="H34" s="6">
        <f>IF($A34="","",ROUND('Opening Balance'!$B$10+'Opening Balance'!$B$9+SUMIFS('Sales &amp; Collection'!$L$1:$L$451,'Sales &amp; Collection'!$K$1:$K$451,"cash collection*")-G34-SUMIFS('Daily Sale entry '!$AC$2:$AC$1501,'Daily Sale entry '!$X$2:$X$1501,"&lt;="&amp;$A34,'Daily Sale entry '!$Z$2:$Z$1501,"Cash deposit 现金存入"),2))</f>
        <v/>
      </c>
      <c r="I34" s="6">
        <f>IF($A34="","",ROUND(B34+D34+E34+F34+G34+H34,2))</f>
        <v/>
      </c>
      <c r="J34" s="6">
        <f>IF($A34="","",'AR &amp; AP'!K35)</f>
        <v/>
      </c>
      <c r="K34" s="6">
        <f>IF($A34="","",ROUND(I34-J34-SUMIFS('Daily Sale entry '!$AC$2:$AC$1501,'Daily Sale entry '!$X$2:$X$1501,"&lt;="&amp;$A34,'Daily Sale entry '!$Z$2:$Z$1501,"Other deposit 其他存入")+SUMIFS('Daily Sale entry '!$AD$2:$AD$1501,'Daily Sale entry '!$X$2:$X$1501,"&lt;="&amp;$A34)+('Opening Balance'!$B$8+SUM('Daily Sale entry '!$L$2:M34)-F34),2))</f>
        <v/>
      </c>
      <c r="L34">
        <f>IF($A34="","",IF(ABS('Sales &amp; Collection'!$B$460)&gt;'Opening Balance'!$B$16,"ALERT 警报: Different "&amp;TEXT('Sales &amp; Collection'!$B$460,"#,##0.00")&amp;" 差额过大",""))</f>
        <v/>
      </c>
    </row>
    <row r="35">
      <c r="A35" s="5">
        <f>IF('Daily Sale entry '!A35="","",'Daily Sale entry '!A35)</f>
        <v/>
      </c>
      <c r="B35" s="6">
        <f>IF($A35="","",ROUND('Opening Balance'!$B$4+SUM('Daily Sale entry '!$K$2:K35)+SUMIFS('Daily Sale entry '!$AC$2:$AC$1501,'Daily Sale entry '!$X$2:$X$1501,"&lt;="&amp;$A35)-SUMIFS('Daily Sale entry '!$AD$2:$AD$1501,'Daily Sale entry '!$X$2:$X$1501,"&lt;="&amp;$A35)+SUMPRODUCT(('Daily Sale entry '!$Q$2:$Q$1501="Collection 收款")*('Daily Sale entry '!$R$2:$R$1501="Cheque 支票")*('Daily Sale entry '!$V$2:$V$1501&lt;&gt;"")*('Daily Sale entry '!$V$2:$V$1501&lt;=$A35)*('Daily Sale entry '!$S$2:$S$1501-'Opening Balance'!$B$15*('Daily Sale entry '!$R$2:$R$1501="Cheque 支票")*('Daily Sale entry '!$S$2:$S$1501-TRUNC('Daily Sale entry '!$S$2:$S$1501))))-'Opening Balance'!$B$15*SUMPRODUCT(('Daily Sale entry '!$X$2:$X$1501&lt;=$A35)*('Daily Sale entry '!$Z$2:$Z$1501="Online collection 网上收款")*('Daily Sale entry '!$AA$2:$AA$1501&lt;&gt;"")*('Daily Sale entry '!$AC$2:$AC$1501-TRUNC('Daily Sale entry '!$AC$2:$AC$1501))),2))</f>
        <v/>
      </c>
      <c r="C35" s="8">
        <f>IF($A35="","",'Opening Balance'!$B$5+SUM('Daily Sale entry '!$I$2:I35)-SUMIFS('Daily Sale entry '!$AB$2:$AB$1501,'Daily Sale entry '!$X$2:$X$1501,"&lt;="&amp;$A35,'Daily Sale entry '!$Z$2:$Z$1501,"Cheque deposit 支票存入")-COUNTIFS('Daily Sale entry '!$Q$2:$Q$1501,"Collection 收款",'Daily Sale entry '!$R$2:$R$1501,"Cheque 支票",'Daily Sale entry '!$V$2:$V$1501,"&lt;="&amp;$A35))</f>
        <v/>
      </c>
      <c r="D35" s="6">
        <f>IF($A35="","",ROUND('Opening Balance'!$B$6+SUM('Daily Sale entry '!$J$2:J35)-SUMIFS('Daily Sale entry '!$AC$2:$AC$1501,'Daily Sale entry '!$X$2:$X$1501,"&lt;="&amp;$A35,'Daily Sale entry '!$Z$2:$Z$1501,"Cheque deposit 支票存入")-SUMPRODUCT(('Daily Sale entry '!$Q$2:$Q$1501="Collection 收款")*('Daily Sale entry '!$R$2:$R$1501="Cheque 支票")*('Daily Sale entry '!$V$2:$V$1501&lt;&gt;"")*('Daily Sale entry '!$V$2:$V$1501&lt;=$A35)*('Daily Sale entry '!$S$2:$S$1501-'Opening Balance'!$B$15*('Daily Sale entry '!$R$2:$R$1501="Cheque 支票")*('Daily Sale entry '!$S$2:$S$1501-TRUNC('Daily Sale entry '!$S$2:$S$1501)))),2))</f>
        <v/>
      </c>
      <c r="E35" s="6">
        <f>IF($A35="","",'Opening Balance'!$B$7)</f>
        <v/>
      </c>
      <c r="F35" s="6">
        <f>IF($A35="","",ROUND(SUMIFS('Daily Sale entry '!$L$2:$L$367,'Daily Sale entry '!$A$2:$A$367,"&gt;="&amp;DATE(YEAR($A35),MONTH($A35),1),'Daily Sale entry '!$A$2:$A$367,"&lt;="&amp;$A35)+SUMIFS('Daily Sale entry '!$M$2:$M$367,'Daily Sale entry '!$A$2:$A$367,"&gt;="&amp;DATE(YEAR($A35),MONTH($A35),1),'Daily Sale entry '!$A$2:$A$367,"&lt;="&amp;$A35)+IF(AND(YEAR($A35)=YEAR('Daily Sale entry '!$A$2),MONTH($A35)=MONTH('Daily Sale entry '!$A$2)),'Opening Balance'!$B$8,0),2))</f>
        <v/>
      </c>
      <c r="G35" s="6">
        <f>IF($A35="","",MOD(ROUND('Opening Balance'!$B$9+SUMIFS('Sales &amp; Collection'!$L$1:$L$465,'Sales &amp; Collection'!$K$1:$K$465,"cash collection*"),2),'Opening Balance'!$B$11))</f>
        <v/>
      </c>
      <c r="H35" s="6">
        <f>IF($A35="","",ROUND('Opening Balance'!$B$10+'Opening Balance'!$B$9+SUMIFS('Sales &amp; Collection'!$L$1:$L$465,'Sales &amp; Collection'!$K$1:$K$465,"cash collection*")-G35-SUMIFS('Daily Sale entry '!$AC$2:$AC$1501,'Daily Sale entry '!$X$2:$X$1501,"&lt;="&amp;$A35,'Daily Sale entry '!$Z$2:$Z$1501,"Cash deposit 现金存入"),2))</f>
        <v/>
      </c>
      <c r="I35" s="6">
        <f>IF($A35="","",ROUND(B35+D35+E35+F35+G35+H35,2))</f>
        <v/>
      </c>
      <c r="J35" s="6">
        <f>IF($A35="","",'AR &amp; AP'!K36)</f>
        <v/>
      </c>
      <c r="K35" s="6">
        <f>IF($A35="","",ROUND(I35-J35-SUMIFS('Daily Sale entry '!$AC$2:$AC$1501,'Daily Sale entry '!$X$2:$X$1501,"&lt;="&amp;$A35,'Daily Sale entry '!$Z$2:$Z$1501,"Other deposit 其他存入")+SUMIFS('Daily Sale entry '!$AD$2:$AD$1501,'Daily Sale entry '!$X$2:$X$1501,"&lt;="&amp;$A35)+('Opening Balance'!$B$8+SUM('Daily Sale entry '!$L$2:M35)-F35),2))</f>
        <v/>
      </c>
      <c r="L35">
        <f>IF($A35="","",IF(ABS('Sales &amp; Collection'!$B$474)&gt;'Opening Balance'!$B$16,"ALERT 警报: Different "&amp;TEXT('Sales &amp; Collection'!$B$474,"#,##0.00")&amp;" 差额过大",""))</f>
        <v/>
      </c>
    </row>
    <row r="36">
      <c r="A36" s="5">
        <f>IF('Daily Sale entry '!A36="","",'Daily Sale entry '!A36)</f>
        <v/>
      </c>
      <c r="B36" s="6">
        <f>IF($A36="","",ROUND('Opening Balance'!$B$4+SUM('Daily Sale entry '!$K$2:K36)+SUMIFS('Daily Sale entry '!$AC$2:$AC$1501,'Daily Sale entry '!$X$2:$X$1501,"&lt;="&amp;$A36)-SUMIFS('Daily Sale entry '!$AD$2:$AD$1501,'Daily Sale entry '!$X$2:$X$1501,"&lt;="&amp;$A36)+SUMPRODUCT(('Daily Sale entry '!$Q$2:$Q$1501="Collection 收款")*('Daily Sale entry '!$R$2:$R$1501="Cheque 支票")*('Daily Sale entry '!$V$2:$V$1501&lt;&gt;"")*('Daily Sale entry '!$V$2:$V$1501&lt;=$A36)*('Daily Sale entry '!$S$2:$S$1501-'Opening Balance'!$B$15*('Daily Sale entry '!$R$2:$R$1501="Cheque 支票")*('Daily Sale entry '!$S$2:$S$1501-TRUNC('Daily Sale entry '!$S$2:$S$1501))))-'Opening Balance'!$B$15*SUMPRODUCT(('Daily Sale entry '!$X$2:$X$1501&lt;=$A36)*('Daily Sale entry '!$Z$2:$Z$1501="Online collection 网上收款")*('Daily Sale entry '!$AA$2:$AA$1501&lt;&gt;"")*('Daily Sale entry '!$AC$2:$AC$1501-TRUNC('Daily Sale entry '!$AC$2:$AC$1501))),2))</f>
        <v/>
      </c>
      <c r="C36" s="8">
        <f>IF($A36="","",'Opening Balance'!$B$5+SUM('Daily Sale entry '!$I$2:I36)-SUMIFS('Daily Sale entry '!$AB$2:$AB$1501,'Daily Sale entry '!$X$2:$X$1501,"&lt;="&amp;$A36,'Daily Sale entry '!$Z$2:$Z$1501,"Cheque deposit 支票存入")-COUNTIFS('Daily Sale entry '!$Q$2:$Q$1501,"Collection 收款",'Daily Sale entry '!$R$2:$R$1501,"Cheque 支票",'Daily Sale entry '!$V$2:$V$1501,"&lt;="&amp;$A36))</f>
        <v/>
      </c>
      <c r="D36" s="6">
        <f>IF($A36="","",ROUND('Opening Balance'!$B$6+SUM('Daily Sale entry '!$J$2:J36)-SUMIFS('Daily Sale entry '!$AC$2:$AC$1501,'Daily Sale entry '!$X$2:$X$1501,"&lt;="&amp;$A36,'Daily Sale entry '!$Z$2:$Z$1501,"Cheque deposit 支票存入")-SUMPRODUCT(('Daily Sale entry '!$Q$2:$Q$1501="Collection 收款")*('Daily Sale entry '!$R$2:$R$1501="Cheque 支票")*('Daily Sale entry '!$V$2:$V$1501&lt;&gt;"")*('Daily Sale entry '!$V$2:$V$1501&lt;=$A36)*('Daily Sale entry '!$S$2:$S$1501-'Opening Balance'!$B$15*('Daily Sale entry '!$R$2:$R$1501="Cheque 支票")*('Daily Sale entry '!$S$2:$S$1501-TRUNC('Daily Sale entry '!$S$2:$S$1501)))),2))</f>
        <v/>
      </c>
      <c r="E36" s="6">
        <f>IF($A36="","",'Opening Balance'!$B$7)</f>
        <v/>
      </c>
      <c r="F36" s="6">
        <f>IF($A36="","",ROUND(SUMIFS('Daily Sale entry '!$L$2:$L$367,'Daily Sale entry '!$A$2:$A$367,"&gt;="&amp;DATE(YEAR($A36),MONTH($A36),1),'Daily Sale entry '!$A$2:$A$367,"&lt;="&amp;$A36)+SUMIFS('Daily Sale entry '!$M$2:$M$367,'Daily Sale entry '!$A$2:$A$367,"&gt;="&amp;DATE(YEAR($A36),MONTH($A36),1),'Daily Sale entry '!$A$2:$A$367,"&lt;="&amp;$A36)+IF(AND(YEAR($A36)=YEAR('Daily Sale entry '!$A$2),MONTH($A36)=MONTH('Daily Sale entry '!$A$2)),'Opening Balance'!$B$8,0),2))</f>
        <v/>
      </c>
      <c r="G36" s="6">
        <f>IF($A36="","",MOD(ROUND('Opening Balance'!$B$9+SUMIFS('Sales &amp; Collection'!$L$1:$L$479,'Sales &amp; Collection'!$K$1:$K$479,"cash collection*"),2),'Opening Balance'!$B$11))</f>
        <v/>
      </c>
      <c r="H36" s="6">
        <f>IF($A36="","",ROUND('Opening Balance'!$B$10+'Opening Balance'!$B$9+SUMIFS('Sales &amp; Collection'!$L$1:$L$479,'Sales &amp; Collection'!$K$1:$K$479,"cash collection*")-G36-SUMIFS('Daily Sale entry '!$AC$2:$AC$1501,'Daily Sale entry '!$X$2:$X$1501,"&lt;="&amp;$A36,'Daily Sale entry '!$Z$2:$Z$1501,"Cash deposit 现金存入"),2))</f>
        <v/>
      </c>
      <c r="I36" s="6">
        <f>IF($A36="","",ROUND(B36+D36+E36+F36+G36+H36,2))</f>
        <v/>
      </c>
      <c r="J36" s="6">
        <f>IF($A36="","",'AR &amp; AP'!K37)</f>
        <v/>
      </c>
      <c r="K36" s="6">
        <f>IF($A36="","",ROUND(I36-J36-SUMIFS('Daily Sale entry '!$AC$2:$AC$1501,'Daily Sale entry '!$X$2:$X$1501,"&lt;="&amp;$A36,'Daily Sale entry '!$Z$2:$Z$1501,"Other deposit 其他存入")+SUMIFS('Daily Sale entry '!$AD$2:$AD$1501,'Daily Sale entry '!$X$2:$X$1501,"&lt;="&amp;$A36)+('Opening Balance'!$B$8+SUM('Daily Sale entry '!$L$2:M36)-F36),2))</f>
        <v/>
      </c>
      <c r="L36">
        <f>IF($A36="","",IF(ABS('Sales &amp; Collection'!$B$488)&gt;'Opening Balance'!$B$16,"ALERT 警报: Different "&amp;TEXT('Sales &amp; Collection'!$B$488,"#,##0.00")&amp;" 差额过大",""))</f>
        <v/>
      </c>
    </row>
    <row r="37">
      <c r="A37" s="5">
        <f>IF('Daily Sale entry '!A37="","",'Daily Sale entry '!A37)</f>
        <v/>
      </c>
      <c r="B37" s="6">
        <f>IF($A37="","",ROUND('Opening Balance'!$B$4+SUM('Daily Sale entry '!$K$2:K37)+SUMIFS('Daily Sale entry '!$AC$2:$AC$1501,'Daily Sale entry '!$X$2:$X$1501,"&lt;="&amp;$A37)-SUMIFS('Daily Sale entry '!$AD$2:$AD$1501,'Daily Sale entry '!$X$2:$X$1501,"&lt;="&amp;$A37)+SUMPRODUCT(('Daily Sale entry '!$Q$2:$Q$1501="Collection 收款")*('Daily Sale entry '!$R$2:$R$1501="Cheque 支票")*('Daily Sale entry '!$V$2:$V$1501&lt;&gt;"")*('Daily Sale entry '!$V$2:$V$1501&lt;=$A37)*('Daily Sale entry '!$S$2:$S$1501-'Opening Balance'!$B$15*('Daily Sale entry '!$R$2:$R$1501="Cheque 支票")*('Daily Sale entry '!$S$2:$S$1501-TRUNC('Daily Sale entry '!$S$2:$S$1501))))-'Opening Balance'!$B$15*SUMPRODUCT(('Daily Sale entry '!$X$2:$X$1501&lt;=$A37)*('Daily Sale entry '!$Z$2:$Z$1501="Online collection 网上收款")*('Daily Sale entry '!$AA$2:$AA$1501&lt;&gt;"")*('Daily Sale entry '!$AC$2:$AC$1501-TRUNC('Daily Sale entry '!$AC$2:$AC$1501))),2))</f>
        <v/>
      </c>
      <c r="C37" s="8">
        <f>IF($A37="","",'Opening Balance'!$B$5+SUM('Daily Sale entry '!$I$2:I37)-SUMIFS('Daily Sale entry '!$AB$2:$AB$1501,'Daily Sale entry '!$X$2:$X$1501,"&lt;="&amp;$A37,'Daily Sale entry '!$Z$2:$Z$1501,"Cheque deposit 支票存入")-COUNTIFS('Daily Sale entry '!$Q$2:$Q$1501,"Collection 收款",'Daily Sale entry '!$R$2:$R$1501,"Cheque 支票",'Daily Sale entry '!$V$2:$V$1501,"&lt;="&amp;$A37))</f>
        <v/>
      </c>
      <c r="D37" s="6">
        <f>IF($A37="","",ROUND('Opening Balance'!$B$6+SUM('Daily Sale entry '!$J$2:J37)-SUMIFS('Daily Sale entry '!$AC$2:$AC$1501,'Daily Sale entry '!$X$2:$X$1501,"&lt;="&amp;$A37,'Daily Sale entry '!$Z$2:$Z$1501,"Cheque deposit 支票存入")-SUMPRODUCT(('Daily Sale entry '!$Q$2:$Q$1501="Collection 收款")*('Daily Sale entry '!$R$2:$R$1501="Cheque 支票")*('Daily Sale entry '!$V$2:$V$1501&lt;&gt;"")*('Daily Sale entry '!$V$2:$V$1501&lt;=$A37)*('Daily Sale entry '!$S$2:$S$1501-'Opening Balance'!$B$15*('Daily Sale entry '!$R$2:$R$1501="Cheque 支票")*('Daily Sale entry '!$S$2:$S$1501-TRUNC('Daily Sale entry '!$S$2:$S$1501)))),2))</f>
        <v/>
      </c>
      <c r="E37" s="6">
        <f>IF($A37="","",'Opening Balance'!$B$7)</f>
        <v/>
      </c>
      <c r="F37" s="6">
        <f>IF($A37="","",ROUND(SUMIFS('Daily Sale entry '!$L$2:$L$367,'Daily Sale entry '!$A$2:$A$367,"&gt;="&amp;DATE(YEAR($A37),MONTH($A37),1),'Daily Sale entry '!$A$2:$A$367,"&lt;="&amp;$A37)+SUMIFS('Daily Sale entry '!$M$2:$M$367,'Daily Sale entry '!$A$2:$A$367,"&gt;="&amp;DATE(YEAR($A37),MONTH($A37),1),'Daily Sale entry '!$A$2:$A$367,"&lt;="&amp;$A37)+IF(AND(YEAR($A37)=YEAR('Daily Sale entry '!$A$2),MONTH($A37)=MONTH('Daily Sale entry '!$A$2)),'Opening Balance'!$B$8,0),2))</f>
        <v/>
      </c>
      <c r="G37" s="6">
        <f>IF($A37="","",MOD(ROUND('Opening Balance'!$B$9+SUMIFS('Sales &amp; Collection'!$L$1:$L$493,'Sales &amp; Collection'!$K$1:$K$493,"cash collection*"),2),'Opening Balance'!$B$11))</f>
        <v/>
      </c>
      <c r="H37" s="6">
        <f>IF($A37="","",ROUND('Opening Balance'!$B$10+'Opening Balance'!$B$9+SUMIFS('Sales &amp; Collection'!$L$1:$L$493,'Sales &amp; Collection'!$K$1:$K$493,"cash collection*")-G37-SUMIFS('Daily Sale entry '!$AC$2:$AC$1501,'Daily Sale entry '!$X$2:$X$1501,"&lt;="&amp;$A37,'Daily Sale entry '!$Z$2:$Z$1501,"Cash deposit 现金存入"),2))</f>
        <v/>
      </c>
      <c r="I37" s="6">
        <f>IF($A37="","",ROUND(B37+D37+E37+F37+G37+H37,2))</f>
        <v/>
      </c>
      <c r="J37" s="6">
        <f>IF($A37="","",'AR &amp; AP'!K38)</f>
        <v/>
      </c>
      <c r="K37" s="6">
        <f>IF($A37="","",ROUND(I37-J37-SUMIFS('Daily Sale entry '!$AC$2:$AC$1501,'Daily Sale entry '!$X$2:$X$1501,"&lt;="&amp;$A37,'Daily Sale entry '!$Z$2:$Z$1501,"Other deposit 其他存入")+SUMIFS('Daily Sale entry '!$AD$2:$AD$1501,'Daily Sale entry '!$X$2:$X$1501,"&lt;="&amp;$A37)+('Opening Balance'!$B$8+SUM('Daily Sale entry '!$L$2:M37)-F37),2))</f>
        <v/>
      </c>
      <c r="L37">
        <f>IF($A37="","",IF(ABS('Sales &amp; Collection'!$B$502)&gt;'Opening Balance'!$B$16,"ALERT 警报: Different "&amp;TEXT('Sales &amp; Collection'!$B$502,"#,##0.00")&amp;" 差额过大",""))</f>
        <v/>
      </c>
    </row>
    <row r="38">
      <c r="A38" s="5">
        <f>IF('Daily Sale entry '!A38="","",'Daily Sale entry '!A38)</f>
        <v/>
      </c>
      <c r="B38" s="6">
        <f>IF($A38="","",ROUND('Opening Balance'!$B$4+SUM('Daily Sale entry '!$K$2:K38)+SUMIFS('Daily Sale entry '!$AC$2:$AC$1501,'Daily Sale entry '!$X$2:$X$1501,"&lt;="&amp;$A38)-SUMIFS('Daily Sale entry '!$AD$2:$AD$1501,'Daily Sale entry '!$X$2:$X$1501,"&lt;="&amp;$A38)+SUMPRODUCT(('Daily Sale entry '!$Q$2:$Q$1501="Collection 收款")*('Daily Sale entry '!$R$2:$R$1501="Cheque 支票")*('Daily Sale entry '!$V$2:$V$1501&lt;&gt;"")*('Daily Sale entry '!$V$2:$V$1501&lt;=$A38)*('Daily Sale entry '!$S$2:$S$1501-'Opening Balance'!$B$15*('Daily Sale entry '!$R$2:$R$1501="Cheque 支票")*('Daily Sale entry '!$S$2:$S$1501-TRUNC('Daily Sale entry '!$S$2:$S$1501))))-'Opening Balance'!$B$15*SUMPRODUCT(('Daily Sale entry '!$X$2:$X$1501&lt;=$A38)*('Daily Sale entry '!$Z$2:$Z$1501="Online collection 网上收款")*('Daily Sale entry '!$AA$2:$AA$1501&lt;&gt;"")*('Daily Sale entry '!$AC$2:$AC$1501-TRUNC('Daily Sale entry '!$AC$2:$AC$1501))),2))</f>
        <v/>
      </c>
      <c r="C38" s="8">
        <f>IF($A38="","",'Opening Balance'!$B$5+SUM('Daily Sale entry '!$I$2:I38)-SUMIFS('Daily Sale entry '!$AB$2:$AB$1501,'Daily Sale entry '!$X$2:$X$1501,"&lt;="&amp;$A38,'Daily Sale entry '!$Z$2:$Z$1501,"Cheque deposit 支票存入")-COUNTIFS('Daily Sale entry '!$Q$2:$Q$1501,"Collection 收款",'Daily Sale entry '!$R$2:$R$1501,"Cheque 支票",'Daily Sale entry '!$V$2:$V$1501,"&lt;="&amp;$A38))</f>
        <v/>
      </c>
      <c r="D38" s="6">
        <f>IF($A38="","",ROUND('Opening Balance'!$B$6+SUM('Daily Sale entry '!$J$2:J38)-SUMIFS('Daily Sale entry '!$AC$2:$AC$1501,'Daily Sale entry '!$X$2:$X$1501,"&lt;="&amp;$A38,'Daily Sale entry '!$Z$2:$Z$1501,"Cheque deposit 支票存入")-SUMPRODUCT(('Daily Sale entry '!$Q$2:$Q$1501="Collection 收款")*('Daily Sale entry '!$R$2:$R$1501="Cheque 支票")*('Daily Sale entry '!$V$2:$V$1501&lt;&gt;"")*('Daily Sale entry '!$V$2:$V$1501&lt;=$A38)*('Daily Sale entry '!$S$2:$S$1501-'Opening Balance'!$B$15*('Daily Sale entry '!$R$2:$R$1501="Cheque 支票")*('Daily Sale entry '!$S$2:$S$1501-TRUNC('Daily Sale entry '!$S$2:$S$1501)))),2))</f>
        <v/>
      </c>
      <c r="E38" s="6">
        <f>IF($A38="","",'Opening Balance'!$B$7)</f>
        <v/>
      </c>
      <c r="F38" s="6">
        <f>IF($A38="","",ROUND(SUMIFS('Daily Sale entry '!$L$2:$L$367,'Daily Sale entry '!$A$2:$A$367,"&gt;="&amp;DATE(YEAR($A38),MONTH($A38),1),'Daily Sale entry '!$A$2:$A$367,"&lt;="&amp;$A38)+SUMIFS('Daily Sale entry '!$M$2:$M$367,'Daily Sale entry '!$A$2:$A$367,"&gt;="&amp;DATE(YEAR($A38),MONTH($A38),1),'Daily Sale entry '!$A$2:$A$367,"&lt;="&amp;$A38)+IF(AND(YEAR($A38)=YEAR('Daily Sale entry '!$A$2),MONTH($A38)=MONTH('Daily Sale entry '!$A$2)),'Opening Balance'!$B$8,0),2))</f>
        <v/>
      </c>
      <c r="G38" s="6">
        <f>IF($A38="","",MOD(ROUND('Opening Balance'!$B$9+SUMIFS('Sales &amp; Collection'!$L$1:$L$507,'Sales &amp; Collection'!$K$1:$K$507,"cash collection*"),2),'Opening Balance'!$B$11))</f>
        <v/>
      </c>
      <c r="H38" s="6">
        <f>IF($A38="","",ROUND('Opening Balance'!$B$10+'Opening Balance'!$B$9+SUMIFS('Sales &amp; Collection'!$L$1:$L$507,'Sales &amp; Collection'!$K$1:$K$507,"cash collection*")-G38-SUMIFS('Daily Sale entry '!$AC$2:$AC$1501,'Daily Sale entry '!$X$2:$X$1501,"&lt;="&amp;$A38,'Daily Sale entry '!$Z$2:$Z$1501,"Cash deposit 现金存入"),2))</f>
        <v/>
      </c>
      <c r="I38" s="6">
        <f>IF($A38="","",ROUND(B38+D38+E38+F38+G38+H38,2))</f>
        <v/>
      </c>
      <c r="J38" s="6">
        <f>IF($A38="","",'AR &amp; AP'!K39)</f>
        <v/>
      </c>
      <c r="K38" s="6">
        <f>IF($A38="","",ROUND(I38-J38-SUMIFS('Daily Sale entry '!$AC$2:$AC$1501,'Daily Sale entry '!$X$2:$X$1501,"&lt;="&amp;$A38,'Daily Sale entry '!$Z$2:$Z$1501,"Other deposit 其他存入")+SUMIFS('Daily Sale entry '!$AD$2:$AD$1501,'Daily Sale entry '!$X$2:$X$1501,"&lt;="&amp;$A38)+('Opening Balance'!$B$8+SUM('Daily Sale entry '!$L$2:M38)-F38),2))</f>
        <v/>
      </c>
      <c r="L38">
        <f>IF($A38="","",IF(ABS('Sales &amp; Collection'!$B$516)&gt;'Opening Balance'!$B$16,"ALERT 警报: Different "&amp;TEXT('Sales &amp; Collection'!$B$516,"#,##0.00")&amp;" 差额过大",""))</f>
        <v/>
      </c>
    </row>
    <row r="39">
      <c r="A39" s="5">
        <f>IF('Daily Sale entry '!A39="","",'Daily Sale entry '!A39)</f>
        <v/>
      </c>
      <c r="B39" s="6">
        <f>IF($A39="","",ROUND('Opening Balance'!$B$4+SUM('Daily Sale entry '!$K$2:K39)+SUMIFS('Daily Sale entry '!$AC$2:$AC$1501,'Daily Sale entry '!$X$2:$X$1501,"&lt;="&amp;$A39)-SUMIFS('Daily Sale entry '!$AD$2:$AD$1501,'Daily Sale entry '!$X$2:$X$1501,"&lt;="&amp;$A39)+SUMPRODUCT(('Daily Sale entry '!$Q$2:$Q$1501="Collection 收款")*('Daily Sale entry '!$R$2:$R$1501="Cheque 支票")*('Daily Sale entry '!$V$2:$V$1501&lt;&gt;"")*('Daily Sale entry '!$V$2:$V$1501&lt;=$A39)*('Daily Sale entry '!$S$2:$S$1501-'Opening Balance'!$B$15*('Daily Sale entry '!$R$2:$R$1501="Cheque 支票")*('Daily Sale entry '!$S$2:$S$1501-TRUNC('Daily Sale entry '!$S$2:$S$1501))))-'Opening Balance'!$B$15*SUMPRODUCT(('Daily Sale entry '!$X$2:$X$1501&lt;=$A39)*('Daily Sale entry '!$Z$2:$Z$1501="Online collection 网上收款")*('Daily Sale entry '!$AA$2:$AA$1501&lt;&gt;"")*('Daily Sale entry '!$AC$2:$AC$1501-TRUNC('Daily Sale entry '!$AC$2:$AC$1501))),2))</f>
        <v/>
      </c>
      <c r="C39" s="8">
        <f>IF($A39="","",'Opening Balance'!$B$5+SUM('Daily Sale entry '!$I$2:I39)-SUMIFS('Daily Sale entry '!$AB$2:$AB$1501,'Daily Sale entry '!$X$2:$X$1501,"&lt;="&amp;$A39,'Daily Sale entry '!$Z$2:$Z$1501,"Cheque deposit 支票存入")-COUNTIFS('Daily Sale entry '!$Q$2:$Q$1501,"Collection 收款",'Daily Sale entry '!$R$2:$R$1501,"Cheque 支票",'Daily Sale entry '!$V$2:$V$1501,"&lt;="&amp;$A39))</f>
        <v/>
      </c>
      <c r="D39" s="6">
        <f>IF($A39="","",ROUND('Opening Balance'!$B$6+SUM('Daily Sale entry '!$J$2:J39)-SUMIFS('Daily Sale entry '!$AC$2:$AC$1501,'Daily Sale entry '!$X$2:$X$1501,"&lt;="&amp;$A39,'Daily Sale entry '!$Z$2:$Z$1501,"Cheque deposit 支票存入")-SUMPRODUCT(('Daily Sale entry '!$Q$2:$Q$1501="Collection 收款")*('Daily Sale entry '!$R$2:$R$1501="Cheque 支票")*('Daily Sale entry '!$V$2:$V$1501&lt;&gt;"")*('Daily Sale entry '!$V$2:$V$1501&lt;=$A39)*('Daily Sale entry '!$S$2:$S$1501-'Opening Balance'!$B$15*('Daily Sale entry '!$R$2:$R$1501="Cheque 支票")*('Daily Sale entry '!$S$2:$S$1501-TRUNC('Daily Sale entry '!$S$2:$S$1501)))),2))</f>
        <v/>
      </c>
      <c r="E39" s="6">
        <f>IF($A39="","",'Opening Balance'!$B$7)</f>
        <v/>
      </c>
      <c r="F39" s="6">
        <f>IF($A39="","",ROUND(SUMIFS('Daily Sale entry '!$L$2:$L$367,'Daily Sale entry '!$A$2:$A$367,"&gt;="&amp;DATE(YEAR($A39),MONTH($A39),1),'Daily Sale entry '!$A$2:$A$367,"&lt;="&amp;$A39)+SUMIFS('Daily Sale entry '!$M$2:$M$367,'Daily Sale entry '!$A$2:$A$367,"&gt;="&amp;DATE(YEAR($A39),MONTH($A39),1),'Daily Sale entry '!$A$2:$A$367,"&lt;="&amp;$A39)+IF(AND(YEAR($A39)=YEAR('Daily Sale entry '!$A$2),MONTH($A39)=MONTH('Daily Sale entry '!$A$2)),'Opening Balance'!$B$8,0),2))</f>
        <v/>
      </c>
      <c r="G39" s="6">
        <f>IF($A39="","",MOD(ROUND('Opening Balance'!$B$9+SUMIFS('Sales &amp; Collection'!$L$1:$L$521,'Sales &amp; Collection'!$K$1:$K$521,"cash collection*"),2),'Opening Balance'!$B$11))</f>
        <v/>
      </c>
      <c r="H39" s="6">
        <f>IF($A39="","",ROUND('Opening Balance'!$B$10+'Opening Balance'!$B$9+SUMIFS('Sales &amp; Collection'!$L$1:$L$521,'Sales &amp; Collection'!$K$1:$K$521,"cash collection*")-G39-SUMIFS('Daily Sale entry '!$AC$2:$AC$1501,'Daily Sale entry '!$X$2:$X$1501,"&lt;="&amp;$A39,'Daily Sale entry '!$Z$2:$Z$1501,"Cash deposit 现金存入"),2))</f>
        <v/>
      </c>
      <c r="I39" s="6">
        <f>IF($A39="","",ROUND(B39+D39+E39+F39+G39+H39,2))</f>
        <v/>
      </c>
      <c r="J39" s="6">
        <f>IF($A39="","",'AR &amp; AP'!K40)</f>
        <v/>
      </c>
      <c r="K39" s="6">
        <f>IF($A39="","",ROUND(I39-J39-SUMIFS('Daily Sale entry '!$AC$2:$AC$1501,'Daily Sale entry '!$X$2:$X$1501,"&lt;="&amp;$A39,'Daily Sale entry '!$Z$2:$Z$1501,"Other deposit 其他存入")+SUMIFS('Daily Sale entry '!$AD$2:$AD$1501,'Daily Sale entry '!$X$2:$X$1501,"&lt;="&amp;$A39)+('Opening Balance'!$B$8+SUM('Daily Sale entry '!$L$2:M39)-F39),2))</f>
        <v/>
      </c>
      <c r="L39">
        <f>IF($A39="","",IF(ABS('Sales &amp; Collection'!$B$530)&gt;'Opening Balance'!$B$16,"ALERT 警报: Different "&amp;TEXT('Sales &amp; Collection'!$B$530,"#,##0.00")&amp;" 差额过大",""))</f>
        <v/>
      </c>
    </row>
    <row r="40">
      <c r="A40" s="5">
        <f>IF('Daily Sale entry '!A40="","",'Daily Sale entry '!A40)</f>
        <v/>
      </c>
      <c r="B40" s="6">
        <f>IF($A40="","",ROUND('Opening Balance'!$B$4+SUM('Daily Sale entry '!$K$2:K40)+SUMIFS('Daily Sale entry '!$AC$2:$AC$1501,'Daily Sale entry '!$X$2:$X$1501,"&lt;="&amp;$A40)-SUMIFS('Daily Sale entry '!$AD$2:$AD$1501,'Daily Sale entry '!$X$2:$X$1501,"&lt;="&amp;$A40)+SUMPRODUCT(('Daily Sale entry '!$Q$2:$Q$1501="Collection 收款")*('Daily Sale entry '!$R$2:$R$1501="Cheque 支票")*('Daily Sale entry '!$V$2:$V$1501&lt;&gt;"")*('Daily Sale entry '!$V$2:$V$1501&lt;=$A40)*('Daily Sale entry '!$S$2:$S$1501-'Opening Balance'!$B$15*('Daily Sale entry '!$R$2:$R$1501="Cheque 支票")*('Daily Sale entry '!$S$2:$S$1501-TRUNC('Daily Sale entry '!$S$2:$S$1501))))-'Opening Balance'!$B$15*SUMPRODUCT(('Daily Sale entry '!$X$2:$X$1501&lt;=$A40)*('Daily Sale entry '!$Z$2:$Z$1501="Online collection 网上收款")*('Daily Sale entry '!$AA$2:$AA$1501&lt;&gt;"")*('Daily Sale entry '!$AC$2:$AC$1501-TRUNC('Daily Sale entry '!$AC$2:$AC$1501))),2))</f>
        <v/>
      </c>
      <c r="C40" s="8">
        <f>IF($A40="","",'Opening Balance'!$B$5+SUM('Daily Sale entry '!$I$2:I40)-SUMIFS('Daily Sale entry '!$AB$2:$AB$1501,'Daily Sale entry '!$X$2:$X$1501,"&lt;="&amp;$A40,'Daily Sale entry '!$Z$2:$Z$1501,"Cheque deposit 支票存入")-COUNTIFS('Daily Sale entry '!$Q$2:$Q$1501,"Collection 收款",'Daily Sale entry '!$R$2:$R$1501,"Cheque 支票",'Daily Sale entry '!$V$2:$V$1501,"&lt;="&amp;$A40))</f>
        <v/>
      </c>
      <c r="D40" s="6">
        <f>IF($A40="","",ROUND('Opening Balance'!$B$6+SUM('Daily Sale entry '!$J$2:J40)-SUMIFS('Daily Sale entry '!$AC$2:$AC$1501,'Daily Sale entry '!$X$2:$X$1501,"&lt;="&amp;$A40,'Daily Sale entry '!$Z$2:$Z$1501,"Cheque deposit 支票存入")-SUMPRODUCT(('Daily Sale entry '!$Q$2:$Q$1501="Collection 收款")*('Daily Sale entry '!$R$2:$R$1501="Cheque 支票")*('Daily Sale entry '!$V$2:$V$1501&lt;&gt;"")*('Daily Sale entry '!$V$2:$V$1501&lt;=$A40)*('Daily Sale entry '!$S$2:$S$1501-'Opening Balance'!$B$15*('Daily Sale entry '!$R$2:$R$1501="Cheque 支票")*('Daily Sale entry '!$S$2:$S$1501-TRUNC('Daily Sale entry '!$S$2:$S$1501)))),2))</f>
        <v/>
      </c>
      <c r="E40" s="6">
        <f>IF($A40="","",'Opening Balance'!$B$7)</f>
        <v/>
      </c>
      <c r="F40" s="6">
        <f>IF($A40="","",ROUND(SUMIFS('Daily Sale entry '!$L$2:$L$367,'Daily Sale entry '!$A$2:$A$367,"&gt;="&amp;DATE(YEAR($A40),MONTH($A40),1),'Daily Sale entry '!$A$2:$A$367,"&lt;="&amp;$A40)+SUMIFS('Daily Sale entry '!$M$2:$M$367,'Daily Sale entry '!$A$2:$A$367,"&gt;="&amp;DATE(YEAR($A40),MONTH($A40),1),'Daily Sale entry '!$A$2:$A$367,"&lt;="&amp;$A40)+IF(AND(YEAR($A40)=YEAR('Daily Sale entry '!$A$2),MONTH($A40)=MONTH('Daily Sale entry '!$A$2)),'Opening Balance'!$B$8,0),2))</f>
        <v/>
      </c>
      <c r="G40" s="6">
        <f>IF($A40="","",MOD(ROUND('Opening Balance'!$B$9+SUMIFS('Sales &amp; Collection'!$L$1:$L$535,'Sales &amp; Collection'!$K$1:$K$535,"cash collection*"),2),'Opening Balance'!$B$11))</f>
        <v/>
      </c>
      <c r="H40" s="6">
        <f>IF($A40="","",ROUND('Opening Balance'!$B$10+'Opening Balance'!$B$9+SUMIFS('Sales &amp; Collection'!$L$1:$L$535,'Sales &amp; Collection'!$K$1:$K$535,"cash collection*")-G40-SUMIFS('Daily Sale entry '!$AC$2:$AC$1501,'Daily Sale entry '!$X$2:$X$1501,"&lt;="&amp;$A40,'Daily Sale entry '!$Z$2:$Z$1501,"Cash deposit 现金存入"),2))</f>
        <v/>
      </c>
      <c r="I40" s="6">
        <f>IF($A40="","",ROUND(B40+D40+E40+F40+G40+H40,2))</f>
        <v/>
      </c>
      <c r="J40" s="6">
        <f>IF($A40="","",'AR &amp; AP'!K41)</f>
        <v/>
      </c>
      <c r="K40" s="6">
        <f>IF($A40="","",ROUND(I40-J40-SUMIFS('Daily Sale entry '!$AC$2:$AC$1501,'Daily Sale entry '!$X$2:$X$1501,"&lt;="&amp;$A40,'Daily Sale entry '!$Z$2:$Z$1501,"Other deposit 其他存入")+SUMIFS('Daily Sale entry '!$AD$2:$AD$1501,'Daily Sale entry '!$X$2:$X$1501,"&lt;="&amp;$A40)+('Opening Balance'!$B$8+SUM('Daily Sale entry '!$L$2:M40)-F40),2))</f>
        <v/>
      </c>
      <c r="L40">
        <f>IF($A40="","",IF(ABS('Sales &amp; Collection'!$B$544)&gt;'Opening Balance'!$B$16,"ALERT 警报: Different "&amp;TEXT('Sales &amp; Collection'!$B$544,"#,##0.00")&amp;" 差额过大",""))</f>
        <v/>
      </c>
    </row>
    <row r="41">
      <c r="A41" s="5">
        <f>IF('Daily Sale entry '!A41="","",'Daily Sale entry '!A41)</f>
        <v/>
      </c>
      <c r="B41" s="6">
        <f>IF($A41="","",ROUND('Opening Balance'!$B$4+SUM('Daily Sale entry '!$K$2:K41)+SUMIFS('Daily Sale entry '!$AC$2:$AC$1501,'Daily Sale entry '!$X$2:$X$1501,"&lt;="&amp;$A41)-SUMIFS('Daily Sale entry '!$AD$2:$AD$1501,'Daily Sale entry '!$X$2:$X$1501,"&lt;="&amp;$A41)+SUMPRODUCT(('Daily Sale entry '!$Q$2:$Q$1501="Collection 收款")*('Daily Sale entry '!$R$2:$R$1501="Cheque 支票")*('Daily Sale entry '!$V$2:$V$1501&lt;&gt;"")*('Daily Sale entry '!$V$2:$V$1501&lt;=$A41)*('Daily Sale entry '!$S$2:$S$1501-'Opening Balance'!$B$15*('Daily Sale entry '!$R$2:$R$1501="Cheque 支票")*('Daily Sale entry '!$S$2:$S$1501-TRUNC('Daily Sale entry '!$S$2:$S$1501))))-'Opening Balance'!$B$15*SUMPRODUCT(('Daily Sale entry '!$X$2:$X$1501&lt;=$A41)*('Daily Sale entry '!$Z$2:$Z$1501="Online collection 网上收款")*('Daily Sale entry '!$AA$2:$AA$1501&lt;&gt;"")*('Daily Sale entry '!$AC$2:$AC$1501-TRUNC('Daily Sale entry '!$AC$2:$AC$1501))),2))</f>
        <v/>
      </c>
      <c r="C41" s="8">
        <f>IF($A41="","",'Opening Balance'!$B$5+SUM('Daily Sale entry '!$I$2:I41)-SUMIFS('Daily Sale entry '!$AB$2:$AB$1501,'Daily Sale entry '!$X$2:$X$1501,"&lt;="&amp;$A41,'Daily Sale entry '!$Z$2:$Z$1501,"Cheque deposit 支票存入")-COUNTIFS('Daily Sale entry '!$Q$2:$Q$1501,"Collection 收款",'Daily Sale entry '!$R$2:$R$1501,"Cheque 支票",'Daily Sale entry '!$V$2:$V$1501,"&lt;="&amp;$A41))</f>
        <v/>
      </c>
      <c r="D41" s="6">
        <f>IF($A41="","",ROUND('Opening Balance'!$B$6+SUM('Daily Sale entry '!$J$2:J41)-SUMIFS('Daily Sale entry '!$AC$2:$AC$1501,'Daily Sale entry '!$X$2:$X$1501,"&lt;="&amp;$A41,'Daily Sale entry '!$Z$2:$Z$1501,"Cheque deposit 支票存入")-SUMPRODUCT(('Daily Sale entry '!$Q$2:$Q$1501="Collection 收款")*('Daily Sale entry '!$R$2:$R$1501="Cheque 支票")*('Daily Sale entry '!$V$2:$V$1501&lt;&gt;"")*('Daily Sale entry '!$V$2:$V$1501&lt;=$A41)*('Daily Sale entry '!$S$2:$S$1501-'Opening Balance'!$B$15*('Daily Sale entry '!$R$2:$R$1501="Cheque 支票")*('Daily Sale entry '!$S$2:$S$1501-TRUNC('Daily Sale entry '!$S$2:$S$1501)))),2))</f>
        <v/>
      </c>
      <c r="E41" s="6">
        <f>IF($A41="","",'Opening Balance'!$B$7)</f>
        <v/>
      </c>
      <c r="F41" s="6">
        <f>IF($A41="","",ROUND(SUMIFS('Daily Sale entry '!$L$2:$L$367,'Daily Sale entry '!$A$2:$A$367,"&gt;="&amp;DATE(YEAR($A41),MONTH($A41),1),'Daily Sale entry '!$A$2:$A$367,"&lt;="&amp;$A41)+SUMIFS('Daily Sale entry '!$M$2:$M$367,'Daily Sale entry '!$A$2:$A$367,"&gt;="&amp;DATE(YEAR($A41),MONTH($A41),1),'Daily Sale entry '!$A$2:$A$367,"&lt;="&amp;$A41)+IF(AND(YEAR($A41)=YEAR('Daily Sale entry '!$A$2),MONTH($A41)=MONTH('Daily Sale entry '!$A$2)),'Opening Balance'!$B$8,0),2))</f>
        <v/>
      </c>
      <c r="G41" s="6">
        <f>IF($A41="","",MOD(ROUND('Opening Balance'!$B$9+SUMIFS('Sales &amp; Collection'!$L$1:$L$549,'Sales &amp; Collection'!$K$1:$K$549,"cash collection*"),2),'Opening Balance'!$B$11))</f>
        <v/>
      </c>
      <c r="H41" s="6">
        <f>IF($A41="","",ROUND('Opening Balance'!$B$10+'Opening Balance'!$B$9+SUMIFS('Sales &amp; Collection'!$L$1:$L$549,'Sales &amp; Collection'!$K$1:$K$549,"cash collection*")-G41-SUMIFS('Daily Sale entry '!$AC$2:$AC$1501,'Daily Sale entry '!$X$2:$X$1501,"&lt;="&amp;$A41,'Daily Sale entry '!$Z$2:$Z$1501,"Cash deposit 现金存入"),2))</f>
        <v/>
      </c>
      <c r="I41" s="6">
        <f>IF($A41="","",ROUND(B41+D41+E41+F41+G41+H41,2))</f>
        <v/>
      </c>
      <c r="J41" s="6">
        <f>IF($A41="","",'AR &amp; AP'!K42)</f>
        <v/>
      </c>
      <c r="K41" s="6">
        <f>IF($A41="","",ROUND(I41-J41-SUMIFS('Daily Sale entry '!$AC$2:$AC$1501,'Daily Sale entry '!$X$2:$X$1501,"&lt;="&amp;$A41,'Daily Sale entry '!$Z$2:$Z$1501,"Other deposit 其他存入")+SUMIFS('Daily Sale entry '!$AD$2:$AD$1501,'Daily Sale entry '!$X$2:$X$1501,"&lt;="&amp;$A41)+('Opening Balance'!$B$8+SUM('Daily Sale entry '!$L$2:M41)-F41),2))</f>
        <v/>
      </c>
      <c r="L41">
        <f>IF($A41="","",IF(ABS('Sales &amp; Collection'!$B$558)&gt;'Opening Balance'!$B$16,"ALERT 警报: Different "&amp;TEXT('Sales &amp; Collection'!$B$558,"#,##0.00")&amp;" 差额过大",""))</f>
        <v/>
      </c>
    </row>
    <row r="42">
      <c r="A42" s="5">
        <f>IF('Daily Sale entry '!A42="","",'Daily Sale entry '!A42)</f>
        <v/>
      </c>
      <c r="B42" s="6">
        <f>IF($A42="","",ROUND('Opening Balance'!$B$4+SUM('Daily Sale entry '!$K$2:K42)+SUMIFS('Daily Sale entry '!$AC$2:$AC$1501,'Daily Sale entry '!$X$2:$X$1501,"&lt;="&amp;$A42)-SUMIFS('Daily Sale entry '!$AD$2:$AD$1501,'Daily Sale entry '!$X$2:$X$1501,"&lt;="&amp;$A42)+SUMPRODUCT(('Daily Sale entry '!$Q$2:$Q$1501="Collection 收款")*('Daily Sale entry '!$R$2:$R$1501="Cheque 支票")*('Daily Sale entry '!$V$2:$V$1501&lt;&gt;"")*('Daily Sale entry '!$V$2:$V$1501&lt;=$A42)*('Daily Sale entry '!$S$2:$S$1501-'Opening Balance'!$B$15*('Daily Sale entry '!$R$2:$R$1501="Cheque 支票")*('Daily Sale entry '!$S$2:$S$1501-TRUNC('Daily Sale entry '!$S$2:$S$1501))))-'Opening Balance'!$B$15*SUMPRODUCT(('Daily Sale entry '!$X$2:$X$1501&lt;=$A42)*('Daily Sale entry '!$Z$2:$Z$1501="Online collection 网上收款")*('Daily Sale entry '!$AA$2:$AA$1501&lt;&gt;"")*('Daily Sale entry '!$AC$2:$AC$1501-TRUNC('Daily Sale entry '!$AC$2:$AC$1501))),2))</f>
        <v/>
      </c>
      <c r="C42" s="8">
        <f>IF($A42="","",'Opening Balance'!$B$5+SUM('Daily Sale entry '!$I$2:I42)-SUMIFS('Daily Sale entry '!$AB$2:$AB$1501,'Daily Sale entry '!$X$2:$X$1501,"&lt;="&amp;$A42,'Daily Sale entry '!$Z$2:$Z$1501,"Cheque deposit 支票存入")-COUNTIFS('Daily Sale entry '!$Q$2:$Q$1501,"Collection 收款",'Daily Sale entry '!$R$2:$R$1501,"Cheque 支票",'Daily Sale entry '!$V$2:$V$1501,"&lt;="&amp;$A42))</f>
        <v/>
      </c>
      <c r="D42" s="6">
        <f>IF($A42="","",ROUND('Opening Balance'!$B$6+SUM('Daily Sale entry '!$J$2:J42)-SUMIFS('Daily Sale entry '!$AC$2:$AC$1501,'Daily Sale entry '!$X$2:$X$1501,"&lt;="&amp;$A42,'Daily Sale entry '!$Z$2:$Z$1501,"Cheque deposit 支票存入")-SUMPRODUCT(('Daily Sale entry '!$Q$2:$Q$1501="Collection 收款")*('Daily Sale entry '!$R$2:$R$1501="Cheque 支票")*('Daily Sale entry '!$V$2:$V$1501&lt;&gt;"")*('Daily Sale entry '!$V$2:$V$1501&lt;=$A42)*('Daily Sale entry '!$S$2:$S$1501-'Opening Balance'!$B$15*('Daily Sale entry '!$R$2:$R$1501="Cheque 支票")*('Daily Sale entry '!$S$2:$S$1501-TRUNC('Daily Sale entry '!$S$2:$S$1501)))),2))</f>
        <v/>
      </c>
      <c r="E42" s="6">
        <f>IF($A42="","",'Opening Balance'!$B$7)</f>
        <v/>
      </c>
      <c r="F42" s="6">
        <f>IF($A42="","",ROUND(SUMIFS('Daily Sale entry '!$L$2:$L$367,'Daily Sale entry '!$A$2:$A$367,"&gt;="&amp;DATE(YEAR($A42),MONTH($A42),1),'Daily Sale entry '!$A$2:$A$367,"&lt;="&amp;$A42)+SUMIFS('Daily Sale entry '!$M$2:$M$367,'Daily Sale entry '!$A$2:$A$367,"&gt;="&amp;DATE(YEAR($A42),MONTH($A42),1),'Daily Sale entry '!$A$2:$A$367,"&lt;="&amp;$A42)+IF(AND(YEAR($A42)=YEAR('Daily Sale entry '!$A$2),MONTH($A42)=MONTH('Daily Sale entry '!$A$2)),'Opening Balance'!$B$8,0),2))</f>
        <v/>
      </c>
      <c r="G42" s="6">
        <f>IF($A42="","",MOD(ROUND('Opening Balance'!$B$9+SUMIFS('Sales &amp; Collection'!$L$1:$L$563,'Sales &amp; Collection'!$K$1:$K$563,"cash collection*"),2),'Opening Balance'!$B$11))</f>
        <v/>
      </c>
      <c r="H42" s="6">
        <f>IF($A42="","",ROUND('Opening Balance'!$B$10+'Opening Balance'!$B$9+SUMIFS('Sales &amp; Collection'!$L$1:$L$563,'Sales &amp; Collection'!$K$1:$K$563,"cash collection*")-G42-SUMIFS('Daily Sale entry '!$AC$2:$AC$1501,'Daily Sale entry '!$X$2:$X$1501,"&lt;="&amp;$A42,'Daily Sale entry '!$Z$2:$Z$1501,"Cash deposit 现金存入"),2))</f>
        <v/>
      </c>
      <c r="I42" s="6">
        <f>IF($A42="","",ROUND(B42+D42+E42+F42+G42+H42,2))</f>
        <v/>
      </c>
      <c r="J42" s="6">
        <f>IF($A42="","",'AR &amp; AP'!K43)</f>
        <v/>
      </c>
      <c r="K42" s="6">
        <f>IF($A42="","",ROUND(I42-J42-SUMIFS('Daily Sale entry '!$AC$2:$AC$1501,'Daily Sale entry '!$X$2:$X$1501,"&lt;="&amp;$A42,'Daily Sale entry '!$Z$2:$Z$1501,"Other deposit 其他存入")+SUMIFS('Daily Sale entry '!$AD$2:$AD$1501,'Daily Sale entry '!$X$2:$X$1501,"&lt;="&amp;$A42)+('Opening Balance'!$B$8+SUM('Daily Sale entry '!$L$2:M42)-F42),2))</f>
        <v/>
      </c>
      <c r="L42">
        <f>IF($A42="","",IF(ABS('Sales &amp; Collection'!$B$572)&gt;'Opening Balance'!$B$16,"ALERT 警报: Different "&amp;TEXT('Sales &amp; Collection'!$B$572,"#,##0.00")&amp;" 差额过大",""))</f>
        <v/>
      </c>
    </row>
    <row r="43">
      <c r="A43" s="5">
        <f>IF('Daily Sale entry '!A43="","",'Daily Sale entry '!A43)</f>
        <v/>
      </c>
      <c r="B43" s="6">
        <f>IF($A43="","",ROUND('Opening Balance'!$B$4+SUM('Daily Sale entry '!$K$2:K43)+SUMIFS('Daily Sale entry '!$AC$2:$AC$1501,'Daily Sale entry '!$X$2:$X$1501,"&lt;="&amp;$A43)-SUMIFS('Daily Sale entry '!$AD$2:$AD$1501,'Daily Sale entry '!$X$2:$X$1501,"&lt;="&amp;$A43)+SUMPRODUCT(('Daily Sale entry '!$Q$2:$Q$1501="Collection 收款")*('Daily Sale entry '!$R$2:$R$1501="Cheque 支票")*('Daily Sale entry '!$V$2:$V$1501&lt;&gt;"")*('Daily Sale entry '!$V$2:$V$1501&lt;=$A43)*('Daily Sale entry '!$S$2:$S$1501-'Opening Balance'!$B$15*('Daily Sale entry '!$R$2:$R$1501="Cheque 支票")*('Daily Sale entry '!$S$2:$S$1501-TRUNC('Daily Sale entry '!$S$2:$S$1501))))-'Opening Balance'!$B$15*SUMPRODUCT(('Daily Sale entry '!$X$2:$X$1501&lt;=$A43)*('Daily Sale entry '!$Z$2:$Z$1501="Online collection 网上收款")*('Daily Sale entry '!$AA$2:$AA$1501&lt;&gt;"")*('Daily Sale entry '!$AC$2:$AC$1501-TRUNC('Daily Sale entry '!$AC$2:$AC$1501))),2))</f>
        <v/>
      </c>
      <c r="C43" s="8">
        <f>IF($A43="","",'Opening Balance'!$B$5+SUM('Daily Sale entry '!$I$2:I43)-SUMIFS('Daily Sale entry '!$AB$2:$AB$1501,'Daily Sale entry '!$X$2:$X$1501,"&lt;="&amp;$A43,'Daily Sale entry '!$Z$2:$Z$1501,"Cheque deposit 支票存入")-COUNTIFS('Daily Sale entry '!$Q$2:$Q$1501,"Collection 收款",'Daily Sale entry '!$R$2:$R$1501,"Cheque 支票",'Daily Sale entry '!$V$2:$V$1501,"&lt;="&amp;$A43))</f>
        <v/>
      </c>
      <c r="D43" s="6">
        <f>IF($A43="","",ROUND('Opening Balance'!$B$6+SUM('Daily Sale entry '!$J$2:J43)-SUMIFS('Daily Sale entry '!$AC$2:$AC$1501,'Daily Sale entry '!$X$2:$X$1501,"&lt;="&amp;$A43,'Daily Sale entry '!$Z$2:$Z$1501,"Cheque deposit 支票存入")-SUMPRODUCT(('Daily Sale entry '!$Q$2:$Q$1501="Collection 收款")*('Daily Sale entry '!$R$2:$R$1501="Cheque 支票")*('Daily Sale entry '!$V$2:$V$1501&lt;&gt;"")*('Daily Sale entry '!$V$2:$V$1501&lt;=$A43)*('Daily Sale entry '!$S$2:$S$1501-'Opening Balance'!$B$15*('Daily Sale entry '!$R$2:$R$1501="Cheque 支票")*('Daily Sale entry '!$S$2:$S$1501-TRUNC('Daily Sale entry '!$S$2:$S$1501)))),2))</f>
        <v/>
      </c>
      <c r="E43" s="6">
        <f>IF($A43="","",'Opening Balance'!$B$7)</f>
        <v/>
      </c>
      <c r="F43" s="6">
        <f>IF($A43="","",ROUND(SUMIFS('Daily Sale entry '!$L$2:$L$367,'Daily Sale entry '!$A$2:$A$367,"&gt;="&amp;DATE(YEAR($A43),MONTH($A43),1),'Daily Sale entry '!$A$2:$A$367,"&lt;="&amp;$A43)+SUMIFS('Daily Sale entry '!$M$2:$M$367,'Daily Sale entry '!$A$2:$A$367,"&gt;="&amp;DATE(YEAR($A43),MONTH($A43),1),'Daily Sale entry '!$A$2:$A$367,"&lt;="&amp;$A43)+IF(AND(YEAR($A43)=YEAR('Daily Sale entry '!$A$2),MONTH($A43)=MONTH('Daily Sale entry '!$A$2)),'Opening Balance'!$B$8,0),2))</f>
        <v/>
      </c>
      <c r="G43" s="6">
        <f>IF($A43="","",MOD(ROUND('Opening Balance'!$B$9+SUMIFS('Sales &amp; Collection'!$L$1:$L$577,'Sales &amp; Collection'!$K$1:$K$577,"cash collection*"),2),'Opening Balance'!$B$11))</f>
        <v/>
      </c>
      <c r="H43" s="6">
        <f>IF($A43="","",ROUND('Opening Balance'!$B$10+'Opening Balance'!$B$9+SUMIFS('Sales &amp; Collection'!$L$1:$L$577,'Sales &amp; Collection'!$K$1:$K$577,"cash collection*")-G43-SUMIFS('Daily Sale entry '!$AC$2:$AC$1501,'Daily Sale entry '!$X$2:$X$1501,"&lt;="&amp;$A43,'Daily Sale entry '!$Z$2:$Z$1501,"Cash deposit 现金存入"),2))</f>
        <v/>
      </c>
      <c r="I43" s="6">
        <f>IF($A43="","",ROUND(B43+D43+E43+F43+G43+H43,2))</f>
        <v/>
      </c>
      <c r="J43" s="6">
        <f>IF($A43="","",'AR &amp; AP'!K44)</f>
        <v/>
      </c>
      <c r="K43" s="6">
        <f>IF($A43="","",ROUND(I43-J43-SUMIFS('Daily Sale entry '!$AC$2:$AC$1501,'Daily Sale entry '!$X$2:$X$1501,"&lt;="&amp;$A43,'Daily Sale entry '!$Z$2:$Z$1501,"Other deposit 其他存入")+SUMIFS('Daily Sale entry '!$AD$2:$AD$1501,'Daily Sale entry '!$X$2:$X$1501,"&lt;="&amp;$A43)+('Opening Balance'!$B$8+SUM('Daily Sale entry '!$L$2:M43)-F43),2))</f>
        <v/>
      </c>
      <c r="L43">
        <f>IF($A43="","",IF(ABS('Sales &amp; Collection'!$B$586)&gt;'Opening Balance'!$B$16,"ALERT 警报: Different "&amp;TEXT('Sales &amp; Collection'!$B$586,"#,##0.00")&amp;" 差额过大",""))</f>
        <v/>
      </c>
    </row>
    <row r="44">
      <c r="A44" s="5">
        <f>IF('Daily Sale entry '!A44="","",'Daily Sale entry '!A44)</f>
        <v/>
      </c>
      <c r="B44" s="6">
        <f>IF($A44="","",ROUND('Opening Balance'!$B$4+SUM('Daily Sale entry '!$K$2:K44)+SUMIFS('Daily Sale entry '!$AC$2:$AC$1501,'Daily Sale entry '!$X$2:$X$1501,"&lt;="&amp;$A44)-SUMIFS('Daily Sale entry '!$AD$2:$AD$1501,'Daily Sale entry '!$X$2:$X$1501,"&lt;="&amp;$A44)+SUMPRODUCT(('Daily Sale entry '!$Q$2:$Q$1501="Collection 收款")*('Daily Sale entry '!$R$2:$R$1501="Cheque 支票")*('Daily Sale entry '!$V$2:$V$1501&lt;&gt;"")*('Daily Sale entry '!$V$2:$V$1501&lt;=$A44)*('Daily Sale entry '!$S$2:$S$1501-'Opening Balance'!$B$15*('Daily Sale entry '!$R$2:$R$1501="Cheque 支票")*('Daily Sale entry '!$S$2:$S$1501-TRUNC('Daily Sale entry '!$S$2:$S$1501))))-'Opening Balance'!$B$15*SUMPRODUCT(('Daily Sale entry '!$X$2:$X$1501&lt;=$A44)*('Daily Sale entry '!$Z$2:$Z$1501="Online collection 网上收款")*('Daily Sale entry '!$AA$2:$AA$1501&lt;&gt;"")*('Daily Sale entry '!$AC$2:$AC$1501-TRUNC('Daily Sale entry '!$AC$2:$AC$1501))),2))</f>
        <v/>
      </c>
      <c r="C44" s="8">
        <f>IF($A44="","",'Opening Balance'!$B$5+SUM('Daily Sale entry '!$I$2:I44)-SUMIFS('Daily Sale entry '!$AB$2:$AB$1501,'Daily Sale entry '!$X$2:$X$1501,"&lt;="&amp;$A44,'Daily Sale entry '!$Z$2:$Z$1501,"Cheque deposit 支票存入")-COUNTIFS('Daily Sale entry '!$Q$2:$Q$1501,"Collection 收款",'Daily Sale entry '!$R$2:$R$1501,"Cheque 支票",'Daily Sale entry '!$V$2:$V$1501,"&lt;="&amp;$A44))</f>
        <v/>
      </c>
      <c r="D44" s="6">
        <f>IF($A44="","",ROUND('Opening Balance'!$B$6+SUM('Daily Sale entry '!$J$2:J44)-SUMIFS('Daily Sale entry '!$AC$2:$AC$1501,'Daily Sale entry '!$X$2:$X$1501,"&lt;="&amp;$A44,'Daily Sale entry '!$Z$2:$Z$1501,"Cheque deposit 支票存入")-SUMPRODUCT(('Daily Sale entry '!$Q$2:$Q$1501="Collection 收款")*('Daily Sale entry '!$R$2:$R$1501="Cheque 支票")*('Daily Sale entry '!$V$2:$V$1501&lt;&gt;"")*('Daily Sale entry '!$V$2:$V$1501&lt;=$A44)*('Daily Sale entry '!$S$2:$S$1501-'Opening Balance'!$B$15*('Daily Sale entry '!$R$2:$R$1501="Cheque 支票")*('Daily Sale entry '!$S$2:$S$1501-TRUNC('Daily Sale entry '!$S$2:$S$1501)))),2))</f>
        <v/>
      </c>
      <c r="E44" s="6">
        <f>IF($A44="","",'Opening Balance'!$B$7)</f>
        <v/>
      </c>
      <c r="F44" s="6">
        <f>IF($A44="","",ROUND(SUMIFS('Daily Sale entry '!$L$2:$L$367,'Daily Sale entry '!$A$2:$A$367,"&gt;="&amp;DATE(YEAR($A44),MONTH($A44),1),'Daily Sale entry '!$A$2:$A$367,"&lt;="&amp;$A44)+SUMIFS('Daily Sale entry '!$M$2:$M$367,'Daily Sale entry '!$A$2:$A$367,"&gt;="&amp;DATE(YEAR($A44),MONTH($A44),1),'Daily Sale entry '!$A$2:$A$367,"&lt;="&amp;$A44)+IF(AND(YEAR($A44)=YEAR('Daily Sale entry '!$A$2),MONTH($A44)=MONTH('Daily Sale entry '!$A$2)),'Opening Balance'!$B$8,0),2))</f>
        <v/>
      </c>
      <c r="G44" s="6">
        <f>IF($A44="","",MOD(ROUND('Opening Balance'!$B$9+SUMIFS('Sales &amp; Collection'!$L$1:$L$591,'Sales &amp; Collection'!$K$1:$K$591,"cash collection*"),2),'Opening Balance'!$B$11))</f>
        <v/>
      </c>
      <c r="H44" s="6">
        <f>IF($A44="","",ROUND('Opening Balance'!$B$10+'Opening Balance'!$B$9+SUMIFS('Sales &amp; Collection'!$L$1:$L$591,'Sales &amp; Collection'!$K$1:$K$591,"cash collection*")-G44-SUMIFS('Daily Sale entry '!$AC$2:$AC$1501,'Daily Sale entry '!$X$2:$X$1501,"&lt;="&amp;$A44,'Daily Sale entry '!$Z$2:$Z$1501,"Cash deposit 现金存入"),2))</f>
        <v/>
      </c>
      <c r="I44" s="6">
        <f>IF($A44="","",ROUND(B44+D44+E44+F44+G44+H44,2))</f>
        <v/>
      </c>
      <c r="J44" s="6">
        <f>IF($A44="","",'AR &amp; AP'!K45)</f>
        <v/>
      </c>
      <c r="K44" s="6">
        <f>IF($A44="","",ROUND(I44-J44-SUMIFS('Daily Sale entry '!$AC$2:$AC$1501,'Daily Sale entry '!$X$2:$X$1501,"&lt;="&amp;$A44,'Daily Sale entry '!$Z$2:$Z$1501,"Other deposit 其他存入")+SUMIFS('Daily Sale entry '!$AD$2:$AD$1501,'Daily Sale entry '!$X$2:$X$1501,"&lt;="&amp;$A44)+('Opening Balance'!$B$8+SUM('Daily Sale entry '!$L$2:M44)-F44),2))</f>
        <v/>
      </c>
      <c r="L44">
        <f>IF($A44="","",IF(ABS('Sales &amp; Collection'!$B$600)&gt;'Opening Balance'!$B$16,"ALERT 警报: Different "&amp;TEXT('Sales &amp; Collection'!$B$600,"#,##0.00")&amp;" 差额过大",""))</f>
        <v/>
      </c>
    </row>
    <row r="45">
      <c r="A45" s="5">
        <f>IF('Daily Sale entry '!A45="","",'Daily Sale entry '!A45)</f>
        <v/>
      </c>
      <c r="B45" s="6">
        <f>IF($A45="","",ROUND('Opening Balance'!$B$4+SUM('Daily Sale entry '!$K$2:K45)+SUMIFS('Daily Sale entry '!$AC$2:$AC$1501,'Daily Sale entry '!$X$2:$X$1501,"&lt;="&amp;$A45)-SUMIFS('Daily Sale entry '!$AD$2:$AD$1501,'Daily Sale entry '!$X$2:$X$1501,"&lt;="&amp;$A45)+SUMPRODUCT(('Daily Sale entry '!$Q$2:$Q$1501="Collection 收款")*('Daily Sale entry '!$R$2:$R$1501="Cheque 支票")*('Daily Sale entry '!$V$2:$V$1501&lt;&gt;"")*('Daily Sale entry '!$V$2:$V$1501&lt;=$A45)*('Daily Sale entry '!$S$2:$S$1501-'Opening Balance'!$B$15*('Daily Sale entry '!$R$2:$R$1501="Cheque 支票")*('Daily Sale entry '!$S$2:$S$1501-TRUNC('Daily Sale entry '!$S$2:$S$1501))))-'Opening Balance'!$B$15*SUMPRODUCT(('Daily Sale entry '!$X$2:$X$1501&lt;=$A45)*('Daily Sale entry '!$Z$2:$Z$1501="Online collection 网上收款")*('Daily Sale entry '!$AA$2:$AA$1501&lt;&gt;"")*('Daily Sale entry '!$AC$2:$AC$1501-TRUNC('Daily Sale entry '!$AC$2:$AC$1501))),2))</f>
        <v/>
      </c>
      <c r="C45" s="8">
        <f>IF($A45="","",'Opening Balance'!$B$5+SUM('Daily Sale entry '!$I$2:I45)-SUMIFS('Daily Sale entry '!$AB$2:$AB$1501,'Daily Sale entry '!$X$2:$X$1501,"&lt;="&amp;$A45,'Daily Sale entry '!$Z$2:$Z$1501,"Cheque deposit 支票存入")-COUNTIFS('Daily Sale entry '!$Q$2:$Q$1501,"Collection 收款",'Daily Sale entry '!$R$2:$R$1501,"Cheque 支票",'Daily Sale entry '!$V$2:$V$1501,"&lt;="&amp;$A45))</f>
        <v/>
      </c>
      <c r="D45" s="6">
        <f>IF($A45="","",ROUND('Opening Balance'!$B$6+SUM('Daily Sale entry '!$J$2:J45)-SUMIFS('Daily Sale entry '!$AC$2:$AC$1501,'Daily Sale entry '!$X$2:$X$1501,"&lt;="&amp;$A45,'Daily Sale entry '!$Z$2:$Z$1501,"Cheque deposit 支票存入")-SUMPRODUCT(('Daily Sale entry '!$Q$2:$Q$1501="Collection 收款")*('Daily Sale entry '!$R$2:$R$1501="Cheque 支票")*('Daily Sale entry '!$V$2:$V$1501&lt;&gt;"")*('Daily Sale entry '!$V$2:$V$1501&lt;=$A45)*('Daily Sale entry '!$S$2:$S$1501-'Opening Balance'!$B$15*('Daily Sale entry '!$R$2:$R$1501="Cheque 支票")*('Daily Sale entry '!$S$2:$S$1501-TRUNC('Daily Sale entry '!$S$2:$S$1501)))),2))</f>
        <v/>
      </c>
      <c r="E45" s="6">
        <f>IF($A45="","",'Opening Balance'!$B$7)</f>
        <v/>
      </c>
      <c r="F45" s="6">
        <f>IF($A45="","",ROUND(SUMIFS('Daily Sale entry '!$L$2:$L$367,'Daily Sale entry '!$A$2:$A$367,"&gt;="&amp;DATE(YEAR($A45),MONTH($A45),1),'Daily Sale entry '!$A$2:$A$367,"&lt;="&amp;$A45)+SUMIFS('Daily Sale entry '!$M$2:$M$367,'Daily Sale entry '!$A$2:$A$367,"&gt;="&amp;DATE(YEAR($A45),MONTH($A45),1),'Daily Sale entry '!$A$2:$A$367,"&lt;="&amp;$A45)+IF(AND(YEAR($A45)=YEAR('Daily Sale entry '!$A$2),MONTH($A45)=MONTH('Daily Sale entry '!$A$2)),'Opening Balance'!$B$8,0),2))</f>
        <v/>
      </c>
      <c r="G45" s="6">
        <f>IF($A45="","",MOD(ROUND('Opening Balance'!$B$9+SUMIFS('Sales &amp; Collection'!$L$1:$L$605,'Sales &amp; Collection'!$K$1:$K$605,"cash collection*"),2),'Opening Balance'!$B$11))</f>
        <v/>
      </c>
      <c r="H45" s="6">
        <f>IF($A45="","",ROUND('Opening Balance'!$B$10+'Opening Balance'!$B$9+SUMIFS('Sales &amp; Collection'!$L$1:$L$605,'Sales &amp; Collection'!$K$1:$K$605,"cash collection*")-G45-SUMIFS('Daily Sale entry '!$AC$2:$AC$1501,'Daily Sale entry '!$X$2:$X$1501,"&lt;="&amp;$A45,'Daily Sale entry '!$Z$2:$Z$1501,"Cash deposit 现金存入"),2))</f>
        <v/>
      </c>
      <c r="I45" s="6">
        <f>IF($A45="","",ROUND(B45+D45+E45+F45+G45+H45,2))</f>
        <v/>
      </c>
      <c r="J45" s="6">
        <f>IF($A45="","",'AR &amp; AP'!K46)</f>
        <v/>
      </c>
      <c r="K45" s="6">
        <f>IF($A45="","",ROUND(I45-J45-SUMIFS('Daily Sale entry '!$AC$2:$AC$1501,'Daily Sale entry '!$X$2:$X$1501,"&lt;="&amp;$A45,'Daily Sale entry '!$Z$2:$Z$1501,"Other deposit 其他存入")+SUMIFS('Daily Sale entry '!$AD$2:$AD$1501,'Daily Sale entry '!$X$2:$X$1501,"&lt;="&amp;$A45)+('Opening Balance'!$B$8+SUM('Daily Sale entry '!$L$2:M45)-F45),2))</f>
        <v/>
      </c>
      <c r="L45">
        <f>IF($A45="","",IF(ABS('Sales &amp; Collection'!$B$614)&gt;'Opening Balance'!$B$16,"ALERT 警报: Different "&amp;TEXT('Sales &amp; Collection'!$B$614,"#,##0.00")&amp;" 差额过大",""))</f>
        <v/>
      </c>
    </row>
    <row r="46">
      <c r="A46" s="5">
        <f>IF('Daily Sale entry '!A46="","",'Daily Sale entry '!A46)</f>
        <v/>
      </c>
      <c r="B46" s="6">
        <f>IF($A46="","",ROUND('Opening Balance'!$B$4+SUM('Daily Sale entry '!$K$2:K46)+SUMIFS('Daily Sale entry '!$AC$2:$AC$1501,'Daily Sale entry '!$X$2:$X$1501,"&lt;="&amp;$A46)-SUMIFS('Daily Sale entry '!$AD$2:$AD$1501,'Daily Sale entry '!$X$2:$X$1501,"&lt;="&amp;$A46)+SUMPRODUCT(('Daily Sale entry '!$Q$2:$Q$1501="Collection 收款")*('Daily Sale entry '!$R$2:$R$1501="Cheque 支票")*('Daily Sale entry '!$V$2:$V$1501&lt;&gt;"")*('Daily Sale entry '!$V$2:$V$1501&lt;=$A46)*('Daily Sale entry '!$S$2:$S$1501-'Opening Balance'!$B$15*('Daily Sale entry '!$R$2:$R$1501="Cheque 支票")*('Daily Sale entry '!$S$2:$S$1501-TRUNC('Daily Sale entry '!$S$2:$S$1501))))-'Opening Balance'!$B$15*SUMPRODUCT(('Daily Sale entry '!$X$2:$X$1501&lt;=$A46)*('Daily Sale entry '!$Z$2:$Z$1501="Online collection 网上收款")*('Daily Sale entry '!$AA$2:$AA$1501&lt;&gt;"")*('Daily Sale entry '!$AC$2:$AC$1501-TRUNC('Daily Sale entry '!$AC$2:$AC$1501))),2))</f>
        <v/>
      </c>
      <c r="C46" s="8">
        <f>IF($A46="","",'Opening Balance'!$B$5+SUM('Daily Sale entry '!$I$2:I46)-SUMIFS('Daily Sale entry '!$AB$2:$AB$1501,'Daily Sale entry '!$X$2:$X$1501,"&lt;="&amp;$A46,'Daily Sale entry '!$Z$2:$Z$1501,"Cheque deposit 支票存入")-COUNTIFS('Daily Sale entry '!$Q$2:$Q$1501,"Collection 收款",'Daily Sale entry '!$R$2:$R$1501,"Cheque 支票",'Daily Sale entry '!$V$2:$V$1501,"&lt;="&amp;$A46))</f>
        <v/>
      </c>
      <c r="D46" s="6">
        <f>IF($A46="","",ROUND('Opening Balance'!$B$6+SUM('Daily Sale entry '!$J$2:J46)-SUMIFS('Daily Sale entry '!$AC$2:$AC$1501,'Daily Sale entry '!$X$2:$X$1501,"&lt;="&amp;$A46,'Daily Sale entry '!$Z$2:$Z$1501,"Cheque deposit 支票存入")-SUMPRODUCT(('Daily Sale entry '!$Q$2:$Q$1501="Collection 收款")*('Daily Sale entry '!$R$2:$R$1501="Cheque 支票")*('Daily Sale entry '!$V$2:$V$1501&lt;&gt;"")*('Daily Sale entry '!$V$2:$V$1501&lt;=$A46)*('Daily Sale entry '!$S$2:$S$1501-'Opening Balance'!$B$15*('Daily Sale entry '!$R$2:$R$1501="Cheque 支票")*('Daily Sale entry '!$S$2:$S$1501-TRUNC('Daily Sale entry '!$S$2:$S$1501)))),2))</f>
        <v/>
      </c>
      <c r="E46" s="6">
        <f>IF($A46="","",'Opening Balance'!$B$7)</f>
        <v/>
      </c>
      <c r="F46" s="6">
        <f>IF($A46="","",ROUND(SUMIFS('Daily Sale entry '!$L$2:$L$367,'Daily Sale entry '!$A$2:$A$367,"&gt;="&amp;DATE(YEAR($A46),MONTH($A46),1),'Daily Sale entry '!$A$2:$A$367,"&lt;="&amp;$A46)+SUMIFS('Daily Sale entry '!$M$2:$M$367,'Daily Sale entry '!$A$2:$A$367,"&gt;="&amp;DATE(YEAR($A46),MONTH($A46),1),'Daily Sale entry '!$A$2:$A$367,"&lt;="&amp;$A46)+IF(AND(YEAR($A46)=YEAR('Daily Sale entry '!$A$2),MONTH($A46)=MONTH('Daily Sale entry '!$A$2)),'Opening Balance'!$B$8,0),2))</f>
        <v/>
      </c>
      <c r="G46" s="6">
        <f>IF($A46="","",MOD(ROUND('Opening Balance'!$B$9+SUMIFS('Sales &amp; Collection'!$L$1:$L$619,'Sales &amp; Collection'!$K$1:$K$619,"cash collection*"),2),'Opening Balance'!$B$11))</f>
        <v/>
      </c>
      <c r="H46" s="6">
        <f>IF($A46="","",ROUND('Opening Balance'!$B$10+'Opening Balance'!$B$9+SUMIFS('Sales &amp; Collection'!$L$1:$L$619,'Sales &amp; Collection'!$K$1:$K$619,"cash collection*")-G46-SUMIFS('Daily Sale entry '!$AC$2:$AC$1501,'Daily Sale entry '!$X$2:$X$1501,"&lt;="&amp;$A46,'Daily Sale entry '!$Z$2:$Z$1501,"Cash deposit 现金存入"),2))</f>
        <v/>
      </c>
      <c r="I46" s="6">
        <f>IF($A46="","",ROUND(B46+D46+E46+F46+G46+H46,2))</f>
        <v/>
      </c>
      <c r="J46" s="6">
        <f>IF($A46="","",'AR &amp; AP'!K47)</f>
        <v/>
      </c>
      <c r="K46" s="6">
        <f>IF($A46="","",ROUND(I46-J46-SUMIFS('Daily Sale entry '!$AC$2:$AC$1501,'Daily Sale entry '!$X$2:$X$1501,"&lt;="&amp;$A46,'Daily Sale entry '!$Z$2:$Z$1501,"Other deposit 其他存入")+SUMIFS('Daily Sale entry '!$AD$2:$AD$1501,'Daily Sale entry '!$X$2:$X$1501,"&lt;="&amp;$A46)+('Opening Balance'!$B$8+SUM('Daily Sale entry '!$L$2:M46)-F46),2))</f>
        <v/>
      </c>
      <c r="L46">
        <f>IF($A46="","",IF(ABS('Sales &amp; Collection'!$B$628)&gt;'Opening Balance'!$B$16,"ALERT 警报: Different "&amp;TEXT('Sales &amp; Collection'!$B$628,"#,##0.00")&amp;" 差额过大",""))</f>
        <v/>
      </c>
    </row>
    <row r="47">
      <c r="A47" s="5">
        <f>IF('Daily Sale entry '!A47="","",'Daily Sale entry '!A47)</f>
        <v/>
      </c>
      <c r="B47" s="6">
        <f>IF($A47="","",ROUND('Opening Balance'!$B$4+SUM('Daily Sale entry '!$K$2:K47)+SUMIFS('Daily Sale entry '!$AC$2:$AC$1501,'Daily Sale entry '!$X$2:$X$1501,"&lt;="&amp;$A47)-SUMIFS('Daily Sale entry '!$AD$2:$AD$1501,'Daily Sale entry '!$X$2:$X$1501,"&lt;="&amp;$A47)+SUMPRODUCT(('Daily Sale entry '!$Q$2:$Q$1501="Collection 收款")*('Daily Sale entry '!$R$2:$R$1501="Cheque 支票")*('Daily Sale entry '!$V$2:$V$1501&lt;&gt;"")*('Daily Sale entry '!$V$2:$V$1501&lt;=$A47)*('Daily Sale entry '!$S$2:$S$1501-'Opening Balance'!$B$15*('Daily Sale entry '!$R$2:$R$1501="Cheque 支票")*('Daily Sale entry '!$S$2:$S$1501-TRUNC('Daily Sale entry '!$S$2:$S$1501))))-'Opening Balance'!$B$15*SUMPRODUCT(('Daily Sale entry '!$X$2:$X$1501&lt;=$A47)*('Daily Sale entry '!$Z$2:$Z$1501="Online collection 网上收款")*('Daily Sale entry '!$AA$2:$AA$1501&lt;&gt;"")*('Daily Sale entry '!$AC$2:$AC$1501-TRUNC('Daily Sale entry '!$AC$2:$AC$1501))),2))</f>
        <v/>
      </c>
      <c r="C47" s="8">
        <f>IF($A47="","",'Opening Balance'!$B$5+SUM('Daily Sale entry '!$I$2:I47)-SUMIFS('Daily Sale entry '!$AB$2:$AB$1501,'Daily Sale entry '!$X$2:$X$1501,"&lt;="&amp;$A47,'Daily Sale entry '!$Z$2:$Z$1501,"Cheque deposit 支票存入")-COUNTIFS('Daily Sale entry '!$Q$2:$Q$1501,"Collection 收款",'Daily Sale entry '!$R$2:$R$1501,"Cheque 支票",'Daily Sale entry '!$V$2:$V$1501,"&lt;="&amp;$A47))</f>
        <v/>
      </c>
      <c r="D47" s="6">
        <f>IF($A47="","",ROUND('Opening Balance'!$B$6+SUM('Daily Sale entry '!$J$2:J47)-SUMIFS('Daily Sale entry '!$AC$2:$AC$1501,'Daily Sale entry '!$X$2:$X$1501,"&lt;="&amp;$A47,'Daily Sale entry '!$Z$2:$Z$1501,"Cheque deposit 支票存入")-SUMPRODUCT(('Daily Sale entry '!$Q$2:$Q$1501="Collection 收款")*('Daily Sale entry '!$R$2:$R$1501="Cheque 支票")*('Daily Sale entry '!$V$2:$V$1501&lt;&gt;"")*('Daily Sale entry '!$V$2:$V$1501&lt;=$A47)*('Daily Sale entry '!$S$2:$S$1501-'Opening Balance'!$B$15*('Daily Sale entry '!$R$2:$R$1501="Cheque 支票")*('Daily Sale entry '!$S$2:$S$1501-TRUNC('Daily Sale entry '!$S$2:$S$1501)))),2))</f>
        <v/>
      </c>
      <c r="E47" s="6">
        <f>IF($A47="","",'Opening Balance'!$B$7)</f>
        <v/>
      </c>
      <c r="F47" s="6">
        <f>IF($A47="","",ROUND(SUMIFS('Daily Sale entry '!$L$2:$L$367,'Daily Sale entry '!$A$2:$A$367,"&gt;="&amp;DATE(YEAR($A47),MONTH($A47),1),'Daily Sale entry '!$A$2:$A$367,"&lt;="&amp;$A47)+SUMIFS('Daily Sale entry '!$M$2:$M$367,'Daily Sale entry '!$A$2:$A$367,"&gt;="&amp;DATE(YEAR($A47),MONTH($A47),1),'Daily Sale entry '!$A$2:$A$367,"&lt;="&amp;$A47)+IF(AND(YEAR($A47)=YEAR('Daily Sale entry '!$A$2),MONTH($A47)=MONTH('Daily Sale entry '!$A$2)),'Opening Balance'!$B$8,0),2))</f>
        <v/>
      </c>
      <c r="G47" s="6">
        <f>IF($A47="","",MOD(ROUND('Opening Balance'!$B$9+SUMIFS('Sales &amp; Collection'!$L$1:$L$633,'Sales &amp; Collection'!$K$1:$K$633,"cash collection*"),2),'Opening Balance'!$B$11))</f>
        <v/>
      </c>
      <c r="H47" s="6">
        <f>IF($A47="","",ROUND('Opening Balance'!$B$10+'Opening Balance'!$B$9+SUMIFS('Sales &amp; Collection'!$L$1:$L$633,'Sales &amp; Collection'!$K$1:$K$633,"cash collection*")-G47-SUMIFS('Daily Sale entry '!$AC$2:$AC$1501,'Daily Sale entry '!$X$2:$X$1501,"&lt;="&amp;$A47,'Daily Sale entry '!$Z$2:$Z$1501,"Cash deposit 现金存入"),2))</f>
        <v/>
      </c>
      <c r="I47" s="6">
        <f>IF($A47="","",ROUND(B47+D47+E47+F47+G47+H47,2))</f>
        <v/>
      </c>
      <c r="J47" s="6">
        <f>IF($A47="","",'AR &amp; AP'!K48)</f>
        <v/>
      </c>
      <c r="K47" s="6">
        <f>IF($A47="","",ROUND(I47-J47-SUMIFS('Daily Sale entry '!$AC$2:$AC$1501,'Daily Sale entry '!$X$2:$X$1501,"&lt;="&amp;$A47,'Daily Sale entry '!$Z$2:$Z$1501,"Other deposit 其他存入")+SUMIFS('Daily Sale entry '!$AD$2:$AD$1501,'Daily Sale entry '!$X$2:$X$1501,"&lt;="&amp;$A47)+('Opening Balance'!$B$8+SUM('Daily Sale entry '!$L$2:M47)-F47),2))</f>
        <v/>
      </c>
      <c r="L47">
        <f>IF($A47="","",IF(ABS('Sales &amp; Collection'!$B$642)&gt;'Opening Balance'!$B$16,"ALERT 警报: Different "&amp;TEXT('Sales &amp; Collection'!$B$642,"#,##0.00")&amp;" 差额过大",""))</f>
        <v/>
      </c>
    </row>
    <row r="48">
      <c r="A48" s="5">
        <f>IF('Daily Sale entry '!A48="","",'Daily Sale entry '!A48)</f>
        <v/>
      </c>
      <c r="B48" s="6">
        <f>IF($A48="","",ROUND('Opening Balance'!$B$4+SUM('Daily Sale entry '!$K$2:K48)+SUMIFS('Daily Sale entry '!$AC$2:$AC$1501,'Daily Sale entry '!$X$2:$X$1501,"&lt;="&amp;$A48)-SUMIFS('Daily Sale entry '!$AD$2:$AD$1501,'Daily Sale entry '!$X$2:$X$1501,"&lt;="&amp;$A48)+SUMPRODUCT(('Daily Sale entry '!$Q$2:$Q$1501="Collection 收款")*('Daily Sale entry '!$R$2:$R$1501="Cheque 支票")*('Daily Sale entry '!$V$2:$V$1501&lt;&gt;"")*('Daily Sale entry '!$V$2:$V$1501&lt;=$A48)*('Daily Sale entry '!$S$2:$S$1501-'Opening Balance'!$B$15*('Daily Sale entry '!$R$2:$R$1501="Cheque 支票")*('Daily Sale entry '!$S$2:$S$1501-TRUNC('Daily Sale entry '!$S$2:$S$1501))))-'Opening Balance'!$B$15*SUMPRODUCT(('Daily Sale entry '!$X$2:$X$1501&lt;=$A48)*('Daily Sale entry '!$Z$2:$Z$1501="Online collection 网上收款")*('Daily Sale entry '!$AA$2:$AA$1501&lt;&gt;"")*('Daily Sale entry '!$AC$2:$AC$1501-TRUNC('Daily Sale entry '!$AC$2:$AC$1501))),2))</f>
        <v/>
      </c>
      <c r="C48" s="8">
        <f>IF($A48="","",'Opening Balance'!$B$5+SUM('Daily Sale entry '!$I$2:I48)-SUMIFS('Daily Sale entry '!$AB$2:$AB$1501,'Daily Sale entry '!$X$2:$X$1501,"&lt;="&amp;$A48,'Daily Sale entry '!$Z$2:$Z$1501,"Cheque deposit 支票存入")-COUNTIFS('Daily Sale entry '!$Q$2:$Q$1501,"Collection 收款",'Daily Sale entry '!$R$2:$R$1501,"Cheque 支票",'Daily Sale entry '!$V$2:$V$1501,"&lt;="&amp;$A48))</f>
        <v/>
      </c>
      <c r="D48" s="6">
        <f>IF($A48="","",ROUND('Opening Balance'!$B$6+SUM('Daily Sale entry '!$J$2:J48)-SUMIFS('Daily Sale entry '!$AC$2:$AC$1501,'Daily Sale entry '!$X$2:$X$1501,"&lt;="&amp;$A48,'Daily Sale entry '!$Z$2:$Z$1501,"Cheque deposit 支票存入")-SUMPRODUCT(('Daily Sale entry '!$Q$2:$Q$1501="Collection 收款")*('Daily Sale entry '!$R$2:$R$1501="Cheque 支票")*('Daily Sale entry '!$V$2:$V$1501&lt;&gt;"")*('Daily Sale entry '!$V$2:$V$1501&lt;=$A48)*('Daily Sale entry '!$S$2:$S$1501-'Opening Balance'!$B$15*('Daily Sale entry '!$R$2:$R$1501="Cheque 支票")*('Daily Sale entry '!$S$2:$S$1501-TRUNC('Daily Sale entry '!$S$2:$S$1501)))),2))</f>
        <v/>
      </c>
      <c r="E48" s="6">
        <f>IF($A48="","",'Opening Balance'!$B$7)</f>
        <v/>
      </c>
      <c r="F48" s="6">
        <f>IF($A48="","",ROUND(SUMIFS('Daily Sale entry '!$L$2:$L$367,'Daily Sale entry '!$A$2:$A$367,"&gt;="&amp;DATE(YEAR($A48),MONTH($A48),1),'Daily Sale entry '!$A$2:$A$367,"&lt;="&amp;$A48)+SUMIFS('Daily Sale entry '!$M$2:$M$367,'Daily Sale entry '!$A$2:$A$367,"&gt;="&amp;DATE(YEAR($A48),MONTH($A48),1),'Daily Sale entry '!$A$2:$A$367,"&lt;="&amp;$A48)+IF(AND(YEAR($A48)=YEAR('Daily Sale entry '!$A$2),MONTH($A48)=MONTH('Daily Sale entry '!$A$2)),'Opening Balance'!$B$8,0),2))</f>
        <v/>
      </c>
      <c r="G48" s="6">
        <f>IF($A48="","",MOD(ROUND('Opening Balance'!$B$9+SUMIFS('Sales &amp; Collection'!$L$1:$L$647,'Sales &amp; Collection'!$K$1:$K$647,"cash collection*"),2),'Opening Balance'!$B$11))</f>
        <v/>
      </c>
      <c r="H48" s="6">
        <f>IF($A48="","",ROUND('Opening Balance'!$B$10+'Opening Balance'!$B$9+SUMIFS('Sales &amp; Collection'!$L$1:$L$647,'Sales &amp; Collection'!$K$1:$K$647,"cash collection*")-G48-SUMIFS('Daily Sale entry '!$AC$2:$AC$1501,'Daily Sale entry '!$X$2:$X$1501,"&lt;="&amp;$A48,'Daily Sale entry '!$Z$2:$Z$1501,"Cash deposit 现金存入"),2))</f>
        <v/>
      </c>
      <c r="I48" s="6">
        <f>IF($A48="","",ROUND(B48+D48+E48+F48+G48+H48,2))</f>
        <v/>
      </c>
      <c r="J48" s="6">
        <f>IF($A48="","",'AR &amp; AP'!K49)</f>
        <v/>
      </c>
      <c r="K48" s="6">
        <f>IF($A48="","",ROUND(I48-J48-SUMIFS('Daily Sale entry '!$AC$2:$AC$1501,'Daily Sale entry '!$X$2:$X$1501,"&lt;="&amp;$A48,'Daily Sale entry '!$Z$2:$Z$1501,"Other deposit 其他存入")+SUMIFS('Daily Sale entry '!$AD$2:$AD$1501,'Daily Sale entry '!$X$2:$X$1501,"&lt;="&amp;$A48)+('Opening Balance'!$B$8+SUM('Daily Sale entry '!$L$2:M48)-F48),2))</f>
        <v/>
      </c>
      <c r="L48">
        <f>IF($A48="","",IF(ABS('Sales &amp; Collection'!$B$656)&gt;'Opening Balance'!$B$16,"ALERT 警报: Different "&amp;TEXT('Sales &amp; Collection'!$B$656,"#,##0.00")&amp;" 差额过大",""))</f>
        <v/>
      </c>
    </row>
    <row r="49">
      <c r="A49" s="5">
        <f>IF('Daily Sale entry '!A49="","",'Daily Sale entry '!A49)</f>
        <v/>
      </c>
      <c r="B49" s="6">
        <f>IF($A49="","",ROUND('Opening Balance'!$B$4+SUM('Daily Sale entry '!$K$2:K49)+SUMIFS('Daily Sale entry '!$AC$2:$AC$1501,'Daily Sale entry '!$X$2:$X$1501,"&lt;="&amp;$A49)-SUMIFS('Daily Sale entry '!$AD$2:$AD$1501,'Daily Sale entry '!$X$2:$X$1501,"&lt;="&amp;$A49)+SUMPRODUCT(('Daily Sale entry '!$Q$2:$Q$1501="Collection 收款")*('Daily Sale entry '!$R$2:$R$1501="Cheque 支票")*('Daily Sale entry '!$V$2:$V$1501&lt;&gt;"")*('Daily Sale entry '!$V$2:$V$1501&lt;=$A49)*('Daily Sale entry '!$S$2:$S$1501-'Opening Balance'!$B$15*('Daily Sale entry '!$R$2:$R$1501="Cheque 支票")*('Daily Sale entry '!$S$2:$S$1501-TRUNC('Daily Sale entry '!$S$2:$S$1501))))-'Opening Balance'!$B$15*SUMPRODUCT(('Daily Sale entry '!$X$2:$X$1501&lt;=$A49)*('Daily Sale entry '!$Z$2:$Z$1501="Online collection 网上收款")*('Daily Sale entry '!$AA$2:$AA$1501&lt;&gt;"")*('Daily Sale entry '!$AC$2:$AC$1501-TRUNC('Daily Sale entry '!$AC$2:$AC$1501))),2))</f>
        <v/>
      </c>
      <c r="C49" s="8">
        <f>IF($A49="","",'Opening Balance'!$B$5+SUM('Daily Sale entry '!$I$2:I49)-SUMIFS('Daily Sale entry '!$AB$2:$AB$1501,'Daily Sale entry '!$X$2:$X$1501,"&lt;="&amp;$A49,'Daily Sale entry '!$Z$2:$Z$1501,"Cheque deposit 支票存入")-COUNTIFS('Daily Sale entry '!$Q$2:$Q$1501,"Collection 收款",'Daily Sale entry '!$R$2:$R$1501,"Cheque 支票",'Daily Sale entry '!$V$2:$V$1501,"&lt;="&amp;$A49))</f>
        <v/>
      </c>
      <c r="D49" s="6">
        <f>IF($A49="","",ROUND('Opening Balance'!$B$6+SUM('Daily Sale entry '!$J$2:J49)-SUMIFS('Daily Sale entry '!$AC$2:$AC$1501,'Daily Sale entry '!$X$2:$X$1501,"&lt;="&amp;$A49,'Daily Sale entry '!$Z$2:$Z$1501,"Cheque deposit 支票存入")-SUMPRODUCT(('Daily Sale entry '!$Q$2:$Q$1501="Collection 收款")*('Daily Sale entry '!$R$2:$R$1501="Cheque 支票")*('Daily Sale entry '!$V$2:$V$1501&lt;&gt;"")*('Daily Sale entry '!$V$2:$V$1501&lt;=$A49)*('Daily Sale entry '!$S$2:$S$1501-'Opening Balance'!$B$15*('Daily Sale entry '!$R$2:$R$1501="Cheque 支票")*('Daily Sale entry '!$S$2:$S$1501-TRUNC('Daily Sale entry '!$S$2:$S$1501)))),2))</f>
        <v/>
      </c>
      <c r="E49" s="6">
        <f>IF($A49="","",'Opening Balance'!$B$7)</f>
        <v/>
      </c>
      <c r="F49" s="6">
        <f>IF($A49="","",ROUND(SUMIFS('Daily Sale entry '!$L$2:$L$367,'Daily Sale entry '!$A$2:$A$367,"&gt;="&amp;DATE(YEAR($A49),MONTH($A49),1),'Daily Sale entry '!$A$2:$A$367,"&lt;="&amp;$A49)+SUMIFS('Daily Sale entry '!$M$2:$M$367,'Daily Sale entry '!$A$2:$A$367,"&gt;="&amp;DATE(YEAR($A49),MONTH($A49),1),'Daily Sale entry '!$A$2:$A$367,"&lt;="&amp;$A49)+IF(AND(YEAR($A49)=YEAR('Daily Sale entry '!$A$2),MONTH($A49)=MONTH('Daily Sale entry '!$A$2)),'Opening Balance'!$B$8,0),2))</f>
        <v/>
      </c>
      <c r="G49" s="6">
        <f>IF($A49="","",MOD(ROUND('Opening Balance'!$B$9+SUMIFS('Sales &amp; Collection'!$L$1:$L$661,'Sales &amp; Collection'!$K$1:$K$661,"cash collection*"),2),'Opening Balance'!$B$11))</f>
        <v/>
      </c>
      <c r="H49" s="6">
        <f>IF($A49="","",ROUND('Opening Balance'!$B$10+'Opening Balance'!$B$9+SUMIFS('Sales &amp; Collection'!$L$1:$L$661,'Sales &amp; Collection'!$K$1:$K$661,"cash collection*")-G49-SUMIFS('Daily Sale entry '!$AC$2:$AC$1501,'Daily Sale entry '!$X$2:$X$1501,"&lt;="&amp;$A49,'Daily Sale entry '!$Z$2:$Z$1501,"Cash deposit 现金存入"),2))</f>
        <v/>
      </c>
      <c r="I49" s="6">
        <f>IF($A49="","",ROUND(B49+D49+E49+F49+G49+H49,2))</f>
        <v/>
      </c>
      <c r="J49" s="6">
        <f>IF($A49="","",'AR &amp; AP'!K50)</f>
        <v/>
      </c>
      <c r="K49" s="6">
        <f>IF($A49="","",ROUND(I49-J49-SUMIFS('Daily Sale entry '!$AC$2:$AC$1501,'Daily Sale entry '!$X$2:$X$1501,"&lt;="&amp;$A49,'Daily Sale entry '!$Z$2:$Z$1501,"Other deposit 其他存入")+SUMIFS('Daily Sale entry '!$AD$2:$AD$1501,'Daily Sale entry '!$X$2:$X$1501,"&lt;="&amp;$A49)+('Opening Balance'!$B$8+SUM('Daily Sale entry '!$L$2:M49)-F49),2))</f>
        <v/>
      </c>
      <c r="L49">
        <f>IF($A49="","",IF(ABS('Sales &amp; Collection'!$B$670)&gt;'Opening Balance'!$B$16,"ALERT 警报: Different "&amp;TEXT('Sales &amp; Collection'!$B$670,"#,##0.00")&amp;" 差额过大",""))</f>
        <v/>
      </c>
    </row>
    <row r="50">
      <c r="A50" s="5">
        <f>IF('Daily Sale entry '!A50="","",'Daily Sale entry '!A50)</f>
        <v/>
      </c>
      <c r="B50" s="6">
        <f>IF($A50="","",ROUND('Opening Balance'!$B$4+SUM('Daily Sale entry '!$K$2:K50)+SUMIFS('Daily Sale entry '!$AC$2:$AC$1501,'Daily Sale entry '!$X$2:$X$1501,"&lt;="&amp;$A50)-SUMIFS('Daily Sale entry '!$AD$2:$AD$1501,'Daily Sale entry '!$X$2:$X$1501,"&lt;="&amp;$A50)+SUMPRODUCT(('Daily Sale entry '!$Q$2:$Q$1501="Collection 收款")*('Daily Sale entry '!$R$2:$R$1501="Cheque 支票")*('Daily Sale entry '!$V$2:$V$1501&lt;&gt;"")*('Daily Sale entry '!$V$2:$V$1501&lt;=$A50)*('Daily Sale entry '!$S$2:$S$1501-'Opening Balance'!$B$15*('Daily Sale entry '!$R$2:$R$1501="Cheque 支票")*('Daily Sale entry '!$S$2:$S$1501-TRUNC('Daily Sale entry '!$S$2:$S$1501))))-'Opening Balance'!$B$15*SUMPRODUCT(('Daily Sale entry '!$X$2:$X$1501&lt;=$A50)*('Daily Sale entry '!$Z$2:$Z$1501="Online collection 网上收款")*('Daily Sale entry '!$AA$2:$AA$1501&lt;&gt;"")*('Daily Sale entry '!$AC$2:$AC$1501-TRUNC('Daily Sale entry '!$AC$2:$AC$1501))),2))</f>
        <v/>
      </c>
      <c r="C50" s="8">
        <f>IF($A50="","",'Opening Balance'!$B$5+SUM('Daily Sale entry '!$I$2:I50)-SUMIFS('Daily Sale entry '!$AB$2:$AB$1501,'Daily Sale entry '!$X$2:$X$1501,"&lt;="&amp;$A50,'Daily Sale entry '!$Z$2:$Z$1501,"Cheque deposit 支票存入")-COUNTIFS('Daily Sale entry '!$Q$2:$Q$1501,"Collection 收款",'Daily Sale entry '!$R$2:$R$1501,"Cheque 支票",'Daily Sale entry '!$V$2:$V$1501,"&lt;="&amp;$A50))</f>
        <v/>
      </c>
      <c r="D50" s="6">
        <f>IF($A50="","",ROUND('Opening Balance'!$B$6+SUM('Daily Sale entry '!$J$2:J50)-SUMIFS('Daily Sale entry '!$AC$2:$AC$1501,'Daily Sale entry '!$X$2:$X$1501,"&lt;="&amp;$A50,'Daily Sale entry '!$Z$2:$Z$1501,"Cheque deposit 支票存入")-SUMPRODUCT(('Daily Sale entry '!$Q$2:$Q$1501="Collection 收款")*('Daily Sale entry '!$R$2:$R$1501="Cheque 支票")*('Daily Sale entry '!$V$2:$V$1501&lt;&gt;"")*('Daily Sale entry '!$V$2:$V$1501&lt;=$A50)*('Daily Sale entry '!$S$2:$S$1501-'Opening Balance'!$B$15*('Daily Sale entry '!$R$2:$R$1501="Cheque 支票")*('Daily Sale entry '!$S$2:$S$1501-TRUNC('Daily Sale entry '!$S$2:$S$1501)))),2))</f>
        <v/>
      </c>
      <c r="E50" s="6">
        <f>IF($A50="","",'Opening Balance'!$B$7)</f>
        <v/>
      </c>
      <c r="F50" s="6">
        <f>IF($A50="","",ROUND(SUMIFS('Daily Sale entry '!$L$2:$L$367,'Daily Sale entry '!$A$2:$A$367,"&gt;="&amp;DATE(YEAR($A50),MONTH($A50),1),'Daily Sale entry '!$A$2:$A$367,"&lt;="&amp;$A50)+SUMIFS('Daily Sale entry '!$M$2:$M$367,'Daily Sale entry '!$A$2:$A$367,"&gt;="&amp;DATE(YEAR($A50),MONTH($A50),1),'Daily Sale entry '!$A$2:$A$367,"&lt;="&amp;$A50)+IF(AND(YEAR($A50)=YEAR('Daily Sale entry '!$A$2),MONTH($A50)=MONTH('Daily Sale entry '!$A$2)),'Opening Balance'!$B$8,0),2))</f>
        <v/>
      </c>
      <c r="G50" s="6">
        <f>IF($A50="","",MOD(ROUND('Opening Balance'!$B$9+SUMIFS('Sales &amp; Collection'!$L$1:$L$675,'Sales &amp; Collection'!$K$1:$K$675,"cash collection*"),2),'Opening Balance'!$B$11))</f>
        <v/>
      </c>
      <c r="H50" s="6">
        <f>IF($A50="","",ROUND('Opening Balance'!$B$10+'Opening Balance'!$B$9+SUMIFS('Sales &amp; Collection'!$L$1:$L$675,'Sales &amp; Collection'!$K$1:$K$675,"cash collection*")-G50-SUMIFS('Daily Sale entry '!$AC$2:$AC$1501,'Daily Sale entry '!$X$2:$X$1501,"&lt;="&amp;$A50,'Daily Sale entry '!$Z$2:$Z$1501,"Cash deposit 现金存入"),2))</f>
        <v/>
      </c>
      <c r="I50" s="6">
        <f>IF($A50="","",ROUND(B50+D50+E50+F50+G50+H50,2))</f>
        <v/>
      </c>
      <c r="J50" s="6">
        <f>IF($A50="","",'AR &amp; AP'!K51)</f>
        <v/>
      </c>
      <c r="K50" s="6">
        <f>IF($A50="","",ROUND(I50-J50-SUMIFS('Daily Sale entry '!$AC$2:$AC$1501,'Daily Sale entry '!$X$2:$X$1501,"&lt;="&amp;$A50,'Daily Sale entry '!$Z$2:$Z$1501,"Other deposit 其他存入")+SUMIFS('Daily Sale entry '!$AD$2:$AD$1501,'Daily Sale entry '!$X$2:$X$1501,"&lt;="&amp;$A50)+('Opening Balance'!$B$8+SUM('Daily Sale entry '!$L$2:M50)-F50),2))</f>
        <v/>
      </c>
      <c r="L50">
        <f>IF($A50="","",IF(ABS('Sales &amp; Collection'!$B$684)&gt;'Opening Balance'!$B$16,"ALERT 警报: Different "&amp;TEXT('Sales &amp; Collection'!$B$684,"#,##0.00")&amp;" 差额过大",""))</f>
        <v/>
      </c>
    </row>
    <row r="51">
      <c r="A51" s="5">
        <f>IF('Daily Sale entry '!A51="","",'Daily Sale entry '!A51)</f>
        <v/>
      </c>
      <c r="B51" s="6">
        <f>IF($A51="","",ROUND('Opening Balance'!$B$4+SUM('Daily Sale entry '!$K$2:K51)+SUMIFS('Daily Sale entry '!$AC$2:$AC$1501,'Daily Sale entry '!$X$2:$X$1501,"&lt;="&amp;$A51)-SUMIFS('Daily Sale entry '!$AD$2:$AD$1501,'Daily Sale entry '!$X$2:$X$1501,"&lt;="&amp;$A51)+SUMPRODUCT(('Daily Sale entry '!$Q$2:$Q$1501="Collection 收款")*('Daily Sale entry '!$R$2:$R$1501="Cheque 支票")*('Daily Sale entry '!$V$2:$V$1501&lt;&gt;"")*('Daily Sale entry '!$V$2:$V$1501&lt;=$A51)*('Daily Sale entry '!$S$2:$S$1501-'Opening Balance'!$B$15*('Daily Sale entry '!$R$2:$R$1501="Cheque 支票")*('Daily Sale entry '!$S$2:$S$1501-TRUNC('Daily Sale entry '!$S$2:$S$1501))))-'Opening Balance'!$B$15*SUMPRODUCT(('Daily Sale entry '!$X$2:$X$1501&lt;=$A51)*('Daily Sale entry '!$Z$2:$Z$1501="Online collection 网上收款")*('Daily Sale entry '!$AA$2:$AA$1501&lt;&gt;"")*('Daily Sale entry '!$AC$2:$AC$1501-TRUNC('Daily Sale entry '!$AC$2:$AC$1501))),2))</f>
        <v/>
      </c>
      <c r="C51" s="8">
        <f>IF($A51="","",'Opening Balance'!$B$5+SUM('Daily Sale entry '!$I$2:I51)-SUMIFS('Daily Sale entry '!$AB$2:$AB$1501,'Daily Sale entry '!$X$2:$X$1501,"&lt;="&amp;$A51,'Daily Sale entry '!$Z$2:$Z$1501,"Cheque deposit 支票存入")-COUNTIFS('Daily Sale entry '!$Q$2:$Q$1501,"Collection 收款",'Daily Sale entry '!$R$2:$R$1501,"Cheque 支票",'Daily Sale entry '!$V$2:$V$1501,"&lt;="&amp;$A51))</f>
        <v/>
      </c>
      <c r="D51" s="6">
        <f>IF($A51="","",ROUND('Opening Balance'!$B$6+SUM('Daily Sale entry '!$J$2:J51)-SUMIFS('Daily Sale entry '!$AC$2:$AC$1501,'Daily Sale entry '!$X$2:$X$1501,"&lt;="&amp;$A51,'Daily Sale entry '!$Z$2:$Z$1501,"Cheque deposit 支票存入")-SUMPRODUCT(('Daily Sale entry '!$Q$2:$Q$1501="Collection 收款")*('Daily Sale entry '!$R$2:$R$1501="Cheque 支票")*('Daily Sale entry '!$V$2:$V$1501&lt;&gt;"")*('Daily Sale entry '!$V$2:$V$1501&lt;=$A51)*('Daily Sale entry '!$S$2:$S$1501-'Opening Balance'!$B$15*('Daily Sale entry '!$R$2:$R$1501="Cheque 支票")*('Daily Sale entry '!$S$2:$S$1501-TRUNC('Daily Sale entry '!$S$2:$S$1501)))),2))</f>
        <v/>
      </c>
      <c r="E51" s="6">
        <f>IF($A51="","",'Opening Balance'!$B$7)</f>
        <v/>
      </c>
      <c r="F51" s="6">
        <f>IF($A51="","",ROUND(SUMIFS('Daily Sale entry '!$L$2:$L$367,'Daily Sale entry '!$A$2:$A$367,"&gt;="&amp;DATE(YEAR($A51),MONTH($A51),1),'Daily Sale entry '!$A$2:$A$367,"&lt;="&amp;$A51)+SUMIFS('Daily Sale entry '!$M$2:$M$367,'Daily Sale entry '!$A$2:$A$367,"&gt;="&amp;DATE(YEAR($A51),MONTH($A51),1),'Daily Sale entry '!$A$2:$A$367,"&lt;="&amp;$A51)+IF(AND(YEAR($A51)=YEAR('Daily Sale entry '!$A$2),MONTH($A51)=MONTH('Daily Sale entry '!$A$2)),'Opening Balance'!$B$8,0),2))</f>
        <v/>
      </c>
      <c r="G51" s="6">
        <f>IF($A51="","",MOD(ROUND('Opening Balance'!$B$9+SUMIFS('Sales &amp; Collection'!$L$1:$L$689,'Sales &amp; Collection'!$K$1:$K$689,"cash collection*"),2),'Opening Balance'!$B$11))</f>
        <v/>
      </c>
      <c r="H51" s="6">
        <f>IF($A51="","",ROUND('Opening Balance'!$B$10+'Opening Balance'!$B$9+SUMIFS('Sales &amp; Collection'!$L$1:$L$689,'Sales &amp; Collection'!$K$1:$K$689,"cash collection*")-G51-SUMIFS('Daily Sale entry '!$AC$2:$AC$1501,'Daily Sale entry '!$X$2:$X$1501,"&lt;="&amp;$A51,'Daily Sale entry '!$Z$2:$Z$1501,"Cash deposit 现金存入"),2))</f>
        <v/>
      </c>
      <c r="I51" s="6">
        <f>IF($A51="","",ROUND(B51+D51+E51+F51+G51+H51,2))</f>
        <v/>
      </c>
      <c r="J51" s="6">
        <f>IF($A51="","",'AR &amp; AP'!K52)</f>
        <v/>
      </c>
      <c r="K51" s="6">
        <f>IF($A51="","",ROUND(I51-J51-SUMIFS('Daily Sale entry '!$AC$2:$AC$1501,'Daily Sale entry '!$X$2:$X$1501,"&lt;="&amp;$A51,'Daily Sale entry '!$Z$2:$Z$1501,"Other deposit 其他存入")+SUMIFS('Daily Sale entry '!$AD$2:$AD$1501,'Daily Sale entry '!$X$2:$X$1501,"&lt;="&amp;$A51)+('Opening Balance'!$B$8+SUM('Daily Sale entry '!$L$2:M51)-F51),2))</f>
        <v/>
      </c>
      <c r="L51">
        <f>IF($A51="","",IF(ABS('Sales &amp; Collection'!$B$698)&gt;'Opening Balance'!$B$16,"ALERT 警报: Different "&amp;TEXT('Sales &amp; Collection'!$B$698,"#,##0.00")&amp;" 差额过大",""))</f>
        <v/>
      </c>
    </row>
    <row r="52">
      <c r="A52" s="5">
        <f>IF('Daily Sale entry '!A52="","",'Daily Sale entry '!A52)</f>
        <v/>
      </c>
      <c r="B52" s="6">
        <f>IF($A52="","",ROUND('Opening Balance'!$B$4+SUM('Daily Sale entry '!$K$2:K52)+SUMIFS('Daily Sale entry '!$AC$2:$AC$1501,'Daily Sale entry '!$X$2:$X$1501,"&lt;="&amp;$A52)-SUMIFS('Daily Sale entry '!$AD$2:$AD$1501,'Daily Sale entry '!$X$2:$X$1501,"&lt;="&amp;$A52)+SUMPRODUCT(('Daily Sale entry '!$Q$2:$Q$1501="Collection 收款")*('Daily Sale entry '!$R$2:$R$1501="Cheque 支票")*('Daily Sale entry '!$V$2:$V$1501&lt;&gt;"")*('Daily Sale entry '!$V$2:$V$1501&lt;=$A52)*('Daily Sale entry '!$S$2:$S$1501-'Opening Balance'!$B$15*('Daily Sale entry '!$R$2:$R$1501="Cheque 支票")*('Daily Sale entry '!$S$2:$S$1501-TRUNC('Daily Sale entry '!$S$2:$S$1501))))-'Opening Balance'!$B$15*SUMPRODUCT(('Daily Sale entry '!$X$2:$X$1501&lt;=$A52)*('Daily Sale entry '!$Z$2:$Z$1501="Online collection 网上收款")*('Daily Sale entry '!$AA$2:$AA$1501&lt;&gt;"")*('Daily Sale entry '!$AC$2:$AC$1501-TRUNC('Daily Sale entry '!$AC$2:$AC$1501))),2))</f>
        <v/>
      </c>
      <c r="C52" s="8">
        <f>IF($A52="","",'Opening Balance'!$B$5+SUM('Daily Sale entry '!$I$2:I52)-SUMIFS('Daily Sale entry '!$AB$2:$AB$1501,'Daily Sale entry '!$X$2:$X$1501,"&lt;="&amp;$A52,'Daily Sale entry '!$Z$2:$Z$1501,"Cheque deposit 支票存入")-COUNTIFS('Daily Sale entry '!$Q$2:$Q$1501,"Collection 收款",'Daily Sale entry '!$R$2:$R$1501,"Cheque 支票",'Daily Sale entry '!$V$2:$V$1501,"&lt;="&amp;$A52))</f>
        <v/>
      </c>
      <c r="D52" s="6">
        <f>IF($A52="","",ROUND('Opening Balance'!$B$6+SUM('Daily Sale entry '!$J$2:J52)-SUMIFS('Daily Sale entry '!$AC$2:$AC$1501,'Daily Sale entry '!$X$2:$X$1501,"&lt;="&amp;$A52,'Daily Sale entry '!$Z$2:$Z$1501,"Cheque deposit 支票存入")-SUMPRODUCT(('Daily Sale entry '!$Q$2:$Q$1501="Collection 收款")*('Daily Sale entry '!$R$2:$R$1501="Cheque 支票")*('Daily Sale entry '!$V$2:$V$1501&lt;&gt;"")*('Daily Sale entry '!$V$2:$V$1501&lt;=$A52)*('Daily Sale entry '!$S$2:$S$1501-'Opening Balance'!$B$15*('Daily Sale entry '!$R$2:$R$1501="Cheque 支票")*('Daily Sale entry '!$S$2:$S$1501-TRUNC('Daily Sale entry '!$S$2:$S$1501)))),2))</f>
        <v/>
      </c>
      <c r="E52" s="6">
        <f>IF($A52="","",'Opening Balance'!$B$7)</f>
        <v/>
      </c>
      <c r="F52" s="6">
        <f>IF($A52="","",ROUND(SUMIFS('Daily Sale entry '!$L$2:$L$367,'Daily Sale entry '!$A$2:$A$367,"&gt;="&amp;DATE(YEAR($A52),MONTH($A52),1),'Daily Sale entry '!$A$2:$A$367,"&lt;="&amp;$A52)+SUMIFS('Daily Sale entry '!$M$2:$M$367,'Daily Sale entry '!$A$2:$A$367,"&gt;="&amp;DATE(YEAR($A52),MONTH($A52),1),'Daily Sale entry '!$A$2:$A$367,"&lt;="&amp;$A52)+IF(AND(YEAR($A52)=YEAR('Daily Sale entry '!$A$2),MONTH($A52)=MONTH('Daily Sale entry '!$A$2)),'Opening Balance'!$B$8,0),2))</f>
        <v/>
      </c>
      <c r="G52" s="6">
        <f>IF($A52="","",MOD(ROUND('Opening Balance'!$B$9+SUMIFS('Sales &amp; Collection'!$L$1:$L$703,'Sales &amp; Collection'!$K$1:$K$703,"cash collection*"),2),'Opening Balance'!$B$11))</f>
        <v/>
      </c>
      <c r="H52" s="6">
        <f>IF($A52="","",ROUND('Opening Balance'!$B$10+'Opening Balance'!$B$9+SUMIFS('Sales &amp; Collection'!$L$1:$L$703,'Sales &amp; Collection'!$K$1:$K$703,"cash collection*")-G52-SUMIFS('Daily Sale entry '!$AC$2:$AC$1501,'Daily Sale entry '!$X$2:$X$1501,"&lt;="&amp;$A52,'Daily Sale entry '!$Z$2:$Z$1501,"Cash deposit 现金存入"),2))</f>
        <v/>
      </c>
      <c r="I52" s="6">
        <f>IF($A52="","",ROUND(B52+D52+E52+F52+G52+H52,2))</f>
        <v/>
      </c>
      <c r="J52" s="6">
        <f>IF($A52="","",'AR &amp; AP'!K53)</f>
        <v/>
      </c>
      <c r="K52" s="6">
        <f>IF($A52="","",ROUND(I52-J52-SUMIFS('Daily Sale entry '!$AC$2:$AC$1501,'Daily Sale entry '!$X$2:$X$1501,"&lt;="&amp;$A52,'Daily Sale entry '!$Z$2:$Z$1501,"Other deposit 其他存入")+SUMIFS('Daily Sale entry '!$AD$2:$AD$1501,'Daily Sale entry '!$X$2:$X$1501,"&lt;="&amp;$A52)+('Opening Balance'!$B$8+SUM('Daily Sale entry '!$L$2:M52)-F52),2))</f>
        <v/>
      </c>
      <c r="L52">
        <f>IF($A52="","",IF(ABS('Sales &amp; Collection'!$B$712)&gt;'Opening Balance'!$B$16,"ALERT 警报: Different "&amp;TEXT('Sales &amp; Collection'!$B$712,"#,##0.00")&amp;" 差额过大",""))</f>
        <v/>
      </c>
    </row>
    <row r="53">
      <c r="A53" s="5">
        <f>IF('Daily Sale entry '!A53="","",'Daily Sale entry '!A53)</f>
        <v/>
      </c>
      <c r="B53" s="6">
        <f>IF($A53="","",ROUND('Opening Balance'!$B$4+SUM('Daily Sale entry '!$K$2:K53)+SUMIFS('Daily Sale entry '!$AC$2:$AC$1501,'Daily Sale entry '!$X$2:$X$1501,"&lt;="&amp;$A53)-SUMIFS('Daily Sale entry '!$AD$2:$AD$1501,'Daily Sale entry '!$X$2:$X$1501,"&lt;="&amp;$A53)+SUMPRODUCT(('Daily Sale entry '!$Q$2:$Q$1501="Collection 收款")*('Daily Sale entry '!$R$2:$R$1501="Cheque 支票")*('Daily Sale entry '!$V$2:$V$1501&lt;&gt;"")*('Daily Sale entry '!$V$2:$V$1501&lt;=$A53)*('Daily Sale entry '!$S$2:$S$1501-'Opening Balance'!$B$15*('Daily Sale entry '!$R$2:$R$1501="Cheque 支票")*('Daily Sale entry '!$S$2:$S$1501-TRUNC('Daily Sale entry '!$S$2:$S$1501))))-'Opening Balance'!$B$15*SUMPRODUCT(('Daily Sale entry '!$X$2:$X$1501&lt;=$A53)*('Daily Sale entry '!$Z$2:$Z$1501="Online collection 网上收款")*('Daily Sale entry '!$AA$2:$AA$1501&lt;&gt;"")*('Daily Sale entry '!$AC$2:$AC$1501-TRUNC('Daily Sale entry '!$AC$2:$AC$1501))),2))</f>
        <v/>
      </c>
      <c r="C53" s="8">
        <f>IF($A53="","",'Opening Balance'!$B$5+SUM('Daily Sale entry '!$I$2:I53)-SUMIFS('Daily Sale entry '!$AB$2:$AB$1501,'Daily Sale entry '!$X$2:$X$1501,"&lt;="&amp;$A53,'Daily Sale entry '!$Z$2:$Z$1501,"Cheque deposit 支票存入")-COUNTIFS('Daily Sale entry '!$Q$2:$Q$1501,"Collection 收款",'Daily Sale entry '!$R$2:$R$1501,"Cheque 支票",'Daily Sale entry '!$V$2:$V$1501,"&lt;="&amp;$A53))</f>
        <v/>
      </c>
      <c r="D53" s="6">
        <f>IF($A53="","",ROUND('Opening Balance'!$B$6+SUM('Daily Sale entry '!$J$2:J53)-SUMIFS('Daily Sale entry '!$AC$2:$AC$1501,'Daily Sale entry '!$X$2:$X$1501,"&lt;="&amp;$A53,'Daily Sale entry '!$Z$2:$Z$1501,"Cheque deposit 支票存入")-SUMPRODUCT(('Daily Sale entry '!$Q$2:$Q$1501="Collection 收款")*('Daily Sale entry '!$R$2:$R$1501="Cheque 支票")*('Daily Sale entry '!$V$2:$V$1501&lt;&gt;"")*('Daily Sale entry '!$V$2:$V$1501&lt;=$A53)*('Daily Sale entry '!$S$2:$S$1501-'Opening Balance'!$B$15*('Daily Sale entry '!$R$2:$R$1501="Cheque 支票")*('Daily Sale entry '!$S$2:$S$1501-TRUNC('Daily Sale entry '!$S$2:$S$1501)))),2))</f>
        <v/>
      </c>
      <c r="E53" s="6">
        <f>IF($A53="","",'Opening Balance'!$B$7)</f>
        <v/>
      </c>
      <c r="F53" s="6">
        <f>IF($A53="","",ROUND(SUMIFS('Daily Sale entry '!$L$2:$L$367,'Daily Sale entry '!$A$2:$A$367,"&gt;="&amp;DATE(YEAR($A53),MONTH($A53),1),'Daily Sale entry '!$A$2:$A$367,"&lt;="&amp;$A53)+SUMIFS('Daily Sale entry '!$M$2:$M$367,'Daily Sale entry '!$A$2:$A$367,"&gt;="&amp;DATE(YEAR($A53),MONTH($A53),1),'Daily Sale entry '!$A$2:$A$367,"&lt;="&amp;$A53)+IF(AND(YEAR($A53)=YEAR('Daily Sale entry '!$A$2),MONTH($A53)=MONTH('Daily Sale entry '!$A$2)),'Opening Balance'!$B$8,0),2))</f>
        <v/>
      </c>
      <c r="G53" s="6">
        <f>IF($A53="","",MOD(ROUND('Opening Balance'!$B$9+SUMIFS('Sales &amp; Collection'!$L$1:$L$717,'Sales &amp; Collection'!$K$1:$K$717,"cash collection*"),2),'Opening Balance'!$B$11))</f>
        <v/>
      </c>
      <c r="H53" s="6">
        <f>IF($A53="","",ROUND('Opening Balance'!$B$10+'Opening Balance'!$B$9+SUMIFS('Sales &amp; Collection'!$L$1:$L$717,'Sales &amp; Collection'!$K$1:$K$717,"cash collection*")-G53-SUMIFS('Daily Sale entry '!$AC$2:$AC$1501,'Daily Sale entry '!$X$2:$X$1501,"&lt;="&amp;$A53,'Daily Sale entry '!$Z$2:$Z$1501,"Cash deposit 现金存入"),2))</f>
        <v/>
      </c>
      <c r="I53" s="6">
        <f>IF($A53="","",ROUND(B53+D53+E53+F53+G53+H53,2))</f>
        <v/>
      </c>
      <c r="J53" s="6">
        <f>IF($A53="","",'AR &amp; AP'!K54)</f>
        <v/>
      </c>
      <c r="K53" s="6">
        <f>IF($A53="","",ROUND(I53-J53-SUMIFS('Daily Sale entry '!$AC$2:$AC$1501,'Daily Sale entry '!$X$2:$X$1501,"&lt;="&amp;$A53,'Daily Sale entry '!$Z$2:$Z$1501,"Other deposit 其他存入")+SUMIFS('Daily Sale entry '!$AD$2:$AD$1501,'Daily Sale entry '!$X$2:$X$1501,"&lt;="&amp;$A53)+('Opening Balance'!$B$8+SUM('Daily Sale entry '!$L$2:M53)-F53),2))</f>
        <v/>
      </c>
      <c r="L53">
        <f>IF($A53="","",IF(ABS('Sales &amp; Collection'!$B$726)&gt;'Opening Balance'!$B$16,"ALERT 警报: Different "&amp;TEXT('Sales &amp; Collection'!$B$726,"#,##0.00")&amp;" 差额过大",""))</f>
        <v/>
      </c>
    </row>
    <row r="54">
      <c r="A54" s="5">
        <f>IF('Daily Sale entry '!A54="","",'Daily Sale entry '!A54)</f>
        <v/>
      </c>
      <c r="B54" s="6">
        <f>IF($A54="","",ROUND('Opening Balance'!$B$4+SUM('Daily Sale entry '!$K$2:K54)+SUMIFS('Daily Sale entry '!$AC$2:$AC$1501,'Daily Sale entry '!$X$2:$X$1501,"&lt;="&amp;$A54)-SUMIFS('Daily Sale entry '!$AD$2:$AD$1501,'Daily Sale entry '!$X$2:$X$1501,"&lt;="&amp;$A54)+SUMPRODUCT(('Daily Sale entry '!$Q$2:$Q$1501="Collection 收款")*('Daily Sale entry '!$R$2:$R$1501="Cheque 支票")*('Daily Sale entry '!$V$2:$V$1501&lt;&gt;"")*('Daily Sale entry '!$V$2:$V$1501&lt;=$A54)*('Daily Sale entry '!$S$2:$S$1501-'Opening Balance'!$B$15*('Daily Sale entry '!$R$2:$R$1501="Cheque 支票")*('Daily Sale entry '!$S$2:$S$1501-TRUNC('Daily Sale entry '!$S$2:$S$1501))))-'Opening Balance'!$B$15*SUMPRODUCT(('Daily Sale entry '!$X$2:$X$1501&lt;=$A54)*('Daily Sale entry '!$Z$2:$Z$1501="Online collection 网上收款")*('Daily Sale entry '!$AA$2:$AA$1501&lt;&gt;"")*('Daily Sale entry '!$AC$2:$AC$1501-TRUNC('Daily Sale entry '!$AC$2:$AC$1501))),2))</f>
        <v/>
      </c>
      <c r="C54" s="8">
        <f>IF($A54="","",'Opening Balance'!$B$5+SUM('Daily Sale entry '!$I$2:I54)-SUMIFS('Daily Sale entry '!$AB$2:$AB$1501,'Daily Sale entry '!$X$2:$X$1501,"&lt;="&amp;$A54,'Daily Sale entry '!$Z$2:$Z$1501,"Cheque deposit 支票存入")-COUNTIFS('Daily Sale entry '!$Q$2:$Q$1501,"Collection 收款",'Daily Sale entry '!$R$2:$R$1501,"Cheque 支票",'Daily Sale entry '!$V$2:$V$1501,"&lt;="&amp;$A54))</f>
        <v/>
      </c>
      <c r="D54" s="6">
        <f>IF($A54="","",ROUND('Opening Balance'!$B$6+SUM('Daily Sale entry '!$J$2:J54)-SUMIFS('Daily Sale entry '!$AC$2:$AC$1501,'Daily Sale entry '!$X$2:$X$1501,"&lt;="&amp;$A54,'Daily Sale entry '!$Z$2:$Z$1501,"Cheque deposit 支票存入")-SUMPRODUCT(('Daily Sale entry '!$Q$2:$Q$1501="Collection 收款")*('Daily Sale entry '!$R$2:$R$1501="Cheque 支票")*('Daily Sale entry '!$V$2:$V$1501&lt;&gt;"")*('Daily Sale entry '!$V$2:$V$1501&lt;=$A54)*('Daily Sale entry '!$S$2:$S$1501-'Opening Balance'!$B$15*('Daily Sale entry '!$R$2:$R$1501="Cheque 支票")*('Daily Sale entry '!$S$2:$S$1501-TRUNC('Daily Sale entry '!$S$2:$S$1501)))),2))</f>
        <v/>
      </c>
      <c r="E54" s="6">
        <f>IF($A54="","",'Opening Balance'!$B$7)</f>
        <v/>
      </c>
      <c r="F54" s="6">
        <f>IF($A54="","",ROUND(SUMIFS('Daily Sale entry '!$L$2:$L$367,'Daily Sale entry '!$A$2:$A$367,"&gt;="&amp;DATE(YEAR($A54),MONTH($A54),1),'Daily Sale entry '!$A$2:$A$367,"&lt;="&amp;$A54)+SUMIFS('Daily Sale entry '!$M$2:$M$367,'Daily Sale entry '!$A$2:$A$367,"&gt;="&amp;DATE(YEAR($A54),MONTH($A54),1),'Daily Sale entry '!$A$2:$A$367,"&lt;="&amp;$A54)+IF(AND(YEAR($A54)=YEAR('Daily Sale entry '!$A$2),MONTH($A54)=MONTH('Daily Sale entry '!$A$2)),'Opening Balance'!$B$8,0),2))</f>
        <v/>
      </c>
      <c r="G54" s="6">
        <f>IF($A54="","",MOD(ROUND('Opening Balance'!$B$9+SUMIFS('Sales &amp; Collection'!$L$1:$L$731,'Sales &amp; Collection'!$K$1:$K$731,"cash collection*"),2),'Opening Balance'!$B$11))</f>
        <v/>
      </c>
      <c r="H54" s="6">
        <f>IF($A54="","",ROUND('Opening Balance'!$B$10+'Opening Balance'!$B$9+SUMIFS('Sales &amp; Collection'!$L$1:$L$731,'Sales &amp; Collection'!$K$1:$K$731,"cash collection*")-G54-SUMIFS('Daily Sale entry '!$AC$2:$AC$1501,'Daily Sale entry '!$X$2:$X$1501,"&lt;="&amp;$A54,'Daily Sale entry '!$Z$2:$Z$1501,"Cash deposit 现金存入"),2))</f>
        <v/>
      </c>
      <c r="I54" s="6">
        <f>IF($A54="","",ROUND(B54+D54+E54+F54+G54+H54,2))</f>
        <v/>
      </c>
      <c r="J54" s="6">
        <f>IF($A54="","",'AR &amp; AP'!K55)</f>
        <v/>
      </c>
      <c r="K54" s="6">
        <f>IF($A54="","",ROUND(I54-J54-SUMIFS('Daily Sale entry '!$AC$2:$AC$1501,'Daily Sale entry '!$X$2:$X$1501,"&lt;="&amp;$A54,'Daily Sale entry '!$Z$2:$Z$1501,"Other deposit 其他存入")+SUMIFS('Daily Sale entry '!$AD$2:$AD$1501,'Daily Sale entry '!$X$2:$X$1501,"&lt;="&amp;$A54)+('Opening Balance'!$B$8+SUM('Daily Sale entry '!$L$2:M54)-F54),2))</f>
        <v/>
      </c>
      <c r="L54">
        <f>IF($A54="","",IF(ABS('Sales &amp; Collection'!$B$740)&gt;'Opening Balance'!$B$16,"ALERT 警报: Different "&amp;TEXT('Sales &amp; Collection'!$B$740,"#,##0.00")&amp;" 差额过大",""))</f>
        <v/>
      </c>
    </row>
    <row r="55">
      <c r="A55" s="5">
        <f>IF('Daily Sale entry '!A55="","",'Daily Sale entry '!A55)</f>
        <v/>
      </c>
      <c r="B55" s="6">
        <f>IF($A55="","",ROUND('Opening Balance'!$B$4+SUM('Daily Sale entry '!$K$2:K55)+SUMIFS('Daily Sale entry '!$AC$2:$AC$1501,'Daily Sale entry '!$X$2:$X$1501,"&lt;="&amp;$A55)-SUMIFS('Daily Sale entry '!$AD$2:$AD$1501,'Daily Sale entry '!$X$2:$X$1501,"&lt;="&amp;$A55)+SUMPRODUCT(('Daily Sale entry '!$Q$2:$Q$1501="Collection 收款")*('Daily Sale entry '!$R$2:$R$1501="Cheque 支票")*('Daily Sale entry '!$V$2:$V$1501&lt;&gt;"")*('Daily Sale entry '!$V$2:$V$1501&lt;=$A55)*('Daily Sale entry '!$S$2:$S$1501-'Opening Balance'!$B$15*('Daily Sale entry '!$R$2:$R$1501="Cheque 支票")*('Daily Sale entry '!$S$2:$S$1501-TRUNC('Daily Sale entry '!$S$2:$S$1501))))-'Opening Balance'!$B$15*SUMPRODUCT(('Daily Sale entry '!$X$2:$X$1501&lt;=$A55)*('Daily Sale entry '!$Z$2:$Z$1501="Online collection 网上收款")*('Daily Sale entry '!$AA$2:$AA$1501&lt;&gt;"")*('Daily Sale entry '!$AC$2:$AC$1501-TRUNC('Daily Sale entry '!$AC$2:$AC$1501))),2))</f>
        <v/>
      </c>
      <c r="C55" s="8">
        <f>IF($A55="","",'Opening Balance'!$B$5+SUM('Daily Sale entry '!$I$2:I55)-SUMIFS('Daily Sale entry '!$AB$2:$AB$1501,'Daily Sale entry '!$X$2:$X$1501,"&lt;="&amp;$A55,'Daily Sale entry '!$Z$2:$Z$1501,"Cheque deposit 支票存入")-COUNTIFS('Daily Sale entry '!$Q$2:$Q$1501,"Collection 收款",'Daily Sale entry '!$R$2:$R$1501,"Cheque 支票",'Daily Sale entry '!$V$2:$V$1501,"&lt;="&amp;$A55))</f>
        <v/>
      </c>
      <c r="D55" s="6">
        <f>IF($A55="","",ROUND('Opening Balance'!$B$6+SUM('Daily Sale entry '!$J$2:J55)-SUMIFS('Daily Sale entry '!$AC$2:$AC$1501,'Daily Sale entry '!$X$2:$X$1501,"&lt;="&amp;$A55,'Daily Sale entry '!$Z$2:$Z$1501,"Cheque deposit 支票存入")-SUMPRODUCT(('Daily Sale entry '!$Q$2:$Q$1501="Collection 收款")*('Daily Sale entry '!$R$2:$R$1501="Cheque 支票")*('Daily Sale entry '!$V$2:$V$1501&lt;&gt;"")*('Daily Sale entry '!$V$2:$V$1501&lt;=$A55)*('Daily Sale entry '!$S$2:$S$1501-'Opening Balance'!$B$15*('Daily Sale entry '!$R$2:$R$1501="Cheque 支票")*('Daily Sale entry '!$S$2:$S$1501-TRUNC('Daily Sale entry '!$S$2:$S$1501)))),2))</f>
        <v/>
      </c>
      <c r="E55" s="6">
        <f>IF($A55="","",'Opening Balance'!$B$7)</f>
        <v/>
      </c>
      <c r="F55" s="6">
        <f>IF($A55="","",ROUND(SUMIFS('Daily Sale entry '!$L$2:$L$367,'Daily Sale entry '!$A$2:$A$367,"&gt;="&amp;DATE(YEAR($A55),MONTH($A55),1),'Daily Sale entry '!$A$2:$A$367,"&lt;="&amp;$A55)+SUMIFS('Daily Sale entry '!$M$2:$M$367,'Daily Sale entry '!$A$2:$A$367,"&gt;="&amp;DATE(YEAR($A55),MONTH($A55),1),'Daily Sale entry '!$A$2:$A$367,"&lt;="&amp;$A55)+IF(AND(YEAR($A55)=YEAR('Daily Sale entry '!$A$2),MONTH($A55)=MONTH('Daily Sale entry '!$A$2)),'Opening Balance'!$B$8,0),2))</f>
        <v/>
      </c>
      <c r="G55" s="6">
        <f>IF($A55="","",MOD(ROUND('Opening Balance'!$B$9+SUMIFS('Sales &amp; Collection'!$L$1:$L$745,'Sales &amp; Collection'!$K$1:$K$745,"cash collection*"),2),'Opening Balance'!$B$11))</f>
        <v/>
      </c>
      <c r="H55" s="6">
        <f>IF($A55="","",ROUND('Opening Balance'!$B$10+'Opening Balance'!$B$9+SUMIFS('Sales &amp; Collection'!$L$1:$L$745,'Sales &amp; Collection'!$K$1:$K$745,"cash collection*")-G55-SUMIFS('Daily Sale entry '!$AC$2:$AC$1501,'Daily Sale entry '!$X$2:$X$1501,"&lt;="&amp;$A55,'Daily Sale entry '!$Z$2:$Z$1501,"Cash deposit 现金存入"),2))</f>
        <v/>
      </c>
      <c r="I55" s="6">
        <f>IF($A55="","",ROUND(B55+D55+E55+F55+G55+H55,2))</f>
        <v/>
      </c>
      <c r="J55" s="6">
        <f>IF($A55="","",'AR &amp; AP'!K56)</f>
        <v/>
      </c>
      <c r="K55" s="6">
        <f>IF($A55="","",ROUND(I55-J55-SUMIFS('Daily Sale entry '!$AC$2:$AC$1501,'Daily Sale entry '!$X$2:$X$1501,"&lt;="&amp;$A55,'Daily Sale entry '!$Z$2:$Z$1501,"Other deposit 其他存入")+SUMIFS('Daily Sale entry '!$AD$2:$AD$1501,'Daily Sale entry '!$X$2:$X$1501,"&lt;="&amp;$A55)+('Opening Balance'!$B$8+SUM('Daily Sale entry '!$L$2:M55)-F55),2))</f>
        <v/>
      </c>
      <c r="L55">
        <f>IF($A55="","",IF(ABS('Sales &amp; Collection'!$B$754)&gt;'Opening Balance'!$B$16,"ALERT 警报: Different "&amp;TEXT('Sales &amp; Collection'!$B$754,"#,##0.00")&amp;" 差额过大",""))</f>
        <v/>
      </c>
    </row>
    <row r="56">
      <c r="A56" s="5">
        <f>IF('Daily Sale entry '!A56="","",'Daily Sale entry '!A56)</f>
        <v/>
      </c>
      <c r="B56" s="6">
        <f>IF($A56="","",ROUND('Opening Balance'!$B$4+SUM('Daily Sale entry '!$K$2:K56)+SUMIFS('Daily Sale entry '!$AC$2:$AC$1501,'Daily Sale entry '!$X$2:$X$1501,"&lt;="&amp;$A56)-SUMIFS('Daily Sale entry '!$AD$2:$AD$1501,'Daily Sale entry '!$X$2:$X$1501,"&lt;="&amp;$A56)+SUMPRODUCT(('Daily Sale entry '!$Q$2:$Q$1501="Collection 收款")*('Daily Sale entry '!$R$2:$R$1501="Cheque 支票")*('Daily Sale entry '!$V$2:$V$1501&lt;&gt;"")*('Daily Sale entry '!$V$2:$V$1501&lt;=$A56)*('Daily Sale entry '!$S$2:$S$1501-'Opening Balance'!$B$15*('Daily Sale entry '!$R$2:$R$1501="Cheque 支票")*('Daily Sale entry '!$S$2:$S$1501-TRUNC('Daily Sale entry '!$S$2:$S$1501))))-'Opening Balance'!$B$15*SUMPRODUCT(('Daily Sale entry '!$X$2:$X$1501&lt;=$A56)*('Daily Sale entry '!$Z$2:$Z$1501="Online collection 网上收款")*('Daily Sale entry '!$AA$2:$AA$1501&lt;&gt;"")*('Daily Sale entry '!$AC$2:$AC$1501-TRUNC('Daily Sale entry '!$AC$2:$AC$1501))),2))</f>
        <v/>
      </c>
      <c r="C56" s="8">
        <f>IF($A56="","",'Opening Balance'!$B$5+SUM('Daily Sale entry '!$I$2:I56)-SUMIFS('Daily Sale entry '!$AB$2:$AB$1501,'Daily Sale entry '!$X$2:$X$1501,"&lt;="&amp;$A56,'Daily Sale entry '!$Z$2:$Z$1501,"Cheque deposit 支票存入")-COUNTIFS('Daily Sale entry '!$Q$2:$Q$1501,"Collection 收款",'Daily Sale entry '!$R$2:$R$1501,"Cheque 支票",'Daily Sale entry '!$V$2:$V$1501,"&lt;="&amp;$A56))</f>
        <v/>
      </c>
      <c r="D56" s="6">
        <f>IF($A56="","",ROUND('Opening Balance'!$B$6+SUM('Daily Sale entry '!$J$2:J56)-SUMIFS('Daily Sale entry '!$AC$2:$AC$1501,'Daily Sale entry '!$X$2:$X$1501,"&lt;="&amp;$A56,'Daily Sale entry '!$Z$2:$Z$1501,"Cheque deposit 支票存入")-SUMPRODUCT(('Daily Sale entry '!$Q$2:$Q$1501="Collection 收款")*('Daily Sale entry '!$R$2:$R$1501="Cheque 支票")*('Daily Sale entry '!$V$2:$V$1501&lt;&gt;"")*('Daily Sale entry '!$V$2:$V$1501&lt;=$A56)*('Daily Sale entry '!$S$2:$S$1501-'Opening Balance'!$B$15*('Daily Sale entry '!$R$2:$R$1501="Cheque 支票")*('Daily Sale entry '!$S$2:$S$1501-TRUNC('Daily Sale entry '!$S$2:$S$1501)))),2))</f>
        <v/>
      </c>
      <c r="E56" s="6">
        <f>IF($A56="","",'Opening Balance'!$B$7)</f>
        <v/>
      </c>
      <c r="F56" s="6">
        <f>IF($A56="","",ROUND(SUMIFS('Daily Sale entry '!$L$2:$L$367,'Daily Sale entry '!$A$2:$A$367,"&gt;="&amp;DATE(YEAR($A56),MONTH($A56),1),'Daily Sale entry '!$A$2:$A$367,"&lt;="&amp;$A56)+SUMIFS('Daily Sale entry '!$M$2:$M$367,'Daily Sale entry '!$A$2:$A$367,"&gt;="&amp;DATE(YEAR($A56),MONTH($A56),1),'Daily Sale entry '!$A$2:$A$367,"&lt;="&amp;$A56)+IF(AND(YEAR($A56)=YEAR('Daily Sale entry '!$A$2),MONTH($A56)=MONTH('Daily Sale entry '!$A$2)),'Opening Balance'!$B$8,0),2))</f>
        <v/>
      </c>
      <c r="G56" s="6">
        <f>IF($A56="","",MOD(ROUND('Opening Balance'!$B$9+SUMIFS('Sales &amp; Collection'!$L$1:$L$759,'Sales &amp; Collection'!$K$1:$K$759,"cash collection*"),2),'Opening Balance'!$B$11))</f>
        <v/>
      </c>
      <c r="H56" s="6">
        <f>IF($A56="","",ROUND('Opening Balance'!$B$10+'Opening Balance'!$B$9+SUMIFS('Sales &amp; Collection'!$L$1:$L$759,'Sales &amp; Collection'!$K$1:$K$759,"cash collection*")-G56-SUMIFS('Daily Sale entry '!$AC$2:$AC$1501,'Daily Sale entry '!$X$2:$X$1501,"&lt;="&amp;$A56,'Daily Sale entry '!$Z$2:$Z$1501,"Cash deposit 现金存入"),2))</f>
        <v/>
      </c>
      <c r="I56" s="6">
        <f>IF($A56="","",ROUND(B56+D56+E56+F56+G56+H56,2))</f>
        <v/>
      </c>
      <c r="J56" s="6">
        <f>IF($A56="","",'AR &amp; AP'!K57)</f>
        <v/>
      </c>
      <c r="K56" s="6">
        <f>IF($A56="","",ROUND(I56-J56-SUMIFS('Daily Sale entry '!$AC$2:$AC$1501,'Daily Sale entry '!$X$2:$X$1501,"&lt;="&amp;$A56,'Daily Sale entry '!$Z$2:$Z$1501,"Other deposit 其他存入")+SUMIFS('Daily Sale entry '!$AD$2:$AD$1501,'Daily Sale entry '!$X$2:$X$1501,"&lt;="&amp;$A56)+('Opening Balance'!$B$8+SUM('Daily Sale entry '!$L$2:M56)-F56),2))</f>
        <v/>
      </c>
      <c r="L56">
        <f>IF($A56="","",IF(ABS('Sales &amp; Collection'!$B$768)&gt;'Opening Balance'!$B$16,"ALERT 警报: Different "&amp;TEXT('Sales &amp; Collection'!$B$768,"#,##0.00")&amp;" 差额过大",""))</f>
        <v/>
      </c>
    </row>
    <row r="57">
      <c r="A57" s="5">
        <f>IF('Daily Sale entry '!A57="","",'Daily Sale entry '!A57)</f>
        <v/>
      </c>
      <c r="B57" s="6">
        <f>IF($A57="","",ROUND('Opening Balance'!$B$4+SUM('Daily Sale entry '!$K$2:K57)+SUMIFS('Daily Sale entry '!$AC$2:$AC$1501,'Daily Sale entry '!$X$2:$X$1501,"&lt;="&amp;$A57)-SUMIFS('Daily Sale entry '!$AD$2:$AD$1501,'Daily Sale entry '!$X$2:$X$1501,"&lt;="&amp;$A57)+SUMPRODUCT(('Daily Sale entry '!$Q$2:$Q$1501="Collection 收款")*('Daily Sale entry '!$R$2:$R$1501="Cheque 支票")*('Daily Sale entry '!$V$2:$V$1501&lt;&gt;"")*('Daily Sale entry '!$V$2:$V$1501&lt;=$A57)*('Daily Sale entry '!$S$2:$S$1501-'Opening Balance'!$B$15*('Daily Sale entry '!$R$2:$R$1501="Cheque 支票")*('Daily Sale entry '!$S$2:$S$1501-TRUNC('Daily Sale entry '!$S$2:$S$1501))))-'Opening Balance'!$B$15*SUMPRODUCT(('Daily Sale entry '!$X$2:$X$1501&lt;=$A57)*('Daily Sale entry '!$Z$2:$Z$1501="Online collection 网上收款")*('Daily Sale entry '!$AA$2:$AA$1501&lt;&gt;"")*('Daily Sale entry '!$AC$2:$AC$1501-TRUNC('Daily Sale entry '!$AC$2:$AC$1501))),2))</f>
        <v/>
      </c>
      <c r="C57" s="8">
        <f>IF($A57="","",'Opening Balance'!$B$5+SUM('Daily Sale entry '!$I$2:I57)-SUMIFS('Daily Sale entry '!$AB$2:$AB$1501,'Daily Sale entry '!$X$2:$X$1501,"&lt;="&amp;$A57,'Daily Sale entry '!$Z$2:$Z$1501,"Cheque deposit 支票存入")-COUNTIFS('Daily Sale entry '!$Q$2:$Q$1501,"Collection 收款",'Daily Sale entry '!$R$2:$R$1501,"Cheque 支票",'Daily Sale entry '!$V$2:$V$1501,"&lt;="&amp;$A57))</f>
        <v/>
      </c>
      <c r="D57" s="6">
        <f>IF($A57="","",ROUND('Opening Balance'!$B$6+SUM('Daily Sale entry '!$J$2:J57)-SUMIFS('Daily Sale entry '!$AC$2:$AC$1501,'Daily Sale entry '!$X$2:$X$1501,"&lt;="&amp;$A57,'Daily Sale entry '!$Z$2:$Z$1501,"Cheque deposit 支票存入")-SUMPRODUCT(('Daily Sale entry '!$Q$2:$Q$1501="Collection 收款")*('Daily Sale entry '!$R$2:$R$1501="Cheque 支票")*('Daily Sale entry '!$V$2:$V$1501&lt;&gt;"")*('Daily Sale entry '!$V$2:$V$1501&lt;=$A57)*('Daily Sale entry '!$S$2:$S$1501-'Opening Balance'!$B$15*('Daily Sale entry '!$R$2:$R$1501="Cheque 支票")*('Daily Sale entry '!$S$2:$S$1501-TRUNC('Daily Sale entry '!$S$2:$S$1501)))),2))</f>
        <v/>
      </c>
      <c r="E57" s="6">
        <f>IF($A57="","",'Opening Balance'!$B$7)</f>
        <v/>
      </c>
      <c r="F57" s="6">
        <f>IF($A57="","",ROUND(SUMIFS('Daily Sale entry '!$L$2:$L$367,'Daily Sale entry '!$A$2:$A$367,"&gt;="&amp;DATE(YEAR($A57),MONTH($A57),1),'Daily Sale entry '!$A$2:$A$367,"&lt;="&amp;$A57)+SUMIFS('Daily Sale entry '!$M$2:$M$367,'Daily Sale entry '!$A$2:$A$367,"&gt;="&amp;DATE(YEAR($A57),MONTH($A57),1),'Daily Sale entry '!$A$2:$A$367,"&lt;="&amp;$A57)+IF(AND(YEAR($A57)=YEAR('Daily Sale entry '!$A$2),MONTH($A57)=MONTH('Daily Sale entry '!$A$2)),'Opening Balance'!$B$8,0),2))</f>
        <v/>
      </c>
      <c r="G57" s="6">
        <f>IF($A57="","",MOD(ROUND('Opening Balance'!$B$9+SUMIFS('Sales &amp; Collection'!$L$1:$L$773,'Sales &amp; Collection'!$K$1:$K$773,"cash collection*"),2),'Opening Balance'!$B$11))</f>
        <v/>
      </c>
      <c r="H57" s="6">
        <f>IF($A57="","",ROUND('Opening Balance'!$B$10+'Opening Balance'!$B$9+SUMIFS('Sales &amp; Collection'!$L$1:$L$773,'Sales &amp; Collection'!$K$1:$K$773,"cash collection*")-G57-SUMIFS('Daily Sale entry '!$AC$2:$AC$1501,'Daily Sale entry '!$X$2:$X$1501,"&lt;="&amp;$A57,'Daily Sale entry '!$Z$2:$Z$1501,"Cash deposit 现金存入"),2))</f>
        <v/>
      </c>
      <c r="I57" s="6">
        <f>IF($A57="","",ROUND(B57+D57+E57+F57+G57+H57,2))</f>
        <v/>
      </c>
      <c r="J57" s="6">
        <f>IF($A57="","",'AR &amp; AP'!K58)</f>
        <v/>
      </c>
      <c r="K57" s="6">
        <f>IF($A57="","",ROUND(I57-J57-SUMIFS('Daily Sale entry '!$AC$2:$AC$1501,'Daily Sale entry '!$X$2:$X$1501,"&lt;="&amp;$A57,'Daily Sale entry '!$Z$2:$Z$1501,"Other deposit 其他存入")+SUMIFS('Daily Sale entry '!$AD$2:$AD$1501,'Daily Sale entry '!$X$2:$X$1501,"&lt;="&amp;$A57)+('Opening Balance'!$B$8+SUM('Daily Sale entry '!$L$2:M57)-F57),2))</f>
        <v/>
      </c>
      <c r="L57">
        <f>IF($A57="","",IF(ABS('Sales &amp; Collection'!$B$782)&gt;'Opening Balance'!$B$16,"ALERT 警报: Different "&amp;TEXT('Sales &amp; Collection'!$B$782,"#,##0.00")&amp;" 差额过大",""))</f>
        <v/>
      </c>
    </row>
    <row r="58">
      <c r="A58" s="5">
        <f>IF('Daily Sale entry '!A58="","",'Daily Sale entry '!A58)</f>
        <v/>
      </c>
      <c r="B58" s="6">
        <f>IF($A58="","",ROUND('Opening Balance'!$B$4+SUM('Daily Sale entry '!$K$2:K58)+SUMIFS('Daily Sale entry '!$AC$2:$AC$1501,'Daily Sale entry '!$X$2:$X$1501,"&lt;="&amp;$A58)-SUMIFS('Daily Sale entry '!$AD$2:$AD$1501,'Daily Sale entry '!$X$2:$X$1501,"&lt;="&amp;$A58)+SUMPRODUCT(('Daily Sale entry '!$Q$2:$Q$1501="Collection 收款")*('Daily Sale entry '!$R$2:$R$1501="Cheque 支票")*('Daily Sale entry '!$V$2:$V$1501&lt;&gt;"")*('Daily Sale entry '!$V$2:$V$1501&lt;=$A58)*('Daily Sale entry '!$S$2:$S$1501-'Opening Balance'!$B$15*('Daily Sale entry '!$R$2:$R$1501="Cheque 支票")*('Daily Sale entry '!$S$2:$S$1501-TRUNC('Daily Sale entry '!$S$2:$S$1501))))-'Opening Balance'!$B$15*SUMPRODUCT(('Daily Sale entry '!$X$2:$X$1501&lt;=$A58)*('Daily Sale entry '!$Z$2:$Z$1501="Online collection 网上收款")*('Daily Sale entry '!$AA$2:$AA$1501&lt;&gt;"")*('Daily Sale entry '!$AC$2:$AC$1501-TRUNC('Daily Sale entry '!$AC$2:$AC$1501))),2))</f>
        <v/>
      </c>
      <c r="C58" s="8">
        <f>IF($A58="","",'Opening Balance'!$B$5+SUM('Daily Sale entry '!$I$2:I58)-SUMIFS('Daily Sale entry '!$AB$2:$AB$1501,'Daily Sale entry '!$X$2:$X$1501,"&lt;="&amp;$A58,'Daily Sale entry '!$Z$2:$Z$1501,"Cheque deposit 支票存入")-COUNTIFS('Daily Sale entry '!$Q$2:$Q$1501,"Collection 收款",'Daily Sale entry '!$R$2:$R$1501,"Cheque 支票",'Daily Sale entry '!$V$2:$V$1501,"&lt;="&amp;$A58))</f>
        <v/>
      </c>
      <c r="D58" s="6">
        <f>IF($A58="","",ROUND('Opening Balance'!$B$6+SUM('Daily Sale entry '!$J$2:J58)-SUMIFS('Daily Sale entry '!$AC$2:$AC$1501,'Daily Sale entry '!$X$2:$X$1501,"&lt;="&amp;$A58,'Daily Sale entry '!$Z$2:$Z$1501,"Cheque deposit 支票存入")-SUMPRODUCT(('Daily Sale entry '!$Q$2:$Q$1501="Collection 收款")*('Daily Sale entry '!$R$2:$R$1501="Cheque 支票")*('Daily Sale entry '!$V$2:$V$1501&lt;&gt;"")*('Daily Sale entry '!$V$2:$V$1501&lt;=$A58)*('Daily Sale entry '!$S$2:$S$1501-'Opening Balance'!$B$15*('Daily Sale entry '!$R$2:$R$1501="Cheque 支票")*('Daily Sale entry '!$S$2:$S$1501-TRUNC('Daily Sale entry '!$S$2:$S$1501)))),2))</f>
        <v/>
      </c>
      <c r="E58" s="6">
        <f>IF($A58="","",'Opening Balance'!$B$7)</f>
        <v/>
      </c>
      <c r="F58" s="6">
        <f>IF($A58="","",ROUND(SUMIFS('Daily Sale entry '!$L$2:$L$367,'Daily Sale entry '!$A$2:$A$367,"&gt;="&amp;DATE(YEAR($A58),MONTH($A58),1),'Daily Sale entry '!$A$2:$A$367,"&lt;="&amp;$A58)+SUMIFS('Daily Sale entry '!$M$2:$M$367,'Daily Sale entry '!$A$2:$A$367,"&gt;="&amp;DATE(YEAR($A58),MONTH($A58),1),'Daily Sale entry '!$A$2:$A$367,"&lt;="&amp;$A58)+IF(AND(YEAR($A58)=YEAR('Daily Sale entry '!$A$2),MONTH($A58)=MONTH('Daily Sale entry '!$A$2)),'Opening Balance'!$B$8,0),2))</f>
        <v/>
      </c>
      <c r="G58" s="6">
        <f>IF($A58="","",MOD(ROUND('Opening Balance'!$B$9+SUMIFS('Sales &amp; Collection'!$L$1:$L$787,'Sales &amp; Collection'!$K$1:$K$787,"cash collection*"),2),'Opening Balance'!$B$11))</f>
        <v/>
      </c>
      <c r="H58" s="6">
        <f>IF($A58="","",ROUND('Opening Balance'!$B$10+'Opening Balance'!$B$9+SUMIFS('Sales &amp; Collection'!$L$1:$L$787,'Sales &amp; Collection'!$K$1:$K$787,"cash collection*")-G58-SUMIFS('Daily Sale entry '!$AC$2:$AC$1501,'Daily Sale entry '!$X$2:$X$1501,"&lt;="&amp;$A58,'Daily Sale entry '!$Z$2:$Z$1501,"Cash deposit 现金存入"),2))</f>
        <v/>
      </c>
      <c r="I58" s="6">
        <f>IF($A58="","",ROUND(B58+D58+E58+F58+G58+H58,2))</f>
        <v/>
      </c>
      <c r="J58" s="6">
        <f>IF($A58="","",'AR &amp; AP'!K59)</f>
        <v/>
      </c>
      <c r="K58" s="6">
        <f>IF($A58="","",ROUND(I58-J58-SUMIFS('Daily Sale entry '!$AC$2:$AC$1501,'Daily Sale entry '!$X$2:$X$1501,"&lt;="&amp;$A58,'Daily Sale entry '!$Z$2:$Z$1501,"Other deposit 其他存入")+SUMIFS('Daily Sale entry '!$AD$2:$AD$1501,'Daily Sale entry '!$X$2:$X$1501,"&lt;="&amp;$A58)+('Opening Balance'!$B$8+SUM('Daily Sale entry '!$L$2:M58)-F58),2))</f>
        <v/>
      </c>
      <c r="L58">
        <f>IF($A58="","",IF(ABS('Sales &amp; Collection'!$B$796)&gt;'Opening Balance'!$B$16,"ALERT 警报: Different "&amp;TEXT('Sales &amp; Collection'!$B$796,"#,##0.00")&amp;" 差额过大",""))</f>
        <v/>
      </c>
    </row>
    <row r="59">
      <c r="A59" s="5">
        <f>IF('Daily Sale entry '!A59="","",'Daily Sale entry '!A59)</f>
        <v/>
      </c>
      <c r="B59" s="6">
        <f>IF($A59="","",ROUND('Opening Balance'!$B$4+SUM('Daily Sale entry '!$K$2:K59)+SUMIFS('Daily Sale entry '!$AC$2:$AC$1501,'Daily Sale entry '!$X$2:$X$1501,"&lt;="&amp;$A59)-SUMIFS('Daily Sale entry '!$AD$2:$AD$1501,'Daily Sale entry '!$X$2:$X$1501,"&lt;="&amp;$A59)+SUMPRODUCT(('Daily Sale entry '!$Q$2:$Q$1501="Collection 收款")*('Daily Sale entry '!$R$2:$R$1501="Cheque 支票")*('Daily Sale entry '!$V$2:$V$1501&lt;&gt;"")*('Daily Sale entry '!$V$2:$V$1501&lt;=$A59)*('Daily Sale entry '!$S$2:$S$1501-'Opening Balance'!$B$15*('Daily Sale entry '!$R$2:$R$1501="Cheque 支票")*('Daily Sale entry '!$S$2:$S$1501-TRUNC('Daily Sale entry '!$S$2:$S$1501))))-'Opening Balance'!$B$15*SUMPRODUCT(('Daily Sale entry '!$X$2:$X$1501&lt;=$A59)*('Daily Sale entry '!$Z$2:$Z$1501="Online collection 网上收款")*('Daily Sale entry '!$AA$2:$AA$1501&lt;&gt;"")*('Daily Sale entry '!$AC$2:$AC$1501-TRUNC('Daily Sale entry '!$AC$2:$AC$1501))),2))</f>
        <v/>
      </c>
      <c r="C59" s="8">
        <f>IF($A59="","",'Opening Balance'!$B$5+SUM('Daily Sale entry '!$I$2:I59)-SUMIFS('Daily Sale entry '!$AB$2:$AB$1501,'Daily Sale entry '!$X$2:$X$1501,"&lt;="&amp;$A59,'Daily Sale entry '!$Z$2:$Z$1501,"Cheque deposit 支票存入")-COUNTIFS('Daily Sale entry '!$Q$2:$Q$1501,"Collection 收款",'Daily Sale entry '!$R$2:$R$1501,"Cheque 支票",'Daily Sale entry '!$V$2:$V$1501,"&lt;="&amp;$A59))</f>
        <v/>
      </c>
      <c r="D59" s="6">
        <f>IF($A59="","",ROUND('Opening Balance'!$B$6+SUM('Daily Sale entry '!$J$2:J59)-SUMIFS('Daily Sale entry '!$AC$2:$AC$1501,'Daily Sale entry '!$X$2:$X$1501,"&lt;="&amp;$A59,'Daily Sale entry '!$Z$2:$Z$1501,"Cheque deposit 支票存入")-SUMPRODUCT(('Daily Sale entry '!$Q$2:$Q$1501="Collection 收款")*('Daily Sale entry '!$R$2:$R$1501="Cheque 支票")*('Daily Sale entry '!$V$2:$V$1501&lt;&gt;"")*('Daily Sale entry '!$V$2:$V$1501&lt;=$A59)*('Daily Sale entry '!$S$2:$S$1501-'Opening Balance'!$B$15*('Daily Sale entry '!$R$2:$R$1501="Cheque 支票")*('Daily Sale entry '!$S$2:$S$1501-TRUNC('Daily Sale entry '!$S$2:$S$1501)))),2))</f>
        <v/>
      </c>
      <c r="E59" s="6">
        <f>IF($A59="","",'Opening Balance'!$B$7)</f>
        <v/>
      </c>
      <c r="F59" s="6">
        <f>IF($A59="","",ROUND(SUMIFS('Daily Sale entry '!$L$2:$L$367,'Daily Sale entry '!$A$2:$A$367,"&gt;="&amp;DATE(YEAR($A59),MONTH($A59),1),'Daily Sale entry '!$A$2:$A$367,"&lt;="&amp;$A59)+SUMIFS('Daily Sale entry '!$M$2:$M$367,'Daily Sale entry '!$A$2:$A$367,"&gt;="&amp;DATE(YEAR($A59),MONTH($A59),1),'Daily Sale entry '!$A$2:$A$367,"&lt;="&amp;$A59)+IF(AND(YEAR($A59)=YEAR('Daily Sale entry '!$A$2),MONTH($A59)=MONTH('Daily Sale entry '!$A$2)),'Opening Balance'!$B$8,0),2))</f>
        <v/>
      </c>
      <c r="G59" s="6">
        <f>IF($A59="","",MOD(ROUND('Opening Balance'!$B$9+SUMIFS('Sales &amp; Collection'!$L$1:$L$801,'Sales &amp; Collection'!$K$1:$K$801,"cash collection*"),2),'Opening Balance'!$B$11))</f>
        <v/>
      </c>
      <c r="H59" s="6">
        <f>IF($A59="","",ROUND('Opening Balance'!$B$10+'Opening Balance'!$B$9+SUMIFS('Sales &amp; Collection'!$L$1:$L$801,'Sales &amp; Collection'!$K$1:$K$801,"cash collection*")-G59-SUMIFS('Daily Sale entry '!$AC$2:$AC$1501,'Daily Sale entry '!$X$2:$X$1501,"&lt;="&amp;$A59,'Daily Sale entry '!$Z$2:$Z$1501,"Cash deposit 现金存入"),2))</f>
        <v/>
      </c>
      <c r="I59" s="6">
        <f>IF($A59="","",ROUND(B59+D59+E59+F59+G59+H59,2))</f>
        <v/>
      </c>
      <c r="J59" s="6">
        <f>IF($A59="","",'AR &amp; AP'!K60)</f>
        <v/>
      </c>
      <c r="K59" s="6">
        <f>IF($A59="","",ROUND(I59-J59-SUMIFS('Daily Sale entry '!$AC$2:$AC$1501,'Daily Sale entry '!$X$2:$X$1501,"&lt;="&amp;$A59,'Daily Sale entry '!$Z$2:$Z$1501,"Other deposit 其他存入")+SUMIFS('Daily Sale entry '!$AD$2:$AD$1501,'Daily Sale entry '!$X$2:$X$1501,"&lt;="&amp;$A59)+('Opening Balance'!$B$8+SUM('Daily Sale entry '!$L$2:M59)-F59),2))</f>
        <v/>
      </c>
      <c r="L59">
        <f>IF($A59="","",IF(ABS('Sales &amp; Collection'!$B$810)&gt;'Opening Balance'!$B$16,"ALERT 警报: Different "&amp;TEXT('Sales &amp; Collection'!$B$810,"#,##0.00")&amp;" 差额过大",""))</f>
        <v/>
      </c>
    </row>
    <row r="60">
      <c r="A60" s="5">
        <f>IF('Daily Sale entry '!A60="","",'Daily Sale entry '!A60)</f>
        <v/>
      </c>
      <c r="B60" s="6">
        <f>IF($A60="","",ROUND('Opening Balance'!$B$4+SUM('Daily Sale entry '!$K$2:K60)+SUMIFS('Daily Sale entry '!$AC$2:$AC$1501,'Daily Sale entry '!$X$2:$X$1501,"&lt;="&amp;$A60)-SUMIFS('Daily Sale entry '!$AD$2:$AD$1501,'Daily Sale entry '!$X$2:$X$1501,"&lt;="&amp;$A60)+SUMPRODUCT(('Daily Sale entry '!$Q$2:$Q$1501="Collection 收款")*('Daily Sale entry '!$R$2:$R$1501="Cheque 支票")*('Daily Sale entry '!$V$2:$V$1501&lt;&gt;"")*('Daily Sale entry '!$V$2:$V$1501&lt;=$A60)*('Daily Sale entry '!$S$2:$S$1501-'Opening Balance'!$B$15*('Daily Sale entry '!$R$2:$R$1501="Cheque 支票")*('Daily Sale entry '!$S$2:$S$1501-TRUNC('Daily Sale entry '!$S$2:$S$1501))))-'Opening Balance'!$B$15*SUMPRODUCT(('Daily Sale entry '!$X$2:$X$1501&lt;=$A60)*('Daily Sale entry '!$Z$2:$Z$1501="Online collection 网上收款")*('Daily Sale entry '!$AA$2:$AA$1501&lt;&gt;"")*('Daily Sale entry '!$AC$2:$AC$1501-TRUNC('Daily Sale entry '!$AC$2:$AC$1501))),2))</f>
        <v/>
      </c>
      <c r="C60" s="8">
        <f>IF($A60="","",'Opening Balance'!$B$5+SUM('Daily Sale entry '!$I$2:I60)-SUMIFS('Daily Sale entry '!$AB$2:$AB$1501,'Daily Sale entry '!$X$2:$X$1501,"&lt;="&amp;$A60,'Daily Sale entry '!$Z$2:$Z$1501,"Cheque deposit 支票存入")-COUNTIFS('Daily Sale entry '!$Q$2:$Q$1501,"Collection 收款",'Daily Sale entry '!$R$2:$R$1501,"Cheque 支票",'Daily Sale entry '!$V$2:$V$1501,"&lt;="&amp;$A60))</f>
        <v/>
      </c>
      <c r="D60" s="6">
        <f>IF($A60="","",ROUND('Opening Balance'!$B$6+SUM('Daily Sale entry '!$J$2:J60)-SUMIFS('Daily Sale entry '!$AC$2:$AC$1501,'Daily Sale entry '!$X$2:$X$1501,"&lt;="&amp;$A60,'Daily Sale entry '!$Z$2:$Z$1501,"Cheque deposit 支票存入")-SUMPRODUCT(('Daily Sale entry '!$Q$2:$Q$1501="Collection 收款")*('Daily Sale entry '!$R$2:$R$1501="Cheque 支票")*('Daily Sale entry '!$V$2:$V$1501&lt;&gt;"")*('Daily Sale entry '!$V$2:$V$1501&lt;=$A60)*('Daily Sale entry '!$S$2:$S$1501-'Opening Balance'!$B$15*('Daily Sale entry '!$R$2:$R$1501="Cheque 支票")*('Daily Sale entry '!$S$2:$S$1501-TRUNC('Daily Sale entry '!$S$2:$S$1501)))),2))</f>
        <v/>
      </c>
      <c r="E60" s="6">
        <f>IF($A60="","",'Opening Balance'!$B$7)</f>
        <v/>
      </c>
      <c r="F60" s="6">
        <f>IF($A60="","",ROUND(SUMIFS('Daily Sale entry '!$L$2:$L$367,'Daily Sale entry '!$A$2:$A$367,"&gt;="&amp;DATE(YEAR($A60),MONTH($A60),1),'Daily Sale entry '!$A$2:$A$367,"&lt;="&amp;$A60)+SUMIFS('Daily Sale entry '!$M$2:$M$367,'Daily Sale entry '!$A$2:$A$367,"&gt;="&amp;DATE(YEAR($A60),MONTH($A60),1),'Daily Sale entry '!$A$2:$A$367,"&lt;="&amp;$A60)+IF(AND(YEAR($A60)=YEAR('Daily Sale entry '!$A$2),MONTH($A60)=MONTH('Daily Sale entry '!$A$2)),'Opening Balance'!$B$8,0),2))</f>
        <v/>
      </c>
      <c r="G60" s="6">
        <f>IF($A60="","",MOD(ROUND('Opening Balance'!$B$9+SUMIFS('Sales &amp; Collection'!$L$1:$L$815,'Sales &amp; Collection'!$K$1:$K$815,"cash collection*"),2),'Opening Balance'!$B$11))</f>
        <v/>
      </c>
      <c r="H60" s="6">
        <f>IF($A60="","",ROUND('Opening Balance'!$B$10+'Opening Balance'!$B$9+SUMIFS('Sales &amp; Collection'!$L$1:$L$815,'Sales &amp; Collection'!$K$1:$K$815,"cash collection*")-G60-SUMIFS('Daily Sale entry '!$AC$2:$AC$1501,'Daily Sale entry '!$X$2:$X$1501,"&lt;="&amp;$A60,'Daily Sale entry '!$Z$2:$Z$1501,"Cash deposit 现金存入"),2))</f>
        <v/>
      </c>
      <c r="I60" s="6">
        <f>IF($A60="","",ROUND(B60+D60+E60+F60+G60+H60,2))</f>
        <v/>
      </c>
      <c r="J60" s="6">
        <f>IF($A60="","",'AR &amp; AP'!K61)</f>
        <v/>
      </c>
      <c r="K60" s="6">
        <f>IF($A60="","",ROUND(I60-J60-SUMIFS('Daily Sale entry '!$AC$2:$AC$1501,'Daily Sale entry '!$X$2:$X$1501,"&lt;="&amp;$A60,'Daily Sale entry '!$Z$2:$Z$1501,"Other deposit 其他存入")+SUMIFS('Daily Sale entry '!$AD$2:$AD$1501,'Daily Sale entry '!$X$2:$X$1501,"&lt;="&amp;$A60)+('Opening Balance'!$B$8+SUM('Daily Sale entry '!$L$2:M60)-F60),2))</f>
        <v/>
      </c>
      <c r="L60">
        <f>IF($A60="","",IF(ABS('Sales &amp; Collection'!$B$824)&gt;'Opening Balance'!$B$16,"ALERT 警报: Different "&amp;TEXT('Sales &amp; Collection'!$B$824,"#,##0.00")&amp;" 差额过大",""))</f>
        <v/>
      </c>
    </row>
    <row r="61">
      <c r="A61" s="5">
        <f>IF('Daily Sale entry '!A61="","",'Daily Sale entry '!A61)</f>
        <v/>
      </c>
      <c r="B61" s="6">
        <f>IF($A61="","",ROUND('Opening Balance'!$B$4+SUM('Daily Sale entry '!$K$2:K61)+SUMIFS('Daily Sale entry '!$AC$2:$AC$1501,'Daily Sale entry '!$X$2:$X$1501,"&lt;="&amp;$A61)-SUMIFS('Daily Sale entry '!$AD$2:$AD$1501,'Daily Sale entry '!$X$2:$X$1501,"&lt;="&amp;$A61)+SUMPRODUCT(('Daily Sale entry '!$Q$2:$Q$1501="Collection 收款")*('Daily Sale entry '!$R$2:$R$1501="Cheque 支票")*('Daily Sale entry '!$V$2:$V$1501&lt;&gt;"")*('Daily Sale entry '!$V$2:$V$1501&lt;=$A61)*('Daily Sale entry '!$S$2:$S$1501-'Opening Balance'!$B$15*('Daily Sale entry '!$R$2:$R$1501="Cheque 支票")*('Daily Sale entry '!$S$2:$S$1501-TRUNC('Daily Sale entry '!$S$2:$S$1501))))-'Opening Balance'!$B$15*SUMPRODUCT(('Daily Sale entry '!$X$2:$X$1501&lt;=$A61)*('Daily Sale entry '!$Z$2:$Z$1501="Online collection 网上收款")*('Daily Sale entry '!$AA$2:$AA$1501&lt;&gt;"")*('Daily Sale entry '!$AC$2:$AC$1501-TRUNC('Daily Sale entry '!$AC$2:$AC$1501))),2))</f>
        <v/>
      </c>
      <c r="C61" s="8">
        <f>IF($A61="","",'Opening Balance'!$B$5+SUM('Daily Sale entry '!$I$2:I61)-SUMIFS('Daily Sale entry '!$AB$2:$AB$1501,'Daily Sale entry '!$X$2:$X$1501,"&lt;="&amp;$A61,'Daily Sale entry '!$Z$2:$Z$1501,"Cheque deposit 支票存入")-COUNTIFS('Daily Sale entry '!$Q$2:$Q$1501,"Collection 收款",'Daily Sale entry '!$R$2:$R$1501,"Cheque 支票",'Daily Sale entry '!$V$2:$V$1501,"&lt;="&amp;$A61))</f>
        <v/>
      </c>
      <c r="D61" s="6">
        <f>IF($A61="","",ROUND('Opening Balance'!$B$6+SUM('Daily Sale entry '!$J$2:J61)-SUMIFS('Daily Sale entry '!$AC$2:$AC$1501,'Daily Sale entry '!$X$2:$X$1501,"&lt;="&amp;$A61,'Daily Sale entry '!$Z$2:$Z$1501,"Cheque deposit 支票存入")-SUMPRODUCT(('Daily Sale entry '!$Q$2:$Q$1501="Collection 收款")*('Daily Sale entry '!$R$2:$R$1501="Cheque 支票")*('Daily Sale entry '!$V$2:$V$1501&lt;&gt;"")*('Daily Sale entry '!$V$2:$V$1501&lt;=$A61)*('Daily Sale entry '!$S$2:$S$1501-'Opening Balance'!$B$15*('Daily Sale entry '!$R$2:$R$1501="Cheque 支票")*('Daily Sale entry '!$S$2:$S$1501-TRUNC('Daily Sale entry '!$S$2:$S$1501)))),2))</f>
        <v/>
      </c>
      <c r="E61" s="6">
        <f>IF($A61="","",'Opening Balance'!$B$7)</f>
        <v/>
      </c>
      <c r="F61" s="6">
        <f>IF($A61="","",ROUND(SUMIFS('Daily Sale entry '!$L$2:$L$367,'Daily Sale entry '!$A$2:$A$367,"&gt;="&amp;DATE(YEAR($A61),MONTH($A61),1),'Daily Sale entry '!$A$2:$A$367,"&lt;="&amp;$A61)+SUMIFS('Daily Sale entry '!$M$2:$M$367,'Daily Sale entry '!$A$2:$A$367,"&gt;="&amp;DATE(YEAR($A61),MONTH($A61),1),'Daily Sale entry '!$A$2:$A$367,"&lt;="&amp;$A61)+IF(AND(YEAR($A61)=YEAR('Daily Sale entry '!$A$2),MONTH($A61)=MONTH('Daily Sale entry '!$A$2)),'Opening Balance'!$B$8,0),2))</f>
        <v/>
      </c>
      <c r="G61" s="6">
        <f>IF($A61="","",MOD(ROUND('Opening Balance'!$B$9+SUMIFS('Sales &amp; Collection'!$L$1:$L$829,'Sales &amp; Collection'!$K$1:$K$829,"cash collection*"),2),'Opening Balance'!$B$11))</f>
        <v/>
      </c>
      <c r="H61" s="6">
        <f>IF($A61="","",ROUND('Opening Balance'!$B$10+'Opening Balance'!$B$9+SUMIFS('Sales &amp; Collection'!$L$1:$L$829,'Sales &amp; Collection'!$K$1:$K$829,"cash collection*")-G61-SUMIFS('Daily Sale entry '!$AC$2:$AC$1501,'Daily Sale entry '!$X$2:$X$1501,"&lt;="&amp;$A61,'Daily Sale entry '!$Z$2:$Z$1501,"Cash deposit 现金存入"),2))</f>
        <v/>
      </c>
      <c r="I61" s="6">
        <f>IF($A61="","",ROUND(B61+D61+E61+F61+G61+H61,2))</f>
        <v/>
      </c>
      <c r="J61" s="6">
        <f>IF($A61="","",'AR &amp; AP'!K62)</f>
        <v/>
      </c>
      <c r="K61" s="6">
        <f>IF($A61="","",ROUND(I61-J61-SUMIFS('Daily Sale entry '!$AC$2:$AC$1501,'Daily Sale entry '!$X$2:$X$1501,"&lt;="&amp;$A61,'Daily Sale entry '!$Z$2:$Z$1501,"Other deposit 其他存入")+SUMIFS('Daily Sale entry '!$AD$2:$AD$1501,'Daily Sale entry '!$X$2:$X$1501,"&lt;="&amp;$A61)+('Opening Balance'!$B$8+SUM('Daily Sale entry '!$L$2:M61)-F61),2))</f>
        <v/>
      </c>
      <c r="L61">
        <f>IF($A61="","",IF(ABS('Sales &amp; Collection'!$B$838)&gt;'Opening Balance'!$B$16,"ALERT 警报: Different "&amp;TEXT('Sales &amp; Collection'!$B$838,"#,##0.00")&amp;" 差额过大",""))</f>
        <v/>
      </c>
    </row>
    <row r="62">
      <c r="A62" s="5">
        <f>IF('Daily Sale entry '!A62="","",'Daily Sale entry '!A62)</f>
        <v/>
      </c>
      <c r="B62" s="6">
        <f>IF($A62="","",ROUND('Opening Balance'!$B$4+SUM('Daily Sale entry '!$K$2:K62)+SUMIFS('Daily Sale entry '!$AC$2:$AC$1501,'Daily Sale entry '!$X$2:$X$1501,"&lt;="&amp;$A62)-SUMIFS('Daily Sale entry '!$AD$2:$AD$1501,'Daily Sale entry '!$X$2:$X$1501,"&lt;="&amp;$A62)+SUMPRODUCT(('Daily Sale entry '!$Q$2:$Q$1501="Collection 收款")*('Daily Sale entry '!$R$2:$R$1501="Cheque 支票")*('Daily Sale entry '!$V$2:$V$1501&lt;&gt;"")*('Daily Sale entry '!$V$2:$V$1501&lt;=$A62)*('Daily Sale entry '!$S$2:$S$1501-'Opening Balance'!$B$15*('Daily Sale entry '!$R$2:$R$1501="Cheque 支票")*('Daily Sale entry '!$S$2:$S$1501-TRUNC('Daily Sale entry '!$S$2:$S$1501))))-'Opening Balance'!$B$15*SUMPRODUCT(('Daily Sale entry '!$X$2:$X$1501&lt;=$A62)*('Daily Sale entry '!$Z$2:$Z$1501="Online collection 网上收款")*('Daily Sale entry '!$AA$2:$AA$1501&lt;&gt;"")*('Daily Sale entry '!$AC$2:$AC$1501-TRUNC('Daily Sale entry '!$AC$2:$AC$1501))),2))</f>
        <v/>
      </c>
      <c r="C62" s="8">
        <f>IF($A62="","",'Opening Balance'!$B$5+SUM('Daily Sale entry '!$I$2:I62)-SUMIFS('Daily Sale entry '!$AB$2:$AB$1501,'Daily Sale entry '!$X$2:$X$1501,"&lt;="&amp;$A62,'Daily Sale entry '!$Z$2:$Z$1501,"Cheque deposit 支票存入")-COUNTIFS('Daily Sale entry '!$Q$2:$Q$1501,"Collection 收款",'Daily Sale entry '!$R$2:$R$1501,"Cheque 支票",'Daily Sale entry '!$V$2:$V$1501,"&lt;="&amp;$A62))</f>
        <v/>
      </c>
      <c r="D62" s="6">
        <f>IF($A62="","",ROUND('Opening Balance'!$B$6+SUM('Daily Sale entry '!$J$2:J62)-SUMIFS('Daily Sale entry '!$AC$2:$AC$1501,'Daily Sale entry '!$X$2:$X$1501,"&lt;="&amp;$A62,'Daily Sale entry '!$Z$2:$Z$1501,"Cheque deposit 支票存入")-SUMPRODUCT(('Daily Sale entry '!$Q$2:$Q$1501="Collection 收款")*('Daily Sale entry '!$R$2:$R$1501="Cheque 支票")*('Daily Sale entry '!$V$2:$V$1501&lt;&gt;"")*('Daily Sale entry '!$V$2:$V$1501&lt;=$A62)*('Daily Sale entry '!$S$2:$S$1501-'Opening Balance'!$B$15*('Daily Sale entry '!$R$2:$R$1501="Cheque 支票")*('Daily Sale entry '!$S$2:$S$1501-TRUNC('Daily Sale entry '!$S$2:$S$1501)))),2))</f>
        <v/>
      </c>
      <c r="E62" s="6">
        <f>IF($A62="","",'Opening Balance'!$B$7)</f>
        <v/>
      </c>
      <c r="F62" s="6">
        <f>IF($A62="","",ROUND(SUMIFS('Daily Sale entry '!$L$2:$L$367,'Daily Sale entry '!$A$2:$A$367,"&gt;="&amp;DATE(YEAR($A62),MONTH($A62),1),'Daily Sale entry '!$A$2:$A$367,"&lt;="&amp;$A62)+SUMIFS('Daily Sale entry '!$M$2:$M$367,'Daily Sale entry '!$A$2:$A$367,"&gt;="&amp;DATE(YEAR($A62),MONTH($A62),1),'Daily Sale entry '!$A$2:$A$367,"&lt;="&amp;$A62)+IF(AND(YEAR($A62)=YEAR('Daily Sale entry '!$A$2),MONTH($A62)=MONTH('Daily Sale entry '!$A$2)),'Opening Balance'!$B$8,0),2))</f>
        <v/>
      </c>
      <c r="G62" s="6">
        <f>IF($A62="","",MOD(ROUND('Opening Balance'!$B$9+SUMIFS('Sales &amp; Collection'!$L$1:$L$843,'Sales &amp; Collection'!$K$1:$K$843,"cash collection*"),2),'Opening Balance'!$B$11))</f>
        <v/>
      </c>
      <c r="H62" s="6">
        <f>IF($A62="","",ROUND('Opening Balance'!$B$10+'Opening Balance'!$B$9+SUMIFS('Sales &amp; Collection'!$L$1:$L$843,'Sales &amp; Collection'!$K$1:$K$843,"cash collection*")-G62-SUMIFS('Daily Sale entry '!$AC$2:$AC$1501,'Daily Sale entry '!$X$2:$X$1501,"&lt;="&amp;$A62,'Daily Sale entry '!$Z$2:$Z$1501,"Cash deposit 现金存入"),2))</f>
        <v/>
      </c>
      <c r="I62" s="6">
        <f>IF($A62="","",ROUND(B62+D62+E62+F62+G62+H62,2))</f>
        <v/>
      </c>
      <c r="J62" s="6">
        <f>IF($A62="","",'AR &amp; AP'!K63)</f>
        <v/>
      </c>
      <c r="K62" s="6">
        <f>IF($A62="","",ROUND(I62-J62-SUMIFS('Daily Sale entry '!$AC$2:$AC$1501,'Daily Sale entry '!$X$2:$X$1501,"&lt;="&amp;$A62,'Daily Sale entry '!$Z$2:$Z$1501,"Other deposit 其他存入")+SUMIFS('Daily Sale entry '!$AD$2:$AD$1501,'Daily Sale entry '!$X$2:$X$1501,"&lt;="&amp;$A62)+('Opening Balance'!$B$8+SUM('Daily Sale entry '!$L$2:M62)-F62),2))</f>
        <v/>
      </c>
      <c r="L62">
        <f>IF($A62="","",IF(ABS('Sales &amp; Collection'!$B$852)&gt;'Opening Balance'!$B$16,"ALERT 警报: Different "&amp;TEXT('Sales &amp; Collection'!$B$852,"#,##0.00")&amp;" 差额过大",""))</f>
        <v/>
      </c>
    </row>
    <row r="63">
      <c r="A63" s="5">
        <f>IF('Daily Sale entry '!A63="","",'Daily Sale entry '!A63)</f>
        <v/>
      </c>
      <c r="B63" s="6">
        <f>IF($A63="","",ROUND('Opening Balance'!$B$4+SUM('Daily Sale entry '!$K$2:K63)+SUMIFS('Daily Sale entry '!$AC$2:$AC$1501,'Daily Sale entry '!$X$2:$X$1501,"&lt;="&amp;$A63)-SUMIFS('Daily Sale entry '!$AD$2:$AD$1501,'Daily Sale entry '!$X$2:$X$1501,"&lt;="&amp;$A63)+SUMPRODUCT(('Daily Sale entry '!$Q$2:$Q$1501="Collection 收款")*('Daily Sale entry '!$R$2:$R$1501="Cheque 支票")*('Daily Sale entry '!$V$2:$V$1501&lt;&gt;"")*('Daily Sale entry '!$V$2:$V$1501&lt;=$A63)*('Daily Sale entry '!$S$2:$S$1501-'Opening Balance'!$B$15*('Daily Sale entry '!$R$2:$R$1501="Cheque 支票")*('Daily Sale entry '!$S$2:$S$1501-TRUNC('Daily Sale entry '!$S$2:$S$1501))))-'Opening Balance'!$B$15*SUMPRODUCT(('Daily Sale entry '!$X$2:$X$1501&lt;=$A63)*('Daily Sale entry '!$Z$2:$Z$1501="Online collection 网上收款")*('Daily Sale entry '!$AA$2:$AA$1501&lt;&gt;"")*('Daily Sale entry '!$AC$2:$AC$1501-TRUNC('Daily Sale entry '!$AC$2:$AC$1501))),2))</f>
        <v/>
      </c>
      <c r="C63" s="8">
        <f>IF($A63="","",'Opening Balance'!$B$5+SUM('Daily Sale entry '!$I$2:I63)-SUMIFS('Daily Sale entry '!$AB$2:$AB$1501,'Daily Sale entry '!$X$2:$X$1501,"&lt;="&amp;$A63,'Daily Sale entry '!$Z$2:$Z$1501,"Cheque deposit 支票存入")-COUNTIFS('Daily Sale entry '!$Q$2:$Q$1501,"Collection 收款",'Daily Sale entry '!$R$2:$R$1501,"Cheque 支票",'Daily Sale entry '!$V$2:$V$1501,"&lt;="&amp;$A63))</f>
        <v/>
      </c>
      <c r="D63" s="6">
        <f>IF($A63="","",ROUND('Opening Balance'!$B$6+SUM('Daily Sale entry '!$J$2:J63)-SUMIFS('Daily Sale entry '!$AC$2:$AC$1501,'Daily Sale entry '!$X$2:$X$1501,"&lt;="&amp;$A63,'Daily Sale entry '!$Z$2:$Z$1501,"Cheque deposit 支票存入")-SUMPRODUCT(('Daily Sale entry '!$Q$2:$Q$1501="Collection 收款")*('Daily Sale entry '!$R$2:$R$1501="Cheque 支票")*('Daily Sale entry '!$V$2:$V$1501&lt;&gt;"")*('Daily Sale entry '!$V$2:$V$1501&lt;=$A63)*('Daily Sale entry '!$S$2:$S$1501-'Opening Balance'!$B$15*('Daily Sale entry '!$R$2:$R$1501="Cheque 支票")*('Daily Sale entry '!$S$2:$S$1501-TRUNC('Daily Sale entry '!$S$2:$S$1501)))),2))</f>
        <v/>
      </c>
      <c r="E63" s="6">
        <f>IF($A63="","",'Opening Balance'!$B$7)</f>
        <v/>
      </c>
      <c r="F63" s="6">
        <f>IF($A63="","",ROUND(SUMIFS('Daily Sale entry '!$L$2:$L$367,'Daily Sale entry '!$A$2:$A$367,"&gt;="&amp;DATE(YEAR($A63),MONTH($A63),1),'Daily Sale entry '!$A$2:$A$367,"&lt;="&amp;$A63)+SUMIFS('Daily Sale entry '!$M$2:$M$367,'Daily Sale entry '!$A$2:$A$367,"&gt;="&amp;DATE(YEAR($A63),MONTH($A63),1),'Daily Sale entry '!$A$2:$A$367,"&lt;="&amp;$A63)+IF(AND(YEAR($A63)=YEAR('Daily Sale entry '!$A$2),MONTH($A63)=MONTH('Daily Sale entry '!$A$2)),'Opening Balance'!$B$8,0),2))</f>
        <v/>
      </c>
      <c r="G63" s="6">
        <f>IF($A63="","",MOD(ROUND('Opening Balance'!$B$9+SUMIFS('Sales &amp; Collection'!$L$1:$L$857,'Sales &amp; Collection'!$K$1:$K$857,"cash collection*"),2),'Opening Balance'!$B$11))</f>
        <v/>
      </c>
      <c r="H63" s="6">
        <f>IF($A63="","",ROUND('Opening Balance'!$B$10+'Opening Balance'!$B$9+SUMIFS('Sales &amp; Collection'!$L$1:$L$857,'Sales &amp; Collection'!$K$1:$K$857,"cash collection*")-G63-SUMIFS('Daily Sale entry '!$AC$2:$AC$1501,'Daily Sale entry '!$X$2:$X$1501,"&lt;="&amp;$A63,'Daily Sale entry '!$Z$2:$Z$1501,"Cash deposit 现金存入"),2))</f>
        <v/>
      </c>
      <c r="I63" s="6">
        <f>IF($A63="","",ROUND(B63+D63+E63+F63+G63+H63,2))</f>
        <v/>
      </c>
      <c r="J63" s="6">
        <f>IF($A63="","",'AR &amp; AP'!K64)</f>
        <v/>
      </c>
      <c r="K63" s="6">
        <f>IF($A63="","",ROUND(I63-J63-SUMIFS('Daily Sale entry '!$AC$2:$AC$1501,'Daily Sale entry '!$X$2:$X$1501,"&lt;="&amp;$A63,'Daily Sale entry '!$Z$2:$Z$1501,"Other deposit 其他存入")+SUMIFS('Daily Sale entry '!$AD$2:$AD$1501,'Daily Sale entry '!$X$2:$X$1501,"&lt;="&amp;$A63)+('Opening Balance'!$B$8+SUM('Daily Sale entry '!$L$2:M63)-F63),2))</f>
        <v/>
      </c>
      <c r="L63">
        <f>IF($A63="","",IF(ABS('Sales &amp; Collection'!$B$866)&gt;'Opening Balance'!$B$16,"ALERT 警报: Different "&amp;TEXT('Sales &amp; Collection'!$B$866,"#,##0.00")&amp;" 差额过大",""))</f>
        <v/>
      </c>
    </row>
    <row r="64">
      <c r="A64" s="5">
        <f>IF('Daily Sale entry '!A64="","",'Daily Sale entry '!A64)</f>
        <v/>
      </c>
      <c r="B64" s="6">
        <f>IF($A64="","",ROUND('Opening Balance'!$B$4+SUM('Daily Sale entry '!$K$2:K64)+SUMIFS('Daily Sale entry '!$AC$2:$AC$1501,'Daily Sale entry '!$X$2:$X$1501,"&lt;="&amp;$A64)-SUMIFS('Daily Sale entry '!$AD$2:$AD$1501,'Daily Sale entry '!$X$2:$X$1501,"&lt;="&amp;$A64)+SUMPRODUCT(('Daily Sale entry '!$Q$2:$Q$1501="Collection 收款")*('Daily Sale entry '!$R$2:$R$1501="Cheque 支票")*('Daily Sale entry '!$V$2:$V$1501&lt;&gt;"")*('Daily Sale entry '!$V$2:$V$1501&lt;=$A64)*('Daily Sale entry '!$S$2:$S$1501-'Opening Balance'!$B$15*('Daily Sale entry '!$R$2:$R$1501="Cheque 支票")*('Daily Sale entry '!$S$2:$S$1501-TRUNC('Daily Sale entry '!$S$2:$S$1501))))-'Opening Balance'!$B$15*SUMPRODUCT(('Daily Sale entry '!$X$2:$X$1501&lt;=$A64)*('Daily Sale entry '!$Z$2:$Z$1501="Online collection 网上收款")*('Daily Sale entry '!$AA$2:$AA$1501&lt;&gt;"")*('Daily Sale entry '!$AC$2:$AC$1501-TRUNC('Daily Sale entry '!$AC$2:$AC$1501))),2))</f>
        <v/>
      </c>
      <c r="C64" s="8">
        <f>IF($A64="","",'Opening Balance'!$B$5+SUM('Daily Sale entry '!$I$2:I64)-SUMIFS('Daily Sale entry '!$AB$2:$AB$1501,'Daily Sale entry '!$X$2:$X$1501,"&lt;="&amp;$A64,'Daily Sale entry '!$Z$2:$Z$1501,"Cheque deposit 支票存入")-COUNTIFS('Daily Sale entry '!$Q$2:$Q$1501,"Collection 收款",'Daily Sale entry '!$R$2:$R$1501,"Cheque 支票",'Daily Sale entry '!$V$2:$V$1501,"&lt;="&amp;$A64))</f>
        <v/>
      </c>
      <c r="D64" s="6">
        <f>IF($A64="","",ROUND('Opening Balance'!$B$6+SUM('Daily Sale entry '!$J$2:J64)-SUMIFS('Daily Sale entry '!$AC$2:$AC$1501,'Daily Sale entry '!$X$2:$X$1501,"&lt;="&amp;$A64,'Daily Sale entry '!$Z$2:$Z$1501,"Cheque deposit 支票存入")-SUMPRODUCT(('Daily Sale entry '!$Q$2:$Q$1501="Collection 收款")*('Daily Sale entry '!$R$2:$R$1501="Cheque 支票")*('Daily Sale entry '!$V$2:$V$1501&lt;&gt;"")*('Daily Sale entry '!$V$2:$V$1501&lt;=$A64)*('Daily Sale entry '!$S$2:$S$1501-'Opening Balance'!$B$15*('Daily Sale entry '!$R$2:$R$1501="Cheque 支票")*('Daily Sale entry '!$S$2:$S$1501-TRUNC('Daily Sale entry '!$S$2:$S$1501)))),2))</f>
        <v/>
      </c>
      <c r="E64" s="6">
        <f>IF($A64="","",'Opening Balance'!$B$7)</f>
        <v/>
      </c>
      <c r="F64" s="6">
        <f>IF($A64="","",ROUND(SUMIFS('Daily Sale entry '!$L$2:$L$367,'Daily Sale entry '!$A$2:$A$367,"&gt;="&amp;DATE(YEAR($A64),MONTH($A64),1),'Daily Sale entry '!$A$2:$A$367,"&lt;="&amp;$A64)+SUMIFS('Daily Sale entry '!$M$2:$M$367,'Daily Sale entry '!$A$2:$A$367,"&gt;="&amp;DATE(YEAR($A64),MONTH($A64),1),'Daily Sale entry '!$A$2:$A$367,"&lt;="&amp;$A64)+IF(AND(YEAR($A64)=YEAR('Daily Sale entry '!$A$2),MONTH($A64)=MONTH('Daily Sale entry '!$A$2)),'Opening Balance'!$B$8,0),2))</f>
        <v/>
      </c>
      <c r="G64" s="6">
        <f>IF($A64="","",MOD(ROUND('Opening Balance'!$B$9+SUMIFS('Sales &amp; Collection'!$L$1:$L$871,'Sales &amp; Collection'!$K$1:$K$871,"cash collection*"),2),'Opening Balance'!$B$11))</f>
        <v/>
      </c>
      <c r="H64" s="6">
        <f>IF($A64="","",ROUND('Opening Balance'!$B$10+'Opening Balance'!$B$9+SUMIFS('Sales &amp; Collection'!$L$1:$L$871,'Sales &amp; Collection'!$K$1:$K$871,"cash collection*")-G64-SUMIFS('Daily Sale entry '!$AC$2:$AC$1501,'Daily Sale entry '!$X$2:$X$1501,"&lt;="&amp;$A64,'Daily Sale entry '!$Z$2:$Z$1501,"Cash deposit 现金存入"),2))</f>
        <v/>
      </c>
      <c r="I64" s="6">
        <f>IF($A64="","",ROUND(B64+D64+E64+F64+G64+H64,2))</f>
        <v/>
      </c>
      <c r="J64" s="6">
        <f>IF($A64="","",'AR &amp; AP'!K65)</f>
        <v/>
      </c>
      <c r="K64" s="6">
        <f>IF($A64="","",ROUND(I64-J64-SUMIFS('Daily Sale entry '!$AC$2:$AC$1501,'Daily Sale entry '!$X$2:$X$1501,"&lt;="&amp;$A64,'Daily Sale entry '!$Z$2:$Z$1501,"Other deposit 其他存入")+SUMIFS('Daily Sale entry '!$AD$2:$AD$1501,'Daily Sale entry '!$X$2:$X$1501,"&lt;="&amp;$A64)+('Opening Balance'!$B$8+SUM('Daily Sale entry '!$L$2:M64)-F64),2))</f>
        <v/>
      </c>
      <c r="L64">
        <f>IF($A64="","",IF(ABS('Sales &amp; Collection'!$B$880)&gt;'Opening Balance'!$B$16,"ALERT 警报: Different "&amp;TEXT('Sales &amp; Collection'!$B$880,"#,##0.00")&amp;" 差额过大",""))</f>
        <v/>
      </c>
    </row>
    <row r="65">
      <c r="A65" s="5">
        <f>IF('Daily Sale entry '!A65="","",'Daily Sale entry '!A65)</f>
        <v/>
      </c>
      <c r="B65" s="6">
        <f>IF($A65="","",ROUND('Opening Balance'!$B$4+SUM('Daily Sale entry '!$K$2:K65)+SUMIFS('Daily Sale entry '!$AC$2:$AC$1501,'Daily Sale entry '!$X$2:$X$1501,"&lt;="&amp;$A65)-SUMIFS('Daily Sale entry '!$AD$2:$AD$1501,'Daily Sale entry '!$X$2:$X$1501,"&lt;="&amp;$A65)+SUMPRODUCT(('Daily Sale entry '!$Q$2:$Q$1501="Collection 收款")*('Daily Sale entry '!$R$2:$R$1501="Cheque 支票")*('Daily Sale entry '!$V$2:$V$1501&lt;&gt;"")*('Daily Sale entry '!$V$2:$V$1501&lt;=$A65)*('Daily Sale entry '!$S$2:$S$1501-'Opening Balance'!$B$15*('Daily Sale entry '!$R$2:$R$1501="Cheque 支票")*('Daily Sale entry '!$S$2:$S$1501-TRUNC('Daily Sale entry '!$S$2:$S$1501))))-'Opening Balance'!$B$15*SUMPRODUCT(('Daily Sale entry '!$X$2:$X$1501&lt;=$A65)*('Daily Sale entry '!$Z$2:$Z$1501="Online collection 网上收款")*('Daily Sale entry '!$AA$2:$AA$1501&lt;&gt;"")*('Daily Sale entry '!$AC$2:$AC$1501-TRUNC('Daily Sale entry '!$AC$2:$AC$1501))),2))</f>
        <v/>
      </c>
      <c r="C65" s="8">
        <f>IF($A65="","",'Opening Balance'!$B$5+SUM('Daily Sale entry '!$I$2:I65)-SUMIFS('Daily Sale entry '!$AB$2:$AB$1501,'Daily Sale entry '!$X$2:$X$1501,"&lt;="&amp;$A65,'Daily Sale entry '!$Z$2:$Z$1501,"Cheque deposit 支票存入")-COUNTIFS('Daily Sale entry '!$Q$2:$Q$1501,"Collection 收款",'Daily Sale entry '!$R$2:$R$1501,"Cheque 支票",'Daily Sale entry '!$V$2:$V$1501,"&lt;="&amp;$A65))</f>
        <v/>
      </c>
      <c r="D65" s="6">
        <f>IF($A65="","",ROUND('Opening Balance'!$B$6+SUM('Daily Sale entry '!$J$2:J65)-SUMIFS('Daily Sale entry '!$AC$2:$AC$1501,'Daily Sale entry '!$X$2:$X$1501,"&lt;="&amp;$A65,'Daily Sale entry '!$Z$2:$Z$1501,"Cheque deposit 支票存入")-SUMPRODUCT(('Daily Sale entry '!$Q$2:$Q$1501="Collection 收款")*('Daily Sale entry '!$R$2:$R$1501="Cheque 支票")*('Daily Sale entry '!$V$2:$V$1501&lt;&gt;"")*('Daily Sale entry '!$V$2:$V$1501&lt;=$A65)*('Daily Sale entry '!$S$2:$S$1501-'Opening Balance'!$B$15*('Daily Sale entry '!$R$2:$R$1501="Cheque 支票")*('Daily Sale entry '!$S$2:$S$1501-TRUNC('Daily Sale entry '!$S$2:$S$1501)))),2))</f>
        <v/>
      </c>
      <c r="E65" s="6">
        <f>IF($A65="","",'Opening Balance'!$B$7)</f>
        <v/>
      </c>
      <c r="F65" s="6">
        <f>IF($A65="","",ROUND(SUMIFS('Daily Sale entry '!$L$2:$L$367,'Daily Sale entry '!$A$2:$A$367,"&gt;="&amp;DATE(YEAR($A65),MONTH($A65),1),'Daily Sale entry '!$A$2:$A$367,"&lt;="&amp;$A65)+SUMIFS('Daily Sale entry '!$M$2:$M$367,'Daily Sale entry '!$A$2:$A$367,"&gt;="&amp;DATE(YEAR($A65),MONTH($A65),1),'Daily Sale entry '!$A$2:$A$367,"&lt;="&amp;$A65)+IF(AND(YEAR($A65)=YEAR('Daily Sale entry '!$A$2),MONTH($A65)=MONTH('Daily Sale entry '!$A$2)),'Opening Balance'!$B$8,0),2))</f>
        <v/>
      </c>
      <c r="G65" s="6">
        <f>IF($A65="","",MOD(ROUND('Opening Balance'!$B$9+SUMIFS('Sales &amp; Collection'!$L$1:$L$885,'Sales &amp; Collection'!$K$1:$K$885,"cash collection*"),2),'Opening Balance'!$B$11))</f>
        <v/>
      </c>
      <c r="H65" s="6">
        <f>IF($A65="","",ROUND('Opening Balance'!$B$10+'Opening Balance'!$B$9+SUMIFS('Sales &amp; Collection'!$L$1:$L$885,'Sales &amp; Collection'!$K$1:$K$885,"cash collection*")-G65-SUMIFS('Daily Sale entry '!$AC$2:$AC$1501,'Daily Sale entry '!$X$2:$X$1501,"&lt;="&amp;$A65,'Daily Sale entry '!$Z$2:$Z$1501,"Cash deposit 现金存入"),2))</f>
        <v/>
      </c>
      <c r="I65" s="6">
        <f>IF($A65="","",ROUND(B65+D65+E65+F65+G65+H65,2))</f>
        <v/>
      </c>
      <c r="J65" s="6">
        <f>IF($A65="","",'AR &amp; AP'!K66)</f>
        <v/>
      </c>
      <c r="K65" s="6">
        <f>IF($A65="","",ROUND(I65-J65-SUMIFS('Daily Sale entry '!$AC$2:$AC$1501,'Daily Sale entry '!$X$2:$X$1501,"&lt;="&amp;$A65,'Daily Sale entry '!$Z$2:$Z$1501,"Other deposit 其他存入")+SUMIFS('Daily Sale entry '!$AD$2:$AD$1501,'Daily Sale entry '!$X$2:$X$1501,"&lt;="&amp;$A65)+('Opening Balance'!$B$8+SUM('Daily Sale entry '!$L$2:M65)-F65),2))</f>
        <v/>
      </c>
      <c r="L65">
        <f>IF($A65="","",IF(ABS('Sales &amp; Collection'!$B$894)&gt;'Opening Balance'!$B$16,"ALERT 警报: Different "&amp;TEXT('Sales &amp; Collection'!$B$894,"#,##0.00")&amp;" 差额过大",""))</f>
        <v/>
      </c>
    </row>
    <row r="66">
      <c r="A66" s="5">
        <f>IF('Daily Sale entry '!A66="","",'Daily Sale entry '!A66)</f>
        <v/>
      </c>
      <c r="B66" s="6">
        <f>IF($A66="","",ROUND('Opening Balance'!$B$4+SUM('Daily Sale entry '!$K$2:K66)+SUMIFS('Daily Sale entry '!$AC$2:$AC$1501,'Daily Sale entry '!$X$2:$X$1501,"&lt;="&amp;$A66)-SUMIFS('Daily Sale entry '!$AD$2:$AD$1501,'Daily Sale entry '!$X$2:$X$1501,"&lt;="&amp;$A66)+SUMPRODUCT(('Daily Sale entry '!$Q$2:$Q$1501="Collection 收款")*('Daily Sale entry '!$R$2:$R$1501="Cheque 支票")*('Daily Sale entry '!$V$2:$V$1501&lt;&gt;"")*('Daily Sale entry '!$V$2:$V$1501&lt;=$A66)*('Daily Sale entry '!$S$2:$S$1501-'Opening Balance'!$B$15*('Daily Sale entry '!$R$2:$R$1501="Cheque 支票")*('Daily Sale entry '!$S$2:$S$1501-TRUNC('Daily Sale entry '!$S$2:$S$1501))))-'Opening Balance'!$B$15*SUMPRODUCT(('Daily Sale entry '!$X$2:$X$1501&lt;=$A66)*('Daily Sale entry '!$Z$2:$Z$1501="Online collection 网上收款")*('Daily Sale entry '!$AA$2:$AA$1501&lt;&gt;"")*('Daily Sale entry '!$AC$2:$AC$1501-TRUNC('Daily Sale entry '!$AC$2:$AC$1501))),2))</f>
        <v/>
      </c>
      <c r="C66" s="8">
        <f>IF($A66="","",'Opening Balance'!$B$5+SUM('Daily Sale entry '!$I$2:I66)-SUMIFS('Daily Sale entry '!$AB$2:$AB$1501,'Daily Sale entry '!$X$2:$X$1501,"&lt;="&amp;$A66,'Daily Sale entry '!$Z$2:$Z$1501,"Cheque deposit 支票存入")-COUNTIFS('Daily Sale entry '!$Q$2:$Q$1501,"Collection 收款",'Daily Sale entry '!$R$2:$R$1501,"Cheque 支票",'Daily Sale entry '!$V$2:$V$1501,"&lt;="&amp;$A66))</f>
        <v/>
      </c>
      <c r="D66" s="6">
        <f>IF($A66="","",ROUND('Opening Balance'!$B$6+SUM('Daily Sale entry '!$J$2:J66)-SUMIFS('Daily Sale entry '!$AC$2:$AC$1501,'Daily Sale entry '!$X$2:$X$1501,"&lt;="&amp;$A66,'Daily Sale entry '!$Z$2:$Z$1501,"Cheque deposit 支票存入")-SUMPRODUCT(('Daily Sale entry '!$Q$2:$Q$1501="Collection 收款")*('Daily Sale entry '!$R$2:$R$1501="Cheque 支票")*('Daily Sale entry '!$V$2:$V$1501&lt;&gt;"")*('Daily Sale entry '!$V$2:$V$1501&lt;=$A66)*('Daily Sale entry '!$S$2:$S$1501-'Opening Balance'!$B$15*('Daily Sale entry '!$R$2:$R$1501="Cheque 支票")*('Daily Sale entry '!$S$2:$S$1501-TRUNC('Daily Sale entry '!$S$2:$S$1501)))),2))</f>
        <v/>
      </c>
      <c r="E66" s="6">
        <f>IF($A66="","",'Opening Balance'!$B$7)</f>
        <v/>
      </c>
      <c r="F66" s="6">
        <f>IF($A66="","",ROUND(SUMIFS('Daily Sale entry '!$L$2:$L$367,'Daily Sale entry '!$A$2:$A$367,"&gt;="&amp;DATE(YEAR($A66),MONTH($A66),1),'Daily Sale entry '!$A$2:$A$367,"&lt;="&amp;$A66)+SUMIFS('Daily Sale entry '!$M$2:$M$367,'Daily Sale entry '!$A$2:$A$367,"&gt;="&amp;DATE(YEAR($A66),MONTH($A66),1),'Daily Sale entry '!$A$2:$A$367,"&lt;="&amp;$A66)+IF(AND(YEAR($A66)=YEAR('Daily Sale entry '!$A$2),MONTH($A66)=MONTH('Daily Sale entry '!$A$2)),'Opening Balance'!$B$8,0),2))</f>
        <v/>
      </c>
      <c r="G66" s="6">
        <f>IF($A66="","",MOD(ROUND('Opening Balance'!$B$9+SUMIFS('Sales &amp; Collection'!$L$1:$L$899,'Sales &amp; Collection'!$K$1:$K$899,"cash collection*"),2),'Opening Balance'!$B$11))</f>
        <v/>
      </c>
      <c r="H66" s="6">
        <f>IF($A66="","",ROUND('Opening Balance'!$B$10+'Opening Balance'!$B$9+SUMIFS('Sales &amp; Collection'!$L$1:$L$899,'Sales &amp; Collection'!$K$1:$K$899,"cash collection*")-G66-SUMIFS('Daily Sale entry '!$AC$2:$AC$1501,'Daily Sale entry '!$X$2:$X$1501,"&lt;="&amp;$A66,'Daily Sale entry '!$Z$2:$Z$1501,"Cash deposit 现金存入"),2))</f>
        <v/>
      </c>
      <c r="I66" s="6">
        <f>IF($A66="","",ROUND(B66+D66+E66+F66+G66+H66,2))</f>
        <v/>
      </c>
      <c r="J66" s="6">
        <f>IF($A66="","",'AR &amp; AP'!K67)</f>
        <v/>
      </c>
      <c r="K66" s="6">
        <f>IF($A66="","",ROUND(I66-J66-SUMIFS('Daily Sale entry '!$AC$2:$AC$1501,'Daily Sale entry '!$X$2:$X$1501,"&lt;="&amp;$A66,'Daily Sale entry '!$Z$2:$Z$1501,"Other deposit 其他存入")+SUMIFS('Daily Sale entry '!$AD$2:$AD$1501,'Daily Sale entry '!$X$2:$X$1501,"&lt;="&amp;$A66)+('Opening Balance'!$B$8+SUM('Daily Sale entry '!$L$2:M66)-F66),2))</f>
        <v/>
      </c>
      <c r="L66">
        <f>IF($A66="","",IF(ABS('Sales &amp; Collection'!$B$908)&gt;'Opening Balance'!$B$16,"ALERT 警报: Different "&amp;TEXT('Sales &amp; Collection'!$B$908,"#,##0.00")&amp;" 差额过大",""))</f>
        <v/>
      </c>
    </row>
    <row r="67">
      <c r="A67" s="5">
        <f>IF('Daily Sale entry '!A67="","",'Daily Sale entry '!A67)</f>
        <v/>
      </c>
      <c r="B67" s="6">
        <f>IF($A67="","",ROUND('Opening Balance'!$B$4+SUM('Daily Sale entry '!$K$2:K67)+SUMIFS('Daily Sale entry '!$AC$2:$AC$1501,'Daily Sale entry '!$X$2:$X$1501,"&lt;="&amp;$A67)-SUMIFS('Daily Sale entry '!$AD$2:$AD$1501,'Daily Sale entry '!$X$2:$X$1501,"&lt;="&amp;$A67)+SUMPRODUCT(('Daily Sale entry '!$Q$2:$Q$1501="Collection 收款")*('Daily Sale entry '!$R$2:$R$1501="Cheque 支票")*('Daily Sale entry '!$V$2:$V$1501&lt;&gt;"")*('Daily Sale entry '!$V$2:$V$1501&lt;=$A67)*('Daily Sale entry '!$S$2:$S$1501-'Opening Balance'!$B$15*('Daily Sale entry '!$R$2:$R$1501="Cheque 支票")*('Daily Sale entry '!$S$2:$S$1501-TRUNC('Daily Sale entry '!$S$2:$S$1501))))-'Opening Balance'!$B$15*SUMPRODUCT(('Daily Sale entry '!$X$2:$X$1501&lt;=$A67)*('Daily Sale entry '!$Z$2:$Z$1501="Online collection 网上收款")*('Daily Sale entry '!$AA$2:$AA$1501&lt;&gt;"")*('Daily Sale entry '!$AC$2:$AC$1501-TRUNC('Daily Sale entry '!$AC$2:$AC$1501))),2))</f>
        <v/>
      </c>
      <c r="C67" s="8">
        <f>IF($A67="","",'Opening Balance'!$B$5+SUM('Daily Sale entry '!$I$2:I67)-SUMIFS('Daily Sale entry '!$AB$2:$AB$1501,'Daily Sale entry '!$X$2:$X$1501,"&lt;="&amp;$A67,'Daily Sale entry '!$Z$2:$Z$1501,"Cheque deposit 支票存入")-COUNTIFS('Daily Sale entry '!$Q$2:$Q$1501,"Collection 收款",'Daily Sale entry '!$R$2:$R$1501,"Cheque 支票",'Daily Sale entry '!$V$2:$V$1501,"&lt;="&amp;$A67))</f>
        <v/>
      </c>
      <c r="D67" s="6">
        <f>IF($A67="","",ROUND('Opening Balance'!$B$6+SUM('Daily Sale entry '!$J$2:J67)-SUMIFS('Daily Sale entry '!$AC$2:$AC$1501,'Daily Sale entry '!$X$2:$X$1501,"&lt;="&amp;$A67,'Daily Sale entry '!$Z$2:$Z$1501,"Cheque deposit 支票存入")-SUMPRODUCT(('Daily Sale entry '!$Q$2:$Q$1501="Collection 收款")*('Daily Sale entry '!$R$2:$R$1501="Cheque 支票")*('Daily Sale entry '!$V$2:$V$1501&lt;&gt;"")*('Daily Sale entry '!$V$2:$V$1501&lt;=$A67)*('Daily Sale entry '!$S$2:$S$1501-'Opening Balance'!$B$15*('Daily Sale entry '!$R$2:$R$1501="Cheque 支票")*('Daily Sale entry '!$S$2:$S$1501-TRUNC('Daily Sale entry '!$S$2:$S$1501)))),2))</f>
        <v/>
      </c>
      <c r="E67" s="6">
        <f>IF($A67="","",'Opening Balance'!$B$7)</f>
        <v/>
      </c>
      <c r="F67" s="6">
        <f>IF($A67="","",ROUND(SUMIFS('Daily Sale entry '!$L$2:$L$367,'Daily Sale entry '!$A$2:$A$367,"&gt;="&amp;DATE(YEAR($A67),MONTH($A67),1),'Daily Sale entry '!$A$2:$A$367,"&lt;="&amp;$A67)+SUMIFS('Daily Sale entry '!$M$2:$M$367,'Daily Sale entry '!$A$2:$A$367,"&gt;="&amp;DATE(YEAR($A67),MONTH($A67),1),'Daily Sale entry '!$A$2:$A$367,"&lt;="&amp;$A67)+IF(AND(YEAR($A67)=YEAR('Daily Sale entry '!$A$2),MONTH($A67)=MONTH('Daily Sale entry '!$A$2)),'Opening Balance'!$B$8,0),2))</f>
        <v/>
      </c>
      <c r="G67" s="6">
        <f>IF($A67="","",MOD(ROUND('Opening Balance'!$B$9+SUMIFS('Sales &amp; Collection'!$L$1:$L$913,'Sales &amp; Collection'!$K$1:$K$913,"cash collection*"),2),'Opening Balance'!$B$11))</f>
        <v/>
      </c>
      <c r="H67" s="6">
        <f>IF($A67="","",ROUND('Opening Balance'!$B$10+'Opening Balance'!$B$9+SUMIFS('Sales &amp; Collection'!$L$1:$L$913,'Sales &amp; Collection'!$K$1:$K$913,"cash collection*")-G67-SUMIFS('Daily Sale entry '!$AC$2:$AC$1501,'Daily Sale entry '!$X$2:$X$1501,"&lt;="&amp;$A67,'Daily Sale entry '!$Z$2:$Z$1501,"Cash deposit 现金存入"),2))</f>
        <v/>
      </c>
      <c r="I67" s="6">
        <f>IF($A67="","",ROUND(B67+D67+E67+F67+G67+H67,2))</f>
        <v/>
      </c>
      <c r="J67" s="6">
        <f>IF($A67="","",'AR &amp; AP'!K68)</f>
        <v/>
      </c>
      <c r="K67" s="6">
        <f>IF($A67="","",ROUND(I67-J67-SUMIFS('Daily Sale entry '!$AC$2:$AC$1501,'Daily Sale entry '!$X$2:$X$1501,"&lt;="&amp;$A67,'Daily Sale entry '!$Z$2:$Z$1501,"Other deposit 其他存入")+SUMIFS('Daily Sale entry '!$AD$2:$AD$1501,'Daily Sale entry '!$X$2:$X$1501,"&lt;="&amp;$A67)+('Opening Balance'!$B$8+SUM('Daily Sale entry '!$L$2:M67)-F67),2))</f>
        <v/>
      </c>
      <c r="L67">
        <f>IF($A67="","",IF(ABS('Sales &amp; Collection'!$B$922)&gt;'Opening Balance'!$B$16,"ALERT 警报: Different "&amp;TEXT('Sales &amp; Collection'!$B$922,"#,##0.00")&amp;" 差额过大",""))</f>
        <v/>
      </c>
    </row>
    <row r="68">
      <c r="A68" s="5">
        <f>IF('Daily Sale entry '!A68="","",'Daily Sale entry '!A68)</f>
        <v/>
      </c>
      <c r="B68" s="6">
        <f>IF($A68="","",ROUND('Opening Balance'!$B$4+SUM('Daily Sale entry '!$K$2:K68)+SUMIFS('Daily Sale entry '!$AC$2:$AC$1501,'Daily Sale entry '!$X$2:$X$1501,"&lt;="&amp;$A68)-SUMIFS('Daily Sale entry '!$AD$2:$AD$1501,'Daily Sale entry '!$X$2:$X$1501,"&lt;="&amp;$A68)+SUMPRODUCT(('Daily Sale entry '!$Q$2:$Q$1501="Collection 收款")*('Daily Sale entry '!$R$2:$R$1501="Cheque 支票")*('Daily Sale entry '!$V$2:$V$1501&lt;&gt;"")*('Daily Sale entry '!$V$2:$V$1501&lt;=$A68)*('Daily Sale entry '!$S$2:$S$1501-'Opening Balance'!$B$15*('Daily Sale entry '!$R$2:$R$1501="Cheque 支票")*('Daily Sale entry '!$S$2:$S$1501-TRUNC('Daily Sale entry '!$S$2:$S$1501))))-'Opening Balance'!$B$15*SUMPRODUCT(('Daily Sale entry '!$X$2:$X$1501&lt;=$A68)*('Daily Sale entry '!$Z$2:$Z$1501="Online collection 网上收款")*('Daily Sale entry '!$AA$2:$AA$1501&lt;&gt;"")*('Daily Sale entry '!$AC$2:$AC$1501-TRUNC('Daily Sale entry '!$AC$2:$AC$1501))),2))</f>
        <v/>
      </c>
      <c r="C68" s="8">
        <f>IF($A68="","",'Opening Balance'!$B$5+SUM('Daily Sale entry '!$I$2:I68)-SUMIFS('Daily Sale entry '!$AB$2:$AB$1501,'Daily Sale entry '!$X$2:$X$1501,"&lt;="&amp;$A68,'Daily Sale entry '!$Z$2:$Z$1501,"Cheque deposit 支票存入")-COUNTIFS('Daily Sale entry '!$Q$2:$Q$1501,"Collection 收款",'Daily Sale entry '!$R$2:$R$1501,"Cheque 支票",'Daily Sale entry '!$V$2:$V$1501,"&lt;="&amp;$A68))</f>
        <v/>
      </c>
      <c r="D68" s="6">
        <f>IF($A68="","",ROUND('Opening Balance'!$B$6+SUM('Daily Sale entry '!$J$2:J68)-SUMIFS('Daily Sale entry '!$AC$2:$AC$1501,'Daily Sale entry '!$X$2:$X$1501,"&lt;="&amp;$A68,'Daily Sale entry '!$Z$2:$Z$1501,"Cheque deposit 支票存入")-SUMPRODUCT(('Daily Sale entry '!$Q$2:$Q$1501="Collection 收款")*('Daily Sale entry '!$R$2:$R$1501="Cheque 支票")*('Daily Sale entry '!$V$2:$V$1501&lt;&gt;"")*('Daily Sale entry '!$V$2:$V$1501&lt;=$A68)*('Daily Sale entry '!$S$2:$S$1501-'Opening Balance'!$B$15*('Daily Sale entry '!$R$2:$R$1501="Cheque 支票")*('Daily Sale entry '!$S$2:$S$1501-TRUNC('Daily Sale entry '!$S$2:$S$1501)))),2))</f>
        <v/>
      </c>
      <c r="E68" s="6">
        <f>IF($A68="","",'Opening Balance'!$B$7)</f>
        <v/>
      </c>
      <c r="F68" s="6">
        <f>IF($A68="","",ROUND(SUMIFS('Daily Sale entry '!$L$2:$L$367,'Daily Sale entry '!$A$2:$A$367,"&gt;="&amp;DATE(YEAR($A68),MONTH($A68),1),'Daily Sale entry '!$A$2:$A$367,"&lt;="&amp;$A68)+SUMIFS('Daily Sale entry '!$M$2:$M$367,'Daily Sale entry '!$A$2:$A$367,"&gt;="&amp;DATE(YEAR($A68),MONTH($A68),1),'Daily Sale entry '!$A$2:$A$367,"&lt;="&amp;$A68)+IF(AND(YEAR($A68)=YEAR('Daily Sale entry '!$A$2),MONTH($A68)=MONTH('Daily Sale entry '!$A$2)),'Opening Balance'!$B$8,0),2))</f>
        <v/>
      </c>
      <c r="G68" s="6">
        <f>IF($A68="","",MOD(ROUND('Opening Balance'!$B$9+SUMIFS('Sales &amp; Collection'!$L$1:$L$927,'Sales &amp; Collection'!$K$1:$K$927,"cash collection*"),2),'Opening Balance'!$B$11))</f>
        <v/>
      </c>
      <c r="H68" s="6">
        <f>IF($A68="","",ROUND('Opening Balance'!$B$10+'Opening Balance'!$B$9+SUMIFS('Sales &amp; Collection'!$L$1:$L$927,'Sales &amp; Collection'!$K$1:$K$927,"cash collection*")-G68-SUMIFS('Daily Sale entry '!$AC$2:$AC$1501,'Daily Sale entry '!$X$2:$X$1501,"&lt;="&amp;$A68,'Daily Sale entry '!$Z$2:$Z$1501,"Cash deposit 现金存入"),2))</f>
        <v/>
      </c>
      <c r="I68" s="6">
        <f>IF($A68="","",ROUND(B68+D68+E68+F68+G68+H68,2))</f>
        <v/>
      </c>
      <c r="J68" s="6">
        <f>IF($A68="","",'AR &amp; AP'!K69)</f>
        <v/>
      </c>
      <c r="K68" s="6">
        <f>IF($A68="","",ROUND(I68-J68-SUMIFS('Daily Sale entry '!$AC$2:$AC$1501,'Daily Sale entry '!$X$2:$X$1501,"&lt;="&amp;$A68,'Daily Sale entry '!$Z$2:$Z$1501,"Other deposit 其他存入")+SUMIFS('Daily Sale entry '!$AD$2:$AD$1501,'Daily Sale entry '!$X$2:$X$1501,"&lt;="&amp;$A68)+('Opening Balance'!$B$8+SUM('Daily Sale entry '!$L$2:M68)-F68),2))</f>
        <v/>
      </c>
      <c r="L68">
        <f>IF($A68="","",IF(ABS('Sales &amp; Collection'!$B$936)&gt;'Opening Balance'!$B$16,"ALERT 警报: Different "&amp;TEXT('Sales &amp; Collection'!$B$936,"#,##0.00")&amp;" 差额过大",""))</f>
        <v/>
      </c>
    </row>
    <row r="69">
      <c r="A69" s="5">
        <f>IF('Daily Sale entry '!A69="","",'Daily Sale entry '!A69)</f>
        <v/>
      </c>
      <c r="B69" s="6">
        <f>IF($A69="","",ROUND('Opening Balance'!$B$4+SUM('Daily Sale entry '!$K$2:K69)+SUMIFS('Daily Sale entry '!$AC$2:$AC$1501,'Daily Sale entry '!$X$2:$X$1501,"&lt;="&amp;$A69)-SUMIFS('Daily Sale entry '!$AD$2:$AD$1501,'Daily Sale entry '!$X$2:$X$1501,"&lt;="&amp;$A69)+SUMPRODUCT(('Daily Sale entry '!$Q$2:$Q$1501="Collection 收款")*('Daily Sale entry '!$R$2:$R$1501="Cheque 支票")*('Daily Sale entry '!$V$2:$V$1501&lt;&gt;"")*('Daily Sale entry '!$V$2:$V$1501&lt;=$A69)*('Daily Sale entry '!$S$2:$S$1501-'Opening Balance'!$B$15*('Daily Sale entry '!$R$2:$R$1501="Cheque 支票")*('Daily Sale entry '!$S$2:$S$1501-TRUNC('Daily Sale entry '!$S$2:$S$1501))))-'Opening Balance'!$B$15*SUMPRODUCT(('Daily Sale entry '!$X$2:$X$1501&lt;=$A69)*('Daily Sale entry '!$Z$2:$Z$1501="Online collection 网上收款")*('Daily Sale entry '!$AA$2:$AA$1501&lt;&gt;"")*('Daily Sale entry '!$AC$2:$AC$1501-TRUNC('Daily Sale entry '!$AC$2:$AC$1501))),2))</f>
        <v/>
      </c>
      <c r="C69" s="8">
        <f>IF($A69="","",'Opening Balance'!$B$5+SUM('Daily Sale entry '!$I$2:I69)-SUMIFS('Daily Sale entry '!$AB$2:$AB$1501,'Daily Sale entry '!$X$2:$X$1501,"&lt;="&amp;$A69,'Daily Sale entry '!$Z$2:$Z$1501,"Cheque deposit 支票存入")-COUNTIFS('Daily Sale entry '!$Q$2:$Q$1501,"Collection 收款",'Daily Sale entry '!$R$2:$R$1501,"Cheque 支票",'Daily Sale entry '!$V$2:$V$1501,"&lt;="&amp;$A69))</f>
        <v/>
      </c>
      <c r="D69" s="6">
        <f>IF($A69="","",ROUND('Opening Balance'!$B$6+SUM('Daily Sale entry '!$J$2:J69)-SUMIFS('Daily Sale entry '!$AC$2:$AC$1501,'Daily Sale entry '!$X$2:$X$1501,"&lt;="&amp;$A69,'Daily Sale entry '!$Z$2:$Z$1501,"Cheque deposit 支票存入")-SUMPRODUCT(('Daily Sale entry '!$Q$2:$Q$1501="Collection 收款")*('Daily Sale entry '!$R$2:$R$1501="Cheque 支票")*('Daily Sale entry '!$V$2:$V$1501&lt;&gt;"")*('Daily Sale entry '!$V$2:$V$1501&lt;=$A69)*('Daily Sale entry '!$S$2:$S$1501-'Opening Balance'!$B$15*('Daily Sale entry '!$R$2:$R$1501="Cheque 支票")*('Daily Sale entry '!$S$2:$S$1501-TRUNC('Daily Sale entry '!$S$2:$S$1501)))),2))</f>
        <v/>
      </c>
      <c r="E69" s="6">
        <f>IF($A69="","",'Opening Balance'!$B$7)</f>
        <v/>
      </c>
      <c r="F69" s="6">
        <f>IF($A69="","",ROUND(SUMIFS('Daily Sale entry '!$L$2:$L$367,'Daily Sale entry '!$A$2:$A$367,"&gt;="&amp;DATE(YEAR($A69),MONTH($A69),1),'Daily Sale entry '!$A$2:$A$367,"&lt;="&amp;$A69)+SUMIFS('Daily Sale entry '!$M$2:$M$367,'Daily Sale entry '!$A$2:$A$367,"&gt;="&amp;DATE(YEAR($A69),MONTH($A69),1),'Daily Sale entry '!$A$2:$A$367,"&lt;="&amp;$A69)+IF(AND(YEAR($A69)=YEAR('Daily Sale entry '!$A$2),MONTH($A69)=MONTH('Daily Sale entry '!$A$2)),'Opening Balance'!$B$8,0),2))</f>
        <v/>
      </c>
      <c r="G69" s="6">
        <f>IF($A69="","",MOD(ROUND('Opening Balance'!$B$9+SUMIFS('Sales &amp; Collection'!$L$1:$L$941,'Sales &amp; Collection'!$K$1:$K$941,"cash collection*"),2),'Opening Balance'!$B$11))</f>
        <v/>
      </c>
      <c r="H69" s="6">
        <f>IF($A69="","",ROUND('Opening Balance'!$B$10+'Opening Balance'!$B$9+SUMIFS('Sales &amp; Collection'!$L$1:$L$941,'Sales &amp; Collection'!$K$1:$K$941,"cash collection*")-G69-SUMIFS('Daily Sale entry '!$AC$2:$AC$1501,'Daily Sale entry '!$X$2:$X$1501,"&lt;="&amp;$A69,'Daily Sale entry '!$Z$2:$Z$1501,"Cash deposit 现金存入"),2))</f>
        <v/>
      </c>
      <c r="I69" s="6">
        <f>IF($A69="","",ROUND(B69+D69+E69+F69+G69+H69,2))</f>
        <v/>
      </c>
      <c r="J69" s="6">
        <f>IF($A69="","",'AR &amp; AP'!K70)</f>
        <v/>
      </c>
      <c r="K69" s="6">
        <f>IF($A69="","",ROUND(I69-J69-SUMIFS('Daily Sale entry '!$AC$2:$AC$1501,'Daily Sale entry '!$X$2:$X$1501,"&lt;="&amp;$A69,'Daily Sale entry '!$Z$2:$Z$1501,"Other deposit 其他存入")+SUMIFS('Daily Sale entry '!$AD$2:$AD$1501,'Daily Sale entry '!$X$2:$X$1501,"&lt;="&amp;$A69)+('Opening Balance'!$B$8+SUM('Daily Sale entry '!$L$2:M69)-F69),2))</f>
        <v/>
      </c>
      <c r="L69">
        <f>IF($A69="","",IF(ABS('Sales &amp; Collection'!$B$950)&gt;'Opening Balance'!$B$16,"ALERT 警报: Different "&amp;TEXT('Sales &amp; Collection'!$B$950,"#,##0.00")&amp;" 差额过大",""))</f>
        <v/>
      </c>
    </row>
    <row r="70">
      <c r="A70" s="5">
        <f>IF('Daily Sale entry '!A70="","",'Daily Sale entry '!A70)</f>
        <v/>
      </c>
      <c r="B70" s="6">
        <f>IF($A70="","",ROUND('Opening Balance'!$B$4+SUM('Daily Sale entry '!$K$2:K70)+SUMIFS('Daily Sale entry '!$AC$2:$AC$1501,'Daily Sale entry '!$X$2:$X$1501,"&lt;="&amp;$A70)-SUMIFS('Daily Sale entry '!$AD$2:$AD$1501,'Daily Sale entry '!$X$2:$X$1501,"&lt;="&amp;$A70)+SUMPRODUCT(('Daily Sale entry '!$Q$2:$Q$1501="Collection 收款")*('Daily Sale entry '!$R$2:$R$1501="Cheque 支票")*('Daily Sale entry '!$V$2:$V$1501&lt;&gt;"")*('Daily Sale entry '!$V$2:$V$1501&lt;=$A70)*('Daily Sale entry '!$S$2:$S$1501-'Opening Balance'!$B$15*('Daily Sale entry '!$R$2:$R$1501="Cheque 支票")*('Daily Sale entry '!$S$2:$S$1501-TRUNC('Daily Sale entry '!$S$2:$S$1501))))-'Opening Balance'!$B$15*SUMPRODUCT(('Daily Sale entry '!$X$2:$X$1501&lt;=$A70)*('Daily Sale entry '!$Z$2:$Z$1501="Online collection 网上收款")*('Daily Sale entry '!$AA$2:$AA$1501&lt;&gt;"")*('Daily Sale entry '!$AC$2:$AC$1501-TRUNC('Daily Sale entry '!$AC$2:$AC$1501))),2))</f>
        <v/>
      </c>
      <c r="C70" s="8">
        <f>IF($A70="","",'Opening Balance'!$B$5+SUM('Daily Sale entry '!$I$2:I70)-SUMIFS('Daily Sale entry '!$AB$2:$AB$1501,'Daily Sale entry '!$X$2:$X$1501,"&lt;="&amp;$A70,'Daily Sale entry '!$Z$2:$Z$1501,"Cheque deposit 支票存入")-COUNTIFS('Daily Sale entry '!$Q$2:$Q$1501,"Collection 收款",'Daily Sale entry '!$R$2:$R$1501,"Cheque 支票",'Daily Sale entry '!$V$2:$V$1501,"&lt;="&amp;$A70))</f>
        <v/>
      </c>
      <c r="D70" s="6">
        <f>IF($A70="","",ROUND('Opening Balance'!$B$6+SUM('Daily Sale entry '!$J$2:J70)-SUMIFS('Daily Sale entry '!$AC$2:$AC$1501,'Daily Sale entry '!$X$2:$X$1501,"&lt;="&amp;$A70,'Daily Sale entry '!$Z$2:$Z$1501,"Cheque deposit 支票存入")-SUMPRODUCT(('Daily Sale entry '!$Q$2:$Q$1501="Collection 收款")*('Daily Sale entry '!$R$2:$R$1501="Cheque 支票")*('Daily Sale entry '!$V$2:$V$1501&lt;&gt;"")*('Daily Sale entry '!$V$2:$V$1501&lt;=$A70)*('Daily Sale entry '!$S$2:$S$1501-'Opening Balance'!$B$15*('Daily Sale entry '!$R$2:$R$1501="Cheque 支票")*('Daily Sale entry '!$S$2:$S$1501-TRUNC('Daily Sale entry '!$S$2:$S$1501)))),2))</f>
        <v/>
      </c>
      <c r="E70" s="6">
        <f>IF($A70="","",'Opening Balance'!$B$7)</f>
        <v/>
      </c>
      <c r="F70" s="6">
        <f>IF($A70="","",ROUND(SUMIFS('Daily Sale entry '!$L$2:$L$367,'Daily Sale entry '!$A$2:$A$367,"&gt;="&amp;DATE(YEAR($A70),MONTH($A70),1),'Daily Sale entry '!$A$2:$A$367,"&lt;="&amp;$A70)+SUMIFS('Daily Sale entry '!$M$2:$M$367,'Daily Sale entry '!$A$2:$A$367,"&gt;="&amp;DATE(YEAR($A70),MONTH($A70),1),'Daily Sale entry '!$A$2:$A$367,"&lt;="&amp;$A70)+IF(AND(YEAR($A70)=YEAR('Daily Sale entry '!$A$2),MONTH($A70)=MONTH('Daily Sale entry '!$A$2)),'Opening Balance'!$B$8,0),2))</f>
        <v/>
      </c>
      <c r="G70" s="6">
        <f>IF($A70="","",MOD(ROUND('Opening Balance'!$B$9+SUMIFS('Sales &amp; Collection'!$L$1:$L$955,'Sales &amp; Collection'!$K$1:$K$955,"cash collection*"),2),'Opening Balance'!$B$11))</f>
        <v/>
      </c>
      <c r="H70" s="6">
        <f>IF($A70="","",ROUND('Opening Balance'!$B$10+'Opening Balance'!$B$9+SUMIFS('Sales &amp; Collection'!$L$1:$L$955,'Sales &amp; Collection'!$K$1:$K$955,"cash collection*")-G70-SUMIFS('Daily Sale entry '!$AC$2:$AC$1501,'Daily Sale entry '!$X$2:$X$1501,"&lt;="&amp;$A70,'Daily Sale entry '!$Z$2:$Z$1501,"Cash deposit 现金存入"),2))</f>
        <v/>
      </c>
      <c r="I70" s="6">
        <f>IF($A70="","",ROUND(B70+D70+E70+F70+G70+H70,2))</f>
        <v/>
      </c>
      <c r="J70" s="6">
        <f>IF($A70="","",'AR &amp; AP'!K71)</f>
        <v/>
      </c>
      <c r="K70" s="6">
        <f>IF($A70="","",ROUND(I70-J70-SUMIFS('Daily Sale entry '!$AC$2:$AC$1501,'Daily Sale entry '!$X$2:$X$1501,"&lt;="&amp;$A70,'Daily Sale entry '!$Z$2:$Z$1501,"Other deposit 其他存入")+SUMIFS('Daily Sale entry '!$AD$2:$AD$1501,'Daily Sale entry '!$X$2:$X$1501,"&lt;="&amp;$A70)+('Opening Balance'!$B$8+SUM('Daily Sale entry '!$L$2:M70)-F70),2))</f>
        <v/>
      </c>
      <c r="L70">
        <f>IF($A70="","",IF(ABS('Sales &amp; Collection'!$B$964)&gt;'Opening Balance'!$B$16,"ALERT 警报: Different "&amp;TEXT('Sales &amp; Collection'!$B$964,"#,##0.00")&amp;" 差额过大",""))</f>
        <v/>
      </c>
    </row>
    <row r="71">
      <c r="A71" s="5">
        <f>IF('Daily Sale entry '!A71="","",'Daily Sale entry '!A71)</f>
        <v/>
      </c>
      <c r="B71" s="6">
        <f>IF($A71="","",ROUND('Opening Balance'!$B$4+SUM('Daily Sale entry '!$K$2:K71)+SUMIFS('Daily Sale entry '!$AC$2:$AC$1501,'Daily Sale entry '!$X$2:$X$1501,"&lt;="&amp;$A71)-SUMIFS('Daily Sale entry '!$AD$2:$AD$1501,'Daily Sale entry '!$X$2:$X$1501,"&lt;="&amp;$A71)+SUMPRODUCT(('Daily Sale entry '!$Q$2:$Q$1501="Collection 收款")*('Daily Sale entry '!$R$2:$R$1501="Cheque 支票")*('Daily Sale entry '!$V$2:$V$1501&lt;&gt;"")*('Daily Sale entry '!$V$2:$V$1501&lt;=$A71)*('Daily Sale entry '!$S$2:$S$1501-'Opening Balance'!$B$15*('Daily Sale entry '!$R$2:$R$1501="Cheque 支票")*('Daily Sale entry '!$S$2:$S$1501-TRUNC('Daily Sale entry '!$S$2:$S$1501))))-'Opening Balance'!$B$15*SUMPRODUCT(('Daily Sale entry '!$X$2:$X$1501&lt;=$A71)*('Daily Sale entry '!$Z$2:$Z$1501="Online collection 网上收款")*('Daily Sale entry '!$AA$2:$AA$1501&lt;&gt;"")*('Daily Sale entry '!$AC$2:$AC$1501-TRUNC('Daily Sale entry '!$AC$2:$AC$1501))),2))</f>
        <v/>
      </c>
      <c r="C71" s="8">
        <f>IF($A71="","",'Opening Balance'!$B$5+SUM('Daily Sale entry '!$I$2:I71)-SUMIFS('Daily Sale entry '!$AB$2:$AB$1501,'Daily Sale entry '!$X$2:$X$1501,"&lt;="&amp;$A71,'Daily Sale entry '!$Z$2:$Z$1501,"Cheque deposit 支票存入")-COUNTIFS('Daily Sale entry '!$Q$2:$Q$1501,"Collection 收款",'Daily Sale entry '!$R$2:$R$1501,"Cheque 支票",'Daily Sale entry '!$V$2:$V$1501,"&lt;="&amp;$A71))</f>
        <v/>
      </c>
      <c r="D71" s="6">
        <f>IF($A71="","",ROUND('Opening Balance'!$B$6+SUM('Daily Sale entry '!$J$2:J71)-SUMIFS('Daily Sale entry '!$AC$2:$AC$1501,'Daily Sale entry '!$X$2:$X$1501,"&lt;="&amp;$A71,'Daily Sale entry '!$Z$2:$Z$1501,"Cheque deposit 支票存入")-SUMPRODUCT(('Daily Sale entry '!$Q$2:$Q$1501="Collection 收款")*('Daily Sale entry '!$R$2:$R$1501="Cheque 支票")*('Daily Sale entry '!$V$2:$V$1501&lt;&gt;"")*('Daily Sale entry '!$V$2:$V$1501&lt;=$A71)*('Daily Sale entry '!$S$2:$S$1501-'Opening Balance'!$B$15*('Daily Sale entry '!$R$2:$R$1501="Cheque 支票")*('Daily Sale entry '!$S$2:$S$1501-TRUNC('Daily Sale entry '!$S$2:$S$1501)))),2))</f>
        <v/>
      </c>
      <c r="E71" s="6">
        <f>IF($A71="","",'Opening Balance'!$B$7)</f>
        <v/>
      </c>
      <c r="F71" s="6">
        <f>IF($A71="","",ROUND(SUMIFS('Daily Sale entry '!$L$2:$L$367,'Daily Sale entry '!$A$2:$A$367,"&gt;="&amp;DATE(YEAR($A71),MONTH($A71),1),'Daily Sale entry '!$A$2:$A$367,"&lt;="&amp;$A71)+SUMIFS('Daily Sale entry '!$M$2:$M$367,'Daily Sale entry '!$A$2:$A$367,"&gt;="&amp;DATE(YEAR($A71),MONTH($A71),1),'Daily Sale entry '!$A$2:$A$367,"&lt;="&amp;$A71)+IF(AND(YEAR($A71)=YEAR('Daily Sale entry '!$A$2),MONTH($A71)=MONTH('Daily Sale entry '!$A$2)),'Opening Balance'!$B$8,0),2))</f>
        <v/>
      </c>
      <c r="G71" s="6">
        <f>IF($A71="","",MOD(ROUND('Opening Balance'!$B$9+SUMIFS('Sales &amp; Collection'!$L$1:$L$969,'Sales &amp; Collection'!$K$1:$K$969,"cash collection*"),2),'Opening Balance'!$B$11))</f>
        <v/>
      </c>
      <c r="H71" s="6">
        <f>IF($A71="","",ROUND('Opening Balance'!$B$10+'Opening Balance'!$B$9+SUMIFS('Sales &amp; Collection'!$L$1:$L$969,'Sales &amp; Collection'!$K$1:$K$969,"cash collection*")-G71-SUMIFS('Daily Sale entry '!$AC$2:$AC$1501,'Daily Sale entry '!$X$2:$X$1501,"&lt;="&amp;$A71,'Daily Sale entry '!$Z$2:$Z$1501,"Cash deposit 现金存入"),2))</f>
        <v/>
      </c>
      <c r="I71" s="6">
        <f>IF($A71="","",ROUND(B71+D71+E71+F71+G71+H71,2))</f>
        <v/>
      </c>
      <c r="J71" s="6">
        <f>IF($A71="","",'AR &amp; AP'!K72)</f>
        <v/>
      </c>
      <c r="K71" s="6">
        <f>IF($A71="","",ROUND(I71-J71-SUMIFS('Daily Sale entry '!$AC$2:$AC$1501,'Daily Sale entry '!$X$2:$X$1501,"&lt;="&amp;$A71,'Daily Sale entry '!$Z$2:$Z$1501,"Other deposit 其他存入")+SUMIFS('Daily Sale entry '!$AD$2:$AD$1501,'Daily Sale entry '!$X$2:$X$1501,"&lt;="&amp;$A71)+('Opening Balance'!$B$8+SUM('Daily Sale entry '!$L$2:M71)-F71),2))</f>
        <v/>
      </c>
      <c r="L71">
        <f>IF($A71="","",IF(ABS('Sales &amp; Collection'!$B$978)&gt;'Opening Balance'!$B$16,"ALERT 警报: Different "&amp;TEXT('Sales &amp; Collection'!$B$978,"#,##0.00")&amp;" 差额过大",""))</f>
        <v/>
      </c>
    </row>
    <row r="72">
      <c r="A72" s="5">
        <f>IF('Daily Sale entry '!A72="","",'Daily Sale entry '!A72)</f>
        <v/>
      </c>
      <c r="B72" s="6">
        <f>IF($A72="","",ROUND('Opening Balance'!$B$4+SUM('Daily Sale entry '!$K$2:K72)+SUMIFS('Daily Sale entry '!$AC$2:$AC$1501,'Daily Sale entry '!$X$2:$X$1501,"&lt;="&amp;$A72)-SUMIFS('Daily Sale entry '!$AD$2:$AD$1501,'Daily Sale entry '!$X$2:$X$1501,"&lt;="&amp;$A72)+SUMPRODUCT(('Daily Sale entry '!$Q$2:$Q$1501="Collection 收款")*('Daily Sale entry '!$R$2:$R$1501="Cheque 支票")*('Daily Sale entry '!$V$2:$V$1501&lt;&gt;"")*('Daily Sale entry '!$V$2:$V$1501&lt;=$A72)*('Daily Sale entry '!$S$2:$S$1501-'Opening Balance'!$B$15*('Daily Sale entry '!$R$2:$R$1501="Cheque 支票")*('Daily Sale entry '!$S$2:$S$1501-TRUNC('Daily Sale entry '!$S$2:$S$1501))))-'Opening Balance'!$B$15*SUMPRODUCT(('Daily Sale entry '!$X$2:$X$1501&lt;=$A72)*('Daily Sale entry '!$Z$2:$Z$1501="Online collection 网上收款")*('Daily Sale entry '!$AA$2:$AA$1501&lt;&gt;"")*('Daily Sale entry '!$AC$2:$AC$1501-TRUNC('Daily Sale entry '!$AC$2:$AC$1501))),2))</f>
        <v/>
      </c>
      <c r="C72" s="8">
        <f>IF($A72="","",'Opening Balance'!$B$5+SUM('Daily Sale entry '!$I$2:I72)-SUMIFS('Daily Sale entry '!$AB$2:$AB$1501,'Daily Sale entry '!$X$2:$X$1501,"&lt;="&amp;$A72,'Daily Sale entry '!$Z$2:$Z$1501,"Cheque deposit 支票存入")-COUNTIFS('Daily Sale entry '!$Q$2:$Q$1501,"Collection 收款",'Daily Sale entry '!$R$2:$R$1501,"Cheque 支票",'Daily Sale entry '!$V$2:$V$1501,"&lt;="&amp;$A72))</f>
        <v/>
      </c>
      <c r="D72" s="6">
        <f>IF($A72="","",ROUND('Opening Balance'!$B$6+SUM('Daily Sale entry '!$J$2:J72)-SUMIFS('Daily Sale entry '!$AC$2:$AC$1501,'Daily Sale entry '!$X$2:$X$1501,"&lt;="&amp;$A72,'Daily Sale entry '!$Z$2:$Z$1501,"Cheque deposit 支票存入")-SUMPRODUCT(('Daily Sale entry '!$Q$2:$Q$1501="Collection 收款")*('Daily Sale entry '!$R$2:$R$1501="Cheque 支票")*('Daily Sale entry '!$V$2:$V$1501&lt;&gt;"")*('Daily Sale entry '!$V$2:$V$1501&lt;=$A72)*('Daily Sale entry '!$S$2:$S$1501-'Opening Balance'!$B$15*('Daily Sale entry '!$R$2:$R$1501="Cheque 支票")*('Daily Sale entry '!$S$2:$S$1501-TRUNC('Daily Sale entry '!$S$2:$S$1501)))),2))</f>
        <v/>
      </c>
      <c r="E72" s="6">
        <f>IF($A72="","",'Opening Balance'!$B$7)</f>
        <v/>
      </c>
      <c r="F72" s="6">
        <f>IF($A72="","",ROUND(SUMIFS('Daily Sale entry '!$L$2:$L$367,'Daily Sale entry '!$A$2:$A$367,"&gt;="&amp;DATE(YEAR($A72),MONTH($A72),1),'Daily Sale entry '!$A$2:$A$367,"&lt;="&amp;$A72)+SUMIFS('Daily Sale entry '!$M$2:$M$367,'Daily Sale entry '!$A$2:$A$367,"&gt;="&amp;DATE(YEAR($A72),MONTH($A72),1),'Daily Sale entry '!$A$2:$A$367,"&lt;="&amp;$A72)+IF(AND(YEAR($A72)=YEAR('Daily Sale entry '!$A$2),MONTH($A72)=MONTH('Daily Sale entry '!$A$2)),'Opening Balance'!$B$8,0),2))</f>
        <v/>
      </c>
      <c r="G72" s="6">
        <f>IF($A72="","",MOD(ROUND('Opening Balance'!$B$9+SUMIFS('Sales &amp; Collection'!$L$1:$L$983,'Sales &amp; Collection'!$K$1:$K$983,"cash collection*"),2),'Opening Balance'!$B$11))</f>
        <v/>
      </c>
      <c r="H72" s="6">
        <f>IF($A72="","",ROUND('Opening Balance'!$B$10+'Opening Balance'!$B$9+SUMIFS('Sales &amp; Collection'!$L$1:$L$983,'Sales &amp; Collection'!$K$1:$K$983,"cash collection*")-G72-SUMIFS('Daily Sale entry '!$AC$2:$AC$1501,'Daily Sale entry '!$X$2:$X$1501,"&lt;="&amp;$A72,'Daily Sale entry '!$Z$2:$Z$1501,"Cash deposit 现金存入"),2))</f>
        <v/>
      </c>
      <c r="I72" s="6">
        <f>IF($A72="","",ROUND(B72+D72+E72+F72+G72+H72,2))</f>
        <v/>
      </c>
      <c r="J72" s="6">
        <f>IF($A72="","",'AR &amp; AP'!K73)</f>
        <v/>
      </c>
      <c r="K72" s="6">
        <f>IF($A72="","",ROUND(I72-J72-SUMIFS('Daily Sale entry '!$AC$2:$AC$1501,'Daily Sale entry '!$X$2:$X$1501,"&lt;="&amp;$A72,'Daily Sale entry '!$Z$2:$Z$1501,"Other deposit 其他存入")+SUMIFS('Daily Sale entry '!$AD$2:$AD$1501,'Daily Sale entry '!$X$2:$X$1501,"&lt;="&amp;$A72)+('Opening Balance'!$B$8+SUM('Daily Sale entry '!$L$2:M72)-F72),2))</f>
        <v/>
      </c>
      <c r="L72">
        <f>IF($A72="","",IF(ABS('Sales &amp; Collection'!$B$992)&gt;'Opening Balance'!$B$16,"ALERT 警报: Different "&amp;TEXT('Sales &amp; Collection'!$B$992,"#,##0.00")&amp;" 差额过大",""))</f>
        <v/>
      </c>
    </row>
    <row r="73">
      <c r="A73" s="5">
        <f>IF('Daily Sale entry '!A73="","",'Daily Sale entry '!A73)</f>
        <v/>
      </c>
      <c r="B73" s="6">
        <f>IF($A73="","",ROUND('Opening Balance'!$B$4+SUM('Daily Sale entry '!$K$2:K73)+SUMIFS('Daily Sale entry '!$AC$2:$AC$1501,'Daily Sale entry '!$X$2:$X$1501,"&lt;="&amp;$A73)-SUMIFS('Daily Sale entry '!$AD$2:$AD$1501,'Daily Sale entry '!$X$2:$X$1501,"&lt;="&amp;$A73)+SUMPRODUCT(('Daily Sale entry '!$Q$2:$Q$1501="Collection 收款")*('Daily Sale entry '!$R$2:$R$1501="Cheque 支票")*('Daily Sale entry '!$V$2:$V$1501&lt;&gt;"")*('Daily Sale entry '!$V$2:$V$1501&lt;=$A73)*('Daily Sale entry '!$S$2:$S$1501-'Opening Balance'!$B$15*('Daily Sale entry '!$R$2:$R$1501="Cheque 支票")*('Daily Sale entry '!$S$2:$S$1501-TRUNC('Daily Sale entry '!$S$2:$S$1501))))-'Opening Balance'!$B$15*SUMPRODUCT(('Daily Sale entry '!$X$2:$X$1501&lt;=$A73)*('Daily Sale entry '!$Z$2:$Z$1501="Online collection 网上收款")*('Daily Sale entry '!$AA$2:$AA$1501&lt;&gt;"")*('Daily Sale entry '!$AC$2:$AC$1501-TRUNC('Daily Sale entry '!$AC$2:$AC$1501))),2))</f>
        <v/>
      </c>
      <c r="C73" s="8">
        <f>IF($A73="","",'Opening Balance'!$B$5+SUM('Daily Sale entry '!$I$2:I73)-SUMIFS('Daily Sale entry '!$AB$2:$AB$1501,'Daily Sale entry '!$X$2:$X$1501,"&lt;="&amp;$A73,'Daily Sale entry '!$Z$2:$Z$1501,"Cheque deposit 支票存入")-COUNTIFS('Daily Sale entry '!$Q$2:$Q$1501,"Collection 收款",'Daily Sale entry '!$R$2:$R$1501,"Cheque 支票",'Daily Sale entry '!$V$2:$V$1501,"&lt;="&amp;$A73))</f>
        <v/>
      </c>
      <c r="D73" s="6">
        <f>IF($A73="","",ROUND('Opening Balance'!$B$6+SUM('Daily Sale entry '!$J$2:J73)-SUMIFS('Daily Sale entry '!$AC$2:$AC$1501,'Daily Sale entry '!$X$2:$X$1501,"&lt;="&amp;$A73,'Daily Sale entry '!$Z$2:$Z$1501,"Cheque deposit 支票存入")-SUMPRODUCT(('Daily Sale entry '!$Q$2:$Q$1501="Collection 收款")*('Daily Sale entry '!$R$2:$R$1501="Cheque 支票")*('Daily Sale entry '!$V$2:$V$1501&lt;&gt;"")*('Daily Sale entry '!$V$2:$V$1501&lt;=$A73)*('Daily Sale entry '!$S$2:$S$1501-'Opening Balance'!$B$15*('Daily Sale entry '!$R$2:$R$1501="Cheque 支票")*('Daily Sale entry '!$S$2:$S$1501-TRUNC('Daily Sale entry '!$S$2:$S$1501)))),2))</f>
        <v/>
      </c>
      <c r="E73" s="6">
        <f>IF($A73="","",'Opening Balance'!$B$7)</f>
        <v/>
      </c>
      <c r="F73" s="6">
        <f>IF($A73="","",ROUND(SUMIFS('Daily Sale entry '!$L$2:$L$367,'Daily Sale entry '!$A$2:$A$367,"&gt;="&amp;DATE(YEAR($A73),MONTH($A73),1),'Daily Sale entry '!$A$2:$A$367,"&lt;="&amp;$A73)+SUMIFS('Daily Sale entry '!$M$2:$M$367,'Daily Sale entry '!$A$2:$A$367,"&gt;="&amp;DATE(YEAR($A73),MONTH($A73),1),'Daily Sale entry '!$A$2:$A$367,"&lt;="&amp;$A73)+IF(AND(YEAR($A73)=YEAR('Daily Sale entry '!$A$2),MONTH($A73)=MONTH('Daily Sale entry '!$A$2)),'Opening Balance'!$B$8,0),2))</f>
        <v/>
      </c>
      <c r="G73" s="6">
        <f>IF($A73="","",MOD(ROUND('Opening Balance'!$B$9+SUMIFS('Sales &amp; Collection'!$L$1:$L$997,'Sales &amp; Collection'!$K$1:$K$997,"cash collection*"),2),'Opening Balance'!$B$11))</f>
        <v/>
      </c>
      <c r="H73" s="6">
        <f>IF($A73="","",ROUND('Opening Balance'!$B$10+'Opening Balance'!$B$9+SUMIFS('Sales &amp; Collection'!$L$1:$L$997,'Sales &amp; Collection'!$K$1:$K$997,"cash collection*")-G73-SUMIFS('Daily Sale entry '!$AC$2:$AC$1501,'Daily Sale entry '!$X$2:$X$1501,"&lt;="&amp;$A73,'Daily Sale entry '!$Z$2:$Z$1501,"Cash deposit 现金存入"),2))</f>
        <v/>
      </c>
      <c r="I73" s="6">
        <f>IF($A73="","",ROUND(B73+D73+E73+F73+G73+H73,2))</f>
        <v/>
      </c>
      <c r="J73" s="6">
        <f>IF($A73="","",'AR &amp; AP'!K74)</f>
        <v/>
      </c>
      <c r="K73" s="6">
        <f>IF($A73="","",ROUND(I73-J73-SUMIFS('Daily Sale entry '!$AC$2:$AC$1501,'Daily Sale entry '!$X$2:$X$1501,"&lt;="&amp;$A73,'Daily Sale entry '!$Z$2:$Z$1501,"Other deposit 其他存入")+SUMIFS('Daily Sale entry '!$AD$2:$AD$1501,'Daily Sale entry '!$X$2:$X$1501,"&lt;="&amp;$A73)+('Opening Balance'!$B$8+SUM('Daily Sale entry '!$L$2:M73)-F73),2))</f>
        <v/>
      </c>
      <c r="L73">
        <f>IF($A73="","",IF(ABS('Sales &amp; Collection'!$B$1006)&gt;'Opening Balance'!$B$16,"ALERT 警报: Different "&amp;TEXT('Sales &amp; Collection'!$B$1006,"#,##0.00")&amp;" 差额过大",""))</f>
        <v/>
      </c>
    </row>
    <row r="74">
      <c r="A74" s="5">
        <f>IF('Daily Sale entry '!A74="","",'Daily Sale entry '!A74)</f>
        <v/>
      </c>
      <c r="B74" s="6">
        <f>IF($A74="","",ROUND('Opening Balance'!$B$4+SUM('Daily Sale entry '!$K$2:K74)+SUMIFS('Daily Sale entry '!$AC$2:$AC$1501,'Daily Sale entry '!$X$2:$X$1501,"&lt;="&amp;$A74)-SUMIFS('Daily Sale entry '!$AD$2:$AD$1501,'Daily Sale entry '!$X$2:$X$1501,"&lt;="&amp;$A74)+SUMPRODUCT(('Daily Sale entry '!$Q$2:$Q$1501="Collection 收款")*('Daily Sale entry '!$R$2:$R$1501="Cheque 支票")*('Daily Sale entry '!$V$2:$V$1501&lt;&gt;"")*('Daily Sale entry '!$V$2:$V$1501&lt;=$A74)*('Daily Sale entry '!$S$2:$S$1501-'Opening Balance'!$B$15*('Daily Sale entry '!$R$2:$R$1501="Cheque 支票")*('Daily Sale entry '!$S$2:$S$1501-TRUNC('Daily Sale entry '!$S$2:$S$1501))))-'Opening Balance'!$B$15*SUMPRODUCT(('Daily Sale entry '!$X$2:$X$1501&lt;=$A74)*('Daily Sale entry '!$Z$2:$Z$1501="Online collection 网上收款")*('Daily Sale entry '!$AA$2:$AA$1501&lt;&gt;"")*('Daily Sale entry '!$AC$2:$AC$1501-TRUNC('Daily Sale entry '!$AC$2:$AC$1501))),2))</f>
        <v/>
      </c>
      <c r="C74" s="8">
        <f>IF($A74="","",'Opening Balance'!$B$5+SUM('Daily Sale entry '!$I$2:I74)-SUMIFS('Daily Sale entry '!$AB$2:$AB$1501,'Daily Sale entry '!$X$2:$X$1501,"&lt;="&amp;$A74,'Daily Sale entry '!$Z$2:$Z$1501,"Cheque deposit 支票存入")-COUNTIFS('Daily Sale entry '!$Q$2:$Q$1501,"Collection 收款",'Daily Sale entry '!$R$2:$R$1501,"Cheque 支票",'Daily Sale entry '!$V$2:$V$1501,"&lt;="&amp;$A74))</f>
        <v/>
      </c>
      <c r="D74" s="6">
        <f>IF($A74="","",ROUND('Opening Balance'!$B$6+SUM('Daily Sale entry '!$J$2:J74)-SUMIFS('Daily Sale entry '!$AC$2:$AC$1501,'Daily Sale entry '!$X$2:$X$1501,"&lt;="&amp;$A74,'Daily Sale entry '!$Z$2:$Z$1501,"Cheque deposit 支票存入")-SUMPRODUCT(('Daily Sale entry '!$Q$2:$Q$1501="Collection 收款")*('Daily Sale entry '!$R$2:$R$1501="Cheque 支票")*('Daily Sale entry '!$V$2:$V$1501&lt;&gt;"")*('Daily Sale entry '!$V$2:$V$1501&lt;=$A74)*('Daily Sale entry '!$S$2:$S$1501-'Opening Balance'!$B$15*('Daily Sale entry '!$R$2:$R$1501="Cheque 支票")*('Daily Sale entry '!$S$2:$S$1501-TRUNC('Daily Sale entry '!$S$2:$S$1501)))),2))</f>
        <v/>
      </c>
      <c r="E74" s="6">
        <f>IF($A74="","",'Opening Balance'!$B$7)</f>
        <v/>
      </c>
      <c r="F74" s="6">
        <f>IF($A74="","",ROUND(SUMIFS('Daily Sale entry '!$L$2:$L$367,'Daily Sale entry '!$A$2:$A$367,"&gt;="&amp;DATE(YEAR($A74),MONTH($A74),1),'Daily Sale entry '!$A$2:$A$367,"&lt;="&amp;$A74)+SUMIFS('Daily Sale entry '!$M$2:$M$367,'Daily Sale entry '!$A$2:$A$367,"&gt;="&amp;DATE(YEAR($A74),MONTH($A74),1),'Daily Sale entry '!$A$2:$A$367,"&lt;="&amp;$A74)+IF(AND(YEAR($A74)=YEAR('Daily Sale entry '!$A$2),MONTH($A74)=MONTH('Daily Sale entry '!$A$2)),'Opening Balance'!$B$8,0),2))</f>
        <v/>
      </c>
      <c r="G74" s="6">
        <f>IF($A74="","",MOD(ROUND('Opening Balance'!$B$9+SUMIFS('Sales &amp; Collection'!$L$1:$L$1011,'Sales &amp; Collection'!$K$1:$K$1011,"cash collection*"),2),'Opening Balance'!$B$11))</f>
        <v/>
      </c>
      <c r="H74" s="6">
        <f>IF($A74="","",ROUND('Opening Balance'!$B$10+'Opening Balance'!$B$9+SUMIFS('Sales &amp; Collection'!$L$1:$L$1011,'Sales &amp; Collection'!$K$1:$K$1011,"cash collection*")-G74-SUMIFS('Daily Sale entry '!$AC$2:$AC$1501,'Daily Sale entry '!$X$2:$X$1501,"&lt;="&amp;$A74,'Daily Sale entry '!$Z$2:$Z$1501,"Cash deposit 现金存入"),2))</f>
        <v/>
      </c>
      <c r="I74" s="6">
        <f>IF($A74="","",ROUND(B74+D74+E74+F74+G74+H74,2))</f>
        <v/>
      </c>
      <c r="J74" s="6">
        <f>IF($A74="","",'AR &amp; AP'!K75)</f>
        <v/>
      </c>
      <c r="K74" s="6">
        <f>IF($A74="","",ROUND(I74-J74-SUMIFS('Daily Sale entry '!$AC$2:$AC$1501,'Daily Sale entry '!$X$2:$X$1501,"&lt;="&amp;$A74,'Daily Sale entry '!$Z$2:$Z$1501,"Other deposit 其他存入")+SUMIFS('Daily Sale entry '!$AD$2:$AD$1501,'Daily Sale entry '!$X$2:$X$1501,"&lt;="&amp;$A74)+('Opening Balance'!$B$8+SUM('Daily Sale entry '!$L$2:M74)-F74),2))</f>
        <v/>
      </c>
      <c r="L74">
        <f>IF($A74="","",IF(ABS('Sales &amp; Collection'!$B$1020)&gt;'Opening Balance'!$B$16,"ALERT 警报: Different "&amp;TEXT('Sales &amp; Collection'!$B$1020,"#,##0.00")&amp;" 差额过大",""))</f>
        <v/>
      </c>
    </row>
    <row r="75">
      <c r="A75" s="5">
        <f>IF('Daily Sale entry '!A75="","",'Daily Sale entry '!A75)</f>
        <v/>
      </c>
      <c r="B75" s="6">
        <f>IF($A75="","",ROUND('Opening Balance'!$B$4+SUM('Daily Sale entry '!$K$2:K75)+SUMIFS('Daily Sale entry '!$AC$2:$AC$1501,'Daily Sale entry '!$X$2:$X$1501,"&lt;="&amp;$A75)-SUMIFS('Daily Sale entry '!$AD$2:$AD$1501,'Daily Sale entry '!$X$2:$X$1501,"&lt;="&amp;$A75)+SUMPRODUCT(('Daily Sale entry '!$Q$2:$Q$1501="Collection 收款")*('Daily Sale entry '!$R$2:$R$1501="Cheque 支票")*('Daily Sale entry '!$V$2:$V$1501&lt;&gt;"")*('Daily Sale entry '!$V$2:$V$1501&lt;=$A75)*('Daily Sale entry '!$S$2:$S$1501-'Opening Balance'!$B$15*('Daily Sale entry '!$R$2:$R$1501="Cheque 支票")*('Daily Sale entry '!$S$2:$S$1501-TRUNC('Daily Sale entry '!$S$2:$S$1501))))-'Opening Balance'!$B$15*SUMPRODUCT(('Daily Sale entry '!$X$2:$X$1501&lt;=$A75)*('Daily Sale entry '!$Z$2:$Z$1501="Online collection 网上收款")*('Daily Sale entry '!$AA$2:$AA$1501&lt;&gt;"")*('Daily Sale entry '!$AC$2:$AC$1501-TRUNC('Daily Sale entry '!$AC$2:$AC$1501))),2))</f>
        <v/>
      </c>
      <c r="C75" s="8">
        <f>IF($A75="","",'Opening Balance'!$B$5+SUM('Daily Sale entry '!$I$2:I75)-SUMIFS('Daily Sale entry '!$AB$2:$AB$1501,'Daily Sale entry '!$X$2:$X$1501,"&lt;="&amp;$A75,'Daily Sale entry '!$Z$2:$Z$1501,"Cheque deposit 支票存入")-COUNTIFS('Daily Sale entry '!$Q$2:$Q$1501,"Collection 收款",'Daily Sale entry '!$R$2:$R$1501,"Cheque 支票",'Daily Sale entry '!$V$2:$V$1501,"&lt;="&amp;$A75))</f>
        <v/>
      </c>
      <c r="D75" s="6">
        <f>IF($A75="","",ROUND('Opening Balance'!$B$6+SUM('Daily Sale entry '!$J$2:J75)-SUMIFS('Daily Sale entry '!$AC$2:$AC$1501,'Daily Sale entry '!$X$2:$X$1501,"&lt;="&amp;$A75,'Daily Sale entry '!$Z$2:$Z$1501,"Cheque deposit 支票存入")-SUMPRODUCT(('Daily Sale entry '!$Q$2:$Q$1501="Collection 收款")*('Daily Sale entry '!$R$2:$R$1501="Cheque 支票")*('Daily Sale entry '!$V$2:$V$1501&lt;&gt;"")*('Daily Sale entry '!$V$2:$V$1501&lt;=$A75)*('Daily Sale entry '!$S$2:$S$1501-'Opening Balance'!$B$15*('Daily Sale entry '!$R$2:$R$1501="Cheque 支票")*('Daily Sale entry '!$S$2:$S$1501-TRUNC('Daily Sale entry '!$S$2:$S$1501)))),2))</f>
        <v/>
      </c>
      <c r="E75" s="6">
        <f>IF($A75="","",'Opening Balance'!$B$7)</f>
        <v/>
      </c>
      <c r="F75" s="6">
        <f>IF($A75="","",ROUND(SUMIFS('Daily Sale entry '!$L$2:$L$367,'Daily Sale entry '!$A$2:$A$367,"&gt;="&amp;DATE(YEAR($A75),MONTH($A75),1),'Daily Sale entry '!$A$2:$A$367,"&lt;="&amp;$A75)+SUMIFS('Daily Sale entry '!$M$2:$M$367,'Daily Sale entry '!$A$2:$A$367,"&gt;="&amp;DATE(YEAR($A75),MONTH($A75),1),'Daily Sale entry '!$A$2:$A$367,"&lt;="&amp;$A75)+IF(AND(YEAR($A75)=YEAR('Daily Sale entry '!$A$2),MONTH($A75)=MONTH('Daily Sale entry '!$A$2)),'Opening Balance'!$B$8,0),2))</f>
        <v/>
      </c>
      <c r="G75" s="6">
        <f>IF($A75="","",MOD(ROUND('Opening Balance'!$B$9+SUMIFS('Sales &amp; Collection'!$L$1:$L$1025,'Sales &amp; Collection'!$K$1:$K$1025,"cash collection*"),2),'Opening Balance'!$B$11))</f>
        <v/>
      </c>
      <c r="H75" s="6">
        <f>IF($A75="","",ROUND('Opening Balance'!$B$10+'Opening Balance'!$B$9+SUMIFS('Sales &amp; Collection'!$L$1:$L$1025,'Sales &amp; Collection'!$K$1:$K$1025,"cash collection*")-G75-SUMIFS('Daily Sale entry '!$AC$2:$AC$1501,'Daily Sale entry '!$X$2:$X$1501,"&lt;="&amp;$A75,'Daily Sale entry '!$Z$2:$Z$1501,"Cash deposit 现金存入"),2))</f>
        <v/>
      </c>
      <c r="I75" s="6">
        <f>IF($A75="","",ROUND(B75+D75+E75+F75+G75+H75,2))</f>
        <v/>
      </c>
      <c r="J75" s="6">
        <f>IF($A75="","",'AR &amp; AP'!K76)</f>
        <v/>
      </c>
      <c r="K75" s="6">
        <f>IF($A75="","",ROUND(I75-J75-SUMIFS('Daily Sale entry '!$AC$2:$AC$1501,'Daily Sale entry '!$X$2:$X$1501,"&lt;="&amp;$A75,'Daily Sale entry '!$Z$2:$Z$1501,"Other deposit 其他存入")+SUMIFS('Daily Sale entry '!$AD$2:$AD$1501,'Daily Sale entry '!$X$2:$X$1501,"&lt;="&amp;$A75)+('Opening Balance'!$B$8+SUM('Daily Sale entry '!$L$2:M75)-F75),2))</f>
        <v/>
      </c>
      <c r="L75">
        <f>IF($A75="","",IF(ABS('Sales &amp; Collection'!$B$1034)&gt;'Opening Balance'!$B$16,"ALERT 警报: Different "&amp;TEXT('Sales &amp; Collection'!$B$1034,"#,##0.00")&amp;" 差额过大",""))</f>
        <v/>
      </c>
    </row>
    <row r="76">
      <c r="A76" s="5">
        <f>IF('Daily Sale entry '!A76="","",'Daily Sale entry '!A76)</f>
        <v/>
      </c>
      <c r="B76" s="6">
        <f>IF($A76="","",ROUND('Opening Balance'!$B$4+SUM('Daily Sale entry '!$K$2:K76)+SUMIFS('Daily Sale entry '!$AC$2:$AC$1501,'Daily Sale entry '!$X$2:$X$1501,"&lt;="&amp;$A76)-SUMIFS('Daily Sale entry '!$AD$2:$AD$1501,'Daily Sale entry '!$X$2:$X$1501,"&lt;="&amp;$A76)+SUMPRODUCT(('Daily Sale entry '!$Q$2:$Q$1501="Collection 收款")*('Daily Sale entry '!$R$2:$R$1501="Cheque 支票")*('Daily Sale entry '!$V$2:$V$1501&lt;&gt;"")*('Daily Sale entry '!$V$2:$V$1501&lt;=$A76)*('Daily Sale entry '!$S$2:$S$1501-'Opening Balance'!$B$15*('Daily Sale entry '!$R$2:$R$1501="Cheque 支票")*('Daily Sale entry '!$S$2:$S$1501-TRUNC('Daily Sale entry '!$S$2:$S$1501))))-'Opening Balance'!$B$15*SUMPRODUCT(('Daily Sale entry '!$X$2:$X$1501&lt;=$A76)*('Daily Sale entry '!$Z$2:$Z$1501="Online collection 网上收款")*('Daily Sale entry '!$AA$2:$AA$1501&lt;&gt;"")*('Daily Sale entry '!$AC$2:$AC$1501-TRUNC('Daily Sale entry '!$AC$2:$AC$1501))),2))</f>
        <v/>
      </c>
      <c r="C76" s="8">
        <f>IF($A76="","",'Opening Balance'!$B$5+SUM('Daily Sale entry '!$I$2:I76)-SUMIFS('Daily Sale entry '!$AB$2:$AB$1501,'Daily Sale entry '!$X$2:$X$1501,"&lt;="&amp;$A76,'Daily Sale entry '!$Z$2:$Z$1501,"Cheque deposit 支票存入")-COUNTIFS('Daily Sale entry '!$Q$2:$Q$1501,"Collection 收款",'Daily Sale entry '!$R$2:$R$1501,"Cheque 支票",'Daily Sale entry '!$V$2:$V$1501,"&lt;="&amp;$A76))</f>
        <v/>
      </c>
      <c r="D76" s="6">
        <f>IF($A76="","",ROUND('Opening Balance'!$B$6+SUM('Daily Sale entry '!$J$2:J76)-SUMIFS('Daily Sale entry '!$AC$2:$AC$1501,'Daily Sale entry '!$X$2:$X$1501,"&lt;="&amp;$A76,'Daily Sale entry '!$Z$2:$Z$1501,"Cheque deposit 支票存入")-SUMPRODUCT(('Daily Sale entry '!$Q$2:$Q$1501="Collection 收款")*('Daily Sale entry '!$R$2:$R$1501="Cheque 支票")*('Daily Sale entry '!$V$2:$V$1501&lt;&gt;"")*('Daily Sale entry '!$V$2:$V$1501&lt;=$A76)*('Daily Sale entry '!$S$2:$S$1501-'Opening Balance'!$B$15*('Daily Sale entry '!$R$2:$R$1501="Cheque 支票")*('Daily Sale entry '!$S$2:$S$1501-TRUNC('Daily Sale entry '!$S$2:$S$1501)))),2))</f>
        <v/>
      </c>
      <c r="E76" s="6">
        <f>IF($A76="","",'Opening Balance'!$B$7)</f>
        <v/>
      </c>
      <c r="F76" s="6">
        <f>IF($A76="","",ROUND(SUMIFS('Daily Sale entry '!$L$2:$L$367,'Daily Sale entry '!$A$2:$A$367,"&gt;="&amp;DATE(YEAR($A76),MONTH($A76),1),'Daily Sale entry '!$A$2:$A$367,"&lt;="&amp;$A76)+SUMIFS('Daily Sale entry '!$M$2:$M$367,'Daily Sale entry '!$A$2:$A$367,"&gt;="&amp;DATE(YEAR($A76),MONTH($A76),1),'Daily Sale entry '!$A$2:$A$367,"&lt;="&amp;$A76)+IF(AND(YEAR($A76)=YEAR('Daily Sale entry '!$A$2),MONTH($A76)=MONTH('Daily Sale entry '!$A$2)),'Opening Balance'!$B$8,0),2))</f>
        <v/>
      </c>
      <c r="G76" s="6">
        <f>IF($A76="","",MOD(ROUND('Opening Balance'!$B$9+SUMIFS('Sales &amp; Collection'!$L$1:$L$1039,'Sales &amp; Collection'!$K$1:$K$1039,"cash collection*"),2),'Opening Balance'!$B$11))</f>
        <v/>
      </c>
      <c r="H76" s="6">
        <f>IF($A76="","",ROUND('Opening Balance'!$B$10+'Opening Balance'!$B$9+SUMIFS('Sales &amp; Collection'!$L$1:$L$1039,'Sales &amp; Collection'!$K$1:$K$1039,"cash collection*")-G76-SUMIFS('Daily Sale entry '!$AC$2:$AC$1501,'Daily Sale entry '!$X$2:$X$1501,"&lt;="&amp;$A76,'Daily Sale entry '!$Z$2:$Z$1501,"Cash deposit 现金存入"),2))</f>
        <v/>
      </c>
      <c r="I76" s="6">
        <f>IF($A76="","",ROUND(B76+D76+E76+F76+G76+H76,2))</f>
        <v/>
      </c>
      <c r="J76" s="6">
        <f>IF($A76="","",'AR &amp; AP'!K77)</f>
        <v/>
      </c>
      <c r="K76" s="6">
        <f>IF($A76="","",ROUND(I76-J76-SUMIFS('Daily Sale entry '!$AC$2:$AC$1501,'Daily Sale entry '!$X$2:$X$1501,"&lt;="&amp;$A76,'Daily Sale entry '!$Z$2:$Z$1501,"Other deposit 其他存入")+SUMIFS('Daily Sale entry '!$AD$2:$AD$1501,'Daily Sale entry '!$X$2:$X$1501,"&lt;="&amp;$A76)+('Opening Balance'!$B$8+SUM('Daily Sale entry '!$L$2:M76)-F76),2))</f>
        <v/>
      </c>
      <c r="L76">
        <f>IF($A76="","",IF(ABS('Sales &amp; Collection'!$B$1048)&gt;'Opening Balance'!$B$16,"ALERT 警报: Different "&amp;TEXT('Sales &amp; Collection'!$B$1048,"#,##0.00")&amp;" 差额过大",""))</f>
        <v/>
      </c>
    </row>
    <row r="77">
      <c r="A77" s="5">
        <f>IF('Daily Sale entry '!A77="","",'Daily Sale entry '!A77)</f>
        <v/>
      </c>
      <c r="B77" s="6">
        <f>IF($A77="","",ROUND('Opening Balance'!$B$4+SUM('Daily Sale entry '!$K$2:K77)+SUMIFS('Daily Sale entry '!$AC$2:$AC$1501,'Daily Sale entry '!$X$2:$X$1501,"&lt;="&amp;$A77)-SUMIFS('Daily Sale entry '!$AD$2:$AD$1501,'Daily Sale entry '!$X$2:$X$1501,"&lt;="&amp;$A77)+SUMPRODUCT(('Daily Sale entry '!$Q$2:$Q$1501="Collection 收款")*('Daily Sale entry '!$R$2:$R$1501="Cheque 支票")*('Daily Sale entry '!$V$2:$V$1501&lt;&gt;"")*('Daily Sale entry '!$V$2:$V$1501&lt;=$A77)*('Daily Sale entry '!$S$2:$S$1501-'Opening Balance'!$B$15*('Daily Sale entry '!$R$2:$R$1501="Cheque 支票")*('Daily Sale entry '!$S$2:$S$1501-TRUNC('Daily Sale entry '!$S$2:$S$1501))))-'Opening Balance'!$B$15*SUMPRODUCT(('Daily Sale entry '!$X$2:$X$1501&lt;=$A77)*('Daily Sale entry '!$Z$2:$Z$1501="Online collection 网上收款")*('Daily Sale entry '!$AA$2:$AA$1501&lt;&gt;"")*('Daily Sale entry '!$AC$2:$AC$1501-TRUNC('Daily Sale entry '!$AC$2:$AC$1501))),2))</f>
        <v/>
      </c>
      <c r="C77" s="8">
        <f>IF($A77="","",'Opening Balance'!$B$5+SUM('Daily Sale entry '!$I$2:I77)-SUMIFS('Daily Sale entry '!$AB$2:$AB$1501,'Daily Sale entry '!$X$2:$X$1501,"&lt;="&amp;$A77,'Daily Sale entry '!$Z$2:$Z$1501,"Cheque deposit 支票存入")-COUNTIFS('Daily Sale entry '!$Q$2:$Q$1501,"Collection 收款",'Daily Sale entry '!$R$2:$R$1501,"Cheque 支票",'Daily Sale entry '!$V$2:$V$1501,"&lt;="&amp;$A77))</f>
        <v/>
      </c>
      <c r="D77" s="6">
        <f>IF($A77="","",ROUND('Opening Balance'!$B$6+SUM('Daily Sale entry '!$J$2:J77)-SUMIFS('Daily Sale entry '!$AC$2:$AC$1501,'Daily Sale entry '!$X$2:$X$1501,"&lt;="&amp;$A77,'Daily Sale entry '!$Z$2:$Z$1501,"Cheque deposit 支票存入")-SUMPRODUCT(('Daily Sale entry '!$Q$2:$Q$1501="Collection 收款")*('Daily Sale entry '!$R$2:$R$1501="Cheque 支票")*('Daily Sale entry '!$V$2:$V$1501&lt;&gt;"")*('Daily Sale entry '!$V$2:$V$1501&lt;=$A77)*('Daily Sale entry '!$S$2:$S$1501-'Opening Balance'!$B$15*('Daily Sale entry '!$R$2:$R$1501="Cheque 支票")*('Daily Sale entry '!$S$2:$S$1501-TRUNC('Daily Sale entry '!$S$2:$S$1501)))),2))</f>
        <v/>
      </c>
      <c r="E77" s="6">
        <f>IF($A77="","",'Opening Balance'!$B$7)</f>
        <v/>
      </c>
      <c r="F77" s="6">
        <f>IF($A77="","",ROUND(SUMIFS('Daily Sale entry '!$L$2:$L$367,'Daily Sale entry '!$A$2:$A$367,"&gt;="&amp;DATE(YEAR($A77),MONTH($A77),1),'Daily Sale entry '!$A$2:$A$367,"&lt;="&amp;$A77)+SUMIFS('Daily Sale entry '!$M$2:$M$367,'Daily Sale entry '!$A$2:$A$367,"&gt;="&amp;DATE(YEAR($A77),MONTH($A77),1),'Daily Sale entry '!$A$2:$A$367,"&lt;="&amp;$A77)+IF(AND(YEAR($A77)=YEAR('Daily Sale entry '!$A$2),MONTH($A77)=MONTH('Daily Sale entry '!$A$2)),'Opening Balance'!$B$8,0),2))</f>
        <v/>
      </c>
      <c r="G77" s="6">
        <f>IF($A77="","",MOD(ROUND('Opening Balance'!$B$9+SUMIFS('Sales &amp; Collection'!$L$1:$L$1053,'Sales &amp; Collection'!$K$1:$K$1053,"cash collection*"),2),'Opening Balance'!$B$11))</f>
        <v/>
      </c>
      <c r="H77" s="6">
        <f>IF($A77="","",ROUND('Opening Balance'!$B$10+'Opening Balance'!$B$9+SUMIFS('Sales &amp; Collection'!$L$1:$L$1053,'Sales &amp; Collection'!$K$1:$K$1053,"cash collection*")-G77-SUMIFS('Daily Sale entry '!$AC$2:$AC$1501,'Daily Sale entry '!$X$2:$X$1501,"&lt;="&amp;$A77,'Daily Sale entry '!$Z$2:$Z$1501,"Cash deposit 现金存入"),2))</f>
        <v/>
      </c>
      <c r="I77" s="6">
        <f>IF($A77="","",ROUND(B77+D77+E77+F77+G77+H77,2))</f>
        <v/>
      </c>
      <c r="J77" s="6">
        <f>IF($A77="","",'AR &amp; AP'!K78)</f>
        <v/>
      </c>
      <c r="K77" s="6">
        <f>IF($A77="","",ROUND(I77-J77-SUMIFS('Daily Sale entry '!$AC$2:$AC$1501,'Daily Sale entry '!$X$2:$X$1501,"&lt;="&amp;$A77,'Daily Sale entry '!$Z$2:$Z$1501,"Other deposit 其他存入")+SUMIFS('Daily Sale entry '!$AD$2:$AD$1501,'Daily Sale entry '!$X$2:$X$1501,"&lt;="&amp;$A77)+('Opening Balance'!$B$8+SUM('Daily Sale entry '!$L$2:M77)-F77),2))</f>
        <v/>
      </c>
      <c r="L77">
        <f>IF($A77="","",IF(ABS('Sales &amp; Collection'!$B$1062)&gt;'Opening Balance'!$B$16,"ALERT 警报: Different "&amp;TEXT('Sales &amp; Collection'!$B$1062,"#,##0.00")&amp;" 差额过大",""))</f>
        <v/>
      </c>
    </row>
    <row r="78">
      <c r="A78" s="5">
        <f>IF('Daily Sale entry '!A78="","",'Daily Sale entry '!A78)</f>
        <v/>
      </c>
      <c r="B78" s="6">
        <f>IF($A78="","",ROUND('Opening Balance'!$B$4+SUM('Daily Sale entry '!$K$2:K78)+SUMIFS('Daily Sale entry '!$AC$2:$AC$1501,'Daily Sale entry '!$X$2:$X$1501,"&lt;="&amp;$A78)-SUMIFS('Daily Sale entry '!$AD$2:$AD$1501,'Daily Sale entry '!$X$2:$X$1501,"&lt;="&amp;$A78)+SUMPRODUCT(('Daily Sale entry '!$Q$2:$Q$1501="Collection 收款")*('Daily Sale entry '!$R$2:$R$1501="Cheque 支票")*('Daily Sale entry '!$V$2:$V$1501&lt;&gt;"")*('Daily Sale entry '!$V$2:$V$1501&lt;=$A78)*('Daily Sale entry '!$S$2:$S$1501-'Opening Balance'!$B$15*('Daily Sale entry '!$R$2:$R$1501="Cheque 支票")*('Daily Sale entry '!$S$2:$S$1501-TRUNC('Daily Sale entry '!$S$2:$S$1501))))-'Opening Balance'!$B$15*SUMPRODUCT(('Daily Sale entry '!$X$2:$X$1501&lt;=$A78)*('Daily Sale entry '!$Z$2:$Z$1501="Online collection 网上收款")*('Daily Sale entry '!$AA$2:$AA$1501&lt;&gt;"")*('Daily Sale entry '!$AC$2:$AC$1501-TRUNC('Daily Sale entry '!$AC$2:$AC$1501))),2))</f>
        <v/>
      </c>
      <c r="C78" s="8">
        <f>IF($A78="","",'Opening Balance'!$B$5+SUM('Daily Sale entry '!$I$2:I78)-SUMIFS('Daily Sale entry '!$AB$2:$AB$1501,'Daily Sale entry '!$X$2:$X$1501,"&lt;="&amp;$A78,'Daily Sale entry '!$Z$2:$Z$1501,"Cheque deposit 支票存入")-COUNTIFS('Daily Sale entry '!$Q$2:$Q$1501,"Collection 收款",'Daily Sale entry '!$R$2:$R$1501,"Cheque 支票",'Daily Sale entry '!$V$2:$V$1501,"&lt;="&amp;$A78))</f>
        <v/>
      </c>
      <c r="D78" s="6">
        <f>IF($A78="","",ROUND('Opening Balance'!$B$6+SUM('Daily Sale entry '!$J$2:J78)-SUMIFS('Daily Sale entry '!$AC$2:$AC$1501,'Daily Sale entry '!$X$2:$X$1501,"&lt;="&amp;$A78,'Daily Sale entry '!$Z$2:$Z$1501,"Cheque deposit 支票存入")-SUMPRODUCT(('Daily Sale entry '!$Q$2:$Q$1501="Collection 收款")*('Daily Sale entry '!$R$2:$R$1501="Cheque 支票")*('Daily Sale entry '!$V$2:$V$1501&lt;&gt;"")*('Daily Sale entry '!$V$2:$V$1501&lt;=$A78)*('Daily Sale entry '!$S$2:$S$1501-'Opening Balance'!$B$15*('Daily Sale entry '!$R$2:$R$1501="Cheque 支票")*('Daily Sale entry '!$S$2:$S$1501-TRUNC('Daily Sale entry '!$S$2:$S$1501)))),2))</f>
        <v/>
      </c>
      <c r="E78" s="6">
        <f>IF($A78="","",'Opening Balance'!$B$7)</f>
        <v/>
      </c>
      <c r="F78" s="6">
        <f>IF($A78="","",ROUND(SUMIFS('Daily Sale entry '!$L$2:$L$367,'Daily Sale entry '!$A$2:$A$367,"&gt;="&amp;DATE(YEAR($A78),MONTH($A78),1),'Daily Sale entry '!$A$2:$A$367,"&lt;="&amp;$A78)+SUMIFS('Daily Sale entry '!$M$2:$M$367,'Daily Sale entry '!$A$2:$A$367,"&gt;="&amp;DATE(YEAR($A78),MONTH($A78),1),'Daily Sale entry '!$A$2:$A$367,"&lt;="&amp;$A78)+IF(AND(YEAR($A78)=YEAR('Daily Sale entry '!$A$2),MONTH($A78)=MONTH('Daily Sale entry '!$A$2)),'Opening Balance'!$B$8,0),2))</f>
        <v/>
      </c>
      <c r="G78" s="6">
        <f>IF($A78="","",MOD(ROUND('Opening Balance'!$B$9+SUMIFS('Sales &amp; Collection'!$L$1:$L$1067,'Sales &amp; Collection'!$K$1:$K$1067,"cash collection*"),2),'Opening Balance'!$B$11))</f>
        <v/>
      </c>
      <c r="H78" s="6">
        <f>IF($A78="","",ROUND('Opening Balance'!$B$10+'Opening Balance'!$B$9+SUMIFS('Sales &amp; Collection'!$L$1:$L$1067,'Sales &amp; Collection'!$K$1:$K$1067,"cash collection*")-G78-SUMIFS('Daily Sale entry '!$AC$2:$AC$1501,'Daily Sale entry '!$X$2:$X$1501,"&lt;="&amp;$A78,'Daily Sale entry '!$Z$2:$Z$1501,"Cash deposit 现金存入"),2))</f>
        <v/>
      </c>
      <c r="I78" s="6">
        <f>IF($A78="","",ROUND(B78+D78+E78+F78+G78+H78,2))</f>
        <v/>
      </c>
      <c r="J78" s="6">
        <f>IF($A78="","",'AR &amp; AP'!K79)</f>
        <v/>
      </c>
      <c r="K78" s="6">
        <f>IF($A78="","",ROUND(I78-J78-SUMIFS('Daily Sale entry '!$AC$2:$AC$1501,'Daily Sale entry '!$X$2:$X$1501,"&lt;="&amp;$A78,'Daily Sale entry '!$Z$2:$Z$1501,"Other deposit 其他存入")+SUMIFS('Daily Sale entry '!$AD$2:$AD$1501,'Daily Sale entry '!$X$2:$X$1501,"&lt;="&amp;$A78)+('Opening Balance'!$B$8+SUM('Daily Sale entry '!$L$2:M78)-F78),2))</f>
        <v/>
      </c>
      <c r="L78">
        <f>IF($A78="","",IF(ABS('Sales &amp; Collection'!$B$1076)&gt;'Opening Balance'!$B$16,"ALERT 警报: Different "&amp;TEXT('Sales &amp; Collection'!$B$1076,"#,##0.00")&amp;" 差额过大",""))</f>
        <v/>
      </c>
    </row>
    <row r="79">
      <c r="A79" s="5">
        <f>IF('Daily Sale entry '!A79="","",'Daily Sale entry '!A79)</f>
        <v/>
      </c>
      <c r="B79" s="6">
        <f>IF($A79="","",ROUND('Opening Balance'!$B$4+SUM('Daily Sale entry '!$K$2:K79)+SUMIFS('Daily Sale entry '!$AC$2:$AC$1501,'Daily Sale entry '!$X$2:$X$1501,"&lt;="&amp;$A79)-SUMIFS('Daily Sale entry '!$AD$2:$AD$1501,'Daily Sale entry '!$X$2:$X$1501,"&lt;="&amp;$A79)+SUMPRODUCT(('Daily Sale entry '!$Q$2:$Q$1501="Collection 收款")*('Daily Sale entry '!$R$2:$R$1501="Cheque 支票")*('Daily Sale entry '!$V$2:$V$1501&lt;&gt;"")*('Daily Sale entry '!$V$2:$V$1501&lt;=$A79)*('Daily Sale entry '!$S$2:$S$1501-'Opening Balance'!$B$15*('Daily Sale entry '!$R$2:$R$1501="Cheque 支票")*('Daily Sale entry '!$S$2:$S$1501-TRUNC('Daily Sale entry '!$S$2:$S$1501))))-'Opening Balance'!$B$15*SUMPRODUCT(('Daily Sale entry '!$X$2:$X$1501&lt;=$A79)*('Daily Sale entry '!$Z$2:$Z$1501="Online collection 网上收款")*('Daily Sale entry '!$AA$2:$AA$1501&lt;&gt;"")*('Daily Sale entry '!$AC$2:$AC$1501-TRUNC('Daily Sale entry '!$AC$2:$AC$1501))),2))</f>
        <v/>
      </c>
      <c r="C79" s="8">
        <f>IF($A79="","",'Opening Balance'!$B$5+SUM('Daily Sale entry '!$I$2:I79)-SUMIFS('Daily Sale entry '!$AB$2:$AB$1501,'Daily Sale entry '!$X$2:$X$1501,"&lt;="&amp;$A79,'Daily Sale entry '!$Z$2:$Z$1501,"Cheque deposit 支票存入")-COUNTIFS('Daily Sale entry '!$Q$2:$Q$1501,"Collection 收款",'Daily Sale entry '!$R$2:$R$1501,"Cheque 支票",'Daily Sale entry '!$V$2:$V$1501,"&lt;="&amp;$A79))</f>
        <v/>
      </c>
      <c r="D79" s="6">
        <f>IF($A79="","",ROUND('Opening Balance'!$B$6+SUM('Daily Sale entry '!$J$2:J79)-SUMIFS('Daily Sale entry '!$AC$2:$AC$1501,'Daily Sale entry '!$X$2:$X$1501,"&lt;="&amp;$A79,'Daily Sale entry '!$Z$2:$Z$1501,"Cheque deposit 支票存入")-SUMPRODUCT(('Daily Sale entry '!$Q$2:$Q$1501="Collection 收款")*('Daily Sale entry '!$R$2:$R$1501="Cheque 支票")*('Daily Sale entry '!$V$2:$V$1501&lt;&gt;"")*('Daily Sale entry '!$V$2:$V$1501&lt;=$A79)*('Daily Sale entry '!$S$2:$S$1501-'Opening Balance'!$B$15*('Daily Sale entry '!$R$2:$R$1501="Cheque 支票")*('Daily Sale entry '!$S$2:$S$1501-TRUNC('Daily Sale entry '!$S$2:$S$1501)))),2))</f>
        <v/>
      </c>
      <c r="E79" s="6">
        <f>IF($A79="","",'Opening Balance'!$B$7)</f>
        <v/>
      </c>
      <c r="F79" s="6">
        <f>IF($A79="","",ROUND(SUMIFS('Daily Sale entry '!$L$2:$L$367,'Daily Sale entry '!$A$2:$A$367,"&gt;="&amp;DATE(YEAR($A79),MONTH($A79),1),'Daily Sale entry '!$A$2:$A$367,"&lt;="&amp;$A79)+SUMIFS('Daily Sale entry '!$M$2:$M$367,'Daily Sale entry '!$A$2:$A$367,"&gt;="&amp;DATE(YEAR($A79),MONTH($A79),1),'Daily Sale entry '!$A$2:$A$367,"&lt;="&amp;$A79)+IF(AND(YEAR($A79)=YEAR('Daily Sale entry '!$A$2),MONTH($A79)=MONTH('Daily Sale entry '!$A$2)),'Opening Balance'!$B$8,0),2))</f>
        <v/>
      </c>
      <c r="G79" s="6">
        <f>IF($A79="","",MOD(ROUND('Opening Balance'!$B$9+SUMIFS('Sales &amp; Collection'!$L$1:$L$1081,'Sales &amp; Collection'!$K$1:$K$1081,"cash collection*"),2),'Opening Balance'!$B$11))</f>
        <v/>
      </c>
      <c r="H79" s="6">
        <f>IF($A79="","",ROUND('Opening Balance'!$B$10+'Opening Balance'!$B$9+SUMIFS('Sales &amp; Collection'!$L$1:$L$1081,'Sales &amp; Collection'!$K$1:$K$1081,"cash collection*")-G79-SUMIFS('Daily Sale entry '!$AC$2:$AC$1501,'Daily Sale entry '!$X$2:$X$1501,"&lt;="&amp;$A79,'Daily Sale entry '!$Z$2:$Z$1501,"Cash deposit 现金存入"),2))</f>
        <v/>
      </c>
      <c r="I79" s="6">
        <f>IF($A79="","",ROUND(B79+D79+E79+F79+G79+H79,2))</f>
        <v/>
      </c>
      <c r="J79" s="6">
        <f>IF($A79="","",'AR &amp; AP'!K80)</f>
        <v/>
      </c>
      <c r="K79" s="6">
        <f>IF($A79="","",ROUND(I79-J79-SUMIFS('Daily Sale entry '!$AC$2:$AC$1501,'Daily Sale entry '!$X$2:$X$1501,"&lt;="&amp;$A79,'Daily Sale entry '!$Z$2:$Z$1501,"Other deposit 其他存入")+SUMIFS('Daily Sale entry '!$AD$2:$AD$1501,'Daily Sale entry '!$X$2:$X$1501,"&lt;="&amp;$A79)+('Opening Balance'!$B$8+SUM('Daily Sale entry '!$L$2:M79)-F79),2))</f>
        <v/>
      </c>
      <c r="L79">
        <f>IF($A79="","",IF(ABS('Sales &amp; Collection'!$B$1090)&gt;'Opening Balance'!$B$16,"ALERT 警报: Different "&amp;TEXT('Sales &amp; Collection'!$B$1090,"#,##0.00")&amp;" 差额过大",""))</f>
        <v/>
      </c>
    </row>
    <row r="80">
      <c r="A80" s="5">
        <f>IF('Daily Sale entry '!A80="","",'Daily Sale entry '!A80)</f>
        <v/>
      </c>
      <c r="B80" s="6">
        <f>IF($A80="","",ROUND('Opening Balance'!$B$4+SUM('Daily Sale entry '!$K$2:K80)+SUMIFS('Daily Sale entry '!$AC$2:$AC$1501,'Daily Sale entry '!$X$2:$X$1501,"&lt;="&amp;$A80)-SUMIFS('Daily Sale entry '!$AD$2:$AD$1501,'Daily Sale entry '!$X$2:$X$1501,"&lt;="&amp;$A80)+SUMPRODUCT(('Daily Sale entry '!$Q$2:$Q$1501="Collection 收款")*('Daily Sale entry '!$R$2:$R$1501="Cheque 支票")*('Daily Sale entry '!$V$2:$V$1501&lt;&gt;"")*('Daily Sale entry '!$V$2:$V$1501&lt;=$A80)*('Daily Sale entry '!$S$2:$S$1501-'Opening Balance'!$B$15*('Daily Sale entry '!$R$2:$R$1501="Cheque 支票")*('Daily Sale entry '!$S$2:$S$1501-TRUNC('Daily Sale entry '!$S$2:$S$1501))))-'Opening Balance'!$B$15*SUMPRODUCT(('Daily Sale entry '!$X$2:$X$1501&lt;=$A80)*('Daily Sale entry '!$Z$2:$Z$1501="Online collection 网上收款")*('Daily Sale entry '!$AA$2:$AA$1501&lt;&gt;"")*('Daily Sale entry '!$AC$2:$AC$1501-TRUNC('Daily Sale entry '!$AC$2:$AC$1501))),2))</f>
        <v/>
      </c>
      <c r="C80" s="8">
        <f>IF($A80="","",'Opening Balance'!$B$5+SUM('Daily Sale entry '!$I$2:I80)-SUMIFS('Daily Sale entry '!$AB$2:$AB$1501,'Daily Sale entry '!$X$2:$X$1501,"&lt;="&amp;$A80,'Daily Sale entry '!$Z$2:$Z$1501,"Cheque deposit 支票存入")-COUNTIFS('Daily Sale entry '!$Q$2:$Q$1501,"Collection 收款",'Daily Sale entry '!$R$2:$R$1501,"Cheque 支票",'Daily Sale entry '!$V$2:$V$1501,"&lt;="&amp;$A80))</f>
        <v/>
      </c>
      <c r="D80" s="6">
        <f>IF($A80="","",ROUND('Opening Balance'!$B$6+SUM('Daily Sale entry '!$J$2:J80)-SUMIFS('Daily Sale entry '!$AC$2:$AC$1501,'Daily Sale entry '!$X$2:$X$1501,"&lt;="&amp;$A80,'Daily Sale entry '!$Z$2:$Z$1501,"Cheque deposit 支票存入")-SUMPRODUCT(('Daily Sale entry '!$Q$2:$Q$1501="Collection 收款")*('Daily Sale entry '!$R$2:$R$1501="Cheque 支票")*('Daily Sale entry '!$V$2:$V$1501&lt;&gt;"")*('Daily Sale entry '!$V$2:$V$1501&lt;=$A80)*('Daily Sale entry '!$S$2:$S$1501-'Opening Balance'!$B$15*('Daily Sale entry '!$R$2:$R$1501="Cheque 支票")*('Daily Sale entry '!$S$2:$S$1501-TRUNC('Daily Sale entry '!$S$2:$S$1501)))),2))</f>
        <v/>
      </c>
      <c r="E80" s="6">
        <f>IF($A80="","",'Opening Balance'!$B$7)</f>
        <v/>
      </c>
      <c r="F80" s="6">
        <f>IF($A80="","",ROUND(SUMIFS('Daily Sale entry '!$L$2:$L$367,'Daily Sale entry '!$A$2:$A$367,"&gt;="&amp;DATE(YEAR($A80),MONTH($A80),1),'Daily Sale entry '!$A$2:$A$367,"&lt;="&amp;$A80)+SUMIFS('Daily Sale entry '!$M$2:$M$367,'Daily Sale entry '!$A$2:$A$367,"&gt;="&amp;DATE(YEAR($A80),MONTH($A80),1),'Daily Sale entry '!$A$2:$A$367,"&lt;="&amp;$A80)+IF(AND(YEAR($A80)=YEAR('Daily Sale entry '!$A$2),MONTH($A80)=MONTH('Daily Sale entry '!$A$2)),'Opening Balance'!$B$8,0),2))</f>
        <v/>
      </c>
      <c r="G80" s="6">
        <f>IF($A80="","",MOD(ROUND('Opening Balance'!$B$9+SUMIFS('Sales &amp; Collection'!$L$1:$L$1095,'Sales &amp; Collection'!$K$1:$K$1095,"cash collection*"),2),'Opening Balance'!$B$11))</f>
        <v/>
      </c>
      <c r="H80" s="6">
        <f>IF($A80="","",ROUND('Opening Balance'!$B$10+'Opening Balance'!$B$9+SUMIFS('Sales &amp; Collection'!$L$1:$L$1095,'Sales &amp; Collection'!$K$1:$K$1095,"cash collection*")-G80-SUMIFS('Daily Sale entry '!$AC$2:$AC$1501,'Daily Sale entry '!$X$2:$X$1501,"&lt;="&amp;$A80,'Daily Sale entry '!$Z$2:$Z$1501,"Cash deposit 现金存入"),2))</f>
        <v/>
      </c>
      <c r="I80" s="6">
        <f>IF($A80="","",ROUND(B80+D80+E80+F80+G80+H80,2))</f>
        <v/>
      </c>
      <c r="J80" s="6">
        <f>IF($A80="","",'AR &amp; AP'!K81)</f>
        <v/>
      </c>
      <c r="K80" s="6">
        <f>IF($A80="","",ROUND(I80-J80-SUMIFS('Daily Sale entry '!$AC$2:$AC$1501,'Daily Sale entry '!$X$2:$X$1501,"&lt;="&amp;$A80,'Daily Sale entry '!$Z$2:$Z$1501,"Other deposit 其他存入")+SUMIFS('Daily Sale entry '!$AD$2:$AD$1501,'Daily Sale entry '!$X$2:$X$1501,"&lt;="&amp;$A80)+('Opening Balance'!$B$8+SUM('Daily Sale entry '!$L$2:M80)-F80),2))</f>
        <v/>
      </c>
      <c r="L80">
        <f>IF($A80="","",IF(ABS('Sales &amp; Collection'!$B$1104)&gt;'Opening Balance'!$B$16,"ALERT 警报: Different "&amp;TEXT('Sales &amp; Collection'!$B$1104,"#,##0.00")&amp;" 差额过大",""))</f>
        <v/>
      </c>
    </row>
    <row r="81">
      <c r="A81" s="5">
        <f>IF('Daily Sale entry '!A81="","",'Daily Sale entry '!A81)</f>
        <v/>
      </c>
      <c r="B81" s="6">
        <f>IF($A81="","",ROUND('Opening Balance'!$B$4+SUM('Daily Sale entry '!$K$2:K81)+SUMIFS('Daily Sale entry '!$AC$2:$AC$1501,'Daily Sale entry '!$X$2:$X$1501,"&lt;="&amp;$A81)-SUMIFS('Daily Sale entry '!$AD$2:$AD$1501,'Daily Sale entry '!$X$2:$X$1501,"&lt;="&amp;$A81)+SUMPRODUCT(('Daily Sale entry '!$Q$2:$Q$1501="Collection 收款")*('Daily Sale entry '!$R$2:$R$1501="Cheque 支票")*('Daily Sale entry '!$V$2:$V$1501&lt;&gt;"")*('Daily Sale entry '!$V$2:$V$1501&lt;=$A81)*('Daily Sale entry '!$S$2:$S$1501-'Opening Balance'!$B$15*('Daily Sale entry '!$R$2:$R$1501="Cheque 支票")*('Daily Sale entry '!$S$2:$S$1501-TRUNC('Daily Sale entry '!$S$2:$S$1501))))-'Opening Balance'!$B$15*SUMPRODUCT(('Daily Sale entry '!$X$2:$X$1501&lt;=$A81)*('Daily Sale entry '!$Z$2:$Z$1501="Online collection 网上收款")*('Daily Sale entry '!$AA$2:$AA$1501&lt;&gt;"")*('Daily Sale entry '!$AC$2:$AC$1501-TRUNC('Daily Sale entry '!$AC$2:$AC$1501))),2))</f>
        <v/>
      </c>
      <c r="C81" s="8">
        <f>IF($A81="","",'Opening Balance'!$B$5+SUM('Daily Sale entry '!$I$2:I81)-SUMIFS('Daily Sale entry '!$AB$2:$AB$1501,'Daily Sale entry '!$X$2:$X$1501,"&lt;="&amp;$A81,'Daily Sale entry '!$Z$2:$Z$1501,"Cheque deposit 支票存入")-COUNTIFS('Daily Sale entry '!$Q$2:$Q$1501,"Collection 收款",'Daily Sale entry '!$R$2:$R$1501,"Cheque 支票",'Daily Sale entry '!$V$2:$V$1501,"&lt;="&amp;$A81))</f>
        <v/>
      </c>
      <c r="D81" s="6">
        <f>IF($A81="","",ROUND('Opening Balance'!$B$6+SUM('Daily Sale entry '!$J$2:J81)-SUMIFS('Daily Sale entry '!$AC$2:$AC$1501,'Daily Sale entry '!$X$2:$X$1501,"&lt;="&amp;$A81,'Daily Sale entry '!$Z$2:$Z$1501,"Cheque deposit 支票存入")-SUMPRODUCT(('Daily Sale entry '!$Q$2:$Q$1501="Collection 收款")*('Daily Sale entry '!$R$2:$R$1501="Cheque 支票")*('Daily Sale entry '!$V$2:$V$1501&lt;&gt;"")*('Daily Sale entry '!$V$2:$V$1501&lt;=$A81)*('Daily Sale entry '!$S$2:$S$1501-'Opening Balance'!$B$15*('Daily Sale entry '!$R$2:$R$1501="Cheque 支票")*('Daily Sale entry '!$S$2:$S$1501-TRUNC('Daily Sale entry '!$S$2:$S$1501)))),2))</f>
        <v/>
      </c>
      <c r="E81" s="6">
        <f>IF($A81="","",'Opening Balance'!$B$7)</f>
        <v/>
      </c>
      <c r="F81" s="6">
        <f>IF($A81="","",ROUND(SUMIFS('Daily Sale entry '!$L$2:$L$367,'Daily Sale entry '!$A$2:$A$367,"&gt;="&amp;DATE(YEAR($A81),MONTH($A81),1),'Daily Sale entry '!$A$2:$A$367,"&lt;="&amp;$A81)+SUMIFS('Daily Sale entry '!$M$2:$M$367,'Daily Sale entry '!$A$2:$A$367,"&gt;="&amp;DATE(YEAR($A81),MONTH($A81),1),'Daily Sale entry '!$A$2:$A$367,"&lt;="&amp;$A81)+IF(AND(YEAR($A81)=YEAR('Daily Sale entry '!$A$2),MONTH($A81)=MONTH('Daily Sale entry '!$A$2)),'Opening Balance'!$B$8,0),2))</f>
        <v/>
      </c>
      <c r="G81" s="6">
        <f>IF($A81="","",MOD(ROUND('Opening Balance'!$B$9+SUMIFS('Sales &amp; Collection'!$L$1:$L$1109,'Sales &amp; Collection'!$K$1:$K$1109,"cash collection*"),2),'Opening Balance'!$B$11))</f>
        <v/>
      </c>
      <c r="H81" s="6">
        <f>IF($A81="","",ROUND('Opening Balance'!$B$10+'Opening Balance'!$B$9+SUMIFS('Sales &amp; Collection'!$L$1:$L$1109,'Sales &amp; Collection'!$K$1:$K$1109,"cash collection*")-G81-SUMIFS('Daily Sale entry '!$AC$2:$AC$1501,'Daily Sale entry '!$X$2:$X$1501,"&lt;="&amp;$A81,'Daily Sale entry '!$Z$2:$Z$1501,"Cash deposit 现金存入"),2))</f>
        <v/>
      </c>
      <c r="I81" s="6">
        <f>IF($A81="","",ROUND(B81+D81+E81+F81+G81+H81,2))</f>
        <v/>
      </c>
      <c r="J81" s="6">
        <f>IF($A81="","",'AR &amp; AP'!K82)</f>
        <v/>
      </c>
      <c r="K81" s="6">
        <f>IF($A81="","",ROUND(I81-J81-SUMIFS('Daily Sale entry '!$AC$2:$AC$1501,'Daily Sale entry '!$X$2:$X$1501,"&lt;="&amp;$A81,'Daily Sale entry '!$Z$2:$Z$1501,"Other deposit 其他存入")+SUMIFS('Daily Sale entry '!$AD$2:$AD$1501,'Daily Sale entry '!$X$2:$X$1501,"&lt;="&amp;$A81)+('Opening Balance'!$B$8+SUM('Daily Sale entry '!$L$2:M81)-F81),2))</f>
        <v/>
      </c>
      <c r="L81">
        <f>IF($A81="","",IF(ABS('Sales &amp; Collection'!$B$1118)&gt;'Opening Balance'!$B$16,"ALERT 警报: Different "&amp;TEXT('Sales &amp; Collection'!$B$1118,"#,##0.00")&amp;" 差额过大",""))</f>
        <v/>
      </c>
    </row>
    <row r="82">
      <c r="A82" s="5">
        <f>IF('Daily Sale entry '!A82="","",'Daily Sale entry '!A82)</f>
        <v/>
      </c>
      <c r="B82" s="6">
        <f>IF($A82="","",ROUND('Opening Balance'!$B$4+SUM('Daily Sale entry '!$K$2:K82)+SUMIFS('Daily Sale entry '!$AC$2:$AC$1501,'Daily Sale entry '!$X$2:$X$1501,"&lt;="&amp;$A82)-SUMIFS('Daily Sale entry '!$AD$2:$AD$1501,'Daily Sale entry '!$X$2:$X$1501,"&lt;="&amp;$A82)+SUMPRODUCT(('Daily Sale entry '!$Q$2:$Q$1501="Collection 收款")*('Daily Sale entry '!$R$2:$R$1501="Cheque 支票")*('Daily Sale entry '!$V$2:$V$1501&lt;&gt;"")*('Daily Sale entry '!$V$2:$V$1501&lt;=$A82)*('Daily Sale entry '!$S$2:$S$1501-'Opening Balance'!$B$15*('Daily Sale entry '!$R$2:$R$1501="Cheque 支票")*('Daily Sale entry '!$S$2:$S$1501-TRUNC('Daily Sale entry '!$S$2:$S$1501))))-'Opening Balance'!$B$15*SUMPRODUCT(('Daily Sale entry '!$X$2:$X$1501&lt;=$A82)*('Daily Sale entry '!$Z$2:$Z$1501="Online collection 网上收款")*('Daily Sale entry '!$AA$2:$AA$1501&lt;&gt;"")*('Daily Sale entry '!$AC$2:$AC$1501-TRUNC('Daily Sale entry '!$AC$2:$AC$1501))),2))</f>
        <v/>
      </c>
      <c r="C82" s="8">
        <f>IF($A82="","",'Opening Balance'!$B$5+SUM('Daily Sale entry '!$I$2:I82)-SUMIFS('Daily Sale entry '!$AB$2:$AB$1501,'Daily Sale entry '!$X$2:$X$1501,"&lt;="&amp;$A82,'Daily Sale entry '!$Z$2:$Z$1501,"Cheque deposit 支票存入")-COUNTIFS('Daily Sale entry '!$Q$2:$Q$1501,"Collection 收款",'Daily Sale entry '!$R$2:$R$1501,"Cheque 支票",'Daily Sale entry '!$V$2:$V$1501,"&lt;="&amp;$A82))</f>
        <v/>
      </c>
      <c r="D82" s="6">
        <f>IF($A82="","",ROUND('Opening Balance'!$B$6+SUM('Daily Sale entry '!$J$2:J82)-SUMIFS('Daily Sale entry '!$AC$2:$AC$1501,'Daily Sale entry '!$X$2:$X$1501,"&lt;="&amp;$A82,'Daily Sale entry '!$Z$2:$Z$1501,"Cheque deposit 支票存入")-SUMPRODUCT(('Daily Sale entry '!$Q$2:$Q$1501="Collection 收款")*('Daily Sale entry '!$R$2:$R$1501="Cheque 支票")*('Daily Sale entry '!$V$2:$V$1501&lt;&gt;"")*('Daily Sale entry '!$V$2:$V$1501&lt;=$A82)*('Daily Sale entry '!$S$2:$S$1501-'Opening Balance'!$B$15*('Daily Sale entry '!$R$2:$R$1501="Cheque 支票")*('Daily Sale entry '!$S$2:$S$1501-TRUNC('Daily Sale entry '!$S$2:$S$1501)))),2))</f>
        <v/>
      </c>
      <c r="E82" s="6">
        <f>IF($A82="","",'Opening Balance'!$B$7)</f>
        <v/>
      </c>
      <c r="F82" s="6">
        <f>IF($A82="","",ROUND(SUMIFS('Daily Sale entry '!$L$2:$L$367,'Daily Sale entry '!$A$2:$A$367,"&gt;="&amp;DATE(YEAR($A82),MONTH($A82),1),'Daily Sale entry '!$A$2:$A$367,"&lt;="&amp;$A82)+SUMIFS('Daily Sale entry '!$M$2:$M$367,'Daily Sale entry '!$A$2:$A$367,"&gt;="&amp;DATE(YEAR($A82),MONTH($A82),1),'Daily Sale entry '!$A$2:$A$367,"&lt;="&amp;$A82)+IF(AND(YEAR($A82)=YEAR('Daily Sale entry '!$A$2),MONTH($A82)=MONTH('Daily Sale entry '!$A$2)),'Opening Balance'!$B$8,0),2))</f>
        <v/>
      </c>
      <c r="G82" s="6">
        <f>IF($A82="","",MOD(ROUND('Opening Balance'!$B$9+SUMIFS('Sales &amp; Collection'!$L$1:$L$1123,'Sales &amp; Collection'!$K$1:$K$1123,"cash collection*"),2),'Opening Balance'!$B$11))</f>
        <v/>
      </c>
      <c r="H82" s="6">
        <f>IF($A82="","",ROUND('Opening Balance'!$B$10+'Opening Balance'!$B$9+SUMIFS('Sales &amp; Collection'!$L$1:$L$1123,'Sales &amp; Collection'!$K$1:$K$1123,"cash collection*")-G82-SUMIFS('Daily Sale entry '!$AC$2:$AC$1501,'Daily Sale entry '!$X$2:$X$1501,"&lt;="&amp;$A82,'Daily Sale entry '!$Z$2:$Z$1501,"Cash deposit 现金存入"),2))</f>
        <v/>
      </c>
      <c r="I82" s="6">
        <f>IF($A82="","",ROUND(B82+D82+E82+F82+G82+H82,2))</f>
        <v/>
      </c>
      <c r="J82" s="6">
        <f>IF($A82="","",'AR &amp; AP'!K83)</f>
        <v/>
      </c>
      <c r="K82" s="6">
        <f>IF($A82="","",ROUND(I82-J82-SUMIFS('Daily Sale entry '!$AC$2:$AC$1501,'Daily Sale entry '!$X$2:$X$1501,"&lt;="&amp;$A82,'Daily Sale entry '!$Z$2:$Z$1501,"Other deposit 其他存入")+SUMIFS('Daily Sale entry '!$AD$2:$AD$1501,'Daily Sale entry '!$X$2:$X$1501,"&lt;="&amp;$A82)+('Opening Balance'!$B$8+SUM('Daily Sale entry '!$L$2:M82)-F82),2))</f>
        <v/>
      </c>
      <c r="L82">
        <f>IF($A82="","",IF(ABS('Sales &amp; Collection'!$B$1132)&gt;'Opening Balance'!$B$16,"ALERT 警报: Different "&amp;TEXT('Sales &amp; Collection'!$B$1132,"#,##0.00")&amp;" 差额过大",""))</f>
        <v/>
      </c>
    </row>
    <row r="83">
      <c r="A83" s="5">
        <f>IF('Daily Sale entry '!A83="","",'Daily Sale entry '!A83)</f>
        <v/>
      </c>
      <c r="B83" s="6">
        <f>IF($A83="","",ROUND('Opening Balance'!$B$4+SUM('Daily Sale entry '!$K$2:K83)+SUMIFS('Daily Sale entry '!$AC$2:$AC$1501,'Daily Sale entry '!$X$2:$X$1501,"&lt;="&amp;$A83)-SUMIFS('Daily Sale entry '!$AD$2:$AD$1501,'Daily Sale entry '!$X$2:$X$1501,"&lt;="&amp;$A83)+SUMPRODUCT(('Daily Sale entry '!$Q$2:$Q$1501="Collection 收款")*('Daily Sale entry '!$R$2:$R$1501="Cheque 支票")*('Daily Sale entry '!$V$2:$V$1501&lt;&gt;"")*('Daily Sale entry '!$V$2:$V$1501&lt;=$A83)*('Daily Sale entry '!$S$2:$S$1501-'Opening Balance'!$B$15*('Daily Sale entry '!$R$2:$R$1501="Cheque 支票")*('Daily Sale entry '!$S$2:$S$1501-TRUNC('Daily Sale entry '!$S$2:$S$1501))))-'Opening Balance'!$B$15*SUMPRODUCT(('Daily Sale entry '!$X$2:$X$1501&lt;=$A83)*('Daily Sale entry '!$Z$2:$Z$1501="Online collection 网上收款")*('Daily Sale entry '!$AA$2:$AA$1501&lt;&gt;"")*('Daily Sale entry '!$AC$2:$AC$1501-TRUNC('Daily Sale entry '!$AC$2:$AC$1501))),2))</f>
        <v/>
      </c>
      <c r="C83" s="8">
        <f>IF($A83="","",'Opening Balance'!$B$5+SUM('Daily Sale entry '!$I$2:I83)-SUMIFS('Daily Sale entry '!$AB$2:$AB$1501,'Daily Sale entry '!$X$2:$X$1501,"&lt;="&amp;$A83,'Daily Sale entry '!$Z$2:$Z$1501,"Cheque deposit 支票存入")-COUNTIFS('Daily Sale entry '!$Q$2:$Q$1501,"Collection 收款",'Daily Sale entry '!$R$2:$R$1501,"Cheque 支票",'Daily Sale entry '!$V$2:$V$1501,"&lt;="&amp;$A83))</f>
        <v/>
      </c>
      <c r="D83" s="6">
        <f>IF($A83="","",ROUND('Opening Balance'!$B$6+SUM('Daily Sale entry '!$J$2:J83)-SUMIFS('Daily Sale entry '!$AC$2:$AC$1501,'Daily Sale entry '!$X$2:$X$1501,"&lt;="&amp;$A83,'Daily Sale entry '!$Z$2:$Z$1501,"Cheque deposit 支票存入")-SUMPRODUCT(('Daily Sale entry '!$Q$2:$Q$1501="Collection 收款")*('Daily Sale entry '!$R$2:$R$1501="Cheque 支票")*('Daily Sale entry '!$V$2:$V$1501&lt;&gt;"")*('Daily Sale entry '!$V$2:$V$1501&lt;=$A83)*('Daily Sale entry '!$S$2:$S$1501-'Opening Balance'!$B$15*('Daily Sale entry '!$R$2:$R$1501="Cheque 支票")*('Daily Sale entry '!$S$2:$S$1501-TRUNC('Daily Sale entry '!$S$2:$S$1501)))),2))</f>
        <v/>
      </c>
      <c r="E83" s="6">
        <f>IF($A83="","",'Opening Balance'!$B$7)</f>
        <v/>
      </c>
      <c r="F83" s="6">
        <f>IF($A83="","",ROUND(SUMIFS('Daily Sale entry '!$L$2:$L$367,'Daily Sale entry '!$A$2:$A$367,"&gt;="&amp;DATE(YEAR($A83),MONTH($A83),1),'Daily Sale entry '!$A$2:$A$367,"&lt;="&amp;$A83)+SUMIFS('Daily Sale entry '!$M$2:$M$367,'Daily Sale entry '!$A$2:$A$367,"&gt;="&amp;DATE(YEAR($A83),MONTH($A83),1),'Daily Sale entry '!$A$2:$A$367,"&lt;="&amp;$A83)+IF(AND(YEAR($A83)=YEAR('Daily Sale entry '!$A$2),MONTH($A83)=MONTH('Daily Sale entry '!$A$2)),'Opening Balance'!$B$8,0),2))</f>
        <v/>
      </c>
      <c r="G83" s="6">
        <f>IF($A83="","",MOD(ROUND('Opening Balance'!$B$9+SUMIFS('Sales &amp; Collection'!$L$1:$L$1137,'Sales &amp; Collection'!$K$1:$K$1137,"cash collection*"),2),'Opening Balance'!$B$11))</f>
        <v/>
      </c>
      <c r="H83" s="6">
        <f>IF($A83="","",ROUND('Opening Balance'!$B$10+'Opening Balance'!$B$9+SUMIFS('Sales &amp; Collection'!$L$1:$L$1137,'Sales &amp; Collection'!$K$1:$K$1137,"cash collection*")-G83-SUMIFS('Daily Sale entry '!$AC$2:$AC$1501,'Daily Sale entry '!$X$2:$X$1501,"&lt;="&amp;$A83,'Daily Sale entry '!$Z$2:$Z$1501,"Cash deposit 现金存入"),2))</f>
        <v/>
      </c>
      <c r="I83" s="6">
        <f>IF($A83="","",ROUND(B83+D83+E83+F83+G83+H83,2))</f>
        <v/>
      </c>
      <c r="J83" s="6">
        <f>IF($A83="","",'AR &amp; AP'!K84)</f>
        <v/>
      </c>
      <c r="K83" s="6">
        <f>IF($A83="","",ROUND(I83-J83-SUMIFS('Daily Sale entry '!$AC$2:$AC$1501,'Daily Sale entry '!$X$2:$X$1501,"&lt;="&amp;$A83,'Daily Sale entry '!$Z$2:$Z$1501,"Other deposit 其他存入")+SUMIFS('Daily Sale entry '!$AD$2:$AD$1501,'Daily Sale entry '!$X$2:$X$1501,"&lt;="&amp;$A83)+('Opening Balance'!$B$8+SUM('Daily Sale entry '!$L$2:M83)-F83),2))</f>
        <v/>
      </c>
      <c r="L83">
        <f>IF($A83="","",IF(ABS('Sales &amp; Collection'!$B$1146)&gt;'Opening Balance'!$B$16,"ALERT 警报: Different "&amp;TEXT('Sales &amp; Collection'!$B$1146,"#,##0.00")&amp;" 差额过大",""))</f>
        <v/>
      </c>
    </row>
    <row r="84">
      <c r="A84" s="5">
        <f>IF('Daily Sale entry '!A84="","",'Daily Sale entry '!A84)</f>
        <v/>
      </c>
      <c r="B84" s="6">
        <f>IF($A84="","",ROUND('Opening Balance'!$B$4+SUM('Daily Sale entry '!$K$2:K84)+SUMIFS('Daily Sale entry '!$AC$2:$AC$1501,'Daily Sale entry '!$X$2:$X$1501,"&lt;="&amp;$A84)-SUMIFS('Daily Sale entry '!$AD$2:$AD$1501,'Daily Sale entry '!$X$2:$X$1501,"&lt;="&amp;$A84)+SUMPRODUCT(('Daily Sale entry '!$Q$2:$Q$1501="Collection 收款")*('Daily Sale entry '!$R$2:$R$1501="Cheque 支票")*('Daily Sale entry '!$V$2:$V$1501&lt;&gt;"")*('Daily Sale entry '!$V$2:$V$1501&lt;=$A84)*('Daily Sale entry '!$S$2:$S$1501-'Opening Balance'!$B$15*('Daily Sale entry '!$R$2:$R$1501="Cheque 支票")*('Daily Sale entry '!$S$2:$S$1501-TRUNC('Daily Sale entry '!$S$2:$S$1501))))-'Opening Balance'!$B$15*SUMPRODUCT(('Daily Sale entry '!$X$2:$X$1501&lt;=$A84)*('Daily Sale entry '!$Z$2:$Z$1501="Online collection 网上收款")*('Daily Sale entry '!$AA$2:$AA$1501&lt;&gt;"")*('Daily Sale entry '!$AC$2:$AC$1501-TRUNC('Daily Sale entry '!$AC$2:$AC$1501))),2))</f>
        <v/>
      </c>
      <c r="C84" s="8">
        <f>IF($A84="","",'Opening Balance'!$B$5+SUM('Daily Sale entry '!$I$2:I84)-SUMIFS('Daily Sale entry '!$AB$2:$AB$1501,'Daily Sale entry '!$X$2:$X$1501,"&lt;="&amp;$A84,'Daily Sale entry '!$Z$2:$Z$1501,"Cheque deposit 支票存入")-COUNTIFS('Daily Sale entry '!$Q$2:$Q$1501,"Collection 收款",'Daily Sale entry '!$R$2:$R$1501,"Cheque 支票",'Daily Sale entry '!$V$2:$V$1501,"&lt;="&amp;$A84))</f>
        <v/>
      </c>
      <c r="D84" s="6">
        <f>IF($A84="","",ROUND('Opening Balance'!$B$6+SUM('Daily Sale entry '!$J$2:J84)-SUMIFS('Daily Sale entry '!$AC$2:$AC$1501,'Daily Sale entry '!$X$2:$X$1501,"&lt;="&amp;$A84,'Daily Sale entry '!$Z$2:$Z$1501,"Cheque deposit 支票存入")-SUMPRODUCT(('Daily Sale entry '!$Q$2:$Q$1501="Collection 收款")*('Daily Sale entry '!$R$2:$R$1501="Cheque 支票")*('Daily Sale entry '!$V$2:$V$1501&lt;&gt;"")*('Daily Sale entry '!$V$2:$V$1501&lt;=$A84)*('Daily Sale entry '!$S$2:$S$1501-'Opening Balance'!$B$15*('Daily Sale entry '!$R$2:$R$1501="Cheque 支票")*('Daily Sale entry '!$S$2:$S$1501-TRUNC('Daily Sale entry '!$S$2:$S$1501)))),2))</f>
        <v/>
      </c>
      <c r="E84" s="6">
        <f>IF($A84="","",'Opening Balance'!$B$7)</f>
        <v/>
      </c>
      <c r="F84" s="6">
        <f>IF($A84="","",ROUND(SUMIFS('Daily Sale entry '!$L$2:$L$367,'Daily Sale entry '!$A$2:$A$367,"&gt;="&amp;DATE(YEAR($A84),MONTH($A84),1),'Daily Sale entry '!$A$2:$A$367,"&lt;="&amp;$A84)+SUMIFS('Daily Sale entry '!$M$2:$M$367,'Daily Sale entry '!$A$2:$A$367,"&gt;="&amp;DATE(YEAR($A84),MONTH($A84),1),'Daily Sale entry '!$A$2:$A$367,"&lt;="&amp;$A84)+IF(AND(YEAR($A84)=YEAR('Daily Sale entry '!$A$2),MONTH($A84)=MONTH('Daily Sale entry '!$A$2)),'Opening Balance'!$B$8,0),2))</f>
        <v/>
      </c>
      <c r="G84" s="6">
        <f>IF($A84="","",MOD(ROUND('Opening Balance'!$B$9+SUMIFS('Sales &amp; Collection'!$L$1:$L$1151,'Sales &amp; Collection'!$K$1:$K$1151,"cash collection*"),2),'Opening Balance'!$B$11))</f>
        <v/>
      </c>
      <c r="H84" s="6">
        <f>IF($A84="","",ROUND('Opening Balance'!$B$10+'Opening Balance'!$B$9+SUMIFS('Sales &amp; Collection'!$L$1:$L$1151,'Sales &amp; Collection'!$K$1:$K$1151,"cash collection*")-G84-SUMIFS('Daily Sale entry '!$AC$2:$AC$1501,'Daily Sale entry '!$X$2:$X$1501,"&lt;="&amp;$A84,'Daily Sale entry '!$Z$2:$Z$1501,"Cash deposit 现金存入"),2))</f>
        <v/>
      </c>
      <c r="I84" s="6">
        <f>IF($A84="","",ROUND(B84+D84+E84+F84+G84+H84,2))</f>
        <v/>
      </c>
      <c r="J84" s="6">
        <f>IF($A84="","",'AR &amp; AP'!K85)</f>
        <v/>
      </c>
      <c r="K84" s="6">
        <f>IF($A84="","",ROUND(I84-J84-SUMIFS('Daily Sale entry '!$AC$2:$AC$1501,'Daily Sale entry '!$X$2:$X$1501,"&lt;="&amp;$A84,'Daily Sale entry '!$Z$2:$Z$1501,"Other deposit 其他存入")+SUMIFS('Daily Sale entry '!$AD$2:$AD$1501,'Daily Sale entry '!$X$2:$X$1501,"&lt;="&amp;$A84)+('Opening Balance'!$B$8+SUM('Daily Sale entry '!$L$2:M84)-F84),2))</f>
        <v/>
      </c>
      <c r="L84">
        <f>IF($A84="","",IF(ABS('Sales &amp; Collection'!$B$1160)&gt;'Opening Balance'!$B$16,"ALERT 警报: Different "&amp;TEXT('Sales &amp; Collection'!$B$1160,"#,##0.00")&amp;" 差额过大",""))</f>
        <v/>
      </c>
    </row>
    <row r="85">
      <c r="A85" s="5">
        <f>IF('Daily Sale entry '!A85="","",'Daily Sale entry '!A85)</f>
        <v/>
      </c>
      <c r="B85" s="6">
        <f>IF($A85="","",ROUND('Opening Balance'!$B$4+SUM('Daily Sale entry '!$K$2:K85)+SUMIFS('Daily Sale entry '!$AC$2:$AC$1501,'Daily Sale entry '!$X$2:$X$1501,"&lt;="&amp;$A85)-SUMIFS('Daily Sale entry '!$AD$2:$AD$1501,'Daily Sale entry '!$X$2:$X$1501,"&lt;="&amp;$A85)+SUMPRODUCT(('Daily Sale entry '!$Q$2:$Q$1501="Collection 收款")*('Daily Sale entry '!$R$2:$R$1501="Cheque 支票")*('Daily Sale entry '!$V$2:$V$1501&lt;&gt;"")*('Daily Sale entry '!$V$2:$V$1501&lt;=$A85)*('Daily Sale entry '!$S$2:$S$1501-'Opening Balance'!$B$15*('Daily Sale entry '!$R$2:$R$1501="Cheque 支票")*('Daily Sale entry '!$S$2:$S$1501-TRUNC('Daily Sale entry '!$S$2:$S$1501))))-'Opening Balance'!$B$15*SUMPRODUCT(('Daily Sale entry '!$X$2:$X$1501&lt;=$A85)*('Daily Sale entry '!$Z$2:$Z$1501="Online collection 网上收款")*('Daily Sale entry '!$AA$2:$AA$1501&lt;&gt;"")*('Daily Sale entry '!$AC$2:$AC$1501-TRUNC('Daily Sale entry '!$AC$2:$AC$1501))),2))</f>
        <v/>
      </c>
      <c r="C85" s="8">
        <f>IF($A85="","",'Opening Balance'!$B$5+SUM('Daily Sale entry '!$I$2:I85)-SUMIFS('Daily Sale entry '!$AB$2:$AB$1501,'Daily Sale entry '!$X$2:$X$1501,"&lt;="&amp;$A85,'Daily Sale entry '!$Z$2:$Z$1501,"Cheque deposit 支票存入")-COUNTIFS('Daily Sale entry '!$Q$2:$Q$1501,"Collection 收款",'Daily Sale entry '!$R$2:$R$1501,"Cheque 支票",'Daily Sale entry '!$V$2:$V$1501,"&lt;="&amp;$A85))</f>
        <v/>
      </c>
      <c r="D85" s="6">
        <f>IF($A85="","",ROUND('Opening Balance'!$B$6+SUM('Daily Sale entry '!$J$2:J85)-SUMIFS('Daily Sale entry '!$AC$2:$AC$1501,'Daily Sale entry '!$X$2:$X$1501,"&lt;="&amp;$A85,'Daily Sale entry '!$Z$2:$Z$1501,"Cheque deposit 支票存入")-SUMPRODUCT(('Daily Sale entry '!$Q$2:$Q$1501="Collection 收款")*('Daily Sale entry '!$R$2:$R$1501="Cheque 支票")*('Daily Sale entry '!$V$2:$V$1501&lt;&gt;"")*('Daily Sale entry '!$V$2:$V$1501&lt;=$A85)*('Daily Sale entry '!$S$2:$S$1501-'Opening Balance'!$B$15*('Daily Sale entry '!$R$2:$R$1501="Cheque 支票")*('Daily Sale entry '!$S$2:$S$1501-TRUNC('Daily Sale entry '!$S$2:$S$1501)))),2))</f>
        <v/>
      </c>
      <c r="E85" s="6">
        <f>IF($A85="","",'Opening Balance'!$B$7)</f>
        <v/>
      </c>
      <c r="F85" s="6">
        <f>IF($A85="","",ROUND(SUMIFS('Daily Sale entry '!$L$2:$L$367,'Daily Sale entry '!$A$2:$A$367,"&gt;="&amp;DATE(YEAR($A85),MONTH($A85),1),'Daily Sale entry '!$A$2:$A$367,"&lt;="&amp;$A85)+SUMIFS('Daily Sale entry '!$M$2:$M$367,'Daily Sale entry '!$A$2:$A$367,"&gt;="&amp;DATE(YEAR($A85),MONTH($A85),1),'Daily Sale entry '!$A$2:$A$367,"&lt;="&amp;$A85)+IF(AND(YEAR($A85)=YEAR('Daily Sale entry '!$A$2),MONTH($A85)=MONTH('Daily Sale entry '!$A$2)),'Opening Balance'!$B$8,0),2))</f>
        <v/>
      </c>
      <c r="G85" s="6">
        <f>IF($A85="","",MOD(ROUND('Opening Balance'!$B$9+SUMIFS('Sales &amp; Collection'!$L$1:$L$1165,'Sales &amp; Collection'!$K$1:$K$1165,"cash collection*"),2),'Opening Balance'!$B$11))</f>
        <v/>
      </c>
      <c r="H85" s="6">
        <f>IF($A85="","",ROUND('Opening Balance'!$B$10+'Opening Balance'!$B$9+SUMIFS('Sales &amp; Collection'!$L$1:$L$1165,'Sales &amp; Collection'!$K$1:$K$1165,"cash collection*")-G85-SUMIFS('Daily Sale entry '!$AC$2:$AC$1501,'Daily Sale entry '!$X$2:$X$1501,"&lt;="&amp;$A85,'Daily Sale entry '!$Z$2:$Z$1501,"Cash deposit 现金存入"),2))</f>
        <v/>
      </c>
      <c r="I85" s="6">
        <f>IF($A85="","",ROUND(B85+D85+E85+F85+G85+H85,2))</f>
        <v/>
      </c>
      <c r="J85" s="6">
        <f>IF($A85="","",'AR &amp; AP'!K86)</f>
        <v/>
      </c>
      <c r="K85" s="6">
        <f>IF($A85="","",ROUND(I85-J85-SUMIFS('Daily Sale entry '!$AC$2:$AC$1501,'Daily Sale entry '!$X$2:$X$1501,"&lt;="&amp;$A85,'Daily Sale entry '!$Z$2:$Z$1501,"Other deposit 其他存入")+SUMIFS('Daily Sale entry '!$AD$2:$AD$1501,'Daily Sale entry '!$X$2:$X$1501,"&lt;="&amp;$A85)+('Opening Balance'!$B$8+SUM('Daily Sale entry '!$L$2:M85)-F85),2))</f>
        <v/>
      </c>
      <c r="L85">
        <f>IF($A85="","",IF(ABS('Sales &amp; Collection'!$B$1174)&gt;'Opening Balance'!$B$16,"ALERT 警报: Different "&amp;TEXT('Sales &amp; Collection'!$B$1174,"#,##0.00")&amp;" 差额过大",""))</f>
        <v/>
      </c>
    </row>
    <row r="86">
      <c r="A86" s="5">
        <f>IF('Daily Sale entry '!A86="","",'Daily Sale entry '!A86)</f>
        <v/>
      </c>
      <c r="B86" s="6">
        <f>IF($A86="","",ROUND('Opening Balance'!$B$4+SUM('Daily Sale entry '!$K$2:K86)+SUMIFS('Daily Sale entry '!$AC$2:$AC$1501,'Daily Sale entry '!$X$2:$X$1501,"&lt;="&amp;$A86)-SUMIFS('Daily Sale entry '!$AD$2:$AD$1501,'Daily Sale entry '!$X$2:$X$1501,"&lt;="&amp;$A86)+SUMPRODUCT(('Daily Sale entry '!$Q$2:$Q$1501="Collection 收款")*('Daily Sale entry '!$R$2:$R$1501="Cheque 支票")*('Daily Sale entry '!$V$2:$V$1501&lt;&gt;"")*('Daily Sale entry '!$V$2:$V$1501&lt;=$A86)*('Daily Sale entry '!$S$2:$S$1501-'Opening Balance'!$B$15*('Daily Sale entry '!$R$2:$R$1501="Cheque 支票")*('Daily Sale entry '!$S$2:$S$1501-TRUNC('Daily Sale entry '!$S$2:$S$1501))))-'Opening Balance'!$B$15*SUMPRODUCT(('Daily Sale entry '!$X$2:$X$1501&lt;=$A86)*('Daily Sale entry '!$Z$2:$Z$1501="Online collection 网上收款")*('Daily Sale entry '!$AA$2:$AA$1501&lt;&gt;"")*('Daily Sale entry '!$AC$2:$AC$1501-TRUNC('Daily Sale entry '!$AC$2:$AC$1501))),2))</f>
        <v/>
      </c>
      <c r="C86" s="8">
        <f>IF($A86="","",'Opening Balance'!$B$5+SUM('Daily Sale entry '!$I$2:I86)-SUMIFS('Daily Sale entry '!$AB$2:$AB$1501,'Daily Sale entry '!$X$2:$X$1501,"&lt;="&amp;$A86,'Daily Sale entry '!$Z$2:$Z$1501,"Cheque deposit 支票存入")-COUNTIFS('Daily Sale entry '!$Q$2:$Q$1501,"Collection 收款",'Daily Sale entry '!$R$2:$R$1501,"Cheque 支票",'Daily Sale entry '!$V$2:$V$1501,"&lt;="&amp;$A86))</f>
        <v/>
      </c>
      <c r="D86" s="6">
        <f>IF($A86="","",ROUND('Opening Balance'!$B$6+SUM('Daily Sale entry '!$J$2:J86)-SUMIFS('Daily Sale entry '!$AC$2:$AC$1501,'Daily Sale entry '!$X$2:$X$1501,"&lt;="&amp;$A86,'Daily Sale entry '!$Z$2:$Z$1501,"Cheque deposit 支票存入")-SUMPRODUCT(('Daily Sale entry '!$Q$2:$Q$1501="Collection 收款")*('Daily Sale entry '!$R$2:$R$1501="Cheque 支票")*('Daily Sale entry '!$V$2:$V$1501&lt;&gt;"")*('Daily Sale entry '!$V$2:$V$1501&lt;=$A86)*('Daily Sale entry '!$S$2:$S$1501-'Opening Balance'!$B$15*('Daily Sale entry '!$R$2:$R$1501="Cheque 支票")*('Daily Sale entry '!$S$2:$S$1501-TRUNC('Daily Sale entry '!$S$2:$S$1501)))),2))</f>
        <v/>
      </c>
      <c r="E86" s="6">
        <f>IF($A86="","",'Opening Balance'!$B$7)</f>
        <v/>
      </c>
      <c r="F86" s="6">
        <f>IF($A86="","",ROUND(SUMIFS('Daily Sale entry '!$L$2:$L$367,'Daily Sale entry '!$A$2:$A$367,"&gt;="&amp;DATE(YEAR($A86),MONTH($A86),1),'Daily Sale entry '!$A$2:$A$367,"&lt;="&amp;$A86)+SUMIFS('Daily Sale entry '!$M$2:$M$367,'Daily Sale entry '!$A$2:$A$367,"&gt;="&amp;DATE(YEAR($A86),MONTH($A86),1),'Daily Sale entry '!$A$2:$A$367,"&lt;="&amp;$A86)+IF(AND(YEAR($A86)=YEAR('Daily Sale entry '!$A$2),MONTH($A86)=MONTH('Daily Sale entry '!$A$2)),'Opening Balance'!$B$8,0),2))</f>
        <v/>
      </c>
      <c r="G86" s="6">
        <f>IF($A86="","",MOD(ROUND('Opening Balance'!$B$9+SUMIFS('Sales &amp; Collection'!$L$1:$L$1179,'Sales &amp; Collection'!$K$1:$K$1179,"cash collection*"),2),'Opening Balance'!$B$11))</f>
        <v/>
      </c>
      <c r="H86" s="6">
        <f>IF($A86="","",ROUND('Opening Balance'!$B$10+'Opening Balance'!$B$9+SUMIFS('Sales &amp; Collection'!$L$1:$L$1179,'Sales &amp; Collection'!$K$1:$K$1179,"cash collection*")-G86-SUMIFS('Daily Sale entry '!$AC$2:$AC$1501,'Daily Sale entry '!$X$2:$X$1501,"&lt;="&amp;$A86,'Daily Sale entry '!$Z$2:$Z$1501,"Cash deposit 现金存入"),2))</f>
        <v/>
      </c>
      <c r="I86" s="6">
        <f>IF($A86="","",ROUND(B86+D86+E86+F86+G86+H86,2))</f>
        <v/>
      </c>
      <c r="J86" s="6">
        <f>IF($A86="","",'AR &amp; AP'!K87)</f>
        <v/>
      </c>
      <c r="K86" s="6">
        <f>IF($A86="","",ROUND(I86-J86-SUMIFS('Daily Sale entry '!$AC$2:$AC$1501,'Daily Sale entry '!$X$2:$X$1501,"&lt;="&amp;$A86,'Daily Sale entry '!$Z$2:$Z$1501,"Other deposit 其他存入")+SUMIFS('Daily Sale entry '!$AD$2:$AD$1501,'Daily Sale entry '!$X$2:$X$1501,"&lt;="&amp;$A86)+('Opening Balance'!$B$8+SUM('Daily Sale entry '!$L$2:M86)-F86),2))</f>
        <v/>
      </c>
      <c r="L86">
        <f>IF($A86="","",IF(ABS('Sales &amp; Collection'!$B$1188)&gt;'Opening Balance'!$B$16,"ALERT 警报: Different "&amp;TEXT('Sales &amp; Collection'!$B$1188,"#,##0.00")&amp;" 差额过大",""))</f>
        <v/>
      </c>
    </row>
    <row r="87">
      <c r="A87" s="5">
        <f>IF('Daily Sale entry '!A87="","",'Daily Sale entry '!A87)</f>
        <v/>
      </c>
      <c r="B87" s="6">
        <f>IF($A87="","",ROUND('Opening Balance'!$B$4+SUM('Daily Sale entry '!$K$2:K87)+SUMIFS('Daily Sale entry '!$AC$2:$AC$1501,'Daily Sale entry '!$X$2:$X$1501,"&lt;="&amp;$A87)-SUMIFS('Daily Sale entry '!$AD$2:$AD$1501,'Daily Sale entry '!$X$2:$X$1501,"&lt;="&amp;$A87)+SUMPRODUCT(('Daily Sale entry '!$Q$2:$Q$1501="Collection 收款")*('Daily Sale entry '!$R$2:$R$1501="Cheque 支票")*('Daily Sale entry '!$V$2:$V$1501&lt;&gt;"")*('Daily Sale entry '!$V$2:$V$1501&lt;=$A87)*('Daily Sale entry '!$S$2:$S$1501-'Opening Balance'!$B$15*('Daily Sale entry '!$R$2:$R$1501="Cheque 支票")*('Daily Sale entry '!$S$2:$S$1501-TRUNC('Daily Sale entry '!$S$2:$S$1501))))-'Opening Balance'!$B$15*SUMPRODUCT(('Daily Sale entry '!$X$2:$X$1501&lt;=$A87)*('Daily Sale entry '!$Z$2:$Z$1501="Online collection 网上收款")*('Daily Sale entry '!$AA$2:$AA$1501&lt;&gt;"")*('Daily Sale entry '!$AC$2:$AC$1501-TRUNC('Daily Sale entry '!$AC$2:$AC$1501))),2))</f>
        <v/>
      </c>
      <c r="C87" s="8">
        <f>IF($A87="","",'Opening Balance'!$B$5+SUM('Daily Sale entry '!$I$2:I87)-SUMIFS('Daily Sale entry '!$AB$2:$AB$1501,'Daily Sale entry '!$X$2:$X$1501,"&lt;="&amp;$A87,'Daily Sale entry '!$Z$2:$Z$1501,"Cheque deposit 支票存入")-COUNTIFS('Daily Sale entry '!$Q$2:$Q$1501,"Collection 收款",'Daily Sale entry '!$R$2:$R$1501,"Cheque 支票",'Daily Sale entry '!$V$2:$V$1501,"&lt;="&amp;$A87))</f>
        <v/>
      </c>
      <c r="D87" s="6">
        <f>IF($A87="","",ROUND('Opening Balance'!$B$6+SUM('Daily Sale entry '!$J$2:J87)-SUMIFS('Daily Sale entry '!$AC$2:$AC$1501,'Daily Sale entry '!$X$2:$X$1501,"&lt;="&amp;$A87,'Daily Sale entry '!$Z$2:$Z$1501,"Cheque deposit 支票存入")-SUMPRODUCT(('Daily Sale entry '!$Q$2:$Q$1501="Collection 收款")*('Daily Sale entry '!$R$2:$R$1501="Cheque 支票")*('Daily Sale entry '!$V$2:$V$1501&lt;&gt;"")*('Daily Sale entry '!$V$2:$V$1501&lt;=$A87)*('Daily Sale entry '!$S$2:$S$1501-'Opening Balance'!$B$15*('Daily Sale entry '!$R$2:$R$1501="Cheque 支票")*('Daily Sale entry '!$S$2:$S$1501-TRUNC('Daily Sale entry '!$S$2:$S$1501)))),2))</f>
        <v/>
      </c>
      <c r="E87" s="6">
        <f>IF($A87="","",'Opening Balance'!$B$7)</f>
        <v/>
      </c>
      <c r="F87" s="6">
        <f>IF($A87="","",ROUND(SUMIFS('Daily Sale entry '!$L$2:$L$367,'Daily Sale entry '!$A$2:$A$367,"&gt;="&amp;DATE(YEAR($A87),MONTH($A87),1),'Daily Sale entry '!$A$2:$A$367,"&lt;="&amp;$A87)+SUMIFS('Daily Sale entry '!$M$2:$M$367,'Daily Sale entry '!$A$2:$A$367,"&gt;="&amp;DATE(YEAR($A87),MONTH($A87),1),'Daily Sale entry '!$A$2:$A$367,"&lt;="&amp;$A87)+IF(AND(YEAR($A87)=YEAR('Daily Sale entry '!$A$2),MONTH($A87)=MONTH('Daily Sale entry '!$A$2)),'Opening Balance'!$B$8,0),2))</f>
        <v/>
      </c>
      <c r="G87" s="6">
        <f>IF($A87="","",MOD(ROUND('Opening Balance'!$B$9+SUMIFS('Sales &amp; Collection'!$L$1:$L$1193,'Sales &amp; Collection'!$K$1:$K$1193,"cash collection*"),2),'Opening Balance'!$B$11))</f>
        <v/>
      </c>
      <c r="H87" s="6">
        <f>IF($A87="","",ROUND('Opening Balance'!$B$10+'Opening Balance'!$B$9+SUMIFS('Sales &amp; Collection'!$L$1:$L$1193,'Sales &amp; Collection'!$K$1:$K$1193,"cash collection*")-G87-SUMIFS('Daily Sale entry '!$AC$2:$AC$1501,'Daily Sale entry '!$X$2:$X$1501,"&lt;="&amp;$A87,'Daily Sale entry '!$Z$2:$Z$1501,"Cash deposit 现金存入"),2))</f>
        <v/>
      </c>
      <c r="I87" s="6">
        <f>IF($A87="","",ROUND(B87+D87+E87+F87+G87+H87,2))</f>
        <v/>
      </c>
      <c r="J87" s="6">
        <f>IF($A87="","",'AR &amp; AP'!K88)</f>
        <v/>
      </c>
      <c r="K87" s="6">
        <f>IF($A87="","",ROUND(I87-J87-SUMIFS('Daily Sale entry '!$AC$2:$AC$1501,'Daily Sale entry '!$X$2:$X$1501,"&lt;="&amp;$A87,'Daily Sale entry '!$Z$2:$Z$1501,"Other deposit 其他存入")+SUMIFS('Daily Sale entry '!$AD$2:$AD$1501,'Daily Sale entry '!$X$2:$X$1501,"&lt;="&amp;$A87)+('Opening Balance'!$B$8+SUM('Daily Sale entry '!$L$2:M87)-F87),2))</f>
        <v/>
      </c>
      <c r="L87">
        <f>IF($A87="","",IF(ABS('Sales &amp; Collection'!$B$1202)&gt;'Opening Balance'!$B$16,"ALERT 警报: Different "&amp;TEXT('Sales &amp; Collection'!$B$1202,"#,##0.00")&amp;" 差额过大",""))</f>
        <v/>
      </c>
    </row>
    <row r="88">
      <c r="A88" s="5">
        <f>IF('Daily Sale entry '!A88="","",'Daily Sale entry '!A88)</f>
        <v/>
      </c>
      <c r="B88" s="6">
        <f>IF($A88="","",ROUND('Opening Balance'!$B$4+SUM('Daily Sale entry '!$K$2:K88)+SUMIFS('Daily Sale entry '!$AC$2:$AC$1501,'Daily Sale entry '!$X$2:$X$1501,"&lt;="&amp;$A88)-SUMIFS('Daily Sale entry '!$AD$2:$AD$1501,'Daily Sale entry '!$X$2:$X$1501,"&lt;="&amp;$A88)+SUMPRODUCT(('Daily Sale entry '!$Q$2:$Q$1501="Collection 收款")*('Daily Sale entry '!$R$2:$R$1501="Cheque 支票")*('Daily Sale entry '!$V$2:$V$1501&lt;&gt;"")*('Daily Sale entry '!$V$2:$V$1501&lt;=$A88)*('Daily Sale entry '!$S$2:$S$1501-'Opening Balance'!$B$15*('Daily Sale entry '!$R$2:$R$1501="Cheque 支票")*('Daily Sale entry '!$S$2:$S$1501-TRUNC('Daily Sale entry '!$S$2:$S$1501))))-'Opening Balance'!$B$15*SUMPRODUCT(('Daily Sale entry '!$X$2:$X$1501&lt;=$A88)*('Daily Sale entry '!$Z$2:$Z$1501="Online collection 网上收款")*('Daily Sale entry '!$AA$2:$AA$1501&lt;&gt;"")*('Daily Sale entry '!$AC$2:$AC$1501-TRUNC('Daily Sale entry '!$AC$2:$AC$1501))),2))</f>
        <v/>
      </c>
      <c r="C88" s="8">
        <f>IF($A88="","",'Opening Balance'!$B$5+SUM('Daily Sale entry '!$I$2:I88)-SUMIFS('Daily Sale entry '!$AB$2:$AB$1501,'Daily Sale entry '!$X$2:$X$1501,"&lt;="&amp;$A88,'Daily Sale entry '!$Z$2:$Z$1501,"Cheque deposit 支票存入")-COUNTIFS('Daily Sale entry '!$Q$2:$Q$1501,"Collection 收款",'Daily Sale entry '!$R$2:$R$1501,"Cheque 支票",'Daily Sale entry '!$V$2:$V$1501,"&lt;="&amp;$A88))</f>
        <v/>
      </c>
      <c r="D88" s="6">
        <f>IF($A88="","",ROUND('Opening Balance'!$B$6+SUM('Daily Sale entry '!$J$2:J88)-SUMIFS('Daily Sale entry '!$AC$2:$AC$1501,'Daily Sale entry '!$X$2:$X$1501,"&lt;="&amp;$A88,'Daily Sale entry '!$Z$2:$Z$1501,"Cheque deposit 支票存入")-SUMPRODUCT(('Daily Sale entry '!$Q$2:$Q$1501="Collection 收款")*('Daily Sale entry '!$R$2:$R$1501="Cheque 支票")*('Daily Sale entry '!$V$2:$V$1501&lt;&gt;"")*('Daily Sale entry '!$V$2:$V$1501&lt;=$A88)*('Daily Sale entry '!$S$2:$S$1501-'Opening Balance'!$B$15*('Daily Sale entry '!$R$2:$R$1501="Cheque 支票")*('Daily Sale entry '!$S$2:$S$1501-TRUNC('Daily Sale entry '!$S$2:$S$1501)))),2))</f>
        <v/>
      </c>
      <c r="E88" s="6">
        <f>IF($A88="","",'Opening Balance'!$B$7)</f>
        <v/>
      </c>
      <c r="F88" s="6">
        <f>IF($A88="","",ROUND(SUMIFS('Daily Sale entry '!$L$2:$L$367,'Daily Sale entry '!$A$2:$A$367,"&gt;="&amp;DATE(YEAR($A88),MONTH($A88),1),'Daily Sale entry '!$A$2:$A$367,"&lt;="&amp;$A88)+SUMIFS('Daily Sale entry '!$M$2:$M$367,'Daily Sale entry '!$A$2:$A$367,"&gt;="&amp;DATE(YEAR($A88),MONTH($A88),1),'Daily Sale entry '!$A$2:$A$367,"&lt;="&amp;$A88)+IF(AND(YEAR($A88)=YEAR('Daily Sale entry '!$A$2),MONTH($A88)=MONTH('Daily Sale entry '!$A$2)),'Opening Balance'!$B$8,0),2))</f>
        <v/>
      </c>
      <c r="G88" s="6">
        <f>IF($A88="","",MOD(ROUND('Opening Balance'!$B$9+SUMIFS('Sales &amp; Collection'!$L$1:$L$1207,'Sales &amp; Collection'!$K$1:$K$1207,"cash collection*"),2),'Opening Balance'!$B$11))</f>
        <v/>
      </c>
      <c r="H88" s="6">
        <f>IF($A88="","",ROUND('Opening Balance'!$B$10+'Opening Balance'!$B$9+SUMIFS('Sales &amp; Collection'!$L$1:$L$1207,'Sales &amp; Collection'!$K$1:$K$1207,"cash collection*")-G88-SUMIFS('Daily Sale entry '!$AC$2:$AC$1501,'Daily Sale entry '!$X$2:$X$1501,"&lt;="&amp;$A88,'Daily Sale entry '!$Z$2:$Z$1501,"Cash deposit 现金存入"),2))</f>
        <v/>
      </c>
      <c r="I88" s="6">
        <f>IF($A88="","",ROUND(B88+D88+E88+F88+G88+H88,2))</f>
        <v/>
      </c>
      <c r="J88" s="6">
        <f>IF($A88="","",'AR &amp; AP'!K89)</f>
        <v/>
      </c>
      <c r="K88" s="6">
        <f>IF($A88="","",ROUND(I88-J88-SUMIFS('Daily Sale entry '!$AC$2:$AC$1501,'Daily Sale entry '!$X$2:$X$1501,"&lt;="&amp;$A88,'Daily Sale entry '!$Z$2:$Z$1501,"Other deposit 其他存入")+SUMIFS('Daily Sale entry '!$AD$2:$AD$1501,'Daily Sale entry '!$X$2:$X$1501,"&lt;="&amp;$A88)+('Opening Balance'!$B$8+SUM('Daily Sale entry '!$L$2:M88)-F88),2))</f>
        <v/>
      </c>
      <c r="L88">
        <f>IF($A88="","",IF(ABS('Sales &amp; Collection'!$B$1216)&gt;'Opening Balance'!$B$16,"ALERT 警报: Different "&amp;TEXT('Sales &amp; Collection'!$B$1216,"#,##0.00")&amp;" 差额过大",""))</f>
        <v/>
      </c>
    </row>
    <row r="89">
      <c r="A89" s="5">
        <f>IF('Daily Sale entry '!A89="","",'Daily Sale entry '!A89)</f>
        <v/>
      </c>
      <c r="B89" s="6">
        <f>IF($A89="","",ROUND('Opening Balance'!$B$4+SUM('Daily Sale entry '!$K$2:K89)+SUMIFS('Daily Sale entry '!$AC$2:$AC$1501,'Daily Sale entry '!$X$2:$X$1501,"&lt;="&amp;$A89)-SUMIFS('Daily Sale entry '!$AD$2:$AD$1501,'Daily Sale entry '!$X$2:$X$1501,"&lt;="&amp;$A89)+SUMPRODUCT(('Daily Sale entry '!$Q$2:$Q$1501="Collection 收款")*('Daily Sale entry '!$R$2:$R$1501="Cheque 支票")*('Daily Sale entry '!$V$2:$V$1501&lt;&gt;"")*('Daily Sale entry '!$V$2:$V$1501&lt;=$A89)*('Daily Sale entry '!$S$2:$S$1501-'Opening Balance'!$B$15*('Daily Sale entry '!$R$2:$R$1501="Cheque 支票")*('Daily Sale entry '!$S$2:$S$1501-TRUNC('Daily Sale entry '!$S$2:$S$1501))))-'Opening Balance'!$B$15*SUMPRODUCT(('Daily Sale entry '!$X$2:$X$1501&lt;=$A89)*('Daily Sale entry '!$Z$2:$Z$1501="Online collection 网上收款")*('Daily Sale entry '!$AA$2:$AA$1501&lt;&gt;"")*('Daily Sale entry '!$AC$2:$AC$1501-TRUNC('Daily Sale entry '!$AC$2:$AC$1501))),2))</f>
        <v/>
      </c>
      <c r="C89" s="8">
        <f>IF($A89="","",'Opening Balance'!$B$5+SUM('Daily Sale entry '!$I$2:I89)-SUMIFS('Daily Sale entry '!$AB$2:$AB$1501,'Daily Sale entry '!$X$2:$X$1501,"&lt;="&amp;$A89,'Daily Sale entry '!$Z$2:$Z$1501,"Cheque deposit 支票存入")-COUNTIFS('Daily Sale entry '!$Q$2:$Q$1501,"Collection 收款",'Daily Sale entry '!$R$2:$R$1501,"Cheque 支票",'Daily Sale entry '!$V$2:$V$1501,"&lt;="&amp;$A89))</f>
        <v/>
      </c>
      <c r="D89" s="6">
        <f>IF($A89="","",ROUND('Opening Balance'!$B$6+SUM('Daily Sale entry '!$J$2:J89)-SUMIFS('Daily Sale entry '!$AC$2:$AC$1501,'Daily Sale entry '!$X$2:$X$1501,"&lt;="&amp;$A89,'Daily Sale entry '!$Z$2:$Z$1501,"Cheque deposit 支票存入")-SUMPRODUCT(('Daily Sale entry '!$Q$2:$Q$1501="Collection 收款")*('Daily Sale entry '!$R$2:$R$1501="Cheque 支票")*('Daily Sale entry '!$V$2:$V$1501&lt;&gt;"")*('Daily Sale entry '!$V$2:$V$1501&lt;=$A89)*('Daily Sale entry '!$S$2:$S$1501-'Opening Balance'!$B$15*('Daily Sale entry '!$R$2:$R$1501="Cheque 支票")*('Daily Sale entry '!$S$2:$S$1501-TRUNC('Daily Sale entry '!$S$2:$S$1501)))),2))</f>
        <v/>
      </c>
      <c r="E89" s="6">
        <f>IF($A89="","",'Opening Balance'!$B$7)</f>
        <v/>
      </c>
      <c r="F89" s="6">
        <f>IF($A89="","",ROUND(SUMIFS('Daily Sale entry '!$L$2:$L$367,'Daily Sale entry '!$A$2:$A$367,"&gt;="&amp;DATE(YEAR($A89),MONTH($A89),1),'Daily Sale entry '!$A$2:$A$367,"&lt;="&amp;$A89)+SUMIFS('Daily Sale entry '!$M$2:$M$367,'Daily Sale entry '!$A$2:$A$367,"&gt;="&amp;DATE(YEAR($A89),MONTH($A89),1),'Daily Sale entry '!$A$2:$A$367,"&lt;="&amp;$A89)+IF(AND(YEAR($A89)=YEAR('Daily Sale entry '!$A$2),MONTH($A89)=MONTH('Daily Sale entry '!$A$2)),'Opening Balance'!$B$8,0),2))</f>
        <v/>
      </c>
      <c r="G89" s="6">
        <f>IF($A89="","",MOD(ROUND('Opening Balance'!$B$9+SUMIFS('Sales &amp; Collection'!$L$1:$L$1221,'Sales &amp; Collection'!$K$1:$K$1221,"cash collection*"),2),'Opening Balance'!$B$11))</f>
        <v/>
      </c>
      <c r="H89" s="6">
        <f>IF($A89="","",ROUND('Opening Balance'!$B$10+'Opening Balance'!$B$9+SUMIFS('Sales &amp; Collection'!$L$1:$L$1221,'Sales &amp; Collection'!$K$1:$K$1221,"cash collection*")-G89-SUMIFS('Daily Sale entry '!$AC$2:$AC$1501,'Daily Sale entry '!$X$2:$X$1501,"&lt;="&amp;$A89,'Daily Sale entry '!$Z$2:$Z$1501,"Cash deposit 现金存入"),2))</f>
        <v/>
      </c>
      <c r="I89" s="6">
        <f>IF($A89="","",ROUND(B89+D89+E89+F89+G89+H89,2))</f>
        <v/>
      </c>
      <c r="J89" s="6">
        <f>IF($A89="","",'AR &amp; AP'!K90)</f>
        <v/>
      </c>
      <c r="K89" s="6">
        <f>IF($A89="","",ROUND(I89-J89-SUMIFS('Daily Sale entry '!$AC$2:$AC$1501,'Daily Sale entry '!$X$2:$X$1501,"&lt;="&amp;$A89,'Daily Sale entry '!$Z$2:$Z$1501,"Other deposit 其他存入")+SUMIFS('Daily Sale entry '!$AD$2:$AD$1501,'Daily Sale entry '!$X$2:$X$1501,"&lt;="&amp;$A89)+('Opening Balance'!$B$8+SUM('Daily Sale entry '!$L$2:M89)-F89),2))</f>
        <v/>
      </c>
      <c r="L89">
        <f>IF($A89="","",IF(ABS('Sales &amp; Collection'!$B$1230)&gt;'Opening Balance'!$B$16,"ALERT 警报: Different "&amp;TEXT('Sales &amp; Collection'!$B$1230,"#,##0.00")&amp;" 差额过大",""))</f>
        <v/>
      </c>
    </row>
    <row r="90">
      <c r="A90" s="5">
        <f>IF('Daily Sale entry '!A90="","",'Daily Sale entry '!A90)</f>
        <v/>
      </c>
      <c r="B90" s="6">
        <f>IF($A90="","",ROUND('Opening Balance'!$B$4+SUM('Daily Sale entry '!$K$2:K90)+SUMIFS('Daily Sale entry '!$AC$2:$AC$1501,'Daily Sale entry '!$X$2:$X$1501,"&lt;="&amp;$A90)-SUMIFS('Daily Sale entry '!$AD$2:$AD$1501,'Daily Sale entry '!$X$2:$X$1501,"&lt;="&amp;$A90)+SUMPRODUCT(('Daily Sale entry '!$Q$2:$Q$1501="Collection 收款")*('Daily Sale entry '!$R$2:$R$1501="Cheque 支票")*('Daily Sale entry '!$V$2:$V$1501&lt;&gt;"")*('Daily Sale entry '!$V$2:$V$1501&lt;=$A90)*('Daily Sale entry '!$S$2:$S$1501-'Opening Balance'!$B$15*('Daily Sale entry '!$R$2:$R$1501="Cheque 支票")*('Daily Sale entry '!$S$2:$S$1501-TRUNC('Daily Sale entry '!$S$2:$S$1501))))-'Opening Balance'!$B$15*SUMPRODUCT(('Daily Sale entry '!$X$2:$X$1501&lt;=$A90)*('Daily Sale entry '!$Z$2:$Z$1501="Online collection 网上收款")*('Daily Sale entry '!$AA$2:$AA$1501&lt;&gt;"")*('Daily Sale entry '!$AC$2:$AC$1501-TRUNC('Daily Sale entry '!$AC$2:$AC$1501))),2))</f>
        <v/>
      </c>
      <c r="C90" s="8">
        <f>IF($A90="","",'Opening Balance'!$B$5+SUM('Daily Sale entry '!$I$2:I90)-SUMIFS('Daily Sale entry '!$AB$2:$AB$1501,'Daily Sale entry '!$X$2:$X$1501,"&lt;="&amp;$A90,'Daily Sale entry '!$Z$2:$Z$1501,"Cheque deposit 支票存入")-COUNTIFS('Daily Sale entry '!$Q$2:$Q$1501,"Collection 收款",'Daily Sale entry '!$R$2:$R$1501,"Cheque 支票",'Daily Sale entry '!$V$2:$V$1501,"&lt;="&amp;$A90))</f>
        <v/>
      </c>
      <c r="D90" s="6">
        <f>IF($A90="","",ROUND('Opening Balance'!$B$6+SUM('Daily Sale entry '!$J$2:J90)-SUMIFS('Daily Sale entry '!$AC$2:$AC$1501,'Daily Sale entry '!$X$2:$X$1501,"&lt;="&amp;$A90,'Daily Sale entry '!$Z$2:$Z$1501,"Cheque deposit 支票存入")-SUMPRODUCT(('Daily Sale entry '!$Q$2:$Q$1501="Collection 收款")*('Daily Sale entry '!$R$2:$R$1501="Cheque 支票")*('Daily Sale entry '!$V$2:$V$1501&lt;&gt;"")*('Daily Sale entry '!$V$2:$V$1501&lt;=$A90)*('Daily Sale entry '!$S$2:$S$1501-'Opening Balance'!$B$15*('Daily Sale entry '!$R$2:$R$1501="Cheque 支票")*('Daily Sale entry '!$S$2:$S$1501-TRUNC('Daily Sale entry '!$S$2:$S$1501)))),2))</f>
        <v/>
      </c>
      <c r="E90" s="6">
        <f>IF($A90="","",'Opening Balance'!$B$7)</f>
        <v/>
      </c>
      <c r="F90" s="6">
        <f>IF($A90="","",ROUND(SUMIFS('Daily Sale entry '!$L$2:$L$367,'Daily Sale entry '!$A$2:$A$367,"&gt;="&amp;DATE(YEAR($A90),MONTH($A90),1),'Daily Sale entry '!$A$2:$A$367,"&lt;="&amp;$A90)+SUMIFS('Daily Sale entry '!$M$2:$M$367,'Daily Sale entry '!$A$2:$A$367,"&gt;="&amp;DATE(YEAR($A90),MONTH($A90),1),'Daily Sale entry '!$A$2:$A$367,"&lt;="&amp;$A90)+IF(AND(YEAR($A90)=YEAR('Daily Sale entry '!$A$2),MONTH($A90)=MONTH('Daily Sale entry '!$A$2)),'Opening Balance'!$B$8,0),2))</f>
        <v/>
      </c>
      <c r="G90" s="6">
        <f>IF($A90="","",MOD(ROUND('Opening Balance'!$B$9+SUMIFS('Sales &amp; Collection'!$L$1:$L$1235,'Sales &amp; Collection'!$K$1:$K$1235,"cash collection*"),2),'Opening Balance'!$B$11))</f>
        <v/>
      </c>
      <c r="H90" s="6">
        <f>IF($A90="","",ROUND('Opening Balance'!$B$10+'Opening Balance'!$B$9+SUMIFS('Sales &amp; Collection'!$L$1:$L$1235,'Sales &amp; Collection'!$K$1:$K$1235,"cash collection*")-G90-SUMIFS('Daily Sale entry '!$AC$2:$AC$1501,'Daily Sale entry '!$X$2:$X$1501,"&lt;="&amp;$A90,'Daily Sale entry '!$Z$2:$Z$1501,"Cash deposit 现金存入"),2))</f>
        <v/>
      </c>
      <c r="I90" s="6">
        <f>IF($A90="","",ROUND(B90+D90+E90+F90+G90+H90,2))</f>
        <v/>
      </c>
      <c r="J90" s="6">
        <f>IF($A90="","",'AR &amp; AP'!K91)</f>
        <v/>
      </c>
      <c r="K90" s="6">
        <f>IF($A90="","",ROUND(I90-J90-SUMIFS('Daily Sale entry '!$AC$2:$AC$1501,'Daily Sale entry '!$X$2:$X$1501,"&lt;="&amp;$A90,'Daily Sale entry '!$Z$2:$Z$1501,"Other deposit 其他存入")+SUMIFS('Daily Sale entry '!$AD$2:$AD$1501,'Daily Sale entry '!$X$2:$X$1501,"&lt;="&amp;$A90)+('Opening Balance'!$B$8+SUM('Daily Sale entry '!$L$2:M90)-F90),2))</f>
        <v/>
      </c>
      <c r="L90">
        <f>IF($A90="","",IF(ABS('Sales &amp; Collection'!$B$1244)&gt;'Opening Balance'!$B$16,"ALERT 警报: Different "&amp;TEXT('Sales &amp; Collection'!$B$1244,"#,##0.00")&amp;" 差额过大",""))</f>
        <v/>
      </c>
    </row>
    <row r="91">
      <c r="A91" s="5">
        <f>IF('Daily Sale entry '!A91="","",'Daily Sale entry '!A91)</f>
        <v/>
      </c>
      <c r="B91" s="6">
        <f>IF($A91="","",ROUND('Opening Balance'!$B$4+SUM('Daily Sale entry '!$K$2:K91)+SUMIFS('Daily Sale entry '!$AC$2:$AC$1501,'Daily Sale entry '!$X$2:$X$1501,"&lt;="&amp;$A91)-SUMIFS('Daily Sale entry '!$AD$2:$AD$1501,'Daily Sale entry '!$X$2:$X$1501,"&lt;="&amp;$A91)+SUMPRODUCT(('Daily Sale entry '!$Q$2:$Q$1501="Collection 收款")*('Daily Sale entry '!$R$2:$R$1501="Cheque 支票")*('Daily Sale entry '!$V$2:$V$1501&lt;&gt;"")*('Daily Sale entry '!$V$2:$V$1501&lt;=$A91)*('Daily Sale entry '!$S$2:$S$1501-'Opening Balance'!$B$15*('Daily Sale entry '!$R$2:$R$1501="Cheque 支票")*('Daily Sale entry '!$S$2:$S$1501-TRUNC('Daily Sale entry '!$S$2:$S$1501))))-'Opening Balance'!$B$15*SUMPRODUCT(('Daily Sale entry '!$X$2:$X$1501&lt;=$A91)*('Daily Sale entry '!$Z$2:$Z$1501="Online collection 网上收款")*('Daily Sale entry '!$AA$2:$AA$1501&lt;&gt;"")*('Daily Sale entry '!$AC$2:$AC$1501-TRUNC('Daily Sale entry '!$AC$2:$AC$1501))),2))</f>
        <v/>
      </c>
      <c r="C91" s="8">
        <f>IF($A91="","",'Opening Balance'!$B$5+SUM('Daily Sale entry '!$I$2:I91)-SUMIFS('Daily Sale entry '!$AB$2:$AB$1501,'Daily Sale entry '!$X$2:$X$1501,"&lt;="&amp;$A91,'Daily Sale entry '!$Z$2:$Z$1501,"Cheque deposit 支票存入")-COUNTIFS('Daily Sale entry '!$Q$2:$Q$1501,"Collection 收款",'Daily Sale entry '!$R$2:$R$1501,"Cheque 支票",'Daily Sale entry '!$V$2:$V$1501,"&lt;="&amp;$A91))</f>
        <v/>
      </c>
      <c r="D91" s="6">
        <f>IF($A91="","",ROUND('Opening Balance'!$B$6+SUM('Daily Sale entry '!$J$2:J91)-SUMIFS('Daily Sale entry '!$AC$2:$AC$1501,'Daily Sale entry '!$X$2:$X$1501,"&lt;="&amp;$A91,'Daily Sale entry '!$Z$2:$Z$1501,"Cheque deposit 支票存入")-SUMPRODUCT(('Daily Sale entry '!$Q$2:$Q$1501="Collection 收款")*('Daily Sale entry '!$R$2:$R$1501="Cheque 支票")*('Daily Sale entry '!$V$2:$V$1501&lt;&gt;"")*('Daily Sale entry '!$V$2:$V$1501&lt;=$A91)*('Daily Sale entry '!$S$2:$S$1501-'Opening Balance'!$B$15*('Daily Sale entry '!$R$2:$R$1501="Cheque 支票")*('Daily Sale entry '!$S$2:$S$1501-TRUNC('Daily Sale entry '!$S$2:$S$1501)))),2))</f>
        <v/>
      </c>
      <c r="E91" s="6">
        <f>IF($A91="","",'Opening Balance'!$B$7)</f>
        <v/>
      </c>
      <c r="F91" s="6">
        <f>IF($A91="","",ROUND(SUMIFS('Daily Sale entry '!$L$2:$L$367,'Daily Sale entry '!$A$2:$A$367,"&gt;="&amp;DATE(YEAR($A91),MONTH($A91),1),'Daily Sale entry '!$A$2:$A$367,"&lt;="&amp;$A91)+SUMIFS('Daily Sale entry '!$M$2:$M$367,'Daily Sale entry '!$A$2:$A$367,"&gt;="&amp;DATE(YEAR($A91),MONTH($A91),1),'Daily Sale entry '!$A$2:$A$367,"&lt;="&amp;$A91)+IF(AND(YEAR($A91)=YEAR('Daily Sale entry '!$A$2),MONTH($A91)=MONTH('Daily Sale entry '!$A$2)),'Opening Balance'!$B$8,0),2))</f>
        <v/>
      </c>
      <c r="G91" s="6">
        <f>IF($A91="","",MOD(ROUND('Opening Balance'!$B$9+SUMIFS('Sales &amp; Collection'!$L$1:$L$1249,'Sales &amp; Collection'!$K$1:$K$1249,"cash collection*"),2),'Opening Balance'!$B$11))</f>
        <v/>
      </c>
      <c r="H91" s="6">
        <f>IF($A91="","",ROUND('Opening Balance'!$B$10+'Opening Balance'!$B$9+SUMIFS('Sales &amp; Collection'!$L$1:$L$1249,'Sales &amp; Collection'!$K$1:$K$1249,"cash collection*")-G91-SUMIFS('Daily Sale entry '!$AC$2:$AC$1501,'Daily Sale entry '!$X$2:$X$1501,"&lt;="&amp;$A91,'Daily Sale entry '!$Z$2:$Z$1501,"Cash deposit 现金存入"),2))</f>
        <v/>
      </c>
      <c r="I91" s="6">
        <f>IF($A91="","",ROUND(B91+D91+E91+F91+G91+H91,2))</f>
        <v/>
      </c>
      <c r="J91" s="6">
        <f>IF($A91="","",'AR &amp; AP'!K92)</f>
        <v/>
      </c>
      <c r="K91" s="6">
        <f>IF($A91="","",ROUND(I91-J91-SUMIFS('Daily Sale entry '!$AC$2:$AC$1501,'Daily Sale entry '!$X$2:$X$1501,"&lt;="&amp;$A91,'Daily Sale entry '!$Z$2:$Z$1501,"Other deposit 其他存入")+SUMIFS('Daily Sale entry '!$AD$2:$AD$1501,'Daily Sale entry '!$X$2:$X$1501,"&lt;="&amp;$A91)+('Opening Balance'!$B$8+SUM('Daily Sale entry '!$L$2:M91)-F91),2))</f>
        <v/>
      </c>
      <c r="L91">
        <f>IF($A91="","",IF(ABS('Sales &amp; Collection'!$B$1258)&gt;'Opening Balance'!$B$16,"ALERT 警报: Different "&amp;TEXT('Sales &amp; Collection'!$B$1258,"#,##0.00")&amp;" 差额过大",""))</f>
        <v/>
      </c>
    </row>
    <row r="92">
      <c r="A92" s="5">
        <f>IF('Daily Sale entry '!A92="","",'Daily Sale entry '!A92)</f>
        <v/>
      </c>
      <c r="B92" s="6">
        <f>IF($A92="","",ROUND('Opening Balance'!$B$4+SUM('Daily Sale entry '!$K$2:K92)+SUMIFS('Daily Sale entry '!$AC$2:$AC$1501,'Daily Sale entry '!$X$2:$X$1501,"&lt;="&amp;$A92)-SUMIFS('Daily Sale entry '!$AD$2:$AD$1501,'Daily Sale entry '!$X$2:$X$1501,"&lt;="&amp;$A92)+SUMPRODUCT(('Daily Sale entry '!$Q$2:$Q$1501="Collection 收款")*('Daily Sale entry '!$R$2:$R$1501="Cheque 支票")*('Daily Sale entry '!$V$2:$V$1501&lt;&gt;"")*('Daily Sale entry '!$V$2:$V$1501&lt;=$A92)*('Daily Sale entry '!$S$2:$S$1501-'Opening Balance'!$B$15*('Daily Sale entry '!$R$2:$R$1501="Cheque 支票")*('Daily Sale entry '!$S$2:$S$1501-TRUNC('Daily Sale entry '!$S$2:$S$1501))))-'Opening Balance'!$B$15*SUMPRODUCT(('Daily Sale entry '!$X$2:$X$1501&lt;=$A92)*('Daily Sale entry '!$Z$2:$Z$1501="Online collection 网上收款")*('Daily Sale entry '!$AA$2:$AA$1501&lt;&gt;"")*('Daily Sale entry '!$AC$2:$AC$1501-TRUNC('Daily Sale entry '!$AC$2:$AC$1501))),2))</f>
        <v/>
      </c>
      <c r="C92" s="8">
        <f>IF($A92="","",'Opening Balance'!$B$5+SUM('Daily Sale entry '!$I$2:I92)-SUMIFS('Daily Sale entry '!$AB$2:$AB$1501,'Daily Sale entry '!$X$2:$X$1501,"&lt;="&amp;$A92,'Daily Sale entry '!$Z$2:$Z$1501,"Cheque deposit 支票存入")-COUNTIFS('Daily Sale entry '!$Q$2:$Q$1501,"Collection 收款",'Daily Sale entry '!$R$2:$R$1501,"Cheque 支票",'Daily Sale entry '!$V$2:$V$1501,"&lt;="&amp;$A92))</f>
        <v/>
      </c>
      <c r="D92" s="6">
        <f>IF($A92="","",ROUND('Opening Balance'!$B$6+SUM('Daily Sale entry '!$J$2:J92)-SUMIFS('Daily Sale entry '!$AC$2:$AC$1501,'Daily Sale entry '!$X$2:$X$1501,"&lt;="&amp;$A92,'Daily Sale entry '!$Z$2:$Z$1501,"Cheque deposit 支票存入")-SUMPRODUCT(('Daily Sale entry '!$Q$2:$Q$1501="Collection 收款")*('Daily Sale entry '!$R$2:$R$1501="Cheque 支票")*('Daily Sale entry '!$V$2:$V$1501&lt;&gt;"")*('Daily Sale entry '!$V$2:$V$1501&lt;=$A92)*('Daily Sale entry '!$S$2:$S$1501-'Opening Balance'!$B$15*('Daily Sale entry '!$R$2:$R$1501="Cheque 支票")*('Daily Sale entry '!$S$2:$S$1501-TRUNC('Daily Sale entry '!$S$2:$S$1501)))),2))</f>
        <v/>
      </c>
      <c r="E92" s="6">
        <f>IF($A92="","",'Opening Balance'!$B$7)</f>
        <v/>
      </c>
      <c r="F92" s="6">
        <f>IF($A92="","",ROUND(SUMIFS('Daily Sale entry '!$L$2:$L$367,'Daily Sale entry '!$A$2:$A$367,"&gt;="&amp;DATE(YEAR($A92),MONTH($A92),1),'Daily Sale entry '!$A$2:$A$367,"&lt;="&amp;$A92)+SUMIFS('Daily Sale entry '!$M$2:$M$367,'Daily Sale entry '!$A$2:$A$367,"&gt;="&amp;DATE(YEAR($A92),MONTH($A92),1),'Daily Sale entry '!$A$2:$A$367,"&lt;="&amp;$A92)+IF(AND(YEAR($A92)=YEAR('Daily Sale entry '!$A$2),MONTH($A92)=MONTH('Daily Sale entry '!$A$2)),'Opening Balance'!$B$8,0),2))</f>
        <v/>
      </c>
      <c r="G92" s="6">
        <f>IF($A92="","",MOD(ROUND('Opening Balance'!$B$9+SUMIFS('Sales &amp; Collection'!$L$1:$L$1263,'Sales &amp; Collection'!$K$1:$K$1263,"cash collection*"),2),'Opening Balance'!$B$11))</f>
        <v/>
      </c>
      <c r="H92" s="6">
        <f>IF($A92="","",ROUND('Opening Balance'!$B$10+'Opening Balance'!$B$9+SUMIFS('Sales &amp; Collection'!$L$1:$L$1263,'Sales &amp; Collection'!$K$1:$K$1263,"cash collection*")-G92-SUMIFS('Daily Sale entry '!$AC$2:$AC$1501,'Daily Sale entry '!$X$2:$X$1501,"&lt;="&amp;$A92,'Daily Sale entry '!$Z$2:$Z$1501,"Cash deposit 现金存入"),2))</f>
        <v/>
      </c>
      <c r="I92" s="6">
        <f>IF($A92="","",ROUND(B92+D92+E92+F92+G92+H92,2))</f>
        <v/>
      </c>
      <c r="J92" s="6">
        <f>IF($A92="","",'AR &amp; AP'!K93)</f>
        <v/>
      </c>
      <c r="K92" s="6">
        <f>IF($A92="","",ROUND(I92-J92-SUMIFS('Daily Sale entry '!$AC$2:$AC$1501,'Daily Sale entry '!$X$2:$X$1501,"&lt;="&amp;$A92,'Daily Sale entry '!$Z$2:$Z$1501,"Other deposit 其他存入")+SUMIFS('Daily Sale entry '!$AD$2:$AD$1501,'Daily Sale entry '!$X$2:$X$1501,"&lt;="&amp;$A92)+('Opening Balance'!$B$8+SUM('Daily Sale entry '!$L$2:M92)-F92),2))</f>
        <v/>
      </c>
      <c r="L92">
        <f>IF($A92="","",IF(ABS('Sales &amp; Collection'!$B$1272)&gt;'Opening Balance'!$B$16,"ALERT 警报: Different "&amp;TEXT('Sales &amp; Collection'!$B$1272,"#,##0.00")&amp;" 差额过大",""))</f>
        <v/>
      </c>
    </row>
    <row r="93">
      <c r="A93" s="5">
        <f>IF('Daily Sale entry '!A93="","",'Daily Sale entry '!A93)</f>
        <v/>
      </c>
      <c r="B93" s="6">
        <f>IF($A93="","",ROUND('Opening Balance'!$B$4+SUM('Daily Sale entry '!$K$2:K93)+SUMIFS('Daily Sale entry '!$AC$2:$AC$1501,'Daily Sale entry '!$X$2:$X$1501,"&lt;="&amp;$A93)-SUMIFS('Daily Sale entry '!$AD$2:$AD$1501,'Daily Sale entry '!$X$2:$X$1501,"&lt;="&amp;$A93)+SUMPRODUCT(('Daily Sale entry '!$Q$2:$Q$1501="Collection 收款")*('Daily Sale entry '!$R$2:$R$1501="Cheque 支票")*('Daily Sale entry '!$V$2:$V$1501&lt;&gt;"")*('Daily Sale entry '!$V$2:$V$1501&lt;=$A93)*('Daily Sale entry '!$S$2:$S$1501-'Opening Balance'!$B$15*('Daily Sale entry '!$R$2:$R$1501="Cheque 支票")*('Daily Sale entry '!$S$2:$S$1501-TRUNC('Daily Sale entry '!$S$2:$S$1501))))-'Opening Balance'!$B$15*SUMPRODUCT(('Daily Sale entry '!$X$2:$X$1501&lt;=$A93)*('Daily Sale entry '!$Z$2:$Z$1501="Online collection 网上收款")*('Daily Sale entry '!$AA$2:$AA$1501&lt;&gt;"")*('Daily Sale entry '!$AC$2:$AC$1501-TRUNC('Daily Sale entry '!$AC$2:$AC$1501))),2))</f>
        <v/>
      </c>
      <c r="C93" s="8">
        <f>IF($A93="","",'Opening Balance'!$B$5+SUM('Daily Sale entry '!$I$2:I93)-SUMIFS('Daily Sale entry '!$AB$2:$AB$1501,'Daily Sale entry '!$X$2:$X$1501,"&lt;="&amp;$A93,'Daily Sale entry '!$Z$2:$Z$1501,"Cheque deposit 支票存入")-COUNTIFS('Daily Sale entry '!$Q$2:$Q$1501,"Collection 收款",'Daily Sale entry '!$R$2:$R$1501,"Cheque 支票",'Daily Sale entry '!$V$2:$V$1501,"&lt;="&amp;$A93))</f>
        <v/>
      </c>
      <c r="D93" s="6">
        <f>IF($A93="","",ROUND('Opening Balance'!$B$6+SUM('Daily Sale entry '!$J$2:J93)-SUMIFS('Daily Sale entry '!$AC$2:$AC$1501,'Daily Sale entry '!$X$2:$X$1501,"&lt;="&amp;$A93,'Daily Sale entry '!$Z$2:$Z$1501,"Cheque deposit 支票存入")-SUMPRODUCT(('Daily Sale entry '!$Q$2:$Q$1501="Collection 收款")*('Daily Sale entry '!$R$2:$R$1501="Cheque 支票")*('Daily Sale entry '!$V$2:$V$1501&lt;&gt;"")*('Daily Sale entry '!$V$2:$V$1501&lt;=$A93)*('Daily Sale entry '!$S$2:$S$1501-'Opening Balance'!$B$15*('Daily Sale entry '!$R$2:$R$1501="Cheque 支票")*('Daily Sale entry '!$S$2:$S$1501-TRUNC('Daily Sale entry '!$S$2:$S$1501)))),2))</f>
        <v/>
      </c>
      <c r="E93" s="6">
        <f>IF($A93="","",'Opening Balance'!$B$7)</f>
        <v/>
      </c>
      <c r="F93" s="6">
        <f>IF($A93="","",ROUND(SUMIFS('Daily Sale entry '!$L$2:$L$367,'Daily Sale entry '!$A$2:$A$367,"&gt;="&amp;DATE(YEAR($A93),MONTH($A93),1),'Daily Sale entry '!$A$2:$A$367,"&lt;="&amp;$A93)+SUMIFS('Daily Sale entry '!$M$2:$M$367,'Daily Sale entry '!$A$2:$A$367,"&gt;="&amp;DATE(YEAR($A93),MONTH($A93),1),'Daily Sale entry '!$A$2:$A$367,"&lt;="&amp;$A93)+IF(AND(YEAR($A93)=YEAR('Daily Sale entry '!$A$2),MONTH($A93)=MONTH('Daily Sale entry '!$A$2)),'Opening Balance'!$B$8,0),2))</f>
        <v/>
      </c>
      <c r="G93" s="6">
        <f>IF($A93="","",MOD(ROUND('Opening Balance'!$B$9+SUMIFS('Sales &amp; Collection'!$L$1:$L$1277,'Sales &amp; Collection'!$K$1:$K$1277,"cash collection*"),2),'Opening Balance'!$B$11))</f>
        <v/>
      </c>
      <c r="H93" s="6">
        <f>IF($A93="","",ROUND('Opening Balance'!$B$10+'Opening Balance'!$B$9+SUMIFS('Sales &amp; Collection'!$L$1:$L$1277,'Sales &amp; Collection'!$K$1:$K$1277,"cash collection*")-G93-SUMIFS('Daily Sale entry '!$AC$2:$AC$1501,'Daily Sale entry '!$X$2:$X$1501,"&lt;="&amp;$A93,'Daily Sale entry '!$Z$2:$Z$1501,"Cash deposit 现金存入"),2))</f>
        <v/>
      </c>
      <c r="I93" s="6">
        <f>IF($A93="","",ROUND(B93+D93+E93+F93+G93+H93,2))</f>
        <v/>
      </c>
      <c r="J93" s="6">
        <f>IF($A93="","",'AR &amp; AP'!K94)</f>
        <v/>
      </c>
      <c r="K93" s="6">
        <f>IF($A93="","",ROUND(I93-J93-SUMIFS('Daily Sale entry '!$AC$2:$AC$1501,'Daily Sale entry '!$X$2:$X$1501,"&lt;="&amp;$A93,'Daily Sale entry '!$Z$2:$Z$1501,"Other deposit 其他存入")+SUMIFS('Daily Sale entry '!$AD$2:$AD$1501,'Daily Sale entry '!$X$2:$X$1501,"&lt;="&amp;$A93)+('Opening Balance'!$B$8+SUM('Daily Sale entry '!$L$2:M93)-F93),2))</f>
        <v/>
      </c>
      <c r="L93">
        <f>IF($A93="","",IF(ABS('Sales &amp; Collection'!$B$1286)&gt;'Opening Balance'!$B$16,"ALERT 警报: Different "&amp;TEXT('Sales &amp; Collection'!$B$1286,"#,##0.00")&amp;" 差额过大",""))</f>
        <v/>
      </c>
    </row>
    <row r="94">
      <c r="A94" s="5">
        <f>IF('Daily Sale entry '!A94="","",'Daily Sale entry '!A94)</f>
        <v/>
      </c>
      <c r="B94" s="6">
        <f>IF($A94="","",ROUND('Opening Balance'!$B$4+SUM('Daily Sale entry '!$K$2:K94)+SUMIFS('Daily Sale entry '!$AC$2:$AC$1501,'Daily Sale entry '!$X$2:$X$1501,"&lt;="&amp;$A94)-SUMIFS('Daily Sale entry '!$AD$2:$AD$1501,'Daily Sale entry '!$X$2:$X$1501,"&lt;="&amp;$A94)+SUMPRODUCT(('Daily Sale entry '!$Q$2:$Q$1501="Collection 收款")*('Daily Sale entry '!$R$2:$R$1501="Cheque 支票")*('Daily Sale entry '!$V$2:$V$1501&lt;&gt;"")*('Daily Sale entry '!$V$2:$V$1501&lt;=$A94)*('Daily Sale entry '!$S$2:$S$1501-'Opening Balance'!$B$15*('Daily Sale entry '!$R$2:$R$1501="Cheque 支票")*('Daily Sale entry '!$S$2:$S$1501-TRUNC('Daily Sale entry '!$S$2:$S$1501))))-'Opening Balance'!$B$15*SUMPRODUCT(('Daily Sale entry '!$X$2:$X$1501&lt;=$A94)*('Daily Sale entry '!$Z$2:$Z$1501="Online collection 网上收款")*('Daily Sale entry '!$AA$2:$AA$1501&lt;&gt;"")*('Daily Sale entry '!$AC$2:$AC$1501-TRUNC('Daily Sale entry '!$AC$2:$AC$1501))),2))</f>
        <v/>
      </c>
      <c r="C94" s="8">
        <f>IF($A94="","",'Opening Balance'!$B$5+SUM('Daily Sale entry '!$I$2:I94)-SUMIFS('Daily Sale entry '!$AB$2:$AB$1501,'Daily Sale entry '!$X$2:$X$1501,"&lt;="&amp;$A94,'Daily Sale entry '!$Z$2:$Z$1501,"Cheque deposit 支票存入")-COUNTIFS('Daily Sale entry '!$Q$2:$Q$1501,"Collection 收款",'Daily Sale entry '!$R$2:$R$1501,"Cheque 支票",'Daily Sale entry '!$V$2:$V$1501,"&lt;="&amp;$A94))</f>
        <v/>
      </c>
      <c r="D94" s="6">
        <f>IF($A94="","",ROUND('Opening Balance'!$B$6+SUM('Daily Sale entry '!$J$2:J94)-SUMIFS('Daily Sale entry '!$AC$2:$AC$1501,'Daily Sale entry '!$X$2:$X$1501,"&lt;="&amp;$A94,'Daily Sale entry '!$Z$2:$Z$1501,"Cheque deposit 支票存入")-SUMPRODUCT(('Daily Sale entry '!$Q$2:$Q$1501="Collection 收款")*('Daily Sale entry '!$R$2:$R$1501="Cheque 支票")*('Daily Sale entry '!$V$2:$V$1501&lt;&gt;"")*('Daily Sale entry '!$V$2:$V$1501&lt;=$A94)*('Daily Sale entry '!$S$2:$S$1501-'Opening Balance'!$B$15*('Daily Sale entry '!$R$2:$R$1501="Cheque 支票")*('Daily Sale entry '!$S$2:$S$1501-TRUNC('Daily Sale entry '!$S$2:$S$1501)))),2))</f>
        <v/>
      </c>
      <c r="E94" s="6">
        <f>IF($A94="","",'Opening Balance'!$B$7)</f>
        <v/>
      </c>
      <c r="F94" s="6">
        <f>IF($A94="","",ROUND(SUMIFS('Daily Sale entry '!$L$2:$L$367,'Daily Sale entry '!$A$2:$A$367,"&gt;="&amp;DATE(YEAR($A94),MONTH($A94),1),'Daily Sale entry '!$A$2:$A$367,"&lt;="&amp;$A94)+SUMIFS('Daily Sale entry '!$M$2:$M$367,'Daily Sale entry '!$A$2:$A$367,"&gt;="&amp;DATE(YEAR($A94),MONTH($A94),1),'Daily Sale entry '!$A$2:$A$367,"&lt;="&amp;$A94)+IF(AND(YEAR($A94)=YEAR('Daily Sale entry '!$A$2),MONTH($A94)=MONTH('Daily Sale entry '!$A$2)),'Opening Balance'!$B$8,0),2))</f>
        <v/>
      </c>
      <c r="G94" s="6">
        <f>IF($A94="","",MOD(ROUND('Opening Balance'!$B$9+SUMIFS('Sales &amp; Collection'!$L$1:$L$1291,'Sales &amp; Collection'!$K$1:$K$1291,"cash collection*"),2),'Opening Balance'!$B$11))</f>
        <v/>
      </c>
      <c r="H94" s="6">
        <f>IF($A94="","",ROUND('Opening Balance'!$B$10+'Opening Balance'!$B$9+SUMIFS('Sales &amp; Collection'!$L$1:$L$1291,'Sales &amp; Collection'!$K$1:$K$1291,"cash collection*")-G94-SUMIFS('Daily Sale entry '!$AC$2:$AC$1501,'Daily Sale entry '!$X$2:$X$1501,"&lt;="&amp;$A94,'Daily Sale entry '!$Z$2:$Z$1501,"Cash deposit 现金存入"),2))</f>
        <v/>
      </c>
      <c r="I94" s="6">
        <f>IF($A94="","",ROUND(B94+D94+E94+F94+G94+H94,2))</f>
        <v/>
      </c>
      <c r="J94" s="6">
        <f>IF($A94="","",'AR &amp; AP'!K95)</f>
        <v/>
      </c>
      <c r="K94" s="6">
        <f>IF($A94="","",ROUND(I94-J94-SUMIFS('Daily Sale entry '!$AC$2:$AC$1501,'Daily Sale entry '!$X$2:$X$1501,"&lt;="&amp;$A94,'Daily Sale entry '!$Z$2:$Z$1501,"Other deposit 其他存入")+SUMIFS('Daily Sale entry '!$AD$2:$AD$1501,'Daily Sale entry '!$X$2:$X$1501,"&lt;="&amp;$A94)+('Opening Balance'!$B$8+SUM('Daily Sale entry '!$L$2:M94)-F94),2))</f>
        <v/>
      </c>
      <c r="L94">
        <f>IF($A94="","",IF(ABS('Sales &amp; Collection'!$B$1300)&gt;'Opening Balance'!$B$16,"ALERT 警报: Different "&amp;TEXT('Sales &amp; Collection'!$B$1300,"#,##0.00")&amp;" 差额过大",""))</f>
        <v/>
      </c>
    </row>
    <row r="95">
      <c r="A95" s="5">
        <f>IF('Daily Sale entry '!A95="","",'Daily Sale entry '!A95)</f>
        <v/>
      </c>
      <c r="B95" s="6">
        <f>IF($A95="","",ROUND('Opening Balance'!$B$4+SUM('Daily Sale entry '!$K$2:K95)+SUMIFS('Daily Sale entry '!$AC$2:$AC$1501,'Daily Sale entry '!$X$2:$X$1501,"&lt;="&amp;$A95)-SUMIFS('Daily Sale entry '!$AD$2:$AD$1501,'Daily Sale entry '!$X$2:$X$1501,"&lt;="&amp;$A95)+SUMPRODUCT(('Daily Sale entry '!$Q$2:$Q$1501="Collection 收款")*('Daily Sale entry '!$R$2:$R$1501="Cheque 支票")*('Daily Sale entry '!$V$2:$V$1501&lt;&gt;"")*('Daily Sale entry '!$V$2:$V$1501&lt;=$A95)*('Daily Sale entry '!$S$2:$S$1501-'Opening Balance'!$B$15*('Daily Sale entry '!$R$2:$R$1501="Cheque 支票")*('Daily Sale entry '!$S$2:$S$1501-TRUNC('Daily Sale entry '!$S$2:$S$1501))))-'Opening Balance'!$B$15*SUMPRODUCT(('Daily Sale entry '!$X$2:$X$1501&lt;=$A95)*('Daily Sale entry '!$Z$2:$Z$1501="Online collection 网上收款")*('Daily Sale entry '!$AA$2:$AA$1501&lt;&gt;"")*('Daily Sale entry '!$AC$2:$AC$1501-TRUNC('Daily Sale entry '!$AC$2:$AC$1501))),2))</f>
        <v/>
      </c>
      <c r="C95" s="8">
        <f>IF($A95="","",'Opening Balance'!$B$5+SUM('Daily Sale entry '!$I$2:I95)-SUMIFS('Daily Sale entry '!$AB$2:$AB$1501,'Daily Sale entry '!$X$2:$X$1501,"&lt;="&amp;$A95,'Daily Sale entry '!$Z$2:$Z$1501,"Cheque deposit 支票存入")-COUNTIFS('Daily Sale entry '!$Q$2:$Q$1501,"Collection 收款",'Daily Sale entry '!$R$2:$R$1501,"Cheque 支票",'Daily Sale entry '!$V$2:$V$1501,"&lt;="&amp;$A95))</f>
        <v/>
      </c>
      <c r="D95" s="6">
        <f>IF($A95="","",ROUND('Opening Balance'!$B$6+SUM('Daily Sale entry '!$J$2:J95)-SUMIFS('Daily Sale entry '!$AC$2:$AC$1501,'Daily Sale entry '!$X$2:$X$1501,"&lt;="&amp;$A95,'Daily Sale entry '!$Z$2:$Z$1501,"Cheque deposit 支票存入")-SUMPRODUCT(('Daily Sale entry '!$Q$2:$Q$1501="Collection 收款")*('Daily Sale entry '!$R$2:$R$1501="Cheque 支票")*('Daily Sale entry '!$V$2:$V$1501&lt;&gt;"")*('Daily Sale entry '!$V$2:$V$1501&lt;=$A95)*('Daily Sale entry '!$S$2:$S$1501-'Opening Balance'!$B$15*('Daily Sale entry '!$R$2:$R$1501="Cheque 支票")*('Daily Sale entry '!$S$2:$S$1501-TRUNC('Daily Sale entry '!$S$2:$S$1501)))),2))</f>
        <v/>
      </c>
      <c r="E95" s="6">
        <f>IF($A95="","",'Opening Balance'!$B$7)</f>
        <v/>
      </c>
      <c r="F95" s="6">
        <f>IF($A95="","",ROUND(SUMIFS('Daily Sale entry '!$L$2:$L$367,'Daily Sale entry '!$A$2:$A$367,"&gt;="&amp;DATE(YEAR($A95),MONTH($A95),1),'Daily Sale entry '!$A$2:$A$367,"&lt;="&amp;$A95)+SUMIFS('Daily Sale entry '!$M$2:$M$367,'Daily Sale entry '!$A$2:$A$367,"&gt;="&amp;DATE(YEAR($A95),MONTH($A95),1),'Daily Sale entry '!$A$2:$A$367,"&lt;="&amp;$A95)+IF(AND(YEAR($A95)=YEAR('Daily Sale entry '!$A$2),MONTH($A95)=MONTH('Daily Sale entry '!$A$2)),'Opening Balance'!$B$8,0),2))</f>
        <v/>
      </c>
      <c r="G95" s="6">
        <f>IF($A95="","",MOD(ROUND('Opening Balance'!$B$9+SUMIFS('Sales &amp; Collection'!$L$1:$L$1305,'Sales &amp; Collection'!$K$1:$K$1305,"cash collection*"),2),'Opening Balance'!$B$11))</f>
        <v/>
      </c>
      <c r="H95" s="6">
        <f>IF($A95="","",ROUND('Opening Balance'!$B$10+'Opening Balance'!$B$9+SUMIFS('Sales &amp; Collection'!$L$1:$L$1305,'Sales &amp; Collection'!$K$1:$K$1305,"cash collection*")-G95-SUMIFS('Daily Sale entry '!$AC$2:$AC$1501,'Daily Sale entry '!$X$2:$X$1501,"&lt;="&amp;$A95,'Daily Sale entry '!$Z$2:$Z$1501,"Cash deposit 现金存入"),2))</f>
        <v/>
      </c>
      <c r="I95" s="6">
        <f>IF($A95="","",ROUND(B95+D95+E95+F95+G95+H95,2))</f>
        <v/>
      </c>
      <c r="J95" s="6">
        <f>IF($A95="","",'AR &amp; AP'!K96)</f>
        <v/>
      </c>
      <c r="K95" s="6">
        <f>IF($A95="","",ROUND(I95-J95-SUMIFS('Daily Sale entry '!$AC$2:$AC$1501,'Daily Sale entry '!$X$2:$X$1501,"&lt;="&amp;$A95,'Daily Sale entry '!$Z$2:$Z$1501,"Other deposit 其他存入")+SUMIFS('Daily Sale entry '!$AD$2:$AD$1501,'Daily Sale entry '!$X$2:$X$1501,"&lt;="&amp;$A95)+('Opening Balance'!$B$8+SUM('Daily Sale entry '!$L$2:M95)-F95),2))</f>
        <v/>
      </c>
      <c r="L95">
        <f>IF($A95="","",IF(ABS('Sales &amp; Collection'!$B$1314)&gt;'Opening Balance'!$B$16,"ALERT 警报: Different "&amp;TEXT('Sales &amp; Collection'!$B$1314,"#,##0.00")&amp;" 差额过大",""))</f>
        <v/>
      </c>
    </row>
    <row r="96">
      <c r="A96" s="5">
        <f>IF('Daily Sale entry '!A96="","",'Daily Sale entry '!A96)</f>
        <v/>
      </c>
      <c r="B96" s="6">
        <f>IF($A96="","",ROUND('Opening Balance'!$B$4+SUM('Daily Sale entry '!$K$2:K96)+SUMIFS('Daily Sale entry '!$AC$2:$AC$1501,'Daily Sale entry '!$X$2:$X$1501,"&lt;="&amp;$A96)-SUMIFS('Daily Sale entry '!$AD$2:$AD$1501,'Daily Sale entry '!$X$2:$X$1501,"&lt;="&amp;$A96)+SUMPRODUCT(('Daily Sale entry '!$Q$2:$Q$1501="Collection 收款")*('Daily Sale entry '!$R$2:$R$1501="Cheque 支票")*('Daily Sale entry '!$V$2:$V$1501&lt;&gt;"")*('Daily Sale entry '!$V$2:$V$1501&lt;=$A96)*('Daily Sale entry '!$S$2:$S$1501-'Opening Balance'!$B$15*('Daily Sale entry '!$R$2:$R$1501="Cheque 支票")*('Daily Sale entry '!$S$2:$S$1501-TRUNC('Daily Sale entry '!$S$2:$S$1501))))-'Opening Balance'!$B$15*SUMPRODUCT(('Daily Sale entry '!$X$2:$X$1501&lt;=$A96)*('Daily Sale entry '!$Z$2:$Z$1501="Online collection 网上收款")*('Daily Sale entry '!$AA$2:$AA$1501&lt;&gt;"")*('Daily Sale entry '!$AC$2:$AC$1501-TRUNC('Daily Sale entry '!$AC$2:$AC$1501))),2))</f>
        <v/>
      </c>
      <c r="C96" s="8">
        <f>IF($A96="","",'Opening Balance'!$B$5+SUM('Daily Sale entry '!$I$2:I96)-SUMIFS('Daily Sale entry '!$AB$2:$AB$1501,'Daily Sale entry '!$X$2:$X$1501,"&lt;="&amp;$A96,'Daily Sale entry '!$Z$2:$Z$1501,"Cheque deposit 支票存入")-COUNTIFS('Daily Sale entry '!$Q$2:$Q$1501,"Collection 收款",'Daily Sale entry '!$R$2:$R$1501,"Cheque 支票",'Daily Sale entry '!$V$2:$V$1501,"&lt;="&amp;$A96))</f>
        <v/>
      </c>
      <c r="D96" s="6">
        <f>IF($A96="","",ROUND('Opening Balance'!$B$6+SUM('Daily Sale entry '!$J$2:J96)-SUMIFS('Daily Sale entry '!$AC$2:$AC$1501,'Daily Sale entry '!$X$2:$X$1501,"&lt;="&amp;$A96,'Daily Sale entry '!$Z$2:$Z$1501,"Cheque deposit 支票存入")-SUMPRODUCT(('Daily Sale entry '!$Q$2:$Q$1501="Collection 收款")*('Daily Sale entry '!$R$2:$R$1501="Cheque 支票")*('Daily Sale entry '!$V$2:$V$1501&lt;&gt;"")*('Daily Sale entry '!$V$2:$V$1501&lt;=$A96)*('Daily Sale entry '!$S$2:$S$1501-'Opening Balance'!$B$15*('Daily Sale entry '!$R$2:$R$1501="Cheque 支票")*('Daily Sale entry '!$S$2:$S$1501-TRUNC('Daily Sale entry '!$S$2:$S$1501)))),2))</f>
        <v/>
      </c>
      <c r="E96" s="6">
        <f>IF($A96="","",'Opening Balance'!$B$7)</f>
        <v/>
      </c>
      <c r="F96" s="6">
        <f>IF($A96="","",ROUND(SUMIFS('Daily Sale entry '!$L$2:$L$367,'Daily Sale entry '!$A$2:$A$367,"&gt;="&amp;DATE(YEAR($A96),MONTH($A96),1),'Daily Sale entry '!$A$2:$A$367,"&lt;="&amp;$A96)+SUMIFS('Daily Sale entry '!$M$2:$M$367,'Daily Sale entry '!$A$2:$A$367,"&gt;="&amp;DATE(YEAR($A96),MONTH($A96),1),'Daily Sale entry '!$A$2:$A$367,"&lt;="&amp;$A96)+IF(AND(YEAR($A96)=YEAR('Daily Sale entry '!$A$2),MONTH($A96)=MONTH('Daily Sale entry '!$A$2)),'Opening Balance'!$B$8,0),2))</f>
        <v/>
      </c>
      <c r="G96" s="6">
        <f>IF($A96="","",MOD(ROUND('Opening Balance'!$B$9+SUMIFS('Sales &amp; Collection'!$L$1:$L$1319,'Sales &amp; Collection'!$K$1:$K$1319,"cash collection*"),2),'Opening Balance'!$B$11))</f>
        <v/>
      </c>
      <c r="H96" s="6">
        <f>IF($A96="","",ROUND('Opening Balance'!$B$10+'Opening Balance'!$B$9+SUMIFS('Sales &amp; Collection'!$L$1:$L$1319,'Sales &amp; Collection'!$K$1:$K$1319,"cash collection*")-G96-SUMIFS('Daily Sale entry '!$AC$2:$AC$1501,'Daily Sale entry '!$X$2:$X$1501,"&lt;="&amp;$A96,'Daily Sale entry '!$Z$2:$Z$1501,"Cash deposit 现金存入"),2))</f>
        <v/>
      </c>
      <c r="I96" s="6">
        <f>IF($A96="","",ROUND(B96+D96+E96+F96+G96+H96,2))</f>
        <v/>
      </c>
      <c r="J96" s="6">
        <f>IF($A96="","",'AR &amp; AP'!K97)</f>
        <v/>
      </c>
      <c r="K96" s="6">
        <f>IF($A96="","",ROUND(I96-J96-SUMIFS('Daily Sale entry '!$AC$2:$AC$1501,'Daily Sale entry '!$X$2:$X$1501,"&lt;="&amp;$A96,'Daily Sale entry '!$Z$2:$Z$1501,"Other deposit 其他存入")+SUMIFS('Daily Sale entry '!$AD$2:$AD$1501,'Daily Sale entry '!$X$2:$X$1501,"&lt;="&amp;$A96)+('Opening Balance'!$B$8+SUM('Daily Sale entry '!$L$2:M96)-F96),2))</f>
        <v/>
      </c>
      <c r="L96">
        <f>IF($A96="","",IF(ABS('Sales &amp; Collection'!$B$1328)&gt;'Opening Balance'!$B$16,"ALERT 警报: Different "&amp;TEXT('Sales &amp; Collection'!$B$1328,"#,##0.00")&amp;" 差额过大",""))</f>
        <v/>
      </c>
    </row>
    <row r="97">
      <c r="A97" s="5">
        <f>IF('Daily Sale entry '!A97="","",'Daily Sale entry '!A97)</f>
        <v/>
      </c>
      <c r="B97" s="6">
        <f>IF($A97="","",ROUND('Opening Balance'!$B$4+SUM('Daily Sale entry '!$K$2:K97)+SUMIFS('Daily Sale entry '!$AC$2:$AC$1501,'Daily Sale entry '!$X$2:$X$1501,"&lt;="&amp;$A97)-SUMIFS('Daily Sale entry '!$AD$2:$AD$1501,'Daily Sale entry '!$X$2:$X$1501,"&lt;="&amp;$A97)+SUMPRODUCT(('Daily Sale entry '!$Q$2:$Q$1501="Collection 收款")*('Daily Sale entry '!$R$2:$R$1501="Cheque 支票")*('Daily Sale entry '!$V$2:$V$1501&lt;&gt;"")*('Daily Sale entry '!$V$2:$V$1501&lt;=$A97)*('Daily Sale entry '!$S$2:$S$1501-'Opening Balance'!$B$15*('Daily Sale entry '!$R$2:$R$1501="Cheque 支票")*('Daily Sale entry '!$S$2:$S$1501-TRUNC('Daily Sale entry '!$S$2:$S$1501))))-'Opening Balance'!$B$15*SUMPRODUCT(('Daily Sale entry '!$X$2:$X$1501&lt;=$A97)*('Daily Sale entry '!$Z$2:$Z$1501="Online collection 网上收款")*('Daily Sale entry '!$AA$2:$AA$1501&lt;&gt;"")*('Daily Sale entry '!$AC$2:$AC$1501-TRUNC('Daily Sale entry '!$AC$2:$AC$1501))),2))</f>
        <v/>
      </c>
      <c r="C97" s="8">
        <f>IF($A97="","",'Opening Balance'!$B$5+SUM('Daily Sale entry '!$I$2:I97)-SUMIFS('Daily Sale entry '!$AB$2:$AB$1501,'Daily Sale entry '!$X$2:$X$1501,"&lt;="&amp;$A97,'Daily Sale entry '!$Z$2:$Z$1501,"Cheque deposit 支票存入")-COUNTIFS('Daily Sale entry '!$Q$2:$Q$1501,"Collection 收款",'Daily Sale entry '!$R$2:$R$1501,"Cheque 支票",'Daily Sale entry '!$V$2:$V$1501,"&lt;="&amp;$A97))</f>
        <v/>
      </c>
      <c r="D97" s="6">
        <f>IF($A97="","",ROUND('Opening Balance'!$B$6+SUM('Daily Sale entry '!$J$2:J97)-SUMIFS('Daily Sale entry '!$AC$2:$AC$1501,'Daily Sale entry '!$X$2:$X$1501,"&lt;="&amp;$A97,'Daily Sale entry '!$Z$2:$Z$1501,"Cheque deposit 支票存入")-SUMPRODUCT(('Daily Sale entry '!$Q$2:$Q$1501="Collection 收款")*('Daily Sale entry '!$R$2:$R$1501="Cheque 支票")*('Daily Sale entry '!$V$2:$V$1501&lt;&gt;"")*('Daily Sale entry '!$V$2:$V$1501&lt;=$A97)*('Daily Sale entry '!$S$2:$S$1501-'Opening Balance'!$B$15*('Daily Sale entry '!$R$2:$R$1501="Cheque 支票")*('Daily Sale entry '!$S$2:$S$1501-TRUNC('Daily Sale entry '!$S$2:$S$1501)))),2))</f>
        <v/>
      </c>
      <c r="E97" s="6">
        <f>IF($A97="","",'Opening Balance'!$B$7)</f>
        <v/>
      </c>
      <c r="F97" s="6">
        <f>IF($A97="","",ROUND(SUMIFS('Daily Sale entry '!$L$2:$L$367,'Daily Sale entry '!$A$2:$A$367,"&gt;="&amp;DATE(YEAR($A97),MONTH($A97),1),'Daily Sale entry '!$A$2:$A$367,"&lt;="&amp;$A97)+SUMIFS('Daily Sale entry '!$M$2:$M$367,'Daily Sale entry '!$A$2:$A$367,"&gt;="&amp;DATE(YEAR($A97),MONTH($A97),1),'Daily Sale entry '!$A$2:$A$367,"&lt;="&amp;$A97)+IF(AND(YEAR($A97)=YEAR('Daily Sale entry '!$A$2),MONTH($A97)=MONTH('Daily Sale entry '!$A$2)),'Opening Balance'!$B$8,0),2))</f>
        <v/>
      </c>
      <c r="G97" s="6">
        <f>IF($A97="","",MOD(ROUND('Opening Balance'!$B$9+SUMIFS('Sales &amp; Collection'!$L$1:$L$1333,'Sales &amp; Collection'!$K$1:$K$1333,"cash collection*"),2),'Opening Balance'!$B$11))</f>
        <v/>
      </c>
      <c r="H97" s="6">
        <f>IF($A97="","",ROUND('Opening Balance'!$B$10+'Opening Balance'!$B$9+SUMIFS('Sales &amp; Collection'!$L$1:$L$1333,'Sales &amp; Collection'!$K$1:$K$1333,"cash collection*")-G97-SUMIFS('Daily Sale entry '!$AC$2:$AC$1501,'Daily Sale entry '!$X$2:$X$1501,"&lt;="&amp;$A97,'Daily Sale entry '!$Z$2:$Z$1501,"Cash deposit 现金存入"),2))</f>
        <v/>
      </c>
      <c r="I97" s="6">
        <f>IF($A97="","",ROUND(B97+D97+E97+F97+G97+H97,2))</f>
        <v/>
      </c>
      <c r="J97" s="6">
        <f>IF($A97="","",'AR &amp; AP'!K98)</f>
        <v/>
      </c>
      <c r="K97" s="6">
        <f>IF($A97="","",ROUND(I97-J97-SUMIFS('Daily Sale entry '!$AC$2:$AC$1501,'Daily Sale entry '!$X$2:$X$1501,"&lt;="&amp;$A97,'Daily Sale entry '!$Z$2:$Z$1501,"Other deposit 其他存入")+SUMIFS('Daily Sale entry '!$AD$2:$AD$1501,'Daily Sale entry '!$X$2:$X$1501,"&lt;="&amp;$A97)+('Opening Balance'!$B$8+SUM('Daily Sale entry '!$L$2:M97)-F97),2))</f>
        <v/>
      </c>
      <c r="L97">
        <f>IF($A97="","",IF(ABS('Sales &amp; Collection'!$B$1342)&gt;'Opening Balance'!$B$16,"ALERT 警报: Different "&amp;TEXT('Sales &amp; Collection'!$B$1342,"#,##0.00")&amp;" 差额过大",""))</f>
        <v/>
      </c>
    </row>
    <row r="98">
      <c r="A98" s="5">
        <f>IF('Daily Sale entry '!A98="","",'Daily Sale entry '!A98)</f>
        <v/>
      </c>
      <c r="B98" s="6">
        <f>IF($A98="","",ROUND('Opening Balance'!$B$4+SUM('Daily Sale entry '!$K$2:K98)+SUMIFS('Daily Sale entry '!$AC$2:$AC$1501,'Daily Sale entry '!$X$2:$X$1501,"&lt;="&amp;$A98)-SUMIFS('Daily Sale entry '!$AD$2:$AD$1501,'Daily Sale entry '!$X$2:$X$1501,"&lt;="&amp;$A98)+SUMPRODUCT(('Daily Sale entry '!$Q$2:$Q$1501="Collection 收款")*('Daily Sale entry '!$R$2:$R$1501="Cheque 支票")*('Daily Sale entry '!$V$2:$V$1501&lt;&gt;"")*('Daily Sale entry '!$V$2:$V$1501&lt;=$A98)*('Daily Sale entry '!$S$2:$S$1501-'Opening Balance'!$B$15*('Daily Sale entry '!$R$2:$R$1501="Cheque 支票")*('Daily Sale entry '!$S$2:$S$1501-TRUNC('Daily Sale entry '!$S$2:$S$1501))))-'Opening Balance'!$B$15*SUMPRODUCT(('Daily Sale entry '!$X$2:$X$1501&lt;=$A98)*('Daily Sale entry '!$Z$2:$Z$1501="Online collection 网上收款")*('Daily Sale entry '!$AA$2:$AA$1501&lt;&gt;"")*('Daily Sale entry '!$AC$2:$AC$1501-TRUNC('Daily Sale entry '!$AC$2:$AC$1501))),2))</f>
        <v/>
      </c>
      <c r="C98" s="8">
        <f>IF($A98="","",'Opening Balance'!$B$5+SUM('Daily Sale entry '!$I$2:I98)-SUMIFS('Daily Sale entry '!$AB$2:$AB$1501,'Daily Sale entry '!$X$2:$X$1501,"&lt;="&amp;$A98,'Daily Sale entry '!$Z$2:$Z$1501,"Cheque deposit 支票存入")-COUNTIFS('Daily Sale entry '!$Q$2:$Q$1501,"Collection 收款",'Daily Sale entry '!$R$2:$R$1501,"Cheque 支票",'Daily Sale entry '!$V$2:$V$1501,"&lt;="&amp;$A98))</f>
        <v/>
      </c>
      <c r="D98" s="6">
        <f>IF($A98="","",ROUND('Opening Balance'!$B$6+SUM('Daily Sale entry '!$J$2:J98)-SUMIFS('Daily Sale entry '!$AC$2:$AC$1501,'Daily Sale entry '!$X$2:$X$1501,"&lt;="&amp;$A98,'Daily Sale entry '!$Z$2:$Z$1501,"Cheque deposit 支票存入")-SUMPRODUCT(('Daily Sale entry '!$Q$2:$Q$1501="Collection 收款")*('Daily Sale entry '!$R$2:$R$1501="Cheque 支票")*('Daily Sale entry '!$V$2:$V$1501&lt;&gt;"")*('Daily Sale entry '!$V$2:$V$1501&lt;=$A98)*('Daily Sale entry '!$S$2:$S$1501-'Opening Balance'!$B$15*('Daily Sale entry '!$R$2:$R$1501="Cheque 支票")*('Daily Sale entry '!$S$2:$S$1501-TRUNC('Daily Sale entry '!$S$2:$S$1501)))),2))</f>
        <v/>
      </c>
      <c r="E98" s="6">
        <f>IF($A98="","",'Opening Balance'!$B$7)</f>
        <v/>
      </c>
      <c r="F98" s="6">
        <f>IF($A98="","",ROUND(SUMIFS('Daily Sale entry '!$L$2:$L$367,'Daily Sale entry '!$A$2:$A$367,"&gt;="&amp;DATE(YEAR($A98),MONTH($A98),1),'Daily Sale entry '!$A$2:$A$367,"&lt;="&amp;$A98)+SUMIFS('Daily Sale entry '!$M$2:$M$367,'Daily Sale entry '!$A$2:$A$367,"&gt;="&amp;DATE(YEAR($A98),MONTH($A98),1),'Daily Sale entry '!$A$2:$A$367,"&lt;="&amp;$A98)+IF(AND(YEAR($A98)=YEAR('Daily Sale entry '!$A$2),MONTH($A98)=MONTH('Daily Sale entry '!$A$2)),'Opening Balance'!$B$8,0),2))</f>
        <v/>
      </c>
      <c r="G98" s="6">
        <f>IF($A98="","",MOD(ROUND('Opening Balance'!$B$9+SUMIFS('Sales &amp; Collection'!$L$1:$L$1347,'Sales &amp; Collection'!$K$1:$K$1347,"cash collection*"),2),'Opening Balance'!$B$11))</f>
        <v/>
      </c>
      <c r="H98" s="6">
        <f>IF($A98="","",ROUND('Opening Balance'!$B$10+'Opening Balance'!$B$9+SUMIFS('Sales &amp; Collection'!$L$1:$L$1347,'Sales &amp; Collection'!$K$1:$K$1347,"cash collection*")-G98-SUMIFS('Daily Sale entry '!$AC$2:$AC$1501,'Daily Sale entry '!$X$2:$X$1501,"&lt;="&amp;$A98,'Daily Sale entry '!$Z$2:$Z$1501,"Cash deposit 现金存入"),2))</f>
        <v/>
      </c>
      <c r="I98" s="6">
        <f>IF($A98="","",ROUND(B98+D98+E98+F98+G98+H98,2))</f>
        <v/>
      </c>
      <c r="J98" s="6">
        <f>IF($A98="","",'AR &amp; AP'!K99)</f>
        <v/>
      </c>
      <c r="K98" s="6">
        <f>IF($A98="","",ROUND(I98-J98-SUMIFS('Daily Sale entry '!$AC$2:$AC$1501,'Daily Sale entry '!$X$2:$X$1501,"&lt;="&amp;$A98,'Daily Sale entry '!$Z$2:$Z$1501,"Other deposit 其他存入")+SUMIFS('Daily Sale entry '!$AD$2:$AD$1501,'Daily Sale entry '!$X$2:$X$1501,"&lt;="&amp;$A98)+('Opening Balance'!$B$8+SUM('Daily Sale entry '!$L$2:M98)-F98),2))</f>
        <v/>
      </c>
      <c r="L98">
        <f>IF($A98="","",IF(ABS('Sales &amp; Collection'!$B$1356)&gt;'Opening Balance'!$B$16,"ALERT 警报: Different "&amp;TEXT('Sales &amp; Collection'!$B$1356,"#,##0.00")&amp;" 差额过大",""))</f>
        <v/>
      </c>
    </row>
    <row r="99">
      <c r="A99" s="5">
        <f>IF('Daily Sale entry '!A99="","",'Daily Sale entry '!A99)</f>
        <v/>
      </c>
      <c r="B99" s="6">
        <f>IF($A99="","",ROUND('Opening Balance'!$B$4+SUM('Daily Sale entry '!$K$2:K99)+SUMIFS('Daily Sale entry '!$AC$2:$AC$1501,'Daily Sale entry '!$X$2:$X$1501,"&lt;="&amp;$A99)-SUMIFS('Daily Sale entry '!$AD$2:$AD$1501,'Daily Sale entry '!$X$2:$X$1501,"&lt;="&amp;$A99)+SUMPRODUCT(('Daily Sale entry '!$Q$2:$Q$1501="Collection 收款")*('Daily Sale entry '!$R$2:$R$1501="Cheque 支票")*('Daily Sale entry '!$V$2:$V$1501&lt;&gt;"")*('Daily Sale entry '!$V$2:$V$1501&lt;=$A99)*('Daily Sale entry '!$S$2:$S$1501-'Opening Balance'!$B$15*('Daily Sale entry '!$R$2:$R$1501="Cheque 支票")*('Daily Sale entry '!$S$2:$S$1501-TRUNC('Daily Sale entry '!$S$2:$S$1501))))-'Opening Balance'!$B$15*SUMPRODUCT(('Daily Sale entry '!$X$2:$X$1501&lt;=$A99)*('Daily Sale entry '!$Z$2:$Z$1501="Online collection 网上收款")*('Daily Sale entry '!$AA$2:$AA$1501&lt;&gt;"")*('Daily Sale entry '!$AC$2:$AC$1501-TRUNC('Daily Sale entry '!$AC$2:$AC$1501))),2))</f>
        <v/>
      </c>
      <c r="C99" s="8">
        <f>IF($A99="","",'Opening Balance'!$B$5+SUM('Daily Sale entry '!$I$2:I99)-SUMIFS('Daily Sale entry '!$AB$2:$AB$1501,'Daily Sale entry '!$X$2:$X$1501,"&lt;="&amp;$A99,'Daily Sale entry '!$Z$2:$Z$1501,"Cheque deposit 支票存入")-COUNTIFS('Daily Sale entry '!$Q$2:$Q$1501,"Collection 收款",'Daily Sale entry '!$R$2:$R$1501,"Cheque 支票",'Daily Sale entry '!$V$2:$V$1501,"&lt;="&amp;$A99))</f>
        <v/>
      </c>
      <c r="D99" s="6">
        <f>IF($A99="","",ROUND('Opening Balance'!$B$6+SUM('Daily Sale entry '!$J$2:J99)-SUMIFS('Daily Sale entry '!$AC$2:$AC$1501,'Daily Sale entry '!$X$2:$X$1501,"&lt;="&amp;$A99,'Daily Sale entry '!$Z$2:$Z$1501,"Cheque deposit 支票存入")-SUMPRODUCT(('Daily Sale entry '!$Q$2:$Q$1501="Collection 收款")*('Daily Sale entry '!$R$2:$R$1501="Cheque 支票")*('Daily Sale entry '!$V$2:$V$1501&lt;&gt;"")*('Daily Sale entry '!$V$2:$V$1501&lt;=$A99)*('Daily Sale entry '!$S$2:$S$1501-'Opening Balance'!$B$15*('Daily Sale entry '!$R$2:$R$1501="Cheque 支票")*('Daily Sale entry '!$S$2:$S$1501-TRUNC('Daily Sale entry '!$S$2:$S$1501)))),2))</f>
        <v/>
      </c>
      <c r="E99" s="6">
        <f>IF($A99="","",'Opening Balance'!$B$7)</f>
        <v/>
      </c>
      <c r="F99" s="6">
        <f>IF($A99="","",ROUND(SUMIFS('Daily Sale entry '!$L$2:$L$367,'Daily Sale entry '!$A$2:$A$367,"&gt;="&amp;DATE(YEAR($A99),MONTH($A99),1),'Daily Sale entry '!$A$2:$A$367,"&lt;="&amp;$A99)+SUMIFS('Daily Sale entry '!$M$2:$M$367,'Daily Sale entry '!$A$2:$A$367,"&gt;="&amp;DATE(YEAR($A99),MONTH($A99),1),'Daily Sale entry '!$A$2:$A$367,"&lt;="&amp;$A99)+IF(AND(YEAR($A99)=YEAR('Daily Sale entry '!$A$2),MONTH($A99)=MONTH('Daily Sale entry '!$A$2)),'Opening Balance'!$B$8,0),2))</f>
        <v/>
      </c>
      <c r="G99" s="6">
        <f>IF($A99="","",MOD(ROUND('Opening Balance'!$B$9+SUMIFS('Sales &amp; Collection'!$L$1:$L$1361,'Sales &amp; Collection'!$K$1:$K$1361,"cash collection*"),2),'Opening Balance'!$B$11))</f>
        <v/>
      </c>
      <c r="H99" s="6">
        <f>IF($A99="","",ROUND('Opening Balance'!$B$10+'Opening Balance'!$B$9+SUMIFS('Sales &amp; Collection'!$L$1:$L$1361,'Sales &amp; Collection'!$K$1:$K$1361,"cash collection*")-G99-SUMIFS('Daily Sale entry '!$AC$2:$AC$1501,'Daily Sale entry '!$X$2:$X$1501,"&lt;="&amp;$A99,'Daily Sale entry '!$Z$2:$Z$1501,"Cash deposit 现金存入"),2))</f>
        <v/>
      </c>
      <c r="I99" s="6">
        <f>IF($A99="","",ROUND(B99+D99+E99+F99+G99+H99,2))</f>
        <v/>
      </c>
      <c r="J99" s="6">
        <f>IF($A99="","",'AR &amp; AP'!K100)</f>
        <v/>
      </c>
      <c r="K99" s="6">
        <f>IF($A99="","",ROUND(I99-J99-SUMIFS('Daily Sale entry '!$AC$2:$AC$1501,'Daily Sale entry '!$X$2:$X$1501,"&lt;="&amp;$A99,'Daily Sale entry '!$Z$2:$Z$1501,"Other deposit 其他存入")+SUMIFS('Daily Sale entry '!$AD$2:$AD$1501,'Daily Sale entry '!$X$2:$X$1501,"&lt;="&amp;$A99)+('Opening Balance'!$B$8+SUM('Daily Sale entry '!$L$2:M99)-F99),2))</f>
        <v/>
      </c>
      <c r="L99">
        <f>IF($A99="","",IF(ABS('Sales &amp; Collection'!$B$1370)&gt;'Opening Balance'!$B$16,"ALERT 警报: Different "&amp;TEXT('Sales &amp; Collection'!$B$1370,"#,##0.00")&amp;" 差额过大",""))</f>
        <v/>
      </c>
    </row>
    <row r="100">
      <c r="A100" s="5">
        <f>IF('Daily Sale entry '!A100="","",'Daily Sale entry '!A100)</f>
        <v/>
      </c>
      <c r="B100" s="6">
        <f>IF($A100="","",ROUND('Opening Balance'!$B$4+SUM('Daily Sale entry '!$K$2:K100)+SUMIFS('Daily Sale entry '!$AC$2:$AC$1501,'Daily Sale entry '!$X$2:$X$1501,"&lt;="&amp;$A100)-SUMIFS('Daily Sale entry '!$AD$2:$AD$1501,'Daily Sale entry '!$X$2:$X$1501,"&lt;="&amp;$A100)+SUMPRODUCT(('Daily Sale entry '!$Q$2:$Q$1501="Collection 收款")*('Daily Sale entry '!$R$2:$R$1501="Cheque 支票")*('Daily Sale entry '!$V$2:$V$1501&lt;&gt;"")*('Daily Sale entry '!$V$2:$V$1501&lt;=$A100)*('Daily Sale entry '!$S$2:$S$1501-'Opening Balance'!$B$15*('Daily Sale entry '!$R$2:$R$1501="Cheque 支票")*('Daily Sale entry '!$S$2:$S$1501-TRUNC('Daily Sale entry '!$S$2:$S$1501))))-'Opening Balance'!$B$15*SUMPRODUCT(('Daily Sale entry '!$X$2:$X$1501&lt;=$A100)*('Daily Sale entry '!$Z$2:$Z$1501="Online collection 网上收款")*('Daily Sale entry '!$AA$2:$AA$1501&lt;&gt;"")*('Daily Sale entry '!$AC$2:$AC$1501-TRUNC('Daily Sale entry '!$AC$2:$AC$1501))),2))</f>
        <v/>
      </c>
      <c r="C100" s="8">
        <f>IF($A100="","",'Opening Balance'!$B$5+SUM('Daily Sale entry '!$I$2:I100)-SUMIFS('Daily Sale entry '!$AB$2:$AB$1501,'Daily Sale entry '!$X$2:$X$1501,"&lt;="&amp;$A100,'Daily Sale entry '!$Z$2:$Z$1501,"Cheque deposit 支票存入")-COUNTIFS('Daily Sale entry '!$Q$2:$Q$1501,"Collection 收款",'Daily Sale entry '!$R$2:$R$1501,"Cheque 支票",'Daily Sale entry '!$V$2:$V$1501,"&lt;="&amp;$A100))</f>
        <v/>
      </c>
      <c r="D100" s="6">
        <f>IF($A100="","",ROUND('Opening Balance'!$B$6+SUM('Daily Sale entry '!$J$2:J100)-SUMIFS('Daily Sale entry '!$AC$2:$AC$1501,'Daily Sale entry '!$X$2:$X$1501,"&lt;="&amp;$A100,'Daily Sale entry '!$Z$2:$Z$1501,"Cheque deposit 支票存入")-SUMPRODUCT(('Daily Sale entry '!$Q$2:$Q$1501="Collection 收款")*('Daily Sale entry '!$R$2:$R$1501="Cheque 支票")*('Daily Sale entry '!$V$2:$V$1501&lt;&gt;"")*('Daily Sale entry '!$V$2:$V$1501&lt;=$A100)*('Daily Sale entry '!$S$2:$S$1501-'Opening Balance'!$B$15*('Daily Sale entry '!$R$2:$R$1501="Cheque 支票")*('Daily Sale entry '!$S$2:$S$1501-TRUNC('Daily Sale entry '!$S$2:$S$1501)))),2))</f>
        <v/>
      </c>
      <c r="E100" s="6">
        <f>IF($A100="","",'Opening Balance'!$B$7)</f>
        <v/>
      </c>
      <c r="F100" s="6">
        <f>IF($A100="","",ROUND(SUMIFS('Daily Sale entry '!$L$2:$L$367,'Daily Sale entry '!$A$2:$A$367,"&gt;="&amp;DATE(YEAR($A100),MONTH($A100),1),'Daily Sale entry '!$A$2:$A$367,"&lt;="&amp;$A100)+SUMIFS('Daily Sale entry '!$M$2:$M$367,'Daily Sale entry '!$A$2:$A$367,"&gt;="&amp;DATE(YEAR($A100),MONTH($A100),1),'Daily Sale entry '!$A$2:$A$367,"&lt;="&amp;$A100)+IF(AND(YEAR($A100)=YEAR('Daily Sale entry '!$A$2),MONTH($A100)=MONTH('Daily Sale entry '!$A$2)),'Opening Balance'!$B$8,0),2))</f>
        <v/>
      </c>
      <c r="G100" s="6">
        <f>IF($A100="","",MOD(ROUND('Opening Balance'!$B$9+SUMIFS('Sales &amp; Collection'!$L$1:$L$1375,'Sales &amp; Collection'!$K$1:$K$1375,"cash collection*"),2),'Opening Balance'!$B$11))</f>
        <v/>
      </c>
      <c r="H100" s="6">
        <f>IF($A100="","",ROUND('Opening Balance'!$B$10+'Opening Balance'!$B$9+SUMIFS('Sales &amp; Collection'!$L$1:$L$1375,'Sales &amp; Collection'!$K$1:$K$1375,"cash collection*")-G100-SUMIFS('Daily Sale entry '!$AC$2:$AC$1501,'Daily Sale entry '!$X$2:$X$1501,"&lt;="&amp;$A100,'Daily Sale entry '!$Z$2:$Z$1501,"Cash deposit 现金存入"),2))</f>
        <v/>
      </c>
      <c r="I100" s="6">
        <f>IF($A100="","",ROUND(B100+D100+E100+F100+G100+H100,2))</f>
        <v/>
      </c>
      <c r="J100" s="6">
        <f>IF($A100="","",'AR &amp; AP'!K101)</f>
        <v/>
      </c>
      <c r="K100" s="6">
        <f>IF($A100="","",ROUND(I100-J100-SUMIFS('Daily Sale entry '!$AC$2:$AC$1501,'Daily Sale entry '!$X$2:$X$1501,"&lt;="&amp;$A100,'Daily Sale entry '!$Z$2:$Z$1501,"Other deposit 其他存入")+SUMIFS('Daily Sale entry '!$AD$2:$AD$1501,'Daily Sale entry '!$X$2:$X$1501,"&lt;="&amp;$A100)+('Opening Balance'!$B$8+SUM('Daily Sale entry '!$L$2:M100)-F100),2))</f>
        <v/>
      </c>
      <c r="L100">
        <f>IF($A100="","",IF(ABS('Sales &amp; Collection'!$B$1384)&gt;'Opening Balance'!$B$16,"ALERT 警报: Different "&amp;TEXT('Sales &amp; Collection'!$B$1384,"#,##0.00")&amp;" 差额过大",""))</f>
        <v/>
      </c>
    </row>
    <row r="101">
      <c r="A101" s="5">
        <f>IF('Daily Sale entry '!A101="","",'Daily Sale entry '!A101)</f>
        <v/>
      </c>
      <c r="B101" s="6">
        <f>IF($A101="","",ROUND('Opening Balance'!$B$4+SUM('Daily Sale entry '!$K$2:K101)+SUMIFS('Daily Sale entry '!$AC$2:$AC$1501,'Daily Sale entry '!$X$2:$X$1501,"&lt;="&amp;$A101)-SUMIFS('Daily Sale entry '!$AD$2:$AD$1501,'Daily Sale entry '!$X$2:$X$1501,"&lt;="&amp;$A101)+SUMPRODUCT(('Daily Sale entry '!$Q$2:$Q$1501="Collection 收款")*('Daily Sale entry '!$R$2:$R$1501="Cheque 支票")*('Daily Sale entry '!$V$2:$V$1501&lt;&gt;"")*('Daily Sale entry '!$V$2:$V$1501&lt;=$A101)*('Daily Sale entry '!$S$2:$S$1501-'Opening Balance'!$B$15*('Daily Sale entry '!$R$2:$R$1501="Cheque 支票")*('Daily Sale entry '!$S$2:$S$1501-TRUNC('Daily Sale entry '!$S$2:$S$1501))))-'Opening Balance'!$B$15*SUMPRODUCT(('Daily Sale entry '!$X$2:$X$1501&lt;=$A101)*('Daily Sale entry '!$Z$2:$Z$1501="Online collection 网上收款")*('Daily Sale entry '!$AA$2:$AA$1501&lt;&gt;"")*('Daily Sale entry '!$AC$2:$AC$1501-TRUNC('Daily Sale entry '!$AC$2:$AC$1501))),2))</f>
        <v/>
      </c>
      <c r="C101" s="8">
        <f>IF($A101="","",'Opening Balance'!$B$5+SUM('Daily Sale entry '!$I$2:I101)-SUMIFS('Daily Sale entry '!$AB$2:$AB$1501,'Daily Sale entry '!$X$2:$X$1501,"&lt;="&amp;$A101,'Daily Sale entry '!$Z$2:$Z$1501,"Cheque deposit 支票存入")-COUNTIFS('Daily Sale entry '!$Q$2:$Q$1501,"Collection 收款",'Daily Sale entry '!$R$2:$R$1501,"Cheque 支票",'Daily Sale entry '!$V$2:$V$1501,"&lt;="&amp;$A101))</f>
        <v/>
      </c>
      <c r="D101" s="6">
        <f>IF($A101="","",ROUND('Opening Balance'!$B$6+SUM('Daily Sale entry '!$J$2:J101)-SUMIFS('Daily Sale entry '!$AC$2:$AC$1501,'Daily Sale entry '!$X$2:$X$1501,"&lt;="&amp;$A101,'Daily Sale entry '!$Z$2:$Z$1501,"Cheque deposit 支票存入")-SUMPRODUCT(('Daily Sale entry '!$Q$2:$Q$1501="Collection 收款")*('Daily Sale entry '!$R$2:$R$1501="Cheque 支票")*('Daily Sale entry '!$V$2:$V$1501&lt;&gt;"")*('Daily Sale entry '!$V$2:$V$1501&lt;=$A101)*('Daily Sale entry '!$S$2:$S$1501-'Opening Balance'!$B$15*('Daily Sale entry '!$R$2:$R$1501="Cheque 支票")*('Daily Sale entry '!$S$2:$S$1501-TRUNC('Daily Sale entry '!$S$2:$S$1501)))),2))</f>
        <v/>
      </c>
      <c r="E101" s="6">
        <f>IF($A101="","",'Opening Balance'!$B$7)</f>
        <v/>
      </c>
      <c r="F101" s="6">
        <f>IF($A101="","",ROUND(SUMIFS('Daily Sale entry '!$L$2:$L$367,'Daily Sale entry '!$A$2:$A$367,"&gt;="&amp;DATE(YEAR($A101),MONTH($A101),1),'Daily Sale entry '!$A$2:$A$367,"&lt;="&amp;$A101)+SUMIFS('Daily Sale entry '!$M$2:$M$367,'Daily Sale entry '!$A$2:$A$367,"&gt;="&amp;DATE(YEAR($A101),MONTH($A101),1),'Daily Sale entry '!$A$2:$A$367,"&lt;="&amp;$A101)+IF(AND(YEAR($A101)=YEAR('Daily Sale entry '!$A$2),MONTH($A101)=MONTH('Daily Sale entry '!$A$2)),'Opening Balance'!$B$8,0),2))</f>
        <v/>
      </c>
      <c r="G101" s="6">
        <f>IF($A101="","",MOD(ROUND('Opening Balance'!$B$9+SUMIFS('Sales &amp; Collection'!$L$1:$L$1389,'Sales &amp; Collection'!$K$1:$K$1389,"cash collection*"),2),'Opening Balance'!$B$11))</f>
        <v/>
      </c>
      <c r="H101" s="6">
        <f>IF($A101="","",ROUND('Opening Balance'!$B$10+'Opening Balance'!$B$9+SUMIFS('Sales &amp; Collection'!$L$1:$L$1389,'Sales &amp; Collection'!$K$1:$K$1389,"cash collection*")-G101-SUMIFS('Daily Sale entry '!$AC$2:$AC$1501,'Daily Sale entry '!$X$2:$X$1501,"&lt;="&amp;$A101,'Daily Sale entry '!$Z$2:$Z$1501,"Cash deposit 现金存入"),2))</f>
        <v/>
      </c>
      <c r="I101" s="6">
        <f>IF($A101="","",ROUND(B101+D101+E101+F101+G101+H101,2))</f>
        <v/>
      </c>
      <c r="J101" s="6">
        <f>IF($A101="","",'AR &amp; AP'!K102)</f>
        <v/>
      </c>
      <c r="K101" s="6">
        <f>IF($A101="","",ROUND(I101-J101-SUMIFS('Daily Sale entry '!$AC$2:$AC$1501,'Daily Sale entry '!$X$2:$X$1501,"&lt;="&amp;$A101,'Daily Sale entry '!$Z$2:$Z$1501,"Other deposit 其他存入")+SUMIFS('Daily Sale entry '!$AD$2:$AD$1501,'Daily Sale entry '!$X$2:$X$1501,"&lt;="&amp;$A101)+('Opening Balance'!$B$8+SUM('Daily Sale entry '!$L$2:M101)-F101),2))</f>
        <v/>
      </c>
      <c r="L101">
        <f>IF($A101="","",IF(ABS('Sales &amp; Collection'!$B$1398)&gt;'Opening Balance'!$B$16,"ALERT 警报: Different "&amp;TEXT('Sales &amp; Collection'!$B$1398,"#,##0.00")&amp;" 差额过大",""))</f>
        <v/>
      </c>
    </row>
    <row r="102">
      <c r="A102" s="5">
        <f>IF('Daily Sale entry '!A102="","",'Daily Sale entry '!A102)</f>
        <v/>
      </c>
      <c r="B102" s="6">
        <f>IF($A102="","",ROUND('Opening Balance'!$B$4+SUM('Daily Sale entry '!$K$2:K102)+SUMIFS('Daily Sale entry '!$AC$2:$AC$1501,'Daily Sale entry '!$X$2:$X$1501,"&lt;="&amp;$A102)-SUMIFS('Daily Sale entry '!$AD$2:$AD$1501,'Daily Sale entry '!$X$2:$X$1501,"&lt;="&amp;$A102)+SUMPRODUCT(('Daily Sale entry '!$Q$2:$Q$1501="Collection 收款")*('Daily Sale entry '!$R$2:$R$1501="Cheque 支票")*('Daily Sale entry '!$V$2:$V$1501&lt;&gt;"")*('Daily Sale entry '!$V$2:$V$1501&lt;=$A102)*('Daily Sale entry '!$S$2:$S$1501-'Opening Balance'!$B$15*('Daily Sale entry '!$R$2:$R$1501="Cheque 支票")*('Daily Sale entry '!$S$2:$S$1501-TRUNC('Daily Sale entry '!$S$2:$S$1501))))-'Opening Balance'!$B$15*SUMPRODUCT(('Daily Sale entry '!$X$2:$X$1501&lt;=$A102)*('Daily Sale entry '!$Z$2:$Z$1501="Online collection 网上收款")*('Daily Sale entry '!$AA$2:$AA$1501&lt;&gt;"")*('Daily Sale entry '!$AC$2:$AC$1501-TRUNC('Daily Sale entry '!$AC$2:$AC$1501))),2))</f>
        <v/>
      </c>
      <c r="C102" s="8">
        <f>IF($A102="","",'Opening Balance'!$B$5+SUM('Daily Sale entry '!$I$2:I102)-SUMIFS('Daily Sale entry '!$AB$2:$AB$1501,'Daily Sale entry '!$X$2:$X$1501,"&lt;="&amp;$A102,'Daily Sale entry '!$Z$2:$Z$1501,"Cheque deposit 支票存入")-COUNTIFS('Daily Sale entry '!$Q$2:$Q$1501,"Collection 收款",'Daily Sale entry '!$R$2:$R$1501,"Cheque 支票",'Daily Sale entry '!$V$2:$V$1501,"&lt;="&amp;$A102))</f>
        <v/>
      </c>
      <c r="D102" s="6">
        <f>IF($A102="","",ROUND('Opening Balance'!$B$6+SUM('Daily Sale entry '!$J$2:J102)-SUMIFS('Daily Sale entry '!$AC$2:$AC$1501,'Daily Sale entry '!$X$2:$X$1501,"&lt;="&amp;$A102,'Daily Sale entry '!$Z$2:$Z$1501,"Cheque deposit 支票存入")-SUMPRODUCT(('Daily Sale entry '!$Q$2:$Q$1501="Collection 收款")*('Daily Sale entry '!$R$2:$R$1501="Cheque 支票")*('Daily Sale entry '!$V$2:$V$1501&lt;&gt;"")*('Daily Sale entry '!$V$2:$V$1501&lt;=$A102)*('Daily Sale entry '!$S$2:$S$1501-'Opening Balance'!$B$15*('Daily Sale entry '!$R$2:$R$1501="Cheque 支票")*('Daily Sale entry '!$S$2:$S$1501-TRUNC('Daily Sale entry '!$S$2:$S$1501)))),2))</f>
        <v/>
      </c>
      <c r="E102" s="6">
        <f>IF($A102="","",'Opening Balance'!$B$7)</f>
        <v/>
      </c>
      <c r="F102" s="6">
        <f>IF($A102="","",ROUND(SUMIFS('Daily Sale entry '!$L$2:$L$367,'Daily Sale entry '!$A$2:$A$367,"&gt;="&amp;DATE(YEAR($A102),MONTH($A102),1),'Daily Sale entry '!$A$2:$A$367,"&lt;="&amp;$A102)+SUMIFS('Daily Sale entry '!$M$2:$M$367,'Daily Sale entry '!$A$2:$A$367,"&gt;="&amp;DATE(YEAR($A102),MONTH($A102),1),'Daily Sale entry '!$A$2:$A$367,"&lt;="&amp;$A102)+IF(AND(YEAR($A102)=YEAR('Daily Sale entry '!$A$2),MONTH($A102)=MONTH('Daily Sale entry '!$A$2)),'Opening Balance'!$B$8,0),2))</f>
        <v/>
      </c>
      <c r="G102" s="6">
        <f>IF($A102="","",MOD(ROUND('Opening Balance'!$B$9+SUMIFS('Sales &amp; Collection'!$L$1:$L$1403,'Sales &amp; Collection'!$K$1:$K$1403,"cash collection*"),2),'Opening Balance'!$B$11))</f>
        <v/>
      </c>
      <c r="H102" s="6">
        <f>IF($A102="","",ROUND('Opening Balance'!$B$10+'Opening Balance'!$B$9+SUMIFS('Sales &amp; Collection'!$L$1:$L$1403,'Sales &amp; Collection'!$K$1:$K$1403,"cash collection*")-G102-SUMIFS('Daily Sale entry '!$AC$2:$AC$1501,'Daily Sale entry '!$X$2:$X$1501,"&lt;="&amp;$A102,'Daily Sale entry '!$Z$2:$Z$1501,"Cash deposit 现金存入"),2))</f>
        <v/>
      </c>
      <c r="I102" s="6">
        <f>IF($A102="","",ROUND(B102+D102+E102+F102+G102+H102,2))</f>
        <v/>
      </c>
      <c r="J102" s="6">
        <f>IF($A102="","",'AR &amp; AP'!K103)</f>
        <v/>
      </c>
      <c r="K102" s="6">
        <f>IF($A102="","",ROUND(I102-J102-SUMIFS('Daily Sale entry '!$AC$2:$AC$1501,'Daily Sale entry '!$X$2:$X$1501,"&lt;="&amp;$A102,'Daily Sale entry '!$Z$2:$Z$1501,"Other deposit 其他存入")+SUMIFS('Daily Sale entry '!$AD$2:$AD$1501,'Daily Sale entry '!$X$2:$X$1501,"&lt;="&amp;$A102)+('Opening Balance'!$B$8+SUM('Daily Sale entry '!$L$2:M102)-F102),2))</f>
        <v/>
      </c>
      <c r="L102">
        <f>IF($A102="","",IF(ABS('Sales &amp; Collection'!$B$1412)&gt;'Opening Balance'!$B$16,"ALERT 警报: Different "&amp;TEXT('Sales &amp; Collection'!$B$1412,"#,##0.00")&amp;" 差额过大",""))</f>
        <v/>
      </c>
    </row>
    <row r="103">
      <c r="A103" s="5">
        <f>IF('Daily Sale entry '!A103="","",'Daily Sale entry '!A103)</f>
        <v/>
      </c>
      <c r="B103" s="6">
        <f>IF($A103="","",ROUND('Opening Balance'!$B$4+SUM('Daily Sale entry '!$K$2:K103)+SUMIFS('Daily Sale entry '!$AC$2:$AC$1501,'Daily Sale entry '!$X$2:$X$1501,"&lt;="&amp;$A103)-SUMIFS('Daily Sale entry '!$AD$2:$AD$1501,'Daily Sale entry '!$X$2:$X$1501,"&lt;="&amp;$A103)+SUMPRODUCT(('Daily Sale entry '!$Q$2:$Q$1501="Collection 收款")*('Daily Sale entry '!$R$2:$R$1501="Cheque 支票")*('Daily Sale entry '!$V$2:$V$1501&lt;&gt;"")*('Daily Sale entry '!$V$2:$V$1501&lt;=$A103)*('Daily Sale entry '!$S$2:$S$1501-'Opening Balance'!$B$15*('Daily Sale entry '!$R$2:$R$1501="Cheque 支票")*('Daily Sale entry '!$S$2:$S$1501-TRUNC('Daily Sale entry '!$S$2:$S$1501))))-'Opening Balance'!$B$15*SUMPRODUCT(('Daily Sale entry '!$X$2:$X$1501&lt;=$A103)*('Daily Sale entry '!$Z$2:$Z$1501="Online collection 网上收款")*('Daily Sale entry '!$AA$2:$AA$1501&lt;&gt;"")*('Daily Sale entry '!$AC$2:$AC$1501-TRUNC('Daily Sale entry '!$AC$2:$AC$1501))),2))</f>
        <v/>
      </c>
      <c r="C103" s="8">
        <f>IF($A103="","",'Opening Balance'!$B$5+SUM('Daily Sale entry '!$I$2:I103)-SUMIFS('Daily Sale entry '!$AB$2:$AB$1501,'Daily Sale entry '!$X$2:$X$1501,"&lt;="&amp;$A103,'Daily Sale entry '!$Z$2:$Z$1501,"Cheque deposit 支票存入")-COUNTIFS('Daily Sale entry '!$Q$2:$Q$1501,"Collection 收款",'Daily Sale entry '!$R$2:$R$1501,"Cheque 支票",'Daily Sale entry '!$V$2:$V$1501,"&lt;="&amp;$A103))</f>
        <v/>
      </c>
      <c r="D103" s="6">
        <f>IF($A103="","",ROUND('Opening Balance'!$B$6+SUM('Daily Sale entry '!$J$2:J103)-SUMIFS('Daily Sale entry '!$AC$2:$AC$1501,'Daily Sale entry '!$X$2:$X$1501,"&lt;="&amp;$A103,'Daily Sale entry '!$Z$2:$Z$1501,"Cheque deposit 支票存入")-SUMPRODUCT(('Daily Sale entry '!$Q$2:$Q$1501="Collection 收款")*('Daily Sale entry '!$R$2:$R$1501="Cheque 支票")*('Daily Sale entry '!$V$2:$V$1501&lt;&gt;"")*('Daily Sale entry '!$V$2:$V$1501&lt;=$A103)*('Daily Sale entry '!$S$2:$S$1501-'Opening Balance'!$B$15*('Daily Sale entry '!$R$2:$R$1501="Cheque 支票")*('Daily Sale entry '!$S$2:$S$1501-TRUNC('Daily Sale entry '!$S$2:$S$1501)))),2))</f>
        <v/>
      </c>
      <c r="E103" s="6">
        <f>IF($A103="","",'Opening Balance'!$B$7)</f>
        <v/>
      </c>
      <c r="F103" s="6">
        <f>IF($A103="","",ROUND(SUMIFS('Daily Sale entry '!$L$2:$L$367,'Daily Sale entry '!$A$2:$A$367,"&gt;="&amp;DATE(YEAR($A103),MONTH($A103),1),'Daily Sale entry '!$A$2:$A$367,"&lt;="&amp;$A103)+SUMIFS('Daily Sale entry '!$M$2:$M$367,'Daily Sale entry '!$A$2:$A$367,"&gt;="&amp;DATE(YEAR($A103),MONTH($A103),1),'Daily Sale entry '!$A$2:$A$367,"&lt;="&amp;$A103)+IF(AND(YEAR($A103)=YEAR('Daily Sale entry '!$A$2),MONTH($A103)=MONTH('Daily Sale entry '!$A$2)),'Opening Balance'!$B$8,0),2))</f>
        <v/>
      </c>
      <c r="G103" s="6">
        <f>IF($A103="","",MOD(ROUND('Opening Balance'!$B$9+SUMIFS('Sales &amp; Collection'!$L$1:$L$1417,'Sales &amp; Collection'!$K$1:$K$1417,"cash collection*"),2),'Opening Balance'!$B$11))</f>
        <v/>
      </c>
      <c r="H103" s="6">
        <f>IF($A103="","",ROUND('Opening Balance'!$B$10+'Opening Balance'!$B$9+SUMIFS('Sales &amp; Collection'!$L$1:$L$1417,'Sales &amp; Collection'!$K$1:$K$1417,"cash collection*")-G103-SUMIFS('Daily Sale entry '!$AC$2:$AC$1501,'Daily Sale entry '!$X$2:$X$1501,"&lt;="&amp;$A103,'Daily Sale entry '!$Z$2:$Z$1501,"Cash deposit 现金存入"),2))</f>
        <v/>
      </c>
      <c r="I103" s="6">
        <f>IF($A103="","",ROUND(B103+D103+E103+F103+G103+H103,2))</f>
        <v/>
      </c>
      <c r="J103" s="6">
        <f>IF($A103="","",'AR &amp; AP'!K104)</f>
        <v/>
      </c>
      <c r="K103" s="6">
        <f>IF($A103="","",ROUND(I103-J103-SUMIFS('Daily Sale entry '!$AC$2:$AC$1501,'Daily Sale entry '!$X$2:$X$1501,"&lt;="&amp;$A103,'Daily Sale entry '!$Z$2:$Z$1501,"Other deposit 其他存入")+SUMIFS('Daily Sale entry '!$AD$2:$AD$1501,'Daily Sale entry '!$X$2:$X$1501,"&lt;="&amp;$A103)+('Opening Balance'!$B$8+SUM('Daily Sale entry '!$L$2:M103)-F103),2))</f>
        <v/>
      </c>
      <c r="L103">
        <f>IF($A103="","",IF(ABS('Sales &amp; Collection'!$B$1426)&gt;'Opening Balance'!$B$16,"ALERT 警报: Different "&amp;TEXT('Sales &amp; Collection'!$B$1426,"#,##0.00")&amp;" 差额过大",""))</f>
        <v/>
      </c>
    </row>
    <row r="104">
      <c r="A104" s="5">
        <f>IF('Daily Sale entry '!A104="","",'Daily Sale entry '!A104)</f>
        <v/>
      </c>
      <c r="B104" s="6">
        <f>IF($A104="","",ROUND('Opening Balance'!$B$4+SUM('Daily Sale entry '!$K$2:K104)+SUMIFS('Daily Sale entry '!$AC$2:$AC$1501,'Daily Sale entry '!$X$2:$X$1501,"&lt;="&amp;$A104)-SUMIFS('Daily Sale entry '!$AD$2:$AD$1501,'Daily Sale entry '!$X$2:$X$1501,"&lt;="&amp;$A104)+SUMPRODUCT(('Daily Sale entry '!$Q$2:$Q$1501="Collection 收款")*('Daily Sale entry '!$R$2:$R$1501="Cheque 支票")*('Daily Sale entry '!$V$2:$V$1501&lt;&gt;"")*('Daily Sale entry '!$V$2:$V$1501&lt;=$A104)*('Daily Sale entry '!$S$2:$S$1501-'Opening Balance'!$B$15*('Daily Sale entry '!$R$2:$R$1501="Cheque 支票")*('Daily Sale entry '!$S$2:$S$1501-TRUNC('Daily Sale entry '!$S$2:$S$1501))))-'Opening Balance'!$B$15*SUMPRODUCT(('Daily Sale entry '!$X$2:$X$1501&lt;=$A104)*('Daily Sale entry '!$Z$2:$Z$1501="Online collection 网上收款")*('Daily Sale entry '!$AA$2:$AA$1501&lt;&gt;"")*('Daily Sale entry '!$AC$2:$AC$1501-TRUNC('Daily Sale entry '!$AC$2:$AC$1501))),2))</f>
        <v/>
      </c>
      <c r="C104" s="8">
        <f>IF($A104="","",'Opening Balance'!$B$5+SUM('Daily Sale entry '!$I$2:I104)-SUMIFS('Daily Sale entry '!$AB$2:$AB$1501,'Daily Sale entry '!$X$2:$X$1501,"&lt;="&amp;$A104,'Daily Sale entry '!$Z$2:$Z$1501,"Cheque deposit 支票存入")-COUNTIFS('Daily Sale entry '!$Q$2:$Q$1501,"Collection 收款",'Daily Sale entry '!$R$2:$R$1501,"Cheque 支票",'Daily Sale entry '!$V$2:$V$1501,"&lt;="&amp;$A104))</f>
        <v/>
      </c>
      <c r="D104" s="6">
        <f>IF($A104="","",ROUND('Opening Balance'!$B$6+SUM('Daily Sale entry '!$J$2:J104)-SUMIFS('Daily Sale entry '!$AC$2:$AC$1501,'Daily Sale entry '!$X$2:$X$1501,"&lt;="&amp;$A104,'Daily Sale entry '!$Z$2:$Z$1501,"Cheque deposit 支票存入")-SUMPRODUCT(('Daily Sale entry '!$Q$2:$Q$1501="Collection 收款")*('Daily Sale entry '!$R$2:$R$1501="Cheque 支票")*('Daily Sale entry '!$V$2:$V$1501&lt;&gt;"")*('Daily Sale entry '!$V$2:$V$1501&lt;=$A104)*('Daily Sale entry '!$S$2:$S$1501-'Opening Balance'!$B$15*('Daily Sale entry '!$R$2:$R$1501="Cheque 支票")*('Daily Sale entry '!$S$2:$S$1501-TRUNC('Daily Sale entry '!$S$2:$S$1501)))),2))</f>
        <v/>
      </c>
      <c r="E104" s="6">
        <f>IF($A104="","",'Opening Balance'!$B$7)</f>
        <v/>
      </c>
      <c r="F104" s="6">
        <f>IF($A104="","",ROUND(SUMIFS('Daily Sale entry '!$L$2:$L$367,'Daily Sale entry '!$A$2:$A$367,"&gt;="&amp;DATE(YEAR($A104),MONTH($A104),1),'Daily Sale entry '!$A$2:$A$367,"&lt;="&amp;$A104)+SUMIFS('Daily Sale entry '!$M$2:$M$367,'Daily Sale entry '!$A$2:$A$367,"&gt;="&amp;DATE(YEAR($A104),MONTH($A104),1),'Daily Sale entry '!$A$2:$A$367,"&lt;="&amp;$A104)+IF(AND(YEAR($A104)=YEAR('Daily Sale entry '!$A$2),MONTH($A104)=MONTH('Daily Sale entry '!$A$2)),'Opening Balance'!$B$8,0),2))</f>
        <v/>
      </c>
      <c r="G104" s="6">
        <f>IF($A104="","",MOD(ROUND('Opening Balance'!$B$9+SUMIFS('Sales &amp; Collection'!$L$1:$L$1431,'Sales &amp; Collection'!$K$1:$K$1431,"cash collection*"),2),'Opening Balance'!$B$11))</f>
        <v/>
      </c>
      <c r="H104" s="6">
        <f>IF($A104="","",ROUND('Opening Balance'!$B$10+'Opening Balance'!$B$9+SUMIFS('Sales &amp; Collection'!$L$1:$L$1431,'Sales &amp; Collection'!$K$1:$K$1431,"cash collection*")-G104-SUMIFS('Daily Sale entry '!$AC$2:$AC$1501,'Daily Sale entry '!$X$2:$X$1501,"&lt;="&amp;$A104,'Daily Sale entry '!$Z$2:$Z$1501,"Cash deposit 现金存入"),2))</f>
        <v/>
      </c>
      <c r="I104" s="6">
        <f>IF($A104="","",ROUND(B104+D104+E104+F104+G104+H104,2))</f>
        <v/>
      </c>
      <c r="J104" s="6">
        <f>IF($A104="","",'AR &amp; AP'!K105)</f>
        <v/>
      </c>
      <c r="K104" s="6">
        <f>IF($A104="","",ROUND(I104-J104-SUMIFS('Daily Sale entry '!$AC$2:$AC$1501,'Daily Sale entry '!$X$2:$X$1501,"&lt;="&amp;$A104,'Daily Sale entry '!$Z$2:$Z$1501,"Other deposit 其他存入")+SUMIFS('Daily Sale entry '!$AD$2:$AD$1501,'Daily Sale entry '!$X$2:$X$1501,"&lt;="&amp;$A104)+('Opening Balance'!$B$8+SUM('Daily Sale entry '!$L$2:M104)-F104),2))</f>
        <v/>
      </c>
      <c r="L104">
        <f>IF($A104="","",IF(ABS('Sales &amp; Collection'!$B$1440)&gt;'Opening Balance'!$B$16,"ALERT 警报: Different "&amp;TEXT('Sales &amp; Collection'!$B$1440,"#,##0.00")&amp;" 差额过大",""))</f>
        <v/>
      </c>
    </row>
    <row r="105">
      <c r="A105" s="5">
        <f>IF('Daily Sale entry '!A105="","",'Daily Sale entry '!A105)</f>
        <v/>
      </c>
      <c r="B105" s="6">
        <f>IF($A105="","",ROUND('Opening Balance'!$B$4+SUM('Daily Sale entry '!$K$2:K105)+SUMIFS('Daily Sale entry '!$AC$2:$AC$1501,'Daily Sale entry '!$X$2:$X$1501,"&lt;="&amp;$A105)-SUMIFS('Daily Sale entry '!$AD$2:$AD$1501,'Daily Sale entry '!$X$2:$X$1501,"&lt;="&amp;$A105)+SUMPRODUCT(('Daily Sale entry '!$Q$2:$Q$1501="Collection 收款")*('Daily Sale entry '!$R$2:$R$1501="Cheque 支票")*('Daily Sale entry '!$V$2:$V$1501&lt;&gt;"")*('Daily Sale entry '!$V$2:$V$1501&lt;=$A105)*('Daily Sale entry '!$S$2:$S$1501-'Opening Balance'!$B$15*('Daily Sale entry '!$R$2:$R$1501="Cheque 支票")*('Daily Sale entry '!$S$2:$S$1501-TRUNC('Daily Sale entry '!$S$2:$S$1501))))-'Opening Balance'!$B$15*SUMPRODUCT(('Daily Sale entry '!$X$2:$X$1501&lt;=$A105)*('Daily Sale entry '!$Z$2:$Z$1501="Online collection 网上收款")*('Daily Sale entry '!$AA$2:$AA$1501&lt;&gt;"")*('Daily Sale entry '!$AC$2:$AC$1501-TRUNC('Daily Sale entry '!$AC$2:$AC$1501))),2))</f>
        <v/>
      </c>
      <c r="C105" s="8">
        <f>IF($A105="","",'Opening Balance'!$B$5+SUM('Daily Sale entry '!$I$2:I105)-SUMIFS('Daily Sale entry '!$AB$2:$AB$1501,'Daily Sale entry '!$X$2:$X$1501,"&lt;="&amp;$A105,'Daily Sale entry '!$Z$2:$Z$1501,"Cheque deposit 支票存入")-COUNTIFS('Daily Sale entry '!$Q$2:$Q$1501,"Collection 收款",'Daily Sale entry '!$R$2:$R$1501,"Cheque 支票",'Daily Sale entry '!$V$2:$V$1501,"&lt;="&amp;$A105))</f>
        <v/>
      </c>
      <c r="D105" s="6">
        <f>IF($A105="","",ROUND('Opening Balance'!$B$6+SUM('Daily Sale entry '!$J$2:J105)-SUMIFS('Daily Sale entry '!$AC$2:$AC$1501,'Daily Sale entry '!$X$2:$X$1501,"&lt;="&amp;$A105,'Daily Sale entry '!$Z$2:$Z$1501,"Cheque deposit 支票存入")-SUMPRODUCT(('Daily Sale entry '!$Q$2:$Q$1501="Collection 收款")*('Daily Sale entry '!$R$2:$R$1501="Cheque 支票")*('Daily Sale entry '!$V$2:$V$1501&lt;&gt;"")*('Daily Sale entry '!$V$2:$V$1501&lt;=$A105)*('Daily Sale entry '!$S$2:$S$1501-'Opening Balance'!$B$15*('Daily Sale entry '!$R$2:$R$1501="Cheque 支票")*('Daily Sale entry '!$S$2:$S$1501-TRUNC('Daily Sale entry '!$S$2:$S$1501)))),2))</f>
        <v/>
      </c>
      <c r="E105" s="6">
        <f>IF($A105="","",'Opening Balance'!$B$7)</f>
        <v/>
      </c>
      <c r="F105" s="6">
        <f>IF($A105="","",ROUND(SUMIFS('Daily Sale entry '!$L$2:$L$367,'Daily Sale entry '!$A$2:$A$367,"&gt;="&amp;DATE(YEAR($A105),MONTH($A105),1),'Daily Sale entry '!$A$2:$A$367,"&lt;="&amp;$A105)+SUMIFS('Daily Sale entry '!$M$2:$M$367,'Daily Sale entry '!$A$2:$A$367,"&gt;="&amp;DATE(YEAR($A105),MONTH($A105),1),'Daily Sale entry '!$A$2:$A$367,"&lt;="&amp;$A105)+IF(AND(YEAR($A105)=YEAR('Daily Sale entry '!$A$2),MONTH($A105)=MONTH('Daily Sale entry '!$A$2)),'Opening Balance'!$B$8,0),2))</f>
        <v/>
      </c>
      <c r="G105" s="6">
        <f>IF($A105="","",MOD(ROUND('Opening Balance'!$B$9+SUMIFS('Sales &amp; Collection'!$L$1:$L$1445,'Sales &amp; Collection'!$K$1:$K$1445,"cash collection*"),2),'Opening Balance'!$B$11))</f>
        <v/>
      </c>
      <c r="H105" s="6">
        <f>IF($A105="","",ROUND('Opening Balance'!$B$10+'Opening Balance'!$B$9+SUMIFS('Sales &amp; Collection'!$L$1:$L$1445,'Sales &amp; Collection'!$K$1:$K$1445,"cash collection*")-G105-SUMIFS('Daily Sale entry '!$AC$2:$AC$1501,'Daily Sale entry '!$X$2:$X$1501,"&lt;="&amp;$A105,'Daily Sale entry '!$Z$2:$Z$1501,"Cash deposit 现金存入"),2))</f>
        <v/>
      </c>
      <c r="I105" s="6">
        <f>IF($A105="","",ROUND(B105+D105+E105+F105+G105+H105,2))</f>
        <v/>
      </c>
      <c r="J105" s="6">
        <f>IF($A105="","",'AR &amp; AP'!K106)</f>
        <v/>
      </c>
      <c r="K105" s="6">
        <f>IF($A105="","",ROUND(I105-J105-SUMIFS('Daily Sale entry '!$AC$2:$AC$1501,'Daily Sale entry '!$X$2:$X$1501,"&lt;="&amp;$A105,'Daily Sale entry '!$Z$2:$Z$1501,"Other deposit 其他存入")+SUMIFS('Daily Sale entry '!$AD$2:$AD$1501,'Daily Sale entry '!$X$2:$X$1501,"&lt;="&amp;$A105)+('Opening Balance'!$B$8+SUM('Daily Sale entry '!$L$2:M105)-F105),2))</f>
        <v/>
      </c>
      <c r="L105">
        <f>IF($A105="","",IF(ABS('Sales &amp; Collection'!$B$1454)&gt;'Opening Balance'!$B$16,"ALERT 警报: Different "&amp;TEXT('Sales &amp; Collection'!$B$1454,"#,##0.00")&amp;" 差额过大",""))</f>
        <v/>
      </c>
    </row>
    <row r="106">
      <c r="A106" s="5">
        <f>IF('Daily Sale entry '!A106="","",'Daily Sale entry '!A106)</f>
        <v/>
      </c>
      <c r="B106" s="6">
        <f>IF($A106="","",ROUND('Opening Balance'!$B$4+SUM('Daily Sale entry '!$K$2:K106)+SUMIFS('Daily Sale entry '!$AC$2:$AC$1501,'Daily Sale entry '!$X$2:$X$1501,"&lt;="&amp;$A106)-SUMIFS('Daily Sale entry '!$AD$2:$AD$1501,'Daily Sale entry '!$X$2:$X$1501,"&lt;="&amp;$A106)+SUMPRODUCT(('Daily Sale entry '!$Q$2:$Q$1501="Collection 收款")*('Daily Sale entry '!$R$2:$R$1501="Cheque 支票")*('Daily Sale entry '!$V$2:$V$1501&lt;&gt;"")*('Daily Sale entry '!$V$2:$V$1501&lt;=$A106)*('Daily Sale entry '!$S$2:$S$1501-'Opening Balance'!$B$15*('Daily Sale entry '!$R$2:$R$1501="Cheque 支票")*('Daily Sale entry '!$S$2:$S$1501-TRUNC('Daily Sale entry '!$S$2:$S$1501))))-'Opening Balance'!$B$15*SUMPRODUCT(('Daily Sale entry '!$X$2:$X$1501&lt;=$A106)*('Daily Sale entry '!$Z$2:$Z$1501="Online collection 网上收款")*('Daily Sale entry '!$AA$2:$AA$1501&lt;&gt;"")*('Daily Sale entry '!$AC$2:$AC$1501-TRUNC('Daily Sale entry '!$AC$2:$AC$1501))),2))</f>
        <v/>
      </c>
      <c r="C106" s="8">
        <f>IF($A106="","",'Opening Balance'!$B$5+SUM('Daily Sale entry '!$I$2:I106)-SUMIFS('Daily Sale entry '!$AB$2:$AB$1501,'Daily Sale entry '!$X$2:$X$1501,"&lt;="&amp;$A106,'Daily Sale entry '!$Z$2:$Z$1501,"Cheque deposit 支票存入")-COUNTIFS('Daily Sale entry '!$Q$2:$Q$1501,"Collection 收款",'Daily Sale entry '!$R$2:$R$1501,"Cheque 支票",'Daily Sale entry '!$V$2:$V$1501,"&lt;="&amp;$A106))</f>
        <v/>
      </c>
      <c r="D106" s="6">
        <f>IF($A106="","",ROUND('Opening Balance'!$B$6+SUM('Daily Sale entry '!$J$2:J106)-SUMIFS('Daily Sale entry '!$AC$2:$AC$1501,'Daily Sale entry '!$X$2:$X$1501,"&lt;="&amp;$A106,'Daily Sale entry '!$Z$2:$Z$1501,"Cheque deposit 支票存入")-SUMPRODUCT(('Daily Sale entry '!$Q$2:$Q$1501="Collection 收款")*('Daily Sale entry '!$R$2:$R$1501="Cheque 支票")*('Daily Sale entry '!$V$2:$V$1501&lt;&gt;"")*('Daily Sale entry '!$V$2:$V$1501&lt;=$A106)*('Daily Sale entry '!$S$2:$S$1501-'Opening Balance'!$B$15*('Daily Sale entry '!$R$2:$R$1501="Cheque 支票")*('Daily Sale entry '!$S$2:$S$1501-TRUNC('Daily Sale entry '!$S$2:$S$1501)))),2))</f>
        <v/>
      </c>
      <c r="E106" s="6">
        <f>IF($A106="","",'Opening Balance'!$B$7)</f>
        <v/>
      </c>
      <c r="F106" s="6">
        <f>IF($A106="","",ROUND(SUMIFS('Daily Sale entry '!$L$2:$L$367,'Daily Sale entry '!$A$2:$A$367,"&gt;="&amp;DATE(YEAR($A106),MONTH($A106),1),'Daily Sale entry '!$A$2:$A$367,"&lt;="&amp;$A106)+SUMIFS('Daily Sale entry '!$M$2:$M$367,'Daily Sale entry '!$A$2:$A$367,"&gt;="&amp;DATE(YEAR($A106),MONTH($A106),1),'Daily Sale entry '!$A$2:$A$367,"&lt;="&amp;$A106)+IF(AND(YEAR($A106)=YEAR('Daily Sale entry '!$A$2),MONTH($A106)=MONTH('Daily Sale entry '!$A$2)),'Opening Balance'!$B$8,0),2))</f>
        <v/>
      </c>
      <c r="G106" s="6">
        <f>IF($A106="","",MOD(ROUND('Opening Balance'!$B$9+SUMIFS('Sales &amp; Collection'!$L$1:$L$1459,'Sales &amp; Collection'!$K$1:$K$1459,"cash collection*"),2),'Opening Balance'!$B$11))</f>
        <v/>
      </c>
      <c r="H106" s="6">
        <f>IF($A106="","",ROUND('Opening Balance'!$B$10+'Opening Balance'!$B$9+SUMIFS('Sales &amp; Collection'!$L$1:$L$1459,'Sales &amp; Collection'!$K$1:$K$1459,"cash collection*")-G106-SUMIFS('Daily Sale entry '!$AC$2:$AC$1501,'Daily Sale entry '!$X$2:$X$1501,"&lt;="&amp;$A106,'Daily Sale entry '!$Z$2:$Z$1501,"Cash deposit 现金存入"),2))</f>
        <v/>
      </c>
      <c r="I106" s="6">
        <f>IF($A106="","",ROUND(B106+D106+E106+F106+G106+H106,2))</f>
        <v/>
      </c>
      <c r="J106" s="6">
        <f>IF($A106="","",'AR &amp; AP'!K107)</f>
        <v/>
      </c>
      <c r="K106" s="6">
        <f>IF($A106="","",ROUND(I106-J106-SUMIFS('Daily Sale entry '!$AC$2:$AC$1501,'Daily Sale entry '!$X$2:$X$1501,"&lt;="&amp;$A106,'Daily Sale entry '!$Z$2:$Z$1501,"Other deposit 其他存入")+SUMIFS('Daily Sale entry '!$AD$2:$AD$1501,'Daily Sale entry '!$X$2:$X$1501,"&lt;="&amp;$A106)+('Opening Balance'!$B$8+SUM('Daily Sale entry '!$L$2:M106)-F106),2))</f>
        <v/>
      </c>
      <c r="L106">
        <f>IF($A106="","",IF(ABS('Sales &amp; Collection'!$B$1468)&gt;'Opening Balance'!$B$16,"ALERT 警报: Different "&amp;TEXT('Sales &amp; Collection'!$B$1468,"#,##0.00")&amp;" 差额过大",""))</f>
        <v/>
      </c>
    </row>
    <row r="107">
      <c r="A107" s="5">
        <f>IF('Daily Sale entry '!A107="","",'Daily Sale entry '!A107)</f>
        <v/>
      </c>
      <c r="B107" s="6">
        <f>IF($A107="","",ROUND('Opening Balance'!$B$4+SUM('Daily Sale entry '!$K$2:K107)+SUMIFS('Daily Sale entry '!$AC$2:$AC$1501,'Daily Sale entry '!$X$2:$X$1501,"&lt;="&amp;$A107)-SUMIFS('Daily Sale entry '!$AD$2:$AD$1501,'Daily Sale entry '!$X$2:$X$1501,"&lt;="&amp;$A107)+SUMPRODUCT(('Daily Sale entry '!$Q$2:$Q$1501="Collection 收款")*('Daily Sale entry '!$R$2:$R$1501="Cheque 支票")*('Daily Sale entry '!$V$2:$V$1501&lt;&gt;"")*('Daily Sale entry '!$V$2:$V$1501&lt;=$A107)*('Daily Sale entry '!$S$2:$S$1501-'Opening Balance'!$B$15*('Daily Sale entry '!$R$2:$R$1501="Cheque 支票")*('Daily Sale entry '!$S$2:$S$1501-TRUNC('Daily Sale entry '!$S$2:$S$1501))))-'Opening Balance'!$B$15*SUMPRODUCT(('Daily Sale entry '!$X$2:$X$1501&lt;=$A107)*('Daily Sale entry '!$Z$2:$Z$1501="Online collection 网上收款")*('Daily Sale entry '!$AA$2:$AA$1501&lt;&gt;"")*('Daily Sale entry '!$AC$2:$AC$1501-TRUNC('Daily Sale entry '!$AC$2:$AC$1501))),2))</f>
        <v/>
      </c>
      <c r="C107" s="8">
        <f>IF($A107="","",'Opening Balance'!$B$5+SUM('Daily Sale entry '!$I$2:I107)-SUMIFS('Daily Sale entry '!$AB$2:$AB$1501,'Daily Sale entry '!$X$2:$X$1501,"&lt;="&amp;$A107,'Daily Sale entry '!$Z$2:$Z$1501,"Cheque deposit 支票存入")-COUNTIFS('Daily Sale entry '!$Q$2:$Q$1501,"Collection 收款",'Daily Sale entry '!$R$2:$R$1501,"Cheque 支票",'Daily Sale entry '!$V$2:$V$1501,"&lt;="&amp;$A107))</f>
        <v/>
      </c>
      <c r="D107" s="6">
        <f>IF($A107="","",ROUND('Opening Balance'!$B$6+SUM('Daily Sale entry '!$J$2:J107)-SUMIFS('Daily Sale entry '!$AC$2:$AC$1501,'Daily Sale entry '!$X$2:$X$1501,"&lt;="&amp;$A107,'Daily Sale entry '!$Z$2:$Z$1501,"Cheque deposit 支票存入")-SUMPRODUCT(('Daily Sale entry '!$Q$2:$Q$1501="Collection 收款")*('Daily Sale entry '!$R$2:$R$1501="Cheque 支票")*('Daily Sale entry '!$V$2:$V$1501&lt;&gt;"")*('Daily Sale entry '!$V$2:$V$1501&lt;=$A107)*('Daily Sale entry '!$S$2:$S$1501-'Opening Balance'!$B$15*('Daily Sale entry '!$R$2:$R$1501="Cheque 支票")*('Daily Sale entry '!$S$2:$S$1501-TRUNC('Daily Sale entry '!$S$2:$S$1501)))),2))</f>
        <v/>
      </c>
      <c r="E107" s="6">
        <f>IF($A107="","",'Opening Balance'!$B$7)</f>
        <v/>
      </c>
      <c r="F107" s="6">
        <f>IF($A107="","",ROUND(SUMIFS('Daily Sale entry '!$L$2:$L$367,'Daily Sale entry '!$A$2:$A$367,"&gt;="&amp;DATE(YEAR($A107),MONTH($A107),1),'Daily Sale entry '!$A$2:$A$367,"&lt;="&amp;$A107)+SUMIFS('Daily Sale entry '!$M$2:$M$367,'Daily Sale entry '!$A$2:$A$367,"&gt;="&amp;DATE(YEAR($A107),MONTH($A107),1),'Daily Sale entry '!$A$2:$A$367,"&lt;="&amp;$A107)+IF(AND(YEAR($A107)=YEAR('Daily Sale entry '!$A$2),MONTH($A107)=MONTH('Daily Sale entry '!$A$2)),'Opening Balance'!$B$8,0),2))</f>
        <v/>
      </c>
      <c r="G107" s="6">
        <f>IF($A107="","",MOD(ROUND('Opening Balance'!$B$9+SUMIFS('Sales &amp; Collection'!$L$1:$L$1473,'Sales &amp; Collection'!$K$1:$K$1473,"cash collection*"),2),'Opening Balance'!$B$11))</f>
        <v/>
      </c>
      <c r="H107" s="6">
        <f>IF($A107="","",ROUND('Opening Balance'!$B$10+'Opening Balance'!$B$9+SUMIFS('Sales &amp; Collection'!$L$1:$L$1473,'Sales &amp; Collection'!$K$1:$K$1473,"cash collection*")-G107-SUMIFS('Daily Sale entry '!$AC$2:$AC$1501,'Daily Sale entry '!$X$2:$X$1501,"&lt;="&amp;$A107,'Daily Sale entry '!$Z$2:$Z$1501,"Cash deposit 现金存入"),2))</f>
        <v/>
      </c>
      <c r="I107" s="6">
        <f>IF($A107="","",ROUND(B107+D107+E107+F107+G107+H107,2))</f>
        <v/>
      </c>
      <c r="J107" s="6">
        <f>IF($A107="","",'AR &amp; AP'!K108)</f>
        <v/>
      </c>
      <c r="K107" s="6">
        <f>IF($A107="","",ROUND(I107-J107-SUMIFS('Daily Sale entry '!$AC$2:$AC$1501,'Daily Sale entry '!$X$2:$X$1501,"&lt;="&amp;$A107,'Daily Sale entry '!$Z$2:$Z$1501,"Other deposit 其他存入")+SUMIFS('Daily Sale entry '!$AD$2:$AD$1501,'Daily Sale entry '!$X$2:$X$1501,"&lt;="&amp;$A107)+('Opening Balance'!$B$8+SUM('Daily Sale entry '!$L$2:M107)-F107),2))</f>
        <v/>
      </c>
      <c r="L107">
        <f>IF($A107="","",IF(ABS('Sales &amp; Collection'!$B$1482)&gt;'Opening Balance'!$B$16,"ALERT 警报: Different "&amp;TEXT('Sales &amp; Collection'!$B$1482,"#,##0.00")&amp;" 差额过大",""))</f>
        <v/>
      </c>
    </row>
    <row r="108">
      <c r="A108" s="5">
        <f>IF('Daily Sale entry '!A108="","",'Daily Sale entry '!A108)</f>
        <v/>
      </c>
      <c r="B108" s="6">
        <f>IF($A108="","",ROUND('Opening Balance'!$B$4+SUM('Daily Sale entry '!$K$2:K108)+SUMIFS('Daily Sale entry '!$AC$2:$AC$1501,'Daily Sale entry '!$X$2:$X$1501,"&lt;="&amp;$A108)-SUMIFS('Daily Sale entry '!$AD$2:$AD$1501,'Daily Sale entry '!$X$2:$X$1501,"&lt;="&amp;$A108)+SUMPRODUCT(('Daily Sale entry '!$Q$2:$Q$1501="Collection 收款")*('Daily Sale entry '!$R$2:$R$1501="Cheque 支票")*('Daily Sale entry '!$V$2:$V$1501&lt;&gt;"")*('Daily Sale entry '!$V$2:$V$1501&lt;=$A108)*('Daily Sale entry '!$S$2:$S$1501-'Opening Balance'!$B$15*('Daily Sale entry '!$R$2:$R$1501="Cheque 支票")*('Daily Sale entry '!$S$2:$S$1501-TRUNC('Daily Sale entry '!$S$2:$S$1501))))-'Opening Balance'!$B$15*SUMPRODUCT(('Daily Sale entry '!$X$2:$X$1501&lt;=$A108)*('Daily Sale entry '!$Z$2:$Z$1501="Online collection 网上收款")*('Daily Sale entry '!$AA$2:$AA$1501&lt;&gt;"")*('Daily Sale entry '!$AC$2:$AC$1501-TRUNC('Daily Sale entry '!$AC$2:$AC$1501))),2))</f>
        <v/>
      </c>
      <c r="C108" s="8">
        <f>IF($A108="","",'Opening Balance'!$B$5+SUM('Daily Sale entry '!$I$2:I108)-SUMIFS('Daily Sale entry '!$AB$2:$AB$1501,'Daily Sale entry '!$X$2:$X$1501,"&lt;="&amp;$A108,'Daily Sale entry '!$Z$2:$Z$1501,"Cheque deposit 支票存入")-COUNTIFS('Daily Sale entry '!$Q$2:$Q$1501,"Collection 收款",'Daily Sale entry '!$R$2:$R$1501,"Cheque 支票",'Daily Sale entry '!$V$2:$V$1501,"&lt;="&amp;$A108))</f>
        <v/>
      </c>
      <c r="D108" s="6">
        <f>IF($A108="","",ROUND('Opening Balance'!$B$6+SUM('Daily Sale entry '!$J$2:J108)-SUMIFS('Daily Sale entry '!$AC$2:$AC$1501,'Daily Sale entry '!$X$2:$X$1501,"&lt;="&amp;$A108,'Daily Sale entry '!$Z$2:$Z$1501,"Cheque deposit 支票存入")-SUMPRODUCT(('Daily Sale entry '!$Q$2:$Q$1501="Collection 收款")*('Daily Sale entry '!$R$2:$R$1501="Cheque 支票")*('Daily Sale entry '!$V$2:$V$1501&lt;&gt;"")*('Daily Sale entry '!$V$2:$V$1501&lt;=$A108)*('Daily Sale entry '!$S$2:$S$1501-'Opening Balance'!$B$15*('Daily Sale entry '!$R$2:$R$1501="Cheque 支票")*('Daily Sale entry '!$S$2:$S$1501-TRUNC('Daily Sale entry '!$S$2:$S$1501)))),2))</f>
        <v/>
      </c>
      <c r="E108" s="6">
        <f>IF($A108="","",'Opening Balance'!$B$7)</f>
        <v/>
      </c>
      <c r="F108" s="6">
        <f>IF($A108="","",ROUND(SUMIFS('Daily Sale entry '!$L$2:$L$367,'Daily Sale entry '!$A$2:$A$367,"&gt;="&amp;DATE(YEAR($A108),MONTH($A108),1),'Daily Sale entry '!$A$2:$A$367,"&lt;="&amp;$A108)+SUMIFS('Daily Sale entry '!$M$2:$M$367,'Daily Sale entry '!$A$2:$A$367,"&gt;="&amp;DATE(YEAR($A108),MONTH($A108),1),'Daily Sale entry '!$A$2:$A$367,"&lt;="&amp;$A108)+IF(AND(YEAR($A108)=YEAR('Daily Sale entry '!$A$2),MONTH($A108)=MONTH('Daily Sale entry '!$A$2)),'Opening Balance'!$B$8,0),2))</f>
        <v/>
      </c>
      <c r="G108" s="6">
        <f>IF($A108="","",MOD(ROUND('Opening Balance'!$B$9+SUMIFS('Sales &amp; Collection'!$L$1:$L$1487,'Sales &amp; Collection'!$K$1:$K$1487,"cash collection*"),2),'Opening Balance'!$B$11))</f>
        <v/>
      </c>
      <c r="H108" s="6">
        <f>IF($A108="","",ROUND('Opening Balance'!$B$10+'Opening Balance'!$B$9+SUMIFS('Sales &amp; Collection'!$L$1:$L$1487,'Sales &amp; Collection'!$K$1:$K$1487,"cash collection*")-G108-SUMIFS('Daily Sale entry '!$AC$2:$AC$1501,'Daily Sale entry '!$X$2:$X$1501,"&lt;="&amp;$A108,'Daily Sale entry '!$Z$2:$Z$1501,"Cash deposit 现金存入"),2))</f>
        <v/>
      </c>
      <c r="I108" s="6">
        <f>IF($A108="","",ROUND(B108+D108+E108+F108+G108+H108,2))</f>
        <v/>
      </c>
      <c r="J108" s="6">
        <f>IF($A108="","",'AR &amp; AP'!K109)</f>
        <v/>
      </c>
      <c r="K108" s="6">
        <f>IF($A108="","",ROUND(I108-J108-SUMIFS('Daily Sale entry '!$AC$2:$AC$1501,'Daily Sale entry '!$X$2:$X$1501,"&lt;="&amp;$A108,'Daily Sale entry '!$Z$2:$Z$1501,"Other deposit 其他存入")+SUMIFS('Daily Sale entry '!$AD$2:$AD$1501,'Daily Sale entry '!$X$2:$X$1501,"&lt;="&amp;$A108)+('Opening Balance'!$B$8+SUM('Daily Sale entry '!$L$2:M108)-F108),2))</f>
        <v/>
      </c>
      <c r="L108">
        <f>IF($A108="","",IF(ABS('Sales &amp; Collection'!$B$1496)&gt;'Opening Balance'!$B$16,"ALERT 警报: Different "&amp;TEXT('Sales &amp; Collection'!$B$1496,"#,##0.00")&amp;" 差额过大",""))</f>
        <v/>
      </c>
    </row>
    <row r="109">
      <c r="A109" s="5">
        <f>IF('Daily Sale entry '!A109="","",'Daily Sale entry '!A109)</f>
        <v/>
      </c>
      <c r="B109" s="6">
        <f>IF($A109="","",ROUND('Opening Balance'!$B$4+SUM('Daily Sale entry '!$K$2:K109)+SUMIFS('Daily Sale entry '!$AC$2:$AC$1501,'Daily Sale entry '!$X$2:$X$1501,"&lt;="&amp;$A109)-SUMIFS('Daily Sale entry '!$AD$2:$AD$1501,'Daily Sale entry '!$X$2:$X$1501,"&lt;="&amp;$A109)+SUMPRODUCT(('Daily Sale entry '!$Q$2:$Q$1501="Collection 收款")*('Daily Sale entry '!$R$2:$R$1501="Cheque 支票")*('Daily Sale entry '!$V$2:$V$1501&lt;&gt;"")*('Daily Sale entry '!$V$2:$V$1501&lt;=$A109)*('Daily Sale entry '!$S$2:$S$1501-'Opening Balance'!$B$15*('Daily Sale entry '!$R$2:$R$1501="Cheque 支票")*('Daily Sale entry '!$S$2:$S$1501-TRUNC('Daily Sale entry '!$S$2:$S$1501))))-'Opening Balance'!$B$15*SUMPRODUCT(('Daily Sale entry '!$X$2:$X$1501&lt;=$A109)*('Daily Sale entry '!$Z$2:$Z$1501="Online collection 网上收款")*('Daily Sale entry '!$AA$2:$AA$1501&lt;&gt;"")*('Daily Sale entry '!$AC$2:$AC$1501-TRUNC('Daily Sale entry '!$AC$2:$AC$1501))),2))</f>
        <v/>
      </c>
      <c r="C109" s="8">
        <f>IF($A109="","",'Opening Balance'!$B$5+SUM('Daily Sale entry '!$I$2:I109)-SUMIFS('Daily Sale entry '!$AB$2:$AB$1501,'Daily Sale entry '!$X$2:$X$1501,"&lt;="&amp;$A109,'Daily Sale entry '!$Z$2:$Z$1501,"Cheque deposit 支票存入")-COUNTIFS('Daily Sale entry '!$Q$2:$Q$1501,"Collection 收款",'Daily Sale entry '!$R$2:$R$1501,"Cheque 支票",'Daily Sale entry '!$V$2:$V$1501,"&lt;="&amp;$A109))</f>
        <v/>
      </c>
      <c r="D109" s="6">
        <f>IF($A109="","",ROUND('Opening Balance'!$B$6+SUM('Daily Sale entry '!$J$2:J109)-SUMIFS('Daily Sale entry '!$AC$2:$AC$1501,'Daily Sale entry '!$X$2:$X$1501,"&lt;="&amp;$A109,'Daily Sale entry '!$Z$2:$Z$1501,"Cheque deposit 支票存入")-SUMPRODUCT(('Daily Sale entry '!$Q$2:$Q$1501="Collection 收款")*('Daily Sale entry '!$R$2:$R$1501="Cheque 支票")*('Daily Sale entry '!$V$2:$V$1501&lt;&gt;"")*('Daily Sale entry '!$V$2:$V$1501&lt;=$A109)*('Daily Sale entry '!$S$2:$S$1501-'Opening Balance'!$B$15*('Daily Sale entry '!$R$2:$R$1501="Cheque 支票")*('Daily Sale entry '!$S$2:$S$1501-TRUNC('Daily Sale entry '!$S$2:$S$1501)))),2))</f>
        <v/>
      </c>
      <c r="E109" s="6">
        <f>IF($A109="","",'Opening Balance'!$B$7)</f>
        <v/>
      </c>
      <c r="F109" s="6">
        <f>IF($A109="","",ROUND(SUMIFS('Daily Sale entry '!$L$2:$L$367,'Daily Sale entry '!$A$2:$A$367,"&gt;="&amp;DATE(YEAR($A109),MONTH($A109),1),'Daily Sale entry '!$A$2:$A$367,"&lt;="&amp;$A109)+SUMIFS('Daily Sale entry '!$M$2:$M$367,'Daily Sale entry '!$A$2:$A$367,"&gt;="&amp;DATE(YEAR($A109),MONTH($A109),1),'Daily Sale entry '!$A$2:$A$367,"&lt;="&amp;$A109)+IF(AND(YEAR($A109)=YEAR('Daily Sale entry '!$A$2),MONTH($A109)=MONTH('Daily Sale entry '!$A$2)),'Opening Balance'!$B$8,0),2))</f>
        <v/>
      </c>
      <c r="G109" s="6">
        <f>IF($A109="","",MOD(ROUND('Opening Balance'!$B$9+SUMIFS('Sales &amp; Collection'!$L$1:$L$1501,'Sales &amp; Collection'!$K$1:$K$1501,"cash collection*"),2),'Opening Balance'!$B$11))</f>
        <v/>
      </c>
      <c r="H109" s="6">
        <f>IF($A109="","",ROUND('Opening Balance'!$B$10+'Opening Balance'!$B$9+SUMIFS('Sales &amp; Collection'!$L$1:$L$1501,'Sales &amp; Collection'!$K$1:$K$1501,"cash collection*")-G109-SUMIFS('Daily Sale entry '!$AC$2:$AC$1501,'Daily Sale entry '!$X$2:$X$1501,"&lt;="&amp;$A109,'Daily Sale entry '!$Z$2:$Z$1501,"Cash deposit 现金存入"),2))</f>
        <v/>
      </c>
      <c r="I109" s="6">
        <f>IF($A109="","",ROUND(B109+D109+E109+F109+G109+H109,2))</f>
        <v/>
      </c>
      <c r="J109" s="6">
        <f>IF($A109="","",'AR &amp; AP'!K110)</f>
        <v/>
      </c>
      <c r="K109" s="6">
        <f>IF($A109="","",ROUND(I109-J109-SUMIFS('Daily Sale entry '!$AC$2:$AC$1501,'Daily Sale entry '!$X$2:$X$1501,"&lt;="&amp;$A109,'Daily Sale entry '!$Z$2:$Z$1501,"Other deposit 其他存入")+SUMIFS('Daily Sale entry '!$AD$2:$AD$1501,'Daily Sale entry '!$X$2:$X$1501,"&lt;="&amp;$A109)+('Opening Balance'!$B$8+SUM('Daily Sale entry '!$L$2:M109)-F109),2))</f>
        <v/>
      </c>
      <c r="L109">
        <f>IF($A109="","",IF(ABS('Sales &amp; Collection'!$B$1510)&gt;'Opening Balance'!$B$16,"ALERT 警报: Different "&amp;TEXT('Sales &amp; Collection'!$B$1510,"#,##0.00")&amp;" 差额过大",""))</f>
        <v/>
      </c>
    </row>
    <row r="110">
      <c r="A110" s="5">
        <f>IF('Daily Sale entry '!A110="","",'Daily Sale entry '!A110)</f>
        <v/>
      </c>
      <c r="B110" s="6">
        <f>IF($A110="","",ROUND('Opening Balance'!$B$4+SUM('Daily Sale entry '!$K$2:K110)+SUMIFS('Daily Sale entry '!$AC$2:$AC$1501,'Daily Sale entry '!$X$2:$X$1501,"&lt;="&amp;$A110)-SUMIFS('Daily Sale entry '!$AD$2:$AD$1501,'Daily Sale entry '!$X$2:$X$1501,"&lt;="&amp;$A110)+SUMPRODUCT(('Daily Sale entry '!$Q$2:$Q$1501="Collection 收款")*('Daily Sale entry '!$R$2:$R$1501="Cheque 支票")*('Daily Sale entry '!$V$2:$V$1501&lt;&gt;"")*('Daily Sale entry '!$V$2:$V$1501&lt;=$A110)*('Daily Sale entry '!$S$2:$S$1501-'Opening Balance'!$B$15*('Daily Sale entry '!$R$2:$R$1501="Cheque 支票")*('Daily Sale entry '!$S$2:$S$1501-TRUNC('Daily Sale entry '!$S$2:$S$1501))))-'Opening Balance'!$B$15*SUMPRODUCT(('Daily Sale entry '!$X$2:$X$1501&lt;=$A110)*('Daily Sale entry '!$Z$2:$Z$1501="Online collection 网上收款")*('Daily Sale entry '!$AA$2:$AA$1501&lt;&gt;"")*('Daily Sale entry '!$AC$2:$AC$1501-TRUNC('Daily Sale entry '!$AC$2:$AC$1501))),2))</f>
        <v/>
      </c>
      <c r="C110" s="8">
        <f>IF($A110="","",'Opening Balance'!$B$5+SUM('Daily Sale entry '!$I$2:I110)-SUMIFS('Daily Sale entry '!$AB$2:$AB$1501,'Daily Sale entry '!$X$2:$X$1501,"&lt;="&amp;$A110,'Daily Sale entry '!$Z$2:$Z$1501,"Cheque deposit 支票存入")-COUNTIFS('Daily Sale entry '!$Q$2:$Q$1501,"Collection 收款",'Daily Sale entry '!$R$2:$R$1501,"Cheque 支票",'Daily Sale entry '!$V$2:$V$1501,"&lt;="&amp;$A110))</f>
        <v/>
      </c>
      <c r="D110" s="6">
        <f>IF($A110="","",ROUND('Opening Balance'!$B$6+SUM('Daily Sale entry '!$J$2:J110)-SUMIFS('Daily Sale entry '!$AC$2:$AC$1501,'Daily Sale entry '!$X$2:$X$1501,"&lt;="&amp;$A110,'Daily Sale entry '!$Z$2:$Z$1501,"Cheque deposit 支票存入")-SUMPRODUCT(('Daily Sale entry '!$Q$2:$Q$1501="Collection 收款")*('Daily Sale entry '!$R$2:$R$1501="Cheque 支票")*('Daily Sale entry '!$V$2:$V$1501&lt;&gt;"")*('Daily Sale entry '!$V$2:$V$1501&lt;=$A110)*('Daily Sale entry '!$S$2:$S$1501-'Opening Balance'!$B$15*('Daily Sale entry '!$R$2:$R$1501="Cheque 支票")*('Daily Sale entry '!$S$2:$S$1501-TRUNC('Daily Sale entry '!$S$2:$S$1501)))),2))</f>
        <v/>
      </c>
      <c r="E110" s="6">
        <f>IF($A110="","",'Opening Balance'!$B$7)</f>
        <v/>
      </c>
      <c r="F110" s="6">
        <f>IF($A110="","",ROUND(SUMIFS('Daily Sale entry '!$L$2:$L$367,'Daily Sale entry '!$A$2:$A$367,"&gt;="&amp;DATE(YEAR($A110),MONTH($A110),1),'Daily Sale entry '!$A$2:$A$367,"&lt;="&amp;$A110)+SUMIFS('Daily Sale entry '!$M$2:$M$367,'Daily Sale entry '!$A$2:$A$367,"&gt;="&amp;DATE(YEAR($A110),MONTH($A110),1),'Daily Sale entry '!$A$2:$A$367,"&lt;="&amp;$A110)+IF(AND(YEAR($A110)=YEAR('Daily Sale entry '!$A$2),MONTH($A110)=MONTH('Daily Sale entry '!$A$2)),'Opening Balance'!$B$8,0),2))</f>
        <v/>
      </c>
      <c r="G110" s="6">
        <f>IF($A110="","",MOD(ROUND('Opening Balance'!$B$9+SUMIFS('Sales &amp; Collection'!$L$1:$L$1515,'Sales &amp; Collection'!$K$1:$K$1515,"cash collection*"),2),'Opening Balance'!$B$11))</f>
        <v/>
      </c>
      <c r="H110" s="6">
        <f>IF($A110="","",ROUND('Opening Balance'!$B$10+'Opening Balance'!$B$9+SUMIFS('Sales &amp; Collection'!$L$1:$L$1515,'Sales &amp; Collection'!$K$1:$K$1515,"cash collection*")-G110-SUMIFS('Daily Sale entry '!$AC$2:$AC$1501,'Daily Sale entry '!$X$2:$X$1501,"&lt;="&amp;$A110,'Daily Sale entry '!$Z$2:$Z$1501,"Cash deposit 现金存入"),2))</f>
        <v/>
      </c>
      <c r="I110" s="6">
        <f>IF($A110="","",ROUND(B110+D110+E110+F110+G110+H110,2))</f>
        <v/>
      </c>
      <c r="J110" s="6">
        <f>IF($A110="","",'AR &amp; AP'!K111)</f>
        <v/>
      </c>
      <c r="K110" s="6">
        <f>IF($A110="","",ROUND(I110-J110-SUMIFS('Daily Sale entry '!$AC$2:$AC$1501,'Daily Sale entry '!$X$2:$X$1501,"&lt;="&amp;$A110,'Daily Sale entry '!$Z$2:$Z$1501,"Other deposit 其他存入")+SUMIFS('Daily Sale entry '!$AD$2:$AD$1501,'Daily Sale entry '!$X$2:$X$1501,"&lt;="&amp;$A110)+('Opening Balance'!$B$8+SUM('Daily Sale entry '!$L$2:M110)-F110),2))</f>
        <v/>
      </c>
      <c r="L110">
        <f>IF($A110="","",IF(ABS('Sales &amp; Collection'!$B$1524)&gt;'Opening Balance'!$B$16,"ALERT 警报: Different "&amp;TEXT('Sales &amp; Collection'!$B$1524,"#,##0.00")&amp;" 差额过大",""))</f>
        <v/>
      </c>
    </row>
    <row r="111">
      <c r="A111" s="5">
        <f>IF('Daily Sale entry '!A111="","",'Daily Sale entry '!A111)</f>
        <v/>
      </c>
      <c r="B111" s="6">
        <f>IF($A111="","",ROUND('Opening Balance'!$B$4+SUM('Daily Sale entry '!$K$2:K111)+SUMIFS('Daily Sale entry '!$AC$2:$AC$1501,'Daily Sale entry '!$X$2:$X$1501,"&lt;="&amp;$A111)-SUMIFS('Daily Sale entry '!$AD$2:$AD$1501,'Daily Sale entry '!$X$2:$X$1501,"&lt;="&amp;$A111)+SUMPRODUCT(('Daily Sale entry '!$Q$2:$Q$1501="Collection 收款")*('Daily Sale entry '!$R$2:$R$1501="Cheque 支票")*('Daily Sale entry '!$V$2:$V$1501&lt;&gt;"")*('Daily Sale entry '!$V$2:$V$1501&lt;=$A111)*('Daily Sale entry '!$S$2:$S$1501-'Opening Balance'!$B$15*('Daily Sale entry '!$R$2:$R$1501="Cheque 支票")*('Daily Sale entry '!$S$2:$S$1501-TRUNC('Daily Sale entry '!$S$2:$S$1501))))-'Opening Balance'!$B$15*SUMPRODUCT(('Daily Sale entry '!$X$2:$X$1501&lt;=$A111)*('Daily Sale entry '!$Z$2:$Z$1501="Online collection 网上收款")*('Daily Sale entry '!$AA$2:$AA$1501&lt;&gt;"")*('Daily Sale entry '!$AC$2:$AC$1501-TRUNC('Daily Sale entry '!$AC$2:$AC$1501))),2))</f>
        <v/>
      </c>
      <c r="C111" s="8">
        <f>IF($A111="","",'Opening Balance'!$B$5+SUM('Daily Sale entry '!$I$2:I111)-SUMIFS('Daily Sale entry '!$AB$2:$AB$1501,'Daily Sale entry '!$X$2:$X$1501,"&lt;="&amp;$A111,'Daily Sale entry '!$Z$2:$Z$1501,"Cheque deposit 支票存入")-COUNTIFS('Daily Sale entry '!$Q$2:$Q$1501,"Collection 收款",'Daily Sale entry '!$R$2:$R$1501,"Cheque 支票",'Daily Sale entry '!$V$2:$V$1501,"&lt;="&amp;$A111))</f>
        <v/>
      </c>
      <c r="D111" s="6">
        <f>IF($A111="","",ROUND('Opening Balance'!$B$6+SUM('Daily Sale entry '!$J$2:J111)-SUMIFS('Daily Sale entry '!$AC$2:$AC$1501,'Daily Sale entry '!$X$2:$X$1501,"&lt;="&amp;$A111,'Daily Sale entry '!$Z$2:$Z$1501,"Cheque deposit 支票存入")-SUMPRODUCT(('Daily Sale entry '!$Q$2:$Q$1501="Collection 收款")*('Daily Sale entry '!$R$2:$R$1501="Cheque 支票")*('Daily Sale entry '!$V$2:$V$1501&lt;&gt;"")*('Daily Sale entry '!$V$2:$V$1501&lt;=$A111)*('Daily Sale entry '!$S$2:$S$1501-'Opening Balance'!$B$15*('Daily Sale entry '!$R$2:$R$1501="Cheque 支票")*('Daily Sale entry '!$S$2:$S$1501-TRUNC('Daily Sale entry '!$S$2:$S$1501)))),2))</f>
        <v/>
      </c>
      <c r="E111" s="6">
        <f>IF($A111="","",'Opening Balance'!$B$7)</f>
        <v/>
      </c>
      <c r="F111" s="6">
        <f>IF($A111="","",ROUND(SUMIFS('Daily Sale entry '!$L$2:$L$367,'Daily Sale entry '!$A$2:$A$367,"&gt;="&amp;DATE(YEAR($A111),MONTH($A111),1),'Daily Sale entry '!$A$2:$A$367,"&lt;="&amp;$A111)+SUMIFS('Daily Sale entry '!$M$2:$M$367,'Daily Sale entry '!$A$2:$A$367,"&gt;="&amp;DATE(YEAR($A111),MONTH($A111),1),'Daily Sale entry '!$A$2:$A$367,"&lt;="&amp;$A111)+IF(AND(YEAR($A111)=YEAR('Daily Sale entry '!$A$2),MONTH($A111)=MONTH('Daily Sale entry '!$A$2)),'Opening Balance'!$B$8,0),2))</f>
        <v/>
      </c>
      <c r="G111" s="6">
        <f>IF($A111="","",MOD(ROUND('Opening Balance'!$B$9+SUMIFS('Sales &amp; Collection'!$L$1:$L$1529,'Sales &amp; Collection'!$K$1:$K$1529,"cash collection*"),2),'Opening Balance'!$B$11))</f>
        <v/>
      </c>
      <c r="H111" s="6">
        <f>IF($A111="","",ROUND('Opening Balance'!$B$10+'Opening Balance'!$B$9+SUMIFS('Sales &amp; Collection'!$L$1:$L$1529,'Sales &amp; Collection'!$K$1:$K$1529,"cash collection*")-G111-SUMIFS('Daily Sale entry '!$AC$2:$AC$1501,'Daily Sale entry '!$X$2:$X$1501,"&lt;="&amp;$A111,'Daily Sale entry '!$Z$2:$Z$1501,"Cash deposit 现金存入"),2))</f>
        <v/>
      </c>
      <c r="I111" s="6">
        <f>IF($A111="","",ROUND(B111+D111+E111+F111+G111+H111,2))</f>
        <v/>
      </c>
      <c r="J111" s="6">
        <f>IF($A111="","",'AR &amp; AP'!K112)</f>
        <v/>
      </c>
      <c r="K111" s="6">
        <f>IF($A111="","",ROUND(I111-J111-SUMIFS('Daily Sale entry '!$AC$2:$AC$1501,'Daily Sale entry '!$X$2:$X$1501,"&lt;="&amp;$A111,'Daily Sale entry '!$Z$2:$Z$1501,"Other deposit 其他存入")+SUMIFS('Daily Sale entry '!$AD$2:$AD$1501,'Daily Sale entry '!$X$2:$X$1501,"&lt;="&amp;$A111)+('Opening Balance'!$B$8+SUM('Daily Sale entry '!$L$2:M111)-F111),2))</f>
        <v/>
      </c>
      <c r="L111">
        <f>IF($A111="","",IF(ABS('Sales &amp; Collection'!$B$1538)&gt;'Opening Balance'!$B$16,"ALERT 警报: Different "&amp;TEXT('Sales &amp; Collection'!$B$1538,"#,##0.00")&amp;" 差额过大",""))</f>
        <v/>
      </c>
    </row>
    <row r="112">
      <c r="A112" s="5">
        <f>IF('Daily Sale entry '!A112="","",'Daily Sale entry '!A112)</f>
        <v/>
      </c>
      <c r="B112" s="6">
        <f>IF($A112="","",ROUND('Opening Balance'!$B$4+SUM('Daily Sale entry '!$K$2:K112)+SUMIFS('Daily Sale entry '!$AC$2:$AC$1501,'Daily Sale entry '!$X$2:$X$1501,"&lt;="&amp;$A112)-SUMIFS('Daily Sale entry '!$AD$2:$AD$1501,'Daily Sale entry '!$X$2:$X$1501,"&lt;="&amp;$A112)+SUMPRODUCT(('Daily Sale entry '!$Q$2:$Q$1501="Collection 收款")*('Daily Sale entry '!$R$2:$R$1501="Cheque 支票")*('Daily Sale entry '!$V$2:$V$1501&lt;&gt;"")*('Daily Sale entry '!$V$2:$V$1501&lt;=$A112)*('Daily Sale entry '!$S$2:$S$1501-'Opening Balance'!$B$15*('Daily Sale entry '!$R$2:$R$1501="Cheque 支票")*('Daily Sale entry '!$S$2:$S$1501-TRUNC('Daily Sale entry '!$S$2:$S$1501))))-'Opening Balance'!$B$15*SUMPRODUCT(('Daily Sale entry '!$X$2:$X$1501&lt;=$A112)*('Daily Sale entry '!$Z$2:$Z$1501="Online collection 网上收款")*('Daily Sale entry '!$AA$2:$AA$1501&lt;&gt;"")*('Daily Sale entry '!$AC$2:$AC$1501-TRUNC('Daily Sale entry '!$AC$2:$AC$1501))),2))</f>
        <v/>
      </c>
      <c r="C112" s="8">
        <f>IF($A112="","",'Opening Balance'!$B$5+SUM('Daily Sale entry '!$I$2:I112)-SUMIFS('Daily Sale entry '!$AB$2:$AB$1501,'Daily Sale entry '!$X$2:$X$1501,"&lt;="&amp;$A112,'Daily Sale entry '!$Z$2:$Z$1501,"Cheque deposit 支票存入")-COUNTIFS('Daily Sale entry '!$Q$2:$Q$1501,"Collection 收款",'Daily Sale entry '!$R$2:$R$1501,"Cheque 支票",'Daily Sale entry '!$V$2:$V$1501,"&lt;="&amp;$A112))</f>
        <v/>
      </c>
      <c r="D112" s="6">
        <f>IF($A112="","",ROUND('Opening Balance'!$B$6+SUM('Daily Sale entry '!$J$2:J112)-SUMIFS('Daily Sale entry '!$AC$2:$AC$1501,'Daily Sale entry '!$X$2:$X$1501,"&lt;="&amp;$A112,'Daily Sale entry '!$Z$2:$Z$1501,"Cheque deposit 支票存入")-SUMPRODUCT(('Daily Sale entry '!$Q$2:$Q$1501="Collection 收款")*('Daily Sale entry '!$R$2:$R$1501="Cheque 支票")*('Daily Sale entry '!$V$2:$V$1501&lt;&gt;"")*('Daily Sale entry '!$V$2:$V$1501&lt;=$A112)*('Daily Sale entry '!$S$2:$S$1501-'Opening Balance'!$B$15*('Daily Sale entry '!$R$2:$R$1501="Cheque 支票")*('Daily Sale entry '!$S$2:$S$1501-TRUNC('Daily Sale entry '!$S$2:$S$1501)))),2))</f>
        <v/>
      </c>
      <c r="E112" s="6">
        <f>IF($A112="","",'Opening Balance'!$B$7)</f>
        <v/>
      </c>
      <c r="F112" s="6">
        <f>IF($A112="","",ROUND(SUMIFS('Daily Sale entry '!$L$2:$L$367,'Daily Sale entry '!$A$2:$A$367,"&gt;="&amp;DATE(YEAR($A112),MONTH($A112),1),'Daily Sale entry '!$A$2:$A$367,"&lt;="&amp;$A112)+SUMIFS('Daily Sale entry '!$M$2:$M$367,'Daily Sale entry '!$A$2:$A$367,"&gt;="&amp;DATE(YEAR($A112),MONTH($A112),1),'Daily Sale entry '!$A$2:$A$367,"&lt;="&amp;$A112)+IF(AND(YEAR($A112)=YEAR('Daily Sale entry '!$A$2),MONTH($A112)=MONTH('Daily Sale entry '!$A$2)),'Opening Balance'!$B$8,0),2))</f>
        <v/>
      </c>
      <c r="G112" s="6">
        <f>IF($A112="","",MOD(ROUND('Opening Balance'!$B$9+SUMIFS('Sales &amp; Collection'!$L$1:$L$1543,'Sales &amp; Collection'!$K$1:$K$1543,"cash collection*"),2),'Opening Balance'!$B$11))</f>
        <v/>
      </c>
      <c r="H112" s="6">
        <f>IF($A112="","",ROUND('Opening Balance'!$B$10+'Opening Balance'!$B$9+SUMIFS('Sales &amp; Collection'!$L$1:$L$1543,'Sales &amp; Collection'!$K$1:$K$1543,"cash collection*")-G112-SUMIFS('Daily Sale entry '!$AC$2:$AC$1501,'Daily Sale entry '!$X$2:$X$1501,"&lt;="&amp;$A112,'Daily Sale entry '!$Z$2:$Z$1501,"Cash deposit 现金存入"),2))</f>
        <v/>
      </c>
      <c r="I112" s="6">
        <f>IF($A112="","",ROUND(B112+D112+E112+F112+G112+H112,2))</f>
        <v/>
      </c>
      <c r="J112" s="6">
        <f>IF($A112="","",'AR &amp; AP'!K113)</f>
        <v/>
      </c>
      <c r="K112" s="6">
        <f>IF($A112="","",ROUND(I112-J112-SUMIFS('Daily Sale entry '!$AC$2:$AC$1501,'Daily Sale entry '!$X$2:$X$1501,"&lt;="&amp;$A112,'Daily Sale entry '!$Z$2:$Z$1501,"Other deposit 其他存入")+SUMIFS('Daily Sale entry '!$AD$2:$AD$1501,'Daily Sale entry '!$X$2:$X$1501,"&lt;="&amp;$A112)+('Opening Balance'!$B$8+SUM('Daily Sale entry '!$L$2:M112)-F112),2))</f>
        <v/>
      </c>
      <c r="L112">
        <f>IF($A112="","",IF(ABS('Sales &amp; Collection'!$B$1552)&gt;'Opening Balance'!$B$16,"ALERT 警报: Different "&amp;TEXT('Sales &amp; Collection'!$B$1552,"#,##0.00")&amp;" 差额过大",""))</f>
        <v/>
      </c>
    </row>
    <row r="113">
      <c r="A113" s="5">
        <f>IF('Daily Sale entry '!A113="","",'Daily Sale entry '!A113)</f>
        <v/>
      </c>
      <c r="B113" s="6">
        <f>IF($A113="","",ROUND('Opening Balance'!$B$4+SUM('Daily Sale entry '!$K$2:K113)+SUMIFS('Daily Sale entry '!$AC$2:$AC$1501,'Daily Sale entry '!$X$2:$X$1501,"&lt;="&amp;$A113)-SUMIFS('Daily Sale entry '!$AD$2:$AD$1501,'Daily Sale entry '!$X$2:$X$1501,"&lt;="&amp;$A113)+SUMPRODUCT(('Daily Sale entry '!$Q$2:$Q$1501="Collection 收款")*('Daily Sale entry '!$R$2:$R$1501="Cheque 支票")*('Daily Sale entry '!$V$2:$V$1501&lt;&gt;"")*('Daily Sale entry '!$V$2:$V$1501&lt;=$A113)*('Daily Sale entry '!$S$2:$S$1501-'Opening Balance'!$B$15*('Daily Sale entry '!$R$2:$R$1501="Cheque 支票")*('Daily Sale entry '!$S$2:$S$1501-TRUNC('Daily Sale entry '!$S$2:$S$1501))))-'Opening Balance'!$B$15*SUMPRODUCT(('Daily Sale entry '!$X$2:$X$1501&lt;=$A113)*('Daily Sale entry '!$Z$2:$Z$1501="Online collection 网上收款")*('Daily Sale entry '!$AA$2:$AA$1501&lt;&gt;"")*('Daily Sale entry '!$AC$2:$AC$1501-TRUNC('Daily Sale entry '!$AC$2:$AC$1501))),2))</f>
        <v/>
      </c>
      <c r="C113" s="8">
        <f>IF($A113="","",'Opening Balance'!$B$5+SUM('Daily Sale entry '!$I$2:I113)-SUMIFS('Daily Sale entry '!$AB$2:$AB$1501,'Daily Sale entry '!$X$2:$X$1501,"&lt;="&amp;$A113,'Daily Sale entry '!$Z$2:$Z$1501,"Cheque deposit 支票存入")-COUNTIFS('Daily Sale entry '!$Q$2:$Q$1501,"Collection 收款",'Daily Sale entry '!$R$2:$R$1501,"Cheque 支票",'Daily Sale entry '!$V$2:$V$1501,"&lt;="&amp;$A113))</f>
        <v/>
      </c>
      <c r="D113" s="6">
        <f>IF($A113="","",ROUND('Opening Balance'!$B$6+SUM('Daily Sale entry '!$J$2:J113)-SUMIFS('Daily Sale entry '!$AC$2:$AC$1501,'Daily Sale entry '!$X$2:$X$1501,"&lt;="&amp;$A113,'Daily Sale entry '!$Z$2:$Z$1501,"Cheque deposit 支票存入")-SUMPRODUCT(('Daily Sale entry '!$Q$2:$Q$1501="Collection 收款")*('Daily Sale entry '!$R$2:$R$1501="Cheque 支票")*('Daily Sale entry '!$V$2:$V$1501&lt;&gt;"")*('Daily Sale entry '!$V$2:$V$1501&lt;=$A113)*('Daily Sale entry '!$S$2:$S$1501-'Opening Balance'!$B$15*('Daily Sale entry '!$R$2:$R$1501="Cheque 支票")*('Daily Sale entry '!$S$2:$S$1501-TRUNC('Daily Sale entry '!$S$2:$S$1501)))),2))</f>
        <v/>
      </c>
      <c r="E113" s="6">
        <f>IF($A113="","",'Opening Balance'!$B$7)</f>
        <v/>
      </c>
      <c r="F113" s="6">
        <f>IF($A113="","",ROUND(SUMIFS('Daily Sale entry '!$L$2:$L$367,'Daily Sale entry '!$A$2:$A$367,"&gt;="&amp;DATE(YEAR($A113),MONTH($A113),1),'Daily Sale entry '!$A$2:$A$367,"&lt;="&amp;$A113)+SUMIFS('Daily Sale entry '!$M$2:$M$367,'Daily Sale entry '!$A$2:$A$367,"&gt;="&amp;DATE(YEAR($A113),MONTH($A113),1),'Daily Sale entry '!$A$2:$A$367,"&lt;="&amp;$A113)+IF(AND(YEAR($A113)=YEAR('Daily Sale entry '!$A$2),MONTH($A113)=MONTH('Daily Sale entry '!$A$2)),'Opening Balance'!$B$8,0),2))</f>
        <v/>
      </c>
      <c r="G113" s="6">
        <f>IF($A113="","",MOD(ROUND('Opening Balance'!$B$9+SUMIFS('Sales &amp; Collection'!$L$1:$L$1557,'Sales &amp; Collection'!$K$1:$K$1557,"cash collection*"),2),'Opening Balance'!$B$11))</f>
        <v/>
      </c>
      <c r="H113" s="6">
        <f>IF($A113="","",ROUND('Opening Balance'!$B$10+'Opening Balance'!$B$9+SUMIFS('Sales &amp; Collection'!$L$1:$L$1557,'Sales &amp; Collection'!$K$1:$K$1557,"cash collection*")-G113-SUMIFS('Daily Sale entry '!$AC$2:$AC$1501,'Daily Sale entry '!$X$2:$X$1501,"&lt;="&amp;$A113,'Daily Sale entry '!$Z$2:$Z$1501,"Cash deposit 现金存入"),2))</f>
        <v/>
      </c>
      <c r="I113" s="6">
        <f>IF($A113="","",ROUND(B113+D113+E113+F113+G113+H113,2))</f>
        <v/>
      </c>
      <c r="J113" s="6">
        <f>IF($A113="","",'AR &amp; AP'!K114)</f>
        <v/>
      </c>
      <c r="K113" s="6">
        <f>IF($A113="","",ROUND(I113-J113-SUMIFS('Daily Sale entry '!$AC$2:$AC$1501,'Daily Sale entry '!$X$2:$X$1501,"&lt;="&amp;$A113,'Daily Sale entry '!$Z$2:$Z$1501,"Other deposit 其他存入")+SUMIFS('Daily Sale entry '!$AD$2:$AD$1501,'Daily Sale entry '!$X$2:$X$1501,"&lt;="&amp;$A113)+('Opening Balance'!$B$8+SUM('Daily Sale entry '!$L$2:M113)-F113),2))</f>
        <v/>
      </c>
      <c r="L113">
        <f>IF($A113="","",IF(ABS('Sales &amp; Collection'!$B$1566)&gt;'Opening Balance'!$B$16,"ALERT 警报: Different "&amp;TEXT('Sales &amp; Collection'!$B$1566,"#,##0.00")&amp;" 差额过大",""))</f>
        <v/>
      </c>
    </row>
    <row r="114">
      <c r="A114" s="5">
        <f>IF('Daily Sale entry '!A114="","",'Daily Sale entry '!A114)</f>
        <v/>
      </c>
      <c r="B114" s="6">
        <f>IF($A114="","",ROUND('Opening Balance'!$B$4+SUM('Daily Sale entry '!$K$2:K114)+SUMIFS('Daily Sale entry '!$AC$2:$AC$1501,'Daily Sale entry '!$X$2:$X$1501,"&lt;="&amp;$A114)-SUMIFS('Daily Sale entry '!$AD$2:$AD$1501,'Daily Sale entry '!$X$2:$X$1501,"&lt;="&amp;$A114)+SUMPRODUCT(('Daily Sale entry '!$Q$2:$Q$1501="Collection 收款")*('Daily Sale entry '!$R$2:$R$1501="Cheque 支票")*('Daily Sale entry '!$V$2:$V$1501&lt;&gt;"")*('Daily Sale entry '!$V$2:$V$1501&lt;=$A114)*('Daily Sale entry '!$S$2:$S$1501-'Opening Balance'!$B$15*('Daily Sale entry '!$R$2:$R$1501="Cheque 支票")*('Daily Sale entry '!$S$2:$S$1501-TRUNC('Daily Sale entry '!$S$2:$S$1501))))-'Opening Balance'!$B$15*SUMPRODUCT(('Daily Sale entry '!$X$2:$X$1501&lt;=$A114)*('Daily Sale entry '!$Z$2:$Z$1501="Online collection 网上收款")*('Daily Sale entry '!$AA$2:$AA$1501&lt;&gt;"")*('Daily Sale entry '!$AC$2:$AC$1501-TRUNC('Daily Sale entry '!$AC$2:$AC$1501))),2))</f>
        <v/>
      </c>
      <c r="C114" s="8">
        <f>IF($A114="","",'Opening Balance'!$B$5+SUM('Daily Sale entry '!$I$2:I114)-SUMIFS('Daily Sale entry '!$AB$2:$AB$1501,'Daily Sale entry '!$X$2:$X$1501,"&lt;="&amp;$A114,'Daily Sale entry '!$Z$2:$Z$1501,"Cheque deposit 支票存入")-COUNTIFS('Daily Sale entry '!$Q$2:$Q$1501,"Collection 收款",'Daily Sale entry '!$R$2:$R$1501,"Cheque 支票",'Daily Sale entry '!$V$2:$V$1501,"&lt;="&amp;$A114))</f>
        <v/>
      </c>
      <c r="D114" s="6">
        <f>IF($A114="","",ROUND('Opening Balance'!$B$6+SUM('Daily Sale entry '!$J$2:J114)-SUMIFS('Daily Sale entry '!$AC$2:$AC$1501,'Daily Sale entry '!$X$2:$X$1501,"&lt;="&amp;$A114,'Daily Sale entry '!$Z$2:$Z$1501,"Cheque deposit 支票存入")-SUMPRODUCT(('Daily Sale entry '!$Q$2:$Q$1501="Collection 收款")*('Daily Sale entry '!$R$2:$R$1501="Cheque 支票")*('Daily Sale entry '!$V$2:$V$1501&lt;&gt;"")*('Daily Sale entry '!$V$2:$V$1501&lt;=$A114)*('Daily Sale entry '!$S$2:$S$1501-'Opening Balance'!$B$15*('Daily Sale entry '!$R$2:$R$1501="Cheque 支票")*('Daily Sale entry '!$S$2:$S$1501-TRUNC('Daily Sale entry '!$S$2:$S$1501)))),2))</f>
        <v/>
      </c>
      <c r="E114" s="6">
        <f>IF($A114="","",'Opening Balance'!$B$7)</f>
        <v/>
      </c>
      <c r="F114" s="6">
        <f>IF($A114="","",ROUND(SUMIFS('Daily Sale entry '!$L$2:$L$367,'Daily Sale entry '!$A$2:$A$367,"&gt;="&amp;DATE(YEAR($A114),MONTH($A114),1),'Daily Sale entry '!$A$2:$A$367,"&lt;="&amp;$A114)+SUMIFS('Daily Sale entry '!$M$2:$M$367,'Daily Sale entry '!$A$2:$A$367,"&gt;="&amp;DATE(YEAR($A114),MONTH($A114),1),'Daily Sale entry '!$A$2:$A$367,"&lt;="&amp;$A114)+IF(AND(YEAR($A114)=YEAR('Daily Sale entry '!$A$2),MONTH($A114)=MONTH('Daily Sale entry '!$A$2)),'Opening Balance'!$B$8,0),2))</f>
        <v/>
      </c>
      <c r="G114" s="6">
        <f>IF($A114="","",MOD(ROUND('Opening Balance'!$B$9+SUMIFS('Sales &amp; Collection'!$L$1:$L$1571,'Sales &amp; Collection'!$K$1:$K$1571,"cash collection*"),2),'Opening Balance'!$B$11))</f>
        <v/>
      </c>
      <c r="H114" s="6">
        <f>IF($A114="","",ROUND('Opening Balance'!$B$10+'Opening Balance'!$B$9+SUMIFS('Sales &amp; Collection'!$L$1:$L$1571,'Sales &amp; Collection'!$K$1:$K$1571,"cash collection*")-G114-SUMIFS('Daily Sale entry '!$AC$2:$AC$1501,'Daily Sale entry '!$X$2:$X$1501,"&lt;="&amp;$A114,'Daily Sale entry '!$Z$2:$Z$1501,"Cash deposit 现金存入"),2))</f>
        <v/>
      </c>
      <c r="I114" s="6">
        <f>IF($A114="","",ROUND(B114+D114+E114+F114+G114+H114,2))</f>
        <v/>
      </c>
      <c r="J114" s="6">
        <f>IF($A114="","",'AR &amp; AP'!K115)</f>
        <v/>
      </c>
      <c r="K114" s="6">
        <f>IF($A114="","",ROUND(I114-J114-SUMIFS('Daily Sale entry '!$AC$2:$AC$1501,'Daily Sale entry '!$X$2:$X$1501,"&lt;="&amp;$A114,'Daily Sale entry '!$Z$2:$Z$1501,"Other deposit 其他存入")+SUMIFS('Daily Sale entry '!$AD$2:$AD$1501,'Daily Sale entry '!$X$2:$X$1501,"&lt;="&amp;$A114)+('Opening Balance'!$B$8+SUM('Daily Sale entry '!$L$2:M114)-F114),2))</f>
        <v/>
      </c>
      <c r="L114">
        <f>IF($A114="","",IF(ABS('Sales &amp; Collection'!$B$1580)&gt;'Opening Balance'!$B$16,"ALERT 警报: Different "&amp;TEXT('Sales &amp; Collection'!$B$1580,"#,##0.00")&amp;" 差额过大",""))</f>
        <v/>
      </c>
    </row>
    <row r="115">
      <c r="A115" s="5">
        <f>IF('Daily Sale entry '!A115="","",'Daily Sale entry '!A115)</f>
        <v/>
      </c>
      <c r="B115" s="6">
        <f>IF($A115="","",ROUND('Opening Balance'!$B$4+SUM('Daily Sale entry '!$K$2:K115)+SUMIFS('Daily Sale entry '!$AC$2:$AC$1501,'Daily Sale entry '!$X$2:$X$1501,"&lt;="&amp;$A115)-SUMIFS('Daily Sale entry '!$AD$2:$AD$1501,'Daily Sale entry '!$X$2:$X$1501,"&lt;="&amp;$A115)+SUMPRODUCT(('Daily Sale entry '!$Q$2:$Q$1501="Collection 收款")*('Daily Sale entry '!$R$2:$R$1501="Cheque 支票")*('Daily Sale entry '!$V$2:$V$1501&lt;&gt;"")*('Daily Sale entry '!$V$2:$V$1501&lt;=$A115)*('Daily Sale entry '!$S$2:$S$1501-'Opening Balance'!$B$15*('Daily Sale entry '!$R$2:$R$1501="Cheque 支票")*('Daily Sale entry '!$S$2:$S$1501-TRUNC('Daily Sale entry '!$S$2:$S$1501))))-'Opening Balance'!$B$15*SUMPRODUCT(('Daily Sale entry '!$X$2:$X$1501&lt;=$A115)*('Daily Sale entry '!$Z$2:$Z$1501="Online collection 网上收款")*('Daily Sale entry '!$AA$2:$AA$1501&lt;&gt;"")*('Daily Sale entry '!$AC$2:$AC$1501-TRUNC('Daily Sale entry '!$AC$2:$AC$1501))),2))</f>
        <v/>
      </c>
      <c r="C115" s="8">
        <f>IF($A115="","",'Opening Balance'!$B$5+SUM('Daily Sale entry '!$I$2:I115)-SUMIFS('Daily Sale entry '!$AB$2:$AB$1501,'Daily Sale entry '!$X$2:$X$1501,"&lt;="&amp;$A115,'Daily Sale entry '!$Z$2:$Z$1501,"Cheque deposit 支票存入")-COUNTIFS('Daily Sale entry '!$Q$2:$Q$1501,"Collection 收款",'Daily Sale entry '!$R$2:$R$1501,"Cheque 支票",'Daily Sale entry '!$V$2:$V$1501,"&lt;="&amp;$A115))</f>
        <v/>
      </c>
      <c r="D115" s="6">
        <f>IF($A115="","",ROUND('Opening Balance'!$B$6+SUM('Daily Sale entry '!$J$2:J115)-SUMIFS('Daily Sale entry '!$AC$2:$AC$1501,'Daily Sale entry '!$X$2:$X$1501,"&lt;="&amp;$A115,'Daily Sale entry '!$Z$2:$Z$1501,"Cheque deposit 支票存入")-SUMPRODUCT(('Daily Sale entry '!$Q$2:$Q$1501="Collection 收款")*('Daily Sale entry '!$R$2:$R$1501="Cheque 支票")*('Daily Sale entry '!$V$2:$V$1501&lt;&gt;"")*('Daily Sale entry '!$V$2:$V$1501&lt;=$A115)*('Daily Sale entry '!$S$2:$S$1501-'Opening Balance'!$B$15*('Daily Sale entry '!$R$2:$R$1501="Cheque 支票")*('Daily Sale entry '!$S$2:$S$1501-TRUNC('Daily Sale entry '!$S$2:$S$1501)))),2))</f>
        <v/>
      </c>
      <c r="E115" s="6">
        <f>IF($A115="","",'Opening Balance'!$B$7)</f>
        <v/>
      </c>
      <c r="F115" s="6">
        <f>IF($A115="","",ROUND(SUMIFS('Daily Sale entry '!$L$2:$L$367,'Daily Sale entry '!$A$2:$A$367,"&gt;="&amp;DATE(YEAR($A115),MONTH($A115),1),'Daily Sale entry '!$A$2:$A$367,"&lt;="&amp;$A115)+SUMIFS('Daily Sale entry '!$M$2:$M$367,'Daily Sale entry '!$A$2:$A$367,"&gt;="&amp;DATE(YEAR($A115),MONTH($A115),1),'Daily Sale entry '!$A$2:$A$367,"&lt;="&amp;$A115)+IF(AND(YEAR($A115)=YEAR('Daily Sale entry '!$A$2),MONTH($A115)=MONTH('Daily Sale entry '!$A$2)),'Opening Balance'!$B$8,0),2))</f>
        <v/>
      </c>
      <c r="G115" s="6">
        <f>IF($A115="","",MOD(ROUND('Opening Balance'!$B$9+SUMIFS('Sales &amp; Collection'!$L$1:$L$1585,'Sales &amp; Collection'!$K$1:$K$1585,"cash collection*"),2),'Opening Balance'!$B$11))</f>
        <v/>
      </c>
      <c r="H115" s="6">
        <f>IF($A115="","",ROUND('Opening Balance'!$B$10+'Opening Balance'!$B$9+SUMIFS('Sales &amp; Collection'!$L$1:$L$1585,'Sales &amp; Collection'!$K$1:$K$1585,"cash collection*")-G115-SUMIFS('Daily Sale entry '!$AC$2:$AC$1501,'Daily Sale entry '!$X$2:$X$1501,"&lt;="&amp;$A115,'Daily Sale entry '!$Z$2:$Z$1501,"Cash deposit 现金存入"),2))</f>
        <v/>
      </c>
      <c r="I115" s="6">
        <f>IF($A115="","",ROUND(B115+D115+E115+F115+G115+H115,2))</f>
        <v/>
      </c>
      <c r="J115" s="6">
        <f>IF($A115="","",'AR &amp; AP'!K116)</f>
        <v/>
      </c>
      <c r="K115" s="6">
        <f>IF($A115="","",ROUND(I115-J115-SUMIFS('Daily Sale entry '!$AC$2:$AC$1501,'Daily Sale entry '!$X$2:$X$1501,"&lt;="&amp;$A115,'Daily Sale entry '!$Z$2:$Z$1501,"Other deposit 其他存入")+SUMIFS('Daily Sale entry '!$AD$2:$AD$1501,'Daily Sale entry '!$X$2:$X$1501,"&lt;="&amp;$A115)+('Opening Balance'!$B$8+SUM('Daily Sale entry '!$L$2:M115)-F115),2))</f>
        <v/>
      </c>
      <c r="L115">
        <f>IF($A115="","",IF(ABS('Sales &amp; Collection'!$B$1594)&gt;'Opening Balance'!$B$16,"ALERT 警报: Different "&amp;TEXT('Sales &amp; Collection'!$B$1594,"#,##0.00")&amp;" 差额过大",""))</f>
        <v/>
      </c>
    </row>
    <row r="116">
      <c r="A116" s="5">
        <f>IF('Daily Sale entry '!A116="","",'Daily Sale entry '!A116)</f>
        <v/>
      </c>
      <c r="B116" s="6">
        <f>IF($A116="","",ROUND('Opening Balance'!$B$4+SUM('Daily Sale entry '!$K$2:K116)+SUMIFS('Daily Sale entry '!$AC$2:$AC$1501,'Daily Sale entry '!$X$2:$X$1501,"&lt;="&amp;$A116)-SUMIFS('Daily Sale entry '!$AD$2:$AD$1501,'Daily Sale entry '!$X$2:$X$1501,"&lt;="&amp;$A116)+SUMPRODUCT(('Daily Sale entry '!$Q$2:$Q$1501="Collection 收款")*('Daily Sale entry '!$R$2:$R$1501="Cheque 支票")*('Daily Sale entry '!$V$2:$V$1501&lt;&gt;"")*('Daily Sale entry '!$V$2:$V$1501&lt;=$A116)*('Daily Sale entry '!$S$2:$S$1501-'Opening Balance'!$B$15*('Daily Sale entry '!$R$2:$R$1501="Cheque 支票")*('Daily Sale entry '!$S$2:$S$1501-TRUNC('Daily Sale entry '!$S$2:$S$1501))))-'Opening Balance'!$B$15*SUMPRODUCT(('Daily Sale entry '!$X$2:$X$1501&lt;=$A116)*('Daily Sale entry '!$Z$2:$Z$1501="Online collection 网上收款")*('Daily Sale entry '!$AA$2:$AA$1501&lt;&gt;"")*('Daily Sale entry '!$AC$2:$AC$1501-TRUNC('Daily Sale entry '!$AC$2:$AC$1501))),2))</f>
        <v/>
      </c>
      <c r="C116" s="8">
        <f>IF($A116="","",'Opening Balance'!$B$5+SUM('Daily Sale entry '!$I$2:I116)-SUMIFS('Daily Sale entry '!$AB$2:$AB$1501,'Daily Sale entry '!$X$2:$X$1501,"&lt;="&amp;$A116,'Daily Sale entry '!$Z$2:$Z$1501,"Cheque deposit 支票存入")-COUNTIFS('Daily Sale entry '!$Q$2:$Q$1501,"Collection 收款",'Daily Sale entry '!$R$2:$R$1501,"Cheque 支票",'Daily Sale entry '!$V$2:$V$1501,"&lt;="&amp;$A116))</f>
        <v/>
      </c>
      <c r="D116" s="6">
        <f>IF($A116="","",ROUND('Opening Balance'!$B$6+SUM('Daily Sale entry '!$J$2:J116)-SUMIFS('Daily Sale entry '!$AC$2:$AC$1501,'Daily Sale entry '!$X$2:$X$1501,"&lt;="&amp;$A116,'Daily Sale entry '!$Z$2:$Z$1501,"Cheque deposit 支票存入")-SUMPRODUCT(('Daily Sale entry '!$Q$2:$Q$1501="Collection 收款")*('Daily Sale entry '!$R$2:$R$1501="Cheque 支票")*('Daily Sale entry '!$V$2:$V$1501&lt;&gt;"")*('Daily Sale entry '!$V$2:$V$1501&lt;=$A116)*('Daily Sale entry '!$S$2:$S$1501-'Opening Balance'!$B$15*('Daily Sale entry '!$R$2:$R$1501="Cheque 支票")*('Daily Sale entry '!$S$2:$S$1501-TRUNC('Daily Sale entry '!$S$2:$S$1501)))),2))</f>
        <v/>
      </c>
      <c r="E116" s="6">
        <f>IF($A116="","",'Opening Balance'!$B$7)</f>
        <v/>
      </c>
      <c r="F116" s="6">
        <f>IF($A116="","",ROUND(SUMIFS('Daily Sale entry '!$L$2:$L$367,'Daily Sale entry '!$A$2:$A$367,"&gt;="&amp;DATE(YEAR($A116),MONTH($A116),1),'Daily Sale entry '!$A$2:$A$367,"&lt;="&amp;$A116)+SUMIFS('Daily Sale entry '!$M$2:$M$367,'Daily Sale entry '!$A$2:$A$367,"&gt;="&amp;DATE(YEAR($A116),MONTH($A116),1),'Daily Sale entry '!$A$2:$A$367,"&lt;="&amp;$A116)+IF(AND(YEAR($A116)=YEAR('Daily Sale entry '!$A$2),MONTH($A116)=MONTH('Daily Sale entry '!$A$2)),'Opening Balance'!$B$8,0),2))</f>
        <v/>
      </c>
      <c r="G116" s="6">
        <f>IF($A116="","",MOD(ROUND('Opening Balance'!$B$9+SUMIFS('Sales &amp; Collection'!$L$1:$L$1599,'Sales &amp; Collection'!$K$1:$K$1599,"cash collection*"),2),'Opening Balance'!$B$11))</f>
        <v/>
      </c>
      <c r="H116" s="6">
        <f>IF($A116="","",ROUND('Opening Balance'!$B$10+'Opening Balance'!$B$9+SUMIFS('Sales &amp; Collection'!$L$1:$L$1599,'Sales &amp; Collection'!$K$1:$K$1599,"cash collection*")-G116-SUMIFS('Daily Sale entry '!$AC$2:$AC$1501,'Daily Sale entry '!$X$2:$X$1501,"&lt;="&amp;$A116,'Daily Sale entry '!$Z$2:$Z$1501,"Cash deposit 现金存入"),2))</f>
        <v/>
      </c>
      <c r="I116" s="6">
        <f>IF($A116="","",ROUND(B116+D116+E116+F116+G116+H116,2))</f>
        <v/>
      </c>
      <c r="J116" s="6">
        <f>IF($A116="","",'AR &amp; AP'!K117)</f>
        <v/>
      </c>
      <c r="K116" s="6">
        <f>IF($A116="","",ROUND(I116-J116-SUMIFS('Daily Sale entry '!$AC$2:$AC$1501,'Daily Sale entry '!$X$2:$X$1501,"&lt;="&amp;$A116,'Daily Sale entry '!$Z$2:$Z$1501,"Other deposit 其他存入")+SUMIFS('Daily Sale entry '!$AD$2:$AD$1501,'Daily Sale entry '!$X$2:$X$1501,"&lt;="&amp;$A116)+('Opening Balance'!$B$8+SUM('Daily Sale entry '!$L$2:M116)-F116),2))</f>
        <v/>
      </c>
      <c r="L116">
        <f>IF($A116="","",IF(ABS('Sales &amp; Collection'!$B$1608)&gt;'Opening Balance'!$B$16,"ALERT 警报: Different "&amp;TEXT('Sales &amp; Collection'!$B$1608,"#,##0.00")&amp;" 差额过大",""))</f>
        <v/>
      </c>
    </row>
    <row r="117">
      <c r="A117" s="5">
        <f>IF('Daily Sale entry '!A117="","",'Daily Sale entry '!A117)</f>
        <v/>
      </c>
      <c r="B117" s="6">
        <f>IF($A117="","",ROUND('Opening Balance'!$B$4+SUM('Daily Sale entry '!$K$2:K117)+SUMIFS('Daily Sale entry '!$AC$2:$AC$1501,'Daily Sale entry '!$X$2:$X$1501,"&lt;="&amp;$A117)-SUMIFS('Daily Sale entry '!$AD$2:$AD$1501,'Daily Sale entry '!$X$2:$X$1501,"&lt;="&amp;$A117)+SUMPRODUCT(('Daily Sale entry '!$Q$2:$Q$1501="Collection 收款")*('Daily Sale entry '!$R$2:$R$1501="Cheque 支票")*('Daily Sale entry '!$V$2:$V$1501&lt;&gt;"")*('Daily Sale entry '!$V$2:$V$1501&lt;=$A117)*('Daily Sale entry '!$S$2:$S$1501-'Opening Balance'!$B$15*('Daily Sale entry '!$R$2:$R$1501="Cheque 支票")*('Daily Sale entry '!$S$2:$S$1501-TRUNC('Daily Sale entry '!$S$2:$S$1501))))-'Opening Balance'!$B$15*SUMPRODUCT(('Daily Sale entry '!$X$2:$X$1501&lt;=$A117)*('Daily Sale entry '!$Z$2:$Z$1501="Online collection 网上收款")*('Daily Sale entry '!$AA$2:$AA$1501&lt;&gt;"")*('Daily Sale entry '!$AC$2:$AC$1501-TRUNC('Daily Sale entry '!$AC$2:$AC$1501))),2))</f>
        <v/>
      </c>
      <c r="C117" s="8">
        <f>IF($A117="","",'Opening Balance'!$B$5+SUM('Daily Sale entry '!$I$2:I117)-SUMIFS('Daily Sale entry '!$AB$2:$AB$1501,'Daily Sale entry '!$X$2:$X$1501,"&lt;="&amp;$A117,'Daily Sale entry '!$Z$2:$Z$1501,"Cheque deposit 支票存入")-COUNTIFS('Daily Sale entry '!$Q$2:$Q$1501,"Collection 收款",'Daily Sale entry '!$R$2:$R$1501,"Cheque 支票",'Daily Sale entry '!$V$2:$V$1501,"&lt;="&amp;$A117))</f>
        <v/>
      </c>
      <c r="D117" s="6">
        <f>IF($A117="","",ROUND('Opening Balance'!$B$6+SUM('Daily Sale entry '!$J$2:J117)-SUMIFS('Daily Sale entry '!$AC$2:$AC$1501,'Daily Sale entry '!$X$2:$X$1501,"&lt;="&amp;$A117,'Daily Sale entry '!$Z$2:$Z$1501,"Cheque deposit 支票存入")-SUMPRODUCT(('Daily Sale entry '!$Q$2:$Q$1501="Collection 收款")*('Daily Sale entry '!$R$2:$R$1501="Cheque 支票")*('Daily Sale entry '!$V$2:$V$1501&lt;&gt;"")*('Daily Sale entry '!$V$2:$V$1501&lt;=$A117)*('Daily Sale entry '!$S$2:$S$1501-'Opening Balance'!$B$15*('Daily Sale entry '!$R$2:$R$1501="Cheque 支票")*('Daily Sale entry '!$S$2:$S$1501-TRUNC('Daily Sale entry '!$S$2:$S$1501)))),2))</f>
        <v/>
      </c>
      <c r="E117" s="6">
        <f>IF($A117="","",'Opening Balance'!$B$7)</f>
        <v/>
      </c>
      <c r="F117" s="6">
        <f>IF($A117="","",ROUND(SUMIFS('Daily Sale entry '!$L$2:$L$367,'Daily Sale entry '!$A$2:$A$367,"&gt;="&amp;DATE(YEAR($A117),MONTH($A117),1),'Daily Sale entry '!$A$2:$A$367,"&lt;="&amp;$A117)+SUMIFS('Daily Sale entry '!$M$2:$M$367,'Daily Sale entry '!$A$2:$A$367,"&gt;="&amp;DATE(YEAR($A117),MONTH($A117),1),'Daily Sale entry '!$A$2:$A$367,"&lt;="&amp;$A117)+IF(AND(YEAR($A117)=YEAR('Daily Sale entry '!$A$2),MONTH($A117)=MONTH('Daily Sale entry '!$A$2)),'Opening Balance'!$B$8,0),2))</f>
        <v/>
      </c>
      <c r="G117" s="6">
        <f>IF($A117="","",MOD(ROUND('Opening Balance'!$B$9+SUMIFS('Sales &amp; Collection'!$L$1:$L$1613,'Sales &amp; Collection'!$K$1:$K$1613,"cash collection*"),2),'Opening Balance'!$B$11))</f>
        <v/>
      </c>
      <c r="H117" s="6">
        <f>IF($A117="","",ROUND('Opening Balance'!$B$10+'Opening Balance'!$B$9+SUMIFS('Sales &amp; Collection'!$L$1:$L$1613,'Sales &amp; Collection'!$K$1:$K$1613,"cash collection*")-G117-SUMIFS('Daily Sale entry '!$AC$2:$AC$1501,'Daily Sale entry '!$X$2:$X$1501,"&lt;="&amp;$A117,'Daily Sale entry '!$Z$2:$Z$1501,"Cash deposit 现金存入"),2))</f>
        <v/>
      </c>
      <c r="I117" s="6">
        <f>IF($A117="","",ROUND(B117+D117+E117+F117+G117+H117,2))</f>
        <v/>
      </c>
      <c r="J117" s="6">
        <f>IF($A117="","",'AR &amp; AP'!K118)</f>
        <v/>
      </c>
      <c r="K117" s="6">
        <f>IF($A117="","",ROUND(I117-J117-SUMIFS('Daily Sale entry '!$AC$2:$AC$1501,'Daily Sale entry '!$X$2:$X$1501,"&lt;="&amp;$A117,'Daily Sale entry '!$Z$2:$Z$1501,"Other deposit 其他存入")+SUMIFS('Daily Sale entry '!$AD$2:$AD$1501,'Daily Sale entry '!$X$2:$X$1501,"&lt;="&amp;$A117)+('Opening Balance'!$B$8+SUM('Daily Sale entry '!$L$2:M117)-F117),2))</f>
        <v/>
      </c>
      <c r="L117">
        <f>IF($A117="","",IF(ABS('Sales &amp; Collection'!$B$1622)&gt;'Opening Balance'!$B$16,"ALERT 警报: Different "&amp;TEXT('Sales &amp; Collection'!$B$1622,"#,##0.00")&amp;" 差额过大",""))</f>
        <v/>
      </c>
    </row>
    <row r="118">
      <c r="A118" s="5">
        <f>IF('Daily Sale entry '!A118="","",'Daily Sale entry '!A118)</f>
        <v/>
      </c>
      <c r="B118" s="6">
        <f>IF($A118="","",ROUND('Opening Balance'!$B$4+SUM('Daily Sale entry '!$K$2:K118)+SUMIFS('Daily Sale entry '!$AC$2:$AC$1501,'Daily Sale entry '!$X$2:$X$1501,"&lt;="&amp;$A118)-SUMIFS('Daily Sale entry '!$AD$2:$AD$1501,'Daily Sale entry '!$X$2:$X$1501,"&lt;="&amp;$A118)+SUMPRODUCT(('Daily Sale entry '!$Q$2:$Q$1501="Collection 收款")*('Daily Sale entry '!$R$2:$R$1501="Cheque 支票")*('Daily Sale entry '!$V$2:$V$1501&lt;&gt;"")*('Daily Sale entry '!$V$2:$V$1501&lt;=$A118)*('Daily Sale entry '!$S$2:$S$1501-'Opening Balance'!$B$15*('Daily Sale entry '!$R$2:$R$1501="Cheque 支票")*('Daily Sale entry '!$S$2:$S$1501-TRUNC('Daily Sale entry '!$S$2:$S$1501))))-'Opening Balance'!$B$15*SUMPRODUCT(('Daily Sale entry '!$X$2:$X$1501&lt;=$A118)*('Daily Sale entry '!$Z$2:$Z$1501="Online collection 网上收款")*('Daily Sale entry '!$AA$2:$AA$1501&lt;&gt;"")*('Daily Sale entry '!$AC$2:$AC$1501-TRUNC('Daily Sale entry '!$AC$2:$AC$1501))),2))</f>
        <v/>
      </c>
      <c r="C118" s="8">
        <f>IF($A118="","",'Opening Balance'!$B$5+SUM('Daily Sale entry '!$I$2:I118)-SUMIFS('Daily Sale entry '!$AB$2:$AB$1501,'Daily Sale entry '!$X$2:$X$1501,"&lt;="&amp;$A118,'Daily Sale entry '!$Z$2:$Z$1501,"Cheque deposit 支票存入")-COUNTIFS('Daily Sale entry '!$Q$2:$Q$1501,"Collection 收款",'Daily Sale entry '!$R$2:$R$1501,"Cheque 支票",'Daily Sale entry '!$V$2:$V$1501,"&lt;="&amp;$A118))</f>
        <v/>
      </c>
      <c r="D118" s="6">
        <f>IF($A118="","",ROUND('Opening Balance'!$B$6+SUM('Daily Sale entry '!$J$2:J118)-SUMIFS('Daily Sale entry '!$AC$2:$AC$1501,'Daily Sale entry '!$X$2:$X$1501,"&lt;="&amp;$A118,'Daily Sale entry '!$Z$2:$Z$1501,"Cheque deposit 支票存入")-SUMPRODUCT(('Daily Sale entry '!$Q$2:$Q$1501="Collection 收款")*('Daily Sale entry '!$R$2:$R$1501="Cheque 支票")*('Daily Sale entry '!$V$2:$V$1501&lt;&gt;"")*('Daily Sale entry '!$V$2:$V$1501&lt;=$A118)*('Daily Sale entry '!$S$2:$S$1501-'Opening Balance'!$B$15*('Daily Sale entry '!$R$2:$R$1501="Cheque 支票")*('Daily Sale entry '!$S$2:$S$1501-TRUNC('Daily Sale entry '!$S$2:$S$1501)))),2))</f>
        <v/>
      </c>
      <c r="E118" s="6">
        <f>IF($A118="","",'Opening Balance'!$B$7)</f>
        <v/>
      </c>
      <c r="F118" s="6">
        <f>IF($A118="","",ROUND(SUMIFS('Daily Sale entry '!$L$2:$L$367,'Daily Sale entry '!$A$2:$A$367,"&gt;="&amp;DATE(YEAR($A118),MONTH($A118),1),'Daily Sale entry '!$A$2:$A$367,"&lt;="&amp;$A118)+SUMIFS('Daily Sale entry '!$M$2:$M$367,'Daily Sale entry '!$A$2:$A$367,"&gt;="&amp;DATE(YEAR($A118),MONTH($A118),1),'Daily Sale entry '!$A$2:$A$367,"&lt;="&amp;$A118)+IF(AND(YEAR($A118)=YEAR('Daily Sale entry '!$A$2),MONTH($A118)=MONTH('Daily Sale entry '!$A$2)),'Opening Balance'!$B$8,0),2))</f>
        <v/>
      </c>
      <c r="G118" s="6">
        <f>IF($A118="","",MOD(ROUND('Opening Balance'!$B$9+SUMIFS('Sales &amp; Collection'!$L$1:$L$1627,'Sales &amp; Collection'!$K$1:$K$1627,"cash collection*"),2),'Opening Balance'!$B$11))</f>
        <v/>
      </c>
      <c r="H118" s="6">
        <f>IF($A118="","",ROUND('Opening Balance'!$B$10+'Opening Balance'!$B$9+SUMIFS('Sales &amp; Collection'!$L$1:$L$1627,'Sales &amp; Collection'!$K$1:$K$1627,"cash collection*")-G118-SUMIFS('Daily Sale entry '!$AC$2:$AC$1501,'Daily Sale entry '!$X$2:$X$1501,"&lt;="&amp;$A118,'Daily Sale entry '!$Z$2:$Z$1501,"Cash deposit 现金存入"),2))</f>
        <v/>
      </c>
      <c r="I118" s="6">
        <f>IF($A118="","",ROUND(B118+D118+E118+F118+G118+H118,2))</f>
        <v/>
      </c>
      <c r="J118" s="6">
        <f>IF($A118="","",'AR &amp; AP'!K119)</f>
        <v/>
      </c>
      <c r="K118" s="6">
        <f>IF($A118="","",ROUND(I118-J118-SUMIFS('Daily Sale entry '!$AC$2:$AC$1501,'Daily Sale entry '!$X$2:$X$1501,"&lt;="&amp;$A118,'Daily Sale entry '!$Z$2:$Z$1501,"Other deposit 其他存入")+SUMIFS('Daily Sale entry '!$AD$2:$AD$1501,'Daily Sale entry '!$X$2:$X$1501,"&lt;="&amp;$A118)+('Opening Balance'!$B$8+SUM('Daily Sale entry '!$L$2:M118)-F118),2))</f>
        <v/>
      </c>
      <c r="L118">
        <f>IF($A118="","",IF(ABS('Sales &amp; Collection'!$B$1636)&gt;'Opening Balance'!$B$16,"ALERT 警报: Different "&amp;TEXT('Sales &amp; Collection'!$B$1636,"#,##0.00")&amp;" 差额过大",""))</f>
        <v/>
      </c>
    </row>
    <row r="119">
      <c r="A119" s="5">
        <f>IF('Daily Sale entry '!A119="","",'Daily Sale entry '!A119)</f>
        <v/>
      </c>
      <c r="B119" s="6">
        <f>IF($A119="","",ROUND('Opening Balance'!$B$4+SUM('Daily Sale entry '!$K$2:K119)+SUMIFS('Daily Sale entry '!$AC$2:$AC$1501,'Daily Sale entry '!$X$2:$X$1501,"&lt;="&amp;$A119)-SUMIFS('Daily Sale entry '!$AD$2:$AD$1501,'Daily Sale entry '!$X$2:$X$1501,"&lt;="&amp;$A119)+SUMPRODUCT(('Daily Sale entry '!$Q$2:$Q$1501="Collection 收款")*('Daily Sale entry '!$R$2:$R$1501="Cheque 支票")*('Daily Sale entry '!$V$2:$V$1501&lt;&gt;"")*('Daily Sale entry '!$V$2:$V$1501&lt;=$A119)*('Daily Sale entry '!$S$2:$S$1501-'Opening Balance'!$B$15*('Daily Sale entry '!$R$2:$R$1501="Cheque 支票")*('Daily Sale entry '!$S$2:$S$1501-TRUNC('Daily Sale entry '!$S$2:$S$1501))))-'Opening Balance'!$B$15*SUMPRODUCT(('Daily Sale entry '!$X$2:$X$1501&lt;=$A119)*('Daily Sale entry '!$Z$2:$Z$1501="Online collection 网上收款")*('Daily Sale entry '!$AA$2:$AA$1501&lt;&gt;"")*('Daily Sale entry '!$AC$2:$AC$1501-TRUNC('Daily Sale entry '!$AC$2:$AC$1501))),2))</f>
        <v/>
      </c>
      <c r="C119" s="8">
        <f>IF($A119="","",'Opening Balance'!$B$5+SUM('Daily Sale entry '!$I$2:I119)-SUMIFS('Daily Sale entry '!$AB$2:$AB$1501,'Daily Sale entry '!$X$2:$X$1501,"&lt;="&amp;$A119,'Daily Sale entry '!$Z$2:$Z$1501,"Cheque deposit 支票存入")-COUNTIFS('Daily Sale entry '!$Q$2:$Q$1501,"Collection 收款",'Daily Sale entry '!$R$2:$R$1501,"Cheque 支票",'Daily Sale entry '!$V$2:$V$1501,"&lt;="&amp;$A119))</f>
        <v/>
      </c>
      <c r="D119" s="6">
        <f>IF($A119="","",ROUND('Opening Balance'!$B$6+SUM('Daily Sale entry '!$J$2:J119)-SUMIFS('Daily Sale entry '!$AC$2:$AC$1501,'Daily Sale entry '!$X$2:$X$1501,"&lt;="&amp;$A119,'Daily Sale entry '!$Z$2:$Z$1501,"Cheque deposit 支票存入")-SUMPRODUCT(('Daily Sale entry '!$Q$2:$Q$1501="Collection 收款")*('Daily Sale entry '!$R$2:$R$1501="Cheque 支票")*('Daily Sale entry '!$V$2:$V$1501&lt;&gt;"")*('Daily Sale entry '!$V$2:$V$1501&lt;=$A119)*('Daily Sale entry '!$S$2:$S$1501-'Opening Balance'!$B$15*('Daily Sale entry '!$R$2:$R$1501="Cheque 支票")*('Daily Sale entry '!$S$2:$S$1501-TRUNC('Daily Sale entry '!$S$2:$S$1501)))),2))</f>
        <v/>
      </c>
      <c r="E119" s="6">
        <f>IF($A119="","",'Opening Balance'!$B$7)</f>
        <v/>
      </c>
      <c r="F119" s="6">
        <f>IF($A119="","",ROUND(SUMIFS('Daily Sale entry '!$L$2:$L$367,'Daily Sale entry '!$A$2:$A$367,"&gt;="&amp;DATE(YEAR($A119),MONTH($A119),1),'Daily Sale entry '!$A$2:$A$367,"&lt;="&amp;$A119)+SUMIFS('Daily Sale entry '!$M$2:$M$367,'Daily Sale entry '!$A$2:$A$367,"&gt;="&amp;DATE(YEAR($A119),MONTH($A119),1),'Daily Sale entry '!$A$2:$A$367,"&lt;="&amp;$A119)+IF(AND(YEAR($A119)=YEAR('Daily Sale entry '!$A$2),MONTH($A119)=MONTH('Daily Sale entry '!$A$2)),'Opening Balance'!$B$8,0),2))</f>
        <v/>
      </c>
      <c r="G119" s="6">
        <f>IF($A119="","",MOD(ROUND('Opening Balance'!$B$9+SUMIFS('Sales &amp; Collection'!$L$1:$L$1641,'Sales &amp; Collection'!$K$1:$K$1641,"cash collection*"),2),'Opening Balance'!$B$11))</f>
        <v/>
      </c>
      <c r="H119" s="6">
        <f>IF($A119="","",ROUND('Opening Balance'!$B$10+'Opening Balance'!$B$9+SUMIFS('Sales &amp; Collection'!$L$1:$L$1641,'Sales &amp; Collection'!$K$1:$K$1641,"cash collection*")-G119-SUMIFS('Daily Sale entry '!$AC$2:$AC$1501,'Daily Sale entry '!$X$2:$X$1501,"&lt;="&amp;$A119,'Daily Sale entry '!$Z$2:$Z$1501,"Cash deposit 现金存入"),2))</f>
        <v/>
      </c>
      <c r="I119" s="6">
        <f>IF($A119="","",ROUND(B119+D119+E119+F119+G119+H119,2))</f>
        <v/>
      </c>
      <c r="J119" s="6">
        <f>IF($A119="","",'AR &amp; AP'!K120)</f>
        <v/>
      </c>
      <c r="K119" s="6">
        <f>IF($A119="","",ROUND(I119-J119-SUMIFS('Daily Sale entry '!$AC$2:$AC$1501,'Daily Sale entry '!$X$2:$X$1501,"&lt;="&amp;$A119,'Daily Sale entry '!$Z$2:$Z$1501,"Other deposit 其他存入")+SUMIFS('Daily Sale entry '!$AD$2:$AD$1501,'Daily Sale entry '!$X$2:$X$1501,"&lt;="&amp;$A119)+('Opening Balance'!$B$8+SUM('Daily Sale entry '!$L$2:M119)-F119),2))</f>
        <v/>
      </c>
      <c r="L119">
        <f>IF($A119="","",IF(ABS('Sales &amp; Collection'!$B$1650)&gt;'Opening Balance'!$B$16,"ALERT 警报: Different "&amp;TEXT('Sales &amp; Collection'!$B$1650,"#,##0.00")&amp;" 差额过大",""))</f>
        <v/>
      </c>
    </row>
    <row r="120">
      <c r="A120" s="5">
        <f>IF('Daily Sale entry '!A120="","",'Daily Sale entry '!A120)</f>
        <v/>
      </c>
      <c r="B120" s="6">
        <f>IF($A120="","",ROUND('Opening Balance'!$B$4+SUM('Daily Sale entry '!$K$2:K120)+SUMIFS('Daily Sale entry '!$AC$2:$AC$1501,'Daily Sale entry '!$X$2:$X$1501,"&lt;="&amp;$A120)-SUMIFS('Daily Sale entry '!$AD$2:$AD$1501,'Daily Sale entry '!$X$2:$X$1501,"&lt;="&amp;$A120)+SUMPRODUCT(('Daily Sale entry '!$Q$2:$Q$1501="Collection 收款")*('Daily Sale entry '!$R$2:$R$1501="Cheque 支票")*('Daily Sale entry '!$V$2:$V$1501&lt;&gt;"")*('Daily Sale entry '!$V$2:$V$1501&lt;=$A120)*('Daily Sale entry '!$S$2:$S$1501-'Opening Balance'!$B$15*('Daily Sale entry '!$R$2:$R$1501="Cheque 支票")*('Daily Sale entry '!$S$2:$S$1501-TRUNC('Daily Sale entry '!$S$2:$S$1501))))-'Opening Balance'!$B$15*SUMPRODUCT(('Daily Sale entry '!$X$2:$X$1501&lt;=$A120)*('Daily Sale entry '!$Z$2:$Z$1501="Online collection 网上收款")*('Daily Sale entry '!$AA$2:$AA$1501&lt;&gt;"")*('Daily Sale entry '!$AC$2:$AC$1501-TRUNC('Daily Sale entry '!$AC$2:$AC$1501))),2))</f>
        <v/>
      </c>
      <c r="C120" s="8">
        <f>IF($A120="","",'Opening Balance'!$B$5+SUM('Daily Sale entry '!$I$2:I120)-SUMIFS('Daily Sale entry '!$AB$2:$AB$1501,'Daily Sale entry '!$X$2:$X$1501,"&lt;="&amp;$A120,'Daily Sale entry '!$Z$2:$Z$1501,"Cheque deposit 支票存入")-COUNTIFS('Daily Sale entry '!$Q$2:$Q$1501,"Collection 收款",'Daily Sale entry '!$R$2:$R$1501,"Cheque 支票",'Daily Sale entry '!$V$2:$V$1501,"&lt;="&amp;$A120))</f>
        <v/>
      </c>
      <c r="D120" s="6">
        <f>IF($A120="","",ROUND('Opening Balance'!$B$6+SUM('Daily Sale entry '!$J$2:J120)-SUMIFS('Daily Sale entry '!$AC$2:$AC$1501,'Daily Sale entry '!$X$2:$X$1501,"&lt;="&amp;$A120,'Daily Sale entry '!$Z$2:$Z$1501,"Cheque deposit 支票存入")-SUMPRODUCT(('Daily Sale entry '!$Q$2:$Q$1501="Collection 收款")*('Daily Sale entry '!$R$2:$R$1501="Cheque 支票")*('Daily Sale entry '!$V$2:$V$1501&lt;&gt;"")*('Daily Sale entry '!$V$2:$V$1501&lt;=$A120)*('Daily Sale entry '!$S$2:$S$1501-'Opening Balance'!$B$15*('Daily Sale entry '!$R$2:$R$1501="Cheque 支票")*('Daily Sale entry '!$S$2:$S$1501-TRUNC('Daily Sale entry '!$S$2:$S$1501)))),2))</f>
        <v/>
      </c>
      <c r="E120" s="6">
        <f>IF($A120="","",'Opening Balance'!$B$7)</f>
        <v/>
      </c>
      <c r="F120" s="6">
        <f>IF($A120="","",ROUND(SUMIFS('Daily Sale entry '!$L$2:$L$367,'Daily Sale entry '!$A$2:$A$367,"&gt;="&amp;DATE(YEAR($A120),MONTH($A120),1),'Daily Sale entry '!$A$2:$A$367,"&lt;="&amp;$A120)+SUMIFS('Daily Sale entry '!$M$2:$M$367,'Daily Sale entry '!$A$2:$A$367,"&gt;="&amp;DATE(YEAR($A120),MONTH($A120),1),'Daily Sale entry '!$A$2:$A$367,"&lt;="&amp;$A120)+IF(AND(YEAR($A120)=YEAR('Daily Sale entry '!$A$2),MONTH($A120)=MONTH('Daily Sale entry '!$A$2)),'Opening Balance'!$B$8,0),2))</f>
        <v/>
      </c>
      <c r="G120" s="6">
        <f>IF($A120="","",MOD(ROUND('Opening Balance'!$B$9+SUMIFS('Sales &amp; Collection'!$L$1:$L$1655,'Sales &amp; Collection'!$K$1:$K$1655,"cash collection*"),2),'Opening Balance'!$B$11))</f>
        <v/>
      </c>
      <c r="H120" s="6">
        <f>IF($A120="","",ROUND('Opening Balance'!$B$10+'Opening Balance'!$B$9+SUMIFS('Sales &amp; Collection'!$L$1:$L$1655,'Sales &amp; Collection'!$K$1:$K$1655,"cash collection*")-G120-SUMIFS('Daily Sale entry '!$AC$2:$AC$1501,'Daily Sale entry '!$X$2:$X$1501,"&lt;="&amp;$A120,'Daily Sale entry '!$Z$2:$Z$1501,"Cash deposit 现金存入"),2))</f>
        <v/>
      </c>
      <c r="I120" s="6">
        <f>IF($A120="","",ROUND(B120+D120+E120+F120+G120+H120,2))</f>
        <v/>
      </c>
      <c r="J120" s="6">
        <f>IF($A120="","",'AR &amp; AP'!K121)</f>
        <v/>
      </c>
      <c r="K120" s="6">
        <f>IF($A120="","",ROUND(I120-J120-SUMIFS('Daily Sale entry '!$AC$2:$AC$1501,'Daily Sale entry '!$X$2:$X$1501,"&lt;="&amp;$A120,'Daily Sale entry '!$Z$2:$Z$1501,"Other deposit 其他存入")+SUMIFS('Daily Sale entry '!$AD$2:$AD$1501,'Daily Sale entry '!$X$2:$X$1501,"&lt;="&amp;$A120)+('Opening Balance'!$B$8+SUM('Daily Sale entry '!$L$2:M120)-F120),2))</f>
        <v/>
      </c>
      <c r="L120">
        <f>IF($A120="","",IF(ABS('Sales &amp; Collection'!$B$1664)&gt;'Opening Balance'!$B$16,"ALERT 警报: Different "&amp;TEXT('Sales &amp; Collection'!$B$1664,"#,##0.00")&amp;" 差额过大",""))</f>
        <v/>
      </c>
    </row>
    <row r="121">
      <c r="A121" s="5">
        <f>IF('Daily Sale entry '!A121="","",'Daily Sale entry '!A121)</f>
        <v/>
      </c>
      <c r="B121" s="6">
        <f>IF($A121="","",ROUND('Opening Balance'!$B$4+SUM('Daily Sale entry '!$K$2:K121)+SUMIFS('Daily Sale entry '!$AC$2:$AC$1501,'Daily Sale entry '!$X$2:$X$1501,"&lt;="&amp;$A121)-SUMIFS('Daily Sale entry '!$AD$2:$AD$1501,'Daily Sale entry '!$X$2:$X$1501,"&lt;="&amp;$A121)+SUMPRODUCT(('Daily Sale entry '!$Q$2:$Q$1501="Collection 收款")*('Daily Sale entry '!$R$2:$R$1501="Cheque 支票")*('Daily Sale entry '!$V$2:$V$1501&lt;&gt;"")*('Daily Sale entry '!$V$2:$V$1501&lt;=$A121)*('Daily Sale entry '!$S$2:$S$1501-'Opening Balance'!$B$15*('Daily Sale entry '!$R$2:$R$1501="Cheque 支票")*('Daily Sale entry '!$S$2:$S$1501-TRUNC('Daily Sale entry '!$S$2:$S$1501))))-'Opening Balance'!$B$15*SUMPRODUCT(('Daily Sale entry '!$X$2:$X$1501&lt;=$A121)*('Daily Sale entry '!$Z$2:$Z$1501="Online collection 网上收款")*('Daily Sale entry '!$AA$2:$AA$1501&lt;&gt;"")*('Daily Sale entry '!$AC$2:$AC$1501-TRUNC('Daily Sale entry '!$AC$2:$AC$1501))),2))</f>
        <v/>
      </c>
      <c r="C121" s="8">
        <f>IF($A121="","",'Opening Balance'!$B$5+SUM('Daily Sale entry '!$I$2:I121)-SUMIFS('Daily Sale entry '!$AB$2:$AB$1501,'Daily Sale entry '!$X$2:$X$1501,"&lt;="&amp;$A121,'Daily Sale entry '!$Z$2:$Z$1501,"Cheque deposit 支票存入")-COUNTIFS('Daily Sale entry '!$Q$2:$Q$1501,"Collection 收款",'Daily Sale entry '!$R$2:$R$1501,"Cheque 支票",'Daily Sale entry '!$V$2:$V$1501,"&lt;="&amp;$A121))</f>
        <v/>
      </c>
      <c r="D121" s="6">
        <f>IF($A121="","",ROUND('Opening Balance'!$B$6+SUM('Daily Sale entry '!$J$2:J121)-SUMIFS('Daily Sale entry '!$AC$2:$AC$1501,'Daily Sale entry '!$X$2:$X$1501,"&lt;="&amp;$A121,'Daily Sale entry '!$Z$2:$Z$1501,"Cheque deposit 支票存入")-SUMPRODUCT(('Daily Sale entry '!$Q$2:$Q$1501="Collection 收款")*('Daily Sale entry '!$R$2:$R$1501="Cheque 支票")*('Daily Sale entry '!$V$2:$V$1501&lt;&gt;"")*('Daily Sale entry '!$V$2:$V$1501&lt;=$A121)*('Daily Sale entry '!$S$2:$S$1501-'Opening Balance'!$B$15*('Daily Sale entry '!$R$2:$R$1501="Cheque 支票")*('Daily Sale entry '!$S$2:$S$1501-TRUNC('Daily Sale entry '!$S$2:$S$1501)))),2))</f>
        <v/>
      </c>
      <c r="E121" s="6">
        <f>IF($A121="","",'Opening Balance'!$B$7)</f>
        <v/>
      </c>
      <c r="F121" s="6">
        <f>IF($A121="","",ROUND(SUMIFS('Daily Sale entry '!$L$2:$L$367,'Daily Sale entry '!$A$2:$A$367,"&gt;="&amp;DATE(YEAR($A121),MONTH($A121),1),'Daily Sale entry '!$A$2:$A$367,"&lt;="&amp;$A121)+SUMIFS('Daily Sale entry '!$M$2:$M$367,'Daily Sale entry '!$A$2:$A$367,"&gt;="&amp;DATE(YEAR($A121),MONTH($A121),1),'Daily Sale entry '!$A$2:$A$367,"&lt;="&amp;$A121)+IF(AND(YEAR($A121)=YEAR('Daily Sale entry '!$A$2),MONTH($A121)=MONTH('Daily Sale entry '!$A$2)),'Opening Balance'!$B$8,0),2))</f>
        <v/>
      </c>
      <c r="G121" s="6">
        <f>IF($A121="","",MOD(ROUND('Opening Balance'!$B$9+SUMIFS('Sales &amp; Collection'!$L$1:$L$1669,'Sales &amp; Collection'!$K$1:$K$1669,"cash collection*"),2),'Opening Balance'!$B$11))</f>
        <v/>
      </c>
      <c r="H121" s="6">
        <f>IF($A121="","",ROUND('Opening Balance'!$B$10+'Opening Balance'!$B$9+SUMIFS('Sales &amp; Collection'!$L$1:$L$1669,'Sales &amp; Collection'!$K$1:$K$1669,"cash collection*")-G121-SUMIFS('Daily Sale entry '!$AC$2:$AC$1501,'Daily Sale entry '!$X$2:$X$1501,"&lt;="&amp;$A121,'Daily Sale entry '!$Z$2:$Z$1501,"Cash deposit 现金存入"),2))</f>
        <v/>
      </c>
      <c r="I121" s="6">
        <f>IF($A121="","",ROUND(B121+D121+E121+F121+G121+H121,2))</f>
        <v/>
      </c>
      <c r="J121" s="6">
        <f>IF($A121="","",'AR &amp; AP'!K122)</f>
        <v/>
      </c>
      <c r="K121" s="6">
        <f>IF($A121="","",ROUND(I121-J121-SUMIFS('Daily Sale entry '!$AC$2:$AC$1501,'Daily Sale entry '!$X$2:$X$1501,"&lt;="&amp;$A121,'Daily Sale entry '!$Z$2:$Z$1501,"Other deposit 其他存入")+SUMIFS('Daily Sale entry '!$AD$2:$AD$1501,'Daily Sale entry '!$X$2:$X$1501,"&lt;="&amp;$A121)+('Opening Balance'!$B$8+SUM('Daily Sale entry '!$L$2:M121)-F121),2))</f>
        <v/>
      </c>
      <c r="L121">
        <f>IF($A121="","",IF(ABS('Sales &amp; Collection'!$B$1678)&gt;'Opening Balance'!$B$16,"ALERT 警报: Different "&amp;TEXT('Sales &amp; Collection'!$B$1678,"#,##0.00")&amp;" 差额过大",""))</f>
        <v/>
      </c>
    </row>
    <row r="122">
      <c r="A122" s="5">
        <f>IF('Daily Sale entry '!A122="","",'Daily Sale entry '!A122)</f>
        <v/>
      </c>
      <c r="B122" s="6">
        <f>IF($A122="","",ROUND('Opening Balance'!$B$4+SUM('Daily Sale entry '!$K$2:K122)+SUMIFS('Daily Sale entry '!$AC$2:$AC$1501,'Daily Sale entry '!$X$2:$X$1501,"&lt;="&amp;$A122)-SUMIFS('Daily Sale entry '!$AD$2:$AD$1501,'Daily Sale entry '!$X$2:$X$1501,"&lt;="&amp;$A122)+SUMPRODUCT(('Daily Sale entry '!$Q$2:$Q$1501="Collection 收款")*('Daily Sale entry '!$R$2:$R$1501="Cheque 支票")*('Daily Sale entry '!$V$2:$V$1501&lt;&gt;"")*('Daily Sale entry '!$V$2:$V$1501&lt;=$A122)*('Daily Sale entry '!$S$2:$S$1501-'Opening Balance'!$B$15*('Daily Sale entry '!$R$2:$R$1501="Cheque 支票")*('Daily Sale entry '!$S$2:$S$1501-TRUNC('Daily Sale entry '!$S$2:$S$1501))))-'Opening Balance'!$B$15*SUMPRODUCT(('Daily Sale entry '!$X$2:$X$1501&lt;=$A122)*('Daily Sale entry '!$Z$2:$Z$1501="Online collection 网上收款")*('Daily Sale entry '!$AA$2:$AA$1501&lt;&gt;"")*('Daily Sale entry '!$AC$2:$AC$1501-TRUNC('Daily Sale entry '!$AC$2:$AC$1501))),2))</f>
        <v/>
      </c>
      <c r="C122" s="8">
        <f>IF($A122="","",'Opening Balance'!$B$5+SUM('Daily Sale entry '!$I$2:I122)-SUMIFS('Daily Sale entry '!$AB$2:$AB$1501,'Daily Sale entry '!$X$2:$X$1501,"&lt;="&amp;$A122,'Daily Sale entry '!$Z$2:$Z$1501,"Cheque deposit 支票存入")-COUNTIFS('Daily Sale entry '!$Q$2:$Q$1501,"Collection 收款",'Daily Sale entry '!$R$2:$R$1501,"Cheque 支票",'Daily Sale entry '!$V$2:$V$1501,"&lt;="&amp;$A122))</f>
        <v/>
      </c>
      <c r="D122" s="6">
        <f>IF($A122="","",ROUND('Opening Balance'!$B$6+SUM('Daily Sale entry '!$J$2:J122)-SUMIFS('Daily Sale entry '!$AC$2:$AC$1501,'Daily Sale entry '!$X$2:$X$1501,"&lt;="&amp;$A122,'Daily Sale entry '!$Z$2:$Z$1501,"Cheque deposit 支票存入")-SUMPRODUCT(('Daily Sale entry '!$Q$2:$Q$1501="Collection 收款")*('Daily Sale entry '!$R$2:$R$1501="Cheque 支票")*('Daily Sale entry '!$V$2:$V$1501&lt;&gt;"")*('Daily Sale entry '!$V$2:$V$1501&lt;=$A122)*('Daily Sale entry '!$S$2:$S$1501-'Opening Balance'!$B$15*('Daily Sale entry '!$R$2:$R$1501="Cheque 支票")*('Daily Sale entry '!$S$2:$S$1501-TRUNC('Daily Sale entry '!$S$2:$S$1501)))),2))</f>
        <v/>
      </c>
      <c r="E122" s="6">
        <f>IF($A122="","",'Opening Balance'!$B$7)</f>
        <v/>
      </c>
      <c r="F122" s="6">
        <f>IF($A122="","",ROUND(SUMIFS('Daily Sale entry '!$L$2:$L$367,'Daily Sale entry '!$A$2:$A$367,"&gt;="&amp;DATE(YEAR($A122),MONTH($A122),1),'Daily Sale entry '!$A$2:$A$367,"&lt;="&amp;$A122)+SUMIFS('Daily Sale entry '!$M$2:$M$367,'Daily Sale entry '!$A$2:$A$367,"&gt;="&amp;DATE(YEAR($A122),MONTH($A122),1),'Daily Sale entry '!$A$2:$A$367,"&lt;="&amp;$A122)+IF(AND(YEAR($A122)=YEAR('Daily Sale entry '!$A$2),MONTH($A122)=MONTH('Daily Sale entry '!$A$2)),'Opening Balance'!$B$8,0),2))</f>
        <v/>
      </c>
      <c r="G122" s="6">
        <f>IF($A122="","",MOD(ROUND('Opening Balance'!$B$9+SUMIFS('Sales &amp; Collection'!$L$1:$L$1683,'Sales &amp; Collection'!$K$1:$K$1683,"cash collection*"),2),'Opening Balance'!$B$11))</f>
        <v/>
      </c>
      <c r="H122" s="6">
        <f>IF($A122="","",ROUND('Opening Balance'!$B$10+'Opening Balance'!$B$9+SUMIFS('Sales &amp; Collection'!$L$1:$L$1683,'Sales &amp; Collection'!$K$1:$K$1683,"cash collection*")-G122-SUMIFS('Daily Sale entry '!$AC$2:$AC$1501,'Daily Sale entry '!$X$2:$X$1501,"&lt;="&amp;$A122,'Daily Sale entry '!$Z$2:$Z$1501,"Cash deposit 现金存入"),2))</f>
        <v/>
      </c>
      <c r="I122" s="6">
        <f>IF($A122="","",ROUND(B122+D122+E122+F122+G122+H122,2))</f>
        <v/>
      </c>
      <c r="J122" s="6">
        <f>IF($A122="","",'AR &amp; AP'!K123)</f>
        <v/>
      </c>
      <c r="K122" s="6">
        <f>IF($A122="","",ROUND(I122-J122-SUMIFS('Daily Sale entry '!$AC$2:$AC$1501,'Daily Sale entry '!$X$2:$X$1501,"&lt;="&amp;$A122,'Daily Sale entry '!$Z$2:$Z$1501,"Other deposit 其他存入")+SUMIFS('Daily Sale entry '!$AD$2:$AD$1501,'Daily Sale entry '!$X$2:$X$1501,"&lt;="&amp;$A122)+('Opening Balance'!$B$8+SUM('Daily Sale entry '!$L$2:M122)-F122),2))</f>
        <v/>
      </c>
      <c r="L122">
        <f>IF($A122="","",IF(ABS('Sales &amp; Collection'!$B$1692)&gt;'Opening Balance'!$B$16,"ALERT 警报: Different "&amp;TEXT('Sales &amp; Collection'!$B$1692,"#,##0.00")&amp;" 差额过大",""))</f>
        <v/>
      </c>
    </row>
    <row r="123">
      <c r="A123" s="5">
        <f>IF('Daily Sale entry '!A123="","",'Daily Sale entry '!A123)</f>
        <v/>
      </c>
      <c r="B123" s="6">
        <f>IF($A123="","",ROUND('Opening Balance'!$B$4+SUM('Daily Sale entry '!$K$2:K123)+SUMIFS('Daily Sale entry '!$AC$2:$AC$1501,'Daily Sale entry '!$X$2:$X$1501,"&lt;="&amp;$A123)-SUMIFS('Daily Sale entry '!$AD$2:$AD$1501,'Daily Sale entry '!$X$2:$X$1501,"&lt;="&amp;$A123)+SUMPRODUCT(('Daily Sale entry '!$Q$2:$Q$1501="Collection 收款")*('Daily Sale entry '!$R$2:$R$1501="Cheque 支票")*('Daily Sale entry '!$V$2:$V$1501&lt;&gt;"")*('Daily Sale entry '!$V$2:$V$1501&lt;=$A123)*('Daily Sale entry '!$S$2:$S$1501-'Opening Balance'!$B$15*('Daily Sale entry '!$R$2:$R$1501="Cheque 支票")*('Daily Sale entry '!$S$2:$S$1501-TRUNC('Daily Sale entry '!$S$2:$S$1501))))-'Opening Balance'!$B$15*SUMPRODUCT(('Daily Sale entry '!$X$2:$X$1501&lt;=$A123)*('Daily Sale entry '!$Z$2:$Z$1501="Online collection 网上收款")*('Daily Sale entry '!$AA$2:$AA$1501&lt;&gt;"")*('Daily Sale entry '!$AC$2:$AC$1501-TRUNC('Daily Sale entry '!$AC$2:$AC$1501))),2))</f>
        <v/>
      </c>
      <c r="C123" s="8">
        <f>IF($A123="","",'Opening Balance'!$B$5+SUM('Daily Sale entry '!$I$2:I123)-SUMIFS('Daily Sale entry '!$AB$2:$AB$1501,'Daily Sale entry '!$X$2:$X$1501,"&lt;="&amp;$A123,'Daily Sale entry '!$Z$2:$Z$1501,"Cheque deposit 支票存入")-COUNTIFS('Daily Sale entry '!$Q$2:$Q$1501,"Collection 收款",'Daily Sale entry '!$R$2:$R$1501,"Cheque 支票",'Daily Sale entry '!$V$2:$V$1501,"&lt;="&amp;$A123))</f>
        <v/>
      </c>
      <c r="D123" s="6">
        <f>IF($A123="","",ROUND('Opening Balance'!$B$6+SUM('Daily Sale entry '!$J$2:J123)-SUMIFS('Daily Sale entry '!$AC$2:$AC$1501,'Daily Sale entry '!$X$2:$X$1501,"&lt;="&amp;$A123,'Daily Sale entry '!$Z$2:$Z$1501,"Cheque deposit 支票存入")-SUMPRODUCT(('Daily Sale entry '!$Q$2:$Q$1501="Collection 收款")*('Daily Sale entry '!$R$2:$R$1501="Cheque 支票")*('Daily Sale entry '!$V$2:$V$1501&lt;&gt;"")*('Daily Sale entry '!$V$2:$V$1501&lt;=$A123)*('Daily Sale entry '!$S$2:$S$1501-'Opening Balance'!$B$15*('Daily Sale entry '!$R$2:$R$1501="Cheque 支票")*('Daily Sale entry '!$S$2:$S$1501-TRUNC('Daily Sale entry '!$S$2:$S$1501)))),2))</f>
        <v/>
      </c>
      <c r="E123" s="6">
        <f>IF($A123="","",'Opening Balance'!$B$7)</f>
        <v/>
      </c>
      <c r="F123" s="6">
        <f>IF($A123="","",ROUND(SUMIFS('Daily Sale entry '!$L$2:$L$367,'Daily Sale entry '!$A$2:$A$367,"&gt;="&amp;DATE(YEAR($A123),MONTH($A123),1),'Daily Sale entry '!$A$2:$A$367,"&lt;="&amp;$A123)+SUMIFS('Daily Sale entry '!$M$2:$M$367,'Daily Sale entry '!$A$2:$A$367,"&gt;="&amp;DATE(YEAR($A123),MONTH($A123),1),'Daily Sale entry '!$A$2:$A$367,"&lt;="&amp;$A123)+IF(AND(YEAR($A123)=YEAR('Daily Sale entry '!$A$2),MONTH($A123)=MONTH('Daily Sale entry '!$A$2)),'Opening Balance'!$B$8,0),2))</f>
        <v/>
      </c>
      <c r="G123" s="6">
        <f>IF($A123="","",MOD(ROUND('Opening Balance'!$B$9+SUMIFS('Sales &amp; Collection'!$L$1:$L$1697,'Sales &amp; Collection'!$K$1:$K$1697,"cash collection*"),2),'Opening Balance'!$B$11))</f>
        <v/>
      </c>
      <c r="H123" s="6">
        <f>IF($A123="","",ROUND('Opening Balance'!$B$10+'Opening Balance'!$B$9+SUMIFS('Sales &amp; Collection'!$L$1:$L$1697,'Sales &amp; Collection'!$K$1:$K$1697,"cash collection*")-G123-SUMIFS('Daily Sale entry '!$AC$2:$AC$1501,'Daily Sale entry '!$X$2:$X$1501,"&lt;="&amp;$A123,'Daily Sale entry '!$Z$2:$Z$1501,"Cash deposit 现金存入"),2))</f>
        <v/>
      </c>
      <c r="I123" s="6">
        <f>IF($A123="","",ROUND(B123+D123+E123+F123+G123+H123,2))</f>
        <v/>
      </c>
      <c r="J123" s="6">
        <f>IF($A123="","",'AR &amp; AP'!K124)</f>
        <v/>
      </c>
      <c r="K123" s="6">
        <f>IF($A123="","",ROUND(I123-J123-SUMIFS('Daily Sale entry '!$AC$2:$AC$1501,'Daily Sale entry '!$X$2:$X$1501,"&lt;="&amp;$A123,'Daily Sale entry '!$Z$2:$Z$1501,"Other deposit 其他存入")+SUMIFS('Daily Sale entry '!$AD$2:$AD$1501,'Daily Sale entry '!$X$2:$X$1501,"&lt;="&amp;$A123)+('Opening Balance'!$B$8+SUM('Daily Sale entry '!$L$2:M123)-F123),2))</f>
        <v/>
      </c>
      <c r="L123">
        <f>IF($A123="","",IF(ABS('Sales &amp; Collection'!$B$1706)&gt;'Opening Balance'!$B$16,"ALERT 警报: Different "&amp;TEXT('Sales &amp; Collection'!$B$1706,"#,##0.00")&amp;" 差额过大",""))</f>
        <v/>
      </c>
    </row>
    <row r="124">
      <c r="A124" s="5">
        <f>IF('Daily Sale entry '!A124="","",'Daily Sale entry '!A124)</f>
        <v/>
      </c>
      <c r="B124" s="6">
        <f>IF($A124="","",ROUND('Opening Balance'!$B$4+SUM('Daily Sale entry '!$K$2:K124)+SUMIFS('Daily Sale entry '!$AC$2:$AC$1501,'Daily Sale entry '!$X$2:$X$1501,"&lt;="&amp;$A124)-SUMIFS('Daily Sale entry '!$AD$2:$AD$1501,'Daily Sale entry '!$X$2:$X$1501,"&lt;="&amp;$A124)+SUMPRODUCT(('Daily Sale entry '!$Q$2:$Q$1501="Collection 收款")*('Daily Sale entry '!$R$2:$R$1501="Cheque 支票")*('Daily Sale entry '!$V$2:$V$1501&lt;&gt;"")*('Daily Sale entry '!$V$2:$V$1501&lt;=$A124)*('Daily Sale entry '!$S$2:$S$1501-'Opening Balance'!$B$15*('Daily Sale entry '!$R$2:$R$1501="Cheque 支票")*('Daily Sale entry '!$S$2:$S$1501-TRUNC('Daily Sale entry '!$S$2:$S$1501))))-'Opening Balance'!$B$15*SUMPRODUCT(('Daily Sale entry '!$X$2:$X$1501&lt;=$A124)*('Daily Sale entry '!$Z$2:$Z$1501="Online collection 网上收款")*('Daily Sale entry '!$AA$2:$AA$1501&lt;&gt;"")*('Daily Sale entry '!$AC$2:$AC$1501-TRUNC('Daily Sale entry '!$AC$2:$AC$1501))),2))</f>
        <v/>
      </c>
      <c r="C124" s="8">
        <f>IF($A124="","",'Opening Balance'!$B$5+SUM('Daily Sale entry '!$I$2:I124)-SUMIFS('Daily Sale entry '!$AB$2:$AB$1501,'Daily Sale entry '!$X$2:$X$1501,"&lt;="&amp;$A124,'Daily Sale entry '!$Z$2:$Z$1501,"Cheque deposit 支票存入")-COUNTIFS('Daily Sale entry '!$Q$2:$Q$1501,"Collection 收款",'Daily Sale entry '!$R$2:$R$1501,"Cheque 支票",'Daily Sale entry '!$V$2:$V$1501,"&lt;="&amp;$A124))</f>
        <v/>
      </c>
      <c r="D124" s="6">
        <f>IF($A124="","",ROUND('Opening Balance'!$B$6+SUM('Daily Sale entry '!$J$2:J124)-SUMIFS('Daily Sale entry '!$AC$2:$AC$1501,'Daily Sale entry '!$X$2:$X$1501,"&lt;="&amp;$A124,'Daily Sale entry '!$Z$2:$Z$1501,"Cheque deposit 支票存入")-SUMPRODUCT(('Daily Sale entry '!$Q$2:$Q$1501="Collection 收款")*('Daily Sale entry '!$R$2:$R$1501="Cheque 支票")*('Daily Sale entry '!$V$2:$V$1501&lt;&gt;"")*('Daily Sale entry '!$V$2:$V$1501&lt;=$A124)*('Daily Sale entry '!$S$2:$S$1501-'Opening Balance'!$B$15*('Daily Sale entry '!$R$2:$R$1501="Cheque 支票")*('Daily Sale entry '!$S$2:$S$1501-TRUNC('Daily Sale entry '!$S$2:$S$1501)))),2))</f>
        <v/>
      </c>
      <c r="E124" s="6">
        <f>IF($A124="","",'Opening Balance'!$B$7)</f>
        <v/>
      </c>
      <c r="F124" s="6">
        <f>IF($A124="","",ROUND(SUMIFS('Daily Sale entry '!$L$2:$L$367,'Daily Sale entry '!$A$2:$A$367,"&gt;="&amp;DATE(YEAR($A124),MONTH($A124),1),'Daily Sale entry '!$A$2:$A$367,"&lt;="&amp;$A124)+SUMIFS('Daily Sale entry '!$M$2:$M$367,'Daily Sale entry '!$A$2:$A$367,"&gt;="&amp;DATE(YEAR($A124),MONTH($A124),1),'Daily Sale entry '!$A$2:$A$367,"&lt;="&amp;$A124)+IF(AND(YEAR($A124)=YEAR('Daily Sale entry '!$A$2),MONTH($A124)=MONTH('Daily Sale entry '!$A$2)),'Opening Balance'!$B$8,0),2))</f>
        <v/>
      </c>
      <c r="G124" s="6">
        <f>IF($A124="","",MOD(ROUND('Opening Balance'!$B$9+SUMIFS('Sales &amp; Collection'!$L$1:$L$1711,'Sales &amp; Collection'!$K$1:$K$1711,"cash collection*"),2),'Opening Balance'!$B$11))</f>
        <v/>
      </c>
      <c r="H124" s="6">
        <f>IF($A124="","",ROUND('Opening Balance'!$B$10+'Opening Balance'!$B$9+SUMIFS('Sales &amp; Collection'!$L$1:$L$1711,'Sales &amp; Collection'!$K$1:$K$1711,"cash collection*")-G124-SUMIFS('Daily Sale entry '!$AC$2:$AC$1501,'Daily Sale entry '!$X$2:$X$1501,"&lt;="&amp;$A124,'Daily Sale entry '!$Z$2:$Z$1501,"Cash deposit 现金存入"),2))</f>
        <v/>
      </c>
      <c r="I124" s="6">
        <f>IF($A124="","",ROUND(B124+D124+E124+F124+G124+H124,2))</f>
        <v/>
      </c>
      <c r="J124" s="6">
        <f>IF($A124="","",'AR &amp; AP'!K125)</f>
        <v/>
      </c>
      <c r="K124" s="6">
        <f>IF($A124="","",ROUND(I124-J124-SUMIFS('Daily Sale entry '!$AC$2:$AC$1501,'Daily Sale entry '!$X$2:$X$1501,"&lt;="&amp;$A124,'Daily Sale entry '!$Z$2:$Z$1501,"Other deposit 其他存入")+SUMIFS('Daily Sale entry '!$AD$2:$AD$1501,'Daily Sale entry '!$X$2:$X$1501,"&lt;="&amp;$A124)+('Opening Balance'!$B$8+SUM('Daily Sale entry '!$L$2:M124)-F124),2))</f>
        <v/>
      </c>
      <c r="L124">
        <f>IF($A124="","",IF(ABS('Sales &amp; Collection'!$B$1720)&gt;'Opening Balance'!$B$16,"ALERT 警报: Different "&amp;TEXT('Sales &amp; Collection'!$B$1720,"#,##0.00")&amp;" 差额过大",""))</f>
        <v/>
      </c>
    </row>
    <row r="125">
      <c r="A125" s="5">
        <f>IF('Daily Sale entry '!A125="","",'Daily Sale entry '!A125)</f>
        <v/>
      </c>
      <c r="B125" s="6">
        <f>IF($A125="","",ROUND('Opening Balance'!$B$4+SUM('Daily Sale entry '!$K$2:K125)+SUMIFS('Daily Sale entry '!$AC$2:$AC$1501,'Daily Sale entry '!$X$2:$X$1501,"&lt;="&amp;$A125)-SUMIFS('Daily Sale entry '!$AD$2:$AD$1501,'Daily Sale entry '!$X$2:$X$1501,"&lt;="&amp;$A125)+SUMPRODUCT(('Daily Sale entry '!$Q$2:$Q$1501="Collection 收款")*('Daily Sale entry '!$R$2:$R$1501="Cheque 支票")*('Daily Sale entry '!$V$2:$V$1501&lt;&gt;"")*('Daily Sale entry '!$V$2:$V$1501&lt;=$A125)*('Daily Sale entry '!$S$2:$S$1501-'Opening Balance'!$B$15*('Daily Sale entry '!$R$2:$R$1501="Cheque 支票")*('Daily Sale entry '!$S$2:$S$1501-TRUNC('Daily Sale entry '!$S$2:$S$1501))))-'Opening Balance'!$B$15*SUMPRODUCT(('Daily Sale entry '!$X$2:$X$1501&lt;=$A125)*('Daily Sale entry '!$Z$2:$Z$1501="Online collection 网上收款")*('Daily Sale entry '!$AA$2:$AA$1501&lt;&gt;"")*('Daily Sale entry '!$AC$2:$AC$1501-TRUNC('Daily Sale entry '!$AC$2:$AC$1501))),2))</f>
        <v/>
      </c>
      <c r="C125" s="8">
        <f>IF($A125="","",'Opening Balance'!$B$5+SUM('Daily Sale entry '!$I$2:I125)-SUMIFS('Daily Sale entry '!$AB$2:$AB$1501,'Daily Sale entry '!$X$2:$X$1501,"&lt;="&amp;$A125,'Daily Sale entry '!$Z$2:$Z$1501,"Cheque deposit 支票存入")-COUNTIFS('Daily Sale entry '!$Q$2:$Q$1501,"Collection 收款",'Daily Sale entry '!$R$2:$R$1501,"Cheque 支票",'Daily Sale entry '!$V$2:$V$1501,"&lt;="&amp;$A125))</f>
        <v/>
      </c>
      <c r="D125" s="6">
        <f>IF($A125="","",ROUND('Opening Balance'!$B$6+SUM('Daily Sale entry '!$J$2:J125)-SUMIFS('Daily Sale entry '!$AC$2:$AC$1501,'Daily Sale entry '!$X$2:$X$1501,"&lt;="&amp;$A125,'Daily Sale entry '!$Z$2:$Z$1501,"Cheque deposit 支票存入")-SUMPRODUCT(('Daily Sale entry '!$Q$2:$Q$1501="Collection 收款")*('Daily Sale entry '!$R$2:$R$1501="Cheque 支票")*('Daily Sale entry '!$V$2:$V$1501&lt;&gt;"")*('Daily Sale entry '!$V$2:$V$1501&lt;=$A125)*('Daily Sale entry '!$S$2:$S$1501-'Opening Balance'!$B$15*('Daily Sale entry '!$R$2:$R$1501="Cheque 支票")*('Daily Sale entry '!$S$2:$S$1501-TRUNC('Daily Sale entry '!$S$2:$S$1501)))),2))</f>
        <v/>
      </c>
      <c r="E125" s="6">
        <f>IF($A125="","",'Opening Balance'!$B$7)</f>
        <v/>
      </c>
      <c r="F125" s="6">
        <f>IF($A125="","",ROUND(SUMIFS('Daily Sale entry '!$L$2:$L$367,'Daily Sale entry '!$A$2:$A$367,"&gt;="&amp;DATE(YEAR($A125),MONTH($A125),1),'Daily Sale entry '!$A$2:$A$367,"&lt;="&amp;$A125)+SUMIFS('Daily Sale entry '!$M$2:$M$367,'Daily Sale entry '!$A$2:$A$367,"&gt;="&amp;DATE(YEAR($A125),MONTH($A125),1),'Daily Sale entry '!$A$2:$A$367,"&lt;="&amp;$A125)+IF(AND(YEAR($A125)=YEAR('Daily Sale entry '!$A$2),MONTH($A125)=MONTH('Daily Sale entry '!$A$2)),'Opening Balance'!$B$8,0),2))</f>
        <v/>
      </c>
      <c r="G125" s="6">
        <f>IF($A125="","",MOD(ROUND('Opening Balance'!$B$9+SUMIFS('Sales &amp; Collection'!$L$1:$L$1725,'Sales &amp; Collection'!$K$1:$K$1725,"cash collection*"),2),'Opening Balance'!$B$11))</f>
        <v/>
      </c>
      <c r="H125" s="6">
        <f>IF($A125="","",ROUND('Opening Balance'!$B$10+'Opening Balance'!$B$9+SUMIFS('Sales &amp; Collection'!$L$1:$L$1725,'Sales &amp; Collection'!$K$1:$K$1725,"cash collection*")-G125-SUMIFS('Daily Sale entry '!$AC$2:$AC$1501,'Daily Sale entry '!$X$2:$X$1501,"&lt;="&amp;$A125,'Daily Sale entry '!$Z$2:$Z$1501,"Cash deposit 现金存入"),2))</f>
        <v/>
      </c>
      <c r="I125" s="6">
        <f>IF($A125="","",ROUND(B125+D125+E125+F125+G125+H125,2))</f>
        <v/>
      </c>
      <c r="J125" s="6">
        <f>IF($A125="","",'AR &amp; AP'!K126)</f>
        <v/>
      </c>
      <c r="K125" s="6">
        <f>IF($A125="","",ROUND(I125-J125-SUMIFS('Daily Sale entry '!$AC$2:$AC$1501,'Daily Sale entry '!$X$2:$X$1501,"&lt;="&amp;$A125,'Daily Sale entry '!$Z$2:$Z$1501,"Other deposit 其他存入")+SUMIFS('Daily Sale entry '!$AD$2:$AD$1501,'Daily Sale entry '!$X$2:$X$1501,"&lt;="&amp;$A125)+('Opening Balance'!$B$8+SUM('Daily Sale entry '!$L$2:M125)-F125),2))</f>
        <v/>
      </c>
      <c r="L125">
        <f>IF($A125="","",IF(ABS('Sales &amp; Collection'!$B$1734)&gt;'Opening Balance'!$B$16,"ALERT 警报: Different "&amp;TEXT('Sales &amp; Collection'!$B$1734,"#,##0.00")&amp;" 差额过大",""))</f>
        <v/>
      </c>
    </row>
    <row r="126">
      <c r="A126" s="5">
        <f>IF('Daily Sale entry '!A126="","",'Daily Sale entry '!A126)</f>
        <v/>
      </c>
      <c r="B126" s="6">
        <f>IF($A126="","",ROUND('Opening Balance'!$B$4+SUM('Daily Sale entry '!$K$2:K126)+SUMIFS('Daily Sale entry '!$AC$2:$AC$1501,'Daily Sale entry '!$X$2:$X$1501,"&lt;="&amp;$A126)-SUMIFS('Daily Sale entry '!$AD$2:$AD$1501,'Daily Sale entry '!$X$2:$X$1501,"&lt;="&amp;$A126)+SUMPRODUCT(('Daily Sale entry '!$Q$2:$Q$1501="Collection 收款")*('Daily Sale entry '!$R$2:$R$1501="Cheque 支票")*('Daily Sale entry '!$V$2:$V$1501&lt;&gt;"")*('Daily Sale entry '!$V$2:$V$1501&lt;=$A126)*('Daily Sale entry '!$S$2:$S$1501-'Opening Balance'!$B$15*('Daily Sale entry '!$R$2:$R$1501="Cheque 支票")*('Daily Sale entry '!$S$2:$S$1501-TRUNC('Daily Sale entry '!$S$2:$S$1501))))-'Opening Balance'!$B$15*SUMPRODUCT(('Daily Sale entry '!$X$2:$X$1501&lt;=$A126)*('Daily Sale entry '!$Z$2:$Z$1501="Online collection 网上收款")*('Daily Sale entry '!$AA$2:$AA$1501&lt;&gt;"")*('Daily Sale entry '!$AC$2:$AC$1501-TRUNC('Daily Sale entry '!$AC$2:$AC$1501))),2))</f>
        <v/>
      </c>
      <c r="C126" s="8">
        <f>IF($A126="","",'Opening Balance'!$B$5+SUM('Daily Sale entry '!$I$2:I126)-SUMIFS('Daily Sale entry '!$AB$2:$AB$1501,'Daily Sale entry '!$X$2:$X$1501,"&lt;="&amp;$A126,'Daily Sale entry '!$Z$2:$Z$1501,"Cheque deposit 支票存入")-COUNTIFS('Daily Sale entry '!$Q$2:$Q$1501,"Collection 收款",'Daily Sale entry '!$R$2:$R$1501,"Cheque 支票",'Daily Sale entry '!$V$2:$V$1501,"&lt;="&amp;$A126))</f>
        <v/>
      </c>
      <c r="D126" s="6">
        <f>IF($A126="","",ROUND('Opening Balance'!$B$6+SUM('Daily Sale entry '!$J$2:J126)-SUMIFS('Daily Sale entry '!$AC$2:$AC$1501,'Daily Sale entry '!$X$2:$X$1501,"&lt;="&amp;$A126,'Daily Sale entry '!$Z$2:$Z$1501,"Cheque deposit 支票存入")-SUMPRODUCT(('Daily Sale entry '!$Q$2:$Q$1501="Collection 收款")*('Daily Sale entry '!$R$2:$R$1501="Cheque 支票")*('Daily Sale entry '!$V$2:$V$1501&lt;&gt;"")*('Daily Sale entry '!$V$2:$V$1501&lt;=$A126)*('Daily Sale entry '!$S$2:$S$1501-'Opening Balance'!$B$15*('Daily Sale entry '!$R$2:$R$1501="Cheque 支票")*('Daily Sale entry '!$S$2:$S$1501-TRUNC('Daily Sale entry '!$S$2:$S$1501)))),2))</f>
        <v/>
      </c>
      <c r="E126" s="6">
        <f>IF($A126="","",'Opening Balance'!$B$7)</f>
        <v/>
      </c>
      <c r="F126" s="6">
        <f>IF($A126="","",ROUND(SUMIFS('Daily Sale entry '!$L$2:$L$367,'Daily Sale entry '!$A$2:$A$367,"&gt;="&amp;DATE(YEAR($A126),MONTH($A126),1),'Daily Sale entry '!$A$2:$A$367,"&lt;="&amp;$A126)+SUMIFS('Daily Sale entry '!$M$2:$M$367,'Daily Sale entry '!$A$2:$A$367,"&gt;="&amp;DATE(YEAR($A126),MONTH($A126),1),'Daily Sale entry '!$A$2:$A$367,"&lt;="&amp;$A126)+IF(AND(YEAR($A126)=YEAR('Daily Sale entry '!$A$2),MONTH($A126)=MONTH('Daily Sale entry '!$A$2)),'Opening Balance'!$B$8,0),2))</f>
        <v/>
      </c>
      <c r="G126" s="6">
        <f>IF($A126="","",MOD(ROUND('Opening Balance'!$B$9+SUMIFS('Sales &amp; Collection'!$L$1:$L$1739,'Sales &amp; Collection'!$K$1:$K$1739,"cash collection*"),2),'Opening Balance'!$B$11))</f>
        <v/>
      </c>
      <c r="H126" s="6">
        <f>IF($A126="","",ROUND('Opening Balance'!$B$10+'Opening Balance'!$B$9+SUMIFS('Sales &amp; Collection'!$L$1:$L$1739,'Sales &amp; Collection'!$K$1:$K$1739,"cash collection*")-G126-SUMIFS('Daily Sale entry '!$AC$2:$AC$1501,'Daily Sale entry '!$X$2:$X$1501,"&lt;="&amp;$A126,'Daily Sale entry '!$Z$2:$Z$1501,"Cash deposit 现金存入"),2))</f>
        <v/>
      </c>
      <c r="I126" s="6">
        <f>IF($A126="","",ROUND(B126+D126+E126+F126+G126+H126,2))</f>
        <v/>
      </c>
      <c r="J126" s="6">
        <f>IF($A126="","",'AR &amp; AP'!K127)</f>
        <v/>
      </c>
      <c r="K126" s="6">
        <f>IF($A126="","",ROUND(I126-J126-SUMIFS('Daily Sale entry '!$AC$2:$AC$1501,'Daily Sale entry '!$X$2:$X$1501,"&lt;="&amp;$A126,'Daily Sale entry '!$Z$2:$Z$1501,"Other deposit 其他存入")+SUMIFS('Daily Sale entry '!$AD$2:$AD$1501,'Daily Sale entry '!$X$2:$X$1501,"&lt;="&amp;$A126)+('Opening Balance'!$B$8+SUM('Daily Sale entry '!$L$2:M126)-F126),2))</f>
        <v/>
      </c>
      <c r="L126">
        <f>IF($A126="","",IF(ABS('Sales &amp; Collection'!$B$1748)&gt;'Opening Balance'!$B$16,"ALERT 警报: Different "&amp;TEXT('Sales &amp; Collection'!$B$1748,"#,##0.00")&amp;" 差额过大",""))</f>
        <v/>
      </c>
    </row>
    <row r="127">
      <c r="A127" s="5">
        <f>IF('Daily Sale entry '!A127="","",'Daily Sale entry '!A127)</f>
        <v/>
      </c>
      <c r="B127" s="6">
        <f>IF($A127="","",ROUND('Opening Balance'!$B$4+SUM('Daily Sale entry '!$K$2:K127)+SUMIFS('Daily Sale entry '!$AC$2:$AC$1501,'Daily Sale entry '!$X$2:$X$1501,"&lt;="&amp;$A127)-SUMIFS('Daily Sale entry '!$AD$2:$AD$1501,'Daily Sale entry '!$X$2:$X$1501,"&lt;="&amp;$A127)+SUMPRODUCT(('Daily Sale entry '!$Q$2:$Q$1501="Collection 收款")*('Daily Sale entry '!$R$2:$R$1501="Cheque 支票")*('Daily Sale entry '!$V$2:$V$1501&lt;&gt;"")*('Daily Sale entry '!$V$2:$V$1501&lt;=$A127)*('Daily Sale entry '!$S$2:$S$1501-'Opening Balance'!$B$15*('Daily Sale entry '!$R$2:$R$1501="Cheque 支票")*('Daily Sale entry '!$S$2:$S$1501-TRUNC('Daily Sale entry '!$S$2:$S$1501))))-'Opening Balance'!$B$15*SUMPRODUCT(('Daily Sale entry '!$X$2:$X$1501&lt;=$A127)*('Daily Sale entry '!$Z$2:$Z$1501="Online collection 网上收款")*('Daily Sale entry '!$AA$2:$AA$1501&lt;&gt;"")*('Daily Sale entry '!$AC$2:$AC$1501-TRUNC('Daily Sale entry '!$AC$2:$AC$1501))),2))</f>
        <v/>
      </c>
      <c r="C127" s="8">
        <f>IF($A127="","",'Opening Balance'!$B$5+SUM('Daily Sale entry '!$I$2:I127)-SUMIFS('Daily Sale entry '!$AB$2:$AB$1501,'Daily Sale entry '!$X$2:$X$1501,"&lt;="&amp;$A127,'Daily Sale entry '!$Z$2:$Z$1501,"Cheque deposit 支票存入")-COUNTIFS('Daily Sale entry '!$Q$2:$Q$1501,"Collection 收款",'Daily Sale entry '!$R$2:$R$1501,"Cheque 支票",'Daily Sale entry '!$V$2:$V$1501,"&lt;="&amp;$A127))</f>
        <v/>
      </c>
      <c r="D127" s="6">
        <f>IF($A127="","",ROUND('Opening Balance'!$B$6+SUM('Daily Sale entry '!$J$2:J127)-SUMIFS('Daily Sale entry '!$AC$2:$AC$1501,'Daily Sale entry '!$X$2:$X$1501,"&lt;="&amp;$A127,'Daily Sale entry '!$Z$2:$Z$1501,"Cheque deposit 支票存入")-SUMPRODUCT(('Daily Sale entry '!$Q$2:$Q$1501="Collection 收款")*('Daily Sale entry '!$R$2:$R$1501="Cheque 支票")*('Daily Sale entry '!$V$2:$V$1501&lt;&gt;"")*('Daily Sale entry '!$V$2:$V$1501&lt;=$A127)*('Daily Sale entry '!$S$2:$S$1501-'Opening Balance'!$B$15*('Daily Sale entry '!$R$2:$R$1501="Cheque 支票")*('Daily Sale entry '!$S$2:$S$1501-TRUNC('Daily Sale entry '!$S$2:$S$1501)))),2))</f>
        <v/>
      </c>
      <c r="E127" s="6">
        <f>IF($A127="","",'Opening Balance'!$B$7)</f>
        <v/>
      </c>
      <c r="F127" s="6">
        <f>IF($A127="","",ROUND(SUMIFS('Daily Sale entry '!$L$2:$L$367,'Daily Sale entry '!$A$2:$A$367,"&gt;="&amp;DATE(YEAR($A127),MONTH($A127),1),'Daily Sale entry '!$A$2:$A$367,"&lt;="&amp;$A127)+SUMIFS('Daily Sale entry '!$M$2:$M$367,'Daily Sale entry '!$A$2:$A$367,"&gt;="&amp;DATE(YEAR($A127),MONTH($A127),1),'Daily Sale entry '!$A$2:$A$367,"&lt;="&amp;$A127)+IF(AND(YEAR($A127)=YEAR('Daily Sale entry '!$A$2),MONTH($A127)=MONTH('Daily Sale entry '!$A$2)),'Opening Balance'!$B$8,0),2))</f>
        <v/>
      </c>
      <c r="G127" s="6">
        <f>IF($A127="","",MOD(ROUND('Opening Balance'!$B$9+SUMIFS('Sales &amp; Collection'!$L$1:$L$1753,'Sales &amp; Collection'!$K$1:$K$1753,"cash collection*"),2),'Opening Balance'!$B$11))</f>
        <v/>
      </c>
      <c r="H127" s="6">
        <f>IF($A127="","",ROUND('Opening Balance'!$B$10+'Opening Balance'!$B$9+SUMIFS('Sales &amp; Collection'!$L$1:$L$1753,'Sales &amp; Collection'!$K$1:$K$1753,"cash collection*")-G127-SUMIFS('Daily Sale entry '!$AC$2:$AC$1501,'Daily Sale entry '!$X$2:$X$1501,"&lt;="&amp;$A127,'Daily Sale entry '!$Z$2:$Z$1501,"Cash deposit 现金存入"),2))</f>
        <v/>
      </c>
      <c r="I127" s="6">
        <f>IF($A127="","",ROUND(B127+D127+E127+F127+G127+H127,2))</f>
        <v/>
      </c>
      <c r="J127" s="6">
        <f>IF($A127="","",'AR &amp; AP'!K128)</f>
        <v/>
      </c>
      <c r="K127" s="6">
        <f>IF($A127="","",ROUND(I127-J127-SUMIFS('Daily Sale entry '!$AC$2:$AC$1501,'Daily Sale entry '!$X$2:$X$1501,"&lt;="&amp;$A127,'Daily Sale entry '!$Z$2:$Z$1501,"Other deposit 其他存入")+SUMIFS('Daily Sale entry '!$AD$2:$AD$1501,'Daily Sale entry '!$X$2:$X$1501,"&lt;="&amp;$A127)+('Opening Balance'!$B$8+SUM('Daily Sale entry '!$L$2:M127)-F127),2))</f>
        <v/>
      </c>
      <c r="L127">
        <f>IF($A127="","",IF(ABS('Sales &amp; Collection'!$B$1762)&gt;'Opening Balance'!$B$16,"ALERT 警报: Different "&amp;TEXT('Sales &amp; Collection'!$B$1762,"#,##0.00")&amp;" 差额过大",""))</f>
        <v/>
      </c>
    </row>
    <row r="128">
      <c r="A128" s="5">
        <f>IF('Daily Sale entry '!A128="","",'Daily Sale entry '!A128)</f>
        <v/>
      </c>
      <c r="B128" s="6">
        <f>IF($A128="","",ROUND('Opening Balance'!$B$4+SUM('Daily Sale entry '!$K$2:K128)+SUMIFS('Daily Sale entry '!$AC$2:$AC$1501,'Daily Sale entry '!$X$2:$X$1501,"&lt;="&amp;$A128)-SUMIFS('Daily Sale entry '!$AD$2:$AD$1501,'Daily Sale entry '!$X$2:$X$1501,"&lt;="&amp;$A128)+SUMPRODUCT(('Daily Sale entry '!$Q$2:$Q$1501="Collection 收款")*('Daily Sale entry '!$R$2:$R$1501="Cheque 支票")*('Daily Sale entry '!$V$2:$V$1501&lt;&gt;"")*('Daily Sale entry '!$V$2:$V$1501&lt;=$A128)*('Daily Sale entry '!$S$2:$S$1501-'Opening Balance'!$B$15*('Daily Sale entry '!$R$2:$R$1501="Cheque 支票")*('Daily Sale entry '!$S$2:$S$1501-TRUNC('Daily Sale entry '!$S$2:$S$1501))))-'Opening Balance'!$B$15*SUMPRODUCT(('Daily Sale entry '!$X$2:$X$1501&lt;=$A128)*('Daily Sale entry '!$Z$2:$Z$1501="Online collection 网上收款")*('Daily Sale entry '!$AA$2:$AA$1501&lt;&gt;"")*('Daily Sale entry '!$AC$2:$AC$1501-TRUNC('Daily Sale entry '!$AC$2:$AC$1501))),2))</f>
        <v/>
      </c>
      <c r="C128" s="8">
        <f>IF($A128="","",'Opening Balance'!$B$5+SUM('Daily Sale entry '!$I$2:I128)-SUMIFS('Daily Sale entry '!$AB$2:$AB$1501,'Daily Sale entry '!$X$2:$X$1501,"&lt;="&amp;$A128,'Daily Sale entry '!$Z$2:$Z$1501,"Cheque deposit 支票存入")-COUNTIFS('Daily Sale entry '!$Q$2:$Q$1501,"Collection 收款",'Daily Sale entry '!$R$2:$R$1501,"Cheque 支票",'Daily Sale entry '!$V$2:$V$1501,"&lt;="&amp;$A128))</f>
        <v/>
      </c>
      <c r="D128" s="6">
        <f>IF($A128="","",ROUND('Opening Balance'!$B$6+SUM('Daily Sale entry '!$J$2:J128)-SUMIFS('Daily Sale entry '!$AC$2:$AC$1501,'Daily Sale entry '!$X$2:$X$1501,"&lt;="&amp;$A128,'Daily Sale entry '!$Z$2:$Z$1501,"Cheque deposit 支票存入")-SUMPRODUCT(('Daily Sale entry '!$Q$2:$Q$1501="Collection 收款")*('Daily Sale entry '!$R$2:$R$1501="Cheque 支票")*('Daily Sale entry '!$V$2:$V$1501&lt;&gt;"")*('Daily Sale entry '!$V$2:$V$1501&lt;=$A128)*('Daily Sale entry '!$S$2:$S$1501-'Opening Balance'!$B$15*('Daily Sale entry '!$R$2:$R$1501="Cheque 支票")*('Daily Sale entry '!$S$2:$S$1501-TRUNC('Daily Sale entry '!$S$2:$S$1501)))),2))</f>
        <v/>
      </c>
      <c r="E128" s="6">
        <f>IF($A128="","",'Opening Balance'!$B$7)</f>
        <v/>
      </c>
      <c r="F128" s="6">
        <f>IF($A128="","",ROUND(SUMIFS('Daily Sale entry '!$L$2:$L$367,'Daily Sale entry '!$A$2:$A$367,"&gt;="&amp;DATE(YEAR($A128),MONTH($A128),1),'Daily Sale entry '!$A$2:$A$367,"&lt;="&amp;$A128)+SUMIFS('Daily Sale entry '!$M$2:$M$367,'Daily Sale entry '!$A$2:$A$367,"&gt;="&amp;DATE(YEAR($A128),MONTH($A128),1),'Daily Sale entry '!$A$2:$A$367,"&lt;="&amp;$A128)+IF(AND(YEAR($A128)=YEAR('Daily Sale entry '!$A$2),MONTH($A128)=MONTH('Daily Sale entry '!$A$2)),'Opening Balance'!$B$8,0),2))</f>
        <v/>
      </c>
      <c r="G128" s="6">
        <f>IF($A128="","",MOD(ROUND('Opening Balance'!$B$9+SUMIFS('Sales &amp; Collection'!$L$1:$L$1767,'Sales &amp; Collection'!$K$1:$K$1767,"cash collection*"),2),'Opening Balance'!$B$11))</f>
        <v/>
      </c>
      <c r="H128" s="6">
        <f>IF($A128="","",ROUND('Opening Balance'!$B$10+'Opening Balance'!$B$9+SUMIFS('Sales &amp; Collection'!$L$1:$L$1767,'Sales &amp; Collection'!$K$1:$K$1767,"cash collection*")-G128-SUMIFS('Daily Sale entry '!$AC$2:$AC$1501,'Daily Sale entry '!$X$2:$X$1501,"&lt;="&amp;$A128,'Daily Sale entry '!$Z$2:$Z$1501,"Cash deposit 现金存入"),2))</f>
        <v/>
      </c>
      <c r="I128" s="6">
        <f>IF($A128="","",ROUND(B128+D128+E128+F128+G128+H128,2))</f>
        <v/>
      </c>
      <c r="J128" s="6">
        <f>IF($A128="","",'AR &amp; AP'!K129)</f>
        <v/>
      </c>
      <c r="K128" s="6">
        <f>IF($A128="","",ROUND(I128-J128-SUMIFS('Daily Sale entry '!$AC$2:$AC$1501,'Daily Sale entry '!$X$2:$X$1501,"&lt;="&amp;$A128,'Daily Sale entry '!$Z$2:$Z$1501,"Other deposit 其他存入")+SUMIFS('Daily Sale entry '!$AD$2:$AD$1501,'Daily Sale entry '!$X$2:$X$1501,"&lt;="&amp;$A128)+('Opening Balance'!$B$8+SUM('Daily Sale entry '!$L$2:M128)-F128),2))</f>
        <v/>
      </c>
      <c r="L128">
        <f>IF($A128="","",IF(ABS('Sales &amp; Collection'!$B$1776)&gt;'Opening Balance'!$B$16,"ALERT 警报: Different "&amp;TEXT('Sales &amp; Collection'!$B$1776,"#,##0.00")&amp;" 差额过大",""))</f>
        <v/>
      </c>
    </row>
    <row r="129">
      <c r="A129" s="5">
        <f>IF('Daily Sale entry '!A129="","",'Daily Sale entry '!A129)</f>
        <v/>
      </c>
      <c r="B129" s="6">
        <f>IF($A129="","",ROUND('Opening Balance'!$B$4+SUM('Daily Sale entry '!$K$2:K129)+SUMIFS('Daily Sale entry '!$AC$2:$AC$1501,'Daily Sale entry '!$X$2:$X$1501,"&lt;="&amp;$A129)-SUMIFS('Daily Sale entry '!$AD$2:$AD$1501,'Daily Sale entry '!$X$2:$X$1501,"&lt;="&amp;$A129)+SUMPRODUCT(('Daily Sale entry '!$Q$2:$Q$1501="Collection 收款")*('Daily Sale entry '!$R$2:$R$1501="Cheque 支票")*('Daily Sale entry '!$V$2:$V$1501&lt;&gt;"")*('Daily Sale entry '!$V$2:$V$1501&lt;=$A129)*('Daily Sale entry '!$S$2:$S$1501-'Opening Balance'!$B$15*('Daily Sale entry '!$R$2:$R$1501="Cheque 支票")*('Daily Sale entry '!$S$2:$S$1501-TRUNC('Daily Sale entry '!$S$2:$S$1501))))-'Opening Balance'!$B$15*SUMPRODUCT(('Daily Sale entry '!$X$2:$X$1501&lt;=$A129)*('Daily Sale entry '!$Z$2:$Z$1501="Online collection 网上收款")*('Daily Sale entry '!$AA$2:$AA$1501&lt;&gt;"")*('Daily Sale entry '!$AC$2:$AC$1501-TRUNC('Daily Sale entry '!$AC$2:$AC$1501))),2))</f>
        <v/>
      </c>
      <c r="C129" s="8">
        <f>IF($A129="","",'Opening Balance'!$B$5+SUM('Daily Sale entry '!$I$2:I129)-SUMIFS('Daily Sale entry '!$AB$2:$AB$1501,'Daily Sale entry '!$X$2:$X$1501,"&lt;="&amp;$A129,'Daily Sale entry '!$Z$2:$Z$1501,"Cheque deposit 支票存入")-COUNTIFS('Daily Sale entry '!$Q$2:$Q$1501,"Collection 收款",'Daily Sale entry '!$R$2:$R$1501,"Cheque 支票",'Daily Sale entry '!$V$2:$V$1501,"&lt;="&amp;$A129))</f>
        <v/>
      </c>
      <c r="D129" s="6">
        <f>IF($A129="","",ROUND('Opening Balance'!$B$6+SUM('Daily Sale entry '!$J$2:J129)-SUMIFS('Daily Sale entry '!$AC$2:$AC$1501,'Daily Sale entry '!$X$2:$X$1501,"&lt;="&amp;$A129,'Daily Sale entry '!$Z$2:$Z$1501,"Cheque deposit 支票存入")-SUMPRODUCT(('Daily Sale entry '!$Q$2:$Q$1501="Collection 收款")*('Daily Sale entry '!$R$2:$R$1501="Cheque 支票")*('Daily Sale entry '!$V$2:$V$1501&lt;&gt;"")*('Daily Sale entry '!$V$2:$V$1501&lt;=$A129)*('Daily Sale entry '!$S$2:$S$1501-'Opening Balance'!$B$15*('Daily Sale entry '!$R$2:$R$1501="Cheque 支票")*('Daily Sale entry '!$S$2:$S$1501-TRUNC('Daily Sale entry '!$S$2:$S$1501)))),2))</f>
        <v/>
      </c>
      <c r="E129" s="6">
        <f>IF($A129="","",'Opening Balance'!$B$7)</f>
        <v/>
      </c>
      <c r="F129" s="6">
        <f>IF($A129="","",ROUND(SUMIFS('Daily Sale entry '!$L$2:$L$367,'Daily Sale entry '!$A$2:$A$367,"&gt;="&amp;DATE(YEAR($A129),MONTH($A129),1),'Daily Sale entry '!$A$2:$A$367,"&lt;="&amp;$A129)+SUMIFS('Daily Sale entry '!$M$2:$M$367,'Daily Sale entry '!$A$2:$A$367,"&gt;="&amp;DATE(YEAR($A129),MONTH($A129),1),'Daily Sale entry '!$A$2:$A$367,"&lt;="&amp;$A129)+IF(AND(YEAR($A129)=YEAR('Daily Sale entry '!$A$2),MONTH($A129)=MONTH('Daily Sale entry '!$A$2)),'Opening Balance'!$B$8,0),2))</f>
        <v/>
      </c>
      <c r="G129" s="6">
        <f>IF($A129="","",MOD(ROUND('Opening Balance'!$B$9+SUMIFS('Sales &amp; Collection'!$L$1:$L$1781,'Sales &amp; Collection'!$K$1:$K$1781,"cash collection*"),2),'Opening Balance'!$B$11))</f>
        <v/>
      </c>
      <c r="H129" s="6">
        <f>IF($A129="","",ROUND('Opening Balance'!$B$10+'Opening Balance'!$B$9+SUMIFS('Sales &amp; Collection'!$L$1:$L$1781,'Sales &amp; Collection'!$K$1:$K$1781,"cash collection*")-G129-SUMIFS('Daily Sale entry '!$AC$2:$AC$1501,'Daily Sale entry '!$X$2:$X$1501,"&lt;="&amp;$A129,'Daily Sale entry '!$Z$2:$Z$1501,"Cash deposit 现金存入"),2))</f>
        <v/>
      </c>
      <c r="I129" s="6">
        <f>IF($A129="","",ROUND(B129+D129+E129+F129+G129+H129,2))</f>
        <v/>
      </c>
      <c r="J129" s="6">
        <f>IF($A129="","",'AR &amp; AP'!K130)</f>
        <v/>
      </c>
      <c r="K129" s="6">
        <f>IF($A129="","",ROUND(I129-J129-SUMIFS('Daily Sale entry '!$AC$2:$AC$1501,'Daily Sale entry '!$X$2:$X$1501,"&lt;="&amp;$A129,'Daily Sale entry '!$Z$2:$Z$1501,"Other deposit 其他存入")+SUMIFS('Daily Sale entry '!$AD$2:$AD$1501,'Daily Sale entry '!$X$2:$X$1501,"&lt;="&amp;$A129)+('Opening Balance'!$B$8+SUM('Daily Sale entry '!$L$2:M129)-F129),2))</f>
        <v/>
      </c>
      <c r="L129">
        <f>IF($A129="","",IF(ABS('Sales &amp; Collection'!$B$1790)&gt;'Opening Balance'!$B$16,"ALERT 警报: Different "&amp;TEXT('Sales &amp; Collection'!$B$1790,"#,##0.00")&amp;" 差额过大",""))</f>
        <v/>
      </c>
    </row>
    <row r="130">
      <c r="A130" s="5">
        <f>IF('Daily Sale entry '!A130="","",'Daily Sale entry '!A130)</f>
        <v/>
      </c>
      <c r="B130" s="6">
        <f>IF($A130="","",ROUND('Opening Balance'!$B$4+SUM('Daily Sale entry '!$K$2:K130)+SUMIFS('Daily Sale entry '!$AC$2:$AC$1501,'Daily Sale entry '!$X$2:$X$1501,"&lt;="&amp;$A130)-SUMIFS('Daily Sale entry '!$AD$2:$AD$1501,'Daily Sale entry '!$X$2:$X$1501,"&lt;="&amp;$A130)+SUMPRODUCT(('Daily Sale entry '!$Q$2:$Q$1501="Collection 收款")*('Daily Sale entry '!$R$2:$R$1501="Cheque 支票")*('Daily Sale entry '!$V$2:$V$1501&lt;&gt;"")*('Daily Sale entry '!$V$2:$V$1501&lt;=$A130)*('Daily Sale entry '!$S$2:$S$1501-'Opening Balance'!$B$15*('Daily Sale entry '!$R$2:$R$1501="Cheque 支票")*('Daily Sale entry '!$S$2:$S$1501-TRUNC('Daily Sale entry '!$S$2:$S$1501))))-'Opening Balance'!$B$15*SUMPRODUCT(('Daily Sale entry '!$X$2:$X$1501&lt;=$A130)*('Daily Sale entry '!$Z$2:$Z$1501="Online collection 网上收款")*('Daily Sale entry '!$AA$2:$AA$1501&lt;&gt;"")*('Daily Sale entry '!$AC$2:$AC$1501-TRUNC('Daily Sale entry '!$AC$2:$AC$1501))),2))</f>
        <v/>
      </c>
      <c r="C130" s="8">
        <f>IF($A130="","",'Opening Balance'!$B$5+SUM('Daily Sale entry '!$I$2:I130)-SUMIFS('Daily Sale entry '!$AB$2:$AB$1501,'Daily Sale entry '!$X$2:$X$1501,"&lt;="&amp;$A130,'Daily Sale entry '!$Z$2:$Z$1501,"Cheque deposit 支票存入")-COUNTIFS('Daily Sale entry '!$Q$2:$Q$1501,"Collection 收款",'Daily Sale entry '!$R$2:$R$1501,"Cheque 支票",'Daily Sale entry '!$V$2:$V$1501,"&lt;="&amp;$A130))</f>
        <v/>
      </c>
      <c r="D130" s="6">
        <f>IF($A130="","",ROUND('Opening Balance'!$B$6+SUM('Daily Sale entry '!$J$2:J130)-SUMIFS('Daily Sale entry '!$AC$2:$AC$1501,'Daily Sale entry '!$X$2:$X$1501,"&lt;="&amp;$A130,'Daily Sale entry '!$Z$2:$Z$1501,"Cheque deposit 支票存入")-SUMPRODUCT(('Daily Sale entry '!$Q$2:$Q$1501="Collection 收款")*('Daily Sale entry '!$R$2:$R$1501="Cheque 支票")*('Daily Sale entry '!$V$2:$V$1501&lt;&gt;"")*('Daily Sale entry '!$V$2:$V$1501&lt;=$A130)*('Daily Sale entry '!$S$2:$S$1501-'Opening Balance'!$B$15*('Daily Sale entry '!$R$2:$R$1501="Cheque 支票")*('Daily Sale entry '!$S$2:$S$1501-TRUNC('Daily Sale entry '!$S$2:$S$1501)))),2))</f>
        <v/>
      </c>
      <c r="E130" s="6">
        <f>IF($A130="","",'Opening Balance'!$B$7)</f>
        <v/>
      </c>
      <c r="F130" s="6">
        <f>IF($A130="","",ROUND(SUMIFS('Daily Sale entry '!$L$2:$L$367,'Daily Sale entry '!$A$2:$A$367,"&gt;="&amp;DATE(YEAR($A130),MONTH($A130),1),'Daily Sale entry '!$A$2:$A$367,"&lt;="&amp;$A130)+SUMIFS('Daily Sale entry '!$M$2:$M$367,'Daily Sale entry '!$A$2:$A$367,"&gt;="&amp;DATE(YEAR($A130),MONTH($A130),1),'Daily Sale entry '!$A$2:$A$367,"&lt;="&amp;$A130)+IF(AND(YEAR($A130)=YEAR('Daily Sale entry '!$A$2),MONTH($A130)=MONTH('Daily Sale entry '!$A$2)),'Opening Balance'!$B$8,0),2))</f>
        <v/>
      </c>
      <c r="G130" s="6">
        <f>IF($A130="","",MOD(ROUND('Opening Balance'!$B$9+SUMIFS('Sales &amp; Collection'!$L$1:$L$1795,'Sales &amp; Collection'!$K$1:$K$1795,"cash collection*"),2),'Opening Balance'!$B$11))</f>
        <v/>
      </c>
      <c r="H130" s="6">
        <f>IF($A130="","",ROUND('Opening Balance'!$B$10+'Opening Balance'!$B$9+SUMIFS('Sales &amp; Collection'!$L$1:$L$1795,'Sales &amp; Collection'!$K$1:$K$1795,"cash collection*")-G130-SUMIFS('Daily Sale entry '!$AC$2:$AC$1501,'Daily Sale entry '!$X$2:$X$1501,"&lt;="&amp;$A130,'Daily Sale entry '!$Z$2:$Z$1501,"Cash deposit 现金存入"),2))</f>
        <v/>
      </c>
      <c r="I130" s="6">
        <f>IF($A130="","",ROUND(B130+D130+E130+F130+G130+H130,2))</f>
        <v/>
      </c>
      <c r="J130" s="6">
        <f>IF($A130="","",'AR &amp; AP'!K131)</f>
        <v/>
      </c>
      <c r="K130" s="6">
        <f>IF($A130="","",ROUND(I130-J130-SUMIFS('Daily Sale entry '!$AC$2:$AC$1501,'Daily Sale entry '!$X$2:$X$1501,"&lt;="&amp;$A130,'Daily Sale entry '!$Z$2:$Z$1501,"Other deposit 其他存入")+SUMIFS('Daily Sale entry '!$AD$2:$AD$1501,'Daily Sale entry '!$X$2:$X$1501,"&lt;="&amp;$A130)+('Opening Balance'!$B$8+SUM('Daily Sale entry '!$L$2:M130)-F130),2))</f>
        <v/>
      </c>
      <c r="L130">
        <f>IF($A130="","",IF(ABS('Sales &amp; Collection'!$B$1804)&gt;'Opening Balance'!$B$16,"ALERT 警报: Different "&amp;TEXT('Sales &amp; Collection'!$B$1804,"#,##0.00")&amp;" 差额过大",""))</f>
        <v/>
      </c>
    </row>
    <row r="131">
      <c r="A131" s="5">
        <f>IF('Daily Sale entry '!A131="","",'Daily Sale entry '!A131)</f>
        <v/>
      </c>
      <c r="B131" s="6">
        <f>IF($A131="","",ROUND('Opening Balance'!$B$4+SUM('Daily Sale entry '!$K$2:K131)+SUMIFS('Daily Sale entry '!$AC$2:$AC$1501,'Daily Sale entry '!$X$2:$X$1501,"&lt;="&amp;$A131)-SUMIFS('Daily Sale entry '!$AD$2:$AD$1501,'Daily Sale entry '!$X$2:$X$1501,"&lt;="&amp;$A131)+SUMPRODUCT(('Daily Sale entry '!$Q$2:$Q$1501="Collection 收款")*('Daily Sale entry '!$R$2:$R$1501="Cheque 支票")*('Daily Sale entry '!$V$2:$V$1501&lt;&gt;"")*('Daily Sale entry '!$V$2:$V$1501&lt;=$A131)*('Daily Sale entry '!$S$2:$S$1501-'Opening Balance'!$B$15*('Daily Sale entry '!$R$2:$R$1501="Cheque 支票")*('Daily Sale entry '!$S$2:$S$1501-TRUNC('Daily Sale entry '!$S$2:$S$1501))))-'Opening Balance'!$B$15*SUMPRODUCT(('Daily Sale entry '!$X$2:$X$1501&lt;=$A131)*('Daily Sale entry '!$Z$2:$Z$1501="Online collection 网上收款")*('Daily Sale entry '!$AA$2:$AA$1501&lt;&gt;"")*('Daily Sale entry '!$AC$2:$AC$1501-TRUNC('Daily Sale entry '!$AC$2:$AC$1501))),2))</f>
        <v/>
      </c>
      <c r="C131" s="8">
        <f>IF($A131="","",'Opening Balance'!$B$5+SUM('Daily Sale entry '!$I$2:I131)-SUMIFS('Daily Sale entry '!$AB$2:$AB$1501,'Daily Sale entry '!$X$2:$X$1501,"&lt;="&amp;$A131,'Daily Sale entry '!$Z$2:$Z$1501,"Cheque deposit 支票存入")-COUNTIFS('Daily Sale entry '!$Q$2:$Q$1501,"Collection 收款",'Daily Sale entry '!$R$2:$R$1501,"Cheque 支票",'Daily Sale entry '!$V$2:$V$1501,"&lt;="&amp;$A131))</f>
        <v/>
      </c>
      <c r="D131" s="6">
        <f>IF($A131="","",ROUND('Opening Balance'!$B$6+SUM('Daily Sale entry '!$J$2:J131)-SUMIFS('Daily Sale entry '!$AC$2:$AC$1501,'Daily Sale entry '!$X$2:$X$1501,"&lt;="&amp;$A131,'Daily Sale entry '!$Z$2:$Z$1501,"Cheque deposit 支票存入")-SUMPRODUCT(('Daily Sale entry '!$Q$2:$Q$1501="Collection 收款")*('Daily Sale entry '!$R$2:$R$1501="Cheque 支票")*('Daily Sale entry '!$V$2:$V$1501&lt;&gt;"")*('Daily Sale entry '!$V$2:$V$1501&lt;=$A131)*('Daily Sale entry '!$S$2:$S$1501-'Opening Balance'!$B$15*('Daily Sale entry '!$R$2:$R$1501="Cheque 支票")*('Daily Sale entry '!$S$2:$S$1501-TRUNC('Daily Sale entry '!$S$2:$S$1501)))),2))</f>
        <v/>
      </c>
      <c r="E131" s="6">
        <f>IF($A131="","",'Opening Balance'!$B$7)</f>
        <v/>
      </c>
      <c r="F131" s="6">
        <f>IF($A131="","",ROUND(SUMIFS('Daily Sale entry '!$L$2:$L$367,'Daily Sale entry '!$A$2:$A$367,"&gt;="&amp;DATE(YEAR($A131),MONTH($A131),1),'Daily Sale entry '!$A$2:$A$367,"&lt;="&amp;$A131)+SUMIFS('Daily Sale entry '!$M$2:$M$367,'Daily Sale entry '!$A$2:$A$367,"&gt;="&amp;DATE(YEAR($A131),MONTH($A131),1),'Daily Sale entry '!$A$2:$A$367,"&lt;="&amp;$A131)+IF(AND(YEAR($A131)=YEAR('Daily Sale entry '!$A$2),MONTH($A131)=MONTH('Daily Sale entry '!$A$2)),'Opening Balance'!$B$8,0),2))</f>
        <v/>
      </c>
      <c r="G131" s="6">
        <f>IF($A131="","",MOD(ROUND('Opening Balance'!$B$9+SUMIFS('Sales &amp; Collection'!$L$1:$L$1809,'Sales &amp; Collection'!$K$1:$K$1809,"cash collection*"),2),'Opening Balance'!$B$11))</f>
        <v/>
      </c>
      <c r="H131" s="6">
        <f>IF($A131="","",ROUND('Opening Balance'!$B$10+'Opening Balance'!$B$9+SUMIFS('Sales &amp; Collection'!$L$1:$L$1809,'Sales &amp; Collection'!$K$1:$K$1809,"cash collection*")-G131-SUMIFS('Daily Sale entry '!$AC$2:$AC$1501,'Daily Sale entry '!$X$2:$X$1501,"&lt;="&amp;$A131,'Daily Sale entry '!$Z$2:$Z$1501,"Cash deposit 现金存入"),2))</f>
        <v/>
      </c>
      <c r="I131" s="6">
        <f>IF($A131="","",ROUND(B131+D131+E131+F131+G131+H131,2))</f>
        <v/>
      </c>
      <c r="J131" s="6">
        <f>IF($A131="","",'AR &amp; AP'!K132)</f>
        <v/>
      </c>
      <c r="K131" s="6">
        <f>IF($A131="","",ROUND(I131-J131-SUMIFS('Daily Sale entry '!$AC$2:$AC$1501,'Daily Sale entry '!$X$2:$X$1501,"&lt;="&amp;$A131,'Daily Sale entry '!$Z$2:$Z$1501,"Other deposit 其他存入")+SUMIFS('Daily Sale entry '!$AD$2:$AD$1501,'Daily Sale entry '!$X$2:$X$1501,"&lt;="&amp;$A131)+('Opening Balance'!$B$8+SUM('Daily Sale entry '!$L$2:M131)-F131),2))</f>
        <v/>
      </c>
      <c r="L131">
        <f>IF($A131="","",IF(ABS('Sales &amp; Collection'!$B$1818)&gt;'Opening Balance'!$B$16,"ALERT 警报: Different "&amp;TEXT('Sales &amp; Collection'!$B$1818,"#,##0.00")&amp;" 差额过大",""))</f>
        <v/>
      </c>
    </row>
    <row r="132">
      <c r="A132" s="5">
        <f>IF('Daily Sale entry '!A132="","",'Daily Sale entry '!A132)</f>
        <v/>
      </c>
      <c r="B132" s="6">
        <f>IF($A132="","",ROUND('Opening Balance'!$B$4+SUM('Daily Sale entry '!$K$2:K132)+SUMIFS('Daily Sale entry '!$AC$2:$AC$1501,'Daily Sale entry '!$X$2:$X$1501,"&lt;="&amp;$A132)-SUMIFS('Daily Sale entry '!$AD$2:$AD$1501,'Daily Sale entry '!$X$2:$X$1501,"&lt;="&amp;$A132)+SUMPRODUCT(('Daily Sale entry '!$Q$2:$Q$1501="Collection 收款")*('Daily Sale entry '!$R$2:$R$1501="Cheque 支票")*('Daily Sale entry '!$V$2:$V$1501&lt;&gt;"")*('Daily Sale entry '!$V$2:$V$1501&lt;=$A132)*('Daily Sale entry '!$S$2:$S$1501-'Opening Balance'!$B$15*('Daily Sale entry '!$R$2:$R$1501="Cheque 支票")*('Daily Sale entry '!$S$2:$S$1501-TRUNC('Daily Sale entry '!$S$2:$S$1501))))-'Opening Balance'!$B$15*SUMPRODUCT(('Daily Sale entry '!$X$2:$X$1501&lt;=$A132)*('Daily Sale entry '!$Z$2:$Z$1501="Online collection 网上收款")*('Daily Sale entry '!$AA$2:$AA$1501&lt;&gt;"")*('Daily Sale entry '!$AC$2:$AC$1501-TRUNC('Daily Sale entry '!$AC$2:$AC$1501))),2))</f>
        <v/>
      </c>
      <c r="C132" s="8">
        <f>IF($A132="","",'Opening Balance'!$B$5+SUM('Daily Sale entry '!$I$2:I132)-SUMIFS('Daily Sale entry '!$AB$2:$AB$1501,'Daily Sale entry '!$X$2:$X$1501,"&lt;="&amp;$A132,'Daily Sale entry '!$Z$2:$Z$1501,"Cheque deposit 支票存入")-COUNTIFS('Daily Sale entry '!$Q$2:$Q$1501,"Collection 收款",'Daily Sale entry '!$R$2:$R$1501,"Cheque 支票",'Daily Sale entry '!$V$2:$V$1501,"&lt;="&amp;$A132))</f>
        <v/>
      </c>
      <c r="D132" s="6">
        <f>IF($A132="","",ROUND('Opening Balance'!$B$6+SUM('Daily Sale entry '!$J$2:J132)-SUMIFS('Daily Sale entry '!$AC$2:$AC$1501,'Daily Sale entry '!$X$2:$X$1501,"&lt;="&amp;$A132,'Daily Sale entry '!$Z$2:$Z$1501,"Cheque deposit 支票存入")-SUMPRODUCT(('Daily Sale entry '!$Q$2:$Q$1501="Collection 收款")*('Daily Sale entry '!$R$2:$R$1501="Cheque 支票")*('Daily Sale entry '!$V$2:$V$1501&lt;&gt;"")*('Daily Sale entry '!$V$2:$V$1501&lt;=$A132)*('Daily Sale entry '!$S$2:$S$1501-'Opening Balance'!$B$15*('Daily Sale entry '!$R$2:$R$1501="Cheque 支票")*('Daily Sale entry '!$S$2:$S$1501-TRUNC('Daily Sale entry '!$S$2:$S$1501)))),2))</f>
        <v/>
      </c>
      <c r="E132" s="6">
        <f>IF($A132="","",'Opening Balance'!$B$7)</f>
        <v/>
      </c>
      <c r="F132" s="6">
        <f>IF($A132="","",ROUND(SUMIFS('Daily Sale entry '!$L$2:$L$367,'Daily Sale entry '!$A$2:$A$367,"&gt;="&amp;DATE(YEAR($A132),MONTH($A132),1),'Daily Sale entry '!$A$2:$A$367,"&lt;="&amp;$A132)+SUMIFS('Daily Sale entry '!$M$2:$M$367,'Daily Sale entry '!$A$2:$A$367,"&gt;="&amp;DATE(YEAR($A132),MONTH($A132),1),'Daily Sale entry '!$A$2:$A$367,"&lt;="&amp;$A132)+IF(AND(YEAR($A132)=YEAR('Daily Sale entry '!$A$2),MONTH($A132)=MONTH('Daily Sale entry '!$A$2)),'Opening Balance'!$B$8,0),2))</f>
        <v/>
      </c>
      <c r="G132" s="6">
        <f>IF($A132="","",MOD(ROUND('Opening Balance'!$B$9+SUMIFS('Sales &amp; Collection'!$L$1:$L$1823,'Sales &amp; Collection'!$K$1:$K$1823,"cash collection*"),2),'Opening Balance'!$B$11))</f>
        <v/>
      </c>
      <c r="H132" s="6">
        <f>IF($A132="","",ROUND('Opening Balance'!$B$10+'Opening Balance'!$B$9+SUMIFS('Sales &amp; Collection'!$L$1:$L$1823,'Sales &amp; Collection'!$K$1:$K$1823,"cash collection*")-G132-SUMIFS('Daily Sale entry '!$AC$2:$AC$1501,'Daily Sale entry '!$X$2:$X$1501,"&lt;="&amp;$A132,'Daily Sale entry '!$Z$2:$Z$1501,"Cash deposit 现金存入"),2))</f>
        <v/>
      </c>
      <c r="I132" s="6">
        <f>IF($A132="","",ROUND(B132+D132+E132+F132+G132+H132,2))</f>
        <v/>
      </c>
      <c r="J132" s="6">
        <f>IF($A132="","",'AR &amp; AP'!K133)</f>
        <v/>
      </c>
      <c r="K132" s="6">
        <f>IF($A132="","",ROUND(I132-J132-SUMIFS('Daily Sale entry '!$AC$2:$AC$1501,'Daily Sale entry '!$X$2:$X$1501,"&lt;="&amp;$A132,'Daily Sale entry '!$Z$2:$Z$1501,"Other deposit 其他存入")+SUMIFS('Daily Sale entry '!$AD$2:$AD$1501,'Daily Sale entry '!$X$2:$X$1501,"&lt;="&amp;$A132)+('Opening Balance'!$B$8+SUM('Daily Sale entry '!$L$2:M132)-F132),2))</f>
        <v/>
      </c>
      <c r="L132">
        <f>IF($A132="","",IF(ABS('Sales &amp; Collection'!$B$1832)&gt;'Opening Balance'!$B$16,"ALERT 警报: Different "&amp;TEXT('Sales &amp; Collection'!$B$1832,"#,##0.00")&amp;" 差额过大",""))</f>
        <v/>
      </c>
    </row>
    <row r="133">
      <c r="A133" s="5">
        <f>IF('Daily Sale entry '!A133="","",'Daily Sale entry '!A133)</f>
        <v/>
      </c>
      <c r="B133" s="6">
        <f>IF($A133="","",ROUND('Opening Balance'!$B$4+SUM('Daily Sale entry '!$K$2:K133)+SUMIFS('Daily Sale entry '!$AC$2:$AC$1501,'Daily Sale entry '!$X$2:$X$1501,"&lt;="&amp;$A133)-SUMIFS('Daily Sale entry '!$AD$2:$AD$1501,'Daily Sale entry '!$X$2:$X$1501,"&lt;="&amp;$A133)+SUMPRODUCT(('Daily Sale entry '!$Q$2:$Q$1501="Collection 收款")*('Daily Sale entry '!$R$2:$R$1501="Cheque 支票")*('Daily Sale entry '!$V$2:$V$1501&lt;&gt;"")*('Daily Sale entry '!$V$2:$V$1501&lt;=$A133)*('Daily Sale entry '!$S$2:$S$1501-'Opening Balance'!$B$15*('Daily Sale entry '!$R$2:$R$1501="Cheque 支票")*('Daily Sale entry '!$S$2:$S$1501-TRUNC('Daily Sale entry '!$S$2:$S$1501))))-'Opening Balance'!$B$15*SUMPRODUCT(('Daily Sale entry '!$X$2:$X$1501&lt;=$A133)*('Daily Sale entry '!$Z$2:$Z$1501="Online collection 网上收款")*('Daily Sale entry '!$AA$2:$AA$1501&lt;&gt;"")*('Daily Sale entry '!$AC$2:$AC$1501-TRUNC('Daily Sale entry '!$AC$2:$AC$1501))),2))</f>
        <v/>
      </c>
      <c r="C133" s="8">
        <f>IF($A133="","",'Opening Balance'!$B$5+SUM('Daily Sale entry '!$I$2:I133)-SUMIFS('Daily Sale entry '!$AB$2:$AB$1501,'Daily Sale entry '!$X$2:$X$1501,"&lt;="&amp;$A133,'Daily Sale entry '!$Z$2:$Z$1501,"Cheque deposit 支票存入")-COUNTIFS('Daily Sale entry '!$Q$2:$Q$1501,"Collection 收款",'Daily Sale entry '!$R$2:$R$1501,"Cheque 支票",'Daily Sale entry '!$V$2:$V$1501,"&lt;="&amp;$A133))</f>
        <v/>
      </c>
      <c r="D133" s="6">
        <f>IF($A133="","",ROUND('Opening Balance'!$B$6+SUM('Daily Sale entry '!$J$2:J133)-SUMIFS('Daily Sale entry '!$AC$2:$AC$1501,'Daily Sale entry '!$X$2:$X$1501,"&lt;="&amp;$A133,'Daily Sale entry '!$Z$2:$Z$1501,"Cheque deposit 支票存入")-SUMPRODUCT(('Daily Sale entry '!$Q$2:$Q$1501="Collection 收款")*('Daily Sale entry '!$R$2:$R$1501="Cheque 支票")*('Daily Sale entry '!$V$2:$V$1501&lt;&gt;"")*('Daily Sale entry '!$V$2:$V$1501&lt;=$A133)*('Daily Sale entry '!$S$2:$S$1501-'Opening Balance'!$B$15*('Daily Sale entry '!$R$2:$R$1501="Cheque 支票")*('Daily Sale entry '!$S$2:$S$1501-TRUNC('Daily Sale entry '!$S$2:$S$1501)))),2))</f>
        <v/>
      </c>
      <c r="E133" s="6">
        <f>IF($A133="","",'Opening Balance'!$B$7)</f>
        <v/>
      </c>
      <c r="F133" s="6">
        <f>IF($A133="","",ROUND(SUMIFS('Daily Sale entry '!$L$2:$L$367,'Daily Sale entry '!$A$2:$A$367,"&gt;="&amp;DATE(YEAR($A133),MONTH($A133),1),'Daily Sale entry '!$A$2:$A$367,"&lt;="&amp;$A133)+SUMIFS('Daily Sale entry '!$M$2:$M$367,'Daily Sale entry '!$A$2:$A$367,"&gt;="&amp;DATE(YEAR($A133),MONTH($A133),1),'Daily Sale entry '!$A$2:$A$367,"&lt;="&amp;$A133)+IF(AND(YEAR($A133)=YEAR('Daily Sale entry '!$A$2),MONTH($A133)=MONTH('Daily Sale entry '!$A$2)),'Opening Balance'!$B$8,0),2))</f>
        <v/>
      </c>
      <c r="G133" s="6">
        <f>IF($A133="","",MOD(ROUND('Opening Balance'!$B$9+SUMIFS('Sales &amp; Collection'!$L$1:$L$1837,'Sales &amp; Collection'!$K$1:$K$1837,"cash collection*"),2),'Opening Balance'!$B$11))</f>
        <v/>
      </c>
      <c r="H133" s="6">
        <f>IF($A133="","",ROUND('Opening Balance'!$B$10+'Opening Balance'!$B$9+SUMIFS('Sales &amp; Collection'!$L$1:$L$1837,'Sales &amp; Collection'!$K$1:$K$1837,"cash collection*")-G133-SUMIFS('Daily Sale entry '!$AC$2:$AC$1501,'Daily Sale entry '!$X$2:$X$1501,"&lt;="&amp;$A133,'Daily Sale entry '!$Z$2:$Z$1501,"Cash deposit 现金存入"),2))</f>
        <v/>
      </c>
      <c r="I133" s="6">
        <f>IF($A133="","",ROUND(B133+D133+E133+F133+G133+H133,2))</f>
        <v/>
      </c>
      <c r="J133" s="6">
        <f>IF($A133="","",'AR &amp; AP'!K134)</f>
        <v/>
      </c>
      <c r="K133" s="6">
        <f>IF($A133="","",ROUND(I133-J133-SUMIFS('Daily Sale entry '!$AC$2:$AC$1501,'Daily Sale entry '!$X$2:$X$1501,"&lt;="&amp;$A133,'Daily Sale entry '!$Z$2:$Z$1501,"Other deposit 其他存入")+SUMIFS('Daily Sale entry '!$AD$2:$AD$1501,'Daily Sale entry '!$X$2:$X$1501,"&lt;="&amp;$A133)+('Opening Balance'!$B$8+SUM('Daily Sale entry '!$L$2:M133)-F133),2))</f>
        <v/>
      </c>
      <c r="L133">
        <f>IF($A133="","",IF(ABS('Sales &amp; Collection'!$B$1846)&gt;'Opening Balance'!$B$16,"ALERT 警报: Different "&amp;TEXT('Sales &amp; Collection'!$B$1846,"#,##0.00")&amp;" 差额过大",""))</f>
        <v/>
      </c>
    </row>
    <row r="134">
      <c r="A134" s="5">
        <f>IF('Daily Sale entry '!A134="","",'Daily Sale entry '!A134)</f>
        <v/>
      </c>
      <c r="B134" s="6">
        <f>IF($A134="","",ROUND('Opening Balance'!$B$4+SUM('Daily Sale entry '!$K$2:K134)+SUMIFS('Daily Sale entry '!$AC$2:$AC$1501,'Daily Sale entry '!$X$2:$X$1501,"&lt;="&amp;$A134)-SUMIFS('Daily Sale entry '!$AD$2:$AD$1501,'Daily Sale entry '!$X$2:$X$1501,"&lt;="&amp;$A134)+SUMPRODUCT(('Daily Sale entry '!$Q$2:$Q$1501="Collection 收款")*('Daily Sale entry '!$R$2:$R$1501="Cheque 支票")*('Daily Sale entry '!$V$2:$V$1501&lt;&gt;"")*('Daily Sale entry '!$V$2:$V$1501&lt;=$A134)*('Daily Sale entry '!$S$2:$S$1501-'Opening Balance'!$B$15*('Daily Sale entry '!$R$2:$R$1501="Cheque 支票")*('Daily Sale entry '!$S$2:$S$1501-TRUNC('Daily Sale entry '!$S$2:$S$1501))))-'Opening Balance'!$B$15*SUMPRODUCT(('Daily Sale entry '!$X$2:$X$1501&lt;=$A134)*('Daily Sale entry '!$Z$2:$Z$1501="Online collection 网上收款")*('Daily Sale entry '!$AA$2:$AA$1501&lt;&gt;"")*('Daily Sale entry '!$AC$2:$AC$1501-TRUNC('Daily Sale entry '!$AC$2:$AC$1501))),2))</f>
        <v/>
      </c>
      <c r="C134" s="8">
        <f>IF($A134="","",'Opening Balance'!$B$5+SUM('Daily Sale entry '!$I$2:I134)-SUMIFS('Daily Sale entry '!$AB$2:$AB$1501,'Daily Sale entry '!$X$2:$X$1501,"&lt;="&amp;$A134,'Daily Sale entry '!$Z$2:$Z$1501,"Cheque deposit 支票存入")-COUNTIFS('Daily Sale entry '!$Q$2:$Q$1501,"Collection 收款",'Daily Sale entry '!$R$2:$R$1501,"Cheque 支票",'Daily Sale entry '!$V$2:$V$1501,"&lt;="&amp;$A134))</f>
        <v/>
      </c>
      <c r="D134" s="6">
        <f>IF($A134="","",ROUND('Opening Balance'!$B$6+SUM('Daily Sale entry '!$J$2:J134)-SUMIFS('Daily Sale entry '!$AC$2:$AC$1501,'Daily Sale entry '!$X$2:$X$1501,"&lt;="&amp;$A134,'Daily Sale entry '!$Z$2:$Z$1501,"Cheque deposit 支票存入")-SUMPRODUCT(('Daily Sale entry '!$Q$2:$Q$1501="Collection 收款")*('Daily Sale entry '!$R$2:$R$1501="Cheque 支票")*('Daily Sale entry '!$V$2:$V$1501&lt;&gt;"")*('Daily Sale entry '!$V$2:$V$1501&lt;=$A134)*('Daily Sale entry '!$S$2:$S$1501-'Opening Balance'!$B$15*('Daily Sale entry '!$R$2:$R$1501="Cheque 支票")*('Daily Sale entry '!$S$2:$S$1501-TRUNC('Daily Sale entry '!$S$2:$S$1501)))),2))</f>
        <v/>
      </c>
      <c r="E134" s="6">
        <f>IF($A134="","",'Opening Balance'!$B$7)</f>
        <v/>
      </c>
      <c r="F134" s="6">
        <f>IF($A134="","",ROUND(SUMIFS('Daily Sale entry '!$L$2:$L$367,'Daily Sale entry '!$A$2:$A$367,"&gt;="&amp;DATE(YEAR($A134),MONTH($A134),1),'Daily Sale entry '!$A$2:$A$367,"&lt;="&amp;$A134)+SUMIFS('Daily Sale entry '!$M$2:$M$367,'Daily Sale entry '!$A$2:$A$367,"&gt;="&amp;DATE(YEAR($A134),MONTH($A134),1),'Daily Sale entry '!$A$2:$A$367,"&lt;="&amp;$A134)+IF(AND(YEAR($A134)=YEAR('Daily Sale entry '!$A$2),MONTH($A134)=MONTH('Daily Sale entry '!$A$2)),'Opening Balance'!$B$8,0),2))</f>
        <v/>
      </c>
      <c r="G134" s="6">
        <f>IF($A134="","",MOD(ROUND('Opening Balance'!$B$9+SUMIFS('Sales &amp; Collection'!$L$1:$L$1851,'Sales &amp; Collection'!$K$1:$K$1851,"cash collection*"),2),'Opening Balance'!$B$11))</f>
        <v/>
      </c>
      <c r="H134" s="6">
        <f>IF($A134="","",ROUND('Opening Balance'!$B$10+'Opening Balance'!$B$9+SUMIFS('Sales &amp; Collection'!$L$1:$L$1851,'Sales &amp; Collection'!$K$1:$K$1851,"cash collection*")-G134-SUMIFS('Daily Sale entry '!$AC$2:$AC$1501,'Daily Sale entry '!$X$2:$X$1501,"&lt;="&amp;$A134,'Daily Sale entry '!$Z$2:$Z$1501,"Cash deposit 现金存入"),2))</f>
        <v/>
      </c>
      <c r="I134" s="6">
        <f>IF($A134="","",ROUND(B134+D134+E134+F134+G134+H134,2))</f>
        <v/>
      </c>
      <c r="J134" s="6">
        <f>IF($A134="","",'AR &amp; AP'!K135)</f>
        <v/>
      </c>
      <c r="K134" s="6">
        <f>IF($A134="","",ROUND(I134-J134-SUMIFS('Daily Sale entry '!$AC$2:$AC$1501,'Daily Sale entry '!$X$2:$X$1501,"&lt;="&amp;$A134,'Daily Sale entry '!$Z$2:$Z$1501,"Other deposit 其他存入")+SUMIFS('Daily Sale entry '!$AD$2:$AD$1501,'Daily Sale entry '!$X$2:$X$1501,"&lt;="&amp;$A134)+('Opening Balance'!$B$8+SUM('Daily Sale entry '!$L$2:M134)-F134),2))</f>
        <v/>
      </c>
      <c r="L134">
        <f>IF($A134="","",IF(ABS('Sales &amp; Collection'!$B$1860)&gt;'Opening Balance'!$B$16,"ALERT 警报: Different "&amp;TEXT('Sales &amp; Collection'!$B$1860,"#,##0.00")&amp;" 差额过大",""))</f>
        <v/>
      </c>
    </row>
    <row r="135">
      <c r="A135" s="5">
        <f>IF('Daily Sale entry '!A135="","",'Daily Sale entry '!A135)</f>
        <v/>
      </c>
      <c r="B135" s="6">
        <f>IF($A135="","",ROUND('Opening Balance'!$B$4+SUM('Daily Sale entry '!$K$2:K135)+SUMIFS('Daily Sale entry '!$AC$2:$AC$1501,'Daily Sale entry '!$X$2:$X$1501,"&lt;="&amp;$A135)-SUMIFS('Daily Sale entry '!$AD$2:$AD$1501,'Daily Sale entry '!$X$2:$X$1501,"&lt;="&amp;$A135)+SUMPRODUCT(('Daily Sale entry '!$Q$2:$Q$1501="Collection 收款")*('Daily Sale entry '!$R$2:$R$1501="Cheque 支票")*('Daily Sale entry '!$V$2:$V$1501&lt;&gt;"")*('Daily Sale entry '!$V$2:$V$1501&lt;=$A135)*('Daily Sale entry '!$S$2:$S$1501-'Opening Balance'!$B$15*('Daily Sale entry '!$R$2:$R$1501="Cheque 支票")*('Daily Sale entry '!$S$2:$S$1501-TRUNC('Daily Sale entry '!$S$2:$S$1501))))-'Opening Balance'!$B$15*SUMPRODUCT(('Daily Sale entry '!$X$2:$X$1501&lt;=$A135)*('Daily Sale entry '!$Z$2:$Z$1501="Online collection 网上收款")*('Daily Sale entry '!$AA$2:$AA$1501&lt;&gt;"")*('Daily Sale entry '!$AC$2:$AC$1501-TRUNC('Daily Sale entry '!$AC$2:$AC$1501))),2))</f>
        <v/>
      </c>
      <c r="C135" s="8">
        <f>IF($A135="","",'Opening Balance'!$B$5+SUM('Daily Sale entry '!$I$2:I135)-SUMIFS('Daily Sale entry '!$AB$2:$AB$1501,'Daily Sale entry '!$X$2:$X$1501,"&lt;="&amp;$A135,'Daily Sale entry '!$Z$2:$Z$1501,"Cheque deposit 支票存入")-COUNTIFS('Daily Sale entry '!$Q$2:$Q$1501,"Collection 收款",'Daily Sale entry '!$R$2:$R$1501,"Cheque 支票",'Daily Sale entry '!$V$2:$V$1501,"&lt;="&amp;$A135))</f>
        <v/>
      </c>
      <c r="D135" s="6">
        <f>IF($A135="","",ROUND('Opening Balance'!$B$6+SUM('Daily Sale entry '!$J$2:J135)-SUMIFS('Daily Sale entry '!$AC$2:$AC$1501,'Daily Sale entry '!$X$2:$X$1501,"&lt;="&amp;$A135,'Daily Sale entry '!$Z$2:$Z$1501,"Cheque deposit 支票存入")-SUMPRODUCT(('Daily Sale entry '!$Q$2:$Q$1501="Collection 收款")*('Daily Sale entry '!$R$2:$R$1501="Cheque 支票")*('Daily Sale entry '!$V$2:$V$1501&lt;&gt;"")*('Daily Sale entry '!$V$2:$V$1501&lt;=$A135)*('Daily Sale entry '!$S$2:$S$1501-'Opening Balance'!$B$15*('Daily Sale entry '!$R$2:$R$1501="Cheque 支票")*('Daily Sale entry '!$S$2:$S$1501-TRUNC('Daily Sale entry '!$S$2:$S$1501)))),2))</f>
        <v/>
      </c>
      <c r="E135" s="6">
        <f>IF($A135="","",'Opening Balance'!$B$7)</f>
        <v/>
      </c>
      <c r="F135" s="6">
        <f>IF($A135="","",ROUND(SUMIFS('Daily Sale entry '!$L$2:$L$367,'Daily Sale entry '!$A$2:$A$367,"&gt;="&amp;DATE(YEAR($A135),MONTH($A135),1),'Daily Sale entry '!$A$2:$A$367,"&lt;="&amp;$A135)+SUMIFS('Daily Sale entry '!$M$2:$M$367,'Daily Sale entry '!$A$2:$A$367,"&gt;="&amp;DATE(YEAR($A135),MONTH($A135),1),'Daily Sale entry '!$A$2:$A$367,"&lt;="&amp;$A135)+IF(AND(YEAR($A135)=YEAR('Daily Sale entry '!$A$2),MONTH($A135)=MONTH('Daily Sale entry '!$A$2)),'Opening Balance'!$B$8,0),2))</f>
        <v/>
      </c>
      <c r="G135" s="6">
        <f>IF($A135="","",MOD(ROUND('Opening Balance'!$B$9+SUMIFS('Sales &amp; Collection'!$L$1:$L$1865,'Sales &amp; Collection'!$K$1:$K$1865,"cash collection*"),2),'Opening Balance'!$B$11))</f>
        <v/>
      </c>
      <c r="H135" s="6">
        <f>IF($A135="","",ROUND('Opening Balance'!$B$10+'Opening Balance'!$B$9+SUMIFS('Sales &amp; Collection'!$L$1:$L$1865,'Sales &amp; Collection'!$K$1:$K$1865,"cash collection*")-G135-SUMIFS('Daily Sale entry '!$AC$2:$AC$1501,'Daily Sale entry '!$X$2:$X$1501,"&lt;="&amp;$A135,'Daily Sale entry '!$Z$2:$Z$1501,"Cash deposit 现金存入"),2))</f>
        <v/>
      </c>
      <c r="I135" s="6">
        <f>IF($A135="","",ROUND(B135+D135+E135+F135+G135+H135,2))</f>
        <v/>
      </c>
      <c r="J135" s="6">
        <f>IF($A135="","",'AR &amp; AP'!K136)</f>
        <v/>
      </c>
      <c r="K135" s="6">
        <f>IF($A135="","",ROUND(I135-J135-SUMIFS('Daily Sale entry '!$AC$2:$AC$1501,'Daily Sale entry '!$X$2:$X$1501,"&lt;="&amp;$A135,'Daily Sale entry '!$Z$2:$Z$1501,"Other deposit 其他存入")+SUMIFS('Daily Sale entry '!$AD$2:$AD$1501,'Daily Sale entry '!$X$2:$X$1501,"&lt;="&amp;$A135)+('Opening Balance'!$B$8+SUM('Daily Sale entry '!$L$2:M135)-F135),2))</f>
        <v/>
      </c>
      <c r="L135">
        <f>IF($A135="","",IF(ABS('Sales &amp; Collection'!$B$1874)&gt;'Opening Balance'!$B$16,"ALERT 警报: Different "&amp;TEXT('Sales &amp; Collection'!$B$1874,"#,##0.00")&amp;" 差额过大",""))</f>
        <v/>
      </c>
    </row>
    <row r="136">
      <c r="A136" s="5">
        <f>IF('Daily Sale entry '!A136="","",'Daily Sale entry '!A136)</f>
        <v/>
      </c>
      <c r="B136" s="6">
        <f>IF($A136="","",ROUND('Opening Balance'!$B$4+SUM('Daily Sale entry '!$K$2:K136)+SUMIFS('Daily Sale entry '!$AC$2:$AC$1501,'Daily Sale entry '!$X$2:$X$1501,"&lt;="&amp;$A136)-SUMIFS('Daily Sale entry '!$AD$2:$AD$1501,'Daily Sale entry '!$X$2:$X$1501,"&lt;="&amp;$A136)+SUMPRODUCT(('Daily Sale entry '!$Q$2:$Q$1501="Collection 收款")*('Daily Sale entry '!$R$2:$R$1501="Cheque 支票")*('Daily Sale entry '!$V$2:$V$1501&lt;&gt;"")*('Daily Sale entry '!$V$2:$V$1501&lt;=$A136)*('Daily Sale entry '!$S$2:$S$1501-'Opening Balance'!$B$15*('Daily Sale entry '!$R$2:$R$1501="Cheque 支票")*('Daily Sale entry '!$S$2:$S$1501-TRUNC('Daily Sale entry '!$S$2:$S$1501))))-'Opening Balance'!$B$15*SUMPRODUCT(('Daily Sale entry '!$X$2:$X$1501&lt;=$A136)*('Daily Sale entry '!$Z$2:$Z$1501="Online collection 网上收款")*('Daily Sale entry '!$AA$2:$AA$1501&lt;&gt;"")*('Daily Sale entry '!$AC$2:$AC$1501-TRUNC('Daily Sale entry '!$AC$2:$AC$1501))),2))</f>
        <v/>
      </c>
      <c r="C136" s="8">
        <f>IF($A136="","",'Opening Balance'!$B$5+SUM('Daily Sale entry '!$I$2:I136)-SUMIFS('Daily Sale entry '!$AB$2:$AB$1501,'Daily Sale entry '!$X$2:$X$1501,"&lt;="&amp;$A136,'Daily Sale entry '!$Z$2:$Z$1501,"Cheque deposit 支票存入")-COUNTIFS('Daily Sale entry '!$Q$2:$Q$1501,"Collection 收款",'Daily Sale entry '!$R$2:$R$1501,"Cheque 支票",'Daily Sale entry '!$V$2:$V$1501,"&lt;="&amp;$A136))</f>
        <v/>
      </c>
      <c r="D136" s="6">
        <f>IF($A136="","",ROUND('Opening Balance'!$B$6+SUM('Daily Sale entry '!$J$2:J136)-SUMIFS('Daily Sale entry '!$AC$2:$AC$1501,'Daily Sale entry '!$X$2:$X$1501,"&lt;="&amp;$A136,'Daily Sale entry '!$Z$2:$Z$1501,"Cheque deposit 支票存入")-SUMPRODUCT(('Daily Sale entry '!$Q$2:$Q$1501="Collection 收款")*('Daily Sale entry '!$R$2:$R$1501="Cheque 支票")*('Daily Sale entry '!$V$2:$V$1501&lt;&gt;"")*('Daily Sale entry '!$V$2:$V$1501&lt;=$A136)*('Daily Sale entry '!$S$2:$S$1501-'Opening Balance'!$B$15*('Daily Sale entry '!$R$2:$R$1501="Cheque 支票")*('Daily Sale entry '!$S$2:$S$1501-TRUNC('Daily Sale entry '!$S$2:$S$1501)))),2))</f>
        <v/>
      </c>
      <c r="E136" s="6">
        <f>IF($A136="","",'Opening Balance'!$B$7)</f>
        <v/>
      </c>
      <c r="F136" s="6">
        <f>IF($A136="","",ROUND(SUMIFS('Daily Sale entry '!$L$2:$L$367,'Daily Sale entry '!$A$2:$A$367,"&gt;="&amp;DATE(YEAR($A136),MONTH($A136),1),'Daily Sale entry '!$A$2:$A$367,"&lt;="&amp;$A136)+SUMIFS('Daily Sale entry '!$M$2:$M$367,'Daily Sale entry '!$A$2:$A$367,"&gt;="&amp;DATE(YEAR($A136),MONTH($A136),1),'Daily Sale entry '!$A$2:$A$367,"&lt;="&amp;$A136)+IF(AND(YEAR($A136)=YEAR('Daily Sale entry '!$A$2),MONTH($A136)=MONTH('Daily Sale entry '!$A$2)),'Opening Balance'!$B$8,0),2))</f>
        <v/>
      </c>
      <c r="G136" s="6">
        <f>IF($A136="","",MOD(ROUND('Opening Balance'!$B$9+SUMIFS('Sales &amp; Collection'!$L$1:$L$1879,'Sales &amp; Collection'!$K$1:$K$1879,"cash collection*"),2),'Opening Balance'!$B$11))</f>
        <v/>
      </c>
      <c r="H136" s="6">
        <f>IF($A136="","",ROUND('Opening Balance'!$B$10+'Opening Balance'!$B$9+SUMIFS('Sales &amp; Collection'!$L$1:$L$1879,'Sales &amp; Collection'!$K$1:$K$1879,"cash collection*")-G136-SUMIFS('Daily Sale entry '!$AC$2:$AC$1501,'Daily Sale entry '!$X$2:$X$1501,"&lt;="&amp;$A136,'Daily Sale entry '!$Z$2:$Z$1501,"Cash deposit 现金存入"),2))</f>
        <v/>
      </c>
      <c r="I136" s="6">
        <f>IF($A136="","",ROUND(B136+D136+E136+F136+G136+H136,2))</f>
        <v/>
      </c>
      <c r="J136" s="6">
        <f>IF($A136="","",'AR &amp; AP'!K137)</f>
        <v/>
      </c>
      <c r="K136" s="6">
        <f>IF($A136="","",ROUND(I136-J136-SUMIFS('Daily Sale entry '!$AC$2:$AC$1501,'Daily Sale entry '!$X$2:$X$1501,"&lt;="&amp;$A136,'Daily Sale entry '!$Z$2:$Z$1501,"Other deposit 其他存入")+SUMIFS('Daily Sale entry '!$AD$2:$AD$1501,'Daily Sale entry '!$X$2:$X$1501,"&lt;="&amp;$A136)+('Opening Balance'!$B$8+SUM('Daily Sale entry '!$L$2:M136)-F136),2))</f>
        <v/>
      </c>
      <c r="L136">
        <f>IF($A136="","",IF(ABS('Sales &amp; Collection'!$B$1888)&gt;'Opening Balance'!$B$16,"ALERT 警报: Different "&amp;TEXT('Sales &amp; Collection'!$B$1888,"#,##0.00")&amp;" 差额过大",""))</f>
        <v/>
      </c>
    </row>
    <row r="137">
      <c r="A137" s="5">
        <f>IF('Daily Sale entry '!A137="","",'Daily Sale entry '!A137)</f>
        <v/>
      </c>
      <c r="B137" s="6">
        <f>IF($A137="","",ROUND('Opening Balance'!$B$4+SUM('Daily Sale entry '!$K$2:K137)+SUMIFS('Daily Sale entry '!$AC$2:$AC$1501,'Daily Sale entry '!$X$2:$X$1501,"&lt;="&amp;$A137)-SUMIFS('Daily Sale entry '!$AD$2:$AD$1501,'Daily Sale entry '!$X$2:$X$1501,"&lt;="&amp;$A137)+SUMPRODUCT(('Daily Sale entry '!$Q$2:$Q$1501="Collection 收款")*('Daily Sale entry '!$R$2:$R$1501="Cheque 支票")*('Daily Sale entry '!$V$2:$V$1501&lt;&gt;"")*('Daily Sale entry '!$V$2:$V$1501&lt;=$A137)*('Daily Sale entry '!$S$2:$S$1501-'Opening Balance'!$B$15*('Daily Sale entry '!$R$2:$R$1501="Cheque 支票")*('Daily Sale entry '!$S$2:$S$1501-TRUNC('Daily Sale entry '!$S$2:$S$1501))))-'Opening Balance'!$B$15*SUMPRODUCT(('Daily Sale entry '!$X$2:$X$1501&lt;=$A137)*('Daily Sale entry '!$Z$2:$Z$1501="Online collection 网上收款")*('Daily Sale entry '!$AA$2:$AA$1501&lt;&gt;"")*('Daily Sale entry '!$AC$2:$AC$1501-TRUNC('Daily Sale entry '!$AC$2:$AC$1501))),2))</f>
        <v/>
      </c>
      <c r="C137" s="8">
        <f>IF($A137="","",'Opening Balance'!$B$5+SUM('Daily Sale entry '!$I$2:I137)-SUMIFS('Daily Sale entry '!$AB$2:$AB$1501,'Daily Sale entry '!$X$2:$X$1501,"&lt;="&amp;$A137,'Daily Sale entry '!$Z$2:$Z$1501,"Cheque deposit 支票存入")-COUNTIFS('Daily Sale entry '!$Q$2:$Q$1501,"Collection 收款",'Daily Sale entry '!$R$2:$R$1501,"Cheque 支票",'Daily Sale entry '!$V$2:$V$1501,"&lt;="&amp;$A137))</f>
        <v/>
      </c>
      <c r="D137" s="6">
        <f>IF($A137="","",ROUND('Opening Balance'!$B$6+SUM('Daily Sale entry '!$J$2:J137)-SUMIFS('Daily Sale entry '!$AC$2:$AC$1501,'Daily Sale entry '!$X$2:$X$1501,"&lt;="&amp;$A137,'Daily Sale entry '!$Z$2:$Z$1501,"Cheque deposit 支票存入")-SUMPRODUCT(('Daily Sale entry '!$Q$2:$Q$1501="Collection 收款")*('Daily Sale entry '!$R$2:$R$1501="Cheque 支票")*('Daily Sale entry '!$V$2:$V$1501&lt;&gt;"")*('Daily Sale entry '!$V$2:$V$1501&lt;=$A137)*('Daily Sale entry '!$S$2:$S$1501-'Opening Balance'!$B$15*('Daily Sale entry '!$R$2:$R$1501="Cheque 支票")*('Daily Sale entry '!$S$2:$S$1501-TRUNC('Daily Sale entry '!$S$2:$S$1501)))),2))</f>
        <v/>
      </c>
      <c r="E137" s="6">
        <f>IF($A137="","",'Opening Balance'!$B$7)</f>
        <v/>
      </c>
      <c r="F137" s="6">
        <f>IF($A137="","",ROUND(SUMIFS('Daily Sale entry '!$L$2:$L$367,'Daily Sale entry '!$A$2:$A$367,"&gt;="&amp;DATE(YEAR($A137),MONTH($A137),1),'Daily Sale entry '!$A$2:$A$367,"&lt;="&amp;$A137)+SUMIFS('Daily Sale entry '!$M$2:$M$367,'Daily Sale entry '!$A$2:$A$367,"&gt;="&amp;DATE(YEAR($A137),MONTH($A137),1),'Daily Sale entry '!$A$2:$A$367,"&lt;="&amp;$A137)+IF(AND(YEAR($A137)=YEAR('Daily Sale entry '!$A$2),MONTH($A137)=MONTH('Daily Sale entry '!$A$2)),'Opening Balance'!$B$8,0),2))</f>
        <v/>
      </c>
      <c r="G137" s="6">
        <f>IF($A137="","",MOD(ROUND('Opening Balance'!$B$9+SUMIFS('Sales &amp; Collection'!$L$1:$L$1893,'Sales &amp; Collection'!$K$1:$K$1893,"cash collection*"),2),'Opening Balance'!$B$11))</f>
        <v/>
      </c>
      <c r="H137" s="6">
        <f>IF($A137="","",ROUND('Opening Balance'!$B$10+'Opening Balance'!$B$9+SUMIFS('Sales &amp; Collection'!$L$1:$L$1893,'Sales &amp; Collection'!$K$1:$K$1893,"cash collection*")-G137-SUMIFS('Daily Sale entry '!$AC$2:$AC$1501,'Daily Sale entry '!$X$2:$X$1501,"&lt;="&amp;$A137,'Daily Sale entry '!$Z$2:$Z$1501,"Cash deposit 现金存入"),2))</f>
        <v/>
      </c>
      <c r="I137" s="6">
        <f>IF($A137="","",ROUND(B137+D137+E137+F137+G137+H137,2))</f>
        <v/>
      </c>
      <c r="J137" s="6">
        <f>IF($A137="","",'AR &amp; AP'!K138)</f>
        <v/>
      </c>
      <c r="K137" s="6">
        <f>IF($A137="","",ROUND(I137-J137-SUMIFS('Daily Sale entry '!$AC$2:$AC$1501,'Daily Sale entry '!$X$2:$X$1501,"&lt;="&amp;$A137,'Daily Sale entry '!$Z$2:$Z$1501,"Other deposit 其他存入")+SUMIFS('Daily Sale entry '!$AD$2:$AD$1501,'Daily Sale entry '!$X$2:$X$1501,"&lt;="&amp;$A137)+('Opening Balance'!$B$8+SUM('Daily Sale entry '!$L$2:M137)-F137),2))</f>
        <v/>
      </c>
      <c r="L137">
        <f>IF($A137="","",IF(ABS('Sales &amp; Collection'!$B$1902)&gt;'Opening Balance'!$B$16,"ALERT 警报: Different "&amp;TEXT('Sales &amp; Collection'!$B$1902,"#,##0.00")&amp;" 差额过大",""))</f>
        <v/>
      </c>
    </row>
    <row r="138">
      <c r="A138" s="5">
        <f>IF('Daily Sale entry '!A138="","",'Daily Sale entry '!A138)</f>
        <v/>
      </c>
      <c r="B138" s="6">
        <f>IF($A138="","",ROUND('Opening Balance'!$B$4+SUM('Daily Sale entry '!$K$2:K138)+SUMIFS('Daily Sale entry '!$AC$2:$AC$1501,'Daily Sale entry '!$X$2:$X$1501,"&lt;="&amp;$A138)-SUMIFS('Daily Sale entry '!$AD$2:$AD$1501,'Daily Sale entry '!$X$2:$X$1501,"&lt;="&amp;$A138)+SUMPRODUCT(('Daily Sale entry '!$Q$2:$Q$1501="Collection 收款")*('Daily Sale entry '!$R$2:$R$1501="Cheque 支票")*('Daily Sale entry '!$V$2:$V$1501&lt;&gt;"")*('Daily Sale entry '!$V$2:$V$1501&lt;=$A138)*('Daily Sale entry '!$S$2:$S$1501-'Opening Balance'!$B$15*('Daily Sale entry '!$R$2:$R$1501="Cheque 支票")*('Daily Sale entry '!$S$2:$S$1501-TRUNC('Daily Sale entry '!$S$2:$S$1501))))-'Opening Balance'!$B$15*SUMPRODUCT(('Daily Sale entry '!$X$2:$X$1501&lt;=$A138)*('Daily Sale entry '!$Z$2:$Z$1501="Online collection 网上收款")*('Daily Sale entry '!$AA$2:$AA$1501&lt;&gt;"")*('Daily Sale entry '!$AC$2:$AC$1501-TRUNC('Daily Sale entry '!$AC$2:$AC$1501))),2))</f>
        <v/>
      </c>
      <c r="C138" s="8">
        <f>IF($A138="","",'Opening Balance'!$B$5+SUM('Daily Sale entry '!$I$2:I138)-SUMIFS('Daily Sale entry '!$AB$2:$AB$1501,'Daily Sale entry '!$X$2:$X$1501,"&lt;="&amp;$A138,'Daily Sale entry '!$Z$2:$Z$1501,"Cheque deposit 支票存入")-COUNTIFS('Daily Sale entry '!$Q$2:$Q$1501,"Collection 收款",'Daily Sale entry '!$R$2:$R$1501,"Cheque 支票",'Daily Sale entry '!$V$2:$V$1501,"&lt;="&amp;$A138))</f>
        <v/>
      </c>
      <c r="D138" s="6">
        <f>IF($A138="","",ROUND('Opening Balance'!$B$6+SUM('Daily Sale entry '!$J$2:J138)-SUMIFS('Daily Sale entry '!$AC$2:$AC$1501,'Daily Sale entry '!$X$2:$X$1501,"&lt;="&amp;$A138,'Daily Sale entry '!$Z$2:$Z$1501,"Cheque deposit 支票存入")-SUMPRODUCT(('Daily Sale entry '!$Q$2:$Q$1501="Collection 收款")*('Daily Sale entry '!$R$2:$R$1501="Cheque 支票")*('Daily Sale entry '!$V$2:$V$1501&lt;&gt;"")*('Daily Sale entry '!$V$2:$V$1501&lt;=$A138)*('Daily Sale entry '!$S$2:$S$1501-'Opening Balance'!$B$15*('Daily Sale entry '!$R$2:$R$1501="Cheque 支票")*('Daily Sale entry '!$S$2:$S$1501-TRUNC('Daily Sale entry '!$S$2:$S$1501)))),2))</f>
        <v/>
      </c>
      <c r="E138" s="6">
        <f>IF($A138="","",'Opening Balance'!$B$7)</f>
        <v/>
      </c>
      <c r="F138" s="6">
        <f>IF($A138="","",ROUND(SUMIFS('Daily Sale entry '!$L$2:$L$367,'Daily Sale entry '!$A$2:$A$367,"&gt;="&amp;DATE(YEAR($A138),MONTH($A138),1),'Daily Sale entry '!$A$2:$A$367,"&lt;="&amp;$A138)+SUMIFS('Daily Sale entry '!$M$2:$M$367,'Daily Sale entry '!$A$2:$A$367,"&gt;="&amp;DATE(YEAR($A138),MONTH($A138),1),'Daily Sale entry '!$A$2:$A$367,"&lt;="&amp;$A138)+IF(AND(YEAR($A138)=YEAR('Daily Sale entry '!$A$2),MONTH($A138)=MONTH('Daily Sale entry '!$A$2)),'Opening Balance'!$B$8,0),2))</f>
        <v/>
      </c>
      <c r="G138" s="6">
        <f>IF($A138="","",MOD(ROUND('Opening Balance'!$B$9+SUMIFS('Sales &amp; Collection'!$L$1:$L$1907,'Sales &amp; Collection'!$K$1:$K$1907,"cash collection*"),2),'Opening Balance'!$B$11))</f>
        <v/>
      </c>
      <c r="H138" s="6">
        <f>IF($A138="","",ROUND('Opening Balance'!$B$10+'Opening Balance'!$B$9+SUMIFS('Sales &amp; Collection'!$L$1:$L$1907,'Sales &amp; Collection'!$K$1:$K$1907,"cash collection*")-G138-SUMIFS('Daily Sale entry '!$AC$2:$AC$1501,'Daily Sale entry '!$X$2:$X$1501,"&lt;="&amp;$A138,'Daily Sale entry '!$Z$2:$Z$1501,"Cash deposit 现金存入"),2))</f>
        <v/>
      </c>
      <c r="I138" s="6">
        <f>IF($A138="","",ROUND(B138+D138+E138+F138+G138+H138,2))</f>
        <v/>
      </c>
      <c r="J138" s="6">
        <f>IF($A138="","",'AR &amp; AP'!K139)</f>
        <v/>
      </c>
      <c r="K138" s="6">
        <f>IF($A138="","",ROUND(I138-J138-SUMIFS('Daily Sale entry '!$AC$2:$AC$1501,'Daily Sale entry '!$X$2:$X$1501,"&lt;="&amp;$A138,'Daily Sale entry '!$Z$2:$Z$1501,"Other deposit 其他存入")+SUMIFS('Daily Sale entry '!$AD$2:$AD$1501,'Daily Sale entry '!$X$2:$X$1501,"&lt;="&amp;$A138)+('Opening Balance'!$B$8+SUM('Daily Sale entry '!$L$2:M138)-F138),2))</f>
        <v/>
      </c>
      <c r="L138">
        <f>IF($A138="","",IF(ABS('Sales &amp; Collection'!$B$1916)&gt;'Opening Balance'!$B$16,"ALERT 警报: Different "&amp;TEXT('Sales &amp; Collection'!$B$1916,"#,##0.00")&amp;" 差额过大",""))</f>
        <v/>
      </c>
    </row>
    <row r="139">
      <c r="A139" s="5">
        <f>IF('Daily Sale entry '!A139="","",'Daily Sale entry '!A139)</f>
        <v/>
      </c>
      <c r="B139" s="6">
        <f>IF($A139="","",ROUND('Opening Balance'!$B$4+SUM('Daily Sale entry '!$K$2:K139)+SUMIFS('Daily Sale entry '!$AC$2:$AC$1501,'Daily Sale entry '!$X$2:$X$1501,"&lt;="&amp;$A139)-SUMIFS('Daily Sale entry '!$AD$2:$AD$1501,'Daily Sale entry '!$X$2:$X$1501,"&lt;="&amp;$A139)+SUMPRODUCT(('Daily Sale entry '!$Q$2:$Q$1501="Collection 收款")*('Daily Sale entry '!$R$2:$R$1501="Cheque 支票")*('Daily Sale entry '!$V$2:$V$1501&lt;&gt;"")*('Daily Sale entry '!$V$2:$V$1501&lt;=$A139)*('Daily Sale entry '!$S$2:$S$1501-'Opening Balance'!$B$15*('Daily Sale entry '!$R$2:$R$1501="Cheque 支票")*('Daily Sale entry '!$S$2:$S$1501-TRUNC('Daily Sale entry '!$S$2:$S$1501))))-'Opening Balance'!$B$15*SUMPRODUCT(('Daily Sale entry '!$X$2:$X$1501&lt;=$A139)*('Daily Sale entry '!$Z$2:$Z$1501="Online collection 网上收款")*('Daily Sale entry '!$AA$2:$AA$1501&lt;&gt;"")*('Daily Sale entry '!$AC$2:$AC$1501-TRUNC('Daily Sale entry '!$AC$2:$AC$1501))),2))</f>
        <v/>
      </c>
      <c r="C139" s="8">
        <f>IF($A139="","",'Opening Balance'!$B$5+SUM('Daily Sale entry '!$I$2:I139)-SUMIFS('Daily Sale entry '!$AB$2:$AB$1501,'Daily Sale entry '!$X$2:$X$1501,"&lt;="&amp;$A139,'Daily Sale entry '!$Z$2:$Z$1501,"Cheque deposit 支票存入")-COUNTIFS('Daily Sale entry '!$Q$2:$Q$1501,"Collection 收款",'Daily Sale entry '!$R$2:$R$1501,"Cheque 支票",'Daily Sale entry '!$V$2:$V$1501,"&lt;="&amp;$A139))</f>
        <v/>
      </c>
      <c r="D139" s="6">
        <f>IF($A139="","",ROUND('Opening Balance'!$B$6+SUM('Daily Sale entry '!$J$2:J139)-SUMIFS('Daily Sale entry '!$AC$2:$AC$1501,'Daily Sale entry '!$X$2:$X$1501,"&lt;="&amp;$A139,'Daily Sale entry '!$Z$2:$Z$1501,"Cheque deposit 支票存入")-SUMPRODUCT(('Daily Sale entry '!$Q$2:$Q$1501="Collection 收款")*('Daily Sale entry '!$R$2:$R$1501="Cheque 支票")*('Daily Sale entry '!$V$2:$V$1501&lt;&gt;"")*('Daily Sale entry '!$V$2:$V$1501&lt;=$A139)*('Daily Sale entry '!$S$2:$S$1501-'Opening Balance'!$B$15*('Daily Sale entry '!$R$2:$R$1501="Cheque 支票")*('Daily Sale entry '!$S$2:$S$1501-TRUNC('Daily Sale entry '!$S$2:$S$1501)))),2))</f>
        <v/>
      </c>
      <c r="E139" s="6">
        <f>IF($A139="","",'Opening Balance'!$B$7)</f>
        <v/>
      </c>
      <c r="F139" s="6">
        <f>IF($A139="","",ROUND(SUMIFS('Daily Sale entry '!$L$2:$L$367,'Daily Sale entry '!$A$2:$A$367,"&gt;="&amp;DATE(YEAR($A139),MONTH($A139),1),'Daily Sale entry '!$A$2:$A$367,"&lt;="&amp;$A139)+SUMIFS('Daily Sale entry '!$M$2:$M$367,'Daily Sale entry '!$A$2:$A$367,"&gt;="&amp;DATE(YEAR($A139),MONTH($A139),1),'Daily Sale entry '!$A$2:$A$367,"&lt;="&amp;$A139)+IF(AND(YEAR($A139)=YEAR('Daily Sale entry '!$A$2),MONTH($A139)=MONTH('Daily Sale entry '!$A$2)),'Opening Balance'!$B$8,0),2))</f>
        <v/>
      </c>
      <c r="G139" s="6">
        <f>IF($A139="","",MOD(ROUND('Opening Balance'!$B$9+SUMIFS('Sales &amp; Collection'!$L$1:$L$1921,'Sales &amp; Collection'!$K$1:$K$1921,"cash collection*"),2),'Opening Balance'!$B$11))</f>
        <v/>
      </c>
      <c r="H139" s="6">
        <f>IF($A139="","",ROUND('Opening Balance'!$B$10+'Opening Balance'!$B$9+SUMIFS('Sales &amp; Collection'!$L$1:$L$1921,'Sales &amp; Collection'!$K$1:$K$1921,"cash collection*")-G139-SUMIFS('Daily Sale entry '!$AC$2:$AC$1501,'Daily Sale entry '!$X$2:$X$1501,"&lt;="&amp;$A139,'Daily Sale entry '!$Z$2:$Z$1501,"Cash deposit 现金存入"),2))</f>
        <v/>
      </c>
      <c r="I139" s="6">
        <f>IF($A139="","",ROUND(B139+D139+E139+F139+G139+H139,2))</f>
        <v/>
      </c>
      <c r="J139" s="6">
        <f>IF($A139="","",'AR &amp; AP'!K140)</f>
        <v/>
      </c>
      <c r="K139" s="6">
        <f>IF($A139="","",ROUND(I139-J139-SUMIFS('Daily Sale entry '!$AC$2:$AC$1501,'Daily Sale entry '!$X$2:$X$1501,"&lt;="&amp;$A139,'Daily Sale entry '!$Z$2:$Z$1501,"Other deposit 其他存入")+SUMIFS('Daily Sale entry '!$AD$2:$AD$1501,'Daily Sale entry '!$X$2:$X$1501,"&lt;="&amp;$A139)+('Opening Balance'!$B$8+SUM('Daily Sale entry '!$L$2:M139)-F139),2))</f>
        <v/>
      </c>
      <c r="L139">
        <f>IF($A139="","",IF(ABS('Sales &amp; Collection'!$B$1930)&gt;'Opening Balance'!$B$16,"ALERT 警报: Different "&amp;TEXT('Sales &amp; Collection'!$B$1930,"#,##0.00")&amp;" 差额过大",""))</f>
        <v/>
      </c>
    </row>
    <row r="140">
      <c r="A140" s="5">
        <f>IF('Daily Sale entry '!A140="","",'Daily Sale entry '!A140)</f>
        <v/>
      </c>
      <c r="B140" s="6">
        <f>IF($A140="","",ROUND('Opening Balance'!$B$4+SUM('Daily Sale entry '!$K$2:K140)+SUMIFS('Daily Sale entry '!$AC$2:$AC$1501,'Daily Sale entry '!$X$2:$X$1501,"&lt;="&amp;$A140)-SUMIFS('Daily Sale entry '!$AD$2:$AD$1501,'Daily Sale entry '!$X$2:$X$1501,"&lt;="&amp;$A140)+SUMPRODUCT(('Daily Sale entry '!$Q$2:$Q$1501="Collection 收款")*('Daily Sale entry '!$R$2:$R$1501="Cheque 支票")*('Daily Sale entry '!$V$2:$V$1501&lt;&gt;"")*('Daily Sale entry '!$V$2:$V$1501&lt;=$A140)*('Daily Sale entry '!$S$2:$S$1501-'Opening Balance'!$B$15*('Daily Sale entry '!$R$2:$R$1501="Cheque 支票")*('Daily Sale entry '!$S$2:$S$1501-TRUNC('Daily Sale entry '!$S$2:$S$1501))))-'Opening Balance'!$B$15*SUMPRODUCT(('Daily Sale entry '!$X$2:$X$1501&lt;=$A140)*('Daily Sale entry '!$Z$2:$Z$1501="Online collection 网上收款")*('Daily Sale entry '!$AA$2:$AA$1501&lt;&gt;"")*('Daily Sale entry '!$AC$2:$AC$1501-TRUNC('Daily Sale entry '!$AC$2:$AC$1501))),2))</f>
        <v/>
      </c>
      <c r="C140" s="8">
        <f>IF($A140="","",'Opening Balance'!$B$5+SUM('Daily Sale entry '!$I$2:I140)-SUMIFS('Daily Sale entry '!$AB$2:$AB$1501,'Daily Sale entry '!$X$2:$X$1501,"&lt;="&amp;$A140,'Daily Sale entry '!$Z$2:$Z$1501,"Cheque deposit 支票存入")-COUNTIFS('Daily Sale entry '!$Q$2:$Q$1501,"Collection 收款",'Daily Sale entry '!$R$2:$R$1501,"Cheque 支票",'Daily Sale entry '!$V$2:$V$1501,"&lt;="&amp;$A140))</f>
        <v/>
      </c>
      <c r="D140" s="6">
        <f>IF($A140="","",ROUND('Opening Balance'!$B$6+SUM('Daily Sale entry '!$J$2:J140)-SUMIFS('Daily Sale entry '!$AC$2:$AC$1501,'Daily Sale entry '!$X$2:$X$1501,"&lt;="&amp;$A140,'Daily Sale entry '!$Z$2:$Z$1501,"Cheque deposit 支票存入")-SUMPRODUCT(('Daily Sale entry '!$Q$2:$Q$1501="Collection 收款")*('Daily Sale entry '!$R$2:$R$1501="Cheque 支票")*('Daily Sale entry '!$V$2:$V$1501&lt;&gt;"")*('Daily Sale entry '!$V$2:$V$1501&lt;=$A140)*('Daily Sale entry '!$S$2:$S$1501-'Opening Balance'!$B$15*('Daily Sale entry '!$R$2:$R$1501="Cheque 支票")*('Daily Sale entry '!$S$2:$S$1501-TRUNC('Daily Sale entry '!$S$2:$S$1501)))),2))</f>
        <v/>
      </c>
      <c r="E140" s="6">
        <f>IF($A140="","",'Opening Balance'!$B$7)</f>
        <v/>
      </c>
      <c r="F140" s="6">
        <f>IF($A140="","",ROUND(SUMIFS('Daily Sale entry '!$L$2:$L$367,'Daily Sale entry '!$A$2:$A$367,"&gt;="&amp;DATE(YEAR($A140),MONTH($A140),1),'Daily Sale entry '!$A$2:$A$367,"&lt;="&amp;$A140)+SUMIFS('Daily Sale entry '!$M$2:$M$367,'Daily Sale entry '!$A$2:$A$367,"&gt;="&amp;DATE(YEAR($A140),MONTH($A140),1),'Daily Sale entry '!$A$2:$A$367,"&lt;="&amp;$A140)+IF(AND(YEAR($A140)=YEAR('Daily Sale entry '!$A$2),MONTH($A140)=MONTH('Daily Sale entry '!$A$2)),'Opening Balance'!$B$8,0),2))</f>
        <v/>
      </c>
      <c r="G140" s="6">
        <f>IF($A140="","",MOD(ROUND('Opening Balance'!$B$9+SUMIFS('Sales &amp; Collection'!$L$1:$L$1935,'Sales &amp; Collection'!$K$1:$K$1935,"cash collection*"),2),'Opening Balance'!$B$11))</f>
        <v/>
      </c>
      <c r="H140" s="6">
        <f>IF($A140="","",ROUND('Opening Balance'!$B$10+'Opening Balance'!$B$9+SUMIFS('Sales &amp; Collection'!$L$1:$L$1935,'Sales &amp; Collection'!$K$1:$K$1935,"cash collection*")-G140-SUMIFS('Daily Sale entry '!$AC$2:$AC$1501,'Daily Sale entry '!$X$2:$X$1501,"&lt;="&amp;$A140,'Daily Sale entry '!$Z$2:$Z$1501,"Cash deposit 现金存入"),2))</f>
        <v/>
      </c>
      <c r="I140" s="6">
        <f>IF($A140="","",ROUND(B140+D140+E140+F140+G140+H140,2))</f>
        <v/>
      </c>
      <c r="J140" s="6">
        <f>IF($A140="","",'AR &amp; AP'!K141)</f>
        <v/>
      </c>
      <c r="K140" s="6">
        <f>IF($A140="","",ROUND(I140-J140-SUMIFS('Daily Sale entry '!$AC$2:$AC$1501,'Daily Sale entry '!$X$2:$X$1501,"&lt;="&amp;$A140,'Daily Sale entry '!$Z$2:$Z$1501,"Other deposit 其他存入")+SUMIFS('Daily Sale entry '!$AD$2:$AD$1501,'Daily Sale entry '!$X$2:$X$1501,"&lt;="&amp;$A140)+('Opening Balance'!$B$8+SUM('Daily Sale entry '!$L$2:M140)-F140),2))</f>
        <v/>
      </c>
      <c r="L140">
        <f>IF($A140="","",IF(ABS('Sales &amp; Collection'!$B$1944)&gt;'Opening Balance'!$B$16,"ALERT 警报: Different "&amp;TEXT('Sales &amp; Collection'!$B$1944,"#,##0.00")&amp;" 差额过大",""))</f>
        <v/>
      </c>
    </row>
    <row r="141">
      <c r="A141" s="5">
        <f>IF('Daily Sale entry '!A141="","",'Daily Sale entry '!A141)</f>
        <v/>
      </c>
      <c r="B141" s="6">
        <f>IF($A141="","",ROUND('Opening Balance'!$B$4+SUM('Daily Sale entry '!$K$2:K141)+SUMIFS('Daily Sale entry '!$AC$2:$AC$1501,'Daily Sale entry '!$X$2:$X$1501,"&lt;="&amp;$A141)-SUMIFS('Daily Sale entry '!$AD$2:$AD$1501,'Daily Sale entry '!$X$2:$X$1501,"&lt;="&amp;$A141)+SUMPRODUCT(('Daily Sale entry '!$Q$2:$Q$1501="Collection 收款")*('Daily Sale entry '!$R$2:$R$1501="Cheque 支票")*('Daily Sale entry '!$V$2:$V$1501&lt;&gt;"")*('Daily Sale entry '!$V$2:$V$1501&lt;=$A141)*('Daily Sale entry '!$S$2:$S$1501-'Opening Balance'!$B$15*('Daily Sale entry '!$R$2:$R$1501="Cheque 支票")*('Daily Sale entry '!$S$2:$S$1501-TRUNC('Daily Sale entry '!$S$2:$S$1501))))-'Opening Balance'!$B$15*SUMPRODUCT(('Daily Sale entry '!$X$2:$X$1501&lt;=$A141)*('Daily Sale entry '!$Z$2:$Z$1501="Online collection 网上收款")*('Daily Sale entry '!$AA$2:$AA$1501&lt;&gt;"")*('Daily Sale entry '!$AC$2:$AC$1501-TRUNC('Daily Sale entry '!$AC$2:$AC$1501))),2))</f>
        <v/>
      </c>
      <c r="C141" s="8">
        <f>IF($A141="","",'Opening Balance'!$B$5+SUM('Daily Sale entry '!$I$2:I141)-SUMIFS('Daily Sale entry '!$AB$2:$AB$1501,'Daily Sale entry '!$X$2:$X$1501,"&lt;="&amp;$A141,'Daily Sale entry '!$Z$2:$Z$1501,"Cheque deposit 支票存入")-COUNTIFS('Daily Sale entry '!$Q$2:$Q$1501,"Collection 收款",'Daily Sale entry '!$R$2:$R$1501,"Cheque 支票",'Daily Sale entry '!$V$2:$V$1501,"&lt;="&amp;$A141))</f>
        <v/>
      </c>
      <c r="D141" s="6">
        <f>IF($A141="","",ROUND('Opening Balance'!$B$6+SUM('Daily Sale entry '!$J$2:J141)-SUMIFS('Daily Sale entry '!$AC$2:$AC$1501,'Daily Sale entry '!$X$2:$X$1501,"&lt;="&amp;$A141,'Daily Sale entry '!$Z$2:$Z$1501,"Cheque deposit 支票存入")-SUMPRODUCT(('Daily Sale entry '!$Q$2:$Q$1501="Collection 收款")*('Daily Sale entry '!$R$2:$R$1501="Cheque 支票")*('Daily Sale entry '!$V$2:$V$1501&lt;&gt;"")*('Daily Sale entry '!$V$2:$V$1501&lt;=$A141)*('Daily Sale entry '!$S$2:$S$1501-'Opening Balance'!$B$15*('Daily Sale entry '!$R$2:$R$1501="Cheque 支票")*('Daily Sale entry '!$S$2:$S$1501-TRUNC('Daily Sale entry '!$S$2:$S$1501)))),2))</f>
        <v/>
      </c>
      <c r="E141" s="6">
        <f>IF($A141="","",'Opening Balance'!$B$7)</f>
        <v/>
      </c>
      <c r="F141" s="6">
        <f>IF($A141="","",ROUND(SUMIFS('Daily Sale entry '!$L$2:$L$367,'Daily Sale entry '!$A$2:$A$367,"&gt;="&amp;DATE(YEAR($A141),MONTH($A141),1),'Daily Sale entry '!$A$2:$A$367,"&lt;="&amp;$A141)+SUMIFS('Daily Sale entry '!$M$2:$M$367,'Daily Sale entry '!$A$2:$A$367,"&gt;="&amp;DATE(YEAR($A141),MONTH($A141),1),'Daily Sale entry '!$A$2:$A$367,"&lt;="&amp;$A141)+IF(AND(YEAR($A141)=YEAR('Daily Sale entry '!$A$2),MONTH($A141)=MONTH('Daily Sale entry '!$A$2)),'Opening Balance'!$B$8,0),2))</f>
        <v/>
      </c>
      <c r="G141" s="6">
        <f>IF($A141="","",MOD(ROUND('Opening Balance'!$B$9+SUMIFS('Sales &amp; Collection'!$L$1:$L$1949,'Sales &amp; Collection'!$K$1:$K$1949,"cash collection*"),2),'Opening Balance'!$B$11))</f>
        <v/>
      </c>
      <c r="H141" s="6">
        <f>IF($A141="","",ROUND('Opening Balance'!$B$10+'Opening Balance'!$B$9+SUMIFS('Sales &amp; Collection'!$L$1:$L$1949,'Sales &amp; Collection'!$K$1:$K$1949,"cash collection*")-G141-SUMIFS('Daily Sale entry '!$AC$2:$AC$1501,'Daily Sale entry '!$X$2:$X$1501,"&lt;="&amp;$A141,'Daily Sale entry '!$Z$2:$Z$1501,"Cash deposit 现金存入"),2))</f>
        <v/>
      </c>
      <c r="I141" s="6">
        <f>IF($A141="","",ROUND(B141+D141+E141+F141+G141+H141,2))</f>
        <v/>
      </c>
      <c r="J141" s="6">
        <f>IF($A141="","",'AR &amp; AP'!K142)</f>
        <v/>
      </c>
      <c r="K141" s="6">
        <f>IF($A141="","",ROUND(I141-J141-SUMIFS('Daily Sale entry '!$AC$2:$AC$1501,'Daily Sale entry '!$X$2:$X$1501,"&lt;="&amp;$A141,'Daily Sale entry '!$Z$2:$Z$1501,"Other deposit 其他存入")+SUMIFS('Daily Sale entry '!$AD$2:$AD$1501,'Daily Sale entry '!$X$2:$X$1501,"&lt;="&amp;$A141)+('Opening Balance'!$B$8+SUM('Daily Sale entry '!$L$2:M141)-F141),2))</f>
        <v/>
      </c>
      <c r="L141">
        <f>IF($A141="","",IF(ABS('Sales &amp; Collection'!$B$1958)&gt;'Opening Balance'!$B$16,"ALERT 警报: Different "&amp;TEXT('Sales &amp; Collection'!$B$1958,"#,##0.00")&amp;" 差额过大",""))</f>
        <v/>
      </c>
    </row>
    <row r="142">
      <c r="A142" s="5">
        <f>IF('Daily Sale entry '!A142="","",'Daily Sale entry '!A142)</f>
        <v/>
      </c>
      <c r="B142" s="6">
        <f>IF($A142="","",ROUND('Opening Balance'!$B$4+SUM('Daily Sale entry '!$K$2:K142)+SUMIFS('Daily Sale entry '!$AC$2:$AC$1501,'Daily Sale entry '!$X$2:$X$1501,"&lt;="&amp;$A142)-SUMIFS('Daily Sale entry '!$AD$2:$AD$1501,'Daily Sale entry '!$X$2:$X$1501,"&lt;="&amp;$A142)+SUMPRODUCT(('Daily Sale entry '!$Q$2:$Q$1501="Collection 收款")*('Daily Sale entry '!$R$2:$R$1501="Cheque 支票")*('Daily Sale entry '!$V$2:$V$1501&lt;&gt;"")*('Daily Sale entry '!$V$2:$V$1501&lt;=$A142)*('Daily Sale entry '!$S$2:$S$1501-'Opening Balance'!$B$15*('Daily Sale entry '!$R$2:$R$1501="Cheque 支票")*('Daily Sale entry '!$S$2:$S$1501-TRUNC('Daily Sale entry '!$S$2:$S$1501))))-'Opening Balance'!$B$15*SUMPRODUCT(('Daily Sale entry '!$X$2:$X$1501&lt;=$A142)*('Daily Sale entry '!$Z$2:$Z$1501="Online collection 网上收款")*('Daily Sale entry '!$AA$2:$AA$1501&lt;&gt;"")*('Daily Sale entry '!$AC$2:$AC$1501-TRUNC('Daily Sale entry '!$AC$2:$AC$1501))),2))</f>
        <v/>
      </c>
      <c r="C142" s="8">
        <f>IF($A142="","",'Opening Balance'!$B$5+SUM('Daily Sale entry '!$I$2:I142)-SUMIFS('Daily Sale entry '!$AB$2:$AB$1501,'Daily Sale entry '!$X$2:$X$1501,"&lt;="&amp;$A142,'Daily Sale entry '!$Z$2:$Z$1501,"Cheque deposit 支票存入")-COUNTIFS('Daily Sale entry '!$Q$2:$Q$1501,"Collection 收款",'Daily Sale entry '!$R$2:$R$1501,"Cheque 支票",'Daily Sale entry '!$V$2:$V$1501,"&lt;="&amp;$A142))</f>
        <v/>
      </c>
      <c r="D142" s="6">
        <f>IF($A142="","",ROUND('Opening Balance'!$B$6+SUM('Daily Sale entry '!$J$2:J142)-SUMIFS('Daily Sale entry '!$AC$2:$AC$1501,'Daily Sale entry '!$X$2:$X$1501,"&lt;="&amp;$A142,'Daily Sale entry '!$Z$2:$Z$1501,"Cheque deposit 支票存入")-SUMPRODUCT(('Daily Sale entry '!$Q$2:$Q$1501="Collection 收款")*('Daily Sale entry '!$R$2:$R$1501="Cheque 支票")*('Daily Sale entry '!$V$2:$V$1501&lt;&gt;"")*('Daily Sale entry '!$V$2:$V$1501&lt;=$A142)*('Daily Sale entry '!$S$2:$S$1501-'Opening Balance'!$B$15*('Daily Sale entry '!$R$2:$R$1501="Cheque 支票")*('Daily Sale entry '!$S$2:$S$1501-TRUNC('Daily Sale entry '!$S$2:$S$1501)))),2))</f>
        <v/>
      </c>
      <c r="E142" s="6">
        <f>IF($A142="","",'Opening Balance'!$B$7)</f>
        <v/>
      </c>
      <c r="F142" s="6">
        <f>IF($A142="","",ROUND(SUMIFS('Daily Sale entry '!$L$2:$L$367,'Daily Sale entry '!$A$2:$A$367,"&gt;="&amp;DATE(YEAR($A142),MONTH($A142),1),'Daily Sale entry '!$A$2:$A$367,"&lt;="&amp;$A142)+SUMIFS('Daily Sale entry '!$M$2:$M$367,'Daily Sale entry '!$A$2:$A$367,"&gt;="&amp;DATE(YEAR($A142),MONTH($A142),1),'Daily Sale entry '!$A$2:$A$367,"&lt;="&amp;$A142)+IF(AND(YEAR($A142)=YEAR('Daily Sale entry '!$A$2),MONTH($A142)=MONTH('Daily Sale entry '!$A$2)),'Opening Balance'!$B$8,0),2))</f>
        <v/>
      </c>
      <c r="G142" s="6">
        <f>IF($A142="","",MOD(ROUND('Opening Balance'!$B$9+SUMIFS('Sales &amp; Collection'!$L$1:$L$1963,'Sales &amp; Collection'!$K$1:$K$1963,"cash collection*"),2),'Opening Balance'!$B$11))</f>
        <v/>
      </c>
      <c r="H142" s="6">
        <f>IF($A142="","",ROUND('Opening Balance'!$B$10+'Opening Balance'!$B$9+SUMIFS('Sales &amp; Collection'!$L$1:$L$1963,'Sales &amp; Collection'!$K$1:$K$1963,"cash collection*")-G142-SUMIFS('Daily Sale entry '!$AC$2:$AC$1501,'Daily Sale entry '!$X$2:$X$1501,"&lt;="&amp;$A142,'Daily Sale entry '!$Z$2:$Z$1501,"Cash deposit 现金存入"),2))</f>
        <v/>
      </c>
      <c r="I142" s="6">
        <f>IF($A142="","",ROUND(B142+D142+E142+F142+G142+H142,2))</f>
        <v/>
      </c>
      <c r="J142" s="6">
        <f>IF($A142="","",'AR &amp; AP'!K143)</f>
        <v/>
      </c>
      <c r="K142" s="6">
        <f>IF($A142="","",ROUND(I142-J142-SUMIFS('Daily Sale entry '!$AC$2:$AC$1501,'Daily Sale entry '!$X$2:$X$1501,"&lt;="&amp;$A142,'Daily Sale entry '!$Z$2:$Z$1501,"Other deposit 其他存入")+SUMIFS('Daily Sale entry '!$AD$2:$AD$1501,'Daily Sale entry '!$X$2:$X$1501,"&lt;="&amp;$A142)+('Opening Balance'!$B$8+SUM('Daily Sale entry '!$L$2:M142)-F142),2))</f>
        <v/>
      </c>
      <c r="L142">
        <f>IF($A142="","",IF(ABS('Sales &amp; Collection'!$B$1972)&gt;'Opening Balance'!$B$16,"ALERT 警报: Different "&amp;TEXT('Sales &amp; Collection'!$B$1972,"#,##0.00")&amp;" 差额过大",""))</f>
        <v/>
      </c>
    </row>
    <row r="143">
      <c r="A143" s="5">
        <f>IF('Daily Sale entry '!A143="","",'Daily Sale entry '!A143)</f>
        <v/>
      </c>
      <c r="B143" s="6">
        <f>IF($A143="","",ROUND('Opening Balance'!$B$4+SUM('Daily Sale entry '!$K$2:K143)+SUMIFS('Daily Sale entry '!$AC$2:$AC$1501,'Daily Sale entry '!$X$2:$X$1501,"&lt;="&amp;$A143)-SUMIFS('Daily Sale entry '!$AD$2:$AD$1501,'Daily Sale entry '!$X$2:$X$1501,"&lt;="&amp;$A143)+SUMPRODUCT(('Daily Sale entry '!$Q$2:$Q$1501="Collection 收款")*('Daily Sale entry '!$R$2:$R$1501="Cheque 支票")*('Daily Sale entry '!$V$2:$V$1501&lt;&gt;"")*('Daily Sale entry '!$V$2:$V$1501&lt;=$A143)*('Daily Sale entry '!$S$2:$S$1501-'Opening Balance'!$B$15*('Daily Sale entry '!$R$2:$R$1501="Cheque 支票")*('Daily Sale entry '!$S$2:$S$1501-TRUNC('Daily Sale entry '!$S$2:$S$1501))))-'Opening Balance'!$B$15*SUMPRODUCT(('Daily Sale entry '!$X$2:$X$1501&lt;=$A143)*('Daily Sale entry '!$Z$2:$Z$1501="Online collection 网上收款")*('Daily Sale entry '!$AA$2:$AA$1501&lt;&gt;"")*('Daily Sale entry '!$AC$2:$AC$1501-TRUNC('Daily Sale entry '!$AC$2:$AC$1501))),2))</f>
        <v/>
      </c>
      <c r="C143" s="8">
        <f>IF($A143="","",'Opening Balance'!$B$5+SUM('Daily Sale entry '!$I$2:I143)-SUMIFS('Daily Sale entry '!$AB$2:$AB$1501,'Daily Sale entry '!$X$2:$X$1501,"&lt;="&amp;$A143,'Daily Sale entry '!$Z$2:$Z$1501,"Cheque deposit 支票存入")-COUNTIFS('Daily Sale entry '!$Q$2:$Q$1501,"Collection 收款",'Daily Sale entry '!$R$2:$R$1501,"Cheque 支票",'Daily Sale entry '!$V$2:$V$1501,"&lt;="&amp;$A143))</f>
        <v/>
      </c>
      <c r="D143" s="6">
        <f>IF($A143="","",ROUND('Opening Balance'!$B$6+SUM('Daily Sale entry '!$J$2:J143)-SUMIFS('Daily Sale entry '!$AC$2:$AC$1501,'Daily Sale entry '!$X$2:$X$1501,"&lt;="&amp;$A143,'Daily Sale entry '!$Z$2:$Z$1501,"Cheque deposit 支票存入")-SUMPRODUCT(('Daily Sale entry '!$Q$2:$Q$1501="Collection 收款")*('Daily Sale entry '!$R$2:$R$1501="Cheque 支票")*('Daily Sale entry '!$V$2:$V$1501&lt;&gt;"")*('Daily Sale entry '!$V$2:$V$1501&lt;=$A143)*('Daily Sale entry '!$S$2:$S$1501-'Opening Balance'!$B$15*('Daily Sale entry '!$R$2:$R$1501="Cheque 支票")*('Daily Sale entry '!$S$2:$S$1501-TRUNC('Daily Sale entry '!$S$2:$S$1501)))),2))</f>
        <v/>
      </c>
      <c r="E143" s="6">
        <f>IF($A143="","",'Opening Balance'!$B$7)</f>
        <v/>
      </c>
      <c r="F143" s="6">
        <f>IF($A143="","",ROUND(SUMIFS('Daily Sale entry '!$L$2:$L$367,'Daily Sale entry '!$A$2:$A$367,"&gt;="&amp;DATE(YEAR($A143),MONTH($A143),1),'Daily Sale entry '!$A$2:$A$367,"&lt;="&amp;$A143)+SUMIFS('Daily Sale entry '!$M$2:$M$367,'Daily Sale entry '!$A$2:$A$367,"&gt;="&amp;DATE(YEAR($A143),MONTH($A143),1),'Daily Sale entry '!$A$2:$A$367,"&lt;="&amp;$A143)+IF(AND(YEAR($A143)=YEAR('Daily Sale entry '!$A$2),MONTH($A143)=MONTH('Daily Sale entry '!$A$2)),'Opening Balance'!$B$8,0),2))</f>
        <v/>
      </c>
      <c r="G143" s="6">
        <f>IF($A143="","",MOD(ROUND('Opening Balance'!$B$9+SUMIFS('Sales &amp; Collection'!$L$1:$L$1977,'Sales &amp; Collection'!$K$1:$K$1977,"cash collection*"),2),'Opening Balance'!$B$11))</f>
        <v/>
      </c>
      <c r="H143" s="6">
        <f>IF($A143="","",ROUND('Opening Balance'!$B$10+'Opening Balance'!$B$9+SUMIFS('Sales &amp; Collection'!$L$1:$L$1977,'Sales &amp; Collection'!$K$1:$K$1977,"cash collection*")-G143-SUMIFS('Daily Sale entry '!$AC$2:$AC$1501,'Daily Sale entry '!$X$2:$X$1501,"&lt;="&amp;$A143,'Daily Sale entry '!$Z$2:$Z$1501,"Cash deposit 现金存入"),2))</f>
        <v/>
      </c>
      <c r="I143" s="6">
        <f>IF($A143="","",ROUND(B143+D143+E143+F143+G143+H143,2))</f>
        <v/>
      </c>
      <c r="J143" s="6">
        <f>IF($A143="","",'AR &amp; AP'!K144)</f>
        <v/>
      </c>
      <c r="K143" s="6">
        <f>IF($A143="","",ROUND(I143-J143-SUMIFS('Daily Sale entry '!$AC$2:$AC$1501,'Daily Sale entry '!$X$2:$X$1501,"&lt;="&amp;$A143,'Daily Sale entry '!$Z$2:$Z$1501,"Other deposit 其他存入")+SUMIFS('Daily Sale entry '!$AD$2:$AD$1501,'Daily Sale entry '!$X$2:$X$1501,"&lt;="&amp;$A143)+('Opening Balance'!$B$8+SUM('Daily Sale entry '!$L$2:M143)-F143),2))</f>
        <v/>
      </c>
      <c r="L143">
        <f>IF($A143="","",IF(ABS('Sales &amp; Collection'!$B$1986)&gt;'Opening Balance'!$B$16,"ALERT 警报: Different "&amp;TEXT('Sales &amp; Collection'!$B$1986,"#,##0.00")&amp;" 差额过大",""))</f>
        <v/>
      </c>
    </row>
    <row r="144">
      <c r="A144" s="5">
        <f>IF('Daily Sale entry '!A144="","",'Daily Sale entry '!A144)</f>
        <v/>
      </c>
      <c r="B144" s="6">
        <f>IF($A144="","",ROUND('Opening Balance'!$B$4+SUM('Daily Sale entry '!$K$2:K144)+SUMIFS('Daily Sale entry '!$AC$2:$AC$1501,'Daily Sale entry '!$X$2:$X$1501,"&lt;="&amp;$A144)-SUMIFS('Daily Sale entry '!$AD$2:$AD$1501,'Daily Sale entry '!$X$2:$X$1501,"&lt;="&amp;$A144)+SUMPRODUCT(('Daily Sale entry '!$Q$2:$Q$1501="Collection 收款")*('Daily Sale entry '!$R$2:$R$1501="Cheque 支票")*('Daily Sale entry '!$V$2:$V$1501&lt;&gt;"")*('Daily Sale entry '!$V$2:$V$1501&lt;=$A144)*('Daily Sale entry '!$S$2:$S$1501-'Opening Balance'!$B$15*('Daily Sale entry '!$R$2:$R$1501="Cheque 支票")*('Daily Sale entry '!$S$2:$S$1501-TRUNC('Daily Sale entry '!$S$2:$S$1501))))-'Opening Balance'!$B$15*SUMPRODUCT(('Daily Sale entry '!$X$2:$X$1501&lt;=$A144)*('Daily Sale entry '!$Z$2:$Z$1501="Online collection 网上收款")*('Daily Sale entry '!$AA$2:$AA$1501&lt;&gt;"")*('Daily Sale entry '!$AC$2:$AC$1501-TRUNC('Daily Sale entry '!$AC$2:$AC$1501))),2))</f>
        <v/>
      </c>
      <c r="C144" s="8">
        <f>IF($A144="","",'Opening Balance'!$B$5+SUM('Daily Sale entry '!$I$2:I144)-SUMIFS('Daily Sale entry '!$AB$2:$AB$1501,'Daily Sale entry '!$X$2:$X$1501,"&lt;="&amp;$A144,'Daily Sale entry '!$Z$2:$Z$1501,"Cheque deposit 支票存入")-COUNTIFS('Daily Sale entry '!$Q$2:$Q$1501,"Collection 收款",'Daily Sale entry '!$R$2:$R$1501,"Cheque 支票",'Daily Sale entry '!$V$2:$V$1501,"&lt;="&amp;$A144))</f>
        <v/>
      </c>
      <c r="D144" s="6">
        <f>IF($A144="","",ROUND('Opening Balance'!$B$6+SUM('Daily Sale entry '!$J$2:J144)-SUMIFS('Daily Sale entry '!$AC$2:$AC$1501,'Daily Sale entry '!$X$2:$X$1501,"&lt;="&amp;$A144,'Daily Sale entry '!$Z$2:$Z$1501,"Cheque deposit 支票存入")-SUMPRODUCT(('Daily Sale entry '!$Q$2:$Q$1501="Collection 收款")*('Daily Sale entry '!$R$2:$R$1501="Cheque 支票")*('Daily Sale entry '!$V$2:$V$1501&lt;&gt;"")*('Daily Sale entry '!$V$2:$V$1501&lt;=$A144)*('Daily Sale entry '!$S$2:$S$1501-'Opening Balance'!$B$15*('Daily Sale entry '!$R$2:$R$1501="Cheque 支票")*('Daily Sale entry '!$S$2:$S$1501-TRUNC('Daily Sale entry '!$S$2:$S$1501)))),2))</f>
        <v/>
      </c>
      <c r="E144" s="6">
        <f>IF($A144="","",'Opening Balance'!$B$7)</f>
        <v/>
      </c>
      <c r="F144" s="6">
        <f>IF($A144="","",ROUND(SUMIFS('Daily Sale entry '!$L$2:$L$367,'Daily Sale entry '!$A$2:$A$367,"&gt;="&amp;DATE(YEAR($A144),MONTH($A144),1),'Daily Sale entry '!$A$2:$A$367,"&lt;="&amp;$A144)+SUMIFS('Daily Sale entry '!$M$2:$M$367,'Daily Sale entry '!$A$2:$A$367,"&gt;="&amp;DATE(YEAR($A144),MONTH($A144),1),'Daily Sale entry '!$A$2:$A$367,"&lt;="&amp;$A144)+IF(AND(YEAR($A144)=YEAR('Daily Sale entry '!$A$2),MONTH($A144)=MONTH('Daily Sale entry '!$A$2)),'Opening Balance'!$B$8,0),2))</f>
        <v/>
      </c>
      <c r="G144" s="6">
        <f>IF($A144="","",MOD(ROUND('Opening Balance'!$B$9+SUMIFS('Sales &amp; Collection'!$L$1:$L$1991,'Sales &amp; Collection'!$K$1:$K$1991,"cash collection*"),2),'Opening Balance'!$B$11))</f>
        <v/>
      </c>
      <c r="H144" s="6">
        <f>IF($A144="","",ROUND('Opening Balance'!$B$10+'Opening Balance'!$B$9+SUMIFS('Sales &amp; Collection'!$L$1:$L$1991,'Sales &amp; Collection'!$K$1:$K$1991,"cash collection*")-G144-SUMIFS('Daily Sale entry '!$AC$2:$AC$1501,'Daily Sale entry '!$X$2:$X$1501,"&lt;="&amp;$A144,'Daily Sale entry '!$Z$2:$Z$1501,"Cash deposit 现金存入"),2))</f>
        <v/>
      </c>
      <c r="I144" s="6">
        <f>IF($A144="","",ROUND(B144+D144+E144+F144+G144+H144,2))</f>
        <v/>
      </c>
      <c r="J144" s="6">
        <f>IF($A144="","",'AR &amp; AP'!K145)</f>
        <v/>
      </c>
      <c r="K144" s="6">
        <f>IF($A144="","",ROUND(I144-J144-SUMIFS('Daily Sale entry '!$AC$2:$AC$1501,'Daily Sale entry '!$X$2:$X$1501,"&lt;="&amp;$A144,'Daily Sale entry '!$Z$2:$Z$1501,"Other deposit 其他存入")+SUMIFS('Daily Sale entry '!$AD$2:$AD$1501,'Daily Sale entry '!$X$2:$X$1501,"&lt;="&amp;$A144)+('Opening Balance'!$B$8+SUM('Daily Sale entry '!$L$2:M144)-F144),2))</f>
        <v/>
      </c>
      <c r="L144">
        <f>IF($A144="","",IF(ABS('Sales &amp; Collection'!$B$2000)&gt;'Opening Balance'!$B$16,"ALERT 警报: Different "&amp;TEXT('Sales &amp; Collection'!$B$2000,"#,##0.00")&amp;" 差额过大",""))</f>
        <v/>
      </c>
    </row>
    <row r="145">
      <c r="A145" s="5">
        <f>IF('Daily Sale entry '!A145="","",'Daily Sale entry '!A145)</f>
        <v/>
      </c>
      <c r="B145" s="6">
        <f>IF($A145="","",ROUND('Opening Balance'!$B$4+SUM('Daily Sale entry '!$K$2:K145)+SUMIFS('Daily Sale entry '!$AC$2:$AC$1501,'Daily Sale entry '!$X$2:$X$1501,"&lt;="&amp;$A145)-SUMIFS('Daily Sale entry '!$AD$2:$AD$1501,'Daily Sale entry '!$X$2:$X$1501,"&lt;="&amp;$A145)+SUMPRODUCT(('Daily Sale entry '!$Q$2:$Q$1501="Collection 收款")*('Daily Sale entry '!$R$2:$R$1501="Cheque 支票")*('Daily Sale entry '!$V$2:$V$1501&lt;&gt;"")*('Daily Sale entry '!$V$2:$V$1501&lt;=$A145)*('Daily Sale entry '!$S$2:$S$1501-'Opening Balance'!$B$15*('Daily Sale entry '!$R$2:$R$1501="Cheque 支票")*('Daily Sale entry '!$S$2:$S$1501-TRUNC('Daily Sale entry '!$S$2:$S$1501))))-'Opening Balance'!$B$15*SUMPRODUCT(('Daily Sale entry '!$X$2:$X$1501&lt;=$A145)*('Daily Sale entry '!$Z$2:$Z$1501="Online collection 网上收款")*('Daily Sale entry '!$AA$2:$AA$1501&lt;&gt;"")*('Daily Sale entry '!$AC$2:$AC$1501-TRUNC('Daily Sale entry '!$AC$2:$AC$1501))),2))</f>
        <v/>
      </c>
      <c r="C145" s="8">
        <f>IF($A145="","",'Opening Balance'!$B$5+SUM('Daily Sale entry '!$I$2:I145)-SUMIFS('Daily Sale entry '!$AB$2:$AB$1501,'Daily Sale entry '!$X$2:$X$1501,"&lt;="&amp;$A145,'Daily Sale entry '!$Z$2:$Z$1501,"Cheque deposit 支票存入")-COUNTIFS('Daily Sale entry '!$Q$2:$Q$1501,"Collection 收款",'Daily Sale entry '!$R$2:$R$1501,"Cheque 支票",'Daily Sale entry '!$V$2:$V$1501,"&lt;="&amp;$A145))</f>
        <v/>
      </c>
      <c r="D145" s="6">
        <f>IF($A145="","",ROUND('Opening Balance'!$B$6+SUM('Daily Sale entry '!$J$2:J145)-SUMIFS('Daily Sale entry '!$AC$2:$AC$1501,'Daily Sale entry '!$X$2:$X$1501,"&lt;="&amp;$A145,'Daily Sale entry '!$Z$2:$Z$1501,"Cheque deposit 支票存入")-SUMPRODUCT(('Daily Sale entry '!$Q$2:$Q$1501="Collection 收款")*('Daily Sale entry '!$R$2:$R$1501="Cheque 支票")*('Daily Sale entry '!$V$2:$V$1501&lt;&gt;"")*('Daily Sale entry '!$V$2:$V$1501&lt;=$A145)*('Daily Sale entry '!$S$2:$S$1501-'Opening Balance'!$B$15*('Daily Sale entry '!$R$2:$R$1501="Cheque 支票")*('Daily Sale entry '!$S$2:$S$1501-TRUNC('Daily Sale entry '!$S$2:$S$1501)))),2))</f>
        <v/>
      </c>
      <c r="E145" s="6">
        <f>IF($A145="","",'Opening Balance'!$B$7)</f>
        <v/>
      </c>
      <c r="F145" s="6">
        <f>IF($A145="","",ROUND(SUMIFS('Daily Sale entry '!$L$2:$L$367,'Daily Sale entry '!$A$2:$A$367,"&gt;="&amp;DATE(YEAR($A145),MONTH($A145),1),'Daily Sale entry '!$A$2:$A$367,"&lt;="&amp;$A145)+SUMIFS('Daily Sale entry '!$M$2:$M$367,'Daily Sale entry '!$A$2:$A$367,"&gt;="&amp;DATE(YEAR($A145),MONTH($A145),1),'Daily Sale entry '!$A$2:$A$367,"&lt;="&amp;$A145)+IF(AND(YEAR($A145)=YEAR('Daily Sale entry '!$A$2),MONTH($A145)=MONTH('Daily Sale entry '!$A$2)),'Opening Balance'!$B$8,0),2))</f>
        <v/>
      </c>
      <c r="G145" s="6">
        <f>IF($A145="","",MOD(ROUND('Opening Balance'!$B$9+SUMIFS('Sales &amp; Collection'!$L$1:$L$2005,'Sales &amp; Collection'!$K$1:$K$2005,"cash collection*"),2),'Opening Balance'!$B$11))</f>
        <v/>
      </c>
      <c r="H145" s="6">
        <f>IF($A145="","",ROUND('Opening Balance'!$B$10+'Opening Balance'!$B$9+SUMIFS('Sales &amp; Collection'!$L$1:$L$2005,'Sales &amp; Collection'!$K$1:$K$2005,"cash collection*")-G145-SUMIFS('Daily Sale entry '!$AC$2:$AC$1501,'Daily Sale entry '!$X$2:$X$1501,"&lt;="&amp;$A145,'Daily Sale entry '!$Z$2:$Z$1501,"Cash deposit 现金存入"),2))</f>
        <v/>
      </c>
      <c r="I145" s="6">
        <f>IF($A145="","",ROUND(B145+D145+E145+F145+G145+H145,2))</f>
        <v/>
      </c>
      <c r="J145" s="6">
        <f>IF($A145="","",'AR &amp; AP'!K146)</f>
        <v/>
      </c>
      <c r="K145" s="6">
        <f>IF($A145="","",ROUND(I145-J145-SUMIFS('Daily Sale entry '!$AC$2:$AC$1501,'Daily Sale entry '!$X$2:$X$1501,"&lt;="&amp;$A145,'Daily Sale entry '!$Z$2:$Z$1501,"Other deposit 其他存入")+SUMIFS('Daily Sale entry '!$AD$2:$AD$1501,'Daily Sale entry '!$X$2:$X$1501,"&lt;="&amp;$A145)+('Opening Balance'!$B$8+SUM('Daily Sale entry '!$L$2:M145)-F145),2))</f>
        <v/>
      </c>
      <c r="L145">
        <f>IF($A145="","",IF(ABS('Sales &amp; Collection'!$B$2014)&gt;'Opening Balance'!$B$16,"ALERT 警报: Different "&amp;TEXT('Sales &amp; Collection'!$B$2014,"#,##0.00")&amp;" 差额过大",""))</f>
        <v/>
      </c>
    </row>
    <row r="146">
      <c r="A146" s="5">
        <f>IF('Daily Sale entry '!A146="","",'Daily Sale entry '!A146)</f>
        <v/>
      </c>
      <c r="B146" s="6">
        <f>IF($A146="","",ROUND('Opening Balance'!$B$4+SUM('Daily Sale entry '!$K$2:K146)+SUMIFS('Daily Sale entry '!$AC$2:$AC$1501,'Daily Sale entry '!$X$2:$X$1501,"&lt;="&amp;$A146)-SUMIFS('Daily Sale entry '!$AD$2:$AD$1501,'Daily Sale entry '!$X$2:$X$1501,"&lt;="&amp;$A146)+SUMPRODUCT(('Daily Sale entry '!$Q$2:$Q$1501="Collection 收款")*('Daily Sale entry '!$R$2:$R$1501="Cheque 支票")*('Daily Sale entry '!$V$2:$V$1501&lt;&gt;"")*('Daily Sale entry '!$V$2:$V$1501&lt;=$A146)*('Daily Sale entry '!$S$2:$S$1501-'Opening Balance'!$B$15*('Daily Sale entry '!$R$2:$R$1501="Cheque 支票")*('Daily Sale entry '!$S$2:$S$1501-TRUNC('Daily Sale entry '!$S$2:$S$1501))))-'Opening Balance'!$B$15*SUMPRODUCT(('Daily Sale entry '!$X$2:$X$1501&lt;=$A146)*('Daily Sale entry '!$Z$2:$Z$1501="Online collection 网上收款")*('Daily Sale entry '!$AA$2:$AA$1501&lt;&gt;"")*('Daily Sale entry '!$AC$2:$AC$1501-TRUNC('Daily Sale entry '!$AC$2:$AC$1501))),2))</f>
        <v/>
      </c>
      <c r="C146" s="8">
        <f>IF($A146="","",'Opening Balance'!$B$5+SUM('Daily Sale entry '!$I$2:I146)-SUMIFS('Daily Sale entry '!$AB$2:$AB$1501,'Daily Sale entry '!$X$2:$X$1501,"&lt;="&amp;$A146,'Daily Sale entry '!$Z$2:$Z$1501,"Cheque deposit 支票存入")-COUNTIFS('Daily Sale entry '!$Q$2:$Q$1501,"Collection 收款",'Daily Sale entry '!$R$2:$R$1501,"Cheque 支票",'Daily Sale entry '!$V$2:$V$1501,"&lt;="&amp;$A146))</f>
        <v/>
      </c>
      <c r="D146" s="6">
        <f>IF($A146="","",ROUND('Opening Balance'!$B$6+SUM('Daily Sale entry '!$J$2:J146)-SUMIFS('Daily Sale entry '!$AC$2:$AC$1501,'Daily Sale entry '!$X$2:$X$1501,"&lt;="&amp;$A146,'Daily Sale entry '!$Z$2:$Z$1501,"Cheque deposit 支票存入")-SUMPRODUCT(('Daily Sale entry '!$Q$2:$Q$1501="Collection 收款")*('Daily Sale entry '!$R$2:$R$1501="Cheque 支票")*('Daily Sale entry '!$V$2:$V$1501&lt;&gt;"")*('Daily Sale entry '!$V$2:$V$1501&lt;=$A146)*('Daily Sale entry '!$S$2:$S$1501-'Opening Balance'!$B$15*('Daily Sale entry '!$R$2:$R$1501="Cheque 支票")*('Daily Sale entry '!$S$2:$S$1501-TRUNC('Daily Sale entry '!$S$2:$S$1501)))),2))</f>
        <v/>
      </c>
      <c r="E146" s="6">
        <f>IF($A146="","",'Opening Balance'!$B$7)</f>
        <v/>
      </c>
      <c r="F146" s="6">
        <f>IF($A146="","",ROUND(SUMIFS('Daily Sale entry '!$L$2:$L$367,'Daily Sale entry '!$A$2:$A$367,"&gt;="&amp;DATE(YEAR($A146),MONTH($A146),1),'Daily Sale entry '!$A$2:$A$367,"&lt;="&amp;$A146)+SUMIFS('Daily Sale entry '!$M$2:$M$367,'Daily Sale entry '!$A$2:$A$367,"&gt;="&amp;DATE(YEAR($A146),MONTH($A146),1),'Daily Sale entry '!$A$2:$A$367,"&lt;="&amp;$A146)+IF(AND(YEAR($A146)=YEAR('Daily Sale entry '!$A$2),MONTH($A146)=MONTH('Daily Sale entry '!$A$2)),'Opening Balance'!$B$8,0),2))</f>
        <v/>
      </c>
      <c r="G146" s="6">
        <f>IF($A146="","",MOD(ROUND('Opening Balance'!$B$9+SUMIFS('Sales &amp; Collection'!$L$1:$L$2019,'Sales &amp; Collection'!$K$1:$K$2019,"cash collection*"),2),'Opening Balance'!$B$11))</f>
        <v/>
      </c>
      <c r="H146" s="6">
        <f>IF($A146="","",ROUND('Opening Balance'!$B$10+'Opening Balance'!$B$9+SUMIFS('Sales &amp; Collection'!$L$1:$L$2019,'Sales &amp; Collection'!$K$1:$K$2019,"cash collection*")-G146-SUMIFS('Daily Sale entry '!$AC$2:$AC$1501,'Daily Sale entry '!$X$2:$X$1501,"&lt;="&amp;$A146,'Daily Sale entry '!$Z$2:$Z$1501,"Cash deposit 现金存入"),2))</f>
        <v/>
      </c>
      <c r="I146" s="6">
        <f>IF($A146="","",ROUND(B146+D146+E146+F146+G146+H146,2))</f>
        <v/>
      </c>
      <c r="J146" s="6">
        <f>IF($A146="","",'AR &amp; AP'!K147)</f>
        <v/>
      </c>
      <c r="K146" s="6">
        <f>IF($A146="","",ROUND(I146-J146-SUMIFS('Daily Sale entry '!$AC$2:$AC$1501,'Daily Sale entry '!$X$2:$X$1501,"&lt;="&amp;$A146,'Daily Sale entry '!$Z$2:$Z$1501,"Other deposit 其他存入")+SUMIFS('Daily Sale entry '!$AD$2:$AD$1501,'Daily Sale entry '!$X$2:$X$1501,"&lt;="&amp;$A146)+('Opening Balance'!$B$8+SUM('Daily Sale entry '!$L$2:M146)-F146),2))</f>
        <v/>
      </c>
      <c r="L146">
        <f>IF($A146="","",IF(ABS('Sales &amp; Collection'!$B$2028)&gt;'Opening Balance'!$B$16,"ALERT 警报: Different "&amp;TEXT('Sales &amp; Collection'!$B$2028,"#,##0.00")&amp;" 差额过大",""))</f>
        <v/>
      </c>
    </row>
    <row r="147">
      <c r="A147" s="5">
        <f>IF('Daily Sale entry '!A147="","",'Daily Sale entry '!A147)</f>
        <v/>
      </c>
      <c r="B147" s="6">
        <f>IF($A147="","",ROUND('Opening Balance'!$B$4+SUM('Daily Sale entry '!$K$2:K147)+SUMIFS('Daily Sale entry '!$AC$2:$AC$1501,'Daily Sale entry '!$X$2:$X$1501,"&lt;="&amp;$A147)-SUMIFS('Daily Sale entry '!$AD$2:$AD$1501,'Daily Sale entry '!$X$2:$X$1501,"&lt;="&amp;$A147)+SUMPRODUCT(('Daily Sale entry '!$Q$2:$Q$1501="Collection 收款")*('Daily Sale entry '!$R$2:$R$1501="Cheque 支票")*('Daily Sale entry '!$V$2:$V$1501&lt;&gt;"")*('Daily Sale entry '!$V$2:$V$1501&lt;=$A147)*('Daily Sale entry '!$S$2:$S$1501-'Opening Balance'!$B$15*('Daily Sale entry '!$R$2:$R$1501="Cheque 支票")*('Daily Sale entry '!$S$2:$S$1501-TRUNC('Daily Sale entry '!$S$2:$S$1501))))-'Opening Balance'!$B$15*SUMPRODUCT(('Daily Sale entry '!$X$2:$X$1501&lt;=$A147)*('Daily Sale entry '!$Z$2:$Z$1501="Online collection 网上收款")*('Daily Sale entry '!$AA$2:$AA$1501&lt;&gt;"")*('Daily Sale entry '!$AC$2:$AC$1501-TRUNC('Daily Sale entry '!$AC$2:$AC$1501))),2))</f>
        <v/>
      </c>
      <c r="C147" s="8">
        <f>IF($A147="","",'Opening Balance'!$B$5+SUM('Daily Sale entry '!$I$2:I147)-SUMIFS('Daily Sale entry '!$AB$2:$AB$1501,'Daily Sale entry '!$X$2:$X$1501,"&lt;="&amp;$A147,'Daily Sale entry '!$Z$2:$Z$1501,"Cheque deposit 支票存入")-COUNTIFS('Daily Sale entry '!$Q$2:$Q$1501,"Collection 收款",'Daily Sale entry '!$R$2:$R$1501,"Cheque 支票",'Daily Sale entry '!$V$2:$V$1501,"&lt;="&amp;$A147))</f>
        <v/>
      </c>
      <c r="D147" s="6">
        <f>IF($A147="","",ROUND('Opening Balance'!$B$6+SUM('Daily Sale entry '!$J$2:J147)-SUMIFS('Daily Sale entry '!$AC$2:$AC$1501,'Daily Sale entry '!$X$2:$X$1501,"&lt;="&amp;$A147,'Daily Sale entry '!$Z$2:$Z$1501,"Cheque deposit 支票存入")-SUMPRODUCT(('Daily Sale entry '!$Q$2:$Q$1501="Collection 收款")*('Daily Sale entry '!$R$2:$R$1501="Cheque 支票")*('Daily Sale entry '!$V$2:$V$1501&lt;&gt;"")*('Daily Sale entry '!$V$2:$V$1501&lt;=$A147)*('Daily Sale entry '!$S$2:$S$1501-'Opening Balance'!$B$15*('Daily Sale entry '!$R$2:$R$1501="Cheque 支票")*('Daily Sale entry '!$S$2:$S$1501-TRUNC('Daily Sale entry '!$S$2:$S$1501)))),2))</f>
        <v/>
      </c>
      <c r="E147" s="6">
        <f>IF($A147="","",'Opening Balance'!$B$7)</f>
        <v/>
      </c>
      <c r="F147" s="6">
        <f>IF($A147="","",ROUND(SUMIFS('Daily Sale entry '!$L$2:$L$367,'Daily Sale entry '!$A$2:$A$367,"&gt;="&amp;DATE(YEAR($A147),MONTH($A147),1),'Daily Sale entry '!$A$2:$A$367,"&lt;="&amp;$A147)+SUMIFS('Daily Sale entry '!$M$2:$M$367,'Daily Sale entry '!$A$2:$A$367,"&gt;="&amp;DATE(YEAR($A147),MONTH($A147),1),'Daily Sale entry '!$A$2:$A$367,"&lt;="&amp;$A147)+IF(AND(YEAR($A147)=YEAR('Daily Sale entry '!$A$2),MONTH($A147)=MONTH('Daily Sale entry '!$A$2)),'Opening Balance'!$B$8,0),2))</f>
        <v/>
      </c>
      <c r="G147" s="6">
        <f>IF($A147="","",MOD(ROUND('Opening Balance'!$B$9+SUMIFS('Sales &amp; Collection'!$L$1:$L$2033,'Sales &amp; Collection'!$K$1:$K$2033,"cash collection*"),2),'Opening Balance'!$B$11))</f>
        <v/>
      </c>
      <c r="H147" s="6">
        <f>IF($A147="","",ROUND('Opening Balance'!$B$10+'Opening Balance'!$B$9+SUMIFS('Sales &amp; Collection'!$L$1:$L$2033,'Sales &amp; Collection'!$K$1:$K$2033,"cash collection*")-G147-SUMIFS('Daily Sale entry '!$AC$2:$AC$1501,'Daily Sale entry '!$X$2:$X$1501,"&lt;="&amp;$A147,'Daily Sale entry '!$Z$2:$Z$1501,"Cash deposit 现金存入"),2))</f>
        <v/>
      </c>
      <c r="I147" s="6">
        <f>IF($A147="","",ROUND(B147+D147+E147+F147+G147+H147,2))</f>
        <v/>
      </c>
      <c r="J147" s="6">
        <f>IF($A147="","",'AR &amp; AP'!K148)</f>
        <v/>
      </c>
      <c r="K147" s="6">
        <f>IF($A147="","",ROUND(I147-J147-SUMIFS('Daily Sale entry '!$AC$2:$AC$1501,'Daily Sale entry '!$X$2:$X$1501,"&lt;="&amp;$A147,'Daily Sale entry '!$Z$2:$Z$1501,"Other deposit 其他存入")+SUMIFS('Daily Sale entry '!$AD$2:$AD$1501,'Daily Sale entry '!$X$2:$X$1501,"&lt;="&amp;$A147)+('Opening Balance'!$B$8+SUM('Daily Sale entry '!$L$2:M147)-F147),2))</f>
        <v/>
      </c>
      <c r="L147">
        <f>IF($A147="","",IF(ABS('Sales &amp; Collection'!$B$2042)&gt;'Opening Balance'!$B$16,"ALERT 警报: Different "&amp;TEXT('Sales &amp; Collection'!$B$2042,"#,##0.00")&amp;" 差额过大",""))</f>
        <v/>
      </c>
    </row>
    <row r="148">
      <c r="A148" s="5">
        <f>IF('Daily Sale entry '!A148="","",'Daily Sale entry '!A148)</f>
        <v/>
      </c>
      <c r="B148" s="6">
        <f>IF($A148="","",ROUND('Opening Balance'!$B$4+SUM('Daily Sale entry '!$K$2:K148)+SUMIFS('Daily Sale entry '!$AC$2:$AC$1501,'Daily Sale entry '!$X$2:$X$1501,"&lt;="&amp;$A148)-SUMIFS('Daily Sale entry '!$AD$2:$AD$1501,'Daily Sale entry '!$X$2:$X$1501,"&lt;="&amp;$A148)+SUMPRODUCT(('Daily Sale entry '!$Q$2:$Q$1501="Collection 收款")*('Daily Sale entry '!$R$2:$R$1501="Cheque 支票")*('Daily Sale entry '!$V$2:$V$1501&lt;&gt;"")*('Daily Sale entry '!$V$2:$V$1501&lt;=$A148)*('Daily Sale entry '!$S$2:$S$1501-'Opening Balance'!$B$15*('Daily Sale entry '!$R$2:$R$1501="Cheque 支票")*('Daily Sale entry '!$S$2:$S$1501-TRUNC('Daily Sale entry '!$S$2:$S$1501))))-'Opening Balance'!$B$15*SUMPRODUCT(('Daily Sale entry '!$X$2:$X$1501&lt;=$A148)*('Daily Sale entry '!$Z$2:$Z$1501="Online collection 网上收款")*('Daily Sale entry '!$AA$2:$AA$1501&lt;&gt;"")*('Daily Sale entry '!$AC$2:$AC$1501-TRUNC('Daily Sale entry '!$AC$2:$AC$1501))),2))</f>
        <v/>
      </c>
      <c r="C148" s="8">
        <f>IF($A148="","",'Opening Balance'!$B$5+SUM('Daily Sale entry '!$I$2:I148)-SUMIFS('Daily Sale entry '!$AB$2:$AB$1501,'Daily Sale entry '!$X$2:$X$1501,"&lt;="&amp;$A148,'Daily Sale entry '!$Z$2:$Z$1501,"Cheque deposit 支票存入")-COUNTIFS('Daily Sale entry '!$Q$2:$Q$1501,"Collection 收款",'Daily Sale entry '!$R$2:$R$1501,"Cheque 支票",'Daily Sale entry '!$V$2:$V$1501,"&lt;="&amp;$A148))</f>
        <v/>
      </c>
      <c r="D148" s="6">
        <f>IF($A148="","",ROUND('Opening Balance'!$B$6+SUM('Daily Sale entry '!$J$2:J148)-SUMIFS('Daily Sale entry '!$AC$2:$AC$1501,'Daily Sale entry '!$X$2:$X$1501,"&lt;="&amp;$A148,'Daily Sale entry '!$Z$2:$Z$1501,"Cheque deposit 支票存入")-SUMPRODUCT(('Daily Sale entry '!$Q$2:$Q$1501="Collection 收款")*('Daily Sale entry '!$R$2:$R$1501="Cheque 支票")*('Daily Sale entry '!$V$2:$V$1501&lt;&gt;"")*('Daily Sale entry '!$V$2:$V$1501&lt;=$A148)*('Daily Sale entry '!$S$2:$S$1501-'Opening Balance'!$B$15*('Daily Sale entry '!$R$2:$R$1501="Cheque 支票")*('Daily Sale entry '!$S$2:$S$1501-TRUNC('Daily Sale entry '!$S$2:$S$1501)))),2))</f>
        <v/>
      </c>
      <c r="E148" s="6">
        <f>IF($A148="","",'Opening Balance'!$B$7)</f>
        <v/>
      </c>
      <c r="F148" s="6">
        <f>IF($A148="","",ROUND(SUMIFS('Daily Sale entry '!$L$2:$L$367,'Daily Sale entry '!$A$2:$A$367,"&gt;="&amp;DATE(YEAR($A148),MONTH($A148),1),'Daily Sale entry '!$A$2:$A$367,"&lt;="&amp;$A148)+SUMIFS('Daily Sale entry '!$M$2:$M$367,'Daily Sale entry '!$A$2:$A$367,"&gt;="&amp;DATE(YEAR($A148),MONTH($A148),1),'Daily Sale entry '!$A$2:$A$367,"&lt;="&amp;$A148)+IF(AND(YEAR($A148)=YEAR('Daily Sale entry '!$A$2),MONTH($A148)=MONTH('Daily Sale entry '!$A$2)),'Opening Balance'!$B$8,0),2))</f>
        <v/>
      </c>
      <c r="G148" s="6">
        <f>IF($A148="","",MOD(ROUND('Opening Balance'!$B$9+SUMIFS('Sales &amp; Collection'!$L$1:$L$2047,'Sales &amp; Collection'!$K$1:$K$2047,"cash collection*"),2),'Opening Balance'!$B$11))</f>
        <v/>
      </c>
      <c r="H148" s="6">
        <f>IF($A148="","",ROUND('Opening Balance'!$B$10+'Opening Balance'!$B$9+SUMIFS('Sales &amp; Collection'!$L$1:$L$2047,'Sales &amp; Collection'!$K$1:$K$2047,"cash collection*")-G148-SUMIFS('Daily Sale entry '!$AC$2:$AC$1501,'Daily Sale entry '!$X$2:$X$1501,"&lt;="&amp;$A148,'Daily Sale entry '!$Z$2:$Z$1501,"Cash deposit 现金存入"),2))</f>
        <v/>
      </c>
      <c r="I148" s="6">
        <f>IF($A148="","",ROUND(B148+D148+E148+F148+G148+H148,2))</f>
        <v/>
      </c>
      <c r="J148" s="6">
        <f>IF($A148="","",'AR &amp; AP'!K149)</f>
        <v/>
      </c>
      <c r="K148" s="6">
        <f>IF($A148="","",ROUND(I148-J148-SUMIFS('Daily Sale entry '!$AC$2:$AC$1501,'Daily Sale entry '!$X$2:$X$1501,"&lt;="&amp;$A148,'Daily Sale entry '!$Z$2:$Z$1501,"Other deposit 其他存入")+SUMIFS('Daily Sale entry '!$AD$2:$AD$1501,'Daily Sale entry '!$X$2:$X$1501,"&lt;="&amp;$A148)+('Opening Balance'!$B$8+SUM('Daily Sale entry '!$L$2:M148)-F148),2))</f>
        <v/>
      </c>
      <c r="L148">
        <f>IF($A148="","",IF(ABS('Sales &amp; Collection'!$B$2056)&gt;'Opening Balance'!$B$16,"ALERT 警报: Different "&amp;TEXT('Sales &amp; Collection'!$B$2056,"#,##0.00")&amp;" 差额过大",""))</f>
        <v/>
      </c>
    </row>
    <row r="149">
      <c r="A149" s="5">
        <f>IF('Daily Sale entry '!A149="","",'Daily Sale entry '!A149)</f>
        <v/>
      </c>
      <c r="B149" s="6">
        <f>IF($A149="","",ROUND('Opening Balance'!$B$4+SUM('Daily Sale entry '!$K$2:K149)+SUMIFS('Daily Sale entry '!$AC$2:$AC$1501,'Daily Sale entry '!$X$2:$X$1501,"&lt;="&amp;$A149)-SUMIFS('Daily Sale entry '!$AD$2:$AD$1501,'Daily Sale entry '!$X$2:$X$1501,"&lt;="&amp;$A149)+SUMPRODUCT(('Daily Sale entry '!$Q$2:$Q$1501="Collection 收款")*('Daily Sale entry '!$R$2:$R$1501="Cheque 支票")*('Daily Sale entry '!$V$2:$V$1501&lt;&gt;"")*('Daily Sale entry '!$V$2:$V$1501&lt;=$A149)*('Daily Sale entry '!$S$2:$S$1501-'Opening Balance'!$B$15*('Daily Sale entry '!$R$2:$R$1501="Cheque 支票")*('Daily Sale entry '!$S$2:$S$1501-TRUNC('Daily Sale entry '!$S$2:$S$1501))))-'Opening Balance'!$B$15*SUMPRODUCT(('Daily Sale entry '!$X$2:$X$1501&lt;=$A149)*('Daily Sale entry '!$Z$2:$Z$1501="Online collection 网上收款")*('Daily Sale entry '!$AA$2:$AA$1501&lt;&gt;"")*('Daily Sale entry '!$AC$2:$AC$1501-TRUNC('Daily Sale entry '!$AC$2:$AC$1501))),2))</f>
        <v/>
      </c>
      <c r="C149" s="8">
        <f>IF($A149="","",'Opening Balance'!$B$5+SUM('Daily Sale entry '!$I$2:I149)-SUMIFS('Daily Sale entry '!$AB$2:$AB$1501,'Daily Sale entry '!$X$2:$X$1501,"&lt;="&amp;$A149,'Daily Sale entry '!$Z$2:$Z$1501,"Cheque deposit 支票存入")-COUNTIFS('Daily Sale entry '!$Q$2:$Q$1501,"Collection 收款",'Daily Sale entry '!$R$2:$R$1501,"Cheque 支票",'Daily Sale entry '!$V$2:$V$1501,"&lt;="&amp;$A149))</f>
        <v/>
      </c>
      <c r="D149" s="6">
        <f>IF($A149="","",ROUND('Opening Balance'!$B$6+SUM('Daily Sale entry '!$J$2:J149)-SUMIFS('Daily Sale entry '!$AC$2:$AC$1501,'Daily Sale entry '!$X$2:$X$1501,"&lt;="&amp;$A149,'Daily Sale entry '!$Z$2:$Z$1501,"Cheque deposit 支票存入")-SUMPRODUCT(('Daily Sale entry '!$Q$2:$Q$1501="Collection 收款")*('Daily Sale entry '!$R$2:$R$1501="Cheque 支票")*('Daily Sale entry '!$V$2:$V$1501&lt;&gt;"")*('Daily Sale entry '!$V$2:$V$1501&lt;=$A149)*('Daily Sale entry '!$S$2:$S$1501-'Opening Balance'!$B$15*('Daily Sale entry '!$R$2:$R$1501="Cheque 支票")*('Daily Sale entry '!$S$2:$S$1501-TRUNC('Daily Sale entry '!$S$2:$S$1501)))),2))</f>
        <v/>
      </c>
      <c r="E149" s="6">
        <f>IF($A149="","",'Opening Balance'!$B$7)</f>
        <v/>
      </c>
      <c r="F149" s="6">
        <f>IF($A149="","",ROUND(SUMIFS('Daily Sale entry '!$L$2:$L$367,'Daily Sale entry '!$A$2:$A$367,"&gt;="&amp;DATE(YEAR($A149),MONTH($A149),1),'Daily Sale entry '!$A$2:$A$367,"&lt;="&amp;$A149)+SUMIFS('Daily Sale entry '!$M$2:$M$367,'Daily Sale entry '!$A$2:$A$367,"&gt;="&amp;DATE(YEAR($A149),MONTH($A149),1),'Daily Sale entry '!$A$2:$A$367,"&lt;="&amp;$A149)+IF(AND(YEAR($A149)=YEAR('Daily Sale entry '!$A$2),MONTH($A149)=MONTH('Daily Sale entry '!$A$2)),'Opening Balance'!$B$8,0),2))</f>
        <v/>
      </c>
      <c r="G149" s="6">
        <f>IF($A149="","",MOD(ROUND('Opening Balance'!$B$9+SUMIFS('Sales &amp; Collection'!$L$1:$L$2061,'Sales &amp; Collection'!$K$1:$K$2061,"cash collection*"),2),'Opening Balance'!$B$11))</f>
        <v/>
      </c>
      <c r="H149" s="6">
        <f>IF($A149="","",ROUND('Opening Balance'!$B$10+'Opening Balance'!$B$9+SUMIFS('Sales &amp; Collection'!$L$1:$L$2061,'Sales &amp; Collection'!$K$1:$K$2061,"cash collection*")-G149-SUMIFS('Daily Sale entry '!$AC$2:$AC$1501,'Daily Sale entry '!$X$2:$X$1501,"&lt;="&amp;$A149,'Daily Sale entry '!$Z$2:$Z$1501,"Cash deposit 现金存入"),2))</f>
        <v/>
      </c>
      <c r="I149" s="6">
        <f>IF($A149="","",ROUND(B149+D149+E149+F149+G149+H149,2))</f>
        <v/>
      </c>
      <c r="J149" s="6">
        <f>IF($A149="","",'AR &amp; AP'!K150)</f>
        <v/>
      </c>
      <c r="K149" s="6">
        <f>IF($A149="","",ROUND(I149-J149-SUMIFS('Daily Sale entry '!$AC$2:$AC$1501,'Daily Sale entry '!$X$2:$X$1501,"&lt;="&amp;$A149,'Daily Sale entry '!$Z$2:$Z$1501,"Other deposit 其他存入")+SUMIFS('Daily Sale entry '!$AD$2:$AD$1501,'Daily Sale entry '!$X$2:$X$1501,"&lt;="&amp;$A149)+('Opening Balance'!$B$8+SUM('Daily Sale entry '!$L$2:M149)-F149),2))</f>
        <v/>
      </c>
      <c r="L149">
        <f>IF($A149="","",IF(ABS('Sales &amp; Collection'!$B$2070)&gt;'Opening Balance'!$B$16,"ALERT 警报: Different "&amp;TEXT('Sales &amp; Collection'!$B$2070,"#,##0.00")&amp;" 差额过大",""))</f>
        <v/>
      </c>
    </row>
    <row r="150">
      <c r="A150" s="5">
        <f>IF('Daily Sale entry '!A150="","",'Daily Sale entry '!A150)</f>
        <v/>
      </c>
      <c r="B150" s="6">
        <f>IF($A150="","",ROUND('Opening Balance'!$B$4+SUM('Daily Sale entry '!$K$2:K150)+SUMIFS('Daily Sale entry '!$AC$2:$AC$1501,'Daily Sale entry '!$X$2:$X$1501,"&lt;="&amp;$A150)-SUMIFS('Daily Sale entry '!$AD$2:$AD$1501,'Daily Sale entry '!$X$2:$X$1501,"&lt;="&amp;$A150)+SUMPRODUCT(('Daily Sale entry '!$Q$2:$Q$1501="Collection 收款")*('Daily Sale entry '!$R$2:$R$1501="Cheque 支票")*('Daily Sale entry '!$V$2:$V$1501&lt;&gt;"")*('Daily Sale entry '!$V$2:$V$1501&lt;=$A150)*('Daily Sale entry '!$S$2:$S$1501-'Opening Balance'!$B$15*('Daily Sale entry '!$R$2:$R$1501="Cheque 支票")*('Daily Sale entry '!$S$2:$S$1501-TRUNC('Daily Sale entry '!$S$2:$S$1501))))-'Opening Balance'!$B$15*SUMPRODUCT(('Daily Sale entry '!$X$2:$X$1501&lt;=$A150)*('Daily Sale entry '!$Z$2:$Z$1501="Online collection 网上收款")*('Daily Sale entry '!$AA$2:$AA$1501&lt;&gt;"")*('Daily Sale entry '!$AC$2:$AC$1501-TRUNC('Daily Sale entry '!$AC$2:$AC$1501))),2))</f>
        <v/>
      </c>
      <c r="C150" s="8">
        <f>IF($A150="","",'Opening Balance'!$B$5+SUM('Daily Sale entry '!$I$2:I150)-SUMIFS('Daily Sale entry '!$AB$2:$AB$1501,'Daily Sale entry '!$X$2:$X$1501,"&lt;="&amp;$A150,'Daily Sale entry '!$Z$2:$Z$1501,"Cheque deposit 支票存入")-COUNTIFS('Daily Sale entry '!$Q$2:$Q$1501,"Collection 收款",'Daily Sale entry '!$R$2:$R$1501,"Cheque 支票",'Daily Sale entry '!$V$2:$V$1501,"&lt;="&amp;$A150))</f>
        <v/>
      </c>
      <c r="D150" s="6">
        <f>IF($A150="","",ROUND('Opening Balance'!$B$6+SUM('Daily Sale entry '!$J$2:J150)-SUMIFS('Daily Sale entry '!$AC$2:$AC$1501,'Daily Sale entry '!$X$2:$X$1501,"&lt;="&amp;$A150,'Daily Sale entry '!$Z$2:$Z$1501,"Cheque deposit 支票存入")-SUMPRODUCT(('Daily Sale entry '!$Q$2:$Q$1501="Collection 收款")*('Daily Sale entry '!$R$2:$R$1501="Cheque 支票")*('Daily Sale entry '!$V$2:$V$1501&lt;&gt;"")*('Daily Sale entry '!$V$2:$V$1501&lt;=$A150)*('Daily Sale entry '!$S$2:$S$1501-'Opening Balance'!$B$15*('Daily Sale entry '!$R$2:$R$1501="Cheque 支票")*('Daily Sale entry '!$S$2:$S$1501-TRUNC('Daily Sale entry '!$S$2:$S$1501)))),2))</f>
        <v/>
      </c>
      <c r="E150" s="6">
        <f>IF($A150="","",'Opening Balance'!$B$7)</f>
        <v/>
      </c>
      <c r="F150" s="6">
        <f>IF($A150="","",ROUND(SUMIFS('Daily Sale entry '!$L$2:$L$367,'Daily Sale entry '!$A$2:$A$367,"&gt;="&amp;DATE(YEAR($A150),MONTH($A150),1),'Daily Sale entry '!$A$2:$A$367,"&lt;="&amp;$A150)+SUMIFS('Daily Sale entry '!$M$2:$M$367,'Daily Sale entry '!$A$2:$A$367,"&gt;="&amp;DATE(YEAR($A150),MONTH($A150),1),'Daily Sale entry '!$A$2:$A$367,"&lt;="&amp;$A150)+IF(AND(YEAR($A150)=YEAR('Daily Sale entry '!$A$2),MONTH($A150)=MONTH('Daily Sale entry '!$A$2)),'Opening Balance'!$B$8,0),2))</f>
        <v/>
      </c>
      <c r="G150" s="6">
        <f>IF($A150="","",MOD(ROUND('Opening Balance'!$B$9+SUMIFS('Sales &amp; Collection'!$L$1:$L$2075,'Sales &amp; Collection'!$K$1:$K$2075,"cash collection*"),2),'Opening Balance'!$B$11))</f>
        <v/>
      </c>
      <c r="H150" s="6">
        <f>IF($A150="","",ROUND('Opening Balance'!$B$10+'Opening Balance'!$B$9+SUMIFS('Sales &amp; Collection'!$L$1:$L$2075,'Sales &amp; Collection'!$K$1:$K$2075,"cash collection*")-G150-SUMIFS('Daily Sale entry '!$AC$2:$AC$1501,'Daily Sale entry '!$X$2:$X$1501,"&lt;="&amp;$A150,'Daily Sale entry '!$Z$2:$Z$1501,"Cash deposit 现金存入"),2))</f>
        <v/>
      </c>
      <c r="I150" s="6">
        <f>IF($A150="","",ROUND(B150+D150+E150+F150+G150+H150,2))</f>
        <v/>
      </c>
      <c r="J150" s="6">
        <f>IF($A150="","",'AR &amp; AP'!K151)</f>
        <v/>
      </c>
      <c r="K150" s="6">
        <f>IF($A150="","",ROUND(I150-J150-SUMIFS('Daily Sale entry '!$AC$2:$AC$1501,'Daily Sale entry '!$X$2:$X$1501,"&lt;="&amp;$A150,'Daily Sale entry '!$Z$2:$Z$1501,"Other deposit 其他存入")+SUMIFS('Daily Sale entry '!$AD$2:$AD$1501,'Daily Sale entry '!$X$2:$X$1501,"&lt;="&amp;$A150)+('Opening Balance'!$B$8+SUM('Daily Sale entry '!$L$2:M150)-F150),2))</f>
        <v/>
      </c>
      <c r="L150">
        <f>IF($A150="","",IF(ABS('Sales &amp; Collection'!$B$2084)&gt;'Opening Balance'!$B$16,"ALERT 警报: Different "&amp;TEXT('Sales &amp; Collection'!$B$2084,"#,##0.00")&amp;" 差额过大",""))</f>
        <v/>
      </c>
    </row>
    <row r="151">
      <c r="A151" s="5">
        <f>IF('Daily Sale entry '!A151="","",'Daily Sale entry '!A151)</f>
        <v/>
      </c>
      <c r="B151" s="6">
        <f>IF($A151="","",ROUND('Opening Balance'!$B$4+SUM('Daily Sale entry '!$K$2:K151)+SUMIFS('Daily Sale entry '!$AC$2:$AC$1501,'Daily Sale entry '!$X$2:$X$1501,"&lt;="&amp;$A151)-SUMIFS('Daily Sale entry '!$AD$2:$AD$1501,'Daily Sale entry '!$X$2:$X$1501,"&lt;="&amp;$A151)+SUMPRODUCT(('Daily Sale entry '!$Q$2:$Q$1501="Collection 收款")*('Daily Sale entry '!$R$2:$R$1501="Cheque 支票")*('Daily Sale entry '!$V$2:$V$1501&lt;&gt;"")*('Daily Sale entry '!$V$2:$V$1501&lt;=$A151)*('Daily Sale entry '!$S$2:$S$1501-'Opening Balance'!$B$15*('Daily Sale entry '!$R$2:$R$1501="Cheque 支票")*('Daily Sale entry '!$S$2:$S$1501-TRUNC('Daily Sale entry '!$S$2:$S$1501))))-'Opening Balance'!$B$15*SUMPRODUCT(('Daily Sale entry '!$X$2:$X$1501&lt;=$A151)*('Daily Sale entry '!$Z$2:$Z$1501="Online collection 网上收款")*('Daily Sale entry '!$AA$2:$AA$1501&lt;&gt;"")*('Daily Sale entry '!$AC$2:$AC$1501-TRUNC('Daily Sale entry '!$AC$2:$AC$1501))),2))</f>
        <v/>
      </c>
      <c r="C151" s="8">
        <f>IF($A151="","",'Opening Balance'!$B$5+SUM('Daily Sale entry '!$I$2:I151)-SUMIFS('Daily Sale entry '!$AB$2:$AB$1501,'Daily Sale entry '!$X$2:$X$1501,"&lt;="&amp;$A151,'Daily Sale entry '!$Z$2:$Z$1501,"Cheque deposit 支票存入")-COUNTIFS('Daily Sale entry '!$Q$2:$Q$1501,"Collection 收款",'Daily Sale entry '!$R$2:$R$1501,"Cheque 支票",'Daily Sale entry '!$V$2:$V$1501,"&lt;="&amp;$A151))</f>
        <v/>
      </c>
      <c r="D151" s="6">
        <f>IF($A151="","",ROUND('Opening Balance'!$B$6+SUM('Daily Sale entry '!$J$2:J151)-SUMIFS('Daily Sale entry '!$AC$2:$AC$1501,'Daily Sale entry '!$X$2:$X$1501,"&lt;="&amp;$A151,'Daily Sale entry '!$Z$2:$Z$1501,"Cheque deposit 支票存入")-SUMPRODUCT(('Daily Sale entry '!$Q$2:$Q$1501="Collection 收款")*('Daily Sale entry '!$R$2:$R$1501="Cheque 支票")*('Daily Sale entry '!$V$2:$V$1501&lt;&gt;"")*('Daily Sale entry '!$V$2:$V$1501&lt;=$A151)*('Daily Sale entry '!$S$2:$S$1501-'Opening Balance'!$B$15*('Daily Sale entry '!$R$2:$R$1501="Cheque 支票")*('Daily Sale entry '!$S$2:$S$1501-TRUNC('Daily Sale entry '!$S$2:$S$1501)))),2))</f>
        <v/>
      </c>
      <c r="E151" s="6">
        <f>IF($A151="","",'Opening Balance'!$B$7)</f>
        <v/>
      </c>
      <c r="F151" s="6">
        <f>IF($A151="","",ROUND(SUMIFS('Daily Sale entry '!$L$2:$L$367,'Daily Sale entry '!$A$2:$A$367,"&gt;="&amp;DATE(YEAR($A151),MONTH($A151),1),'Daily Sale entry '!$A$2:$A$367,"&lt;="&amp;$A151)+SUMIFS('Daily Sale entry '!$M$2:$M$367,'Daily Sale entry '!$A$2:$A$367,"&gt;="&amp;DATE(YEAR($A151),MONTH($A151),1),'Daily Sale entry '!$A$2:$A$367,"&lt;="&amp;$A151)+IF(AND(YEAR($A151)=YEAR('Daily Sale entry '!$A$2),MONTH($A151)=MONTH('Daily Sale entry '!$A$2)),'Opening Balance'!$B$8,0),2))</f>
        <v/>
      </c>
      <c r="G151" s="6">
        <f>IF($A151="","",MOD(ROUND('Opening Balance'!$B$9+SUMIFS('Sales &amp; Collection'!$L$1:$L$2089,'Sales &amp; Collection'!$K$1:$K$2089,"cash collection*"),2),'Opening Balance'!$B$11))</f>
        <v/>
      </c>
      <c r="H151" s="6">
        <f>IF($A151="","",ROUND('Opening Balance'!$B$10+'Opening Balance'!$B$9+SUMIFS('Sales &amp; Collection'!$L$1:$L$2089,'Sales &amp; Collection'!$K$1:$K$2089,"cash collection*")-G151-SUMIFS('Daily Sale entry '!$AC$2:$AC$1501,'Daily Sale entry '!$X$2:$X$1501,"&lt;="&amp;$A151,'Daily Sale entry '!$Z$2:$Z$1501,"Cash deposit 现金存入"),2))</f>
        <v/>
      </c>
      <c r="I151" s="6">
        <f>IF($A151="","",ROUND(B151+D151+E151+F151+G151+H151,2))</f>
        <v/>
      </c>
      <c r="J151" s="6">
        <f>IF($A151="","",'AR &amp; AP'!K152)</f>
        <v/>
      </c>
      <c r="K151" s="6">
        <f>IF($A151="","",ROUND(I151-J151-SUMIFS('Daily Sale entry '!$AC$2:$AC$1501,'Daily Sale entry '!$X$2:$X$1501,"&lt;="&amp;$A151,'Daily Sale entry '!$Z$2:$Z$1501,"Other deposit 其他存入")+SUMIFS('Daily Sale entry '!$AD$2:$AD$1501,'Daily Sale entry '!$X$2:$X$1501,"&lt;="&amp;$A151)+('Opening Balance'!$B$8+SUM('Daily Sale entry '!$L$2:M151)-F151),2))</f>
        <v/>
      </c>
      <c r="L151">
        <f>IF($A151="","",IF(ABS('Sales &amp; Collection'!$B$2098)&gt;'Opening Balance'!$B$16,"ALERT 警报: Different "&amp;TEXT('Sales &amp; Collection'!$B$2098,"#,##0.00")&amp;" 差额过大",""))</f>
        <v/>
      </c>
    </row>
    <row r="152">
      <c r="A152" s="5">
        <f>IF('Daily Sale entry '!A152="","",'Daily Sale entry '!A152)</f>
        <v/>
      </c>
      <c r="B152" s="6">
        <f>IF($A152="","",ROUND('Opening Balance'!$B$4+SUM('Daily Sale entry '!$K$2:K152)+SUMIFS('Daily Sale entry '!$AC$2:$AC$1501,'Daily Sale entry '!$X$2:$X$1501,"&lt;="&amp;$A152)-SUMIFS('Daily Sale entry '!$AD$2:$AD$1501,'Daily Sale entry '!$X$2:$X$1501,"&lt;="&amp;$A152)+SUMPRODUCT(('Daily Sale entry '!$Q$2:$Q$1501="Collection 收款")*('Daily Sale entry '!$R$2:$R$1501="Cheque 支票")*('Daily Sale entry '!$V$2:$V$1501&lt;&gt;"")*('Daily Sale entry '!$V$2:$V$1501&lt;=$A152)*('Daily Sale entry '!$S$2:$S$1501-'Opening Balance'!$B$15*('Daily Sale entry '!$R$2:$R$1501="Cheque 支票")*('Daily Sale entry '!$S$2:$S$1501-TRUNC('Daily Sale entry '!$S$2:$S$1501))))-'Opening Balance'!$B$15*SUMPRODUCT(('Daily Sale entry '!$X$2:$X$1501&lt;=$A152)*('Daily Sale entry '!$Z$2:$Z$1501="Online collection 网上收款")*('Daily Sale entry '!$AA$2:$AA$1501&lt;&gt;"")*('Daily Sale entry '!$AC$2:$AC$1501-TRUNC('Daily Sale entry '!$AC$2:$AC$1501))),2))</f>
        <v/>
      </c>
      <c r="C152" s="8">
        <f>IF($A152="","",'Opening Balance'!$B$5+SUM('Daily Sale entry '!$I$2:I152)-SUMIFS('Daily Sale entry '!$AB$2:$AB$1501,'Daily Sale entry '!$X$2:$X$1501,"&lt;="&amp;$A152,'Daily Sale entry '!$Z$2:$Z$1501,"Cheque deposit 支票存入")-COUNTIFS('Daily Sale entry '!$Q$2:$Q$1501,"Collection 收款",'Daily Sale entry '!$R$2:$R$1501,"Cheque 支票",'Daily Sale entry '!$V$2:$V$1501,"&lt;="&amp;$A152))</f>
        <v/>
      </c>
      <c r="D152" s="6">
        <f>IF($A152="","",ROUND('Opening Balance'!$B$6+SUM('Daily Sale entry '!$J$2:J152)-SUMIFS('Daily Sale entry '!$AC$2:$AC$1501,'Daily Sale entry '!$X$2:$X$1501,"&lt;="&amp;$A152,'Daily Sale entry '!$Z$2:$Z$1501,"Cheque deposit 支票存入")-SUMPRODUCT(('Daily Sale entry '!$Q$2:$Q$1501="Collection 收款")*('Daily Sale entry '!$R$2:$R$1501="Cheque 支票")*('Daily Sale entry '!$V$2:$V$1501&lt;&gt;"")*('Daily Sale entry '!$V$2:$V$1501&lt;=$A152)*('Daily Sale entry '!$S$2:$S$1501-'Opening Balance'!$B$15*('Daily Sale entry '!$R$2:$R$1501="Cheque 支票")*('Daily Sale entry '!$S$2:$S$1501-TRUNC('Daily Sale entry '!$S$2:$S$1501)))),2))</f>
        <v/>
      </c>
      <c r="E152" s="6">
        <f>IF($A152="","",'Opening Balance'!$B$7)</f>
        <v/>
      </c>
      <c r="F152" s="6">
        <f>IF($A152="","",ROUND(SUMIFS('Daily Sale entry '!$L$2:$L$367,'Daily Sale entry '!$A$2:$A$367,"&gt;="&amp;DATE(YEAR($A152),MONTH($A152),1),'Daily Sale entry '!$A$2:$A$367,"&lt;="&amp;$A152)+SUMIFS('Daily Sale entry '!$M$2:$M$367,'Daily Sale entry '!$A$2:$A$367,"&gt;="&amp;DATE(YEAR($A152),MONTH($A152),1),'Daily Sale entry '!$A$2:$A$367,"&lt;="&amp;$A152)+IF(AND(YEAR($A152)=YEAR('Daily Sale entry '!$A$2),MONTH($A152)=MONTH('Daily Sale entry '!$A$2)),'Opening Balance'!$B$8,0),2))</f>
        <v/>
      </c>
      <c r="G152" s="6">
        <f>IF($A152="","",MOD(ROUND('Opening Balance'!$B$9+SUMIFS('Sales &amp; Collection'!$L$1:$L$2103,'Sales &amp; Collection'!$K$1:$K$2103,"cash collection*"),2),'Opening Balance'!$B$11))</f>
        <v/>
      </c>
      <c r="H152" s="6">
        <f>IF($A152="","",ROUND('Opening Balance'!$B$10+'Opening Balance'!$B$9+SUMIFS('Sales &amp; Collection'!$L$1:$L$2103,'Sales &amp; Collection'!$K$1:$K$2103,"cash collection*")-G152-SUMIFS('Daily Sale entry '!$AC$2:$AC$1501,'Daily Sale entry '!$X$2:$X$1501,"&lt;="&amp;$A152,'Daily Sale entry '!$Z$2:$Z$1501,"Cash deposit 现金存入"),2))</f>
        <v/>
      </c>
      <c r="I152" s="6">
        <f>IF($A152="","",ROUND(B152+D152+E152+F152+G152+H152,2))</f>
        <v/>
      </c>
      <c r="J152" s="6">
        <f>IF($A152="","",'AR &amp; AP'!K153)</f>
        <v/>
      </c>
      <c r="K152" s="6">
        <f>IF($A152="","",ROUND(I152-J152-SUMIFS('Daily Sale entry '!$AC$2:$AC$1501,'Daily Sale entry '!$X$2:$X$1501,"&lt;="&amp;$A152,'Daily Sale entry '!$Z$2:$Z$1501,"Other deposit 其他存入")+SUMIFS('Daily Sale entry '!$AD$2:$AD$1501,'Daily Sale entry '!$X$2:$X$1501,"&lt;="&amp;$A152)+('Opening Balance'!$B$8+SUM('Daily Sale entry '!$L$2:M152)-F152),2))</f>
        <v/>
      </c>
      <c r="L152">
        <f>IF($A152="","",IF(ABS('Sales &amp; Collection'!$B$2112)&gt;'Opening Balance'!$B$16,"ALERT 警报: Different "&amp;TEXT('Sales &amp; Collection'!$B$2112,"#,##0.00")&amp;" 差额过大",""))</f>
        <v/>
      </c>
    </row>
    <row r="153">
      <c r="A153" s="5">
        <f>IF('Daily Sale entry '!A153="","",'Daily Sale entry '!A153)</f>
        <v/>
      </c>
      <c r="B153" s="6">
        <f>IF($A153="","",ROUND('Opening Balance'!$B$4+SUM('Daily Sale entry '!$K$2:K153)+SUMIFS('Daily Sale entry '!$AC$2:$AC$1501,'Daily Sale entry '!$X$2:$X$1501,"&lt;="&amp;$A153)-SUMIFS('Daily Sale entry '!$AD$2:$AD$1501,'Daily Sale entry '!$X$2:$X$1501,"&lt;="&amp;$A153)+SUMPRODUCT(('Daily Sale entry '!$Q$2:$Q$1501="Collection 收款")*('Daily Sale entry '!$R$2:$R$1501="Cheque 支票")*('Daily Sale entry '!$V$2:$V$1501&lt;&gt;"")*('Daily Sale entry '!$V$2:$V$1501&lt;=$A153)*('Daily Sale entry '!$S$2:$S$1501-'Opening Balance'!$B$15*('Daily Sale entry '!$R$2:$R$1501="Cheque 支票")*('Daily Sale entry '!$S$2:$S$1501-TRUNC('Daily Sale entry '!$S$2:$S$1501))))-'Opening Balance'!$B$15*SUMPRODUCT(('Daily Sale entry '!$X$2:$X$1501&lt;=$A153)*('Daily Sale entry '!$Z$2:$Z$1501="Online collection 网上收款")*('Daily Sale entry '!$AA$2:$AA$1501&lt;&gt;"")*('Daily Sale entry '!$AC$2:$AC$1501-TRUNC('Daily Sale entry '!$AC$2:$AC$1501))),2))</f>
        <v/>
      </c>
      <c r="C153" s="8">
        <f>IF($A153="","",'Opening Balance'!$B$5+SUM('Daily Sale entry '!$I$2:I153)-SUMIFS('Daily Sale entry '!$AB$2:$AB$1501,'Daily Sale entry '!$X$2:$X$1501,"&lt;="&amp;$A153,'Daily Sale entry '!$Z$2:$Z$1501,"Cheque deposit 支票存入")-COUNTIFS('Daily Sale entry '!$Q$2:$Q$1501,"Collection 收款",'Daily Sale entry '!$R$2:$R$1501,"Cheque 支票",'Daily Sale entry '!$V$2:$V$1501,"&lt;="&amp;$A153))</f>
        <v/>
      </c>
      <c r="D153" s="6">
        <f>IF($A153="","",ROUND('Opening Balance'!$B$6+SUM('Daily Sale entry '!$J$2:J153)-SUMIFS('Daily Sale entry '!$AC$2:$AC$1501,'Daily Sale entry '!$X$2:$X$1501,"&lt;="&amp;$A153,'Daily Sale entry '!$Z$2:$Z$1501,"Cheque deposit 支票存入")-SUMPRODUCT(('Daily Sale entry '!$Q$2:$Q$1501="Collection 收款")*('Daily Sale entry '!$R$2:$R$1501="Cheque 支票")*('Daily Sale entry '!$V$2:$V$1501&lt;&gt;"")*('Daily Sale entry '!$V$2:$V$1501&lt;=$A153)*('Daily Sale entry '!$S$2:$S$1501-'Opening Balance'!$B$15*('Daily Sale entry '!$R$2:$R$1501="Cheque 支票")*('Daily Sale entry '!$S$2:$S$1501-TRUNC('Daily Sale entry '!$S$2:$S$1501)))),2))</f>
        <v/>
      </c>
      <c r="E153" s="6">
        <f>IF($A153="","",'Opening Balance'!$B$7)</f>
        <v/>
      </c>
      <c r="F153" s="6">
        <f>IF($A153="","",ROUND(SUMIFS('Daily Sale entry '!$L$2:$L$367,'Daily Sale entry '!$A$2:$A$367,"&gt;="&amp;DATE(YEAR($A153),MONTH($A153),1),'Daily Sale entry '!$A$2:$A$367,"&lt;="&amp;$A153)+SUMIFS('Daily Sale entry '!$M$2:$M$367,'Daily Sale entry '!$A$2:$A$367,"&gt;="&amp;DATE(YEAR($A153),MONTH($A153),1),'Daily Sale entry '!$A$2:$A$367,"&lt;="&amp;$A153)+IF(AND(YEAR($A153)=YEAR('Daily Sale entry '!$A$2),MONTH($A153)=MONTH('Daily Sale entry '!$A$2)),'Opening Balance'!$B$8,0),2))</f>
        <v/>
      </c>
      <c r="G153" s="6">
        <f>IF($A153="","",MOD(ROUND('Opening Balance'!$B$9+SUMIFS('Sales &amp; Collection'!$L$1:$L$2117,'Sales &amp; Collection'!$K$1:$K$2117,"cash collection*"),2),'Opening Balance'!$B$11))</f>
        <v/>
      </c>
      <c r="H153" s="6">
        <f>IF($A153="","",ROUND('Opening Balance'!$B$10+'Opening Balance'!$B$9+SUMIFS('Sales &amp; Collection'!$L$1:$L$2117,'Sales &amp; Collection'!$K$1:$K$2117,"cash collection*")-G153-SUMIFS('Daily Sale entry '!$AC$2:$AC$1501,'Daily Sale entry '!$X$2:$X$1501,"&lt;="&amp;$A153,'Daily Sale entry '!$Z$2:$Z$1501,"Cash deposit 现金存入"),2))</f>
        <v/>
      </c>
      <c r="I153" s="6">
        <f>IF($A153="","",ROUND(B153+D153+E153+F153+G153+H153,2))</f>
        <v/>
      </c>
      <c r="J153" s="6">
        <f>IF($A153="","",'AR &amp; AP'!K154)</f>
        <v/>
      </c>
      <c r="K153" s="6">
        <f>IF($A153="","",ROUND(I153-J153-SUMIFS('Daily Sale entry '!$AC$2:$AC$1501,'Daily Sale entry '!$X$2:$X$1501,"&lt;="&amp;$A153,'Daily Sale entry '!$Z$2:$Z$1501,"Other deposit 其他存入")+SUMIFS('Daily Sale entry '!$AD$2:$AD$1501,'Daily Sale entry '!$X$2:$X$1501,"&lt;="&amp;$A153)+('Opening Balance'!$B$8+SUM('Daily Sale entry '!$L$2:M153)-F153),2))</f>
        <v/>
      </c>
      <c r="L153">
        <f>IF($A153="","",IF(ABS('Sales &amp; Collection'!$B$2126)&gt;'Opening Balance'!$B$16,"ALERT 警报: Different "&amp;TEXT('Sales &amp; Collection'!$B$2126,"#,##0.00")&amp;" 差额过大",""))</f>
        <v/>
      </c>
    </row>
    <row r="154">
      <c r="A154" s="5">
        <f>IF('Daily Sale entry '!A154="","",'Daily Sale entry '!A154)</f>
        <v/>
      </c>
      <c r="B154" s="6">
        <f>IF($A154="","",ROUND('Opening Balance'!$B$4+SUM('Daily Sale entry '!$K$2:K154)+SUMIFS('Daily Sale entry '!$AC$2:$AC$1501,'Daily Sale entry '!$X$2:$X$1501,"&lt;="&amp;$A154)-SUMIFS('Daily Sale entry '!$AD$2:$AD$1501,'Daily Sale entry '!$X$2:$X$1501,"&lt;="&amp;$A154)+SUMPRODUCT(('Daily Sale entry '!$Q$2:$Q$1501="Collection 收款")*('Daily Sale entry '!$R$2:$R$1501="Cheque 支票")*('Daily Sale entry '!$V$2:$V$1501&lt;&gt;"")*('Daily Sale entry '!$V$2:$V$1501&lt;=$A154)*('Daily Sale entry '!$S$2:$S$1501-'Opening Balance'!$B$15*('Daily Sale entry '!$R$2:$R$1501="Cheque 支票")*('Daily Sale entry '!$S$2:$S$1501-TRUNC('Daily Sale entry '!$S$2:$S$1501))))-'Opening Balance'!$B$15*SUMPRODUCT(('Daily Sale entry '!$X$2:$X$1501&lt;=$A154)*('Daily Sale entry '!$Z$2:$Z$1501="Online collection 网上收款")*('Daily Sale entry '!$AA$2:$AA$1501&lt;&gt;"")*('Daily Sale entry '!$AC$2:$AC$1501-TRUNC('Daily Sale entry '!$AC$2:$AC$1501))),2))</f>
        <v/>
      </c>
      <c r="C154" s="8">
        <f>IF($A154="","",'Opening Balance'!$B$5+SUM('Daily Sale entry '!$I$2:I154)-SUMIFS('Daily Sale entry '!$AB$2:$AB$1501,'Daily Sale entry '!$X$2:$X$1501,"&lt;="&amp;$A154,'Daily Sale entry '!$Z$2:$Z$1501,"Cheque deposit 支票存入")-COUNTIFS('Daily Sale entry '!$Q$2:$Q$1501,"Collection 收款",'Daily Sale entry '!$R$2:$R$1501,"Cheque 支票",'Daily Sale entry '!$V$2:$V$1501,"&lt;="&amp;$A154))</f>
        <v/>
      </c>
      <c r="D154" s="6">
        <f>IF($A154="","",ROUND('Opening Balance'!$B$6+SUM('Daily Sale entry '!$J$2:J154)-SUMIFS('Daily Sale entry '!$AC$2:$AC$1501,'Daily Sale entry '!$X$2:$X$1501,"&lt;="&amp;$A154,'Daily Sale entry '!$Z$2:$Z$1501,"Cheque deposit 支票存入")-SUMPRODUCT(('Daily Sale entry '!$Q$2:$Q$1501="Collection 收款")*('Daily Sale entry '!$R$2:$R$1501="Cheque 支票")*('Daily Sale entry '!$V$2:$V$1501&lt;&gt;"")*('Daily Sale entry '!$V$2:$V$1501&lt;=$A154)*('Daily Sale entry '!$S$2:$S$1501-'Opening Balance'!$B$15*('Daily Sale entry '!$R$2:$R$1501="Cheque 支票")*('Daily Sale entry '!$S$2:$S$1501-TRUNC('Daily Sale entry '!$S$2:$S$1501)))),2))</f>
        <v/>
      </c>
      <c r="E154" s="6">
        <f>IF($A154="","",'Opening Balance'!$B$7)</f>
        <v/>
      </c>
      <c r="F154" s="6">
        <f>IF($A154="","",ROUND(SUMIFS('Daily Sale entry '!$L$2:$L$367,'Daily Sale entry '!$A$2:$A$367,"&gt;="&amp;DATE(YEAR($A154),MONTH($A154),1),'Daily Sale entry '!$A$2:$A$367,"&lt;="&amp;$A154)+SUMIFS('Daily Sale entry '!$M$2:$M$367,'Daily Sale entry '!$A$2:$A$367,"&gt;="&amp;DATE(YEAR($A154),MONTH($A154),1),'Daily Sale entry '!$A$2:$A$367,"&lt;="&amp;$A154)+IF(AND(YEAR($A154)=YEAR('Daily Sale entry '!$A$2),MONTH($A154)=MONTH('Daily Sale entry '!$A$2)),'Opening Balance'!$B$8,0),2))</f>
        <v/>
      </c>
      <c r="G154" s="6">
        <f>IF($A154="","",MOD(ROUND('Opening Balance'!$B$9+SUMIFS('Sales &amp; Collection'!$L$1:$L$2131,'Sales &amp; Collection'!$K$1:$K$2131,"cash collection*"),2),'Opening Balance'!$B$11))</f>
        <v/>
      </c>
      <c r="H154" s="6">
        <f>IF($A154="","",ROUND('Opening Balance'!$B$10+'Opening Balance'!$B$9+SUMIFS('Sales &amp; Collection'!$L$1:$L$2131,'Sales &amp; Collection'!$K$1:$K$2131,"cash collection*")-G154-SUMIFS('Daily Sale entry '!$AC$2:$AC$1501,'Daily Sale entry '!$X$2:$X$1501,"&lt;="&amp;$A154,'Daily Sale entry '!$Z$2:$Z$1501,"Cash deposit 现金存入"),2))</f>
        <v/>
      </c>
      <c r="I154" s="6">
        <f>IF($A154="","",ROUND(B154+D154+E154+F154+G154+H154,2))</f>
        <v/>
      </c>
      <c r="J154" s="6">
        <f>IF($A154="","",'AR &amp; AP'!K155)</f>
        <v/>
      </c>
      <c r="K154" s="6">
        <f>IF($A154="","",ROUND(I154-J154-SUMIFS('Daily Sale entry '!$AC$2:$AC$1501,'Daily Sale entry '!$X$2:$X$1501,"&lt;="&amp;$A154,'Daily Sale entry '!$Z$2:$Z$1501,"Other deposit 其他存入")+SUMIFS('Daily Sale entry '!$AD$2:$AD$1501,'Daily Sale entry '!$X$2:$X$1501,"&lt;="&amp;$A154)+('Opening Balance'!$B$8+SUM('Daily Sale entry '!$L$2:M154)-F154),2))</f>
        <v/>
      </c>
      <c r="L154">
        <f>IF($A154="","",IF(ABS('Sales &amp; Collection'!$B$2140)&gt;'Opening Balance'!$B$16,"ALERT 警报: Different "&amp;TEXT('Sales &amp; Collection'!$B$2140,"#,##0.00")&amp;" 差额过大",""))</f>
        <v/>
      </c>
    </row>
    <row r="155">
      <c r="A155" s="5">
        <f>IF('Daily Sale entry '!A155="","",'Daily Sale entry '!A155)</f>
        <v/>
      </c>
      <c r="B155" s="6">
        <f>IF($A155="","",ROUND('Opening Balance'!$B$4+SUM('Daily Sale entry '!$K$2:K155)+SUMIFS('Daily Sale entry '!$AC$2:$AC$1501,'Daily Sale entry '!$X$2:$X$1501,"&lt;="&amp;$A155)-SUMIFS('Daily Sale entry '!$AD$2:$AD$1501,'Daily Sale entry '!$X$2:$X$1501,"&lt;="&amp;$A155)+SUMPRODUCT(('Daily Sale entry '!$Q$2:$Q$1501="Collection 收款")*('Daily Sale entry '!$R$2:$R$1501="Cheque 支票")*('Daily Sale entry '!$V$2:$V$1501&lt;&gt;"")*('Daily Sale entry '!$V$2:$V$1501&lt;=$A155)*('Daily Sale entry '!$S$2:$S$1501-'Opening Balance'!$B$15*('Daily Sale entry '!$R$2:$R$1501="Cheque 支票")*('Daily Sale entry '!$S$2:$S$1501-TRUNC('Daily Sale entry '!$S$2:$S$1501))))-'Opening Balance'!$B$15*SUMPRODUCT(('Daily Sale entry '!$X$2:$X$1501&lt;=$A155)*('Daily Sale entry '!$Z$2:$Z$1501="Online collection 网上收款")*('Daily Sale entry '!$AA$2:$AA$1501&lt;&gt;"")*('Daily Sale entry '!$AC$2:$AC$1501-TRUNC('Daily Sale entry '!$AC$2:$AC$1501))),2))</f>
        <v/>
      </c>
      <c r="C155" s="8">
        <f>IF($A155="","",'Opening Balance'!$B$5+SUM('Daily Sale entry '!$I$2:I155)-SUMIFS('Daily Sale entry '!$AB$2:$AB$1501,'Daily Sale entry '!$X$2:$X$1501,"&lt;="&amp;$A155,'Daily Sale entry '!$Z$2:$Z$1501,"Cheque deposit 支票存入")-COUNTIFS('Daily Sale entry '!$Q$2:$Q$1501,"Collection 收款",'Daily Sale entry '!$R$2:$R$1501,"Cheque 支票",'Daily Sale entry '!$V$2:$V$1501,"&lt;="&amp;$A155))</f>
        <v/>
      </c>
      <c r="D155" s="6">
        <f>IF($A155="","",ROUND('Opening Balance'!$B$6+SUM('Daily Sale entry '!$J$2:J155)-SUMIFS('Daily Sale entry '!$AC$2:$AC$1501,'Daily Sale entry '!$X$2:$X$1501,"&lt;="&amp;$A155,'Daily Sale entry '!$Z$2:$Z$1501,"Cheque deposit 支票存入")-SUMPRODUCT(('Daily Sale entry '!$Q$2:$Q$1501="Collection 收款")*('Daily Sale entry '!$R$2:$R$1501="Cheque 支票")*('Daily Sale entry '!$V$2:$V$1501&lt;&gt;"")*('Daily Sale entry '!$V$2:$V$1501&lt;=$A155)*('Daily Sale entry '!$S$2:$S$1501-'Opening Balance'!$B$15*('Daily Sale entry '!$R$2:$R$1501="Cheque 支票")*('Daily Sale entry '!$S$2:$S$1501-TRUNC('Daily Sale entry '!$S$2:$S$1501)))),2))</f>
        <v/>
      </c>
      <c r="E155" s="6">
        <f>IF($A155="","",'Opening Balance'!$B$7)</f>
        <v/>
      </c>
      <c r="F155" s="6">
        <f>IF($A155="","",ROUND(SUMIFS('Daily Sale entry '!$L$2:$L$367,'Daily Sale entry '!$A$2:$A$367,"&gt;="&amp;DATE(YEAR($A155),MONTH($A155),1),'Daily Sale entry '!$A$2:$A$367,"&lt;="&amp;$A155)+SUMIFS('Daily Sale entry '!$M$2:$M$367,'Daily Sale entry '!$A$2:$A$367,"&gt;="&amp;DATE(YEAR($A155),MONTH($A155),1),'Daily Sale entry '!$A$2:$A$367,"&lt;="&amp;$A155)+IF(AND(YEAR($A155)=YEAR('Daily Sale entry '!$A$2),MONTH($A155)=MONTH('Daily Sale entry '!$A$2)),'Opening Balance'!$B$8,0),2))</f>
        <v/>
      </c>
      <c r="G155" s="6">
        <f>IF($A155="","",MOD(ROUND('Opening Balance'!$B$9+SUMIFS('Sales &amp; Collection'!$L$1:$L$2145,'Sales &amp; Collection'!$K$1:$K$2145,"cash collection*"),2),'Opening Balance'!$B$11))</f>
        <v/>
      </c>
      <c r="H155" s="6">
        <f>IF($A155="","",ROUND('Opening Balance'!$B$10+'Opening Balance'!$B$9+SUMIFS('Sales &amp; Collection'!$L$1:$L$2145,'Sales &amp; Collection'!$K$1:$K$2145,"cash collection*")-G155-SUMIFS('Daily Sale entry '!$AC$2:$AC$1501,'Daily Sale entry '!$X$2:$X$1501,"&lt;="&amp;$A155,'Daily Sale entry '!$Z$2:$Z$1501,"Cash deposit 现金存入"),2))</f>
        <v/>
      </c>
      <c r="I155" s="6">
        <f>IF($A155="","",ROUND(B155+D155+E155+F155+G155+H155,2))</f>
        <v/>
      </c>
      <c r="J155" s="6">
        <f>IF($A155="","",'AR &amp; AP'!K156)</f>
        <v/>
      </c>
      <c r="K155" s="6">
        <f>IF($A155="","",ROUND(I155-J155-SUMIFS('Daily Sale entry '!$AC$2:$AC$1501,'Daily Sale entry '!$X$2:$X$1501,"&lt;="&amp;$A155,'Daily Sale entry '!$Z$2:$Z$1501,"Other deposit 其他存入")+SUMIFS('Daily Sale entry '!$AD$2:$AD$1501,'Daily Sale entry '!$X$2:$X$1501,"&lt;="&amp;$A155)+('Opening Balance'!$B$8+SUM('Daily Sale entry '!$L$2:M155)-F155),2))</f>
        <v/>
      </c>
      <c r="L155">
        <f>IF($A155="","",IF(ABS('Sales &amp; Collection'!$B$2154)&gt;'Opening Balance'!$B$16,"ALERT 警报: Different "&amp;TEXT('Sales &amp; Collection'!$B$2154,"#,##0.00")&amp;" 差额过大",""))</f>
        <v/>
      </c>
    </row>
    <row r="156">
      <c r="A156" s="5">
        <f>IF('Daily Sale entry '!A156="","",'Daily Sale entry '!A156)</f>
        <v/>
      </c>
      <c r="B156" s="6">
        <f>IF($A156="","",ROUND('Opening Balance'!$B$4+SUM('Daily Sale entry '!$K$2:K156)+SUMIFS('Daily Sale entry '!$AC$2:$AC$1501,'Daily Sale entry '!$X$2:$X$1501,"&lt;="&amp;$A156)-SUMIFS('Daily Sale entry '!$AD$2:$AD$1501,'Daily Sale entry '!$X$2:$X$1501,"&lt;="&amp;$A156)+SUMPRODUCT(('Daily Sale entry '!$Q$2:$Q$1501="Collection 收款")*('Daily Sale entry '!$R$2:$R$1501="Cheque 支票")*('Daily Sale entry '!$V$2:$V$1501&lt;&gt;"")*('Daily Sale entry '!$V$2:$V$1501&lt;=$A156)*('Daily Sale entry '!$S$2:$S$1501-'Opening Balance'!$B$15*('Daily Sale entry '!$R$2:$R$1501="Cheque 支票")*('Daily Sale entry '!$S$2:$S$1501-TRUNC('Daily Sale entry '!$S$2:$S$1501))))-'Opening Balance'!$B$15*SUMPRODUCT(('Daily Sale entry '!$X$2:$X$1501&lt;=$A156)*('Daily Sale entry '!$Z$2:$Z$1501="Online collection 网上收款")*('Daily Sale entry '!$AA$2:$AA$1501&lt;&gt;"")*('Daily Sale entry '!$AC$2:$AC$1501-TRUNC('Daily Sale entry '!$AC$2:$AC$1501))),2))</f>
        <v/>
      </c>
      <c r="C156" s="8">
        <f>IF($A156="","",'Opening Balance'!$B$5+SUM('Daily Sale entry '!$I$2:I156)-SUMIFS('Daily Sale entry '!$AB$2:$AB$1501,'Daily Sale entry '!$X$2:$X$1501,"&lt;="&amp;$A156,'Daily Sale entry '!$Z$2:$Z$1501,"Cheque deposit 支票存入")-COUNTIFS('Daily Sale entry '!$Q$2:$Q$1501,"Collection 收款",'Daily Sale entry '!$R$2:$R$1501,"Cheque 支票",'Daily Sale entry '!$V$2:$V$1501,"&lt;="&amp;$A156))</f>
        <v/>
      </c>
      <c r="D156" s="6">
        <f>IF($A156="","",ROUND('Opening Balance'!$B$6+SUM('Daily Sale entry '!$J$2:J156)-SUMIFS('Daily Sale entry '!$AC$2:$AC$1501,'Daily Sale entry '!$X$2:$X$1501,"&lt;="&amp;$A156,'Daily Sale entry '!$Z$2:$Z$1501,"Cheque deposit 支票存入")-SUMPRODUCT(('Daily Sale entry '!$Q$2:$Q$1501="Collection 收款")*('Daily Sale entry '!$R$2:$R$1501="Cheque 支票")*('Daily Sale entry '!$V$2:$V$1501&lt;&gt;"")*('Daily Sale entry '!$V$2:$V$1501&lt;=$A156)*('Daily Sale entry '!$S$2:$S$1501-'Opening Balance'!$B$15*('Daily Sale entry '!$R$2:$R$1501="Cheque 支票")*('Daily Sale entry '!$S$2:$S$1501-TRUNC('Daily Sale entry '!$S$2:$S$1501)))),2))</f>
        <v/>
      </c>
      <c r="E156" s="6">
        <f>IF($A156="","",'Opening Balance'!$B$7)</f>
        <v/>
      </c>
      <c r="F156" s="6">
        <f>IF($A156="","",ROUND(SUMIFS('Daily Sale entry '!$L$2:$L$367,'Daily Sale entry '!$A$2:$A$367,"&gt;="&amp;DATE(YEAR($A156),MONTH($A156),1),'Daily Sale entry '!$A$2:$A$367,"&lt;="&amp;$A156)+SUMIFS('Daily Sale entry '!$M$2:$M$367,'Daily Sale entry '!$A$2:$A$367,"&gt;="&amp;DATE(YEAR($A156),MONTH($A156),1),'Daily Sale entry '!$A$2:$A$367,"&lt;="&amp;$A156)+IF(AND(YEAR($A156)=YEAR('Daily Sale entry '!$A$2),MONTH($A156)=MONTH('Daily Sale entry '!$A$2)),'Opening Balance'!$B$8,0),2))</f>
        <v/>
      </c>
      <c r="G156" s="6">
        <f>IF($A156="","",MOD(ROUND('Opening Balance'!$B$9+SUMIFS('Sales &amp; Collection'!$L$1:$L$2159,'Sales &amp; Collection'!$K$1:$K$2159,"cash collection*"),2),'Opening Balance'!$B$11))</f>
        <v/>
      </c>
      <c r="H156" s="6">
        <f>IF($A156="","",ROUND('Opening Balance'!$B$10+'Opening Balance'!$B$9+SUMIFS('Sales &amp; Collection'!$L$1:$L$2159,'Sales &amp; Collection'!$K$1:$K$2159,"cash collection*")-G156-SUMIFS('Daily Sale entry '!$AC$2:$AC$1501,'Daily Sale entry '!$X$2:$X$1501,"&lt;="&amp;$A156,'Daily Sale entry '!$Z$2:$Z$1501,"Cash deposit 现金存入"),2))</f>
        <v/>
      </c>
      <c r="I156" s="6">
        <f>IF($A156="","",ROUND(B156+D156+E156+F156+G156+H156,2))</f>
        <v/>
      </c>
      <c r="J156" s="6">
        <f>IF($A156="","",'AR &amp; AP'!K157)</f>
        <v/>
      </c>
      <c r="K156" s="6">
        <f>IF($A156="","",ROUND(I156-J156-SUMIFS('Daily Sale entry '!$AC$2:$AC$1501,'Daily Sale entry '!$X$2:$X$1501,"&lt;="&amp;$A156,'Daily Sale entry '!$Z$2:$Z$1501,"Other deposit 其他存入")+SUMIFS('Daily Sale entry '!$AD$2:$AD$1501,'Daily Sale entry '!$X$2:$X$1501,"&lt;="&amp;$A156)+('Opening Balance'!$B$8+SUM('Daily Sale entry '!$L$2:M156)-F156),2))</f>
        <v/>
      </c>
      <c r="L156">
        <f>IF($A156="","",IF(ABS('Sales &amp; Collection'!$B$2168)&gt;'Opening Balance'!$B$16,"ALERT 警报: Different "&amp;TEXT('Sales &amp; Collection'!$B$2168,"#,##0.00")&amp;" 差额过大",""))</f>
        <v/>
      </c>
    </row>
    <row r="157">
      <c r="A157" s="5">
        <f>IF('Daily Sale entry '!A157="","",'Daily Sale entry '!A157)</f>
        <v/>
      </c>
      <c r="B157" s="6">
        <f>IF($A157="","",ROUND('Opening Balance'!$B$4+SUM('Daily Sale entry '!$K$2:K157)+SUMIFS('Daily Sale entry '!$AC$2:$AC$1501,'Daily Sale entry '!$X$2:$X$1501,"&lt;="&amp;$A157)-SUMIFS('Daily Sale entry '!$AD$2:$AD$1501,'Daily Sale entry '!$X$2:$X$1501,"&lt;="&amp;$A157)+SUMPRODUCT(('Daily Sale entry '!$Q$2:$Q$1501="Collection 收款")*('Daily Sale entry '!$R$2:$R$1501="Cheque 支票")*('Daily Sale entry '!$V$2:$V$1501&lt;&gt;"")*('Daily Sale entry '!$V$2:$V$1501&lt;=$A157)*('Daily Sale entry '!$S$2:$S$1501-'Opening Balance'!$B$15*('Daily Sale entry '!$R$2:$R$1501="Cheque 支票")*('Daily Sale entry '!$S$2:$S$1501-TRUNC('Daily Sale entry '!$S$2:$S$1501))))-'Opening Balance'!$B$15*SUMPRODUCT(('Daily Sale entry '!$X$2:$X$1501&lt;=$A157)*('Daily Sale entry '!$Z$2:$Z$1501="Online collection 网上收款")*('Daily Sale entry '!$AA$2:$AA$1501&lt;&gt;"")*('Daily Sale entry '!$AC$2:$AC$1501-TRUNC('Daily Sale entry '!$AC$2:$AC$1501))),2))</f>
        <v/>
      </c>
      <c r="C157" s="8">
        <f>IF($A157="","",'Opening Balance'!$B$5+SUM('Daily Sale entry '!$I$2:I157)-SUMIFS('Daily Sale entry '!$AB$2:$AB$1501,'Daily Sale entry '!$X$2:$X$1501,"&lt;="&amp;$A157,'Daily Sale entry '!$Z$2:$Z$1501,"Cheque deposit 支票存入")-COUNTIFS('Daily Sale entry '!$Q$2:$Q$1501,"Collection 收款",'Daily Sale entry '!$R$2:$R$1501,"Cheque 支票",'Daily Sale entry '!$V$2:$V$1501,"&lt;="&amp;$A157))</f>
        <v/>
      </c>
      <c r="D157" s="6">
        <f>IF($A157="","",ROUND('Opening Balance'!$B$6+SUM('Daily Sale entry '!$J$2:J157)-SUMIFS('Daily Sale entry '!$AC$2:$AC$1501,'Daily Sale entry '!$X$2:$X$1501,"&lt;="&amp;$A157,'Daily Sale entry '!$Z$2:$Z$1501,"Cheque deposit 支票存入")-SUMPRODUCT(('Daily Sale entry '!$Q$2:$Q$1501="Collection 收款")*('Daily Sale entry '!$R$2:$R$1501="Cheque 支票")*('Daily Sale entry '!$V$2:$V$1501&lt;&gt;"")*('Daily Sale entry '!$V$2:$V$1501&lt;=$A157)*('Daily Sale entry '!$S$2:$S$1501-'Opening Balance'!$B$15*('Daily Sale entry '!$R$2:$R$1501="Cheque 支票")*('Daily Sale entry '!$S$2:$S$1501-TRUNC('Daily Sale entry '!$S$2:$S$1501)))),2))</f>
        <v/>
      </c>
      <c r="E157" s="6">
        <f>IF($A157="","",'Opening Balance'!$B$7)</f>
        <v/>
      </c>
      <c r="F157" s="6">
        <f>IF($A157="","",ROUND(SUMIFS('Daily Sale entry '!$L$2:$L$367,'Daily Sale entry '!$A$2:$A$367,"&gt;="&amp;DATE(YEAR($A157),MONTH($A157),1),'Daily Sale entry '!$A$2:$A$367,"&lt;="&amp;$A157)+SUMIFS('Daily Sale entry '!$M$2:$M$367,'Daily Sale entry '!$A$2:$A$367,"&gt;="&amp;DATE(YEAR($A157),MONTH($A157),1),'Daily Sale entry '!$A$2:$A$367,"&lt;="&amp;$A157)+IF(AND(YEAR($A157)=YEAR('Daily Sale entry '!$A$2),MONTH($A157)=MONTH('Daily Sale entry '!$A$2)),'Opening Balance'!$B$8,0),2))</f>
        <v/>
      </c>
      <c r="G157" s="6">
        <f>IF($A157="","",MOD(ROUND('Opening Balance'!$B$9+SUMIFS('Sales &amp; Collection'!$L$1:$L$2173,'Sales &amp; Collection'!$K$1:$K$2173,"cash collection*"),2),'Opening Balance'!$B$11))</f>
        <v/>
      </c>
      <c r="H157" s="6">
        <f>IF($A157="","",ROUND('Opening Balance'!$B$10+'Opening Balance'!$B$9+SUMIFS('Sales &amp; Collection'!$L$1:$L$2173,'Sales &amp; Collection'!$K$1:$K$2173,"cash collection*")-G157-SUMIFS('Daily Sale entry '!$AC$2:$AC$1501,'Daily Sale entry '!$X$2:$X$1501,"&lt;="&amp;$A157,'Daily Sale entry '!$Z$2:$Z$1501,"Cash deposit 现金存入"),2))</f>
        <v/>
      </c>
      <c r="I157" s="6">
        <f>IF($A157="","",ROUND(B157+D157+E157+F157+G157+H157,2))</f>
        <v/>
      </c>
      <c r="J157" s="6">
        <f>IF($A157="","",'AR &amp; AP'!K158)</f>
        <v/>
      </c>
      <c r="K157" s="6">
        <f>IF($A157="","",ROUND(I157-J157-SUMIFS('Daily Sale entry '!$AC$2:$AC$1501,'Daily Sale entry '!$X$2:$X$1501,"&lt;="&amp;$A157,'Daily Sale entry '!$Z$2:$Z$1501,"Other deposit 其他存入")+SUMIFS('Daily Sale entry '!$AD$2:$AD$1501,'Daily Sale entry '!$X$2:$X$1501,"&lt;="&amp;$A157)+('Opening Balance'!$B$8+SUM('Daily Sale entry '!$L$2:M157)-F157),2))</f>
        <v/>
      </c>
      <c r="L157">
        <f>IF($A157="","",IF(ABS('Sales &amp; Collection'!$B$2182)&gt;'Opening Balance'!$B$16,"ALERT 警报: Different "&amp;TEXT('Sales &amp; Collection'!$B$2182,"#,##0.00")&amp;" 差额过大",""))</f>
        <v/>
      </c>
    </row>
    <row r="158">
      <c r="A158" s="5">
        <f>IF('Daily Sale entry '!A158="","",'Daily Sale entry '!A158)</f>
        <v/>
      </c>
      <c r="B158" s="6">
        <f>IF($A158="","",ROUND('Opening Balance'!$B$4+SUM('Daily Sale entry '!$K$2:K158)+SUMIFS('Daily Sale entry '!$AC$2:$AC$1501,'Daily Sale entry '!$X$2:$X$1501,"&lt;="&amp;$A158)-SUMIFS('Daily Sale entry '!$AD$2:$AD$1501,'Daily Sale entry '!$X$2:$X$1501,"&lt;="&amp;$A158)+SUMPRODUCT(('Daily Sale entry '!$Q$2:$Q$1501="Collection 收款")*('Daily Sale entry '!$R$2:$R$1501="Cheque 支票")*('Daily Sale entry '!$V$2:$V$1501&lt;&gt;"")*('Daily Sale entry '!$V$2:$V$1501&lt;=$A158)*('Daily Sale entry '!$S$2:$S$1501-'Opening Balance'!$B$15*('Daily Sale entry '!$R$2:$R$1501="Cheque 支票")*('Daily Sale entry '!$S$2:$S$1501-TRUNC('Daily Sale entry '!$S$2:$S$1501))))-'Opening Balance'!$B$15*SUMPRODUCT(('Daily Sale entry '!$X$2:$X$1501&lt;=$A158)*('Daily Sale entry '!$Z$2:$Z$1501="Online collection 网上收款")*('Daily Sale entry '!$AA$2:$AA$1501&lt;&gt;"")*('Daily Sale entry '!$AC$2:$AC$1501-TRUNC('Daily Sale entry '!$AC$2:$AC$1501))),2))</f>
        <v/>
      </c>
      <c r="C158" s="8">
        <f>IF($A158="","",'Opening Balance'!$B$5+SUM('Daily Sale entry '!$I$2:I158)-SUMIFS('Daily Sale entry '!$AB$2:$AB$1501,'Daily Sale entry '!$X$2:$X$1501,"&lt;="&amp;$A158,'Daily Sale entry '!$Z$2:$Z$1501,"Cheque deposit 支票存入")-COUNTIFS('Daily Sale entry '!$Q$2:$Q$1501,"Collection 收款",'Daily Sale entry '!$R$2:$R$1501,"Cheque 支票",'Daily Sale entry '!$V$2:$V$1501,"&lt;="&amp;$A158))</f>
        <v/>
      </c>
      <c r="D158" s="6">
        <f>IF($A158="","",ROUND('Opening Balance'!$B$6+SUM('Daily Sale entry '!$J$2:J158)-SUMIFS('Daily Sale entry '!$AC$2:$AC$1501,'Daily Sale entry '!$X$2:$X$1501,"&lt;="&amp;$A158,'Daily Sale entry '!$Z$2:$Z$1501,"Cheque deposit 支票存入")-SUMPRODUCT(('Daily Sale entry '!$Q$2:$Q$1501="Collection 收款")*('Daily Sale entry '!$R$2:$R$1501="Cheque 支票")*('Daily Sale entry '!$V$2:$V$1501&lt;&gt;"")*('Daily Sale entry '!$V$2:$V$1501&lt;=$A158)*('Daily Sale entry '!$S$2:$S$1501-'Opening Balance'!$B$15*('Daily Sale entry '!$R$2:$R$1501="Cheque 支票")*('Daily Sale entry '!$S$2:$S$1501-TRUNC('Daily Sale entry '!$S$2:$S$1501)))),2))</f>
        <v/>
      </c>
      <c r="E158" s="6">
        <f>IF($A158="","",'Opening Balance'!$B$7)</f>
        <v/>
      </c>
      <c r="F158" s="6">
        <f>IF($A158="","",ROUND(SUMIFS('Daily Sale entry '!$L$2:$L$367,'Daily Sale entry '!$A$2:$A$367,"&gt;="&amp;DATE(YEAR($A158),MONTH($A158),1),'Daily Sale entry '!$A$2:$A$367,"&lt;="&amp;$A158)+SUMIFS('Daily Sale entry '!$M$2:$M$367,'Daily Sale entry '!$A$2:$A$367,"&gt;="&amp;DATE(YEAR($A158),MONTH($A158),1),'Daily Sale entry '!$A$2:$A$367,"&lt;="&amp;$A158)+IF(AND(YEAR($A158)=YEAR('Daily Sale entry '!$A$2),MONTH($A158)=MONTH('Daily Sale entry '!$A$2)),'Opening Balance'!$B$8,0),2))</f>
        <v/>
      </c>
      <c r="G158" s="6">
        <f>IF($A158="","",MOD(ROUND('Opening Balance'!$B$9+SUMIFS('Sales &amp; Collection'!$L$1:$L$2187,'Sales &amp; Collection'!$K$1:$K$2187,"cash collection*"),2),'Opening Balance'!$B$11))</f>
        <v/>
      </c>
      <c r="H158" s="6">
        <f>IF($A158="","",ROUND('Opening Balance'!$B$10+'Opening Balance'!$B$9+SUMIFS('Sales &amp; Collection'!$L$1:$L$2187,'Sales &amp; Collection'!$K$1:$K$2187,"cash collection*")-G158-SUMIFS('Daily Sale entry '!$AC$2:$AC$1501,'Daily Sale entry '!$X$2:$X$1501,"&lt;="&amp;$A158,'Daily Sale entry '!$Z$2:$Z$1501,"Cash deposit 现金存入"),2))</f>
        <v/>
      </c>
      <c r="I158" s="6">
        <f>IF($A158="","",ROUND(B158+D158+E158+F158+G158+H158,2))</f>
        <v/>
      </c>
      <c r="J158" s="6">
        <f>IF($A158="","",'AR &amp; AP'!K159)</f>
        <v/>
      </c>
      <c r="K158" s="6">
        <f>IF($A158="","",ROUND(I158-J158-SUMIFS('Daily Sale entry '!$AC$2:$AC$1501,'Daily Sale entry '!$X$2:$X$1501,"&lt;="&amp;$A158,'Daily Sale entry '!$Z$2:$Z$1501,"Other deposit 其他存入")+SUMIFS('Daily Sale entry '!$AD$2:$AD$1501,'Daily Sale entry '!$X$2:$X$1501,"&lt;="&amp;$A158)+('Opening Balance'!$B$8+SUM('Daily Sale entry '!$L$2:M158)-F158),2))</f>
        <v/>
      </c>
      <c r="L158">
        <f>IF($A158="","",IF(ABS('Sales &amp; Collection'!$B$2196)&gt;'Opening Balance'!$B$16,"ALERT 警报: Different "&amp;TEXT('Sales &amp; Collection'!$B$2196,"#,##0.00")&amp;" 差额过大",""))</f>
        <v/>
      </c>
    </row>
    <row r="159">
      <c r="A159" s="5">
        <f>IF('Daily Sale entry '!A159="","",'Daily Sale entry '!A159)</f>
        <v/>
      </c>
      <c r="B159" s="6">
        <f>IF($A159="","",ROUND('Opening Balance'!$B$4+SUM('Daily Sale entry '!$K$2:K159)+SUMIFS('Daily Sale entry '!$AC$2:$AC$1501,'Daily Sale entry '!$X$2:$X$1501,"&lt;="&amp;$A159)-SUMIFS('Daily Sale entry '!$AD$2:$AD$1501,'Daily Sale entry '!$X$2:$X$1501,"&lt;="&amp;$A159)+SUMPRODUCT(('Daily Sale entry '!$Q$2:$Q$1501="Collection 收款")*('Daily Sale entry '!$R$2:$R$1501="Cheque 支票")*('Daily Sale entry '!$V$2:$V$1501&lt;&gt;"")*('Daily Sale entry '!$V$2:$V$1501&lt;=$A159)*('Daily Sale entry '!$S$2:$S$1501-'Opening Balance'!$B$15*('Daily Sale entry '!$R$2:$R$1501="Cheque 支票")*('Daily Sale entry '!$S$2:$S$1501-TRUNC('Daily Sale entry '!$S$2:$S$1501))))-'Opening Balance'!$B$15*SUMPRODUCT(('Daily Sale entry '!$X$2:$X$1501&lt;=$A159)*('Daily Sale entry '!$Z$2:$Z$1501="Online collection 网上收款")*('Daily Sale entry '!$AA$2:$AA$1501&lt;&gt;"")*('Daily Sale entry '!$AC$2:$AC$1501-TRUNC('Daily Sale entry '!$AC$2:$AC$1501))),2))</f>
        <v/>
      </c>
      <c r="C159" s="8">
        <f>IF($A159="","",'Opening Balance'!$B$5+SUM('Daily Sale entry '!$I$2:I159)-SUMIFS('Daily Sale entry '!$AB$2:$AB$1501,'Daily Sale entry '!$X$2:$X$1501,"&lt;="&amp;$A159,'Daily Sale entry '!$Z$2:$Z$1501,"Cheque deposit 支票存入")-COUNTIFS('Daily Sale entry '!$Q$2:$Q$1501,"Collection 收款",'Daily Sale entry '!$R$2:$R$1501,"Cheque 支票",'Daily Sale entry '!$V$2:$V$1501,"&lt;="&amp;$A159))</f>
        <v/>
      </c>
      <c r="D159" s="6">
        <f>IF($A159="","",ROUND('Opening Balance'!$B$6+SUM('Daily Sale entry '!$J$2:J159)-SUMIFS('Daily Sale entry '!$AC$2:$AC$1501,'Daily Sale entry '!$X$2:$X$1501,"&lt;="&amp;$A159,'Daily Sale entry '!$Z$2:$Z$1501,"Cheque deposit 支票存入")-SUMPRODUCT(('Daily Sale entry '!$Q$2:$Q$1501="Collection 收款")*('Daily Sale entry '!$R$2:$R$1501="Cheque 支票")*('Daily Sale entry '!$V$2:$V$1501&lt;&gt;"")*('Daily Sale entry '!$V$2:$V$1501&lt;=$A159)*('Daily Sale entry '!$S$2:$S$1501-'Opening Balance'!$B$15*('Daily Sale entry '!$R$2:$R$1501="Cheque 支票")*('Daily Sale entry '!$S$2:$S$1501-TRUNC('Daily Sale entry '!$S$2:$S$1501)))),2))</f>
        <v/>
      </c>
      <c r="E159" s="6">
        <f>IF($A159="","",'Opening Balance'!$B$7)</f>
        <v/>
      </c>
      <c r="F159" s="6">
        <f>IF($A159="","",ROUND(SUMIFS('Daily Sale entry '!$L$2:$L$367,'Daily Sale entry '!$A$2:$A$367,"&gt;="&amp;DATE(YEAR($A159),MONTH($A159),1),'Daily Sale entry '!$A$2:$A$367,"&lt;="&amp;$A159)+SUMIFS('Daily Sale entry '!$M$2:$M$367,'Daily Sale entry '!$A$2:$A$367,"&gt;="&amp;DATE(YEAR($A159),MONTH($A159),1),'Daily Sale entry '!$A$2:$A$367,"&lt;="&amp;$A159)+IF(AND(YEAR($A159)=YEAR('Daily Sale entry '!$A$2),MONTH($A159)=MONTH('Daily Sale entry '!$A$2)),'Opening Balance'!$B$8,0),2))</f>
        <v/>
      </c>
      <c r="G159" s="6">
        <f>IF($A159="","",MOD(ROUND('Opening Balance'!$B$9+SUMIFS('Sales &amp; Collection'!$L$1:$L$2201,'Sales &amp; Collection'!$K$1:$K$2201,"cash collection*"),2),'Opening Balance'!$B$11))</f>
        <v/>
      </c>
      <c r="H159" s="6">
        <f>IF($A159="","",ROUND('Opening Balance'!$B$10+'Opening Balance'!$B$9+SUMIFS('Sales &amp; Collection'!$L$1:$L$2201,'Sales &amp; Collection'!$K$1:$K$2201,"cash collection*")-G159-SUMIFS('Daily Sale entry '!$AC$2:$AC$1501,'Daily Sale entry '!$X$2:$X$1501,"&lt;="&amp;$A159,'Daily Sale entry '!$Z$2:$Z$1501,"Cash deposit 现金存入"),2))</f>
        <v/>
      </c>
      <c r="I159" s="6">
        <f>IF($A159="","",ROUND(B159+D159+E159+F159+G159+H159,2))</f>
        <v/>
      </c>
      <c r="J159" s="6">
        <f>IF($A159="","",'AR &amp; AP'!K160)</f>
        <v/>
      </c>
      <c r="K159" s="6">
        <f>IF($A159="","",ROUND(I159-J159-SUMIFS('Daily Sale entry '!$AC$2:$AC$1501,'Daily Sale entry '!$X$2:$X$1501,"&lt;="&amp;$A159,'Daily Sale entry '!$Z$2:$Z$1501,"Other deposit 其他存入")+SUMIFS('Daily Sale entry '!$AD$2:$AD$1501,'Daily Sale entry '!$X$2:$X$1501,"&lt;="&amp;$A159)+('Opening Balance'!$B$8+SUM('Daily Sale entry '!$L$2:M159)-F159),2))</f>
        <v/>
      </c>
      <c r="L159">
        <f>IF($A159="","",IF(ABS('Sales &amp; Collection'!$B$2210)&gt;'Opening Balance'!$B$16,"ALERT 警报: Different "&amp;TEXT('Sales &amp; Collection'!$B$2210,"#,##0.00")&amp;" 差额过大",""))</f>
        <v/>
      </c>
    </row>
    <row r="160">
      <c r="A160" s="5">
        <f>IF('Daily Sale entry '!A160="","",'Daily Sale entry '!A160)</f>
        <v/>
      </c>
      <c r="B160" s="6">
        <f>IF($A160="","",ROUND('Opening Balance'!$B$4+SUM('Daily Sale entry '!$K$2:K160)+SUMIFS('Daily Sale entry '!$AC$2:$AC$1501,'Daily Sale entry '!$X$2:$X$1501,"&lt;="&amp;$A160)-SUMIFS('Daily Sale entry '!$AD$2:$AD$1501,'Daily Sale entry '!$X$2:$X$1501,"&lt;="&amp;$A160)+SUMPRODUCT(('Daily Sale entry '!$Q$2:$Q$1501="Collection 收款")*('Daily Sale entry '!$R$2:$R$1501="Cheque 支票")*('Daily Sale entry '!$V$2:$V$1501&lt;&gt;"")*('Daily Sale entry '!$V$2:$V$1501&lt;=$A160)*('Daily Sale entry '!$S$2:$S$1501-'Opening Balance'!$B$15*('Daily Sale entry '!$R$2:$R$1501="Cheque 支票")*('Daily Sale entry '!$S$2:$S$1501-TRUNC('Daily Sale entry '!$S$2:$S$1501))))-'Opening Balance'!$B$15*SUMPRODUCT(('Daily Sale entry '!$X$2:$X$1501&lt;=$A160)*('Daily Sale entry '!$Z$2:$Z$1501="Online collection 网上收款")*('Daily Sale entry '!$AA$2:$AA$1501&lt;&gt;"")*('Daily Sale entry '!$AC$2:$AC$1501-TRUNC('Daily Sale entry '!$AC$2:$AC$1501))),2))</f>
        <v/>
      </c>
      <c r="C160" s="8">
        <f>IF($A160="","",'Opening Balance'!$B$5+SUM('Daily Sale entry '!$I$2:I160)-SUMIFS('Daily Sale entry '!$AB$2:$AB$1501,'Daily Sale entry '!$X$2:$X$1501,"&lt;="&amp;$A160,'Daily Sale entry '!$Z$2:$Z$1501,"Cheque deposit 支票存入")-COUNTIFS('Daily Sale entry '!$Q$2:$Q$1501,"Collection 收款",'Daily Sale entry '!$R$2:$R$1501,"Cheque 支票",'Daily Sale entry '!$V$2:$V$1501,"&lt;="&amp;$A160))</f>
        <v/>
      </c>
      <c r="D160" s="6">
        <f>IF($A160="","",ROUND('Opening Balance'!$B$6+SUM('Daily Sale entry '!$J$2:J160)-SUMIFS('Daily Sale entry '!$AC$2:$AC$1501,'Daily Sale entry '!$X$2:$X$1501,"&lt;="&amp;$A160,'Daily Sale entry '!$Z$2:$Z$1501,"Cheque deposit 支票存入")-SUMPRODUCT(('Daily Sale entry '!$Q$2:$Q$1501="Collection 收款")*('Daily Sale entry '!$R$2:$R$1501="Cheque 支票")*('Daily Sale entry '!$V$2:$V$1501&lt;&gt;"")*('Daily Sale entry '!$V$2:$V$1501&lt;=$A160)*('Daily Sale entry '!$S$2:$S$1501-'Opening Balance'!$B$15*('Daily Sale entry '!$R$2:$R$1501="Cheque 支票")*('Daily Sale entry '!$S$2:$S$1501-TRUNC('Daily Sale entry '!$S$2:$S$1501)))),2))</f>
        <v/>
      </c>
      <c r="E160" s="6">
        <f>IF($A160="","",'Opening Balance'!$B$7)</f>
        <v/>
      </c>
      <c r="F160" s="6">
        <f>IF($A160="","",ROUND(SUMIFS('Daily Sale entry '!$L$2:$L$367,'Daily Sale entry '!$A$2:$A$367,"&gt;="&amp;DATE(YEAR($A160),MONTH($A160),1),'Daily Sale entry '!$A$2:$A$367,"&lt;="&amp;$A160)+SUMIFS('Daily Sale entry '!$M$2:$M$367,'Daily Sale entry '!$A$2:$A$367,"&gt;="&amp;DATE(YEAR($A160),MONTH($A160),1),'Daily Sale entry '!$A$2:$A$367,"&lt;="&amp;$A160)+IF(AND(YEAR($A160)=YEAR('Daily Sale entry '!$A$2),MONTH($A160)=MONTH('Daily Sale entry '!$A$2)),'Opening Balance'!$B$8,0),2))</f>
        <v/>
      </c>
      <c r="G160" s="6">
        <f>IF($A160="","",MOD(ROUND('Opening Balance'!$B$9+SUMIFS('Sales &amp; Collection'!$L$1:$L$2215,'Sales &amp; Collection'!$K$1:$K$2215,"cash collection*"),2),'Opening Balance'!$B$11))</f>
        <v/>
      </c>
      <c r="H160" s="6">
        <f>IF($A160="","",ROUND('Opening Balance'!$B$10+'Opening Balance'!$B$9+SUMIFS('Sales &amp; Collection'!$L$1:$L$2215,'Sales &amp; Collection'!$K$1:$K$2215,"cash collection*")-G160-SUMIFS('Daily Sale entry '!$AC$2:$AC$1501,'Daily Sale entry '!$X$2:$X$1501,"&lt;="&amp;$A160,'Daily Sale entry '!$Z$2:$Z$1501,"Cash deposit 现金存入"),2))</f>
        <v/>
      </c>
      <c r="I160" s="6">
        <f>IF($A160="","",ROUND(B160+D160+E160+F160+G160+H160,2))</f>
        <v/>
      </c>
      <c r="J160" s="6">
        <f>IF($A160="","",'AR &amp; AP'!K161)</f>
        <v/>
      </c>
      <c r="K160" s="6">
        <f>IF($A160="","",ROUND(I160-J160-SUMIFS('Daily Sale entry '!$AC$2:$AC$1501,'Daily Sale entry '!$X$2:$X$1501,"&lt;="&amp;$A160,'Daily Sale entry '!$Z$2:$Z$1501,"Other deposit 其他存入")+SUMIFS('Daily Sale entry '!$AD$2:$AD$1501,'Daily Sale entry '!$X$2:$X$1501,"&lt;="&amp;$A160)+('Opening Balance'!$B$8+SUM('Daily Sale entry '!$L$2:M160)-F160),2))</f>
        <v/>
      </c>
      <c r="L160">
        <f>IF($A160="","",IF(ABS('Sales &amp; Collection'!$B$2224)&gt;'Opening Balance'!$B$16,"ALERT 警报: Different "&amp;TEXT('Sales &amp; Collection'!$B$2224,"#,##0.00")&amp;" 差额过大",""))</f>
        <v/>
      </c>
    </row>
    <row r="161">
      <c r="A161" s="5">
        <f>IF('Daily Sale entry '!A161="","",'Daily Sale entry '!A161)</f>
        <v/>
      </c>
      <c r="B161" s="6">
        <f>IF($A161="","",ROUND('Opening Balance'!$B$4+SUM('Daily Sale entry '!$K$2:K161)+SUMIFS('Daily Sale entry '!$AC$2:$AC$1501,'Daily Sale entry '!$X$2:$X$1501,"&lt;="&amp;$A161)-SUMIFS('Daily Sale entry '!$AD$2:$AD$1501,'Daily Sale entry '!$X$2:$X$1501,"&lt;="&amp;$A161)+SUMPRODUCT(('Daily Sale entry '!$Q$2:$Q$1501="Collection 收款")*('Daily Sale entry '!$R$2:$R$1501="Cheque 支票")*('Daily Sale entry '!$V$2:$V$1501&lt;&gt;"")*('Daily Sale entry '!$V$2:$V$1501&lt;=$A161)*('Daily Sale entry '!$S$2:$S$1501-'Opening Balance'!$B$15*('Daily Sale entry '!$R$2:$R$1501="Cheque 支票")*('Daily Sale entry '!$S$2:$S$1501-TRUNC('Daily Sale entry '!$S$2:$S$1501))))-'Opening Balance'!$B$15*SUMPRODUCT(('Daily Sale entry '!$X$2:$X$1501&lt;=$A161)*('Daily Sale entry '!$Z$2:$Z$1501="Online collection 网上收款")*('Daily Sale entry '!$AA$2:$AA$1501&lt;&gt;"")*('Daily Sale entry '!$AC$2:$AC$1501-TRUNC('Daily Sale entry '!$AC$2:$AC$1501))),2))</f>
        <v/>
      </c>
      <c r="C161" s="8">
        <f>IF($A161="","",'Opening Balance'!$B$5+SUM('Daily Sale entry '!$I$2:I161)-SUMIFS('Daily Sale entry '!$AB$2:$AB$1501,'Daily Sale entry '!$X$2:$X$1501,"&lt;="&amp;$A161,'Daily Sale entry '!$Z$2:$Z$1501,"Cheque deposit 支票存入")-COUNTIFS('Daily Sale entry '!$Q$2:$Q$1501,"Collection 收款",'Daily Sale entry '!$R$2:$R$1501,"Cheque 支票",'Daily Sale entry '!$V$2:$V$1501,"&lt;="&amp;$A161))</f>
        <v/>
      </c>
      <c r="D161" s="6">
        <f>IF($A161="","",ROUND('Opening Balance'!$B$6+SUM('Daily Sale entry '!$J$2:J161)-SUMIFS('Daily Sale entry '!$AC$2:$AC$1501,'Daily Sale entry '!$X$2:$X$1501,"&lt;="&amp;$A161,'Daily Sale entry '!$Z$2:$Z$1501,"Cheque deposit 支票存入")-SUMPRODUCT(('Daily Sale entry '!$Q$2:$Q$1501="Collection 收款")*('Daily Sale entry '!$R$2:$R$1501="Cheque 支票")*('Daily Sale entry '!$V$2:$V$1501&lt;&gt;"")*('Daily Sale entry '!$V$2:$V$1501&lt;=$A161)*('Daily Sale entry '!$S$2:$S$1501-'Opening Balance'!$B$15*('Daily Sale entry '!$R$2:$R$1501="Cheque 支票")*('Daily Sale entry '!$S$2:$S$1501-TRUNC('Daily Sale entry '!$S$2:$S$1501)))),2))</f>
        <v/>
      </c>
      <c r="E161" s="6">
        <f>IF($A161="","",'Opening Balance'!$B$7)</f>
        <v/>
      </c>
      <c r="F161" s="6">
        <f>IF($A161="","",ROUND(SUMIFS('Daily Sale entry '!$L$2:$L$367,'Daily Sale entry '!$A$2:$A$367,"&gt;="&amp;DATE(YEAR($A161),MONTH($A161),1),'Daily Sale entry '!$A$2:$A$367,"&lt;="&amp;$A161)+SUMIFS('Daily Sale entry '!$M$2:$M$367,'Daily Sale entry '!$A$2:$A$367,"&gt;="&amp;DATE(YEAR($A161),MONTH($A161),1),'Daily Sale entry '!$A$2:$A$367,"&lt;="&amp;$A161)+IF(AND(YEAR($A161)=YEAR('Daily Sale entry '!$A$2),MONTH($A161)=MONTH('Daily Sale entry '!$A$2)),'Opening Balance'!$B$8,0),2))</f>
        <v/>
      </c>
      <c r="G161" s="6">
        <f>IF($A161="","",MOD(ROUND('Opening Balance'!$B$9+SUMIFS('Sales &amp; Collection'!$L$1:$L$2229,'Sales &amp; Collection'!$K$1:$K$2229,"cash collection*"),2),'Opening Balance'!$B$11))</f>
        <v/>
      </c>
      <c r="H161" s="6">
        <f>IF($A161="","",ROUND('Opening Balance'!$B$10+'Opening Balance'!$B$9+SUMIFS('Sales &amp; Collection'!$L$1:$L$2229,'Sales &amp; Collection'!$K$1:$K$2229,"cash collection*")-G161-SUMIFS('Daily Sale entry '!$AC$2:$AC$1501,'Daily Sale entry '!$X$2:$X$1501,"&lt;="&amp;$A161,'Daily Sale entry '!$Z$2:$Z$1501,"Cash deposit 现金存入"),2))</f>
        <v/>
      </c>
      <c r="I161" s="6">
        <f>IF($A161="","",ROUND(B161+D161+E161+F161+G161+H161,2))</f>
        <v/>
      </c>
      <c r="J161" s="6">
        <f>IF($A161="","",'AR &amp; AP'!K162)</f>
        <v/>
      </c>
      <c r="K161" s="6">
        <f>IF($A161="","",ROUND(I161-J161-SUMIFS('Daily Sale entry '!$AC$2:$AC$1501,'Daily Sale entry '!$X$2:$X$1501,"&lt;="&amp;$A161,'Daily Sale entry '!$Z$2:$Z$1501,"Other deposit 其他存入")+SUMIFS('Daily Sale entry '!$AD$2:$AD$1501,'Daily Sale entry '!$X$2:$X$1501,"&lt;="&amp;$A161)+('Opening Balance'!$B$8+SUM('Daily Sale entry '!$L$2:M161)-F161),2))</f>
        <v/>
      </c>
      <c r="L161">
        <f>IF($A161="","",IF(ABS('Sales &amp; Collection'!$B$2238)&gt;'Opening Balance'!$B$16,"ALERT 警报: Different "&amp;TEXT('Sales &amp; Collection'!$B$2238,"#,##0.00")&amp;" 差额过大",""))</f>
        <v/>
      </c>
    </row>
    <row r="162">
      <c r="A162" s="5">
        <f>IF('Daily Sale entry '!A162="","",'Daily Sale entry '!A162)</f>
        <v/>
      </c>
      <c r="B162" s="6">
        <f>IF($A162="","",ROUND('Opening Balance'!$B$4+SUM('Daily Sale entry '!$K$2:K162)+SUMIFS('Daily Sale entry '!$AC$2:$AC$1501,'Daily Sale entry '!$X$2:$X$1501,"&lt;="&amp;$A162)-SUMIFS('Daily Sale entry '!$AD$2:$AD$1501,'Daily Sale entry '!$X$2:$X$1501,"&lt;="&amp;$A162)+SUMPRODUCT(('Daily Sale entry '!$Q$2:$Q$1501="Collection 收款")*('Daily Sale entry '!$R$2:$R$1501="Cheque 支票")*('Daily Sale entry '!$V$2:$V$1501&lt;&gt;"")*('Daily Sale entry '!$V$2:$V$1501&lt;=$A162)*('Daily Sale entry '!$S$2:$S$1501-'Opening Balance'!$B$15*('Daily Sale entry '!$R$2:$R$1501="Cheque 支票")*('Daily Sale entry '!$S$2:$S$1501-TRUNC('Daily Sale entry '!$S$2:$S$1501))))-'Opening Balance'!$B$15*SUMPRODUCT(('Daily Sale entry '!$X$2:$X$1501&lt;=$A162)*('Daily Sale entry '!$Z$2:$Z$1501="Online collection 网上收款")*('Daily Sale entry '!$AA$2:$AA$1501&lt;&gt;"")*('Daily Sale entry '!$AC$2:$AC$1501-TRUNC('Daily Sale entry '!$AC$2:$AC$1501))),2))</f>
        <v/>
      </c>
      <c r="C162" s="8">
        <f>IF($A162="","",'Opening Balance'!$B$5+SUM('Daily Sale entry '!$I$2:I162)-SUMIFS('Daily Sale entry '!$AB$2:$AB$1501,'Daily Sale entry '!$X$2:$X$1501,"&lt;="&amp;$A162,'Daily Sale entry '!$Z$2:$Z$1501,"Cheque deposit 支票存入")-COUNTIFS('Daily Sale entry '!$Q$2:$Q$1501,"Collection 收款",'Daily Sale entry '!$R$2:$R$1501,"Cheque 支票",'Daily Sale entry '!$V$2:$V$1501,"&lt;="&amp;$A162))</f>
        <v/>
      </c>
      <c r="D162" s="6">
        <f>IF($A162="","",ROUND('Opening Balance'!$B$6+SUM('Daily Sale entry '!$J$2:J162)-SUMIFS('Daily Sale entry '!$AC$2:$AC$1501,'Daily Sale entry '!$X$2:$X$1501,"&lt;="&amp;$A162,'Daily Sale entry '!$Z$2:$Z$1501,"Cheque deposit 支票存入")-SUMPRODUCT(('Daily Sale entry '!$Q$2:$Q$1501="Collection 收款")*('Daily Sale entry '!$R$2:$R$1501="Cheque 支票")*('Daily Sale entry '!$V$2:$V$1501&lt;&gt;"")*('Daily Sale entry '!$V$2:$V$1501&lt;=$A162)*('Daily Sale entry '!$S$2:$S$1501-'Opening Balance'!$B$15*('Daily Sale entry '!$R$2:$R$1501="Cheque 支票")*('Daily Sale entry '!$S$2:$S$1501-TRUNC('Daily Sale entry '!$S$2:$S$1501)))),2))</f>
        <v/>
      </c>
      <c r="E162" s="6">
        <f>IF($A162="","",'Opening Balance'!$B$7)</f>
        <v/>
      </c>
      <c r="F162" s="6">
        <f>IF($A162="","",ROUND(SUMIFS('Daily Sale entry '!$L$2:$L$367,'Daily Sale entry '!$A$2:$A$367,"&gt;="&amp;DATE(YEAR($A162),MONTH($A162),1),'Daily Sale entry '!$A$2:$A$367,"&lt;="&amp;$A162)+SUMIFS('Daily Sale entry '!$M$2:$M$367,'Daily Sale entry '!$A$2:$A$367,"&gt;="&amp;DATE(YEAR($A162),MONTH($A162),1),'Daily Sale entry '!$A$2:$A$367,"&lt;="&amp;$A162)+IF(AND(YEAR($A162)=YEAR('Daily Sale entry '!$A$2),MONTH($A162)=MONTH('Daily Sale entry '!$A$2)),'Opening Balance'!$B$8,0),2))</f>
        <v/>
      </c>
      <c r="G162" s="6">
        <f>IF($A162="","",MOD(ROUND('Opening Balance'!$B$9+SUMIFS('Sales &amp; Collection'!$L$1:$L$2243,'Sales &amp; Collection'!$K$1:$K$2243,"cash collection*"),2),'Opening Balance'!$B$11))</f>
        <v/>
      </c>
      <c r="H162" s="6">
        <f>IF($A162="","",ROUND('Opening Balance'!$B$10+'Opening Balance'!$B$9+SUMIFS('Sales &amp; Collection'!$L$1:$L$2243,'Sales &amp; Collection'!$K$1:$K$2243,"cash collection*")-G162-SUMIFS('Daily Sale entry '!$AC$2:$AC$1501,'Daily Sale entry '!$X$2:$X$1501,"&lt;="&amp;$A162,'Daily Sale entry '!$Z$2:$Z$1501,"Cash deposit 现金存入"),2))</f>
        <v/>
      </c>
      <c r="I162" s="6">
        <f>IF($A162="","",ROUND(B162+D162+E162+F162+G162+H162,2))</f>
        <v/>
      </c>
      <c r="J162" s="6">
        <f>IF($A162="","",'AR &amp; AP'!K163)</f>
        <v/>
      </c>
      <c r="K162" s="6">
        <f>IF($A162="","",ROUND(I162-J162-SUMIFS('Daily Sale entry '!$AC$2:$AC$1501,'Daily Sale entry '!$X$2:$X$1501,"&lt;="&amp;$A162,'Daily Sale entry '!$Z$2:$Z$1501,"Other deposit 其他存入")+SUMIFS('Daily Sale entry '!$AD$2:$AD$1501,'Daily Sale entry '!$X$2:$X$1501,"&lt;="&amp;$A162)+('Opening Balance'!$B$8+SUM('Daily Sale entry '!$L$2:M162)-F162),2))</f>
        <v/>
      </c>
      <c r="L162">
        <f>IF($A162="","",IF(ABS('Sales &amp; Collection'!$B$2252)&gt;'Opening Balance'!$B$16,"ALERT 警报: Different "&amp;TEXT('Sales &amp; Collection'!$B$2252,"#,##0.00")&amp;" 差额过大",""))</f>
        <v/>
      </c>
    </row>
    <row r="163">
      <c r="A163" s="5">
        <f>IF('Daily Sale entry '!A163="","",'Daily Sale entry '!A163)</f>
        <v/>
      </c>
      <c r="B163" s="6">
        <f>IF($A163="","",ROUND('Opening Balance'!$B$4+SUM('Daily Sale entry '!$K$2:K163)+SUMIFS('Daily Sale entry '!$AC$2:$AC$1501,'Daily Sale entry '!$X$2:$X$1501,"&lt;="&amp;$A163)-SUMIFS('Daily Sale entry '!$AD$2:$AD$1501,'Daily Sale entry '!$X$2:$X$1501,"&lt;="&amp;$A163)+SUMPRODUCT(('Daily Sale entry '!$Q$2:$Q$1501="Collection 收款")*('Daily Sale entry '!$R$2:$R$1501="Cheque 支票")*('Daily Sale entry '!$V$2:$V$1501&lt;&gt;"")*('Daily Sale entry '!$V$2:$V$1501&lt;=$A163)*('Daily Sale entry '!$S$2:$S$1501-'Opening Balance'!$B$15*('Daily Sale entry '!$R$2:$R$1501="Cheque 支票")*('Daily Sale entry '!$S$2:$S$1501-TRUNC('Daily Sale entry '!$S$2:$S$1501))))-'Opening Balance'!$B$15*SUMPRODUCT(('Daily Sale entry '!$X$2:$X$1501&lt;=$A163)*('Daily Sale entry '!$Z$2:$Z$1501="Online collection 网上收款")*('Daily Sale entry '!$AA$2:$AA$1501&lt;&gt;"")*('Daily Sale entry '!$AC$2:$AC$1501-TRUNC('Daily Sale entry '!$AC$2:$AC$1501))),2))</f>
        <v/>
      </c>
      <c r="C163" s="8">
        <f>IF($A163="","",'Opening Balance'!$B$5+SUM('Daily Sale entry '!$I$2:I163)-SUMIFS('Daily Sale entry '!$AB$2:$AB$1501,'Daily Sale entry '!$X$2:$X$1501,"&lt;="&amp;$A163,'Daily Sale entry '!$Z$2:$Z$1501,"Cheque deposit 支票存入")-COUNTIFS('Daily Sale entry '!$Q$2:$Q$1501,"Collection 收款",'Daily Sale entry '!$R$2:$R$1501,"Cheque 支票",'Daily Sale entry '!$V$2:$V$1501,"&lt;="&amp;$A163))</f>
        <v/>
      </c>
      <c r="D163" s="6">
        <f>IF($A163="","",ROUND('Opening Balance'!$B$6+SUM('Daily Sale entry '!$J$2:J163)-SUMIFS('Daily Sale entry '!$AC$2:$AC$1501,'Daily Sale entry '!$X$2:$X$1501,"&lt;="&amp;$A163,'Daily Sale entry '!$Z$2:$Z$1501,"Cheque deposit 支票存入")-SUMPRODUCT(('Daily Sale entry '!$Q$2:$Q$1501="Collection 收款")*('Daily Sale entry '!$R$2:$R$1501="Cheque 支票")*('Daily Sale entry '!$V$2:$V$1501&lt;&gt;"")*('Daily Sale entry '!$V$2:$V$1501&lt;=$A163)*('Daily Sale entry '!$S$2:$S$1501-'Opening Balance'!$B$15*('Daily Sale entry '!$R$2:$R$1501="Cheque 支票")*('Daily Sale entry '!$S$2:$S$1501-TRUNC('Daily Sale entry '!$S$2:$S$1501)))),2))</f>
        <v/>
      </c>
      <c r="E163" s="6">
        <f>IF($A163="","",'Opening Balance'!$B$7)</f>
        <v/>
      </c>
      <c r="F163" s="6">
        <f>IF($A163="","",ROUND(SUMIFS('Daily Sale entry '!$L$2:$L$367,'Daily Sale entry '!$A$2:$A$367,"&gt;="&amp;DATE(YEAR($A163),MONTH($A163),1),'Daily Sale entry '!$A$2:$A$367,"&lt;="&amp;$A163)+SUMIFS('Daily Sale entry '!$M$2:$M$367,'Daily Sale entry '!$A$2:$A$367,"&gt;="&amp;DATE(YEAR($A163),MONTH($A163),1),'Daily Sale entry '!$A$2:$A$367,"&lt;="&amp;$A163)+IF(AND(YEAR($A163)=YEAR('Daily Sale entry '!$A$2),MONTH($A163)=MONTH('Daily Sale entry '!$A$2)),'Opening Balance'!$B$8,0),2))</f>
        <v/>
      </c>
      <c r="G163" s="6">
        <f>IF($A163="","",MOD(ROUND('Opening Balance'!$B$9+SUMIFS('Sales &amp; Collection'!$L$1:$L$2257,'Sales &amp; Collection'!$K$1:$K$2257,"cash collection*"),2),'Opening Balance'!$B$11))</f>
        <v/>
      </c>
      <c r="H163" s="6">
        <f>IF($A163="","",ROUND('Opening Balance'!$B$10+'Opening Balance'!$B$9+SUMIFS('Sales &amp; Collection'!$L$1:$L$2257,'Sales &amp; Collection'!$K$1:$K$2257,"cash collection*")-G163-SUMIFS('Daily Sale entry '!$AC$2:$AC$1501,'Daily Sale entry '!$X$2:$X$1501,"&lt;="&amp;$A163,'Daily Sale entry '!$Z$2:$Z$1501,"Cash deposit 现金存入"),2))</f>
        <v/>
      </c>
      <c r="I163" s="6">
        <f>IF($A163="","",ROUND(B163+D163+E163+F163+G163+H163,2))</f>
        <v/>
      </c>
      <c r="J163" s="6">
        <f>IF($A163="","",'AR &amp; AP'!K164)</f>
        <v/>
      </c>
      <c r="K163" s="6">
        <f>IF($A163="","",ROUND(I163-J163-SUMIFS('Daily Sale entry '!$AC$2:$AC$1501,'Daily Sale entry '!$X$2:$X$1501,"&lt;="&amp;$A163,'Daily Sale entry '!$Z$2:$Z$1501,"Other deposit 其他存入")+SUMIFS('Daily Sale entry '!$AD$2:$AD$1501,'Daily Sale entry '!$X$2:$X$1501,"&lt;="&amp;$A163)+('Opening Balance'!$B$8+SUM('Daily Sale entry '!$L$2:M163)-F163),2))</f>
        <v/>
      </c>
      <c r="L163">
        <f>IF($A163="","",IF(ABS('Sales &amp; Collection'!$B$2266)&gt;'Opening Balance'!$B$16,"ALERT 警报: Different "&amp;TEXT('Sales &amp; Collection'!$B$2266,"#,##0.00")&amp;" 差额过大",""))</f>
        <v/>
      </c>
    </row>
    <row r="164">
      <c r="A164" s="5">
        <f>IF('Daily Sale entry '!A164="","",'Daily Sale entry '!A164)</f>
        <v/>
      </c>
      <c r="B164" s="6">
        <f>IF($A164="","",ROUND('Opening Balance'!$B$4+SUM('Daily Sale entry '!$K$2:K164)+SUMIFS('Daily Sale entry '!$AC$2:$AC$1501,'Daily Sale entry '!$X$2:$X$1501,"&lt;="&amp;$A164)-SUMIFS('Daily Sale entry '!$AD$2:$AD$1501,'Daily Sale entry '!$X$2:$X$1501,"&lt;="&amp;$A164)+SUMPRODUCT(('Daily Sale entry '!$Q$2:$Q$1501="Collection 收款")*('Daily Sale entry '!$R$2:$R$1501="Cheque 支票")*('Daily Sale entry '!$V$2:$V$1501&lt;&gt;"")*('Daily Sale entry '!$V$2:$V$1501&lt;=$A164)*('Daily Sale entry '!$S$2:$S$1501-'Opening Balance'!$B$15*('Daily Sale entry '!$R$2:$R$1501="Cheque 支票")*('Daily Sale entry '!$S$2:$S$1501-TRUNC('Daily Sale entry '!$S$2:$S$1501))))-'Opening Balance'!$B$15*SUMPRODUCT(('Daily Sale entry '!$X$2:$X$1501&lt;=$A164)*('Daily Sale entry '!$Z$2:$Z$1501="Online collection 网上收款")*('Daily Sale entry '!$AA$2:$AA$1501&lt;&gt;"")*('Daily Sale entry '!$AC$2:$AC$1501-TRUNC('Daily Sale entry '!$AC$2:$AC$1501))),2))</f>
        <v/>
      </c>
      <c r="C164" s="8">
        <f>IF($A164="","",'Opening Balance'!$B$5+SUM('Daily Sale entry '!$I$2:I164)-SUMIFS('Daily Sale entry '!$AB$2:$AB$1501,'Daily Sale entry '!$X$2:$X$1501,"&lt;="&amp;$A164,'Daily Sale entry '!$Z$2:$Z$1501,"Cheque deposit 支票存入")-COUNTIFS('Daily Sale entry '!$Q$2:$Q$1501,"Collection 收款",'Daily Sale entry '!$R$2:$R$1501,"Cheque 支票",'Daily Sale entry '!$V$2:$V$1501,"&lt;="&amp;$A164))</f>
        <v/>
      </c>
      <c r="D164" s="6">
        <f>IF($A164="","",ROUND('Opening Balance'!$B$6+SUM('Daily Sale entry '!$J$2:J164)-SUMIFS('Daily Sale entry '!$AC$2:$AC$1501,'Daily Sale entry '!$X$2:$X$1501,"&lt;="&amp;$A164,'Daily Sale entry '!$Z$2:$Z$1501,"Cheque deposit 支票存入")-SUMPRODUCT(('Daily Sale entry '!$Q$2:$Q$1501="Collection 收款")*('Daily Sale entry '!$R$2:$R$1501="Cheque 支票")*('Daily Sale entry '!$V$2:$V$1501&lt;&gt;"")*('Daily Sale entry '!$V$2:$V$1501&lt;=$A164)*('Daily Sale entry '!$S$2:$S$1501-'Opening Balance'!$B$15*('Daily Sale entry '!$R$2:$R$1501="Cheque 支票")*('Daily Sale entry '!$S$2:$S$1501-TRUNC('Daily Sale entry '!$S$2:$S$1501)))),2))</f>
        <v/>
      </c>
      <c r="E164" s="6">
        <f>IF($A164="","",'Opening Balance'!$B$7)</f>
        <v/>
      </c>
      <c r="F164" s="6">
        <f>IF($A164="","",ROUND(SUMIFS('Daily Sale entry '!$L$2:$L$367,'Daily Sale entry '!$A$2:$A$367,"&gt;="&amp;DATE(YEAR($A164),MONTH($A164),1),'Daily Sale entry '!$A$2:$A$367,"&lt;="&amp;$A164)+SUMIFS('Daily Sale entry '!$M$2:$M$367,'Daily Sale entry '!$A$2:$A$367,"&gt;="&amp;DATE(YEAR($A164),MONTH($A164),1),'Daily Sale entry '!$A$2:$A$367,"&lt;="&amp;$A164)+IF(AND(YEAR($A164)=YEAR('Daily Sale entry '!$A$2),MONTH($A164)=MONTH('Daily Sale entry '!$A$2)),'Opening Balance'!$B$8,0),2))</f>
        <v/>
      </c>
      <c r="G164" s="6">
        <f>IF($A164="","",MOD(ROUND('Opening Balance'!$B$9+SUMIFS('Sales &amp; Collection'!$L$1:$L$2271,'Sales &amp; Collection'!$K$1:$K$2271,"cash collection*"),2),'Opening Balance'!$B$11))</f>
        <v/>
      </c>
      <c r="H164" s="6">
        <f>IF($A164="","",ROUND('Opening Balance'!$B$10+'Opening Balance'!$B$9+SUMIFS('Sales &amp; Collection'!$L$1:$L$2271,'Sales &amp; Collection'!$K$1:$K$2271,"cash collection*")-G164-SUMIFS('Daily Sale entry '!$AC$2:$AC$1501,'Daily Sale entry '!$X$2:$X$1501,"&lt;="&amp;$A164,'Daily Sale entry '!$Z$2:$Z$1501,"Cash deposit 现金存入"),2))</f>
        <v/>
      </c>
      <c r="I164" s="6">
        <f>IF($A164="","",ROUND(B164+D164+E164+F164+G164+H164,2))</f>
        <v/>
      </c>
      <c r="J164" s="6">
        <f>IF($A164="","",'AR &amp; AP'!K165)</f>
        <v/>
      </c>
      <c r="K164" s="6">
        <f>IF($A164="","",ROUND(I164-J164-SUMIFS('Daily Sale entry '!$AC$2:$AC$1501,'Daily Sale entry '!$X$2:$X$1501,"&lt;="&amp;$A164,'Daily Sale entry '!$Z$2:$Z$1501,"Other deposit 其他存入")+SUMIFS('Daily Sale entry '!$AD$2:$AD$1501,'Daily Sale entry '!$X$2:$X$1501,"&lt;="&amp;$A164)+('Opening Balance'!$B$8+SUM('Daily Sale entry '!$L$2:M164)-F164),2))</f>
        <v/>
      </c>
      <c r="L164">
        <f>IF($A164="","",IF(ABS('Sales &amp; Collection'!$B$2280)&gt;'Opening Balance'!$B$16,"ALERT 警报: Different "&amp;TEXT('Sales &amp; Collection'!$B$2280,"#,##0.00")&amp;" 差额过大",""))</f>
        <v/>
      </c>
    </row>
    <row r="165">
      <c r="A165" s="5">
        <f>IF('Daily Sale entry '!A165="","",'Daily Sale entry '!A165)</f>
        <v/>
      </c>
      <c r="B165" s="6">
        <f>IF($A165="","",ROUND('Opening Balance'!$B$4+SUM('Daily Sale entry '!$K$2:K165)+SUMIFS('Daily Sale entry '!$AC$2:$AC$1501,'Daily Sale entry '!$X$2:$X$1501,"&lt;="&amp;$A165)-SUMIFS('Daily Sale entry '!$AD$2:$AD$1501,'Daily Sale entry '!$X$2:$X$1501,"&lt;="&amp;$A165)+SUMPRODUCT(('Daily Sale entry '!$Q$2:$Q$1501="Collection 收款")*('Daily Sale entry '!$R$2:$R$1501="Cheque 支票")*('Daily Sale entry '!$V$2:$V$1501&lt;&gt;"")*('Daily Sale entry '!$V$2:$V$1501&lt;=$A165)*('Daily Sale entry '!$S$2:$S$1501-'Opening Balance'!$B$15*('Daily Sale entry '!$R$2:$R$1501="Cheque 支票")*('Daily Sale entry '!$S$2:$S$1501-TRUNC('Daily Sale entry '!$S$2:$S$1501))))-'Opening Balance'!$B$15*SUMPRODUCT(('Daily Sale entry '!$X$2:$X$1501&lt;=$A165)*('Daily Sale entry '!$Z$2:$Z$1501="Online collection 网上收款")*('Daily Sale entry '!$AA$2:$AA$1501&lt;&gt;"")*('Daily Sale entry '!$AC$2:$AC$1501-TRUNC('Daily Sale entry '!$AC$2:$AC$1501))),2))</f>
        <v/>
      </c>
      <c r="C165" s="8">
        <f>IF($A165="","",'Opening Balance'!$B$5+SUM('Daily Sale entry '!$I$2:I165)-SUMIFS('Daily Sale entry '!$AB$2:$AB$1501,'Daily Sale entry '!$X$2:$X$1501,"&lt;="&amp;$A165,'Daily Sale entry '!$Z$2:$Z$1501,"Cheque deposit 支票存入")-COUNTIFS('Daily Sale entry '!$Q$2:$Q$1501,"Collection 收款",'Daily Sale entry '!$R$2:$R$1501,"Cheque 支票",'Daily Sale entry '!$V$2:$V$1501,"&lt;="&amp;$A165))</f>
        <v/>
      </c>
      <c r="D165" s="6">
        <f>IF($A165="","",ROUND('Opening Balance'!$B$6+SUM('Daily Sale entry '!$J$2:J165)-SUMIFS('Daily Sale entry '!$AC$2:$AC$1501,'Daily Sale entry '!$X$2:$X$1501,"&lt;="&amp;$A165,'Daily Sale entry '!$Z$2:$Z$1501,"Cheque deposit 支票存入")-SUMPRODUCT(('Daily Sale entry '!$Q$2:$Q$1501="Collection 收款")*('Daily Sale entry '!$R$2:$R$1501="Cheque 支票")*('Daily Sale entry '!$V$2:$V$1501&lt;&gt;"")*('Daily Sale entry '!$V$2:$V$1501&lt;=$A165)*('Daily Sale entry '!$S$2:$S$1501-'Opening Balance'!$B$15*('Daily Sale entry '!$R$2:$R$1501="Cheque 支票")*('Daily Sale entry '!$S$2:$S$1501-TRUNC('Daily Sale entry '!$S$2:$S$1501)))),2))</f>
        <v/>
      </c>
      <c r="E165" s="6">
        <f>IF($A165="","",'Opening Balance'!$B$7)</f>
        <v/>
      </c>
      <c r="F165" s="6">
        <f>IF($A165="","",ROUND(SUMIFS('Daily Sale entry '!$L$2:$L$367,'Daily Sale entry '!$A$2:$A$367,"&gt;="&amp;DATE(YEAR($A165),MONTH($A165),1),'Daily Sale entry '!$A$2:$A$367,"&lt;="&amp;$A165)+SUMIFS('Daily Sale entry '!$M$2:$M$367,'Daily Sale entry '!$A$2:$A$367,"&gt;="&amp;DATE(YEAR($A165),MONTH($A165),1),'Daily Sale entry '!$A$2:$A$367,"&lt;="&amp;$A165)+IF(AND(YEAR($A165)=YEAR('Daily Sale entry '!$A$2),MONTH($A165)=MONTH('Daily Sale entry '!$A$2)),'Opening Balance'!$B$8,0),2))</f>
        <v/>
      </c>
      <c r="G165" s="6">
        <f>IF($A165="","",MOD(ROUND('Opening Balance'!$B$9+SUMIFS('Sales &amp; Collection'!$L$1:$L$2285,'Sales &amp; Collection'!$K$1:$K$2285,"cash collection*"),2),'Opening Balance'!$B$11))</f>
        <v/>
      </c>
      <c r="H165" s="6">
        <f>IF($A165="","",ROUND('Opening Balance'!$B$10+'Opening Balance'!$B$9+SUMIFS('Sales &amp; Collection'!$L$1:$L$2285,'Sales &amp; Collection'!$K$1:$K$2285,"cash collection*")-G165-SUMIFS('Daily Sale entry '!$AC$2:$AC$1501,'Daily Sale entry '!$X$2:$X$1501,"&lt;="&amp;$A165,'Daily Sale entry '!$Z$2:$Z$1501,"Cash deposit 现金存入"),2))</f>
        <v/>
      </c>
      <c r="I165" s="6">
        <f>IF($A165="","",ROUND(B165+D165+E165+F165+G165+H165,2))</f>
        <v/>
      </c>
      <c r="J165" s="6">
        <f>IF($A165="","",'AR &amp; AP'!K166)</f>
        <v/>
      </c>
      <c r="K165" s="6">
        <f>IF($A165="","",ROUND(I165-J165-SUMIFS('Daily Sale entry '!$AC$2:$AC$1501,'Daily Sale entry '!$X$2:$X$1501,"&lt;="&amp;$A165,'Daily Sale entry '!$Z$2:$Z$1501,"Other deposit 其他存入")+SUMIFS('Daily Sale entry '!$AD$2:$AD$1501,'Daily Sale entry '!$X$2:$X$1501,"&lt;="&amp;$A165)+('Opening Balance'!$B$8+SUM('Daily Sale entry '!$L$2:M165)-F165),2))</f>
        <v/>
      </c>
      <c r="L165">
        <f>IF($A165="","",IF(ABS('Sales &amp; Collection'!$B$2294)&gt;'Opening Balance'!$B$16,"ALERT 警报: Different "&amp;TEXT('Sales &amp; Collection'!$B$2294,"#,##0.00")&amp;" 差额过大",""))</f>
        <v/>
      </c>
    </row>
    <row r="166">
      <c r="A166" s="5">
        <f>IF('Daily Sale entry '!A166="","",'Daily Sale entry '!A166)</f>
        <v/>
      </c>
      <c r="B166" s="6">
        <f>IF($A166="","",ROUND('Opening Balance'!$B$4+SUM('Daily Sale entry '!$K$2:K166)+SUMIFS('Daily Sale entry '!$AC$2:$AC$1501,'Daily Sale entry '!$X$2:$X$1501,"&lt;="&amp;$A166)-SUMIFS('Daily Sale entry '!$AD$2:$AD$1501,'Daily Sale entry '!$X$2:$X$1501,"&lt;="&amp;$A166)+SUMPRODUCT(('Daily Sale entry '!$Q$2:$Q$1501="Collection 收款")*('Daily Sale entry '!$R$2:$R$1501="Cheque 支票")*('Daily Sale entry '!$V$2:$V$1501&lt;&gt;"")*('Daily Sale entry '!$V$2:$V$1501&lt;=$A166)*('Daily Sale entry '!$S$2:$S$1501-'Opening Balance'!$B$15*('Daily Sale entry '!$R$2:$R$1501="Cheque 支票")*('Daily Sale entry '!$S$2:$S$1501-TRUNC('Daily Sale entry '!$S$2:$S$1501))))-'Opening Balance'!$B$15*SUMPRODUCT(('Daily Sale entry '!$X$2:$X$1501&lt;=$A166)*('Daily Sale entry '!$Z$2:$Z$1501="Online collection 网上收款")*('Daily Sale entry '!$AA$2:$AA$1501&lt;&gt;"")*('Daily Sale entry '!$AC$2:$AC$1501-TRUNC('Daily Sale entry '!$AC$2:$AC$1501))),2))</f>
        <v/>
      </c>
      <c r="C166" s="8">
        <f>IF($A166="","",'Opening Balance'!$B$5+SUM('Daily Sale entry '!$I$2:I166)-SUMIFS('Daily Sale entry '!$AB$2:$AB$1501,'Daily Sale entry '!$X$2:$X$1501,"&lt;="&amp;$A166,'Daily Sale entry '!$Z$2:$Z$1501,"Cheque deposit 支票存入")-COUNTIFS('Daily Sale entry '!$Q$2:$Q$1501,"Collection 收款",'Daily Sale entry '!$R$2:$R$1501,"Cheque 支票",'Daily Sale entry '!$V$2:$V$1501,"&lt;="&amp;$A166))</f>
        <v/>
      </c>
      <c r="D166" s="6">
        <f>IF($A166="","",ROUND('Opening Balance'!$B$6+SUM('Daily Sale entry '!$J$2:J166)-SUMIFS('Daily Sale entry '!$AC$2:$AC$1501,'Daily Sale entry '!$X$2:$X$1501,"&lt;="&amp;$A166,'Daily Sale entry '!$Z$2:$Z$1501,"Cheque deposit 支票存入")-SUMPRODUCT(('Daily Sale entry '!$Q$2:$Q$1501="Collection 收款")*('Daily Sale entry '!$R$2:$R$1501="Cheque 支票")*('Daily Sale entry '!$V$2:$V$1501&lt;&gt;"")*('Daily Sale entry '!$V$2:$V$1501&lt;=$A166)*('Daily Sale entry '!$S$2:$S$1501-'Opening Balance'!$B$15*('Daily Sale entry '!$R$2:$R$1501="Cheque 支票")*('Daily Sale entry '!$S$2:$S$1501-TRUNC('Daily Sale entry '!$S$2:$S$1501)))),2))</f>
        <v/>
      </c>
      <c r="E166" s="6">
        <f>IF($A166="","",'Opening Balance'!$B$7)</f>
        <v/>
      </c>
      <c r="F166" s="6">
        <f>IF($A166="","",ROUND(SUMIFS('Daily Sale entry '!$L$2:$L$367,'Daily Sale entry '!$A$2:$A$367,"&gt;="&amp;DATE(YEAR($A166),MONTH($A166),1),'Daily Sale entry '!$A$2:$A$367,"&lt;="&amp;$A166)+SUMIFS('Daily Sale entry '!$M$2:$M$367,'Daily Sale entry '!$A$2:$A$367,"&gt;="&amp;DATE(YEAR($A166),MONTH($A166),1),'Daily Sale entry '!$A$2:$A$367,"&lt;="&amp;$A166)+IF(AND(YEAR($A166)=YEAR('Daily Sale entry '!$A$2),MONTH($A166)=MONTH('Daily Sale entry '!$A$2)),'Opening Balance'!$B$8,0),2))</f>
        <v/>
      </c>
      <c r="G166" s="6">
        <f>IF($A166="","",MOD(ROUND('Opening Balance'!$B$9+SUMIFS('Sales &amp; Collection'!$L$1:$L$2299,'Sales &amp; Collection'!$K$1:$K$2299,"cash collection*"),2),'Opening Balance'!$B$11))</f>
        <v/>
      </c>
      <c r="H166" s="6">
        <f>IF($A166="","",ROUND('Opening Balance'!$B$10+'Opening Balance'!$B$9+SUMIFS('Sales &amp; Collection'!$L$1:$L$2299,'Sales &amp; Collection'!$K$1:$K$2299,"cash collection*")-G166-SUMIFS('Daily Sale entry '!$AC$2:$AC$1501,'Daily Sale entry '!$X$2:$X$1501,"&lt;="&amp;$A166,'Daily Sale entry '!$Z$2:$Z$1501,"Cash deposit 现金存入"),2))</f>
        <v/>
      </c>
      <c r="I166" s="6">
        <f>IF($A166="","",ROUND(B166+D166+E166+F166+G166+H166,2))</f>
        <v/>
      </c>
      <c r="J166" s="6">
        <f>IF($A166="","",'AR &amp; AP'!K167)</f>
        <v/>
      </c>
      <c r="K166" s="6">
        <f>IF($A166="","",ROUND(I166-J166-SUMIFS('Daily Sale entry '!$AC$2:$AC$1501,'Daily Sale entry '!$X$2:$X$1501,"&lt;="&amp;$A166,'Daily Sale entry '!$Z$2:$Z$1501,"Other deposit 其他存入")+SUMIFS('Daily Sale entry '!$AD$2:$AD$1501,'Daily Sale entry '!$X$2:$X$1501,"&lt;="&amp;$A166)+('Opening Balance'!$B$8+SUM('Daily Sale entry '!$L$2:M166)-F166),2))</f>
        <v/>
      </c>
      <c r="L166">
        <f>IF($A166="","",IF(ABS('Sales &amp; Collection'!$B$2308)&gt;'Opening Balance'!$B$16,"ALERT 警报: Different "&amp;TEXT('Sales &amp; Collection'!$B$2308,"#,##0.00")&amp;" 差额过大",""))</f>
        <v/>
      </c>
    </row>
    <row r="167">
      <c r="A167" s="5">
        <f>IF('Daily Sale entry '!A167="","",'Daily Sale entry '!A167)</f>
        <v/>
      </c>
      <c r="B167" s="6">
        <f>IF($A167="","",ROUND('Opening Balance'!$B$4+SUM('Daily Sale entry '!$K$2:K167)+SUMIFS('Daily Sale entry '!$AC$2:$AC$1501,'Daily Sale entry '!$X$2:$X$1501,"&lt;="&amp;$A167)-SUMIFS('Daily Sale entry '!$AD$2:$AD$1501,'Daily Sale entry '!$X$2:$X$1501,"&lt;="&amp;$A167)+SUMPRODUCT(('Daily Sale entry '!$Q$2:$Q$1501="Collection 收款")*('Daily Sale entry '!$R$2:$R$1501="Cheque 支票")*('Daily Sale entry '!$V$2:$V$1501&lt;&gt;"")*('Daily Sale entry '!$V$2:$V$1501&lt;=$A167)*('Daily Sale entry '!$S$2:$S$1501-'Opening Balance'!$B$15*('Daily Sale entry '!$R$2:$R$1501="Cheque 支票")*('Daily Sale entry '!$S$2:$S$1501-TRUNC('Daily Sale entry '!$S$2:$S$1501))))-'Opening Balance'!$B$15*SUMPRODUCT(('Daily Sale entry '!$X$2:$X$1501&lt;=$A167)*('Daily Sale entry '!$Z$2:$Z$1501="Online collection 网上收款")*('Daily Sale entry '!$AA$2:$AA$1501&lt;&gt;"")*('Daily Sale entry '!$AC$2:$AC$1501-TRUNC('Daily Sale entry '!$AC$2:$AC$1501))),2))</f>
        <v/>
      </c>
      <c r="C167" s="8">
        <f>IF($A167="","",'Opening Balance'!$B$5+SUM('Daily Sale entry '!$I$2:I167)-SUMIFS('Daily Sale entry '!$AB$2:$AB$1501,'Daily Sale entry '!$X$2:$X$1501,"&lt;="&amp;$A167,'Daily Sale entry '!$Z$2:$Z$1501,"Cheque deposit 支票存入")-COUNTIFS('Daily Sale entry '!$Q$2:$Q$1501,"Collection 收款",'Daily Sale entry '!$R$2:$R$1501,"Cheque 支票",'Daily Sale entry '!$V$2:$V$1501,"&lt;="&amp;$A167))</f>
        <v/>
      </c>
      <c r="D167" s="6">
        <f>IF($A167="","",ROUND('Opening Balance'!$B$6+SUM('Daily Sale entry '!$J$2:J167)-SUMIFS('Daily Sale entry '!$AC$2:$AC$1501,'Daily Sale entry '!$X$2:$X$1501,"&lt;="&amp;$A167,'Daily Sale entry '!$Z$2:$Z$1501,"Cheque deposit 支票存入")-SUMPRODUCT(('Daily Sale entry '!$Q$2:$Q$1501="Collection 收款")*('Daily Sale entry '!$R$2:$R$1501="Cheque 支票")*('Daily Sale entry '!$V$2:$V$1501&lt;&gt;"")*('Daily Sale entry '!$V$2:$V$1501&lt;=$A167)*('Daily Sale entry '!$S$2:$S$1501-'Opening Balance'!$B$15*('Daily Sale entry '!$R$2:$R$1501="Cheque 支票")*('Daily Sale entry '!$S$2:$S$1501-TRUNC('Daily Sale entry '!$S$2:$S$1501)))),2))</f>
        <v/>
      </c>
      <c r="E167" s="6">
        <f>IF($A167="","",'Opening Balance'!$B$7)</f>
        <v/>
      </c>
      <c r="F167" s="6">
        <f>IF($A167="","",ROUND(SUMIFS('Daily Sale entry '!$L$2:$L$367,'Daily Sale entry '!$A$2:$A$367,"&gt;="&amp;DATE(YEAR($A167),MONTH($A167),1),'Daily Sale entry '!$A$2:$A$367,"&lt;="&amp;$A167)+SUMIFS('Daily Sale entry '!$M$2:$M$367,'Daily Sale entry '!$A$2:$A$367,"&gt;="&amp;DATE(YEAR($A167),MONTH($A167),1),'Daily Sale entry '!$A$2:$A$367,"&lt;="&amp;$A167)+IF(AND(YEAR($A167)=YEAR('Daily Sale entry '!$A$2),MONTH($A167)=MONTH('Daily Sale entry '!$A$2)),'Opening Balance'!$B$8,0),2))</f>
        <v/>
      </c>
      <c r="G167" s="6">
        <f>IF($A167="","",MOD(ROUND('Opening Balance'!$B$9+SUMIFS('Sales &amp; Collection'!$L$1:$L$2313,'Sales &amp; Collection'!$K$1:$K$2313,"cash collection*"),2),'Opening Balance'!$B$11))</f>
        <v/>
      </c>
      <c r="H167" s="6">
        <f>IF($A167="","",ROUND('Opening Balance'!$B$10+'Opening Balance'!$B$9+SUMIFS('Sales &amp; Collection'!$L$1:$L$2313,'Sales &amp; Collection'!$K$1:$K$2313,"cash collection*")-G167-SUMIFS('Daily Sale entry '!$AC$2:$AC$1501,'Daily Sale entry '!$X$2:$X$1501,"&lt;="&amp;$A167,'Daily Sale entry '!$Z$2:$Z$1501,"Cash deposit 现金存入"),2))</f>
        <v/>
      </c>
      <c r="I167" s="6">
        <f>IF($A167="","",ROUND(B167+D167+E167+F167+G167+H167,2))</f>
        <v/>
      </c>
      <c r="J167" s="6">
        <f>IF($A167="","",'AR &amp; AP'!K168)</f>
        <v/>
      </c>
      <c r="K167" s="6">
        <f>IF($A167="","",ROUND(I167-J167-SUMIFS('Daily Sale entry '!$AC$2:$AC$1501,'Daily Sale entry '!$X$2:$X$1501,"&lt;="&amp;$A167,'Daily Sale entry '!$Z$2:$Z$1501,"Other deposit 其他存入")+SUMIFS('Daily Sale entry '!$AD$2:$AD$1501,'Daily Sale entry '!$X$2:$X$1501,"&lt;="&amp;$A167)+('Opening Balance'!$B$8+SUM('Daily Sale entry '!$L$2:M167)-F167),2))</f>
        <v/>
      </c>
      <c r="L167">
        <f>IF($A167="","",IF(ABS('Sales &amp; Collection'!$B$2322)&gt;'Opening Balance'!$B$16,"ALERT 警报: Different "&amp;TEXT('Sales &amp; Collection'!$B$2322,"#,##0.00")&amp;" 差额过大",""))</f>
        <v/>
      </c>
    </row>
    <row r="168">
      <c r="A168" s="5">
        <f>IF('Daily Sale entry '!A168="","",'Daily Sale entry '!A168)</f>
        <v/>
      </c>
      <c r="B168" s="6">
        <f>IF($A168="","",ROUND('Opening Balance'!$B$4+SUM('Daily Sale entry '!$K$2:K168)+SUMIFS('Daily Sale entry '!$AC$2:$AC$1501,'Daily Sale entry '!$X$2:$X$1501,"&lt;="&amp;$A168)-SUMIFS('Daily Sale entry '!$AD$2:$AD$1501,'Daily Sale entry '!$X$2:$X$1501,"&lt;="&amp;$A168)+SUMPRODUCT(('Daily Sale entry '!$Q$2:$Q$1501="Collection 收款")*('Daily Sale entry '!$R$2:$R$1501="Cheque 支票")*('Daily Sale entry '!$V$2:$V$1501&lt;&gt;"")*('Daily Sale entry '!$V$2:$V$1501&lt;=$A168)*('Daily Sale entry '!$S$2:$S$1501-'Opening Balance'!$B$15*('Daily Sale entry '!$R$2:$R$1501="Cheque 支票")*('Daily Sale entry '!$S$2:$S$1501-TRUNC('Daily Sale entry '!$S$2:$S$1501))))-'Opening Balance'!$B$15*SUMPRODUCT(('Daily Sale entry '!$X$2:$X$1501&lt;=$A168)*('Daily Sale entry '!$Z$2:$Z$1501="Online collection 网上收款")*('Daily Sale entry '!$AA$2:$AA$1501&lt;&gt;"")*('Daily Sale entry '!$AC$2:$AC$1501-TRUNC('Daily Sale entry '!$AC$2:$AC$1501))),2))</f>
        <v/>
      </c>
      <c r="C168" s="8">
        <f>IF($A168="","",'Opening Balance'!$B$5+SUM('Daily Sale entry '!$I$2:I168)-SUMIFS('Daily Sale entry '!$AB$2:$AB$1501,'Daily Sale entry '!$X$2:$X$1501,"&lt;="&amp;$A168,'Daily Sale entry '!$Z$2:$Z$1501,"Cheque deposit 支票存入")-COUNTIFS('Daily Sale entry '!$Q$2:$Q$1501,"Collection 收款",'Daily Sale entry '!$R$2:$R$1501,"Cheque 支票",'Daily Sale entry '!$V$2:$V$1501,"&lt;="&amp;$A168))</f>
        <v/>
      </c>
      <c r="D168" s="6">
        <f>IF($A168="","",ROUND('Opening Balance'!$B$6+SUM('Daily Sale entry '!$J$2:J168)-SUMIFS('Daily Sale entry '!$AC$2:$AC$1501,'Daily Sale entry '!$X$2:$X$1501,"&lt;="&amp;$A168,'Daily Sale entry '!$Z$2:$Z$1501,"Cheque deposit 支票存入")-SUMPRODUCT(('Daily Sale entry '!$Q$2:$Q$1501="Collection 收款")*('Daily Sale entry '!$R$2:$R$1501="Cheque 支票")*('Daily Sale entry '!$V$2:$V$1501&lt;&gt;"")*('Daily Sale entry '!$V$2:$V$1501&lt;=$A168)*('Daily Sale entry '!$S$2:$S$1501-'Opening Balance'!$B$15*('Daily Sale entry '!$R$2:$R$1501="Cheque 支票")*('Daily Sale entry '!$S$2:$S$1501-TRUNC('Daily Sale entry '!$S$2:$S$1501)))),2))</f>
        <v/>
      </c>
      <c r="E168" s="6">
        <f>IF($A168="","",'Opening Balance'!$B$7)</f>
        <v/>
      </c>
      <c r="F168" s="6">
        <f>IF($A168="","",ROUND(SUMIFS('Daily Sale entry '!$L$2:$L$367,'Daily Sale entry '!$A$2:$A$367,"&gt;="&amp;DATE(YEAR($A168),MONTH($A168),1),'Daily Sale entry '!$A$2:$A$367,"&lt;="&amp;$A168)+SUMIFS('Daily Sale entry '!$M$2:$M$367,'Daily Sale entry '!$A$2:$A$367,"&gt;="&amp;DATE(YEAR($A168),MONTH($A168),1),'Daily Sale entry '!$A$2:$A$367,"&lt;="&amp;$A168)+IF(AND(YEAR($A168)=YEAR('Daily Sale entry '!$A$2),MONTH($A168)=MONTH('Daily Sale entry '!$A$2)),'Opening Balance'!$B$8,0),2))</f>
        <v/>
      </c>
      <c r="G168" s="6">
        <f>IF($A168="","",MOD(ROUND('Opening Balance'!$B$9+SUMIFS('Sales &amp; Collection'!$L$1:$L$2327,'Sales &amp; Collection'!$K$1:$K$2327,"cash collection*"),2),'Opening Balance'!$B$11))</f>
        <v/>
      </c>
      <c r="H168" s="6">
        <f>IF($A168="","",ROUND('Opening Balance'!$B$10+'Opening Balance'!$B$9+SUMIFS('Sales &amp; Collection'!$L$1:$L$2327,'Sales &amp; Collection'!$K$1:$K$2327,"cash collection*")-G168-SUMIFS('Daily Sale entry '!$AC$2:$AC$1501,'Daily Sale entry '!$X$2:$X$1501,"&lt;="&amp;$A168,'Daily Sale entry '!$Z$2:$Z$1501,"Cash deposit 现金存入"),2))</f>
        <v/>
      </c>
      <c r="I168" s="6">
        <f>IF($A168="","",ROUND(B168+D168+E168+F168+G168+H168,2))</f>
        <v/>
      </c>
      <c r="J168" s="6">
        <f>IF($A168="","",'AR &amp; AP'!K169)</f>
        <v/>
      </c>
      <c r="K168" s="6">
        <f>IF($A168="","",ROUND(I168-J168-SUMIFS('Daily Sale entry '!$AC$2:$AC$1501,'Daily Sale entry '!$X$2:$X$1501,"&lt;="&amp;$A168,'Daily Sale entry '!$Z$2:$Z$1501,"Other deposit 其他存入")+SUMIFS('Daily Sale entry '!$AD$2:$AD$1501,'Daily Sale entry '!$X$2:$X$1501,"&lt;="&amp;$A168)+('Opening Balance'!$B$8+SUM('Daily Sale entry '!$L$2:M168)-F168),2))</f>
        <v/>
      </c>
      <c r="L168">
        <f>IF($A168="","",IF(ABS('Sales &amp; Collection'!$B$2336)&gt;'Opening Balance'!$B$16,"ALERT 警报: Different "&amp;TEXT('Sales &amp; Collection'!$B$2336,"#,##0.00")&amp;" 差额过大",""))</f>
        <v/>
      </c>
    </row>
    <row r="169">
      <c r="A169" s="5">
        <f>IF('Daily Sale entry '!A169="","",'Daily Sale entry '!A169)</f>
        <v/>
      </c>
      <c r="B169" s="6">
        <f>IF($A169="","",ROUND('Opening Balance'!$B$4+SUM('Daily Sale entry '!$K$2:K169)+SUMIFS('Daily Sale entry '!$AC$2:$AC$1501,'Daily Sale entry '!$X$2:$X$1501,"&lt;="&amp;$A169)-SUMIFS('Daily Sale entry '!$AD$2:$AD$1501,'Daily Sale entry '!$X$2:$X$1501,"&lt;="&amp;$A169)+SUMPRODUCT(('Daily Sale entry '!$Q$2:$Q$1501="Collection 收款")*('Daily Sale entry '!$R$2:$R$1501="Cheque 支票")*('Daily Sale entry '!$V$2:$V$1501&lt;&gt;"")*('Daily Sale entry '!$V$2:$V$1501&lt;=$A169)*('Daily Sale entry '!$S$2:$S$1501-'Opening Balance'!$B$15*('Daily Sale entry '!$R$2:$R$1501="Cheque 支票")*('Daily Sale entry '!$S$2:$S$1501-TRUNC('Daily Sale entry '!$S$2:$S$1501))))-'Opening Balance'!$B$15*SUMPRODUCT(('Daily Sale entry '!$X$2:$X$1501&lt;=$A169)*('Daily Sale entry '!$Z$2:$Z$1501="Online collection 网上收款")*('Daily Sale entry '!$AA$2:$AA$1501&lt;&gt;"")*('Daily Sale entry '!$AC$2:$AC$1501-TRUNC('Daily Sale entry '!$AC$2:$AC$1501))),2))</f>
        <v/>
      </c>
      <c r="C169" s="8">
        <f>IF($A169="","",'Opening Balance'!$B$5+SUM('Daily Sale entry '!$I$2:I169)-SUMIFS('Daily Sale entry '!$AB$2:$AB$1501,'Daily Sale entry '!$X$2:$X$1501,"&lt;="&amp;$A169,'Daily Sale entry '!$Z$2:$Z$1501,"Cheque deposit 支票存入")-COUNTIFS('Daily Sale entry '!$Q$2:$Q$1501,"Collection 收款",'Daily Sale entry '!$R$2:$R$1501,"Cheque 支票",'Daily Sale entry '!$V$2:$V$1501,"&lt;="&amp;$A169))</f>
        <v/>
      </c>
      <c r="D169" s="6">
        <f>IF($A169="","",ROUND('Opening Balance'!$B$6+SUM('Daily Sale entry '!$J$2:J169)-SUMIFS('Daily Sale entry '!$AC$2:$AC$1501,'Daily Sale entry '!$X$2:$X$1501,"&lt;="&amp;$A169,'Daily Sale entry '!$Z$2:$Z$1501,"Cheque deposit 支票存入")-SUMPRODUCT(('Daily Sale entry '!$Q$2:$Q$1501="Collection 收款")*('Daily Sale entry '!$R$2:$R$1501="Cheque 支票")*('Daily Sale entry '!$V$2:$V$1501&lt;&gt;"")*('Daily Sale entry '!$V$2:$V$1501&lt;=$A169)*('Daily Sale entry '!$S$2:$S$1501-'Opening Balance'!$B$15*('Daily Sale entry '!$R$2:$R$1501="Cheque 支票")*('Daily Sale entry '!$S$2:$S$1501-TRUNC('Daily Sale entry '!$S$2:$S$1501)))),2))</f>
        <v/>
      </c>
      <c r="E169" s="6">
        <f>IF($A169="","",'Opening Balance'!$B$7)</f>
        <v/>
      </c>
      <c r="F169" s="6">
        <f>IF($A169="","",ROUND(SUMIFS('Daily Sale entry '!$L$2:$L$367,'Daily Sale entry '!$A$2:$A$367,"&gt;="&amp;DATE(YEAR($A169),MONTH($A169),1),'Daily Sale entry '!$A$2:$A$367,"&lt;="&amp;$A169)+SUMIFS('Daily Sale entry '!$M$2:$M$367,'Daily Sale entry '!$A$2:$A$367,"&gt;="&amp;DATE(YEAR($A169),MONTH($A169),1),'Daily Sale entry '!$A$2:$A$367,"&lt;="&amp;$A169)+IF(AND(YEAR($A169)=YEAR('Daily Sale entry '!$A$2),MONTH($A169)=MONTH('Daily Sale entry '!$A$2)),'Opening Balance'!$B$8,0),2))</f>
        <v/>
      </c>
      <c r="G169" s="6">
        <f>IF($A169="","",MOD(ROUND('Opening Balance'!$B$9+SUMIFS('Sales &amp; Collection'!$L$1:$L$2341,'Sales &amp; Collection'!$K$1:$K$2341,"cash collection*"),2),'Opening Balance'!$B$11))</f>
        <v/>
      </c>
      <c r="H169" s="6">
        <f>IF($A169="","",ROUND('Opening Balance'!$B$10+'Opening Balance'!$B$9+SUMIFS('Sales &amp; Collection'!$L$1:$L$2341,'Sales &amp; Collection'!$K$1:$K$2341,"cash collection*")-G169-SUMIFS('Daily Sale entry '!$AC$2:$AC$1501,'Daily Sale entry '!$X$2:$X$1501,"&lt;="&amp;$A169,'Daily Sale entry '!$Z$2:$Z$1501,"Cash deposit 现金存入"),2))</f>
        <v/>
      </c>
      <c r="I169" s="6">
        <f>IF($A169="","",ROUND(B169+D169+E169+F169+G169+H169,2))</f>
        <v/>
      </c>
      <c r="J169" s="6">
        <f>IF($A169="","",'AR &amp; AP'!K170)</f>
        <v/>
      </c>
      <c r="K169" s="6">
        <f>IF($A169="","",ROUND(I169-J169-SUMIFS('Daily Sale entry '!$AC$2:$AC$1501,'Daily Sale entry '!$X$2:$X$1501,"&lt;="&amp;$A169,'Daily Sale entry '!$Z$2:$Z$1501,"Other deposit 其他存入")+SUMIFS('Daily Sale entry '!$AD$2:$AD$1501,'Daily Sale entry '!$X$2:$X$1501,"&lt;="&amp;$A169)+('Opening Balance'!$B$8+SUM('Daily Sale entry '!$L$2:M169)-F169),2))</f>
        <v/>
      </c>
      <c r="L169">
        <f>IF($A169="","",IF(ABS('Sales &amp; Collection'!$B$2350)&gt;'Opening Balance'!$B$16,"ALERT 警报: Different "&amp;TEXT('Sales &amp; Collection'!$B$2350,"#,##0.00")&amp;" 差额过大",""))</f>
        <v/>
      </c>
    </row>
    <row r="170">
      <c r="A170" s="5">
        <f>IF('Daily Sale entry '!A170="","",'Daily Sale entry '!A170)</f>
        <v/>
      </c>
      <c r="B170" s="6">
        <f>IF($A170="","",ROUND('Opening Balance'!$B$4+SUM('Daily Sale entry '!$K$2:K170)+SUMIFS('Daily Sale entry '!$AC$2:$AC$1501,'Daily Sale entry '!$X$2:$X$1501,"&lt;="&amp;$A170)-SUMIFS('Daily Sale entry '!$AD$2:$AD$1501,'Daily Sale entry '!$X$2:$X$1501,"&lt;="&amp;$A170)+SUMPRODUCT(('Daily Sale entry '!$Q$2:$Q$1501="Collection 收款")*('Daily Sale entry '!$R$2:$R$1501="Cheque 支票")*('Daily Sale entry '!$V$2:$V$1501&lt;&gt;"")*('Daily Sale entry '!$V$2:$V$1501&lt;=$A170)*('Daily Sale entry '!$S$2:$S$1501-'Opening Balance'!$B$15*('Daily Sale entry '!$R$2:$R$1501="Cheque 支票")*('Daily Sale entry '!$S$2:$S$1501-TRUNC('Daily Sale entry '!$S$2:$S$1501))))-'Opening Balance'!$B$15*SUMPRODUCT(('Daily Sale entry '!$X$2:$X$1501&lt;=$A170)*('Daily Sale entry '!$Z$2:$Z$1501="Online collection 网上收款")*('Daily Sale entry '!$AA$2:$AA$1501&lt;&gt;"")*('Daily Sale entry '!$AC$2:$AC$1501-TRUNC('Daily Sale entry '!$AC$2:$AC$1501))),2))</f>
        <v/>
      </c>
      <c r="C170" s="8">
        <f>IF($A170="","",'Opening Balance'!$B$5+SUM('Daily Sale entry '!$I$2:I170)-SUMIFS('Daily Sale entry '!$AB$2:$AB$1501,'Daily Sale entry '!$X$2:$X$1501,"&lt;="&amp;$A170,'Daily Sale entry '!$Z$2:$Z$1501,"Cheque deposit 支票存入")-COUNTIFS('Daily Sale entry '!$Q$2:$Q$1501,"Collection 收款",'Daily Sale entry '!$R$2:$R$1501,"Cheque 支票",'Daily Sale entry '!$V$2:$V$1501,"&lt;="&amp;$A170))</f>
        <v/>
      </c>
      <c r="D170" s="6">
        <f>IF($A170="","",ROUND('Opening Balance'!$B$6+SUM('Daily Sale entry '!$J$2:J170)-SUMIFS('Daily Sale entry '!$AC$2:$AC$1501,'Daily Sale entry '!$X$2:$X$1501,"&lt;="&amp;$A170,'Daily Sale entry '!$Z$2:$Z$1501,"Cheque deposit 支票存入")-SUMPRODUCT(('Daily Sale entry '!$Q$2:$Q$1501="Collection 收款")*('Daily Sale entry '!$R$2:$R$1501="Cheque 支票")*('Daily Sale entry '!$V$2:$V$1501&lt;&gt;"")*('Daily Sale entry '!$V$2:$V$1501&lt;=$A170)*('Daily Sale entry '!$S$2:$S$1501-'Opening Balance'!$B$15*('Daily Sale entry '!$R$2:$R$1501="Cheque 支票")*('Daily Sale entry '!$S$2:$S$1501-TRUNC('Daily Sale entry '!$S$2:$S$1501)))),2))</f>
        <v/>
      </c>
      <c r="E170" s="6">
        <f>IF($A170="","",'Opening Balance'!$B$7)</f>
        <v/>
      </c>
      <c r="F170" s="6">
        <f>IF($A170="","",ROUND(SUMIFS('Daily Sale entry '!$L$2:$L$367,'Daily Sale entry '!$A$2:$A$367,"&gt;="&amp;DATE(YEAR($A170),MONTH($A170),1),'Daily Sale entry '!$A$2:$A$367,"&lt;="&amp;$A170)+SUMIFS('Daily Sale entry '!$M$2:$M$367,'Daily Sale entry '!$A$2:$A$367,"&gt;="&amp;DATE(YEAR($A170),MONTH($A170),1),'Daily Sale entry '!$A$2:$A$367,"&lt;="&amp;$A170)+IF(AND(YEAR($A170)=YEAR('Daily Sale entry '!$A$2),MONTH($A170)=MONTH('Daily Sale entry '!$A$2)),'Opening Balance'!$B$8,0),2))</f>
        <v/>
      </c>
      <c r="G170" s="6">
        <f>IF($A170="","",MOD(ROUND('Opening Balance'!$B$9+SUMIFS('Sales &amp; Collection'!$L$1:$L$2355,'Sales &amp; Collection'!$K$1:$K$2355,"cash collection*"),2),'Opening Balance'!$B$11))</f>
        <v/>
      </c>
      <c r="H170" s="6">
        <f>IF($A170="","",ROUND('Opening Balance'!$B$10+'Opening Balance'!$B$9+SUMIFS('Sales &amp; Collection'!$L$1:$L$2355,'Sales &amp; Collection'!$K$1:$K$2355,"cash collection*")-G170-SUMIFS('Daily Sale entry '!$AC$2:$AC$1501,'Daily Sale entry '!$X$2:$X$1501,"&lt;="&amp;$A170,'Daily Sale entry '!$Z$2:$Z$1501,"Cash deposit 现金存入"),2))</f>
        <v/>
      </c>
      <c r="I170" s="6">
        <f>IF($A170="","",ROUND(B170+D170+E170+F170+G170+H170,2))</f>
        <v/>
      </c>
      <c r="J170" s="6">
        <f>IF($A170="","",'AR &amp; AP'!K171)</f>
        <v/>
      </c>
      <c r="K170" s="6">
        <f>IF($A170="","",ROUND(I170-J170-SUMIFS('Daily Sale entry '!$AC$2:$AC$1501,'Daily Sale entry '!$X$2:$X$1501,"&lt;="&amp;$A170,'Daily Sale entry '!$Z$2:$Z$1501,"Other deposit 其他存入")+SUMIFS('Daily Sale entry '!$AD$2:$AD$1501,'Daily Sale entry '!$X$2:$X$1501,"&lt;="&amp;$A170)+('Opening Balance'!$B$8+SUM('Daily Sale entry '!$L$2:M170)-F170),2))</f>
        <v/>
      </c>
      <c r="L170">
        <f>IF($A170="","",IF(ABS('Sales &amp; Collection'!$B$2364)&gt;'Opening Balance'!$B$16,"ALERT 警报: Different "&amp;TEXT('Sales &amp; Collection'!$B$2364,"#,##0.00")&amp;" 差额过大",""))</f>
        <v/>
      </c>
    </row>
    <row r="171">
      <c r="A171" s="5">
        <f>IF('Daily Sale entry '!A171="","",'Daily Sale entry '!A171)</f>
        <v/>
      </c>
      <c r="B171" s="6">
        <f>IF($A171="","",ROUND('Opening Balance'!$B$4+SUM('Daily Sale entry '!$K$2:K171)+SUMIFS('Daily Sale entry '!$AC$2:$AC$1501,'Daily Sale entry '!$X$2:$X$1501,"&lt;="&amp;$A171)-SUMIFS('Daily Sale entry '!$AD$2:$AD$1501,'Daily Sale entry '!$X$2:$X$1501,"&lt;="&amp;$A171)+SUMPRODUCT(('Daily Sale entry '!$Q$2:$Q$1501="Collection 收款")*('Daily Sale entry '!$R$2:$R$1501="Cheque 支票")*('Daily Sale entry '!$V$2:$V$1501&lt;&gt;"")*('Daily Sale entry '!$V$2:$V$1501&lt;=$A171)*('Daily Sale entry '!$S$2:$S$1501-'Opening Balance'!$B$15*('Daily Sale entry '!$R$2:$R$1501="Cheque 支票")*('Daily Sale entry '!$S$2:$S$1501-TRUNC('Daily Sale entry '!$S$2:$S$1501))))-'Opening Balance'!$B$15*SUMPRODUCT(('Daily Sale entry '!$X$2:$X$1501&lt;=$A171)*('Daily Sale entry '!$Z$2:$Z$1501="Online collection 网上收款")*('Daily Sale entry '!$AA$2:$AA$1501&lt;&gt;"")*('Daily Sale entry '!$AC$2:$AC$1501-TRUNC('Daily Sale entry '!$AC$2:$AC$1501))),2))</f>
        <v/>
      </c>
      <c r="C171" s="8">
        <f>IF($A171="","",'Opening Balance'!$B$5+SUM('Daily Sale entry '!$I$2:I171)-SUMIFS('Daily Sale entry '!$AB$2:$AB$1501,'Daily Sale entry '!$X$2:$X$1501,"&lt;="&amp;$A171,'Daily Sale entry '!$Z$2:$Z$1501,"Cheque deposit 支票存入")-COUNTIFS('Daily Sale entry '!$Q$2:$Q$1501,"Collection 收款",'Daily Sale entry '!$R$2:$R$1501,"Cheque 支票",'Daily Sale entry '!$V$2:$V$1501,"&lt;="&amp;$A171))</f>
        <v/>
      </c>
      <c r="D171" s="6">
        <f>IF($A171="","",ROUND('Opening Balance'!$B$6+SUM('Daily Sale entry '!$J$2:J171)-SUMIFS('Daily Sale entry '!$AC$2:$AC$1501,'Daily Sale entry '!$X$2:$X$1501,"&lt;="&amp;$A171,'Daily Sale entry '!$Z$2:$Z$1501,"Cheque deposit 支票存入")-SUMPRODUCT(('Daily Sale entry '!$Q$2:$Q$1501="Collection 收款")*('Daily Sale entry '!$R$2:$R$1501="Cheque 支票")*('Daily Sale entry '!$V$2:$V$1501&lt;&gt;"")*('Daily Sale entry '!$V$2:$V$1501&lt;=$A171)*('Daily Sale entry '!$S$2:$S$1501-'Opening Balance'!$B$15*('Daily Sale entry '!$R$2:$R$1501="Cheque 支票")*('Daily Sale entry '!$S$2:$S$1501-TRUNC('Daily Sale entry '!$S$2:$S$1501)))),2))</f>
        <v/>
      </c>
      <c r="E171" s="6">
        <f>IF($A171="","",'Opening Balance'!$B$7)</f>
        <v/>
      </c>
      <c r="F171" s="6">
        <f>IF($A171="","",ROUND(SUMIFS('Daily Sale entry '!$L$2:$L$367,'Daily Sale entry '!$A$2:$A$367,"&gt;="&amp;DATE(YEAR($A171),MONTH($A171),1),'Daily Sale entry '!$A$2:$A$367,"&lt;="&amp;$A171)+SUMIFS('Daily Sale entry '!$M$2:$M$367,'Daily Sale entry '!$A$2:$A$367,"&gt;="&amp;DATE(YEAR($A171),MONTH($A171),1),'Daily Sale entry '!$A$2:$A$367,"&lt;="&amp;$A171)+IF(AND(YEAR($A171)=YEAR('Daily Sale entry '!$A$2),MONTH($A171)=MONTH('Daily Sale entry '!$A$2)),'Opening Balance'!$B$8,0),2))</f>
        <v/>
      </c>
      <c r="G171" s="6">
        <f>IF($A171="","",MOD(ROUND('Opening Balance'!$B$9+SUMIFS('Sales &amp; Collection'!$L$1:$L$2369,'Sales &amp; Collection'!$K$1:$K$2369,"cash collection*"),2),'Opening Balance'!$B$11))</f>
        <v/>
      </c>
      <c r="H171" s="6">
        <f>IF($A171="","",ROUND('Opening Balance'!$B$10+'Opening Balance'!$B$9+SUMIFS('Sales &amp; Collection'!$L$1:$L$2369,'Sales &amp; Collection'!$K$1:$K$2369,"cash collection*")-G171-SUMIFS('Daily Sale entry '!$AC$2:$AC$1501,'Daily Sale entry '!$X$2:$X$1501,"&lt;="&amp;$A171,'Daily Sale entry '!$Z$2:$Z$1501,"Cash deposit 现金存入"),2))</f>
        <v/>
      </c>
      <c r="I171" s="6">
        <f>IF($A171="","",ROUND(B171+D171+E171+F171+G171+H171,2))</f>
        <v/>
      </c>
      <c r="J171" s="6">
        <f>IF($A171="","",'AR &amp; AP'!K172)</f>
        <v/>
      </c>
      <c r="K171" s="6">
        <f>IF($A171="","",ROUND(I171-J171-SUMIFS('Daily Sale entry '!$AC$2:$AC$1501,'Daily Sale entry '!$X$2:$X$1501,"&lt;="&amp;$A171,'Daily Sale entry '!$Z$2:$Z$1501,"Other deposit 其他存入")+SUMIFS('Daily Sale entry '!$AD$2:$AD$1501,'Daily Sale entry '!$X$2:$X$1501,"&lt;="&amp;$A171)+('Opening Balance'!$B$8+SUM('Daily Sale entry '!$L$2:M171)-F171),2))</f>
        <v/>
      </c>
      <c r="L171">
        <f>IF($A171="","",IF(ABS('Sales &amp; Collection'!$B$2378)&gt;'Opening Balance'!$B$16,"ALERT 警报: Different "&amp;TEXT('Sales &amp; Collection'!$B$2378,"#,##0.00")&amp;" 差额过大",""))</f>
        <v/>
      </c>
    </row>
    <row r="172">
      <c r="A172" s="5">
        <f>IF('Daily Sale entry '!A172="","",'Daily Sale entry '!A172)</f>
        <v/>
      </c>
      <c r="B172" s="6">
        <f>IF($A172="","",ROUND('Opening Balance'!$B$4+SUM('Daily Sale entry '!$K$2:K172)+SUMIFS('Daily Sale entry '!$AC$2:$AC$1501,'Daily Sale entry '!$X$2:$X$1501,"&lt;="&amp;$A172)-SUMIFS('Daily Sale entry '!$AD$2:$AD$1501,'Daily Sale entry '!$X$2:$X$1501,"&lt;="&amp;$A172)+SUMPRODUCT(('Daily Sale entry '!$Q$2:$Q$1501="Collection 收款")*('Daily Sale entry '!$R$2:$R$1501="Cheque 支票")*('Daily Sale entry '!$V$2:$V$1501&lt;&gt;"")*('Daily Sale entry '!$V$2:$V$1501&lt;=$A172)*('Daily Sale entry '!$S$2:$S$1501-'Opening Balance'!$B$15*('Daily Sale entry '!$R$2:$R$1501="Cheque 支票")*('Daily Sale entry '!$S$2:$S$1501-TRUNC('Daily Sale entry '!$S$2:$S$1501))))-'Opening Balance'!$B$15*SUMPRODUCT(('Daily Sale entry '!$X$2:$X$1501&lt;=$A172)*('Daily Sale entry '!$Z$2:$Z$1501="Online collection 网上收款")*('Daily Sale entry '!$AA$2:$AA$1501&lt;&gt;"")*('Daily Sale entry '!$AC$2:$AC$1501-TRUNC('Daily Sale entry '!$AC$2:$AC$1501))),2))</f>
        <v/>
      </c>
      <c r="C172" s="8">
        <f>IF($A172="","",'Opening Balance'!$B$5+SUM('Daily Sale entry '!$I$2:I172)-SUMIFS('Daily Sale entry '!$AB$2:$AB$1501,'Daily Sale entry '!$X$2:$X$1501,"&lt;="&amp;$A172,'Daily Sale entry '!$Z$2:$Z$1501,"Cheque deposit 支票存入")-COUNTIFS('Daily Sale entry '!$Q$2:$Q$1501,"Collection 收款",'Daily Sale entry '!$R$2:$R$1501,"Cheque 支票",'Daily Sale entry '!$V$2:$V$1501,"&lt;="&amp;$A172))</f>
        <v/>
      </c>
      <c r="D172" s="6">
        <f>IF($A172="","",ROUND('Opening Balance'!$B$6+SUM('Daily Sale entry '!$J$2:J172)-SUMIFS('Daily Sale entry '!$AC$2:$AC$1501,'Daily Sale entry '!$X$2:$X$1501,"&lt;="&amp;$A172,'Daily Sale entry '!$Z$2:$Z$1501,"Cheque deposit 支票存入")-SUMPRODUCT(('Daily Sale entry '!$Q$2:$Q$1501="Collection 收款")*('Daily Sale entry '!$R$2:$R$1501="Cheque 支票")*('Daily Sale entry '!$V$2:$V$1501&lt;&gt;"")*('Daily Sale entry '!$V$2:$V$1501&lt;=$A172)*('Daily Sale entry '!$S$2:$S$1501-'Opening Balance'!$B$15*('Daily Sale entry '!$R$2:$R$1501="Cheque 支票")*('Daily Sale entry '!$S$2:$S$1501-TRUNC('Daily Sale entry '!$S$2:$S$1501)))),2))</f>
        <v/>
      </c>
      <c r="E172" s="6">
        <f>IF($A172="","",'Opening Balance'!$B$7)</f>
        <v/>
      </c>
      <c r="F172" s="6">
        <f>IF($A172="","",ROUND(SUMIFS('Daily Sale entry '!$L$2:$L$367,'Daily Sale entry '!$A$2:$A$367,"&gt;="&amp;DATE(YEAR($A172),MONTH($A172),1),'Daily Sale entry '!$A$2:$A$367,"&lt;="&amp;$A172)+SUMIFS('Daily Sale entry '!$M$2:$M$367,'Daily Sale entry '!$A$2:$A$367,"&gt;="&amp;DATE(YEAR($A172),MONTH($A172),1),'Daily Sale entry '!$A$2:$A$367,"&lt;="&amp;$A172)+IF(AND(YEAR($A172)=YEAR('Daily Sale entry '!$A$2),MONTH($A172)=MONTH('Daily Sale entry '!$A$2)),'Opening Balance'!$B$8,0),2))</f>
        <v/>
      </c>
      <c r="G172" s="6">
        <f>IF($A172="","",MOD(ROUND('Opening Balance'!$B$9+SUMIFS('Sales &amp; Collection'!$L$1:$L$2383,'Sales &amp; Collection'!$K$1:$K$2383,"cash collection*"),2),'Opening Balance'!$B$11))</f>
        <v/>
      </c>
      <c r="H172" s="6">
        <f>IF($A172="","",ROUND('Opening Balance'!$B$10+'Opening Balance'!$B$9+SUMIFS('Sales &amp; Collection'!$L$1:$L$2383,'Sales &amp; Collection'!$K$1:$K$2383,"cash collection*")-G172-SUMIFS('Daily Sale entry '!$AC$2:$AC$1501,'Daily Sale entry '!$X$2:$X$1501,"&lt;="&amp;$A172,'Daily Sale entry '!$Z$2:$Z$1501,"Cash deposit 现金存入"),2))</f>
        <v/>
      </c>
      <c r="I172" s="6">
        <f>IF($A172="","",ROUND(B172+D172+E172+F172+G172+H172,2))</f>
        <v/>
      </c>
      <c r="J172" s="6">
        <f>IF($A172="","",'AR &amp; AP'!K173)</f>
        <v/>
      </c>
      <c r="K172" s="6">
        <f>IF($A172="","",ROUND(I172-J172-SUMIFS('Daily Sale entry '!$AC$2:$AC$1501,'Daily Sale entry '!$X$2:$X$1501,"&lt;="&amp;$A172,'Daily Sale entry '!$Z$2:$Z$1501,"Other deposit 其他存入")+SUMIFS('Daily Sale entry '!$AD$2:$AD$1501,'Daily Sale entry '!$X$2:$X$1501,"&lt;="&amp;$A172)+('Opening Balance'!$B$8+SUM('Daily Sale entry '!$L$2:M172)-F172),2))</f>
        <v/>
      </c>
      <c r="L172">
        <f>IF($A172="","",IF(ABS('Sales &amp; Collection'!$B$2392)&gt;'Opening Balance'!$B$16,"ALERT 警报: Different "&amp;TEXT('Sales &amp; Collection'!$B$2392,"#,##0.00")&amp;" 差额过大",""))</f>
        <v/>
      </c>
    </row>
    <row r="173">
      <c r="A173" s="5">
        <f>IF('Daily Sale entry '!A173="","",'Daily Sale entry '!A173)</f>
        <v/>
      </c>
      <c r="B173" s="6">
        <f>IF($A173="","",ROUND('Opening Balance'!$B$4+SUM('Daily Sale entry '!$K$2:K173)+SUMIFS('Daily Sale entry '!$AC$2:$AC$1501,'Daily Sale entry '!$X$2:$X$1501,"&lt;="&amp;$A173)-SUMIFS('Daily Sale entry '!$AD$2:$AD$1501,'Daily Sale entry '!$X$2:$X$1501,"&lt;="&amp;$A173)+SUMPRODUCT(('Daily Sale entry '!$Q$2:$Q$1501="Collection 收款")*('Daily Sale entry '!$R$2:$R$1501="Cheque 支票")*('Daily Sale entry '!$V$2:$V$1501&lt;&gt;"")*('Daily Sale entry '!$V$2:$V$1501&lt;=$A173)*('Daily Sale entry '!$S$2:$S$1501-'Opening Balance'!$B$15*('Daily Sale entry '!$R$2:$R$1501="Cheque 支票")*('Daily Sale entry '!$S$2:$S$1501-TRUNC('Daily Sale entry '!$S$2:$S$1501))))-'Opening Balance'!$B$15*SUMPRODUCT(('Daily Sale entry '!$X$2:$X$1501&lt;=$A173)*('Daily Sale entry '!$Z$2:$Z$1501="Online collection 网上收款")*('Daily Sale entry '!$AA$2:$AA$1501&lt;&gt;"")*('Daily Sale entry '!$AC$2:$AC$1501-TRUNC('Daily Sale entry '!$AC$2:$AC$1501))),2))</f>
        <v/>
      </c>
      <c r="C173" s="8">
        <f>IF($A173="","",'Opening Balance'!$B$5+SUM('Daily Sale entry '!$I$2:I173)-SUMIFS('Daily Sale entry '!$AB$2:$AB$1501,'Daily Sale entry '!$X$2:$X$1501,"&lt;="&amp;$A173,'Daily Sale entry '!$Z$2:$Z$1501,"Cheque deposit 支票存入")-COUNTIFS('Daily Sale entry '!$Q$2:$Q$1501,"Collection 收款",'Daily Sale entry '!$R$2:$R$1501,"Cheque 支票",'Daily Sale entry '!$V$2:$V$1501,"&lt;="&amp;$A173))</f>
        <v/>
      </c>
      <c r="D173" s="6">
        <f>IF($A173="","",ROUND('Opening Balance'!$B$6+SUM('Daily Sale entry '!$J$2:J173)-SUMIFS('Daily Sale entry '!$AC$2:$AC$1501,'Daily Sale entry '!$X$2:$X$1501,"&lt;="&amp;$A173,'Daily Sale entry '!$Z$2:$Z$1501,"Cheque deposit 支票存入")-SUMPRODUCT(('Daily Sale entry '!$Q$2:$Q$1501="Collection 收款")*('Daily Sale entry '!$R$2:$R$1501="Cheque 支票")*('Daily Sale entry '!$V$2:$V$1501&lt;&gt;"")*('Daily Sale entry '!$V$2:$V$1501&lt;=$A173)*('Daily Sale entry '!$S$2:$S$1501-'Opening Balance'!$B$15*('Daily Sale entry '!$R$2:$R$1501="Cheque 支票")*('Daily Sale entry '!$S$2:$S$1501-TRUNC('Daily Sale entry '!$S$2:$S$1501)))),2))</f>
        <v/>
      </c>
      <c r="E173" s="6">
        <f>IF($A173="","",'Opening Balance'!$B$7)</f>
        <v/>
      </c>
      <c r="F173" s="6">
        <f>IF($A173="","",ROUND(SUMIFS('Daily Sale entry '!$L$2:$L$367,'Daily Sale entry '!$A$2:$A$367,"&gt;="&amp;DATE(YEAR($A173),MONTH($A173),1),'Daily Sale entry '!$A$2:$A$367,"&lt;="&amp;$A173)+SUMIFS('Daily Sale entry '!$M$2:$M$367,'Daily Sale entry '!$A$2:$A$367,"&gt;="&amp;DATE(YEAR($A173),MONTH($A173),1),'Daily Sale entry '!$A$2:$A$367,"&lt;="&amp;$A173)+IF(AND(YEAR($A173)=YEAR('Daily Sale entry '!$A$2),MONTH($A173)=MONTH('Daily Sale entry '!$A$2)),'Opening Balance'!$B$8,0),2))</f>
        <v/>
      </c>
      <c r="G173" s="6">
        <f>IF($A173="","",MOD(ROUND('Opening Balance'!$B$9+SUMIFS('Sales &amp; Collection'!$L$1:$L$2397,'Sales &amp; Collection'!$K$1:$K$2397,"cash collection*"),2),'Opening Balance'!$B$11))</f>
        <v/>
      </c>
      <c r="H173" s="6">
        <f>IF($A173="","",ROUND('Opening Balance'!$B$10+'Opening Balance'!$B$9+SUMIFS('Sales &amp; Collection'!$L$1:$L$2397,'Sales &amp; Collection'!$K$1:$K$2397,"cash collection*")-G173-SUMIFS('Daily Sale entry '!$AC$2:$AC$1501,'Daily Sale entry '!$X$2:$X$1501,"&lt;="&amp;$A173,'Daily Sale entry '!$Z$2:$Z$1501,"Cash deposit 现金存入"),2))</f>
        <v/>
      </c>
      <c r="I173" s="6">
        <f>IF($A173="","",ROUND(B173+D173+E173+F173+G173+H173,2))</f>
        <v/>
      </c>
      <c r="J173" s="6">
        <f>IF($A173="","",'AR &amp; AP'!K174)</f>
        <v/>
      </c>
      <c r="K173" s="6">
        <f>IF($A173="","",ROUND(I173-J173-SUMIFS('Daily Sale entry '!$AC$2:$AC$1501,'Daily Sale entry '!$X$2:$X$1501,"&lt;="&amp;$A173,'Daily Sale entry '!$Z$2:$Z$1501,"Other deposit 其他存入")+SUMIFS('Daily Sale entry '!$AD$2:$AD$1501,'Daily Sale entry '!$X$2:$X$1501,"&lt;="&amp;$A173)+('Opening Balance'!$B$8+SUM('Daily Sale entry '!$L$2:M173)-F173),2))</f>
        <v/>
      </c>
      <c r="L173">
        <f>IF($A173="","",IF(ABS('Sales &amp; Collection'!$B$2406)&gt;'Opening Balance'!$B$16,"ALERT 警报: Different "&amp;TEXT('Sales &amp; Collection'!$B$2406,"#,##0.00")&amp;" 差额过大",""))</f>
        <v/>
      </c>
    </row>
    <row r="174">
      <c r="A174" s="5">
        <f>IF('Daily Sale entry '!A174="","",'Daily Sale entry '!A174)</f>
        <v/>
      </c>
      <c r="B174" s="6">
        <f>IF($A174="","",ROUND('Opening Balance'!$B$4+SUM('Daily Sale entry '!$K$2:K174)+SUMIFS('Daily Sale entry '!$AC$2:$AC$1501,'Daily Sale entry '!$X$2:$X$1501,"&lt;="&amp;$A174)-SUMIFS('Daily Sale entry '!$AD$2:$AD$1501,'Daily Sale entry '!$X$2:$X$1501,"&lt;="&amp;$A174)+SUMPRODUCT(('Daily Sale entry '!$Q$2:$Q$1501="Collection 收款")*('Daily Sale entry '!$R$2:$R$1501="Cheque 支票")*('Daily Sale entry '!$V$2:$V$1501&lt;&gt;"")*('Daily Sale entry '!$V$2:$V$1501&lt;=$A174)*('Daily Sale entry '!$S$2:$S$1501-'Opening Balance'!$B$15*('Daily Sale entry '!$R$2:$R$1501="Cheque 支票")*('Daily Sale entry '!$S$2:$S$1501-TRUNC('Daily Sale entry '!$S$2:$S$1501))))-'Opening Balance'!$B$15*SUMPRODUCT(('Daily Sale entry '!$X$2:$X$1501&lt;=$A174)*('Daily Sale entry '!$Z$2:$Z$1501="Online collection 网上收款")*('Daily Sale entry '!$AA$2:$AA$1501&lt;&gt;"")*('Daily Sale entry '!$AC$2:$AC$1501-TRUNC('Daily Sale entry '!$AC$2:$AC$1501))),2))</f>
        <v/>
      </c>
      <c r="C174" s="8">
        <f>IF($A174="","",'Opening Balance'!$B$5+SUM('Daily Sale entry '!$I$2:I174)-SUMIFS('Daily Sale entry '!$AB$2:$AB$1501,'Daily Sale entry '!$X$2:$X$1501,"&lt;="&amp;$A174,'Daily Sale entry '!$Z$2:$Z$1501,"Cheque deposit 支票存入")-COUNTIFS('Daily Sale entry '!$Q$2:$Q$1501,"Collection 收款",'Daily Sale entry '!$R$2:$R$1501,"Cheque 支票",'Daily Sale entry '!$V$2:$V$1501,"&lt;="&amp;$A174))</f>
        <v/>
      </c>
      <c r="D174" s="6">
        <f>IF($A174="","",ROUND('Opening Balance'!$B$6+SUM('Daily Sale entry '!$J$2:J174)-SUMIFS('Daily Sale entry '!$AC$2:$AC$1501,'Daily Sale entry '!$X$2:$X$1501,"&lt;="&amp;$A174,'Daily Sale entry '!$Z$2:$Z$1501,"Cheque deposit 支票存入")-SUMPRODUCT(('Daily Sale entry '!$Q$2:$Q$1501="Collection 收款")*('Daily Sale entry '!$R$2:$R$1501="Cheque 支票")*('Daily Sale entry '!$V$2:$V$1501&lt;&gt;"")*('Daily Sale entry '!$V$2:$V$1501&lt;=$A174)*('Daily Sale entry '!$S$2:$S$1501-'Opening Balance'!$B$15*('Daily Sale entry '!$R$2:$R$1501="Cheque 支票")*('Daily Sale entry '!$S$2:$S$1501-TRUNC('Daily Sale entry '!$S$2:$S$1501)))),2))</f>
        <v/>
      </c>
      <c r="E174" s="6">
        <f>IF($A174="","",'Opening Balance'!$B$7)</f>
        <v/>
      </c>
      <c r="F174" s="6">
        <f>IF($A174="","",ROUND(SUMIFS('Daily Sale entry '!$L$2:$L$367,'Daily Sale entry '!$A$2:$A$367,"&gt;="&amp;DATE(YEAR($A174),MONTH($A174),1),'Daily Sale entry '!$A$2:$A$367,"&lt;="&amp;$A174)+SUMIFS('Daily Sale entry '!$M$2:$M$367,'Daily Sale entry '!$A$2:$A$367,"&gt;="&amp;DATE(YEAR($A174),MONTH($A174),1),'Daily Sale entry '!$A$2:$A$367,"&lt;="&amp;$A174)+IF(AND(YEAR($A174)=YEAR('Daily Sale entry '!$A$2),MONTH($A174)=MONTH('Daily Sale entry '!$A$2)),'Opening Balance'!$B$8,0),2))</f>
        <v/>
      </c>
      <c r="G174" s="6">
        <f>IF($A174="","",MOD(ROUND('Opening Balance'!$B$9+SUMIFS('Sales &amp; Collection'!$L$1:$L$2411,'Sales &amp; Collection'!$K$1:$K$2411,"cash collection*"),2),'Opening Balance'!$B$11))</f>
        <v/>
      </c>
      <c r="H174" s="6">
        <f>IF($A174="","",ROUND('Opening Balance'!$B$10+'Opening Balance'!$B$9+SUMIFS('Sales &amp; Collection'!$L$1:$L$2411,'Sales &amp; Collection'!$K$1:$K$2411,"cash collection*")-G174-SUMIFS('Daily Sale entry '!$AC$2:$AC$1501,'Daily Sale entry '!$X$2:$X$1501,"&lt;="&amp;$A174,'Daily Sale entry '!$Z$2:$Z$1501,"Cash deposit 现金存入"),2))</f>
        <v/>
      </c>
      <c r="I174" s="6">
        <f>IF($A174="","",ROUND(B174+D174+E174+F174+G174+H174,2))</f>
        <v/>
      </c>
      <c r="J174" s="6">
        <f>IF($A174="","",'AR &amp; AP'!K175)</f>
        <v/>
      </c>
      <c r="K174" s="6">
        <f>IF($A174="","",ROUND(I174-J174-SUMIFS('Daily Sale entry '!$AC$2:$AC$1501,'Daily Sale entry '!$X$2:$X$1501,"&lt;="&amp;$A174,'Daily Sale entry '!$Z$2:$Z$1501,"Other deposit 其他存入")+SUMIFS('Daily Sale entry '!$AD$2:$AD$1501,'Daily Sale entry '!$X$2:$X$1501,"&lt;="&amp;$A174)+('Opening Balance'!$B$8+SUM('Daily Sale entry '!$L$2:M174)-F174),2))</f>
        <v/>
      </c>
      <c r="L174">
        <f>IF($A174="","",IF(ABS('Sales &amp; Collection'!$B$2420)&gt;'Opening Balance'!$B$16,"ALERT 警报: Different "&amp;TEXT('Sales &amp; Collection'!$B$2420,"#,##0.00")&amp;" 差额过大",""))</f>
        <v/>
      </c>
    </row>
    <row r="175">
      <c r="A175" s="5">
        <f>IF('Daily Sale entry '!A175="","",'Daily Sale entry '!A175)</f>
        <v/>
      </c>
      <c r="B175" s="6">
        <f>IF($A175="","",ROUND('Opening Balance'!$B$4+SUM('Daily Sale entry '!$K$2:K175)+SUMIFS('Daily Sale entry '!$AC$2:$AC$1501,'Daily Sale entry '!$X$2:$X$1501,"&lt;="&amp;$A175)-SUMIFS('Daily Sale entry '!$AD$2:$AD$1501,'Daily Sale entry '!$X$2:$X$1501,"&lt;="&amp;$A175)+SUMPRODUCT(('Daily Sale entry '!$Q$2:$Q$1501="Collection 收款")*('Daily Sale entry '!$R$2:$R$1501="Cheque 支票")*('Daily Sale entry '!$V$2:$V$1501&lt;&gt;"")*('Daily Sale entry '!$V$2:$V$1501&lt;=$A175)*('Daily Sale entry '!$S$2:$S$1501-'Opening Balance'!$B$15*('Daily Sale entry '!$R$2:$R$1501="Cheque 支票")*('Daily Sale entry '!$S$2:$S$1501-TRUNC('Daily Sale entry '!$S$2:$S$1501))))-'Opening Balance'!$B$15*SUMPRODUCT(('Daily Sale entry '!$X$2:$X$1501&lt;=$A175)*('Daily Sale entry '!$Z$2:$Z$1501="Online collection 网上收款")*('Daily Sale entry '!$AA$2:$AA$1501&lt;&gt;"")*('Daily Sale entry '!$AC$2:$AC$1501-TRUNC('Daily Sale entry '!$AC$2:$AC$1501))),2))</f>
        <v/>
      </c>
      <c r="C175" s="8">
        <f>IF($A175="","",'Opening Balance'!$B$5+SUM('Daily Sale entry '!$I$2:I175)-SUMIFS('Daily Sale entry '!$AB$2:$AB$1501,'Daily Sale entry '!$X$2:$X$1501,"&lt;="&amp;$A175,'Daily Sale entry '!$Z$2:$Z$1501,"Cheque deposit 支票存入")-COUNTIFS('Daily Sale entry '!$Q$2:$Q$1501,"Collection 收款",'Daily Sale entry '!$R$2:$R$1501,"Cheque 支票",'Daily Sale entry '!$V$2:$V$1501,"&lt;="&amp;$A175))</f>
        <v/>
      </c>
      <c r="D175" s="6">
        <f>IF($A175="","",ROUND('Opening Balance'!$B$6+SUM('Daily Sale entry '!$J$2:J175)-SUMIFS('Daily Sale entry '!$AC$2:$AC$1501,'Daily Sale entry '!$X$2:$X$1501,"&lt;="&amp;$A175,'Daily Sale entry '!$Z$2:$Z$1501,"Cheque deposit 支票存入")-SUMPRODUCT(('Daily Sale entry '!$Q$2:$Q$1501="Collection 收款")*('Daily Sale entry '!$R$2:$R$1501="Cheque 支票")*('Daily Sale entry '!$V$2:$V$1501&lt;&gt;"")*('Daily Sale entry '!$V$2:$V$1501&lt;=$A175)*('Daily Sale entry '!$S$2:$S$1501-'Opening Balance'!$B$15*('Daily Sale entry '!$R$2:$R$1501="Cheque 支票")*('Daily Sale entry '!$S$2:$S$1501-TRUNC('Daily Sale entry '!$S$2:$S$1501)))),2))</f>
        <v/>
      </c>
      <c r="E175" s="6">
        <f>IF($A175="","",'Opening Balance'!$B$7)</f>
        <v/>
      </c>
      <c r="F175" s="6">
        <f>IF($A175="","",ROUND(SUMIFS('Daily Sale entry '!$L$2:$L$367,'Daily Sale entry '!$A$2:$A$367,"&gt;="&amp;DATE(YEAR($A175),MONTH($A175),1),'Daily Sale entry '!$A$2:$A$367,"&lt;="&amp;$A175)+SUMIFS('Daily Sale entry '!$M$2:$M$367,'Daily Sale entry '!$A$2:$A$367,"&gt;="&amp;DATE(YEAR($A175),MONTH($A175),1),'Daily Sale entry '!$A$2:$A$367,"&lt;="&amp;$A175)+IF(AND(YEAR($A175)=YEAR('Daily Sale entry '!$A$2),MONTH($A175)=MONTH('Daily Sale entry '!$A$2)),'Opening Balance'!$B$8,0),2))</f>
        <v/>
      </c>
      <c r="G175" s="6">
        <f>IF($A175="","",MOD(ROUND('Opening Balance'!$B$9+SUMIFS('Sales &amp; Collection'!$L$1:$L$2425,'Sales &amp; Collection'!$K$1:$K$2425,"cash collection*"),2),'Opening Balance'!$B$11))</f>
        <v/>
      </c>
      <c r="H175" s="6">
        <f>IF($A175="","",ROUND('Opening Balance'!$B$10+'Opening Balance'!$B$9+SUMIFS('Sales &amp; Collection'!$L$1:$L$2425,'Sales &amp; Collection'!$K$1:$K$2425,"cash collection*")-G175-SUMIFS('Daily Sale entry '!$AC$2:$AC$1501,'Daily Sale entry '!$X$2:$X$1501,"&lt;="&amp;$A175,'Daily Sale entry '!$Z$2:$Z$1501,"Cash deposit 现金存入"),2))</f>
        <v/>
      </c>
      <c r="I175" s="6">
        <f>IF($A175="","",ROUND(B175+D175+E175+F175+G175+H175,2))</f>
        <v/>
      </c>
      <c r="J175" s="6">
        <f>IF($A175="","",'AR &amp; AP'!K176)</f>
        <v/>
      </c>
      <c r="K175" s="6">
        <f>IF($A175="","",ROUND(I175-J175-SUMIFS('Daily Sale entry '!$AC$2:$AC$1501,'Daily Sale entry '!$X$2:$X$1501,"&lt;="&amp;$A175,'Daily Sale entry '!$Z$2:$Z$1501,"Other deposit 其他存入")+SUMIFS('Daily Sale entry '!$AD$2:$AD$1501,'Daily Sale entry '!$X$2:$X$1501,"&lt;="&amp;$A175)+('Opening Balance'!$B$8+SUM('Daily Sale entry '!$L$2:M175)-F175),2))</f>
        <v/>
      </c>
      <c r="L175">
        <f>IF($A175="","",IF(ABS('Sales &amp; Collection'!$B$2434)&gt;'Opening Balance'!$B$16,"ALERT 警报: Different "&amp;TEXT('Sales &amp; Collection'!$B$2434,"#,##0.00")&amp;" 差额过大",""))</f>
        <v/>
      </c>
    </row>
    <row r="176">
      <c r="A176" s="5">
        <f>IF('Daily Sale entry '!A176="","",'Daily Sale entry '!A176)</f>
        <v/>
      </c>
      <c r="B176" s="6">
        <f>IF($A176="","",ROUND('Opening Balance'!$B$4+SUM('Daily Sale entry '!$K$2:K176)+SUMIFS('Daily Sale entry '!$AC$2:$AC$1501,'Daily Sale entry '!$X$2:$X$1501,"&lt;="&amp;$A176)-SUMIFS('Daily Sale entry '!$AD$2:$AD$1501,'Daily Sale entry '!$X$2:$X$1501,"&lt;="&amp;$A176)+SUMPRODUCT(('Daily Sale entry '!$Q$2:$Q$1501="Collection 收款")*('Daily Sale entry '!$R$2:$R$1501="Cheque 支票")*('Daily Sale entry '!$V$2:$V$1501&lt;&gt;"")*('Daily Sale entry '!$V$2:$V$1501&lt;=$A176)*('Daily Sale entry '!$S$2:$S$1501-'Opening Balance'!$B$15*('Daily Sale entry '!$R$2:$R$1501="Cheque 支票")*('Daily Sale entry '!$S$2:$S$1501-TRUNC('Daily Sale entry '!$S$2:$S$1501))))-'Opening Balance'!$B$15*SUMPRODUCT(('Daily Sale entry '!$X$2:$X$1501&lt;=$A176)*('Daily Sale entry '!$Z$2:$Z$1501="Online collection 网上收款")*('Daily Sale entry '!$AA$2:$AA$1501&lt;&gt;"")*('Daily Sale entry '!$AC$2:$AC$1501-TRUNC('Daily Sale entry '!$AC$2:$AC$1501))),2))</f>
        <v/>
      </c>
      <c r="C176" s="8">
        <f>IF($A176="","",'Opening Balance'!$B$5+SUM('Daily Sale entry '!$I$2:I176)-SUMIFS('Daily Sale entry '!$AB$2:$AB$1501,'Daily Sale entry '!$X$2:$X$1501,"&lt;="&amp;$A176,'Daily Sale entry '!$Z$2:$Z$1501,"Cheque deposit 支票存入")-COUNTIFS('Daily Sale entry '!$Q$2:$Q$1501,"Collection 收款",'Daily Sale entry '!$R$2:$R$1501,"Cheque 支票",'Daily Sale entry '!$V$2:$V$1501,"&lt;="&amp;$A176))</f>
        <v/>
      </c>
      <c r="D176" s="6">
        <f>IF($A176="","",ROUND('Opening Balance'!$B$6+SUM('Daily Sale entry '!$J$2:J176)-SUMIFS('Daily Sale entry '!$AC$2:$AC$1501,'Daily Sale entry '!$X$2:$X$1501,"&lt;="&amp;$A176,'Daily Sale entry '!$Z$2:$Z$1501,"Cheque deposit 支票存入")-SUMPRODUCT(('Daily Sale entry '!$Q$2:$Q$1501="Collection 收款")*('Daily Sale entry '!$R$2:$R$1501="Cheque 支票")*('Daily Sale entry '!$V$2:$V$1501&lt;&gt;"")*('Daily Sale entry '!$V$2:$V$1501&lt;=$A176)*('Daily Sale entry '!$S$2:$S$1501-'Opening Balance'!$B$15*('Daily Sale entry '!$R$2:$R$1501="Cheque 支票")*('Daily Sale entry '!$S$2:$S$1501-TRUNC('Daily Sale entry '!$S$2:$S$1501)))),2))</f>
        <v/>
      </c>
      <c r="E176" s="6">
        <f>IF($A176="","",'Opening Balance'!$B$7)</f>
        <v/>
      </c>
      <c r="F176" s="6">
        <f>IF($A176="","",ROUND(SUMIFS('Daily Sale entry '!$L$2:$L$367,'Daily Sale entry '!$A$2:$A$367,"&gt;="&amp;DATE(YEAR($A176),MONTH($A176),1),'Daily Sale entry '!$A$2:$A$367,"&lt;="&amp;$A176)+SUMIFS('Daily Sale entry '!$M$2:$M$367,'Daily Sale entry '!$A$2:$A$367,"&gt;="&amp;DATE(YEAR($A176),MONTH($A176),1),'Daily Sale entry '!$A$2:$A$367,"&lt;="&amp;$A176)+IF(AND(YEAR($A176)=YEAR('Daily Sale entry '!$A$2),MONTH($A176)=MONTH('Daily Sale entry '!$A$2)),'Opening Balance'!$B$8,0),2))</f>
        <v/>
      </c>
      <c r="G176" s="6">
        <f>IF($A176="","",MOD(ROUND('Opening Balance'!$B$9+SUMIFS('Sales &amp; Collection'!$L$1:$L$2439,'Sales &amp; Collection'!$K$1:$K$2439,"cash collection*"),2),'Opening Balance'!$B$11))</f>
        <v/>
      </c>
      <c r="H176" s="6">
        <f>IF($A176="","",ROUND('Opening Balance'!$B$10+'Opening Balance'!$B$9+SUMIFS('Sales &amp; Collection'!$L$1:$L$2439,'Sales &amp; Collection'!$K$1:$K$2439,"cash collection*")-G176-SUMIFS('Daily Sale entry '!$AC$2:$AC$1501,'Daily Sale entry '!$X$2:$X$1501,"&lt;="&amp;$A176,'Daily Sale entry '!$Z$2:$Z$1501,"Cash deposit 现金存入"),2))</f>
        <v/>
      </c>
      <c r="I176" s="6">
        <f>IF($A176="","",ROUND(B176+D176+E176+F176+G176+H176,2))</f>
        <v/>
      </c>
      <c r="J176" s="6">
        <f>IF($A176="","",'AR &amp; AP'!K177)</f>
        <v/>
      </c>
      <c r="K176" s="6">
        <f>IF($A176="","",ROUND(I176-J176-SUMIFS('Daily Sale entry '!$AC$2:$AC$1501,'Daily Sale entry '!$X$2:$X$1501,"&lt;="&amp;$A176,'Daily Sale entry '!$Z$2:$Z$1501,"Other deposit 其他存入")+SUMIFS('Daily Sale entry '!$AD$2:$AD$1501,'Daily Sale entry '!$X$2:$X$1501,"&lt;="&amp;$A176)+('Opening Balance'!$B$8+SUM('Daily Sale entry '!$L$2:M176)-F176),2))</f>
        <v/>
      </c>
      <c r="L176">
        <f>IF($A176="","",IF(ABS('Sales &amp; Collection'!$B$2448)&gt;'Opening Balance'!$B$16,"ALERT 警报: Different "&amp;TEXT('Sales &amp; Collection'!$B$2448,"#,##0.00")&amp;" 差额过大",""))</f>
        <v/>
      </c>
    </row>
    <row r="177">
      <c r="A177" s="5">
        <f>IF('Daily Sale entry '!A177="","",'Daily Sale entry '!A177)</f>
        <v/>
      </c>
      <c r="B177" s="6">
        <f>IF($A177="","",ROUND('Opening Balance'!$B$4+SUM('Daily Sale entry '!$K$2:K177)+SUMIFS('Daily Sale entry '!$AC$2:$AC$1501,'Daily Sale entry '!$X$2:$X$1501,"&lt;="&amp;$A177)-SUMIFS('Daily Sale entry '!$AD$2:$AD$1501,'Daily Sale entry '!$X$2:$X$1501,"&lt;="&amp;$A177)+SUMPRODUCT(('Daily Sale entry '!$Q$2:$Q$1501="Collection 收款")*('Daily Sale entry '!$R$2:$R$1501="Cheque 支票")*('Daily Sale entry '!$V$2:$V$1501&lt;&gt;"")*('Daily Sale entry '!$V$2:$V$1501&lt;=$A177)*('Daily Sale entry '!$S$2:$S$1501-'Opening Balance'!$B$15*('Daily Sale entry '!$R$2:$R$1501="Cheque 支票")*('Daily Sale entry '!$S$2:$S$1501-TRUNC('Daily Sale entry '!$S$2:$S$1501))))-'Opening Balance'!$B$15*SUMPRODUCT(('Daily Sale entry '!$X$2:$X$1501&lt;=$A177)*('Daily Sale entry '!$Z$2:$Z$1501="Online collection 网上收款")*('Daily Sale entry '!$AA$2:$AA$1501&lt;&gt;"")*('Daily Sale entry '!$AC$2:$AC$1501-TRUNC('Daily Sale entry '!$AC$2:$AC$1501))),2))</f>
        <v/>
      </c>
      <c r="C177" s="8">
        <f>IF($A177="","",'Opening Balance'!$B$5+SUM('Daily Sale entry '!$I$2:I177)-SUMIFS('Daily Sale entry '!$AB$2:$AB$1501,'Daily Sale entry '!$X$2:$X$1501,"&lt;="&amp;$A177,'Daily Sale entry '!$Z$2:$Z$1501,"Cheque deposit 支票存入")-COUNTIFS('Daily Sale entry '!$Q$2:$Q$1501,"Collection 收款",'Daily Sale entry '!$R$2:$R$1501,"Cheque 支票",'Daily Sale entry '!$V$2:$V$1501,"&lt;="&amp;$A177))</f>
        <v/>
      </c>
      <c r="D177" s="6">
        <f>IF($A177="","",ROUND('Opening Balance'!$B$6+SUM('Daily Sale entry '!$J$2:J177)-SUMIFS('Daily Sale entry '!$AC$2:$AC$1501,'Daily Sale entry '!$X$2:$X$1501,"&lt;="&amp;$A177,'Daily Sale entry '!$Z$2:$Z$1501,"Cheque deposit 支票存入")-SUMPRODUCT(('Daily Sale entry '!$Q$2:$Q$1501="Collection 收款")*('Daily Sale entry '!$R$2:$R$1501="Cheque 支票")*('Daily Sale entry '!$V$2:$V$1501&lt;&gt;"")*('Daily Sale entry '!$V$2:$V$1501&lt;=$A177)*('Daily Sale entry '!$S$2:$S$1501-'Opening Balance'!$B$15*('Daily Sale entry '!$R$2:$R$1501="Cheque 支票")*('Daily Sale entry '!$S$2:$S$1501-TRUNC('Daily Sale entry '!$S$2:$S$1501)))),2))</f>
        <v/>
      </c>
      <c r="E177" s="6">
        <f>IF($A177="","",'Opening Balance'!$B$7)</f>
        <v/>
      </c>
      <c r="F177" s="6">
        <f>IF($A177="","",ROUND(SUMIFS('Daily Sale entry '!$L$2:$L$367,'Daily Sale entry '!$A$2:$A$367,"&gt;="&amp;DATE(YEAR($A177),MONTH($A177),1),'Daily Sale entry '!$A$2:$A$367,"&lt;="&amp;$A177)+SUMIFS('Daily Sale entry '!$M$2:$M$367,'Daily Sale entry '!$A$2:$A$367,"&gt;="&amp;DATE(YEAR($A177),MONTH($A177),1),'Daily Sale entry '!$A$2:$A$367,"&lt;="&amp;$A177)+IF(AND(YEAR($A177)=YEAR('Daily Sale entry '!$A$2),MONTH($A177)=MONTH('Daily Sale entry '!$A$2)),'Opening Balance'!$B$8,0),2))</f>
        <v/>
      </c>
      <c r="G177" s="6">
        <f>IF($A177="","",MOD(ROUND('Opening Balance'!$B$9+SUMIFS('Sales &amp; Collection'!$L$1:$L$2453,'Sales &amp; Collection'!$K$1:$K$2453,"cash collection*"),2),'Opening Balance'!$B$11))</f>
        <v/>
      </c>
      <c r="H177" s="6">
        <f>IF($A177="","",ROUND('Opening Balance'!$B$10+'Opening Balance'!$B$9+SUMIFS('Sales &amp; Collection'!$L$1:$L$2453,'Sales &amp; Collection'!$K$1:$K$2453,"cash collection*")-G177-SUMIFS('Daily Sale entry '!$AC$2:$AC$1501,'Daily Sale entry '!$X$2:$X$1501,"&lt;="&amp;$A177,'Daily Sale entry '!$Z$2:$Z$1501,"Cash deposit 现金存入"),2))</f>
        <v/>
      </c>
      <c r="I177" s="6">
        <f>IF($A177="","",ROUND(B177+D177+E177+F177+G177+H177,2))</f>
        <v/>
      </c>
      <c r="J177" s="6">
        <f>IF($A177="","",'AR &amp; AP'!K178)</f>
        <v/>
      </c>
      <c r="K177" s="6">
        <f>IF($A177="","",ROUND(I177-J177-SUMIFS('Daily Sale entry '!$AC$2:$AC$1501,'Daily Sale entry '!$X$2:$X$1501,"&lt;="&amp;$A177,'Daily Sale entry '!$Z$2:$Z$1501,"Other deposit 其他存入")+SUMIFS('Daily Sale entry '!$AD$2:$AD$1501,'Daily Sale entry '!$X$2:$X$1501,"&lt;="&amp;$A177)+('Opening Balance'!$B$8+SUM('Daily Sale entry '!$L$2:M177)-F177),2))</f>
        <v/>
      </c>
      <c r="L177">
        <f>IF($A177="","",IF(ABS('Sales &amp; Collection'!$B$2462)&gt;'Opening Balance'!$B$16,"ALERT 警报: Different "&amp;TEXT('Sales &amp; Collection'!$B$2462,"#,##0.00")&amp;" 差额过大",""))</f>
        <v/>
      </c>
    </row>
    <row r="178">
      <c r="A178" s="5">
        <f>IF('Daily Sale entry '!A178="","",'Daily Sale entry '!A178)</f>
        <v/>
      </c>
      <c r="B178" s="6">
        <f>IF($A178="","",ROUND('Opening Balance'!$B$4+SUM('Daily Sale entry '!$K$2:K178)+SUMIFS('Daily Sale entry '!$AC$2:$AC$1501,'Daily Sale entry '!$X$2:$X$1501,"&lt;="&amp;$A178)-SUMIFS('Daily Sale entry '!$AD$2:$AD$1501,'Daily Sale entry '!$X$2:$X$1501,"&lt;="&amp;$A178)+SUMPRODUCT(('Daily Sale entry '!$Q$2:$Q$1501="Collection 收款")*('Daily Sale entry '!$R$2:$R$1501="Cheque 支票")*('Daily Sale entry '!$V$2:$V$1501&lt;&gt;"")*('Daily Sale entry '!$V$2:$V$1501&lt;=$A178)*('Daily Sale entry '!$S$2:$S$1501-'Opening Balance'!$B$15*('Daily Sale entry '!$R$2:$R$1501="Cheque 支票")*('Daily Sale entry '!$S$2:$S$1501-TRUNC('Daily Sale entry '!$S$2:$S$1501))))-'Opening Balance'!$B$15*SUMPRODUCT(('Daily Sale entry '!$X$2:$X$1501&lt;=$A178)*('Daily Sale entry '!$Z$2:$Z$1501="Online collection 网上收款")*('Daily Sale entry '!$AA$2:$AA$1501&lt;&gt;"")*('Daily Sale entry '!$AC$2:$AC$1501-TRUNC('Daily Sale entry '!$AC$2:$AC$1501))),2))</f>
        <v/>
      </c>
      <c r="C178" s="8">
        <f>IF($A178="","",'Opening Balance'!$B$5+SUM('Daily Sale entry '!$I$2:I178)-SUMIFS('Daily Sale entry '!$AB$2:$AB$1501,'Daily Sale entry '!$X$2:$X$1501,"&lt;="&amp;$A178,'Daily Sale entry '!$Z$2:$Z$1501,"Cheque deposit 支票存入")-COUNTIFS('Daily Sale entry '!$Q$2:$Q$1501,"Collection 收款",'Daily Sale entry '!$R$2:$R$1501,"Cheque 支票",'Daily Sale entry '!$V$2:$V$1501,"&lt;="&amp;$A178))</f>
        <v/>
      </c>
      <c r="D178" s="6">
        <f>IF($A178="","",ROUND('Opening Balance'!$B$6+SUM('Daily Sale entry '!$J$2:J178)-SUMIFS('Daily Sale entry '!$AC$2:$AC$1501,'Daily Sale entry '!$X$2:$X$1501,"&lt;="&amp;$A178,'Daily Sale entry '!$Z$2:$Z$1501,"Cheque deposit 支票存入")-SUMPRODUCT(('Daily Sale entry '!$Q$2:$Q$1501="Collection 收款")*('Daily Sale entry '!$R$2:$R$1501="Cheque 支票")*('Daily Sale entry '!$V$2:$V$1501&lt;&gt;"")*('Daily Sale entry '!$V$2:$V$1501&lt;=$A178)*('Daily Sale entry '!$S$2:$S$1501-'Opening Balance'!$B$15*('Daily Sale entry '!$R$2:$R$1501="Cheque 支票")*('Daily Sale entry '!$S$2:$S$1501-TRUNC('Daily Sale entry '!$S$2:$S$1501)))),2))</f>
        <v/>
      </c>
      <c r="E178" s="6">
        <f>IF($A178="","",'Opening Balance'!$B$7)</f>
        <v/>
      </c>
      <c r="F178" s="6">
        <f>IF($A178="","",ROUND(SUMIFS('Daily Sale entry '!$L$2:$L$367,'Daily Sale entry '!$A$2:$A$367,"&gt;="&amp;DATE(YEAR($A178),MONTH($A178),1),'Daily Sale entry '!$A$2:$A$367,"&lt;="&amp;$A178)+SUMIFS('Daily Sale entry '!$M$2:$M$367,'Daily Sale entry '!$A$2:$A$367,"&gt;="&amp;DATE(YEAR($A178),MONTH($A178),1),'Daily Sale entry '!$A$2:$A$367,"&lt;="&amp;$A178)+IF(AND(YEAR($A178)=YEAR('Daily Sale entry '!$A$2),MONTH($A178)=MONTH('Daily Sale entry '!$A$2)),'Opening Balance'!$B$8,0),2))</f>
        <v/>
      </c>
      <c r="G178" s="6">
        <f>IF($A178="","",MOD(ROUND('Opening Balance'!$B$9+SUMIFS('Sales &amp; Collection'!$L$1:$L$2467,'Sales &amp; Collection'!$K$1:$K$2467,"cash collection*"),2),'Opening Balance'!$B$11))</f>
        <v/>
      </c>
      <c r="H178" s="6">
        <f>IF($A178="","",ROUND('Opening Balance'!$B$10+'Opening Balance'!$B$9+SUMIFS('Sales &amp; Collection'!$L$1:$L$2467,'Sales &amp; Collection'!$K$1:$K$2467,"cash collection*")-G178-SUMIFS('Daily Sale entry '!$AC$2:$AC$1501,'Daily Sale entry '!$X$2:$X$1501,"&lt;="&amp;$A178,'Daily Sale entry '!$Z$2:$Z$1501,"Cash deposit 现金存入"),2))</f>
        <v/>
      </c>
      <c r="I178" s="6">
        <f>IF($A178="","",ROUND(B178+D178+E178+F178+G178+H178,2))</f>
        <v/>
      </c>
      <c r="J178" s="6">
        <f>IF($A178="","",'AR &amp; AP'!K179)</f>
        <v/>
      </c>
      <c r="K178" s="6">
        <f>IF($A178="","",ROUND(I178-J178-SUMIFS('Daily Sale entry '!$AC$2:$AC$1501,'Daily Sale entry '!$X$2:$X$1501,"&lt;="&amp;$A178,'Daily Sale entry '!$Z$2:$Z$1501,"Other deposit 其他存入")+SUMIFS('Daily Sale entry '!$AD$2:$AD$1501,'Daily Sale entry '!$X$2:$X$1501,"&lt;="&amp;$A178)+('Opening Balance'!$B$8+SUM('Daily Sale entry '!$L$2:M178)-F178),2))</f>
        <v/>
      </c>
      <c r="L178">
        <f>IF($A178="","",IF(ABS('Sales &amp; Collection'!$B$2476)&gt;'Opening Balance'!$B$16,"ALERT 警报: Different "&amp;TEXT('Sales &amp; Collection'!$B$2476,"#,##0.00")&amp;" 差额过大",""))</f>
        <v/>
      </c>
    </row>
    <row r="179">
      <c r="A179" s="5">
        <f>IF('Daily Sale entry '!A179="","",'Daily Sale entry '!A179)</f>
        <v/>
      </c>
      <c r="B179" s="6">
        <f>IF($A179="","",ROUND('Opening Balance'!$B$4+SUM('Daily Sale entry '!$K$2:K179)+SUMIFS('Daily Sale entry '!$AC$2:$AC$1501,'Daily Sale entry '!$X$2:$X$1501,"&lt;="&amp;$A179)-SUMIFS('Daily Sale entry '!$AD$2:$AD$1501,'Daily Sale entry '!$X$2:$X$1501,"&lt;="&amp;$A179)+SUMPRODUCT(('Daily Sale entry '!$Q$2:$Q$1501="Collection 收款")*('Daily Sale entry '!$R$2:$R$1501="Cheque 支票")*('Daily Sale entry '!$V$2:$V$1501&lt;&gt;"")*('Daily Sale entry '!$V$2:$V$1501&lt;=$A179)*('Daily Sale entry '!$S$2:$S$1501-'Opening Balance'!$B$15*('Daily Sale entry '!$R$2:$R$1501="Cheque 支票")*('Daily Sale entry '!$S$2:$S$1501-TRUNC('Daily Sale entry '!$S$2:$S$1501))))-'Opening Balance'!$B$15*SUMPRODUCT(('Daily Sale entry '!$X$2:$X$1501&lt;=$A179)*('Daily Sale entry '!$Z$2:$Z$1501="Online collection 网上收款")*('Daily Sale entry '!$AA$2:$AA$1501&lt;&gt;"")*('Daily Sale entry '!$AC$2:$AC$1501-TRUNC('Daily Sale entry '!$AC$2:$AC$1501))),2))</f>
        <v/>
      </c>
      <c r="C179" s="8">
        <f>IF($A179="","",'Opening Balance'!$B$5+SUM('Daily Sale entry '!$I$2:I179)-SUMIFS('Daily Sale entry '!$AB$2:$AB$1501,'Daily Sale entry '!$X$2:$X$1501,"&lt;="&amp;$A179,'Daily Sale entry '!$Z$2:$Z$1501,"Cheque deposit 支票存入")-COUNTIFS('Daily Sale entry '!$Q$2:$Q$1501,"Collection 收款",'Daily Sale entry '!$R$2:$R$1501,"Cheque 支票",'Daily Sale entry '!$V$2:$V$1501,"&lt;="&amp;$A179))</f>
        <v/>
      </c>
      <c r="D179" s="6">
        <f>IF($A179="","",ROUND('Opening Balance'!$B$6+SUM('Daily Sale entry '!$J$2:J179)-SUMIFS('Daily Sale entry '!$AC$2:$AC$1501,'Daily Sale entry '!$X$2:$X$1501,"&lt;="&amp;$A179,'Daily Sale entry '!$Z$2:$Z$1501,"Cheque deposit 支票存入")-SUMPRODUCT(('Daily Sale entry '!$Q$2:$Q$1501="Collection 收款")*('Daily Sale entry '!$R$2:$R$1501="Cheque 支票")*('Daily Sale entry '!$V$2:$V$1501&lt;&gt;"")*('Daily Sale entry '!$V$2:$V$1501&lt;=$A179)*('Daily Sale entry '!$S$2:$S$1501-'Opening Balance'!$B$15*('Daily Sale entry '!$R$2:$R$1501="Cheque 支票")*('Daily Sale entry '!$S$2:$S$1501-TRUNC('Daily Sale entry '!$S$2:$S$1501)))),2))</f>
        <v/>
      </c>
      <c r="E179" s="6">
        <f>IF($A179="","",'Opening Balance'!$B$7)</f>
        <v/>
      </c>
      <c r="F179" s="6">
        <f>IF($A179="","",ROUND(SUMIFS('Daily Sale entry '!$L$2:$L$367,'Daily Sale entry '!$A$2:$A$367,"&gt;="&amp;DATE(YEAR($A179),MONTH($A179),1),'Daily Sale entry '!$A$2:$A$367,"&lt;="&amp;$A179)+SUMIFS('Daily Sale entry '!$M$2:$M$367,'Daily Sale entry '!$A$2:$A$367,"&gt;="&amp;DATE(YEAR($A179),MONTH($A179),1),'Daily Sale entry '!$A$2:$A$367,"&lt;="&amp;$A179)+IF(AND(YEAR($A179)=YEAR('Daily Sale entry '!$A$2),MONTH($A179)=MONTH('Daily Sale entry '!$A$2)),'Opening Balance'!$B$8,0),2))</f>
        <v/>
      </c>
      <c r="G179" s="6">
        <f>IF($A179="","",MOD(ROUND('Opening Balance'!$B$9+SUMIFS('Sales &amp; Collection'!$L$1:$L$2481,'Sales &amp; Collection'!$K$1:$K$2481,"cash collection*"),2),'Opening Balance'!$B$11))</f>
        <v/>
      </c>
      <c r="H179" s="6">
        <f>IF($A179="","",ROUND('Opening Balance'!$B$10+'Opening Balance'!$B$9+SUMIFS('Sales &amp; Collection'!$L$1:$L$2481,'Sales &amp; Collection'!$K$1:$K$2481,"cash collection*")-G179-SUMIFS('Daily Sale entry '!$AC$2:$AC$1501,'Daily Sale entry '!$X$2:$X$1501,"&lt;="&amp;$A179,'Daily Sale entry '!$Z$2:$Z$1501,"Cash deposit 现金存入"),2))</f>
        <v/>
      </c>
      <c r="I179" s="6">
        <f>IF($A179="","",ROUND(B179+D179+E179+F179+G179+H179,2))</f>
        <v/>
      </c>
      <c r="J179" s="6">
        <f>IF($A179="","",'AR &amp; AP'!K180)</f>
        <v/>
      </c>
      <c r="K179" s="6">
        <f>IF($A179="","",ROUND(I179-J179-SUMIFS('Daily Sale entry '!$AC$2:$AC$1501,'Daily Sale entry '!$X$2:$X$1501,"&lt;="&amp;$A179,'Daily Sale entry '!$Z$2:$Z$1501,"Other deposit 其他存入")+SUMIFS('Daily Sale entry '!$AD$2:$AD$1501,'Daily Sale entry '!$X$2:$X$1501,"&lt;="&amp;$A179)+('Opening Balance'!$B$8+SUM('Daily Sale entry '!$L$2:M179)-F179),2))</f>
        <v/>
      </c>
      <c r="L179">
        <f>IF($A179="","",IF(ABS('Sales &amp; Collection'!$B$2490)&gt;'Opening Balance'!$B$16,"ALERT 警报: Different "&amp;TEXT('Sales &amp; Collection'!$B$2490,"#,##0.00")&amp;" 差额过大",""))</f>
        <v/>
      </c>
    </row>
    <row r="180">
      <c r="A180" s="5">
        <f>IF('Daily Sale entry '!A180="","",'Daily Sale entry '!A180)</f>
        <v/>
      </c>
      <c r="B180" s="6">
        <f>IF($A180="","",ROUND('Opening Balance'!$B$4+SUM('Daily Sale entry '!$K$2:K180)+SUMIFS('Daily Sale entry '!$AC$2:$AC$1501,'Daily Sale entry '!$X$2:$X$1501,"&lt;="&amp;$A180)-SUMIFS('Daily Sale entry '!$AD$2:$AD$1501,'Daily Sale entry '!$X$2:$X$1501,"&lt;="&amp;$A180)+SUMPRODUCT(('Daily Sale entry '!$Q$2:$Q$1501="Collection 收款")*('Daily Sale entry '!$R$2:$R$1501="Cheque 支票")*('Daily Sale entry '!$V$2:$V$1501&lt;&gt;"")*('Daily Sale entry '!$V$2:$V$1501&lt;=$A180)*('Daily Sale entry '!$S$2:$S$1501-'Opening Balance'!$B$15*('Daily Sale entry '!$R$2:$R$1501="Cheque 支票")*('Daily Sale entry '!$S$2:$S$1501-TRUNC('Daily Sale entry '!$S$2:$S$1501))))-'Opening Balance'!$B$15*SUMPRODUCT(('Daily Sale entry '!$X$2:$X$1501&lt;=$A180)*('Daily Sale entry '!$Z$2:$Z$1501="Online collection 网上收款")*('Daily Sale entry '!$AA$2:$AA$1501&lt;&gt;"")*('Daily Sale entry '!$AC$2:$AC$1501-TRUNC('Daily Sale entry '!$AC$2:$AC$1501))),2))</f>
        <v/>
      </c>
      <c r="C180" s="8">
        <f>IF($A180="","",'Opening Balance'!$B$5+SUM('Daily Sale entry '!$I$2:I180)-SUMIFS('Daily Sale entry '!$AB$2:$AB$1501,'Daily Sale entry '!$X$2:$X$1501,"&lt;="&amp;$A180,'Daily Sale entry '!$Z$2:$Z$1501,"Cheque deposit 支票存入")-COUNTIFS('Daily Sale entry '!$Q$2:$Q$1501,"Collection 收款",'Daily Sale entry '!$R$2:$R$1501,"Cheque 支票",'Daily Sale entry '!$V$2:$V$1501,"&lt;="&amp;$A180))</f>
        <v/>
      </c>
      <c r="D180" s="6">
        <f>IF($A180="","",ROUND('Opening Balance'!$B$6+SUM('Daily Sale entry '!$J$2:J180)-SUMIFS('Daily Sale entry '!$AC$2:$AC$1501,'Daily Sale entry '!$X$2:$X$1501,"&lt;="&amp;$A180,'Daily Sale entry '!$Z$2:$Z$1501,"Cheque deposit 支票存入")-SUMPRODUCT(('Daily Sale entry '!$Q$2:$Q$1501="Collection 收款")*('Daily Sale entry '!$R$2:$R$1501="Cheque 支票")*('Daily Sale entry '!$V$2:$V$1501&lt;&gt;"")*('Daily Sale entry '!$V$2:$V$1501&lt;=$A180)*('Daily Sale entry '!$S$2:$S$1501-'Opening Balance'!$B$15*('Daily Sale entry '!$R$2:$R$1501="Cheque 支票")*('Daily Sale entry '!$S$2:$S$1501-TRUNC('Daily Sale entry '!$S$2:$S$1501)))),2))</f>
        <v/>
      </c>
      <c r="E180" s="6">
        <f>IF($A180="","",'Opening Balance'!$B$7)</f>
        <v/>
      </c>
      <c r="F180" s="6">
        <f>IF($A180="","",ROUND(SUMIFS('Daily Sale entry '!$L$2:$L$367,'Daily Sale entry '!$A$2:$A$367,"&gt;="&amp;DATE(YEAR($A180),MONTH($A180),1),'Daily Sale entry '!$A$2:$A$367,"&lt;="&amp;$A180)+SUMIFS('Daily Sale entry '!$M$2:$M$367,'Daily Sale entry '!$A$2:$A$367,"&gt;="&amp;DATE(YEAR($A180),MONTH($A180),1),'Daily Sale entry '!$A$2:$A$367,"&lt;="&amp;$A180)+IF(AND(YEAR($A180)=YEAR('Daily Sale entry '!$A$2),MONTH($A180)=MONTH('Daily Sale entry '!$A$2)),'Opening Balance'!$B$8,0),2))</f>
        <v/>
      </c>
      <c r="G180" s="6">
        <f>IF($A180="","",MOD(ROUND('Opening Balance'!$B$9+SUMIFS('Sales &amp; Collection'!$L$1:$L$2495,'Sales &amp; Collection'!$K$1:$K$2495,"cash collection*"),2),'Opening Balance'!$B$11))</f>
        <v/>
      </c>
      <c r="H180" s="6">
        <f>IF($A180="","",ROUND('Opening Balance'!$B$10+'Opening Balance'!$B$9+SUMIFS('Sales &amp; Collection'!$L$1:$L$2495,'Sales &amp; Collection'!$K$1:$K$2495,"cash collection*")-G180-SUMIFS('Daily Sale entry '!$AC$2:$AC$1501,'Daily Sale entry '!$X$2:$X$1501,"&lt;="&amp;$A180,'Daily Sale entry '!$Z$2:$Z$1501,"Cash deposit 现金存入"),2))</f>
        <v/>
      </c>
      <c r="I180" s="6">
        <f>IF($A180="","",ROUND(B180+D180+E180+F180+G180+H180,2))</f>
        <v/>
      </c>
      <c r="J180" s="6">
        <f>IF($A180="","",'AR &amp; AP'!K181)</f>
        <v/>
      </c>
      <c r="K180" s="6">
        <f>IF($A180="","",ROUND(I180-J180-SUMIFS('Daily Sale entry '!$AC$2:$AC$1501,'Daily Sale entry '!$X$2:$X$1501,"&lt;="&amp;$A180,'Daily Sale entry '!$Z$2:$Z$1501,"Other deposit 其他存入")+SUMIFS('Daily Sale entry '!$AD$2:$AD$1501,'Daily Sale entry '!$X$2:$X$1501,"&lt;="&amp;$A180)+('Opening Balance'!$B$8+SUM('Daily Sale entry '!$L$2:M180)-F180),2))</f>
        <v/>
      </c>
      <c r="L180">
        <f>IF($A180="","",IF(ABS('Sales &amp; Collection'!$B$2504)&gt;'Opening Balance'!$B$16,"ALERT 警报: Different "&amp;TEXT('Sales &amp; Collection'!$B$2504,"#,##0.00")&amp;" 差额过大",""))</f>
        <v/>
      </c>
    </row>
    <row r="181">
      <c r="A181" s="5">
        <f>IF('Daily Sale entry '!A181="","",'Daily Sale entry '!A181)</f>
        <v/>
      </c>
      <c r="B181" s="6">
        <f>IF($A181="","",ROUND('Opening Balance'!$B$4+SUM('Daily Sale entry '!$K$2:K181)+SUMIFS('Daily Sale entry '!$AC$2:$AC$1501,'Daily Sale entry '!$X$2:$X$1501,"&lt;="&amp;$A181)-SUMIFS('Daily Sale entry '!$AD$2:$AD$1501,'Daily Sale entry '!$X$2:$X$1501,"&lt;="&amp;$A181)+SUMPRODUCT(('Daily Sale entry '!$Q$2:$Q$1501="Collection 收款")*('Daily Sale entry '!$R$2:$R$1501="Cheque 支票")*('Daily Sale entry '!$V$2:$V$1501&lt;&gt;"")*('Daily Sale entry '!$V$2:$V$1501&lt;=$A181)*('Daily Sale entry '!$S$2:$S$1501-'Opening Balance'!$B$15*('Daily Sale entry '!$R$2:$R$1501="Cheque 支票")*('Daily Sale entry '!$S$2:$S$1501-TRUNC('Daily Sale entry '!$S$2:$S$1501))))-'Opening Balance'!$B$15*SUMPRODUCT(('Daily Sale entry '!$X$2:$X$1501&lt;=$A181)*('Daily Sale entry '!$Z$2:$Z$1501="Online collection 网上收款")*('Daily Sale entry '!$AA$2:$AA$1501&lt;&gt;"")*('Daily Sale entry '!$AC$2:$AC$1501-TRUNC('Daily Sale entry '!$AC$2:$AC$1501))),2))</f>
        <v/>
      </c>
      <c r="C181" s="8">
        <f>IF($A181="","",'Opening Balance'!$B$5+SUM('Daily Sale entry '!$I$2:I181)-SUMIFS('Daily Sale entry '!$AB$2:$AB$1501,'Daily Sale entry '!$X$2:$X$1501,"&lt;="&amp;$A181,'Daily Sale entry '!$Z$2:$Z$1501,"Cheque deposit 支票存入")-COUNTIFS('Daily Sale entry '!$Q$2:$Q$1501,"Collection 收款",'Daily Sale entry '!$R$2:$R$1501,"Cheque 支票",'Daily Sale entry '!$V$2:$V$1501,"&lt;="&amp;$A181))</f>
        <v/>
      </c>
      <c r="D181" s="6">
        <f>IF($A181="","",ROUND('Opening Balance'!$B$6+SUM('Daily Sale entry '!$J$2:J181)-SUMIFS('Daily Sale entry '!$AC$2:$AC$1501,'Daily Sale entry '!$X$2:$X$1501,"&lt;="&amp;$A181,'Daily Sale entry '!$Z$2:$Z$1501,"Cheque deposit 支票存入")-SUMPRODUCT(('Daily Sale entry '!$Q$2:$Q$1501="Collection 收款")*('Daily Sale entry '!$R$2:$R$1501="Cheque 支票")*('Daily Sale entry '!$V$2:$V$1501&lt;&gt;"")*('Daily Sale entry '!$V$2:$V$1501&lt;=$A181)*('Daily Sale entry '!$S$2:$S$1501-'Opening Balance'!$B$15*('Daily Sale entry '!$R$2:$R$1501="Cheque 支票")*('Daily Sale entry '!$S$2:$S$1501-TRUNC('Daily Sale entry '!$S$2:$S$1501)))),2))</f>
        <v/>
      </c>
      <c r="E181" s="6">
        <f>IF($A181="","",'Opening Balance'!$B$7)</f>
        <v/>
      </c>
      <c r="F181" s="6">
        <f>IF($A181="","",ROUND(SUMIFS('Daily Sale entry '!$L$2:$L$367,'Daily Sale entry '!$A$2:$A$367,"&gt;="&amp;DATE(YEAR($A181),MONTH($A181),1),'Daily Sale entry '!$A$2:$A$367,"&lt;="&amp;$A181)+SUMIFS('Daily Sale entry '!$M$2:$M$367,'Daily Sale entry '!$A$2:$A$367,"&gt;="&amp;DATE(YEAR($A181),MONTH($A181),1),'Daily Sale entry '!$A$2:$A$367,"&lt;="&amp;$A181)+IF(AND(YEAR($A181)=YEAR('Daily Sale entry '!$A$2),MONTH($A181)=MONTH('Daily Sale entry '!$A$2)),'Opening Balance'!$B$8,0),2))</f>
        <v/>
      </c>
      <c r="G181" s="6">
        <f>IF($A181="","",MOD(ROUND('Opening Balance'!$B$9+SUMIFS('Sales &amp; Collection'!$L$1:$L$2509,'Sales &amp; Collection'!$K$1:$K$2509,"cash collection*"),2),'Opening Balance'!$B$11))</f>
        <v/>
      </c>
      <c r="H181" s="6">
        <f>IF($A181="","",ROUND('Opening Balance'!$B$10+'Opening Balance'!$B$9+SUMIFS('Sales &amp; Collection'!$L$1:$L$2509,'Sales &amp; Collection'!$K$1:$K$2509,"cash collection*")-G181-SUMIFS('Daily Sale entry '!$AC$2:$AC$1501,'Daily Sale entry '!$X$2:$X$1501,"&lt;="&amp;$A181,'Daily Sale entry '!$Z$2:$Z$1501,"Cash deposit 现金存入"),2))</f>
        <v/>
      </c>
      <c r="I181" s="6">
        <f>IF($A181="","",ROUND(B181+D181+E181+F181+G181+H181,2))</f>
        <v/>
      </c>
      <c r="J181" s="6">
        <f>IF($A181="","",'AR &amp; AP'!K182)</f>
        <v/>
      </c>
      <c r="K181" s="6">
        <f>IF($A181="","",ROUND(I181-J181-SUMIFS('Daily Sale entry '!$AC$2:$AC$1501,'Daily Sale entry '!$X$2:$X$1501,"&lt;="&amp;$A181,'Daily Sale entry '!$Z$2:$Z$1501,"Other deposit 其他存入")+SUMIFS('Daily Sale entry '!$AD$2:$AD$1501,'Daily Sale entry '!$X$2:$X$1501,"&lt;="&amp;$A181)+('Opening Balance'!$B$8+SUM('Daily Sale entry '!$L$2:M181)-F181),2))</f>
        <v/>
      </c>
      <c r="L181">
        <f>IF($A181="","",IF(ABS('Sales &amp; Collection'!$B$2518)&gt;'Opening Balance'!$B$16,"ALERT 警报: Different "&amp;TEXT('Sales &amp; Collection'!$B$2518,"#,##0.00")&amp;" 差额过大",""))</f>
        <v/>
      </c>
    </row>
    <row r="182">
      <c r="A182" s="5">
        <f>IF('Daily Sale entry '!A182="","",'Daily Sale entry '!A182)</f>
        <v/>
      </c>
      <c r="B182" s="6">
        <f>IF($A182="","",ROUND('Opening Balance'!$B$4+SUM('Daily Sale entry '!$K$2:K182)+SUMIFS('Daily Sale entry '!$AC$2:$AC$1501,'Daily Sale entry '!$X$2:$X$1501,"&lt;="&amp;$A182)-SUMIFS('Daily Sale entry '!$AD$2:$AD$1501,'Daily Sale entry '!$X$2:$X$1501,"&lt;="&amp;$A182)+SUMPRODUCT(('Daily Sale entry '!$Q$2:$Q$1501="Collection 收款")*('Daily Sale entry '!$R$2:$R$1501="Cheque 支票")*('Daily Sale entry '!$V$2:$V$1501&lt;&gt;"")*('Daily Sale entry '!$V$2:$V$1501&lt;=$A182)*('Daily Sale entry '!$S$2:$S$1501-'Opening Balance'!$B$15*('Daily Sale entry '!$R$2:$R$1501="Cheque 支票")*('Daily Sale entry '!$S$2:$S$1501-TRUNC('Daily Sale entry '!$S$2:$S$1501))))-'Opening Balance'!$B$15*SUMPRODUCT(('Daily Sale entry '!$X$2:$X$1501&lt;=$A182)*('Daily Sale entry '!$Z$2:$Z$1501="Online collection 网上收款")*('Daily Sale entry '!$AA$2:$AA$1501&lt;&gt;"")*('Daily Sale entry '!$AC$2:$AC$1501-TRUNC('Daily Sale entry '!$AC$2:$AC$1501))),2))</f>
        <v/>
      </c>
      <c r="C182" s="8">
        <f>IF($A182="","",'Opening Balance'!$B$5+SUM('Daily Sale entry '!$I$2:I182)-SUMIFS('Daily Sale entry '!$AB$2:$AB$1501,'Daily Sale entry '!$X$2:$X$1501,"&lt;="&amp;$A182,'Daily Sale entry '!$Z$2:$Z$1501,"Cheque deposit 支票存入")-COUNTIFS('Daily Sale entry '!$Q$2:$Q$1501,"Collection 收款",'Daily Sale entry '!$R$2:$R$1501,"Cheque 支票",'Daily Sale entry '!$V$2:$V$1501,"&lt;="&amp;$A182))</f>
        <v/>
      </c>
      <c r="D182" s="6">
        <f>IF($A182="","",ROUND('Opening Balance'!$B$6+SUM('Daily Sale entry '!$J$2:J182)-SUMIFS('Daily Sale entry '!$AC$2:$AC$1501,'Daily Sale entry '!$X$2:$X$1501,"&lt;="&amp;$A182,'Daily Sale entry '!$Z$2:$Z$1501,"Cheque deposit 支票存入")-SUMPRODUCT(('Daily Sale entry '!$Q$2:$Q$1501="Collection 收款")*('Daily Sale entry '!$R$2:$R$1501="Cheque 支票")*('Daily Sale entry '!$V$2:$V$1501&lt;&gt;"")*('Daily Sale entry '!$V$2:$V$1501&lt;=$A182)*('Daily Sale entry '!$S$2:$S$1501-'Opening Balance'!$B$15*('Daily Sale entry '!$R$2:$R$1501="Cheque 支票")*('Daily Sale entry '!$S$2:$S$1501-TRUNC('Daily Sale entry '!$S$2:$S$1501)))),2))</f>
        <v/>
      </c>
      <c r="E182" s="6">
        <f>IF($A182="","",'Opening Balance'!$B$7)</f>
        <v/>
      </c>
      <c r="F182" s="6">
        <f>IF($A182="","",ROUND(SUMIFS('Daily Sale entry '!$L$2:$L$367,'Daily Sale entry '!$A$2:$A$367,"&gt;="&amp;DATE(YEAR($A182),MONTH($A182),1),'Daily Sale entry '!$A$2:$A$367,"&lt;="&amp;$A182)+SUMIFS('Daily Sale entry '!$M$2:$M$367,'Daily Sale entry '!$A$2:$A$367,"&gt;="&amp;DATE(YEAR($A182),MONTH($A182),1),'Daily Sale entry '!$A$2:$A$367,"&lt;="&amp;$A182)+IF(AND(YEAR($A182)=YEAR('Daily Sale entry '!$A$2),MONTH($A182)=MONTH('Daily Sale entry '!$A$2)),'Opening Balance'!$B$8,0),2))</f>
        <v/>
      </c>
      <c r="G182" s="6">
        <f>IF($A182="","",MOD(ROUND('Opening Balance'!$B$9+SUMIFS('Sales &amp; Collection'!$L$1:$L$2523,'Sales &amp; Collection'!$K$1:$K$2523,"cash collection*"),2),'Opening Balance'!$B$11))</f>
        <v/>
      </c>
      <c r="H182" s="6">
        <f>IF($A182="","",ROUND('Opening Balance'!$B$10+'Opening Balance'!$B$9+SUMIFS('Sales &amp; Collection'!$L$1:$L$2523,'Sales &amp; Collection'!$K$1:$K$2523,"cash collection*")-G182-SUMIFS('Daily Sale entry '!$AC$2:$AC$1501,'Daily Sale entry '!$X$2:$X$1501,"&lt;="&amp;$A182,'Daily Sale entry '!$Z$2:$Z$1501,"Cash deposit 现金存入"),2))</f>
        <v/>
      </c>
      <c r="I182" s="6">
        <f>IF($A182="","",ROUND(B182+D182+E182+F182+G182+H182,2))</f>
        <v/>
      </c>
      <c r="J182" s="6">
        <f>IF($A182="","",'AR &amp; AP'!K183)</f>
        <v/>
      </c>
      <c r="K182" s="6">
        <f>IF($A182="","",ROUND(I182-J182-SUMIFS('Daily Sale entry '!$AC$2:$AC$1501,'Daily Sale entry '!$X$2:$X$1501,"&lt;="&amp;$A182,'Daily Sale entry '!$Z$2:$Z$1501,"Other deposit 其他存入")+SUMIFS('Daily Sale entry '!$AD$2:$AD$1501,'Daily Sale entry '!$X$2:$X$1501,"&lt;="&amp;$A182)+('Opening Balance'!$B$8+SUM('Daily Sale entry '!$L$2:M182)-F182),2))</f>
        <v/>
      </c>
      <c r="L182">
        <f>IF($A182="","",IF(ABS('Sales &amp; Collection'!$B$2532)&gt;'Opening Balance'!$B$16,"ALERT 警报: Different "&amp;TEXT('Sales &amp; Collection'!$B$2532,"#,##0.00")&amp;" 差额过大",""))</f>
        <v/>
      </c>
    </row>
    <row r="183">
      <c r="A183" s="5">
        <f>IF('Daily Sale entry '!A183="","",'Daily Sale entry '!A183)</f>
        <v/>
      </c>
      <c r="B183" s="6">
        <f>IF($A183="","",ROUND('Opening Balance'!$B$4+SUM('Daily Sale entry '!$K$2:K183)+SUMIFS('Daily Sale entry '!$AC$2:$AC$1501,'Daily Sale entry '!$X$2:$X$1501,"&lt;="&amp;$A183)-SUMIFS('Daily Sale entry '!$AD$2:$AD$1501,'Daily Sale entry '!$X$2:$X$1501,"&lt;="&amp;$A183)+SUMPRODUCT(('Daily Sale entry '!$Q$2:$Q$1501="Collection 收款")*('Daily Sale entry '!$R$2:$R$1501="Cheque 支票")*('Daily Sale entry '!$V$2:$V$1501&lt;&gt;"")*('Daily Sale entry '!$V$2:$V$1501&lt;=$A183)*('Daily Sale entry '!$S$2:$S$1501-'Opening Balance'!$B$15*('Daily Sale entry '!$R$2:$R$1501="Cheque 支票")*('Daily Sale entry '!$S$2:$S$1501-TRUNC('Daily Sale entry '!$S$2:$S$1501))))-'Opening Balance'!$B$15*SUMPRODUCT(('Daily Sale entry '!$X$2:$X$1501&lt;=$A183)*('Daily Sale entry '!$Z$2:$Z$1501="Online collection 网上收款")*('Daily Sale entry '!$AA$2:$AA$1501&lt;&gt;"")*('Daily Sale entry '!$AC$2:$AC$1501-TRUNC('Daily Sale entry '!$AC$2:$AC$1501))),2))</f>
        <v/>
      </c>
      <c r="C183" s="8">
        <f>IF($A183="","",'Opening Balance'!$B$5+SUM('Daily Sale entry '!$I$2:I183)-SUMIFS('Daily Sale entry '!$AB$2:$AB$1501,'Daily Sale entry '!$X$2:$X$1501,"&lt;="&amp;$A183,'Daily Sale entry '!$Z$2:$Z$1501,"Cheque deposit 支票存入")-COUNTIFS('Daily Sale entry '!$Q$2:$Q$1501,"Collection 收款",'Daily Sale entry '!$R$2:$R$1501,"Cheque 支票",'Daily Sale entry '!$V$2:$V$1501,"&lt;="&amp;$A183))</f>
        <v/>
      </c>
      <c r="D183" s="6">
        <f>IF($A183="","",ROUND('Opening Balance'!$B$6+SUM('Daily Sale entry '!$J$2:J183)-SUMIFS('Daily Sale entry '!$AC$2:$AC$1501,'Daily Sale entry '!$X$2:$X$1501,"&lt;="&amp;$A183,'Daily Sale entry '!$Z$2:$Z$1501,"Cheque deposit 支票存入")-SUMPRODUCT(('Daily Sale entry '!$Q$2:$Q$1501="Collection 收款")*('Daily Sale entry '!$R$2:$R$1501="Cheque 支票")*('Daily Sale entry '!$V$2:$V$1501&lt;&gt;"")*('Daily Sale entry '!$V$2:$V$1501&lt;=$A183)*('Daily Sale entry '!$S$2:$S$1501-'Opening Balance'!$B$15*('Daily Sale entry '!$R$2:$R$1501="Cheque 支票")*('Daily Sale entry '!$S$2:$S$1501-TRUNC('Daily Sale entry '!$S$2:$S$1501)))),2))</f>
        <v/>
      </c>
      <c r="E183" s="6">
        <f>IF($A183="","",'Opening Balance'!$B$7)</f>
        <v/>
      </c>
      <c r="F183" s="6">
        <f>IF($A183="","",ROUND(SUMIFS('Daily Sale entry '!$L$2:$L$367,'Daily Sale entry '!$A$2:$A$367,"&gt;="&amp;DATE(YEAR($A183),MONTH($A183),1),'Daily Sale entry '!$A$2:$A$367,"&lt;="&amp;$A183)+SUMIFS('Daily Sale entry '!$M$2:$M$367,'Daily Sale entry '!$A$2:$A$367,"&gt;="&amp;DATE(YEAR($A183),MONTH($A183),1),'Daily Sale entry '!$A$2:$A$367,"&lt;="&amp;$A183)+IF(AND(YEAR($A183)=YEAR('Daily Sale entry '!$A$2),MONTH($A183)=MONTH('Daily Sale entry '!$A$2)),'Opening Balance'!$B$8,0),2))</f>
        <v/>
      </c>
      <c r="G183" s="6">
        <f>IF($A183="","",MOD(ROUND('Opening Balance'!$B$9+SUMIFS('Sales &amp; Collection'!$L$1:$L$2537,'Sales &amp; Collection'!$K$1:$K$2537,"cash collection*"),2),'Opening Balance'!$B$11))</f>
        <v/>
      </c>
      <c r="H183" s="6">
        <f>IF($A183="","",ROUND('Opening Balance'!$B$10+'Opening Balance'!$B$9+SUMIFS('Sales &amp; Collection'!$L$1:$L$2537,'Sales &amp; Collection'!$K$1:$K$2537,"cash collection*")-G183-SUMIFS('Daily Sale entry '!$AC$2:$AC$1501,'Daily Sale entry '!$X$2:$X$1501,"&lt;="&amp;$A183,'Daily Sale entry '!$Z$2:$Z$1501,"Cash deposit 现金存入"),2))</f>
        <v/>
      </c>
      <c r="I183" s="6">
        <f>IF($A183="","",ROUND(B183+D183+E183+F183+G183+H183,2))</f>
        <v/>
      </c>
      <c r="J183" s="6">
        <f>IF($A183="","",'AR &amp; AP'!K184)</f>
        <v/>
      </c>
      <c r="K183" s="6">
        <f>IF($A183="","",ROUND(I183-J183-SUMIFS('Daily Sale entry '!$AC$2:$AC$1501,'Daily Sale entry '!$X$2:$X$1501,"&lt;="&amp;$A183,'Daily Sale entry '!$Z$2:$Z$1501,"Other deposit 其他存入")+SUMIFS('Daily Sale entry '!$AD$2:$AD$1501,'Daily Sale entry '!$X$2:$X$1501,"&lt;="&amp;$A183)+('Opening Balance'!$B$8+SUM('Daily Sale entry '!$L$2:M183)-F183),2))</f>
        <v/>
      </c>
      <c r="L183">
        <f>IF($A183="","",IF(ABS('Sales &amp; Collection'!$B$2546)&gt;'Opening Balance'!$B$16,"ALERT 警报: Different "&amp;TEXT('Sales &amp; Collection'!$B$2546,"#,##0.00")&amp;" 差额过大",""))</f>
        <v/>
      </c>
    </row>
    <row r="184">
      <c r="A184" s="5">
        <f>IF('Daily Sale entry '!A184="","",'Daily Sale entry '!A184)</f>
        <v/>
      </c>
      <c r="B184" s="6">
        <f>IF($A184="","",ROUND('Opening Balance'!$B$4+SUM('Daily Sale entry '!$K$2:K184)+SUMIFS('Daily Sale entry '!$AC$2:$AC$1501,'Daily Sale entry '!$X$2:$X$1501,"&lt;="&amp;$A184)-SUMIFS('Daily Sale entry '!$AD$2:$AD$1501,'Daily Sale entry '!$X$2:$X$1501,"&lt;="&amp;$A184)+SUMPRODUCT(('Daily Sale entry '!$Q$2:$Q$1501="Collection 收款")*('Daily Sale entry '!$R$2:$R$1501="Cheque 支票")*('Daily Sale entry '!$V$2:$V$1501&lt;&gt;"")*('Daily Sale entry '!$V$2:$V$1501&lt;=$A184)*('Daily Sale entry '!$S$2:$S$1501-'Opening Balance'!$B$15*('Daily Sale entry '!$R$2:$R$1501="Cheque 支票")*('Daily Sale entry '!$S$2:$S$1501-TRUNC('Daily Sale entry '!$S$2:$S$1501))))-'Opening Balance'!$B$15*SUMPRODUCT(('Daily Sale entry '!$X$2:$X$1501&lt;=$A184)*('Daily Sale entry '!$Z$2:$Z$1501="Online collection 网上收款")*('Daily Sale entry '!$AA$2:$AA$1501&lt;&gt;"")*('Daily Sale entry '!$AC$2:$AC$1501-TRUNC('Daily Sale entry '!$AC$2:$AC$1501))),2))</f>
        <v/>
      </c>
      <c r="C184" s="8">
        <f>IF($A184="","",'Opening Balance'!$B$5+SUM('Daily Sale entry '!$I$2:I184)-SUMIFS('Daily Sale entry '!$AB$2:$AB$1501,'Daily Sale entry '!$X$2:$X$1501,"&lt;="&amp;$A184,'Daily Sale entry '!$Z$2:$Z$1501,"Cheque deposit 支票存入")-COUNTIFS('Daily Sale entry '!$Q$2:$Q$1501,"Collection 收款",'Daily Sale entry '!$R$2:$R$1501,"Cheque 支票",'Daily Sale entry '!$V$2:$V$1501,"&lt;="&amp;$A184))</f>
        <v/>
      </c>
      <c r="D184" s="6">
        <f>IF($A184="","",ROUND('Opening Balance'!$B$6+SUM('Daily Sale entry '!$J$2:J184)-SUMIFS('Daily Sale entry '!$AC$2:$AC$1501,'Daily Sale entry '!$X$2:$X$1501,"&lt;="&amp;$A184,'Daily Sale entry '!$Z$2:$Z$1501,"Cheque deposit 支票存入")-SUMPRODUCT(('Daily Sale entry '!$Q$2:$Q$1501="Collection 收款")*('Daily Sale entry '!$R$2:$R$1501="Cheque 支票")*('Daily Sale entry '!$V$2:$V$1501&lt;&gt;"")*('Daily Sale entry '!$V$2:$V$1501&lt;=$A184)*('Daily Sale entry '!$S$2:$S$1501-'Opening Balance'!$B$15*('Daily Sale entry '!$R$2:$R$1501="Cheque 支票")*('Daily Sale entry '!$S$2:$S$1501-TRUNC('Daily Sale entry '!$S$2:$S$1501)))),2))</f>
        <v/>
      </c>
      <c r="E184" s="6">
        <f>IF($A184="","",'Opening Balance'!$B$7)</f>
        <v/>
      </c>
      <c r="F184" s="6">
        <f>IF($A184="","",ROUND(SUMIFS('Daily Sale entry '!$L$2:$L$367,'Daily Sale entry '!$A$2:$A$367,"&gt;="&amp;DATE(YEAR($A184),MONTH($A184),1),'Daily Sale entry '!$A$2:$A$367,"&lt;="&amp;$A184)+SUMIFS('Daily Sale entry '!$M$2:$M$367,'Daily Sale entry '!$A$2:$A$367,"&gt;="&amp;DATE(YEAR($A184),MONTH($A184),1),'Daily Sale entry '!$A$2:$A$367,"&lt;="&amp;$A184)+IF(AND(YEAR($A184)=YEAR('Daily Sale entry '!$A$2),MONTH($A184)=MONTH('Daily Sale entry '!$A$2)),'Opening Balance'!$B$8,0),2))</f>
        <v/>
      </c>
      <c r="G184" s="6">
        <f>IF($A184="","",MOD(ROUND('Opening Balance'!$B$9+SUMIFS('Sales &amp; Collection'!$L$1:$L$2551,'Sales &amp; Collection'!$K$1:$K$2551,"cash collection*"),2),'Opening Balance'!$B$11))</f>
        <v/>
      </c>
      <c r="H184" s="6">
        <f>IF($A184="","",ROUND('Opening Balance'!$B$10+'Opening Balance'!$B$9+SUMIFS('Sales &amp; Collection'!$L$1:$L$2551,'Sales &amp; Collection'!$K$1:$K$2551,"cash collection*")-G184-SUMIFS('Daily Sale entry '!$AC$2:$AC$1501,'Daily Sale entry '!$X$2:$X$1501,"&lt;="&amp;$A184,'Daily Sale entry '!$Z$2:$Z$1501,"Cash deposit 现金存入"),2))</f>
        <v/>
      </c>
      <c r="I184" s="6">
        <f>IF($A184="","",ROUND(B184+D184+E184+F184+G184+H184,2))</f>
        <v/>
      </c>
      <c r="J184" s="6">
        <f>IF($A184="","",'AR &amp; AP'!K185)</f>
        <v/>
      </c>
      <c r="K184" s="6">
        <f>IF($A184="","",ROUND(I184-J184-SUMIFS('Daily Sale entry '!$AC$2:$AC$1501,'Daily Sale entry '!$X$2:$X$1501,"&lt;="&amp;$A184,'Daily Sale entry '!$Z$2:$Z$1501,"Other deposit 其他存入")+SUMIFS('Daily Sale entry '!$AD$2:$AD$1501,'Daily Sale entry '!$X$2:$X$1501,"&lt;="&amp;$A184)+('Opening Balance'!$B$8+SUM('Daily Sale entry '!$L$2:M184)-F184),2))</f>
        <v/>
      </c>
      <c r="L184">
        <f>IF($A184="","",IF(ABS('Sales &amp; Collection'!$B$2560)&gt;'Opening Balance'!$B$16,"ALERT 警报: Different "&amp;TEXT('Sales &amp; Collection'!$B$2560,"#,##0.00")&amp;" 差额过大",""))</f>
        <v/>
      </c>
    </row>
    <row r="185">
      <c r="A185" s="5">
        <f>IF('Daily Sale entry '!A185="","",'Daily Sale entry '!A185)</f>
        <v/>
      </c>
      <c r="B185" s="6">
        <f>IF($A185="","",ROUND('Opening Balance'!$B$4+SUM('Daily Sale entry '!$K$2:K185)+SUMIFS('Daily Sale entry '!$AC$2:$AC$1501,'Daily Sale entry '!$X$2:$X$1501,"&lt;="&amp;$A185)-SUMIFS('Daily Sale entry '!$AD$2:$AD$1501,'Daily Sale entry '!$X$2:$X$1501,"&lt;="&amp;$A185)+SUMPRODUCT(('Daily Sale entry '!$Q$2:$Q$1501="Collection 收款")*('Daily Sale entry '!$R$2:$R$1501="Cheque 支票")*('Daily Sale entry '!$V$2:$V$1501&lt;&gt;"")*('Daily Sale entry '!$V$2:$V$1501&lt;=$A185)*('Daily Sale entry '!$S$2:$S$1501-'Opening Balance'!$B$15*('Daily Sale entry '!$R$2:$R$1501="Cheque 支票")*('Daily Sale entry '!$S$2:$S$1501-TRUNC('Daily Sale entry '!$S$2:$S$1501))))-'Opening Balance'!$B$15*SUMPRODUCT(('Daily Sale entry '!$X$2:$X$1501&lt;=$A185)*('Daily Sale entry '!$Z$2:$Z$1501="Online collection 网上收款")*('Daily Sale entry '!$AA$2:$AA$1501&lt;&gt;"")*('Daily Sale entry '!$AC$2:$AC$1501-TRUNC('Daily Sale entry '!$AC$2:$AC$1501))),2))</f>
        <v/>
      </c>
      <c r="C185" s="8">
        <f>IF($A185="","",'Opening Balance'!$B$5+SUM('Daily Sale entry '!$I$2:I185)-SUMIFS('Daily Sale entry '!$AB$2:$AB$1501,'Daily Sale entry '!$X$2:$X$1501,"&lt;="&amp;$A185,'Daily Sale entry '!$Z$2:$Z$1501,"Cheque deposit 支票存入")-COUNTIFS('Daily Sale entry '!$Q$2:$Q$1501,"Collection 收款",'Daily Sale entry '!$R$2:$R$1501,"Cheque 支票",'Daily Sale entry '!$V$2:$V$1501,"&lt;="&amp;$A185))</f>
        <v/>
      </c>
      <c r="D185" s="6">
        <f>IF($A185="","",ROUND('Opening Balance'!$B$6+SUM('Daily Sale entry '!$J$2:J185)-SUMIFS('Daily Sale entry '!$AC$2:$AC$1501,'Daily Sale entry '!$X$2:$X$1501,"&lt;="&amp;$A185,'Daily Sale entry '!$Z$2:$Z$1501,"Cheque deposit 支票存入")-SUMPRODUCT(('Daily Sale entry '!$Q$2:$Q$1501="Collection 收款")*('Daily Sale entry '!$R$2:$R$1501="Cheque 支票")*('Daily Sale entry '!$V$2:$V$1501&lt;&gt;"")*('Daily Sale entry '!$V$2:$V$1501&lt;=$A185)*('Daily Sale entry '!$S$2:$S$1501-'Opening Balance'!$B$15*('Daily Sale entry '!$R$2:$R$1501="Cheque 支票")*('Daily Sale entry '!$S$2:$S$1501-TRUNC('Daily Sale entry '!$S$2:$S$1501)))),2))</f>
        <v/>
      </c>
      <c r="E185" s="6">
        <f>IF($A185="","",'Opening Balance'!$B$7)</f>
        <v/>
      </c>
      <c r="F185" s="6">
        <f>IF($A185="","",ROUND(SUMIFS('Daily Sale entry '!$L$2:$L$367,'Daily Sale entry '!$A$2:$A$367,"&gt;="&amp;DATE(YEAR($A185),MONTH($A185),1),'Daily Sale entry '!$A$2:$A$367,"&lt;="&amp;$A185)+SUMIFS('Daily Sale entry '!$M$2:$M$367,'Daily Sale entry '!$A$2:$A$367,"&gt;="&amp;DATE(YEAR($A185),MONTH($A185),1),'Daily Sale entry '!$A$2:$A$367,"&lt;="&amp;$A185)+IF(AND(YEAR($A185)=YEAR('Daily Sale entry '!$A$2),MONTH($A185)=MONTH('Daily Sale entry '!$A$2)),'Opening Balance'!$B$8,0),2))</f>
        <v/>
      </c>
      <c r="G185" s="6">
        <f>IF($A185="","",MOD(ROUND('Opening Balance'!$B$9+SUMIFS('Sales &amp; Collection'!$L$1:$L$2565,'Sales &amp; Collection'!$K$1:$K$2565,"cash collection*"),2),'Opening Balance'!$B$11))</f>
        <v/>
      </c>
      <c r="H185" s="6">
        <f>IF($A185="","",ROUND('Opening Balance'!$B$10+'Opening Balance'!$B$9+SUMIFS('Sales &amp; Collection'!$L$1:$L$2565,'Sales &amp; Collection'!$K$1:$K$2565,"cash collection*")-G185-SUMIFS('Daily Sale entry '!$AC$2:$AC$1501,'Daily Sale entry '!$X$2:$X$1501,"&lt;="&amp;$A185,'Daily Sale entry '!$Z$2:$Z$1501,"Cash deposit 现金存入"),2))</f>
        <v/>
      </c>
      <c r="I185" s="6">
        <f>IF($A185="","",ROUND(B185+D185+E185+F185+G185+H185,2))</f>
        <v/>
      </c>
      <c r="J185" s="6">
        <f>IF($A185="","",'AR &amp; AP'!K186)</f>
        <v/>
      </c>
      <c r="K185" s="6">
        <f>IF($A185="","",ROUND(I185-J185-SUMIFS('Daily Sale entry '!$AC$2:$AC$1501,'Daily Sale entry '!$X$2:$X$1501,"&lt;="&amp;$A185,'Daily Sale entry '!$Z$2:$Z$1501,"Other deposit 其他存入")+SUMIFS('Daily Sale entry '!$AD$2:$AD$1501,'Daily Sale entry '!$X$2:$X$1501,"&lt;="&amp;$A185)+('Opening Balance'!$B$8+SUM('Daily Sale entry '!$L$2:M185)-F185),2))</f>
        <v/>
      </c>
      <c r="L185">
        <f>IF($A185="","",IF(ABS('Sales &amp; Collection'!$B$2574)&gt;'Opening Balance'!$B$16,"ALERT 警报: Different "&amp;TEXT('Sales &amp; Collection'!$B$2574,"#,##0.00")&amp;" 差额过大",""))</f>
        <v/>
      </c>
    </row>
    <row r="186">
      <c r="A186" s="5">
        <f>IF('Daily Sale entry '!A186="","",'Daily Sale entry '!A186)</f>
        <v/>
      </c>
      <c r="B186" s="6">
        <f>IF($A186="","",ROUND('Opening Balance'!$B$4+SUM('Daily Sale entry '!$K$2:K186)+SUMIFS('Daily Sale entry '!$AC$2:$AC$1501,'Daily Sale entry '!$X$2:$X$1501,"&lt;="&amp;$A186)-SUMIFS('Daily Sale entry '!$AD$2:$AD$1501,'Daily Sale entry '!$X$2:$X$1501,"&lt;="&amp;$A186)+SUMPRODUCT(('Daily Sale entry '!$Q$2:$Q$1501="Collection 收款")*('Daily Sale entry '!$R$2:$R$1501="Cheque 支票")*('Daily Sale entry '!$V$2:$V$1501&lt;&gt;"")*('Daily Sale entry '!$V$2:$V$1501&lt;=$A186)*('Daily Sale entry '!$S$2:$S$1501-'Opening Balance'!$B$15*('Daily Sale entry '!$R$2:$R$1501="Cheque 支票")*('Daily Sale entry '!$S$2:$S$1501-TRUNC('Daily Sale entry '!$S$2:$S$1501))))-'Opening Balance'!$B$15*SUMPRODUCT(('Daily Sale entry '!$X$2:$X$1501&lt;=$A186)*('Daily Sale entry '!$Z$2:$Z$1501="Online collection 网上收款")*('Daily Sale entry '!$AA$2:$AA$1501&lt;&gt;"")*('Daily Sale entry '!$AC$2:$AC$1501-TRUNC('Daily Sale entry '!$AC$2:$AC$1501))),2))</f>
        <v/>
      </c>
      <c r="C186" s="8">
        <f>IF($A186="","",'Opening Balance'!$B$5+SUM('Daily Sale entry '!$I$2:I186)-SUMIFS('Daily Sale entry '!$AB$2:$AB$1501,'Daily Sale entry '!$X$2:$X$1501,"&lt;="&amp;$A186,'Daily Sale entry '!$Z$2:$Z$1501,"Cheque deposit 支票存入")-COUNTIFS('Daily Sale entry '!$Q$2:$Q$1501,"Collection 收款",'Daily Sale entry '!$R$2:$R$1501,"Cheque 支票",'Daily Sale entry '!$V$2:$V$1501,"&lt;="&amp;$A186))</f>
        <v/>
      </c>
      <c r="D186" s="6">
        <f>IF($A186="","",ROUND('Opening Balance'!$B$6+SUM('Daily Sale entry '!$J$2:J186)-SUMIFS('Daily Sale entry '!$AC$2:$AC$1501,'Daily Sale entry '!$X$2:$X$1501,"&lt;="&amp;$A186,'Daily Sale entry '!$Z$2:$Z$1501,"Cheque deposit 支票存入")-SUMPRODUCT(('Daily Sale entry '!$Q$2:$Q$1501="Collection 收款")*('Daily Sale entry '!$R$2:$R$1501="Cheque 支票")*('Daily Sale entry '!$V$2:$V$1501&lt;&gt;"")*('Daily Sale entry '!$V$2:$V$1501&lt;=$A186)*('Daily Sale entry '!$S$2:$S$1501-'Opening Balance'!$B$15*('Daily Sale entry '!$R$2:$R$1501="Cheque 支票")*('Daily Sale entry '!$S$2:$S$1501-TRUNC('Daily Sale entry '!$S$2:$S$1501)))),2))</f>
        <v/>
      </c>
      <c r="E186" s="6">
        <f>IF($A186="","",'Opening Balance'!$B$7)</f>
        <v/>
      </c>
      <c r="F186" s="6">
        <f>IF($A186="","",ROUND(SUMIFS('Daily Sale entry '!$L$2:$L$367,'Daily Sale entry '!$A$2:$A$367,"&gt;="&amp;DATE(YEAR($A186),MONTH($A186),1),'Daily Sale entry '!$A$2:$A$367,"&lt;="&amp;$A186)+SUMIFS('Daily Sale entry '!$M$2:$M$367,'Daily Sale entry '!$A$2:$A$367,"&gt;="&amp;DATE(YEAR($A186),MONTH($A186),1),'Daily Sale entry '!$A$2:$A$367,"&lt;="&amp;$A186)+IF(AND(YEAR($A186)=YEAR('Daily Sale entry '!$A$2),MONTH($A186)=MONTH('Daily Sale entry '!$A$2)),'Opening Balance'!$B$8,0),2))</f>
        <v/>
      </c>
      <c r="G186" s="6">
        <f>IF($A186="","",MOD(ROUND('Opening Balance'!$B$9+SUMIFS('Sales &amp; Collection'!$L$1:$L$2579,'Sales &amp; Collection'!$K$1:$K$2579,"cash collection*"),2),'Opening Balance'!$B$11))</f>
        <v/>
      </c>
      <c r="H186" s="6">
        <f>IF($A186="","",ROUND('Opening Balance'!$B$10+'Opening Balance'!$B$9+SUMIFS('Sales &amp; Collection'!$L$1:$L$2579,'Sales &amp; Collection'!$K$1:$K$2579,"cash collection*")-G186-SUMIFS('Daily Sale entry '!$AC$2:$AC$1501,'Daily Sale entry '!$X$2:$X$1501,"&lt;="&amp;$A186,'Daily Sale entry '!$Z$2:$Z$1501,"Cash deposit 现金存入"),2))</f>
        <v/>
      </c>
      <c r="I186" s="6">
        <f>IF($A186="","",ROUND(B186+D186+E186+F186+G186+H186,2))</f>
        <v/>
      </c>
      <c r="J186" s="6">
        <f>IF($A186="","",'AR &amp; AP'!K187)</f>
        <v/>
      </c>
      <c r="K186" s="6">
        <f>IF($A186="","",ROUND(I186-J186-SUMIFS('Daily Sale entry '!$AC$2:$AC$1501,'Daily Sale entry '!$X$2:$X$1501,"&lt;="&amp;$A186,'Daily Sale entry '!$Z$2:$Z$1501,"Other deposit 其他存入")+SUMIFS('Daily Sale entry '!$AD$2:$AD$1501,'Daily Sale entry '!$X$2:$X$1501,"&lt;="&amp;$A186)+('Opening Balance'!$B$8+SUM('Daily Sale entry '!$L$2:M186)-F186),2))</f>
        <v/>
      </c>
      <c r="L186">
        <f>IF($A186="","",IF(ABS('Sales &amp; Collection'!$B$2588)&gt;'Opening Balance'!$B$16,"ALERT 警报: Different "&amp;TEXT('Sales &amp; Collection'!$B$2588,"#,##0.00")&amp;" 差额过大",""))</f>
        <v/>
      </c>
    </row>
    <row r="187">
      <c r="A187" s="5">
        <f>IF('Daily Sale entry '!A187="","",'Daily Sale entry '!A187)</f>
        <v/>
      </c>
      <c r="B187" s="6">
        <f>IF($A187="","",ROUND('Opening Balance'!$B$4+SUM('Daily Sale entry '!$K$2:K187)+SUMIFS('Daily Sale entry '!$AC$2:$AC$1501,'Daily Sale entry '!$X$2:$X$1501,"&lt;="&amp;$A187)-SUMIFS('Daily Sale entry '!$AD$2:$AD$1501,'Daily Sale entry '!$X$2:$X$1501,"&lt;="&amp;$A187)+SUMPRODUCT(('Daily Sale entry '!$Q$2:$Q$1501="Collection 收款")*('Daily Sale entry '!$R$2:$R$1501="Cheque 支票")*('Daily Sale entry '!$V$2:$V$1501&lt;&gt;"")*('Daily Sale entry '!$V$2:$V$1501&lt;=$A187)*('Daily Sale entry '!$S$2:$S$1501-'Opening Balance'!$B$15*('Daily Sale entry '!$R$2:$R$1501="Cheque 支票")*('Daily Sale entry '!$S$2:$S$1501-TRUNC('Daily Sale entry '!$S$2:$S$1501))))-'Opening Balance'!$B$15*SUMPRODUCT(('Daily Sale entry '!$X$2:$X$1501&lt;=$A187)*('Daily Sale entry '!$Z$2:$Z$1501="Online collection 网上收款")*('Daily Sale entry '!$AA$2:$AA$1501&lt;&gt;"")*('Daily Sale entry '!$AC$2:$AC$1501-TRUNC('Daily Sale entry '!$AC$2:$AC$1501))),2))</f>
        <v/>
      </c>
      <c r="C187" s="8">
        <f>IF($A187="","",'Opening Balance'!$B$5+SUM('Daily Sale entry '!$I$2:I187)-SUMIFS('Daily Sale entry '!$AB$2:$AB$1501,'Daily Sale entry '!$X$2:$X$1501,"&lt;="&amp;$A187,'Daily Sale entry '!$Z$2:$Z$1501,"Cheque deposit 支票存入")-COUNTIFS('Daily Sale entry '!$Q$2:$Q$1501,"Collection 收款",'Daily Sale entry '!$R$2:$R$1501,"Cheque 支票",'Daily Sale entry '!$V$2:$V$1501,"&lt;="&amp;$A187))</f>
        <v/>
      </c>
      <c r="D187" s="6">
        <f>IF($A187="","",ROUND('Opening Balance'!$B$6+SUM('Daily Sale entry '!$J$2:J187)-SUMIFS('Daily Sale entry '!$AC$2:$AC$1501,'Daily Sale entry '!$X$2:$X$1501,"&lt;="&amp;$A187,'Daily Sale entry '!$Z$2:$Z$1501,"Cheque deposit 支票存入")-SUMPRODUCT(('Daily Sale entry '!$Q$2:$Q$1501="Collection 收款")*('Daily Sale entry '!$R$2:$R$1501="Cheque 支票")*('Daily Sale entry '!$V$2:$V$1501&lt;&gt;"")*('Daily Sale entry '!$V$2:$V$1501&lt;=$A187)*('Daily Sale entry '!$S$2:$S$1501-'Opening Balance'!$B$15*('Daily Sale entry '!$R$2:$R$1501="Cheque 支票")*('Daily Sale entry '!$S$2:$S$1501-TRUNC('Daily Sale entry '!$S$2:$S$1501)))),2))</f>
        <v/>
      </c>
      <c r="E187" s="6">
        <f>IF($A187="","",'Opening Balance'!$B$7)</f>
        <v/>
      </c>
      <c r="F187" s="6">
        <f>IF($A187="","",ROUND(SUMIFS('Daily Sale entry '!$L$2:$L$367,'Daily Sale entry '!$A$2:$A$367,"&gt;="&amp;DATE(YEAR($A187),MONTH($A187),1),'Daily Sale entry '!$A$2:$A$367,"&lt;="&amp;$A187)+SUMIFS('Daily Sale entry '!$M$2:$M$367,'Daily Sale entry '!$A$2:$A$367,"&gt;="&amp;DATE(YEAR($A187),MONTH($A187),1),'Daily Sale entry '!$A$2:$A$367,"&lt;="&amp;$A187)+IF(AND(YEAR($A187)=YEAR('Daily Sale entry '!$A$2),MONTH($A187)=MONTH('Daily Sale entry '!$A$2)),'Opening Balance'!$B$8,0),2))</f>
        <v/>
      </c>
      <c r="G187" s="6">
        <f>IF($A187="","",MOD(ROUND('Opening Balance'!$B$9+SUMIFS('Sales &amp; Collection'!$L$1:$L$2593,'Sales &amp; Collection'!$K$1:$K$2593,"cash collection*"),2),'Opening Balance'!$B$11))</f>
        <v/>
      </c>
      <c r="H187" s="6">
        <f>IF($A187="","",ROUND('Opening Balance'!$B$10+'Opening Balance'!$B$9+SUMIFS('Sales &amp; Collection'!$L$1:$L$2593,'Sales &amp; Collection'!$K$1:$K$2593,"cash collection*")-G187-SUMIFS('Daily Sale entry '!$AC$2:$AC$1501,'Daily Sale entry '!$X$2:$X$1501,"&lt;="&amp;$A187,'Daily Sale entry '!$Z$2:$Z$1501,"Cash deposit 现金存入"),2))</f>
        <v/>
      </c>
      <c r="I187" s="6">
        <f>IF($A187="","",ROUND(B187+D187+E187+F187+G187+H187,2))</f>
        <v/>
      </c>
      <c r="J187" s="6">
        <f>IF($A187="","",'AR &amp; AP'!K188)</f>
        <v/>
      </c>
      <c r="K187" s="6">
        <f>IF($A187="","",ROUND(I187-J187-SUMIFS('Daily Sale entry '!$AC$2:$AC$1501,'Daily Sale entry '!$X$2:$X$1501,"&lt;="&amp;$A187,'Daily Sale entry '!$Z$2:$Z$1501,"Other deposit 其他存入")+SUMIFS('Daily Sale entry '!$AD$2:$AD$1501,'Daily Sale entry '!$X$2:$X$1501,"&lt;="&amp;$A187)+('Opening Balance'!$B$8+SUM('Daily Sale entry '!$L$2:M187)-F187),2))</f>
        <v/>
      </c>
      <c r="L187">
        <f>IF($A187="","",IF(ABS('Sales &amp; Collection'!$B$2602)&gt;'Opening Balance'!$B$16,"ALERT 警报: Different "&amp;TEXT('Sales &amp; Collection'!$B$2602,"#,##0.00")&amp;" 差额过大",""))</f>
        <v/>
      </c>
    </row>
    <row r="188">
      <c r="A188" s="5">
        <f>IF('Daily Sale entry '!A188="","",'Daily Sale entry '!A188)</f>
        <v/>
      </c>
      <c r="B188" s="6">
        <f>IF($A188="","",ROUND('Opening Balance'!$B$4+SUM('Daily Sale entry '!$K$2:K188)+SUMIFS('Daily Sale entry '!$AC$2:$AC$1501,'Daily Sale entry '!$X$2:$X$1501,"&lt;="&amp;$A188)-SUMIFS('Daily Sale entry '!$AD$2:$AD$1501,'Daily Sale entry '!$X$2:$X$1501,"&lt;="&amp;$A188)+SUMPRODUCT(('Daily Sale entry '!$Q$2:$Q$1501="Collection 收款")*('Daily Sale entry '!$R$2:$R$1501="Cheque 支票")*('Daily Sale entry '!$V$2:$V$1501&lt;&gt;"")*('Daily Sale entry '!$V$2:$V$1501&lt;=$A188)*('Daily Sale entry '!$S$2:$S$1501-'Opening Balance'!$B$15*('Daily Sale entry '!$R$2:$R$1501="Cheque 支票")*('Daily Sale entry '!$S$2:$S$1501-TRUNC('Daily Sale entry '!$S$2:$S$1501))))-'Opening Balance'!$B$15*SUMPRODUCT(('Daily Sale entry '!$X$2:$X$1501&lt;=$A188)*('Daily Sale entry '!$Z$2:$Z$1501="Online collection 网上收款")*('Daily Sale entry '!$AA$2:$AA$1501&lt;&gt;"")*('Daily Sale entry '!$AC$2:$AC$1501-TRUNC('Daily Sale entry '!$AC$2:$AC$1501))),2))</f>
        <v/>
      </c>
      <c r="C188" s="8">
        <f>IF($A188="","",'Opening Balance'!$B$5+SUM('Daily Sale entry '!$I$2:I188)-SUMIFS('Daily Sale entry '!$AB$2:$AB$1501,'Daily Sale entry '!$X$2:$X$1501,"&lt;="&amp;$A188,'Daily Sale entry '!$Z$2:$Z$1501,"Cheque deposit 支票存入")-COUNTIFS('Daily Sale entry '!$Q$2:$Q$1501,"Collection 收款",'Daily Sale entry '!$R$2:$R$1501,"Cheque 支票",'Daily Sale entry '!$V$2:$V$1501,"&lt;="&amp;$A188))</f>
        <v/>
      </c>
      <c r="D188" s="6">
        <f>IF($A188="","",ROUND('Opening Balance'!$B$6+SUM('Daily Sale entry '!$J$2:J188)-SUMIFS('Daily Sale entry '!$AC$2:$AC$1501,'Daily Sale entry '!$X$2:$X$1501,"&lt;="&amp;$A188,'Daily Sale entry '!$Z$2:$Z$1501,"Cheque deposit 支票存入")-SUMPRODUCT(('Daily Sale entry '!$Q$2:$Q$1501="Collection 收款")*('Daily Sale entry '!$R$2:$R$1501="Cheque 支票")*('Daily Sale entry '!$V$2:$V$1501&lt;&gt;"")*('Daily Sale entry '!$V$2:$V$1501&lt;=$A188)*('Daily Sale entry '!$S$2:$S$1501-'Opening Balance'!$B$15*('Daily Sale entry '!$R$2:$R$1501="Cheque 支票")*('Daily Sale entry '!$S$2:$S$1501-TRUNC('Daily Sale entry '!$S$2:$S$1501)))),2))</f>
        <v/>
      </c>
      <c r="E188" s="6">
        <f>IF($A188="","",'Opening Balance'!$B$7)</f>
        <v/>
      </c>
      <c r="F188" s="6">
        <f>IF($A188="","",ROUND(SUMIFS('Daily Sale entry '!$L$2:$L$367,'Daily Sale entry '!$A$2:$A$367,"&gt;="&amp;DATE(YEAR($A188),MONTH($A188),1),'Daily Sale entry '!$A$2:$A$367,"&lt;="&amp;$A188)+SUMIFS('Daily Sale entry '!$M$2:$M$367,'Daily Sale entry '!$A$2:$A$367,"&gt;="&amp;DATE(YEAR($A188),MONTH($A188),1),'Daily Sale entry '!$A$2:$A$367,"&lt;="&amp;$A188)+IF(AND(YEAR($A188)=YEAR('Daily Sale entry '!$A$2),MONTH($A188)=MONTH('Daily Sale entry '!$A$2)),'Opening Balance'!$B$8,0),2))</f>
        <v/>
      </c>
      <c r="G188" s="6">
        <f>IF($A188="","",MOD(ROUND('Opening Balance'!$B$9+SUMIFS('Sales &amp; Collection'!$L$1:$L$2607,'Sales &amp; Collection'!$K$1:$K$2607,"cash collection*"),2),'Opening Balance'!$B$11))</f>
        <v/>
      </c>
      <c r="H188" s="6">
        <f>IF($A188="","",ROUND('Opening Balance'!$B$10+'Opening Balance'!$B$9+SUMIFS('Sales &amp; Collection'!$L$1:$L$2607,'Sales &amp; Collection'!$K$1:$K$2607,"cash collection*")-G188-SUMIFS('Daily Sale entry '!$AC$2:$AC$1501,'Daily Sale entry '!$X$2:$X$1501,"&lt;="&amp;$A188,'Daily Sale entry '!$Z$2:$Z$1501,"Cash deposit 现金存入"),2))</f>
        <v/>
      </c>
      <c r="I188" s="6">
        <f>IF($A188="","",ROUND(B188+D188+E188+F188+G188+H188,2))</f>
        <v/>
      </c>
      <c r="J188" s="6">
        <f>IF($A188="","",'AR &amp; AP'!K189)</f>
        <v/>
      </c>
      <c r="K188" s="6">
        <f>IF($A188="","",ROUND(I188-J188-SUMIFS('Daily Sale entry '!$AC$2:$AC$1501,'Daily Sale entry '!$X$2:$X$1501,"&lt;="&amp;$A188,'Daily Sale entry '!$Z$2:$Z$1501,"Other deposit 其他存入")+SUMIFS('Daily Sale entry '!$AD$2:$AD$1501,'Daily Sale entry '!$X$2:$X$1501,"&lt;="&amp;$A188)+('Opening Balance'!$B$8+SUM('Daily Sale entry '!$L$2:M188)-F188),2))</f>
        <v/>
      </c>
      <c r="L188">
        <f>IF($A188="","",IF(ABS('Sales &amp; Collection'!$B$2616)&gt;'Opening Balance'!$B$16,"ALERT 警报: Different "&amp;TEXT('Sales &amp; Collection'!$B$2616,"#,##0.00")&amp;" 差额过大",""))</f>
        <v/>
      </c>
    </row>
    <row r="189">
      <c r="A189" s="5">
        <f>IF('Daily Sale entry '!A189="","",'Daily Sale entry '!A189)</f>
        <v/>
      </c>
      <c r="B189" s="6">
        <f>IF($A189="","",ROUND('Opening Balance'!$B$4+SUM('Daily Sale entry '!$K$2:K189)+SUMIFS('Daily Sale entry '!$AC$2:$AC$1501,'Daily Sale entry '!$X$2:$X$1501,"&lt;="&amp;$A189)-SUMIFS('Daily Sale entry '!$AD$2:$AD$1501,'Daily Sale entry '!$X$2:$X$1501,"&lt;="&amp;$A189)+SUMPRODUCT(('Daily Sale entry '!$Q$2:$Q$1501="Collection 收款")*('Daily Sale entry '!$R$2:$R$1501="Cheque 支票")*('Daily Sale entry '!$V$2:$V$1501&lt;&gt;"")*('Daily Sale entry '!$V$2:$V$1501&lt;=$A189)*('Daily Sale entry '!$S$2:$S$1501-'Opening Balance'!$B$15*('Daily Sale entry '!$R$2:$R$1501="Cheque 支票")*('Daily Sale entry '!$S$2:$S$1501-TRUNC('Daily Sale entry '!$S$2:$S$1501))))-'Opening Balance'!$B$15*SUMPRODUCT(('Daily Sale entry '!$X$2:$X$1501&lt;=$A189)*('Daily Sale entry '!$Z$2:$Z$1501="Online collection 网上收款")*('Daily Sale entry '!$AA$2:$AA$1501&lt;&gt;"")*('Daily Sale entry '!$AC$2:$AC$1501-TRUNC('Daily Sale entry '!$AC$2:$AC$1501))),2))</f>
        <v/>
      </c>
      <c r="C189" s="8">
        <f>IF($A189="","",'Opening Balance'!$B$5+SUM('Daily Sale entry '!$I$2:I189)-SUMIFS('Daily Sale entry '!$AB$2:$AB$1501,'Daily Sale entry '!$X$2:$X$1501,"&lt;="&amp;$A189,'Daily Sale entry '!$Z$2:$Z$1501,"Cheque deposit 支票存入")-COUNTIFS('Daily Sale entry '!$Q$2:$Q$1501,"Collection 收款",'Daily Sale entry '!$R$2:$R$1501,"Cheque 支票",'Daily Sale entry '!$V$2:$V$1501,"&lt;="&amp;$A189))</f>
        <v/>
      </c>
      <c r="D189" s="6">
        <f>IF($A189="","",ROUND('Opening Balance'!$B$6+SUM('Daily Sale entry '!$J$2:J189)-SUMIFS('Daily Sale entry '!$AC$2:$AC$1501,'Daily Sale entry '!$X$2:$X$1501,"&lt;="&amp;$A189,'Daily Sale entry '!$Z$2:$Z$1501,"Cheque deposit 支票存入")-SUMPRODUCT(('Daily Sale entry '!$Q$2:$Q$1501="Collection 收款")*('Daily Sale entry '!$R$2:$R$1501="Cheque 支票")*('Daily Sale entry '!$V$2:$V$1501&lt;&gt;"")*('Daily Sale entry '!$V$2:$V$1501&lt;=$A189)*('Daily Sale entry '!$S$2:$S$1501-'Opening Balance'!$B$15*('Daily Sale entry '!$R$2:$R$1501="Cheque 支票")*('Daily Sale entry '!$S$2:$S$1501-TRUNC('Daily Sale entry '!$S$2:$S$1501)))),2))</f>
        <v/>
      </c>
      <c r="E189" s="6">
        <f>IF($A189="","",'Opening Balance'!$B$7)</f>
        <v/>
      </c>
      <c r="F189" s="6">
        <f>IF($A189="","",ROUND(SUMIFS('Daily Sale entry '!$L$2:$L$367,'Daily Sale entry '!$A$2:$A$367,"&gt;="&amp;DATE(YEAR($A189),MONTH($A189),1),'Daily Sale entry '!$A$2:$A$367,"&lt;="&amp;$A189)+SUMIFS('Daily Sale entry '!$M$2:$M$367,'Daily Sale entry '!$A$2:$A$367,"&gt;="&amp;DATE(YEAR($A189),MONTH($A189),1),'Daily Sale entry '!$A$2:$A$367,"&lt;="&amp;$A189)+IF(AND(YEAR($A189)=YEAR('Daily Sale entry '!$A$2),MONTH($A189)=MONTH('Daily Sale entry '!$A$2)),'Opening Balance'!$B$8,0),2))</f>
        <v/>
      </c>
      <c r="G189" s="6">
        <f>IF($A189="","",MOD(ROUND('Opening Balance'!$B$9+SUMIFS('Sales &amp; Collection'!$L$1:$L$2621,'Sales &amp; Collection'!$K$1:$K$2621,"cash collection*"),2),'Opening Balance'!$B$11))</f>
        <v/>
      </c>
      <c r="H189" s="6">
        <f>IF($A189="","",ROUND('Opening Balance'!$B$10+'Opening Balance'!$B$9+SUMIFS('Sales &amp; Collection'!$L$1:$L$2621,'Sales &amp; Collection'!$K$1:$K$2621,"cash collection*")-G189-SUMIFS('Daily Sale entry '!$AC$2:$AC$1501,'Daily Sale entry '!$X$2:$X$1501,"&lt;="&amp;$A189,'Daily Sale entry '!$Z$2:$Z$1501,"Cash deposit 现金存入"),2))</f>
        <v/>
      </c>
      <c r="I189" s="6">
        <f>IF($A189="","",ROUND(B189+D189+E189+F189+G189+H189,2))</f>
        <v/>
      </c>
      <c r="J189" s="6">
        <f>IF($A189="","",'AR &amp; AP'!K190)</f>
        <v/>
      </c>
      <c r="K189" s="6">
        <f>IF($A189="","",ROUND(I189-J189-SUMIFS('Daily Sale entry '!$AC$2:$AC$1501,'Daily Sale entry '!$X$2:$X$1501,"&lt;="&amp;$A189,'Daily Sale entry '!$Z$2:$Z$1501,"Other deposit 其他存入")+SUMIFS('Daily Sale entry '!$AD$2:$AD$1501,'Daily Sale entry '!$X$2:$X$1501,"&lt;="&amp;$A189)+('Opening Balance'!$B$8+SUM('Daily Sale entry '!$L$2:M189)-F189),2))</f>
        <v/>
      </c>
      <c r="L189">
        <f>IF($A189="","",IF(ABS('Sales &amp; Collection'!$B$2630)&gt;'Opening Balance'!$B$16,"ALERT 警报: Different "&amp;TEXT('Sales &amp; Collection'!$B$2630,"#,##0.00")&amp;" 差额过大",""))</f>
        <v/>
      </c>
    </row>
    <row r="190">
      <c r="A190" s="5">
        <f>IF('Daily Sale entry '!A190="","",'Daily Sale entry '!A190)</f>
        <v/>
      </c>
      <c r="B190" s="6">
        <f>IF($A190="","",ROUND('Opening Balance'!$B$4+SUM('Daily Sale entry '!$K$2:K190)+SUMIFS('Daily Sale entry '!$AC$2:$AC$1501,'Daily Sale entry '!$X$2:$X$1501,"&lt;="&amp;$A190)-SUMIFS('Daily Sale entry '!$AD$2:$AD$1501,'Daily Sale entry '!$X$2:$X$1501,"&lt;="&amp;$A190)+SUMPRODUCT(('Daily Sale entry '!$Q$2:$Q$1501="Collection 收款")*('Daily Sale entry '!$R$2:$R$1501="Cheque 支票")*('Daily Sale entry '!$V$2:$V$1501&lt;&gt;"")*('Daily Sale entry '!$V$2:$V$1501&lt;=$A190)*('Daily Sale entry '!$S$2:$S$1501-'Opening Balance'!$B$15*('Daily Sale entry '!$R$2:$R$1501="Cheque 支票")*('Daily Sale entry '!$S$2:$S$1501-TRUNC('Daily Sale entry '!$S$2:$S$1501))))-'Opening Balance'!$B$15*SUMPRODUCT(('Daily Sale entry '!$X$2:$X$1501&lt;=$A190)*('Daily Sale entry '!$Z$2:$Z$1501="Online collection 网上收款")*('Daily Sale entry '!$AA$2:$AA$1501&lt;&gt;"")*('Daily Sale entry '!$AC$2:$AC$1501-TRUNC('Daily Sale entry '!$AC$2:$AC$1501))),2))</f>
        <v/>
      </c>
      <c r="C190" s="8">
        <f>IF($A190="","",'Opening Balance'!$B$5+SUM('Daily Sale entry '!$I$2:I190)-SUMIFS('Daily Sale entry '!$AB$2:$AB$1501,'Daily Sale entry '!$X$2:$X$1501,"&lt;="&amp;$A190,'Daily Sale entry '!$Z$2:$Z$1501,"Cheque deposit 支票存入")-COUNTIFS('Daily Sale entry '!$Q$2:$Q$1501,"Collection 收款",'Daily Sale entry '!$R$2:$R$1501,"Cheque 支票",'Daily Sale entry '!$V$2:$V$1501,"&lt;="&amp;$A190))</f>
        <v/>
      </c>
      <c r="D190" s="6">
        <f>IF($A190="","",ROUND('Opening Balance'!$B$6+SUM('Daily Sale entry '!$J$2:J190)-SUMIFS('Daily Sale entry '!$AC$2:$AC$1501,'Daily Sale entry '!$X$2:$X$1501,"&lt;="&amp;$A190,'Daily Sale entry '!$Z$2:$Z$1501,"Cheque deposit 支票存入")-SUMPRODUCT(('Daily Sale entry '!$Q$2:$Q$1501="Collection 收款")*('Daily Sale entry '!$R$2:$R$1501="Cheque 支票")*('Daily Sale entry '!$V$2:$V$1501&lt;&gt;"")*('Daily Sale entry '!$V$2:$V$1501&lt;=$A190)*('Daily Sale entry '!$S$2:$S$1501-'Opening Balance'!$B$15*('Daily Sale entry '!$R$2:$R$1501="Cheque 支票")*('Daily Sale entry '!$S$2:$S$1501-TRUNC('Daily Sale entry '!$S$2:$S$1501)))),2))</f>
        <v/>
      </c>
      <c r="E190" s="6">
        <f>IF($A190="","",'Opening Balance'!$B$7)</f>
        <v/>
      </c>
      <c r="F190" s="6">
        <f>IF($A190="","",ROUND(SUMIFS('Daily Sale entry '!$L$2:$L$367,'Daily Sale entry '!$A$2:$A$367,"&gt;="&amp;DATE(YEAR($A190),MONTH($A190),1),'Daily Sale entry '!$A$2:$A$367,"&lt;="&amp;$A190)+SUMIFS('Daily Sale entry '!$M$2:$M$367,'Daily Sale entry '!$A$2:$A$367,"&gt;="&amp;DATE(YEAR($A190),MONTH($A190),1),'Daily Sale entry '!$A$2:$A$367,"&lt;="&amp;$A190)+IF(AND(YEAR($A190)=YEAR('Daily Sale entry '!$A$2),MONTH($A190)=MONTH('Daily Sale entry '!$A$2)),'Opening Balance'!$B$8,0),2))</f>
        <v/>
      </c>
      <c r="G190" s="6">
        <f>IF($A190="","",MOD(ROUND('Opening Balance'!$B$9+SUMIFS('Sales &amp; Collection'!$L$1:$L$2635,'Sales &amp; Collection'!$K$1:$K$2635,"cash collection*"),2),'Opening Balance'!$B$11))</f>
        <v/>
      </c>
      <c r="H190" s="6">
        <f>IF($A190="","",ROUND('Opening Balance'!$B$10+'Opening Balance'!$B$9+SUMIFS('Sales &amp; Collection'!$L$1:$L$2635,'Sales &amp; Collection'!$K$1:$K$2635,"cash collection*")-G190-SUMIFS('Daily Sale entry '!$AC$2:$AC$1501,'Daily Sale entry '!$X$2:$X$1501,"&lt;="&amp;$A190,'Daily Sale entry '!$Z$2:$Z$1501,"Cash deposit 现金存入"),2))</f>
        <v/>
      </c>
      <c r="I190" s="6">
        <f>IF($A190="","",ROUND(B190+D190+E190+F190+G190+H190,2))</f>
        <v/>
      </c>
      <c r="J190" s="6">
        <f>IF($A190="","",'AR &amp; AP'!K191)</f>
        <v/>
      </c>
      <c r="K190" s="6">
        <f>IF($A190="","",ROUND(I190-J190-SUMIFS('Daily Sale entry '!$AC$2:$AC$1501,'Daily Sale entry '!$X$2:$X$1501,"&lt;="&amp;$A190,'Daily Sale entry '!$Z$2:$Z$1501,"Other deposit 其他存入")+SUMIFS('Daily Sale entry '!$AD$2:$AD$1501,'Daily Sale entry '!$X$2:$X$1501,"&lt;="&amp;$A190)+('Opening Balance'!$B$8+SUM('Daily Sale entry '!$L$2:M190)-F190),2))</f>
        <v/>
      </c>
      <c r="L190">
        <f>IF($A190="","",IF(ABS('Sales &amp; Collection'!$B$2644)&gt;'Opening Balance'!$B$16,"ALERT 警报: Different "&amp;TEXT('Sales &amp; Collection'!$B$2644,"#,##0.00")&amp;" 差额过大",""))</f>
        <v/>
      </c>
    </row>
    <row r="191">
      <c r="A191" s="5">
        <f>IF('Daily Sale entry '!A191="","",'Daily Sale entry '!A191)</f>
        <v/>
      </c>
      <c r="B191" s="6">
        <f>IF($A191="","",ROUND('Opening Balance'!$B$4+SUM('Daily Sale entry '!$K$2:K191)+SUMIFS('Daily Sale entry '!$AC$2:$AC$1501,'Daily Sale entry '!$X$2:$X$1501,"&lt;="&amp;$A191)-SUMIFS('Daily Sale entry '!$AD$2:$AD$1501,'Daily Sale entry '!$X$2:$X$1501,"&lt;="&amp;$A191)+SUMPRODUCT(('Daily Sale entry '!$Q$2:$Q$1501="Collection 收款")*('Daily Sale entry '!$R$2:$R$1501="Cheque 支票")*('Daily Sale entry '!$V$2:$V$1501&lt;&gt;"")*('Daily Sale entry '!$V$2:$V$1501&lt;=$A191)*('Daily Sale entry '!$S$2:$S$1501-'Opening Balance'!$B$15*('Daily Sale entry '!$R$2:$R$1501="Cheque 支票")*('Daily Sale entry '!$S$2:$S$1501-TRUNC('Daily Sale entry '!$S$2:$S$1501))))-'Opening Balance'!$B$15*SUMPRODUCT(('Daily Sale entry '!$X$2:$X$1501&lt;=$A191)*('Daily Sale entry '!$Z$2:$Z$1501="Online collection 网上收款")*('Daily Sale entry '!$AA$2:$AA$1501&lt;&gt;"")*('Daily Sale entry '!$AC$2:$AC$1501-TRUNC('Daily Sale entry '!$AC$2:$AC$1501))),2))</f>
        <v/>
      </c>
      <c r="C191" s="8">
        <f>IF($A191="","",'Opening Balance'!$B$5+SUM('Daily Sale entry '!$I$2:I191)-SUMIFS('Daily Sale entry '!$AB$2:$AB$1501,'Daily Sale entry '!$X$2:$X$1501,"&lt;="&amp;$A191,'Daily Sale entry '!$Z$2:$Z$1501,"Cheque deposit 支票存入")-COUNTIFS('Daily Sale entry '!$Q$2:$Q$1501,"Collection 收款",'Daily Sale entry '!$R$2:$R$1501,"Cheque 支票",'Daily Sale entry '!$V$2:$V$1501,"&lt;="&amp;$A191))</f>
        <v/>
      </c>
      <c r="D191" s="6">
        <f>IF($A191="","",ROUND('Opening Balance'!$B$6+SUM('Daily Sale entry '!$J$2:J191)-SUMIFS('Daily Sale entry '!$AC$2:$AC$1501,'Daily Sale entry '!$X$2:$X$1501,"&lt;="&amp;$A191,'Daily Sale entry '!$Z$2:$Z$1501,"Cheque deposit 支票存入")-SUMPRODUCT(('Daily Sale entry '!$Q$2:$Q$1501="Collection 收款")*('Daily Sale entry '!$R$2:$R$1501="Cheque 支票")*('Daily Sale entry '!$V$2:$V$1501&lt;&gt;"")*('Daily Sale entry '!$V$2:$V$1501&lt;=$A191)*('Daily Sale entry '!$S$2:$S$1501-'Opening Balance'!$B$15*('Daily Sale entry '!$R$2:$R$1501="Cheque 支票")*('Daily Sale entry '!$S$2:$S$1501-TRUNC('Daily Sale entry '!$S$2:$S$1501)))),2))</f>
        <v/>
      </c>
      <c r="E191" s="6">
        <f>IF($A191="","",'Opening Balance'!$B$7)</f>
        <v/>
      </c>
      <c r="F191" s="6">
        <f>IF($A191="","",ROUND(SUMIFS('Daily Sale entry '!$L$2:$L$367,'Daily Sale entry '!$A$2:$A$367,"&gt;="&amp;DATE(YEAR($A191),MONTH($A191),1),'Daily Sale entry '!$A$2:$A$367,"&lt;="&amp;$A191)+SUMIFS('Daily Sale entry '!$M$2:$M$367,'Daily Sale entry '!$A$2:$A$367,"&gt;="&amp;DATE(YEAR($A191),MONTH($A191),1),'Daily Sale entry '!$A$2:$A$367,"&lt;="&amp;$A191)+IF(AND(YEAR($A191)=YEAR('Daily Sale entry '!$A$2),MONTH($A191)=MONTH('Daily Sale entry '!$A$2)),'Opening Balance'!$B$8,0),2))</f>
        <v/>
      </c>
      <c r="G191" s="6">
        <f>IF($A191="","",MOD(ROUND('Opening Balance'!$B$9+SUMIFS('Sales &amp; Collection'!$L$1:$L$2649,'Sales &amp; Collection'!$K$1:$K$2649,"cash collection*"),2),'Opening Balance'!$B$11))</f>
        <v/>
      </c>
      <c r="H191" s="6">
        <f>IF($A191="","",ROUND('Opening Balance'!$B$10+'Opening Balance'!$B$9+SUMIFS('Sales &amp; Collection'!$L$1:$L$2649,'Sales &amp; Collection'!$K$1:$K$2649,"cash collection*")-G191-SUMIFS('Daily Sale entry '!$AC$2:$AC$1501,'Daily Sale entry '!$X$2:$X$1501,"&lt;="&amp;$A191,'Daily Sale entry '!$Z$2:$Z$1501,"Cash deposit 现金存入"),2))</f>
        <v/>
      </c>
      <c r="I191" s="6">
        <f>IF($A191="","",ROUND(B191+D191+E191+F191+G191+H191,2))</f>
        <v/>
      </c>
      <c r="J191" s="6">
        <f>IF($A191="","",'AR &amp; AP'!K192)</f>
        <v/>
      </c>
      <c r="K191" s="6">
        <f>IF($A191="","",ROUND(I191-J191-SUMIFS('Daily Sale entry '!$AC$2:$AC$1501,'Daily Sale entry '!$X$2:$X$1501,"&lt;="&amp;$A191,'Daily Sale entry '!$Z$2:$Z$1501,"Other deposit 其他存入")+SUMIFS('Daily Sale entry '!$AD$2:$AD$1501,'Daily Sale entry '!$X$2:$X$1501,"&lt;="&amp;$A191)+('Opening Balance'!$B$8+SUM('Daily Sale entry '!$L$2:M191)-F191),2))</f>
        <v/>
      </c>
      <c r="L191">
        <f>IF($A191="","",IF(ABS('Sales &amp; Collection'!$B$2658)&gt;'Opening Balance'!$B$16,"ALERT 警报: Different "&amp;TEXT('Sales &amp; Collection'!$B$2658,"#,##0.00")&amp;" 差额过大",""))</f>
        <v/>
      </c>
    </row>
    <row r="192">
      <c r="A192" s="5">
        <f>IF('Daily Sale entry '!A192="","",'Daily Sale entry '!A192)</f>
        <v/>
      </c>
      <c r="B192" s="6">
        <f>IF($A192="","",ROUND('Opening Balance'!$B$4+SUM('Daily Sale entry '!$K$2:K192)+SUMIFS('Daily Sale entry '!$AC$2:$AC$1501,'Daily Sale entry '!$X$2:$X$1501,"&lt;="&amp;$A192)-SUMIFS('Daily Sale entry '!$AD$2:$AD$1501,'Daily Sale entry '!$X$2:$X$1501,"&lt;="&amp;$A192)+SUMPRODUCT(('Daily Sale entry '!$Q$2:$Q$1501="Collection 收款")*('Daily Sale entry '!$R$2:$R$1501="Cheque 支票")*('Daily Sale entry '!$V$2:$V$1501&lt;&gt;"")*('Daily Sale entry '!$V$2:$V$1501&lt;=$A192)*('Daily Sale entry '!$S$2:$S$1501-'Opening Balance'!$B$15*('Daily Sale entry '!$R$2:$R$1501="Cheque 支票")*('Daily Sale entry '!$S$2:$S$1501-TRUNC('Daily Sale entry '!$S$2:$S$1501))))-'Opening Balance'!$B$15*SUMPRODUCT(('Daily Sale entry '!$X$2:$X$1501&lt;=$A192)*('Daily Sale entry '!$Z$2:$Z$1501="Online collection 网上收款")*('Daily Sale entry '!$AA$2:$AA$1501&lt;&gt;"")*('Daily Sale entry '!$AC$2:$AC$1501-TRUNC('Daily Sale entry '!$AC$2:$AC$1501))),2))</f>
        <v/>
      </c>
      <c r="C192" s="8">
        <f>IF($A192="","",'Opening Balance'!$B$5+SUM('Daily Sale entry '!$I$2:I192)-SUMIFS('Daily Sale entry '!$AB$2:$AB$1501,'Daily Sale entry '!$X$2:$X$1501,"&lt;="&amp;$A192,'Daily Sale entry '!$Z$2:$Z$1501,"Cheque deposit 支票存入")-COUNTIFS('Daily Sale entry '!$Q$2:$Q$1501,"Collection 收款",'Daily Sale entry '!$R$2:$R$1501,"Cheque 支票",'Daily Sale entry '!$V$2:$V$1501,"&lt;="&amp;$A192))</f>
        <v/>
      </c>
      <c r="D192" s="6">
        <f>IF($A192="","",ROUND('Opening Balance'!$B$6+SUM('Daily Sale entry '!$J$2:J192)-SUMIFS('Daily Sale entry '!$AC$2:$AC$1501,'Daily Sale entry '!$X$2:$X$1501,"&lt;="&amp;$A192,'Daily Sale entry '!$Z$2:$Z$1501,"Cheque deposit 支票存入")-SUMPRODUCT(('Daily Sale entry '!$Q$2:$Q$1501="Collection 收款")*('Daily Sale entry '!$R$2:$R$1501="Cheque 支票")*('Daily Sale entry '!$V$2:$V$1501&lt;&gt;"")*('Daily Sale entry '!$V$2:$V$1501&lt;=$A192)*('Daily Sale entry '!$S$2:$S$1501-'Opening Balance'!$B$15*('Daily Sale entry '!$R$2:$R$1501="Cheque 支票")*('Daily Sale entry '!$S$2:$S$1501-TRUNC('Daily Sale entry '!$S$2:$S$1501)))),2))</f>
        <v/>
      </c>
      <c r="E192" s="6">
        <f>IF($A192="","",'Opening Balance'!$B$7)</f>
        <v/>
      </c>
      <c r="F192" s="6">
        <f>IF($A192="","",ROUND(SUMIFS('Daily Sale entry '!$L$2:$L$367,'Daily Sale entry '!$A$2:$A$367,"&gt;="&amp;DATE(YEAR($A192),MONTH($A192),1),'Daily Sale entry '!$A$2:$A$367,"&lt;="&amp;$A192)+SUMIFS('Daily Sale entry '!$M$2:$M$367,'Daily Sale entry '!$A$2:$A$367,"&gt;="&amp;DATE(YEAR($A192),MONTH($A192),1),'Daily Sale entry '!$A$2:$A$367,"&lt;="&amp;$A192)+IF(AND(YEAR($A192)=YEAR('Daily Sale entry '!$A$2),MONTH($A192)=MONTH('Daily Sale entry '!$A$2)),'Opening Balance'!$B$8,0),2))</f>
        <v/>
      </c>
      <c r="G192" s="6">
        <f>IF($A192="","",MOD(ROUND('Opening Balance'!$B$9+SUMIFS('Sales &amp; Collection'!$L$1:$L$2663,'Sales &amp; Collection'!$K$1:$K$2663,"cash collection*"),2),'Opening Balance'!$B$11))</f>
        <v/>
      </c>
      <c r="H192" s="6">
        <f>IF($A192="","",ROUND('Opening Balance'!$B$10+'Opening Balance'!$B$9+SUMIFS('Sales &amp; Collection'!$L$1:$L$2663,'Sales &amp; Collection'!$K$1:$K$2663,"cash collection*")-G192-SUMIFS('Daily Sale entry '!$AC$2:$AC$1501,'Daily Sale entry '!$X$2:$X$1501,"&lt;="&amp;$A192,'Daily Sale entry '!$Z$2:$Z$1501,"Cash deposit 现金存入"),2))</f>
        <v/>
      </c>
      <c r="I192" s="6">
        <f>IF($A192="","",ROUND(B192+D192+E192+F192+G192+H192,2))</f>
        <v/>
      </c>
      <c r="J192" s="6">
        <f>IF($A192="","",'AR &amp; AP'!K193)</f>
        <v/>
      </c>
      <c r="K192" s="6">
        <f>IF($A192="","",ROUND(I192-J192-SUMIFS('Daily Sale entry '!$AC$2:$AC$1501,'Daily Sale entry '!$X$2:$X$1501,"&lt;="&amp;$A192,'Daily Sale entry '!$Z$2:$Z$1501,"Other deposit 其他存入")+SUMIFS('Daily Sale entry '!$AD$2:$AD$1501,'Daily Sale entry '!$X$2:$X$1501,"&lt;="&amp;$A192)+('Opening Balance'!$B$8+SUM('Daily Sale entry '!$L$2:M192)-F192),2))</f>
        <v/>
      </c>
      <c r="L192">
        <f>IF($A192="","",IF(ABS('Sales &amp; Collection'!$B$2672)&gt;'Opening Balance'!$B$16,"ALERT 警报: Different "&amp;TEXT('Sales &amp; Collection'!$B$2672,"#,##0.00")&amp;" 差额过大",""))</f>
        <v/>
      </c>
    </row>
    <row r="193">
      <c r="A193" s="5">
        <f>IF('Daily Sale entry '!A193="","",'Daily Sale entry '!A193)</f>
        <v/>
      </c>
      <c r="B193" s="6">
        <f>IF($A193="","",ROUND('Opening Balance'!$B$4+SUM('Daily Sale entry '!$K$2:K193)+SUMIFS('Daily Sale entry '!$AC$2:$AC$1501,'Daily Sale entry '!$X$2:$X$1501,"&lt;="&amp;$A193)-SUMIFS('Daily Sale entry '!$AD$2:$AD$1501,'Daily Sale entry '!$X$2:$X$1501,"&lt;="&amp;$A193)+SUMPRODUCT(('Daily Sale entry '!$Q$2:$Q$1501="Collection 收款")*('Daily Sale entry '!$R$2:$R$1501="Cheque 支票")*('Daily Sale entry '!$V$2:$V$1501&lt;&gt;"")*('Daily Sale entry '!$V$2:$V$1501&lt;=$A193)*('Daily Sale entry '!$S$2:$S$1501-'Opening Balance'!$B$15*('Daily Sale entry '!$R$2:$R$1501="Cheque 支票")*('Daily Sale entry '!$S$2:$S$1501-TRUNC('Daily Sale entry '!$S$2:$S$1501))))-'Opening Balance'!$B$15*SUMPRODUCT(('Daily Sale entry '!$X$2:$X$1501&lt;=$A193)*('Daily Sale entry '!$Z$2:$Z$1501="Online collection 网上收款")*('Daily Sale entry '!$AA$2:$AA$1501&lt;&gt;"")*('Daily Sale entry '!$AC$2:$AC$1501-TRUNC('Daily Sale entry '!$AC$2:$AC$1501))),2))</f>
        <v/>
      </c>
      <c r="C193" s="8">
        <f>IF($A193="","",'Opening Balance'!$B$5+SUM('Daily Sale entry '!$I$2:I193)-SUMIFS('Daily Sale entry '!$AB$2:$AB$1501,'Daily Sale entry '!$X$2:$X$1501,"&lt;="&amp;$A193,'Daily Sale entry '!$Z$2:$Z$1501,"Cheque deposit 支票存入")-COUNTIFS('Daily Sale entry '!$Q$2:$Q$1501,"Collection 收款",'Daily Sale entry '!$R$2:$R$1501,"Cheque 支票",'Daily Sale entry '!$V$2:$V$1501,"&lt;="&amp;$A193))</f>
        <v/>
      </c>
      <c r="D193" s="6">
        <f>IF($A193="","",ROUND('Opening Balance'!$B$6+SUM('Daily Sale entry '!$J$2:J193)-SUMIFS('Daily Sale entry '!$AC$2:$AC$1501,'Daily Sale entry '!$X$2:$X$1501,"&lt;="&amp;$A193,'Daily Sale entry '!$Z$2:$Z$1501,"Cheque deposit 支票存入")-SUMPRODUCT(('Daily Sale entry '!$Q$2:$Q$1501="Collection 收款")*('Daily Sale entry '!$R$2:$R$1501="Cheque 支票")*('Daily Sale entry '!$V$2:$V$1501&lt;&gt;"")*('Daily Sale entry '!$V$2:$V$1501&lt;=$A193)*('Daily Sale entry '!$S$2:$S$1501-'Opening Balance'!$B$15*('Daily Sale entry '!$R$2:$R$1501="Cheque 支票")*('Daily Sale entry '!$S$2:$S$1501-TRUNC('Daily Sale entry '!$S$2:$S$1501)))),2))</f>
        <v/>
      </c>
      <c r="E193" s="6">
        <f>IF($A193="","",'Opening Balance'!$B$7)</f>
        <v/>
      </c>
      <c r="F193" s="6">
        <f>IF($A193="","",ROUND(SUMIFS('Daily Sale entry '!$L$2:$L$367,'Daily Sale entry '!$A$2:$A$367,"&gt;="&amp;DATE(YEAR($A193),MONTH($A193),1),'Daily Sale entry '!$A$2:$A$367,"&lt;="&amp;$A193)+SUMIFS('Daily Sale entry '!$M$2:$M$367,'Daily Sale entry '!$A$2:$A$367,"&gt;="&amp;DATE(YEAR($A193),MONTH($A193),1),'Daily Sale entry '!$A$2:$A$367,"&lt;="&amp;$A193)+IF(AND(YEAR($A193)=YEAR('Daily Sale entry '!$A$2),MONTH($A193)=MONTH('Daily Sale entry '!$A$2)),'Opening Balance'!$B$8,0),2))</f>
        <v/>
      </c>
      <c r="G193" s="6">
        <f>IF($A193="","",MOD(ROUND('Opening Balance'!$B$9+SUMIFS('Sales &amp; Collection'!$L$1:$L$2677,'Sales &amp; Collection'!$K$1:$K$2677,"cash collection*"),2),'Opening Balance'!$B$11))</f>
        <v/>
      </c>
      <c r="H193" s="6">
        <f>IF($A193="","",ROUND('Opening Balance'!$B$10+'Opening Balance'!$B$9+SUMIFS('Sales &amp; Collection'!$L$1:$L$2677,'Sales &amp; Collection'!$K$1:$K$2677,"cash collection*")-G193-SUMIFS('Daily Sale entry '!$AC$2:$AC$1501,'Daily Sale entry '!$X$2:$X$1501,"&lt;="&amp;$A193,'Daily Sale entry '!$Z$2:$Z$1501,"Cash deposit 现金存入"),2))</f>
        <v/>
      </c>
      <c r="I193" s="6">
        <f>IF($A193="","",ROUND(B193+D193+E193+F193+G193+H193,2))</f>
        <v/>
      </c>
      <c r="J193" s="6">
        <f>IF($A193="","",'AR &amp; AP'!K194)</f>
        <v/>
      </c>
      <c r="K193" s="6">
        <f>IF($A193="","",ROUND(I193-J193-SUMIFS('Daily Sale entry '!$AC$2:$AC$1501,'Daily Sale entry '!$X$2:$X$1501,"&lt;="&amp;$A193,'Daily Sale entry '!$Z$2:$Z$1501,"Other deposit 其他存入")+SUMIFS('Daily Sale entry '!$AD$2:$AD$1501,'Daily Sale entry '!$X$2:$X$1501,"&lt;="&amp;$A193)+('Opening Balance'!$B$8+SUM('Daily Sale entry '!$L$2:M193)-F193),2))</f>
        <v/>
      </c>
      <c r="L193">
        <f>IF($A193="","",IF(ABS('Sales &amp; Collection'!$B$2686)&gt;'Opening Balance'!$B$16,"ALERT 警报: Different "&amp;TEXT('Sales &amp; Collection'!$B$2686,"#,##0.00")&amp;" 差额过大",""))</f>
        <v/>
      </c>
    </row>
    <row r="194">
      <c r="A194" s="5">
        <f>IF('Daily Sale entry '!A194="","",'Daily Sale entry '!A194)</f>
        <v/>
      </c>
      <c r="B194" s="6">
        <f>IF($A194="","",ROUND('Opening Balance'!$B$4+SUM('Daily Sale entry '!$K$2:K194)+SUMIFS('Daily Sale entry '!$AC$2:$AC$1501,'Daily Sale entry '!$X$2:$X$1501,"&lt;="&amp;$A194)-SUMIFS('Daily Sale entry '!$AD$2:$AD$1501,'Daily Sale entry '!$X$2:$X$1501,"&lt;="&amp;$A194)+SUMPRODUCT(('Daily Sale entry '!$Q$2:$Q$1501="Collection 收款")*('Daily Sale entry '!$R$2:$R$1501="Cheque 支票")*('Daily Sale entry '!$V$2:$V$1501&lt;&gt;"")*('Daily Sale entry '!$V$2:$V$1501&lt;=$A194)*('Daily Sale entry '!$S$2:$S$1501-'Opening Balance'!$B$15*('Daily Sale entry '!$R$2:$R$1501="Cheque 支票")*('Daily Sale entry '!$S$2:$S$1501-TRUNC('Daily Sale entry '!$S$2:$S$1501))))-'Opening Balance'!$B$15*SUMPRODUCT(('Daily Sale entry '!$X$2:$X$1501&lt;=$A194)*('Daily Sale entry '!$Z$2:$Z$1501="Online collection 网上收款")*('Daily Sale entry '!$AA$2:$AA$1501&lt;&gt;"")*('Daily Sale entry '!$AC$2:$AC$1501-TRUNC('Daily Sale entry '!$AC$2:$AC$1501))),2))</f>
        <v/>
      </c>
      <c r="C194" s="8">
        <f>IF($A194="","",'Opening Balance'!$B$5+SUM('Daily Sale entry '!$I$2:I194)-SUMIFS('Daily Sale entry '!$AB$2:$AB$1501,'Daily Sale entry '!$X$2:$X$1501,"&lt;="&amp;$A194,'Daily Sale entry '!$Z$2:$Z$1501,"Cheque deposit 支票存入")-COUNTIFS('Daily Sale entry '!$Q$2:$Q$1501,"Collection 收款",'Daily Sale entry '!$R$2:$R$1501,"Cheque 支票",'Daily Sale entry '!$V$2:$V$1501,"&lt;="&amp;$A194))</f>
        <v/>
      </c>
      <c r="D194" s="6">
        <f>IF($A194="","",ROUND('Opening Balance'!$B$6+SUM('Daily Sale entry '!$J$2:J194)-SUMIFS('Daily Sale entry '!$AC$2:$AC$1501,'Daily Sale entry '!$X$2:$X$1501,"&lt;="&amp;$A194,'Daily Sale entry '!$Z$2:$Z$1501,"Cheque deposit 支票存入")-SUMPRODUCT(('Daily Sale entry '!$Q$2:$Q$1501="Collection 收款")*('Daily Sale entry '!$R$2:$R$1501="Cheque 支票")*('Daily Sale entry '!$V$2:$V$1501&lt;&gt;"")*('Daily Sale entry '!$V$2:$V$1501&lt;=$A194)*('Daily Sale entry '!$S$2:$S$1501-'Opening Balance'!$B$15*('Daily Sale entry '!$R$2:$R$1501="Cheque 支票")*('Daily Sale entry '!$S$2:$S$1501-TRUNC('Daily Sale entry '!$S$2:$S$1501)))),2))</f>
        <v/>
      </c>
      <c r="E194" s="6">
        <f>IF($A194="","",'Opening Balance'!$B$7)</f>
        <v/>
      </c>
      <c r="F194" s="6">
        <f>IF($A194="","",ROUND(SUMIFS('Daily Sale entry '!$L$2:$L$367,'Daily Sale entry '!$A$2:$A$367,"&gt;="&amp;DATE(YEAR($A194),MONTH($A194),1),'Daily Sale entry '!$A$2:$A$367,"&lt;="&amp;$A194)+SUMIFS('Daily Sale entry '!$M$2:$M$367,'Daily Sale entry '!$A$2:$A$367,"&gt;="&amp;DATE(YEAR($A194),MONTH($A194),1),'Daily Sale entry '!$A$2:$A$367,"&lt;="&amp;$A194)+IF(AND(YEAR($A194)=YEAR('Daily Sale entry '!$A$2),MONTH($A194)=MONTH('Daily Sale entry '!$A$2)),'Opening Balance'!$B$8,0),2))</f>
        <v/>
      </c>
      <c r="G194" s="6">
        <f>IF($A194="","",MOD(ROUND('Opening Balance'!$B$9+SUMIFS('Sales &amp; Collection'!$L$1:$L$2691,'Sales &amp; Collection'!$K$1:$K$2691,"cash collection*"),2),'Opening Balance'!$B$11))</f>
        <v/>
      </c>
      <c r="H194" s="6">
        <f>IF($A194="","",ROUND('Opening Balance'!$B$10+'Opening Balance'!$B$9+SUMIFS('Sales &amp; Collection'!$L$1:$L$2691,'Sales &amp; Collection'!$K$1:$K$2691,"cash collection*")-G194-SUMIFS('Daily Sale entry '!$AC$2:$AC$1501,'Daily Sale entry '!$X$2:$X$1501,"&lt;="&amp;$A194,'Daily Sale entry '!$Z$2:$Z$1501,"Cash deposit 现金存入"),2))</f>
        <v/>
      </c>
      <c r="I194" s="6">
        <f>IF($A194="","",ROUND(B194+D194+E194+F194+G194+H194,2))</f>
        <v/>
      </c>
      <c r="J194" s="6">
        <f>IF($A194="","",'AR &amp; AP'!K195)</f>
        <v/>
      </c>
      <c r="K194" s="6">
        <f>IF($A194="","",ROUND(I194-J194-SUMIFS('Daily Sale entry '!$AC$2:$AC$1501,'Daily Sale entry '!$X$2:$X$1501,"&lt;="&amp;$A194,'Daily Sale entry '!$Z$2:$Z$1501,"Other deposit 其他存入")+SUMIFS('Daily Sale entry '!$AD$2:$AD$1501,'Daily Sale entry '!$X$2:$X$1501,"&lt;="&amp;$A194)+('Opening Balance'!$B$8+SUM('Daily Sale entry '!$L$2:M194)-F194),2))</f>
        <v/>
      </c>
      <c r="L194">
        <f>IF($A194="","",IF(ABS('Sales &amp; Collection'!$B$2700)&gt;'Opening Balance'!$B$16,"ALERT 警报: Different "&amp;TEXT('Sales &amp; Collection'!$B$2700,"#,##0.00")&amp;" 差额过大",""))</f>
        <v/>
      </c>
    </row>
    <row r="195">
      <c r="A195" s="5">
        <f>IF('Daily Sale entry '!A195="","",'Daily Sale entry '!A195)</f>
        <v/>
      </c>
      <c r="B195" s="6">
        <f>IF($A195="","",ROUND('Opening Balance'!$B$4+SUM('Daily Sale entry '!$K$2:K195)+SUMIFS('Daily Sale entry '!$AC$2:$AC$1501,'Daily Sale entry '!$X$2:$X$1501,"&lt;="&amp;$A195)-SUMIFS('Daily Sale entry '!$AD$2:$AD$1501,'Daily Sale entry '!$X$2:$X$1501,"&lt;="&amp;$A195)+SUMPRODUCT(('Daily Sale entry '!$Q$2:$Q$1501="Collection 收款")*('Daily Sale entry '!$R$2:$R$1501="Cheque 支票")*('Daily Sale entry '!$V$2:$V$1501&lt;&gt;"")*('Daily Sale entry '!$V$2:$V$1501&lt;=$A195)*('Daily Sale entry '!$S$2:$S$1501-'Opening Balance'!$B$15*('Daily Sale entry '!$R$2:$R$1501="Cheque 支票")*('Daily Sale entry '!$S$2:$S$1501-TRUNC('Daily Sale entry '!$S$2:$S$1501))))-'Opening Balance'!$B$15*SUMPRODUCT(('Daily Sale entry '!$X$2:$X$1501&lt;=$A195)*('Daily Sale entry '!$Z$2:$Z$1501="Online collection 网上收款")*('Daily Sale entry '!$AA$2:$AA$1501&lt;&gt;"")*('Daily Sale entry '!$AC$2:$AC$1501-TRUNC('Daily Sale entry '!$AC$2:$AC$1501))),2))</f>
        <v/>
      </c>
      <c r="C195" s="8">
        <f>IF($A195="","",'Opening Balance'!$B$5+SUM('Daily Sale entry '!$I$2:I195)-SUMIFS('Daily Sale entry '!$AB$2:$AB$1501,'Daily Sale entry '!$X$2:$X$1501,"&lt;="&amp;$A195,'Daily Sale entry '!$Z$2:$Z$1501,"Cheque deposit 支票存入")-COUNTIFS('Daily Sale entry '!$Q$2:$Q$1501,"Collection 收款",'Daily Sale entry '!$R$2:$R$1501,"Cheque 支票",'Daily Sale entry '!$V$2:$V$1501,"&lt;="&amp;$A195))</f>
        <v/>
      </c>
      <c r="D195" s="6">
        <f>IF($A195="","",ROUND('Opening Balance'!$B$6+SUM('Daily Sale entry '!$J$2:J195)-SUMIFS('Daily Sale entry '!$AC$2:$AC$1501,'Daily Sale entry '!$X$2:$X$1501,"&lt;="&amp;$A195,'Daily Sale entry '!$Z$2:$Z$1501,"Cheque deposit 支票存入")-SUMPRODUCT(('Daily Sale entry '!$Q$2:$Q$1501="Collection 收款")*('Daily Sale entry '!$R$2:$R$1501="Cheque 支票")*('Daily Sale entry '!$V$2:$V$1501&lt;&gt;"")*('Daily Sale entry '!$V$2:$V$1501&lt;=$A195)*('Daily Sale entry '!$S$2:$S$1501-'Opening Balance'!$B$15*('Daily Sale entry '!$R$2:$R$1501="Cheque 支票")*('Daily Sale entry '!$S$2:$S$1501-TRUNC('Daily Sale entry '!$S$2:$S$1501)))),2))</f>
        <v/>
      </c>
      <c r="E195" s="6">
        <f>IF($A195="","",'Opening Balance'!$B$7)</f>
        <v/>
      </c>
      <c r="F195" s="6">
        <f>IF($A195="","",ROUND(SUMIFS('Daily Sale entry '!$L$2:$L$367,'Daily Sale entry '!$A$2:$A$367,"&gt;="&amp;DATE(YEAR($A195),MONTH($A195),1),'Daily Sale entry '!$A$2:$A$367,"&lt;="&amp;$A195)+SUMIFS('Daily Sale entry '!$M$2:$M$367,'Daily Sale entry '!$A$2:$A$367,"&gt;="&amp;DATE(YEAR($A195),MONTH($A195),1),'Daily Sale entry '!$A$2:$A$367,"&lt;="&amp;$A195)+IF(AND(YEAR($A195)=YEAR('Daily Sale entry '!$A$2),MONTH($A195)=MONTH('Daily Sale entry '!$A$2)),'Opening Balance'!$B$8,0),2))</f>
        <v/>
      </c>
      <c r="G195" s="6">
        <f>IF($A195="","",MOD(ROUND('Opening Balance'!$B$9+SUMIFS('Sales &amp; Collection'!$L$1:$L$2705,'Sales &amp; Collection'!$K$1:$K$2705,"cash collection*"),2),'Opening Balance'!$B$11))</f>
        <v/>
      </c>
      <c r="H195" s="6">
        <f>IF($A195="","",ROUND('Opening Balance'!$B$10+'Opening Balance'!$B$9+SUMIFS('Sales &amp; Collection'!$L$1:$L$2705,'Sales &amp; Collection'!$K$1:$K$2705,"cash collection*")-G195-SUMIFS('Daily Sale entry '!$AC$2:$AC$1501,'Daily Sale entry '!$X$2:$X$1501,"&lt;="&amp;$A195,'Daily Sale entry '!$Z$2:$Z$1501,"Cash deposit 现金存入"),2))</f>
        <v/>
      </c>
      <c r="I195" s="6">
        <f>IF($A195="","",ROUND(B195+D195+E195+F195+G195+H195,2))</f>
        <v/>
      </c>
      <c r="J195" s="6">
        <f>IF($A195="","",'AR &amp; AP'!K196)</f>
        <v/>
      </c>
      <c r="K195" s="6">
        <f>IF($A195="","",ROUND(I195-J195-SUMIFS('Daily Sale entry '!$AC$2:$AC$1501,'Daily Sale entry '!$X$2:$X$1501,"&lt;="&amp;$A195,'Daily Sale entry '!$Z$2:$Z$1501,"Other deposit 其他存入")+SUMIFS('Daily Sale entry '!$AD$2:$AD$1501,'Daily Sale entry '!$X$2:$X$1501,"&lt;="&amp;$A195)+('Opening Balance'!$B$8+SUM('Daily Sale entry '!$L$2:M195)-F195),2))</f>
        <v/>
      </c>
      <c r="L195">
        <f>IF($A195="","",IF(ABS('Sales &amp; Collection'!$B$2714)&gt;'Opening Balance'!$B$16,"ALERT 警报: Different "&amp;TEXT('Sales &amp; Collection'!$B$2714,"#,##0.00")&amp;" 差额过大",""))</f>
        <v/>
      </c>
    </row>
    <row r="196">
      <c r="A196" s="5">
        <f>IF('Daily Sale entry '!A196="","",'Daily Sale entry '!A196)</f>
        <v/>
      </c>
      <c r="B196" s="6">
        <f>IF($A196="","",ROUND('Opening Balance'!$B$4+SUM('Daily Sale entry '!$K$2:K196)+SUMIFS('Daily Sale entry '!$AC$2:$AC$1501,'Daily Sale entry '!$X$2:$X$1501,"&lt;="&amp;$A196)-SUMIFS('Daily Sale entry '!$AD$2:$AD$1501,'Daily Sale entry '!$X$2:$X$1501,"&lt;="&amp;$A196)+SUMPRODUCT(('Daily Sale entry '!$Q$2:$Q$1501="Collection 收款")*('Daily Sale entry '!$R$2:$R$1501="Cheque 支票")*('Daily Sale entry '!$V$2:$V$1501&lt;&gt;"")*('Daily Sale entry '!$V$2:$V$1501&lt;=$A196)*('Daily Sale entry '!$S$2:$S$1501-'Opening Balance'!$B$15*('Daily Sale entry '!$R$2:$R$1501="Cheque 支票")*('Daily Sale entry '!$S$2:$S$1501-TRUNC('Daily Sale entry '!$S$2:$S$1501))))-'Opening Balance'!$B$15*SUMPRODUCT(('Daily Sale entry '!$X$2:$X$1501&lt;=$A196)*('Daily Sale entry '!$Z$2:$Z$1501="Online collection 网上收款")*('Daily Sale entry '!$AA$2:$AA$1501&lt;&gt;"")*('Daily Sale entry '!$AC$2:$AC$1501-TRUNC('Daily Sale entry '!$AC$2:$AC$1501))),2))</f>
        <v/>
      </c>
      <c r="C196" s="8">
        <f>IF($A196="","",'Opening Balance'!$B$5+SUM('Daily Sale entry '!$I$2:I196)-SUMIFS('Daily Sale entry '!$AB$2:$AB$1501,'Daily Sale entry '!$X$2:$X$1501,"&lt;="&amp;$A196,'Daily Sale entry '!$Z$2:$Z$1501,"Cheque deposit 支票存入")-COUNTIFS('Daily Sale entry '!$Q$2:$Q$1501,"Collection 收款",'Daily Sale entry '!$R$2:$R$1501,"Cheque 支票",'Daily Sale entry '!$V$2:$V$1501,"&lt;="&amp;$A196))</f>
        <v/>
      </c>
      <c r="D196" s="6">
        <f>IF($A196="","",ROUND('Opening Balance'!$B$6+SUM('Daily Sale entry '!$J$2:J196)-SUMIFS('Daily Sale entry '!$AC$2:$AC$1501,'Daily Sale entry '!$X$2:$X$1501,"&lt;="&amp;$A196,'Daily Sale entry '!$Z$2:$Z$1501,"Cheque deposit 支票存入")-SUMPRODUCT(('Daily Sale entry '!$Q$2:$Q$1501="Collection 收款")*('Daily Sale entry '!$R$2:$R$1501="Cheque 支票")*('Daily Sale entry '!$V$2:$V$1501&lt;&gt;"")*('Daily Sale entry '!$V$2:$V$1501&lt;=$A196)*('Daily Sale entry '!$S$2:$S$1501-'Opening Balance'!$B$15*('Daily Sale entry '!$R$2:$R$1501="Cheque 支票")*('Daily Sale entry '!$S$2:$S$1501-TRUNC('Daily Sale entry '!$S$2:$S$1501)))),2))</f>
        <v/>
      </c>
      <c r="E196" s="6">
        <f>IF($A196="","",'Opening Balance'!$B$7)</f>
        <v/>
      </c>
      <c r="F196" s="6">
        <f>IF($A196="","",ROUND(SUMIFS('Daily Sale entry '!$L$2:$L$367,'Daily Sale entry '!$A$2:$A$367,"&gt;="&amp;DATE(YEAR($A196),MONTH($A196),1),'Daily Sale entry '!$A$2:$A$367,"&lt;="&amp;$A196)+SUMIFS('Daily Sale entry '!$M$2:$M$367,'Daily Sale entry '!$A$2:$A$367,"&gt;="&amp;DATE(YEAR($A196),MONTH($A196),1),'Daily Sale entry '!$A$2:$A$367,"&lt;="&amp;$A196)+IF(AND(YEAR($A196)=YEAR('Daily Sale entry '!$A$2),MONTH($A196)=MONTH('Daily Sale entry '!$A$2)),'Opening Balance'!$B$8,0),2))</f>
        <v/>
      </c>
      <c r="G196" s="6">
        <f>IF($A196="","",MOD(ROUND('Opening Balance'!$B$9+SUMIFS('Sales &amp; Collection'!$L$1:$L$2719,'Sales &amp; Collection'!$K$1:$K$2719,"cash collection*"),2),'Opening Balance'!$B$11))</f>
        <v/>
      </c>
      <c r="H196" s="6">
        <f>IF($A196="","",ROUND('Opening Balance'!$B$10+'Opening Balance'!$B$9+SUMIFS('Sales &amp; Collection'!$L$1:$L$2719,'Sales &amp; Collection'!$K$1:$K$2719,"cash collection*")-G196-SUMIFS('Daily Sale entry '!$AC$2:$AC$1501,'Daily Sale entry '!$X$2:$X$1501,"&lt;="&amp;$A196,'Daily Sale entry '!$Z$2:$Z$1501,"Cash deposit 现金存入"),2))</f>
        <v/>
      </c>
      <c r="I196" s="6">
        <f>IF($A196="","",ROUND(B196+D196+E196+F196+G196+H196,2))</f>
        <v/>
      </c>
      <c r="J196" s="6">
        <f>IF($A196="","",'AR &amp; AP'!K197)</f>
        <v/>
      </c>
      <c r="K196" s="6">
        <f>IF($A196="","",ROUND(I196-J196-SUMIFS('Daily Sale entry '!$AC$2:$AC$1501,'Daily Sale entry '!$X$2:$X$1501,"&lt;="&amp;$A196,'Daily Sale entry '!$Z$2:$Z$1501,"Other deposit 其他存入")+SUMIFS('Daily Sale entry '!$AD$2:$AD$1501,'Daily Sale entry '!$X$2:$X$1501,"&lt;="&amp;$A196)+('Opening Balance'!$B$8+SUM('Daily Sale entry '!$L$2:M196)-F196),2))</f>
        <v/>
      </c>
      <c r="L196">
        <f>IF($A196="","",IF(ABS('Sales &amp; Collection'!$B$2728)&gt;'Opening Balance'!$B$16,"ALERT 警报: Different "&amp;TEXT('Sales &amp; Collection'!$B$2728,"#,##0.00")&amp;" 差额过大",""))</f>
        <v/>
      </c>
    </row>
    <row r="197">
      <c r="A197" s="5">
        <f>IF('Daily Sale entry '!A197="","",'Daily Sale entry '!A197)</f>
        <v/>
      </c>
      <c r="B197" s="6">
        <f>IF($A197="","",ROUND('Opening Balance'!$B$4+SUM('Daily Sale entry '!$K$2:K197)+SUMIFS('Daily Sale entry '!$AC$2:$AC$1501,'Daily Sale entry '!$X$2:$X$1501,"&lt;="&amp;$A197)-SUMIFS('Daily Sale entry '!$AD$2:$AD$1501,'Daily Sale entry '!$X$2:$X$1501,"&lt;="&amp;$A197)+SUMPRODUCT(('Daily Sale entry '!$Q$2:$Q$1501="Collection 收款")*('Daily Sale entry '!$R$2:$R$1501="Cheque 支票")*('Daily Sale entry '!$V$2:$V$1501&lt;&gt;"")*('Daily Sale entry '!$V$2:$V$1501&lt;=$A197)*('Daily Sale entry '!$S$2:$S$1501-'Opening Balance'!$B$15*('Daily Sale entry '!$R$2:$R$1501="Cheque 支票")*('Daily Sale entry '!$S$2:$S$1501-TRUNC('Daily Sale entry '!$S$2:$S$1501))))-'Opening Balance'!$B$15*SUMPRODUCT(('Daily Sale entry '!$X$2:$X$1501&lt;=$A197)*('Daily Sale entry '!$Z$2:$Z$1501="Online collection 网上收款")*('Daily Sale entry '!$AA$2:$AA$1501&lt;&gt;"")*('Daily Sale entry '!$AC$2:$AC$1501-TRUNC('Daily Sale entry '!$AC$2:$AC$1501))),2))</f>
        <v/>
      </c>
      <c r="C197" s="8">
        <f>IF($A197="","",'Opening Balance'!$B$5+SUM('Daily Sale entry '!$I$2:I197)-SUMIFS('Daily Sale entry '!$AB$2:$AB$1501,'Daily Sale entry '!$X$2:$X$1501,"&lt;="&amp;$A197,'Daily Sale entry '!$Z$2:$Z$1501,"Cheque deposit 支票存入")-COUNTIFS('Daily Sale entry '!$Q$2:$Q$1501,"Collection 收款",'Daily Sale entry '!$R$2:$R$1501,"Cheque 支票",'Daily Sale entry '!$V$2:$V$1501,"&lt;="&amp;$A197))</f>
        <v/>
      </c>
      <c r="D197" s="6">
        <f>IF($A197="","",ROUND('Opening Balance'!$B$6+SUM('Daily Sale entry '!$J$2:J197)-SUMIFS('Daily Sale entry '!$AC$2:$AC$1501,'Daily Sale entry '!$X$2:$X$1501,"&lt;="&amp;$A197,'Daily Sale entry '!$Z$2:$Z$1501,"Cheque deposit 支票存入")-SUMPRODUCT(('Daily Sale entry '!$Q$2:$Q$1501="Collection 收款")*('Daily Sale entry '!$R$2:$R$1501="Cheque 支票")*('Daily Sale entry '!$V$2:$V$1501&lt;&gt;"")*('Daily Sale entry '!$V$2:$V$1501&lt;=$A197)*('Daily Sale entry '!$S$2:$S$1501-'Opening Balance'!$B$15*('Daily Sale entry '!$R$2:$R$1501="Cheque 支票")*('Daily Sale entry '!$S$2:$S$1501-TRUNC('Daily Sale entry '!$S$2:$S$1501)))),2))</f>
        <v/>
      </c>
      <c r="E197" s="6">
        <f>IF($A197="","",'Opening Balance'!$B$7)</f>
        <v/>
      </c>
      <c r="F197" s="6">
        <f>IF($A197="","",ROUND(SUMIFS('Daily Sale entry '!$L$2:$L$367,'Daily Sale entry '!$A$2:$A$367,"&gt;="&amp;DATE(YEAR($A197),MONTH($A197),1),'Daily Sale entry '!$A$2:$A$367,"&lt;="&amp;$A197)+SUMIFS('Daily Sale entry '!$M$2:$M$367,'Daily Sale entry '!$A$2:$A$367,"&gt;="&amp;DATE(YEAR($A197),MONTH($A197),1),'Daily Sale entry '!$A$2:$A$367,"&lt;="&amp;$A197)+IF(AND(YEAR($A197)=YEAR('Daily Sale entry '!$A$2),MONTH($A197)=MONTH('Daily Sale entry '!$A$2)),'Opening Balance'!$B$8,0),2))</f>
        <v/>
      </c>
      <c r="G197" s="6">
        <f>IF($A197="","",MOD(ROUND('Opening Balance'!$B$9+SUMIFS('Sales &amp; Collection'!$L$1:$L$2733,'Sales &amp; Collection'!$K$1:$K$2733,"cash collection*"),2),'Opening Balance'!$B$11))</f>
        <v/>
      </c>
      <c r="H197" s="6">
        <f>IF($A197="","",ROUND('Opening Balance'!$B$10+'Opening Balance'!$B$9+SUMIFS('Sales &amp; Collection'!$L$1:$L$2733,'Sales &amp; Collection'!$K$1:$K$2733,"cash collection*")-G197-SUMIFS('Daily Sale entry '!$AC$2:$AC$1501,'Daily Sale entry '!$X$2:$X$1501,"&lt;="&amp;$A197,'Daily Sale entry '!$Z$2:$Z$1501,"Cash deposit 现金存入"),2))</f>
        <v/>
      </c>
      <c r="I197" s="6">
        <f>IF($A197="","",ROUND(B197+D197+E197+F197+G197+H197,2))</f>
        <v/>
      </c>
      <c r="J197" s="6">
        <f>IF($A197="","",'AR &amp; AP'!K198)</f>
        <v/>
      </c>
      <c r="K197" s="6">
        <f>IF($A197="","",ROUND(I197-J197-SUMIFS('Daily Sale entry '!$AC$2:$AC$1501,'Daily Sale entry '!$X$2:$X$1501,"&lt;="&amp;$A197,'Daily Sale entry '!$Z$2:$Z$1501,"Other deposit 其他存入")+SUMIFS('Daily Sale entry '!$AD$2:$AD$1501,'Daily Sale entry '!$X$2:$X$1501,"&lt;="&amp;$A197)+('Opening Balance'!$B$8+SUM('Daily Sale entry '!$L$2:M197)-F197),2))</f>
        <v/>
      </c>
      <c r="L197">
        <f>IF($A197="","",IF(ABS('Sales &amp; Collection'!$B$2742)&gt;'Opening Balance'!$B$16,"ALERT 警报: Different "&amp;TEXT('Sales &amp; Collection'!$B$2742,"#,##0.00")&amp;" 差额过大",""))</f>
        <v/>
      </c>
    </row>
    <row r="198">
      <c r="A198" s="5">
        <f>IF('Daily Sale entry '!A198="","",'Daily Sale entry '!A198)</f>
        <v/>
      </c>
      <c r="B198" s="6">
        <f>IF($A198="","",ROUND('Opening Balance'!$B$4+SUM('Daily Sale entry '!$K$2:K198)+SUMIFS('Daily Sale entry '!$AC$2:$AC$1501,'Daily Sale entry '!$X$2:$X$1501,"&lt;="&amp;$A198)-SUMIFS('Daily Sale entry '!$AD$2:$AD$1501,'Daily Sale entry '!$X$2:$X$1501,"&lt;="&amp;$A198)+SUMPRODUCT(('Daily Sale entry '!$Q$2:$Q$1501="Collection 收款")*('Daily Sale entry '!$R$2:$R$1501="Cheque 支票")*('Daily Sale entry '!$V$2:$V$1501&lt;&gt;"")*('Daily Sale entry '!$V$2:$V$1501&lt;=$A198)*('Daily Sale entry '!$S$2:$S$1501-'Opening Balance'!$B$15*('Daily Sale entry '!$R$2:$R$1501="Cheque 支票")*('Daily Sale entry '!$S$2:$S$1501-TRUNC('Daily Sale entry '!$S$2:$S$1501))))-'Opening Balance'!$B$15*SUMPRODUCT(('Daily Sale entry '!$X$2:$X$1501&lt;=$A198)*('Daily Sale entry '!$Z$2:$Z$1501="Online collection 网上收款")*('Daily Sale entry '!$AA$2:$AA$1501&lt;&gt;"")*('Daily Sale entry '!$AC$2:$AC$1501-TRUNC('Daily Sale entry '!$AC$2:$AC$1501))),2))</f>
        <v/>
      </c>
      <c r="C198" s="8">
        <f>IF($A198="","",'Opening Balance'!$B$5+SUM('Daily Sale entry '!$I$2:I198)-SUMIFS('Daily Sale entry '!$AB$2:$AB$1501,'Daily Sale entry '!$X$2:$X$1501,"&lt;="&amp;$A198,'Daily Sale entry '!$Z$2:$Z$1501,"Cheque deposit 支票存入")-COUNTIFS('Daily Sale entry '!$Q$2:$Q$1501,"Collection 收款",'Daily Sale entry '!$R$2:$R$1501,"Cheque 支票",'Daily Sale entry '!$V$2:$V$1501,"&lt;="&amp;$A198))</f>
        <v/>
      </c>
      <c r="D198" s="6">
        <f>IF($A198="","",ROUND('Opening Balance'!$B$6+SUM('Daily Sale entry '!$J$2:J198)-SUMIFS('Daily Sale entry '!$AC$2:$AC$1501,'Daily Sale entry '!$X$2:$X$1501,"&lt;="&amp;$A198,'Daily Sale entry '!$Z$2:$Z$1501,"Cheque deposit 支票存入")-SUMPRODUCT(('Daily Sale entry '!$Q$2:$Q$1501="Collection 收款")*('Daily Sale entry '!$R$2:$R$1501="Cheque 支票")*('Daily Sale entry '!$V$2:$V$1501&lt;&gt;"")*('Daily Sale entry '!$V$2:$V$1501&lt;=$A198)*('Daily Sale entry '!$S$2:$S$1501-'Opening Balance'!$B$15*('Daily Sale entry '!$R$2:$R$1501="Cheque 支票")*('Daily Sale entry '!$S$2:$S$1501-TRUNC('Daily Sale entry '!$S$2:$S$1501)))),2))</f>
        <v/>
      </c>
      <c r="E198" s="6">
        <f>IF($A198="","",'Opening Balance'!$B$7)</f>
        <v/>
      </c>
      <c r="F198" s="6">
        <f>IF($A198="","",ROUND(SUMIFS('Daily Sale entry '!$L$2:$L$367,'Daily Sale entry '!$A$2:$A$367,"&gt;="&amp;DATE(YEAR($A198),MONTH($A198),1),'Daily Sale entry '!$A$2:$A$367,"&lt;="&amp;$A198)+SUMIFS('Daily Sale entry '!$M$2:$M$367,'Daily Sale entry '!$A$2:$A$367,"&gt;="&amp;DATE(YEAR($A198),MONTH($A198),1),'Daily Sale entry '!$A$2:$A$367,"&lt;="&amp;$A198)+IF(AND(YEAR($A198)=YEAR('Daily Sale entry '!$A$2),MONTH($A198)=MONTH('Daily Sale entry '!$A$2)),'Opening Balance'!$B$8,0),2))</f>
        <v/>
      </c>
      <c r="G198" s="6">
        <f>IF($A198="","",MOD(ROUND('Opening Balance'!$B$9+SUMIFS('Sales &amp; Collection'!$L$1:$L$2747,'Sales &amp; Collection'!$K$1:$K$2747,"cash collection*"),2),'Opening Balance'!$B$11))</f>
        <v/>
      </c>
      <c r="H198" s="6">
        <f>IF($A198="","",ROUND('Opening Balance'!$B$10+'Opening Balance'!$B$9+SUMIFS('Sales &amp; Collection'!$L$1:$L$2747,'Sales &amp; Collection'!$K$1:$K$2747,"cash collection*")-G198-SUMIFS('Daily Sale entry '!$AC$2:$AC$1501,'Daily Sale entry '!$X$2:$X$1501,"&lt;="&amp;$A198,'Daily Sale entry '!$Z$2:$Z$1501,"Cash deposit 现金存入"),2))</f>
        <v/>
      </c>
      <c r="I198" s="6">
        <f>IF($A198="","",ROUND(B198+D198+E198+F198+G198+H198,2))</f>
        <v/>
      </c>
      <c r="J198" s="6">
        <f>IF($A198="","",'AR &amp; AP'!K199)</f>
        <v/>
      </c>
      <c r="K198" s="6">
        <f>IF($A198="","",ROUND(I198-J198-SUMIFS('Daily Sale entry '!$AC$2:$AC$1501,'Daily Sale entry '!$X$2:$X$1501,"&lt;="&amp;$A198,'Daily Sale entry '!$Z$2:$Z$1501,"Other deposit 其他存入")+SUMIFS('Daily Sale entry '!$AD$2:$AD$1501,'Daily Sale entry '!$X$2:$X$1501,"&lt;="&amp;$A198)+('Opening Balance'!$B$8+SUM('Daily Sale entry '!$L$2:M198)-F198),2))</f>
        <v/>
      </c>
      <c r="L198">
        <f>IF($A198="","",IF(ABS('Sales &amp; Collection'!$B$2756)&gt;'Opening Balance'!$B$16,"ALERT 警报: Different "&amp;TEXT('Sales &amp; Collection'!$B$2756,"#,##0.00")&amp;" 差额过大",""))</f>
        <v/>
      </c>
    </row>
    <row r="199">
      <c r="A199" s="5">
        <f>IF('Daily Sale entry '!A199="","",'Daily Sale entry '!A199)</f>
        <v/>
      </c>
      <c r="B199" s="6">
        <f>IF($A199="","",ROUND('Opening Balance'!$B$4+SUM('Daily Sale entry '!$K$2:K199)+SUMIFS('Daily Sale entry '!$AC$2:$AC$1501,'Daily Sale entry '!$X$2:$X$1501,"&lt;="&amp;$A199)-SUMIFS('Daily Sale entry '!$AD$2:$AD$1501,'Daily Sale entry '!$X$2:$X$1501,"&lt;="&amp;$A199)+SUMPRODUCT(('Daily Sale entry '!$Q$2:$Q$1501="Collection 收款")*('Daily Sale entry '!$R$2:$R$1501="Cheque 支票")*('Daily Sale entry '!$V$2:$V$1501&lt;&gt;"")*('Daily Sale entry '!$V$2:$V$1501&lt;=$A199)*('Daily Sale entry '!$S$2:$S$1501-'Opening Balance'!$B$15*('Daily Sale entry '!$R$2:$R$1501="Cheque 支票")*('Daily Sale entry '!$S$2:$S$1501-TRUNC('Daily Sale entry '!$S$2:$S$1501))))-'Opening Balance'!$B$15*SUMPRODUCT(('Daily Sale entry '!$X$2:$X$1501&lt;=$A199)*('Daily Sale entry '!$Z$2:$Z$1501="Online collection 网上收款")*('Daily Sale entry '!$AA$2:$AA$1501&lt;&gt;"")*('Daily Sale entry '!$AC$2:$AC$1501-TRUNC('Daily Sale entry '!$AC$2:$AC$1501))),2))</f>
        <v/>
      </c>
      <c r="C199" s="8">
        <f>IF($A199="","",'Opening Balance'!$B$5+SUM('Daily Sale entry '!$I$2:I199)-SUMIFS('Daily Sale entry '!$AB$2:$AB$1501,'Daily Sale entry '!$X$2:$X$1501,"&lt;="&amp;$A199,'Daily Sale entry '!$Z$2:$Z$1501,"Cheque deposit 支票存入")-COUNTIFS('Daily Sale entry '!$Q$2:$Q$1501,"Collection 收款",'Daily Sale entry '!$R$2:$R$1501,"Cheque 支票",'Daily Sale entry '!$V$2:$V$1501,"&lt;="&amp;$A199))</f>
        <v/>
      </c>
      <c r="D199" s="6">
        <f>IF($A199="","",ROUND('Opening Balance'!$B$6+SUM('Daily Sale entry '!$J$2:J199)-SUMIFS('Daily Sale entry '!$AC$2:$AC$1501,'Daily Sale entry '!$X$2:$X$1501,"&lt;="&amp;$A199,'Daily Sale entry '!$Z$2:$Z$1501,"Cheque deposit 支票存入")-SUMPRODUCT(('Daily Sale entry '!$Q$2:$Q$1501="Collection 收款")*('Daily Sale entry '!$R$2:$R$1501="Cheque 支票")*('Daily Sale entry '!$V$2:$V$1501&lt;&gt;"")*('Daily Sale entry '!$V$2:$V$1501&lt;=$A199)*('Daily Sale entry '!$S$2:$S$1501-'Opening Balance'!$B$15*('Daily Sale entry '!$R$2:$R$1501="Cheque 支票")*('Daily Sale entry '!$S$2:$S$1501-TRUNC('Daily Sale entry '!$S$2:$S$1501)))),2))</f>
        <v/>
      </c>
      <c r="E199" s="6">
        <f>IF($A199="","",'Opening Balance'!$B$7)</f>
        <v/>
      </c>
      <c r="F199" s="6">
        <f>IF($A199="","",ROUND(SUMIFS('Daily Sale entry '!$L$2:$L$367,'Daily Sale entry '!$A$2:$A$367,"&gt;="&amp;DATE(YEAR($A199),MONTH($A199),1),'Daily Sale entry '!$A$2:$A$367,"&lt;="&amp;$A199)+SUMIFS('Daily Sale entry '!$M$2:$M$367,'Daily Sale entry '!$A$2:$A$367,"&gt;="&amp;DATE(YEAR($A199),MONTH($A199),1),'Daily Sale entry '!$A$2:$A$367,"&lt;="&amp;$A199)+IF(AND(YEAR($A199)=YEAR('Daily Sale entry '!$A$2),MONTH($A199)=MONTH('Daily Sale entry '!$A$2)),'Opening Balance'!$B$8,0),2))</f>
        <v/>
      </c>
      <c r="G199" s="6">
        <f>IF($A199="","",MOD(ROUND('Opening Balance'!$B$9+SUMIFS('Sales &amp; Collection'!$L$1:$L$2761,'Sales &amp; Collection'!$K$1:$K$2761,"cash collection*"),2),'Opening Balance'!$B$11))</f>
        <v/>
      </c>
      <c r="H199" s="6">
        <f>IF($A199="","",ROUND('Opening Balance'!$B$10+'Opening Balance'!$B$9+SUMIFS('Sales &amp; Collection'!$L$1:$L$2761,'Sales &amp; Collection'!$K$1:$K$2761,"cash collection*")-G199-SUMIFS('Daily Sale entry '!$AC$2:$AC$1501,'Daily Sale entry '!$X$2:$X$1501,"&lt;="&amp;$A199,'Daily Sale entry '!$Z$2:$Z$1501,"Cash deposit 现金存入"),2))</f>
        <v/>
      </c>
      <c r="I199" s="6">
        <f>IF($A199="","",ROUND(B199+D199+E199+F199+G199+H199,2))</f>
        <v/>
      </c>
      <c r="J199" s="6">
        <f>IF($A199="","",'AR &amp; AP'!K200)</f>
        <v/>
      </c>
      <c r="K199" s="6">
        <f>IF($A199="","",ROUND(I199-J199-SUMIFS('Daily Sale entry '!$AC$2:$AC$1501,'Daily Sale entry '!$X$2:$X$1501,"&lt;="&amp;$A199,'Daily Sale entry '!$Z$2:$Z$1501,"Other deposit 其他存入")+SUMIFS('Daily Sale entry '!$AD$2:$AD$1501,'Daily Sale entry '!$X$2:$X$1501,"&lt;="&amp;$A199)+('Opening Balance'!$B$8+SUM('Daily Sale entry '!$L$2:M199)-F199),2))</f>
        <v/>
      </c>
      <c r="L199">
        <f>IF($A199="","",IF(ABS('Sales &amp; Collection'!$B$2770)&gt;'Opening Balance'!$B$16,"ALERT 警报: Different "&amp;TEXT('Sales &amp; Collection'!$B$2770,"#,##0.00")&amp;" 差额过大",""))</f>
        <v/>
      </c>
    </row>
    <row r="200">
      <c r="A200" s="5">
        <f>IF('Daily Sale entry '!A200="","",'Daily Sale entry '!A200)</f>
        <v/>
      </c>
      <c r="B200" s="6">
        <f>IF($A200="","",ROUND('Opening Balance'!$B$4+SUM('Daily Sale entry '!$K$2:K200)+SUMIFS('Daily Sale entry '!$AC$2:$AC$1501,'Daily Sale entry '!$X$2:$X$1501,"&lt;="&amp;$A200)-SUMIFS('Daily Sale entry '!$AD$2:$AD$1501,'Daily Sale entry '!$X$2:$X$1501,"&lt;="&amp;$A200)+SUMPRODUCT(('Daily Sale entry '!$Q$2:$Q$1501="Collection 收款")*('Daily Sale entry '!$R$2:$R$1501="Cheque 支票")*('Daily Sale entry '!$V$2:$V$1501&lt;&gt;"")*('Daily Sale entry '!$V$2:$V$1501&lt;=$A200)*('Daily Sale entry '!$S$2:$S$1501-'Opening Balance'!$B$15*('Daily Sale entry '!$R$2:$R$1501="Cheque 支票")*('Daily Sale entry '!$S$2:$S$1501-TRUNC('Daily Sale entry '!$S$2:$S$1501))))-'Opening Balance'!$B$15*SUMPRODUCT(('Daily Sale entry '!$X$2:$X$1501&lt;=$A200)*('Daily Sale entry '!$Z$2:$Z$1501="Online collection 网上收款")*('Daily Sale entry '!$AA$2:$AA$1501&lt;&gt;"")*('Daily Sale entry '!$AC$2:$AC$1501-TRUNC('Daily Sale entry '!$AC$2:$AC$1501))),2))</f>
        <v/>
      </c>
      <c r="C200" s="8">
        <f>IF($A200="","",'Opening Balance'!$B$5+SUM('Daily Sale entry '!$I$2:I200)-SUMIFS('Daily Sale entry '!$AB$2:$AB$1501,'Daily Sale entry '!$X$2:$X$1501,"&lt;="&amp;$A200,'Daily Sale entry '!$Z$2:$Z$1501,"Cheque deposit 支票存入")-COUNTIFS('Daily Sale entry '!$Q$2:$Q$1501,"Collection 收款",'Daily Sale entry '!$R$2:$R$1501,"Cheque 支票",'Daily Sale entry '!$V$2:$V$1501,"&lt;="&amp;$A200))</f>
        <v/>
      </c>
      <c r="D200" s="6">
        <f>IF($A200="","",ROUND('Opening Balance'!$B$6+SUM('Daily Sale entry '!$J$2:J200)-SUMIFS('Daily Sale entry '!$AC$2:$AC$1501,'Daily Sale entry '!$X$2:$X$1501,"&lt;="&amp;$A200,'Daily Sale entry '!$Z$2:$Z$1501,"Cheque deposit 支票存入")-SUMPRODUCT(('Daily Sale entry '!$Q$2:$Q$1501="Collection 收款")*('Daily Sale entry '!$R$2:$R$1501="Cheque 支票")*('Daily Sale entry '!$V$2:$V$1501&lt;&gt;"")*('Daily Sale entry '!$V$2:$V$1501&lt;=$A200)*('Daily Sale entry '!$S$2:$S$1501-'Opening Balance'!$B$15*('Daily Sale entry '!$R$2:$R$1501="Cheque 支票")*('Daily Sale entry '!$S$2:$S$1501-TRUNC('Daily Sale entry '!$S$2:$S$1501)))),2))</f>
        <v/>
      </c>
      <c r="E200" s="6">
        <f>IF($A200="","",'Opening Balance'!$B$7)</f>
        <v/>
      </c>
      <c r="F200" s="6">
        <f>IF($A200="","",ROUND(SUMIFS('Daily Sale entry '!$L$2:$L$367,'Daily Sale entry '!$A$2:$A$367,"&gt;="&amp;DATE(YEAR($A200),MONTH($A200),1),'Daily Sale entry '!$A$2:$A$367,"&lt;="&amp;$A200)+SUMIFS('Daily Sale entry '!$M$2:$M$367,'Daily Sale entry '!$A$2:$A$367,"&gt;="&amp;DATE(YEAR($A200),MONTH($A200),1),'Daily Sale entry '!$A$2:$A$367,"&lt;="&amp;$A200)+IF(AND(YEAR($A200)=YEAR('Daily Sale entry '!$A$2),MONTH($A200)=MONTH('Daily Sale entry '!$A$2)),'Opening Balance'!$B$8,0),2))</f>
        <v/>
      </c>
      <c r="G200" s="6">
        <f>IF($A200="","",MOD(ROUND('Opening Balance'!$B$9+SUMIFS('Sales &amp; Collection'!$L$1:$L$2775,'Sales &amp; Collection'!$K$1:$K$2775,"cash collection*"),2),'Opening Balance'!$B$11))</f>
        <v/>
      </c>
      <c r="H200" s="6">
        <f>IF($A200="","",ROUND('Opening Balance'!$B$10+'Opening Balance'!$B$9+SUMIFS('Sales &amp; Collection'!$L$1:$L$2775,'Sales &amp; Collection'!$K$1:$K$2775,"cash collection*")-G200-SUMIFS('Daily Sale entry '!$AC$2:$AC$1501,'Daily Sale entry '!$X$2:$X$1501,"&lt;="&amp;$A200,'Daily Sale entry '!$Z$2:$Z$1501,"Cash deposit 现金存入"),2))</f>
        <v/>
      </c>
      <c r="I200" s="6">
        <f>IF($A200="","",ROUND(B200+D200+E200+F200+G200+H200,2))</f>
        <v/>
      </c>
      <c r="J200" s="6">
        <f>IF($A200="","",'AR &amp; AP'!K201)</f>
        <v/>
      </c>
      <c r="K200" s="6">
        <f>IF($A200="","",ROUND(I200-J200-SUMIFS('Daily Sale entry '!$AC$2:$AC$1501,'Daily Sale entry '!$X$2:$X$1501,"&lt;="&amp;$A200,'Daily Sale entry '!$Z$2:$Z$1501,"Other deposit 其他存入")+SUMIFS('Daily Sale entry '!$AD$2:$AD$1501,'Daily Sale entry '!$X$2:$X$1501,"&lt;="&amp;$A200)+('Opening Balance'!$B$8+SUM('Daily Sale entry '!$L$2:M200)-F200),2))</f>
        <v/>
      </c>
      <c r="L200">
        <f>IF($A200="","",IF(ABS('Sales &amp; Collection'!$B$2784)&gt;'Opening Balance'!$B$16,"ALERT 警报: Different "&amp;TEXT('Sales &amp; Collection'!$B$2784,"#,##0.00")&amp;" 差额过大",""))</f>
        <v/>
      </c>
    </row>
    <row r="201">
      <c r="A201" s="5">
        <f>IF('Daily Sale entry '!A201="","",'Daily Sale entry '!A201)</f>
        <v/>
      </c>
      <c r="B201" s="6">
        <f>IF($A201="","",ROUND('Opening Balance'!$B$4+SUM('Daily Sale entry '!$K$2:K201)+SUMIFS('Daily Sale entry '!$AC$2:$AC$1501,'Daily Sale entry '!$X$2:$X$1501,"&lt;="&amp;$A201)-SUMIFS('Daily Sale entry '!$AD$2:$AD$1501,'Daily Sale entry '!$X$2:$X$1501,"&lt;="&amp;$A201)+SUMPRODUCT(('Daily Sale entry '!$Q$2:$Q$1501="Collection 收款")*('Daily Sale entry '!$R$2:$R$1501="Cheque 支票")*('Daily Sale entry '!$V$2:$V$1501&lt;&gt;"")*('Daily Sale entry '!$V$2:$V$1501&lt;=$A201)*('Daily Sale entry '!$S$2:$S$1501-'Opening Balance'!$B$15*('Daily Sale entry '!$R$2:$R$1501="Cheque 支票")*('Daily Sale entry '!$S$2:$S$1501-TRUNC('Daily Sale entry '!$S$2:$S$1501))))-'Opening Balance'!$B$15*SUMPRODUCT(('Daily Sale entry '!$X$2:$X$1501&lt;=$A201)*('Daily Sale entry '!$Z$2:$Z$1501="Online collection 网上收款")*('Daily Sale entry '!$AA$2:$AA$1501&lt;&gt;"")*('Daily Sale entry '!$AC$2:$AC$1501-TRUNC('Daily Sale entry '!$AC$2:$AC$1501))),2))</f>
        <v/>
      </c>
      <c r="C201" s="8">
        <f>IF($A201="","",'Opening Balance'!$B$5+SUM('Daily Sale entry '!$I$2:I201)-SUMIFS('Daily Sale entry '!$AB$2:$AB$1501,'Daily Sale entry '!$X$2:$X$1501,"&lt;="&amp;$A201,'Daily Sale entry '!$Z$2:$Z$1501,"Cheque deposit 支票存入")-COUNTIFS('Daily Sale entry '!$Q$2:$Q$1501,"Collection 收款",'Daily Sale entry '!$R$2:$R$1501,"Cheque 支票",'Daily Sale entry '!$V$2:$V$1501,"&lt;="&amp;$A201))</f>
        <v/>
      </c>
      <c r="D201" s="6">
        <f>IF($A201="","",ROUND('Opening Balance'!$B$6+SUM('Daily Sale entry '!$J$2:J201)-SUMIFS('Daily Sale entry '!$AC$2:$AC$1501,'Daily Sale entry '!$X$2:$X$1501,"&lt;="&amp;$A201,'Daily Sale entry '!$Z$2:$Z$1501,"Cheque deposit 支票存入")-SUMPRODUCT(('Daily Sale entry '!$Q$2:$Q$1501="Collection 收款")*('Daily Sale entry '!$R$2:$R$1501="Cheque 支票")*('Daily Sale entry '!$V$2:$V$1501&lt;&gt;"")*('Daily Sale entry '!$V$2:$V$1501&lt;=$A201)*('Daily Sale entry '!$S$2:$S$1501-'Opening Balance'!$B$15*('Daily Sale entry '!$R$2:$R$1501="Cheque 支票")*('Daily Sale entry '!$S$2:$S$1501-TRUNC('Daily Sale entry '!$S$2:$S$1501)))),2))</f>
        <v/>
      </c>
      <c r="E201" s="6">
        <f>IF($A201="","",'Opening Balance'!$B$7)</f>
        <v/>
      </c>
      <c r="F201" s="6">
        <f>IF($A201="","",ROUND(SUMIFS('Daily Sale entry '!$L$2:$L$367,'Daily Sale entry '!$A$2:$A$367,"&gt;="&amp;DATE(YEAR($A201),MONTH($A201),1),'Daily Sale entry '!$A$2:$A$367,"&lt;="&amp;$A201)+SUMIFS('Daily Sale entry '!$M$2:$M$367,'Daily Sale entry '!$A$2:$A$367,"&gt;="&amp;DATE(YEAR($A201),MONTH($A201),1),'Daily Sale entry '!$A$2:$A$367,"&lt;="&amp;$A201)+IF(AND(YEAR($A201)=YEAR('Daily Sale entry '!$A$2),MONTH($A201)=MONTH('Daily Sale entry '!$A$2)),'Opening Balance'!$B$8,0),2))</f>
        <v/>
      </c>
      <c r="G201" s="6">
        <f>IF($A201="","",MOD(ROUND('Opening Balance'!$B$9+SUMIFS('Sales &amp; Collection'!$L$1:$L$2789,'Sales &amp; Collection'!$K$1:$K$2789,"cash collection*"),2),'Opening Balance'!$B$11))</f>
        <v/>
      </c>
      <c r="H201" s="6">
        <f>IF($A201="","",ROUND('Opening Balance'!$B$10+'Opening Balance'!$B$9+SUMIFS('Sales &amp; Collection'!$L$1:$L$2789,'Sales &amp; Collection'!$K$1:$K$2789,"cash collection*")-G201-SUMIFS('Daily Sale entry '!$AC$2:$AC$1501,'Daily Sale entry '!$X$2:$X$1501,"&lt;="&amp;$A201,'Daily Sale entry '!$Z$2:$Z$1501,"Cash deposit 现金存入"),2))</f>
        <v/>
      </c>
      <c r="I201" s="6">
        <f>IF($A201="","",ROUND(B201+D201+E201+F201+G201+H201,2))</f>
        <v/>
      </c>
      <c r="J201" s="6">
        <f>IF($A201="","",'AR &amp; AP'!K202)</f>
        <v/>
      </c>
      <c r="K201" s="6">
        <f>IF($A201="","",ROUND(I201-J201-SUMIFS('Daily Sale entry '!$AC$2:$AC$1501,'Daily Sale entry '!$X$2:$X$1501,"&lt;="&amp;$A201,'Daily Sale entry '!$Z$2:$Z$1501,"Other deposit 其他存入")+SUMIFS('Daily Sale entry '!$AD$2:$AD$1501,'Daily Sale entry '!$X$2:$X$1501,"&lt;="&amp;$A201)+('Opening Balance'!$B$8+SUM('Daily Sale entry '!$L$2:M201)-F201),2))</f>
        <v/>
      </c>
      <c r="L201">
        <f>IF($A201="","",IF(ABS('Sales &amp; Collection'!$B$2798)&gt;'Opening Balance'!$B$16,"ALERT 警报: Different "&amp;TEXT('Sales &amp; Collection'!$B$2798,"#,##0.00")&amp;" 差额过大",""))</f>
        <v/>
      </c>
    </row>
    <row r="202">
      <c r="A202" s="5">
        <f>IF('Daily Sale entry '!A202="","",'Daily Sale entry '!A202)</f>
        <v/>
      </c>
      <c r="B202" s="6">
        <f>IF($A202="","",ROUND('Opening Balance'!$B$4+SUM('Daily Sale entry '!$K$2:K202)+SUMIFS('Daily Sale entry '!$AC$2:$AC$1501,'Daily Sale entry '!$X$2:$X$1501,"&lt;="&amp;$A202)-SUMIFS('Daily Sale entry '!$AD$2:$AD$1501,'Daily Sale entry '!$X$2:$X$1501,"&lt;="&amp;$A202)+SUMPRODUCT(('Daily Sale entry '!$Q$2:$Q$1501="Collection 收款")*('Daily Sale entry '!$R$2:$R$1501="Cheque 支票")*('Daily Sale entry '!$V$2:$V$1501&lt;&gt;"")*('Daily Sale entry '!$V$2:$V$1501&lt;=$A202)*('Daily Sale entry '!$S$2:$S$1501-'Opening Balance'!$B$15*('Daily Sale entry '!$R$2:$R$1501="Cheque 支票")*('Daily Sale entry '!$S$2:$S$1501-TRUNC('Daily Sale entry '!$S$2:$S$1501))))-'Opening Balance'!$B$15*SUMPRODUCT(('Daily Sale entry '!$X$2:$X$1501&lt;=$A202)*('Daily Sale entry '!$Z$2:$Z$1501="Online collection 网上收款")*('Daily Sale entry '!$AA$2:$AA$1501&lt;&gt;"")*('Daily Sale entry '!$AC$2:$AC$1501-TRUNC('Daily Sale entry '!$AC$2:$AC$1501))),2))</f>
        <v/>
      </c>
      <c r="C202" s="8">
        <f>IF($A202="","",'Opening Balance'!$B$5+SUM('Daily Sale entry '!$I$2:I202)-SUMIFS('Daily Sale entry '!$AB$2:$AB$1501,'Daily Sale entry '!$X$2:$X$1501,"&lt;="&amp;$A202,'Daily Sale entry '!$Z$2:$Z$1501,"Cheque deposit 支票存入")-COUNTIFS('Daily Sale entry '!$Q$2:$Q$1501,"Collection 收款",'Daily Sale entry '!$R$2:$R$1501,"Cheque 支票",'Daily Sale entry '!$V$2:$V$1501,"&lt;="&amp;$A202))</f>
        <v/>
      </c>
      <c r="D202" s="6">
        <f>IF($A202="","",ROUND('Opening Balance'!$B$6+SUM('Daily Sale entry '!$J$2:J202)-SUMIFS('Daily Sale entry '!$AC$2:$AC$1501,'Daily Sale entry '!$X$2:$X$1501,"&lt;="&amp;$A202,'Daily Sale entry '!$Z$2:$Z$1501,"Cheque deposit 支票存入")-SUMPRODUCT(('Daily Sale entry '!$Q$2:$Q$1501="Collection 收款")*('Daily Sale entry '!$R$2:$R$1501="Cheque 支票")*('Daily Sale entry '!$V$2:$V$1501&lt;&gt;"")*('Daily Sale entry '!$V$2:$V$1501&lt;=$A202)*('Daily Sale entry '!$S$2:$S$1501-'Opening Balance'!$B$15*('Daily Sale entry '!$R$2:$R$1501="Cheque 支票")*('Daily Sale entry '!$S$2:$S$1501-TRUNC('Daily Sale entry '!$S$2:$S$1501)))),2))</f>
        <v/>
      </c>
      <c r="E202" s="6">
        <f>IF($A202="","",'Opening Balance'!$B$7)</f>
        <v/>
      </c>
      <c r="F202" s="6">
        <f>IF($A202="","",ROUND(SUMIFS('Daily Sale entry '!$L$2:$L$367,'Daily Sale entry '!$A$2:$A$367,"&gt;="&amp;DATE(YEAR($A202),MONTH($A202),1),'Daily Sale entry '!$A$2:$A$367,"&lt;="&amp;$A202)+SUMIFS('Daily Sale entry '!$M$2:$M$367,'Daily Sale entry '!$A$2:$A$367,"&gt;="&amp;DATE(YEAR($A202),MONTH($A202),1),'Daily Sale entry '!$A$2:$A$367,"&lt;="&amp;$A202)+IF(AND(YEAR($A202)=YEAR('Daily Sale entry '!$A$2),MONTH($A202)=MONTH('Daily Sale entry '!$A$2)),'Opening Balance'!$B$8,0),2))</f>
        <v/>
      </c>
      <c r="G202" s="6">
        <f>IF($A202="","",MOD(ROUND('Opening Balance'!$B$9+SUMIFS('Sales &amp; Collection'!$L$1:$L$2803,'Sales &amp; Collection'!$K$1:$K$2803,"cash collection*"),2),'Opening Balance'!$B$11))</f>
        <v/>
      </c>
      <c r="H202" s="6">
        <f>IF($A202="","",ROUND('Opening Balance'!$B$10+'Opening Balance'!$B$9+SUMIFS('Sales &amp; Collection'!$L$1:$L$2803,'Sales &amp; Collection'!$K$1:$K$2803,"cash collection*")-G202-SUMIFS('Daily Sale entry '!$AC$2:$AC$1501,'Daily Sale entry '!$X$2:$X$1501,"&lt;="&amp;$A202,'Daily Sale entry '!$Z$2:$Z$1501,"Cash deposit 现金存入"),2))</f>
        <v/>
      </c>
      <c r="I202" s="6">
        <f>IF($A202="","",ROUND(B202+D202+E202+F202+G202+H202,2))</f>
        <v/>
      </c>
      <c r="J202" s="6">
        <f>IF($A202="","",'AR &amp; AP'!K203)</f>
        <v/>
      </c>
      <c r="K202" s="6">
        <f>IF($A202="","",ROUND(I202-J202-SUMIFS('Daily Sale entry '!$AC$2:$AC$1501,'Daily Sale entry '!$X$2:$X$1501,"&lt;="&amp;$A202,'Daily Sale entry '!$Z$2:$Z$1501,"Other deposit 其他存入")+SUMIFS('Daily Sale entry '!$AD$2:$AD$1501,'Daily Sale entry '!$X$2:$X$1501,"&lt;="&amp;$A202)+('Opening Balance'!$B$8+SUM('Daily Sale entry '!$L$2:M202)-F202),2))</f>
        <v/>
      </c>
      <c r="L202">
        <f>IF($A202="","",IF(ABS('Sales &amp; Collection'!$B$2812)&gt;'Opening Balance'!$B$16,"ALERT 警报: Different "&amp;TEXT('Sales &amp; Collection'!$B$2812,"#,##0.00")&amp;" 差额过大",""))</f>
        <v/>
      </c>
    </row>
    <row r="203">
      <c r="A203" s="5">
        <f>IF('Daily Sale entry '!A203="","",'Daily Sale entry '!A203)</f>
        <v/>
      </c>
      <c r="B203" s="6">
        <f>IF($A203="","",ROUND('Opening Balance'!$B$4+SUM('Daily Sale entry '!$K$2:K203)+SUMIFS('Daily Sale entry '!$AC$2:$AC$1501,'Daily Sale entry '!$X$2:$X$1501,"&lt;="&amp;$A203)-SUMIFS('Daily Sale entry '!$AD$2:$AD$1501,'Daily Sale entry '!$X$2:$X$1501,"&lt;="&amp;$A203)+SUMPRODUCT(('Daily Sale entry '!$Q$2:$Q$1501="Collection 收款")*('Daily Sale entry '!$R$2:$R$1501="Cheque 支票")*('Daily Sale entry '!$V$2:$V$1501&lt;&gt;"")*('Daily Sale entry '!$V$2:$V$1501&lt;=$A203)*('Daily Sale entry '!$S$2:$S$1501-'Opening Balance'!$B$15*('Daily Sale entry '!$R$2:$R$1501="Cheque 支票")*('Daily Sale entry '!$S$2:$S$1501-TRUNC('Daily Sale entry '!$S$2:$S$1501))))-'Opening Balance'!$B$15*SUMPRODUCT(('Daily Sale entry '!$X$2:$X$1501&lt;=$A203)*('Daily Sale entry '!$Z$2:$Z$1501="Online collection 网上收款")*('Daily Sale entry '!$AA$2:$AA$1501&lt;&gt;"")*('Daily Sale entry '!$AC$2:$AC$1501-TRUNC('Daily Sale entry '!$AC$2:$AC$1501))),2))</f>
        <v/>
      </c>
      <c r="C203" s="8">
        <f>IF($A203="","",'Opening Balance'!$B$5+SUM('Daily Sale entry '!$I$2:I203)-SUMIFS('Daily Sale entry '!$AB$2:$AB$1501,'Daily Sale entry '!$X$2:$X$1501,"&lt;="&amp;$A203,'Daily Sale entry '!$Z$2:$Z$1501,"Cheque deposit 支票存入")-COUNTIFS('Daily Sale entry '!$Q$2:$Q$1501,"Collection 收款",'Daily Sale entry '!$R$2:$R$1501,"Cheque 支票",'Daily Sale entry '!$V$2:$V$1501,"&lt;="&amp;$A203))</f>
        <v/>
      </c>
      <c r="D203" s="6">
        <f>IF($A203="","",ROUND('Opening Balance'!$B$6+SUM('Daily Sale entry '!$J$2:J203)-SUMIFS('Daily Sale entry '!$AC$2:$AC$1501,'Daily Sale entry '!$X$2:$X$1501,"&lt;="&amp;$A203,'Daily Sale entry '!$Z$2:$Z$1501,"Cheque deposit 支票存入")-SUMPRODUCT(('Daily Sale entry '!$Q$2:$Q$1501="Collection 收款")*('Daily Sale entry '!$R$2:$R$1501="Cheque 支票")*('Daily Sale entry '!$V$2:$V$1501&lt;&gt;"")*('Daily Sale entry '!$V$2:$V$1501&lt;=$A203)*('Daily Sale entry '!$S$2:$S$1501-'Opening Balance'!$B$15*('Daily Sale entry '!$R$2:$R$1501="Cheque 支票")*('Daily Sale entry '!$S$2:$S$1501-TRUNC('Daily Sale entry '!$S$2:$S$1501)))),2))</f>
        <v/>
      </c>
      <c r="E203" s="6">
        <f>IF($A203="","",'Opening Balance'!$B$7)</f>
        <v/>
      </c>
      <c r="F203" s="6">
        <f>IF($A203="","",ROUND(SUMIFS('Daily Sale entry '!$L$2:$L$367,'Daily Sale entry '!$A$2:$A$367,"&gt;="&amp;DATE(YEAR($A203),MONTH($A203),1),'Daily Sale entry '!$A$2:$A$367,"&lt;="&amp;$A203)+SUMIFS('Daily Sale entry '!$M$2:$M$367,'Daily Sale entry '!$A$2:$A$367,"&gt;="&amp;DATE(YEAR($A203),MONTH($A203),1),'Daily Sale entry '!$A$2:$A$367,"&lt;="&amp;$A203)+IF(AND(YEAR($A203)=YEAR('Daily Sale entry '!$A$2),MONTH($A203)=MONTH('Daily Sale entry '!$A$2)),'Opening Balance'!$B$8,0),2))</f>
        <v/>
      </c>
      <c r="G203" s="6">
        <f>IF($A203="","",MOD(ROUND('Opening Balance'!$B$9+SUMIFS('Sales &amp; Collection'!$L$1:$L$2817,'Sales &amp; Collection'!$K$1:$K$2817,"cash collection*"),2),'Opening Balance'!$B$11))</f>
        <v/>
      </c>
      <c r="H203" s="6">
        <f>IF($A203="","",ROUND('Opening Balance'!$B$10+'Opening Balance'!$B$9+SUMIFS('Sales &amp; Collection'!$L$1:$L$2817,'Sales &amp; Collection'!$K$1:$K$2817,"cash collection*")-G203-SUMIFS('Daily Sale entry '!$AC$2:$AC$1501,'Daily Sale entry '!$X$2:$X$1501,"&lt;="&amp;$A203,'Daily Sale entry '!$Z$2:$Z$1501,"Cash deposit 现金存入"),2))</f>
        <v/>
      </c>
      <c r="I203" s="6">
        <f>IF($A203="","",ROUND(B203+D203+E203+F203+G203+H203,2))</f>
        <v/>
      </c>
      <c r="J203" s="6">
        <f>IF($A203="","",'AR &amp; AP'!K204)</f>
        <v/>
      </c>
      <c r="K203" s="6">
        <f>IF($A203="","",ROUND(I203-J203-SUMIFS('Daily Sale entry '!$AC$2:$AC$1501,'Daily Sale entry '!$X$2:$X$1501,"&lt;="&amp;$A203,'Daily Sale entry '!$Z$2:$Z$1501,"Other deposit 其他存入")+SUMIFS('Daily Sale entry '!$AD$2:$AD$1501,'Daily Sale entry '!$X$2:$X$1501,"&lt;="&amp;$A203)+('Opening Balance'!$B$8+SUM('Daily Sale entry '!$L$2:M203)-F203),2))</f>
        <v/>
      </c>
      <c r="L203">
        <f>IF($A203="","",IF(ABS('Sales &amp; Collection'!$B$2826)&gt;'Opening Balance'!$B$16,"ALERT 警报: Different "&amp;TEXT('Sales &amp; Collection'!$B$2826,"#,##0.00")&amp;" 差额过大",""))</f>
        <v/>
      </c>
    </row>
    <row r="204">
      <c r="A204" s="5">
        <f>IF('Daily Sale entry '!A204="","",'Daily Sale entry '!A204)</f>
        <v/>
      </c>
      <c r="B204" s="6">
        <f>IF($A204="","",ROUND('Opening Balance'!$B$4+SUM('Daily Sale entry '!$K$2:K204)+SUMIFS('Daily Sale entry '!$AC$2:$AC$1501,'Daily Sale entry '!$X$2:$X$1501,"&lt;="&amp;$A204)-SUMIFS('Daily Sale entry '!$AD$2:$AD$1501,'Daily Sale entry '!$X$2:$X$1501,"&lt;="&amp;$A204)+SUMPRODUCT(('Daily Sale entry '!$Q$2:$Q$1501="Collection 收款")*('Daily Sale entry '!$R$2:$R$1501="Cheque 支票")*('Daily Sale entry '!$V$2:$V$1501&lt;&gt;"")*('Daily Sale entry '!$V$2:$V$1501&lt;=$A204)*('Daily Sale entry '!$S$2:$S$1501-'Opening Balance'!$B$15*('Daily Sale entry '!$R$2:$R$1501="Cheque 支票")*('Daily Sale entry '!$S$2:$S$1501-TRUNC('Daily Sale entry '!$S$2:$S$1501))))-'Opening Balance'!$B$15*SUMPRODUCT(('Daily Sale entry '!$X$2:$X$1501&lt;=$A204)*('Daily Sale entry '!$Z$2:$Z$1501="Online collection 网上收款")*('Daily Sale entry '!$AA$2:$AA$1501&lt;&gt;"")*('Daily Sale entry '!$AC$2:$AC$1501-TRUNC('Daily Sale entry '!$AC$2:$AC$1501))),2))</f>
        <v/>
      </c>
      <c r="C204" s="8">
        <f>IF($A204="","",'Opening Balance'!$B$5+SUM('Daily Sale entry '!$I$2:I204)-SUMIFS('Daily Sale entry '!$AB$2:$AB$1501,'Daily Sale entry '!$X$2:$X$1501,"&lt;="&amp;$A204,'Daily Sale entry '!$Z$2:$Z$1501,"Cheque deposit 支票存入")-COUNTIFS('Daily Sale entry '!$Q$2:$Q$1501,"Collection 收款",'Daily Sale entry '!$R$2:$R$1501,"Cheque 支票",'Daily Sale entry '!$V$2:$V$1501,"&lt;="&amp;$A204))</f>
        <v/>
      </c>
      <c r="D204" s="6">
        <f>IF($A204="","",ROUND('Opening Balance'!$B$6+SUM('Daily Sale entry '!$J$2:J204)-SUMIFS('Daily Sale entry '!$AC$2:$AC$1501,'Daily Sale entry '!$X$2:$X$1501,"&lt;="&amp;$A204,'Daily Sale entry '!$Z$2:$Z$1501,"Cheque deposit 支票存入")-SUMPRODUCT(('Daily Sale entry '!$Q$2:$Q$1501="Collection 收款")*('Daily Sale entry '!$R$2:$R$1501="Cheque 支票")*('Daily Sale entry '!$V$2:$V$1501&lt;&gt;"")*('Daily Sale entry '!$V$2:$V$1501&lt;=$A204)*('Daily Sale entry '!$S$2:$S$1501-'Opening Balance'!$B$15*('Daily Sale entry '!$R$2:$R$1501="Cheque 支票")*('Daily Sale entry '!$S$2:$S$1501-TRUNC('Daily Sale entry '!$S$2:$S$1501)))),2))</f>
        <v/>
      </c>
      <c r="E204" s="6">
        <f>IF($A204="","",'Opening Balance'!$B$7)</f>
        <v/>
      </c>
      <c r="F204" s="6">
        <f>IF($A204="","",ROUND(SUMIFS('Daily Sale entry '!$L$2:$L$367,'Daily Sale entry '!$A$2:$A$367,"&gt;="&amp;DATE(YEAR($A204),MONTH($A204),1),'Daily Sale entry '!$A$2:$A$367,"&lt;="&amp;$A204)+SUMIFS('Daily Sale entry '!$M$2:$M$367,'Daily Sale entry '!$A$2:$A$367,"&gt;="&amp;DATE(YEAR($A204),MONTH($A204),1),'Daily Sale entry '!$A$2:$A$367,"&lt;="&amp;$A204)+IF(AND(YEAR($A204)=YEAR('Daily Sale entry '!$A$2),MONTH($A204)=MONTH('Daily Sale entry '!$A$2)),'Opening Balance'!$B$8,0),2))</f>
        <v/>
      </c>
      <c r="G204" s="6">
        <f>IF($A204="","",MOD(ROUND('Opening Balance'!$B$9+SUMIFS('Sales &amp; Collection'!$L$1:$L$2831,'Sales &amp; Collection'!$K$1:$K$2831,"cash collection*"),2),'Opening Balance'!$B$11))</f>
        <v/>
      </c>
      <c r="H204" s="6">
        <f>IF($A204="","",ROUND('Opening Balance'!$B$10+'Opening Balance'!$B$9+SUMIFS('Sales &amp; Collection'!$L$1:$L$2831,'Sales &amp; Collection'!$K$1:$K$2831,"cash collection*")-G204-SUMIFS('Daily Sale entry '!$AC$2:$AC$1501,'Daily Sale entry '!$X$2:$X$1501,"&lt;="&amp;$A204,'Daily Sale entry '!$Z$2:$Z$1501,"Cash deposit 现金存入"),2))</f>
        <v/>
      </c>
      <c r="I204" s="6">
        <f>IF($A204="","",ROUND(B204+D204+E204+F204+G204+H204,2))</f>
        <v/>
      </c>
      <c r="J204" s="6">
        <f>IF($A204="","",'AR &amp; AP'!K205)</f>
        <v/>
      </c>
      <c r="K204" s="6">
        <f>IF($A204="","",ROUND(I204-J204-SUMIFS('Daily Sale entry '!$AC$2:$AC$1501,'Daily Sale entry '!$X$2:$X$1501,"&lt;="&amp;$A204,'Daily Sale entry '!$Z$2:$Z$1501,"Other deposit 其他存入")+SUMIFS('Daily Sale entry '!$AD$2:$AD$1501,'Daily Sale entry '!$X$2:$X$1501,"&lt;="&amp;$A204)+('Opening Balance'!$B$8+SUM('Daily Sale entry '!$L$2:M204)-F204),2))</f>
        <v/>
      </c>
      <c r="L204">
        <f>IF($A204="","",IF(ABS('Sales &amp; Collection'!$B$2840)&gt;'Opening Balance'!$B$16,"ALERT 警报: Different "&amp;TEXT('Sales &amp; Collection'!$B$2840,"#,##0.00")&amp;" 差额过大",""))</f>
        <v/>
      </c>
    </row>
    <row r="205">
      <c r="A205" s="5">
        <f>IF('Daily Sale entry '!A205="","",'Daily Sale entry '!A205)</f>
        <v/>
      </c>
      <c r="B205" s="6">
        <f>IF($A205="","",ROUND('Opening Balance'!$B$4+SUM('Daily Sale entry '!$K$2:K205)+SUMIFS('Daily Sale entry '!$AC$2:$AC$1501,'Daily Sale entry '!$X$2:$X$1501,"&lt;="&amp;$A205)-SUMIFS('Daily Sale entry '!$AD$2:$AD$1501,'Daily Sale entry '!$X$2:$X$1501,"&lt;="&amp;$A205)+SUMPRODUCT(('Daily Sale entry '!$Q$2:$Q$1501="Collection 收款")*('Daily Sale entry '!$R$2:$R$1501="Cheque 支票")*('Daily Sale entry '!$V$2:$V$1501&lt;&gt;"")*('Daily Sale entry '!$V$2:$V$1501&lt;=$A205)*('Daily Sale entry '!$S$2:$S$1501-'Opening Balance'!$B$15*('Daily Sale entry '!$R$2:$R$1501="Cheque 支票")*('Daily Sale entry '!$S$2:$S$1501-TRUNC('Daily Sale entry '!$S$2:$S$1501))))-'Opening Balance'!$B$15*SUMPRODUCT(('Daily Sale entry '!$X$2:$X$1501&lt;=$A205)*('Daily Sale entry '!$Z$2:$Z$1501="Online collection 网上收款")*('Daily Sale entry '!$AA$2:$AA$1501&lt;&gt;"")*('Daily Sale entry '!$AC$2:$AC$1501-TRUNC('Daily Sale entry '!$AC$2:$AC$1501))),2))</f>
        <v/>
      </c>
      <c r="C205" s="8">
        <f>IF($A205="","",'Opening Balance'!$B$5+SUM('Daily Sale entry '!$I$2:I205)-SUMIFS('Daily Sale entry '!$AB$2:$AB$1501,'Daily Sale entry '!$X$2:$X$1501,"&lt;="&amp;$A205,'Daily Sale entry '!$Z$2:$Z$1501,"Cheque deposit 支票存入")-COUNTIFS('Daily Sale entry '!$Q$2:$Q$1501,"Collection 收款",'Daily Sale entry '!$R$2:$R$1501,"Cheque 支票",'Daily Sale entry '!$V$2:$V$1501,"&lt;="&amp;$A205))</f>
        <v/>
      </c>
      <c r="D205" s="6">
        <f>IF($A205="","",ROUND('Opening Balance'!$B$6+SUM('Daily Sale entry '!$J$2:J205)-SUMIFS('Daily Sale entry '!$AC$2:$AC$1501,'Daily Sale entry '!$X$2:$X$1501,"&lt;="&amp;$A205,'Daily Sale entry '!$Z$2:$Z$1501,"Cheque deposit 支票存入")-SUMPRODUCT(('Daily Sale entry '!$Q$2:$Q$1501="Collection 收款")*('Daily Sale entry '!$R$2:$R$1501="Cheque 支票")*('Daily Sale entry '!$V$2:$V$1501&lt;&gt;"")*('Daily Sale entry '!$V$2:$V$1501&lt;=$A205)*('Daily Sale entry '!$S$2:$S$1501-'Opening Balance'!$B$15*('Daily Sale entry '!$R$2:$R$1501="Cheque 支票")*('Daily Sale entry '!$S$2:$S$1501-TRUNC('Daily Sale entry '!$S$2:$S$1501)))),2))</f>
        <v/>
      </c>
      <c r="E205" s="6">
        <f>IF($A205="","",'Opening Balance'!$B$7)</f>
        <v/>
      </c>
      <c r="F205" s="6">
        <f>IF($A205="","",ROUND(SUMIFS('Daily Sale entry '!$L$2:$L$367,'Daily Sale entry '!$A$2:$A$367,"&gt;="&amp;DATE(YEAR($A205),MONTH($A205),1),'Daily Sale entry '!$A$2:$A$367,"&lt;="&amp;$A205)+SUMIFS('Daily Sale entry '!$M$2:$M$367,'Daily Sale entry '!$A$2:$A$367,"&gt;="&amp;DATE(YEAR($A205),MONTH($A205),1),'Daily Sale entry '!$A$2:$A$367,"&lt;="&amp;$A205)+IF(AND(YEAR($A205)=YEAR('Daily Sale entry '!$A$2),MONTH($A205)=MONTH('Daily Sale entry '!$A$2)),'Opening Balance'!$B$8,0),2))</f>
        <v/>
      </c>
      <c r="G205" s="6">
        <f>IF($A205="","",MOD(ROUND('Opening Balance'!$B$9+SUMIFS('Sales &amp; Collection'!$L$1:$L$2845,'Sales &amp; Collection'!$K$1:$K$2845,"cash collection*"),2),'Opening Balance'!$B$11))</f>
        <v/>
      </c>
      <c r="H205" s="6">
        <f>IF($A205="","",ROUND('Opening Balance'!$B$10+'Opening Balance'!$B$9+SUMIFS('Sales &amp; Collection'!$L$1:$L$2845,'Sales &amp; Collection'!$K$1:$K$2845,"cash collection*")-G205-SUMIFS('Daily Sale entry '!$AC$2:$AC$1501,'Daily Sale entry '!$X$2:$X$1501,"&lt;="&amp;$A205,'Daily Sale entry '!$Z$2:$Z$1501,"Cash deposit 现金存入"),2))</f>
        <v/>
      </c>
      <c r="I205" s="6">
        <f>IF($A205="","",ROUND(B205+D205+E205+F205+G205+H205,2))</f>
        <v/>
      </c>
      <c r="J205" s="6">
        <f>IF($A205="","",'AR &amp; AP'!K206)</f>
        <v/>
      </c>
      <c r="K205" s="6">
        <f>IF($A205="","",ROUND(I205-J205-SUMIFS('Daily Sale entry '!$AC$2:$AC$1501,'Daily Sale entry '!$X$2:$X$1501,"&lt;="&amp;$A205,'Daily Sale entry '!$Z$2:$Z$1501,"Other deposit 其他存入")+SUMIFS('Daily Sale entry '!$AD$2:$AD$1501,'Daily Sale entry '!$X$2:$X$1501,"&lt;="&amp;$A205)+('Opening Balance'!$B$8+SUM('Daily Sale entry '!$L$2:M205)-F205),2))</f>
        <v/>
      </c>
      <c r="L205">
        <f>IF($A205="","",IF(ABS('Sales &amp; Collection'!$B$2854)&gt;'Opening Balance'!$B$16,"ALERT 警报: Different "&amp;TEXT('Sales &amp; Collection'!$B$2854,"#,##0.00")&amp;" 差额过大",""))</f>
        <v/>
      </c>
    </row>
    <row r="206">
      <c r="A206" s="5">
        <f>IF('Daily Sale entry '!A206="","",'Daily Sale entry '!A206)</f>
        <v/>
      </c>
      <c r="B206" s="6">
        <f>IF($A206="","",ROUND('Opening Balance'!$B$4+SUM('Daily Sale entry '!$K$2:K206)+SUMIFS('Daily Sale entry '!$AC$2:$AC$1501,'Daily Sale entry '!$X$2:$X$1501,"&lt;="&amp;$A206)-SUMIFS('Daily Sale entry '!$AD$2:$AD$1501,'Daily Sale entry '!$X$2:$X$1501,"&lt;="&amp;$A206)+SUMPRODUCT(('Daily Sale entry '!$Q$2:$Q$1501="Collection 收款")*('Daily Sale entry '!$R$2:$R$1501="Cheque 支票")*('Daily Sale entry '!$V$2:$V$1501&lt;&gt;"")*('Daily Sale entry '!$V$2:$V$1501&lt;=$A206)*('Daily Sale entry '!$S$2:$S$1501-'Opening Balance'!$B$15*('Daily Sale entry '!$R$2:$R$1501="Cheque 支票")*('Daily Sale entry '!$S$2:$S$1501-TRUNC('Daily Sale entry '!$S$2:$S$1501))))-'Opening Balance'!$B$15*SUMPRODUCT(('Daily Sale entry '!$X$2:$X$1501&lt;=$A206)*('Daily Sale entry '!$Z$2:$Z$1501="Online collection 网上收款")*('Daily Sale entry '!$AA$2:$AA$1501&lt;&gt;"")*('Daily Sale entry '!$AC$2:$AC$1501-TRUNC('Daily Sale entry '!$AC$2:$AC$1501))),2))</f>
        <v/>
      </c>
      <c r="C206" s="8">
        <f>IF($A206="","",'Opening Balance'!$B$5+SUM('Daily Sale entry '!$I$2:I206)-SUMIFS('Daily Sale entry '!$AB$2:$AB$1501,'Daily Sale entry '!$X$2:$X$1501,"&lt;="&amp;$A206,'Daily Sale entry '!$Z$2:$Z$1501,"Cheque deposit 支票存入")-COUNTIFS('Daily Sale entry '!$Q$2:$Q$1501,"Collection 收款",'Daily Sale entry '!$R$2:$R$1501,"Cheque 支票",'Daily Sale entry '!$V$2:$V$1501,"&lt;="&amp;$A206))</f>
        <v/>
      </c>
      <c r="D206" s="6">
        <f>IF($A206="","",ROUND('Opening Balance'!$B$6+SUM('Daily Sale entry '!$J$2:J206)-SUMIFS('Daily Sale entry '!$AC$2:$AC$1501,'Daily Sale entry '!$X$2:$X$1501,"&lt;="&amp;$A206,'Daily Sale entry '!$Z$2:$Z$1501,"Cheque deposit 支票存入")-SUMPRODUCT(('Daily Sale entry '!$Q$2:$Q$1501="Collection 收款")*('Daily Sale entry '!$R$2:$R$1501="Cheque 支票")*('Daily Sale entry '!$V$2:$V$1501&lt;&gt;"")*('Daily Sale entry '!$V$2:$V$1501&lt;=$A206)*('Daily Sale entry '!$S$2:$S$1501-'Opening Balance'!$B$15*('Daily Sale entry '!$R$2:$R$1501="Cheque 支票")*('Daily Sale entry '!$S$2:$S$1501-TRUNC('Daily Sale entry '!$S$2:$S$1501)))),2))</f>
        <v/>
      </c>
      <c r="E206" s="6">
        <f>IF($A206="","",'Opening Balance'!$B$7)</f>
        <v/>
      </c>
      <c r="F206" s="6">
        <f>IF($A206="","",ROUND(SUMIFS('Daily Sale entry '!$L$2:$L$367,'Daily Sale entry '!$A$2:$A$367,"&gt;="&amp;DATE(YEAR($A206),MONTH($A206),1),'Daily Sale entry '!$A$2:$A$367,"&lt;="&amp;$A206)+SUMIFS('Daily Sale entry '!$M$2:$M$367,'Daily Sale entry '!$A$2:$A$367,"&gt;="&amp;DATE(YEAR($A206),MONTH($A206),1),'Daily Sale entry '!$A$2:$A$367,"&lt;="&amp;$A206)+IF(AND(YEAR($A206)=YEAR('Daily Sale entry '!$A$2),MONTH($A206)=MONTH('Daily Sale entry '!$A$2)),'Opening Balance'!$B$8,0),2))</f>
        <v/>
      </c>
      <c r="G206" s="6">
        <f>IF($A206="","",MOD(ROUND('Opening Balance'!$B$9+SUMIFS('Sales &amp; Collection'!$L$1:$L$2859,'Sales &amp; Collection'!$K$1:$K$2859,"cash collection*"),2),'Opening Balance'!$B$11))</f>
        <v/>
      </c>
      <c r="H206" s="6">
        <f>IF($A206="","",ROUND('Opening Balance'!$B$10+'Opening Balance'!$B$9+SUMIFS('Sales &amp; Collection'!$L$1:$L$2859,'Sales &amp; Collection'!$K$1:$K$2859,"cash collection*")-G206-SUMIFS('Daily Sale entry '!$AC$2:$AC$1501,'Daily Sale entry '!$X$2:$X$1501,"&lt;="&amp;$A206,'Daily Sale entry '!$Z$2:$Z$1501,"Cash deposit 现金存入"),2))</f>
        <v/>
      </c>
      <c r="I206" s="6">
        <f>IF($A206="","",ROUND(B206+D206+E206+F206+G206+H206,2))</f>
        <v/>
      </c>
      <c r="J206" s="6">
        <f>IF($A206="","",'AR &amp; AP'!K207)</f>
        <v/>
      </c>
      <c r="K206" s="6">
        <f>IF($A206="","",ROUND(I206-J206-SUMIFS('Daily Sale entry '!$AC$2:$AC$1501,'Daily Sale entry '!$X$2:$X$1501,"&lt;="&amp;$A206,'Daily Sale entry '!$Z$2:$Z$1501,"Other deposit 其他存入")+SUMIFS('Daily Sale entry '!$AD$2:$AD$1501,'Daily Sale entry '!$X$2:$X$1501,"&lt;="&amp;$A206)+('Opening Balance'!$B$8+SUM('Daily Sale entry '!$L$2:M206)-F206),2))</f>
        <v/>
      </c>
      <c r="L206">
        <f>IF($A206="","",IF(ABS('Sales &amp; Collection'!$B$2868)&gt;'Opening Balance'!$B$16,"ALERT 警报: Different "&amp;TEXT('Sales &amp; Collection'!$B$2868,"#,##0.00")&amp;" 差额过大",""))</f>
        <v/>
      </c>
    </row>
    <row r="207">
      <c r="A207" s="5">
        <f>IF('Daily Sale entry '!A207="","",'Daily Sale entry '!A207)</f>
        <v/>
      </c>
      <c r="B207" s="6">
        <f>IF($A207="","",ROUND('Opening Balance'!$B$4+SUM('Daily Sale entry '!$K$2:K207)+SUMIFS('Daily Sale entry '!$AC$2:$AC$1501,'Daily Sale entry '!$X$2:$X$1501,"&lt;="&amp;$A207)-SUMIFS('Daily Sale entry '!$AD$2:$AD$1501,'Daily Sale entry '!$X$2:$X$1501,"&lt;="&amp;$A207)+SUMPRODUCT(('Daily Sale entry '!$Q$2:$Q$1501="Collection 收款")*('Daily Sale entry '!$R$2:$R$1501="Cheque 支票")*('Daily Sale entry '!$V$2:$V$1501&lt;&gt;"")*('Daily Sale entry '!$V$2:$V$1501&lt;=$A207)*('Daily Sale entry '!$S$2:$S$1501-'Opening Balance'!$B$15*('Daily Sale entry '!$R$2:$R$1501="Cheque 支票")*('Daily Sale entry '!$S$2:$S$1501-TRUNC('Daily Sale entry '!$S$2:$S$1501))))-'Opening Balance'!$B$15*SUMPRODUCT(('Daily Sale entry '!$X$2:$X$1501&lt;=$A207)*('Daily Sale entry '!$Z$2:$Z$1501="Online collection 网上收款")*('Daily Sale entry '!$AA$2:$AA$1501&lt;&gt;"")*('Daily Sale entry '!$AC$2:$AC$1501-TRUNC('Daily Sale entry '!$AC$2:$AC$1501))),2))</f>
        <v/>
      </c>
      <c r="C207" s="8">
        <f>IF($A207="","",'Opening Balance'!$B$5+SUM('Daily Sale entry '!$I$2:I207)-SUMIFS('Daily Sale entry '!$AB$2:$AB$1501,'Daily Sale entry '!$X$2:$X$1501,"&lt;="&amp;$A207,'Daily Sale entry '!$Z$2:$Z$1501,"Cheque deposit 支票存入")-COUNTIFS('Daily Sale entry '!$Q$2:$Q$1501,"Collection 收款",'Daily Sale entry '!$R$2:$R$1501,"Cheque 支票",'Daily Sale entry '!$V$2:$V$1501,"&lt;="&amp;$A207))</f>
        <v/>
      </c>
      <c r="D207" s="6">
        <f>IF($A207="","",ROUND('Opening Balance'!$B$6+SUM('Daily Sale entry '!$J$2:J207)-SUMIFS('Daily Sale entry '!$AC$2:$AC$1501,'Daily Sale entry '!$X$2:$X$1501,"&lt;="&amp;$A207,'Daily Sale entry '!$Z$2:$Z$1501,"Cheque deposit 支票存入")-SUMPRODUCT(('Daily Sale entry '!$Q$2:$Q$1501="Collection 收款")*('Daily Sale entry '!$R$2:$R$1501="Cheque 支票")*('Daily Sale entry '!$V$2:$V$1501&lt;&gt;"")*('Daily Sale entry '!$V$2:$V$1501&lt;=$A207)*('Daily Sale entry '!$S$2:$S$1501-'Opening Balance'!$B$15*('Daily Sale entry '!$R$2:$R$1501="Cheque 支票")*('Daily Sale entry '!$S$2:$S$1501-TRUNC('Daily Sale entry '!$S$2:$S$1501)))),2))</f>
        <v/>
      </c>
      <c r="E207" s="6">
        <f>IF($A207="","",'Opening Balance'!$B$7)</f>
        <v/>
      </c>
      <c r="F207" s="6">
        <f>IF($A207="","",ROUND(SUMIFS('Daily Sale entry '!$L$2:$L$367,'Daily Sale entry '!$A$2:$A$367,"&gt;="&amp;DATE(YEAR($A207),MONTH($A207),1),'Daily Sale entry '!$A$2:$A$367,"&lt;="&amp;$A207)+SUMIFS('Daily Sale entry '!$M$2:$M$367,'Daily Sale entry '!$A$2:$A$367,"&gt;="&amp;DATE(YEAR($A207),MONTH($A207),1),'Daily Sale entry '!$A$2:$A$367,"&lt;="&amp;$A207)+IF(AND(YEAR($A207)=YEAR('Daily Sale entry '!$A$2),MONTH($A207)=MONTH('Daily Sale entry '!$A$2)),'Opening Balance'!$B$8,0),2))</f>
        <v/>
      </c>
      <c r="G207" s="6">
        <f>IF($A207="","",MOD(ROUND('Opening Balance'!$B$9+SUMIFS('Sales &amp; Collection'!$L$1:$L$2873,'Sales &amp; Collection'!$K$1:$K$2873,"cash collection*"),2),'Opening Balance'!$B$11))</f>
        <v/>
      </c>
      <c r="H207" s="6">
        <f>IF($A207="","",ROUND('Opening Balance'!$B$10+'Opening Balance'!$B$9+SUMIFS('Sales &amp; Collection'!$L$1:$L$2873,'Sales &amp; Collection'!$K$1:$K$2873,"cash collection*")-G207-SUMIFS('Daily Sale entry '!$AC$2:$AC$1501,'Daily Sale entry '!$X$2:$X$1501,"&lt;="&amp;$A207,'Daily Sale entry '!$Z$2:$Z$1501,"Cash deposit 现金存入"),2))</f>
        <v/>
      </c>
      <c r="I207" s="6">
        <f>IF($A207="","",ROUND(B207+D207+E207+F207+G207+H207,2))</f>
        <v/>
      </c>
      <c r="J207" s="6">
        <f>IF($A207="","",'AR &amp; AP'!K208)</f>
        <v/>
      </c>
      <c r="K207" s="6">
        <f>IF($A207="","",ROUND(I207-J207-SUMIFS('Daily Sale entry '!$AC$2:$AC$1501,'Daily Sale entry '!$X$2:$X$1501,"&lt;="&amp;$A207,'Daily Sale entry '!$Z$2:$Z$1501,"Other deposit 其他存入")+SUMIFS('Daily Sale entry '!$AD$2:$AD$1501,'Daily Sale entry '!$X$2:$X$1501,"&lt;="&amp;$A207)+('Opening Balance'!$B$8+SUM('Daily Sale entry '!$L$2:M207)-F207),2))</f>
        <v/>
      </c>
      <c r="L207">
        <f>IF($A207="","",IF(ABS('Sales &amp; Collection'!$B$2882)&gt;'Opening Balance'!$B$16,"ALERT 警报: Different "&amp;TEXT('Sales &amp; Collection'!$B$2882,"#,##0.00")&amp;" 差额过大",""))</f>
        <v/>
      </c>
    </row>
    <row r="208">
      <c r="A208" s="5">
        <f>IF('Daily Sale entry '!A208="","",'Daily Sale entry '!A208)</f>
        <v/>
      </c>
      <c r="B208" s="6">
        <f>IF($A208="","",ROUND('Opening Balance'!$B$4+SUM('Daily Sale entry '!$K$2:K208)+SUMIFS('Daily Sale entry '!$AC$2:$AC$1501,'Daily Sale entry '!$X$2:$X$1501,"&lt;="&amp;$A208)-SUMIFS('Daily Sale entry '!$AD$2:$AD$1501,'Daily Sale entry '!$X$2:$X$1501,"&lt;="&amp;$A208)+SUMPRODUCT(('Daily Sale entry '!$Q$2:$Q$1501="Collection 收款")*('Daily Sale entry '!$R$2:$R$1501="Cheque 支票")*('Daily Sale entry '!$V$2:$V$1501&lt;&gt;"")*('Daily Sale entry '!$V$2:$V$1501&lt;=$A208)*('Daily Sale entry '!$S$2:$S$1501-'Opening Balance'!$B$15*('Daily Sale entry '!$R$2:$R$1501="Cheque 支票")*('Daily Sale entry '!$S$2:$S$1501-TRUNC('Daily Sale entry '!$S$2:$S$1501))))-'Opening Balance'!$B$15*SUMPRODUCT(('Daily Sale entry '!$X$2:$X$1501&lt;=$A208)*('Daily Sale entry '!$Z$2:$Z$1501="Online collection 网上收款")*('Daily Sale entry '!$AA$2:$AA$1501&lt;&gt;"")*('Daily Sale entry '!$AC$2:$AC$1501-TRUNC('Daily Sale entry '!$AC$2:$AC$1501))),2))</f>
        <v/>
      </c>
      <c r="C208" s="8">
        <f>IF($A208="","",'Opening Balance'!$B$5+SUM('Daily Sale entry '!$I$2:I208)-SUMIFS('Daily Sale entry '!$AB$2:$AB$1501,'Daily Sale entry '!$X$2:$X$1501,"&lt;="&amp;$A208,'Daily Sale entry '!$Z$2:$Z$1501,"Cheque deposit 支票存入")-COUNTIFS('Daily Sale entry '!$Q$2:$Q$1501,"Collection 收款",'Daily Sale entry '!$R$2:$R$1501,"Cheque 支票",'Daily Sale entry '!$V$2:$V$1501,"&lt;="&amp;$A208))</f>
        <v/>
      </c>
      <c r="D208" s="6">
        <f>IF($A208="","",ROUND('Opening Balance'!$B$6+SUM('Daily Sale entry '!$J$2:J208)-SUMIFS('Daily Sale entry '!$AC$2:$AC$1501,'Daily Sale entry '!$X$2:$X$1501,"&lt;="&amp;$A208,'Daily Sale entry '!$Z$2:$Z$1501,"Cheque deposit 支票存入")-SUMPRODUCT(('Daily Sale entry '!$Q$2:$Q$1501="Collection 收款")*('Daily Sale entry '!$R$2:$R$1501="Cheque 支票")*('Daily Sale entry '!$V$2:$V$1501&lt;&gt;"")*('Daily Sale entry '!$V$2:$V$1501&lt;=$A208)*('Daily Sale entry '!$S$2:$S$1501-'Opening Balance'!$B$15*('Daily Sale entry '!$R$2:$R$1501="Cheque 支票")*('Daily Sale entry '!$S$2:$S$1501-TRUNC('Daily Sale entry '!$S$2:$S$1501)))),2))</f>
        <v/>
      </c>
      <c r="E208" s="6">
        <f>IF($A208="","",'Opening Balance'!$B$7)</f>
        <v/>
      </c>
      <c r="F208" s="6">
        <f>IF($A208="","",ROUND(SUMIFS('Daily Sale entry '!$L$2:$L$367,'Daily Sale entry '!$A$2:$A$367,"&gt;="&amp;DATE(YEAR($A208),MONTH($A208),1),'Daily Sale entry '!$A$2:$A$367,"&lt;="&amp;$A208)+SUMIFS('Daily Sale entry '!$M$2:$M$367,'Daily Sale entry '!$A$2:$A$367,"&gt;="&amp;DATE(YEAR($A208),MONTH($A208),1),'Daily Sale entry '!$A$2:$A$367,"&lt;="&amp;$A208)+IF(AND(YEAR($A208)=YEAR('Daily Sale entry '!$A$2),MONTH($A208)=MONTH('Daily Sale entry '!$A$2)),'Opening Balance'!$B$8,0),2))</f>
        <v/>
      </c>
      <c r="G208" s="6">
        <f>IF($A208="","",MOD(ROUND('Opening Balance'!$B$9+SUMIFS('Sales &amp; Collection'!$L$1:$L$2887,'Sales &amp; Collection'!$K$1:$K$2887,"cash collection*"),2),'Opening Balance'!$B$11))</f>
        <v/>
      </c>
      <c r="H208" s="6">
        <f>IF($A208="","",ROUND('Opening Balance'!$B$10+'Opening Balance'!$B$9+SUMIFS('Sales &amp; Collection'!$L$1:$L$2887,'Sales &amp; Collection'!$K$1:$K$2887,"cash collection*")-G208-SUMIFS('Daily Sale entry '!$AC$2:$AC$1501,'Daily Sale entry '!$X$2:$X$1501,"&lt;="&amp;$A208,'Daily Sale entry '!$Z$2:$Z$1501,"Cash deposit 现金存入"),2))</f>
        <v/>
      </c>
      <c r="I208" s="6">
        <f>IF($A208="","",ROUND(B208+D208+E208+F208+G208+H208,2))</f>
        <v/>
      </c>
      <c r="J208" s="6">
        <f>IF($A208="","",'AR &amp; AP'!K209)</f>
        <v/>
      </c>
      <c r="K208" s="6">
        <f>IF($A208="","",ROUND(I208-J208-SUMIFS('Daily Sale entry '!$AC$2:$AC$1501,'Daily Sale entry '!$X$2:$X$1501,"&lt;="&amp;$A208,'Daily Sale entry '!$Z$2:$Z$1501,"Other deposit 其他存入")+SUMIFS('Daily Sale entry '!$AD$2:$AD$1501,'Daily Sale entry '!$X$2:$X$1501,"&lt;="&amp;$A208)+('Opening Balance'!$B$8+SUM('Daily Sale entry '!$L$2:M208)-F208),2))</f>
        <v/>
      </c>
      <c r="L208">
        <f>IF($A208="","",IF(ABS('Sales &amp; Collection'!$B$2896)&gt;'Opening Balance'!$B$16,"ALERT 警报: Different "&amp;TEXT('Sales &amp; Collection'!$B$2896,"#,##0.00")&amp;" 差额过大",""))</f>
        <v/>
      </c>
    </row>
    <row r="209">
      <c r="A209" s="5">
        <f>IF('Daily Sale entry '!A209="","",'Daily Sale entry '!A209)</f>
        <v/>
      </c>
      <c r="B209" s="6">
        <f>IF($A209="","",ROUND('Opening Balance'!$B$4+SUM('Daily Sale entry '!$K$2:K209)+SUMIFS('Daily Sale entry '!$AC$2:$AC$1501,'Daily Sale entry '!$X$2:$X$1501,"&lt;="&amp;$A209)-SUMIFS('Daily Sale entry '!$AD$2:$AD$1501,'Daily Sale entry '!$X$2:$X$1501,"&lt;="&amp;$A209)+SUMPRODUCT(('Daily Sale entry '!$Q$2:$Q$1501="Collection 收款")*('Daily Sale entry '!$R$2:$R$1501="Cheque 支票")*('Daily Sale entry '!$V$2:$V$1501&lt;&gt;"")*('Daily Sale entry '!$V$2:$V$1501&lt;=$A209)*('Daily Sale entry '!$S$2:$S$1501-'Opening Balance'!$B$15*('Daily Sale entry '!$R$2:$R$1501="Cheque 支票")*('Daily Sale entry '!$S$2:$S$1501-TRUNC('Daily Sale entry '!$S$2:$S$1501))))-'Opening Balance'!$B$15*SUMPRODUCT(('Daily Sale entry '!$X$2:$X$1501&lt;=$A209)*('Daily Sale entry '!$Z$2:$Z$1501="Online collection 网上收款")*('Daily Sale entry '!$AA$2:$AA$1501&lt;&gt;"")*('Daily Sale entry '!$AC$2:$AC$1501-TRUNC('Daily Sale entry '!$AC$2:$AC$1501))),2))</f>
        <v/>
      </c>
      <c r="C209" s="8">
        <f>IF($A209="","",'Opening Balance'!$B$5+SUM('Daily Sale entry '!$I$2:I209)-SUMIFS('Daily Sale entry '!$AB$2:$AB$1501,'Daily Sale entry '!$X$2:$X$1501,"&lt;="&amp;$A209,'Daily Sale entry '!$Z$2:$Z$1501,"Cheque deposit 支票存入")-COUNTIFS('Daily Sale entry '!$Q$2:$Q$1501,"Collection 收款",'Daily Sale entry '!$R$2:$R$1501,"Cheque 支票",'Daily Sale entry '!$V$2:$V$1501,"&lt;="&amp;$A209))</f>
        <v/>
      </c>
      <c r="D209" s="6">
        <f>IF($A209="","",ROUND('Opening Balance'!$B$6+SUM('Daily Sale entry '!$J$2:J209)-SUMIFS('Daily Sale entry '!$AC$2:$AC$1501,'Daily Sale entry '!$X$2:$X$1501,"&lt;="&amp;$A209,'Daily Sale entry '!$Z$2:$Z$1501,"Cheque deposit 支票存入")-SUMPRODUCT(('Daily Sale entry '!$Q$2:$Q$1501="Collection 收款")*('Daily Sale entry '!$R$2:$R$1501="Cheque 支票")*('Daily Sale entry '!$V$2:$V$1501&lt;&gt;"")*('Daily Sale entry '!$V$2:$V$1501&lt;=$A209)*('Daily Sale entry '!$S$2:$S$1501-'Opening Balance'!$B$15*('Daily Sale entry '!$R$2:$R$1501="Cheque 支票")*('Daily Sale entry '!$S$2:$S$1501-TRUNC('Daily Sale entry '!$S$2:$S$1501)))),2))</f>
        <v/>
      </c>
      <c r="E209" s="6">
        <f>IF($A209="","",'Opening Balance'!$B$7)</f>
        <v/>
      </c>
      <c r="F209" s="6">
        <f>IF($A209="","",ROUND(SUMIFS('Daily Sale entry '!$L$2:$L$367,'Daily Sale entry '!$A$2:$A$367,"&gt;="&amp;DATE(YEAR($A209),MONTH($A209),1),'Daily Sale entry '!$A$2:$A$367,"&lt;="&amp;$A209)+SUMIFS('Daily Sale entry '!$M$2:$M$367,'Daily Sale entry '!$A$2:$A$367,"&gt;="&amp;DATE(YEAR($A209),MONTH($A209),1),'Daily Sale entry '!$A$2:$A$367,"&lt;="&amp;$A209)+IF(AND(YEAR($A209)=YEAR('Daily Sale entry '!$A$2),MONTH($A209)=MONTH('Daily Sale entry '!$A$2)),'Opening Balance'!$B$8,0),2))</f>
        <v/>
      </c>
      <c r="G209" s="6">
        <f>IF($A209="","",MOD(ROUND('Opening Balance'!$B$9+SUMIFS('Sales &amp; Collection'!$L$1:$L$2901,'Sales &amp; Collection'!$K$1:$K$2901,"cash collection*"),2),'Opening Balance'!$B$11))</f>
        <v/>
      </c>
      <c r="H209" s="6">
        <f>IF($A209="","",ROUND('Opening Balance'!$B$10+'Opening Balance'!$B$9+SUMIFS('Sales &amp; Collection'!$L$1:$L$2901,'Sales &amp; Collection'!$K$1:$K$2901,"cash collection*")-G209-SUMIFS('Daily Sale entry '!$AC$2:$AC$1501,'Daily Sale entry '!$X$2:$X$1501,"&lt;="&amp;$A209,'Daily Sale entry '!$Z$2:$Z$1501,"Cash deposit 现金存入"),2))</f>
        <v/>
      </c>
      <c r="I209" s="6">
        <f>IF($A209="","",ROUND(B209+D209+E209+F209+G209+H209,2))</f>
        <v/>
      </c>
      <c r="J209" s="6">
        <f>IF($A209="","",'AR &amp; AP'!K210)</f>
        <v/>
      </c>
      <c r="K209" s="6">
        <f>IF($A209="","",ROUND(I209-J209-SUMIFS('Daily Sale entry '!$AC$2:$AC$1501,'Daily Sale entry '!$X$2:$X$1501,"&lt;="&amp;$A209,'Daily Sale entry '!$Z$2:$Z$1501,"Other deposit 其他存入")+SUMIFS('Daily Sale entry '!$AD$2:$AD$1501,'Daily Sale entry '!$X$2:$X$1501,"&lt;="&amp;$A209)+('Opening Balance'!$B$8+SUM('Daily Sale entry '!$L$2:M209)-F209),2))</f>
        <v/>
      </c>
      <c r="L209">
        <f>IF($A209="","",IF(ABS('Sales &amp; Collection'!$B$2910)&gt;'Opening Balance'!$B$16,"ALERT 警报: Different "&amp;TEXT('Sales &amp; Collection'!$B$2910,"#,##0.00")&amp;" 差额过大",""))</f>
        <v/>
      </c>
    </row>
    <row r="210">
      <c r="A210" s="5">
        <f>IF('Daily Sale entry '!A210="","",'Daily Sale entry '!A210)</f>
        <v/>
      </c>
      <c r="B210" s="6">
        <f>IF($A210="","",ROUND('Opening Balance'!$B$4+SUM('Daily Sale entry '!$K$2:K210)+SUMIFS('Daily Sale entry '!$AC$2:$AC$1501,'Daily Sale entry '!$X$2:$X$1501,"&lt;="&amp;$A210)-SUMIFS('Daily Sale entry '!$AD$2:$AD$1501,'Daily Sale entry '!$X$2:$X$1501,"&lt;="&amp;$A210)+SUMPRODUCT(('Daily Sale entry '!$Q$2:$Q$1501="Collection 收款")*('Daily Sale entry '!$R$2:$R$1501="Cheque 支票")*('Daily Sale entry '!$V$2:$V$1501&lt;&gt;"")*('Daily Sale entry '!$V$2:$V$1501&lt;=$A210)*('Daily Sale entry '!$S$2:$S$1501-'Opening Balance'!$B$15*('Daily Sale entry '!$R$2:$R$1501="Cheque 支票")*('Daily Sale entry '!$S$2:$S$1501-TRUNC('Daily Sale entry '!$S$2:$S$1501))))-'Opening Balance'!$B$15*SUMPRODUCT(('Daily Sale entry '!$X$2:$X$1501&lt;=$A210)*('Daily Sale entry '!$Z$2:$Z$1501="Online collection 网上收款")*('Daily Sale entry '!$AA$2:$AA$1501&lt;&gt;"")*('Daily Sale entry '!$AC$2:$AC$1501-TRUNC('Daily Sale entry '!$AC$2:$AC$1501))),2))</f>
        <v/>
      </c>
      <c r="C210" s="8">
        <f>IF($A210="","",'Opening Balance'!$B$5+SUM('Daily Sale entry '!$I$2:I210)-SUMIFS('Daily Sale entry '!$AB$2:$AB$1501,'Daily Sale entry '!$X$2:$X$1501,"&lt;="&amp;$A210,'Daily Sale entry '!$Z$2:$Z$1501,"Cheque deposit 支票存入")-COUNTIFS('Daily Sale entry '!$Q$2:$Q$1501,"Collection 收款",'Daily Sale entry '!$R$2:$R$1501,"Cheque 支票",'Daily Sale entry '!$V$2:$V$1501,"&lt;="&amp;$A210))</f>
        <v/>
      </c>
      <c r="D210" s="6">
        <f>IF($A210="","",ROUND('Opening Balance'!$B$6+SUM('Daily Sale entry '!$J$2:J210)-SUMIFS('Daily Sale entry '!$AC$2:$AC$1501,'Daily Sale entry '!$X$2:$X$1501,"&lt;="&amp;$A210,'Daily Sale entry '!$Z$2:$Z$1501,"Cheque deposit 支票存入")-SUMPRODUCT(('Daily Sale entry '!$Q$2:$Q$1501="Collection 收款")*('Daily Sale entry '!$R$2:$R$1501="Cheque 支票")*('Daily Sale entry '!$V$2:$V$1501&lt;&gt;"")*('Daily Sale entry '!$V$2:$V$1501&lt;=$A210)*('Daily Sale entry '!$S$2:$S$1501-'Opening Balance'!$B$15*('Daily Sale entry '!$R$2:$R$1501="Cheque 支票")*('Daily Sale entry '!$S$2:$S$1501-TRUNC('Daily Sale entry '!$S$2:$S$1501)))),2))</f>
        <v/>
      </c>
      <c r="E210" s="6">
        <f>IF($A210="","",'Opening Balance'!$B$7)</f>
        <v/>
      </c>
      <c r="F210" s="6">
        <f>IF($A210="","",ROUND(SUMIFS('Daily Sale entry '!$L$2:$L$367,'Daily Sale entry '!$A$2:$A$367,"&gt;="&amp;DATE(YEAR($A210),MONTH($A210),1),'Daily Sale entry '!$A$2:$A$367,"&lt;="&amp;$A210)+SUMIFS('Daily Sale entry '!$M$2:$M$367,'Daily Sale entry '!$A$2:$A$367,"&gt;="&amp;DATE(YEAR($A210),MONTH($A210),1),'Daily Sale entry '!$A$2:$A$367,"&lt;="&amp;$A210)+IF(AND(YEAR($A210)=YEAR('Daily Sale entry '!$A$2),MONTH($A210)=MONTH('Daily Sale entry '!$A$2)),'Opening Balance'!$B$8,0),2))</f>
        <v/>
      </c>
      <c r="G210" s="6">
        <f>IF($A210="","",MOD(ROUND('Opening Balance'!$B$9+SUMIFS('Sales &amp; Collection'!$L$1:$L$2915,'Sales &amp; Collection'!$K$1:$K$2915,"cash collection*"),2),'Opening Balance'!$B$11))</f>
        <v/>
      </c>
      <c r="H210" s="6">
        <f>IF($A210="","",ROUND('Opening Balance'!$B$10+'Opening Balance'!$B$9+SUMIFS('Sales &amp; Collection'!$L$1:$L$2915,'Sales &amp; Collection'!$K$1:$K$2915,"cash collection*")-G210-SUMIFS('Daily Sale entry '!$AC$2:$AC$1501,'Daily Sale entry '!$X$2:$X$1501,"&lt;="&amp;$A210,'Daily Sale entry '!$Z$2:$Z$1501,"Cash deposit 现金存入"),2))</f>
        <v/>
      </c>
      <c r="I210" s="6">
        <f>IF($A210="","",ROUND(B210+D210+E210+F210+G210+H210,2))</f>
        <v/>
      </c>
      <c r="J210" s="6">
        <f>IF($A210="","",'AR &amp; AP'!K211)</f>
        <v/>
      </c>
      <c r="K210" s="6">
        <f>IF($A210="","",ROUND(I210-J210-SUMIFS('Daily Sale entry '!$AC$2:$AC$1501,'Daily Sale entry '!$X$2:$X$1501,"&lt;="&amp;$A210,'Daily Sale entry '!$Z$2:$Z$1501,"Other deposit 其他存入")+SUMIFS('Daily Sale entry '!$AD$2:$AD$1501,'Daily Sale entry '!$X$2:$X$1501,"&lt;="&amp;$A210)+('Opening Balance'!$B$8+SUM('Daily Sale entry '!$L$2:M210)-F210),2))</f>
        <v/>
      </c>
      <c r="L210">
        <f>IF($A210="","",IF(ABS('Sales &amp; Collection'!$B$2924)&gt;'Opening Balance'!$B$16,"ALERT 警报: Different "&amp;TEXT('Sales &amp; Collection'!$B$2924,"#,##0.00")&amp;" 差额过大",""))</f>
        <v/>
      </c>
    </row>
    <row r="211">
      <c r="A211" s="5">
        <f>IF('Daily Sale entry '!A211="","",'Daily Sale entry '!A211)</f>
        <v/>
      </c>
      <c r="B211" s="6">
        <f>IF($A211="","",ROUND('Opening Balance'!$B$4+SUM('Daily Sale entry '!$K$2:K211)+SUMIFS('Daily Sale entry '!$AC$2:$AC$1501,'Daily Sale entry '!$X$2:$X$1501,"&lt;="&amp;$A211)-SUMIFS('Daily Sale entry '!$AD$2:$AD$1501,'Daily Sale entry '!$X$2:$X$1501,"&lt;="&amp;$A211)+SUMPRODUCT(('Daily Sale entry '!$Q$2:$Q$1501="Collection 收款")*('Daily Sale entry '!$R$2:$R$1501="Cheque 支票")*('Daily Sale entry '!$V$2:$V$1501&lt;&gt;"")*('Daily Sale entry '!$V$2:$V$1501&lt;=$A211)*('Daily Sale entry '!$S$2:$S$1501-'Opening Balance'!$B$15*('Daily Sale entry '!$R$2:$R$1501="Cheque 支票")*('Daily Sale entry '!$S$2:$S$1501-TRUNC('Daily Sale entry '!$S$2:$S$1501))))-'Opening Balance'!$B$15*SUMPRODUCT(('Daily Sale entry '!$X$2:$X$1501&lt;=$A211)*('Daily Sale entry '!$Z$2:$Z$1501="Online collection 网上收款")*('Daily Sale entry '!$AA$2:$AA$1501&lt;&gt;"")*('Daily Sale entry '!$AC$2:$AC$1501-TRUNC('Daily Sale entry '!$AC$2:$AC$1501))),2))</f>
        <v/>
      </c>
      <c r="C211" s="8">
        <f>IF($A211="","",'Opening Balance'!$B$5+SUM('Daily Sale entry '!$I$2:I211)-SUMIFS('Daily Sale entry '!$AB$2:$AB$1501,'Daily Sale entry '!$X$2:$X$1501,"&lt;="&amp;$A211,'Daily Sale entry '!$Z$2:$Z$1501,"Cheque deposit 支票存入")-COUNTIFS('Daily Sale entry '!$Q$2:$Q$1501,"Collection 收款",'Daily Sale entry '!$R$2:$R$1501,"Cheque 支票",'Daily Sale entry '!$V$2:$V$1501,"&lt;="&amp;$A211))</f>
        <v/>
      </c>
      <c r="D211" s="6">
        <f>IF($A211="","",ROUND('Opening Balance'!$B$6+SUM('Daily Sale entry '!$J$2:J211)-SUMIFS('Daily Sale entry '!$AC$2:$AC$1501,'Daily Sale entry '!$X$2:$X$1501,"&lt;="&amp;$A211,'Daily Sale entry '!$Z$2:$Z$1501,"Cheque deposit 支票存入")-SUMPRODUCT(('Daily Sale entry '!$Q$2:$Q$1501="Collection 收款")*('Daily Sale entry '!$R$2:$R$1501="Cheque 支票")*('Daily Sale entry '!$V$2:$V$1501&lt;&gt;"")*('Daily Sale entry '!$V$2:$V$1501&lt;=$A211)*('Daily Sale entry '!$S$2:$S$1501-'Opening Balance'!$B$15*('Daily Sale entry '!$R$2:$R$1501="Cheque 支票")*('Daily Sale entry '!$S$2:$S$1501-TRUNC('Daily Sale entry '!$S$2:$S$1501)))),2))</f>
        <v/>
      </c>
      <c r="E211" s="6">
        <f>IF($A211="","",'Opening Balance'!$B$7)</f>
        <v/>
      </c>
      <c r="F211" s="6">
        <f>IF($A211="","",ROUND(SUMIFS('Daily Sale entry '!$L$2:$L$367,'Daily Sale entry '!$A$2:$A$367,"&gt;="&amp;DATE(YEAR($A211),MONTH($A211),1),'Daily Sale entry '!$A$2:$A$367,"&lt;="&amp;$A211)+SUMIFS('Daily Sale entry '!$M$2:$M$367,'Daily Sale entry '!$A$2:$A$367,"&gt;="&amp;DATE(YEAR($A211),MONTH($A211),1),'Daily Sale entry '!$A$2:$A$367,"&lt;="&amp;$A211)+IF(AND(YEAR($A211)=YEAR('Daily Sale entry '!$A$2),MONTH($A211)=MONTH('Daily Sale entry '!$A$2)),'Opening Balance'!$B$8,0),2))</f>
        <v/>
      </c>
      <c r="G211" s="6">
        <f>IF($A211="","",MOD(ROUND('Opening Balance'!$B$9+SUMIFS('Sales &amp; Collection'!$L$1:$L$2929,'Sales &amp; Collection'!$K$1:$K$2929,"cash collection*"),2),'Opening Balance'!$B$11))</f>
        <v/>
      </c>
      <c r="H211" s="6">
        <f>IF($A211="","",ROUND('Opening Balance'!$B$10+'Opening Balance'!$B$9+SUMIFS('Sales &amp; Collection'!$L$1:$L$2929,'Sales &amp; Collection'!$K$1:$K$2929,"cash collection*")-G211-SUMIFS('Daily Sale entry '!$AC$2:$AC$1501,'Daily Sale entry '!$X$2:$X$1501,"&lt;="&amp;$A211,'Daily Sale entry '!$Z$2:$Z$1501,"Cash deposit 现金存入"),2))</f>
        <v/>
      </c>
      <c r="I211" s="6">
        <f>IF($A211="","",ROUND(B211+D211+E211+F211+G211+H211,2))</f>
        <v/>
      </c>
      <c r="J211" s="6">
        <f>IF($A211="","",'AR &amp; AP'!K212)</f>
        <v/>
      </c>
      <c r="K211" s="6">
        <f>IF($A211="","",ROUND(I211-J211-SUMIFS('Daily Sale entry '!$AC$2:$AC$1501,'Daily Sale entry '!$X$2:$X$1501,"&lt;="&amp;$A211,'Daily Sale entry '!$Z$2:$Z$1501,"Other deposit 其他存入")+SUMIFS('Daily Sale entry '!$AD$2:$AD$1501,'Daily Sale entry '!$X$2:$X$1501,"&lt;="&amp;$A211)+('Opening Balance'!$B$8+SUM('Daily Sale entry '!$L$2:M211)-F211),2))</f>
        <v/>
      </c>
      <c r="L211">
        <f>IF($A211="","",IF(ABS('Sales &amp; Collection'!$B$2938)&gt;'Opening Balance'!$B$16,"ALERT 警报: Different "&amp;TEXT('Sales &amp; Collection'!$B$2938,"#,##0.00")&amp;" 差额过大",""))</f>
        <v/>
      </c>
    </row>
    <row r="212">
      <c r="A212" s="5">
        <f>IF('Daily Sale entry '!A212="","",'Daily Sale entry '!A212)</f>
        <v/>
      </c>
      <c r="B212" s="6">
        <f>IF($A212="","",ROUND('Opening Balance'!$B$4+SUM('Daily Sale entry '!$K$2:K212)+SUMIFS('Daily Sale entry '!$AC$2:$AC$1501,'Daily Sale entry '!$X$2:$X$1501,"&lt;="&amp;$A212)-SUMIFS('Daily Sale entry '!$AD$2:$AD$1501,'Daily Sale entry '!$X$2:$X$1501,"&lt;="&amp;$A212)+SUMPRODUCT(('Daily Sale entry '!$Q$2:$Q$1501="Collection 收款")*('Daily Sale entry '!$R$2:$R$1501="Cheque 支票")*('Daily Sale entry '!$V$2:$V$1501&lt;&gt;"")*('Daily Sale entry '!$V$2:$V$1501&lt;=$A212)*('Daily Sale entry '!$S$2:$S$1501-'Opening Balance'!$B$15*('Daily Sale entry '!$R$2:$R$1501="Cheque 支票")*('Daily Sale entry '!$S$2:$S$1501-TRUNC('Daily Sale entry '!$S$2:$S$1501))))-'Opening Balance'!$B$15*SUMPRODUCT(('Daily Sale entry '!$X$2:$X$1501&lt;=$A212)*('Daily Sale entry '!$Z$2:$Z$1501="Online collection 网上收款")*('Daily Sale entry '!$AA$2:$AA$1501&lt;&gt;"")*('Daily Sale entry '!$AC$2:$AC$1501-TRUNC('Daily Sale entry '!$AC$2:$AC$1501))),2))</f>
        <v/>
      </c>
      <c r="C212" s="8">
        <f>IF($A212="","",'Opening Balance'!$B$5+SUM('Daily Sale entry '!$I$2:I212)-SUMIFS('Daily Sale entry '!$AB$2:$AB$1501,'Daily Sale entry '!$X$2:$X$1501,"&lt;="&amp;$A212,'Daily Sale entry '!$Z$2:$Z$1501,"Cheque deposit 支票存入")-COUNTIFS('Daily Sale entry '!$Q$2:$Q$1501,"Collection 收款",'Daily Sale entry '!$R$2:$R$1501,"Cheque 支票",'Daily Sale entry '!$V$2:$V$1501,"&lt;="&amp;$A212))</f>
        <v/>
      </c>
      <c r="D212" s="6">
        <f>IF($A212="","",ROUND('Opening Balance'!$B$6+SUM('Daily Sale entry '!$J$2:J212)-SUMIFS('Daily Sale entry '!$AC$2:$AC$1501,'Daily Sale entry '!$X$2:$X$1501,"&lt;="&amp;$A212,'Daily Sale entry '!$Z$2:$Z$1501,"Cheque deposit 支票存入")-SUMPRODUCT(('Daily Sale entry '!$Q$2:$Q$1501="Collection 收款")*('Daily Sale entry '!$R$2:$R$1501="Cheque 支票")*('Daily Sale entry '!$V$2:$V$1501&lt;&gt;"")*('Daily Sale entry '!$V$2:$V$1501&lt;=$A212)*('Daily Sale entry '!$S$2:$S$1501-'Opening Balance'!$B$15*('Daily Sale entry '!$R$2:$R$1501="Cheque 支票")*('Daily Sale entry '!$S$2:$S$1501-TRUNC('Daily Sale entry '!$S$2:$S$1501)))),2))</f>
        <v/>
      </c>
      <c r="E212" s="6">
        <f>IF($A212="","",'Opening Balance'!$B$7)</f>
        <v/>
      </c>
      <c r="F212" s="6">
        <f>IF($A212="","",ROUND(SUMIFS('Daily Sale entry '!$L$2:$L$367,'Daily Sale entry '!$A$2:$A$367,"&gt;="&amp;DATE(YEAR($A212),MONTH($A212),1),'Daily Sale entry '!$A$2:$A$367,"&lt;="&amp;$A212)+SUMIFS('Daily Sale entry '!$M$2:$M$367,'Daily Sale entry '!$A$2:$A$367,"&gt;="&amp;DATE(YEAR($A212),MONTH($A212),1),'Daily Sale entry '!$A$2:$A$367,"&lt;="&amp;$A212)+IF(AND(YEAR($A212)=YEAR('Daily Sale entry '!$A$2),MONTH($A212)=MONTH('Daily Sale entry '!$A$2)),'Opening Balance'!$B$8,0),2))</f>
        <v/>
      </c>
      <c r="G212" s="6">
        <f>IF($A212="","",MOD(ROUND('Opening Balance'!$B$9+SUMIFS('Sales &amp; Collection'!$L$1:$L$2943,'Sales &amp; Collection'!$K$1:$K$2943,"cash collection*"),2),'Opening Balance'!$B$11))</f>
        <v/>
      </c>
      <c r="H212" s="6">
        <f>IF($A212="","",ROUND('Opening Balance'!$B$10+'Opening Balance'!$B$9+SUMIFS('Sales &amp; Collection'!$L$1:$L$2943,'Sales &amp; Collection'!$K$1:$K$2943,"cash collection*")-G212-SUMIFS('Daily Sale entry '!$AC$2:$AC$1501,'Daily Sale entry '!$X$2:$X$1501,"&lt;="&amp;$A212,'Daily Sale entry '!$Z$2:$Z$1501,"Cash deposit 现金存入"),2))</f>
        <v/>
      </c>
      <c r="I212" s="6">
        <f>IF($A212="","",ROUND(B212+D212+E212+F212+G212+H212,2))</f>
        <v/>
      </c>
      <c r="J212" s="6">
        <f>IF($A212="","",'AR &amp; AP'!K213)</f>
        <v/>
      </c>
      <c r="K212" s="6">
        <f>IF($A212="","",ROUND(I212-J212-SUMIFS('Daily Sale entry '!$AC$2:$AC$1501,'Daily Sale entry '!$X$2:$X$1501,"&lt;="&amp;$A212,'Daily Sale entry '!$Z$2:$Z$1501,"Other deposit 其他存入")+SUMIFS('Daily Sale entry '!$AD$2:$AD$1501,'Daily Sale entry '!$X$2:$X$1501,"&lt;="&amp;$A212)+('Opening Balance'!$B$8+SUM('Daily Sale entry '!$L$2:M212)-F212),2))</f>
        <v/>
      </c>
      <c r="L212">
        <f>IF($A212="","",IF(ABS('Sales &amp; Collection'!$B$2952)&gt;'Opening Balance'!$B$16,"ALERT 警报: Different "&amp;TEXT('Sales &amp; Collection'!$B$2952,"#,##0.00")&amp;" 差额过大",""))</f>
        <v/>
      </c>
    </row>
    <row r="213">
      <c r="A213" s="5">
        <f>IF('Daily Sale entry '!A213="","",'Daily Sale entry '!A213)</f>
        <v/>
      </c>
      <c r="B213" s="6">
        <f>IF($A213="","",ROUND('Opening Balance'!$B$4+SUM('Daily Sale entry '!$K$2:K213)+SUMIFS('Daily Sale entry '!$AC$2:$AC$1501,'Daily Sale entry '!$X$2:$X$1501,"&lt;="&amp;$A213)-SUMIFS('Daily Sale entry '!$AD$2:$AD$1501,'Daily Sale entry '!$X$2:$X$1501,"&lt;="&amp;$A213)+SUMPRODUCT(('Daily Sale entry '!$Q$2:$Q$1501="Collection 收款")*('Daily Sale entry '!$R$2:$R$1501="Cheque 支票")*('Daily Sale entry '!$V$2:$V$1501&lt;&gt;"")*('Daily Sale entry '!$V$2:$V$1501&lt;=$A213)*('Daily Sale entry '!$S$2:$S$1501-'Opening Balance'!$B$15*('Daily Sale entry '!$R$2:$R$1501="Cheque 支票")*('Daily Sale entry '!$S$2:$S$1501-TRUNC('Daily Sale entry '!$S$2:$S$1501))))-'Opening Balance'!$B$15*SUMPRODUCT(('Daily Sale entry '!$X$2:$X$1501&lt;=$A213)*('Daily Sale entry '!$Z$2:$Z$1501="Online collection 网上收款")*('Daily Sale entry '!$AA$2:$AA$1501&lt;&gt;"")*('Daily Sale entry '!$AC$2:$AC$1501-TRUNC('Daily Sale entry '!$AC$2:$AC$1501))),2))</f>
        <v/>
      </c>
      <c r="C213" s="8">
        <f>IF($A213="","",'Opening Balance'!$B$5+SUM('Daily Sale entry '!$I$2:I213)-SUMIFS('Daily Sale entry '!$AB$2:$AB$1501,'Daily Sale entry '!$X$2:$X$1501,"&lt;="&amp;$A213,'Daily Sale entry '!$Z$2:$Z$1501,"Cheque deposit 支票存入")-COUNTIFS('Daily Sale entry '!$Q$2:$Q$1501,"Collection 收款",'Daily Sale entry '!$R$2:$R$1501,"Cheque 支票",'Daily Sale entry '!$V$2:$V$1501,"&lt;="&amp;$A213))</f>
        <v/>
      </c>
      <c r="D213" s="6">
        <f>IF($A213="","",ROUND('Opening Balance'!$B$6+SUM('Daily Sale entry '!$J$2:J213)-SUMIFS('Daily Sale entry '!$AC$2:$AC$1501,'Daily Sale entry '!$X$2:$X$1501,"&lt;="&amp;$A213,'Daily Sale entry '!$Z$2:$Z$1501,"Cheque deposit 支票存入")-SUMPRODUCT(('Daily Sale entry '!$Q$2:$Q$1501="Collection 收款")*('Daily Sale entry '!$R$2:$R$1501="Cheque 支票")*('Daily Sale entry '!$V$2:$V$1501&lt;&gt;"")*('Daily Sale entry '!$V$2:$V$1501&lt;=$A213)*('Daily Sale entry '!$S$2:$S$1501-'Opening Balance'!$B$15*('Daily Sale entry '!$R$2:$R$1501="Cheque 支票")*('Daily Sale entry '!$S$2:$S$1501-TRUNC('Daily Sale entry '!$S$2:$S$1501)))),2))</f>
        <v/>
      </c>
      <c r="E213" s="6">
        <f>IF($A213="","",'Opening Balance'!$B$7)</f>
        <v/>
      </c>
      <c r="F213" s="6">
        <f>IF($A213="","",ROUND(SUMIFS('Daily Sale entry '!$L$2:$L$367,'Daily Sale entry '!$A$2:$A$367,"&gt;="&amp;DATE(YEAR($A213),MONTH($A213),1),'Daily Sale entry '!$A$2:$A$367,"&lt;="&amp;$A213)+SUMIFS('Daily Sale entry '!$M$2:$M$367,'Daily Sale entry '!$A$2:$A$367,"&gt;="&amp;DATE(YEAR($A213),MONTH($A213),1),'Daily Sale entry '!$A$2:$A$367,"&lt;="&amp;$A213)+IF(AND(YEAR($A213)=YEAR('Daily Sale entry '!$A$2),MONTH($A213)=MONTH('Daily Sale entry '!$A$2)),'Opening Balance'!$B$8,0),2))</f>
        <v/>
      </c>
      <c r="G213" s="6">
        <f>IF($A213="","",MOD(ROUND('Opening Balance'!$B$9+SUMIFS('Sales &amp; Collection'!$L$1:$L$2957,'Sales &amp; Collection'!$K$1:$K$2957,"cash collection*"),2),'Opening Balance'!$B$11))</f>
        <v/>
      </c>
      <c r="H213" s="6">
        <f>IF($A213="","",ROUND('Opening Balance'!$B$10+'Opening Balance'!$B$9+SUMIFS('Sales &amp; Collection'!$L$1:$L$2957,'Sales &amp; Collection'!$K$1:$K$2957,"cash collection*")-G213-SUMIFS('Daily Sale entry '!$AC$2:$AC$1501,'Daily Sale entry '!$X$2:$X$1501,"&lt;="&amp;$A213,'Daily Sale entry '!$Z$2:$Z$1501,"Cash deposit 现金存入"),2))</f>
        <v/>
      </c>
      <c r="I213" s="6">
        <f>IF($A213="","",ROUND(B213+D213+E213+F213+G213+H213,2))</f>
        <v/>
      </c>
      <c r="J213" s="6">
        <f>IF($A213="","",'AR &amp; AP'!K214)</f>
        <v/>
      </c>
      <c r="K213" s="6">
        <f>IF($A213="","",ROUND(I213-J213-SUMIFS('Daily Sale entry '!$AC$2:$AC$1501,'Daily Sale entry '!$X$2:$X$1501,"&lt;="&amp;$A213,'Daily Sale entry '!$Z$2:$Z$1501,"Other deposit 其他存入")+SUMIFS('Daily Sale entry '!$AD$2:$AD$1501,'Daily Sale entry '!$X$2:$X$1501,"&lt;="&amp;$A213)+('Opening Balance'!$B$8+SUM('Daily Sale entry '!$L$2:M213)-F213),2))</f>
        <v/>
      </c>
      <c r="L213">
        <f>IF($A213="","",IF(ABS('Sales &amp; Collection'!$B$2966)&gt;'Opening Balance'!$B$16,"ALERT 警报: Different "&amp;TEXT('Sales &amp; Collection'!$B$2966,"#,##0.00")&amp;" 差额过大",""))</f>
        <v/>
      </c>
    </row>
    <row r="214">
      <c r="A214" s="5">
        <f>IF('Daily Sale entry '!A214="","",'Daily Sale entry '!A214)</f>
        <v/>
      </c>
      <c r="B214" s="6">
        <f>IF($A214="","",ROUND('Opening Balance'!$B$4+SUM('Daily Sale entry '!$K$2:K214)+SUMIFS('Daily Sale entry '!$AC$2:$AC$1501,'Daily Sale entry '!$X$2:$X$1501,"&lt;="&amp;$A214)-SUMIFS('Daily Sale entry '!$AD$2:$AD$1501,'Daily Sale entry '!$X$2:$X$1501,"&lt;="&amp;$A214)+SUMPRODUCT(('Daily Sale entry '!$Q$2:$Q$1501="Collection 收款")*('Daily Sale entry '!$R$2:$R$1501="Cheque 支票")*('Daily Sale entry '!$V$2:$V$1501&lt;&gt;"")*('Daily Sale entry '!$V$2:$V$1501&lt;=$A214)*('Daily Sale entry '!$S$2:$S$1501-'Opening Balance'!$B$15*('Daily Sale entry '!$R$2:$R$1501="Cheque 支票")*('Daily Sale entry '!$S$2:$S$1501-TRUNC('Daily Sale entry '!$S$2:$S$1501))))-'Opening Balance'!$B$15*SUMPRODUCT(('Daily Sale entry '!$X$2:$X$1501&lt;=$A214)*('Daily Sale entry '!$Z$2:$Z$1501="Online collection 网上收款")*('Daily Sale entry '!$AA$2:$AA$1501&lt;&gt;"")*('Daily Sale entry '!$AC$2:$AC$1501-TRUNC('Daily Sale entry '!$AC$2:$AC$1501))),2))</f>
        <v/>
      </c>
      <c r="C214" s="8">
        <f>IF($A214="","",'Opening Balance'!$B$5+SUM('Daily Sale entry '!$I$2:I214)-SUMIFS('Daily Sale entry '!$AB$2:$AB$1501,'Daily Sale entry '!$X$2:$X$1501,"&lt;="&amp;$A214,'Daily Sale entry '!$Z$2:$Z$1501,"Cheque deposit 支票存入")-COUNTIFS('Daily Sale entry '!$Q$2:$Q$1501,"Collection 收款",'Daily Sale entry '!$R$2:$R$1501,"Cheque 支票",'Daily Sale entry '!$V$2:$V$1501,"&lt;="&amp;$A214))</f>
        <v/>
      </c>
      <c r="D214" s="6">
        <f>IF($A214="","",ROUND('Opening Balance'!$B$6+SUM('Daily Sale entry '!$J$2:J214)-SUMIFS('Daily Sale entry '!$AC$2:$AC$1501,'Daily Sale entry '!$X$2:$X$1501,"&lt;="&amp;$A214,'Daily Sale entry '!$Z$2:$Z$1501,"Cheque deposit 支票存入")-SUMPRODUCT(('Daily Sale entry '!$Q$2:$Q$1501="Collection 收款")*('Daily Sale entry '!$R$2:$R$1501="Cheque 支票")*('Daily Sale entry '!$V$2:$V$1501&lt;&gt;"")*('Daily Sale entry '!$V$2:$V$1501&lt;=$A214)*('Daily Sale entry '!$S$2:$S$1501-'Opening Balance'!$B$15*('Daily Sale entry '!$R$2:$R$1501="Cheque 支票")*('Daily Sale entry '!$S$2:$S$1501-TRUNC('Daily Sale entry '!$S$2:$S$1501)))),2))</f>
        <v/>
      </c>
      <c r="E214" s="6">
        <f>IF($A214="","",'Opening Balance'!$B$7)</f>
        <v/>
      </c>
      <c r="F214" s="6">
        <f>IF($A214="","",ROUND(SUMIFS('Daily Sale entry '!$L$2:$L$367,'Daily Sale entry '!$A$2:$A$367,"&gt;="&amp;DATE(YEAR($A214),MONTH($A214),1),'Daily Sale entry '!$A$2:$A$367,"&lt;="&amp;$A214)+SUMIFS('Daily Sale entry '!$M$2:$M$367,'Daily Sale entry '!$A$2:$A$367,"&gt;="&amp;DATE(YEAR($A214),MONTH($A214),1),'Daily Sale entry '!$A$2:$A$367,"&lt;="&amp;$A214)+IF(AND(YEAR($A214)=YEAR('Daily Sale entry '!$A$2),MONTH($A214)=MONTH('Daily Sale entry '!$A$2)),'Opening Balance'!$B$8,0),2))</f>
        <v/>
      </c>
      <c r="G214" s="6">
        <f>IF($A214="","",MOD(ROUND('Opening Balance'!$B$9+SUMIFS('Sales &amp; Collection'!$L$1:$L$2971,'Sales &amp; Collection'!$K$1:$K$2971,"cash collection*"),2),'Opening Balance'!$B$11))</f>
        <v/>
      </c>
      <c r="H214" s="6">
        <f>IF($A214="","",ROUND('Opening Balance'!$B$10+'Opening Balance'!$B$9+SUMIFS('Sales &amp; Collection'!$L$1:$L$2971,'Sales &amp; Collection'!$K$1:$K$2971,"cash collection*")-G214-SUMIFS('Daily Sale entry '!$AC$2:$AC$1501,'Daily Sale entry '!$X$2:$X$1501,"&lt;="&amp;$A214,'Daily Sale entry '!$Z$2:$Z$1501,"Cash deposit 现金存入"),2))</f>
        <v/>
      </c>
      <c r="I214" s="6">
        <f>IF($A214="","",ROUND(B214+D214+E214+F214+G214+H214,2))</f>
        <v/>
      </c>
      <c r="J214" s="6">
        <f>IF($A214="","",'AR &amp; AP'!K215)</f>
        <v/>
      </c>
      <c r="K214" s="6">
        <f>IF($A214="","",ROUND(I214-J214-SUMIFS('Daily Sale entry '!$AC$2:$AC$1501,'Daily Sale entry '!$X$2:$X$1501,"&lt;="&amp;$A214,'Daily Sale entry '!$Z$2:$Z$1501,"Other deposit 其他存入")+SUMIFS('Daily Sale entry '!$AD$2:$AD$1501,'Daily Sale entry '!$X$2:$X$1501,"&lt;="&amp;$A214)+('Opening Balance'!$B$8+SUM('Daily Sale entry '!$L$2:M214)-F214),2))</f>
        <v/>
      </c>
      <c r="L214">
        <f>IF($A214="","",IF(ABS('Sales &amp; Collection'!$B$2980)&gt;'Opening Balance'!$B$16,"ALERT 警报: Different "&amp;TEXT('Sales &amp; Collection'!$B$2980,"#,##0.00")&amp;" 差额过大",""))</f>
        <v/>
      </c>
    </row>
    <row r="215">
      <c r="A215" s="5">
        <f>IF('Daily Sale entry '!A215="","",'Daily Sale entry '!A215)</f>
        <v/>
      </c>
      <c r="B215" s="6">
        <f>IF($A215="","",ROUND('Opening Balance'!$B$4+SUM('Daily Sale entry '!$K$2:K215)+SUMIFS('Daily Sale entry '!$AC$2:$AC$1501,'Daily Sale entry '!$X$2:$X$1501,"&lt;="&amp;$A215)-SUMIFS('Daily Sale entry '!$AD$2:$AD$1501,'Daily Sale entry '!$X$2:$X$1501,"&lt;="&amp;$A215)+SUMPRODUCT(('Daily Sale entry '!$Q$2:$Q$1501="Collection 收款")*('Daily Sale entry '!$R$2:$R$1501="Cheque 支票")*('Daily Sale entry '!$V$2:$V$1501&lt;&gt;"")*('Daily Sale entry '!$V$2:$V$1501&lt;=$A215)*('Daily Sale entry '!$S$2:$S$1501-'Opening Balance'!$B$15*('Daily Sale entry '!$R$2:$R$1501="Cheque 支票")*('Daily Sale entry '!$S$2:$S$1501-TRUNC('Daily Sale entry '!$S$2:$S$1501))))-'Opening Balance'!$B$15*SUMPRODUCT(('Daily Sale entry '!$X$2:$X$1501&lt;=$A215)*('Daily Sale entry '!$Z$2:$Z$1501="Online collection 网上收款")*('Daily Sale entry '!$AA$2:$AA$1501&lt;&gt;"")*('Daily Sale entry '!$AC$2:$AC$1501-TRUNC('Daily Sale entry '!$AC$2:$AC$1501))),2))</f>
        <v/>
      </c>
      <c r="C215" s="8">
        <f>IF($A215="","",'Opening Balance'!$B$5+SUM('Daily Sale entry '!$I$2:I215)-SUMIFS('Daily Sale entry '!$AB$2:$AB$1501,'Daily Sale entry '!$X$2:$X$1501,"&lt;="&amp;$A215,'Daily Sale entry '!$Z$2:$Z$1501,"Cheque deposit 支票存入")-COUNTIFS('Daily Sale entry '!$Q$2:$Q$1501,"Collection 收款",'Daily Sale entry '!$R$2:$R$1501,"Cheque 支票",'Daily Sale entry '!$V$2:$V$1501,"&lt;="&amp;$A215))</f>
        <v/>
      </c>
      <c r="D215" s="6">
        <f>IF($A215="","",ROUND('Opening Balance'!$B$6+SUM('Daily Sale entry '!$J$2:J215)-SUMIFS('Daily Sale entry '!$AC$2:$AC$1501,'Daily Sale entry '!$X$2:$X$1501,"&lt;="&amp;$A215,'Daily Sale entry '!$Z$2:$Z$1501,"Cheque deposit 支票存入")-SUMPRODUCT(('Daily Sale entry '!$Q$2:$Q$1501="Collection 收款")*('Daily Sale entry '!$R$2:$R$1501="Cheque 支票")*('Daily Sale entry '!$V$2:$V$1501&lt;&gt;"")*('Daily Sale entry '!$V$2:$V$1501&lt;=$A215)*('Daily Sale entry '!$S$2:$S$1501-'Opening Balance'!$B$15*('Daily Sale entry '!$R$2:$R$1501="Cheque 支票")*('Daily Sale entry '!$S$2:$S$1501-TRUNC('Daily Sale entry '!$S$2:$S$1501)))),2))</f>
        <v/>
      </c>
      <c r="E215" s="6">
        <f>IF($A215="","",'Opening Balance'!$B$7)</f>
        <v/>
      </c>
      <c r="F215" s="6">
        <f>IF($A215="","",ROUND(SUMIFS('Daily Sale entry '!$L$2:$L$367,'Daily Sale entry '!$A$2:$A$367,"&gt;="&amp;DATE(YEAR($A215),MONTH($A215),1),'Daily Sale entry '!$A$2:$A$367,"&lt;="&amp;$A215)+SUMIFS('Daily Sale entry '!$M$2:$M$367,'Daily Sale entry '!$A$2:$A$367,"&gt;="&amp;DATE(YEAR($A215),MONTH($A215),1),'Daily Sale entry '!$A$2:$A$367,"&lt;="&amp;$A215)+IF(AND(YEAR($A215)=YEAR('Daily Sale entry '!$A$2),MONTH($A215)=MONTH('Daily Sale entry '!$A$2)),'Opening Balance'!$B$8,0),2))</f>
        <v/>
      </c>
      <c r="G215" s="6">
        <f>IF($A215="","",MOD(ROUND('Opening Balance'!$B$9+SUMIFS('Sales &amp; Collection'!$L$1:$L$2985,'Sales &amp; Collection'!$K$1:$K$2985,"cash collection*"),2),'Opening Balance'!$B$11))</f>
        <v/>
      </c>
      <c r="H215" s="6">
        <f>IF($A215="","",ROUND('Opening Balance'!$B$10+'Opening Balance'!$B$9+SUMIFS('Sales &amp; Collection'!$L$1:$L$2985,'Sales &amp; Collection'!$K$1:$K$2985,"cash collection*")-G215-SUMIFS('Daily Sale entry '!$AC$2:$AC$1501,'Daily Sale entry '!$X$2:$X$1501,"&lt;="&amp;$A215,'Daily Sale entry '!$Z$2:$Z$1501,"Cash deposit 现金存入"),2))</f>
        <v/>
      </c>
      <c r="I215" s="6">
        <f>IF($A215="","",ROUND(B215+D215+E215+F215+G215+H215,2))</f>
        <v/>
      </c>
      <c r="J215" s="6">
        <f>IF($A215="","",'AR &amp; AP'!K216)</f>
        <v/>
      </c>
      <c r="K215" s="6">
        <f>IF($A215="","",ROUND(I215-J215-SUMIFS('Daily Sale entry '!$AC$2:$AC$1501,'Daily Sale entry '!$X$2:$X$1501,"&lt;="&amp;$A215,'Daily Sale entry '!$Z$2:$Z$1501,"Other deposit 其他存入")+SUMIFS('Daily Sale entry '!$AD$2:$AD$1501,'Daily Sale entry '!$X$2:$X$1501,"&lt;="&amp;$A215)+('Opening Balance'!$B$8+SUM('Daily Sale entry '!$L$2:M215)-F215),2))</f>
        <v/>
      </c>
      <c r="L215">
        <f>IF($A215="","",IF(ABS('Sales &amp; Collection'!$B$2994)&gt;'Opening Balance'!$B$16,"ALERT 警报: Different "&amp;TEXT('Sales &amp; Collection'!$B$2994,"#,##0.00")&amp;" 差额过大",""))</f>
        <v/>
      </c>
    </row>
    <row r="216">
      <c r="A216" s="5">
        <f>IF('Daily Sale entry '!A216="","",'Daily Sale entry '!A216)</f>
        <v/>
      </c>
      <c r="B216" s="6">
        <f>IF($A216="","",ROUND('Opening Balance'!$B$4+SUM('Daily Sale entry '!$K$2:K216)+SUMIFS('Daily Sale entry '!$AC$2:$AC$1501,'Daily Sale entry '!$X$2:$X$1501,"&lt;="&amp;$A216)-SUMIFS('Daily Sale entry '!$AD$2:$AD$1501,'Daily Sale entry '!$X$2:$X$1501,"&lt;="&amp;$A216)+SUMPRODUCT(('Daily Sale entry '!$Q$2:$Q$1501="Collection 收款")*('Daily Sale entry '!$R$2:$R$1501="Cheque 支票")*('Daily Sale entry '!$V$2:$V$1501&lt;&gt;"")*('Daily Sale entry '!$V$2:$V$1501&lt;=$A216)*('Daily Sale entry '!$S$2:$S$1501-'Opening Balance'!$B$15*('Daily Sale entry '!$R$2:$R$1501="Cheque 支票")*('Daily Sale entry '!$S$2:$S$1501-TRUNC('Daily Sale entry '!$S$2:$S$1501))))-'Opening Balance'!$B$15*SUMPRODUCT(('Daily Sale entry '!$X$2:$X$1501&lt;=$A216)*('Daily Sale entry '!$Z$2:$Z$1501="Online collection 网上收款")*('Daily Sale entry '!$AA$2:$AA$1501&lt;&gt;"")*('Daily Sale entry '!$AC$2:$AC$1501-TRUNC('Daily Sale entry '!$AC$2:$AC$1501))),2))</f>
        <v/>
      </c>
      <c r="C216" s="8">
        <f>IF($A216="","",'Opening Balance'!$B$5+SUM('Daily Sale entry '!$I$2:I216)-SUMIFS('Daily Sale entry '!$AB$2:$AB$1501,'Daily Sale entry '!$X$2:$X$1501,"&lt;="&amp;$A216,'Daily Sale entry '!$Z$2:$Z$1501,"Cheque deposit 支票存入")-COUNTIFS('Daily Sale entry '!$Q$2:$Q$1501,"Collection 收款",'Daily Sale entry '!$R$2:$R$1501,"Cheque 支票",'Daily Sale entry '!$V$2:$V$1501,"&lt;="&amp;$A216))</f>
        <v/>
      </c>
      <c r="D216" s="6">
        <f>IF($A216="","",ROUND('Opening Balance'!$B$6+SUM('Daily Sale entry '!$J$2:J216)-SUMIFS('Daily Sale entry '!$AC$2:$AC$1501,'Daily Sale entry '!$X$2:$X$1501,"&lt;="&amp;$A216,'Daily Sale entry '!$Z$2:$Z$1501,"Cheque deposit 支票存入")-SUMPRODUCT(('Daily Sale entry '!$Q$2:$Q$1501="Collection 收款")*('Daily Sale entry '!$R$2:$R$1501="Cheque 支票")*('Daily Sale entry '!$V$2:$V$1501&lt;&gt;"")*('Daily Sale entry '!$V$2:$V$1501&lt;=$A216)*('Daily Sale entry '!$S$2:$S$1501-'Opening Balance'!$B$15*('Daily Sale entry '!$R$2:$R$1501="Cheque 支票")*('Daily Sale entry '!$S$2:$S$1501-TRUNC('Daily Sale entry '!$S$2:$S$1501)))),2))</f>
        <v/>
      </c>
      <c r="E216" s="6">
        <f>IF($A216="","",'Opening Balance'!$B$7)</f>
        <v/>
      </c>
      <c r="F216" s="6">
        <f>IF($A216="","",ROUND(SUMIFS('Daily Sale entry '!$L$2:$L$367,'Daily Sale entry '!$A$2:$A$367,"&gt;="&amp;DATE(YEAR($A216),MONTH($A216),1),'Daily Sale entry '!$A$2:$A$367,"&lt;="&amp;$A216)+SUMIFS('Daily Sale entry '!$M$2:$M$367,'Daily Sale entry '!$A$2:$A$367,"&gt;="&amp;DATE(YEAR($A216),MONTH($A216),1),'Daily Sale entry '!$A$2:$A$367,"&lt;="&amp;$A216)+IF(AND(YEAR($A216)=YEAR('Daily Sale entry '!$A$2),MONTH($A216)=MONTH('Daily Sale entry '!$A$2)),'Opening Balance'!$B$8,0),2))</f>
        <v/>
      </c>
      <c r="G216" s="6">
        <f>IF($A216="","",MOD(ROUND('Opening Balance'!$B$9+SUMIFS('Sales &amp; Collection'!$L$1:$L$2999,'Sales &amp; Collection'!$K$1:$K$2999,"cash collection*"),2),'Opening Balance'!$B$11))</f>
        <v/>
      </c>
      <c r="H216" s="6">
        <f>IF($A216="","",ROUND('Opening Balance'!$B$10+'Opening Balance'!$B$9+SUMIFS('Sales &amp; Collection'!$L$1:$L$2999,'Sales &amp; Collection'!$K$1:$K$2999,"cash collection*")-G216-SUMIFS('Daily Sale entry '!$AC$2:$AC$1501,'Daily Sale entry '!$X$2:$X$1501,"&lt;="&amp;$A216,'Daily Sale entry '!$Z$2:$Z$1501,"Cash deposit 现金存入"),2))</f>
        <v/>
      </c>
      <c r="I216" s="6">
        <f>IF($A216="","",ROUND(B216+D216+E216+F216+G216+H216,2))</f>
        <v/>
      </c>
      <c r="J216" s="6">
        <f>IF($A216="","",'AR &amp; AP'!K217)</f>
        <v/>
      </c>
      <c r="K216" s="6">
        <f>IF($A216="","",ROUND(I216-J216-SUMIFS('Daily Sale entry '!$AC$2:$AC$1501,'Daily Sale entry '!$X$2:$X$1501,"&lt;="&amp;$A216,'Daily Sale entry '!$Z$2:$Z$1501,"Other deposit 其他存入")+SUMIFS('Daily Sale entry '!$AD$2:$AD$1501,'Daily Sale entry '!$X$2:$X$1501,"&lt;="&amp;$A216)+('Opening Balance'!$B$8+SUM('Daily Sale entry '!$L$2:M216)-F216),2))</f>
        <v/>
      </c>
      <c r="L216">
        <f>IF($A216="","",IF(ABS('Sales &amp; Collection'!$B$3008)&gt;'Opening Balance'!$B$16,"ALERT 警报: Different "&amp;TEXT('Sales &amp; Collection'!$B$3008,"#,##0.00")&amp;" 差额过大",""))</f>
        <v/>
      </c>
    </row>
    <row r="217">
      <c r="A217" s="5">
        <f>IF('Daily Sale entry '!A217="","",'Daily Sale entry '!A217)</f>
        <v/>
      </c>
      <c r="B217" s="6">
        <f>IF($A217="","",ROUND('Opening Balance'!$B$4+SUM('Daily Sale entry '!$K$2:K217)+SUMIFS('Daily Sale entry '!$AC$2:$AC$1501,'Daily Sale entry '!$X$2:$X$1501,"&lt;="&amp;$A217)-SUMIFS('Daily Sale entry '!$AD$2:$AD$1501,'Daily Sale entry '!$X$2:$X$1501,"&lt;="&amp;$A217)+SUMPRODUCT(('Daily Sale entry '!$Q$2:$Q$1501="Collection 收款")*('Daily Sale entry '!$R$2:$R$1501="Cheque 支票")*('Daily Sale entry '!$V$2:$V$1501&lt;&gt;"")*('Daily Sale entry '!$V$2:$V$1501&lt;=$A217)*('Daily Sale entry '!$S$2:$S$1501-'Opening Balance'!$B$15*('Daily Sale entry '!$R$2:$R$1501="Cheque 支票")*('Daily Sale entry '!$S$2:$S$1501-TRUNC('Daily Sale entry '!$S$2:$S$1501))))-'Opening Balance'!$B$15*SUMPRODUCT(('Daily Sale entry '!$X$2:$X$1501&lt;=$A217)*('Daily Sale entry '!$Z$2:$Z$1501="Online collection 网上收款")*('Daily Sale entry '!$AA$2:$AA$1501&lt;&gt;"")*('Daily Sale entry '!$AC$2:$AC$1501-TRUNC('Daily Sale entry '!$AC$2:$AC$1501))),2))</f>
        <v/>
      </c>
      <c r="C217" s="8">
        <f>IF($A217="","",'Opening Balance'!$B$5+SUM('Daily Sale entry '!$I$2:I217)-SUMIFS('Daily Sale entry '!$AB$2:$AB$1501,'Daily Sale entry '!$X$2:$X$1501,"&lt;="&amp;$A217,'Daily Sale entry '!$Z$2:$Z$1501,"Cheque deposit 支票存入")-COUNTIFS('Daily Sale entry '!$Q$2:$Q$1501,"Collection 收款",'Daily Sale entry '!$R$2:$R$1501,"Cheque 支票",'Daily Sale entry '!$V$2:$V$1501,"&lt;="&amp;$A217))</f>
        <v/>
      </c>
      <c r="D217" s="6">
        <f>IF($A217="","",ROUND('Opening Balance'!$B$6+SUM('Daily Sale entry '!$J$2:J217)-SUMIFS('Daily Sale entry '!$AC$2:$AC$1501,'Daily Sale entry '!$X$2:$X$1501,"&lt;="&amp;$A217,'Daily Sale entry '!$Z$2:$Z$1501,"Cheque deposit 支票存入")-SUMPRODUCT(('Daily Sale entry '!$Q$2:$Q$1501="Collection 收款")*('Daily Sale entry '!$R$2:$R$1501="Cheque 支票")*('Daily Sale entry '!$V$2:$V$1501&lt;&gt;"")*('Daily Sale entry '!$V$2:$V$1501&lt;=$A217)*('Daily Sale entry '!$S$2:$S$1501-'Opening Balance'!$B$15*('Daily Sale entry '!$R$2:$R$1501="Cheque 支票")*('Daily Sale entry '!$S$2:$S$1501-TRUNC('Daily Sale entry '!$S$2:$S$1501)))),2))</f>
        <v/>
      </c>
      <c r="E217" s="6">
        <f>IF($A217="","",'Opening Balance'!$B$7)</f>
        <v/>
      </c>
      <c r="F217" s="6">
        <f>IF($A217="","",ROUND(SUMIFS('Daily Sale entry '!$L$2:$L$367,'Daily Sale entry '!$A$2:$A$367,"&gt;="&amp;DATE(YEAR($A217),MONTH($A217),1),'Daily Sale entry '!$A$2:$A$367,"&lt;="&amp;$A217)+SUMIFS('Daily Sale entry '!$M$2:$M$367,'Daily Sale entry '!$A$2:$A$367,"&gt;="&amp;DATE(YEAR($A217),MONTH($A217),1),'Daily Sale entry '!$A$2:$A$367,"&lt;="&amp;$A217)+IF(AND(YEAR($A217)=YEAR('Daily Sale entry '!$A$2),MONTH($A217)=MONTH('Daily Sale entry '!$A$2)),'Opening Balance'!$B$8,0),2))</f>
        <v/>
      </c>
      <c r="G217" s="6">
        <f>IF($A217="","",MOD(ROUND('Opening Balance'!$B$9+SUMIFS('Sales &amp; Collection'!$L$1:$L$3013,'Sales &amp; Collection'!$K$1:$K$3013,"cash collection*"),2),'Opening Balance'!$B$11))</f>
        <v/>
      </c>
      <c r="H217" s="6">
        <f>IF($A217="","",ROUND('Opening Balance'!$B$10+'Opening Balance'!$B$9+SUMIFS('Sales &amp; Collection'!$L$1:$L$3013,'Sales &amp; Collection'!$K$1:$K$3013,"cash collection*")-G217-SUMIFS('Daily Sale entry '!$AC$2:$AC$1501,'Daily Sale entry '!$X$2:$X$1501,"&lt;="&amp;$A217,'Daily Sale entry '!$Z$2:$Z$1501,"Cash deposit 现金存入"),2))</f>
        <v/>
      </c>
      <c r="I217" s="6">
        <f>IF($A217="","",ROUND(B217+D217+E217+F217+G217+H217,2))</f>
        <v/>
      </c>
      <c r="J217" s="6">
        <f>IF($A217="","",'AR &amp; AP'!K218)</f>
        <v/>
      </c>
      <c r="K217" s="6">
        <f>IF($A217="","",ROUND(I217-J217-SUMIFS('Daily Sale entry '!$AC$2:$AC$1501,'Daily Sale entry '!$X$2:$X$1501,"&lt;="&amp;$A217,'Daily Sale entry '!$Z$2:$Z$1501,"Other deposit 其他存入")+SUMIFS('Daily Sale entry '!$AD$2:$AD$1501,'Daily Sale entry '!$X$2:$X$1501,"&lt;="&amp;$A217)+('Opening Balance'!$B$8+SUM('Daily Sale entry '!$L$2:M217)-F217),2))</f>
        <v/>
      </c>
      <c r="L217">
        <f>IF($A217="","",IF(ABS('Sales &amp; Collection'!$B$3022)&gt;'Opening Balance'!$B$16,"ALERT 警报: Different "&amp;TEXT('Sales &amp; Collection'!$B$3022,"#,##0.00")&amp;" 差额过大",""))</f>
        <v/>
      </c>
    </row>
    <row r="218">
      <c r="A218" s="5">
        <f>IF('Daily Sale entry '!A218="","",'Daily Sale entry '!A218)</f>
        <v/>
      </c>
      <c r="B218" s="6">
        <f>IF($A218="","",ROUND('Opening Balance'!$B$4+SUM('Daily Sale entry '!$K$2:K218)+SUMIFS('Daily Sale entry '!$AC$2:$AC$1501,'Daily Sale entry '!$X$2:$X$1501,"&lt;="&amp;$A218)-SUMIFS('Daily Sale entry '!$AD$2:$AD$1501,'Daily Sale entry '!$X$2:$X$1501,"&lt;="&amp;$A218)+SUMPRODUCT(('Daily Sale entry '!$Q$2:$Q$1501="Collection 收款")*('Daily Sale entry '!$R$2:$R$1501="Cheque 支票")*('Daily Sale entry '!$V$2:$V$1501&lt;&gt;"")*('Daily Sale entry '!$V$2:$V$1501&lt;=$A218)*('Daily Sale entry '!$S$2:$S$1501-'Opening Balance'!$B$15*('Daily Sale entry '!$R$2:$R$1501="Cheque 支票")*('Daily Sale entry '!$S$2:$S$1501-TRUNC('Daily Sale entry '!$S$2:$S$1501))))-'Opening Balance'!$B$15*SUMPRODUCT(('Daily Sale entry '!$X$2:$X$1501&lt;=$A218)*('Daily Sale entry '!$Z$2:$Z$1501="Online collection 网上收款")*('Daily Sale entry '!$AA$2:$AA$1501&lt;&gt;"")*('Daily Sale entry '!$AC$2:$AC$1501-TRUNC('Daily Sale entry '!$AC$2:$AC$1501))),2))</f>
        <v/>
      </c>
      <c r="C218" s="8">
        <f>IF($A218="","",'Opening Balance'!$B$5+SUM('Daily Sale entry '!$I$2:I218)-SUMIFS('Daily Sale entry '!$AB$2:$AB$1501,'Daily Sale entry '!$X$2:$X$1501,"&lt;="&amp;$A218,'Daily Sale entry '!$Z$2:$Z$1501,"Cheque deposit 支票存入")-COUNTIFS('Daily Sale entry '!$Q$2:$Q$1501,"Collection 收款",'Daily Sale entry '!$R$2:$R$1501,"Cheque 支票",'Daily Sale entry '!$V$2:$V$1501,"&lt;="&amp;$A218))</f>
        <v/>
      </c>
      <c r="D218" s="6">
        <f>IF($A218="","",ROUND('Opening Balance'!$B$6+SUM('Daily Sale entry '!$J$2:J218)-SUMIFS('Daily Sale entry '!$AC$2:$AC$1501,'Daily Sale entry '!$X$2:$X$1501,"&lt;="&amp;$A218,'Daily Sale entry '!$Z$2:$Z$1501,"Cheque deposit 支票存入")-SUMPRODUCT(('Daily Sale entry '!$Q$2:$Q$1501="Collection 收款")*('Daily Sale entry '!$R$2:$R$1501="Cheque 支票")*('Daily Sale entry '!$V$2:$V$1501&lt;&gt;"")*('Daily Sale entry '!$V$2:$V$1501&lt;=$A218)*('Daily Sale entry '!$S$2:$S$1501-'Opening Balance'!$B$15*('Daily Sale entry '!$R$2:$R$1501="Cheque 支票")*('Daily Sale entry '!$S$2:$S$1501-TRUNC('Daily Sale entry '!$S$2:$S$1501)))),2))</f>
        <v/>
      </c>
      <c r="E218" s="6">
        <f>IF($A218="","",'Opening Balance'!$B$7)</f>
        <v/>
      </c>
      <c r="F218" s="6">
        <f>IF($A218="","",ROUND(SUMIFS('Daily Sale entry '!$L$2:$L$367,'Daily Sale entry '!$A$2:$A$367,"&gt;="&amp;DATE(YEAR($A218),MONTH($A218),1),'Daily Sale entry '!$A$2:$A$367,"&lt;="&amp;$A218)+SUMIFS('Daily Sale entry '!$M$2:$M$367,'Daily Sale entry '!$A$2:$A$367,"&gt;="&amp;DATE(YEAR($A218),MONTH($A218),1),'Daily Sale entry '!$A$2:$A$367,"&lt;="&amp;$A218)+IF(AND(YEAR($A218)=YEAR('Daily Sale entry '!$A$2),MONTH($A218)=MONTH('Daily Sale entry '!$A$2)),'Opening Balance'!$B$8,0),2))</f>
        <v/>
      </c>
      <c r="G218" s="6">
        <f>IF($A218="","",MOD(ROUND('Opening Balance'!$B$9+SUMIFS('Sales &amp; Collection'!$L$1:$L$3027,'Sales &amp; Collection'!$K$1:$K$3027,"cash collection*"),2),'Opening Balance'!$B$11))</f>
        <v/>
      </c>
      <c r="H218" s="6">
        <f>IF($A218="","",ROUND('Opening Balance'!$B$10+'Opening Balance'!$B$9+SUMIFS('Sales &amp; Collection'!$L$1:$L$3027,'Sales &amp; Collection'!$K$1:$K$3027,"cash collection*")-G218-SUMIFS('Daily Sale entry '!$AC$2:$AC$1501,'Daily Sale entry '!$X$2:$X$1501,"&lt;="&amp;$A218,'Daily Sale entry '!$Z$2:$Z$1501,"Cash deposit 现金存入"),2))</f>
        <v/>
      </c>
      <c r="I218" s="6">
        <f>IF($A218="","",ROUND(B218+D218+E218+F218+G218+H218,2))</f>
        <v/>
      </c>
      <c r="J218" s="6">
        <f>IF($A218="","",'AR &amp; AP'!K219)</f>
        <v/>
      </c>
      <c r="K218" s="6">
        <f>IF($A218="","",ROUND(I218-J218-SUMIFS('Daily Sale entry '!$AC$2:$AC$1501,'Daily Sale entry '!$X$2:$X$1501,"&lt;="&amp;$A218,'Daily Sale entry '!$Z$2:$Z$1501,"Other deposit 其他存入")+SUMIFS('Daily Sale entry '!$AD$2:$AD$1501,'Daily Sale entry '!$X$2:$X$1501,"&lt;="&amp;$A218)+('Opening Balance'!$B$8+SUM('Daily Sale entry '!$L$2:M218)-F218),2))</f>
        <v/>
      </c>
      <c r="L218">
        <f>IF($A218="","",IF(ABS('Sales &amp; Collection'!$B$3036)&gt;'Opening Balance'!$B$16,"ALERT 警报: Different "&amp;TEXT('Sales &amp; Collection'!$B$3036,"#,##0.00")&amp;" 差额过大",""))</f>
        <v/>
      </c>
    </row>
    <row r="219">
      <c r="A219" s="5">
        <f>IF('Daily Sale entry '!A219="","",'Daily Sale entry '!A219)</f>
        <v/>
      </c>
      <c r="B219" s="6">
        <f>IF($A219="","",ROUND('Opening Balance'!$B$4+SUM('Daily Sale entry '!$K$2:K219)+SUMIFS('Daily Sale entry '!$AC$2:$AC$1501,'Daily Sale entry '!$X$2:$X$1501,"&lt;="&amp;$A219)-SUMIFS('Daily Sale entry '!$AD$2:$AD$1501,'Daily Sale entry '!$X$2:$X$1501,"&lt;="&amp;$A219)+SUMPRODUCT(('Daily Sale entry '!$Q$2:$Q$1501="Collection 收款")*('Daily Sale entry '!$R$2:$R$1501="Cheque 支票")*('Daily Sale entry '!$V$2:$V$1501&lt;&gt;"")*('Daily Sale entry '!$V$2:$V$1501&lt;=$A219)*('Daily Sale entry '!$S$2:$S$1501-'Opening Balance'!$B$15*('Daily Sale entry '!$R$2:$R$1501="Cheque 支票")*('Daily Sale entry '!$S$2:$S$1501-TRUNC('Daily Sale entry '!$S$2:$S$1501))))-'Opening Balance'!$B$15*SUMPRODUCT(('Daily Sale entry '!$X$2:$X$1501&lt;=$A219)*('Daily Sale entry '!$Z$2:$Z$1501="Online collection 网上收款")*('Daily Sale entry '!$AA$2:$AA$1501&lt;&gt;"")*('Daily Sale entry '!$AC$2:$AC$1501-TRUNC('Daily Sale entry '!$AC$2:$AC$1501))),2))</f>
        <v/>
      </c>
      <c r="C219" s="8">
        <f>IF($A219="","",'Opening Balance'!$B$5+SUM('Daily Sale entry '!$I$2:I219)-SUMIFS('Daily Sale entry '!$AB$2:$AB$1501,'Daily Sale entry '!$X$2:$X$1501,"&lt;="&amp;$A219,'Daily Sale entry '!$Z$2:$Z$1501,"Cheque deposit 支票存入")-COUNTIFS('Daily Sale entry '!$Q$2:$Q$1501,"Collection 收款",'Daily Sale entry '!$R$2:$R$1501,"Cheque 支票",'Daily Sale entry '!$V$2:$V$1501,"&lt;="&amp;$A219))</f>
        <v/>
      </c>
      <c r="D219" s="6">
        <f>IF($A219="","",ROUND('Opening Balance'!$B$6+SUM('Daily Sale entry '!$J$2:J219)-SUMIFS('Daily Sale entry '!$AC$2:$AC$1501,'Daily Sale entry '!$X$2:$X$1501,"&lt;="&amp;$A219,'Daily Sale entry '!$Z$2:$Z$1501,"Cheque deposit 支票存入")-SUMPRODUCT(('Daily Sale entry '!$Q$2:$Q$1501="Collection 收款")*('Daily Sale entry '!$R$2:$R$1501="Cheque 支票")*('Daily Sale entry '!$V$2:$V$1501&lt;&gt;"")*('Daily Sale entry '!$V$2:$V$1501&lt;=$A219)*('Daily Sale entry '!$S$2:$S$1501-'Opening Balance'!$B$15*('Daily Sale entry '!$R$2:$R$1501="Cheque 支票")*('Daily Sale entry '!$S$2:$S$1501-TRUNC('Daily Sale entry '!$S$2:$S$1501)))),2))</f>
        <v/>
      </c>
      <c r="E219" s="6">
        <f>IF($A219="","",'Opening Balance'!$B$7)</f>
        <v/>
      </c>
      <c r="F219" s="6">
        <f>IF($A219="","",ROUND(SUMIFS('Daily Sale entry '!$L$2:$L$367,'Daily Sale entry '!$A$2:$A$367,"&gt;="&amp;DATE(YEAR($A219),MONTH($A219),1),'Daily Sale entry '!$A$2:$A$367,"&lt;="&amp;$A219)+SUMIFS('Daily Sale entry '!$M$2:$M$367,'Daily Sale entry '!$A$2:$A$367,"&gt;="&amp;DATE(YEAR($A219),MONTH($A219),1),'Daily Sale entry '!$A$2:$A$367,"&lt;="&amp;$A219)+IF(AND(YEAR($A219)=YEAR('Daily Sale entry '!$A$2),MONTH($A219)=MONTH('Daily Sale entry '!$A$2)),'Opening Balance'!$B$8,0),2))</f>
        <v/>
      </c>
      <c r="G219" s="6">
        <f>IF($A219="","",MOD(ROUND('Opening Balance'!$B$9+SUMIFS('Sales &amp; Collection'!$L$1:$L$3041,'Sales &amp; Collection'!$K$1:$K$3041,"cash collection*"),2),'Opening Balance'!$B$11))</f>
        <v/>
      </c>
      <c r="H219" s="6">
        <f>IF($A219="","",ROUND('Opening Balance'!$B$10+'Opening Balance'!$B$9+SUMIFS('Sales &amp; Collection'!$L$1:$L$3041,'Sales &amp; Collection'!$K$1:$K$3041,"cash collection*")-G219-SUMIFS('Daily Sale entry '!$AC$2:$AC$1501,'Daily Sale entry '!$X$2:$X$1501,"&lt;="&amp;$A219,'Daily Sale entry '!$Z$2:$Z$1501,"Cash deposit 现金存入"),2))</f>
        <v/>
      </c>
      <c r="I219" s="6">
        <f>IF($A219="","",ROUND(B219+D219+E219+F219+G219+H219,2))</f>
        <v/>
      </c>
      <c r="J219" s="6">
        <f>IF($A219="","",'AR &amp; AP'!K220)</f>
        <v/>
      </c>
      <c r="K219" s="6">
        <f>IF($A219="","",ROUND(I219-J219-SUMIFS('Daily Sale entry '!$AC$2:$AC$1501,'Daily Sale entry '!$X$2:$X$1501,"&lt;="&amp;$A219,'Daily Sale entry '!$Z$2:$Z$1501,"Other deposit 其他存入")+SUMIFS('Daily Sale entry '!$AD$2:$AD$1501,'Daily Sale entry '!$X$2:$X$1501,"&lt;="&amp;$A219)+('Opening Balance'!$B$8+SUM('Daily Sale entry '!$L$2:M219)-F219),2))</f>
        <v/>
      </c>
      <c r="L219">
        <f>IF($A219="","",IF(ABS('Sales &amp; Collection'!$B$3050)&gt;'Opening Balance'!$B$16,"ALERT 警报: Different "&amp;TEXT('Sales &amp; Collection'!$B$3050,"#,##0.00")&amp;" 差额过大",""))</f>
        <v/>
      </c>
    </row>
    <row r="220">
      <c r="A220" s="5">
        <f>IF('Daily Sale entry '!A220="","",'Daily Sale entry '!A220)</f>
        <v/>
      </c>
      <c r="B220" s="6">
        <f>IF($A220="","",ROUND('Opening Balance'!$B$4+SUM('Daily Sale entry '!$K$2:K220)+SUMIFS('Daily Sale entry '!$AC$2:$AC$1501,'Daily Sale entry '!$X$2:$X$1501,"&lt;="&amp;$A220)-SUMIFS('Daily Sale entry '!$AD$2:$AD$1501,'Daily Sale entry '!$X$2:$X$1501,"&lt;="&amp;$A220)+SUMPRODUCT(('Daily Sale entry '!$Q$2:$Q$1501="Collection 收款")*('Daily Sale entry '!$R$2:$R$1501="Cheque 支票")*('Daily Sale entry '!$V$2:$V$1501&lt;&gt;"")*('Daily Sale entry '!$V$2:$V$1501&lt;=$A220)*('Daily Sale entry '!$S$2:$S$1501-'Opening Balance'!$B$15*('Daily Sale entry '!$R$2:$R$1501="Cheque 支票")*('Daily Sale entry '!$S$2:$S$1501-TRUNC('Daily Sale entry '!$S$2:$S$1501))))-'Opening Balance'!$B$15*SUMPRODUCT(('Daily Sale entry '!$X$2:$X$1501&lt;=$A220)*('Daily Sale entry '!$Z$2:$Z$1501="Online collection 网上收款")*('Daily Sale entry '!$AA$2:$AA$1501&lt;&gt;"")*('Daily Sale entry '!$AC$2:$AC$1501-TRUNC('Daily Sale entry '!$AC$2:$AC$1501))),2))</f>
        <v/>
      </c>
      <c r="C220" s="8">
        <f>IF($A220="","",'Opening Balance'!$B$5+SUM('Daily Sale entry '!$I$2:I220)-SUMIFS('Daily Sale entry '!$AB$2:$AB$1501,'Daily Sale entry '!$X$2:$X$1501,"&lt;="&amp;$A220,'Daily Sale entry '!$Z$2:$Z$1501,"Cheque deposit 支票存入")-COUNTIFS('Daily Sale entry '!$Q$2:$Q$1501,"Collection 收款",'Daily Sale entry '!$R$2:$R$1501,"Cheque 支票",'Daily Sale entry '!$V$2:$V$1501,"&lt;="&amp;$A220))</f>
        <v/>
      </c>
      <c r="D220" s="6">
        <f>IF($A220="","",ROUND('Opening Balance'!$B$6+SUM('Daily Sale entry '!$J$2:J220)-SUMIFS('Daily Sale entry '!$AC$2:$AC$1501,'Daily Sale entry '!$X$2:$X$1501,"&lt;="&amp;$A220,'Daily Sale entry '!$Z$2:$Z$1501,"Cheque deposit 支票存入")-SUMPRODUCT(('Daily Sale entry '!$Q$2:$Q$1501="Collection 收款")*('Daily Sale entry '!$R$2:$R$1501="Cheque 支票")*('Daily Sale entry '!$V$2:$V$1501&lt;&gt;"")*('Daily Sale entry '!$V$2:$V$1501&lt;=$A220)*('Daily Sale entry '!$S$2:$S$1501-'Opening Balance'!$B$15*('Daily Sale entry '!$R$2:$R$1501="Cheque 支票")*('Daily Sale entry '!$S$2:$S$1501-TRUNC('Daily Sale entry '!$S$2:$S$1501)))),2))</f>
        <v/>
      </c>
      <c r="E220" s="6">
        <f>IF($A220="","",'Opening Balance'!$B$7)</f>
        <v/>
      </c>
      <c r="F220" s="6">
        <f>IF($A220="","",ROUND(SUMIFS('Daily Sale entry '!$L$2:$L$367,'Daily Sale entry '!$A$2:$A$367,"&gt;="&amp;DATE(YEAR($A220),MONTH($A220),1),'Daily Sale entry '!$A$2:$A$367,"&lt;="&amp;$A220)+SUMIFS('Daily Sale entry '!$M$2:$M$367,'Daily Sale entry '!$A$2:$A$367,"&gt;="&amp;DATE(YEAR($A220),MONTH($A220),1),'Daily Sale entry '!$A$2:$A$367,"&lt;="&amp;$A220)+IF(AND(YEAR($A220)=YEAR('Daily Sale entry '!$A$2),MONTH($A220)=MONTH('Daily Sale entry '!$A$2)),'Opening Balance'!$B$8,0),2))</f>
        <v/>
      </c>
      <c r="G220" s="6">
        <f>IF($A220="","",MOD(ROUND('Opening Balance'!$B$9+SUMIFS('Sales &amp; Collection'!$L$1:$L$3055,'Sales &amp; Collection'!$K$1:$K$3055,"cash collection*"),2),'Opening Balance'!$B$11))</f>
        <v/>
      </c>
      <c r="H220" s="6">
        <f>IF($A220="","",ROUND('Opening Balance'!$B$10+'Opening Balance'!$B$9+SUMIFS('Sales &amp; Collection'!$L$1:$L$3055,'Sales &amp; Collection'!$K$1:$K$3055,"cash collection*")-G220-SUMIFS('Daily Sale entry '!$AC$2:$AC$1501,'Daily Sale entry '!$X$2:$X$1501,"&lt;="&amp;$A220,'Daily Sale entry '!$Z$2:$Z$1501,"Cash deposit 现金存入"),2))</f>
        <v/>
      </c>
      <c r="I220" s="6">
        <f>IF($A220="","",ROUND(B220+D220+E220+F220+G220+H220,2))</f>
        <v/>
      </c>
      <c r="J220" s="6">
        <f>IF($A220="","",'AR &amp; AP'!K221)</f>
        <v/>
      </c>
      <c r="K220" s="6">
        <f>IF($A220="","",ROUND(I220-J220-SUMIFS('Daily Sale entry '!$AC$2:$AC$1501,'Daily Sale entry '!$X$2:$X$1501,"&lt;="&amp;$A220,'Daily Sale entry '!$Z$2:$Z$1501,"Other deposit 其他存入")+SUMIFS('Daily Sale entry '!$AD$2:$AD$1501,'Daily Sale entry '!$X$2:$X$1501,"&lt;="&amp;$A220)+('Opening Balance'!$B$8+SUM('Daily Sale entry '!$L$2:M220)-F220),2))</f>
        <v/>
      </c>
      <c r="L220">
        <f>IF($A220="","",IF(ABS('Sales &amp; Collection'!$B$3064)&gt;'Opening Balance'!$B$16,"ALERT 警报: Different "&amp;TEXT('Sales &amp; Collection'!$B$3064,"#,##0.00")&amp;" 差额过大",""))</f>
        <v/>
      </c>
    </row>
    <row r="221">
      <c r="A221" s="5">
        <f>IF('Daily Sale entry '!A221="","",'Daily Sale entry '!A221)</f>
        <v/>
      </c>
      <c r="B221" s="6">
        <f>IF($A221="","",ROUND('Opening Balance'!$B$4+SUM('Daily Sale entry '!$K$2:K221)+SUMIFS('Daily Sale entry '!$AC$2:$AC$1501,'Daily Sale entry '!$X$2:$X$1501,"&lt;="&amp;$A221)-SUMIFS('Daily Sale entry '!$AD$2:$AD$1501,'Daily Sale entry '!$X$2:$X$1501,"&lt;="&amp;$A221)+SUMPRODUCT(('Daily Sale entry '!$Q$2:$Q$1501="Collection 收款")*('Daily Sale entry '!$R$2:$R$1501="Cheque 支票")*('Daily Sale entry '!$V$2:$V$1501&lt;&gt;"")*('Daily Sale entry '!$V$2:$V$1501&lt;=$A221)*('Daily Sale entry '!$S$2:$S$1501-'Opening Balance'!$B$15*('Daily Sale entry '!$R$2:$R$1501="Cheque 支票")*('Daily Sale entry '!$S$2:$S$1501-TRUNC('Daily Sale entry '!$S$2:$S$1501))))-'Opening Balance'!$B$15*SUMPRODUCT(('Daily Sale entry '!$X$2:$X$1501&lt;=$A221)*('Daily Sale entry '!$Z$2:$Z$1501="Online collection 网上收款")*('Daily Sale entry '!$AA$2:$AA$1501&lt;&gt;"")*('Daily Sale entry '!$AC$2:$AC$1501-TRUNC('Daily Sale entry '!$AC$2:$AC$1501))),2))</f>
        <v/>
      </c>
      <c r="C221" s="8">
        <f>IF($A221="","",'Opening Balance'!$B$5+SUM('Daily Sale entry '!$I$2:I221)-SUMIFS('Daily Sale entry '!$AB$2:$AB$1501,'Daily Sale entry '!$X$2:$X$1501,"&lt;="&amp;$A221,'Daily Sale entry '!$Z$2:$Z$1501,"Cheque deposit 支票存入")-COUNTIFS('Daily Sale entry '!$Q$2:$Q$1501,"Collection 收款",'Daily Sale entry '!$R$2:$R$1501,"Cheque 支票",'Daily Sale entry '!$V$2:$V$1501,"&lt;="&amp;$A221))</f>
        <v/>
      </c>
      <c r="D221" s="6">
        <f>IF($A221="","",ROUND('Opening Balance'!$B$6+SUM('Daily Sale entry '!$J$2:J221)-SUMIFS('Daily Sale entry '!$AC$2:$AC$1501,'Daily Sale entry '!$X$2:$X$1501,"&lt;="&amp;$A221,'Daily Sale entry '!$Z$2:$Z$1501,"Cheque deposit 支票存入")-SUMPRODUCT(('Daily Sale entry '!$Q$2:$Q$1501="Collection 收款")*('Daily Sale entry '!$R$2:$R$1501="Cheque 支票")*('Daily Sale entry '!$V$2:$V$1501&lt;&gt;"")*('Daily Sale entry '!$V$2:$V$1501&lt;=$A221)*('Daily Sale entry '!$S$2:$S$1501-'Opening Balance'!$B$15*('Daily Sale entry '!$R$2:$R$1501="Cheque 支票")*('Daily Sale entry '!$S$2:$S$1501-TRUNC('Daily Sale entry '!$S$2:$S$1501)))),2))</f>
        <v/>
      </c>
      <c r="E221" s="6">
        <f>IF($A221="","",'Opening Balance'!$B$7)</f>
        <v/>
      </c>
      <c r="F221" s="6">
        <f>IF($A221="","",ROUND(SUMIFS('Daily Sale entry '!$L$2:$L$367,'Daily Sale entry '!$A$2:$A$367,"&gt;="&amp;DATE(YEAR($A221),MONTH($A221),1),'Daily Sale entry '!$A$2:$A$367,"&lt;="&amp;$A221)+SUMIFS('Daily Sale entry '!$M$2:$M$367,'Daily Sale entry '!$A$2:$A$367,"&gt;="&amp;DATE(YEAR($A221),MONTH($A221),1),'Daily Sale entry '!$A$2:$A$367,"&lt;="&amp;$A221)+IF(AND(YEAR($A221)=YEAR('Daily Sale entry '!$A$2),MONTH($A221)=MONTH('Daily Sale entry '!$A$2)),'Opening Balance'!$B$8,0),2))</f>
        <v/>
      </c>
      <c r="G221" s="6">
        <f>IF($A221="","",MOD(ROUND('Opening Balance'!$B$9+SUMIFS('Sales &amp; Collection'!$L$1:$L$3069,'Sales &amp; Collection'!$K$1:$K$3069,"cash collection*"),2),'Opening Balance'!$B$11))</f>
        <v/>
      </c>
      <c r="H221" s="6">
        <f>IF($A221="","",ROUND('Opening Balance'!$B$10+'Opening Balance'!$B$9+SUMIFS('Sales &amp; Collection'!$L$1:$L$3069,'Sales &amp; Collection'!$K$1:$K$3069,"cash collection*")-G221-SUMIFS('Daily Sale entry '!$AC$2:$AC$1501,'Daily Sale entry '!$X$2:$X$1501,"&lt;="&amp;$A221,'Daily Sale entry '!$Z$2:$Z$1501,"Cash deposit 现金存入"),2))</f>
        <v/>
      </c>
      <c r="I221" s="6">
        <f>IF($A221="","",ROUND(B221+D221+E221+F221+G221+H221,2))</f>
        <v/>
      </c>
      <c r="J221" s="6">
        <f>IF($A221="","",'AR &amp; AP'!K222)</f>
        <v/>
      </c>
      <c r="K221" s="6">
        <f>IF($A221="","",ROUND(I221-J221-SUMIFS('Daily Sale entry '!$AC$2:$AC$1501,'Daily Sale entry '!$X$2:$X$1501,"&lt;="&amp;$A221,'Daily Sale entry '!$Z$2:$Z$1501,"Other deposit 其他存入")+SUMIFS('Daily Sale entry '!$AD$2:$AD$1501,'Daily Sale entry '!$X$2:$X$1501,"&lt;="&amp;$A221)+('Opening Balance'!$B$8+SUM('Daily Sale entry '!$L$2:M221)-F221),2))</f>
        <v/>
      </c>
      <c r="L221">
        <f>IF($A221="","",IF(ABS('Sales &amp; Collection'!$B$3078)&gt;'Opening Balance'!$B$16,"ALERT 警报: Different "&amp;TEXT('Sales &amp; Collection'!$B$3078,"#,##0.00")&amp;" 差额过大",""))</f>
        <v/>
      </c>
    </row>
    <row r="222">
      <c r="A222" s="5">
        <f>IF('Daily Sale entry '!A222="","",'Daily Sale entry '!A222)</f>
        <v/>
      </c>
      <c r="B222" s="6">
        <f>IF($A222="","",ROUND('Opening Balance'!$B$4+SUM('Daily Sale entry '!$K$2:K222)+SUMIFS('Daily Sale entry '!$AC$2:$AC$1501,'Daily Sale entry '!$X$2:$X$1501,"&lt;="&amp;$A222)-SUMIFS('Daily Sale entry '!$AD$2:$AD$1501,'Daily Sale entry '!$X$2:$X$1501,"&lt;="&amp;$A222)+SUMPRODUCT(('Daily Sale entry '!$Q$2:$Q$1501="Collection 收款")*('Daily Sale entry '!$R$2:$R$1501="Cheque 支票")*('Daily Sale entry '!$V$2:$V$1501&lt;&gt;"")*('Daily Sale entry '!$V$2:$V$1501&lt;=$A222)*('Daily Sale entry '!$S$2:$S$1501-'Opening Balance'!$B$15*('Daily Sale entry '!$R$2:$R$1501="Cheque 支票")*('Daily Sale entry '!$S$2:$S$1501-TRUNC('Daily Sale entry '!$S$2:$S$1501))))-'Opening Balance'!$B$15*SUMPRODUCT(('Daily Sale entry '!$X$2:$X$1501&lt;=$A222)*('Daily Sale entry '!$Z$2:$Z$1501="Online collection 网上收款")*('Daily Sale entry '!$AA$2:$AA$1501&lt;&gt;"")*('Daily Sale entry '!$AC$2:$AC$1501-TRUNC('Daily Sale entry '!$AC$2:$AC$1501))),2))</f>
        <v/>
      </c>
      <c r="C222" s="8">
        <f>IF($A222="","",'Opening Balance'!$B$5+SUM('Daily Sale entry '!$I$2:I222)-SUMIFS('Daily Sale entry '!$AB$2:$AB$1501,'Daily Sale entry '!$X$2:$X$1501,"&lt;="&amp;$A222,'Daily Sale entry '!$Z$2:$Z$1501,"Cheque deposit 支票存入")-COUNTIFS('Daily Sale entry '!$Q$2:$Q$1501,"Collection 收款",'Daily Sale entry '!$R$2:$R$1501,"Cheque 支票",'Daily Sale entry '!$V$2:$V$1501,"&lt;="&amp;$A222))</f>
        <v/>
      </c>
      <c r="D222" s="6">
        <f>IF($A222="","",ROUND('Opening Balance'!$B$6+SUM('Daily Sale entry '!$J$2:J222)-SUMIFS('Daily Sale entry '!$AC$2:$AC$1501,'Daily Sale entry '!$X$2:$X$1501,"&lt;="&amp;$A222,'Daily Sale entry '!$Z$2:$Z$1501,"Cheque deposit 支票存入")-SUMPRODUCT(('Daily Sale entry '!$Q$2:$Q$1501="Collection 收款")*('Daily Sale entry '!$R$2:$R$1501="Cheque 支票")*('Daily Sale entry '!$V$2:$V$1501&lt;&gt;"")*('Daily Sale entry '!$V$2:$V$1501&lt;=$A222)*('Daily Sale entry '!$S$2:$S$1501-'Opening Balance'!$B$15*('Daily Sale entry '!$R$2:$R$1501="Cheque 支票")*('Daily Sale entry '!$S$2:$S$1501-TRUNC('Daily Sale entry '!$S$2:$S$1501)))),2))</f>
        <v/>
      </c>
      <c r="E222" s="6">
        <f>IF($A222="","",'Opening Balance'!$B$7)</f>
        <v/>
      </c>
      <c r="F222" s="6">
        <f>IF($A222="","",ROUND(SUMIFS('Daily Sale entry '!$L$2:$L$367,'Daily Sale entry '!$A$2:$A$367,"&gt;="&amp;DATE(YEAR($A222),MONTH($A222),1),'Daily Sale entry '!$A$2:$A$367,"&lt;="&amp;$A222)+SUMIFS('Daily Sale entry '!$M$2:$M$367,'Daily Sale entry '!$A$2:$A$367,"&gt;="&amp;DATE(YEAR($A222),MONTH($A222),1),'Daily Sale entry '!$A$2:$A$367,"&lt;="&amp;$A222)+IF(AND(YEAR($A222)=YEAR('Daily Sale entry '!$A$2),MONTH($A222)=MONTH('Daily Sale entry '!$A$2)),'Opening Balance'!$B$8,0),2))</f>
        <v/>
      </c>
      <c r="G222" s="6">
        <f>IF($A222="","",MOD(ROUND('Opening Balance'!$B$9+SUMIFS('Sales &amp; Collection'!$L$1:$L$3083,'Sales &amp; Collection'!$K$1:$K$3083,"cash collection*"),2),'Opening Balance'!$B$11))</f>
        <v/>
      </c>
      <c r="H222" s="6">
        <f>IF($A222="","",ROUND('Opening Balance'!$B$10+'Opening Balance'!$B$9+SUMIFS('Sales &amp; Collection'!$L$1:$L$3083,'Sales &amp; Collection'!$K$1:$K$3083,"cash collection*")-G222-SUMIFS('Daily Sale entry '!$AC$2:$AC$1501,'Daily Sale entry '!$X$2:$X$1501,"&lt;="&amp;$A222,'Daily Sale entry '!$Z$2:$Z$1501,"Cash deposit 现金存入"),2))</f>
        <v/>
      </c>
      <c r="I222" s="6">
        <f>IF($A222="","",ROUND(B222+D222+E222+F222+G222+H222,2))</f>
        <v/>
      </c>
      <c r="J222" s="6">
        <f>IF($A222="","",'AR &amp; AP'!K223)</f>
        <v/>
      </c>
      <c r="K222" s="6">
        <f>IF($A222="","",ROUND(I222-J222-SUMIFS('Daily Sale entry '!$AC$2:$AC$1501,'Daily Sale entry '!$X$2:$X$1501,"&lt;="&amp;$A222,'Daily Sale entry '!$Z$2:$Z$1501,"Other deposit 其他存入")+SUMIFS('Daily Sale entry '!$AD$2:$AD$1501,'Daily Sale entry '!$X$2:$X$1501,"&lt;="&amp;$A222)+('Opening Balance'!$B$8+SUM('Daily Sale entry '!$L$2:M222)-F222),2))</f>
        <v/>
      </c>
      <c r="L222">
        <f>IF($A222="","",IF(ABS('Sales &amp; Collection'!$B$3092)&gt;'Opening Balance'!$B$16,"ALERT 警报: Different "&amp;TEXT('Sales &amp; Collection'!$B$3092,"#,##0.00")&amp;" 差额过大",""))</f>
        <v/>
      </c>
    </row>
    <row r="223">
      <c r="A223" s="5">
        <f>IF('Daily Sale entry '!A223="","",'Daily Sale entry '!A223)</f>
        <v/>
      </c>
      <c r="B223" s="6">
        <f>IF($A223="","",ROUND('Opening Balance'!$B$4+SUM('Daily Sale entry '!$K$2:K223)+SUMIFS('Daily Sale entry '!$AC$2:$AC$1501,'Daily Sale entry '!$X$2:$X$1501,"&lt;="&amp;$A223)-SUMIFS('Daily Sale entry '!$AD$2:$AD$1501,'Daily Sale entry '!$X$2:$X$1501,"&lt;="&amp;$A223)+SUMPRODUCT(('Daily Sale entry '!$Q$2:$Q$1501="Collection 收款")*('Daily Sale entry '!$R$2:$R$1501="Cheque 支票")*('Daily Sale entry '!$V$2:$V$1501&lt;&gt;"")*('Daily Sale entry '!$V$2:$V$1501&lt;=$A223)*('Daily Sale entry '!$S$2:$S$1501-'Opening Balance'!$B$15*('Daily Sale entry '!$R$2:$R$1501="Cheque 支票")*('Daily Sale entry '!$S$2:$S$1501-TRUNC('Daily Sale entry '!$S$2:$S$1501))))-'Opening Balance'!$B$15*SUMPRODUCT(('Daily Sale entry '!$X$2:$X$1501&lt;=$A223)*('Daily Sale entry '!$Z$2:$Z$1501="Online collection 网上收款")*('Daily Sale entry '!$AA$2:$AA$1501&lt;&gt;"")*('Daily Sale entry '!$AC$2:$AC$1501-TRUNC('Daily Sale entry '!$AC$2:$AC$1501))),2))</f>
        <v/>
      </c>
      <c r="C223" s="8">
        <f>IF($A223="","",'Opening Balance'!$B$5+SUM('Daily Sale entry '!$I$2:I223)-SUMIFS('Daily Sale entry '!$AB$2:$AB$1501,'Daily Sale entry '!$X$2:$X$1501,"&lt;="&amp;$A223,'Daily Sale entry '!$Z$2:$Z$1501,"Cheque deposit 支票存入")-COUNTIFS('Daily Sale entry '!$Q$2:$Q$1501,"Collection 收款",'Daily Sale entry '!$R$2:$R$1501,"Cheque 支票",'Daily Sale entry '!$V$2:$V$1501,"&lt;="&amp;$A223))</f>
        <v/>
      </c>
      <c r="D223" s="6">
        <f>IF($A223="","",ROUND('Opening Balance'!$B$6+SUM('Daily Sale entry '!$J$2:J223)-SUMIFS('Daily Sale entry '!$AC$2:$AC$1501,'Daily Sale entry '!$X$2:$X$1501,"&lt;="&amp;$A223,'Daily Sale entry '!$Z$2:$Z$1501,"Cheque deposit 支票存入")-SUMPRODUCT(('Daily Sale entry '!$Q$2:$Q$1501="Collection 收款")*('Daily Sale entry '!$R$2:$R$1501="Cheque 支票")*('Daily Sale entry '!$V$2:$V$1501&lt;&gt;"")*('Daily Sale entry '!$V$2:$V$1501&lt;=$A223)*('Daily Sale entry '!$S$2:$S$1501-'Opening Balance'!$B$15*('Daily Sale entry '!$R$2:$R$1501="Cheque 支票")*('Daily Sale entry '!$S$2:$S$1501-TRUNC('Daily Sale entry '!$S$2:$S$1501)))),2))</f>
        <v/>
      </c>
      <c r="E223" s="6">
        <f>IF($A223="","",'Opening Balance'!$B$7)</f>
        <v/>
      </c>
      <c r="F223" s="6">
        <f>IF($A223="","",ROUND(SUMIFS('Daily Sale entry '!$L$2:$L$367,'Daily Sale entry '!$A$2:$A$367,"&gt;="&amp;DATE(YEAR($A223),MONTH($A223),1),'Daily Sale entry '!$A$2:$A$367,"&lt;="&amp;$A223)+SUMIFS('Daily Sale entry '!$M$2:$M$367,'Daily Sale entry '!$A$2:$A$367,"&gt;="&amp;DATE(YEAR($A223),MONTH($A223),1),'Daily Sale entry '!$A$2:$A$367,"&lt;="&amp;$A223)+IF(AND(YEAR($A223)=YEAR('Daily Sale entry '!$A$2),MONTH($A223)=MONTH('Daily Sale entry '!$A$2)),'Opening Balance'!$B$8,0),2))</f>
        <v/>
      </c>
      <c r="G223" s="6">
        <f>IF($A223="","",MOD(ROUND('Opening Balance'!$B$9+SUMIFS('Sales &amp; Collection'!$L$1:$L$3097,'Sales &amp; Collection'!$K$1:$K$3097,"cash collection*"),2),'Opening Balance'!$B$11))</f>
        <v/>
      </c>
      <c r="H223" s="6">
        <f>IF($A223="","",ROUND('Opening Balance'!$B$10+'Opening Balance'!$B$9+SUMIFS('Sales &amp; Collection'!$L$1:$L$3097,'Sales &amp; Collection'!$K$1:$K$3097,"cash collection*")-G223-SUMIFS('Daily Sale entry '!$AC$2:$AC$1501,'Daily Sale entry '!$X$2:$X$1501,"&lt;="&amp;$A223,'Daily Sale entry '!$Z$2:$Z$1501,"Cash deposit 现金存入"),2))</f>
        <v/>
      </c>
      <c r="I223" s="6">
        <f>IF($A223="","",ROUND(B223+D223+E223+F223+G223+H223,2))</f>
        <v/>
      </c>
      <c r="J223" s="6">
        <f>IF($A223="","",'AR &amp; AP'!K224)</f>
        <v/>
      </c>
      <c r="K223" s="6">
        <f>IF($A223="","",ROUND(I223-J223-SUMIFS('Daily Sale entry '!$AC$2:$AC$1501,'Daily Sale entry '!$X$2:$X$1501,"&lt;="&amp;$A223,'Daily Sale entry '!$Z$2:$Z$1501,"Other deposit 其他存入")+SUMIFS('Daily Sale entry '!$AD$2:$AD$1501,'Daily Sale entry '!$X$2:$X$1501,"&lt;="&amp;$A223)+('Opening Balance'!$B$8+SUM('Daily Sale entry '!$L$2:M223)-F223),2))</f>
        <v/>
      </c>
      <c r="L223">
        <f>IF($A223="","",IF(ABS('Sales &amp; Collection'!$B$3106)&gt;'Opening Balance'!$B$16,"ALERT 警报: Different "&amp;TEXT('Sales &amp; Collection'!$B$3106,"#,##0.00")&amp;" 差额过大",""))</f>
        <v/>
      </c>
    </row>
    <row r="224">
      <c r="A224" s="5">
        <f>IF('Daily Sale entry '!A224="","",'Daily Sale entry '!A224)</f>
        <v/>
      </c>
      <c r="B224" s="6">
        <f>IF($A224="","",ROUND('Opening Balance'!$B$4+SUM('Daily Sale entry '!$K$2:K224)+SUMIFS('Daily Sale entry '!$AC$2:$AC$1501,'Daily Sale entry '!$X$2:$X$1501,"&lt;="&amp;$A224)-SUMIFS('Daily Sale entry '!$AD$2:$AD$1501,'Daily Sale entry '!$X$2:$X$1501,"&lt;="&amp;$A224)+SUMPRODUCT(('Daily Sale entry '!$Q$2:$Q$1501="Collection 收款")*('Daily Sale entry '!$R$2:$R$1501="Cheque 支票")*('Daily Sale entry '!$V$2:$V$1501&lt;&gt;"")*('Daily Sale entry '!$V$2:$V$1501&lt;=$A224)*('Daily Sale entry '!$S$2:$S$1501-'Opening Balance'!$B$15*('Daily Sale entry '!$R$2:$R$1501="Cheque 支票")*('Daily Sale entry '!$S$2:$S$1501-TRUNC('Daily Sale entry '!$S$2:$S$1501))))-'Opening Balance'!$B$15*SUMPRODUCT(('Daily Sale entry '!$X$2:$X$1501&lt;=$A224)*('Daily Sale entry '!$Z$2:$Z$1501="Online collection 网上收款")*('Daily Sale entry '!$AA$2:$AA$1501&lt;&gt;"")*('Daily Sale entry '!$AC$2:$AC$1501-TRUNC('Daily Sale entry '!$AC$2:$AC$1501))),2))</f>
        <v/>
      </c>
      <c r="C224" s="8">
        <f>IF($A224="","",'Opening Balance'!$B$5+SUM('Daily Sale entry '!$I$2:I224)-SUMIFS('Daily Sale entry '!$AB$2:$AB$1501,'Daily Sale entry '!$X$2:$X$1501,"&lt;="&amp;$A224,'Daily Sale entry '!$Z$2:$Z$1501,"Cheque deposit 支票存入")-COUNTIFS('Daily Sale entry '!$Q$2:$Q$1501,"Collection 收款",'Daily Sale entry '!$R$2:$R$1501,"Cheque 支票",'Daily Sale entry '!$V$2:$V$1501,"&lt;="&amp;$A224))</f>
        <v/>
      </c>
      <c r="D224" s="6">
        <f>IF($A224="","",ROUND('Opening Balance'!$B$6+SUM('Daily Sale entry '!$J$2:J224)-SUMIFS('Daily Sale entry '!$AC$2:$AC$1501,'Daily Sale entry '!$X$2:$X$1501,"&lt;="&amp;$A224,'Daily Sale entry '!$Z$2:$Z$1501,"Cheque deposit 支票存入")-SUMPRODUCT(('Daily Sale entry '!$Q$2:$Q$1501="Collection 收款")*('Daily Sale entry '!$R$2:$R$1501="Cheque 支票")*('Daily Sale entry '!$V$2:$V$1501&lt;&gt;"")*('Daily Sale entry '!$V$2:$V$1501&lt;=$A224)*('Daily Sale entry '!$S$2:$S$1501-'Opening Balance'!$B$15*('Daily Sale entry '!$R$2:$R$1501="Cheque 支票")*('Daily Sale entry '!$S$2:$S$1501-TRUNC('Daily Sale entry '!$S$2:$S$1501)))),2))</f>
        <v/>
      </c>
      <c r="E224" s="6">
        <f>IF($A224="","",'Opening Balance'!$B$7)</f>
        <v/>
      </c>
      <c r="F224" s="6">
        <f>IF($A224="","",ROUND(SUMIFS('Daily Sale entry '!$L$2:$L$367,'Daily Sale entry '!$A$2:$A$367,"&gt;="&amp;DATE(YEAR($A224),MONTH($A224),1),'Daily Sale entry '!$A$2:$A$367,"&lt;="&amp;$A224)+SUMIFS('Daily Sale entry '!$M$2:$M$367,'Daily Sale entry '!$A$2:$A$367,"&gt;="&amp;DATE(YEAR($A224),MONTH($A224),1),'Daily Sale entry '!$A$2:$A$367,"&lt;="&amp;$A224)+IF(AND(YEAR($A224)=YEAR('Daily Sale entry '!$A$2),MONTH($A224)=MONTH('Daily Sale entry '!$A$2)),'Opening Balance'!$B$8,0),2))</f>
        <v/>
      </c>
      <c r="G224" s="6">
        <f>IF($A224="","",MOD(ROUND('Opening Balance'!$B$9+SUMIFS('Sales &amp; Collection'!$L$1:$L$3111,'Sales &amp; Collection'!$K$1:$K$3111,"cash collection*"),2),'Opening Balance'!$B$11))</f>
        <v/>
      </c>
      <c r="H224" s="6">
        <f>IF($A224="","",ROUND('Opening Balance'!$B$10+'Opening Balance'!$B$9+SUMIFS('Sales &amp; Collection'!$L$1:$L$3111,'Sales &amp; Collection'!$K$1:$K$3111,"cash collection*")-G224-SUMIFS('Daily Sale entry '!$AC$2:$AC$1501,'Daily Sale entry '!$X$2:$X$1501,"&lt;="&amp;$A224,'Daily Sale entry '!$Z$2:$Z$1501,"Cash deposit 现金存入"),2))</f>
        <v/>
      </c>
      <c r="I224" s="6">
        <f>IF($A224="","",ROUND(B224+D224+E224+F224+G224+H224,2))</f>
        <v/>
      </c>
      <c r="J224" s="6">
        <f>IF($A224="","",'AR &amp; AP'!K225)</f>
        <v/>
      </c>
      <c r="K224" s="6">
        <f>IF($A224="","",ROUND(I224-J224-SUMIFS('Daily Sale entry '!$AC$2:$AC$1501,'Daily Sale entry '!$X$2:$X$1501,"&lt;="&amp;$A224,'Daily Sale entry '!$Z$2:$Z$1501,"Other deposit 其他存入")+SUMIFS('Daily Sale entry '!$AD$2:$AD$1501,'Daily Sale entry '!$X$2:$X$1501,"&lt;="&amp;$A224)+('Opening Balance'!$B$8+SUM('Daily Sale entry '!$L$2:M224)-F224),2))</f>
        <v/>
      </c>
      <c r="L224">
        <f>IF($A224="","",IF(ABS('Sales &amp; Collection'!$B$3120)&gt;'Opening Balance'!$B$16,"ALERT 警报: Different "&amp;TEXT('Sales &amp; Collection'!$B$3120,"#,##0.00")&amp;" 差额过大",""))</f>
        <v/>
      </c>
    </row>
    <row r="225">
      <c r="A225" s="5">
        <f>IF('Daily Sale entry '!A225="","",'Daily Sale entry '!A225)</f>
        <v/>
      </c>
      <c r="B225" s="6">
        <f>IF($A225="","",ROUND('Opening Balance'!$B$4+SUM('Daily Sale entry '!$K$2:K225)+SUMIFS('Daily Sale entry '!$AC$2:$AC$1501,'Daily Sale entry '!$X$2:$X$1501,"&lt;="&amp;$A225)-SUMIFS('Daily Sale entry '!$AD$2:$AD$1501,'Daily Sale entry '!$X$2:$X$1501,"&lt;="&amp;$A225)+SUMPRODUCT(('Daily Sale entry '!$Q$2:$Q$1501="Collection 收款")*('Daily Sale entry '!$R$2:$R$1501="Cheque 支票")*('Daily Sale entry '!$V$2:$V$1501&lt;&gt;"")*('Daily Sale entry '!$V$2:$V$1501&lt;=$A225)*('Daily Sale entry '!$S$2:$S$1501-'Opening Balance'!$B$15*('Daily Sale entry '!$R$2:$R$1501="Cheque 支票")*('Daily Sale entry '!$S$2:$S$1501-TRUNC('Daily Sale entry '!$S$2:$S$1501))))-'Opening Balance'!$B$15*SUMPRODUCT(('Daily Sale entry '!$X$2:$X$1501&lt;=$A225)*('Daily Sale entry '!$Z$2:$Z$1501="Online collection 网上收款")*('Daily Sale entry '!$AA$2:$AA$1501&lt;&gt;"")*('Daily Sale entry '!$AC$2:$AC$1501-TRUNC('Daily Sale entry '!$AC$2:$AC$1501))),2))</f>
        <v/>
      </c>
      <c r="C225" s="8">
        <f>IF($A225="","",'Opening Balance'!$B$5+SUM('Daily Sale entry '!$I$2:I225)-SUMIFS('Daily Sale entry '!$AB$2:$AB$1501,'Daily Sale entry '!$X$2:$X$1501,"&lt;="&amp;$A225,'Daily Sale entry '!$Z$2:$Z$1501,"Cheque deposit 支票存入")-COUNTIFS('Daily Sale entry '!$Q$2:$Q$1501,"Collection 收款",'Daily Sale entry '!$R$2:$R$1501,"Cheque 支票",'Daily Sale entry '!$V$2:$V$1501,"&lt;="&amp;$A225))</f>
        <v/>
      </c>
      <c r="D225" s="6">
        <f>IF($A225="","",ROUND('Opening Balance'!$B$6+SUM('Daily Sale entry '!$J$2:J225)-SUMIFS('Daily Sale entry '!$AC$2:$AC$1501,'Daily Sale entry '!$X$2:$X$1501,"&lt;="&amp;$A225,'Daily Sale entry '!$Z$2:$Z$1501,"Cheque deposit 支票存入")-SUMPRODUCT(('Daily Sale entry '!$Q$2:$Q$1501="Collection 收款")*('Daily Sale entry '!$R$2:$R$1501="Cheque 支票")*('Daily Sale entry '!$V$2:$V$1501&lt;&gt;"")*('Daily Sale entry '!$V$2:$V$1501&lt;=$A225)*('Daily Sale entry '!$S$2:$S$1501-'Opening Balance'!$B$15*('Daily Sale entry '!$R$2:$R$1501="Cheque 支票")*('Daily Sale entry '!$S$2:$S$1501-TRUNC('Daily Sale entry '!$S$2:$S$1501)))),2))</f>
        <v/>
      </c>
      <c r="E225" s="6">
        <f>IF($A225="","",'Opening Balance'!$B$7)</f>
        <v/>
      </c>
      <c r="F225" s="6">
        <f>IF($A225="","",ROUND(SUMIFS('Daily Sale entry '!$L$2:$L$367,'Daily Sale entry '!$A$2:$A$367,"&gt;="&amp;DATE(YEAR($A225),MONTH($A225),1),'Daily Sale entry '!$A$2:$A$367,"&lt;="&amp;$A225)+SUMIFS('Daily Sale entry '!$M$2:$M$367,'Daily Sale entry '!$A$2:$A$367,"&gt;="&amp;DATE(YEAR($A225),MONTH($A225),1),'Daily Sale entry '!$A$2:$A$367,"&lt;="&amp;$A225)+IF(AND(YEAR($A225)=YEAR('Daily Sale entry '!$A$2),MONTH($A225)=MONTH('Daily Sale entry '!$A$2)),'Opening Balance'!$B$8,0),2))</f>
        <v/>
      </c>
      <c r="G225" s="6">
        <f>IF($A225="","",MOD(ROUND('Opening Balance'!$B$9+SUMIFS('Sales &amp; Collection'!$L$1:$L$3125,'Sales &amp; Collection'!$K$1:$K$3125,"cash collection*"),2),'Opening Balance'!$B$11))</f>
        <v/>
      </c>
      <c r="H225" s="6">
        <f>IF($A225="","",ROUND('Opening Balance'!$B$10+'Opening Balance'!$B$9+SUMIFS('Sales &amp; Collection'!$L$1:$L$3125,'Sales &amp; Collection'!$K$1:$K$3125,"cash collection*")-G225-SUMIFS('Daily Sale entry '!$AC$2:$AC$1501,'Daily Sale entry '!$X$2:$X$1501,"&lt;="&amp;$A225,'Daily Sale entry '!$Z$2:$Z$1501,"Cash deposit 现金存入"),2))</f>
        <v/>
      </c>
      <c r="I225" s="6">
        <f>IF($A225="","",ROUND(B225+D225+E225+F225+G225+H225,2))</f>
        <v/>
      </c>
      <c r="J225" s="6">
        <f>IF($A225="","",'AR &amp; AP'!K226)</f>
        <v/>
      </c>
      <c r="K225" s="6">
        <f>IF($A225="","",ROUND(I225-J225-SUMIFS('Daily Sale entry '!$AC$2:$AC$1501,'Daily Sale entry '!$X$2:$X$1501,"&lt;="&amp;$A225,'Daily Sale entry '!$Z$2:$Z$1501,"Other deposit 其他存入")+SUMIFS('Daily Sale entry '!$AD$2:$AD$1501,'Daily Sale entry '!$X$2:$X$1501,"&lt;="&amp;$A225)+('Opening Balance'!$B$8+SUM('Daily Sale entry '!$L$2:M225)-F225),2))</f>
        <v/>
      </c>
      <c r="L225">
        <f>IF($A225="","",IF(ABS('Sales &amp; Collection'!$B$3134)&gt;'Opening Balance'!$B$16,"ALERT 警报: Different "&amp;TEXT('Sales &amp; Collection'!$B$3134,"#,##0.00")&amp;" 差额过大",""))</f>
        <v/>
      </c>
    </row>
    <row r="226">
      <c r="A226" s="5">
        <f>IF('Daily Sale entry '!A226="","",'Daily Sale entry '!A226)</f>
        <v/>
      </c>
      <c r="B226" s="6">
        <f>IF($A226="","",ROUND('Opening Balance'!$B$4+SUM('Daily Sale entry '!$K$2:K226)+SUMIFS('Daily Sale entry '!$AC$2:$AC$1501,'Daily Sale entry '!$X$2:$X$1501,"&lt;="&amp;$A226)-SUMIFS('Daily Sale entry '!$AD$2:$AD$1501,'Daily Sale entry '!$X$2:$X$1501,"&lt;="&amp;$A226)+SUMPRODUCT(('Daily Sale entry '!$Q$2:$Q$1501="Collection 收款")*('Daily Sale entry '!$R$2:$R$1501="Cheque 支票")*('Daily Sale entry '!$V$2:$V$1501&lt;&gt;"")*('Daily Sale entry '!$V$2:$V$1501&lt;=$A226)*('Daily Sale entry '!$S$2:$S$1501-'Opening Balance'!$B$15*('Daily Sale entry '!$R$2:$R$1501="Cheque 支票")*('Daily Sale entry '!$S$2:$S$1501-TRUNC('Daily Sale entry '!$S$2:$S$1501))))-'Opening Balance'!$B$15*SUMPRODUCT(('Daily Sale entry '!$X$2:$X$1501&lt;=$A226)*('Daily Sale entry '!$Z$2:$Z$1501="Online collection 网上收款")*('Daily Sale entry '!$AA$2:$AA$1501&lt;&gt;"")*('Daily Sale entry '!$AC$2:$AC$1501-TRUNC('Daily Sale entry '!$AC$2:$AC$1501))),2))</f>
        <v/>
      </c>
      <c r="C226" s="8">
        <f>IF($A226="","",'Opening Balance'!$B$5+SUM('Daily Sale entry '!$I$2:I226)-SUMIFS('Daily Sale entry '!$AB$2:$AB$1501,'Daily Sale entry '!$X$2:$X$1501,"&lt;="&amp;$A226,'Daily Sale entry '!$Z$2:$Z$1501,"Cheque deposit 支票存入")-COUNTIFS('Daily Sale entry '!$Q$2:$Q$1501,"Collection 收款",'Daily Sale entry '!$R$2:$R$1501,"Cheque 支票",'Daily Sale entry '!$V$2:$V$1501,"&lt;="&amp;$A226))</f>
        <v/>
      </c>
      <c r="D226" s="6">
        <f>IF($A226="","",ROUND('Opening Balance'!$B$6+SUM('Daily Sale entry '!$J$2:J226)-SUMIFS('Daily Sale entry '!$AC$2:$AC$1501,'Daily Sale entry '!$X$2:$X$1501,"&lt;="&amp;$A226,'Daily Sale entry '!$Z$2:$Z$1501,"Cheque deposit 支票存入")-SUMPRODUCT(('Daily Sale entry '!$Q$2:$Q$1501="Collection 收款")*('Daily Sale entry '!$R$2:$R$1501="Cheque 支票")*('Daily Sale entry '!$V$2:$V$1501&lt;&gt;"")*('Daily Sale entry '!$V$2:$V$1501&lt;=$A226)*('Daily Sale entry '!$S$2:$S$1501-'Opening Balance'!$B$15*('Daily Sale entry '!$R$2:$R$1501="Cheque 支票")*('Daily Sale entry '!$S$2:$S$1501-TRUNC('Daily Sale entry '!$S$2:$S$1501)))),2))</f>
        <v/>
      </c>
      <c r="E226" s="6">
        <f>IF($A226="","",'Opening Balance'!$B$7)</f>
        <v/>
      </c>
      <c r="F226" s="6">
        <f>IF($A226="","",ROUND(SUMIFS('Daily Sale entry '!$L$2:$L$367,'Daily Sale entry '!$A$2:$A$367,"&gt;="&amp;DATE(YEAR($A226),MONTH($A226),1),'Daily Sale entry '!$A$2:$A$367,"&lt;="&amp;$A226)+SUMIFS('Daily Sale entry '!$M$2:$M$367,'Daily Sale entry '!$A$2:$A$367,"&gt;="&amp;DATE(YEAR($A226),MONTH($A226),1),'Daily Sale entry '!$A$2:$A$367,"&lt;="&amp;$A226)+IF(AND(YEAR($A226)=YEAR('Daily Sale entry '!$A$2),MONTH($A226)=MONTH('Daily Sale entry '!$A$2)),'Opening Balance'!$B$8,0),2))</f>
        <v/>
      </c>
      <c r="G226" s="6">
        <f>IF($A226="","",MOD(ROUND('Opening Balance'!$B$9+SUMIFS('Sales &amp; Collection'!$L$1:$L$3139,'Sales &amp; Collection'!$K$1:$K$3139,"cash collection*"),2),'Opening Balance'!$B$11))</f>
        <v/>
      </c>
      <c r="H226" s="6">
        <f>IF($A226="","",ROUND('Opening Balance'!$B$10+'Opening Balance'!$B$9+SUMIFS('Sales &amp; Collection'!$L$1:$L$3139,'Sales &amp; Collection'!$K$1:$K$3139,"cash collection*")-G226-SUMIFS('Daily Sale entry '!$AC$2:$AC$1501,'Daily Sale entry '!$X$2:$X$1501,"&lt;="&amp;$A226,'Daily Sale entry '!$Z$2:$Z$1501,"Cash deposit 现金存入"),2))</f>
        <v/>
      </c>
      <c r="I226" s="6">
        <f>IF($A226="","",ROUND(B226+D226+E226+F226+G226+H226,2))</f>
        <v/>
      </c>
      <c r="J226" s="6">
        <f>IF($A226="","",'AR &amp; AP'!K227)</f>
        <v/>
      </c>
      <c r="K226" s="6">
        <f>IF($A226="","",ROUND(I226-J226-SUMIFS('Daily Sale entry '!$AC$2:$AC$1501,'Daily Sale entry '!$X$2:$X$1501,"&lt;="&amp;$A226,'Daily Sale entry '!$Z$2:$Z$1501,"Other deposit 其他存入")+SUMIFS('Daily Sale entry '!$AD$2:$AD$1501,'Daily Sale entry '!$X$2:$X$1501,"&lt;="&amp;$A226)+('Opening Balance'!$B$8+SUM('Daily Sale entry '!$L$2:M226)-F226),2))</f>
        <v/>
      </c>
      <c r="L226">
        <f>IF($A226="","",IF(ABS('Sales &amp; Collection'!$B$3148)&gt;'Opening Balance'!$B$16,"ALERT 警报: Different "&amp;TEXT('Sales &amp; Collection'!$B$3148,"#,##0.00")&amp;" 差额过大",""))</f>
        <v/>
      </c>
    </row>
    <row r="227">
      <c r="A227" s="5">
        <f>IF('Daily Sale entry '!A227="","",'Daily Sale entry '!A227)</f>
        <v/>
      </c>
      <c r="B227" s="6">
        <f>IF($A227="","",ROUND('Opening Balance'!$B$4+SUM('Daily Sale entry '!$K$2:K227)+SUMIFS('Daily Sale entry '!$AC$2:$AC$1501,'Daily Sale entry '!$X$2:$X$1501,"&lt;="&amp;$A227)-SUMIFS('Daily Sale entry '!$AD$2:$AD$1501,'Daily Sale entry '!$X$2:$X$1501,"&lt;="&amp;$A227)+SUMPRODUCT(('Daily Sale entry '!$Q$2:$Q$1501="Collection 收款")*('Daily Sale entry '!$R$2:$R$1501="Cheque 支票")*('Daily Sale entry '!$V$2:$V$1501&lt;&gt;"")*('Daily Sale entry '!$V$2:$V$1501&lt;=$A227)*('Daily Sale entry '!$S$2:$S$1501-'Opening Balance'!$B$15*('Daily Sale entry '!$R$2:$R$1501="Cheque 支票")*('Daily Sale entry '!$S$2:$S$1501-TRUNC('Daily Sale entry '!$S$2:$S$1501))))-'Opening Balance'!$B$15*SUMPRODUCT(('Daily Sale entry '!$X$2:$X$1501&lt;=$A227)*('Daily Sale entry '!$Z$2:$Z$1501="Online collection 网上收款")*('Daily Sale entry '!$AA$2:$AA$1501&lt;&gt;"")*('Daily Sale entry '!$AC$2:$AC$1501-TRUNC('Daily Sale entry '!$AC$2:$AC$1501))),2))</f>
        <v/>
      </c>
      <c r="C227" s="8">
        <f>IF($A227="","",'Opening Balance'!$B$5+SUM('Daily Sale entry '!$I$2:I227)-SUMIFS('Daily Sale entry '!$AB$2:$AB$1501,'Daily Sale entry '!$X$2:$X$1501,"&lt;="&amp;$A227,'Daily Sale entry '!$Z$2:$Z$1501,"Cheque deposit 支票存入")-COUNTIFS('Daily Sale entry '!$Q$2:$Q$1501,"Collection 收款",'Daily Sale entry '!$R$2:$R$1501,"Cheque 支票",'Daily Sale entry '!$V$2:$V$1501,"&lt;="&amp;$A227))</f>
        <v/>
      </c>
      <c r="D227" s="6">
        <f>IF($A227="","",ROUND('Opening Balance'!$B$6+SUM('Daily Sale entry '!$J$2:J227)-SUMIFS('Daily Sale entry '!$AC$2:$AC$1501,'Daily Sale entry '!$X$2:$X$1501,"&lt;="&amp;$A227,'Daily Sale entry '!$Z$2:$Z$1501,"Cheque deposit 支票存入")-SUMPRODUCT(('Daily Sale entry '!$Q$2:$Q$1501="Collection 收款")*('Daily Sale entry '!$R$2:$R$1501="Cheque 支票")*('Daily Sale entry '!$V$2:$V$1501&lt;&gt;"")*('Daily Sale entry '!$V$2:$V$1501&lt;=$A227)*('Daily Sale entry '!$S$2:$S$1501-'Opening Balance'!$B$15*('Daily Sale entry '!$R$2:$R$1501="Cheque 支票")*('Daily Sale entry '!$S$2:$S$1501-TRUNC('Daily Sale entry '!$S$2:$S$1501)))),2))</f>
        <v/>
      </c>
      <c r="E227" s="6">
        <f>IF($A227="","",'Opening Balance'!$B$7)</f>
        <v/>
      </c>
      <c r="F227" s="6">
        <f>IF($A227="","",ROUND(SUMIFS('Daily Sale entry '!$L$2:$L$367,'Daily Sale entry '!$A$2:$A$367,"&gt;="&amp;DATE(YEAR($A227),MONTH($A227),1),'Daily Sale entry '!$A$2:$A$367,"&lt;="&amp;$A227)+SUMIFS('Daily Sale entry '!$M$2:$M$367,'Daily Sale entry '!$A$2:$A$367,"&gt;="&amp;DATE(YEAR($A227),MONTH($A227),1),'Daily Sale entry '!$A$2:$A$367,"&lt;="&amp;$A227)+IF(AND(YEAR($A227)=YEAR('Daily Sale entry '!$A$2),MONTH($A227)=MONTH('Daily Sale entry '!$A$2)),'Opening Balance'!$B$8,0),2))</f>
        <v/>
      </c>
      <c r="G227" s="6">
        <f>IF($A227="","",MOD(ROUND('Opening Balance'!$B$9+SUMIFS('Sales &amp; Collection'!$L$1:$L$3153,'Sales &amp; Collection'!$K$1:$K$3153,"cash collection*"),2),'Opening Balance'!$B$11))</f>
        <v/>
      </c>
      <c r="H227" s="6">
        <f>IF($A227="","",ROUND('Opening Balance'!$B$10+'Opening Balance'!$B$9+SUMIFS('Sales &amp; Collection'!$L$1:$L$3153,'Sales &amp; Collection'!$K$1:$K$3153,"cash collection*")-G227-SUMIFS('Daily Sale entry '!$AC$2:$AC$1501,'Daily Sale entry '!$X$2:$X$1501,"&lt;="&amp;$A227,'Daily Sale entry '!$Z$2:$Z$1501,"Cash deposit 现金存入"),2))</f>
        <v/>
      </c>
      <c r="I227" s="6">
        <f>IF($A227="","",ROUND(B227+D227+E227+F227+G227+H227,2))</f>
        <v/>
      </c>
      <c r="J227" s="6">
        <f>IF($A227="","",'AR &amp; AP'!K228)</f>
        <v/>
      </c>
      <c r="K227" s="6">
        <f>IF($A227="","",ROUND(I227-J227-SUMIFS('Daily Sale entry '!$AC$2:$AC$1501,'Daily Sale entry '!$X$2:$X$1501,"&lt;="&amp;$A227,'Daily Sale entry '!$Z$2:$Z$1501,"Other deposit 其他存入")+SUMIFS('Daily Sale entry '!$AD$2:$AD$1501,'Daily Sale entry '!$X$2:$X$1501,"&lt;="&amp;$A227)+('Opening Balance'!$B$8+SUM('Daily Sale entry '!$L$2:M227)-F227),2))</f>
        <v/>
      </c>
      <c r="L227">
        <f>IF($A227="","",IF(ABS('Sales &amp; Collection'!$B$3162)&gt;'Opening Balance'!$B$16,"ALERT 警报: Different "&amp;TEXT('Sales &amp; Collection'!$B$3162,"#,##0.00")&amp;" 差额过大",""))</f>
        <v/>
      </c>
    </row>
    <row r="228">
      <c r="A228" s="5">
        <f>IF('Daily Sale entry '!A228="","",'Daily Sale entry '!A228)</f>
        <v/>
      </c>
      <c r="B228" s="6">
        <f>IF($A228="","",ROUND('Opening Balance'!$B$4+SUM('Daily Sale entry '!$K$2:K228)+SUMIFS('Daily Sale entry '!$AC$2:$AC$1501,'Daily Sale entry '!$X$2:$X$1501,"&lt;="&amp;$A228)-SUMIFS('Daily Sale entry '!$AD$2:$AD$1501,'Daily Sale entry '!$X$2:$X$1501,"&lt;="&amp;$A228)+SUMPRODUCT(('Daily Sale entry '!$Q$2:$Q$1501="Collection 收款")*('Daily Sale entry '!$R$2:$R$1501="Cheque 支票")*('Daily Sale entry '!$V$2:$V$1501&lt;&gt;"")*('Daily Sale entry '!$V$2:$V$1501&lt;=$A228)*('Daily Sale entry '!$S$2:$S$1501-'Opening Balance'!$B$15*('Daily Sale entry '!$R$2:$R$1501="Cheque 支票")*('Daily Sale entry '!$S$2:$S$1501-TRUNC('Daily Sale entry '!$S$2:$S$1501))))-'Opening Balance'!$B$15*SUMPRODUCT(('Daily Sale entry '!$X$2:$X$1501&lt;=$A228)*('Daily Sale entry '!$Z$2:$Z$1501="Online collection 网上收款")*('Daily Sale entry '!$AA$2:$AA$1501&lt;&gt;"")*('Daily Sale entry '!$AC$2:$AC$1501-TRUNC('Daily Sale entry '!$AC$2:$AC$1501))),2))</f>
        <v/>
      </c>
      <c r="C228" s="8">
        <f>IF($A228="","",'Opening Balance'!$B$5+SUM('Daily Sale entry '!$I$2:I228)-SUMIFS('Daily Sale entry '!$AB$2:$AB$1501,'Daily Sale entry '!$X$2:$X$1501,"&lt;="&amp;$A228,'Daily Sale entry '!$Z$2:$Z$1501,"Cheque deposit 支票存入")-COUNTIFS('Daily Sale entry '!$Q$2:$Q$1501,"Collection 收款",'Daily Sale entry '!$R$2:$R$1501,"Cheque 支票",'Daily Sale entry '!$V$2:$V$1501,"&lt;="&amp;$A228))</f>
        <v/>
      </c>
      <c r="D228" s="6">
        <f>IF($A228="","",ROUND('Opening Balance'!$B$6+SUM('Daily Sale entry '!$J$2:J228)-SUMIFS('Daily Sale entry '!$AC$2:$AC$1501,'Daily Sale entry '!$X$2:$X$1501,"&lt;="&amp;$A228,'Daily Sale entry '!$Z$2:$Z$1501,"Cheque deposit 支票存入")-SUMPRODUCT(('Daily Sale entry '!$Q$2:$Q$1501="Collection 收款")*('Daily Sale entry '!$R$2:$R$1501="Cheque 支票")*('Daily Sale entry '!$V$2:$V$1501&lt;&gt;"")*('Daily Sale entry '!$V$2:$V$1501&lt;=$A228)*('Daily Sale entry '!$S$2:$S$1501-'Opening Balance'!$B$15*('Daily Sale entry '!$R$2:$R$1501="Cheque 支票")*('Daily Sale entry '!$S$2:$S$1501-TRUNC('Daily Sale entry '!$S$2:$S$1501)))),2))</f>
        <v/>
      </c>
      <c r="E228" s="6">
        <f>IF($A228="","",'Opening Balance'!$B$7)</f>
        <v/>
      </c>
      <c r="F228" s="6">
        <f>IF($A228="","",ROUND(SUMIFS('Daily Sale entry '!$L$2:$L$367,'Daily Sale entry '!$A$2:$A$367,"&gt;="&amp;DATE(YEAR($A228),MONTH($A228),1),'Daily Sale entry '!$A$2:$A$367,"&lt;="&amp;$A228)+SUMIFS('Daily Sale entry '!$M$2:$M$367,'Daily Sale entry '!$A$2:$A$367,"&gt;="&amp;DATE(YEAR($A228),MONTH($A228),1),'Daily Sale entry '!$A$2:$A$367,"&lt;="&amp;$A228)+IF(AND(YEAR($A228)=YEAR('Daily Sale entry '!$A$2),MONTH($A228)=MONTH('Daily Sale entry '!$A$2)),'Opening Balance'!$B$8,0),2))</f>
        <v/>
      </c>
      <c r="G228" s="6">
        <f>IF($A228="","",MOD(ROUND('Opening Balance'!$B$9+SUMIFS('Sales &amp; Collection'!$L$1:$L$3167,'Sales &amp; Collection'!$K$1:$K$3167,"cash collection*"),2),'Opening Balance'!$B$11))</f>
        <v/>
      </c>
      <c r="H228" s="6">
        <f>IF($A228="","",ROUND('Opening Balance'!$B$10+'Opening Balance'!$B$9+SUMIFS('Sales &amp; Collection'!$L$1:$L$3167,'Sales &amp; Collection'!$K$1:$K$3167,"cash collection*")-G228-SUMIFS('Daily Sale entry '!$AC$2:$AC$1501,'Daily Sale entry '!$X$2:$X$1501,"&lt;="&amp;$A228,'Daily Sale entry '!$Z$2:$Z$1501,"Cash deposit 现金存入"),2))</f>
        <v/>
      </c>
      <c r="I228" s="6">
        <f>IF($A228="","",ROUND(B228+D228+E228+F228+G228+H228,2))</f>
        <v/>
      </c>
      <c r="J228" s="6">
        <f>IF($A228="","",'AR &amp; AP'!K229)</f>
        <v/>
      </c>
      <c r="K228" s="6">
        <f>IF($A228="","",ROUND(I228-J228-SUMIFS('Daily Sale entry '!$AC$2:$AC$1501,'Daily Sale entry '!$X$2:$X$1501,"&lt;="&amp;$A228,'Daily Sale entry '!$Z$2:$Z$1501,"Other deposit 其他存入")+SUMIFS('Daily Sale entry '!$AD$2:$AD$1501,'Daily Sale entry '!$X$2:$X$1501,"&lt;="&amp;$A228)+('Opening Balance'!$B$8+SUM('Daily Sale entry '!$L$2:M228)-F228),2))</f>
        <v/>
      </c>
      <c r="L228">
        <f>IF($A228="","",IF(ABS('Sales &amp; Collection'!$B$3176)&gt;'Opening Balance'!$B$16,"ALERT 警报: Different "&amp;TEXT('Sales &amp; Collection'!$B$3176,"#,##0.00")&amp;" 差额过大",""))</f>
        <v/>
      </c>
    </row>
    <row r="229">
      <c r="A229" s="5">
        <f>IF('Daily Sale entry '!A229="","",'Daily Sale entry '!A229)</f>
        <v/>
      </c>
      <c r="B229" s="6">
        <f>IF($A229="","",ROUND('Opening Balance'!$B$4+SUM('Daily Sale entry '!$K$2:K229)+SUMIFS('Daily Sale entry '!$AC$2:$AC$1501,'Daily Sale entry '!$X$2:$X$1501,"&lt;="&amp;$A229)-SUMIFS('Daily Sale entry '!$AD$2:$AD$1501,'Daily Sale entry '!$X$2:$X$1501,"&lt;="&amp;$A229)+SUMPRODUCT(('Daily Sale entry '!$Q$2:$Q$1501="Collection 收款")*('Daily Sale entry '!$R$2:$R$1501="Cheque 支票")*('Daily Sale entry '!$V$2:$V$1501&lt;&gt;"")*('Daily Sale entry '!$V$2:$V$1501&lt;=$A229)*('Daily Sale entry '!$S$2:$S$1501-'Opening Balance'!$B$15*('Daily Sale entry '!$R$2:$R$1501="Cheque 支票")*('Daily Sale entry '!$S$2:$S$1501-TRUNC('Daily Sale entry '!$S$2:$S$1501))))-'Opening Balance'!$B$15*SUMPRODUCT(('Daily Sale entry '!$X$2:$X$1501&lt;=$A229)*('Daily Sale entry '!$Z$2:$Z$1501="Online collection 网上收款")*('Daily Sale entry '!$AA$2:$AA$1501&lt;&gt;"")*('Daily Sale entry '!$AC$2:$AC$1501-TRUNC('Daily Sale entry '!$AC$2:$AC$1501))),2))</f>
        <v/>
      </c>
      <c r="C229" s="8">
        <f>IF($A229="","",'Opening Balance'!$B$5+SUM('Daily Sale entry '!$I$2:I229)-SUMIFS('Daily Sale entry '!$AB$2:$AB$1501,'Daily Sale entry '!$X$2:$X$1501,"&lt;="&amp;$A229,'Daily Sale entry '!$Z$2:$Z$1501,"Cheque deposit 支票存入")-COUNTIFS('Daily Sale entry '!$Q$2:$Q$1501,"Collection 收款",'Daily Sale entry '!$R$2:$R$1501,"Cheque 支票",'Daily Sale entry '!$V$2:$V$1501,"&lt;="&amp;$A229))</f>
        <v/>
      </c>
      <c r="D229" s="6">
        <f>IF($A229="","",ROUND('Opening Balance'!$B$6+SUM('Daily Sale entry '!$J$2:J229)-SUMIFS('Daily Sale entry '!$AC$2:$AC$1501,'Daily Sale entry '!$X$2:$X$1501,"&lt;="&amp;$A229,'Daily Sale entry '!$Z$2:$Z$1501,"Cheque deposit 支票存入")-SUMPRODUCT(('Daily Sale entry '!$Q$2:$Q$1501="Collection 收款")*('Daily Sale entry '!$R$2:$R$1501="Cheque 支票")*('Daily Sale entry '!$V$2:$V$1501&lt;&gt;"")*('Daily Sale entry '!$V$2:$V$1501&lt;=$A229)*('Daily Sale entry '!$S$2:$S$1501-'Opening Balance'!$B$15*('Daily Sale entry '!$R$2:$R$1501="Cheque 支票")*('Daily Sale entry '!$S$2:$S$1501-TRUNC('Daily Sale entry '!$S$2:$S$1501)))),2))</f>
        <v/>
      </c>
      <c r="E229" s="6">
        <f>IF($A229="","",'Opening Balance'!$B$7)</f>
        <v/>
      </c>
      <c r="F229" s="6">
        <f>IF($A229="","",ROUND(SUMIFS('Daily Sale entry '!$L$2:$L$367,'Daily Sale entry '!$A$2:$A$367,"&gt;="&amp;DATE(YEAR($A229),MONTH($A229),1),'Daily Sale entry '!$A$2:$A$367,"&lt;="&amp;$A229)+SUMIFS('Daily Sale entry '!$M$2:$M$367,'Daily Sale entry '!$A$2:$A$367,"&gt;="&amp;DATE(YEAR($A229),MONTH($A229),1),'Daily Sale entry '!$A$2:$A$367,"&lt;="&amp;$A229)+IF(AND(YEAR($A229)=YEAR('Daily Sale entry '!$A$2),MONTH($A229)=MONTH('Daily Sale entry '!$A$2)),'Opening Balance'!$B$8,0),2))</f>
        <v/>
      </c>
      <c r="G229" s="6">
        <f>IF($A229="","",MOD(ROUND('Opening Balance'!$B$9+SUMIFS('Sales &amp; Collection'!$L$1:$L$3181,'Sales &amp; Collection'!$K$1:$K$3181,"cash collection*"),2),'Opening Balance'!$B$11))</f>
        <v/>
      </c>
      <c r="H229" s="6">
        <f>IF($A229="","",ROUND('Opening Balance'!$B$10+'Opening Balance'!$B$9+SUMIFS('Sales &amp; Collection'!$L$1:$L$3181,'Sales &amp; Collection'!$K$1:$K$3181,"cash collection*")-G229-SUMIFS('Daily Sale entry '!$AC$2:$AC$1501,'Daily Sale entry '!$X$2:$X$1501,"&lt;="&amp;$A229,'Daily Sale entry '!$Z$2:$Z$1501,"Cash deposit 现金存入"),2))</f>
        <v/>
      </c>
      <c r="I229" s="6">
        <f>IF($A229="","",ROUND(B229+D229+E229+F229+G229+H229,2))</f>
        <v/>
      </c>
      <c r="J229" s="6">
        <f>IF($A229="","",'AR &amp; AP'!K230)</f>
        <v/>
      </c>
      <c r="K229" s="6">
        <f>IF($A229="","",ROUND(I229-J229-SUMIFS('Daily Sale entry '!$AC$2:$AC$1501,'Daily Sale entry '!$X$2:$X$1501,"&lt;="&amp;$A229,'Daily Sale entry '!$Z$2:$Z$1501,"Other deposit 其他存入")+SUMIFS('Daily Sale entry '!$AD$2:$AD$1501,'Daily Sale entry '!$X$2:$X$1501,"&lt;="&amp;$A229)+('Opening Balance'!$B$8+SUM('Daily Sale entry '!$L$2:M229)-F229),2))</f>
        <v/>
      </c>
      <c r="L229">
        <f>IF($A229="","",IF(ABS('Sales &amp; Collection'!$B$3190)&gt;'Opening Balance'!$B$16,"ALERT 警报: Different "&amp;TEXT('Sales &amp; Collection'!$B$3190,"#,##0.00")&amp;" 差额过大",""))</f>
        <v/>
      </c>
    </row>
    <row r="230">
      <c r="A230" s="5">
        <f>IF('Daily Sale entry '!A230="","",'Daily Sale entry '!A230)</f>
        <v/>
      </c>
      <c r="B230" s="6">
        <f>IF($A230="","",ROUND('Opening Balance'!$B$4+SUM('Daily Sale entry '!$K$2:K230)+SUMIFS('Daily Sale entry '!$AC$2:$AC$1501,'Daily Sale entry '!$X$2:$X$1501,"&lt;="&amp;$A230)-SUMIFS('Daily Sale entry '!$AD$2:$AD$1501,'Daily Sale entry '!$X$2:$X$1501,"&lt;="&amp;$A230)+SUMPRODUCT(('Daily Sale entry '!$Q$2:$Q$1501="Collection 收款")*('Daily Sale entry '!$R$2:$R$1501="Cheque 支票")*('Daily Sale entry '!$V$2:$V$1501&lt;&gt;"")*('Daily Sale entry '!$V$2:$V$1501&lt;=$A230)*('Daily Sale entry '!$S$2:$S$1501-'Opening Balance'!$B$15*('Daily Sale entry '!$R$2:$R$1501="Cheque 支票")*('Daily Sale entry '!$S$2:$S$1501-TRUNC('Daily Sale entry '!$S$2:$S$1501))))-'Opening Balance'!$B$15*SUMPRODUCT(('Daily Sale entry '!$X$2:$X$1501&lt;=$A230)*('Daily Sale entry '!$Z$2:$Z$1501="Online collection 网上收款")*('Daily Sale entry '!$AA$2:$AA$1501&lt;&gt;"")*('Daily Sale entry '!$AC$2:$AC$1501-TRUNC('Daily Sale entry '!$AC$2:$AC$1501))),2))</f>
        <v/>
      </c>
      <c r="C230" s="8">
        <f>IF($A230="","",'Opening Balance'!$B$5+SUM('Daily Sale entry '!$I$2:I230)-SUMIFS('Daily Sale entry '!$AB$2:$AB$1501,'Daily Sale entry '!$X$2:$X$1501,"&lt;="&amp;$A230,'Daily Sale entry '!$Z$2:$Z$1501,"Cheque deposit 支票存入")-COUNTIFS('Daily Sale entry '!$Q$2:$Q$1501,"Collection 收款",'Daily Sale entry '!$R$2:$R$1501,"Cheque 支票",'Daily Sale entry '!$V$2:$V$1501,"&lt;="&amp;$A230))</f>
        <v/>
      </c>
      <c r="D230" s="6">
        <f>IF($A230="","",ROUND('Opening Balance'!$B$6+SUM('Daily Sale entry '!$J$2:J230)-SUMIFS('Daily Sale entry '!$AC$2:$AC$1501,'Daily Sale entry '!$X$2:$X$1501,"&lt;="&amp;$A230,'Daily Sale entry '!$Z$2:$Z$1501,"Cheque deposit 支票存入")-SUMPRODUCT(('Daily Sale entry '!$Q$2:$Q$1501="Collection 收款")*('Daily Sale entry '!$R$2:$R$1501="Cheque 支票")*('Daily Sale entry '!$V$2:$V$1501&lt;&gt;"")*('Daily Sale entry '!$V$2:$V$1501&lt;=$A230)*('Daily Sale entry '!$S$2:$S$1501-'Opening Balance'!$B$15*('Daily Sale entry '!$R$2:$R$1501="Cheque 支票")*('Daily Sale entry '!$S$2:$S$1501-TRUNC('Daily Sale entry '!$S$2:$S$1501)))),2))</f>
        <v/>
      </c>
      <c r="E230" s="6">
        <f>IF($A230="","",'Opening Balance'!$B$7)</f>
        <v/>
      </c>
      <c r="F230" s="6">
        <f>IF($A230="","",ROUND(SUMIFS('Daily Sale entry '!$L$2:$L$367,'Daily Sale entry '!$A$2:$A$367,"&gt;="&amp;DATE(YEAR($A230),MONTH($A230),1),'Daily Sale entry '!$A$2:$A$367,"&lt;="&amp;$A230)+SUMIFS('Daily Sale entry '!$M$2:$M$367,'Daily Sale entry '!$A$2:$A$367,"&gt;="&amp;DATE(YEAR($A230),MONTH($A230),1),'Daily Sale entry '!$A$2:$A$367,"&lt;="&amp;$A230)+IF(AND(YEAR($A230)=YEAR('Daily Sale entry '!$A$2),MONTH($A230)=MONTH('Daily Sale entry '!$A$2)),'Opening Balance'!$B$8,0),2))</f>
        <v/>
      </c>
      <c r="G230" s="6">
        <f>IF($A230="","",MOD(ROUND('Opening Balance'!$B$9+SUMIFS('Sales &amp; Collection'!$L$1:$L$3195,'Sales &amp; Collection'!$K$1:$K$3195,"cash collection*"),2),'Opening Balance'!$B$11))</f>
        <v/>
      </c>
      <c r="H230" s="6">
        <f>IF($A230="","",ROUND('Opening Balance'!$B$10+'Opening Balance'!$B$9+SUMIFS('Sales &amp; Collection'!$L$1:$L$3195,'Sales &amp; Collection'!$K$1:$K$3195,"cash collection*")-G230-SUMIFS('Daily Sale entry '!$AC$2:$AC$1501,'Daily Sale entry '!$X$2:$X$1501,"&lt;="&amp;$A230,'Daily Sale entry '!$Z$2:$Z$1501,"Cash deposit 现金存入"),2))</f>
        <v/>
      </c>
      <c r="I230" s="6">
        <f>IF($A230="","",ROUND(B230+D230+E230+F230+G230+H230,2))</f>
        <v/>
      </c>
      <c r="J230" s="6">
        <f>IF($A230="","",'AR &amp; AP'!K231)</f>
        <v/>
      </c>
      <c r="K230" s="6">
        <f>IF($A230="","",ROUND(I230-J230-SUMIFS('Daily Sale entry '!$AC$2:$AC$1501,'Daily Sale entry '!$X$2:$X$1501,"&lt;="&amp;$A230,'Daily Sale entry '!$Z$2:$Z$1501,"Other deposit 其他存入")+SUMIFS('Daily Sale entry '!$AD$2:$AD$1501,'Daily Sale entry '!$X$2:$X$1501,"&lt;="&amp;$A230)+('Opening Balance'!$B$8+SUM('Daily Sale entry '!$L$2:M230)-F230),2))</f>
        <v/>
      </c>
      <c r="L230">
        <f>IF($A230="","",IF(ABS('Sales &amp; Collection'!$B$3204)&gt;'Opening Balance'!$B$16,"ALERT 警报: Different "&amp;TEXT('Sales &amp; Collection'!$B$3204,"#,##0.00")&amp;" 差额过大",""))</f>
        <v/>
      </c>
    </row>
    <row r="231">
      <c r="A231" s="5">
        <f>IF('Daily Sale entry '!A231="","",'Daily Sale entry '!A231)</f>
        <v/>
      </c>
      <c r="B231" s="6">
        <f>IF($A231="","",ROUND('Opening Balance'!$B$4+SUM('Daily Sale entry '!$K$2:K231)+SUMIFS('Daily Sale entry '!$AC$2:$AC$1501,'Daily Sale entry '!$X$2:$X$1501,"&lt;="&amp;$A231)-SUMIFS('Daily Sale entry '!$AD$2:$AD$1501,'Daily Sale entry '!$X$2:$X$1501,"&lt;="&amp;$A231)+SUMPRODUCT(('Daily Sale entry '!$Q$2:$Q$1501="Collection 收款")*('Daily Sale entry '!$R$2:$R$1501="Cheque 支票")*('Daily Sale entry '!$V$2:$V$1501&lt;&gt;"")*('Daily Sale entry '!$V$2:$V$1501&lt;=$A231)*('Daily Sale entry '!$S$2:$S$1501-'Opening Balance'!$B$15*('Daily Sale entry '!$R$2:$R$1501="Cheque 支票")*('Daily Sale entry '!$S$2:$S$1501-TRUNC('Daily Sale entry '!$S$2:$S$1501))))-'Opening Balance'!$B$15*SUMPRODUCT(('Daily Sale entry '!$X$2:$X$1501&lt;=$A231)*('Daily Sale entry '!$Z$2:$Z$1501="Online collection 网上收款")*('Daily Sale entry '!$AA$2:$AA$1501&lt;&gt;"")*('Daily Sale entry '!$AC$2:$AC$1501-TRUNC('Daily Sale entry '!$AC$2:$AC$1501))),2))</f>
        <v/>
      </c>
      <c r="C231" s="8">
        <f>IF($A231="","",'Opening Balance'!$B$5+SUM('Daily Sale entry '!$I$2:I231)-SUMIFS('Daily Sale entry '!$AB$2:$AB$1501,'Daily Sale entry '!$X$2:$X$1501,"&lt;="&amp;$A231,'Daily Sale entry '!$Z$2:$Z$1501,"Cheque deposit 支票存入")-COUNTIFS('Daily Sale entry '!$Q$2:$Q$1501,"Collection 收款",'Daily Sale entry '!$R$2:$R$1501,"Cheque 支票",'Daily Sale entry '!$V$2:$V$1501,"&lt;="&amp;$A231))</f>
        <v/>
      </c>
      <c r="D231" s="6">
        <f>IF($A231="","",ROUND('Opening Balance'!$B$6+SUM('Daily Sale entry '!$J$2:J231)-SUMIFS('Daily Sale entry '!$AC$2:$AC$1501,'Daily Sale entry '!$X$2:$X$1501,"&lt;="&amp;$A231,'Daily Sale entry '!$Z$2:$Z$1501,"Cheque deposit 支票存入")-SUMPRODUCT(('Daily Sale entry '!$Q$2:$Q$1501="Collection 收款")*('Daily Sale entry '!$R$2:$R$1501="Cheque 支票")*('Daily Sale entry '!$V$2:$V$1501&lt;&gt;"")*('Daily Sale entry '!$V$2:$V$1501&lt;=$A231)*('Daily Sale entry '!$S$2:$S$1501-'Opening Balance'!$B$15*('Daily Sale entry '!$R$2:$R$1501="Cheque 支票")*('Daily Sale entry '!$S$2:$S$1501-TRUNC('Daily Sale entry '!$S$2:$S$1501)))),2))</f>
        <v/>
      </c>
      <c r="E231" s="6">
        <f>IF($A231="","",'Opening Balance'!$B$7)</f>
        <v/>
      </c>
      <c r="F231" s="6">
        <f>IF($A231="","",ROUND(SUMIFS('Daily Sale entry '!$L$2:$L$367,'Daily Sale entry '!$A$2:$A$367,"&gt;="&amp;DATE(YEAR($A231),MONTH($A231),1),'Daily Sale entry '!$A$2:$A$367,"&lt;="&amp;$A231)+SUMIFS('Daily Sale entry '!$M$2:$M$367,'Daily Sale entry '!$A$2:$A$367,"&gt;="&amp;DATE(YEAR($A231),MONTH($A231),1),'Daily Sale entry '!$A$2:$A$367,"&lt;="&amp;$A231)+IF(AND(YEAR($A231)=YEAR('Daily Sale entry '!$A$2),MONTH($A231)=MONTH('Daily Sale entry '!$A$2)),'Opening Balance'!$B$8,0),2))</f>
        <v/>
      </c>
      <c r="G231" s="6">
        <f>IF($A231="","",MOD(ROUND('Opening Balance'!$B$9+SUMIFS('Sales &amp; Collection'!$L$1:$L$3209,'Sales &amp; Collection'!$K$1:$K$3209,"cash collection*"),2),'Opening Balance'!$B$11))</f>
        <v/>
      </c>
      <c r="H231" s="6">
        <f>IF($A231="","",ROUND('Opening Balance'!$B$10+'Opening Balance'!$B$9+SUMIFS('Sales &amp; Collection'!$L$1:$L$3209,'Sales &amp; Collection'!$K$1:$K$3209,"cash collection*")-G231-SUMIFS('Daily Sale entry '!$AC$2:$AC$1501,'Daily Sale entry '!$X$2:$X$1501,"&lt;="&amp;$A231,'Daily Sale entry '!$Z$2:$Z$1501,"Cash deposit 现金存入"),2))</f>
        <v/>
      </c>
      <c r="I231" s="6">
        <f>IF($A231="","",ROUND(B231+D231+E231+F231+G231+H231,2))</f>
        <v/>
      </c>
      <c r="J231" s="6">
        <f>IF($A231="","",'AR &amp; AP'!K232)</f>
        <v/>
      </c>
      <c r="K231" s="6">
        <f>IF($A231="","",ROUND(I231-J231-SUMIFS('Daily Sale entry '!$AC$2:$AC$1501,'Daily Sale entry '!$X$2:$X$1501,"&lt;="&amp;$A231,'Daily Sale entry '!$Z$2:$Z$1501,"Other deposit 其他存入")+SUMIFS('Daily Sale entry '!$AD$2:$AD$1501,'Daily Sale entry '!$X$2:$X$1501,"&lt;="&amp;$A231)+('Opening Balance'!$B$8+SUM('Daily Sale entry '!$L$2:M231)-F231),2))</f>
        <v/>
      </c>
      <c r="L231">
        <f>IF($A231="","",IF(ABS('Sales &amp; Collection'!$B$3218)&gt;'Opening Balance'!$B$16,"ALERT 警报: Different "&amp;TEXT('Sales &amp; Collection'!$B$3218,"#,##0.00")&amp;" 差额过大",""))</f>
        <v/>
      </c>
    </row>
    <row r="232">
      <c r="A232" s="5">
        <f>IF('Daily Sale entry '!A232="","",'Daily Sale entry '!A232)</f>
        <v/>
      </c>
      <c r="B232" s="6">
        <f>IF($A232="","",ROUND('Opening Balance'!$B$4+SUM('Daily Sale entry '!$K$2:K232)+SUMIFS('Daily Sale entry '!$AC$2:$AC$1501,'Daily Sale entry '!$X$2:$X$1501,"&lt;="&amp;$A232)-SUMIFS('Daily Sale entry '!$AD$2:$AD$1501,'Daily Sale entry '!$X$2:$X$1501,"&lt;="&amp;$A232)+SUMPRODUCT(('Daily Sale entry '!$Q$2:$Q$1501="Collection 收款")*('Daily Sale entry '!$R$2:$R$1501="Cheque 支票")*('Daily Sale entry '!$V$2:$V$1501&lt;&gt;"")*('Daily Sale entry '!$V$2:$V$1501&lt;=$A232)*('Daily Sale entry '!$S$2:$S$1501-'Opening Balance'!$B$15*('Daily Sale entry '!$R$2:$R$1501="Cheque 支票")*('Daily Sale entry '!$S$2:$S$1501-TRUNC('Daily Sale entry '!$S$2:$S$1501))))-'Opening Balance'!$B$15*SUMPRODUCT(('Daily Sale entry '!$X$2:$X$1501&lt;=$A232)*('Daily Sale entry '!$Z$2:$Z$1501="Online collection 网上收款")*('Daily Sale entry '!$AA$2:$AA$1501&lt;&gt;"")*('Daily Sale entry '!$AC$2:$AC$1501-TRUNC('Daily Sale entry '!$AC$2:$AC$1501))),2))</f>
        <v/>
      </c>
      <c r="C232" s="8">
        <f>IF($A232="","",'Opening Balance'!$B$5+SUM('Daily Sale entry '!$I$2:I232)-SUMIFS('Daily Sale entry '!$AB$2:$AB$1501,'Daily Sale entry '!$X$2:$X$1501,"&lt;="&amp;$A232,'Daily Sale entry '!$Z$2:$Z$1501,"Cheque deposit 支票存入")-COUNTIFS('Daily Sale entry '!$Q$2:$Q$1501,"Collection 收款",'Daily Sale entry '!$R$2:$R$1501,"Cheque 支票",'Daily Sale entry '!$V$2:$V$1501,"&lt;="&amp;$A232))</f>
        <v/>
      </c>
      <c r="D232" s="6">
        <f>IF($A232="","",ROUND('Opening Balance'!$B$6+SUM('Daily Sale entry '!$J$2:J232)-SUMIFS('Daily Sale entry '!$AC$2:$AC$1501,'Daily Sale entry '!$X$2:$X$1501,"&lt;="&amp;$A232,'Daily Sale entry '!$Z$2:$Z$1501,"Cheque deposit 支票存入")-SUMPRODUCT(('Daily Sale entry '!$Q$2:$Q$1501="Collection 收款")*('Daily Sale entry '!$R$2:$R$1501="Cheque 支票")*('Daily Sale entry '!$V$2:$V$1501&lt;&gt;"")*('Daily Sale entry '!$V$2:$V$1501&lt;=$A232)*('Daily Sale entry '!$S$2:$S$1501-'Opening Balance'!$B$15*('Daily Sale entry '!$R$2:$R$1501="Cheque 支票")*('Daily Sale entry '!$S$2:$S$1501-TRUNC('Daily Sale entry '!$S$2:$S$1501)))),2))</f>
        <v/>
      </c>
      <c r="E232" s="6">
        <f>IF($A232="","",'Opening Balance'!$B$7)</f>
        <v/>
      </c>
      <c r="F232" s="6">
        <f>IF($A232="","",ROUND(SUMIFS('Daily Sale entry '!$L$2:$L$367,'Daily Sale entry '!$A$2:$A$367,"&gt;="&amp;DATE(YEAR($A232),MONTH($A232),1),'Daily Sale entry '!$A$2:$A$367,"&lt;="&amp;$A232)+SUMIFS('Daily Sale entry '!$M$2:$M$367,'Daily Sale entry '!$A$2:$A$367,"&gt;="&amp;DATE(YEAR($A232),MONTH($A232),1),'Daily Sale entry '!$A$2:$A$367,"&lt;="&amp;$A232)+IF(AND(YEAR($A232)=YEAR('Daily Sale entry '!$A$2),MONTH($A232)=MONTH('Daily Sale entry '!$A$2)),'Opening Balance'!$B$8,0),2))</f>
        <v/>
      </c>
      <c r="G232" s="6">
        <f>IF($A232="","",MOD(ROUND('Opening Balance'!$B$9+SUMIFS('Sales &amp; Collection'!$L$1:$L$3223,'Sales &amp; Collection'!$K$1:$K$3223,"cash collection*"),2),'Opening Balance'!$B$11))</f>
        <v/>
      </c>
      <c r="H232" s="6">
        <f>IF($A232="","",ROUND('Opening Balance'!$B$10+'Opening Balance'!$B$9+SUMIFS('Sales &amp; Collection'!$L$1:$L$3223,'Sales &amp; Collection'!$K$1:$K$3223,"cash collection*")-G232-SUMIFS('Daily Sale entry '!$AC$2:$AC$1501,'Daily Sale entry '!$X$2:$X$1501,"&lt;="&amp;$A232,'Daily Sale entry '!$Z$2:$Z$1501,"Cash deposit 现金存入"),2))</f>
        <v/>
      </c>
      <c r="I232" s="6">
        <f>IF($A232="","",ROUND(B232+D232+E232+F232+G232+H232,2))</f>
        <v/>
      </c>
      <c r="J232" s="6">
        <f>IF($A232="","",'AR &amp; AP'!K233)</f>
        <v/>
      </c>
      <c r="K232" s="6">
        <f>IF($A232="","",ROUND(I232-J232-SUMIFS('Daily Sale entry '!$AC$2:$AC$1501,'Daily Sale entry '!$X$2:$X$1501,"&lt;="&amp;$A232,'Daily Sale entry '!$Z$2:$Z$1501,"Other deposit 其他存入")+SUMIFS('Daily Sale entry '!$AD$2:$AD$1501,'Daily Sale entry '!$X$2:$X$1501,"&lt;="&amp;$A232)+('Opening Balance'!$B$8+SUM('Daily Sale entry '!$L$2:M232)-F232),2))</f>
        <v/>
      </c>
      <c r="L232">
        <f>IF($A232="","",IF(ABS('Sales &amp; Collection'!$B$3232)&gt;'Opening Balance'!$B$16,"ALERT 警报: Different "&amp;TEXT('Sales &amp; Collection'!$B$3232,"#,##0.00")&amp;" 差额过大",""))</f>
        <v/>
      </c>
    </row>
    <row r="233">
      <c r="A233" s="5">
        <f>IF('Daily Sale entry '!A233="","",'Daily Sale entry '!A233)</f>
        <v/>
      </c>
      <c r="B233" s="6">
        <f>IF($A233="","",ROUND('Opening Balance'!$B$4+SUM('Daily Sale entry '!$K$2:K233)+SUMIFS('Daily Sale entry '!$AC$2:$AC$1501,'Daily Sale entry '!$X$2:$X$1501,"&lt;="&amp;$A233)-SUMIFS('Daily Sale entry '!$AD$2:$AD$1501,'Daily Sale entry '!$X$2:$X$1501,"&lt;="&amp;$A233)+SUMPRODUCT(('Daily Sale entry '!$Q$2:$Q$1501="Collection 收款")*('Daily Sale entry '!$R$2:$R$1501="Cheque 支票")*('Daily Sale entry '!$V$2:$V$1501&lt;&gt;"")*('Daily Sale entry '!$V$2:$V$1501&lt;=$A233)*('Daily Sale entry '!$S$2:$S$1501-'Opening Balance'!$B$15*('Daily Sale entry '!$R$2:$R$1501="Cheque 支票")*('Daily Sale entry '!$S$2:$S$1501-TRUNC('Daily Sale entry '!$S$2:$S$1501))))-'Opening Balance'!$B$15*SUMPRODUCT(('Daily Sale entry '!$X$2:$X$1501&lt;=$A233)*('Daily Sale entry '!$Z$2:$Z$1501="Online collection 网上收款")*('Daily Sale entry '!$AA$2:$AA$1501&lt;&gt;"")*('Daily Sale entry '!$AC$2:$AC$1501-TRUNC('Daily Sale entry '!$AC$2:$AC$1501))),2))</f>
        <v/>
      </c>
      <c r="C233" s="8">
        <f>IF($A233="","",'Opening Balance'!$B$5+SUM('Daily Sale entry '!$I$2:I233)-SUMIFS('Daily Sale entry '!$AB$2:$AB$1501,'Daily Sale entry '!$X$2:$X$1501,"&lt;="&amp;$A233,'Daily Sale entry '!$Z$2:$Z$1501,"Cheque deposit 支票存入")-COUNTIFS('Daily Sale entry '!$Q$2:$Q$1501,"Collection 收款",'Daily Sale entry '!$R$2:$R$1501,"Cheque 支票",'Daily Sale entry '!$V$2:$V$1501,"&lt;="&amp;$A233))</f>
        <v/>
      </c>
      <c r="D233" s="6">
        <f>IF($A233="","",ROUND('Opening Balance'!$B$6+SUM('Daily Sale entry '!$J$2:J233)-SUMIFS('Daily Sale entry '!$AC$2:$AC$1501,'Daily Sale entry '!$X$2:$X$1501,"&lt;="&amp;$A233,'Daily Sale entry '!$Z$2:$Z$1501,"Cheque deposit 支票存入")-SUMPRODUCT(('Daily Sale entry '!$Q$2:$Q$1501="Collection 收款")*('Daily Sale entry '!$R$2:$R$1501="Cheque 支票")*('Daily Sale entry '!$V$2:$V$1501&lt;&gt;"")*('Daily Sale entry '!$V$2:$V$1501&lt;=$A233)*('Daily Sale entry '!$S$2:$S$1501-'Opening Balance'!$B$15*('Daily Sale entry '!$R$2:$R$1501="Cheque 支票")*('Daily Sale entry '!$S$2:$S$1501-TRUNC('Daily Sale entry '!$S$2:$S$1501)))),2))</f>
        <v/>
      </c>
      <c r="E233" s="6">
        <f>IF($A233="","",'Opening Balance'!$B$7)</f>
        <v/>
      </c>
      <c r="F233" s="6">
        <f>IF($A233="","",ROUND(SUMIFS('Daily Sale entry '!$L$2:$L$367,'Daily Sale entry '!$A$2:$A$367,"&gt;="&amp;DATE(YEAR($A233),MONTH($A233),1),'Daily Sale entry '!$A$2:$A$367,"&lt;="&amp;$A233)+SUMIFS('Daily Sale entry '!$M$2:$M$367,'Daily Sale entry '!$A$2:$A$367,"&gt;="&amp;DATE(YEAR($A233),MONTH($A233),1),'Daily Sale entry '!$A$2:$A$367,"&lt;="&amp;$A233)+IF(AND(YEAR($A233)=YEAR('Daily Sale entry '!$A$2),MONTH($A233)=MONTH('Daily Sale entry '!$A$2)),'Opening Balance'!$B$8,0),2))</f>
        <v/>
      </c>
      <c r="G233" s="6">
        <f>IF($A233="","",MOD(ROUND('Opening Balance'!$B$9+SUMIFS('Sales &amp; Collection'!$L$1:$L$3237,'Sales &amp; Collection'!$K$1:$K$3237,"cash collection*"),2),'Opening Balance'!$B$11))</f>
        <v/>
      </c>
      <c r="H233" s="6">
        <f>IF($A233="","",ROUND('Opening Balance'!$B$10+'Opening Balance'!$B$9+SUMIFS('Sales &amp; Collection'!$L$1:$L$3237,'Sales &amp; Collection'!$K$1:$K$3237,"cash collection*")-G233-SUMIFS('Daily Sale entry '!$AC$2:$AC$1501,'Daily Sale entry '!$X$2:$X$1501,"&lt;="&amp;$A233,'Daily Sale entry '!$Z$2:$Z$1501,"Cash deposit 现金存入"),2))</f>
        <v/>
      </c>
      <c r="I233" s="6">
        <f>IF($A233="","",ROUND(B233+D233+E233+F233+G233+H233,2))</f>
        <v/>
      </c>
      <c r="J233" s="6">
        <f>IF($A233="","",'AR &amp; AP'!K234)</f>
        <v/>
      </c>
      <c r="K233" s="6">
        <f>IF($A233="","",ROUND(I233-J233-SUMIFS('Daily Sale entry '!$AC$2:$AC$1501,'Daily Sale entry '!$X$2:$X$1501,"&lt;="&amp;$A233,'Daily Sale entry '!$Z$2:$Z$1501,"Other deposit 其他存入")+SUMIFS('Daily Sale entry '!$AD$2:$AD$1501,'Daily Sale entry '!$X$2:$X$1501,"&lt;="&amp;$A233)+('Opening Balance'!$B$8+SUM('Daily Sale entry '!$L$2:M233)-F233),2))</f>
        <v/>
      </c>
      <c r="L233">
        <f>IF($A233="","",IF(ABS('Sales &amp; Collection'!$B$3246)&gt;'Opening Balance'!$B$16,"ALERT 警报: Different "&amp;TEXT('Sales &amp; Collection'!$B$3246,"#,##0.00")&amp;" 差额过大",""))</f>
        <v/>
      </c>
    </row>
    <row r="234">
      <c r="A234" s="5">
        <f>IF('Daily Sale entry '!A234="","",'Daily Sale entry '!A234)</f>
        <v/>
      </c>
      <c r="B234" s="6">
        <f>IF($A234="","",ROUND('Opening Balance'!$B$4+SUM('Daily Sale entry '!$K$2:K234)+SUMIFS('Daily Sale entry '!$AC$2:$AC$1501,'Daily Sale entry '!$X$2:$X$1501,"&lt;="&amp;$A234)-SUMIFS('Daily Sale entry '!$AD$2:$AD$1501,'Daily Sale entry '!$X$2:$X$1501,"&lt;="&amp;$A234)+SUMPRODUCT(('Daily Sale entry '!$Q$2:$Q$1501="Collection 收款")*('Daily Sale entry '!$R$2:$R$1501="Cheque 支票")*('Daily Sale entry '!$V$2:$V$1501&lt;&gt;"")*('Daily Sale entry '!$V$2:$V$1501&lt;=$A234)*('Daily Sale entry '!$S$2:$S$1501-'Opening Balance'!$B$15*('Daily Sale entry '!$R$2:$R$1501="Cheque 支票")*('Daily Sale entry '!$S$2:$S$1501-TRUNC('Daily Sale entry '!$S$2:$S$1501))))-'Opening Balance'!$B$15*SUMPRODUCT(('Daily Sale entry '!$X$2:$X$1501&lt;=$A234)*('Daily Sale entry '!$Z$2:$Z$1501="Online collection 网上收款")*('Daily Sale entry '!$AA$2:$AA$1501&lt;&gt;"")*('Daily Sale entry '!$AC$2:$AC$1501-TRUNC('Daily Sale entry '!$AC$2:$AC$1501))),2))</f>
        <v/>
      </c>
      <c r="C234" s="8">
        <f>IF($A234="","",'Opening Balance'!$B$5+SUM('Daily Sale entry '!$I$2:I234)-SUMIFS('Daily Sale entry '!$AB$2:$AB$1501,'Daily Sale entry '!$X$2:$X$1501,"&lt;="&amp;$A234,'Daily Sale entry '!$Z$2:$Z$1501,"Cheque deposit 支票存入")-COUNTIFS('Daily Sale entry '!$Q$2:$Q$1501,"Collection 收款",'Daily Sale entry '!$R$2:$R$1501,"Cheque 支票",'Daily Sale entry '!$V$2:$V$1501,"&lt;="&amp;$A234))</f>
        <v/>
      </c>
      <c r="D234" s="6">
        <f>IF($A234="","",ROUND('Opening Balance'!$B$6+SUM('Daily Sale entry '!$J$2:J234)-SUMIFS('Daily Sale entry '!$AC$2:$AC$1501,'Daily Sale entry '!$X$2:$X$1501,"&lt;="&amp;$A234,'Daily Sale entry '!$Z$2:$Z$1501,"Cheque deposit 支票存入")-SUMPRODUCT(('Daily Sale entry '!$Q$2:$Q$1501="Collection 收款")*('Daily Sale entry '!$R$2:$R$1501="Cheque 支票")*('Daily Sale entry '!$V$2:$V$1501&lt;&gt;"")*('Daily Sale entry '!$V$2:$V$1501&lt;=$A234)*('Daily Sale entry '!$S$2:$S$1501-'Opening Balance'!$B$15*('Daily Sale entry '!$R$2:$R$1501="Cheque 支票")*('Daily Sale entry '!$S$2:$S$1501-TRUNC('Daily Sale entry '!$S$2:$S$1501)))),2))</f>
        <v/>
      </c>
      <c r="E234" s="6">
        <f>IF($A234="","",'Opening Balance'!$B$7)</f>
        <v/>
      </c>
      <c r="F234" s="6">
        <f>IF($A234="","",ROUND(SUMIFS('Daily Sale entry '!$L$2:$L$367,'Daily Sale entry '!$A$2:$A$367,"&gt;="&amp;DATE(YEAR($A234),MONTH($A234),1),'Daily Sale entry '!$A$2:$A$367,"&lt;="&amp;$A234)+SUMIFS('Daily Sale entry '!$M$2:$M$367,'Daily Sale entry '!$A$2:$A$367,"&gt;="&amp;DATE(YEAR($A234),MONTH($A234),1),'Daily Sale entry '!$A$2:$A$367,"&lt;="&amp;$A234)+IF(AND(YEAR($A234)=YEAR('Daily Sale entry '!$A$2),MONTH($A234)=MONTH('Daily Sale entry '!$A$2)),'Opening Balance'!$B$8,0),2))</f>
        <v/>
      </c>
      <c r="G234" s="6">
        <f>IF($A234="","",MOD(ROUND('Opening Balance'!$B$9+SUMIFS('Sales &amp; Collection'!$L$1:$L$3251,'Sales &amp; Collection'!$K$1:$K$3251,"cash collection*"),2),'Opening Balance'!$B$11))</f>
        <v/>
      </c>
      <c r="H234" s="6">
        <f>IF($A234="","",ROUND('Opening Balance'!$B$10+'Opening Balance'!$B$9+SUMIFS('Sales &amp; Collection'!$L$1:$L$3251,'Sales &amp; Collection'!$K$1:$K$3251,"cash collection*")-G234-SUMIFS('Daily Sale entry '!$AC$2:$AC$1501,'Daily Sale entry '!$X$2:$X$1501,"&lt;="&amp;$A234,'Daily Sale entry '!$Z$2:$Z$1501,"Cash deposit 现金存入"),2))</f>
        <v/>
      </c>
      <c r="I234" s="6">
        <f>IF($A234="","",ROUND(B234+D234+E234+F234+G234+H234,2))</f>
        <v/>
      </c>
      <c r="J234" s="6">
        <f>IF($A234="","",'AR &amp; AP'!K235)</f>
        <v/>
      </c>
      <c r="K234" s="6">
        <f>IF($A234="","",ROUND(I234-J234-SUMIFS('Daily Sale entry '!$AC$2:$AC$1501,'Daily Sale entry '!$X$2:$X$1501,"&lt;="&amp;$A234,'Daily Sale entry '!$Z$2:$Z$1501,"Other deposit 其他存入")+SUMIFS('Daily Sale entry '!$AD$2:$AD$1501,'Daily Sale entry '!$X$2:$X$1501,"&lt;="&amp;$A234)+('Opening Balance'!$B$8+SUM('Daily Sale entry '!$L$2:M234)-F234),2))</f>
        <v/>
      </c>
      <c r="L234">
        <f>IF($A234="","",IF(ABS('Sales &amp; Collection'!$B$3260)&gt;'Opening Balance'!$B$16,"ALERT 警报: Different "&amp;TEXT('Sales &amp; Collection'!$B$3260,"#,##0.00")&amp;" 差额过大",""))</f>
        <v/>
      </c>
    </row>
    <row r="235">
      <c r="A235" s="5">
        <f>IF('Daily Sale entry '!A235="","",'Daily Sale entry '!A235)</f>
        <v/>
      </c>
      <c r="B235" s="6">
        <f>IF($A235="","",ROUND('Opening Balance'!$B$4+SUM('Daily Sale entry '!$K$2:K235)+SUMIFS('Daily Sale entry '!$AC$2:$AC$1501,'Daily Sale entry '!$X$2:$X$1501,"&lt;="&amp;$A235)-SUMIFS('Daily Sale entry '!$AD$2:$AD$1501,'Daily Sale entry '!$X$2:$X$1501,"&lt;="&amp;$A235)+SUMPRODUCT(('Daily Sale entry '!$Q$2:$Q$1501="Collection 收款")*('Daily Sale entry '!$R$2:$R$1501="Cheque 支票")*('Daily Sale entry '!$V$2:$V$1501&lt;&gt;"")*('Daily Sale entry '!$V$2:$V$1501&lt;=$A235)*('Daily Sale entry '!$S$2:$S$1501-'Opening Balance'!$B$15*('Daily Sale entry '!$R$2:$R$1501="Cheque 支票")*('Daily Sale entry '!$S$2:$S$1501-TRUNC('Daily Sale entry '!$S$2:$S$1501))))-'Opening Balance'!$B$15*SUMPRODUCT(('Daily Sale entry '!$X$2:$X$1501&lt;=$A235)*('Daily Sale entry '!$Z$2:$Z$1501="Online collection 网上收款")*('Daily Sale entry '!$AA$2:$AA$1501&lt;&gt;"")*('Daily Sale entry '!$AC$2:$AC$1501-TRUNC('Daily Sale entry '!$AC$2:$AC$1501))),2))</f>
        <v/>
      </c>
      <c r="C235" s="8">
        <f>IF($A235="","",'Opening Balance'!$B$5+SUM('Daily Sale entry '!$I$2:I235)-SUMIFS('Daily Sale entry '!$AB$2:$AB$1501,'Daily Sale entry '!$X$2:$X$1501,"&lt;="&amp;$A235,'Daily Sale entry '!$Z$2:$Z$1501,"Cheque deposit 支票存入")-COUNTIFS('Daily Sale entry '!$Q$2:$Q$1501,"Collection 收款",'Daily Sale entry '!$R$2:$R$1501,"Cheque 支票",'Daily Sale entry '!$V$2:$V$1501,"&lt;="&amp;$A235))</f>
        <v/>
      </c>
      <c r="D235" s="6">
        <f>IF($A235="","",ROUND('Opening Balance'!$B$6+SUM('Daily Sale entry '!$J$2:J235)-SUMIFS('Daily Sale entry '!$AC$2:$AC$1501,'Daily Sale entry '!$X$2:$X$1501,"&lt;="&amp;$A235,'Daily Sale entry '!$Z$2:$Z$1501,"Cheque deposit 支票存入")-SUMPRODUCT(('Daily Sale entry '!$Q$2:$Q$1501="Collection 收款")*('Daily Sale entry '!$R$2:$R$1501="Cheque 支票")*('Daily Sale entry '!$V$2:$V$1501&lt;&gt;"")*('Daily Sale entry '!$V$2:$V$1501&lt;=$A235)*('Daily Sale entry '!$S$2:$S$1501-'Opening Balance'!$B$15*('Daily Sale entry '!$R$2:$R$1501="Cheque 支票")*('Daily Sale entry '!$S$2:$S$1501-TRUNC('Daily Sale entry '!$S$2:$S$1501)))),2))</f>
        <v/>
      </c>
      <c r="E235" s="6">
        <f>IF($A235="","",'Opening Balance'!$B$7)</f>
        <v/>
      </c>
      <c r="F235" s="6">
        <f>IF($A235="","",ROUND(SUMIFS('Daily Sale entry '!$L$2:$L$367,'Daily Sale entry '!$A$2:$A$367,"&gt;="&amp;DATE(YEAR($A235),MONTH($A235),1),'Daily Sale entry '!$A$2:$A$367,"&lt;="&amp;$A235)+SUMIFS('Daily Sale entry '!$M$2:$M$367,'Daily Sale entry '!$A$2:$A$367,"&gt;="&amp;DATE(YEAR($A235),MONTH($A235),1),'Daily Sale entry '!$A$2:$A$367,"&lt;="&amp;$A235)+IF(AND(YEAR($A235)=YEAR('Daily Sale entry '!$A$2),MONTH($A235)=MONTH('Daily Sale entry '!$A$2)),'Opening Balance'!$B$8,0),2))</f>
        <v/>
      </c>
      <c r="G235" s="6">
        <f>IF($A235="","",MOD(ROUND('Opening Balance'!$B$9+SUMIFS('Sales &amp; Collection'!$L$1:$L$3265,'Sales &amp; Collection'!$K$1:$K$3265,"cash collection*"),2),'Opening Balance'!$B$11))</f>
        <v/>
      </c>
      <c r="H235" s="6">
        <f>IF($A235="","",ROUND('Opening Balance'!$B$10+'Opening Balance'!$B$9+SUMIFS('Sales &amp; Collection'!$L$1:$L$3265,'Sales &amp; Collection'!$K$1:$K$3265,"cash collection*")-G235-SUMIFS('Daily Sale entry '!$AC$2:$AC$1501,'Daily Sale entry '!$X$2:$X$1501,"&lt;="&amp;$A235,'Daily Sale entry '!$Z$2:$Z$1501,"Cash deposit 现金存入"),2))</f>
        <v/>
      </c>
      <c r="I235" s="6">
        <f>IF($A235="","",ROUND(B235+D235+E235+F235+G235+H235,2))</f>
        <v/>
      </c>
      <c r="J235" s="6">
        <f>IF($A235="","",'AR &amp; AP'!K236)</f>
        <v/>
      </c>
      <c r="K235" s="6">
        <f>IF($A235="","",ROUND(I235-J235-SUMIFS('Daily Sale entry '!$AC$2:$AC$1501,'Daily Sale entry '!$X$2:$X$1501,"&lt;="&amp;$A235,'Daily Sale entry '!$Z$2:$Z$1501,"Other deposit 其他存入")+SUMIFS('Daily Sale entry '!$AD$2:$AD$1501,'Daily Sale entry '!$X$2:$X$1501,"&lt;="&amp;$A235)+('Opening Balance'!$B$8+SUM('Daily Sale entry '!$L$2:M235)-F235),2))</f>
        <v/>
      </c>
      <c r="L235">
        <f>IF($A235="","",IF(ABS('Sales &amp; Collection'!$B$3274)&gt;'Opening Balance'!$B$16,"ALERT 警报: Different "&amp;TEXT('Sales &amp; Collection'!$B$3274,"#,##0.00")&amp;" 差额过大",""))</f>
        <v/>
      </c>
    </row>
    <row r="236">
      <c r="A236" s="5">
        <f>IF('Daily Sale entry '!A236="","",'Daily Sale entry '!A236)</f>
        <v/>
      </c>
      <c r="B236" s="6">
        <f>IF($A236="","",ROUND('Opening Balance'!$B$4+SUM('Daily Sale entry '!$K$2:K236)+SUMIFS('Daily Sale entry '!$AC$2:$AC$1501,'Daily Sale entry '!$X$2:$X$1501,"&lt;="&amp;$A236)-SUMIFS('Daily Sale entry '!$AD$2:$AD$1501,'Daily Sale entry '!$X$2:$X$1501,"&lt;="&amp;$A236)+SUMPRODUCT(('Daily Sale entry '!$Q$2:$Q$1501="Collection 收款")*('Daily Sale entry '!$R$2:$R$1501="Cheque 支票")*('Daily Sale entry '!$V$2:$V$1501&lt;&gt;"")*('Daily Sale entry '!$V$2:$V$1501&lt;=$A236)*('Daily Sale entry '!$S$2:$S$1501-'Opening Balance'!$B$15*('Daily Sale entry '!$R$2:$R$1501="Cheque 支票")*('Daily Sale entry '!$S$2:$S$1501-TRUNC('Daily Sale entry '!$S$2:$S$1501))))-'Opening Balance'!$B$15*SUMPRODUCT(('Daily Sale entry '!$X$2:$X$1501&lt;=$A236)*('Daily Sale entry '!$Z$2:$Z$1501="Online collection 网上收款")*('Daily Sale entry '!$AA$2:$AA$1501&lt;&gt;"")*('Daily Sale entry '!$AC$2:$AC$1501-TRUNC('Daily Sale entry '!$AC$2:$AC$1501))),2))</f>
        <v/>
      </c>
      <c r="C236" s="8">
        <f>IF($A236="","",'Opening Balance'!$B$5+SUM('Daily Sale entry '!$I$2:I236)-SUMIFS('Daily Sale entry '!$AB$2:$AB$1501,'Daily Sale entry '!$X$2:$X$1501,"&lt;="&amp;$A236,'Daily Sale entry '!$Z$2:$Z$1501,"Cheque deposit 支票存入")-COUNTIFS('Daily Sale entry '!$Q$2:$Q$1501,"Collection 收款",'Daily Sale entry '!$R$2:$R$1501,"Cheque 支票",'Daily Sale entry '!$V$2:$V$1501,"&lt;="&amp;$A236))</f>
        <v/>
      </c>
      <c r="D236" s="6">
        <f>IF($A236="","",ROUND('Opening Balance'!$B$6+SUM('Daily Sale entry '!$J$2:J236)-SUMIFS('Daily Sale entry '!$AC$2:$AC$1501,'Daily Sale entry '!$X$2:$X$1501,"&lt;="&amp;$A236,'Daily Sale entry '!$Z$2:$Z$1501,"Cheque deposit 支票存入")-SUMPRODUCT(('Daily Sale entry '!$Q$2:$Q$1501="Collection 收款")*('Daily Sale entry '!$R$2:$R$1501="Cheque 支票")*('Daily Sale entry '!$V$2:$V$1501&lt;&gt;"")*('Daily Sale entry '!$V$2:$V$1501&lt;=$A236)*('Daily Sale entry '!$S$2:$S$1501-'Opening Balance'!$B$15*('Daily Sale entry '!$R$2:$R$1501="Cheque 支票")*('Daily Sale entry '!$S$2:$S$1501-TRUNC('Daily Sale entry '!$S$2:$S$1501)))),2))</f>
        <v/>
      </c>
      <c r="E236" s="6">
        <f>IF($A236="","",'Opening Balance'!$B$7)</f>
        <v/>
      </c>
      <c r="F236" s="6">
        <f>IF($A236="","",ROUND(SUMIFS('Daily Sale entry '!$L$2:$L$367,'Daily Sale entry '!$A$2:$A$367,"&gt;="&amp;DATE(YEAR($A236),MONTH($A236),1),'Daily Sale entry '!$A$2:$A$367,"&lt;="&amp;$A236)+SUMIFS('Daily Sale entry '!$M$2:$M$367,'Daily Sale entry '!$A$2:$A$367,"&gt;="&amp;DATE(YEAR($A236),MONTH($A236),1),'Daily Sale entry '!$A$2:$A$367,"&lt;="&amp;$A236)+IF(AND(YEAR($A236)=YEAR('Daily Sale entry '!$A$2),MONTH($A236)=MONTH('Daily Sale entry '!$A$2)),'Opening Balance'!$B$8,0),2))</f>
        <v/>
      </c>
      <c r="G236" s="6">
        <f>IF($A236="","",MOD(ROUND('Opening Balance'!$B$9+SUMIFS('Sales &amp; Collection'!$L$1:$L$3279,'Sales &amp; Collection'!$K$1:$K$3279,"cash collection*"),2),'Opening Balance'!$B$11))</f>
        <v/>
      </c>
      <c r="H236" s="6">
        <f>IF($A236="","",ROUND('Opening Balance'!$B$10+'Opening Balance'!$B$9+SUMIFS('Sales &amp; Collection'!$L$1:$L$3279,'Sales &amp; Collection'!$K$1:$K$3279,"cash collection*")-G236-SUMIFS('Daily Sale entry '!$AC$2:$AC$1501,'Daily Sale entry '!$X$2:$X$1501,"&lt;="&amp;$A236,'Daily Sale entry '!$Z$2:$Z$1501,"Cash deposit 现金存入"),2))</f>
        <v/>
      </c>
      <c r="I236" s="6">
        <f>IF($A236="","",ROUND(B236+D236+E236+F236+G236+H236,2))</f>
        <v/>
      </c>
      <c r="J236" s="6">
        <f>IF($A236="","",'AR &amp; AP'!K237)</f>
        <v/>
      </c>
      <c r="K236" s="6">
        <f>IF($A236="","",ROUND(I236-J236-SUMIFS('Daily Sale entry '!$AC$2:$AC$1501,'Daily Sale entry '!$X$2:$X$1501,"&lt;="&amp;$A236,'Daily Sale entry '!$Z$2:$Z$1501,"Other deposit 其他存入")+SUMIFS('Daily Sale entry '!$AD$2:$AD$1501,'Daily Sale entry '!$X$2:$X$1501,"&lt;="&amp;$A236)+('Opening Balance'!$B$8+SUM('Daily Sale entry '!$L$2:M236)-F236),2))</f>
        <v/>
      </c>
      <c r="L236">
        <f>IF($A236="","",IF(ABS('Sales &amp; Collection'!$B$3288)&gt;'Opening Balance'!$B$16,"ALERT 警报: Different "&amp;TEXT('Sales &amp; Collection'!$B$3288,"#,##0.00")&amp;" 差额过大",""))</f>
        <v/>
      </c>
    </row>
    <row r="237">
      <c r="A237" s="5">
        <f>IF('Daily Sale entry '!A237="","",'Daily Sale entry '!A237)</f>
        <v/>
      </c>
      <c r="B237" s="6">
        <f>IF($A237="","",ROUND('Opening Balance'!$B$4+SUM('Daily Sale entry '!$K$2:K237)+SUMIFS('Daily Sale entry '!$AC$2:$AC$1501,'Daily Sale entry '!$X$2:$X$1501,"&lt;="&amp;$A237)-SUMIFS('Daily Sale entry '!$AD$2:$AD$1501,'Daily Sale entry '!$X$2:$X$1501,"&lt;="&amp;$A237)+SUMPRODUCT(('Daily Sale entry '!$Q$2:$Q$1501="Collection 收款")*('Daily Sale entry '!$R$2:$R$1501="Cheque 支票")*('Daily Sale entry '!$V$2:$V$1501&lt;&gt;"")*('Daily Sale entry '!$V$2:$V$1501&lt;=$A237)*('Daily Sale entry '!$S$2:$S$1501-'Opening Balance'!$B$15*('Daily Sale entry '!$R$2:$R$1501="Cheque 支票")*('Daily Sale entry '!$S$2:$S$1501-TRUNC('Daily Sale entry '!$S$2:$S$1501))))-'Opening Balance'!$B$15*SUMPRODUCT(('Daily Sale entry '!$X$2:$X$1501&lt;=$A237)*('Daily Sale entry '!$Z$2:$Z$1501="Online collection 网上收款")*('Daily Sale entry '!$AA$2:$AA$1501&lt;&gt;"")*('Daily Sale entry '!$AC$2:$AC$1501-TRUNC('Daily Sale entry '!$AC$2:$AC$1501))),2))</f>
        <v/>
      </c>
      <c r="C237" s="8">
        <f>IF($A237="","",'Opening Balance'!$B$5+SUM('Daily Sale entry '!$I$2:I237)-SUMIFS('Daily Sale entry '!$AB$2:$AB$1501,'Daily Sale entry '!$X$2:$X$1501,"&lt;="&amp;$A237,'Daily Sale entry '!$Z$2:$Z$1501,"Cheque deposit 支票存入")-COUNTIFS('Daily Sale entry '!$Q$2:$Q$1501,"Collection 收款",'Daily Sale entry '!$R$2:$R$1501,"Cheque 支票",'Daily Sale entry '!$V$2:$V$1501,"&lt;="&amp;$A237))</f>
        <v/>
      </c>
      <c r="D237" s="6">
        <f>IF($A237="","",ROUND('Opening Balance'!$B$6+SUM('Daily Sale entry '!$J$2:J237)-SUMIFS('Daily Sale entry '!$AC$2:$AC$1501,'Daily Sale entry '!$X$2:$X$1501,"&lt;="&amp;$A237,'Daily Sale entry '!$Z$2:$Z$1501,"Cheque deposit 支票存入")-SUMPRODUCT(('Daily Sale entry '!$Q$2:$Q$1501="Collection 收款")*('Daily Sale entry '!$R$2:$R$1501="Cheque 支票")*('Daily Sale entry '!$V$2:$V$1501&lt;&gt;"")*('Daily Sale entry '!$V$2:$V$1501&lt;=$A237)*('Daily Sale entry '!$S$2:$S$1501-'Opening Balance'!$B$15*('Daily Sale entry '!$R$2:$R$1501="Cheque 支票")*('Daily Sale entry '!$S$2:$S$1501-TRUNC('Daily Sale entry '!$S$2:$S$1501)))),2))</f>
        <v/>
      </c>
      <c r="E237" s="6">
        <f>IF($A237="","",'Opening Balance'!$B$7)</f>
        <v/>
      </c>
      <c r="F237" s="6">
        <f>IF($A237="","",ROUND(SUMIFS('Daily Sale entry '!$L$2:$L$367,'Daily Sale entry '!$A$2:$A$367,"&gt;="&amp;DATE(YEAR($A237),MONTH($A237),1),'Daily Sale entry '!$A$2:$A$367,"&lt;="&amp;$A237)+SUMIFS('Daily Sale entry '!$M$2:$M$367,'Daily Sale entry '!$A$2:$A$367,"&gt;="&amp;DATE(YEAR($A237),MONTH($A237),1),'Daily Sale entry '!$A$2:$A$367,"&lt;="&amp;$A237)+IF(AND(YEAR($A237)=YEAR('Daily Sale entry '!$A$2),MONTH($A237)=MONTH('Daily Sale entry '!$A$2)),'Opening Balance'!$B$8,0),2))</f>
        <v/>
      </c>
      <c r="G237" s="6">
        <f>IF($A237="","",MOD(ROUND('Opening Balance'!$B$9+SUMIFS('Sales &amp; Collection'!$L$1:$L$3293,'Sales &amp; Collection'!$K$1:$K$3293,"cash collection*"),2),'Opening Balance'!$B$11))</f>
        <v/>
      </c>
      <c r="H237" s="6">
        <f>IF($A237="","",ROUND('Opening Balance'!$B$10+'Opening Balance'!$B$9+SUMIFS('Sales &amp; Collection'!$L$1:$L$3293,'Sales &amp; Collection'!$K$1:$K$3293,"cash collection*")-G237-SUMIFS('Daily Sale entry '!$AC$2:$AC$1501,'Daily Sale entry '!$X$2:$X$1501,"&lt;="&amp;$A237,'Daily Sale entry '!$Z$2:$Z$1501,"Cash deposit 现金存入"),2))</f>
        <v/>
      </c>
      <c r="I237" s="6">
        <f>IF($A237="","",ROUND(B237+D237+E237+F237+G237+H237,2))</f>
        <v/>
      </c>
      <c r="J237" s="6">
        <f>IF($A237="","",'AR &amp; AP'!K238)</f>
        <v/>
      </c>
      <c r="K237" s="6">
        <f>IF($A237="","",ROUND(I237-J237-SUMIFS('Daily Sale entry '!$AC$2:$AC$1501,'Daily Sale entry '!$X$2:$X$1501,"&lt;="&amp;$A237,'Daily Sale entry '!$Z$2:$Z$1501,"Other deposit 其他存入")+SUMIFS('Daily Sale entry '!$AD$2:$AD$1501,'Daily Sale entry '!$X$2:$X$1501,"&lt;="&amp;$A237)+('Opening Balance'!$B$8+SUM('Daily Sale entry '!$L$2:M237)-F237),2))</f>
        <v/>
      </c>
      <c r="L237">
        <f>IF($A237="","",IF(ABS('Sales &amp; Collection'!$B$3302)&gt;'Opening Balance'!$B$16,"ALERT 警报: Different "&amp;TEXT('Sales &amp; Collection'!$B$3302,"#,##0.00")&amp;" 差额过大",""))</f>
        <v/>
      </c>
    </row>
    <row r="238">
      <c r="A238" s="5">
        <f>IF('Daily Sale entry '!A238="","",'Daily Sale entry '!A238)</f>
        <v/>
      </c>
      <c r="B238" s="6">
        <f>IF($A238="","",ROUND('Opening Balance'!$B$4+SUM('Daily Sale entry '!$K$2:K238)+SUMIFS('Daily Sale entry '!$AC$2:$AC$1501,'Daily Sale entry '!$X$2:$X$1501,"&lt;="&amp;$A238)-SUMIFS('Daily Sale entry '!$AD$2:$AD$1501,'Daily Sale entry '!$X$2:$X$1501,"&lt;="&amp;$A238)+SUMPRODUCT(('Daily Sale entry '!$Q$2:$Q$1501="Collection 收款")*('Daily Sale entry '!$R$2:$R$1501="Cheque 支票")*('Daily Sale entry '!$V$2:$V$1501&lt;&gt;"")*('Daily Sale entry '!$V$2:$V$1501&lt;=$A238)*('Daily Sale entry '!$S$2:$S$1501-'Opening Balance'!$B$15*('Daily Sale entry '!$R$2:$R$1501="Cheque 支票")*('Daily Sale entry '!$S$2:$S$1501-TRUNC('Daily Sale entry '!$S$2:$S$1501))))-'Opening Balance'!$B$15*SUMPRODUCT(('Daily Sale entry '!$X$2:$X$1501&lt;=$A238)*('Daily Sale entry '!$Z$2:$Z$1501="Online collection 网上收款")*('Daily Sale entry '!$AA$2:$AA$1501&lt;&gt;"")*('Daily Sale entry '!$AC$2:$AC$1501-TRUNC('Daily Sale entry '!$AC$2:$AC$1501))),2))</f>
        <v/>
      </c>
      <c r="C238" s="8">
        <f>IF($A238="","",'Opening Balance'!$B$5+SUM('Daily Sale entry '!$I$2:I238)-SUMIFS('Daily Sale entry '!$AB$2:$AB$1501,'Daily Sale entry '!$X$2:$X$1501,"&lt;="&amp;$A238,'Daily Sale entry '!$Z$2:$Z$1501,"Cheque deposit 支票存入")-COUNTIFS('Daily Sale entry '!$Q$2:$Q$1501,"Collection 收款",'Daily Sale entry '!$R$2:$R$1501,"Cheque 支票",'Daily Sale entry '!$V$2:$V$1501,"&lt;="&amp;$A238))</f>
        <v/>
      </c>
      <c r="D238" s="6">
        <f>IF($A238="","",ROUND('Opening Balance'!$B$6+SUM('Daily Sale entry '!$J$2:J238)-SUMIFS('Daily Sale entry '!$AC$2:$AC$1501,'Daily Sale entry '!$X$2:$X$1501,"&lt;="&amp;$A238,'Daily Sale entry '!$Z$2:$Z$1501,"Cheque deposit 支票存入")-SUMPRODUCT(('Daily Sale entry '!$Q$2:$Q$1501="Collection 收款")*('Daily Sale entry '!$R$2:$R$1501="Cheque 支票")*('Daily Sale entry '!$V$2:$V$1501&lt;&gt;"")*('Daily Sale entry '!$V$2:$V$1501&lt;=$A238)*('Daily Sale entry '!$S$2:$S$1501-'Opening Balance'!$B$15*('Daily Sale entry '!$R$2:$R$1501="Cheque 支票")*('Daily Sale entry '!$S$2:$S$1501-TRUNC('Daily Sale entry '!$S$2:$S$1501)))),2))</f>
        <v/>
      </c>
      <c r="E238" s="6">
        <f>IF($A238="","",'Opening Balance'!$B$7)</f>
        <v/>
      </c>
      <c r="F238" s="6">
        <f>IF($A238="","",ROUND(SUMIFS('Daily Sale entry '!$L$2:$L$367,'Daily Sale entry '!$A$2:$A$367,"&gt;="&amp;DATE(YEAR($A238),MONTH($A238),1),'Daily Sale entry '!$A$2:$A$367,"&lt;="&amp;$A238)+SUMIFS('Daily Sale entry '!$M$2:$M$367,'Daily Sale entry '!$A$2:$A$367,"&gt;="&amp;DATE(YEAR($A238),MONTH($A238),1),'Daily Sale entry '!$A$2:$A$367,"&lt;="&amp;$A238)+IF(AND(YEAR($A238)=YEAR('Daily Sale entry '!$A$2),MONTH($A238)=MONTH('Daily Sale entry '!$A$2)),'Opening Balance'!$B$8,0),2))</f>
        <v/>
      </c>
      <c r="G238" s="6">
        <f>IF($A238="","",MOD(ROUND('Opening Balance'!$B$9+SUMIFS('Sales &amp; Collection'!$L$1:$L$3307,'Sales &amp; Collection'!$K$1:$K$3307,"cash collection*"),2),'Opening Balance'!$B$11))</f>
        <v/>
      </c>
      <c r="H238" s="6">
        <f>IF($A238="","",ROUND('Opening Balance'!$B$10+'Opening Balance'!$B$9+SUMIFS('Sales &amp; Collection'!$L$1:$L$3307,'Sales &amp; Collection'!$K$1:$K$3307,"cash collection*")-G238-SUMIFS('Daily Sale entry '!$AC$2:$AC$1501,'Daily Sale entry '!$X$2:$X$1501,"&lt;="&amp;$A238,'Daily Sale entry '!$Z$2:$Z$1501,"Cash deposit 现金存入"),2))</f>
        <v/>
      </c>
      <c r="I238" s="6">
        <f>IF($A238="","",ROUND(B238+D238+E238+F238+G238+H238,2))</f>
        <v/>
      </c>
      <c r="J238" s="6">
        <f>IF($A238="","",'AR &amp; AP'!K239)</f>
        <v/>
      </c>
      <c r="K238" s="6">
        <f>IF($A238="","",ROUND(I238-J238-SUMIFS('Daily Sale entry '!$AC$2:$AC$1501,'Daily Sale entry '!$X$2:$X$1501,"&lt;="&amp;$A238,'Daily Sale entry '!$Z$2:$Z$1501,"Other deposit 其他存入")+SUMIFS('Daily Sale entry '!$AD$2:$AD$1501,'Daily Sale entry '!$X$2:$X$1501,"&lt;="&amp;$A238)+('Opening Balance'!$B$8+SUM('Daily Sale entry '!$L$2:M238)-F238),2))</f>
        <v/>
      </c>
      <c r="L238">
        <f>IF($A238="","",IF(ABS('Sales &amp; Collection'!$B$3316)&gt;'Opening Balance'!$B$16,"ALERT 警报: Different "&amp;TEXT('Sales &amp; Collection'!$B$3316,"#,##0.00")&amp;" 差额过大",""))</f>
        <v/>
      </c>
    </row>
    <row r="239">
      <c r="A239" s="5">
        <f>IF('Daily Sale entry '!A239="","",'Daily Sale entry '!A239)</f>
        <v/>
      </c>
      <c r="B239" s="6">
        <f>IF($A239="","",ROUND('Opening Balance'!$B$4+SUM('Daily Sale entry '!$K$2:K239)+SUMIFS('Daily Sale entry '!$AC$2:$AC$1501,'Daily Sale entry '!$X$2:$X$1501,"&lt;="&amp;$A239)-SUMIFS('Daily Sale entry '!$AD$2:$AD$1501,'Daily Sale entry '!$X$2:$X$1501,"&lt;="&amp;$A239)+SUMPRODUCT(('Daily Sale entry '!$Q$2:$Q$1501="Collection 收款")*('Daily Sale entry '!$R$2:$R$1501="Cheque 支票")*('Daily Sale entry '!$V$2:$V$1501&lt;&gt;"")*('Daily Sale entry '!$V$2:$V$1501&lt;=$A239)*('Daily Sale entry '!$S$2:$S$1501-'Opening Balance'!$B$15*('Daily Sale entry '!$R$2:$R$1501="Cheque 支票")*('Daily Sale entry '!$S$2:$S$1501-TRUNC('Daily Sale entry '!$S$2:$S$1501))))-'Opening Balance'!$B$15*SUMPRODUCT(('Daily Sale entry '!$X$2:$X$1501&lt;=$A239)*('Daily Sale entry '!$Z$2:$Z$1501="Online collection 网上收款")*('Daily Sale entry '!$AA$2:$AA$1501&lt;&gt;"")*('Daily Sale entry '!$AC$2:$AC$1501-TRUNC('Daily Sale entry '!$AC$2:$AC$1501))),2))</f>
        <v/>
      </c>
      <c r="C239" s="8">
        <f>IF($A239="","",'Opening Balance'!$B$5+SUM('Daily Sale entry '!$I$2:I239)-SUMIFS('Daily Sale entry '!$AB$2:$AB$1501,'Daily Sale entry '!$X$2:$X$1501,"&lt;="&amp;$A239,'Daily Sale entry '!$Z$2:$Z$1501,"Cheque deposit 支票存入")-COUNTIFS('Daily Sale entry '!$Q$2:$Q$1501,"Collection 收款",'Daily Sale entry '!$R$2:$R$1501,"Cheque 支票",'Daily Sale entry '!$V$2:$V$1501,"&lt;="&amp;$A239))</f>
        <v/>
      </c>
      <c r="D239" s="6">
        <f>IF($A239="","",ROUND('Opening Balance'!$B$6+SUM('Daily Sale entry '!$J$2:J239)-SUMIFS('Daily Sale entry '!$AC$2:$AC$1501,'Daily Sale entry '!$X$2:$X$1501,"&lt;="&amp;$A239,'Daily Sale entry '!$Z$2:$Z$1501,"Cheque deposit 支票存入")-SUMPRODUCT(('Daily Sale entry '!$Q$2:$Q$1501="Collection 收款")*('Daily Sale entry '!$R$2:$R$1501="Cheque 支票")*('Daily Sale entry '!$V$2:$V$1501&lt;&gt;"")*('Daily Sale entry '!$V$2:$V$1501&lt;=$A239)*('Daily Sale entry '!$S$2:$S$1501-'Opening Balance'!$B$15*('Daily Sale entry '!$R$2:$R$1501="Cheque 支票")*('Daily Sale entry '!$S$2:$S$1501-TRUNC('Daily Sale entry '!$S$2:$S$1501)))),2))</f>
        <v/>
      </c>
      <c r="E239" s="6">
        <f>IF($A239="","",'Opening Balance'!$B$7)</f>
        <v/>
      </c>
      <c r="F239" s="6">
        <f>IF($A239="","",ROUND(SUMIFS('Daily Sale entry '!$L$2:$L$367,'Daily Sale entry '!$A$2:$A$367,"&gt;="&amp;DATE(YEAR($A239),MONTH($A239),1),'Daily Sale entry '!$A$2:$A$367,"&lt;="&amp;$A239)+SUMIFS('Daily Sale entry '!$M$2:$M$367,'Daily Sale entry '!$A$2:$A$367,"&gt;="&amp;DATE(YEAR($A239),MONTH($A239),1),'Daily Sale entry '!$A$2:$A$367,"&lt;="&amp;$A239)+IF(AND(YEAR($A239)=YEAR('Daily Sale entry '!$A$2),MONTH($A239)=MONTH('Daily Sale entry '!$A$2)),'Opening Balance'!$B$8,0),2))</f>
        <v/>
      </c>
      <c r="G239" s="6">
        <f>IF($A239="","",MOD(ROUND('Opening Balance'!$B$9+SUMIFS('Sales &amp; Collection'!$L$1:$L$3321,'Sales &amp; Collection'!$K$1:$K$3321,"cash collection*"),2),'Opening Balance'!$B$11))</f>
        <v/>
      </c>
      <c r="H239" s="6">
        <f>IF($A239="","",ROUND('Opening Balance'!$B$10+'Opening Balance'!$B$9+SUMIFS('Sales &amp; Collection'!$L$1:$L$3321,'Sales &amp; Collection'!$K$1:$K$3321,"cash collection*")-G239-SUMIFS('Daily Sale entry '!$AC$2:$AC$1501,'Daily Sale entry '!$X$2:$X$1501,"&lt;="&amp;$A239,'Daily Sale entry '!$Z$2:$Z$1501,"Cash deposit 现金存入"),2))</f>
        <v/>
      </c>
      <c r="I239" s="6">
        <f>IF($A239="","",ROUND(B239+D239+E239+F239+G239+H239,2))</f>
        <v/>
      </c>
      <c r="J239" s="6">
        <f>IF($A239="","",'AR &amp; AP'!K240)</f>
        <v/>
      </c>
      <c r="K239" s="6">
        <f>IF($A239="","",ROUND(I239-J239-SUMIFS('Daily Sale entry '!$AC$2:$AC$1501,'Daily Sale entry '!$X$2:$X$1501,"&lt;="&amp;$A239,'Daily Sale entry '!$Z$2:$Z$1501,"Other deposit 其他存入")+SUMIFS('Daily Sale entry '!$AD$2:$AD$1501,'Daily Sale entry '!$X$2:$X$1501,"&lt;="&amp;$A239)+('Opening Balance'!$B$8+SUM('Daily Sale entry '!$L$2:M239)-F239),2))</f>
        <v/>
      </c>
      <c r="L239">
        <f>IF($A239="","",IF(ABS('Sales &amp; Collection'!$B$3330)&gt;'Opening Balance'!$B$16,"ALERT 警报: Different "&amp;TEXT('Sales &amp; Collection'!$B$3330,"#,##0.00")&amp;" 差额过大",""))</f>
        <v/>
      </c>
    </row>
    <row r="240">
      <c r="A240" s="5">
        <f>IF('Daily Sale entry '!A240="","",'Daily Sale entry '!A240)</f>
        <v/>
      </c>
      <c r="B240" s="6">
        <f>IF($A240="","",ROUND('Opening Balance'!$B$4+SUM('Daily Sale entry '!$K$2:K240)+SUMIFS('Daily Sale entry '!$AC$2:$AC$1501,'Daily Sale entry '!$X$2:$X$1501,"&lt;="&amp;$A240)-SUMIFS('Daily Sale entry '!$AD$2:$AD$1501,'Daily Sale entry '!$X$2:$X$1501,"&lt;="&amp;$A240)+SUMPRODUCT(('Daily Sale entry '!$Q$2:$Q$1501="Collection 收款")*('Daily Sale entry '!$R$2:$R$1501="Cheque 支票")*('Daily Sale entry '!$V$2:$V$1501&lt;&gt;"")*('Daily Sale entry '!$V$2:$V$1501&lt;=$A240)*('Daily Sale entry '!$S$2:$S$1501-'Opening Balance'!$B$15*('Daily Sale entry '!$R$2:$R$1501="Cheque 支票")*('Daily Sale entry '!$S$2:$S$1501-TRUNC('Daily Sale entry '!$S$2:$S$1501))))-'Opening Balance'!$B$15*SUMPRODUCT(('Daily Sale entry '!$X$2:$X$1501&lt;=$A240)*('Daily Sale entry '!$Z$2:$Z$1501="Online collection 网上收款")*('Daily Sale entry '!$AA$2:$AA$1501&lt;&gt;"")*('Daily Sale entry '!$AC$2:$AC$1501-TRUNC('Daily Sale entry '!$AC$2:$AC$1501))),2))</f>
        <v/>
      </c>
      <c r="C240" s="8">
        <f>IF($A240="","",'Opening Balance'!$B$5+SUM('Daily Sale entry '!$I$2:I240)-SUMIFS('Daily Sale entry '!$AB$2:$AB$1501,'Daily Sale entry '!$X$2:$X$1501,"&lt;="&amp;$A240,'Daily Sale entry '!$Z$2:$Z$1501,"Cheque deposit 支票存入")-COUNTIFS('Daily Sale entry '!$Q$2:$Q$1501,"Collection 收款",'Daily Sale entry '!$R$2:$R$1501,"Cheque 支票",'Daily Sale entry '!$V$2:$V$1501,"&lt;="&amp;$A240))</f>
        <v/>
      </c>
      <c r="D240" s="6">
        <f>IF($A240="","",ROUND('Opening Balance'!$B$6+SUM('Daily Sale entry '!$J$2:J240)-SUMIFS('Daily Sale entry '!$AC$2:$AC$1501,'Daily Sale entry '!$X$2:$X$1501,"&lt;="&amp;$A240,'Daily Sale entry '!$Z$2:$Z$1501,"Cheque deposit 支票存入")-SUMPRODUCT(('Daily Sale entry '!$Q$2:$Q$1501="Collection 收款")*('Daily Sale entry '!$R$2:$R$1501="Cheque 支票")*('Daily Sale entry '!$V$2:$V$1501&lt;&gt;"")*('Daily Sale entry '!$V$2:$V$1501&lt;=$A240)*('Daily Sale entry '!$S$2:$S$1501-'Opening Balance'!$B$15*('Daily Sale entry '!$R$2:$R$1501="Cheque 支票")*('Daily Sale entry '!$S$2:$S$1501-TRUNC('Daily Sale entry '!$S$2:$S$1501)))),2))</f>
        <v/>
      </c>
      <c r="E240" s="6">
        <f>IF($A240="","",'Opening Balance'!$B$7)</f>
        <v/>
      </c>
      <c r="F240" s="6">
        <f>IF($A240="","",ROUND(SUMIFS('Daily Sale entry '!$L$2:$L$367,'Daily Sale entry '!$A$2:$A$367,"&gt;="&amp;DATE(YEAR($A240),MONTH($A240),1),'Daily Sale entry '!$A$2:$A$367,"&lt;="&amp;$A240)+SUMIFS('Daily Sale entry '!$M$2:$M$367,'Daily Sale entry '!$A$2:$A$367,"&gt;="&amp;DATE(YEAR($A240),MONTH($A240),1),'Daily Sale entry '!$A$2:$A$367,"&lt;="&amp;$A240)+IF(AND(YEAR($A240)=YEAR('Daily Sale entry '!$A$2),MONTH($A240)=MONTH('Daily Sale entry '!$A$2)),'Opening Balance'!$B$8,0),2))</f>
        <v/>
      </c>
      <c r="G240" s="6">
        <f>IF($A240="","",MOD(ROUND('Opening Balance'!$B$9+SUMIFS('Sales &amp; Collection'!$L$1:$L$3335,'Sales &amp; Collection'!$K$1:$K$3335,"cash collection*"),2),'Opening Balance'!$B$11))</f>
        <v/>
      </c>
      <c r="H240" s="6">
        <f>IF($A240="","",ROUND('Opening Balance'!$B$10+'Opening Balance'!$B$9+SUMIFS('Sales &amp; Collection'!$L$1:$L$3335,'Sales &amp; Collection'!$K$1:$K$3335,"cash collection*")-G240-SUMIFS('Daily Sale entry '!$AC$2:$AC$1501,'Daily Sale entry '!$X$2:$X$1501,"&lt;="&amp;$A240,'Daily Sale entry '!$Z$2:$Z$1501,"Cash deposit 现金存入"),2))</f>
        <v/>
      </c>
      <c r="I240" s="6">
        <f>IF($A240="","",ROUND(B240+D240+E240+F240+G240+H240,2))</f>
        <v/>
      </c>
      <c r="J240" s="6">
        <f>IF($A240="","",'AR &amp; AP'!K241)</f>
        <v/>
      </c>
      <c r="K240" s="6">
        <f>IF($A240="","",ROUND(I240-J240-SUMIFS('Daily Sale entry '!$AC$2:$AC$1501,'Daily Sale entry '!$X$2:$X$1501,"&lt;="&amp;$A240,'Daily Sale entry '!$Z$2:$Z$1501,"Other deposit 其他存入")+SUMIFS('Daily Sale entry '!$AD$2:$AD$1501,'Daily Sale entry '!$X$2:$X$1501,"&lt;="&amp;$A240)+('Opening Balance'!$B$8+SUM('Daily Sale entry '!$L$2:M240)-F240),2))</f>
        <v/>
      </c>
      <c r="L240">
        <f>IF($A240="","",IF(ABS('Sales &amp; Collection'!$B$3344)&gt;'Opening Balance'!$B$16,"ALERT 警报: Different "&amp;TEXT('Sales &amp; Collection'!$B$3344,"#,##0.00")&amp;" 差额过大",""))</f>
        <v/>
      </c>
    </row>
    <row r="241">
      <c r="A241" s="5">
        <f>IF('Daily Sale entry '!A241="","",'Daily Sale entry '!A241)</f>
        <v/>
      </c>
      <c r="B241" s="6">
        <f>IF($A241="","",ROUND('Opening Balance'!$B$4+SUM('Daily Sale entry '!$K$2:K241)+SUMIFS('Daily Sale entry '!$AC$2:$AC$1501,'Daily Sale entry '!$X$2:$X$1501,"&lt;="&amp;$A241)-SUMIFS('Daily Sale entry '!$AD$2:$AD$1501,'Daily Sale entry '!$X$2:$X$1501,"&lt;="&amp;$A241)+SUMPRODUCT(('Daily Sale entry '!$Q$2:$Q$1501="Collection 收款")*('Daily Sale entry '!$R$2:$R$1501="Cheque 支票")*('Daily Sale entry '!$V$2:$V$1501&lt;&gt;"")*('Daily Sale entry '!$V$2:$V$1501&lt;=$A241)*('Daily Sale entry '!$S$2:$S$1501-'Opening Balance'!$B$15*('Daily Sale entry '!$R$2:$R$1501="Cheque 支票")*('Daily Sale entry '!$S$2:$S$1501-TRUNC('Daily Sale entry '!$S$2:$S$1501))))-'Opening Balance'!$B$15*SUMPRODUCT(('Daily Sale entry '!$X$2:$X$1501&lt;=$A241)*('Daily Sale entry '!$Z$2:$Z$1501="Online collection 网上收款")*('Daily Sale entry '!$AA$2:$AA$1501&lt;&gt;"")*('Daily Sale entry '!$AC$2:$AC$1501-TRUNC('Daily Sale entry '!$AC$2:$AC$1501))),2))</f>
        <v/>
      </c>
      <c r="C241" s="8">
        <f>IF($A241="","",'Opening Balance'!$B$5+SUM('Daily Sale entry '!$I$2:I241)-SUMIFS('Daily Sale entry '!$AB$2:$AB$1501,'Daily Sale entry '!$X$2:$X$1501,"&lt;="&amp;$A241,'Daily Sale entry '!$Z$2:$Z$1501,"Cheque deposit 支票存入")-COUNTIFS('Daily Sale entry '!$Q$2:$Q$1501,"Collection 收款",'Daily Sale entry '!$R$2:$R$1501,"Cheque 支票",'Daily Sale entry '!$V$2:$V$1501,"&lt;="&amp;$A241))</f>
        <v/>
      </c>
      <c r="D241" s="6">
        <f>IF($A241="","",ROUND('Opening Balance'!$B$6+SUM('Daily Sale entry '!$J$2:J241)-SUMIFS('Daily Sale entry '!$AC$2:$AC$1501,'Daily Sale entry '!$X$2:$X$1501,"&lt;="&amp;$A241,'Daily Sale entry '!$Z$2:$Z$1501,"Cheque deposit 支票存入")-SUMPRODUCT(('Daily Sale entry '!$Q$2:$Q$1501="Collection 收款")*('Daily Sale entry '!$R$2:$R$1501="Cheque 支票")*('Daily Sale entry '!$V$2:$V$1501&lt;&gt;"")*('Daily Sale entry '!$V$2:$V$1501&lt;=$A241)*('Daily Sale entry '!$S$2:$S$1501-'Opening Balance'!$B$15*('Daily Sale entry '!$R$2:$R$1501="Cheque 支票")*('Daily Sale entry '!$S$2:$S$1501-TRUNC('Daily Sale entry '!$S$2:$S$1501)))),2))</f>
        <v/>
      </c>
      <c r="E241" s="6">
        <f>IF($A241="","",'Opening Balance'!$B$7)</f>
        <v/>
      </c>
      <c r="F241" s="6">
        <f>IF($A241="","",ROUND(SUMIFS('Daily Sale entry '!$L$2:$L$367,'Daily Sale entry '!$A$2:$A$367,"&gt;="&amp;DATE(YEAR($A241),MONTH($A241),1),'Daily Sale entry '!$A$2:$A$367,"&lt;="&amp;$A241)+SUMIFS('Daily Sale entry '!$M$2:$M$367,'Daily Sale entry '!$A$2:$A$367,"&gt;="&amp;DATE(YEAR($A241),MONTH($A241),1),'Daily Sale entry '!$A$2:$A$367,"&lt;="&amp;$A241)+IF(AND(YEAR($A241)=YEAR('Daily Sale entry '!$A$2),MONTH($A241)=MONTH('Daily Sale entry '!$A$2)),'Opening Balance'!$B$8,0),2))</f>
        <v/>
      </c>
      <c r="G241" s="6">
        <f>IF($A241="","",MOD(ROUND('Opening Balance'!$B$9+SUMIFS('Sales &amp; Collection'!$L$1:$L$3349,'Sales &amp; Collection'!$K$1:$K$3349,"cash collection*"),2),'Opening Balance'!$B$11))</f>
        <v/>
      </c>
      <c r="H241" s="6">
        <f>IF($A241="","",ROUND('Opening Balance'!$B$10+'Opening Balance'!$B$9+SUMIFS('Sales &amp; Collection'!$L$1:$L$3349,'Sales &amp; Collection'!$K$1:$K$3349,"cash collection*")-G241-SUMIFS('Daily Sale entry '!$AC$2:$AC$1501,'Daily Sale entry '!$X$2:$X$1501,"&lt;="&amp;$A241,'Daily Sale entry '!$Z$2:$Z$1501,"Cash deposit 现金存入"),2))</f>
        <v/>
      </c>
      <c r="I241" s="6">
        <f>IF($A241="","",ROUND(B241+D241+E241+F241+G241+H241,2))</f>
        <v/>
      </c>
      <c r="J241" s="6">
        <f>IF($A241="","",'AR &amp; AP'!K242)</f>
        <v/>
      </c>
      <c r="K241" s="6">
        <f>IF($A241="","",ROUND(I241-J241-SUMIFS('Daily Sale entry '!$AC$2:$AC$1501,'Daily Sale entry '!$X$2:$X$1501,"&lt;="&amp;$A241,'Daily Sale entry '!$Z$2:$Z$1501,"Other deposit 其他存入")+SUMIFS('Daily Sale entry '!$AD$2:$AD$1501,'Daily Sale entry '!$X$2:$X$1501,"&lt;="&amp;$A241)+('Opening Balance'!$B$8+SUM('Daily Sale entry '!$L$2:M241)-F241),2))</f>
        <v/>
      </c>
      <c r="L241">
        <f>IF($A241="","",IF(ABS('Sales &amp; Collection'!$B$3358)&gt;'Opening Balance'!$B$16,"ALERT 警报: Different "&amp;TEXT('Sales &amp; Collection'!$B$3358,"#,##0.00")&amp;" 差额过大",""))</f>
        <v/>
      </c>
    </row>
    <row r="242">
      <c r="A242" s="5">
        <f>IF('Daily Sale entry '!A242="","",'Daily Sale entry '!A242)</f>
        <v/>
      </c>
      <c r="B242" s="6">
        <f>IF($A242="","",ROUND('Opening Balance'!$B$4+SUM('Daily Sale entry '!$K$2:K242)+SUMIFS('Daily Sale entry '!$AC$2:$AC$1501,'Daily Sale entry '!$X$2:$X$1501,"&lt;="&amp;$A242)-SUMIFS('Daily Sale entry '!$AD$2:$AD$1501,'Daily Sale entry '!$X$2:$X$1501,"&lt;="&amp;$A242)+SUMPRODUCT(('Daily Sale entry '!$Q$2:$Q$1501="Collection 收款")*('Daily Sale entry '!$R$2:$R$1501="Cheque 支票")*('Daily Sale entry '!$V$2:$V$1501&lt;&gt;"")*('Daily Sale entry '!$V$2:$V$1501&lt;=$A242)*('Daily Sale entry '!$S$2:$S$1501-'Opening Balance'!$B$15*('Daily Sale entry '!$R$2:$R$1501="Cheque 支票")*('Daily Sale entry '!$S$2:$S$1501-TRUNC('Daily Sale entry '!$S$2:$S$1501))))-'Opening Balance'!$B$15*SUMPRODUCT(('Daily Sale entry '!$X$2:$X$1501&lt;=$A242)*('Daily Sale entry '!$Z$2:$Z$1501="Online collection 网上收款")*('Daily Sale entry '!$AA$2:$AA$1501&lt;&gt;"")*('Daily Sale entry '!$AC$2:$AC$1501-TRUNC('Daily Sale entry '!$AC$2:$AC$1501))),2))</f>
        <v/>
      </c>
      <c r="C242" s="8">
        <f>IF($A242="","",'Opening Balance'!$B$5+SUM('Daily Sale entry '!$I$2:I242)-SUMIFS('Daily Sale entry '!$AB$2:$AB$1501,'Daily Sale entry '!$X$2:$X$1501,"&lt;="&amp;$A242,'Daily Sale entry '!$Z$2:$Z$1501,"Cheque deposit 支票存入")-COUNTIFS('Daily Sale entry '!$Q$2:$Q$1501,"Collection 收款",'Daily Sale entry '!$R$2:$R$1501,"Cheque 支票",'Daily Sale entry '!$V$2:$V$1501,"&lt;="&amp;$A242))</f>
        <v/>
      </c>
      <c r="D242" s="6">
        <f>IF($A242="","",ROUND('Opening Balance'!$B$6+SUM('Daily Sale entry '!$J$2:J242)-SUMIFS('Daily Sale entry '!$AC$2:$AC$1501,'Daily Sale entry '!$X$2:$X$1501,"&lt;="&amp;$A242,'Daily Sale entry '!$Z$2:$Z$1501,"Cheque deposit 支票存入")-SUMPRODUCT(('Daily Sale entry '!$Q$2:$Q$1501="Collection 收款")*('Daily Sale entry '!$R$2:$R$1501="Cheque 支票")*('Daily Sale entry '!$V$2:$V$1501&lt;&gt;"")*('Daily Sale entry '!$V$2:$V$1501&lt;=$A242)*('Daily Sale entry '!$S$2:$S$1501-'Opening Balance'!$B$15*('Daily Sale entry '!$R$2:$R$1501="Cheque 支票")*('Daily Sale entry '!$S$2:$S$1501-TRUNC('Daily Sale entry '!$S$2:$S$1501)))),2))</f>
        <v/>
      </c>
      <c r="E242" s="6">
        <f>IF($A242="","",'Opening Balance'!$B$7)</f>
        <v/>
      </c>
      <c r="F242" s="6">
        <f>IF($A242="","",ROUND(SUMIFS('Daily Sale entry '!$L$2:$L$367,'Daily Sale entry '!$A$2:$A$367,"&gt;="&amp;DATE(YEAR($A242),MONTH($A242),1),'Daily Sale entry '!$A$2:$A$367,"&lt;="&amp;$A242)+SUMIFS('Daily Sale entry '!$M$2:$M$367,'Daily Sale entry '!$A$2:$A$367,"&gt;="&amp;DATE(YEAR($A242),MONTH($A242),1),'Daily Sale entry '!$A$2:$A$367,"&lt;="&amp;$A242)+IF(AND(YEAR($A242)=YEAR('Daily Sale entry '!$A$2),MONTH($A242)=MONTH('Daily Sale entry '!$A$2)),'Opening Balance'!$B$8,0),2))</f>
        <v/>
      </c>
      <c r="G242" s="6">
        <f>IF($A242="","",MOD(ROUND('Opening Balance'!$B$9+SUMIFS('Sales &amp; Collection'!$L$1:$L$3363,'Sales &amp; Collection'!$K$1:$K$3363,"cash collection*"),2),'Opening Balance'!$B$11))</f>
        <v/>
      </c>
      <c r="H242" s="6">
        <f>IF($A242="","",ROUND('Opening Balance'!$B$10+'Opening Balance'!$B$9+SUMIFS('Sales &amp; Collection'!$L$1:$L$3363,'Sales &amp; Collection'!$K$1:$K$3363,"cash collection*")-G242-SUMIFS('Daily Sale entry '!$AC$2:$AC$1501,'Daily Sale entry '!$X$2:$X$1501,"&lt;="&amp;$A242,'Daily Sale entry '!$Z$2:$Z$1501,"Cash deposit 现金存入"),2))</f>
        <v/>
      </c>
      <c r="I242" s="6">
        <f>IF($A242="","",ROUND(B242+D242+E242+F242+G242+H242,2))</f>
        <v/>
      </c>
      <c r="J242" s="6">
        <f>IF($A242="","",'AR &amp; AP'!K243)</f>
        <v/>
      </c>
      <c r="K242" s="6">
        <f>IF($A242="","",ROUND(I242-J242-SUMIFS('Daily Sale entry '!$AC$2:$AC$1501,'Daily Sale entry '!$X$2:$X$1501,"&lt;="&amp;$A242,'Daily Sale entry '!$Z$2:$Z$1501,"Other deposit 其他存入")+SUMIFS('Daily Sale entry '!$AD$2:$AD$1501,'Daily Sale entry '!$X$2:$X$1501,"&lt;="&amp;$A242)+('Opening Balance'!$B$8+SUM('Daily Sale entry '!$L$2:M242)-F242),2))</f>
        <v/>
      </c>
      <c r="L242">
        <f>IF($A242="","",IF(ABS('Sales &amp; Collection'!$B$3372)&gt;'Opening Balance'!$B$16,"ALERT 警报: Different "&amp;TEXT('Sales &amp; Collection'!$B$3372,"#,##0.00")&amp;" 差额过大",""))</f>
        <v/>
      </c>
    </row>
    <row r="243">
      <c r="A243" s="5">
        <f>IF('Daily Sale entry '!A243="","",'Daily Sale entry '!A243)</f>
        <v/>
      </c>
      <c r="B243" s="6">
        <f>IF($A243="","",ROUND('Opening Balance'!$B$4+SUM('Daily Sale entry '!$K$2:K243)+SUMIFS('Daily Sale entry '!$AC$2:$AC$1501,'Daily Sale entry '!$X$2:$X$1501,"&lt;="&amp;$A243)-SUMIFS('Daily Sale entry '!$AD$2:$AD$1501,'Daily Sale entry '!$X$2:$X$1501,"&lt;="&amp;$A243)+SUMPRODUCT(('Daily Sale entry '!$Q$2:$Q$1501="Collection 收款")*('Daily Sale entry '!$R$2:$R$1501="Cheque 支票")*('Daily Sale entry '!$V$2:$V$1501&lt;&gt;"")*('Daily Sale entry '!$V$2:$V$1501&lt;=$A243)*('Daily Sale entry '!$S$2:$S$1501-'Opening Balance'!$B$15*('Daily Sale entry '!$R$2:$R$1501="Cheque 支票")*('Daily Sale entry '!$S$2:$S$1501-TRUNC('Daily Sale entry '!$S$2:$S$1501))))-'Opening Balance'!$B$15*SUMPRODUCT(('Daily Sale entry '!$X$2:$X$1501&lt;=$A243)*('Daily Sale entry '!$Z$2:$Z$1501="Online collection 网上收款")*('Daily Sale entry '!$AA$2:$AA$1501&lt;&gt;"")*('Daily Sale entry '!$AC$2:$AC$1501-TRUNC('Daily Sale entry '!$AC$2:$AC$1501))),2))</f>
        <v/>
      </c>
      <c r="C243" s="8">
        <f>IF($A243="","",'Opening Balance'!$B$5+SUM('Daily Sale entry '!$I$2:I243)-SUMIFS('Daily Sale entry '!$AB$2:$AB$1501,'Daily Sale entry '!$X$2:$X$1501,"&lt;="&amp;$A243,'Daily Sale entry '!$Z$2:$Z$1501,"Cheque deposit 支票存入")-COUNTIFS('Daily Sale entry '!$Q$2:$Q$1501,"Collection 收款",'Daily Sale entry '!$R$2:$R$1501,"Cheque 支票",'Daily Sale entry '!$V$2:$V$1501,"&lt;="&amp;$A243))</f>
        <v/>
      </c>
      <c r="D243" s="6">
        <f>IF($A243="","",ROUND('Opening Balance'!$B$6+SUM('Daily Sale entry '!$J$2:J243)-SUMIFS('Daily Sale entry '!$AC$2:$AC$1501,'Daily Sale entry '!$X$2:$X$1501,"&lt;="&amp;$A243,'Daily Sale entry '!$Z$2:$Z$1501,"Cheque deposit 支票存入")-SUMPRODUCT(('Daily Sale entry '!$Q$2:$Q$1501="Collection 收款")*('Daily Sale entry '!$R$2:$R$1501="Cheque 支票")*('Daily Sale entry '!$V$2:$V$1501&lt;&gt;"")*('Daily Sale entry '!$V$2:$V$1501&lt;=$A243)*('Daily Sale entry '!$S$2:$S$1501-'Opening Balance'!$B$15*('Daily Sale entry '!$R$2:$R$1501="Cheque 支票")*('Daily Sale entry '!$S$2:$S$1501-TRUNC('Daily Sale entry '!$S$2:$S$1501)))),2))</f>
        <v/>
      </c>
      <c r="E243" s="6">
        <f>IF($A243="","",'Opening Balance'!$B$7)</f>
        <v/>
      </c>
      <c r="F243" s="6">
        <f>IF($A243="","",ROUND(SUMIFS('Daily Sale entry '!$L$2:$L$367,'Daily Sale entry '!$A$2:$A$367,"&gt;="&amp;DATE(YEAR($A243),MONTH($A243),1),'Daily Sale entry '!$A$2:$A$367,"&lt;="&amp;$A243)+SUMIFS('Daily Sale entry '!$M$2:$M$367,'Daily Sale entry '!$A$2:$A$367,"&gt;="&amp;DATE(YEAR($A243),MONTH($A243),1),'Daily Sale entry '!$A$2:$A$367,"&lt;="&amp;$A243)+IF(AND(YEAR($A243)=YEAR('Daily Sale entry '!$A$2),MONTH($A243)=MONTH('Daily Sale entry '!$A$2)),'Opening Balance'!$B$8,0),2))</f>
        <v/>
      </c>
      <c r="G243" s="6">
        <f>IF($A243="","",MOD(ROUND('Opening Balance'!$B$9+SUMIFS('Sales &amp; Collection'!$L$1:$L$3377,'Sales &amp; Collection'!$K$1:$K$3377,"cash collection*"),2),'Opening Balance'!$B$11))</f>
        <v/>
      </c>
      <c r="H243" s="6">
        <f>IF($A243="","",ROUND('Opening Balance'!$B$10+'Opening Balance'!$B$9+SUMIFS('Sales &amp; Collection'!$L$1:$L$3377,'Sales &amp; Collection'!$K$1:$K$3377,"cash collection*")-G243-SUMIFS('Daily Sale entry '!$AC$2:$AC$1501,'Daily Sale entry '!$X$2:$X$1501,"&lt;="&amp;$A243,'Daily Sale entry '!$Z$2:$Z$1501,"Cash deposit 现金存入"),2))</f>
        <v/>
      </c>
      <c r="I243" s="6">
        <f>IF($A243="","",ROUND(B243+D243+E243+F243+G243+H243,2))</f>
        <v/>
      </c>
      <c r="J243" s="6">
        <f>IF($A243="","",'AR &amp; AP'!K244)</f>
        <v/>
      </c>
      <c r="K243" s="6">
        <f>IF($A243="","",ROUND(I243-J243-SUMIFS('Daily Sale entry '!$AC$2:$AC$1501,'Daily Sale entry '!$X$2:$X$1501,"&lt;="&amp;$A243,'Daily Sale entry '!$Z$2:$Z$1501,"Other deposit 其他存入")+SUMIFS('Daily Sale entry '!$AD$2:$AD$1501,'Daily Sale entry '!$X$2:$X$1501,"&lt;="&amp;$A243)+('Opening Balance'!$B$8+SUM('Daily Sale entry '!$L$2:M243)-F243),2))</f>
        <v/>
      </c>
      <c r="L243">
        <f>IF($A243="","",IF(ABS('Sales &amp; Collection'!$B$3386)&gt;'Opening Balance'!$B$16,"ALERT 警报: Different "&amp;TEXT('Sales &amp; Collection'!$B$3386,"#,##0.00")&amp;" 差额过大",""))</f>
        <v/>
      </c>
    </row>
    <row r="244">
      <c r="A244" s="5">
        <f>IF('Daily Sale entry '!A244="","",'Daily Sale entry '!A244)</f>
        <v/>
      </c>
      <c r="B244" s="6">
        <f>IF($A244="","",ROUND('Opening Balance'!$B$4+SUM('Daily Sale entry '!$K$2:K244)+SUMIFS('Daily Sale entry '!$AC$2:$AC$1501,'Daily Sale entry '!$X$2:$X$1501,"&lt;="&amp;$A244)-SUMIFS('Daily Sale entry '!$AD$2:$AD$1501,'Daily Sale entry '!$X$2:$X$1501,"&lt;="&amp;$A244)+SUMPRODUCT(('Daily Sale entry '!$Q$2:$Q$1501="Collection 收款")*('Daily Sale entry '!$R$2:$R$1501="Cheque 支票")*('Daily Sale entry '!$V$2:$V$1501&lt;&gt;"")*('Daily Sale entry '!$V$2:$V$1501&lt;=$A244)*('Daily Sale entry '!$S$2:$S$1501-'Opening Balance'!$B$15*('Daily Sale entry '!$R$2:$R$1501="Cheque 支票")*('Daily Sale entry '!$S$2:$S$1501-TRUNC('Daily Sale entry '!$S$2:$S$1501))))-'Opening Balance'!$B$15*SUMPRODUCT(('Daily Sale entry '!$X$2:$X$1501&lt;=$A244)*('Daily Sale entry '!$Z$2:$Z$1501="Online collection 网上收款")*('Daily Sale entry '!$AA$2:$AA$1501&lt;&gt;"")*('Daily Sale entry '!$AC$2:$AC$1501-TRUNC('Daily Sale entry '!$AC$2:$AC$1501))),2))</f>
        <v/>
      </c>
      <c r="C244" s="8">
        <f>IF($A244="","",'Opening Balance'!$B$5+SUM('Daily Sale entry '!$I$2:I244)-SUMIFS('Daily Sale entry '!$AB$2:$AB$1501,'Daily Sale entry '!$X$2:$X$1501,"&lt;="&amp;$A244,'Daily Sale entry '!$Z$2:$Z$1501,"Cheque deposit 支票存入")-COUNTIFS('Daily Sale entry '!$Q$2:$Q$1501,"Collection 收款",'Daily Sale entry '!$R$2:$R$1501,"Cheque 支票",'Daily Sale entry '!$V$2:$V$1501,"&lt;="&amp;$A244))</f>
        <v/>
      </c>
      <c r="D244" s="6">
        <f>IF($A244="","",ROUND('Opening Balance'!$B$6+SUM('Daily Sale entry '!$J$2:J244)-SUMIFS('Daily Sale entry '!$AC$2:$AC$1501,'Daily Sale entry '!$X$2:$X$1501,"&lt;="&amp;$A244,'Daily Sale entry '!$Z$2:$Z$1501,"Cheque deposit 支票存入")-SUMPRODUCT(('Daily Sale entry '!$Q$2:$Q$1501="Collection 收款")*('Daily Sale entry '!$R$2:$R$1501="Cheque 支票")*('Daily Sale entry '!$V$2:$V$1501&lt;&gt;"")*('Daily Sale entry '!$V$2:$V$1501&lt;=$A244)*('Daily Sale entry '!$S$2:$S$1501-'Opening Balance'!$B$15*('Daily Sale entry '!$R$2:$R$1501="Cheque 支票")*('Daily Sale entry '!$S$2:$S$1501-TRUNC('Daily Sale entry '!$S$2:$S$1501)))),2))</f>
        <v/>
      </c>
      <c r="E244" s="6">
        <f>IF($A244="","",'Opening Balance'!$B$7)</f>
        <v/>
      </c>
      <c r="F244" s="6">
        <f>IF($A244="","",ROUND(SUMIFS('Daily Sale entry '!$L$2:$L$367,'Daily Sale entry '!$A$2:$A$367,"&gt;="&amp;DATE(YEAR($A244),MONTH($A244),1),'Daily Sale entry '!$A$2:$A$367,"&lt;="&amp;$A244)+SUMIFS('Daily Sale entry '!$M$2:$M$367,'Daily Sale entry '!$A$2:$A$367,"&gt;="&amp;DATE(YEAR($A244),MONTH($A244),1),'Daily Sale entry '!$A$2:$A$367,"&lt;="&amp;$A244)+IF(AND(YEAR($A244)=YEAR('Daily Sale entry '!$A$2),MONTH($A244)=MONTH('Daily Sale entry '!$A$2)),'Opening Balance'!$B$8,0),2))</f>
        <v/>
      </c>
      <c r="G244" s="6">
        <f>IF($A244="","",MOD(ROUND('Opening Balance'!$B$9+SUMIFS('Sales &amp; Collection'!$L$1:$L$3391,'Sales &amp; Collection'!$K$1:$K$3391,"cash collection*"),2),'Opening Balance'!$B$11))</f>
        <v/>
      </c>
      <c r="H244" s="6">
        <f>IF($A244="","",ROUND('Opening Balance'!$B$10+'Opening Balance'!$B$9+SUMIFS('Sales &amp; Collection'!$L$1:$L$3391,'Sales &amp; Collection'!$K$1:$K$3391,"cash collection*")-G244-SUMIFS('Daily Sale entry '!$AC$2:$AC$1501,'Daily Sale entry '!$X$2:$X$1501,"&lt;="&amp;$A244,'Daily Sale entry '!$Z$2:$Z$1501,"Cash deposit 现金存入"),2))</f>
        <v/>
      </c>
      <c r="I244" s="6">
        <f>IF($A244="","",ROUND(B244+D244+E244+F244+G244+H244,2))</f>
        <v/>
      </c>
      <c r="J244" s="6">
        <f>IF($A244="","",'AR &amp; AP'!K245)</f>
        <v/>
      </c>
      <c r="K244" s="6">
        <f>IF($A244="","",ROUND(I244-J244-SUMIFS('Daily Sale entry '!$AC$2:$AC$1501,'Daily Sale entry '!$X$2:$X$1501,"&lt;="&amp;$A244,'Daily Sale entry '!$Z$2:$Z$1501,"Other deposit 其他存入")+SUMIFS('Daily Sale entry '!$AD$2:$AD$1501,'Daily Sale entry '!$X$2:$X$1501,"&lt;="&amp;$A244)+('Opening Balance'!$B$8+SUM('Daily Sale entry '!$L$2:M244)-F244),2))</f>
        <v/>
      </c>
      <c r="L244">
        <f>IF($A244="","",IF(ABS('Sales &amp; Collection'!$B$3400)&gt;'Opening Balance'!$B$16,"ALERT 警报: Different "&amp;TEXT('Sales &amp; Collection'!$B$3400,"#,##0.00")&amp;" 差额过大",""))</f>
        <v/>
      </c>
    </row>
    <row r="245">
      <c r="A245" s="5">
        <f>IF('Daily Sale entry '!A245="","",'Daily Sale entry '!A245)</f>
        <v/>
      </c>
      <c r="B245" s="6">
        <f>IF($A245="","",ROUND('Opening Balance'!$B$4+SUM('Daily Sale entry '!$K$2:K245)+SUMIFS('Daily Sale entry '!$AC$2:$AC$1501,'Daily Sale entry '!$X$2:$X$1501,"&lt;="&amp;$A245)-SUMIFS('Daily Sale entry '!$AD$2:$AD$1501,'Daily Sale entry '!$X$2:$X$1501,"&lt;="&amp;$A245)+SUMPRODUCT(('Daily Sale entry '!$Q$2:$Q$1501="Collection 收款")*('Daily Sale entry '!$R$2:$R$1501="Cheque 支票")*('Daily Sale entry '!$V$2:$V$1501&lt;&gt;"")*('Daily Sale entry '!$V$2:$V$1501&lt;=$A245)*('Daily Sale entry '!$S$2:$S$1501-'Opening Balance'!$B$15*('Daily Sale entry '!$R$2:$R$1501="Cheque 支票")*('Daily Sale entry '!$S$2:$S$1501-TRUNC('Daily Sale entry '!$S$2:$S$1501))))-'Opening Balance'!$B$15*SUMPRODUCT(('Daily Sale entry '!$X$2:$X$1501&lt;=$A245)*('Daily Sale entry '!$Z$2:$Z$1501="Online collection 网上收款")*('Daily Sale entry '!$AA$2:$AA$1501&lt;&gt;"")*('Daily Sale entry '!$AC$2:$AC$1501-TRUNC('Daily Sale entry '!$AC$2:$AC$1501))),2))</f>
        <v/>
      </c>
      <c r="C245" s="8">
        <f>IF($A245="","",'Opening Balance'!$B$5+SUM('Daily Sale entry '!$I$2:I245)-SUMIFS('Daily Sale entry '!$AB$2:$AB$1501,'Daily Sale entry '!$X$2:$X$1501,"&lt;="&amp;$A245,'Daily Sale entry '!$Z$2:$Z$1501,"Cheque deposit 支票存入")-COUNTIFS('Daily Sale entry '!$Q$2:$Q$1501,"Collection 收款",'Daily Sale entry '!$R$2:$R$1501,"Cheque 支票",'Daily Sale entry '!$V$2:$V$1501,"&lt;="&amp;$A245))</f>
        <v/>
      </c>
      <c r="D245" s="6">
        <f>IF($A245="","",ROUND('Opening Balance'!$B$6+SUM('Daily Sale entry '!$J$2:J245)-SUMIFS('Daily Sale entry '!$AC$2:$AC$1501,'Daily Sale entry '!$X$2:$X$1501,"&lt;="&amp;$A245,'Daily Sale entry '!$Z$2:$Z$1501,"Cheque deposit 支票存入")-SUMPRODUCT(('Daily Sale entry '!$Q$2:$Q$1501="Collection 收款")*('Daily Sale entry '!$R$2:$R$1501="Cheque 支票")*('Daily Sale entry '!$V$2:$V$1501&lt;&gt;"")*('Daily Sale entry '!$V$2:$V$1501&lt;=$A245)*('Daily Sale entry '!$S$2:$S$1501-'Opening Balance'!$B$15*('Daily Sale entry '!$R$2:$R$1501="Cheque 支票")*('Daily Sale entry '!$S$2:$S$1501-TRUNC('Daily Sale entry '!$S$2:$S$1501)))),2))</f>
        <v/>
      </c>
      <c r="E245" s="6">
        <f>IF($A245="","",'Opening Balance'!$B$7)</f>
        <v/>
      </c>
      <c r="F245" s="6">
        <f>IF($A245="","",ROUND(SUMIFS('Daily Sale entry '!$L$2:$L$367,'Daily Sale entry '!$A$2:$A$367,"&gt;="&amp;DATE(YEAR($A245),MONTH($A245),1),'Daily Sale entry '!$A$2:$A$367,"&lt;="&amp;$A245)+SUMIFS('Daily Sale entry '!$M$2:$M$367,'Daily Sale entry '!$A$2:$A$367,"&gt;="&amp;DATE(YEAR($A245),MONTH($A245),1),'Daily Sale entry '!$A$2:$A$367,"&lt;="&amp;$A245)+IF(AND(YEAR($A245)=YEAR('Daily Sale entry '!$A$2),MONTH($A245)=MONTH('Daily Sale entry '!$A$2)),'Opening Balance'!$B$8,0),2))</f>
        <v/>
      </c>
      <c r="G245" s="6">
        <f>IF($A245="","",MOD(ROUND('Opening Balance'!$B$9+SUMIFS('Sales &amp; Collection'!$L$1:$L$3405,'Sales &amp; Collection'!$K$1:$K$3405,"cash collection*"),2),'Opening Balance'!$B$11))</f>
        <v/>
      </c>
      <c r="H245" s="6">
        <f>IF($A245="","",ROUND('Opening Balance'!$B$10+'Opening Balance'!$B$9+SUMIFS('Sales &amp; Collection'!$L$1:$L$3405,'Sales &amp; Collection'!$K$1:$K$3405,"cash collection*")-G245-SUMIFS('Daily Sale entry '!$AC$2:$AC$1501,'Daily Sale entry '!$X$2:$X$1501,"&lt;="&amp;$A245,'Daily Sale entry '!$Z$2:$Z$1501,"Cash deposit 现金存入"),2))</f>
        <v/>
      </c>
      <c r="I245" s="6">
        <f>IF($A245="","",ROUND(B245+D245+E245+F245+G245+H245,2))</f>
        <v/>
      </c>
      <c r="J245" s="6">
        <f>IF($A245="","",'AR &amp; AP'!K246)</f>
        <v/>
      </c>
      <c r="K245" s="6">
        <f>IF($A245="","",ROUND(I245-J245-SUMIFS('Daily Sale entry '!$AC$2:$AC$1501,'Daily Sale entry '!$X$2:$X$1501,"&lt;="&amp;$A245,'Daily Sale entry '!$Z$2:$Z$1501,"Other deposit 其他存入")+SUMIFS('Daily Sale entry '!$AD$2:$AD$1501,'Daily Sale entry '!$X$2:$X$1501,"&lt;="&amp;$A245)+('Opening Balance'!$B$8+SUM('Daily Sale entry '!$L$2:M245)-F245),2))</f>
        <v/>
      </c>
      <c r="L245">
        <f>IF($A245="","",IF(ABS('Sales &amp; Collection'!$B$3414)&gt;'Opening Balance'!$B$16,"ALERT 警报: Different "&amp;TEXT('Sales &amp; Collection'!$B$3414,"#,##0.00")&amp;" 差额过大",""))</f>
        <v/>
      </c>
    </row>
    <row r="246">
      <c r="A246" s="5">
        <f>IF('Daily Sale entry '!A246="","",'Daily Sale entry '!A246)</f>
        <v/>
      </c>
      <c r="B246" s="6">
        <f>IF($A246="","",ROUND('Opening Balance'!$B$4+SUM('Daily Sale entry '!$K$2:K246)+SUMIFS('Daily Sale entry '!$AC$2:$AC$1501,'Daily Sale entry '!$X$2:$X$1501,"&lt;="&amp;$A246)-SUMIFS('Daily Sale entry '!$AD$2:$AD$1501,'Daily Sale entry '!$X$2:$X$1501,"&lt;="&amp;$A246)+SUMPRODUCT(('Daily Sale entry '!$Q$2:$Q$1501="Collection 收款")*('Daily Sale entry '!$R$2:$R$1501="Cheque 支票")*('Daily Sale entry '!$V$2:$V$1501&lt;&gt;"")*('Daily Sale entry '!$V$2:$V$1501&lt;=$A246)*('Daily Sale entry '!$S$2:$S$1501-'Opening Balance'!$B$15*('Daily Sale entry '!$R$2:$R$1501="Cheque 支票")*('Daily Sale entry '!$S$2:$S$1501-TRUNC('Daily Sale entry '!$S$2:$S$1501))))-'Opening Balance'!$B$15*SUMPRODUCT(('Daily Sale entry '!$X$2:$X$1501&lt;=$A246)*('Daily Sale entry '!$Z$2:$Z$1501="Online collection 网上收款")*('Daily Sale entry '!$AA$2:$AA$1501&lt;&gt;"")*('Daily Sale entry '!$AC$2:$AC$1501-TRUNC('Daily Sale entry '!$AC$2:$AC$1501))),2))</f>
        <v/>
      </c>
      <c r="C246" s="8">
        <f>IF($A246="","",'Opening Balance'!$B$5+SUM('Daily Sale entry '!$I$2:I246)-SUMIFS('Daily Sale entry '!$AB$2:$AB$1501,'Daily Sale entry '!$X$2:$X$1501,"&lt;="&amp;$A246,'Daily Sale entry '!$Z$2:$Z$1501,"Cheque deposit 支票存入")-COUNTIFS('Daily Sale entry '!$Q$2:$Q$1501,"Collection 收款",'Daily Sale entry '!$R$2:$R$1501,"Cheque 支票",'Daily Sale entry '!$V$2:$V$1501,"&lt;="&amp;$A246))</f>
        <v/>
      </c>
      <c r="D246" s="6">
        <f>IF($A246="","",ROUND('Opening Balance'!$B$6+SUM('Daily Sale entry '!$J$2:J246)-SUMIFS('Daily Sale entry '!$AC$2:$AC$1501,'Daily Sale entry '!$X$2:$X$1501,"&lt;="&amp;$A246,'Daily Sale entry '!$Z$2:$Z$1501,"Cheque deposit 支票存入")-SUMPRODUCT(('Daily Sale entry '!$Q$2:$Q$1501="Collection 收款")*('Daily Sale entry '!$R$2:$R$1501="Cheque 支票")*('Daily Sale entry '!$V$2:$V$1501&lt;&gt;"")*('Daily Sale entry '!$V$2:$V$1501&lt;=$A246)*('Daily Sale entry '!$S$2:$S$1501-'Opening Balance'!$B$15*('Daily Sale entry '!$R$2:$R$1501="Cheque 支票")*('Daily Sale entry '!$S$2:$S$1501-TRUNC('Daily Sale entry '!$S$2:$S$1501)))),2))</f>
        <v/>
      </c>
      <c r="E246" s="6">
        <f>IF($A246="","",'Opening Balance'!$B$7)</f>
        <v/>
      </c>
      <c r="F246" s="6">
        <f>IF($A246="","",ROUND(SUMIFS('Daily Sale entry '!$L$2:$L$367,'Daily Sale entry '!$A$2:$A$367,"&gt;="&amp;DATE(YEAR($A246),MONTH($A246),1),'Daily Sale entry '!$A$2:$A$367,"&lt;="&amp;$A246)+SUMIFS('Daily Sale entry '!$M$2:$M$367,'Daily Sale entry '!$A$2:$A$367,"&gt;="&amp;DATE(YEAR($A246),MONTH($A246),1),'Daily Sale entry '!$A$2:$A$367,"&lt;="&amp;$A246)+IF(AND(YEAR($A246)=YEAR('Daily Sale entry '!$A$2),MONTH($A246)=MONTH('Daily Sale entry '!$A$2)),'Opening Balance'!$B$8,0),2))</f>
        <v/>
      </c>
      <c r="G246" s="6">
        <f>IF($A246="","",MOD(ROUND('Opening Balance'!$B$9+SUMIFS('Sales &amp; Collection'!$L$1:$L$3419,'Sales &amp; Collection'!$K$1:$K$3419,"cash collection*"),2),'Opening Balance'!$B$11))</f>
        <v/>
      </c>
      <c r="H246" s="6">
        <f>IF($A246="","",ROUND('Opening Balance'!$B$10+'Opening Balance'!$B$9+SUMIFS('Sales &amp; Collection'!$L$1:$L$3419,'Sales &amp; Collection'!$K$1:$K$3419,"cash collection*")-G246-SUMIFS('Daily Sale entry '!$AC$2:$AC$1501,'Daily Sale entry '!$X$2:$X$1501,"&lt;="&amp;$A246,'Daily Sale entry '!$Z$2:$Z$1501,"Cash deposit 现金存入"),2))</f>
        <v/>
      </c>
      <c r="I246" s="6">
        <f>IF($A246="","",ROUND(B246+D246+E246+F246+G246+H246,2))</f>
        <v/>
      </c>
      <c r="J246" s="6">
        <f>IF($A246="","",'AR &amp; AP'!K247)</f>
        <v/>
      </c>
      <c r="K246" s="6">
        <f>IF($A246="","",ROUND(I246-J246-SUMIFS('Daily Sale entry '!$AC$2:$AC$1501,'Daily Sale entry '!$X$2:$X$1501,"&lt;="&amp;$A246,'Daily Sale entry '!$Z$2:$Z$1501,"Other deposit 其他存入")+SUMIFS('Daily Sale entry '!$AD$2:$AD$1501,'Daily Sale entry '!$X$2:$X$1501,"&lt;="&amp;$A246)+('Opening Balance'!$B$8+SUM('Daily Sale entry '!$L$2:M246)-F246),2))</f>
        <v/>
      </c>
      <c r="L246">
        <f>IF($A246="","",IF(ABS('Sales &amp; Collection'!$B$3428)&gt;'Opening Balance'!$B$16,"ALERT 警报: Different "&amp;TEXT('Sales &amp; Collection'!$B$3428,"#,##0.00")&amp;" 差额过大",""))</f>
        <v/>
      </c>
    </row>
    <row r="247">
      <c r="A247" s="5">
        <f>IF('Daily Sale entry '!A247="","",'Daily Sale entry '!A247)</f>
        <v/>
      </c>
      <c r="B247" s="6">
        <f>IF($A247="","",ROUND('Opening Balance'!$B$4+SUM('Daily Sale entry '!$K$2:K247)+SUMIFS('Daily Sale entry '!$AC$2:$AC$1501,'Daily Sale entry '!$X$2:$X$1501,"&lt;="&amp;$A247)-SUMIFS('Daily Sale entry '!$AD$2:$AD$1501,'Daily Sale entry '!$X$2:$X$1501,"&lt;="&amp;$A247)+SUMPRODUCT(('Daily Sale entry '!$Q$2:$Q$1501="Collection 收款")*('Daily Sale entry '!$R$2:$R$1501="Cheque 支票")*('Daily Sale entry '!$V$2:$V$1501&lt;&gt;"")*('Daily Sale entry '!$V$2:$V$1501&lt;=$A247)*('Daily Sale entry '!$S$2:$S$1501-'Opening Balance'!$B$15*('Daily Sale entry '!$R$2:$R$1501="Cheque 支票")*('Daily Sale entry '!$S$2:$S$1501-TRUNC('Daily Sale entry '!$S$2:$S$1501))))-'Opening Balance'!$B$15*SUMPRODUCT(('Daily Sale entry '!$X$2:$X$1501&lt;=$A247)*('Daily Sale entry '!$Z$2:$Z$1501="Online collection 网上收款")*('Daily Sale entry '!$AA$2:$AA$1501&lt;&gt;"")*('Daily Sale entry '!$AC$2:$AC$1501-TRUNC('Daily Sale entry '!$AC$2:$AC$1501))),2))</f>
        <v/>
      </c>
      <c r="C247" s="8">
        <f>IF($A247="","",'Opening Balance'!$B$5+SUM('Daily Sale entry '!$I$2:I247)-SUMIFS('Daily Sale entry '!$AB$2:$AB$1501,'Daily Sale entry '!$X$2:$X$1501,"&lt;="&amp;$A247,'Daily Sale entry '!$Z$2:$Z$1501,"Cheque deposit 支票存入")-COUNTIFS('Daily Sale entry '!$Q$2:$Q$1501,"Collection 收款",'Daily Sale entry '!$R$2:$R$1501,"Cheque 支票",'Daily Sale entry '!$V$2:$V$1501,"&lt;="&amp;$A247))</f>
        <v/>
      </c>
      <c r="D247" s="6">
        <f>IF($A247="","",ROUND('Opening Balance'!$B$6+SUM('Daily Sale entry '!$J$2:J247)-SUMIFS('Daily Sale entry '!$AC$2:$AC$1501,'Daily Sale entry '!$X$2:$X$1501,"&lt;="&amp;$A247,'Daily Sale entry '!$Z$2:$Z$1501,"Cheque deposit 支票存入")-SUMPRODUCT(('Daily Sale entry '!$Q$2:$Q$1501="Collection 收款")*('Daily Sale entry '!$R$2:$R$1501="Cheque 支票")*('Daily Sale entry '!$V$2:$V$1501&lt;&gt;"")*('Daily Sale entry '!$V$2:$V$1501&lt;=$A247)*('Daily Sale entry '!$S$2:$S$1501-'Opening Balance'!$B$15*('Daily Sale entry '!$R$2:$R$1501="Cheque 支票")*('Daily Sale entry '!$S$2:$S$1501-TRUNC('Daily Sale entry '!$S$2:$S$1501)))),2))</f>
        <v/>
      </c>
      <c r="E247" s="6">
        <f>IF($A247="","",'Opening Balance'!$B$7)</f>
        <v/>
      </c>
      <c r="F247" s="6">
        <f>IF($A247="","",ROUND(SUMIFS('Daily Sale entry '!$L$2:$L$367,'Daily Sale entry '!$A$2:$A$367,"&gt;="&amp;DATE(YEAR($A247),MONTH($A247),1),'Daily Sale entry '!$A$2:$A$367,"&lt;="&amp;$A247)+SUMIFS('Daily Sale entry '!$M$2:$M$367,'Daily Sale entry '!$A$2:$A$367,"&gt;="&amp;DATE(YEAR($A247),MONTH($A247),1),'Daily Sale entry '!$A$2:$A$367,"&lt;="&amp;$A247)+IF(AND(YEAR($A247)=YEAR('Daily Sale entry '!$A$2),MONTH($A247)=MONTH('Daily Sale entry '!$A$2)),'Opening Balance'!$B$8,0),2))</f>
        <v/>
      </c>
      <c r="G247" s="6">
        <f>IF($A247="","",MOD(ROUND('Opening Balance'!$B$9+SUMIFS('Sales &amp; Collection'!$L$1:$L$3433,'Sales &amp; Collection'!$K$1:$K$3433,"cash collection*"),2),'Opening Balance'!$B$11))</f>
        <v/>
      </c>
      <c r="H247" s="6">
        <f>IF($A247="","",ROUND('Opening Balance'!$B$10+'Opening Balance'!$B$9+SUMIFS('Sales &amp; Collection'!$L$1:$L$3433,'Sales &amp; Collection'!$K$1:$K$3433,"cash collection*")-G247-SUMIFS('Daily Sale entry '!$AC$2:$AC$1501,'Daily Sale entry '!$X$2:$X$1501,"&lt;="&amp;$A247,'Daily Sale entry '!$Z$2:$Z$1501,"Cash deposit 现金存入"),2))</f>
        <v/>
      </c>
      <c r="I247" s="6">
        <f>IF($A247="","",ROUND(B247+D247+E247+F247+G247+H247,2))</f>
        <v/>
      </c>
      <c r="J247" s="6">
        <f>IF($A247="","",'AR &amp; AP'!K248)</f>
        <v/>
      </c>
      <c r="K247" s="6">
        <f>IF($A247="","",ROUND(I247-J247-SUMIFS('Daily Sale entry '!$AC$2:$AC$1501,'Daily Sale entry '!$X$2:$X$1501,"&lt;="&amp;$A247,'Daily Sale entry '!$Z$2:$Z$1501,"Other deposit 其他存入")+SUMIFS('Daily Sale entry '!$AD$2:$AD$1501,'Daily Sale entry '!$X$2:$X$1501,"&lt;="&amp;$A247)+('Opening Balance'!$B$8+SUM('Daily Sale entry '!$L$2:M247)-F247),2))</f>
        <v/>
      </c>
      <c r="L247">
        <f>IF($A247="","",IF(ABS('Sales &amp; Collection'!$B$3442)&gt;'Opening Balance'!$B$16,"ALERT 警报: Different "&amp;TEXT('Sales &amp; Collection'!$B$3442,"#,##0.00")&amp;" 差额过大",""))</f>
        <v/>
      </c>
    </row>
    <row r="248">
      <c r="A248" s="5">
        <f>IF('Daily Sale entry '!A248="","",'Daily Sale entry '!A248)</f>
        <v/>
      </c>
      <c r="B248" s="6">
        <f>IF($A248="","",ROUND('Opening Balance'!$B$4+SUM('Daily Sale entry '!$K$2:K248)+SUMIFS('Daily Sale entry '!$AC$2:$AC$1501,'Daily Sale entry '!$X$2:$X$1501,"&lt;="&amp;$A248)-SUMIFS('Daily Sale entry '!$AD$2:$AD$1501,'Daily Sale entry '!$X$2:$X$1501,"&lt;="&amp;$A248)+SUMPRODUCT(('Daily Sale entry '!$Q$2:$Q$1501="Collection 收款")*('Daily Sale entry '!$R$2:$R$1501="Cheque 支票")*('Daily Sale entry '!$V$2:$V$1501&lt;&gt;"")*('Daily Sale entry '!$V$2:$V$1501&lt;=$A248)*('Daily Sale entry '!$S$2:$S$1501-'Opening Balance'!$B$15*('Daily Sale entry '!$R$2:$R$1501="Cheque 支票")*('Daily Sale entry '!$S$2:$S$1501-TRUNC('Daily Sale entry '!$S$2:$S$1501))))-'Opening Balance'!$B$15*SUMPRODUCT(('Daily Sale entry '!$X$2:$X$1501&lt;=$A248)*('Daily Sale entry '!$Z$2:$Z$1501="Online collection 网上收款")*('Daily Sale entry '!$AA$2:$AA$1501&lt;&gt;"")*('Daily Sale entry '!$AC$2:$AC$1501-TRUNC('Daily Sale entry '!$AC$2:$AC$1501))),2))</f>
        <v/>
      </c>
      <c r="C248" s="8">
        <f>IF($A248="","",'Opening Balance'!$B$5+SUM('Daily Sale entry '!$I$2:I248)-SUMIFS('Daily Sale entry '!$AB$2:$AB$1501,'Daily Sale entry '!$X$2:$X$1501,"&lt;="&amp;$A248,'Daily Sale entry '!$Z$2:$Z$1501,"Cheque deposit 支票存入")-COUNTIFS('Daily Sale entry '!$Q$2:$Q$1501,"Collection 收款",'Daily Sale entry '!$R$2:$R$1501,"Cheque 支票",'Daily Sale entry '!$V$2:$V$1501,"&lt;="&amp;$A248))</f>
        <v/>
      </c>
      <c r="D248" s="6">
        <f>IF($A248="","",ROUND('Opening Balance'!$B$6+SUM('Daily Sale entry '!$J$2:J248)-SUMIFS('Daily Sale entry '!$AC$2:$AC$1501,'Daily Sale entry '!$X$2:$X$1501,"&lt;="&amp;$A248,'Daily Sale entry '!$Z$2:$Z$1501,"Cheque deposit 支票存入")-SUMPRODUCT(('Daily Sale entry '!$Q$2:$Q$1501="Collection 收款")*('Daily Sale entry '!$R$2:$R$1501="Cheque 支票")*('Daily Sale entry '!$V$2:$V$1501&lt;&gt;"")*('Daily Sale entry '!$V$2:$V$1501&lt;=$A248)*('Daily Sale entry '!$S$2:$S$1501-'Opening Balance'!$B$15*('Daily Sale entry '!$R$2:$R$1501="Cheque 支票")*('Daily Sale entry '!$S$2:$S$1501-TRUNC('Daily Sale entry '!$S$2:$S$1501)))),2))</f>
        <v/>
      </c>
      <c r="E248" s="6">
        <f>IF($A248="","",'Opening Balance'!$B$7)</f>
        <v/>
      </c>
      <c r="F248" s="6">
        <f>IF($A248="","",ROUND(SUMIFS('Daily Sale entry '!$L$2:$L$367,'Daily Sale entry '!$A$2:$A$367,"&gt;="&amp;DATE(YEAR($A248),MONTH($A248),1),'Daily Sale entry '!$A$2:$A$367,"&lt;="&amp;$A248)+SUMIFS('Daily Sale entry '!$M$2:$M$367,'Daily Sale entry '!$A$2:$A$367,"&gt;="&amp;DATE(YEAR($A248),MONTH($A248),1),'Daily Sale entry '!$A$2:$A$367,"&lt;="&amp;$A248)+IF(AND(YEAR($A248)=YEAR('Daily Sale entry '!$A$2),MONTH($A248)=MONTH('Daily Sale entry '!$A$2)),'Opening Balance'!$B$8,0),2))</f>
        <v/>
      </c>
      <c r="G248" s="6">
        <f>IF($A248="","",MOD(ROUND('Opening Balance'!$B$9+SUMIFS('Sales &amp; Collection'!$L$1:$L$3447,'Sales &amp; Collection'!$K$1:$K$3447,"cash collection*"),2),'Opening Balance'!$B$11))</f>
        <v/>
      </c>
      <c r="H248" s="6">
        <f>IF($A248="","",ROUND('Opening Balance'!$B$10+'Opening Balance'!$B$9+SUMIFS('Sales &amp; Collection'!$L$1:$L$3447,'Sales &amp; Collection'!$K$1:$K$3447,"cash collection*")-G248-SUMIFS('Daily Sale entry '!$AC$2:$AC$1501,'Daily Sale entry '!$X$2:$X$1501,"&lt;="&amp;$A248,'Daily Sale entry '!$Z$2:$Z$1501,"Cash deposit 现金存入"),2))</f>
        <v/>
      </c>
      <c r="I248" s="6">
        <f>IF($A248="","",ROUND(B248+D248+E248+F248+G248+H248,2))</f>
        <v/>
      </c>
      <c r="J248" s="6">
        <f>IF($A248="","",'AR &amp; AP'!K249)</f>
        <v/>
      </c>
      <c r="K248" s="6">
        <f>IF($A248="","",ROUND(I248-J248-SUMIFS('Daily Sale entry '!$AC$2:$AC$1501,'Daily Sale entry '!$X$2:$X$1501,"&lt;="&amp;$A248,'Daily Sale entry '!$Z$2:$Z$1501,"Other deposit 其他存入")+SUMIFS('Daily Sale entry '!$AD$2:$AD$1501,'Daily Sale entry '!$X$2:$X$1501,"&lt;="&amp;$A248)+('Opening Balance'!$B$8+SUM('Daily Sale entry '!$L$2:M248)-F248),2))</f>
        <v/>
      </c>
      <c r="L248">
        <f>IF($A248="","",IF(ABS('Sales &amp; Collection'!$B$3456)&gt;'Opening Balance'!$B$16,"ALERT 警报: Different "&amp;TEXT('Sales &amp; Collection'!$B$3456,"#,##0.00")&amp;" 差额过大",""))</f>
        <v/>
      </c>
    </row>
    <row r="249">
      <c r="A249" s="5">
        <f>IF('Daily Sale entry '!A249="","",'Daily Sale entry '!A249)</f>
        <v/>
      </c>
      <c r="B249" s="6">
        <f>IF($A249="","",ROUND('Opening Balance'!$B$4+SUM('Daily Sale entry '!$K$2:K249)+SUMIFS('Daily Sale entry '!$AC$2:$AC$1501,'Daily Sale entry '!$X$2:$X$1501,"&lt;="&amp;$A249)-SUMIFS('Daily Sale entry '!$AD$2:$AD$1501,'Daily Sale entry '!$X$2:$X$1501,"&lt;="&amp;$A249)+SUMPRODUCT(('Daily Sale entry '!$Q$2:$Q$1501="Collection 收款")*('Daily Sale entry '!$R$2:$R$1501="Cheque 支票")*('Daily Sale entry '!$V$2:$V$1501&lt;&gt;"")*('Daily Sale entry '!$V$2:$V$1501&lt;=$A249)*('Daily Sale entry '!$S$2:$S$1501-'Opening Balance'!$B$15*('Daily Sale entry '!$R$2:$R$1501="Cheque 支票")*('Daily Sale entry '!$S$2:$S$1501-TRUNC('Daily Sale entry '!$S$2:$S$1501))))-'Opening Balance'!$B$15*SUMPRODUCT(('Daily Sale entry '!$X$2:$X$1501&lt;=$A249)*('Daily Sale entry '!$Z$2:$Z$1501="Online collection 网上收款")*('Daily Sale entry '!$AA$2:$AA$1501&lt;&gt;"")*('Daily Sale entry '!$AC$2:$AC$1501-TRUNC('Daily Sale entry '!$AC$2:$AC$1501))),2))</f>
        <v/>
      </c>
      <c r="C249" s="8">
        <f>IF($A249="","",'Opening Balance'!$B$5+SUM('Daily Sale entry '!$I$2:I249)-SUMIFS('Daily Sale entry '!$AB$2:$AB$1501,'Daily Sale entry '!$X$2:$X$1501,"&lt;="&amp;$A249,'Daily Sale entry '!$Z$2:$Z$1501,"Cheque deposit 支票存入")-COUNTIFS('Daily Sale entry '!$Q$2:$Q$1501,"Collection 收款",'Daily Sale entry '!$R$2:$R$1501,"Cheque 支票",'Daily Sale entry '!$V$2:$V$1501,"&lt;="&amp;$A249))</f>
        <v/>
      </c>
      <c r="D249" s="6">
        <f>IF($A249="","",ROUND('Opening Balance'!$B$6+SUM('Daily Sale entry '!$J$2:J249)-SUMIFS('Daily Sale entry '!$AC$2:$AC$1501,'Daily Sale entry '!$X$2:$X$1501,"&lt;="&amp;$A249,'Daily Sale entry '!$Z$2:$Z$1501,"Cheque deposit 支票存入")-SUMPRODUCT(('Daily Sale entry '!$Q$2:$Q$1501="Collection 收款")*('Daily Sale entry '!$R$2:$R$1501="Cheque 支票")*('Daily Sale entry '!$V$2:$V$1501&lt;&gt;"")*('Daily Sale entry '!$V$2:$V$1501&lt;=$A249)*('Daily Sale entry '!$S$2:$S$1501-'Opening Balance'!$B$15*('Daily Sale entry '!$R$2:$R$1501="Cheque 支票")*('Daily Sale entry '!$S$2:$S$1501-TRUNC('Daily Sale entry '!$S$2:$S$1501)))),2))</f>
        <v/>
      </c>
      <c r="E249" s="6">
        <f>IF($A249="","",'Opening Balance'!$B$7)</f>
        <v/>
      </c>
      <c r="F249" s="6">
        <f>IF($A249="","",ROUND(SUMIFS('Daily Sale entry '!$L$2:$L$367,'Daily Sale entry '!$A$2:$A$367,"&gt;="&amp;DATE(YEAR($A249),MONTH($A249),1),'Daily Sale entry '!$A$2:$A$367,"&lt;="&amp;$A249)+SUMIFS('Daily Sale entry '!$M$2:$M$367,'Daily Sale entry '!$A$2:$A$367,"&gt;="&amp;DATE(YEAR($A249),MONTH($A249),1),'Daily Sale entry '!$A$2:$A$367,"&lt;="&amp;$A249)+IF(AND(YEAR($A249)=YEAR('Daily Sale entry '!$A$2),MONTH($A249)=MONTH('Daily Sale entry '!$A$2)),'Opening Balance'!$B$8,0),2))</f>
        <v/>
      </c>
      <c r="G249" s="6">
        <f>IF($A249="","",MOD(ROUND('Opening Balance'!$B$9+SUMIFS('Sales &amp; Collection'!$L$1:$L$3461,'Sales &amp; Collection'!$K$1:$K$3461,"cash collection*"),2),'Opening Balance'!$B$11))</f>
        <v/>
      </c>
      <c r="H249" s="6">
        <f>IF($A249="","",ROUND('Opening Balance'!$B$10+'Opening Balance'!$B$9+SUMIFS('Sales &amp; Collection'!$L$1:$L$3461,'Sales &amp; Collection'!$K$1:$K$3461,"cash collection*")-G249-SUMIFS('Daily Sale entry '!$AC$2:$AC$1501,'Daily Sale entry '!$X$2:$X$1501,"&lt;="&amp;$A249,'Daily Sale entry '!$Z$2:$Z$1501,"Cash deposit 现金存入"),2))</f>
        <v/>
      </c>
      <c r="I249" s="6">
        <f>IF($A249="","",ROUND(B249+D249+E249+F249+G249+H249,2))</f>
        <v/>
      </c>
      <c r="J249" s="6">
        <f>IF($A249="","",'AR &amp; AP'!K250)</f>
        <v/>
      </c>
      <c r="K249" s="6">
        <f>IF($A249="","",ROUND(I249-J249-SUMIFS('Daily Sale entry '!$AC$2:$AC$1501,'Daily Sale entry '!$X$2:$X$1501,"&lt;="&amp;$A249,'Daily Sale entry '!$Z$2:$Z$1501,"Other deposit 其他存入")+SUMIFS('Daily Sale entry '!$AD$2:$AD$1501,'Daily Sale entry '!$X$2:$X$1501,"&lt;="&amp;$A249)+('Opening Balance'!$B$8+SUM('Daily Sale entry '!$L$2:M249)-F249),2))</f>
        <v/>
      </c>
      <c r="L249">
        <f>IF($A249="","",IF(ABS('Sales &amp; Collection'!$B$3470)&gt;'Opening Balance'!$B$16,"ALERT 警报: Different "&amp;TEXT('Sales &amp; Collection'!$B$3470,"#,##0.00")&amp;" 差额过大",""))</f>
        <v/>
      </c>
    </row>
    <row r="250">
      <c r="A250" s="5">
        <f>IF('Daily Sale entry '!A250="","",'Daily Sale entry '!A250)</f>
        <v/>
      </c>
      <c r="B250" s="6">
        <f>IF($A250="","",ROUND('Opening Balance'!$B$4+SUM('Daily Sale entry '!$K$2:K250)+SUMIFS('Daily Sale entry '!$AC$2:$AC$1501,'Daily Sale entry '!$X$2:$X$1501,"&lt;="&amp;$A250)-SUMIFS('Daily Sale entry '!$AD$2:$AD$1501,'Daily Sale entry '!$X$2:$X$1501,"&lt;="&amp;$A250)+SUMPRODUCT(('Daily Sale entry '!$Q$2:$Q$1501="Collection 收款")*('Daily Sale entry '!$R$2:$R$1501="Cheque 支票")*('Daily Sale entry '!$V$2:$V$1501&lt;&gt;"")*('Daily Sale entry '!$V$2:$V$1501&lt;=$A250)*('Daily Sale entry '!$S$2:$S$1501-'Opening Balance'!$B$15*('Daily Sale entry '!$R$2:$R$1501="Cheque 支票")*('Daily Sale entry '!$S$2:$S$1501-TRUNC('Daily Sale entry '!$S$2:$S$1501))))-'Opening Balance'!$B$15*SUMPRODUCT(('Daily Sale entry '!$X$2:$X$1501&lt;=$A250)*('Daily Sale entry '!$Z$2:$Z$1501="Online collection 网上收款")*('Daily Sale entry '!$AA$2:$AA$1501&lt;&gt;"")*('Daily Sale entry '!$AC$2:$AC$1501-TRUNC('Daily Sale entry '!$AC$2:$AC$1501))),2))</f>
        <v/>
      </c>
      <c r="C250" s="8">
        <f>IF($A250="","",'Opening Balance'!$B$5+SUM('Daily Sale entry '!$I$2:I250)-SUMIFS('Daily Sale entry '!$AB$2:$AB$1501,'Daily Sale entry '!$X$2:$X$1501,"&lt;="&amp;$A250,'Daily Sale entry '!$Z$2:$Z$1501,"Cheque deposit 支票存入")-COUNTIFS('Daily Sale entry '!$Q$2:$Q$1501,"Collection 收款",'Daily Sale entry '!$R$2:$R$1501,"Cheque 支票",'Daily Sale entry '!$V$2:$V$1501,"&lt;="&amp;$A250))</f>
        <v/>
      </c>
      <c r="D250" s="6">
        <f>IF($A250="","",ROUND('Opening Balance'!$B$6+SUM('Daily Sale entry '!$J$2:J250)-SUMIFS('Daily Sale entry '!$AC$2:$AC$1501,'Daily Sale entry '!$X$2:$X$1501,"&lt;="&amp;$A250,'Daily Sale entry '!$Z$2:$Z$1501,"Cheque deposit 支票存入")-SUMPRODUCT(('Daily Sale entry '!$Q$2:$Q$1501="Collection 收款")*('Daily Sale entry '!$R$2:$R$1501="Cheque 支票")*('Daily Sale entry '!$V$2:$V$1501&lt;&gt;"")*('Daily Sale entry '!$V$2:$V$1501&lt;=$A250)*('Daily Sale entry '!$S$2:$S$1501-'Opening Balance'!$B$15*('Daily Sale entry '!$R$2:$R$1501="Cheque 支票")*('Daily Sale entry '!$S$2:$S$1501-TRUNC('Daily Sale entry '!$S$2:$S$1501)))),2))</f>
        <v/>
      </c>
      <c r="E250" s="6">
        <f>IF($A250="","",'Opening Balance'!$B$7)</f>
        <v/>
      </c>
      <c r="F250" s="6">
        <f>IF($A250="","",ROUND(SUMIFS('Daily Sale entry '!$L$2:$L$367,'Daily Sale entry '!$A$2:$A$367,"&gt;="&amp;DATE(YEAR($A250),MONTH($A250),1),'Daily Sale entry '!$A$2:$A$367,"&lt;="&amp;$A250)+SUMIFS('Daily Sale entry '!$M$2:$M$367,'Daily Sale entry '!$A$2:$A$367,"&gt;="&amp;DATE(YEAR($A250),MONTH($A250),1),'Daily Sale entry '!$A$2:$A$367,"&lt;="&amp;$A250)+IF(AND(YEAR($A250)=YEAR('Daily Sale entry '!$A$2),MONTH($A250)=MONTH('Daily Sale entry '!$A$2)),'Opening Balance'!$B$8,0),2))</f>
        <v/>
      </c>
      <c r="G250" s="6">
        <f>IF($A250="","",MOD(ROUND('Opening Balance'!$B$9+SUMIFS('Sales &amp; Collection'!$L$1:$L$3475,'Sales &amp; Collection'!$K$1:$K$3475,"cash collection*"),2),'Opening Balance'!$B$11))</f>
        <v/>
      </c>
      <c r="H250" s="6">
        <f>IF($A250="","",ROUND('Opening Balance'!$B$10+'Opening Balance'!$B$9+SUMIFS('Sales &amp; Collection'!$L$1:$L$3475,'Sales &amp; Collection'!$K$1:$K$3475,"cash collection*")-G250-SUMIFS('Daily Sale entry '!$AC$2:$AC$1501,'Daily Sale entry '!$X$2:$X$1501,"&lt;="&amp;$A250,'Daily Sale entry '!$Z$2:$Z$1501,"Cash deposit 现金存入"),2))</f>
        <v/>
      </c>
      <c r="I250" s="6">
        <f>IF($A250="","",ROUND(B250+D250+E250+F250+G250+H250,2))</f>
        <v/>
      </c>
      <c r="J250" s="6">
        <f>IF($A250="","",'AR &amp; AP'!K251)</f>
        <v/>
      </c>
      <c r="K250" s="6">
        <f>IF($A250="","",ROUND(I250-J250-SUMIFS('Daily Sale entry '!$AC$2:$AC$1501,'Daily Sale entry '!$X$2:$X$1501,"&lt;="&amp;$A250,'Daily Sale entry '!$Z$2:$Z$1501,"Other deposit 其他存入")+SUMIFS('Daily Sale entry '!$AD$2:$AD$1501,'Daily Sale entry '!$X$2:$X$1501,"&lt;="&amp;$A250)+('Opening Balance'!$B$8+SUM('Daily Sale entry '!$L$2:M250)-F250),2))</f>
        <v/>
      </c>
      <c r="L250">
        <f>IF($A250="","",IF(ABS('Sales &amp; Collection'!$B$3484)&gt;'Opening Balance'!$B$16,"ALERT 警报: Different "&amp;TEXT('Sales &amp; Collection'!$B$3484,"#,##0.00")&amp;" 差额过大",""))</f>
        <v/>
      </c>
    </row>
    <row r="251">
      <c r="A251" s="5">
        <f>IF('Daily Sale entry '!A251="","",'Daily Sale entry '!A251)</f>
        <v/>
      </c>
      <c r="B251" s="6">
        <f>IF($A251="","",ROUND('Opening Balance'!$B$4+SUM('Daily Sale entry '!$K$2:K251)+SUMIFS('Daily Sale entry '!$AC$2:$AC$1501,'Daily Sale entry '!$X$2:$X$1501,"&lt;="&amp;$A251)-SUMIFS('Daily Sale entry '!$AD$2:$AD$1501,'Daily Sale entry '!$X$2:$X$1501,"&lt;="&amp;$A251)+SUMPRODUCT(('Daily Sale entry '!$Q$2:$Q$1501="Collection 收款")*('Daily Sale entry '!$R$2:$R$1501="Cheque 支票")*('Daily Sale entry '!$V$2:$V$1501&lt;&gt;"")*('Daily Sale entry '!$V$2:$V$1501&lt;=$A251)*('Daily Sale entry '!$S$2:$S$1501-'Opening Balance'!$B$15*('Daily Sale entry '!$R$2:$R$1501="Cheque 支票")*('Daily Sale entry '!$S$2:$S$1501-TRUNC('Daily Sale entry '!$S$2:$S$1501))))-'Opening Balance'!$B$15*SUMPRODUCT(('Daily Sale entry '!$X$2:$X$1501&lt;=$A251)*('Daily Sale entry '!$Z$2:$Z$1501="Online collection 网上收款")*('Daily Sale entry '!$AA$2:$AA$1501&lt;&gt;"")*('Daily Sale entry '!$AC$2:$AC$1501-TRUNC('Daily Sale entry '!$AC$2:$AC$1501))),2))</f>
        <v/>
      </c>
      <c r="C251" s="8">
        <f>IF($A251="","",'Opening Balance'!$B$5+SUM('Daily Sale entry '!$I$2:I251)-SUMIFS('Daily Sale entry '!$AB$2:$AB$1501,'Daily Sale entry '!$X$2:$X$1501,"&lt;="&amp;$A251,'Daily Sale entry '!$Z$2:$Z$1501,"Cheque deposit 支票存入")-COUNTIFS('Daily Sale entry '!$Q$2:$Q$1501,"Collection 收款",'Daily Sale entry '!$R$2:$R$1501,"Cheque 支票",'Daily Sale entry '!$V$2:$V$1501,"&lt;="&amp;$A251))</f>
        <v/>
      </c>
      <c r="D251" s="6">
        <f>IF($A251="","",ROUND('Opening Balance'!$B$6+SUM('Daily Sale entry '!$J$2:J251)-SUMIFS('Daily Sale entry '!$AC$2:$AC$1501,'Daily Sale entry '!$X$2:$X$1501,"&lt;="&amp;$A251,'Daily Sale entry '!$Z$2:$Z$1501,"Cheque deposit 支票存入")-SUMPRODUCT(('Daily Sale entry '!$Q$2:$Q$1501="Collection 收款")*('Daily Sale entry '!$R$2:$R$1501="Cheque 支票")*('Daily Sale entry '!$V$2:$V$1501&lt;&gt;"")*('Daily Sale entry '!$V$2:$V$1501&lt;=$A251)*('Daily Sale entry '!$S$2:$S$1501-'Opening Balance'!$B$15*('Daily Sale entry '!$R$2:$R$1501="Cheque 支票")*('Daily Sale entry '!$S$2:$S$1501-TRUNC('Daily Sale entry '!$S$2:$S$1501)))),2))</f>
        <v/>
      </c>
      <c r="E251" s="6">
        <f>IF($A251="","",'Opening Balance'!$B$7)</f>
        <v/>
      </c>
      <c r="F251" s="6">
        <f>IF($A251="","",ROUND(SUMIFS('Daily Sale entry '!$L$2:$L$367,'Daily Sale entry '!$A$2:$A$367,"&gt;="&amp;DATE(YEAR($A251),MONTH($A251),1),'Daily Sale entry '!$A$2:$A$367,"&lt;="&amp;$A251)+SUMIFS('Daily Sale entry '!$M$2:$M$367,'Daily Sale entry '!$A$2:$A$367,"&gt;="&amp;DATE(YEAR($A251),MONTH($A251),1),'Daily Sale entry '!$A$2:$A$367,"&lt;="&amp;$A251)+IF(AND(YEAR($A251)=YEAR('Daily Sale entry '!$A$2),MONTH($A251)=MONTH('Daily Sale entry '!$A$2)),'Opening Balance'!$B$8,0),2))</f>
        <v/>
      </c>
      <c r="G251" s="6">
        <f>IF($A251="","",MOD(ROUND('Opening Balance'!$B$9+SUMIFS('Sales &amp; Collection'!$L$1:$L$3489,'Sales &amp; Collection'!$K$1:$K$3489,"cash collection*"),2),'Opening Balance'!$B$11))</f>
        <v/>
      </c>
      <c r="H251" s="6">
        <f>IF($A251="","",ROUND('Opening Balance'!$B$10+'Opening Balance'!$B$9+SUMIFS('Sales &amp; Collection'!$L$1:$L$3489,'Sales &amp; Collection'!$K$1:$K$3489,"cash collection*")-G251-SUMIFS('Daily Sale entry '!$AC$2:$AC$1501,'Daily Sale entry '!$X$2:$X$1501,"&lt;="&amp;$A251,'Daily Sale entry '!$Z$2:$Z$1501,"Cash deposit 现金存入"),2))</f>
        <v/>
      </c>
      <c r="I251" s="6">
        <f>IF($A251="","",ROUND(B251+D251+E251+F251+G251+H251,2))</f>
        <v/>
      </c>
      <c r="J251" s="6">
        <f>IF($A251="","",'AR &amp; AP'!K252)</f>
        <v/>
      </c>
      <c r="K251" s="6">
        <f>IF($A251="","",ROUND(I251-J251-SUMIFS('Daily Sale entry '!$AC$2:$AC$1501,'Daily Sale entry '!$X$2:$X$1501,"&lt;="&amp;$A251,'Daily Sale entry '!$Z$2:$Z$1501,"Other deposit 其他存入")+SUMIFS('Daily Sale entry '!$AD$2:$AD$1501,'Daily Sale entry '!$X$2:$X$1501,"&lt;="&amp;$A251)+('Opening Balance'!$B$8+SUM('Daily Sale entry '!$L$2:M251)-F251),2))</f>
        <v/>
      </c>
      <c r="L251">
        <f>IF($A251="","",IF(ABS('Sales &amp; Collection'!$B$3498)&gt;'Opening Balance'!$B$16,"ALERT 警报: Different "&amp;TEXT('Sales &amp; Collection'!$B$3498,"#,##0.00")&amp;" 差额过大",""))</f>
        <v/>
      </c>
    </row>
    <row r="252">
      <c r="A252" s="5">
        <f>IF('Daily Sale entry '!A252="","",'Daily Sale entry '!A252)</f>
        <v/>
      </c>
      <c r="B252" s="6">
        <f>IF($A252="","",ROUND('Opening Balance'!$B$4+SUM('Daily Sale entry '!$K$2:K252)+SUMIFS('Daily Sale entry '!$AC$2:$AC$1501,'Daily Sale entry '!$X$2:$X$1501,"&lt;="&amp;$A252)-SUMIFS('Daily Sale entry '!$AD$2:$AD$1501,'Daily Sale entry '!$X$2:$X$1501,"&lt;="&amp;$A252)+SUMPRODUCT(('Daily Sale entry '!$Q$2:$Q$1501="Collection 收款")*('Daily Sale entry '!$R$2:$R$1501="Cheque 支票")*('Daily Sale entry '!$V$2:$V$1501&lt;&gt;"")*('Daily Sale entry '!$V$2:$V$1501&lt;=$A252)*('Daily Sale entry '!$S$2:$S$1501-'Opening Balance'!$B$15*('Daily Sale entry '!$R$2:$R$1501="Cheque 支票")*('Daily Sale entry '!$S$2:$S$1501-TRUNC('Daily Sale entry '!$S$2:$S$1501))))-'Opening Balance'!$B$15*SUMPRODUCT(('Daily Sale entry '!$X$2:$X$1501&lt;=$A252)*('Daily Sale entry '!$Z$2:$Z$1501="Online collection 网上收款")*('Daily Sale entry '!$AA$2:$AA$1501&lt;&gt;"")*('Daily Sale entry '!$AC$2:$AC$1501-TRUNC('Daily Sale entry '!$AC$2:$AC$1501))),2))</f>
        <v/>
      </c>
      <c r="C252" s="8">
        <f>IF($A252="","",'Opening Balance'!$B$5+SUM('Daily Sale entry '!$I$2:I252)-SUMIFS('Daily Sale entry '!$AB$2:$AB$1501,'Daily Sale entry '!$X$2:$X$1501,"&lt;="&amp;$A252,'Daily Sale entry '!$Z$2:$Z$1501,"Cheque deposit 支票存入")-COUNTIFS('Daily Sale entry '!$Q$2:$Q$1501,"Collection 收款",'Daily Sale entry '!$R$2:$R$1501,"Cheque 支票",'Daily Sale entry '!$V$2:$V$1501,"&lt;="&amp;$A252))</f>
        <v/>
      </c>
      <c r="D252" s="6">
        <f>IF($A252="","",ROUND('Opening Balance'!$B$6+SUM('Daily Sale entry '!$J$2:J252)-SUMIFS('Daily Sale entry '!$AC$2:$AC$1501,'Daily Sale entry '!$X$2:$X$1501,"&lt;="&amp;$A252,'Daily Sale entry '!$Z$2:$Z$1501,"Cheque deposit 支票存入")-SUMPRODUCT(('Daily Sale entry '!$Q$2:$Q$1501="Collection 收款")*('Daily Sale entry '!$R$2:$R$1501="Cheque 支票")*('Daily Sale entry '!$V$2:$V$1501&lt;&gt;"")*('Daily Sale entry '!$V$2:$V$1501&lt;=$A252)*('Daily Sale entry '!$S$2:$S$1501-'Opening Balance'!$B$15*('Daily Sale entry '!$R$2:$R$1501="Cheque 支票")*('Daily Sale entry '!$S$2:$S$1501-TRUNC('Daily Sale entry '!$S$2:$S$1501)))),2))</f>
        <v/>
      </c>
      <c r="E252" s="6">
        <f>IF($A252="","",'Opening Balance'!$B$7)</f>
        <v/>
      </c>
      <c r="F252" s="6">
        <f>IF($A252="","",ROUND(SUMIFS('Daily Sale entry '!$L$2:$L$367,'Daily Sale entry '!$A$2:$A$367,"&gt;="&amp;DATE(YEAR($A252),MONTH($A252),1),'Daily Sale entry '!$A$2:$A$367,"&lt;="&amp;$A252)+SUMIFS('Daily Sale entry '!$M$2:$M$367,'Daily Sale entry '!$A$2:$A$367,"&gt;="&amp;DATE(YEAR($A252),MONTH($A252),1),'Daily Sale entry '!$A$2:$A$367,"&lt;="&amp;$A252)+IF(AND(YEAR($A252)=YEAR('Daily Sale entry '!$A$2),MONTH($A252)=MONTH('Daily Sale entry '!$A$2)),'Opening Balance'!$B$8,0),2))</f>
        <v/>
      </c>
      <c r="G252" s="6">
        <f>IF($A252="","",MOD(ROUND('Opening Balance'!$B$9+SUMIFS('Sales &amp; Collection'!$L$1:$L$3503,'Sales &amp; Collection'!$K$1:$K$3503,"cash collection*"),2),'Opening Balance'!$B$11))</f>
        <v/>
      </c>
      <c r="H252" s="6">
        <f>IF($A252="","",ROUND('Opening Balance'!$B$10+'Opening Balance'!$B$9+SUMIFS('Sales &amp; Collection'!$L$1:$L$3503,'Sales &amp; Collection'!$K$1:$K$3503,"cash collection*")-G252-SUMIFS('Daily Sale entry '!$AC$2:$AC$1501,'Daily Sale entry '!$X$2:$X$1501,"&lt;="&amp;$A252,'Daily Sale entry '!$Z$2:$Z$1501,"Cash deposit 现金存入"),2))</f>
        <v/>
      </c>
      <c r="I252" s="6">
        <f>IF($A252="","",ROUND(B252+D252+E252+F252+G252+H252,2))</f>
        <v/>
      </c>
      <c r="J252" s="6">
        <f>IF($A252="","",'AR &amp; AP'!K253)</f>
        <v/>
      </c>
      <c r="K252" s="6">
        <f>IF($A252="","",ROUND(I252-J252-SUMIFS('Daily Sale entry '!$AC$2:$AC$1501,'Daily Sale entry '!$X$2:$X$1501,"&lt;="&amp;$A252,'Daily Sale entry '!$Z$2:$Z$1501,"Other deposit 其他存入")+SUMIFS('Daily Sale entry '!$AD$2:$AD$1501,'Daily Sale entry '!$X$2:$X$1501,"&lt;="&amp;$A252)+('Opening Balance'!$B$8+SUM('Daily Sale entry '!$L$2:M252)-F252),2))</f>
        <v/>
      </c>
      <c r="L252">
        <f>IF($A252="","",IF(ABS('Sales &amp; Collection'!$B$3512)&gt;'Opening Balance'!$B$16,"ALERT 警报: Different "&amp;TEXT('Sales &amp; Collection'!$B$3512,"#,##0.00")&amp;" 差额过大",""))</f>
        <v/>
      </c>
    </row>
    <row r="253">
      <c r="A253" s="5">
        <f>IF('Daily Sale entry '!A253="","",'Daily Sale entry '!A253)</f>
        <v/>
      </c>
      <c r="B253" s="6">
        <f>IF($A253="","",ROUND('Opening Balance'!$B$4+SUM('Daily Sale entry '!$K$2:K253)+SUMIFS('Daily Sale entry '!$AC$2:$AC$1501,'Daily Sale entry '!$X$2:$X$1501,"&lt;="&amp;$A253)-SUMIFS('Daily Sale entry '!$AD$2:$AD$1501,'Daily Sale entry '!$X$2:$X$1501,"&lt;="&amp;$A253)+SUMPRODUCT(('Daily Sale entry '!$Q$2:$Q$1501="Collection 收款")*('Daily Sale entry '!$R$2:$R$1501="Cheque 支票")*('Daily Sale entry '!$V$2:$V$1501&lt;&gt;"")*('Daily Sale entry '!$V$2:$V$1501&lt;=$A253)*('Daily Sale entry '!$S$2:$S$1501-'Opening Balance'!$B$15*('Daily Sale entry '!$R$2:$R$1501="Cheque 支票")*('Daily Sale entry '!$S$2:$S$1501-TRUNC('Daily Sale entry '!$S$2:$S$1501))))-'Opening Balance'!$B$15*SUMPRODUCT(('Daily Sale entry '!$X$2:$X$1501&lt;=$A253)*('Daily Sale entry '!$Z$2:$Z$1501="Online collection 网上收款")*('Daily Sale entry '!$AA$2:$AA$1501&lt;&gt;"")*('Daily Sale entry '!$AC$2:$AC$1501-TRUNC('Daily Sale entry '!$AC$2:$AC$1501))),2))</f>
        <v/>
      </c>
      <c r="C253" s="8">
        <f>IF($A253="","",'Opening Balance'!$B$5+SUM('Daily Sale entry '!$I$2:I253)-SUMIFS('Daily Sale entry '!$AB$2:$AB$1501,'Daily Sale entry '!$X$2:$X$1501,"&lt;="&amp;$A253,'Daily Sale entry '!$Z$2:$Z$1501,"Cheque deposit 支票存入")-COUNTIFS('Daily Sale entry '!$Q$2:$Q$1501,"Collection 收款",'Daily Sale entry '!$R$2:$R$1501,"Cheque 支票",'Daily Sale entry '!$V$2:$V$1501,"&lt;="&amp;$A253))</f>
        <v/>
      </c>
      <c r="D253" s="6">
        <f>IF($A253="","",ROUND('Opening Balance'!$B$6+SUM('Daily Sale entry '!$J$2:J253)-SUMIFS('Daily Sale entry '!$AC$2:$AC$1501,'Daily Sale entry '!$X$2:$X$1501,"&lt;="&amp;$A253,'Daily Sale entry '!$Z$2:$Z$1501,"Cheque deposit 支票存入")-SUMPRODUCT(('Daily Sale entry '!$Q$2:$Q$1501="Collection 收款")*('Daily Sale entry '!$R$2:$R$1501="Cheque 支票")*('Daily Sale entry '!$V$2:$V$1501&lt;&gt;"")*('Daily Sale entry '!$V$2:$V$1501&lt;=$A253)*('Daily Sale entry '!$S$2:$S$1501-'Opening Balance'!$B$15*('Daily Sale entry '!$R$2:$R$1501="Cheque 支票")*('Daily Sale entry '!$S$2:$S$1501-TRUNC('Daily Sale entry '!$S$2:$S$1501)))),2))</f>
        <v/>
      </c>
      <c r="E253" s="6">
        <f>IF($A253="","",'Opening Balance'!$B$7)</f>
        <v/>
      </c>
      <c r="F253" s="6">
        <f>IF($A253="","",ROUND(SUMIFS('Daily Sale entry '!$L$2:$L$367,'Daily Sale entry '!$A$2:$A$367,"&gt;="&amp;DATE(YEAR($A253),MONTH($A253),1),'Daily Sale entry '!$A$2:$A$367,"&lt;="&amp;$A253)+SUMIFS('Daily Sale entry '!$M$2:$M$367,'Daily Sale entry '!$A$2:$A$367,"&gt;="&amp;DATE(YEAR($A253),MONTH($A253),1),'Daily Sale entry '!$A$2:$A$367,"&lt;="&amp;$A253)+IF(AND(YEAR($A253)=YEAR('Daily Sale entry '!$A$2),MONTH($A253)=MONTH('Daily Sale entry '!$A$2)),'Opening Balance'!$B$8,0),2))</f>
        <v/>
      </c>
      <c r="G253" s="6">
        <f>IF($A253="","",MOD(ROUND('Opening Balance'!$B$9+SUMIFS('Sales &amp; Collection'!$L$1:$L$3517,'Sales &amp; Collection'!$K$1:$K$3517,"cash collection*"),2),'Opening Balance'!$B$11))</f>
        <v/>
      </c>
      <c r="H253" s="6">
        <f>IF($A253="","",ROUND('Opening Balance'!$B$10+'Opening Balance'!$B$9+SUMIFS('Sales &amp; Collection'!$L$1:$L$3517,'Sales &amp; Collection'!$K$1:$K$3517,"cash collection*")-G253-SUMIFS('Daily Sale entry '!$AC$2:$AC$1501,'Daily Sale entry '!$X$2:$X$1501,"&lt;="&amp;$A253,'Daily Sale entry '!$Z$2:$Z$1501,"Cash deposit 现金存入"),2))</f>
        <v/>
      </c>
      <c r="I253" s="6">
        <f>IF($A253="","",ROUND(B253+D253+E253+F253+G253+H253,2))</f>
        <v/>
      </c>
      <c r="J253" s="6">
        <f>IF($A253="","",'AR &amp; AP'!K254)</f>
        <v/>
      </c>
      <c r="K253" s="6">
        <f>IF($A253="","",ROUND(I253-J253-SUMIFS('Daily Sale entry '!$AC$2:$AC$1501,'Daily Sale entry '!$X$2:$X$1501,"&lt;="&amp;$A253,'Daily Sale entry '!$Z$2:$Z$1501,"Other deposit 其他存入")+SUMIFS('Daily Sale entry '!$AD$2:$AD$1501,'Daily Sale entry '!$X$2:$X$1501,"&lt;="&amp;$A253)+('Opening Balance'!$B$8+SUM('Daily Sale entry '!$L$2:M253)-F253),2))</f>
        <v/>
      </c>
      <c r="L253">
        <f>IF($A253="","",IF(ABS('Sales &amp; Collection'!$B$3526)&gt;'Opening Balance'!$B$16,"ALERT 警报: Different "&amp;TEXT('Sales &amp; Collection'!$B$3526,"#,##0.00")&amp;" 差额过大",""))</f>
        <v/>
      </c>
    </row>
    <row r="254">
      <c r="A254" s="5">
        <f>IF('Daily Sale entry '!A254="","",'Daily Sale entry '!A254)</f>
        <v/>
      </c>
      <c r="B254" s="6">
        <f>IF($A254="","",ROUND('Opening Balance'!$B$4+SUM('Daily Sale entry '!$K$2:K254)+SUMIFS('Daily Sale entry '!$AC$2:$AC$1501,'Daily Sale entry '!$X$2:$X$1501,"&lt;="&amp;$A254)-SUMIFS('Daily Sale entry '!$AD$2:$AD$1501,'Daily Sale entry '!$X$2:$X$1501,"&lt;="&amp;$A254)+SUMPRODUCT(('Daily Sale entry '!$Q$2:$Q$1501="Collection 收款")*('Daily Sale entry '!$R$2:$R$1501="Cheque 支票")*('Daily Sale entry '!$V$2:$V$1501&lt;&gt;"")*('Daily Sale entry '!$V$2:$V$1501&lt;=$A254)*('Daily Sale entry '!$S$2:$S$1501-'Opening Balance'!$B$15*('Daily Sale entry '!$R$2:$R$1501="Cheque 支票")*('Daily Sale entry '!$S$2:$S$1501-TRUNC('Daily Sale entry '!$S$2:$S$1501))))-'Opening Balance'!$B$15*SUMPRODUCT(('Daily Sale entry '!$X$2:$X$1501&lt;=$A254)*('Daily Sale entry '!$Z$2:$Z$1501="Online collection 网上收款")*('Daily Sale entry '!$AA$2:$AA$1501&lt;&gt;"")*('Daily Sale entry '!$AC$2:$AC$1501-TRUNC('Daily Sale entry '!$AC$2:$AC$1501))),2))</f>
        <v/>
      </c>
      <c r="C254" s="8">
        <f>IF($A254="","",'Opening Balance'!$B$5+SUM('Daily Sale entry '!$I$2:I254)-SUMIFS('Daily Sale entry '!$AB$2:$AB$1501,'Daily Sale entry '!$X$2:$X$1501,"&lt;="&amp;$A254,'Daily Sale entry '!$Z$2:$Z$1501,"Cheque deposit 支票存入")-COUNTIFS('Daily Sale entry '!$Q$2:$Q$1501,"Collection 收款",'Daily Sale entry '!$R$2:$R$1501,"Cheque 支票",'Daily Sale entry '!$V$2:$V$1501,"&lt;="&amp;$A254))</f>
        <v/>
      </c>
      <c r="D254" s="6">
        <f>IF($A254="","",ROUND('Opening Balance'!$B$6+SUM('Daily Sale entry '!$J$2:J254)-SUMIFS('Daily Sale entry '!$AC$2:$AC$1501,'Daily Sale entry '!$X$2:$X$1501,"&lt;="&amp;$A254,'Daily Sale entry '!$Z$2:$Z$1501,"Cheque deposit 支票存入")-SUMPRODUCT(('Daily Sale entry '!$Q$2:$Q$1501="Collection 收款")*('Daily Sale entry '!$R$2:$R$1501="Cheque 支票")*('Daily Sale entry '!$V$2:$V$1501&lt;&gt;"")*('Daily Sale entry '!$V$2:$V$1501&lt;=$A254)*('Daily Sale entry '!$S$2:$S$1501-'Opening Balance'!$B$15*('Daily Sale entry '!$R$2:$R$1501="Cheque 支票")*('Daily Sale entry '!$S$2:$S$1501-TRUNC('Daily Sale entry '!$S$2:$S$1501)))),2))</f>
        <v/>
      </c>
      <c r="E254" s="6">
        <f>IF($A254="","",'Opening Balance'!$B$7)</f>
        <v/>
      </c>
      <c r="F254" s="6">
        <f>IF($A254="","",ROUND(SUMIFS('Daily Sale entry '!$L$2:$L$367,'Daily Sale entry '!$A$2:$A$367,"&gt;="&amp;DATE(YEAR($A254),MONTH($A254),1),'Daily Sale entry '!$A$2:$A$367,"&lt;="&amp;$A254)+SUMIFS('Daily Sale entry '!$M$2:$M$367,'Daily Sale entry '!$A$2:$A$367,"&gt;="&amp;DATE(YEAR($A254),MONTH($A254),1),'Daily Sale entry '!$A$2:$A$367,"&lt;="&amp;$A254)+IF(AND(YEAR($A254)=YEAR('Daily Sale entry '!$A$2),MONTH($A254)=MONTH('Daily Sale entry '!$A$2)),'Opening Balance'!$B$8,0),2))</f>
        <v/>
      </c>
      <c r="G254" s="6">
        <f>IF($A254="","",MOD(ROUND('Opening Balance'!$B$9+SUMIFS('Sales &amp; Collection'!$L$1:$L$3531,'Sales &amp; Collection'!$K$1:$K$3531,"cash collection*"),2),'Opening Balance'!$B$11))</f>
        <v/>
      </c>
      <c r="H254" s="6">
        <f>IF($A254="","",ROUND('Opening Balance'!$B$10+'Opening Balance'!$B$9+SUMIFS('Sales &amp; Collection'!$L$1:$L$3531,'Sales &amp; Collection'!$K$1:$K$3531,"cash collection*")-G254-SUMIFS('Daily Sale entry '!$AC$2:$AC$1501,'Daily Sale entry '!$X$2:$X$1501,"&lt;="&amp;$A254,'Daily Sale entry '!$Z$2:$Z$1501,"Cash deposit 现金存入"),2))</f>
        <v/>
      </c>
      <c r="I254" s="6">
        <f>IF($A254="","",ROUND(B254+D254+E254+F254+G254+H254,2))</f>
        <v/>
      </c>
      <c r="J254" s="6">
        <f>IF($A254="","",'AR &amp; AP'!K255)</f>
        <v/>
      </c>
      <c r="K254" s="6">
        <f>IF($A254="","",ROUND(I254-J254-SUMIFS('Daily Sale entry '!$AC$2:$AC$1501,'Daily Sale entry '!$X$2:$X$1501,"&lt;="&amp;$A254,'Daily Sale entry '!$Z$2:$Z$1501,"Other deposit 其他存入")+SUMIFS('Daily Sale entry '!$AD$2:$AD$1501,'Daily Sale entry '!$X$2:$X$1501,"&lt;="&amp;$A254)+('Opening Balance'!$B$8+SUM('Daily Sale entry '!$L$2:M254)-F254),2))</f>
        <v/>
      </c>
      <c r="L254">
        <f>IF($A254="","",IF(ABS('Sales &amp; Collection'!$B$3540)&gt;'Opening Balance'!$B$16,"ALERT 警报: Different "&amp;TEXT('Sales &amp; Collection'!$B$3540,"#,##0.00")&amp;" 差额过大",""))</f>
        <v/>
      </c>
    </row>
    <row r="255">
      <c r="A255" s="5">
        <f>IF('Daily Sale entry '!A255="","",'Daily Sale entry '!A255)</f>
        <v/>
      </c>
      <c r="B255" s="6">
        <f>IF($A255="","",ROUND('Opening Balance'!$B$4+SUM('Daily Sale entry '!$K$2:K255)+SUMIFS('Daily Sale entry '!$AC$2:$AC$1501,'Daily Sale entry '!$X$2:$X$1501,"&lt;="&amp;$A255)-SUMIFS('Daily Sale entry '!$AD$2:$AD$1501,'Daily Sale entry '!$X$2:$X$1501,"&lt;="&amp;$A255)+SUMPRODUCT(('Daily Sale entry '!$Q$2:$Q$1501="Collection 收款")*('Daily Sale entry '!$R$2:$R$1501="Cheque 支票")*('Daily Sale entry '!$V$2:$V$1501&lt;&gt;"")*('Daily Sale entry '!$V$2:$V$1501&lt;=$A255)*('Daily Sale entry '!$S$2:$S$1501-'Opening Balance'!$B$15*('Daily Sale entry '!$R$2:$R$1501="Cheque 支票")*('Daily Sale entry '!$S$2:$S$1501-TRUNC('Daily Sale entry '!$S$2:$S$1501))))-'Opening Balance'!$B$15*SUMPRODUCT(('Daily Sale entry '!$X$2:$X$1501&lt;=$A255)*('Daily Sale entry '!$Z$2:$Z$1501="Online collection 网上收款")*('Daily Sale entry '!$AA$2:$AA$1501&lt;&gt;"")*('Daily Sale entry '!$AC$2:$AC$1501-TRUNC('Daily Sale entry '!$AC$2:$AC$1501))),2))</f>
        <v/>
      </c>
      <c r="C255" s="8">
        <f>IF($A255="","",'Opening Balance'!$B$5+SUM('Daily Sale entry '!$I$2:I255)-SUMIFS('Daily Sale entry '!$AB$2:$AB$1501,'Daily Sale entry '!$X$2:$X$1501,"&lt;="&amp;$A255,'Daily Sale entry '!$Z$2:$Z$1501,"Cheque deposit 支票存入")-COUNTIFS('Daily Sale entry '!$Q$2:$Q$1501,"Collection 收款",'Daily Sale entry '!$R$2:$R$1501,"Cheque 支票",'Daily Sale entry '!$V$2:$V$1501,"&lt;="&amp;$A255))</f>
        <v/>
      </c>
      <c r="D255" s="6">
        <f>IF($A255="","",ROUND('Opening Balance'!$B$6+SUM('Daily Sale entry '!$J$2:J255)-SUMIFS('Daily Sale entry '!$AC$2:$AC$1501,'Daily Sale entry '!$X$2:$X$1501,"&lt;="&amp;$A255,'Daily Sale entry '!$Z$2:$Z$1501,"Cheque deposit 支票存入")-SUMPRODUCT(('Daily Sale entry '!$Q$2:$Q$1501="Collection 收款")*('Daily Sale entry '!$R$2:$R$1501="Cheque 支票")*('Daily Sale entry '!$V$2:$V$1501&lt;&gt;"")*('Daily Sale entry '!$V$2:$V$1501&lt;=$A255)*('Daily Sale entry '!$S$2:$S$1501-'Opening Balance'!$B$15*('Daily Sale entry '!$R$2:$R$1501="Cheque 支票")*('Daily Sale entry '!$S$2:$S$1501-TRUNC('Daily Sale entry '!$S$2:$S$1501)))),2))</f>
        <v/>
      </c>
      <c r="E255" s="6">
        <f>IF($A255="","",'Opening Balance'!$B$7)</f>
        <v/>
      </c>
      <c r="F255" s="6">
        <f>IF($A255="","",ROUND(SUMIFS('Daily Sale entry '!$L$2:$L$367,'Daily Sale entry '!$A$2:$A$367,"&gt;="&amp;DATE(YEAR($A255),MONTH($A255),1),'Daily Sale entry '!$A$2:$A$367,"&lt;="&amp;$A255)+SUMIFS('Daily Sale entry '!$M$2:$M$367,'Daily Sale entry '!$A$2:$A$367,"&gt;="&amp;DATE(YEAR($A255),MONTH($A255),1),'Daily Sale entry '!$A$2:$A$367,"&lt;="&amp;$A255)+IF(AND(YEAR($A255)=YEAR('Daily Sale entry '!$A$2),MONTH($A255)=MONTH('Daily Sale entry '!$A$2)),'Opening Balance'!$B$8,0),2))</f>
        <v/>
      </c>
      <c r="G255" s="6">
        <f>IF($A255="","",MOD(ROUND('Opening Balance'!$B$9+SUMIFS('Sales &amp; Collection'!$L$1:$L$3545,'Sales &amp; Collection'!$K$1:$K$3545,"cash collection*"),2),'Opening Balance'!$B$11))</f>
        <v/>
      </c>
      <c r="H255" s="6">
        <f>IF($A255="","",ROUND('Opening Balance'!$B$10+'Opening Balance'!$B$9+SUMIFS('Sales &amp; Collection'!$L$1:$L$3545,'Sales &amp; Collection'!$K$1:$K$3545,"cash collection*")-G255-SUMIFS('Daily Sale entry '!$AC$2:$AC$1501,'Daily Sale entry '!$X$2:$X$1501,"&lt;="&amp;$A255,'Daily Sale entry '!$Z$2:$Z$1501,"Cash deposit 现金存入"),2))</f>
        <v/>
      </c>
      <c r="I255" s="6">
        <f>IF($A255="","",ROUND(B255+D255+E255+F255+G255+H255,2))</f>
        <v/>
      </c>
      <c r="J255" s="6">
        <f>IF($A255="","",'AR &amp; AP'!K256)</f>
        <v/>
      </c>
      <c r="K255" s="6">
        <f>IF($A255="","",ROUND(I255-J255-SUMIFS('Daily Sale entry '!$AC$2:$AC$1501,'Daily Sale entry '!$X$2:$X$1501,"&lt;="&amp;$A255,'Daily Sale entry '!$Z$2:$Z$1501,"Other deposit 其他存入")+SUMIFS('Daily Sale entry '!$AD$2:$AD$1501,'Daily Sale entry '!$X$2:$X$1501,"&lt;="&amp;$A255)+('Opening Balance'!$B$8+SUM('Daily Sale entry '!$L$2:M255)-F255),2))</f>
        <v/>
      </c>
      <c r="L255">
        <f>IF($A255="","",IF(ABS('Sales &amp; Collection'!$B$3554)&gt;'Opening Balance'!$B$16,"ALERT 警报: Different "&amp;TEXT('Sales &amp; Collection'!$B$3554,"#,##0.00")&amp;" 差额过大",""))</f>
        <v/>
      </c>
    </row>
    <row r="256">
      <c r="A256" s="5">
        <f>IF('Daily Sale entry '!A256="","",'Daily Sale entry '!A256)</f>
        <v/>
      </c>
      <c r="B256" s="6">
        <f>IF($A256="","",ROUND('Opening Balance'!$B$4+SUM('Daily Sale entry '!$K$2:K256)+SUMIFS('Daily Sale entry '!$AC$2:$AC$1501,'Daily Sale entry '!$X$2:$X$1501,"&lt;="&amp;$A256)-SUMIFS('Daily Sale entry '!$AD$2:$AD$1501,'Daily Sale entry '!$X$2:$X$1501,"&lt;="&amp;$A256)+SUMPRODUCT(('Daily Sale entry '!$Q$2:$Q$1501="Collection 收款")*('Daily Sale entry '!$R$2:$R$1501="Cheque 支票")*('Daily Sale entry '!$V$2:$V$1501&lt;&gt;"")*('Daily Sale entry '!$V$2:$V$1501&lt;=$A256)*('Daily Sale entry '!$S$2:$S$1501-'Opening Balance'!$B$15*('Daily Sale entry '!$R$2:$R$1501="Cheque 支票")*('Daily Sale entry '!$S$2:$S$1501-TRUNC('Daily Sale entry '!$S$2:$S$1501))))-'Opening Balance'!$B$15*SUMPRODUCT(('Daily Sale entry '!$X$2:$X$1501&lt;=$A256)*('Daily Sale entry '!$Z$2:$Z$1501="Online collection 网上收款")*('Daily Sale entry '!$AA$2:$AA$1501&lt;&gt;"")*('Daily Sale entry '!$AC$2:$AC$1501-TRUNC('Daily Sale entry '!$AC$2:$AC$1501))),2))</f>
        <v/>
      </c>
      <c r="C256" s="8">
        <f>IF($A256="","",'Opening Balance'!$B$5+SUM('Daily Sale entry '!$I$2:I256)-SUMIFS('Daily Sale entry '!$AB$2:$AB$1501,'Daily Sale entry '!$X$2:$X$1501,"&lt;="&amp;$A256,'Daily Sale entry '!$Z$2:$Z$1501,"Cheque deposit 支票存入")-COUNTIFS('Daily Sale entry '!$Q$2:$Q$1501,"Collection 收款",'Daily Sale entry '!$R$2:$R$1501,"Cheque 支票",'Daily Sale entry '!$V$2:$V$1501,"&lt;="&amp;$A256))</f>
        <v/>
      </c>
      <c r="D256" s="6">
        <f>IF($A256="","",ROUND('Opening Balance'!$B$6+SUM('Daily Sale entry '!$J$2:J256)-SUMIFS('Daily Sale entry '!$AC$2:$AC$1501,'Daily Sale entry '!$X$2:$X$1501,"&lt;="&amp;$A256,'Daily Sale entry '!$Z$2:$Z$1501,"Cheque deposit 支票存入")-SUMPRODUCT(('Daily Sale entry '!$Q$2:$Q$1501="Collection 收款")*('Daily Sale entry '!$R$2:$R$1501="Cheque 支票")*('Daily Sale entry '!$V$2:$V$1501&lt;&gt;"")*('Daily Sale entry '!$V$2:$V$1501&lt;=$A256)*('Daily Sale entry '!$S$2:$S$1501-'Opening Balance'!$B$15*('Daily Sale entry '!$R$2:$R$1501="Cheque 支票")*('Daily Sale entry '!$S$2:$S$1501-TRUNC('Daily Sale entry '!$S$2:$S$1501)))),2))</f>
        <v/>
      </c>
      <c r="E256" s="6">
        <f>IF($A256="","",'Opening Balance'!$B$7)</f>
        <v/>
      </c>
      <c r="F256" s="6">
        <f>IF($A256="","",ROUND(SUMIFS('Daily Sale entry '!$L$2:$L$367,'Daily Sale entry '!$A$2:$A$367,"&gt;="&amp;DATE(YEAR($A256),MONTH($A256),1),'Daily Sale entry '!$A$2:$A$367,"&lt;="&amp;$A256)+SUMIFS('Daily Sale entry '!$M$2:$M$367,'Daily Sale entry '!$A$2:$A$367,"&gt;="&amp;DATE(YEAR($A256),MONTH($A256),1),'Daily Sale entry '!$A$2:$A$367,"&lt;="&amp;$A256)+IF(AND(YEAR($A256)=YEAR('Daily Sale entry '!$A$2),MONTH($A256)=MONTH('Daily Sale entry '!$A$2)),'Opening Balance'!$B$8,0),2))</f>
        <v/>
      </c>
      <c r="G256" s="6">
        <f>IF($A256="","",MOD(ROUND('Opening Balance'!$B$9+SUMIFS('Sales &amp; Collection'!$L$1:$L$3559,'Sales &amp; Collection'!$K$1:$K$3559,"cash collection*"),2),'Opening Balance'!$B$11))</f>
        <v/>
      </c>
      <c r="H256" s="6">
        <f>IF($A256="","",ROUND('Opening Balance'!$B$10+'Opening Balance'!$B$9+SUMIFS('Sales &amp; Collection'!$L$1:$L$3559,'Sales &amp; Collection'!$K$1:$K$3559,"cash collection*")-G256-SUMIFS('Daily Sale entry '!$AC$2:$AC$1501,'Daily Sale entry '!$X$2:$X$1501,"&lt;="&amp;$A256,'Daily Sale entry '!$Z$2:$Z$1501,"Cash deposit 现金存入"),2))</f>
        <v/>
      </c>
      <c r="I256" s="6">
        <f>IF($A256="","",ROUND(B256+D256+E256+F256+G256+H256,2))</f>
        <v/>
      </c>
      <c r="J256" s="6">
        <f>IF($A256="","",'AR &amp; AP'!K257)</f>
        <v/>
      </c>
      <c r="K256" s="6">
        <f>IF($A256="","",ROUND(I256-J256-SUMIFS('Daily Sale entry '!$AC$2:$AC$1501,'Daily Sale entry '!$X$2:$X$1501,"&lt;="&amp;$A256,'Daily Sale entry '!$Z$2:$Z$1501,"Other deposit 其他存入")+SUMIFS('Daily Sale entry '!$AD$2:$AD$1501,'Daily Sale entry '!$X$2:$X$1501,"&lt;="&amp;$A256)+('Opening Balance'!$B$8+SUM('Daily Sale entry '!$L$2:M256)-F256),2))</f>
        <v/>
      </c>
      <c r="L256">
        <f>IF($A256="","",IF(ABS('Sales &amp; Collection'!$B$3568)&gt;'Opening Balance'!$B$16,"ALERT 警报: Different "&amp;TEXT('Sales &amp; Collection'!$B$3568,"#,##0.00")&amp;" 差额过大",""))</f>
        <v/>
      </c>
    </row>
    <row r="257">
      <c r="A257" s="5">
        <f>IF('Daily Sale entry '!A257="","",'Daily Sale entry '!A257)</f>
        <v/>
      </c>
      <c r="B257" s="6">
        <f>IF($A257="","",ROUND('Opening Balance'!$B$4+SUM('Daily Sale entry '!$K$2:K257)+SUMIFS('Daily Sale entry '!$AC$2:$AC$1501,'Daily Sale entry '!$X$2:$X$1501,"&lt;="&amp;$A257)-SUMIFS('Daily Sale entry '!$AD$2:$AD$1501,'Daily Sale entry '!$X$2:$X$1501,"&lt;="&amp;$A257)+SUMPRODUCT(('Daily Sale entry '!$Q$2:$Q$1501="Collection 收款")*('Daily Sale entry '!$R$2:$R$1501="Cheque 支票")*('Daily Sale entry '!$V$2:$V$1501&lt;&gt;"")*('Daily Sale entry '!$V$2:$V$1501&lt;=$A257)*('Daily Sale entry '!$S$2:$S$1501-'Opening Balance'!$B$15*('Daily Sale entry '!$R$2:$R$1501="Cheque 支票")*('Daily Sale entry '!$S$2:$S$1501-TRUNC('Daily Sale entry '!$S$2:$S$1501))))-'Opening Balance'!$B$15*SUMPRODUCT(('Daily Sale entry '!$X$2:$X$1501&lt;=$A257)*('Daily Sale entry '!$Z$2:$Z$1501="Online collection 网上收款")*('Daily Sale entry '!$AA$2:$AA$1501&lt;&gt;"")*('Daily Sale entry '!$AC$2:$AC$1501-TRUNC('Daily Sale entry '!$AC$2:$AC$1501))),2))</f>
        <v/>
      </c>
      <c r="C257" s="8">
        <f>IF($A257="","",'Opening Balance'!$B$5+SUM('Daily Sale entry '!$I$2:I257)-SUMIFS('Daily Sale entry '!$AB$2:$AB$1501,'Daily Sale entry '!$X$2:$X$1501,"&lt;="&amp;$A257,'Daily Sale entry '!$Z$2:$Z$1501,"Cheque deposit 支票存入")-COUNTIFS('Daily Sale entry '!$Q$2:$Q$1501,"Collection 收款",'Daily Sale entry '!$R$2:$R$1501,"Cheque 支票",'Daily Sale entry '!$V$2:$V$1501,"&lt;="&amp;$A257))</f>
        <v/>
      </c>
      <c r="D257" s="6">
        <f>IF($A257="","",ROUND('Opening Balance'!$B$6+SUM('Daily Sale entry '!$J$2:J257)-SUMIFS('Daily Sale entry '!$AC$2:$AC$1501,'Daily Sale entry '!$X$2:$X$1501,"&lt;="&amp;$A257,'Daily Sale entry '!$Z$2:$Z$1501,"Cheque deposit 支票存入")-SUMPRODUCT(('Daily Sale entry '!$Q$2:$Q$1501="Collection 收款")*('Daily Sale entry '!$R$2:$R$1501="Cheque 支票")*('Daily Sale entry '!$V$2:$V$1501&lt;&gt;"")*('Daily Sale entry '!$V$2:$V$1501&lt;=$A257)*('Daily Sale entry '!$S$2:$S$1501-'Opening Balance'!$B$15*('Daily Sale entry '!$R$2:$R$1501="Cheque 支票")*('Daily Sale entry '!$S$2:$S$1501-TRUNC('Daily Sale entry '!$S$2:$S$1501)))),2))</f>
        <v/>
      </c>
      <c r="E257" s="6">
        <f>IF($A257="","",'Opening Balance'!$B$7)</f>
        <v/>
      </c>
      <c r="F257" s="6">
        <f>IF($A257="","",ROUND(SUMIFS('Daily Sale entry '!$L$2:$L$367,'Daily Sale entry '!$A$2:$A$367,"&gt;="&amp;DATE(YEAR($A257),MONTH($A257),1),'Daily Sale entry '!$A$2:$A$367,"&lt;="&amp;$A257)+SUMIFS('Daily Sale entry '!$M$2:$M$367,'Daily Sale entry '!$A$2:$A$367,"&gt;="&amp;DATE(YEAR($A257),MONTH($A257),1),'Daily Sale entry '!$A$2:$A$367,"&lt;="&amp;$A257)+IF(AND(YEAR($A257)=YEAR('Daily Sale entry '!$A$2),MONTH($A257)=MONTH('Daily Sale entry '!$A$2)),'Opening Balance'!$B$8,0),2))</f>
        <v/>
      </c>
      <c r="G257" s="6">
        <f>IF($A257="","",MOD(ROUND('Opening Balance'!$B$9+SUMIFS('Sales &amp; Collection'!$L$1:$L$3573,'Sales &amp; Collection'!$K$1:$K$3573,"cash collection*"),2),'Opening Balance'!$B$11))</f>
        <v/>
      </c>
      <c r="H257" s="6">
        <f>IF($A257="","",ROUND('Opening Balance'!$B$10+'Opening Balance'!$B$9+SUMIFS('Sales &amp; Collection'!$L$1:$L$3573,'Sales &amp; Collection'!$K$1:$K$3573,"cash collection*")-G257-SUMIFS('Daily Sale entry '!$AC$2:$AC$1501,'Daily Sale entry '!$X$2:$X$1501,"&lt;="&amp;$A257,'Daily Sale entry '!$Z$2:$Z$1501,"Cash deposit 现金存入"),2))</f>
        <v/>
      </c>
      <c r="I257" s="6">
        <f>IF($A257="","",ROUND(B257+D257+E257+F257+G257+H257,2))</f>
        <v/>
      </c>
      <c r="J257" s="6">
        <f>IF($A257="","",'AR &amp; AP'!K258)</f>
        <v/>
      </c>
      <c r="K257" s="6">
        <f>IF($A257="","",ROUND(I257-J257-SUMIFS('Daily Sale entry '!$AC$2:$AC$1501,'Daily Sale entry '!$X$2:$X$1501,"&lt;="&amp;$A257,'Daily Sale entry '!$Z$2:$Z$1501,"Other deposit 其他存入")+SUMIFS('Daily Sale entry '!$AD$2:$AD$1501,'Daily Sale entry '!$X$2:$X$1501,"&lt;="&amp;$A257)+('Opening Balance'!$B$8+SUM('Daily Sale entry '!$L$2:M257)-F257),2))</f>
        <v/>
      </c>
      <c r="L257">
        <f>IF($A257="","",IF(ABS('Sales &amp; Collection'!$B$3582)&gt;'Opening Balance'!$B$16,"ALERT 警报: Different "&amp;TEXT('Sales &amp; Collection'!$B$3582,"#,##0.00")&amp;" 差额过大",""))</f>
        <v/>
      </c>
    </row>
    <row r="258">
      <c r="A258" s="5">
        <f>IF('Daily Sale entry '!A258="","",'Daily Sale entry '!A258)</f>
        <v/>
      </c>
      <c r="B258" s="6">
        <f>IF($A258="","",ROUND('Opening Balance'!$B$4+SUM('Daily Sale entry '!$K$2:K258)+SUMIFS('Daily Sale entry '!$AC$2:$AC$1501,'Daily Sale entry '!$X$2:$X$1501,"&lt;="&amp;$A258)-SUMIFS('Daily Sale entry '!$AD$2:$AD$1501,'Daily Sale entry '!$X$2:$X$1501,"&lt;="&amp;$A258)+SUMPRODUCT(('Daily Sale entry '!$Q$2:$Q$1501="Collection 收款")*('Daily Sale entry '!$R$2:$R$1501="Cheque 支票")*('Daily Sale entry '!$V$2:$V$1501&lt;&gt;"")*('Daily Sale entry '!$V$2:$V$1501&lt;=$A258)*('Daily Sale entry '!$S$2:$S$1501-'Opening Balance'!$B$15*('Daily Sale entry '!$R$2:$R$1501="Cheque 支票")*('Daily Sale entry '!$S$2:$S$1501-TRUNC('Daily Sale entry '!$S$2:$S$1501))))-'Opening Balance'!$B$15*SUMPRODUCT(('Daily Sale entry '!$X$2:$X$1501&lt;=$A258)*('Daily Sale entry '!$Z$2:$Z$1501="Online collection 网上收款")*('Daily Sale entry '!$AA$2:$AA$1501&lt;&gt;"")*('Daily Sale entry '!$AC$2:$AC$1501-TRUNC('Daily Sale entry '!$AC$2:$AC$1501))),2))</f>
        <v/>
      </c>
      <c r="C258" s="8">
        <f>IF($A258="","",'Opening Balance'!$B$5+SUM('Daily Sale entry '!$I$2:I258)-SUMIFS('Daily Sale entry '!$AB$2:$AB$1501,'Daily Sale entry '!$X$2:$X$1501,"&lt;="&amp;$A258,'Daily Sale entry '!$Z$2:$Z$1501,"Cheque deposit 支票存入")-COUNTIFS('Daily Sale entry '!$Q$2:$Q$1501,"Collection 收款",'Daily Sale entry '!$R$2:$R$1501,"Cheque 支票",'Daily Sale entry '!$V$2:$V$1501,"&lt;="&amp;$A258))</f>
        <v/>
      </c>
      <c r="D258" s="6">
        <f>IF($A258="","",ROUND('Opening Balance'!$B$6+SUM('Daily Sale entry '!$J$2:J258)-SUMIFS('Daily Sale entry '!$AC$2:$AC$1501,'Daily Sale entry '!$X$2:$X$1501,"&lt;="&amp;$A258,'Daily Sale entry '!$Z$2:$Z$1501,"Cheque deposit 支票存入")-SUMPRODUCT(('Daily Sale entry '!$Q$2:$Q$1501="Collection 收款")*('Daily Sale entry '!$R$2:$R$1501="Cheque 支票")*('Daily Sale entry '!$V$2:$V$1501&lt;&gt;"")*('Daily Sale entry '!$V$2:$V$1501&lt;=$A258)*('Daily Sale entry '!$S$2:$S$1501-'Opening Balance'!$B$15*('Daily Sale entry '!$R$2:$R$1501="Cheque 支票")*('Daily Sale entry '!$S$2:$S$1501-TRUNC('Daily Sale entry '!$S$2:$S$1501)))),2))</f>
        <v/>
      </c>
      <c r="E258" s="6">
        <f>IF($A258="","",'Opening Balance'!$B$7)</f>
        <v/>
      </c>
      <c r="F258" s="6">
        <f>IF($A258="","",ROUND(SUMIFS('Daily Sale entry '!$L$2:$L$367,'Daily Sale entry '!$A$2:$A$367,"&gt;="&amp;DATE(YEAR($A258),MONTH($A258),1),'Daily Sale entry '!$A$2:$A$367,"&lt;="&amp;$A258)+SUMIFS('Daily Sale entry '!$M$2:$M$367,'Daily Sale entry '!$A$2:$A$367,"&gt;="&amp;DATE(YEAR($A258),MONTH($A258),1),'Daily Sale entry '!$A$2:$A$367,"&lt;="&amp;$A258)+IF(AND(YEAR($A258)=YEAR('Daily Sale entry '!$A$2),MONTH($A258)=MONTH('Daily Sale entry '!$A$2)),'Opening Balance'!$B$8,0),2))</f>
        <v/>
      </c>
      <c r="G258" s="6">
        <f>IF($A258="","",MOD(ROUND('Opening Balance'!$B$9+SUMIFS('Sales &amp; Collection'!$L$1:$L$3587,'Sales &amp; Collection'!$K$1:$K$3587,"cash collection*"),2),'Opening Balance'!$B$11))</f>
        <v/>
      </c>
      <c r="H258" s="6">
        <f>IF($A258="","",ROUND('Opening Balance'!$B$10+'Opening Balance'!$B$9+SUMIFS('Sales &amp; Collection'!$L$1:$L$3587,'Sales &amp; Collection'!$K$1:$K$3587,"cash collection*")-G258-SUMIFS('Daily Sale entry '!$AC$2:$AC$1501,'Daily Sale entry '!$X$2:$X$1501,"&lt;="&amp;$A258,'Daily Sale entry '!$Z$2:$Z$1501,"Cash deposit 现金存入"),2))</f>
        <v/>
      </c>
      <c r="I258" s="6">
        <f>IF($A258="","",ROUND(B258+D258+E258+F258+G258+H258,2))</f>
        <v/>
      </c>
      <c r="J258" s="6">
        <f>IF($A258="","",'AR &amp; AP'!K259)</f>
        <v/>
      </c>
      <c r="K258" s="6">
        <f>IF($A258="","",ROUND(I258-J258-SUMIFS('Daily Sale entry '!$AC$2:$AC$1501,'Daily Sale entry '!$X$2:$X$1501,"&lt;="&amp;$A258,'Daily Sale entry '!$Z$2:$Z$1501,"Other deposit 其他存入")+SUMIFS('Daily Sale entry '!$AD$2:$AD$1501,'Daily Sale entry '!$X$2:$X$1501,"&lt;="&amp;$A258)+('Opening Balance'!$B$8+SUM('Daily Sale entry '!$L$2:M258)-F258),2))</f>
        <v/>
      </c>
      <c r="L258">
        <f>IF($A258="","",IF(ABS('Sales &amp; Collection'!$B$3596)&gt;'Opening Balance'!$B$16,"ALERT 警报: Different "&amp;TEXT('Sales &amp; Collection'!$B$3596,"#,##0.00")&amp;" 差额过大",""))</f>
        <v/>
      </c>
    </row>
    <row r="259">
      <c r="A259" s="5">
        <f>IF('Daily Sale entry '!A259="","",'Daily Sale entry '!A259)</f>
        <v/>
      </c>
      <c r="B259" s="6">
        <f>IF($A259="","",ROUND('Opening Balance'!$B$4+SUM('Daily Sale entry '!$K$2:K259)+SUMIFS('Daily Sale entry '!$AC$2:$AC$1501,'Daily Sale entry '!$X$2:$X$1501,"&lt;="&amp;$A259)-SUMIFS('Daily Sale entry '!$AD$2:$AD$1501,'Daily Sale entry '!$X$2:$X$1501,"&lt;="&amp;$A259)+SUMPRODUCT(('Daily Sale entry '!$Q$2:$Q$1501="Collection 收款")*('Daily Sale entry '!$R$2:$R$1501="Cheque 支票")*('Daily Sale entry '!$V$2:$V$1501&lt;&gt;"")*('Daily Sale entry '!$V$2:$V$1501&lt;=$A259)*('Daily Sale entry '!$S$2:$S$1501-'Opening Balance'!$B$15*('Daily Sale entry '!$R$2:$R$1501="Cheque 支票")*('Daily Sale entry '!$S$2:$S$1501-TRUNC('Daily Sale entry '!$S$2:$S$1501))))-'Opening Balance'!$B$15*SUMPRODUCT(('Daily Sale entry '!$X$2:$X$1501&lt;=$A259)*('Daily Sale entry '!$Z$2:$Z$1501="Online collection 网上收款")*('Daily Sale entry '!$AA$2:$AA$1501&lt;&gt;"")*('Daily Sale entry '!$AC$2:$AC$1501-TRUNC('Daily Sale entry '!$AC$2:$AC$1501))),2))</f>
        <v/>
      </c>
      <c r="C259" s="8">
        <f>IF($A259="","",'Opening Balance'!$B$5+SUM('Daily Sale entry '!$I$2:I259)-SUMIFS('Daily Sale entry '!$AB$2:$AB$1501,'Daily Sale entry '!$X$2:$X$1501,"&lt;="&amp;$A259,'Daily Sale entry '!$Z$2:$Z$1501,"Cheque deposit 支票存入")-COUNTIFS('Daily Sale entry '!$Q$2:$Q$1501,"Collection 收款",'Daily Sale entry '!$R$2:$R$1501,"Cheque 支票",'Daily Sale entry '!$V$2:$V$1501,"&lt;="&amp;$A259))</f>
        <v/>
      </c>
      <c r="D259" s="6">
        <f>IF($A259="","",ROUND('Opening Balance'!$B$6+SUM('Daily Sale entry '!$J$2:J259)-SUMIFS('Daily Sale entry '!$AC$2:$AC$1501,'Daily Sale entry '!$X$2:$X$1501,"&lt;="&amp;$A259,'Daily Sale entry '!$Z$2:$Z$1501,"Cheque deposit 支票存入")-SUMPRODUCT(('Daily Sale entry '!$Q$2:$Q$1501="Collection 收款")*('Daily Sale entry '!$R$2:$R$1501="Cheque 支票")*('Daily Sale entry '!$V$2:$V$1501&lt;&gt;"")*('Daily Sale entry '!$V$2:$V$1501&lt;=$A259)*('Daily Sale entry '!$S$2:$S$1501-'Opening Balance'!$B$15*('Daily Sale entry '!$R$2:$R$1501="Cheque 支票")*('Daily Sale entry '!$S$2:$S$1501-TRUNC('Daily Sale entry '!$S$2:$S$1501)))),2))</f>
        <v/>
      </c>
      <c r="E259" s="6">
        <f>IF($A259="","",'Opening Balance'!$B$7)</f>
        <v/>
      </c>
      <c r="F259" s="6">
        <f>IF($A259="","",ROUND(SUMIFS('Daily Sale entry '!$L$2:$L$367,'Daily Sale entry '!$A$2:$A$367,"&gt;="&amp;DATE(YEAR($A259),MONTH($A259),1),'Daily Sale entry '!$A$2:$A$367,"&lt;="&amp;$A259)+SUMIFS('Daily Sale entry '!$M$2:$M$367,'Daily Sale entry '!$A$2:$A$367,"&gt;="&amp;DATE(YEAR($A259),MONTH($A259),1),'Daily Sale entry '!$A$2:$A$367,"&lt;="&amp;$A259)+IF(AND(YEAR($A259)=YEAR('Daily Sale entry '!$A$2),MONTH($A259)=MONTH('Daily Sale entry '!$A$2)),'Opening Balance'!$B$8,0),2))</f>
        <v/>
      </c>
      <c r="G259" s="6">
        <f>IF($A259="","",MOD(ROUND('Opening Balance'!$B$9+SUMIFS('Sales &amp; Collection'!$L$1:$L$3601,'Sales &amp; Collection'!$K$1:$K$3601,"cash collection*"),2),'Opening Balance'!$B$11))</f>
        <v/>
      </c>
      <c r="H259" s="6">
        <f>IF($A259="","",ROUND('Opening Balance'!$B$10+'Opening Balance'!$B$9+SUMIFS('Sales &amp; Collection'!$L$1:$L$3601,'Sales &amp; Collection'!$K$1:$K$3601,"cash collection*")-G259-SUMIFS('Daily Sale entry '!$AC$2:$AC$1501,'Daily Sale entry '!$X$2:$X$1501,"&lt;="&amp;$A259,'Daily Sale entry '!$Z$2:$Z$1501,"Cash deposit 现金存入"),2))</f>
        <v/>
      </c>
      <c r="I259" s="6">
        <f>IF($A259="","",ROUND(B259+D259+E259+F259+G259+H259,2))</f>
        <v/>
      </c>
      <c r="J259" s="6">
        <f>IF($A259="","",'AR &amp; AP'!K260)</f>
        <v/>
      </c>
      <c r="K259" s="6">
        <f>IF($A259="","",ROUND(I259-J259-SUMIFS('Daily Sale entry '!$AC$2:$AC$1501,'Daily Sale entry '!$X$2:$X$1501,"&lt;="&amp;$A259,'Daily Sale entry '!$Z$2:$Z$1501,"Other deposit 其他存入")+SUMIFS('Daily Sale entry '!$AD$2:$AD$1501,'Daily Sale entry '!$X$2:$X$1501,"&lt;="&amp;$A259)+('Opening Balance'!$B$8+SUM('Daily Sale entry '!$L$2:M259)-F259),2))</f>
        <v/>
      </c>
      <c r="L259">
        <f>IF($A259="","",IF(ABS('Sales &amp; Collection'!$B$3610)&gt;'Opening Balance'!$B$16,"ALERT 警报: Different "&amp;TEXT('Sales &amp; Collection'!$B$3610,"#,##0.00")&amp;" 差额过大",""))</f>
        <v/>
      </c>
    </row>
    <row r="260">
      <c r="A260" s="5">
        <f>IF('Daily Sale entry '!A260="","",'Daily Sale entry '!A260)</f>
        <v/>
      </c>
      <c r="B260" s="6">
        <f>IF($A260="","",ROUND('Opening Balance'!$B$4+SUM('Daily Sale entry '!$K$2:K260)+SUMIFS('Daily Sale entry '!$AC$2:$AC$1501,'Daily Sale entry '!$X$2:$X$1501,"&lt;="&amp;$A260)-SUMIFS('Daily Sale entry '!$AD$2:$AD$1501,'Daily Sale entry '!$X$2:$X$1501,"&lt;="&amp;$A260)+SUMPRODUCT(('Daily Sale entry '!$Q$2:$Q$1501="Collection 收款")*('Daily Sale entry '!$R$2:$R$1501="Cheque 支票")*('Daily Sale entry '!$V$2:$V$1501&lt;&gt;"")*('Daily Sale entry '!$V$2:$V$1501&lt;=$A260)*('Daily Sale entry '!$S$2:$S$1501-'Opening Balance'!$B$15*('Daily Sale entry '!$R$2:$R$1501="Cheque 支票")*('Daily Sale entry '!$S$2:$S$1501-TRUNC('Daily Sale entry '!$S$2:$S$1501))))-'Opening Balance'!$B$15*SUMPRODUCT(('Daily Sale entry '!$X$2:$X$1501&lt;=$A260)*('Daily Sale entry '!$Z$2:$Z$1501="Online collection 网上收款")*('Daily Sale entry '!$AA$2:$AA$1501&lt;&gt;"")*('Daily Sale entry '!$AC$2:$AC$1501-TRUNC('Daily Sale entry '!$AC$2:$AC$1501))),2))</f>
        <v/>
      </c>
      <c r="C260" s="8">
        <f>IF($A260="","",'Opening Balance'!$B$5+SUM('Daily Sale entry '!$I$2:I260)-SUMIFS('Daily Sale entry '!$AB$2:$AB$1501,'Daily Sale entry '!$X$2:$X$1501,"&lt;="&amp;$A260,'Daily Sale entry '!$Z$2:$Z$1501,"Cheque deposit 支票存入")-COUNTIFS('Daily Sale entry '!$Q$2:$Q$1501,"Collection 收款",'Daily Sale entry '!$R$2:$R$1501,"Cheque 支票",'Daily Sale entry '!$V$2:$V$1501,"&lt;="&amp;$A260))</f>
        <v/>
      </c>
      <c r="D260" s="6">
        <f>IF($A260="","",ROUND('Opening Balance'!$B$6+SUM('Daily Sale entry '!$J$2:J260)-SUMIFS('Daily Sale entry '!$AC$2:$AC$1501,'Daily Sale entry '!$X$2:$X$1501,"&lt;="&amp;$A260,'Daily Sale entry '!$Z$2:$Z$1501,"Cheque deposit 支票存入")-SUMPRODUCT(('Daily Sale entry '!$Q$2:$Q$1501="Collection 收款")*('Daily Sale entry '!$R$2:$R$1501="Cheque 支票")*('Daily Sale entry '!$V$2:$V$1501&lt;&gt;"")*('Daily Sale entry '!$V$2:$V$1501&lt;=$A260)*('Daily Sale entry '!$S$2:$S$1501-'Opening Balance'!$B$15*('Daily Sale entry '!$R$2:$R$1501="Cheque 支票")*('Daily Sale entry '!$S$2:$S$1501-TRUNC('Daily Sale entry '!$S$2:$S$1501)))),2))</f>
        <v/>
      </c>
      <c r="E260" s="6">
        <f>IF($A260="","",'Opening Balance'!$B$7)</f>
        <v/>
      </c>
      <c r="F260" s="6">
        <f>IF($A260="","",ROUND(SUMIFS('Daily Sale entry '!$L$2:$L$367,'Daily Sale entry '!$A$2:$A$367,"&gt;="&amp;DATE(YEAR($A260),MONTH($A260),1),'Daily Sale entry '!$A$2:$A$367,"&lt;="&amp;$A260)+SUMIFS('Daily Sale entry '!$M$2:$M$367,'Daily Sale entry '!$A$2:$A$367,"&gt;="&amp;DATE(YEAR($A260),MONTH($A260),1),'Daily Sale entry '!$A$2:$A$367,"&lt;="&amp;$A260)+IF(AND(YEAR($A260)=YEAR('Daily Sale entry '!$A$2),MONTH($A260)=MONTH('Daily Sale entry '!$A$2)),'Opening Balance'!$B$8,0),2))</f>
        <v/>
      </c>
      <c r="G260" s="6">
        <f>IF($A260="","",MOD(ROUND('Opening Balance'!$B$9+SUMIFS('Sales &amp; Collection'!$L$1:$L$3615,'Sales &amp; Collection'!$K$1:$K$3615,"cash collection*"),2),'Opening Balance'!$B$11))</f>
        <v/>
      </c>
      <c r="H260" s="6">
        <f>IF($A260="","",ROUND('Opening Balance'!$B$10+'Opening Balance'!$B$9+SUMIFS('Sales &amp; Collection'!$L$1:$L$3615,'Sales &amp; Collection'!$K$1:$K$3615,"cash collection*")-G260-SUMIFS('Daily Sale entry '!$AC$2:$AC$1501,'Daily Sale entry '!$X$2:$X$1501,"&lt;="&amp;$A260,'Daily Sale entry '!$Z$2:$Z$1501,"Cash deposit 现金存入"),2))</f>
        <v/>
      </c>
      <c r="I260" s="6">
        <f>IF($A260="","",ROUND(B260+D260+E260+F260+G260+H260,2))</f>
        <v/>
      </c>
      <c r="J260" s="6">
        <f>IF($A260="","",'AR &amp; AP'!K261)</f>
        <v/>
      </c>
      <c r="K260" s="6">
        <f>IF($A260="","",ROUND(I260-J260-SUMIFS('Daily Sale entry '!$AC$2:$AC$1501,'Daily Sale entry '!$X$2:$X$1501,"&lt;="&amp;$A260,'Daily Sale entry '!$Z$2:$Z$1501,"Other deposit 其他存入")+SUMIFS('Daily Sale entry '!$AD$2:$AD$1501,'Daily Sale entry '!$X$2:$X$1501,"&lt;="&amp;$A260)+('Opening Balance'!$B$8+SUM('Daily Sale entry '!$L$2:M260)-F260),2))</f>
        <v/>
      </c>
      <c r="L260">
        <f>IF($A260="","",IF(ABS('Sales &amp; Collection'!$B$3624)&gt;'Opening Balance'!$B$16,"ALERT 警报: Different "&amp;TEXT('Sales &amp; Collection'!$B$3624,"#,##0.00")&amp;" 差额过大",""))</f>
        <v/>
      </c>
    </row>
    <row r="261">
      <c r="A261" s="5">
        <f>IF('Daily Sale entry '!A261="","",'Daily Sale entry '!A261)</f>
        <v/>
      </c>
      <c r="B261" s="6">
        <f>IF($A261="","",ROUND('Opening Balance'!$B$4+SUM('Daily Sale entry '!$K$2:K261)+SUMIFS('Daily Sale entry '!$AC$2:$AC$1501,'Daily Sale entry '!$X$2:$X$1501,"&lt;="&amp;$A261)-SUMIFS('Daily Sale entry '!$AD$2:$AD$1501,'Daily Sale entry '!$X$2:$X$1501,"&lt;="&amp;$A261)+SUMPRODUCT(('Daily Sale entry '!$Q$2:$Q$1501="Collection 收款")*('Daily Sale entry '!$R$2:$R$1501="Cheque 支票")*('Daily Sale entry '!$V$2:$V$1501&lt;&gt;"")*('Daily Sale entry '!$V$2:$V$1501&lt;=$A261)*('Daily Sale entry '!$S$2:$S$1501-'Opening Balance'!$B$15*('Daily Sale entry '!$R$2:$R$1501="Cheque 支票")*('Daily Sale entry '!$S$2:$S$1501-TRUNC('Daily Sale entry '!$S$2:$S$1501))))-'Opening Balance'!$B$15*SUMPRODUCT(('Daily Sale entry '!$X$2:$X$1501&lt;=$A261)*('Daily Sale entry '!$Z$2:$Z$1501="Online collection 网上收款")*('Daily Sale entry '!$AA$2:$AA$1501&lt;&gt;"")*('Daily Sale entry '!$AC$2:$AC$1501-TRUNC('Daily Sale entry '!$AC$2:$AC$1501))),2))</f>
        <v/>
      </c>
      <c r="C261" s="8">
        <f>IF($A261="","",'Opening Balance'!$B$5+SUM('Daily Sale entry '!$I$2:I261)-SUMIFS('Daily Sale entry '!$AB$2:$AB$1501,'Daily Sale entry '!$X$2:$X$1501,"&lt;="&amp;$A261,'Daily Sale entry '!$Z$2:$Z$1501,"Cheque deposit 支票存入")-COUNTIFS('Daily Sale entry '!$Q$2:$Q$1501,"Collection 收款",'Daily Sale entry '!$R$2:$R$1501,"Cheque 支票",'Daily Sale entry '!$V$2:$V$1501,"&lt;="&amp;$A261))</f>
        <v/>
      </c>
      <c r="D261" s="6">
        <f>IF($A261="","",ROUND('Opening Balance'!$B$6+SUM('Daily Sale entry '!$J$2:J261)-SUMIFS('Daily Sale entry '!$AC$2:$AC$1501,'Daily Sale entry '!$X$2:$X$1501,"&lt;="&amp;$A261,'Daily Sale entry '!$Z$2:$Z$1501,"Cheque deposit 支票存入")-SUMPRODUCT(('Daily Sale entry '!$Q$2:$Q$1501="Collection 收款")*('Daily Sale entry '!$R$2:$R$1501="Cheque 支票")*('Daily Sale entry '!$V$2:$V$1501&lt;&gt;"")*('Daily Sale entry '!$V$2:$V$1501&lt;=$A261)*('Daily Sale entry '!$S$2:$S$1501-'Opening Balance'!$B$15*('Daily Sale entry '!$R$2:$R$1501="Cheque 支票")*('Daily Sale entry '!$S$2:$S$1501-TRUNC('Daily Sale entry '!$S$2:$S$1501)))),2))</f>
        <v/>
      </c>
      <c r="E261" s="6">
        <f>IF($A261="","",'Opening Balance'!$B$7)</f>
        <v/>
      </c>
      <c r="F261" s="6">
        <f>IF($A261="","",ROUND(SUMIFS('Daily Sale entry '!$L$2:$L$367,'Daily Sale entry '!$A$2:$A$367,"&gt;="&amp;DATE(YEAR($A261),MONTH($A261),1),'Daily Sale entry '!$A$2:$A$367,"&lt;="&amp;$A261)+SUMIFS('Daily Sale entry '!$M$2:$M$367,'Daily Sale entry '!$A$2:$A$367,"&gt;="&amp;DATE(YEAR($A261),MONTH($A261),1),'Daily Sale entry '!$A$2:$A$367,"&lt;="&amp;$A261)+IF(AND(YEAR($A261)=YEAR('Daily Sale entry '!$A$2),MONTH($A261)=MONTH('Daily Sale entry '!$A$2)),'Opening Balance'!$B$8,0),2))</f>
        <v/>
      </c>
      <c r="G261" s="6">
        <f>IF($A261="","",MOD(ROUND('Opening Balance'!$B$9+SUMIFS('Sales &amp; Collection'!$L$1:$L$3629,'Sales &amp; Collection'!$K$1:$K$3629,"cash collection*"),2),'Opening Balance'!$B$11))</f>
        <v/>
      </c>
      <c r="H261" s="6">
        <f>IF($A261="","",ROUND('Opening Balance'!$B$10+'Opening Balance'!$B$9+SUMIFS('Sales &amp; Collection'!$L$1:$L$3629,'Sales &amp; Collection'!$K$1:$K$3629,"cash collection*")-G261-SUMIFS('Daily Sale entry '!$AC$2:$AC$1501,'Daily Sale entry '!$X$2:$X$1501,"&lt;="&amp;$A261,'Daily Sale entry '!$Z$2:$Z$1501,"Cash deposit 现金存入"),2))</f>
        <v/>
      </c>
      <c r="I261" s="6">
        <f>IF($A261="","",ROUND(B261+D261+E261+F261+G261+H261,2))</f>
        <v/>
      </c>
      <c r="J261" s="6">
        <f>IF($A261="","",'AR &amp; AP'!K262)</f>
        <v/>
      </c>
      <c r="K261" s="6">
        <f>IF($A261="","",ROUND(I261-J261-SUMIFS('Daily Sale entry '!$AC$2:$AC$1501,'Daily Sale entry '!$X$2:$X$1501,"&lt;="&amp;$A261,'Daily Sale entry '!$Z$2:$Z$1501,"Other deposit 其他存入")+SUMIFS('Daily Sale entry '!$AD$2:$AD$1501,'Daily Sale entry '!$X$2:$X$1501,"&lt;="&amp;$A261)+('Opening Balance'!$B$8+SUM('Daily Sale entry '!$L$2:M261)-F261),2))</f>
        <v/>
      </c>
      <c r="L261">
        <f>IF($A261="","",IF(ABS('Sales &amp; Collection'!$B$3638)&gt;'Opening Balance'!$B$16,"ALERT 警报: Different "&amp;TEXT('Sales &amp; Collection'!$B$3638,"#,##0.00")&amp;" 差额过大",""))</f>
        <v/>
      </c>
    </row>
    <row r="262">
      <c r="A262" s="5">
        <f>IF('Daily Sale entry '!A262="","",'Daily Sale entry '!A262)</f>
        <v/>
      </c>
      <c r="B262" s="6">
        <f>IF($A262="","",ROUND('Opening Balance'!$B$4+SUM('Daily Sale entry '!$K$2:K262)+SUMIFS('Daily Sale entry '!$AC$2:$AC$1501,'Daily Sale entry '!$X$2:$X$1501,"&lt;="&amp;$A262)-SUMIFS('Daily Sale entry '!$AD$2:$AD$1501,'Daily Sale entry '!$X$2:$X$1501,"&lt;="&amp;$A262)+SUMPRODUCT(('Daily Sale entry '!$Q$2:$Q$1501="Collection 收款")*('Daily Sale entry '!$R$2:$R$1501="Cheque 支票")*('Daily Sale entry '!$V$2:$V$1501&lt;&gt;"")*('Daily Sale entry '!$V$2:$V$1501&lt;=$A262)*('Daily Sale entry '!$S$2:$S$1501-'Opening Balance'!$B$15*('Daily Sale entry '!$R$2:$R$1501="Cheque 支票")*('Daily Sale entry '!$S$2:$S$1501-TRUNC('Daily Sale entry '!$S$2:$S$1501))))-'Opening Balance'!$B$15*SUMPRODUCT(('Daily Sale entry '!$X$2:$X$1501&lt;=$A262)*('Daily Sale entry '!$Z$2:$Z$1501="Online collection 网上收款")*('Daily Sale entry '!$AA$2:$AA$1501&lt;&gt;"")*('Daily Sale entry '!$AC$2:$AC$1501-TRUNC('Daily Sale entry '!$AC$2:$AC$1501))),2))</f>
        <v/>
      </c>
      <c r="C262" s="8">
        <f>IF($A262="","",'Opening Balance'!$B$5+SUM('Daily Sale entry '!$I$2:I262)-SUMIFS('Daily Sale entry '!$AB$2:$AB$1501,'Daily Sale entry '!$X$2:$X$1501,"&lt;="&amp;$A262,'Daily Sale entry '!$Z$2:$Z$1501,"Cheque deposit 支票存入")-COUNTIFS('Daily Sale entry '!$Q$2:$Q$1501,"Collection 收款",'Daily Sale entry '!$R$2:$R$1501,"Cheque 支票",'Daily Sale entry '!$V$2:$V$1501,"&lt;="&amp;$A262))</f>
        <v/>
      </c>
      <c r="D262" s="6">
        <f>IF($A262="","",ROUND('Opening Balance'!$B$6+SUM('Daily Sale entry '!$J$2:J262)-SUMIFS('Daily Sale entry '!$AC$2:$AC$1501,'Daily Sale entry '!$X$2:$X$1501,"&lt;="&amp;$A262,'Daily Sale entry '!$Z$2:$Z$1501,"Cheque deposit 支票存入")-SUMPRODUCT(('Daily Sale entry '!$Q$2:$Q$1501="Collection 收款")*('Daily Sale entry '!$R$2:$R$1501="Cheque 支票")*('Daily Sale entry '!$V$2:$V$1501&lt;&gt;"")*('Daily Sale entry '!$V$2:$V$1501&lt;=$A262)*('Daily Sale entry '!$S$2:$S$1501-'Opening Balance'!$B$15*('Daily Sale entry '!$R$2:$R$1501="Cheque 支票")*('Daily Sale entry '!$S$2:$S$1501-TRUNC('Daily Sale entry '!$S$2:$S$1501)))),2))</f>
        <v/>
      </c>
      <c r="E262" s="6">
        <f>IF($A262="","",'Opening Balance'!$B$7)</f>
        <v/>
      </c>
      <c r="F262" s="6">
        <f>IF($A262="","",ROUND(SUMIFS('Daily Sale entry '!$L$2:$L$367,'Daily Sale entry '!$A$2:$A$367,"&gt;="&amp;DATE(YEAR($A262),MONTH($A262),1),'Daily Sale entry '!$A$2:$A$367,"&lt;="&amp;$A262)+SUMIFS('Daily Sale entry '!$M$2:$M$367,'Daily Sale entry '!$A$2:$A$367,"&gt;="&amp;DATE(YEAR($A262),MONTH($A262),1),'Daily Sale entry '!$A$2:$A$367,"&lt;="&amp;$A262)+IF(AND(YEAR($A262)=YEAR('Daily Sale entry '!$A$2),MONTH($A262)=MONTH('Daily Sale entry '!$A$2)),'Opening Balance'!$B$8,0),2))</f>
        <v/>
      </c>
      <c r="G262" s="6">
        <f>IF($A262="","",MOD(ROUND('Opening Balance'!$B$9+SUMIFS('Sales &amp; Collection'!$L$1:$L$3643,'Sales &amp; Collection'!$K$1:$K$3643,"cash collection*"),2),'Opening Balance'!$B$11))</f>
        <v/>
      </c>
      <c r="H262" s="6">
        <f>IF($A262="","",ROUND('Opening Balance'!$B$10+'Opening Balance'!$B$9+SUMIFS('Sales &amp; Collection'!$L$1:$L$3643,'Sales &amp; Collection'!$K$1:$K$3643,"cash collection*")-G262-SUMIFS('Daily Sale entry '!$AC$2:$AC$1501,'Daily Sale entry '!$X$2:$X$1501,"&lt;="&amp;$A262,'Daily Sale entry '!$Z$2:$Z$1501,"Cash deposit 现金存入"),2))</f>
        <v/>
      </c>
      <c r="I262" s="6">
        <f>IF($A262="","",ROUND(B262+D262+E262+F262+G262+H262,2))</f>
        <v/>
      </c>
      <c r="J262" s="6">
        <f>IF($A262="","",'AR &amp; AP'!K263)</f>
        <v/>
      </c>
      <c r="K262" s="6">
        <f>IF($A262="","",ROUND(I262-J262-SUMIFS('Daily Sale entry '!$AC$2:$AC$1501,'Daily Sale entry '!$X$2:$X$1501,"&lt;="&amp;$A262,'Daily Sale entry '!$Z$2:$Z$1501,"Other deposit 其他存入")+SUMIFS('Daily Sale entry '!$AD$2:$AD$1501,'Daily Sale entry '!$X$2:$X$1501,"&lt;="&amp;$A262)+('Opening Balance'!$B$8+SUM('Daily Sale entry '!$L$2:M262)-F262),2))</f>
        <v/>
      </c>
      <c r="L262">
        <f>IF($A262="","",IF(ABS('Sales &amp; Collection'!$B$3652)&gt;'Opening Balance'!$B$16,"ALERT 警报: Different "&amp;TEXT('Sales &amp; Collection'!$B$3652,"#,##0.00")&amp;" 差额过大",""))</f>
        <v/>
      </c>
    </row>
    <row r="263">
      <c r="A263" s="5">
        <f>IF('Daily Sale entry '!A263="","",'Daily Sale entry '!A263)</f>
        <v/>
      </c>
      <c r="B263" s="6">
        <f>IF($A263="","",ROUND('Opening Balance'!$B$4+SUM('Daily Sale entry '!$K$2:K263)+SUMIFS('Daily Sale entry '!$AC$2:$AC$1501,'Daily Sale entry '!$X$2:$X$1501,"&lt;="&amp;$A263)-SUMIFS('Daily Sale entry '!$AD$2:$AD$1501,'Daily Sale entry '!$X$2:$X$1501,"&lt;="&amp;$A263)+SUMPRODUCT(('Daily Sale entry '!$Q$2:$Q$1501="Collection 收款")*('Daily Sale entry '!$R$2:$R$1501="Cheque 支票")*('Daily Sale entry '!$V$2:$V$1501&lt;&gt;"")*('Daily Sale entry '!$V$2:$V$1501&lt;=$A263)*('Daily Sale entry '!$S$2:$S$1501-'Opening Balance'!$B$15*('Daily Sale entry '!$R$2:$R$1501="Cheque 支票")*('Daily Sale entry '!$S$2:$S$1501-TRUNC('Daily Sale entry '!$S$2:$S$1501))))-'Opening Balance'!$B$15*SUMPRODUCT(('Daily Sale entry '!$X$2:$X$1501&lt;=$A263)*('Daily Sale entry '!$Z$2:$Z$1501="Online collection 网上收款")*('Daily Sale entry '!$AA$2:$AA$1501&lt;&gt;"")*('Daily Sale entry '!$AC$2:$AC$1501-TRUNC('Daily Sale entry '!$AC$2:$AC$1501))),2))</f>
        <v/>
      </c>
      <c r="C263" s="8">
        <f>IF($A263="","",'Opening Balance'!$B$5+SUM('Daily Sale entry '!$I$2:I263)-SUMIFS('Daily Sale entry '!$AB$2:$AB$1501,'Daily Sale entry '!$X$2:$X$1501,"&lt;="&amp;$A263,'Daily Sale entry '!$Z$2:$Z$1501,"Cheque deposit 支票存入")-COUNTIFS('Daily Sale entry '!$Q$2:$Q$1501,"Collection 收款",'Daily Sale entry '!$R$2:$R$1501,"Cheque 支票",'Daily Sale entry '!$V$2:$V$1501,"&lt;="&amp;$A263))</f>
        <v/>
      </c>
      <c r="D263" s="6">
        <f>IF($A263="","",ROUND('Opening Balance'!$B$6+SUM('Daily Sale entry '!$J$2:J263)-SUMIFS('Daily Sale entry '!$AC$2:$AC$1501,'Daily Sale entry '!$X$2:$X$1501,"&lt;="&amp;$A263,'Daily Sale entry '!$Z$2:$Z$1501,"Cheque deposit 支票存入")-SUMPRODUCT(('Daily Sale entry '!$Q$2:$Q$1501="Collection 收款")*('Daily Sale entry '!$R$2:$R$1501="Cheque 支票")*('Daily Sale entry '!$V$2:$V$1501&lt;&gt;"")*('Daily Sale entry '!$V$2:$V$1501&lt;=$A263)*('Daily Sale entry '!$S$2:$S$1501-'Opening Balance'!$B$15*('Daily Sale entry '!$R$2:$R$1501="Cheque 支票")*('Daily Sale entry '!$S$2:$S$1501-TRUNC('Daily Sale entry '!$S$2:$S$1501)))),2))</f>
        <v/>
      </c>
      <c r="E263" s="6">
        <f>IF($A263="","",'Opening Balance'!$B$7)</f>
        <v/>
      </c>
      <c r="F263" s="6">
        <f>IF($A263="","",ROUND(SUMIFS('Daily Sale entry '!$L$2:$L$367,'Daily Sale entry '!$A$2:$A$367,"&gt;="&amp;DATE(YEAR($A263),MONTH($A263),1),'Daily Sale entry '!$A$2:$A$367,"&lt;="&amp;$A263)+SUMIFS('Daily Sale entry '!$M$2:$M$367,'Daily Sale entry '!$A$2:$A$367,"&gt;="&amp;DATE(YEAR($A263),MONTH($A263),1),'Daily Sale entry '!$A$2:$A$367,"&lt;="&amp;$A263)+IF(AND(YEAR($A263)=YEAR('Daily Sale entry '!$A$2),MONTH($A263)=MONTH('Daily Sale entry '!$A$2)),'Opening Balance'!$B$8,0),2))</f>
        <v/>
      </c>
      <c r="G263" s="6">
        <f>IF($A263="","",MOD(ROUND('Opening Balance'!$B$9+SUMIFS('Sales &amp; Collection'!$L$1:$L$3657,'Sales &amp; Collection'!$K$1:$K$3657,"cash collection*"),2),'Opening Balance'!$B$11))</f>
        <v/>
      </c>
      <c r="H263" s="6">
        <f>IF($A263="","",ROUND('Opening Balance'!$B$10+'Opening Balance'!$B$9+SUMIFS('Sales &amp; Collection'!$L$1:$L$3657,'Sales &amp; Collection'!$K$1:$K$3657,"cash collection*")-G263-SUMIFS('Daily Sale entry '!$AC$2:$AC$1501,'Daily Sale entry '!$X$2:$X$1501,"&lt;="&amp;$A263,'Daily Sale entry '!$Z$2:$Z$1501,"Cash deposit 现金存入"),2))</f>
        <v/>
      </c>
      <c r="I263" s="6">
        <f>IF($A263="","",ROUND(B263+D263+E263+F263+G263+H263,2))</f>
        <v/>
      </c>
      <c r="J263" s="6">
        <f>IF($A263="","",'AR &amp; AP'!K264)</f>
        <v/>
      </c>
      <c r="K263" s="6">
        <f>IF($A263="","",ROUND(I263-J263-SUMIFS('Daily Sale entry '!$AC$2:$AC$1501,'Daily Sale entry '!$X$2:$X$1501,"&lt;="&amp;$A263,'Daily Sale entry '!$Z$2:$Z$1501,"Other deposit 其他存入")+SUMIFS('Daily Sale entry '!$AD$2:$AD$1501,'Daily Sale entry '!$X$2:$X$1501,"&lt;="&amp;$A263)+('Opening Balance'!$B$8+SUM('Daily Sale entry '!$L$2:M263)-F263),2))</f>
        <v/>
      </c>
      <c r="L263">
        <f>IF($A263="","",IF(ABS('Sales &amp; Collection'!$B$3666)&gt;'Opening Balance'!$B$16,"ALERT 警报: Different "&amp;TEXT('Sales &amp; Collection'!$B$3666,"#,##0.00")&amp;" 差额过大",""))</f>
        <v/>
      </c>
    </row>
    <row r="264">
      <c r="A264" s="5">
        <f>IF('Daily Sale entry '!A264="","",'Daily Sale entry '!A264)</f>
        <v/>
      </c>
      <c r="B264" s="6">
        <f>IF($A264="","",ROUND('Opening Balance'!$B$4+SUM('Daily Sale entry '!$K$2:K264)+SUMIFS('Daily Sale entry '!$AC$2:$AC$1501,'Daily Sale entry '!$X$2:$X$1501,"&lt;="&amp;$A264)-SUMIFS('Daily Sale entry '!$AD$2:$AD$1501,'Daily Sale entry '!$X$2:$X$1501,"&lt;="&amp;$A264)+SUMPRODUCT(('Daily Sale entry '!$Q$2:$Q$1501="Collection 收款")*('Daily Sale entry '!$R$2:$R$1501="Cheque 支票")*('Daily Sale entry '!$V$2:$V$1501&lt;&gt;"")*('Daily Sale entry '!$V$2:$V$1501&lt;=$A264)*('Daily Sale entry '!$S$2:$S$1501-'Opening Balance'!$B$15*('Daily Sale entry '!$R$2:$R$1501="Cheque 支票")*('Daily Sale entry '!$S$2:$S$1501-TRUNC('Daily Sale entry '!$S$2:$S$1501))))-'Opening Balance'!$B$15*SUMPRODUCT(('Daily Sale entry '!$X$2:$X$1501&lt;=$A264)*('Daily Sale entry '!$Z$2:$Z$1501="Online collection 网上收款")*('Daily Sale entry '!$AA$2:$AA$1501&lt;&gt;"")*('Daily Sale entry '!$AC$2:$AC$1501-TRUNC('Daily Sale entry '!$AC$2:$AC$1501))),2))</f>
        <v/>
      </c>
      <c r="C264" s="8">
        <f>IF($A264="","",'Opening Balance'!$B$5+SUM('Daily Sale entry '!$I$2:I264)-SUMIFS('Daily Sale entry '!$AB$2:$AB$1501,'Daily Sale entry '!$X$2:$X$1501,"&lt;="&amp;$A264,'Daily Sale entry '!$Z$2:$Z$1501,"Cheque deposit 支票存入")-COUNTIFS('Daily Sale entry '!$Q$2:$Q$1501,"Collection 收款",'Daily Sale entry '!$R$2:$R$1501,"Cheque 支票",'Daily Sale entry '!$V$2:$V$1501,"&lt;="&amp;$A264))</f>
        <v/>
      </c>
      <c r="D264" s="6">
        <f>IF($A264="","",ROUND('Opening Balance'!$B$6+SUM('Daily Sale entry '!$J$2:J264)-SUMIFS('Daily Sale entry '!$AC$2:$AC$1501,'Daily Sale entry '!$X$2:$X$1501,"&lt;="&amp;$A264,'Daily Sale entry '!$Z$2:$Z$1501,"Cheque deposit 支票存入")-SUMPRODUCT(('Daily Sale entry '!$Q$2:$Q$1501="Collection 收款")*('Daily Sale entry '!$R$2:$R$1501="Cheque 支票")*('Daily Sale entry '!$V$2:$V$1501&lt;&gt;"")*('Daily Sale entry '!$V$2:$V$1501&lt;=$A264)*('Daily Sale entry '!$S$2:$S$1501-'Opening Balance'!$B$15*('Daily Sale entry '!$R$2:$R$1501="Cheque 支票")*('Daily Sale entry '!$S$2:$S$1501-TRUNC('Daily Sale entry '!$S$2:$S$1501)))),2))</f>
        <v/>
      </c>
      <c r="E264" s="6">
        <f>IF($A264="","",'Opening Balance'!$B$7)</f>
        <v/>
      </c>
      <c r="F264" s="6">
        <f>IF($A264="","",ROUND(SUMIFS('Daily Sale entry '!$L$2:$L$367,'Daily Sale entry '!$A$2:$A$367,"&gt;="&amp;DATE(YEAR($A264),MONTH($A264),1),'Daily Sale entry '!$A$2:$A$367,"&lt;="&amp;$A264)+SUMIFS('Daily Sale entry '!$M$2:$M$367,'Daily Sale entry '!$A$2:$A$367,"&gt;="&amp;DATE(YEAR($A264),MONTH($A264),1),'Daily Sale entry '!$A$2:$A$367,"&lt;="&amp;$A264)+IF(AND(YEAR($A264)=YEAR('Daily Sale entry '!$A$2),MONTH($A264)=MONTH('Daily Sale entry '!$A$2)),'Opening Balance'!$B$8,0),2))</f>
        <v/>
      </c>
      <c r="G264" s="6">
        <f>IF($A264="","",MOD(ROUND('Opening Balance'!$B$9+SUMIFS('Sales &amp; Collection'!$L$1:$L$3671,'Sales &amp; Collection'!$K$1:$K$3671,"cash collection*"),2),'Opening Balance'!$B$11))</f>
        <v/>
      </c>
      <c r="H264" s="6">
        <f>IF($A264="","",ROUND('Opening Balance'!$B$10+'Opening Balance'!$B$9+SUMIFS('Sales &amp; Collection'!$L$1:$L$3671,'Sales &amp; Collection'!$K$1:$K$3671,"cash collection*")-G264-SUMIFS('Daily Sale entry '!$AC$2:$AC$1501,'Daily Sale entry '!$X$2:$X$1501,"&lt;="&amp;$A264,'Daily Sale entry '!$Z$2:$Z$1501,"Cash deposit 现金存入"),2))</f>
        <v/>
      </c>
      <c r="I264" s="6">
        <f>IF($A264="","",ROUND(B264+D264+E264+F264+G264+H264,2))</f>
        <v/>
      </c>
      <c r="J264" s="6">
        <f>IF($A264="","",'AR &amp; AP'!K265)</f>
        <v/>
      </c>
      <c r="K264" s="6">
        <f>IF($A264="","",ROUND(I264-J264-SUMIFS('Daily Sale entry '!$AC$2:$AC$1501,'Daily Sale entry '!$X$2:$X$1501,"&lt;="&amp;$A264,'Daily Sale entry '!$Z$2:$Z$1501,"Other deposit 其他存入")+SUMIFS('Daily Sale entry '!$AD$2:$AD$1501,'Daily Sale entry '!$X$2:$X$1501,"&lt;="&amp;$A264)+('Opening Balance'!$B$8+SUM('Daily Sale entry '!$L$2:M264)-F264),2))</f>
        <v/>
      </c>
      <c r="L264">
        <f>IF($A264="","",IF(ABS('Sales &amp; Collection'!$B$3680)&gt;'Opening Balance'!$B$16,"ALERT 警报: Different "&amp;TEXT('Sales &amp; Collection'!$B$3680,"#,##0.00")&amp;" 差额过大",""))</f>
        <v/>
      </c>
    </row>
    <row r="265">
      <c r="A265" s="5">
        <f>IF('Daily Sale entry '!A265="","",'Daily Sale entry '!A265)</f>
        <v/>
      </c>
      <c r="B265" s="6">
        <f>IF($A265="","",ROUND('Opening Balance'!$B$4+SUM('Daily Sale entry '!$K$2:K265)+SUMIFS('Daily Sale entry '!$AC$2:$AC$1501,'Daily Sale entry '!$X$2:$X$1501,"&lt;="&amp;$A265)-SUMIFS('Daily Sale entry '!$AD$2:$AD$1501,'Daily Sale entry '!$X$2:$X$1501,"&lt;="&amp;$A265)+SUMPRODUCT(('Daily Sale entry '!$Q$2:$Q$1501="Collection 收款")*('Daily Sale entry '!$R$2:$R$1501="Cheque 支票")*('Daily Sale entry '!$V$2:$V$1501&lt;&gt;"")*('Daily Sale entry '!$V$2:$V$1501&lt;=$A265)*('Daily Sale entry '!$S$2:$S$1501-'Opening Balance'!$B$15*('Daily Sale entry '!$R$2:$R$1501="Cheque 支票")*('Daily Sale entry '!$S$2:$S$1501-TRUNC('Daily Sale entry '!$S$2:$S$1501))))-'Opening Balance'!$B$15*SUMPRODUCT(('Daily Sale entry '!$X$2:$X$1501&lt;=$A265)*('Daily Sale entry '!$Z$2:$Z$1501="Online collection 网上收款")*('Daily Sale entry '!$AA$2:$AA$1501&lt;&gt;"")*('Daily Sale entry '!$AC$2:$AC$1501-TRUNC('Daily Sale entry '!$AC$2:$AC$1501))),2))</f>
        <v/>
      </c>
      <c r="C265" s="8">
        <f>IF($A265="","",'Opening Balance'!$B$5+SUM('Daily Sale entry '!$I$2:I265)-SUMIFS('Daily Sale entry '!$AB$2:$AB$1501,'Daily Sale entry '!$X$2:$X$1501,"&lt;="&amp;$A265,'Daily Sale entry '!$Z$2:$Z$1501,"Cheque deposit 支票存入")-COUNTIFS('Daily Sale entry '!$Q$2:$Q$1501,"Collection 收款",'Daily Sale entry '!$R$2:$R$1501,"Cheque 支票",'Daily Sale entry '!$V$2:$V$1501,"&lt;="&amp;$A265))</f>
        <v/>
      </c>
      <c r="D265" s="6">
        <f>IF($A265="","",ROUND('Opening Balance'!$B$6+SUM('Daily Sale entry '!$J$2:J265)-SUMIFS('Daily Sale entry '!$AC$2:$AC$1501,'Daily Sale entry '!$X$2:$X$1501,"&lt;="&amp;$A265,'Daily Sale entry '!$Z$2:$Z$1501,"Cheque deposit 支票存入")-SUMPRODUCT(('Daily Sale entry '!$Q$2:$Q$1501="Collection 收款")*('Daily Sale entry '!$R$2:$R$1501="Cheque 支票")*('Daily Sale entry '!$V$2:$V$1501&lt;&gt;"")*('Daily Sale entry '!$V$2:$V$1501&lt;=$A265)*('Daily Sale entry '!$S$2:$S$1501-'Opening Balance'!$B$15*('Daily Sale entry '!$R$2:$R$1501="Cheque 支票")*('Daily Sale entry '!$S$2:$S$1501-TRUNC('Daily Sale entry '!$S$2:$S$1501)))),2))</f>
        <v/>
      </c>
      <c r="E265" s="6">
        <f>IF($A265="","",'Opening Balance'!$B$7)</f>
        <v/>
      </c>
      <c r="F265" s="6">
        <f>IF($A265="","",ROUND(SUMIFS('Daily Sale entry '!$L$2:$L$367,'Daily Sale entry '!$A$2:$A$367,"&gt;="&amp;DATE(YEAR($A265),MONTH($A265),1),'Daily Sale entry '!$A$2:$A$367,"&lt;="&amp;$A265)+SUMIFS('Daily Sale entry '!$M$2:$M$367,'Daily Sale entry '!$A$2:$A$367,"&gt;="&amp;DATE(YEAR($A265),MONTH($A265),1),'Daily Sale entry '!$A$2:$A$367,"&lt;="&amp;$A265)+IF(AND(YEAR($A265)=YEAR('Daily Sale entry '!$A$2),MONTH($A265)=MONTH('Daily Sale entry '!$A$2)),'Opening Balance'!$B$8,0),2))</f>
        <v/>
      </c>
      <c r="G265" s="6">
        <f>IF($A265="","",MOD(ROUND('Opening Balance'!$B$9+SUMIFS('Sales &amp; Collection'!$L$1:$L$3685,'Sales &amp; Collection'!$K$1:$K$3685,"cash collection*"),2),'Opening Balance'!$B$11))</f>
        <v/>
      </c>
      <c r="H265" s="6">
        <f>IF($A265="","",ROUND('Opening Balance'!$B$10+'Opening Balance'!$B$9+SUMIFS('Sales &amp; Collection'!$L$1:$L$3685,'Sales &amp; Collection'!$K$1:$K$3685,"cash collection*")-G265-SUMIFS('Daily Sale entry '!$AC$2:$AC$1501,'Daily Sale entry '!$X$2:$X$1501,"&lt;="&amp;$A265,'Daily Sale entry '!$Z$2:$Z$1501,"Cash deposit 现金存入"),2))</f>
        <v/>
      </c>
      <c r="I265" s="6">
        <f>IF($A265="","",ROUND(B265+D265+E265+F265+G265+H265,2))</f>
        <v/>
      </c>
      <c r="J265" s="6">
        <f>IF($A265="","",'AR &amp; AP'!K266)</f>
        <v/>
      </c>
      <c r="K265" s="6">
        <f>IF($A265="","",ROUND(I265-J265-SUMIFS('Daily Sale entry '!$AC$2:$AC$1501,'Daily Sale entry '!$X$2:$X$1501,"&lt;="&amp;$A265,'Daily Sale entry '!$Z$2:$Z$1501,"Other deposit 其他存入")+SUMIFS('Daily Sale entry '!$AD$2:$AD$1501,'Daily Sale entry '!$X$2:$X$1501,"&lt;="&amp;$A265)+('Opening Balance'!$B$8+SUM('Daily Sale entry '!$L$2:M265)-F265),2))</f>
        <v/>
      </c>
      <c r="L265">
        <f>IF($A265="","",IF(ABS('Sales &amp; Collection'!$B$3694)&gt;'Opening Balance'!$B$16,"ALERT 警报: Different "&amp;TEXT('Sales &amp; Collection'!$B$3694,"#,##0.00")&amp;" 差额过大",""))</f>
        <v/>
      </c>
    </row>
    <row r="266">
      <c r="A266" s="5">
        <f>IF('Daily Sale entry '!A266="","",'Daily Sale entry '!A266)</f>
        <v/>
      </c>
      <c r="B266" s="6">
        <f>IF($A266="","",ROUND('Opening Balance'!$B$4+SUM('Daily Sale entry '!$K$2:K266)+SUMIFS('Daily Sale entry '!$AC$2:$AC$1501,'Daily Sale entry '!$X$2:$X$1501,"&lt;="&amp;$A266)-SUMIFS('Daily Sale entry '!$AD$2:$AD$1501,'Daily Sale entry '!$X$2:$X$1501,"&lt;="&amp;$A266)+SUMPRODUCT(('Daily Sale entry '!$Q$2:$Q$1501="Collection 收款")*('Daily Sale entry '!$R$2:$R$1501="Cheque 支票")*('Daily Sale entry '!$V$2:$V$1501&lt;&gt;"")*('Daily Sale entry '!$V$2:$V$1501&lt;=$A266)*('Daily Sale entry '!$S$2:$S$1501-'Opening Balance'!$B$15*('Daily Sale entry '!$R$2:$R$1501="Cheque 支票")*('Daily Sale entry '!$S$2:$S$1501-TRUNC('Daily Sale entry '!$S$2:$S$1501))))-'Opening Balance'!$B$15*SUMPRODUCT(('Daily Sale entry '!$X$2:$X$1501&lt;=$A266)*('Daily Sale entry '!$Z$2:$Z$1501="Online collection 网上收款")*('Daily Sale entry '!$AA$2:$AA$1501&lt;&gt;"")*('Daily Sale entry '!$AC$2:$AC$1501-TRUNC('Daily Sale entry '!$AC$2:$AC$1501))),2))</f>
        <v/>
      </c>
      <c r="C266" s="8">
        <f>IF($A266="","",'Opening Balance'!$B$5+SUM('Daily Sale entry '!$I$2:I266)-SUMIFS('Daily Sale entry '!$AB$2:$AB$1501,'Daily Sale entry '!$X$2:$X$1501,"&lt;="&amp;$A266,'Daily Sale entry '!$Z$2:$Z$1501,"Cheque deposit 支票存入")-COUNTIFS('Daily Sale entry '!$Q$2:$Q$1501,"Collection 收款",'Daily Sale entry '!$R$2:$R$1501,"Cheque 支票",'Daily Sale entry '!$V$2:$V$1501,"&lt;="&amp;$A266))</f>
        <v/>
      </c>
      <c r="D266" s="6">
        <f>IF($A266="","",ROUND('Opening Balance'!$B$6+SUM('Daily Sale entry '!$J$2:J266)-SUMIFS('Daily Sale entry '!$AC$2:$AC$1501,'Daily Sale entry '!$X$2:$X$1501,"&lt;="&amp;$A266,'Daily Sale entry '!$Z$2:$Z$1501,"Cheque deposit 支票存入")-SUMPRODUCT(('Daily Sale entry '!$Q$2:$Q$1501="Collection 收款")*('Daily Sale entry '!$R$2:$R$1501="Cheque 支票")*('Daily Sale entry '!$V$2:$V$1501&lt;&gt;"")*('Daily Sale entry '!$V$2:$V$1501&lt;=$A266)*('Daily Sale entry '!$S$2:$S$1501-'Opening Balance'!$B$15*('Daily Sale entry '!$R$2:$R$1501="Cheque 支票")*('Daily Sale entry '!$S$2:$S$1501-TRUNC('Daily Sale entry '!$S$2:$S$1501)))),2))</f>
        <v/>
      </c>
      <c r="E266" s="6">
        <f>IF($A266="","",'Opening Balance'!$B$7)</f>
        <v/>
      </c>
      <c r="F266" s="6">
        <f>IF($A266="","",ROUND(SUMIFS('Daily Sale entry '!$L$2:$L$367,'Daily Sale entry '!$A$2:$A$367,"&gt;="&amp;DATE(YEAR($A266),MONTH($A266),1),'Daily Sale entry '!$A$2:$A$367,"&lt;="&amp;$A266)+SUMIFS('Daily Sale entry '!$M$2:$M$367,'Daily Sale entry '!$A$2:$A$367,"&gt;="&amp;DATE(YEAR($A266),MONTH($A266),1),'Daily Sale entry '!$A$2:$A$367,"&lt;="&amp;$A266)+IF(AND(YEAR($A266)=YEAR('Daily Sale entry '!$A$2),MONTH($A266)=MONTH('Daily Sale entry '!$A$2)),'Opening Balance'!$B$8,0),2))</f>
        <v/>
      </c>
      <c r="G266" s="6">
        <f>IF($A266="","",MOD(ROUND('Opening Balance'!$B$9+SUMIFS('Sales &amp; Collection'!$L$1:$L$3699,'Sales &amp; Collection'!$K$1:$K$3699,"cash collection*"),2),'Opening Balance'!$B$11))</f>
        <v/>
      </c>
      <c r="H266" s="6">
        <f>IF($A266="","",ROUND('Opening Balance'!$B$10+'Opening Balance'!$B$9+SUMIFS('Sales &amp; Collection'!$L$1:$L$3699,'Sales &amp; Collection'!$K$1:$K$3699,"cash collection*")-G266-SUMIFS('Daily Sale entry '!$AC$2:$AC$1501,'Daily Sale entry '!$X$2:$X$1501,"&lt;="&amp;$A266,'Daily Sale entry '!$Z$2:$Z$1501,"Cash deposit 现金存入"),2))</f>
        <v/>
      </c>
      <c r="I266" s="6">
        <f>IF($A266="","",ROUND(B266+D266+E266+F266+G266+H266,2))</f>
        <v/>
      </c>
      <c r="J266" s="6">
        <f>IF($A266="","",'AR &amp; AP'!K267)</f>
        <v/>
      </c>
      <c r="K266" s="6">
        <f>IF($A266="","",ROUND(I266-J266-SUMIFS('Daily Sale entry '!$AC$2:$AC$1501,'Daily Sale entry '!$X$2:$X$1501,"&lt;="&amp;$A266,'Daily Sale entry '!$Z$2:$Z$1501,"Other deposit 其他存入")+SUMIFS('Daily Sale entry '!$AD$2:$AD$1501,'Daily Sale entry '!$X$2:$X$1501,"&lt;="&amp;$A266)+('Opening Balance'!$B$8+SUM('Daily Sale entry '!$L$2:M266)-F266),2))</f>
        <v/>
      </c>
      <c r="L266">
        <f>IF($A266="","",IF(ABS('Sales &amp; Collection'!$B$3708)&gt;'Opening Balance'!$B$16,"ALERT 警报: Different "&amp;TEXT('Sales &amp; Collection'!$B$3708,"#,##0.00")&amp;" 差额过大",""))</f>
        <v/>
      </c>
    </row>
    <row r="267">
      <c r="A267" s="5">
        <f>IF('Daily Sale entry '!A267="","",'Daily Sale entry '!A267)</f>
        <v/>
      </c>
      <c r="B267" s="6">
        <f>IF($A267="","",ROUND('Opening Balance'!$B$4+SUM('Daily Sale entry '!$K$2:K267)+SUMIFS('Daily Sale entry '!$AC$2:$AC$1501,'Daily Sale entry '!$X$2:$X$1501,"&lt;="&amp;$A267)-SUMIFS('Daily Sale entry '!$AD$2:$AD$1501,'Daily Sale entry '!$X$2:$X$1501,"&lt;="&amp;$A267)+SUMPRODUCT(('Daily Sale entry '!$Q$2:$Q$1501="Collection 收款")*('Daily Sale entry '!$R$2:$R$1501="Cheque 支票")*('Daily Sale entry '!$V$2:$V$1501&lt;&gt;"")*('Daily Sale entry '!$V$2:$V$1501&lt;=$A267)*('Daily Sale entry '!$S$2:$S$1501-'Opening Balance'!$B$15*('Daily Sale entry '!$R$2:$R$1501="Cheque 支票")*('Daily Sale entry '!$S$2:$S$1501-TRUNC('Daily Sale entry '!$S$2:$S$1501))))-'Opening Balance'!$B$15*SUMPRODUCT(('Daily Sale entry '!$X$2:$X$1501&lt;=$A267)*('Daily Sale entry '!$Z$2:$Z$1501="Online collection 网上收款")*('Daily Sale entry '!$AA$2:$AA$1501&lt;&gt;"")*('Daily Sale entry '!$AC$2:$AC$1501-TRUNC('Daily Sale entry '!$AC$2:$AC$1501))),2))</f>
        <v/>
      </c>
      <c r="C267" s="8">
        <f>IF($A267="","",'Opening Balance'!$B$5+SUM('Daily Sale entry '!$I$2:I267)-SUMIFS('Daily Sale entry '!$AB$2:$AB$1501,'Daily Sale entry '!$X$2:$X$1501,"&lt;="&amp;$A267,'Daily Sale entry '!$Z$2:$Z$1501,"Cheque deposit 支票存入")-COUNTIFS('Daily Sale entry '!$Q$2:$Q$1501,"Collection 收款",'Daily Sale entry '!$R$2:$R$1501,"Cheque 支票",'Daily Sale entry '!$V$2:$V$1501,"&lt;="&amp;$A267))</f>
        <v/>
      </c>
      <c r="D267" s="6">
        <f>IF($A267="","",ROUND('Opening Balance'!$B$6+SUM('Daily Sale entry '!$J$2:J267)-SUMIFS('Daily Sale entry '!$AC$2:$AC$1501,'Daily Sale entry '!$X$2:$X$1501,"&lt;="&amp;$A267,'Daily Sale entry '!$Z$2:$Z$1501,"Cheque deposit 支票存入")-SUMPRODUCT(('Daily Sale entry '!$Q$2:$Q$1501="Collection 收款")*('Daily Sale entry '!$R$2:$R$1501="Cheque 支票")*('Daily Sale entry '!$V$2:$V$1501&lt;&gt;"")*('Daily Sale entry '!$V$2:$V$1501&lt;=$A267)*('Daily Sale entry '!$S$2:$S$1501-'Opening Balance'!$B$15*('Daily Sale entry '!$R$2:$R$1501="Cheque 支票")*('Daily Sale entry '!$S$2:$S$1501-TRUNC('Daily Sale entry '!$S$2:$S$1501)))),2))</f>
        <v/>
      </c>
      <c r="E267" s="6">
        <f>IF($A267="","",'Opening Balance'!$B$7)</f>
        <v/>
      </c>
      <c r="F267" s="6">
        <f>IF($A267="","",ROUND(SUMIFS('Daily Sale entry '!$L$2:$L$367,'Daily Sale entry '!$A$2:$A$367,"&gt;="&amp;DATE(YEAR($A267),MONTH($A267),1),'Daily Sale entry '!$A$2:$A$367,"&lt;="&amp;$A267)+SUMIFS('Daily Sale entry '!$M$2:$M$367,'Daily Sale entry '!$A$2:$A$367,"&gt;="&amp;DATE(YEAR($A267),MONTH($A267),1),'Daily Sale entry '!$A$2:$A$367,"&lt;="&amp;$A267)+IF(AND(YEAR($A267)=YEAR('Daily Sale entry '!$A$2),MONTH($A267)=MONTH('Daily Sale entry '!$A$2)),'Opening Balance'!$B$8,0),2))</f>
        <v/>
      </c>
      <c r="G267" s="6">
        <f>IF($A267="","",MOD(ROUND('Opening Balance'!$B$9+SUMIFS('Sales &amp; Collection'!$L$1:$L$3713,'Sales &amp; Collection'!$K$1:$K$3713,"cash collection*"),2),'Opening Balance'!$B$11))</f>
        <v/>
      </c>
      <c r="H267" s="6">
        <f>IF($A267="","",ROUND('Opening Balance'!$B$10+'Opening Balance'!$B$9+SUMIFS('Sales &amp; Collection'!$L$1:$L$3713,'Sales &amp; Collection'!$K$1:$K$3713,"cash collection*")-G267-SUMIFS('Daily Sale entry '!$AC$2:$AC$1501,'Daily Sale entry '!$X$2:$X$1501,"&lt;="&amp;$A267,'Daily Sale entry '!$Z$2:$Z$1501,"Cash deposit 现金存入"),2))</f>
        <v/>
      </c>
      <c r="I267" s="6">
        <f>IF($A267="","",ROUND(B267+D267+E267+F267+G267+H267,2))</f>
        <v/>
      </c>
      <c r="J267" s="6">
        <f>IF($A267="","",'AR &amp; AP'!K268)</f>
        <v/>
      </c>
      <c r="K267" s="6">
        <f>IF($A267="","",ROUND(I267-J267-SUMIFS('Daily Sale entry '!$AC$2:$AC$1501,'Daily Sale entry '!$X$2:$X$1501,"&lt;="&amp;$A267,'Daily Sale entry '!$Z$2:$Z$1501,"Other deposit 其他存入")+SUMIFS('Daily Sale entry '!$AD$2:$AD$1501,'Daily Sale entry '!$X$2:$X$1501,"&lt;="&amp;$A267)+('Opening Balance'!$B$8+SUM('Daily Sale entry '!$L$2:M267)-F267),2))</f>
        <v/>
      </c>
      <c r="L267">
        <f>IF($A267="","",IF(ABS('Sales &amp; Collection'!$B$3722)&gt;'Opening Balance'!$B$16,"ALERT 警报: Different "&amp;TEXT('Sales &amp; Collection'!$B$3722,"#,##0.00")&amp;" 差额过大",""))</f>
        <v/>
      </c>
    </row>
    <row r="268">
      <c r="A268" s="5">
        <f>IF('Daily Sale entry '!A268="","",'Daily Sale entry '!A268)</f>
        <v/>
      </c>
      <c r="B268" s="6">
        <f>IF($A268="","",ROUND('Opening Balance'!$B$4+SUM('Daily Sale entry '!$K$2:K268)+SUMIFS('Daily Sale entry '!$AC$2:$AC$1501,'Daily Sale entry '!$X$2:$X$1501,"&lt;="&amp;$A268)-SUMIFS('Daily Sale entry '!$AD$2:$AD$1501,'Daily Sale entry '!$X$2:$X$1501,"&lt;="&amp;$A268)+SUMPRODUCT(('Daily Sale entry '!$Q$2:$Q$1501="Collection 收款")*('Daily Sale entry '!$R$2:$R$1501="Cheque 支票")*('Daily Sale entry '!$V$2:$V$1501&lt;&gt;"")*('Daily Sale entry '!$V$2:$V$1501&lt;=$A268)*('Daily Sale entry '!$S$2:$S$1501-'Opening Balance'!$B$15*('Daily Sale entry '!$R$2:$R$1501="Cheque 支票")*('Daily Sale entry '!$S$2:$S$1501-TRUNC('Daily Sale entry '!$S$2:$S$1501))))-'Opening Balance'!$B$15*SUMPRODUCT(('Daily Sale entry '!$X$2:$X$1501&lt;=$A268)*('Daily Sale entry '!$Z$2:$Z$1501="Online collection 网上收款")*('Daily Sale entry '!$AA$2:$AA$1501&lt;&gt;"")*('Daily Sale entry '!$AC$2:$AC$1501-TRUNC('Daily Sale entry '!$AC$2:$AC$1501))),2))</f>
        <v/>
      </c>
      <c r="C268" s="8">
        <f>IF($A268="","",'Opening Balance'!$B$5+SUM('Daily Sale entry '!$I$2:I268)-SUMIFS('Daily Sale entry '!$AB$2:$AB$1501,'Daily Sale entry '!$X$2:$X$1501,"&lt;="&amp;$A268,'Daily Sale entry '!$Z$2:$Z$1501,"Cheque deposit 支票存入")-COUNTIFS('Daily Sale entry '!$Q$2:$Q$1501,"Collection 收款",'Daily Sale entry '!$R$2:$R$1501,"Cheque 支票",'Daily Sale entry '!$V$2:$V$1501,"&lt;="&amp;$A268))</f>
        <v/>
      </c>
      <c r="D268" s="6">
        <f>IF($A268="","",ROUND('Opening Balance'!$B$6+SUM('Daily Sale entry '!$J$2:J268)-SUMIFS('Daily Sale entry '!$AC$2:$AC$1501,'Daily Sale entry '!$X$2:$X$1501,"&lt;="&amp;$A268,'Daily Sale entry '!$Z$2:$Z$1501,"Cheque deposit 支票存入")-SUMPRODUCT(('Daily Sale entry '!$Q$2:$Q$1501="Collection 收款")*('Daily Sale entry '!$R$2:$R$1501="Cheque 支票")*('Daily Sale entry '!$V$2:$V$1501&lt;&gt;"")*('Daily Sale entry '!$V$2:$V$1501&lt;=$A268)*('Daily Sale entry '!$S$2:$S$1501-'Opening Balance'!$B$15*('Daily Sale entry '!$R$2:$R$1501="Cheque 支票")*('Daily Sale entry '!$S$2:$S$1501-TRUNC('Daily Sale entry '!$S$2:$S$1501)))),2))</f>
        <v/>
      </c>
      <c r="E268" s="6">
        <f>IF($A268="","",'Opening Balance'!$B$7)</f>
        <v/>
      </c>
      <c r="F268" s="6">
        <f>IF($A268="","",ROUND(SUMIFS('Daily Sale entry '!$L$2:$L$367,'Daily Sale entry '!$A$2:$A$367,"&gt;="&amp;DATE(YEAR($A268),MONTH($A268),1),'Daily Sale entry '!$A$2:$A$367,"&lt;="&amp;$A268)+SUMIFS('Daily Sale entry '!$M$2:$M$367,'Daily Sale entry '!$A$2:$A$367,"&gt;="&amp;DATE(YEAR($A268),MONTH($A268),1),'Daily Sale entry '!$A$2:$A$367,"&lt;="&amp;$A268)+IF(AND(YEAR($A268)=YEAR('Daily Sale entry '!$A$2),MONTH($A268)=MONTH('Daily Sale entry '!$A$2)),'Opening Balance'!$B$8,0),2))</f>
        <v/>
      </c>
      <c r="G268" s="6">
        <f>IF($A268="","",MOD(ROUND('Opening Balance'!$B$9+SUMIFS('Sales &amp; Collection'!$L$1:$L$3727,'Sales &amp; Collection'!$K$1:$K$3727,"cash collection*"),2),'Opening Balance'!$B$11))</f>
        <v/>
      </c>
      <c r="H268" s="6">
        <f>IF($A268="","",ROUND('Opening Balance'!$B$10+'Opening Balance'!$B$9+SUMIFS('Sales &amp; Collection'!$L$1:$L$3727,'Sales &amp; Collection'!$K$1:$K$3727,"cash collection*")-G268-SUMIFS('Daily Sale entry '!$AC$2:$AC$1501,'Daily Sale entry '!$X$2:$X$1501,"&lt;="&amp;$A268,'Daily Sale entry '!$Z$2:$Z$1501,"Cash deposit 现金存入"),2))</f>
        <v/>
      </c>
      <c r="I268" s="6">
        <f>IF($A268="","",ROUND(B268+D268+E268+F268+G268+H268,2))</f>
        <v/>
      </c>
      <c r="J268" s="6">
        <f>IF($A268="","",'AR &amp; AP'!K269)</f>
        <v/>
      </c>
      <c r="K268" s="6">
        <f>IF($A268="","",ROUND(I268-J268-SUMIFS('Daily Sale entry '!$AC$2:$AC$1501,'Daily Sale entry '!$X$2:$X$1501,"&lt;="&amp;$A268,'Daily Sale entry '!$Z$2:$Z$1501,"Other deposit 其他存入")+SUMIFS('Daily Sale entry '!$AD$2:$AD$1501,'Daily Sale entry '!$X$2:$X$1501,"&lt;="&amp;$A268)+('Opening Balance'!$B$8+SUM('Daily Sale entry '!$L$2:M268)-F268),2))</f>
        <v/>
      </c>
      <c r="L268">
        <f>IF($A268="","",IF(ABS('Sales &amp; Collection'!$B$3736)&gt;'Opening Balance'!$B$16,"ALERT 警报: Different "&amp;TEXT('Sales &amp; Collection'!$B$3736,"#,##0.00")&amp;" 差额过大",""))</f>
        <v/>
      </c>
    </row>
    <row r="269">
      <c r="A269" s="5">
        <f>IF('Daily Sale entry '!A269="","",'Daily Sale entry '!A269)</f>
        <v/>
      </c>
      <c r="B269" s="6">
        <f>IF($A269="","",ROUND('Opening Balance'!$B$4+SUM('Daily Sale entry '!$K$2:K269)+SUMIFS('Daily Sale entry '!$AC$2:$AC$1501,'Daily Sale entry '!$X$2:$X$1501,"&lt;="&amp;$A269)-SUMIFS('Daily Sale entry '!$AD$2:$AD$1501,'Daily Sale entry '!$X$2:$X$1501,"&lt;="&amp;$A269)+SUMPRODUCT(('Daily Sale entry '!$Q$2:$Q$1501="Collection 收款")*('Daily Sale entry '!$R$2:$R$1501="Cheque 支票")*('Daily Sale entry '!$V$2:$V$1501&lt;&gt;"")*('Daily Sale entry '!$V$2:$V$1501&lt;=$A269)*('Daily Sale entry '!$S$2:$S$1501-'Opening Balance'!$B$15*('Daily Sale entry '!$R$2:$R$1501="Cheque 支票")*('Daily Sale entry '!$S$2:$S$1501-TRUNC('Daily Sale entry '!$S$2:$S$1501))))-'Opening Balance'!$B$15*SUMPRODUCT(('Daily Sale entry '!$X$2:$X$1501&lt;=$A269)*('Daily Sale entry '!$Z$2:$Z$1501="Online collection 网上收款")*('Daily Sale entry '!$AA$2:$AA$1501&lt;&gt;"")*('Daily Sale entry '!$AC$2:$AC$1501-TRUNC('Daily Sale entry '!$AC$2:$AC$1501))),2))</f>
        <v/>
      </c>
      <c r="C269" s="8">
        <f>IF($A269="","",'Opening Balance'!$B$5+SUM('Daily Sale entry '!$I$2:I269)-SUMIFS('Daily Sale entry '!$AB$2:$AB$1501,'Daily Sale entry '!$X$2:$X$1501,"&lt;="&amp;$A269,'Daily Sale entry '!$Z$2:$Z$1501,"Cheque deposit 支票存入")-COUNTIFS('Daily Sale entry '!$Q$2:$Q$1501,"Collection 收款",'Daily Sale entry '!$R$2:$R$1501,"Cheque 支票",'Daily Sale entry '!$V$2:$V$1501,"&lt;="&amp;$A269))</f>
        <v/>
      </c>
      <c r="D269" s="6">
        <f>IF($A269="","",ROUND('Opening Balance'!$B$6+SUM('Daily Sale entry '!$J$2:J269)-SUMIFS('Daily Sale entry '!$AC$2:$AC$1501,'Daily Sale entry '!$X$2:$X$1501,"&lt;="&amp;$A269,'Daily Sale entry '!$Z$2:$Z$1501,"Cheque deposit 支票存入")-SUMPRODUCT(('Daily Sale entry '!$Q$2:$Q$1501="Collection 收款")*('Daily Sale entry '!$R$2:$R$1501="Cheque 支票")*('Daily Sale entry '!$V$2:$V$1501&lt;&gt;"")*('Daily Sale entry '!$V$2:$V$1501&lt;=$A269)*('Daily Sale entry '!$S$2:$S$1501-'Opening Balance'!$B$15*('Daily Sale entry '!$R$2:$R$1501="Cheque 支票")*('Daily Sale entry '!$S$2:$S$1501-TRUNC('Daily Sale entry '!$S$2:$S$1501)))),2))</f>
        <v/>
      </c>
      <c r="E269" s="6">
        <f>IF($A269="","",'Opening Balance'!$B$7)</f>
        <v/>
      </c>
      <c r="F269" s="6">
        <f>IF($A269="","",ROUND(SUMIFS('Daily Sale entry '!$L$2:$L$367,'Daily Sale entry '!$A$2:$A$367,"&gt;="&amp;DATE(YEAR($A269),MONTH($A269),1),'Daily Sale entry '!$A$2:$A$367,"&lt;="&amp;$A269)+SUMIFS('Daily Sale entry '!$M$2:$M$367,'Daily Sale entry '!$A$2:$A$367,"&gt;="&amp;DATE(YEAR($A269),MONTH($A269),1),'Daily Sale entry '!$A$2:$A$367,"&lt;="&amp;$A269)+IF(AND(YEAR($A269)=YEAR('Daily Sale entry '!$A$2),MONTH($A269)=MONTH('Daily Sale entry '!$A$2)),'Opening Balance'!$B$8,0),2))</f>
        <v/>
      </c>
      <c r="G269" s="6">
        <f>IF($A269="","",MOD(ROUND('Opening Balance'!$B$9+SUMIFS('Sales &amp; Collection'!$L$1:$L$3741,'Sales &amp; Collection'!$K$1:$K$3741,"cash collection*"),2),'Opening Balance'!$B$11))</f>
        <v/>
      </c>
      <c r="H269" s="6">
        <f>IF($A269="","",ROUND('Opening Balance'!$B$10+'Opening Balance'!$B$9+SUMIFS('Sales &amp; Collection'!$L$1:$L$3741,'Sales &amp; Collection'!$K$1:$K$3741,"cash collection*")-G269-SUMIFS('Daily Sale entry '!$AC$2:$AC$1501,'Daily Sale entry '!$X$2:$X$1501,"&lt;="&amp;$A269,'Daily Sale entry '!$Z$2:$Z$1501,"Cash deposit 现金存入"),2))</f>
        <v/>
      </c>
      <c r="I269" s="6">
        <f>IF($A269="","",ROUND(B269+D269+E269+F269+G269+H269,2))</f>
        <v/>
      </c>
      <c r="J269" s="6">
        <f>IF($A269="","",'AR &amp; AP'!K270)</f>
        <v/>
      </c>
      <c r="K269" s="6">
        <f>IF($A269="","",ROUND(I269-J269-SUMIFS('Daily Sale entry '!$AC$2:$AC$1501,'Daily Sale entry '!$X$2:$X$1501,"&lt;="&amp;$A269,'Daily Sale entry '!$Z$2:$Z$1501,"Other deposit 其他存入")+SUMIFS('Daily Sale entry '!$AD$2:$AD$1501,'Daily Sale entry '!$X$2:$X$1501,"&lt;="&amp;$A269)+('Opening Balance'!$B$8+SUM('Daily Sale entry '!$L$2:M269)-F269),2))</f>
        <v/>
      </c>
      <c r="L269">
        <f>IF($A269="","",IF(ABS('Sales &amp; Collection'!$B$3750)&gt;'Opening Balance'!$B$16,"ALERT 警报: Different "&amp;TEXT('Sales &amp; Collection'!$B$3750,"#,##0.00")&amp;" 差额过大",""))</f>
        <v/>
      </c>
    </row>
    <row r="270">
      <c r="A270" s="5">
        <f>IF('Daily Sale entry '!A270="","",'Daily Sale entry '!A270)</f>
        <v/>
      </c>
      <c r="B270" s="6">
        <f>IF($A270="","",ROUND('Opening Balance'!$B$4+SUM('Daily Sale entry '!$K$2:K270)+SUMIFS('Daily Sale entry '!$AC$2:$AC$1501,'Daily Sale entry '!$X$2:$X$1501,"&lt;="&amp;$A270)-SUMIFS('Daily Sale entry '!$AD$2:$AD$1501,'Daily Sale entry '!$X$2:$X$1501,"&lt;="&amp;$A270)+SUMPRODUCT(('Daily Sale entry '!$Q$2:$Q$1501="Collection 收款")*('Daily Sale entry '!$R$2:$R$1501="Cheque 支票")*('Daily Sale entry '!$V$2:$V$1501&lt;&gt;"")*('Daily Sale entry '!$V$2:$V$1501&lt;=$A270)*('Daily Sale entry '!$S$2:$S$1501-'Opening Balance'!$B$15*('Daily Sale entry '!$R$2:$R$1501="Cheque 支票")*('Daily Sale entry '!$S$2:$S$1501-TRUNC('Daily Sale entry '!$S$2:$S$1501))))-'Opening Balance'!$B$15*SUMPRODUCT(('Daily Sale entry '!$X$2:$X$1501&lt;=$A270)*('Daily Sale entry '!$Z$2:$Z$1501="Online collection 网上收款")*('Daily Sale entry '!$AA$2:$AA$1501&lt;&gt;"")*('Daily Sale entry '!$AC$2:$AC$1501-TRUNC('Daily Sale entry '!$AC$2:$AC$1501))),2))</f>
        <v/>
      </c>
      <c r="C270" s="8">
        <f>IF($A270="","",'Opening Balance'!$B$5+SUM('Daily Sale entry '!$I$2:I270)-SUMIFS('Daily Sale entry '!$AB$2:$AB$1501,'Daily Sale entry '!$X$2:$X$1501,"&lt;="&amp;$A270,'Daily Sale entry '!$Z$2:$Z$1501,"Cheque deposit 支票存入")-COUNTIFS('Daily Sale entry '!$Q$2:$Q$1501,"Collection 收款",'Daily Sale entry '!$R$2:$R$1501,"Cheque 支票",'Daily Sale entry '!$V$2:$V$1501,"&lt;="&amp;$A270))</f>
        <v/>
      </c>
      <c r="D270" s="6">
        <f>IF($A270="","",ROUND('Opening Balance'!$B$6+SUM('Daily Sale entry '!$J$2:J270)-SUMIFS('Daily Sale entry '!$AC$2:$AC$1501,'Daily Sale entry '!$X$2:$X$1501,"&lt;="&amp;$A270,'Daily Sale entry '!$Z$2:$Z$1501,"Cheque deposit 支票存入")-SUMPRODUCT(('Daily Sale entry '!$Q$2:$Q$1501="Collection 收款")*('Daily Sale entry '!$R$2:$R$1501="Cheque 支票")*('Daily Sale entry '!$V$2:$V$1501&lt;&gt;"")*('Daily Sale entry '!$V$2:$V$1501&lt;=$A270)*('Daily Sale entry '!$S$2:$S$1501-'Opening Balance'!$B$15*('Daily Sale entry '!$R$2:$R$1501="Cheque 支票")*('Daily Sale entry '!$S$2:$S$1501-TRUNC('Daily Sale entry '!$S$2:$S$1501)))),2))</f>
        <v/>
      </c>
      <c r="E270" s="6">
        <f>IF($A270="","",'Opening Balance'!$B$7)</f>
        <v/>
      </c>
      <c r="F270" s="6">
        <f>IF($A270="","",ROUND(SUMIFS('Daily Sale entry '!$L$2:$L$367,'Daily Sale entry '!$A$2:$A$367,"&gt;="&amp;DATE(YEAR($A270),MONTH($A270),1),'Daily Sale entry '!$A$2:$A$367,"&lt;="&amp;$A270)+SUMIFS('Daily Sale entry '!$M$2:$M$367,'Daily Sale entry '!$A$2:$A$367,"&gt;="&amp;DATE(YEAR($A270),MONTH($A270),1),'Daily Sale entry '!$A$2:$A$367,"&lt;="&amp;$A270)+IF(AND(YEAR($A270)=YEAR('Daily Sale entry '!$A$2),MONTH($A270)=MONTH('Daily Sale entry '!$A$2)),'Opening Balance'!$B$8,0),2))</f>
        <v/>
      </c>
      <c r="G270" s="6">
        <f>IF($A270="","",MOD(ROUND('Opening Balance'!$B$9+SUMIFS('Sales &amp; Collection'!$L$1:$L$3755,'Sales &amp; Collection'!$K$1:$K$3755,"cash collection*"),2),'Opening Balance'!$B$11))</f>
        <v/>
      </c>
      <c r="H270" s="6">
        <f>IF($A270="","",ROUND('Opening Balance'!$B$10+'Opening Balance'!$B$9+SUMIFS('Sales &amp; Collection'!$L$1:$L$3755,'Sales &amp; Collection'!$K$1:$K$3755,"cash collection*")-G270-SUMIFS('Daily Sale entry '!$AC$2:$AC$1501,'Daily Sale entry '!$X$2:$X$1501,"&lt;="&amp;$A270,'Daily Sale entry '!$Z$2:$Z$1501,"Cash deposit 现金存入"),2))</f>
        <v/>
      </c>
      <c r="I270" s="6">
        <f>IF($A270="","",ROUND(B270+D270+E270+F270+G270+H270,2))</f>
        <v/>
      </c>
      <c r="J270" s="6">
        <f>IF($A270="","",'AR &amp; AP'!K271)</f>
        <v/>
      </c>
      <c r="K270" s="6">
        <f>IF($A270="","",ROUND(I270-J270-SUMIFS('Daily Sale entry '!$AC$2:$AC$1501,'Daily Sale entry '!$X$2:$X$1501,"&lt;="&amp;$A270,'Daily Sale entry '!$Z$2:$Z$1501,"Other deposit 其他存入")+SUMIFS('Daily Sale entry '!$AD$2:$AD$1501,'Daily Sale entry '!$X$2:$X$1501,"&lt;="&amp;$A270)+('Opening Balance'!$B$8+SUM('Daily Sale entry '!$L$2:M270)-F270),2))</f>
        <v/>
      </c>
      <c r="L270">
        <f>IF($A270="","",IF(ABS('Sales &amp; Collection'!$B$3764)&gt;'Opening Balance'!$B$16,"ALERT 警报: Different "&amp;TEXT('Sales &amp; Collection'!$B$3764,"#,##0.00")&amp;" 差额过大",""))</f>
        <v/>
      </c>
    </row>
    <row r="271">
      <c r="A271" s="5">
        <f>IF('Daily Sale entry '!A271="","",'Daily Sale entry '!A271)</f>
        <v/>
      </c>
      <c r="B271" s="6">
        <f>IF($A271="","",ROUND('Opening Balance'!$B$4+SUM('Daily Sale entry '!$K$2:K271)+SUMIFS('Daily Sale entry '!$AC$2:$AC$1501,'Daily Sale entry '!$X$2:$X$1501,"&lt;="&amp;$A271)-SUMIFS('Daily Sale entry '!$AD$2:$AD$1501,'Daily Sale entry '!$X$2:$X$1501,"&lt;="&amp;$A271)+SUMPRODUCT(('Daily Sale entry '!$Q$2:$Q$1501="Collection 收款")*('Daily Sale entry '!$R$2:$R$1501="Cheque 支票")*('Daily Sale entry '!$V$2:$V$1501&lt;&gt;"")*('Daily Sale entry '!$V$2:$V$1501&lt;=$A271)*('Daily Sale entry '!$S$2:$S$1501-'Opening Balance'!$B$15*('Daily Sale entry '!$R$2:$R$1501="Cheque 支票")*('Daily Sale entry '!$S$2:$S$1501-TRUNC('Daily Sale entry '!$S$2:$S$1501))))-'Opening Balance'!$B$15*SUMPRODUCT(('Daily Sale entry '!$X$2:$X$1501&lt;=$A271)*('Daily Sale entry '!$Z$2:$Z$1501="Online collection 网上收款")*('Daily Sale entry '!$AA$2:$AA$1501&lt;&gt;"")*('Daily Sale entry '!$AC$2:$AC$1501-TRUNC('Daily Sale entry '!$AC$2:$AC$1501))),2))</f>
        <v/>
      </c>
      <c r="C271" s="8">
        <f>IF($A271="","",'Opening Balance'!$B$5+SUM('Daily Sale entry '!$I$2:I271)-SUMIFS('Daily Sale entry '!$AB$2:$AB$1501,'Daily Sale entry '!$X$2:$X$1501,"&lt;="&amp;$A271,'Daily Sale entry '!$Z$2:$Z$1501,"Cheque deposit 支票存入")-COUNTIFS('Daily Sale entry '!$Q$2:$Q$1501,"Collection 收款",'Daily Sale entry '!$R$2:$R$1501,"Cheque 支票",'Daily Sale entry '!$V$2:$V$1501,"&lt;="&amp;$A271))</f>
        <v/>
      </c>
      <c r="D271" s="6">
        <f>IF($A271="","",ROUND('Opening Balance'!$B$6+SUM('Daily Sale entry '!$J$2:J271)-SUMIFS('Daily Sale entry '!$AC$2:$AC$1501,'Daily Sale entry '!$X$2:$X$1501,"&lt;="&amp;$A271,'Daily Sale entry '!$Z$2:$Z$1501,"Cheque deposit 支票存入")-SUMPRODUCT(('Daily Sale entry '!$Q$2:$Q$1501="Collection 收款")*('Daily Sale entry '!$R$2:$R$1501="Cheque 支票")*('Daily Sale entry '!$V$2:$V$1501&lt;&gt;"")*('Daily Sale entry '!$V$2:$V$1501&lt;=$A271)*('Daily Sale entry '!$S$2:$S$1501-'Opening Balance'!$B$15*('Daily Sale entry '!$R$2:$R$1501="Cheque 支票")*('Daily Sale entry '!$S$2:$S$1501-TRUNC('Daily Sale entry '!$S$2:$S$1501)))),2))</f>
        <v/>
      </c>
      <c r="E271" s="6">
        <f>IF($A271="","",'Opening Balance'!$B$7)</f>
        <v/>
      </c>
      <c r="F271" s="6">
        <f>IF($A271="","",ROUND(SUMIFS('Daily Sale entry '!$L$2:$L$367,'Daily Sale entry '!$A$2:$A$367,"&gt;="&amp;DATE(YEAR($A271),MONTH($A271),1),'Daily Sale entry '!$A$2:$A$367,"&lt;="&amp;$A271)+SUMIFS('Daily Sale entry '!$M$2:$M$367,'Daily Sale entry '!$A$2:$A$367,"&gt;="&amp;DATE(YEAR($A271),MONTH($A271),1),'Daily Sale entry '!$A$2:$A$367,"&lt;="&amp;$A271)+IF(AND(YEAR($A271)=YEAR('Daily Sale entry '!$A$2),MONTH($A271)=MONTH('Daily Sale entry '!$A$2)),'Opening Balance'!$B$8,0),2))</f>
        <v/>
      </c>
      <c r="G271" s="6">
        <f>IF($A271="","",MOD(ROUND('Opening Balance'!$B$9+SUMIFS('Sales &amp; Collection'!$L$1:$L$3769,'Sales &amp; Collection'!$K$1:$K$3769,"cash collection*"),2),'Opening Balance'!$B$11))</f>
        <v/>
      </c>
      <c r="H271" s="6">
        <f>IF($A271="","",ROUND('Opening Balance'!$B$10+'Opening Balance'!$B$9+SUMIFS('Sales &amp; Collection'!$L$1:$L$3769,'Sales &amp; Collection'!$K$1:$K$3769,"cash collection*")-G271-SUMIFS('Daily Sale entry '!$AC$2:$AC$1501,'Daily Sale entry '!$X$2:$X$1501,"&lt;="&amp;$A271,'Daily Sale entry '!$Z$2:$Z$1501,"Cash deposit 现金存入"),2))</f>
        <v/>
      </c>
      <c r="I271" s="6">
        <f>IF($A271="","",ROUND(B271+D271+E271+F271+G271+H271,2))</f>
        <v/>
      </c>
      <c r="J271" s="6">
        <f>IF($A271="","",'AR &amp; AP'!K272)</f>
        <v/>
      </c>
      <c r="K271" s="6">
        <f>IF($A271="","",ROUND(I271-J271-SUMIFS('Daily Sale entry '!$AC$2:$AC$1501,'Daily Sale entry '!$X$2:$X$1501,"&lt;="&amp;$A271,'Daily Sale entry '!$Z$2:$Z$1501,"Other deposit 其他存入")+SUMIFS('Daily Sale entry '!$AD$2:$AD$1501,'Daily Sale entry '!$X$2:$X$1501,"&lt;="&amp;$A271)+('Opening Balance'!$B$8+SUM('Daily Sale entry '!$L$2:M271)-F271),2))</f>
        <v/>
      </c>
      <c r="L271">
        <f>IF($A271="","",IF(ABS('Sales &amp; Collection'!$B$3778)&gt;'Opening Balance'!$B$16,"ALERT 警报: Different "&amp;TEXT('Sales &amp; Collection'!$B$3778,"#,##0.00")&amp;" 差额过大",""))</f>
        <v/>
      </c>
    </row>
    <row r="272">
      <c r="A272" s="5">
        <f>IF('Daily Sale entry '!A272="","",'Daily Sale entry '!A272)</f>
        <v/>
      </c>
      <c r="B272" s="6">
        <f>IF($A272="","",ROUND('Opening Balance'!$B$4+SUM('Daily Sale entry '!$K$2:K272)+SUMIFS('Daily Sale entry '!$AC$2:$AC$1501,'Daily Sale entry '!$X$2:$X$1501,"&lt;="&amp;$A272)-SUMIFS('Daily Sale entry '!$AD$2:$AD$1501,'Daily Sale entry '!$X$2:$X$1501,"&lt;="&amp;$A272)+SUMPRODUCT(('Daily Sale entry '!$Q$2:$Q$1501="Collection 收款")*('Daily Sale entry '!$R$2:$R$1501="Cheque 支票")*('Daily Sale entry '!$V$2:$V$1501&lt;&gt;"")*('Daily Sale entry '!$V$2:$V$1501&lt;=$A272)*('Daily Sale entry '!$S$2:$S$1501-'Opening Balance'!$B$15*('Daily Sale entry '!$R$2:$R$1501="Cheque 支票")*('Daily Sale entry '!$S$2:$S$1501-TRUNC('Daily Sale entry '!$S$2:$S$1501))))-'Opening Balance'!$B$15*SUMPRODUCT(('Daily Sale entry '!$X$2:$X$1501&lt;=$A272)*('Daily Sale entry '!$Z$2:$Z$1501="Online collection 网上收款")*('Daily Sale entry '!$AA$2:$AA$1501&lt;&gt;"")*('Daily Sale entry '!$AC$2:$AC$1501-TRUNC('Daily Sale entry '!$AC$2:$AC$1501))),2))</f>
        <v/>
      </c>
      <c r="C272" s="8">
        <f>IF($A272="","",'Opening Balance'!$B$5+SUM('Daily Sale entry '!$I$2:I272)-SUMIFS('Daily Sale entry '!$AB$2:$AB$1501,'Daily Sale entry '!$X$2:$X$1501,"&lt;="&amp;$A272,'Daily Sale entry '!$Z$2:$Z$1501,"Cheque deposit 支票存入")-COUNTIFS('Daily Sale entry '!$Q$2:$Q$1501,"Collection 收款",'Daily Sale entry '!$R$2:$R$1501,"Cheque 支票",'Daily Sale entry '!$V$2:$V$1501,"&lt;="&amp;$A272))</f>
        <v/>
      </c>
      <c r="D272" s="6">
        <f>IF($A272="","",ROUND('Opening Balance'!$B$6+SUM('Daily Sale entry '!$J$2:J272)-SUMIFS('Daily Sale entry '!$AC$2:$AC$1501,'Daily Sale entry '!$X$2:$X$1501,"&lt;="&amp;$A272,'Daily Sale entry '!$Z$2:$Z$1501,"Cheque deposit 支票存入")-SUMPRODUCT(('Daily Sale entry '!$Q$2:$Q$1501="Collection 收款")*('Daily Sale entry '!$R$2:$R$1501="Cheque 支票")*('Daily Sale entry '!$V$2:$V$1501&lt;&gt;"")*('Daily Sale entry '!$V$2:$V$1501&lt;=$A272)*('Daily Sale entry '!$S$2:$S$1501-'Opening Balance'!$B$15*('Daily Sale entry '!$R$2:$R$1501="Cheque 支票")*('Daily Sale entry '!$S$2:$S$1501-TRUNC('Daily Sale entry '!$S$2:$S$1501)))),2))</f>
        <v/>
      </c>
      <c r="E272" s="6">
        <f>IF($A272="","",'Opening Balance'!$B$7)</f>
        <v/>
      </c>
      <c r="F272" s="6">
        <f>IF($A272="","",ROUND(SUMIFS('Daily Sale entry '!$L$2:$L$367,'Daily Sale entry '!$A$2:$A$367,"&gt;="&amp;DATE(YEAR($A272),MONTH($A272),1),'Daily Sale entry '!$A$2:$A$367,"&lt;="&amp;$A272)+SUMIFS('Daily Sale entry '!$M$2:$M$367,'Daily Sale entry '!$A$2:$A$367,"&gt;="&amp;DATE(YEAR($A272),MONTH($A272),1),'Daily Sale entry '!$A$2:$A$367,"&lt;="&amp;$A272)+IF(AND(YEAR($A272)=YEAR('Daily Sale entry '!$A$2),MONTH($A272)=MONTH('Daily Sale entry '!$A$2)),'Opening Balance'!$B$8,0),2))</f>
        <v/>
      </c>
      <c r="G272" s="6">
        <f>IF($A272="","",MOD(ROUND('Opening Balance'!$B$9+SUMIFS('Sales &amp; Collection'!$L$1:$L$3783,'Sales &amp; Collection'!$K$1:$K$3783,"cash collection*"),2),'Opening Balance'!$B$11))</f>
        <v/>
      </c>
      <c r="H272" s="6">
        <f>IF($A272="","",ROUND('Opening Balance'!$B$10+'Opening Balance'!$B$9+SUMIFS('Sales &amp; Collection'!$L$1:$L$3783,'Sales &amp; Collection'!$K$1:$K$3783,"cash collection*")-G272-SUMIFS('Daily Sale entry '!$AC$2:$AC$1501,'Daily Sale entry '!$X$2:$X$1501,"&lt;="&amp;$A272,'Daily Sale entry '!$Z$2:$Z$1501,"Cash deposit 现金存入"),2))</f>
        <v/>
      </c>
      <c r="I272" s="6">
        <f>IF($A272="","",ROUND(B272+D272+E272+F272+G272+H272,2))</f>
        <v/>
      </c>
      <c r="J272" s="6">
        <f>IF($A272="","",'AR &amp; AP'!K273)</f>
        <v/>
      </c>
      <c r="K272" s="6">
        <f>IF($A272="","",ROUND(I272-J272-SUMIFS('Daily Sale entry '!$AC$2:$AC$1501,'Daily Sale entry '!$X$2:$X$1501,"&lt;="&amp;$A272,'Daily Sale entry '!$Z$2:$Z$1501,"Other deposit 其他存入")+SUMIFS('Daily Sale entry '!$AD$2:$AD$1501,'Daily Sale entry '!$X$2:$X$1501,"&lt;="&amp;$A272)+('Opening Balance'!$B$8+SUM('Daily Sale entry '!$L$2:M272)-F272),2))</f>
        <v/>
      </c>
      <c r="L272">
        <f>IF($A272="","",IF(ABS('Sales &amp; Collection'!$B$3792)&gt;'Opening Balance'!$B$16,"ALERT 警报: Different "&amp;TEXT('Sales &amp; Collection'!$B$3792,"#,##0.00")&amp;" 差额过大",""))</f>
        <v/>
      </c>
    </row>
    <row r="273">
      <c r="A273" s="5">
        <f>IF('Daily Sale entry '!A273="","",'Daily Sale entry '!A273)</f>
        <v/>
      </c>
      <c r="B273" s="6">
        <f>IF($A273="","",ROUND('Opening Balance'!$B$4+SUM('Daily Sale entry '!$K$2:K273)+SUMIFS('Daily Sale entry '!$AC$2:$AC$1501,'Daily Sale entry '!$X$2:$X$1501,"&lt;="&amp;$A273)-SUMIFS('Daily Sale entry '!$AD$2:$AD$1501,'Daily Sale entry '!$X$2:$X$1501,"&lt;="&amp;$A273)+SUMPRODUCT(('Daily Sale entry '!$Q$2:$Q$1501="Collection 收款")*('Daily Sale entry '!$R$2:$R$1501="Cheque 支票")*('Daily Sale entry '!$V$2:$V$1501&lt;&gt;"")*('Daily Sale entry '!$V$2:$V$1501&lt;=$A273)*('Daily Sale entry '!$S$2:$S$1501-'Opening Balance'!$B$15*('Daily Sale entry '!$R$2:$R$1501="Cheque 支票")*('Daily Sale entry '!$S$2:$S$1501-TRUNC('Daily Sale entry '!$S$2:$S$1501))))-'Opening Balance'!$B$15*SUMPRODUCT(('Daily Sale entry '!$X$2:$X$1501&lt;=$A273)*('Daily Sale entry '!$Z$2:$Z$1501="Online collection 网上收款")*('Daily Sale entry '!$AA$2:$AA$1501&lt;&gt;"")*('Daily Sale entry '!$AC$2:$AC$1501-TRUNC('Daily Sale entry '!$AC$2:$AC$1501))),2))</f>
        <v/>
      </c>
      <c r="C273" s="8">
        <f>IF($A273="","",'Opening Balance'!$B$5+SUM('Daily Sale entry '!$I$2:I273)-SUMIFS('Daily Sale entry '!$AB$2:$AB$1501,'Daily Sale entry '!$X$2:$X$1501,"&lt;="&amp;$A273,'Daily Sale entry '!$Z$2:$Z$1501,"Cheque deposit 支票存入")-COUNTIFS('Daily Sale entry '!$Q$2:$Q$1501,"Collection 收款",'Daily Sale entry '!$R$2:$R$1501,"Cheque 支票",'Daily Sale entry '!$V$2:$V$1501,"&lt;="&amp;$A273))</f>
        <v/>
      </c>
      <c r="D273" s="6">
        <f>IF($A273="","",ROUND('Opening Balance'!$B$6+SUM('Daily Sale entry '!$J$2:J273)-SUMIFS('Daily Sale entry '!$AC$2:$AC$1501,'Daily Sale entry '!$X$2:$X$1501,"&lt;="&amp;$A273,'Daily Sale entry '!$Z$2:$Z$1501,"Cheque deposit 支票存入")-SUMPRODUCT(('Daily Sale entry '!$Q$2:$Q$1501="Collection 收款")*('Daily Sale entry '!$R$2:$R$1501="Cheque 支票")*('Daily Sale entry '!$V$2:$V$1501&lt;&gt;"")*('Daily Sale entry '!$V$2:$V$1501&lt;=$A273)*('Daily Sale entry '!$S$2:$S$1501-'Opening Balance'!$B$15*('Daily Sale entry '!$R$2:$R$1501="Cheque 支票")*('Daily Sale entry '!$S$2:$S$1501-TRUNC('Daily Sale entry '!$S$2:$S$1501)))),2))</f>
        <v/>
      </c>
      <c r="E273" s="6">
        <f>IF($A273="","",'Opening Balance'!$B$7)</f>
        <v/>
      </c>
      <c r="F273" s="6">
        <f>IF($A273="","",ROUND(SUMIFS('Daily Sale entry '!$L$2:$L$367,'Daily Sale entry '!$A$2:$A$367,"&gt;="&amp;DATE(YEAR($A273),MONTH($A273),1),'Daily Sale entry '!$A$2:$A$367,"&lt;="&amp;$A273)+SUMIFS('Daily Sale entry '!$M$2:$M$367,'Daily Sale entry '!$A$2:$A$367,"&gt;="&amp;DATE(YEAR($A273),MONTH($A273),1),'Daily Sale entry '!$A$2:$A$367,"&lt;="&amp;$A273)+IF(AND(YEAR($A273)=YEAR('Daily Sale entry '!$A$2),MONTH($A273)=MONTH('Daily Sale entry '!$A$2)),'Opening Balance'!$B$8,0),2))</f>
        <v/>
      </c>
      <c r="G273" s="6">
        <f>IF($A273="","",MOD(ROUND('Opening Balance'!$B$9+SUMIFS('Sales &amp; Collection'!$L$1:$L$3797,'Sales &amp; Collection'!$K$1:$K$3797,"cash collection*"),2),'Opening Balance'!$B$11))</f>
        <v/>
      </c>
      <c r="H273" s="6">
        <f>IF($A273="","",ROUND('Opening Balance'!$B$10+'Opening Balance'!$B$9+SUMIFS('Sales &amp; Collection'!$L$1:$L$3797,'Sales &amp; Collection'!$K$1:$K$3797,"cash collection*")-G273-SUMIFS('Daily Sale entry '!$AC$2:$AC$1501,'Daily Sale entry '!$X$2:$X$1501,"&lt;="&amp;$A273,'Daily Sale entry '!$Z$2:$Z$1501,"Cash deposit 现金存入"),2))</f>
        <v/>
      </c>
      <c r="I273" s="6">
        <f>IF($A273="","",ROUND(B273+D273+E273+F273+G273+H273,2))</f>
        <v/>
      </c>
      <c r="J273" s="6">
        <f>IF($A273="","",'AR &amp; AP'!K274)</f>
        <v/>
      </c>
      <c r="K273" s="6">
        <f>IF($A273="","",ROUND(I273-J273-SUMIFS('Daily Sale entry '!$AC$2:$AC$1501,'Daily Sale entry '!$X$2:$X$1501,"&lt;="&amp;$A273,'Daily Sale entry '!$Z$2:$Z$1501,"Other deposit 其他存入")+SUMIFS('Daily Sale entry '!$AD$2:$AD$1501,'Daily Sale entry '!$X$2:$X$1501,"&lt;="&amp;$A273)+('Opening Balance'!$B$8+SUM('Daily Sale entry '!$L$2:M273)-F273),2))</f>
        <v/>
      </c>
      <c r="L273">
        <f>IF($A273="","",IF(ABS('Sales &amp; Collection'!$B$3806)&gt;'Opening Balance'!$B$16,"ALERT 警报: Different "&amp;TEXT('Sales &amp; Collection'!$B$3806,"#,##0.00")&amp;" 差额过大",""))</f>
        <v/>
      </c>
    </row>
    <row r="274">
      <c r="A274" s="5">
        <f>IF('Daily Sale entry '!A274="","",'Daily Sale entry '!A274)</f>
        <v/>
      </c>
      <c r="B274" s="6">
        <f>IF($A274="","",ROUND('Opening Balance'!$B$4+SUM('Daily Sale entry '!$K$2:K274)+SUMIFS('Daily Sale entry '!$AC$2:$AC$1501,'Daily Sale entry '!$X$2:$X$1501,"&lt;="&amp;$A274)-SUMIFS('Daily Sale entry '!$AD$2:$AD$1501,'Daily Sale entry '!$X$2:$X$1501,"&lt;="&amp;$A274)+SUMPRODUCT(('Daily Sale entry '!$Q$2:$Q$1501="Collection 收款")*('Daily Sale entry '!$R$2:$R$1501="Cheque 支票")*('Daily Sale entry '!$V$2:$V$1501&lt;&gt;"")*('Daily Sale entry '!$V$2:$V$1501&lt;=$A274)*('Daily Sale entry '!$S$2:$S$1501-'Opening Balance'!$B$15*('Daily Sale entry '!$R$2:$R$1501="Cheque 支票")*('Daily Sale entry '!$S$2:$S$1501-TRUNC('Daily Sale entry '!$S$2:$S$1501))))-'Opening Balance'!$B$15*SUMPRODUCT(('Daily Sale entry '!$X$2:$X$1501&lt;=$A274)*('Daily Sale entry '!$Z$2:$Z$1501="Online collection 网上收款")*('Daily Sale entry '!$AA$2:$AA$1501&lt;&gt;"")*('Daily Sale entry '!$AC$2:$AC$1501-TRUNC('Daily Sale entry '!$AC$2:$AC$1501))),2))</f>
        <v/>
      </c>
      <c r="C274" s="8">
        <f>IF($A274="","",'Opening Balance'!$B$5+SUM('Daily Sale entry '!$I$2:I274)-SUMIFS('Daily Sale entry '!$AB$2:$AB$1501,'Daily Sale entry '!$X$2:$X$1501,"&lt;="&amp;$A274,'Daily Sale entry '!$Z$2:$Z$1501,"Cheque deposit 支票存入")-COUNTIFS('Daily Sale entry '!$Q$2:$Q$1501,"Collection 收款",'Daily Sale entry '!$R$2:$R$1501,"Cheque 支票",'Daily Sale entry '!$V$2:$V$1501,"&lt;="&amp;$A274))</f>
        <v/>
      </c>
      <c r="D274" s="6">
        <f>IF($A274="","",ROUND('Opening Balance'!$B$6+SUM('Daily Sale entry '!$J$2:J274)-SUMIFS('Daily Sale entry '!$AC$2:$AC$1501,'Daily Sale entry '!$X$2:$X$1501,"&lt;="&amp;$A274,'Daily Sale entry '!$Z$2:$Z$1501,"Cheque deposit 支票存入")-SUMPRODUCT(('Daily Sale entry '!$Q$2:$Q$1501="Collection 收款")*('Daily Sale entry '!$R$2:$R$1501="Cheque 支票")*('Daily Sale entry '!$V$2:$V$1501&lt;&gt;"")*('Daily Sale entry '!$V$2:$V$1501&lt;=$A274)*('Daily Sale entry '!$S$2:$S$1501-'Opening Balance'!$B$15*('Daily Sale entry '!$R$2:$R$1501="Cheque 支票")*('Daily Sale entry '!$S$2:$S$1501-TRUNC('Daily Sale entry '!$S$2:$S$1501)))),2))</f>
        <v/>
      </c>
      <c r="E274" s="6">
        <f>IF($A274="","",'Opening Balance'!$B$7)</f>
        <v/>
      </c>
      <c r="F274" s="6">
        <f>IF($A274="","",ROUND(SUMIFS('Daily Sale entry '!$L$2:$L$367,'Daily Sale entry '!$A$2:$A$367,"&gt;="&amp;DATE(YEAR($A274),MONTH($A274),1),'Daily Sale entry '!$A$2:$A$367,"&lt;="&amp;$A274)+SUMIFS('Daily Sale entry '!$M$2:$M$367,'Daily Sale entry '!$A$2:$A$367,"&gt;="&amp;DATE(YEAR($A274),MONTH($A274),1),'Daily Sale entry '!$A$2:$A$367,"&lt;="&amp;$A274)+IF(AND(YEAR($A274)=YEAR('Daily Sale entry '!$A$2),MONTH($A274)=MONTH('Daily Sale entry '!$A$2)),'Opening Balance'!$B$8,0),2))</f>
        <v/>
      </c>
      <c r="G274" s="6">
        <f>IF($A274="","",MOD(ROUND('Opening Balance'!$B$9+SUMIFS('Sales &amp; Collection'!$L$1:$L$3811,'Sales &amp; Collection'!$K$1:$K$3811,"cash collection*"),2),'Opening Balance'!$B$11))</f>
        <v/>
      </c>
      <c r="H274" s="6">
        <f>IF($A274="","",ROUND('Opening Balance'!$B$10+'Opening Balance'!$B$9+SUMIFS('Sales &amp; Collection'!$L$1:$L$3811,'Sales &amp; Collection'!$K$1:$K$3811,"cash collection*")-G274-SUMIFS('Daily Sale entry '!$AC$2:$AC$1501,'Daily Sale entry '!$X$2:$X$1501,"&lt;="&amp;$A274,'Daily Sale entry '!$Z$2:$Z$1501,"Cash deposit 现金存入"),2))</f>
        <v/>
      </c>
      <c r="I274" s="6">
        <f>IF($A274="","",ROUND(B274+D274+E274+F274+G274+H274,2))</f>
        <v/>
      </c>
      <c r="J274" s="6">
        <f>IF($A274="","",'AR &amp; AP'!K275)</f>
        <v/>
      </c>
      <c r="K274" s="6">
        <f>IF($A274="","",ROUND(I274-J274-SUMIFS('Daily Sale entry '!$AC$2:$AC$1501,'Daily Sale entry '!$X$2:$X$1501,"&lt;="&amp;$A274,'Daily Sale entry '!$Z$2:$Z$1501,"Other deposit 其他存入")+SUMIFS('Daily Sale entry '!$AD$2:$AD$1501,'Daily Sale entry '!$X$2:$X$1501,"&lt;="&amp;$A274)+('Opening Balance'!$B$8+SUM('Daily Sale entry '!$L$2:M274)-F274),2))</f>
        <v/>
      </c>
      <c r="L274">
        <f>IF($A274="","",IF(ABS('Sales &amp; Collection'!$B$3820)&gt;'Opening Balance'!$B$16,"ALERT 警报: Different "&amp;TEXT('Sales &amp; Collection'!$B$3820,"#,##0.00")&amp;" 差额过大",""))</f>
        <v/>
      </c>
    </row>
    <row r="275">
      <c r="A275" s="5">
        <f>IF('Daily Sale entry '!A275="","",'Daily Sale entry '!A275)</f>
        <v/>
      </c>
      <c r="B275" s="6">
        <f>IF($A275="","",ROUND('Opening Balance'!$B$4+SUM('Daily Sale entry '!$K$2:K275)+SUMIFS('Daily Sale entry '!$AC$2:$AC$1501,'Daily Sale entry '!$X$2:$X$1501,"&lt;="&amp;$A275)-SUMIFS('Daily Sale entry '!$AD$2:$AD$1501,'Daily Sale entry '!$X$2:$X$1501,"&lt;="&amp;$A275)+SUMPRODUCT(('Daily Sale entry '!$Q$2:$Q$1501="Collection 收款")*('Daily Sale entry '!$R$2:$R$1501="Cheque 支票")*('Daily Sale entry '!$V$2:$V$1501&lt;&gt;"")*('Daily Sale entry '!$V$2:$V$1501&lt;=$A275)*('Daily Sale entry '!$S$2:$S$1501-'Opening Balance'!$B$15*('Daily Sale entry '!$R$2:$R$1501="Cheque 支票")*('Daily Sale entry '!$S$2:$S$1501-TRUNC('Daily Sale entry '!$S$2:$S$1501))))-'Opening Balance'!$B$15*SUMPRODUCT(('Daily Sale entry '!$X$2:$X$1501&lt;=$A275)*('Daily Sale entry '!$Z$2:$Z$1501="Online collection 网上收款")*('Daily Sale entry '!$AA$2:$AA$1501&lt;&gt;"")*('Daily Sale entry '!$AC$2:$AC$1501-TRUNC('Daily Sale entry '!$AC$2:$AC$1501))),2))</f>
        <v/>
      </c>
      <c r="C275" s="8">
        <f>IF($A275="","",'Opening Balance'!$B$5+SUM('Daily Sale entry '!$I$2:I275)-SUMIFS('Daily Sale entry '!$AB$2:$AB$1501,'Daily Sale entry '!$X$2:$X$1501,"&lt;="&amp;$A275,'Daily Sale entry '!$Z$2:$Z$1501,"Cheque deposit 支票存入")-COUNTIFS('Daily Sale entry '!$Q$2:$Q$1501,"Collection 收款",'Daily Sale entry '!$R$2:$R$1501,"Cheque 支票",'Daily Sale entry '!$V$2:$V$1501,"&lt;="&amp;$A275))</f>
        <v/>
      </c>
      <c r="D275" s="6">
        <f>IF($A275="","",ROUND('Opening Balance'!$B$6+SUM('Daily Sale entry '!$J$2:J275)-SUMIFS('Daily Sale entry '!$AC$2:$AC$1501,'Daily Sale entry '!$X$2:$X$1501,"&lt;="&amp;$A275,'Daily Sale entry '!$Z$2:$Z$1501,"Cheque deposit 支票存入")-SUMPRODUCT(('Daily Sale entry '!$Q$2:$Q$1501="Collection 收款")*('Daily Sale entry '!$R$2:$R$1501="Cheque 支票")*('Daily Sale entry '!$V$2:$V$1501&lt;&gt;"")*('Daily Sale entry '!$V$2:$V$1501&lt;=$A275)*('Daily Sale entry '!$S$2:$S$1501-'Opening Balance'!$B$15*('Daily Sale entry '!$R$2:$R$1501="Cheque 支票")*('Daily Sale entry '!$S$2:$S$1501-TRUNC('Daily Sale entry '!$S$2:$S$1501)))),2))</f>
        <v/>
      </c>
      <c r="E275" s="6">
        <f>IF($A275="","",'Opening Balance'!$B$7)</f>
        <v/>
      </c>
      <c r="F275" s="6">
        <f>IF($A275="","",ROUND(SUMIFS('Daily Sale entry '!$L$2:$L$367,'Daily Sale entry '!$A$2:$A$367,"&gt;="&amp;DATE(YEAR($A275),MONTH($A275),1),'Daily Sale entry '!$A$2:$A$367,"&lt;="&amp;$A275)+SUMIFS('Daily Sale entry '!$M$2:$M$367,'Daily Sale entry '!$A$2:$A$367,"&gt;="&amp;DATE(YEAR($A275),MONTH($A275),1),'Daily Sale entry '!$A$2:$A$367,"&lt;="&amp;$A275)+IF(AND(YEAR($A275)=YEAR('Daily Sale entry '!$A$2),MONTH($A275)=MONTH('Daily Sale entry '!$A$2)),'Opening Balance'!$B$8,0),2))</f>
        <v/>
      </c>
      <c r="G275" s="6">
        <f>IF($A275="","",MOD(ROUND('Opening Balance'!$B$9+SUMIFS('Sales &amp; Collection'!$L$1:$L$3825,'Sales &amp; Collection'!$K$1:$K$3825,"cash collection*"),2),'Opening Balance'!$B$11))</f>
        <v/>
      </c>
      <c r="H275" s="6">
        <f>IF($A275="","",ROUND('Opening Balance'!$B$10+'Opening Balance'!$B$9+SUMIFS('Sales &amp; Collection'!$L$1:$L$3825,'Sales &amp; Collection'!$K$1:$K$3825,"cash collection*")-G275-SUMIFS('Daily Sale entry '!$AC$2:$AC$1501,'Daily Sale entry '!$X$2:$X$1501,"&lt;="&amp;$A275,'Daily Sale entry '!$Z$2:$Z$1501,"Cash deposit 现金存入"),2))</f>
        <v/>
      </c>
      <c r="I275" s="6">
        <f>IF($A275="","",ROUND(B275+D275+E275+F275+G275+H275,2))</f>
        <v/>
      </c>
      <c r="J275" s="6">
        <f>IF($A275="","",'AR &amp; AP'!K276)</f>
        <v/>
      </c>
      <c r="K275" s="6">
        <f>IF($A275="","",ROUND(I275-J275-SUMIFS('Daily Sale entry '!$AC$2:$AC$1501,'Daily Sale entry '!$X$2:$X$1501,"&lt;="&amp;$A275,'Daily Sale entry '!$Z$2:$Z$1501,"Other deposit 其他存入")+SUMIFS('Daily Sale entry '!$AD$2:$AD$1501,'Daily Sale entry '!$X$2:$X$1501,"&lt;="&amp;$A275)+('Opening Balance'!$B$8+SUM('Daily Sale entry '!$L$2:M275)-F275),2))</f>
        <v/>
      </c>
      <c r="L275">
        <f>IF($A275="","",IF(ABS('Sales &amp; Collection'!$B$3834)&gt;'Opening Balance'!$B$16,"ALERT 警报: Different "&amp;TEXT('Sales &amp; Collection'!$B$3834,"#,##0.00")&amp;" 差额过大",""))</f>
        <v/>
      </c>
    </row>
    <row r="276">
      <c r="A276" s="5">
        <f>IF('Daily Sale entry '!A276="","",'Daily Sale entry '!A276)</f>
        <v/>
      </c>
      <c r="B276" s="6">
        <f>IF($A276="","",ROUND('Opening Balance'!$B$4+SUM('Daily Sale entry '!$K$2:K276)+SUMIFS('Daily Sale entry '!$AC$2:$AC$1501,'Daily Sale entry '!$X$2:$X$1501,"&lt;="&amp;$A276)-SUMIFS('Daily Sale entry '!$AD$2:$AD$1501,'Daily Sale entry '!$X$2:$X$1501,"&lt;="&amp;$A276)+SUMPRODUCT(('Daily Sale entry '!$Q$2:$Q$1501="Collection 收款")*('Daily Sale entry '!$R$2:$R$1501="Cheque 支票")*('Daily Sale entry '!$V$2:$V$1501&lt;&gt;"")*('Daily Sale entry '!$V$2:$V$1501&lt;=$A276)*('Daily Sale entry '!$S$2:$S$1501-'Opening Balance'!$B$15*('Daily Sale entry '!$R$2:$R$1501="Cheque 支票")*('Daily Sale entry '!$S$2:$S$1501-TRUNC('Daily Sale entry '!$S$2:$S$1501))))-'Opening Balance'!$B$15*SUMPRODUCT(('Daily Sale entry '!$X$2:$X$1501&lt;=$A276)*('Daily Sale entry '!$Z$2:$Z$1501="Online collection 网上收款")*('Daily Sale entry '!$AA$2:$AA$1501&lt;&gt;"")*('Daily Sale entry '!$AC$2:$AC$1501-TRUNC('Daily Sale entry '!$AC$2:$AC$1501))),2))</f>
        <v/>
      </c>
      <c r="C276" s="8">
        <f>IF($A276="","",'Opening Balance'!$B$5+SUM('Daily Sale entry '!$I$2:I276)-SUMIFS('Daily Sale entry '!$AB$2:$AB$1501,'Daily Sale entry '!$X$2:$X$1501,"&lt;="&amp;$A276,'Daily Sale entry '!$Z$2:$Z$1501,"Cheque deposit 支票存入")-COUNTIFS('Daily Sale entry '!$Q$2:$Q$1501,"Collection 收款",'Daily Sale entry '!$R$2:$R$1501,"Cheque 支票",'Daily Sale entry '!$V$2:$V$1501,"&lt;="&amp;$A276))</f>
        <v/>
      </c>
      <c r="D276" s="6">
        <f>IF($A276="","",ROUND('Opening Balance'!$B$6+SUM('Daily Sale entry '!$J$2:J276)-SUMIFS('Daily Sale entry '!$AC$2:$AC$1501,'Daily Sale entry '!$X$2:$X$1501,"&lt;="&amp;$A276,'Daily Sale entry '!$Z$2:$Z$1501,"Cheque deposit 支票存入")-SUMPRODUCT(('Daily Sale entry '!$Q$2:$Q$1501="Collection 收款")*('Daily Sale entry '!$R$2:$R$1501="Cheque 支票")*('Daily Sale entry '!$V$2:$V$1501&lt;&gt;"")*('Daily Sale entry '!$V$2:$V$1501&lt;=$A276)*('Daily Sale entry '!$S$2:$S$1501-'Opening Balance'!$B$15*('Daily Sale entry '!$R$2:$R$1501="Cheque 支票")*('Daily Sale entry '!$S$2:$S$1501-TRUNC('Daily Sale entry '!$S$2:$S$1501)))),2))</f>
        <v/>
      </c>
      <c r="E276" s="6">
        <f>IF($A276="","",'Opening Balance'!$B$7)</f>
        <v/>
      </c>
      <c r="F276" s="6">
        <f>IF($A276="","",ROUND(SUMIFS('Daily Sale entry '!$L$2:$L$367,'Daily Sale entry '!$A$2:$A$367,"&gt;="&amp;DATE(YEAR($A276),MONTH($A276),1),'Daily Sale entry '!$A$2:$A$367,"&lt;="&amp;$A276)+SUMIFS('Daily Sale entry '!$M$2:$M$367,'Daily Sale entry '!$A$2:$A$367,"&gt;="&amp;DATE(YEAR($A276),MONTH($A276),1),'Daily Sale entry '!$A$2:$A$367,"&lt;="&amp;$A276)+IF(AND(YEAR($A276)=YEAR('Daily Sale entry '!$A$2),MONTH($A276)=MONTH('Daily Sale entry '!$A$2)),'Opening Balance'!$B$8,0),2))</f>
        <v/>
      </c>
      <c r="G276" s="6">
        <f>IF($A276="","",MOD(ROUND('Opening Balance'!$B$9+SUMIFS('Sales &amp; Collection'!$L$1:$L$3839,'Sales &amp; Collection'!$K$1:$K$3839,"cash collection*"),2),'Opening Balance'!$B$11))</f>
        <v/>
      </c>
      <c r="H276" s="6">
        <f>IF($A276="","",ROUND('Opening Balance'!$B$10+'Opening Balance'!$B$9+SUMIFS('Sales &amp; Collection'!$L$1:$L$3839,'Sales &amp; Collection'!$K$1:$K$3839,"cash collection*")-G276-SUMIFS('Daily Sale entry '!$AC$2:$AC$1501,'Daily Sale entry '!$X$2:$X$1501,"&lt;="&amp;$A276,'Daily Sale entry '!$Z$2:$Z$1501,"Cash deposit 现金存入"),2))</f>
        <v/>
      </c>
      <c r="I276" s="6">
        <f>IF($A276="","",ROUND(B276+D276+E276+F276+G276+H276,2))</f>
        <v/>
      </c>
      <c r="J276" s="6">
        <f>IF($A276="","",'AR &amp; AP'!K277)</f>
        <v/>
      </c>
      <c r="K276" s="6">
        <f>IF($A276="","",ROUND(I276-J276-SUMIFS('Daily Sale entry '!$AC$2:$AC$1501,'Daily Sale entry '!$X$2:$X$1501,"&lt;="&amp;$A276,'Daily Sale entry '!$Z$2:$Z$1501,"Other deposit 其他存入")+SUMIFS('Daily Sale entry '!$AD$2:$AD$1501,'Daily Sale entry '!$X$2:$X$1501,"&lt;="&amp;$A276)+('Opening Balance'!$B$8+SUM('Daily Sale entry '!$L$2:M276)-F276),2))</f>
        <v/>
      </c>
      <c r="L276">
        <f>IF($A276="","",IF(ABS('Sales &amp; Collection'!$B$3848)&gt;'Opening Balance'!$B$16,"ALERT 警报: Different "&amp;TEXT('Sales &amp; Collection'!$B$3848,"#,##0.00")&amp;" 差额过大",""))</f>
        <v/>
      </c>
    </row>
    <row r="277">
      <c r="A277" s="5">
        <f>IF('Daily Sale entry '!A277="","",'Daily Sale entry '!A277)</f>
        <v/>
      </c>
      <c r="B277" s="6">
        <f>IF($A277="","",ROUND('Opening Balance'!$B$4+SUM('Daily Sale entry '!$K$2:K277)+SUMIFS('Daily Sale entry '!$AC$2:$AC$1501,'Daily Sale entry '!$X$2:$X$1501,"&lt;="&amp;$A277)-SUMIFS('Daily Sale entry '!$AD$2:$AD$1501,'Daily Sale entry '!$X$2:$X$1501,"&lt;="&amp;$A277)+SUMPRODUCT(('Daily Sale entry '!$Q$2:$Q$1501="Collection 收款")*('Daily Sale entry '!$R$2:$R$1501="Cheque 支票")*('Daily Sale entry '!$V$2:$V$1501&lt;&gt;"")*('Daily Sale entry '!$V$2:$V$1501&lt;=$A277)*('Daily Sale entry '!$S$2:$S$1501-'Opening Balance'!$B$15*('Daily Sale entry '!$R$2:$R$1501="Cheque 支票")*('Daily Sale entry '!$S$2:$S$1501-TRUNC('Daily Sale entry '!$S$2:$S$1501))))-'Opening Balance'!$B$15*SUMPRODUCT(('Daily Sale entry '!$X$2:$X$1501&lt;=$A277)*('Daily Sale entry '!$Z$2:$Z$1501="Online collection 网上收款")*('Daily Sale entry '!$AA$2:$AA$1501&lt;&gt;"")*('Daily Sale entry '!$AC$2:$AC$1501-TRUNC('Daily Sale entry '!$AC$2:$AC$1501))),2))</f>
        <v/>
      </c>
      <c r="C277" s="8">
        <f>IF($A277="","",'Opening Balance'!$B$5+SUM('Daily Sale entry '!$I$2:I277)-SUMIFS('Daily Sale entry '!$AB$2:$AB$1501,'Daily Sale entry '!$X$2:$X$1501,"&lt;="&amp;$A277,'Daily Sale entry '!$Z$2:$Z$1501,"Cheque deposit 支票存入")-COUNTIFS('Daily Sale entry '!$Q$2:$Q$1501,"Collection 收款",'Daily Sale entry '!$R$2:$R$1501,"Cheque 支票",'Daily Sale entry '!$V$2:$V$1501,"&lt;="&amp;$A277))</f>
        <v/>
      </c>
      <c r="D277" s="6">
        <f>IF($A277="","",ROUND('Opening Balance'!$B$6+SUM('Daily Sale entry '!$J$2:J277)-SUMIFS('Daily Sale entry '!$AC$2:$AC$1501,'Daily Sale entry '!$X$2:$X$1501,"&lt;="&amp;$A277,'Daily Sale entry '!$Z$2:$Z$1501,"Cheque deposit 支票存入")-SUMPRODUCT(('Daily Sale entry '!$Q$2:$Q$1501="Collection 收款")*('Daily Sale entry '!$R$2:$R$1501="Cheque 支票")*('Daily Sale entry '!$V$2:$V$1501&lt;&gt;"")*('Daily Sale entry '!$V$2:$V$1501&lt;=$A277)*('Daily Sale entry '!$S$2:$S$1501-'Opening Balance'!$B$15*('Daily Sale entry '!$R$2:$R$1501="Cheque 支票")*('Daily Sale entry '!$S$2:$S$1501-TRUNC('Daily Sale entry '!$S$2:$S$1501)))),2))</f>
        <v/>
      </c>
      <c r="E277" s="6">
        <f>IF($A277="","",'Opening Balance'!$B$7)</f>
        <v/>
      </c>
      <c r="F277" s="6">
        <f>IF($A277="","",ROUND(SUMIFS('Daily Sale entry '!$L$2:$L$367,'Daily Sale entry '!$A$2:$A$367,"&gt;="&amp;DATE(YEAR($A277),MONTH($A277),1),'Daily Sale entry '!$A$2:$A$367,"&lt;="&amp;$A277)+SUMIFS('Daily Sale entry '!$M$2:$M$367,'Daily Sale entry '!$A$2:$A$367,"&gt;="&amp;DATE(YEAR($A277),MONTH($A277),1),'Daily Sale entry '!$A$2:$A$367,"&lt;="&amp;$A277)+IF(AND(YEAR($A277)=YEAR('Daily Sale entry '!$A$2),MONTH($A277)=MONTH('Daily Sale entry '!$A$2)),'Opening Balance'!$B$8,0),2))</f>
        <v/>
      </c>
      <c r="G277" s="6">
        <f>IF($A277="","",MOD(ROUND('Opening Balance'!$B$9+SUMIFS('Sales &amp; Collection'!$L$1:$L$3853,'Sales &amp; Collection'!$K$1:$K$3853,"cash collection*"),2),'Opening Balance'!$B$11))</f>
        <v/>
      </c>
      <c r="H277" s="6">
        <f>IF($A277="","",ROUND('Opening Balance'!$B$10+'Opening Balance'!$B$9+SUMIFS('Sales &amp; Collection'!$L$1:$L$3853,'Sales &amp; Collection'!$K$1:$K$3853,"cash collection*")-G277-SUMIFS('Daily Sale entry '!$AC$2:$AC$1501,'Daily Sale entry '!$X$2:$X$1501,"&lt;="&amp;$A277,'Daily Sale entry '!$Z$2:$Z$1501,"Cash deposit 现金存入"),2))</f>
        <v/>
      </c>
      <c r="I277" s="6">
        <f>IF($A277="","",ROUND(B277+D277+E277+F277+G277+H277,2))</f>
        <v/>
      </c>
      <c r="J277" s="6">
        <f>IF($A277="","",'AR &amp; AP'!K278)</f>
        <v/>
      </c>
      <c r="K277" s="6">
        <f>IF($A277="","",ROUND(I277-J277-SUMIFS('Daily Sale entry '!$AC$2:$AC$1501,'Daily Sale entry '!$X$2:$X$1501,"&lt;="&amp;$A277,'Daily Sale entry '!$Z$2:$Z$1501,"Other deposit 其他存入")+SUMIFS('Daily Sale entry '!$AD$2:$AD$1501,'Daily Sale entry '!$X$2:$X$1501,"&lt;="&amp;$A277)+('Opening Balance'!$B$8+SUM('Daily Sale entry '!$L$2:M277)-F277),2))</f>
        <v/>
      </c>
      <c r="L277">
        <f>IF($A277="","",IF(ABS('Sales &amp; Collection'!$B$3862)&gt;'Opening Balance'!$B$16,"ALERT 警报: Different "&amp;TEXT('Sales &amp; Collection'!$B$3862,"#,##0.00")&amp;" 差额过大",""))</f>
        <v/>
      </c>
    </row>
    <row r="278">
      <c r="A278" s="5">
        <f>IF('Daily Sale entry '!A278="","",'Daily Sale entry '!A278)</f>
        <v/>
      </c>
      <c r="B278" s="6">
        <f>IF($A278="","",ROUND('Opening Balance'!$B$4+SUM('Daily Sale entry '!$K$2:K278)+SUMIFS('Daily Sale entry '!$AC$2:$AC$1501,'Daily Sale entry '!$X$2:$X$1501,"&lt;="&amp;$A278)-SUMIFS('Daily Sale entry '!$AD$2:$AD$1501,'Daily Sale entry '!$X$2:$X$1501,"&lt;="&amp;$A278)+SUMPRODUCT(('Daily Sale entry '!$Q$2:$Q$1501="Collection 收款")*('Daily Sale entry '!$R$2:$R$1501="Cheque 支票")*('Daily Sale entry '!$V$2:$V$1501&lt;&gt;"")*('Daily Sale entry '!$V$2:$V$1501&lt;=$A278)*('Daily Sale entry '!$S$2:$S$1501-'Opening Balance'!$B$15*('Daily Sale entry '!$R$2:$R$1501="Cheque 支票")*('Daily Sale entry '!$S$2:$S$1501-TRUNC('Daily Sale entry '!$S$2:$S$1501))))-'Opening Balance'!$B$15*SUMPRODUCT(('Daily Sale entry '!$X$2:$X$1501&lt;=$A278)*('Daily Sale entry '!$Z$2:$Z$1501="Online collection 网上收款")*('Daily Sale entry '!$AA$2:$AA$1501&lt;&gt;"")*('Daily Sale entry '!$AC$2:$AC$1501-TRUNC('Daily Sale entry '!$AC$2:$AC$1501))),2))</f>
        <v/>
      </c>
      <c r="C278" s="8">
        <f>IF($A278="","",'Opening Balance'!$B$5+SUM('Daily Sale entry '!$I$2:I278)-SUMIFS('Daily Sale entry '!$AB$2:$AB$1501,'Daily Sale entry '!$X$2:$X$1501,"&lt;="&amp;$A278,'Daily Sale entry '!$Z$2:$Z$1501,"Cheque deposit 支票存入")-COUNTIFS('Daily Sale entry '!$Q$2:$Q$1501,"Collection 收款",'Daily Sale entry '!$R$2:$R$1501,"Cheque 支票",'Daily Sale entry '!$V$2:$V$1501,"&lt;="&amp;$A278))</f>
        <v/>
      </c>
      <c r="D278" s="6">
        <f>IF($A278="","",ROUND('Opening Balance'!$B$6+SUM('Daily Sale entry '!$J$2:J278)-SUMIFS('Daily Sale entry '!$AC$2:$AC$1501,'Daily Sale entry '!$X$2:$X$1501,"&lt;="&amp;$A278,'Daily Sale entry '!$Z$2:$Z$1501,"Cheque deposit 支票存入")-SUMPRODUCT(('Daily Sale entry '!$Q$2:$Q$1501="Collection 收款")*('Daily Sale entry '!$R$2:$R$1501="Cheque 支票")*('Daily Sale entry '!$V$2:$V$1501&lt;&gt;"")*('Daily Sale entry '!$V$2:$V$1501&lt;=$A278)*('Daily Sale entry '!$S$2:$S$1501-'Opening Balance'!$B$15*('Daily Sale entry '!$R$2:$R$1501="Cheque 支票")*('Daily Sale entry '!$S$2:$S$1501-TRUNC('Daily Sale entry '!$S$2:$S$1501)))),2))</f>
        <v/>
      </c>
      <c r="E278" s="6">
        <f>IF($A278="","",'Opening Balance'!$B$7)</f>
        <v/>
      </c>
      <c r="F278" s="6">
        <f>IF($A278="","",ROUND(SUMIFS('Daily Sale entry '!$L$2:$L$367,'Daily Sale entry '!$A$2:$A$367,"&gt;="&amp;DATE(YEAR($A278),MONTH($A278),1),'Daily Sale entry '!$A$2:$A$367,"&lt;="&amp;$A278)+SUMIFS('Daily Sale entry '!$M$2:$M$367,'Daily Sale entry '!$A$2:$A$367,"&gt;="&amp;DATE(YEAR($A278),MONTH($A278),1),'Daily Sale entry '!$A$2:$A$367,"&lt;="&amp;$A278)+IF(AND(YEAR($A278)=YEAR('Daily Sale entry '!$A$2),MONTH($A278)=MONTH('Daily Sale entry '!$A$2)),'Opening Balance'!$B$8,0),2))</f>
        <v/>
      </c>
      <c r="G278" s="6">
        <f>IF($A278="","",MOD(ROUND('Opening Balance'!$B$9+SUMIFS('Sales &amp; Collection'!$L$1:$L$3867,'Sales &amp; Collection'!$K$1:$K$3867,"cash collection*"),2),'Opening Balance'!$B$11))</f>
        <v/>
      </c>
      <c r="H278" s="6">
        <f>IF($A278="","",ROUND('Opening Balance'!$B$10+'Opening Balance'!$B$9+SUMIFS('Sales &amp; Collection'!$L$1:$L$3867,'Sales &amp; Collection'!$K$1:$K$3867,"cash collection*")-G278-SUMIFS('Daily Sale entry '!$AC$2:$AC$1501,'Daily Sale entry '!$X$2:$X$1501,"&lt;="&amp;$A278,'Daily Sale entry '!$Z$2:$Z$1501,"Cash deposit 现金存入"),2))</f>
        <v/>
      </c>
      <c r="I278" s="6">
        <f>IF($A278="","",ROUND(B278+D278+E278+F278+G278+H278,2))</f>
        <v/>
      </c>
      <c r="J278" s="6">
        <f>IF($A278="","",'AR &amp; AP'!K279)</f>
        <v/>
      </c>
      <c r="K278" s="6">
        <f>IF($A278="","",ROUND(I278-J278-SUMIFS('Daily Sale entry '!$AC$2:$AC$1501,'Daily Sale entry '!$X$2:$X$1501,"&lt;="&amp;$A278,'Daily Sale entry '!$Z$2:$Z$1501,"Other deposit 其他存入")+SUMIFS('Daily Sale entry '!$AD$2:$AD$1501,'Daily Sale entry '!$X$2:$X$1501,"&lt;="&amp;$A278)+('Opening Balance'!$B$8+SUM('Daily Sale entry '!$L$2:M278)-F278),2))</f>
        <v/>
      </c>
      <c r="L278">
        <f>IF($A278="","",IF(ABS('Sales &amp; Collection'!$B$3876)&gt;'Opening Balance'!$B$16,"ALERT 警报: Different "&amp;TEXT('Sales &amp; Collection'!$B$3876,"#,##0.00")&amp;" 差额过大",""))</f>
        <v/>
      </c>
    </row>
    <row r="279">
      <c r="A279" s="5">
        <f>IF('Daily Sale entry '!A279="","",'Daily Sale entry '!A279)</f>
        <v/>
      </c>
      <c r="B279" s="6">
        <f>IF($A279="","",ROUND('Opening Balance'!$B$4+SUM('Daily Sale entry '!$K$2:K279)+SUMIFS('Daily Sale entry '!$AC$2:$AC$1501,'Daily Sale entry '!$X$2:$X$1501,"&lt;="&amp;$A279)-SUMIFS('Daily Sale entry '!$AD$2:$AD$1501,'Daily Sale entry '!$X$2:$X$1501,"&lt;="&amp;$A279)+SUMPRODUCT(('Daily Sale entry '!$Q$2:$Q$1501="Collection 收款")*('Daily Sale entry '!$R$2:$R$1501="Cheque 支票")*('Daily Sale entry '!$V$2:$V$1501&lt;&gt;"")*('Daily Sale entry '!$V$2:$V$1501&lt;=$A279)*('Daily Sale entry '!$S$2:$S$1501-'Opening Balance'!$B$15*('Daily Sale entry '!$R$2:$R$1501="Cheque 支票")*('Daily Sale entry '!$S$2:$S$1501-TRUNC('Daily Sale entry '!$S$2:$S$1501))))-'Opening Balance'!$B$15*SUMPRODUCT(('Daily Sale entry '!$X$2:$X$1501&lt;=$A279)*('Daily Sale entry '!$Z$2:$Z$1501="Online collection 网上收款")*('Daily Sale entry '!$AA$2:$AA$1501&lt;&gt;"")*('Daily Sale entry '!$AC$2:$AC$1501-TRUNC('Daily Sale entry '!$AC$2:$AC$1501))),2))</f>
        <v/>
      </c>
      <c r="C279" s="8">
        <f>IF($A279="","",'Opening Balance'!$B$5+SUM('Daily Sale entry '!$I$2:I279)-SUMIFS('Daily Sale entry '!$AB$2:$AB$1501,'Daily Sale entry '!$X$2:$X$1501,"&lt;="&amp;$A279,'Daily Sale entry '!$Z$2:$Z$1501,"Cheque deposit 支票存入")-COUNTIFS('Daily Sale entry '!$Q$2:$Q$1501,"Collection 收款",'Daily Sale entry '!$R$2:$R$1501,"Cheque 支票",'Daily Sale entry '!$V$2:$V$1501,"&lt;="&amp;$A279))</f>
        <v/>
      </c>
      <c r="D279" s="6">
        <f>IF($A279="","",ROUND('Opening Balance'!$B$6+SUM('Daily Sale entry '!$J$2:J279)-SUMIFS('Daily Sale entry '!$AC$2:$AC$1501,'Daily Sale entry '!$X$2:$X$1501,"&lt;="&amp;$A279,'Daily Sale entry '!$Z$2:$Z$1501,"Cheque deposit 支票存入")-SUMPRODUCT(('Daily Sale entry '!$Q$2:$Q$1501="Collection 收款")*('Daily Sale entry '!$R$2:$R$1501="Cheque 支票")*('Daily Sale entry '!$V$2:$V$1501&lt;&gt;"")*('Daily Sale entry '!$V$2:$V$1501&lt;=$A279)*('Daily Sale entry '!$S$2:$S$1501-'Opening Balance'!$B$15*('Daily Sale entry '!$R$2:$R$1501="Cheque 支票")*('Daily Sale entry '!$S$2:$S$1501-TRUNC('Daily Sale entry '!$S$2:$S$1501)))),2))</f>
        <v/>
      </c>
      <c r="E279" s="6">
        <f>IF($A279="","",'Opening Balance'!$B$7)</f>
        <v/>
      </c>
      <c r="F279" s="6">
        <f>IF($A279="","",ROUND(SUMIFS('Daily Sale entry '!$L$2:$L$367,'Daily Sale entry '!$A$2:$A$367,"&gt;="&amp;DATE(YEAR($A279),MONTH($A279),1),'Daily Sale entry '!$A$2:$A$367,"&lt;="&amp;$A279)+SUMIFS('Daily Sale entry '!$M$2:$M$367,'Daily Sale entry '!$A$2:$A$367,"&gt;="&amp;DATE(YEAR($A279),MONTH($A279),1),'Daily Sale entry '!$A$2:$A$367,"&lt;="&amp;$A279)+IF(AND(YEAR($A279)=YEAR('Daily Sale entry '!$A$2),MONTH($A279)=MONTH('Daily Sale entry '!$A$2)),'Opening Balance'!$B$8,0),2))</f>
        <v/>
      </c>
      <c r="G279" s="6">
        <f>IF($A279="","",MOD(ROUND('Opening Balance'!$B$9+SUMIFS('Sales &amp; Collection'!$L$1:$L$3881,'Sales &amp; Collection'!$K$1:$K$3881,"cash collection*"),2),'Opening Balance'!$B$11))</f>
        <v/>
      </c>
      <c r="H279" s="6">
        <f>IF($A279="","",ROUND('Opening Balance'!$B$10+'Opening Balance'!$B$9+SUMIFS('Sales &amp; Collection'!$L$1:$L$3881,'Sales &amp; Collection'!$K$1:$K$3881,"cash collection*")-G279-SUMIFS('Daily Sale entry '!$AC$2:$AC$1501,'Daily Sale entry '!$X$2:$X$1501,"&lt;="&amp;$A279,'Daily Sale entry '!$Z$2:$Z$1501,"Cash deposit 现金存入"),2))</f>
        <v/>
      </c>
      <c r="I279" s="6">
        <f>IF($A279="","",ROUND(B279+D279+E279+F279+G279+H279,2))</f>
        <v/>
      </c>
      <c r="J279" s="6">
        <f>IF($A279="","",'AR &amp; AP'!K280)</f>
        <v/>
      </c>
      <c r="K279" s="6">
        <f>IF($A279="","",ROUND(I279-J279-SUMIFS('Daily Sale entry '!$AC$2:$AC$1501,'Daily Sale entry '!$X$2:$X$1501,"&lt;="&amp;$A279,'Daily Sale entry '!$Z$2:$Z$1501,"Other deposit 其他存入")+SUMIFS('Daily Sale entry '!$AD$2:$AD$1501,'Daily Sale entry '!$X$2:$X$1501,"&lt;="&amp;$A279)+('Opening Balance'!$B$8+SUM('Daily Sale entry '!$L$2:M279)-F279),2))</f>
        <v/>
      </c>
      <c r="L279">
        <f>IF($A279="","",IF(ABS('Sales &amp; Collection'!$B$3890)&gt;'Opening Balance'!$B$16,"ALERT 警报: Different "&amp;TEXT('Sales &amp; Collection'!$B$3890,"#,##0.00")&amp;" 差额过大",""))</f>
        <v/>
      </c>
    </row>
    <row r="280">
      <c r="A280" s="5">
        <f>IF('Daily Sale entry '!A280="","",'Daily Sale entry '!A280)</f>
        <v/>
      </c>
      <c r="B280" s="6">
        <f>IF($A280="","",ROUND('Opening Balance'!$B$4+SUM('Daily Sale entry '!$K$2:K280)+SUMIFS('Daily Sale entry '!$AC$2:$AC$1501,'Daily Sale entry '!$X$2:$X$1501,"&lt;="&amp;$A280)-SUMIFS('Daily Sale entry '!$AD$2:$AD$1501,'Daily Sale entry '!$X$2:$X$1501,"&lt;="&amp;$A280)+SUMPRODUCT(('Daily Sale entry '!$Q$2:$Q$1501="Collection 收款")*('Daily Sale entry '!$R$2:$R$1501="Cheque 支票")*('Daily Sale entry '!$V$2:$V$1501&lt;&gt;"")*('Daily Sale entry '!$V$2:$V$1501&lt;=$A280)*('Daily Sale entry '!$S$2:$S$1501-'Opening Balance'!$B$15*('Daily Sale entry '!$R$2:$R$1501="Cheque 支票")*('Daily Sale entry '!$S$2:$S$1501-TRUNC('Daily Sale entry '!$S$2:$S$1501))))-'Opening Balance'!$B$15*SUMPRODUCT(('Daily Sale entry '!$X$2:$X$1501&lt;=$A280)*('Daily Sale entry '!$Z$2:$Z$1501="Online collection 网上收款")*('Daily Sale entry '!$AA$2:$AA$1501&lt;&gt;"")*('Daily Sale entry '!$AC$2:$AC$1501-TRUNC('Daily Sale entry '!$AC$2:$AC$1501))),2))</f>
        <v/>
      </c>
      <c r="C280" s="8">
        <f>IF($A280="","",'Opening Balance'!$B$5+SUM('Daily Sale entry '!$I$2:I280)-SUMIFS('Daily Sale entry '!$AB$2:$AB$1501,'Daily Sale entry '!$X$2:$X$1501,"&lt;="&amp;$A280,'Daily Sale entry '!$Z$2:$Z$1501,"Cheque deposit 支票存入")-COUNTIFS('Daily Sale entry '!$Q$2:$Q$1501,"Collection 收款",'Daily Sale entry '!$R$2:$R$1501,"Cheque 支票",'Daily Sale entry '!$V$2:$V$1501,"&lt;="&amp;$A280))</f>
        <v/>
      </c>
      <c r="D280" s="6">
        <f>IF($A280="","",ROUND('Opening Balance'!$B$6+SUM('Daily Sale entry '!$J$2:J280)-SUMIFS('Daily Sale entry '!$AC$2:$AC$1501,'Daily Sale entry '!$X$2:$X$1501,"&lt;="&amp;$A280,'Daily Sale entry '!$Z$2:$Z$1501,"Cheque deposit 支票存入")-SUMPRODUCT(('Daily Sale entry '!$Q$2:$Q$1501="Collection 收款")*('Daily Sale entry '!$R$2:$R$1501="Cheque 支票")*('Daily Sale entry '!$V$2:$V$1501&lt;&gt;"")*('Daily Sale entry '!$V$2:$V$1501&lt;=$A280)*('Daily Sale entry '!$S$2:$S$1501-'Opening Balance'!$B$15*('Daily Sale entry '!$R$2:$R$1501="Cheque 支票")*('Daily Sale entry '!$S$2:$S$1501-TRUNC('Daily Sale entry '!$S$2:$S$1501)))),2))</f>
        <v/>
      </c>
      <c r="E280" s="6">
        <f>IF($A280="","",'Opening Balance'!$B$7)</f>
        <v/>
      </c>
      <c r="F280" s="6">
        <f>IF($A280="","",ROUND(SUMIFS('Daily Sale entry '!$L$2:$L$367,'Daily Sale entry '!$A$2:$A$367,"&gt;="&amp;DATE(YEAR($A280),MONTH($A280),1),'Daily Sale entry '!$A$2:$A$367,"&lt;="&amp;$A280)+SUMIFS('Daily Sale entry '!$M$2:$M$367,'Daily Sale entry '!$A$2:$A$367,"&gt;="&amp;DATE(YEAR($A280),MONTH($A280),1),'Daily Sale entry '!$A$2:$A$367,"&lt;="&amp;$A280)+IF(AND(YEAR($A280)=YEAR('Daily Sale entry '!$A$2),MONTH($A280)=MONTH('Daily Sale entry '!$A$2)),'Opening Balance'!$B$8,0),2))</f>
        <v/>
      </c>
      <c r="G280" s="6">
        <f>IF($A280="","",MOD(ROUND('Opening Balance'!$B$9+SUMIFS('Sales &amp; Collection'!$L$1:$L$3895,'Sales &amp; Collection'!$K$1:$K$3895,"cash collection*"),2),'Opening Balance'!$B$11))</f>
        <v/>
      </c>
      <c r="H280" s="6">
        <f>IF($A280="","",ROUND('Opening Balance'!$B$10+'Opening Balance'!$B$9+SUMIFS('Sales &amp; Collection'!$L$1:$L$3895,'Sales &amp; Collection'!$K$1:$K$3895,"cash collection*")-G280-SUMIFS('Daily Sale entry '!$AC$2:$AC$1501,'Daily Sale entry '!$X$2:$X$1501,"&lt;="&amp;$A280,'Daily Sale entry '!$Z$2:$Z$1501,"Cash deposit 现金存入"),2))</f>
        <v/>
      </c>
      <c r="I280" s="6">
        <f>IF($A280="","",ROUND(B280+D280+E280+F280+G280+H280,2))</f>
        <v/>
      </c>
      <c r="J280" s="6">
        <f>IF($A280="","",'AR &amp; AP'!K281)</f>
        <v/>
      </c>
      <c r="K280" s="6">
        <f>IF($A280="","",ROUND(I280-J280-SUMIFS('Daily Sale entry '!$AC$2:$AC$1501,'Daily Sale entry '!$X$2:$X$1501,"&lt;="&amp;$A280,'Daily Sale entry '!$Z$2:$Z$1501,"Other deposit 其他存入")+SUMIFS('Daily Sale entry '!$AD$2:$AD$1501,'Daily Sale entry '!$X$2:$X$1501,"&lt;="&amp;$A280)+('Opening Balance'!$B$8+SUM('Daily Sale entry '!$L$2:M280)-F280),2))</f>
        <v/>
      </c>
      <c r="L280">
        <f>IF($A280="","",IF(ABS('Sales &amp; Collection'!$B$3904)&gt;'Opening Balance'!$B$16,"ALERT 警报: Different "&amp;TEXT('Sales &amp; Collection'!$B$3904,"#,##0.00")&amp;" 差额过大",""))</f>
        <v/>
      </c>
    </row>
    <row r="281">
      <c r="A281" s="5">
        <f>IF('Daily Sale entry '!A281="","",'Daily Sale entry '!A281)</f>
        <v/>
      </c>
      <c r="B281" s="6">
        <f>IF($A281="","",ROUND('Opening Balance'!$B$4+SUM('Daily Sale entry '!$K$2:K281)+SUMIFS('Daily Sale entry '!$AC$2:$AC$1501,'Daily Sale entry '!$X$2:$X$1501,"&lt;="&amp;$A281)-SUMIFS('Daily Sale entry '!$AD$2:$AD$1501,'Daily Sale entry '!$X$2:$X$1501,"&lt;="&amp;$A281)+SUMPRODUCT(('Daily Sale entry '!$Q$2:$Q$1501="Collection 收款")*('Daily Sale entry '!$R$2:$R$1501="Cheque 支票")*('Daily Sale entry '!$V$2:$V$1501&lt;&gt;"")*('Daily Sale entry '!$V$2:$V$1501&lt;=$A281)*('Daily Sale entry '!$S$2:$S$1501-'Opening Balance'!$B$15*('Daily Sale entry '!$R$2:$R$1501="Cheque 支票")*('Daily Sale entry '!$S$2:$S$1501-TRUNC('Daily Sale entry '!$S$2:$S$1501))))-'Opening Balance'!$B$15*SUMPRODUCT(('Daily Sale entry '!$X$2:$X$1501&lt;=$A281)*('Daily Sale entry '!$Z$2:$Z$1501="Online collection 网上收款")*('Daily Sale entry '!$AA$2:$AA$1501&lt;&gt;"")*('Daily Sale entry '!$AC$2:$AC$1501-TRUNC('Daily Sale entry '!$AC$2:$AC$1501))),2))</f>
        <v/>
      </c>
      <c r="C281" s="8">
        <f>IF($A281="","",'Opening Balance'!$B$5+SUM('Daily Sale entry '!$I$2:I281)-SUMIFS('Daily Sale entry '!$AB$2:$AB$1501,'Daily Sale entry '!$X$2:$X$1501,"&lt;="&amp;$A281,'Daily Sale entry '!$Z$2:$Z$1501,"Cheque deposit 支票存入")-COUNTIFS('Daily Sale entry '!$Q$2:$Q$1501,"Collection 收款",'Daily Sale entry '!$R$2:$R$1501,"Cheque 支票",'Daily Sale entry '!$V$2:$V$1501,"&lt;="&amp;$A281))</f>
        <v/>
      </c>
      <c r="D281" s="6">
        <f>IF($A281="","",ROUND('Opening Balance'!$B$6+SUM('Daily Sale entry '!$J$2:J281)-SUMIFS('Daily Sale entry '!$AC$2:$AC$1501,'Daily Sale entry '!$X$2:$X$1501,"&lt;="&amp;$A281,'Daily Sale entry '!$Z$2:$Z$1501,"Cheque deposit 支票存入")-SUMPRODUCT(('Daily Sale entry '!$Q$2:$Q$1501="Collection 收款")*('Daily Sale entry '!$R$2:$R$1501="Cheque 支票")*('Daily Sale entry '!$V$2:$V$1501&lt;&gt;"")*('Daily Sale entry '!$V$2:$V$1501&lt;=$A281)*('Daily Sale entry '!$S$2:$S$1501-'Opening Balance'!$B$15*('Daily Sale entry '!$R$2:$R$1501="Cheque 支票")*('Daily Sale entry '!$S$2:$S$1501-TRUNC('Daily Sale entry '!$S$2:$S$1501)))),2))</f>
        <v/>
      </c>
      <c r="E281" s="6">
        <f>IF($A281="","",'Opening Balance'!$B$7)</f>
        <v/>
      </c>
      <c r="F281" s="6">
        <f>IF($A281="","",ROUND(SUMIFS('Daily Sale entry '!$L$2:$L$367,'Daily Sale entry '!$A$2:$A$367,"&gt;="&amp;DATE(YEAR($A281),MONTH($A281),1),'Daily Sale entry '!$A$2:$A$367,"&lt;="&amp;$A281)+SUMIFS('Daily Sale entry '!$M$2:$M$367,'Daily Sale entry '!$A$2:$A$367,"&gt;="&amp;DATE(YEAR($A281),MONTH($A281),1),'Daily Sale entry '!$A$2:$A$367,"&lt;="&amp;$A281)+IF(AND(YEAR($A281)=YEAR('Daily Sale entry '!$A$2),MONTH($A281)=MONTH('Daily Sale entry '!$A$2)),'Opening Balance'!$B$8,0),2))</f>
        <v/>
      </c>
      <c r="G281" s="6">
        <f>IF($A281="","",MOD(ROUND('Opening Balance'!$B$9+SUMIFS('Sales &amp; Collection'!$L$1:$L$3909,'Sales &amp; Collection'!$K$1:$K$3909,"cash collection*"),2),'Opening Balance'!$B$11))</f>
        <v/>
      </c>
      <c r="H281" s="6">
        <f>IF($A281="","",ROUND('Opening Balance'!$B$10+'Opening Balance'!$B$9+SUMIFS('Sales &amp; Collection'!$L$1:$L$3909,'Sales &amp; Collection'!$K$1:$K$3909,"cash collection*")-G281-SUMIFS('Daily Sale entry '!$AC$2:$AC$1501,'Daily Sale entry '!$X$2:$X$1501,"&lt;="&amp;$A281,'Daily Sale entry '!$Z$2:$Z$1501,"Cash deposit 现金存入"),2))</f>
        <v/>
      </c>
      <c r="I281" s="6">
        <f>IF($A281="","",ROUND(B281+D281+E281+F281+G281+H281,2))</f>
        <v/>
      </c>
      <c r="J281" s="6">
        <f>IF($A281="","",'AR &amp; AP'!K282)</f>
        <v/>
      </c>
      <c r="K281" s="6">
        <f>IF($A281="","",ROUND(I281-J281-SUMIFS('Daily Sale entry '!$AC$2:$AC$1501,'Daily Sale entry '!$X$2:$X$1501,"&lt;="&amp;$A281,'Daily Sale entry '!$Z$2:$Z$1501,"Other deposit 其他存入")+SUMIFS('Daily Sale entry '!$AD$2:$AD$1501,'Daily Sale entry '!$X$2:$X$1501,"&lt;="&amp;$A281)+('Opening Balance'!$B$8+SUM('Daily Sale entry '!$L$2:M281)-F281),2))</f>
        <v/>
      </c>
      <c r="L281">
        <f>IF($A281="","",IF(ABS('Sales &amp; Collection'!$B$3918)&gt;'Opening Balance'!$B$16,"ALERT 警报: Different "&amp;TEXT('Sales &amp; Collection'!$B$3918,"#,##0.00")&amp;" 差额过大",""))</f>
        <v/>
      </c>
    </row>
    <row r="282">
      <c r="A282" s="5">
        <f>IF('Daily Sale entry '!A282="","",'Daily Sale entry '!A282)</f>
        <v/>
      </c>
      <c r="B282" s="6">
        <f>IF($A282="","",ROUND('Opening Balance'!$B$4+SUM('Daily Sale entry '!$K$2:K282)+SUMIFS('Daily Sale entry '!$AC$2:$AC$1501,'Daily Sale entry '!$X$2:$X$1501,"&lt;="&amp;$A282)-SUMIFS('Daily Sale entry '!$AD$2:$AD$1501,'Daily Sale entry '!$X$2:$X$1501,"&lt;="&amp;$A282)+SUMPRODUCT(('Daily Sale entry '!$Q$2:$Q$1501="Collection 收款")*('Daily Sale entry '!$R$2:$R$1501="Cheque 支票")*('Daily Sale entry '!$V$2:$V$1501&lt;&gt;"")*('Daily Sale entry '!$V$2:$V$1501&lt;=$A282)*('Daily Sale entry '!$S$2:$S$1501-'Opening Balance'!$B$15*('Daily Sale entry '!$R$2:$R$1501="Cheque 支票")*('Daily Sale entry '!$S$2:$S$1501-TRUNC('Daily Sale entry '!$S$2:$S$1501))))-'Opening Balance'!$B$15*SUMPRODUCT(('Daily Sale entry '!$X$2:$X$1501&lt;=$A282)*('Daily Sale entry '!$Z$2:$Z$1501="Online collection 网上收款")*('Daily Sale entry '!$AA$2:$AA$1501&lt;&gt;"")*('Daily Sale entry '!$AC$2:$AC$1501-TRUNC('Daily Sale entry '!$AC$2:$AC$1501))),2))</f>
        <v/>
      </c>
      <c r="C282" s="8">
        <f>IF($A282="","",'Opening Balance'!$B$5+SUM('Daily Sale entry '!$I$2:I282)-SUMIFS('Daily Sale entry '!$AB$2:$AB$1501,'Daily Sale entry '!$X$2:$X$1501,"&lt;="&amp;$A282,'Daily Sale entry '!$Z$2:$Z$1501,"Cheque deposit 支票存入")-COUNTIFS('Daily Sale entry '!$Q$2:$Q$1501,"Collection 收款",'Daily Sale entry '!$R$2:$R$1501,"Cheque 支票",'Daily Sale entry '!$V$2:$V$1501,"&lt;="&amp;$A282))</f>
        <v/>
      </c>
      <c r="D282" s="6">
        <f>IF($A282="","",ROUND('Opening Balance'!$B$6+SUM('Daily Sale entry '!$J$2:J282)-SUMIFS('Daily Sale entry '!$AC$2:$AC$1501,'Daily Sale entry '!$X$2:$X$1501,"&lt;="&amp;$A282,'Daily Sale entry '!$Z$2:$Z$1501,"Cheque deposit 支票存入")-SUMPRODUCT(('Daily Sale entry '!$Q$2:$Q$1501="Collection 收款")*('Daily Sale entry '!$R$2:$R$1501="Cheque 支票")*('Daily Sale entry '!$V$2:$V$1501&lt;&gt;"")*('Daily Sale entry '!$V$2:$V$1501&lt;=$A282)*('Daily Sale entry '!$S$2:$S$1501-'Opening Balance'!$B$15*('Daily Sale entry '!$R$2:$R$1501="Cheque 支票")*('Daily Sale entry '!$S$2:$S$1501-TRUNC('Daily Sale entry '!$S$2:$S$1501)))),2))</f>
        <v/>
      </c>
      <c r="E282" s="6">
        <f>IF($A282="","",'Opening Balance'!$B$7)</f>
        <v/>
      </c>
      <c r="F282" s="6">
        <f>IF($A282="","",ROUND(SUMIFS('Daily Sale entry '!$L$2:$L$367,'Daily Sale entry '!$A$2:$A$367,"&gt;="&amp;DATE(YEAR($A282),MONTH($A282),1),'Daily Sale entry '!$A$2:$A$367,"&lt;="&amp;$A282)+SUMIFS('Daily Sale entry '!$M$2:$M$367,'Daily Sale entry '!$A$2:$A$367,"&gt;="&amp;DATE(YEAR($A282),MONTH($A282),1),'Daily Sale entry '!$A$2:$A$367,"&lt;="&amp;$A282)+IF(AND(YEAR($A282)=YEAR('Daily Sale entry '!$A$2),MONTH($A282)=MONTH('Daily Sale entry '!$A$2)),'Opening Balance'!$B$8,0),2))</f>
        <v/>
      </c>
      <c r="G282" s="6">
        <f>IF($A282="","",MOD(ROUND('Opening Balance'!$B$9+SUMIFS('Sales &amp; Collection'!$L$1:$L$3923,'Sales &amp; Collection'!$K$1:$K$3923,"cash collection*"),2),'Opening Balance'!$B$11))</f>
        <v/>
      </c>
      <c r="H282" s="6">
        <f>IF($A282="","",ROUND('Opening Balance'!$B$10+'Opening Balance'!$B$9+SUMIFS('Sales &amp; Collection'!$L$1:$L$3923,'Sales &amp; Collection'!$K$1:$K$3923,"cash collection*")-G282-SUMIFS('Daily Sale entry '!$AC$2:$AC$1501,'Daily Sale entry '!$X$2:$X$1501,"&lt;="&amp;$A282,'Daily Sale entry '!$Z$2:$Z$1501,"Cash deposit 现金存入"),2))</f>
        <v/>
      </c>
      <c r="I282" s="6">
        <f>IF($A282="","",ROUND(B282+D282+E282+F282+G282+H282,2))</f>
        <v/>
      </c>
      <c r="J282" s="6">
        <f>IF($A282="","",'AR &amp; AP'!K283)</f>
        <v/>
      </c>
      <c r="K282" s="6">
        <f>IF($A282="","",ROUND(I282-J282-SUMIFS('Daily Sale entry '!$AC$2:$AC$1501,'Daily Sale entry '!$X$2:$X$1501,"&lt;="&amp;$A282,'Daily Sale entry '!$Z$2:$Z$1501,"Other deposit 其他存入")+SUMIFS('Daily Sale entry '!$AD$2:$AD$1501,'Daily Sale entry '!$X$2:$X$1501,"&lt;="&amp;$A282)+('Opening Balance'!$B$8+SUM('Daily Sale entry '!$L$2:M282)-F282),2))</f>
        <v/>
      </c>
      <c r="L282">
        <f>IF($A282="","",IF(ABS('Sales &amp; Collection'!$B$3932)&gt;'Opening Balance'!$B$16,"ALERT 警报: Different "&amp;TEXT('Sales &amp; Collection'!$B$3932,"#,##0.00")&amp;" 差额过大",""))</f>
        <v/>
      </c>
    </row>
    <row r="283">
      <c r="A283" s="5">
        <f>IF('Daily Sale entry '!A283="","",'Daily Sale entry '!A283)</f>
        <v/>
      </c>
      <c r="B283" s="6">
        <f>IF($A283="","",ROUND('Opening Balance'!$B$4+SUM('Daily Sale entry '!$K$2:K283)+SUMIFS('Daily Sale entry '!$AC$2:$AC$1501,'Daily Sale entry '!$X$2:$X$1501,"&lt;="&amp;$A283)-SUMIFS('Daily Sale entry '!$AD$2:$AD$1501,'Daily Sale entry '!$X$2:$X$1501,"&lt;="&amp;$A283)+SUMPRODUCT(('Daily Sale entry '!$Q$2:$Q$1501="Collection 收款")*('Daily Sale entry '!$R$2:$R$1501="Cheque 支票")*('Daily Sale entry '!$V$2:$V$1501&lt;&gt;"")*('Daily Sale entry '!$V$2:$V$1501&lt;=$A283)*('Daily Sale entry '!$S$2:$S$1501-'Opening Balance'!$B$15*('Daily Sale entry '!$R$2:$R$1501="Cheque 支票")*('Daily Sale entry '!$S$2:$S$1501-TRUNC('Daily Sale entry '!$S$2:$S$1501))))-'Opening Balance'!$B$15*SUMPRODUCT(('Daily Sale entry '!$X$2:$X$1501&lt;=$A283)*('Daily Sale entry '!$Z$2:$Z$1501="Online collection 网上收款")*('Daily Sale entry '!$AA$2:$AA$1501&lt;&gt;"")*('Daily Sale entry '!$AC$2:$AC$1501-TRUNC('Daily Sale entry '!$AC$2:$AC$1501))),2))</f>
        <v/>
      </c>
      <c r="C283" s="8">
        <f>IF($A283="","",'Opening Balance'!$B$5+SUM('Daily Sale entry '!$I$2:I283)-SUMIFS('Daily Sale entry '!$AB$2:$AB$1501,'Daily Sale entry '!$X$2:$X$1501,"&lt;="&amp;$A283,'Daily Sale entry '!$Z$2:$Z$1501,"Cheque deposit 支票存入")-COUNTIFS('Daily Sale entry '!$Q$2:$Q$1501,"Collection 收款",'Daily Sale entry '!$R$2:$R$1501,"Cheque 支票",'Daily Sale entry '!$V$2:$V$1501,"&lt;="&amp;$A283))</f>
        <v/>
      </c>
      <c r="D283" s="6">
        <f>IF($A283="","",ROUND('Opening Balance'!$B$6+SUM('Daily Sale entry '!$J$2:J283)-SUMIFS('Daily Sale entry '!$AC$2:$AC$1501,'Daily Sale entry '!$X$2:$X$1501,"&lt;="&amp;$A283,'Daily Sale entry '!$Z$2:$Z$1501,"Cheque deposit 支票存入")-SUMPRODUCT(('Daily Sale entry '!$Q$2:$Q$1501="Collection 收款")*('Daily Sale entry '!$R$2:$R$1501="Cheque 支票")*('Daily Sale entry '!$V$2:$V$1501&lt;&gt;"")*('Daily Sale entry '!$V$2:$V$1501&lt;=$A283)*('Daily Sale entry '!$S$2:$S$1501-'Opening Balance'!$B$15*('Daily Sale entry '!$R$2:$R$1501="Cheque 支票")*('Daily Sale entry '!$S$2:$S$1501-TRUNC('Daily Sale entry '!$S$2:$S$1501)))),2))</f>
        <v/>
      </c>
      <c r="E283" s="6">
        <f>IF($A283="","",'Opening Balance'!$B$7)</f>
        <v/>
      </c>
      <c r="F283" s="6">
        <f>IF($A283="","",ROUND(SUMIFS('Daily Sale entry '!$L$2:$L$367,'Daily Sale entry '!$A$2:$A$367,"&gt;="&amp;DATE(YEAR($A283),MONTH($A283),1),'Daily Sale entry '!$A$2:$A$367,"&lt;="&amp;$A283)+SUMIFS('Daily Sale entry '!$M$2:$M$367,'Daily Sale entry '!$A$2:$A$367,"&gt;="&amp;DATE(YEAR($A283),MONTH($A283),1),'Daily Sale entry '!$A$2:$A$367,"&lt;="&amp;$A283)+IF(AND(YEAR($A283)=YEAR('Daily Sale entry '!$A$2),MONTH($A283)=MONTH('Daily Sale entry '!$A$2)),'Opening Balance'!$B$8,0),2))</f>
        <v/>
      </c>
      <c r="G283" s="6">
        <f>IF($A283="","",MOD(ROUND('Opening Balance'!$B$9+SUMIFS('Sales &amp; Collection'!$L$1:$L$3937,'Sales &amp; Collection'!$K$1:$K$3937,"cash collection*"),2),'Opening Balance'!$B$11))</f>
        <v/>
      </c>
      <c r="H283" s="6">
        <f>IF($A283="","",ROUND('Opening Balance'!$B$10+'Opening Balance'!$B$9+SUMIFS('Sales &amp; Collection'!$L$1:$L$3937,'Sales &amp; Collection'!$K$1:$K$3937,"cash collection*")-G283-SUMIFS('Daily Sale entry '!$AC$2:$AC$1501,'Daily Sale entry '!$X$2:$X$1501,"&lt;="&amp;$A283,'Daily Sale entry '!$Z$2:$Z$1501,"Cash deposit 现金存入"),2))</f>
        <v/>
      </c>
      <c r="I283" s="6">
        <f>IF($A283="","",ROUND(B283+D283+E283+F283+G283+H283,2))</f>
        <v/>
      </c>
      <c r="J283" s="6">
        <f>IF($A283="","",'AR &amp; AP'!K284)</f>
        <v/>
      </c>
      <c r="K283" s="6">
        <f>IF($A283="","",ROUND(I283-J283-SUMIFS('Daily Sale entry '!$AC$2:$AC$1501,'Daily Sale entry '!$X$2:$X$1501,"&lt;="&amp;$A283,'Daily Sale entry '!$Z$2:$Z$1501,"Other deposit 其他存入")+SUMIFS('Daily Sale entry '!$AD$2:$AD$1501,'Daily Sale entry '!$X$2:$X$1501,"&lt;="&amp;$A283)+('Opening Balance'!$B$8+SUM('Daily Sale entry '!$L$2:M283)-F283),2))</f>
        <v/>
      </c>
      <c r="L283">
        <f>IF($A283="","",IF(ABS('Sales &amp; Collection'!$B$3946)&gt;'Opening Balance'!$B$16,"ALERT 警报: Different "&amp;TEXT('Sales &amp; Collection'!$B$3946,"#,##0.00")&amp;" 差额过大",""))</f>
        <v/>
      </c>
    </row>
    <row r="284">
      <c r="A284" s="5">
        <f>IF('Daily Sale entry '!A284="","",'Daily Sale entry '!A284)</f>
        <v/>
      </c>
      <c r="B284" s="6">
        <f>IF($A284="","",ROUND('Opening Balance'!$B$4+SUM('Daily Sale entry '!$K$2:K284)+SUMIFS('Daily Sale entry '!$AC$2:$AC$1501,'Daily Sale entry '!$X$2:$X$1501,"&lt;="&amp;$A284)-SUMIFS('Daily Sale entry '!$AD$2:$AD$1501,'Daily Sale entry '!$X$2:$X$1501,"&lt;="&amp;$A284)+SUMPRODUCT(('Daily Sale entry '!$Q$2:$Q$1501="Collection 收款")*('Daily Sale entry '!$R$2:$R$1501="Cheque 支票")*('Daily Sale entry '!$V$2:$V$1501&lt;&gt;"")*('Daily Sale entry '!$V$2:$V$1501&lt;=$A284)*('Daily Sale entry '!$S$2:$S$1501-'Opening Balance'!$B$15*('Daily Sale entry '!$R$2:$R$1501="Cheque 支票")*('Daily Sale entry '!$S$2:$S$1501-TRUNC('Daily Sale entry '!$S$2:$S$1501))))-'Opening Balance'!$B$15*SUMPRODUCT(('Daily Sale entry '!$X$2:$X$1501&lt;=$A284)*('Daily Sale entry '!$Z$2:$Z$1501="Online collection 网上收款")*('Daily Sale entry '!$AA$2:$AA$1501&lt;&gt;"")*('Daily Sale entry '!$AC$2:$AC$1501-TRUNC('Daily Sale entry '!$AC$2:$AC$1501))),2))</f>
        <v/>
      </c>
      <c r="C284" s="8">
        <f>IF($A284="","",'Opening Balance'!$B$5+SUM('Daily Sale entry '!$I$2:I284)-SUMIFS('Daily Sale entry '!$AB$2:$AB$1501,'Daily Sale entry '!$X$2:$X$1501,"&lt;="&amp;$A284,'Daily Sale entry '!$Z$2:$Z$1501,"Cheque deposit 支票存入")-COUNTIFS('Daily Sale entry '!$Q$2:$Q$1501,"Collection 收款",'Daily Sale entry '!$R$2:$R$1501,"Cheque 支票",'Daily Sale entry '!$V$2:$V$1501,"&lt;="&amp;$A284))</f>
        <v/>
      </c>
      <c r="D284" s="6">
        <f>IF($A284="","",ROUND('Opening Balance'!$B$6+SUM('Daily Sale entry '!$J$2:J284)-SUMIFS('Daily Sale entry '!$AC$2:$AC$1501,'Daily Sale entry '!$X$2:$X$1501,"&lt;="&amp;$A284,'Daily Sale entry '!$Z$2:$Z$1501,"Cheque deposit 支票存入")-SUMPRODUCT(('Daily Sale entry '!$Q$2:$Q$1501="Collection 收款")*('Daily Sale entry '!$R$2:$R$1501="Cheque 支票")*('Daily Sale entry '!$V$2:$V$1501&lt;&gt;"")*('Daily Sale entry '!$V$2:$V$1501&lt;=$A284)*('Daily Sale entry '!$S$2:$S$1501-'Opening Balance'!$B$15*('Daily Sale entry '!$R$2:$R$1501="Cheque 支票")*('Daily Sale entry '!$S$2:$S$1501-TRUNC('Daily Sale entry '!$S$2:$S$1501)))),2))</f>
        <v/>
      </c>
      <c r="E284" s="6">
        <f>IF($A284="","",'Opening Balance'!$B$7)</f>
        <v/>
      </c>
      <c r="F284" s="6">
        <f>IF($A284="","",ROUND(SUMIFS('Daily Sale entry '!$L$2:$L$367,'Daily Sale entry '!$A$2:$A$367,"&gt;="&amp;DATE(YEAR($A284),MONTH($A284),1),'Daily Sale entry '!$A$2:$A$367,"&lt;="&amp;$A284)+SUMIFS('Daily Sale entry '!$M$2:$M$367,'Daily Sale entry '!$A$2:$A$367,"&gt;="&amp;DATE(YEAR($A284),MONTH($A284),1),'Daily Sale entry '!$A$2:$A$367,"&lt;="&amp;$A284)+IF(AND(YEAR($A284)=YEAR('Daily Sale entry '!$A$2),MONTH($A284)=MONTH('Daily Sale entry '!$A$2)),'Opening Balance'!$B$8,0),2))</f>
        <v/>
      </c>
      <c r="G284" s="6">
        <f>IF($A284="","",MOD(ROUND('Opening Balance'!$B$9+SUMIFS('Sales &amp; Collection'!$L$1:$L$3951,'Sales &amp; Collection'!$K$1:$K$3951,"cash collection*"),2),'Opening Balance'!$B$11))</f>
        <v/>
      </c>
      <c r="H284" s="6">
        <f>IF($A284="","",ROUND('Opening Balance'!$B$10+'Opening Balance'!$B$9+SUMIFS('Sales &amp; Collection'!$L$1:$L$3951,'Sales &amp; Collection'!$K$1:$K$3951,"cash collection*")-G284-SUMIFS('Daily Sale entry '!$AC$2:$AC$1501,'Daily Sale entry '!$X$2:$X$1501,"&lt;="&amp;$A284,'Daily Sale entry '!$Z$2:$Z$1501,"Cash deposit 现金存入"),2))</f>
        <v/>
      </c>
      <c r="I284" s="6">
        <f>IF($A284="","",ROUND(B284+D284+E284+F284+G284+H284,2))</f>
        <v/>
      </c>
      <c r="J284" s="6">
        <f>IF($A284="","",'AR &amp; AP'!K285)</f>
        <v/>
      </c>
      <c r="K284" s="6">
        <f>IF($A284="","",ROUND(I284-J284-SUMIFS('Daily Sale entry '!$AC$2:$AC$1501,'Daily Sale entry '!$X$2:$X$1501,"&lt;="&amp;$A284,'Daily Sale entry '!$Z$2:$Z$1501,"Other deposit 其他存入")+SUMIFS('Daily Sale entry '!$AD$2:$AD$1501,'Daily Sale entry '!$X$2:$X$1501,"&lt;="&amp;$A284)+('Opening Balance'!$B$8+SUM('Daily Sale entry '!$L$2:M284)-F284),2))</f>
        <v/>
      </c>
      <c r="L284">
        <f>IF($A284="","",IF(ABS('Sales &amp; Collection'!$B$3960)&gt;'Opening Balance'!$B$16,"ALERT 警报: Different "&amp;TEXT('Sales &amp; Collection'!$B$3960,"#,##0.00")&amp;" 差额过大",""))</f>
        <v/>
      </c>
    </row>
    <row r="285">
      <c r="A285" s="5">
        <f>IF('Daily Sale entry '!A285="","",'Daily Sale entry '!A285)</f>
        <v/>
      </c>
      <c r="B285" s="6">
        <f>IF($A285="","",ROUND('Opening Balance'!$B$4+SUM('Daily Sale entry '!$K$2:K285)+SUMIFS('Daily Sale entry '!$AC$2:$AC$1501,'Daily Sale entry '!$X$2:$X$1501,"&lt;="&amp;$A285)-SUMIFS('Daily Sale entry '!$AD$2:$AD$1501,'Daily Sale entry '!$X$2:$X$1501,"&lt;="&amp;$A285)+SUMPRODUCT(('Daily Sale entry '!$Q$2:$Q$1501="Collection 收款")*('Daily Sale entry '!$R$2:$R$1501="Cheque 支票")*('Daily Sale entry '!$V$2:$V$1501&lt;&gt;"")*('Daily Sale entry '!$V$2:$V$1501&lt;=$A285)*('Daily Sale entry '!$S$2:$S$1501-'Opening Balance'!$B$15*('Daily Sale entry '!$R$2:$R$1501="Cheque 支票")*('Daily Sale entry '!$S$2:$S$1501-TRUNC('Daily Sale entry '!$S$2:$S$1501))))-'Opening Balance'!$B$15*SUMPRODUCT(('Daily Sale entry '!$X$2:$X$1501&lt;=$A285)*('Daily Sale entry '!$Z$2:$Z$1501="Online collection 网上收款")*('Daily Sale entry '!$AA$2:$AA$1501&lt;&gt;"")*('Daily Sale entry '!$AC$2:$AC$1501-TRUNC('Daily Sale entry '!$AC$2:$AC$1501))),2))</f>
        <v/>
      </c>
      <c r="C285" s="8">
        <f>IF($A285="","",'Opening Balance'!$B$5+SUM('Daily Sale entry '!$I$2:I285)-SUMIFS('Daily Sale entry '!$AB$2:$AB$1501,'Daily Sale entry '!$X$2:$X$1501,"&lt;="&amp;$A285,'Daily Sale entry '!$Z$2:$Z$1501,"Cheque deposit 支票存入")-COUNTIFS('Daily Sale entry '!$Q$2:$Q$1501,"Collection 收款",'Daily Sale entry '!$R$2:$R$1501,"Cheque 支票",'Daily Sale entry '!$V$2:$V$1501,"&lt;="&amp;$A285))</f>
        <v/>
      </c>
      <c r="D285" s="6">
        <f>IF($A285="","",ROUND('Opening Balance'!$B$6+SUM('Daily Sale entry '!$J$2:J285)-SUMIFS('Daily Sale entry '!$AC$2:$AC$1501,'Daily Sale entry '!$X$2:$X$1501,"&lt;="&amp;$A285,'Daily Sale entry '!$Z$2:$Z$1501,"Cheque deposit 支票存入")-SUMPRODUCT(('Daily Sale entry '!$Q$2:$Q$1501="Collection 收款")*('Daily Sale entry '!$R$2:$R$1501="Cheque 支票")*('Daily Sale entry '!$V$2:$V$1501&lt;&gt;"")*('Daily Sale entry '!$V$2:$V$1501&lt;=$A285)*('Daily Sale entry '!$S$2:$S$1501-'Opening Balance'!$B$15*('Daily Sale entry '!$R$2:$R$1501="Cheque 支票")*('Daily Sale entry '!$S$2:$S$1501-TRUNC('Daily Sale entry '!$S$2:$S$1501)))),2))</f>
        <v/>
      </c>
      <c r="E285" s="6">
        <f>IF($A285="","",'Opening Balance'!$B$7)</f>
        <v/>
      </c>
      <c r="F285" s="6">
        <f>IF($A285="","",ROUND(SUMIFS('Daily Sale entry '!$L$2:$L$367,'Daily Sale entry '!$A$2:$A$367,"&gt;="&amp;DATE(YEAR($A285),MONTH($A285),1),'Daily Sale entry '!$A$2:$A$367,"&lt;="&amp;$A285)+SUMIFS('Daily Sale entry '!$M$2:$M$367,'Daily Sale entry '!$A$2:$A$367,"&gt;="&amp;DATE(YEAR($A285),MONTH($A285),1),'Daily Sale entry '!$A$2:$A$367,"&lt;="&amp;$A285)+IF(AND(YEAR($A285)=YEAR('Daily Sale entry '!$A$2),MONTH($A285)=MONTH('Daily Sale entry '!$A$2)),'Opening Balance'!$B$8,0),2))</f>
        <v/>
      </c>
      <c r="G285" s="6">
        <f>IF($A285="","",MOD(ROUND('Opening Balance'!$B$9+SUMIFS('Sales &amp; Collection'!$L$1:$L$3965,'Sales &amp; Collection'!$K$1:$K$3965,"cash collection*"),2),'Opening Balance'!$B$11))</f>
        <v/>
      </c>
      <c r="H285" s="6">
        <f>IF($A285="","",ROUND('Opening Balance'!$B$10+'Opening Balance'!$B$9+SUMIFS('Sales &amp; Collection'!$L$1:$L$3965,'Sales &amp; Collection'!$K$1:$K$3965,"cash collection*")-G285-SUMIFS('Daily Sale entry '!$AC$2:$AC$1501,'Daily Sale entry '!$X$2:$X$1501,"&lt;="&amp;$A285,'Daily Sale entry '!$Z$2:$Z$1501,"Cash deposit 现金存入"),2))</f>
        <v/>
      </c>
      <c r="I285" s="6">
        <f>IF($A285="","",ROUND(B285+D285+E285+F285+G285+H285,2))</f>
        <v/>
      </c>
      <c r="J285" s="6">
        <f>IF($A285="","",'AR &amp; AP'!K286)</f>
        <v/>
      </c>
      <c r="K285" s="6">
        <f>IF($A285="","",ROUND(I285-J285-SUMIFS('Daily Sale entry '!$AC$2:$AC$1501,'Daily Sale entry '!$X$2:$X$1501,"&lt;="&amp;$A285,'Daily Sale entry '!$Z$2:$Z$1501,"Other deposit 其他存入")+SUMIFS('Daily Sale entry '!$AD$2:$AD$1501,'Daily Sale entry '!$X$2:$X$1501,"&lt;="&amp;$A285)+('Opening Balance'!$B$8+SUM('Daily Sale entry '!$L$2:M285)-F285),2))</f>
        <v/>
      </c>
      <c r="L285">
        <f>IF($A285="","",IF(ABS('Sales &amp; Collection'!$B$3974)&gt;'Opening Balance'!$B$16,"ALERT 警报: Different "&amp;TEXT('Sales &amp; Collection'!$B$3974,"#,##0.00")&amp;" 差额过大",""))</f>
        <v/>
      </c>
    </row>
    <row r="286">
      <c r="A286" s="5">
        <f>IF('Daily Sale entry '!A286="","",'Daily Sale entry '!A286)</f>
        <v/>
      </c>
      <c r="B286" s="6">
        <f>IF($A286="","",ROUND('Opening Balance'!$B$4+SUM('Daily Sale entry '!$K$2:K286)+SUMIFS('Daily Sale entry '!$AC$2:$AC$1501,'Daily Sale entry '!$X$2:$X$1501,"&lt;="&amp;$A286)-SUMIFS('Daily Sale entry '!$AD$2:$AD$1501,'Daily Sale entry '!$X$2:$X$1501,"&lt;="&amp;$A286)+SUMPRODUCT(('Daily Sale entry '!$Q$2:$Q$1501="Collection 收款")*('Daily Sale entry '!$R$2:$R$1501="Cheque 支票")*('Daily Sale entry '!$V$2:$V$1501&lt;&gt;"")*('Daily Sale entry '!$V$2:$V$1501&lt;=$A286)*('Daily Sale entry '!$S$2:$S$1501-'Opening Balance'!$B$15*('Daily Sale entry '!$R$2:$R$1501="Cheque 支票")*('Daily Sale entry '!$S$2:$S$1501-TRUNC('Daily Sale entry '!$S$2:$S$1501))))-'Opening Balance'!$B$15*SUMPRODUCT(('Daily Sale entry '!$X$2:$X$1501&lt;=$A286)*('Daily Sale entry '!$Z$2:$Z$1501="Online collection 网上收款")*('Daily Sale entry '!$AA$2:$AA$1501&lt;&gt;"")*('Daily Sale entry '!$AC$2:$AC$1501-TRUNC('Daily Sale entry '!$AC$2:$AC$1501))),2))</f>
        <v/>
      </c>
      <c r="C286" s="8">
        <f>IF($A286="","",'Opening Balance'!$B$5+SUM('Daily Sale entry '!$I$2:I286)-SUMIFS('Daily Sale entry '!$AB$2:$AB$1501,'Daily Sale entry '!$X$2:$X$1501,"&lt;="&amp;$A286,'Daily Sale entry '!$Z$2:$Z$1501,"Cheque deposit 支票存入")-COUNTIFS('Daily Sale entry '!$Q$2:$Q$1501,"Collection 收款",'Daily Sale entry '!$R$2:$R$1501,"Cheque 支票",'Daily Sale entry '!$V$2:$V$1501,"&lt;="&amp;$A286))</f>
        <v/>
      </c>
      <c r="D286" s="6">
        <f>IF($A286="","",ROUND('Opening Balance'!$B$6+SUM('Daily Sale entry '!$J$2:J286)-SUMIFS('Daily Sale entry '!$AC$2:$AC$1501,'Daily Sale entry '!$X$2:$X$1501,"&lt;="&amp;$A286,'Daily Sale entry '!$Z$2:$Z$1501,"Cheque deposit 支票存入")-SUMPRODUCT(('Daily Sale entry '!$Q$2:$Q$1501="Collection 收款")*('Daily Sale entry '!$R$2:$R$1501="Cheque 支票")*('Daily Sale entry '!$V$2:$V$1501&lt;&gt;"")*('Daily Sale entry '!$V$2:$V$1501&lt;=$A286)*('Daily Sale entry '!$S$2:$S$1501-'Opening Balance'!$B$15*('Daily Sale entry '!$R$2:$R$1501="Cheque 支票")*('Daily Sale entry '!$S$2:$S$1501-TRUNC('Daily Sale entry '!$S$2:$S$1501)))),2))</f>
        <v/>
      </c>
      <c r="E286" s="6">
        <f>IF($A286="","",'Opening Balance'!$B$7)</f>
        <v/>
      </c>
      <c r="F286" s="6">
        <f>IF($A286="","",ROUND(SUMIFS('Daily Sale entry '!$L$2:$L$367,'Daily Sale entry '!$A$2:$A$367,"&gt;="&amp;DATE(YEAR($A286),MONTH($A286),1),'Daily Sale entry '!$A$2:$A$367,"&lt;="&amp;$A286)+SUMIFS('Daily Sale entry '!$M$2:$M$367,'Daily Sale entry '!$A$2:$A$367,"&gt;="&amp;DATE(YEAR($A286),MONTH($A286),1),'Daily Sale entry '!$A$2:$A$367,"&lt;="&amp;$A286)+IF(AND(YEAR($A286)=YEAR('Daily Sale entry '!$A$2),MONTH($A286)=MONTH('Daily Sale entry '!$A$2)),'Opening Balance'!$B$8,0),2))</f>
        <v/>
      </c>
      <c r="G286" s="6">
        <f>IF($A286="","",MOD(ROUND('Opening Balance'!$B$9+SUMIFS('Sales &amp; Collection'!$L$1:$L$3979,'Sales &amp; Collection'!$K$1:$K$3979,"cash collection*"),2),'Opening Balance'!$B$11))</f>
        <v/>
      </c>
      <c r="H286" s="6">
        <f>IF($A286="","",ROUND('Opening Balance'!$B$10+'Opening Balance'!$B$9+SUMIFS('Sales &amp; Collection'!$L$1:$L$3979,'Sales &amp; Collection'!$K$1:$K$3979,"cash collection*")-G286-SUMIFS('Daily Sale entry '!$AC$2:$AC$1501,'Daily Sale entry '!$X$2:$X$1501,"&lt;="&amp;$A286,'Daily Sale entry '!$Z$2:$Z$1501,"Cash deposit 现金存入"),2))</f>
        <v/>
      </c>
      <c r="I286" s="6">
        <f>IF($A286="","",ROUND(B286+D286+E286+F286+G286+H286,2))</f>
        <v/>
      </c>
      <c r="J286" s="6">
        <f>IF($A286="","",'AR &amp; AP'!K287)</f>
        <v/>
      </c>
      <c r="K286" s="6">
        <f>IF($A286="","",ROUND(I286-J286-SUMIFS('Daily Sale entry '!$AC$2:$AC$1501,'Daily Sale entry '!$X$2:$X$1501,"&lt;="&amp;$A286,'Daily Sale entry '!$Z$2:$Z$1501,"Other deposit 其他存入")+SUMIFS('Daily Sale entry '!$AD$2:$AD$1501,'Daily Sale entry '!$X$2:$X$1501,"&lt;="&amp;$A286)+('Opening Balance'!$B$8+SUM('Daily Sale entry '!$L$2:M286)-F286),2))</f>
        <v/>
      </c>
      <c r="L286">
        <f>IF($A286="","",IF(ABS('Sales &amp; Collection'!$B$3988)&gt;'Opening Balance'!$B$16,"ALERT 警报: Different "&amp;TEXT('Sales &amp; Collection'!$B$3988,"#,##0.00")&amp;" 差额过大",""))</f>
        <v/>
      </c>
    </row>
    <row r="287">
      <c r="A287" s="5">
        <f>IF('Daily Sale entry '!A287="","",'Daily Sale entry '!A287)</f>
        <v/>
      </c>
      <c r="B287" s="6">
        <f>IF($A287="","",ROUND('Opening Balance'!$B$4+SUM('Daily Sale entry '!$K$2:K287)+SUMIFS('Daily Sale entry '!$AC$2:$AC$1501,'Daily Sale entry '!$X$2:$X$1501,"&lt;="&amp;$A287)-SUMIFS('Daily Sale entry '!$AD$2:$AD$1501,'Daily Sale entry '!$X$2:$X$1501,"&lt;="&amp;$A287)+SUMPRODUCT(('Daily Sale entry '!$Q$2:$Q$1501="Collection 收款")*('Daily Sale entry '!$R$2:$R$1501="Cheque 支票")*('Daily Sale entry '!$V$2:$V$1501&lt;&gt;"")*('Daily Sale entry '!$V$2:$V$1501&lt;=$A287)*('Daily Sale entry '!$S$2:$S$1501-'Opening Balance'!$B$15*('Daily Sale entry '!$R$2:$R$1501="Cheque 支票")*('Daily Sale entry '!$S$2:$S$1501-TRUNC('Daily Sale entry '!$S$2:$S$1501))))-'Opening Balance'!$B$15*SUMPRODUCT(('Daily Sale entry '!$X$2:$X$1501&lt;=$A287)*('Daily Sale entry '!$Z$2:$Z$1501="Online collection 网上收款")*('Daily Sale entry '!$AA$2:$AA$1501&lt;&gt;"")*('Daily Sale entry '!$AC$2:$AC$1501-TRUNC('Daily Sale entry '!$AC$2:$AC$1501))),2))</f>
        <v/>
      </c>
      <c r="C287" s="8">
        <f>IF($A287="","",'Opening Balance'!$B$5+SUM('Daily Sale entry '!$I$2:I287)-SUMIFS('Daily Sale entry '!$AB$2:$AB$1501,'Daily Sale entry '!$X$2:$X$1501,"&lt;="&amp;$A287,'Daily Sale entry '!$Z$2:$Z$1501,"Cheque deposit 支票存入")-COUNTIFS('Daily Sale entry '!$Q$2:$Q$1501,"Collection 收款",'Daily Sale entry '!$R$2:$R$1501,"Cheque 支票",'Daily Sale entry '!$V$2:$V$1501,"&lt;="&amp;$A287))</f>
        <v/>
      </c>
      <c r="D287" s="6">
        <f>IF($A287="","",ROUND('Opening Balance'!$B$6+SUM('Daily Sale entry '!$J$2:J287)-SUMIFS('Daily Sale entry '!$AC$2:$AC$1501,'Daily Sale entry '!$X$2:$X$1501,"&lt;="&amp;$A287,'Daily Sale entry '!$Z$2:$Z$1501,"Cheque deposit 支票存入")-SUMPRODUCT(('Daily Sale entry '!$Q$2:$Q$1501="Collection 收款")*('Daily Sale entry '!$R$2:$R$1501="Cheque 支票")*('Daily Sale entry '!$V$2:$V$1501&lt;&gt;"")*('Daily Sale entry '!$V$2:$V$1501&lt;=$A287)*('Daily Sale entry '!$S$2:$S$1501-'Opening Balance'!$B$15*('Daily Sale entry '!$R$2:$R$1501="Cheque 支票")*('Daily Sale entry '!$S$2:$S$1501-TRUNC('Daily Sale entry '!$S$2:$S$1501)))),2))</f>
        <v/>
      </c>
      <c r="E287" s="6">
        <f>IF($A287="","",'Opening Balance'!$B$7)</f>
        <v/>
      </c>
      <c r="F287" s="6">
        <f>IF($A287="","",ROUND(SUMIFS('Daily Sale entry '!$L$2:$L$367,'Daily Sale entry '!$A$2:$A$367,"&gt;="&amp;DATE(YEAR($A287),MONTH($A287),1),'Daily Sale entry '!$A$2:$A$367,"&lt;="&amp;$A287)+SUMIFS('Daily Sale entry '!$M$2:$M$367,'Daily Sale entry '!$A$2:$A$367,"&gt;="&amp;DATE(YEAR($A287),MONTH($A287),1),'Daily Sale entry '!$A$2:$A$367,"&lt;="&amp;$A287)+IF(AND(YEAR($A287)=YEAR('Daily Sale entry '!$A$2),MONTH($A287)=MONTH('Daily Sale entry '!$A$2)),'Opening Balance'!$B$8,0),2))</f>
        <v/>
      </c>
      <c r="G287" s="6">
        <f>IF($A287="","",MOD(ROUND('Opening Balance'!$B$9+SUMIFS('Sales &amp; Collection'!$L$1:$L$3993,'Sales &amp; Collection'!$K$1:$K$3993,"cash collection*"),2),'Opening Balance'!$B$11))</f>
        <v/>
      </c>
      <c r="H287" s="6">
        <f>IF($A287="","",ROUND('Opening Balance'!$B$10+'Opening Balance'!$B$9+SUMIFS('Sales &amp; Collection'!$L$1:$L$3993,'Sales &amp; Collection'!$K$1:$K$3993,"cash collection*")-G287-SUMIFS('Daily Sale entry '!$AC$2:$AC$1501,'Daily Sale entry '!$X$2:$X$1501,"&lt;="&amp;$A287,'Daily Sale entry '!$Z$2:$Z$1501,"Cash deposit 现金存入"),2))</f>
        <v/>
      </c>
      <c r="I287" s="6">
        <f>IF($A287="","",ROUND(B287+D287+E287+F287+G287+H287,2))</f>
        <v/>
      </c>
      <c r="J287" s="6">
        <f>IF($A287="","",'AR &amp; AP'!K288)</f>
        <v/>
      </c>
      <c r="K287" s="6">
        <f>IF($A287="","",ROUND(I287-J287-SUMIFS('Daily Sale entry '!$AC$2:$AC$1501,'Daily Sale entry '!$X$2:$X$1501,"&lt;="&amp;$A287,'Daily Sale entry '!$Z$2:$Z$1501,"Other deposit 其他存入")+SUMIFS('Daily Sale entry '!$AD$2:$AD$1501,'Daily Sale entry '!$X$2:$X$1501,"&lt;="&amp;$A287)+('Opening Balance'!$B$8+SUM('Daily Sale entry '!$L$2:M287)-F287),2))</f>
        <v/>
      </c>
      <c r="L287">
        <f>IF($A287="","",IF(ABS('Sales &amp; Collection'!$B$4002)&gt;'Opening Balance'!$B$16,"ALERT 警报: Different "&amp;TEXT('Sales &amp; Collection'!$B$4002,"#,##0.00")&amp;" 差额过大",""))</f>
        <v/>
      </c>
    </row>
    <row r="288">
      <c r="A288" s="5">
        <f>IF('Daily Sale entry '!A288="","",'Daily Sale entry '!A288)</f>
        <v/>
      </c>
      <c r="B288" s="6">
        <f>IF($A288="","",ROUND('Opening Balance'!$B$4+SUM('Daily Sale entry '!$K$2:K288)+SUMIFS('Daily Sale entry '!$AC$2:$AC$1501,'Daily Sale entry '!$X$2:$X$1501,"&lt;="&amp;$A288)-SUMIFS('Daily Sale entry '!$AD$2:$AD$1501,'Daily Sale entry '!$X$2:$X$1501,"&lt;="&amp;$A288)+SUMPRODUCT(('Daily Sale entry '!$Q$2:$Q$1501="Collection 收款")*('Daily Sale entry '!$R$2:$R$1501="Cheque 支票")*('Daily Sale entry '!$V$2:$V$1501&lt;&gt;"")*('Daily Sale entry '!$V$2:$V$1501&lt;=$A288)*('Daily Sale entry '!$S$2:$S$1501-'Opening Balance'!$B$15*('Daily Sale entry '!$R$2:$R$1501="Cheque 支票")*('Daily Sale entry '!$S$2:$S$1501-TRUNC('Daily Sale entry '!$S$2:$S$1501))))-'Opening Balance'!$B$15*SUMPRODUCT(('Daily Sale entry '!$X$2:$X$1501&lt;=$A288)*('Daily Sale entry '!$Z$2:$Z$1501="Online collection 网上收款")*('Daily Sale entry '!$AA$2:$AA$1501&lt;&gt;"")*('Daily Sale entry '!$AC$2:$AC$1501-TRUNC('Daily Sale entry '!$AC$2:$AC$1501))),2))</f>
        <v/>
      </c>
      <c r="C288" s="8">
        <f>IF($A288="","",'Opening Balance'!$B$5+SUM('Daily Sale entry '!$I$2:I288)-SUMIFS('Daily Sale entry '!$AB$2:$AB$1501,'Daily Sale entry '!$X$2:$X$1501,"&lt;="&amp;$A288,'Daily Sale entry '!$Z$2:$Z$1501,"Cheque deposit 支票存入")-COUNTIFS('Daily Sale entry '!$Q$2:$Q$1501,"Collection 收款",'Daily Sale entry '!$R$2:$R$1501,"Cheque 支票",'Daily Sale entry '!$V$2:$V$1501,"&lt;="&amp;$A288))</f>
        <v/>
      </c>
      <c r="D288" s="6">
        <f>IF($A288="","",ROUND('Opening Balance'!$B$6+SUM('Daily Sale entry '!$J$2:J288)-SUMIFS('Daily Sale entry '!$AC$2:$AC$1501,'Daily Sale entry '!$X$2:$X$1501,"&lt;="&amp;$A288,'Daily Sale entry '!$Z$2:$Z$1501,"Cheque deposit 支票存入")-SUMPRODUCT(('Daily Sale entry '!$Q$2:$Q$1501="Collection 收款")*('Daily Sale entry '!$R$2:$R$1501="Cheque 支票")*('Daily Sale entry '!$V$2:$V$1501&lt;&gt;"")*('Daily Sale entry '!$V$2:$V$1501&lt;=$A288)*('Daily Sale entry '!$S$2:$S$1501-'Opening Balance'!$B$15*('Daily Sale entry '!$R$2:$R$1501="Cheque 支票")*('Daily Sale entry '!$S$2:$S$1501-TRUNC('Daily Sale entry '!$S$2:$S$1501)))),2))</f>
        <v/>
      </c>
      <c r="E288" s="6">
        <f>IF($A288="","",'Opening Balance'!$B$7)</f>
        <v/>
      </c>
      <c r="F288" s="6">
        <f>IF($A288="","",ROUND(SUMIFS('Daily Sale entry '!$L$2:$L$367,'Daily Sale entry '!$A$2:$A$367,"&gt;="&amp;DATE(YEAR($A288),MONTH($A288),1),'Daily Sale entry '!$A$2:$A$367,"&lt;="&amp;$A288)+SUMIFS('Daily Sale entry '!$M$2:$M$367,'Daily Sale entry '!$A$2:$A$367,"&gt;="&amp;DATE(YEAR($A288),MONTH($A288),1),'Daily Sale entry '!$A$2:$A$367,"&lt;="&amp;$A288)+IF(AND(YEAR($A288)=YEAR('Daily Sale entry '!$A$2),MONTH($A288)=MONTH('Daily Sale entry '!$A$2)),'Opening Balance'!$B$8,0),2))</f>
        <v/>
      </c>
      <c r="G288" s="6">
        <f>IF($A288="","",MOD(ROUND('Opening Balance'!$B$9+SUMIFS('Sales &amp; Collection'!$L$1:$L$4007,'Sales &amp; Collection'!$K$1:$K$4007,"cash collection*"),2),'Opening Balance'!$B$11))</f>
        <v/>
      </c>
      <c r="H288" s="6">
        <f>IF($A288="","",ROUND('Opening Balance'!$B$10+'Opening Balance'!$B$9+SUMIFS('Sales &amp; Collection'!$L$1:$L$4007,'Sales &amp; Collection'!$K$1:$K$4007,"cash collection*")-G288-SUMIFS('Daily Sale entry '!$AC$2:$AC$1501,'Daily Sale entry '!$X$2:$X$1501,"&lt;="&amp;$A288,'Daily Sale entry '!$Z$2:$Z$1501,"Cash deposit 现金存入"),2))</f>
        <v/>
      </c>
      <c r="I288" s="6">
        <f>IF($A288="","",ROUND(B288+D288+E288+F288+G288+H288,2))</f>
        <v/>
      </c>
      <c r="J288" s="6">
        <f>IF($A288="","",'AR &amp; AP'!K289)</f>
        <v/>
      </c>
      <c r="K288" s="6">
        <f>IF($A288="","",ROUND(I288-J288-SUMIFS('Daily Sale entry '!$AC$2:$AC$1501,'Daily Sale entry '!$X$2:$X$1501,"&lt;="&amp;$A288,'Daily Sale entry '!$Z$2:$Z$1501,"Other deposit 其他存入")+SUMIFS('Daily Sale entry '!$AD$2:$AD$1501,'Daily Sale entry '!$X$2:$X$1501,"&lt;="&amp;$A288)+('Opening Balance'!$B$8+SUM('Daily Sale entry '!$L$2:M288)-F288),2))</f>
        <v/>
      </c>
      <c r="L288">
        <f>IF($A288="","",IF(ABS('Sales &amp; Collection'!$B$4016)&gt;'Opening Balance'!$B$16,"ALERT 警报: Different "&amp;TEXT('Sales &amp; Collection'!$B$4016,"#,##0.00")&amp;" 差额过大",""))</f>
        <v/>
      </c>
    </row>
    <row r="289">
      <c r="A289" s="5">
        <f>IF('Daily Sale entry '!A289="","",'Daily Sale entry '!A289)</f>
        <v/>
      </c>
      <c r="B289" s="6">
        <f>IF($A289="","",ROUND('Opening Balance'!$B$4+SUM('Daily Sale entry '!$K$2:K289)+SUMIFS('Daily Sale entry '!$AC$2:$AC$1501,'Daily Sale entry '!$X$2:$X$1501,"&lt;="&amp;$A289)-SUMIFS('Daily Sale entry '!$AD$2:$AD$1501,'Daily Sale entry '!$X$2:$X$1501,"&lt;="&amp;$A289)+SUMPRODUCT(('Daily Sale entry '!$Q$2:$Q$1501="Collection 收款")*('Daily Sale entry '!$R$2:$R$1501="Cheque 支票")*('Daily Sale entry '!$V$2:$V$1501&lt;&gt;"")*('Daily Sale entry '!$V$2:$V$1501&lt;=$A289)*('Daily Sale entry '!$S$2:$S$1501-'Opening Balance'!$B$15*('Daily Sale entry '!$R$2:$R$1501="Cheque 支票")*('Daily Sale entry '!$S$2:$S$1501-TRUNC('Daily Sale entry '!$S$2:$S$1501))))-'Opening Balance'!$B$15*SUMPRODUCT(('Daily Sale entry '!$X$2:$X$1501&lt;=$A289)*('Daily Sale entry '!$Z$2:$Z$1501="Online collection 网上收款")*('Daily Sale entry '!$AA$2:$AA$1501&lt;&gt;"")*('Daily Sale entry '!$AC$2:$AC$1501-TRUNC('Daily Sale entry '!$AC$2:$AC$1501))),2))</f>
        <v/>
      </c>
      <c r="C289" s="8">
        <f>IF($A289="","",'Opening Balance'!$B$5+SUM('Daily Sale entry '!$I$2:I289)-SUMIFS('Daily Sale entry '!$AB$2:$AB$1501,'Daily Sale entry '!$X$2:$X$1501,"&lt;="&amp;$A289,'Daily Sale entry '!$Z$2:$Z$1501,"Cheque deposit 支票存入")-COUNTIFS('Daily Sale entry '!$Q$2:$Q$1501,"Collection 收款",'Daily Sale entry '!$R$2:$R$1501,"Cheque 支票",'Daily Sale entry '!$V$2:$V$1501,"&lt;="&amp;$A289))</f>
        <v/>
      </c>
      <c r="D289" s="6">
        <f>IF($A289="","",ROUND('Opening Balance'!$B$6+SUM('Daily Sale entry '!$J$2:J289)-SUMIFS('Daily Sale entry '!$AC$2:$AC$1501,'Daily Sale entry '!$X$2:$X$1501,"&lt;="&amp;$A289,'Daily Sale entry '!$Z$2:$Z$1501,"Cheque deposit 支票存入")-SUMPRODUCT(('Daily Sale entry '!$Q$2:$Q$1501="Collection 收款")*('Daily Sale entry '!$R$2:$R$1501="Cheque 支票")*('Daily Sale entry '!$V$2:$V$1501&lt;&gt;"")*('Daily Sale entry '!$V$2:$V$1501&lt;=$A289)*('Daily Sale entry '!$S$2:$S$1501-'Opening Balance'!$B$15*('Daily Sale entry '!$R$2:$R$1501="Cheque 支票")*('Daily Sale entry '!$S$2:$S$1501-TRUNC('Daily Sale entry '!$S$2:$S$1501)))),2))</f>
        <v/>
      </c>
      <c r="E289" s="6">
        <f>IF($A289="","",'Opening Balance'!$B$7)</f>
        <v/>
      </c>
      <c r="F289" s="6">
        <f>IF($A289="","",ROUND(SUMIFS('Daily Sale entry '!$L$2:$L$367,'Daily Sale entry '!$A$2:$A$367,"&gt;="&amp;DATE(YEAR($A289),MONTH($A289),1),'Daily Sale entry '!$A$2:$A$367,"&lt;="&amp;$A289)+SUMIFS('Daily Sale entry '!$M$2:$M$367,'Daily Sale entry '!$A$2:$A$367,"&gt;="&amp;DATE(YEAR($A289),MONTH($A289),1),'Daily Sale entry '!$A$2:$A$367,"&lt;="&amp;$A289)+IF(AND(YEAR($A289)=YEAR('Daily Sale entry '!$A$2),MONTH($A289)=MONTH('Daily Sale entry '!$A$2)),'Opening Balance'!$B$8,0),2))</f>
        <v/>
      </c>
      <c r="G289" s="6">
        <f>IF($A289="","",MOD(ROUND('Opening Balance'!$B$9+SUMIFS('Sales &amp; Collection'!$L$1:$L$4021,'Sales &amp; Collection'!$K$1:$K$4021,"cash collection*"),2),'Opening Balance'!$B$11))</f>
        <v/>
      </c>
      <c r="H289" s="6">
        <f>IF($A289="","",ROUND('Opening Balance'!$B$10+'Opening Balance'!$B$9+SUMIFS('Sales &amp; Collection'!$L$1:$L$4021,'Sales &amp; Collection'!$K$1:$K$4021,"cash collection*")-G289-SUMIFS('Daily Sale entry '!$AC$2:$AC$1501,'Daily Sale entry '!$X$2:$X$1501,"&lt;="&amp;$A289,'Daily Sale entry '!$Z$2:$Z$1501,"Cash deposit 现金存入"),2))</f>
        <v/>
      </c>
      <c r="I289" s="6">
        <f>IF($A289="","",ROUND(B289+D289+E289+F289+G289+H289,2))</f>
        <v/>
      </c>
      <c r="J289" s="6">
        <f>IF($A289="","",'AR &amp; AP'!K290)</f>
        <v/>
      </c>
      <c r="K289" s="6">
        <f>IF($A289="","",ROUND(I289-J289-SUMIFS('Daily Sale entry '!$AC$2:$AC$1501,'Daily Sale entry '!$X$2:$X$1501,"&lt;="&amp;$A289,'Daily Sale entry '!$Z$2:$Z$1501,"Other deposit 其他存入")+SUMIFS('Daily Sale entry '!$AD$2:$AD$1501,'Daily Sale entry '!$X$2:$X$1501,"&lt;="&amp;$A289)+('Opening Balance'!$B$8+SUM('Daily Sale entry '!$L$2:M289)-F289),2))</f>
        <v/>
      </c>
      <c r="L289">
        <f>IF($A289="","",IF(ABS('Sales &amp; Collection'!$B$4030)&gt;'Opening Balance'!$B$16,"ALERT 警报: Different "&amp;TEXT('Sales &amp; Collection'!$B$4030,"#,##0.00")&amp;" 差额过大",""))</f>
        <v/>
      </c>
    </row>
    <row r="290">
      <c r="A290" s="5">
        <f>IF('Daily Sale entry '!A290="","",'Daily Sale entry '!A290)</f>
        <v/>
      </c>
      <c r="B290" s="6">
        <f>IF($A290="","",ROUND('Opening Balance'!$B$4+SUM('Daily Sale entry '!$K$2:K290)+SUMIFS('Daily Sale entry '!$AC$2:$AC$1501,'Daily Sale entry '!$X$2:$X$1501,"&lt;="&amp;$A290)-SUMIFS('Daily Sale entry '!$AD$2:$AD$1501,'Daily Sale entry '!$X$2:$X$1501,"&lt;="&amp;$A290)+SUMPRODUCT(('Daily Sale entry '!$Q$2:$Q$1501="Collection 收款")*('Daily Sale entry '!$R$2:$R$1501="Cheque 支票")*('Daily Sale entry '!$V$2:$V$1501&lt;&gt;"")*('Daily Sale entry '!$V$2:$V$1501&lt;=$A290)*('Daily Sale entry '!$S$2:$S$1501-'Opening Balance'!$B$15*('Daily Sale entry '!$R$2:$R$1501="Cheque 支票")*('Daily Sale entry '!$S$2:$S$1501-TRUNC('Daily Sale entry '!$S$2:$S$1501))))-'Opening Balance'!$B$15*SUMPRODUCT(('Daily Sale entry '!$X$2:$X$1501&lt;=$A290)*('Daily Sale entry '!$Z$2:$Z$1501="Online collection 网上收款")*('Daily Sale entry '!$AA$2:$AA$1501&lt;&gt;"")*('Daily Sale entry '!$AC$2:$AC$1501-TRUNC('Daily Sale entry '!$AC$2:$AC$1501))),2))</f>
        <v/>
      </c>
      <c r="C290" s="8">
        <f>IF($A290="","",'Opening Balance'!$B$5+SUM('Daily Sale entry '!$I$2:I290)-SUMIFS('Daily Sale entry '!$AB$2:$AB$1501,'Daily Sale entry '!$X$2:$X$1501,"&lt;="&amp;$A290,'Daily Sale entry '!$Z$2:$Z$1501,"Cheque deposit 支票存入")-COUNTIFS('Daily Sale entry '!$Q$2:$Q$1501,"Collection 收款",'Daily Sale entry '!$R$2:$R$1501,"Cheque 支票",'Daily Sale entry '!$V$2:$V$1501,"&lt;="&amp;$A290))</f>
        <v/>
      </c>
      <c r="D290" s="6">
        <f>IF($A290="","",ROUND('Opening Balance'!$B$6+SUM('Daily Sale entry '!$J$2:J290)-SUMIFS('Daily Sale entry '!$AC$2:$AC$1501,'Daily Sale entry '!$X$2:$X$1501,"&lt;="&amp;$A290,'Daily Sale entry '!$Z$2:$Z$1501,"Cheque deposit 支票存入")-SUMPRODUCT(('Daily Sale entry '!$Q$2:$Q$1501="Collection 收款")*('Daily Sale entry '!$R$2:$R$1501="Cheque 支票")*('Daily Sale entry '!$V$2:$V$1501&lt;&gt;"")*('Daily Sale entry '!$V$2:$V$1501&lt;=$A290)*('Daily Sale entry '!$S$2:$S$1501-'Opening Balance'!$B$15*('Daily Sale entry '!$R$2:$R$1501="Cheque 支票")*('Daily Sale entry '!$S$2:$S$1501-TRUNC('Daily Sale entry '!$S$2:$S$1501)))),2))</f>
        <v/>
      </c>
      <c r="E290" s="6">
        <f>IF($A290="","",'Opening Balance'!$B$7)</f>
        <v/>
      </c>
      <c r="F290" s="6">
        <f>IF($A290="","",ROUND(SUMIFS('Daily Sale entry '!$L$2:$L$367,'Daily Sale entry '!$A$2:$A$367,"&gt;="&amp;DATE(YEAR($A290),MONTH($A290),1),'Daily Sale entry '!$A$2:$A$367,"&lt;="&amp;$A290)+SUMIFS('Daily Sale entry '!$M$2:$M$367,'Daily Sale entry '!$A$2:$A$367,"&gt;="&amp;DATE(YEAR($A290),MONTH($A290),1),'Daily Sale entry '!$A$2:$A$367,"&lt;="&amp;$A290)+IF(AND(YEAR($A290)=YEAR('Daily Sale entry '!$A$2),MONTH($A290)=MONTH('Daily Sale entry '!$A$2)),'Opening Balance'!$B$8,0),2))</f>
        <v/>
      </c>
      <c r="G290" s="6">
        <f>IF($A290="","",MOD(ROUND('Opening Balance'!$B$9+SUMIFS('Sales &amp; Collection'!$L$1:$L$4035,'Sales &amp; Collection'!$K$1:$K$4035,"cash collection*"),2),'Opening Balance'!$B$11))</f>
        <v/>
      </c>
      <c r="H290" s="6">
        <f>IF($A290="","",ROUND('Opening Balance'!$B$10+'Opening Balance'!$B$9+SUMIFS('Sales &amp; Collection'!$L$1:$L$4035,'Sales &amp; Collection'!$K$1:$K$4035,"cash collection*")-G290-SUMIFS('Daily Sale entry '!$AC$2:$AC$1501,'Daily Sale entry '!$X$2:$X$1501,"&lt;="&amp;$A290,'Daily Sale entry '!$Z$2:$Z$1501,"Cash deposit 现金存入"),2))</f>
        <v/>
      </c>
      <c r="I290" s="6">
        <f>IF($A290="","",ROUND(B290+D290+E290+F290+G290+H290,2))</f>
        <v/>
      </c>
      <c r="J290" s="6">
        <f>IF($A290="","",'AR &amp; AP'!K291)</f>
        <v/>
      </c>
      <c r="K290" s="6">
        <f>IF($A290="","",ROUND(I290-J290-SUMIFS('Daily Sale entry '!$AC$2:$AC$1501,'Daily Sale entry '!$X$2:$X$1501,"&lt;="&amp;$A290,'Daily Sale entry '!$Z$2:$Z$1501,"Other deposit 其他存入")+SUMIFS('Daily Sale entry '!$AD$2:$AD$1501,'Daily Sale entry '!$X$2:$X$1501,"&lt;="&amp;$A290)+('Opening Balance'!$B$8+SUM('Daily Sale entry '!$L$2:M290)-F290),2))</f>
        <v/>
      </c>
      <c r="L290">
        <f>IF($A290="","",IF(ABS('Sales &amp; Collection'!$B$4044)&gt;'Opening Balance'!$B$16,"ALERT 警报: Different "&amp;TEXT('Sales &amp; Collection'!$B$4044,"#,##0.00")&amp;" 差额过大",""))</f>
        <v/>
      </c>
    </row>
    <row r="291">
      <c r="A291" s="5">
        <f>IF('Daily Sale entry '!A291="","",'Daily Sale entry '!A291)</f>
        <v/>
      </c>
      <c r="B291" s="6">
        <f>IF($A291="","",ROUND('Opening Balance'!$B$4+SUM('Daily Sale entry '!$K$2:K291)+SUMIFS('Daily Sale entry '!$AC$2:$AC$1501,'Daily Sale entry '!$X$2:$X$1501,"&lt;="&amp;$A291)-SUMIFS('Daily Sale entry '!$AD$2:$AD$1501,'Daily Sale entry '!$X$2:$X$1501,"&lt;="&amp;$A291)+SUMPRODUCT(('Daily Sale entry '!$Q$2:$Q$1501="Collection 收款")*('Daily Sale entry '!$R$2:$R$1501="Cheque 支票")*('Daily Sale entry '!$V$2:$V$1501&lt;&gt;"")*('Daily Sale entry '!$V$2:$V$1501&lt;=$A291)*('Daily Sale entry '!$S$2:$S$1501-'Opening Balance'!$B$15*('Daily Sale entry '!$R$2:$R$1501="Cheque 支票")*('Daily Sale entry '!$S$2:$S$1501-TRUNC('Daily Sale entry '!$S$2:$S$1501))))-'Opening Balance'!$B$15*SUMPRODUCT(('Daily Sale entry '!$X$2:$X$1501&lt;=$A291)*('Daily Sale entry '!$Z$2:$Z$1501="Online collection 网上收款")*('Daily Sale entry '!$AA$2:$AA$1501&lt;&gt;"")*('Daily Sale entry '!$AC$2:$AC$1501-TRUNC('Daily Sale entry '!$AC$2:$AC$1501))),2))</f>
        <v/>
      </c>
      <c r="C291" s="8">
        <f>IF($A291="","",'Opening Balance'!$B$5+SUM('Daily Sale entry '!$I$2:I291)-SUMIFS('Daily Sale entry '!$AB$2:$AB$1501,'Daily Sale entry '!$X$2:$X$1501,"&lt;="&amp;$A291,'Daily Sale entry '!$Z$2:$Z$1501,"Cheque deposit 支票存入")-COUNTIFS('Daily Sale entry '!$Q$2:$Q$1501,"Collection 收款",'Daily Sale entry '!$R$2:$R$1501,"Cheque 支票",'Daily Sale entry '!$V$2:$V$1501,"&lt;="&amp;$A291))</f>
        <v/>
      </c>
      <c r="D291" s="6">
        <f>IF($A291="","",ROUND('Opening Balance'!$B$6+SUM('Daily Sale entry '!$J$2:J291)-SUMIFS('Daily Sale entry '!$AC$2:$AC$1501,'Daily Sale entry '!$X$2:$X$1501,"&lt;="&amp;$A291,'Daily Sale entry '!$Z$2:$Z$1501,"Cheque deposit 支票存入")-SUMPRODUCT(('Daily Sale entry '!$Q$2:$Q$1501="Collection 收款")*('Daily Sale entry '!$R$2:$R$1501="Cheque 支票")*('Daily Sale entry '!$V$2:$V$1501&lt;&gt;"")*('Daily Sale entry '!$V$2:$V$1501&lt;=$A291)*('Daily Sale entry '!$S$2:$S$1501-'Opening Balance'!$B$15*('Daily Sale entry '!$R$2:$R$1501="Cheque 支票")*('Daily Sale entry '!$S$2:$S$1501-TRUNC('Daily Sale entry '!$S$2:$S$1501)))),2))</f>
        <v/>
      </c>
      <c r="E291" s="6">
        <f>IF($A291="","",'Opening Balance'!$B$7)</f>
        <v/>
      </c>
      <c r="F291" s="6">
        <f>IF($A291="","",ROUND(SUMIFS('Daily Sale entry '!$L$2:$L$367,'Daily Sale entry '!$A$2:$A$367,"&gt;="&amp;DATE(YEAR($A291),MONTH($A291),1),'Daily Sale entry '!$A$2:$A$367,"&lt;="&amp;$A291)+SUMIFS('Daily Sale entry '!$M$2:$M$367,'Daily Sale entry '!$A$2:$A$367,"&gt;="&amp;DATE(YEAR($A291),MONTH($A291),1),'Daily Sale entry '!$A$2:$A$367,"&lt;="&amp;$A291)+IF(AND(YEAR($A291)=YEAR('Daily Sale entry '!$A$2),MONTH($A291)=MONTH('Daily Sale entry '!$A$2)),'Opening Balance'!$B$8,0),2))</f>
        <v/>
      </c>
      <c r="G291" s="6">
        <f>IF($A291="","",MOD(ROUND('Opening Balance'!$B$9+SUMIFS('Sales &amp; Collection'!$L$1:$L$4049,'Sales &amp; Collection'!$K$1:$K$4049,"cash collection*"),2),'Opening Balance'!$B$11))</f>
        <v/>
      </c>
      <c r="H291" s="6">
        <f>IF($A291="","",ROUND('Opening Balance'!$B$10+'Opening Balance'!$B$9+SUMIFS('Sales &amp; Collection'!$L$1:$L$4049,'Sales &amp; Collection'!$K$1:$K$4049,"cash collection*")-G291-SUMIFS('Daily Sale entry '!$AC$2:$AC$1501,'Daily Sale entry '!$X$2:$X$1501,"&lt;="&amp;$A291,'Daily Sale entry '!$Z$2:$Z$1501,"Cash deposit 现金存入"),2))</f>
        <v/>
      </c>
      <c r="I291" s="6">
        <f>IF($A291="","",ROUND(B291+D291+E291+F291+G291+H291,2))</f>
        <v/>
      </c>
      <c r="J291" s="6">
        <f>IF($A291="","",'AR &amp; AP'!K292)</f>
        <v/>
      </c>
      <c r="K291" s="6">
        <f>IF($A291="","",ROUND(I291-J291-SUMIFS('Daily Sale entry '!$AC$2:$AC$1501,'Daily Sale entry '!$X$2:$X$1501,"&lt;="&amp;$A291,'Daily Sale entry '!$Z$2:$Z$1501,"Other deposit 其他存入")+SUMIFS('Daily Sale entry '!$AD$2:$AD$1501,'Daily Sale entry '!$X$2:$X$1501,"&lt;="&amp;$A291)+('Opening Balance'!$B$8+SUM('Daily Sale entry '!$L$2:M291)-F291),2))</f>
        <v/>
      </c>
      <c r="L291">
        <f>IF($A291="","",IF(ABS('Sales &amp; Collection'!$B$4058)&gt;'Opening Balance'!$B$16,"ALERT 警报: Different "&amp;TEXT('Sales &amp; Collection'!$B$4058,"#,##0.00")&amp;" 差额过大",""))</f>
        <v/>
      </c>
    </row>
    <row r="292">
      <c r="A292" s="5">
        <f>IF('Daily Sale entry '!A292="","",'Daily Sale entry '!A292)</f>
        <v/>
      </c>
      <c r="B292" s="6">
        <f>IF($A292="","",ROUND('Opening Balance'!$B$4+SUM('Daily Sale entry '!$K$2:K292)+SUMIFS('Daily Sale entry '!$AC$2:$AC$1501,'Daily Sale entry '!$X$2:$X$1501,"&lt;="&amp;$A292)-SUMIFS('Daily Sale entry '!$AD$2:$AD$1501,'Daily Sale entry '!$X$2:$X$1501,"&lt;="&amp;$A292)+SUMPRODUCT(('Daily Sale entry '!$Q$2:$Q$1501="Collection 收款")*('Daily Sale entry '!$R$2:$R$1501="Cheque 支票")*('Daily Sale entry '!$V$2:$V$1501&lt;&gt;"")*('Daily Sale entry '!$V$2:$V$1501&lt;=$A292)*('Daily Sale entry '!$S$2:$S$1501-'Opening Balance'!$B$15*('Daily Sale entry '!$R$2:$R$1501="Cheque 支票")*('Daily Sale entry '!$S$2:$S$1501-TRUNC('Daily Sale entry '!$S$2:$S$1501))))-'Opening Balance'!$B$15*SUMPRODUCT(('Daily Sale entry '!$X$2:$X$1501&lt;=$A292)*('Daily Sale entry '!$Z$2:$Z$1501="Online collection 网上收款")*('Daily Sale entry '!$AA$2:$AA$1501&lt;&gt;"")*('Daily Sale entry '!$AC$2:$AC$1501-TRUNC('Daily Sale entry '!$AC$2:$AC$1501))),2))</f>
        <v/>
      </c>
      <c r="C292" s="8">
        <f>IF($A292="","",'Opening Balance'!$B$5+SUM('Daily Sale entry '!$I$2:I292)-SUMIFS('Daily Sale entry '!$AB$2:$AB$1501,'Daily Sale entry '!$X$2:$X$1501,"&lt;="&amp;$A292,'Daily Sale entry '!$Z$2:$Z$1501,"Cheque deposit 支票存入")-COUNTIFS('Daily Sale entry '!$Q$2:$Q$1501,"Collection 收款",'Daily Sale entry '!$R$2:$R$1501,"Cheque 支票",'Daily Sale entry '!$V$2:$V$1501,"&lt;="&amp;$A292))</f>
        <v/>
      </c>
      <c r="D292" s="6">
        <f>IF($A292="","",ROUND('Opening Balance'!$B$6+SUM('Daily Sale entry '!$J$2:J292)-SUMIFS('Daily Sale entry '!$AC$2:$AC$1501,'Daily Sale entry '!$X$2:$X$1501,"&lt;="&amp;$A292,'Daily Sale entry '!$Z$2:$Z$1501,"Cheque deposit 支票存入")-SUMPRODUCT(('Daily Sale entry '!$Q$2:$Q$1501="Collection 收款")*('Daily Sale entry '!$R$2:$R$1501="Cheque 支票")*('Daily Sale entry '!$V$2:$V$1501&lt;&gt;"")*('Daily Sale entry '!$V$2:$V$1501&lt;=$A292)*('Daily Sale entry '!$S$2:$S$1501-'Opening Balance'!$B$15*('Daily Sale entry '!$R$2:$R$1501="Cheque 支票")*('Daily Sale entry '!$S$2:$S$1501-TRUNC('Daily Sale entry '!$S$2:$S$1501)))),2))</f>
        <v/>
      </c>
      <c r="E292" s="6">
        <f>IF($A292="","",'Opening Balance'!$B$7)</f>
        <v/>
      </c>
      <c r="F292" s="6">
        <f>IF($A292="","",ROUND(SUMIFS('Daily Sale entry '!$L$2:$L$367,'Daily Sale entry '!$A$2:$A$367,"&gt;="&amp;DATE(YEAR($A292),MONTH($A292),1),'Daily Sale entry '!$A$2:$A$367,"&lt;="&amp;$A292)+SUMIFS('Daily Sale entry '!$M$2:$M$367,'Daily Sale entry '!$A$2:$A$367,"&gt;="&amp;DATE(YEAR($A292),MONTH($A292),1),'Daily Sale entry '!$A$2:$A$367,"&lt;="&amp;$A292)+IF(AND(YEAR($A292)=YEAR('Daily Sale entry '!$A$2),MONTH($A292)=MONTH('Daily Sale entry '!$A$2)),'Opening Balance'!$B$8,0),2))</f>
        <v/>
      </c>
      <c r="G292" s="6">
        <f>IF($A292="","",MOD(ROUND('Opening Balance'!$B$9+SUMIFS('Sales &amp; Collection'!$L$1:$L$4063,'Sales &amp; Collection'!$K$1:$K$4063,"cash collection*"),2),'Opening Balance'!$B$11))</f>
        <v/>
      </c>
      <c r="H292" s="6">
        <f>IF($A292="","",ROUND('Opening Balance'!$B$10+'Opening Balance'!$B$9+SUMIFS('Sales &amp; Collection'!$L$1:$L$4063,'Sales &amp; Collection'!$K$1:$K$4063,"cash collection*")-G292-SUMIFS('Daily Sale entry '!$AC$2:$AC$1501,'Daily Sale entry '!$X$2:$X$1501,"&lt;="&amp;$A292,'Daily Sale entry '!$Z$2:$Z$1501,"Cash deposit 现金存入"),2))</f>
        <v/>
      </c>
      <c r="I292" s="6">
        <f>IF($A292="","",ROUND(B292+D292+E292+F292+G292+H292,2))</f>
        <v/>
      </c>
      <c r="J292" s="6">
        <f>IF($A292="","",'AR &amp; AP'!K293)</f>
        <v/>
      </c>
      <c r="K292" s="6">
        <f>IF($A292="","",ROUND(I292-J292-SUMIFS('Daily Sale entry '!$AC$2:$AC$1501,'Daily Sale entry '!$X$2:$X$1501,"&lt;="&amp;$A292,'Daily Sale entry '!$Z$2:$Z$1501,"Other deposit 其他存入")+SUMIFS('Daily Sale entry '!$AD$2:$AD$1501,'Daily Sale entry '!$X$2:$X$1501,"&lt;="&amp;$A292)+('Opening Balance'!$B$8+SUM('Daily Sale entry '!$L$2:M292)-F292),2))</f>
        <v/>
      </c>
      <c r="L292">
        <f>IF($A292="","",IF(ABS('Sales &amp; Collection'!$B$4072)&gt;'Opening Balance'!$B$16,"ALERT 警报: Different "&amp;TEXT('Sales &amp; Collection'!$B$4072,"#,##0.00")&amp;" 差额过大",""))</f>
        <v/>
      </c>
    </row>
    <row r="293">
      <c r="A293" s="5">
        <f>IF('Daily Sale entry '!A293="","",'Daily Sale entry '!A293)</f>
        <v/>
      </c>
      <c r="B293" s="6">
        <f>IF($A293="","",ROUND('Opening Balance'!$B$4+SUM('Daily Sale entry '!$K$2:K293)+SUMIFS('Daily Sale entry '!$AC$2:$AC$1501,'Daily Sale entry '!$X$2:$X$1501,"&lt;="&amp;$A293)-SUMIFS('Daily Sale entry '!$AD$2:$AD$1501,'Daily Sale entry '!$X$2:$X$1501,"&lt;="&amp;$A293)+SUMPRODUCT(('Daily Sale entry '!$Q$2:$Q$1501="Collection 收款")*('Daily Sale entry '!$R$2:$R$1501="Cheque 支票")*('Daily Sale entry '!$V$2:$V$1501&lt;&gt;"")*('Daily Sale entry '!$V$2:$V$1501&lt;=$A293)*('Daily Sale entry '!$S$2:$S$1501-'Opening Balance'!$B$15*('Daily Sale entry '!$R$2:$R$1501="Cheque 支票")*('Daily Sale entry '!$S$2:$S$1501-TRUNC('Daily Sale entry '!$S$2:$S$1501))))-'Opening Balance'!$B$15*SUMPRODUCT(('Daily Sale entry '!$X$2:$X$1501&lt;=$A293)*('Daily Sale entry '!$Z$2:$Z$1501="Online collection 网上收款")*('Daily Sale entry '!$AA$2:$AA$1501&lt;&gt;"")*('Daily Sale entry '!$AC$2:$AC$1501-TRUNC('Daily Sale entry '!$AC$2:$AC$1501))),2))</f>
        <v/>
      </c>
      <c r="C293" s="8">
        <f>IF($A293="","",'Opening Balance'!$B$5+SUM('Daily Sale entry '!$I$2:I293)-SUMIFS('Daily Sale entry '!$AB$2:$AB$1501,'Daily Sale entry '!$X$2:$X$1501,"&lt;="&amp;$A293,'Daily Sale entry '!$Z$2:$Z$1501,"Cheque deposit 支票存入")-COUNTIFS('Daily Sale entry '!$Q$2:$Q$1501,"Collection 收款",'Daily Sale entry '!$R$2:$R$1501,"Cheque 支票",'Daily Sale entry '!$V$2:$V$1501,"&lt;="&amp;$A293))</f>
        <v/>
      </c>
      <c r="D293" s="6">
        <f>IF($A293="","",ROUND('Opening Balance'!$B$6+SUM('Daily Sale entry '!$J$2:J293)-SUMIFS('Daily Sale entry '!$AC$2:$AC$1501,'Daily Sale entry '!$X$2:$X$1501,"&lt;="&amp;$A293,'Daily Sale entry '!$Z$2:$Z$1501,"Cheque deposit 支票存入")-SUMPRODUCT(('Daily Sale entry '!$Q$2:$Q$1501="Collection 收款")*('Daily Sale entry '!$R$2:$R$1501="Cheque 支票")*('Daily Sale entry '!$V$2:$V$1501&lt;&gt;"")*('Daily Sale entry '!$V$2:$V$1501&lt;=$A293)*('Daily Sale entry '!$S$2:$S$1501-'Opening Balance'!$B$15*('Daily Sale entry '!$R$2:$R$1501="Cheque 支票")*('Daily Sale entry '!$S$2:$S$1501-TRUNC('Daily Sale entry '!$S$2:$S$1501)))),2))</f>
        <v/>
      </c>
      <c r="E293" s="6">
        <f>IF($A293="","",'Opening Balance'!$B$7)</f>
        <v/>
      </c>
      <c r="F293" s="6">
        <f>IF($A293="","",ROUND(SUMIFS('Daily Sale entry '!$L$2:$L$367,'Daily Sale entry '!$A$2:$A$367,"&gt;="&amp;DATE(YEAR($A293),MONTH($A293),1),'Daily Sale entry '!$A$2:$A$367,"&lt;="&amp;$A293)+SUMIFS('Daily Sale entry '!$M$2:$M$367,'Daily Sale entry '!$A$2:$A$367,"&gt;="&amp;DATE(YEAR($A293),MONTH($A293),1),'Daily Sale entry '!$A$2:$A$367,"&lt;="&amp;$A293)+IF(AND(YEAR($A293)=YEAR('Daily Sale entry '!$A$2),MONTH($A293)=MONTH('Daily Sale entry '!$A$2)),'Opening Balance'!$B$8,0),2))</f>
        <v/>
      </c>
      <c r="G293" s="6">
        <f>IF($A293="","",MOD(ROUND('Opening Balance'!$B$9+SUMIFS('Sales &amp; Collection'!$L$1:$L$4077,'Sales &amp; Collection'!$K$1:$K$4077,"cash collection*"),2),'Opening Balance'!$B$11))</f>
        <v/>
      </c>
      <c r="H293" s="6">
        <f>IF($A293="","",ROUND('Opening Balance'!$B$10+'Opening Balance'!$B$9+SUMIFS('Sales &amp; Collection'!$L$1:$L$4077,'Sales &amp; Collection'!$K$1:$K$4077,"cash collection*")-G293-SUMIFS('Daily Sale entry '!$AC$2:$AC$1501,'Daily Sale entry '!$X$2:$X$1501,"&lt;="&amp;$A293,'Daily Sale entry '!$Z$2:$Z$1501,"Cash deposit 现金存入"),2))</f>
        <v/>
      </c>
      <c r="I293" s="6">
        <f>IF($A293="","",ROUND(B293+D293+E293+F293+G293+H293,2))</f>
        <v/>
      </c>
      <c r="J293" s="6">
        <f>IF($A293="","",'AR &amp; AP'!K294)</f>
        <v/>
      </c>
      <c r="K293" s="6">
        <f>IF($A293="","",ROUND(I293-J293-SUMIFS('Daily Sale entry '!$AC$2:$AC$1501,'Daily Sale entry '!$X$2:$X$1501,"&lt;="&amp;$A293,'Daily Sale entry '!$Z$2:$Z$1501,"Other deposit 其他存入")+SUMIFS('Daily Sale entry '!$AD$2:$AD$1501,'Daily Sale entry '!$X$2:$X$1501,"&lt;="&amp;$A293)+('Opening Balance'!$B$8+SUM('Daily Sale entry '!$L$2:M293)-F293),2))</f>
        <v/>
      </c>
      <c r="L293">
        <f>IF($A293="","",IF(ABS('Sales &amp; Collection'!$B$4086)&gt;'Opening Balance'!$B$16,"ALERT 警报: Different "&amp;TEXT('Sales &amp; Collection'!$B$4086,"#,##0.00")&amp;" 差额过大",""))</f>
        <v/>
      </c>
    </row>
    <row r="294">
      <c r="A294" s="5">
        <f>IF('Daily Sale entry '!A294="","",'Daily Sale entry '!A294)</f>
        <v/>
      </c>
      <c r="B294" s="6">
        <f>IF($A294="","",ROUND('Opening Balance'!$B$4+SUM('Daily Sale entry '!$K$2:K294)+SUMIFS('Daily Sale entry '!$AC$2:$AC$1501,'Daily Sale entry '!$X$2:$X$1501,"&lt;="&amp;$A294)-SUMIFS('Daily Sale entry '!$AD$2:$AD$1501,'Daily Sale entry '!$X$2:$X$1501,"&lt;="&amp;$A294)+SUMPRODUCT(('Daily Sale entry '!$Q$2:$Q$1501="Collection 收款")*('Daily Sale entry '!$R$2:$R$1501="Cheque 支票")*('Daily Sale entry '!$V$2:$V$1501&lt;&gt;"")*('Daily Sale entry '!$V$2:$V$1501&lt;=$A294)*('Daily Sale entry '!$S$2:$S$1501-'Opening Balance'!$B$15*('Daily Sale entry '!$R$2:$R$1501="Cheque 支票")*('Daily Sale entry '!$S$2:$S$1501-TRUNC('Daily Sale entry '!$S$2:$S$1501))))-'Opening Balance'!$B$15*SUMPRODUCT(('Daily Sale entry '!$X$2:$X$1501&lt;=$A294)*('Daily Sale entry '!$Z$2:$Z$1501="Online collection 网上收款")*('Daily Sale entry '!$AA$2:$AA$1501&lt;&gt;"")*('Daily Sale entry '!$AC$2:$AC$1501-TRUNC('Daily Sale entry '!$AC$2:$AC$1501))),2))</f>
        <v/>
      </c>
      <c r="C294" s="8">
        <f>IF($A294="","",'Opening Balance'!$B$5+SUM('Daily Sale entry '!$I$2:I294)-SUMIFS('Daily Sale entry '!$AB$2:$AB$1501,'Daily Sale entry '!$X$2:$X$1501,"&lt;="&amp;$A294,'Daily Sale entry '!$Z$2:$Z$1501,"Cheque deposit 支票存入")-COUNTIFS('Daily Sale entry '!$Q$2:$Q$1501,"Collection 收款",'Daily Sale entry '!$R$2:$R$1501,"Cheque 支票",'Daily Sale entry '!$V$2:$V$1501,"&lt;="&amp;$A294))</f>
        <v/>
      </c>
      <c r="D294" s="6">
        <f>IF($A294="","",ROUND('Opening Balance'!$B$6+SUM('Daily Sale entry '!$J$2:J294)-SUMIFS('Daily Sale entry '!$AC$2:$AC$1501,'Daily Sale entry '!$X$2:$X$1501,"&lt;="&amp;$A294,'Daily Sale entry '!$Z$2:$Z$1501,"Cheque deposit 支票存入")-SUMPRODUCT(('Daily Sale entry '!$Q$2:$Q$1501="Collection 收款")*('Daily Sale entry '!$R$2:$R$1501="Cheque 支票")*('Daily Sale entry '!$V$2:$V$1501&lt;&gt;"")*('Daily Sale entry '!$V$2:$V$1501&lt;=$A294)*('Daily Sale entry '!$S$2:$S$1501-'Opening Balance'!$B$15*('Daily Sale entry '!$R$2:$R$1501="Cheque 支票")*('Daily Sale entry '!$S$2:$S$1501-TRUNC('Daily Sale entry '!$S$2:$S$1501)))),2))</f>
        <v/>
      </c>
      <c r="E294" s="6">
        <f>IF($A294="","",'Opening Balance'!$B$7)</f>
        <v/>
      </c>
      <c r="F294" s="6">
        <f>IF($A294="","",ROUND(SUMIFS('Daily Sale entry '!$L$2:$L$367,'Daily Sale entry '!$A$2:$A$367,"&gt;="&amp;DATE(YEAR($A294),MONTH($A294),1),'Daily Sale entry '!$A$2:$A$367,"&lt;="&amp;$A294)+SUMIFS('Daily Sale entry '!$M$2:$M$367,'Daily Sale entry '!$A$2:$A$367,"&gt;="&amp;DATE(YEAR($A294),MONTH($A294),1),'Daily Sale entry '!$A$2:$A$367,"&lt;="&amp;$A294)+IF(AND(YEAR($A294)=YEAR('Daily Sale entry '!$A$2),MONTH($A294)=MONTH('Daily Sale entry '!$A$2)),'Opening Balance'!$B$8,0),2))</f>
        <v/>
      </c>
      <c r="G294" s="6">
        <f>IF($A294="","",MOD(ROUND('Opening Balance'!$B$9+SUMIFS('Sales &amp; Collection'!$L$1:$L$4091,'Sales &amp; Collection'!$K$1:$K$4091,"cash collection*"),2),'Opening Balance'!$B$11))</f>
        <v/>
      </c>
      <c r="H294" s="6">
        <f>IF($A294="","",ROUND('Opening Balance'!$B$10+'Opening Balance'!$B$9+SUMIFS('Sales &amp; Collection'!$L$1:$L$4091,'Sales &amp; Collection'!$K$1:$K$4091,"cash collection*")-G294-SUMIFS('Daily Sale entry '!$AC$2:$AC$1501,'Daily Sale entry '!$X$2:$X$1501,"&lt;="&amp;$A294,'Daily Sale entry '!$Z$2:$Z$1501,"Cash deposit 现金存入"),2))</f>
        <v/>
      </c>
      <c r="I294" s="6">
        <f>IF($A294="","",ROUND(B294+D294+E294+F294+G294+H294,2))</f>
        <v/>
      </c>
      <c r="J294" s="6">
        <f>IF($A294="","",'AR &amp; AP'!K295)</f>
        <v/>
      </c>
      <c r="K294" s="6">
        <f>IF($A294="","",ROUND(I294-J294-SUMIFS('Daily Sale entry '!$AC$2:$AC$1501,'Daily Sale entry '!$X$2:$X$1501,"&lt;="&amp;$A294,'Daily Sale entry '!$Z$2:$Z$1501,"Other deposit 其他存入")+SUMIFS('Daily Sale entry '!$AD$2:$AD$1501,'Daily Sale entry '!$X$2:$X$1501,"&lt;="&amp;$A294)+('Opening Balance'!$B$8+SUM('Daily Sale entry '!$L$2:M294)-F294),2))</f>
        <v/>
      </c>
      <c r="L294">
        <f>IF($A294="","",IF(ABS('Sales &amp; Collection'!$B$4100)&gt;'Opening Balance'!$B$16,"ALERT 警报: Different "&amp;TEXT('Sales &amp; Collection'!$B$4100,"#,##0.00")&amp;" 差额过大",""))</f>
        <v/>
      </c>
    </row>
    <row r="295">
      <c r="A295" s="5">
        <f>IF('Daily Sale entry '!A295="","",'Daily Sale entry '!A295)</f>
        <v/>
      </c>
      <c r="B295" s="6">
        <f>IF($A295="","",ROUND('Opening Balance'!$B$4+SUM('Daily Sale entry '!$K$2:K295)+SUMIFS('Daily Sale entry '!$AC$2:$AC$1501,'Daily Sale entry '!$X$2:$X$1501,"&lt;="&amp;$A295)-SUMIFS('Daily Sale entry '!$AD$2:$AD$1501,'Daily Sale entry '!$X$2:$X$1501,"&lt;="&amp;$A295)+SUMPRODUCT(('Daily Sale entry '!$Q$2:$Q$1501="Collection 收款")*('Daily Sale entry '!$R$2:$R$1501="Cheque 支票")*('Daily Sale entry '!$V$2:$V$1501&lt;&gt;"")*('Daily Sale entry '!$V$2:$V$1501&lt;=$A295)*('Daily Sale entry '!$S$2:$S$1501-'Opening Balance'!$B$15*('Daily Sale entry '!$R$2:$R$1501="Cheque 支票")*('Daily Sale entry '!$S$2:$S$1501-TRUNC('Daily Sale entry '!$S$2:$S$1501))))-'Opening Balance'!$B$15*SUMPRODUCT(('Daily Sale entry '!$X$2:$X$1501&lt;=$A295)*('Daily Sale entry '!$Z$2:$Z$1501="Online collection 网上收款")*('Daily Sale entry '!$AA$2:$AA$1501&lt;&gt;"")*('Daily Sale entry '!$AC$2:$AC$1501-TRUNC('Daily Sale entry '!$AC$2:$AC$1501))),2))</f>
        <v/>
      </c>
      <c r="C295" s="8">
        <f>IF($A295="","",'Opening Balance'!$B$5+SUM('Daily Sale entry '!$I$2:I295)-SUMIFS('Daily Sale entry '!$AB$2:$AB$1501,'Daily Sale entry '!$X$2:$X$1501,"&lt;="&amp;$A295,'Daily Sale entry '!$Z$2:$Z$1501,"Cheque deposit 支票存入")-COUNTIFS('Daily Sale entry '!$Q$2:$Q$1501,"Collection 收款",'Daily Sale entry '!$R$2:$R$1501,"Cheque 支票",'Daily Sale entry '!$V$2:$V$1501,"&lt;="&amp;$A295))</f>
        <v/>
      </c>
      <c r="D295" s="6">
        <f>IF($A295="","",ROUND('Opening Balance'!$B$6+SUM('Daily Sale entry '!$J$2:J295)-SUMIFS('Daily Sale entry '!$AC$2:$AC$1501,'Daily Sale entry '!$X$2:$X$1501,"&lt;="&amp;$A295,'Daily Sale entry '!$Z$2:$Z$1501,"Cheque deposit 支票存入")-SUMPRODUCT(('Daily Sale entry '!$Q$2:$Q$1501="Collection 收款")*('Daily Sale entry '!$R$2:$R$1501="Cheque 支票")*('Daily Sale entry '!$V$2:$V$1501&lt;&gt;"")*('Daily Sale entry '!$V$2:$V$1501&lt;=$A295)*('Daily Sale entry '!$S$2:$S$1501-'Opening Balance'!$B$15*('Daily Sale entry '!$R$2:$R$1501="Cheque 支票")*('Daily Sale entry '!$S$2:$S$1501-TRUNC('Daily Sale entry '!$S$2:$S$1501)))),2))</f>
        <v/>
      </c>
      <c r="E295" s="6">
        <f>IF($A295="","",'Opening Balance'!$B$7)</f>
        <v/>
      </c>
      <c r="F295" s="6">
        <f>IF($A295="","",ROUND(SUMIFS('Daily Sale entry '!$L$2:$L$367,'Daily Sale entry '!$A$2:$A$367,"&gt;="&amp;DATE(YEAR($A295),MONTH($A295),1),'Daily Sale entry '!$A$2:$A$367,"&lt;="&amp;$A295)+SUMIFS('Daily Sale entry '!$M$2:$M$367,'Daily Sale entry '!$A$2:$A$367,"&gt;="&amp;DATE(YEAR($A295),MONTH($A295),1),'Daily Sale entry '!$A$2:$A$367,"&lt;="&amp;$A295)+IF(AND(YEAR($A295)=YEAR('Daily Sale entry '!$A$2),MONTH($A295)=MONTH('Daily Sale entry '!$A$2)),'Opening Balance'!$B$8,0),2))</f>
        <v/>
      </c>
      <c r="G295" s="6">
        <f>IF($A295="","",MOD(ROUND('Opening Balance'!$B$9+SUMIFS('Sales &amp; Collection'!$L$1:$L$4105,'Sales &amp; Collection'!$K$1:$K$4105,"cash collection*"),2),'Opening Balance'!$B$11))</f>
        <v/>
      </c>
      <c r="H295" s="6">
        <f>IF($A295="","",ROUND('Opening Balance'!$B$10+'Opening Balance'!$B$9+SUMIFS('Sales &amp; Collection'!$L$1:$L$4105,'Sales &amp; Collection'!$K$1:$K$4105,"cash collection*")-G295-SUMIFS('Daily Sale entry '!$AC$2:$AC$1501,'Daily Sale entry '!$X$2:$X$1501,"&lt;="&amp;$A295,'Daily Sale entry '!$Z$2:$Z$1501,"Cash deposit 现金存入"),2))</f>
        <v/>
      </c>
      <c r="I295" s="6">
        <f>IF($A295="","",ROUND(B295+D295+E295+F295+G295+H295,2))</f>
        <v/>
      </c>
      <c r="J295" s="6">
        <f>IF($A295="","",'AR &amp; AP'!K296)</f>
        <v/>
      </c>
      <c r="K295" s="6">
        <f>IF($A295="","",ROUND(I295-J295-SUMIFS('Daily Sale entry '!$AC$2:$AC$1501,'Daily Sale entry '!$X$2:$X$1501,"&lt;="&amp;$A295,'Daily Sale entry '!$Z$2:$Z$1501,"Other deposit 其他存入")+SUMIFS('Daily Sale entry '!$AD$2:$AD$1501,'Daily Sale entry '!$X$2:$X$1501,"&lt;="&amp;$A295)+('Opening Balance'!$B$8+SUM('Daily Sale entry '!$L$2:M295)-F295),2))</f>
        <v/>
      </c>
      <c r="L295">
        <f>IF($A295="","",IF(ABS('Sales &amp; Collection'!$B$4114)&gt;'Opening Balance'!$B$16,"ALERT 警报: Different "&amp;TEXT('Sales &amp; Collection'!$B$4114,"#,##0.00")&amp;" 差额过大",""))</f>
        <v/>
      </c>
    </row>
    <row r="296">
      <c r="A296" s="5">
        <f>IF('Daily Sale entry '!A296="","",'Daily Sale entry '!A296)</f>
        <v/>
      </c>
      <c r="B296" s="6">
        <f>IF($A296="","",ROUND('Opening Balance'!$B$4+SUM('Daily Sale entry '!$K$2:K296)+SUMIFS('Daily Sale entry '!$AC$2:$AC$1501,'Daily Sale entry '!$X$2:$X$1501,"&lt;="&amp;$A296)-SUMIFS('Daily Sale entry '!$AD$2:$AD$1501,'Daily Sale entry '!$X$2:$X$1501,"&lt;="&amp;$A296)+SUMPRODUCT(('Daily Sale entry '!$Q$2:$Q$1501="Collection 收款")*('Daily Sale entry '!$R$2:$R$1501="Cheque 支票")*('Daily Sale entry '!$V$2:$V$1501&lt;&gt;"")*('Daily Sale entry '!$V$2:$V$1501&lt;=$A296)*('Daily Sale entry '!$S$2:$S$1501-'Opening Balance'!$B$15*('Daily Sale entry '!$R$2:$R$1501="Cheque 支票")*('Daily Sale entry '!$S$2:$S$1501-TRUNC('Daily Sale entry '!$S$2:$S$1501))))-'Opening Balance'!$B$15*SUMPRODUCT(('Daily Sale entry '!$X$2:$X$1501&lt;=$A296)*('Daily Sale entry '!$Z$2:$Z$1501="Online collection 网上收款")*('Daily Sale entry '!$AA$2:$AA$1501&lt;&gt;"")*('Daily Sale entry '!$AC$2:$AC$1501-TRUNC('Daily Sale entry '!$AC$2:$AC$1501))),2))</f>
        <v/>
      </c>
      <c r="C296" s="8">
        <f>IF($A296="","",'Opening Balance'!$B$5+SUM('Daily Sale entry '!$I$2:I296)-SUMIFS('Daily Sale entry '!$AB$2:$AB$1501,'Daily Sale entry '!$X$2:$X$1501,"&lt;="&amp;$A296,'Daily Sale entry '!$Z$2:$Z$1501,"Cheque deposit 支票存入")-COUNTIFS('Daily Sale entry '!$Q$2:$Q$1501,"Collection 收款",'Daily Sale entry '!$R$2:$R$1501,"Cheque 支票",'Daily Sale entry '!$V$2:$V$1501,"&lt;="&amp;$A296))</f>
        <v/>
      </c>
      <c r="D296" s="6">
        <f>IF($A296="","",ROUND('Opening Balance'!$B$6+SUM('Daily Sale entry '!$J$2:J296)-SUMIFS('Daily Sale entry '!$AC$2:$AC$1501,'Daily Sale entry '!$X$2:$X$1501,"&lt;="&amp;$A296,'Daily Sale entry '!$Z$2:$Z$1501,"Cheque deposit 支票存入")-SUMPRODUCT(('Daily Sale entry '!$Q$2:$Q$1501="Collection 收款")*('Daily Sale entry '!$R$2:$R$1501="Cheque 支票")*('Daily Sale entry '!$V$2:$V$1501&lt;&gt;"")*('Daily Sale entry '!$V$2:$V$1501&lt;=$A296)*('Daily Sale entry '!$S$2:$S$1501-'Opening Balance'!$B$15*('Daily Sale entry '!$R$2:$R$1501="Cheque 支票")*('Daily Sale entry '!$S$2:$S$1501-TRUNC('Daily Sale entry '!$S$2:$S$1501)))),2))</f>
        <v/>
      </c>
      <c r="E296" s="6">
        <f>IF($A296="","",'Opening Balance'!$B$7)</f>
        <v/>
      </c>
      <c r="F296" s="6">
        <f>IF($A296="","",ROUND(SUMIFS('Daily Sale entry '!$L$2:$L$367,'Daily Sale entry '!$A$2:$A$367,"&gt;="&amp;DATE(YEAR($A296),MONTH($A296),1),'Daily Sale entry '!$A$2:$A$367,"&lt;="&amp;$A296)+SUMIFS('Daily Sale entry '!$M$2:$M$367,'Daily Sale entry '!$A$2:$A$367,"&gt;="&amp;DATE(YEAR($A296),MONTH($A296),1),'Daily Sale entry '!$A$2:$A$367,"&lt;="&amp;$A296)+IF(AND(YEAR($A296)=YEAR('Daily Sale entry '!$A$2),MONTH($A296)=MONTH('Daily Sale entry '!$A$2)),'Opening Balance'!$B$8,0),2))</f>
        <v/>
      </c>
      <c r="G296" s="6">
        <f>IF($A296="","",MOD(ROUND('Opening Balance'!$B$9+SUMIFS('Sales &amp; Collection'!$L$1:$L$4119,'Sales &amp; Collection'!$K$1:$K$4119,"cash collection*"),2),'Opening Balance'!$B$11))</f>
        <v/>
      </c>
      <c r="H296" s="6">
        <f>IF($A296="","",ROUND('Opening Balance'!$B$10+'Opening Balance'!$B$9+SUMIFS('Sales &amp; Collection'!$L$1:$L$4119,'Sales &amp; Collection'!$K$1:$K$4119,"cash collection*")-G296-SUMIFS('Daily Sale entry '!$AC$2:$AC$1501,'Daily Sale entry '!$X$2:$X$1501,"&lt;="&amp;$A296,'Daily Sale entry '!$Z$2:$Z$1501,"Cash deposit 现金存入"),2))</f>
        <v/>
      </c>
      <c r="I296" s="6">
        <f>IF($A296="","",ROUND(B296+D296+E296+F296+G296+H296,2))</f>
        <v/>
      </c>
      <c r="J296" s="6">
        <f>IF($A296="","",'AR &amp; AP'!K297)</f>
        <v/>
      </c>
      <c r="K296" s="6">
        <f>IF($A296="","",ROUND(I296-J296-SUMIFS('Daily Sale entry '!$AC$2:$AC$1501,'Daily Sale entry '!$X$2:$X$1501,"&lt;="&amp;$A296,'Daily Sale entry '!$Z$2:$Z$1501,"Other deposit 其他存入")+SUMIFS('Daily Sale entry '!$AD$2:$AD$1501,'Daily Sale entry '!$X$2:$X$1501,"&lt;="&amp;$A296)+('Opening Balance'!$B$8+SUM('Daily Sale entry '!$L$2:M296)-F296),2))</f>
        <v/>
      </c>
      <c r="L296">
        <f>IF($A296="","",IF(ABS('Sales &amp; Collection'!$B$4128)&gt;'Opening Balance'!$B$16,"ALERT 警报: Different "&amp;TEXT('Sales &amp; Collection'!$B$4128,"#,##0.00")&amp;" 差额过大",""))</f>
        <v/>
      </c>
    </row>
    <row r="297">
      <c r="A297" s="5">
        <f>IF('Daily Sale entry '!A297="","",'Daily Sale entry '!A297)</f>
        <v/>
      </c>
      <c r="B297" s="6">
        <f>IF($A297="","",ROUND('Opening Balance'!$B$4+SUM('Daily Sale entry '!$K$2:K297)+SUMIFS('Daily Sale entry '!$AC$2:$AC$1501,'Daily Sale entry '!$X$2:$X$1501,"&lt;="&amp;$A297)-SUMIFS('Daily Sale entry '!$AD$2:$AD$1501,'Daily Sale entry '!$X$2:$X$1501,"&lt;="&amp;$A297)+SUMPRODUCT(('Daily Sale entry '!$Q$2:$Q$1501="Collection 收款")*('Daily Sale entry '!$R$2:$R$1501="Cheque 支票")*('Daily Sale entry '!$V$2:$V$1501&lt;&gt;"")*('Daily Sale entry '!$V$2:$V$1501&lt;=$A297)*('Daily Sale entry '!$S$2:$S$1501-'Opening Balance'!$B$15*('Daily Sale entry '!$R$2:$R$1501="Cheque 支票")*('Daily Sale entry '!$S$2:$S$1501-TRUNC('Daily Sale entry '!$S$2:$S$1501))))-'Opening Balance'!$B$15*SUMPRODUCT(('Daily Sale entry '!$X$2:$X$1501&lt;=$A297)*('Daily Sale entry '!$Z$2:$Z$1501="Online collection 网上收款")*('Daily Sale entry '!$AA$2:$AA$1501&lt;&gt;"")*('Daily Sale entry '!$AC$2:$AC$1501-TRUNC('Daily Sale entry '!$AC$2:$AC$1501))),2))</f>
        <v/>
      </c>
      <c r="C297" s="8">
        <f>IF($A297="","",'Opening Balance'!$B$5+SUM('Daily Sale entry '!$I$2:I297)-SUMIFS('Daily Sale entry '!$AB$2:$AB$1501,'Daily Sale entry '!$X$2:$X$1501,"&lt;="&amp;$A297,'Daily Sale entry '!$Z$2:$Z$1501,"Cheque deposit 支票存入")-COUNTIFS('Daily Sale entry '!$Q$2:$Q$1501,"Collection 收款",'Daily Sale entry '!$R$2:$R$1501,"Cheque 支票",'Daily Sale entry '!$V$2:$V$1501,"&lt;="&amp;$A297))</f>
        <v/>
      </c>
      <c r="D297" s="6">
        <f>IF($A297="","",ROUND('Opening Balance'!$B$6+SUM('Daily Sale entry '!$J$2:J297)-SUMIFS('Daily Sale entry '!$AC$2:$AC$1501,'Daily Sale entry '!$X$2:$X$1501,"&lt;="&amp;$A297,'Daily Sale entry '!$Z$2:$Z$1501,"Cheque deposit 支票存入")-SUMPRODUCT(('Daily Sale entry '!$Q$2:$Q$1501="Collection 收款")*('Daily Sale entry '!$R$2:$R$1501="Cheque 支票")*('Daily Sale entry '!$V$2:$V$1501&lt;&gt;"")*('Daily Sale entry '!$V$2:$V$1501&lt;=$A297)*('Daily Sale entry '!$S$2:$S$1501-'Opening Balance'!$B$15*('Daily Sale entry '!$R$2:$R$1501="Cheque 支票")*('Daily Sale entry '!$S$2:$S$1501-TRUNC('Daily Sale entry '!$S$2:$S$1501)))),2))</f>
        <v/>
      </c>
      <c r="E297" s="6">
        <f>IF($A297="","",'Opening Balance'!$B$7)</f>
        <v/>
      </c>
      <c r="F297" s="6">
        <f>IF($A297="","",ROUND(SUMIFS('Daily Sale entry '!$L$2:$L$367,'Daily Sale entry '!$A$2:$A$367,"&gt;="&amp;DATE(YEAR($A297),MONTH($A297),1),'Daily Sale entry '!$A$2:$A$367,"&lt;="&amp;$A297)+SUMIFS('Daily Sale entry '!$M$2:$M$367,'Daily Sale entry '!$A$2:$A$367,"&gt;="&amp;DATE(YEAR($A297),MONTH($A297),1),'Daily Sale entry '!$A$2:$A$367,"&lt;="&amp;$A297)+IF(AND(YEAR($A297)=YEAR('Daily Sale entry '!$A$2),MONTH($A297)=MONTH('Daily Sale entry '!$A$2)),'Opening Balance'!$B$8,0),2))</f>
        <v/>
      </c>
      <c r="G297" s="6">
        <f>IF($A297="","",MOD(ROUND('Opening Balance'!$B$9+SUMIFS('Sales &amp; Collection'!$L$1:$L$4133,'Sales &amp; Collection'!$K$1:$K$4133,"cash collection*"),2),'Opening Balance'!$B$11))</f>
        <v/>
      </c>
      <c r="H297" s="6">
        <f>IF($A297="","",ROUND('Opening Balance'!$B$10+'Opening Balance'!$B$9+SUMIFS('Sales &amp; Collection'!$L$1:$L$4133,'Sales &amp; Collection'!$K$1:$K$4133,"cash collection*")-G297-SUMIFS('Daily Sale entry '!$AC$2:$AC$1501,'Daily Sale entry '!$X$2:$X$1501,"&lt;="&amp;$A297,'Daily Sale entry '!$Z$2:$Z$1501,"Cash deposit 现金存入"),2))</f>
        <v/>
      </c>
      <c r="I297" s="6">
        <f>IF($A297="","",ROUND(B297+D297+E297+F297+G297+H297,2))</f>
        <v/>
      </c>
      <c r="J297" s="6">
        <f>IF($A297="","",'AR &amp; AP'!K298)</f>
        <v/>
      </c>
      <c r="K297" s="6">
        <f>IF($A297="","",ROUND(I297-J297-SUMIFS('Daily Sale entry '!$AC$2:$AC$1501,'Daily Sale entry '!$X$2:$X$1501,"&lt;="&amp;$A297,'Daily Sale entry '!$Z$2:$Z$1501,"Other deposit 其他存入")+SUMIFS('Daily Sale entry '!$AD$2:$AD$1501,'Daily Sale entry '!$X$2:$X$1501,"&lt;="&amp;$A297)+('Opening Balance'!$B$8+SUM('Daily Sale entry '!$L$2:M297)-F297),2))</f>
        <v/>
      </c>
      <c r="L297">
        <f>IF($A297="","",IF(ABS('Sales &amp; Collection'!$B$4142)&gt;'Opening Balance'!$B$16,"ALERT 警报: Different "&amp;TEXT('Sales &amp; Collection'!$B$4142,"#,##0.00")&amp;" 差额过大",""))</f>
        <v/>
      </c>
    </row>
    <row r="298">
      <c r="A298" s="5">
        <f>IF('Daily Sale entry '!A298="","",'Daily Sale entry '!A298)</f>
        <v/>
      </c>
      <c r="B298" s="6">
        <f>IF($A298="","",ROUND('Opening Balance'!$B$4+SUM('Daily Sale entry '!$K$2:K298)+SUMIFS('Daily Sale entry '!$AC$2:$AC$1501,'Daily Sale entry '!$X$2:$X$1501,"&lt;="&amp;$A298)-SUMIFS('Daily Sale entry '!$AD$2:$AD$1501,'Daily Sale entry '!$X$2:$X$1501,"&lt;="&amp;$A298)+SUMPRODUCT(('Daily Sale entry '!$Q$2:$Q$1501="Collection 收款")*('Daily Sale entry '!$R$2:$R$1501="Cheque 支票")*('Daily Sale entry '!$V$2:$V$1501&lt;&gt;"")*('Daily Sale entry '!$V$2:$V$1501&lt;=$A298)*('Daily Sale entry '!$S$2:$S$1501-'Opening Balance'!$B$15*('Daily Sale entry '!$R$2:$R$1501="Cheque 支票")*('Daily Sale entry '!$S$2:$S$1501-TRUNC('Daily Sale entry '!$S$2:$S$1501))))-'Opening Balance'!$B$15*SUMPRODUCT(('Daily Sale entry '!$X$2:$X$1501&lt;=$A298)*('Daily Sale entry '!$Z$2:$Z$1501="Online collection 网上收款")*('Daily Sale entry '!$AA$2:$AA$1501&lt;&gt;"")*('Daily Sale entry '!$AC$2:$AC$1501-TRUNC('Daily Sale entry '!$AC$2:$AC$1501))),2))</f>
        <v/>
      </c>
      <c r="C298" s="8">
        <f>IF($A298="","",'Opening Balance'!$B$5+SUM('Daily Sale entry '!$I$2:I298)-SUMIFS('Daily Sale entry '!$AB$2:$AB$1501,'Daily Sale entry '!$X$2:$X$1501,"&lt;="&amp;$A298,'Daily Sale entry '!$Z$2:$Z$1501,"Cheque deposit 支票存入")-COUNTIFS('Daily Sale entry '!$Q$2:$Q$1501,"Collection 收款",'Daily Sale entry '!$R$2:$R$1501,"Cheque 支票",'Daily Sale entry '!$V$2:$V$1501,"&lt;="&amp;$A298))</f>
        <v/>
      </c>
      <c r="D298" s="6">
        <f>IF($A298="","",ROUND('Opening Balance'!$B$6+SUM('Daily Sale entry '!$J$2:J298)-SUMIFS('Daily Sale entry '!$AC$2:$AC$1501,'Daily Sale entry '!$X$2:$X$1501,"&lt;="&amp;$A298,'Daily Sale entry '!$Z$2:$Z$1501,"Cheque deposit 支票存入")-SUMPRODUCT(('Daily Sale entry '!$Q$2:$Q$1501="Collection 收款")*('Daily Sale entry '!$R$2:$R$1501="Cheque 支票")*('Daily Sale entry '!$V$2:$V$1501&lt;&gt;"")*('Daily Sale entry '!$V$2:$V$1501&lt;=$A298)*('Daily Sale entry '!$S$2:$S$1501-'Opening Balance'!$B$15*('Daily Sale entry '!$R$2:$R$1501="Cheque 支票")*('Daily Sale entry '!$S$2:$S$1501-TRUNC('Daily Sale entry '!$S$2:$S$1501)))),2))</f>
        <v/>
      </c>
      <c r="E298" s="6">
        <f>IF($A298="","",'Opening Balance'!$B$7)</f>
        <v/>
      </c>
      <c r="F298" s="6">
        <f>IF($A298="","",ROUND(SUMIFS('Daily Sale entry '!$L$2:$L$367,'Daily Sale entry '!$A$2:$A$367,"&gt;="&amp;DATE(YEAR($A298),MONTH($A298),1),'Daily Sale entry '!$A$2:$A$367,"&lt;="&amp;$A298)+SUMIFS('Daily Sale entry '!$M$2:$M$367,'Daily Sale entry '!$A$2:$A$367,"&gt;="&amp;DATE(YEAR($A298),MONTH($A298),1),'Daily Sale entry '!$A$2:$A$367,"&lt;="&amp;$A298)+IF(AND(YEAR($A298)=YEAR('Daily Sale entry '!$A$2),MONTH($A298)=MONTH('Daily Sale entry '!$A$2)),'Opening Balance'!$B$8,0),2))</f>
        <v/>
      </c>
      <c r="G298" s="6">
        <f>IF($A298="","",MOD(ROUND('Opening Balance'!$B$9+SUMIFS('Sales &amp; Collection'!$L$1:$L$4147,'Sales &amp; Collection'!$K$1:$K$4147,"cash collection*"),2),'Opening Balance'!$B$11))</f>
        <v/>
      </c>
      <c r="H298" s="6">
        <f>IF($A298="","",ROUND('Opening Balance'!$B$10+'Opening Balance'!$B$9+SUMIFS('Sales &amp; Collection'!$L$1:$L$4147,'Sales &amp; Collection'!$K$1:$K$4147,"cash collection*")-G298-SUMIFS('Daily Sale entry '!$AC$2:$AC$1501,'Daily Sale entry '!$X$2:$X$1501,"&lt;="&amp;$A298,'Daily Sale entry '!$Z$2:$Z$1501,"Cash deposit 现金存入"),2))</f>
        <v/>
      </c>
      <c r="I298" s="6">
        <f>IF($A298="","",ROUND(B298+D298+E298+F298+G298+H298,2))</f>
        <v/>
      </c>
      <c r="J298" s="6">
        <f>IF($A298="","",'AR &amp; AP'!K299)</f>
        <v/>
      </c>
      <c r="K298" s="6">
        <f>IF($A298="","",ROUND(I298-J298-SUMIFS('Daily Sale entry '!$AC$2:$AC$1501,'Daily Sale entry '!$X$2:$X$1501,"&lt;="&amp;$A298,'Daily Sale entry '!$Z$2:$Z$1501,"Other deposit 其他存入")+SUMIFS('Daily Sale entry '!$AD$2:$AD$1501,'Daily Sale entry '!$X$2:$X$1501,"&lt;="&amp;$A298)+('Opening Balance'!$B$8+SUM('Daily Sale entry '!$L$2:M298)-F298),2))</f>
        <v/>
      </c>
      <c r="L298">
        <f>IF($A298="","",IF(ABS('Sales &amp; Collection'!$B$4156)&gt;'Opening Balance'!$B$16,"ALERT 警报: Different "&amp;TEXT('Sales &amp; Collection'!$B$4156,"#,##0.00")&amp;" 差额过大",""))</f>
        <v/>
      </c>
    </row>
    <row r="299">
      <c r="A299" s="5">
        <f>IF('Daily Sale entry '!A299="","",'Daily Sale entry '!A299)</f>
        <v/>
      </c>
      <c r="B299" s="6">
        <f>IF($A299="","",ROUND('Opening Balance'!$B$4+SUM('Daily Sale entry '!$K$2:K299)+SUMIFS('Daily Sale entry '!$AC$2:$AC$1501,'Daily Sale entry '!$X$2:$X$1501,"&lt;="&amp;$A299)-SUMIFS('Daily Sale entry '!$AD$2:$AD$1501,'Daily Sale entry '!$X$2:$X$1501,"&lt;="&amp;$A299)+SUMPRODUCT(('Daily Sale entry '!$Q$2:$Q$1501="Collection 收款")*('Daily Sale entry '!$R$2:$R$1501="Cheque 支票")*('Daily Sale entry '!$V$2:$V$1501&lt;&gt;"")*('Daily Sale entry '!$V$2:$V$1501&lt;=$A299)*('Daily Sale entry '!$S$2:$S$1501-'Opening Balance'!$B$15*('Daily Sale entry '!$R$2:$R$1501="Cheque 支票")*('Daily Sale entry '!$S$2:$S$1501-TRUNC('Daily Sale entry '!$S$2:$S$1501))))-'Opening Balance'!$B$15*SUMPRODUCT(('Daily Sale entry '!$X$2:$X$1501&lt;=$A299)*('Daily Sale entry '!$Z$2:$Z$1501="Online collection 网上收款")*('Daily Sale entry '!$AA$2:$AA$1501&lt;&gt;"")*('Daily Sale entry '!$AC$2:$AC$1501-TRUNC('Daily Sale entry '!$AC$2:$AC$1501))),2))</f>
        <v/>
      </c>
      <c r="C299" s="8">
        <f>IF($A299="","",'Opening Balance'!$B$5+SUM('Daily Sale entry '!$I$2:I299)-SUMIFS('Daily Sale entry '!$AB$2:$AB$1501,'Daily Sale entry '!$X$2:$X$1501,"&lt;="&amp;$A299,'Daily Sale entry '!$Z$2:$Z$1501,"Cheque deposit 支票存入")-COUNTIFS('Daily Sale entry '!$Q$2:$Q$1501,"Collection 收款",'Daily Sale entry '!$R$2:$R$1501,"Cheque 支票",'Daily Sale entry '!$V$2:$V$1501,"&lt;="&amp;$A299))</f>
        <v/>
      </c>
      <c r="D299" s="6">
        <f>IF($A299="","",ROUND('Opening Balance'!$B$6+SUM('Daily Sale entry '!$J$2:J299)-SUMIFS('Daily Sale entry '!$AC$2:$AC$1501,'Daily Sale entry '!$X$2:$X$1501,"&lt;="&amp;$A299,'Daily Sale entry '!$Z$2:$Z$1501,"Cheque deposit 支票存入")-SUMPRODUCT(('Daily Sale entry '!$Q$2:$Q$1501="Collection 收款")*('Daily Sale entry '!$R$2:$R$1501="Cheque 支票")*('Daily Sale entry '!$V$2:$V$1501&lt;&gt;"")*('Daily Sale entry '!$V$2:$V$1501&lt;=$A299)*('Daily Sale entry '!$S$2:$S$1501-'Opening Balance'!$B$15*('Daily Sale entry '!$R$2:$R$1501="Cheque 支票")*('Daily Sale entry '!$S$2:$S$1501-TRUNC('Daily Sale entry '!$S$2:$S$1501)))),2))</f>
        <v/>
      </c>
      <c r="E299" s="6">
        <f>IF($A299="","",'Opening Balance'!$B$7)</f>
        <v/>
      </c>
      <c r="F299" s="6">
        <f>IF($A299="","",ROUND(SUMIFS('Daily Sale entry '!$L$2:$L$367,'Daily Sale entry '!$A$2:$A$367,"&gt;="&amp;DATE(YEAR($A299),MONTH($A299),1),'Daily Sale entry '!$A$2:$A$367,"&lt;="&amp;$A299)+SUMIFS('Daily Sale entry '!$M$2:$M$367,'Daily Sale entry '!$A$2:$A$367,"&gt;="&amp;DATE(YEAR($A299),MONTH($A299),1),'Daily Sale entry '!$A$2:$A$367,"&lt;="&amp;$A299)+IF(AND(YEAR($A299)=YEAR('Daily Sale entry '!$A$2),MONTH($A299)=MONTH('Daily Sale entry '!$A$2)),'Opening Balance'!$B$8,0),2))</f>
        <v/>
      </c>
      <c r="G299" s="6">
        <f>IF($A299="","",MOD(ROUND('Opening Balance'!$B$9+SUMIFS('Sales &amp; Collection'!$L$1:$L$4161,'Sales &amp; Collection'!$K$1:$K$4161,"cash collection*"),2),'Opening Balance'!$B$11))</f>
        <v/>
      </c>
      <c r="H299" s="6">
        <f>IF($A299="","",ROUND('Opening Balance'!$B$10+'Opening Balance'!$B$9+SUMIFS('Sales &amp; Collection'!$L$1:$L$4161,'Sales &amp; Collection'!$K$1:$K$4161,"cash collection*")-G299-SUMIFS('Daily Sale entry '!$AC$2:$AC$1501,'Daily Sale entry '!$X$2:$X$1501,"&lt;="&amp;$A299,'Daily Sale entry '!$Z$2:$Z$1501,"Cash deposit 现金存入"),2))</f>
        <v/>
      </c>
      <c r="I299" s="6">
        <f>IF($A299="","",ROUND(B299+D299+E299+F299+G299+H299,2))</f>
        <v/>
      </c>
      <c r="J299" s="6">
        <f>IF($A299="","",'AR &amp; AP'!K300)</f>
        <v/>
      </c>
      <c r="K299" s="6">
        <f>IF($A299="","",ROUND(I299-J299-SUMIFS('Daily Sale entry '!$AC$2:$AC$1501,'Daily Sale entry '!$X$2:$X$1501,"&lt;="&amp;$A299,'Daily Sale entry '!$Z$2:$Z$1501,"Other deposit 其他存入")+SUMIFS('Daily Sale entry '!$AD$2:$AD$1501,'Daily Sale entry '!$X$2:$X$1501,"&lt;="&amp;$A299)+('Opening Balance'!$B$8+SUM('Daily Sale entry '!$L$2:M299)-F299),2))</f>
        <v/>
      </c>
      <c r="L299">
        <f>IF($A299="","",IF(ABS('Sales &amp; Collection'!$B$4170)&gt;'Opening Balance'!$B$16,"ALERT 警报: Different "&amp;TEXT('Sales &amp; Collection'!$B$4170,"#,##0.00")&amp;" 差额过大",""))</f>
        <v/>
      </c>
    </row>
    <row r="300">
      <c r="A300" s="5">
        <f>IF('Daily Sale entry '!A300="","",'Daily Sale entry '!A300)</f>
        <v/>
      </c>
      <c r="B300" s="6">
        <f>IF($A300="","",ROUND('Opening Balance'!$B$4+SUM('Daily Sale entry '!$K$2:K300)+SUMIFS('Daily Sale entry '!$AC$2:$AC$1501,'Daily Sale entry '!$X$2:$X$1501,"&lt;="&amp;$A300)-SUMIFS('Daily Sale entry '!$AD$2:$AD$1501,'Daily Sale entry '!$X$2:$X$1501,"&lt;="&amp;$A300)+SUMPRODUCT(('Daily Sale entry '!$Q$2:$Q$1501="Collection 收款")*('Daily Sale entry '!$R$2:$R$1501="Cheque 支票")*('Daily Sale entry '!$V$2:$V$1501&lt;&gt;"")*('Daily Sale entry '!$V$2:$V$1501&lt;=$A300)*('Daily Sale entry '!$S$2:$S$1501-'Opening Balance'!$B$15*('Daily Sale entry '!$R$2:$R$1501="Cheque 支票")*('Daily Sale entry '!$S$2:$S$1501-TRUNC('Daily Sale entry '!$S$2:$S$1501))))-'Opening Balance'!$B$15*SUMPRODUCT(('Daily Sale entry '!$X$2:$X$1501&lt;=$A300)*('Daily Sale entry '!$Z$2:$Z$1501="Online collection 网上收款")*('Daily Sale entry '!$AA$2:$AA$1501&lt;&gt;"")*('Daily Sale entry '!$AC$2:$AC$1501-TRUNC('Daily Sale entry '!$AC$2:$AC$1501))),2))</f>
        <v/>
      </c>
      <c r="C300" s="8">
        <f>IF($A300="","",'Opening Balance'!$B$5+SUM('Daily Sale entry '!$I$2:I300)-SUMIFS('Daily Sale entry '!$AB$2:$AB$1501,'Daily Sale entry '!$X$2:$X$1501,"&lt;="&amp;$A300,'Daily Sale entry '!$Z$2:$Z$1501,"Cheque deposit 支票存入")-COUNTIFS('Daily Sale entry '!$Q$2:$Q$1501,"Collection 收款",'Daily Sale entry '!$R$2:$R$1501,"Cheque 支票",'Daily Sale entry '!$V$2:$V$1501,"&lt;="&amp;$A300))</f>
        <v/>
      </c>
      <c r="D300" s="6">
        <f>IF($A300="","",ROUND('Opening Balance'!$B$6+SUM('Daily Sale entry '!$J$2:J300)-SUMIFS('Daily Sale entry '!$AC$2:$AC$1501,'Daily Sale entry '!$X$2:$X$1501,"&lt;="&amp;$A300,'Daily Sale entry '!$Z$2:$Z$1501,"Cheque deposit 支票存入")-SUMPRODUCT(('Daily Sale entry '!$Q$2:$Q$1501="Collection 收款")*('Daily Sale entry '!$R$2:$R$1501="Cheque 支票")*('Daily Sale entry '!$V$2:$V$1501&lt;&gt;"")*('Daily Sale entry '!$V$2:$V$1501&lt;=$A300)*('Daily Sale entry '!$S$2:$S$1501-'Opening Balance'!$B$15*('Daily Sale entry '!$R$2:$R$1501="Cheque 支票")*('Daily Sale entry '!$S$2:$S$1501-TRUNC('Daily Sale entry '!$S$2:$S$1501)))),2))</f>
        <v/>
      </c>
      <c r="E300" s="6">
        <f>IF($A300="","",'Opening Balance'!$B$7)</f>
        <v/>
      </c>
      <c r="F300" s="6">
        <f>IF($A300="","",ROUND(SUMIFS('Daily Sale entry '!$L$2:$L$367,'Daily Sale entry '!$A$2:$A$367,"&gt;="&amp;DATE(YEAR($A300),MONTH($A300),1),'Daily Sale entry '!$A$2:$A$367,"&lt;="&amp;$A300)+SUMIFS('Daily Sale entry '!$M$2:$M$367,'Daily Sale entry '!$A$2:$A$367,"&gt;="&amp;DATE(YEAR($A300),MONTH($A300),1),'Daily Sale entry '!$A$2:$A$367,"&lt;="&amp;$A300)+IF(AND(YEAR($A300)=YEAR('Daily Sale entry '!$A$2),MONTH($A300)=MONTH('Daily Sale entry '!$A$2)),'Opening Balance'!$B$8,0),2))</f>
        <v/>
      </c>
      <c r="G300" s="6">
        <f>IF($A300="","",MOD(ROUND('Opening Balance'!$B$9+SUMIFS('Sales &amp; Collection'!$L$1:$L$4175,'Sales &amp; Collection'!$K$1:$K$4175,"cash collection*"),2),'Opening Balance'!$B$11))</f>
        <v/>
      </c>
      <c r="H300" s="6">
        <f>IF($A300="","",ROUND('Opening Balance'!$B$10+'Opening Balance'!$B$9+SUMIFS('Sales &amp; Collection'!$L$1:$L$4175,'Sales &amp; Collection'!$K$1:$K$4175,"cash collection*")-G300-SUMIFS('Daily Sale entry '!$AC$2:$AC$1501,'Daily Sale entry '!$X$2:$X$1501,"&lt;="&amp;$A300,'Daily Sale entry '!$Z$2:$Z$1501,"Cash deposit 现金存入"),2))</f>
        <v/>
      </c>
      <c r="I300" s="6">
        <f>IF($A300="","",ROUND(B300+D300+E300+F300+G300+H300,2))</f>
        <v/>
      </c>
      <c r="J300" s="6">
        <f>IF($A300="","",'AR &amp; AP'!K301)</f>
        <v/>
      </c>
      <c r="K300" s="6">
        <f>IF($A300="","",ROUND(I300-J300-SUMIFS('Daily Sale entry '!$AC$2:$AC$1501,'Daily Sale entry '!$X$2:$X$1501,"&lt;="&amp;$A300,'Daily Sale entry '!$Z$2:$Z$1501,"Other deposit 其他存入")+SUMIFS('Daily Sale entry '!$AD$2:$AD$1501,'Daily Sale entry '!$X$2:$X$1501,"&lt;="&amp;$A300)+('Opening Balance'!$B$8+SUM('Daily Sale entry '!$L$2:M300)-F300),2))</f>
        <v/>
      </c>
      <c r="L300">
        <f>IF($A300="","",IF(ABS('Sales &amp; Collection'!$B$4184)&gt;'Opening Balance'!$B$16,"ALERT 警报: Different "&amp;TEXT('Sales &amp; Collection'!$B$4184,"#,##0.00")&amp;" 差额过大",""))</f>
        <v/>
      </c>
    </row>
    <row r="301">
      <c r="A301" s="5">
        <f>IF('Daily Sale entry '!A301="","",'Daily Sale entry '!A301)</f>
        <v/>
      </c>
      <c r="B301" s="6">
        <f>IF($A301="","",ROUND('Opening Balance'!$B$4+SUM('Daily Sale entry '!$K$2:K301)+SUMIFS('Daily Sale entry '!$AC$2:$AC$1501,'Daily Sale entry '!$X$2:$X$1501,"&lt;="&amp;$A301)-SUMIFS('Daily Sale entry '!$AD$2:$AD$1501,'Daily Sale entry '!$X$2:$X$1501,"&lt;="&amp;$A301)+SUMPRODUCT(('Daily Sale entry '!$Q$2:$Q$1501="Collection 收款")*('Daily Sale entry '!$R$2:$R$1501="Cheque 支票")*('Daily Sale entry '!$V$2:$V$1501&lt;&gt;"")*('Daily Sale entry '!$V$2:$V$1501&lt;=$A301)*('Daily Sale entry '!$S$2:$S$1501-'Opening Balance'!$B$15*('Daily Sale entry '!$R$2:$R$1501="Cheque 支票")*('Daily Sale entry '!$S$2:$S$1501-TRUNC('Daily Sale entry '!$S$2:$S$1501))))-'Opening Balance'!$B$15*SUMPRODUCT(('Daily Sale entry '!$X$2:$X$1501&lt;=$A301)*('Daily Sale entry '!$Z$2:$Z$1501="Online collection 网上收款")*('Daily Sale entry '!$AA$2:$AA$1501&lt;&gt;"")*('Daily Sale entry '!$AC$2:$AC$1501-TRUNC('Daily Sale entry '!$AC$2:$AC$1501))),2))</f>
        <v/>
      </c>
      <c r="C301" s="8">
        <f>IF($A301="","",'Opening Balance'!$B$5+SUM('Daily Sale entry '!$I$2:I301)-SUMIFS('Daily Sale entry '!$AB$2:$AB$1501,'Daily Sale entry '!$X$2:$X$1501,"&lt;="&amp;$A301,'Daily Sale entry '!$Z$2:$Z$1501,"Cheque deposit 支票存入")-COUNTIFS('Daily Sale entry '!$Q$2:$Q$1501,"Collection 收款",'Daily Sale entry '!$R$2:$R$1501,"Cheque 支票",'Daily Sale entry '!$V$2:$V$1501,"&lt;="&amp;$A301))</f>
        <v/>
      </c>
      <c r="D301" s="6">
        <f>IF($A301="","",ROUND('Opening Balance'!$B$6+SUM('Daily Sale entry '!$J$2:J301)-SUMIFS('Daily Sale entry '!$AC$2:$AC$1501,'Daily Sale entry '!$X$2:$X$1501,"&lt;="&amp;$A301,'Daily Sale entry '!$Z$2:$Z$1501,"Cheque deposit 支票存入")-SUMPRODUCT(('Daily Sale entry '!$Q$2:$Q$1501="Collection 收款")*('Daily Sale entry '!$R$2:$R$1501="Cheque 支票")*('Daily Sale entry '!$V$2:$V$1501&lt;&gt;"")*('Daily Sale entry '!$V$2:$V$1501&lt;=$A301)*('Daily Sale entry '!$S$2:$S$1501-'Opening Balance'!$B$15*('Daily Sale entry '!$R$2:$R$1501="Cheque 支票")*('Daily Sale entry '!$S$2:$S$1501-TRUNC('Daily Sale entry '!$S$2:$S$1501)))),2))</f>
        <v/>
      </c>
      <c r="E301" s="6">
        <f>IF($A301="","",'Opening Balance'!$B$7)</f>
        <v/>
      </c>
      <c r="F301" s="6">
        <f>IF($A301="","",ROUND(SUMIFS('Daily Sale entry '!$L$2:$L$367,'Daily Sale entry '!$A$2:$A$367,"&gt;="&amp;DATE(YEAR($A301),MONTH($A301),1),'Daily Sale entry '!$A$2:$A$367,"&lt;="&amp;$A301)+SUMIFS('Daily Sale entry '!$M$2:$M$367,'Daily Sale entry '!$A$2:$A$367,"&gt;="&amp;DATE(YEAR($A301),MONTH($A301),1),'Daily Sale entry '!$A$2:$A$367,"&lt;="&amp;$A301)+IF(AND(YEAR($A301)=YEAR('Daily Sale entry '!$A$2),MONTH($A301)=MONTH('Daily Sale entry '!$A$2)),'Opening Balance'!$B$8,0),2))</f>
        <v/>
      </c>
      <c r="G301" s="6">
        <f>IF($A301="","",MOD(ROUND('Opening Balance'!$B$9+SUMIFS('Sales &amp; Collection'!$L$1:$L$4189,'Sales &amp; Collection'!$K$1:$K$4189,"cash collection*"),2),'Opening Balance'!$B$11))</f>
        <v/>
      </c>
      <c r="H301" s="6">
        <f>IF($A301="","",ROUND('Opening Balance'!$B$10+'Opening Balance'!$B$9+SUMIFS('Sales &amp; Collection'!$L$1:$L$4189,'Sales &amp; Collection'!$K$1:$K$4189,"cash collection*")-G301-SUMIFS('Daily Sale entry '!$AC$2:$AC$1501,'Daily Sale entry '!$X$2:$X$1501,"&lt;="&amp;$A301,'Daily Sale entry '!$Z$2:$Z$1501,"Cash deposit 现金存入"),2))</f>
        <v/>
      </c>
      <c r="I301" s="6">
        <f>IF($A301="","",ROUND(B301+D301+E301+F301+G301+H301,2))</f>
        <v/>
      </c>
      <c r="J301" s="6">
        <f>IF($A301="","",'AR &amp; AP'!K302)</f>
        <v/>
      </c>
      <c r="K301" s="6">
        <f>IF($A301="","",ROUND(I301-J301-SUMIFS('Daily Sale entry '!$AC$2:$AC$1501,'Daily Sale entry '!$X$2:$X$1501,"&lt;="&amp;$A301,'Daily Sale entry '!$Z$2:$Z$1501,"Other deposit 其他存入")+SUMIFS('Daily Sale entry '!$AD$2:$AD$1501,'Daily Sale entry '!$X$2:$X$1501,"&lt;="&amp;$A301)+('Opening Balance'!$B$8+SUM('Daily Sale entry '!$L$2:M301)-F301),2))</f>
        <v/>
      </c>
      <c r="L301">
        <f>IF($A301="","",IF(ABS('Sales &amp; Collection'!$B$4198)&gt;'Opening Balance'!$B$16,"ALERT 警报: Different "&amp;TEXT('Sales &amp; Collection'!$B$4198,"#,##0.00")&amp;" 差额过大",""))</f>
        <v/>
      </c>
    </row>
    <row r="302">
      <c r="A302" s="5">
        <f>IF('Daily Sale entry '!A302="","",'Daily Sale entry '!A302)</f>
        <v/>
      </c>
      <c r="B302" s="6">
        <f>IF($A302="","",ROUND('Opening Balance'!$B$4+SUM('Daily Sale entry '!$K$2:K302)+SUMIFS('Daily Sale entry '!$AC$2:$AC$1501,'Daily Sale entry '!$X$2:$X$1501,"&lt;="&amp;$A302)-SUMIFS('Daily Sale entry '!$AD$2:$AD$1501,'Daily Sale entry '!$X$2:$X$1501,"&lt;="&amp;$A302)+SUMPRODUCT(('Daily Sale entry '!$Q$2:$Q$1501="Collection 收款")*('Daily Sale entry '!$R$2:$R$1501="Cheque 支票")*('Daily Sale entry '!$V$2:$V$1501&lt;&gt;"")*('Daily Sale entry '!$V$2:$V$1501&lt;=$A302)*('Daily Sale entry '!$S$2:$S$1501-'Opening Balance'!$B$15*('Daily Sale entry '!$R$2:$R$1501="Cheque 支票")*('Daily Sale entry '!$S$2:$S$1501-TRUNC('Daily Sale entry '!$S$2:$S$1501))))-'Opening Balance'!$B$15*SUMPRODUCT(('Daily Sale entry '!$X$2:$X$1501&lt;=$A302)*('Daily Sale entry '!$Z$2:$Z$1501="Online collection 网上收款")*('Daily Sale entry '!$AA$2:$AA$1501&lt;&gt;"")*('Daily Sale entry '!$AC$2:$AC$1501-TRUNC('Daily Sale entry '!$AC$2:$AC$1501))),2))</f>
        <v/>
      </c>
      <c r="C302" s="8">
        <f>IF($A302="","",'Opening Balance'!$B$5+SUM('Daily Sale entry '!$I$2:I302)-SUMIFS('Daily Sale entry '!$AB$2:$AB$1501,'Daily Sale entry '!$X$2:$X$1501,"&lt;="&amp;$A302,'Daily Sale entry '!$Z$2:$Z$1501,"Cheque deposit 支票存入")-COUNTIFS('Daily Sale entry '!$Q$2:$Q$1501,"Collection 收款",'Daily Sale entry '!$R$2:$R$1501,"Cheque 支票",'Daily Sale entry '!$V$2:$V$1501,"&lt;="&amp;$A302))</f>
        <v/>
      </c>
      <c r="D302" s="6">
        <f>IF($A302="","",ROUND('Opening Balance'!$B$6+SUM('Daily Sale entry '!$J$2:J302)-SUMIFS('Daily Sale entry '!$AC$2:$AC$1501,'Daily Sale entry '!$X$2:$X$1501,"&lt;="&amp;$A302,'Daily Sale entry '!$Z$2:$Z$1501,"Cheque deposit 支票存入")-SUMPRODUCT(('Daily Sale entry '!$Q$2:$Q$1501="Collection 收款")*('Daily Sale entry '!$R$2:$R$1501="Cheque 支票")*('Daily Sale entry '!$V$2:$V$1501&lt;&gt;"")*('Daily Sale entry '!$V$2:$V$1501&lt;=$A302)*('Daily Sale entry '!$S$2:$S$1501-'Opening Balance'!$B$15*('Daily Sale entry '!$R$2:$R$1501="Cheque 支票")*('Daily Sale entry '!$S$2:$S$1501-TRUNC('Daily Sale entry '!$S$2:$S$1501)))),2))</f>
        <v/>
      </c>
      <c r="E302" s="6">
        <f>IF($A302="","",'Opening Balance'!$B$7)</f>
        <v/>
      </c>
      <c r="F302" s="6">
        <f>IF($A302="","",ROUND(SUMIFS('Daily Sale entry '!$L$2:$L$367,'Daily Sale entry '!$A$2:$A$367,"&gt;="&amp;DATE(YEAR($A302),MONTH($A302),1),'Daily Sale entry '!$A$2:$A$367,"&lt;="&amp;$A302)+SUMIFS('Daily Sale entry '!$M$2:$M$367,'Daily Sale entry '!$A$2:$A$367,"&gt;="&amp;DATE(YEAR($A302),MONTH($A302),1),'Daily Sale entry '!$A$2:$A$367,"&lt;="&amp;$A302)+IF(AND(YEAR($A302)=YEAR('Daily Sale entry '!$A$2),MONTH($A302)=MONTH('Daily Sale entry '!$A$2)),'Opening Balance'!$B$8,0),2))</f>
        <v/>
      </c>
      <c r="G302" s="6">
        <f>IF($A302="","",MOD(ROUND('Opening Balance'!$B$9+SUMIFS('Sales &amp; Collection'!$L$1:$L$4203,'Sales &amp; Collection'!$K$1:$K$4203,"cash collection*"),2),'Opening Balance'!$B$11))</f>
        <v/>
      </c>
      <c r="H302" s="6">
        <f>IF($A302="","",ROUND('Opening Balance'!$B$10+'Opening Balance'!$B$9+SUMIFS('Sales &amp; Collection'!$L$1:$L$4203,'Sales &amp; Collection'!$K$1:$K$4203,"cash collection*")-G302-SUMIFS('Daily Sale entry '!$AC$2:$AC$1501,'Daily Sale entry '!$X$2:$X$1501,"&lt;="&amp;$A302,'Daily Sale entry '!$Z$2:$Z$1501,"Cash deposit 现金存入"),2))</f>
        <v/>
      </c>
      <c r="I302" s="6">
        <f>IF($A302="","",ROUND(B302+D302+E302+F302+G302+H302,2))</f>
        <v/>
      </c>
      <c r="J302" s="6">
        <f>IF($A302="","",'AR &amp; AP'!K303)</f>
        <v/>
      </c>
      <c r="K302" s="6">
        <f>IF($A302="","",ROUND(I302-J302-SUMIFS('Daily Sale entry '!$AC$2:$AC$1501,'Daily Sale entry '!$X$2:$X$1501,"&lt;="&amp;$A302,'Daily Sale entry '!$Z$2:$Z$1501,"Other deposit 其他存入")+SUMIFS('Daily Sale entry '!$AD$2:$AD$1501,'Daily Sale entry '!$X$2:$X$1501,"&lt;="&amp;$A302)+('Opening Balance'!$B$8+SUM('Daily Sale entry '!$L$2:M302)-F302),2))</f>
        <v/>
      </c>
      <c r="L302">
        <f>IF($A302="","",IF(ABS('Sales &amp; Collection'!$B$4212)&gt;'Opening Balance'!$B$16,"ALERT 警报: Different "&amp;TEXT('Sales &amp; Collection'!$B$4212,"#,##0.00")&amp;" 差额过大",""))</f>
        <v/>
      </c>
    </row>
    <row r="303">
      <c r="A303" s="5">
        <f>IF('Daily Sale entry '!A303="","",'Daily Sale entry '!A303)</f>
        <v/>
      </c>
      <c r="B303" s="6">
        <f>IF($A303="","",ROUND('Opening Balance'!$B$4+SUM('Daily Sale entry '!$K$2:K303)+SUMIFS('Daily Sale entry '!$AC$2:$AC$1501,'Daily Sale entry '!$X$2:$X$1501,"&lt;="&amp;$A303)-SUMIFS('Daily Sale entry '!$AD$2:$AD$1501,'Daily Sale entry '!$X$2:$X$1501,"&lt;="&amp;$A303)+SUMPRODUCT(('Daily Sale entry '!$Q$2:$Q$1501="Collection 收款")*('Daily Sale entry '!$R$2:$R$1501="Cheque 支票")*('Daily Sale entry '!$V$2:$V$1501&lt;&gt;"")*('Daily Sale entry '!$V$2:$V$1501&lt;=$A303)*('Daily Sale entry '!$S$2:$S$1501-'Opening Balance'!$B$15*('Daily Sale entry '!$R$2:$R$1501="Cheque 支票")*('Daily Sale entry '!$S$2:$S$1501-TRUNC('Daily Sale entry '!$S$2:$S$1501))))-'Opening Balance'!$B$15*SUMPRODUCT(('Daily Sale entry '!$X$2:$X$1501&lt;=$A303)*('Daily Sale entry '!$Z$2:$Z$1501="Online collection 网上收款")*('Daily Sale entry '!$AA$2:$AA$1501&lt;&gt;"")*('Daily Sale entry '!$AC$2:$AC$1501-TRUNC('Daily Sale entry '!$AC$2:$AC$1501))),2))</f>
        <v/>
      </c>
      <c r="C303" s="8">
        <f>IF($A303="","",'Opening Balance'!$B$5+SUM('Daily Sale entry '!$I$2:I303)-SUMIFS('Daily Sale entry '!$AB$2:$AB$1501,'Daily Sale entry '!$X$2:$X$1501,"&lt;="&amp;$A303,'Daily Sale entry '!$Z$2:$Z$1501,"Cheque deposit 支票存入")-COUNTIFS('Daily Sale entry '!$Q$2:$Q$1501,"Collection 收款",'Daily Sale entry '!$R$2:$R$1501,"Cheque 支票",'Daily Sale entry '!$V$2:$V$1501,"&lt;="&amp;$A303))</f>
        <v/>
      </c>
      <c r="D303" s="6">
        <f>IF($A303="","",ROUND('Opening Balance'!$B$6+SUM('Daily Sale entry '!$J$2:J303)-SUMIFS('Daily Sale entry '!$AC$2:$AC$1501,'Daily Sale entry '!$X$2:$X$1501,"&lt;="&amp;$A303,'Daily Sale entry '!$Z$2:$Z$1501,"Cheque deposit 支票存入")-SUMPRODUCT(('Daily Sale entry '!$Q$2:$Q$1501="Collection 收款")*('Daily Sale entry '!$R$2:$R$1501="Cheque 支票")*('Daily Sale entry '!$V$2:$V$1501&lt;&gt;"")*('Daily Sale entry '!$V$2:$V$1501&lt;=$A303)*('Daily Sale entry '!$S$2:$S$1501-'Opening Balance'!$B$15*('Daily Sale entry '!$R$2:$R$1501="Cheque 支票")*('Daily Sale entry '!$S$2:$S$1501-TRUNC('Daily Sale entry '!$S$2:$S$1501)))),2))</f>
        <v/>
      </c>
      <c r="E303" s="6">
        <f>IF($A303="","",'Opening Balance'!$B$7)</f>
        <v/>
      </c>
      <c r="F303" s="6">
        <f>IF($A303="","",ROUND(SUMIFS('Daily Sale entry '!$L$2:$L$367,'Daily Sale entry '!$A$2:$A$367,"&gt;="&amp;DATE(YEAR($A303),MONTH($A303),1),'Daily Sale entry '!$A$2:$A$367,"&lt;="&amp;$A303)+SUMIFS('Daily Sale entry '!$M$2:$M$367,'Daily Sale entry '!$A$2:$A$367,"&gt;="&amp;DATE(YEAR($A303),MONTH($A303),1),'Daily Sale entry '!$A$2:$A$367,"&lt;="&amp;$A303)+IF(AND(YEAR($A303)=YEAR('Daily Sale entry '!$A$2),MONTH($A303)=MONTH('Daily Sale entry '!$A$2)),'Opening Balance'!$B$8,0),2))</f>
        <v/>
      </c>
      <c r="G303" s="6">
        <f>IF($A303="","",MOD(ROUND('Opening Balance'!$B$9+SUMIFS('Sales &amp; Collection'!$L$1:$L$4217,'Sales &amp; Collection'!$K$1:$K$4217,"cash collection*"),2),'Opening Balance'!$B$11))</f>
        <v/>
      </c>
      <c r="H303" s="6">
        <f>IF($A303="","",ROUND('Opening Balance'!$B$10+'Opening Balance'!$B$9+SUMIFS('Sales &amp; Collection'!$L$1:$L$4217,'Sales &amp; Collection'!$K$1:$K$4217,"cash collection*")-G303-SUMIFS('Daily Sale entry '!$AC$2:$AC$1501,'Daily Sale entry '!$X$2:$X$1501,"&lt;="&amp;$A303,'Daily Sale entry '!$Z$2:$Z$1501,"Cash deposit 现金存入"),2))</f>
        <v/>
      </c>
      <c r="I303" s="6">
        <f>IF($A303="","",ROUND(B303+D303+E303+F303+G303+H303,2))</f>
        <v/>
      </c>
      <c r="J303" s="6">
        <f>IF($A303="","",'AR &amp; AP'!K304)</f>
        <v/>
      </c>
      <c r="K303" s="6">
        <f>IF($A303="","",ROUND(I303-J303-SUMIFS('Daily Sale entry '!$AC$2:$AC$1501,'Daily Sale entry '!$X$2:$X$1501,"&lt;="&amp;$A303,'Daily Sale entry '!$Z$2:$Z$1501,"Other deposit 其他存入")+SUMIFS('Daily Sale entry '!$AD$2:$AD$1501,'Daily Sale entry '!$X$2:$X$1501,"&lt;="&amp;$A303)+('Opening Balance'!$B$8+SUM('Daily Sale entry '!$L$2:M303)-F303),2))</f>
        <v/>
      </c>
      <c r="L303">
        <f>IF($A303="","",IF(ABS('Sales &amp; Collection'!$B$4226)&gt;'Opening Balance'!$B$16,"ALERT 警报: Different "&amp;TEXT('Sales &amp; Collection'!$B$4226,"#,##0.00")&amp;" 差额过大",""))</f>
        <v/>
      </c>
    </row>
    <row r="304">
      <c r="A304" s="5">
        <f>IF('Daily Sale entry '!A304="","",'Daily Sale entry '!A304)</f>
        <v/>
      </c>
      <c r="B304" s="6">
        <f>IF($A304="","",ROUND('Opening Balance'!$B$4+SUM('Daily Sale entry '!$K$2:K304)+SUMIFS('Daily Sale entry '!$AC$2:$AC$1501,'Daily Sale entry '!$X$2:$X$1501,"&lt;="&amp;$A304)-SUMIFS('Daily Sale entry '!$AD$2:$AD$1501,'Daily Sale entry '!$X$2:$X$1501,"&lt;="&amp;$A304)+SUMPRODUCT(('Daily Sale entry '!$Q$2:$Q$1501="Collection 收款")*('Daily Sale entry '!$R$2:$R$1501="Cheque 支票")*('Daily Sale entry '!$V$2:$V$1501&lt;&gt;"")*('Daily Sale entry '!$V$2:$V$1501&lt;=$A304)*('Daily Sale entry '!$S$2:$S$1501-'Opening Balance'!$B$15*('Daily Sale entry '!$R$2:$R$1501="Cheque 支票")*('Daily Sale entry '!$S$2:$S$1501-TRUNC('Daily Sale entry '!$S$2:$S$1501))))-'Opening Balance'!$B$15*SUMPRODUCT(('Daily Sale entry '!$X$2:$X$1501&lt;=$A304)*('Daily Sale entry '!$Z$2:$Z$1501="Online collection 网上收款")*('Daily Sale entry '!$AA$2:$AA$1501&lt;&gt;"")*('Daily Sale entry '!$AC$2:$AC$1501-TRUNC('Daily Sale entry '!$AC$2:$AC$1501))),2))</f>
        <v/>
      </c>
      <c r="C304" s="8">
        <f>IF($A304="","",'Opening Balance'!$B$5+SUM('Daily Sale entry '!$I$2:I304)-SUMIFS('Daily Sale entry '!$AB$2:$AB$1501,'Daily Sale entry '!$X$2:$X$1501,"&lt;="&amp;$A304,'Daily Sale entry '!$Z$2:$Z$1501,"Cheque deposit 支票存入")-COUNTIFS('Daily Sale entry '!$Q$2:$Q$1501,"Collection 收款",'Daily Sale entry '!$R$2:$R$1501,"Cheque 支票",'Daily Sale entry '!$V$2:$V$1501,"&lt;="&amp;$A304))</f>
        <v/>
      </c>
      <c r="D304" s="6">
        <f>IF($A304="","",ROUND('Opening Balance'!$B$6+SUM('Daily Sale entry '!$J$2:J304)-SUMIFS('Daily Sale entry '!$AC$2:$AC$1501,'Daily Sale entry '!$X$2:$X$1501,"&lt;="&amp;$A304,'Daily Sale entry '!$Z$2:$Z$1501,"Cheque deposit 支票存入")-SUMPRODUCT(('Daily Sale entry '!$Q$2:$Q$1501="Collection 收款")*('Daily Sale entry '!$R$2:$R$1501="Cheque 支票")*('Daily Sale entry '!$V$2:$V$1501&lt;&gt;"")*('Daily Sale entry '!$V$2:$V$1501&lt;=$A304)*('Daily Sale entry '!$S$2:$S$1501-'Opening Balance'!$B$15*('Daily Sale entry '!$R$2:$R$1501="Cheque 支票")*('Daily Sale entry '!$S$2:$S$1501-TRUNC('Daily Sale entry '!$S$2:$S$1501)))),2))</f>
        <v/>
      </c>
      <c r="E304" s="6">
        <f>IF($A304="","",'Opening Balance'!$B$7)</f>
        <v/>
      </c>
      <c r="F304" s="6">
        <f>IF($A304="","",ROUND(SUMIFS('Daily Sale entry '!$L$2:$L$367,'Daily Sale entry '!$A$2:$A$367,"&gt;="&amp;DATE(YEAR($A304),MONTH($A304),1),'Daily Sale entry '!$A$2:$A$367,"&lt;="&amp;$A304)+SUMIFS('Daily Sale entry '!$M$2:$M$367,'Daily Sale entry '!$A$2:$A$367,"&gt;="&amp;DATE(YEAR($A304),MONTH($A304),1),'Daily Sale entry '!$A$2:$A$367,"&lt;="&amp;$A304)+IF(AND(YEAR($A304)=YEAR('Daily Sale entry '!$A$2),MONTH($A304)=MONTH('Daily Sale entry '!$A$2)),'Opening Balance'!$B$8,0),2))</f>
        <v/>
      </c>
      <c r="G304" s="6">
        <f>IF($A304="","",MOD(ROUND('Opening Balance'!$B$9+SUMIFS('Sales &amp; Collection'!$L$1:$L$4231,'Sales &amp; Collection'!$K$1:$K$4231,"cash collection*"),2),'Opening Balance'!$B$11))</f>
        <v/>
      </c>
      <c r="H304" s="6">
        <f>IF($A304="","",ROUND('Opening Balance'!$B$10+'Opening Balance'!$B$9+SUMIFS('Sales &amp; Collection'!$L$1:$L$4231,'Sales &amp; Collection'!$K$1:$K$4231,"cash collection*")-G304-SUMIFS('Daily Sale entry '!$AC$2:$AC$1501,'Daily Sale entry '!$X$2:$X$1501,"&lt;="&amp;$A304,'Daily Sale entry '!$Z$2:$Z$1501,"Cash deposit 现金存入"),2))</f>
        <v/>
      </c>
      <c r="I304" s="6">
        <f>IF($A304="","",ROUND(B304+D304+E304+F304+G304+H304,2))</f>
        <v/>
      </c>
      <c r="J304" s="6">
        <f>IF($A304="","",'AR &amp; AP'!K305)</f>
        <v/>
      </c>
      <c r="K304" s="6">
        <f>IF($A304="","",ROUND(I304-J304-SUMIFS('Daily Sale entry '!$AC$2:$AC$1501,'Daily Sale entry '!$X$2:$X$1501,"&lt;="&amp;$A304,'Daily Sale entry '!$Z$2:$Z$1501,"Other deposit 其他存入")+SUMIFS('Daily Sale entry '!$AD$2:$AD$1501,'Daily Sale entry '!$X$2:$X$1501,"&lt;="&amp;$A304)+('Opening Balance'!$B$8+SUM('Daily Sale entry '!$L$2:M304)-F304),2))</f>
        <v/>
      </c>
      <c r="L304">
        <f>IF($A304="","",IF(ABS('Sales &amp; Collection'!$B$4240)&gt;'Opening Balance'!$B$16,"ALERT 警报: Different "&amp;TEXT('Sales &amp; Collection'!$B$4240,"#,##0.00")&amp;" 差额过大",""))</f>
        <v/>
      </c>
    </row>
    <row r="305">
      <c r="A305" s="5">
        <f>IF('Daily Sale entry '!A305="","",'Daily Sale entry '!A305)</f>
        <v/>
      </c>
      <c r="B305" s="6">
        <f>IF($A305="","",ROUND('Opening Balance'!$B$4+SUM('Daily Sale entry '!$K$2:K305)+SUMIFS('Daily Sale entry '!$AC$2:$AC$1501,'Daily Sale entry '!$X$2:$X$1501,"&lt;="&amp;$A305)-SUMIFS('Daily Sale entry '!$AD$2:$AD$1501,'Daily Sale entry '!$X$2:$X$1501,"&lt;="&amp;$A305)+SUMPRODUCT(('Daily Sale entry '!$Q$2:$Q$1501="Collection 收款")*('Daily Sale entry '!$R$2:$R$1501="Cheque 支票")*('Daily Sale entry '!$V$2:$V$1501&lt;&gt;"")*('Daily Sale entry '!$V$2:$V$1501&lt;=$A305)*('Daily Sale entry '!$S$2:$S$1501-'Opening Balance'!$B$15*('Daily Sale entry '!$R$2:$R$1501="Cheque 支票")*('Daily Sale entry '!$S$2:$S$1501-TRUNC('Daily Sale entry '!$S$2:$S$1501))))-'Opening Balance'!$B$15*SUMPRODUCT(('Daily Sale entry '!$X$2:$X$1501&lt;=$A305)*('Daily Sale entry '!$Z$2:$Z$1501="Online collection 网上收款")*('Daily Sale entry '!$AA$2:$AA$1501&lt;&gt;"")*('Daily Sale entry '!$AC$2:$AC$1501-TRUNC('Daily Sale entry '!$AC$2:$AC$1501))),2))</f>
        <v/>
      </c>
      <c r="C305" s="8">
        <f>IF($A305="","",'Opening Balance'!$B$5+SUM('Daily Sale entry '!$I$2:I305)-SUMIFS('Daily Sale entry '!$AB$2:$AB$1501,'Daily Sale entry '!$X$2:$X$1501,"&lt;="&amp;$A305,'Daily Sale entry '!$Z$2:$Z$1501,"Cheque deposit 支票存入")-COUNTIFS('Daily Sale entry '!$Q$2:$Q$1501,"Collection 收款",'Daily Sale entry '!$R$2:$R$1501,"Cheque 支票",'Daily Sale entry '!$V$2:$V$1501,"&lt;="&amp;$A305))</f>
        <v/>
      </c>
      <c r="D305" s="6">
        <f>IF($A305="","",ROUND('Opening Balance'!$B$6+SUM('Daily Sale entry '!$J$2:J305)-SUMIFS('Daily Sale entry '!$AC$2:$AC$1501,'Daily Sale entry '!$X$2:$X$1501,"&lt;="&amp;$A305,'Daily Sale entry '!$Z$2:$Z$1501,"Cheque deposit 支票存入")-SUMPRODUCT(('Daily Sale entry '!$Q$2:$Q$1501="Collection 收款")*('Daily Sale entry '!$R$2:$R$1501="Cheque 支票")*('Daily Sale entry '!$V$2:$V$1501&lt;&gt;"")*('Daily Sale entry '!$V$2:$V$1501&lt;=$A305)*('Daily Sale entry '!$S$2:$S$1501-'Opening Balance'!$B$15*('Daily Sale entry '!$R$2:$R$1501="Cheque 支票")*('Daily Sale entry '!$S$2:$S$1501-TRUNC('Daily Sale entry '!$S$2:$S$1501)))),2))</f>
        <v/>
      </c>
      <c r="E305" s="6">
        <f>IF($A305="","",'Opening Balance'!$B$7)</f>
        <v/>
      </c>
      <c r="F305" s="6">
        <f>IF($A305="","",ROUND(SUMIFS('Daily Sale entry '!$L$2:$L$367,'Daily Sale entry '!$A$2:$A$367,"&gt;="&amp;DATE(YEAR($A305),MONTH($A305),1),'Daily Sale entry '!$A$2:$A$367,"&lt;="&amp;$A305)+SUMIFS('Daily Sale entry '!$M$2:$M$367,'Daily Sale entry '!$A$2:$A$367,"&gt;="&amp;DATE(YEAR($A305),MONTH($A305),1),'Daily Sale entry '!$A$2:$A$367,"&lt;="&amp;$A305)+IF(AND(YEAR($A305)=YEAR('Daily Sale entry '!$A$2),MONTH($A305)=MONTH('Daily Sale entry '!$A$2)),'Opening Balance'!$B$8,0),2))</f>
        <v/>
      </c>
      <c r="G305" s="6">
        <f>IF($A305="","",MOD(ROUND('Opening Balance'!$B$9+SUMIFS('Sales &amp; Collection'!$L$1:$L$4245,'Sales &amp; Collection'!$K$1:$K$4245,"cash collection*"),2),'Opening Balance'!$B$11))</f>
        <v/>
      </c>
      <c r="H305" s="6">
        <f>IF($A305="","",ROUND('Opening Balance'!$B$10+'Opening Balance'!$B$9+SUMIFS('Sales &amp; Collection'!$L$1:$L$4245,'Sales &amp; Collection'!$K$1:$K$4245,"cash collection*")-G305-SUMIFS('Daily Sale entry '!$AC$2:$AC$1501,'Daily Sale entry '!$X$2:$X$1501,"&lt;="&amp;$A305,'Daily Sale entry '!$Z$2:$Z$1501,"Cash deposit 现金存入"),2))</f>
        <v/>
      </c>
      <c r="I305" s="6">
        <f>IF($A305="","",ROUND(B305+D305+E305+F305+G305+H305,2))</f>
        <v/>
      </c>
      <c r="J305" s="6">
        <f>IF($A305="","",'AR &amp; AP'!K306)</f>
        <v/>
      </c>
      <c r="K305" s="6">
        <f>IF($A305="","",ROUND(I305-J305-SUMIFS('Daily Sale entry '!$AC$2:$AC$1501,'Daily Sale entry '!$X$2:$X$1501,"&lt;="&amp;$A305,'Daily Sale entry '!$Z$2:$Z$1501,"Other deposit 其他存入")+SUMIFS('Daily Sale entry '!$AD$2:$AD$1501,'Daily Sale entry '!$X$2:$X$1501,"&lt;="&amp;$A305)+('Opening Balance'!$B$8+SUM('Daily Sale entry '!$L$2:M305)-F305),2))</f>
        <v/>
      </c>
      <c r="L305">
        <f>IF($A305="","",IF(ABS('Sales &amp; Collection'!$B$4254)&gt;'Opening Balance'!$B$16,"ALERT 警报: Different "&amp;TEXT('Sales &amp; Collection'!$B$4254,"#,##0.00")&amp;" 差额过大",""))</f>
        <v/>
      </c>
    </row>
    <row r="306">
      <c r="A306" s="5">
        <f>IF('Daily Sale entry '!A306="","",'Daily Sale entry '!A306)</f>
        <v/>
      </c>
      <c r="B306" s="6">
        <f>IF($A306="","",ROUND('Opening Balance'!$B$4+SUM('Daily Sale entry '!$K$2:K306)+SUMIFS('Daily Sale entry '!$AC$2:$AC$1501,'Daily Sale entry '!$X$2:$X$1501,"&lt;="&amp;$A306)-SUMIFS('Daily Sale entry '!$AD$2:$AD$1501,'Daily Sale entry '!$X$2:$X$1501,"&lt;="&amp;$A306)+SUMPRODUCT(('Daily Sale entry '!$Q$2:$Q$1501="Collection 收款")*('Daily Sale entry '!$R$2:$R$1501="Cheque 支票")*('Daily Sale entry '!$V$2:$V$1501&lt;&gt;"")*('Daily Sale entry '!$V$2:$V$1501&lt;=$A306)*('Daily Sale entry '!$S$2:$S$1501-'Opening Balance'!$B$15*('Daily Sale entry '!$R$2:$R$1501="Cheque 支票")*('Daily Sale entry '!$S$2:$S$1501-TRUNC('Daily Sale entry '!$S$2:$S$1501))))-'Opening Balance'!$B$15*SUMPRODUCT(('Daily Sale entry '!$X$2:$X$1501&lt;=$A306)*('Daily Sale entry '!$Z$2:$Z$1501="Online collection 网上收款")*('Daily Sale entry '!$AA$2:$AA$1501&lt;&gt;"")*('Daily Sale entry '!$AC$2:$AC$1501-TRUNC('Daily Sale entry '!$AC$2:$AC$1501))),2))</f>
        <v/>
      </c>
      <c r="C306" s="8">
        <f>IF($A306="","",'Opening Balance'!$B$5+SUM('Daily Sale entry '!$I$2:I306)-SUMIFS('Daily Sale entry '!$AB$2:$AB$1501,'Daily Sale entry '!$X$2:$X$1501,"&lt;="&amp;$A306,'Daily Sale entry '!$Z$2:$Z$1501,"Cheque deposit 支票存入")-COUNTIFS('Daily Sale entry '!$Q$2:$Q$1501,"Collection 收款",'Daily Sale entry '!$R$2:$R$1501,"Cheque 支票",'Daily Sale entry '!$V$2:$V$1501,"&lt;="&amp;$A306))</f>
        <v/>
      </c>
      <c r="D306" s="6">
        <f>IF($A306="","",ROUND('Opening Balance'!$B$6+SUM('Daily Sale entry '!$J$2:J306)-SUMIFS('Daily Sale entry '!$AC$2:$AC$1501,'Daily Sale entry '!$X$2:$X$1501,"&lt;="&amp;$A306,'Daily Sale entry '!$Z$2:$Z$1501,"Cheque deposit 支票存入")-SUMPRODUCT(('Daily Sale entry '!$Q$2:$Q$1501="Collection 收款")*('Daily Sale entry '!$R$2:$R$1501="Cheque 支票")*('Daily Sale entry '!$V$2:$V$1501&lt;&gt;"")*('Daily Sale entry '!$V$2:$V$1501&lt;=$A306)*('Daily Sale entry '!$S$2:$S$1501-'Opening Balance'!$B$15*('Daily Sale entry '!$R$2:$R$1501="Cheque 支票")*('Daily Sale entry '!$S$2:$S$1501-TRUNC('Daily Sale entry '!$S$2:$S$1501)))),2))</f>
        <v/>
      </c>
      <c r="E306" s="6">
        <f>IF($A306="","",'Opening Balance'!$B$7)</f>
        <v/>
      </c>
      <c r="F306" s="6">
        <f>IF($A306="","",ROUND(SUMIFS('Daily Sale entry '!$L$2:$L$367,'Daily Sale entry '!$A$2:$A$367,"&gt;="&amp;DATE(YEAR($A306),MONTH($A306),1),'Daily Sale entry '!$A$2:$A$367,"&lt;="&amp;$A306)+SUMIFS('Daily Sale entry '!$M$2:$M$367,'Daily Sale entry '!$A$2:$A$367,"&gt;="&amp;DATE(YEAR($A306),MONTH($A306),1),'Daily Sale entry '!$A$2:$A$367,"&lt;="&amp;$A306)+IF(AND(YEAR($A306)=YEAR('Daily Sale entry '!$A$2),MONTH($A306)=MONTH('Daily Sale entry '!$A$2)),'Opening Balance'!$B$8,0),2))</f>
        <v/>
      </c>
      <c r="G306" s="6">
        <f>IF($A306="","",MOD(ROUND('Opening Balance'!$B$9+SUMIFS('Sales &amp; Collection'!$L$1:$L$4259,'Sales &amp; Collection'!$K$1:$K$4259,"cash collection*"),2),'Opening Balance'!$B$11))</f>
        <v/>
      </c>
      <c r="H306" s="6">
        <f>IF($A306="","",ROUND('Opening Balance'!$B$10+'Opening Balance'!$B$9+SUMIFS('Sales &amp; Collection'!$L$1:$L$4259,'Sales &amp; Collection'!$K$1:$K$4259,"cash collection*")-G306-SUMIFS('Daily Sale entry '!$AC$2:$AC$1501,'Daily Sale entry '!$X$2:$X$1501,"&lt;="&amp;$A306,'Daily Sale entry '!$Z$2:$Z$1501,"Cash deposit 现金存入"),2))</f>
        <v/>
      </c>
      <c r="I306" s="6">
        <f>IF($A306="","",ROUND(B306+D306+E306+F306+G306+H306,2))</f>
        <v/>
      </c>
      <c r="J306" s="6">
        <f>IF($A306="","",'AR &amp; AP'!K307)</f>
        <v/>
      </c>
      <c r="K306" s="6">
        <f>IF($A306="","",ROUND(I306-J306-SUMIFS('Daily Sale entry '!$AC$2:$AC$1501,'Daily Sale entry '!$X$2:$X$1501,"&lt;="&amp;$A306,'Daily Sale entry '!$Z$2:$Z$1501,"Other deposit 其他存入")+SUMIFS('Daily Sale entry '!$AD$2:$AD$1501,'Daily Sale entry '!$X$2:$X$1501,"&lt;="&amp;$A306)+('Opening Balance'!$B$8+SUM('Daily Sale entry '!$L$2:M306)-F306),2))</f>
        <v/>
      </c>
      <c r="L306">
        <f>IF($A306="","",IF(ABS('Sales &amp; Collection'!$B$4268)&gt;'Opening Balance'!$B$16,"ALERT 警报: Different "&amp;TEXT('Sales &amp; Collection'!$B$4268,"#,##0.00")&amp;" 差额过大",""))</f>
        <v/>
      </c>
    </row>
    <row r="307">
      <c r="A307" s="5">
        <f>IF('Daily Sale entry '!A307="","",'Daily Sale entry '!A307)</f>
        <v/>
      </c>
      <c r="B307" s="6">
        <f>IF($A307="","",ROUND('Opening Balance'!$B$4+SUM('Daily Sale entry '!$K$2:K307)+SUMIFS('Daily Sale entry '!$AC$2:$AC$1501,'Daily Sale entry '!$X$2:$X$1501,"&lt;="&amp;$A307)-SUMIFS('Daily Sale entry '!$AD$2:$AD$1501,'Daily Sale entry '!$X$2:$X$1501,"&lt;="&amp;$A307)+SUMPRODUCT(('Daily Sale entry '!$Q$2:$Q$1501="Collection 收款")*('Daily Sale entry '!$R$2:$R$1501="Cheque 支票")*('Daily Sale entry '!$V$2:$V$1501&lt;&gt;"")*('Daily Sale entry '!$V$2:$V$1501&lt;=$A307)*('Daily Sale entry '!$S$2:$S$1501-'Opening Balance'!$B$15*('Daily Sale entry '!$R$2:$R$1501="Cheque 支票")*('Daily Sale entry '!$S$2:$S$1501-TRUNC('Daily Sale entry '!$S$2:$S$1501))))-'Opening Balance'!$B$15*SUMPRODUCT(('Daily Sale entry '!$X$2:$X$1501&lt;=$A307)*('Daily Sale entry '!$Z$2:$Z$1501="Online collection 网上收款")*('Daily Sale entry '!$AA$2:$AA$1501&lt;&gt;"")*('Daily Sale entry '!$AC$2:$AC$1501-TRUNC('Daily Sale entry '!$AC$2:$AC$1501))),2))</f>
        <v/>
      </c>
      <c r="C307" s="8">
        <f>IF($A307="","",'Opening Balance'!$B$5+SUM('Daily Sale entry '!$I$2:I307)-SUMIFS('Daily Sale entry '!$AB$2:$AB$1501,'Daily Sale entry '!$X$2:$X$1501,"&lt;="&amp;$A307,'Daily Sale entry '!$Z$2:$Z$1501,"Cheque deposit 支票存入")-COUNTIFS('Daily Sale entry '!$Q$2:$Q$1501,"Collection 收款",'Daily Sale entry '!$R$2:$R$1501,"Cheque 支票",'Daily Sale entry '!$V$2:$V$1501,"&lt;="&amp;$A307))</f>
        <v/>
      </c>
      <c r="D307" s="6">
        <f>IF($A307="","",ROUND('Opening Balance'!$B$6+SUM('Daily Sale entry '!$J$2:J307)-SUMIFS('Daily Sale entry '!$AC$2:$AC$1501,'Daily Sale entry '!$X$2:$X$1501,"&lt;="&amp;$A307,'Daily Sale entry '!$Z$2:$Z$1501,"Cheque deposit 支票存入")-SUMPRODUCT(('Daily Sale entry '!$Q$2:$Q$1501="Collection 收款")*('Daily Sale entry '!$R$2:$R$1501="Cheque 支票")*('Daily Sale entry '!$V$2:$V$1501&lt;&gt;"")*('Daily Sale entry '!$V$2:$V$1501&lt;=$A307)*('Daily Sale entry '!$S$2:$S$1501-'Opening Balance'!$B$15*('Daily Sale entry '!$R$2:$R$1501="Cheque 支票")*('Daily Sale entry '!$S$2:$S$1501-TRUNC('Daily Sale entry '!$S$2:$S$1501)))),2))</f>
        <v/>
      </c>
      <c r="E307" s="6">
        <f>IF($A307="","",'Opening Balance'!$B$7)</f>
        <v/>
      </c>
      <c r="F307" s="6">
        <f>IF($A307="","",ROUND(SUMIFS('Daily Sale entry '!$L$2:$L$367,'Daily Sale entry '!$A$2:$A$367,"&gt;="&amp;DATE(YEAR($A307),MONTH($A307),1),'Daily Sale entry '!$A$2:$A$367,"&lt;="&amp;$A307)+SUMIFS('Daily Sale entry '!$M$2:$M$367,'Daily Sale entry '!$A$2:$A$367,"&gt;="&amp;DATE(YEAR($A307),MONTH($A307),1),'Daily Sale entry '!$A$2:$A$367,"&lt;="&amp;$A307)+IF(AND(YEAR($A307)=YEAR('Daily Sale entry '!$A$2),MONTH($A307)=MONTH('Daily Sale entry '!$A$2)),'Opening Balance'!$B$8,0),2))</f>
        <v/>
      </c>
      <c r="G307" s="6">
        <f>IF($A307="","",MOD(ROUND('Opening Balance'!$B$9+SUMIFS('Sales &amp; Collection'!$L$1:$L$4273,'Sales &amp; Collection'!$K$1:$K$4273,"cash collection*"),2),'Opening Balance'!$B$11))</f>
        <v/>
      </c>
      <c r="H307" s="6">
        <f>IF($A307="","",ROUND('Opening Balance'!$B$10+'Opening Balance'!$B$9+SUMIFS('Sales &amp; Collection'!$L$1:$L$4273,'Sales &amp; Collection'!$K$1:$K$4273,"cash collection*")-G307-SUMIFS('Daily Sale entry '!$AC$2:$AC$1501,'Daily Sale entry '!$X$2:$X$1501,"&lt;="&amp;$A307,'Daily Sale entry '!$Z$2:$Z$1501,"Cash deposit 现金存入"),2))</f>
        <v/>
      </c>
      <c r="I307" s="6">
        <f>IF($A307="","",ROUND(B307+D307+E307+F307+G307+H307,2))</f>
        <v/>
      </c>
      <c r="J307" s="6">
        <f>IF($A307="","",'AR &amp; AP'!K308)</f>
        <v/>
      </c>
      <c r="K307" s="6">
        <f>IF($A307="","",ROUND(I307-J307-SUMIFS('Daily Sale entry '!$AC$2:$AC$1501,'Daily Sale entry '!$X$2:$X$1501,"&lt;="&amp;$A307,'Daily Sale entry '!$Z$2:$Z$1501,"Other deposit 其他存入")+SUMIFS('Daily Sale entry '!$AD$2:$AD$1501,'Daily Sale entry '!$X$2:$X$1501,"&lt;="&amp;$A307)+('Opening Balance'!$B$8+SUM('Daily Sale entry '!$L$2:M307)-F307),2))</f>
        <v/>
      </c>
      <c r="L307">
        <f>IF($A307="","",IF(ABS('Sales &amp; Collection'!$B$4282)&gt;'Opening Balance'!$B$16,"ALERT 警报: Different "&amp;TEXT('Sales &amp; Collection'!$B$4282,"#,##0.00")&amp;" 差额过大",""))</f>
        <v/>
      </c>
    </row>
    <row r="308">
      <c r="A308" s="5">
        <f>IF('Daily Sale entry '!A308="","",'Daily Sale entry '!A308)</f>
        <v/>
      </c>
      <c r="B308" s="6">
        <f>IF($A308="","",ROUND('Opening Balance'!$B$4+SUM('Daily Sale entry '!$K$2:K308)+SUMIFS('Daily Sale entry '!$AC$2:$AC$1501,'Daily Sale entry '!$X$2:$X$1501,"&lt;="&amp;$A308)-SUMIFS('Daily Sale entry '!$AD$2:$AD$1501,'Daily Sale entry '!$X$2:$X$1501,"&lt;="&amp;$A308)+SUMPRODUCT(('Daily Sale entry '!$Q$2:$Q$1501="Collection 收款")*('Daily Sale entry '!$R$2:$R$1501="Cheque 支票")*('Daily Sale entry '!$V$2:$V$1501&lt;&gt;"")*('Daily Sale entry '!$V$2:$V$1501&lt;=$A308)*('Daily Sale entry '!$S$2:$S$1501-'Opening Balance'!$B$15*('Daily Sale entry '!$R$2:$R$1501="Cheque 支票")*('Daily Sale entry '!$S$2:$S$1501-TRUNC('Daily Sale entry '!$S$2:$S$1501))))-'Opening Balance'!$B$15*SUMPRODUCT(('Daily Sale entry '!$X$2:$X$1501&lt;=$A308)*('Daily Sale entry '!$Z$2:$Z$1501="Online collection 网上收款")*('Daily Sale entry '!$AA$2:$AA$1501&lt;&gt;"")*('Daily Sale entry '!$AC$2:$AC$1501-TRUNC('Daily Sale entry '!$AC$2:$AC$1501))),2))</f>
        <v/>
      </c>
      <c r="C308" s="8">
        <f>IF($A308="","",'Opening Balance'!$B$5+SUM('Daily Sale entry '!$I$2:I308)-SUMIFS('Daily Sale entry '!$AB$2:$AB$1501,'Daily Sale entry '!$X$2:$X$1501,"&lt;="&amp;$A308,'Daily Sale entry '!$Z$2:$Z$1501,"Cheque deposit 支票存入")-COUNTIFS('Daily Sale entry '!$Q$2:$Q$1501,"Collection 收款",'Daily Sale entry '!$R$2:$R$1501,"Cheque 支票",'Daily Sale entry '!$V$2:$V$1501,"&lt;="&amp;$A308))</f>
        <v/>
      </c>
      <c r="D308" s="6">
        <f>IF($A308="","",ROUND('Opening Balance'!$B$6+SUM('Daily Sale entry '!$J$2:J308)-SUMIFS('Daily Sale entry '!$AC$2:$AC$1501,'Daily Sale entry '!$X$2:$X$1501,"&lt;="&amp;$A308,'Daily Sale entry '!$Z$2:$Z$1501,"Cheque deposit 支票存入")-SUMPRODUCT(('Daily Sale entry '!$Q$2:$Q$1501="Collection 收款")*('Daily Sale entry '!$R$2:$R$1501="Cheque 支票")*('Daily Sale entry '!$V$2:$V$1501&lt;&gt;"")*('Daily Sale entry '!$V$2:$V$1501&lt;=$A308)*('Daily Sale entry '!$S$2:$S$1501-'Opening Balance'!$B$15*('Daily Sale entry '!$R$2:$R$1501="Cheque 支票")*('Daily Sale entry '!$S$2:$S$1501-TRUNC('Daily Sale entry '!$S$2:$S$1501)))),2))</f>
        <v/>
      </c>
      <c r="E308" s="6">
        <f>IF($A308="","",'Opening Balance'!$B$7)</f>
        <v/>
      </c>
      <c r="F308" s="6">
        <f>IF($A308="","",ROUND(SUMIFS('Daily Sale entry '!$L$2:$L$367,'Daily Sale entry '!$A$2:$A$367,"&gt;="&amp;DATE(YEAR($A308),MONTH($A308),1),'Daily Sale entry '!$A$2:$A$367,"&lt;="&amp;$A308)+SUMIFS('Daily Sale entry '!$M$2:$M$367,'Daily Sale entry '!$A$2:$A$367,"&gt;="&amp;DATE(YEAR($A308),MONTH($A308),1),'Daily Sale entry '!$A$2:$A$367,"&lt;="&amp;$A308)+IF(AND(YEAR($A308)=YEAR('Daily Sale entry '!$A$2),MONTH($A308)=MONTH('Daily Sale entry '!$A$2)),'Opening Balance'!$B$8,0),2))</f>
        <v/>
      </c>
      <c r="G308" s="6">
        <f>IF($A308="","",MOD(ROUND('Opening Balance'!$B$9+SUMIFS('Sales &amp; Collection'!$L$1:$L$4287,'Sales &amp; Collection'!$K$1:$K$4287,"cash collection*"),2),'Opening Balance'!$B$11))</f>
        <v/>
      </c>
      <c r="H308" s="6">
        <f>IF($A308="","",ROUND('Opening Balance'!$B$10+'Opening Balance'!$B$9+SUMIFS('Sales &amp; Collection'!$L$1:$L$4287,'Sales &amp; Collection'!$K$1:$K$4287,"cash collection*")-G308-SUMIFS('Daily Sale entry '!$AC$2:$AC$1501,'Daily Sale entry '!$X$2:$X$1501,"&lt;="&amp;$A308,'Daily Sale entry '!$Z$2:$Z$1501,"Cash deposit 现金存入"),2))</f>
        <v/>
      </c>
      <c r="I308" s="6">
        <f>IF($A308="","",ROUND(B308+D308+E308+F308+G308+H308,2))</f>
        <v/>
      </c>
      <c r="J308" s="6">
        <f>IF($A308="","",'AR &amp; AP'!K309)</f>
        <v/>
      </c>
      <c r="K308" s="6">
        <f>IF($A308="","",ROUND(I308-J308-SUMIFS('Daily Sale entry '!$AC$2:$AC$1501,'Daily Sale entry '!$X$2:$X$1501,"&lt;="&amp;$A308,'Daily Sale entry '!$Z$2:$Z$1501,"Other deposit 其他存入")+SUMIFS('Daily Sale entry '!$AD$2:$AD$1501,'Daily Sale entry '!$X$2:$X$1501,"&lt;="&amp;$A308)+('Opening Balance'!$B$8+SUM('Daily Sale entry '!$L$2:M308)-F308),2))</f>
        <v/>
      </c>
      <c r="L308">
        <f>IF($A308="","",IF(ABS('Sales &amp; Collection'!$B$4296)&gt;'Opening Balance'!$B$16,"ALERT 警报: Different "&amp;TEXT('Sales &amp; Collection'!$B$4296,"#,##0.00")&amp;" 差额过大",""))</f>
        <v/>
      </c>
    </row>
    <row r="309">
      <c r="A309" s="5">
        <f>IF('Daily Sale entry '!A309="","",'Daily Sale entry '!A309)</f>
        <v/>
      </c>
      <c r="B309" s="6">
        <f>IF($A309="","",ROUND('Opening Balance'!$B$4+SUM('Daily Sale entry '!$K$2:K309)+SUMIFS('Daily Sale entry '!$AC$2:$AC$1501,'Daily Sale entry '!$X$2:$X$1501,"&lt;="&amp;$A309)-SUMIFS('Daily Sale entry '!$AD$2:$AD$1501,'Daily Sale entry '!$X$2:$X$1501,"&lt;="&amp;$A309)+SUMPRODUCT(('Daily Sale entry '!$Q$2:$Q$1501="Collection 收款")*('Daily Sale entry '!$R$2:$R$1501="Cheque 支票")*('Daily Sale entry '!$V$2:$V$1501&lt;&gt;"")*('Daily Sale entry '!$V$2:$V$1501&lt;=$A309)*('Daily Sale entry '!$S$2:$S$1501-'Opening Balance'!$B$15*('Daily Sale entry '!$R$2:$R$1501="Cheque 支票")*('Daily Sale entry '!$S$2:$S$1501-TRUNC('Daily Sale entry '!$S$2:$S$1501))))-'Opening Balance'!$B$15*SUMPRODUCT(('Daily Sale entry '!$X$2:$X$1501&lt;=$A309)*('Daily Sale entry '!$Z$2:$Z$1501="Online collection 网上收款")*('Daily Sale entry '!$AA$2:$AA$1501&lt;&gt;"")*('Daily Sale entry '!$AC$2:$AC$1501-TRUNC('Daily Sale entry '!$AC$2:$AC$1501))),2))</f>
        <v/>
      </c>
      <c r="C309" s="8">
        <f>IF($A309="","",'Opening Balance'!$B$5+SUM('Daily Sale entry '!$I$2:I309)-SUMIFS('Daily Sale entry '!$AB$2:$AB$1501,'Daily Sale entry '!$X$2:$X$1501,"&lt;="&amp;$A309,'Daily Sale entry '!$Z$2:$Z$1501,"Cheque deposit 支票存入")-COUNTIFS('Daily Sale entry '!$Q$2:$Q$1501,"Collection 收款",'Daily Sale entry '!$R$2:$R$1501,"Cheque 支票",'Daily Sale entry '!$V$2:$V$1501,"&lt;="&amp;$A309))</f>
        <v/>
      </c>
      <c r="D309" s="6">
        <f>IF($A309="","",ROUND('Opening Balance'!$B$6+SUM('Daily Sale entry '!$J$2:J309)-SUMIFS('Daily Sale entry '!$AC$2:$AC$1501,'Daily Sale entry '!$X$2:$X$1501,"&lt;="&amp;$A309,'Daily Sale entry '!$Z$2:$Z$1501,"Cheque deposit 支票存入")-SUMPRODUCT(('Daily Sale entry '!$Q$2:$Q$1501="Collection 收款")*('Daily Sale entry '!$R$2:$R$1501="Cheque 支票")*('Daily Sale entry '!$V$2:$V$1501&lt;&gt;"")*('Daily Sale entry '!$V$2:$V$1501&lt;=$A309)*('Daily Sale entry '!$S$2:$S$1501-'Opening Balance'!$B$15*('Daily Sale entry '!$R$2:$R$1501="Cheque 支票")*('Daily Sale entry '!$S$2:$S$1501-TRUNC('Daily Sale entry '!$S$2:$S$1501)))),2))</f>
        <v/>
      </c>
      <c r="E309" s="6">
        <f>IF($A309="","",'Opening Balance'!$B$7)</f>
        <v/>
      </c>
      <c r="F309" s="6">
        <f>IF($A309="","",ROUND(SUMIFS('Daily Sale entry '!$L$2:$L$367,'Daily Sale entry '!$A$2:$A$367,"&gt;="&amp;DATE(YEAR($A309),MONTH($A309),1),'Daily Sale entry '!$A$2:$A$367,"&lt;="&amp;$A309)+SUMIFS('Daily Sale entry '!$M$2:$M$367,'Daily Sale entry '!$A$2:$A$367,"&gt;="&amp;DATE(YEAR($A309),MONTH($A309),1),'Daily Sale entry '!$A$2:$A$367,"&lt;="&amp;$A309)+IF(AND(YEAR($A309)=YEAR('Daily Sale entry '!$A$2),MONTH($A309)=MONTH('Daily Sale entry '!$A$2)),'Opening Balance'!$B$8,0),2))</f>
        <v/>
      </c>
      <c r="G309" s="6">
        <f>IF($A309="","",MOD(ROUND('Opening Balance'!$B$9+SUMIFS('Sales &amp; Collection'!$L$1:$L$4301,'Sales &amp; Collection'!$K$1:$K$4301,"cash collection*"),2),'Opening Balance'!$B$11))</f>
        <v/>
      </c>
      <c r="H309" s="6">
        <f>IF($A309="","",ROUND('Opening Balance'!$B$10+'Opening Balance'!$B$9+SUMIFS('Sales &amp; Collection'!$L$1:$L$4301,'Sales &amp; Collection'!$K$1:$K$4301,"cash collection*")-G309-SUMIFS('Daily Sale entry '!$AC$2:$AC$1501,'Daily Sale entry '!$X$2:$X$1501,"&lt;="&amp;$A309,'Daily Sale entry '!$Z$2:$Z$1501,"Cash deposit 现金存入"),2))</f>
        <v/>
      </c>
      <c r="I309" s="6">
        <f>IF($A309="","",ROUND(B309+D309+E309+F309+G309+H309,2))</f>
        <v/>
      </c>
      <c r="J309" s="6">
        <f>IF($A309="","",'AR &amp; AP'!K310)</f>
        <v/>
      </c>
      <c r="K309" s="6">
        <f>IF($A309="","",ROUND(I309-J309-SUMIFS('Daily Sale entry '!$AC$2:$AC$1501,'Daily Sale entry '!$X$2:$X$1501,"&lt;="&amp;$A309,'Daily Sale entry '!$Z$2:$Z$1501,"Other deposit 其他存入")+SUMIFS('Daily Sale entry '!$AD$2:$AD$1501,'Daily Sale entry '!$X$2:$X$1501,"&lt;="&amp;$A309)+('Opening Balance'!$B$8+SUM('Daily Sale entry '!$L$2:M309)-F309),2))</f>
        <v/>
      </c>
      <c r="L309">
        <f>IF($A309="","",IF(ABS('Sales &amp; Collection'!$B$4310)&gt;'Opening Balance'!$B$16,"ALERT 警报: Different "&amp;TEXT('Sales &amp; Collection'!$B$4310,"#,##0.00")&amp;" 差额过大",""))</f>
        <v/>
      </c>
    </row>
    <row r="310">
      <c r="A310" s="5">
        <f>IF('Daily Sale entry '!A310="","",'Daily Sale entry '!A310)</f>
        <v/>
      </c>
      <c r="B310" s="6">
        <f>IF($A310="","",ROUND('Opening Balance'!$B$4+SUM('Daily Sale entry '!$K$2:K310)+SUMIFS('Daily Sale entry '!$AC$2:$AC$1501,'Daily Sale entry '!$X$2:$X$1501,"&lt;="&amp;$A310)-SUMIFS('Daily Sale entry '!$AD$2:$AD$1501,'Daily Sale entry '!$X$2:$X$1501,"&lt;="&amp;$A310)+SUMPRODUCT(('Daily Sale entry '!$Q$2:$Q$1501="Collection 收款")*('Daily Sale entry '!$R$2:$R$1501="Cheque 支票")*('Daily Sale entry '!$V$2:$V$1501&lt;&gt;"")*('Daily Sale entry '!$V$2:$V$1501&lt;=$A310)*('Daily Sale entry '!$S$2:$S$1501-'Opening Balance'!$B$15*('Daily Sale entry '!$R$2:$R$1501="Cheque 支票")*('Daily Sale entry '!$S$2:$S$1501-TRUNC('Daily Sale entry '!$S$2:$S$1501))))-'Opening Balance'!$B$15*SUMPRODUCT(('Daily Sale entry '!$X$2:$X$1501&lt;=$A310)*('Daily Sale entry '!$Z$2:$Z$1501="Online collection 网上收款")*('Daily Sale entry '!$AA$2:$AA$1501&lt;&gt;"")*('Daily Sale entry '!$AC$2:$AC$1501-TRUNC('Daily Sale entry '!$AC$2:$AC$1501))),2))</f>
        <v/>
      </c>
      <c r="C310" s="8">
        <f>IF($A310="","",'Opening Balance'!$B$5+SUM('Daily Sale entry '!$I$2:I310)-SUMIFS('Daily Sale entry '!$AB$2:$AB$1501,'Daily Sale entry '!$X$2:$X$1501,"&lt;="&amp;$A310,'Daily Sale entry '!$Z$2:$Z$1501,"Cheque deposit 支票存入")-COUNTIFS('Daily Sale entry '!$Q$2:$Q$1501,"Collection 收款",'Daily Sale entry '!$R$2:$R$1501,"Cheque 支票",'Daily Sale entry '!$V$2:$V$1501,"&lt;="&amp;$A310))</f>
        <v/>
      </c>
      <c r="D310" s="6">
        <f>IF($A310="","",ROUND('Opening Balance'!$B$6+SUM('Daily Sale entry '!$J$2:J310)-SUMIFS('Daily Sale entry '!$AC$2:$AC$1501,'Daily Sale entry '!$X$2:$X$1501,"&lt;="&amp;$A310,'Daily Sale entry '!$Z$2:$Z$1501,"Cheque deposit 支票存入")-SUMPRODUCT(('Daily Sale entry '!$Q$2:$Q$1501="Collection 收款")*('Daily Sale entry '!$R$2:$R$1501="Cheque 支票")*('Daily Sale entry '!$V$2:$V$1501&lt;&gt;"")*('Daily Sale entry '!$V$2:$V$1501&lt;=$A310)*('Daily Sale entry '!$S$2:$S$1501-'Opening Balance'!$B$15*('Daily Sale entry '!$R$2:$R$1501="Cheque 支票")*('Daily Sale entry '!$S$2:$S$1501-TRUNC('Daily Sale entry '!$S$2:$S$1501)))),2))</f>
        <v/>
      </c>
      <c r="E310" s="6">
        <f>IF($A310="","",'Opening Balance'!$B$7)</f>
        <v/>
      </c>
      <c r="F310" s="6">
        <f>IF($A310="","",ROUND(SUMIFS('Daily Sale entry '!$L$2:$L$367,'Daily Sale entry '!$A$2:$A$367,"&gt;="&amp;DATE(YEAR($A310),MONTH($A310),1),'Daily Sale entry '!$A$2:$A$367,"&lt;="&amp;$A310)+SUMIFS('Daily Sale entry '!$M$2:$M$367,'Daily Sale entry '!$A$2:$A$367,"&gt;="&amp;DATE(YEAR($A310),MONTH($A310),1),'Daily Sale entry '!$A$2:$A$367,"&lt;="&amp;$A310)+IF(AND(YEAR($A310)=YEAR('Daily Sale entry '!$A$2),MONTH($A310)=MONTH('Daily Sale entry '!$A$2)),'Opening Balance'!$B$8,0),2))</f>
        <v/>
      </c>
      <c r="G310" s="6">
        <f>IF($A310="","",MOD(ROUND('Opening Balance'!$B$9+SUMIFS('Sales &amp; Collection'!$L$1:$L$4315,'Sales &amp; Collection'!$K$1:$K$4315,"cash collection*"),2),'Opening Balance'!$B$11))</f>
        <v/>
      </c>
      <c r="H310" s="6">
        <f>IF($A310="","",ROUND('Opening Balance'!$B$10+'Opening Balance'!$B$9+SUMIFS('Sales &amp; Collection'!$L$1:$L$4315,'Sales &amp; Collection'!$K$1:$K$4315,"cash collection*")-G310-SUMIFS('Daily Sale entry '!$AC$2:$AC$1501,'Daily Sale entry '!$X$2:$X$1501,"&lt;="&amp;$A310,'Daily Sale entry '!$Z$2:$Z$1501,"Cash deposit 现金存入"),2))</f>
        <v/>
      </c>
      <c r="I310" s="6">
        <f>IF($A310="","",ROUND(B310+D310+E310+F310+G310+H310,2))</f>
        <v/>
      </c>
      <c r="J310" s="6">
        <f>IF($A310="","",'AR &amp; AP'!K311)</f>
        <v/>
      </c>
      <c r="K310" s="6">
        <f>IF($A310="","",ROUND(I310-J310-SUMIFS('Daily Sale entry '!$AC$2:$AC$1501,'Daily Sale entry '!$X$2:$X$1501,"&lt;="&amp;$A310,'Daily Sale entry '!$Z$2:$Z$1501,"Other deposit 其他存入")+SUMIFS('Daily Sale entry '!$AD$2:$AD$1501,'Daily Sale entry '!$X$2:$X$1501,"&lt;="&amp;$A310)+('Opening Balance'!$B$8+SUM('Daily Sale entry '!$L$2:M310)-F310),2))</f>
        <v/>
      </c>
      <c r="L310">
        <f>IF($A310="","",IF(ABS('Sales &amp; Collection'!$B$4324)&gt;'Opening Balance'!$B$16,"ALERT 警报: Different "&amp;TEXT('Sales &amp; Collection'!$B$4324,"#,##0.00")&amp;" 差额过大",""))</f>
        <v/>
      </c>
    </row>
    <row r="311">
      <c r="A311" s="5">
        <f>IF('Daily Sale entry '!A311="","",'Daily Sale entry '!A311)</f>
        <v/>
      </c>
      <c r="B311" s="6">
        <f>IF($A311="","",ROUND('Opening Balance'!$B$4+SUM('Daily Sale entry '!$K$2:K311)+SUMIFS('Daily Sale entry '!$AC$2:$AC$1501,'Daily Sale entry '!$X$2:$X$1501,"&lt;="&amp;$A311)-SUMIFS('Daily Sale entry '!$AD$2:$AD$1501,'Daily Sale entry '!$X$2:$X$1501,"&lt;="&amp;$A311)+SUMPRODUCT(('Daily Sale entry '!$Q$2:$Q$1501="Collection 收款")*('Daily Sale entry '!$R$2:$R$1501="Cheque 支票")*('Daily Sale entry '!$V$2:$V$1501&lt;&gt;"")*('Daily Sale entry '!$V$2:$V$1501&lt;=$A311)*('Daily Sale entry '!$S$2:$S$1501-'Opening Balance'!$B$15*('Daily Sale entry '!$R$2:$R$1501="Cheque 支票")*('Daily Sale entry '!$S$2:$S$1501-TRUNC('Daily Sale entry '!$S$2:$S$1501))))-'Opening Balance'!$B$15*SUMPRODUCT(('Daily Sale entry '!$X$2:$X$1501&lt;=$A311)*('Daily Sale entry '!$Z$2:$Z$1501="Online collection 网上收款")*('Daily Sale entry '!$AA$2:$AA$1501&lt;&gt;"")*('Daily Sale entry '!$AC$2:$AC$1501-TRUNC('Daily Sale entry '!$AC$2:$AC$1501))),2))</f>
        <v/>
      </c>
      <c r="C311" s="8">
        <f>IF($A311="","",'Opening Balance'!$B$5+SUM('Daily Sale entry '!$I$2:I311)-SUMIFS('Daily Sale entry '!$AB$2:$AB$1501,'Daily Sale entry '!$X$2:$X$1501,"&lt;="&amp;$A311,'Daily Sale entry '!$Z$2:$Z$1501,"Cheque deposit 支票存入")-COUNTIFS('Daily Sale entry '!$Q$2:$Q$1501,"Collection 收款",'Daily Sale entry '!$R$2:$R$1501,"Cheque 支票",'Daily Sale entry '!$V$2:$V$1501,"&lt;="&amp;$A311))</f>
        <v/>
      </c>
      <c r="D311" s="6">
        <f>IF($A311="","",ROUND('Opening Balance'!$B$6+SUM('Daily Sale entry '!$J$2:J311)-SUMIFS('Daily Sale entry '!$AC$2:$AC$1501,'Daily Sale entry '!$X$2:$X$1501,"&lt;="&amp;$A311,'Daily Sale entry '!$Z$2:$Z$1501,"Cheque deposit 支票存入")-SUMPRODUCT(('Daily Sale entry '!$Q$2:$Q$1501="Collection 收款")*('Daily Sale entry '!$R$2:$R$1501="Cheque 支票")*('Daily Sale entry '!$V$2:$V$1501&lt;&gt;"")*('Daily Sale entry '!$V$2:$V$1501&lt;=$A311)*('Daily Sale entry '!$S$2:$S$1501-'Opening Balance'!$B$15*('Daily Sale entry '!$R$2:$R$1501="Cheque 支票")*('Daily Sale entry '!$S$2:$S$1501-TRUNC('Daily Sale entry '!$S$2:$S$1501)))),2))</f>
        <v/>
      </c>
      <c r="E311" s="6">
        <f>IF($A311="","",'Opening Balance'!$B$7)</f>
        <v/>
      </c>
      <c r="F311" s="6">
        <f>IF($A311="","",ROUND(SUMIFS('Daily Sale entry '!$L$2:$L$367,'Daily Sale entry '!$A$2:$A$367,"&gt;="&amp;DATE(YEAR($A311),MONTH($A311),1),'Daily Sale entry '!$A$2:$A$367,"&lt;="&amp;$A311)+SUMIFS('Daily Sale entry '!$M$2:$M$367,'Daily Sale entry '!$A$2:$A$367,"&gt;="&amp;DATE(YEAR($A311),MONTH($A311),1),'Daily Sale entry '!$A$2:$A$367,"&lt;="&amp;$A311)+IF(AND(YEAR($A311)=YEAR('Daily Sale entry '!$A$2),MONTH($A311)=MONTH('Daily Sale entry '!$A$2)),'Opening Balance'!$B$8,0),2))</f>
        <v/>
      </c>
      <c r="G311" s="6">
        <f>IF($A311="","",MOD(ROUND('Opening Balance'!$B$9+SUMIFS('Sales &amp; Collection'!$L$1:$L$4329,'Sales &amp; Collection'!$K$1:$K$4329,"cash collection*"),2),'Opening Balance'!$B$11))</f>
        <v/>
      </c>
      <c r="H311" s="6">
        <f>IF($A311="","",ROUND('Opening Balance'!$B$10+'Opening Balance'!$B$9+SUMIFS('Sales &amp; Collection'!$L$1:$L$4329,'Sales &amp; Collection'!$K$1:$K$4329,"cash collection*")-G311-SUMIFS('Daily Sale entry '!$AC$2:$AC$1501,'Daily Sale entry '!$X$2:$X$1501,"&lt;="&amp;$A311,'Daily Sale entry '!$Z$2:$Z$1501,"Cash deposit 现金存入"),2))</f>
        <v/>
      </c>
      <c r="I311" s="6">
        <f>IF($A311="","",ROUND(B311+D311+E311+F311+G311+H311,2))</f>
        <v/>
      </c>
      <c r="J311" s="6">
        <f>IF($A311="","",'AR &amp; AP'!K312)</f>
        <v/>
      </c>
      <c r="K311" s="6">
        <f>IF($A311="","",ROUND(I311-J311-SUMIFS('Daily Sale entry '!$AC$2:$AC$1501,'Daily Sale entry '!$X$2:$X$1501,"&lt;="&amp;$A311,'Daily Sale entry '!$Z$2:$Z$1501,"Other deposit 其他存入")+SUMIFS('Daily Sale entry '!$AD$2:$AD$1501,'Daily Sale entry '!$X$2:$X$1501,"&lt;="&amp;$A311)+('Opening Balance'!$B$8+SUM('Daily Sale entry '!$L$2:M311)-F311),2))</f>
        <v/>
      </c>
      <c r="L311">
        <f>IF($A311="","",IF(ABS('Sales &amp; Collection'!$B$4338)&gt;'Opening Balance'!$B$16,"ALERT 警报: Different "&amp;TEXT('Sales &amp; Collection'!$B$4338,"#,##0.00")&amp;" 差额过大",""))</f>
        <v/>
      </c>
    </row>
    <row r="312">
      <c r="A312" s="5">
        <f>IF('Daily Sale entry '!A312="","",'Daily Sale entry '!A312)</f>
        <v/>
      </c>
      <c r="B312" s="6">
        <f>IF($A312="","",ROUND('Opening Balance'!$B$4+SUM('Daily Sale entry '!$K$2:K312)+SUMIFS('Daily Sale entry '!$AC$2:$AC$1501,'Daily Sale entry '!$X$2:$X$1501,"&lt;="&amp;$A312)-SUMIFS('Daily Sale entry '!$AD$2:$AD$1501,'Daily Sale entry '!$X$2:$X$1501,"&lt;="&amp;$A312)+SUMPRODUCT(('Daily Sale entry '!$Q$2:$Q$1501="Collection 收款")*('Daily Sale entry '!$R$2:$R$1501="Cheque 支票")*('Daily Sale entry '!$V$2:$V$1501&lt;&gt;"")*('Daily Sale entry '!$V$2:$V$1501&lt;=$A312)*('Daily Sale entry '!$S$2:$S$1501-'Opening Balance'!$B$15*('Daily Sale entry '!$R$2:$R$1501="Cheque 支票")*('Daily Sale entry '!$S$2:$S$1501-TRUNC('Daily Sale entry '!$S$2:$S$1501))))-'Opening Balance'!$B$15*SUMPRODUCT(('Daily Sale entry '!$X$2:$X$1501&lt;=$A312)*('Daily Sale entry '!$Z$2:$Z$1501="Online collection 网上收款")*('Daily Sale entry '!$AA$2:$AA$1501&lt;&gt;"")*('Daily Sale entry '!$AC$2:$AC$1501-TRUNC('Daily Sale entry '!$AC$2:$AC$1501))),2))</f>
        <v/>
      </c>
      <c r="C312" s="8">
        <f>IF($A312="","",'Opening Balance'!$B$5+SUM('Daily Sale entry '!$I$2:I312)-SUMIFS('Daily Sale entry '!$AB$2:$AB$1501,'Daily Sale entry '!$X$2:$X$1501,"&lt;="&amp;$A312,'Daily Sale entry '!$Z$2:$Z$1501,"Cheque deposit 支票存入")-COUNTIFS('Daily Sale entry '!$Q$2:$Q$1501,"Collection 收款",'Daily Sale entry '!$R$2:$R$1501,"Cheque 支票",'Daily Sale entry '!$V$2:$V$1501,"&lt;="&amp;$A312))</f>
        <v/>
      </c>
      <c r="D312" s="6">
        <f>IF($A312="","",ROUND('Opening Balance'!$B$6+SUM('Daily Sale entry '!$J$2:J312)-SUMIFS('Daily Sale entry '!$AC$2:$AC$1501,'Daily Sale entry '!$X$2:$X$1501,"&lt;="&amp;$A312,'Daily Sale entry '!$Z$2:$Z$1501,"Cheque deposit 支票存入")-SUMPRODUCT(('Daily Sale entry '!$Q$2:$Q$1501="Collection 收款")*('Daily Sale entry '!$R$2:$R$1501="Cheque 支票")*('Daily Sale entry '!$V$2:$V$1501&lt;&gt;"")*('Daily Sale entry '!$V$2:$V$1501&lt;=$A312)*('Daily Sale entry '!$S$2:$S$1501-'Opening Balance'!$B$15*('Daily Sale entry '!$R$2:$R$1501="Cheque 支票")*('Daily Sale entry '!$S$2:$S$1501-TRUNC('Daily Sale entry '!$S$2:$S$1501)))),2))</f>
        <v/>
      </c>
      <c r="E312" s="6">
        <f>IF($A312="","",'Opening Balance'!$B$7)</f>
        <v/>
      </c>
      <c r="F312" s="6">
        <f>IF($A312="","",ROUND(SUMIFS('Daily Sale entry '!$L$2:$L$367,'Daily Sale entry '!$A$2:$A$367,"&gt;="&amp;DATE(YEAR($A312),MONTH($A312),1),'Daily Sale entry '!$A$2:$A$367,"&lt;="&amp;$A312)+SUMIFS('Daily Sale entry '!$M$2:$M$367,'Daily Sale entry '!$A$2:$A$367,"&gt;="&amp;DATE(YEAR($A312),MONTH($A312),1),'Daily Sale entry '!$A$2:$A$367,"&lt;="&amp;$A312)+IF(AND(YEAR($A312)=YEAR('Daily Sale entry '!$A$2),MONTH($A312)=MONTH('Daily Sale entry '!$A$2)),'Opening Balance'!$B$8,0),2))</f>
        <v/>
      </c>
      <c r="G312" s="6">
        <f>IF($A312="","",MOD(ROUND('Opening Balance'!$B$9+SUMIFS('Sales &amp; Collection'!$L$1:$L$4343,'Sales &amp; Collection'!$K$1:$K$4343,"cash collection*"),2),'Opening Balance'!$B$11))</f>
        <v/>
      </c>
      <c r="H312" s="6">
        <f>IF($A312="","",ROUND('Opening Balance'!$B$10+'Opening Balance'!$B$9+SUMIFS('Sales &amp; Collection'!$L$1:$L$4343,'Sales &amp; Collection'!$K$1:$K$4343,"cash collection*")-G312-SUMIFS('Daily Sale entry '!$AC$2:$AC$1501,'Daily Sale entry '!$X$2:$X$1501,"&lt;="&amp;$A312,'Daily Sale entry '!$Z$2:$Z$1501,"Cash deposit 现金存入"),2))</f>
        <v/>
      </c>
      <c r="I312" s="6">
        <f>IF($A312="","",ROUND(B312+D312+E312+F312+G312+H312,2))</f>
        <v/>
      </c>
      <c r="J312" s="6">
        <f>IF($A312="","",'AR &amp; AP'!K313)</f>
        <v/>
      </c>
      <c r="K312" s="6">
        <f>IF($A312="","",ROUND(I312-J312-SUMIFS('Daily Sale entry '!$AC$2:$AC$1501,'Daily Sale entry '!$X$2:$X$1501,"&lt;="&amp;$A312,'Daily Sale entry '!$Z$2:$Z$1501,"Other deposit 其他存入")+SUMIFS('Daily Sale entry '!$AD$2:$AD$1501,'Daily Sale entry '!$X$2:$X$1501,"&lt;="&amp;$A312)+('Opening Balance'!$B$8+SUM('Daily Sale entry '!$L$2:M312)-F312),2))</f>
        <v/>
      </c>
      <c r="L312">
        <f>IF($A312="","",IF(ABS('Sales &amp; Collection'!$B$4352)&gt;'Opening Balance'!$B$16,"ALERT 警报: Different "&amp;TEXT('Sales &amp; Collection'!$B$4352,"#,##0.00")&amp;" 差额过大",""))</f>
        <v/>
      </c>
    </row>
    <row r="313">
      <c r="A313" s="5">
        <f>IF('Daily Sale entry '!A313="","",'Daily Sale entry '!A313)</f>
        <v/>
      </c>
      <c r="B313" s="6">
        <f>IF($A313="","",ROUND('Opening Balance'!$B$4+SUM('Daily Sale entry '!$K$2:K313)+SUMIFS('Daily Sale entry '!$AC$2:$AC$1501,'Daily Sale entry '!$X$2:$X$1501,"&lt;="&amp;$A313)-SUMIFS('Daily Sale entry '!$AD$2:$AD$1501,'Daily Sale entry '!$X$2:$X$1501,"&lt;="&amp;$A313)+SUMPRODUCT(('Daily Sale entry '!$Q$2:$Q$1501="Collection 收款")*('Daily Sale entry '!$R$2:$R$1501="Cheque 支票")*('Daily Sale entry '!$V$2:$V$1501&lt;&gt;"")*('Daily Sale entry '!$V$2:$V$1501&lt;=$A313)*('Daily Sale entry '!$S$2:$S$1501-'Opening Balance'!$B$15*('Daily Sale entry '!$R$2:$R$1501="Cheque 支票")*('Daily Sale entry '!$S$2:$S$1501-TRUNC('Daily Sale entry '!$S$2:$S$1501))))-'Opening Balance'!$B$15*SUMPRODUCT(('Daily Sale entry '!$X$2:$X$1501&lt;=$A313)*('Daily Sale entry '!$Z$2:$Z$1501="Online collection 网上收款")*('Daily Sale entry '!$AA$2:$AA$1501&lt;&gt;"")*('Daily Sale entry '!$AC$2:$AC$1501-TRUNC('Daily Sale entry '!$AC$2:$AC$1501))),2))</f>
        <v/>
      </c>
      <c r="C313" s="8">
        <f>IF($A313="","",'Opening Balance'!$B$5+SUM('Daily Sale entry '!$I$2:I313)-SUMIFS('Daily Sale entry '!$AB$2:$AB$1501,'Daily Sale entry '!$X$2:$X$1501,"&lt;="&amp;$A313,'Daily Sale entry '!$Z$2:$Z$1501,"Cheque deposit 支票存入")-COUNTIFS('Daily Sale entry '!$Q$2:$Q$1501,"Collection 收款",'Daily Sale entry '!$R$2:$R$1501,"Cheque 支票",'Daily Sale entry '!$V$2:$V$1501,"&lt;="&amp;$A313))</f>
        <v/>
      </c>
      <c r="D313" s="6">
        <f>IF($A313="","",ROUND('Opening Balance'!$B$6+SUM('Daily Sale entry '!$J$2:J313)-SUMIFS('Daily Sale entry '!$AC$2:$AC$1501,'Daily Sale entry '!$X$2:$X$1501,"&lt;="&amp;$A313,'Daily Sale entry '!$Z$2:$Z$1501,"Cheque deposit 支票存入")-SUMPRODUCT(('Daily Sale entry '!$Q$2:$Q$1501="Collection 收款")*('Daily Sale entry '!$R$2:$R$1501="Cheque 支票")*('Daily Sale entry '!$V$2:$V$1501&lt;&gt;"")*('Daily Sale entry '!$V$2:$V$1501&lt;=$A313)*('Daily Sale entry '!$S$2:$S$1501-'Opening Balance'!$B$15*('Daily Sale entry '!$R$2:$R$1501="Cheque 支票")*('Daily Sale entry '!$S$2:$S$1501-TRUNC('Daily Sale entry '!$S$2:$S$1501)))),2))</f>
        <v/>
      </c>
      <c r="E313" s="6">
        <f>IF($A313="","",'Opening Balance'!$B$7)</f>
        <v/>
      </c>
      <c r="F313" s="6">
        <f>IF($A313="","",ROUND(SUMIFS('Daily Sale entry '!$L$2:$L$367,'Daily Sale entry '!$A$2:$A$367,"&gt;="&amp;DATE(YEAR($A313),MONTH($A313),1),'Daily Sale entry '!$A$2:$A$367,"&lt;="&amp;$A313)+SUMIFS('Daily Sale entry '!$M$2:$M$367,'Daily Sale entry '!$A$2:$A$367,"&gt;="&amp;DATE(YEAR($A313),MONTH($A313),1),'Daily Sale entry '!$A$2:$A$367,"&lt;="&amp;$A313)+IF(AND(YEAR($A313)=YEAR('Daily Sale entry '!$A$2),MONTH($A313)=MONTH('Daily Sale entry '!$A$2)),'Opening Balance'!$B$8,0),2))</f>
        <v/>
      </c>
      <c r="G313" s="6">
        <f>IF($A313="","",MOD(ROUND('Opening Balance'!$B$9+SUMIFS('Sales &amp; Collection'!$L$1:$L$4357,'Sales &amp; Collection'!$K$1:$K$4357,"cash collection*"),2),'Opening Balance'!$B$11))</f>
        <v/>
      </c>
      <c r="H313" s="6">
        <f>IF($A313="","",ROUND('Opening Balance'!$B$10+'Opening Balance'!$B$9+SUMIFS('Sales &amp; Collection'!$L$1:$L$4357,'Sales &amp; Collection'!$K$1:$K$4357,"cash collection*")-G313-SUMIFS('Daily Sale entry '!$AC$2:$AC$1501,'Daily Sale entry '!$X$2:$X$1501,"&lt;="&amp;$A313,'Daily Sale entry '!$Z$2:$Z$1501,"Cash deposit 现金存入"),2))</f>
        <v/>
      </c>
      <c r="I313" s="6">
        <f>IF($A313="","",ROUND(B313+D313+E313+F313+G313+H313,2))</f>
        <v/>
      </c>
      <c r="J313" s="6">
        <f>IF($A313="","",'AR &amp; AP'!K314)</f>
        <v/>
      </c>
      <c r="K313" s="6">
        <f>IF($A313="","",ROUND(I313-J313-SUMIFS('Daily Sale entry '!$AC$2:$AC$1501,'Daily Sale entry '!$X$2:$X$1501,"&lt;="&amp;$A313,'Daily Sale entry '!$Z$2:$Z$1501,"Other deposit 其他存入")+SUMIFS('Daily Sale entry '!$AD$2:$AD$1501,'Daily Sale entry '!$X$2:$X$1501,"&lt;="&amp;$A313)+('Opening Balance'!$B$8+SUM('Daily Sale entry '!$L$2:M313)-F313),2))</f>
        <v/>
      </c>
      <c r="L313">
        <f>IF($A313="","",IF(ABS('Sales &amp; Collection'!$B$4366)&gt;'Opening Balance'!$B$16,"ALERT 警报: Different "&amp;TEXT('Sales &amp; Collection'!$B$4366,"#,##0.00")&amp;" 差额过大",""))</f>
        <v/>
      </c>
    </row>
    <row r="314">
      <c r="A314" s="5">
        <f>IF('Daily Sale entry '!A314="","",'Daily Sale entry '!A314)</f>
        <v/>
      </c>
      <c r="B314" s="6">
        <f>IF($A314="","",ROUND('Opening Balance'!$B$4+SUM('Daily Sale entry '!$K$2:K314)+SUMIFS('Daily Sale entry '!$AC$2:$AC$1501,'Daily Sale entry '!$X$2:$X$1501,"&lt;="&amp;$A314)-SUMIFS('Daily Sale entry '!$AD$2:$AD$1501,'Daily Sale entry '!$X$2:$X$1501,"&lt;="&amp;$A314)+SUMPRODUCT(('Daily Sale entry '!$Q$2:$Q$1501="Collection 收款")*('Daily Sale entry '!$R$2:$R$1501="Cheque 支票")*('Daily Sale entry '!$V$2:$V$1501&lt;&gt;"")*('Daily Sale entry '!$V$2:$V$1501&lt;=$A314)*('Daily Sale entry '!$S$2:$S$1501-'Opening Balance'!$B$15*('Daily Sale entry '!$R$2:$R$1501="Cheque 支票")*('Daily Sale entry '!$S$2:$S$1501-TRUNC('Daily Sale entry '!$S$2:$S$1501))))-'Opening Balance'!$B$15*SUMPRODUCT(('Daily Sale entry '!$X$2:$X$1501&lt;=$A314)*('Daily Sale entry '!$Z$2:$Z$1501="Online collection 网上收款")*('Daily Sale entry '!$AA$2:$AA$1501&lt;&gt;"")*('Daily Sale entry '!$AC$2:$AC$1501-TRUNC('Daily Sale entry '!$AC$2:$AC$1501))),2))</f>
        <v/>
      </c>
      <c r="C314" s="8">
        <f>IF($A314="","",'Opening Balance'!$B$5+SUM('Daily Sale entry '!$I$2:I314)-SUMIFS('Daily Sale entry '!$AB$2:$AB$1501,'Daily Sale entry '!$X$2:$X$1501,"&lt;="&amp;$A314,'Daily Sale entry '!$Z$2:$Z$1501,"Cheque deposit 支票存入")-COUNTIFS('Daily Sale entry '!$Q$2:$Q$1501,"Collection 收款",'Daily Sale entry '!$R$2:$R$1501,"Cheque 支票",'Daily Sale entry '!$V$2:$V$1501,"&lt;="&amp;$A314))</f>
        <v/>
      </c>
      <c r="D314" s="6">
        <f>IF($A314="","",ROUND('Opening Balance'!$B$6+SUM('Daily Sale entry '!$J$2:J314)-SUMIFS('Daily Sale entry '!$AC$2:$AC$1501,'Daily Sale entry '!$X$2:$X$1501,"&lt;="&amp;$A314,'Daily Sale entry '!$Z$2:$Z$1501,"Cheque deposit 支票存入")-SUMPRODUCT(('Daily Sale entry '!$Q$2:$Q$1501="Collection 收款")*('Daily Sale entry '!$R$2:$R$1501="Cheque 支票")*('Daily Sale entry '!$V$2:$V$1501&lt;&gt;"")*('Daily Sale entry '!$V$2:$V$1501&lt;=$A314)*('Daily Sale entry '!$S$2:$S$1501-'Opening Balance'!$B$15*('Daily Sale entry '!$R$2:$R$1501="Cheque 支票")*('Daily Sale entry '!$S$2:$S$1501-TRUNC('Daily Sale entry '!$S$2:$S$1501)))),2))</f>
        <v/>
      </c>
      <c r="E314" s="6">
        <f>IF($A314="","",'Opening Balance'!$B$7)</f>
        <v/>
      </c>
      <c r="F314" s="6">
        <f>IF($A314="","",ROUND(SUMIFS('Daily Sale entry '!$L$2:$L$367,'Daily Sale entry '!$A$2:$A$367,"&gt;="&amp;DATE(YEAR($A314),MONTH($A314),1),'Daily Sale entry '!$A$2:$A$367,"&lt;="&amp;$A314)+SUMIFS('Daily Sale entry '!$M$2:$M$367,'Daily Sale entry '!$A$2:$A$367,"&gt;="&amp;DATE(YEAR($A314),MONTH($A314),1),'Daily Sale entry '!$A$2:$A$367,"&lt;="&amp;$A314)+IF(AND(YEAR($A314)=YEAR('Daily Sale entry '!$A$2),MONTH($A314)=MONTH('Daily Sale entry '!$A$2)),'Opening Balance'!$B$8,0),2))</f>
        <v/>
      </c>
      <c r="G314" s="6">
        <f>IF($A314="","",MOD(ROUND('Opening Balance'!$B$9+SUMIFS('Sales &amp; Collection'!$L$1:$L$4371,'Sales &amp; Collection'!$K$1:$K$4371,"cash collection*"),2),'Opening Balance'!$B$11))</f>
        <v/>
      </c>
      <c r="H314" s="6">
        <f>IF($A314="","",ROUND('Opening Balance'!$B$10+'Opening Balance'!$B$9+SUMIFS('Sales &amp; Collection'!$L$1:$L$4371,'Sales &amp; Collection'!$K$1:$K$4371,"cash collection*")-G314-SUMIFS('Daily Sale entry '!$AC$2:$AC$1501,'Daily Sale entry '!$X$2:$X$1501,"&lt;="&amp;$A314,'Daily Sale entry '!$Z$2:$Z$1501,"Cash deposit 现金存入"),2))</f>
        <v/>
      </c>
      <c r="I314" s="6">
        <f>IF($A314="","",ROUND(B314+D314+E314+F314+G314+H314,2))</f>
        <v/>
      </c>
      <c r="J314" s="6">
        <f>IF($A314="","",'AR &amp; AP'!K315)</f>
        <v/>
      </c>
      <c r="K314" s="6">
        <f>IF($A314="","",ROUND(I314-J314-SUMIFS('Daily Sale entry '!$AC$2:$AC$1501,'Daily Sale entry '!$X$2:$X$1501,"&lt;="&amp;$A314,'Daily Sale entry '!$Z$2:$Z$1501,"Other deposit 其他存入")+SUMIFS('Daily Sale entry '!$AD$2:$AD$1501,'Daily Sale entry '!$X$2:$X$1501,"&lt;="&amp;$A314)+('Opening Balance'!$B$8+SUM('Daily Sale entry '!$L$2:M314)-F314),2))</f>
        <v/>
      </c>
      <c r="L314">
        <f>IF($A314="","",IF(ABS('Sales &amp; Collection'!$B$4380)&gt;'Opening Balance'!$B$16,"ALERT 警报: Different "&amp;TEXT('Sales &amp; Collection'!$B$4380,"#,##0.00")&amp;" 差额过大",""))</f>
        <v/>
      </c>
    </row>
    <row r="315">
      <c r="A315" s="5">
        <f>IF('Daily Sale entry '!A315="","",'Daily Sale entry '!A315)</f>
        <v/>
      </c>
      <c r="B315" s="6">
        <f>IF($A315="","",ROUND('Opening Balance'!$B$4+SUM('Daily Sale entry '!$K$2:K315)+SUMIFS('Daily Sale entry '!$AC$2:$AC$1501,'Daily Sale entry '!$X$2:$X$1501,"&lt;="&amp;$A315)-SUMIFS('Daily Sale entry '!$AD$2:$AD$1501,'Daily Sale entry '!$X$2:$X$1501,"&lt;="&amp;$A315)+SUMPRODUCT(('Daily Sale entry '!$Q$2:$Q$1501="Collection 收款")*('Daily Sale entry '!$R$2:$R$1501="Cheque 支票")*('Daily Sale entry '!$V$2:$V$1501&lt;&gt;"")*('Daily Sale entry '!$V$2:$V$1501&lt;=$A315)*('Daily Sale entry '!$S$2:$S$1501-'Opening Balance'!$B$15*('Daily Sale entry '!$R$2:$R$1501="Cheque 支票")*('Daily Sale entry '!$S$2:$S$1501-TRUNC('Daily Sale entry '!$S$2:$S$1501))))-'Opening Balance'!$B$15*SUMPRODUCT(('Daily Sale entry '!$X$2:$X$1501&lt;=$A315)*('Daily Sale entry '!$Z$2:$Z$1501="Online collection 网上收款")*('Daily Sale entry '!$AA$2:$AA$1501&lt;&gt;"")*('Daily Sale entry '!$AC$2:$AC$1501-TRUNC('Daily Sale entry '!$AC$2:$AC$1501))),2))</f>
        <v/>
      </c>
      <c r="C315" s="8">
        <f>IF($A315="","",'Opening Balance'!$B$5+SUM('Daily Sale entry '!$I$2:I315)-SUMIFS('Daily Sale entry '!$AB$2:$AB$1501,'Daily Sale entry '!$X$2:$X$1501,"&lt;="&amp;$A315,'Daily Sale entry '!$Z$2:$Z$1501,"Cheque deposit 支票存入")-COUNTIFS('Daily Sale entry '!$Q$2:$Q$1501,"Collection 收款",'Daily Sale entry '!$R$2:$R$1501,"Cheque 支票",'Daily Sale entry '!$V$2:$V$1501,"&lt;="&amp;$A315))</f>
        <v/>
      </c>
      <c r="D315" s="6">
        <f>IF($A315="","",ROUND('Opening Balance'!$B$6+SUM('Daily Sale entry '!$J$2:J315)-SUMIFS('Daily Sale entry '!$AC$2:$AC$1501,'Daily Sale entry '!$X$2:$X$1501,"&lt;="&amp;$A315,'Daily Sale entry '!$Z$2:$Z$1501,"Cheque deposit 支票存入")-SUMPRODUCT(('Daily Sale entry '!$Q$2:$Q$1501="Collection 收款")*('Daily Sale entry '!$R$2:$R$1501="Cheque 支票")*('Daily Sale entry '!$V$2:$V$1501&lt;&gt;"")*('Daily Sale entry '!$V$2:$V$1501&lt;=$A315)*('Daily Sale entry '!$S$2:$S$1501-'Opening Balance'!$B$15*('Daily Sale entry '!$R$2:$R$1501="Cheque 支票")*('Daily Sale entry '!$S$2:$S$1501-TRUNC('Daily Sale entry '!$S$2:$S$1501)))),2))</f>
        <v/>
      </c>
      <c r="E315" s="6">
        <f>IF($A315="","",'Opening Balance'!$B$7)</f>
        <v/>
      </c>
      <c r="F315" s="6">
        <f>IF($A315="","",ROUND(SUMIFS('Daily Sale entry '!$L$2:$L$367,'Daily Sale entry '!$A$2:$A$367,"&gt;="&amp;DATE(YEAR($A315),MONTH($A315),1),'Daily Sale entry '!$A$2:$A$367,"&lt;="&amp;$A315)+SUMIFS('Daily Sale entry '!$M$2:$M$367,'Daily Sale entry '!$A$2:$A$367,"&gt;="&amp;DATE(YEAR($A315),MONTH($A315),1),'Daily Sale entry '!$A$2:$A$367,"&lt;="&amp;$A315)+IF(AND(YEAR($A315)=YEAR('Daily Sale entry '!$A$2),MONTH($A315)=MONTH('Daily Sale entry '!$A$2)),'Opening Balance'!$B$8,0),2))</f>
        <v/>
      </c>
      <c r="G315" s="6">
        <f>IF($A315="","",MOD(ROUND('Opening Balance'!$B$9+SUMIFS('Sales &amp; Collection'!$L$1:$L$4385,'Sales &amp; Collection'!$K$1:$K$4385,"cash collection*"),2),'Opening Balance'!$B$11))</f>
        <v/>
      </c>
      <c r="H315" s="6">
        <f>IF($A315="","",ROUND('Opening Balance'!$B$10+'Opening Balance'!$B$9+SUMIFS('Sales &amp; Collection'!$L$1:$L$4385,'Sales &amp; Collection'!$K$1:$K$4385,"cash collection*")-G315-SUMIFS('Daily Sale entry '!$AC$2:$AC$1501,'Daily Sale entry '!$X$2:$X$1501,"&lt;="&amp;$A315,'Daily Sale entry '!$Z$2:$Z$1501,"Cash deposit 现金存入"),2))</f>
        <v/>
      </c>
      <c r="I315" s="6">
        <f>IF($A315="","",ROUND(B315+D315+E315+F315+G315+H315,2))</f>
        <v/>
      </c>
      <c r="J315" s="6">
        <f>IF($A315="","",'AR &amp; AP'!K316)</f>
        <v/>
      </c>
      <c r="K315" s="6">
        <f>IF($A315="","",ROUND(I315-J315-SUMIFS('Daily Sale entry '!$AC$2:$AC$1501,'Daily Sale entry '!$X$2:$X$1501,"&lt;="&amp;$A315,'Daily Sale entry '!$Z$2:$Z$1501,"Other deposit 其他存入")+SUMIFS('Daily Sale entry '!$AD$2:$AD$1501,'Daily Sale entry '!$X$2:$X$1501,"&lt;="&amp;$A315)+('Opening Balance'!$B$8+SUM('Daily Sale entry '!$L$2:M315)-F315),2))</f>
        <v/>
      </c>
      <c r="L315">
        <f>IF($A315="","",IF(ABS('Sales &amp; Collection'!$B$4394)&gt;'Opening Balance'!$B$16,"ALERT 警报: Different "&amp;TEXT('Sales &amp; Collection'!$B$4394,"#,##0.00")&amp;" 差额过大",""))</f>
        <v/>
      </c>
    </row>
    <row r="316">
      <c r="A316" s="5">
        <f>IF('Daily Sale entry '!A316="","",'Daily Sale entry '!A316)</f>
        <v/>
      </c>
      <c r="B316" s="6">
        <f>IF($A316="","",ROUND('Opening Balance'!$B$4+SUM('Daily Sale entry '!$K$2:K316)+SUMIFS('Daily Sale entry '!$AC$2:$AC$1501,'Daily Sale entry '!$X$2:$X$1501,"&lt;="&amp;$A316)-SUMIFS('Daily Sale entry '!$AD$2:$AD$1501,'Daily Sale entry '!$X$2:$X$1501,"&lt;="&amp;$A316)+SUMPRODUCT(('Daily Sale entry '!$Q$2:$Q$1501="Collection 收款")*('Daily Sale entry '!$R$2:$R$1501="Cheque 支票")*('Daily Sale entry '!$V$2:$V$1501&lt;&gt;"")*('Daily Sale entry '!$V$2:$V$1501&lt;=$A316)*('Daily Sale entry '!$S$2:$S$1501-'Opening Balance'!$B$15*('Daily Sale entry '!$R$2:$R$1501="Cheque 支票")*('Daily Sale entry '!$S$2:$S$1501-TRUNC('Daily Sale entry '!$S$2:$S$1501))))-'Opening Balance'!$B$15*SUMPRODUCT(('Daily Sale entry '!$X$2:$X$1501&lt;=$A316)*('Daily Sale entry '!$Z$2:$Z$1501="Online collection 网上收款")*('Daily Sale entry '!$AA$2:$AA$1501&lt;&gt;"")*('Daily Sale entry '!$AC$2:$AC$1501-TRUNC('Daily Sale entry '!$AC$2:$AC$1501))),2))</f>
        <v/>
      </c>
      <c r="C316" s="8">
        <f>IF($A316="","",'Opening Balance'!$B$5+SUM('Daily Sale entry '!$I$2:I316)-SUMIFS('Daily Sale entry '!$AB$2:$AB$1501,'Daily Sale entry '!$X$2:$X$1501,"&lt;="&amp;$A316,'Daily Sale entry '!$Z$2:$Z$1501,"Cheque deposit 支票存入")-COUNTIFS('Daily Sale entry '!$Q$2:$Q$1501,"Collection 收款",'Daily Sale entry '!$R$2:$R$1501,"Cheque 支票",'Daily Sale entry '!$V$2:$V$1501,"&lt;="&amp;$A316))</f>
        <v/>
      </c>
      <c r="D316" s="6">
        <f>IF($A316="","",ROUND('Opening Balance'!$B$6+SUM('Daily Sale entry '!$J$2:J316)-SUMIFS('Daily Sale entry '!$AC$2:$AC$1501,'Daily Sale entry '!$X$2:$X$1501,"&lt;="&amp;$A316,'Daily Sale entry '!$Z$2:$Z$1501,"Cheque deposit 支票存入")-SUMPRODUCT(('Daily Sale entry '!$Q$2:$Q$1501="Collection 收款")*('Daily Sale entry '!$R$2:$R$1501="Cheque 支票")*('Daily Sale entry '!$V$2:$V$1501&lt;&gt;"")*('Daily Sale entry '!$V$2:$V$1501&lt;=$A316)*('Daily Sale entry '!$S$2:$S$1501-'Opening Balance'!$B$15*('Daily Sale entry '!$R$2:$R$1501="Cheque 支票")*('Daily Sale entry '!$S$2:$S$1501-TRUNC('Daily Sale entry '!$S$2:$S$1501)))),2))</f>
        <v/>
      </c>
      <c r="E316" s="6">
        <f>IF($A316="","",'Opening Balance'!$B$7)</f>
        <v/>
      </c>
      <c r="F316" s="6">
        <f>IF($A316="","",ROUND(SUMIFS('Daily Sale entry '!$L$2:$L$367,'Daily Sale entry '!$A$2:$A$367,"&gt;="&amp;DATE(YEAR($A316),MONTH($A316),1),'Daily Sale entry '!$A$2:$A$367,"&lt;="&amp;$A316)+SUMIFS('Daily Sale entry '!$M$2:$M$367,'Daily Sale entry '!$A$2:$A$367,"&gt;="&amp;DATE(YEAR($A316),MONTH($A316),1),'Daily Sale entry '!$A$2:$A$367,"&lt;="&amp;$A316)+IF(AND(YEAR($A316)=YEAR('Daily Sale entry '!$A$2),MONTH($A316)=MONTH('Daily Sale entry '!$A$2)),'Opening Balance'!$B$8,0),2))</f>
        <v/>
      </c>
      <c r="G316" s="6">
        <f>IF($A316="","",MOD(ROUND('Opening Balance'!$B$9+SUMIFS('Sales &amp; Collection'!$L$1:$L$4399,'Sales &amp; Collection'!$K$1:$K$4399,"cash collection*"),2),'Opening Balance'!$B$11))</f>
        <v/>
      </c>
      <c r="H316" s="6">
        <f>IF($A316="","",ROUND('Opening Balance'!$B$10+'Opening Balance'!$B$9+SUMIFS('Sales &amp; Collection'!$L$1:$L$4399,'Sales &amp; Collection'!$K$1:$K$4399,"cash collection*")-G316-SUMIFS('Daily Sale entry '!$AC$2:$AC$1501,'Daily Sale entry '!$X$2:$X$1501,"&lt;="&amp;$A316,'Daily Sale entry '!$Z$2:$Z$1501,"Cash deposit 现金存入"),2))</f>
        <v/>
      </c>
      <c r="I316" s="6">
        <f>IF($A316="","",ROUND(B316+D316+E316+F316+G316+H316,2))</f>
        <v/>
      </c>
      <c r="J316" s="6">
        <f>IF($A316="","",'AR &amp; AP'!K317)</f>
        <v/>
      </c>
      <c r="K316" s="6">
        <f>IF($A316="","",ROUND(I316-J316-SUMIFS('Daily Sale entry '!$AC$2:$AC$1501,'Daily Sale entry '!$X$2:$X$1501,"&lt;="&amp;$A316,'Daily Sale entry '!$Z$2:$Z$1501,"Other deposit 其他存入")+SUMIFS('Daily Sale entry '!$AD$2:$AD$1501,'Daily Sale entry '!$X$2:$X$1501,"&lt;="&amp;$A316)+('Opening Balance'!$B$8+SUM('Daily Sale entry '!$L$2:M316)-F316),2))</f>
        <v/>
      </c>
      <c r="L316">
        <f>IF($A316="","",IF(ABS('Sales &amp; Collection'!$B$4408)&gt;'Opening Balance'!$B$16,"ALERT 警报: Different "&amp;TEXT('Sales &amp; Collection'!$B$4408,"#,##0.00")&amp;" 差额过大",""))</f>
        <v/>
      </c>
    </row>
    <row r="317">
      <c r="A317" s="5">
        <f>IF('Daily Sale entry '!A317="","",'Daily Sale entry '!A317)</f>
        <v/>
      </c>
      <c r="B317" s="6">
        <f>IF($A317="","",ROUND('Opening Balance'!$B$4+SUM('Daily Sale entry '!$K$2:K317)+SUMIFS('Daily Sale entry '!$AC$2:$AC$1501,'Daily Sale entry '!$X$2:$X$1501,"&lt;="&amp;$A317)-SUMIFS('Daily Sale entry '!$AD$2:$AD$1501,'Daily Sale entry '!$X$2:$X$1501,"&lt;="&amp;$A317)+SUMPRODUCT(('Daily Sale entry '!$Q$2:$Q$1501="Collection 收款")*('Daily Sale entry '!$R$2:$R$1501="Cheque 支票")*('Daily Sale entry '!$V$2:$V$1501&lt;&gt;"")*('Daily Sale entry '!$V$2:$V$1501&lt;=$A317)*('Daily Sale entry '!$S$2:$S$1501-'Opening Balance'!$B$15*('Daily Sale entry '!$R$2:$R$1501="Cheque 支票")*('Daily Sale entry '!$S$2:$S$1501-TRUNC('Daily Sale entry '!$S$2:$S$1501))))-'Opening Balance'!$B$15*SUMPRODUCT(('Daily Sale entry '!$X$2:$X$1501&lt;=$A317)*('Daily Sale entry '!$Z$2:$Z$1501="Online collection 网上收款")*('Daily Sale entry '!$AA$2:$AA$1501&lt;&gt;"")*('Daily Sale entry '!$AC$2:$AC$1501-TRUNC('Daily Sale entry '!$AC$2:$AC$1501))),2))</f>
        <v/>
      </c>
      <c r="C317" s="8">
        <f>IF($A317="","",'Opening Balance'!$B$5+SUM('Daily Sale entry '!$I$2:I317)-SUMIFS('Daily Sale entry '!$AB$2:$AB$1501,'Daily Sale entry '!$X$2:$X$1501,"&lt;="&amp;$A317,'Daily Sale entry '!$Z$2:$Z$1501,"Cheque deposit 支票存入")-COUNTIFS('Daily Sale entry '!$Q$2:$Q$1501,"Collection 收款",'Daily Sale entry '!$R$2:$R$1501,"Cheque 支票",'Daily Sale entry '!$V$2:$V$1501,"&lt;="&amp;$A317))</f>
        <v/>
      </c>
      <c r="D317" s="6">
        <f>IF($A317="","",ROUND('Opening Balance'!$B$6+SUM('Daily Sale entry '!$J$2:J317)-SUMIFS('Daily Sale entry '!$AC$2:$AC$1501,'Daily Sale entry '!$X$2:$X$1501,"&lt;="&amp;$A317,'Daily Sale entry '!$Z$2:$Z$1501,"Cheque deposit 支票存入")-SUMPRODUCT(('Daily Sale entry '!$Q$2:$Q$1501="Collection 收款")*('Daily Sale entry '!$R$2:$R$1501="Cheque 支票")*('Daily Sale entry '!$V$2:$V$1501&lt;&gt;"")*('Daily Sale entry '!$V$2:$V$1501&lt;=$A317)*('Daily Sale entry '!$S$2:$S$1501-'Opening Balance'!$B$15*('Daily Sale entry '!$R$2:$R$1501="Cheque 支票")*('Daily Sale entry '!$S$2:$S$1501-TRUNC('Daily Sale entry '!$S$2:$S$1501)))),2))</f>
        <v/>
      </c>
      <c r="E317" s="6">
        <f>IF($A317="","",'Opening Balance'!$B$7)</f>
        <v/>
      </c>
      <c r="F317" s="6">
        <f>IF($A317="","",ROUND(SUMIFS('Daily Sale entry '!$L$2:$L$367,'Daily Sale entry '!$A$2:$A$367,"&gt;="&amp;DATE(YEAR($A317),MONTH($A317),1),'Daily Sale entry '!$A$2:$A$367,"&lt;="&amp;$A317)+SUMIFS('Daily Sale entry '!$M$2:$M$367,'Daily Sale entry '!$A$2:$A$367,"&gt;="&amp;DATE(YEAR($A317),MONTH($A317),1),'Daily Sale entry '!$A$2:$A$367,"&lt;="&amp;$A317)+IF(AND(YEAR($A317)=YEAR('Daily Sale entry '!$A$2),MONTH($A317)=MONTH('Daily Sale entry '!$A$2)),'Opening Balance'!$B$8,0),2))</f>
        <v/>
      </c>
      <c r="G317" s="6">
        <f>IF($A317="","",MOD(ROUND('Opening Balance'!$B$9+SUMIFS('Sales &amp; Collection'!$L$1:$L$4413,'Sales &amp; Collection'!$K$1:$K$4413,"cash collection*"),2),'Opening Balance'!$B$11))</f>
        <v/>
      </c>
      <c r="H317" s="6">
        <f>IF($A317="","",ROUND('Opening Balance'!$B$10+'Opening Balance'!$B$9+SUMIFS('Sales &amp; Collection'!$L$1:$L$4413,'Sales &amp; Collection'!$K$1:$K$4413,"cash collection*")-G317-SUMIFS('Daily Sale entry '!$AC$2:$AC$1501,'Daily Sale entry '!$X$2:$X$1501,"&lt;="&amp;$A317,'Daily Sale entry '!$Z$2:$Z$1501,"Cash deposit 现金存入"),2))</f>
        <v/>
      </c>
      <c r="I317" s="6">
        <f>IF($A317="","",ROUND(B317+D317+E317+F317+G317+H317,2))</f>
        <v/>
      </c>
      <c r="J317" s="6">
        <f>IF($A317="","",'AR &amp; AP'!K318)</f>
        <v/>
      </c>
      <c r="K317" s="6">
        <f>IF($A317="","",ROUND(I317-J317-SUMIFS('Daily Sale entry '!$AC$2:$AC$1501,'Daily Sale entry '!$X$2:$X$1501,"&lt;="&amp;$A317,'Daily Sale entry '!$Z$2:$Z$1501,"Other deposit 其他存入")+SUMIFS('Daily Sale entry '!$AD$2:$AD$1501,'Daily Sale entry '!$X$2:$X$1501,"&lt;="&amp;$A317)+('Opening Balance'!$B$8+SUM('Daily Sale entry '!$L$2:M317)-F317),2))</f>
        <v/>
      </c>
      <c r="L317">
        <f>IF($A317="","",IF(ABS('Sales &amp; Collection'!$B$4422)&gt;'Opening Balance'!$B$16,"ALERT 警报: Different "&amp;TEXT('Sales &amp; Collection'!$B$4422,"#,##0.00")&amp;" 差额过大",""))</f>
        <v/>
      </c>
    </row>
    <row r="318">
      <c r="A318" s="5">
        <f>IF('Daily Sale entry '!A318="","",'Daily Sale entry '!A318)</f>
        <v/>
      </c>
      <c r="B318" s="6">
        <f>IF($A318="","",ROUND('Opening Balance'!$B$4+SUM('Daily Sale entry '!$K$2:K318)+SUMIFS('Daily Sale entry '!$AC$2:$AC$1501,'Daily Sale entry '!$X$2:$X$1501,"&lt;="&amp;$A318)-SUMIFS('Daily Sale entry '!$AD$2:$AD$1501,'Daily Sale entry '!$X$2:$X$1501,"&lt;="&amp;$A318)+SUMPRODUCT(('Daily Sale entry '!$Q$2:$Q$1501="Collection 收款")*('Daily Sale entry '!$R$2:$R$1501="Cheque 支票")*('Daily Sale entry '!$V$2:$V$1501&lt;&gt;"")*('Daily Sale entry '!$V$2:$V$1501&lt;=$A318)*('Daily Sale entry '!$S$2:$S$1501-'Opening Balance'!$B$15*('Daily Sale entry '!$R$2:$R$1501="Cheque 支票")*('Daily Sale entry '!$S$2:$S$1501-TRUNC('Daily Sale entry '!$S$2:$S$1501))))-'Opening Balance'!$B$15*SUMPRODUCT(('Daily Sale entry '!$X$2:$X$1501&lt;=$A318)*('Daily Sale entry '!$Z$2:$Z$1501="Online collection 网上收款")*('Daily Sale entry '!$AA$2:$AA$1501&lt;&gt;"")*('Daily Sale entry '!$AC$2:$AC$1501-TRUNC('Daily Sale entry '!$AC$2:$AC$1501))),2))</f>
        <v/>
      </c>
      <c r="C318" s="8">
        <f>IF($A318="","",'Opening Balance'!$B$5+SUM('Daily Sale entry '!$I$2:I318)-SUMIFS('Daily Sale entry '!$AB$2:$AB$1501,'Daily Sale entry '!$X$2:$X$1501,"&lt;="&amp;$A318,'Daily Sale entry '!$Z$2:$Z$1501,"Cheque deposit 支票存入")-COUNTIFS('Daily Sale entry '!$Q$2:$Q$1501,"Collection 收款",'Daily Sale entry '!$R$2:$R$1501,"Cheque 支票",'Daily Sale entry '!$V$2:$V$1501,"&lt;="&amp;$A318))</f>
        <v/>
      </c>
      <c r="D318" s="6">
        <f>IF($A318="","",ROUND('Opening Balance'!$B$6+SUM('Daily Sale entry '!$J$2:J318)-SUMIFS('Daily Sale entry '!$AC$2:$AC$1501,'Daily Sale entry '!$X$2:$X$1501,"&lt;="&amp;$A318,'Daily Sale entry '!$Z$2:$Z$1501,"Cheque deposit 支票存入")-SUMPRODUCT(('Daily Sale entry '!$Q$2:$Q$1501="Collection 收款")*('Daily Sale entry '!$R$2:$R$1501="Cheque 支票")*('Daily Sale entry '!$V$2:$V$1501&lt;&gt;"")*('Daily Sale entry '!$V$2:$V$1501&lt;=$A318)*('Daily Sale entry '!$S$2:$S$1501-'Opening Balance'!$B$15*('Daily Sale entry '!$R$2:$R$1501="Cheque 支票")*('Daily Sale entry '!$S$2:$S$1501-TRUNC('Daily Sale entry '!$S$2:$S$1501)))),2))</f>
        <v/>
      </c>
      <c r="E318" s="6">
        <f>IF($A318="","",'Opening Balance'!$B$7)</f>
        <v/>
      </c>
      <c r="F318" s="6">
        <f>IF($A318="","",ROUND(SUMIFS('Daily Sale entry '!$L$2:$L$367,'Daily Sale entry '!$A$2:$A$367,"&gt;="&amp;DATE(YEAR($A318),MONTH($A318),1),'Daily Sale entry '!$A$2:$A$367,"&lt;="&amp;$A318)+SUMIFS('Daily Sale entry '!$M$2:$M$367,'Daily Sale entry '!$A$2:$A$367,"&gt;="&amp;DATE(YEAR($A318),MONTH($A318),1),'Daily Sale entry '!$A$2:$A$367,"&lt;="&amp;$A318)+IF(AND(YEAR($A318)=YEAR('Daily Sale entry '!$A$2),MONTH($A318)=MONTH('Daily Sale entry '!$A$2)),'Opening Balance'!$B$8,0),2))</f>
        <v/>
      </c>
      <c r="G318" s="6">
        <f>IF($A318="","",MOD(ROUND('Opening Balance'!$B$9+SUMIFS('Sales &amp; Collection'!$L$1:$L$4427,'Sales &amp; Collection'!$K$1:$K$4427,"cash collection*"),2),'Opening Balance'!$B$11))</f>
        <v/>
      </c>
      <c r="H318" s="6">
        <f>IF($A318="","",ROUND('Opening Balance'!$B$10+'Opening Balance'!$B$9+SUMIFS('Sales &amp; Collection'!$L$1:$L$4427,'Sales &amp; Collection'!$K$1:$K$4427,"cash collection*")-G318-SUMIFS('Daily Sale entry '!$AC$2:$AC$1501,'Daily Sale entry '!$X$2:$X$1501,"&lt;="&amp;$A318,'Daily Sale entry '!$Z$2:$Z$1501,"Cash deposit 现金存入"),2))</f>
        <v/>
      </c>
      <c r="I318" s="6">
        <f>IF($A318="","",ROUND(B318+D318+E318+F318+G318+H318,2))</f>
        <v/>
      </c>
      <c r="J318" s="6">
        <f>IF($A318="","",'AR &amp; AP'!K319)</f>
        <v/>
      </c>
      <c r="K318" s="6">
        <f>IF($A318="","",ROUND(I318-J318-SUMIFS('Daily Sale entry '!$AC$2:$AC$1501,'Daily Sale entry '!$X$2:$X$1501,"&lt;="&amp;$A318,'Daily Sale entry '!$Z$2:$Z$1501,"Other deposit 其他存入")+SUMIFS('Daily Sale entry '!$AD$2:$AD$1501,'Daily Sale entry '!$X$2:$X$1501,"&lt;="&amp;$A318)+('Opening Balance'!$B$8+SUM('Daily Sale entry '!$L$2:M318)-F318),2))</f>
        <v/>
      </c>
      <c r="L318">
        <f>IF($A318="","",IF(ABS('Sales &amp; Collection'!$B$4436)&gt;'Opening Balance'!$B$16,"ALERT 警报: Different "&amp;TEXT('Sales &amp; Collection'!$B$4436,"#,##0.00")&amp;" 差额过大",""))</f>
        <v/>
      </c>
    </row>
    <row r="319">
      <c r="A319" s="5">
        <f>IF('Daily Sale entry '!A319="","",'Daily Sale entry '!A319)</f>
        <v/>
      </c>
      <c r="B319" s="6">
        <f>IF($A319="","",ROUND('Opening Balance'!$B$4+SUM('Daily Sale entry '!$K$2:K319)+SUMIFS('Daily Sale entry '!$AC$2:$AC$1501,'Daily Sale entry '!$X$2:$X$1501,"&lt;="&amp;$A319)-SUMIFS('Daily Sale entry '!$AD$2:$AD$1501,'Daily Sale entry '!$X$2:$X$1501,"&lt;="&amp;$A319)+SUMPRODUCT(('Daily Sale entry '!$Q$2:$Q$1501="Collection 收款")*('Daily Sale entry '!$R$2:$R$1501="Cheque 支票")*('Daily Sale entry '!$V$2:$V$1501&lt;&gt;"")*('Daily Sale entry '!$V$2:$V$1501&lt;=$A319)*('Daily Sale entry '!$S$2:$S$1501-'Opening Balance'!$B$15*('Daily Sale entry '!$R$2:$R$1501="Cheque 支票")*('Daily Sale entry '!$S$2:$S$1501-TRUNC('Daily Sale entry '!$S$2:$S$1501))))-'Opening Balance'!$B$15*SUMPRODUCT(('Daily Sale entry '!$X$2:$X$1501&lt;=$A319)*('Daily Sale entry '!$Z$2:$Z$1501="Online collection 网上收款")*('Daily Sale entry '!$AA$2:$AA$1501&lt;&gt;"")*('Daily Sale entry '!$AC$2:$AC$1501-TRUNC('Daily Sale entry '!$AC$2:$AC$1501))),2))</f>
        <v/>
      </c>
      <c r="C319" s="8">
        <f>IF($A319="","",'Opening Balance'!$B$5+SUM('Daily Sale entry '!$I$2:I319)-SUMIFS('Daily Sale entry '!$AB$2:$AB$1501,'Daily Sale entry '!$X$2:$X$1501,"&lt;="&amp;$A319,'Daily Sale entry '!$Z$2:$Z$1501,"Cheque deposit 支票存入")-COUNTIFS('Daily Sale entry '!$Q$2:$Q$1501,"Collection 收款",'Daily Sale entry '!$R$2:$R$1501,"Cheque 支票",'Daily Sale entry '!$V$2:$V$1501,"&lt;="&amp;$A319))</f>
        <v/>
      </c>
      <c r="D319" s="6">
        <f>IF($A319="","",ROUND('Opening Balance'!$B$6+SUM('Daily Sale entry '!$J$2:J319)-SUMIFS('Daily Sale entry '!$AC$2:$AC$1501,'Daily Sale entry '!$X$2:$X$1501,"&lt;="&amp;$A319,'Daily Sale entry '!$Z$2:$Z$1501,"Cheque deposit 支票存入")-SUMPRODUCT(('Daily Sale entry '!$Q$2:$Q$1501="Collection 收款")*('Daily Sale entry '!$R$2:$R$1501="Cheque 支票")*('Daily Sale entry '!$V$2:$V$1501&lt;&gt;"")*('Daily Sale entry '!$V$2:$V$1501&lt;=$A319)*('Daily Sale entry '!$S$2:$S$1501-'Opening Balance'!$B$15*('Daily Sale entry '!$R$2:$R$1501="Cheque 支票")*('Daily Sale entry '!$S$2:$S$1501-TRUNC('Daily Sale entry '!$S$2:$S$1501)))),2))</f>
        <v/>
      </c>
      <c r="E319" s="6">
        <f>IF($A319="","",'Opening Balance'!$B$7)</f>
        <v/>
      </c>
      <c r="F319" s="6">
        <f>IF($A319="","",ROUND(SUMIFS('Daily Sale entry '!$L$2:$L$367,'Daily Sale entry '!$A$2:$A$367,"&gt;="&amp;DATE(YEAR($A319),MONTH($A319),1),'Daily Sale entry '!$A$2:$A$367,"&lt;="&amp;$A319)+SUMIFS('Daily Sale entry '!$M$2:$M$367,'Daily Sale entry '!$A$2:$A$367,"&gt;="&amp;DATE(YEAR($A319),MONTH($A319),1),'Daily Sale entry '!$A$2:$A$367,"&lt;="&amp;$A319)+IF(AND(YEAR($A319)=YEAR('Daily Sale entry '!$A$2),MONTH($A319)=MONTH('Daily Sale entry '!$A$2)),'Opening Balance'!$B$8,0),2))</f>
        <v/>
      </c>
      <c r="G319" s="6">
        <f>IF($A319="","",MOD(ROUND('Opening Balance'!$B$9+SUMIFS('Sales &amp; Collection'!$L$1:$L$4441,'Sales &amp; Collection'!$K$1:$K$4441,"cash collection*"),2),'Opening Balance'!$B$11))</f>
        <v/>
      </c>
      <c r="H319" s="6">
        <f>IF($A319="","",ROUND('Opening Balance'!$B$10+'Opening Balance'!$B$9+SUMIFS('Sales &amp; Collection'!$L$1:$L$4441,'Sales &amp; Collection'!$K$1:$K$4441,"cash collection*")-G319-SUMIFS('Daily Sale entry '!$AC$2:$AC$1501,'Daily Sale entry '!$X$2:$X$1501,"&lt;="&amp;$A319,'Daily Sale entry '!$Z$2:$Z$1501,"Cash deposit 现金存入"),2))</f>
        <v/>
      </c>
      <c r="I319" s="6">
        <f>IF($A319="","",ROUND(B319+D319+E319+F319+G319+H319,2))</f>
        <v/>
      </c>
      <c r="J319" s="6">
        <f>IF($A319="","",'AR &amp; AP'!K320)</f>
        <v/>
      </c>
      <c r="K319" s="6">
        <f>IF($A319="","",ROUND(I319-J319-SUMIFS('Daily Sale entry '!$AC$2:$AC$1501,'Daily Sale entry '!$X$2:$X$1501,"&lt;="&amp;$A319,'Daily Sale entry '!$Z$2:$Z$1501,"Other deposit 其他存入")+SUMIFS('Daily Sale entry '!$AD$2:$AD$1501,'Daily Sale entry '!$X$2:$X$1501,"&lt;="&amp;$A319)+('Opening Balance'!$B$8+SUM('Daily Sale entry '!$L$2:M319)-F319),2))</f>
        <v/>
      </c>
      <c r="L319">
        <f>IF($A319="","",IF(ABS('Sales &amp; Collection'!$B$4450)&gt;'Opening Balance'!$B$16,"ALERT 警报: Different "&amp;TEXT('Sales &amp; Collection'!$B$4450,"#,##0.00")&amp;" 差额过大",""))</f>
        <v/>
      </c>
    </row>
    <row r="320">
      <c r="A320" s="5">
        <f>IF('Daily Sale entry '!A320="","",'Daily Sale entry '!A320)</f>
        <v/>
      </c>
      <c r="B320" s="6">
        <f>IF($A320="","",ROUND('Opening Balance'!$B$4+SUM('Daily Sale entry '!$K$2:K320)+SUMIFS('Daily Sale entry '!$AC$2:$AC$1501,'Daily Sale entry '!$X$2:$X$1501,"&lt;="&amp;$A320)-SUMIFS('Daily Sale entry '!$AD$2:$AD$1501,'Daily Sale entry '!$X$2:$X$1501,"&lt;="&amp;$A320)+SUMPRODUCT(('Daily Sale entry '!$Q$2:$Q$1501="Collection 收款")*('Daily Sale entry '!$R$2:$R$1501="Cheque 支票")*('Daily Sale entry '!$V$2:$V$1501&lt;&gt;"")*('Daily Sale entry '!$V$2:$V$1501&lt;=$A320)*('Daily Sale entry '!$S$2:$S$1501-'Opening Balance'!$B$15*('Daily Sale entry '!$R$2:$R$1501="Cheque 支票")*('Daily Sale entry '!$S$2:$S$1501-TRUNC('Daily Sale entry '!$S$2:$S$1501))))-'Opening Balance'!$B$15*SUMPRODUCT(('Daily Sale entry '!$X$2:$X$1501&lt;=$A320)*('Daily Sale entry '!$Z$2:$Z$1501="Online collection 网上收款")*('Daily Sale entry '!$AA$2:$AA$1501&lt;&gt;"")*('Daily Sale entry '!$AC$2:$AC$1501-TRUNC('Daily Sale entry '!$AC$2:$AC$1501))),2))</f>
        <v/>
      </c>
      <c r="C320" s="8">
        <f>IF($A320="","",'Opening Balance'!$B$5+SUM('Daily Sale entry '!$I$2:I320)-SUMIFS('Daily Sale entry '!$AB$2:$AB$1501,'Daily Sale entry '!$X$2:$X$1501,"&lt;="&amp;$A320,'Daily Sale entry '!$Z$2:$Z$1501,"Cheque deposit 支票存入")-COUNTIFS('Daily Sale entry '!$Q$2:$Q$1501,"Collection 收款",'Daily Sale entry '!$R$2:$R$1501,"Cheque 支票",'Daily Sale entry '!$V$2:$V$1501,"&lt;="&amp;$A320))</f>
        <v/>
      </c>
      <c r="D320" s="6">
        <f>IF($A320="","",ROUND('Opening Balance'!$B$6+SUM('Daily Sale entry '!$J$2:J320)-SUMIFS('Daily Sale entry '!$AC$2:$AC$1501,'Daily Sale entry '!$X$2:$X$1501,"&lt;="&amp;$A320,'Daily Sale entry '!$Z$2:$Z$1501,"Cheque deposit 支票存入")-SUMPRODUCT(('Daily Sale entry '!$Q$2:$Q$1501="Collection 收款")*('Daily Sale entry '!$R$2:$R$1501="Cheque 支票")*('Daily Sale entry '!$V$2:$V$1501&lt;&gt;"")*('Daily Sale entry '!$V$2:$V$1501&lt;=$A320)*('Daily Sale entry '!$S$2:$S$1501-'Opening Balance'!$B$15*('Daily Sale entry '!$R$2:$R$1501="Cheque 支票")*('Daily Sale entry '!$S$2:$S$1501-TRUNC('Daily Sale entry '!$S$2:$S$1501)))),2))</f>
        <v/>
      </c>
      <c r="E320" s="6">
        <f>IF($A320="","",'Opening Balance'!$B$7)</f>
        <v/>
      </c>
      <c r="F320" s="6">
        <f>IF($A320="","",ROUND(SUMIFS('Daily Sale entry '!$L$2:$L$367,'Daily Sale entry '!$A$2:$A$367,"&gt;="&amp;DATE(YEAR($A320),MONTH($A320),1),'Daily Sale entry '!$A$2:$A$367,"&lt;="&amp;$A320)+SUMIFS('Daily Sale entry '!$M$2:$M$367,'Daily Sale entry '!$A$2:$A$367,"&gt;="&amp;DATE(YEAR($A320),MONTH($A320),1),'Daily Sale entry '!$A$2:$A$367,"&lt;="&amp;$A320)+IF(AND(YEAR($A320)=YEAR('Daily Sale entry '!$A$2),MONTH($A320)=MONTH('Daily Sale entry '!$A$2)),'Opening Balance'!$B$8,0),2))</f>
        <v/>
      </c>
      <c r="G320" s="6">
        <f>IF($A320="","",MOD(ROUND('Opening Balance'!$B$9+SUMIFS('Sales &amp; Collection'!$L$1:$L$4455,'Sales &amp; Collection'!$K$1:$K$4455,"cash collection*"),2),'Opening Balance'!$B$11))</f>
        <v/>
      </c>
      <c r="H320" s="6">
        <f>IF($A320="","",ROUND('Opening Balance'!$B$10+'Opening Balance'!$B$9+SUMIFS('Sales &amp; Collection'!$L$1:$L$4455,'Sales &amp; Collection'!$K$1:$K$4455,"cash collection*")-G320-SUMIFS('Daily Sale entry '!$AC$2:$AC$1501,'Daily Sale entry '!$X$2:$X$1501,"&lt;="&amp;$A320,'Daily Sale entry '!$Z$2:$Z$1501,"Cash deposit 现金存入"),2))</f>
        <v/>
      </c>
      <c r="I320" s="6">
        <f>IF($A320="","",ROUND(B320+D320+E320+F320+G320+H320,2))</f>
        <v/>
      </c>
      <c r="J320" s="6">
        <f>IF($A320="","",'AR &amp; AP'!K321)</f>
        <v/>
      </c>
      <c r="K320" s="6">
        <f>IF($A320="","",ROUND(I320-J320-SUMIFS('Daily Sale entry '!$AC$2:$AC$1501,'Daily Sale entry '!$X$2:$X$1501,"&lt;="&amp;$A320,'Daily Sale entry '!$Z$2:$Z$1501,"Other deposit 其他存入")+SUMIFS('Daily Sale entry '!$AD$2:$AD$1501,'Daily Sale entry '!$X$2:$X$1501,"&lt;="&amp;$A320)+('Opening Balance'!$B$8+SUM('Daily Sale entry '!$L$2:M320)-F320),2))</f>
        <v/>
      </c>
      <c r="L320">
        <f>IF($A320="","",IF(ABS('Sales &amp; Collection'!$B$4464)&gt;'Opening Balance'!$B$16,"ALERT 警报: Different "&amp;TEXT('Sales &amp; Collection'!$B$4464,"#,##0.00")&amp;" 差额过大",""))</f>
        <v/>
      </c>
    </row>
    <row r="321">
      <c r="A321" s="5">
        <f>IF('Daily Sale entry '!A321="","",'Daily Sale entry '!A321)</f>
        <v/>
      </c>
      <c r="B321" s="6">
        <f>IF($A321="","",ROUND('Opening Balance'!$B$4+SUM('Daily Sale entry '!$K$2:K321)+SUMIFS('Daily Sale entry '!$AC$2:$AC$1501,'Daily Sale entry '!$X$2:$X$1501,"&lt;="&amp;$A321)-SUMIFS('Daily Sale entry '!$AD$2:$AD$1501,'Daily Sale entry '!$X$2:$X$1501,"&lt;="&amp;$A321)+SUMPRODUCT(('Daily Sale entry '!$Q$2:$Q$1501="Collection 收款")*('Daily Sale entry '!$R$2:$R$1501="Cheque 支票")*('Daily Sale entry '!$V$2:$V$1501&lt;&gt;"")*('Daily Sale entry '!$V$2:$V$1501&lt;=$A321)*('Daily Sale entry '!$S$2:$S$1501-'Opening Balance'!$B$15*('Daily Sale entry '!$R$2:$R$1501="Cheque 支票")*('Daily Sale entry '!$S$2:$S$1501-TRUNC('Daily Sale entry '!$S$2:$S$1501))))-'Opening Balance'!$B$15*SUMPRODUCT(('Daily Sale entry '!$X$2:$X$1501&lt;=$A321)*('Daily Sale entry '!$Z$2:$Z$1501="Online collection 网上收款")*('Daily Sale entry '!$AA$2:$AA$1501&lt;&gt;"")*('Daily Sale entry '!$AC$2:$AC$1501-TRUNC('Daily Sale entry '!$AC$2:$AC$1501))),2))</f>
        <v/>
      </c>
      <c r="C321" s="8">
        <f>IF($A321="","",'Opening Balance'!$B$5+SUM('Daily Sale entry '!$I$2:I321)-SUMIFS('Daily Sale entry '!$AB$2:$AB$1501,'Daily Sale entry '!$X$2:$X$1501,"&lt;="&amp;$A321,'Daily Sale entry '!$Z$2:$Z$1501,"Cheque deposit 支票存入")-COUNTIFS('Daily Sale entry '!$Q$2:$Q$1501,"Collection 收款",'Daily Sale entry '!$R$2:$R$1501,"Cheque 支票",'Daily Sale entry '!$V$2:$V$1501,"&lt;="&amp;$A321))</f>
        <v/>
      </c>
      <c r="D321" s="6">
        <f>IF($A321="","",ROUND('Opening Balance'!$B$6+SUM('Daily Sale entry '!$J$2:J321)-SUMIFS('Daily Sale entry '!$AC$2:$AC$1501,'Daily Sale entry '!$X$2:$X$1501,"&lt;="&amp;$A321,'Daily Sale entry '!$Z$2:$Z$1501,"Cheque deposit 支票存入")-SUMPRODUCT(('Daily Sale entry '!$Q$2:$Q$1501="Collection 收款")*('Daily Sale entry '!$R$2:$R$1501="Cheque 支票")*('Daily Sale entry '!$V$2:$V$1501&lt;&gt;"")*('Daily Sale entry '!$V$2:$V$1501&lt;=$A321)*('Daily Sale entry '!$S$2:$S$1501-'Opening Balance'!$B$15*('Daily Sale entry '!$R$2:$R$1501="Cheque 支票")*('Daily Sale entry '!$S$2:$S$1501-TRUNC('Daily Sale entry '!$S$2:$S$1501)))),2))</f>
        <v/>
      </c>
      <c r="E321" s="6">
        <f>IF($A321="","",'Opening Balance'!$B$7)</f>
        <v/>
      </c>
      <c r="F321" s="6">
        <f>IF($A321="","",ROUND(SUMIFS('Daily Sale entry '!$L$2:$L$367,'Daily Sale entry '!$A$2:$A$367,"&gt;="&amp;DATE(YEAR($A321),MONTH($A321),1),'Daily Sale entry '!$A$2:$A$367,"&lt;="&amp;$A321)+SUMIFS('Daily Sale entry '!$M$2:$M$367,'Daily Sale entry '!$A$2:$A$367,"&gt;="&amp;DATE(YEAR($A321),MONTH($A321),1),'Daily Sale entry '!$A$2:$A$367,"&lt;="&amp;$A321)+IF(AND(YEAR($A321)=YEAR('Daily Sale entry '!$A$2),MONTH($A321)=MONTH('Daily Sale entry '!$A$2)),'Opening Balance'!$B$8,0),2))</f>
        <v/>
      </c>
      <c r="G321" s="6">
        <f>IF($A321="","",MOD(ROUND('Opening Balance'!$B$9+SUMIFS('Sales &amp; Collection'!$L$1:$L$4469,'Sales &amp; Collection'!$K$1:$K$4469,"cash collection*"),2),'Opening Balance'!$B$11))</f>
        <v/>
      </c>
      <c r="H321" s="6">
        <f>IF($A321="","",ROUND('Opening Balance'!$B$10+'Opening Balance'!$B$9+SUMIFS('Sales &amp; Collection'!$L$1:$L$4469,'Sales &amp; Collection'!$K$1:$K$4469,"cash collection*")-G321-SUMIFS('Daily Sale entry '!$AC$2:$AC$1501,'Daily Sale entry '!$X$2:$X$1501,"&lt;="&amp;$A321,'Daily Sale entry '!$Z$2:$Z$1501,"Cash deposit 现金存入"),2))</f>
        <v/>
      </c>
      <c r="I321" s="6">
        <f>IF($A321="","",ROUND(B321+D321+E321+F321+G321+H321,2))</f>
        <v/>
      </c>
      <c r="J321" s="6">
        <f>IF($A321="","",'AR &amp; AP'!K322)</f>
        <v/>
      </c>
      <c r="K321" s="6">
        <f>IF($A321="","",ROUND(I321-J321-SUMIFS('Daily Sale entry '!$AC$2:$AC$1501,'Daily Sale entry '!$X$2:$X$1501,"&lt;="&amp;$A321,'Daily Sale entry '!$Z$2:$Z$1501,"Other deposit 其他存入")+SUMIFS('Daily Sale entry '!$AD$2:$AD$1501,'Daily Sale entry '!$X$2:$X$1501,"&lt;="&amp;$A321)+('Opening Balance'!$B$8+SUM('Daily Sale entry '!$L$2:M321)-F321),2))</f>
        <v/>
      </c>
      <c r="L321">
        <f>IF($A321="","",IF(ABS('Sales &amp; Collection'!$B$4478)&gt;'Opening Balance'!$B$16,"ALERT 警报: Different "&amp;TEXT('Sales &amp; Collection'!$B$4478,"#,##0.00")&amp;" 差额过大",""))</f>
        <v/>
      </c>
    </row>
    <row r="322">
      <c r="A322" s="5">
        <f>IF('Daily Sale entry '!A322="","",'Daily Sale entry '!A322)</f>
        <v/>
      </c>
      <c r="B322" s="6">
        <f>IF($A322="","",ROUND('Opening Balance'!$B$4+SUM('Daily Sale entry '!$K$2:K322)+SUMIFS('Daily Sale entry '!$AC$2:$AC$1501,'Daily Sale entry '!$X$2:$X$1501,"&lt;="&amp;$A322)-SUMIFS('Daily Sale entry '!$AD$2:$AD$1501,'Daily Sale entry '!$X$2:$X$1501,"&lt;="&amp;$A322)+SUMPRODUCT(('Daily Sale entry '!$Q$2:$Q$1501="Collection 收款")*('Daily Sale entry '!$R$2:$R$1501="Cheque 支票")*('Daily Sale entry '!$V$2:$V$1501&lt;&gt;"")*('Daily Sale entry '!$V$2:$V$1501&lt;=$A322)*('Daily Sale entry '!$S$2:$S$1501-'Opening Balance'!$B$15*('Daily Sale entry '!$R$2:$R$1501="Cheque 支票")*('Daily Sale entry '!$S$2:$S$1501-TRUNC('Daily Sale entry '!$S$2:$S$1501))))-'Opening Balance'!$B$15*SUMPRODUCT(('Daily Sale entry '!$X$2:$X$1501&lt;=$A322)*('Daily Sale entry '!$Z$2:$Z$1501="Online collection 网上收款")*('Daily Sale entry '!$AA$2:$AA$1501&lt;&gt;"")*('Daily Sale entry '!$AC$2:$AC$1501-TRUNC('Daily Sale entry '!$AC$2:$AC$1501))),2))</f>
        <v/>
      </c>
      <c r="C322" s="8">
        <f>IF($A322="","",'Opening Balance'!$B$5+SUM('Daily Sale entry '!$I$2:I322)-SUMIFS('Daily Sale entry '!$AB$2:$AB$1501,'Daily Sale entry '!$X$2:$X$1501,"&lt;="&amp;$A322,'Daily Sale entry '!$Z$2:$Z$1501,"Cheque deposit 支票存入")-COUNTIFS('Daily Sale entry '!$Q$2:$Q$1501,"Collection 收款",'Daily Sale entry '!$R$2:$R$1501,"Cheque 支票",'Daily Sale entry '!$V$2:$V$1501,"&lt;="&amp;$A322))</f>
        <v/>
      </c>
      <c r="D322" s="6">
        <f>IF($A322="","",ROUND('Opening Balance'!$B$6+SUM('Daily Sale entry '!$J$2:J322)-SUMIFS('Daily Sale entry '!$AC$2:$AC$1501,'Daily Sale entry '!$X$2:$X$1501,"&lt;="&amp;$A322,'Daily Sale entry '!$Z$2:$Z$1501,"Cheque deposit 支票存入")-SUMPRODUCT(('Daily Sale entry '!$Q$2:$Q$1501="Collection 收款")*('Daily Sale entry '!$R$2:$R$1501="Cheque 支票")*('Daily Sale entry '!$V$2:$V$1501&lt;&gt;"")*('Daily Sale entry '!$V$2:$V$1501&lt;=$A322)*('Daily Sale entry '!$S$2:$S$1501-'Opening Balance'!$B$15*('Daily Sale entry '!$R$2:$R$1501="Cheque 支票")*('Daily Sale entry '!$S$2:$S$1501-TRUNC('Daily Sale entry '!$S$2:$S$1501)))),2))</f>
        <v/>
      </c>
      <c r="E322" s="6">
        <f>IF($A322="","",'Opening Balance'!$B$7)</f>
        <v/>
      </c>
      <c r="F322" s="6">
        <f>IF($A322="","",ROUND(SUMIFS('Daily Sale entry '!$L$2:$L$367,'Daily Sale entry '!$A$2:$A$367,"&gt;="&amp;DATE(YEAR($A322),MONTH($A322),1),'Daily Sale entry '!$A$2:$A$367,"&lt;="&amp;$A322)+SUMIFS('Daily Sale entry '!$M$2:$M$367,'Daily Sale entry '!$A$2:$A$367,"&gt;="&amp;DATE(YEAR($A322),MONTH($A322),1),'Daily Sale entry '!$A$2:$A$367,"&lt;="&amp;$A322)+IF(AND(YEAR($A322)=YEAR('Daily Sale entry '!$A$2),MONTH($A322)=MONTH('Daily Sale entry '!$A$2)),'Opening Balance'!$B$8,0),2))</f>
        <v/>
      </c>
      <c r="G322" s="6">
        <f>IF($A322="","",MOD(ROUND('Opening Balance'!$B$9+SUMIFS('Sales &amp; Collection'!$L$1:$L$4483,'Sales &amp; Collection'!$K$1:$K$4483,"cash collection*"),2),'Opening Balance'!$B$11))</f>
        <v/>
      </c>
      <c r="H322" s="6">
        <f>IF($A322="","",ROUND('Opening Balance'!$B$10+'Opening Balance'!$B$9+SUMIFS('Sales &amp; Collection'!$L$1:$L$4483,'Sales &amp; Collection'!$K$1:$K$4483,"cash collection*")-G322-SUMIFS('Daily Sale entry '!$AC$2:$AC$1501,'Daily Sale entry '!$X$2:$X$1501,"&lt;="&amp;$A322,'Daily Sale entry '!$Z$2:$Z$1501,"Cash deposit 现金存入"),2))</f>
        <v/>
      </c>
      <c r="I322" s="6">
        <f>IF($A322="","",ROUND(B322+D322+E322+F322+G322+H322,2))</f>
        <v/>
      </c>
      <c r="J322" s="6">
        <f>IF($A322="","",'AR &amp; AP'!K323)</f>
        <v/>
      </c>
      <c r="K322" s="6">
        <f>IF($A322="","",ROUND(I322-J322-SUMIFS('Daily Sale entry '!$AC$2:$AC$1501,'Daily Sale entry '!$X$2:$X$1501,"&lt;="&amp;$A322,'Daily Sale entry '!$Z$2:$Z$1501,"Other deposit 其他存入")+SUMIFS('Daily Sale entry '!$AD$2:$AD$1501,'Daily Sale entry '!$X$2:$X$1501,"&lt;="&amp;$A322)+('Opening Balance'!$B$8+SUM('Daily Sale entry '!$L$2:M322)-F322),2))</f>
        <v/>
      </c>
      <c r="L322">
        <f>IF($A322="","",IF(ABS('Sales &amp; Collection'!$B$4492)&gt;'Opening Balance'!$B$16,"ALERT 警报: Different "&amp;TEXT('Sales &amp; Collection'!$B$4492,"#,##0.00")&amp;" 差额过大",""))</f>
        <v/>
      </c>
    </row>
    <row r="323">
      <c r="A323" s="5">
        <f>IF('Daily Sale entry '!A323="","",'Daily Sale entry '!A323)</f>
        <v/>
      </c>
      <c r="B323" s="6">
        <f>IF($A323="","",ROUND('Opening Balance'!$B$4+SUM('Daily Sale entry '!$K$2:K323)+SUMIFS('Daily Sale entry '!$AC$2:$AC$1501,'Daily Sale entry '!$X$2:$X$1501,"&lt;="&amp;$A323)-SUMIFS('Daily Sale entry '!$AD$2:$AD$1501,'Daily Sale entry '!$X$2:$X$1501,"&lt;="&amp;$A323)+SUMPRODUCT(('Daily Sale entry '!$Q$2:$Q$1501="Collection 收款")*('Daily Sale entry '!$R$2:$R$1501="Cheque 支票")*('Daily Sale entry '!$V$2:$V$1501&lt;&gt;"")*('Daily Sale entry '!$V$2:$V$1501&lt;=$A323)*('Daily Sale entry '!$S$2:$S$1501-'Opening Balance'!$B$15*('Daily Sale entry '!$R$2:$R$1501="Cheque 支票")*('Daily Sale entry '!$S$2:$S$1501-TRUNC('Daily Sale entry '!$S$2:$S$1501))))-'Opening Balance'!$B$15*SUMPRODUCT(('Daily Sale entry '!$X$2:$X$1501&lt;=$A323)*('Daily Sale entry '!$Z$2:$Z$1501="Online collection 网上收款")*('Daily Sale entry '!$AA$2:$AA$1501&lt;&gt;"")*('Daily Sale entry '!$AC$2:$AC$1501-TRUNC('Daily Sale entry '!$AC$2:$AC$1501))),2))</f>
        <v/>
      </c>
      <c r="C323" s="8">
        <f>IF($A323="","",'Opening Balance'!$B$5+SUM('Daily Sale entry '!$I$2:I323)-SUMIFS('Daily Sale entry '!$AB$2:$AB$1501,'Daily Sale entry '!$X$2:$X$1501,"&lt;="&amp;$A323,'Daily Sale entry '!$Z$2:$Z$1501,"Cheque deposit 支票存入")-COUNTIFS('Daily Sale entry '!$Q$2:$Q$1501,"Collection 收款",'Daily Sale entry '!$R$2:$R$1501,"Cheque 支票",'Daily Sale entry '!$V$2:$V$1501,"&lt;="&amp;$A323))</f>
        <v/>
      </c>
      <c r="D323" s="6">
        <f>IF($A323="","",ROUND('Opening Balance'!$B$6+SUM('Daily Sale entry '!$J$2:J323)-SUMIFS('Daily Sale entry '!$AC$2:$AC$1501,'Daily Sale entry '!$X$2:$X$1501,"&lt;="&amp;$A323,'Daily Sale entry '!$Z$2:$Z$1501,"Cheque deposit 支票存入")-SUMPRODUCT(('Daily Sale entry '!$Q$2:$Q$1501="Collection 收款")*('Daily Sale entry '!$R$2:$R$1501="Cheque 支票")*('Daily Sale entry '!$V$2:$V$1501&lt;&gt;"")*('Daily Sale entry '!$V$2:$V$1501&lt;=$A323)*('Daily Sale entry '!$S$2:$S$1501-'Opening Balance'!$B$15*('Daily Sale entry '!$R$2:$R$1501="Cheque 支票")*('Daily Sale entry '!$S$2:$S$1501-TRUNC('Daily Sale entry '!$S$2:$S$1501)))),2))</f>
        <v/>
      </c>
      <c r="E323" s="6">
        <f>IF($A323="","",'Opening Balance'!$B$7)</f>
        <v/>
      </c>
      <c r="F323" s="6">
        <f>IF($A323="","",ROUND(SUMIFS('Daily Sale entry '!$L$2:$L$367,'Daily Sale entry '!$A$2:$A$367,"&gt;="&amp;DATE(YEAR($A323),MONTH($A323),1),'Daily Sale entry '!$A$2:$A$367,"&lt;="&amp;$A323)+SUMIFS('Daily Sale entry '!$M$2:$M$367,'Daily Sale entry '!$A$2:$A$367,"&gt;="&amp;DATE(YEAR($A323),MONTH($A323),1),'Daily Sale entry '!$A$2:$A$367,"&lt;="&amp;$A323)+IF(AND(YEAR($A323)=YEAR('Daily Sale entry '!$A$2),MONTH($A323)=MONTH('Daily Sale entry '!$A$2)),'Opening Balance'!$B$8,0),2))</f>
        <v/>
      </c>
      <c r="G323" s="6">
        <f>IF($A323="","",MOD(ROUND('Opening Balance'!$B$9+SUMIFS('Sales &amp; Collection'!$L$1:$L$4497,'Sales &amp; Collection'!$K$1:$K$4497,"cash collection*"),2),'Opening Balance'!$B$11))</f>
        <v/>
      </c>
      <c r="H323" s="6">
        <f>IF($A323="","",ROUND('Opening Balance'!$B$10+'Opening Balance'!$B$9+SUMIFS('Sales &amp; Collection'!$L$1:$L$4497,'Sales &amp; Collection'!$K$1:$K$4497,"cash collection*")-G323-SUMIFS('Daily Sale entry '!$AC$2:$AC$1501,'Daily Sale entry '!$X$2:$X$1501,"&lt;="&amp;$A323,'Daily Sale entry '!$Z$2:$Z$1501,"Cash deposit 现金存入"),2))</f>
        <v/>
      </c>
      <c r="I323" s="6">
        <f>IF($A323="","",ROUND(B323+D323+E323+F323+G323+H323,2))</f>
        <v/>
      </c>
      <c r="J323" s="6">
        <f>IF($A323="","",'AR &amp; AP'!K324)</f>
        <v/>
      </c>
      <c r="K323" s="6">
        <f>IF($A323="","",ROUND(I323-J323-SUMIFS('Daily Sale entry '!$AC$2:$AC$1501,'Daily Sale entry '!$X$2:$X$1501,"&lt;="&amp;$A323,'Daily Sale entry '!$Z$2:$Z$1501,"Other deposit 其他存入")+SUMIFS('Daily Sale entry '!$AD$2:$AD$1501,'Daily Sale entry '!$X$2:$X$1501,"&lt;="&amp;$A323)+('Opening Balance'!$B$8+SUM('Daily Sale entry '!$L$2:M323)-F323),2))</f>
        <v/>
      </c>
      <c r="L323">
        <f>IF($A323="","",IF(ABS('Sales &amp; Collection'!$B$4506)&gt;'Opening Balance'!$B$16,"ALERT 警报: Different "&amp;TEXT('Sales &amp; Collection'!$B$4506,"#,##0.00")&amp;" 差额过大",""))</f>
        <v/>
      </c>
    </row>
    <row r="324">
      <c r="A324" s="5">
        <f>IF('Daily Sale entry '!A324="","",'Daily Sale entry '!A324)</f>
        <v/>
      </c>
      <c r="B324" s="6">
        <f>IF($A324="","",ROUND('Opening Balance'!$B$4+SUM('Daily Sale entry '!$K$2:K324)+SUMIFS('Daily Sale entry '!$AC$2:$AC$1501,'Daily Sale entry '!$X$2:$X$1501,"&lt;="&amp;$A324)-SUMIFS('Daily Sale entry '!$AD$2:$AD$1501,'Daily Sale entry '!$X$2:$X$1501,"&lt;="&amp;$A324)+SUMPRODUCT(('Daily Sale entry '!$Q$2:$Q$1501="Collection 收款")*('Daily Sale entry '!$R$2:$R$1501="Cheque 支票")*('Daily Sale entry '!$V$2:$V$1501&lt;&gt;"")*('Daily Sale entry '!$V$2:$V$1501&lt;=$A324)*('Daily Sale entry '!$S$2:$S$1501-'Opening Balance'!$B$15*('Daily Sale entry '!$R$2:$R$1501="Cheque 支票")*('Daily Sale entry '!$S$2:$S$1501-TRUNC('Daily Sale entry '!$S$2:$S$1501))))-'Opening Balance'!$B$15*SUMPRODUCT(('Daily Sale entry '!$X$2:$X$1501&lt;=$A324)*('Daily Sale entry '!$Z$2:$Z$1501="Online collection 网上收款")*('Daily Sale entry '!$AA$2:$AA$1501&lt;&gt;"")*('Daily Sale entry '!$AC$2:$AC$1501-TRUNC('Daily Sale entry '!$AC$2:$AC$1501))),2))</f>
        <v/>
      </c>
      <c r="C324" s="8">
        <f>IF($A324="","",'Opening Balance'!$B$5+SUM('Daily Sale entry '!$I$2:I324)-SUMIFS('Daily Sale entry '!$AB$2:$AB$1501,'Daily Sale entry '!$X$2:$X$1501,"&lt;="&amp;$A324,'Daily Sale entry '!$Z$2:$Z$1501,"Cheque deposit 支票存入")-COUNTIFS('Daily Sale entry '!$Q$2:$Q$1501,"Collection 收款",'Daily Sale entry '!$R$2:$R$1501,"Cheque 支票",'Daily Sale entry '!$V$2:$V$1501,"&lt;="&amp;$A324))</f>
        <v/>
      </c>
      <c r="D324" s="6">
        <f>IF($A324="","",ROUND('Opening Balance'!$B$6+SUM('Daily Sale entry '!$J$2:J324)-SUMIFS('Daily Sale entry '!$AC$2:$AC$1501,'Daily Sale entry '!$X$2:$X$1501,"&lt;="&amp;$A324,'Daily Sale entry '!$Z$2:$Z$1501,"Cheque deposit 支票存入")-SUMPRODUCT(('Daily Sale entry '!$Q$2:$Q$1501="Collection 收款")*('Daily Sale entry '!$R$2:$R$1501="Cheque 支票")*('Daily Sale entry '!$V$2:$V$1501&lt;&gt;"")*('Daily Sale entry '!$V$2:$V$1501&lt;=$A324)*('Daily Sale entry '!$S$2:$S$1501-'Opening Balance'!$B$15*('Daily Sale entry '!$R$2:$R$1501="Cheque 支票")*('Daily Sale entry '!$S$2:$S$1501-TRUNC('Daily Sale entry '!$S$2:$S$1501)))),2))</f>
        <v/>
      </c>
      <c r="E324" s="6">
        <f>IF($A324="","",'Opening Balance'!$B$7)</f>
        <v/>
      </c>
      <c r="F324" s="6">
        <f>IF($A324="","",ROUND(SUMIFS('Daily Sale entry '!$L$2:$L$367,'Daily Sale entry '!$A$2:$A$367,"&gt;="&amp;DATE(YEAR($A324),MONTH($A324),1),'Daily Sale entry '!$A$2:$A$367,"&lt;="&amp;$A324)+SUMIFS('Daily Sale entry '!$M$2:$M$367,'Daily Sale entry '!$A$2:$A$367,"&gt;="&amp;DATE(YEAR($A324),MONTH($A324),1),'Daily Sale entry '!$A$2:$A$367,"&lt;="&amp;$A324)+IF(AND(YEAR($A324)=YEAR('Daily Sale entry '!$A$2),MONTH($A324)=MONTH('Daily Sale entry '!$A$2)),'Opening Balance'!$B$8,0),2))</f>
        <v/>
      </c>
      <c r="G324" s="6">
        <f>IF($A324="","",MOD(ROUND('Opening Balance'!$B$9+SUMIFS('Sales &amp; Collection'!$L$1:$L$4511,'Sales &amp; Collection'!$K$1:$K$4511,"cash collection*"),2),'Opening Balance'!$B$11))</f>
        <v/>
      </c>
      <c r="H324" s="6">
        <f>IF($A324="","",ROUND('Opening Balance'!$B$10+'Opening Balance'!$B$9+SUMIFS('Sales &amp; Collection'!$L$1:$L$4511,'Sales &amp; Collection'!$K$1:$K$4511,"cash collection*")-G324-SUMIFS('Daily Sale entry '!$AC$2:$AC$1501,'Daily Sale entry '!$X$2:$X$1501,"&lt;="&amp;$A324,'Daily Sale entry '!$Z$2:$Z$1501,"Cash deposit 现金存入"),2))</f>
        <v/>
      </c>
      <c r="I324" s="6">
        <f>IF($A324="","",ROUND(B324+D324+E324+F324+G324+H324,2))</f>
        <v/>
      </c>
      <c r="J324" s="6">
        <f>IF($A324="","",'AR &amp; AP'!K325)</f>
        <v/>
      </c>
      <c r="K324" s="6">
        <f>IF($A324="","",ROUND(I324-J324-SUMIFS('Daily Sale entry '!$AC$2:$AC$1501,'Daily Sale entry '!$X$2:$X$1501,"&lt;="&amp;$A324,'Daily Sale entry '!$Z$2:$Z$1501,"Other deposit 其他存入")+SUMIFS('Daily Sale entry '!$AD$2:$AD$1501,'Daily Sale entry '!$X$2:$X$1501,"&lt;="&amp;$A324)+('Opening Balance'!$B$8+SUM('Daily Sale entry '!$L$2:M324)-F324),2))</f>
        <v/>
      </c>
      <c r="L324">
        <f>IF($A324="","",IF(ABS('Sales &amp; Collection'!$B$4520)&gt;'Opening Balance'!$B$16,"ALERT 警报: Different "&amp;TEXT('Sales &amp; Collection'!$B$4520,"#,##0.00")&amp;" 差额过大",""))</f>
        <v/>
      </c>
    </row>
    <row r="325">
      <c r="A325" s="5">
        <f>IF('Daily Sale entry '!A325="","",'Daily Sale entry '!A325)</f>
        <v/>
      </c>
      <c r="B325" s="6">
        <f>IF($A325="","",ROUND('Opening Balance'!$B$4+SUM('Daily Sale entry '!$K$2:K325)+SUMIFS('Daily Sale entry '!$AC$2:$AC$1501,'Daily Sale entry '!$X$2:$X$1501,"&lt;="&amp;$A325)-SUMIFS('Daily Sale entry '!$AD$2:$AD$1501,'Daily Sale entry '!$X$2:$X$1501,"&lt;="&amp;$A325)+SUMPRODUCT(('Daily Sale entry '!$Q$2:$Q$1501="Collection 收款")*('Daily Sale entry '!$R$2:$R$1501="Cheque 支票")*('Daily Sale entry '!$V$2:$V$1501&lt;&gt;"")*('Daily Sale entry '!$V$2:$V$1501&lt;=$A325)*('Daily Sale entry '!$S$2:$S$1501-'Opening Balance'!$B$15*('Daily Sale entry '!$R$2:$R$1501="Cheque 支票")*('Daily Sale entry '!$S$2:$S$1501-TRUNC('Daily Sale entry '!$S$2:$S$1501))))-'Opening Balance'!$B$15*SUMPRODUCT(('Daily Sale entry '!$X$2:$X$1501&lt;=$A325)*('Daily Sale entry '!$Z$2:$Z$1501="Online collection 网上收款")*('Daily Sale entry '!$AA$2:$AA$1501&lt;&gt;"")*('Daily Sale entry '!$AC$2:$AC$1501-TRUNC('Daily Sale entry '!$AC$2:$AC$1501))),2))</f>
        <v/>
      </c>
      <c r="C325" s="8">
        <f>IF($A325="","",'Opening Balance'!$B$5+SUM('Daily Sale entry '!$I$2:I325)-SUMIFS('Daily Sale entry '!$AB$2:$AB$1501,'Daily Sale entry '!$X$2:$X$1501,"&lt;="&amp;$A325,'Daily Sale entry '!$Z$2:$Z$1501,"Cheque deposit 支票存入")-COUNTIFS('Daily Sale entry '!$Q$2:$Q$1501,"Collection 收款",'Daily Sale entry '!$R$2:$R$1501,"Cheque 支票",'Daily Sale entry '!$V$2:$V$1501,"&lt;="&amp;$A325))</f>
        <v/>
      </c>
      <c r="D325" s="6">
        <f>IF($A325="","",ROUND('Opening Balance'!$B$6+SUM('Daily Sale entry '!$J$2:J325)-SUMIFS('Daily Sale entry '!$AC$2:$AC$1501,'Daily Sale entry '!$X$2:$X$1501,"&lt;="&amp;$A325,'Daily Sale entry '!$Z$2:$Z$1501,"Cheque deposit 支票存入")-SUMPRODUCT(('Daily Sale entry '!$Q$2:$Q$1501="Collection 收款")*('Daily Sale entry '!$R$2:$R$1501="Cheque 支票")*('Daily Sale entry '!$V$2:$V$1501&lt;&gt;"")*('Daily Sale entry '!$V$2:$V$1501&lt;=$A325)*('Daily Sale entry '!$S$2:$S$1501-'Opening Balance'!$B$15*('Daily Sale entry '!$R$2:$R$1501="Cheque 支票")*('Daily Sale entry '!$S$2:$S$1501-TRUNC('Daily Sale entry '!$S$2:$S$1501)))),2))</f>
        <v/>
      </c>
      <c r="E325" s="6">
        <f>IF($A325="","",'Opening Balance'!$B$7)</f>
        <v/>
      </c>
      <c r="F325" s="6">
        <f>IF($A325="","",ROUND(SUMIFS('Daily Sale entry '!$L$2:$L$367,'Daily Sale entry '!$A$2:$A$367,"&gt;="&amp;DATE(YEAR($A325),MONTH($A325),1),'Daily Sale entry '!$A$2:$A$367,"&lt;="&amp;$A325)+SUMIFS('Daily Sale entry '!$M$2:$M$367,'Daily Sale entry '!$A$2:$A$367,"&gt;="&amp;DATE(YEAR($A325),MONTH($A325),1),'Daily Sale entry '!$A$2:$A$367,"&lt;="&amp;$A325)+IF(AND(YEAR($A325)=YEAR('Daily Sale entry '!$A$2),MONTH($A325)=MONTH('Daily Sale entry '!$A$2)),'Opening Balance'!$B$8,0),2))</f>
        <v/>
      </c>
      <c r="G325" s="6">
        <f>IF($A325="","",MOD(ROUND('Opening Balance'!$B$9+SUMIFS('Sales &amp; Collection'!$L$1:$L$4525,'Sales &amp; Collection'!$K$1:$K$4525,"cash collection*"),2),'Opening Balance'!$B$11))</f>
        <v/>
      </c>
      <c r="H325" s="6">
        <f>IF($A325="","",ROUND('Opening Balance'!$B$10+'Opening Balance'!$B$9+SUMIFS('Sales &amp; Collection'!$L$1:$L$4525,'Sales &amp; Collection'!$K$1:$K$4525,"cash collection*")-G325-SUMIFS('Daily Sale entry '!$AC$2:$AC$1501,'Daily Sale entry '!$X$2:$X$1501,"&lt;="&amp;$A325,'Daily Sale entry '!$Z$2:$Z$1501,"Cash deposit 现金存入"),2))</f>
        <v/>
      </c>
      <c r="I325" s="6">
        <f>IF($A325="","",ROUND(B325+D325+E325+F325+G325+H325,2))</f>
        <v/>
      </c>
      <c r="J325" s="6">
        <f>IF($A325="","",'AR &amp; AP'!K326)</f>
        <v/>
      </c>
      <c r="K325" s="6">
        <f>IF($A325="","",ROUND(I325-J325-SUMIFS('Daily Sale entry '!$AC$2:$AC$1501,'Daily Sale entry '!$X$2:$X$1501,"&lt;="&amp;$A325,'Daily Sale entry '!$Z$2:$Z$1501,"Other deposit 其他存入")+SUMIFS('Daily Sale entry '!$AD$2:$AD$1501,'Daily Sale entry '!$X$2:$X$1501,"&lt;="&amp;$A325)+('Opening Balance'!$B$8+SUM('Daily Sale entry '!$L$2:M325)-F325),2))</f>
        <v/>
      </c>
      <c r="L325">
        <f>IF($A325="","",IF(ABS('Sales &amp; Collection'!$B$4534)&gt;'Opening Balance'!$B$16,"ALERT 警报: Different "&amp;TEXT('Sales &amp; Collection'!$B$4534,"#,##0.00")&amp;" 差额过大",""))</f>
        <v/>
      </c>
    </row>
    <row r="326">
      <c r="A326" s="5">
        <f>IF('Daily Sale entry '!A326="","",'Daily Sale entry '!A326)</f>
        <v/>
      </c>
      <c r="B326" s="6">
        <f>IF($A326="","",ROUND('Opening Balance'!$B$4+SUM('Daily Sale entry '!$K$2:K326)+SUMIFS('Daily Sale entry '!$AC$2:$AC$1501,'Daily Sale entry '!$X$2:$X$1501,"&lt;="&amp;$A326)-SUMIFS('Daily Sale entry '!$AD$2:$AD$1501,'Daily Sale entry '!$X$2:$X$1501,"&lt;="&amp;$A326)+SUMPRODUCT(('Daily Sale entry '!$Q$2:$Q$1501="Collection 收款")*('Daily Sale entry '!$R$2:$R$1501="Cheque 支票")*('Daily Sale entry '!$V$2:$V$1501&lt;&gt;"")*('Daily Sale entry '!$V$2:$V$1501&lt;=$A326)*('Daily Sale entry '!$S$2:$S$1501-'Opening Balance'!$B$15*('Daily Sale entry '!$R$2:$R$1501="Cheque 支票")*('Daily Sale entry '!$S$2:$S$1501-TRUNC('Daily Sale entry '!$S$2:$S$1501))))-'Opening Balance'!$B$15*SUMPRODUCT(('Daily Sale entry '!$X$2:$X$1501&lt;=$A326)*('Daily Sale entry '!$Z$2:$Z$1501="Online collection 网上收款")*('Daily Sale entry '!$AA$2:$AA$1501&lt;&gt;"")*('Daily Sale entry '!$AC$2:$AC$1501-TRUNC('Daily Sale entry '!$AC$2:$AC$1501))),2))</f>
        <v/>
      </c>
      <c r="C326" s="8">
        <f>IF($A326="","",'Opening Balance'!$B$5+SUM('Daily Sale entry '!$I$2:I326)-SUMIFS('Daily Sale entry '!$AB$2:$AB$1501,'Daily Sale entry '!$X$2:$X$1501,"&lt;="&amp;$A326,'Daily Sale entry '!$Z$2:$Z$1501,"Cheque deposit 支票存入")-COUNTIFS('Daily Sale entry '!$Q$2:$Q$1501,"Collection 收款",'Daily Sale entry '!$R$2:$R$1501,"Cheque 支票",'Daily Sale entry '!$V$2:$V$1501,"&lt;="&amp;$A326))</f>
        <v/>
      </c>
      <c r="D326" s="6">
        <f>IF($A326="","",ROUND('Opening Balance'!$B$6+SUM('Daily Sale entry '!$J$2:J326)-SUMIFS('Daily Sale entry '!$AC$2:$AC$1501,'Daily Sale entry '!$X$2:$X$1501,"&lt;="&amp;$A326,'Daily Sale entry '!$Z$2:$Z$1501,"Cheque deposit 支票存入")-SUMPRODUCT(('Daily Sale entry '!$Q$2:$Q$1501="Collection 收款")*('Daily Sale entry '!$R$2:$R$1501="Cheque 支票")*('Daily Sale entry '!$V$2:$V$1501&lt;&gt;"")*('Daily Sale entry '!$V$2:$V$1501&lt;=$A326)*('Daily Sale entry '!$S$2:$S$1501-'Opening Balance'!$B$15*('Daily Sale entry '!$R$2:$R$1501="Cheque 支票")*('Daily Sale entry '!$S$2:$S$1501-TRUNC('Daily Sale entry '!$S$2:$S$1501)))),2))</f>
        <v/>
      </c>
      <c r="E326" s="6">
        <f>IF($A326="","",'Opening Balance'!$B$7)</f>
        <v/>
      </c>
      <c r="F326" s="6">
        <f>IF($A326="","",ROUND(SUMIFS('Daily Sale entry '!$L$2:$L$367,'Daily Sale entry '!$A$2:$A$367,"&gt;="&amp;DATE(YEAR($A326),MONTH($A326),1),'Daily Sale entry '!$A$2:$A$367,"&lt;="&amp;$A326)+SUMIFS('Daily Sale entry '!$M$2:$M$367,'Daily Sale entry '!$A$2:$A$367,"&gt;="&amp;DATE(YEAR($A326),MONTH($A326),1),'Daily Sale entry '!$A$2:$A$367,"&lt;="&amp;$A326)+IF(AND(YEAR($A326)=YEAR('Daily Sale entry '!$A$2),MONTH($A326)=MONTH('Daily Sale entry '!$A$2)),'Opening Balance'!$B$8,0),2))</f>
        <v/>
      </c>
      <c r="G326" s="6">
        <f>IF($A326="","",MOD(ROUND('Opening Balance'!$B$9+SUMIFS('Sales &amp; Collection'!$L$1:$L$4539,'Sales &amp; Collection'!$K$1:$K$4539,"cash collection*"),2),'Opening Balance'!$B$11))</f>
        <v/>
      </c>
      <c r="H326" s="6">
        <f>IF($A326="","",ROUND('Opening Balance'!$B$10+'Opening Balance'!$B$9+SUMIFS('Sales &amp; Collection'!$L$1:$L$4539,'Sales &amp; Collection'!$K$1:$K$4539,"cash collection*")-G326-SUMIFS('Daily Sale entry '!$AC$2:$AC$1501,'Daily Sale entry '!$X$2:$X$1501,"&lt;="&amp;$A326,'Daily Sale entry '!$Z$2:$Z$1501,"Cash deposit 现金存入"),2))</f>
        <v/>
      </c>
      <c r="I326" s="6">
        <f>IF($A326="","",ROUND(B326+D326+E326+F326+G326+H326,2))</f>
        <v/>
      </c>
      <c r="J326" s="6">
        <f>IF($A326="","",'AR &amp; AP'!K327)</f>
        <v/>
      </c>
      <c r="K326" s="6">
        <f>IF($A326="","",ROUND(I326-J326-SUMIFS('Daily Sale entry '!$AC$2:$AC$1501,'Daily Sale entry '!$X$2:$X$1501,"&lt;="&amp;$A326,'Daily Sale entry '!$Z$2:$Z$1501,"Other deposit 其他存入")+SUMIFS('Daily Sale entry '!$AD$2:$AD$1501,'Daily Sale entry '!$X$2:$X$1501,"&lt;="&amp;$A326)+('Opening Balance'!$B$8+SUM('Daily Sale entry '!$L$2:M326)-F326),2))</f>
        <v/>
      </c>
      <c r="L326">
        <f>IF($A326="","",IF(ABS('Sales &amp; Collection'!$B$4548)&gt;'Opening Balance'!$B$16,"ALERT 警报: Different "&amp;TEXT('Sales &amp; Collection'!$B$4548,"#,##0.00")&amp;" 差额过大",""))</f>
        <v/>
      </c>
    </row>
    <row r="327">
      <c r="A327" s="5">
        <f>IF('Daily Sale entry '!A327="","",'Daily Sale entry '!A327)</f>
        <v/>
      </c>
      <c r="B327" s="6">
        <f>IF($A327="","",ROUND('Opening Balance'!$B$4+SUM('Daily Sale entry '!$K$2:K327)+SUMIFS('Daily Sale entry '!$AC$2:$AC$1501,'Daily Sale entry '!$X$2:$X$1501,"&lt;="&amp;$A327)-SUMIFS('Daily Sale entry '!$AD$2:$AD$1501,'Daily Sale entry '!$X$2:$X$1501,"&lt;="&amp;$A327)+SUMPRODUCT(('Daily Sale entry '!$Q$2:$Q$1501="Collection 收款")*('Daily Sale entry '!$R$2:$R$1501="Cheque 支票")*('Daily Sale entry '!$V$2:$V$1501&lt;&gt;"")*('Daily Sale entry '!$V$2:$V$1501&lt;=$A327)*('Daily Sale entry '!$S$2:$S$1501-'Opening Balance'!$B$15*('Daily Sale entry '!$R$2:$R$1501="Cheque 支票")*('Daily Sale entry '!$S$2:$S$1501-TRUNC('Daily Sale entry '!$S$2:$S$1501))))-'Opening Balance'!$B$15*SUMPRODUCT(('Daily Sale entry '!$X$2:$X$1501&lt;=$A327)*('Daily Sale entry '!$Z$2:$Z$1501="Online collection 网上收款")*('Daily Sale entry '!$AA$2:$AA$1501&lt;&gt;"")*('Daily Sale entry '!$AC$2:$AC$1501-TRUNC('Daily Sale entry '!$AC$2:$AC$1501))),2))</f>
        <v/>
      </c>
      <c r="C327" s="8">
        <f>IF($A327="","",'Opening Balance'!$B$5+SUM('Daily Sale entry '!$I$2:I327)-SUMIFS('Daily Sale entry '!$AB$2:$AB$1501,'Daily Sale entry '!$X$2:$X$1501,"&lt;="&amp;$A327,'Daily Sale entry '!$Z$2:$Z$1501,"Cheque deposit 支票存入")-COUNTIFS('Daily Sale entry '!$Q$2:$Q$1501,"Collection 收款",'Daily Sale entry '!$R$2:$R$1501,"Cheque 支票",'Daily Sale entry '!$V$2:$V$1501,"&lt;="&amp;$A327))</f>
        <v/>
      </c>
      <c r="D327" s="6">
        <f>IF($A327="","",ROUND('Opening Balance'!$B$6+SUM('Daily Sale entry '!$J$2:J327)-SUMIFS('Daily Sale entry '!$AC$2:$AC$1501,'Daily Sale entry '!$X$2:$X$1501,"&lt;="&amp;$A327,'Daily Sale entry '!$Z$2:$Z$1501,"Cheque deposit 支票存入")-SUMPRODUCT(('Daily Sale entry '!$Q$2:$Q$1501="Collection 收款")*('Daily Sale entry '!$R$2:$R$1501="Cheque 支票")*('Daily Sale entry '!$V$2:$V$1501&lt;&gt;"")*('Daily Sale entry '!$V$2:$V$1501&lt;=$A327)*('Daily Sale entry '!$S$2:$S$1501-'Opening Balance'!$B$15*('Daily Sale entry '!$R$2:$R$1501="Cheque 支票")*('Daily Sale entry '!$S$2:$S$1501-TRUNC('Daily Sale entry '!$S$2:$S$1501)))),2))</f>
        <v/>
      </c>
      <c r="E327" s="6">
        <f>IF($A327="","",'Opening Balance'!$B$7)</f>
        <v/>
      </c>
      <c r="F327" s="6">
        <f>IF($A327="","",ROUND(SUMIFS('Daily Sale entry '!$L$2:$L$367,'Daily Sale entry '!$A$2:$A$367,"&gt;="&amp;DATE(YEAR($A327),MONTH($A327),1),'Daily Sale entry '!$A$2:$A$367,"&lt;="&amp;$A327)+SUMIFS('Daily Sale entry '!$M$2:$M$367,'Daily Sale entry '!$A$2:$A$367,"&gt;="&amp;DATE(YEAR($A327),MONTH($A327),1),'Daily Sale entry '!$A$2:$A$367,"&lt;="&amp;$A327)+IF(AND(YEAR($A327)=YEAR('Daily Sale entry '!$A$2),MONTH($A327)=MONTH('Daily Sale entry '!$A$2)),'Opening Balance'!$B$8,0),2))</f>
        <v/>
      </c>
      <c r="G327" s="6">
        <f>IF($A327="","",MOD(ROUND('Opening Balance'!$B$9+SUMIFS('Sales &amp; Collection'!$L$1:$L$4553,'Sales &amp; Collection'!$K$1:$K$4553,"cash collection*"),2),'Opening Balance'!$B$11))</f>
        <v/>
      </c>
      <c r="H327" s="6">
        <f>IF($A327="","",ROUND('Opening Balance'!$B$10+'Opening Balance'!$B$9+SUMIFS('Sales &amp; Collection'!$L$1:$L$4553,'Sales &amp; Collection'!$K$1:$K$4553,"cash collection*")-G327-SUMIFS('Daily Sale entry '!$AC$2:$AC$1501,'Daily Sale entry '!$X$2:$X$1501,"&lt;="&amp;$A327,'Daily Sale entry '!$Z$2:$Z$1501,"Cash deposit 现金存入"),2))</f>
        <v/>
      </c>
      <c r="I327" s="6">
        <f>IF($A327="","",ROUND(B327+D327+E327+F327+G327+H327,2))</f>
        <v/>
      </c>
      <c r="J327" s="6">
        <f>IF($A327="","",'AR &amp; AP'!K328)</f>
        <v/>
      </c>
      <c r="K327" s="6">
        <f>IF($A327="","",ROUND(I327-J327-SUMIFS('Daily Sale entry '!$AC$2:$AC$1501,'Daily Sale entry '!$X$2:$X$1501,"&lt;="&amp;$A327,'Daily Sale entry '!$Z$2:$Z$1501,"Other deposit 其他存入")+SUMIFS('Daily Sale entry '!$AD$2:$AD$1501,'Daily Sale entry '!$X$2:$X$1501,"&lt;="&amp;$A327)+('Opening Balance'!$B$8+SUM('Daily Sale entry '!$L$2:M327)-F327),2))</f>
        <v/>
      </c>
      <c r="L327">
        <f>IF($A327="","",IF(ABS('Sales &amp; Collection'!$B$4562)&gt;'Opening Balance'!$B$16,"ALERT 警报: Different "&amp;TEXT('Sales &amp; Collection'!$B$4562,"#,##0.00")&amp;" 差额过大",""))</f>
        <v/>
      </c>
    </row>
    <row r="328">
      <c r="A328" s="5">
        <f>IF('Daily Sale entry '!A328="","",'Daily Sale entry '!A328)</f>
        <v/>
      </c>
      <c r="B328" s="6">
        <f>IF($A328="","",ROUND('Opening Balance'!$B$4+SUM('Daily Sale entry '!$K$2:K328)+SUMIFS('Daily Sale entry '!$AC$2:$AC$1501,'Daily Sale entry '!$X$2:$X$1501,"&lt;="&amp;$A328)-SUMIFS('Daily Sale entry '!$AD$2:$AD$1501,'Daily Sale entry '!$X$2:$X$1501,"&lt;="&amp;$A328)+SUMPRODUCT(('Daily Sale entry '!$Q$2:$Q$1501="Collection 收款")*('Daily Sale entry '!$R$2:$R$1501="Cheque 支票")*('Daily Sale entry '!$V$2:$V$1501&lt;&gt;"")*('Daily Sale entry '!$V$2:$V$1501&lt;=$A328)*('Daily Sale entry '!$S$2:$S$1501-'Opening Balance'!$B$15*('Daily Sale entry '!$R$2:$R$1501="Cheque 支票")*('Daily Sale entry '!$S$2:$S$1501-TRUNC('Daily Sale entry '!$S$2:$S$1501))))-'Opening Balance'!$B$15*SUMPRODUCT(('Daily Sale entry '!$X$2:$X$1501&lt;=$A328)*('Daily Sale entry '!$Z$2:$Z$1501="Online collection 网上收款")*('Daily Sale entry '!$AA$2:$AA$1501&lt;&gt;"")*('Daily Sale entry '!$AC$2:$AC$1501-TRUNC('Daily Sale entry '!$AC$2:$AC$1501))),2))</f>
        <v/>
      </c>
      <c r="C328" s="8">
        <f>IF($A328="","",'Opening Balance'!$B$5+SUM('Daily Sale entry '!$I$2:I328)-SUMIFS('Daily Sale entry '!$AB$2:$AB$1501,'Daily Sale entry '!$X$2:$X$1501,"&lt;="&amp;$A328,'Daily Sale entry '!$Z$2:$Z$1501,"Cheque deposit 支票存入")-COUNTIFS('Daily Sale entry '!$Q$2:$Q$1501,"Collection 收款",'Daily Sale entry '!$R$2:$R$1501,"Cheque 支票",'Daily Sale entry '!$V$2:$V$1501,"&lt;="&amp;$A328))</f>
        <v/>
      </c>
      <c r="D328" s="6">
        <f>IF($A328="","",ROUND('Opening Balance'!$B$6+SUM('Daily Sale entry '!$J$2:J328)-SUMIFS('Daily Sale entry '!$AC$2:$AC$1501,'Daily Sale entry '!$X$2:$X$1501,"&lt;="&amp;$A328,'Daily Sale entry '!$Z$2:$Z$1501,"Cheque deposit 支票存入")-SUMPRODUCT(('Daily Sale entry '!$Q$2:$Q$1501="Collection 收款")*('Daily Sale entry '!$R$2:$R$1501="Cheque 支票")*('Daily Sale entry '!$V$2:$V$1501&lt;&gt;"")*('Daily Sale entry '!$V$2:$V$1501&lt;=$A328)*('Daily Sale entry '!$S$2:$S$1501-'Opening Balance'!$B$15*('Daily Sale entry '!$R$2:$R$1501="Cheque 支票")*('Daily Sale entry '!$S$2:$S$1501-TRUNC('Daily Sale entry '!$S$2:$S$1501)))),2))</f>
        <v/>
      </c>
      <c r="E328" s="6">
        <f>IF($A328="","",'Opening Balance'!$B$7)</f>
        <v/>
      </c>
      <c r="F328" s="6">
        <f>IF($A328="","",ROUND(SUMIFS('Daily Sale entry '!$L$2:$L$367,'Daily Sale entry '!$A$2:$A$367,"&gt;="&amp;DATE(YEAR($A328),MONTH($A328),1),'Daily Sale entry '!$A$2:$A$367,"&lt;="&amp;$A328)+SUMIFS('Daily Sale entry '!$M$2:$M$367,'Daily Sale entry '!$A$2:$A$367,"&gt;="&amp;DATE(YEAR($A328),MONTH($A328),1),'Daily Sale entry '!$A$2:$A$367,"&lt;="&amp;$A328)+IF(AND(YEAR($A328)=YEAR('Daily Sale entry '!$A$2),MONTH($A328)=MONTH('Daily Sale entry '!$A$2)),'Opening Balance'!$B$8,0),2))</f>
        <v/>
      </c>
      <c r="G328" s="6">
        <f>IF($A328="","",MOD(ROUND('Opening Balance'!$B$9+SUMIFS('Sales &amp; Collection'!$L$1:$L$4567,'Sales &amp; Collection'!$K$1:$K$4567,"cash collection*"),2),'Opening Balance'!$B$11))</f>
        <v/>
      </c>
      <c r="H328" s="6">
        <f>IF($A328="","",ROUND('Opening Balance'!$B$10+'Opening Balance'!$B$9+SUMIFS('Sales &amp; Collection'!$L$1:$L$4567,'Sales &amp; Collection'!$K$1:$K$4567,"cash collection*")-G328-SUMIFS('Daily Sale entry '!$AC$2:$AC$1501,'Daily Sale entry '!$X$2:$X$1501,"&lt;="&amp;$A328,'Daily Sale entry '!$Z$2:$Z$1501,"Cash deposit 现金存入"),2))</f>
        <v/>
      </c>
      <c r="I328" s="6">
        <f>IF($A328="","",ROUND(B328+D328+E328+F328+G328+H328,2))</f>
        <v/>
      </c>
      <c r="J328" s="6">
        <f>IF($A328="","",'AR &amp; AP'!K329)</f>
        <v/>
      </c>
      <c r="K328" s="6">
        <f>IF($A328="","",ROUND(I328-J328-SUMIFS('Daily Sale entry '!$AC$2:$AC$1501,'Daily Sale entry '!$X$2:$X$1501,"&lt;="&amp;$A328,'Daily Sale entry '!$Z$2:$Z$1501,"Other deposit 其他存入")+SUMIFS('Daily Sale entry '!$AD$2:$AD$1501,'Daily Sale entry '!$X$2:$X$1501,"&lt;="&amp;$A328)+('Opening Balance'!$B$8+SUM('Daily Sale entry '!$L$2:M328)-F328),2))</f>
        <v/>
      </c>
      <c r="L328">
        <f>IF($A328="","",IF(ABS('Sales &amp; Collection'!$B$4576)&gt;'Opening Balance'!$B$16,"ALERT 警报: Different "&amp;TEXT('Sales &amp; Collection'!$B$4576,"#,##0.00")&amp;" 差额过大",""))</f>
        <v/>
      </c>
    </row>
    <row r="329">
      <c r="A329" s="5">
        <f>IF('Daily Sale entry '!A329="","",'Daily Sale entry '!A329)</f>
        <v/>
      </c>
      <c r="B329" s="6">
        <f>IF($A329="","",ROUND('Opening Balance'!$B$4+SUM('Daily Sale entry '!$K$2:K329)+SUMIFS('Daily Sale entry '!$AC$2:$AC$1501,'Daily Sale entry '!$X$2:$X$1501,"&lt;="&amp;$A329)-SUMIFS('Daily Sale entry '!$AD$2:$AD$1501,'Daily Sale entry '!$X$2:$X$1501,"&lt;="&amp;$A329)+SUMPRODUCT(('Daily Sale entry '!$Q$2:$Q$1501="Collection 收款")*('Daily Sale entry '!$R$2:$R$1501="Cheque 支票")*('Daily Sale entry '!$V$2:$V$1501&lt;&gt;"")*('Daily Sale entry '!$V$2:$V$1501&lt;=$A329)*('Daily Sale entry '!$S$2:$S$1501-'Opening Balance'!$B$15*('Daily Sale entry '!$R$2:$R$1501="Cheque 支票")*('Daily Sale entry '!$S$2:$S$1501-TRUNC('Daily Sale entry '!$S$2:$S$1501))))-'Opening Balance'!$B$15*SUMPRODUCT(('Daily Sale entry '!$X$2:$X$1501&lt;=$A329)*('Daily Sale entry '!$Z$2:$Z$1501="Online collection 网上收款")*('Daily Sale entry '!$AA$2:$AA$1501&lt;&gt;"")*('Daily Sale entry '!$AC$2:$AC$1501-TRUNC('Daily Sale entry '!$AC$2:$AC$1501))),2))</f>
        <v/>
      </c>
      <c r="C329" s="8">
        <f>IF($A329="","",'Opening Balance'!$B$5+SUM('Daily Sale entry '!$I$2:I329)-SUMIFS('Daily Sale entry '!$AB$2:$AB$1501,'Daily Sale entry '!$X$2:$X$1501,"&lt;="&amp;$A329,'Daily Sale entry '!$Z$2:$Z$1501,"Cheque deposit 支票存入")-COUNTIFS('Daily Sale entry '!$Q$2:$Q$1501,"Collection 收款",'Daily Sale entry '!$R$2:$R$1501,"Cheque 支票",'Daily Sale entry '!$V$2:$V$1501,"&lt;="&amp;$A329))</f>
        <v/>
      </c>
      <c r="D329" s="6">
        <f>IF($A329="","",ROUND('Opening Balance'!$B$6+SUM('Daily Sale entry '!$J$2:J329)-SUMIFS('Daily Sale entry '!$AC$2:$AC$1501,'Daily Sale entry '!$X$2:$X$1501,"&lt;="&amp;$A329,'Daily Sale entry '!$Z$2:$Z$1501,"Cheque deposit 支票存入")-SUMPRODUCT(('Daily Sale entry '!$Q$2:$Q$1501="Collection 收款")*('Daily Sale entry '!$R$2:$R$1501="Cheque 支票")*('Daily Sale entry '!$V$2:$V$1501&lt;&gt;"")*('Daily Sale entry '!$V$2:$V$1501&lt;=$A329)*('Daily Sale entry '!$S$2:$S$1501-'Opening Balance'!$B$15*('Daily Sale entry '!$R$2:$R$1501="Cheque 支票")*('Daily Sale entry '!$S$2:$S$1501-TRUNC('Daily Sale entry '!$S$2:$S$1501)))),2))</f>
        <v/>
      </c>
      <c r="E329" s="6">
        <f>IF($A329="","",'Opening Balance'!$B$7)</f>
        <v/>
      </c>
      <c r="F329" s="6">
        <f>IF($A329="","",ROUND(SUMIFS('Daily Sale entry '!$L$2:$L$367,'Daily Sale entry '!$A$2:$A$367,"&gt;="&amp;DATE(YEAR($A329),MONTH($A329),1),'Daily Sale entry '!$A$2:$A$367,"&lt;="&amp;$A329)+SUMIFS('Daily Sale entry '!$M$2:$M$367,'Daily Sale entry '!$A$2:$A$367,"&gt;="&amp;DATE(YEAR($A329),MONTH($A329),1),'Daily Sale entry '!$A$2:$A$367,"&lt;="&amp;$A329)+IF(AND(YEAR($A329)=YEAR('Daily Sale entry '!$A$2),MONTH($A329)=MONTH('Daily Sale entry '!$A$2)),'Opening Balance'!$B$8,0),2))</f>
        <v/>
      </c>
      <c r="G329" s="6">
        <f>IF($A329="","",MOD(ROUND('Opening Balance'!$B$9+SUMIFS('Sales &amp; Collection'!$L$1:$L$4581,'Sales &amp; Collection'!$K$1:$K$4581,"cash collection*"),2),'Opening Balance'!$B$11))</f>
        <v/>
      </c>
      <c r="H329" s="6">
        <f>IF($A329="","",ROUND('Opening Balance'!$B$10+'Opening Balance'!$B$9+SUMIFS('Sales &amp; Collection'!$L$1:$L$4581,'Sales &amp; Collection'!$K$1:$K$4581,"cash collection*")-G329-SUMIFS('Daily Sale entry '!$AC$2:$AC$1501,'Daily Sale entry '!$X$2:$X$1501,"&lt;="&amp;$A329,'Daily Sale entry '!$Z$2:$Z$1501,"Cash deposit 现金存入"),2))</f>
        <v/>
      </c>
      <c r="I329" s="6">
        <f>IF($A329="","",ROUND(B329+D329+E329+F329+G329+H329,2))</f>
        <v/>
      </c>
      <c r="J329" s="6">
        <f>IF($A329="","",'AR &amp; AP'!K330)</f>
        <v/>
      </c>
      <c r="K329" s="6">
        <f>IF($A329="","",ROUND(I329-J329-SUMIFS('Daily Sale entry '!$AC$2:$AC$1501,'Daily Sale entry '!$X$2:$X$1501,"&lt;="&amp;$A329,'Daily Sale entry '!$Z$2:$Z$1501,"Other deposit 其他存入")+SUMIFS('Daily Sale entry '!$AD$2:$AD$1501,'Daily Sale entry '!$X$2:$X$1501,"&lt;="&amp;$A329)+('Opening Balance'!$B$8+SUM('Daily Sale entry '!$L$2:M329)-F329),2))</f>
        <v/>
      </c>
      <c r="L329">
        <f>IF($A329="","",IF(ABS('Sales &amp; Collection'!$B$4590)&gt;'Opening Balance'!$B$16,"ALERT 警报: Different "&amp;TEXT('Sales &amp; Collection'!$B$4590,"#,##0.00")&amp;" 差额过大",""))</f>
        <v/>
      </c>
    </row>
    <row r="330">
      <c r="A330" s="5">
        <f>IF('Daily Sale entry '!A330="","",'Daily Sale entry '!A330)</f>
        <v/>
      </c>
      <c r="B330" s="6">
        <f>IF($A330="","",ROUND('Opening Balance'!$B$4+SUM('Daily Sale entry '!$K$2:K330)+SUMIFS('Daily Sale entry '!$AC$2:$AC$1501,'Daily Sale entry '!$X$2:$X$1501,"&lt;="&amp;$A330)-SUMIFS('Daily Sale entry '!$AD$2:$AD$1501,'Daily Sale entry '!$X$2:$X$1501,"&lt;="&amp;$A330)+SUMPRODUCT(('Daily Sale entry '!$Q$2:$Q$1501="Collection 收款")*('Daily Sale entry '!$R$2:$R$1501="Cheque 支票")*('Daily Sale entry '!$V$2:$V$1501&lt;&gt;"")*('Daily Sale entry '!$V$2:$V$1501&lt;=$A330)*('Daily Sale entry '!$S$2:$S$1501-'Opening Balance'!$B$15*('Daily Sale entry '!$R$2:$R$1501="Cheque 支票")*('Daily Sale entry '!$S$2:$S$1501-TRUNC('Daily Sale entry '!$S$2:$S$1501))))-'Opening Balance'!$B$15*SUMPRODUCT(('Daily Sale entry '!$X$2:$X$1501&lt;=$A330)*('Daily Sale entry '!$Z$2:$Z$1501="Online collection 网上收款")*('Daily Sale entry '!$AA$2:$AA$1501&lt;&gt;"")*('Daily Sale entry '!$AC$2:$AC$1501-TRUNC('Daily Sale entry '!$AC$2:$AC$1501))),2))</f>
        <v/>
      </c>
      <c r="C330" s="8">
        <f>IF($A330="","",'Opening Balance'!$B$5+SUM('Daily Sale entry '!$I$2:I330)-SUMIFS('Daily Sale entry '!$AB$2:$AB$1501,'Daily Sale entry '!$X$2:$X$1501,"&lt;="&amp;$A330,'Daily Sale entry '!$Z$2:$Z$1501,"Cheque deposit 支票存入")-COUNTIFS('Daily Sale entry '!$Q$2:$Q$1501,"Collection 收款",'Daily Sale entry '!$R$2:$R$1501,"Cheque 支票",'Daily Sale entry '!$V$2:$V$1501,"&lt;="&amp;$A330))</f>
        <v/>
      </c>
      <c r="D330" s="6">
        <f>IF($A330="","",ROUND('Opening Balance'!$B$6+SUM('Daily Sale entry '!$J$2:J330)-SUMIFS('Daily Sale entry '!$AC$2:$AC$1501,'Daily Sale entry '!$X$2:$X$1501,"&lt;="&amp;$A330,'Daily Sale entry '!$Z$2:$Z$1501,"Cheque deposit 支票存入")-SUMPRODUCT(('Daily Sale entry '!$Q$2:$Q$1501="Collection 收款")*('Daily Sale entry '!$R$2:$R$1501="Cheque 支票")*('Daily Sale entry '!$V$2:$V$1501&lt;&gt;"")*('Daily Sale entry '!$V$2:$V$1501&lt;=$A330)*('Daily Sale entry '!$S$2:$S$1501-'Opening Balance'!$B$15*('Daily Sale entry '!$R$2:$R$1501="Cheque 支票")*('Daily Sale entry '!$S$2:$S$1501-TRUNC('Daily Sale entry '!$S$2:$S$1501)))),2))</f>
        <v/>
      </c>
      <c r="E330" s="6">
        <f>IF($A330="","",'Opening Balance'!$B$7)</f>
        <v/>
      </c>
      <c r="F330" s="6">
        <f>IF($A330="","",ROUND(SUMIFS('Daily Sale entry '!$L$2:$L$367,'Daily Sale entry '!$A$2:$A$367,"&gt;="&amp;DATE(YEAR($A330),MONTH($A330),1),'Daily Sale entry '!$A$2:$A$367,"&lt;="&amp;$A330)+SUMIFS('Daily Sale entry '!$M$2:$M$367,'Daily Sale entry '!$A$2:$A$367,"&gt;="&amp;DATE(YEAR($A330),MONTH($A330),1),'Daily Sale entry '!$A$2:$A$367,"&lt;="&amp;$A330)+IF(AND(YEAR($A330)=YEAR('Daily Sale entry '!$A$2),MONTH($A330)=MONTH('Daily Sale entry '!$A$2)),'Opening Balance'!$B$8,0),2))</f>
        <v/>
      </c>
      <c r="G330" s="6">
        <f>IF($A330="","",MOD(ROUND('Opening Balance'!$B$9+SUMIFS('Sales &amp; Collection'!$L$1:$L$4595,'Sales &amp; Collection'!$K$1:$K$4595,"cash collection*"),2),'Opening Balance'!$B$11))</f>
        <v/>
      </c>
      <c r="H330" s="6">
        <f>IF($A330="","",ROUND('Opening Balance'!$B$10+'Opening Balance'!$B$9+SUMIFS('Sales &amp; Collection'!$L$1:$L$4595,'Sales &amp; Collection'!$K$1:$K$4595,"cash collection*")-G330-SUMIFS('Daily Sale entry '!$AC$2:$AC$1501,'Daily Sale entry '!$X$2:$X$1501,"&lt;="&amp;$A330,'Daily Sale entry '!$Z$2:$Z$1501,"Cash deposit 现金存入"),2))</f>
        <v/>
      </c>
      <c r="I330" s="6">
        <f>IF($A330="","",ROUND(B330+D330+E330+F330+G330+H330,2))</f>
        <v/>
      </c>
      <c r="J330" s="6">
        <f>IF($A330="","",'AR &amp; AP'!K331)</f>
        <v/>
      </c>
      <c r="K330" s="6">
        <f>IF($A330="","",ROUND(I330-J330-SUMIFS('Daily Sale entry '!$AC$2:$AC$1501,'Daily Sale entry '!$X$2:$X$1501,"&lt;="&amp;$A330,'Daily Sale entry '!$Z$2:$Z$1501,"Other deposit 其他存入")+SUMIFS('Daily Sale entry '!$AD$2:$AD$1501,'Daily Sale entry '!$X$2:$X$1501,"&lt;="&amp;$A330)+('Opening Balance'!$B$8+SUM('Daily Sale entry '!$L$2:M330)-F330),2))</f>
        <v/>
      </c>
      <c r="L330">
        <f>IF($A330="","",IF(ABS('Sales &amp; Collection'!$B$4604)&gt;'Opening Balance'!$B$16,"ALERT 警报: Different "&amp;TEXT('Sales &amp; Collection'!$B$4604,"#,##0.00")&amp;" 差额过大",""))</f>
        <v/>
      </c>
    </row>
    <row r="331">
      <c r="A331" s="5">
        <f>IF('Daily Sale entry '!A331="","",'Daily Sale entry '!A331)</f>
        <v/>
      </c>
      <c r="B331" s="6">
        <f>IF($A331="","",ROUND('Opening Balance'!$B$4+SUM('Daily Sale entry '!$K$2:K331)+SUMIFS('Daily Sale entry '!$AC$2:$AC$1501,'Daily Sale entry '!$X$2:$X$1501,"&lt;="&amp;$A331)-SUMIFS('Daily Sale entry '!$AD$2:$AD$1501,'Daily Sale entry '!$X$2:$X$1501,"&lt;="&amp;$A331)+SUMPRODUCT(('Daily Sale entry '!$Q$2:$Q$1501="Collection 收款")*('Daily Sale entry '!$R$2:$R$1501="Cheque 支票")*('Daily Sale entry '!$V$2:$V$1501&lt;&gt;"")*('Daily Sale entry '!$V$2:$V$1501&lt;=$A331)*('Daily Sale entry '!$S$2:$S$1501-'Opening Balance'!$B$15*('Daily Sale entry '!$R$2:$R$1501="Cheque 支票")*('Daily Sale entry '!$S$2:$S$1501-TRUNC('Daily Sale entry '!$S$2:$S$1501))))-'Opening Balance'!$B$15*SUMPRODUCT(('Daily Sale entry '!$X$2:$X$1501&lt;=$A331)*('Daily Sale entry '!$Z$2:$Z$1501="Online collection 网上收款")*('Daily Sale entry '!$AA$2:$AA$1501&lt;&gt;"")*('Daily Sale entry '!$AC$2:$AC$1501-TRUNC('Daily Sale entry '!$AC$2:$AC$1501))),2))</f>
        <v/>
      </c>
      <c r="C331" s="8">
        <f>IF($A331="","",'Opening Balance'!$B$5+SUM('Daily Sale entry '!$I$2:I331)-SUMIFS('Daily Sale entry '!$AB$2:$AB$1501,'Daily Sale entry '!$X$2:$X$1501,"&lt;="&amp;$A331,'Daily Sale entry '!$Z$2:$Z$1501,"Cheque deposit 支票存入")-COUNTIFS('Daily Sale entry '!$Q$2:$Q$1501,"Collection 收款",'Daily Sale entry '!$R$2:$R$1501,"Cheque 支票",'Daily Sale entry '!$V$2:$V$1501,"&lt;="&amp;$A331))</f>
        <v/>
      </c>
      <c r="D331" s="6">
        <f>IF($A331="","",ROUND('Opening Balance'!$B$6+SUM('Daily Sale entry '!$J$2:J331)-SUMIFS('Daily Sale entry '!$AC$2:$AC$1501,'Daily Sale entry '!$X$2:$X$1501,"&lt;="&amp;$A331,'Daily Sale entry '!$Z$2:$Z$1501,"Cheque deposit 支票存入")-SUMPRODUCT(('Daily Sale entry '!$Q$2:$Q$1501="Collection 收款")*('Daily Sale entry '!$R$2:$R$1501="Cheque 支票")*('Daily Sale entry '!$V$2:$V$1501&lt;&gt;"")*('Daily Sale entry '!$V$2:$V$1501&lt;=$A331)*('Daily Sale entry '!$S$2:$S$1501-'Opening Balance'!$B$15*('Daily Sale entry '!$R$2:$R$1501="Cheque 支票")*('Daily Sale entry '!$S$2:$S$1501-TRUNC('Daily Sale entry '!$S$2:$S$1501)))),2))</f>
        <v/>
      </c>
      <c r="E331" s="6">
        <f>IF($A331="","",'Opening Balance'!$B$7)</f>
        <v/>
      </c>
      <c r="F331" s="6">
        <f>IF($A331="","",ROUND(SUMIFS('Daily Sale entry '!$L$2:$L$367,'Daily Sale entry '!$A$2:$A$367,"&gt;="&amp;DATE(YEAR($A331),MONTH($A331),1),'Daily Sale entry '!$A$2:$A$367,"&lt;="&amp;$A331)+SUMIFS('Daily Sale entry '!$M$2:$M$367,'Daily Sale entry '!$A$2:$A$367,"&gt;="&amp;DATE(YEAR($A331),MONTH($A331),1),'Daily Sale entry '!$A$2:$A$367,"&lt;="&amp;$A331)+IF(AND(YEAR($A331)=YEAR('Daily Sale entry '!$A$2),MONTH($A331)=MONTH('Daily Sale entry '!$A$2)),'Opening Balance'!$B$8,0),2))</f>
        <v/>
      </c>
      <c r="G331" s="6">
        <f>IF($A331="","",MOD(ROUND('Opening Balance'!$B$9+SUMIFS('Sales &amp; Collection'!$L$1:$L$4609,'Sales &amp; Collection'!$K$1:$K$4609,"cash collection*"),2),'Opening Balance'!$B$11))</f>
        <v/>
      </c>
      <c r="H331" s="6">
        <f>IF($A331="","",ROUND('Opening Balance'!$B$10+'Opening Balance'!$B$9+SUMIFS('Sales &amp; Collection'!$L$1:$L$4609,'Sales &amp; Collection'!$K$1:$K$4609,"cash collection*")-G331-SUMIFS('Daily Sale entry '!$AC$2:$AC$1501,'Daily Sale entry '!$X$2:$X$1501,"&lt;="&amp;$A331,'Daily Sale entry '!$Z$2:$Z$1501,"Cash deposit 现金存入"),2))</f>
        <v/>
      </c>
      <c r="I331" s="6">
        <f>IF($A331="","",ROUND(B331+D331+E331+F331+G331+H331,2))</f>
        <v/>
      </c>
      <c r="J331" s="6">
        <f>IF($A331="","",'AR &amp; AP'!K332)</f>
        <v/>
      </c>
      <c r="K331" s="6">
        <f>IF($A331="","",ROUND(I331-J331-SUMIFS('Daily Sale entry '!$AC$2:$AC$1501,'Daily Sale entry '!$X$2:$X$1501,"&lt;="&amp;$A331,'Daily Sale entry '!$Z$2:$Z$1501,"Other deposit 其他存入")+SUMIFS('Daily Sale entry '!$AD$2:$AD$1501,'Daily Sale entry '!$X$2:$X$1501,"&lt;="&amp;$A331)+('Opening Balance'!$B$8+SUM('Daily Sale entry '!$L$2:M331)-F331),2))</f>
        <v/>
      </c>
      <c r="L331">
        <f>IF($A331="","",IF(ABS('Sales &amp; Collection'!$B$4618)&gt;'Opening Balance'!$B$16,"ALERT 警报: Different "&amp;TEXT('Sales &amp; Collection'!$B$4618,"#,##0.00")&amp;" 差额过大",""))</f>
        <v/>
      </c>
    </row>
    <row r="332">
      <c r="A332" s="5">
        <f>IF('Daily Sale entry '!A332="","",'Daily Sale entry '!A332)</f>
        <v/>
      </c>
      <c r="B332" s="6">
        <f>IF($A332="","",ROUND('Opening Balance'!$B$4+SUM('Daily Sale entry '!$K$2:K332)+SUMIFS('Daily Sale entry '!$AC$2:$AC$1501,'Daily Sale entry '!$X$2:$X$1501,"&lt;="&amp;$A332)-SUMIFS('Daily Sale entry '!$AD$2:$AD$1501,'Daily Sale entry '!$X$2:$X$1501,"&lt;="&amp;$A332)+SUMPRODUCT(('Daily Sale entry '!$Q$2:$Q$1501="Collection 收款")*('Daily Sale entry '!$R$2:$R$1501="Cheque 支票")*('Daily Sale entry '!$V$2:$V$1501&lt;&gt;"")*('Daily Sale entry '!$V$2:$V$1501&lt;=$A332)*('Daily Sale entry '!$S$2:$S$1501-'Opening Balance'!$B$15*('Daily Sale entry '!$R$2:$R$1501="Cheque 支票")*('Daily Sale entry '!$S$2:$S$1501-TRUNC('Daily Sale entry '!$S$2:$S$1501))))-'Opening Balance'!$B$15*SUMPRODUCT(('Daily Sale entry '!$X$2:$X$1501&lt;=$A332)*('Daily Sale entry '!$Z$2:$Z$1501="Online collection 网上收款")*('Daily Sale entry '!$AA$2:$AA$1501&lt;&gt;"")*('Daily Sale entry '!$AC$2:$AC$1501-TRUNC('Daily Sale entry '!$AC$2:$AC$1501))),2))</f>
        <v/>
      </c>
      <c r="C332" s="8">
        <f>IF($A332="","",'Opening Balance'!$B$5+SUM('Daily Sale entry '!$I$2:I332)-SUMIFS('Daily Sale entry '!$AB$2:$AB$1501,'Daily Sale entry '!$X$2:$X$1501,"&lt;="&amp;$A332,'Daily Sale entry '!$Z$2:$Z$1501,"Cheque deposit 支票存入")-COUNTIFS('Daily Sale entry '!$Q$2:$Q$1501,"Collection 收款",'Daily Sale entry '!$R$2:$R$1501,"Cheque 支票",'Daily Sale entry '!$V$2:$V$1501,"&lt;="&amp;$A332))</f>
        <v/>
      </c>
      <c r="D332" s="6">
        <f>IF($A332="","",ROUND('Opening Balance'!$B$6+SUM('Daily Sale entry '!$J$2:J332)-SUMIFS('Daily Sale entry '!$AC$2:$AC$1501,'Daily Sale entry '!$X$2:$X$1501,"&lt;="&amp;$A332,'Daily Sale entry '!$Z$2:$Z$1501,"Cheque deposit 支票存入")-SUMPRODUCT(('Daily Sale entry '!$Q$2:$Q$1501="Collection 收款")*('Daily Sale entry '!$R$2:$R$1501="Cheque 支票")*('Daily Sale entry '!$V$2:$V$1501&lt;&gt;"")*('Daily Sale entry '!$V$2:$V$1501&lt;=$A332)*('Daily Sale entry '!$S$2:$S$1501-'Opening Balance'!$B$15*('Daily Sale entry '!$R$2:$R$1501="Cheque 支票")*('Daily Sale entry '!$S$2:$S$1501-TRUNC('Daily Sale entry '!$S$2:$S$1501)))),2))</f>
        <v/>
      </c>
      <c r="E332" s="6">
        <f>IF($A332="","",'Opening Balance'!$B$7)</f>
        <v/>
      </c>
      <c r="F332" s="6">
        <f>IF($A332="","",ROUND(SUMIFS('Daily Sale entry '!$L$2:$L$367,'Daily Sale entry '!$A$2:$A$367,"&gt;="&amp;DATE(YEAR($A332),MONTH($A332),1),'Daily Sale entry '!$A$2:$A$367,"&lt;="&amp;$A332)+SUMIFS('Daily Sale entry '!$M$2:$M$367,'Daily Sale entry '!$A$2:$A$367,"&gt;="&amp;DATE(YEAR($A332),MONTH($A332),1),'Daily Sale entry '!$A$2:$A$367,"&lt;="&amp;$A332)+IF(AND(YEAR($A332)=YEAR('Daily Sale entry '!$A$2),MONTH($A332)=MONTH('Daily Sale entry '!$A$2)),'Opening Balance'!$B$8,0),2))</f>
        <v/>
      </c>
      <c r="G332" s="6">
        <f>IF($A332="","",MOD(ROUND('Opening Balance'!$B$9+SUMIFS('Sales &amp; Collection'!$L$1:$L$4623,'Sales &amp; Collection'!$K$1:$K$4623,"cash collection*"),2),'Opening Balance'!$B$11))</f>
        <v/>
      </c>
      <c r="H332" s="6">
        <f>IF($A332="","",ROUND('Opening Balance'!$B$10+'Opening Balance'!$B$9+SUMIFS('Sales &amp; Collection'!$L$1:$L$4623,'Sales &amp; Collection'!$K$1:$K$4623,"cash collection*")-G332-SUMIFS('Daily Sale entry '!$AC$2:$AC$1501,'Daily Sale entry '!$X$2:$X$1501,"&lt;="&amp;$A332,'Daily Sale entry '!$Z$2:$Z$1501,"Cash deposit 现金存入"),2))</f>
        <v/>
      </c>
      <c r="I332" s="6">
        <f>IF($A332="","",ROUND(B332+D332+E332+F332+G332+H332,2))</f>
        <v/>
      </c>
      <c r="J332" s="6">
        <f>IF($A332="","",'AR &amp; AP'!K333)</f>
        <v/>
      </c>
      <c r="K332" s="6">
        <f>IF($A332="","",ROUND(I332-J332-SUMIFS('Daily Sale entry '!$AC$2:$AC$1501,'Daily Sale entry '!$X$2:$X$1501,"&lt;="&amp;$A332,'Daily Sale entry '!$Z$2:$Z$1501,"Other deposit 其他存入")+SUMIFS('Daily Sale entry '!$AD$2:$AD$1501,'Daily Sale entry '!$X$2:$X$1501,"&lt;="&amp;$A332)+('Opening Balance'!$B$8+SUM('Daily Sale entry '!$L$2:M332)-F332),2))</f>
        <v/>
      </c>
      <c r="L332">
        <f>IF($A332="","",IF(ABS('Sales &amp; Collection'!$B$4632)&gt;'Opening Balance'!$B$16,"ALERT 警报: Different "&amp;TEXT('Sales &amp; Collection'!$B$4632,"#,##0.00")&amp;" 差额过大",""))</f>
        <v/>
      </c>
    </row>
    <row r="333">
      <c r="A333" s="5">
        <f>IF('Daily Sale entry '!A333="","",'Daily Sale entry '!A333)</f>
        <v/>
      </c>
      <c r="B333" s="6">
        <f>IF($A333="","",ROUND('Opening Balance'!$B$4+SUM('Daily Sale entry '!$K$2:K333)+SUMIFS('Daily Sale entry '!$AC$2:$AC$1501,'Daily Sale entry '!$X$2:$X$1501,"&lt;="&amp;$A333)-SUMIFS('Daily Sale entry '!$AD$2:$AD$1501,'Daily Sale entry '!$X$2:$X$1501,"&lt;="&amp;$A333)+SUMPRODUCT(('Daily Sale entry '!$Q$2:$Q$1501="Collection 收款")*('Daily Sale entry '!$R$2:$R$1501="Cheque 支票")*('Daily Sale entry '!$V$2:$V$1501&lt;&gt;"")*('Daily Sale entry '!$V$2:$V$1501&lt;=$A333)*('Daily Sale entry '!$S$2:$S$1501-'Opening Balance'!$B$15*('Daily Sale entry '!$R$2:$R$1501="Cheque 支票")*('Daily Sale entry '!$S$2:$S$1501-TRUNC('Daily Sale entry '!$S$2:$S$1501))))-'Opening Balance'!$B$15*SUMPRODUCT(('Daily Sale entry '!$X$2:$X$1501&lt;=$A333)*('Daily Sale entry '!$Z$2:$Z$1501="Online collection 网上收款")*('Daily Sale entry '!$AA$2:$AA$1501&lt;&gt;"")*('Daily Sale entry '!$AC$2:$AC$1501-TRUNC('Daily Sale entry '!$AC$2:$AC$1501))),2))</f>
        <v/>
      </c>
      <c r="C333" s="8">
        <f>IF($A333="","",'Opening Balance'!$B$5+SUM('Daily Sale entry '!$I$2:I333)-SUMIFS('Daily Sale entry '!$AB$2:$AB$1501,'Daily Sale entry '!$X$2:$X$1501,"&lt;="&amp;$A333,'Daily Sale entry '!$Z$2:$Z$1501,"Cheque deposit 支票存入")-COUNTIFS('Daily Sale entry '!$Q$2:$Q$1501,"Collection 收款",'Daily Sale entry '!$R$2:$R$1501,"Cheque 支票",'Daily Sale entry '!$V$2:$V$1501,"&lt;="&amp;$A333))</f>
        <v/>
      </c>
      <c r="D333" s="6">
        <f>IF($A333="","",ROUND('Opening Balance'!$B$6+SUM('Daily Sale entry '!$J$2:J333)-SUMIFS('Daily Sale entry '!$AC$2:$AC$1501,'Daily Sale entry '!$X$2:$X$1501,"&lt;="&amp;$A333,'Daily Sale entry '!$Z$2:$Z$1501,"Cheque deposit 支票存入")-SUMPRODUCT(('Daily Sale entry '!$Q$2:$Q$1501="Collection 收款")*('Daily Sale entry '!$R$2:$R$1501="Cheque 支票")*('Daily Sale entry '!$V$2:$V$1501&lt;&gt;"")*('Daily Sale entry '!$V$2:$V$1501&lt;=$A333)*('Daily Sale entry '!$S$2:$S$1501-'Opening Balance'!$B$15*('Daily Sale entry '!$R$2:$R$1501="Cheque 支票")*('Daily Sale entry '!$S$2:$S$1501-TRUNC('Daily Sale entry '!$S$2:$S$1501)))),2))</f>
        <v/>
      </c>
      <c r="E333" s="6">
        <f>IF($A333="","",'Opening Balance'!$B$7)</f>
        <v/>
      </c>
      <c r="F333" s="6">
        <f>IF($A333="","",ROUND(SUMIFS('Daily Sale entry '!$L$2:$L$367,'Daily Sale entry '!$A$2:$A$367,"&gt;="&amp;DATE(YEAR($A333),MONTH($A333),1),'Daily Sale entry '!$A$2:$A$367,"&lt;="&amp;$A333)+SUMIFS('Daily Sale entry '!$M$2:$M$367,'Daily Sale entry '!$A$2:$A$367,"&gt;="&amp;DATE(YEAR($A333),MONTH($A333),1),'Daily Sale entry '!$A$2:$A$367,"&lt;="&amp;$A333)+IF(AND(YEAR($A333)=YEAR('Daily Sale entry '!$A$2),MONTH($A333)=MONTH('Daily Sale entry '!$A$2)),'Opening Balance'!$B$8,0),2))</f>
        <v/>
      </c>
      <c r="G333" s="6">
        <f>IF($A333="","",MOD(ROUND('Opening Balance'!$B$9+SUMIFS('Sales &amp; Collection'!$L$1:$L$4637,'Sales &amp; Collection'!$K$1:$K$4637,"cash collection*"),2),'Opening Balance'!$B$11))</f>
        <v/>
      </c>
      <c r="H333" s="6">
        <f>IF($A333="","",ROUND('Opening Balance'!$B$10+'Opening Balance'!$B$9+SUMIFS('Sales &amp; Collection'!$L$1:$L$4637,'Sales &amp; Collection'!$K$1:$K$4637,"cash collection*")-G333-SUMIFS('Daily Sale entry '!$AC$2:$AC$1501,'Daily Sale entry '!$X$2:$X$1501,"&lt;="&amp;$A333,'Daily Sale entry '!$Z$2:$Z$1501,"Cash deposit 现金存入"),2))</f>
        <v/>
      </c>
      <c r="I333" s="6">
        <f>IF($A333="","",ROUND(B333+D333+E333+F333+G333+H333,2))</f>
        <v/>
      </c>
      <c r="J333" s="6">
        <f>IF($A333="","",'AR &amp; AP'!K334)</f>
        <v/>
      </c>
      <c r="K333" s="6">
        <f>IF($A333="","",ROUND(I333-J333-SUMIFS('Daily Sale entry '!$AC$2:$AC$1501,'Daily Sale entry '!$X$2:$X$1501,"&lt;="&amp;$A333,'Daily Sale entry '!$Z$2:$Z$1501,"Other deposit 其他存入")+SUMIFS('Daily Sale entry '!$AD$2:$AD$1501,'Daily Sale entry '!$X$2:$X$1501,"&lt;="&amp;$A333)+('Opening Balance'!$B$8+SUM('Daily Sale entry '!$L$2:M333)-F333),2))</f>
        <v/>
      </c>
      <c r="L333">
        <f>IF($A333="","",IF(ABS('Sales &amp; Collection'!$B$4646)&gt;'Opening Balance'!$B$16,"ALERT 警报: Different "&amp;TEXT('Sales &amp; Collection'!$B$4646,"#,##0.00")&amp;" 差额过大",""))</f>
        <v/>
      </c>
    </row>
    <row r="334">
      <c r="A334" s="5">
        <f>IF('Daily Sale entry '!A334="","",'Daily Sale entry '!A334)</f>
        <v/>
      </c>
      <c r="B334" s="6">
        <f>IF($A334="","",ROUND('Opening Balance'!$B$4+SUM('Daily Sale entry '!$K$2:K334)+SUMIFS('Daily Sale entry '!$AC$2:$AC$1501,'Daily Sale entry '!$X$2:$X$1501,"&lt;="&amp;$A334)-SUMIFS('Daily Sale entry '!$AD$2:$AD$1501,'Daily Sale entry '!$X$2:$X$1501,"&lt;="&amp;$A334)+SUMPRODUCT(('Daily Sale entry '!$Q$2:$Q$1501="Collection 收款")*('Daily Sale entry '!$R$2:$R$1501="Cheque 支票")*('Daily Sale entry '!$V$2:$V$1501&lt;&gt;"")*('Daily Sale entry '!$V$2:$V$1501&lt;=$A334)*('Daily Sale entry '!$S$2:$S$1501-'Opening Balance'!$B$15*('Daily Sale entry '!$R$2:$R$1501="Cheque 支票")*('Daily Sale entry '!$S$2:$S$1501-TRUNC('Daily Sale entry '!$S$2:$S$1501))))-'Opening Balance'!$B$15*SUMPRODUCT(('Daily Sale entry '!$X$2:$X$1501&lt;=$A334)*('Daily Sale entry '!$Z$2:$Z$1501="Online collection 网上收款")*('Daily Sale entry '!$AA$2:$AA$1501&lt;&gt;"")*('Daily Sale entry '!$AC$2:$AC$1501-TRUNC('Daily Sale entry '!$AC$2:$AC$1501))),2))</f>
        <v/>
      </c>
      <c r="C334" s="8">
        <f>IF($A334="","",'Opening Balance'!$B$5+SUM('Daily Sale entry '!$I$2:I334)-SUMIFS('Daily Sale entry '!$AB$2:$AB$1501,'Daily Sale entry '!$X$2:$X$1501,"&lt;="&amp;$A334,'Daily Sale entry '!$Z$2:$Z$1501,"Cheque deposit 支票存入")-COUNTIFS('Daily Sale entry '!$Q$2:$Q$1501,"Collection 收款",'Daily Sale entry '!$R$2:$R$1501,"Cheque 支票",'Daily Sale entry '!$V$2:$V$1501,"&lt;="&amp;$A334))</f>
        <v/>
      </c>
      <c r="D334" s="6">
        <f>IF($A334="","",ROUND('Opening Balance'!$B$6+SUM('Daily Sale entry '!$J$2:J334)-SUMIFS('Daily Sale entry '!$AC$2:$AC$1501,'Daily Sale entry '!$X$2:$X$1501,"&lt;="&amp;$A334,'Daily Sale entry '!$Z$2:$Z$1501,"Cheque deposit 支票存入")-SUMPRODUCT(('Daily Sale entry '!$Q$2:$Q$1501="Collection 收款")*('Daily Sale entry '!$R$2:$R$1501="Cheque 支票")*('Daily Sale entry '!$V$2:$V$1501&lt;&gt;"")*('Daily Sale entry '!$V$2:$V$1501&lt;=$A334)*('Daily Sale entry '!$S$2:$S$1501-'Opening Balance'!$B$15*('Daily Sale entry '!$R$2:$R$1501="Cheque 支票")*('Daily Sale entry '!$S$2:$S$1501-TRUNC('Daily Sale entry '!$S$2:$S$1501)))),2))</f>
        <v/>
      </c>
      <c r="E334" s="6">
        <f>IF($A334="","",'Opening Balance'!$B$7)</f>
        <v/>
      </c>
      <c r="F334" s="6">
        <f>IF($A334="","",ROUND(SUMIFS('Daily Sale entry '!$L$2:$L$367,'Daily Sale entry '!$A$2:$A$367,"&gt;="&amp;DATE(YEAR($A334),MONTH($A334),1),'Daily Sale entry '!$A$2:$A$367,"&lt;="&amp;$A334)+SUMIFS('Daily Sale entry '!$M$2:$M$367,'Daily Sale entry '!$A$2:$A$367,"&gt;="&amp;DATE(YEAR($A334),MONTH($A334),1),'Daily Sale entry '!$A$2:$A$367,"&lt;="&amp;$A334)+IF(AND(YEAR($A334)=YEAR('Daily Sale entry '!$A$2),MONTH($A334)=MONTH('Daily Sale entry '!$A$2)),'Opening Balance'!$B$8,0),2))</f>
        <v/>
      </c>
      <c r="G334" s="6">
        <f>IF($A334="","",MOD(ROUND('Opening Balance'!$B$9+SUMIFS('Sales &amp; Collection'!$L$1:$L$4651,'Sales &amp; Collection'!$K$1:$K$4651,"cash collection*"),2),'Opening Balance'!$B$11))</f>
        <v/>
      </c>
      <c r="H334" s="6">
        <f>IF($A334="","",ROUND('Opening Balance'!$B$10+'Opening Balance'!$B$9+SUMIFS('Sales &amp; Collection'!$L$1:$L$4651,'Sales &amp; Collection'!$K$1:$K$4651,"cash collection*")-G334-SUMIFS('Daily Sale entry '!$AC$2:$AC$1501,'Daily Sale entry '!$X$2:$X$1501,"&lt;="&amp;$A334,'Daily Sale entry '!$Z$2:$Z$1501,"Cash deposit 现金存入"),2))</f>
        <v/>
      </c>
      <c r="I334" s="6">
        <f>IF($A334="","",ROUND(B334+D334+E334+F334+G334+H334,2))</f>
        <v/>
      </c>
      <c r="J334" s="6">
        <f>IF($A334="","",'AR &amp; AP'!K335)</f>
        <v/>
      </c>
      <c r="K334" s="6">
        <f>IF($A334="","",ROUND(I334-J334-SUMIFS('Daily Sale entry '!$AC$2:$AC$1501,'Daily Sale entry '!$X$2:$X$1501,"&lt;="&amp;$A334,'Daily Sale entry '!$Z$2:$Z$1501,"Other deposit 其他存入")+SUMIFS('Daily Sale entry '!$AD$2:$AD$1501,'Daily Sale entry '!$X$2:$X$1501,"&lt;="&amp;$A334)+('Opening Balance'!$B$8+SUM('Daily Sale entry '!$L$2:M334)-F334),2))</f>
        <v/>
      </c>
      <c r="L334">
        <f>IF($A334="","",IF(ABS('Sales &amp; Collection'!$B$4660)&gt;'Opening Balance'!$B$16,"ALERT 警报: Different "&amp;TEXT('Sales &amp; Collection'!$B$4660,"#,##0.00")&amp;" 差额过大",""))</f>
        <v/>
      </c>
    </row>
    <row r="335">
      <c r="A335" s="5">
        <f>IF('Daily Sale entry '!A335="","",'Daily Sale entry '!A335)</f>
        <v/>
      </c>
      <c r="B335" s="6">
        <f>IF($A335="","",ROUND('Opening Balance'!$B$4+SUM('Daily Sale entry '!$K$2:K335)+SUMIFS('Daily Sale entry '!$AC$2:$AC$1501,'Daily Sale entry '!$X$2:$X$1501,"&lt;="&amp;$A335)-SUMIFS('Daily Sale entry '!$AD$2:$AD$1501,'Daily Sale entry '!$X$2:$X$1501,"&lt;="&amp;$A335)+SUMPRODUCT(('Daily Sale entry '!$Q$2:$Q$1501="Collection 收款")*('Daily Sale entry '!$R$2:$R$1501="Cheque 支票")*('Daily Sale entry '!$V$2:$V$1501&lt;&gt;"")*('Daily Sale entry '!$V$2:$V$1501&lt;=$A335)*('Daily Sale entry '!$S$2:$S$1501-'Opening Balance'!$B$15*('Daily Sale entry '!$R$2:$R$1501="Cheque 支票")*('Daily Sale entry '!$S$2:$S$1501-TRUNC('Daily Sale entry '!$S$2:$S$1501))))-'Opening Balance'!$B$15*SUMPRODUCT(('Daily Sale entry '!$X$2:$X$1501&lt;=$A335)*('Daily Sale entry '!$Z$2:$Z$1501="Online collection 网上收款")*('Daily Sale entry '!$AA$2:$AA$1501&lt;&gt;"")*('Daily Sale entry '!$AC$2:$AC$1501-TRUNC('Daily Sale entry '!$AC$2:$AC$1501))),2))</f>
        <v/>
      </c>
      <c r="C335" s="8">
        <f>IF($A335="","",'Opening Balance'!$B$5+SUM('Daily Sale entry '!$I$2:I335)-SUMIFS('Daily Sale entry '!$AB$2:$AB$1501,'Daily Sale entry '!$X$2:$X$1501,"&lt;="&amp;$A335,'Daily Sale entry '!$Z$2:$Z$1501,"Cheque deposit 支票存入")-COUNTIFS('Daily Sale entry '!$Q$2:$Q$1501,"Collection 收款",'Daily Sale entry '!$R$2:$R$1501,"Cheque 支票",'Daily Sale entry '!$V$2:$V$1501,"&lt;="&amp;$A335))</f>
        <v/>
      </c>
      <c r="D335" s="6">
        <f>IF($A335="","",ROUND('Opening Balance'!$B$6+SUM('Daily Sale entry '!$J$2:J335)-SUMIFS('Daily Sale entry '!$AC$2:$AC$1501,'Daily Sale entry '!$X$2:$X$1501,"&lt;="&amp;$A335,'Daily Sale entry '!$Z$2:$Z$1501,"Cheque deposit 支票存入")-SUMPRODUCT(('Daily Sale entry '!$Q$2:$Q$1501="Collection 收款")*('Daily Sale entry '!$R$2:$R$1501="Cheque 支票")*('Daily Sale entry '!$V$2:$V$1501&lt;&gt;"")*('Daily Sale entry '!$V$2:$V$1501&lt;=$A335)*('Daily Sale entry '!$S$2:$S$1501-'Opening Balance'!$B$15*('Daily Sale entry '!$R$2:$R$1501="Cheque 支票")*('Daily Sale entry '!$S$2:$S$1501-TRUNC('Daily Sale entry '!$S$2:$S$1501)))),2))</f>
        <v/>
      </c>
      <c r="E335" s="6">
        <f>IF($A335="","",'Opening Balance'!$B$7)</f>
        <v/>
      </c>
      <c r="F335" s="6">
        <f>IF($A335="","",ROUND(SUMIFS('Daily Sale entry '!$L$2:$L$367,'Daily Sale entry '!$A$2:$A$367,"&gt;="&amp;DATE(YEAR($A335),MONTH($A335),1),'Daily Sale entry '!$A$2:$A$367,"&lt;="&amp;$A335)+SUMIFS('Daily Sale entry '!$M$2:$M$367,'Daily Sale entry '!$A$2:$A$367,"&gt;="&amp;DATE(YEAR($A335),MONTH($A335),1),'Daily Sale entry '!$A$2:$A$367,"&lt;="&amp;$A335)+IF(AND(YEAR($A335)=YEAR('Daily Sale entry '!$A$2),MONTH($A335)=MONTH('Daily Sale entry '!$A$2)),'Opening Balance'!$B$8,0),2))</f>
        <v/>
      </c>
      <c r="G335" s="6">
        <f>IF($A335="","",MOD(ROUND('Opening Balance'!$B$9+SUMIFS('Sales &amp; Collection'!$L$1:$L$4665,'Sales &amp; Collection'!$K$1:$K$4665,"cash collection*"),2),'Opening Balance'!$B$11))</f>
        <v/>
      </c>
      <c r="H335" s="6">
        <f>IF($A335="","",ROUND('Opening Balance'!$B$10+'Opening Balance'!$B$9+SUMIFS('Sales &amp; Collection'!$L$1:$L$4665,'Sales &amp; Collection'!$K$1:$K$4665,"cash collection*")-G335-SUMIFS('Daily Sale entry '!$AC$2:$AC$1501,'Daily Sale entry '!$X$2:$X$1501,"&lt;="&amp;$A335,'Daily Sale entry '!$Z$2:$Z$1501,"Cash deposit 现金存入"),2))</f>
        <v/>
      </c>
      <c r="I335" s="6">
        <f>IF($A335="","",ROUND(B335+D335+E335+F335+G335+H335,2))</f>
        <v/>
      </c>
      <c r="J335" s="6">
        <f>IF($A335="","",'AR &amp; AP'!K336)</f>
        <v/>
      </c>
      <c r="K335" s="6">
        <f>IF($A335="","",ROUND(I335-J335-SUMIFS('Daily Sale entry '!$AC$2:$AC$1501,'Daily Sale entry '!$X$2:$X$1501,"&lt;="&amp;$A335,'Daily Sale entry '!$Z$2:$Z$1501,"Other deposit 其他存入")+SUMIFS('Daily Sale entry '!$AD$2:$AD$1501,'Daily Sale entry '!$X$2:$X$1501,"&lt;="&amp;$A335)+('Opening Balance'!$B$8+SUM('Daily Sale entry '!$L$2:M335)-F335),2))</f>
        <v/>
      </c>
      <c r="L335">
        <f>IF($A335="","",IF(ABS('Sales &amp; Collection'!$B$4674)&gt;'Opening Balance'!$B$16,"ALERT 警报: Different "&amp;TEXT('Sales &amp; Collection'!$B$4674,"#,##0.00")&amp;" 差额过大",""))</f>
        <v/>
      </c>
    </row>
    <row r="336">
      <c r="A336" s="5">
        <f>IF('Daily Sale entry '!A336="","",'Daily Sale entry '!A336)</f>
        <v/>
      </c>
      <c r="B336" s="6">
        <f>IF($A336="","",ROUND('Opening Balance'!$B$4+SUM('Daily Sale entry '!$K$2:K336)+SUMIFS('Daily Sale entry '!$AC$2:$AC$1501,'Daily Sale entry '!$X$2:$X$1501,"&lt;="&amp;$A336)-SUMIFS('Daily Sale entry '!$AD$2:$AD$1501,'Daily Sale entry '!$X$2:$X$1501,"&lt;="&amp;$A336)+SUMPRODUCT(('Daily Sale entry '!$Q$2:$Q$1501="Collection 收款")*('Daily Sale entry '!$R$2:$R$1501="Cheque 支票")*('Daily Sale entry '!$V$2:$V$1501&lt;&gt;"")*('Daily Sale entry '!$V$2:$V$1501&lt;=$A336)*('Daily Sale entry '!$S$2:$S$1501-'Opening Balance'!$B$15*('Daily Sale entry '!$R$2:$R$1501="Cheque 支票")*('Daily Sale entry '!$S$2:$S$1501-TRUNC('Daily Sale entry '!$S$2:$S$1501))))-'Opening Balance'!$B$15*SUMPRODUCT(('Daily Sale entry '!$X$2:$X$1501&lt;=$A336)*('Daily Sale entry '!$Z$2:$Z$1501="Online collection 网上收款")*('Daily Sale entry '!$AA$2:$AA$1501&lt;&gt;"")*('Daily Sale entry '!$AC$2:$AC$1501-TRUNC('Daily Sale entry '!$AC$2:$AC$1501))),2))</f>
        <v/>
      </c>
      <c r="C336" s="8">
        <f>IF($A336="","",'Opening Balance'!$B$5+SUM('Daily Sale entry '!$I$2:I336)-SUMIFS('Daily Sale entry '!$AB$2:$AB$1501,'Daily Sale entry '!$X$2:$X$1501,"&lt;="&amp;$A336,'Daily Sale entry '!$Z$2:$Z$1501,"Cheque deposit 支票存入")-COUNTIFS('Daily Sale entry '!$Q$2:$Q$1501,"Collection 收款",'Daily Sale entry '!$R$2:$R$1501,"Cheque 支票",'Daily Sale entry '!$V$2:$V$1501,"&lt;="&amp;$A336))</f>
        <v/>
      </c>
      <c r="D336" s="6">
        <f>IF($A336="","",ROUND('Opening Balance'!$B$6+SUM('Daily Sale entry '!$J$2:J336)-SUMIFS('Daily Sale entry '!$AC$2:$AC$1501,'Daily Sale entry '!$X$2:$X$1501,"&lt;="&amp;$A336,'Daily Sale entry '!$Z$2:$Z$1501,"Cheque deposit 支票存入")-SUMPRODUCT(('Daily Sale entry '!$Q$2:$Q$1501="Collection 收款")*('Daily Sale entry '!$R$2:$R$1501="Cheque 支票")*('Daily Sale entry '!$V$2:$V$1501&lt;&gt;"")*('Daily Sale entry '!$V$2:$V$1501&lt;=$A336)*('Daily Sale entry '!$S$2:$S$1501-'Opening Balance'!$B$15*('Daily Sale entry '!$R$2:$R$1501="Cheque 支票")*('Daily Sale entry '!$S$2:$S$1501-TRUNC('Daily Sale entry '!$S$2:$S$1501)))),2))</f>
        <v/>
      </c>
      <c r="E336" s="6">
        <f>IF($A336="","",'Opening Balance'!$B$7)</f>
        <v/>
      </c>
      <c r="F336" s="6">
        <f>IF($A336="","",ROUND(SUMIFS('Daily Sale entry '!$L$2:$L$367,'Daily Sale entry '!$A$2:$A$367,"&gt;="&amp;DATE(YEAR($A336),MONTH($A336),1),'Daily Sale entry '!$A$2:$A$367,"&lt;="&amp;$A336)+SUMIFS('Daily Sale entry '!$M$2:$M$367,'Daily Sale entry '!$A$2:$A$367,"&gt;="&amp;DATE(YEAR($A336),MONTH($A336),1),'Daily Sale entry '!$A$2:$A$367,"&lt;="&amp;$A336)+IF(AND(YEAR($A336)=YEAR('Daily Sale entry '!$A$2),MONTH($A336)=MONTH('Daily Sale entry '!$A$2)),'Opening Balance'!$B$8,0),2))</f>
        <v/>
      </c>
      <c r="G336" s="6">
        <f>IF($A336="","",MOD(ROUND('Opening Balance'!$B$9+SUMIFS('Sales &amp; Collection'!$L$1:$L$4679,'Sales &amp; Collection'!$K$1:$K$4679,"cash collection*"),2),'Opening Balance'!$B$11))</f>
        <v/>
      </c>
      <c r="H336" s="6">
        <f>IF($A336="","",ROUND('Opening Balance'!$B$10+'Opening Balance'!$B$9+SUMIFS('Sales &amp; Collection'!$L$1:$L$4679,'Sales &amp; Collection'!$K$1:$K$4679,"cash collection*")-G336-SUMIFS('Daily Sale entry '!$AC$2:$AC$1501,'Daily Sale entry '!$X$2:$X$1501,"&lt;="&amp;$A336,'Daily Sale entry '!$Z$2:$Z$1501,"Cash deposit 现金存入"),2))</f>
        <v/>
      </c>
      <c r="I336" s="6">
        <f>IF($A336="","",ROUND(B336+D336+E336+F336+G336+H336,2))</f>
        <v/>
      </c>
      <c r="J336" s="6">
        <f>IF($A336="","",'AR &amp; AP'!K337)</f>
        <v/>
      </c>
      <c r="K336" s="6">
        <f>IF($A336="","",ROUND(I336-J336-SUMIFS('Daily Sale entry '!$AC$2:$AC$1501,'Daily Sale entry '!$X$2:$X$1501,"&lt;="&amp;$A336,'Daily Sale entry '!$Z$2:$Z$1501,"Other deposit 其他存入")+SUMIFS('Daily Sale entry '!$AD$2:$AD$1501,'Daily Sale entry '!$X$2:$X$1501,"&lt;="&amp;$A336)+('Opening Balance'!$B$8+SUM('Daily Sale entry '!$L$2:M336)-F336),2))</f>
        <v/>
      </c>
      <c r="L336">
        <f>IF($A336="","",IF(ABS('Sales &amp; Collection'!$B$4688)&gt;'Opening Balance'!$B$16,"ALERT 警报: Different "&amp;TEXT('Sales &amp; Collection'!$B$4688,"#,##0.00")&amp;" 差额过大",""))</f>
        <v/>
      </c>
    </row>
    <row r="337">
      <c r="A337" s="5">
        <f>IF('Daily Sale entry '!A337="","",'Daily Sale entry '!A337)</f>
        <v/>
      </c>
      <c r="B337" s="6">
        <f>IF($A337="","",ROUND('Opening Balance'!$B$4+SUM('Daily Sale entry '!$K$2:K337)+SUMIFS('Daily Sale entry '!$AC$2:$AC$1501,'Daily Sale entry '!$X$2:$X$1501,"&lt;="&amp;$A337)-SUMIFS('Daily Sale entry '!$AD$2:$AD$1501,'Daily Sale entry '!$X$2:$X$1501,"&lt;="&amp;$A337)+SUMPRODUCT(('Daily Sale entry '!$Q$2:$Q$1501="Collection 收款")*('Daily Sale entry '!$R$2:$R$1501="Cheque 支票")*('Daily Sale entry '!$V$2:$V$1501&lt;&gt;"")*('Daily Sale entry '!$V$2:$V$1501&lt;=$A337)*('Daily Sale entry '!$S$2:$S$1501-'Opening Balance'!$B$15*('Daily Sale entry '!$R$2:$R$1501="Cheque 支票")*('Daily Sale entry '!$S$2:$S$1501-TRUNC('Daily Sale entry '!$S$2:$S$1501))))-'Opening Balance'!$B$15*SUMPRODUCT(('Daily Sale entry '!$X$2:$X$1501&lt;=$A337)*('Daily Sale entry '!$Z$2:$Z$1501="Online collection 网上收款")*('Daily Sale entry '!$AA$2:$AA$1501&lt;&gt;"")*('Daily Sale entry '!$AC$2:$AC$1501-TRUNC('Daily Sale entry '!$AC$2:$AC$1501))),2))</f>
        <v/>
      </c>
      <c r="C337" s="8">
        <f>IF($A337="","",'Opening Balance'!$B$5+SUM('Daily Sale entry '!$I$2:I337)-SUMIFS('Daily Sale entry '!$AB$2:$AB$1501,'Daily Sale entry '!$X$2:$X$1501,"&lt;="&amp;$A337,'Daily Sale entry '!$Z$2:$Z$1501,"Cheque deposit 支票存入")-COUNTIFS('Daily Sale entry '!$Q$2:$Q$1501,"Collection 收款",'Daily Sale entry '!$R$2:$R$1501,"Cheque 支票",'Daily Sale entry '!$V$2:$V$1501,"&lt;="&amp;$A337))</f>
        <v/>
      </c>
      <c r="D337" s="6">
        <f>IF($A337="","",ROUND('Opening Balance'!$B$6+SUM('Daily Sale entry '!$J$2:J337)-SUMIFS('Daily Sale entry '!$AC$2:$AC$1501,'Daily Sale entry '!$X$2:$X$1501,"&lt;="&amp;$A337,'Daily Sale entry '!$Z$2:$Z$1501,"Cheque deposit 支票存入")-SUMPRODUCT(('Daily Sale entry '!$Q$2:$Q$1501="Collection 收款")*('Daily Sale entry '!$R$2:$R$1501="Cheque 支票")*('Daily Sale entry '!$V$2:$V$1501&lt;&gt;"")*('Daily Sale entry '!$V$2:$V$1501&lt;=$A337)*('Daily Sale entry '!$S$2:$S$1501-'Opening Balance'!$B$15*('Daily Sale entry '!$R$2:$R$1501="Cheque 支票")*('Daily Sale entry '!$S$2:$S$1501-TRUNC('Daily Sale entry '!$S$2:$S$1501)))),2))</f>
        <v/>
      </c>
      <c r="E337" s="6">
        <f>IF($A337="","",'Opening Balance'!$B$7)</f>
        <v/>
      </c>
      <c r="F337" s="6">
        <f>IF($A337="","",ROUND(SUMIFS('Daily Sale entry '!$L$2:$L$367,'Daily Sale entry '!$A$2:$A$367,"&gt;="&amp;DATE(YEAR($A337),MONTH($A337),1),'Daily Sale entry '!$A$2:$A$367,"&lt;="&amp;$A337)+SUMIFS('Daily Sale entry '!$M$2:$M$367,'Daily Sale entry '!$A$2:$A$367,"&gt;="&amp;DATE(YEAR($A337),MONTH($A337),1),'Daily Sale entry '!$A$2:$A$367,"&lt;="&amp;$A337)+IF(AND(YEAR($A337)=YEAR('Daily Sale entry '!$A$2),MONTH($A337)=MONTH('Daily Sale entry '!$A$2)),'Opening Balance'!$B$8,0),2))</f>
        <v/>
      </c>
      <c r="G337" s="6">
        <f>IF($A337="","",MOD(ROUND('Opening Balance'!$B$9+SUMIFS('Sales &amp; Collection'!$L$1:$L$4693,'Sales &amp; Collection'!$K$1:$K$4693,"cash collection*"),2),'Opening Balance'!$B$11))</f>
        <v/>
      </c>
      <c r="H337" s="6">
        <f>IF($A337="","",ROUND('Opening Balance'!$B$10+'Opening Balance'!$B$9+SUMIFS('Sales &amp; Collection'!$L$1:$L$4693,'Sales &amp; Collection'!$K$1:$K$4693,"cash collection*")-G337-SUMIFS('Daily Sale entry '!$AC$2:$AC$1501,'Daily Sale entry '!$X$2:$X$1501,"&lt;="&amp;$A337,'Daily Sale entry '!$Z$2:$Z$1501,"Cash deposit 现金存入"),2))</f>
        <v/>
      </c>
      <c r="I337" s="6">
        <f>IF($A337="","",ROUND(B337+D337+E337+F337+G337+H337,2))</f>
        <v/>
      </c>
      <c r="J337" s="6">
        <f>IF($A337="","",'AR &amp; AP'!K338)</f>
        <v/>
      </c>
      <c r="K337" s="6">
        <f>IF($A337="","",ROUND(I337-J337-SUMIFS('Daily Sale entry '!$AC$2:$AC$1501,'Daily Sale entry '!$X$2:$X$1501,"&lt;="&amp;$A337,'Daily Sale entry '!$Z$2:$Z$1501,"Other deposit 其他存入")+SUMIFS('Daily Sale entry '!$AD$2:$AD$1501,'Daily Sale entry '!$X$2:$X$1501,"&lt;="&amp;$A337)+('Opening Balance'!$B$8+SUM('Daily Sale entry '!$L$2:M337)-F337),2))</f>
        <v/>
      </c>
      <c r="L337">
        <f>IF($A337="","",IF(ABS('Sales &amp; Collection'!$B$4702)&gt;'Opening Balance'!$B$16,"ALERT 警报: Different "&amp;TEXT('Sales &amp; Collection'!$B$4702,"#,##0.00")&amp;" 差额过大",""))</f>
        <v/>
      </c>
    </row>
    <row r="338">
      <c r="A338" s="5">
        <f>IF('Daily Sale entry '!A338="","",'Daily Sale entry '!A338)</f>
        <v/>
      </c>
      <c r="B338" s="6">
        <f>IF($A338="","",ROUND('Opening Balance'!$B$4+SUM('Daily Sale entry '!$K$2:K338)+SUMIFS('Daily Sale entry '!$AC$2:$AC$1501,'Daily Sale entry '!$X$2:$X$1501,"&lt;="&amp;$A338)-SUMIFS('Daily Sale entry '!$AD$2:$AD$1501,'Daily Sale entry '!$X$2:$X$1501,"&lt;="&amp;$A338)+SUMPRODUCT(('Daily Sale entry '!$Q$2:$Q$1501="Collection 收款")*('Daily Sale entry '!$R$2:$R$1501="Cheque 支票")*('Daily Sale entry '!$V$2:$V$1501&lt;&gt;"")*('Daily Sale entry '!$V$2:$V$1501&lt;=$A338)*('Daily Sale entry '!$S$2:$S$1501-'Opening Balance'!$B$15*('Daily Sale entry '!$R$2:$R$1501="Cheque 支票")*('Daily Sale entry '!$S$2:$S$1501-TRUNC('Daily Sale entry '!$S$2:$S$1501))))-'Opening Balance'!$B$15*SUMPRODUCT(('Daily Sale entry '!$X$2:$X$1501&lt;=$A338)*('Daily Sale entry '!$Z$2:$Z$1501="Online collection 网上收款")*('Daily Sale entry '!$AA$2:$AA$1501&lt;&gt;"")*('Daily Sale entry '!$AC$2:$AC$1501-TRUNC('Daily Sale entry '!$AC$2:$AC$1501))),2))</f>
        <v/>
      </c>
      <c r="C338" s="8">
        <f>IF($A338="","",'Opening Balance'!$B$5+SUM('Daily Sale entry '!$I$2:I338)-SUMIFS('Daily Sale entry '!$AB$2:$AB$1501,'Daily Sale entry '!$X$2:$X$1501,"&lt;="&amp;$A338,'Daily Sale entry '!$Z$2:$Z$1501,"Cheque deposit 支票存入")-COUNTIFS('Daily Sale entry '!$Q$2:$Q$1501,"Collection 收款",'Daily Sale entry '!$R$2:$R$1501,"Cheque 支票",'Daily Sale entry '!$V$2:$V$1501,"&lt;="&amp;$A338))</f>
        <v/>
      </c>
      <c r="D338" s="6">
        <f>IF($A338="","",ROUND('Opening Balance'!$B$6+SUM('Daily Sale entry '!$J$2:J338)-SUMIFS('Daily Sale entry '!$AC$2:$AC$1501,'Daily Sale entry '!$X$2:$X$1501,"&lt;="&amp;$A338,'Daily Sale entry '!$Z$2:$Z$1501,"Cheque deposit 支票存入")-SUMPRODUCT(('Daily Sale entry '!$Q$2:$Q$1501="Collection 收款")*('Daily Sale entry '!$R$2:$R$1501="Cheque 支票")*('Daily Sale entry '!$V$2:$V$1501&lt;&gt;"")*('Daily Sale entry '!$V$2:$V$1501&lt;=$A338)*('Daily Sale entry '!$S$2:$S$1501-'Opening Balance'!$B$15*('Daily Sale entry '!$R$2:$R$1501="Cheque 支票")*('Daily Sale entry '!$S$2:$S$1501-TRUNC('Daily Sale entry '!$S$2:$S$1501)))),2))</f>
        <v/>
      </c>
      <c r="E338" s="6">
        <f>IF($A338="","",'Opening Balance'!$B$7)</f>
        <v/>
      </c>
      <c r="F338" s="6">
        <f>IF($A338="","",ROUND(SUMIFS('Daily Sale entry '!$L$2:$L$367,'Daily Sale entry '!$A$2:$A$367,"&gt;="&amp;DATE(YEAR($A338),MONTH($A338),1),'Daily Sale entry '!$A$2:$A$367,"&lt;="&amp;$A338)+SUMIFS('Daily Sale entry '!$M$2:$M$367,'Daily Sale entry '!$A$2:$A$367,"&gt;="&amp;DATE(YEAR($A338),MONTH($A338),1),'Daily Sale entry '!$A$2:$A$367,"&lt;="&amp;$A338)+IF(AND(YEAR($A338)=YEAR('Daily Sale entry '!$A$2),MONTH($A338)=MONTH('Daily Sale entry '!$A$2)),'Opening Balance'!$B$8,0),2))</f>
        <v/>
      </c>
      <c r="G338" s="6">
        <f>IF($A338="","",MOD(ROUND('Opening Balance'!$B$9+SUMIFS('Sales &amp; Collection'!$L$1:$L$4707,'Sales &amp; Collection'!$K$1:$K$4707,"cash collection*"),2),'Opening Balance'!$B$11))</f>
        <v/>
      </c>
      <c r="H338" s="6">
        <f>IF($A338="","",ROUND('Opening Balance'!$B$10+'Opening Balance'!$B$9+SUMIFS('Sales &amp; Collection'!$L$1:$L$4707,'Sales &amp; Collection'!$K$1:$K$4707,"cash collection*")-G338-SUMIFS('Daily Sale entry '!$AC$2:$AC$1501,'Daily Sale entry '!$X$2:$X$1501,"&lt;="&amp;$A338,'Daily Sale entry '!$Z$2:$Z$1501,"Cash deposit 现金存入"),2))</f>
        <v/>
      </c>
      <c r="I338" s="6">
        <f>IF($A338="","",ROUND(B338+D338+E338+F338+G338+H338,2))</f>
        <v/>
      </c>
      <c r="J338" s="6">
        <f>IF($A338="","",'AR &amp; AP'!K339)</f>
        <v/>
      </c>
      <c r="K338" s="6">
        <f>IF($A338="","",ROUND(I338-J338-SUMIFS('Daily Sale entry '!$AC$2:$AC$1501,'Daily Sale entry '!$X$2:$X$1501,"&lt;="&amp;$A338,'Daily Sale entry '!$Z$2:$Z$1501,"Other deposit 其他存入")+SUMIFS('Daily Sale entry '!$AD$2:$AD$1501,'Daily Sale entry '!$X$2:$X$1501,"&lt;="&amp;$A338)+('Opening Balance'!$B$8+SUM('Daily Sale entry '!$L$2:M338)-F338),2))</f>
        <v/>
      </c>
      <c r="L338">
        <f>IF($A338="","",IF(ABS('Sales &amp; Collection'!$B$4716)&gt;'Opening Balance'!$B$16,"ALERT 警报: Different "&amp;TEXT('Sales &amp; Collection'!$B$4716,"#,##0.00")&amp;" 差额过大",""))</f>
        <v/>
      </c>
    </row>
    <row r="339">
      <c r="A339" s="5">
        <f>IF('Daily Sale entry '!A339="","",'Daily Sale entry '!A339)</f>
        <v/>
      </c>
      <c r="B339" s="6">
        <f>IF($A339="","",ROUND('Opening Balance'!$B$4+SUM('Daily Sale entry '!$K$2:K339)+SUMIFS('Daily Sale entry '!$AC$2:$AC$1501,'Daily Sale entry '!$X$2:$X$1501,"&lt;="&amp;$A339)-SUMIFS('Daily Sale entry '!$AD$2:$AD$1501,'Daily Sale entry '!$X$2:$X$1501,"&lt;="&amp;$A339)+SUMPRODUCT(('Daily Sale entry '!$Q$2:$Q$1501="Collection 收款")*('Daily Sale entry '!$R$2:$R$1501="Cheque 支票")*('Daily Sale entry '!$V$2:$V$1501&lt;&gt;"")*('Daily Sale entry '!$V$2:$V$1501&lt;=$A339)*('Daily Sale entry '!$S$2:$S$1501-'Opening Balance'!$B$15*('Daily Sale entry '!$R$2:$R$1501="Cheque 支票")*('Daily Sale entry '!$S$2:$S$1501-TRUNC('Daily Sale entry '!$S$2:$S$1501))))-'Opening Balance'!$B$15*SUMPRODUCT(('Daily Sale entry '!$X$2:$X$1501&lt;=$A339)*('Daily Sale entry '!$Z$2:$Z$1501="Online collection 网上收款")*('Daily Sale entry '!$AA$2:$AA$1501&lt;&gt;"")*('Daily Sale entry '!$AC$2:$AC$1501-TRUNC('Daily Sale entry '!$AC$2:$AC$1501))),2))</f>
        <v/>
      </c>
      <c r="C339" s="8">
        <f>IF($A339="","",'Opening Balance'!$B$5+SUM('Daily Sale entry '!$I$2:I339)-SUMIFS('Daily Sale entry '!$AB$2:$AB$1501,'Daily Sale entry '!$X$2:$X$1501,"&lt;="&amp;$A339,'Daily Sale entry '!$Z$2:$Z$1501,"Cheque deposit 支票存入")-COUNTIFS('Daily Sale entry '!$Q$2:$Q$1501,"Collection 收款",'Daily Sale entry '!$R$2:$R$1501,"Cheque 支票",'Daily Sale entry '!$V$2:$V$1501,"&lt;="&amp;$A339))</f>
        <v/>
      </c>
      <c r="D339" s="6">
        <f>IF($A339="","",ROUND('Opening Balance'!$B$6+SUM('Daily Sale entry '!$J$2:J339)-SUMIFS('Daily Sale entry '!$AC$2:$AC$1501,'Daily Sale entry '!$X$2:$X$1501,"&lt;="&amp;$A339,'Daily Sale entry '!$Z$2:$Z$1501,"Cheque deposit 支票存入")-SUMPRODUCT(('Daily Sale entry '!$Q$2:$Q$1501="Collection 收款")*('Daily Sale entry '!$R$2:$R$1501="Cheque 支票")*('Daily Sale entry '!$V$2:$V$1501&lt;&gt;"")*('Daily Sale entry '!$V$2:$V$1501&lt;=$A339)*('Daily Sale entry '!$S$2:$S$1501-'Opening Balance'!$B$15*('Daily Sale entry '!$R$2:$R$1501="Cheque 支票")*('Daily Sale entry '!$S$2:$S$1501-TRUNC('Daily Sale entry '!$S$2:$S$1501)))),2))</f>
        <v/>
      </c>
      <c r="E339" s="6">
        <f>IF($A339="","",'Opening Balance'!$B$7)</f>
        <v/>
      </c>
      <c r="F339" s="6">
        <f>IF($A339="","",ROUND(SUMIFS('Daily Sale entry '!$L$2:$L$367,'Daily Sale entry '!$A$2:$A$367,"&gt;="&amp;DATE(YEAR($A339),MONTH($A339),1),'Daily Sale entry '!$A$2:$A$367,"&lt;="&amp;$A339)+SUMIFS('Daily Sale entry '!$M$2:$M$367,'Daily Sale entry '!$A$2:$A$367,"&gt;="&amp;DATE(YEAR($A339),MONTH($A339),1),'Daily Sale entry '!$A$2:$A$367,"&lt;="&amp;$A339)+IF(AND(YEAR($A339)=YEAR('Daily Sale entry '!$A$2),MONTH($A339)=MONTH('Daily Sale entry '!$A$2)),'Opening Balance'!$B$8,0),2))</f>
        <v/>
      </c>
      <c r="G339" s="6">
        <f>IF($A339="","",MOD(ROUND('Opening Balance'!$B$9+SUMIFS('Sales &amp; Collection'!$L$1:$L$4721,'Sales &amp; Collection'!$K$1:$K$4721,"cash collection*"),2),'Opening Balance'!$B$11))</f>
        <v/>
      </c>
      <c r="H339" s="6">
        <f>IF($A339="","",ROUND('Opening Balance'!$B$10+'Opening Balance'!$B$9+SUMIFS('Sales &amp; Collection'!$L$1:$L$4721,'Sales &amp; Collection'!$K$1:$K$4721,"cash collection*")-G339-SUMIFS('Daily Sale entry '!$AC$2:$AC$1501,'Daily Sale entry '!$X$2:$X$1501,"&lt;="&amp;$A339,'Daily Sale entry '!$Z$2:$Z$1501,"Cash deposit 现金存入"),2))</f>
        <v/>
      </c>
      <c r="I339" s="6">
        <f>IF($A339="","",ROUND(B339+D339+E339+F339+G339+H339,2))</f>
        <v/>
      </c>
      <c r="J339" s="6">
        <f>IF($A339="","",'AR &amp; AP'!K340)</f>
        <v/>
      </c>
      <c r="K339" s="6">
        <f>IF($A339="","",ROUND(I339-J339-SUMIFS('Daily Sale entry '!$AC$2:$AC$1501,'Daily Sale entry '!$X$2:$X$1501,"&lt;="&amp;$A339,'Daily Sale entry '!$Z$2:$Z$1501,"Other deposit 其他存入")+SUMIFS('Daily Sale entry '!$AD$2:$AD$1501,'Daily Sale entry '!$X$2:$X$1501,"&lt;="&amp;$A339)+('Opening Balance'!$B$8+SUM('Daily Sale entry '!$L$2:M339)-F339),2))</f>
        <v/>
      </c>
      <c r="L339">
        <f>IF($A339="","",IF(ABS('Sales &amp; Collection'!$B$4730)&gt;'Opening Balance'!$B$16,"ALERT 警报: Different "&amp;TEXT('Sales &amp; Collection'!$B$4730,"#,##0.00")&amp;" 差额过大",""))</f>
        <v/>
      </c>
    </row>
    <row r="340">
      <c r="A340" s="5">
        <f>IF('Daily Sale entry '!A340="","",'Daily Sale entry '!A340)</f>
        <v/>
      </c>
      <c r="B340" s="6">
        <f>IF($A340="","",ROUND('Opening Balance'!$B$4+SUM('Daily Sale entry '!$K$2:K340)+SUMIFS('Daily Sale entry '!$AC$2:$AC$1501,'Daily Sale entry '!$X$2:$X$1501,"&lt;="&amp;$A340)-SUMIFS('Daily Sale entry '!$AD$2:$AD$1501,'Daily Sale entry '!$X$2:$X$1501,"&lt;="&amp;$A340)+SUMPRODUCT(('Daily Sale entry '!$Q$2:$Q$1501="Collection 收款")*('Daily Sale entry '!$R$2:$R$1501="Cheque 支票")*('Daily Sale entry '!$V$2:$V$1501&lt;&gt;"")*('Daily Sale entry '!$V$2:$V$1501&lt;=$A340)*('Daily Sale entry '!$S$2:$S$1501-'Opening Balance'!$B$15*('Daily Sale entry '!$R$2:$R$1501="Cheque 支票")*('Daily Sale entry '!$S$2:$S$1501-TRUNC('Daily Sale entry '!$S$2:$S$1501))))-'Opening Balance'!$B$15*SUMPRODUCT(('Daily Sale entry '!$X$2:$X$1501&lt;=$A340)*('Daily Sale entry '!$Z$2:$Z$1501="Online collection 网上收款")*('Daily Sale entry '!$AA$2:$AA$1501&lt;&gt;"")*('Daily Sale entry '!$AC$2:$AC$1501-TRUNC('Daily Sale entry '!$AC$2:$AC$1501))),2))</f>
        <v/>
      </c>
      <c r="C340" s="8">
        <f>IF($A340="","",'Opening Balance'!$B$5+SUM('Daily Sale entry '!$I$2:I340)-SUMIFS('Daily Sale entry '!$AB$2:$AB$1501,'Daily Sale entry '!$X$2:$X$1501,"&lt;="&amp;$A340,'Daily Sale entry '!$Z$2:$Z$1501,"Cheque deposit 支票存入")-COUNTIFS('Daily Sale entry '!$Q$2:$Q$1501,"Collection 收款",'Daily Sale entry '!$R$2:$R$1501,"Cheque 支票",'Daily Sale entry '!$V$2:$V$1501,"&lt;="&amp;$A340))</f>
        <v/>
      </c>
      <c r="D340" s="6">
        <f>IF($A340="","",ROUND('Opening Balance'!$B$6+SUM('Daily Sale entry '!$J$2:J340)-SUMIFS('Daily Sale entry '!$AC$2:$AC$1501,'Daily Sale entry '!$X$2:$X$1501,"&lt;="&amp;$A340,'Daily Sale entry '!$Z$2:$Z$1501,"Cheque deposit 支票存入")-SUMPRODUCT(('Daily Sale entry '!$Q$2:$Q$1501="Collection 收款")*('Daily Sale entry '!$R$2:$R$1501="Cheque 支票")*('Daily Sale entry '!$V$2:$V$1501&lt;&gt;"")*('Daily Sale entry '!$V$2:$V$1501&lt;=$A340)*('Daily Sale entry '!$S$2:$S$1501-'Opening Balance'!$B$15*('Daily Sale entry '!$R$2:$R$1501="Cheque 支票")*('Daily Sale entry '!$S$2:$S$1501-TRUNC('Daily Sale entry '!$S$2:$S$1501)))),2))</f>
        <v/>
      </c>
      <c r="E340" s="6">
        <f>IF($A340="","",'Opening Balance'!$B$7)</f>
        <v/>
      </c>
      <c r="F340" s="6">
        <f>IF($A340="","",ROUND(SUMIFS('Daily Sale entry '!$L$2:$L$367,'Daily Sale entry '!$A$2:$A$367,"&gt;="&amp;DATE(YEAR($A340),MONTH($A340),1),'Daily Sale entry '!$A$2:$A$367,"&lt;="&amp;$A340)+SUMIFS('Daily Sale entry '!$M$2:$M$367,'Daily Sale entry '!$A$2:$A$367,"&gt;="&amp;DATE(YEAR($A340),MONTH($A340),1),'Daily Sale entry '!$A$2:$A$367,"&lt;="&amp;$A340)+IF(AND(YEAR($A340)=YEAR('Daily Sale entry '!$A$2),MONTH($A340)=MONTH('Daily Sale entry '!$A$2)),'Opening Balance'!$B$8,0),2))</f>
        <v/>
      </c>
      <c r="G340" s="6">
        <f>IF($A340="","",MOD(ROUND('Opening Balance'!$B$9+SUMIFS('Sales &amp; Collection'!$L$1:$L$4735,'Sales &amp; Collection'!$K$1:$K$4735,"cash collection*"),2),'Opening Balance'!$B$11))</f>
        <v/>
      </c>
      <c r="H340" s="6">
        <f>IF($A340="","",ROUND('Opening Balance'!$B$10+'Opening Balance'!$B$9+SUMIFS('Sales &amp; Collection'!$L$1:$L$4735,'Sales &amp; Collection'!$K$1:$K$4735,"cash collection*")-G340-SUMIFS('Daily Sale entry '!$AC$2:$AC$1501,'Daily Sale entry '!$X$2:$X$1501,"&lt;="&amp;$A340,'Daily Sale entry '!$Z$2:$Z$1501,"Cash deposit 现金存入"),2))</f>
        <v/>
      </c>
      <c r="I340" s="6">
        <f>IF($A340="","",ROUND(B340+D340+E340+F340+G340+H340,2))</f>
        <v/>
      </c>
      <c r="J340" s="6">
        <f>IF($A340="","",'AR &amp; AP'!K341)</f>
        <v/>
      </c>
      <c r="K340" s="6">
        <f>IF($A340="","",ROUND(I340-J340-SUMIFS('Daily Sale entry '!$AC$2:$AC$1501,'Daily Sale entry '!$X$2:$X$1501,"&lt;="&amp;$A340,'Daily Sale entry '!$Z$2:$Z$1501,"Other deposit 其他存入")+SUMIFS('Daily Sale entry '!$AD$2:$AD$1501,'Daily Sale entry '!$X$2:$X$1501,"&lt;="&amp;$A340)+('Opening Balance'!$B$8+SUM('Daily Sale entry '!$L$2:M340)-F340),2))</f>
        <v/>
      </c>
      <c r="L340">
        <f>IF($A340="","",IF(ABS('Sales &amp; Collection'!$B$4744)&gt;'Opening Balance'!$B$16,"ALERT 警报: Different "&amp;TEXT('Sales &amp; Collection'!$B$4744,"#,##0.00")&amp;" 差额过大",""))</f>
        <v/>
      </c>
    </row>
    <row r="341">
      <c r="A341" s="5">
        <f>IF('Daily Sale entry '!A341="","",'Daily Sale entry '!A341)</f>
        <v/>
      </c>
      <c r="B341" s="6">
        <f>IF($A341="","",ROUND('Opening Balance'!$B$4+SUM('Daily Sale entry '!$K$2:K341)+SUMIFS('Daily Sale entry '!$AC$2:$AC$1501,'Daily Sale entry '!$X$2:$X$1501,"&lt;="&amp;$A341)-SUMIFS('Daily Sale entry '!$AD$2:$AD$1501,'Daily Sale entry '!$X$2:$X$1501,"&lt;="&amp;$A341)+SUMPRODUCT(('Daily Sale entry '!$Q$2:$Q$1501="Collection 收款")*('Daily Sale entry '!$R$2:$R$1501="Cheque 支票")*('Daily Sale entry '!$V$2:$V$1501&lt;&gt;"")*('Daily Sale entry '!$V$2:$V$1501&lt;=$A341)*('Daily Sale entry '!$S$2:$S$1501-'Opening Balance'!$B$15*('Daily Sale entry '!$R$2:$R$1501="Cheque 支票")*('Daily Sale entry '!$S$2:$S$1501-TRUNC('Daily Sale entry '!$S$2:$S$1501))))-'Opening Balance'!$B$15*SUMPRODUCT(('Daily Sale entry '!$X$2:$X$1501&lt;=$A341)*('Daily Sale entry '!$Z$2:$Z$1501="Online collection 网上收款")*('Daily Sale entry '!$AA$2:$AA$1501&lt;&gt;"")*('Daily Sale entry '!$AC$2:$AC$1501-TRUNC('Daily Sale entry '!$AC$2:$AC$1501))),2))</f>
        <v/>
      </c>
      <c r="C341" s="8">
        <f>IF($A341="","",'Opening Balance'!$B$5+SUM('Daily Sale entry '!$I$2:I341)-SUMIFS('Daily Sale entry '!$AB$2:$AB$1501,'Daily Sale entry '!$X$2:$X$1501,"&lt;="&amp;$A341,'Daily Sale entry '!$Z$2:$Z$1501,"Cheque deposit 支票存入")-COUNTIFS('Daily Sale entry '!$Q$2:$Q$1501,"Collection 收款",'Daily Sale entry '!$R$2:$R$1501,"Cheque 支票",'Daily Sale entry '!$V$2:$V$1501,"&lt;="&amp;$A341))</f>
        <v/>
      </c>
      <c r="D341" s="6">
        <f>IF($A341="","",ROUND('Opening Balance'!$B$6+SUM('Daily Sale entry '!$J$2:J341)-SUMIFS('Daily Sale entry '!$AC$2:$AC$1501,'Daily Sale entry '!$X$2:$X$1501,"&lt;="&amp;$A341,'Daily Sale entry '!$Z$2:$Z$1501,"Cheque deposit 支票存入")-SUMPRODUCT(('Daily Sale entry '!$Q$2:$Q$1501="Collection 收款")*('Daily Sale entry '!$R$2:$R$1501="Cheque 支票")*('Daily Sale entry '!$V$2:$V$1501&lt;&gt;"")*('Daily Sale entry '!$V$2:$V$1501&lt;=$A341)*('Daily Sale entry '!$S$2:$S$1501-'Opening Balance'!$B$15*('Daily Sale entry '!$R$2:$R$1501="Cheque 支票")*('Daily Sale entry '!$S$2:$S$1501-TRUNC('Daily Sale entry '!$S$2:$S$1501)))),2))</f>
        <v/>
      </c>
      <c r="E341" s="6">
        <f>IF($A341="","",'Opening Balance'!$B$7)</f>
        <v/>
      </c>
      <c r="F341" s="6">
        <f>IF($A341="","",ROUND(SUMIFS('Daily Sale entry '!$L$2:$L$367,'Daily Sale entry '!$A$2:$A$367,"&gt;="&amp;DATE(YEAR($A341),MONTH($A341),1),'Daily Sale entry '!$A$2:$A$367,"&lt;="&amp;$A341)+SUMIFS('Daily Sale entry '!$M$2:$M$367,'Daily Sale entry '!$A$2:$A$367,"&gt;="&amp;DATE(YEAR($A341),MONTH($A341),1),'Daily Sale entry '!$A$2:$A$367,"&lt;="&amp;$A341)+IF(AND(YEAR($A341)=YEAR('Daily Sale entry '!$A$2),MONTH($A341)=MONTH('Daily Sale entry '!$A$2)),'Opening Balance'!$B$8,0),2))</f>
        <v/>
      </c>
      <c r="G341" s="6">
        <f>IF($A341="","",MOD(ROUND('Opening Balance'!$B$9+SUMIFS('Sales &amp; Collection'!$L$1:$L$4749,'Sales &amp; Collection'!$K$1:$K$4749,"cash collection*"),2),'Opening Balance'!$B$11))</f>
        <v/>
      </c>
      <c r="H341" s="6">
        <f>IF($A341="","",ROUND('Opening Balance'!$B$10+'Opening Balance'!$B$9+SUMIFS('Sales &amp; Collection'!$L$1:$L$4749,'Sales &amp; Collection'!$K$1:$K$4749,"cash collection*")-G341-SUMIFS('Daily Sale entry '!$AC$2:$AC$1501,'Daily Sale entry '!$X$2:$X$1501,"&lt;="&amp;$A341,'Daily Sale entry '!$Z$2:$Z$1501,"Cash deposit 现金存入"),2))</f>
        <v/>
      </c>
      <c r="I341" s="6">
        <f>IF($A341="","",ROUND(B341+D341+E341+F341+G341+H341,2))</f>
        <v/>
      </c>
      <c r="J341" s="6">
        <f>IF($A341="","",'AR &amp; AP'!K342)</f>
        <v/>
      </c>
      <c r="K341" s="6">
        <f>IF($A341="","",ROUND(I341-J341-SUMIFS('Daily Sale entry '!$AC$2:$AC$1501,'Daily Sale entry '!$X$2:$X$1501,"&lt;="&amp;$A341,'Daily Sale entry '!$Z$2:$Z$1501,"Other deposit 其他存入")+SUMIFS('Daily Sale entry '!$AD$2:$AD$1501,'Daily Sale entry '!$X$2:$X$1501,"&lt;="&amp;$A341)+('Opening Balance'!$B$8+SUM('Daily Sale entry '!$L$2:M341)-F341),2))</f>
        <v/>
      </c>
      <c r="L341">
        <f>IF($A341="","",IF(ABS('Sales &amp; Collection'!$B$4758)&gt;'Opening Balance'!$B$16,"ALERT 警报: Different "&amp;TEXT('Sales &amp; Collection'!$B$4758,"#,##0.00")&amp;" 差额过大",""))</f>
        <v/>
      </c>
    </row>
    <row r="342">
      <c r="A342" s="5">
        <f>IF('Daily Sale entry '!A342="","",'Daily Sale entry '!A342)</f>
        <v/>
      </c>
      <c r="B342" s="6">
        <f>IF($A342="","",ROUND('Opening Balance'!$B$4+SUM('Daily Sale entry '!$K$2:K342)+SUMIFS('Daily Sale entry '!$AC$2:$AC$1501,'Daily Sale entry '!$X$2:$X$1501,"&lt;="&amp;$A342)-SUMIFS('Daily Sale entry '!$AD$2:$AD$1501,'Daily Sale entry '!$X$2:$X$1501,"&lt;="&amp;$A342)+SUMPRODUCT(('Daily Sale entry '!$Q$2:$Q$1501="Collection 收款")*('Daily Sale entry '!$R$2:$R$1501="Cheque 支票")*('Daily Sale entry '!$V$2:$V$1501&lt;&gt;"")*('Daily Sale entry '!$V$2:$V$1501&lt;=$A342)*('Daily Sale entry '!$S$2:$S$1501-'Opening Balance'!$B$15*('Daily Sale entry '!$R$2:$R$1501="Cheque 支票")*('Daily Sale entry '!$S$2:$S$1501-TRUNC('Daily Sale entry '!$S$2:$S$1501))))-'Opening Balance'!$B$15*SUMPRODUCT(('Daily Sale entry '!$X$2:$X$1501&lt;=$A342)*('Daily Sale entry '!$Z$2:$Z$1501="Online collection 网上收款")*('Daily Sale entry '!$AA$2:$AA$1501&lt;&gt;"")*('Daily Sale entry '!$AC$2:$AC$1501-TRUNC('Daily Sale entry '!$AC$2:$AC$1501))),2))</f>
        <v/>
      </c>
      <c r="C342" s="8">
        <f>IF($A342="","",'Opening Balance'!$B$5+SUM('Daily Sale entry '!$I$2:I342)-SUMIFS('Daily Sale entry '!$AB$2:$AB$1501,'Daily Sale entry '!$X$2:$X$1501,"&lt;="&amp;$A342,'Daily Sale entry '!$Z$2:$Z$1501,"Cheque deposit 支票存入")-COUNTIFS('Daily Sale entry '!$Q$2:$Q$1501,"Collection 收款",'Daily Sale entry '!$R$2:$R$1501,"Cheque 支票",'Daily Sale entry '!$V$2:$V$1501,"&lt;="&amp;$A342))</f>
        <v/>
      </c>
      <c r="D342" s="6">
        <f>IF($A342="","",ROUND('Opening Balance'!$B$6+SUM('Daily Sale entry '!$J$2:J342)-SUMIFS('Daily Sale entry '!$AC$2:$AC$1501,'Daily Sale entry '!$X$2:$X$1501,"&lt;="&amp;$A342,'Daily Sale entry '!$Z$2:$Z$1501,"Cheque deposit 支票存入")-SUMPRODUCT(('Daily Sale entry '!$Q$2:$Q$1501="Collection 收款")*('Daily Sale entry '!$R$2:$R$1501="Cheque 支票")*('Daily Sale entry '!$V$2:$V$1501&lt;&gt;"")*('Daily Sale entry '!$V$2:$V$1501&lt;=$A342)*('Daily Sale entry '!$S$2:$S$1501-'Opening Balance'!$B$15*('Daily Sale entry '!$R$2:$R$1501="Cheque 支票")*('Daily Sale entry '!$S$2:$S$1501-TRUNC('Daily Sale entry '!$S$2:$S$1501)))),2))</f>
        <v/>
      </c>
      <c r="E342" s="6">
        <f>IF($A342="","",'Opening Balance'!$B$7)</f>
        <v/>
      </c>
      <c r="F342" s="6">
        <f>IF($A342="","",ROUND(SUMIFS('Daily Sale entry '!$L$2:$L$367,'Daily Sale entry '!$A$2:$A$367,"&gt;="&amp;DATE(YEAR($A342),MONTH($A342),1),'Daily Sale entry '!$A$2:$A$367,"&lt;="&amp;$A342)+SUMIFS('Daily Sale entry '!$M$2:$M$367,'Daily Sale entry '!$A$2:$A$367,"&gt;="&amp;DATE(YEAR($A342),MONTH($A342),1),'Daily Sale entry '!$A$2:$A$367,"&lt;="&amp;$A342)+IF(AND(YEAR($A342)=YEAR('Daily Sale entry '!$A$2),MONTH($A342)=MONTH('Daily Sale entry '!$A$2)),'Opening Balance'!$B$8,0),2))</f>
        <v/>
      </c>
      <c r="G342" s="6">
        <f>IF($A342="","",MOD(ROUND('Opening Balance'!$B$9+SUMIFS('Sales &amp; Collection'!$L$1:$L$4763,'Sales &amp; Collection'!$K$1:$K$4763,"cash collection*"),2),'Opening Balance'!$B$11))</f>
        <v/>
      </c>
      <c r="H342" s="6">
        <f>IF($A342="","",ROUND('Opening Balance'!$B$10+'Opening Balance'!$B$9+SUMIFS('Sales &amp; Collection'!$L$1:$L$4763,'Sales &amp; Collection'!$K$1:$K$4763,"cash collection*")-G342-SUMIFS('Daily Sale entry '!$AC$2:$AC$1501,'Daily Sale entry '!$X$2:$X$1501,"&lt;="&amp;$A342,'Daily Sale entry '!$Z$2:$Z$1501,"Cash deposit 现金存入"),2))</f>
        <v/>
      </c>
      <c r="I342" s="6">
        <f>IF($A342="","",ROUND(B342+D342+E342+F342+G342+H342,2))</f>
        <v/>
      </c>
      <c r="J342" s="6">
        <f>IF($A342="","",'AR &amp; AP'!K343)</f>
        <v/>
      </c>
      <c r="K342" s="6">
        <f>IF($A342="","",ROUND(I342-J342-SUMIFS('Daily Sale entry '!$AC$2:$AC$1501,'Daily Sale entry '!$X$2:$X$1501,"&lt;="&amp;$A342,'Daily Sale entry '!$Z$2:$Z$1501,"Other deposit 其他存入")+SUMIFS('Daily Sale entry '!$AD$2:$AD$1501,'Daily Sale entry '!$X$2:$X$1501,"&lt;="&amp;$A342)+('Opening Balance'!$B$8+SUM('Daily Sale entry '!$L$2:M342)-F342),2))</f>
        <v/>
      </c>
      <c r="L342">
        <f>IF($A342="","",IF(ABS('Sales &amp; Collection'!$B$4772)&gt;'Opening Balance'!$B$16,"ALERT 警报: Different "&amp;TEXT('Sales &amp; Collection'!$B$4772,"#,##0.00")&amp;" 差额过大",""))</f>
        <v/>
      </c>
    </row>
    <row r="343">
      <c r="A343" s="5">
        <f>IF('Daily Sale entry '!A343="","",'Daily Sale entry '!A343)</f>
        <v/>
      </c>
      <c r="B343" s="6">
        <f>IF($A343="","",ROUND('Opening Balance'!$B$4+SUM('Daily Sale entry '!$K$2:K343)+SUMIFS('Daily Sale entry '!$AC$2:$AC$1501,'Daily Sale entry '!$X$2:$X$1501,"&lt;="&amp;$A343)-SUMIFS('Daily Sale entry '!$AD$2:$AD$1501,'Daily Sale entry '!$X$2:$X$1501,"&lt;="&amp;$A343)+SUMPRODUCT(('Daily Sale entry '!$Q$2:$Q$1501="Collection 收款")*('Daily Sale entry '!$R$2:$R$1501="Cheque 支票")*('Daily Sale entry '!$V$2:$V$1501&lt;&gt;"")*('Daily Sale entry '!$V$2:$V$1501&lt;=$A343)*('Daily Sale entry '!$S$2:$S$1501-'Opening Balance'!$B$15*('Daily Sale entry '!$R$2:$R$1501="Cheque 支票")*('Daily Sale entry '!$S$2:$S$1501-TRUNC('Daily Sale entry '!$S$2:$S$1501))))-'Opening Balance'!$B$15*SUMPRODUCT(('Daily Sale entry '!$X$2:$X$1501&lt;=$A343)*('Daily Sale entry '!$Z$2:$Z$1501="Online collection 网上收款")*('Daily Sale entry '!$AA$2:$AA$1501&lt;&gt;"")*('Daily Sale entry '!$AC$2:$AC$1501-TRUNC('Daily Sale entry '!$AC$2:$AC$1501))),2))</f>
        <v/>
      </c>
      <c r="C343" s="8">
        <f>IF($A343="","",'Opening Balance'!$B$5+SUM('Daily Sale entry '!$I$2:I343)-SUMIFS('Daily Sale entry '!$AB$2:$AB$1501,'Daily Sale entry '!$X$2:$X$1501,"&lt;="&amp;$A343,'Daily Sale entry '!$Z$2:$Z$1501,"Cheque deposit 支票存入")-COUNTIFS('Daily Sale entry '!$Q$2:$Q$1501,"Collection 收款",'Daily Sale entry '!$R$2:$R$1501,"Cheque 支票",'Daily Sale entry '!$V$2:$V$1501,"&lt;="&amp;$A343))</f>
        <v/>
      </c>
      <c r="D343" s="6">
        <f>IF($A343="","",ROUND('Opening Balance'!$B$6+SUM('Daily Sale entry '!$J$2:J343)-SUMIFS('Daily Sale entry '!$AC$2:$AC$1501,'Daily Sale entry '!$X$2:$X$1501,"&lt;="&amp;$A343,'Daily Sale entry '!$Z$2:$Z$1501,"Cheque deposit 支票存入")-SUMPRODUCT(('Daily Sale entry '!$Q$2:$Q$1501="Collection 收款")*('Daily Sale entry '!$R$2:$R$1501="Cheque 支票")*('Daily Sale entry '!$V$2:$V$1501&lt;&gt;"")*('Daily Sale entry '!$V$2:$V$1501&lt;=$A343)*('Daily Sale entry '!$S$2:$S$1501-'Opening Balance'!$B$15*('Daily Sale entry '!$R$2:$R$1501="Cheque 支票")*('Daily Sale entry '!$S$2:$S$1501-TRUNC('Daily Sale entry '!$S$2:$S$1501)))),2))</f>
        <v/>
      </c>
      <c r="E343" s="6">
        <f>IF($A343="","",'Opening Balance'!$B$7)</f>
        <v/>
      </c>
      <c r="F343" s="6">
        <f>IF($A343="","",ROUND(SUMIFS('Daily Sale entry '!$L$2:$L$367,'Daily Sale entry '!$A$2:$A$367,"&gt;="&amp;DATE(YEAR($A343),MONTH($A343),1),'Daily Sale entry '!$A$2:$A$367,"&lt;="&amp;$A343)+SUMIFS('Daily Sale entry '!$M$2:$M$367,'Daily Sale entry '!$A$2:$A$367,"&gt;="&amp;DATE(YEAR($A343),MONTH($A343),1),'Daily Sale entry '!$A$2:$A$367,"&lt;="&amp;$A343)+IF(AND(YEAR($A343)=YEAR('Daily Sale entry '!$A$2),MONTH($A343)=MONTH('Daily Sale entry '!$A$2)),'Opening Balance'!$B$8,0),2))</f>
        <v/>
      </c>
      <c r="G343" s="6">
        <f>IF($A343="","",MOD(ROUND('Opening Balance'!$B$9+SUMIFS('Sales &amp; Collection'!$L$1:$L$4777,'Sales &amp; Collection'!$K$1:$K$4777,"cash collection*"),2),'Opening Balance'!$B$11))</f>
        <v/>
      </c>
      <c r="H343" s="6">
        <f>IF($A343="","",ROUND('Opening Balance'!$B$10+'Opening Balance'!$B$9+SUMIFS('Sales &amp; Collection'!$L$1:$L$4777,'Sales &amp; Collection'!$K$1:$K$4777,"cash collection*")-G343-SUMIFS('Daily Sale entry '!$AC$2:$AC$1501,'Daily Sale entry '!$X$2:$X$1501,"&lt;="&amp;$A343,'Daily Sale entry '!$Z$2:$Z$1501,"Cash deposit 现金存入"),2))</f>
        <v/>
      </c>
      <c r="I343" s="6">
        <f>IF($A343="","",ROUND(B343+D343+E343+F343+G343+H343,2))</f>
        <v/>
      </c>
      <c r="J343" s="6">
        <f>IF($A343="","",'AR &amp; AP'!K344)</f>
        <v/>
      </c>
      <c r="K343" s="6">
        <f>IF($A343="","",ROUND(I343-J343-SUMIFS('Daily Sale entry '!$AC$2:$AC$1501,'Daily Sale entry '!$X$2:$X$1501,"&lt;="&amp;$A343,'Daily Sale entry '!$Z$2:$Z$1501,"Other deposit 其他存入")+SUMIFS('Daily Sale entry '!$AD$2:$AD$1501,'Daily Sale entry '!$X$2:$X$1501,"&lt;="&amp;$A343)+('Opening Balance'!$B$8+SUM('Daily Sale entry '!$L$2:M343)-F343),2))</f>
        <v/>
      </c>
      <c r="L343">
        <f>IF($A343="","",IF(ABS('Sales &amp; Collection'!$B$4786)&gt;'Opening Balance'!$B$16,"ALERT 警报: Different "&amp;TEXT('Sales &amp; Collection'!$B$4786,"#,##0.00")&amp;" 差额过大",""))</f>
        <v/>
      </c>
    </row>
    <row r="344">
      <c r="A344" s="5">
        <f>IF('Daily Sale entry '!A344="","",'Daily Sale entry '!A344)</f>
        <v/>
      </c>
      <c r="B344" s="6">
        <f>IF($A344="","",ROUND('Opening Balance'!$B$4+SUM('Daily Sale entry '!$K$2:K344)+SUMIFS('Daily Sale entry '!$AC$2:$AC$1501,'Daily Sale entry '!$X$2:$X$1501,"&lt;="&amp;$A344)-SUMIFS('Daily Sale entry '!$AD$2:$AD$1501,'Daily Sale entry '!$X$2:$X$1501,"&lt;="&amp;$A344)+SUMPRODUCT(('Daily Sale entry '!$Q$2:$Q$1501="Collection 收款")*('Daily Sale entry '!$R$2:$R$1501="Cheque 支票")*('Daily Sale entry '!$V$2:$V$1501&lt;&gt;"")*('Daily Sale entry '!$V$2:$V$1501&lt;=$A344)*('Daily Sale entry '!$S$2:$S$1501-'Opening Balance'!$B$15*('Daily Sale entry '!$R$2:$R$1501="Cheque 支票")*('Daily Sale entry '!$S$2:$S$1501-TRUNC('Daily Sale entry '!$S$2:$S$1501))))-'Opening Balance'!$B$15*SUMPRODUCT(('Daily Sale entry '!$X$2:$X$1501&lt;=$A344)*('Daily Sale entry '!$Z$2:$Z$1501="Online collection 网上收款")*('Daily Sale entry '!$AA$2:$AA$1501&lt;&gt;"")*('Daily Sale entry '!$AC$2:$AC$1501-TRUNC('Daily Sale entry '!$AC$2:$AC$1501))),2))</f>
        <v/>
      </c>
      <c r="C344" s="8">
        <f>IF($A344="","",'Opening Balance'!$B$5+SUM('Daily Sale entry '!$I$2:I344)-SUMIFS('Daily Sale entry '!$AB$2:$AB$1501,'Daily Sale entry '!$X$2:$X$1501,"&lt;="&amp;$A344,'Daily Sale entry '!$Z$2:$Z$1501,"Cheque deposit 支票存入")-COUNTIFS('Daily Sale entry '!$Q$2:$Q$1501,"Collection 收款",'Daily Sale entry '!$R$2:$R$1501,"Cheque 支票",'Daily Sale entry '!$V$2:$V$1501,"&lt;="&amp;$A344))</f>
        <v/>
      </c>
      <c r="D344" s="6">
        <f>IF($A344="","",ROUND('Opening Balance'!$B$6+SUM('Daily Sale entry '!$J$2:J344)-SUMIFS('Daily Sale entry '!$AC$2:$AC$1501,'Daily Sale entry '!$X$2:$X$1501,"&lt;="&amp;$A344,'Daily Sale entry '!$Z$2:$Z$1501,"Cheque deposit 支票存入")-SUMPRODUCT(('Daily Sale entry '!$Q$2:$Q$1501="Collection 收款")*('Daily Sale entry '!$R$2:$R$1501="Cheque 支票")*('Daily Sale entry '!$V$2:$V$1501&lt;&gt;"")*('Daily Sale entry '!$V$2:$V$1501&lt;=$A344)*('Daily Sale entry '!$S$2:$S$1501-'Opening Balance'!$B$15*('Daily Sale entry '!$R$2:$R$1501="Cheque 支票")*('Daily Sale entry '!$S$2:$S$1501-TRUNC('Daily Sale entry '!$S$2:$S$1501)))),2))</f>
        <v/>
      </c>
      <c r="E344" s="6">
        <f>IF($A344="","",'Opening Balance'!$B$7)</f>
        <v/>
      </c>
      <c r="F344" s="6">
        <f>IF($A344="","",ROUND(SUMIFS('Daily Sale entry '!$L$2:$L$367,'Daily Sale entry '!$A$2:$A$367,"&gt;="&amp;DATE(YEAR($A344),MONTH($A344),1),'Daily Sale entry '!$A$2:$A$367,"&lt;="&amp;$A344)+SUMIFS('Daily Sale entry '!$M$2:$M$367,'Daily Sale entry '!$A$2:$A$367,"&gt;="&amp;DATE(YEAR($A344),MONTH($A344),1),'Daily Sale entry '!$A$2:$A$367,"&lt;="&amp;$A344)+IF(AND(YEAR($A344)=YEAR('Daily Sale entry '!$A$2),MONTH($A344)=MONTH('Daily Sale entry '!$A$2)),'Opening Balance'!$B$8,0),2))</f>
        <v/>
      </c>
      <c r="G344" s="6">
        <f>IF($A344="","",MOD(ROUND('Opening Balance'!$B$9+SUMIFS('Sales &amp; Collection'!$L$1:$L$4791,'Sales &amp; Collection'!$K$1:$K$4791,"cash collection*"),2),'Opening Balance'!$B$11))</f>
        <v/>
      </c>
      <c r="H344" s="6">
        <f>IF($A344="","",ROUND('Opening Balance'!$B$10+'Opening Balance'!$B$9+SUMIFS('Sales &amp; Collection'!$L$1:$L$4791,'Sales &amp; Collection'!$K$1:$K$4791,"cash collection*")-G344-SUMIFS('Daily Sale entry '!$AC$2:$AC$1501,'Daily Sale entry '!$X$2:$X$1501,"&lt;="&amp;$A344,'Daily Sale entry '!$Z$2:$Z$1501,"Cash deposit 现金存入"),2))</f>
        <v/>
      </c>
      <c r="I344" s="6">
        <f>IF($A344="","",ROUND(B344+D344+E344+F344+G344+H344,2))</f>
        <v/>
      </c>
      <c r="J344" s="6">
        <f>IF($A344="","",'AR &amp; AP'!K345)</f>
        <v/>
      </c>
      <c r="K344" s="6">
        <f>IF($A344="","",ROUND(I344-J344-SUMIFS('Daily Sale entry '!$AC$2:$AC$1501,'Daily Sale entry '!$X$2:$X$1501,"&lt;="&amp;$A344,'Daily Sale entry '!$Z$2:$Z$1501,"Other deposit 其他存入")+SUMIFS('Daily Sale entry '!$AD$2:$AD$1501,'Daily Sale entry '!$X$2:$X$1501,"&lt;="&amp;$A344)+('Opening Balance'!$B$8+SUM('Daily Sale entry '!$L$2:M344)-F344),2))</f>
        <v/>
      </c>
      <c r="L344">
        <f>IF($A344="","",IF(ABS('Sales &amp; Collection'!$B$4800)&gt;'Opening Balance'!$B$16,"ALERT 警报: Different "&amp;TEXT('Sales &amp; Collection'!$B$4800,"#,##0.00")&amp;" 差额过大",""))</f>
        <v/>
      </c>
    </row>
    <row r="345">
      <c r="A345" s="5">
        <f>IF('Daily Sale entry '!A345="","",'Daily Sale entry '!A345)</f>
        <v/>
      </c>
      <c r="B345" s="6">
        <f>IF($A345="","",ROUND('Opening Balance'!$B$4+SUM('Daily Sale entry '!$K$2:K345)+SUMIFS('Daily Sale entry '!$AC$2:$AC$1501,'Daily Sale entry '!$X$2:$X$1501,"&lt;="&amp;$A345)-SUMIFS('Daily Sale entry '!$AD$2:$AD$1501,'Daily Sale entry '!$X$2:$X$1501,"&lt;="&amp;$A345)+SUMPRODUCT(('Daily Sale entry '!$Q$2:$Q$1501="Collection 收款")*('Daily Sale entry '!$R$2:$R$1501="Cheque 支票")*('Daily Sale entry '!$V$2:$V$1501&lt;&gt;"")*('Daily Sale entry '!$V$2:$V$1501&lt;=$A345)*('Daily Sale entry '!$S$2:$S$1501-'Opening Balance'!$B$15*('Daily Sale entry '!$R$2:$R$1501="Cheque 支票")*('Daily Sale entry '!$S$2:$S$1501-TRUNC('Daily Sale entry '!$S$2:$S$1501))))-'Opening Balance'!$B$15*SUMPRODUCT(('Daily Sale entry '!$X$2:$X$1501&lt;=$A345)*('Daily Sale entry '!$Z$2:$Z$1501="Online collection 网上收款")*('Daily Sale entry '!$AA$2:$AA$1501&lt;&gt;"")*('Daily Sale entry '!$AC$2:$AC$1501-TRUNC('Daily Sale entry '!$AC$2:$AC$1501))),2))</f>
        <v/>
      </c>
      <c r="C345" s="8">
        <f>IF($A345="","",'Opening Balance'!$B$5+SUM('Daily Sale entry '!$I$2:I345)-SUMIFS('Daily Sale entry '!$AB$2:$AB$1501,'Daily Sale entry '!$X$2:$X$1501,"&lt;="&amp;$A345,'Daily Sale entry '!$Z$2:$Z$1501,"Cheque deposit 支票存入")-COUNTIFS('Daily Sale entry '!$Q$2:$Q$1501,"Collection 收款",'Daily Sale entry '!$R$2:$R$1501,"Cheque 支票",'Daily Sale entry '!$V$2:$V$1501,"&lt;="&amp;$A345))</f>
        <v/>
      </c>
      <c r="D345" s="6">
        <f>IF($A345="","",ROUND('Opening Balance'!$B$6+SUM('Daily Sale entry '!$J$2:J345)-SUMIFS('Daily Sale entry '!$AC$2:$AC$1501,'Daily Sale entry '!$X$2:$X$1501,"&lt;="&amp;$A345,'Daily Sale entry '!$Z$2:$Z$1501,"Cheque deposit 支票存入")-SUMPRODUCT(('Daily Sale entry '!$Q$2:$Q$1501="Collection 收款")*('Daily Sale entry '!$R$2:$R$1501="Cheque 支票")*('Daily Sale entry '!$V$2:$V$1501&lt;&gt;"")*('Daily Sale entry '!$V$2:$V$1501&lt;=$A345)*('Daily Sale entry '!$S$2:$S$1501-'Opening Balance'!$B$15*('Daily Sale entry '!$R$2:$R$1501="Cheque 支票")*('Daily Sale entry '!$S$2:$S$1501-TRUNC('Daily Sale entry '!$S$2:$S$1501)))),2))</f>
        <v/>
      </c>
      <c r="E345" s="6">
        <f>IF($A345="","",'Opening Balance'!$B$7)</f>
        <v/>
      </c>
      <c r="F345" s="6">
        <f>IF($A345="","",ROUND(SUMIFS('Daily Sale entry '!$L$2:$L$367,'Daily Sale entry '!$A$2:$A$367,"&gt;="&amp;DATE(YEAR($A345),MONTH($A345),1),'Daily Sale entry '!$A$2:$A$367,"&lt;="&amp;$A345)+SUMIFS('Daily Sale entry '!$M$2:$M$367,'Daily Sale entry '!$A$2:$A$367,"&gt;="&amp;DATE(YEAR($A345),MONTH($A345),1),'Daily Sale entry '!$A$2:$A$367,"&lt;="&amp;$A345)+IF(AND(YEAR($A345)=YEAR('Daily Sale entry '!$A$2),MONTH($A345)=MONTH('Daily Sale entry '!$A$2)),'Opening Balance'!$B$8,0),2))</f>
        <v/>
      </c>
      <c r="G345" s="6">
        <f>IF($A345="","",MOD(ROUND('Opening Balance'!$B$9+SUMIFS('Sales &amp; Collection'!$L$1:$L$4805,'Sales &amp; Collection'!$K$1:$K$4805,"cash collection*"),2),'Opening Balance'!$B$11))</f>
        <v/>
      </c>
      <c r="H345" s="6">
        <f>IF($A345="","",ROUND('Opening Balance'!$B$10+'Opening Balance'!$B$9+SUMIFS('Sales &amp; Collection'!$L$1:$L$4805,'Sales &amp; Collection'!$K$1:$K$4805,"cash collection*")-G345-SUMIFS('Daily Sale entry '!$AC$2:$AC$1501,'Daily Sale entry '!$X$2:$X$1501,"&lt;="&amp;$A345,'Daily Sale entry '!$Z$2:$Z$1501,"Cash deposit 现金存入"),2))</f>
        <v/>
      </c>
      <c r="I345" s="6">
        <f>IF($A345="","",ROUND(B345+D345+E345+F345+G345+H345,2))</f>
        <v/>
      </c>
      <c r="J345" s="6">
        <f>IF($A345="","",'AR &amp; AP'!K346)</f>
        <v/>
      </c>
      <c r="K345" s="6">
        <f>IF($A345="","",ROUND(I345-J345-SUMIFS('Daily Sale entry '!$AC$2:$AC$1501,'Daily Sale entry '!$X$2:$X$1501,"&lt;="&amp;$A345,'Daily Sale entry '!$Z$2:$Z$1501,"Other deposit 其他存入")+SUMIFS('Daily Sale entry '!$AD$2:$AD$1501,'Daily Sale entry '!$X$2:$X$1501,"&lt;="&amp;$A345)+('Opening Balance'!$B$8+SUM('Daily Sale entry '!$L$2:M345)-F345),2))</f>
        <v/>
      </c>
      <c r="L345">
        <f>IF($A345="","",IF(ABS('Sales &amp; Collection'!$B$4814)&gt;'Opening Balance'!$B$16,"ALERT 警报: Different "&amp;TEXT('Sales &amp; Collection'!$B$4814,"#,##0.00")&amp;" 差额过大",""))</f>
        <v/>
      </c>
    </row>
    <row r="346">
      <c r="A346" s="5">
        <f>IF('Daily Sale entry '!A346="","",'Daily Sale entry '!A346)</f>
        <v/>
      </c>
      <c r="B346" s="6">
        <f>IF($A346="","",ROUND('Opening Balance'!$B$4+SUM('Daily Sale entry '!$K$2:K346)+SUMIFS('Daily Sale entry '!$AC$2:$AC$1501,'Daily Sale entry '!$X$2:$X$1501,"&lt;="&amp;$A346)-SUMIFS('Daily Sale entry '!$AD$2:$AD$1501,'Daily Sale entry '!$X$2:$X$1501,"&lt;="&amp;$A346)+SUMPRODUCT(('Daily Sale entry '!$Q$2:$Q$1501="Collection 收款")*('Daily Sale entry '!$R$2:$R$1501="Cheque 支票")*('Daily Sale entry '!$V$2:$V$1501&lt;&gt;"")*('Daily Sale entry '!$V$2:$V$1501&lt;=$A346)*('Daily Sale entry '!$S$2:$S$1501-'Opening Balance'!$B$15*('Daily Sale entry '!$R$2:$R$1501="Cheque 支票")*('Daily Sale entry '!$S$2:$S$1501-TRUNC('Daily Sale entry '!$S$2:$S$1501))))-'Opening Balance'!$B$15*SUMPRODUCT(('Daily Sale entry '!$X$2:$X$1501&lt;=$A346)*('Daily Sale entry '!$Z$2:$Z$1501="Online collection 网上收款")*('Daily Sale entry '!$AA$2:$AA$1501&lt;&gt;"")*('Daily Sale entry '!$AC$2:$AC$1501-TRUNC('Daily Sale entry '!$AC$2:$AC$1501))),2))</f>
        <v/>
      </c>
      <c r="C346" s="8">
        <f>IF($A346="","",'Opening Balance'!$B$5+SUM('Daily Sale entry '!$I$2:I346)-SUMIFS('Daily Sale entry '!$AB$2:$AB$1501,'Daily Sale entry '!$X$2:$X$1501,"&lt;="&amp;$A346,'Daily Sale entry '!$Z$2:$Z$1501,"Cheque deposit 支票存入")-COUNTIFS('Daily Sale entry '!$Q$2:$Q$1501,"Collection 收款",'Daily Sale entry '!$R$2:$R$1501,"Cheque 支票",'Daily Sale entry '!$V$2:$V$1501,"&lt;="&amp;$A346))</f>
        <v/>
      </c>
      <c r="D346" s="6">
        <f>IF($A346="","",ROUND('Opening Balance'!$B$6+SUM('Daily Sale entry '!$J$2:J346)-SUMIFS('Daily Sale entry '!$AC$2:$AC$1501,'Daily Sale entry '!$X$2:$X$1501,"&lt;="&amp;$A346,'Daily Sale entry '!$Z$2:$Z$1501,"Cheque deposit 支票存入")-SUMPRODUCT(('Daily Sale entry '!$Q$2:$Q$1501="Collection 收款")*('Daily Sale entry '!$R$2:$R$1501="Cheque 支票")*('Daily Sale entry '!$V$2:$V$1501&lt;&gt;"")*('Daily Sale entry '!$V$2:$V$1501&lt;=$A346)*('Daily Sale entry '!$S$2:$S$1501-'Opening Balance'!$B$15*('Daily Sale entry '!$R$2:$R$1501="Cheque 支票")*('Daily Sale entry '!$S$2:$S$1501-TRUNC('Daily Sale entry '!$S$2:$S$1501)))),2))</f>
        <v/>
      </c>
      <c r="E346" s="6">
        <f>IF($A346="","",'Opening Balance'!$B$7)</f>
        <v/>
      </c>
      <c r="F346" s="6">
        <f>IF($A346="","",ROUND(SUMIFS('Daily Sale entry '!$L$2:$L$367,'Daily Sale entry '!$A$2:$A$367,"&gt;="&amp;DATE(YEAR($A346),MONTH($A346),1),'Daily Sale entry '!$A$2:$A$367,"&lt;="&amp;$A346)+SUMIFS('Daily Sale entry '!$M$2:$M$367,'Daily Sale entry '!$A$2:$A$367,"&gt;="&amp;DATE(YEAR($A346),MONTH($A346),1),'Daily Sale entry '!$A$2:$A$367,"&lt;="&amp;$A346)+IF(AND(YEAR($A346)=YEAR('Daily Sale entry '!$A$2),MONTH($A346)=MONTH('Daily Sale entry '!$A$2)),'Opening Balance'!$B$8,0),2))</f>
        <v/>
      </c>
      <c r="G346" s="6">
        <f>IF($A346="","",MOD(ROUND('Opening Balance'!$B$9+SUMIFS('Sales &amp; Collection'!$L$1:$L$4819,'Sales &amp; Collection'!$K$1:$K$4819,"cash collection*"),2),'Opening Balance'!$B$11))</f>
        <v/>
      </c>
      <c r="H346" s="6">
        <f>IF($A346="","",ROUND('Opening Balance'!$B$10+'Opening Balance'!$B$9+SUMIFS('Sales &amp; Collection'!$L$1:$L$4819,'Sales &amp; Collection'!$K$1:$K$4819,"cash collection*")-G346-SUMIFS('Daily Sale entry '!$AC$2:$AC$1501,'Daily Sale entry '!$X$2:$X$1501,"&lt;="&amp;$A346,'Daily Sale entry '!$Z$2:$Z$1501,"Cash deposit 现金存入"),2))</f>
        <v/>
      </c>
      <c r="I346" s="6">
        <f>IF($A346="","",ROUND(B346+D346+E346+F346+G346+H346,2))</f>
        <v/>
      </c>
      <c r="J346" s="6">
        <f>IF($A346="","",'AR &amp; AP'!K347)</f>
        <v/>
      </c>
      <c r="K346" s="6">
        <f>IF($A346="","",ROUND(I346-J346-SUMIFS('Daily Sale entry '!$AC$2:$AC$1501,'Daily Sale entry '!$X$2:$X$1501,"&lt;="&amp;$A346,'Daily Sale entry '!$Z$2:$Z$1501,"Other deposit 其他存入")+SUMIFS('Daily Sale entry '!$AD$2:$AD$1501,'Daily Sale entry '!$X$2:$X$1501,"&lt;="&amp;$A346)+('Opening Balance'!$B$8+SUM('Daily Sale entry '!$L$2:M346)-F346),2))</f>
        <v/>
      </c>
      <c r="L346">
        <f>IF($A346="","",IF(ABS('Sales &amp; Collection'!$B$4828)&gt;'Opening Balance'!$B$16,"ALERT 警报: Different "&amp;TEXT('Sales &amp; Collection'!$B$4828,"#,##0.00")&amp;" 差额过大",""))</f>
        <v/>
      </c>
    </row>
    <row r="347">
      <c r="A347" s="5">
        <f>IF('Daily Sale entry '!A347="","",'Daily Sale entry '!A347)</f>
        <v/>
      </c>
      <c r="B347" s="6">
        <f>IF($A347="","",ROUND('Opening Balance'!$B$4+SUM('Daily Sale entry '!$K$2:K347)+SUMIFS('Daily Sale entry '!$AC$2:$AC$1501,'Daily Sale entry '!$X$2:$X$1501,"&lt;="&amp;$A347)-SUMIFS('Daily Sale entry '!$AD$2:$AD$1501,'Daily Sale entry '!$X$2:$X$1501,"&lt;="&amp;$A347)+SUMPRODUCT(('Daily Sale entry '!$Q$2:$Q$1501="Collection 收款")*('Daily Sale entry '!$R$2:$R$1501="Cheque 支票")*('Daily Sale entry '!$V$2:$V$1501&lt;&gt;"")*('Daily Sale entry '!$V$2:$V$1501&lt;=$A347)*('Daily Sale entry '!$S$2:$S$1501-'Opening Balance'!$B$15*('Daily Sale entry '!$R$2:$R$1501="Cheque 支票")*('Daily Sale entry '!$S$2:$S$1501-TRUNC('Daily Sale entry '!$S$2:$S$1501))))-'Opening Balance'!$B$15*SUMPRODUCT(('Daily Sale entry '!$X$2:$X$1501&lt;=$A347)*('Daily Sale entry '!$Z$2:$Z$1501="Online collection 网上收款")*('Daily Sale entry '!$AA$2:$AA$1501&lt;&gt;"")*('Daily Sale entry '!$AC$2:$AC$1501-TRUNC('Daily Sale entry '!$AC$2:$AC$1501))),2))</f>
        <v/>
      </c>
      <c r="C347" s="8">
        <f>IF($A347="","",'Opening Balance'!$B$5+SUM('Daily Sale entry '!$I$2:I347)-SUMIFS('Daily Sale entry '!$AB$2:$AB$1501,'Daily Sale entry '!$X$2:$X$1501,"&lt;="&amp;$A347,'Daily Sale entry '!$Z$2:$Z$1501,"Cheque deposit 支票存入")-COUNTIFS('Daily Sale entry '!$Q$2:$Q$1501,"Collection 收款",'Daily Sale entry '!$R$2:$R$1501,"Cheque 支票",'Daily Sale entry '!$V$2:$V$1501,"&lt;="&amp;$A347))</f>
        <v/>
      </c>
      <c r="D347" s="6">
        <f>IF($A347="","",ROUND('Opening Balance'!$B$6+SUM('Daily Sale entry '!$J$2:J347)-SUMIFS('Daily Sale entry '!$AC$2:$AC$1501,'Daily Sale entry '!$X$2:$X$1501,"&lt;="&amp;$A347,'Daily Sale entry '!$Z$2:$Z$1501,"Cheque deposit 支票存入")-SUMPRODUCT(('Daily Sale entry '!$Q$2:$Q$1501="Collection 收款")*('Daily Sale entry '!$R$2:$R$1501="Cheque 支票")*('Daily Sale entry '!$V$2:$V$1501&lt;&gt;"")*('Daily Sale entry '!$V$2:$V$1501&lt;=$A347)*('Daily Sale entry '!$S$2:$S$1501-'Opening Balance'!$B$15*('Daily Sale entry '!$R$2:$R$1501="Cheque 支票")*('Daily Sale entry '!$S$2:$S$1501-TRUNC('Daily Sale entry '!$S$2:$S$1501)))),2))</f>
        <v/>
      </c>
      <c r="E347" s="6">
        <f>IF($A347="","",'Opening Balance'!$B$7)</f>
        <v/>
      </c>
      <c r="F347" s="6">
        <f>IF($A347="","",ROUND(SUMIFS('Daily Sale entry '!$L$2:$L$367,'Daily Sale entry '!$A$2:$A$367,"&gt;="&amp;DATE(YEAR($A347),MONTH($A347),1),'Daily Sale entry '!$A$2:$A$367,"&lt;="&amp;$A347)+SUMIFS('Daily Sale entry '!$M$2:$M$367,'Daily Sale entry '!$A$2:$A$367,"&gt;="&amp;DATE(YEAR($A347),MONTH($A347),1),'Daily Sale entry '!$A$2:$A$367,"&lt;="&amp;$A347)+IF(AND(YEAR($A347)=YEAR('Daily Sale entry '!$A$2),MONTH($A347)=MONTH('Daily Sale entry '!$A$2)),'Opening Balance'!$B$8,0),2))</f>
        <v/>
      </c>
      <c r="G347" s="6">
        <f>IF($A347="","",MOD(ROUND('Opening Balance'!$B$9+SUMIFS('Sales &amp; Collection'!$L$1:$L$4833,'Sales &amp; Collection'!$K$1:$K$4833,"cash collection*"),2),'Opening Balance'!$B$11))</f>
        <v/>
      </c>
      <c r="H347" s="6">
        <f>IF($A347="","",ROUND('Opening Balance'!$B$10+'Opening Balance'!$B$9+SUMIFS('Sales &amp; Collection'!$L$1:$L$4833,'Sales &amp; Collection'!$K$1:$K$4833,"cash collection*")-G347-SUMIFS('Daily Sale entry '!$AC$2:$AC$1501,'Daily Sale entry '!$X$2:$X$1501,"&lt;="&amp;$A347,'Daily Sale entry '!$Z$2:$Z$1501,"Cash deposit 现金存入"),2))</f>
        <v/>
      </c>
      <c r="I347" s="6">
        <f>IF($A347="","",ROUND(B347+D347+E347+F347+G347+H347,2))</f>
        <v/>
      </c>
      <c r="J347" s="6">
        <f>IF($A347="","",'AR &amp; AP'!K348)</f>
        <v/>
      </c>
      <c r="K347" s="6">
        <f>IF($A347="","",ROUND(I347-J347-SUMIFS('Daily Sale entry '!$AC$2:$AC$1501,'Daily Sale entry '!$X$2:$X$1501,"&lt;="&amp;$A347,'Daily Sale entry '!$Z$2:$Z$1501,"Other deposit 其他存入")+SUMIFS('Daily Sale entry '!$AD$2:$AD$1501,'Daily Sale entry '!$X$2:$X$1501,"&lt;="&amp;$A347)+('Opening Balance'!$B$8+SUM('Daily Sale entry '!$L$2:M347)-F347),2))</f>
        <v/>
      </c>
      <c r="L347">
        <f>IF($A347="","",IF(ABS('Sales &amp; Collection'!$B$4842)&gt;'Opening Balance'!$B$16,"ALERT 警报: Different "&amp;TEXT('Sales &amp; Collection'!$B$4842,"#,##0.00")&amp;" 差额过大",""))</f>
        <v/>
      </c>
    </row>
    <row r="348">
      <c r="A348" s="5">
        <f>IF('Daily Sale entry '!A348="","",'Daily Sale entry '!A348)</f>
        <v/>
      </c>
      <c r="B348" s="6">
        <f>IF($A348="","",ROUND('Opening Balance'!$B$4+SUM('Daily Sale entry '!$K$2:K348)+SUMIFS('Daily Sale entry '!$AC$2:$AC$1501,'Daily Sale entry '!$X$2:$X$1501,"&lt;="&amp;$A348)-SUMIFS('Daily Sale entry '!$AD$2:$AD$1501,'Daily Sale entry '!$X$2:$X$1501,"&lt;="&amp;$A348)+SUMPRODUCT(('Daily Sale entry '!$Q$2:$Q$1501="Collection 收款")*('Daily Sale entry '!$R$2:$R$1501="Cheque 支票")*('Daily Sale entry '!$V$2:$V$1501&lt;&gt;"")*('Daily Sale entry '!$V$2:$V$1501&lt;=$A348)*('Daily Sale entry '!$S$2:$S$1501-'Opening Balance'!$B$15*('Daily Sale entry '!$R$2:$R$1501="Cheque 支票")*('Daily Sale entry '!$S$2:$S$1501-TRUNC('Daily Sale entry '!$S$2:$S$1501))))-'Opening Balance'!$B$15*SUMPRODUCT(('Daily Sale entry '!$X$2:$X$1501&lt;=$A348)*('Daily Sale entry '!$Z$2:$Z$1501="Online collection 网上收款")*('Daily Sale entry '!$AA$2:$AA$1501&lt;&gt;"")*('Daily Sale entry '!$AC$2:$AC$1501-TRUNC('Daily Sale entry '!$AC$2:$AC$1501))),2))</f>
        <v/>
      </c>
      <c r="C348" s="8">
        <f>IF($A348="","",'Opening Balance'!$B$5+SUM('Daily Sale entry '!$I$2:I348)-SUMIFS('Daily Sale entry '!$AB$2:$AB$1501,'Daily Sale entry '!$X$2:$X$1501,"&lt;="&amp;$A348,'Daily Sale entry '!$Z$2:$Z$1501,"Cheque deposit 支票存入")-COUNTIFS('Daily Sale entry '!$Q$2:$Q$1501,"Collection 收款",'Daily Sale entry '!$R$2:$R$1501,"Cheque 支票",'Daily Sale entry '!$V$2:$V$1501,"&lt;="&amp;$A348))</f>
        <v/>
      </c>
      <c r="D348" s="6">
        <f>IF($A348="","",ROUND('Opening Balance'!$B$6+SUM('Daily Sale entry '!$J$2:J348)-SUMIFS('Daily Sale entry '!$AC$2:$AC$1501,'Daily Sale entry '!$X$2:$X$1501,"&lt;="&amp;$A348,'Daily Sale entry '!$Z$2:$Z$1501,"Cheque deposit 支票存入")-SUMPRODUCT(('Daily Sale entry '!$Q$2:$Q$1501="Collection 收款")*('Daily Sale entry '!$R$2:$R$1501="Cheque 支票")*('Daily Sale entry '!$V$2:$V$1501&lt;&gt;"")*('Daily Sale entry '!$V$2:$V$1501&lt;=$A348)*('Daily Sale entry '!$S$2:$S$1501-'Opening Balance'!$B$15*('Daily Sale entry '!$R$2:$R$1501="Cheque 支票")*('Daily Sale entry '!$S$2:$S$1501-TRUNC('Daily Sale entry '!$S$2:$S$1501)))),2))</f>
        <v/>
      </c>
      <c r="E348" s="6">
        <f>IF($A348="","",'Opening Balance'!$B$7)</f>
        <v/>
      </c>
      <c r="F348" s="6">
        <f>IF($A348="","",ROUND(SUMIFS('Daily Sale entry '!$L$2:$L$367,'Daily Sale entry '!$A$2:$A$367,"&gt;="&amp;DATE(YEAR($A348),MONTH($A348),1),'Daily Sale entry '!$A$2:$A$367,"&lt;="&amp;$A348)+SUMIFS('Daily Sale entry '!$M$2:$M$367,'Daily Sale entry '!$A$2:$A$367,"&gt;="&amp;DATE(YEAR($A348),MONTH($A348),1),'Daily Sale entry '!$A$2:$A$367,"&lt;="&amp;$A348)+IF(AND(YEAR($A348)=YEAR('Daily Sale entry '!$A$2),MONTH($A348)=MONTH('Daily Sale entry '!$A$2)),'Opening Balance'!$B$8,0),2))</f>
        <v/>
      </c>
      <c r="G348" s="6">
        <f>IF($A348="","",MOD(ROUND('Opening Balance'!$B$9+SUMIFS('Sales &amp; Collection'!$L$1:$L$4847,'Sales &amp; Collection'!$K$1:$K$4847,"cash collection*"),2),'Opening Balance'!$B$11))</f>
        <v/>
      </c>
      <c r="H348" s="6">
        <f>IF($A348="","",ROUND('Opening Balance'!$B$10+'Opening Balance'!$B$9+SUMIFS('Sales &amp; Collection'!$L$1:$L$4847,'Sales &amp; Collection'!$K$1:$K$4847,"cash collection*")-G348-SUMIFS('Daily Sale entry '!$AC$2:$AC$1501,'Daily Sale entry '!$X$2:$X$1501,"&lt;="&amp;$A348,'Daily Sale entry '!$Z$2:$Z$1501,"Cash deposit 现金存入"),2))</f>
        <v/>
      </c>
      <c r="I348" s="6">
        <f>IF($A348="","",ROUND(B348+D348+E348+F348+G348+H348,2))</f>
        <v/>
      </c>
      <c r="J348" s="6">
        <f>IF($A348="","",'AR &amp; AP'!K349)</f>
        <v/>
      </c>
      <c r="K348" s="6">
        <f>IF($A348="","",ROUND(I348-J348-SUMIFS('Daily Sale entry '!$AC$2:$AC$1501,'Daily Sale entry '!$X$2:$X$1501,"&lt;="&amp;$A348,'Daily Sale entry '!$Z$2:$Z$1501,"Other deposit 其他存入")+SUMIFS('Daily Sale entry '!$AD$2:$AD$1501,'Daily Sale entry '!$X$2:$X$1501,"&lt;="&amp;$A348)+('Opening Balance'!$B$8+SUM('Daily Sale entry '!$L$2:M348)-F348),2))</f>
        <v/>
      </c>
      <c r="L348">
        <f>IF($A348="","",IF(ABS('Sales &amp; Collection'!$B$4856)&gt;'Opening Balance'!$B$16,"ALERT 警报: Different "&amp;TEXT('Sales &amp; Collection'!$B$4856,"#,##0.00")&amp;" 差额过大",""))</f>
        <v/>
      </c>
    </row>
    <row r="349">
      <c r="A349" s="5">
        <f>IF('Daily Sale entry '!A349="","",'Daily Sale entry '!A349)</f>
        <v/>
      </c>
      <c r="B349" s="6">
        <f>IF($A349="","",ROUND('Opening Balance'!$B$4+SUM('Daily Sale entry '!$K$2:K349)+SUMIFS('Daily Sale entry '!$AC$2:$AC$1501,'Daily Sale entry '!$X$2:$X$1501,"&lt;="&amp;$A349)-SUMIFS('Daily Sale entry '!$AD$2:$AD$1501,'Daily Sale entry '!$X$2:$X$1501,"&lt;="&amp;$A349)+SUMPRODUCT(('Daily Sale entry '!$Q$2:$Q$1501="Collection 收款")*('Daily Sale entry '!$R$2:$R$1501="Cheque 支票")*('Daily Sale entry '!$V$2:$V$1501&lt;&gt;"")*('Daily Sale entry '!$V$2:$V$1501&lt;=$A349)*('Daily Sale entry '!$S$2:$S$1501-'Opening Balance'!$B$15*('Daily Sale entry '!$R$2:$R$1501="Cheque 支票")*('Daily Sale entry '!$S$2:$S$1501-TRUNC('Daily Sale entry '!$S$2:$S$1501))))-'Opening Balance'!$B$15*SUMPRODUCT(('Daily Sale entry '!$X$2:$X$1501&lt;=$A349)*('Daily Sale entry '!$Z$2:$Z$1501="Online collection 网上收款")*('Daily Sale entry '!$AA$2:$AA$1501&lt;&gt;"")*('Daily Sale entry '!$AC$2:$AC$1501-TRUNC('Daily Sale entry '!$AC$2:$AC$1501))),2))</f>
        <v/>
      </c>
      <c r="C349" s="8">
        <f>IF($A349="","",'Opening Balance'!$B$5+SUM('Daily Sale entry '!$I$2:I349)-SUMIFS('Daily Sale entry '!$AB$2:$AB$1501,'Daily Sale entry '!$X$2:$X$1501,"&lt;="&amp;$A349,'Daily Sale entry '!$Z$2:$Z$1501,"Cheque deposit 支票存入")-COUNTIFS('Daily Sale entry '!$Q$2:$Q$1501,"Collection 收款",'Daily Sale entry '!$R$2:$R$1501,"Cheque 支票",'Daily Sale entry '!$V$2:$V$1501,"&lt;="&amp;$A349))</f>
        <v/>
      </c>
      <c r="D349" s="6">
        <f>IF($A349="","",ROUND('Opening Balance'!$B$6+SUM('Daily Sale entry '!$J$2:J349)-SUMIFS('Daily Sale entry '!$AC$2:$AC$1501,'Daily Sale entry '!$X$2:$X$1501,"&lt;="&amp;$A349,'Daily Sale entry '!$Z$2:$Z$1501,"Cheque deposit 支票存入")-SUMPRODUCT(('Daily Sale entry '!$Q$2:$Q$1501="Collection 收款")*('Daily Sale entry '!$R$2:$R$1501="Cheque 支票")*('Daily Sale entry '!$V$2:$V$1501&lt;&gt;"")*('Daily Sale entry '!$V$2:$V$1501&lt;=$A349)*('Daily Sale entry '!$S$2:$S$1501-'Opening Balance'!$B$15*('Daily Sale entry '!$R$2:$R$1501="Cheque 支票")*('Daily Sale entry '!$S$2:$S$1501-TRUNC('Daily Sale entry '!$S$2:$S$1501)))),2))</f>
        <v/>
      </c>
      <c r="E349" s="6">
        <f>IF($A349="","",'Opening Balance'!$B$7)</f>
        <v/>
      </c>
      <c r="F349" s="6">
        <f>IF($A349="","",ROUND(SUMIFS('Daily Sale entry '!$L$2:$L$367,'Daily Sale entry '!$A$2:$A$367,"&gt;="&amp;DATE(YEAR($A349),MONTH($A349),1),'Daily Sale entry '!$A$2:$A$367,"&lt;="&amp;$A349)+SUMIFS('Daily Sale entry '!$M$2:$M$367,'Daily Sale entry '!$A$2:$A$367,"&gt;="&amp;DATE(YEAR($A349),MONTH($A349),1),'Daily Sale entry '!$A$2:$A$367,"&lt;="&amp;$A349)+IF(AND(YEAR($A349)=YEAR('Daily Sale entry '!$A$2),MONTH($A349)=MONTH('Daily Sale entry '!$A$2)),'Opening Balance'!$B$8,0),2))</f>
        <v/>
      </c>
      <c r="G349" s="6">
        <f>IF($A349="","",MOD(ROUND('Opening Balance'!$B$9+SUMIFS('Sales &amp; Collection'!$L$1:$L$4861,'Sales &amp; Collection'!$K$1:$K$4861,"cash collection*"),2),'Opening Balance'!$B$11))</f>
        <v/>
      </c>
      <c r="H349" s="6">
        <f>IF($A349="","",ROUND('Opening Balance'!$B$10+'Opening Balance'!$B$9+SUMIFS('Sales &amp; Collection'!$L$1:$L$4861,'Sales &amp; Collection'!$K$1:$K$4861,"cash collection*")-G349-SUMIFS('Daily Sale entry '!$AC$2:$AC$1501,'Daily Sale entry '!$X$2:$X$1501,"&lt;="&amp;$A349,'Daily Sale entry '!$Z$2:$Z$1501,"Cash deposit 现金存入"),2))</f>
        <v/>
      </c>
      <c r="I349" s="6">
        <f>IF($A349="","",ROUND(B349+D349+E349+F349+G349+H349,2))</f>
        <v/>
      </c>
      <c r="J349" s="6">
        <f>IF($A349="","",'AR &amp; AP'!K350)</f>
        <v/>
      </c>
      <c r="K349" s="6">
        <f>IF($A349="","",ROUND(I349-J349-SUMIFS('Daily Sale entry '!$AC$2:$AC$1501,'Daily Sale entry '!$X$2:$X$1501,"&lt;="&amp;$A349,'Daily Sale entry '!$Z$2:$Z$1501,"Other deposit 其他存入")+SUMIFS('Daily Sale entry '!$AD$2:$AD$1501,'Daily Sale entry '!$X$2:$X$1501,"&lt;="&amp;$A349)+('Opening Balance'!$B$8+SUM('Daily Sale entry '!$L$2:M349)-F349),2))</f>
        <v/>
      </c>
      <c r="L349">
        <f>IF($A349="","",IF(ABS('Sales &amp; Collection'!$B$4870)&gt;'Opening Balance'!$B$16,"ALERT 警报: Different "&amp;TEXT('Sales &amp; Collection'!$B$4870,"#,##0.00")&amp;" 差额过大",""))</f>
        <v/>
      </c>
    </row>
    <row r="350">
      <c r="A350" s="5">
        <f>IF('Daily Sale entry '!A350="","",'Daily Sale entry '!A350)</f>
        <v/>
      </c>
      <c r="B350" s="6">
        <f>IF($A350="","",ROUND('Opening Balance'!$B$4+SUM('Daily Sale entry '!$K$2:K350)+SUMIFS('Daily Sale entry '!$AC$2:$AC$1501,'Daily Sale entry '!$X$2:$X$1501,"&lt;="&amp;$A350)-SUMIFS('Daily Sale entry '!$AD$2:$AD$1501,'Daily Sale entry '!$X$2:$X$1501,"&lt;="&amp;$A350)+SUMPRODUCT(('Daily Sale entry '!$Q$2:$Q$1501="Collection 收款")*('Daily Sale entry '!$R$2:$R$1501="Cheque 支票")*('Daily Sale entry '!$V$2:$V$1501&lt;&gt;"")*('Daily Sale entry '!$V$2:$V$1501&lt;=$A350)*('Daily Sale entry '!$S$2:$S$1501-'Opening Balance'!$B$15*('Daily Sale entry '!$R$2:$R$1501="Cheque 支票")*('Daily Sale entry '!$S$2:$S$1501-TRUNC('Daily Sale entry '!$S$2:$S$1501))))-'Opening Balance'!$B$15*SUMPRODUCT(('Daily Sale entry '!$X$2:$X$1501&lt;=$A350)*('Daily Sale entry '!$Z$2:$Z$1501="Online collection 网上收款")*('Daily Sale entry '!$AA$2:$AA$1501&lt;&gt;"")*('Daily Sale entry '!$AC$2:$AC$1501-TRUNC('Daily Sale entry '!$AC$2:$AC$1501))),2))</f>
        <v/>
      </c>
      <c r="C350" s="8">
        <f>IF($A350="","",'Opening Balance'!$B$5+SUM('Daily Sale entry '!$I$2:I350)-SUMIFS('Daily Sale entry '!$AB$2:$AB$1501,'Daily Sale entry '!$X$2:$X$1501,"&lt;="&amp;$A350,'Daily Sale entry '!$Z$2:$Z$1501,"Cheque deposit 支票存入")-COUNTIFS('Daily Sale entry '!$Q$2:$Q$1501,"Collection 收款",'Daily Sale entry '!$R$2:$R$1501,"Cheque 支票",'Daily Sale entry '!$V$2:$V$1501,"&lt;="&amp;$A350))</f>
        <v/>
      </c>
      <c r="D350" s="6">
        <f>IF($A350="","",ROUND('Opening Balance'!$B$6+SUM('Daily Sale entry '!$J$2:J350)-SUMIFS('Daily Sale entry '!$AC$2:$AC$1501,'Daily Sale entry '!$X$2:$X$1501,"&lt;="&amp;$A350,'Daily Sale entry '!$Z$2:$Z$1501,"Cheque deposit 支票存入")-SUMPRODUCT(('Daily Sale entry '!$Q$2:$Q$1501="Collection 收款")*('Daily Sale entry '!$R$2:$R$1501="Cheque 支票")*('Daily Sale entry '!$V$2:$V$1501&lt;&gt;"")*('Daily Sale entry '!$V$2:$V$1501&lt;=$A350)*('Daily Sale entry '!$S$2:$S$1501-'Opening Balance'!$B$15*('Daily Sale entry '!$R$2:$R$1501="Cheque 支票")*('Daily Sale entry '!$S$2:$S$1501-TRUNC('Daily Sale entry '!$S$2:$S$1501)))),2))</f>
        <v/>
      </c>
      <c r="E350" s="6">
        <f>IF($A350="","",'Opening Balance'!$B$7)</f>
        <v/>
      </c>
      <c r="F350" s="6">
        <f>IF($A350="","",ROUND(SUMIFS('Daily Sale entry '!$L$2:$L$367,'Daily Sale entry '!$A$2:$A$367,"&gt;="&amp;DATE(YEAR($A350),MONTH($A350),1),'Daily Sale entry '!$A$2:$A$367,"&lt;="&amp;$A350)+SUMIFS('Daily Sale entry '!$M$2:$M$367,'Daily Sale entry '!$A$2:$A$367,"&gt;="&amp;DATE(YEAR($A350),MONTH($A350),1),'Daily Sale entry '!$A$2:$A$367,"&lt;="&amp;$A350)+IF(AND(YEAR($A350)=YEAR('Daily Sale entry '!$A$2),MONTH($A350)=MONTH('Daily Sale entry '!$A$2)),'Opening Balance'!$B$8,0),2))</f>
        <v/>
      </c>
      <c r="G350" s="6">
        <f>IF($A350="","",MOD(ROUND('Opening Balance'!$B$9+SUMIFS('Sales &amp; Collection'!$L$1:$L$4875,'Sales &amp; Collection'!$K$1:$K$4875,"cash collection*"),2),'Opening Balance'!$B$11))</f>
        <v/>
      </c>
      <c r="H350" s="6">
        <f>IF($A350="","",ROUND('Opening Balance'!$B$10+'Opening Balance'!$B$9+SUMIFS('Sales &amp; Collection'!$L$1:$L$4875,'Sales &amp; Collection'!$K$1:$K$4875,"cash collection*")-G350-SUMIFS('Daily Sale entry '!$AC$2:$AC$1501,'Daily Sale entry '!$X$2:$X$1501,"&lt;="&amp;$A350,'Daily Sale entry '!$Z$2:$Z$1501,"Cash deposit 现金存入"),2))</f>
        <v/>
      </c>
      <c r="I350" s="6">
        <f>IF($A350="","",ROUND(B350+D350+E350+F350+G350+H350,2))</f>
        <v/>
      </c>
      <c r="J350" s="6">
        <f>IF($A350="","",'AR &amp; AP'!K351)</f>
        <v/>
      </c>
      <c r="K350" s="6">
        <f>IF($A350="","",ROUND(I350-J350-SUMIFS('Daily Sale entry '!$AC$2:$AC$1501,'Daily Sale entry '!$X$2:$X$1501,"&lt;="&amp;$A350,'Daily Sale entry '!$Z$2:$Z$1501,"Other deposit 其他存入")+SUMIFS('Daily Sale entry '!$AD$2:$AD$1501,'Daily Sale entry '!$X$2:$X$1501,"&lt;="&amp;$A350)+('Opening Balance'!$B$8+SUM('Daily Sale entry '!$L$2:M350)-F350),2))</f>
        <v/>
      </c>
      <c r="L350">
        <f>IF($A350="","",IF(ABS('Sales &amp; Collection'!$B$4884)&gt;'Opening Balance'!$B$16,"ALERT 警报: Different "&amp;TEXT('Sales &amp; Collection'!$B$4884,"#,##0.00")&amp;" 差额过大",""))</f>
        <v/>
      </c>
    </row>
    <row r="351">
      <c r="A351" s="5">
        <f>IF('Daily Sale entry '!A351="","",'Daily Sale entry '!A351)</f>
        <v/>
      </c>
      <c r="B351" s="6">
        <f>IF($A351="","",ROUND('Opening Balance'!$B$4+SUM('Daily Sale entry '!$K$2:K351)+SUMIFS('Daily Sale entry '!$AC$2:$AC$1501,'Daily Sale entry '!$X$2:$X$1501,"&lt;="&amp;$A351)-SUMIFS('Daily Sale entry '!$AD$2:$AD$1501,'Daily Sale entry '!$X$2:$X$1501,"&lt;="&amp;$A351)+SUMPRODUCT(('Daily Sale entry '!$Q$2:$Q$1501="Collection 收款")*('Daily Sale entry '!$R$2:$R$1501="Cheque 支票")*('Daily Sale entry '!$V$2:$V$1501&lt;&gt;"")*('Daily Sale entry '!$V$2:$V$1501&lt;=$A351)*('Daily Sale entry '!$S$2:$S$1501-'Opening Balance'!$B$15*('Daily Sale entry '!$R$2:$R$1501="Cheque 支票")*('Daily Sale entry '!$S$2:$S$1501-TRUNC('Daily Sale entry '!$S$2:$S$1501))))-'Opening Balance'!$B$15*SUMPRODUCT(('Daily Sale entry '!$X$2:$X$1501&lt;=$A351)*('Daily Sale entry '!$Z$2:$Z$1501="Online collection 网上收款")*('Daily Sale entry '!$AA$2:$AA$1501&lt;&gt;"")*('Daily Sale entry '!$AC$2:$AC$1501-TRUNC('Daily Sale entry '!$AC$2:$AC$1501))),2))</f>
        <v/>
      </c>
      <c r="C351" s="8">
        <f>IF($A351="","",'Opening Balance'!$B$5+SUM('Daily Sale entry '!$I$2:I351)-SUMIFS('Daily Sale entry '!$AB$2:$AB$1501,'Daily Sale entry '!$X$2:$X$1501,"&lt;="&amp;$A351,'Daily Sale entry '!$Z$2:$Z$1501,"Cheque deposit 支票存入")-COUNTIFS('Daily Sale entry '!$Q$2:$Q$1501,"Collection 收款",'Daily Sale entry '!$R$2:$R$1501,"Cheque 支票",'Daily Sale entry '!$V$2:$V$1501,"&lt;="&amp;$A351))</f>
        <v/>
      </c>
      <c r="D351" s="6">
        <f>IF($A351="","",ROUND('Opening Balance'!$B$6+SUM('Daily Sale entry '!$J$2:J351)-SUMIFS('Daily Sale entry '!$AC$2:$AC$1501,'Daily Sale entry '!$X$2:$X$1501,"&lt;="&amp;$A351,'Daily Sale entry '!$Z$2:$Z$1501,"Cheque deposit 支票存入")-SUMPRODUCT(('Daily Sale entry '!$Q$2:$Q$1501="Collection 收款")*('Daily Sale entry '!$R$2:$R$1501="Cheque 支票")*('Daily Sale entry '!$V$2:$V$1501&lt;&gt;"")*('Daily Sale entry '!$V$2:$V$1501&lt;=$A351)*('Daily Sale entry '!$S$2:$S$1501-'Opening Balance'!$B$15*('Daily Sale entry '!$R$2:$R$1501="Cheque 支票")*('Daily Sale entry '!$S$2:$S$1501-TRUNC('Daily Sale entry '!$S$2:$S$1501)))),2))</f>
        <v/>
      </c>
      <c r="E351" s="6">
        <f>IF($A351="","",'Opening Balance'!$B$7)</f>
        <v/>
      </c>
      <c r="F351" s="6">
        <f>IF($A351="","",ROUND(SUMIFS('Daily Sale entry '!$L$2:$L$367,'Daily Sale entry '!$A$2:$A$367,"&gt;="&amp;DATE(YEAR($A351),MONTH($A351),1),'Daily Sale entry '!$A$2:$A$367,"&lt;="&amp;$A351)+SUMIFS('Daily Sale entry '!$M$2:$M$367,'Daily Sale entry '!$A$2:$A$367,"&gt;="&amp;DATE(YEAR($A351),MONTH($A351),1),'Daily Sale entry '!$A$2:$A$367,"&lt;="&amp;$A351)+IF(AND(YEAR($A351)=YEAR('Daily Sale entry '!$A$2),MONTH($A351)=MONTH('Daily Sale entry '!$A$2)),'Opening Balance'!$B$8,0),2))</f>
        <v/>
      </c>
      <c r="G351" s="6">
        <f>IF($A351="","",MOD(ROUND('Opening Balance'!$B$9+SUMIFS('Sales &amp; Collection'!$L$1:$L$4889,'Sales &amp; Collection'!$K$1:$K$4889,"cash collection*"),2),'Opening Balance'!$B$11))</f>
        <v/>
      </c>
      <c r="H351" s="6">
        <f>IF($A351="","",ROUND('Opening Balance'!$B$10+'Opening Balance'!$B$9+SUMIFS('Sales &amp; Collection'!$L$1:$L$4889,'Sales &amp; Collection'!$K$1:$K$4889,"cash collection*")-G351-SUMIFS('Daily Sale entry '!$AC$2:$AC$1501,'Daily Sale entry '!$X$2:$X$1501,"&lt;="&amp;$A351,'Daily Sale entry '!$Z$2:$Z$1501,"Cash deposit 现金存入"),2))</f>
        <v/>
      </c>
      <c r="I351" s="6">
        <f>IF($A351="","",ROUND(B351+D351+E351+F351+G351+H351,2))</f>
        <v/>
      </c>
      <c r="J351" s="6">
        <f>IF($A351="","",'AR &amp; AP'!K352)</f>
        <v/>
      </c>
      <c r="K351" s="6">
        <f>IF($A351="","",ROUND(I351-J351-SUMIFS('Daily Sale entry '!$AC$2:$AC$1501,'Daily Sale entry '!$X$2:$X$1501,"&lt;="&amp;$A351,'Daily Sale entry '!$Z$2:$Z$1501,"Other deposit 其他存入")+SUMIFS('Daily Sale entry '!$AD$2:$AD$1501,'Daily Sale entry '!$X$2:$X$1501,"&lt;="&amp;$A351)+('Opening Balance'!$B$8+SUM('Daily Sale entry '!$L$2:M351)-F351),2))</f>
        <v/>
      </c>
      <c r="L351">
        <f>IF($A351="","",IF(ABS('Sales &amp; Collection'!$B$4898)&gt;'Opening Balance'!$B$16,"ALERT 警报: Different "&amp;TEXT('Sales &amp; Collection'!$B$4898,"#,##0.00")&amp;" 差额过大",""))</f>
        <v/>
      </c>
    </row>
    <row r="352">
      <c r="A352" s="5">
        <f>IF('Daily Sale entry '!A352="","",'Daily Sale entry '!A352)</f>
        <v/>
      </c>
      <c r="B352" s="6">
        <f>IF($A352="","",ROUND('Opening Balance'!$B$4+SUM('Daily Sale entry '!$K$2:K352)+SUMIFS('Daily Sale entry '!$AC$2:$AC$1501,'Daily Sale entry '!$X$2:$X$1501,"&lt;="&amp;$A352)-SUMIFS('Daily Sale entry '!$AD$2:$AD$1501,'Daily Sale entry '!$X$2:$X$1501,"&lt;="&amp;$A352)+SUMPRODUCT(('Daily Sale entry '!$Q$2:$Q$1501="Collection 收款")*('Daily Sale entry '!$R$2:$R$1501="Cheque 支票")*('Daily Sale entry '!$V$2:$V$1501&lt;&gt;"")*('Daily Sale entry '!$V$2:$V$1501&lt;=$A352)*('Daily Sale entry '!$S$2:$S$1501-'Opening Balance'!$B$15*('Daily Sale entry '!$R$2:$R$1501="Cheque 支票")*('Daily Sale entry '!$S$2:$S$1501-TRUNC('Daily Sale entry '!$S$2:$S$1501))))-'Opening Balance'!$B$15*SUMPRODUCT(('Daily Sale entry '!$X$2:$X$1501&lt;=$A352)*('Daily Sale entry '!$Z$2:$Z$1501="Online collection 网上收款")*('Daily Sale entry '!$AA$2:$AA$1501&lt;&gt;"")*('Daily Sale entry '!$AC$2:$AC$1501-TRUNC('Daily Sale entry '!$AC$2:$AC$1501))),2))</f>
        <v/>
      </c>
      <c r="C352" s="8">
        <f>IF($A352="","",'Opening Balance'!$B$5+SUM('Daily Sale entry '!$I$2:I352)-SUMIFS('Daily Sale entry '!$AB$2:$AB$1501,'Daily Sale entry '!$X$2:$X$1501,"&lt;="&amp;$A352,'Daily Sale entry '!$Z$2:$Z$1501,"Cheque deposit 支票存入")-COUNTIFS('Daily Sale entry '!$Q$2:$Q$1501,"Collection 收款",'Daily Sale entry '!$R$2:$R$1501,"Cheque 支票",'Daily Sale entry '!$V$2:$V$1501,"&lt;="&amp;$A352))</f>
        <v/>
      </c>
      <c r="D352" s="6">
        <f>IF($A352="","",ROUND('Opening Balance'!$B$6+SUM('Daily Sale entry '!$J$2:J352)-SUMIFS('Daily Sale entry '!$AC$2:$AC$1501,'Daily Sale entry '!$X$2:$X$1501,"&lt;="&amp;$A352,'Daily Sale entry '!$Z$2:$Z$1501,"Cheque deposit 支票存入")-SUMPRODUCT(('Daily Sale entry '!$Q$2:$Q$1501="Collection 收款")*('Daily Sale entry '!$R$2:$R$1501="Cheque 支票")*('Daily Sale entry '!$V$2:$V$1501&lt;&gt;"")*('Daily Sale entry '!$V$2:$V$1501&lt;=$A352)*('Daily Sale entry '!$S$2:$S$1501-'Opening Balance'!$B$15*('Daily Sale entry '!$R$2:$R$1501="Cheque 支票")*('Daily Sale entry '!$S$2:$S$1501-TRUNC('Daily Sale entry '!$S$2:$S$1501)))),2))</f>
        <v/>
      </c>
      <c r="E352" s="6">
        <f>IF($A352="","",'Opening Balance'!$B$7)</f>
        <v/>
      </c>
      <c r="F352" s="6">
        <f>IF($A352="","",ROUND(SUMIFS('Daily Sale entry '!$L$2:$L$367,'Daily Sale entry '!$A$2:$A$367,"&gt;="&amp;DATE(YEAR($A352),MONTH($A352),1),'Daily Sale entry '!$A$2:$A$367,"&lt;="&amp;$A352)+SUMIFS('Daily Sale entry '!$M$2:$M$367,'Daily Sale entry '!$A$2:$A$367,"&gt;="&amp;DATE(YEAR($A352),MONTH($A352),1),'Daily Sale entry '!$A$2:$A$367,"&lt;="&amp;$A352)+IF(AND(YEAR($A352)=YEAR('Daily Sale entry '!$A$2),MONTH($A352)=MONTH('Daily Sale entry '!$A$2)),'Opening Balance'!$B$8,0),2))</f>
        <v/>
      </c>
      <c r="G352" s="6">
        <f>IF($A352="","",MOD(ROUND('Opening Balance'!$B$9+SUMIFS('Sales &amp; Collection'!$L$1:$L$4903,'Sales &amp; Collection'!$K$1:$K$4903,"cash collection*"),2),'Opening Balance'!$B$11))</f>
        <v/>
      </c>
      <c r="H352" s="6">
        <f>IF($A352="","",ROUND('Opening Balance'!$B$10+'Opening Balance'!$B$9+SUMIFS('Sales &amp; Collection'!$L$1:$L$4903,'Sales &amp; Collection'!$K$1:$K$4903,"cash collection*")-G352-SUMIFS('Daily Sale entry '!$AC$2:$AC$1501,'Daily Sale entry '!$X$2:$X$1501,"&lt;="&amp;$A352,'Daily Sale entry '!$Z$2:$Z$1501,"Cash deposit 现金存入"),2))</f>
        <v/>
      </c>
      <c r="I352" s="6">
        <f>IF($A352="","",ROUND(B352+D352+E352+F352+G352+H352,2))</f>
        <v/>
      </c>
      <c r="J352" s="6">
        <f>IF($A352="","",'AR &amp; AP'!K353)</f>
        <v/>
      </c>
      <c r="K352" s="6">
        <f>IF($A352="","",ROUND(I352-J352-SUMIFS('Daily Sale entry '!$AC$2:$AC$1501,'Daily Sale entry '!$X$2:$X$1501,"&lt;="&amp;$A352,'Daily Sale entry '!$Z$2:$Z$1501,"Other deposit 其他存入")+SUMIFS('Daily Sale entry '!$AD$2:$AD$1501,'Daily Sale entry '!$X$2:$X$1501,"&lt;="&amp;$A352)+('Opening Balance'!$B$8+SUM('Daily Sale entry '!$L$2:M352)-F352),2))</f>
        <v/>
      </c>
      <c r="L352">
        <f>IF($A352="","",IF(ABS('Sales &amp; Collection'!$B$4912)&gt;'Opening Balance'!$B$16,"ALERT 警报: Different "&amp;TEXT('Sales &amp; Collection'!$B$4912,"#,##0.00")&amp;" 差额过大",""))</f>
        <v/>
      </c>
    </row>
    <row r="353">
      <c r="A353" s="5">
        <f>IF('Daily Sale entry '!A353="","",'Daily Sale entry '!A353)</f>
        <v/>
      </c>
      <c r="B353" s="6">
        <f>IF($A353="","",ROUND('Opening Balance'!$B$4+SUM('Daily Sale entry '!$K$2:K353)+SUMIFS('Daily Sale entry '!$AC$2:$AC$1501,'Daily Sale entry '!$X$2:$X$1501,"&lt;="&amp;$A353)-SUMIFS('Daily Sale entry '!$AD$2:$AD$1501,'Daily Sale entry '!$X$2:$X$1501,"&lt;="&amp;$A353)+SUMPRODUCT(('Daily Sale entry '!$Q$2:$Q$1501="Collection 收款")*('Daily Sale entry '!$R$2:$R$1501="Cheque 支票")*('Daily Sale entry '!$V$2:$V$1501&lt;&gt;"")*('Daily Sale entry '!$V$2:$V$1501&lt;=$A353)*('Daily Sale entry '!$S$2:$S$1501-'Opening Balance'!$B$15*('Daily Sale entry '!$R$2:$R$1501="Cheque 支票")*('Daily Sale entry '!$S$2:$S$1501-TRUNC('Daily Sale entry '!$S$2:$S$1501))))-'Opening Balance'!$B$15*SUMPRODUCT(('Daily Sale entry '!$X$2:$X$1501&lt;=$A353)*('Daily Sale entry '!$Z$2:$Z$1501="Online collection 网上收款")*('Daily Sale entry '!$AA$2:$AA$1501&lt;&gt;"")*('Daily Sale entry '!$AC$2:$AC$1501-TRUNC('Daily Sale entry '!$AC$2:$AC$1501))),2))</f>
        <v/>
      </c>
      <c r="C353" s="8">
        <f>IF($A353="","",'Opening Balance'!$B$5+SUM('Daily Sale entry '!$I$2:I353)-SUMIFS('Daily Sale entry '!$AB$2:$AB$1501,'Daily Sale entry '!$X$2:$X$1501,"&lt;="&amp;$A353,'Daily Sale entry '!$Z$2:$Z$1501,"Cheque deposit 支票存入")-COUNTIFS('Daily Sale entry '!$Q$2:$Q$1501,"Collection 收款",'Daily Sale entry '!$R$2:$R$1501,"Cheque 支票",'Daily Sale entry '!$V$2:$V$1501,"&lt;="&amp;$A353))</f>
        <v/>
      </c>
      <c r="D353" s="6">
        <f>IF($A353="","",ROUND('Opening Balance'!$B$6+SUM('Daily Sale entry '!$J$2:J353)-SUMIFS('Daily Sale entry '!$AC$2:$AC$1501,'Daily Sale entry '!$X$2:$X$1501,"&lt;="&amp;$A353,'Daily Sale entry '!$Z$2:$Z$1501,"Cheque deposit 支票存入")-SUMPRODUCT(('Daily Sale entry '!$Q$2:$Q$1501="Collection 收款")*('Daily Sale entry '!$R$2:$R$1501="Cheque 支票")*('Daily Sale entry '!$V$2:$V$1501&lt;&gt;"")*('Daily Sale entry '!$V$2:$V$1501&lt;=$A353)*('Daily Sale entry '!$S$2:$S$1501-'Opening Balance'!$B$15*('Daily Sale entry '!$R$2:$R$1501="Cheque 支票")*('Daily Sale entry '!$S$2:$S$1501-TRUNC('Daily Sale entry '!$S$2:$S$1501)))),2))</f>
        <v/>
      </c>
      <c r="E353" s="6">
        <f>IF($A353="","",'Opening Balance'!$B$7)</f>
        <v/>
      </c>
      <c r="F353" s="6">
        <f>IF($A353="","",ROUND(SUMIFS('Daily Sale entry '!$L$2:$L$367,'Daily Sale entry '!$A$2:$A$367,"&gt;="&amp;DATE(YEAR($A353),MONTH($A353),1),'Daily Sale entry '!$A$2:$A$367,"&lt;="&amp;$A353)+SUMIFS('Daily Sale entry '!$M$2:$M$367,'Daily Sale entry '!$A$2:$A$367,"&gt;="&amp;DATE(YEAR($A353),MONTH($A353),1),'Daily Sale entry '!$A$2:$A$367,"&lt;="&amp;$A353)+IF(AND(YEAR($A353)=YEAR('Daily Sale entry '!$A$2),MONTH($A353)=MONTH('Daily Sale entry '!$A$2)),'Opening Balance'!$B$8,0),2))</f>
        <v/>
      </c>
      <c r="G353" s="6">
        <f>IF($A353="","",MOD(ROUND('Opening Balance'!$B$9+SUMIFS('Sales &amp; Collection'!$L$1:$L$4917,'Sales &amp; Collection'!$K$1:$K$4917,"cash collection*"),2),'Opening Balance'!$B$11))</f>
        <v/>
      </c>
      <c r="H353" s="6">
        <f>IF($A353="","",ROUND('Opening Balance'!$B$10+'Opening Balance'!$B$9+SUMIFS('Sales &amp; Collection'!$L$1:$L$4917,'Sales &amp; Collection'!$K$1:$K$4917,"cash collection*")-G353-SUMIFS('Daily Sale entry '!$AC$2:$AC$1501,'Daily Sale entry '!$X$2:$X$1501,"&lt;="&amp;$A353,'Daily Sale entry '!$Z$2:$Z$1501,"Cash deposit 现金存入"),2))</f>
        <v/>
      </c>
      <c r="I353" s="6">
        <f>IF($A353="","",ROUND(B353+D353+E353+F353+G353+H353,2))</f>
        <v/>
      </c>
      <c r="J353" s="6">
        <f>IF($A353="","",'AR &amp; AP'!K354)</f>
        <v/>
      </c>
      <c r="K353" s="6">
        <f>IF($A353="","",ROUND(I353-J353-SUMIFS('Daily Sale entry '!$AC$2:$AC$1501,'Daily Sale entry '!$X$2:$X$1501,"&lt;="&amp;$A353,'Daily Sale entry '!$Z$2:$Z$1501,"Other deposit 其他存入")+SUMIFS('Daily Sale entry '!$AD$2:$AD$1501,'Daily Sale entry '!$X$2:$X$1501,"&lt;="&amp;$A353)+('Opening Balance'!$B$8+SUM('Daily Sale entry '!$L$2:M353)-F353),2))</f>
        <v/>
      </c>
      <c r="L353">
        <f>IF($A353="","",IF(ABS('Sales &amp; Collection'!$B$4926)&gt;'Opening Balance'!$B$16,"ALERT 警报: Different "&amp;TEXT('Sales &amp; Collection'!$B$4926,"#,##0.00")&amp;" 差额过大",""))</f>
        <v/>
      </c>
    </row>
    <row r="354">
      <c r="A354" s="5">
        <f>IF('Daily Sale entry '!A354="","",'Daily Sale entry '!A354)</f>
        <v/>
      </c>
      <c r="B354" s="6">
        <f>IF($A354="","",ROUND('Opening Balance'!$B$4+SUM('Daily Sale entry '!$K$2:K354)+SUMIFS('Daily Sale entry '!$AC$2:$AC$1501,'Daily Sale entry '!$X$2:$X$1501,"&lt;="&amp;$A354)-SUMIFS('Daily Sale entry '!$AD$2:$AD$1501,'Daily Sale entry '!$X$2:$X$1501,"&lt;="&amp;$A354)+SUMPRODUCT(('Daily Sale entry '!$Q$2:$Q$1501="Collection 收款")*('Daily Sale entry '!$R$2:$R$1501="Cheque 支票")*('Daily Sale entry '!$V$2:$V$1501&lt;&gt;"")*('Daily Sale entry '!$V$2:$V$1501&lt;=$A354)*('Daily Sale entry '!$S$2:$S$1501-'Opening Balance'!$B$15*('Daily Sale entry '!$R$2:$R$1501="Cheque 支票")*('Daily Sale entry '!$S$2:$S$1501-TRUNC('Daily Sale entry '!$S$2:$S$1501))))-'Opening Balance'!$B$15*SUMPRODUCT(('Daily Sale entry '!$X$2:$X$1501&lt;=$A354)*('Daily Sale entry '!$Z$2:$Z$1501="Online collection 网上收款")*('Daily Sale entry '!$AA$2:$AA$1501&lt;&gt;"")*('Daily Sale entry '!$AC$2:$AC$1501-TRUNC('Daily Sale entry '!$AC$2:$AC$1501))),2))</f>
        <v/>
      </c>
      <c r="C354" s="8">
        <f>IF($A354="","",'Opening Balance'!$B$5+SUM('Daily Sale entry '!$I$2:I354)-SUMIFS('Daily Sale entry '!$AB$2:$AB$1501,'Daily Sale entry '!$X$2:$X$1501,"&lt;="&amp;$A354,'Daily Sale entry '!$Z$2:$Z$1501,"Cheque deposit 支票存入")-COUNTIFS('Daily Sale entry '!$Q$2:$Q$1501,"Collection 收款",'Daily Sale entry '!$R$2:$R$1501,"Cheque 支票",'Daily Sale entry '!$V$2:$V$1501,"&lt;="&amp;$A354))</f>
        <v/>
      </c>
      <c r="D354" s="6">
        <f>IF($A354="","",ROUND('Opening Balance'!$B$6+SUM('Daily Sale entry '!$J$2:J354)-SUMIFS('Daily Sale entry '!$AC$2:$AC$1501,'Daily Sale entry '!$X$2:$X$1501,"&lt;="&amp;$A354,'Daily Sale entry '!$Z$2:$Z$1501,"Cheque deposit 支票存入")-SUMPRODUCT(('Daily Sale entry '!$Q$2:$Q$1501="Collection 收款")*('Daily Sale entry '!$R$2:$R$1501="Cheque 支票")*('Daily Sale entry '!$V$2:$V$1501&lt;&gt;"")*('Daily Sale entry '!$V$2:$V$1501&lt;=$A354)*('Daily Sale entry '!$S$2:$S$1501-'Opening Balance'!$B$15*('Daily Sale entry '!$R$2:$R$1501="Cheque 支票")*('Daily Sale entry '!$S$2:$S$1501-TRUNC('Daily Sale entry '!$S$2:$S$1501)))),2))</f>
        <v/>
      </c>
      <c r="E354" s="6">
        <f>IF($A354="","",'Opening Balance'!$B$7)</f>
        <v/>
      </c>
      <c r="F354" s="6">
        <f>IF($A354="","",ROUND(SUMIFS('Daily Sale entry '!$L$2:$L$367,'Daily Sale entry '!$A$2:$A$367,"&gt;="&amp;DATE(YEAR($A354),MONTH($A354),1),'Daily Sale entry '!$A$2:$A$367,"&lt;="&amp;$A354)+SUMIFS('Daily Sale entry '!$M$2:$M$367,'Daily Sale entry '!$A$2:$A$367,"&gt;="&amp;DATE(YEAR($A354),MONTH($A354),1),'Daily Sale entry '!$A$2:$A$367,"&lt;="&amp;$A354)+IF(AND(YEAR($A354)=YEAR('Daily Sale entry '!$A$2),MONTH($A354)=MONTH('Daily Sale entry '!$A$2)),'Opening Balance'!$B$8,0),2))</f>
        <v/>
      </c>
      <c r="G354" s="6">
        <f>IF($A354="","",MOD(ROUND('Opening Balance'!$B$9+SUMIFS('Sales &amp; Collection'!$L$1:$L$4931,'Sales &amp; Collection'!$K$1:$K$4931,"cash collection*"),2),'Opening Balance'!$B$11))</f>
        <v/>
      </c>
      <c r="H354" s="6">
        <f>IF($A354="","",ROUND('Opening Balance'!$B$10+'Opening Balance'!$B$9+SUMIFS('Sales &amp; Collection'!$L$1:$L$4931,'Sales &amp; Collection'!$K$1:$K$4931,"cash collection*")-G354-SUMIFS('Daily Sale entry '!$AC$2:$AC$1501,'Daily Sale entry '!$X$2:$X$1501,"&lt;="&amp;$A354,'Daily Sale entry '!$Z$2:$Z$1501,"Cash deposit 现金存入"),2))</f>
        <v/>
      </c>
      <c r="I354" s="6">
        <f>IF($A354="","",ROUND(B354+D354+E354+F354+G354+H354,2))</f>
        <v/>
      </c>
      <c r="J354" s="6">
        <f>IF($A354="","",'AR &amp; AP'!K355)</f>
        <v/>
      </c>
      <c r="K354" s="6">
        <f>IF($A354="","",ROUND(I354-J354-SUMIFS('Daily Sale entry '!$AC$2:$AC$1501,'Daily Sale entry '!$X$2:$X$1501,"&lt;="&amp;$A354,'Daily Sale entry '!$Z$2:$Z$1501,"Other deposit 其他存入")+SUMIFS('Daily Sale entry '!$AD$2:$AD$1501,'Daily Sale entry '!$X$2:$X$1501,"&lt;="&amp;$A354)+('Opening Balance'!$B$8+SUM('Daily Sale entry '!$L$2:M354)-F354),2))</f>
        <v/>
      </c>
      <c r="L354">
        <f>IF($A354="","",IF(ABS('Sales &amp; Collection'!$B$4940)&gt;'Opening Balance'!$B$16,"ALERT 警报: Different "&amp;TEXT('Sales &amp; Collection'!$B$4940,"#,##0.00")&amp;" 差额过大",""))</f>
        <v/>
      </c>
    </row>
    <row r="355">
      <c r="A355" s="5">
        <f>IF('Daily Sale entry '!A355="","",'Daily Sale entry '!A355)</f>
        <v/>
      </c>
      <c r="B355" s="6">
        <f>IF($A355="","",ROUND('Opening Balance'!$B$4+SUM('Daily Sale entry '!$K$2:K355)+SUMIFS('Daily Sale entry '!$AC$2:$AC$1501,'Daily Sale entry '!$X$2:$X$1501,"&lt;="&amp;$A355)-SUMIFS('Daily Sale entry '!$AD$2:$AD$1501,'Daily Sale entry '!$X$2:$X$1501,"&lt;="&amp;$A355)+SUMPRODUCT(('Daily Sale entry '!$Q$2:$Q$1501="Collection 收款")*('Daily Sale entry '!$R$2:$R$1501="Cheque 支票")*('Daily Sale entry '!$V$2:$V$1501&lt;&gt;"")*('Daily Sale entry '!$V$2:$V$1501&lt;=$A355)*('Daily Sale entry '!$S$2:$S$1501-'Opening Balance'!$B$15*('Daily Sale entry '!$R$2:$R$1501="Cheque 支票")*('Daily Sale entry '!$S$2:$S$1501-TRUNC('Daily Sale entry '!$S$2:$S$1501))))-'Opening Balance'!$B$15*SUMPRODUCT(('Daily Sale entry '!$X$2:$X$1501&lt;=$A355)*('Daily Sale entry '!$Z$2:$Z$1501="Online collection 网上收款")*('Daily Sale entry '!$AA$2:$AA$1501&lt;&gt;"")*('Daily Sale entry '!$AC$2:$AC$1501-TRUNC('Daily Sale entry '!$AC$2:$AC$1501))),2))</f>
        <v/>
      </c>
      <c r="C355" s="8">
        <f>IF($A355="","",'Opening Balance'!$B$5+SUM('Daily Sale entry '!$I$2:I355)-SUMIFS('Daily Sale entry '!$AB$2:$AB$1501,'Daily Sale entry '!$X$2:$X$1501,"&lt;="&amp;$A355,'Daily Sale entry '!$Z$2:$Z$1501,"Cheque deposit 支票存入")-COUNTIFS('Daily Sale entry '!$Q$2:$Q$1501,"Collection 收款",'Daily Sale entry '!$R$2:$R$1501,"Cheque 支票",'Daily Sale entry '!$V$2:$V$1501,"&lt;="&amp;$A355))</f>
        <v/>
      </c>
      <c r="D355" s="6">
        <f>IF($A355="","",ROUND('Opening Balance'!$B$6+SUM('Daily Sale entry '!$J$2:J355)-SUMIFS('Daily Sale entry '!$AC$2:$AC$1501,'Daily Sale entry '!$X$2:$X$1501,"&lt;="&amp;$A355,'Daily Sale entry '!$Z$2:$Z$1501,"Cheque deposit 支票存入")-SUMPRODUCT(('Daily Sale entry '!$Q$2:$Q$1501="Collection 收款")*('Daily Sale entry '!$R$2:$R$1501="Cheque 支票")*('Daily Sale entry '!$V$2:$V$1501&lt;&gt;"")*('Daily Sale entry '!$V$2:$V$1501&lt;=$A355)*('Daily Sale entry '!$S$2:$S$1501-'Opening Balance'!$B$15*('Daily Sale entry '!$R$2:$R$1501="Cheque 支票")*('Daily Sale entry '!$S$2:$S$1501-TRUNC('Daily Sale entry '!$S$2:$S$1501)))),2))</f>
        <v/>
      </c>
      <c r="E355" s="6">
        <f>IF($A355="","",'Opening Balance'!$B$7)</f>
        <v/>
      </c>
      <c r="F355" s="6">
        <f>IF($A355="","",ROUND(SUMIFS('Daily Sale entry '!$L$2:$L$367,'Daily Sale entry '!$A$2:$A$367,"&gt;="&amp;DATE(YEAR($A355),MONTH($A355),1),'Daily Sale entry '!$A$2:$A$367,"&lt;="&amp;$A355)+SUMIFS('Daily Sale entry '!$M$2:$M$367,'Daily Sale entry '!$A$2:$A$367,"&gt;="&amp;DATE(YEAR($A355),MONTH($A355),1),'Daily Sale entry '!$A$2:$A$367,"&lt;="&amp;$A355)+IF(AND(YEAR($A355)=YEAR('Daily Sale entry '!$A$2),MONTH($A355)=MONTH('Daily Sale entry '!$A$2)),'Opening Balance'!$B$8,0),2))</f>
        <v/>
      </c>
      <c r="G355" s="6">
        <f>IF($A355="","",MOD(ROUND('Opening Balance'!$B$9+SUMIFS('Sales &amp; Collection'!$L$1:$L$4945,'Sales &amp; Collection'!$K$1:$K$4945,"cash collection*"),2),'Opening Balance'!$B$11))</f>
        <v/>
      </c>
      <c r="H355" s="6">
        <f>IF($A355="","",ROUND('Opening Balance'!$B$10+'Opening Balance'!$B$9+SUMIFS('Sales &amp; Collection'!$L$1:$L$4945,'Sales &amp; Collection'!$K$1:$K$4945,"cash collection*")-G355-SUMIFS('Daily Sale entry '!$AC$2:$AC$1501,'Daily Sale entry '!$X$2:$X$1501,"&lt;="&amp;$A355,'Daily Sale entry '!$Z$2:$Z$1501,"Cash deposit 现金存入"),2))</f>
        <v/>
      </c>
      <c r="I355" s="6">
        <f>IF($A355="","",ROUND(B355+D355+E355+F355+G355+H355,2))</f>
        <v/>
      </c>
      <c r="J355" s="6">
        <f>IF($A355="","",'AR &amp; AP'!K356)</f>
        <v/>
      </c>
      <c r="K355" s="6">
        <f>IF($A355="","",ROUND(I355-J355-SUMIFS('Daily Sale entry '!$AC$2:$AC$1501,'Daily Sale entry '!$X$2:$X$1501,"&lt;="&amp;$A355,'Daily Sale entry '!$Z$2:$Z$1501,"Other deposit 其他存入")+SUMIFS('Daily Sale entry '!$AD$2:$AD$1501,'Daily Sale entry '!$X$2:$X$1501,"&lt;="&amp;$A355)+('Opening Balance'!$B$8+SUM('Daily Sale entry '!$L$2:M355)-F355),2))</f>
        <v/>
      </c>
      <c r="L355">
        <f>IF($A355="","",IF(ABS('Sales &amp; Collection'!$B$4954)&gt;'Opening Balance'!$B$16,"ALERT 警报: Different "&amp;TEXT('Sales &amp; Collection'!$B$4954,"#,##0.00")&amp;" 差额过大",""))</f>
        <v/>
      </c>
    </row>
    <row r="356">
      <c r="A356" s="5">
        <f>IF('Daily Sale entry '!A356="","",'Daily Sale entry '!A356)</f>
        <v/>
      </c>
      <c r="B356" s="6">
        <f>IF($A356="","",ROUND('Opening Balance'!$B$4+SUM('Daily Sale entry '!$K$2:K356)+SUMIFS('Daily Sale entry '!$AC$2:$AC$1501,'Daily Sale entry '!$X$2:$X$1501,"&lt;="&amp;$A356)-SUMIFS('Daily Sale entry '!$AD$2:$AD$1501,'Daily Sale entry '!$X$2:$X$1501,"&lt;="&amp;$A356)+SUMPRODUCT(('Daily Sale entry '!$Q$2:$Q$1501="Collection 收款")*('Daily Sale entry '!$R$2:$R$1501="Cheque 支票")*('Daily Sale entry '!$V$2:$V$1501&lt;&gt;"")*('Daily Sale entry '!$V$2:$V$1501&lt;=$A356)*('Daily Sale entry '!$S$2:$S$1501-'Opening Balance'!$B$15*('Daily Sale entry '!$R$2:$R$1501="Cheque 支票")*('Daily Sale entry '!$S$2:$S$1501-TRUNC('Daily Sale entry '!$S$2:$S$1501))))-'Opening Balance'!$B$15*SUMPRODUCT(('Daily Sale entry '!$X$2:$X$1501&lt;=$A356)*('Daily Sale entry '!$Z$2:$Z$1501="Online collection 网上收款")*('Daily Sale entry '!$AA$2:$AA$1501&lt;&gt;"")*('Daily Sale entry '!$AC$2:$AC$1501-TRUNC('Daily Sale entry '!$AC$2:$AC$1501))),2))</f>
        <v/>
      </c>
      <c r="C356" s="8">
        <f>IF($A356="","",'Opening Balance'!$B$5+SUM('Daily Sale entry '!$I$2:I356)-SUMIFS('Daily Sale entry '!$AB$2:$AB$1501,'Daily Sale entry '!$X$2:$X$1501,"&lt;="&amp;$A356,'Daily Sale entry '!$Z$2:$Z$1501,"Cheque deposit 支票存入")-COUNTIFS('Daily Sale entry '!$Q$2:$Q$1501,"Collection 收款",'Daily Sale entry '!$R$2:$R$1501,"Cheque 支票",'Daily Sale entry '!$V$2:$V$1501,"&lt;="&amp;$A356))</f>
        <v/>
      </c>
      <c r="D356" s="6">
        <f>IF($A356="","",ROUND('Opening Balance'!$B$6+SUM('Daily Sale entry '!$J$2:J356)-SUMIFS('Daily Sale entry '!$AC$2:$AC$1501,'Daily Sale entry '!$X$2:$X$1501,"&lt;="&amp;$A356,'Daily Sale entry '!$Z$2:$Z$1501,"Cheque deposit 支票存入")-SUMPRODUCT(('Daily Sale entry '!$Q$2:$Q$1501="Collection 收款")*('Daily Sale entry '!$R$2:$R$1501="Cheque 支票")*('Daily Sale entry '!$V$2:$V$1501&lt;&gt;"")*('Daily Sale entry '!$V$2:$V$1501&lt;=$A356)*('Daily Sale entry '!$S$2:$S$1501-'Opening Balance'!$B$15*('Daily Sale entry '!$R$2:$R$1501="Cheque 支票")*('Daily Sale entry '!$S$2:$S$1501-TRUNC('Daily Sale entry '!$S$2:$S$1501)))),2))</f>
        <v/>
      </c>
      <c r="E356" s="6">
        <f>IF($A356="","",'Opening Balance'!$B$7)</f>
        <v/>
      </c>
      <c r="F356" s="6">
        <f>IF($A356="","",ROUND(SUMIFS('Daily Sale entry '!$L$2:$L$367,'Daily Sale entry '!$A$2:$A$367,"&gt;="&amp;DATE(YEAR($A356),MONTH($A356),1),'Daily Sale entry '!$A$2:$A$367,"&lt;="&amp;$A356)+SUMIFS('Daily Sale entry '!$M$2:$M$367,'Daily Sale entry '!$A$2:$A$367,"&gt;="&amp;DATE(YEAR($A356),MONTH($A356),1),'Daily Sale entry '!$A$2:$A$367,"&lt;="&amp;$A356)+IF(AND(YEAR($A356)=YEAR('Daily Sale entry '!$A$2),MONTH($A356)=MONTH('Daily Sale entry '!$A$2)),'Opening Balance'!$B$8,0),2))</f>
        <v/>
      </c>
      <c r="G356" s="6">
        <f>IF($A356="","",MOD(ROUND('Opening Balance'!$B$9+SUMIFS('Sales &amp; Collection'!$L$1:$L$4959,'Sales &amp; Collection'!$K$1:$K$4959,"cash collection*"),2),'Opening Balance'!$B$11))</f>
        <v/>
      </c>
      <c r="H356" s="6">
        <f>IF($A356="","",ROUND('Opening Balance'!$B$10+'Opening Balance'!$B$9+SUMIFS('Sales &amp; Collection'!$L$1:$L$4959,'Sales &amp; Collection'!$K$1:$K$4959,"cash collection*")-G356-SUMIFS('Daily Sale entry '!$AC$2:$AC$1501,'Daily Sale entry '!$X$2:$X$1501,"&lt;="&amp;$A356,'Daily Sale entry '!$Z$2:$Z$1501,"Cash deposit 现金存入"),2))</f>
        <v/>
      </c>
      <c r="I356" s="6">
        <f>IF($A356="","",ROUND(B356+D356+E356+F356+G356+H356,2))</f>
        <v/>
      </c>
      <c r="J356" s="6">
        <f>IF($A356="","",'AR &amp; AP'!K357)</f>
        <v/>
      </c>
      <c r="K356" s="6">
        <f>IF($A356="","",ROUND(I356-J356-SUMIFS('Daily Sale entry '!$AC$2:$AC$1501,'Daily Sale entry '!$X$2:$X$1501,"&lt;="&amp;$A356,'Daily Sale entry '!$Z$2:$Z$1501,"Other deposit 其他存入")+SUMIFS('Daily Sale entry '!$AD$2:$AD$1501,'Daily Sale entry '!$X$2:$X$1501,"&lt;="&amp;$A356)+('Opening Balance'!$B$8+SUM('Daily Sale entry '!$L$2:M356)-F356),2))</f>
        <v/>
      </c>
      <c r="L356">
        <f>IF($A356="","",IF(ABS('Sales &amp; Collection'!$B$4968)&gt;'Opening Balance'!$B$16,"ALERT 警报: Different "&amp;TEXT('Sales &amp; Collection'!$B$4968,"#,##0.00")&amp;" 差额过大",""))</f>
        <v/>
      </c>
    </row>
    <row r="357">
      <c r="A357" s="5">
        <f>IF('Daily Sale entry '!A357="","",'Daily Sale entry '!A357)</f>
        <v/>
      </c>
      <c r="B357" s="6">
        <f>IF($A357="","",ROUND('Opening Balance'!$B$4+SUM('Daily Sale entry '!$K$2:K357)+SUMIFS('Daily Sale entry '!$AC$2:$AC$1501,'Daily Sale entry '!$X$2:$X$1501,"&lt;="&amp;$A357)-SUMIFS('Daily Sale entry '!$AD$2:$AD$1501,'Daily Sale entry '!$X$2:$X$1501,"&lt;="&amp;$A357)+SUMPRODUCT(('Daily Sale entry '!$Q$2:$Q$1501="Collection 收款")*('Daily Sale entry '!$R$2:$R$1501="Cheque 支票")*('Daily Sale entry '!$V$2:$V$1501&lt;&gt;"")*('Daily Sale entry '!$V$2:$V$1501&lt;=$A357)*('Daily Sale entry '!$S$2:$S$1501-'Opening Balance'!$B$15*('Daily Sale entry '!$R$2:$R$1501="Cheque 支票")*('Daily Sale entry '!$S$2:$S$1501-TRUNC('Daily Sale entry '!$S$2:$S$1501))))-'Opening Balance'!$B$15*SUMPRODUCT(('Daily Sale entry '!$X$2:$X$1501&lt;=$A357)*('Daily Sale entry '!$Z$2:$Z$1501="Online collection 网上收款")*('Daily Sale entry '!$AA$2:$AA$1501&lt;&gt;"")*('Daily Sale entry '!$AC$2:$AC$1501-TRUNC('Daily Sale entry '!$AC$2:$AC$1501))),2))</f>
        <v/>
      </c>
      <c r="C357" s="8">
        <f>IF($A357="","",'Opening Balance'!$B$5+SUM('Daily Sale entry '!$I$2:I357)-SUMIFS('Daily Sale entry '!$AB$2:$AB$1501,'Daily Sale entry '!$X$2:$X$1501,"&lt;="&amp;$A357,'Daily Sale entry '!$Z$2:$Z$1501,"Cheque deposit 支票存入")-COUNTIFS('Daily Sale entry '!$Q$2:$Q$1501,"Collection 收款",'Daily Sale entry '!$R$2:$R$1501,"Cheque 支票",'Daily Sale entry '!$V$2:$V$1501,"&lt;="&amp;$A357))</f>
        <v/>
      </c>
      <c r="D357" s="6">
        <f>IF($A357="","",ROUND('Opening Balance'!$B$6+SUM('Daily Sale entry '!$J$2:J357)-SUMIFS('Daily Sale entry '!$AC$2:$AC$1501,'Daily Sale entry '!$X$2:$X$1501,"&lt;="&amp;$A357,'Daily Sale entry '!$Z$2:$Z$1501,"Cheque deposit 支票存入")-SUMPRODUCT(('Daily Sale entry '!$Q$2:$Q$1501="Collection 收款")*('Daily Sale entry '!$R$2:$R$1501="Cheque 支票")*('Daily Sale entry '!$V$2:$V$1501&lt;&gt;"")*('Daily Sale entry '!$V$2:$V$1501&lt;=$A357)*('Daily Sale entry '!$S$2:$S$1501-'Opening Balance'!$B$15*('Daily Sale entry '!$R$2:$R$1501="Cheque 支票")*('Daily Sale entry '!$S$2:$S$1501-TRUNC('Daily Sale entry '!$S$2:$S$1501)))),2))</f>
        <v/>
      </c>
      <c r="E357" s="6">
        <f>IF($A357="","",'Opening Balance'!$B$7)</f>
        <v/>
      </c>
      <c r="F357" s="6">
        <f>IF($A357="","",ROUND(SUMIFS('Daily Sale entry '!$L$2:$L$367,'Daily Sale entry '!$A$2:$A$367,"&gt;="&amp;DATE(YEAR($A357),MONTH($A357),1),'Daily Sale entry '!$A$2:$A$367,"&lt;="&amp;$A357)+SUMIFS('Daily Sale entry '!$M$2:$M$367,'Daily Sale entry '!$A$2:$A$367,"&gt;="&amp;DATE(YEAR($A357),MONTH($A357),1),'Daily Sale entry '!$A$2:$A$367,"&lt;="&amp;$A357)+IF(AND(YEAR($A357)=YEAR('Daily Sale entry '!$A$2),MONTH($A357)=MONTH('Daily Sale entry '!$A$2)),'Opening Balance'!$B$8,0),2))</f>
        <v/>
      </c>
      <c r="G357" s="6">
        <f>IF($A357="","",MOD(ROUND('Opening Balance'!$B$9+SUMIFS('Sales &amp; Collection'!$L$1:$L$4973,'Sales &amp; Collection'!$K$1:$K$4973,"cash collection*"),2),'Opening Balance'!$B$11))</f>
        <v/>
      </c>
      <c r="H357" s="6">
        <f>IF($A357="","",ROUND('Opening Balance'!$B$10+'Opening Balance'!$B$9+SUMIFS('Sales &amp; Collection'!$L$1:$L$4973,'Sales &amp; Collection'!$K$1:$K$4973,"cash collection*")-G357-SUMIFS('Daily Sale entry '!$AC$2:$AC$1501,'Daily Sale entry '!$X$2:$X$1501,"&lt;="&amp;$A357,'Daily Sale entry '!$Z$2:$Z$1501,"Cash deposit 现金存入"),2))</f>
        <v/>
      </c>
      <c r="I357" s="6">
        <f>IF($A357="","",ROUND(B357+D357+E357+F357+G357+H357,2))</f>
        <v/>
      </c>
      <c r="J357" s="6">
        <f>IF($A357="","",'AR &amp; AP'!K358)</f>
        <v/>
      </c>
      <c r="K357" s="6">
        <f>IF($A357="","",ROUND(I357-J357-SUMIFS('Daily Sale entry '!$AC$2:$AC$1501,'Daily Sale entry '!$X$2:$X$1501,"&lt;="&amp;$A357,'Daily Sale entry '!$Z$2:$Z$1501,"Other deposit 其他存入")+SUMIFS('Daily Sale entry '!$AD$2:$AD$1501,'Daily Sale entry '!$X$2:$X$1501,"&lt;="&amp;$A357)+('Opening Balance'!$B$8+SUM('Daily Sale entry '!$L$2:M357)-F357),2))</f>
        <v/>
      </c>
      <c r="L357">
        <f>IF($A357="","",IF(ABS('Sales &amp; Collection'!$B$4982)&gt;'Opening Balance'!$B$16,"ALERT 警报: Different "&amp;TEXT('Sales &amp; Collection'!$B$4982,"#,##0.00")&amp;" 差额过大",""))</f>
        <v/>
      </c>
    </row>
    <row r="358">
      <c r="A358" s="5">
        <f>IF('Daily Sale entry '!A358="","",'Daily Sale entry '!A358)</f>
        <v/>
      </c>
      <c r="B358" s="6">
        <f>IF($A358="","",ROUND('Opening Balance'!$B$4+SUM('Daily Sale entry '!$K$2:K358)+SUMIFS('Daily Sale entry '!$AC$2:$AC$1501,'Daily Sale entry '!$X$2:$X$1501,"&lt;="&amp;$A358)-SUMIFS('Daily Sale entry '!$AD$2:$AD$1501,'Daily Sale entry '!$X$2:$X$1501,"&lt;="&amp;$A358)+SUMPRODUCT(('Daily Sale entry '!$Q$2:$Q$1501="Collection 收款")*('Daily Sale entry '!$R$2:$R$1501="Cheque 支票")*('Daily Sale entry '!$V$2:$V$1501&lt;&gt;"")*('Daily Sale entry '!$V$2:$V$1501&lt;=$A358)*('Daily Sale entry '!$S$2:$S$1501-'Opening Balance'!$B$15*('Daily Sale entry '!$R$2:$R$1501="Cheque 支票")*('Daily Sale entry '!$S$2:$S$1501-TRUNC('Daily Sale entry '!$S$2:$S$1501))))-'Opening Balance'!$B$15*SUMPRODUCT(('Daily Sale entry '!$X$2:$X$1501&lt;=$A358)*('Daily Sale entry '!$Z$2:$Z$1501="Online collection 网上收款")*('Daily Sale entry '!$AA$2:$AA$1501&lt;&gt;"")*('Daily Sale entry '!$AC$2:$AC$1501-TRUNC('Daily Sale entry '!$AC$2:$AC$1501))),2))</f>
        <v/>
      </c>
      <c r="C358" s="8">
        <f>IF($A358="","",'Opening Balance'!$B$5+SUM('Daily Sale entry '!$I$2:I358)-SUMIFS('Daily Sale entry '!$AB$2:$AB$1501,'Daily Sale entry '!$X$2:$X$1501,"&lt;="&amp;$A358,'Daily Sale entry '!$Z$2:$Z$1501,"Cheque deposit 支票存入")-COUNTIFS('Daily Sale entry '!$Q$2:$Q$1501,"Collection 收款",'Daily Sale entry '!$R$2:$R$1501,"Cheque 支票",'Daily Sale entry '!$V$2:$V$1501,"&lt;="&amp;$A358))</f>
        <v/>
      </c>
      <c r="D358" s="6">
        <f>IF($A358="","",ROUND('Opening Balance'!$B$6+SUM('Daily Sale entry '!$J$2:J358)-SUMIFS('Daily Sale entry '!$AC$2:$AC$1501,'Daily Sale entry '!$X$2:$X$1501,"&lt;="&amp;$A358,'Daily Sale entry '!$Z$2:$Z$1501,"Cheque deposit 支票存入")-SUMPRODUCT(('Daily Sale entry '!$Q$2:$Q$1501="Collection 收款")*('Daily Sale entry '!$R$2:$R$1501="Cheque 支票")*('Daily Sale entry '!$V$2:$V$1501&lt;&gt;"")*('Daily Sale entry '!$V$2:$V$1501&lt;=$A358)*('Daily Sale entry '!$S$2:$S$1501-'Opening Balance'!$B$15*('Daily Sale entry '!$R$2:$R$1501="Cheque 支票")*('Daily Sale entry '!$S$2:$S$1501-TRUNC('Daily Sale entry '!$S$2:$S$1501)))),2))</f>
        <v/>
      </c>
      <c r="E358" s="6">
        <f>IF($A358="","",'Opening Balance'!$B$7)</f>
        <v/>
      </c>
      <c r="F358" s="6">
        <f>IF($A358="","",ROUND(SUMIFS('Daily Sale entry '!$L$2:$L$367,'Daily Sale entry '!$A$2:$A$367,"&gt;="&amp;DATE(YEAR($A358),MONTH($A358),1),'Daily Sale entry '!$A$2:$A$367,"&lt;="&amp;$A358)+SUMIFS('Daily Sale entry '!$M$2:$M$367,'Daily Sale entry '!$A$2:$A$367,"&gt;="&amp;DATE(YEAR($A358),MONTH($A358),1),'Daily Sale entry '!$A$2:$A$367,"&lt;="&amp;$A358)+IF(AND(YEAR($A358)=YEAR('Daily Sale entry '!$A$2),MONTH($A358)=MONTH('Daily Sale entry '!$A$2)),'Opening Balance'!$B$8,0),2))</f>
        <v/>
      </c>
      <c r="G358" s="6">
        <f>IF($A358="","",MOD(ROUND('Opening Balance'!$B$9+SUMIFS('Sales &amp; Collection'!$L$1:$L$4987,'Sales &amp; Collection'!$K$1:$K$4987,"cash collection*"),2),'Opening Balance'!$B$11))</f>
        <v/>
      </c>
      <c r="H358" s="6">
        <f>IF($A358="","",ROUND('Opening Balance'!$B$10+'Opening Balance'!$B$9+SUMIFS('Sales &amp; Collection'!$L$1:$L$4987,'Sales &amp; Collection'!$K$1:$K$4987,"cash collection*")-G358-SUMIFS('Daily Sale entry '!$AC$2:$AC$1501,'Daily Sale entry '!$X$2:$X$1501,"&lt;="&amp;$A358,'Daily Sale entry '!$Z$2:$Z$1501,"Cash deposit 现金存入"),2))</f>
        <v/>
      </c>
      <c r="I358" s="6">
        <f>IF($A358="","",ROUND(B358+D358+E358+F358+G358+H358,2))</f>
        <v/>
      </c>
      <c r="J358" s="6">
        <f>IF($A358="","",'AR &amp; AP'!K359)</f>
        <v/>
      </c>
      <c r="K358" s="6">
        <f>IF($A358="","",ROUND(I358-J358-SUMIFS('Daily Sale entry '!$AC$2:$AC$1501,'Daily Sale entry '!$X$2:$X$1501,"&lt;="&amp;$A358,'Daily Sale entry '!$Z$2:$Z$1501,"Other deposit 其他存入")+SUMIFS('Daily Sale entry '!$AD$2:$AD$1501,'Daily Sale entry '!$X$2:$X$1501,"&lt;="&amp;$A358)+('Opening Balance'!$B$8+SUM('Daily Sale entry '!$L$2:M358)-F358),2))</f>
        <v/>
      </c>
      <c r="L358">
        <f>IF($A358="","",IF(ABS('Sales &amp; Collection'!$B$4996)&gt;'Opening Balance'!$B$16,"ALERT 警报: Different "&amp;TEXT('Sales &amp; Collection'!$B$4996,"#,##0.00")&amp;" 差额过大",""))</f>
        <v/>
      </c>
    </row>
    <row r="359">
      <c r="A359" s="5">
        <f>IF('Daily Sale entry '!A359="","",'Daily Sale entry '!A359)</f>
        <v/>
      </c>
      <c r="B359" s="6">
        <f>IF($A359="","",ROUND('Opening Balance'!$B$4+SUM('Daily Sale entry '!$K$2:K359)+SUMIFS('Daily Sale entry '!$AC$2:$AC$1501,'Daily Sale entry '!$X$2:$X$1501,"&lt;="&amp;$A359)-SUMIFS('Daily Sale entry '!$AD$2:$AD$1501,'Daily Sale entry '!$X$2:$X$1501,"&lt;="&amp;$A359)+SUMPRODUCT(('Daily Sale entry '!$Q$2:$Q$1501="Collection 收款")*('Daily Sale entry '!$R$2:$R$1501="Cheque 支票")*('Daily Sale entry '!$V$2:$V$1501&lt;&gt;"")*('Daily Sale entry '!$V$2:$V$1501&lt;=$A359)*('Daily Sale entry '!$S$2:$S$1501-'Opening Balance'!$B$15*('Daily Sale entry '!$R$2:$R$1501="Cheque 支票")*('Daily Sale entry '!$S$2:$S$1501-TRUNC('Daily Sale entry '!$S$2:$S$1501))))-'Opening Balance'!$B$15*SUMPRODUCT(('Daily Sale entry '!$X$2:$X$1501&lt;=$A359)*('Daily Sale entry '!$Z$2:$Z$1501="Online collection 网上收款")*('Daily Sale entry '!$AA$2:$AA$1501&lt;&gt;"")*('Daily Sale entry '!$AC$2:$AC$1501-TRUNC('Daily Sale entry '!$AC$2:$AC$1501))),2))</f>
        <v/>
      </c>
      <c r="C359" s="8">
        <f>IF($A359="","",'Opening Balance'!$B$5+SUM('Daily Sale entry '!$I$2:I359)-SUMIFS('Daily Sale entry '!$AB$2:$AB$1501,'Daily Sale entry '!$X$2:$X$1501,"&lt;="&amp;$A359,'Daily Sale entry '!$Z$2:$Z$1501,"Cheque deposit 支票存入")-COUNTIFS('Daily Sale entry '!$Q$2:$Q$1501,"Collection 收款",'Daily Sale entry '!$R$2:$R$1501,"Cheque 支票",'Daily Sale entry '!$V$2:$V$1501,"&lt;="&amp;$A359))</f>
        <v/>
      </c>
      <c r="D359" s="6">
        <f>IF($A359="","",ROUND('Opening Balance'!$B$6+SUM('Daily Sale entry '!$J$2:J359)-SUMIFS('Daily Sale entry '!$AC$2:$AC$1501,'Daily Sale entry '!$X$2:$X$1501,"&lt;="&amp;$A359,'Daily Sale entry '!$Z$2:$Z$1501,"Cheque deposit 支票存入")-SUMPRODUCT(('Daily Sale entry '!$Q$2:$Q$1501="Collection 收款")*('Daily Sale entry '!$R$2:$R$1501="Cheque 支票")*('Daily Sale entry '!$V$2:$V$1501&lt;&gt;"")*('Daily Sale entry '!$V$2:$V$1501&lt;=$A359)*('Daily Sale entry '!$S$2:$S$1501-'Opening Balance'!$B$15*('Daily Sale entry '!$R$2:$R$1501="Cheque 支票")*('Daily Sale entry '!$S$2:$S$1501-TRUNC('Daily Sale entry '!$S$2:$S$1501)))),2))</f>
        <v/>
      </c>
      <c r="E359" s="6">
        <f>IF($A359="","",'Opening Balance'!$B$7)</f>
        <v/>
      </c>
      <c r="F359" s="6">
        <f>IF($A359="","",ROUND(SUMIFS('Daily Sale entry '!$L$2:$L$367,'Daily Sale entry '!$A$2:$A$367,"&gt;="&amp;DATE(YEAR($A359),MONTH($A359),1),'Daily Sale entry '!$A$2:$A$367,"&lt;="&amp;$A359)+SUMIFS('Daily Sale entry '!$M$2:$M$367,'Daily Sale entry '!$A$2:$A$367,"&gt;="&amp;DATE(YEAR($A359),MONTH($A359),1),'Daily Sale entry '!$A$2:$A$367,"&lt;="&amp;$A359)+IF(AND(YEAR($A359)=YEAR('Daily Sale entry '!$A$2),MONTH($A359)=MONTH('Daily Sale entry '!$A$2)),'Opening Balance'!$B$8,0),2))</f>
        <v/>
      </c>
      <c r="G359" s="6">
        <f>IF($A359="","",MOD(ROUND('Opening Balance'!$B$9+SUMIFS('Sales &amp; Collection'!$L$1:$L$5001,'Sales &amp; Collection'!$K$1:$K$5001,"cash collection*"),2),'Opening Balance'!$B$11))</f>
        <v/>
      </c>
      <c r="H359" s="6">
        <f>IF($A359="","",ROUND('Opening Balance'!$B$10+'Opening Balance'!$B$9+SUMIFS('Sales &amp; Collection'!$L$1:$L$5001,'Sales &amp; Collection'!$K$1:$K$5001,"cash collection*")-G359-SUMIFS('Daily Sale entry '!$AC$2:$AC$1501,'Daily Sale entry '!$X$2:$X$1501,"&lt;="&amp;$A359,'Daily Sale entry '!$Z$2:$Z$1501,"Cash deposit 现金存入"),2))</f>
        <v/>
      </c>
      <c r="I359" s="6">
        <f>IF($A359="","",ROUND(B359+D359+E359+F359+G359+H359,2))</f>
        <v/>
      </c>
      <c r="J359" s="6">
        <f>IF($A359="","",'AR &amp; AP'!K360)</f>
        <v/>
      </c>
      <c r="K359" s="6">
        <f>IF($A359="","",ROUND(I359-J359-SUMIFS('Daily Sale entry '!$AC$2:$AC$1501,'Daily Sale entry '!$X$2:$X$1501,"&lt;="&amp;$A359,'Daily Sale entry '!$Z$2:$Z$1501,"Other deposit 其他存入")+SUMIFS('Daily Sale entry '!$AD$2:$AD$1501,'Daily Sale entry '!$X$2:$X$1501,"&lt;="&amp;$A359)+('Opening Balance'!$B$8+SUM('Daily Sale entry '!$L$2:M359)-F359),2))</f>
        <v/>
      </c>
      <c r="L359">
        <f>IF($A359="","",IF(ABS('Sales &amp; Collection'!$B$5010)&gt;'Opening Balance'!$B$16,"ALERT 警报: Different "&amp;TEXT('Sales &amp; Collection'!$B$5010,"#,##0.00")&amp;" 差额过大",""))</f>
        <v/>
      </c>
    </row>
    <row r="360">
      <c r="A360" s="5">
        <f>IF('Daily Sale entry '!A360="","",'Daily Sale entry '!A360)</f>
        <v/>
      </c>
      <c r="B360" s="6">
        <f>IF($A360="","",ROUND('Opening Balance'!$B$4+SUM('Daily Sale entry '!$K$2:K360)+SUMIFS('Daily Sale entry '!$AC$2:$AC$1501,'Daily Sale entry '!$X$2:$X$1501,"&lt;="&amp;$A360)-SUMIFS('Daily Sale entry '!$AD$2:$AD$1501,'Daily Sale entry '!$X$2:$X$1501,"&lt;="&amp;$A360)+SUMPRODUCT(('Daily Sale entry '!$Q$2:$Q$1501="Collection 收款")*('Daily Sale entry '!$R$2:$R$1501="Cheque 支票")*('Daily Sale entry '!$V$2:$V$1501&lt;&gt;"")*('Daily Sale entry '!$V$2:$V$1501&lt;=$A360)*('Daily Sale entry '!$S$2:$S$1501-'Opening Balance'!$B$15*('Daily Sale entry '!$R$2:$R$1501="Cheque 支票")*('Daily Sale entry '!$S$2:$S$1501-TRUNC('Daily Sale entry '!$S$2:$S$1501))))-'Opening Balance'!$B$15*SUMPRODUCT(('Daily Sale entry '!$X$2:$X$1501&lt;=$A360)*('Daily Sale entry '!$Z$2:$Z$1501="Online collection 网上收款")*('Daily Sale entry '!$AA$2:$AA$1501&lt;&gt;"")*('Daily Sale entry '!$AC$2:$AC$1501-TRUNC('Daily Sale entry '!$AC$2:$AC$1501))),2))</f>
        <v/>
      </c>
      <c r="C360" s="8">
        <f>IF($A360="","",'Opening Balance'!$B$5+SUM('Daily Sale entry '!$I$2:I360)-SUMIFS('Daily Sale entry '!$AB$2:$AB$1501,'Daily Sale entry '!$X$2:$X$1501,"&lt;="&amp;$A360,'Daily Sale entry '!$Z$2:$Z$1501,"Cheque deposit 支票存入")-COUNTIFS('Daily Sale entry '!$Q$2:$Q$1501,"Collection 收款",'Daily Sale entry '!$R$2:$R$1501,"Cheque 支票",'Daily Sale entry '!$V$2:$V$1501,"&lt;="&amp;$A360))</f>
        <v/>
      </c>
      <c r="D360" s="6">
        <f>IF($A360="","",ROUND('Opening Balance'!$B$6+SUM('Daily Sale entry '!$J$2:J360)-SUMIFS('Daily Sale entry '!$AC$2:$AC$1501,'Daily Sale entry '!$X$2:$X$1501,"&lt;="&amp;$A360,'Daily Sale entry '!$Z$2:$Z$1501,"Cheque deposit 支票存入")-SUMPRODUCT(('Daily Sale entry '!$Q$2:$Q$1501="Collection 收款")*('Daily Sale entry '!$R$2:$R$1501="Cheque 支票")*('Daily Sale entry '!$V$2:$V$1501&lt;&gt;"")*('Daily Sale entry '!$V$2:$V$1501&lt;=$A360)*('Daily Sale entry '!$S$2:$S$1501-'Opening Balance'!$B$15*('Daily Sale entry '!$R$2:$R$1501="Cheque 支票")*('Daily Sale entry '!$S$2:$S$1501-TRUNC('Daily Sale entry '!$S$2:$S$1501)))),2))</f>
        <v/>
      </c>
      <c r="E360" s="6">
        <f>IF($A360="","",'Opening Balance'!$B$7)</f>
        <v/>
      </c>
      <c r="F360" s="6">
        <f>IF($A360="","",ROUND(SUMIFS('Daily Sale entry '!$L$2:$L$367,'Daily Sale entry '!$A$2:$A$367,"&gt;="&amp;DATE(YEAR($A360),MONTH($A360),1),'Daily Sale entry '!$A$2:$A$367,"&lt;="&amp;$A360)+SUMIFS('Daily Sale entry '!$M$2:$M$367,'Daily Sale entry '!$A$2:$A$367,"&gt;="&amp;DATE(YEAR($A360),MONTH($A360),1),'Daily Sale entry '!$A$2:$A$367,"&lt;="&amp;$A360)+IF(AND(YEAR($A360)=YEAR('Daily Sale entry '!$A$2),MONTH($A360)=MONTH('Daily Sale entry '!$A$2)),'Opening Balance'!$B$8,0),2))</f>
        <v/>
      </c>
      <c r="G360" s="6">
        <f>IF($A360="","",MOD(ROUND('Opening Balance'!$B$9+SUMIFS('Sales &amp; Collection'!$L$1:$L$5015,'Sales &amp; Collection'!$K$1:$K$5015,"cash collection*"),2),'Opening Balance'!$B$11))</f>
        <v/>
      </c>
      <c r="H360" s="6">
        <f>IF($A360="","",ROUND('Opening Balance'!$B$10+'Opening Balance'!$B$9+SUMIFS('Sales &amp; Collection'!$L$1:$L$5015,'Sales &amp; Collection'!$K$1:$K$5015,"cash collection*")-G360-SUMIFS('Daily Sale entry '!$AC$2:$AC$1501,'Daily Sale entry '!$X$2:$X$1501,"&lt;="&amp;$A360,'Daily Sale entry '!$Z$2:$Z$1501,"Cash deposit 现金存入"),2))</f>
        <v/>
      </c>
      <c r="I360" s="6">
        <f>IF($A360="","",ROUND(B360+D360+E360+F360+G360+H360,2))</f>
        <v/>
      </c>
      <c r="J360" s="6">
        <f>IF($A360="","",'AR &amp; AP'!K361)</f>
        <v/>
      </c>
      <c r="K360" s="6">
        <f>IF($A360="","",ROUND(I360-J360-SUMIFS('Daily Sale entry '!$AC$2:$AC$1501,'Daily Sale entry '!$X$2:$X$1501,"&lt;="&amp;$A360,'Daily Sale entry '!$Z$2:$Z$1501,"Other deposit 其他存入")+SUMIFS('Daily Sale entry '!$AD$2:$AD$1501,'Daily Sale entry '!$X$2:$X$1501,"&lt;="&amp;$A360)+('Opening Balance'!$B$8+SUM('Daily Sale entry '!$L$2:M360)-F360),2))</f>
        <v/>
      </c>
      <c r="L360">
        <f>IF($A360="","",IF(ABS('Sales &amp; Collection'!$B$5024)&gt;'Opening Balance'!$B$16,"ALERT 警报: Different "&amp;TEXT('Sales &amp; Collection'!$B$5024,"#,##0.00")&amp;" 差额过大",""))</f>
        <v/>
      </c>
    </row>
    <row r="361">
      <c r="A361" s="5">
        <f>IF('Daily Sale entry '!A361="","",'Daily Sale entry '!A361)</f>
        <v/>
      </c>
      <c r="B361" s="6">
        <f>IF($A361="","",ROUND('Opening Balance'!$B$4+SUM('Daily Sale entry '!$K$2:K361)+SUMIFS('Daily Sale entry '!$AC$2:$AC$1501,'Daily Sale entry '!$X$2:$X$1501,"&lt;="&amp;$A361)-SUMIFS('Daily Sale entry '!$AD$2:$AD$1501,'Daily Sale entry '!$X$2:$X$1501,"&lt;="&amp;$A361)+SUMPRODUCT(('Daily Sale entry '!$Q$2:$Q$1501="Collection 收款")*('Daily Sale entry '!$R$2:$R$1501="Cheque 支票")*('Daily Sale entry '!$V$2:$V$1501&lt;&gt;"")*('Daily Sale entry '!$V$2:$V$1501&lt;=$A361)*('Daily Sale entry '!$S$2:$S$1501-'Opening Balance'!$B$15*('Daily Sale entry '!$R$2:$R$1501="Cheque 支票")*('Daily Sale entry '!$S$2:$S$1501-TRUNC('Daily Sale entry '!$S$2:$S$1501))))-'Opening Balance'!$B$15*SUMPRODUCT(('Daily Sale entry '!$X$2:$X$1501&lt;=$A361)*('Daily Sale entry '!$Z$2:$Z$1501="Online collection 网上收款")*('Daily Sale entry '!$AA$2:$AA$1501&lt;&gt;"")*('Daily Sale entry '!$AC$2:$AC$1501-TRUNC('Daily Sale entry '!$AC$2:$AC$1501))),2))</f>
        <v/>
      </c>
      <c r="C361" s="8">
        <f>IF($A361="","",'Opening Balance'!$B$5+SUM('Daily Sale entry '!$I$2:I361)-SUMIFS('Daily Sale entry '!$AB$2:$AB$1501,'Daily Sale entry '!$X$2:$X$1501,"&lt;="&amp;$A361,'Daily Sale entry '!$Z$2:$Z$1501,"Cheque deposit 支票存入")-COUNTIFS('Daily Sale entry '!$Q$2:$Q$1501,"Collection 收款",'Daily Sale entry '!$R$2:$R$1501,"Cheque 支票",'Daily Sale entry '!$V$2:$V$1501,"&lt;="&amp;$A361))</f>
        <v/>
      </c>
      <c r="D361" s="6">
        <f>IF($A361="","",ROUND('Opening Balance'!$B$6+SUM('Daily Sale entry '!$J$2:J361)-SUMIFS('Daily Sale entry '!$AC$2:$AC$1501,'Daily Sale entry '!$X$2:$X$1501,"&lt;="&amp;$A361,'Daily Sale entry '!$Z$2:$Z$1501,"Cheque deposit 支票存入")-SUMPRODUCT(('Daily Sale entry '!$Q$2:$Q$1501="Collection 收款")*('Daily Sale entry '!$R$2:$R$1501="Cheque 支票")*('Daily Sale entry '!$V$2:$V$1501&lt;&gt;"")*('Daily Sale entry '!$V$2:$V$1501&lt;=$A361)*('Daily Sale entry '!$S$2:$S$1501-'Opening Balance'!$B$15*('Daily Sale entry '!$R$2:$R$1501="Cheque 支票")*('Daily Sale entry '!$S$2:$S$1501-TRUNC('Daily Sale entry '!$S$2:$S$1501)))),2))</f>
        <v/>
      </c>
      <c r="E361" s="6">
        <f>IF($A361="","",'Opening Balance'!$B$7)</f>
        <v/>
      </c>
      <c r="F361" s="6">
        <f>IF($A361="","",ROUND(SUMIFS('Daily Sale entry '!$L$2:$L$367,'Daily Sale entry '!$A$2:$A$367,"&gt;="&amp;DATE(YEAR($A361),MONTH($A361),1),'Daily Sale entry '!$A$2:$A$367,"&lt;="&amp;$A361)+SUMIFS('Daily Sale entry '!$M$2:$M$367,'Daily Sale entry '!$A$2:$A$367,"&gt;="&amp;DATE(YEAR($A361),MONTH($A361),1),'Daily Sale entry '!$A$2:$A$367,"&lt;="&amp;$A361)+IF(AND(YEAR($A361)=YEAR('Daily Sale entry '!$A$2),MONTH($A361)=MONTH('Daily Sale entry '!$A$2)),'Opening Balance'!$B$8,0),2))</f>
        <v/>
      </c>
      <c r="G361" s="6">
        <f>IF($A361="","",MOD(ROUND('Opening Balance'!$B$9+SUMIFS('Sales &amp; Collection'!$L$1:$L$5029,'Sales &amp; Collection'!$K$1:$K$5029,"cash collection*"),2),'Opening Balance'!$B$11))</f>
        <v/>
      </c>
      <c r="H361" s="6">
        <f>IF($A361="","",ROUND('Opening Balance'!$B$10+'Opening Balance'!$B$9+SUMIFS('Sales &amp; Collection'!$L$1:$L$5029,'Sales &amp; Collection'!$K$1:$K$5029,"cash collection*")-G361-SUMIFS('Daily Sale entry '!$AC$2:$AC$1501,'Daily Sale entry '!$X$2:$X$1501,"&lt;="&amp;$A361,'Daily Sale entry '!$Z$2:$Z$1501,"Cash deposit 现金存入"),2))</f>
        <v/>
      </c>
      <c r="I361" s="6">
        <f>IF($A361="","",ROUND(B361+D361+E361+F361+G361+H361,2))</f>
        <v/>
      </c>
      <c r="J361" s="6">
        <f>IF($A361="","",'AR &amp; AP'!K362)</f>
        <v/>
      </c>
      <c r="K361" s="6">
        <f>IF($A361="","",ROUND(I361-J361-SUMIFS('Daily Sale entry '!$AC$2:$AC$1501,'Daily Sale entry '!$X$2:$X$1501,"&lt;="&amp;$A361,'Daily Sale entry '!$Z$2:$Z$1501,"Other deposit 其他存入")+SUMIFS('Daily Sale entry '!$AD$2:$AD$1501,'Daily Sale entry '!$X$2:$X$1501,"&lt;="&amp;$A361)+('Opening Balance'!$B$8+SUM('Daily Sale entry '!$L$2:M361)-F361),2))</f>
        <v/>
      </c>
      <c r="L361">
        <f>IF($A361="","",IF(ABS('Sales &amp; Collection'!$B$5038)&gt;'Opening Balance'!$B$16,"ALERT 警报: Different "&amp;TEXT('Sales &amp; Collection'!$B$5038,"#,##0.00")&amp;" 差额过大",""))</f>
        <v/>
      </c>
    </row>
    <row r="362">
      <c r="A362" s="5">
        <f>IF('Daily Sale entry '!A362="","",'Daily Sale entry '!A362)</f>
        <v/>
      </c>
      <c r="B362" s="6">
        <f>IF($A362="","",ROUND('Opening Balance'!$B$4+SUM('Daily Sale entry '!$K$2:K362)+SUMIFS('Daily Sale entry '!$AC$2:$AC$1501,'Daily Sale entry '!$X$2:$X$1501,"&lt;="&amp;$A362)-SUMIFS('Daily Sale entry '!$AD$2:$AD$1501,'Daily Sale entry '!$X$2:$X$1501,"&lt;="&amp;$A362)+SUMPRODUCT(('Daily Sale entry '!$Q$2:$Q$1501="Collection 收款")*('Daily Sale entry '!$R$2:$R$1501="Cheque 支票")*('Daily Sale entry '!$V$2:$V$1501&lt;&gt;"")*('Daily Sale entry '!$V$2:$V$1501&lt;=$A362)*('Daily Sale entry '!$S$2:$S$1501-'Opening Balance'!$B$15*('Daily Sale entry '!$R$2:$R$1501="Cheque 支票")*('Daily Sale entry '!$S$2:$S$1501-TRUNC('Daily Sale entry '!$S$2:$S$1501))))-'Opening Balance'!$B$15*SUMPRODUCT(('Daily Sale entry '!$X$2:$X$1501&lt;=$A362)*('Daily Sale entry '!$Z$2:$Z$1501="Online collection 网上收款")*('Daily Sale entry '!$AA$2:$AA$1501&lt;&gt;"")*('Daily Sale entry '!$AC$2:$AC$1501-TRUNC('Daily Sale entry '!$AC$2:$AC$1501))),2))</f>
        <v/>
      </c>
      <c r="C362" s="8">
        <f>IF($A362="","",'Opening Balance'!$B$5+SUM('Daily Sale entry '!$I$2:I362)-SUMIFS('Daily Sale entry '!$AB$2:$AB$1501,'Daily Sale entry '!$X$2:$X$1501,"&lt;="&amp;$A362,'Daily Sale entry '!$Z$2:$Z$1501,"Cheque deposit 支票存入")-COUNTIFS('Daily Sale entry '!$Q$2:$Q$1501,"Collection 收款",'Daily Sale entry '!$R$2:$R$1501,"Cheque 支票",'Daily Sale entry '!$V$2:$V$1501,"&lt;="&amp;$A362))</f>
        <v/>
      </c>
      <c r="D362" s="6">
        <f>IF($A362="","",ROUND('Opening Balance'!$B$6+SUM('Daily Sale entry '!$J$2:J362)-SUMIFS('Daily Sale entry '!$AC$2:$AC$1501,'Daily Sale entry '!$X$2:$X$1501,"&lt;="&amp;$A362,'Daily Sale entry '!$Z$2:$Z$1501,"Cheque deposit 支票存入")-SUMPRODUCT(('Daily Sale entry '!$Q$2:$Q$1501="Collection 收款")*('Daily Sale entry '!$R$2:$R$1501="Cheque 支票")*('Daily Sale entry '!$V$2:$V$1501&lt;&gt;"")*('Daily Sale entry '!$V$2:$V$1501&lt;=$A362)*('Daily Sale entry '!$S$2:$S$1501-'Opening Balance'!$B$15*('Daily Sale entry '!$R$2:$R$1501="Cheque 支票")*('Daily Sale entry '!$S$2:$S$1501-TRUNC('Daily Sale entry '!$S$2:$S$1501)))),2))</f>
        <v/>
      </c>
      <c r="E362" s="6">
        <f>IF($A362="","",'Opening Balance'!$B$7)</f>
        <v/>
      </c>
      <c r="F362" s="6">
        <f>IF($A362="","",ROUND(SUMIFS('Daily Sale entry '!$L$2:$L$367,'Daily Sale entry '!$A$2:$A$367,"&gt;="&amp;DATE(YEAR($A362),MONTH($A362),1),'Daily Sale entry '!$A$2:$A$367,"&lt;="&amp;$A362)+SUMIFS('Daily Sale entry '!$M$2:$M$367,'Daily Sale entry '!$A$2:$A$367,"&gt;="&amp;DATE(YEAR($A362),MONTH($A362),1),'Daily Sale entry '!$A$2:$A$367,"&lt;="&amp;$A362)+IF(AND(YEAR($A362)=YEAR('Daily Sale entry '!$A$2),MONTH($A362)=MONTH('Daily Sale entry '!$A$2)),'Opening Balance'!$B$8,0),2))</f>
        <v/>
      </c>
      <c r="G362" s="6">
        <f>IF($A362="","",MOD(ROUND('Opening Balance'!$B$9+SUMIFS('Sales &amp; Collection'!$L$1:$L$5043,'Sales &amp; Collection'!$K$1:$K$5043,"cash collection*"),2),'Opening Balance'!$B$11))</f>
        <v/>
      </c>
      <c r="H362" s="6">
        <f>IF($A362="","",ROUND('Opening Balance'!$B$10+'Opening Balance'!$B$9+SUMIFS('Sales &amp; Collection'!$L$1:$L$5043,'Sales &amp; Collection'!$K$1:$K$5043,"cash collection*")-G362-SUMIFS('Daily Sale entry '!$AC$2:$AC$1501,'Daily Sale entry '!$X$2:$X$1501,"&lt;="&amp;$A362,'Daily Sale entry '!$Z$2:$Z$1501,"Cash deposit 现金存入"),2))</f>
        <v/>
      </c>
      <c r="I362" s="6">
        <f>IF($A362="","",ROUND(B362+D362+E362+F362+G362+H362,2))</f>
        <v/>
      </c>
      <c r="J362" s="6">
        <f>IF($A362="","",'AR &amp; AP'!K363)</f>
        <v/>
      </c>
      <c r="K362" s="6">
        <f>IF($A362="","",ROUND(I362-J362-SUMIFS('Daily Sale entry '!$AC$2:$AC$1501,'Daily Sale entry '!$X$2:$X$1501,"&lt;="&amp;$A362,'Daily Sale entry '!$Z$2:$Z$1501,"Other deposit 其他存入")+SUMIFS('Daily Sale entry '!$AD$2:$AD$1501,'Daily Sale entry '!$X$2:$X$1501,"&lt;="&amp;$A362)+('Opening Balance'!$B$8+SUM('Daily Sale entry '!$L$2:M362)-F362),2))</f>
        <v/>
      </c>
      <c r="L362">
        <f>IF($A362="","",IF(ABS('Sales &amp; Collection'!$B$5052)&gt;'Opening Balance'!$B$16,"ALERT 警报: Different "&amp;TEXT('Sales &amp; Collection'!$B$5052,"#,##0.00")&amp;" 差额过大",""))</f>
        <v/>
      </c>
    </row>
    <row r="363">
      <c r="A363" s="5">
        <f>IF('Daily Sale entry '!A363="","",'Daily Sale entry '!A363)</f>
        <v/>
      </c>
      <c r="B363" s="6">
        <f>IF($A363="","",ROUND('Opening Balance'!$B$4+SUM('Daily Sale entry '!$K$2:K363)+SUMIFS('Daily Sale entry '!$AC$2:$AC$1501,'Daily Sale entry '!$X$2:$X$1501,"&lt;="&amp;$A363)-SUMIFS('Daily Sale entry '!$AD$2:$AD$1501,'Daily Sale entry '!$X$2:$X$1501,"&lt;="&amp;$A363)+SUMPRODUCT(('Daily Sale entry '!$Q$2:$Q$1501="Collection 收款")*('Daily Sale entry '!$R$2:$R$1501="Cheque 支票")*('Daily Sale entry '!$V$2:$V$1501&lt;&gt;"")*('Daily Sale entry '!$V$2:$V$1501&lt;=$A363)*('Daily Sale entry '!$S$2:$S$1501-'Opening Balance'!$B$15*('Daily Sale entry '!$R$2:$R$1501="Cheque 支票")*('Daily Sale entry '!$S$2:$S$1501-TRUNC('Daily Sale entry '!$S$2:$S$1501))))-'Opening Balance'!$B$15*SUMPRODUCT(('Daily Sale entry '!$X$2:$X$1501&lt;=$A363)*('Daily Sale entry '!$Z$2:$Z$1501="Online collection 网上收款")*('Daily Sale entry '!$AA$2:$AA$1501&lt;&gt;"")*('Daily Sale entry '!$AC$2:$AC$1501-TRUNC('Daily Sale entry '!$AC$2:$AC$1501))),2))</f>
        <v/>
      </c>
      <c r="C363" s="8">
        <f>IF($A363="","",'Opening Balance'!$B$5+SUM('Daily Sale entry '!$I$2:I363)-SUMIFS('Daily Sale entry '!$AB$2:$AB$1501,'Daily Sale entry '!$X$2:$X$1501,"&lt;="&amp;$A363,'Daily Sale entry '!$Z$2:$Z$1501,"Cheque deposit 支票存入")-COUNTIFS('Daily Sale entry '!$Q$2:$Q$1501,"Collection 收款",'Daily Sale entry '!$R$2:$R$1501,"Cheque 支票",'Daily Sale entry '!$V$2:$V$1501,"&lt;="&amp;$A363))</f>
        <v/>
      </c>
      <c r="D363" s="6">
        <f>IF($A363="","",ROUND('Opening Balance'!$B$6+SUM('Daily Sale entry '!$J$2:J363)-SUMIFS('Daily Sale entry '!$AC$2:$AC$1501,'Daily Sale entry '!$X$2:$X$1501,"&lt;="&amp;$A363,'Daily Sale entry '!$Z$2:$Z$1501,"Cheque deposit 支票存入")-SUMPRODUCT(('Daily Sale entry '!$Q$2:$Q$1501="Collection 收款")*('Daily Sale entry '!$R$2:$R$1501="Cheque 支票")*('Daily Sale entry '!$V$2:$V$1501&lt;&gt;"")*('Daily Sale entry '!$V$2:$V$1501&lt;=$A363)*('Daily Sale entry '!$S$2:$S$1501-'Opening Balance'!$B$15*('Daily Sale entry '!$R$2:$R$1501="Cheque 支票")*('Daily Sale entry '!$S$2:$S$1501-TRUNC('Daily Sale entry '!$S$2:$S$1501)))),2))</f>
        <v/>
      </c>
      <c r="E363" s="6">
        <f>IF($A363="","",'Opening Balance'!$B$7)</f>
        <v/>
      </c>
      <c r="F363" s="6">
        <f>IF($A363="","",ROUND(SUMIFS('Daily Sale entry '!$L$2:$L$367,'Daily Sale entry '!$A$2:$A$367,"&gt;="&amp;DATE(YEAR($A363),MONTH($A363),1),'Daily Sale entry '!$A$2:$A$367,"&lt;="&amp;$A363)+SUMIFS('Daily Sale entry '!$M$2:$M$367,'Daily Sale entry '!$A$2:$A$367,"&gt;="&amp;DATE(YEAR($A363),MONTH($A363),1),'Daily Sale entry '!$A$2:$A$367,"&lt;="&amp;$A363)+IF(AND(YEAR($A363)=YEAR('Daily Sale entry '!$A$2),MONTH($A363)=MONTH('Daily Sale entry '!$A$2)),'Opening Balance'!$B$8,0),2))</f>
        <v/>
      </c>
      <c r="G363" s="6">
        <f>IF($A363="","",MOD(ROUND('Opening Balance'!$B$9+SUMIFS('Sales &amp; Collection'!$L$1:$L$5057,'Sales &amp; Collection'!$K$1:$K$5057,"cash collection*"),2),'Opening Balance'!$B$11))</f>
        <v/>
      </c>
      <c r="H363" s="6">
        <f>IF($A363="","",ROUND('Opening Balance'!$B$10+'Opening Balance'!$B$9+SUMIFS('Sales &amp; Collection'!$L$1:$L$5057,'Sales &amp; Collection'!$K$1:$K$5057,"cash collection*")-G363-SUMIFS('Daily Sale entry '!$AC$2:$AC$1501,'Daily Sale entry '!$X$2:$X$1501,"&lt;="&amp;$A363,'Daily Sale entry '!$Z$2:$Z$1501,"Cash deposit 现金存入"),2))</f>
        <v/>
      </c>
      <c r="I363" s="6">
        <f>IF($A363="","",ROUND(B363+D363+E363+F363+G363+H363,2))</f>
        <v/>
      </c>
      <c r="J363" s="6">
        <f>IF($A363="","",'AR &amp; AP'!K364)</f>
        <v/>
      </c>
      <c r="K363" s="6">
        <f>IF($A363="","",ROUND(I363-J363-SUMIFS('Daily Sale entry '!$AC$2:$AC$1501,'Daily Sale entry '!$X$2:$X$1501,"&lt;="&amp;$A363,'Daily Sale entry '!$Z$2:$Z$1501,"Other deposit 其他存入")+SUMIFS('Daily Sale entry '!$AD$2:$AD$1501,'Daily Sale entry '!$X$2:$X$1501,"&lt;="&amp;$A363)+('Opening Balance'!$B$8+SUM('Daily Sale entry '!$L$2:M363)-F363),2))</f>
        <v/>
      </c>
      <c r="L363">
        <f>IF($A363="","",IF(ABS('Sales &amp; Collection'!$B$5066)&gt;'Opening Balance'!$B$16,"ALERT 警报: Different "&amp;TEXT('Sales &amp; Collection'!$B$5066,"#,##0.00")&amp;" 差额过大",""))</f>
        <v/>
      </c>
    </row>
    <row r="364">
      <c r="A364" s="5">
        <f>IF('Daily Sale entry '!A364="","",'Daily Sale entry '!A364)</f>
        <v/>
      </c>
      <c r="B364" s="6">
        <f>IF($A364="","",ROUND('Opening Balance'!$B$4+SUM('Daily Sale entry '!$K$2:K364)+SUMIFS('Daily Sale entry '!$AC$2:$AC$1501,'Daily Sale entry '!$X$2:$X$1501,"&lt;="&amp;$A364)-SUMIFS('Daily Sale entry '!$AD$2:$AD$1501,'Daily Sale entry '!$X$2:$X$1501,"&lt;="&amp;$A364)+SUMPRODUCT(('Daily Sale entry '!$Q$2:$Q$1501="Collection 收款")*('Daily Sale entry '!$R$2:$R$1501="Cheque 支票")*('Daily Sale entry '!$V$2:$V$1501&lt;&gt;"")*('Daily Sale entry '!$V$2:$V$1501&lt;=$A364)*('Daily Sale entry '!$S$2:$S$1501-'Opening Balance'!$B$15*('Daily Sale entry '!$R$2:$R$1501="Cheque 支票")*('Daily Sale entry '!$S$2:$S$1501-TRUNC('Daily Sale entry '!$S$2:$S$1501))))-'Opening Balance'!$B$15*SUMPRODUCT(('Daily Sale entry '!$X$2:$X$1501&lt;=$A364)*('Daily Sale entry '!$Z$2:$Z$1501="Online collection 网上收款")*('Daily Sale entry '!$AA$2:$AA$1501&lt;&gt;"")*('Daily Sale entry '!$AC$2:$AC$1501-TRUNC('Daily Sale entry '!$AC$2:$AC$1501))),2))</f>
        <v/>
      </c>
      <c r="C364" s="8">
        <f>IF($A364="","",'Opening Balance'!$B$5+SUM('Daily Sale entry '!$I$2:I364)-SUMIFS('Daily Sale entry '!$AB$2:$AB$1501,'Daily Sale entry '!$X$2:$X$1501,"&lt;="&amp;$A364,'Daily Sale entry '!$Z$2:$Z$1501,"Cheque deposit 支票存入")-COUNTIFS('Daily Sale entry '!$Q$2:$Q$1501,"Collection 收款",'Daily Sale entry '!$R$2:$R$1501,"Cheque 支票",'Daily Sale entry '!$V$2:$V$1501,"&lt;="&amp;$A364))</f>
        <v/>
      </c>
      <c r="D364" s="6">
        <f>IF($A364="","",ROUND('Opening Balance'!$B$6+SUM('Daily Sale entry '!$J$2:J364)-SUMIFS('Daily Sale entry '!$AC$2:$AC$1501,'Daily Sale entry '!$X$2:$X$1501,"&lt;="&amp;$A364,'Daily Sale entry '!$Z$2:$Z$1501,"Cheque deposit 支票存入")-SUMPRODUCT(('Daily Sale entry '!$Q$2:$Q$1501="Collection 收款")*('Daily Sale entry '!$R$2:$R$1501="Cheque 支票")*('Daily Sale entry '!$V$2:$V$1501&lt;&gt;"")*('Daily Sale entry '!$V$2:$V$1501&lt;=$A364)*('Daily Sale entry '!$S$2:$S$1501-'Opening Balance'!$B$15*('Daily Sale entry '!$R$2:$R$1501="Cheque 支票")*('Daily Sale entry '!$S$2:$S$1501-TRUNC('Daily Sale entry '!$S$2:$S$1501)))),2))</f>
        <v/>
      </c>
      <c r="E364" s="6">
        <f>IF($A364="","",'Opening Balance'!$B$7)</f>
        <v/>
      </c>
      <c r="F364" s="6">
        <f>IF($A364="","",ROUND(SUMIFS('Daily Sale entry '!$L$2:$L$367,'Daily Sale entry '!$A$2:$A$367,"&gt;="&amp;DATE(YEAR($A364),MONTH($A364),1),'Daily Sale entry '!$A$2:$A$367,"&lt;="&amp;$A364)+SUMIFS('Daily Sale entry '!$M$2:$M$367,'Daily Sale entry '!$A$2:$A$367,"&gt;="&amp;DATE(YEAR($A364),MONTH($A364),1),'Daily Sale entry '!$A$2:$A$367,"&lt;="&amp;$A364)+IF(AND(YEAR($A364)=YEAR('Daily Sale entry '!$A$2),MONTH($A364)=MONTH('Daily Sale entry '!$A$2)),'Opening Balance'!$B$8,0),2))</f>
        <v/>
      </c>
      <c r="G364" s="6">
        <f>IF($A364="","",MOD(ROUND('Opening Balance'!$B$9+SUMIFS('Sales &amp; Collection'!$L$1:$L$5071,'Sales &amp; Collection'!$K$1:$K$5071,"cash collection*"),2),'Opening Balance'!$B$11))</f>
        <v/>
      </c>
      <c r="H364" s="6">
        <f>IF($A364="","",ROUND('Opening Balance'!$B$10+'Opening Balance'!$B$9+SUMIFS('Sales &amp; Collection'!$L$1:$L$5071,'Sales &amp; Collection'!$K$1:$K$5071,"cash collection*")-G364-SUMIFS('Daily Sale entry '!$AC$2:$AC$1501,'Daily Sale entry '!$X$2:$X$1501,"&lt;="&amp;$A364,'Daily Sale entry '!$Z$2:$Z$1501,"Cash deposit 现金存入"),2))</f>
        <v/>
      </c>
      <c r="I364" s="6">
        <f>IF($A364="","",ROUND(B364+D364+E364+F364+G364+H364,2))</f>
        <v/>
      </c>
      <c r="J364" s="6">
        <f>IF($A364="","",'AR &amp; AP'!K365)</f>
        <v/>
      </c>
      <c r="K364" s="6">
        <f>IF($A364="","",ROUND(I364-J364-SUMIFS('Daily Sale entry '!$AC$2:$AC$1501,'Daily Sale entry '!$X$2:$X$1501,"&lt;="&amp;$A364,'Daily Sale entry '!$Z$2:$Z$1501,"Other deposit 其他存入")+SUMIFS('Daily Sale entry '!$AD$2:$AD$1501,'Daily Sale entry '!$X$2:$X$1501,"&lt;="&amp;$A364)+('Opening Balance'!$B$8+SUM('Daily Sale entry '!$L$2:M364)-F364),2))</f>
        <v/>
      </c>
      <c r="L364">
        <f>IF($A364="","",IF(ABS('Sales &amp; Collection'!$B$5080)&gt;'Opening Balance'!$B$16,"ALERT 警报: Different "&amp;TEXT('Sales &amp; Collection'!$B$5080,"#,##0.00")&amp;" 差额过大",""))</f>
        <v/>
      </c>
    </row>
    <row r="365">
      <c r="A365" s="5">
        <f>IF('Daily Sale entry '!A365="","",'Daily Sale entry '!A365)</f>
        <v/>
      </c>
      <c r="B365" s="6">
        <f>IF($A365="","",ROUND('Opening Balance'!$B$4+SUM('Daily Sale entry '!$K$2:K365)+SUMIFS('Daily Sale entry '!$AC$2:$AC$1501,'Daily Sale entry '!$X$2:$X$1501,"&lt;="&amp;$A365)-SUMIFS('Daily Sale entry '!$AD$2:$AD$1501,'Daily Sale entry '!$X$2:$X$1501,"&lt;="&amp;$A365)+SUMPRODUCT(('Daily Sale entry '!$Q$2:$Q$1501="Collection 收款")*('Daily Sale entry '!$R$2:$R$1501="Cheque 支票")*('Daily Sale entry '!$V$2:$V$1501&lt;&gt;"")*('Daily Sale entry '!$V$2:$V$1501&lt;=$A365)*('Daily Sale entry '!$S$2:$S$1501-'Opening Balance'!$B$15*('Daily Sale entry '!$R$2:$R$1501="Cheque 支票")*('Daily Sale entry '!$S$2:$S$1501-TRUNC('Daily Sale entry '!$S$2:$S$1501))))-'Opening Balance'!$B$15*SUMPRODUCT(('Daily Sale entry '!$X$2:$X$1501&lt;=$A365)*('Daily Sale entry '!$Z$2:$Z$1501="Online collection 网上收款")*('Daily Sale entry '!$AA$2:$AA$1501&lt;&gt;"")*('Daily Sale entry '!$AC$2:$AC$1501-TRUNC('Daily Sale entry '!$AC$2:$AC$1501))),2))</f>
        <v/>
      </c>
      <c r="C365" s="8">
        <f>IF($A365="","",'Opening Balance'!$B$5+SUM('Daily Sale entry '!$I$2:I365)-SUMIFS('Daily Sale entry '!$AB$2:$AB$1501,'Daily Sale entry '!$X$2:$X$1501,"&lt;="&amp;$A365,'Daily Sale entry '!$Z$2:$Z$1501,"Cheque deposit 支票存入")-COUNTIFS('Daily Sale entry '!$Q$2:$Q$1501,"Collection 收款",'Daily Sale entry '!$R$2:$R$1501,"Cheque 支票",'Daily Sale entry '!$V$2:$V$1501,"&lt;="&amp;$A365))</f>
        <v/>
      </c>
      <c r="D365" s="6">
        <f>IF($A365="","",ROUND('Opening Balance'!$B$6+SUM('Daily Sale entry '!$J$2:J365)-SUMIFS('Daily Sale entry '!$AC$2:$AC$1501,'Daily Sale entry '!$X$2:$X$1501,"&lt;="&amp;$A365,'Daily Sale entry '!$Z$2:$Z$1501,"Cheque deposit 支票存入")-SUMPRODUCT(('Daily Sale entry '!$Q$2:$Q$1501="Collection 收款")*('Daily Sale entry '!$R$2:$R$1501="Cheque 支票")*('Daily Sale entry '!$V$2:$V$1501&lt;&gt;"")*('Daily Sale entry '!$V$2:$V$1501&lt;=$A365)*('Daily Sale entry '!$S$2:$S$1501-'Opening Balance'!$B$15*('Daily Sale entry '!$R$2:$R$1501="Cheque 支票")*('Daily Sale entry '!$S$2:$S$1501-TRUNC('Daily Sale entry '!$S$2:$S$1501)))),2))</f>
        <v/>
      </c>
      <c r="E365" s="6">
        <f>IF($A365="","",'Opening Balance'!$B$7)</f>
        <v/>
      </c>
      <c r="F365" s="6">
        <f>IF($A365="","",ROUND(SUMIFS('Daily Sale entry '!$L$2:$L$367,'Daily Sale entry '!$A$2:$A$367,"&gt;="&amp;DATE(YEAR($A365),MONTH($A365),1),'Daily Sale entry '!$A$2:$A$367,"&lt;="&amp;$A365)+SUMIFS('Daily Sale entry '!$M$2:$M$367,'Daily Sale entry '!$A$2:$A$367,"&gt;="&amp;DATE(YEAR($A365),MONTH($A365),1),'Daily Sale entry '!$A$2:$A$367,"&lt;="&amp;$A365)+IF(AND(YEAR($A365)=YEAR('Daily Sale entry '!$A$2),MONTH($A365)=MONTH('Daily Sale entry '!$A$2)),'Opening Balance'!$B$8,0),2))</f>
        <v/>
      </c>
      <c r="G365" s="6">
        <f>IF($A365="","",MOD(ROUND('Opening Balance'!$B$9+SUMIFS('Sales &amp; Collection'!$L$1:$L$5085,'Sales &amp; Collection'!$K$1:$K$5085,"cash collection*"),2),'Opening Balance'!$B$11))</f>
        <v/>
      </c>
      <c r="H365" s="6">
        <f>IF($A365="","",ROUND('Opening Balance'!$B$10+'Opening Balance'!$B$9+SUMIFS('Sales &amp; Collection'!$L$1:$L$5085,'Sales &amp; Collection'!$K$1:$K$5085,"cash collection*")-G365-SUMIFS('Daily Sale entry '!$AC$2:$AC$1501,'Daily Sale entry '!$X$2:$X$1501,"&lt;="&amp;$A365,'Daily Sale entry '!$Z$2:$Z$1501,"Cash deposit 现金存入"),2))</f>
        <v/>
      </c>
      <c r="I365" s="6">
        <f>IF($A365="","",ROUND(B365+D365+E365+F365+G365+H365,2))</f>
        <v/>
      </c>
      <c r="J365" s="6">
        <f>IF($A365="","",'AR &amp; AP'!K366)</f>
        <v/>
      </c>
      <c r="K365" s="6">
        <f>IF($A365="","",ROUND(I365-J365-SUMIFS('Daily Sale entry '!$AC$2:$AC$1501,'Daily Sale entry '!$X$2:$X$1501,"&lt;="&amp;$A365,'Daily Sale entry '!$Z$2:$Z$1501,"Other deposit 其他存入")+SUMIFS('Daily Sale entry '!$AD$2:$AD$1501,'Daily Sale entry '!$X$2:$X$1501,"&lt;="&amp;$A365)+('Opening Balance'!$B$8+SUM('Daily Sale entry '!$L$2:M365)-F365),2))</f>
        <v/>
      </c>
      <c r="L365">
        <f>IF($A365="","",IF(ABS('Sales &amp; Collection'!$B$5094)&gt;'Opening Balance'!$B$16,"ALERT 警报: Different "&amp;TEXT('Sales &amp; Collection'!$B$5094,"#,##0.00")&amp;" 差额过大",""))</f>
        <v/>
      </c>
    </row>
    <row r="366">
      <c r="A366" s="5">
        <f>IF('Daily Sale entry '!A366="","",'Daily Sale entry '!A366)</f>
        <v/>
      </c>
      <c r="B366" s="6">
        <f>IF($A366="","",ROUND('Opening Balance'!$B$4+SUM('Daily Sale entry '!$K$2:K366)+SUMIFS('Daily Sale entry '!$AC$2:$AC$1501,'Daily Sale entry '!$X$2:$X$1501,"&lt;="&amp;$A366)-SUMIFS('Daily Sale entry '!$AD$2:$AD$1501,'Daily Sale entry '!$X$2:$X$1501,"&lt;="&amp;$A366)+SUMPRODUCT(('Daily Sale entry '!$Q$2:$Q$1501="Collection 收款")*('Daily Sale entry '!$R$2:$R$1501="Cheque 支票")*('Daily Sale entry '!$V$2:$V$1501&lt;&gt;"")*('Daily Sale entry '!$V$2:$V$1501&lt;=$A366)*('Daily Sale entry '!$S$2:$S$1501-'Opening Balance'!$B$15*('Daily Sale entry '!$R$2:$R$1501="Cheque 支票")*('Daily Sale entry '!$S$2:$S$1501-TRUNC('Daily Sale entry '!$S$2:$S$1501))))-'Opening Balance'!$B$15*SUMPRODUCT(('Daily Sale entry '!$X$2:$X$1501&lt;=$A366)*('Daily Sale entry '!$Z$2:$Z$1501="Online collection 网上收款")*('Daily Sale entry '!$AA$2:$AA$1501&lt;&gt;"")*('Daily Sale entry '!$AC$2:$AC$1501-TRUNC('Daily Sale entry '!$AC$2:$AC$1501))),2))</f>
        <v/>
      </c>
      <c r="C366" s="8">
        <f>IF($A366="","",'Opening Balance'!$B$5+SUM('Daily Sale entry '!$I$2:I366)-SUMIFS('Daily Sale entry '!$AB$2:$AB$1501,'Daily Sale entry '!$X$2:$X$1501,"&lt;="&amp;$A366,'Daily Sale entry '!$Z$2:$Z$1501,"Cheque deposit 支票存入")-COUNTIFS('Daily Sale entry '!$Q$2:$Q$1501,"Collection 收款",'Daily Sale entry '!$R$2:$R$1501,"Cheque 支票",'Daily Sale entry '!$V$2:$V$1501,"&lt;="&amp;$A366))</f>
        <v/>
      </c>
      <c r="D366" s="6">
        <f>IF($A366="","",ROUND('Opening Balance'!$B$6+SUM('Daily Sale entry '!$J$2:J366)-SUMIFS('Daily Sale entry '!$AC$2:$AC$1501,'Daily Sale entry '!$X$2:$X$1501,"&lt;="&amp;$A366,'Daily Sale entry '!$Z$2:$Z$1501,"Cheque deposit 支票存入")-SUMPRODUCT(('Daily Sale entry '!$Q$2:$Q$1501="Collection 收款")*('Daily Sale entry '!$R$2:$R$1501="Cheque 支票")*('Daily Sale entry '!$V$2:$V$1501&lt;&gt;"")*('Daily Sale entry '!$V$2:$V$1501&lt;=$A366)*('Daily Sale entry '!$S$2:$S$1501-'Opening Balance'!$B$15*('Daily Sale entry '!$R$2:$R$1501="Cheque 支票")*('Daily Sale entry '!$S$2:$S$1501-TRUNC('Daily Sale entry '!$S$2:$S$1501)))),2))</f>
        <v/>
      </c>
      <c r="E366" s="6">
        <f>IF($A366="","",'Opening Balance'!$B$7)</f>
        <v/>
      </c>
      <c r="F366" s="6">
        <f>IF($A366="","",ROUND(SUMIFS('Daily Sale entry '!$L$2:$L$367,'Daily Sale entry '!$A$2:$A$367,"&gt;="&amp;DATE(YEAR($A366),MONTH($A366),1),'Daily Sale entry '!$A$2:$A$367,"&lt;="&amp;$A366)+SUMIFS('Daily Sale entry '!$M$2:$M$367,'Daily Sale entry '!$A$2:$A$367,"&gt;="&amp;DATE(YEAR($A366),MONTH($A366),1),'Daily Sale entry '!$A$2:$A$367,"&lt;="&amp;$A366)+IF(AND(YEAR($A366)=YEAR('Daily Sale entry '!$A$2),MONTH($A366)=MONTH('Daily Sale entry '!$A$2)),'Opening Balance'!$B$8,0),2))</f>
        <v/>
      </c>
      <c r="G366" s="6">
        <f>IF($A366="","",MOD(ROUND('Opening Balance'!$B$9+SUMIFS('Sales &amp; Collection'!$L$1:$L$5099,'Sales &amp; Collection'!$K$1:$K$5099,"cash collection*"),2),'Opening Balance'!$B$11))</f>
        <v/>
      </c>
      <c r="H366" s="6">
        <f>IF($A366="","",ROUND('Opening Balance'!$B$10+'Opening Balance'!$B$9+SUMIFS('Sales &amp; Collection'!$L$1:$L$5099,'Sales &amp; Collection'!$K$1:$K$5099,"cash collection*")-G366-SUMIFS('Daily Sale entry '!$AC$2:$AC$1501,'Daily Sale entry '!$X$2:$X$1501,"&lt;="&amp;$A366,'Daily Sale entry '!$Z$2:$Z$1501,"Cash deposit 现金存入"),2))</f>
        <v/>
      </c>
      <c r="I366" s="6">
        <f>IF($A366="","",ROUND(B366+D366+E366+F366+G366+H366,2))</f>
        <v/>
      </c>
      <c r="J366" s="6">
        <f>IF($A366="","",'AR &amp; AP'!K367)</f>
        <v/>
      </c>
      <c r="K366" s="6">
        <f>IF($A366="","",ROUND(I366-J366-SUMIFS('Daily Sale entry '!$AC$2:$AC$1501,'Daily Sale entry '!$X$2:$X$1501,"&lt;="&amp;$A366,'Daily Sale entry '!$Z$2:$Z$1501,"Other deposit 其他存入")+SUMIFS('Daily Sale entry '!$AD$2:$AD$1501,'Daily Sale entry '!$X$2:$X$1501,"&lt;="&amp;$A366)+('Opening Balance'!$B$8+SUM('Daily Sale entry '!$L$2:M366)-F366),2))</f>
        <v/>
      </c>
      <c r="L366">
        <f>IF($A366="","",IF(ABS('Sales &amp; Collection'!$B$5108)&gt;'Opening Balance'!$B$16,"ALERT 警报: Different "&amp;TEXT('Sales &amp; Collection'!$B$5108,"#,##0.00")&amp;" 差额过大",""))</f>
        <v/>
      </c>
    </row>
    <row r="367">
      <c r="A367" s="5">
        <f>IF('Daily Sale entry '!A367="","",'Daily Sale entry '!A367)</f>
        <v/>
      </c>
      <c r="B367" s="6">
        <f>IF($A367="","",ROUND('Opening Balance'!$B$4+SUM('Daily Sale entry '!$K$2:K367)+SUMIFS('Daily Sale entry '!$AC$2:$AC$1501,'Daily Sale entry '!$X$2:$X$1501,"&lt;="&amp;$A367)-SUMIFS('Daily Sale entry '!$AD$2:$AD$1501,'Daily Sale entry '!$X$2:$X$1501,"&lt;="&amp;$A367)+SUMPRODUCT(('Daily Sale entry '!$Q$2:$Q$1501="Collection 收款")*('Daily Sale entry '!$R$2:$R$1501="Cheque 支票")*('Daily Sale entry '!$V$2:$V$1501&lt;&gt;"")*('Daily Sale entry '!$V$2:$V$1501&lt;=$A367)*('Daily Sale entry '!$S$2:$S$1501-'Opening Balance'!$B$15*('Daily Sale entry '!$R$2:$R$1501="Cheque 支票")*('Daily Sale entry '!$S$2:$S$1501-TRUNC('Daily Sale entry '!$S$2:$S$1501))))-'Opening Balance'!$B$15*SUMPRODUCT(('Daily Sale entry '!$X$2:$X$1501&lt;=$A367)*('Daily Sale entry '!$Z$2:$Z$1501="Online collection 网上收款")*('Daily Sale entry '!$AA$2:$AA$1501&lt;&gt;"")*('Daily Sale entry '!$AC$2:$AC$1501-TRUNC('Daily Sale entry '!$AC$2:$AC$1501))),2))</f>
        <v/>
      </c>
      <c r="C367" s="8">
        <f>IF($A367="","",'Opening Balance'!$B$5+SUM('Daily Sale entry '!$I$2:I367)-SUMIFS('Daily Sale entry '!$AB$2:$AB$1501,'Daily Sale entry '!$X$2:$X$1501,"&lt;="&amp;$A367,'Daily Sale entry '!$Z$2:$Z$1501,"Cheque deposit 支票存入")-COUNTIFS('Daily Sale entry '!$Q$2:$Q$1501,"Collection 收款",'Daily Sale entry '!$R$2:$R$1501,"Cheque 支票",'Daily Sale entry '!$V$2:$V$1501,"&lt;="&amp;$A367))</f>
        <v/>
      </c>
      <c r="D367" s="6">
        <f>IF($A367="","",ROUND('Opening Balance'!$B$6+SUM('Daily Sale entry '!$J$2:J367)-SUMIFS('Daily Sale entry '!$AC$2:$AC$1501,'Daily Sale entry '!$X$2:$X$1501,"&lt;="&amp;$A367,'Daily Sale entry '!$Z$2:$Z$1501,"Cheque deposit 支票存入")-SUMPRODUCT(('Daily Sale entry '!$Q$2:$Q$1501="Collection 收款")*('Daily Sale entry '!$R$2:$R$1501="Cheque 支票")*('Daily Sale entry '!$V$2:$V$1501&lt;&gt;"")*('Daily Sale entry '!$V$2:$V$1501&lt;=$A367)*('Daily Sale entry '!$S$2:$S$1501-'Opening Balance'!$B$15*('Daily Sale entry '!$R$2:$R$1501="Cheque 支票")*('Daily Sale entry '!$S$2:$S$1501-TRUNC('Daily Sale entry '!$S$2:$S$1501)))),2))</f>
        <v/>
      </c>
      <c r="E367" s="6">
        <f>IF($A367="","",'Opening Balance'!$B$7)</f>
        <v/>
      </c>
      <c r="F367" s="6">
        <f>IF($A367="","",ROUND(SUMIFS('Daily Sale entry '!$L$2:$L$367,'Daily Sale entry '!$A$2:$A$367,"&gt;="&amp;DATE(YEAR($A367),MONTH($A367),1),'Daily Sale entry '!$A$2:$A$367,"&lt;="&amp;$A367)+SUMIFS('Daily Sale entry '!$M$2:$M$367,'Daily Sale entry '!$A$2:$A$367,"&gt;="&amp;DATE(YEAR($A367),MONTH($A367),1),'Daily Sale entry '!$A$2:$A$367,"&lt;="&amp;$A367)+IF(AND(YEAR($A367)=YEAR('Daily Sale entry '!$A$2),MONTH($A367)=MONTH('Daily Sale entry '!$A$2)),'Opening Balance'!$B$8,0),2))</f>
        <v/>
      </c>
      <c r="G367" s="6">
        <f>IF($A367="","",MOD(ROUND('Opening Balance'!$B$9+SUMIFS('Sales &amp; Collection'!$L$1:$L$5113,'Sales &amp; Collection'!$K$1:$K$5113,"cash collection*"),2),'Opening Balance'!$B$11))</f>
        <v/>
      </c>
      <c r="H367" s="6">
        <f>IF($A367="","",ROUND('Opening Balance'!$B$10+'Opening Balance'!$B$9+SUMIFS('Sales &amp; Collection'!$L$1:$L$5113,'Sales &amp; Collection'!$K$1:$K$5113,"cash collection*")-G367-SUMIFS('Daily Sale entry '!$AC$2:$AC$1501,'Daily Sale entry '!$X$2:$X$1501,"&lt;="&amp;$A367,'Daily Sale entry '!$Z$2:$Z$1501,"Cash deposit 现金存入"),2))</f>
        <v/>
      </c>
      <c r="I367" s="6">
        <f>IF($A367="","",ROUND(B367+D367+E367+F367+G367+H367,2))</f>
        <v/>
      </c>
      <c r="J367" s="6">
        <f>IF($A367="","",'AR &amp; AP'!K368)</f>
        <v/>
      </c>
      <c r="K367" s="6">
        <f>IF($A367="","",ROUND(I367-J367-SUMIFS('Daily Sale entry '!$AC$2:$AC$1501,'Daily Sale entry '!$X$2:$X$1501,"&lt;="&amp;$A367,'Daily Sale entry '!$Z$2:$Z$1501,"Other deposit 其他存入")+SUMIFS('Daily Sale entry '!$AD$2:$AD$1501,'Daily Sale entry '!$X$2:$X$1501,"&lt;="&amp;$A367)+('Opening Balance'!$B$8+SUM('Daily Sale entry '!$L$2:M367)-F367),2))</f>
        <v/>
      </c>
      <c r="L367">
        <f>IF($A367="","",IF(ABS('Sales &amp; Collection'!$B$5122)&gt;'Opening Balance'!$B$16,"ALERT 警报: Different "&amp;TEXT('Sales &amp; Collection'!$B$5122,"#,##0.00")&amp;" 差额过大",""))</f>
        <v/>
      </c>
    </row>
  </sheetData>
  <conditionalFormatting sqref="K2:K367">
    <cfRule type="expression" priority="1" dxfId="1">
      <formula>AND(K2&lt;&gt;"",K2&lt;&gt;0)</formula>
    </cfRule>
  </conditionalFormatting>
  <conditionalFormatting sqref="L2:L367">
    <cfRule type="expression" priority="2" dxfId="0">
      <formula>LEFT(L2,5)="ALERT"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K368"/>
  <sheetViews>
    <sheetView workbookViewId="0">
      <pane xSplit="1" ySplit="2" topLeftCell="B3" activePane="bottomRight" state="frozen"/>
      <selection pane="topRight"/>
      <selection pane="bottomLeft"/>
      <selection pane="bottomRight" activeCell="H24" sqref="H24"/>
    </sheetView>
  </sheetViews>
  <sheetFormatPr baseColWidth="8" defaultRowHeight="14.4"/>
  <cols>
    <col width="12" customWidth="1" min="1" max="1"/>
    <col width="16" bestFit="1" customWidth="1" min="2" max="2"/>
    <col width="34" bestFit="1" customWidth="1" min="3" max="3"/>
    <col width="16" bestFit="1" customWidth="1" min="4" max="4"/>
    <col width="14" customWidth="1" min="5" max="5"/>
    <col width="16" bestFit="1" customWidth="1" min="6" max="6"/>
    <col width="16" customWidth="1" min="8" max="8"/>
    <col width="16" bestFit="1" customWidth="1" min="9" max="9"/>
    <col width="16" bestFit="1" customWidth="1" min="10" max="10"/>
    <col width="16" bestFit="1" customWidth="1" min="11" max="11"/>
  </cols>
  <sheetData>
    <row r="1"/>
    <row r="2" ht="34" customHeight="1">
      <c r="A2" s="2" t="inlineStr">
        <is>
          <t>Date
日期</t>
        </is>
      </c>
      <c r="B2" s="2" t="inlineStr">
        <is>
          <t>b/f petty cash
上日备用金结转</t>
        </is>
      </c>
      <c r="C2" s="2" t="inlineStr">
        <is>
          <t>debtor name
债务人(网上付款)</t>
        </is>
      </c>
      <c r="D2" s="2" t="inlineStr">
        <is>
          <t>online collection
网上收款</t>
        </is>
      </c>
      <c r="E2" s="2" t="inlineStr">
        <is>
          <t>daily sale
每日销售</t>
        </is>
      </c>
      <c r="F2" s="2" t="inlineStr">
        <is>
          <t>c/f petty cash
今日备用金结转</t>
        </is>
      </c>
      <c r="G2" s="2" t="n"/>
      <c r="H2" s="2" t="inlineStr">
        <is>
          <t>Balance b/f
上日结余</t>
        </is>
      </c>
      <c r="I2" s="2" t="inlineStr">
        <is>
          <t>Total collection
总收款</t>
        </is>
      </c>
      <c r="J2" s="2" t="inlineStr">
        <is>
          <t>Total Expenses
总开支</t>
        </is>
      </c>
      <c r="K2" s="2" t="inlineStr">
        <is>
          <t>Balance c/f
结余转下日</t>
        </is>
      </c>
    </row>
    <row r="3">
      <c r="A3" s="5">
        <f>IF('Daily Sale entry '!A2="","",'Daily Sale entry '!A2)</f>
        <v/>
      </c>
      <c r="B3" s="6">
        <f>IF($A3="","",'Daily Sale entry '!F2)</f>
        <v/>
      </c>
      <c r="C3">
        <f t="array" ref="C3">IF($A3="","",_xlfn.TEXTJOIN(", ",TRUE,IF(('Daily Sale entry '!$X$2:$X$1501=$A3)*('Daily Sale entry '!$Z$2:$Z$1501="Online collection 网上收款"),'Daily Sale entry '!$AA$2:$AA$1501,"")))</f>
        <v/>
      </c>
      <c r="D3" s="6">
        <f>IF($A3="","",ROUND(SUMIFS('Daily Sale entry '!$AC$2:$AC$1501,'Daily Sale entry '!$X$2:$X$1501,$A3,'Daily Sale entry '!$Z$2:$Z$1501,"Online collection 网上收款")-'Opening Balance'!$B$15*SUMPRODUCT(('Daily Sale entry '!$X$2:$X$1501=$A3)*('Daily Sale entry '!$Z$2:$Z$1501="Online collection 网上收款")*('Daily Sale entry '!$AA$2:$AA$1501&lt;&gt;"")*('Daily Sale entry '!$AC$2:$AC$1501-TRUNC('Daily Sale entry '!$AC$2:$AC$1501))),2))</f>
        <v/>
      </c>
      <c r="E3" s="6">
        <f>IF($A3="","",ROUND('Sales &amp; Collection'!I10-'Sales &amp; Collection'!I9,2))</f>
        <v/>
      </c>
      <c r="F3" s="6">
        <f>IF($A3="","",'Sales &amp; Collection'!L2)</f>
        <v/>
      </c>
      <c r="H3" s="6">
        <f>IF($A3="","",'Opening Balance'!$B$12)</f>
        <v/>
      </c>
      <c r="I3" s="6">
        <f>IF($A3="","",ROUND(B3+D3+E3,2))</f>
        <v/>
      </c>
      <c r="J3" s="6">
        <f>IF($A3="","",F3)</f>
        <v/>
      </c>
      <c r="K3" s="6">
        <f>IF($A3="","",ROUND(H3+I3-J3,2))</f>
        <v/>
      </c>
    </row>
    <row r="4">
      <c r="A4" s="5">
        <f>IF('Daily Sale entry '!A3="","",'Daily Sale entry '!A3)</f>
        <v/>
      </c>
      <c r="B4" s="6">
        <f>IF($A4="","",'Daily Sale entry '!F3)</f>
        <v/>
      </c>
      <c r="C4">
        <f t="array" ref="C4">IF($A4="","",_xlfn.TEXTJOIN(", ",TRUE,IF(('Daily Sale entry '!$X$2:$X$1501=$A4)*('Daily Sale entry '!$Z$2:$Z$1501="Online collection 网上收款"),'Daily Sale entry '!$AA$2:$AA$1501,"")))</f>
        <v/>
      </c>
      <c r="D4" s="6">
        <f>IF($A4="","",ROUND(SUMIFS('Daily Sale entry '!$AC$2:$AC$1501,'Daily Sale entry '!$X$2:$X$1501,$A4,'Daily Sale entry '!$Z$2:$Z$1501,"Online collection 网上收款")-'Opening Balance'!$B$15*SUMPRODUCT(('Daily Sale entry '!$X$2:$X$1501=$A4)*('Daily Sale entry '!$Z$2:$Z$1501="Online collection 网上收款")*('Daily Sale entry '!$AA$2:$AA$1501&lt;&gt;"")*('Daily Sale entry '!$AC$2:$AC$1501-TRUNC('Daily Sale entry '!$AC$2:$AC$1501))),2))</f>
        <v/>
      </c>
      <c r="E4" s="6">
        <f>IF($A4="","",ROUND('Sales &amp; Collection'!I24-'Sales &amp; Collection'!I23,2))</f>
        <v/>
      </c>
      <c r="F4" s="6">
        <f>IF($A4="","",'Sales &amp; Collection'!L16)</f>
        <v/>
      </c>
      <c r="H4" s="6">
        <f>IF($A4="","",K3)</f>
        <v/>
      </c>
      <c r="I4" s="6">
        <f>IF($A4="","",ROUND(B4+D4+E4,2))</f>
        <v/>
      </c>
      <c r="J4" s="6">
        <f>IF($A4="","",F4)</f>
        <v/>
      </c>
      <c r="K4" s="6">
        <f>IF($A4="","",ROUND(H4+I4-J4,2))</f>
        <v/>
      </c>
    </row>
    <row r="5">
      <c r="A5" s="5">
        <f>IF('Daily Sale entry '!A4="","",'Daily Sale entry '!A4)</f>
        <v/>
      </c>
      <c r="B5" s="6">
        <f>IF($A5="","",'Daily Sale entry '!F4)</f>
        <v/>
      </c>
      <c r="C5">
        <f t="array" ref="C5">IF($A5="","",_xlfn.TEXTJOIN(", ",TRUE,IF(('Daily Sale entry '!$X$2:$X$1501=$A5)*('Daily Sale entry '!$Z$2:$Z$1501="Online collection 网上收款"),'Daily Sale entry '!$AA$2:$AA$1501,"")))</f>
        <v/>
      </c>
      <c r="D5" s="6">
        <f>IF($A5="","",ROUND(SUMIFS('Daily Sale entry '!$AC$2:$AC$1501,'Daily Sale entry '!$X$2:$X$1501,$A5,'Daily Sale entry '!$Z$2:$Z$1501,"Online collection 网上收款")-'Opening Balance'!$B$15*SUMPRODUCT(('Daily Sale entry '!$X$2:$X$1501=$A5)*('Daily Sale entry '!$Z$2:$Z$1501="Online collection 网上收款")*('Daily Sale entry '!$AA$2:$AA$1501&lt;&gt;"")*('Daily Sale entry '!$AC$2:$AC$1501-TRUNC('Daily Sale entry '!$AC$2:$AC$1501))),2))</f>
        <v/>
      </c>
      <c r="E5" s="6">
        <f>IF($A5="","",ROUND('Sales &amp; Collection'!I38-'Sales &amp; Collection'!I37,2))</f>
        <v/>
      </c>
      <c r="F5" s="6">
        <f>IF($A5="","",'Sales &amp; Collection'!L30)</f>
        <v/>
      </c>
      <c r="H5" s="6">
        <f>IF($A5="","",K4)</f>
        <v/>
      </c>
      <c r="I5" s="6">
        <f>IF($A5="","",ROUND(B5+D5+E5,2))</f>
        <v/>
      </c>
      <c r="J5" s="6">
        <f>IF($A5="","",F5)</f>
        <v/>
      </c>
      <c r="K5" s="6">
        <f>IF($A5="","",ROUND(H5+I5-J5,2))</f>
        <v/>
      </c>
    </row>
    <row r="6">
      <c r="A6" s="5">
        <f>IF('Daily Sale entry '!A5="","",'Daily Sale entry '!A5)</f>
        <v/>
      </c>
      <c r="B6" s="6">
        <f>IF($A6="","",'Daily Sale entry '!F5)</f>
        <v/>
      </c>
      <c r="C6">
        <f t="array" ref="C6">IF($A6="","",_xlfn.TEXTJOIN(", ",TRUE,IF(('Daily Sale entry '!$X$2:$X$1501=$A6)*('Daily Sale entry '!$Z$2:$Z$1501="Online collection 网上收款"),'Daily Sale entry '!$AA$2:$AA$1501,"")))</f>
        <v/>
      </c>
      <c r="D6" s="6">
        <f>IF($A6="","",ROUND(SUMIFS('Daily Sale entry '!$AC$2:$AC$1501,'Daily Sale entry '!$X$2:$X$1501,$A6,'Daily Sale entry '!$Z$2:$Z$1501,"Online collection 网上收款")-'Opening Balance'!$B$15*SUMPRODUCT(('Daily Sale entry '!$X$2:$X$1501=$A6)*('Daily Sale entry '!$Z$2:$Z$1501="Online collection 网上收款")*('Daily Sale entry '!$AA$2:$AA$1501&lt;&gt;"")*('Daily Sale entry '!$AC$2:$AC$1501-TRUNC('Daily Sale entry '!$AC$2:$AC$1501))),2))</f>
        <v/>
      </c>
      <c r="E6" s="6">
        <f>IF($A6="","",ROUND('Sales &amp; Collection'!I52-'Sales &amp; Collection'!I51,2))</f>
        <v/>
      </c>
      <c r="F6" s="6">
        <f>IF($A6="","",'Sales &amp; Collection'!L44)</f>
        <v/>
      </c>
      <c r="H6" s="6">
        <f>IF($A6="","",K5)</f>
        <v/>
      </c>
      <c r="I6" s="6">
        <f>IF($A6="","",ROUND(B6+D6+E6,2))</f>
        <v/>
      </c>
      <c r="J6" s="6">
        <f>IF($A6="","",F6)</f>
        <v/>
      </c>
      <c r="K6" s="6">
        <f>IF($A6="","",ROUND(H6+I6-J6,2))</f>
        <v/>
      </c>
    </row>
    <row r="7">
      <c r="A7" s="5">
        <f>IF('Daily Sale entry '!A6="","",'Daily Sale entry '!A6)</f>
        <v/>
      </c>
      <c r="B7" s="6">
        <f>IF($A7="","",'Daily Sale entry '!F6)</f>
        <v/>
      </c>
      <c r="C7">
        <f t="array" ref="C7">IF($A7="","",_xlfn.TEXTJOIN(", ",TRUE,IF(('Daily Sale entry '!$X$2:$X$1501=$A7)*('Daily Sale entry '!$Z$2:$Z$1501="Online collection 网上收款"),'Daily Sale entry '!$AA$2:$AA$1501,"")))</f>
        <v/>
      </c>
      <c r="D7" s="6">
        <f>IF($A7="","",ROUND(SUMIFS('Daily Sale entry '!$AC$2:$AC$1501,'Daily Sale entry '!$X$2:$X$1501,$A7,'Daily Sale entry '!$Z$2:$Z$1501,"Online collection 网上收款")-'Opening Balance'!$B$15*SUMPRODUCT(('Daily Sale entry '!$X$2:$X$1501=$A7)*('Daily Sale entry '!$Z$2:$Z$1501="Online collection 网上收款")*('Daily Sale entry '!$AA$2:$AA$1501&lt;&gt;"")*('Daily Sale entry '!$AC$2:$AC$1501-TRUNC('Daily Sale entry '!$AC$2:$AC$1501))),2))</f>
        <v/>
      </c>
      <c r="E7" s="6">
        <f>IF($A7="","",ROUND('Sales &amp; Collection'!I66-'Sales &amp; Collection'!I65,2))</f>
        <v/>
      </c>
      <c r="F7" s="6">
        <f>IF($A7="","",'Sales &amp; Collection'!L58)</f>
        <v/>
      </c>
      <c r="H7" s="6">
        <f>IF($A7="","",K6)</f>
        <v/>
      </c>
      <c r="I7" s="6">
        <f>IF($A7="","",ROUND(B7+D7+E7,2))</f>
        <v/>
      </c>
      <c r="J7" s="6">
        <f>IF($A7="","",F7)</f>
        <v/>
      </c>
      <c r="K7" s="6">
        <f>IF($A7="","",ROUND(H7+I7-J7,2))</f>
        <v/>
      </c>
    </row>
    <row r="8">
      <c r="A8" s="5">
        <f>IF('Daily Sale entry '!A7="","",'Daily Sale entry '!A7)</f>
        <v/>
      </c>
      <c r="B8" s="6">
        <f>IF($A8="","",'Daily Sale entry '!F7)</f>
        <v/>
      </c>
      <c r="C8">
        <f t="array" ref="C8">IF($A8="","",_xlfn.TEXTJOIN(", ",TRUE,IF(('Daily Sale entry '!$X$2:$X$1501=$A8)*('Daily Sale entry '!$Z$2:$Z$1501="Online collection 网上收款"),'Daily Sale entry '!$AA$2:$AA$1501,"")))</f>
        <v/>
      </c>
      <c r="D8" s="6">
        <f>IF($A8="","",ROUND(SUMIFS('Daily Sale entry '!$AC$2:$AC$1501,'Daily Sale entry '!$X$2:$X$1501,$A8,'Daily Sale entry '!$Z$2:$Z$1501,"Online collection 网上收款")-'Opening Balance'!$B$15*SUMPRODUCT(('Daily Sale entry '!$X$2:$X$1501=$A8)*('Daily Sale entry '!$Z$2:$Z$1501="Online collection 网上收款")*('Daily Sale entry '!$AA$2:$AA$1501&lt;&gt;"")*('Daily Sale entry '!$AC$2:$AC$1501-TRUNC('Daily Sale entry '!$AC$2:$AC$1501))),2))</f>
        <v/>
      </c>
      <c r="E8" s="6">
        <f>IF($A8="","",ROUND('Sales &amp; Collection'!I80-'Sales &amp; Collection'!I79,2))</f>
        <v/>
      </c>
      <c r="F8" s="6">
        <f>IF($A8="","",'Sales &amp; Collection'!L72)</f>
        <v/>
      </c>
      <c r="H8" s="6">
        <f>IF($A8="","",K7)</f>
        <v/>
      </c>
      <c r="I8" s="6">
        <f>IF($A8="","",ROUND(B8+D8+E8,2))</f>
        <v/>
      </c>
      <c r="J8" s="6">
        <f>IF($A8="","",F8)</f>
        <v/>
      </c>
      <c r="K8" s="6">
        <f>IF($A8="","",ROUND(H8+I8-J8,2))</f>
        <v/>
      </c>
    </row>
    <row r="9">
      <c r="A9" s="5">
        <f>IF('Daily Sale entry '!A8="","",'Daily Sale entry '!A8)</f>
        <v/>
      </c>
      <c r="B9" s="6">
        <f>IF($A9="","",'Daily Sale entry '!F8)</f>
        <v/>
      </c>
      <c r="C9">
        <f t="array" ref="C9">IF($A9="","",_xlfn.TEXTJOIN(", ",TRUE,IF(('Daily Sale entry '!$X$2:$X$1501=$A9)*('Daily Sale entry '!$Z$2:$Z$1501="Online collection 网上收款"),'Daily Sale entry '!$AA$2:$AA$1501,"")))</f>
        <v/>
      </c>
      <c r="D9" s="6">
        <f>IF($A9="","",ROUND(SUMIFS('Daily Sale entry '!$AC$2:$AC$1501,'Daily Sale entry '!$X$2:$X$1501,$A9,'Daily Sale entry '!$Z$2:$Z$1501,"Online collection 网上收款")-'Opening Balance'!$B$15*SUMPRODUCT(('Daily Sale entry '!$X$2:$X$1501=$A9)*('Daily Sale entry '!$Z$2:$Z$1501="Online collection 网上收款")*('Daily Sale entry '!$AA$2:$AA$1501&lt;&gt;"")*('Daily Sale entry '!$AC$2:$AC$1501-TRUNC('Daily Sale entry '!$AC$2:$AC$1501))),2))</f>
        <v/>
      </c>
      <c r="E9" s="6">
        <f>IF($A9="","",ROUND('Sales &amp; Collection'!I94-'Sales &amp; Collection'!I93,2))</f>
        <v/>
      </c>
      <c r="F9" s="6">
        <f>IF($A9="","",'Sales &amp; Collection'!L86)</f>
        <v/>
      </c>
      <c r="H9" s="6">
        <f>IF($A9="","",K8)</f>
        <v/>
      </c>
      <c r="I9" s="6">
        <f>IF($A9="","",ROUND(B9+D9+E9,2))</f>
        <v/>
      </c>
      <c r="J9" s="6">
        <f>IF($A9="","",F9)</f>
        <v/>
      </c>
      <c r="K9" s="6">
        <f>IF($A9="","",ROUND(H9+I9-J9,2))</f>
        <v/>
      </c>
    </row>
    <row r="10">
      <c r="A10" s="5">
        <f>IF('Daily Sale entry '!A9="","",'Daily Sale entry '!A9)</f>
        <v/>
      </c>
      <c r="B10" s="6">
        <f>IF($A10="","",'Daily Sale entry '!F9)</f>
        <v/>
      </c>
      <c r="C10">
        <f t="array" ref="C10">IF($A10="","",_xlfn.TEXTJOIN(", ",TRUE,IF(('Daily Sale entry '!$X$2:$X$1501=$A10)*('Daily Sale entry '!$Z$2:$Z$1501="Online collection 网上收款"),'Daily Sale entry '!$AA$2:$AA$1501,"")))</f>
        <v/>
      </c>
      <c r="D10" s="6">
        <f>IF($A10="","",ROUND(SUMIFS('Daily Sale entry '!$AC$2:$AC$1501,'Daily Sale entry '!$X$2:$X$1501,$A10,'Daily Sale entry '!$Z$2:$Z$1501,"Online collection 网上收款")-'Opening Balance'!$B$15*SUMPRODUCT(('Daily Sale entry '!$X$2:$X$1501=$A10)*('Daily Sale entry '!$Z$2:$Z$1501="Online collection 网上收款")*('Daily Sale entry '!$AA$2:$AA$1501&lt;&gt;"")*('Daily Sale entry '!$AC$2:$AC$1501-TRUNC('Daily Sale entry '!$AC$2:$AC$1501))),2))</f>
        <v/>
      </c>
      <c r="E10" s="6">
        <f>IF($A10="","",ROUND('Sales &amp; Collection'!I108-'Sales &amp; Collection'!I107,2))</f>
        <v/>
      </c>
      <c r="F10" s="6">
        <f>IF($A10="","",'Sales &amp; Collection'!L100)</f>
        <v/>
      </c>
      <c r="H10" s="6">
        <f>IF($A10="","",K9)</f>
        <v/>
      </c>
      <c r="I10" s="6">
        <f>IF($A10="","",ROUND(B10+D10+E10,2))</f>
        <v/>
      </c>
      <c r="J10" s="6">
        <f>IF($A10="","",F10)</f>
        <v/>
      </c>
      <c r="K10" s="6">
        <f>IF($A10="","",ROUND(H10+I10-J10,2))</f>
        <v/>
      </c>
    </row>
    <row r="11">
      <c r="A11" s="5">
        <f>IF('Daily Sale entry '!A10="","",'Daily Sale entry '!A10)</f>
        <v/>
      </c>
      <c r="B11" s="6">
        <f>IF($A11="","",'Daily Sale entry '!F10)</f>
        <v/>
      </c>
      <c r="C11">
        <f t="array" ref="C11">IF($A11="","",_xlfn.TEXTJOIN(", ",TRUE,IF(('Daily Sale entry '!$X$2:$X$1501=$A11)*('Daily Sale entry '!$Z$2:$Z$1501="Online collection 网上收款"),'Daily Sale entry '!$AA$2:$AA$1501,"")))</f>
        <v/>
      </c>
      <c r="D11" s="6">
        <f>IF($A11="","",ROUND(SUMIFS('Daily Sale entry '!$AC$2:$AC$1501,'Daily Sale entry '!$X$2:$X$1501,$A11,'Daily Sale entry '!$Z$2:$Z$1501,"Online collection 网上收款")-'Opening Balance'!$B$15*SUMPRODUCT(('Daily Sale entry '!$X$2:$X$1501=$A11)*('Daily Sale entry '!$Z$2:$Z$1501="Online collection 网上收款")*('Daily Sale entry '!$AA$2:$AA$1501&lt;&gt;"")*('Daily Sale entry '!$AC$2:$AC$1501-TRUNC('Daily Sale entry '!$AC$2:$AC$1501))),2))</f>
        <v/>
      </c>
      <c r="E11" s="6">
        <f>IF($A11="","",ROUND('Sales &amp; Collection'!I122-'Sales &amp; Collection'!I121,2))</f>
        <v/>
      </c>
      <c r="F11" s="6">
        <f>IF($A11="","",'Sales &amp; Collection'!L114)</f>
        <v/>
      </c>
      <c r="H11" s="6">
        <f>IF($A11="","",K10)</f>
        <v/>
      </c>
      <c r="I11" s="6">
        <f>IF($A11="","",ROUND(B11+D11+E11,2))</f>
        <v/>
      </c>
      <c r="J11" s="6">
        <f>IF($A11="","",F11)</f>
        <v/>
      </c>
      <c r="K11" s="6">
        <f>IF($A11="","",ROUND(H11+I11-J11,2))</f>
        <v/>
      </c>
    </row>
    <row r="12">
      <c r="A12" s="5">
        <f>IF('Daily Sale entry '!A11="","",'Daily Sale entry '!A11)</f>
        <v/>
      </c>
      <c r="B12" s="6">
        <f>IF($A12="","",'Daily Sale entry '!F11)</f>
        <v/>
      </c>
      <c r="C12">
        <f t="array" ref="C12">IF($A12="","",_xlfn.TEXTJOIN(", ",TRUE,IF(('Daily Sale entry '!$X$2:$X$1501=$A12)*('Daily Sale entry '!$Z$2:$Z$1501="Online collection 网上收款"),'Daily Sale entry '!$AA$2:$AA$1501,"")))</f>
        <v/>
      </c>
      <c r="D12" s="6">
        <f>IF($A12="","",ROUND(SUMIFS('Daily Sale entry '!$AC$2:$AC$1501,'Daily Sale entry '!$X$2:$X$1501,$A12,'Daily Sale entry '!$Z$2:$Z$1501,"Online collection 网上收款")-'Opening Balance'!$B$15*SUMPRODUCT(('Daily Sale entry '!$X$2:$X$1501=$A12)*('Daily Sale entry '!$Z$2:$Z$1501="Online collection 网上收款")*('Daily Sale entry '!$AA$2:$AA$1501&lt;&gt;"")*('Daily Sale entry '!$AC$2:$AC$1501-TRUNC('Daily Sale entry '!$AC$2:$AC$1501))),2))</f>
        <v/>
      </c>
      <c r="E12" s="6">
        <f>IF($A12="","",ROUND('Sales &amp; Collection'!I136-'Sales &amp; Collection'!I135,2))</f>
        <v/>
      </c>
      <c r="F12" s="6">
        <f>IF($A12="","",'Sales &amp; Collection'!L128)</f>
        <v/>
      </c>
      <c r="H12" s="6">
        <f>IF($A12="","",K11)</f>
        <v/>
      </c>
      <c r="I12" s="6">
        <f>IF($A12="","",ROUND(B12+D12+E12,2))</f>
        <v/>
      </c>
      <c r="J12" s="6">
        <f>IF($A12="","",F12)</f>
        <v/>
      </c>
      <c r="K12" s="6">
        <f>IF($A12="","",ROUND(H12+I12-J12,2))</f>
        <v/>
      </c>
    </row>
    <row r="13">
      <c r="A13" s="5">
        <f>IF('Daily Sale entry '!A12="","",'Daily Sale entry '!A12)</f>
        <v/>
      </c>
      <c r="B13" s="6">
        <f>IF($A13="","",'Daily Sale entry '!F12)</f>
        <v/>
      </c>
      <c r="C13">
        <f t="array" ref="C13">IF($A13="","",_xlfn.TEXTJOIN(", ",TRUE,IF(('Daily Sale entry '!$X$2:$X$1501=$A13)*('Daily Sale entry '!$Z$2:$Z$1501="Online collection 网上收款"),'Daily Sale entry '!$AA$2:$AA$1501,"")))</f>
        <v/>
      </c>
      <c r="D13" s="6">
        <f>IF($A13="","",ROUND(SUMIFS('Daily Sale entry '!$AC$2:$AC$1501,'Daily Sale entry '!$X$2:$X$1501,$A13,'Daily Sale entry '!$Z$2:$Z$1501,"Online collection 网上收款")-'Opening Balance'!$B$15*SUMPRODUCT(('Daily Sale entry '!$X$2:$X$1501=$A13)*('Daily Sale entry '!$Z$2:$Z$1501="Online collection 网上收款")*('Daily Sale entry '!$AA$2:$AA$1501&lt;&gt;"")*('Daily Sale entry '!$AC$2:$AC$1501-TRUNC('Daily Sale entry '!$AC$2:$AC$1501))),2))</f>
        <v/>
      </c>
      <c r="E13" s="6">
        <f>IF($A13="","",ROUND('Sales &amp; Collection'!I150-'Sales &amp; Collection'!I149,2))</f>
        <v/>
      </c>
      <c r="F13" s="6">
        <f>IF($A13="","",'Sales &amp; Collection'!L142)</f>
        <v/>
      </c>
      <c r="H13" s="6">
        <f>IF($A13="","",K12)</f>
        <v/>
      </c>
      <c r="I13" s="6">
        <f>IF($A13="","",ROUND(B13+D13+E13,2))</f>
        <v/>
      </c>
      <c r="J13" s="6">
        <f>IF($A13="","",F13)</f>
        <v/>
      </c>
      <c r="K13" s="6">
        <f>IF($A13="","",ROUND(H13+I13-J13,2))</f>
        <v/>
      </c>
    </row>
    <row r="14">
      <c r="A14" s="5">
        <f>IF('Daily Sale entry '!A13="","",'Daily Sale entry '!A13)</f>
        <v/>
      </c>
      <c r="B14" s="6">
        <f>IF($A14="","",'Daily Sale entry '!F13)</f>
        <v/>
      </c>
      <c r="C14">
        <f t="array" ref="C14">IF($A14="","",_xlfn.TEXTJOIN(", ",TRUE,IF(('Daily Sale entry '!$X$2:$X$1501=$A14)*('Daily Sale entry '!$Z$2:$Z$1501="Online collection 网上收款"),'Daily Sale entry '!$AA$2:$AA$1501,"")))</f>
        <v/>
      </c>
      <c r="D14" s="6">
        <f>IF($A14="","",ROUND(SUMIFS('Daily Sale entry '!$AC$2:$AC$1501,'Daily Sale entry '!$X$2:$X$1501,$A14,'Daily Sale entry '!$Z$2:$Z$1501,"Online collection 网上收款")-'Opening Balance'!$B$15*SUMPRODUCT(('Daily Sale entry '!$X$2:$X$1501=$A14)*('Daily Sale entry '!$Z$2:$Z$1501="Online collection 网上收款")*('Daily Sale entry '!$AA$2:$AA$1501&lt;&gt;"")*('Daily Sale entry '!$AC$2:$AC$1501-TRUNC('Daily Sale entry '!$AC$2:$AC$1501))),2))</f>
        <v/>
      </c>
      <c r="E14" s="6">
        <f>IF($A14="","",ROUND('Sales &amp; Collection'!I164-'Sales &amp; Collection'!I163,2))</f>
        <v/>
      </c>
      <c r="F14" s="6">
        <f>IF($A14="","",'Sales &amp; Collection'!L156)</f>
        <v/>
      </c>
      <c r="H14" s="6">
        <f>IF($A14="","",K13)</f>
        <v/>
      </c>
      <c r="I14" s="6">
        <f>IF($A14="","",ROUND(B14+D14+E14,2))</f>
        <v/>
      </c>
      <c r="J14" s="6">
        <f>IF($A14="","",F14)</f>
        <v/>
      </c>
      <c r="K14" s="6">
        <f>IF($A14="","",ROUND(H14+I14-J14,2))</f>
        <v/>
      </c>
    </row>
    <row r="15">
      <c r="A15" s="5">
        <f>IF('Daily Sale entry '!A14="","",'Daily Sale entry '!A14)</f>
        <v/>
      </c>
      <c r="B15" s="6">
        <f>IF($A15="","",'Daily Sale entry '!F14)</f>
        <v/>
      </c>
      <c r="C15">
        <f t="array" ref="C15">IF($A15="","",_xlfn.TEXTJOIN(", ",TRUE,IF(('Daily Sale entry '!$X$2:$X$1501=$A15)*('Daily Sale entry '!$Z$2:$Z$1501="Online collection 网上收款"),'Daily Sale entry '!$AA$2:$AA$1501,"")))</f>
        <v/>
      </c>
      <c r="D15" s="6">
        <f>IF($A15="","",ROUND(SUMIFS('Daily Sale entry '!$AC$2:$AC$1501,'Daily Sale entry '!$X$2:$X$1501,$A15,'Daily Sale entry '!$Z$2:$Z$1501,"Online collection 网上收款")-'Opening Balance'!$B$15*SUMPRODUCT(('Daily Sale entry '!$X$2:$X$1501=$A15)*('Daily Sale entry '!$Z$2:$Z$1501="Online collection 网上收款")*('Daily Sale entry '!$AA$2:$AA$1501&lt;&gt;"")*('Daily Sale entry '!$AC$2:$AC$1501-TRUNC('Daily Sale entry '!$AC$2:$AC$1501))),2))</f>
        <v/>
      </c>
      <c r="E15" s="6">
        <f>IF($A15="","",ROUND('Sales &amp; Collection'!I178-'Sales &amp; Collection'!I177,2))</f>
        <v/>
      </c>
      <c r="F15" s="6">
        <f>IF($A15="","",'Sales &amp; Collection'!L170)</f>
        <v/>
      </c>
      <c r="H15" s="6">
        <f>IF($A15="","",K14)</f>
        <v/>
      </c>
      <c r="I15" s="6">
        <f>IF($A15="","",ROUND(B15+D15+E15,2))</f>
        <v/>
      </c>
      <c r="J15" s="6">
        <f>IF($A15="","",F15)</f>
        <v/>
      </c>
      <c r="K15" s="6">
        <f>IF($A15="","",ROUND(H15+I15-J15,2))</f>
        <v/>
      </c>
    </row>
    <row r="16">
      <c r="A16" s="5">
        <f>IF('Daily Sale entry '!A15="","",'Daily Sale entry '!A15)</f>
        <v/>
      </c>
      <c r="B16" s="6">
        <f>IF($A16="","",'Daily Sale entry '!F15)</f>
        <v/>
      </c>
      <c r="C16">
        <f t="array" ref="C16">IF($A16="","",_xlfn.TEXTJOIN(", ",TRUE,IF(('Daily Sale entry '!$X$2:$X$1501=$A16)*('Daily Sale entry '!$Z$2:$Z$1501="Online collection 网上收款"),'Daily Sale entry '!$AA$2:$AA$1501,"")))</f>
        <v/>
      </c>
      <c r="D16" s="6">
        <f>IF($A16="","",ROUND(SUMIFS('Daily Sale entry '!$AC$2:$AC$1501,'Daily Sale entry '!$X$2:$X$1501,$A16,'Daily Sale entry '!$Z$2:$Z$1501,"Online collection 网上收款")-'Opening Balance'!$B$15*SUMPRODUCT(('Daily Sale entry '!$X$2:$X$1501=$A16)*('Daily Sale entry '!$Z$2:$Z$1501="Online collection 网上收款")*('Daily Sale entry '!$AA$2:$AA$1501&lt;&gt;"")*('Daily Sale entry '!$AC$2:$AC$1501-TRUNC('Daily Sale entry '!$AC$2:$AC$1501))),2))</f>
        <v/>
      </c>
      <c r="E16" s="6">
        <f>IF($A16="","",ROUND('Sales &amp; Collection'!I192-'Sales &amp; Collection'!I191,2))</f>
        <v/>
      </c>
      <c r="F16" s="6">
        <f>IF($A16="","",'Sales &amp; Collection'!L184)</f>
        <v/>
      </c>
      <c r="H16" s="6">
        <f>IF($A16="","",K15)</f>
        <v/>
      </c>
      <c r="I16" s="6">
        <f>IF($A16="","",ROUND(B16+D16+E16,2))</f>
        <v/>
      </c>
      <c r="J16" s="6">
        <f>IF($A16="","",F16)</f>
        <v/>
      </c>
      <c r="K16" s="6">
        <f>IF($A16="","",ROUND(H16+I16-J16,2))</f>
        <v/>
      </c>
    </row>
    <row r="17">
      <c r="A17" s="5">
        <f>IF('Daily Sale entry '!A16="","",'Daily Sale entry '!A16)</f>
        <v/>
      </c>
      <c r="B17" s="6">
        <f>IF($A17="","",'Daily Sale entry '!F16)</f>
        <v/>
      </c>
      <c r="C17">
        <f t="array" ref="C17">IF($A17="","",_xlfn.TEXTJOIN(", ",TRUE,IF(('Daily Sale entry '!$X$2:$X$1501=$A17)*('Daily Sale entry '!$Z$2:$Z$1501="Online collection 网上收款"),'Daily Sale entry '!$AA$2:$AA$1501,"")))</f>
        <v/>
      </c>
      <c r="D17" s="6">
        <f>IF($A17="","",ROUND(SUMIFS('Daily Sale entry '!$AC$2:$AC$1501,'Daily Sale entry '!$X$2:$X$1501,$A17,'Daily Sale entry '!$Z$2:$Z$1501,"Online collection 网上收款")-'Opening Balance'!$B$15*SUMPRODUCT(('Daily Sale entry '!$X$2:$X$1501=$A17)*('Daily Sale entry '!$Z$2:$Z$1501="Online collection 网上收款")*('Daily Sale entry '!$AA$2:$AA$1501&lt;&gt;"")*('Daily Sale entry '!$AC$2:$AC$1501-TRUNC('Daily Sale entry '!$AC$2:$AC$1501))),2))</f>
        <v/>
      </c>
      <c r="E17" s="6">
        <f>IF($A17="","",ROUND('Sales &amp; Collection'!I206-'Sales &amp; Collection'!I205,2))</f>
        <v/>
      </c>
      <c r="F17" s="6">
        <f>IF($A17="","",'Sales &amp; Collection'!L198)</f>
        <v/>
      </c>
      <c r="H17" s="6">
        <f>IF($A17="","",K16)</f>
        <v/>
      </c>
      <c r="I17" s="6">
        <f>IF($A17="","",ROUND(B17+D17+E17,2))</f>
        <v/>
      </c>
      <c r="J17" s="6">
        <f>IF($A17="","",F17)</f>
        <v/>
      </c>
      <c r="K17" s="6">
        <f>IF($A17="","",ROUND(H17+I17-J17,2))</f>
        <v/>
      </c>
    </row>
    <row r="18">
      <c r="A18" s="5">
        <f>IF('Daily Sale entry '!A17="","",'Daily Sale entry '!A17)</f>
        <v/>
      </c>
      <c r="B18" s="6">
        <f>IF($A18="","",'Daily Sale entry '!F17)</f>
        <v/>
      </c>
      <c r="C18">
        <f t="array" ref="C18">IF($A18="","",_xlfn.TEXTJOIN(", ",TRUE,IF(('Daily Sale entry '!$X$2:$X$1501=$A18)*('Daily Sale entry '!$Z$2:$Z$1501="Online collection 网上收款"),'Daily Sale entry '!$AA$2:$AA$1501,"")))</f>
        <v/>
      </c>
      <c r="D18" s="6">
        <f>IF($A18="","",ROUND(SUMIFS('Daily Sale entry '!$AC$2:$AC$1501,'Daily Sale entry '!$X$2:$X$1501,$A18,'Daily Sale entry '!$Z$2:$Z$1501,"Online collection 网上收款")-'Opening Balance'!$B$15*SUMPRODUCT(('Daily Sale entry '!$X$2:$X$1501=$A18)*('Daily Sale entry '!$Z$2:$Z$1501="Online collection 网上收款")*('Daily Sale entry '!$AA$2:$AA$1501&lt;&gt;"")*('Daily Sale entry '!$AC$2:$AC$1501-TRUNC('Daily Sale entry '!$AC$2:$AC$1501))),2))</f>
        <v/>
      </c>
      <c r="E18" s="6">
        <f>IF($A18="","",ROUND('Sales &amp; Collection'!I220-'Sales &amp; Collection'!I219,2))</f>
        <v/>
      </c>
      <c r="F18" s="6">
        <f>IF($A18="","",'Sales &amp; Collection'!L212)</f>
        <v/>
      </c>
      <c r="H18" s="6">
        <f>IF($A18="","",K17)</f>
        <v/>
      </c>
      <c r="I18" s="6">
        <f>IF($A18="","",ROUND(B18+D18+E18,2))</f>
        <v/>
      </c>
      <c r="J18" s="6">
        <f>IF($A18="","",F18)</f>
        <v/>
      </c>
      <c r="K18" s="6">
        <f>IF($A18="","",ROUND(H18+I18-J18,2))</f>
        <v/>
      </c>
    </row>
    <row r="19">
      <c r="A19" s="5">
        <f>IF('Daily Sale entry '!A18="","",'Daily Sale entry '!A18)</f>
        <v/>
      </c>
      <c r="B19" s="6">
        <f>IF($A19="","",'Daily Sale entry '!F18)</f>
        <v/>
      </c>
      <c r="C19">
        <f t="array" ref="C19">IF($A19="","",_xlfn.TEXTJOIN(", ",TRUE,IF(('Daily Sale entry '!$X$2:$X$1501=$A19)*('Daily Sale entry '!$Z$2:$Z$1501="Online collection 网上收款"),'Daily Sale entry '!$AA$2:$AA$1501,"")))</f>
        <v/>
      </c>
      <c r="D19" s="6">
        <f>IF($A19="","",ROUND(SUMIFS('Daily Sale entry '!$AC$2:$AC$1501,'Daily Sale entry '!$X$2:$X$1501,$A19,'Daily Sale entry '!$Z$2:$Z$1501,"Online collection 网上收款")-'Opening Balance'!$B$15*SUMPRODUCT(('Daily Sale entry '!$X$2:$X$1501=$A19)*('Daily Sale entry '!$Z$2:$Z$1501="Online collection 网上收款")*('Daily Sale entry '!$AA$2:$AA$1501&lt;&gt;"")*('Daily Sale entry '!$AC$2:$AC$1501-TRUNC('Daily Sale entry '!$AC$2:$AC$1501))),2))</f>
        <v/>
      </c>
      <c r="E19" s="6">
        <f>IF($A19="","",ROUND('Sales &amp; Collection'!I234-'Sales &amp; Collection'!I233,2))</f>
        <v/>
      </c>
      <c r="F19" s="6">
        <f>IF($A19="","",'Sales &amp; Collection'!L226)</f>
        <v/>
      </c>
      <c r="H19" s="6">
        <f>IF($A19="","",K18)</f>
        <v/>
      </c>
      <c r="I19" s="6">
        <f>IF($A19="","",ROUND(B19+D19+E19,2))</f>
        <v/>
      </c>
      <c r="J19" s="6">
        <f>IF($A19="","",F19)</f>
        <v/>
      </c>
      <c r="K19" s="6">
        <f>IF($A19="","",ROUND(H19+I19-J19,2))</f>
        <v/>
      </c>
    </row>
    <row r="20">
      <c r="A20" s="5">
        <f>IF('Daily Sale entry '!A19="","",'Daily Sale entry '!A19)</f>
        <v/>
      </c>
      <c r="B20" s="6">
        <f>IF($A20="","",'Daily Sale entry '!F19)</f>
        <v/>
      </c>
      <c r="C20">
        <f t="array" ref="C20">IF($A20="","",_xlfn.TEXTJOIN(", ",TRUE,IF(('Daily Sale entry '!$X$2:$X$1501=$A20)*('Daily Sale entry '!$Z$2:$Z$1501="Online collection 网上收款"),'Daily Sale entry '!$AA$2:$AA$1501,"")))</f>
        <v/>
      </c>
      <c r="D20" s="6">
        <f>IF($A20="","",ROUND(SUMIFS('Daily Sale entry '!$AC$2:$AC$1501,'Daily Sale entry '!$X$2:$X$1501,$A20,'Daily Sale entry '!$Z$2:$Z$1501,"Online collection 网上收款")-'Opening Balance'!$B$15*SUMPRODUCT(('Daily Sale entry '!$X$2:$X$1501=$A20)*('Daily Sale entry '!$Z$2:$Z$1501="Online collection 网上收款")*('Daily Sale entry '!$AA$2:$AA$1501&lt;&gt;"")*('Daily Sale entry '!$AC$2:$AC$1501-TRUNC('Daily Sale entry '!$AC$2:$AC$1501))),2))</f>
        <v/>
      </c>
      <c r="E20" s="6">
        <f>IF($A20="","",ROUND('Sales &amp; Collection'!I248-'Sales &amp; Collection'!I247,2))</f>
        <v/>
      </c>
      <c r="F20" s="6">
        <f>IF($A20="","",'Sales &amp; Collection'!L240)</f>
        <v/>
      </c>
      <c r="H20" s="6">
        <f>IF($A20="","",K19)</f>
        <v/>
      </c>
      <c r="I20" s="6">
        <f>IF($A20="","",ROUND(B20+D20+E20,2))</f>
        <v/>
      </c>
      <c r="J20" s="6">
        <f>IF($A20="","",F20)</f>
        <v/>
      </c>
      <c r="K20" s="6">
        <f>IF($A20="","",ROUND(H20+I20-J20,2))</f>
        <v/>
      </c>
    </row>
    <row r="21">
      <c r="A21" s="5">
        <f>IF('Daily Sale entry '!A20="","",'Daily Sale entry '!A20)</f>
        <v/>
      </c>
      <c r="B21" s="6">
        <f>IF($A21="","",'Daily Sale entry '!F20)</f>
        <v/>
      </c>
      <c r="C21">
        <f t="array" ref="C21">IF($A21="","",_xlfn.TEXTJOIN(", ",TRUE,IF(('Daily Sale entry '!$X$2:$X$1501=$A21)*('Daily Sale entry '!$Z$2:$Z$1501="Online collection 网上收款"),'Daily Sale entry '!$AA$2:$AA$1501,"")))</f>
        <v/>
      </c>
      <c r="D21" s="6">
        <f>IF($A21="","",ROUND(SUMIFS('Daily Sale entry '!$AC$2:$AC$1501,'Daily Sale entry '!$X$2:$X$1501,$A21,'Daily Sale entry '!$Z$2:$Z$1501,"Online collection 网上收款")-'Opening Balance'!$B$15*SUMPRODUCT(('Daily Sale entry '!$X$2:$X$1501=$A21)*('Daily Sale entry '!$Z$2:$Z$1501="Online collection 网上收款")*('Daily Sale entry '!$AA$2:$AA$1501&lt;&gt;"")*('Daily Sale entry '!$AC$2:$AC$1501-TRUNC('Daily Sale entry '!$AC$2:$AC$1501))),2))</f>
        <v/>
      </c>
      <c r="E21" s="6">
        <f>IF($A21="","",ROUND('Sales &amp; Collection'!I262-'Sales &amp; Collection'!I261,2))</f>
        <v/>
      </c>
      <c r="F21" s="6">
        <f>IF($A21="","",'Sales &amp; Collection'!L254)</f>
        <v/>
      </c>
      <c r="H21" s="6">
        <f>IF($A21="","",K20)</f>
        <v/>
      </c>
      <c r="I21" s="6">
        <f>IF($A21="","",ROUND(B21+D21+E21,2))</f>
        <v/>
      </c>
      <c r="J21" s="6">
        <f>IF($A21="","",F21)</f>
        <v/>
      </c>
      <c r="K21" s="6">
        <f>IF($A21="","",ROUND(H21+I21-J21,2))</f>
        <v/>
      </c>
    </row>
    <row r="22">
      <c r="A22" s="5">
        <f>IF('Daily Sale entry '!A21="","",'Daily Sale entry '!A21)</f>
        <v/>
      </c>
      <c r="B22" s="6">
        <f>IF($A22="","",'Daily Sale entry '!F21)</f>
        <v/>
      </c>
      <c r="C22">
        <f t="array" ref="C22">IF($A22="","",_xlfn.TEXTJOIN(", ",TRUE,IF(('Daily Sale entry '!$X$2:$X$1501=$A22)*('Daily Sale entry '!$Z$2:$Z$1501="Online collection 网上收款"),'Daily Sale entry '!$AA$2:$AA$1501,"")))</f>
        <v/>
      </c>
      <c r="D22" s="6">
        <f>IF($A22="","",ROUND(SUMIFS('Daily Sale entry '!$AC$2:$AC$1501,'Daily Sale entry '!$X$2:$X$1501,$A22,'Daily Sale entry '!$Z$2:$Z$1501,"Online collection 网上收款")-'Opening Balance'!$B$15*SUMPRODUCT(('Daily Sale entry '!$X$2:$X$1501=$A22)*('Daily Sale entry '!$Z$2:$Z$1501="Online collection 网上收款")*('Daily Sale entry '!$AA$2:$AA$1501&lt;&gt;"")*('Daily Sale entry '!$AC$2:$AC$1501-TRUNC('Daily Sale entry '!$AC$2:$AC$1501))),2))</f>
        <v/>
      </c>
      <c r="E22" s="6">
        <f>IF($A22="","",ROUND('Sales &amp; Collection'!I276-'Sales &amp; Collection'!I275,2))</f>
        <v/>
      </c>
      <c r="F22" s="6">
        <f>IF($A22="","",'Sales &amp; Collection'!L268)</f>
        <v/>
      </c>
      <c r="H22" s="6">
        <f>IF($A22="","",K21)</f>
        <v/>
      </c>
      <c r="I22" s="6">
        <f>IF($A22="","",ROUND(B22+D22+E22,2))</f>
        <v/>
      </c>
      <c r="J22" s="6">
        <f>IF($A22="","",F22)</f>
        <v/>
      </c>
      <c r="K22" s="6">
        <f>IF($A22="","",ROUND(H22+I22-J22,2))</f>
        <v/>
      </c>
    </row>
    <row r="23">
      <c r="A23" s="5">
        <f>IF('Daily Sale entry '!A22="","",'Daily Sale entry '!A22)</f>
        <v/>
      </c>
      <c r="B23" s="6">
        <f>IF($A23="","",'Daily Sale entry '!F22)</f>
        <v/>
      </c>
      <c r="C23">
        <f t="array" ref="C23">IF($A23="","",_xlfn.TEXTJOIN(", ",TRUE,IF(('Daily Sale entry '!$X$2:$X$1501=$A23)*('Daily Sale entry '!$Z$2:$Z$1501="Online collection 网上收款"),'Daily Sale entry '!$AA$2:$AA$1501,"")))</f>
        <v/>
      </c>
      <c r="D23" s="6">
        <f>IF($A23="","",ROUND(SUMIFS('Daily Sale entry '!$AC$2:$AC$1501,'Daily Sale entry '!$X$2:$X$1501,$A23,'Daily Sale entry '!$Z$2:$Z$1501,"Online collection 网上收款")-'Opening Balance'!$B$15*SUMPRODUCT(('Daily Sale entry '!$X$2:$X$1501=$A23)*('Daily Sale entry '!$Z$2:$Z$1501="Online collection 网上收款")*('Daily Sale entry '!$AA$2:$AA$1501&lt;&gt;"")*('Daily Sale entry '!$AC$2:$AC$1501-TRUNC('Daily Sale entry '!$AC$2:$AC$1501))),2))</f>
        <v/>
      </c>
      <c r="E23" s="6">
        <f>IF($A23="","",ROUND('Sales &amp; Collection'!I290-'Sales &amp; Collection'!I289,2))</f>
        <v/>
      </c>
      <c r="F23" s="6">
        <f>IF($A23="","",'Sales &amp; Collection'!L282)</f>
        <v/>
      </c>
      <c r="H23" s="6">
        <f>IF($A23="","",K22)</f>
        <v/>
      </c>
      <c r="I23" s="6">
        <f>IF($A23="","",ROUND(B23+D23+E23,2))</f>
        <v/>
      </c>
      <c r="J23" s="6">
        <f>IF($A23="","",F23)</f>
        <v/>
      </c>
      <c r="K23" s="6">
        <f>IF($A23="","",ROUND(H23+I23-J23,2))</f>
        <v/>
      </c>
    </row>
    <row r="24">
      <c r="A24" s="5">
        <f>IF('Daily Sale entry '!A23="","",'Daily Sale entry '!A23)</f>
        <v/>
      </c>
      <c r="B24" s="6">
        <f>IF($A24="","",'Daily Sale entry '!F23)</f>
        <v/>
      </c>
      <c r="C24">
        <f t="array" ref="C24">IF($A24="","",_xlfn.TEXTJOIN(", ",TRUE,IF(('Daily Sale entry '!$X$2:$X$1501=$A24)*('Daily Sale entry '!$Z$2:$Z$1501="Online collection 网上收款"),'Daily Sale entry '!$AA$2:$AA$1501,"")))</f>
        <v/>
      </c>
      <c r="D24" s="6">
        <f>IF($A24="","",ROUND(SUMIFS('Daily Sale entry '!$AC$2:$AC$1501,'Daily Sale entry '!$X$2:$X$1501,$A24,'Daily Sale entry '!$Z$2:$Z$1501,"Online collection 网上收款")-'Opening Balance'!$B$15*SUMPRODUCT(('Daily Sale entry '!$X$2:$X$1501=$A24)*('Daily Sale entry '!$Z$2:$Z$1501="Online collection 网上收款")*('Daily Sale entry '!$AA$2:$AA$1501&lt;&gt;"")*('Daily Sale entry '!$AC$2:$AC$1501-TRUNC('Daily Sale entry '!$AC$2:$AC$1501))),2))</f>
        <v/>
      </c>
      <c r="E24" s="6">
        <f>IF($A24="","",ROUND('Sales &amp; Collection'!I304-'Sales &amp; Collection'!I303,2))</f>
        <v/>
      </c>
      <c r="F24" s="6">
        <f>IF($A24="","",'Sales &amp; Collection'!L296)</f>
        <v/>
      </c>
      <c r="H24" s="6">
        <f>IF($A24="","",K23)</f>
        <v/>
      </c>
      <c r="I24" s="6">
        <f>IF($A24="","",ROUND(B24+D24+E24,2))</f>
        <v/>
      </c>
      <c r="J24" s="6">
        <f>IF($A24="","",F24)</f>
        <v/>
      </c>
      <c r="K24" s="6">
        <f>IF($A24="","",ROUND(H24+I24-J24,2))</f>
        <v/>
      </c>
    </row>
    <row r="25">
      <c r="A25" s="5">
        <f>IF('Daily Sale entry '!A24="","",'Daily Sale entry '!A24)</f>
        <v/>
      </c>
      <c r="B25" s="6">
        <f>IF($A25="","",'Daily Sale entry '!F24)</f>
        <v/>
      </c>
      <c r="C25">
        <f t="array" ref="C25">IF($A25="","",_xlfn.TEXTJOIN(", ",TRUE,IF(('Daily Sale entry '!$X$2:$X$1501=$A25)*('Daily Sale entry '!$Z$2:$Z$1501="Online collection 网上收款"),'Daily Sale entry '!$AA$2:$AA$1501,"")))</f>
        <v/>
      </c>
      <c r="D25" s="6">
        <f>IF($A25="","",ROUND(SUMIFS('Daily Sale entry '!$AC$2:$AC$1501,'Daily Sale entry '!$X$2:$X$1501,$A25,'Daily Sale entry '!$Z$2:$Z$1501,"Online collection 网上收款")-'Opening Balance'!$B$15*SUMPRODUCT(('Daily Sale entry '!$X$2:$X$1501=$A25)*('Daily Sale entry '!$Z$2:$Z$1501="Online collection 网上收款")*('Daily Sale entry '!$AA$2:$AA$1501&lt;&gt;"")*('Daily Sale entry '!$AC$2:$AC$1501-TRUNC('Daily Sale entry '!$AC$2:$AC$1501))),2))</f>
        <v/>
      </c>
      <c r="E25" s="6">
        <f>IF($A25="","",ROUND('Sales &amp; Collection'!I318-'Sales &amp; Collection'!I317,2))</f>
        <v/>
      </c>
      <c r="F25" s="6">
        <f>IF($A25="","",'Sales &amp; Collection'!L310)</f>
        <v/>
      </c>
      <c r="H25" s="6">
        <f>IF($A25="","",K24)</f>
        <v/>
      </c>
      <c r="I25" s="6">
        <f>IF($A25="","",ROUND(B25+D25+E25,2))</f>
        <v/>
      </c>
      <c r="J25" s="6">
        <f>IF($A25="","",F25)</f>
        <v/>
      </c>
      <c r="K25" s="6">
        <f>IF($A25="","",ROUND(H25+I25-J25,2))</f>
        <v/>
      </c>
    </row>
    <row r="26">
      <c r="A26" s="5">
        <f>IF('Daily Sale entry '!A25="","",'Daily Sale entry '!A25)</f>
        <v/>
      </c>
      <c r="B26" s="6">
        <f>IF($A26="","",'Daily Sale entry '!F25)</f>
        <v/>
      </c>
      <c r="C26">
        <f t="array" ref="C26">IF($A26="","",_xlfn.TEXTJOIN(", ",TRUE,IF(('Daily Sale entry '!$X$2:$X$1501=$A26)*('Daily Sale entry '!$Z$2:$Z$1501="Online collection 网上收款"),'Daily Sale entry '!$AA$2:$AA$1501,"")))</f>
        <v/>
      </c>
      <c r="D26" s="6">
        <f>IF($A26="","",ROUND(SUMIFS('Daily Sale entry '!$AC$2:$AC$1501,'Daily Sale entry '!$X$2:$X$1501,$A26,'Daily Sale entry '!$Z$2:$Z$1501,"Online collection 网上收款")-'Opening Balance'!$B$15*SUMPRODUCT(('Daily Sale entry '!$X$2:$X$1501=$A26)*('Daily Sale entry '!$Z$2:$Z$1501="Online collection 网上收款")*('Daily Sale entry '!$AA$2:$AA$1501&lt;&gt;"")*('Daily Sale entry '!$AC$2:$AC$1501-TRUNC('Daily Sale entry '!$AC$2:$AC$1501))),2))</f>
        <v/>
      </c>
      <c r="E26" s="6">
        <f>IF($A26="","",ROUND('Sales &amp; Collection'!I332-'Sales &amp; Collection'!I331,2))</f>
        <v/>
      </c>
      <c r="F26" s="6">
        <f>IF($A26="","",'Sales &amp; Collection'!L324)</f>
        <v/>
      </c>
      <c r="H26" s="6">
        <f>IF($A26="","",K25)</f>
        <v/>
      </c>
      <c r="I26" s="6">
        <f>IF($A26="","",ROUND(B26+D26+E26,2))</f>
        <v/>
      </c>
      <c r="J26" s="6">
        <f>IF($A26="","",F26)</f>
        <v/>
      </c>
      <c r="K26" s="6">
        <f>IF($A26="","",ROUND(H26+I26-J26,2))</f>
        <v/>
      </c>
    </row>
    <row r="27">
      <c r="A27" s="5">
        <f>IF('Daily Sale entry '!A26="","",'Daily Sale entry '!A26)</f>
        <v/>
      </c>
      <c r="B27" s="6">
        <f>IF($A27="","",'Daily Sale entry '!F26)</f>
        <v/>
      </c>
      <c r="C27">
        <f t="array" ref="C27">IF($A27="","",_xlfn.TEXTJOIN(", ",TRUE,IF(('Daily Sale entry '!$X$2:$X$1501=$A27)*('Daily Sale entry '!$Z$2:$Z$1501="Online collection 网上收款"),'Daily Sale entry '!$AA$2:$AA$1501,"")))</f>
        <v/>
      </c>
      <c r="D27" s="6">
        <f>IF($A27="","",ROUND(SUMIFS('Daily Sale entry '!$AC$2:$AC$1501,'Daily Sale entry '!$X$2:$X$1501,$A27,'Daily Sale entry '!$Z$2:$Z$1501,"Online collection 网上收款")-'Opening Balance'!$B$15*SUMPRODUCT(('Daily Sale entry '!$X$2:$X$1501=$A27)*('Daily Sale entry '!$Z$2:$Z$1501="Online collection 网上收款")*('Daily Sale entry '!$AA$2:$AA$1501&lt;&gt;"")*('Daily Sale entry '!$AC$2:$AC$1501-TRUNC('Daily Sale entry '!$AC$2:$AC$1501))),2))</f>
        <v/>
      </c>
      <c r="E27" s="6">
        <f>IF($A27="","",ROUND('Sales &amp; Collection'!I346-'Sales &amp; Collection'!I345,2))</f>
        <v/>
      </c>
      <c r="F27" s="6">
        <f>IF($A27="","",'Sales &amp; Collection'!L338)</f>
        <v/>
      </c>
      <c r="H27" s="6">
        <f>IF($A27="","",K26)</f>
        <v/>
      </c>
      <c r="I27" s="6">
        <f>IF($A27="","",ROUND(B27+D27+E27,2))</f>
        <v/>
      </c>
      <c r="J27" s="6">
        <f>IF($A27="","",F27)</f>
        <v/>
      </c>
      <c r="K27" s="6">
        <f>IF($A27="","",ROUND(H27+I27-J27,2))</f>
        <v/>
      </c>
    </row>
    <row r="28">
      <c r="A28" s="5">
        <f>IF('Daily Sale entry '!A27="","",'Daily Sale entry '!A27)</f>
        <v/>
      </c>
      <c r="B28" s="6">
        <f>IF($A28="","",'Daily Sale entry '!F27)</f>
        <v/>
      </c>
      <c r="C28">
        <f t="array" ref="C28">IF($A28="","",_xlfn.TEXTJOIN(", ",TRUE,IF(('Daily Sale entry '!$X$2:$X$1501=$A28)*('Daily Sale entry '!$Z$2:$Z$1501="Online collection 网上收款"),'Daily Sale entry '!$AA$2:$AA$1501,"")))</f>
        <v/>
      </c>
      <c r="D28" s="6">
        <f>IF($A28="","",ROUND(SUMIFS('Daily Sale entry '!$AC$2:$AC$1501,'Daily Sale entry '!$X$2:$X$1501,$A28,'Daily Sale entry '!$Z$2:$Z$1501,"Online collection 网上收款")-'Opening Balance'!$B$15*SUMPRODUCT(('Daily Sale entry '!$X$2:$X$1501=$A28)*('Daily Sale entry '!$Z$2:$Z$1501="Online collection 网上收款")*('Daily Sale entry '!$AA$2:$AA$1501&lt;&gt;"")*('Daily Sale entry '!$AC$2:$AC$1501-TRUNC('Daily Sale entry '!$AC$2:$AC$1501))),2))</f>
        <v/>
      </c>
      <c r="E28" s="6">
        <f>IF($A28="","",ROUND('Sales &amp; Collection'!I360-'Sales &amp; Collection'!I359,2))</f>
        <v/>
      </c>
      <c r="F28" s="6">
        <f>IF($A28="","",'Sales &amp; Collection'!L352)</f>
        <v/>
      </c>
      <c r="H28" s="6">
        <f>IF($A28="","",K27)</f>
        <v/>
      </c>
      <c r="I28" s="6">
        <f>IF($A28="","",ROUND(B28+D28+E28,2))</f>
        <v/>
      </c>
      <c r="J28" s="6">
        <f>IF($A28="","",F28)</f>
        <v/>
      </c>
      <c r="K28" s="6">
        <f>IF($A28="","",ROUND(H28+I28-J28,2))</f>
        <v/>
      </c>
    </row>
    <row r="29">
      <c r="A29" s="5">
        <f>IF('Daily Sale entry '!A28="","",'Daily Sale entry '!A28)</f>
        <v/>
      </c>
      <c r="B29" s="6">
        <f>IF($A29="","",'Daily Sale entry '!F28)</f>
        <v/>
      </c>
      <c r="C29">
        <f t="array" ref="C29">IF($A29="","",_xlfn.TEXTJOIN(", ",TRUE,IF(('Daily Sale entry '!$X$2:$X$1501=$A29)*('Daily Sale entry '!$Z$2:$Z$1501="Online collection 网上收款"),'Daily Sale entry '!$AA$2:$AA$1501,"")))</f>
        <v/>
      </c>
      <c r="D29" s="6">
        <f>IF($A29="","",ROUND(SUMIFS('Daily Sale entry '!$AC$2:$AC$1501,'Daily Sale entry '!$X$2:$X$1501,$A29,'Daily Sale entry '!$Z$2:$Z$1501,"Online collection 网上收款")-'Opening Balance'!$B$15*SUMPRODUCT(('Daily Sale entry '!$X$2:$X$1501=$A29)*('Daily Sale entry '!$Z$2:$Z$1501="Online collection 网上收款")*('Daily Sale entry '!$AA$2:$AA$1501&lt;&gt;"")*('Daily Sale entry '!$AC$2:$AC$1501-TRUNC('Daily Sale entry '!$AC$2:$AC$1501))),2))</f>
        <v/>
      </c>
      <c r="E29" s="6">
        <f>IF($A29="","",ROUND('Sales &amp; Collection'!I374-'Sales &amp; Collection'!I373,2))</f>
        <v/>
      </c>
      <c r="F29" s="6">
        <f>IF($A29="","",'Sales &amp; Collection'!L366)</f>
        <v/>
      </c>
      <c r="H29" s="6">
        <f>IF($A29="","",K28)</f>
        <v/>
      </c>
      <c r="I29" s="6">
        <f>IF($A29="","",ROUND(B29+D29+E29,2))</f>
        <v/>
      </c>
      <c r="J29" s="6">
        <f>IF($A29="","",F29)</f>
        <v/>
      </c>
      <c r="K29" s="6">
        <f>IF($A29="","",ROUND(H29+I29-J29,2))</f>
        <v/>
      </c>
    </row>
    <row r="30">
      <c r="A30" s="5">
        <f>IF('Daily Sale entry '!A29="","",'Daily Sale entry '!A29)</f>
        <v/>
      </c>
      <c r="B30" s="6">
        <f>IF($A30="","",'Daily Sale entry '!F29)</f>
        <v/>
      </c>
      <c r="C30">
        <f t="array" ref="C30">IF($A30="","",_xlfn.TEXTJOIN(", ",TRUE,IF(('Daily Sale entry '!$X$2:$X$1501=$A30)*('Daily Sale entry '!$Z$2:$Z$1501="Online collection 网上收款"),'Daily Sale entry '!$AA$2:$AA$1501,"")))</f>
        <v/>
      </c>
      <c r="D30" s="6">
        <f>IF($A30="","",ROUND(SUMIFS('Daily Sale entry '!$AC$2:$AC$1501,'Daily Sale entry '!$X$2:$X$1501,$A30,'Daily Sale entry '!$Z$2:$Z$1501,"Online collection 网上收款")-'Opening Balance'!$B$15*SUMPRODUCT(('Daily Sale entry '!$X$2:$X$1501=$A30)*('Daily Sale entry '!$Z$2:$Z$1501="Online collection 网上收款")*('Daily Sale entry '!$AA$2:$AA$1501&lt;&gt;"")*('Daily Sale entry '!$AC$2:$AC$1501-TRUNC('Daily Sale entry '!$AC$2:$AC$1501))),2))</f>
        <v/>
      </c>
      <c r="E30" s="6">
        <f>IF($A30="","",ROUND('Sales &amp; Collection'!I388-'Sales &amp; Collection'!I387,2))</f>
        <v/>
      </c>
      <c r="F30" s="6">
        <f>IF($A30="","",'Sales &amp; Collection'!L380)</f>
        <v/>
      </c>
      <c r="H30" s="6">
        <f>IF($A30="","",K29)</f>
        <v/>
      </c>
      <c r="I30" s="6">
        <f>IF($A30="","",ROUND(B30+D30+E30,2))</f>
        <v/>
      </c>
      <c r="J30" s="6">
        <f>IF($A30="","",F30)</f>
        <v/>
      </c>
      <c r="K30" s="6">
        <f>IF($A30="","",ROUND(H30+I30-J30,2))</f>
        <v/>
      </c>
    </row>
    <row r="31">
      <c r="A31" s="5">
        <f>IF('Daily Sale entry '!A30="","",'Daily Sale entry '!A30)</f>
        <v/>
      </c>
      <c r="B31" s="6">
        <f>IF($A31="","",'Daily Sale entry '!F30)</f>
        <v/>
      </c>
      <c r="C31">
        <f t="array" ref="C31">IF($A31="","",_xlfn.TEXTJOIN(", ",TRUE,IF(('Daily Sale entry '!$X$2:$X$1501=$A31)*('Daily Sale entry '!$Z$2:$Z$1501="Online collection 网上收款"),'Daily Sale entry '!$AA$2:$AA$1501,"")))</f>
        <v/>
      </c>
      <c r="D31" s="6">
        <f>IF($A31="","",ROUND(SUMIFS('Daily Sale entry '!$AC$2:$AC$1501,'Daily Sale entry '!$X$2:$X$1501,$A31,'Daily Sale entry '!$Z$2:$Z$1501,"Online collection 网上收款")-'Opening Balance'!$B$15*SUMPRODUCT(('Daily Sale entry '!$X$2:$X$1501=$A31)*('Daily Sale entry '!$Z$2:$Z$1501="Online collection 网上收款")*('Daily Sale entry '!$AA$2:$AA$1501&lt;&gt;"")*('Daily Sale entry '!$AC$2:$AC$1501-TRUNC('Daily Sale entry '!$AC$2:$AC$1501))),2))</f>
        <v/>
      </c>
      <c r="E31" s="6">
        <f>IF($A31="","",ROUND('Sales &amp; Collection'!I402-'Sales &amp; Collection'!I401,2))</f>
        <v/>
      </c>
      <c r="F31" s="6">
        <f>IF($A31="","",'Sales &amp; Collection'!L394)</f>
        <v/>
      </c>
      <c r="H31" s="6">
        <f>IF($A31="","",K30)</f>
        <v/>
      </c>
      <c r="I31" s="6">
        <f>IF($A31="","",ROUND(B31+D31+E31,2))</f>
        <v/>
      </c>
      <c r="J31" s="6">
        <f>IF($A31="","",F31)</f>
        <v/>
      </c>
      <c r="K31" s="6">
        <f>IF($A31="","",ROUND(H31+I31-J31,2))</f>
        <v/>
      </c>
    </row>
    <row r="32">
      <c r="A32" s="5">
        <f>IF('Daily Sale entry '!A31="","",'Daily Sale entry '!A31)</f>
        <v/>
      </c>
      <c r="B32" s="6">
        <f>IF($A32="","",'Daily Sale entry '!F31)</f>
        <v/>
      </c>
      <c r="C32">
        <f t="array" ref="C32">IF($A32="","",_xlfn.TEXTJOIN(", ",TRUE,IF(('Daily Sale entry '!$X$2:$X$1501=$A32)*('Daily Sale entry '!$Z$2:$Z$1501="Online collection 网上收款"),'Daily Sale entry '!$AA$2:$AA$1501,"")))</f>
        <v/>
      </c>
      <c r="D32" s="6">
        <f>IF($A32="","",ROUND(SUMIFS('Daily Sale entry '!$AC$2:$AC$1501,'Daily Sale entry '!$X$2:$X$1501,$A32,'Daily Sale entry '!$Z$2:$Z$1501,"Online collection 网上收款")-'Opening Balance'!$B$15*SUMPRODUCT(('Daily Sale entry '!$X$2:$X$1501=$A32)*('Daily Sale entry '!$Z$2:$Z$1501="Online collection 网上收款")*('Daily Sale entry '!$AA$2:$AA$1501&lt;&gt;"")*('Daily Sale entry '!$AC$2:$AC$1501-TRUNC('Daily Sale entry '!$AC$2:$AC$1501))),2))</f>
        <v/>
      </c>
      <c r="E32" s="6">
        <f>IF($A32="","",ROUND('Sales &amp; Collection'!I416-'Sales &amp; Collection'!I415,2))</f>
        <v/>
      </c>
      <c r="F32" s="6">
        <f>IF($A32="","",'Sales &amp; Collection'!L408)</f>
        <v/>
      </c>
      <c r="H32" s="6">
        <f>IF($A32="","",K31)</f>
        <v/>
      </c>
      <c r="I32" s="6">
        <f>IF($A32="","",ROUND(B32+D32+E32,2))</f>
        <v/>
      </c>
      <c r="J32" s="6">
        <f>IF($A32="","",F32)</f>
        <v/>
      </c>
      <c r="K32" s="6">
        <f>IF($A32="","",ROUND(H32+I32-J32,2))</f>
        <v/>
      </c>
    </row>
    <row r="33">
      <c r="A33" s="5">
        <f>IF('Daily Sale entry '!A32="","",'Daily Sale entry '!A32)</f>
        <v/>
      </c>
      <c r="B33" s="6">
        <f>IF($A33="","",'Daily Sale entry '!F32)</f>
        <v/>
      </c>
      <c r="C33">
        <f t="array" ref="C33">IF($A33="","",_xlfn.TEXTJOIN(", ",TRUE,IF(('Daily Sale entry '!$X$2:$X$1501=$A33)*('Daily Sale entry '!$Z$2:$Z$1501="Online collection 网上收款"),'Daily Sale entry '!$AA$2:$AA$1501,"")))</f>
        <v/>
      </c>
      <c r="D33" s="6">
        <f>IF($A33="","",ROUND(SUMIFS('Daily Sale entry '!$AC$2:$AC$1501,'Daily Sale entry '!$X$2:$X$1501,$A33,'Daily Sale entry '!$Z$2:$Z$1501,"Online collection 网上收款")-'Opening Balance'!$B$15*SUMPRODUCT(('Daily Sale entry '!$X$2:$X$1501=$A33)*('Daily Sale entry '!$Z$2:$Z$1501="Online collection 网上收款")*('Daily Sale entry '!$AA$2:$AA$1501&lt;&gt;"")*('Daily Sale entry '!$AC$2:$AC$1501-TRUNC('Daily Sale entry '!$AC$2:$AC$1501))),2))</f>
        <v/>
      </c>
      <c r="E33" s="6">
        <f>IF($A33="","",ROUND('Sales &amp; Collection'!I430-'Sales &amp; Collection'!I429,2))</f>
        <v/>
      </c>
      <c r="F33" s="6">
        <f>IF($A33="","",'Sales &amp; Collection'!L422)</f>
        <v/>
      </c>
      <c r="H33" s="6">
        <f>IF($A33="","",K32)</f>
        <v/>
      </c>
      <c r="I33" s="6">
        <f>IF($A33="","",ROUND(B33+D33+E33,2))</f>
        <v/>
      </c>
      <c r="J33" s="6">
        <f>IF($A33="","",F33)</f>
        <v/>
      </c>
      <c r="K33" s="6">
        <f>IF($A33="","",ROUND(H33+I33-J33,2))</f>
        <v/>
      </c>
    </row>
    <row r="34">
      <c r="A34" s="5">
        <f>IF('Daily Sale entry '!A33="","",'Daily Sale entry '!A33)</f>
        <v/>
      </c>
      <c r="B34" s="6">
        <f>IF($A34="","",'Daily Sale entry '!F33)</f>
        <v/>
      </c>
      <c r="C34">
        <f t="array" ref="C34">IF($A34="","",_xlfn.TEXTJOIN(", ",TRUE,IF(('Daily Sale entry '!$X$2:$X$1501=$A34)*('Daily Sale entry '!$Z$2:$Z$1501="Online collection 网上收款"),'Daily Sale entry '!$AA$2:$AA$1501,"")))</f>
        <v/>
      </c>
      <c r="D34" s="6">
        <f>IF($A34="","",ROUND(SUMIFS('Daily Sale entry '!$AC$2:$AC$1501,'Daily Sale entry '!$X$2:$X$1501,$A34,'Daily Sale entry '!$Z$2:$Z$1501,"Online collection 网上收款")-'Opening Balance'!$B$15*SUMPRODUCT(('Daily Sale entry '!$X$2:$X$1501=$A34)*('Daily Sale entry '!$Z$2:$Z$1501="Online collection 网上收款")*('Daily Sale entry '!$AA$2:$AA$1501&lt;&gt;"")*('Daily Sale entry '!$AC$2:$AC$1501-TRUNC('Daily Sale entry '!$AC$2:$AC$1501))),2))</f>
        <v/>
      </c>
      <c r="E34" s="6">
        <f>IF($A34="","",ROUND('Sales &amp; Collection'!I444-'Sales &amp; Collection'!I443,2))</f>
        <v/>
      </c>
      <c r="F34" s="6">
        <f>IF($A34="","",'Sales &amp; Collection'!L436)</f>
        <v/>
      </c>
      <c r="H34" s="6">
        <f>IF($A34="","",K33)</f>
        <v/>
      </c>
      <c r="I34" s="6">
        <f>IF($A34="","",ROUND(B34+D34+E34,2))</f>
        <v/>
      </c>
      <c r="J34" s="6">
        <f>IF($A34="","",F34)</f>
        <v/>
      </c>
      <c r="K34" s="6">
        <f>IF($A34="","",ROUND(H34+I34-J34,2))</f>
        <v/>
      </c>
    </row>
    <row r="35">
      <c r="A35" s="5">
        <f>IF('Daily Sale entry '!A34="","",'Daily Sale entry '!A34)</f>
        <v/>
      </c>
      <c r="B35" s="6">
        <f>IF($A35="","",'Daily Sale entry '!F34)</f>
        <v/>
      </c>
      <c r="C35">
        <f t="array" ref="C35">IF($A35="","",_xlfn.TEXTJOIN(", ",TRUE,IF(('Daily Sale entry '!$X$2:$X$1501=$A35)*('Daily Sale entry '!$Z$2:$Z$1501="Online collection 网上收款"),'Daily Sale entry '!$AA$2:$AA$1501,"")))</f>
        <v/>
      </c>
      <c r="D35" s="6">
        <f>IF($A35="","",ROUND(SUMIFS('Daily Sale entry '!$AC$2:$AC$1501,'Daily Sale entry '!$X$2:$X$1501,$A35,'Daily Sale entry '!$Z$2:$Z$1501,"Online collection 网上收款")-'Opening Balance'!$B$15*SUMPRODUCT(('Daily Sale entry '!$X$2:$X$1501=$A35)*('Daily Sale entry '!$Z$2:$Z$1501="Online collection 网上收款")*('Daily Sale entry '!$AA$2:$AA$1501&lt;&gt;"")*('Daily Sale entry '!$AC$2:$AC$1501-TRUNC('Daily Sale entry '!$AC$2:$AC$1501))),2))</f>
        <v/>
      </c>
      <c r="E35" s="6">
        <f>IF($A35="","",ROUND('Sales &amp; Collection'!I458-'Sales &amp; Collection'!I457,2))</f>
        <v/>
      </c>
      <c r="F35" s="6">
        <f>IF($A35="","",'Sales &amp; Collection'!L450)</f>
        <v/>
      </c>
      <c r="H35" s="6">
        <f>IF($A35="","",K34)</f>
        <v/>
      </c>
      <c r="I35" s="6">
        <f>IF($A35="","",ROUND(B35+D35+E35,2))</f>
        <v/>
      </c>
      <c r="J35" s="6">
        <f>IF($A35="","",F35)</f>
        <v/>
      </c>
      <c r="K35" s="6">
        <f>IF($A35="","",ROUND(H35+I35-J35,2))</f>
        <v/>
      </c>
    </row>
    <row r="36">
      <c r="A36" s="5">
        <f>IF('Daily Sale entry '!A35="","",'Daily Sale entry '!A35)</f>
        <v/>
      </c>
      <c r="B36" s="6">
        <f>IF($A36="","",'Daily Sale entry '!F35)</f>
        <v/>
      </c>
      <c r="C36">
        <f t="array" ref="C36">IF($A36="","",_xlfn.TEXTJOIN(", ",TRUE,IF(('Daily Sale entry '!$X$2:$X$1501=$A36)*('Daily Sale entry '!$Z$2:$Z$1501="Online collection 网上收款"),'Daily Sale entry '!$AA$2:$AA$1501,"")))</f>
        <v/>
      </c>
      <c r="D36" s="6">
        <f>IF($A36="","",ROUND(SUMIFS('Daily Sale entry '!$AC$2:$AC$1501,'Daily Sale entry '!$X$2:$X$1501,$A36,'Daily Sale entry '!$Z$2:$Z$1501,"Online collection 网上收款")-'Opening Balance'!$B$15*SUMPRODUCT(('Daily Sale entry '!$X$2:$X$1501=$A36)*('Daily Sale entry '!$Z$2:$Z$1501="Online collection 网上收款")*('Daily Sale entry '!$AA$2:$AA$1501&lt;&gt;"")*('Daily Sale entry '!$AC$2:$AC$1501-TRUNC('Daily Sale entry '!$AC$2:$AC$1501))),2))</f>
        <v/>
      </c>
      <c r="E36" s="6">
        <f>IF($A36="","",ROUND('Sales &amp; Collection'!I472-'Sales &amp; Collection'!I471,2))</f>
        <v/>
      </c>
      <c r="F36" s="6">
        <f>IF($A36="","",'Sales &amp; Collection'!L464)</f>
        <v/>
      </c>
      <c r="H36" s="6">
        <f>IF($A36="","",K35)</f>
        <v/>
      </c>
      <c r="I36" s="6">
        <f>IF($A36="","",ROUND(B36+D36+E36,2))</f>
        <v/>
      </c>
      <c r="J36" s="6">
        <f>IF($A36="","",F36)</f>
        <v/>
      </c>
      <c r="K36" s="6">
        <f>IF($A36="","",ROUND(H36+I36-J36,2))</f>
        <v/>
      </c>
    </row>
    <row r="37">
      <c r="A37" s="5">
        <f>IF('Daily Sale entry '!A36="","",'Daily Sale entry '!A36)</f>
        <v/>
      </c>
      <c r="B37" s="6">
        <f>IF($A37="","",'Daily Sale entry '!F36)</f>
        <v/>
      </c>
      <c r="C37">
        <f t="array" ref="C37">IF($A37="","",_xlfn.TEXTJOIN(", ",TRUE,IF(('Daily Sale entry '!$X$2:$X$1501=$A37)*('Daily Sale entry '!$Z$2:$Z$1501="Online collection 网上收款"),'Daily Sale entry '!$AA$2:$AA$1501,"")))</f>
        <v/>
      </c>
      <c r="D37" s="6">
        <f>IF($A37="","",ROUND(SUMIFS('Daily Sale entry '!$AC$2:$AC$1501,'Daily Sale entry '!$X$2:$X$1501,$A37,'Daily Sale entry '!$Z$2:$Z$1501,"Online collection 网上收款")-'Opening Balance'!$B$15*SUMPRODUCT(('Daily Sale entry '!$X$2:$X$1501=$A37)*('Daily Sale entry '!$Z$2:$Z$1501="Online collection 网上收款")*('Daily Sale entry '!$AA$2:$AA$1501&lt;&gt;"")*('Daily Sale entry '!$AC$2:$AC$1501-TRUNC('Daily Sale entry '!$AC$2:$AC$1501))),2))</f>
        <v/>
      </c>
      <c r="E37" s="6">
        <f>IF($A37="","",ROUND('Sales &amp; Collection'!I486-'Sales &amp; Collection'!I485,2))</f>
        <v/>
      </c>
      <c r="F37" s="6">
        <f>IF($A37="","",'Sales &amp; Collection'!L478)</f>
        <v/>
      </c>
      <c r="H37" s="6">
        <f>IF($A37="","",K36)</f>
        <v/>
      </c>
      <c r="I37" s="6">
        <f>IF($A37="","",ROUND(B37+D37+E37,2))</f>
        <v/>
      </c>
      <c r="J37" s="6">
        <f>IF($A37="","",F37)</f>
        <v/>
      </c>
      <c r="K37" s="6">
        <f>IF($A37="","",ROUND(H37+I37-J37,2))</f>
        <v/>
      </c>
    </row>
    <row r="38">
      <c r="A38" s="5">
        <f>IF('Daily Sale entry '!A37="","",'Daily Sale entry '!A37)</f>
        <v/>
      </c>
      <c r="B38" s="6">
        <f>IF($A38="","",'Daily Sale entry '!F37)</f>
        <v/>
      </c>
      <c r="C38">
        <f t="array" ref="C38">IF($A38="","",_xlfn.TEXTJOIN(", ",TRUE,IF(('Daily Sale entry '!$X$2:$X$1501=$A38)*('Daily Sale entry '!$Z$2:$Z$1501="Online collection 网上收款"),'Daily Sale entry '!$AA$2:$AA$1501,"")))</f>
        <v/>
      </c>
      <c r="D38" s="6">
        <f>IF($A38="","",ROUND(SUMIFS('Daily Sale entry '!$AC$2:$AC$1501,'Daily Sale entry '!$X$2:$X$1501,$A38,'Daily Sale entry '!$Z$2:$Z$1501,"Online collection 网上收款")-'Opening Balance'!$B$15*SUMPRODUCT(('Daily Sale entry '!$X$2:$X$1501=$A38)*('Daily Sale entry '!$Z$2:$Z$1501="Online collection 网上收款")*('Daily Sale entry '!$AA$2:$AA$1501&lt;&gt;"")*('Daily Sale entry '!$AC$2:$AC$1501-TRUNC('Daily Sale entry '!$AC$2:$AC$1501))),2))</f>
        <v/>
      </c>
      <c r="E38" s="6">
        <f>IF($A38="","",ROUND('Sales &amp; Collection'!I500-'Sales &amp; Collection'!I499,2))</f>
        <v/>
      </c>
      <c r="F38" s="6">
        <f>IF($A38="","",'Sales &amp; Collection'!L492)</f>
        <v/>
      </c>
      <c r="H38" s="6">
        <f>IF($A38="","",K37)</f>
        <v/>
      </c>
      <c r="I38" s="6">
        <f>IF($A38="","",ROUND(B38+D38+E38,2))</f>
        <v/>
      </c>
      <c r="J38" s="6">
        <f>IF($A38="","",F38)</f>
        <v/>
      </c>
      <c r="K38" s="6">
        <f>IF($A38="","",ROUND(H38+I38-J38,2))</f>
        <v/>
      </c>
    </row>
    <row r="39">
      <c r="A39" s="5">
        <f>IF('Daily Sale entry '!A38="","",'Daily Sale entry '!A38)</f>
        <v/>
      </c>
      <c r="B39" s="6">
        <f>IF($A39="","",'Daily Sale entry '!F38)</f>
        <v/>
      </c>
      <c r="C39">
        <f t="array" ref="C39">IF($A39="","",_xlfn.TEXTJOIN(", ",TRUE,IF(('Daily Sale entry '!$X$2:$X$1501=$A39)*('Daily Sale entry '!$Z$2:$Z$1501="Online collection 网上收款"),'Daily Sale entry '!$AA$2:$AA$1501,"")))</f>
        <v/>
      </c>
      <c r="D39" s="6">
        <f>IF($A39="","",ROUND(SUMIFS('Daily Sale entry '!$AC$2:$AC$1501,'Daily Sale entry '!$X$2:$X$1501,$A39,'Daily Sale entry '!$Z$2:$Z$1501,"Online collection 网上收款")-'Opening Balance'!$B$15*SUMPRODUCT(('Daily Sale entry '!$X$2:$X$1501=$A39)*('Daily Sale entry '!$Z$2:$Z$1501="Online collection 网上收款")*('Daily Sale entry '!$AA$2:$AA$1501&lt;&gt;"")*('Daily Sale entry '!$AC$2:$AC$1501-TRUNC('Daily Sale entry '!$AC$2:$AC$1501))),2))</f>
        <v/>
      </c>
      <c r="E39" s="6">
        <f>IF($A39="","",ROUND('Sales &amp; Collection'!I514-'Sales &amp; Collection'!I513,2))</f>
        <v/>
      </c>
      <c r="F39" s="6">
        <f>IF($A39="","",'Sales &amp; Collection'!L506)</f>
        <v/>
      </c>
      <c r="H39" s="6">
        <f>IF($A39="","",K38)</f>
        <v/>
      </c>
      <c r="I39" s="6">
        <f>IF($A39="","",ROUND(B39+D39+E39,2))</f>
        <v/>
      </c>
      <c r="J39" s="6">
        <f>IF($A39="","",F39)</f>
        <v/>
      </c>
      <c r="K39" s="6">
        <f>IF($A39="","",ROUND(H39+I39-J39,2))</f>
        <v/>
      </c>
    </row>
    <row r="40">
      <c r="A40" s="5">
        <f>IF('Daily Sale entry '!A39="","",'Daily Sale entry '!A39)</f>
        <v/>
      </c>
      <c r="B40" s="6">
        <f>IF($A40="","",'Daily Sale entry '!F39)</f>
        <v/>
      </c>
      <c r="C40">
        <f t="array" ref="C40">IF($A40="","",_xlfn.TEXTJOIN(", ",TRUE,IF(('Daily Sale entry '!$X$2:$X$1501=$A40)*('Daily Sale entry '!$Z$2:$Z$1501="Online collection 网上收款"),'Daily Sale entry '!$AA$2:$AA$1501,"")))</f>
        <v/>
      </c>
      <c r="D40" s="6">
        <f>IF($A40="","",ROUND(SUMIFS('Daily Sale entry '!$AC$2:$AC$1501,'Daily Sale entry '!$X$2:$X$1501,$A40,'Daily Sale entry '!$Z$2:$Z$1501,"Online collection 网上收款")-'Opening Balance'!$B$15*SUMPRODUCT(('Daily Sale entry '!$X$2:$X$1501=$A40)*('Daily Sale entry '!$Z$2:$Z$1501="Online collection 网上收款")*('Daily Sale entry '!$AA$2:$AA$1501&lt;&gt;"")*('Daily Sale entry '!$AC$2:$AC$1501-TRUNC('Daily Sale entry '!$AC$2:$AC$1501))),2))</f>
        <v/>
      </c>
      <c r="E40" s="6">
        <f>IF($A40="","",ROUND('Sales &amp; Collection'!I528-'Sales &amp; Collection'!I527,2))</f>
        <v/>
      </c>
      <c r="F40" s="6">
        <f>IF($A40="","",'Sales &amp; Collection'!L520)</f>
        <v/>
      </c>
      <c r="H40" s="6">
        <f>IF($A40="","",K39)</f>
        <v/>
      </c>
      <c r="I40" s="6">
        <f>IF($A40="","",ROUND(B40+D40+E40,2))</f>
        <v/>
      </c>
      <c r="J40" s="6">
        <f>IF($A40="","",F40)</f>
        <v/>
      </c>
      <c r="K40" s="6">
        <f>IF($A40="","",ROUND(H40+I40-J40,2))</f>
        <v/>
      </c>
    </row>
    <row r="41">
      <c r="A41" s="5">
        <f>IF('Daily Sale entry '!A40="","",'Daily Sale entry '!A40)</f>
        <v/>
      </c>
      <c r="B41" s="6">
        <f>IF($A41="","",'Daily Sale entry '!F40)</f>
        <v/>
      </c>
      <c r="C41">
        <f t="array" ref="C41">IF($A41="","",_xlfn.TEXTJOIN(", ",TRUE,IF(('Daily Sale entry '!$X$2:$X$1501=$A41)*('Daily Sale entry '!$Z$2:$Z$1501="Online collection 网上收款"),'Daily Sale entry '!$AA$2:$AA$1501,"")))</f>
        <v/>
      </c>
      <c r="D41" s="6">
        <f>IF($A41="","",ROUND(SUMIFS('Daily Sale entry '!$AC$2:$AC$1501,'Daily Sale entry '!$X$2:$X$1501,$A41,'Daily Sale entry '!$Z$2:$Z$1501,"Online collection 网上收款")-'Opening Balance'!$B$15*SUMPRODUCT(('Daily Sale entry '!$X$2:$X$1501=$A41)*('Daily Sale entry '!$Z$2:$Z$1501="Online collection 网上收款")*('Daily Sale entry '!$AA$2:$AA$1501&lt;&gt;"")*('Daily Sale entry '!$AC$2:$AC$1501-TRUNC('Daily Sale entry '!$AC$2:$AC$1501))),2))</f>
        <v/>
      </c>
      <c r="E41" s="6">
        <f>IF($A41="","",ROUND('Sales &amp; Collection'!I542-'Sales &amp; Collection'!I541,2))</f>
        <v/>
      </c>
      <c r="F41" s="6">
        <f>IF($A41="","",'Sales &amp; Collection'!L534)</f>
        <v/>
      </c>
      <c r="H41" s="6">
        <f>IF($A41="","",K40)</f>
        <v/>
      </c>
      <c r="I41" s="6">
        <f>IF($A41="","",ROUND(B41+D41+E41,2))</f>
        <v/>
      </c>
      <c r="J41" s="6">
        <f>IF($A41="","",F41)</f>
        <v/>
      </c>
      <c r="K41" s="6">
        <f>IF($A41="","",ROUND(H41+I41-J41,2))</f>
        <v/>
      </c>
    </row>
    <row r="42">
      <c r="A42" s="5">
        <f>IF('Daily Sale entry '!A41="","",'Daily Sale entry '!A41)</f>
        <v/>
      </c>
      <c r="B42" s="6">
        <f>IF($A42="","",'Daily Sale entry '!F41)</f>
        <v/>
      </c>
      <c r="C42">
        <f t="array" ref="C42">IF($A42="","",_xlfn.TEXTJOIN(", ",TRUE,IF(('Daily Sale entry '!$X$2:$X$1501=$A42)*('Daily Sale entry '!$Z$2:$Z$1501="Online collection 网上收款"),'Daily Sale entry '!$AA$2:$AA$1501,"")))</f>
        <v/>
      </c>
      <c r="D42" s="6">
        <f>IF($A42="","",ROUND(SUMIFS('Daily Sale entry '!$AC$2:$AC$1501,'Daily Sale entry '!$X$2:$X$1501,$A42,'Daily Sale entry '!$Z$2:$Z$1501,"Online collection 网上收款")-'Opening Balance'!$B$15*SUMPRODUCT(('Daily Sale entry '!$X$2:$X$1501=$A42)*('Daily Sale entry '!$Z$2:$Z$1501="Online collection 网上收款")*('Daily Sale entry '!$AA$2:$AA$1501&lt;&gt;"")*('Daily Sale entry '!$AC$2:$AC$1501-TRUNC('Daily Sale entry '!$AC$2:$AC$1501))),2))</f>
        <v/>
      </c>
      <c r="E42" s="6">
        <f>IF($A42="","",ROUND('Sales &amp; Collection'!I556-'Sales &amp; Collection'!I555,2))</f>
        <v/>
      </c>
      <c r="F42" s="6">
        <f>IF($A42="","",'Sales &amp; Collection'!L548)</f>
        <v/>
      </c>
      <c r="H42" s="6">
        <f>IF($A42="","",K41)</f>
        <v/>
      </c>
      <c r="I42" s="6">
        <f>IF($A42="","",ROUND(B42+D42+E42,2))</f>
        <v/>
      </c>
      <c r="J42" s="6">
        <f>IF($A42="","",F42)</f>
        <v/>
      </c>
      <c r="K42" s="6">
        <f>IF($A42="","",ROUND(H42+I42-J42,2))</f>
        <v/>
      </c>
    </row>
    <row r="43">
      <c r="A43" s="5">
        <f>IF('Daily Sale entry '!A42="","",'Daily Sale entry '!A42)</f>
        <v/>
      </c>
      <c r="B43" s="6">
        <f>IF($A43="","",'Daily Sale entry '!F42)</f>
        <v/>
      </c>
      <c r="C43">
        <f t="array" ref="C43">IF($A43="","",_xlfn.TEXTJOIN(", ",TRUE,IF(('Daily Sale entry '!$X$2:$X$1501=$A43)*('Daily Sale entry '!$Z$2:$Z$1501="Online collection 网上收款"),'Daily Sale entry '!$AA$2:$AA$1501,"")))</f>
        <v/>
      </c>
      <c r="D43" s="6">
        <f>IF($A43="","",ROUND(SUMIFS('Daily Sale entry '!$AC$2:$AC$1501,'Daily Sale entry '!$X$2:$X$1501,$A43,'Daily Sale entry '!$Z$2:$Z$1501,"Online collection 网上收款")-'Opening Balance'!$B$15*SUMPRODUCT(('Daily Sale entry '!$X$2:$X$1501=$A43)*('Daily Sale entry '!$Z$2:$Z$1501="Online collection 网上收款")*('Daily Sale entry '!$AA$2:$AA$1501&lt;&gt;"")*('Daily Sale entry '!$AC$2:$AC$1501-TRUNC('Daily Sale entry '!$AC$2:$AC$1501))),2))</f>
        <v/>
      </c>
      <c r="E43" s="6">
        <f>IF($A43="","",ROUND('Sales &amp; Collection'!I570-'Sales &amp; Collection'!I569,2))</f>
        <v/>
      </c>
      <c r="F43" s="6">
        <f>IF($A43="","",'Sales &amp; Collection'!L562)</f>
        <v/>
      </c>
      <c r="H43" s="6">
        <f>IF($A43="","",K42)</f>
        <v/>
      </c>
      <c r="I43" s="6">
        <f>IF($A43="","",ROUND(B43+D43+E43,2))</f>
        <v/>
      </c>
      <c r="J43" s="6">
        <f>IF($A43="","",F43)</f>
        <v/>
      </c>
      <c r="K43" s="6">
        <f>IF($A43="","",ROUND(H43+I43-J43,2))</f>
        <v/>
      </c>
    </row>
    <row r="44">
      <c r="A44" s="5">
        <f>IF('Daily Sale entry '!A43="","",'Daily Sale entry '!A43)</f>
        <v/>
      </c>
      <c r="B44" s="6">
        <f>IF($A44="","",'Daily Sale entry '!F43)</f>
        <v/>
      </c>
      <c r="C44">
        <f t="array" ref="C44">IF($A44="","",_xlfn.TEXTJOIN(", ",TRUE,IF(('Daily Sale entry '!$X$2:$X$1501=$A44)*('Daily Sale entry '!$Z$2:$Z$1501="Online collection 网上收款"),'Daily Sale entry '!$AA$2:$AA$1501,"")))</f>
        <v/>
      </c>
      <c r="D44" s="6">
        <f>IF($A44="","",ROUND(SUMIFS('Daily Sale entry '!$AC$2:$AC$1501,'Daily Sale entry '!$X$2:$X$1501,$A44,'Daily Sale entry '!$Z$2:$Z$1501,"Online collection 网上收款")-'Opening Balance'!$B$15*SUMPRODUCT(('Daily Sale entry '!$X$2:$X$1501=$A44)*('Daily Sale entry '!$Z$2:$Z$1501="Online collection 网上收款")*('Daily Sale entry '!$AA$2:$AA$1501&lt;&gt;"")*('Daily Sale entry '!$AC$2:$AC$1501-TRUNC('Daily Sale entry '!$AC$2:$AC$1501))),2))</f>
        <v/>
      </c>
      <c r="E44" s="6">
        <f>IF($A44="","",ROUND('Sales &amp; Collection'!I584-'Sales &amp; Collection'!I583,2))</f>
        <v/>
      </c>
      <c r="F44" s="6">
        <f>IF($A44="","",'Sales &amp; Collection'!L576)</f>
        <v/>
      </c>
      <c r="H44" s="6">
        <f>IF($A44="","",K43)</f>
        <v/>
      </c>
      <c r="I44" s="6">
        <f>IF($A44="","",ROUND(B44+D44+E44,2))</f>
        <v/>
      </c>
      <c r="J44" s="6">
        <f>IF($A44="","",F44)</f>
        <v/>
      </c>
      <c r="K44" s="6">
        <f>IF($A44="","",ROUND(H44+I44-J44,2))</f>
        <v/>
      </c>
    </row>
    <row r="45">
      <c r="A45" s="5">
        <f>IF('Daily Sale entry '!A44="","",'Daily Sale entry '!A44)</f>
        <v/>
      </c>
      <c r="B45" s="6">
        <f>IF($A45="","",'Daily Sale entry '!F44)</f>
        <v/>
      </c>
      <c r="C45">
        <f t="array" ref="C45">IF($A45="","",_xlfn.TEXTJOIN(", ",TRUE,IF(('Daily Sale entry '!$X$2:$X$1501=$A45)*('Daily Sale entry '!$Z$2:$Z$1501="Online collection 网上收款"),'Daily Sale entry '!$AA$2:$AA$1501,"")))</f>
        <v/>
      </c>
      <c r="D45" s="6">
        <f>IF($A45="","",ROUND(SUMIFS('Daily Sale entry '!$AC$2:$AC$1501,'Daily Sale entry '!$X$2:$X$1501,$A45,'Daily Sale entry '!$Z$2:$Z$1501,"Online collection 网上收款")-'Opening Balance'!$B$15*SUMPRODUCT(('Daily Sale entry '!$X$2:$X$1501=$A45)*('Daily Sale entry '!$Z$2:$Z$1501="Online collection 网上收款")*('Daily Sale entry '!$AA$2:$AA$1501&lt;&gt;"")*('Daily Sale entry '!$AC$2:$AC$1501-TRUNC('Daily Sale entry '!$AC$2:$AC$1501))),2))</f>
        <v/>
      </c>
      <c r="E45" s="6">
        <f>IF($A45="","",ROUND('Sales &amp; Collection'!I598-'Sales &amp; Collection'!I597,2))</f>
        <v/>
      </c>
      <c r="F45" s="6">
        <f>IF($A45="","",'Sales &amp; Collection'!L590)</f>
        <v/>
      </c>
      <c r="H45" s="6">
        <f>IF($A45="","",K44)</f>
        <v/>
      </c>
      <c r="I45" s="6">
        <f>IF($A45="","",ROUND(B45+D45+E45,2))</f>
        <v/>
      </c>
      <c r="J45" s="6">
        <f>IF($A45="","",F45)</f>
        <v/>
      </c>
      <c r="K45" s="6">
        <f>IF($A45="","",ROUND(H45+I45-J45,2))</f>
        <v/>
      </c>
    </row>
    <row r="46">
      <c r="A46" s="5">
        <f>IF('Daily Sale entry '!A45="","",'Daily Sale entry '!A45)</f>
        <v/>
      </c>
      <c r="B46" s="6">
        <f>IF($A46="","",'Daily Sale entry '!F45)</f>
        <v/>
      </c>
      <c r="C46">
        <f t="array" ref="C46">IF($A46="","",_xlfn.TEXTJOIN(", ",TRUE,IF(('Daily Sale entry '!$X$2:$X$1501=$A46)*('Daily Sale entry '!$Z$2:$Z$1501="Online collection 网上收款"),'Daily Sale entry '!$AA$2:$AA$1501,"")))</f>
        <v/>
      </c>
      <c r="D46" s="6">
        <f>IF($A46="","",ROUND(SUMIFS('Daily Sale entry '!$AC$2:$AC$1501,'Daily Sale entry '!$X$2:$X$1501,$A46,'Daily Sale entry '!$Z$2:$Z$1501,"Online collection 网上收款")-'Opening Balance'!$B$15*SUMPRODUCT(('Daily Sale entry '!$X$2:$X$1501=$A46)*('Daily Sale entry '!$Z$2:$Z$1501="Online collection 网上收款")*('Daily Sale entry '!$AA$2:$AA$1501&lt;&gt;"")*('Daily Sale entry '!$AC$2:$AC$1501-TRUNC('Daily Sale entry '!$AC$2:$AC$1501))),2))</f>
        <v/>
      </c>
      <c r="E46" s="6">
        <f>IF($A46="","",ROUND('Sales &amp; Collection'!I612-'Sales &amp; Collection'!I611,2))</f>
        <v/>
      </c>
      <c r="F46" s="6">
        <f>IF($A46="","",'Sales &amp; Collection'!L604)</f>
        <v/>
      </c>
      <c r="H46" s="6">
        <f>IF($A46="","",K45)</f>
        <v/>
      </c>
      <c r="I46" s="6">
        <f>IF($A46="","",ROUND(B46+D46+E46,2))</f>
        <v/>
      </c>
      <c r="J46" s="6">
        <f>IF($A46="","",F46)</f>
        <v/>
      </c>
      <c r="K46" s="6">
        <f>IF($A46="","",ROUND(H46+I46-J46,2))</f>
        <v/>
      </c>
    </row>
    <row r="47">
      <c r="A47" s="5">
        <f>IF('Daily Sale entry '!A46="","",'Daily Sale entry '!A46)</f>
        <v/>
      </c>
      <c r="B47" s="6">
        <f>IF($A47="","",'Daily Sale entry '!F46)</f>
        <v/>
      </c>
      <c r="C47">
        <f t="array" ref="C47">IF($A47="","",_xlfn.TEXTJOIN(", ",TRUE,IF(('Daily Sale entry '!$X$2:$X$1501=$A47)*('Daily Sale entry '!$Z$2:$Z$1501="Online collection 网上收款"),'Daily Sale entry '!$AA$2:$AA$1501,"")))</f>
        <v/>
      </c>
      <c r="D47" s="6">
        <f>IF($A47="","",ROUND(SUMIFS('Daily Sale entry '!$AC$2:$AC$1501,'Daily Sale entry '!$X$2:$X$1501,$A47,'Daily Sale entry '!$Z$2:$Z$1501,"Online collection 网上收款")-'Opening Balance'!$B$15*SUMPRODUCT(('Daily Sale entry '!$X$2:$X$1501=$A47)*('Daily Sale entry '!$Z$2:$Z$1501="Online collection 网上收款")*('Daily Sale entry '!$AA$2:$AA$1501&lt;&gt;"")*('Daily Sale entry '!$AC$2:$AC$1501-TRUNC('Daily Sale entry '!$AC$2:$AC$1501))),2))</f>
        <v/>
      </c>
      <c r="E47" s="6">
        <f>IF($A47="","",ROUND('Sales &amp; Collection'!I626-'Sales &amp; Collection'!I625,2))</f>
        <v/>
      </c>
      <c r="F47" s="6">
        <f>IF($A47="","",'Sales &amp; Collection'!L618)</f>
        <v/>
      </c>
      <c r="H47" s="6">
        <f>IF($A47="","",K46)</f>
        <v/>
      </c>
      <c r="I47" s="6">
        <f>IF($A47="","",ROUND(B47+D47+E47,2))</f>
        <v/>
      </c>
      <c r="J47" s="6">
        <f>IF($A47="","",F47)</f>
        <v/>
      </c>
      <c r="K47" s="6">
        <f>IF($A47="","",ROUND(H47+I47-J47,2))</f>
        <v/>
      </c>
    </row>
    <row r="48">
      <c r="A48" s="5">
        <f>IF('Daily Sale entry '!A47="","",'Daily Sale entry '!A47)</f>
        <v/>
      </c>
      <c r="B48" s="6">
        <f>IF($A48="","",'Daily Sale entry '!F47)</f>
        <v/>
      </c>
      <c r="C48">
        <f t="array" ref="C48">IF($A48="","",_xlfn.TEXTJOIN(", ",TRUE,IF(('Daily Sale entry '!$X$2:$X$1501=$A48)*('Daily Sale entry '!$Z$2:$Z$1501="Online collection 网上收款"),'Daily Sale entry '!$AA$2:$AA$1501,"")))</f>
        <v/>
      </c>
      <c r="D48" s="6">
        <f>IF($A48="","",ROUND(SUMIFS('Daily Sale entry '!$AC$2:$AC$1501,'Daily Sale entry '!$X$2:$X$1501,$A48,'Daily Sale entry '!$Z$2:$Z$1501,"Online collection 网上收款")-'Opening Balance'!$B$15*SUMPRODUCT(('Daily Sale entry '!$X$2:$X$1501=$A48)*('Daily Sale entry '!$Z$2:$Z$1501="Online collection 网上收款")*('Daily Sale entry '!$AA$2:$AA$1501&lt;&gt;"")*('Daily Sale entry '!$AC$2:$AC$1501-TRUNC('Daily Sale entry '!$AC$2:$AC$1501))),2))</f>
        <v/>
      </c>
      <c r="E48" s="6">
        <f>IF($A48="","",ROUND('Sales &amp; Collection'!I640-'Sales &amp; Collection'!I639,2))</f>
        <v/>
      </c>
      <c r="F48" s="6">
        <f>IF($A48="","",'Sales &amp; Collection'!L632)</f>
        <v/>
      </c>
      <c r="H48" s="6">
        <f>IF($A48="","",K47)</f>
        <v/>
      </c>
      <c r="I48" s="6">
        <f>IF($A48="","",ROUND(B48+D48+E48,2))</f>
        <v/>
      </c>
      <c r="J48" s="6">
        <f>IF($A48="","",F48)</f>
        <v/>
      </c>
      <c r="K48" s="6">
        <f>IF($A48="","",ROUND(H48+I48-J48,2))</f>
        <v/>
      </c>
    </row>
    <row r="49">
      <c r="A49" s="5">
        <f>IF('Daily Sale entry '!A48="","",'Daily Sale entry '!A48)</f>
        <v/>
      </c>
      <c r="B49" s="6">
        <f>IF($A49="","",'Daily Sale entry '!F48)</f>
        <v/>
      </c>
      <c r="C49">
        <f t="array" ref="C49">IF($A49="","",_xlfn.TEXTJOIN(", ",TRUE,IF(('Daily Sale entry '!$X$2:$X$1501=$A49)*('Daily Sale entry '!$Z$2:$Z$1501="Online collection 网上收款"),'Daily Sale entry '!$AA$2:$AA$1501,"")))</f>
        <v/>
      </c>
      <c r="D49" s="6">
        <f>IF($A49="","",ROUND(SUMIFS('Daily Sale entry '!$AC$2:$AC$1501,'Daily Sale entry '!$X$2:$X$1501,$A49,'Daily Sale entry '!$Z$2:$Z$1501,"Online collection 网上收款")-'Opening Balance'!$B$15*SUMPRODUCT(('Daily Sale entry '!$X$2:$X$1501=$A49)*('Daily Sale entry '!$Z$2:$Z$1501="Online collection 网上收款")*('Daily Sale entry '!$AA$2:$AA$1501&lt;&gt;"")*('Daily Sale entry '!$AC$2:$AC$1501-TRUNC('Daily Sale entry '!$AC$2:$AC$1501))),2))</f>
        <v/>
      </c>
      <c r="E49" s="6">
        <f>IF($A49="","",ROUND('Sales &amp; Collection'!I654-'Sales &amp; Collection'!I653,2))</f>
        <v/>
      </c>
      <c r="F49" s="6">
        <f>IF($A49="","",'Sales &amp; Collection'!L646)</f>
        <v/>
      </c>
      <c r="H49" s="6">
        <f>IF($A49="","",K48)</f>
        <v/>
      </c>
      <c r="I49" s="6">
        <f>IF($A49="","",ROUND(B49+D49+E49,2))</f>
        <v/>
      </c>
      <c r="J49" s="6">
        <f>IF($A49="","",F49)</f>
        <v/>
      </c>
      <c r="K49" s="6">
        <f>IF($A49="","",ROUND(H49+I49-J49,2))</f>
        <v/>
      </c>
    </row>
    <row r="50">
      <c r="A50" s="5">
        <f>IF('Daily Sale entry '!A49="","",'Daily Sale entry '!A49)</f>
        <v/>
      </c>
      <c r="B50" s="6">
        <f>IF($A50="","",'Daily Sale entry '!F49)</f>
        <v/>
      </c>
      <c r="C50">
        <f t="array" ref="C50">IF($A50="","",_xlfn.TEXTJOIN(", ",TRUE,IF(('Daily Sale entry '!$X$2:$X$1501=$A50)*('Daily Sale entry '!$Z$2:$Z$1501="Online collection 网上收款"),'Daily Sale entry '!$AA$2:$AA$1501,"")))</f>
        <v/>
      </c>
      <c r="D50" s="6">
        <f>IF($A50="","",ROUND(SUMIFS('Daily Sale entry '!$AC$2:$AC$1501,'Daily Sale entry '!$X$2:$X$1501,$A50,'Daily Sale entry '!$Z$2:$Z$1501,"Online collection 网上收款")-'Opening Balance'!$B$15*SUMPRODUCT(('Daily Sale entry '!$X$2:$X$1501=$A50)*('Daily Sale entry '!$Z$2:$Z$1501="Online collection 网上收款")*('Daily Sale entry '!$AA$2:$AA$1501&lt;&gt;"")*('Daily Sale entry '!$AC$2:$AC$1501-TRUNC('Daily Sale entry '!$AC$2:$AC$1501))),2))</f>
        <v/>
      </c>
      <c r="E50" s="6">
        <f>IF($A50="","",ROUND('Sales &amp; Collection'!I668-'Sales &amp; Collection'!I667,2))</f>
        <v/>
      </c>
      <c r="F50" s="6">
        <f>IF($A50="","",'Sales &amp; Collection'!L660)</f>
        <v/>
      </c>
      <c r="H50" s="6">
        <f>IF($A50="","",K49)</f>
        <v/>
      </c>
      <c r="I50" s="6">
        <f>IF($A50="","",ROUND(B50+D50+E50,2))</f>
        <v/>
      </c>
      <c r="J50" s="6">
        <f>IF($A50="","",F50)</f>
        <v/>
      </c>
      <c r="K50" s="6">
        <f>IF($A50="","",ROUND(H50+I50-J50,2))</f>
        <v/>
      </c>
    </row>
    <row r="51">
      <c r="A51" s="5">
        <f>IF('Daily Sale entry '!A50="","",'Daily Sale entry '!A50)</f>
        <v/>
      </c>
      <c r="B51" s="6">
        <f>IF($A51="","",'Daily Sale entry '!F50)</f>
        <v/>
      </c>
      <c r="C51">
        <f t="array" ref="C51">IF($A51="","",_xlfn.TEXTJOIN(", ",TRUE,IF(('Daily Sale entry '!$X$2:$X$1501=$A51)*('Daily Sale entry '!$Z$2:$Z$1501="Online collection 网上收款"),'Daily Sale entry '!$AA$2:$AA$1501,"")))</f>
        <v/>
      </c>
      <c r="D51" s="6">
        <f>IF($A51="","",ROUND(SUMIFS('Daily Sale entry '!$AC$2:$AC$1501,'Daily Sale entry '!$X$2:$X$1501,$A51,'Daily Sale entry '!$Z$2:$Z$1501,"Online collection 网上收款")-'Opening Balance'!$B$15*SUMPRODUCT(('Daily Sale entry '!$X$2:$X$1501=$A51)*('Daily Sale entry '!$Z$2:$Z$1501="Online collection 网上收款")*('Daily Sale entry '!$AA$2:$AA$1501&lt;&gt;"")*('Daily Sale entry '!$AC$2:$AC$1501-TRUNC('Daily Sale entry '!$AC$2:$AC$1501))),2))</f>
        <v/>
      </c>
      <c r="E51" s="6">
        <f>IF($A51="","",ROUND('Sales &amp; Collection'!I682-'Sales &amp; Collection'!I681,2))</f>
        <v/>
      </c>
      <c r="F51" s="6">
        <f>IF($A51="","",'Sales &amp; Collection'!L674)</f>
        <v/>
      </c>
      <c r="H51" s="6">
        <f>IF($A51="","",K50)</f>
        <v/>
      </c>
      <c r="I51" s="6">
        <f>IF($A51="","",ROUND(B51+D51+E51,2))</f>
        <v/>
      </c>
      <c r="J51" s="6">
        <f>IF($A51="","",F51)</f>
        <v/>
      </c>
      <c r="K51" s="6">
        <f>IF($A51="","",ROUND(H51+I51-J51,2))</f>
        <v/>
      </c>
    </row>
    <row r="52">
      <c r="A52" s="5">
        <f>IF('Daily Sale entry '!A51="","",'Daily Sale entry '!A51)</f>
        <v/>
      </c>
      <c r="B52" s="6">
        <f>IF($A52="","",'Daily Sale entry '!F51)</f>
        <v/>
      </c>
      <c r="C52">
        <f t="array" ref="C52">IF($A52="","",_xlfn.TEXTJOIN(", ",TRUE,IF(('Daily Sale entry '!$X$2:$X$1501=$A52)*('Daily Sale entry '!$Z$2:$Z$1501="Online collection 网上收款"),'Daily Sale entry '!$AA$2:$AA$1501,"")))</f>
        <v/>
      </c>
      <c r="D52" s="6">
        <f>IF($A52="","",ROUND(SUMIFS('Daily Sale entry '!$AC$2:$AC$1501,'Daily Sale entry '!$X$2:$X$1501,$A52,'Daily Sale entry '!$Z$2:$Z$1501,"Online collection 网上收款")-'Opening Balance'!$B$15*SUMPRODUCT(('Daily Sale entry '!$X$2:$X$1501=$A52)*('Daily Sale entry '!$Z$2:$Z$1501="Online collection 网上收款")*('Daily Sale entry '!$AA$2:$AA$1501&lt;&gt;"")*('Daily Sale entry '!$AC$2:$AC$1501-TRUNC('Daily Sale entry '!$AC$2:$AC$1501))),2))</f>
        <v/>
      </c>
      <c r="E52" s="6">
        <f>IF($A52="","",ROUND('Sales &amp; Collection'!I696-'Sales &amp; Collection'!I695,2))</f>
        <v/>
      </c>
      <c r="F52" s="6">
        <f>IF($A52="","",'Sales &amp; Collection'!L688)</f>
        <v/>
      </c>
      <c r="H52" s="6">
        <f>IF($A52="","",K51)</f>
        <v/>
      </c>
      <c r="I52" s="6">
        <f>IF($A52="","",ROUND(B52+D52+E52,2))</f>
        <v/>
      </c>
      <c r="J52" s="6">
        <f>IF($A52="","",F52)</f>
        <v/>
      </c>
      <c r="K52" s="6">
        <f>IF($A52="","",ROUND(H52+I52-J52,2))</f>
        <v/>
      </c>
    </row>
    <row r="53">
      <c r="A53" s="5">
        <f>IF('Daily Sale entry '!A52="","",'Daily Sale entry '!A52)</f>
        <v/>
      </c>
      <c r="B53" s="6">
        <f>IF($A53="","",'Daily Sale entry '!F52)</f>
        <v/>
      </c>
      <c r="C53">
        <f t="array" ref="C53">IF($A53="","",_xlfn.TEXTJOIN(", ",TRUE,IF(('Daily Sale entry '!$X$2:$X$1501=$A53)*('Daily Sale entry '!$Z$2:$Z$1501="Online collection 网上收款"),'Daily Sale entry '!$AA$2:$AA$1501,"")))</f>
        <v/>
      </c>
      <c r="D53" s="6">
        <f>IF($A53="","",ROUND(SUMIFS('Daily Sale entry '!$AC$2:$AC$1501,'Daily Sale entry '!$X$2:$X$1501,$A53,'Daily Sale entry '!$Z$2:$Z$1501,"Online collection 网上收款")-'Opening Balance'!$B$15*SUMPRODUCT(('Daily Sale entry '!$X$2:$X$1501=$A53)*('Daily Sale entry '!$Z$2:$Z$1501="Online collection 网上收款")*('Daily Sale entry '!$AA$2:$AA$1501&lt;&gt;"")*('Daily Sale entry '!$AC$2:$AC$1501-TRUNC('Daily Sale entry '!$AC$2:$AC$1501))),2))</f>
        <v/>
      </c>
      <c r="E53" s="6">
        <f>IF($A53="","",ROUND('Sales &amp; Collection'!I710-'Sales &amp; Collection'!I709,2))</f>
        <v/>
      </c>
      <c r="F53" s="6">
        <f>IF($A53="","",'Sales &amp; Collection'!L702)</f>
        <v/>
      </c>
      <c r="H53" s="6">
        <f>IF($A53="","",K52)</f>
        <v/>
      </c>
      <c r="I53" s="6">
        <f>IF($A53="","",ROUND(B53+D53+E53,2))</f>
        <v/>
      </c>
      <c r="J53" s="6">
        <f>IF($A53="","",F53)</f>
        <v/>
      </c>
      <c r="K53" s="6">
        <f>IF($A53="","",ROUND(H53+I53-J53,2))</f>
        <v/>
      </c>
    </row>
    <row r="54">
      <c r="A54" s="5">
        <f>IF('Daily Sale entry '!A53="","",'Daily Sale entry '!A53)</f>
        <v/>
      </c>
      <c r="B54" s="6">
        <f>IF($A54="","",'Daily Sale entry '!F53)</f>
        <v/>
      </c>
      <c r="C54">
        <f t="array" ref="C54">IF($A54="","",_xlfn.TEXTJOIN(", ",TRUE,IF(('Daily Sale entry '!$X$2:$X$1501=$A54)*('Daily Sale entry '!$Z$2:$Z$1501="Online collection 网上收款"),'Daily Sale entry '!$AA$2:$AA$1501,"")))</f>
        <v/>
      </c>
      <c r="D54" s="6">
        <f>IF($A54="","",ROUND(SUMIFS('Daily Sale entry '!$AC$2:$AC$1501,'Daily Sale entry '!$X$2:$X$1501,$A54,'Daily Sale entry '!$Z$2:$Z$1501,"Online collection 网上收款")-'Opening Balance'!$B$15*SUMPRODUCT(('Daily Sale entry '!$X$2:$X$1501=$A54)*('Daily Sale entry '!$Z$2:$Z$1501="Online collection 网上收款")*('Daily Sale entry '!$AA$2:$AA$1501&lt;&gt;"")*('Daily Sale entry '!$AC$2:$AC$1501-TRUNC('Daily Sale entry '!$AC$2:$AC$1501))),2))</f>
        <v/>
      </c>
      <c r="E54" s="6">
        <f>IF($A54="","",ROUND('Sales &amp; Collection'!I724-'Sales &amp; Collection'!I723,2))</f>
        <v/>
      </c>
      <c r="F54" s="6">
        <f>IF($A54="","",'Sales &amp; Collection'!L716)</f>
        <v/>
      </c>
      <c r="H54" s="6">
        <f>IF($A54="","",K53)</f>
        <v/>
      </c>
      <c r="I54" s="6">
        <f>IF($A54="","",ROUND(B54+D54+E54,2))</f>
        <v/>
      </c>
      <c r="J54" s="6">
        <f>IF($A54="","",F54)</f>
        <v/>
      </c>
      <c r="K54" s="6">
        <f>IF($A54="","",ROUND(H54+I54-J54,2))</f>
        <v/>
      </c>
    </row>
    <row r="55">
      <c r="A55" s="5">
        <f>IF('Daily Sale entry '!A54="","",'Daily Sale entry '!A54)</f>
        <v/>
      </c>
      <c r="B55" s="6">
        <f>IF($A55="","",'Daily Sale entry '!F54)</f>
        <v/>
      </c>
      <c r="C55">
        <f t="array" ref="C55">IF($A55="","",_xlfn.TEXTJOIN(", ",TRUE,IF(('Daily Sale entry '!$X$2:$X$1501=$A55)*('Daily Sale entry '!$Z$2:$Z$1501="Online collection 网上收款"),'Daily Sale entry '!$AA$2:$AA$1501,"")))</f>
        <v/>
      </c>
      <c r="D55" s="6">
        <f>IF($A55="","",ROUND(SUMIFS('Daily Sale entry '!$AC$2:$AC$1501,'Daily Sale entry '!$X$2:$X$1501,$A55,'Daily Sale entry '!$Z$2:$Z$1501,"Online collection 网上收款")-'Opening Balance'!$B$15*SUMPRODUCT(('Daily Sale entry '!$X$2:$X$1501=$A55)*('Daily Sale entry '!$Z$2:$Z$1501="Online collection 网上收款")*('Daily Sale entry '!$AA$2:$AA$1501&lt;&gt;"")*('Daily Sale entry '!$AC$2:$AC$1501-TRUNC('Daily Sale entry '!$AC$2:$AC$1501))),2))</f>
        <v/>
      </c>
      <c r="E55" s="6">
        <f>IF($A55="","",ROUND('Sales &amp; Collection'!I738-'Sales &amp; Collection'!I737,2))</f>
        <v/>
      </c>
      <c r="F55" s="6">
        <f>IF($A55="","",'Sales &amp; Collection'!L730)</f>
        <v/>
      </c>
      <c r="H55" s="6">
        <f>IF($A55="","",K54)</f>
        <v/>
      </c>
      <c r="I55" s="6">
        <f>IF($A55="","",ROUND(B55+D55+E55,2))</f>
        <v/>
      </c>
      <c r="J55" s="6">
        <f>IF($A55="","",F55)</f>
        <v/>
      </c>
      <c r="K55" s="6">
        <f>IF($A55="","",ROUND(H55+I55-J55,2))</f>
        <v/>
      </c>
    </row>
    <row r="56">
      <c r="A56" s="5">
        <f>IF('Daily Sale entry '!A55="","",'Daily Sale entry '!A55)</f>
        <v/>
      </c>
      <c r="B56" s="6">
        <f>IF($A56="","",'Daily Sale entry '!F55)</f>
        <v/>
      </c>
      <c r="C56">
        <f t="array" ref="C56">IF($A56="","",_xlfn.TEXTJOIN(", ",TRUE,IF(('Daily Sale entry '!$X$2:$X$1501=$A56)*('Daily Sale entry '!$Z$2:$Z$1501="Online collection 网上收款"),'Daily Sale entry '!$AA$2:$AA$1501,"")))</f>
        <v/>
      </c>
      <c r="D56" s="6">
        <f>IF($A56="","",ROUND(SUMIFS('Daily Sale entry '!$AC$2:$AC$1501,'Daily Sale entry '!$X$2:$X$1501,$A56,'Daily Sale entry '!$Z$2:$Z$1501,"Online collection 网上收款")-'Opening Balance'!$B$15*SUMPRODUCT(('Daily Sale entry '!$X$2:$X$1501=$A56)*('Daily Sale entry '!$Z$2:$Z$1501="Online collection 网上收款")*('Daily Sale entry '!$AA$2:$AA$1501&lt;&gt;"")*('Daily Sale entry '!$AC$2:$AC$1501-TRUNC('Daily Sale entry '!$AC$2:$AC$1501))),2))</f>
        <v/>
      </c>
      <c r="E56" s="6">
        <f>IF($A56="","",ROUND('Sales &amp; Collection'!I752-'Sales &amp; Collection'!I751,2))</f>
        <v/>
      </c>
      <c r="F56" s="6">
        <f>IF($A56="","",'Sales &amp; Collection'!L744)</f>
        <v/>
      </c>
      <c r="H56" s="6">
        <f>IF($A56="","",K55)</f>
        <v/>
      </c>
      <c r="I56" s="6">
        <f>IF($A56="","",ROUND(B56+D56+E56,2))</f>
        <v/>
      </c>
      <c r="J56" s="6">
        <f>IF($A56="","",F56)</f>
        <v/>
      </c>
      <c r="K56" s="6">
        <f>IF($A56="","",ROUND(H56+I56-J56,2))</f>
        <v/>
      </c>
    </row>
    <row r="57">
      <c r="A57" s="5">
        <f>IF('Daily Sale entry '!A56="","",'Daily Sale entry '!A56)</f>
        <v/>
      </c>
      <c r="B57" s="6">
        <f>IF($A57="","",'Daily Sale entry '!F56)</f>
        <v/>
      </c>
      <c r="C57">
        <f t="array" ref="C57">IF($A57="","",_xlfn.TEXTJOIN(", ",TRUE,IF(('Daily Sale entry '!$X$2:$X$1501=$A57)*('Daily Sale entry '!$Z$2:$Z$1501="Online collection 网上收款"),'Daily Sale entry '!$AA$2:$AA$1501,"")))</f>
        <v/>
      </c>
      <c r="D57" s="6">
        <f>IF($A57="","",ROUND(SUMIFS('Daily Sale entry '!$AC$2:$AC$1501,'Daily Sale entry '!$X$2:$X$1501,$A57,'Daily Sale entry '!$Z$2:$Z$1501,"Online collection 网上收款")-'Opening Balance'!$B$15*SUMPRODUCT(('Daily Sale entry '!$X$2:$X$1501=$A57)*('Daily Sale entry '!$Z$2:$Z$1501="Online collection 网上收款")*('Daily Sale entry '!$AA$2:$AA$1501&lt;&gt;"")*('Daily Sale entry '!$AC$2:$AC$1501-TRUNC('Daily Sale entry '!$AC$2:$AC$1501))),2))</f>
        <v/>
      </c>
      <c r="E57" s="6">
        <f>IF($A57="","",ROUND('Sales &amp; Collection'!I766-'Sales &amp; Collection'!I765,2))</f>
        <v/>
      </c>
      <c r="F57" s="6">
        <f>IF($A57="","",'Sales &amp; Collection'!L758)</f>
        <v/>
      </c>
      <c r="H57" s="6">
        <f>IF($A57="","",K56)</f>
        <v/>
      </c>
      <c r="I57" s="6">
        <f>IF($A57="","",ROUND(B57+D57+E57,2))</f>
        <v/>
      </c>
      <c r="J57" s="6">
        <f>IF($A57="","",F57)</f>
        <v/>
      </c>
      <c r="K57" s="6">
        <f>IF($A57="","",ROUND(H57+I57-J57,2))</f>
        <v/>
      </c>
    </row>
    <row r="58">
      <c r="A58" s="5">
        <f>IF('Daily Sale entry '!A57="","",'Daily Sale entry '!A57)</f>
        <v/>
      </c>
      <c r="B58" s="6">
        <f>IF($A58="","",'Daily Sale entry '!F57)</f>
        <v/>
      </c>
      <c r="C58">
        <f t="array" ref="C58">IF($A58="","",_xlfn.TEXTJOIN(", ",TRUE,IF(('Daily Sale entry '!$X$2:$X$1501=$A58)*('Daily Sale entry '!$Z$2:$Z$1501="Online collection 网上收款"),'Daily Sale entry '!$AA$2:$AA$1501,"")))</f>
        <v/>
      </c>
      <c r="D58" s="6">
        <f>IF($A58="","",ROUND(SUMIFS('Daily Sale entry '!$AC$2:$AC$1501,'Daily Sale entry '!$X$2:$X$1501,$A58,'Daily Sale entry '!$Z$2:$Z$1501,"Online collection 网上收款")-'Opening Balance'!$B$15*SUMPRODUCT(('Daily Sale entry '!$X$2:$X$1501=$A58)*('Daily Sale entry '!$Z$2:$Z$1501="Online collection 网上收款")*('Daily Sale entry '!$AA$2:$AA$1501&lt;&gt;"")*('Daily Sale entry '!$AC$2:$AC$1501-TRUNC('Daily Sale entry '!$AC$2:$AC$1501))),2))</f>
        <v/>
      </c>
      <c r="E58" s="6">
        <f>IF($A58="","",ROUND('Sales &amp; Collection'!I780-'Sales &amp; Collection'!I779,2))</f>
        <v/>
      </c>
      <c r="F58" s="6">
        <f>IF($A58="","",'Sales &amp; Collection'!L772)</f>
        <v/>
      </c>
      <c r="H58" s="6">
        <f>IF($A58="","",K57)</f>
        <v/>
      </c>
      <c r="I58" s="6">
        <f>IF($A58="","",ROUND(B58+D58+E58,2))</f>
        <v/>
      </c>
      <c r="J58" s="6">
        <f>IF($A58="","",F58)</f>
        <v/>
      </c>
      <c r="K58" s="6">
        <f>IF($A58="","",ROUND(H58+I58-J58,2))</f>
        <v/>
      </c>
    </row>
    <row r="59">
      <c r="A59" s="5">
        <f>IF('Daily Sale entry '!A58="","",'Daily Sale entry '!A58)</f>
        <v/>
      </c>
      <c r="B59" s="6">
        <f>IF($A59="","",'Daily Sale entry '!F58)</f>
        <v/>
      </c>
      <c r="C59">
        <f t="array" ref="C59">IF($A59="","",_xlfn.TEXTJOIN(", ",TRUE,IF(('Daily Sale entry '!$X$2:$X$1501=$A59)*('Daily Sale entry '!$Z$2:$Z$1501="Online collection 网上收款"),'Daily Sale entry '!$AA$2:$AA$1501,"")))</f>
        <v/>
      </c>
      <c r="D59" s="6">
        <f>IF($A59="","",ROUND(SUMIFS('Daily Sale entry '!$AC$2:$AC$1501,'Daily Sale entry '!$X$2:$X$1501,$A59,'Daily Sale entry '!$Z$2:$Z$1501,"Online collection 网上收款")-'Opening Balance'!$B$15*SUMPRODUCT(('Daily Sale entry '!$X$2:$X$1501=$A59)*('Daily Sale entry '!$Z$2:$Z$1501="Online collection 网上收款")*('Daily Sale entry '!$AA$2:$AA$1501&lt;&gt;"")*('Daily Sale entry '!$AC$2:$AC$1501-TRUNC('Daily Sale entry '!$AC$2:$AC$1501))),2))</f>
        <v/>
      </c>
      <c r="E59" s="6">
        <f>IF($A59="","",ROUND('Sales &amp; Collection'!I794-'Sales &amp; Collection'!I793,2))</f>
        <v/>
      </c>
      <c r="F59" s="6">
        <f>IF($A59="","",'Sales &amp; Collection'!L786)</f>
        <v/>
      </c>
      <c r="H59" s="6">
        <f>IF($A59="","",K58)</f>
        <v/>
      </c>
      <c r="I59" s="6">
        <f>IF($A59="","",ROUND(B59+D59+E59,2))</f>
        <v/>
      </c>
      <c r="J59" s="6">
        <f>IF($A59="","",F59)</f>
        <v/>
      </c>
      <c r="K59" s="6">
        <f>IF($A59="","",ROUND(H59+I59-J59,2))</f>
        <v/>
      </c>
    </row>
    <row r="60">
      <c r="A60" s="5">
        <f>IF('Daily Sale entry '!A59="","",'Daily Sale entry '!A59)</f>
        <v/>
      </c>
      <c r="B60" s="6">
        <f>IF($A60="","",'Daily Sale entry '!F59)</f>
        <v/>
      </c>
      <c r="C60">
        <f t="array" ref="C60">IF($A60="","",_xlfn.TEXTJOIN(", ",TRUE,IF(('Daily Sale entry '!$X$2:$X$1501=$A60)*('Daily Sale entry '!$Z$2:$Z$1501="Online collection 网上收款"),'Daily Sale entry '!$AA$2:$AA$1501,"")))</f>
        <v/>
      </c>
      <c r="D60" s="6">
        <f>IF($A60="","",ROUND(SUMIFS('Daily Sale entry '!$AC$2:$AC$1501,'Daily Sale entry '!$X$2:$X$1501,$A60,'Daily Sale entry '!$Z$2:$Z$1501,"Online collection 网上收款")-'Opening Balance'!$B$15*SUMPRODUCT(('Daily Sale entry '!$X$2:$X$1501=$A60)*('Daily Sale entry '!$Z$2:$Z$1501="Online collection 网上收款")*('Daily Sale entry '!$AA$2:$AA$1501&lt;&gt;"")*('Daily Sale entry '!$AC$2:$AC$1501-TRUNC('Daily Sale entry '!$AC$2:$AC$1501))),2))</f>
        <v/>
      </c>
      <c r="E60" s="6">
        <f>IF($A60="","",ROUND('Sales &amp; Collection'!I808-'Sales &amp; Collection'!I807,2))</f>
        <v/>
      </c>
      <c r="F60" s="6">
        <f>IF($A60="","",'Sales &amp; Collection'!L800)</f>
        <v/>
      </c>
      <c r="H60" s="6">
        <f>IF($A60="","",K59)</f>
        <v/>
      </c>
      <c r="I60" s="6">
        <f>IF($A60="","",ROUND(B60+D60+E60,2))</f>
        <v/>
      </c>
      <c r="J60" s="6">
        <f>IF($A60="","",F60)</f>
        <v/>
      </c>
      <c r="K60" s="6">
        <f>IF($A60="","",ROUND(H60+I60-J60,2))</f>
        <v/>
      </c>
    </row>
    <row r="61">
      <c r="A61" s="5">
        <f>IF('Daily Sale entry '!A60="","",'Daily Sale entry '!A60)</f>
        <v/>
      </c>
      <c r="B61" s="6">
        <f>IF($A61="","",'Daily Sale entry '!F60)</f>
        <v/>
      </c>
      <c r="C61">
        <f t="array" ref="C61">IF($A61="","",_xlfn.TEXTJOIN(", ",TRUE,IF(('Daily Sale entry '!$X$2:$X$1501=$A61)*('Daily Sale entry '!$Z$2:$Z$1501="Online collection 网上收款"),'Daily Sale entry '!$AA$2:$AA$1501,"")))</f>
        <v/>
      </c>
      <c r="D61" s="6">
        <f>IF($A61="","",ROUND(SUMIFS('Daily Sale entry '!$AC$2:$AC$1501,'Daily Sale entry '!$X$2:$X$1501,$A61,'Daily Sale entry '!$Z$2:$Z$1501,"Online collection 网上收款")-'Opening Balance'!$B$15*SUMPRODUCT(('Daily Sale entry '!$X$2:$X$1501=$A61)*('Daily Sale entry '!$Z$2:$Z$1501="Online collection 网上收款")*('Daily Sale entry '!$AA$2:$AA$1501&lt;&gt;"")*('Daily Sale entry '!$AC$2:$AC$1501-TRUNC('Daily Sale entry '!$AC$2:$AC$1501))),2))</f>
        <v/>
      </c>
      <c r="E61" s="6">
        <f>IF($A61="","",ROUND('Sales &amp; Collection'!I822-'Sales &amp; Collection'!I821,2))</f>
        <v/>
      </c>
      <c r="F61" s="6">
        <f>IF($A61="","",'Sales &amp; Collection'!L814)</f>
        <v/>
      </c>
      <c r="H61" s="6">
        <f>IF($A61="","",K60)</f>
        <v/>
      </c>
      <c r="I61" s="6">
        <f>IF($A61="","",ROUND(B61+D61+E61,2))</f>
        <v/>
      </c>
      <c r="J61" s="6">
        <f>IF($A61="","",F61)</f>
        <v/>
      </c>
      <c r="K61" s="6">
        <f>IF($A61="","",ROUND(H61+I61-J61,2))</f>
        <v/>
      </c>
    </row>
    <row r="62">
      <c r="A62" s="5">
        <f>IF('Daily Sale entry '!A61="","",'Daily Sale entry '!A61)</f>
        <v/>
      </c>
      <c r="B62" s="6">
        <f>IF($A62="","",'Daily Sale entry '!F61)</f>
        <v/>
      </c>
      <c r="C62">
        <f t="array" ref="C62">IF($A62="","",_xlfn.TEXTJOIN(", ",TRUE,IF(('Daily Sale entry '!$X$2:$X$1501=$A62)*('Daily Sale entry '!$Z$2:$Z$1501="Online collection 网上收款"),'Daily Sale entry '!$AA$2:$AA$1501,"")))</f>
        <v/>
      </c>
      <c r="D62" s="6">
        <f>IF($A62="","",ROUND(SUMIFS('Daily Sale entry '!$AC$2:$AC$1501,'Daily Sale entry '!$X$2:$X$1501,$A62,'Daily Sale entry '!$Z$2:$Z$1501,"Online collection 网上收款")-'Opening Balance'!$B$15*SUMPRODUCT(('Daily Sale entry '!$X$2:$X$1501=$A62)*('Daily Sale entry '!$Z$2:$Z$1501="Online collection 网上收款")*('Daily Sale entry '!$AA$2:$AA$1501&lt;&gt;"")*('Daily Sale entry '!$AC$2:$AC$1501-TRUNC('Daily Sale entry '!$AC$2:$AC$1501))),2))</f>
        <v/>
      </c>
      <c r="E62" s="6">
        <f>IF($A62="","",ROUND('Sales &amp; Collection'!I836-'Sales &amp; Collection'!I835,2))</f>
        <v/>
      </c>
      <c r="F62" s="6">
        <f>IF($A62="","",'Sales &amp; Collection'!L828)</f>
        <v/>
      </c>
      <c r="H62" s="6">
        <f>IF($A62="","",K61)</f>
        <v/>
      </c>
      <c r="I62" s="6">
        <f>IF($A62="","",ROUND(B62+D62+E62,2))</f>
        <v/>
      </c>
      <c r="J62" s="6">
        <f>IF($A62="","",F62)</f>
        <v/>
      </c>
      <c r="K62" s="6">
        <f>IF($A62="","",ROUND(H62+I62-J62,2))</f>
        <v/>
      </c>
    </row>
    <row r="63">
      <c r="A63" s="5">
        <f>IF('Daily Sale entry '!A62="","",'Daily Sale entry '!A62)</f>
        <v/>
      </c>
      <c r="B63" s="6">
        <f>IF($A63="","",'Daily Sale entry '!F62)</f>
        <v/>
      </c>
      <c r="C63">
        <f t="array" ref="C63">IF($A63="","",_xlfn.TEXTJOIN(", ",TRUE,IF(('Daily Sale entry '!$X$2:$X$1501=$A63)*('Daily Sale entry '!$Z$2:$Z$1501="Online collection 网上收款"),'Daily Sale entry '!$AA$2:$AA$1501,"")))</f>
        <v/>
      </c>
      <c r="D63" s="6">
        <f>IF($A63="","",ROUND(SUMIFS('Daily Sale entry '!$AC$2:$AC$1501,'Daily Sale entry '!$X$2:$X$1501,$A63,'Daily Sale entry '!$Z$2:$Z$1501,"Online collection 网上收款")-'Opening Balance'!$B$15*SUMPRODUCT(('Daily Sale entry '!$X$2:$X$1501=$A63)*('Daily Sale entry '!$Z$2:$Z$1501="Online collection 网上收款")*('Daily Sale entry '!$AA$2:$AA$1501&lt;&gt;"")*('Daily Sale entry '!$AC$2:$AC$1501-TRUNC('Daily Sale entry '!$AC$2:$AC$1501))),2))</f>
        <v/>
      </c>
      <c r="E63" s="6">
        <f>IF($A63="","",ROUND('Sales &amp; Collection'!I850-'Sales &amp; Collection'!I849,2))</f>
        <v/>
      </c>
      <c r="F63" s="6">
        <f>IF($A63="","",'Sales &amp; Collection'!L842)</f>
        <v/>
      </c>
      <c r="H63" s="6">
        <f>IF($A63="","",K62)</f>
        <v/>
      </c>
      <c r="I63" s="6">
        <f>IF($A63="","",ROUND(B63+D63+E63,2))</f>
        <v/>
      </c>
      <c r="J63" s="6">
        <f>IF($A63="","",F63)</f>
        <v/>
      </c>
      <c r="K63" s="6">
        <f>IF($A63="","",ROUND(H63+I63-J63,2))</f>
        <v/>
      </c>
    </row>
    <row r="64">
      <c r="A64" s="5">
        <f>IF('Daily Sale entry '!A63="","",'Daily Sale entry '!A63)</f>
        <v/>
      </c>
      <c r="B64" s="6">
        <f>IF($A64="","",'Daily Sale entry '!F63)</f>
        <v/>
      </c>
      <c r="C64">
        <f t="array" ref="C64">IF($A64="","",_xlfn.TEXTJOIN(", ",TRUE,IF(('Daily Sale entry '!$X$2:$X$1501=$A64)*('Daily Sale entry '!$Z$2:$Z$1501="Online collection 网上收款"),'Daily Sale entry '!$AA$2:$AA$1501,"")))</f>
        <v/>
      </c>
      <c r="D64" s="6">
        <f>IF($A64="","",ROUND(SUMIFS('Daily Sale entry '!$AC$2:$AC$1501,'Daily Sale entry '!$X$2:$X$1501,$A64,'Daily Sale entry '!$Z$2:$Z$1501,"Online collection 网上收款")-'Opening Balance'!$B$15*SUMPRODUCT(('Daily Sale entry '!$X$2:$X$1501=$A64)*('Daily Sale entry '!$Z$2:$Z$1501="Online collection 网上收款")*('Daily Sale entry '!$AA$2:$AA$1501&lt;&gt;"")*('Daily Sale entry '!$AC$2:$AC$1501-TRUNC('Daily Sale entry '!$AC$2:$AC$1501))),2))</f>
        <v/>
      </c>
      <c r="E64" s="6">
        <f>IF($A64="","",ROUND('Sales &amp; Collection'!I864-'Sales &amp; Collection'!I863,2))</f>
        <v/>
      </c>
      <c r="F64" s="6">
        <f>IF($A64="","",'Sales &amp; Collection'!L856)</f>
        <v/>
      </c>
      <c r="H64" s="6">
        <f>IF($A64="","",K63)</f>
        <v/>
      </c>
      <c r="I64" s="6">
        <f>IF($A64="","",ROUND(B64+D64+E64,2))</f>
        <v/>
      </c>
      <c r="J64" s="6">
        <f>IF($A64="","",F64)</f>
        <v/>
      </c>
      <c r="K64" s="6">
        <f>IF($A64="","",ROUND(H64+I64-J64,2))</f>
        <v/>
      </c>
    </row>
    <row r="65">
      <c r="A65" s="5">
        <f>IF('Daily Sale entry '!A64="","",'Daily Sale entry '!A64)</f>
        <v/>
      </c>
      <c r="B65" s="6">
        <f>IF($A65="","",'Daily Sale entry '!F64)</f>
        <v/>
      </c>
      <c r="C65">
        <f t="array" ref="C65">IF($A65="","",_xlfn.TEXTJOIN(", ",TRUE,IF(('Daily Sale entry '!$X$2:$X$1501=$A65)*('Daily Sale entry '!$Z$2:$Z$1501="Online collection 网上收款"),'Daily Sale entry '!$AA$2:$AA$1501,"")))</f>
        <v/>
      </c>
      <c r="D65" s="6">
        <f>IF($A65="","",ROUND(SUMIFS('Daily Sale entry '!$AC$2:$AC$1501,'Daily Sale entry '!$X$2:$X$1501,$A65,'Daily Sale entry '!$Z$2:$Z$1501,"Online collection 网上收款")-'Opening Balance'!$B$15*SUMPRODUCT(('Daily Sale entry '!$X$2:$X$1501=$A65)*('Daily Sale entry '!$Z$2:$Z$1501="Online collection 网上收款")*('Daily Sale entry '!$AA$2:$AA$1501&lt;&gt;"")*('Daily Sale entry '!$AC$2:$AC$1501-TRUNC('Daily Sale entry '!$AC$2:$AC$1501))),2))</f>
        <v/>
      </c>
      <c r="E65" s="6">
        <f>IF($A65="","",ROUND('Sales &amp; Collection'!I878-'Sales &amp; Collection'!I877,2))</f>
        <v/>
      </c>
      <c r="F65" s="6">
        <f>IF($A65="","",'Sales &amp; Collection'!L870)</f>
        <v/>
      </c>
      <c r="H65" s="6">
        <f>IF($A65="","",K64)</f>
        <v/>
      </c>
      <c r="I65" s="6">
        <f>IF($A65="","",ROUND(B65+D65+E65,2))</f>
        <v/>
      </c>
      <c r="J65" s="6">
        <f>IF($A65="","",F65)</f>
        <v/>
      </c>
      <c r="K65" s="6">
        <f>IF($A65="","",ROUND(H65+I65-J65,2))</f>
        <v/>
      </c>
    </row>
    <row r="66">
      <c r="A66" s="5">
        <f>IF('Daily Sale entry '!A65="","",'Daily Sale entry '!A65)</f>
        <v/>
      </c>
      <c r="B66" s="6">
        <f>IF($A66="","",'Daily Sale entry '!F65)</f>
        <v/>
      </c>
      <c r="C66">
        <f t="array" ref="C66">IF($A66="","",_xlfn.TEXTJOIN(", ",TRUE,IF(('Daily Sale entry '!$X$2:$X$1501=$A66)*('Daily Sale entry '!$Z$2:$Z$1501="Online collection 网上收款"),'Daily Sale entry '!$AA$2:$AA$1501,"")))</f>
        <v/>
      </c>
      <c r="D66" s="6">
        <f>IF($A66="","",ROUND(SUMIFS('Daily Sale entry '!$AC$2:$AC$1501,'Daily Sale entry '!$X$2:$X$1501,$A66,'Daily Sale entry '!$Z$2:$Z$1501,"Online collection 网上收款")-'Opening Balance'!$B$15*SUMPRODUCT(('Daily Sale entry '!$X$2:$X$1501=$A66)*('Daily Sale entry '!$Z$2:$Z$1501="Online collection 网上收款")*('Daily Sale entry '!$AA$2:$AA$1501&lt;&gt;"")*('Daily Sale entry '!$AC$2:$AC$1501-TRUNC('Daily Sale entry '!$AC$2:$AC$1501))),2))</f>
        <v/>
      </c>
      <c r="E66" s="6">
        <f>IF($A66="","",ROUND('Sales &amp; Collection'!I892-'Sales &amp; Collection'!I891,2))</f>
        <v/>
      </c>
      <c r="F66" s="6">
        <f>IF($A66="","",'Sales &amp; Collection'!L884)</f>
        <v/>
      </c>
      <c r="H66" s="6">
        <f>IF($A66="","",K65)</f>
        <v/>
      </c>
      <c r="I66" s="6">
        <f>IF($A66="","",ROUND(B66+D66+E66,2))</f>
        <v/>
      </c>
      <c r="J66" s="6">
        <f>IF($A66="","",F66)</f>
        <v/>
      </c>
      <c r="K66" s="6">
        <f>IF($A66="","",ROUND(H66+I66-J66,2))</f>
        <v/>
      </c>
    </row>
    <row r="67">
      <c r="A67" s="5">
        <f>IF('Daily Sale entry '!A66="","",'Daily Sale entry '!A66)</f>
        <v/>
      </c>
      <c r="B67" s="6">
        <f>IF($A67="","",'Daily Sale entry '!F66)</f>
        <v/>
      </c>
      <c r="C67">
        <f t="array" ref="C67">IF($A67="","",_xlfn.TEXTJOIN(", ",TRUE,IF(('Daily Sale entry '!$X$2:$X$1501=$A67)*('Daily Sale entry '!$Z$2:$Z$1501="Online collection 网上收款"),'Daily Sale entry '!$AA$2:$AA$1501,"")))</f>
        <v/>
      </c>
      <c r="D67" s="6">
        <f>IF($A67="","",ROUND(SUMIFS('Daily Sale entry '!$AC$2:$AC$1501,'Daily Sale entry '!$X$2:$X$1501,$A67,'Daily Sale entry '!$Z$2:$Z$1501,"Online collection 网上收款")-'Opening Balance'!$B$15*SUMPRODUCT(('Daily Sale entry '!$X$2:$X$1501=$A67)*('Daily Sale entry '!$Z$2:$Z$1501="Online collection 网上收款")*('Daily Sale entry '!$AA$2:$AA$1501&lt;&gt;"")*('Daily Sale entry '!$AC$2:$AC$1501-TRUNC('Daily Sale entry '!$AC$2:$AC$1501))),2))</f>
        <v/>
      </c>
      <c r="E67" s="6">
        <f>IF($A67="","",ROUND('Sales &amp; Collection'!I906-'Sales &amp; Collection'!I905,2))</f>
        <v/>
      </c>
      <c r="F67" s="6">
        <f>IF($A67="","",'Sales &amp; Collection'!L898)</f>
        <v/>
      </c>
      <c r="H67" s="6">
        <f>IF($A67="","",K66)</f>
        <v/>
      </c>
      <c r="I67" s="6">
        <f>IF($A67="","",ROUND(B67+D67+E67,2))</f>
        <v/>
      </c>
      <c r="J67" s="6">
        <f>IF($A67="","",F67)</f>
        <v/>
      </c>
      <c r="K67" s="6">
        <f>IF($A67="","",ROUND(H67+I67-J67,2))</f>
        <v/>
      </c>
    </row>
    <row r="68">
      <c r="A68" s="5">
        <f>IF('Daily Sale entry '!A67="","",'Daily Sale entry '!A67)</f>
        <v/>
      </c>
      <c r="B68" s="6">
        <f>IF($A68="","",'Daily Sale entry '!F67)</f>
        <v/>
      </c>
      <c r="C68">
        <f t="array" ref="C68">IF($A68="","",_xlfn.TEXTJOIN(", ",TRUE,IF(('Daily Sale entry '!$X$2:$X$1501=$A68)*('Daily Sale entry '!$Z$2:$Z$1501="Online collection 网上收款"),'Daily Sale entry '!$AA$2:$AA$1501,"")))</f>
        <v/>
      </c>
      <c r="D68" s="6">
        <f>IF($A68="","",ROUND(SUMIFS('Daily Sale entry '!$AC$2:$AC$1501,'Daily Sale entry '!$X$2:$X$1501,$A68,'Daily Sale entry '!$Z$2:$Z$1501,"Online collection 网上收款")-'Opening Balance'!$B$15*SUMPRODUCT(('Daily Sale entry '!$X$2:$X$1501=$A68)*('Daily Sale entry '!$Z$2:$Z$1501="Online collection 网上收款")*('Daily Sale entry '!$AA$2:$AA$1501&lt;&gt;"")*('Daily Sale entry '!$AC$2:$AC$1501-TRUNC('Daily Sale entry '!$AC$2:$AC$1501))),2))</f>
        <v/>
      </c>
      <c r="E68" s="6">
        <f>IF($A68="","",ROUND('Sales &amp; Collection'!I920-'Sales &amp; Collection'!I919,2))</f>
        <v/>
      </c>
      <c r="F68" s="6">
        <f>IF($A68="","",'Sales &amp; Collection'!L912)</f>
        <v/>
      </c>
      <c r="H68" s="6">
        <f>IF($A68="","",K67)</f>
        <v/>
      </c>
      <c r="I68" s="6">
        <f>IF($A68="","",ROUND(B68+D68+E68,2))</f>
        <v/>
      </c>
      <c r="J68" s="6">
        <f>IF($A68="","",F68)</f>
        <v/>
      </c>
      <c r="K68" s="6">
        <f>IF($A68="","",ROUND(H68+I68-J68,2))</f>
        <v/>
      </c>
    </row>
    <row r="69">
      <c r="A69" s="5">
        <f>IF('Daily Sale entry '!A68="","",'Daily Sale entry '!A68)</f>
        <v/>
      </c>
      <c r="B69" s="6">
        <f>IF($A69="","",'Daily Sale entry '!F68)</f>
        <v/>
      </c>
      <c r="C69">
        <f t="array" ref="C69">IF($A69="","",_xlfn.TEXTJOIN(", ",TRUE,IF(('Daily Sale entry '!$X$2:$X$1501=$A69)*('Daily Sale entry '!$Z$2:$Z$1501="Online collection 网上收款"),'Daily Sale entry '!$AA$2:$AA$1501,"")))</f>
        <v/>
      </c>
      <c r="D69" s="6">
        <f>IF($A69="","",ROUND(SUMIFS('Daily Sale entry '!$AC$2:$AC$1501,'Daily Sale entry '!$X$2:$X$1501,$A69,'Daily Sale entry '!$Z$2:$Z$1501,"Online collection 网上收款")-'Opening Balance'!$B$15*SUMPRODUCT(('Daily Sale entry '!$X$2:$X$1501=$A69)*('Daily Sale entry '!$Z$2:$Z$1501="Online collection 网上收款")*('Daily Sale entry '!$AA$2:$AA$1501&lt;&gt;"")*('Daily Sale entry '!$AC$2:$AC$1501-TRUNC('Daily Sale entry '!$AC$2:$AC$1501))),2))</f>
        <v/>
      </c>
      <c r="E69" s="6">
        <f>IF($A69="","",ROUND('Sales &amp; Collection'!I934-'Sales &amp; Collection'!I933,2))</f>
        <v/>
      </c>
      <c r="F69" s="6">
        <f>IF($A69="","",'Sales &amp; Collection'!L926)</f>
        <v/>
      </c>
      <c r="H69" s="6">
        <f>IF($A69="","",K68)</f>
        <v/>
      </c>
      <c r="I69" s="6">
        <f>IF($A69="","",ROUND(B69+D69+E69,2))</f>
        <v/>
      </c>
      <c r="J69" s="6">
        <f>IF($A69="","",F69)</f>
        <v/>
      </c>
      <c r="K69" s="6">
        <f>IF($A69="","",ROUND(H69+I69-J69,2))</f>
        <v/>
      </c>
    </row>
    <row r="70">
      <c r="A70" s="5">
        <f>IF('Daily Sale entry '!A69="","",'Daily Sale entry '!A69)</f>
        <v/>
      </c>
      <c r="B70" s="6">
        <f>IF($A70="","",'Daily Sale entry '!F69)</f>
        <v/>
      </c>
      <c r="C70">
        <f t="array" ref="C70">IF($A70="","",_xlfn.TEXTJOIN(", ",TRUE,IF(('Daily Sale entry '!$X$2:$X$1501=$A70)*('Daily Sale entry '!$Z$2:$Z$1501="Online collection 网上收款"),'Daily Sale entry '!$AA$2:$AA$1501,"")))</f>
        <v/>
      </c>
      <c r="D70" s="6">
        <f>IF($A70="","",ROUND(SUMIFS('Daily Sale entry '!$AC$2:$AC$1501,'Daily Sale entry '!$X$2:$X$1501,$A70,'Daily Sale entry '!$Z$2:$Z$1501,"Online collection 网上收款")-'Opening Balance'!$B$15*SUMPRODUCT(('Daily Sale entry '!$X$2:$X$1501=$A70)*('Daily Sale entry '!$Z$2:$Z$1501="Online collection 网上收款")*('Daily Sale entry '!$AA$2:$AA$1501&lt;&gt;"")*('Daily Sale entry '!$AC$2:$AC$1501-TRUNC('Daily Sale entry '!$AC$2:$AC$1501))),2))</f>
        <v/>
      </c>
      <c r="E70" s="6">
        <f>IF($A70="","",ROUND('Sales &amp; Collection'!I948-'Sales &amp; Collection'!I947,2))</f>
        <v/>
      </c>
      <c r="F70" s="6">
        <f>IF($A70="","",'Sales &amp; Collection'!L940)</f>
        <v/>
      </c>
      <c r="H70" s="6">
        <f>IF($A70="","",K69)</f>
        <v/>
      </c>
      <c r="I70" s="6">
        <f>IF($A70="","",ROUND(B70+D70+E70,2))</f>
        <v/>
      </c>
      <c r="J70" s="6">
        <f>IF($A70="","",F70)</f>
        <v/>
      </c>
      <c r="K70" s="6">
        <f>IF($A70="","",ROUND(H70+I70-J70,2))</f>
        <v/>
      </c>
    </row>
    <row r="71">
      <c r="A71" s="5">
        <f>IF('Daily Sale entry '!A70="","",'Daily Sale entry '!A70)</f>
        <v/>
      </c>
      <c r="B71" s="6">
        <f>IF($A71="","",'Daily Sale entry '!F70)</f>
        <v/>
      </c>
      <c r="C71">
        <f t="array" ref="C71">IF($A71="","",_xlfn.TEXTJOIN(", ",TRUE,IF(('Daily Sale entry '!$X$2:$X$1501=$A71)*('Daily Sale entry '!$Z$2:$Z$1501="Online collection 网上收款"),'Daily Sale entry '!$AA$2:$AA$1501,"")))</f>
        <v/>
      </c>
      <c r="D71" s="6">
        <f>IF($A71="","",ROUND(SUMIFS('Daily Sale entry '!$AC$2:$AC$1501,'Daily Sale entry '!$X$2:$X$1501,$A71,'Daily Sale entry '!$Z$2:$Z$1501,"Online collection 网上收款")-'Opening Balance'!$B$15*SUMPRODUCT(('Daily Sale entry '!$X$2:$X$1501=$A71)*('Daily Sale entry '!$Z$2:$Z$1501="Online collection 网上收款")*('Daily Sale entry '!$AA$2:$AA$1501&lt;&gt;"")*('Daily Sale entry '!$AC$2:$AC$1501-TRUNC('Daily Sale entry '!$AC$2:$AC$1501))),2))</f>
        <v/>
      </c>
      <c r="E71" s="6">
        <f>IF($A71="","",ROUND('Sales &amp; Collection'!I962-'Sales &amp; Collection'!I961,2))</f>
        <v/>
      </c>
      <c r="F71" s="6">
        <f>IF($A71="","",'Sales &amp; Collection'!L954)</f>
        <v/>
      </c>
      <c r="H71" s="6">
        <f>IF($A71="","",K70)</f>
        <v/>
      </c>
      <c r="I71" s="6">
        <f>IF($A71="","",ROUND(B71+D71+E71,2))</f>
        <v/>
      </c>
      <c r="J71" s="6">
        <f>IF($A71="","",F71)</f>
        <v/>
      </c>
      <c r="K71" s="6">
        <f>IF($A71="","",ROUND(H71+I71-J71,2))</f>
        <v/>
      </c>
    </row>
    <row r="72">
      <c r="A72" s="5">
        <f>IF('Daily Sale entry '!A71="","",'Daily Sale entry '!A71)</f>
        <v/>
      </c>
      <c r="B72" s="6">
        <f>IF($A72="","",'Daily Sale entry '!F71)</f>
        <v/>
      </c>
      <c r="C72">
        <f t="array" ref="C72">IF($A72="","",_xlfn.TEXTJOIN(", ",TRUE,IF(('Daily Sale entry '!$X$2:$X$1501=$A72)*('Daily Sale entry '!$Z$2:$Z$1501="Online collection 网上收款"),'Daily Sale entry '!$AA$2:$AA$1501,"")))</f>
        <v/>
      </c>
      <c r="D72" s="6">
        <f>IF($A72="","",ROUND(SUMIFS('Daily Sale entry '!$AC$2:$AC$1501,'Daily Sale entry '!$X$2:$X$1501,$A72,'Daily Sale entry '!$Z$2:$Z$1501,"Online collection 网上收款")-'Opening Balance'!$B$15*SUMPRODUCT(('Daily Sale entry '!$X$2:$X$1501=$A72)*('Daily Sale entry '!$Z$2:$Z$1501="Online collection 网上收款")*('Daily Sale entry '!$AA$2:$AA$1501&lt;&gt;"")*('Daily Sale entry '!$AC$2:$AC$1501-TRUNC('Daily Sale entry '!$AC$2:$AC$1501))),2))</f>
        <v/>
      </c>
      <c r="E72" s="6">
        <f>IF($A72="","",ROUND('Sales &amp; Collection'!I976-'Sales &amp; Collection'!I975,2))</f>
        <v/>
      </c>
      <c r="F72" s="6">
        <f>IF($A72="","",'Sales &amp; Collection'!L968)</f>
        <v/>
      </c>
      <c r="H72" s="6">
        <f>IF($A72="","",K71)</f>
        <v/>
      </c>
      <c r="I72" s="6">
        <f>IF($A72="","",ROUND(B72+D72+E72,2))</f>
        <v/>
      </c>
      <c r="J72" s="6">
        <f>IF($A72="","",F72)</f>
        <v/>
      </c>
      <c r="K72" s="6">
        <f>IF($A72="","",ROUND(H72+I72-J72,2))</f>
        <v/>
      </c>
    </row>
    <row r="73">
      <c r="A73" s="5">
        <f>IF('Daily Sale entry '!A72="","",'Daily Sale entry '!A72)</f>
        <v/>
      </c>
      <c r="B73" s="6">
        <f>IF($A73="","",'Daily Sale entry '!F72)</f>
        <v/>
      </c>
      <c r="C73">
        <f t="array" ref="C73">IF($A73="","",_xlfn.TEXTJOIN(", ",TRUE,IF(('Daily Sale entry '!$X$2:$X$1501=$A73)*('Daily Sale entry '!$Z$2:$Z$1501="Online collection 网上收款"),'Daily Sale entry '!$AA$2:$AA$1501,"")))</f>
        <v/>
      </c>
      <c r="D73" s="6">
        <f>IF($A73="","",ROUND(SUMIFS('Daily Sale entry '!$AC$2:$AC$1501,'Daily Sale entry '!$X$2:$X$1501,$A73,'Daily Sale entry '!$Z$2:$Z$1501,"Online collection 网上收款")-'Opening Balance'!$B$15*SUMPRODUCT(('Daily Sale entry '!$X$2:$X$1501=$A73)*('Daily Sale entry '!$Z$2:$Z$1501="Online collection 网上收款")*('Daily Sale entry '!$AA$2:$AA$1501&lt;&gt;"")*('Daily Sale entry '!$AC$2:$AC$1501-TRUNC('Daily Sale entry '!$AC$2:$AC$1501))),2))</f>
        <v/>
      </c>
      <c r="E73" s="6">
        <f>IF($A73="","",ROUND('Sales &amp; Collection'!I990-'Sales &amp; Collection'!I989,2))</f>
        <v/>
      </c>
      <c r="F73" s="6">
        <f>IF($A73="","",'Sales &amp; Collection'!L982)</f>
        <v/>
      </c>
      <c r="H73" s="6">
        <f>IF($A73="","",K72)</f>
        <v/>
      </c>
      <c r="I73" s="6">
        <f>IF($A73="","",ROUND(B73+D73+E73,2))</f>
        <v/>
      </c>
      <c r="J73" s="6">
        <f>IF($A73="","",F73)</f>
        <v/>
      </c>
      <c r="K73" s="6">
        <f>IF($A73="","",ROUND(H73+I73-J73,2))</f>
        <v/>
      </c>
    </row>
    <row r="74">
      <c r="A74" s="5">
        <f>IF('Daily Sale entry '!A73="","",'Daily Sale entry '!A73)</f>
        <v/>
      </c>
      <c r="B74" s="6">
        <f>IF($A74="","",'Daily Sale entry '!F73)</f>
        <v/>
      </c>
      <c r="C74">
        <f t="array" ref="C74">IF($A74="","",_xlfn.TEXTJOIN(", ",TRUE,IF(('Daily Sale entry '!$X$2:$X$1501=$A74)*('Daily Sale entry '!$Z$2:$Z$1501="Online collection 网上收款"),'Daily Sale entry '!$AA$2:$AA$1501,"")))</f>
        <v/>
      </c>
      <c r="D74" s="6">
        <f>IF($A74="","",ROUND(SUMIFS('Daily Sale entry '!$AC$2:$AC$1501,'Daily Sale entry '!$X$2:$X$1501,$A74,'Daily Sale entry '!$Z$2:$Z$1501,"Online collection 网上收款")-'Opening Balance'!$B$15*SUMPRODUCT(('Daily Sale entry '!$X$2:$X$1501=$A74)*('Daily Sale entry '!$Z$2:$Z$1501="Online collection 网上收款")*('Daily Sale entry '!$AA$2:$AA$1501&lt;&gt;"")*('Daily Sale entry '!$AC$2:$AC$1501-TRUNC('Daily Sale entry '!$AC$2:$AC$1501))),2))</f>
        <v/>
      </c>
      <c r="E74" s="6">
        <f>IF($A74="","",ROUND('Sales &amp; Collection'!I1004-'Sales &amp; Collection'!I1003,2))</f>
        <v/>
      </c>
      <c r="F74" s="6">
        <f>IF($A74="","",'Sales &amp; Collection'!L996)</f>
        <v/>
      </c>
      <c r="H74" s="6">
        <f>IF($A74="","",K73)</f>
        <v/>
      </c>
      <c r="I74" s="6">
        <f>IF($A74="","",ROUND(B74+D74+E74,2))</f>
        <v/>
      </c>
      <c r="J74" s="6">
        <f>IF($A74="","",F74)</f>
        <v/>
      </c>
      <c r="K74" s="6">
        <f>IF($A74="","",ROUND(H74+I74-J74,2))</f>
        <v/>
      </c>
    </row>
    <row r="75">
      <c r="A75" s="5">
        <f>IF('Daily Sale entry '!A74="","",'Daily Sale entry '!A74)</f>
        <v/>
      </c>
      <c r="B75" s="6">
        <f>IF($A75="","",'Daily Sale entry '!F74)</f>
        <v/>
      </c>
      <c r="C75">
        <f t="array" ref="C75">IF($A75="","",_xlfn.TEXTJOIN(", ",TRUE,IF(('Daily Sale entry '!$X$2:$X$1501=$A75)*('Daily Sale entry '!$Z$2:$Z$1501="Online collection 网上收款"),'Daily Sale entry '!$AA$2:$AA$1501,"")))</f>
        <v/>
      </c>
      <c r="D75" s="6">
        <f>IF($A75="","",ROUND(SUMIFS('Daily Sale entry '!$AC$2:$AC$1501,'Daily Sale entry '!$X$2:$X$1501,$A75,'Daily Sale entry '!$Z$2:$Z$1501,"Online collection 网上收款")-'Opening Balance'!$B$15*SUMPRODUCT(('Daily Sale entry '!$X$2:$X$1501=$A75)*('Daily Sale entry '!$Z$2:$Z$1501="Online collection 网上收款")*('Daily Sale entry '!$AA$2:$AA$1501&lt;&gt;"")*('Daily Sale entry '!$AC$2:$AC$1501-TRUNC('Daily Sale entry '!$AC$2:$AC$1501))),2))</f>
        <v/>
      </c>
      <c r="E75" s="6">
        <f>IF($A75="","",ROUND('Sales &amp; Collection'!I1018-'Sales &amp; Collection'!I1017,2))</f>
        <v/>
      </c>
      <c r="F75" s="6">
        <f>IF($A75="","",'Sales &amp; Collection'!L1010)</f>
        <v/>
      </c>
      <c r="H75" s="6">
        <f>IF($A75="","",K74)</f>
        <v/>
      </c>
      <c r="I75" s="6">
        <f>IF($A75="","",ROUND(B75+D75+E75,2))</f>
        <v/>
      </c>
      <c r="J75" s="6">
        <f>IF($A75="","",F75)</f>
        <v/>
      </c>
      <c r="K75" s="6">
        <f>IF($A75="","",ROUND(H75+I75-J75,2))</f>
        <v/>
      </c>
    </row>
    <row r="76">
      <c r="A76" s="5">
        <f>IF('Daily Sale entry '!A75="","",'Daily Sale entry '!A75)</f>
        <v/>
      </c>
      <c r="B76" s="6">
        <f>IF($A76="","",'Daily Sale entry '!F75)</f>
        <v/>
      </c>
      <c r="C76">
        <f t="array" ref="C76">IF($A76="","",_xlfn.TEXTJOIN(", ",TRUE,IF(('Daily Sale entry '!$X$2:$X$1501=$A76)*('Daily Sale entry '!$Z$2:$Z$1501="Online collection 网上收款"),'Daily Sale entry '!$AA$2:$AA$1501,"")))</f>
        <v/>
      </c>
      <c r="D76" s="6">
        <f>IF($A76="","",ROUND(SUMIFS('Daily Sale entry '!$AC$2:$AC$1501,'Daily Sale entry '!$X$2:$X$1501,$A76,'Daily Sale entry '!$Z$2:$Z$1501,"Online collection 网上收款")-'Opening Balance'!$B$15*SUMPRODUCT(('Daily Sale entry '!$X$2:$X$1501=$A76)*('Daily Sale entry '!$Z$2:$Z$1501="Online collection 网上收款")*('Daily Sale entry '!$AA$2:$AA$1501&lt;&gt;"")*('Daily Sale entry '!$AC$2:$AC$1501-TRUNC('Daily Sale entry '!$AC$2:$AC$1501))),2))</f>
        <v/>
      </c>
      <c r="E76" s="6">
        <f>IF($A76="","",ROUND('Sales &amp; Collection'!I1032-'Sales &amp; Collection'!I1031,2))</f>
        <v/>
      </c>
      <c r="F76" s="6">
        <f>IF($A76="","",'Sales &amp; Collection'!L1024)</f>
        <v/>
      </c>
      <c r="H76" s="6">
        <f>IF($A76="","",K75)</f>
        <v/>
      </c>
      <c r="I76" s="6">
        <f>IF($A76="","",ROUND(B76+D76+E76,2))</f>
        <v/>
      </c>
      <c r="J76" s="6">
        <f>IF($A76="","",F76)</f>
        <v/>
      </c>
      <c r="K76" s="6">
        <f>IF($A76="","",ROUND(H76+I76-J76,2))</f>
        <v/>
      </c>
    </row>
    <row r="77">
      <c r="A77" s="5">
        <f>IF('Daily Sale entry '!A76="","",'Daily Sale entry '!A76)</f>
        <v/>
      </c>
      <c r="B77" s="6">
        <f>IF($A77="","",'Daily Sale entry '!F76)</f>
        <v/>
      </c>
      <c r="C77">
        <f t="array" ref="C77">IF($A77="","",_xlfn.TEXTJOIN(", ",TRUE,IF(('Daily Sale entry '!$X$2:$X$1501=$A77)*('Daily Sale entry '!$Z$2:$Z$1501="Online collection 网上收款"),'Daily Sale entry '!$AA$2:$AA$1501,"")))</f>
        <v/>
      </c>
      <c r="D77" s="6">
        <f>IF($A77="","",ROUND(SUMIFS('Daily Sale entry '!$AC$2:$AC$1501,'Daily Sale entry '!$X$2:$X$1501,$A77,'Daily Sale entry '!$Z$2:$Z$1501,"Online collection 网上收款")-'Opening Balance'!$B$15*SUMPRODUCT(('Daily Sale entry '!$X$2:$X$1501=$A77)*('Daily Sale entry '!$Z$2:$Z$1501="Online collection 网上收款")*('Daily Sale entry '!$AA$2:$AA$1501&lt;&gt;"")*('Daily Sale entry '!$AC$2:$AC$1501-TRUNC('Daily Sale entry '!$AC$2:$AC$1501))),2))</f>
        <v/>
      </c>
      <c r="E77" s="6">
        <f>IF($A77="","",ROUND('Sales &amp; Collection'!I1046-'Sales &amp; Collection'!I1045,2))</f>
        <v/>
      </c>
      <c r="F77" s="6">
        <f>IF($A77="","",'Sales &amp; Collection'!L1038)</f>
        <v/>
      </c>
      <c r="H77" s="6">
        <f>IF($A77="","",K76)</f>
        <v/>
      </c>
      <c r="I77" s="6">
        <f>IF($A77="","",ROUND(B77+D77+E77,2))</f>
        <v/>
      </c>
      <c r="J77" s="6">
        <f>IF($A77="","",F77)</f>
        <v/>
      </c>
      <c r="K77" s="6">
        <f>IF($A77="","",ROUND(H77+I77-J77,2))</f>
        <v/>
      </c>
    </row>
    <row r="78">
      <c r="A78" s="5">
        <f>IF('Daily Sale entry '!A77="","",'Daily Sale entry '!A77)</f>
        <v/>
      </c>
      <c r="B78" s="6">
        <f>IF($A78="","",'Daily Sale entry '!F77)</f>
        <v/>
      </c>
      <c r="C78">
        <f t="array" ref="C78">IF($A78="","",_xlfn.TEXTJOIN(", ",TRUE,IF(('Daily Sale entry '!$X$2:$X$1501=$A78)*('Daily Sale entry '!$Z$2:$Z$1501="Online collection 网上收款"),'Daily Sale entry '!$AA$2:$AA$1501,"")))</f>
        <v/>
      </c>
      <c r="D78" s="6">
        <f>IF($A78="","",ROUND(SUMIFS('Daily Sale entry '!$AC$2:$AC$1501,'Daily Sale entry '!$X$2:$X$1501,$A78,'Daily Sale entry '!$Z$2:$Z$1501,"Online collection 网上收款")-'Opening Balance'!$B$15*SUMPRODUCT(('Daily Sale entry '!$X$2:$X$1501=$A78)*('Daily Sale entry '!$Z$2:$Z$1501="Online collection 网上收款")*('Daily Sale entry '!$AA$2:$AA$1501&lt;&gt;"")*('Daily Sale entry '!$AC$2:$AC$1501-TRUNC('Daily Sale entry '!$AC$2:$AC$1501))),2))</f>
        <v/>
      </c>
      <c r="E78" s="6">
        <f>IF($A78="","",ROUND('Sales &amp; Collection'!I1060-'Sales &amp; Collection'!I1059,2))</f>
        <v/>
      </c>
      <c r="F78" s="6">
        <f>IF($A78="","",'Sales &amp; Collection'!L1052)</f>
        <v/>
      </c>
      <c r="H78" s="6">
        <f>IF($A78="","",K77)</f>
        <v/>
      </c>
      <c r="I78" s="6">
        <f>IF($A78="","",ROUND(B78+D78+E78,2))</f>
        <v/>
      </c>
      <c r="J78" s="6">
        <f>IF($A78="","",F78)</f>
        <v/>
      </c>
      <c r="K78" s="6">
        <f>IF($A78="","",ROUND(H78+I78-J78,2))</f>
        <v/>
      </c>
    </row>
    <row r="79">
      <c r="A79" s="5">
        <f>IF('Daily Sale entry '!A78="","",'Daily Sale entry '!A78)</f>
        <v/>
      </c>
      <c r="B79" s="6">
        <f>IF($A79="","",'Daily Sale entry '!F78)</f>
        <v/>
      </c>
      <c r="C79">
        <f t="array" ref="C79">IF($A79="","",_xlfn.TEXTJOIN(", ",TRUE,IF(('Daily Sale entry '!$X$2:$X$1501=$A79)*('Daily Sale entry '!$Z$2:$Z$1501="Online collection 网上收款"),'Daily Sale entry '!$AA$2:$AA$1501,"")))</f>
        <v/>
      </c>
      <c r="D79" s="6">
        <f>IF($A79="","",ROUND(SUMIFS('Daily Sale entry '!$AC$2:$AC$1501,'Daily Sale entry '!$X$2:$X$1501,$A79,'Daily Sale entry '!$Z$2:$Z$1501,"Online collection 网上收款")-'Opening Balance'!$B$15*SUMPRODUCT(('Daily Sale entry '!$X$2:$X$1501=$A79)*('Daily Sale entry '!$Z$2:$Z$1501="Online collection 网上收款")*('Daily Sale entry '!$AA$2:$AA$1501&lt;&gt;"")*('Daily Sale entry '!$AC$2:$AC$1501-TRUNC('Daily Sale entry '!$AC$2:$AC$1501))),2))</f>
        <v/>
      </c>
      <c r="E79" s="6">
        <f>IF($A79="","",ROUND('Sales &amp; Collection'!I1074-'Sales &amp; Collection'!I1073,2))</f>
        <v/>
      </c>
      <c r="F79" s="6">
        <f>IF($A79="","",'Sales &amp; Collection'!L1066)</f>
        <v/>
      </c>
      <c r="H79" s="6">
        <f>IF($A79="","",K78)</f>
        <v/>
      </c>
      <c r="I79" s="6">
        <f>IF($A79="","",ROUND(B79+D79+E79,2))</f>
        <v/>
      </c>
      <c r="J79" s="6">
        <f>IF($A79="","",F79)</f>
        <v/>
      </c>
      <c r="K79" s="6">
        <f>IF($A79="","",ROUND(H79+I79-J79,2))</f>
        <v/>
      </c>
    </row>
    <row r="80">
      <c r="A80" s="5">
        <f>IF('Daily Sale entry '!A79="","",'Daily Sale entry '!A79)</f>
        <v/>
      </c>
      <c r="B80" s="6">
        <f>IF($A80="","",'Daily Sale entry '!F79)</f>
        <v/>
      </c>
      <c r="C80">
        <f t="array" ref="C80">IF($A80="","",_xlfn.TEXTJOIN(", ",TRUE,IF(('Daily Sale entry '!$X$2:$X$1501=$A80)*('Daily Sale entry '!$Z$2:$Z$1501="Online collection 网上收款"),'Daily Sale entry '!$AA$2:$AA$1501,"")))</f>
        <v/>
      </c>
      <c r="D80" s="6">
        <f>IF($A80="","",ROUND(SUMIFS('Daily Sale entry '!$AC$2:$AC$1501,'Daily Sale entry '!$X$2:$X$1501,$A80,'Daily Sale entry '!$Z$2:$Z$1501,"Online collection 网上收款")-'Opening Balance'!$B$15*SUMPRODUCT(('Daily Sale entry '!$X$2:$X$1501=$A80)*('Daily Sale entry '!$Z$2:$Z$1501="Online collection 网上收款")*('Daily Sale entry '!$AA$2:$AA$1501&lt;&gt;"")*('Daily Sale entry '!$AC$2:$AC$1501-TRUNC('Daily Sale entry '!$AC$2:$AC$1501))),2))</f>
        <v/>
      </c>
      <c r="E80" s="6">
        <f>IF($A80="","",ROUND('Sales &amp; Collection'!I1088-'Sales &amp; Collection'!I1087,2))</f>
        <v/>
      </c>
      <c r="F80" s="6">
        <f>IF($A80="","",'Sales &amp; Collection'!L1080)</f>
        <v/>
      </c>
      <c r="H80" s="6">
        <f>IF($A80="","",K79)</f>
        <v/>
      </c>
      <c r="I80" s="6">
        <f>IF($A80="","",ROUND(B80+D80+E80,2))</f>
        <v/>
      </c>
      <c r="J80" s="6">
        <f>IF($A80="","",F80)</f>
        <v/>
      </c>
      <c r="K80" s="6">
        <f>IF($A80="","",ROUND(H80+I80-J80,2))</f>
        <v/>
      </c>
    </row>
    <row r="81">
      <c r="A81" s="5">
        <f>IF('Daily Sale entry '!A80="","",'Daily Sale entry '!A80)</f>
        <v/>
      </c>
      <c r="B81" s="6">
        <f>IF($A81="","",'Daily Sale entry '!F80)</f>
        <v/>
      </c>
      <c r="C81">
        <f t="array" ref="C81">IF($A81="","",_xlfn.TEXTJOIN(", ",TRUE,IF(('Daily Sale entry '!$X$2:$X$1501=$A81)*('Daily Sale entry '!$Z$2:$Z$1501="Online collection 网上收款"),'Daily Sale entry '!$AA$2:$AA$1501,"")))</f>
        <v/>
      </c>
      <c r="D81" s="6">
        <f>IF($A81="","",ROUND(SUMIFS('Daily Sale entry '!$AC$2:$AC$1501,'Daily Sale entry '!$X$2:$X$1501,$A81,'Daily Sale entry '!$Z$2:$Z$1501,"Online collection 网上收款")-'Opening Balance'!$B$15*SUMPRODUCT(('Daily Sale entry '!$X$2:$X$1501=$A81)*('Daily Sale entry '!$Z$2:$Z$1501="Online collection 网上收款")*('Daily Sale entry '!$AA$2:$AA$1501&lt;&gt;"")*('Daily Sale entry '!$AC$2:$AC$1501-TRUNC('Daily Sale entry '!$AC$2:$AC$1501))),2))</f>
        <v/>
      </c>
      <c r="E81" s="6">
        <f>IF($A81="","",ROUND('Sales &amp; Collection'!I1102-'Sales &amp; Collection'!I1101,2))</f>
        <v/>
      </c>
      <c r="F81" s="6">
        <f>IF($A81="","",'Sales &amp; Collection'!L1094)</f>
        <v/>
      </c>
      <c r="H81" s="6">
        <f>IF($A81="","",K80)</f>
        <v/>
      </c>
      <c r="I81" s="6">
        <f>IF($A81="","",ROUND(B81+D81+E81,2))</f>
        <v/>
      </c>
      <c r="J81" s="6">
        <f>IF($A81="","",F81)</f>
        <v/>
      </c>
      <c r="K81" s="6">
        <f>IF($A81="","",ROUND(H81+I81-J81,2))</f>
        <v/>
      </c>
    </row>
    <row r="82">
      <c r="A82" s="5">
        <f>IF('Daily Sale entry '!A81="","",'Daily Sale entry '!A81)</f>
        <v/>
      </c>
      <c r="B82" s="6">
        <f>IF($A82="","",'Daily Sale entry '!F81)</f>
        <v/>
      </c>
      <c r="C82">
        <f t="array" ref="C82">IF($A82="","",_xlfn.TEXTJOIN(", ",TRUE,IF(('Daily Sale entry '!$X$2:$X$1501=$A82)*('Daily Sale entry '!$Z$2:$Z$1501="Online collection 网上收款"),'Daily Sale entry '!$AA$2:$AA$1501,"")))</f>
        <v/>
      </c>
      <c r="D82" s="6">
        <f>IF($A82="","",ROUND(SUMIFS('Daily Sale entry '!$AC$2:$AC$1501,'Daily Sale entry '!$X$2:$X$1501,$A82,'Daily Sale entry '!$Z$2:$Z$1501,"Online collection 网上收款")-'Opening Balance'!$B$15*SUMPRODUCT(('Daily Sale entry '!$X$2:$X$1501=$A82)*('Daily Sale entry '!$Z$2:$Z$1501="Online collection 网上收款")*('Daily Sale entry '!$AA$2:$AA$1501&lt;&gt;"")*('Daily Sale entry '!$AC$2:$AC$1501-TRUNC('Daily Sale entry '!$AC$2:$AC$1501))),2))</f>
        <v/>
      </c>
      <c r="E82" s="6">
        <f>IF($A82="","",ROUND('Sales &amp; Collection'!I1116-'Sales &amp; Collection'!I1115,2))</f>
        <v/>
      </c>
      <c r="F82" s="6">
        <f>IF($A82="","",'Sales &amp; Collection'!L1108)</f>
        <v/>
      </c>
      <c r="H82" s="6">
        <f>IF($A82="","",K81)</f>
        <v/>
      </c>
      <c r="I82" s="6">
        <f>IF($A82="","",ROUND(B82+D82+E82,2))</f>
        <v/>
      </c>
      <c r="J82" s="6">
        <f>IF($A82="","",F82)</f>
        <v/>
      </c>
      <c r="K82" s="6">
        <f>IF($A82="","",ROUND(H82+I82-J82,2))</f>
        <v/>
      </c>
    </row>
    <row r="83">
      <c r="A83" s="5">
        <f>IF('Daily Sale entry '!A82="","",'Daily Sale entry '!A82)</f>
        <v/>
      </c>
      <c r="B83" s="6">
        <f>IF($A83="","",'Daily Sale entry '!F82)</f>
        <v/>
      </c>
      <c r="C83">
        <f t="array" ref="C83">IF($A83="","",_xlfn.TEXTJOIN(", ",TRUE,IF(('Daily Sale entry '!$X$2:$X$1501=$A83)*('Daily Sale entry '!$Z$2:$Z$1501="Online collection 网上收款"),'Daily Sale entry '!$AA$2:$AA$1501,"")))</f>
        <v/>
      </c>
      <c r="D83" s="6">
        <f>IF($A83="","",ROUND(SUMIFS('Daily Sale entry '!$AC$2:$AC$1501,'Daily Sale entry '!$X$2:$X$1501,$A83,'Daily Sale entry '!$Z$2:$Z$1501,"Online collection 网上收款")-'Opening Balance'!$B$15*SUMPRODUCT(('Daily Sale entry '!$X$2:$X$1501=$A83)*('Daily Sale entry '!$Z$2:$Z$1501="Online collection 网上收款")*('Daily Sale entry '!$AA$2:$AA$1501&lt;&gt;"")*('Daily Sale entry '!$AC$2:$AC$1501-TRUNC('Daily Sale entry '!$AC$2:$AC$1501))),2))</f>
        <v/>
      </c>
      <c r="E83" s="6">
        <f>IF($A83="","",ROUND('Sales &amp; Collection'!I1130-'Sales &amp; Collection'!I1129,2))</f>
        <v/>
      </c>
      <c r="F83" s="6">
        <f>IF($A83="","",'Sales &amp; Collection'!L1122)</f>
        <v/>
      </c>
      <c r="H83" s="6">
        <f>IF($A83="","",K82)</f>
        <v/>
      </c>
      <c r="I83" s="6">
        <f>IF($A83="","",ROUND(B83+D83+E83,2))</f>
        <v/>
      </c>
      <c r="J83" s="6">
        <f>IF($A83="","",F83)</f>
        <v/>
      </c>
      <c r="K83" s="6">
        <f>IF($A83="","",ROUND(H83+I83-J83,2))</f>
        <v/>
      </c>
    </row>
    <row r="84">
      <c r="A84" s="5">
        <f>IF('Daily Sale entry '!A83="","",'Daily Sale entry '!A83)</f>
        <v/>
      </c>
      <c r="B84" s="6">
        <f>IF($A84="","",'Daily Sale entry '!F83)</f>
        <v/>
      </c>
      <c r="C84">
        <f t="array" ref="C84">IF($A84="","",_xlfn.TEXTJOIN(", ",TRUE,IF(('Daily Sale entry '!$X$2:$X$1501=$A84)*('Daily Sale entry '!$Z$2:$Z$1501="Online collection 网上收款"),'Daily Sale entry '!$AA$2:$AA$1501,"")))</f>
        <v/>
      </c>
      <c r="D84" s="6">
        <f>IF($A84="","",ROUND(SUMIFS('Daily Sale entry '!$AC$2:$AC$1501,'Daily Sale entry '!$X$2:$X$1501,$A84,'Daily Sale entry '!$Z$2:$Z$1501,"Online collection 网上收款")-'Opening Balance'!$B$15*SUMPRODUCT(('Daily Sale entry '!$X$2:$X$1501=$A84)*('Daily Sale entry '!$Z$2:$Z$1501="Online collection 网上收款")*('Daily Sale entry '!$AA$2:$AA$1501&lt;&gt;"")*('Daily Sale entry '!$AC$2:$AC$1501-TRUNC('Daily Sale entry '!$AC$2:$AC$1501))),2))</f>
        <v/>
      </c>
      <c r="E84" s="6">
        <f>IF($A84="","",ROUND('Sales &amp; Collection'!I1144-'Sales &amp; Collection'!I1143,2))</f>
        <v/>
      </c>
      <c r="F84" s="6">
        <f>IF($A84="","",'Sales &amp; Collection'!L1136)</f>
        <v/>
      </c>
      <c r="H84" s="6">
        <f>IF($A84="","",K83)</f>
        <v/>
      </c>
      <c r="I84" s="6">
        <f>IF($A84="","",ROUND(B84+D84+E84,2))</f>
        <v/>
      </c>
      <c r="J84" s="6">
        <f>IF($A84="","",F84)</f>
        <v/>
      </c>
      <c r="K84" s="6">
        <f>IF($A84="","",ROUND(H84+I84-J84,2))</f>
        <v/>
      </c>
    </row>
    <row r="85">
      <c r="A85" s="5">
        <f>IF('Daily Sale entry '!A84="","",'Daily Sale entry '!A84)</f>
        <v/>
      </c>
      <c r="B85" s="6">
        <f>IF($A85="","",'Daily Sale entry '!F84)</f>
        <v/>
      </c>
      <c r="C85">
        <f t="array" ref="C85">IF($A85="","",_xlfn.TEXTJOIN(", ",TRUE,IF(('Daily Sale entry '!$X$2:$X$1501=$A85)*('Daily Sale entry '!$Z$2:$Z$1501="Online collection 网上收款"),'Daily Sale entry '!$AA$2:$AA$1501,"")))</f>
        <v/>
      </c>
      <c r="D85" s="6">
        <f>IF($A85="","",ROUND(SUMIFS('Daily Sale entry '!$AC$2:$AC$1501,'Daily Sale entry '!$X$2:$X$1501,$A85,'Daily Sale entry '!$Z$2:$Z$1501,"Online collection 网上收款")-'Opening Balance'!$B$15*SUMPRODUCT(('Daily Sale entry '!$X$2:$X$1501=$A85)*('Daily Sale entry '!$Z$2:$Z$1501="Online collection 网上收款")*('Daily Sale entry '!$AA$2:$AA$1501&lt;&gt;"")*('Daily Sale entry '!$AC$2:$AC$1501-TRUNC('Daily Sale entry '!$AC$2:$AC$1501))),2))</f>
        <v/>
      </c>
      <c r="E85" s="6">
        <f>IF($A85="","",ROUND('Sales &amp; Collection'!I1158-'Sales &amp; Collection'!I1157,2))</f>
        <v/>
      </c>
      <c r="F85" s="6">
        <f>IF($A85="","",'Sales &amp; Collection'!L1150)</f>
        <v/>
      </c>
      <c r="H85" s="6">
        <f>IF($A85="","",K84)</f>
        <v/>
      </c>
      <c r="I85" s="6">
        <f>IF($A85="","",ROUND(B85+D85+E85,2))</f>
        <v/>
      </c>
      <c r="J85" s="6">
        <f>IF($A85="","",F85)</f>
        <v/>
      </c>
      <c r="K85" s="6">
        <f>IF($A85="","",ROUND(H85+I85-J85,2))</f>
        <v/>
      </c>
    </row>
    <row r="86">
      <c r="A86" s="5">
        <f>IF('Daily Sale entry '!A85="","",'Daily Sale entry '!A85)</f>
        <v/>
      </c>
      <c r="B86" s="6">
        <f>IF($A86="","",'Daily Sale entry '!F85)</f>
        <v/>
      </c>
      <c r="C86">
        <f t="array" ref="C86">IF($A86="","",_xlfn.TEXTJOIN(", ",TRUE,IF(('Daily Sale entry '!$X$2:$X$1501=$A86)*('Daily Sale entry '!$Z$2:$Z$1501="Online collection 网上收款"),'Daily Sale entry '!$AA$2:$AA$1501,"")))</f>
        <v/>
      </c>
      <c r="D86" s="6">
        <f>IF($A86="","",ROUND(SUMIFS('Daily Sale entry '!$AC$2:$AC$1501,'Daily Sale entry '!$X$2:$X$1501,$A86,'Daily Sale entry '!$Z$2:$Z$1501,"Online collection 网上收款")-'Opening Balance'!$B$15*SUMPRODUCT(('Daily Sale entry '!$X$2:$X$1501=$A86)*('Daily Sale entry '!$Z$2:$Z$1501="Online collection 网上收款")*('Daily Sale entry '!$AA$2:$AA$1501&lt;&gt;"")*('Daily Sale entry '!$AC$2:$AC$1501-TRUNC('Daily Sale entry '!$AC$2:$AC$1501))),2))</f>
        <v/>
      </c>
      <c r="E86" s="6">
        <f>IF($A86="","",ROUND('Sales &amp; Collection'!I1172-'Sales &amp; Collection'!I1171,2))</f>
        <v/>
      </c>
      <c r="F86" s="6">
        <f>IF($A86="","",'Sales &amp; Collection'!L1164)</f>
        <v/>
      </c>
      <c r="H86" s="6">
        <f>IF($A86="","",K85)</f>
        <v/>
      </c>
      <c r="I86" s="6">
        <f>IF($A86="","",ROUND(B86+D86+E86,2))</f>
        <v/>
      </c>
      <c r="J86" s="6">
        <f>IF($A86="","",F86)</f>
        <v/>
      </c>
      <c r="K86" s="6">
        <f>IF($A86="","",ROUND(H86+I86-J86,2))</f>
        <v/>
      </c>
    </row>
    <row r="87">
      <c r="A87" s="5">
        <f>IF('Daily Sale entry '!A86="","",'Daily Sale entry '!A86)</f>
        <v/>
      </c>
      <c r="B87" s="6">
        <f>IF($A87="","",'Daily Sale entry '!F86)</f>
        <v/>
      </c>
      <c r="C87">
        <f t="array" ref="C87">IF($A87="","",_xlfn.TEXTJOIN(", ",TRUE,IF(('Daily Sale entry '!$X$2:$X$1501=$A87)*('Daily Sale entry '!$Z$2:$Z$1501="Online collection 网上收款"),'Daily Sale entry '!$AA$2:$AA$1501,"")))</f>
        <v/>
      </c>
      <c r="D87" s="6">
        <f>IF($A87="","",ROUND(SUMIFS('Daily Sale entry '!$AC$2:$AC$1501,'Daily Sale entry '!$X$2:$X$1501,$A87,'Daily Sale entry '!$Z$2:$Z$1501,"Online collection 网上收款")-'Opening Balance'!$B$15*SUMPRODUCT(('Daily Sale entry '!$X$2:$X$1501=$A87)*('Daily Sale entry '!$Z$2:$Z$1501="Online collection 网上收款")*('Daily Sale entry '!$AA$2:$AA$1501&lt;&gt;"")*('Daily Sale entry '!$AC$2:$AC$1501-TRUNC('Daily Sale entry '!$AC$2:$AC$1501))),2))</f>
        <v/>
      </c>
      <c r="E87" s="6">
        <f>IF($A87="","",ROUND('Sales &amp; Collection'!I1186-'Sales &amp; Collection'!I1185,2))</f>
        <v/>
      </c>
      <c r="F87" s="6">
        <f>IF($A87="","",'Sales &amp; Collection'!L1178)</f>
        <v/>
      </c>
      <c r="H87" s="6">
        <f>IF($A87="","",K86)</f>
        <v/>
      </c>
      <c r="I87" s="6">
        <f>IF($A87="","",ROUND(B87+D87+E87,2))</f>
        <v/>
      </c>
      <c r="J87" s="6">
        <f>IF($A87="","",F87)</f>
        <v/>
      </c>
      <c r="K87" s="6">
        <f>IF($A87="","",ROUND(H87+I87-J87,2))</f>
        <v/>
      </c>
    </row>
    <row r="88">
      <c r="A88" s="5">
        <f>IF('Daily Sale entry '!A87="","",'Daily Sale entry '!A87)</f>
        <v/>
      </c>
      <c r="B88" s="6">
        <f>IF($A88="","",'Daily Sale entry '!F87)</f>
        <v/>
      </c>
      <c r="C88">
        <f t="array" ref="C88">IF($A88="","",_xlfn.TEXTJOIN(", ",TRUE,IF(('Daily Sale entry '!$X$2:$X$1501=$A88)*('Daily Sale entry '!$Z$2:$Z$1501="Online collection 网上收款"),'Daily Sale entry '!$AA$2:$AA$1501,"")))</f>
        <v/>
      </c>
      <c r="D88" s="6">
        <f>IF($A88="","",ROUND(SUMIFS('Daily Sale entry '!$AC$2:$AC$1501,'Daily Sale entry '!$X$2:$X$1501,$A88,'Daily Sale entry '!$Z$2:$Z$1501,"Online collection 网上收款")-'Opening Balance'!$B$15*SUMPRODUCT(('Daily Sale entry '!$X$2:$X$1501=$A88)*('Daily Sale entry '!$Z$2:$Z$1501="Online collection 网上收款")*('Daily Sale entry '!$AA$2:$AA$1501&lt;&gt;"")*('Daily Sale entry '!$AC$2:$AC$1501-TRUNC('Daily Sale entry '!$AC$2:$AC$1501))),2))</f>
        <v/>
      </c>
      <c r="E88" s="6">
        <f>IF($A88="","",ROUND('Sales &amp; Collection'!I1200-'Sales &amp; Collection'!I1199,2))</f>
        <v/>
      </c>
      <c r="F88" s="6">
        <f>IF($A88="","",'Sales &amp; Collection'!L1192)</f>
        <v/>
      </c>
      <c r="H88" s="6">
        <f>IF($A88="","",K87)</f>
        <v/>
      </c>
      <c r="I88" s="6">
        <f>IF($A88="","",ROUND(B88+D88+E88,2))</f>
        <v/>
      </c>
      <c r="J88" s="6">
        <f>IF($A88="","",F88)</f>
        <v/>
      </c>
      <c r="K88" s="6">
        <f>IF($A88="","",ROUND(H88+I88-J88,2))</f>
        <v/>
      </c>
    </row>
    <row r="89">
      <c r="A89" s="5">
        <f>IF('Daily Sale entry '!A88="","",'Daily Sale entry '!A88)</f>
        <v/>
      </c>
      <c r="B89" s="6">
        <f>IF($A89="","",'Daily Sale entry '!F88)</f>
        <v/>
      </c>
      <c r="C89">
        <f t="array" ref="C89">IF($A89="","",_xlfn.TEXTJOIN(", ",TRUE,IF(('Daily Sale entry '!$X$2:$X$1501=$A89)*('Daily Sale entry '!$Z$2:$Z$1501="Online collection 网上收款"),'Daily Sale entry '!$AA$2:$AA$1501,"")))</f>
        <v/>
      </c>
      <c r="D89" s="6">
        <f>IF($A89="","",ROUND(SUMIFS('Daily Sale entry '!$AC$2:$AC$1501,'Daily Sale entry '!$X$2:$X$1501,$A89,'Daily Sale entry '!$Z$2:$Z$1501,"Online collection 网上收款")-'Opening Balance'!$B$15*SUMPRODUCT(('Daily Sale entry '!$X$2:$X$1501=$A89)*('Daily Sale entry '!$Z$2:$Z$1501="Online collection 网上收款")*('Daily Sale entry '!$AA$2:$AA$1501&lt;&gt;"")*('Daily Sale entry '!$AC$2:$AC$1501-TRUNC('Daily Sale entry '!$AC$2:$AC$1501))),2))</f>
        <v/>
      </c>
      <c r="E89" s="6">
        <f>IF($A89="","",ROUND('Sales &amp; Collection'!I1214-'Sales &amp; Collection'!I1213,2))</f>
        <v/>
      </c>
      <c r="F89" s="6">
        <f>IF($A89="","",'Sales &amp; Collection'!L1206)</f>
        <v/>
      </c>
      <c r="H89" s="6">
        <f>IF($A89="","",K88)</f>
        <v/>
      </c>
      <c r="I89" s="6">
        <f>IF($A89="","",ROUND(B89+D89+E89,2))</f>
        <v/>
      </c>
      <c r="J89" s="6">
        <f>IF($A89="","",F89)</f>
        <v/>
      </c>
      <c r="K89" s="6">
        <f>IF($A89="","",ROUND(H89+I89-J89,2))</f>
        <v/>
      </c>
    </row>
    <row r="90">
      <c r="A90" s="5">
        <f>IF('Daily Sale entry '!A89="","",'Daily Sale entry '!A89)</f>
        <v/>
      </c>
      <c r="B90" s="6">
        <f>IF($A90="","",'Daily Sale entry '!F89)</f>
        <v/>
      </c>
      <c r="C90">
        <f t="array" ref="C90">IF($A90="","",_xlfn.TEXTJOIN(", ",TRUE,IF(('Daily Sale entry '!$X$2:$X$1501=$A90)*('Daily Sale entry '!$Z$2:$Z$1501="Online collection 网上收款"),'Daily Sale entry '!$AA$2:$AA$1501,"")))</f>
        <v/>
      </c>
      <c r="D90" s="6">
        <f>IF($A90="","",ROUND(SUMIFS('Daily Sale entry '!$AC$2:$AC$1501,'Daily Sale entry '!$X$2:$X$1501,$A90,'Daily Sale entry '!$Z$2:$Z$1501,"Online collection 网上收款")-'Opening Balance'!$B$15*SUMPRODUCT(('Daily Sale entry '!$X$2:$X$1501=$A90)*('Daily Sale entry '!$Z$2:$Z$1501="Online collection 网上收款")*('Daily Sale entry '!$AA$2:$AA$1501&lt;&gt;"")*('Daily Sale entry '!$AC$2:$AC$1501-TRUNC('Daily Sale entry '!$AC$2:$AC$1501))),2))</f>
        <v/>
      </c>
      <c r="E90" s="6">
        <f>IF($A90="","",ROUND('Sales &amp; Collection'!I1228-'Sales &amp; Collection'!I1227,2))</f>
        <v/>
      </c>
      <c r="F90" s="6">
        <f>IF($A90="","",'Sales &amp; Collection'!L1220)</f>
        <v/>
      </c>
      <c r="H90" s="6">
        <f>IF($A90="","",K89)</f>
        <v/>
      </c>
      <c r="I90" s="6">
        <f>IF($A90="","",ROUND(B90+D90+E90,2))</f>
        <v/>
      </c>
      <c r="J90" s="6">
        <f>IF($A90="","",F90)</f>
        <v/>
      </c>
      <c r="K90" s="6">
        <f>IF($A90="","",ROUND(H90+I90-J90,2))</f>
        <v/>
      </c>
    </row>
    <row r="91">
      <c r="A91" s="5">
        <f>IF('Daily Sale entry '!A90="","",'Daily Sale entry '!A90)</f>
        <v/>
      </c>
      <c r="B91" s="6">
        <f>IF($A91="","",'Daily Sale entry '!F90)</f>
        <v/>
      </c>
      <c r="C91">
        <f t="array" ref="C91">IF($A91="","",_xlfn.TEXTJOIN(", ",TRUE,IF(('Daily Sale entry '!$X$2:$X$1501=$A91)*('Daily Sale entry '!$Z$2:$Z$1501="Online collection 网上收款"),'Daily Sale entry '!$AA$2:$AA$1501,"")))</f>
        <v/>
      </c>
      <c r="D91" s="6">
        <f>IF($A91="","",ROUND(SUMIFS('Daily Sale entry '!$AC$2:$AC$1501,'Daily Sale entry '!$X$2:$X$1501,$A91,'Daily Sale entry '!$Z$2:$Z$1501,"Online collection 网上收款")-'Opening Balance'!$B$15*SUMPRODUCT(('Daily Sale entry '!$X$2:$X$1501=$A91)*('Daily Sale entry '!$Z$2:$Z$1501="Online collection 网上收款")*('Daily Sale entry '!$AA$2:$AA$1501&lt;&gt;"")*('Daily Sale entry '!$AC$2:$AC$1501-TRUNC('Daily Sale entry '!$AC$2:$AC$1501))),2))</f>
        <v/>
      </c>
      <c r="E91" s="6">
        <f>IF($A91="","",ROUND('Sales &amp; Collection'!I1242-'Sales &amp; Collection'!I1241,2))</f>
        <v/>
      </c>
      <c r="F91" s="6">
        <f>IF($A91="","",'Sales &amp; Collection'!L1234)</f>
        <v/>
      </c>
      <c r="H91" s="6">
        <f>IF($A91="","",K90)</f>
        <v/>
      </c>
      <c r="I91" s="6">
        <f>IF($A91="","",ROUND(B91+D91+E91,2))</f>
        <v/>
      </c>
      <c r="J91" s="6">
        <f>IF($A91="","",F91)</f>
        <v/>
      </c>
      <c r="K91" s="6">
        <f>IF($A91="","",ROUND(H91+I91-J91,2))</f>
        <v/>
      </c>
    </row>
    <row r="92">
      <c r="A92" s="5">
        <f>IF('Daily Sale entry '!A91="","",'Daily Sale entry '!A91)</f>
        <v/>
      </c>
      <c r="B92" s="6">
        <f>IF($A92="","",'Daily Sale entry '!F91)</f>
        <v/>
      </c>
      <c r="C92">
        <f t="array" ref="C92">IF($A92="","",_xlfn.TEXTJOIN(", ",TRUE,IF(('Daily Sale entry '!$X$2:$X$1501=$A92)*('Daily Sale entry '!$Z$2:$Z$1501="Online collection 网上收款"),'Daily Sale entry '!$AA$2:$AA$1501,"")))</f>
        <v/>
      </c>
      <c r="D92" s="6">
        <f>IF($A92="","",ROUND(SUMIFS('Daily Sale entry '!$AC$2:$AC$1501,'Daily Sale entry '!$X$2:$X$1501,$A92,'Daily Sale entry '!$Z$2:$Z$1501,"Online collection 网上收款")-'Opening Balance'!$B$15*SUMPRODUCT(('Daily Sale entry '!$X$2:$X$1501=$A92)*('Daily Sale entry '!$Z$2:$Z$1501="Online collection 网上收款")*('Daily Sale entry '!$AA$2:$AA$1501&lt;&gt;"")*('Daily Sale entry '!$AC$2:$AC$1501-TRUNC('Daily Sale entry '!$AC$2:$AC$1501))),2))</f>
        <v/>
      </c>
      <c r="E92" s="6">
        <f>IF($A92="","",ROUND('Sales &amp; Collection'!I1256-'Sales &amp; Collection'!I1255,2))</f>
        <v/>
      </c>
      <c r="F92" s="6">
        <f>IF($A92="","",'Sales &amp; Collection'!L1248)</f>
        <v/>
      </c>
      <c r="H92" s="6">
        <f>IF($A92="","",K91)</f>
        <v/>
      </c>
      <c r="I92" s="6">
        <f>IF($A92="","",ROUND(B92+D92+E92,2))</f>
        <v/>
      </c>
      <c r="J92" s="6">
        <f>IF($A92="","",F92)</f>
        <v/>
      </c>
      <c r="K92" s="6">
        <f>IF($A92="","",ROUND(H92+I92-J92,2))</f>
        <v/>
      </c>
    </row>
    <row r="93">
      <c r="A93" s="5">
        <f>IF('Daily Sale entry '!A92="","",'Daily Sale entry '!A92)</f>
        <v/>
      </c>
      <c r="B93" s="6">
        <f>IF($A93="","",'Daily Sale entry '!F92)</f>
        <v/>
      </c>
      <c r="C93">
        <f t="array" ref="C93">IF($A93="","",_xlfn.TEXTJOIN(", ",TRUE,IF(('Daily Sale entry '!$X$2:$X$1501=$A93)*('Daily Sale entry '!$Z$2:$Z$1501="Online collection 网上收款"),'Daily Sale entry '!$AA$2:$AA$1501,"")))</f>
        <v/>
      </c>
      <c r="D93" s="6">
        <f>IF($A93="","",ROUND(SUMIFS('Daily Sale entry '!$AC$2:$AC$1501,'Daily Sale entry '!$X$2:$X$1501,$A93,'Daily Sale entry '!$Z$2:$Z$1501,"Online collection 网上收款")-'Opening Balance'!$B$15*SUMPRODUCT(('Daily Sale entry '!$X$2:$X$1501=$A93)*('Daily Sale entry '!$Z$2:$Z$1501="Online collection 网上收款")*('Daily Sale entry '!$AA$2:$AA$1501&lt;&gt;"")*('Daily Sale entry '!$AC$2:$AC$1501-TRUNC('Daily Sale entry '!$AC$2:$AC$1501))),2))</f>
        <v/>
      </c>
      <c r="E93" s="6">
        <f>IF($A93="","",ROUND('Sales &amp; Collection'!I1270-'Sales &amp; Collection'!I1269,2))</f>
        <v/>
      </c>
      <c r="F93" s="6">
        <f>IF($A93="","",'Sales &amp; Collection'!L1262)</f>
        <v/>
      </c>
      <c r="H93" s="6">
        <f>IF($A93="","",K92)</f>
        <v/>
      </c>
      <c r="I93" s="6">
        <f>IF($A93="","",ROUND(B93+D93+E93,2))</f>
        <v/>
      </c>
      <c r="J93" s="6">
        <f>IF($A93="","",F93)</f>
        <v/>
      </c>
      <c r="K93" s="6">
        <f>IF($A93="","",ROUND(H93+I93-J93,2))</f>
        <v/>
      </c>
    </row>
    <row r="94">
      <c r="A94" s="5">
        <f>IF('Daily Sale entry '!A93="","",'Daily Sale entry '!A93)</f>
        <v/>
      </c>
      <c r="B94" s="6">
        <f>IF($A94="","",'Daily Sale entry '!F93)</f>
        <v/>
      </c>
      <c r="C94">
        <f t="array" ref="C94">IF($A94="","",_xlfn.TEXTJOIN(", ",TRUE,IF(('Daily Sale entry '!$X$2:$X$1501=$A94)*('Daily Sale entry '!$Z$2:$Z$1501="Online collection 网上收款"),'Daily Sale entry '!$AA$2:$AA$1501,"")))</f>
        <v/>
      </c>
      <c r="D94" s="6">
        <f>IF($A94="","",ROUND(SUMIFS('Daily Sale entry '!$AC$2:$AC$1501,'Daily Sale entry '!$X$2:$X$1501,$A94,'Daily Sale entry '!$Z$2:$Z$1501,"Online collection 网上收款")-'Opening Balance'!$B$15*SUMPRODUCT(('Daily Sale entry '!$X$2:$X$1501=$A94)*('Daily Sale entry '!$Z$2:$Z$1501="Online collection 网上收款")*('Daily Sale entry '!$AA$2:$AA$1501&lt;&gt;"")*('Daily Sale entry '!$AC$2:$AC$1501-TRUNC('Daily Sale entry '!$AC$2:$AC$1501))),2))</f>
        <v/>
      </c>
      <c r="E94" s="6">
        <f>IF($A94="","",ROUND('Sales &amp; Collection'!I1284-'Sales &amp; Collection'!I1283,2))</f>
        <v/>
      </c>
      <c r="F94" s="6">
        <f>IF($A94="","",'Sales &amp; Collection'!L1276)</f>
        <v/>
      </c>
      <c r="H94" s="6">
        <f>IF($A94="","",K93)</f>
        <v/>
      </c>
      <c r="I94" s="6">
        <f>IF($A94="","",ROUND(B94+D94+E94,2))</f>
        <v/>
      </c>
      <c r="J94" s="6">
        <f>IF($A94="","",F94)</f>
        <v/>
      </c>
      <c r="K94" s="6">
        <f>IF($A94="","",ROUND(H94+I94-J94,2))</f>
        <v/>
      </c>
    </row>
    <row r="95">
      <c r="A95" s="5">
        <f>IF('Daily Sale entry '!A94="","",'Daily Sale entry '!A94)</f>
        <v/>
      </c>
      <c r="B95" s="6">
        <f>IF($A95="","",'Daily Sale entry '!F94)</f>
        <v/>
      </c>
      <c r="C95">
        <f t="array" ref="C95">IF($A95="","",_xlfn.TEXTJOIN(", ",TRUE,IF(('Daily Sale entry '!$X$2:$X$1501=$A95)*('Daily Sale entry '!$Z$2:$Z$1501="Online collection 网上收款"),'Daily Sale entry '!$AA$2:$AA$1501,"")))</f>
        <v/>
      </c>
      <c r="D95" s="6">
        <f>IF($A95="","",ROUND(SUMIFS('Daily Sale entry '!$AC$2:$AC$1501,'Daily Sale entry '!$X$2:$X$1501,$A95,'Daily Sale entry '!$Z$2:$Z$1501,"Online collection 网上收款")-'Opening Balance'!$B$15*SUMPRODUCT(('Daily Sale entry '!$X$2:$X$1501=$A95)*('Daily Sale entry '!$Z$2:$Z$1501="Online collection 网上收款")*('Daily Sale entry '!$AA$2:$AA$1501&lt;&gt;"")*('Daily Sale entry '!$AC$2:$AC$1501-TRUNC('Daily Sale entry '!$AC$2:$AC$1501))),2))</f>
        <v/>
      </c>
      <c r="E95" s="6">
        <f>IF($A95="","",ROUND('Sales &amp; Collection'!I1298-'Sales &amp; Collection'!I1297,2))</f>
        <v/>
      </c>
      <c r="F95" s="6">
        <f>IF($A95="","",'Sales &amp; Collection'!L1290)</f>
        <v/>
      </c>
      <c r="H95" s="6">
        <f>IF($A95="","",K94)</f>
        <v/>
      </c>
      <c r="I95" s="6">
        <f>IF($A95="","",ROUND(B95+D95+E95,2))</f>
        <v/>
      </c>
      <c r="J95" s="6">
        <f>IF($A95="","",F95)</f>
        <v/>
      </c>
      <c r="K95" s="6">
        <f>IF($A95="","",ROUND(H95+I95-J95,2))</f>
        <v/>
      </c>
    </row>
    <row r="96">
      <c r="A96" s="5">
        <f>IF('Daily Sale entry '!A95="","",'Daily Sale entry '!A95)</f>
        <v/>
      </c>
      <c r="B96" s="6">
        <f>IF($A96="","",'Daily Sale entry '!F95)</f>
        <v/>
      </c>
      <c r="C96">
        <f t="array" ref="C96">IF($A96="","",_xlfn.TEXTJOIN(", ",TRUE,IF(('Daily Sale entry '!$X$2:$X$1501=$A96)*('Daily Sale entry '!$Z$2:$Z$1501="Online collection 网上收款"),'Daily Sale entry '!$AA$2:$AA$1501,"")))</f>
        <v/>
      </c>
      <c r="D96" s="6">
        <f>IF($A96="","",ROUND(SUMIFS('Daily Sale entry '!$AC$2:$AC$1501,'Daily Sale entry '!$X$2:$X$1501,$A96,'Daily Sale entry '!$Z$2:$Z$1501,"Online collection 网上收款")-'Opening Balance'!$B$15*SUMPRODUCT(('Daily Sale entry '!$X$2:$X$1501=$A96)*('Daily Sale entry '!$Z$2:$Z$1501="Online collection 网上收款")*('Daily Sale entry '!$AA$2:$AA$1501&lt;&gt;"")*('Daily Sale entry '!$AC$2:$AC$1501-TRUNC('Daily Sale entry '!$AC$2:$AC$1501))),2))</f>
        <v/>
      </c>
      <c r="E96" s="6">
        <f>IF($A96="","",ROUND('Sales &amp; Collection'!I1312-'Sales &amp; Collection'!I1311,2))</f>
        <v/>
      </c>
      <c r="F96" s="6">
        <f>IF($A96="","",'Sales &amp; Collection'!L1304)</f>
        <v/>
      </c>
      <c r="H96" s="6">
        <f>IF($A96="","",K95)</f>
        <v/>
      </c>
      <c r="I96" s="6">
        <f>IF($A96="","",ROUND(B96+D96+E96,2))</f>
        <v/>
      </c>
      <c r="J96" s="6">
        <f>IF($A96="","",F96)</f>
        <v/>
      </c>
      <c r="K96" s="6">
        <f>IF($A96="","",ROUND(H96+I96-J96,2))</f>
        <v/>
      </c>
    </row>
    <row r="97">
      <c r="A97" s="5">
        <f>IF('Daily Sale entry '!A96="","",'Daily Sale entry '!A96)</f>
        <v/>
      </c>
      <c r="B97" s="6">
        <f>IF($A97="","",'Daily Sale entry '!F96)</f>
        <v/>
      </c>
      <c r="C97">
        <f t="array" ref="C97">IF($A97="","",_xlfn.TEXTJOIN(", ",TRUE,IF(('Daily Sale entry '!$X$2:$X$1501=$A97)*('Daily Sale entry '!$Z$2:$Z$1501="Online collection 网上收款"),'Daily Sale entry '!$AA$2:$AA$1501,"")))</f>
        <v/>
      </c>
      <c r="D97" s="6">
        <f>IF($A97="","",ROUND(SUMIFS('Daily Sale entry '!$AC$2:$AC$1501,'Daily Sale entry '!$X$2:$X$1501,$A97,'Daily Sale entry '!$Z$2:$Z$1501,"Online collection 网上收款")-'Opening Balance'!$B$15*SUMPRODUCT(('Daily Sale entry '!$X$2:$X$1501=$A97)*('Daily Sale entry '!$Z$2:$Z$1501="Online collection 网上收款")*('Daily Sale entry '!$AA$2:$AA$1501&lt;&gt;"")*('Daily Sale entry '!$AC$2:$AC$1501-TRUNC('Daily Sale entry '!$AC$2:$AC$1501))),2))</f>
        <v/>
      </c>
      <c r="E97" s="6">
        <f>IF($A97="","",ROUND('Sales &amp; Collection'!I1326-'Sales &amp; Collection'!I1325,2))</f>
        <v/>
      </c>
      <c r="F97" s="6">
        <f>IF($A97="","",'Sales &amp; Collection'!L1318)</f>
        <v/>
      </c>
      <c r="H97" s="6">
        <f>IF($A97="","",K96)</f>
        <v/>
      </c>
      <c r="I97" s="6">
        <f>IF($A97="","",ROUND(B97+D97+E97,2))</f>
        <v/>
      </c>
      <c r="J97" s="6">
        <f>IF($A97="","",F97)</f>
        <v/>
      </c>
      <c r="K97" s="6">
        <f>IF($A97="","",ROUND(H97+I97-J97,2))</f>
        <v/>
      </c>
    </row>
    <row r="98">
      <c r="A98" s="5">
        <f>IF('Daily Sale entry '!A97="","",'Daily Sale entry '!A97)</f>
        <v/>
      </c>
      <c r="B98" s="6">
        <f>IF($A98="","",'Daily Sale entry '!F97)</f>
        <v/>
      </c>
      <c r="C98">
        <f t="array" ref="C98">IF($A98="","",_xlfn.TEXTJOIN(", ",TRUE,IF(('Daily Sale entry '!$X$2:$X$1501=$A98)*('Daily Sale entry '!$Z$2:$Z$1501="Online collection 网上收款"),'Daily Sale entry '!$AA$2:$AA$1501,"")))</f>
        <v/>
      </c>
      <c r="D98" s="6">
        <f>IF($A98="","",ROUND(SUMIFS('Daily Sale entry '!$AC$2:$AC$1501,'Daily Sale entry '!$X$2:$X$1501,$A98,'Daily Sale entry '!$Z$2:$Z$1501,"Online collection 网上收款")-'Opening Balance'!$B$15*SUMPRODUCT(('Daily Sale entry '!$X$2:$X$1501=$A98)*('Daily Sale entry '!$Z$2:$Z$1501="Online collection 网上收款")*('Daily Sale entry '!$AA$2:$AA$1501&lt;&gt;"")*('Daily Sale entry '!$AC$2:$AC$1501-TRUNC('Daily Sale entry '!$AC$2:$AC$1501))),2))</f>
        <v/>
      </c>
      <c r="E98" s="6">
        <f>IF($A98="","",ROUND('Sales &amp; Collection'!I1340-'Sales &amp; Collection'!I1339,2))</f>
        <v/>
      </c>
      <c r="F98" s="6">
        <f>IF($A98="","",'Sales &amp; Collection'!L1332)</f>
        <v/>
      </c>
      <c r="H98" s="6">
        <f>IF($A98="","",K97)</f>
        <v/>
      </c>
      <c r="I98" s="6">
        <f>IF($A98="","",ROUND(B98+D98+E98,2))</f>
        <v/>
      </c>
      <c r="J98" s="6">
        <f>IF($A98="","",F98)</f>
        <v/>
      </c>
      <c r="K98" s="6">
        <f>IF($A98="","",ROUND(H98+I98-J98,2))</f>
        <v/>
      </c>
    </row>
    <row r="99">
      <c r="A99" s="5">
        <f>IF('Daily Sale entry '!A98="","",'Daily Sale entry '!A98)</f>
        <v/>
      </c>
      <c r="B99" s="6">
        <f>IF($A99="","",'Daily Sale entry '!F98)</f>
        <v/>
      </c>
      <c r="C99">
        <f t="array" ref="C99">IF($A99="","",_xlfn.TEXTJOIN(", ",TRUE,IF(('Daily Sale entry '!$X$2:$X$1501=$A99)*('Daily Sale entry '!$Z$2:$Z$1501="Online collection 网上收款"),'Daily Sale entry '!$AA$2:$AA$1501,"")))</f>
        <v/>
      </c>
      <c r="D99" s="6">
        <f>IF($A99="","",ROUND(SUMIFS('Daily Sale entry '!$AC$2:$AC$1501,'Daily Sale entry '!$X$2:$X$1501,$A99,'Daily Sale entry '!$Z$2:$Z$1501,"Online collection 网上收款")-'Opening Balance'!$B$15*SUMPRODUCT(('Daily Sale entry '!$X$2:$X$1501=$A99)*('Daily Sale entry '!$Z$2:$Z$1501="Online collection 网上收款")*('Daily Sale entry '!$AA$2:$AA$1501&lt;&gt;"")*('Daily Sale entry '!$AC$2:$AC$1501-TRUNC('Daily Sale entry '!$AC$2:$AC$1501))),2))</f>
        <v/>
      </c>
      <c r="E99" s="6">
        <f>IF($A99="","",ROUND('Sales &amp; Collection'!I1354-'Sales &amp; Collection'!I1353,2))</f>
        <v/>
      </c>
      <c r="F99" s="6">
        <f>IF($A99="","",'Sales &amp; Collection'!L1346)</f>
        <v/>
      </c>
      <c r="H99" s="6">
        <f>IF($A99="","",K98)</f>
        <v/>
      </c>
      <c r="I99" s="6">
        <f>IF($A99="","",ROUND(B99+D99+E99,2))</f>
        <v/>
      </c>
      <c r="J99" s="6">
        <f>IF($A99="","",F99)</f>
        <v/>
      </c>
      <c r="K99" s="6">
        <f>IF($A99="","",ROUND(H99+I99-J99,2))</f>
        <v/>
      </c>
    </row>
    <row r="100">
      <c r="A100" s="5">
        <f>IF('Daily Sale entry '!A99="","",'Daily Sale entry '!A99)</f>
        <v/>
      </c>
      <c r="B100" s="6">
        <f>IF($A100="","",'Daily Sale entry '!F99)</f>
        <v/>
      </c>
      <c r="C100">
        <f t="array" ref="C100">IF($A100="","",_xlfn.TEXTJOIN(", ",TRUE,IF(('Daily Sale entry '!$X$2:$X$1501=$A100)*('Daily Sale entry '!$Z$2:$Z$1501="Online collection 网上收款"),'Daily Sale entry '!$AA$2:$AA$1501,"")))</f>
        <v/>
      </c>
      <c r="D100" s="6">
        <f>IF($A100="","",ROUND(SUMIFS('Daily Sale entry '!$AC$2:$AC$1501,'Daily Sale entry '!$X$2:$X$1501,$A100,'Daily Sale entry '!$Z$2:$Z$1501,"Online collection 网上收款")-'Opening Balance'!$B$15*SUMPRODUCT(('Daily Sale entry '!$X$2:$X$1501=$A100)*('Daily Sale entry '!$Z$2:$Z$1501="Online collection 网上收款")*('Daily Sale entry '!$AA$2:$AA$1501&lt;&gt;"")*('Daily Sale entry '!$AC$2:$AC$1501-TRUNC('Daily Sale entry '!$AC$2:$AC$1501))),2))</f>
        <v/>
      </c>
      <c r="E100" s="6">
        <f>IF($A100="","",ROUND('Sales &amp; Collection'!I1368-'Sales &amp; Collection'!I1367,2))</f>
        <v/>
      </c>
      <c r="F100" s="6">
        <f>IF($A100="","",'Sales &amp; Collection'!L1360)</f>
        <v/>
      </c>
      <c r="H100" s="6">
        <f>IF($A100="","",K99)</f>
        <v/>
      </c>
      <c r="I100" s="6">
        <f>IF($A100="","",ROUND(B100+D100+E100,2))</f>
        <v/>
      </c>
      <c r="J100" s="6">
        <f>IF($A100="","",F100)</f>
        <v/>
      </c>
      <c r="K100" s="6">
        <f>IF($A100="","",ROUND(H100+I100-J100,2))</f>
        <v/>
      </c>
    </row>
    <row r="101">
      <c r="A101" s="5">
        <f>IF('Daily Sale entry '!A100="","",'Daily Sale entry '!A100)</f>
        <v/>
      </c>
      <c r="B101" s="6">
        <f>IF($A101="","",'Daily Sale entry '!F100)</f>
        <v/>
      </c>
      <c r="C101">
        <f t="array" ref="C101">IF($A101="","",_xlfn.TEXTJOIN(", ",TRUE,IF(('Daily Sale entry '!$X$2:$X$1501=$A101)*('Daily Sale entry '!$Z$2:$Z$1501="Online collection 网上收款"),'Daily Sale entry '!$AA$2:$AA$1501,"")))</f>
        <v/>
      </c>
      <c r="D101" s="6">
        <f>IF($A101="","",ROUND(SUMIFS('Daily Sale entry '!$AC$2:$AC$1501,'Daily Sale entry '!$X$2:$X$1501,$A101,'Daily Sale entry '!$Z$2:$Z$1501,"Online collection 网上收款")-'Opening Balance'!$B$15*SUMPRODUCT(('Daily Sale entry '!$X$2:$X$1501=$A101)*('Daily Sale entry '!$Z$2:$Z$1501="Online collection 网上收款")*('Daily Sale entry '!$AA$2:$AA$1501&lt;&gt;"")*('Daily Sale entry '!$AC$2:$AC$1501-TRUNC('Daily Sale entry '!$AC$2:$AC$1501))),2))</f>
        <v/>
      </c>
      <c r="E101" s="6">
        <f>IF($A101="","",ROUND('Sales &amp; Collection'!I1382-'Sales &amp; Collection'!I1381,2))</f>
        <v/>
      </c>
      <c r="F101" s="6">
        <f>IF($A101="","",'Sales &amp; Collection'!L1374)</f>
        <v/>
      </c>
      <c r="H101" s="6">
        <f>IF($A101="","",K100)</f>
        <v/>
      </c>
      <c r="I101" s="6">
        <f>IF($A101="","",ROUND(B101+D101+E101,2))</f>
        <v/>
      </c>
      <c r="J101" s="6">
        <f>IF($A101="","",F101)</f>
        <v/>
      </c>
      <c r="K101" s="6">
        <f>IF($A101="","",ROUND(H101+I101-J101,2))</f>
        <v/>
      </c>
    </row>
    <row r="102">
      <c r="A102" s="5">
        <f>IF('Daily Sale entry '!A101="","",'Daily Sale entry '!A101)</f>
        <v/>
      </c>
      <c r="B102" s="6">
        <f>IF($A102="","",'Daily Sale entry '!F101)</f>
        <v/>
      </c>
      <c r="C102">
        <f t="array" ref="C102">IF($A102="","",_xlfn.TEXTJOIN(", ",TRUE,IF(('Daily Sale entry '!$X$2:$X$1501=$A102)*('Daily Sale entry '!$Z$2:$Z$1501="Online collection 网上收款"),'Daily Sale entry '!$AA$2:$AA$1501,"")))</f>
        <v/>
      </c>
      <c r="D102" s="6">
        <f>IF($A102="","",ROUND(SUMIFS('Daily Sale entry '!$AC$2:$AC$1501,'Daily Sale entry '!$X$2:$X$1501,$A102,'Daily Sale entry '!$Z$2:$Z$1501,"Online collection 网上收款")-'Opening Balance'!$B$15*SUMPRODUCT(('Daily Sale entry '!$X$2:$X$1501=$A102)*('Daily Sale entry '!$Z$2:$Z$1501="Online collection 网上收款")*('Daily Sale entry '!$AA$2:$AA$1501&lt;&gt;"")*('Daily Sale entry '!$AC$2:$AC$1501-TRUNC('Daily Sale entry '!$AC$2:$AC$1501))),2))</f>
        <v/>
      </c>
      <c r="E102" s="6">
        <f>IF($A102="","",ROUND('Sales &amp; Collection'!I1396-'Sales &amp; Collection'!I1395,2))</f>
        <v/>
      </c>
      <c r="F102" s="6">
        <f>IF($A102="","",'Sales &amp; Collection'!L1388)</f>
        <v/>
      </c>
      <c r="H102" s="6">
        <f>IF($A102="","",K101)</f>
        <v/>
      </c>
      <c r="I102" s="6">
        <f>IF($A102="","",ROUND(B102+D102+E102,2))</f>
        <v/>
      </c>
      <c r="J102" s="6">
        <f>IF($A102="","",F102)</f>
        <v/>
      </c>
      <c r="K102" s="6">
        <f>IF($A102="","",ROUND(H102+I102-J102,2))</f>
        <v/>
      </c>
    </row>
    <row r="103">
      <c r="A103" s="5">
        <f>IF('Daily Sale entry '!A102="","",'Daily Sale entry '!A102)</f>
        <v/>
      </c>
      <c r="B103" s="6">
        <f>IF($A103="","",'Daily Sale entry '!F102)</f>
        <v/>
      </c>
      <c r="C103">
        <f t="array" ref="C103">IF($A103="","",_xlfn.TEXTJOIN(", ",TRUE,IF(('Daily Sale entry '!$X$2:$X$1501=$A103)*('Daily Sale entry '!$Z$2:$Z$1501="Online collection 网上收款"),'Daily Sale entry '!$AA$2:$AA$1501,"")))</f>
        <v/>
      </c>
      <c r="D103" s="6">
        <f>IF($A103="","",ROUND(SUMIFS('Daily Sale entry '!$AC$2:$AC$1501,'Daily Sale entry '!$X$2:$X$1501,$A103,'Daily Sale entry '!$Z$2:$Z$1501,"Online collection 网上收款")-'Opening Balance'!$B$15*SUMPRODUCT(('Daily Sale entry '!$X$2:$X$1501=$A103)*('Daily Sale entry '!$Z$2:$Z$1501="Online collection 网上收款")*('Daily Sale entry '!$AA$2:$AA$1501&lt;&gt;"")*('Daily Sale entry '!$AC$2:$AC$1501-TRUNC('Daily Sale entry '!$AC$2:$AC$1501))),2))</f>
        <v/>
      </c>
      <c r="E103" s="6">
        <f>IF($A103="","",ROUND('Sales &amp; Collection'!I1410-'Sales &amp; Collection'!I1409,2))</f>
        <v/>
      </c>
      <c r="F103" s="6">
        <f>IF($A103="","",'Sales &amp; Collection'!L1402)</f>
        <v/>
      </c>
      <c r="H103" s="6">
        <f>IF($A103="","",K102)</f>
        <v/>
      </c>
      <c r="I103" s="6">
        <f>IF($A103="","",ROUND(B103+D103+E103,2))</f>
        <v/>
      </c>
      <c r="J103" s="6">
        <f>IF($A103="","",F103)</f>
        <v/>
      </c>
      <c r="K103" s="6">
        <f>IF($A103="","",ROUND(H103+I103-J103,2))</f>
        <v/>
      </c>
    </row>
    <row r="104">
      <c r="A104" s="5">
        <f>IF('Daily Sale entry '!A103="","",'Daily Sale entry '!A103)</f>
        <v/>
      </c>
      <c r="B104" s="6">
        <f>IF($A104="","",'Daily Sale entry '!F103)</f>
        <v/>
      </c>
      <c r="C104">
        <f t="array" ref="C104">IF($A104="","",_xlfn.TEXTJOIN(", ",TRUE,IF(('Daily Sale entry '!$X$2:$X$1501=$A104)*('Daily Sale entry '!$Z$2:$Z$1501="Online collection 网上收款"),'Daily Sale entry '!$AA$2:$AA$1501,"")))</f>
        <v/>
      </c>
      <c r="D104" s="6">
        <f>IF($A104="","",ROUND(SUMIFS('Daily Sale entry '!$AC$2:$AC$1501,'Daily Sale entry '!$X$2:$X$1501,$A104,'Daily Sale entry '!$Z$2:$Z$1501,"Online collection 网上收款")-'Opening Balance'!$B$15*SUMPRODUCT(('Daily Sale entry '!$X$2:$X$1501=$A104)*('Daily Sale entry '!$Z$2:$Z$1501="Online collection 网上收款")*('Daily Sale entry '!$AA$2:$AA$1501&lt;&gt;"")*('Daily Sale entry '!$AC$2:$AC$1501-TRUNC('Daily Sale entry '!$AC$2:$AC$1501))),2))</f>
        <v/>
      </c>
      <c r="E104" s="6">
        <f>IF($A104="","",ROUND('Sales &amp; Collection'!I1424-'Sales &amp; Collection'!I1423,2))</f>
        <v/>
      </c>
      <c r="F104" s="6">
        <f>IF($A104="","",'Sales &amp; Collection'!L1416)</f>
        <v/>
      </c>
      <c r="H104" s="6">
        <f>IF($A104="","",K103)</f>
        <v/>
      </c>
      <c r="I104" s="6">
        <f>IF($A104="","",ROUND(B104+D104+E104,2))</f>
        <v/>
      </c>
      <c r="J104" s="6">
        <f>IF($A104="","",F104)</f>
        <v/>
      </c>
      <c r="K104" s="6">
        <f>IF($A104="","",ROUND(H104+I104-J104,2))</f>
        <v/>
      </c>
    </row>
    <row r="105">
      <c r="A105" s="5">
        <f>IF('Daily Sale entry '!A104="","",'Daily Sale entry '!A104)</f>
        <v/>
      </c>
      <c r="B105" s="6">
        <f>IF($A105="","",'Daily Sale entry '!F104)</f>
        <v/>
      </c>
      <c r="C105">
        <f t="array" ref="C105">IF($A105="","",_xlfn.TEXTJOIN(", ",TRUE,IF(('Daily Sale entry '!$X$2:$X$1501=$A105)*('Daily Sale entry '!$Z$2:$Z$1501="Online collection 网上收款"),'Daily Sale entry '!$AA$2:$AA$1501,"")))</f>
        <v/>
      </c>
      <c r="D105" s="6">
        <f>IF($A105="","",ROUND(SUMIFS('Daily Sale entry '!$AC$2:$AC$1501,'Daily Sale entry '!$X$2:$X$1501,$A105,'Daily Sale entry '!$Z$2:$Z$1501,"Online collection 网上收款")-'Opening Balance'!$B$15*SUMPRODUCT(('Daily Sale entry '!$X$2:$X$1501=$A105)*('Daily Sale entry '!$Z$2:$Z$1501="Online collection 网上收款")*('Daily Sale entry '!$AA$2:$AA$1501&lt;&gt;"")*('Daily Sale entry '!$AC$2:$AC$1501-TRUNC('Daily Sale entry '!$AC$2:$AC$1501))),2))</f>
        <v/>
      </c>
      <c r="E105" s="6">
        <f>IF($A105="","",ROUND('Sales &amp; Collection'!I1438-'Sales &amp; Collection'!I1437,2))</f>
        <v/>
      </c>
      <c r="F105" s="6">
        <f>IF($A105="","",'Sales &amp; Collection'!L1430)</f>
        <v/>
      </c>
      <c r="H105" s="6">
        <f>IF($A105="","",K104)</f>
        <v/>
      </c>
      <c r="I105" s="6">
        <f>IF($A105="","",ROUND(B105+D105+E105,2))</f>
        <v/>
      </c>
      <c r="J105" s="6">
        <f>IF($A105="","",F105)</f>
        <v/>
      </c>
      <c r="K105" s="6">
        <f>IF($A105="","",ROUND(H105+I105-J105,2))</f>
        <v/>
      </c>
    </row>
    <row r="106">
      <c r="A106" s="5">
        <f>IF('Daily Sale entry '!A105="","",'Daily Sale entry '!A105)</f>
        <v/>
      </c>
      <c r="B106" s="6">
        <f>IF($A106="","",'Daily Sale entry '!F105)</f>
        <v/>
      </c>
      <c r="C106">
        <f t="array" ref="C106">IF($A106="","",_xlfn.TEXTJOIN(", ",TRUE,IF(('Daily Sale entry '!$X$2:$X$1501=$A106)*('Daily Sale entry '!$Z$2:$Z$1501="Online collection 网上收款"),'Daily Sale entry '!$AA$2:$AA$1501,"")))</f>
        <v/>
      </c>
      <c r="D106" s="6">
        <f>IF($A106="","",ROUND(SUMIFS('Daily Sale entry '!$AC$2:$AC$1501,'Daily Sale entry '!$X$2:$X$1501,$A106,'Daily Sale entry '!$Z$2:$Z$1501,"Online collection 网上收款")-'Opening Balance'!$B$15*SUMPRODUCT(('Daily Sale entry '!$X$2:$X$1501=$A106)*('Daily Sale entry '!$Z$2:$Z$1501="Online collection 网上收款")*('Daily Sale entry '!$AA$2:$AA$1501&lt;&gt;"")*('Daily Sale entry '!$AC$2:$AC$1501-TRUNC('Daily Sale entry '!$AC$2:$AC$1501))),2))</f>
        <v/>
      </c>
      <c r="E106" s="6">
        <f>IF($A106="","",ROUND('Sales &amp; Collection'!I1452-'Sales &amp; Collection'!I1451,2))</f>
        <v/>
      </c>
      <c r="F106" s="6">
        <f>IF($A106="","",'Sales &amp; Collection'!L1444)</f>
        <v/>
      </c>
      <c r="H106" s="6">
        <f>IF($A106="","",K105)</f>
        <v/>
      </c>
      <c r="I106" s="6">
        <f>IF($A106="","",ROUND(B106+D106+E106,2))</f>
        <v/>
      </c>
      <c r="J106" s="6">
        <f>IF($A106="","",F106)</f>
        <v/>
      </c>
      <c r="K106" s="6">
        <f>IF($A106="","",ROUND(H106+I106-J106,2))</f>
        <v/>
      </c>
    </row>
    <row r="107">
      <c r="A107" s="5">
        <f>IF('Daily Sale entry '!A106="","",'Daily Sale entry '!A106)</f>
        <v/>
      </c>
      <c r="B107" s="6">
        <f>IF($A107="","",'Daily Sale entry '!F106)</f>
        <v/>
      </c>
      <c r="C107">
        <f t="array" ref="C107">IF($A107="","",_xlfn.TEXTJOIN(", ",TRUE,IF(('Daily Sale entry '!$X$2:$X$1501=$A107)*('Daily Sale entry '!$Z$2:$Z$1501="Online collection 网上收款"),'Daily Sale entry '!$AA$2:$AA$1501,"")))</f>
        <v/>
      </c>
      <c r="D107" s="6">
        <f>IF($A107="","",ROUND(SUMIFS('Daily Sale entry '!$AC$2:$AC$1501,'Daily Sale entry '!$X$2:$X$1501,$A107,'Daily Sale entry '!$Z$2:$Z$1501,"Online collection 网上收款")-'Opening Balance'!$B$15*SUMPRODUCT(('Daily Sale entry '!$X$2:$X$1501=$A107)*('Daily Sale entry '!$Z$2:$Z$1501="Online collection 网上收款")*('Daily Sale entry '!$AA$2:$AA$1501&lt;&gt;"")*('Daily Sale entry '!$AC$2:$AC$1501-TRUNC('Daily Sale entry '!$AC$2:$AC$1501))),2))</f>
        <v/>
      </c>
      <c r="E107" s="6">
        <f>IF($A107="","",ROUND('Sales &amp; Collection'!I1466-'Sales &amp; Collection'!I1465,2))</f>
        <v/>
      </c>
      <c r="F107" s="6">
        <f>IF($A107="","",'Sales &amp; Collection'!L1458)</f>
        <v/>
      </c>
      <c r="H107" s="6">
        <f>IF($A107="","",K106)</f>
        <v/>
      </c>
      <c r="I107" s="6">
        <f>IF($A107="","",ROUND(B107+D107+E107,2))</f>
        <v/>
      </c>
      <c r="J107" s="6">
        <f>IF($A107="","",F107)</f>
        <v/>
      </c>
      <c r="K107" s="6">
        <f>IF($A107="","",ROUND(H107+I107-J107,2))</f>
        <v/>
      </c>
    </row>
    <row r="108">
      <c r="A108" s="5">
        <f>IF('Daily Sale entry '!A107="","",'Daily Sale entry '!A107)</f>
        <v/>
      </c>
      <c r="B108" s="6">
        <f>IF($A108="","",'Daily Sale entry '!F107)</f>
        <v/>
      </c>
      <c r="C108">
        <f t="array" ref="C108">IF($A108="","",_xlfn.TEXTJOIN(", ",TRUE,IF(('Daily Sale entry '!$X$2:$X$1501=$A108)*('Daily Sale entry '!$Z$2:$Z$1501="Online collection 网上收款"),'Daily Sale entry '!$AA$2:$AA$1501,"")))</f>
        <v/>
      </c>
      <c r="D108" s="6">
        <f>IF($A108="","",ROUND(SUMIFS('Daily Sale entry '!$AC$2:$AC$1501,'Daily Sale entry '!$X$2:$X$1501,$A108,'Daily Sale entry '!$Z$2:$Z$1501,"Online collection 网上收款")-'Opening Balance'!$B$15*SUMPRODUCT(('Daily Sale entry '!$X$2:$X$1501=$A108)*('Daily Sale entry '!$Z$2:$Z$1501="Online collection 网上收款")*('Daily Sale entry '!$AA$2:$AA$1501&lt;&gt;"")*('Daily Sale entry '!$AC$2:$AC$1501-TRUNC('Daily Sale entry '!$AC$2:$AC$1501))),2))</f>
        <v/>
      </c>
      <c r="E108" s="6">
        <f>IF($A108="","",ROUND('Sales &amp; Collection'!I1480-'Sales &amp; Collection'!I1479,2))</f>
        <v/>
      </c>
      <c r="F108" s="6">
        <f>IF($A108="","",'Sales &amp; Collection'!L1472)</f>
        <v/>
      </c>
      <c r="H108" s="6">
        <f>IF($A108="","",K107)</f>
        <v/>
      </c>
      <c r="I108" s="6">
        <f>IF($A108="","",ROUND(B108+D108+E108,2))</f>
        <v/>
      </c>
      <c r="J108" s="6">
        <f>IF($A108="","",F108)</f>
        <v/>
      </c>
      <c r="K108" s="6">
        <f>IF($A108="","",ROUND(H108+I108-J108,2))</f>
        <v/>
      </c>
    </row>
    <row r="109">
      <c r="A109" s="5">
        <f>IF('Daily Sale entry '!A108="","",'Daily Sale entry '!A108)</f>
        <v/>
      </c>
      <c r="B109" s="6">
        <f>IF($A109="","",'Daily Sale entry '!F108)</f>
        <v/>
      </c>
      <c r="C109">
        <f t="array" ref="C109">IF($A109="","",_xlfn.TEXTJOIN(", ",TRUE,IF(('Daily Sale entry '!$X$2:$X$1501=$A109)*('Daily Sale entry '!$Z$2:$Z$1501="Online collection 网上收款"),'Daily Sale entry '!$AA$2:$AA$1501,"")))</f>
        <v/>
      </c>
      <c r="D109" s="6">
        <f>IF($A109="","",ROUND(SUMIFS('Daily Sale entry '!$AC$2:$AC$1501,'Daily Sale entry '!$X$2:$X$1501,$A109,'Daily Sale entry '!$Z$2:$Z$1501,"Online collection 网上收款")-'Opening Balance'!$B$15*SUMPRODUCT(('Daily Sale entry '!$X$2:$X$1501=$A109)*('Daily Sale entry '!$Z$2:$Z$1501="Online collection 网上收款")*('Daily Sale entry '!$AA$2:$AA$1501&lt;&gt;"")*('Daily Sale entry '!$AC$2:$AC$1501-TRUNC('Daily Sale entry '!$AC$2:$AC$1501))),2))</f>
        <v/>
      </c>
      <c r="E109" s="6">
        <f>IF($A109="","",ROUND('Sales &amp; Collection'!I1494-'Sales &amp; Collection'!I1493,2))</f>
        <v/>
      </c>
      <c r="F109" s="6">
        <f>IF($A109="","",'Sales &amp; Collection'!L1486)</f>
        <v/>
      </c>
      <c r="H109" s="6">
        <f>IF($A109="","",K108)</f>
        <v/>
      </c>
      <c r="I109" s="6">
        <f>IF($A109="","",ROUND(B109+D109+E109,2))</f>
        <v/>
      </c>
      <c r="J109" s="6">
        <f>IF($A109="","",F109)</f>
        <v/>
      </c>
      <c r="K109" s="6">
        <f>IF($A109="","",ROUND(H109+I109-J109,2))</f>
        <v/>
      </c>
    </row>
    <row r="110">
      <c r="A110" s="5">
        <f>IF('Daily Sale entry '!A109="","",'Daily Sale entry '!A109)</f>
        <v/>
      </c>
      <c r="B110" s="6">
        <f>IF($A110="","",'Daily Sale entry '!F109)</f>
        <v/>
      </c>
      <c r="C110">
        <f t="array" ref="C110">IF($A110="","",_xlfn.TEXTJOIN(", ",TRUE,IF(('Daily Sale entry '!$X$2:$X$1501=$A110)*('Daily Sale entry '!$Z$2:$Z$1501="Online collection 网上收款"),'Daily Sale entry '!$AA$2:$AA$1501,"")))</f>
        <v/>
      </c>
      <c r="D110" s="6">
        <f>IF($A110="","",ROUND(SUMIFS('Daily Sale entry '!$AC$2:$AC$1501,'Daily Sale entry '!$X$2:$X$1501,$A110,'Daily Sale entry '!$Z$2:$Z$1501,"Online collection 网上收款")-'Opening Balance'!$B$15*SUMPRODUCT(('Daily Sale entry '!$X$2:$X$1501=$A110)*('Daily Sale entry '!$Z$2:$Z$1501="Online collection 网上收款")*('Daily Sale entry '!$AA$2:$AA$1501&lt;&gt;"")*('Daily Sale entry '!$AC$2:$AC$1501-TRUNC('Daily Sale entry '!$AC$2:$AC$1501))),2))</f>
        <v/>
      </c>
      <c r="E110" s="6">
        <f>IF($A110="","",ROUND('Sales &amp; Collection'!I1508-'Sales &amp; Collection'!I1507,2))</f>
        <v/>
      </c>
      <c r="F110" s="6">
        <f>IF($A110="","",'Sales &amp; Collection'!L1500)</f>
        <v/>
      </c>
      <c r="H110" s="6">
        <f>IF($A110="","",K109)</f>
        <v/>
      </c>
      <c r="I110" s="6">
        <f>IF($A110="","",ROUND(B110+D110+E110,2))</f>
        <v/>
      </c>
      <c r="J110" s="6">
        <f>IF($A110="","",F110)</f>
        <v/>
      </c>
      <c r="K110" s="6">
        <f>IF($A110="","",ROUND(H110+I110-J110,2))</f>
        <v/>
      </c>
    </row>
    <row r="111">
      <c r="A111" s="5">
        <f>IF('Daily Sale entry '!A110="","",'Daily Sale entry '!A110)</f>
        <v/>
      </c>
      <c r="B111" s="6">
        <f>IF($A111="","",'Daily Sale entry '!F110)</f>
        <v/>
      </c>
      <c r="C111">
        <f t="array" ref="C111">IF($A111="","",_xlfn.TEXTJOIN(", ",TRUE,IF(('Daily Sale entry '!$X$2:$X$1501=$A111)*('Daily Sale entry '!$Z$2:$Z$1501="Online collection 网上收款"),'Daily Sale entry '!$AA$2:$AA$1501,"")))</f>
        <v/>
      </c>
      <c r="D111" s="6">
        <f>IF($A111="","",ROUND(SUMIFS('Daily Sale entry '!$AC$2:$AC$1501,'Daily Sale entry '!$X$2:$X$1501,$A111,'Daily Sale entry '!$Z$2:$Z$1501,"Online collection 网上收款")-'Opening Balance'!$B$15*SUMPRODUCT(('Daily Sale entry '!$X$2:$X$1501=$A111)*('Daily Sale entry '!$Z$2:$Z$1501="Online collection 网上收款")*('Daily Sale entry '!$AA$2:$AA$1501&lt;&gt;"")*('Daily Sale entry '!$AC$2:$AC$1501-TRUNC('Daily Sale entry '!$AC$2:$AC$1501))),2))</f>
        <v/>
      </c>
      <c r="E111" s="6">
        <f>IF($A111="","",ROUND('Sales &amp; Collection'!I1522-'Sales &amp; Collection'!I1521,2))</f>
        <v/>
      </c>
      <c r="F111" s="6">
        <f>IF($A111="","",'Sales &amp; Collection'!L1514)</f>
        <v/>
      </c>
      <c r="H111" s="6">
        <f>IF($A111="","",K110)</f>
        <v/>
      </c>
      <c r="I111" s="6">
        <f>IF($A111="","",ROUND(B111+D111+E111,2))</f>
        <v/>
      </c>
      <c r="J111" s="6">
        <f>IF($A111="","",F111)</f>
        <v/>
      </c>
      <c r="K111" s="6">
        <f>IF($A111="","",ROUND(H111+I111-J111,2))</f>
        <v/>
      </c>
    </row>
    <row r="112">
      <c r="A112" s="5">
        <f>IF('Daily Sale entry '!A111="","",'Daily Sale entry '!A111)</f>
        <v/>
      </c>
      <c r="B112" s="6">
        <f>IF($A112="","",'Daily Sale entry '!F111)</f>
        <v/>
      </c>
      <c r="C112">
        <f t="array" ref="C112">IF($A112="","",_xlfn.TEXTJOIN(", ",TRUE,IF(('Daily Sale entry '!$X$2:$X$1501=$A112)*('Daily Sale entry '!$Z$2:$Z$1501="Online collection 网上收款"),'Daily Sale entry '!$AA$2:$AA$1501,"")))</f>
        <v/>
      </c>
      <c r="D112" s="6">
        <f>IF($A112="","",ROUND(SUMIFS('Daily Sale entry '!$AC$2:$AC$1501,'Daily Sale entry '!$X$2:$X$1501,$A112,'Daily Sale entry '!$Z$2:$Z$1501,"Online collection 网上收款")-'Opening Balance'!$B$15*SUMPRODUCT(('Daily Sale entry '!$X$2:$X$1501=$A112)*('Daily Sale entry '!$Z$2:$Z$1501="Online collection 网上收款")*('Daily Sale entry '!$AA$2:$AA$1501&lt;&gt;"")*('Daily Sale entry '!$AC$2:$AC$1501-TRUNC('Daily Sale entry '!$AC$2:$AC$1501))),2))</f>
        <v/>
      </c>
      <c r="E112" s="6">
        <f>IF($A112="","",ROUND('Sales &amp; Collection'!I1536-'Sales &amp; Collection'!I1535,2))</f>
        <v/>
      </c>
      <c r="F112" s="6">
        <f>IF($A112="","",'Sales &amp; Collection'!L1528)</f>
        <v/>
      </c>
      <c r="H112" s="6">
        <f>IF($A112="","",K111)</f>
        <v/>
      </c>
      <c r="I112" s="6">
        <f>IF($A112="","",ROUND(B112+D112+E112,2))</f>
        <v/>
      </c>
      <c r="J112" s="6">
        <f>IF($A112="","",F112)</f>
        <v/>
      </c>
      <c r="K112" s="6">
        <f>IF($A112="","",ROUND(H112+I112-J112,2))</f>
        <v/>
      </c>
    </row>
    <row r="113">
      <c r="A113" s="5">
        <f>IF('Daily Sale entry '!A112="","",'Daily Sale entry '!A112)</f>
        <v/>
      </c>
      <c r="B113" s="6">
        <f>IF($A113="","",'Daily Sale entry '!F112)</f>
        <v/>
      </c>
      <c r="C113">
        <f t="array" ref="C113">IF($A113="","",_xlfn.TEXTJOIN(", ",TRUE,IF(('Daily Sale entry '!$X$2:$X$1501=$A113)*('Daily Sale entry '!$Z$2:$Z$1501="Online collection 网上收款"),'Daily Sale entry '!$AA$2:$AA$1501,"")))</f>
        <v/>
      </c>
      <c r="D113" s="6">
        <f>IF($A113="","",ROUND(SUMIFS('Daily Sale entry '!$AC$2:$AC$1501,'Daily Sale entry '!$X$2:$X$1501,$A113,'Daily Sale entry '!$Z$2:$Z$1501,"Online collection 网上收款")-'Opening Balance'!$B$15*SUMPRODUCT(('Daily Sale entry '!$X$2:$X$1501=$A113)*('Daily Sale entry '!$Z$2:$Z$1501="Online collection 网上收款")*('Daily Sale entry '!$AA$2:$AA$1501&lt;&gt;"")*('Daily Sale entry '!$AC$2:$AC$1501-TRUNC('Daily Sale entry '!$AC$2:$AC$1501))),2))</f>
        <v/>
      </c>
      <c r="E113" s="6">
        <f>IF($A113="","",ROUND('Sales &amp; Collection'!I1550-'Sales &amp; Collection'!I1549,2))</f>
        <v/>
      </c>
      <c r="F113" s="6">
        <f>IF($A113="","",'Sales &amp; Collection'!L1542)</f>
        <v/>
      </c>
      <c r="H113" s="6">
        <f>IF($A113="","",K112)</f>
        <v/>
      </c>
      <c r="I113" s="6">
        <f>IF($A113="","",ROUND(B113+D113+E113,2))</f>
        <v/>
      </c>
      <c r="J113" s="6">
        <f>IF($A113="","",F113)</f>
        <v/>
      </c>
      <c r="K113" s="6">
        <f>IF($A113="","",ROUND(H113+I113-J113,2))</f>
        <v/>
      </c>
    </row>
    <row r="114">
      <c r="A114" s="5">
        <f>IF('Daily Sale entry '!A113="","",'Daily Sale entry '!A113)</f>
        <v/>
      </c>
      <c r="B114" s="6">
        <f>IF($A114="","",'Daily Sale entry '!F113)</f>
        <v/>
      </c>
      <c r="C114">
        <f t="array" ref="C114">IF($A114="","",_xlfn.TEXTJOIN(", ",TRUE,IF(('Daily Sale entry '!$X$2:$X$1501=$A114)*('Daily Sale entry '!$Z$2:$Z$1501="Online collection 网上收款"),'Daily Sale entry '!$AA$2:$AA$1501,"")))</f>
        <v/>
      </c>
      <c r="D114" s="6">
        <f>IF($A114="","",ROUND(SUMIFS('Daily Sale entry '!$AC$2:$AC$1501,'Daily Sale entry '!$X$2:$X$1501,$A114,'Daily Sale entry '!$Z$2:$Z$1501,"Online collection 网上收款")-'Opening Balance'!$B$15*SUMPRODUCT(('Daily Sale entry '!$X$2:$X$1501=$A114)*('Daily Sale entry '!$Z$2:$Z$1501="Online collection 网上收款")*('Daily Sale entry '!$AA$2:$AA$1501&lt;&gt;"")*('Daily Sale entry '!$AC$2:$AC$1501-TRUNC('Daily Sale entry '!$AC$2:$AC$1501))),2))</f>
        <v/>
      </c>
      <c r="E114" s="6">
        <f>IF($A114="","",ROUND('Sales &amp; Collection'!I1564-'Sales &amp; Collection'!I1563,2))</f>
        <v/>
      </c>
      <c r="F114" s="6">
        <f>IF($A114="","",'Sales &amp; Collection'!L1556)</f>
        <v/>
      </c>
      <c r="H114" s="6">
        <f>IF($A114="","",K113)</f>
        <v/>
      </c>
      <c r="I114" s="6">
        <f>IF($A114="","",ROUND(B114+D114+E114,2))</f>
        <v/>
      </c>
      <c r="J114" s="6">
        <f>IF($A114="","",F114)</f>
        <v/>
      </c>
      <c r="K114" s="6">
        <f>IF($A114="","",ROUND(H114+I114-J114,2))</f>
        <v/>
      </c>
    </row>
    <row r="115">
      <c r="A115" s="5">
        <f>IF('Daily Sale entry '!A114="","",'Daily Sale entry '!A114)</f>
        <v/>
      </c>
      <c r="B115" s="6">
        <f>IF($A115="","",'Daily Sale entry '!F114)</f>
        <v/>
      </c>
      <c r="C115">
        <f t="array" ref="C115">IF($A115="","",_xlfn.TEXTJOIN(", ",TRUE,IF(('Daily Sale entry '!$X$2:$X$1501=$A115)*('Daily Sale entry '!$Z$2:$Z$1501="Online collection 网上收款"),'Daily Sale entry '!$AA$2:$AA$1501,"")))</f>
        <v/>
      </c>
      <c r="D115" s="6">
        <f>IF($A115="","",ROUND(SUMIFS('Daily Sale entry '!$AC$2:$AC$1501,'Daily Sale entry '!$X$2:$X$1501,$A115,'Daily Sale entry '!$Z$2:$Z$1501,"Online collection 网上收款")-'Opening Balance'!$B$15*SUMPRODUCT(('Daily Sale entry '!$X$2:$X$1501=$A115)*('Daily Sale entry '!$Z$2:$Z$1501="Online collection 网上收款")*('Daily Sale entry '!$AA$2:$AA$1501&lt;&gt;"")*('Daily Sale entry '!$AC$2:$AC$1501-TRUNC('Daily Sale entry '!$AC$2:$AC$1501))),2))</f>
        <v/>
      </c>
      <c r="E115" s="6">
        <f>IF($A115="","",ROUND('Sales &amp; Collection'!I1578-'Sales &amp; Collection'!I1577,2))</f>
        <v/>
      </c>
      <c r="F115" s="6">
        <f>IF($A115="","",'Sales &amp; Collection'!L1570)</f>
        <v/>
      </c>
      <c r="H115" s="6">
        <f>IF($A115="","",K114)</f>
        <v/>
      </c>
      <c r="I115" s="6">
        <f>IF($A115="","",ROUND(B115+D115+E115,2))</f>
        <v/>
      </c>
      <c r="J115" s="6">
        <f>IF($A115="","",F115)</f>
        <v/>
      </c>
      <c r="K115" s="6">
        <f>IF($A115="","",ROUND(H115+I115-J115,2))</f>
        <v/>
      </c>
    </row>
    <row r="116">
      <c r="A116" s="5">
        <f>IF('Daily Sale entry '!A115="","",'Daily Sale entry '!A115)</f>
        <v/>
      </c>
      <c r="B116" s="6">
        <f>IF($A116="","",'Daily Sale entry '!F115)</f>
        <v/>
      </c>
      <c r="C116">
        <f t="array" ref="C116">IF($A116="","",_xlfn.TEXTJOIN(", ",TRUE,IF(('Daily Sale entry '!$X$2:$X$1501=$A116)*('Daily Sale entry '!$Z$2:$Z$1501="Online collection 网上收款"),'Daily Sale entry '!$AA$2:$AA$1501,"")))</f>
        <v/>
      </c>
      <c r="D116" s="6">
        <f>IF($A116="","",ROUND(SUMIFS('Daily Sale entry '!$AC$2:$AC$1501,'Daily Sale entry '!$X$2:$X$1501,$A116,'Daily Sale entry '!$Z$2:$Z$1501,"Online collection 网上收款")-'Opening Balance'!$B$15*SUMPRODUCT(('Daily Sale entry '!$X$2:$X$1501=$A116)*('Daily Sale entry '!$Z$2:$Z$1501="Online collection 网上收款")*('Daily Sale entry '!$AA$2:$AA$1501&lt;&gt;"")*('Daily Sale entry '!$AC$2:$AC$1501-TRUNC('Daily Sale entry '!$AC$2:$AC$1501))),2))</f>
        <v/>
      </c>
      <c r="E116" s="6">
        <f>IF($A116="","",ROUND('Sales &amp; Collection'!I1592-'Sales &amp; Collection'!I1591,2))</f>
        <v/>
      </c>
      <c r="F116" s="6">
        <f>IF($A116="","",'Sales &amp; Collection'!L1584)</f>
        <v/>
      </c>
      <c r="H116" s="6">
        <f>IF($A116="","",K115)</f>
        <v/>
      </c>
      <c r="I116" s="6">
        <f>IF($A116="","",ROUND(B116+D116+E116,2))</f>
        <v/>
      </c>
      <c r="J116" s="6">
        <f>IF($A116="","",F116)</f>
        <v/>
      </c>
      <c r="K116" s="6">
        <f>IF($A116="","",ROUND(H116+I116-J116,2))</f>
        <v/>
      </c>
    </row>
    <row r="117">
      <c r="A117" s="5">
        <f>IF('Daily Sale entry '!A116="","",'Daily Sale entry '!A116)</f>
        <v/>
      </c>
      <c r="B117" s="6">
        <f>IF($A117="","",'Daily Sale entry '!F116)</f>
        <v/>
      </c>
      <c r="C117">
        <f t="array" ref="C117">IF($A117="","",_xlfn.TEXTJOIN(", ",TRUE,IF(('Daily Sale entry '!$X$2:$X$1501=$A117)*('Daily Sale entry '!$Z$2:$Z$1501="Online collection 网上收款"),'Daily Sale entry '!$AA$2:$AA$1501,"")))</f>
        <v/>
      </c>
      <c r="D117" s="6">
        <f>IF($A117="","",ROUND(SUMIFS('Daily Sale entry '!$AC$2:$AC$1501,'Daily Sale entry '!$X$2:$X$1501,$A117,'Daily Sale entry '!$Z$2:$Z$1501,"Online collection 网上收款")-'Opening Balance'!$B$15*SUMPRODUCT(('Daily Sale entry '!$X$2:$X$1501=$A117)*('Daily Sale entry '!$Z$2:$Z$1501="Online collection 网上收款")*('Daily Sale entry '!$AA$2:$AA$1501&lt;&gt;"")*('Daily Sale entry '!$AC$2:$AC$1501-TRUNC('Daily Sale entry '!$AC$2:$AC$1501))),2))</f>
        <v/>
      </c>
      <c r="E117" s="6">
        <f>IF($A117="","",ROUND('Sales &amp; Collection'!I1606-'Sales &amp; Collection'!I1605,2))</f>
        <v/>
      </c>
      <c r="F117" s="6">
        <f>IF($A117="","",'Sales &amp; Collection'!L1598)</f>
        <v/>
      </c>
      <c r="H117" s="6">
        <f>IF($A117="","",K116)</f>
        <v/>
      </c>
      <c r="I117" s="6">
        <f>IF($A117="","",ROUND(B117+D117+E117,2))</f>
        <v/>
      </c>
      <c r="J117" s="6">
        <f>IF($A117="","",F117)</f>
        <v/>
      </c>
      <c r="K117" s="6">
        <f>IF($A117="","",ROUND(H117+I117-J117,2))</f>
        <v/>
      </c>
    </row>
    <row r="118">
      <c r="A118" s="5">
        <f>IF('Daily Sale entry '!A117="","",'Daily Sale entry '!A117)</f>
        <v/>
      </c>
      <c r="B118" s="6">
        <f>IF($A118="","",'Daily Sale entry '!F117)</f>
        <v/>
      </c>
      <c r="C118">
        <f t="array" ref="C118">IF($A118="","",_xlfn.TEXTJOIN(", ",TRUE,IF(('Daily Sale entry '!$X$2:$X$1501=$A118)*('Daily Sale entry '!$Z$2:$Z$1501="Online collection 网上收款"),'Daily Sale entry '!$AA$2:$AA$1501,"")))</f>
        <v/>
      </c>
      <c r="D118" s="6">
        <f>IF($A118="","",ROUND(SUMIFS('Daily Sale entry '!$AC$2:$AC$1501,'Daily Sale entry '!$X$2:$X$1501,$A118,'Daily Sale entry '!$Z$2:$Z$1501,"Online collection 网上收款")-'Opening Balance'!$B$15*SUMPRODUCT(('Daily Sale entry '!$X$2:$X$1501=$A118)*('Daily Sale entry '!$Z$2:$Z$1501="Online collection 网上收款")*('Daily Sale entry '!$AA$2:$AA$1501&lt;&gt;"")*('Daily Sale entry '!$AC$2:$AC$1501-TRUNC('Daily Sale entry '!$AC$2:$AC$1501))),2))</f>
        <v/>
      </c>
      <c r="E118" s="6">
        <f>IF($A118="","",ROUND('Sales &amp; Collection'!I1620-'Sales &amp; Collection'!I1619,2))</f>
        <v/>
      </c>
      <c r="F118" s="6">
        <f>IF($A118="","",'Sales &amp; Collection'!L1612)</f>
        <v/>
      </c>
      <c r="H118" s="6">
        <f>IF($A118="","",K117)</f>
        <v/>
      </c>
      <c r="I118" s="6">
        <f>IF($A118="","",ROUND(B118+D118+E118,2))</f>
        <v/>
      </c>
      <c r="J118" s="6">
        <f>IF($A118="","",F118)</f>
        <v/>
      </c>
      <c r="K118" s="6">
        <f>IF($A118="","",ROUND(H118+I118-J118,2))</f>
        <v/>
      </c>
    </row>
    <row r="119">
      <c r="A119" s="5">
        <f>IF('Daily Sale entry '!A118="","",'Daily Sale entry '!A118)</f>
        <v/>
      </c>
      <c r="B119" s="6">
        <f>IF($A119="","",'Daily Sale entry '!F118)</f>
        <v/>
      </c>
      <c r="C119">
        <f t="array" ref="C119">IF($A119="","",_xlfn.TEXTJOIN(", ",TRUE,IF(('Daily Sale entry '!$X$2:$X$1501=$A119)*('Daily Sale entry '!$Z$2:$Z$1501="Online collection 网上收款"),'Daily Sale entry '!$AA$2:$AA$1501,"")))</f>
        <v/>
      </c>
      <c r="D119" s="6">
        <f>IF($A119="","",ROUND(SUMIFS('Daily Sale entry '!$AC$2:$AC$1501,'Daily Sale entry '!$X$2:$X$1501,$A119,'Daily Sale entry '!$Z$2:$Z$1501,"Online collection 网上收款")-'Opening Balance'!$B$15*SUMPRODUCT(('Daily Sale entry '!$X$2:$X$1501=$A119)*('Daily Sale entry '!$Z$2:$Z$1501="Online collection 网上收款")*('Daily Sale entry '!$AA$2:$AA$1501&lt;&gt;"")*('Daily Sale entry '!$AC$2:$AC$1501-TRUNC('Daily Sale entry '!$AC$2:$AC$1501))),2))</f>
        <v/>
      </c>
      <c r="E119" s="6">
        <f>IF($A119="","",ROUND('Sales &amp; Collection'!I1634-'Sales &amp; Collection'!I1633,2))</f>
        <v/>
      </c>
      <c r="F119" s="6">
        <f>IF($A119="","",'Sales &amp; Collection'!L1626)</f>
        <v/>
      </c>
      <c r="H119" s="6">
        <f>IF($A119="","",K118)</f>
        <v/>
      </c>
      <c r="I119" s="6">
        <f>IF($A119="","",ROUND(B119+D119+E119,2))</f>
        <v/>
      </c>
      <c r="J119" s="6">
        <f>IF($A119="","",F119)</f>
        <v/>
      </c>
      <c r="K119" s="6">
        <f>IF($A119="","",ROUND(H119+I119-J119,2))</f>
        <v/>
      </c>
    </row>
    <row r="120">
      <c r="A120" s="5">
        <f>IF('Daily Sale entry '!A119="","",'Daily Sale entry '!A119)</f>
        <v/>
      </c>
      <c r="B120" s="6">
        <f>IF($A120="","",'Daily Sale entry '!F119)</f>
        <v/>
      </c>
      <c r="C120">
        <f t="array" ref="C120">IF($A120="","",_xlfn.TEXTJOIN(", ",TRUE,IF(('Daily Sale entry '!$X$2:$X$1501=$A120)*('Daily Sale entry '!$Z$2:$Z$1501="Online collection 网上收款"),'Daily Sale entry '!$AA$2:$AA$1501,"")))</f>
        <v/>
      </c>
      <c r="D120" s="6">
        <f>IF($A120="","",ROUND(SUMIFS('Daily Sale entry '!$AC$2:$AC$1501,'Daily Sale entry '!$X$2:$X$1501,$A120,'Daily Sale entry '!$Z$2:$Z$1501,"Online collection 网上收款")-'Opening Balance'!$B$15*SUMPRODUCT(('Daily Sale entry '!$X$2:$X$1501=$A120)*('Daily Sale entry '!$Z$2:$Z$1501="Online collection 网上收款")*('Daily Sale entry '!$AA$2:$AA$1501&lt;&gt;"")*('Daily Sale entry '!$AC$2:$AC$1501-TRUNC('Daily Sale entry '!$AC$2:$AC$1501))),2))</f>
        <v/>
      </c>
      <c r="E120" s="6">
        <f>IF($A120="","",ROUND('Sales &amp; Collection'!I1648-'Sales &amp; Collection'!I1647,2))</f>
        <v/>
      </c>
      <c r="F120" s="6">
        <f>IF($A120="","",'Sales &amp; Collection'!L1640)</f>
        <v/>
      </c>
      <c r="H120" s="6">
        <f>IF($A120="","",K119)</f>
        <v/>
      </c>
      <c r="I120" s="6">
        <f>IF($A120="","",ROUND(B120+D120+E120,2))</f>
        <v/>
      </c>
      <c r="J120" s="6">
        <f>IF($A120="","",F120)</f>
        <v/>
      </c>
      <c r="K120" s="6">
        <f>IF($A120="","",ROUND(H120+I120-J120,2))</f>
        <v/>
      </c>
    </row>
    <row r="121">
      <c r="A121" s="5">
        <f>IF('Daily Sale entry '!A120="","",'Daily Sale entry '!A120)</f>
        <v/>
      </c>
      <c r="B121" s="6">
        <f>IF($A121="","",'Daily Sale entry '!F120)</f>
        <v/>
      </c>
      <c r="C121">
        <f t="array" ref="C121">IF($A121="","",_xlfn.TEXTJOIN(", ",TRUE,IF(('Daily Sale entry '!$X$2:$X$1501=$A121)*('Daily Sale entry '!$Z$2:$Z$1501="Online collection 网上收款"),'Daily Sale entry '!$AA$2:$AA$1501,"")))</f>
        <v/>
      </c>
      <c r="D121" s="6">
        <f>IF($A121="","",ROUND(SUMIFS('Daily Sale entry '!$AC$2:$AC$1501,'Daily Sale entry '!$X$2:$X$1501,$A121,'Daily Sale entry '!$Z$2:$Z$1501,"Online collection 网上收款")-'Opening Balance'!$B$15*SUMPRODUCT(('Daily Sale entry '!$X$2:$X$1501=$A121)*('Daily Sale entry '!$Z$2:$Z$1501="Online collection 网上收款")*('Daily Sale entry '!$AA$2:$AA$1501&lt;&gt;"")*('Daily Sale entry '!$AC$2:$AC$1501-TRUNC('Daily Sale entry '!$AC$2:$AC$1501))),2))</f>
        <v/>
      </c>
      <c r="E121" s="6">
        <f>IF($A121="","",ROUND('Sales &amp; Collection'!I1662-'Sales &amp; Collection'!I1661,2))</f>
        <v/>
      </c>
      <c r="F121" s="6">
        <f>IF($A121="","",'Sales &amp; Collection'!L1654)</f>
        <v/>
      </c>
      <c r="H121" s="6">
        <f>IF($A121="","",K120)</f>
        <v/>
      </c>
      <c r="I121" s="6">
        <f>IF($A121="","",ROUND(B121+D121+E121,2))</f>
        <v/>
      </c>
      <c r="J121" s="6">
        <f>IF($A121="","",F121)</f>
        <v/>
      </c>
      <c r="K121" s="6">
        <f>IF($A121="","",ROUND(H121+I121-J121,2))</f>
        <v/>
      </c>
    </row>
    <row r="122">
      <c r="A122" s="5">
        <f>IF('Daily Sale entry '!A121="","",'Daily Sale entry '!A121)</f>
        <v/>
      </c>
      <c r="B122" s="6">
        <f>IF($A122="","",'Daily Sale entry '!F121)</f>
        <v/>
      </c>
      <c r="C122">
        <f t="array" ref="C122">IF($A122="","",_xlfn.TEXTJOIN(", ",TRUE,IF(('Daily Sale entry '!$X$2:$X$1501=$A122)*('Daily Sale entry '!$Z$2:$Z$1501="Online collection 网上收款"),'Daily Sale entry '!$AA$2:$AA$1501,"")))</f>
        <v/>
      </c>
      <c r="D122" s="6">
        <f>IF($A122="","",ROUND(SUMIFS('Daily Sale entry '!$AC$2:$AC$1501,'Daily Sale entry '!$X$2:$X$1501,$A122,'Daily Sale entry '!$Z$2:$Z$1501,"Online collection 网上收款")-'Opening Balance'!$B$15*SUMPRODUCT(('Daily Sale entry '!$X$2:$X$1501=$A122)*('Daily Sale entry '!$Z$2:$Z$1501="Online collection 网上收款")*('Daily Sale entry '!$AA$2:$AA$1501&lt;&gt;"")*('Daily Sale entry '!$AC$2:$AC$1501-TRUNC('Daily Sale entry '!$AC$2:$AC$1501))),2))</f>
        <v/>
      </c>
      <c r="E122" s="6">
        <f>IF($A122="","",ROUND('Sales &amp; Collection'!I1676-'Sales &amp; Collection'!I1675,2))</f>
        <v/>
      </c>
      <c r="F122" s="6">
        <f>IF($A122="","",'Sales &amp; Collection'!L1668)</f>
        <v/>
      </c>
      <c r="H122" s="6">
        <f>IF($A122="","",K121)</f>
        <v/>
      </c>
      <c r="I122" s="6">
        <f>IF($A122="","",ROUND(B122+D122+E122,2))</f>
        <v/>
      </c>
      <c r="J122" s="6">
        <f>IF($A122="","",F122)</f>
        <v/>
      </c>
      <c r="K122" s="6">
        <f>IF($A122="","",ROUND(H122+I122-J122,2))</f>
        <v/>
      </c>
    </row>
    <row r="123">
      <c r="A123" s="5">
        <f>IF('Daily Sale entry '!A122="","",'Daily Sale entry '!A122)</f>
        <v/>
      </c>
      <c r="B123" s="6">
        <f>IF($A123="","",'Daily Sale entry '!F122)</f>
        <v/>
      </c>
      <c r="C123">
        <f t="array" ref="C123">IF($A123="","",_xlfn.TEXTJOIN(", ",TRUE,IF(('Daily Sale entry '!$X$2:$X$1501=$A123)*('Daily Sale entry '!$Z$2:$Z$1501="Online collection 网上收款"),'Daily Sale entry '!$AA$2:$AA$1501,"")))</f>
        <v/>
      </c>
      <c r="D123" s="6">
        <f>IF($A123="","",ROUND(SUMIFS('Daily Sale entry '!$AC$2:$AC$1501,'Daily Sale entry '!$X$2:$X$1501,$A123,'Daily Sale entry '!$Z$2:$Z$1501,"Online collection 网上收款")-'Opening Balance'!$B$15*SUMPRODUCT(('Daily Sale entry '!$X$2:$X$1501=$A123)*('Daily Sale entry '!$Z$2:$Z$1501="Online collection 网上收款")*('Daily Sale entry '!$AA$2:$AA$1501&lt;&gt;"")*('Daily Sale entry '!$AC$2:$AC$1501-TRUNC('Daily Sale entry '!$AC$2:$AC$1501))),2))</f>
        <v/>
      </c>
      <c r="E123" s="6">
        <f>IF($A123="","",ROUND('Sales &amp; Collection'!I1690-'Sales &amp; Collection'!I1689,2))</f>
        <v/>
      </c>
      <c r="F123" s="6">
        <f>IF($A123="","",'Sales &amp; Collection'!L1682)</f>
        <v/>
      </c>
      <c r="H123" s="6">
        <f>IF($A123="","",K122)</f>
        <v/>
      </c>
      <c r="I123" s="6">
        <f>IF($A123="","",ROUND(B123+D123+E123,2))</f>
        <v/>
      </c>
      <c r="J123" s="6">
        <f>IF($A123="","",F123)</f>
        <v/>
      </c>
      <c r="K123" s="6">
        <f>IF($A123="","",ROUND(H123+I123-J123,2))</f>
        <v/>
      </c>
    </row>
    <row r="124">
      <c r="A124" s="5">
        <f>IF('Daily Sale entry '!A123="","",'Daily Sale entry '!A123)</f>
        <v/>
      </c>
      <c r="B124" s="6">
        <f>IF($A124="","",'Daily Sale entry '!F123)</f>
        <v/>
      </c>
      <c r="C124">
        <f t="array" ref="C124">IF($A124="","",_xlfn.TEXTJOIN(", ",TRUE,IF(('Daily Sale entry '!$X$2:$X$1501=$A124)*('Daily Sale entry '!$Z$2:$Z$1501="Online collection 网上收款"),'Daily Sale entry '!$AA$2:$AA$1501,"")))</f>
        <v/>
      </c>
      <c r="D124" s="6">
        <f>IF($A124="","",ROUND(SUMIFS('Daily Sale entry '!$AC$2:$AC$1501,'Daily Sale entry '!$X$2:$X$1501,$A124,'Daily Sale entry '!$Z$2:$Z$1501,"Online collection 网上收款")-'Opening Balance'!$B$15*SUMPRODUCT(('Daily Sale entry '!$X$2:$X$1501=$A124)*('Daily Sale entry '!$Z$2:$Z$1501="Online collection 网上收款")*('Daily Sale entry '!$AA$2:$AA$1501&lt;&gt;"")*('Daily Sale entry '!$AC$2:$AC$1501-TRUNC('Daily Sale entry '!$AC$2:$AC$1501))),2))</f>
        <v/>
      </c>
      <c r="E124" s="6">
        <f>IF($A124="","",ROUND('Sales &amp; Collection'!I1704-'Sales &amp; Collection'!I1703,2))</f>
        <v/>
      </c>
      <c r="F124" s="6">
        <f>IF($A124="","",'Sales &amp; Collection'!L1696)</f>
        <v/>
      </c>
      <c r="H124" s="6">
        <f>IF($A124="","",K123)</f>
        <v/>
      </c>
      <c r="I124" s="6">
        <f>IF($A124="","",ROUND(B124+D124+E124,2))</f>
        <v/>
      </c>
      <c r="J124" s="6">
        <f>IF($A124="","",F124)</f>
        <v/>
      </c>
      <c r="K124" s="6">
        <f>IF($A124="","",ROUND(H124+I124-J124,2))</f>
        <v/>
      </c>
    </row>
    <row r="125">
      <c r="A125" s="5">
        <f>IF('Daily Sale entry '!A124="","",'Daily Sale entry '!A124)</f>
        <v/>
      </c>
      <c r="B125" s="6">
        <f>IF($A125="","",'Daily Sale entry '!F124)</f>
        <v/>
      </c>
      <c r="C125">
        <f t="array" ref="C125">IF($A125="","",_xlfn.TEXTJOIN(", ",TRUE,IF(('Daily Sale entry '!$X$2:$X$1501=$A125)*('Daily Sale entry '!$Z$2:$Z$1501="Online collection 网上收款"),'Daily Sale entry '!$AA$2:$AA$1501,"")))</f>
        <v/>
      </c>
      <c r="D125" s="6">
        <f>IF($A125="","",ROUND(SUMIFS('Daily Sale entry '!$AC$2:$AC$1501,'Daily Sale entry '!$X$2:$X$1501,$A125,'Daily Sale entry '!$Z$2:$Z$1501,"Online collection 网上收款")-'Opening Balance'!$B$15*SUMPRODUCT(('Daily Sale entry '!$X$2:$X$1501=$A125)*('Daily Sale entry '!$Z$2:$Z$1501="Online collection 网上收款")*('Daily Sale entry '!$AA$2:$AA$1501&lt;&gt;"")*('Daily Sale entry '!$AC$2:$AC$1501-TRUNC('Daily Sale entry '!$AC$2:$AC$1501))),2))</f>
        <v/>
      </c>
      <c r="E125" s="6">
        <f>IF($A125="","",ROUND('Sales &amp; Collection'!I1718-'Sales &amp; Collection'!I1717,2))</f>
        <v/>
      </c>
      <c r="F125" s="6">
        <f>IF($A125="","",'Sales &amp; Collection'!L1710)</f>
        <v/>
      </c>
      <c r="H125" s="6">
        <f>IF($A125="","",K124)</f>
        <v/>
      </c>
      <c r="I125" s="6">
        <f>IF($A125="","",ROUND(B125+D125+E125,2))</f>
        <v/>
      </c>
      <c r="J125" s="6">
        <f>IF($A125="","",F125)</f>
        <v/>
      </c>
      <c r="K125" s="6">
        <f>IF($A125="","",ROUND(H125+I125-J125,2))</f>
        <v/>
      </c>
    </row>
    <row r="126">
      <c r="A126" s="5">
        <f>IF('Daily Sale entry '!A125="","",'Daily Sale entry '!A125)</f>
        <v/>
      </c>
      <c r="B126" s="6">
        <f>IF($A126="","",'Daily Sale entry '!F125)</f>
        <v/>
      </c>
      <c r="C126">
        <f t="array" ref="C126">IF($A126="","",_xlfn.TEXTJOIN(", ",TRUE,IF(('Daily Sale entry '!$X$2:$X$1501=$A126)*('Daily Sale entry '!$Z$2:$Z$1501="Online collection 网上收款"),'Daily Sale entry '!$AA$2:$AA$1501,"")))</f>
        <v/>
      </c>
      <c r="D126" s="6">
        <f>IF($A126="","",ROUND(SUMIFS('Daily Sale entry '!$AC$2:$AC$1501,'Daily Sale entry '!$X$2:$X$1501,$A126,'Daily Sale entry '!$Z$2:$Z$1501,"Online collection 网上收款")-'Opening Balance'!$B$15*SUMPRODUCT(('Daily Sale entry '!$X$2:$X$1501=$A126)*('Daily Sale entry '!$Z$2:$Z$1501="Online collection 网上收款")*('Daily Sale entry '!$AA$2:$AA$1501&lt;&gt;"")*('Daily Sale entry '!$AC$2:$AC$1501-TRUNC('Daily Sale entry '!$AC$2:$AC$1501))),2))</f>
        <v/>
      </c>
      <c r="E126" s="6">
        <f>IF($A126="","",ROUND('Sales &amp; Collection'!I1732-'Sales &amp; Collection'!I1731,2))</f>
        <v/>
      </c>
      <c r="F126" s="6">
        <f>IF($A126="","",'Sales &amp; Collection'!L1724)</f>
        <v/>
      </c>
      <c r="H126" s="6">
        <f>IF($A126="","",K125)</f>
        <v/>
      </c>
      <c r="I126" s="6">
        <f>IF($A126="","",ROUND(B126+D126+E126,2))</f>
        <v/>
      </c>
      <c r="J126" s="6">
        <f>IF($A126="","",F126)</f>
        <v/>
      </c>
      <c r="K126" s="6">
        <f>IF($A126="","",ROUND(H126+I126-J126,2))</f>
        <v/>
      </c>
    </row>
    <row r="127">
      <c r="A127" s="5">
        <f>IF('Daily Sale entry '!A126="","",'Daily Sale entry '!A126)</f>
        <v/>
      </c>
      <c r="B127" s="6">
        <f>IF($A127="","",'Daily Sale entry '!F126)</f>
        <v/>
      </c>
      <c r="C127">
        <f t="array" ref="C127">IF($A127="","",_xlfn.TEXTJOIN(", ",TRUE,IF(('Daily Sale entry '!$X$2:$X$1501=$A127)*('Daily Sale entry '!$Z$2:$Z$1501="Online collection 网上收款"),'Daily Sale entry '!$AA$2:$AA$1501,"")))</f>
        <v/>
      </c>
      <c r="D127" s="6">
        <f>IF($A127="","",ROUND(SUMIFS('Daily Sale entry '!$AC$2:$AC$1501,'Daily Sale entry '!$X$2:$X$1501,$A127,'Daily Sale entry '!$Z$2:$Z$1501,"Online collection 网上收款")-'Opening Balance'!$B$15*SUMPRODUCT(('Daily Sale entry '!$X$2:$X$1501=$A127)*('Daily Sale entry '!$Z$2:$Z$1501="Online collection 网上收款")*('Daily Sale entry '!$AA$2:$AA$1501&lt;&gt;"")*('Daily Sale entry '!$AC$2:$AC$1501-TRUNC('Daily Sale entry '!$AC$2:$AC$1501))),2))</f>
        <v/>
      </c>
      <c r="E127" s="6">
        <f>IF($A127="","",ROUND('Sales &amp; Collection'!I1746-'Sales &amp; Collection'!I1745,2))</f>
        <v/>
      </c>
      <c r="F127" s="6">
        <f>IF($A127="","",'Sales &amp; Collection'!L1738)</f>
        <v/>
      </c>
      <c r="H127" s="6">
        <f>IF($A127="","",K126)</f>
        <v/>
      </c>
      <c r="I127" s="6">
        <f>IF($A127="","",ROUND(B127+D127+E127,2))</f>
        <v/>
      </c>
      <c r="J127" s="6">
        <f>IF($A127="","",F127)</f>
        <v/>
      </c>
      <c r="K127" s="6">
        <f>IF($A127="","",ROUND(H127+I127-J127,2))</f>
        <v/>
      </c>
    </row>
    <row r="128">
      <c r="A128" s="5">
        <f>IF('Daily Sale entry '!A127="","",'Daily Sale entry '!A127)</f>
        <v/>
      </c>
      <c r="B128" s="6">
        <f>IF($A128="","",'Daily Sale entry '!F127)</f>
        <v/>
      </c>
      <c r="C128">
        <f t="array" ref="C128">IF($A128="","",_xlfn.TEXTJOIN(", ",TRUE,IF(('Daily Sale entry '!$X$2:$X$1501=$A128)*('Daily Sale entry '!$Z$2:$Z$1501="Online collection 网上收款"),'Daily Sale entry '!$AA$2:$AA$1501,"")))</f>
        <v/>
      </c>
      <c r="D128" s="6">
        <f>IF($A128="","",ROUND(SUMIFS('Daily Sale entry '!$AC$2:$AC$1501,'Daily Sale entry '!$X$2:$X$1501,$A128,'Daily Sale entry '!$Z$2:$Z$1501,"Online collection 网上收款")-'Opening Balance'!$B$15*SUMPRODUCT(('Daily Sale entry '!$X$2:$X$1501=$A128)*('Daily Sale entry '!$Z$2:$Z$1501="Online collection 网上收款")*('Daily Sale entry '!$AA$2:$AA$1501&lt;&gt;"")*('Daily Sale entry '!$AC$2:$AC$1501-TRUNC('Daily Sale entry '!$AC$2:$AC$1501))),2))</f>
        <v/>
      </c>
      <c r="E128" s="6">
        <f>IF($A128="","",ROUND('Sales &amp; Collection'!I1760-'Sales &amp; Collection'!I1759,2))</f>
        <v/>
      </c>
      <c r="F128" s="6">
        <f>IF($A128="","",'Sales &amp; Collection'!L1752)</f>
        <v/>
      </c>
      <c r="H128" s="6">
        <f>IF($A128="","",K127)</f>
        <v/>
      </c>
      <c r="I128" s="6">
        <f>IF($A128="","",ROUND(B128+D128+E128,2))</f>
        <v/>
      </c>
      <c r="J128" s="6">
        <f>IF($A128="","",F128)</f>
        <v/>
      </c>
      <c r="K128" s="6">
        <f>IF($A128="","",ROUND(H128+I128-J128,2))</f>
        <v/>
      </c>
    </row>
    <row r="129">
      <c r="A129" s="5">
        <f>IF('Daily Sale entry '!A128="","",'Daily Sale entry '!A128)</f>
        <v/>
      </c>
      <c r="B129" s="6">
        <f>IF($A129="","",'Daily Sale entry '!F128)</f>
        <v/>
      </c>
      <c r="C129">
        <f t="array" ref="C129">IF($A129="","",_xlfn.TEXTJOIN(", ",TRUE,IF(('Daily Sale entry '!$X$2:$X$1501=$A129)*('Daily Sale entry '!$Z$2:$Z$1501="Online collection 网上收款"),'Daily Sale entry '!$AA$2:$AA$1501,"")))</f>
        <v/>
      </c>
      <c r="D129" s="6">
        <f>IF($A129="","",ROUND(SUMIFS('Daily Sale entry '!$AC$2:$AC$1501,'Daily Sale entry '!$X$2:$X$1501,$A129,'Daily Sale entry '!$Z$2:$Z$1501,"Online collection 网上收款")-'Opening Balance'!$B$15*SUMPRODUCT(('Daily Sale entry '!$X$2:$X$1501=$A129)*('Daily Sale entry '!$Z$2:$Z$1501="Online collection 网上收款")*('Daily Sale entry '!$AA$2:$AA$1501&lt;&gt;"")*('Daily Sale entry '!$AC$2:$AC$1501-TRUNC('Daily Sale entry '!$AC$2:$AC$1501))),2))</f>
        <v/>
      </c>
      <c r="E129" s="6">
        <f>IF($A129="","",ROUND('Sales &amp; Collection'!I1774-'Sales &amp; Collection'!I1773,2))</f>
        <v/>
      </c>
      <c r="F129" s="6">
        <f>IF($A129="","",'Sales &amp; Collection'!L1766)</f>
        <v/>
      </c>
      <c r="H129" s="6">
        <f>IF($A129="","",K128)</f>
        <v/>
      </c>
      <c r="I129" s="6">
        <f>IF($A129="","",ROUND(B129+D129+E129,2))</f>
        <v/>
      </c>
      <c r="J129" s="6">
        <f>IF($A129="","",F129)</f>
        <v/>
      </c>
      <c r="K129" s="6">
        <f>IF($A129="","",ROUND(H129+I129-J129,2))</f>
        <v/>
      </c>
    </row>
    <row r="130">
      <c r="A130" s="5">
        <f>IF('Daily Sale entry '!A129="","",'Daily Sale entry '!A129)</f>
        <v/>
      </c>
      <c r="B130" s="6">
        <f>IF($A130="","",'Daily Sale entry '!F129)</f>
        <v/>
      </c>
      <c r="C130">
        <f t="array" ref="C130">IF($A130="","",_xlfn.TEXTJOIN(", ",TRUE,IF(('Daily Sale entry '!$X$2:$X$1501=$A130)*('Daily Sale entry '!$Z$2:$Z$1501="Online collection 网上收款"),'Daily Sale entry '!$AA$2:$AA$1501,"")))</f>
        <v/>
      </c>
      <c r="D130" s="6">
        <f>IF($A130="","",ROUND(SUMIFS('Daily Sale entry '!$AC$2:$AC$1501,'Daily Sale entry '!$X$2:$X$1501,$A130,'Daily Sale entry '!$Z$2:$Z$1501,"Online collection 网上收款")-'Opening Balance'!$B$15*SUMPRODUCT(('Daily Sale entry '!$X$2:$X$1501=$A130)*('Daily Sale entry '!$Z$2:$Z$1501="Online collection 网上收款")*('Daily Sale entry '!$AA$2:$AA$1501&lt;&gt;"")*('Daily Sale entry '!$AC$2:$AC$1501-TRUNC('Daily Sale entry '!$AC$2:$AC$1501))),2))</f>
        <v/>
      </c>
      <c r="E130" s="6">
        <f>IF($A130="","",ROUND('Sales &amp; Collection'!I1788-'Sales &amp; Collection'!I1787,2))</f>
        <v/>
      </c>
      <c r="F130" s="6">
        <f>IF($A130="","",'Sales &amp; Collection'!L1780)</f>
        <v/>
      </c>
      <c r="H130" s="6">
        <f>IF($A130="","",K129)</f>
        <v/>
      </c>
      <c r="I130" s="6">
        <f>IF($A130="","",ROUND(B130+D130+E130,2))</f>
        <v/>
      </c>
      <c r="J130" s="6">
        <f>IF($A130="","",F130)</f>
        <v/>
      </c>
      <c r="K130" s="6">
        <f>IF($A130="","",ROUND(H130+I130-J130,2))</f>
        <v/>
      </c>
    </row>
    <row r="131">
      <c r="A131" s="5">
        <f>IF('Daily Sale entry '!A130="","",'Daily Sale entry '!A130)</f>
        <v/>
      </c>
      <c r="B131" s="6">
        <f>IF($A131="","",'Daily Sale entry '!F130)</f>
        <v/>
      </c>
      <c r="C131">
        <f t="array" ref="C131">IF($A131="","",_xlfn.TEXTJOIN(", ",TRUE,IF(('Daily Sale entry '!$X$2:$X$1501=$A131)*('Daily Sale entry '!$Z$2:$Z$1501="Online collection 网上收款"),'Daily Sale entry '!$AA$2:$AA$1501,"")))</f>
        <v/>
      </c>
      <c r="D131" s="6">
        <f>IF($A131="","",ROUND(SUMIFS('Daily Sale entry '!$AC$2:$AC$1501,'Daily Sale entry '!$X$2:$X$1501,$A131,'Daily Sale entry '!$Z$2:$Z$1501,"Online collection 网上收款")-'Opening Balance'!$B$15*SUMPRODUCT(('Daily Sale entry '!$X$2:$X$1501=$A131)*('Daily Sale entry '!$Z$2:$Z$1501="Online collection 网上收款")*('Daily Sale entry '!$AA$2:$AA$1501&lt;&gt;"")*('Daily Sale entry '!$AC$2:$AC$1501-TRUNC('Daily Sale entry '!$AC$2:$AC$1501))),2))</f>
        <v/>
      </c>
      <c r="E131" s="6">
        <f>IF($A131="","",ROUND('Sales &amp; Collection'!I1802-'Sales &amp; Collection'!I1801,2))</f>
        <v/>
      </c>
      <c r="F131" s="6">
        <f>IF($A131="","",'Sales &amp; Collection'!L1794)</f>
        <v/>
      </c>
      <c r="H131" s="6">
        <f>IF($A131="","",K130)</f>
        <v/>
      </c>
      <c r="I131" s="6">
        <f>IF($A131="","",ROUND(B131+D131+E131,2))</f>
        <v/>
      </c>
      <c r="J131" s="6">
        <f>IF($A131="","",F131)</f>
        <v/>
      </c>
      <c r="K131" s="6">
        <f>IF($A131="","",ROUND(H131+I131-J131,2))</f>
        <v/>
      </c>
    </row>
    <row r="132">
      <c r="A132" s="5">
        <f>IF('Daily Sale entry '!A131="","",'Daily Sale entry '!A131)</f>
        <v/>
      </c>
      <c r="B132" s="6">
        <f>IF($A132="","",'Daily Sale entry '!F131)</f>
        <v/>
      </c>
      <c r="C132">
        <f t="array" ref="C132">IF($A132="","",_xlfn.TEXTJOIN(", ",TRUE,IF(('Daily Sale entry '!$X$2:$X$1501=$A132)*('Daily Sale entry '!$Z$2:$Z$1501="Online collection 网上收款"),'Daily Sale entry '!$AA$2:$AA$1501,"")))</f>
        <v/>
      </c>
      <c r="D132" s="6">
        <f>IF($A132="","",ROUND(SUMIFS('Daily Sale entry '!$AC$2:$AC$1501,'Daily Sale entry '!$X$2:$X$1501,$A132,'Daily Sale entry '!$Z$2:$Z$1501,"Online collection 网上收款")-'Opening Balance'!$B$15*SUMPRODUCT(('Daily Sale entry '!$X$2:$X$1501=$A132)*('Daily Sale entry '!$Z$2:$Z$1501="Online collection 网上收款")*('Daily Sale entry '!$AA$2:$AA$1501&lt;&gt;"")*('Daily Sale entry '!$AC$2:$AC$1501-TRUNC('Daily Sale entry '!$AC$2:$AC$1501))),2))</f>
        <v/>
      </c>
      <c r="E132" s="6">
        <f>IF($A132="","",ROUND('Sales &amp; Collection'!I1816-'Sales &amp; Collection'!I1815,2))</f>
        <v/>
      </c>
      <c r="F132" s="6">
        <f>IF($A132="","",'Sales &amp; Collection'!L1808)</f>
        <v/>
      </c>
      <c r="H132" s="6">
        <f>IF($A132="","",K131)</f>
        <v/>
      </c>
      <c r="I132" s="6">
        <f>IF($A132="","",ROUND(B132+D132+E132,2))</f>
        <v/>
      </c>
      <c r="J132" s="6">
        <f>IF($A132="","",F132)</f>
        <v/>
      </c>
      <c r="K132" s="6">
        <f>IF($A132="","",ROUND(H132+I132-J132,2))</f>
        <v/>
      </c>
    </row>
    <row r="133">
      <c r="A133" s="5">
        <f>IF('Daily Sale entry '!A132="","",'Daily Sale entry '!A132)</f>
        <v/>
      </c>
      <c r="B133" s="6">
        <f>IF($A133="","",'Daily Sale entry '!F132)</f>
        <v/>
      </c>
      <c r="C133">
        <f t="array" ref="C133">IF($A133="","",_xlfn.TEXTJOIN(", ",TRUE,IF(('Daily Sale entry '!$X$2:$X$1501=$A133)*('Daily Sale entry '!$Z$2:$Z$1501="Online collection 网上收款"),'Daily Sale entry '!$AA$2:$AA$1501,"")))</f>
        <v/>
      </c>
      <c r="D133" s="6">
        <f>IF($A133="","",ROUND(SUMIFS('Daily Sale entry '!$AC$2:$AC$1501,'Daily Sale entry '!$X$2:$X$1501,$A133,'Daily Sale entry '!$Z$2:$Z$1501,"Online collection 网上收款")-'Opening Balance'!$B$15*SUMPRODUCT(('Daily Sale entry '!$X$2:$X$1501=$A133)*('Daily Sale entry '!$Z$2:$Z$1501="Online collection 网上收款")*('Daily Sale entry '!$AA$2:$AA$1501&lt;&gt;"")*('Daily Sale entry '!$AC$2:$AC$1501-TRUNC('Daily Sale entry '!$AC$2:$AC$1501))),2))</f>
        <v/>
      </c>
      <c r="E133" s="6">
        <f>IF($A133="","",ROUND('Sales &amp; Collection'!I1830-'Sales &amp; Collection'!I1829,2))</f>
        <v/>
      </c>
      <c r="F133" s="6">
        <f>IF($A133="","",'Sales &amp; Collection'!L1822)</f>
        <v/>
      </c>
      <c r="H133" s="6">
        <f>IF($A133="","",K132)</f>
        <v/>
      </c>
      <c r="I133" s="6">
        <f>IF($A133="","",ROUND(B133+D133+E133,2))</f>
        <v/>
      </c>
      <c r="J133" s="6">
        <f>IF($A133="","",F133)</f>
        <v/>
      </c>
      <c r="K133" s="6">
        <f>IF($A133="","",ROUND(H133+I133-J133,2))</f>
        <v/>
      </c>
    </row>
    <row r="134">
      <c r="A134" s="5">
        <f>IF('Daily Sale entry '!A133="","",'Daily Sale entry '!A133)</f>
        <v/>
      </c>
      <c r="B134" s="6">
        <f>IF($A134="","",'Daily Sale entry '!F133)</f>
        <v/>
      </c>
      <c r="C134">
        <f t="array" ref="C134">IF($A134="","",_xlfn.TEXTJOIN(", ",TRUE,IF(('Daily Sale entry '!$X$2:$X$1501=$A134)*('Daily Sale entry '!$Z$2:$Z$1501="Online collection 网上收款"),'Daily Sale entry '!$AA$2:$AA$1501,"")))</f>
        <v/>
      </c>
      <c r="D134" s="6">
        <f>IF($A134="","",ROUND(SUMIFS('Daily Sale entry '!$AC$2:$AC$1501,'Daily Sale entry '!$X$2:$X$1501,$A134,'Daily Sale entry '!$Z$2:$Z$1501,"Online collection 网上收款")-'Opening Balance'!$B$15*SUMPRODUCT(('Daily Sale entry '!$X$2:$X$1501=$A134)*('Daily Sale entry '!$Z$2:$Z$1501="Online collection 网上收款")*('Daily Sale entry '!$AA$2:$AA$1501&lt;&gt;"")*('Daily Sale entry '!$AC$2:$AC$1501-TRUNC('Daily Sale entry '!$AC$2:$AC$1501))),2))</f>
        <v/>
      </c>
      <c r="E134" s="6">
        <f>IF($A134="","",ROUND('Sales &amp; Collection'!I1844-'Sales &amp; Collection'!I1843,2))</f>
        <v/>
      </c>
      <c r="F134" s="6">
        <f>IF($A134="","",'Sales &amp; Collection'!L1836)</f>
        <v/>
      </c>
      <c r="H134" s="6">
        <f>IF($A134="","",K133)</f>
        <v/>
      </c>
      <c r="I134" s="6">
        <f>IF($A134="","",ROUND(B134+D134+E134,2))</f>
        <v/>
      </c>
      <c r="J134" s="6">
        <f>IF($A134="","",F134)</f>
        <v/>
      </c>
      <c r="K134" s="6">
        <f>IF($A134="","",ROUND(H134+I134-J134,2))</f>
        <v/>
      </c>
    </row>
    <row r="135">
      <c r="A135" s="5">
        <f>IF('Daily Sale entry '!A134="","",'Daily Sale entry '!A134)</f>
        <v/>
      </c>
      <c r="B135" s="6">
        <f>IF($A135="","",'Daily Sale entry '!F134)</f>
        <v/>
      </c>
      <c r="C135">
        <f t="array" ref="C135">IF($A135="","",_xlfn.TEXTJOIN(", ",TRUE,IF(('Daily Sale entry '!$X$2:$X$1501=$A135)*('Daily Sale entry '!$Z$2:$Z$1501="Online collection 网上收款"),'Daily Sale entry '!$AA$2:$AA$1501,"")))</f>
        <v/>
      </c>
      <c r="D135" s="6">
        <f>IF($A135="","",ROUND(SUMIFS('Daily Sale entry '!$AC$2:$AC$1501,'Daily Sale entry '!$X$2:$X$1501,$A135,'Daily Sale entry '!$Z$2:$Z$1501,"Online collection 网上收款")-'Opening Balance'!$B$15*SUMPRODUCT(('Daily Sale entry '!$X$2:$X$1501=$A135)*('Daily Sale entry '!$Z$2:$Z$1501="Online collection 网上收款")*('Daily Sale entry '!$AA$2:$AA$1501&lt;&gt;"")*('Daily Sale entry '!$AC$2:$AC$1501-TRUNC('Daily Sale entry '!$AC$2:$AC$1501))),2))</f>
        <v/>
      </c>
      <c r="E135" s="6">
        <f>IF($A135="","",ROUND('Sales &amp; Collection'!I1858-'Sales &amp; Collection'!I1857,2))</f>
        <v/>
      </c>
      <c r="F135" s="6">
        <f>IF($A135="","",'Sales &amp; Collection'!L1850)</f>
        <v/>
      </c>
      <c r="H135" s="6">
        <f>IF($A135="","",K134)</f>
        <v/>
      </c>
      <c r="I135" s="6">
        <f>IF($A135="","",ROUND(B135+D135+E135,2))</f>
        <v/>
      </c>
      <c r="J135" s="6">
        <f>IF($A135="","",F135)</f>
        <v/>
      </c>
      <c r="K135" s="6">
        <f>IF($A135="","",ROUND(H135+I135-J135,2))</f>
        <v/>
      </c>
    </row>
    <row r="136">
      <c r="A136" s="5">
        <f>IF('Daily Sale entry '!A135="","",'Daily Sale entry '!A135)</f>
        <v/>
      </c>
      <c r="B136" s="6">
        <f>IF($A136="","",'Daily Sale entry '!F135)</f>
        <v/>
      </c>
      <c r="C136">
        <f t="array" ref="C136">IF($A136="","",_xlfn.TEXTJOIN(", ",TRUE,IF(('Daily Sale entry '!$X$2:$X$1501=$A136)*('Daily Sale entry '!$Z$2:$Z$1501="Online collection 网上收款"),'Daily Sale entry '!$AA$2:$AA$1501,"")))</f>
        <v/>
      </c>
      <c r="D136" s="6">
        <f>IF($A136="","",ROUND(SUMIFS('Daily Sale entry '!$AC$2:$AC$1501,'Daily Sale entry '!$X$2:$X$1501,$A136,'Daily Sale entry '!$Z$2:$Z$1501,"Online collection 网上收款")-'Opening Balance'!$B$15*SUMPRODUCT(('Daily Sale entry '!$X$2:$X$1501=$A136)*('Daily Sale entry '!$Z$2:$Z$1501="Online collection 网上收款")*('Daily Sale entry '!$AA$2:$AA$1501&lt;&gt;"")*('Daily Sale entry '!$AC$2:$AC$1501-TRUNC('Daily Sale entry '!$AC$2:$AC$1501))),2))</f>
        <v/>
      </c>
      <c r="E136" s="6">
        <f>IF($A136="","",ROUND('Sales &amp; Collection'!I1872-'Sales &amp; Collection'!I1871,2))</f>
        <v/>
      </c>
      <c r="F136" s="6">
        <f>IF($A136="","",'Sales &amp; Collection'!L1864)</f>
        <v/>
      </c>
      <c r="H136" s="6">
        <f>IF($A136="","",K135)</f>
        <v/>
      </c>
      <c r="I136" s="6">
        <f>IF($A136="","",ROUND(B136+D136+E136,2))</f>
        <v/>
      </c>
      <c r="J136" s="6">
        <f>IF($A136="","",F136)</f>
        <v/>
      </c>
      <c r="K136" s="6">
        <f>IF($A136="","",ROUND(H136+I136-J136,2))</f>
        <v/>
      </c>
    </row>
    <row r="137">
      <c r="A137" s="5">
        <f>IF('Daily Sale entry '!A136="","",'Daily Sale entry '!A136)</f>
        <v/>
      </c>
      <c r="B137" s="6">
        <f>IF($A137="","",'Daily Sale entry '!F136)</f>
        <v/>
      </c>
      <c r="C137">
        <f t="array" ref="C137">IF($A137="","",_xlfn.TEXTJOIN(", ",TRUE,IF(('Daily Sale entry '!$X$2:$X$1501=$A137)*('Daily Sale entry '!$Z$2:$Z$1501="Online collection 网上收款"),'Daily Sale entry '!$AA$2:$AA$1501,"")))</f>
        <v/>
      </c>
      <c r="D137" s="6">
        <f>IF($A137="","",ROUND(SUMIFS('Daily Sale entry '!$AC$2:$AC$1501,'Daily Sale entry '!$X$2:$X$1501,$A137,'Daily Sale entry '!$Z$2:$Z$1501,"Online collection 网上收款")-'Opening Balance'!$B$15*SUMPRODUCT(('Daily Sale entry '!$X$2:$X$1501=$A137)*('Daily Sale entry '!$Z$2:$Z$1501="Online collection 网上收款")*('Daily Sale entry '!$AA$2:$AA$1501&lt;&gt;"")*('Daily Sale entry '!$AC$2:$AC$1501-TRUNC('Daily Sale entry '!$AC$2:$AC$1501))),2))</f>
        <v/>
      </c>
      <c r="E137" s="6">
        <f>IF($A137="","",ROUND('Sales &amp; Collection'!I1886-'Sales &amp; Collection'!I1885,2))</f>
        <v/>
      </c>
      <c r="F137" s="6">
        <f>IF($A137="","",'Sales &amp; Collection'!L1878)</f>
        <v/>
      </c>
      <c r="H137" s="6">
        <f>IF($A137="","",K136)</f>
        <v/>
      </c>
      <c r="I137" s="6">
        <f>IF($A137="","",ROUND(B137+D137+E137,2))</f>
        <v/>
      </c>
      <c r="J137" s="6">
        <f>IF($A137="","",F137)</f>
        <v/>
      </c>
      <c r="K137" s="6">
        <f>IF($A137="","",ROUND(H137+I137-J137,2))</f>
        <v/>
      </c>
    </row>
    <row r="138">
      <c r="A138" s="5">
        <f>IF('Daily Sale entry '!A137="","",'Daily Sale entry '!A137)</f>
        <v/>
      </c>
      <c r="B138" s="6">
        <f>IF($A138="","",'Daily Sale entry '!F137)</f>
        <v/>
      </c>
      <c r="C138">
        <f t="array" ref="C138">IF($A138="","",_xlfn.TEXTJOIN(", ",TRUE,IF(('Daily Sale entry '!$X$2:$X$1501=$A138)*('Daily Sale entry '!$Z$2:$Z$1501="Online collection 网上收款"),'Daily Sale entry '!$AA$2:$AA$1501,"")))</f>
        <v/>
      </c>
      <c r="D138" s="6">
        <f>IF($A138="","",ROUND(SUMIFS('Daily Sale entry '!$AC$2:$AC$1501,'Daily Sale entry '!$X$2:$X$1501,$A138,'Daily Sale entry '!$Z$2:$Z$1501,"Online collection 网上收款")-'Opening Balance'!$B$15*SUMPRODUCT(('Daily Sale entry '!$X$2:$X$1501=$A138)*('Daily Sale entry '!$Z$2:$Z$1501="Online collection 网上收款")*('Daily Sale entry '!$AA$2:$AA$1501&lt;&gt;"")*('Daily Sale entry '!$AC$2:$AC$1501-TRUNC('Daily Sale entry '!$AC$2:$AC$1501))),2))</f>
        <v/>
      </c>
      <c r="E138" s="6">
        <f>IF($A138="","",ROUND('Sales &amp; Collection'!I1900-'Sales &amp; Collection'!I1899,2))</f>
        <v/>
      </c>
      <c r="F138" s="6">
        <f>IF($A138="","",'Sales &amp; Collection'!L1892)</f>
        <v/>
      </c>
      <c r="H138" s="6">
        <f>IF($A138="","",K137)</f>
        <v/>
      </c>
      <c r="I138" s="6">
        <f>IF($A138="","",ROUND(B138+D138+E138,2))</f>
        <v/>
      </c>
      <c r="J138" s="6">
        <f>IF($A138="","",F138)</f>
        <v/>
      </c>
      <c r="K138" s="6">
        <f>IF($A138="","",ROUND(H138+I138-J138,2))</f>
        <v/>
      </c>
    </row>
    <row r="139">
      <c r="A139" s="5">
        <f>IF('Daily Sale entry '!A138="","",'Daily Sale entry '!A138)</f>
        <v/>
      </c>
      <c r="B139" s="6">
        <f>IF($A139="","",'Daily Sale entry '!F138)</f>
        <v/>
      </c>
      <c r="C139">
        <f t="array" ref="C139">IF($A139="","",_xlfn.TEXTJOIN(", ",TRUE,IF(('Daily Sale entry '!$X$2:$X$1501=$A139)*('Daily Sale entry '!$Z$2:$Z$1501="Online collection 网上收款"),'Daily Sale entry '!$AA$2:$AA$1501,"")))</f>
        <v/>
      </c>
      <c r="D139" s="6">
        <f>IF($A139="","",ROUND(SUMIFS('Daily Sale entry '!$AC$2:$AC$1501,'Daily Sale entry '!$X$2:$X$1501,$A139,'Daily Sale entry '!$Z$2:$Z$1501,"Online collection 网上收款")-'Opening Balance'!$B$15*SUMPRODUCT(('Daily Sale entry '!$X$2:$X$1501=$A139)*('Daily Sale entry '!$Z$2:$Z$1501="Online collection 网上收款")*('Daily Sale entry '!$AA$2:$AA$1501&lt;&gt;"")*('Daily Sale entry '!$AC$2:$AC$1501-TRUNC('Daily Sale entry '!$AC$2:$AC$1501))),2))</f>
        <v/>
      </c>
      <c r="E139" s="6">
        <f>IF($A139="","",ROUND('Sales &amp; Collection'!I1914-'Sales &amp; Collection'!I1913,2))</f>
        <v/>
      </c>
      <c r="F139" s="6">
        <f>IF($A139="","",'Sales &amp; Collection'!L1906)</f>
        <v/>
      </c>
      <c r="H139" s="6">
        <f>IF($A139="","",K138)</f>
        <v/>
      </c>
      <c r="I139" s="6">
        <f>IF($A139="","",ROUND(B139+D139+E139,2))</f>
        <v/>
      </c>
      <c r="J139" s="6">
        <f>IF($A139="","",F139)</f>
        <v/>
      </c>
      <c r="K139" s="6">
        <f>IF($A139="","",ROUND(H139+I139-J139,2))</f>
        <v/>
      </c>
    </row>
    <row r="140">
      <c r="A140" s="5">
        <f>IF('Daily Sale entry '!A139="","",'Daily Sale entry '!A139)</f>
        <v/>
      </c>
      <c r="B140" s="6">
        <f>IF($A140="","",'Daily Sale entry '!F139)</f>
        <v/>
      </c>
      <c r="C140">
        <f t="array" ref="C140">IF($A140="","",_xlfn.TEXTJOIN(", ",TRUE,IF(('Daily Sale entry '!$X$2:$X$1501=$A140)*('Daily Sale entry '!$Z$2:$Z$1501="Online collection 网上收款"),'Daily Sale entry '!$AA$2:$AA$1501,"")))</f>
        <v/>
      </c>
      <c r="D140" s="6">
        <f>IF($A140="","",ROUND(SUMIFS('Daily Sale entry '!$AC$2:$AC$1501,'Daily Sale entry '!$X$2:$X$1501,$A140,'Daily Sale entry '!$Z$2:$Z$1501,"Online collection 网上收款")-'Opening Balance'!$B$15*SUMPRODUCT(('Daily Sale entry '!$X$2:$X$1501=$A140)*('Daily Sale entry '!$Z$2:$Z$1501="Online collection 网上收款")*('Daily Sale entry '!$AA$2:$AA$1501&lt;&gt;"")*('Daily Sale entry '!$AC$2:$AC$1501-TRUNC('Daily Sale entry '!$AC$2:$AC$1501))),2))</f>
        <v/>
      </c>
      <c r="E140" s="6">
        <f>IF($A140="","",ROUND('Sales &amp; Collection'!I1928-'Sales &amp; Collection'!I1927,2))</f>
        <v/>
      </c>
      <c r="F140" s="6">
        <f>IF($A140="","",'Sales &amp; Collection'!L1920)</f>
        <v/>
      </c>
      <c r="H140" s="6">
        <f>IF($A140="","",K139)</f>
        <v/>
      </c>
      <c r="I140" s="6">
        <f>IF($A140="","",ROUND(B140+D140+E140,2))</f>
        <v/>
      </c>
      <c r="J140" s="6">
        <f>IF($A140="","",F140)</f>
        <v/>
      </c>
      <c r="K140" s="6">
        <f>IF($A140="","",ROUND(H140+I140-J140,2))</f>
        <v/>
      </c>
    </row>
    <row r="141">
      <c r="A141" s="5">
        <f>IF('Daily Sale entry '!A140="","",'Daily Sale entry '!A140)</f>
        <v/>
      </c>
      <c r="B141" s="6">
        <f>IF($A141="","",'Daily Sale entry '!F140)</f>
        <v/>
      </c>
      <c r="C141">
        <f t="array" ref="C141">IF($A141="","",_xlfn.TEXTJOIN(", ",TRUE,IF(('Daily Sale entry '!$X$2:$X$1501=$A141)*('Daily Sale entry '!$Z$2:$Z$1501="Online collection 网上收款"),'Daily Sale entry '!$AA$2:$AA$1501,"")))</f>
        <v/>
      </c>
      <c r="D141" s="6">
        <f>IF($A141="","",ROUND(SUMIFS('Daily Sale entry '!$AC$2:$AC$1501,'Daily Sale entry '!$X$2:$X$1501,$A141,'Daily Sale entry '!$Z$2:$Z$1501,"Online collection 网上收款")-'Opening Balance'!$B$15*SUMPRODUCT(('Daily Sale entry '!$X$2:$X$1501=$A141)*('Daily Sale entry '!$Z$2:$Z$1501="Online collection 网上收款")*('Daily Sale entry '!$AA$2:$AA$1501&lt;&gt;"")*('Daily Sale entry '!$AC$2:$AC$1501-TRUNC('Daily Sale entry '!$AC$2:$AC$1501))),2))</f>
        <v/>
      </c>
      <c r="E141" s="6">
        <f>IF($A141="","",ROUND('Sales &amp; Collection'!I1942-'Sales &amp; Collection'!I1941,2))</f>
        <v/>
      </c>
      <c r="F141" s="6">
        <f>IF($A141="","",'Sales &amp; Collection'!L1934)</f>
        <v/>
      </c>
      <c r="H141" s="6">
        <f>IF($A141="","",K140)</f>
        <v/>
      </c>
      <c r="I141" s="6">
        <f>IF($A141="","",ROUND(B141+D141+E141,2))</f>
        <v/>
      </c>
      <c r="J141" s="6">
        <f>IF($A141="","",F141)</f>
        <v/>
      </c>
      <c r="K141" s="6">
        <f>IF($A141="","",ROUND(H141+I141-J141,2))</f>
        <v/>
      </c>
    </row>
    <row r="142">
      <c r="A142" s="5">
        <f>IF('Daily Sale entry '!A141="","",'Daily Sale entry '!A141)</f>
        <v/>
      </c>
      <c r="B142" s="6">
        <f>IF($A142="","",'Daily Sale entry '!F141)</f>
        <v/>
      </c>
      <c r="C142">
        <f t="array" ref="C142">IF($A142="","",_xlfn.TEXTJOIN(", ",TRUE,IF(('Daily Sale entry '!$X$2:$X$1501=$A142)*('Daily Sale entry '!$Z$2:$Z$1501="Online collection 网上收款"),'Daily Sale entry '!$AA$2:$AA$1501,"")))</f>
        <v/>
      </c>
      <c r="D142" s="6">
        <f>IF($A142="","",ROUND(SUMIFS('Daily Sale entry '!$AC$2:$AC$1501,'Daily Sale entry '!$X$2:$X$1501,$A142,'Daily Sale entry '!$Z$2:$Z$1501,"Online collection 网上收款")-'Opening Balance'!$B$15*SUMPRODUCT(('Daily Sale entry '!$X$2:$X$1501=$A142)*('Daily Sale entry '!$Z$2:$Z$1501="Online collection 网上收款")*('Daily Sale entry '!$AA$2:$AA$1501&lt;&gt;"")*('Daily Sale entry '!$AC$2:$AC$1501-TRUNC('Daily Sale entry '!$AC$2:$AC$1501))),2))</f>
        <v/>
      </c>
      <c r="E142" s="6">
        <f>IF($A142="","",ROUND('Sales &amp; Collection'!I1956-'Sales &amp; Collection'!I1955,2))</f>
        <v/>
      </c>
      <c r="F142" s="6">
        <f>IF($A142="","",'Sales &amp; Collection'!L1948)</f>
        <v/>
      </c>
      <c r="H142" s="6">
        <f>IF($A142="","",K141)</f>
        <v/>
      </c>
      <c r="I142" s="6">
        <f>IF($A142="","",ROUND(B142+D142+E142,2))</f>
        <v/>
      </c>
      <c r="J142" s="6">
        <f>IF($A142="","",F142)</f>
        <v/>
      </c>
      <c r="K142" s="6">
        <f>IF($A142="","",ROUND(H142+I142-J142,2))</f>
        <v/>
      </c>
    </row>
    <row r="143">
      <c r="A143" s="5">
        <f>IF('Daily Sale entry '!A142="","",'Daily Sale entry '!A142)</f>
        <v/>
      </c>
      <c r="B143" s="6">
        <f>IF($A143="","",'Daily Sale entry '!F142)</f>
        <v/>
      </c>
      <c r="C143">
        <f t="array" ref="C143">IF($A143="","",_xlfn.TEXTJOIN(", ",TRUE,IF(('Daily Sale entry '!$X$2:$X$1501=$A143)*('Daily Sale entry '!$Z$2:$Z$1501="Online collection 网上收款"),'Daily Sale entry '!$AA$2:$AA$1501,"")))</f>
        <v/>
      </c>
      <c r="D143" s="6">
        <f>IF($A143="","",ROUND(SUMIFS('Daily Sale entry '!$AC$2:$AC$1501,'Daily Sale entry '!$X$2:$X$1501,$A143,'Daily Sale entry '!$Z$2:$Z$1501,"Online collection 网上收款")-'Opening Balance'!$B$15*SUMPRODUCT(('Daily Sale entry '!$X$2:$X$1501=$A143)*('Daily Sale entry '!$Z$2:$Z$1501="Online collection 网上收款")*('Daily Sale entry '!$AA$2:$AA$1501&lt;&gt;"")*('Daily Sale entry '!$AC$2:$AC$1501-TRUNC('Daily Sale entry '!$AC$2:$AC$1501))),2))</f>
        <v/>
      </c>
      <c r="E143" s="6">
        <f>IF($A143="","",ROUND('Sales &amp; Collection'!I1970-'Sales &amp; Collection'!I1969,2))</f>
        <v/>
      </c>
      <c r="F143" s="6">
        <f>IF($A143="","",'Sales &amp; Collection'!L1962)</f>
        <v/>
      </c>
      <c r="H143" s="6">
        <f>IF($A143="","",K142)</f>
        <v/>
      </c>
      <c r="I143" s="6">
        <f>IF($A143="","",ROUND(B143+D143+E143,2))</f>
        <v/>
      </c>
      <c r="J143" s="6">
        <f>IF($A143="","",F143)</f>
        <v/>
      </c>
      <c r="K143" s="6">
        <f>IF($A143="","",ROUND(H143+I143-J143,2))</f>
        <v/>
      </c>
    </row>
    <row r="144">
      <c r="A144" s="5">
        <f>IF('Daily Sale entry '!A143="","",'Daily Sale entry '!A143)</f>
        <v/>
      </c>
      <c r="B144" s="6">
        <f>IF($A144="","",'Daily Sale entry '!F143)</f>
        <v/>
      </c>
      <c r="C144">
        <f t="array" ref="C144">IF($A144="","",_xlfn.TEXTJOIN(", ",TRUE,IF(('Daily Sale entry '!$X$2:$X$1501=$A144)*('Daily Sale entry '!$Z$2:$Z$1501="Online collection 网上收款"),'Daily Sale entry '!$AA$2:$AA$1501,"")))</f>
        <v/>
      </c>
      <c r="D144" s="6">
        <f>IF($A144="","",ROUND(SUMIFS('Daily Sale entry '!$AC$2:$AC$1501,'Daily Sale entry '!$X$2:$X$1501,$A144,'Daily Sale entry '!$Z$2:$Z$1501,"Online collection 网上收款")-'Opening Balance'!$B$15*SUMPRODUCT(('Daily Sale entry '!$X$2:$X$1501=$A144)*('Daily Sale entry '!$Z$2:$Z$1501="Online collection 网上收款")*('Daily Sale entry '!$AA$2:$AA$1501&lt;&gt;"")*('Daily Sale entry '!$AC$2:$AC$1501-TRUNC('Daily Sale entry '!$AC$2:$AC$1501))),2))</f>
        <v/>
      </c>
      <c r="E144" s="6">
        <f>IF($A144="","",ROUND('Sales &amp; Collection'!I1984-'Sales &amp; Collection'!I1983,2))</f>
        <v/>
      </c>
      <c r="F144" s="6">
        <f>IF($A144="","",'Sales &amp; Collection'!L1976)</f>
        <v/>
      </c>
      <c r="H144" s="6">
        <f>IF($A144="","",K143)</f>
        <v/>
      </c>
      <c r="I144" s="6">
        <f>IF($A144="","",ROUND(B144+D144+E144,2))</f>
        <v/>
      </c>
      <c r="J144" s="6">
        <f>IF($A144="","",F144)</f>
        <v/>
      </c>
      <c r="K144" s="6">
        <f>IF($A144="","",ROUND(H144+I144-J144,2))</f>
        <v/>
      </c>
    </row>
    <row r="145">
      <c r="A145" s="5">
        <f>IF('Daily Sale entry '!A144="","",'Daily Sale entry '!A144)</f>
        <v/>
      </c>
      <c r="B145" s="6">
        <f>IF($A145="","",'Daily Sale entry '!F144)</f>
        <v/>
      </c>
      <c r="C145">
        <f t="array" ref="C145">IF($A145="","",_xlfn.TEXTJOIN(", ",TRUE,IF(('Daily Sale entry '!$X$2:$X$1501=$A145)*('Daily Sale entry '!$Z$2:$Z$1501="Online collection 网上收款"),'Daily Sale entry '!$AA$2:$AA$1501,"")))</f>
        <v/>
      </c>
      <c r="D145" s="6">
        <f>IF($A145="","",ROUND(SUMIFS('Daily Sale entry '!$AC$2:$AC$1501,'Daily Sale entry '!$X$2:$X$1501,$A145,'Daily Sale entry '!$Z$2:$Z$1501,"Online collection 网上收款")-'Opening Balance'!$B$15*SUMPRODUCT(('Daily Sale entry '!$X$2:$X$1501=$A145)*('Daily Sale entry '!$Z$2:$Z$1501="Online collection 网上收款")*('Daily Sale entry '!$AA$2:$AA$1501&lt;&gt;"")*('Daily Sale entry '!$AC$2:$AC$1501-TRUNC('Daily Sale entry '!$AC$2:$AC$1501))),2))</f>
        <v/>
      </c>
      <c r="E145" s="6">
        <f>IF($A145="","",ROUND('Sales &amp; Collection'!I1998-'Sales &amp; Collection'!I1997,2))</f>
        <v/>
      </c>
      <c r="F145" s="6">
        <f>IF($A145="","",'Sales &amp; Collection'!L1990)</f>
        <v/>
      </c>
      <c r="H145" s="6">
        <f>IF($A145="","",K144)</f>
        <v/>
      </c>
      <c r="I145" s="6">
        <f>IF($A145="","",ROUND(B145+D145+E145,2))</f>
        <v/>
      </c>
      <c r="J145" s="6">
        <f>IF($A145="","",F145)</f>
        <v/>
      </c>
      <c r="K145" s="6">
        <f>IF($A145="","",ROUND(H145+I145-J145,2))</f>
        <v/>
      </c>
    </row>
    <row r="146">
      <c r="A146" s="5">
        <f>IF('Daily Sale entry '!A145="","",'Daily Sale entry '!A145)</f>
        <v/>
      </c>
      <c r="B146" s="6">
        <f>IF($A146="","",'Daily Sale entry '!F145)</f>
        <v/>
      </c>
      <c r="C146">
        <f t="array" ref="C146">IF($A146="","",_xlfn.TEXTJOIN(", ",TRUE,IF(('Daily Sale entry '!$X$2:$X$1501=$A146)*('Daily Sale entry '!$Z$2:$Z$1501="Online collection 网上收款"),'Daily Sale entry '!$AA$2:$AA$1501,"")))</f>
        <v/>
      </c>
      <c r="D146" s="6">
        <f>IF($A146="","",ROUND(SUMIFS('Daily Sale entry '!$AC$2:$AC$1501,'Daily Sale entry '!$X$2:$X$1501,$A146,'Daily Sale entry '!$Z$2:$Z$1501,"Online collection 网上收款")-'Opening Balance'!$B$15*SUMPRODUCT(('Daily Sale entry '!$X$2:$X$1501=$A146)*('Daily Sale entry '!$Z$2:$Z$1501="Online collection 网上收款")*('Daily Sale entry '!$AA$2:$AA$1501&lt;&gt;"")*('Daily Sale entry '!$AC$2:$AC$1501-TRUNC('Daily Sale entry '!$AC$2:$AC$1501))),2))</f>
        <v/>
      </c>
      <c r="E146" s="6">
        <f>IF($A146="","",ROUND('Sales &amp; Collection'!I2012-'Sales &amp; Collection'!I2011,2))</f>
        <v/>
      </c>
      <c r="F146" s="6">
        <f>IF($A146="","",'Sales &amp; Collection'!L2004)</f>
        <v/>
      </c>
      <c r="H146" s="6">
        <f>IF($A146="","",K145)</f>
        <v/>
      </c>
      <c r="I146" s="6">
        <f>IF($A146="","",ROUND(B146+D146+E146,2))</f>
        <v/>
      </c>
      <c r="J146" s="6">
        <f>IF($A146="","",F146)</f>
        <v/>
      </c>
      <c r="K146" s="6">
        <f>IF($A146="","",ROUND(H146+I146-J146,2))</f>
        <v/>
      </c>
    </row>
    <row r="147">
      <c r="A147" s="5">
        <f>IF('Daily Sale entry '!A146="","",'Daily Sale entry '!A146)</f>
        <v/>
      </c>
      <c r="B147" s="6">
        <f>IF($A147="","",'Daily Sale entry '!F146)</f>
        <v/>
      </c>
      <c r="C147">
        <f t="array" ref="C147">IF($A147="","",_xlfn.TEXTJOIN(", ",TRUE,IF(('Daily Sale entry '!$X$2:$X$1501=$A147)*('Daily Sale entry '!$Z$2:$Z$1501="Online collection 网上收款"),'Daily Sale entry '!$AA$2:$AA$1501,"")))</f>
        <v/>
      </c>
      <c r="D147" s="6">
        <f>IF($A147="","",ROUND(SUMIFS('Daily Sale entry '!$AC$2:$AC$1501,'Daily Sale entry '!$X$2:$X$1501,$A147,'Daily Sale entry '!$Z$2:$Z$1501,"Online collection 网上收款")-'Opening Balance'!$B$15*SUMPRODUCT(('Daily Sale entry '!$X$2:$X$1501=$A147)*('Daily Sale entry '!$Z$2:$Z$1501="Online collection 网上收款")*('Daily Sale entry '!$AA$2:$AA$1501&lt;&gt;"")*('Daily Sale entry '!$AC$2:$AC$1501-TRUNC('Daily Sale entry '!$AC$2:$AC$1501))),2))</f>
        <v/>
      </c>
      <c r="E147" s="6">
        <f>IF($A147="","",ROUND('Sales &amp; Collection'!I2026-'Sales &amp; Collection'!I2025,2))</f>
        <v/>
      </c>
      <c r="F147" s="6">
        <f>IF($A147="","",'Sales &amp; Collection'!L2018)</f>
        <v/>
      </c>
      <c r="H147" s="6">
        <f>IF($A147="","",K146)</f>
        <v/>
      </c>
      <c r="I147" s="6">
        <f>IF($A147="","",ROUND(B147+D147+E147,2))</f>
        <v/>
      </c>
      <c r="J147" s="6">
        <f>IF($A147="","",F147)</f>
        <v/>
      </c>
      <c r="K147" s="6">
        <f>IF($A147="","",ROUND(H147+I147-J147,2))</f>
        <v/>
      </c>
    </row>
    <row r="148">
      <c r="A148" s="5">
        <f>IF('Daily Sale entry '!A147="","",'Daily Sale entry '!A147)</f>
        <v/>
      </c>
      <c r="B148" s="6">
        <f>IF($A148="","",'Daily Sale entry '!F147)</f>
        <v/>
      </c>
      <c r="C148">
        <f t="array" ref="C148">IF($A148="","",_xlfn.TEXTJOIN(", ",TRUE,IF(('Daily Sale entry '!$X$2:$X$1501=$A148)*('Daily Sale entry '!$Z$2:$Z$1501="Online collection 网上收款"),'Daily Sale entry '!$AA$2:$AA$1501,"")))</f>
        <v/>
      </c>
      <c r="D148" s="6">
        <f>IF($A148="","",ROUND(SUMIFS('Daily Sale entry '!$AC$2:$AC$1501,'Daily Sale entry '!$X$2:$X$1501,$A148,'Daily Sale entry '!$Z$2:$Z$1501,"Online collection 网上收款")-'Opening Balance'!$B$15*SUMPRODUCT(('Daily Sale entry '!$X$2:$X$1501=$A148)*('Daily Sale entry '!$Z$2:$Z$1501="Online collection 网上收款")*('Daily Sale entry '!$AA$2:$AA$1501&lt;&gt;"")*('Daily Sale entry '!$AC$2:$AC$1501-TRUNC('Daily Sale entry '!$AC$2:$AC$1501))),2))</f>
        <v/>
      </c>
      <c r="E148" s="6">
        <f>IF($A148="","",ROUND('Sales &amp; Collection'!I2040-'Sales &amp; Collection'!I2039,2))</f>
        <v/>
      </c>
      <c r="F148" s="6">
        <f>IF($A148="","",'Sales &amp; Collection'!L2032)</f>
        <v/>
      </c>
      <c r="H148" s="6">
        <f>IF($A148="","",K147)</f>
        <v/>
      </c>
      <c r="I148" s="6">
        <f>IF($A148="","",ROUND(B148+D148+E148,2))</f>
        <v/>
      </c>
      <c r="J148" s="6">
        <f>IF($A148="","",F148)</f>
        <v/>
      </c>
      <c r="K148" s="6">
        <f>IF($A148="","",ROUND(H148+I148-J148,2))</f>
        <v/>
      </c>
    </row>
    <row r="149">
      <c r="A149" s="5">
        <f>IF('Daily Sale entry '!A148="","",'Daily Sale entry '!A148)</f>
        <v/>
      </c>
      <c r="B149" s="6">
        <f>IF($A149="","",'Daily Sale entry '!F148)</f>
        <v/>
      </c>
      <c r="C149">
        <f t="array" ref="C149">IF($A149="","",_xlfn.TEXTJOIN(", ",TRUE,IF(('Daily Sale entry '!$X$2:$X$1501=$A149)*('Daily Sale entry '!$Z$2:$Z$1501="Online collection 网上收款"),'Daily Sale entry '!$AA$2:$AA$1501,"")))</f>
        <v/>
      </c>
      <c r="D149" s="6">
        <f>IF($A149="","",ROUND(SUMIFS('Daily Sale entry '!$AC$2:$AC$1501,'Daily Sale entry '!$X$2:$X$1501,$A149,'Daily Sale entry '!$Z$2:$Z$1501,"Online collection 网上收款")-'Opening Balance'!$B$15*SUMPRODUCT(('Daily Sale entry '!$X$2:$X$1501=$A149)*('Daily Sale entry '!$Z$2:$Z$1501="Online collection 网上收款")*('Daily Sale entry '!$AA$2:$AA$1501&lt;&gt;"")*('Daily Sale entry '!$AC$2:$AC$1501-TRUNC('Daily Sale entry '!$AC$2:$AC$1501))),2))</f>
        <v/>
      </c>
      <c r="E149" s="6">
        <f>IF($A149="","",ROUND('Sales &amp; Collection'!I2054-'Sales &amp; Collection'!I2053,2))</f>
        <v/>
      </c>
      <c r="F149" s="6">
        <f>IF($A149="","",'Sales &amp; Collection'!L2046)</f>
        <v/>
      </c>
      <c r="H149" s="6">
        <f>IF($A149="","",K148)</f>
        <v/>
      </c>
      <c r="I149" s="6">
        <f>IF($A149="","",ROUND(B149+D149+E149,2))</f>
        <v/>
      </c>
      <c r="J149" s="6">
        <f>IF($A149="","",F149)</f>
        <v/>
      </c>
      <c r="K149" s="6">
        <f>IF($A149="","",ROUND(H149+I149-J149,2))</f>
        <v/>
      </c>
    </row>
    <row r="150">
      <c r="A150" s="5">
        <f>IF('Daily Sale entry '!A149="","",'Daily Sale entry '!A149)</f>
        <v/>
      </c>
      <c r="B150" s="6">
        <f>IF($A150="","",'Daily Sale entry '!F149)</f>
        <v/>
      </c>
      <c r="C150">
        <f t="array" ref="C150">IF($A150="","",_xlfn.TEXTJOIN(", ",TRUE,IF(('Daily Sale entry '!$X$2:$X$1501=$A150)*('Daily Sale entry '!$Z$2:$Z$1501="Online collection 网上收款"),'Daily Sale entry '!$AA$2:$AA$1501,"")))</f>
        <v/>
      </c>
      <c r="D150" s="6">
        <f>IF($A150="","",ROUND(SUMIFS('Daily Sale entry '!$AC$2:$AC$1501,'Daily Sale entry '!$X$2:$X$1501,$A150,'Daily Sale entry '!$Z$2:$Z$1501,"Online collection 网上收款")-'Opening Balance'!$B$15*SUMPRODUCT(('Daily Sale entry '!$X$2:$X$1501=$A150)*('Daily Sale entry '!$Z$2:$Z$1501="Online collection 网上收款")*('Daily Sale entry '!$AA$2:$AA$1501&lt;&gt;"")*('Daily Sale entry '!$AC$2:$AC$1501-TRUNC('Daily Sale entry '!$AC$2:$AC$1501))),2))</f>
        <v/>
      </c>
      <c r="E150" s="6">
        <f>IF($A150="","",ROUND('Sales &amp; Collection'!I2068-'Sales &amp; Collection'!I2067,2))</f>
        <v/>
      </c>
      <c r="F150" s="6">
        <f>IF($A150="","",'Sales &amp; Collection'!L2060)</f>
        <v/>
      </c>
      <c r="H150" s="6">
        <f>IF($A150="","",K149)</f>
        <v/>
      </c>
      <c r="I150" s="6">
        <f>IF($A150="","",ROUND(B150+D150+E150,2))</f>
        <v/>
      </c>
      <c r="J150" s="6">
        <f>IF($A150="","",F150)</f>
        <v/>
      </c>
      <c r="K150" s="6">
        <f>IF($A150="","",ROUND(H150+I150-J150,2))</f>
        <v/>
      </c>
    </row>
    <row r="151">
      <c r="A151" s="5">
        <f>IF('Daily Sale entry '!A150="","",'Daily Sale entry '!A150)</f>
        <v/>
      </c>
      <c r="B151" s="6">
        <f>IF($A151="","",'Daily Sale entry '!F150)</f>
        <v/>
      </c>
      <c r="C151">
        <f t="array" ref="C151">IF($A151="","",_xlfn.TEXTJOIN(", ",TRUE,IF(('Daily Sale entry '!$X$2:$X$1501=$A151)*('Daily Sale entry '!$Z$2:$Z$1501="Online collection 网上收款"),'Daily Sale entry '!$AA$2:$AA$1501,"")))</f>
        <v/>
      </c>
      <c r="D151" s="6">
        <f>IF($A151="","",ROUND(SUMIFS('Daily Sale entry '!$AC$2:$AC$1501,'Daily Sale entry '!$X$2:$X$1501,$A151,'Daily Sale entry '!$Z$2:$Z$1501,"Online collection 网上收款")-'Opening Balance'!$B$15*SUMPRODUCT(('Daily Sale entry '!$X$2:$X$1501=$A151)*('Daily Sale entry '!$Z$2:$Z$1501="Online collection 网上收款")*('Daily Sale entry '!$AA$2:$AA$1501&lt;&gt;"")*('Daily Sale entry '!$AC$2:$AC$1501-TRUNC('Daily Sale entry '!$AC$2:$AC$1501))),2))</f>
        <v/>
      </c>
      <c r="E151" s="6">
        <f>IF($A151="","",ROUND('Sales &amp; Collection'!I2082-'Sales &amp; Collection'!I2081,2))</f>
        <v/>
      </c>
      <c r="F151" s="6">
        <f>IF($A151="","",'Sales &amp; Collection'!L2074)</f>
        <v/>
      </c>
      <c r="H151" s="6">
        <f>IF($A151="","",K150)</f>
        <v/>
      </c>
      <c r="I151" s="6">
        <f>IF($A151="","",ROUND(B151+D151+E151,2))</f>
        <v/>
      </c>
      <c r="J151" s="6">
        <f>IF($A151="","",F151)</f>
        <v/>
      </c>
      <c r="K151" s="6">
        <f>IF($A151="","",ROUND(H151+I151-J151,2))</f>
        <v/>
      </c>
    </row>
    <row r="152">
      <c r="A152" s="5">
        <f>IF('Daily Sale entry '!A151="","",'Daily Sale entry '!A151)</f>
        <v/>
      </c>
      <c r="B152" s="6">
        <f>IF($A152="","",'Daily Sale entry '!F151)</f>
        <v/>
      </c>
      <c r="C152">
        <f t="array" ref="C152">IF($A152="","",_xlfn.TEXTJOIN(", ",TRUE,IF(('Daily Sale entry '!$X$2:$X$1501=$A152)*('Daily Sale entry '!$Z$2:$Z$1501="Online collection 网上收款"),'Daily Sale entry '!$AA$2:$AA$1501,"")))</f>
        <v/>
      </c>
      <c r="D152" s="6">
        <f>IF($A152="","",ROUND(SUMIFS('Daily Sale entry '!$AC$2:$AC$1501,'Daily Sale entry '!$X$2:$X$1501,$A152,'Daily Sale entry '!$Z$2:$Z$1501,"Online collection 网上收款")-'Opening Balance'!$B$15*SUMPRODUCT(('Daily Sale entry '!$X$2:$X$1501=$A152)*('Daily Sale entry '!$Z$2:$Z$1501="Online collection 网上收款")*('Daily Sale entry '!$AA$2:$AA$1501&lt;&gt;"")*('Daily Sale entry '!$AC$2:$AC$1501-TRUNC('Daily Sale entry '!$AC$2:$AC$1501))),2))</f>
        <v/>
      </c>
      <c r="E152" s="6">
        <f>IF($A152="","",ROUND('Sales &amp; Collection'!I2096-'Sales &amp; Collection'!I2095,2))</f>
        <v/>
      </c>
      <c r="F152" s="6">
        <f>IF($A152="","",'Sales &amp; Collection'!L2088)</f>
        <v/>
      </c>
      <c r="H152" s="6">
        <f>IF($A152="","",K151)</f>
        <v/>
      </c>
      <c r="I152" s="6">
        <f>IF($A152="","",ROUND(B152+D152+E152,2))</f>
        <v/>
      </c>
      <c r="J152" s="6">
        <f>IF($A152="","",F152)</f>
        <v/>
      </c>
      <c r="K152" s="6">
        <f>IF($A152="","",ROUND(H152+I152-J152,2))</f>
        <v/>
      </c>
    </row>
    <row r="153">
      <c r="A153" s="5">
        <f>IF('Daily Sale entry '!A152="","",'Daily Sale entry '!A152)</f>
        <v/>
      </c>
      <c r="B153" s="6">
        <f>IF($A153="","",'Daily Sale entry '!F152)</f>
        <v/>
      </c>
      <c r="C153">
        <f t="array" ref="C153">IF($A153="","",_xlfn.TEXTJOIN(", ",TRUE,IF(('Daily Sale entry '!$X$2:$X$1501=$A153)*('Daily Sale entry '!$Z$2:$Z$1501="Online collection 网上收款"),'Daily Sale entry '!$AA$2:$AA$1501,"")))</f>
        <v/>
      </c>
      <c r="D153" s="6">
        <f>IF($A153="","",ROUND(SUMIFS('Daily Sale entry '!$AC$2:$AC$1501,'Daily Sale entry '!$X$2:$X$1501,$A153,'Daily Sale entry '!$Z$2:$Z$1501,"Online collection 网上收款")-'Opening Balance'!$B$15*SUMPRODUCT(('Daily Sale entry '!$X$2:$X$1501=$A153)*('Daily Sale entry '!$Z$2:$Z$1501="Online collection 网上收款")*('Daily Sale entry '!$AA$2:$AA$1501&lt;&gt;"")*('Daily Sale entry '!$AC$2:$AC$1501-TRUNC('Daily Sale entry '!$AC$2:$AC$1501))),2))</f>
        <v/>
      </c>
      <c r="E153" s="6">
        <f>IF($A153="","",ROUND('Sales &amp; Collection'!I2110-'Sales &amp; Collection'!I2109,2))</f>
        <v/>
      </c>
      <c r="F153" s="6">
        <f>IF($A153="","",'Sales &amp; Collection'!L2102)</f>
        <v/>
      </c>
      <c r="H153" s="6">
        <f>IF($A153="","",K152)</f>
        <v/>
      </c>
      <c r="I153" s="6">
        <f>IF($A153="","",ROUND(B153+D153+E153,2))</f>
        <v/>
      </c>
      <c r="J153" s="6">
        <f>IF($A153="","",F153)</f>
        <v/>
      </c>
      <c r="K153" s="6">
        <f>IF($A153="","",ROUND(H153+I153-J153,2))</f>
        <v/>
      </c>
    </row>
    <row r="154">
      <c r="A154" s="5">
        <f>IF('Daily Sale entry '!A153="","",'Daily Sale entry '!A153)</f>
        <v/>
      </c>
      <c r="B154" s="6">
        <f>IF($A154="","",'Daily Sale entry '!F153)</f>
        <v/>
      </c>
      <c r="C154">
        <f t="array" ref="C154">IF($A154="","",_xlfn.TEXTJOIN(", ",TRUE,IF(('Daily Sale entry '!$X$2:$X$1501=$A154)*('Daily Sale entry '!$Z$2:$Z$1501="Online collection 网上收款"),'Daily Sale entry '!$AA$2:$AA$1501,"")))</f>
        <v/>
      </c>
      <c r="D154" s="6">
        <f>IF($A154="","",ROUND(SUMIFS('Daily Sale entry '!$AC$2:$AC$1501,'Daily Sale entry '!$X$2:$X$1501,$A154,'Daily Sale entry '!$Z$2:$Z$1501,"Online collection 网上收款")-'Opening Balance'!$B$15*SUMPRODUCT(('Daily Sale entry '!$X$2:$X$1501=$A154)*('Daily Sale entry '!$Z$2:$Z$1501="Online collection 网上收款")*('Daily Sale entry '!$AA$2:$AA$1501&lt;&gt;"")*('Daily Sale entry '!$AC$2:$AC$1501-TRUNC('Daily Sale entry '!$AC$2:$AC$1501))),2))</f>
        <v/>
      </c>
      <c r="E154" s="6">
        <f>IF($A154="","",ROUND('Sales &amp; Collection'!I2124-'Sales &amp; Collection'!I2123,2))</f>
        <v/>
      </c>
      <c r="F154" s="6">
        <f>IF($A154="","",'Sales &amp; Collection'!L2116)</f>
        <v/>
      </c>
      <c r="H154" s="6">
        <f>IF($A154="","",K153)</f>
        <v/>
      </c>
      <c r="I154" s="6">
        <f>IF($A154="","",ROUND(B154+D154+E154,2))</f>
        <v/>
      </c>
      <c r="J154" s="6">
        <f>IF($A154="","",F154)</f>
        <v/>
      </c>
      <c r="K154" s="6">
        <f>IF($A154="","",ROUND(H154+I154-J154,2))</f>
        <v/>
      </c>
    </row>
    <row r="155">
      <c r="A155" s="5">
        <f>IF('Daily Sale entry '!A154="","",'Daily Sale entry '!A154)</f>
        <v/>
      </c>
      <c r="B155" s="6">
        <f>IF($A155="","",'Daily Sale entry '!F154)</f>
        <v/>
      </c>
      <c r="C155">
        <f t="array" ref="C155">IF($A155="","",_xlfn.TEXTJOIN(", ",TRUE,IF(('Daily Sale entry '!$X$2:$X$1501=$A155)*('Daily Sale entry '!$Z$2:$Z$1501="Online collection 网上收款"),'Daily Sale entry '!$AA$2:$AA$1501,"")))</f>
        <v/>
      </c>
      <c r="D155" s="6">
        <f>IF($A155="","",ROUND(SUMIFS('Daily Sale entry '!$AC$2:$AC$1501,'Daily Sale entry '!$X$2:$X$1501,$A155,'Daily Sale entry '!$Z$2:$Z$1501,"Online collection 网上收款")-'Opening Balance'!$B$15*SUMPRODUCT(('Daily Sale entry '!$X$2:$X$1501=$A155)*('Daily Sale entry '!$Z$2:$Z$1501="Online collection 网上收款")*('Daily Sale entry '!$AA$2:$AA$1501&lt;&gt;"")*('Daily Sale entry '!$AC$2:$AC$1501-TRUNC('Daily Sale entry '!$AC$2:$AC$1501))),2))</f>
        <v/>
      </c>
      <c r="E155" s="6">
        <f>IF($A155="","",ROUND('Sales &amp; Collection'!I2138-'Sales &amp; Collection'!I2137,2))</f>
        <v/>
      </c>
      <c r="F155" s="6">
        <f>IF($A155="","",'Sales &amp; Collection'!L2130)</f>
        <v/>
      </c>
      <c r="H155" s="6">
        <f>IF($A155="","",K154)</f>
        <v/>
      </c>
      <c r="I155" s="6">
        <f>IF($A155="","",ROUND(B155+D155+E155,2))</f>
        <v/>
      </c>
      <c r="J155" s="6">
        <f>IF($A155="","",F155)</f>
        <v/>
      </c>
      <c r="K155" s="6">
        <f>IF($A155="","",ROUND(H155+I155-J155,2))</f>
        <v/>
      </c>
    </row>
    <row r="156">
      <c r="A156" s="5">
        <f>IF('Daily Sale entry '!A155="","",'Daily Sale entry '!A155)</f>
        <v/>
      </c>
      <c r="B156" s="6">
        <f>IF($A156="","",'Daily Sale entry '!F155)</f>
        <v/>
      </c>
      <c r="C156">
        <f t="array" ref="C156">IF($A156="","",_xlfn.TEXTJOIN(", ",TRUE,IF(('Daily Sale entry '!$X$2:$X$1501=$A156)*('Daily Sale entry '!$Z$2:$Z$1501="Online collection 网上收款"),'Daily Sale entry '!$AA$2:$AA$1501,"")))</f>
        <v/>
      </c>
      <c r="D156" s="6">
        <f>IF($A156="","",ROUND(SUMIFS('Daily Sale entry '!$AC$2:$AC$1501,'Daily Sale entry '!$X$2:$X$1501,$A156,'Daily Sale entry '!$Z$2:$Z$1501,"Online collection 网上收款")-'Opening Balance'!$B$15*SUMPRODUCT(('Daily Sale entry '!$X$2:$X$1501=$A156)*('Daily Sale entry '!$Z$2:$Z$1501="Online collection 网上收款")*('Daily Sale entry '!$AA$2:$AA$1501&lt;&gt;"")*('Daily Sale entry '!$AC$2:$AC$1501-TRUNC('Daily Sale entry '!$AC$2:$AC$1501))),2))</f>
        <v/>
      </c>
      <c r="E156" s="6">
        <f>IF($A156="","",ROUND('Sales &amp; Collection'!I2152-'Sales &amp; Collection'!I2151,2))</f>
        <v/>
      </c>
      <c r="F156" s="6">
        <f>IF($A156="","",'Sales &amp; Collection'!L2144)</f>
        <v/>
      </c>
      <c r="H156" s="6">
        <f>IF($A156="","",K155)</f>
        <v/>
      </c>
      <c r="I156" s="6">
        <f>IF($A156="","",ROUND(B156+D156+E156,2))</f>
        <v/>
      </c>
      <c r="J156" s="6">
        <f>IF($A156="","",F156)</f>
        <v/>
      </c>
      <c r="K156" s="6">
        <f>IF($A156="","",ROUND(H156+I156-J156,2))</f>
        <v/>
      </c>
    </row>
    <row r="157">
      <c r="A157" s="5">
        <f>IF('Daily Sale entry '!A156="","",'Daily Sale entry '!A156)</f>
        <v/>
      </c>
      <c r="B157" s="6">
        <f>IF($A157="","",'Daily Sale entry '!F156)</f>
        <v/>
      </c>
      <c r="C157">
        <f t="array" ref="C157">IF($A157="","",_xlfn.TEXTJOIN(", ",TRUE,IF(('Daily Sale entry '!$X$2:$X$1501=$A157)*('Daily Sale entry '!$Z$2:$Z$1501="Online collection 网上收款"),'Daily Sale entry '!$AA$2:$AA$1501,"")))</f>
        <v/>
      </c>
      <c r="D157" s="6">
        <f>IF($A157="","",ROUND(SUMIFS('Daily Sale entry '!$AC$2:$AC$1501,'Daily Sale entry '!$X$2:$X$1501,$A157,'Daily Sale entry '!$Z$2:$Z$1501,"Online collection 网上收款")-'Opening Balance'!$B$15*SUMPRODUCT(('Daily Sale entry '!$X$2:$X$1501=$A157)*('Daily Sale entry '!$Z$2:$Z$1501="Online collection 网上收款")*('Daily Sale entry '!$AA$2:$AA$1501&lt;&gt;"")*('Daily Sale entry '!$AC$2:$AC$1501-TRUNC('Daily Sale entry '!$AC$2:$AC$1501))),2))</f>
        <v/>
      </c>
      <c r="E157" s="6">
        <f>IF($A157="","",ROUND('Sales &amp; Collection'!I2166-'Sales &amp; Collection'!I2165,2))</f>
        <v/>
      </c>
      <c r="F157" s="6">
        <f>IF($A157="","",'Sales &amp; Collection'!L2158)</f>
        <v/>
      </c>
      <c r="H157" s="6">
        <f>IF($A157="","",K156)</f>
        <v/>
      </c>
      <c r="I157" s="6">
        <f>IF($A157="","",ROUND(B157+D157+E157,2))</f>
        <v/>
      </c>
      <c r="J157" s="6">
        <f>IF($A157="","",F157)</f>
        <v/>
      </c>
      <c r="K157" s="6">
        <f>IF($A157="","",ROUND(H157+I157-J157,2))</f>
        <v/>
      </c>
    </row>
    <row r="158">
      <c r="A158" s="5">
        <f>IF('Daily Sale entry '!A157="","",'Daily Sale entry '!A157)</f>
        <v/>
      </c>
      <c r="B158" s="6">
        <f>IF($A158="","",'Daily Sale entry '!F157)</f>
        <v/>
      </c>
      <c r="C158">
        <f t="array" ref="C158">IF($A158="","",_xlfn.TEXTJOIN(", ",TRUE,IF(('Daily Sale entry '!$X$2:$X$1501=$A158)*('Daily Sale entry '!$Z$2:$Z$1501="Online collection 网上收款"),'Daily Sale entry '!$AA$2:$AA$1501,"")))</f>
        <v/>
      </c>
      <c r="D158" s="6">
        <f>IF($A158="","",ROUND(SUMIFS('Daily Sale entry '!$AC$2:$AC$1501,'Daily Sale entry '!$X$2:$X$1501,$A158,'Daily Sale entry '!$Z$2:$Z$1501,"Online collection 网上收款")-'Opening Balance'!$B$15*SUMPRODUCT(('Daily Sale entry '!$X$2:$X$1501=$A158)*('Daily Sale entry '!$Z$2:$Z$1501="Online collection 网上收款")*('Daily Sale entry '!$AA$2:$AA$1501&lt;&gt;"")*('Daily Sale entry '!$AC$2:$AC$1501-TRUNC('Daily Sale entry '!$AC$2:$AC$1501))),2))</f>
        <v/>
      </c>
      <c r="E158" s="6">
        <f>IF($A158="","",ROUND('Sales &amp; Collection'!I2180-'Sales &amp; Collection'!I2179,2))</f>
        <v/>
      </c>
      <c r="F158" s="6">
        <f>IF($A158="","",'Sales &amp; Collection'!L2172)</f>
        <v/>
      </c>
      <c r="H158" s="6">
        <f>IF($A158="","",K157)</f>
        <v/>
      </c>
      <c r="I158" s="6">
        <f>IF($A158="","",ROUND(B158+D158+E158,2))</f>
        <v/>
      </c>
      <c r="J158" s="6">
        <f>IF($A158="","",F158)</f>
        <v/>
      </c>
      <c r="K158" s="6">
        <f>IF($A158="","",ROUND(H158+I158-J158,2))</f>
        <v/>
      </c>
    </row>
    <row r="159">
      <c r="A159" s="5">
        <f>IF('Daily Sale entry '!A158="","",'Daily Sale entry '!A158)</f>
        <v/>
      </c>
      <c r="B159" s="6">
        <f>IF($A159="","",'Daily Sale entry '!F158)</f>
        <v/>
      </c>
      <c r="C159">
        <f t="array" ref="C159">IF($A159="","",_xlfn.TEXTJOIN(", ",TRUE,IF(('Daily Sale entry '!$X$2:$X$1501=$A159)*('Daily Sale entry '!$Z$2:$Z$1501="Online collection 网上收款"),'Daily Sale entry '!$AA$2:$AA$1501,"")))</f>
        <v/>
      </c>
      <c r="D159" s="6">
        <f>IF($A159="","",ROUND(SUMIFS('Daily Sale entry '!$AC$2:$AC$1501,'Daily Sale entry '!$X$2:$X$1501,$A159,'Daily Sale entry '!$Z$2:$Z$1501,"Online collection 网上收款")-'Opening Balance'!$B$15*SUMPRODUCT(('Daily Sale entry '!$X$2:$X$1501=$A159)*('Daily Sale entry '!$Z$2:$Z$1501="Online collection 网上收款")*('Daily Sale entry '!$AA$2:$AA$1501&lt;&gt;"")*('Daily Sale entry '!$AC$2:$AC$1501-TRUNC('Daily Sale entry '!$AC$2:$AC$1501))),2))</f>
        <v/>
      </c>
      <c r="E159" s="6">
        <f>IF($A159="","",ROUND('Sales &amp; Collection'!I2194-'Sales &amp; Collection'!I2193,2))</f>
        <v/>
      </c>
      <c r="F159" s="6">
        <f>IF($A159="","",'Sales &amp; Collection'!L2186)</f>
        <v/>
      </c>
      <c r="H159" s="6">
        <f>IF($A159="","",K158)</f>
        <v/>
      </c>
      <c r="I159" s="6">
        <f>IF($A159="","",ROUND(B159+D159+E159,2))</f>
        <v/>
      </c>
      <c r="J159" s="6">
        <f>IF($A159="","",F159)</f>
        <v/>
      </c>
      <c r="K159" s="6">
        <f>IF($A159="","",ROUND(H159+I159-J159,2))</f>
        <v/>
      </c>
    </row>
    <row r="160">
      <c r="A160" s="5">
        <f>IF('Daily Sale entry '!A159="","",'Daily Sale entry '!A159)</f>
        <v/>
      </c>
      <c r="B160" s="6">
        <f>IF($A160="","",'Daily Sale entry '!F159)</f>
        <v/>
      </c>
      <c r="C160">
        <f t="array" ref="C160">IF($A160="","",_xlfn.TEXTJOIN(", ",TRUE,IF(('Daily Sale entry '!$X$2:$X$1501=$A160)*('Daily Sale entry '!$Z$2:$Z$1501="Online collection 网上收款"),'Daily Sale entry '!$AA$2:$AA$1501,"")))</f>
        <v/>
      </c>
      <c r="D160" s="6">
        <f>IF($A160="","",ROUND(SUMIFS('Daily Sale entry '!$AC$2:$AC$1501,'Daily Sale entry '!$X$2:$X$1501,$A160,'Daily Sale entry '!$Z$2:$Z$1501,"Online collection 网上收款")-'Opening Balance'!$B$15*SUMPRODUCT(('Daily Sale entry '!$X$2:$X$1501=$A160)*('Daily Sale entry '!$Z$2:$Z$1501="Online collection 网上收款")*('Daily Sale entry '!$AA$2:$AA$1501&lt;&gt;"")*('Daily Sale entry '!$AC$2:$AC$1501-TRUNC('Daily Sale entry '!$AC$2:$AC$1501))),2))</f>
        <v/>
      </c>
      <c r="E160" s="6">
        <f>IF($A160="","",ROUND('Sales &amp; Collection'!I2208-'Sales &amp; Collection'!I2207,2))</f>
        <v/>
      </c>
      <c r="F160" s="6">
        <f>IF($A160="","",'Sales &amp; Collection'!L2200)</f>
        <v/>
      </c>
      <c r="H160" s="6">
        <f>IF($A160="","",K159)</f>
        <v/>
      </c>
      <c r="I160" s="6">
        <f>IF($A160="","",ROUND(B160+D160+E160,2))</f>
        <v/>
      </c>
      <c r="J160" s="6">
        <f>IF($A160="","",F160)</f>
        <v/>
      </c>
      <c r="K160" s="6">
        <f>IF($A160="","",ROUND(H160+I160-J160,2))</f>
        <v/>
      </c>
    </row>
    <row r="161">
      <c r="A161" s="5">
        <f>IF('Daily Sale entry '!A160="","",'Daily Sale entry '!A160)</f>
        <v/>
      </c>
      <c r="B161" s="6">
        <f>IF($A161="","",'Daily Sale entry '!F160)</f>
        <v/>
      </c>
      <c r="C161">
        <f t="array" ref="C161">IF($A161="","",_xlfn.TEXTJOIN(", ",TRUE,IF(('Daily Sale entry '!$X$2:$X$1501=$A161)*('Daily Sale entry '!$Z$2:$Z$1501="Online collection 网上收款"),'Daily Sale entry '!$AA$2:$AA$1501,"")))</f>
        <v/>
      </c>
      <c r="D161" s="6">
        <f>IF($A161="","",ROUND(SUMIFS('Daily Sale entry '!$AC$2:$AC$1501,'Daily Sale entry '!$X$2:$X$1501,$A161,'Daily Sale entry '!$Z$2:$Z$1501,"Online collection 网上收款")-'Opening Balance'!$B$15*SUMPRODUCT(('Daily Sale entry '!$X$2:$X$1501=$A161)*('Daily Sale entry '!$Z$2:$Z$1501="Online collection 网上收款")*('Daily Sale entry '!$AA$2:$AA$1501&lt;&gt;"")*('Daily Sale entry '!$AC$2:$AC$1501-TRUNC('Daily Sale entry '!$AC$2:$AC$1501))),2))</f>
        <v/>
      </c>
      <c r="E161" s="6">
        <f>IF($A161="","",ROUND('Sales &amp; Collection'!I2222-'Sales &amp; Collection'!I2221,2))</f>
        <v/>
      </c>
      <c r="F161" s="6">
        <f>IF($A161="","",'Sales &amp; Collection'!L2214)</f>
        <v/>
      </c>
      <c r="H161" s="6">
        <f>IF($A161="","",K160)</f>
        <v/>
      </c>
      <c r="I161" s="6">
        <f>IF($A161="","",ROUND(B161+D161+E161,2))</f>
        <v/>
      </c>
      <c r="J161" s="6">
        <f>IF($A161="","",F161)</f>
        <v/>
      </c>
      <c r="K161" s="6">
        <f>IF($A161="","",ROUND(H161+I161-J161,2))</f>
        <v/>
      </c>
    </row>
    <row r="162">
      <c r="A162" s="5">
        <f>IF('Daily Sale entry '!A161="","",'Daily Sale entry '!A161)</f>
        <v/>
      </c>
      <c r="B162" s="6">
        <f>IF($A162="","",'Daily Sale entry '!F161)</f>
        <v/>
      </c>
      <c r="C162">
        <f t="array" ref="C162">IF($A162="","",_xlfn.TEXTJOIN(", ",TRUE,IF(('Daily Sale entry '!$X$2:$X$1501=$A162)*('Daily Sale entry '!$Z$2:$Z$1501="Online collection 网上收款"),'Daily Sale entry '!$AA$2:$AA$1501,"")))</f>
        <v/>
      </c>
      <c r="D162" s="6">
        <f>IF($A162="","",ROUND(SUMIFS('Daily Sale entry '!$AC$2:$AC$1501,'Daily Sale entry '!$X$2:$X$1501,$A162,'Daily Sale entry '!$Z$2:$Z$1501,"Online collection 网上收款")-'Opening Balance'!$B$15*SUMPRODUCT(('Daily Sale entry '!$X$2:$X$1501=$A162)*('Daily Sale entry '!$Z$2:$Z$1501="Online collection 网上收款")*('Daily Sale entry '!$AA$2:$AA$1501&lt;&gt;"")*('Daily Sale entry '!$AC$2:$AC$1501-TRUNC('Daily Sale entry '!$AC$2:$AC$1501))),2))</f>
        <v/>
      </c>
      <c r="E162" s="6">
        <f>IF($A162="","",ROUND('Sales &amp; Collection'!I2236-'Sales &amp; Collection'!I2235,2))</f>
        <v/>
      </c>
      <c r="F162" s="6">
        <f>IF($A162="","",'Sales &amp; Collection'!L2228)</f>
        <v/>
      </c>
      <c r="H162" s="6">
        <f>IF($A162="","",K161)</f>
        <v/>
      </c>
      <c r="I162" s="6">
        <f>IF($A162="","",ROUND(B162+D162+E162,2))</f>
        <v/>
      </c>
      <c r="J162" s="6">
        <f>IF($A162="","",F162)</f>
        <v/>
      </c>
      <c r="K162" s="6">
        <f>IF($A162="","",ROUND(H162+I162-J162,2))</f>
        <v/>
      </c>
    </row>
    <row r="163">
      <c r="A163" s="5">
        <f>IF('Daily Sale entry '!A162="","",'Daily Sale entry '!A162)</f>
        <v/>
      </c>
      <c r="B163" s="6">
        <f>IF($A163="","",'Daily Sale entry '!F162)</f>
        <v/>
      </c>
      <c r="C163">
        <f t="array" ref="C163">IF($A163="","",_xlfn.TEXTJOIN(", ",TRUE,IF(('Daily Sale entry '!$X$2:$X$1501=$A163)*('Daily Sale entry '!$Z$2:$Z$1501="Online collection 网上收款"),'Daily Sale entry '!$AA$2:$AA$1501,"")))</f>
        <v/>
      </c>
      <c r="D163" s="6">
        <f>IF($A163="","",ROUND(SUMIFS('Daily Sale entry '!$AC$2:$AC$1501,'Daily Sale entry '!$X$2:$X$1501,$A163,'Daily Sale entry '!$Z$2:$Z$1501,"Online collection 网上收款")-'Opening Balance'!$B$15*SUMPRODUCT(('Daily Sale entry '!$X$2:$X$1501=$A163)*('Daily Sale entry '!$Z$2:$Z$1501="Online collection 网上收款")*('Daily Sale entry '!$AA$2:$AA$1501&lt;&gt;"")*('Daily Sale entry '!$AC$2:$AC$1501-TRUNC('Daily Sale entry '!$AC$2:$AC$1501))),2))</f>
        <v/>
      </c>
      <c r="E163" s="6">
        <f>IF($A163="","",ROUND('Sales &amp; Collection'!I2250-'Sales &amp; Collection'!I2249,2))</f>
        <v/>
      </c>
      <c r="F163" s="6">
        <f>IF($A163="","",'Sales &amp; Collection'!L2242)</f>
        <v/>
      </c>
      <c r="H163" s="6">
        <f>IF($A163="","",K162)</f>
        <v/>
      </c>
      <c r="I163" s="6">
        <f>IF($A163="","",ROUND(B163+D163+E163,2))</f>
        <v/>
      </c>
      <c r="J163" s="6">
        <f>IF($A163="","",F163)</f>
        <v/>
      </c>
      <c r="K163" s="6">
        <f>IF($A163="","",ROUND(H163+I163-J163,2))</f>
        <v/>
      </c>
    </row>
    <row r="164">
      <c r="A164" s="5">
        <f>IF('Daily Sale entry '!A163="","",'Daily Sale entry '!A163)</f>
        <v/>
      </c>
      <c r="B164" s="6">
        <f>IF($A164="","",'Daily Sale entry '!F163)</f>
        <v/>
      </c>
      <c r="C164">
        <f t="array" ref="C164">IF($A164="","",_xlfn.TEXTJOIN(", ",TRUE,IF(('Daily Sale entry '!$X$2:$X$1501=$A164)*('Daily Sale entry '!$Z$2:$Z$1501="Online collection 网上收款"),'Daily Sale entry '!$AA$2:$AA$1501,"")))</f>
        <v/>
      </c>
      <c r="D164" s="6">
        <f>IF($A164="","",ROUND(SUMIFS('Daily Sale entry '!$AC$2:$AC$1501,'Daily Sale entry '!$X$2:$X$1501,$A164,'Daily Sale entry '!$Z$2:$Z$1501,"Online collection 网上收款")-'Opening Balance'!$B$15*SUMPRODUCT(('Daily Sale entry '!$X$2:$X$1501=$A164)*('Daily Sale entry '!$Z$2:$Z$1501="Online collection 网上收款")*('Daily Sale entry '!$AA$2:$AA$1501&lt;&gt;"")*('Daily Sale entry '!$AC$2:$AC$1501-TRUNC('Daily Sale entry '!$AC$2:$AC$1501))),2))</f>
        <v/>
      </c>
      <c r="E164" s="6">
        <f>IF($A164="","",ROUND('Sales &amp; Collection'!I2264-'Sales &amp; Collection'!I2263,2))</f>
        <v/>
      </c>
      <c r="F164" s="6">
        <f>IF($A164="","",'Sales &amp; Collection'!L2256)</f>
        <v/>
      </c>
      <c r="H164" s="6">
        <f>IF($A164="","",K163)</f>
        <v/>
      </c>
      <c r="I164" s="6">
        <f>IF($A164="","",ROUND(B164+D164+E164,2))</f>
        <v/>
      </c>
      <c r="J164" s="6">
        <f>IF($A164="","",F164)</f>
        <v/>
      </c>
      <c r="K164" s="6">
        <f>IF($A164="","",ROUND(H164+I164-J164,2))</f>
        <v/>
      </c>
    </row>
    <row r="165">
      <c r="A165" s="5">
        <f>IF('Daily Sale entry '!A164="","",'Daily Sale entry '!A164)</f>
        <v/>
      </c>
      <c r="B165" s="6">
        <f>IF($A165="","",'Daily Sale entry '!F164)</f>
        <v/>
      </c>
      <c r="C165">
        <f t="array" ref="C165">IF($A165="","",_xlfn.TEXTJOIN(", ",TRUE,IF(('Daily Sale entry '!$X$2:$X$1501=$A165)*('Daily Sale entry '!$Z$2:$Z$1501="Online collection 网上收款"),'Daily Sale entry '!$AA$2:$AA$1501,"")))</f>
        <v/>
      </c>
      <c r="D165" s="6">
        <f>IF($A165="","",ROUND(SUMIFS('Daily Sale entry '!$AC$2:$AC$1501,'Daily Sale entry '!$X$2:$X$1501,$A165,'Daily Sale entry '!$Z$2:$Z$1501,"Online collection 网上收款")-'Opening Balance'!$B$15*SUMPRODUCT(('Daily Sale entry '!$X$2:$X$1501=$A165)*('Daily Sale entry '!$Z$2:$Z$1501="Online collection 网上收款")*('Daily Sale entry '!$AA$2:$AA$1501&lt;&gt;"")*('Daily Sale entry '!$AC$2:$AC$1501-TRUNC('Daily Sale entry '!$AC$2:$AC$1501))),2))</f>
        <v/>
      </c>
      <c r="E165" s="6">
        <f>IF($A165="","",ROUND('Sales &amp; Collection'!I2278-'Sales &amp; Collection'!I2277,2))</f>
        <v/>
      </c>
      <c r="F165" s="6">
        <f>IF($A165="","",'Sales &amp; Collection'!L2270)</f>
        <v/>
      </c>
      <c r="H165" s="6">
        <f>IF($A165="","",K164)</f>
        <v/>
      </c>
      <c r="I165" s="6">
        <f>IF($A165="","",ROUND(B165+D165+E165,2))</f>
        <v/>
      </c>
      <c r="J165" s="6">
        <f>IF($A165="","",F165)</f>
        <v/>
      </c>
      <c r="K165" s="6">
        <f>IF($A165="","",ROUND(H165+I165-J165,2))</f>
        <v/>
      </c>
    </row>
    <row r="166">
      <c r="A166" s="5">
        <f>IF('Daily Sale entry '!A165="","",'Daily Sale entry '!A165)</f>
        <v/>
      </c>
      <c r="B166" s="6">
        <f>IF($A166="","",'Daily Sale entry '!F165)</f>
        <v/>
      </c>
      <c r="C166">
        <f t="array" ref="C166">IF($A166="","",_xlfn.TEXTJOIN(", ",TRUE,IF(('Daily Sale entry '!$X$2:$X$1501=$A166)*('Daily Sale entry '!$Z$2:$Z$1501="Online collection 网上收款"),'Daily Sale entry '!$AA$2:$AA$1501,"")))</f>
        <v/>
      </c>
      <c r="D166" s="6">
        <f>IF($A166="","",ROUND(SUMIFS('Daily Sale entry '!$AC$2:$AC$1501,'Daily Sale entry '!$X$2:$X$1501,$A166,'Daily Sale entry '!$Z$2:$Z$1501,"Online collection 网上收款")-'Opening Balance'!$B$15*SUMPRODUCT(('Daily Sale entry '!$X$2:$X$1501=$A166)*('Daily Sale entry '!$Z$2:$Z$1501="Online collection 网上收款")*('Daily Sale entry '!$AA$2:$AA$1501&lt;&gt;"")*('Daily Sale entry '!$AC$2:$AC$1501-TRUNC('Daily Sale entry '!$AC$2:$AC$1501))),2))</f>
        <v/>
      </c>
      <c r="E166" s="6">
        <f>IF($A166="","",ROUND('Sales &amp; Collection'!I2292-'Sales &amp; Collection'!I2291,2))</f>
        <v/>
      </c>
      <c r="F166" s="6">
        <f>IF($A166="","",'Sales &amp; Collection'!L2284)</f>
        <v/>
      </c>
      <c r="H166" s="6">
        <f>IF($A166="","",K165)</f>
        <v/>
      </c>
      <c r="I166" s="6">
        <f>IF($A166="","",ROUND(B166+D166+E166,2))</f>
        <v/>
      </c>
      <c r="J166" s="6">
        <f>IF($A166="","",F166)</f>
        <v/>
      </c>
      <c r="K166" s="6">
        <f>IF($A166="","",ROUND(H166+I166-J166,2))</f>
        <v/>
      </c>
    </row>
    <row r="167">
      <c r="A167" s="5">
        <f>IF('Daily Sale entry '!A166="","",'Daily Sale entry '!A166)</f>
        <v/>
      </c>
      <c r="B167" s="6">
        <f>IF($A167="","",'Daily Sale entry '!F166)</f>
        <v/>
      </c>
      <c r="C167">
        <f t="array" ref="C167">IF($A167="","",_xlfn.TEXTJOIN(", ",TRUE,IF(('Daily Sale entry '!$X$2:$X$1501=$A167)*('Daily Sale entry '!$Z$2:$Z$1501="Online collection 网上收款"),'Daily Sale entry '!$AA$2:$AA$1501,"")))</f>
        <v/>
      </c>
      <c r="D167" s="6">
        <f>IF($A167="","",ROUND(SUMIFS('Daily Sale entry '!$AC$2:$AC$1501,'Daily Sale entry '!$X$2:$X$1501,$A167,'Daily Sale entry '!$Z$2:$Z$1501,"Online collection 网上收款")-'Opening Balance'!$B$15*SUMPRODUCT(('Daily Sale entry '!$X$2:$X$1501=$A167)*('Daily Sale entry '!$Z$2:$Z$1501="Online collection 网上收款")*('Daily Sale entry '!$AA$2:$AA$1501&lt;&gt;"")*('Daily Sale entry '!$AC$2:$AC$1501-TRUNC('Daily Sale entry '!$AC$2:$AC$1501))),2))</f>
        <v/>
      </c>
      <c r="E167" s="6">
        <f>IF($A167="","",ROUND('Sales &amp; Collection'!I2306-'Sales &amp; Collection'!I2305,2))</f>
        <v/>
      </c>
      <c r="F167" s="6">
        <f>IF($A167="","",'Sales &amp; Collection'!L2298)</f>
        <v/>
      </c>
      <c r="H167" s="6">
        <f>IF($A167="","",K166)</f>
        <v/>
      </c>
      <c r="I167" s="6">
        <f>IF($A167="","",ROUND(B167+D167+E167,2))</f>
        <v/>
      </c>
      <c r="J167" s="6">
        <f>IF($A167="","",F167)</f>
        <v/>
      </c>
      <c r="K167" s="6">
        <f>IF($A167="","",ROUND(H167+I167-J167,2))</f>
        <v/>
      </c>
    </row>
    <row r="168">
      <c r="A168" s="5">
        <f>IF('Daily Sale entry '!A167="","",'Daily Sale entry '!A167)</f>
        <v/>
      </c>
      <c r="B168" s="6">
        <f>IF($A168="","",'Daily Sale entry '!F167)</f>
        <v/>
      </c>
      <c r="C168">
        <f t="array" ref="C168">IF($A168="","",_xlfn.TEXTJOIN(", ",TRUE,IF(('Daily Sale entry '!$X$2:$X$1501=$A168)*('Daily Sale entry '!$Z$2:$Z$1501="Online collection 网上收款"),'Daily Sale entry '!$AA$2:$AA$1501,"")))</f>
        <v/>
      </c>
      <c r="D168" s="6">
        <f>IF($A168="","",ROUND(SUMIFS('Daily Sale entry '!$AC$2:$AC$1501,'Daily Sale entry '!$X$2:$X$1501,$A168,'Daily Sale entry '!$Z$2:$Z$1501,"Online collection 网上收款")-'Opening Balance'!$B$15*SUMPRODUCT(('Daily Sale entry '!$X$2:$X$1501=$A168)*('Daily Sale entry '!$Z$2:$Z$1501="Online collection 网上收款")*('Daily Sale entry '!$AA$2:$AA$1501&lt;&gt;"")*('Daily Sale entry '!$AC$2:$AC$1501-TRUNC('Daily Sale entry '!$AC$2:$AC$1501))),2))</f>
        <v/>
      </c>
      <c r="E168" s="6">
        <f>IF($A168="","",ROUND('Sales &amp; Collection'!I2320-'Sales &amp; Collection'!I2319,2))</f>
        <v/>
      </c>
      <c r="F168" s="6">
        <f>IF($A168="","",'Sales &amp; Collection'!L2312)</f>
        <v/>
      </c>
      <c r="H168" s="6">
        <f>IF($A168="","",K167)</f>
        <v/>
      </c>
      <c r="I168" s="6">
        <f>IF($A168="","",ROUND(B168+D168+E168,2))</f>
        <v/>
      </c>
      <c r="J168" s="6">
        <f>IF($A168="","",F168)</f>
        <v/>
      </c>
      <c r="K168" s="6">
        <f>IF($A168="","",ROUND(H168+I168-J168,2))</f>
        <v/>
      </c>
    </row>
    <row r="169">
      <c r="A169" s="5">
        <f>IF('Daily Sale entry '!A168="","",'Daily Sale entry '!A168)</f>
        <v/>
      </c>
      <c r="B169" s="6">
        <f>IF($A169="","",'Daily Sale entry '!F168)</f>
        <v/>
      </c>
      <c r="C169">
        <f t="array" ref="C169">IF($A169="","",_xlfn.TEXTJOIN(", ",TRUE,IF(('Daily Sale entry '!$X$2:$X$1501=$A169)*('Daily Sale entry '!$Z$2:$Z$1501="Online collection 网上收款"),'Daily Sale entry '!$AA$2:$AA$1501,"")))</f>
        <v/>
      </c>
      <c r="D169" s="6">
        <f>IF($A169="","",ROUND(SUMIFS('Daily Sale entry '!$AC$2:$AC$1501,'Daily Sale entry '!$X$2:$X$1501,$A169,'Daily Sale entry '!$Z$2:$Z$1501,"Online collection 网上收款")-'Opening Balance'!$B$15*SUMPRODUCT(('Daily Sale entry '!$X$2:$X$1501=$A169)*('Daily Sale entry '!$Z$2:$Z$1501="Online collection 网上收款")*('Daily Sale entry '!$AA$2:$AA$1501&lt;&gt;"")*('Daily Sale entry '!$AC$2:$AC$1501-TRUNC('Daily Sale entry '!$AC$2:$AC$1501))),2))</f>
        <v/>
      </c>
      <c r="E169" s="6">
        <f>IF($A169="","",ROUND('Sales &amp; Collection'!I2334-'Sales &amp; Collection'!I2333,2))</f>
        <v/>
      </c>
      <c r="F169" s="6">
        <f>IF($A169="","",'Sales &amp; Collection'!L2326)</f>
        <v/>
      </c>
      <c r="H169" s="6">
        <f>IF($A169="","",K168)</f>
        <v/>
      </c>
      <c r="I169" s="6">
        <f>IF($A169="","",ROUND(B169+D169+E169,2))</f>
        <v/>
      </c>
      <c r="J169" s="6">
        <f>IF($A169="","",F169)</f>
        <v/>
      </c>
      <c r="K169" s="6">
        <f>IF($A169="","",ROUND(H169+I169-J169,2))</f>
        <v/>
      </c>
    </row>
    <row r="170">
      <c r="A170" s="5">
        <f>IF('Daily Sale entry '!A169="","",'Daily Sale entry '!A169)</f>
        <v/>
      </c>
      <c r="B170" s="6">
        <f>IF($A170="","",'Daily Sale entry '!F169)</f>
        <v/>
      </c>
      <c r="C170">
        <f t="array" ref="C170">IF($A170="","",_xlfn.TEXTJOIN(", ",TRUE,IF(('Daily Sale entry '!$X$2:$X$1501=$A170)*('Daily Sale entry '!$Z$2:$Z$1501="Online collection 网上收款"),'Daily Sale entry '!$AA$2:$AA$1501,"")))</f>
        <v/>
      </c>
      <c r="D170" s="6">
        <f>IF($A170="","",ROUND(SUMIFS('Daily Sale entry '!$AC$2:$AC$1501,'Daily Sale entry '!$X$2:$X$1501,$A170,'Daily Sale entry '!$Z$2:$Z$1501,"Online collection 网上收款")-'Opening Balance'!$B$15*SUMPRODUCT(('Daily Sale entry '!$X$2:$X$1501=$A170)*('Daily Sale entry '!$Z$2:$Z$1501="Online collection 网上收款")*('Daily Sale entry '!$AA$2:$AA$1501&lt;&gt;"")*('Daily Sale entry '!$AC$2:$AC$1501-TRUNC('Daily Sale entry '!$AC$2:$AC$1501))),2))</f>
        <v/>
      </c>
      <c r="E170" s="6">
        <f>IF($A170="","",ROUND('Sales &amp; Collection'!I2348-'Sales &amp; Collection'!I2347,2))</f>
        <v/>
      </c>
      <c r="F170" s="6">
        <f>IF($A170="","",'Sales &amp; Collection'!L2340)</f>
        <v/>
      </c>
      <c r="H170" s="6">
        <f>IF($A170="","",K169)</f>
        <v/>
      </c>
      <c r="I170" s="6">
        <f>IF($A170="","",ROUND(B170+D170+E170,2))</f>
        <v/>
      </c>
      <c r="J170" s="6">
        <f>IF($A170="","",F170)</f>
        <v/>
      </c>
      <c r="K170" s="6">
        <f>IF($A170="","",ROUND(H170+I170-J170,2))</f>
        <v/>
      </c>
    </row>
    <row r="171">
      <c r="A171" s="5">
        <f>IF('Daily Sale entry '!A170="","",'Daily Sale entry '!A170)</f>
        <v/>
      </c>
      <c r="B171" s="6">
        <f>IF($A171="","",'Daily Sale entry '!F170)</f>
        <v/>
      </c>
      <c r="C171">
        <f t="array" ref="C171">IF($A171="","",_xlfn.TEXTJOIN(", ",TRUE,IF(('Daily Sale entry '!$X$2:$X$1501=$A171)*('Daily Sale entry '!$Z$2:$Z$1501="Online collection 网上收款"),'Daily Sale entry '!$AA$2:$AA$1501,"")))</f>
        <v/>
      </c>
      <c r="D171" s="6">
        <f>IF($A171="","",ROUND(SUMIFS('Daily Sale entry '!$AC$2:$AC$1501,'Daily Sale entry '!$X$2:$X$1501,$A171,'Daily Sale entry '!$Z$2:$Z$1501,"Online collection 网上收款")-'Opening Balance'!$B$15*SUMPRODUCT(('Daily Sale entry '!$X$2:$X$1501=$A171)*('Daily Sale entry '!$Z$2:$Z$1501="Online collection 网上收款")*('Daily Sale entry '!$AA$2:$AA$1501&lt;&gt;"")*('Daily Sale entry '!$AC$2:$AC$1501-TRUNC('Daily Sale entry '!$AC$2:$AC$1501))),2))</f>
        <v/>
      </c>
      <c r="E171" s="6">
        <f>IF($A171="","",ROUND('Sales &amp; Collection'!I2362-'Sales &amp; Collection'!I2361,2))</f>
        <v/>
      </c>
      <c r="F171" s="6">
        <f>IF($A171="","",'Sales &amp; Collection'!L2354)</f>
        <v/>
      </c>
      <c r="H171" s="6">
        <f>IF($A171="","",K170)</f>
        <v/>
      </c>
      <c r="I171" s="6">
        <f>IF($A171="","",ROUND(B171+D171+E171,2))</f>
        <v/>
      </c>
      <c r="J171" s="6">
        <f>IF($A171="","",F171)</f>
        <v/>
      </c>
      <c r="K171" s="6">
        <f>IF($A171="","",ROUND(H171+I171-J171,2))</f>
        <v/>
      </c>
    </row>
    <row r="172">
      <c r="A172" s="5">
        <f>IF('Daily Sale entry '!A171="","",'Daily Sale entry '!A171)</f>
        <v/>
      </c>
      <c r="B172" s="6">
        <f>IF($A172="","",'Daily Sale entry '!F171)</f>
        <v/>
      </c>
      <c r="C172">
        <f t="array" ref="C172">IF($A172="","",_xlfn.TEXTJOIN(", ",TRUE,IF(('Daily Sale entry '!$X$2:$X$1501=$A172)*('Daily Sale entry '!$Z$2:$Z$1501="Online collection 网上收款"),'Daily Sale entry '!$AA$2:$AA$1501,"")))</f>
        <v/>
      </c>
      <c r="D172" s="6">
        <f>IF($A172="","",ROUND(SUMIFS('Daily Sale entry '!$AC$2:$AC$1501,'Daily Sale entry '!$X$2:$X$1501,$A172,'Daily Sale entry '!$Z$2:$Z$1501,"Online collection 网上收款")-'Opening Balance'!$B$15*SUMPRODUCT(('Daily Sale entry '!$X$2:$X$1501=$A172)*('Daily Sale entry '!$Z$2:$Z$1501="Online collection 网上收款")*('Daily Sale entry '!$AA$2:$AA$1501&lt;&gt;"")*('Daily Sale entry '!$AC$2:$AC$1501-TRUNC('Daily Sale entry '!$AC$2:$AC$1501))),2))</f>
        <v/>
      </c>
      <c r="E172" s="6">
        <f>IF($A172="","",ROUND('Sales &amp; Collection'!I2376-'Sales &amp; Collection'!I2375,2))</f>
        <v/>
      </c>
      <c r="F172" s="6">
        <f>IF($A172="","",'Sales &amp; Collection'!L2368)</f>
        <v/>
      </c>
      <c r="H172" s="6">
        <f>IF($A172="","",K171)</f>
        <v/>
      </c>
      <c r="I172" s="6">
        <f>IF($A172="","",ROUND(B172+D172+E172,2))</f>
        <v/>
      </c>
      <c r="J172" s="6">
        <f>IF($A172="","",F172)</f>
        <v/>
      </c>
      <c r="K172" s="6">
        <f>IF($A172="","",ROUND(H172+I172-J172,2))</f>
        <v/>
      </c>
    </row>
    <row r="173">
      <c r="A173" s="5">
        <f>IF('Daily Sale entry '!A172="","",'Daily Sale entry '!A172)</f>
        <v/>
      </c>
      <c r="B173" s="6">
        <f>IF($A173="","",'Daily Sale entry '!F172)</f>
        <v/>
      </c>
      <c r="C173">
        <f t="array" ref="C173">IF($A173="","",_xlfn.TEXTJOIN(", ",TRUE,IF(('Daily Sale entry '!$X$2:$X$1501=$A173)*('Daily Sale entry '!$Z$2:$Z$1501="Online collection 网上收款"),'Daily Sale entry '!$AA$2:$AA$1501,"")))</f>
        <v/>
      </c>
      <c r="D173" s="6">
        <f>IF($A173="","",ROUND(SUMIFS('Daily Sale entry '!$AC$2:$AC$1501,'Daily Sale entry '!$X$2:$X$1501,$A173,'Daily Sale entry '!$Z$2:$Z$1501,"Online collection 网上收款")-'Opening Balance'!$B$15*SUMPRODUCT(('Daily Sale entry '!$X$2:$X$1501=$A173)*('Daily Sale entry '!$Z$2:$Z$1501="Online collection 网上收款")*('Daily Sale entry '!$AA$2:$AA$1501&lt;&gt;"")*('Daily Sale entry '!$AC$2:$AC$1501-TRUNC('Daily Sale entry '!$AC$2:$AC$1501))),2))</f>
        <v/>
      </c>
      <c r="E173" s="6">
        <f>IF($A173="","",ROUND('Sales &amp; Collection'!I2390-'Sales &amp; Collection'!I2389,2))</f>
        <v/>
      </c>
      <c r="F173" s="6">
        <f>IF($A173="","",'Sales &amp; Collection'!L2382)</f>
        <v/>
      </c>
      <c r="H173" s="6">
        <f>IF($A173="","",K172)</f>
        <v/>
      </c>
      <c r="I173" s="6">
        <f>IF($A173="","",ROUND(B173+D173+E173,2))</f>
        <v/>
      </c>
      <c r="J173" s="6">
        <f>IF($A173="","",F173)</f>
        <v/>
      </c>
      <c r="K173" s="6">
        <f>IF($A173="","",ROUND(H173+I173-J173,2))</f>
        <v/>
      </c>
    </row>
    <row r="174">
      <c r="A174" s="5">
        <f>IF('Daily Sale entry '!A173="","",'Daily Sale entry '!A173)</f>
        <v/>
      </c>
      <c r="B174" s="6">
        <f>IF($A174="","",'Daily Sale entry '!F173)</f>
        <v/>
      </c>
      <c r="C174">
        <f t="array" ref="C174">IF($A174="","",_xlfn.TEXTJOIN(", ",TRUE,IF(('Daily Sale entry '!$X$2:$X$1501=$A174)*('Daily Sale entry '!$Z$2:$Z$1501="Online collection 网上收款"),'Daily Sale entry '!$AA$2:$AA$1501,"")))</f>
        <v/>
      </c>
      <c r="D174" s="6">
        <f>IF($A174="","",ROUND(SUMIFS('Daily Sale entry '!$AC$2:$AC$1501,'Daily Sale entry '!$X$2:$X$1501,$A174,'Daily Sale entry '!$Z$2:$Z$1501,"Online collection 网上收款")-'Opening Balance'!$B$15*SUMPRODUCT(('Daily Sale entry '!$X$2:$X$1501=$A174)*('Daily Sale entry '!$Z$2:$Z$1501="Online collection 网上收款")*('Daily Sale entry '!$AA$2:$AA$1501&lt;&gt;"")*('Daily Sale entry '!$AC$2:$AC$1501-TRUNC('Daily Sale entry '!$AC$2:$AC$1501))),2))</f>
        <v/>
      </c>
      <c r="E174" s="6">
        <f>IF($A174="","",ROUND('Sales &amp; Collection'!I2404-'Sales &amp; Collection'!I2403,2))</f>
        <v/>
      </c>
      <c r="F174" s="6">
        <f>IF($A174="","",'Sales &amp; Collection'!L2396)</f>
        <v/>
      </c>
      <c r="H174" s="6">
        <f>IF($A174="","",K173)</f>
        <v/>
      </c>
      <c r="I174" s="6">
        <f>IF($A174="","",ROUND(B174+D174+E174,2))</f>
        <v/>
      </c>
      <c r="J174" s="6">
        <f>IF($A174="","",F174)</f>
        <v/>
      </c>
      <c r="K174" s="6">
        <f>IF($A174="","",ROUND(H174+I174-J174,2))</f>
        <v/>
      </c>
    </row>
    <row r="175">
      <c r="A175" s="5">
        <f>IF('Daily Sale entry '!A174="","",'Daily Sale entry '!A174)</f>
        <v/>
      </c>
      <c r="B175" s="6">
        <f>IF($A175="","",'Daily Sale entry '!F174)</f>
        <v/>
      </c>
      <c r="C175">
        <f t="array" ref="C175">IF($A175="","",_xlfn.TEXTJOIN(", ",TRUE,IF(('Daily Sale entry '!$X$2:$X$1501=$A175)*('Daily Sale entry '!$Z$2:$Z$1501="Online collection 网上收款"),'Daily Sale entry '!$AA$2:$AA$1501,"")))</f>
        <v/>
      </c>
      <c r="D175" s="6">
        <f>IF($A175="","",ROUND(SUMIFS('Daily Sale entry '!$AC$2:$AC$1501,'Daily Sale entry '!$X$2:$X$1501,$A175,'Daily Sale entry '!$Z$2:$Z$1501,"Online collection 网上收款")-'Opening Balance'!$B$15*SUMPRODUCT(('Daily Sale entry '!$X$2:$X$1501=$A175)*('Daily Sale entry '!$Z$2:$Z$1501="Online collection 网上收款")*('Daily Sale entry '!$AA$2:$AA$1501&lt;&gt;"")*('Daily Sale entry '!$AC$2:$AC$1501-TRUNC('Daily Sale entry '!$AC$2:$AC$1501))),2))</f>
        <v/>
      </c>
      <c r="E175" s="6">
        <f>IF($A175="","",ROUND('Sales &amp; Collection'!I2418-'Sales &amp; Collection'!I2417,2))</f>
        <v/>
      </c>
      <c r="F175" s="6">
        <f>IF($A175="","",'Sales &amp; Collection'!L2410)</f>
        <v/>
      </c>
      <c r="H175" s="6">
        <f>IF($A175="","",K174)</f>
        <v/>
      </c>
      <c r="I175" s="6">
        <f>IF($A175="","",ROUND(B175+D175+E175,2))</f>
        <v/>
      </c>
      <c r="J175" s="6">
        <f>IF($A175="","",F175)</f>
        <v/>
      </c>
      <c r="K175" s="6">
        <f>IF($A175="","",ROUND(H175+I175-J175,2))</f>
        <v/>
      </c>
    </row>
    <row r="176">
      <c r="A176" s="5">
        <f>IF('Daily Sale entry '!A175="","",'Daily Sale entry '!A175)</f>
        <v/>
      </c>
      <c r="B176" s="6">
        <f>IF($A176="","",'Daily Sale entry '!F175)</f>
        <v/>
      </c>
      <c r="C176">
        <f t="array" ref="C176">IF($A176="","",_xlfn.TEXTJOIN(", ",TRUE,IF(('Daily Sale entry '!$X$2:$X$1501=$A176)*('Daily Sale entry '!$Z$2:$Z$1501="Online collection 网上收款"),'Daily Sale entry '!$AA$2:$AA$1501,"")))</f>
        <v/>
      </c>
      <c r="D176" s="6">
        <f>IF($A176="","",ROUND(SUMIFS('Daily Sale entry '!$AC$2:$AC$1501,'Daily Sale entry '!$X$2:$X$1501,$A176,'Daily Sale entry '!$Z$2:$Z$1501,"Online collection 网上收款")-'Opening Balance'!$B$15*SUMPRODUCT(('Daily Sale entry '!$X$2:$X$1501=$A176)*('Daily Sale entry '!$Z$2:$Z$1501="Online collection 网上收款")*('Daily Sale entry '!$AA$2:$AA$1501&lt;&gt;"")*('Daily Sale entry '!$AC$2:$AC$1501-TRUNC('Daily Sale entry '!$AC$2:$AC$1501))),2))</f>
        <v/>
      </c>
      <c r="E176" s="6">
        <f>IF($A176="","",ROUND('Sales &amp; Collection'!I2432-'Sales &amp; Collection'!I2431,2))</f>
        <v/>
      </c>
      <c r="F176" s="6">
        <f>IF($A176="","",'Sales &amp; Collection'!L2424)</f>
        <v/>
      </c>
      <c r="H176" s="6">
        <f>IF($A176="","",K175)</f>
        <v/>
      </c>
      <c r="I176" s="6">
        <f>IF($A176="","",ROUND(B176+D176+E176,2))</f>
        <v/>
      </c>
      <c r="J176" s="6">
        <f>IF($A176="","",F176)</f>
        <v/>
      </c>
      <c r="K176" s="6">
        <f>IF($A176="","",ROUND(H176+I176-J176,2))</f>
        <v/>
      </c>
    </row>
    <row r="177">
      <c r="A177" s="5">
        <f>IF('Daily Sale entry '!A176="","",'Daily Sale entry '!A176)</f>
        <v/>
      </c>
      <c r="B177" s="6">
        <f>IF($A177="","",'Daily Sale entry '!F176)</f>
        <v/>
      </c>
      <c r="C177">
        <f t="array" ref="C177">IF($A177="","",_xlfn.TEXTJOIN(", ",TRUE,IF(('Daily Sale entry '!$X$2:$X$1501=$A177)*('Daily Sale entry '!$Z$2:$Z$1501="Online collection 网上收款"),'Daily Sale entry '!$AA$2:$AA$1501,"")))</f>
        <v/>
      </c>
      <c r="D177" s="6">
        <f>IF($A177="","",ROUND(SUMIFS('Daily Sale entry '!$AC$2:$AC$1501,'Daily Sale entry '!$X$2:$X$1501,$A177,'Daily Sale entry '!$Z$2:$Z$1501,"Online collection 网上收款")-'Opening Balance'!$B$15*SUMPRODUCT(('Daily Sale entry '!$X$2:$X$1501=$A177)*('Daily Sale entry '!$Z$2:$Z$1501="Online collection 网上收款")*('Daily Sale entry '!$AA$2:$AA$1501&lt;&gt;"")*('Daily Sale entry '!$AC$2:$AC$1501-TRUNC('Daily Sale entry '!$AC$2:$AC$1501))),2))</f>
        <v/>
      </c>
      <c r="E177" s="6">
        <f>IF($A177="","",ROUND('Sales &amp; Collection'!I2446-'Sales &amp; Collection'!I2445,2))</f>
        <v/>
      </c>
      <c r="F177" s="6">
        <f>IF($A177="","",'Sales &amp; Collection'!L2438)</f>
        <v/>
      </c>
      <c r="H177" s="6">
        <f>IF($A177="","",K176)</f>
        <v/>
      </c>
      <c r="I177" s="6">
        <f>IF($A177="","",ROUND(B177+D177+E177,2))</f>
        <v/>
      </c>
      <c r="J177" s="6">
        <f>IF($A177="","",F177)</f>
        <v/>
      </c>
      <c r="K177" s="6">
        <f>IF($A177="","",ROUND(H177+I177-J177,2))</f>
        <v/>
      </c>
    </row>
    <row r="178">
      <c r="A178" s="5">
        <f>IF('Daily Sale entry '!A177="","",'Daily Sale entry '!A177)</f>
        <v/>
      </c>
      <c r="B178" s="6">
        <f>IF($A178="","",'Daily Sale entry '!F177)</f>
        <v/>
      </c>
      <c r="C178">
        <f t="array" ref="C178">IF($A178="","",_xlfn.TEXTJOIN(", ",TRUE,IF(('Daily Sale entry '!$X$2:$X$1501=$A178)*('Daily Sale entry '!$Z$2:$Z$1501="Online collection 网上收款"),'Daily Sale entry '!$AA$2:$AA$1501,"")))</f>
        <v/>
      </c>
      <c r="D178" s="6">
        <f>IF($A178="","",ROUND(SUMIFS('Daily Sale entry '!$AC$2:$AC$1501,'Daily Sale entry '!$X$2:$X$1501,$A178,'Daily Sale entry '!$Z$2:$Z$1501,"Online collection 网上收款")-'Opening Balance'!$B$15*SUMPRODUCT(('Daily Sale entry '!$X$2:$X$1501=$A178)*('Daily Sale entry '!$Z$2:$Z$1501="Online collection 网上收款")*('Daily Sale entry '!$AA$2:$AA$1501&lt;&gt;"")*('Daily Sale entry '!$AC$2:$AC$1501-TRUNC('Daily Sale entry '!$AC$2:$AC$1501))),2))</f>
        <v/>
      </c>
      <c r="E178" s="6">
        <f>IF($A178="","",ROUND('Sales &amp; Collection'!I2460-'Sales &amp; Collection'!I2459,2))</f>
        <v/>
      </c>
      <c r="F178" s="6">
        <f>IF($A178="","",'Sales &amp; Collection'!L2452)</f>
        <v/>
      </c>
      <c r="H178" s="6">
        <f>IF($A178="","",K177)</f>
        <v/>
      </c>
      <c r="I178" s="6">
        <f>IF($A178="","",ROUND(B178+D178+E178,2))</f>
        <v/>
      </c>
      <c r="J178" s="6">
        <f>IF($A178="","",F178)</f>
        <v/>
      </c>
      <c r="K178" s="6">
        <f>IF($A178="","",ROUND(H178+I178-J178,2))</f>
        <v/>
      </c>
    </row>
    <row r="179">
      <c r="A179" s="5">
        <f>IF('Daily Sale entry '!A178="","",'Daily Sale entry '!A178)</f>
        <v/>
      </c>
      <c r="B179" s="6">
        <f>IF($A179="","",'Daily Sale entry '!F178)</f>
        <v/>
      </c>
      <c r="C179">
        <f t="array" ref="C179">IF($A179="","",_xlfn.TEXTJOIN(", ",TRUE,IF(('Daily Sale entry '!$X$2:$X$1501=$A179)*('Daily Sale entry '!$Z$2:$Z$1501="Online collection 网上收款"),'Daily Sale entry '!$AA$2:$AA$1501,"")))</f>
        <v/>
      </c>
      <c r="D179" s="6">
        <f>IF($A179="","",ROUND(SUMIFS('Daily Sale entry '!$AC$2:$AC$1501,'Daily Sale entry '!$X$2:$X$1501,$A179,'Daily Sale entry '!$Z$2:$Z$1501,"Online collection 网上收款")-'Opening Balance'!$B$15*SUMPRODUCT(('Daily Sale entry '!$X$2:$X$1501=$A179)*('Daily Sale entry '!$Z$2:$Z$1501="Online collection 网上收款")*('Daily Sale entry '!$AA$2:$AA$1501&lt;&gt;"")*('Daily Sale entry '!$AC$2:$AC$1501-TRUNC('Daily Sale entry '!$AC$2:$AC$1501))),2))</f>
        <v/>
      </c>
      <c r="E179" s="6">
        <f>IF($A179="","",ROUND('Sales &amp; Collection'!I2474-'Sales &amp; Collection'!I2473,2))</f>
        <v/>
      </c>
      <c r="F179" s="6">
        <f>IF($A179="","",'Sales &amp; Collection'!L2466)</f>
        <v/>
      </c>
      <c r="H179" s="6">
        <f>IF($A179="","",K178)</f>
        <v/>
      </c>
      <c r="I179" s="6">
        <f>IF($A179="","",ROUND(B179+D179+E179,2))</f>
        <v/>
      </c>
      <c r="J179" s="6">
        <f>IF($A179="","",F179)</f>
        <v/>
      </c>
      <c r="K179" s="6">
        <f>IF($A179="","",ROUND(H179+I179-J179,2))</f>
        <v/>
      </c>
    </row>
    <row r="180">
      <c r="A180" s="5">
        <f>IF('Daily Sale entry '!A179="","",'Daily Sale entry '!A179)</f>
        <v/>
      </c>
      <c r="B180" s="6">
        <f>IF($A180="","",'Daily Sale entry '!F179)</f>
        <v/>
      </c>
      <c r="C180">
        <f t="array" ref="C180">IF($A180="","",_xlfn.TEXTJOIN(", ",TRUE,IF(('Daily Sale entry '!$X$2:$X$1501=$A180)*('Daily Sale entry '!$Z$2:$Z$1501="Online collection 网上收款"),'Daily Sale entry '!$AA$2:$AA$1501,"")))</f>
        <v/>
      </c>
      <c r="D180" s="6">
        <f>IF($A180="","",ROUND(SUMIFS('Daily Sale entry '!$AC$2:$AC$1501,'Daily Sale entry '!$X$2:$X$1501,$A180,'Daily Sale entry '!$Z$2:$Z$1501,"Online collection 网上收款")-'Opening Balance'!$B$15*SUMPRODUCT(('Daily Sale entry '!$X$2:$X$1501=$A180)*('Daily Sale entry '!$Z$2:$Z$1501="Online collection 网上收款")*('Daily Sale entry '!$AA$2:$AA$1501&lt;&gt;"")*('Daily Sale entry '!$AC$2:$AC$1501-TRUNC('Daily Sale entry '!$AC$2:$AC$1501))),2))</f>
        <v/>
      </c>
      <c r="E180" s="6">
        <f>IF($A180="","",ROUND('Sales &amp; Collection'!I2488-'Sales &amp; Collection'!I2487,2))</f>
        <v/>
      </c>
      <c r="F180" s="6">
        <f>IF($A180="","",'Sales &amp; Collection'!L2480)</f>
        <v/>
      </c>
      <c r="H180" s="6">
        <f>IF($A180="","",K179)</f>
        <v/>
      </c>
      <c r="I180" s="6">
        <f>IF($A180="","",ROUND(B180+D180+E180,2))</f>
        <v/>
      </c>
      <c r="J180" s="6">
        <f>IF($A180="","",F180)</f>
        <v/>
      </c>
      <c r="K180" s="6">
        <f>IF($A180="","",ROUND(H180+I180-J180,2))</f>
        <v/>
      </c>
    </row>
    <row r="181">
      <c r="A181" s="5">
        <f>IF('Daily Sale entry '!A180="","",'Daily Sale entry '!A180)</f>
        <v/>
      </c>
      <c r="B181" s="6">
        <f>IF($A181="","",'Daily Sale entry '!F180)</f>
        <v/>
      </c>
      <c r="C181">
        <f t="array" ref="C181">IF($A181="","",_xlfn.TEXTJOIN(", ",TRUE,IF(('Daily Sale entry '!$X$2:$X$1501=$A181)*('Daily Sale entry '!$Z$2:$Z$1501="Online collection 网上收款"),'Daily Sale entry '!$AA$2:$AA$1501,"")))</f>
        <v/>
      </c>
      <c r="D181" s="6">
        <f>IF($A181="","",ROUND(SUMIFS('Daily Sale entry '!$AC$2:$AC$1501,'Daily Sale entry '!$X$2:$X$1501,$A181,'Daily Sale entry '!$Z$2:$Z$1501,"Online collection 网上收款")-'Opening Balance'!$B$15*SUMPRODUCT(('Daily Sale entry '!$X$2:$X$1501=$A181)*('Daily Sale entry '!$Z$2:$Z$1501="Online collection 网上收款")*('Daily Sale entry '!$AA$2:$AA$1501&lt;&gt;"")*('Daily Sale entry '!$AC$2:$AC$1501-TRUNC('Daily Sale entry '!$AC$2:$AC$1501))),2))</f>
        <v/>
      </c>
      <c r="E181" s="6">
        <f>IF($A181="","",ROUND('Sales &amp; Collection'!I2502-'Sales &amp; Collection'!I2501,2))</f>
        <v/>
      </c>
      <c r="F181" s="6">
        <f>IF($A181="","",'Sales &amp; Collection'!L2494)</f>
        <v/>
      </c>
      <c r="H181" s="6">
        <f>IF($A181="","",K180)</f>
        <v/>
      </c>
      <c r="I181" s="6">
        <f>IF($A181="","",ROUND(B181+D181+E181,2))</f>
        <v/>
      </c>
      <c r="J181" s="6">
        <f>IF($A181="","",F181)</f>
        <v/>
      </c>
      <c r="K181" s="6">
        <f>IF($A181="","",ROUND(H181+I181-J181,2))</f>
        <v/>
      </c>
    </row>
    <row r="182">
      <c r="A182" s="5">
        <f>IF('Daily Sale entry '!A181="","",'Daily Sale entry '!A181)</f>
        <v/>
      </c>
      <c r="B182" s="6">
        <f>IF($A182="","",'Daily Sale entry '!F181)</f>
        <v/>
      </c>
      <c r="C182">
        <f t="array" ref="C182">IF($A182="","",_xlfn.TEXTJOIN(", ",TRUE,IF(('Daily Sale entry '!$X$2:$X$1501=$A182)*('Daily Sale entry '!$Z$2:$Z$1501="Online collection 网上收款"),'Daily Sale entry '!$AA$2:$AA$1501,"")))</f>
        <v/>
      </c>
      <c r="D182" s="6">
        <f>IF($A182="","",ROUND(SUMIFS('Daily Sale entry '!$AC$2:$AC$1501,'Daily Sale entry '!$X$2:$X$1501,$A182,'Daily Sale entry '!$Z$2:$Z$1501,"Online collection 网上收款")-'Opening Balance'!$B$15*SUMPRODUCT(('Daily Sale entry '!$X$2:$X$1501=$A182)*('Daily Sale entry '!$Z$2:$Z$1501="Online collection 网上收款")*('Daily Sale entry '!$AA$2:$AA$1501&lt;&gt;"")*('Daily Sale entry '!$AC$2:$AC$1501-TRUNC('Daily Sale entry '!$AC$2:$AC$1501))),2))</f>
        <v/>
      </c>
      <c r="E182" s="6">
        <f>IF($A182="","",ROUND('Sales &amp; Collection'!I2516-'Sales &amp; Collection'!I2515,2))</f>
        <v/>
      </c>
      <c r="F182" s="6">
        <f>IF($A182="","",'Sales &amp; Collection'!L2508)</f>
        <v/>
      </c>
      <c r="H182" s="6">
        <f>IF($A182="","",K181)</f>
        <v/>
      </c>
      <c r="I182" s="6">
        <f>IF($A182="","",ROUND(B182+D182+E182,2))</f>
        <v/>
      </c>
      <c r="J182" s="6">
        <f>IF($A182="","",F182)</f>
        <v/>
      </c>
      <c r="K182" s="6">
        <f>IF($A182="","",ROUND(H182+I182-J182,2))</f>
        <v/>
      </c>
    </row>
    <row r="183">
      <c r="A183" s="5">
        <f>IF('Daily Sale entry '!A182="","",'Daily Sale entry '!A182)</f>
        <v/>
      </c>
      <c r="B183" s="6">
        <f>IF($A183="","",'Daily Sale entry '!F182)</f>
        <v/>
      </c>
      <c r="C183">
        <f t="array" ref="C183">IF($A183="","",_xlfn.TEXTJOIN(", ",TRUE,IF(('Daily Sale entry '!$X$2:$X$1501=$A183)*('Daily Sale entry '!$Z$2:$Z$1501="Online collection 网上收款"),'Daily Sale entry '!$AA$2:$AA$1501,"")))</f>
        <v/>
      </c>
      <c r="D183" s="6">
        <f>IF($A183="","",ROUND(SUMIFS('Daily Sale entry '!$AC$2:$AC$1501,'Daily Sale entry '!$X$2:$X$1501,$A183,'Daily Sale entry '!$Z$2:$Z$1501,"Online collection 网上收款")-'Opening Balance'!$B$15*SUMPRODUCT(('Daily Sale entry '!$X$2:$X$1501=$A183)*('Daily Sale entry '!$Z$2:$Z$1501="Online collection 网上收款")*('Daily Sale entry '!$AA$2:$AA$1501&lt;&gt;"")*('Daily Sale entry '!$AC$2:$AC$1501-TRUNC('Daily Sale entry '!$AC$2:$AC$1501))),2))</f>
        <v/>
      </c>
      <c r="E183" s="6">
        <f>IF($A183="","",ROUND('Sales &amp; Collection'!I2530-'Sales &amp; Collection'!I2529,2))</f>
        <v/>
      </c>
      <c r="F183" s="6">
        <f>IF($A183="","",'Sales &amp; Collection'!L2522)</f>
        <v/>
      </c>
      <c r="H183" s="6">
        <f>IF($A183="","",K182)</f>
        <v/>
      </c>
      <c r="I183" s="6">
        <f>IF($A183="","",ROUND(B183+D183+E183,2))</f>
        <v/>
      </c>
      <c r="J183" s="6">
        <f>IF($A183="","",F183)</f>
        <v/>
      </c>
      <c r="K183" s="6">
        <f>IF($A183="","",ROUND(H183+I183-J183,2))</f>
        <v/>
      </c>
    </row>
    <row r="184">
      <c r="A184" s="5">
        <f>IF('Daily Sale entry '!A183="","",'Daily Sale entry '!A183)</f>
        <v/>
      </c>
      <c r="B184" s="6">
        <f>IF($A184="","",'Daily Sale entry '!F183)</f>
        <v/>
      </c>
      <c r="C184">
        <f t="array" ref="C184">IF($A184="","",_xlfn.TEXTJOIN(", ",TRUE,IF(('Daily Sale entry '!$X$2:$X$1501=$A184)*('Daily Sale entry '!$Z$2:$Z$1501="Online collection 网上收款"),'Daily Sale entry '!$AA$2:$AA$1501,"")))</f>
        <v/>
      </c>
      <c r="D184" s="6">
        <f>IF($A184="","",ROUND(SUMIFS('Daily Sale entry '!$AC$2:$AC$1501,'Daily Sale entry '!$X$2:$X$1501,$A184,'Daily Sale entry '!$Z$2:$Z$1501,"Online collection 网上收款")-'Opening Balance'!$B$15*SUMPRODUCT(('Daily Sale entry '!$X$2:$X$1501=$A184)*('Daily Sale entry '!$Z$2:$Z$1501="Online collection 网上收款")*('Daily Sale entry '!$AA$2:$AA$1501&lt;&gt;"")*('Daily Sale entry '!$AC$2:$AC$1501-TRUNC('Daily Sale entry '!$AC$2:$AC$1501))),2))</f>
        <v/>
      </c>
      <c r="E184" s="6">
        <f>IF($A184="","",ROUND('Sales &amp; Collection'!I2544-'Sales &amp; Collection'!I2543,2))</f>
        <v/>
      </c>
      <c r="F184" s="6">
        <f>IF($A184="","",'Sales &amp; Collection'!L2536)</f>
        <v/>
      </c>
      <c r="H184" s="6">
        <f>IF($A184="","",K183)</f>
        <v/>
      </c>
      <c r="I184" s="6">
        <f>IF($A184="","",ROUND(B184+D184+E184,2))</f>
        <v/>
      </c>
      <c r="J184" s="6">
        <f>IF($A184="","",F184)</f>
        <v/>
      </c>
      <c r="K184" s="6">
        <f>IF($A184="","",ROUND(H184+I184-J184,2))</f>
        <v/>
      </c>
    </row>
    <row r="185">
      <c r="A185" s="5">
        <f>IF('Daily Sale entry '!A184="","",'Daily Sale entry '!A184)</f>
        <v/>
      </c>
      <c r="B185" s="6">
        <f>IF($A185="","",'Daily Sale entry '!F184)</f>
        <v/>
      </c>
      <c r="C185">
        <f t="array" ref="C185">IF($A185="","",_xlfn.TEXTJOIN(", ",TRUE,IF(('Daily Sale entry '!$X$2:$X$1501=$A185)*('Daily Sale entry '!$Z$2:$Z$1501="Online collection 网上收款"),'Daily Sale entry '!$AA$2:$AA$1501,"")))</f>
        <v/>
      </c>
      <c r="D185" s="6">
        <f>IF($A185="","",ROUND(SUMIFS('Daily Sale entry '!$AC$2:$AC$1501,'Daily Sale entry '!$X$2:$X$1501,$A185,'Daily Sale entry '!$Z$2:$Z$1501,"Online collection 网上收款")-'Opening Balance'!$B$15*SUMPRODUCT(('Daily Sale entry '!$X$2:$X$1501=$A185)*('Daily Sale entry '!$Z$2:$Z$1501="Online collection 网上收款")*('Daily Sale entry '!$AA$2:$AA$1501&lt;&gt;"")*('Daily Sale entry '!$AC$2:$AC$1501-TRUNC('Daily Sale entry '!$AC$2:$AC$1501))),2))</f>
        <v/>
      </c>
      <c r="E185" s="6">
        <f>IF($A185="","",ROUND('Sales &amp; Collection'!I2558-'Sales &amp; Collection'!I2557,2))</f>
        <v/>
      </c>
      <c r="F185" s="6">
        <f>IF($A185="","",'Sales &amp; Collection'!L2550)</f>
        <v/>
      </c>
      <c r="H185" s="6">
        <f>IF($A185="","",K184)</f>
        <v/>
      </c>
      <c r="I185" s="6">
        <f>IF($A185="","",ROUND(B185+D185+E185,2))</f>
        <v/>
      </c>
      <c r="J185" s="6">
        <f>IF($A185="","",F185)</f>
        <v/>
      </c>
      <c r="K185" s="6">
        <f>IF($A185="","",ROUND(H185+I185-J185,2))</f>
        <v/>
      </c>
    </row>
    <row r="186">
      <c r="A186" s="5">
        <f>IF('Daily Sale entry '!A185="","",'Daily Sale entry '!A185)</f>
        <v/>
      </c>
      <c r="B186" s="6">
        <f>IF($A186="","",'Daily Sale entry '!F185)</f>
        <v/>
      </c>
      <c r="C186">
        <f t="array" ref="C186">IF($A186="","",_xlfn.TEXTJOIN(", ",TRUE,IF(('Daily Sale entry '!$X$2:$X$1501=$A186)*('Daily Sale entry '!$Z$2:$Z$1501="Online collection 网上收款"),'Daily Sale entry '!$AA$2:$AA$1501,"")))</f>
        <v/>
      </c>
      <c r="D186" s="6">
        <f>IF($A186="","",ROUND(SUMIFS('Daily Sale entry '!$AC$2:$AC$1501,'Daily Sale entry '!$X$2:$X$1501,$A186,'Daily Sale entry '!$Z$2:$Z$1501,"Online collection 网上收款")-'Opening Balance'!$B$15*SUMPRODUCT(('Daily Sale entry '!$X$2:$X$1501=$A186)*('Daily Sale entry '!$Z$2:$Z$1501="Online collection 网上收款")*('Daily Sale entry '!$AA$2:$AA$1501&lt;&gt;"")*('Daily Sale entry '!$AC$2:$AC$1501-TRUNC('Daily Sale entry '!$AC$2:$AC$1501))),2))</f>
        <v/>
      </c>
      <c r="E186" s="6">
        <f>IF($A186="","",ROUND('Sales &amp; Collection'!I2572-'Sales &amp; Collection'!I2571,2))</f>
        <v/>
      </c>
      <c r="F186" s="6">
        <f>IF($A186="","",'Sales &amp; Collection'!L2564)</f>
        <v/>
      </c>
      <c r="H186" s="6">
        <f>IF($A186="","",K185)</f>
        <v/>
      </c>
      <c r="I186" s="6">
        <f>IF($A186="","",ROUND(B186+D186+E186,2))</f>
        <v/>
      </c>
      <c r="J186" s="6">
        <f>IF($A186="","",F186)</f>
        <v/>
      </c>
      <c r="K186" s="6">
        <f>IF($A186="","",ROUND(H186+I186-J186,2))</f>
        <v/>
      </c>
    </row>
    <row r="187">
      <c r="A187" s="5">
        <f>IF('Daily Sale entry '!A186="","",'Daily Sale entry '!A186)</f>
        <v/>
      </c>
      <c r="B187" s="6">
        <f>IF($A187="","",'Daily Sale entry '!F186)</f>
        <v/>
      </c>
      <c r="C187">
        <f t="array" ref="C187">IF($A187="","",_xlfn.TEXTJOIN(", ",TRUE,IF(('Daily Sale entry '!$X$2:$X$1501=$A187)*('Daily Sale entry '!$Z$2:$Z$1501="Online collection 网上收款"),'Daily Sale entry '!$AA$2:$AA$1501,"")))</f>
        <v/>
      </c>
      <c r="D187" s="6">
        <f>IF($A187="","",ROUND(SUMIFS('Daily Sale entry '!$AC$2:$AC$1501,'Daily Sale entry '!$X$2:$X$1501,$A187,'Daily Sale entry '!$Z$2:$Z$1501,"Online collection 网上收款")-'Opening Balance'!$B$15*SUMPRODUCT(('Daily Sale entry '!$X$2:$X$1501=$A187)*('Daily Sale entry '!$Z$2:$Z$1501="Online collection 网上收款")*('Daily Sale entry '!$AA$2:$AA$1501&lt;&gt;"")*('Daily Sale entry '!$AC$2:$AC$1501-TRUNC('Daily Sale entry '!$AC$2:$AC$1501))),2))</f>
        <v/>
      </c>
      <c r="E187" s="6">
        <f>IF($A187="","",ROUND('Sales &amp; Collection'!I2586-'Sales &amp; Collection'!I2585,2))</f>
        <v/>
      </c>
      <c r="F187" s="6">
        <f>IF($A187="","",'Sales &amp; Collection'!L2578)</f>
        <v/>
      </c>
      <c r="H187" s="6">
        <f>IF($A187="","",K186)</f>
        <v/>
      </c>
      <c r="I187" s="6">
        <f>IF($A187="","",ROUND(B187+D187+E187,2))</f>
        <v/>
      </c>
      <c r="J187" s="6">
        <f>IF($A187="","",F187)</f>
        <v/>
      </c>
      <c r="K187" s="6">
        <f>IF($A187="","",ROUND(H187+I187-J187,2))</f>
        <v/>
      </c>
    </row>
    <row r="188">
      <c r="A188" s="5">
        <f>IF('Daily Sale entry '!A187="","",'Daily Sale entry '!A187)</f>
        <v/>
      </c>
      <c r="B188" s="6">
        <f>IF($A188="","",'Daily Sale entry '!F187)</f>
        <v/>
      </c>
      <c r="C188">
        <f t="array" ref="C188">IF($A188="","",_xlfn.TEXTJOIN(", ",TRUE,IF(('Daily Sale entry '!$X$2:$X$1501=$A188)*('Daily Sale entry '!$Z$2:$Z$1501="Online collection 网上收款"),'Daily Sale entry '!$AA$2:$AA$1501,"")))</f>
        <v/>
      </c>
      <c r="D188" s="6">
        <f>IF($A188="","",ROUND(SUMIFS('Daily Sale entry '!$AC$2:$AC$1501,'Daily Sale entry '!$X$2:$X$1501,$A188,'Daily Sale entry '!$Z$2:$Z$1501,"Online collection 网上收款")-'Opening Balance'!$B$15*SUMPRODUCT(('Daily Sale entry '!$X$2:$X$1501=$A188)*('Daily Sale entry '!$Z$2:$Z$1501="Online collection 网上收款")*('Daily Sale entry '!$AA$2:$AA$1501&lt;&gt;"")*('Daily Sale entry '!$AC$2:$AC$1501-TRUNC('Daily Sale entry '!$AC$2:$AC$1501))),2))</f>
        <v/>
      </c>
      <c r="E188" s="6">
        <f>IF($A188="","",ROUND('Sales &amp; Collection'!I2600-'Sales &amp; Collection'!I2599,2))</f>
        <v/>
      </c>
      <c r="F188" s="6">
        <f>IF($A188="","",'Sales &amp; Collection'!L2592)</f>
        <v/>
      </c>
      <c r="H188" s="6">
        <f>IF($A188="","",K187)</f>
        <v/>
      </c>
      <c r="I188" s="6">
        <f>IF($A188="","",ROUND(B188+D188+E188,2))</f>
        <v/>
      </c>
      <c r="J188" s="6">
        <f>IF($A188="","",F188)</f>
        <v/>
      </c>
      <c r="K188" s="6">
        <f>IF($A188="","",ROUND(H188+I188-J188,2))</f>
        <v/>
      </c>
    </row>
    <row r="189">
      <c r="A189" s="5">
        <f>IF('Daily Sale entry '!A188="","",'Daily Sale entry '!A188)</f>
        <v/>
      </c>
      <c r="B189" s="6">
        <f>IF($A189="","",'Daily Sale entry '!F188)</f>
        <v/>
      </c>
      <c r="C189">
        <f t="array" ref="C189">IF($A189="","",_xlfn.TEXTJOIN(", ",TRUE,IF(('Daily Sale entry '!$X$2:$X$1501=$A189)*('Daily Sale entry '!$Z$2:$Z$1501="Online collection 网上收款"),'Daily Sale entry '!$AA$2:$AA$1501,"")))</f>
        <v/>
      </c>
      <c r="D189" s="6">
        <f>IF($A189="","",ROUND(SUMIFS('Daily Sale entry '!$AC$2:$AC$1501,'Daily Sale entry '!$X$2:$X$1501,$A189,'Daily Sale entry '!$Z$2:$Z$1501,"Online collection 网上收款")-'Opening Balance'!$B$15*SUMPRODUCT(('Daily Sale entry '!$X$2:$X$1501=$A189)*('Daily Sale entry '!$Z$2:$Z$1501="Online collection 网上收款")*('Daily Sale entry '!$AA$2:$AA$1501&lt;&gt;"")*('Daily Sale entry '!$AC$2:$AC$1501-TRUNC('Daily Sale entry '!$AC$2:$AC$1501))),2))</f>
        <v/>
      </c>
      <c r="E189" s="6">
        <f>IF($A189="","",ROUND('Sales &amp; Collection'!I2614-'Sales &amp; Collection'!I2613,2))</f>
        <v/>
      </c>
      <c r="F189" s="6">
        <f>IF($A189="","",'Sales &amp; Collection'!L2606)</f>
        <v/>
      </c>
      <c r="H189" s="6">
        <f>IF($A189="","",K188)</f>
        <v/>
      </c>
      <c r="I189" s="6">
        <f>IF($A189="","",ROUND(B189+D189+E189,2))</f>
        <v/>
      </c>
      <c r="J189" s="6">
        <f>IF($A189="","",F189)</f>
        <v/>
      </c>
      <c r="K189" s="6">
        <f>IF($A189="","",ROUND(H189+I189-J189,2))</f>
        <v/>
      </c>
    </row>
    <row r="190">
      <c r="A190" s="5">
        <f>IF('Daily Sale entry '!A189="","",'Daily Sale entry '!A189)</f>
        <v/>
      </c>
      <c r="B190" s="6">
        <f>IF($A190="","",'Daily Sale entry '!F189)</f>
        <v/>
      </c>
      <c r="C190">
        <f t="array" ref="C190">IF($A190="","",_xlfn.TEXTJOIN(", ",TRUE,IF(('Daily Sale entry '!$X$2:$X$1501=$A190)*('Daily Sale entry '!$Z$2:$Z$1501="Online collection 网上收款"),'Daily Sale entry '!$AA$2:$AA$1501,"")))</f>
        <v/>
      </c>
      <c r="D190" s="6">
        <f>IF($A190="","",ROUND(SUMIFS('Daily Sale entry '!$AC$2:$AC$1501,'Daily Sale entry '!$X$2:$X$1501,$A190,'Daily Sale entry '!$Z$2:$Z$1501,"Online collection 网上收款")-'Opening Balance'!$B$15*SUMPRODUCT(('Daily Sale entry '!$X$2:$X$1501=$A190)*('Daily Sale entry '!$Z$2:$Z$1501="Online collection 网上收款")*('Daily Sale entry '!$AA$2:$AA$1501&lt;&gt;"")*('Daily Sale entry '!$AC$2:$AC$1501-TRUNC('Daily Sale entry '!$AC$2:$AC$1501))),2))</f>
        <v/>
      </c>
      <c r="E190" s="6">
        <f>IF($A190="","",ROUND('Sales &amp; Collection'!I2628-'Sales &amp; Collection'!I2627,2))</f>
        <v/>
      </c>
      <c r="F190" s="6">
        <f>IF($A190="","",'Sales &amp; Collection'!L2620)</f>
        <v/>
      </c>
      <c r="H190" s="6">
        <f>IF($A190="","",K189)</f>
        <v/>
      </c>
      <c r="I190" s="6">
        <f>IF($A190="","",ROUND(B190+D190+E190,2))</f>
        <v/>
      </c>
      <c r="J190" s="6">
        <f>IF($A190="","",F190)</f>
        <v/>
      </c>
      <c r="K190" s="6">
        <f>IF($A190="","",ROUND(H190+I190-J190,2))</f>
        <v/>
      </c>
    </row>
    <row r="191">
      <c r="A191" s="5">
        <f>IF('Daily Sale entry '!A190="","",'Daily Sale entry '!A190)</f>
        <v/>
      </c>
      <c r="B191" s="6">
        <f>IF($A191="","",'Daily Sale entry '!F190)</f>
        <v/>
      </c>
      <c r="C191">
        <f t="array" ref="C191">IF($A191="","",_xlfn.TEXTJOIN(", ",TRUE,IF(('Daily Sale entry '!$X$2:$X$1501=$A191)*('Daily Sale entry '!$Z$2:$Z$1501="Online collection 网上收款"),'Daily Sale entry '!$AA$2:$AA$1501,"")))</f>
        <v/>
      </c>
      <c r="D191" s="6">
        <f>IF($A191="","",ROUND(SUMIFS('Daily Sale entry '!$AC$2:$AC$1501,'Daily Sale entry '!$X$2:$X$1501,$A191,'Daily Sale entry '!$Z$2:$Z$1501,"Online collection 网上收款")-'Opening Balance'!$B$15*SUMPRODUCT(('Daily Sale entry '!$X$2:$X$1501=$A191)*('Daily Sale entry '!$Z$2:$Z$1501="Online collection 网上收款")*('Daily Sale entry '!$AA$2:$AA$1501&lt;&gt;"")*('Daily Sale entry '!$AC$2:$AC$1501-TRUNC('Daily Sale entry '!$AC$2:$AC$1501))),2))</f>
        <v/>
      </c>
      <c r="E191" s="6">
        <f>IF($A191="","",ROUND('Sales &amp; Collection'!I2642-'Sales &amp; Collection'!I2641,2))</f>
        <v/>
      </c>
      <c r="F191" s="6">
        <f>IF($A191="","",'Sales &amp; Collection'!L2634)</f>
        <v/>
      </c>
      <c r="H191" s="6">
        <f>IF($A191="","",K190)</f>
        <v/>
      </c>
      <c r="I191" s="6">
        <f>IF($A191="","",ROUND(B191+D191+E191,2))</f>
        <v/>
      </c>
      <c r="J191" s="6">
        <f>IF($A191="","",F191)</f>
        <v/>
      </c>
      <c r="K191" s="6">
        <f>IF($A191="","",ROUND(H191+I191-J191,2))</f>
        <v/>
      </c>
    </row>
    <row r="192">
      <c r="A192" s="5">
        <f>IF('Daily Sale entry '!A191="","",'Daily Sale entry '!A191)</f>
        <v/>
      </c>
      <c r="B192" s="6">
        <f>IF($A192="","",'Daily Sale entry '!F191)</f>
        <v/>
      </c>
      <c r="C192">
        <f t="array" ref="C192">IF($A192="","",_xlfn.TEXTJOIN(", ",TRUE,IF(('Daily Sale entry '!$X$2:$X$1501=$A192)*('Daily Sale entry '!$Z$2:$Z$1501="Online collection 网上收款"),'Daily Sale entry '!$AA$2:$AA$1501,"")))</f>
        <v/>
      </c>
      <c r="D192" s="6">
        <f>IF($A192="","",ROUND(SUMIFS('Daily Sale entry '!$AC$2:$AC$1501,'Daily Sale entry '!$X$2:$X$1501,$A192,'Daily Sale entry '!$Z$2:$Z$1501,"Online collection 网上收款")-'Opening Balance'!$B$15*SUMPRODUCT(('Daily Sale entry '!$X$2:$X$1501=$A192)*('Daily Sale entry '!$Z$2:$Z$1501="Online collection 网上收款")*('Daily Sale entry '!$AA$2:$AA$1501&lt;&gt;"")*('Daily Sale entry '!$AC$2:$AC$1501-TRUNC('Daily Sale entry '!$AC$2:$AC$1501))),2))</f>
        <v/>
      </c>
      <c r="E192" s="6">
        <f>IF($A192="","",ROUND('Sales &amp; Collection'!I2656-'Sales &amp; Collection'!I2655,2))</f>
        <v/>
      </c>
      <c r="F192" s="6">
        <f>IF($A192="","",'Sales &amp; Collection'!L2648)</f>
        <v/>
      </c>
      <c r="H192" s="6">
        <f>IF($A192="","",K191)</f>
        <v/>
      </c>
      <c r="I192" s="6">
        <f>IF($A192="","",ROUND(B192+D192+E192,2))</f>
        <v/>
      </c>
      <c r="J192" s="6">
        <f>IF($A192="","",F192)</f>
        <v/>
      </c>
      <c r="K192" s="6">
        <f>IF($A192="","",ROUND(H192+I192-J192,2))</f>
        <v/>
      </c>
    </row>
    <row r="193">
      <c r="A193" s="5">
        <f>IF('Daily Sale entry '!A192="","",'Daily Sale entry '!A192)</f>
        <v/>
      </c>
      <c r="B193" s="6">
        <f>IF($A193="","",'Daily Sale entry '!F192)</f>
        <v/>
      </c>
      <c r="C193">
        <f t="array" ref="C193">IF($A193="","",_xlfn.TEXTJOIN(", ",TRUE,IF(('Daily Sale entry '!$X$2:$X$1501=$A193)*('Daily Sale entry '!$Z$2:$Z$1501="Online collection 网上收款"),'Daily Sale entry '!$AA$2:$AA$1501,"")))</f>
        <v/>
      </c>
      <c r="D193" s="6">
        <f>IF($A193="","",ROUND(SUMIFS('Daily Sale entry '!$AC$2:$AC$1501,'Daily Sale entry '!$X$2:$X$1501,$A193,'Daily Sale entry '!$Z$2:$Z$1501,"Online collection 网上收款")-'Opening Balance'!$B$15*SUMPRODUCT(('Daily Sale entry '!$X$2:$X$1501=$A193)*('Daily Sale entry '!$Z$2:$Z$1501="Online collection 网上收款")*('Daily Sale entry '!$AA$2:$AA$1501&lt;&gt;"")*('Daily Sale entry '!$AC$2:$AC$1501-TRUNC('Daily Sale entry '!$AC$2:$AC$1501))),2))</f>
        <v/>
      </c>
      <c r="E193" s="6">
        <f>IF($A193="","",ROUND('Sales &amp; Collection'!I2670-'Sales &amp; Collection'!I2669,2))</f>
        <v/>
      </c>
      <c r="F193" s="6">
        <f>IF($A193="","",'Sales &amp; Collection'!L2662)</f>
        <v/>
      </c>
      <c r="H193" s="6">
        <f>IF($A193="","",K192)</f>
        <v/>
      </c>
      <c r="I193" s="6">
        <f>IF($A193="","",ROUND(B193+D193+E193,2))</f>
        <v/>
      </c>
      <c r="J193" s="6">
        <f>IF($A193="","",F193)</f>
        <v/>
      </c>
      <c r="K193" s="6">
        <f>IF($A193="","",ROUND(H193+I193-J193,2))</f>
        <v/>
      </c>
    </row>
    <row r="194">
      <c r="A194" s="5">
        <f>IF('Daily Sale entry '!A193="","",'Daily Sale entry '!A193)</f>
        <v/>
      </c>
      <c r="B194" s="6">
        <f>IF($A194="","",'Daily Sale entry '!F193)</f>
        <v/>
      </c>
      <c r="C194">
        <f t="array" ref="C194">IF($A194="","",_xlfn.TEXTJOIN(", ",TRUE,IF(('Daily Sale entry '!$X$2:$X$1501=$A194)*('Daily Sale entry '!$Z$2:$Z$1501="Online collection 网上收款"),'Daily Sale entry '!$AA$2:$AA$1501,"")))</f>
        <v/>
      </c>
      <c r="D194" s="6">
        <f>IF($A194="","",ROUND(SUMIFS('Daily Sale entry '!$AC$2:$AC$1501,'Daily Sale entry '!$X$2:$X$1501,$A194,'Daily Sale entry '!$Z$2:$Z$1501,"Online collection 网上收款")-'Opening Balance'!$B$15*SUMPRODUCT(('Daily Sale entry '!$X$2:$X$1501=$A194)*('Daily Sale entry '!$Z$2:$Z$1501="Online collection 网上收款")*('Daily Sale entry '!$AA$2:$AA$1501&lt;&gt;"")*('Daily Sale entry '!$AC$2:$AC$1501-TRUNC('Daily Sale entry '!$AC$2:$AC$1501))),2))</f>
        <v/>
      </c>
      <c r="E194" s="6">
        <f>IF($A194="","",ROUND('Sales &amp; Collection'!I2684-'Sales &amp; Collection'!I2683,2))</f>
        <v/>
      </c>
      <c r="F194" s="6">
        <f>IF($A194="","",'Sales &amp; Collection'!L2676)</f>
        <v/>
      </c>
      <c r="H194" s="6">
        <f>IF($A194="","",K193)</f>
        <v/>
      </c>
      <c r="I194" s="6">
        <f>IF($A194="","",ROUND(B194+D194+E194,2))</f>
        <v/>
      </c>
      <c r="J194" s="6">
        <f>IF($A194="","",F194)</f>
        <v/>
      </c>
      <c r="K194" s="6">
        <f>IF($A194="","",ROUND(H194+I194-J194,2))</f>
        <v/>
      </c>
    </row>
    <row r="195">
      <c r="A195" s="5">
        <f>IF('Daily Sale entry '!A194="","",'Daily Sale entry '!A194)</f>
        <v/>
      </c>
      <c r="B195" s="6">
        <f>IF($A195="","",'Daily Sale entry '!F194)</f>
        <v/>
      </c>
      <c r="C195">
        <f t="array" ref="C195">IF($A195="","",_xlfn.TEXTJOIN(", ",TRUE,IF(('Daily Sale entry '!$X$2:$X$1501=$A195)*('Daily Sale entry '!$Z$2:$Z$1501="Online collection 网上收款"),'Daily Sale entry '!$AA$2:$AA$1501,"")))</f>
        <v/>
      </c>
      <c r="D195" s="6">
        <f>IF($A195="","",ROUND(SUMIFS('Daily Sale entry '!$AC$2:$AC$1501,'Daily Sale entry '!$X$2:$X$1501,$A195,'Daily Sale entry '!$Z$2:$Z$1501,"Online collection 网上收款")-'Opening Balance'!$B$15*SUMPRODUCT(('Daily Sale entry '!$X$2:$X$1501=$A195)*('Daily Sale entry '!$Z$2:$Z$1501="Online collection 网上收款")*('Daily Sale entry '!$AA$2:$AA$1501&lt;&gt;"")*('Daily Sale entry '!$AC$2:$AC$1501-TRUNC('Daily Sale entry '!$AC$2:$AC$1501))),2))</f>
        <v/>
      </c>
      <c r="E195" s="6">
        <f>IF($A195="","",ROUND('Sales &amp; Collection'!I2698-'Sales &amp; Collection'!I2697,2))</f>
        <v/>
      </c>
      <c r="F195" s="6">
        <f>IF($A195="","",'Sales &amp; Collection'!L2690)</f>
        <v/>
      </c>
      <c r="H195" s="6">
        <f>IF($A195="","",K194)</f>
        <v/>
      </c>
      <c r="I195" s="6">
        <f>IF($A195="","",ROUND(B195+D195+E195,2))</f>
        <v/>
      </c>
      <c r="J195" s="6">
        <f>IF($A195="","",F195)</f>
        <v/>
      </c>
      <c r="K195" s="6">
        <f>IF($A195="","",ROUND(H195+I195-J195,2))</f>
        <v/>
      </c>
    </row>
    <row r="196">
      <c r="A196" s="5">
        <f>IF('Daily Sale entry '!A195="","",'Daily Sale entry '!A195)</f>
        <v/>
      </c>
      <c r="B196" s="6">
        <f>IF($A196="","",'Daily Sale entry '!F195)</f>
        <v/>
      </c>
      <c r="C196">
        <f t="array" ref="C196">IF($A196="","",_xlfn.TEXTJOIN(", ",TRUE,IF(('Daily Sale entry '!$X$2:$X$1501=$A196)*('Daily Sale entry '!$Z$2:$Z$1501="Online collection 网上收款"),'Daily Sale entry '!$AA$2:$AA$1501,"")))</f>
        <v/>
      </c>
      <c r="D196" s="6">
        <f>IF($A196="","",ROUND(SUMIFS('Daily Sale entry '!$AC$2:$AC$1501,'Daily Sale entry '!$X$2:$X$1501,$A196,'Daily Sale entry '!$Z$2:$Z$1501,"Online collection 网上收款")-'Opening Balance'!$B$15*SUMPRODUCT(('Daily Sale entry '!$X$2:$X$1501=$A196)*('Daily Sale entry '!$Z$2:$Z$1501="Online collection 网上收款")*('Daily Sale entry '!$AA$2:$AA$1501&lt;&gt;"")*('Daily Sale entry '!$AC$2:$AC$1501-TRUNC('Daily Sale entry '!$AC$2:$AC$1501))),2))</f>
        <v/>
      </c>
      <c r="E196" s="6">
        <f>IF($A196="","",ROUND('Sales &amp; Collection'!I2712-'Sales &amp; Collection'!I2711,2))</f>
        <v/>
      </c>
      <c r="F196" s="6">
        <f>IF($A196="","",'Sales &amp; Collection'!L2704)</f>
        <v/>
      </c>
      <c r="H196" s="6">
        <f>IF($A196="","",K195)</f>
        <v/>
      </c>
      <c r="I196" s="6">
        <f>IF($A196="","",ROUND(B196+D196+E196,2))</f>
        <v/>
      </c>
      <c r="J196" s="6">
        <f>IF($A196="","",F196)</f>
        <v/>
      </c>
      <c r="K196" s="6">
        <f>IF($A196="","",ROUND(H196+I196-J196,2))</f>
        <v/>
      </c>
    </row>
    <row r="197">
      <c r="A197" s="5">
        <f>IF('Daily Sale entry '!A196="","",'Daily Sale entry '!A196)</f>
        <v/>
      </c>
      <c r="B197" s="6">
        <f>IF($A197="","",'Daily Sale entry '!F196)</f>
        <v/>
      </c>
      <c r="C197">
        <f t="array" ref="C197">IF($A197="","",_xlfn.TEXTJOIN(", ",TRUE,IF(('Daily Sale entry '!$X$2:$X$1501=$A197)*('Daily Sale entry '!$Z$2:$Z$1501="Online collection 网上收款"),'Daily Sale entry '!$AA$2:$AA$1501,"")))</f>
        <v/>
      </c>
      <c r="D197" s="6">
        <f>IF($A197="","",ROUND(SUMIFS('Daily Sale entry '!$AC$2:$AC$1501,'Daily Sale entry '!$X$2:$X$1501,$A197,'Daily Sale entry '!$Z$2:$Z$1501,"Online collection 网上收款")-'Opening Balance'!$B$15*SUMPRODUCT(('Daily Sale entry '!$X$2:$X$1501=$A197)*('Daily Sale entry '!$Z$2:$Z$1501="Online collection 网上收款")*('Daily Sale entry '!$AA$2:$AA$1501&lt;&gt;"")*('Daily Sale entry '!$AC$2:$AC$1501-TRUNC('Daily Sale entry '!$AC$2:$AC$1501))),2))</f>
        <v/>
      </c>
      <c r="E197" s="6">
        <f>IF($A197="","",ROUND('Sales &amp; Collection'!I2726-'Sales &amp; Collection'!I2725,2))</f>
        <v/>
      </c>
      <c r="F197" s="6">
        <f>IF($A197="","",'Sales &amp; Collection'!L2718)</f>
        <v/>
      </c>
      <c r="H197" s="6">
        <f>IF($A197="","",K196)</f>
        <v/>
      </c>
      <c r="I197" s="6">
        <f>IF($A197="","",ROUND(B197+D197+E197,2))</f>
        <v/>
      </c>
      <c r="J197" s="6">
        <f>IF($A197="","",F197)</f>
        <v/>
      </c>
      <c r="K197" s="6">
        <f>IF($A197="","",ROUND(H197+I197-J197,2))</f>
        <v/>
      </c>
    </row>
    <row r="198">
      <c r="A198" s="5">
        <f>IF('Daily Sale entry '!A197="","",'Daily Sale entry '!A197)</f>
        <v/>
      </c>
      <c r="B198" s="6">
        <f>IF($A198="","",'Daily Sale entry '!F197)</f>
        <v/>
      </c>
      <c r="C198">
        <f t="array" ref="C198">IF($A198="","",_xlfn.TEXTJOIN(", ",TRUE,IF(('Daily Sale entry '!$X$2:$X$1501=$A198)*('Daily Sale entry '!$Z$2:$Z$1501="Online collection 网上收款"),'Daily Sale entry '!$AA$2:$AA$1501,"")))</f>
        <v/>
      </c>
      <c r="D198" s="6">
        <f>IF($A198="","",ROUND(SUMIFS('Daily Sale entry '!$AC$2:$AC$1501,'Daily Sale entry '!$X$2:$X$1501,$A198,'Daily Sale entry '!$Z$2:$Z$1501,"Online collection 网上收款")-'Opening Balance'!$B$15*SUMPRODUCT(('Daily Sale entry '!$X$2:$X$1501=$A198)*('Daily Sale entry '!$Z$2:$Z$1501="Online collection 网上收款")*('Daily Sale entry '!$AA$2:$AA$1501&lt;&gt;"")*('Daily Sale entry '!$AC$2:$AC$1501-TRUNC('Daily Sale entry '!$AC$2:$AC$1501))),2))</f>
        <v/>
      </c>
      <c r="E198" s="6">
        <f>IF($A198="","",ROUND('Sales &amp; Collection'!I2740-'Sales &amp; Collection'!I2739,2))</f>
        <v/>
      </c>
      <c r="F198" s="6">
        <f>IF($A198="","",'Sales &amp; Collection'!L2732)</f>
        <v/>
      </c>
      <c r="H198" s="6">
        <f>IF($A198="","",K197)</f>
        <v/>
      </c>
      <c r="I198" s="6">
        <f>IF($A198="","",ROUND(B198+D198+E198,2))</f>
        <v/>
      </c>
      <c r="J198" s="6">
        <f>IF($A198="","",F198)</f>
        <v/>
      </c>
      <c r="K198" s="6">
        <f>IF($A198="","",ROUND(H198+I198-J198,2))</f>
        <v/>
      </c>
    </row>
    <row r="199">
      <c r="A199" s="5">
        <f>IF('Daily Sale entry '!A198="","",'Daily Sale entry '!A198)</f>
        <v/>
      </c>
      <c r="B199" s="6">
        <f>IF($A199="","",'Daily Sale entry '!F198)</f>
        <v/>
      </c>
      <c r="C199">
        <f t="array" ref="C199">IF($A199="","",_xlfn.TEXTJOIN(", ",TRUE,IF(('Daily Sale entry '!$X$2:$X$1501=$A199)*('Daily Sale entry '!$Z$2:$Z$1501="Online collection 网上收款"),'Daily Sale entry '!$AA$2:$AA$1501,"")))</f>
        <v/>
      </c>
      <c r="D199" s="6">
        <f>IF($A199="","",ROUND(SUMIFS('Daily Sale entry '!$AC$2:$AC$1501,'Daily Sale entry '!$X$2:$X$1501,$A199,'Daily Sale entry '!$Z$2:$Z$1501,"Online collection 网上收款")-'Opening Balance'!$B$15*SUMPRODUCT(('Daily Sale entry '!$X$2:$X$1501=$A199)*('Daily Sale entry '!$Z$2:$Z$1501="Online collection 网上收款")*('Daily Sale entry '!$AA$2:$AA$1501&lt;&gt;"")*('Daily Sale entry '!$AC$2:$AC$1501-TRUNC('Daily Sale entry '!$AC$2:$AC$1501))),2))</f>
        <v/>
      </c>
      <c r="E199" s="6">
        <f>IF($A199="","",ROUND('Sales &amp; Collection'!I2754-'Sales &amp; Collection'!I2753,2))</f>
        <v/>
      </c>
      <c r="F199" s="6">
        <f>IF($A199="","",'Sales &amp; Collection'!L2746)</f>
        <v/>
      </c>
      <c r="H199" s="6">
        <f>IF($A199="","",K198)</f>
        <v/>
      </c>
      <c r="I199" s="6">
        <f>IF($A199="","",ROUND(B199+D199+E199,2))</f>
        <v/>
      </c>
      <c r="J199" s="6">
        <f>IF($A199="","",F199)</f>
        <v/>
      </c>
      <c r="K199" s="6">
        <f>IF($A199="","",ROUND(H199+I199-J199,2))</f>
        <v/>
      </c>
    </row>
    <row r="200">
      <c r="A200" s="5">
        <f>IF('Daily Sale entry '!A199="","",'Daily Sale entry '!A199)</f>
        <v/>
      </c>
      <c r="B200" s="6">
        <f>IF($A200="","",'Daily Sale entry '!F199)</f>
        <v/>
      </c>
      <c r="C200">
        <f t="array" ref="C200">IF($A200="","",_xlfn.TEXTJOIN(", ",TRUE,IF(('Daily Sale entry '!$X$2:$X$1501=$A200)*('Daily Sale entry '!$Z$2:$Z$1501="Online collection 网上收款"),'Daily Sale entry '!$AA$2:$AA$1501,"")))</f>
        <v/>
      </c>
      <c r="D200" s="6">
        <f>IF($A200="","",ROUND(SUMIFS('Daily Sale entry '!$AC$2:$AC$1501,'Daily Sale entry '!$X$2:$X$1501,$A200,'Daily Sale entry '!$Z$2:$Z$1501,"Online collection 网上收款")-'Opening Balance'!$B$15*SUMPRODUCT(('Daily Sale entry '!$X$2:$X$1501=$A200)*('Daily Sale entry '!$Z$2:$Z$1501="Online collection 网上收款")*('Daily Sale entry '!$AA$2:$AA$1501&lt;&gt;"")*('Daily Sale entry '!$AC$2:$AC$1501-TRUNC('Daily Sale entry '!$AC$2:$AC$1501))),2))</f>
        <v/>
      </c>
      <c r="E200" s="6">
        <f>IF($A200="","",ROUND('Sales &amp; Collection'!I2768-'Sales &amp; Collection'!I2767,2))</f>
        <v/>
      </c>
      <c r="F200" s="6">
        <f>IF($A200="","",'Sales &amp; Collection'!L2760)</f>
        <v/>
      </c>
      <c r="H200" s="6">
        <f>IF($A200="","",K199)</f>
        <v/>
      </c>
      <c r="I200" s="6">
        <f>IF($A200="","",ROUND(B200+D200+E200,2))</f>
        <v/>
      </c>
      <c r="J200" s="6">
        <f>IF($A200="","",F200)</f>
        <v/>
      </c>
      <c r="K200" s="6">
        <f>IF($A200="","",ROUND(H200+I200-J200,2))</f>
        <v/>
      </c>
    </row>
    <row r="201">
      <c r="A201" s="5">
        <f>IF('Daily Sale entry '!A200="","",'Daily Sale entry '!A200)</f>
        <v/>
      </c>
      <c r="B201" s="6">
        <f>IF($A201="","",'Daily Sale entry '!F200)</f>
        <v/>
      </c>
      <c r="C201">
        <f t="array" ref="C201">IF($A201="","",_xlfn.TEXTJOIN(", ",TRUE,IF(('Daily Sale entry '!$X$2:$X$1501=$A201)*('Daily Sale entry '!$Z$2:$Z$1501="Online collection 网上收款"),'Daily Sale entry '!$AA$2:$AA$1501,"")))</f>
        <v/>
      </c>
      <c r="D201" s="6">
        <f>IF($A201="","",ROUND(SUMIFS('Daily Sale entry '!$AC$2:$AC$1501,'Daily Sale entry '!$X$2:$X$1501,$A201,'Daily Sale entry '!$Z$2:$Z$1501,"Online collection 网上收款")-'Opening Balance'!$B$15*SUMPRODUCT(('Daily Sale entry '!$X$2:$X$1501=$A201)*('Daily Sale entry '!$Z$2:$Z$1501="Online collection 网上收款")*('Daily Sale entry '!$AA$2:$AA$1501&lt;&gt;"")*('Daily Sale entry '!$AC$2:$AC$1501-TRUNC('Daily Sale entry '!$AC$2:$AC$1501))),2))</f>
        <v/>
      </c>
      <c r="E201" s="6">
        <f>IF($A201="","",ROUND('Sales &amp; Collection'!I2782-'Sales &amp; Collection'!I2781,2))</f>
        <v/>
      </c>
      <c r="F201" s="6">
        <f>IF($A201="","",'Sales &amp; Collection'!L2774)</f>
        <v/>
      </c>
      <c r="H201" s="6">
        <f>IF($A201="","",K200)</f>
        <v/>
      </c>
      <c r="I201" s="6">
        <f>IF($A201="","",ROUND(B201+D201+E201,2))</f>
        <v/>
      </c>
      <c r="J201" s="6">
        <f>IF($A201="","",F201)</f>
        <v/>
      </c>
      <c r="K201" s="6">
        <f>IF($A201="","",ROUND(H201+I201-J201,2))</f>
        <v/>
      </c>
    </row>
    <row r="202">
      <c r="A202" s="5">
        <f>IF('Daily Sale entry '!A201="","",'Daily Sale entry '!A201)</f>
        <v/>
      </c>
      <c r="B202" s="6">
        <f>IF($A202="","",'Daily Sale entry '!F201)</f>
        <v/>
      </c>
      <c r="C202">
        <f t="array" ref="C202">IF($A202="","",_xlfn.TEXTJOIN(", ",TRUE,IF(('Daily Sale entry '!$X$2:$X$1501=$A202)*('Daily Sale entry '!$Z$2:$Z$1501="Online collection 网上收款"),'Daily Sale entry '!$AA$2:$AA$1501,"")))</f>
        <v/>
      </c>
      <c r="D202" s="6">
        <f>IF($A202="","",ROUND(SUMIFS('Daily Sale entry '!$AC$2:$AC$1501,'Daily Sale entry '!$X$2:$X$1501,$A202,'Daily Sale entry '!$Z$2:$Z$1501,"Online collection 网上收款")-'Opening Balance'!$B$15*SUMPRODUCT(('Daily Sale entry '!$X$2:$X$1501=$A202)*('Daily Sale entry '!$Z$2:$Z$1501="Online collection 网上收款")*('Daily Sale entry '!$AA$2:$AA$1501&lt;&gt;"")*('Daily Sale entry '!$AC$2:$AC$1501-TRUNC('Daily Sale entry '!$AC$2:$AC$1501))),2))</f>
        <v/>
      </c>
      <c r="E202" s="6">
        <f>IF($A202="","",ROUND('Sales &amp; Collection'!I2796-'Sales &amp; Collection'!I2795,2))</f>
        <v/>
      </c>
      <c r="F202" s="6">
        <f>IF($A202="","",'Sales &amp; Collection'!L2788)</f>
        <v/>
      </c>
      <c r="H202" s="6">
        <f>IF($A202="","",K201)</f>
        <v/>
      </c>
      <c r="I202" s="6">
        <f>IF($A202="","",ROUND(B202+D202+E202,2))</f>
        <v/>
      </c>
      <c r="J202" s="6">
        <f>IF($A202="","",F202)</f>
        <v/>
      </c>
      <c r="K202" s="6">
        <f>IF($A202="","",ROUND(H202+I202-J202,2))</f>
        <v/>
      </c>
    </row>
    <row r="203">
      <c r="A203" s="5">
        <f>IF('Daily Sale entry '!A202="","",'Daily Sale entry '!A202)</f>
        <v/>
      </c>
      <c r="B203" s="6">
        <f>IF($A203="","",'Daily Sale entry '!F202)</f>
        <v/>
      </c>
      <c r="C203">
        <f t="array" ref="C203">IF($A203="","",_xlfn.TEXTJOIN(", ",TRUE,IF(('Daily Sale entry '!$X$2:$X$1501=$A203)*('Daily Sale entry '!$Z$2:$Z$1501="Online collection 网上收款"),'Daily Sale entry '!$AA$2:$AA$1501,"")))</f>
        <v/>
      </c>
      <c r="D203" s="6">
        <f>IF($A203="","",ROUND(SUMIFS('Daily Sale entry '!$AC$2:$AC$1501,'Daily Sale entry '!$X$2:$X$1501,$A203,'Daily Sale entry '!$Z$2:$Z$1501,"Online collection 网上收款")-'Opening Balance'!$B$15*SUMPRODUCT(('Daily Sale entry '!$X$2:$X$1501=$A203)*('Daily Sale entry '!$Z$2:$Z$1501="Online collection 网上收款")*('Daily Sale entry '!$AA$2:$AA$1501&lt;&gt;"")*('Daily Sale entry '!$AC$2:$AC$1501-TRUNC('Daily Sale entry '!$AC$2:$AC$1501))),2))</f>
        <v/>
      </c>
      <c r="E203" s="6">
        <f>IF($A203="","",ROUND('Sales &amp; Collection'!I2810-'Sales &amp; Collection'!I2809,2))</f>
        <v/>
      </c>
      <c r="F203" s="6">
        <f>IF($A203="","",'Sales &amp; Collection'!L2802)</f>
        <v/>
      </c>
      <c r="H203" s="6">
        <f>IF($A203="","",K202)</f>
        <v/>
      </c>
      <c r="I203" s="6">
        <f>IF($A203="","",ROUND(B203+D203+E203,2))</f>
        <v/>
      </c>
      <c r="J203" s="6">
        <f>IF($A203="","",F203)</f>
        <v/>
      </c>
      <c r="K203" s="6">
        <f>IF($A203="","",ROUND(H203+I203-J203,2))</f>
        <v/>
      </c>
    </row>
    <row r="204">
      <c r="A204" s="5">
        <f>IF('Daily Sale entry '!A203="","",'Daily Sale entry '!A203)</f>
        <v/>
      </c>
      <c r="B204" s="6">
        <f>IF($A204="","",'Daily Sale entry '!F203)</f>
        <v/>
      </c>
      <c r="C204">
        <f t="array" ref="C204">IF($A204="","",_xlfn.TEXTJOIN(", ",TRUE,IF(('Daily Sale entry '!$X$2:$X$1501=$A204)*('Daily Sale entry '!$Z$2:$Z$1501="Online collection 网上收款"),'Daily Sale entry '!$AA$2:$AA$1501,"")))</f>
        <v/>
      </c>
      <c r="D204" s="6">
        <f>IF($A204="","",ROUND(SUMIFS('Daily Sale entry '!$AC$2:$AC$1501,'Daily Sale entry '!$X$2:$X$1501,$A204,'Daily Sale entry '!$Z$2:$Z$1501,"Online collection 网上收款")-'Opening Balance'!$B$15*SUMPRODUCT(('Daily Sale entry '!$X$2:$X$1501=$A204)*('Daily Sale entry '!$Z$2:$Z$1501="Online collection 网上收款")*('Daily Sale entry '!$AA$2:$AA$1501&lt;&gt;"")*('Daily Sale entry '!$AC$2:$AC$1501-TRUNC('Daily Sale entry '!$AC$2:$AC$1501))),2))</f>
        <v/>
      </c>
      <c r="E204" s="6">
        <f>IF($A204="","",ROUND('Sales &amp; Collection'!I2824-'Sales &amp; Collection'!I2823,2))</f>
        <v/>
      </c>
      <c r="F204" s="6">
        <f>IF($A204="","",'Sales &amp; Collection'!L2816)</f>
        <v/>
      </c>
      <c r="H204" s="6">
        <f>IF($A204="","",K203)</f>
        <v/>
      </c>
      <c r="I204" s="6">
        <f>IF($A204="","",ROUND(B204+D204+E204,2))</f>
        <v/>
      </c>
      <c r="J204" s="6">
        <f>IF($A204="","",F204)</f>
        <v/>
      </c>
      <c r="K204" s="6">
        <f>IF($A204="","",ROUND(H204+I204-J204,2))</f>
        <v/>
      </c>
    </row>
    <row r="205">
      <c r="A205" s="5">
        <f>IF('Daily Sale entry '!A204="","",'Daily Sale entry '!A204)</f>
        <v/>
      </c>
      <c r="B205" s="6">
        <f>IF($A205="","",'Daily Sale entry '!F204)</f>
        <v/>
      </c>
      <c r="C205">
        <f t="array" ref="C205">IF($A205="","",_xlfn.TEXTJOIN(", ",TRUE,IF(('Daily Sale entry '!$X$2:$X$1501=$A205)*('Daily Sale entry '!$Z$2:$Z$1501="Online collection 网上收款"),'Daily Sale entry '!$AA$2:$AA$1501,"")))</f>
        <v/>
      </c>
      <c r="D205" s="6">
        <f>IF($A205="","",ROUND(SUMIFS('Daily Sale entry '!$AC$2:$AC$1501,'Daily Sale entry '!$X$2:$X$1501,$A205,'Daily Sale entry '!$Z$2:$Z$1501,"Online collection 网上收款")-'Opening Balance'!$B$15*SUMPRODUCT(('Daily Sale entry '!$X$2:$X$1501=$A205)*('Daily Sale entry '!$Z$2:$Z$1501="Online collection 网上收款")*('Daily Sale entry '!$AA$2:$AA$1501&lt;&gt;"")*('Daily Sale entry '!$AC$2:$AC$1501-TRUNC('Daily Sale entry '!$AC$2:$AC$1501))),2))</f>
        <v/>
      </c>
      <c r="E205" s="6">
        <f>IF($A205="","",ROUND('Sales &amp; Collection'!I2838-'Sales &amp; Collection'!I2837,2))</f>
        <v/>
      </c>
      <c r="F205" s="6">
        <f>IF($A205="","",'Sales &amp; Collection'!L2830)</f>
        <v/>
      </c>
      <c r="H205" s="6">
        <f>IF($A205="","",K204)</f>
        <v/>
      </c>
      <c r="I205" s="6">
        <f>IF($A205="","",ROUND(B205+D205+E205,2))</f>
        <v/>
      </c>
      <c r="J205" s="6">
        <f>IF($A205="","",F205)</f>
        <v/>
      </c>
      <c r="K205" s="6">
        <f>IF($A205="","",ROUND(H205+I205-J205,2))</f>
        <v/>
      </c>
    </row>
    <row r="206">
      <c r="A206" s="5">
        <f>IF('Daily Sale entry '!A205="","",'Daily Sale entry '!A205)</f>
        <v/>
      </c>
      <c r="B206" s="6">
        <f>IF($A206="","",'Daily Sale entry '!F205)</f>
        <v/>
      </c>
      <c r="C206">
        <f t="array" ref="C206">IF($A206="","",_xlfn.TEXTJOIN(", ",TRUE,IF(('Daily Sale entry '!$X$2:$X$1501=$A206)*('Daily Sale entry '!$Z$2:$Z$1501="Online collection 网上收款"),'Daily Sale entry '!$AA$2:$AA$1501,"")))</f>
        <v/>
      </c>
      <c r="D206" s="6">
        <f>IF($A206="","",ROUND(SUMIFS('Daily Sale entry '!$AC$2:$AC$1501,'Daily Sale entry '!$X$2:$X$1501,$A206,'Daily Sale entry '!$Z$2:$Z$1501,"Online collection 网上收款")-'Opening Balance'!$B$15*SUMPRODUCT(('Daily Sale entry '!$X$2:$X$1501=$A206)*('Daily Sale entry '!$Z$2:$Z$1501="Online collection 网上收款")*('Daily Sale entry '!$AA$2:$AA$1501&lt;&gt;"")*('Daily Sale entry '!$AC$2:$AC$1501-TRUNC('Daily Sale entry '!$AC$2:$AC$1501))),2))</f>
        <v/>
      </c>
      <c r="E206" s="6">
        <f>IF($A206="","",ROUND('Sales &amp; Collection'!I2852-'Sales &amp; Collection'!I2851,2))</f>
        <v/>
      </c>
      <c r="F206" s="6">
        <f>IF($A206="","",'Sales &amp; Collection'!L2844)</f>
        <v/>
      </c>
      <c r="H206" s="6">
        <f>IF($A206="","",K205)</f>
        <v/>
      </c>
      <c r="I206" s="6">
        <f>IF($A206="","",ROUND(B206+D206+E206,2))</f>
        <v/>
      </c>
      <c r="J206" s="6">
        <f>IF($A206="","",F206)</f>
        <v/>
      </c>
      <c r="K206" s="6">
        <f>IF($A206="","",ROUND(H206+I206-J206,2))</f>
        <v/>
      </c>
    </row>
    <row r="207">
      <c r="A207" s="5">
        <f>IF('Daily Sale entry '!A206="","",'Daily Sale entry '!A206)</f>
        <v/>
      </c>
      <c r="B207" s="6">
        <f>IF($A207="","",'Daily Sale entry '!F206)</f>
        <v/>
      </c>
      <c r="C207">
        <f t="array" ref="C207">IF($A207="","",_xlfn.TEXTJOIN(", ",TRUE,IF(('Daily Sale entry '!$X$2:$X$1501=$A207)*('Daily Sale entry '!$Z$2:$Z$1501="Online collection 网上收款"),'Daily Sale entry '!$AA$2:$AA$1501,"")))</f>
        <v/>
      </c>
      <c r="D207" s="6">
        <f>IF($A207="","",ROUND(SUMIFS('Daily Sale entry '!$AC$2:$AC$1501,'Daily Sale entry '!$X$2:$X$1501,$A207,'Daily Sale entry '!$Z$2:$Z$1501,"Online collection 网上收款")-'Opening Balance'!$B$15*SUMPRODUCT(('Daily Sale entry '!$X$2:$X$1501=$A207)*('Daily Sale entry '!$Z$2:$Z$1501="Online collection 网上收款")*('Daily Sale entry '!$AA$2:$AA$1501&lt;&gt;"")*('Daily Sale entry '!$AC$2:$AC$1501-TRUNC('Daily Sale entry '!$AC$2:$AC$1501))),2))</f>
        <v/>
      </c>
      <c r="E207" s="6">
        <f>IF($A207="","",ROUND('Sales &amp; Collection'!I2866-'Sales &amp; Collection'!I2865,2))</f>
        <v/>
      </c>
      <c r="F207" s="6">
        <f>IF($A207="","",'Sales &amp; Collection'!L2858)</f>
        <v/>
      </c>
      <c r="H207" s="6">
        <f>IF($A207="","",K206)</f>
        <v/>
      </c>
      <c r="I207" s="6">
        <f>IF($A207="","",ROUND(B207+D207+E207,2))</f>
        <v/>
      </c>
      <c r="J207" s="6">
        <f>IF($A207="","",F207)</f>
        <v/>
      </c>
      <c r="K207" s="6">
        <f>IF($A207="","",ROUND(H207+I207-J207,2))</f>
        <v/>
      </c>
    </row>
    <row r="208">
      <c r="A208" s="5">
        <f>IF('Daily Sale entry '!A207="","",'Daily Sale entry '!A207)</f>
        <v/>
      </c>
      <c r="B208" s="6">
        <f>IF($A208="","",'Daily Sale entry '!F207)</f>
        <v/>
      </c>
      <c r="C208">
        <f t="array" ref="C208">IF($A208="","",_xlfn.TEXTJOIN(", ",TRUE,IF(('Daily Sale entry '!$X$2:$X$1501=$A208)*('Daily Sale entry '!$Z$2:$Z$1501="Online collection 网上收款"),'Daily Sale entry '!$AA$2:$AA$1501,"")))</f>
        <v/>
      </c>
      <c r="D208" s="6">
        <f>IF($A208="","",ROUND(SUMIFS('Daily Sale entry '!$AC$2:$AC$1501,'Daily Sale entry '!$X$2:$X$1501,$A208,'Daily Sale entry '!$Z$2:$Z$1501,"Online collection 网上收款")-'Opening Balance'!$B$15*SUMPRODUCT(('Daily Sale entry '!$X$2:$X$1501=$A208)*('Daily Sale entry '!$Z$2:$Z$1501="Online collection 网上收款")*('Daily Sale entry '!$AA$2:$AA$1501&lt;&gt;"")*('Daily Sale entry '!$AC$2:$AC$1501-TRUNC('Daily Sale entry '!$AC$2:$AC$1501))),2))</f>
        <v/>
      </c>
      <c r="E208" s="6">
        <f>IF($A208="","",ROUND('Sales &amp; Collection'!I2880-'Sales &amp; Collection'!I2879,2))</f>
        <v/>
      </c>
      <c r="F208" s="6">
        <f>IF($A208="","",'Sales &amp; Collection'!L2872)</f>
        <v/>
      </c>
      <c r="H208" s="6">
        <f>IF($A208="","",K207)</f>
        <v/>
      </c>
      <c r="I208" s="6">
        <f>IF($A208="","",ROUND(B208+D208+E208,2))</f>
        <v/>
      </c>
      <c r="J208" s="6">
        <f>IF($A208="","",F208)</f>
        <v/>
      </c>
      <c r="K208" s="6">
        <f>IF($A208="","",ROUND(H208+I208-J208,2))</f>
        <v/>
      </c>
    </row>
    <row r="209">
      <c r="A209" s="5">
        <f>IF('Daily Sale entry '!A208="","",'Daily Sale entry '!A208)</f>
        <v/>
      </c>
      <c r="B209" s="6">
        <f>IF($A209="","",'Daily Sale entry '!F208)</f>
        <v/>
      </c>
      <c r="C209">
        <f t="array" ref="C209">IF($A209="","",_xlfn.TEXTJOIN(", ",TRUE,IF(('Daily Sale entry '!$X$2:$X$1501=$A209)*('Daily Sale entry '!$Z$2:$Z$1501="Online collection 网上收款"),'Daily Sale entry '!$AA$2:$AA$1501,"")))</f>
        <v/>
      </c>
      <c r="D209" s="6">
        <f>IF($A209="","",ROUND(SUMIFS('Daily Sale entry '!$AC$2:$AC$1501,'Daily Sale entry '!$X$2:$X$1501,$A209,'Daily Sale entry '!$Z$2:$Z$1501,"Online collection 网上收款")-'Opening Balance'!$B$15*SUMPRODUCT(('Daily Sale entry '!$X$2:$X$1501=$A209)*('Daily Sale entry '!$Z$2:$Z$1501="Online collection 网上收款")*('Daily Sale entry '!$AA$2:$AA$1501&lt;&gt;"")*('Daily Sale entry '!$AC$2:$AC$1501-TRUNC('Daily Sale entry '!$AC$2:$AC$1501))),2))</f>
        <v/>
      </c>
      <c r="E209" s="6">
        <f>IF($A209="","",ROUND('Sales &amp; Collection'!I2894-'Sales &amp; Collection'!I2893,2))</f>
        <v/>
      </c>
      <c r="F209" s="6">
        <f>IF($A209="","",'Sales &amp; Collection'!L2886)</f>
        <v/>
      </c>
      <c r="H209" s="6">
        <f>IF($A209="","",K208)</f>
        <v/>
      </c>
      <c r="I209" s="6">
        <f>IF($A209="","",ROUND(B209+D209+E209,2))</f>
        <v/>
      </c>
      <c r="J209" s="6">
        <f>IF($A209="","",F209)</f>
        <v/>
      </c>
      <c r="K209" s="6">
        <f>IF($A209="","",ROUND(H209+I209-J209,2))</f>
        <v/>
      </c>
    </row>
    <row r="210">
      <c r="A210" s="5">
        <f>IF('Daily Sale entry '!A209="","",'Daily Sale entry '!A209)</f>
        <v/>
      </c>
      <c r="B210" s="6">
        <f>IF($A210="","",'Daily Sale entry '!F209)</f>
        <v/>
      </c>
      <c r="C210">
        <f t="array" ref="C210">IF($A210="","",_xlfn.TEXTJOIN(", ",TRUE,IF(('Daily Sale entry '!$X$2:$X$1501=$A210)*('Daily Sale entry '!$Z$2:$Z$1501="Online collection 网上收款"),'Daily Sale entry '!$AA$2:$AA$1501,"")))</f>
        <v/>
      </c>
      <c r="D210" s="6">
        <f>IF($A210="","",ROUND(SUMIFS('Daily Sale entry '!$AC$2:$AC$1501,'Daily Sale entry '!$X$2:$X$1501,$A210,'Daily Sale entry '!$Z$2:$Z$1501,"Online collection 网上收款")-'Opening Balance'!$B$15*SUMPRODUCT(('Daily Sale entry '!$X$2:$X$1501=$A210)*('Daily Sale entry '!$Z$2:$Z$1501="Online collection 网上收款")*('Daily Sale entry '!$AA$2:$AA$1501&lt;&gt;"")*('Daily Sale entry '!$AC$2:$AC$1501-TRUNC('Daily Sale entry '!$AC$2:$AC$1501))),2))</f>
        <v/>
      </c>
      <c r="E210" s="6">
        <f>IF($A210="","",ROUND('Sales &amp; Collection'!I2908-'Sales &amp; Collection'!I2907,2))</f>
        <v/>
      </c>
      <c r="F210" s="6">
        <f>IF($A210="","",'Sales &amp; Collection'!L2900)</f>
        <v/>
      </c>
      <c r="H210" s="6">
        <f>IF($A210="","",K209)</f>
        <v/>
      </c>
      <c r="I210" s="6">
        <f>IF($A210="","",ROUND(B210+D210+E210,2))</f>
        <v/>
      </c>
      <c r="J210" s="6">
        <f>IF($A210="","",F210)</f>
        <v/>
      </c>
      <c r="K210" s="6">
        <f>IF($A210="","",ROUND(H210+I210-J210,2))</f>
        <v/>
      </c>
    </row>
    <row r="211">
      <c r="A211" s="5">
        <f>IF('Daily Sale entry '!A210="","",'Daily Sale entry '!A210)</f>
        <v/>
      </c>
      <c r="B211" s="6">
        <f>IF($A211="","",'Daily Sale entry '!F210)</f>
        <v/>
      </c>
      <c r="C211">
        <f t="array" ref="C211">IF($A211="","",_xlfn.TEXTJOIN(", ",TRUE,IF(('Daily Sale entry '!$X$2:$X$1501=$A211)*('Daily Sale entry '!$Z$2:$Z$1501="Online collection 网上收款"),'Daily Sale entry '!$AA$2:$AA$1501,"")))</f>
        <v/>
      </c>
      <c r="D211" s="6">
        <f>IF($A211="","",ROUND(SUMIFS('Daily Sale entry '!$AC$2:$AC$1501,'Daily Sale entry '!$X$2:$X$1501,$A211,'Daily Sale entry '!$Z$2:$Z$1501,"Online collection 网上收款")-'Opening Balance'!$B$15*SUMPRODUCT(('Daily Sale entry '!$X$2:$X$1501=$A211)*('Daily Sale entry '!$Z$2:$Z$1501="Online collection 网上收款")*('Daily Sale entry '!$AA$2:$AA$1501&lt;&gt;"")*('Daily Sale entry '!$AC$2:$AC$1501-TRUNC('Daily Sale entry '!$AC$2:$AC$1501))),2))</f>
        <v/>
      </c>
      <c r="E211" s="6">
        <f>IF($A211="","",ROUND('Sales &amp; Collection'!I2922-'Sales &amp; Collection'!I2921,2))</f>
        <v/>
      </c>
      <c r="F211" s="6">
        <f>IF($A211="","",'Sales &amp; Collection'!L2914)</f>
        <v/>
      </c>
      <c r="H211" s="6">
        <f>IF($A211="","",K210)</f>
        <v/>
      </c>
      <c r="I211" s="6">
        <f>IF($A211="","",ROUND(B211+D211+E211,2))</f>
        <v/>
      </c>
      <c r="J211" s="6">
        <f>IF($A211="","",F211)</f>
        <v/>
      </c>
      <c r="K211" s="6">
        <f>IF($A211="","",ROUND(H211+I211-J211,2))</f>
        <v/>
      </c>
    </row>
    <row r="212">
      <c r="A212" s="5">
        <f>IF('Daily Sale entry '!A211="","",'Daily Sale entry '!A211)</f>
        <v/>
      </c>
      <c r="B212" s="6">
        <f>IF($A212="","",'Daily Sale entry '!F211)</f>
        <v/>
      </c>
      <c r="C212">
        <f t="array" ref="C212">IF($A212="","",_xlfn.TEXTJOIN(", ",TRUE,IF(('Daily Sale entry '!$X$2:$X$1501=$A212)*('Daily Sale entry '!$Z$2:$Z$1501="Online collection 网上收款"),'Daily Sale entry '!$AA$2:$AA$1501,"")))</f>
        <v/>
      </c>
      <c r="D212" s="6">
        <f>IF($A212="","",ROUND(SUMIFS('Daily Sale entry '!$AC$2:$AC$1501,'Daily Sale entry '!$X$2:$X$1501,$A212,'Daily Sale entry '!$Z$2:$Z$1501,"Online collection 网上收款")-'Opening Balance'!$B$15*SUMPRODUCT(('Daily Sale entry '!$X$2:$X$1501=$A212)*('Daily Sale entry '!$Z$2:$Z$1501="Online collection 网上收款")*('Daily Sale entry '!$AA$2:$AA$1501&lt;&gt;"")*('Daily Sale entry '!$AC$2:$AC$1501-TRUNC('Daily Sale entry '!$AC$2:$AC$1501))),2))</f>
        <v/>
      </c>
      <c r="E212" s="6">
        <f>IF($A212="","",ROUND('Sales &amp; Collection'!I2936-'Sales &amp; Collection'!I2935,2))</f>
        <v/>
      </c>
      <c r="F212" s="6">
        <f>IF($A212="","",'Sales &amp; Collection'!L2928)</f>
        <v/>
      </c>
      <c r="H212" s="6">
        <f>IF($A212="","",K211)</f>
        <v/>
      </c>
      <c r="I212" s="6">
        <f>IF($A212="","",ROUND(B212+D212+E212,2))</f>
        <v/>
      </c>
      <c r="J212" s="6">
        <f>IF($A212="","",F212)</f>
        <v/>
      </c>
      <c r="K212" s="6">
        <f>IF($A212="","",ROUND(H212+I212-J212,2))</f>
        <v/>
      </c>
    </row>
    <row r="213">
      <c r="A213" s="5">
        <f>IF('Daily Sale entry '!A212="","",'Daily Sale entry '!A212)</f>
        <v/>
      </c>
      <c r="B213" s="6">
        <f>IF($A213="","",'Daily Sale entry '!F212)</f>
        <v/>
      </c>
      <c r="C213">
        <f t="array" ref="C213">IF($A213="","",_xlfn.TEXTJOIN(", ",TRUE,IF(('Daily Sale entry '!$X$2:$X$1501=$A213)*('Daily Sale entry '!$Z$2:$Z$1501="Online collection 网上收款"),'Daily Sale entry '!$AA$2:$AA$1501,"")))</f>
        <v/>
      </c>
      <c r="D213" s="6">
        <f>IF($A213="","",ROUND(SUMIFS('Daily Sale entry '!$AC$2:$AC$1501,'Daily Sale entry '!$X$2:$X$1501,$A213,'Daily Sale entry '!$Z$2:$Z$1501,"Online collection 网上收款")-'Opening Balance'!$B$15*SUMPRODUCT(('Daily Sale entry '!$X$2:$X$1501=$A213)*('Daily Sale entry '!$Z$2:$Z$1501="Online collection 网上收款")*('Daily Sale entry '!$AA$2:$AA$1501&lt;&gt;"")*('Daily Sale entry '!$AC$2:$AC$1501-TRUNC('Daily Sale entry '!$AC$2:$AC$1501))),2))</f>
        <v/>
      </c>
      <c r="E213" s="6">
        <f>IF($A213="","",ROUND('Sales &amp; Collection'!I2950-'Sales &amp; Collection'!I2949,2))</f>
        <v/>
      </c>
      <c r="F213" s="6">
        <f>IF($A213="","",'Sales &amp; Collection'!L2942)</f>
        <v/>
      </c>
      <c r="H213" s="6">
        <f>IF($A213="","",K212)</f>
        <v/>
      </c>
      <c r="I213" s="6">
        <f>IF($A213="","",ROUND(B213+D213+E213,2))</f>
        <v/>
      </c>
      <c r="J213" s="6">
        <f>IF($A213="","",F213)</f>
        <v/>
      </c>
      <c r="K213" s="6">
        <f>IF($A213="","",ROUND(H213+I213-J213,2))</f>
        <v/>
      </c>
    </row>
    <row r="214">
      <c r="A214" s="5">
        <f>IF('Daily Sale entry '!A213="","",'Daily Sale entry '!A213)</f>
        <v/>
      </c>
      <c r="B214" s="6">
        <f>IF($A214="","",'Daily Sale entry '!F213)</f>
        <v/>
      </c>
      <c r="C214">
        <f t="array" ref="C214">IF($A214="","",_xlfn.TEXTJOIN(", ",TRUE,IF(('Daily Sale entry '!$X$2:$X$1501=$A214)*('Daily Sale entry '!$Z$2:$Z$1501="Online collection 网上收款"),'Daily Sale entry '!$AA$2:$AA$1501,"")))</f>
        <v/>
      </c>
      <c r="D214" s="6">
        <f>IF($A214="","",ROUND(SUMIFS('Daily Sale entry '!$AC$2:$AC$1501,'Daily Sale entry '!$X$2:$X$1501,$A214,'Daily Sale entry '!$Z$2:$Z$1501,"Online collection 网上收款")-'Opening Balance'!$B$15*SUMPRODUCT(('Daily Sale entry '!$X$2:$X$1501=$A214)*('Daily Sale entry '!$Z$2:$Z$1501="Online collection 网上收款")*('Daily Sale entry '!$AA$2:$AA$1501&lt;&gt;"")*('Daily Sale entry '!$AC$2:$AC$1501-TRUNC('Daily Sale entry '!$AC$2:$AC$1501))),2))</f>
        <v/>
      </c>
      <c r="E214" s="6">
        <f>IF($A214="","",ROUND('Sales &amp; Collection'!I2964-'Sales &amp; Collection'!I2963,2))</f>
        <v/>
      </c>
      <c r="F214" s="6">
        <f>IF($A214="","",'Sales &amp; Collection'!L2956)</f>
        <v/>
      </c>
      <c r="H214" s="6">
        <f>IF($A214="","",K213)</f>
        <v/>
      </c>
      <c r="I214" s="6">
        <f>IF($A214="","",ROUND(B214+D214+E214,2))</f>
        <v/>
      </c>
      <c r="J214" s="6">
        <f>IF($A214="","",F214)</f>
        <v/>
      </c>
      <c r="K214" s="6">
        <f>IF($A214="","",ROUND(H214+I214-J214,2))</f>
        <v/>
      </c>
    </row>
    <row r="215">
      <c r="A215" s="5">
        <f>IF('Daily Sale entry '!A214="","",'Daily Sale entry '!A214)</f>
        <v/>
      </c>
      <c r="B215" s="6">
        <f>IF($A215="","",'Daily Sale entry '!F214)</f>
        <v/>
      </c>
      <c r="C215">
        <f t="array" ref="C215">IF($A215="","",_xlfn.TEXTJOIN(", ",TRUE,IF(('Daily Sale entry '!$X$2:$X$1501=$A215)*('Daily Sale entry '!$Z$2:$Z$1501="Online collection 网上收款"),'Daily Sale entry '!$AA$2:$AA$1501,"")))</f>
        <v/>
      </c>
      <c r="D215" s="6">
        <f>IF($A215="","",ROUND(SUMIFS('Daily Sale entry '!$AC$2:$AC$1501,'Daily Sale entry '!$X$2:$X$1501,$A215,'Daily Sale entry '!$Z$2:$Z$1501,"Online collection 网上收款")-'Opening Balance'!$B$15*SUMPRODUCT(('Daily Sale entry '!$X$2:$X$1501=$A215)*('Daily Sale entry '!$Z$2:$Z$1501="Online collection 网上收款")*('Daily Sale entry '!$AA$2:$AA$1501&lt;&gt;"")*('Daily Sale entry '!$AC$2:$AC$1501-TRUNC('Daily Sale entry '!$AC$2:$AC$1501))),2))</f>
        <v/>
      </c>
      <c r="E215" s="6">
        <f>IF($A215="","",ROUND('Sales &amp; Collection'!I2978-'Sales &amp; Collection'!I2977,2))</f>
        <v/>
      </c>
      <c r="F215" s="6">
        <f>IF($A215="","",'Sales &amp; Collection'!L2970)</f>
        <v/>
      </c>
      <c r="H215" s="6">
        <f>IF($A215="","",K214)</f>
        <v/>
      </c>
      <c r="I215" s="6">
        <f>IF($A215="","",ROUND(B215+D215+E215,2))</f>
        <v/>
      </c>
      <c r="J215" s="6">
        <f>IF($A215="","",F215)</f>
        <v/>
      </c>
      <c r="K215" s="6">
        <f>IF($A215="","",ROUND(H215+I215-J215,2))</f>
        <v/>
      </c>
    </row>
    <row r="216">
      <c r="A216" s="5">
        <f>IF('Daily Sale entry '!A215="","",'Daily Sale entry '!A215)</f>
        <v/>
      </c>
      <c r="B216" s="6">
        <f>IF($A216="","",'Daily Sale entry '!F215)</f>
        <v/>
      </c>
      <c r="C216">
        <f t="array" ref="C216">IF($A216="","",_xlfn.TEXTJOIN(", ",TRUE,IF(('Daily Sale entry '!$X$2:$X$1501=$A216)*('Daily Sale entry '!$Z$2:$Z$1501="Online collection 网上收款"),'Daily Sale entry '!$AA$2:$AA$1501,"")))</f>
        <v/>
      </c>
      <c r="D216" s="6">
        <f>IF($A216="","",ROUND(SUMIFS('Daily Sale entry '!$AC$2:$AC$1501,'Daily Sale entry '!$X$2:$X$1501,$A216,'Daily Sale entry '!$Z$2:$Z$1501,"Online collection 网上收款")-'Opening Balance'!$B$15*SUMPRODUCT(('Daily Sale entry '!$X$2:$X$1501=$A216)*('Daily Sale entry '!$Z$2:$Z$1501="Online collection 网上收款")*('Daily Sale entry '!$AA$2:$AA$1501&lt;&gt;"")*('Daily Sale entry '!$AC$2:$AC$1501-TRUNC('Daily Sale entry '!$AC$2:$AC$1501))),2))</f>
        <v/>
      </c>
      <c r="E216" s="6">
        <f>IF($A216="","",ROUND('Sales &amp; Collection'!I2992-'Sales &amp; Collection'!I2991,2))</f>
        <v/>
      </c>
      <c r="F216" s="6">
        <f>IF($A216="","",'Sales &amp; Collection'!L2984)</f>
        <v/>
      </c>
      <c r="H216" s="6">
        <f>IF($A216="","",K215)</f>
        <v/>
      </c>
      <c r="I216" s="6">
        <f>IF($A216="","",ROUND(B216+D216+E216,2))</f>
        <v/>
      </c>
      <c r="J216" s="6">
        <f>IF($A216="","",F216)</f>
        <v/>
      </c>
      <c r="K216" s="6">
        <f>IF($A216="","",ROUND(H216+I216-J216,2))</f>
        <v/>
      </c>
    </row>
    <row r="217">
      <c r="A217" s="5">
        <f>IF('Daily Sale entry '!A216="","",'Daily Sale entry '!A216)</f>
        <v/>
      </c>
      <c r="B217" s="6">
        <f>IF($A217="","",'Daily Sale entry '!F216)</f>
        <v/>
      </c>
      <c r="C217">
        <f t="array" ref="C217">IF($A217="","",_xlfn.TEXTJOIN(", ",TRUE,IF(('Daily Sale entry '!$X$2:$X$1501=$A217)*('Daily Sale entry '!$Z$2:$Z$1501="Online collection 网上收款"),'Daily Sale entry '!$AA$2:$AA$1501,"")))</f>
        <v/>
      </c>
      <c r="D217" s="6">
        <f>IF($A217="","",ROUND(SUMIFS('Daily Sale entry '!$AC$2:$AC$1501,'Daily Sale entry '!$X$2:$X$1501,$A217,'Daily Sale entry '!$Z$2:$Z$1501,"Online collection 网上收款")-'Opening Balance'!$B$15*SUMPRODUCT(('Daily Sale entry '!$X$2:$X$1501=$A217)*('Daily Sale entry '!$Z$2:$Z$1501="Online collection 网上收款")*('Daily Sale entry '!$AA$2:$AA$1501&lt;&gt;"")*('Daily Sale entry '!$AC$2:$AC$1501-TRUNC('Daily Sale entry '!$AC$2:$AC$1501))),2))</f>
        <v/>
      </c>
      <c r="E217" s="6">
        <f>IF($A217="","",ROUND('Sales &amp; Collection'!I3006-'Sales &amp; Collection'!I3005,2))</f>
        <v/>
      </c>
      <c r="F217" s="6">
        <f>IF($A217="","",'Sales &amp; Collection'!L2998)</f>
        <v/>
      </c>
      <c r="H217" s="6">
        <f>IF($A217="","",K216)</f>
        <v/>
      </c>
      <c r="I217" s="6">
        <f>IF($A217="","",ROUND(B217+D217+E217,2))</f>
        <v/>
      </c>
      <c r="J217" s="6">
        <f>IF($A217="","",F217)</f>
        <v/>
      </c>
      <c r="K217" s="6">
        <f>IF($A217="","",ROUND(H217+I217-J217,2))</f>
        <v/>
      </c>
    </row>
    <row r="218">
      <c r="A218" s="5">
        <f>IF('Daily Sale entry '!A217="","",'Daily Sale entry '!A217)</f>
        <v/>
      </c>
      <c r="B218" s="6">
        <f>IF($A218="","",'Daily Sale entry '!F217)</f>
        <v/>
      </c>
      <c r="C218">
        <f t="array" ref="C218">IF($A218="","",_xlfn.TEXTJOIN(", ",TRUE,IF(('Daily Sale entry '!$X$2:$X$1501=$A218)*('Daily Sale entry '!$Z$2:$Z$1501="Online collection 网上收款"),'Daily Sale entry '!$AA$2:$AA$1501,"")))</f>
        <v/>
      </c>
      <c r="D218" s="6">
        <f>IF($A218="","",ROUND(SUMIFS('Daily Sale entry '!$AC$2:$AC$1501,'Daily Sale entry '!$X$2:$X$1501,$A218,'Daily Sale entry '!$Z$2:$Z$1501,"Online collection 网上收款")-'Opening Balance'!$B$15*SUMPRODUCT(('Daily Sale entry '!$X$2:$X$1501=$A218)*('Daily Sale entry '!$Z$2:$Z$1501="Online collection 网上收款")*('Daily Sale entry '!$AA$2:$AA$1501&lt;&gt;"")*('Daily Sale entry '!$AC$2:$AC$1501-TRUNC('Daily Sale entry '!$AC$2:$AC$1501))),2))</f>
        <v/>
      </c>
      <c r="E218" s="6">
        <f>IF($A218="","",ROUND('Sales &amp; Collection'!I3020-'Sales &amp; Collection'!I3019,2))</f>
        <v/>
      </c>
      <c r="F218" s="6">
        <f>IF($A218="","",'Sales &amp; Collection'!L3012)</f>
        <v/>
      </c>
      <c r="H218" s="6">
        <f>IF($A218="","",K217)</f>
        <v/>
      </c>
      <c r="I218" s="6">
        <f>IF($A218="","",ROUND(B218+D218+E218,2))</f>
        <v/>
      </c>
      <c r="J218" s="6">
        <f>IF($A218="","",F218)</f>
        <v/>
      </c>
      <c r="K218" s="6">
        <f>IF($A218="","",ROUND(H218+I218-J218,2))</f>
        <v/>
      </c>
    </row>
    <row r="219">
      <c r="A219" s="5">
        <f>IF('Daily Sale entry '!A218="","",'Daily Sale entry '!A218)</f>
        <v/>
      </c>
      <c r="B219" s="6">
        <f>IF($A219="","",'Daily Sale entry '!F218)</f>
        <v/>
      </c>
      <c r="C219">
        <f t="array" ref="C219">IF($A219="","",_xlfn.TEXTJOIN(", ",TRUE,IF(('Daily Sale entry '!$X$2:$X$1501=$A219)*('Daily Sale entry '!$Z$2:$Z$1501="Online collection 网上收款"),'Daily Sale entry '!$AA$2:$AA$1501,"")))</f>
        <v/>
      </c>
      <c r="D219" s="6">
        <f>IF($A219="","",ROUND(SUMIFS('Daily Sale entry '!$AC$2:$AC$1501,'Daily Sale entry '!$X$2:$X$1501,$A219,'Daily Sale entry '!$Z$2:$Z$1501,"Online collection 网上收款")-'Opening Balance'!$B$15*SUMPRODUCT(('Daily Sale entry '!$X$2:$X$1501=$A219)*('Daily Sale entry '!$Z$2:$Z$1501="Online collection 网上收款")*('Daily Sale entry '!$AA$2:$AA$1501&lt;&gt;"")*('Daily Sale entry '!$AC$2:$AC$1501-TRUNC('Daily Sale entry '!$AC$2:$AC$1501))),2))</f>
        <v/>
      </c>
      <c r="E219" s="6">
        <f>IF($A219="","",ROUND('Sales &amp; Collection'!I3034-'Sales &amp; Collection'!I3033,2))</f>
        <v/>
      </c>
      <c r="F219" s="6">
        <f>IF($A219="","",'Sales &amp; Collection'!L3026)</f>
        <v/>
      </c>
      <c r="H219" s="6">
        <f>IF($A219="","",K218)</f>
        <v/>
      </c>
      <c r="I219" s="6">
        <f>IF($A219="","",ROUND(B219+D219+E219,2))</f>
        <v/>
      </c>
      <c r="J219" s="6">
        <f>IF($A219="","",F219)</f>
        <v/>
      </c>
      <c r="K219" s="6">
        <f>IF($A219="","",ROUND(H219+I219-J219,2))</f>
        <v/>
      </c>
    </row>
    <row r="220">
      <c r="A220" s="5">
        <f>IF('Daily Sale entry '!A219="","",'Daily Sale entry '!A219)</f>
        <v/>
      </c>
      <c r="B220" s="6">
        <f>IF($A220="","",'Daily Sale entry '!F219)</f>
        <v/>
      </c>
      <c r="C220">
        <f t="array" ref="C220">IF($A220="","",_xlfn.TEXTJOIN(", ",TRUE,IF(('Daily Sale entry '!$X$2:$X$1501=$A220)*('Daily Sale entry '!$Z$2:$Z$1501="Online collection 网上收款"),'Daily Sale entry '!$AA$2:$AA$1501,"")))</f>
        <v/>
      </c>
      <c r="D220" s="6">
        <f>IF($A220="","",ROUND(SUMIFS('Daily Sale entry '!$AC$2:$AC$1501,'Daily Sale entry '!$X$2:$X$1501,$A220,'Daily Sale entry '!$Z$2:$Z$1501,"Online collection 网上收款")-'Opening Balance'!$B$15*SUMPRODUCT(('Daily Sale entry '!$X$2:$X$1501=$A220)*('Daily Sale entry '!$Z$2:$Z$1501="Online collection 网上收款")*('Daily Sale entry '!$AA$2:$AA$1501&lt;&gt;"")*('Daily Sale entry '!$AC$2:$AC$1501-TRUNC('Daily Sale entry '!$AC$2:$AC$1501))),2))</f>
        <v/>
      </c>
      <c r="E220" s="6">
        <f>IF($A220="","",ROUND('Sales &amp; Collection'!I3048-'Sales &amp; Collection'!I3047,2))</f>
        <v/>
      </c>
      <c r="F220" s="6">
        <f>IF($A220="","",'Sales &amp; Collection'!L3040)</f>
        <v/>
      </c>
      <c r="H220" s="6">
        <f>IF($A220="","",K219)</f>
        <v/>
      </c>
      <c r="I220" s="6">
        <f>IF($A220="","",ROUND(B220+D220+E220,2))</f>
        <v/>
      </c>
      <c r="J220" s="6">
        <f>IF($A220="","",F220)</f>
        <v/>
      </c>
      <c r="K220" s="6">
        <f>IF($A220="","",ROUND(H220+I220-J220,2))</f>
        <v/>
      </c>
    </row>
    <row r="221">
      <c r="A221" s="5">
        <f>IF('Daily Sale entry '!A220="","",'Daily Sale entry '!A220)</f>
        <v/>
      </c>
      <c r="B221" s="6">
        <f>IF($A221="","",'Daily Sale entry '!F220)</f>
        <v/>
      </c>
      <c r="C221">
        <f t="array" ref="C221">IF($A221="","",_xlfn.TEXTJOIN(", ",TRUE,IF(('Daily Sale entry '!$X$2:$X$1501=$A221)*('Daily Sale entry '!$Z$2:$Z$1501="Online collection 网上收款"),'Daily Sale entry '!$AA$2:$AA$1501,"")))</f>
        <v/>
      </c>
      <c r="D221" s="6">
        <f>IF($A221="","",ROUND(SUMIFS('Daily Sale entry '!$AC$2:$AC$1501,'Daily Sale entry '!$X$2:$X$1501,$A221,'Daily Sale entry '!$Z$2:$Z$1501,"Online collection 网上收款")-'Opening Balance'!$B$15*SUMPRODUCT(('Daily Sale entry '!$X$2:$X$1501=$A221)*('Daily Sale entry '!$Z$2:$Z$1501="Online collection 网上收款")*('Daily Sale entry '!$AA$2:$AA$1501&lt;&gt;"")*('Daily Sale entry '!$AC$2:$AC$1501-TRUNC('Daily Sale entry '!$AC$2:$AC$1501))),2))</f>
        <v/>
      </c>
      <c r="E221" s="6">
        <f>IF($A221="","",ROUND('Sales &amp; Collection'!I3062-'Sales &amp; Collection'!I3061,2))</f>
        <v/>
      </c>
      <c r="F221" s="6">
        <f>IF($A221="","",'Sales &amp; Collection'!L3054)</f>
        <v/>
      </c>
      <c r="H221" s="6">
        <f>IF($A221="","",K220)</f>
        <v/>
      </c>
      <c r="I221" s="6">
        <f>IF($A221="","",ROUND(B221+D221+E221,2))</f>
        <v/>
      </c>
      <c r="J221" s="6">
        <f>IF($A221="","",F221)</f>
        <v/>
      </c>
      <c r="K221" s="6">
        <f>IF($A221="","",ROUND(H221+I221-J221,2))</f>
        <v/>
      </c>
    </row>
    <row r="222">
      <c r="A222" s="5">
        <f>IF('Daily Sale entry '!A221="","",'Daily Sale entry '!A221)</f>
        <v/>
      </c>
      <c r="B222" s="6">
        <f>IF($A222="","",'Daily Sale entry '!F221)</f>
        <v/>
      </c>
      <c r="C222">
        <f t="array" ref="C222">IF($A222="","",_xlfn.TEXTJOIN(", ",TRUE,IF(('Daily Sale entry '!$X$2:$X$1501=$A222)*('Daily Sale entry '!$Z$2:$Z$1501="Online collection 网上收款"),'Daily Sale entry '!$AA$2:$AA$1501,"")))</f>
        <v/>
      </c>
      <c r="D222" s="6">
        <f>IF($A222="","",ROUND(SUMIFS('Daily Sale entry '!$AC$2:$AC$1501,'Daily Sale entry '!$X$2:$X$1501,$A222,'Daily Sale entry '!$Z$2:$Z$1501,"Online collection 网上收款")-'Opening Balance'!$B$15*SUMPRODUCT(('Daily Sale entry '!$X$2:$X$1501=$A222)*('Daily Sale entry '!$Z$2:$Z$1501="Online collection 网上收款")*('Daily Sale entry '!$AA$2:$AA$1501&lt;&gt;"")*('Daily Sale entry '!$AC$2:$AC$1501-TRUNC('Daily Sale entry '!$AC$2:$AC$1501))),2))</f>
        <v/>
      </c>
      <c r="E222" s="6">
        <f>IF($A222="","",ROUND('Sales &amp; Collection'!I3076-'Sales &amp; Collection'!I3075,2))</f>
        <v/>
      </c>
      <c r="F222" s="6">
        <f>IF($A222="","",'Sales &amp; Collection'!L3068)</f>
        <v/>
      </c>
      <c r="H222" s="6">
        <f>IF($A222="","",K221)</f>
        <v/>
      </c>
      <c r="I222" s="6">
        <f>IF($A222="","",ROUND(B222+D222+E222,2))</f>
        <v/>
      </c>
      <c r="J222" s="6">
        <f>IF($A222="","",F222)</f>
        <v/>
      </c>
      <c r="K222" s="6">
        <f>IF($A222="","",ROUND(H222+I222-J222,2))</f>
        <v/>
      </c>
    </row>
    <row r="223">
      <c r="A223" s="5">
        <f>IF('Daily Sale entry '!A222="","",'Daily Sale entry '!A222)</f>
        <v/>
      </c>
      <c r="B223" s="6">
        <f>IF($A223="","",'Daily Sale entry '!F222)</f>
        <v/>
      </c>
      <c r="C223">
        <f t="array" ref="C223">IF($A223="","",_xlfn.TEXTJOIN(", ",TRUE,IF(('Daily Sale entry '!$X$2:$X$1501=$A223)*('Daily Sale entry '!$Z$2:$Z$1501="Online collection 网上收款"),'Daily Sale entry '!$AA$2:$AA$1501,"")))</f>
        <v/>
      </c>
      <c r="D223" s="6">
        <f>IF($A223="","",ROUND(SUMIFS('Daily Sale entry '!$AC$2:$AC$1501,'Daily Sale entry '!$X$2:$X$1501,$A223,'Daily Sale entry '!$Z$2:$Z$1501,"Online collection 网上收款")-'Opening Balance'!$B$15*SUMPRODUCT(('Daily Sale entry '!$X$2:$X$1501=$A223)*('Daily Sale entry '!$Z$2:$Z$1501="Online collection 网上收款")*('Daily Sale entry '!$AA$2:$AA$1501&lt;&gt;"")*('Daily Sale entry '!$AC$2:$AC$1501-TRUNC('Daily Sale entry '!$AC$2:$AC$1501))),2))</f>
        <v/>
      </c>
      <c r="E223" s="6">
        <f>IF($A223="","",ROUND('Sales &amp; Collection'!I3090-'Sales &amp; Collection'!I3089,2))</f>
        <v/>
      </c>
      <c r="F223" s="6">
        <f>IF($A223="","",'Sales &amp; Collection'!L3082)</f>
        <v/>
      </c>
      <c r="H223" s="6">
        <f>IF($A223="","",K222)</f>
        <v/>
      </c>
      <c r="I223" s="6">
        <f>IF($A223="","",ROUND(B223+D223+E223,2))</f>
        <v/>
      </c>
      <c r="J223" s="6">
        <f>IF($A223="","",F223)</f>
        <v/>
      </c>
      <c r="K223" s="6">
        <f>IF($A223="","",ROUND(H223+I223-J223,2))</f>
        <v/>
      </c>
    </row>
    <row r="224">
      <c r="A224" s="5">
        <f>IF('Daily Sale entry '!A223="","",'Daily Sale entry '!A223)</f>
        <v/>
      </c>
      <c r="B224" s="6">
        <f>IF($A224="","",'Daily Sale entry '!F223)</f>
        <v/>
      </c>
      <c r="C224">
        <f t="array" ref="C224">IF($A224="","",_xlfn.TEXTJOIN(", ",TRUE,IF(('Daily Sale entry '!$X$2:$X$1501=$A224)*('Daily Sale entry '!$Z$2:$Z$1501="Online collection 网上收款"),'Daily Sale entry '!$AA$2:$AA$1501,"")))</f>
        <v/>
      </c>
      <c r="D224" s="6">
        <f>IF($A224="","",ROUND(SUMIFS('Daily Sale entry '!$AC$2:$AC$1501,'Daily Sale entry '!$X$2:$X$1501,$A224,'Daily Sale entry '!$Z$2:$Z$1501,"Online collection 网上收款")-'Opening Balance'!$B$15*SUMPRODUCT(('Daily Sale entry '!$X$2:$X$1501=$A224)*('Daily Sale entry '!$Z$2:$Z$1501="Online collection 网上收款")*('Daily Sale entry '!$AA$2:$AA$1501&lt;&gt;"")*('Daily Sale entry '!$AC$2:$AC$1501-TRUNC('Daily Sale entry '!$AC$2:$AC$1501))),2))</f>
        <v/>
      </c>
      <c r="E224" s="6">
        <f>IF($A224="","",ROUND('Sales &amp; Collection'!I3104-'Sales &amp; Collection'!I3103,2))</f>
        <v/>
      </c>
      <c r="F224" s="6">
        <f>IF($A224="","",'Sales &amp; Collection'!L3096)</f>
        <v/>
      </c>
      <c r="H224" s="6">
        <f>IF($A224="","",K223)</f>
        <v/>
      </c>
      <c r="I224" s="6">
        <f>IF($A224="","",ROUND(B224+D224+E224,2))</f>
        <v/>
      </c>
      <c r="J224" s="6">
        <f>IF($A224="","",F224)</f>
        <v/>
      </c>
      <c r="K224" s="6">
        <f>IF($A224="","",ROUND(H224+I224-J224,2))</f>
        <v/>
      </c>
    </row>
    <row r="225">
      <c r="A225" s="5">
        <f>IF('Daily Sale entry '!A224="","",'Daily Sale entry '!A224)</f>
        <v/>
      </c>
      <c r="B225" s="6">
        <f>IF($A225="","",'Daily Sale entry '!F224)</f>
        <v/>
      </c>
      <c r="C225">
        <f t="array" ref="C225">IF($A225="","",_xlfn.TEXTJOIN(", ",TRUE,IF(('Daily Sale entry '!$X$2:$X$1501=$A225)*('Daily Sale entry '!$Z$2:$Z$1501="Online collection 网上收款"),'Daily Sale entry '!$AA$2:$AA$1501,"")))</f>
        <v/>
      </c>
      <c r="D225" s="6">
        <f>IF($A225="","",ROUND(SUMIFS('Daily Sale entry '!$AC$2:$AC$1501,'Daily Sale entry '!$X$2:$X$1501,$A225,'Daily Sale entry '!$Z$2:$Z$1501,"Online collection 网上收款")-'Opening Balance'!$B$15*SUMPRODUCT(('Daily Sale entry '!$X$2:$X$1501=$A225)*('Daily Sale entry '!$Z$2:$Z$1501="Online collection 网上收款")*('Daily Sale entry '!$AA$2:$AA$1501&lt;&gt;"")*('Daily Sale entry '!$AC$2:$AC$1501-TRUNC('Daily Sale entry '!$AC$2:$AC$1501))),2))</f>
        <v/>
      </c>
      <c r="E225" s="6">
        <f>IF($A225="","",ROUND('Sales &amp; Collection'!I3118-'Sales &amp; Collection'!I3117,2))</f>
        <v/>
      </c>
      <c r="F225" s="6">
        <f>IF($A225="","",'Sales &amp; Collection'!L3110)</f>
        <v/>
      </c>
      <c r="H225" s="6">
        <f>IF($A225="","",K224)</f>
        <v/>
      </c>
      <c r="I225" s="6">
        <f>IF($A225="","",ROUND(B225+D225+E225,2))</f>
        <v/>
      </c>
      <c r="J225" s="6">
        <f>IF($A225="","",F225)</f>
        <v/>
      </c>
      <c r="K225" s="6">
        <f>IF($A225="","",ROUND(H225+I225-J225,2))</f>
        <v/>
      </c>
    </row>
    <row r="226">
      <c r="A226" s="5">
        <f>IF('Daily Sale entry '!A225="","",'Daily Sale entry '!A225)</f>
        <v/>
      </c>
      <c r="B226" s="6">
        <f>IF($A226="","",'Daily Sale entry '!F225)</f>
        <v/>
      </c>
      <c r="C226">
        <f t="array" ref="C226">IF($A226="","",_xlfn.TEXTJOIN(", ",TRUE,IF(('Daily Sale entry '!$X$2:$X$1501=$A226)*('Daily Sale entry '!$Z$2:$Z$1501="Online collection 网上收款"),'Daily Sale entry '!$AA$2:$AA$1501,"")))</f>
        <v/>
      </c>
      <c r="D226" s="6">
        <f>IF($A226="","",ROUND(SUMIFS('Daily Sale entry '!$AC$2:$AC$1501,'Daily Sale entry '!$X$2:$X$1501,$A226,'Daily Sale entry '!$Z$2:$Z$1501,"Online collection 网上收款")-'Opening Balance'!$B$15*SUMPRODUCT(('Daily Sale entry '!$X$2:$X$1501=$A226)*('Daily Sale entry '!$Z$2:$Z$1501="Online collection 网上收款")*('Daily Sale entry '!$AA$2:$AA$1501&lt;&gt;"")*('Daily Sale entry '!$AC$2:$AC$1501-TRUNC('Daily Sale entry '!$AC$2:$AC$1501))),2))</f>
        <v/>
      </c>
      <c r="E226" s="6">
        <f>IF($A226="","",ROUND('Sales &amp; Collection'!I3132-'Sales &amp; Collection'!I3131,2))</f>
        <v/>
      </c>
      <c r="F226" s="6">
        <f>IF($A226="","",'Sales &amp; Collection'!L3124)</f>
        <v/>
      </c>
      <c r="H226" s="6">
        <f>IF($A226="","",K225)</f>
        <v/>
      </c>
      <c r="I226" s="6">
        <f>IF($A226="","",ROUND(B226+D226+E226,2))</f>
        <v/>
      </c>
      <c r="J226" s="6">
        <f>IF($A226="","",F226)</f>
        <v/>
      </c>
      <c r="K226" s="6">
        <f>IF($A226="","",ROUND(H226+I226-J226,2))</f>
        <v/>
      </c>
    </row>
    <row r="227">
      <c r="A227" s="5">
        <f>IF('Daily Sale entry '!A226="","",'Daily Sale entry '!A226)</f>
        <v/>
      </c>
      <c r="B227" s="6">
        <f>IF($A227="","",'Daily Sale entry '!F226)</f>
        <v/>
      </c>
      <c r="C227">
        <f t="array" ref="C227">IF($A227="","",_xlfn.TEXTJOIN(", ",TRUE,IF(('Daily Sale entry '!$X$2:$X$1501=$A227)*('Daily Sale entry '!$Z$2:$Z$1501="Online collection 网上收款"),'Daily Sale entry '!$AA$2:$AA$1501,"")))</f>
        <v/>
      </c>
      <c r="D227" s="6">
        <f>IF($A227="","",ROUND(SUMIFS('Daily Sale entry '!$AC$2:$AC$1501,'Daily Sale entry '!$X$2:$X$1501,$A227,'Daily Sale entry '!$Z$2:$Z$1501,"Online collection 网上收款")-'Opening Balance'!$B$15*SUMPRODUCT(('Daily Sale entry '!$X$2:$X$1501=$A227)*('Daily Sale entry '!$Z$2:$Z$1501="Online collection 网上收款")*('Daily Sale entry '!$AA$2:$AA$1501&lt;&gt;"")*('Daily Sale entry '!$AC$2:$AC$1501-TRUNC('Daily Sale entry '!$AC$2:$AC$1501))),2))</f>
        <v/>
      </c>
      <c r="E227" s="6">
        <f>IF($A227="","",ROUND('Sales &amp; Collection'!I3146-'Sales &amp; Collection'!I3145,2))</f>
        <v/>
      </c>
      <c r="F227" s="6">
        <f>IF($A227="","",'Sales &amp; Collection'!L3138)</f>
        <v/>
      </c>
      <c r="H227" s="6">
        <f>IF($A227="","",K226)</f>
        <v/>
      </c>
      <c r="I227" s="6">
        <f>IF($A227="","",ROUND(B227+D227+E227,2))</f>
        <v/>
      </c>
      <c r="J227" s="6">
        <f>IF($A227="","",F227)</f>
        <v/>
      </c>
      <c r="K227" s="6">
        <f>IF($A227="","",ROUND(H227+I227-J227,2))</f>
        <v/>
      </c>
    </row>
    <row r="228">
      <c r="A228" s="5">
        <f>IF('Daily Sale entry '!A227="","",'Daily Sale entry '!A227)</f>
        <v/>
      </c>
      <c r="B228" s="6">
        <f>IF($A228="","",'Daily Sale entry '!F227)</f>
        <v/>
      </c>
      <c r="C228">
        <f t="array" ref="C228">IF($A228="","",_xlfn.TEXTJOIN(", ",TRUE,IF(('Daily Sale entry '!$X$2:$X$1501=$A228)*('Daily Sale entry '!$Z$2:$Z$1501="Online collection 网上收款"),'Daily Sale entry '!$AA$2:$AA$1501,"")))</f>
        <v/>
      </c>
      <c r="D228" s="6">
        <f>IF($A228="","",ROUND(SUMIFS('Daily Sale entry '!$AC$2:$AC$1501,'Daily Sale entry '!$X$2:$X$1501,$A228,'Daily Sale entry '!$Z$2:$Z$1501,"Online collection 网上收款")-'Opening Balance'!$B$15*SUMPRODUCT(('Daily Sale entry '!$X$2:$X$1501=$A228)*('Daily Sale entry '!$Z$2:$Z$1501="Online collection 网上收款")*('Daily Sale entry '!$AA$2:$AA$1501&lt;&gt;"")*('Daily Sale entry '!$AC$2:$AC$1501-TRUNC('Daily Sale entry '!$AC$2:$AC$1501))),2))</f>
        <v/>
      </c>
      <c r="E228" s="6">
        <f>IF($A228="","",ROUND('Sales &amp; Collection'!I3160-'Sales &amp; Collection'!I3159,2))</f>
        <v/>
      </c>
      <c r="F228" s="6">
        <f>IF($A228="","",'Sales &amp; Collection'!L3152)</f>
        <v/>
      </c>
      <c r="H228" s="6">
        <f>IF($A228="","",K227)</f>
        <v/>
      </c>
      <c r="I228" s="6">
        <f>IF($A228="","",ROUND(B228+D228+E228,2))</f>
        <v/>
      </c>
      <c r="J228" s="6">
        <f>IF($A228="","",F228)</f>
        <v/>
      </c>
      <c r="K228" s="6">
        <f>IF($A228="","",ROUND(H228+I228-J228,2))</f>
        <v/>
      </c>
    </row>
    <row r="229">
      <c r="A229" s="5">
        <f>IF('Daily Sale entry '!A228="","",'Daily Sale entry '!A228)</f>
        <v/>
      </c>
      <c r="B229" s="6">
        <f>IF($A229="","",'Daily Sale entry '!F228)</f>
        <v/>
      </c>
      <c r="C229">
        <f t="array" ref="C229">IF($A229="","",_xlfn.TEXTJOIN(", ",TRUE,IF(('Daily Sale entry '!$X$2:$X$1501=$A229)*('Daily Sale entry '!$Z$2:$Z$1501="Online collection 网上收款"),'Daily Sale entry '!$AA$2:$AA$1501,"")))</f>
        <v/>
      </c>
      <c r="D229" s="6">
        <f>IF($A229="","",ROUND(SUMIFS('Daily Sale entry '!$AC$2:$AC$1501,'Daily Sale entry '!$X$2:$X$1501,$A229,'Daily Sale entry '!$Z$2:$Z$1501,"Online collection 网上收款")-'Opening Balance'!$B$15*SUMPRODUCT(('Daily Sale entry '!$X$2:$X$1501=$A229)*('Daily Sale entry '!$Z$2:$Z$1501="Online collection 网上收款")*('Daily Sale entry '!$AA$2:$AA$1501&lt;&gt;"")*('Daily Sale entry '!$AC$2:$AC$1501-TRUNC('Daily Sale entry '!$AC$2:$AC$1501))),2))</f>
        <v/>
      </c>
      <c r="E229" s="6">
        <f>IF($A229="","",ROUND('Sales &amp; Collection'!I3174-'Sales &amp; Collection'!I3173,2))</f>
        <v/>
      </c>
      <c r="F229" s="6">
        <f>IF($A229="","",'Sales &amp; Collection'!L3166)</f>
        <v/>
      </c>
      <c r="H229" s="6">
        <f>IF($A229="","",K228)</f>
        <v/>
      </c>
      <c r="I229" s="6">
        <f>IF($A229="","",ROUND(B229+D229+E229,2))</f>
        <v/>
      </c>
      <c r="J229" s="6">
        <f>IF($A229="","",F229)</f>
        <v/>
      </c>
      <c r="K229" s="6">
        <f>IF($A229="","",ROUND(H229+I229-J229,2))</f>
        <v/>
      </c>
    </row>
    <row r="230">
      <c r="A230" s="5">
        <f>IF('Daily Sale entry '!A229="","",'Daily Sale entry '!A229)</f>
        <v/>
      </c>
      <c r="B230" s="6">
        <f>IF($A230="","",'Daily Sale entry '!F229)</f>
        <v/>
      </c>
      <c r="C230">
        <f t="array" ref="C230">IF($A230="","",_xlfn.TEXTJOIN(", ",TRUE,IF(('Daily Sale entry '!$X$2:$X$1501=$A230)*('Daily Sale entry '!$Z$2:$Z$1501="Online collection 网上收款"),'Daily Sale entry '!$AA$2:$AA$1501,"")))</f>
        <v/>
      </c>
      <c r="D230" s="6">
        <f>IF($A230="","",ROUND(SUMIFS('Daily Sale entry '!$AC$2:$AC$1501,'Daily Sale entry '!$X$2:$X$1501,$A230,'Daily Sale entry '!$Z$2:$Z$1501,"Online collection 网上收款")-'Opening Balance'!$B$15*SUMPRODUCT(('Daily Sale entry '!$X$2:$X$1501=$A230)*('Daily Sale entry '!$Z$2:$Z$1501="Online collection 网上收款")*('Daily Sale entry '!$AA$2:$AA$1501&lt;&gt;"")*('Daily Sale entry '!$AC$2:$AC$1501-TRUNC('Daily Sale entry '!$AC$2:$AC$1501))),2))</f>
        <v/>
      </c>
      <c r="E230" s="6">
        <f>IF($A230="","",ROUND('Sales &amp; Collection'!I3188-'Sales &amp; Collection'!I3187,2))</f>
        <v/>
      </c>
      <c r="F230" s="6">
        <f>IF($A230="","",'Sales &amp; Collection'!L3180)</f>
        <v/>
      </c>
      <c r="H230" s="6">
        <f>IF($A230="","",K229)</f>
        <v/>
      </c>
      <c r="I230" s="6">
        <f>IF($A230="","",ROUND(B230+D230+E230,2))</f>
        <v/>
      </c>
      <c r="J230" s="6">
        <f>IF($A230="","",F230)</f>
        <v/>
      </c>
      <c r="K230" s="6">
        <f>IF($A230="","",ROUND(H230+I230-J230,2))</f>
        <v/>
      </c>
    </row>
    <row r="231">
      <c r="A231" s="5">
        <f>IF('Daily Sale entry '!A230="","",'Daily Sale entry '!A230)</f>
        <v/>
      </c>
      <c r="B231" s="6">
        <f>IF($A231="","",'Daily Sale entry '!F230)</f>
        <v/>
      </c>
      <c r="C231">
        <f t="array" ref="C231">IF($A231="","",_xlfn.TEXTJOIN(", ",TRUE,IF(('Daily Sale entry '!$X$2:$X$1501=$A231)*('Daily Sale entry '!$Z$2:$Z$1501="Online collection 网上收款"),'Daily Sale entry '!$AA$2:$AA$1501,"")))</f>
        <v/>
      </c>
      <c r="D231" s="6">
        <f>IF($A231="","",ROUND(SUMIFS('Daily Sale entry '!$AC$2:$AC$1501,'Daily Sale entry '!$X$2:$X$1501,$A231,'Daily Sale entry '!$Z$2:$Z$1501,"Online collection 网上收款")-'Opening Balance'!$B$15*SUMPRODUCT(('Daily Sale entry '!$X$2:$X$1501=$A231)*('Daily Sale entry '!$Z$2:$Z$1501="Online collection 网上收款")*('Daily Sale entry '!$AA$2:$AA$1501&lt;&gt;"")*('Daily Sale entry '!$AC$2:$AC$1501-TRUNC('Daily Sale entry '!$AC$2:$AC$1501))),2))</f>
        <v/>
      </c>
      <c r="E231" s="6">
        <f>IF($A231="","",ROUND('Sales &amp; Collection'!I3202-'Sales &amp; Collection'!I3201,2))</f>
        <v/>
      </c>
      <c r="F231" s="6">
        <f>IF($A231="","",'Sales &amp; Collection'!L3194)</f>
        <v/>
      </c>
      <c r="H231" s="6">
        <f>IF($A231="","",K230)</f>
        <v/>
      </c>
      <c r="I231" s="6">
        <f>IF($A231="","",ROUND(B231+D231+E231,2))</f>
        <v/>
      </c>
      <c r="J231" s="6">
        <f>IF($A231="","",F231)</f>
        <v/>
      </c>
      <c r="K231" s="6">
        <f>IF($A231="","",ROUND(H231+I231-J231,2))</f>
        <v/>
      </c>
    </row>
    <row r="232">
      <c r="A232" s="5">
        <f>IF('Daily Sale entry '!A231="","",'Daily Sale entry '!A231)</f>
        <v/>
      </c>
      <c r="B232" s="6">
        <f>IF($A232="","",'Daily Sale entry '!F231)</f>
        <v/>
      </c>
      <c r="C232">
        <f t="array" ref="C232">IF($A232="","",_xlfn.TEXTJOIN(", ",TRUE,IF(('Daily Sale entry '!$X$2:$X$1501=$A232)*('Daily Sale entry '!$Z$2:$Z$1501="Online collection 网上收款"),'Daily Sale entry '!$AA$2:$AA$1501,"")))</f>
        <v/>
      </c>
      <c r="D232" s="6">
        <f>IF($A232="","",ROUND(SUMIFS('Daily Sale entry '!$AC$2:$AC$1501,'Daily Sale entry '!$X$2:$X$1501,$A232,'Daily Sale entry '!$Z$2:$Z$1501,"Online collection 网上收款")-'Opening Balance'!$B$15*SUMPRODUCT(('Daily Sale entry '!$X$2:$X$1501=$A232)*('Daily Sale entry '!$Z$2:$Z$1501="Online collection 网上收款")*('Daily Sale entry '!$AA$2:$AA$1501&lt;&gt;"")*('Daily Sale entry '!$AC$2:$AC$1501-TRUNC('Daily Sale entry '!$AC$2:$AC$1501))),2))</f>
        <v/>
      </c>
      <c r="E232" s="6">
        <f>IF($A232="","",ROUND('Sales &amp; Collection'!I3216-'Sales &amp; Collection'!I3215,2))</f>
        <v/>
      </c>
      <c r="F232" s="6">
        <f>IF($A232="","",'Sales &amp; Collection'!L3208)</f>
        <v/>
      </c>
      <c r="H232" s="6">
        <f>IF($A232="","",K231)</f>
        <v/>
      </c>
      <c r="I232" s="6">
        <f>IF($A232="","",ROUND(B232+D232+E232,2))</f>
        <v/>
      </c>
      <c r="J232" s="6">
        <f>IF($A232="","",F232)</f>
        <v/>
      </c>
      <c r="K232" s="6">
        <f>IF($A232="","",ROUND(H232+I232-J232,2))</f>
        <v/>
      </c>
    </row>
    <row r="233">
      <c r="A233" s="5">
        <f>IF('Daily Sale entry '!A232="","",'Daily Sale entry '!A232)</f>
        <v/>
      </c>
      <c r="B233" s="6">
        <f>IF($A233="","",'Daily Sale entry '!F232)</f>
        <v/>
      </c>
      <c r="C233">
        <f t="array" ref="C233">IF($A233="","",_xlfn.TEXTJOIN(", ",TRUE,IF(('Daily Sale entry '!$X$2:$X$1501=$A233)*('Daily Sale entry '!$Z$2:$Z$1501="Online collection 网上收款"),'Daily Sale entry '!$AA$2:$AA$1501,"")))</f>
        <v/>
      </c>
      <c r="D233" s="6">
        <f>IF($A233="","",ROUND(SUMIFS('Daily Sale entry '!$AC$2:$AC$1501,'Daily Sale entry '!$X$2:$X$1501,$A233,'Daily Sale entry '!$Z$2:$Z$1501,"Online collection 网上收款")-'Opening Balance'!$B$15*SUMPRODUCT(('Daily Sale entry '!$X$2:$X$1501=$A233)*('Daily Sale entry '!$Z$2:$Z$1501="Online collection 网上收款")*('Daily Sale entry '!$AA$2:$AA$1501&lt;&gt;"")*('Daily Sale entry '!$AC$2:$AC$1501-TRUNC('Daily Sale entry '!$AC$2:$AC$1501))),2))</f>
        <v/>
      </c>
      <c r="E233" s="6">
        <f>IF($A233="","",ROUND('Sales &amp; Collection'!I3230-'Sales &amp; Collection'!I3229,2))</f>
        <v/>
      </c>
      <c r="F233" s="6">
        <f>IF($A233="","",'Sales &amp; Collection'!L3222)</f>
        <v/>
      </c>
      <c r="H233" s="6">
        <f>IF($A233="","",K232)</f>
        <v/>
      </c>
      <c r="I233" s="6">
        <f>IF($A233="","",ROUND(B233+D233+E233,2))</f>
        <v/>
      </c>
      <c r="J233" s="6">
        <f>IF($A233="","",F233)</f>
        <v/>
      </c>
      <c r="K233" s="6">
        <f>IF($A233="","",ROUND(H233+I233-J233,2))</f>
        <v/>
      </c>
    </row>
    <row r="234">
      <c r="A234" s="5">
        <f>IF('Daily Sale entry '!A233="","",'Daily Sale entry '!A233)</f>
        <v/>
      </c>
      <c r="B234" s="6">
        <f>IF($A234="","",'Daily Sale entry '!F233)</f>
        <v/>
      </c>
      <c r="C234">
        <f t="array" ref="C234">IF($A234="","",_xlfn.TEXTJOIN(", ",TRUE,IF(('Daily Sale entry '!$X$2:$X$1501=$A234)*('Daily Sale entry '!$Z$2:$Z$1501="Online collection 网上收款"),'Daily Sale entry '!$AA$2:$AA$1501,"")))</f>
        <v/>
      </c>
      <c r="D234" s="6">
        <f>IF($A234="","",ROUND(SUMIFS('Daily Sale entry '!$AC$2:$AC$1501,'Daily Sale entry '!$X$2:$X$1501,$A234,'Daily Sale entry '!$Z$2:$Z$1501,"Online collection 网上收款")-'Opening Balance'!$B$15*SUMPRODUCT(('Daily Sale entry '!$X$2:$X$1501=$A234)*('Daily Sale entry '!$Z$2:$Z$1501="Online collection 网上收款")*('Daily Sale entry '!$AA$2:$AA$1501&lt;&gt;"")*('Daily Sale entry '!$AC$2:$AC$1501-TRUNC('Daily Sale entry '!$AC$2:$AC$1501))),2))</f>
        <v/>
      </c>
      <c r="E234" s="6">
        <f>IF($A234="","",ROUND('Sales &amp; Collection'!I3244-'Sales &amp; Collection'!I3243,2))</f>
        <v/>
      </c>
      <c r="F234" s="6">
        <f>IF($A234="","",'Sales &amp; Collection'!L3236)</f>
        <v/>
      </c>
      <c r="H234" s="6">
        <f>IF($A234="","",K233)</f>
        <v/>
      </c>
      <c r="I234" s="6">
        <f>IF($A234="","",ROUND(B234+D234+E234,2))</f>
        <v/>
      </c>
      <c r="J234" s="6">
        <f>IF($A234="","",F234)</f>
        <v/>
      </c>
      <c r="K234" s="6">
        <f>IF($A234="","",ROUND(H234+I234-J234,2))</f>
        <v/>
      </c>
    </row>
    <row r="235">
      <c r="A235" s="5">
        <f>IF('Daily Sale entry '!A234="","",'Daily Sale entry '!A234)</f>
        <v/>
      </c>
      <c r="B235" s="6">
        <f>IF($A235="","",'Daily Sale entry '!F234)</f>
        <v/>
      </c>
      <c r="C235">
        <f t="array" ref="C235">IF($A235="","",_xlfn.TEXTJOIN(", ",TRUE,IF(('Daily Sale entry '!$X$2:$X$1501=$A235)*('Daily Sale entry '!$Z$2:$Z$1501="Online collection 网上收款"),'Daily Sale entry '!$AA$2:$AA$1501,"")))</f>
        <v/>
      </c>
      <c r="D235" s="6">
        <f>IF($A235="","",ROUND(SUMIFS('Daily Sale entry '!$AC$2:$AC$1501,'Daily Sale entry '!$X$2:$X$1501,$A235,'Daily Sale entry '!$Z$2:$Z$1501,"Online collection 网上收款")-'Opening Balance'!$B$15*SUMPRODUCT(('Daily Sale entry '!$X$2:$X$1501=$A235)*('Daily Sale entry '!$Z$2:$Z$1501="Online collection 网上收款")*('Daily Sale entry '!$AA$2:$AA$1501&lt;&gt;"")*('Daily Sale entry '!$AC$2:$AC$1501-TRUNC('Daily Sale entry '!$AC$2:$AC$1501))),2))</f>
        <v/>
      </c>
      <c r="E235" s="6">
        <f>IF($A235="","",ROUND('Sales &amp; Collection'!I3258-'Sales &amp; Collection'!I3257,2))</f>
        <v/>
      </c>
      <c r="F235" s="6">
        <f>IF($A235="","",'Sales &amp; Collection'!L3250)</f>
        <v/>
      </c>
      <c r="H235" s="6">
        <f>IF($A235="","",K234)</f>
        <v/>
      </c>
      <c r="I235" s="6">
        <f>IF($A235="","",ROUND(B235+D235+E235,2))</f>
        <v/>
      </c>
      <c r="J235" s="6">
        <f>IF($A235="","",F235)</f>
        <v/>
      </c>
      <c r="K235" s="6">
        <f>IF($A235="","",ROUND(H235+I235-J235,2))</f>
        <v/>
      </c>
    </row>
    <row r="236">
      <c r="A236" s="5">
        <f>IF('Daily Sale entry '!A235="","",'Daily Sale entry '!A235)</f>
        <v/>
      </c>
      <c r="B236" s="6">
        <f>IF($A236="","",'Daily Sale entry '!F235)</f>
        <v/>
      </c>
      <c r="C236">
        <f t="array" ref="C236">IF($A236="","",_xlfn.TEXTJOIN(", ",TRUE,IF(('Daily Sale entry '!$X$2:$X$1501=$A236)*('Daily Sale entry '!$Z$2:$Z$1501="Online collection 网上收款"),'Daily Sale entry '!$AA$2:$AA$1501,"")))</f>
        <v/>
      </c>
      <c r="D236" s="6">
        <f>IF($A236="","",ROUND(SUMIFS('Daily Sale entry '!$AC$2:$AC$1501,'Daily Sale entry '!$X$2:$X$1501,$A236,'Daily Sale entry '!$Z$2:$Z$1501,"Online collection 网上收款")-'Opening Balance'!$B$15*SUMPRODUCT(('Daily Sale entry '!$X$2:$X$1501=$A236)*('Daily Sale entry '!$Z$2:$Z$1501="Online collection 网上收款")*('Daily Sale entry '!$AA$2:$AA$1501&lt;&gt;"")*('Daily Sale entry '!$AC$2:$AC$1501-TRUNC('Daily Sale entry '!$AC$2:$AC$1501))),2))</f>
        <v/>
      </c>
      <c r="E236" s="6">
        <f>IF($A236="","",ROUND('Sales &amp; Collection'!I3272-'Sales &amp; Collection'!I3271,2))</f>
        <v/>
      </c>
      <c r="F236" s="6">
        <f>IF($A236="","",'Sales &amp; Collection'!L3264)</f>
        <v/>
      </c>
      <c r="H236" s="6">
        <f>IF($A236="","",K235)</f>
        <v/>
      </c>
      <c r="I236" s="6">
        <f>IF($A236="","",ROUND(B236+D236+E236,2))</f>
        <v/>
      </c>
      <c r="J236" s="6">
        <f>IF($A236="","",F236)</f>
        <v/>
      </c>
      <c r="K236" s="6">
        <f>IF($A236="","",ROUND(H236+I236-J236,2))</f>
        <v/>
      </c>
    </row>
    <row r="237">
      <c r="A237" s="5">
        <f>IF('Daily Sale entry '!A236="","",'Daily Sale entry '!A236)</f>
        <v/>
      </c>
      <c r="B237" s="6">
        <f>IF($A237="","",'Daily Sale entry '!F236)</f>
        <v/>
      </c>
      <c r="C237">
        <f t="array" ref="C237">IF($A237="","",_xlfn.TEXTJOIN(", ",TRUE,IF(('Daily Sale entry '!$X$2:$X$1501=$A237)*('Daily Sale entry '!$Z$2:$Z$1501="Online collection 网上收款"),'Daily Sale entry '!$AA$2:$AA$1501,"")))</f>
        <v/>
      </c>
      <c r="D237" s="6">
        <f>IF($A237="","",ROUND(SUMIFS('Daily Sale entry '!$AC$2:$AC$1501,'Daily Sale entry '!$X$2:$X$1501,$A237,'Daily Sale entry '!$Z$2:$Z$1501,"Online collection 网上收款")-'Opening Balance'!$B$15*SUMPRODUCT(('Daily Sale entry '!$X$2:$X$1501=$A237)*('Daily Sale entry '!$Z$2:$Z$1501="Online collection 网上收款")*('Daily Sale entry '!$AA$2:$AA$1501&lt;&gt;"")*('Daily Sale entry '!$AC$2:$AC$1501-TRUNC('Daily Sale entry '!$AC$2:$AC$1501))),2))</f>
        <v/>
      </c>
      <c r="E237" s="6">
        <f>IF($A237="","",ROUND('Sales &amp; Collection'!I3286-'Sales &amp; Collection'!I3285,2))</f>
        <v/>
      </c>
      <c r="F237" s="6">
        <f>IF($A237="","",'Sales &amp; Collection'!L3278)</f>
        <v/>
      </c>
      <c r="H237" s="6">
        <f>IF($A237="","",K236)</f>
        <v/>
      </c>
      <c r="I237" s="6">
        <f>IF($A237="","",ROUND(B237+D237+E237,2))</f>
        <v/>
      </c>
      <c r="J237" s="6">
        <f>IF($A237="","",F237)</f>
        <v/>
      </c>
      <c r="K237" s="6">
        <f>IF($A237="","",ROUND(H237+I237-J237,2))</f>
        <v/>
      </c>
    </row>
    <row r="238">
      <c r="A238" s="5">
        <f>IF('Daily Sale entry '!A237="","",'Daily Sale entry '!A237)</f>
        <v/>
      </c>
      <c r="B238" s="6">
        <f>IF($A238="","",'Daily Sale entry '!F237)</f>
        <v/>
      </c>
      <c r="C238">
        <f t="array" ref="C238">IF($A238="","",_xlfn.TEXTJOIN(", ",TRUE,IF(('Daily Sale entry '!$X$2:$X$1501=$A238)*('Daily Sale entry '!$Z$2:$Z$1501="Online collection 网上收款"),'Daily Sale entry '!$AA$2:$AA$1501,"")))</f>
        <v/>
      </c>
      <c r="D238" s="6">
        <f>IF($A238="","",ROUND(SUMIFS('Daily Sale entry '!$AC$2:$AC$1501,'Daily Sale entry '!$X$2:$X$1501,$A238,'Daily Sale entry '!$Z$2:$Z$1501,"Online collection 网上收款")-'Opening Balance'!$B$15*SUMPRODUCT(('Daily Sale entry '!$X$2:$X$1501=$A238)*('Daily Sale entry '!$Z$2:$Z$1501="Online collection 网上收款")*('Daily Sale entry '!$AA$2:$AA$1501&lt;&gt;"")*('Daily Sale entry '!$AC$2:$AC$1501-TRUNC('Daily Sale entry '!$AC$2:$AC$1501))),2))</f>
        <v/>
      </c>
      <c r="E238" s="6">
        <f>IF($A238="","",ROUND('Sales &amp; Collection'!I3300-'Sales &amp; Collection'!I3299,2))</f>
        <v/>
      </c>
      <c r="F238" s="6">
        <f>IF($A238="","",'Sales &amp; Collection'!L3292)</f>
        <v/>
      </c>
      <c r="H238" s="6">
        <f>IF($A238="","",K237)</f>
        <v/>
      </c>
      <c r="I238" s="6">
        <f>IF($A238="","",ROUND(B238+D238+E238,2))</f>
        <v/>
      </c>
      <c r="J238" s="6">
        <f>IF($A238="","",F238)</f>
        <v/>
      </c>
      <c r="K238" s="6">
        <f>IF($A238="","",ROUND(H238+I238-J238,2))</f>
        <v/>
      </c>
    </row>
    <row r="239">
      <c r="A239" s="5">
        <f>IF('Daily Sale entry '!A238="","",'Daily Sale entry '!A238)</f>
        <v/>
      </c>
      <c r="B239" s="6">
        <f>IF($A239="","",'Daily Sale entry '!F238)</f>
        <v/>
      </c>
      <c r="C239">
        <f t="array" ref="C239">IF($A239="","",_xlfn.TEXTJOIN(", ",TRUE,IF(('Daily Sale entry '!$X$2:$X$1501=$A239)*('Daily Sale entry '!$Z$2:$Z$1501="Online collection 网上收款"),'Daily Sale entry '!$AA$2:$AA$1501,"")))</f>
        <v/>
      </c>
      <c r="D239" s="6">
        <f>IF($A239="","",ROUND(SUMIFS('Daily Sale entry '!$AC$2:$AC$1501,'Daily Sale entry '!$X$2:$X$1501,$A239,'Daily Sale entry '!$Z$2:$Z$1501,"Online collection 网上收款")-'Opening Balance'!$B$15*SUMPRODUCT(('Daily Sale entry '!$X$2:$X$1501=$A239)*('Daily Sale entry '!$Z$2:$Z$1501="Online collection 网上收款")*('Daily Sale entry '!$AA$2:$AA$1501&lt;&gt;"")*('Daily Sale entry '!$AC$2:$AC$1501-TRUNC('Daily Sale entry '!$AC$2:$AC$1501))),2))</f>
        <v/>
      </c>
      <c r="E239" s="6">
        <f>IF($A239="","",ROUND('Sales &amp; Collection'!I3314-'Sales &amp; Collection'!I3313,2))</f>
        <v/>
      </c>
      <c r="F239" s="6">
        <f>IF($A239="","",'Sales &amp; Collection'!L3306)</f>
        <v/>
      </c>
      <c r="H239" s="6">
        <f>IF($A239="","",K238)</f>
        <v/>
      </c>
      <c r="I239" s="6">
        <f>IF($A239="","",ROUND(B239+D239+E239,2))</f>
        <v/>
      </c>
      <c r="J239" s="6">
        <f>IF($A239="","",F239)</f>
        <v/>
      </c>
      <c r="K239" s="6">
        <f>IF($A239="","",ROUND(H239+I239-J239,2))</f>
        <v/>
      </c>
    </row>
    <row r="240">
      <c r="A240" s="5">
        <f>IF('Daily Sale entry '!A239="","",'Daily Sale entry '!A239)</f>
        <v/>
      </c>
      <c r="B240" s="6">
        <f>IF($A240="","",'Daily Sale entry '!F239)</f>
        <v/>
      </c>
      <c r="C240">
        <f t="array" ref="C240">IF($A240="","",_xlfn.TEXTJOIN(", ",TRUE,IF(('Daily Sale entry '!$X$2:$X$1501=$A240)*('Daily Sale entry '!$Z$2:$Z$1501="Online collection 网上收款"),'Daily Sale entry '!$AA$2:$AA$1501,"")))</f>
        <v/>
      </c>
      <c r="D240" s="6">
        <f>IF($A240="","",ROUND(SUMIFS('Daily Sale entry '!$AC$2:$AC$1501,'Daily Sale entry '!$X$2:$X$1501,$A240,'Daily Sale entry '!$Z$2:$Z$1501,"Online collection 网上收款")-'Opening Balance'!$B$15*SUMPRODUCT(('Daily Sale entry '!$X$2:$X$1501=$A240)*('Daily Sale entry '!$Z$2:$Z$1501="Online collection 网上收款")*('Daily Sale entry '!$AA$2:$AA$1501&lt;&gt;"")*('Daily Sale entry '!$AC$2:$AC$1501-TRUNC('Daily Sale entry '!$AC$2:$AC$1501))),2))</f>
        <v/>
      </c>
      <c r="E240" s="6">
        <f>IF($A240="","",ROUND('Sales &amp; Collection'!I3328-'Sales &amp; Collection'!I3327,2))</f>
        <v/>
      </c>
      <c r="F240" s="6">
        <f>IF($A240="","",'Sales &amp; Collection'!L3320)</f>
        <v/>
      </c>
      <c r="H240" s="6">
        <f>IF($A240="","",K239)</f>
        <v/>
      </c>
      <c r="I240" s="6">
        <f>IF($A240="","",ROUND(B240+D240+E240,2))</f>
        <v/>
      </c>
      <c r="J240" s="6">
        <f>IF($A240="","",F240)</f>
        <v/>
      </c>
      <c r="K240" s="6">
        <f>IF($A240="","",ROUND(H240+I240-J240,2))</f>
        <v/>
      </c>
    </row>
    <row r="241">
      <c r="A241" s="5">
        <f>IF('Daily Sale entry '!A240="","",'Daily Sale entry '!A240)</f>
        <v/>
      </c>
      <c r="B241" s="6">
        <f>IF($A241="","",'Daily Sale entry '!F240)</f>
        <v/>
      </c>
      <c r="C241">
        <f t="array" ref="C241">IF($A241="","",_xlfn.TEXTJOIN(", ",TRUE,IF(('Daily Sale entry '!$X$2:$X$1501=$A241)*('Daily Sale entry '!$Z$2:$Z$1501="Online collection 网上收款"),'Daily Sale entry '!$AA$2:$AA$1501,"")))</f>
        <v/>
      </c>
      <c r="D241" s="6">
        <f>IF($A241="","",ROUND(SUMIFS('Daily Sale entry '!$AC$2:$AC$1501,'Daily Sale entry '!$X$2:$X$1501,$A241,'Daily Sale entry '!$Z$2:$Z$1501,"Online collection 网上收款")-'Opening Balance'!$B$15*SUMPRODUCT(('Daily Sale entry '!$X$2:$X$1501=$A241)*('Daily Sale entry '!$Z$2:$Z$1501="Online collection 网上收款")*('Daily Sale entry '!$AA$2:$AA$1501&lt;&gt;"")*('Daily Sale entry '!$AC$2:$AC$1501-TRUNC('Daily Sale entry '!$AC$2:$AC$1501))),2))</f>
        <v/>
      </c>
      <c r="E241" s="6">
        <f>IF($A241="","",ROUND('Sales &amp; Collection'!I3342-'Sales &amp; Collection'!I3341,2))</f>
        <v/>
      </c>
      <c r="F241" s="6">
        <f>IF($A241="","",'Sales &amp; Collection'!L3334)</f>
        <v/>
      </c>
      <c r="H241" s="6">
        <f>IF($A241="","",K240)</f>
        <v/>
      </c>
      <c r="I241" s="6">
        <f>IF($A241="","",ROUND(B241+D241+E241,2))</f>
        <v/>
      </c>
      <c r="J241" s="6">
        <f>IF($A241="","",F241)</f>
        <v/>
      </c>
      <c r="K241" s="6">
        <f>IF($A241="","",ROUND(H241+I241-J241,2))</f>
        <v/>
      </c>
    </row>
    <row r="242">
      <c r="A242" s="5">
        <f>IF('Daily Sale entry '!A241="","",'Daily Sale entry '!A241)</f>
        <v/>
      </c>
      <c r="B242" s="6">
        <f>IF($A242="","",'Daily Sale entry '!F241)</f>
        <v/>
      </c>
      <c r="C242">
        <f t="array" ref="C242">IF($A242="","",_xlfn.TEXTJOIN(", ",TRUE,IF(('Daily Sale entry '!$X$2:$X$1501=$A242)*('Daily Sale entry '!$Z$2:$Z$1501="Online collection 网上收款"),'Daily Sale entry '!$AA$2:$AA$1501,"")))</f>
        <v/>
      </c>
      <c r="D242" s="6">
        <f>IF($A242="","",ROUND(SUMIFS('Daily Sale entry '!$AC$2:$AC$1501,'Daily Sale entry '!$X$2:$X$1501,$A242,'Daily Sale entry '!$Z$2:$Z$1501,"Online collection 网上收款")-'Opening Balance'!$B$15*SUMPRODUCT(('Daily Sale entry '!$X$2:$X$1501=$A242)*('Daily Sale entry '!$Z$2:$Z$1501="Online collection 网上收款")*('Daily Sale entry '!$AA$2:$AA$1501&lt;&gt;"")*('Daily Sale entry '!$AC$2:$AC$1501-TRUNC('Daily Sale entry '!$AC$2:$AC$1501))),2))</f>
        <v/>
      </c>
      <c r="E242" s="6">
        <f>IF($A242="","",ROUND('Sales &amp; Collection'!I3356-'Sales &amp; Collection'!I3355,2))</f>
        <v/>
      </c>
      <c r="F242" s="6">
        <f>IF($A242="","",'Sales &amp; Collection'!L3348)</f>
        <v/>
      </c>
      <c r="H242" s="6">
        <f>IF($A242="","",K241)</f>
        <v/>
      </c>
      <c r="I242" s="6">
        <f>IF($A242="","",ROUND(B242+D242+E242,2))</f>
        <v/>
      </c>
      <c r="J242" s="6">
        <f>IF($A242="","",F242)</f>
        <v/>
      </c>
      <c r="K242" s="6">
        <f>IF($A242="","",ROUND(H242+I242-J242,2))</f>
        <v/>
      </c>
    </row>
    <row r="243">
      <c r="A243" s="5">
        <f>IF('Daily Sale entry '!A242="","",'Daily Sale entry '!A242)</f>
        <v/>
      </c>
      <c r="B243" s="6">
        <f>IF($A243="","",'Daily Sale entry '!F242)</f>
        <v/>
      </c>
      <c r="C243">
        <f t="array" ref="C243">IF($A243="","",_xlfn.TEXTJOIN(", ",TRUE,IF(('Daily Sale entry '!$X$2:$X$1501=$A243)*('Daily Sale entry '!$Z$2:$Z$1501="Online collection 网上收款"),'Daily Sale entry '!$AA$2:$AA$1501,"")))</f>
        <v/>
      </c>
      <c r="D243" s="6">
        <f>IF($A243="","",ROUND(SUMIFS('Daily Sale entry '!$AC$2:$AC$1501,'Daily Sale entry '!$X$2:$X$1501,$A243,'Daily Sale entry '!$Z$2:$Z$1501,"Online collection 网上收款")-'Opening Balance'!$B$15*SUMPRODUCT(('Daily Sale entry '!$X$2:$X$1501=$A243)*('Daily Sale entry '!$Z$2:$Z$1501="Online collection 网上收款")*('Daily Sale entry '!$AA$2:$AA$1501&lt;&gt;"")*('Daily Sale entry '!$AC$2:$AC$1501-TRUNC('Daily Sale entry '!$AC$2:$AC$1501))),2))</f>
        <v/>
      </c>
      <c r="E243" s="6">
        <f>IF($A243="","",ROUND('Sales &amp; Collection'!I3370-'Sales &amp; Collection'!I3369,2))</f>
        <v/>
      </c>
      <c r="F243" s="6">
        <f>IF($A243="","",'Sales &amp; Collection'!L3362)</f>
        <v/>
      </c>
      <c r="H243" s="6">
        <f>IF($A243="","",K242)</f>
        <v/>
      </c>
      <c r="I243" s="6">
        <f>IF($A243="","",ROUND(B243+D243+E243,2))</f>
        <v/>
      </c>
      <c r="J243" s="6">
        <f>IF($A243="","",F243)</f>
        <v/>
      </c>
      <c r="K243" s="6">
        <f>IF($A243="","",ROUND(H243+I243-J243,2))</f>
        <v/>
      </c>
    </row>
    <row r="244">
      <c r="A244" s="5">
        <f>IF('Daily Sale entry '!A243="","",'Daily Sale entry '!A243)</f>
        <v/>
      </c>
      <c r="B244" s="6">
        <f>IF($A244="","",'Daily Sale entry '!F243)</f>
        <v/>
      </c>
      <c r="C244">
        <f t="array" ref="C244">IF($A244="","",_xlfn.TEXTJOIN(", ",TRUE,IF(('Daily Sale entry '!$X$2:$X$1501=$A244)*('Daily Sale entry '!$Z$2:$Z$1501="Online collection 网上收款"),'Daily Sale entry '!$AA$2:$AA$1501,"")))</f>
        <v/>
      </c>
      <c r="D244" s="6">
        <f>IF($A244="","",ROUND(SUMIFS('Daily Sale entry '!$AC$2:$AC$1501,'Daily Sale entry '!$X$2:$X$1501,$A244,'Daily Sale entry '!$Z$2:$Z$1501,"Online collection 网上收款")-'Opening Balance'!$B$15*SUMPRODUCT(('Daily Sale entry '!$X$2:$X$1501=$A244)*('Daily Sale entry '!$Z$2:$Z$1501="Online collection 网上收款")*('Daily Sale entry '!$AA$2:$AA$1501&lt;&gt;"")*('Daily Sale entry '!$AC$2:$AC$1501-TRUNC('Daily Sale entry '!$AC$2:$AC$1501))),2))</f>
        <v/>
      </c>
      <c r="E244" s="6">
        <f>IF($A244="","",ROUND('Sales &amp; Collection'!I3384-'Sales &amp; Collection'!I3383,2))</f>
        <v/>
      </c>
      <c r="F244" s="6">
        <f>IF($A244="","",'Sales &amp; Collection'!L3376)</f>
        <v/>
      </c>
      <c r="H244" s="6">
        <f>IF($A244="","",K243)</f>
        <v/>
      </c>
      <c r="I244" s="6">
        <f>IF($A244="","",ROUND(B244+D244+E244,2))</f>
        <v/>
      </c>
      <c r="J244" s="6">
        <f>IF($A244="","",F244)</f>
        <v/>
      </c>
      <c r="K244" s="6">
        <f>IF($A244="","",ROUND(H244+I244-J244,2))</f>
        <v/>
      </c>
    </row>
    <row r="245">
      <c r="A245" s="5">
        <f>IF('Daily Sale entry '!A244="","",'Daily Sale entry '!A244)</f>
        <v/>
      </c>
      <c r="B245" s="6">
        <f>IF($A245="","",'Daily Sale entry '!F244)</f>
        <v/>
      </c>
      <c r="C245">
        <f t="array" ref="C245">IF($A245="","",_xlfn.TEXTJOIN(", ",TRUE,IF(('Daily Sale entry '!$X$2:$X$1501=$A245)*('Daily Sale entry '!$Z$2:$Z$1501="Online collection 网上收款"),'Daily Sale entry '!$AA$2:$AA$1501,"")))</f>
        <v/>
      </c>
      <c r="D245" s="6">
        <f>IF($A245="","",ROUND(SUMIFS('Daily Sale entry '!$AC$2:$AC$1501,'Daily Sale entry '!$X$2:$X$1501,$A245,'Daily Sale entry '!$Z$2:$Z$1501,"Online collection 网上收款")-'Opening Balance'!$B$15*SUMPRODUCT(('Daily Sale entry '!$X$2:$X$1501=$A245)*('Daily Sale entry '!$Z$2:$Z$1501="Online collection 网上收款")*('Daily Sale entry '!$AA$2:$AA$1501&lt;&gt;"")*('Daily Sale entry '!$AC$2:$AC$1501-TRUNC('Daily Sale entry '!$AC$2:$AC$1501))),2))</f>
        <v/>
      </c>
      <c r="E245" s="6">
        <f>IF($A245="","",ROUND('Sales &amp; Collection'!I3398-'Sales &amp; Collection'!I3397,2))</f>
        <v/>
      </c>
      <c r="F245" s="6">
        <f>IF($A245="","",'Sales &amp; Collection'!L3390)</f>
        <v/>
      </c>
      <c r="H245" s="6">
        <f>IF($A245="","",K244)</f>
        <v/>
      </c>
      <c r="I245" s="6">
        <f>IF($A245="","",ROUND(B245+D245+E245,2))</f>
        <v/>
      </c>
      <c r="J245" s="6">
        <f>IF($A245="","",F245)</f>
        <v/>
      </c>
      <c r="K245" s="6">
        <f>IF($A245="","",ROUND(H245+I245-J245,2))</f>
        <v/>
      </c>
    </row>
    <row r="246">
      <c r="A246" s="5">
        <f>IF('Daily Sale entry '!A245="","",'Daily Sale entry '!A245)</f>
        <v/>
      </c>
      <c r="B246" s="6">
        <f>IF($A246="","",'Daily Sale entry '!F245)</f>
        <v/>
      </c>
      <c r="C246">
        <f t="array" ref="C246">IF($A246="","",_xlfn.TEXTJOIN(", ",TRUE,IF(('Daily Sale entry '!$X$2:$X$1501=$A246)*('Daily Sale entry '!$Z$2:$Z$1501="Online collection 网上收款"),'Daily Sale entry '!$AA$2:$AA$1501,"")))</f>
        <v/>
      </c>
      <c r="D246" s="6">
        <f>IF($A246="","",ROUND(SUMIFS('Daily Sale entry '!$AC$2:$AC$1501,'Daily Sale entry '!$X$2:$X$1501,$A246,'Daily Sale entry '!$Z$2:$Z$1501,"Online collection 网上收款")-'Opening Balance'!$B$15*SUMPRODUCT(('Daily Sale entry '!$X$2:$X$1501=$A246)*('Daily Sale entry '!$Z$2:$Z$1501="Online collection 网上收款")*('Daily Sale entry '!$AA$2:$AA$1501&lt;&gt;"")*('Daily Sale entry '!$AC$2:$AC$1501-TRUNC('Daily Sale entry '!$AC$2:$AC$1501))),2))</f>
        <v/>
      </c>
      <c r="E246" s="6">
        <f>IF($A246="","",ROUND('Sales &amp; Collection'!I3412-'Sales &amp; Collection'!I3411,2))</f>
        <v/>
      </c>
      <c r="F246" s="6">
        <f>IF($A246="","",'Sales &amp; Collection'!L3404)</f>
        <v/>
      </c>
      <c r="H246" s="6">
        <f>IF($A246="","",K245)</f>
        <v/>
      </c>
      <c r="I246" s="6">
        <f>IF($A246="","",ROUND(B246+D246+E246,2))</f>
        <v/>
      </c>
      <c r="J246" s="6">
        <f>IF($A246="","",F246)</f>
        <v/>
      </c>
      <c r="K246" s="6">
        <f>IF($A246="","",ROUND(H246+I246-J246,2))</f>
        <v/>
      </c>
    </row>
    <row r="247">
      <c r="A247" s="5">
        <f>IF('Daily Sale entry '!A246="","",'Daily Sale entry '!A246)</f>
        <v/>
      </c>
      <c r="B247" s="6">
        <f>IF($A247="","",'Daily Sale entry '!F246)</f>
        <v/>
      </c>
      <c r="C247">
        <f t="array" ref="C247">IF($A247="","",_xlfn.TEXTJOIN(", ",TRUE,IF(('Daily Sale entry '!$X$2:$X$1501=$A247)*('Daily Sale entry '!$Z$2:$Z$1501="Online collection 网上收款"),'Daily Sale entry '!$AA$2:$AA$1501,"")))</f>
        <v/>
      </c>
      <c r="D247" s="6">
        <f>IF($A247="","",ROUND(SUMIFS('Daily Sale entry '!$AC$2:$AC$1501,'Daily Sale entry '!$X$2:$X$1501,$A247,'Daily Sale entry '!$Z$2:$Z$1501,"Online collection 网上收款")-'Opening Balance'!$B$15*SUMPRODUCT(('Daily Sale entry '!$X$2:$X$1501=$A247)*('Daily Sale entry '!$Z$2:$Z$1501="Online collection 网上收款")*('Daily Sale entry '!$AA$2:$AA$1501&lt;&gt;"")*('Daily Sale entry '!$AC$2:$AC$1501-TRUNC('Daily Sale entry '!$AC$2:$AC$1501))),2))</f>
        <v/>
      </c>
      <c r="E247" s="6">
        <f>IF($A247="","",ROUND('Sales &amp; Collection'!I3426-'Sales &amp; Collection'!I3425,2))</f>
        <v/>
      </c>
      <c r="F247" s="6">
        <f>IF($A247="","",'Sales &amp; Collection'!L3418)</f>
        <v/>
      </c>
      <c r="H247" s="6">
        <f>IF($A247="","",K246)</f>
        <v/>
      </c>
      <c r="I247" s="6">
        <f>IF($A247="","",ROUND(B247+D247+E247,2))</f>
        <v/>
      </c>
      <c r="J247" s="6">
        <f>IF($A247="","",F247)</f>
        <v/>
      </c>
      <c r="K247" s="6">
        <f>IF($A247="","",ROUND(H247+I247-J247,2))</f>
        <v/>
      </c>
    </row>
    <row r="248">
      <c r="A248" s="5">
        <f>IF('Daily Sale entry '!A247="","",'Daily Sale entry '!A247)</f>
        <v/>
      </c>
      <c r="B248" s="6">
        <f>IF($A248="","",'Daily Sale entry '!F247)</f>
        <v/>
      </c>
      <c r="C248">
        <f t="array" ref="C248">IF($A248="","",_xlfn.TEXTJOIN(", ",TRUE,IF(('Daily Sale entry '!$X$2:$X$1501=$A248)*('Daily Sale entry '!$Z$2:$Z$1501="Online collection 网上收款"),'Daily Sale entry '!$AA$2:$AA$1501,"")))</f>
        <v/>
      </c>
      <c r="D248" s="6">
        <f>IF($A248="","",ROUND(SUMIFS('Daily Sale entry '!$AC$2:$AC$1501,'Daily Sale entry '!$X$2:$X$1501,$A248,'Daily Sale entry '!$Z$2:$Z$1501,"Online collection 网上收款")-'Opening Balance'!$B$15*SUMPRODUCT(('Daily Sale entry '!$X$2:$X$1501=$A248)*('Daily Sale entry '!$Z$2:$Z$1501="Online collection 网上收款")*('Daily Sale entry '!$AA$2:$AA$1501&lt;&gt;"")*('Daily Sale entry '!$AC$2:$AC$1501-TRUNC('Daily Sale entry '!$AC$2:$AC$1501))),2))</f>
        <v/>
      </c>
      <c r="E248" s="6">
        <f>IF($A248="","",ROUND('Sales &amp; Collection'!I3440-'Sales &amp; Collection'!I3439,2))</f>
        <v/>
      </c>
      <c r="F248" s="6">
        <f>IF($A248="","",'Sales &amp; Collection'!L3432)</f>
        <v/>
      </c>
      <c r="H248" s="6">
        <f>IF($A248="","",K247)</f>
        <v/>
      </c>
      <c r="I248" s="6">
        <f>IF($A248="","",ROUND(B248+D248+E248,2))</f>
        <v/>
      </c>
      <c r="J248" s="6">
        <f>IF($A248="","",F248)</f>
        <v/>
      </c>
      <c r="K248" s="6">
        <f>IF($A248="","",ROUND(H248+I248-J248,2))</f>
        <v/>
      </c>
    </row>
    <row r="249">
      <c r="A249" s="5">
        <f>IF('Daily Sale entry '!A248="","",'Daily Sale entry '!A248)</f>
        <v/>
      </c>
      <c r="B249" s="6">
        <f>IF($A249="","",'Daily Sale entry '!F248)</f>
        <v/>
      </c>
      <c r="C249">
        <f t="array" ref="C249">IF($A249="","",_xlfn.TEXTJOIN(", ",TRUE,IF(('Daily Sale entry '!$X$2:$X$1501=$A249)*('Daily Sale entry '!$Z$2:$Z$1501="Online collection 网上收款"),'Daily Sale entry '!$AA$2:$AA$1501,"")))</f>
        <v/>
      </c>
      <c r="D249" s="6">
        <f>IF($A249="","",ROUND(SUMIFS('Daily Sale entry '!$AC$2:$AC$1501,'Daily Sale entry '!$X$2:$X$1501,$A249,'Daily Sale entry '!$Z$2:$Z$1501,"Online collection 网上收款")-'Opening Balance'!$B$15*SUMPRODUCT(('Daily Sale entry '!$X$2:$X$1501=$A249)*('Daily Sale entry '!$Z$2:$Z$1501="Online collection 网上收款")*('Daily Sale entry '!$AA$2:$AA$1501&lt;&gt;"")*('Daily Sale entry '!$AC$2:$AC$1501-TRUNC('Daily Sale entry '!$AC$2:$AC$1501))),2))</f>
        <v/>
      </c>
      <c r="E249" s="6">
        <f>IF($A249="","",ROUND('Sales &amp; Collection'!I3454-'Sales &amp; Collection'!I3453,2))</f>
        <v/>
      </c>
      <c r="F249" s="6">
        <f>IF($A249="","",'Sales &amp; Collection'!L3446)</f>
        <v/>
      </c>
      <c r="H249" s="6">
        <f>IF($A249="","",K248)</f>
        <v/>
      </c>
      <c r="I249" s="6">
        <f>IF($A249="","",ROUND(B249+D249+E249,2))</f>
        <v/>
      </c>
      <c r="J249" s="6">
        <f>IF($A249="","",F249)</f>
        <v/>
      </c>
      <c r="K249" s="6">
        <f>IF($A249="","",ROUND(H249+I249-J249,2))</f>
        <v/>
      </c>
    </row>
    <row r="250">
      <c r="A250" s="5">
        <f>IF('Daily Sale entry '!A249="","",'Daily Sale entry '!A249)</f>
        <v/>
      </c>
      <c r="B250" s="6">
        <f>IF($A250="","",'Daily Sale entry '!F249)</f>
        <v/>
      </c>
      <c r="C250">
        <f t="array" ref="C250">IF($A250="","",_xlfn.TEXTJOIN(", ",TRUE,IF(('Daily Sale entry '!$X$2:$X$1501=$A250)*('Daily Sale entry '!$Z$2:$Z$1501="Online collection 网上收款"),'Daily Sale entry '!$AA$2:$AA$1501,"")))</f>
        <v/>
      </c>
      <c r="D250" s="6">
        <f>IF($A250="","",ROUND(SUMIFS('Daily Sale entry '!$AC$2:$AC$1501,'Daily Sale entry '!$X$2:$X$1501,$A250,'Daily Sale entry '!$Z$2:$Z$1501,"Online collection 网上收款")-'Opening Balance'!$B$15*SUMPRODUCT(('Daily Sale entry '!$X$2:$X$1501=$A250)*('Daily Sale entry '!$Z$2:$Z$1501="Online collection 网上收款")*('Daily Sale entry '!$AA$2:$AA$1501&lt;&gt;"")*('Daily Sale entry '!$AC$2:$AC$1501-TRUNC('Daily Sale entry '!$AC$2:$AC$1501))),2))</f>
        <v/>
      </c>
      <c r="E250" s="6">
        <f>IF($A250="","",ROUND('Sales &amp; Collection'!I3468-'Sales &amp; Collection'!I3467,2))</f>
        <v/>
      </c>
      <c r="F250" s="6">
        <f>IF($A250="","",'Sales &amp; Collection'!L3460)</f>
        <v/>
      </c>
      <c r="H250" s="6">
        <f>IF($A250="","",K249)</f>
        <v/>
      </c>
      <c r="I250" s="6">
        <f>IF($A250="","",ROUND(B250+D250+E250,2))</f>
        <v/>
      </c>
      <c r="J250" s="6">
        <f>IF($A250="","",F250)</f>
        <v/>
      </c>
      <c r="K250" s="6">
        <f>IF($A250="","",ROUND(H250+I250-J250,2))</f>
        <v/>
      </c>
    </row>
    <row r="251">
      <c r="A251" s="5">
        <f>IF('Daily Sale entry '!A250="","",'Daily Sale entry '!A250)</f>
        <v/>
      </c>
      <c r="B251" s="6">
        <f>IF($A251="","",'Daily Sale entry '!F250)</f>
        <v/>
      </c>
      <c r="C251">
        <f t="array" ref="C251">IF($A251="","",_xlfn.TEXTJOIN(", ",TRUE,IF(('Daily Sale entry '!$X$2:$X$1501=$A251)*('Daily Sale entry '!$Z$2:$Z$1501="Online collection 网上收款"),'Daily Sale entry '!$AA$2:$AA$1501,"")))</f>
        <v/>
      </c>
      <c r="D251" s="6">
        <f>IF($A251="","",ROUND(SUMIFS('Daily Sale entry '!$AC$2:$AC$1501,'Daily Sale entry '!$X$2:$X$1501,$A251,'Daily Sale entry '!$Z$2:$Z$1501,"Online collection 网上收款")-'Opening Balance'!$B$15*SUMPRODUCT(('Daily Sale entry '!$X$2:$X$1501=$A251)*('Daily Sale entry '!$Z$2:$Z$1501="Online collection 网上收款")*('Daily Sale entry '!$AA$2:$AA$1501&lt;&gt;"")*('Daily Sale entry '!$AC$2:$AC$1501-TRUNC('Daily Sale entry '!$AC$2:$AC$1501))),2))</f>
        <v/>
      </c>
      <c r="E251" s="6">
        <f>IF($A251="","",ROUND('Sales &amp; Collection'!I3482-'Sales &amp; Collection'!I3481,2))</f>
        <v/>
      </c>
      <c r="F251" s="6">
        <f>IF($A251="","",'Sales &amp; Collection'!L3474)</f>
        <v/>
      </c>
      <c r="H251" s="6">
        <f>IF($A251="","",K250)</f>
        <v/>
      </c>
      <c r="I251" s="6">
        <f>IF($A251="","",ROUND(B251+D251+E251,2))</f>
        <v/>
      </c>
      <c r="J251" s="6">
        <f>IF($A251="","",F251)</f>
        <v/>
      </c>
      <c r="K251" s="6">
        <f>IF($A251="","",ROUND(H251+I251-J251,2))</f>
        <v/>
      </c>
    </row>
    <row r="252">
      <c r="A252" s="5">
        <f>IF('Daily Sale entry '!A251="","",'Daily Sale entry '!A251)</f>
        <v/>
      </c>
      <c r="B252" s="6">
        <f>IF($A252="","",'Daily Sale entry '!F251)</f>
        <v/>
      </c>
      <c r="C252">
        <f t="array" ref="C252">IF($A252="","",_xlfn.TEXTJOIN(", ",TRUE,IF(('Daily Sale entry '!$X$2:$X$1501=$A252)*('Daily Sale entry '!$Z$2:$Z$1501="Online collection 网上收款"),'Daily Sale entry '!$AA$2:$AA$1501,"")))</f>
        <v/>
      </c>
      <c r="D252" s="6">
        <f>IF($A252="","",ROUND(SUMIFS('Daily Sale entry '!$AC$2:$AC$1501,'Daily Sale entry '!$X$2:$X$1501,$A252,'Daily Sale entry '!$Z$2:$Z$1501,"Online collection 网上收款")-'Opening Balance'!$B$15*SUMPRODUCT(('Daily Sale entry '!$X$2:$X$1501=$A252)*('Daily Sale entry '!$Z$2:$Z$1501="Online collection 网上收款")*('Daily Sale entry '!$AA$2:$AA$1501&lt;&gt;"")*('Daily Sale entry '!$AC$2:$AC$1501-TRUNC('Daily Sale entry '!$AC$2:$AC$1501))),2))</f>
        <v/>
      </c>
      <c r="E252" s="6">
        <f>IF($A252="","",ROUND('Sales &amp; Collection'!I3496-'Sales &amp; Collection'!I3495,2))</f>
        <v/>
      </c>
      <c r="F252" s="6">
        <f>IF($A252="","",'Sales &amp; Collection'!L3488)</f>
        <v/>
      </c>
      <c r="H252" s="6">
        <f>IF($A252="","",K251)</f>
        <v/>
      </c>
      <c r="I252" s="6">
        <f>IF($A252="","",ROUND(B252+D252+E252,2))</f>
        <v/>
      </c>
      <c r="J252" s="6">
        <f>IF($A252="","",F252)</f>
        <v/>
      </c>
      <c r="K252" s="6">
        <f>IF($A252="","",ROUND(H252+I252-J252,2))</f>
        <v/>
      </c>
    </row>
    <row r="253">
      <c r="A253" s="5">
        <f>IF('Daily Sale entry '!A252="","",'Daily Sale entry '!A252)</f>
        <v/>
      </c>
      <c r="B253" s="6">
        <f>IF($A253="","",'Daily Sale entry '!F252)</f>
        <v/>
      </c>
      <c r="C253">
        <f t="array" ref="C253">IF($A253="","",_xlfn.TEXTJOIN(", ",TRUE,IF(('Daily Sale entry '!$X$2:$X$1501=$A253)*('Daily Sale entry '!$Z$2:$Z$1501="Online collection 网上收款"),'Daily Sale entry '!$AA$2:$AA$1501,"")))</f>
        <v/>
      </c>
      <c r="D253" s="6">
        <f>IF($A253="","",ROUND(SUMIFS('Daily Sale entry '!$AC$2:$AC$1501,'Daily Sale entry '!$X$2:$X$1501,$A253,'Daily Sale entry '!$Z$2:$Z$1501,"Online collection 网上收款")-'Opening Balance'!$B$15*SUMPRODUCT(('Daily Sale entry '!$X$2:$X$1501=$A253)*('Daily Sale entry '!$Z$2:$Z$1501="Online collection 网上收款")*('Daily Sale entry '!$AA$2:$AA$1501&lt;&gt;"")*('Daily Sale entry '!$AC$2:$AC$1501-TRUNC('Daily Sale entry '!$AC$2:$AC$1501))),2))</f>
        <v/>
      </c>
      <c r="E253" s="6">
        <f>IF($A253="","",ROUND('Sales &amp; Collection'!I3510-'Sales &amp; Collection'!I3509,2))</f>
        <v/>
      </c>
      <c r="F253" s="6">
        <f>IF($A253="","",'Sales &amp; Collection'!L3502)</f>
        <v/>
      </c>
      <c r="H253" s="6">
        <f>IF($A253="","",K252)</f>
        <v/>
      </c>
      <c r="I253" s="6">
        <f>IF($A253="","",ROUND(B253+D253+E253,2))</f>
        <v/>
      </c>
      <c r="J253" s="6">
        <f>IF($A253="","",F253)</f>
        <v/>
      </c>
      <c r="K253" s="6">
        <f>IF($A253="","",ROUND(H253+I253-J253,2))</f>
        <v/>
      </c>
    </row>
    <row r="254">
      <c r="A254" s="5">
        <f>IF('Daily Sale entry '!A253="","",'Daily Sale entry '!A253)</f>
        <v/>
      </c>
      <c r="B254" s="6">
        <f>IF($A254="","",'Daily Sale entry '!F253)</f>
        <v/>
      </c>
      <c r="C254">
        <f t="array" ref="C254">IF($A254="","",_xlfn.TEXTJOIN(", ",TRUE,IF(('Daily Sale entry '!$X$2:$X$1501=$A254)*('Daily Sale entry '!$Z$2:$Z$1501="Online collection 网上收款"),'Daily Sale entry '!$AA$2:$AA$1501,"")))</f>
        <v/>
      </c>
      <c r="D254" s="6">
        <f>IF($A254="","",ROUND(SUMIFS('Daily Sale entry '!$AC$2:$AC$1501,'Daily Sale entry '!$X$2:$X$1501,$A254,'Daily Sale entry '!$Z$2:$Z$1501,"Online collection 网上收款")-'Opening Balance'!$B$15*SUMPRODUCT(('Daily Sale entry '!$X$2:$X$1501=$A254)*('Daily Sale entry '!$Z$2:$Z$1501="Online collection 网上收款")*('Daily Sale entry '!$AA$2:$AA$1501&lt;&gt;"")*('Daily Sale entry '!$AC$2:$AC$1501-TRUNC('Daily Sale entry '!$AC$2:$AC$1501))),2))</f>
        <v/>
      </c>
      <c r="E254" s="6">
        <f>IF($A254="","",ROUND('Sales &amp; Collection'!I3524-'Sales &amp; Collection'!I3523,2))</f>
        <v/>
      </c>
      <c r="F254" s="6">
        <f>IF($A254="","",'Sales &amp; Collection'!L3516)</f>
        <v/>
      </c>
      <c r="H254" s="6">
        <f>IF($A254="","",K253)</f>
        <v/>
      </c>
      <c r="I254" s="6">
        <f>IF($A254="","",ROUND(B254+D254+E254,2))</f>
        <v/>
      </c>
      <c r="J254" s="6">
        <f>IF($A254="","",F254)</f>
        <v/>
      </c>
      <c r="K254" s="6">
        <f>IF($A254="","",ROUND(H254+I254-J254,2))</f>
        <v/>
      </c>
    </row>
    <row r="255">
      <c r="A255" s="5">
        <f>IF('Daily Sale entry '!A254="","",'Daily Sale entry '!A254)</f>
        <v/>
      </c>
      <c r="B255" s="6">
        <f>IF($A255="","",'Daily Sale entry '!F254)</f>
        <v/>
      </c>
      <c r="C255">
        <f t="array" ref="C255">IF($A255="","",_xlfn.TEXTJOIN(", ",TRUE,IF(('Daily Sale entry '!$X$2:$X$1501=$A255)*('Daily Sale entry '!$Z$2:$Z$1501="Online collection 网上收款"),'Daily Sale entry '!$AA$2:$AA$1501,"")))</f>
        <v/>
      </c>
      <c r="D255" s="6">
        <f>IF($A255="","",ROUND(SUMIFS('Daily Sale entry '!$AC$2:$AC$1501,'Daily Sale entry '!$X$2:$X$1501,$A255,'Daily Sale entry '!$Z$2:$Z$1501,"Online collection 网上收款")-'Opening Balance'!$B$15*SUMPRODUCT(('Daily Sale entry '!$X$2:$X$1501=$A255)*('Daily Sale entry '!$Z$2:$Z$1501="Online collection 网上收款")*('Daily Sale entry '!$AA$2:$AA$1501&lt;&gt;"")*('Daily Sale entry '!$AC$2:$AC$1501-TRUNC('Daily Sale entry '!$AC$2:$AC$1501))),2))</f>
        <v/>
      </c>
      <c r="E255" s="6">
        <f>IF($A255="","",ROUND('Sales &amp; Collection'!I3538-'Sales &amp; Collection'!I3537,2))</f>
        <v/>
      </c>
      <c r="F255" s="6">
        <f>IF($A255="","",'Sales &amp; Collection'!L3530)</f>
        <v/>
      </c>
      <c r="H255" s="6">
        <f>IF($A255="","",K254)</f>
        <v/>
      </c>
      <c r="I255" s="6">
        <f>IF($A255="","",ROUND(B255+D255+E255,2))</f>
        <v/>
      </c>
      <c r="J255" s="6">
        <f>IF($A255="","",F255)</f>
        <v/>
      </c>
      <c r="K255" s="6">
        <f>IF($A255="","",ROUND(H255+I255-J255,2))</f>
        <v/>
      </c>
    </row>
    <row r="256">
      <c r="A256" s="5">
        <f>IF('Daily Sale entry '!A255="","",'Daily Sale entry '!A255)</f>
        <v/>
      </c>
      <c r="B256" s="6">
        <f>IF($A256="","",'Daily Sale entry '!F255)</f>
        <v/>
      </c>
      <c r="C256">
        <f t="array" ref="C256">IF($A256="","",_xlfn.TEXTJOIN(", ",TRUE,IF(('Daily Sale entry '!$X$2:$X$1501=$A256)*('Daily Sale entry '!$Z$2:$Z$1501="Online collection 网上收款"),'Daily Sale entry '!$AA$2:$AA$1501,"")))</f>
        <v/>
      </c>
      <c r="D256" s="6">
        <f>IF($A256="","",ROUND(SUMIFS('Daily Sale entry '!$AC$2:$AC$1501,'Daily Sale entry '!$X$2:$X$1501,$A256,'Daily Sale entry '!$Z$2:$Z$1501,"Online collection 网上收款")-'Opening Balance'!$B$15*SUMPRODUCT(('Daily Sale entry '!$X$2:$X$1501=$A256)*('Daily Sale entry '!$Z$2:$Z$1501="Online collection 网上收款")*('Daily Sale entry '!$AA$2:$AA$1501&lt;&gt;"")*('Daily Sale entry '!$AC$2:$AC$1501-TRUNC('Daily Sale entry '!$AC$2:$AC$1501))),2))</f>
        <v/>
      </c>
      <c r="E256" s="6">
        <f>IF($A256="","",ROUND('Sales &amp; Collection'!I3552-'Sales &amp; Collection'!I3551,2))</f>
        <v/>
      </c>
      <c r="F256" s="6">
        <f>IF($A256="","",'Sales &amp; Collection'!L3544)</f>
        <v/>
      </c>
      <c r="H256" s="6">
        <f>IF($A256="","",K255)</f>
        <v/>
      </c>
      <c r="I256" s="6">
        <f>IF($A256="","",ROUND(B256+D256+E256,2))</f>
        <v/>
      </c>
      <c r="J256" s="6">
        <f>IF($A256="","",F256)</f>
        <v/>
      </c>
      <c r="K256" s="6">
        <f>IF($A256="","",ROUND(H256+I256-J256,2))</f>
        <v/>
      </c>
    </row>
    <row r="257">
      <c r="A257" s="5">
        <f>IF('Daily Sale entry '!A256="","",'Daily Sale entry '!A256)</f>
        <v/>
      </c>
      <c r="B257" s="6">
        <f>IF($A257="","",'Daily Sale entry '!F256)</f>
        <v/>
      </c>
      <c r="C257">
        <f t="array" ref="C257">IF($A257="","",_xlfn.TEXTJOIN(", ",TRUE,IF(('Daily Sale entry '!$X$2:$X$1501=$A257)*('Daily Sale entry '!$Z$2:$Z$1501="Online collection 网上收款"),'Daily Sale entry '!$AA$2:$AA$1501,"")))</f>
        <v/>
      </c>
      <c r="D257" s="6">
        <f>IF($A257="","",ROUND(SUMIFS('Daily Sale entry '!$AC$2:$AC$1501,'Daily Sale entry '!$X$2:$X$1501,$A257,'Daily Sale entry '!$Z$2:$Z$1501,"Online collection 网上收款")-'Opening Balance'!$B$15*SUMPRODUCT(('Daily Sale entry '!$X$2:$X$1501=$A257)*('Daily Sale entry '!$Z$2:$Z$1501="Online collection 网上收款")*('Daily Sale entry '!$AA$2:$AA$1501&lt;&gt;"")*('Daily Sale entry '!$AC$2:$AC$1501-TRUNC('Daily Sale entry '!$AC$2:$AC$1501))),2))</f>
        <v/>
      </c>
      <c r="E257" s="6">
        <f>IF($A257="","",ROUND('Sales &amp; Collection'!I3566-'Sales &amp; Collection'!I3565,2))</f>
        <v/>
      </c>
      <c r="F257" s="6">
        <f>IF($A257="","",'Sales &amp; Collection'!L3558)</f>
        <v/>
      </c>
      <c r="H257" s="6">
        <f>IF($A257="","",K256)</f>
        <v/>
      </c>
      <c r="I257" s="6">
        <f>IF($A257="","",ROUND(B257+D257+E257,2))</f>
        <v/>
      </c>
      <c r="J257" s="6">
        <f>IF($A257="","",F257)</f>
        <v/>
      </c>
      <c r="K257" s="6">
        <f>IF($A257="","",ROUND(H257+I257-J257,2))</f>
        <v/>
      </c>
    </row>
    <row r="258">
      <c r="A258" s="5">
        <f>IF('Daily Sale entry '!A257="","",'Daily Sale entry '!A257)</f>
        <v/>
      </c>
      <c r="B258" s="6">
        <f>IF($A258="","",'Daily Sale entry '!F257)</f>
        <v/>
      </c>
      <c r="C258">
        <f t="array" ref="C258">IF($A258="","",_xlfn.TEXTJOIN(", ",TRUE,IF(('Daily Sale entry '!$X$2:$X$1501=$A258)*('Daily Sale entry '!$Z$2:$Z$1501="Online collection 网上收款"),'Daily Sale entry '!$AA$2:$AA$1501,"")))</f>
        <v/>
      </c>
      <c r="D258" s="6">
        <f>IF($A258="","",ROUND(SUMIFS('Daily Sale entry '!$AC$2:$AC$1501,'Daily Sale entry '!$X$2:$X$1501,$A258,'Daily Sale entry '!$Z$2:$Z$1501,"Online collection 网上收款")-'Opening Balance'!$B$15*SUMPRODUCT(('Daily Sale entry '!$X$2:$X$1501=$A258)*('Daily Sale entry '!$Z$2:$Z$1501="Online collection 网上收款")*('Daily Sale entry '!$AA$2:$AA$1501&lt;&gt;"")*('Daily Sale entry '!$AC$2:$AC$1501-TRUNC('Daily Sale entry '!$AC$2:$AC$1501))),2))</f>
        <v/>
      </c>
      <c r="E258" s="6">
        <f>IF($A258="","",ROUND('Sales &amp; Collection'!I3580-'Sales &amp; Collection'!I3579,2))</f>
        <v/>
      </c>
      <c r="F258" s="6">
        <f>IF($A258="","",'Sales &amp; Collection'!L3572)</f>
        <v/>
      </c>
      <c r="H258" s="6">
        <f>IF($A258="","",K257)</f>
        <v/>
      </c>
      <c r="I258" s="6">
        <f>IF($A258="","",ROUND(B258+D258+E258,2))</f>
        <v/>
      </c>
      <c r="J258" s="6">
        <f>IF($A258="","",F258)</f>
        <v/>
      </c>
      <c r="K258" s="6">
        <f>IF($A258="","",ROUND(H258+I258-J258,2))</f>
        <v/>
      </c>
    </row>
    <row r="259">
      <c r="A259" s="5">
        <f>IF('Daily Sale entry '!A258="","",'Daily Sale entry '!A258)</f>
        <v/>
      </c>
      <c r="B259" s="6">
        <f>IF($A259="","",'Daily Sale entry '!F258)</f>
        <v/>
      </c>
      <c r="C259">
        <f t="array" ref="C259">IF($A259="","",_xlfn.TEXTJOIN(", ",TRUE,IF(('Daily Sale entry '!$X$2:$X$1501=$A259)*('Daily Sale entry '!$Z$2:$Z$1501="Online collection 网上收款"),'Daily Sale entry '!$AA$2:$AA$1501,"")))</f>
        <v/>
      </c>
      <c r="D259" s="6">
        <f>IF($A259="","",ROUND(SUMIFS('Daily Sale entry '!$AC$2:$AC$1501,'Daily Sale entry '!$X$2:$X$1501,$A259,'Daily Sale entry '!$Z$2:$Z$1501,"Online collection 网上收款")-'Opening Balance'!$B$15*SUMPRODUCT(('Daily Sale entry '!$X$2:$X$1501=$A259)*('Daily Sale entry '!$Z$2:$Z$1501="Online collection 网上收款")*('Daily Sale entry '!$AA$2:$AA$1501&lt;&gt;"")*('Daily Sale entry '!$AC$2:$AC$1501-TRUNC('Daily Sale entry '!$AC$2:$AC$1501))),2))</f>
        <v/>
      </c>
      <c r="E259" s="6">
        <f>IF($A259="","",ROUND('Sales &amp; Collection'!I3594-'Sales &amp; Collection'!I3593,2))</f>
        <v/>
      </c>
      <c r="F259" s="6">
        <f>IF($A259="","",'Sales &amp; Collection'!L3586)</f>
        <v/>
      </c>
      <c r="H259" s="6">
        <f>IF($A259="","",K258)</f>
        <v/>
      </c>
      <c r="I259" s="6">
        <f>IF($A259="","",ROUND(B259+D259+E259,2))</f>
        <v/>
      </c>
      <c r="J259" s="6">
        <f>IF($A259="","",F259)</f>
        <v/>
      </c>
      <c r="K259" s="6">
        <f>IF($A259="","",ROUND(H259+I259-J259,2))</f>
        <v/>
      </c>
    </row>
    <row r="260">
      <c r="A260" s="5">
        <f>IF('Daily Sale entry '!A259="","",'Daily Sale entry '!A259)</f>
        <v/>
      </c>
      <c r="B260" s="6">
        <f>IF($A260="","",'Daily Sale entry '!F259)</f>
        <v/>
      </c>
      <c r="C260">
        <f t="array" ref="C260">IF($A260="","",_xlfn.TEXTJOIN(", ",TRUE,IF(('Daily Sale entry '!$X$2:$X$1501=$A260)*('Daily Sale entry '!$Z$2:$Z$1501="Online collection 网上收款"),'Daily Sale entry '!$AA$2:$AA$1501,"")))</f>
        <v/>
      </c>
      <c r="D260" s="6">
        <f>IF($A260="","",ROUND(SUMIFS('Daily Sale entry '!$AC$2:$AC$1501,'Daily Sale entry '!$X$2:$X$1501,$A260,'Daily Sale entry '!$Z$2:$Z$1501,"Online collection 网上收款")-'Opening Balance'!$B$15*SUMPRODUCT(('Daily Sale entry '!$X$2:$X$1501=$A260)*('Daily Sale entry '!$Z$2:$Z$1501="Online collection 网上收款")*('Daily Sale entry '!$AA$2:$AA$1501&lt;&gt;"")*('Daily Sale entry '!$AC$2:$AC$1501-TRUNC('Daily Sale entry '!$AC$2:$AC$1501))),2))</f>
        <v/>
      </c>
      <c r="E260" s="6">
        <f>IF($A260="","",ROUND('Sales &amp; Collection'!I3608-'Sales &amp; Collection'!I3607,2))</f>
        <v/>
      </c>
      <c r="F260" s="6">
        <f>IF($A260="","",'Sales &amp; Collection'!L3600)</f>
        <v/>
      </c>
      <c r="H260" s="6">
        <f>IF($A260="","",K259)</f>
        <v/>
      </c>
      <c r="I260" s="6">
        <f>IF($A260="","",ROUND(B260+D260+E260,2))</f>
        <v/>
      </c>
      <c r="J260" s="6">
        <f>IF($A260="","",F260)</f>
        <v/>
      </c>
      <c r="K260" s="6">
        <f>IF($A260="","",ROUND(H260+I260-J260,2))</f>
        <v/>
      </c>
    </row>
    <row r="261">
      <c r="A261" s="5">
        <f>IF('Daily Sale entry '!A260="","",'Daily Sale entry '!A260)</f>
        <v/>
      </c>
      <c r="B261" s="6">
        <f>IF($A261="","",'Daily Sale entry '!F260)</f>
        <v/>
      </c>
      <c r="C261">
        <f t="array" ref="C261">IF($A261="","",_xlfn.TEXTJOIN(", ",TRUE,IF(('Daily Sale entry '!$X$2:$X$1501=$A261)*('Daily Sale entry '!$Z$2:$Z$1501="Online collection 网上收款"),'Daily Sale entry '!$AA$2:$AA$1501,"")))</f>
        <v/>
      </c>
      <c r="D261" s="6">
        <f>IF($A261="","",ROUND(SUMIFS('Daily Sale entry '!$AC$2:$AC$1501,'Daily Sale entry '!$X$2:$X$1501,$A261,'Daily Sale entry '!$Z$2:$Z$1501,"Online collection 网上收款")-'Opening Balance'!$B$15*SUMPRODUCT(('Daily Sale entry '!$X$2:$X$1501=$A261)*('Daily Sale entry '!$Z$2:$Z$1501="Online collection 网上收款")*('Daily Sale entry '!$AA$2:$AA$1501&lt;&gt;"")*('Daily Sale entry '!$AC$2:$AC$1501-TRUNC('Daily Sale entry '!$AC$2:$AC$1501))),2))</f>
        <v/>
      </c>
      <c r="E261" s="6">
        <f>IF($A261="","",ROUND('Sales &amp; Collection'!I3622-'Sales &amp; Collection'!I3621,2))</f>
        <v/>
      </c>
      <c r="F261" s="6">
        <f>IF($A261="","",'Sales &amp; Collection'!L3614)</f>
        <v/>
      </c>
      <c r="H261" s="6">
        <f>IF($A261="","",K260)</f>
        <v/>
      </c>
      <c r="I261" s="6">
        <f>IF($A261="","",ROUND(B261+D261+E261,2))</f>
        <v/>
      </c>
      <c r="J261" s="6">
        <f>IF($A261="","",F261)</f>
        <v/>
      </c>
      <c r="K261" s="6">
        <f>IF($A261="","",ROUND(H261+I261-J261,2))</f>
        <v/>
      </c>
    </row>
    <row r="262">
      <c r="A262" s="5">
        <f>IF('Daily Sale entry '!A261="","",'Daily Sale entry '!A261)</f>
        <v/>
      </c>
      <c r="B262" s="6">
        <f>IF($A262="","",'Daily Sale entry '!F261)</f>
        <v/>
      </c>
      <c r="C262">
        <f t="array" ref="C262">IF($A262="","",_xlfn.TEXTJOIN(", ",TRUE,IF(('Daily Sale entry '!$X$2:$X$1501=$A262)*('Daily Sale entry '!$Z$2:$Z$1501="Online collection 网上收款"),'Daily Sale entry '!$AA$2:$AA$1501,"")))</f>
        <v/>
      </c>
      <c r="D262" s="6">
        <f>IF($A262="","",ROUND(SUMIFS('Daily Sale entry '!$AC$2:$AC$1501,'Daily Sale entry '!$X$2:$X$1501,$A262,'Daily Sale entry '!$Z$2:$Z$1501,"Online collection 网上收款")-'Opening Balance'!$B$15*SUMPRODUCT(('Daily Sale entry '!$X$2:$X$1501=$A262)*('Daily Sale entry '!$Z$2:$Z$1501="Online collection 网上收款")*('Daily Sale entry '!$AA$2:$AA$1501&lt;&gt;"")*('Daily Sale entry '!$AC$2:$AC$1501-TRUNC('Daily Sale entry '!$AC$2:$AC$1501))),2))</f>
        <v/>
      </c>
      <c r="E262" s="6">
        <f>IF($A262="","",ROUND('Sales &amp; Collection'!I3636-'Sales &amp; Collection'!I3635,2))</f>
        <v/>
      </c>
      <c r="F262" s="6">
        <f>IF($A262="","",'Sales &amp; Collection'!L3628)</f>
        <v/>
      </c>
      <c r="H262" s="6">
        <f>IF($A262="","",K261)</f>
        <v/>
      </c>
      <c r="I262" s="6">
        <f>IF($A262="","",ROUND(B262+D262+E262,2))</f>
        <v/>
      </c>
      <c r="J262" s="6">
        <f>IF($A262="","",F262)</f>
        <v/>
      </c>
      <c r="K262" s="6">
        <f>IF($A262="","",ROUND(H262+I262-J262,2))</f>
        <v/>
      </c>
    </row>
    <row r="263">
      <c r="A263" s="5">
        <f>IF('Daily Sale entry '!A262="","",'Daily Sale entry '!A262)</f>
        <v/>
      </c>
      <c r="B263" s="6">
        <f>IF($A263="","",'Daily Sale entry '!F262)</f>
        <v/>
      </c>
      <c r="C263">
        <f t="array" ref="C263">IF($A263="","",_xlfn.TEXTJOIN(", ",TRUE,IF(('Daily Sale entry '!$X$2:$X$1501=$A263)*('Daily Sale entry '!$Z$2:$Z$1501="Online collection 网上收款"),'Daily Sale entry '!$AA$2:$AA$1501,"")))</f>
        <v/>
      </c>
      <c r="D263" s="6">
        <f>IF($A263="","",ROUND(SUMIFS('Daily Sale entry '!$AC$2:$AC$1501,'Daily Sale entry '!$X$2:$X$1501,$A263,'Daily Sale entry '!$Z$2:$Z$1501,"Online collection 网上收款")-'Opening Balance'!$B$15*SUMPRODUCT(('Daily Sale entry '!$X$2:$X$1501=$A263)*('Daily Sale entry '!$Z$2:$Z$1501="Online collection 网上收款")*('Daily Sale entry '!$AA$2:$AA$1501&lt;&gt;"")*('Daily Sale entry '!$AC$2:$AC$1501-TRUNC('Daily Sale entry '!$AC$2:$AC$1501))),2))</f>
        <v/>
      </c>
      <c r="E263" s="6">
        <f>IF($A263="","",ROUND('Sales &amp; Collection'!I3650-'Sales &amp; Collection'!I3649,2))</f>
        <v/>
      </c>
      <c r="F263" s="6">
        <f>IF($A263="","",'Sales &amp; Collection'!L3642)</f>
        <v/>
      </c>
      <c r="H263" s="6">
        <f>IF($A263="","",K262)</f>
        <v/>
      </c>
      <c r="I263" s="6">
        <f>IF($A263="","",ROUND(B263+D263+E263,2))</f>
        <v/>
      </c>
      <c r="J263" s="6">
        <f>IF($A263="","",F263)</f>
        <v/>
      </c>
      <c r="K263" s="6">
        <f>IF($A263="","",ROUND(H263+I263-J263,2))</f>
        <v/>
      </c>
    </row>
    <row r="264">
      <c r="A264" s="5">
        <f>IF('Daily Sale entry '!A263="","",'Daily Sale entry '!A263)</f>
        <v/>
      </c>
      <c r="B264" s="6">
        <f>IF($A264="","",'Daily Sale entry '!F263)</f>
        <v/>
      </c>
      <c r="C264">
        <f t="array" ref="C264">IF($A264="","",_xlfn.TEXTJOIN(", ",TRUE,IF(('Daily Sale entry '!$X$2:$X$1501=$A264)*('Daily Sale entry '!$Z$2:$Z$1501="Online collection 网上收款"),'Daily Sale entry '!$AA$2:$AA$1501,"")))</f>
        <v/>
      </c>
      <c r="D264" s="6">
        <f>IF($A264="","",ROUND(SUMIFS('Daily Sale entry '!$AC$2:$AC$1501,'Daily Sale entry '!$X$2:$X$1501,$A264,'Daily Sale entry '!$Z$2:$Z$1501,"Online collection 网上收款")-'Opening Balance'!$B$15*SUMPRODUCT(('Daily Sale entry '!$X$2:$X$1501=$A264)*('Daily Sale entry '!$Z$2:$Z$1501="Online collection 网上收款")*('Daily Sale entry '!$AA$2:$AA$1501&lt;&gt;"")*('Daily Sale entry '!$AC$2:$AC$1501-TRUNC('Daily Sale entry '!$AC$2:$AC$1501))),2))</f>
        <v/>
      </c>
      <c r="E264" s="6">
        <f>IF($A264="","",ROUND('Sales &amp; Collection'!I3664-'Sales &amp; Collection'!I3663,2))</f>
        <v/>
      </c>
      <c r="F264" s="6">
        <f>IF($A264="","",'Sales &amp; Collection'!L3656)</f>
        <v/>
      </c>
      <c r="H264" s="6">
        <f>IF($A264="","",K263)</f>
        <v/>
      </c>
      <c r="I264" s="6">
        <f>IF($A264="","",ROUND(B264+D264+E264,2))</f>
        <v/>
      </c>
      <c r="J264" s="6">
        <f>IF($A264="","",F264)</f>
        <v/>
      </c>
      <c r="K264" s="6">
        <f>IF($A264="","",ROUND(H264+I264-J264,2))</f>
        <v/>
      </c>
    </row>
    <row r="265">
      <c r="A265" s="5">
        <f>IF('Daily Sale entry '!A264="","",'Daily Sale entry '!A264)</f>
        <v/>
      </c>
      <c r="B265" s="6">
        <f>IF($A265="","",'Daily Sale entry '!F264)</f>
        <v/>
      </c>
      <c r="C265">
        <f t="array" ref="C265">IF($A265="","",_xlfn.TEXTJOIN(", ",TRUE,IF(('Daily Sale entry '!$X$2:$X$1501=$A265)*('Daily Sale entry '!$Z$2:$Z$1501="Online collection 网上收款"),'Daily Sale entry '!$AA$2:$AA$1501,"")))</f>
        <v/>
      </c>
      <c r="D265" s="6">
        <f>IF($A265="","",ROUND(SUMIFS('Daily Sale entry '!$AC$2:$AC$1501,'Daily Sale entry '!$X$2:$X$1501,$A265,'Daily Sale entry '!$Z$2:$Z$1501,"Online collection 网上收款")-'Opening Balance'!$B$15*SUMPRODUCT(('Daily Sale entry '!$X$2:$X$1501=$A265)*('Daily Sale entry '!$Z$2:$Z$1501="Online collection 网上收款")*('Daily Sale entry '!$AA$2:$AA$1501&lt;&gt;"")*('Daily Sale entry '!$AC$2:$AC$1501-TRUNC('Daily Sale entry '!$AC$2:$AC$1501))),2))</f>
        <v/>
      </c>
      <c r="E265" s="6">
        <f>IF($A265="","",ROUND('Sales &amp; Collection'!I3678-'Sales &amp; Collection'!I3677,2))</f>
        <v/>
      </c>
      <c r="F265" s="6">
        <f>IF($A265="","",'Sales &amp; Collection'!L3670)</f>
        <v/>
      </c>
      <c r="H265" s="6">
        <f>IF($A265="","",K264)</f>
        <v/>
      </c>
      <c r="I265" s="6">
        <f>IF($A265="","",ROUND(B265+D265+E265,2))</f>
        <v/>
      </c>
      <c r="J265" s="6">
        <f>IF($A265="","",F265)</f>
        <v/>
      </c>
      <c r="K265" s="6">
        <f>IF($A265="","",ROUND(H265+I265-J265,2))</f>
        <v/>
      </c>
    </row>
    <row r="266">
      <c r="A266" s="5">
        <f>IF('Daily Sale entry '!A265="","",'Daily Sale entry '!A265)</f>
        <v/>
      </c>
      <c r="B266" s="6">
        <f>IF($A266="","",'Daily Sale entry '!F265)</f>
        <v/>
      </c>
      <c r="C266">
        <f t="array" ref="C266">IF($A266="","",_xlfn.TEXTJOIN(", ",TRUE,IF(('Daily Sale entry '!$X$2:$X$1501=$A266)*('Daily Sale entry '!$Z$2:$Z$1501="Online collection 网上收款"),'Daily Sale entry '!$AA$2:$AA$1501,"")))</f>
        <v/>
      </c>
      <c r="D266" s="6">
        <f>IF($A266="","",ROUND(SUMIFS('Daily Sale entry '!$AC$2:$AC$1501,'Daily Sale entry '!$X$2:$X$1501,$A266,'Daily Sale entry '!$Z$2:$Z$1501,"Online collection 网上收款")-'Opening Balance'!$B$15*SUMPRODUCT(('Daily Sale entry '!$X$2:$X$1501=$A266)*('Daily Sale entry '!$Z$2:$Z$1501="Online collection 网上收款")*('Daily Sale entry '!$AA$2:$AA$1501&lt;&gt;"")*('Daily Sale entry '!$AC$2:$AC$1501-TRUNC('Daily Sale entry '!$AC$2:$AC$1501))),2))</f>
        <v/>
      </c>
      <c r="E266" s="6">
        <f>IF($A266="","",ROUND('Sales &amp; Collection'!I3692-'Sales &amp; Collection'!I3691,2))</f>
        <v/>
      </c>
      <c r="F266" s="6">
        <f>IF($A266="","",'Sales &amp; Collection'!L3684)</f>
        <v/>
      </c>
      <c r="H266" s="6">
        <f>IF($A266="","",K265)</f>
        <v/>
      </c>
      <c r="I266" s="6">
        <f>IF($A266="","",ROUND(B266+D266+E266,2))</f>
        <v/>
      </c>
      <c r="J266" s="6">
        <f>IF($A266="","",F266)</f>
        <v/>
      </c>
      <c r="K266" s="6">
        <f>IF($A266="","",ROUND(H266+I266-J266,2))</f>
        <v/>
      </c>
    </row>
    <row r="267">
      <c r="A267" s="5">
        <f>IF('Daily Sale entry '!A266="","",'Daily Sale entry '!A266)</f>
        <v/>
      </c>
      <c r="B267" s="6">
        <f>IF($A267="","",'Daily Sale entry '!F266)</f>
        <v/>
      </c>
      <c r="C267">
        <f t="array" ref="C267">IF($A267="","",_xlfn.TEXTJOIN(", ",TRUE,IF(('Daily Sale entry '!$X$2:$X$1501=$A267)*('Daily Sale entry '!$Z$2:$Z$1501="Online collection 网上收款"),'Daily Sale entry '!$AA$2:$AA$1501,"")))</f>
        <v/>
      </c>
      <c r="D267" s="6">
        <f>IF($A267="","",ROUND(SUMIFS('Daily Sale entry '!$AC$2:$AC$1501,'Daily Sale entry '!$X$2:$X$1501,$A267,'Daily Sale entry '!$Z$2:$Z$1501,"Online collection 网上收款")-'Opening Balance'!$B$15*SUMPRODUCT(('Daily Sale entry '!$X$2:$X$1501=$A267)*('Daily Sale entry '!$Z$2:$Z$1501="Online collection 网上收款")*('Daily Sale entry '!$AA$2:$AA$1501&lt;&gt;"")*('Daily Sale entry '!$AC$2:$AC$1501-TRUNC('Daily Sale entry '!$AC$2:$AC$1501))),2))</f>
        <v/>
      </c>
      <c r="E267" s="6">
        <f>IF($A267="","",ROUND('Sales &amp; Collection'!I3706-'Sales &amp; Collection'!I3705,2))</f>
        <v/>
      </c>
      <c r="F267" s="6">
        <f>IF($A267="","",'Sales &amp; Collection'!L3698)</f>
        <v/>
      </c>
      <c r="H267" s="6">
        <f>IF($A267="","",K266)</f>
        <v/>
      </c>
      <c r="I267" s="6">
        <f>IF($A267="","",ROUND(B267+D267+E267,2))</f>
        <v/>
      </c>
      <c r="J267" s="6">
        <f>IF($A267="","",F267)</f>
        <v/>
      </c>
      <c r="K267" s="6">
        <f>IF($A267="","",ROUND(H267+I267-J267,2))</f>
        <v/>
      </c>
    </row>
    <row r="268">
      <c r="A268" s="5">
        <f>IF('Daily Sale entry '!A267="","",'Daily Sale entry '!A267)</f>
        <v/>
      </c>
      <c r="B268" s="6">
        <f>IF($A268="","",'Daily Sale entry '!F267)</f>
        <v/>
      </c>
      <c r="C268">
        <f t="array" ref="C268">IF($A268="","",_xlfn.TEXTJOIN(", ",TRUE,IF(('Daily Sale entry '!$X$2:$X$1501=$A268)*('Daily Sale entry '!$Z$2:$Z$1501="Online collection 网上收款"),'Daily Sale entry '!$AA$2:$AA$1501,"")))</f>
        <v/>
      </c>
      <c r="D268" s="6">
        <f>IF($A268="","",ROUND(SUMIFS('Daily Sale entry '!$AC$2:$AC$1501,'Daily Sale entry '!$X$2:$X$1501,$A268,'Daily Sale entry '!$Z$2:$Z$1501,"Online collection 网上收款")-'Opening Balance'!$B$15*SUMPRODUCT(('Daily Sale entry '!$X$2:$X$1501=$A268)*('Daily Sale entry '!$Z$2:$Z$1501="Online collection 网上收款")*('Daily Sale entry '!$AA$2:$AA$1501&lt;&gt;"")*('Daily Sale entry '!$AC$2:$AC$1501-TRUNC('Daily Sale entry '!$AC$2:$AC$1501))),2))</f>
        <v/>
      </c>
      <c r="E268" s="6">
        <f>IF($A268="","",ROUND('Sales &amp; Collection'!I3720-'Sales &amp; Collection'!I3719,2))</f>
        <v/>
      </c>
      <c r="F268" s="6">
        <f>IF($A268="","",'Sales &amp; Collection'!L3712)</f>
        <v/>
      </c>
      <c r="H268" s="6">
        <f>IF($A268="","",K267)</f>
        <v/>
      </c>
      <c r="I268" s="6">
        <f>IF($A268="","",ROUND(B268+D268+E268,2))</f>
        <v/>
      </c>
      <c r="J268" s="6">
        <f>IF($A268="","",F268)</f>
        <v/>
      </c>
      <c r="K268" s="6">
        <f>IF($A268="","",ROUND(H268+I268-J268,2))</f>
        <v/>
      </c>
    </row>
    <row r="269">
      <c r="A269" s="5">
        <f>IF('Daily Sale entry '!A268="","",'Daily Sale entry '!A268)</f>
        <v/>
      </c>
      <c r="B269" s="6">
        <f>IF($A269="","",'Daily Sale entry '!F268)</f>
        <v/>
      </c>
      <c r="C269">
        <f t="array" ref="C269">IF($A269="","",_xlfn.TEXTJOIN(", ",TRUE,IF(('Daily Sale entry '!$X$2:$X$1501=$A269)*('Daily Sale entry '!$Z$2:$Z$1501="Online collection 网上收款"),'Daily Sale entry '!$AA$2:$AA$1501,"")))</f>
        <v/>
      </c>
      <c r="D269" s="6">
        <f>IF($A269="","",ROUND(SUMIFS('Daily Sale entry '!$AC$2:$AC$1501,'Daily Sale entry '!$X$2:$X$1501,$A269,'Daily Sale entry '!$Z$2:$Z$1501,"Online collection 网上收款")-'Opening Balance'!$B$15*SUMPRODUCT(('Daily Sale entry '!$X$2:$X$1501=$A269)*('Daily Sale entry '!$Z$2:$Z$1501="Online collection 网上收款")*('Daily Sale entry '!$AA$2:$AA$1501&lt;&gt;"")*('Daily Sale entry '!$AC$2:$AC$1501-TRUNC('Daily Sale entry '!$AC$2:$AC$1501))),2))</f>
        <v/>
      </c>
      <c r="E269" s="6">
        <f>IF($A269="","",ROUND('Sales &amp; Collection'!I3734-'Sales &amp; Collection'!I3733,2))</f>
        <v/>
      </c>
      <c r="F269" s="6">
        <f>IF($A269="","",'Sales &amp; Collection'!L3726)</f>
        <v/>
      </c>
      <c r="H269" s="6">
        <f>IF($A269="","",K268)</f>
        <v/>
      </c>
      <c r="I269" s="6">
        <f>IF($A269="","",ROUND(B269+D269+E269,2))</f>
        <v/>
      </c>
      <c r="J269" s="6">
        <f>IF($A269="","",F269)</f>
        <v/>
      </c>
      <c r="K269" s="6">
        <f>IF($A269="","",ROUND(H269+I269-J269,2))</f>
        <v/>
      </c>
    </row>
    <row r="270">
      <c r="A270" s="5">
        <f>IF('Daily Sale entry '!A269="","",'Daily Sale entry '!A269)</f>
        <v/>
      </c>
      <c r="B270" s="6">
        <f>IF($A270="","",'Daily Sale entry '!F269)</f>
        <v/>
      </c>
      <c r="C270">
        <f t="array" ref="C270">IF($A270="","",_xlfn.TEXTJOIN(", ",TRUE,IF(('Daily Sale entry '!$X$2:$X$1501=$A270)*('Daily Sale entry '!$Z$2:$Z$1501="Online collection 网上收款"),'Daily Sale entry '!$AA$2:$AA$1501,"")))</f>
        <v/>
      </c>
      <c r="D270" s="6">
        <f>IF($A270="","",ROUND(SUMIFS('Daily Sale entry '!$AC$2:$AC$1501,'Daily Sale entry '!$X$2:$X$1501,$A270,'Daily Sale entry '!$Z$2:$Z$1501,"Online collection 网上收款")-'Opening Balance'!$B$15*SUMPRODUCT(('Daily Sale entry '!$X$2:$X$1501=$A270)*('Daily Sale entry '!$Z$2:$Z$1501="Online collection 网上收款")*('Daily Sale entry '!$AA$2:$AA$1501&lt;&gt;"")*('Daily Sale entry '!$AC$2:$AC$1501-TRUNC('Daily Sale entry '!$AC$2:$AC$1501))),2))</f>
        <v/>
      </c>
      <c r="E270" s="6">
        <f>IF($A270="","",ROUND('Sales &amp; Collection'!I3748-'Sales &amp; Collection'!I3747,2))</f>
        <v/>
      </c>
      <c r="F270" s="6">
        <f>IF($A270="","",'Sales &amp; Collection'!L3740)</f>
        <v/>
      </c>
      <c r="H270" s="6">
        <f>IF($A270="","",K269)</f>
        <v/>
      </c>
      <c r="I270" s="6">
        <f>IF($A270="","",ROUND(B270+D270+E270,2))</f>
        <v/>
      </c>
      <c r="J270" s="6">
        <f>IF($A270="","",F270)</f>
        <v/>
      </c>
      <c r="K270" s="6">
        <f>IF($A270="","",ROUND(H270+I270-J270,2))</f>
        <v/>
      </c>
    </row>
    <row r="271">
      <c r="A271" s="5">
        <f>IF('Daily Sale entry '!A270="","",'Daily Sale entry '!A270)</f>
        <v/>
      </c>
      <c r="B271" s="6">
        <f>IF($A271="","",'Daily Sale entry '!F270)</f>
        <v/>
      </c>
      <c r="C271">
        <f t="array" ref="C271">IF($A271="","",_xlfn.TEXTJOIN(", ",TRUE,IF(('Daily Sale entry '!$X$2:$X$1501=$A271)*('Daily Sale entry '!$Z$2:$Z$1501="Online collection 网上收款"),'Daily Sale entry '!$AA$2:$AA$1501,"")))</f>
        <v/>
      </c>
      <c r="D271" s="6">
        <f>IF($A271="","",ROUND(SUMIFS('Daily Sale entry '!$AC$2:$AC$1501,'Daily Sale entry '!$X$2:$X$1501,$A271,'Daily Sale entry '!$Z$2:$Z$1501,"Online collection 网上收款")-'Opening Balance'!$B$15*SUMPRODUCT(('Daily Sale entry '!$X$2:$X$1501=$A271)*('Daily Sale entry '!$Z$2:$Z$1501="Online collection 网上收款")*('Daily Sale entry '!$AA$2:$AA$1501&lt;&gt;"")*('Daily Sale entry '!$AC$2:$AC$1501-TRUNC('Daily Sale entry '!$AC$2:$AC$1501))),2))</f>
        <v/>
      </c>
      <c r="E271" s="6">
        <f>IF($A271="","",ROUND('Sales &amp; Collection'!I3762-'Sales &amp; Collection'!I3761,2))</f>
        <v/>
      </c>
      <c r="F271" s="6">
        <f>IF($A271="","",'Sales &amp; Collection'!L3754)</f>
        <v/>
      </c>
      <c r="H271" s="6">
        <f>IF($A271="","",K270)</f>
        <v/>
      </c>
      <c r="I271" s="6">
        <f>IF($A271="","",ROUND(B271+D271+E271,2))</f>
        <v/>
      </c>
      <c r="J271" s="6">
        <f>IF($A271="","",F271)</f>
        <v/>
      </c>
      <c r="K271" s="6">
        <f>IF($A271="","",ROUND(H271+I271-J271,2))</f>
        <v/>
      </c>
    </row>
    <row r="272">
      <c r="A272" s="5">
        <f>IF('Daily Sale entry '!A271="","",'Daily Sale entry '!A271)</f>
        <v/>
      </c>
      <c r="B272" s="6">
        <f>IF($A272="","",'Daily Sale entry '!F271)</f>
        <v/>
      </c>
      <c r="C272">
        <f t="array" ref="C272">IF($A272="","",_xlfn.TEXTJOIN(", ",TRUE,IF(('Daily Sale entry '!$X$2:$X$1501=$A272)*('Daily Sale entry '!$Z$2:$Z$1501="Online collection 网上收款"),'Daily Sale entry '!$AA$2:$AA$1501,"")))</f>
        <v/>
      </c>
      <c r="D272" s="6">
        <f>IF($A272="","",ROUND(SUMIFS('Daily Sale entry '!$AC$2:$AC$1501,'Daily Sale entry '!$X$2:$X$1501,$A272,'Daily Sale entry '!$Z$2:$Z$1501,"Online collection 网上收款")-'Opening Balance'!$B$15*SUMPRODUCT(('Daily Sale entry '!$X$2:$X$1501=$A272)*('Daily Sale entry '!$Z$2:$Z$1501="Online collection 网上收款")*('Daily Sale entry '!$AA$2:$AA$1501&lt;&gt;"")*('Daily Sale entry '!$AC$2:$AC$1501-TRUNC('Daily Sale entry '!$AC$2:$AC$1501))),2))</f>
        <v/>
      </c>
      <c r="E272" s="6">
        <f>IF($A272="","",ROUND('Sales &amp; Collection'!I3776-'Sales &amp; Collection'!I3775,2))</f>
        <v/>
      </c>
      <c r="F272" s="6">
        <f>IF($A272="","",'Sales &amp; Collection'!L3768)</f>
        <v/>
      </c>
      <c r="H272" s="6">
        <f>IF($A272="","",K271)</f>
        <v/>
      </c>
      <c r="I272" s="6">
        <f>IF($A272="","",ROUND(B272+D272+E272,2))</f>
        <v/>
      </c>
      <c r="J272" s="6">
        <f>IF($A272="","",F272)</f>
        <v/>
      </c>
      <c r="K272" s="6">
        <f>IF($A272="","",ROUND(H272+I272-J272,2))</f>
        <v/>
      </c>
    </row>
    <row r="273">
      <c r="A273" s="5">
        <f>IF('Daily Sale entry '!A272="","",'Daily Sale entry '!A272)</f>
        <v/>
      </c>
      <c r="B273" s="6">
        <f>IF($A273="","",'Daily Sale entry '!F272)</f>
        <v/>
      </c>
      <c r="C273">
        <f t="array" ref="C273">IF($A273="","",_xlfn.TEXTJOIN(", ",TRUE,IF(('Daily Sale entry '!$X$2:$X$1501=$A273)*('Daily Sale entry '!$Z$2:$Z$1501="Online collection 网上收款"),'Daily Sale entry '!$AA$2:$AA$1501,"")))</f>
        <v/>
      </c>
      <c r="D273" s="6">
        <f>IF($A273="","",ROUND(SUMIFS('Daily Sale entry '!$AC$2:$AC$1501,'Daily Sale entry '!$X$2:$X$1501,$A273,'Daily Sale entry '!$Z$2:$Z$1501,"Online collection 网上收款")-'Opening Balance'!$B$15*SUMPRODUCT(('Daily Sale entry '!$X$2:$X$1501=$A273)*('Daily Sale entry '!$Z$2:$Z$1501="Online collection 网上收款")*('Daily Sale entry '!$AA$2:$AA$1501&lt;&gt;"")*('Daily Sale entry '!$AC$2:$AC$1501-TRUNC('Daily Sale entry '!$AC$2:$AC$1501))),2))</f>
        <v/>
      </c>
      <c r="E273" s="6">
        <f>IF($A273="","",ROUND('Sales &amp; Collection'!I3790-'Sales &amp; Collection'!I3789,2))</f>
        <v/>
      </c>
      <c r="F273" s="6">
        <f>IF($A273="","",'Sales &amp; Collection'!L3782)</f>
        <v/>
      </c>
      <c r="H273" s="6">
        <f>IF($A273="","",K272)</f>
        <v/>
      </c>
      <c r="I273" s="6">
        <f>IF($A273="","",ROUND(B273+D273+E273,2))</f>
        <v/>
      </c>
      <c r="J273" s="6">
        <f>IF($A273="","",F273)</f>
        <v/>
      </c>
      <c r="K273" s="6">
        <f>IF($A273="","",ROUND(H273+I273-J273,2))</f>
        <v/>
      </c>
    </row>
    <row r="274">
      <c r="A274" s="5">
        <f>IF('Daily Sale entry '!A273="","",'Daily Sale entry '!A273)</f>
        <v/>
      </c>
      <c r="B274" s="6">
        <f>IF($A274="","",'Daily Sale entry '!F273)</f>
        <v/>
      </c>
      <c r="C274">
        <f t="array" ref="C274">IF($A274="","",_xlfn.TEXTJOIN(", ",TRUE,IF(('Daily Sale entry '!$X$2:$X$1501=$A274)*('Daily Sale entry '!$Z$2:$Z$1501="Online collection 网上收款"),'Daily Sale entry '!$AA$2:$AA$1501,"")))</f>
        <v/>
      </c>
      <c r="D274" s="6">
        <f>IF($A274="","",ROUND(SUMIFS('Daily Sale entry '!$AC$2:$AC$1501,'Daily Sale entry '!$X$2:$X$1501,$A274,'Daily Sale entry '!$Z$2:$Z$1501,"Online collection 网上收款")-'Opening Balance'!$B$15*SUMPRODUCT(('Daily Sale entry '!$X$2:$X$1501=$A274)*('Daily Sale entry '!$Z$2:$Z$1501="Online collection 网上收款")*('Daily Sale entry '!$AA$2:$AA$1501&lt;&gt;"")*('Daily Sale entry '!$AC$2:$AC$1501-TRUNC('Daily Sale entry '!$AC$2:$AC$1501))),2))</f>
        <v/>
      </c>
      <c r="E274" s="6">
        <f>IF($A274="","",ROUND('Sales &amp; Collection'!I3804-'Sales &amp; Collection'!I3803,2))</f>
        <v/>
      </c>
      <c r="F274" s="6">
        <f>IF($A274="","",'Sales &amp; Collection'!L3796)</f>
        <v/>
      </c>
      <c r="H274" s="6">
        <f>IF($A274="","",K273)</f>
        <v/>
      </c>
      <c r="I274" s="6">
        <f>IF($A274="","",ROUND(B274+D274+E274,2))</f>
        <v/>
      </c>
      <c r="J274" s="6">
        <f>IF($A274="","",F274)</f>
        <v/>
      </c>
      <c r="K274" s="6">
        <f>IF($A274="","",ROUND(H274+I274-J274,2))</f>
        <v/>
      </c>
    </row>
    <row r="275">
      <c r="A275" s="5">
        <f>IF('Daily Sale entry '!A274="","",'Daily Sale entry '!A274)</f>
        <v/>
      </c>
      <c r="B275" s="6">
        <f>IF($A275="","",'Daily Sale entry '!F274)</f>
        <v/>
      </c>
      <c r="C275">
        <f t="array" ref="C275">IF($A275="","",_xlfn.TEXTJOIN(", ",TRUE,IF(('Daily Sale entry '!$X$2:$X$1501=$A275)*('Daily Sale entry '!$Z$2:$Z$1501="Online collection 网上收款"),'Daily Sale entry '!$AA$2:$AA$1501,"")))</f>
        <v/>
      </c>
      <c r="D275" s="6">
        <f>IF($A275="","",ROUND(SUMIFS('Daily Sale entry '!$AC$2:$AC$1501,'Daily Sale entry '!$X$2:$X$1501,$A275,'Daily Sale entry '!$Z$2:$Z$1501,"Online collection 网上收款")-'Opening Balance'!$B$15*SUMPRODUCT(('Daily Sale entry '!$X$2:$X$1501=$A275)*('Daily Sale entry '!$Z$2:$Z$1501="Online collection 网上收款")*('Daily Sale entry '!$AA$2:$AA$1501&lt;&gt;"")*('Daily Sale entry '!$AC$2:$AC$1501-TRUNC('Daily Sale entry '!$AC$2:$AC$1501))),2))</f>
        <v/>
      </c>
      <c r="E275" s="6">
        <f>IF($A275="","",ROUND('Sales &amp; Collection'!I3818-'Sales &amp; Collection'!I3817,2))</f>
        <v/>
      </c>
      <c r="F275" s="6">
        <f>IF($A275="","",'Sales &amp; Collection'!L3810)</f>
        <v/>
      </c>
      <c r="H275" s="6">
        <f>IF($A275="","",K274)</f>
        <v/>
      </c>
      <c r="I275" s="6">
        <f>IF($A275="","",ROUND(B275+D275+E275,2))</f>
        <v/>
      </c>
      <c r="J275" s="6">
        <f>IF($A275="","",F275)</f>
        <v/>
      </c>
      <c r="K275" s="6">
        <f>IF($A275="","",ROUND(H275+I275-J275,2))</f>
        <v/>
      </c>
    </row>
    <row r="276">
      <c r="A276" s="5">
        <f>IF('Daily Sale entry '!A275="","",'Daily Sale entry '!A275)</f>
        <v/>
      </c>
      <c r="B276" s="6">
        <f>IF($A276="","",'Daily Sale entry '!F275)</f>
        <v/>
      </c>
      <c r="C276">
        <f t="array" ref="C276">IF($A276="","",_xlfn.TEXTJOIN(", ",TRUE,IF(('Daily Sale entry '!$X$2:$X$1501=$A276)*('Daily Sale entry '!$Z$2:$Z$1501="Online collection 网上收款"),'Daily Sale entry '!$AA$2:$AA$1501,"")))</f>
        <v/>
      </c>
      <c r="D276" s="6">
        <f>IF($A276="","",ROUND(SUMIFS('Daily Sale entry '!$AC$2:$AC$1501,'Daily Sale entry '!$X$2:$X$1501,$A276,'Daily Sale entry '!$Z$2:$Z$1501,"Online collection 网上收款")-'Opening Balance'!$B$15*SUMPRODUCT(('Daily Sale entry '!$X$2:$X$1501=$A276)*('Daily Sale entry '!$Z$2:$Z$1501="Online collection 网上收款")*('Daily Sale entry '!$AA$2:$AA$1501&lt;&gt;"")*('Daily Sale entry '!$AC$2:$AC$1501-TRUNC('Daily Sale entry '!$AC$2:$AC$1501))),2))</f>
        <v/>
      </c>
      <c r="E276" s="6">
        <f>IF($A276="","",ROUND('Sales &amp; Collection'!I3832-'Sales &amp; Collection'!I3831,2))</f>
        <v/>
      </c>
      <c r="F276" s="6">
        <f>IF($A276="","",'Sales &amp; Collection'!L3824)</f>
        <v/>
      </c>
      <c r="H276" s="6">
        <f>IF($A276="","",K275)</f>
        <v/>
      </c>
      <c r="I276" s="6">
        <f>IF($A276="","",ROUND(B276+D276+E276,2))</f>
        <v/>
      </c>
      <c r="J276" s="6">
        <f>IF($A276="","",F276)</f>
        <v/>
      </c>
      <c r="K276" s="6">
        <f>IF($A276="","",ROUND(H276+I276-J276,2))</f>
        <v/>
      </c>
    </row>
    <row r="277">
      <c r="A277" s="5">
        <f>IF('Daily Sale entry '!A276="","",'Daily Sale entry '!A276)</f>
        <v/>
      </c>
      <c r="B277" s="6">
        <f>IF($A277="","",'Daily Sale entry '!F276)</f>
        <v/>
      </c>
      <c r="C277">
        <f t="array" ref="C277">IF($A277="","",_xlfn.TEXTJOIN(", ",TRUE,IF(('Daily Sale entry '!$X$2:$X$1501=$A277)*('Daily Sale entry '!$Z$2:$Z$1501="Online collection 网上收款"),'Daily Sale entry '!$AA$2:$AA$1501,"")))</f>
        <v/>
      </c>
      <c r="D277" s="6">
        <f>IF($A277="","",ROUND(SUMIFS('Daily Sale entry '!$AC$2:$AC$1501,'Daily Sale entry '!$X$2:$X$1501,$A277,'Daily Sale entry '!$Z$2:$Z$1501,"Online collection 网上收款")-'Opening Balance'!$B$15*SUMPRODUCT(('Daily Sale entry '!$X$2:$X$1501=$A277)*('Daily Sale entry '!$Z$2:$Z$1501="Online collection 网上收款")*('Daily Sale entry '!$AA$2:$AA$1501&lt;&gt;"")*('Daily Sale entry '!$AC$2:$AC$1501-TRUNC('Daily Sale entry '!$AC$2:$AC$1501))),2))</f>
        <v/>
      </c>
      <c r="E277" s="6">
        <f>IF($A277="","",ROUND('Sales &amp; Collection'!I3846-'Sales &amp; Collection'!I3845,2))</f>
        <v/>
      </c>
      <c r="F277" s="6">
        <f>IF($A277="","",'Sales &amp; Collection'!L3838)</f>
        <v/>
      </c>
      <c r="H277" s="6">
        <f>IF($A277="","",K276)</f>
        <v/>
      </c>
      <c r="I277" s="6">
        <f>IF($A277="","",ROUND(B277+D277+E277,2))</f>
        <v/>
      </c>
      <c r="J277" s="6">
        <f>IF($A277="","",F277)</f>
        <v/>
      </c>
      <c r="K277" s="6">
        <f>IF($A277="","",ROUND(H277+I277-J277,2))</f>
        <v/>
      </c>
    </row>
    <row r="278">
      <c r="A278" s="5">
        <f>IF('Daily Sale entry '!A277="","",'Daily Sale entry '!A277)</f>
        <v/>
      </c>
      <c r="B278" s="6">
        <f>IF($A278="","",'Daily Sale entry '!F277)</f>
        <v/>
      </c>
      <c r="C278">
        <f t="array" ref="C278">IF($A278="","",_xlfn.TEXTJOIN(", ",TRUE,IF(('Daily Sale entry '!$X$2:$X$1501=$A278)*('Daily Sale entry '!$Z$2:$Z$1501="Online collection 网上收款"),'Daily Sale entry '!$AA$2:$AA$1501,"")))</f>
        <v/>
      </c>
      <c r="D278" s="6">
        <f>IF($A278="","",ROUND(SUMIFS('Daily Sale entry '!$AC$2:$AC$1501,'Daily Sale entry '!$X$2:$X$1501,$A278,'Daily Sale entry '!$Z$2:$Z$1501,"Online collection 网上收款")-'Opening Balance'!$B$15*SUMPRODUCT(('Daily Sale entry '!$X$2:$X$1501=$A278)*('Daily Sale entry '!$Z$2:$Z$1501="Online collection 网上收款")*('Daily Sale entry '!$AA$2:$AA$1501&lt;&gt;"")*('Daily Sale entry '!$AC$2:$AC$1501-TRUNC('Daily Sale entry '!$AC$2:$AC$1501))),2))</f>
        <v/>
      </c>
      <c r="E278" s="6">
        <f>IF($A278="","",ROUND('Sales &amp; Collection'!I3860-'Sales &amp; Collection'!I3859,2))</f>
        <v/>
      </c>
      <c r="F278" s="6">
        <f>IF($A278="","",'Sales &amp; Collection'!L3852)</f>
        <v/>
      </c>
      <c r="H278" s="6">
        <f>IF($A278="","",K277)</f>
        <v/>
      </c>
      <c r="I278" s="6">
        <f>IF($A278="","",ROUND(B278+D278+E278,2))</f>
        <v/>
      </c>
      <c r="J278" s="6">
        <f>IF($A278="","",F278)</f>
        <v/>
      </c>
      <c r="K278" s="6">
        <f>IF($A278="","",ROUND(H278+I278-J278,2))</f>
        <v/>
      </c>
    </row>
    <row r="279">
      <c r="A279" s="5">
        <f>IF('Daily Sale entry '!A278="","",'Daily Sale entry '!A278)</f>
        <v/>
      </c>
      <c r="B279" s="6">
        <f>IF($A279="","",'Daily Sale entry '!F278)</f>
        <v/>
      </c>
      <c r="C279">
        <f t="array" ref="C279">IF($A279="","",_xlfn.TEXTJOIN(", ",TRUE,IF(('Daily Sale entry '!$X$2:$X$1501=$A279)*('Daily Sale entry '!$Z$2:$Z$1501="Online collection 网上收款"),'Daily Sale entry '!$AA$2:$AA$1501,"")))</f>
        <v/>
      </c>
      <c r="D279" s="6">
        <f>IF($A279="","",ROUND(SUMIFS('Daily Sale entry '!$AC$2:$AC$1501,'Daily Sale entry '!$X$2:$X$1501,$A279,'Daily Sale entry '!$Z$2:$Z$1501,"Online collection 网上收款")-'Opening Balance'!$B$15*SUMPRODUCT(('Daily Sale entry '!$X$2:$X$1501=$A279)*('Daily Sale entry '!$Z$2:$Z$1501="Online collection 网上收款")*('Daily Sale entry '!$AA$2:$AA$1501&lt;&gt;"")*('Daily Sale entry '!$AC$2:$AC$1501-TRUNC('Daily Sale entry '!$AC$2:$AC$1501))),2))</f>
        <v/>
      </c>
      <c r="E279" s="6">
        <f>IF($A279="","",ROUND('Sales &amp; Collection'!I3874-'Sales &amp; Collection'!I3873,2))</f>
        <v/>
      </c>
      <c r="F279" s="6">
        <f>IF($A279="","",'Sales &amp; Collection'!L3866)</f>
        <v/>
      </c>
      <c r="H279" s="6">
        <f>IF($A279="","",K278)</f>
        <v/>
      </c>
      <c r="I279" s="6">
        <f>IF($A279="","",ROUND(B279+D279+E279,2))</f>
        <v/>
      </c>
      <c r="J279" s="6">
        <f>IF($A279="","",F279)</f>
        <v/>
      </c>
      <c r="K279" s="6">
        <f>IF($A279="","",ROUND(H279+I279-J279,2))</f>
        <v/>
      </c>
    </row>
    <row r="280">
      <c r="A280" s="5">
        <f>IF('Daily Sale entry '!A279="","",'Daily Sale entry '!A279)</f>
        <v/>
      </c>
      <c r="B280" s="6">
        <f>IF($A280="","",'Daily Sale entry '!F279)</f>
        <v/>
      </c>
      <c r="C280">
        <f t="array" ref="C280">IF($A280="","",_xlfn.TEXTJOIN(", ",TRUE,IF(('Daily Sale entry '!$X$2:$X$1501=$A280)*('Daily Sale entry '!$Z$2:$Z$1501="Online collection 网上收款"),'Daily Sale entry '!$AA$2:$AA$1501,"")))</f>
        <v/>
      </c>
      <c r="D280" s="6">
        <f>IF($A280="","",ROUND(SUMIFS('Daily Sale entry '!$AC$2:$AC$1501,'Daily Sale entry '!$X$2:$X$1501,$A280,'Daily Sale entry '!$Z$2:$Z$1501,"Online collection 网上收款")-'Opening Balance'!$B$15*SUMPRODUCT(('Daily Sale entry '!$X$2:$X$1501=$A280)*('Daily Sale entry '!$Z$2:$Z$1501="Online collection 网上收款")*('Daily Sale entry '!$AA$2:$AA$1501&lt;&gt;"")*('Daily Sale entry '!$AC$2:$AC$1501-TRUNC('Daily Sale entry '!$AC$2:$AC$1501))),2))</f>
        <v/>
      </c>
      <c r="E280" s="6">
        <f>IF($A280="","",ROUND('Sales &amp; Collection'!I3888-'Sales &amp; Collection'!I3887,2))</f>
        <v/>
      </c>
      <c r="F280" s="6">
        <f>IF($A280="","",'Sales &amp; Collection'!L3880)</f>
        <v/>
      </c>
      <c r="H280" s="6">
        <f>IF($A280="","",K279)</f>
        <v/>
      </c>
      <c r="I280" s="6">
        <f>IF($A280="","",ROUND(B280+D280+E280,2))</f>
        <v/>
      </c>
      <c r="J280" s="6">
        <f>IF($A280="","",F280)</f>
        <v/>
      </c>
      <c r="K280" s="6">
        <f>IF($A280="","",ROUND(H280+I280-J280,2))</f>
        <v/>
      </c>
    </row>
    <row r="281">
      <c r="A281" s="5">
        <f>IF('Daily Sale entry '!A280="","",'Daily Sale entry '!A280)</f>
        <v/>
      </c>
      <c r="B281" s="6">
        <f>IF($A281="","",'Daily Sale entry '!F280)</f>
        <v/>
      </c>
      <c r="C281">
        <f t="array" ref="C281">IF($A281="","",_xlfn.TEXTJOIN(", ",TRUE,IF(('Daily Sale entry '!$X$2:$X$1501=$A281)*('Daily Sale entry '!$Z$2:$Z$1501="Online collection 网上收款"),'Daily Sale entry '!$AA$2:$AA$1501,"")))</f>
        <v/>
      </c>
      <c r="D281" s="6">
        <f>IF($A281="","",ROUND(SUMIFS('Daily Sale entry '!$AC$2:$AC$1501,'Daily Sale entry '!$X$2:$X$1501,$A281,'Daily Sale entry '!$Z$2:$Z$1501,"Online collection 网上收款")-'Opening Balance'!$B$15*SUMPRODUCT(('Daily Sale entry '!$X$2:$X$1501=$A281)*('Daily Sale entry '!$Z$2:$Z$1501="Online collection 网上收款")*('Daily Sale entry '!$AA$2:$AA$1501&lt;&gt;"")*('Daily Sale entry '!$AC$2:$AC$1501-TRUNC('Daily Sale entry '!$AC$2:$AC$1501))),2))</f>
        <v/>
      </c>
      <c r="E281" s="6">
        <f>IF($A281="","",ROUND('Sales &amp; Collection'!I3902-'Sales &amp; Collection'!I3901,2))</f>
        <v/>
      </c>
      <c r="F281" s="6">
        <f>IF($A281="","",'Sales &amp; Collection'!L3894)</f>
        <v/>
      </c>
      <c r="H281" s="6">
        <f>IF($A281="","",K280)</f>
        <v/>
      </c>
      <c r="I281" s="6">
        <f>IF($A281="","",ROUND(B281+D281+E281,2))</f>
        <v/>
      </c>
      <c r="J281" s="6">
        <f>IF($A281="","",F281)</f>
        <v/>
      </c>
      <c r="K281" s="6">
        <f>IF($A281="","",ROUND(H281+I281-J281,2))</f>
        <v/>
      </c>
    </row>
    <row r="282">
      <c r="A282" s="5">
        <f>IF('Daily Sale entry '!A281="","",'Daily Sale entry '!A281)</f>
        <v/>
      </c>
      <c r="B282" s="6">
        <f>IF($A282="","",'Daily Sale entry '!F281)</f>
        <v/>
      </c>
      <c r="C282">
        <f t="array" ref="C282">IF($A282="","",_xlfn.TEXTJOIN(", ",TRUE,IF(('Daily Sale entry '!$X$2:$X$1501=$A282)*('Daily Sale entry '!$Z$2:$Z$1501="Online collection 网上收款"),'Daily Sale entry '!$AA$2:$AA$1501,"")))</f>
        <v/>
      </c>
      <c r="D282" s="6">
        <f>IF($A282="","",ROUND(SUMIFS('Daily Sale entry '!$AC$2:$AC$1501,'Daily Sale entry '!$X$2:$X$1501,$A282,'Daily Sale entry '!$Z$2:$Z$1501,"Online collection 网上收款")-'Opening Balance'!$B$15*SUMPRODUCT(('Daily Sale entry '!$X$2:$X$1501=$A282)*('Daily Sale entry '!$Z$2:$Z$1501="Online collection 网上收款")*('Daily Sale entry '!$AA$2:$AA$1501&lt;&gt;"")*('Daily Sale entry '!$AC$2:$AC$1501-TRUNC('Daily Sale entry '!$AC$2:$AC$1501))),2))</f>
        <v/>
      </c>
      <c r="E282" s="6">
        <f>IF($A282="","",ROUND('Sales &amp; Collection'!I3916-'Sales &amp; Collection'!I3915,2))</f>
        <v/>
      </c>
      <c r="F282" s="6">
        <f>IF($A282="","",'Sales &amp; Collection'!L3908)</f>
        <v/>
      </c>
      <c r="H282" s="6">
        <f>IF($A282="","",K281)</f>
        <v/>
      </c>
      <c r="I282" s="6">
        <f>IF($A282="","",ROUND(B282+D282+E282,2))</f>
        <v/>
      </c>
      <c r="J282" s="6">
        <f>IF($A282="","",F282)</f>
        <v/>
      </c>
      <c r="K282" s="6">
        <f>IF($A282="","",ROUND(H282+I282-J282,2))</f>
        <v/>
      </c>
    </row>
    <row r="283">
      <c r="A283" s="5">
        <f>IF('Daily Sale entry '!A282="","",'Daily Sale entry '!A282)</f>
        <v/>
      </c>
      <c r="B283" s="6">
        <f>IF($A283="","",'Daily Sale entry '!F282)</f>
        <v/>
      </c>
      <c r="C283">
        <f t="array" ref="C283">IF($A283="","",_xlfn.TEXTJOIN(", ",TRUE,IF(('Daily Sale entry '!$X$2:$X$1501=$A283)*('Daily Sale entry '!$Z$2:$Z$1501="Online collection 网上收款"),'Daily Sale entry '!$AA$2:$AA$1501,"")))</f>
        <v/>
      </c>
      <c r="D283" s="6">
        <f>IF($A283="","",ROUND(SUMIFS('Daily Sale entry '!$AC$2:$AC$1501,'Daily Sale entry '!$X$2:$X$1501,$A283,'Daily Sale entry '!$Z$2:$Z$1501,"Online collection 网上收款")-'Opening Balance'!$B$15*SUMPRODUCT(('Daily Sale entry '!$X$2:$X$1501=$A283)*('Daily Sale entry '!$Z$2:$Z$1501="Online collection 网上收款")*('Daily Sale entry '!$AA$2:$AA$1501&lt;&gt;"")*('Daily Sale entry '!$AC$2:$AC$1501-TRUNC('Daily Sale entry '!$AC$2:$AC$1501))),2))</f>
        <v/>
      </c>
      <c r="E283" s="6">
        <f>IF($A283="","",ROUND('Sales &amp; Collection'!I3930-'Sales &amp; Collection'!I3929,2))</f>
        <v/>
      </c>
      <c r="F283" s="6">
        <f>IF($A283="","",'Sales &amp; Collection'!L3922)</f>
        <v/>
      </c>
      <c r="H283" s="6">
        <f>IF($A283="","",K282)</f>
        <v/>
      </c>
      <c r="I283" s="6">
        <f>IF($A283="","",ROUND(B283+D283+E283,2))</f>
        <v/>
      </c>
      <c r="J283" s="6">
        <f>IF($A283="","",F283)</f>
        <v/>
      </c>
      <c r="K283" s="6">
        <f>IF($A283="","",ROUND(H283+I283-J283,2))</f>
        <v/>
      </c>
    </row>
    <row r="284">
      <c r="A284" s="5">
        <f>IF('Daily Sale entry '!A283="","",'Daily Sale entry '!A283)</f>
        <v/>
      </c>
      <c r="B284" s="6">
        <f>IF($A284="","",'Daily Sale entry '!F283)</f>
        <v/>
      </c>
      <c r="C284">
        <f t="array" ref="C284">IF($A284="","",_xlfn.TEXTJOIN(", ",TRUE,IF(('Daily Sale entry '!$X$2:$X$1501=$A284)*('Daily Sale entry '!$Z$2:$Z$1501="Online collection 网上收款"),'Daily Sale entry '!$AA$2:$AA$1501,"")))</f>
        <v/>
      </c>
      <c r="D284" s="6">
        <f>IF($A284="","",ROUND(SUMIFS('Daily Sale entry '!$AC$2:$AC$1501,'Daily Sale entry '!$X$2:$X$1501,$A284,'Daily Sale entry '!$Z$2:$Z$1501,"Online collection 网上收款")-'Opening Balance'!$B$15*SUMPRODUCT(('Daily Sale entry '!$X$2:$X$1501=$A284)*('Daily Sale entry '!$Z$2:$Z$1501="Online collection 网上收款")*('Daily Sale entry '!$AA$2:$AA$1501&lt;&gt;"")*('Daily Sale entry '!$AC$2:$AC$1501-TRUNC('Daily Sale entry '!$AC$2:$AC$1501))),2))</f>
        <v/>
      </c>
      <c r="E284" s="6">
        <f>IF($A284="","",ROUND('Sales &amp; Collection'!I3944-'Sales &amp; Collection'!I3943,2))</f>
        <v/>
      </c>
      <c r="F284" s="6">
        <f>IF($A284="","",'Sales &amp; Collection'!L3936)</f>
        <v/>
      </c>
      <c r="H284" s="6">
        <f>IF($A284="","",K283)</f>
        <v/>
      </c>
      <c r="I284" s="6">
        <f>IF($A284="","",ROUND(B284+D284+E284,2))</f>
        <v/>
      </c>
      <c r="J284" s="6">
        <f>IF($A284="","",F284)</f>
        <v/>
      </c>
      <c r="K284" s="6">
        <f>IF($A284="","",ROUND(H284+I284-J284,2))</f>
        <v/>
      </c>
    </row>
    <row r="285">
      <c r="A285" s="5">
        <f>IF('Daily Sale entry '!A284="","",'Daily Sale entry '!A284)</f>
        <v/>
      </c>
      <c r="B285" s="6">
        <f>IF($A285="","",'Daily Sale entry '!F284)</f>
        <v/>
      </c>
      <c r="C285">
        <f t="array" ref="C285">IF($A285="","",_xlfn.TEXTJOIN(", ",TRUE,IF(('Daily Sale entry '!$X$2:$X$1501=$A285)*('Daily Sale entry '!$Z$2:$Z$1501="Online collection 网上收款"),'Daily Sale entry '!$AA$2:$AA$1501,"")))</f>
        <v/>
      </c>
      <c r="D285" s="6">
        <f>IF($A285="","",ROUND(SUMIFS('Daily Sale entry '!$AC$2:$AC$1501,'Daily Sale entry '!$X$2:$X$1501,$A285,'Daily Sale entry '!$Z$2:$Z$1501,"Online collection 网上收款")-'Opening Balance'!$B$15*SUMPRODUCT(('Daily Sale entry '!$X$2:$X$1501=$A285)*('Daily Sale entry '!$Z$2:$Z$1501="Online collection 网上收款")*('Daily Sale entry '!$AA$2:$AA$1501&lt;&gt;"")*('Daily Sale entry '!$AC$2:$AC$1501-TRUNC('Daily Sale entry '!$AC$2:$AC$1501))),2))</f>
        <v/>
      </c>
      <c r="E285" s="6">
        <f>IF($A285="","",ROUND('Sales &amp; Collection'!I3958-'Sales &amp; Collection'!I3957,2))</f>
        <v/>
      </c>
      <c r="F285" s="6">
        <f>IF($A285="","",'Sales &amp; Collection'!L3950)</f>
        <v/>
      </c>
      <c r="H285" s="6">
        <f>IF($A285="","",K284)</f>
        <v/>
      </c>
      <c r="I285" s="6">
        <f>IF($A285="","",ROUND(B285+D285+E285,2))</f>
        <v/>
      </c>
      <c r="J285" s="6">
        <f>IF($A285="","",F285)</f>
        <v/>
      </c>
      <c r="K285" s="6">
        <f>IF($A285="","",ROUND(H285+I285-J285,2))</f>
        <v/>
      </c>
    </row>
    <row r="286">
      <c r="A286" s="5">
        <f>IF('Daily Sale entry '!A285="","",'Daily Sale entry '!A285)</f>
        <v/>
      </c>
      <c r="B286" s="6">
        <f>IF($A286="","",'Daily Sale entry '!F285)</f>
        <v/>
      </c>
      <c r="C286">
        <f t="array" ref="C286">IF($A286="","",_xlfn.TEXTJOIN(", ",TRUE,IF(('Daily Sale entry '!$X$2:$X$1501=$A286)*('Daily Sale entry '!$Z$2:$Z$1501="Online collection 网上收款"),'Daily Sale entry '!$AA$2:$AA$1501,"")))</f>
        <v/>
      </c>
      <c r="D286" s="6">
        <f>IF($A286="","",ROUND(SUMIFS('Daily Sale entry '!$AC$2:$AC$1501,'Daily Sale entry '!$X$2:$X$1501,$A286,'Daily Sale entry '!$Z$2:$Z$1501,"Online collection 网上收款")-'Opening Balance'!$B$15*SUMPRODUCT(('Daily Sale entry '!$X$2:$X$1501=$A286)*('Daily Sale entry '!$Z$2:$Z$1501="Online collection 网上收款")*('Daily Sale entry '!$AA$2:$AA$1501&lt;&gt;"")*('Daily Sale entry '!$AC$2:$AC$1501-TRUNC('Daily Sale entry '!$AC$2:$AC$1501))),2))</f>
        <v/>
      </c>
      <c r="E286" s="6">
        <f>IF($A286="","",ROUND('Sales &amp; Collection'!I3972-'Sales &amp; Collection'!I3971,2))</f>
        <v/>
      </c>
      <c r="F286" s="6">
        <f>IF($A286="","",'Sales &amp; Collection'!L3964)</f>
        <v/>
      </c>
      <c r="H286" s="6">
        <f>IF($A286="","",K285)</f>
        <v/>
      </c>
      <c r="I286" s="6">
        <f>IF($A286="","",ROUND(B286+D286+E286,2))</f>
        <v/>
      </c>
      <c r="J286" s="6">
        <f>IF($A286="","",F286)</f>
        <v/>
      </c>
      <c r="K286" s="6">
        <f>IF($A286="","",ROUND(H286+I286-J286,2))</f>
        <v/>
      </c>
    </row>
    <row r="287">
      <c r="A287" s="5">
        <f>IF('Daily Sale entry '!A286="","",'Daily Sale entry '!A286)</f>
        <v/>
      </c>
      <c r="B287" s="6">
        <f>IF($A287="","",'Daily Sale entry '!F286)</f>
        <v/>
      </c>
      <c r="C287">
        <f t="array" ref="C287">IF($A287="","",_xlfn.TEXTJOIN(", ",TRUE,IF(('Daily Sale entry '!$X$2:$X$1501=$A287)*('Daily Sale entry '!$Z$2:$Z$1501="Online collection 网上收款"),'Daily Sale entry '!$AA$2:$AA$1501,"")))</f>
        <v/>
      </c>
      <c r="D287" s="6">
        <f>IF($A287="","",ROUND(SUMIFS('Daily Sale entry '!$AC$2:$AC$1501,'Daily Sale entry '!$X$2:$X$1501,$A287,'Daily Sale entry '!$Z$2:$Z$1501,"Online collection 网上收款")-'Opening Balance'!$B$15*SUMPRODUCT(('Daily Sale entry '!$X$2:$X$1501=$A287)*('Daily Sale entry '!$Z$2:$Z$1501="Online collection 网上收款")*('Daily Sale entry '!$AA$2:$AA$1501&lt;&gt;"")*('Daily Sale entry '!$AC$2:$AC$1501-TRUNC('Daily Sale entry '!$AC$2:$AC$1501))),2))</f>
        <v/>
      </c>
      <c r="E287" s="6">
        <f>IF($A287="","",ROUND('Sales &amp; Collection'!I3986-'Sales &amp; Collection'!I3985,2))</f>
        <v/>
      </c>
      <c r="F287" s="6">
        <f>IF($A287="","",'Sales &amp; Collection'!L3978)</f>
        <v/>
      </c>
      <c r="H287" s="6">
        <f>IF($A287="","",K286)</f>
        <v/>
      </c>
      <c r="I287" s="6">
        <f>IF($A287="","",ROUND(B287+D287+E287,2))</f>
        <v/>
      </c>
      <c r="J287" s="6">
        <f>IF($A287="","",F287)</f>
        <v/>
      </c>
      <c r="K287" s="6">
        <f>IF($A287="","",ROUND(H287+I287-J287,2))</f>
        <v/>
      </c>
    </row>
    <row r="288">
      <c r="A288" s="5">
        <f>IF('Daily Sale entry '!A287="","",'Daily Sale entry '!A287)</f>
        <v/>
      </c>
      <c r="B288" s="6">
        <f>IF($A288="","",'Daily Sale entry '!F287)</f>
        <v/>
      </c>
      <c r="C288">
        <f t="array" ref="C288">IF($A288="","",_xlfn.TEXTJOIN(", ",TRUE,IF(('Daily Sale entry '!$X$2:$X$1501=$A288)*('Daily Sale entry '!$Z$2:$Z$1501="Online collection 网上收款"),'Daily Sale entry '!$AA$2:$AA$1501,"")))</f>
        <v/>
      </c>
      <c r="D288" s="6">
        <f>IF($A288="","",ROUND(SUMIFS('Daily Sale entry '!$AC$2:$AC$1501,'Daily Sale entry '!$X$2:$X$1501,$A288,'Daily Sale entry '!$Z$2:$Z$1501,"Online collection 网上收款")-'Opening Balance'!$B$15*SUMPRODUCT(('Daily Sale entry '!$X$2:$X$1501=$A288)*('Daily Sale entry '!$Z$2:$Z$1501="Online collection 网上收款")*('Daily Sale entry '!$AA$2:$AA$1501&lt;&gt;"")*('Daily Sale entry '!$AC$2:$AC$1501-TRUNC('Daily Sale entry '!$AC$2:$AC$1501))),2))</f>
        <v/>
      </c>
      <c r="E288" s="6">
        <f>IF($A288="","",ROUND('Sales &amp; Collection'!I4000-'Sales &amp; Collection'!I3999,2))</f>
        <v/>
      </c>
      <c r="F288" s="6">
        <f>IF($A288="","",'Sales &amp; Collection'!L3992)</f>
        <v/>
      </c>
      <c r="H288" s="6">
        <f>IF($A288="","",K287)</f>
        <v/>
      </c>
      <c r="I288" s="6">
        <f>IF($A288="","",ROUND(B288+D288+E288,2))</f>
        <v/>
      </c>
      <c r="J288" s="6">
        <f>IF($A288="","",F288)</f>
        <v/>
      </c>
      <c r="K288" s="6">
        <f>IF($A288="","",ROUND(H288+I288-J288,2))</f>
        <v/>
      </c>
    </row>
    <row r="289">
      <c r="A289" s="5">
        <f>IF('Daily Sale entry '!A288="","",'Daily Sale entry '!A288)</f>
        <v/>
      </c>
      <c r="B289" s="6">
        <f>IF($A289="","",'Daily Sale entry '!F288)</f>
        <v/>
      </c>
      <c r="C289">
        <f t="array" ref="C289">IF($A289="","",_xlfn.TEXTJOIN(", ",TRUE,IF(('Daily Sale entry '!$X$2:$X$1501=$A289)*('Daily Sale entry '!$Z$2:$Z$1501="Online collection 网上收款"),'Daily Sale entry '!$AA$2:$AA$1501,"")))</f>
        <v/>
      </c>
      <c r="D289" s="6">
        <f>IF($A289="","",ROUND(SUMIFS('Daily Sale entry '!$AC$2:$AC$1501,'Daily Sale entry '!$X$2:$X$1501,$A289,'Daily Sale entry '!$Z$2:$Z$1501,"Online collection 网上收款")-'Opening Balance'!$B$15*SUMPRODUCT(('Daily Sale entry '!$X$2:$X$1501=$A289)*('Daily Sale entry '!$Z$2:$Z$1501="Online collection 网上收款")*('Daily Sale entry '!$AA$2:$AA$1501&lt;&gt;"")*('Daily Sale entry '!$AC$2:$AC$1501-TRUNC('Daily Sale entry '!$AC$2:$AC$1501))),2))</f>
        <v/>
      </c>
      <c r="E289" s="6">
        <f>IF($A289="","",ROUND('Sales &amp; Collection'!I4014-'Sales &amp; Collection'!I4013,2))</f>
        <v/>
      </c>
      <c r="F289" s="6">
        <f>IF($A289="","",'Sales &amp; Collection'!L4006)</f>
        <v/>
      </c>
      <c r="H289" s="6">
        <f>IF($A289="","",K288)</f>
        <v/>
      </c>
      <c r="I289" s="6">
        <f>IF($A289="","",ROUND(B289+D289+E289,2))</f>
        <v/>
      </c>
      <c r="J289" s="6">
        <f>IF($A289="","",F289)</f>
        <v/>
      </c>
      <c r="K289" s="6">
        <f>IF($A289="","",ROUND(H289+I289-J289,2))</f>
        <v/>
      </c>
    </row>
    <row r="290">
      <c r="A290" s="5">
        <f>IF('Daily Sale entry '!A289="","",'Daily Sale entry '!A289)</f>
        <v/>
      </c>
      <c r="B290" s="6">
        <f>IF($A290="","",'Daily Sale entry '!F289)</f>
        <v/>
      </c>
      <c r="C290">
        <f t="array" ref="C290">IF($A290="","",_xlfn.TEXTJOIN(", ",TRUE,IF(('Daily Sale entry '!$X$2:$X$1501=$A290)*('Daily Sale entry '!$Z$2:$Z$1501="Online collection 网上收款"),'Daily Sale entry '!$AA$2:$AA$1501,"")))</f>
        <v/>
      </c>
      <c r="D290" s="6">
        <f>IF($A290="","",ROUND(SUMIFS('Daily Sale entry '!$AC$2:$AC$1501,'Daily Sale entry '!$X$2:$X$1501,$A290,'Daily Sale entry '!$Z$2:$Z$1501,"Online collection 网上收款")-'Opening Balance'!$B$15*SUMPRODUCT(('Daily Sale entry '!$X$2:$X$1501=$A290)*('Daily Sale entry '!$Z$2:$Z$1501="Online collection 网上收款")*('Daily Sale entry '!$AA$2:$AA$1501&lt;&gt;"")*('Daily Sale entry '!$AC$2:$AC$1501-TRUNC('Daily Sale entry '!$AC$2:$AC$1501))),2))</f>
        <v/>
      </c>
      <c r="E290" s="6">
        <f>IF($A290="","",ROUND('Sales &amp; Collection'!I4028-'Sales &amp; Collection'!I4027,2))</f>
        <v/>
      </c>
      <c r="F290" s="6">
        <f>IF($A290="","",'Sales &amp; Collection'!L4020)</f>
        <v/>
      </c>
      <c r="H290" s="6">
        <f>IF($A290="","",K289)</f>
        <v/>
      </c>
      <c r="I290" s="6">
        <f>IF($A290="","",ROUND(B290+D290+E290,2))</f>
        <v/>
      </c>
      <c r="J290" s="6">
        <f>IF($A290="","",F290)</f>
        <v/>
      </c>
      <c r="K290" s="6">
        <f>IF($A290="","",ROUND(H290+I290-J290,2))</f>
        <v/>
      </c>
    </row>
    <row r="291">
      <c r="A291" s="5">
        <f>IF('Daily Sale entry '!A290="","",'Daily Sale entry '!A290)</f>
        <v/>
      </c>
      <c r="B291" s="6">
        <f>IF($A291="","",'Daily Sale entry '!F290)</f>
        <v/>
      </c>
      <c r="C291">
        <f t="array" ref="C291">IF($A291="","",_xlfn.TEXTJOIN(", ",TRUE,IF(('Daily Sale entry '!$X$2:$X$1501=$A291)*('Daily Sale entry '!$Z$2:$Z$1501="Online collection 网上收款"),'Daily Sale entry '!$AA$2:$AA$1501,"")))</f>
        <v/>
      </c>
      <c r="D291" s="6">
        <f>IF($A291="","",ROUND(SUMIFS('Daily Sale entry '!$AC$2:$AC$1501,'Daily Sale entry '!$X$2:$X$1501,$A291,'Daily Sale entry '!$Z$2:$Z$1501,"Online collection 网上收款")-'Opening Balance'!$B$15*SUMPRODUCT(('Daily Sale entry '!$X$2:$X$1501=$A291)*('Daily Sale entry '!$Z$2:$Z$1501="Online collection 网上收款")*('Daily Sale entry '!$AA$2:$AA$1501&lt;&gt;"")*('Daily Sale entry '!$AC$2:$AC$1501-TRUNC('Daily Sale entry '!$AC$2:$AC$1501))),2))</f>
        <v/>
      </c>
      <c r="E291" s="6">
        <f>IF($A291="","",ROUND('Sales &amp; Collection'!I4042-'Sales &amp; Collection'!I4041,2))</f>
        <v/>
      </c>
      <c r="F291" s="6">
        <f>IF($A291="","",'Sales &amp; Collection'!L4034)</f>
        <v/>
      </c>
      <c r="H291" s="6">
        <f>IF($A291="","",K290)</f>
        <v/>
      </c>
      <c r="I291" s="6">
        <f>IF($A291="","",ROUND(B291+D291+E291,2))</f>
        <v/>
      </c>
      <c r="J291" s="6">
        <f>IF($A291="","",F291)</f>
        <v/>
      </c>
      <c r="K291" s="6">
        <f>IF($A291="","",ROUND(H291+I291-J291,2))</f>
        <v/>
      </c>
    </row>
    <row r="292">
      <c r="A292" s="5">
        <f>IF('Daily Sale entry '!A291="","",'Daily Sale entry '!A291)</f>
        <v/>
      </c>
      <c r="B292" s="6">
        <f>IF($A292="","",'Daily Sale entry '!F291)</f>
        <v/>
      </c>
      <c r="C292">
        <f t="array" ref="C292">IF($A292="","",_xlfn.TEXTJOIN(", ",TRUE,IF(('Daily Sale entry '!$X$2:$X$1501=$A292)*('Daily Sale entry '!$Z$2:$Z$1501="Online collection 网上收款"),'Daily Sale entry '!$AA$2:$AA$1501,"")))</f>
        <v/>
      </c>
      <c r="D292" s="6">
        <f>IF($A292="","",ROUND(SUMIFS('Daily Sale entry '!$AC$2:$AC$1501,'Daily Sale entry '!$X$2:$X$1501,$A292,'Daily Sale entry '!$Z$2:$Z$1501,"Online collection 网上收款")-'Opening Balance'!$B$15*SUMPRODUCT(('Daily Sale entry '!$X$2:$X$1501=$A292)*('Daily Sale entry '!$Z$2:$Z$1501="Online collection 网上收款")*('Daily Sale entry '!$AA$2:$AA$1501&lt;&gt;"")*('Daily Sale entry '!$AC$2:$AC$1501-TRUNC('Daily Sale entry '!$AC$2:$AC$1501))),2))</f>
        <v/>
      </c>
      <c r="E292" s="6">
        <f>IF($A292="","",ROUND('Sales &amp; Collection'!I4056-'Sales &amp; Collection'!I4055,2))</f>
        <v/>
      </c>
      <c r="F292" s="6">
        <f>IF($A292="","",'Sales &amp; Collection'!L4048)</f>
        <v/>
      </c>
      <c r="H292" s="6">
        <f>IF($A292="","",K291)</f>
        <v/>
      </c>
      <c r="I292" s="6">
        <f>IF($A292="","",ROUND(B292+D292+E292,2))</f>
        <v/>
      </c>
      <c r="J292" s="6">
        <f>IF($A292="","",F292)</f>
        <v/>
      </c>
      <c r="K292" s="6">
        <f>IF($A292="","",ROUND(H292+I292-J292,2))</f>
        <v/>
      </c>
    </row>
    <row r="293">
      <c r="A293" s="5">
        <f>IF('Daily Sale entry '!A292="","",'Daily Sale entry '!A292)</f>
        <v/>
      </c>
      <c r="B293" s="6">
        <f>IF($A293="","",'Daily Sale entry '!F292)</f>
        <v/>
      </c>
      <c r="C293">
        <f t="array" ref="C293">IF($A293="","",_xlfn.TEXTJOIN(", ",TRUE,IF(('Daily Sale entry '!$X$2:$X$1501=$A293)*('Daily Sale entry '!$Z$2:$Z$1501="Online collection 网上收款"),'Daily Sale entry '!$AA$2:$AA$1501,"")))</f>
        <v/>
      </c>
      <c r="D293" s="6">
        <f>IF($A293="","",ROUND(SUMIFS('Daily Sale entry '!$AC$2:$AC$1501,'Daily Sale entry '!$X$2:$X$1501,$A293,'Daily Sale entry '!$Z$2:$Z$1501,"Online collection 网上收款")-'Opening Balance'!$B$15*SUMPRODUCT(('Daily Sale entry '!$X$2:$X$1501=$A293)*('Daily Sale entry '!$Z$2:$Z$1501="Online collection 网上收款")*('Daily Sale entry '!$AA$2:$AA$1501&lt;&gt;"")*('Daily Sale entry '!$AC$2:$AC$1501-TRUNC('Daily Sale entry '!$AC$2:$AC$1501))),2))</f>
        <v/>
      </c>
      <c r="E293" s="6">
        <f>IF($A293="","",ROUND('Sales &amp; Collection'!I4070-'Sales &amp; Collection'!I4069,2))</f>
        <v/>
      </c>
      <c r="F293" s="6">
        <f>IF($A293="","",'Sales &amp; Collection'!L4062)</f>
        <v/>
      </c>
      <c r="H293" s="6">
        <f>IF($A293="","",K292)</f>
        <v/>
      </c>
      <c r="I293" s="6">
        <f>IF($A293="","",ROUND(B293+D293+E293,2))</f>
        <v/>
      </c>
      <c r="J293" s="6">
        <f>IF($A293="","",F293)</f>
        <v/>
      </c>
      <c r="K293" s="6">
        <f>IF($A293="","",ROUND(H293+I293-J293,2))</f>
        <v/>
      </c>
    </row>
    <row r="294">
      <c r="A294" s="5">
        <f>IF('Daily Sale entry '!A293="","",'Daily Sale entry '!A293)</f>
        <v/>
      </c>
      <c r="B294" s="6">
        <f>IF($A294="","",'Daily Sale entry '!F293)</f>
        <v/>
      </c>
      <c r="C294">
        <f t="array" ref="C294">IF($A294="","",_xlfn.TEXTJOIN(", ",TRUE,IF(('Daily Sale entry '!$X$2:$X$1501=$A294)*('Daily Sale entry '!$Z$2:$Z$1501="Online collection 网上收款"),'Daily Sale entry '!$AA$2:$AA$1501,"")))</f>
        <v/>
      </c>
      <c r="D294" s="6">
        <f>IF($A294="","",ROUND(SUMIFS('Daily Sale entry '!$AC$2:$AC$1501,'Daily Sale entry '!$X$2:$X$1501,$A294,'Daily Sale entry '!$Z$2:$Z$1501,"Online collection 网上收款")-'Opening Balance'!$B$15*SUMPRODUCT(('Daily Sale entry '!$X$2:$X$1501=$A294)*('Daily Sale entry '!$Z$2:$Z$1501="Online collection 网上收款")*('Daily Sale entry '!$AA$2:$AA$1501&lt;&gt;"")*('Daily Sale entry '!$AC$2:$AC$1501-TRUNC('Daily Sale entry '!$AC$2:$AC$1501))),2))</f>
        <v/>
      </c>
      <c r="E294" s="6">
        <f>IF($A294="","",ROUND('Sales &amp; Collection'!I4084-'Sales &amp; Collection'!I4083,2))</f>
        <v/>
      </c>
      <c r="F294" s="6">
        <f>IF($A294="","",'Sales &amp; Collection'!L4076)</f>
        <v/>
      </c>
      <c r="H294" s="6">
        <f>IF($A294="","",K293)</f>
        <v/>
      </c>
      <c r="I294" s="6">
        <f>IF($A294="","",ROUND(B294+D294+E294,2))</f>
        <v/>
      </c>
      <c r="J294" s="6">
        <f>IF($A294="","",F294)</f>
        <v/>
      </c>
      <c r="K294" s="6">
        <f>IF($A294="","",ROUND(H294+I294-J294,2))</f>
        <v/>
      </c>
    </row>
    <row r="295">
      <c r="A295" s="5">
        <f>IF('Daily Sale entry '!A294="","",'Daily Sale entry '!A294)</f>
        <v/>
      </c>
      <c r="B295" s="6">
        <f>IF($A295="","",'Daily Sale entry '!F294)</f>
        <v/>
      </c>
      <c r="C295">
        <f t="array" ref="C295">IF($A295="","",_xlfn.TEXTJOIN(", ",TRUE,IF(('Daily Sale entry '!$X$2:$X$1501=$A295)*('Daily Sale entry '!$Z$2:$Z$1501="Online collection 网上收款"),'Daily Sale entry '!$AA$2:$AA$1501,"")))</f>
        <v/>
      </c>
      <c r="D295" s="6">
        <f>IF($A295="","",ROUND(SUMIFS('Daily Sale entry '!$AC$2:$AC$1501,'Daily Sale entry '!$X$2:$X$1501,$A295,'Daily Sale entry '!$Z$2:$Z$1501,"Online collection 网上收款")-'Opening Balance'!$B$15*SUMPRODUCT(('Daily Sale entry '!$X$2:$X$1501=$A295)*('Daily Sale entry '!$Z$2:$Z$1501="Online collection 网上收款")*('Daily Sale entry '!$AA$2:$AA$1501&lt;&gt;"")*('Daily Sale entry '!$AC$2:$AC$1501-TRUNC('Daily Sale entry '!$AC$2:$AC$1501))),2))</f>
        <v/>
      </c>
      <c r="E295" s="6">
        <f>IF($A295="","",ROUND('Sales &amp; Collection'!I4098-'Sales &amp; Collection'!I4097,2))</f>
        <v/>
      </c>
      <c r="F295" s="6">
        <f>IF($A295="","",'Sales &amp; Collection'!L4090)</f>
        <v/>
      </c>
      <c r="H295" s="6">
        <f>IF($A295="","",K294)</f>
        <v/>
      </c>
      <c r="I295" s="6">
        <f>IF($A295="","",ROUND(B295+D295+E295,2))</f>
        <v/>
      </c>
      <c r="J295" s="6">
        <f>IF($A295="","",F295)</f>
        <v/>
      </c>
      <c r="K295" s="6">
        <f>IF($A295="","",ROUND(H295+I295-J295,2))</f>
        <v/>
      </c>
    </row>
    <row r="296">
      <c r="A296" s="5">
        <f>IF('Daily Sale entry '!A295="","",'Daily Sale entry '!A295)</f>
        <v/>
      </c>
      <c r="B296" s="6">
        <f>IF($A296="","",'Daily Sale entry '!F295)</f>
        <v/>
      </c>
      <c r="C296">
        <f t="array" ref="C296">IF($A296="","",_xlfn.TEXTJOIN(", ",TRUE,IF(('Daily Sale entry '!$X$2:$X$1501=$A296)*('Daily Sale entry '!$Z$2:$Z$1501="Online collection 网上收款"),'Daily Sale entry '!$AA$2:$AA$1501,"")))</f>
        <v/>
      </c>
      <c r="D296" s="6">
        <f>IF($A296="","",ROUND(SUMIFS('Daily Sale entry '!$AC$2:$AC$1501,'Daily Sale entry '!$X$2:$X$1501,$A296,'Daily Sale entry '!$Z$2:$Z$1501,"Online collection 网上收款")-'Opening Balance'!$B$15*SUMPRODUCT(('Daily Sale entry '!$X$2:$X$1501=$A296)*('Daily Sale entry '!$Z$2:$Z$1501="Online collection 网上收款")*('Daily Sale entry '!$AA$2:$AA$1501&lt;&gt;"")*('Daily Sale entry '!$AC$2:$AC$1501-TRUNC('Daily Sale entry '!$AC$2:$AC$1501))),2))</f>
        <v/>
      </c>
      <c r="E296" s="6">
        <f>IF($A296="","",ROUND('Sales &amp; Collection'!I4112-'Sales &amp; Collection'!I4111,2))</f>
        <v/>
      </c>
      <c r="F296" s="6">
        <f>IF($A296="","",'Sales &amp; Collection'!L4104)</f>
        <v/>
      </c>
      <c r="H296" s="6">
        <f>IF($A296="","",K295)</f>
        <v/>
      </c>
      <c r="I296" s="6">
        <f>IF($A296="","",ROUND(B296+D296+E296,2))</f>
        <v/>
      </c>
      <c r="J296" s="6">
        <f>IF($A296="","",F296)</f>
        <v/>
      </c>
      <c r="K296" s="6">
        <f>IF($A296="","",ROUND(H296+I296-J296,2))</f>
        <v/>
      </c>
    </row>
    <row r="297">
      <c r="A297" s="5">
        <f>IF('Daily Sale entry '!A296="","",'Daily Sale entry '!A296)</f>
        <v/>
      </c>
      <c r="B297" s="6">
        <f>IF($A297="","",'Daily Sale entry '!F296)</f>
        <v/>
      </c>
      <c r="C297">
        <f t="array" ref="C297">IF($A297="","",_xlfn.TEXTJOIN(", ",TRUE,IF(('Daily Sale entry '!$X$2:$X$1501=$A297)*('Daily Sale entry '!$Z$2:$Z$1501="Online collection 网上收款"),'Daily Sale entry '!$AA$2:$AA$1501,"")))</f>
        <v/>
      </c>
      <c r="D297" s="6">
        <f>IF($A297="","",ROUND(SUMIFS('Daily Sale entry '!$AC$2:$AC$1501,'Daily Sale entry '!$X$2:$X$1501,$A297,'Daily Sale entry '!$Z$2:$Z$1501,"Online collection 网上收款")-'Opening Balance'!$B$15*SUMPRODUCT(('Daily Sale entry '!$X$2:$X$1501=$A297)*('Daily Sale entry '!$Z$2:$Z$1501="Online collection 网上收款")*('Daily Sale entry '!$AA$2:$AA$1501&lt;&gt;"")*('Daily Sale entry '!$AC$2:$AC$1501-TRUNC('Daily Sale entry '!$AC$2:$AC$1501))),2))</f>
        <v/>
      </c>
      <c r="E297" s="6">
        <f>IF($A297="","",ROUND('Sales &amp; Collection'!I4126-'Sales &amp; Collection'!I4125,2))</f>
        <v/>
      </c>
      <c r="F297" s="6">
        <f>IF($A297="","",'Sales &amp; Collection'!L4118)</f>
        <v/>
      </c>
      <c r="H297" s="6">
        <f>IF($A297="","",K296)</f>
        <v/>
      </c>
      <c r="I297" s="6">
        <f>IF($A297="","",ROUND(B297+D297+E297,2))</f>
        <v/>
      </c>
      <c r="J297" s="6">
        <f>IF($A297="","",F297)</f>
        <v/>
      </c>
      <c r="K297" s="6">
        <f>IF($A297="","",ROUND(H297+I297-J297,2))</f>
        <v/>
      </c>
    </row>
    <row r="298">
      <c r="A298" s="5">
        <f>IF('Daily Sale entry '!A297="","",'Daily Sale entry '!A297)</f>
        <v/>
      </c>
      <c r="B298" s="6">
        <f>IF($A298="","",'Daily Sale entry '!F297)</f>
        <v/>
      </c>
      <c r="C298">
        <f t="array" ref="C298">IF($A298="","",_xlfn.TEXTJOIN(", ",TRUE,IF(('Daily Sale entry '!$X$2:$X$1501=$A298)*('Daily Sale entry '!$Z$2:$Z$1501="Online collection 网上收款"),'Daily Sale entry '!$AA$2:$AA$1501,"")))</f>
        <v/>
      </c>
      <c r="D298" s="6">
        <f>IF($A298="","",ROUND(SUMIFS('Daily Sale entry '!$AC$2:$AC$1501,'Daily Sale entry '!$X$2:$X$1501,$A298,'Daily Sale entry '!$Z$2:$Z$1501,"Online collection 网上收款")-'Opening Balance'!$B$15*SUMPRODUCT(('Daily Sale entry '!$X$2:$X$1501=$A298)*('Daily Sale entry '!$Z$2:$Z$1501="Online collection 网上收款")*('Daily Sale entry '!$AA$2:$AA$1501&lt;&gt;"")*('Daily Sale entry '!$AC$2:$AC$1501-TRUNC('Daily Sale entry '!$AC$2:$AC$1501))),2))</f>
        <v/>
      </c>
      <c r="E298" s="6">
        <f>IF($A298="","",ROUND('Sales &amp; Collection'!I4140-'Sales &amp; Collection'!I4139,2))</f>
        <v/>
      </c>
      <c r="F298" s="6">
        <f>IF($A298="","",'Sales &amp; Collection'!L4132)</f>
        <v/>
      </c>
      <c r="H298" s="6">
        <f>IF($A298="","",K297)</f>
        <v/>
      </c>
      <c r="I298" s="6">
        <f>IF($A298="","",ROUND(B298+D298+E298,2))</f>
        <v/>
      </c>
      <c r="J298" s="6">
        <f>IF($A298="","",F298)</f>
        <v/>
      </c>
      <c r="K298" s="6">
        <f>IF($A298="","",ROUND(H298+I298-J298,2))</f>
        <v/>
      </c>
    </row>
    <row r="299">
      <c r="A299" s="5">
        <f>IF('Daily Sale entry '!A298="","",'Daily Sale entry '!A298)</f>
        <v/>
      </c>
      <c r="B299" s="6">
        <f>IF($A299="","",'Daily Sale entry '!F298)</f>
        <v/>
      </c>
      <c r="C299">
        <f t="array" ref="C299">IF($A299="","",_xlfn.TEXTJOIN(", ",TRUE,IF(('Daily Sale entry '!$X$2:$X$1501=$A299)*('Daily Sale entry '!$Z$2:$Z$1501="Online collection 网上收款"),'Daily Sale entry '!$AA$2:$AA$1501,"")))</f>
        <v/>
      </c>
      <c r="D299" s="6">
        <f>IF($A299="","",ROUND(SUMIFS('Daily Sale entry '!$AC$2:$AC$1501,'Daily Sale entry '!$X$2:$X$1501,$A299,'Daily Sale entry '!$Z$2:$Z$1501,"Online collection 网上收款")-'Opening Balance'!$B$15*SUMPRODUCT(('Daily Sale entry '!$X$2:$X$1501=$A299)*('Daily Sale entry '!$Z$2:$Z$1501="Online collection 网上收款")*('Daily Sale entry '!$AA$2:$AA$1501&lt;&gt;"")*('Daily Sale entry '!$AC$2:$AC$1501-TRUNC('Daily Sale entry '!$AC$2:$AC$1501))),2))</f>
        <v/>
      </c>
      <c r="E299" s="6">
        <f>IF($A299="","",ROUND('Sales &amp; Collection'!I4154-'Sales &amp; Collection'!I4153,2))</f>
        <v/>
      </c>
      <c r="F299" s="6">
        <f>IF($A299="","",'Sales &amp; Collection'!L4146)</f>
        <v/>
      </c>
      <c r="H299" s="6">
        <f>IF($A299="","",K298)</f>
        <v/>
      </c>
      <c r="I299" s="6">
        <f>IF($A299="","",ROUND(B299+D299+E299,2))</f>
        <v/>
      </c>
      <c r="J299" s="6">
        <f>IF($A299="","",F299)</f>
        <v/>
      </c>
      <c r="K299" s="6">
        <f>IF($A299="","",ROUND(H299+I299-J299,2))</f>
        <v/>
      </c>
    </row>
    <row r="300">
      <c r="A300" s="5">
        <f>IF('Daily Sale entry '!A299="","",'Daily Sale entry '!A299)</f>
        <v/>
      </c>
      <c r="B300" s="6">
        <f>IF($A300="","",'Daily Sale entry '!F299)</f>
        <v/>
      </c>
      <c r="C300">
        <f t="array" ref="C300">IF($A300="","",_xlfn.TEXTJOIN(", ",TRUE,IF(('Daily Sale entry '!$X$2:$X$1501=$A300)*('Daily Sale entry '!$Z$2:$Z$1501="Online collection 网上收款"),'Daily Sale entry '!$AA$2:$AA$1501,"")))</f>
        <v/>
      </c>
      <c r="D300" s="6">
        <f>IF($A300="","",ROUND(SUMIFS('Daily Sale entry '!$AC$2:$AC$1501,'Daily Sale entry '!$X$2:$X$1501,$A300,'Daily Sale entry '!$Z$2:$Z$1501,"Online collection 网上收款")-'Opening Balance'!$B$15*SUMPRODUCT(('Daily Sale entry '!$X$2:$X$1501=$A300)*('Daily Sale entry '!$Z$2:$Z$1501="Online collection 网上收款")*('Daily Sale entry '!$AA$2:$AA$1501&lt;&gt;"")*('Daily Sale entry '!$AC$2:$AC$1501-TRUNC('Daily Sale entry '!$AC$2:$AC$1501))),2))</f>
        <v/>
      </c>
      <c r="E300" s="6">
        <f>IF($A300="","",ROUND('Sales &amp; Collection'!I4168-'Sales &amp; Collection'!I4167,2))</f>
        <v/>
      </c>
      <c r="F300" s="6">
        <f>IF($A300="","",'Sales &amp; Collection'!L4160)</f>
        <v/>
      </c>
      <c r="H300" s="6">
        <f>IF($A300="","",K299)</f>
        <v/>
      </c>
      <c r="I300" s="6">
        <f>IF($A300="","",ROUND(B300+D300+E300,2))</f>
        <v/>
      </c>
      <c r="J300" s="6">
        <f>IF($A300="","",F300)</f>
        <v/>
      </c>
      <c r="K300" s="6">
        <f>IF($A300="","",ROUND(H300+I300-J300,2))</f>
        <v/>
      </c>
    </row>
    <row r="301">
      <c r="A301" s="5">
        <f>IF('Daily Sale entry '!A300="","",'Daily Sale entry '!A300)</f>
        <v/>
      </c>
      <c r="B301" s="6">
        <f>IF($A301="","",'Daily Sale entry '!F300)</f>
        <v/>
      </c>
      <c r="C301">
        <f t="array" ref="C301">IF($A301="","",_xlfn.TEXTJOIN(", ",TRUE,IF(('Daily Sale entry '!$X$2:$X$1501=$A301)*('Daily Sale entry '!$Z$2:$Z$1501="Online collection 网上收款"),'Daily Sale entry '!$AA$2:$AA$1501,"")))</f>
        <v/>
      </c>
      <c r="D301" s="6">
        <f>IF($A301="","",ROUND(SUMIFS('Daily Sale entry '!$AC$2:$AC$1501,'Daily Sale entry '!$X$2:$X$1501,$A301,'Daily Sale entry '!$Z$2:$Z$1501,"Online collection 网上收款")-'Opening Balance'!$B$15*SUMPRODUCT(('Daily Sale entry '!$X$2:$X$1501=$A301)*('Daily Sale entry '!$Z$2:$Z$1501="Online collection 网上收款")*('Daily Sale entry '!$AA$2:$AA$1501&lt;&gt;"")*('Daily Sale entry '!$AC$2:$AC$1501-TRUNC('Daily Sale entry '!$AC$2:$AC$1501))),2))</f>
        <v/>
      </c>
      <c r="E301" s="6">
        <f>IF($A301="","",ROUND('Sales &amp; Collection'!I4182-'Sales &amp; Collection'!I4181,2))</f>
        <v/>
      </c>
      <c r="F301" s="6">
        <f>IF($A301="","",'Sales &amp; Collection'!L4174)</f>
        <v/>
      </c>
      <c r="H301" s="6">
        <f>IF($A301="","",K300)</f>
        <v/>
      </c>
      <c r="I301" s="6">
        <f>IF($A301="","",ROUND(B301+D301+E301,2))</f>
        <v/>
      </c>
      <c r="J301" s="6">
        <f>IF($A301="","",F301)</f>
        <v/>
      </c>
      <c r="K301" s="6">
        <f>IF($A301="","",ROUND(H301+I301-J301,2))</f>
        <v/>
      </c>
    </row>
    <row r="302">
      <c r="A302" s="5">
        <f>IF('Daily Sale entry '!A301="","",'Daily Sale entry '!A301)</f>
        <v/>
      </c>
      <c r="B302" s="6">
        <f>IF($A302="","",'Daily Sale entry '!F301)</f>
        <v/>
      </c>
      <c r="C302">
        <f t="array" ref="C302">IF($A302="","",_xlfn.TEXTJOIN(", ",TRUE,IF(('Daily Sale entry '!$X$2:$X$1501=$A302)*('Daily Sale entry '!$Z$2:$Z$1501="Online collection 网上收款"),'Daily Sale entry '!$AA$2:$AA$1501,"")))</f>
        <v/>
      </c>
      <c r="D302" s="6">
        <f>IF($A302="","",ROUND(SUMIFS('Daily Sale entry '!$AC$2:$AC$1501,'Daily Sale entry '!$X$2:$X$1501,$A302,'Daily Sale entry '!$Z$2:$Z$1501,"Online collection 网上收款")-'Opening Balance'!$B$15*SUMPRODUCT(('Daily Sale entry '!$X$2:$X$1501=$A302)*('Daily Sale entry '!$Z$2:$Z$1501="Online collection 网上收款")*('Daily Sale entry '!$AA$2:$AA$1501&lt;&gt;"")*('Daily Sale entry '!$AC$2:$AC$1501-TRUNC('Daily Sale entry '!$AC$2:$AC$1501))),2))</f>
        <v/>
      </c>
      <c r="E302" s="6">
        <f>IF($A302="","",ROUND('Sales &amp; Collection'!I4196-'Sales &amp; Collection'!I4195,2))</f>
        <v/>
      </c>
      <c r="F302" s="6">
        <f>IF($A302="","",'Sales &amp; Collection'!L4188)</f>
        <v/>
      </c>
      <c r="H302" s="6">
        <f>IF($A302="","",K301)</f>
        <v/>
      </c>
      <c r="I302" s="6">
        <f>IF($A302="","",ROUND(B302+D302+E302,2))</f>
        <v/>
      </c>
      <c r="J302" s="6">
        <f>IF($A302="","",F302)</f>
        <v/>
      </c>
      <c r="K302" s="6">
        <f>IF($A302="","",ROUND(H302+I302-J302,2))</f>
        <v/>
      </c>
    </row>
    <row r="303">
      <c r="A303" s="5">
        <f>IF('Daily Sale entry '!A302="","",'Daily Sale entry '!A302)</f>
        <v/>
      </c>
      <c r="B303" s="6">
        <f>IF($A303="","",'Daily Sale entry '!F302)</f>
        <v/>
      </c>
      <c r="C303">
        <f t="array" ref="C303">IF($A303="","",_xlfn.TEXTJOIN(", ",TRUE,IF(('Daily Sale entry '!$X$2:$X$1501=$A303)*('Daily Sale entry '!$Z$2:$Z$1501="Online collection 网上收款"),'Daily Sale entry '!$AA$2:$AA$1501,"")))</f>
        <v/>
      </c>
      <c r="D303" s="6">
        <f>IF($A303="","",ROUND(SUMIFS('Daily Sale entry '!$AC$2:$AC$1501,'Daily Sale entry '!$X$2:$X$1501,$A303,'Daily Sale entry '!$Z$2:$Z$1501,"Online collection 网上收款")-'Opening Balance'!$B$15*SUMPRODUCT(('Daily Sale entry '!$X$2:$X$1501=$A303)*('Daily Sale entry '!$Z$2:$Z$1501="Online collection 网上收款")*('Daily Sale entry '!$AA$2:$AA$1501&lt;&gt;"")*('Daily Sale entry '!$AC$2:$AC$1501-TRUNC('Daily Sale entry '!$AC$2:$AC$1501))),2))</f>
        <v/>
      </c>
      <c r="E303" s="6">
        <f>IF($A303="","",ROUND('Sales &amp; Collection'!I4210-'Sales &amp; Collection'!I4209,2))</f>
        <v/>
      </c>
      <c r="F303" s="6">
        <f>IF($A303="","",'Sales &amp; Collection'!L4202)</f>
        <v/>
      </c>
      <c r="H303" s="6">
        <f>IF($A303="","",K302)</f>
        <v/>
      </c>
      <c r="I303" s="6">
        <f>IF($A303="","",ROUND(B303+D303+E303,2))</f>
        <v/>
      </c>
      <c r="J303" s="6">
        <f>IF($A303="","",F303)</f>
        <v/>
      </c>
      <c r="K303" s="6">
        <f>IF($A303="","",ROUND(H303+I303-J303,2))</f>
        <v/>
      </c>
    </row>
    <row r="304">
      <c r="A304" s="5">
        <f>IF('Daily Sale entry '!A303="","",'Daily Sale entry '!A303)</f>
        <v/>
      </c>
      <c r="B304" s="6">
        <f>IF($A304="","",'Daily Sale entry '!F303)</f>
        <v/>
      </c>
      <c r="C304">
        <f t="array" ref="C304">IF($A304="","",_xlfn.TEXTJOIN(", ",TRUE,IF(('Daily Sale entry '!$X$2:$X$1501=$A304)*('Daily Sale entry '!$Z$2:$Z$1501="Online collection 网上收款"),'Daily Sale entry '!$AA$2:$AA$1501,"")))</f>
        <v/>
      </c>
      <c r="D304" s="6">
        <f>IF($A304="","",ROUND(SUMIFS('Daily Sale entry '!$AC$2:$AC$1501,'Daily Sale entry '!$X$2:$X$1501,$A304,'Daily Sale entry '!$Z$2:$Z$1501,"Online collection 网上收款")-'Opening Balance'!$B$15*SUMPRODUCT(('Daily Sale entry '!$X$2:$X$1501=$A304)*('Daily Sale entry '!$Z$2:$Z$1501="Online collection 网上收款")*('Daily Sale entry '!$AA$2:$AA$1501&lt;&gt;"")*('Daily Sale entry '!$AC$2:$AC$1501-TRUNC('Daily Sale entry '!$AC$2:$AC$1501))),2))</f>
        <v/>
      </c>
      <c r="E304" s="6">
        <f>IF($A304="","",ROUND('Sales &amp; Collection'!I4224-'Sales &amp; Collection'!I4223,2))</f>
        <v/>
      </c>
      <c r="F304" s="6">
        <f>IF($A304="","",'Sales &amp; Collection'!L4216)</f>
        <v/>
      </c>
      <c r="H304" s="6">
        <f>IF($A304="","",K303)</f>
        <v/>
      </c>
      <c r="I304" s="6">
        <f>IF($A304="","",ROUND(B304+D304+E304,2))</f>
        <v/>
      </c>
      <c r="J304" s="6">
        <f>IF($A304="","",F304)</f>
        <v/>
      </c>
      <c r="K304" s="6">
        <f>IF($A304="","",ROUND(H304+I304-J304,2))</f>
        <v/>
      </c>
    </row>
    <row r="305">
      <c r="A305" s="5">
        <f>IF('Daily Sale entry '!A304="","",'Daily Sale entry '!A304)</f>
        <v/>
      </c>
      <c r="B305" s="6">
        <f>IF($A305="","",'Daily Sale entry '!F304)</f>
        <v/>
      </c>
      <c r="C305">
        <f t="array" ref="C305">IF($A305="","",_xlfn.TEXTJOIN(", ",TRUE,IF(('Daily Sale entry '!$X$2:$X$1501=$A305)*('Daily Sale entry '!$Z$2:$Z$1501="Online collection 网上收款"),'Daily Sale entry '!$AA$2:$AA$1501,"")))</f>
        <v/>
      </c>
      <c r="D305" s="6">
        <f>IF($A305="","",ROUND(SUMIFS('Daily Sale entry '!$AC$2:$AC$1501,'Daily Sale entry '!$X$2:$X$1501,$A305,'Daily Sale entry '!$Z$2:$Z$1501,"Online collection 网上收款")-'Opening Balance'!$B$15*SUMPRODUCT(('Daily Sale entry '!$X$2:$X$1501=$A305)*('Daily Sale entry '!$Z$2:$Z$1501="Online collection 网上收款")*('Daily Sale entry '!$AA$2:$AA$1501&lt;&gt;"")*('Daily Sale entry '!$AC$2:$AC$1501-TRUNC('Daily Sale entry '!$AC$2:$AC$1501))),2))</f>
        <v/>
      </c>
      <c r="E305" s="6">
        <f>IF($A305="","",ROUND('Sales &amp; Collection'!I4238-'Sales &amp; Collection'!I4237,2))</f>
        <v/>
      </c>
      <c r="F305" s="6">
        <f>IF($A305="","",'Sales &amp; Collection'!L4230)</f>
        <v/>
      </c>
      <c r="H305" s="6">
        <f>IF($A305="","",K304)</f>
        <v/>
      </c>
      <c r="I305" s="6">
        <f>IF($A305="","",ROUND(B305+D305+E305,2))</f>
        <v/>
      </c>
      <c r="J305" s="6">
        <f>IF($A305="","",F305)</f>
        <v/>
      </c>
      <c r="K305" s="6">
        <f>IF($A305="","",ROUND(H305+I305-J305,2))</f>
        <v/>
      </c>
    </row>
    <row r="306">
      <c r="A306" s="5">
        <f>IF('Daily Sale entry '!A305="","",'Daily Sale entry '!A305)</f>
        <v/>
      </c>
      <c r="B306" s="6">
        <f>IF($A306="","",'Daily Sale entry '!F305)</f>
        <v/>
      </c>
      <c r="C306">
        <f t="array" ref="C306">IF($A306="","",_xlfn.TEXTJOIN(", ",TRUE,IF(('Daily Sale entry '!$X$2:$X$1501=$A306)*('Daily Sale entry '!$Z$2:$Z$1501="Online collection 网上收款"),'Daily Sale entry '!$AA$2:$AA$1501,"")))</f>
        <v/>
      </c>
      <c r="D306" s="6">
        <f>IF($A306="","",ROUND(SUMIFS('Daily Sale entry '!$AC$2:$AC$1501,'Daily Sale entry '!$X$2:$X$1501,$A306,'Daily Sale entry '!$Z$2:$Z$1501,"Online collection 网上收款")-'Opening Balance'!$B$15*SUMPRODUCT(('Daily Sale entry '!$X$2:$X$1501=$A306)*('Daily Sale entry '!$Z$2:$Z$1501="Online collection 网上收款")*('Daily Sale entry '!$AA$2:$AA$1501&lt;&gt;"")*('Daily Sale entry '!$AC$2:$AC$1501-TRUNC('Daily Sale entry '!$AC$2:$AC$1501))),2))</f>
        <v/>
      </c>
      <c r="E306" s="6">
        <f>IF($A306="","",ROUND('Sales &amp; Collection'!I4252-'Sales &amp; Collection'!I4251,2))</f>
        <v/>
      </c>
      <c r="F306" s="6">
        <f>IF($A306="","",'Sales &amp; Collection'!L4244)</f>
        <v/>
      </c>
      <c r="H306" s="6">
        <f>IF($A306="","",K305)</f>
        <v/>
      </c>
      <c r="I306" s="6">
        <f>IF($A306="","",ROUND(B306+D306+E306,2))</f>
        <v/>
      </c>
      <c r="J306" s="6">
        <f>IF($A306="","",F306)</f>
        <v/>
      </c>
      <c r="K306" s="6">
        <f>IF($A306="","",ROUND(H306+I306-J306,2))</f>
        <v/>
      </c>
    </row>
    <row r="307">
      <c r="A307" s="5">
        <f>IF('Daily Sale entry '!A306="","",'Daily Sale entry '!A306)</f>
        <v/>
      </c>
      <c r="B307" s="6">
        <f>IF($A307="","",'Daily Sale entry '!F306)</f>
        <v/>
      </c>
      <c r="C307">
        <f t="array" ref="C307">IF($A307="","",_xlfn.TEXTJOIN(", ",TRUE,IF(('Daily Sale entry '!$X$2:$X$1501=$A307)*('Daily Sale entry '!$Z$2:$Z$1501="Online collection 网上收款"),'Daily Sale entry '!$AA$2:$AA$1501,"")))</f>
        <v/>
      </c>
      <c r="D307" s="6">
        <f>IF($A307="","",ROUND(SUMIFS('Daily Sale entry '!$AC$2:$AC$1501,'Daily Sale entry '!$X$2:$X$1501,$A307,'Daily Sale entry '!$Z$2:$Z$1501,"Online collection 网上收款")-'Opening Balance'!$B$15*SUMPRODUCT(('Daily Sale entry '!$X$2:$X$1501=$A307)*('Daily Sale entry '!$Z$2:$Z$1501="Online collection 网上收款")*('Daily Sale entry '!$AA$2:$AA$1501&lt;&gt;"")*('Daily Sale entry '!$AC$2:$AC$1501-TRUNC('Daily Sale entry '!$AC$2:$AC$1501))),2))</f>
        <v/>
      </c>
      <c r="E307" s="6">
        <f>IF($A307="","",ROUND('Sales &amp; Collection'!I4266-'Sales &amp; Collection'!I4265,2))</f>
        <v/>
      </c>
      <c r="F307" s="6">
        <f>IF($A307="","",'Sales &amp; Collection'!L4258)</f>
        <v/>
      </c>
      <c r="H307" s="6">
        <f>IF($A307="","",K306)</f>
        <v/>
      </c>
      <c r="I307" s="6">
        <f>IF($A307="","",ROUND(B307+D307+E307,2))</f>
        <v/>
      </c>
      <c r="J307" s="6">
        <f>IF($A307="","",F307)</f>
        <v/>
      </c>
      <c r="K307" s="6">
        <f>IF($A307="","",ROUND(H307+I307-J307,2))</f>
        <v/>
      </c>
    </row>
    <row r="308">
      <c r="A308" s="5">
        <f>IF('Daily Sale entry '!A307="","",'Daily Sale entry '!A307)</f>
        <v/>
      </c>
      <c r="B308" s="6">
        <f>IF($A308="","",'Daily Sale entry '!F307)</f>
        <v/>
      </c>
      <c r="C308">
        <f t="array" ref="C308">IF($A308="","",_xlfn.TEXTJOIN(", ",TRUE,IF(('Daily Sale entry '!$X$2:$X$1501=$A308)*('Daily Sale entry '!$Z$2:$Z$1501="Online collection 网上收款"),'Daily Sale entry '!$AA$2:$AA$1501,"")))</f>
        <v/>
      </c>
      <c r="D308" s="6">
        <f>IF($A308="","",ROUND(SUMIFS('Daily Sale entry '!$AC$2:$AC$1501,'Daily Sale entry '!$X$2:$X$1501,$A308,'Daily Sale entry '!$Z$2:$Z$1501,"Online collection 网上收款")-'Opening Balance'!$B$15*SUMPRODUCT(('Daily Sale entry '!$X$2:$X$1501=$A308)*('Daily Sale entry '!$Z$2:$Z$1501="Online collection 网上收款")*('Daily Sale entry '!$AA$2:$AA$1501&lt;&gt;"")*('Daily Sale entry '!$AC$2:$AC$1501-TRUNC('Daily Sale entry '!$AC$2:$AC$1501))),2))</f>
        <v/>
      </c>
      <c r="E308" s="6">
        <f>IF($A308="","",ROUND('Sales &amp; Collection'!I4280-'Sales &amp; Collection'!I4279,2))</f>
        <v/>
      </c>
      <c r="F308" s="6">
        <f>IF($A308="","",'Sales &amp; Collection'!L4272)</f>
        <v/>
      </c>
      <c r="H308" s="6">
        <f>IF($A308="","",K307)</f>
        <v/>
      </c>
      <c r="I308" s="6">
        <f>IF($A308="","",ROUND(B308+D308+E308,2))</f>
        <v/>
      </c>
      <c r="J308" s="6">
        <f>IF($A308="","",F308)</f>
        <v/>
      </c>
      <c r="K308" s="6">
        <f>IF($A308="","",ROUND(H308+I308-J308,2))</f>
        <v/>
      </c>
    </row>
    <row r="309">
      <c r="A309" s="5">
        <f>IF('Daily Sale entry '!A308="","",'Daily Sale entry '!A308)</f>
        <v/>
      </c>
      <c r="B309" s="6">
        <f>IF($A309="","",'Daily Sale entry '!F308)</f>
        <v/>
      </c>
      <c r="C309">
        <f t="array" ref="C309">IF($A309="","",_xlfn.TEXTJOIN(", ",TRUE,IF(('Daily Sale entry '!$X$2:$X$1501=$A309)*('Daily Sale entry '!$Z$2:$Z$1501="Online collection 网上收款"),'Daily Sale entry '!$AA$2:$AA$1501,"")))</f>
        <v/>
      </c>
      <c r="D309" s="6">
        <f>IF($A309="","",ROUND(SUMIFS('Daily Sale entry '!$AC$2:$AC$1501,'Daily Sale entry '!$X$2:$X$1501,$A309,'Daily Sale entry '!$Z$2:$Z$1501,"Online collection 网上收款")-'Opening Balance'!$B$15*SUMPRODUCT(('Daily Sale entry '!$X$2:$X$1501=$A309)*('Daily Sale entry '!$Z$2:$Z$1501="Online collection 网上收款")*('Daily Sale entry '!$AA$2:$AA$1501&lt;&gt;"")*('Daily Sale entry '!$AC$2:$AC$1501-TRUNC('Daily Sale entry '!$AC$2:$AC$1501))),2))</f>
        <v/>
      </c>
      <c r="E309" s="6">
        <f>IF($A309="","",ROUND('Sales &amp; Collection'!I4294-'Sales &amp; Collection'!I4293,2))</f>
        <v/>
      </c>
      <c r="F309" s="6">
        <f>IF($A309="","",'Sales &amp; Collection'!L4286)</f>
        <v/>
      </c>
      <c r="H309" s="6">
        <f>IF($A309="","",K308)</f>
        <v/>
      </c>
      <c r="I309" s="6">
        <f>IF($A309="","",ROUND(B309+D309+E309,2))</f>
        <v/>
      </c>
      <c r="J309" s="6">
        <f>IF($A309="","",F309)</f>
        <v/>
      </c>
      <c r="K309" s="6">
        <f>IF($A309="","",ROUND(H309+I309-J309,2))</f>
        <v/>
      </c>
    </row>
    <row r="310">
      <c r="A310" s="5">
        <f>IF('Daily Sale entry '!A309="","",'Daily Sale entry '!A309)</f>
        <v/>
      </c>
      <c r="B310" s="6">
        <f>IF($A310="","",'Daily Sale entry '!F309)</f>
        <v/>
      </c>
      <c r="C310">
        <f t="array" ref="C310">IF($A310="","",_xlfn.TEXTJOIN(", ",TRUE,IF(('Daily Sale entry '!$X$2:$X$1501=$A310)*('Daily Sale entry '!$Z$2:$Z$1501="Online collection 网上收款"),'Daily Sale entry '!$AA$2:$AA$1501,"")))</f>
        <v/>
      </c>
      <c r="D310" s="6">
        <f>IF($A310="","",ROUND(SUMIFS('Daily Sale entry '!$AC$2:$AC$1501,'Daily Sale entry '!$X$2:$X$1501,$A310,'Daily Sale entry '!$Z$2:$Z$1501,"Online collection 网上收款")-'Opening Balance'!$B$15*SUMPRODUCT(('Daily Sale entry '!$X$2:$X$1501=$A310)*('Daily Sale entry '!$Z$2:$Z$1501="Online collection 网上收款")*('Daily Sale entry '!$AA$2:$AA$1501&lt;&gt;"")*('Daily Sale entry '!$AC$2:$AC$1501-TRUNC('Daily Sale entry '!$AC$2:$AC$1501))),2))</f>
        <v/>
      </c>
      <c r="E310" s="6">
        <f>IF($A310="","",ROUND('Sales &amp; Collection'!I4308-'Sales &amp; Collection'!I4307,2))</f>
        <v/>
      </c>
      <c r="F310" s="6">
        <f>IF($A310="","",'Sales &amp; Collection'!L4300)</f>
        <v/>
      </c>
      <c r="H310" s="6">
        <f>IF($A310="","",K309)</f>
        <v/>
      </c>
      <c r="I310" s="6">
        <f>IF($A310="","",ROUND(B310+D310+E310,2))</f>
        <v/>
      </c>
      <c r="J310" s="6">
        <f>IF($A310="","",F310)</f>
        <v/>
      </c>
      <c r="K310" s="6">
        <f>IF($A310="","",ROUND(H310+I310-J310,2))</f>
        <v/>
      </c>
    </row>
    <row r="311">
      <c r="A311" s="5">
        <f>IF('Daily Sale entry '!A310="","",'Daily Sale entry '!A310)</f>
        <v/>
      </c>
      <c r="B311" s="6">
        <f>IF($A311="","",'Daily Sale entry '!F310)</f>
        <v/>
      </c>
      <c r="C311">
        <f t="array" ref="C311">IF($A311="","",_xlfn.TEXTJOIN(", ",TRUE,IF(('Daily Sale entry '!$X$2:$X$1501=$A311)*('Daily Sale entry '!$Z$2:$Z$1501="Online collection 网上收款"),'Daily Sale entry '!$AA$2:$AA$1501,"")))</f>
        <v/>
      </c>
      <c r="D311" s="6">
        <f>IF($A311="","",ROUND(SUMIFS('Daily Sale entry '!$AC$2:$AC$1501,'Daily Sale entry '!$X$2:$X$1501,$A311,'Daily Sale entry '!$Z$2:$Z$1501,"Online collection 网上收款")-'Opening Balance'!$B$15*SUMPRODUCT(('Daily Sale entry '!$X$2:$X$1501=$A311)*('Daily Sale entry '!$Z$2:$Z$1501="Online collection 网上收款")*('Daily Sale entry '!$AA$2:$AA$1501&lt;&gt;"")*('Daily Sale entry '!$AC$2:$AC$1501-TRUNC('Daily Sale entry '!$AC$2:$AC$1501))),2))</f>
        <v/>
      </c>
      <c r="E311" s="6">
        <f>IF($A311="","",ROUND('Sales &amp; Collection'!I4322-'Sales &amp; Collection'!I4321,2))</f>
        <v/>
      </c>
      <c r="F311" s="6">
        <f>IF($A311="","",'Sales &amp; Collection'!L4314)</f>
        <v/>
      </c>
      <c r="H311" s="6">
        <f>IF($A311="","",K310)</f>
        <v/>
      </c>
      <c r="I311" s="6">
        <f>IF($A311="","",ROUND(B311+D311+E311,2))</f>
        <v/>
      </c>
      <c r="J311" s="6">
        <f>IF($A311="","",F311)</f>
        <v/>
      </c>
      <c r="K311" s="6">
        <f>IF($A311="","",ROUND(H311+I311-J311,2))</f>
        <v/>
      </c>
    </row>
    <row r="312">
      <c r="A312" s="5">
        <f>IF('Daily Sale entry '!A311="","",'Daily Sale entry '!A311)</f>
        <v/>
      </c>
      <c r="B312" s="6">
        <f>IF($A312="","",'Daily Sale entry '!F311)</f>
        <v/>
      </c>
      <c r="C312">
        <f t="array" ref="C312">IF($A312="","",_xlfn.TEXTJOIN(", ",TRUE,IF(('Daily Sale entry '!$X$2:$X$1501=$A312)*('Daily Sale entry '!$Z$2:$Z$1501="Online collection 网上收款"),'Daily Sale entry '!$AA$2:$AA$1501,"")))</f>
        <v/>
      </c>
      <c r="D312" s="6">
        <f>IF($A312="","",ROUND(SUMIFS('Daily Sale entry '!$AC$2:$AC$1501,'Daily Sale entry '!$X$2:$X$1501,$A312,'Daily Sale entry '!$Z$2:$Z$1501,"Online collection 网上收款")-'Opening Balance'!$B$15*SUMPRODUCT(('Daily Sale entry '!$X$2:$X$1501=$A312)*('Daily Sale entry '!$Z$2:$Z$1501="Online collection 网上收款")*('Daily Sale entry '!$AA$2:$AA$1501&lt;&gt;"")*('Daily Sale entry '!$AC$2:$AC$1501-TRUNC('Daily Sale entry '!$AC$2:$AC$1501))),2))</f>
        <v/>
      </c>
      <c r="E312" s="6">
        <f>IF($A312="","",ROUND('Sales &amp; Collection'!I4336-'Sales &amp; Collection'!I4335,2))</f>
        <v/>
      </c>
      <c r="F312" s="6">
        <f>IF($A312="","",'Sales &amp; Collection'!L4328)</f>
        <v/>
      </c>
      <c r="H312" s="6">
        <f>IF($A312="","",K311)</f>
        <v/>
      </c>
      <c r="I312" s="6">
        <f>IF($A312="","",ROUND(B312+D312+E312,2))</f>
        <v/>
      </c>
      <c r="J312" s="6">
        <f>IF($A312="","",F312)</f>
        <v/>
      </c>
      <c r="K312" s="6">
        <f>IF($A312="","",ROUND(H312+I312-J312,2))</f>
        <v/>
      </c>
    </row>
    <row r="313">
      <c r="A313" s="5">
        <f>IF('Daily Sale entry '!A312="","",'Daily Sale entry '!A312)</f>
        <v/>
      </c>
      <c r="B313" s="6">
        <f>IF($A313="","",'Daily Sale entry '!F312)</f>
        <v/>
      </c>
      <c r="C313">
        <f t="array" ref="C313">IF($A313="","",_xlfn.TEXTJOIN(", ",TRUE,IF(('Daily Sale entry '!$X$2:$X$1501=$A313)*('Daily Sale entry '!$Z$2:$Z$1501="Online collection 网上收款"),'Daily Sale entry '!$AA$2:$AA$1501,"")))</f>
        <v/>
      </c>
      <c r="D313" s="6">
        <f>IF($A313="","",ROUND(SUMIFS('Daily Sale entry '!$AC$2:$AC$1501,'Daily Sale entry '!$X$2:$X$1501,$A313,'Daily Sale entry '!$Z$2:$Z$1501,"Online collection 网上收款")-'Opening Balance'!$B$15*SUMPRODUCT(('Daily Sale entry '!$X$2:$X$1501=$A313)*('Daily Sale entry '!$Z$2:$Z$1501="Online collection 网上收款")*('Daily Sale entry '!$AA$2:$AA$1501&lt;&gt;"")*('Daily Sale entry '!$AC$2:$AC$1501-TRUNC('Daily Sale entry '!$AC$2:$AC$1501))),2))</f>
        <v/>
      </c>
      <c r="E313" s="6">
        <f>IF($A313="","",ROUND('Sales &amp; Collection'!I4350-'Sales &amp; Collection'!I4349,2))</f>
        <v/>
      </c>
      <c r="F313" s="6">
        <f>IF($A313="","",'Sales &amp; Collection'!L4342)</f>
        <v/>
      </c>
      <c r="H313" s="6">
        <f>IF($A313="","",K312)</f>
        <v/>
      </c>
      <c r="I313" s="6">
        <f>IF($A313="","",ROUND(B313+D313+E313,2))</f>
        <v/>
      </c>
      <c r="J313" s="6">
        <f>IF($A313="","",F313)</f>
        <v/>
      </c>
      <c r="K313" s="6">
        <f>IF($A313="","",ROUND(H313+I313-J313,2))</f>
        <v/>
      </c>
    </row>
    <row r="314">
      <c r="A314" s="5">
        <f>IF('Daily Sale entry '!A313="","",'Daily Sale entry '!A313)</f>
        <v/>
      </c>
      <c r="B314" s="6">
        <f>IF($A314="","",'Daily Sale entry '!F313)</f>
        <v/>
      </c>
      <c r="C314">
        <f t="array" ref="C314">IF($A314="","",_xlfn.TEXTJOIN(", ",TRUE,IF(('Daily Sale entry '!$X$2:$X$1501=$A314)*('Daily Sale entry '!$Z$2:$Z$1501="Online collection 网上收款"),'Daily Sale entry '!$AA$2:$AA$1501,"")))</f>
        <v/>
      </c>
      <c r="D314" s="6">
        <f>IF($A314="","",ROUND(SUMIFS('Daily Sale entry '!$AC$2:$AC$1501,'Daily Sale entry '!$X$2:$X$1501,$A314,'Daily Sale entry '!$Z$2:$Z$1501,"Online collection 网上收款")-'Opening Balance'!$B$15*SUMPRODUCT(('Daily Sale entry '!$X$2:$X$1501=$A314)*('Daily Sale entry '!$Z$2:$Z$1501="Online collection 网上收款")*('Daily Sale entry '!$AA$2:$AA$1501&lt;&gt;"")*('Daily Sale entry '!$AC$2:$AC$1501-TRUNC('Daily Sale entry '!$AC$2:$AC$1501))),2))</f>
        <v/>
      </c>
      <c r="E314" s="6">
        <f>IF($A314="","",ROUND('Sales &amp; Collection'!I4364-'Sales &amp; Collection'!I4363,2))</f>
        <v/>
      </c>
      <c r="F314" s="6">
        <f>IF($A314="","",'Sales &amp; Collection'!L4356)</f>
        <v/>
      </c>
      <c r="H314" s="6">
        <f>IF($A314="","",K313)</f>
        <v/>
      </c>
      <c r="I314" s="6">
        <f>IF($A314="","",ROUND(B314+D314+E314,2))</f>
        <v/>
      </c>
      <c r="J314" s="6">
        <f>IF($A314="","",F314)</f>
        <v/>
      </c>
      <c r="K314" s="6">
        <f>IF($A314="","",ROUND(H314+I314-J314,2))</f>
        <v/>
      </c>
    </row>
    <row r="315">
      <c r="A315" s="5">
        <f>IF('Daily Sale entry '!A314="","",'Daily Sale entry '!A314)</f>
        <v/>
      </c>
      <c r="B315" s="6">
        <f>IF($A315="","",'Daily Sale entry '!F314)</f>
        <v/>
      </c>
      <c r="C315">
        <f t="array" ref="C315">IF($A315="","",_xlfn.TEXTJOIN(", ",TRUE,IF(('Daily Sale entry '!$X$2:$X$1501=$A315)*('Daily Sale entry '!$Z$2:$Z$1501="Online collection 网上收款"),'Daily Sale entry '!$AA$2:$AA$1501,"")))</f>
        <v/>
      </c>
      <c r="D315" s="6">
        <f>IF($A315="","",ROUND(SUMIFS('Daily Sale entry '!$AC$2:$AC$1501,'Daily Sale entry '!$X$2:$X$1501,$A315,'Daily Sale entry '!$Z$2:$Z$1501,"Online collection 网上收款")-'Opening Balance'!$B$15*SUMPRODUCT(('Daily Sale entry '!$X$2:$X$1501=$A315)*('Daily Sale entry '!$Z$2:$Z$1501="Online collection 网上收款")*('Daily Sale entry '!$AA$2:$AA$1501&lt;&gt;"")*('Daily Sale entry '!$AC$2:$AC$1501-TRUNC('Daily Sale entry '!$AC$2:$AC$1501))),2))</f>
        <v/>
      </c>
      <c r="E315" s="6">
        <f>IF($A315="","",ROUND('Sales &amp; Collection'!I4378-'Sales &amp; Collection'!I4377,2))</f>
        <v/>
      </c>
      <c r="F315" s="6">
        <f>IF($A315="","",'Sales &amp; Collection'!L4370)</f>
        <v/>
      </c>
      <c r="H315" s="6">
        <f>IF($A315="","",K314)</f>
        <v/>
      </c>
      <c r="I315" s="6">
        <f>IF($A315="","",ROUND(B315+D315+E315,2))</f>
        <v/>
      </c>
      <c r="J315" s="6">
        <f>IF($A315="","",F315)</f>
        <v/>
      </c>
      <c r="K315" s="6">
        <f>IF($A315="","",ROUND(H315+I315-J315,2))</f>
        <v/>
      </c>
    </row>
    <row r="316">
      <c r="A316" s="5">
        <f>IF('Daily Sale entry '!A315="","",'Daily Sale entry '!A315)</f>
        <v/>
      </c>
      <c r="B316" s="6">
        <f>IF($A316="","",'Daily Sale entry '!F315)</f>
        <v/>
      </c>
      <c r="C316">
        <f t="array" ref="C316">IF($A316="","",_xlfn.TEXTJOIN(", ",TRUE,IF(('Daily Sale entry '!$X$2:$X$1501=$A316)*('Daily Sale entry '!$Z$2:$Z$1501="Online collection 网上收款"),'Daily Sale entry '!$AA$2:$AA$1501,"")))</f>
        <v/>
      </c>
      <c r="D316" s="6">
        <f>IF($A316="","",ROUND(SUMIFS('Daily Sale entry '!$AC$2:$AC$1501,'Daily Sale entry '!$X$2:$X$1501,$A316,'Daily Sale entry '!$Z$2:$Z$1501,"Online collection 网上收款")-'Opening Balance'!$B$15*SUMPRODUCT(('Daily Sale entry '!$X$2:$X$1501=$A316)*('Daily Sale entry '!$Z$2:$Z$1501="Online collection 网上收款")*('Daily Sale entry '!$AA$2:$AA$1501&lt;&gt;"")*('Daily Sale entry '!$AC$2:$AC$1501-TRUNC('Daily Sale entry '!$AC$2:$AC$1501))),2))</f>
        <v/>
      </c>
      <c r="E316" s="6">
        <f>IF($A316="","",ROUND('Sales &amp; Collection'!I4392-'Sales &amp; Collection'!I4391,2))</f>
        <v/>
      </c>
      <c r="F316" s="6">
        <f>IF($A316="","",'Sales &amp; Collection'!L4384)</f>
        <v/>
      </c>
      <c r="H316" s="6">
        <f>IF($A316="","",K315)</f>
        <v/>
      </c>
      <c r="I316" s="6">
        <f>IF($A316="","",ROUND(B316+D316+E316,2))</f>
        <v/>
      </c>
      <c r="J316" s="6">
        <f>IF($A316="","",F316)</f>
        <v/>
      </c>
      <c r="K316" s="6">
        <f>IF($A316="","",ROUND(H316+I316-J316,2))</f>
        <v/>
      </c>
    </row>
    <row r="317">
      <c r="A317" s="5">
        <f>IF('Daily Sale entry '!A316="","",'Daily Sale entry '!A316)</f>
        <v/>
      </c>
      <c r="B317" s="6">
        <f>IF($A317="","",'Daily Sale entry '!F316)</f>
        <v/>
      </c>
      <c r="C317">
        <f t="array" ref="C317">IF($A317="","",_xlfn.TEXTJOIN(", ",TRUE,IF(('Daily Sale entry '!$X$2:$X$1501=$A317)*('Daily Sale entry '!$Z$2:$Z$1501="Online collection 网上收款"),'Daily Sale entry '!$AA$2:$AA$1501,"")))</f>
        <v/>
      </c>
      <c r="D317" s="6">
        <f>IF($A317="","",ROUND(SUMIFS('Daily Sale entry '!$AC$2:$AC$1501,'Daily Sale entry '!$X$2:$X$1501,$A317,'Daily Sale entry '!$Z$2:$Z$1501,"Online collection 网上收款")-'Opening Balance'!$B$15*SUMPRODUCT(('Daily Sale entry '!$X$2:$X$1501=$A317)*('Daily Sale entry '!$Z$2:$Z$1501="Online collection 网上收款")*('Daily Sale entry '!$AA$2:$AA$1501&lt;&gt;"")*('Daily Sale entry '!$AC$2:$AC$1501-TRUNC('Daily Sale entry '!$AC$2:$AC$1501))),2))</f>
        <v/>
      </c>
      <c r="E317" s="6">
        <f>IF($A317="","",ROUND('Sales &amp; Collection'!I4406-'Sales &amp; Collection'!I4405,2))</f>
        <v/>
      </c>
      <c r="F317" s="6">
        <f>IF($A317="","",'Sales &amp; Collection'!L4398)</f>
        <v/>
      </c>
      <c r="H317" s="6">
        <f>IF($A317="","",K316)</f>
        <v/>
      </c>
      <c r="I317" s="6">
        <f>IF($A317="","",ROUND(B317+D317+E317,2))</f>
        <v/>
      </c>
      <c r="J317" s="6">
        <f>IF($A317="","",F317)</f>
        <v/>
      </c>
      <c r="K317" s="6">
        <f>IF($A317="","",ROUND(H317+I317-J317,2))</f>
        <v/>
      </c>
    </row>
    <row r="318">
      <c r="A318" s="5">
        <f>IF('Daily Sale entry '!A317="","",'Daily Sale entry '!A317)</f>
        <v/>
      </c>
      <c r="B318" s="6">
        <f>IF($A318="","",'Daily Sale entry '!F317)</f>
        <v/>
      </c>
      <c r="C318">
        <f t="array" ref="C318">IF($A318="","",_xlfn.TEXTJOIN(", ",TRUE,IF(('Daily Sale entry '!$X$2:$X$1501=$A318)*('Daily Sale entry '!$Z$2:$Z$1501="Online collection 网上收款"),'Daily Sale entry '!$AA$2:$AA$1501,"")))</f>
        <v/>
      </c>
      <c r="D318" s="6">
        <f>IF($A318="","",ROUND(SUMIFS('Daily Sale entry '!$AC$2:$AC$1501,'Daily Sale entry '!$X$2:$X$1501,$A318,'Daily Sale entry '!$Z$2:$Z$1501,"Online collection 网上收款")-'Opening Balance'!$B$15*SUMPRODUCT(('Daily Sale entry '!$X$2:$X$1501=$A318)*('Daily Sale entry '!$Z$2:$Z$1501="Online collection 网上收款")*('Daily Sale entry '!$AA$2:$AA$1501&lt;&gt;"")*('Daily Sale entry '!$AC$2:$AC$1501-TRUNC('Daily Sale entry '!$AC$2:$AC$1501))),2))</f>
        <v/>
      </c>
      <c r="E318" s="6">
        <f>IF($A318="","",ROUND('Sales &amp; Collection'!I4420-'Sales &amp; Collection'!I4419,2))</f>
        <v/>
      </c>
      <c r="F318" s="6">
        <f>IF($A318="","",'Sales &amp; Collection'!L4412)</f>
        <v/>
      </c>
      <c r="H318" s="6">
        <f>IF($A318="","",K317)</f>
        <v/>
      </c>
      <c r="I318" s="6">
        <f>IF($A318="","",ROUND(B318+D318+E318,2))</f>
        <v/>
      </c>
      <c r="J318" s="6">
        <f>IF($A318="","",F318)</f>
        <v/>
      </c>
      <c r="K318" s="6">
        <f>IF($A318="","",ROUND(H318+I318-J318,2))</f>
        <v/>
      </c>
    </row>
    <row r="319">
      <c r="A319" s="5">
        <f>IF('Daily Sale entry '!A318="","",'Daily Sale entry '!A318)</f>
        <v/>
      </c>
      <c r="B319" s="6">
        <f>IF($A319="","",'Daily Sale entry '!F318)</f>
        <v/>
      </c>
      <c r="C319">
        <f t="array" ref="C319">IF($A319="","",_xlfn.TEXTJOIN(", ",TRUE,IF(('Daily Sale entry '!$X$2:$X$1501=$A319)*('Daily Sale entry '!$Z$2:$Z$1501="Online collection 网上收款"),'Daily Sale entry '!$AA$2:$AA$1501,"")))</f>
        <v/>
      </c>
      <c r="D319" s="6">
        <f>IF($A319="","",ROUND(SUMIFS('Daily Sale entry '!$AC$2:$AC$1501,'Daily Sale entry '!$X$2:$X$1501,$A319,'Daily Sale entry '!$Z$2:$Z$1501,"Online collection 网上收款")-'Opening Balance'!$B$15*SUMPRODUCT(('Daily Sale entry '!$X$2:$X$1501=$A319)*('Daily Sale entry '!$Z$2:$Z$1501="Online collection 网上收款")*('Daily Sale entry '!$AA$2:$AA$1501&lt;&gt;"")*('Daily Sale entry '!$AC$2:$AC$1501-TRUNC('Daily Sale entry '!$AC$2:$AC$1501))),2))</f>
        <v/>
      </c>
      <c r="E319" s="6">
        <f>IF($A319="","",ROUND('Sales &amp; Collection'!I4434-'Sales &amp; Collection'!I4433,2))</f>
        <v/>
      </c>
      <c r="F319" s="6">
        <f>IF($A319="","",'Sales &amp; Collection'!L4426)</f>
        <v/>
      </c>
      <c r="H319" s="6">
        <f>IF($A319="","",K318)</f>
        <v/>
      </c>
      <c r="I319" s="6">
        <f>IF($A319="","",ROUND(B319+D319+E319,2))</f>
        <v/>
      </c>
      <c r="J319" s="6">
        <f>IF($A319="","",F319)</f>
        <v/>
      </c>
      <c r="K319" s="6">
        <f>IF($A319="","",ROUND(H319+I319-J319,2))</f>
        <v/>
      </c>
    </row>
    <row r="320">
      <c r="A320" s="5">
        <f>IF('Daily Sale entry '!A319="","",'Daily Sale entry '!A319)</f>
        <v/>
      </c>
      <c r="B320" s="6">
        <f>IF($A320="","",'Daily Sale entry '!F319)</f>
        <v/>
      </c>
      <c r="C320">
        <f t="array" ref="C320">IF($A320="","",_xlfn.TEXTJOIN(", ",TRUE,IF(('Daily Sale entry '!$X$2:$X$1501=$A320)*('Daily Sale entry '!$Z$2:$Z$1501="Online collection 网上收款"),'Daily Sale entry '!$AA$2:$AA$1501,"")))</f>
        <v/>
      </c>
      <c r="D320" s="6">
        <f>IF($A320="","",ROUND(SUMIFS('Daily Sale entry '!$AC$2:$AC$1501,'Daily Sale entry '!$X$2:$X$1501,$A320,'Daily Sale entry '!$Z$2:$Z$1501,"Online collection 网上收款")-'Opening Balance'!$B$15*SUMPRODUCT(('Daily Sale entry '!$X$2:$X$1501=$A320)*('Daily Sale entry '!$Z$2:$Z$1501="Online collection 网上收款")*('Daily Sale entry '!$AA$2:$AA$1501&lt;&gt;"")*('Daily Sale entry '!$AC$2:$AC$1501-TRUNC('Daily Sale entry '!$AC$2:$AC$1501))),2))</f>
        <v/>
      </c>
      <c r="E320" s="6">
        <f>IF($A320="","",ROUND('Sales &amp; Collection'!I4448-'Sales &amp; Collection'!I4447,2))</f>
        <v/>
      </c>
      <c r="F320" s="6">
        <f>IF($A320="","",'Sales &amp; Collection'!L4440)</f>
        <v/>
      </c>
      <c r="H320" s="6">
        <f>IF($A320="","",K319)</f>
        <v/>
      </c>
      <c r="I320" s="6">
        <f>IF($A320="","",ROUND(B320+D320+E320,2))</f>
        <v/>
      </c>
      <c r="J320" s="6">
        <f>IF($A320="","",F320)</f>
        <v/>
      </c>
      <c r="K320" s="6">
        <f>IF($A320="","",ROUND(H320+I320-J320,2))</f>
        <v/>
      </c>
    </row>
    <row r="321">
      <c r="A321" s="5">
        <f>IF('Daily Sale entry '!A320="","",'Daily Sale entry '!A320)</f>
        <v/>
      </c>
      <c r="B321" s="6">
        <f>IF($A321="","",'Daily Sale entry '!F320)</f>
        <v/>
      </c>
      <c r="C321">
        <f t="array" ref="C321">IF($A321="","",_xlfn.TEXTJOIN(", ",TRUE,IF(('Daily Sale entry '!$X$2:$X$1501=$A321)*('Daily Sale entry '!$Z$2:$Z$1501="Online collection 网上收款"),'Daily Sale entry '!$AA$2:$AA$1501,"")))</f>
        <v/>
      </c>
      <c r="D321" s="6">
        <f>IF($A321="","",ROUND(SUMIFS('Daily Sale entry '!$AC$2:$AC$1501,'Daily Sale entry '!$X$2:$X$1501,$A321,'Daily Sale entry '!$Z$2:$Z$1501,"Online collection 网上收款")-'Opening Balance'!$B$15*SUMPRODUCT(('Daily Sale entry '!$X$2:$X$1501=$A321)*('Daily Sale entry '!$Z$2:$Z$1501="Online collection 网上收款")*('Daily Sale entry '!$AA$2:$AA$1501&lt;&gt;"")*('Daily Sale entry '!$AC$2:$AC$1501-TRUNC('Daily Sale entry '!$AC$2:$AC$1501))),2))</f>
        <v/>
      </c>
      <c r="E321" s="6">
        <f>IF($A321="","",ROUND('Sales &amp; Collection'!I4462-'Sales &amp; Collection'!I4461,2))</f>
        <v/>
      </c>
      <c r="F321" s="6">
        <f>IF($A321="","",'Sales &amp; Collection'!L4454)</f>
        <v/>
      </c>
      <c r="H321" s="6">
        <f>IF($A321="","",K320)</f>
        <v/>
      </c>
      <c r="I321" s="6">
        <f>IF($A321="","",ROUND(B321+D321+E321,2))</f>
        <v/>
      </c>
      <c r="J321" s="6">
        <f>IF($A321="","",F321)</f>
        <v/>
      </c>
      <c r="K321" s="6">
        <f>IF($A321="","",ROUND(H321+I321-J321,2))</f>
        <v/>
      </c>
    </row>
    <row r="322">
      <c r="A322" s="5">
        <f>IF('Daily Sale entry '!A321="","",'Daily Sale entry '!A321)</f>
        <v/>
      </c>
      <c r="B322" s="6">
        <f>IF($A322="","",'Daily Sale entry '!F321)</f>
        <v/>
      </c>
      <c r="C322">
        <f t="array" ref="C322">IF($A322="","",_xlfn.TEXTJOIN(", ",TRUE,IF(('Daily Sale entry '!$X$2:$X$1501=$A322)*('Daily Sale entry '!$Z$2:$Z$1501="Online collection 网上收款"),'Daily Sale entry '!$AA$2:$AA$1501,"")))</f>
        <v/>
      </c>
      <c r="D322" s="6">
        <f>IF($A322="","",ROUND(SUMIFS('Daily Sale entry '!$AC$2:$AC$1501,'Daily Sale entry '!$X$2:$X$1501,$A322,'Daily Sale entry '!$Z$2:$Z$1501,"Online collection 网上收款")-'Opening Balance'!$B$15*SUMPRODUCT(('Daily Sale entry '!$X$2:$X$1501=$A322)*('Daily Sale entry '!$Z$2:$Z$1501="Online collection 网上收款")*('Daily Sale entry '!$AA$2:$AA$1501&lt;&gt;"")*('Daily Sale entry '!$AC$2:$AC$1501-TRUNC('Daily Sale entry '!$AC$2:$AC$1501))),2))</f>
        <v/>
      </c>
      <c r="E322" s="6">
        <f>IF($A322="","",ROUND('Sales &amp; Collection'!I4476-'Sales &amp; Collection'!I4475,2))</f>
        <v/>
      </c>
      <c r="F322" s="6">
        <f>IF($A322="","",'Sales &amp; Collection'!L4468)</f>
        <v/>
      </c>
      <c r="H322" s="6">
        <f>IF($A322="","",K321)</f>
        <v/>
      </c>
      <c r="I322" s="6">
        <f>IF($A322="","",ROUND(B322+D322+E322,2))</f>
        <v/>
      </c>
      <c r="J322" s="6">
        <f>IF($A322="","",F322)</f>
        <v/>
      </c>
      <c r="K322" s="6">
        <f>IF($A322="","",ROUND(H322+I322-J322,2))</f>
        <v/>
      </c>
    </row>
    <row r="323">
      <c r="A323" s="5">
        <f>IF('Daily Sale entry '!A322="","",'Daily Sale entry '!A322)</f>
        <v/>
      </c>
      <c r="B323" s="6">
        <f>IF($A323="","",'Daily Sale entry '!F322)</f>
        <v/>
      </c>
      <c r="C323">
        <f t="array" ref="C323">IF($A323="","",_xlfn.TEXTJOIN(", ",TRUE,IF(('Daily Sale entry '!$X$2:$X$1501=$A323)*('Daily Sale entry '!$Z$2:$Z$1501="Online collection 网上收款"),'Daily Sale entry '!$AA$2:$AA$1501,"")))</f>
        <v/>
      </c>
      <c r="D323" s="6">
        <f>IF($A323="","",ROUND(SUMIFS('Daily Sale entry '!$AC$2:$AC$1501,'Daily Sale entry '!$X$2:$X$1501,$A323,'Daily Sale entry '!$Z$2:$Z$1501,"Online collection 网上收款")-'Opening Balance'!$B$15*SUMPRODUCT(('Daily Sale entry '!$X$2:$X$1501=$A323)*('Daily Sale entry '!$Z$2:$Z$1501="Online collection 网上收款")*('Daily Sale entry '!$AA$2:$AA$1501&lt;&gt;"")*('Daily Sale entry '!$AC$2:$AC$1501-TRUNC('Daily Sale entry '!$AC$2:$AC$1501))),2))</f>
        <v/>
      </c>
      <c r="E323" s="6">
        <f>IF($A323="","",ROUND('Sales &amp; Collection'!I4490-'Sales &amp; Collection'!I4489,2))</f>
        <v/>
      </c>
      <c r="F323" s="6">
        <f>IF($A323="","",'Sales &amp; Collection'!L4482)</f>
        <v/>
      </c>
      <c r="H323" s="6">
        <f>IF($A323="","",K322)</f>
        <v/>
      </c>
      <c r="I323" s="6">
        <f>IF($A323="","",ROUND(B323+D323+E323,2))</f>
        <v/>
      </c>
      <c r="J323" s="6">
        <f>IF($A323="","",F323)</f>
        <v/>
      </c>
      <c r="K323" s="6">
        <f>IF($A323="","",ROUND(H323+I323-J323,2))</f>
        <v/>
      </c>
    </row>
    <row r="324">
      <c r="A324" s="5">
        <f>IF('Daily Sale entry '!A323="","",'Daily Sale entry '!A323)</f>
        <v/>
      </c>
      <c r="B324" s="6">
        <f>IF($A324="","",'Daily Sale entry '!F323)</f>
        <v/>
      </c>
      <c r="C324">
        <f t="array" ref="C324">IF($A324="","",_xlfn.TEXTJOIN(", ",TRUE,IF(('Daily Sale entry '!$X$2:$X$1501=$A324)*('Daily Sale entry '!$Z$2:$Z$1501="Online collection 网上收款"),'Daily Sale entry '!$AA$2:$AA$1501,"")))</f>
        <v/>
      </c>
      <c r="D324" s="6">
        <f>IF($A324="","",ROUND(SUMIFS('Daily Sale entry '!$AC$2:$AC$1501,'Daily Sale entry '!$X$2:$X$1501,$A324,'Daily Sale entry '!$Z$2:$Z$1501,"Online collection 网上收款")-'Opening Balance'!$B$15*SUMPRODUCT(('Daily Sale entry '!$X$2:$X$1501=$A324)*('Daily Sale entry '!$Z$2:$Z$1501="Online collection 网上收款")*('Daily Sale entry '!$AA$2:$AA$1501&lt;&gt;"")*('Daily Sale entry '!$AC$2:$AC$1501-TRUNC('Daily Sale entry '!$AC$2:$AC$1501))),2))</f>
        <v/>
      </c>
      <c r="E324" s="6">
        <f>IF($A324="","",ROUND('Sales &amp; Collection'!I4504-'Sales &amp; Collection'!I4503,2))</f>
        <v/>
      </c>
      <c r="F324" s="6">
        <f>IF($A324="","",'Sales &amp; Collection'!L4496)</f>
        <v/>
      </c>
      <c r="H324" s="6">
        <f>IF($A324="","",K323)</f>
        <v/>
      </c>
      <c r="I324" s="6">
        <f>IF($A324="","",ROUND(B324+D324+E324,2))</f>
        <v/>
      </c>
      <c r="J324" s="6">
        <f>IF($A324="","",F324)</f>
        <v/>
      </c>
      <c r="K324" s="6">
        <f>IF($A324="","",ROUND(H324+I324-J324,2))</f>
        <v/>
      </c>
    </row>
    <row r="325">
      <c r="A325" s="5">
        <f>IF('Daily Sale entry '!A324="","",'Daily Sale entry '!A324)</f>
        <v/>
      </c>
      <c r="B325" s="6">
        <f>IF($A325="","",'Daily Sale entry '!F324)</f>
        <v/>
      </c>
      <c r="C325">
        <f t="array" ref="C325">IF($A325="","",_xlfn.TEXTJOIN(", ",TRUE,IF(('Daily Sale entry '!$X$2:$X$1501=$A325)*('Daily Sale entry '!$Z$2:$Z$1501="Online collection 网上收款"),'Daily Sale entry '!$AA$2:$AA$1501,"")))</f>
        <v/>
      </c>
      <c r="D325" s="6">
        <f>IF($A325="","",ROUND(SUMIFS('Daily Sale entry '!$AC$2:$AC$1501,'Daily Sale entry '!$X$2:$X$1501,$A325,'Daily Sale entry '!$Z$2:$Z$1501,"Online collection 网上收款")-'Opening Balance'!$B$15*SUMPRODUCT(('Daily Sale entry '!$X$2:$X$1501=$A325)*('Daily Sale entry '!$Z$2:$Z$1501="Online collection 网上收款")*('Daily Sale entry '!$AA$2:$AA$1501&lt;&gt;"")*('Daily Sale entry '!$AC$2:$AC$1501-TRUNC('Daily Sale entry '!$AC$2:$AC$1501))),2))</f>
        <v/>
      </c>
      <c r="E325" s="6">
        <f>IF($A325="","",ROUND('Sales &amp; Collection'!I4518-'Sales &amp; Collection'!I4517,2))</f>
        <v/>
      </c>
      <c r="F325" s="6">
        <f>IF($A325="","",'Sales &amp; Collection'!L4510)</f>
        <v/>
      </c>
      <c r="H325" s="6">
        <f>IF($A325="","",K324)</f>
        <v/>
      </c>
      <c r="I325" s="6">
        <f>IF($A325="","",ROUND(B325+D325+E325,2))</f>
        <v/>
      </c>
      <c r="J325" s="6">
        <f>IF($A325="","",F325)</f>
        <v/>
      </c>
      <c r="K325" s="6">
        <f>IF($A325="","",ROUND(H325+I325-J325,2))</f>
        <v/>
      </c>
    </row>
    <row r="326">
      <c r="A326" s="5">
        <f>IF('Daily Sale entry '!A325="","",'Daily Sale entry '!A325)</f>
        <v/>
      </c>
      <c r="B326" s="6">
        <f>IF($A326="","",'Daily Sale entry '!F325)</f>
        <v/>
      </c>
      <c r="C326">
        <f t="array" ref="C326">IF($A326="","",_xlfn.TEXTJOIN(", ",TRUE,IF(('Daily Sale entry '!$X$2:$X$1501=$A326)*('Daily Sale entry '!$Z$2:$Z$1501="Online collection 网上收款"),'Daily Sale entry '!$AA$2:$AA$1501,"")))</f>
        <v/>
      </c>
      <c r="D326" s="6">
        <f>IF($A326="","",ROUND(SUMIFS('Daily Sale entry '!$AC$2:$AC$1501,'Daily Sale entry '!$X$2:$X$1501,$A326,'Daily Sale entry '!$Z$2:$Z$1501,"Online collection 网上收款")-'Opening Balance'!$B$15*SUMPRODUCT(('Daily Sale entry '!$X$2:$X$1501=$A326)*('Daily Sale entry '!$Z$2:$Z$1501="Online collection 网上收款")*('Daily Sale entry '!$AA$2:$AA$1501&lt;&gt;"")*('Daily Sale entry '!$AC$2:$AC$1501-TRUNC('Daily Sale entry '!$AC$2:$AC$1501))),2))</f>
        <v/>
      </c>
      <c r="E326" s="6">
        <f>IF($A326="","",ROUND('Sales &amp; Collection'!I4532-'Sales &amp; Collection'!I4531,2))</f>
        <v/>
      </c>
      <c r="F326" s="6">
        <f>IF($A326="","",'Sales &amp; Collection'!L4524)</f>
        <v/>
      </c>
      <c r="H326" s="6">
        <f>IF($A326="","",K325)</f>
        <v/>
      </c>
      <c r="I326" s="6">
        <f>IF($A326="","",ROUND(B326+D326+E326,2))</f>
        <v/>
      </c>
      <c r="J326" s="6">
        <f>IF($A326="","",F326)</f>
        <v/>
      </c>
      <c r="K326" s="6">
        <f>IF($A326="","",ROUND(H326+I326-J326,2))</f>
        <v/>
      </c>
    </row>
    <row r="327">
      <c r="A327" s="5">
        <f>IF('Daily Sale entry '!A326="","",'Daily Sale entry '!A326)</f>
        <v/>
      </c>
      <c r="B327" s="6">
        <f>IF($A327="","",'Daily Sale entry '!F326)</f>
        <v/>
      </c>
      <c r="C327">
        <f t="array" ref="C327">IF($A327="","",_xlfn.TEXTJOIN(", ",TRUE,IF(('Daily Sale entry '!$X$2:$X$1501=$A327)*('Daily Sale entry '!$Z$2:$Z$1501="Online collection 网上收款"),'Daily Sale entry '!$AA$2:$AA$1501,"")))</f>
        <v/>
      </c>
      <c r="D327" s="6">
        <f>IF($A327="","",ROUND(SUMIFS('Daily Sale entry '!$AC$2:$AC$1501,'Daily Sale entry '!$X$2:$X$1501,$A327,'Daily Sale entry '!$Z$2:$Z$1501,"Online collection 网上收款")-'Opening Balance'!$B$15*SUMPRODUCT(('Daily Sale entry '!$X$2:$X$1501=$A327)*('Daily Sale entry '!$Z$2:$Z$1501="Online collection 网上收款")*('Daily Sale entry '!$AA$2:$AA$1501&lt;&gt;"")*('Daily Sale entry '!$AC$2:$AC$1501-TRUNC('Daily Sale entry '!$AC$2:$AC$1501))),2))</f>
        <v/>
      </c>
      <c r="E327" s="6">
        <f>IF($A327="","",ROUND('Sales &amp; Collection'!I4546-'Sales &amp; Collection'!I4545,2))</f>
        <v/>
      </c>
      <c r="F327" s="6">
        <f>IF($A327="","",'Sales &amp; Collection'!L4538)</f>
        <v/>
      </c>
      <c r="H327" s="6">
        <f>IF($A327="","",K326)</f>
        <v/>
      </c>
      <c r="I327" s="6">
        <f>IF($A327="","",ROUND(B327+D327+E327,2))</f>
        <v/>
      </c>
      <c r="J327" s="6">
        <f>IF($A327="","",F327)</f>
        <v/>
      </c>
      <c r="K327" s="6">
        <f>IF($A327="","",ROUND(H327+I327-J327,2))</f>
        <v/>
      </c>
    </row>
    <row r="328">
      <c r="A328" s="5">
        <f>IF('Daily Sale entry '!A327="","",'Daily Sale entry '!A327)</f>
        <v/>
      </c>
      <c r="B328" s="6">
        <f>IF($A328="","",'Daily Sale entry '!F327)</f>
        <v/>
      </c>
      <c r="C328">
        <f t="array" ref="C328">IF($A328="","",_xlfn.TEXTJOIN(", ",TRUE,IF(('Daily Sale entry '!$X$2:$X$1501=$A328)*('Daily Sale entry '!$Z$2:$Z$1501="Online collection 网上收款"),'Daily Sale entry '!$AA$2:$AA$1501,"")))</f>
        <v/>
      </c>
      <c r="D328" s="6">
        <f>IF($A328="","",ROUND(SUMIFS('Daily Sale entry '!$AC$2:$AC$1501,'Daily Sale entry '!$X$2:$X$1501,$A328,'Daily Sale entry '!$Z$2:$Z$1501,"Online collection 网上收款")-'Opening Balance'!$B$15*SUMPRODUCT(('Daily Sale entry '!$X$2:$X$1501=$A328)*('Daily Sale entry '!$Z$2:$Z$1501="Online collection 网上收款")*('Daily Sale entry '!$AA$2:$AA$1501&lt;&gt;"")*('Daily Sale entry '!$AC$2:$AC$1501-TRUNC('Daily Sale entry '!$AC$2:$AC$1501))),2))</f>
        <v/>
      </c>
      <c r="E328" s="6">
        <f>IF($A328="","",ROUND('Sales &amp; Collection'!I4560-'Sales &amp; Collection'!I4559,2))</f>
        <v/>
      </c>
      <c r="F328" s="6">
        <f>IF($A328="","",'Sales &amp; Collection'!L4552)</f>
        <v/>
      </c>
      <c r="H328" s="6">
        <f>IF($A328="","",K327)</f>
        <v/>
      </c>
      <c r="I328" s="6">
        <f>IF($A328="","",ROUND(B328+D328+E328,2))</f>
        <v/>
      </c>
      <c r="J328" s="6">
        <f>IF($A328="","",F328)</f>
        <v/>
      </c>
      <c r="K328" s="6">
        <f>IF($A328="","",ROUND(H328+I328-J328,2))</f>
        <v/>
      </c>
    </row>
    <row r="329">
      <c r="A329" s="5">
        <f>IF('Daily Sale entry '!A328="","",'Daily Sale entry '!A328)</f>
        <v/>
      </c>
      <c r="B329" s="6">
        <f>IF($A329="","",'Daily Sale entry '!F328)</f>
        <v/>
      </c>
      <c r="C329">
        <f t="array" ref="C329">IF($A329="","",_xlfn.TEXTJOIN(", ",TRUE,IF(('Daily Sale entry '!$X$2:$X$1501=$A329)*('Daily Sale entry '!$Z$2:$Z$1501="Online collection 网上收款"),'Daily Sale entry '!$AA$2:$AA$1501,"")))</f>
        <v/>
      </c>
      <c r="D329" s="6">
        <f>IF($A329="","",ROUND(SUMIFS('Daily Sale entry '!$AC$2:$AC$1501,'Daily Sale entry '!$X$2:$X$1501,$A329,'Daily Sale entry '!$Z$2:$Z$1501,"Online collection 网上收款")-'Opening Balance'!$B$15*SUMPRODUCT(('Daily Sale entry '!$X$2:$X$1501=$A329)*('Daily Sale entry '!$Z$2:$Z$1501="Online collection 网上收款")*('Daily Sale entry '!$AA$2:$AA$1501&lt;&gt;"")*('Daily Sale entry '!$AC$2:$AC$1501-TRUNC('Daily Sale entry '!$AC$2:$AC$1501))),2))</f>
        <v/>
      </c>
      <c r="E329" s="6">
        <f>IF($A329="","",ROUND('Sales &amp; Collection'!I4574-'Sales &amp; Collection'!I4573,2))</f>
        <v/>
      </c>
      <c r="F329" s="6">
        <f>IF($A329="","",'Sales &amp; Collection'!L4566)</f>
        <v/>
      </c>
      <c r="H329" s="6">
        <f>IF($A329="","",K328)</f>
        <v/>
      </c>
      <c r="I329" s="6">
        <f>IF($A329="","",ROUND(B329+D329+E329,2))</f>
        <v/>
      </c>
      <c r="J329" s="6">
        <f>IF($A329="","",F329)</f>
        <v/>
      </c>
      <c r="K329" s="6">
        <f>IF($A329="","",ROUND(H329+I329-J329,2))</f>
        <v/>
      </c>
    </row>
    <row r="330">
      <c r="A330" s="5">
        <f>IF('Daily Sale entry '!A329="","",'Daily Sale entry '!A329)</f>
        <v/>
      </c>
      <c r="B330" s="6">
        <f>IF($A330="","",'Daily Sale entry '!F329)</f>
        <v/>
      </c>
      <c r="C330">
        <f t="array" ref="C330">IF($A330="","",_xlfn.TEXTJOIN(", ",TRUE,IF(('Daily Sale entry '!$X$2:$X$1501=$A330)*('Daily Sale entry '!$Z$2:$Z$1501="Online collection 网上收款"),'Daily Sale entry '!$AA$2:$AA$1501,"")))</f>
        <v/>
      </c>
      <c r="D330" s="6">
        <f>IF($A330="","",ROUND(SUMIFS('Daily Sale entry '!$AC$2:$AC$1501,'Daily Sale entry '!$X$2:$X$1501,$A330,'Daily Sale entry '!$Z$2:$Z$1501,"Online collection 网上收款")-'Opening Balance'!$B$15*SUMPRODUCT(('Daily Sale entry '!$X$2:$X$1501=$A330)*('Daily Sale entry '!$Z$2:$Z$1501="Online collection 网上收款")*('Daily Sale entry '!$AA$2:$AA$1501&lt;&gt;"")*('Daily Sale entry '!$AC$2:$AC$1501-TRUNC('Daily Sale entry '!$AC$2:$AC$1501))),2))</f>
        <v/>
      </c>
      <c r="E330" s="6">
        <f>IF($A330="","",ROUND('Sales &amp; Collection'!I4588-'Sales &amp; Collection'!I4587,2))</f>
        <v/>
      </c>
      <c r="F330" s="6">
        <f>IF($A330="","",'Sales &amp; Collection'!L4580)</f>
        <v/>
      </c>
      <c r="H330" s="6">
        <f>IF($A330="","",K329)</f>
        <v/>
      </c>
      <c r="I330" s="6">
        <f>IF($A330="","",ROUND(B330+D330+E330,2))</f>
        <v/>
      </c>
      <c r="J330" s="6">
        <f>IF($A330="","",F330)</f>
        <v/>
      </c>
      <c r="K330" s="6">
        <f>IF($A330="","",ROUND(H330+I330-J330,2))</f>
        <v/>
      </c>
    </row>
    <row r="331">
      <c r="A331" s="5">
        <f>IF('Daily Sale entry '!A330="","",'Daily Sale entry '!A330)</f>
        <v/>
      </c>
      <c r="B331" s="6">
        <f>IF($A331="","",'Daily Sale entry '!F330)</f>
        <v/>
      </c>
      <c r="C331">
        <f t="array" ref="C331">IF($A331="","",_xlfn.TEXTJOIN(", ",TRUE,IF(('Daily Sale entry '!$X$2:$X$1501=$A331)*('Daily Sale entry '!$Z$2:$Z$1501="Online collection 网上收款"),'Daily Sale entry '!$AA$2:$AA$1501,"")))</f>
        <v/>
      </c>
      <c r="D331" s="6">
        <f>IF($A331="","",ROUND(SUMIFS('Daily Sale entry '!$AC$2:$AC$1501,'Daily Sale entry '!$X$2:$X$1501,$A331,'Daily Sale entry '!$Z$2:$Z$1501,"Online collection 网上收款")-'Opening Balance'!$B$15*SUMPRODUCT(('Daily Sale entry '!$X$2:$X$1501=$A331)*('Daily Sale entry '!$Z$2:$Z$1501="Online collection 网上收款")*('Daily Sale entry '!$AA$2:$AA$1501&lt;&gt;"")*('Daily Sale entry '!$AC$2:$AC$1501-TRUNC('Daily Sale entry '!$AC$2:$AC$1501))),2))</f>
        <v/>
      </c>
      <c r="E331" s="6">
        <f>IF($A331="","",ROUND('Sales &amp; Collection'!I4602-'Sales &amp; Collection'!I4601,2))</f>
        <v/>
      </c>
      <c r="F331" s="6">
        <f>IF($A331="","",'Sales &amp; Collection'!L4594)</f>
        <v/>
      </c>
      <c r="H331" s="6">
        <f>IF($A331="","",K330)</f>
        <v/>
      </c>
      <c r="I331" s="6">
        <f>IF($A331="","",ROUND(B331+D331+E331,2))</f>
        <v/>
      </c>
      <c r="J331" s="6">
        <f>IF($A331="","",F331)</f>
        <v/>
      </c>
      <c r="K331" s="6">
        <f>IF($A331="","",ROUND(H331+I331-J331,2))</f>
        <v/>
      </c>
    </row>
    <row r="332">
      <c r="A332" s="5">
        <f>IF('Daily Sale entry '!A331="","",'Daily Sale entry '!A331)</f>
        <v/>
      </c>
      <c r="B332" s="6">
        <f>IF($A332="","",'Daily Sale entry '!F331)</f>
        <v/>
      </c>
      <c r="C332">
        <f t="array" ref="C332">IF($A332="","",_xlfn.TEXTJOIN(", ",TRUE,IF(('Daily Sale entry '!$X$2:$X$1501=$A332)*('Daily Sale entry '!$Z$2:$Z$1501="Online collection 网上收款"),'Daily Sale entry '!$AA$2:$AA$1501,"")))</f>
        <v/>
      </c>
      <c r="D332" s="6">
        <f>IF($A332="","",ROUND(SUMIFS('Daily Sale entry '!$AC$2:$AC$1501,'Daily Sale entry '!$X$2:$X$1501,$A332,'Daily Sale entry '!$Z$2:$Z$1501,"Online collection 网上收款")-'Opening Balance'!$B$15*SUMPRODUCT(('Daily Sale entry '!$X$2:$X$1501=$A332)*('Daily Sale entry '!$Z$2:$Z$1501="Online collection 网上收款")*('Daily Sale entry '!$AA$2:$AA$1501&lt;&gt;"")*('Daily Sale entry '!$AC$2:$AC$1501-TRUNC('Daily Sale entry '!$AC$2:$AC$1501))),2))</f>
        <v/>
      </c>
      <c r="E332" s="6">
        <f>IF($A332="","",ROUND('Sales &amp; Collection'!I4616-'Sales &amp; Collection'!I4615,2))</f>
        <v/>
      </c>
      <c r="F332" s="6">
        <f>IF($A332="","",'Sales &amp; Collection'!L4608)</f>
        <v/>
      </c>
      <c r="H332" s="6">
        <f>IF($A332="","",K331)</f>
        <v/>
      </c>
      <c r="I332" s="6">
        <f>IF($A332="","",ROUND(B332+D332+E332,2))</f>
        <v/>
      </c>
      <c r="J332" s="6">
        <f>IF($A332="","",F332)</f>
        <v/>
      </c>
      <c r="K332" s="6">
        <f>IF($A332="","",ROUND(H332+I332-J332,2))</f>
        <v/>
      </c>
    </row>
    <row r="333">
      <c r="A333" s="5">
        <f>IF('Daily Sale entry '!A332="","",'Daily Sale entry '!A332)</f>
        <v/>
      </c>
      <c r="B333" s="6">
        <f>IF($A333="","",'Daily Sale entry '!F332)</f>
        <v/>
      </c>
      <c r="C333">
        <f t="array" ref="C333">IF($A333="","",_xlfn.TEXTJOIN(", ",TRUE,IF(('Daily Sale entry '!$X$2:$X$1501=$A333)*('Daily Sale entry '!$Z$2:$Z$1501="Online collection 网上收款"),'Daily Sale entry '!$AA$2:$AA$1501,"")))</f>
        <v/>
      </c>
      <c r="D333" s="6">
        <f>IF($A333="","",ROUND(SUMIFS('Daily Sale entry '!$AC$2:$AC$1501,'Daily Sale entry '!$X$2:$X$1501,$A333,'Daily Sale entry '!$Z$2:$Z$1501,"Online collection 网上收款")-'Opening Balance'!$B$15*SUMPRODUCT(('Daily Sale entry '!$X$2:$X$1501=$A333)*('Daily Sale entry '!$Z$2:$Z$1501="Online collection 网上收款")*('Daily Sale entry '!$AA$2:$AA$1501&lt;&gt;"")*('Daily Sale entry '!$AC$2:$AC$1501-TRUNC('Daily Sale entry '!$AC$2:$AC$1501))),2))</f>
        <v/>
      </c>
      <c r="E333" s="6">
        <f>IF($A333="","",ROUND('Sales &amp; Collection'!I4630-'Sales &amp; Collection'!I4629,2))</f>
        <v/>
      </c>
      <c r="F333" s="6">
        <f>IF($A333="","",'Sales &amp; Collection'!L4622)</f>
        <v/>
      </c>
      <c r="H333" s="6">
        <f>IF($A333="","",K332)</f>
        <v/>
      </c>
      <c r="I333" s="6">
        <f>IF($A333="","",ROUND(B333+D333+E333,2))</f>
        <v/>
      </c>
      <c r="J333" s="6">
        <f>IF($A333="","",F333)</f>
        <v/>
      </c>
      <c r="K333" s="6">
        <f>IF($A333="","",ROUND(H333+I333-J333,2))</f>
        <v/>
      </c>
    </row>
    <row r="334">
      <c r="A334" s="5">
        <f>IF('Daily Sale entry '!A333="","",'Daily Sale entry '!A333)</f>
        <v/>
      </c>
      <c r="B334" s="6">
        <f>IF($A334="","",'Daily Sale entry '!F333)</f>
        <v/>
      </c>
      <c r="C334">
        <f t="array" ref="C334">IF($A334="","",_xlfn.TEXTJOIN(", ",TRUE,IF(('Daily Sale entry '!$X$2:$X$1501=$A334)*('Daily Sale entry '!$Z$2:$Z$1501="Online collection 网上收款"),'Daily Sale entry '!$AA$2:$AA$1501,"")))</f>
        <v/>
      </c>
      <c r="D334" s="6">
        <f>IF($A334="","",ROUND(SUMIFS('Daily Sale entry '!$AC$2:$AC$1501,'Daily Sale entry '!$X$2:$X$1501,$A334,'Daily Sale entry '!$Z$2:$Z$1501,"Online collection 网上收款")-'Opening Balance'!$B$15*SUMPRODUCT(('Daily Sale entry '!$X$2:$X$1501=$A334)*('Daily Sale entry '!$Z$2:$Z$1501="Online collection 网上收款")*('Daily Sale entry '!$AA$2:$AA$1501&lt;&gt;"")*('Daily Sale entry '!$AC$2:$AC$1501-TRUNC('Daily Sale entry '!$AC$2:$AC$1501))),2))</f>
        <v/>
      </c>
      <c r="E334" s="6">
        <f>IF($A334="","",ROUND('Sales &amp; Collection'!I4644-'Sales &amp; Collection'!I4643,2))</f>
        <v/>
      </c>
      <c r="F334" s="6">
        <f>IF($A334="","",'Sales &amp; Collection'!L4636)</f>
        <v/>
      </c>
      <c r="H334" s="6">
        <f>IF($A334="","",K333)</f>
        <v/>
      </c>
      <c r="I334" s="6">
        <f>IF($A334="","",ROUND(B334+D334+E334,2))</f>
        <v/>
      </c>
      <c r="J334" s="6">
        <f>IF($A334="","",F334)</f>
        <v/>
      </c>
      <c r="K334" s="6">
        <f>IF($A334="","",ROUND(H334+I334-J334,2))</f>
        <v/>
      </c>
    </row>
    <row r="335">
      <c r="A335" s="5">
        <f>IF('Daily Sale entry '!A334="","",'Daily Sale entry '!A334)</f>
        <v/>
      </c>
      <c r="B335" s="6">
        <f>IF($A335="","",'Daily Sale entry '!F334)</f>
        <v/>
      </c>
      <c r="C335">
        <f t="array" ref="C335">IF($A335="","",_xlfn.TEXTJOIN(", ",TRUE,IF(('Daily Sale entry '!$X$2:$X$1501=$A335)*('Daily Sale entry '!$Z$2:$Z$1501="Online collection 网上收款"),'Daily Sale entry '!$AA$2:$AA$1501,"")))</f>
        <v/>
      </c>
      <c r="D335" s="6">
        <f>IF($A335="","",ROUND(SUMIFS('Daily Sale entry '!$AC$2:$AC$1501,'Daily Sale entry '!$X$2:$X$1501,$A335,'Daily Sale entry '!$Z$2:$Z$1501,"Online collection 网上收款")-'Opening Balance'!$B$15*SUMPRODUCT(('Daily Sale entry '!$X$2:$X$1501=$A335)*('Daily Sale entry '!$Z$2:$Z$1501="Online collection 网上收款")*('Daily Sale entry '!$AA$2:$AA$1501&lt;&gt;"")*('Daily Sale entry '!$AC$2:$AC$1501-TRUNC('Daily Sale entry '!$AC$2:$AC$1501))),2))</f>
        <v/>
      </c>
      <c r="E335" s="6">
        <f>IF($A335="","",ROUND('Sales &amp; Collection'!I4658-'Sales &amp; Collection'!I4657,2))</f>
        <v/>
      </c>
      <c r="F335" s="6">
        <f>IF($A335="","",'Sales &amp; Collection'!L4650)</f>
        <v/>
      </c>
      <c r="H335" s="6">
        <f>IF($A335="","",K334)</f>
        <v/>
      </c>
      <c r="I335" s="6">
        <f>IF($A335="","",ROUND(B335+D335+E335,2))</f>
        <v/>
      </c>
      <c r="J335" s="6">
        <f>IF($A335="","",F335)</f>
        <v/>
      </c>
      <c r="K335" s="6">
        <f>IF($A335="","",ROUND(H335+I335-J335,2))</f>
        <v/>
      </c>
    </row>
    <row r="336">
      <c r="A336" s="5">
        <f>IF('Daily Sale entry '!A335="","",'Daily Sale entry '!A335)</f>
        <v/>
      </c>
      <c r="B336" s="6">
        <f>IF($A336="","",'Daily Sale entry '!F335)</f>
        <v/>
      </c>
      <c r="C336">
        <f t="array" ref="C336">IF($A336="","",_xlfn.TEXTJOIN(", ",TRUE,IF(('Daily Sale entry '!$X$2:$X$1501=$A336)*('Daily Sale entry '!$Z$2:$Z$1501="Online collection 网上收款"),'Daily Sale entry '!$AA$2:$AA$1501,"")))</f>
        <v/>
      </c>
      <c r="D336" s="6">
        <f>IF($A336="","",ROUND(SUMIFS('Daily Sale entry '!$AC$2:$AC$1501,'Daily Sale entry '!$X$2:$X$1501,$A336,'Daily Sale entry '!$Z$2:$Z$1501,"Online collection 网上收款")-'Opening Balance'!$B$15*SUMPRODUCT(('Daily Sale entry '!$X$2:$X$1501=$A336)*('Daily Sale entry '!$Z$2:$Z$1501="Online collection 网上收款")*('Daily Sale entry '!$AA$2:$AA$1501&lt;&gt;"")*('Daily Sale entry '!$AC$2:$AC$1501-TRUNC('Daily Sale entry '!$AC$2:$AC$1501))),2))</f>
        <v/>
      </c>
      <c r="E336" s="6">
        <f>IF($A336="","",ROUND('Sales &amp; Collection'!I4672-'Sales &amp; Collection'!I4671,2))</f>
        <v/>
      </c>
      <c r="F336" s="6">
        <f>IF($A336="","",'Sales &amp; Collection'!L4664)</f>
        <v/>
      </c>
      <c r="H336" s="6">
        <f>IF($A336="","",K335)</f>
        <v/>
      </c>
      <c r="I336" s="6">
        <f>IF($A336="","",ROUND(B336+D336+E336,2))</f>
        <v/>
      </c>
      <c r="J336" s="6">
        <f>IF($A336="","",F336)</f>
        <v/>
      </c>
      <c r="K336" s="6">
        <f>IF($A336="","",ROUND(H336+I336-J336,2))</f>
        <v/>
      </c>
    </row>
    <row r="337">
      <c r="A337" s="5">
        <f>IF('Daily Sale entry '!A336="","",'Daily Sale entry '!A336)</f>
        <v/>
      </c>
      <c r="B337" s="6">
        <f>IF($A337="","",'Daily Sale entry '!F336)</f>
        <v/>
      </c>
      <c r="C337">
        <f t="array" ref="C337">IF($A337="","",_xlfn.TEXTJOIN(", ",TRUE,IF(('Daily Sale entry '!$X$2:$X$1501=$A337)*('Daily Sale entry '!$Z$2:$Z$1501="Online collection 网上收款"),'Daily Sale entry '!$AA$2:$AA$1501,"")))</f>
        <v/>
      </c>
      <c r="D337" s="6">
        <f>IF($A337="","",ROUND(SUMIFS('Daily Sale entry '!$AC$2:$AC$1501,'Daily Sale entry '!$X$2:$X$1501,$A337,'Daily Sale entry '!$Z$2:$Z$1501,"Online collection 网上收款")-'Opening Balance'!$B$15*SUMPRODUCT(('Daily Sale entry '!$X$2:$X$1501=$A337)*('Daily Sale entry '!$Z$2:$Z$1501="Online collection 网上收款")*('Daily Sale entry '!$AA$2:$AA$1501&lt;&gt;"")*('Daily Sale entry '!$AC$2:$AC$1501-TRUNC('Daily Sale entry '!$AC$2:$AC$1501))),2))</f>
        <v/>
      </c>
      <c r="E337" s="6">
        <f>IF($A337="","",ROUND('Sales &amp; Collection'!I4686-'Sales &amp; Collection'!I4685,2))</f>
        <v/>
      </c>
      <c r="F337" s="6">
        <f>IF($A337="","",'Sales &amp; Collection'!L4678)</f>
        <v/>
      </c>
      <c r="H337" s="6">
        <f>IF($A337="","",K336)</f>
        <v/>
      </c>
      <c r="I337" s="6">
        <f>IF($A337="","",ROUND(B337+D337+E337,2))</f>
        <v/>
      </c>
      <c r="J337" s="6">
        <f>IF($A337="","",F337)</f>
        <v/>
      </c>
      <c r="K337" s="6">
        <f>IF($A337="","",ROUND(H337+I337-J337,2))</f>
        <v/>
      </c>
    </row>
    <row r="338">
      <c r="A338" s="5">
        <f>IF('Daily Sale entry '!A337="","",'Daily Sale entry '!A337)</f>
        <v/>
      </c>
      <c r="B338" s="6">
        <f>IF($A338="","",'Daily Sale entry '!F337)</f>
        <v/>
      </c>
      <c r="C338">
        <f t="array" ref="C338">IF($A338="","",_xlfn.TEXTJOIN(", ",TRUE,IF(('Daily Sale entry '!$X$2:$X$1501=$A338)*('Daily Sale entry '!$Z$2:$Z$1501="Online collection 网上收款"),'Daily Sale entry '!$AA$2:$AA$1501,"")))</f>
        <v/>
      </c>
      <c r="D338" s="6">
        <f>IF($A338="","",ROUND(SUMIFS('Daily Sale entry '!$AC$2:$AC$1501,'Daily Sale entry '!$X$2:$X$1501,$A338,'Daily Sale entry '!$Z$2:$Z$1501,"Online collection 网上收款")-'Opening Balance'!$B$15*SUMPRODUCT(('Daily Sale entry '!$X$2:$X$1501=$A338)*('Daily Sale entry '!$Z$2:$Z$1501="Online collection 网上收款")*('Daily Sale entry '!$AA$2:$AA$1501&lt;&gt;"")*('Daily Sale entry '!$AC$2:$AC$1501-TRUNC('Daily Sale entry '!$AC$2:$AC$1501))),2))</f>
        <v/>
      </c>
      <c r="E338" s="6">
        <f>IF($A338="","",ROUND('Sales &amp; Collection'!I4700-'Sales &amp; Collection'!I4699,2))</f>
        <v/>
      </c>
      <c r="F338" s="6">
        <f>IF($A338="","",'Sales &amp; Collection'!L4692)</f>
        <v/>
      </c>
      <c r="H338" s="6">
        <f>IF($A338="","",K337)</f>
        <v/>
      </c>
      <c r="I338" s="6">
        <f>IF($A338="","",ROUND(B338+D338+E338,2))</f>
        <v/>
      </c>
      <c r="J338" s="6">
        <f>IF($A338="","",F338)</f>
        <v/>
      </c>
      <c r="K338" s="6">
        <f>IF($A338="","",ROUND(H338+I338-J338,2))</f>
        <v/>
      </c>
    </row>
    <row r="339">
      <c r="A339" s="5">
        <f>IF('Daily Sale entry '!A338="","",'Daily Sale entry '!A338)</f>
        <v/>
      </c>
      <c r="B339" s="6">
        <f>IF($A339="","",'Daily Sale entry '!F338)</f>
        <v/>
      </c>
      <c r="C339">
        <f t="array" ref="C339">IF($A339="","",_xlfn.TEXTJOIN(", ",TRUE,IF(('Daily Sale entry '!$X$2:$X$1501=$A339)*('Daily Sale entry '!$Z$2:$Z$1501="Online collection 网上收款"),'Daily Sale entry '!$AA$2:$AA$1501,"")))</f>
        <v/>
      </c>
      <c r="D339" s="6">
        <f>IF($A339="","",ROUND(SUMIFS('Daily Sale entry '!$AC$2:$AC$1501,'Daily Sale entry '!$X$2:$X$1501,$A339,'Daily Sale entry '!$Z$2:$Z$1501,"Online collection 网上收款")-'Opening Balance'!$B$15*SUMPRODUCT(('Daily Sale entry '!$X$2:$X$1501=$A339)*('Daily Sale entry '!$Z$2:$Z$1501="Online collection 网上收款")*('Daily Sale entry '!$AA$2:$AA$1501&lt;&gt;"")*('Daily Sale entry '!$AC$2:$AC$1501-TRUNC('Daily Sale entry '!$AC$2:$AC$1501))),2))</f>
        <v/>
      </c>
      <c r="E339" s="6">
        <f>IF($A339="","",ROUND('Sales &amp; Collection'!I4714-'Sales &amp; Collection'!I4713,2))</f>
        <v/>
      </c>
      <c r="F339" s="6">
        <f>IF($A339="","",'Sales &amp; Collection'!L4706)</f>
        <v/>
      </c>
      <c r="H339" s="6">
        <f>IF($A339="","",K338)</f>
        <v/>
      </c>
      <c r="I339" s="6">
        <f>IF($A339="","",ROUND(B339+D339+E339,2))</f>
        <v/>
      </c>
      <c r="J339" s="6">
        <f>IF($A339="","",F339)</f>
        <v/>
      </c>
      <c r="K339" s="6">
        <f>IF($A339="","",ROUND(H339+I339-J339,2))</f>
        <v/>
      </c>
    </row>
    <row r="340">
      <c r="A340" s="5">
        <f>IF('Daily Sale entry '!A339="","",'Daily Sale entry '!A339)</f>
        <v/>
      </c>
      <c r="B340" s="6">
        <f>IF($A340="","",'Daily Sale entry '!F339)</f>
        <v/>
      </c>
      <c r="C340">
        <f t="array" ref="C340">IF($A340="","",_xlfn.TEXTJOIN(", ",TRUE,IF(('Daily Sale entry '!$X$2:$X$1501=$A340)*('Daily Sale entry '!$Z$2:$Z$1501="Online collection 网上收款"),'Daily Sale entry '!$AA$2:$AA$1501,"")))</f>
        <v/>
      </c>
      <c r="D340" s="6">
        <f>IF($A340="","",ROUND(SUMIFS('Daily Sale entry '!$AC$2:$AC$1501,'Daily Sale entry '!$X$2:$X$1501,$A340,'Daily Sale entry '!$Z$2:$Z$1501,"Online collection 网上收款")-'Opening Balance'!$B$15*SUMPRODUCT(('Daily Sale entry '!$X$2:$X$1501=$A340)*('Daily Sale entry '!$Z$2:$Z$1501="Online collection 网上收款")*('Daily Sale entry '!$AA$2:$AA$1501&lt;&gt;"")*('Daily Sale entry '!$AC$2:$AC$1501-TRUNC('Daily Sale entry '!$AC$2:$AC$1501))),2))</f>
        <v/>
      </c>
      <c r="E340" s="6">
        <f>IF($A340="","",ROUND('Sales &amp; Collection'!I4728-'Sales &amp; Collection'!I4727,2))</f>
        <v/>
      </c>
      <c r="F340" s="6">
        <f>IF($A340="","",'Sales &amp; Collection'!L4720)</f>
        <v/>
      </c>
      <c r="H340" s="6">
        <f>IF($A340="","",K339)</f>
        <v/>
      </c>
      <c r="I340" s="6">
        <f>IF($A340="","",ROUND(B340+D340+E340,2))</f>
        <v/>
      </c>
      <c r="J340" s="6">
        <f>IF($A340="","",F340)</f>
        <v/>
      </c>
      <c r="K340" s="6">
        <f>IF($A340="","",ROUND(H340+I340-J340,2))</f>
        <v/>
      </c>
    </row>
    <row r="341">
      <c r="A341" s="5">
        <f>IF('Daily Sale entry '!A340="","",'Daily Sale entry '!A340)</f>
        <v/>
      </c>
      <c r="B341" s="6">
        <f>IF($A341="","",'Daily Sale entry '!F340)</f>
        <v/>
      </c>
      <c r="C341">
        <f t="array" ref="C341">IF($A341="","",_xlfn.TEXTJOIN(", ",TRUE,IF(('Daily Sale entry '!$X$2:$X$1501=$A341)*('Daily Sale entry '!$Z$2:$Z$1501="Online collection 网上收款"),'Daily Sale entry '!$AA$2:$AA$1501,"")))</f>
        <v/>
      </c>
      <c r="D341" s="6">
        <f>IF($A341="","",ROUND(SUMIFS('Daily Sale entry '!$AC$2:$AC$1501,'Daily Sale entry '!$X$2:$X$1501,$A341,'Daily Sale entry '!$Z$2:$Z$1501,"Online collection 网上收款")-'Opening Balance'!$B$15*SUMPRODUCT(('Daily Sale entry '!$X$2:$X$1501=$A341)*('Daily Sale entry '!$Z$2:$Z$1501="Online collection 网上收款")*('Daily Sale entry '!$AA$2:$AA$1501&lt;&gt;"")*('Daily Sale entry '!$AC$2:$AC$1501-TRUNC('Daily Sale entry '!$AC$2:$AC$1501))),2))</f>
        <v/>
      </c>
      <c r="E341" s="6">
        <f>IF($A341="","",ROUND('Sales &amp; Collection'!I4742-'Sales &amp; Collection'!I4741,2))</f>
        <v/>
      </c>
      <c r="F341" s="6">
        <f>IF($A341="","",'Sales &amp; Collection'!L4734)</f>
        <v/>
      </c>
      <c r="H341" s="6">
        <f>IF($A341="","",K340)</f>
        <v/>
      </c>
      <c r="I341" s="6">
        <f>IF($A341="","",ROUND(B341+D341+E341,2))</f>
        <v/>
      </c>
      <c r="J341" s="6">
        <f>IF($A341="","",F341)</f>
        <v/>
      </c>
      <c r="K341" s="6">
        <f>IF($A341="","",ROUND(H341+I341-J341,2))</f>
        <v/>
      </c>
    </row>
    <row r="342">
      <c r="A342" s="5">
        <f>IF('Daily Sale entry '!A341="","",'Daily Sale entry '!A341)</f>
        <v/>
      </c>
      <c r="B342" s="6">
        <f>IF($A342="","",'Daily Sale entry '!F341)</f>
        <v/>
      </c>
      <c r="C342">
        <f t="array" ref="C342">IF($A342="","",_xlfn.TEXTJOIN(", ",TRUE,IF(('Daily Sale entry '!$X$2:$X$1501=$A342)*('Daily Sale entry '!$Z$2:$Z$1501="Online collection 网上收款"),'Daily Sale entry '!$AA$2:$AA$1501,"")))</f>
        <v/>
      </c>
      <c r="D342" s="6">
        <f>IF($A342="","",ROUND(SUMIFS('Daily Sale entry '!$AC$2:$AC$1501,'Daily Sale entry '!$X$2:$X$1501,$A342,'Daily Sale entry '!$Z$2:$Z$1501,"Online collection 网上收款")-'Opening Balance'!$B$15*SUMPRODUCT(('Daily Sale entry '!$X$2:$X$1501=$A342)*('Daily Sale entry '!$Z$2:$Z$1501="Online collection 网上收款")*('Daily Sale entry '!$AA$2:$AA$1501&lt;&gt;"")*('Daily Sale entry '!$AC$2:$AC$1501-TRUNC('Daily Sale entry '!$AC$2:$AC$1501))),2))</f>
        <v/>
      </c>
      <c r="E342" s="6">
        <f>IF($A342="","",ROUND('Sales &amp; Collection'!I4756-'Sales &amp; Collection'!I4755,2))</f>
        <v/>
      </c>
      <c r="F342" s="6">
        <f>IF($A342="","",'Sales &amp; Collection'!L4748)</f>
        <v/>
      </c>
      <c r="H342" s="6">
        <f>IF($A342="","",K341)</f>
        <v/>
      </c>
      <c r="I342" s="6">
        <f>IF($A342="","",ROUND(B342+D342+E342,2))</f>
        <v/>
      </c>
      <c r="J342" s="6">
        <f>IF($A342="","",F342)</f>
        <v/>
      </c>
      <c r="K342" s="6">
        <f>IF($A342="","",ROUND(H342+I342-J342,2))</f>
        <v/>
      </c>
    </row>
    <row r="343">
      <c r="A343" s="5">
        <f>IF('Daily Sale entry '!A342="","",'Daily Sale entry '!A342)</f>
        <v/>
      </c>
      <c r="B343" s="6">
        <f>IF($A343="","",'Daily Sale entry '!F342)</f>
        <v/>
      </c>
      <c r="C343">
        <f t="array" ref="C343">IF($A343="","",_xlfn.TEXTJOIN(", ",TRUE,IF(('Daily Sale entry '!$X$2:$X$1501=$A343)*('Daily Sale entry '!$Z$2:$Z$1501="Online collection 网上收款"),'Daily Sale entry '!$AA$2:$AA$1501,"")))</f>
        <v/>
      </c>
      <c r="D343" s="6">
        <f>IF($A343="","",ROUND(SUMIFS('Daily Sale entry '!$AC$2:$AC$1501,'Daily Sale entry '!$X$2:$X$1501,$A343,'Daily Sale entry '!$Z$2:$Z$1501,"Online collection 网上收款")-'Opening Balance'!$B$15*SUMPRODUCT(('Daily Sale entry '!$X$2:$X$1501=$A343)*('Daily Sale entry '!$Z$2:$Z$1501="Online collection 网上收款")*('Daily Sale entry '!$AA$2:$AA$1501&lt;&gt;"")*('Daily Sale entry '!$AC$2:$AC$1501-TRUNC('Daily Sale entry '!$AC$2:$AC$1501))),2))</f>
        <v/>
      </c>
      <c r="E343" s="6">
        <f>IF($A343="","",ROUND('Sales &amp; Collection'!I4770-'Sales &amp; Collection'!I4769,2))</f>
        <v/>
      </c>
      <c r="F343" s="6">
        <f>IF($A343="","",'Sales &amp; Collection'!L4762)</f>
        <v/>
      </c>
      <c r="H343" s="6">
        <f>IF($A343="","",K342)</f>
        <v/>
      </c>
      <c r="I343" s="6">
        <f>IF($A343="","",ROUND(B343+D343+E343,2))</f>
        <v/>
      </c>
      <c r="J343" s="6">
        <f>IF($A343="","",F343)</f>
        <v/>
      </c>
      <c r="K343" s="6">
        <f>IF($A343="","",ROUND(H343+I343-J343,2))</f>
        <v/>
      </c>
    </row>
    <row r="344">
      <c r="A344" s="5">
        <f>IF('Daily Sale entry '!A343="","",'Daily Sale entry '!A343)</f>
        <v/>
      </c>
      <c r="B344" s="6">
        <f>IF($A344="","",'Daily Sale entry '!F343)</f>
        <v/>
      </c>
      <c r="C344">
        <f t="array" ref="C344">IF($A344="","",_xlfn.TEXTJOIN(", ",TRUE,IF(('Daily Sale entry '!$X$2:$X$1501=$A344)*('Daily Sale entry '!$Z$2:$Z$1501="Online collection 网上收款"),'Daily Sale entry '!$AA$2:$AA$1501,"")))</f>
        <v/>
      </c>
      <c r="D344" s="6">
        <f>IF($A344="","",ROUND(SUMIFS('Daily Sale entry '!$AC$2:$AC$1501,'Daily Sale entry '!$X$2:$X$1501,$A344,'Daily Sale entry '!$Z$2:$Z$1501,"Online collection 网上收款")-'Opening Balance'!$B$15*SUMPRODUCT(('Daily Sale entry '!$X$2:$X$1501=$A344)*('Daily Sale entry '!$Z$2:$Z$1501="Online collection 网上收款")*('Daily Sale entry '!$AA$2:$AA$1501&lt;&gt;"")*('Daily Sale entry '!$AC$2:$AC$1501-TRUNC('Daily Sale entry '!$AC$2:$AC$1501))),2))</f>
        <v/>
      </c>
      <c r="E344" s="6">
        <f>IF($A344="","",ROUND('Sales &amp; Collection'!I4784-'Sales &amp; Collection'!I4783,2))</f>
        <v/>
      </c>
      <c r="F344" s="6">
        <f>IF($A344="","",'Sales &amp; Collection'!L4776)</f>
        <v/>
      </c>
      <c r="H344" s="6">
        <f>IF($A344="","",K343)</f>
        <v/>
      </c>
      <c r="I344" s="6">
        <f>IF($A344="","",ROUND(B344+D344+E344,2))</f>
        <v/>
      </c>
      <c r="J344" s="6">
        <f>IF($A344="","",F344)</f>
        <v/>
      </c>
      <c r="K344" s="6">
        <f>IF($A344="","",ROUND(H344+I344-J344,2))</f>
        <v/>
      </c>
    </row>
    <row r="345">
      <c r="A345" s="5">
        <f>IF('Daily Sale entry '!A344="","",'Daily Sale entry '!A344)</f>
        <v/>
      </c>
      <c r="B345" s="6">
        <f>IF($A345="","",'Daily Sale entry '!F344)</f>
        <v/>
      </c>
      <c r="C345">
        <f t="array" ref="C345">IF($A345="","",_xlfn.TEXTJOIN(", ",TRUE,IF(('Daily Sale entry '!$X$2:$X$1501=$A345)*('Daily Sale entry '!$Z$2:$Z$1501="Online collection 网上收款"),'Daily Sale entry '!$AA$2:$AA$1501,"")))</f>
        <v/>
      </c>
      <c r="D345" s="6">
        <f>IF($A345="","",ROUND(SUMIFS('Daily Sale entry '!$AC$2:$AC$1501,'Daily Sale entry '!$X$2:$X$1501,$A345,'Daily Sale entry '!$Z$2:$Z$1501,"Online collection 网上收款")-'Opening Balance'!$B$15*SUMPRODUCT(('Daily Sale entry '!$X$2:$X$1501=$A345)*('Daily Sale entry '!$Z$2:$Z$1501="Online collection 网上收款")*('Daily Sale entry '!$AA$2:$AA$1501&lt;&gt;"")*('Daily Sale entry '!$AC$2:$AC$1501-TRUNC('Daily Sale entry '!$AC$2:$AC$1501))),2))</f>
        <v/>
      </c>
      <c r="E345" s="6">
        <f>IF($A345="","",ROUND('Sales &amp; Collection'!I4798-'Sales &amp; Collection'!I4797,2))</f>
        <v/>
      </c>
      <c r="F345" s="6">
        <f>IF($A345="","",'Sales &amp; Collection'!L4790)</f>
        <v/>
      </c>
      <c r="H345" s="6">
        <f>IF($A345="","",K344)</f>
        <v/>
      </c>
      <c r="I345" s="6">
        <f>IF($A345="","",ROUND(B345+D345+E345,2))</f>
        <v/>
      </c>
      <c r="J345" s="6">
        <f>IF($A345="","",F345)</f>
        <v/>
      </c>
      <c r="K345" s="6">
        <f>IF($A345="","",ROUND(H345+I345-J345,2))</f>
        <v/>
      </c>
    </row>
    <row r="346">
      <c r="A346" s="5">
        <f>IF('Daily Sale entry '!A345="","",'Daily Sale entry '!A345)</f>
        <v/>
      </c>
      <c r="B346" s="6">
        <f>IF($A346="","",'Daily Sale entry '!F345)</f>
        <v/>
      </c>
      <c r="C346">
        <f t="array" ref="C346">IF($A346="","",_xlfn.TEXTJOIN(", ",TRUE,IF(('Daily Sale entry '!$X$2:$X$1501=$A346)*('Daily Sale entry '!$Z$2:$Z$1501="Online collection 网上收款"),'Daily Sale entry '!$AA$2:$AA$1501,"")))</f>
        <v/>
      </c>
      <c r="D346" s="6">
        <f>IF($A346="","",ROUND(SUMIFS('Daily Sale entry '!$AC$2:$AC$1501,'Daily Sale entry '!$X$2:$X$1501,$A346,'Daily Sale entry '!$Z$2:$Z$1501,"Online collection 网上收款")-'Opening Balance'!$B$15*SUMPRODUCT(('Daily Sale entry '!$X$2:$X$1501=$A346)*('Daily Sale entry '!$Z$2:$Z$1501="Online collection 网上收款")*('Daily Sale entry '!$AA$2:$AA$1501&lt;&gt;"")*('Daily Sale entry '!$AC$2:$AC$1501-TRUNC('Daily Sale entry '!$AC$2:$AC$1501))),2))</f>
        <v/>
      </c>
      <c r="E346" s="6">
        <f>IF($A346="","",ROUND('Sales &amp; Collection'!I4812-'Sales &amp; Collection'!I4811,2))</f>
        <v/>
      </c>
      <c r="F346" s="6">
        <f>IF($A346="","",'Sales &amp; Collection'!L4804)</f>
        <v/>
      </c>
      <c r="H346" s="6">
        <f>IF($A346="","",K345)</f>
        <v/>
      </c>
      <c r="I346" s="6">
        <f>IF($A346="","",ROUND(B346+D346+E346,2))</f>
        <v/>
      </c>
      <c r="J346" s="6">
        <f>IF($A346="","",F346)</f>
        <v/>
      </c>
      <c r="K346" s="6">
        <f>IF($A346="","",ROUND(H346+I346-J346,2))</f>
        <v/>
      </c>
    </row>
    <row r="347">
      <c r="A347" s="5">
        <f>IF('Daily Sale entry '!A346="","",'Daily Sale entry '!A346)</f>
        <v/>
      </c>
      <c r="B347" s="6">
        <f>IF($A347="","",'Daily Sale entry '!F346)</f>
        <v/>
      </c>
      <c r="C347">
        <f t="array" ref="C347">IF($A347="","",_xlfn.TEXTJOIN(", ",TRUE,IF(('Daily Sale entry '!$X$2:$X$1501=$A347)*('Daily Sale entry '!$Z$2:$Z$1501="Online collection 网上收款"),'Daily Sale entry '!$AA$2:$AA$1501,"")))</f>
        <v/>
      </c>
      <c r="D347" s="6">
        <f>IF($A347="","",ROUND(SUMIFS('Daily Sale entry '!$AC$2:$AC$1501,'Daily Sale entry '!$X$2:$X$1501,$A347,'Daily Sale entry '!$Z$2:$Z$1501,"Online collection 网上收款")-'Opening Balance'!$B$15*SUMPRODUCT(('Daily Sale entry '!$X$2:$X$1501=$A347)*('Daily Sale entry '!$Z$2:$Z$1501="Online collection 网上收款")*('Daily Sale entry '!$AA$2:$AA$1501&lt;&gt;"")*('Daily Sale entry '!$AC$2:$AC$1501-TRUNC('Daily Sale entry '!$AC$2:$AC$1501))),2))</f>
        <v/>
      </c>
      <c r="E347" s="6">
        <f>IF($A347="","",ROUND('Sales &amp; Collection'!I4826-'Sales &amp; Collection'!I4825,2))</f>
        <v/>
      </c>
      <c r="F347" s="6">
        <f>IF($A347="","",'Sales &amp; Collection'!L4818)</f>
        <v/>
      </c>
      <c r="H347" s="6">
        <f>IF($A347="","",K346)</f>
        <v/>
      </c>
      <c r="I347" s="6">
        <f>IF($A347="","",ROUND(B347+D347+E347,2))</f>
        <v/>
      </c>
      <c r="J347" s="6">
        <f>IF($A347="","",F347)</f>
        <v/>
      </c>
      <c r="K347" s="6">
        <f>IF($A347="","",ROUND(H347+I347-J347,2))</f>
        <v/>
      </c>
    </row>
    <row r="348">
      <c r="A348" s="5">
        <f>IF('Daily Sale entry '!A347="","",'Daily Sale entry '!A347)</f>
        <v/>
      </c>
      <c r="B348" s="6">
        <f>IF($A348="","",'Daily Sale entry '!F347)</f>
        <v/>
      </c>
      <c r="C348">
        <f t="array" ref="C348">IF($A348="","",_xlfn.TEXTJOIN(", ",TRUE,IF(('Daily Sale entry '!$X$2:$X$1501=$A348)*('Daily Sale entry '!$Z$2:$Z$1501="Online collection 网上收款"),'Daily Sale entry '!$AA$2:$AA$1501,"")))</f>
        <v/>
      </c>
      <c r="D348" s="6">
        <f>IF($A348="","",ROUND(SUMIFS('Daily Sale entry '!$AC$2:$AC$1501,'Daily Sale entry '!$X$2:$X$1501,$A348,'Daily Sale entry '!$Z$2:$Z$1501,"Online collection 网上收款")-'Opening Balance'!$B$15*SUMPRODUCT(('Daily Sale entry '!$X$2:$X$1501=$A348)*('Daily Sale entry '!$Z$2:$Z$1501="Online collection 网上收款")*('Daily Sale entry '!$AA$2:$AA$1501&lt;&gt;"")*('Daily Sale entry '!$AC$2:$AC$1501-TRUNC('Daily Sale entry '!$AC$2:$AC$1501))),2))</f>
        <v/>
      </c>
      <c r="E348" s="6">
        <f>IF($A348="","",ROUND('Sales &amp; Collection'!I4840-'Sales &amp; Collection'!I4839,2))</f>
        <v/>
      </c>
      <c r="F348" s="6">
        <f>IF($A348="","",'Sales &amp; Collection'!L4832)</f>
        <v/>
      </c>
      <c r="H348" s="6">
        <f>IF($A348="","",K347)</f>
        <v/>
      </c>
      <c r="I348" s="6">
        <f>IF($A348="","",ROUND(B348+D348+E348,2))</f>
        <v/>
      </c>
      <c r="J348" s="6">
        <f>IF($A348="","",F348)</f>
        <v/>
      </c>
      <c r="K348" s="6">
        <f>IF($A348="","",ROUND(H348+I348-J348,2))</f>
        <v/>
      </c>
    </row>
    <row r="349">
      <c r="A349" s="5">
        <f>IF('Daily Sale entry '!A348="","",'Daily Sale entry '!A348)</f>
        <v/>
      </c>
      <c r="B349" s="6">
        <f>IF($A349="","",'Daily Sale entry '!F348)</f>
        <v/>
      </c>
      <c r="C349">
        <f t="array" ref="C349">IF($A349="","",_xlfn.TEXTJOIN(", ",TRUE,IF(('Daily Sale entry '!$X$2:$X$1501=$A349)*('Daily Sale entry '!$Z$2:$Z$1501="Online collection 网上收款"),'Daily Sale entry '!$AA$2:$AA$1501,"")))</f>
        <v/>
      </c>
      <c r="D349" s="6">
        <f>IF($A349="","",ROUND(SUMIFS('Daily Sale entry '!$AC$2:$AC$1501,'Daily Sale entry '!$X$2:$X$1501,$A349,'Daily Sale entry '!$Z$2:$Z$1501,"Online collection 网上收款")-'Opening Balance'!$B$15*SUMPRODUCT(('Daily Sale entry '!$X$2:$X$1501=$A349)*('Daily Sale entry '!$Z$2:$Z$1501="Online collection 网上收款")*('Daily Sale entry '!$AA$2:$AA$1501&lt;&gt;"")*('Daily Sale entry '!$AC$2:$AC$1501-TRUNC('Daily Sale entry '!$AC$2:$AC$1501))),2))</f>
        <v/>
      </c>
      <c r="E349" s="6">
        <f>IF($A349="","",ROUND('Sales &amp; Collection'!I4854-'Sales &amp; Collection'!I4853,2))</f>
        <v/>
      </c>
      <c r="F349" s="6">
        <f>IF($A349="","",'Sales &amp; Collection'!L4846)</f>
        <v/>
      </c>
      <c r="H349" s="6">
        <f>IF($A349="","",K348)</f>
        <v/>
      </c>
      <c r="I349" s="6">
        <f>IF($A349="","",ROUND(B349+D349+E349,2))</f>
        <v/>
      </c>
      <c r="J349" s="6">
        <f>IF($A349="","",F349)</f>
        <v/>
      </c>
      <c r="K349" s="6">
        <f>IF($A349="","",ROUND(H349+I349-J349,2))</f>
        <v/>
      </c>
    </row>
    <row r="350">
      <c r="A350" s="5">
        <f>IF('Daily Sale entry '!A349="","",'Daily Sale entry '!A349)</f>
        <v/>
      </c>
      <c r="B350" s="6">
        <f>IF($A350="","",'Daily Sale entry '!F349)</f>
        <v/>
      </c>
      <c r="C350">
        <f t="array" ref="C350">IF($A350="","",_xlfn.TEXTJOIN(", ",TRUE,IF(('Daily Sale entry '!$X$2:$X$1501=$A350)*('Daily Sale entry '!$Z$2:$Z$1501="Online collection 网上收款"),'Daily Sale entry '!$AA$2:$AA$1501,"")))</f>
        <v/>
      </c>
      <c r="D350" s="6">
        <f>IF($A350="","",ROUND(SUMIFS('Daily Sale entry '!$AC$2:$AC$1501,'Daily Sale entry '!$X$2:$X$1501,$A350,'Daily Sale entry '!$Z$2:$Z$1501,"Online collection 网上收款")-'Opening Balance'!$B$15*SUMPRODUCT(('Daily Sale entry '!$X$2:$X$1501=$A350)*('Daily Sale entry '!$Z$2:$Z$1501="Online collection 网上收款")*('Daily Sale entry '!$AA$2:$AA$1501&lt;&gt;"")*('Daily Sale entry '!$AC$2:$AC$1501-TRUNC('Daily Sale entry '!$AC$2:$AC$1501))),2))</f>
        <v/>
      </c>
      <c r="E350" s="6">
        <f>IF($A350="","",ROUND('Sales &amp; Collection'!I4868-'Sales &amp; Collection'!I4867,2))</f>
        <v/>
      </c>
      <c r="F350" s="6">
        <f>IF($A350="","",'Sales &amp; Collection'!L4860)</f>
        <v/>
      </c>
      <c r="H350" s="6">
        <f>IF($A350="","",K349)</f>
        <v/>
      </c>
      <c r="I350" s="6">
        <f>IF($A350="","",ROUND(B350+D350+E350,2))</f>
        <v/>
      </c>
      <c r="J350" s="6">
        <f>IF($A350="","",F350)</f>
        <v/>
      </c>
      <c r="K350" s="6">
        <f>IF($A350="","",ROUND(H350+I350-J350,2))</f>
        <v/>
      </c>
    </row>
    <row r="351">
      <c r="A351" s="5">
        <f>IF('Daily Sale entry '!A350="","",'Daily Sale entry '!A350)</f>
        <v/>
      </c>
      <c r="B351" s="6">
        <f>IF($A351="","",'Daily Sale entry '!F350)</f>
        <v/>
      </c>
      <c r="C351">
        <f t="array" ref="C351">IF($A351="","",_xlfn.TEXTJOIN(", ",TRUE,IF(('Daily Sale entry '!$X$2:$X$1501=$A351)*('Daily Sale entry '!$Z$2:$Z$1501="Online collection 网上收款"),'Daily Sale entry '!$AA$2:$AA$1501,"")))</f>
        <v/>
      </c>
      <c r="D351" s="6">
        <f>IF($A351="","",ROUND(SUMIFS('Daily Sale entry '!$AC$2:$AC$1501,'Daily Sale entry '!$X$2:$X$1501,$A351,'Daily Sale entry '!$Z$2:$Z$1501,"Online collection 网上收款")-'Opening Balance'!$B$15*SUMPRODUCT(('Daily Sale entry '!$X$2:$X$1501=$A351)*('Daily Sale entry '!$Z$2:$Z$1501="Online collection 网上收款")*('Daily Sale entry '!$AA$2:$AA$1501&lt;&gt;"")*('Daily Sale entry '!$AC$2:$AC$1501-TRUNC('Daily Sale entry '!$AC$2:$AC$1501))),2))</f>
        <v/>
      </c>
      <c r="E351" s="6">
        <f>IF($A351="","",ROUND('Sales &amp; Collection'!I4882-'Sales &amp; Collection'!I4881,2))</f>
        <v/>
      </c>
      <c r="F351" s="6">
        <f>IF($A351="","",'Sales &amp; Collection'!L4874)</f>
        <v/>
      </c>
      <c r="H351" s="6">
        <f>IF($A351="","",K350)</f>
        <v/>
      </c>
      <c r="I351" s="6">
        <f>IF($A351="","",ROUND(B351+D351+E351,2))</f>
        <v/>
      </c>
      <c r="J351" s="6">
        <f>IF($A351="","",F351)</f>
        <v/>
      </c>
      <c r="K351" s="6">
        <f>IF($A351="","",ROUND(H351+I351-J351,2))</f>
        <v/>
      </c>
    </row>
    <row r="352">
      <c r="A352" s="5">
        <f>IF('Daily Sale entry '!A351="","",'Daily Sale entry '!A351)</f>
        <v/>
      </c>
      <c r="B352" s="6">
        <f>IF($A352="","",'Daily Sale entry '!F351)</f>
        <v/>
      </c>
      <c r="C352">
        <f t="array" ref="C352">IF($A352="","",_xlfn.TEXTJOIN(", ",TRUE,IF(('Daily Sale entry '!$X$2:$X$1501=$A352)*('Daily Sale entry '!$Z$2:$Z$1501="Online collection 网上收款"),'Daily Sale entry '!$AA$2:$AA$1501,"")))</f>
        <v/>
      </c>
      <c r="D352" s="6">
        <f>IF($A352="","",ROUND(SUMIFS('Daily Sale entry '!$AC$2:$AC$1501,'Daily Sale entry '!$X$2:$X$1501,$A352,'Daily Sale entry '!$Z$2:$Z$1501,"Online collection 网上收款")-'Opening Balance'!$B$15*SUMPRODUCT(('Daily Sale entry '!$X$2:$X$1501=$A352)*('Daily Sale entry '!$Z$2:$Z$1501="Online collection 网上收款")*('Daily Sale entry '!$AA$2:$AA$1501&lt;&gt;"")*('Daily Sale entry '!$AC$2:$AC$1501-TRUNC('Daily Sale entry '!$AC$2:$AC$1501))),2))</f>
        <v/>
      </c>
      <c r="E352" s="6">
        <f>IF($A352="","",ROUND('Sales &amp; Collection'!I4896-'Sales &amp; Collection'!I4895,2))</f>
        <v/>
      </c>
      <c r="F352" s="6">
        <f>IF($A352="","",'Sales &amp; Collection'!L4888)</f>
        <v/>
      </c>
      <c r="H352" s="6">
        <f>IF($A352="","",K351)</f>
        <v/>
      </c>
      <c r="I352" s="6">
        <f>IF($A352="","",ROUND(B352+D352+E352,2))</f>
        <v/>
      </c>
      <c r="J352" s="6">
        <f>IF($A352="","",F352)</f>
        <v/>
      </c>
      <c r="K352" s="6">
        <f>IF($A352="","",ROUND(H352+I352-J352,2))</f>
        <v/>
      </c>
    </row>
    <row r="353">
      <c r="A353" s="5">
        <f>IF('Daily Sale entry '!A352="","",'Daily Sale entry '!A352)</f>
        <v/>
      </c>
      <c r="B353" s="6">
        <f>IF($A353="","",'Daily Sale entry '!F352)</f>
        <v/>
      </c>
      <c r="C353">
        <f t="array" ref="C353">IF($A353="","",_xlfn.TEXTJOIN(", ",TRUE,IF(('Daily Sale entry '!$X$2:$X$1501=$A353)*('Daily Sale entry '!$Z$2:$Z$1501="Online collection 网上收款"),'Daily Sale entry '!$AA$2:$AA$1501,"")))</f>
        <v/>
      </c>
      <c r="D353" s="6">
        <f>IF($A353="","",ROUND(SUMIFS('Daily Sale entry '!$AC$2:$AC$1501,'Daily Sale entry '!$X$2:$X$1501,$A353,'Daily Sale entry '!$Z$2:$Z$1501,"Online collection 网上收款")-'Opening Balance'!$B$15*SUMPRODUCT(('Daily Sale entry '!$X$2:$X$1501=$A353)*('Daily Sale entry '!$Z$2:$Z$1501="Online collection 网上收款")*('Daily Sale entry '!$AA$2:$AA$1501&lt;&gt;"")*('Daily Sale entry '!$AC$2:$AC$1501-TRUNC('Daily Sale entry '!$AC$2:$AC$1501))),2))</f>
        <v/>
      </c>
      <c r="E353" s="6">
        <f>IF($A353="","",ROUND('Sales &amp; Collection'!I4910-'Sales &amp; Collection'!I4909,2))</f>
        <v/>
      </c>
      <c r="F353" s="6">
        <f>IF($A353="","",'Sales &amp; Collection'!L4902)</f>
        <v/>
      </c>
      <c r="H353" s="6">
        <f>IF($A353="","",K352)</f>
        <v/>
      </c>
      <c r="I353" s="6">
        <f>IF($A353="","",ROUND(B353+D353+E353,2))</f>
        <v/>
      </c>
      <c r="J353" s="6">
        <f>IF($A353="","",F353)</f>
        <v/>
      </c>
      <c r="K353" s="6">
        <f>IF($A353="","",ROUND(H353+I353-J353,2))</f>
        <v/>
      </c>
    </row>
    <row r="354">
      <c r="A354" s="5">
        <f>IF('Daily Sale entry '!A353="","",'Daily Sale entry '!A353)</f>
        <v/>
      </c>
      <c r="B354" s="6">
        <f>IF($A354="","",'Daily Sale entry '!F353)</f>
        <v/>
      </c>
      <c r="C354">
        <f t="array" ref="C354">IF($A354="","",_xlfn.TEXTJOIN(", ",TRUE,IF(('Daily Sale entry '!$X$2:$X$1501=$A354)*('Daily Sale entry '!$Z$2:$Z$1501="Online collection 网上收款"),'Daily Sale entry '!$AA$2:$AA$1501,"")))</f>
        <v/>
      </c>
      <c r="D354" s="6">
        <f>IF($A354="","",ROUND(SUMIFS('Daily Sale entry '!$AC$2:$AC$1501,'Daily Sale entry '!$X$2:$X$1501,$A354,'Daily Sale entry '!$Z$2:$Z$1501,"Online collection 网上收款")-'Opening Balance'!$B$15*SUMPRODUCT(('Daily Sale entry '!$X$2:$X$1501=$A354)*('Daily Sale entry '!$Z$2:$Z$1501="Online collection 网上收款")*('Daily Sale entry '!$AA$2:$AA$1501&lt;&gt;"")*('Daily Sale entry '!$AC$2:$AC$1501-TRUNC('Daily Sale entry '!$AC$2:$AC$1501))),2))</f>
        <v/>
      </c>
      <c r="E354" s="6">
        <f>IF($A354="","",ROUND('Sales &amp; Collection'!I4924-'Sales &amp; Collection'!I4923,2))</f>
        <v/>
      </c>
      <c r="F354" s="6">
        <f>IF($A354="","",'Sales &amp; Collection'!L4916)</f>
        <v/>
      </c>
      <c r="H354" s="6">
        <f>IF($A354="","",K353)</f>
        <v/>
      </c>
      <c r="I354" s="6">
        <f>IF($A354="","",ROUND(B354+D354+E354,2))</f>
        <v/>
      </c>
      <c r="J354" s="6">
        <f>IF($A354="","",F354)</f>
        <v/>
      </c>
      <c r="K354" s="6">
        <f>IF($A354="","",ROUND(H354+I354-J354,2))</f>
        <v/>
      </c>
    </row>
    <row r="355">
      <c r="A355" s="5">
        <f>IF('Daily Sale entry '!A354="","",'Daily Sale entry '!A354)</f>
        <v/>
      </c>
      <c r="B355" s="6">
        <f>IF($A355="","",'Daily Sale entry '!F354)</f>
        <v/>
      </c>
      <c r="C355">
        <f t="array" ref="C355">IF($A355="","",_xlfn.TEXTJOIN(", ",TRUE,IF(('Daily Sale entry '!$X$2:$X$1501=$A355)*('Daily Sale entry '!$Z$2:$Z$1501="Online collection 网上收款"),'Daily Sale entry '!$AA$2:$AA$1501,"")))</f>
        <v/>
      </c>
      <c r="D355" s="6">
        <f>IF($A355="","",ROUND(SUMIFS('Daily Sale entry '!$AC$2:$AC$1501,'Daily Sale entry '!$X$2:$X$1501,$A355,'Daily Sale entry '!$Z$2:$Z$1501,"Online collection 网上收款")-'Opening Balance'!$B$15*SUMPRODUCT(('Daily Sale entry '!$X$2:$X$1501=$A355)*('Daily Sale entry '!$Z$2:$Z$1501="Online collection 网上收款")*('Daily Sale entry '!$AA$2:$AA$1501&lt;&gt;"")*('Daily Sale entry '!$AC$2:$AC$1501-TRUNC('Daily Sale entry '!$AC$2:$AC$1501))),2))</f>
        <v/>
      </c>
      <c r="E355" s="6">
        <f>IF($A355="","",ROUND('Sales &amp; Collection'!I4938-'Sales &amp; Collection'!I4937,2))</f>
        <v/>
      </c>
      <c r="F355" s="6">
        <f>IF($A355="","",'Sales &amp; Collection'!L4930)</f>
        <v/>
      </c>
      <c r="H355" s="6">
        <f>IF($A355="","",K354)</f>
        <v/>
      </c>
      <c r="I355" s="6">
        <f>IF($A355="","",ROUND(B355+D355+E355,2))</f>
        <v/>
      </c>
      <c r="J355" s="6">
        <f>IF($A355="","",F355)</f>
        <v/>
      </c>
      <c r="K355" s="6">
        <f>IF($A355="","",ROUND(H355+I355-J355,2))</f>
        <v/>
      </c>
    </row>
    <row r="356">
      <c r="A356" s="5">
        <f>IF('Daily Sale entry '!A355="","",'Daily Sale entry '!A355)</f>
        <v/>
      </c>
      <c r="B356" s="6">
        <f>IF($A356="","",'Daily Sale entry '!F355)</f>
        <v/>
      </c>
      <c r="C356">
        <f t="array" ref="C356">IF($A356="","",_xlfn.TEXTJOIN(", ",TRUE,IF(('Daily Sale entry '!$X$2:$X$1501=$A356)*('Daily Sale entry '!$Z$2:$Z$1501="Online collection 网上收款"),'Daily Sale entry '!$AA$2:$AA$1501,"")))</f>
        <v/>
      </c>
      <c r="D356" s="6">
        <f>IF($A356="","",ROUND(SUMIFS('Daily Sale entry '!$AC$2:$AC$1501,'Daily Sale entry '!$X$2:$X$1501,$A356,'Daily Sale entry '!$Z$2:$Z$1501,"Online collection 网上收款")-'Opening Balance'!$B$15*SUMPRODUCT(('Daily Sale entry '!$X$2:$X$1501=$A356)*('Daily Sale entry '!$Z$2:$Z$1501="Online collection 网上收款")*('Daily Sale entry '!$AA$2:$AA$1501&lt;&gt;"")*('Daily Sale entry '!$AC$2:$AC$1501-TRUNC('Daily Sale entry '!$AC$2:$AC$1501))),2))</f>
        <v/>
      </c>
      <c r="E356" s="6">
        <f>IF($A356="","",ROUND('Sales &amp; Collection'!I4952-'Sales &amp; Collection'!I4951,2))</f>
        <v/>
      </c>
      <c r="F356" s="6">
        <f>IF($A356="","",'Sales &amp; Collection'!L4944)</f>
        <v/>
      </c>
      <c r="H356" s="6">
        <f>IF($A356="","",K355)</f>
        <v/>
      </c>
      <c r="I356" s="6">
        <f>IF($A356="","",ROUND(B356+D356+E356,2))</f>
        <v/>
      </c>
      <c r="J356" s="6">
        <f>IF($A356="","",F356)</f>
        <v/>
      </c>
      <c r="K356" s="6">
        <f>IF($A356="","",ROUND(H356+I356-J356,2))</f>
        <v/>
      </c>
    </row>
    <row r="357">
      <c r="A357" s="5">
        <f>IF('Daily Sale entry '!A356="","",'Daily Sale entry '!A356)</f>
        <v/>
      </c>
      <c r="B357" s="6">
        <f>IF($A357="","",'Daily Sale entry '!F356)</f>
        <v/>
      </c>
      <c r="C357">
        <f t="array" ref="C357">IF($A357="","",_xlfn.TEXTJOIN(", ",TRUE,IF(('Daily Sale entry '!$X$2:$X$1501=$A357)*('Daily Sale entry '!$Z$2:$Z$1501="Online collection 网上收款"),'Daily Sale entry '!$AA$2:$AA$1501,"")))</f>
        <v/>
      </c>
      <c r="D357" s="6">
        <f>IF($A357="","",ROUND(SUMIFS('Daily Sale entry '!$AC$2:$AC$1501,'Daily Sale entry '!$X$2:$X$1501,$A357,'Daily Sale entry '!$Z$2:$Z$1501,"Online collection 网上收款")-'Opening Balance'!$B$15*SUMPRODUCT(('Daily Sale entry '!$X$2:$X$1501=$A357)*('Daily Sale entry '!$Z$2:$Z$1501="Online collection 网上收款")*('Daily Sale entry '!$AA$2:$AA$1501&lt;&gt;"")*('Daily Sale entry '!$AC$2:$AC$1501-TRUNC('Daily Sale entry '!$AC$2:$AC$1501))),2))</f>
        <v/>
      </c>
      <c r="E357" s="6">
        <f>IF($A357="","",ROUND('Sales &amp; Collection'!I4966-'Sales &amp; Collection'!I4965,2))</f>
        <v/>
      </c>
      <c r="F357" s="6">
        <f>IF($A357="","",'Sales &amp; Collection'!L4958)</f>
        <v/>
      </c>
      <c r="H357" s="6">
        <f>IF($A357="","",K356)</f>
        <v/>
      </c>
      <c r="I357" s="6">
        <f>IF($A357="","",ROUND(B357+D357+E357,2))</f>
        <v/>
      </c>
      <c r="J357" s="6">
        <f>IF($A357="","",F357)</f>
        <v/>
      </c>
      <c r="K357" s="6">
        <f>IF($A357="","",ROUND(H357+I357-J357,2))</f>
        <v/>
      </c>
    </row>
    <row r="358">
      <c r="A358" s="5">
        <f>IF('Daily Sale entry '!A357="","",'Daily Sale entry '!A357)</f>
        <v/>
      </c>
      <c r="B358" s="6">
        <f>IF($A358="","",'Daily Sale entry '!F357)</f>
        <v/>
      </c>
      <c r="C358">
        <f t="array" ref="C358">IF($A358="","",_xlfn.TEXTJOIN(", ",TRUE,IF(('Daily Sale entry '!$X$2:$X$1501=$A358)*('Daily Sale entry '!$Z$2:$Z$1501="Online collection 网上收款"),'Daily Sale entry '!$AA$2:$AA$1501,"")))</f>
        <v/>
      </c>
      <c r="D358" s="6">
        <f>IF($A358="","",ROUND(SUMIFS('Daily Sale entry '!$AC$2:$AC$1501,'Daily Sale entry '!$X$2:$X$1501,$A358,'Daily Sale entry '!$Z$2:$Z$1501,"Online collection 网上收款")-'Opening Balance'!$B$15*SUMPRODUCT(('Daily Sale entry '!$X$2:$X$1501=$A358)*('Daily Sale entry '!$Z$2:$Z$1501="Online collection 网上收款")*('Daily Sale entry '!$AA$2:$AA$1501&lt;&gt;"")*('Daily Sale entry '!$AC$2:$AC$1501-TRUNC('Daily Sale entry '!$AC$2:$AC$1501))),2))</f>
        <v/>
      </c>
      <c r="E358" s="6">
        <f>IF($A358="","",ROUND('Sales &amp; Collection'!I4980-'Sales &amp; Collection'!I4979,2))</f>
        <v/>
      </c>
      <c r="F358" s="6">
        <f>IF($A358="","",'Sales &amp; Collection'!L4972)</f>
        <v/>
      </c>
      <c r="H358" s="6">
        <f>IF($A358="","",K357)</f>
        <v/>
      </c>
      <c r="I358" s="6">
        <f>IF($A358="","",ROUND(B358+D358+E358,2))</f>
        <v/>
      </c>
      <c r="J358" s="6">
        <f>IF($A358="","",F358)</f>
        <v/>
      </c>
      <c r="K358" s="6">
        <f>IF($A358="","",ROUND(H358+I358-J358,2))</f>
        <v/>
      </c>
    </row>
    <row r="359">
      <c r="A359" s="5">
        <f>IF('Daily Sale entry '!A358="","",'Daily Sale entry '!A358)</f>
        <v/>
      </c>
      <c r="B359" s="6">
        <f>IF($A359="","",'Daily Sale entry '!F358)</f>
        <v/>
      </c>
      <c r="C359">
        <f t="array" ref="C359">IF($A359="","",_xlfn.TEXTJOIN(", ",TRUE,IF(('Daily Sale entry '!$X$2:$X$1501=$A359)*('Daily Sale entry '!$Z$2:$Z$1501="Online collection 网上收款"),'Daily Sale entry '!$AA$2:$AA$1501,"")))</f>
        <v/>
      </c>
      <c r="D359" s="6">
        <f>IF($A359="","",ROUND(SUMIFS('Daily Sale entry '!$AC$2:$AC$1501,'Daily Sale entry '!$X$2:$X$1501,$A359,'Daily Sale entry '!$Z$2:$Z$1501,"Online collection 网上收款")-'Opening Balance'!$B$15*SUMPRODUCT(('Daily Sale entry '!$X$2:$X$1501=$A359)*('Daily Sale entry '!$Z$2:$Z$1501="Online collection 网上收款")*('Daily Sale entry '!$AA$2:$AA$1501&lt;&gt;"")*('Daily Sale entry '!$AC$2:$AC$1501-TRUNC('Daily Sale entry '!$AC$2:$AC$1501))),2))</f>
        <v/>
      </c>
      <c r="E359" s="6">
        <f>IF($A359="","",ROUND('Sales &amp; Collection'!I4994-'Sales &amp; Collection'!I4993,2))</f>
        <v/>
      </c>
      <c r="F359" s="6">
        <f>IF($A359="","",'Sales &amp; Collection'!L4986)</f>
        <v/>
      </c>
      <c r="H359" s="6">
        <f>IF($A359="","",K358)</f>
        <v/>
      </c>
      <c r="I359" s="6">
        <f>IF($A359="","",ROUND(B359+D359+E359,2))</f>
        <v/>
      </c>
      <c r="J359" s="6">
        <f>IF($A359="","",F359)</f>
        <v/>
      </c>
      <c r="K359" s="6">
        <f>IF($A359="","",ROUND(H359+I359-J359,2))</f>
        <v/>
      </c>
    </row>
    <row r="360">
      <c r="A360" s="5">
        <f>IF('Daily Sale entry '!A359="","",'Daily Sale entry '!A359)</f>
        <v/>
      </c>
      <c r="B360" s="6">
        <f>IF($A360="","",'Daily Sale entry '!F359)</f>
        <v/>
      </c>
      <c r="C360">
        <f t="array" ref="C360">IF($A360="","",_xlfn.TEXTJOIN(", ",TRUE,IF(('Daily Sale entry '!$X$2:$X$1501=$A360)*('Daily Sale entry '!$Z$2:$Z$1501="Online collection 网上收款"),'Daily Sale entry '!$AA$2:$AA$1501,"")))</f>
        <v/>
      </c>
      <c r="D360" s="6">
        <f>IF($A360="","",ROUND(SUMIFS('Daily Sale entry '!$AC$2:$AC$1501,'Daily Sale entry '!$X$2:$X$1501,$A360,'Daily Sale entry '!$Z$2:$Z$1501,"Online collection 网上收款")-'Opening Balance'!$B$15*SUMPRODUCT(('Daily Sale entry '!$X$2:$X$1501=$A360)*('Daily Sale entry '!$Z$2:$Z$1501="Online collection 网上收款")*('Daily Sale entry '!$AA$2:$AA$1501&lt;&gt;"")*('Daily Sale entry '!$AC$2:$AC$1501-TRUNC('Daily Sale entry '!$AC$2:$AC$1501))),2))</f>
        <v/>
      </c>
      <c r="E360" s="6">
        <f>IF($A360="","",ROUND('Sales &amp; Collection'!I5008-'Sales &amp; Collection'!I5007,2))</f>
        <v/>
      </c>
      <c r="F360" s="6">
        <f>IF($A360="","",'Sales &amp; Collection'!L5000)</f>
        <v/>
      </c>
      <c r="H360" s="6">
        <f>IF($A360="","",K359)</f>
        <v/>
      </c>
      <c r="I360" s="6">
        <f>IF($A360="","",ROUND(B360+D360+E360,2))</f>
        <v/>
      </c>
      <c r="J360" s="6">
        <f>IF($A360="","",F360)</f>
        <v/>
      </c>
      <c r="K360" s="6">
        <f>IF($A360="","",ROUND(H360+I360-J360,2))</f>
        <v/>
      </c>
    </row>
    <row r="361">
      <c r="A361" s="5">
        <f>IF('Daily Sale entry '!A360="","",'Daily Sale entry '!A360)</f>
        <v/>
      </c>
      <c r="B361" s="6">
        <f>IF($A361="","",'Daily Sale entry '!F360)</f>
        <v/>
      </c>
      <c r="C361">
        <f t="array" ref="C361">IF($A361="","",_xlfn.TEXTJOIN(", ",TRUE,IF(('Daily Sale entry '!$X$2:$X$1501=$A361)*('Daily Sale entry '!$Z$2:$Z$1501="Online collection 网上收款"),'Daily Sale entry '!$AA$2:$AA$1501,"")))</f>
        <v/>
      </c>
      <c r="D361" s="6">
        <f>IF($A361="","",ROUND(SUMIFS('Daily Sale entry '!$AC$2:$AC$1501,'Daily Sale entry '!$X$2:$X$1501,$A361,'Daily Sale entry '!$Z$2:$Z$1501,"Online collection 网上收款")-'Opening Balance'!$B$15*SUMPRODUCT(('Daily Sale entry '!$X$2:$X$1501=$A361)*('Daily Sale entry '!$Z$2:$Z$1501="Online collection 网上收款")*('Daily Sale entry '!$AA$2:$AA$1501&lt;&gt;"")*('Daily Sale entry '!$AC$2:$AC$1501-TRUNC('Daily Sale entry '!$AC$2:$AC$1501))),2))</f>
        <v/>
      </c>
      <c r="E361" s="6">
        <f>IF($A361="","",ROUND('Sales &amp; Collection'!I5022-'Sales &amp; Collection'!I5021,2))</f>
        <v/>
      </c>
      <c r="F361" s="6">
        <f>IF($A361="","",'Sales &amp; Collection'!L5014)</f>
        <v/>
      </c>
      <c r="H361" s="6">
        <f>IF($A361="","",K360)</f>
        <v/>
      </c>
      <c r="I361" s="6">
        <f>IF($A361="","",ROUND(B361+D361+E361,2))</f>
        <v/>
      </c>
      <c r="J361" s="6">
        <f>IF($A361="","",F361)</f>
        <v/>
      </c>
      <c r="K361" s="6">
        <f>IF($A361="","",ROUND(H361+I361-J361,2))</f>
        <v/>
      </c>
    </row>
    <row r="362">
      <c r="A362" s="5">
        <f>IF('Daily Sale entry '!A361="","",'Daily Sale entry '!A361)</f>
        <v/>
      </c>
      <c r="B362" s="6">
        <f>IF($A362="","",'Daily Sale entry '!F361)</f>
        <v/>
      </c>
      <c r="C362">
        <f t="array" ref="C362">IF($A362="","",_xlfn.TEXTJOIN(", ",TRUE,IF(('Daily Sale entry '!$X$2:$X$1501=$A362)*('Daily Sale entry '!$Z$2:$Z$1501="Online collection 网上收款"),'Daily Sale entry '!$AA$2:$AA$1501,"")))</f>
        <v/>
      </c>
      <c r="D362" s="6">
        <f>IF($A362="","",ROUND(SUMIFS('Daily Sale entry '!$AC$2:$AC$1501,'Daily Sale entry '!$X$2:$X$1501,$A362,'Daily Sale entry '!$Z$2:$Z$1501,"Online collection 网上收款")-'Opening Balance'!$B$15*SUMPRODUCT(('Daily Sale entry '!$X$2:$X$1501=$A362)*('Daily Sale entry '!$Z$2:$Z$1501="Online collection 网上收款")*('Daily Sale entry '!$AA$2:$AA$1501&lt;&gt;"")*('Daily Sale entry '!$AC$2:$AC$1501-TRUNC('Daily Sale entry '!$AC$2:$AC$1501))),2))</f>
        <v/>
      </c>
      <c r="E362" s="6">
        <f>IF($A362="","",ROUND('Sales &amp; Collection'!I5036-'Sales &amp; Collection'!I5035,2))</f>
        <v/>
      </c>
      <c r="F362" s="6">
        <f>IF($A362="","",'Sales &amp; Collection'!L5028)</f>
        <v/>
      </c>
      <c r="H362" s="6">
        <f>IF($A362="","",K361)</f>
        <v/>
      </c>
      <c r="I362" s="6">
        <f>IF($A362="","",ROUND(B362+D362+E362,2))</f>
        <v/>
      </c>
      <c r="J362" s="6">
        <f>IF($A362="","",F362)</f>
        <v/>
      </c>
      <c r="K362" s="6">
        <f>IF($A362="","",ROUND(H362+I362-J362,2))</f>
        <v/>
      </c>
    </row>
    <row r="363">
      <c r="A363" s="5">
        <f>IF('Daily Sale entry '!A362="","",'Daily Sale entry '!A362)</f>
        <v/>
      </c>
      <c r="B363" s="6">
        <f>IF($A363="","",'Daily Sale entry '!F362)</f>
        <v/>
      </c>
      <c r="C363">
        <f t="array" ref="C363">IF($A363="","",_xlfn.TEXTJOIN(", ",TRUE,IF(('Daily Sale entry '!$X$2:$X$1501=$A363)*('Daily Sale entry '!$Z$2:$Z$1501="Online collection 网上收款"),'Daily Sale entry '!$AA$2:$AA$1501,"")))</f>
        <v/>
      </c>
      <c r="D363" s="6">
        <f>IF($A363="","",ROUND(SUMIFS('Daily Sale entry '!$AC$2:$AC$1501,'Daily Sale entry '!$X$2:$X$1501,$A363,'Daily Sale entry '!$Z$2:$Z$1501,"Online collection 网上收款")-'Opening Balance'!$B$15*SUMPRODUCT(('Daily Sale entry '!$X$2:$X$1501=$A363)*('Daily Sale entry '!$Z$2:$Z$1501="Online collection 网上收款")*('Daily Sale entry '!$AA$2:$AA$1501&lt;&gt;"")*('Daily Sale entry '!$AC$2:$AC$1501-TRUNC('Daily Sale entry '!$AC$2:$AC$1501))),2))</f>
        <v/>
      </c>
      <c r="E363" s="6">
        <f>IF($A363="","",ROUND('Sales &amp; Collection'!I5050-'Sales &amp; Collection'!I5049,2))</f>
        <v/>
      </c>
      <c r="F363" s="6">
        <f>IF($A363="","",'Sales &amp; Collection'!L5042)</f>
        <v/>
      </c>
      <c r="H363" s="6">
        <f>IF($A363="","",K362)</f>
        <v/>
      </c>
      <c r="I363" s="6">
        <f>IF($A363="","",ROUND(B363+D363+E363,2))</f>
        <v/>
      </c>
      <c r="J363" s="6">
        <f>IF($A363="","",F363)</f>
        <v/>
      </c>
      <c r="K363" s="6">
        <f>IF($A363="","",ROUND(H363+I363-J363,2))</f>
        <v/>
      </c>
    </row>
    <row r="364">
      <c r="A364" s="5">
        <f>IF('Daily Sale entry '!A363="","",'Daily Sale entry '!A363)</f>
        <v/>
      </c>
      <c r="B364" s="6">
        <f>IF($A364="","",'Daily Sale entry '!F363)</f>
        <v/>
      </c>
      <c r="C364">
        <f t="array" ref="C364">IF($A364="","",_xlfn.TEXTJOIN(", ",TRUE,IF(('Daily Sale entry '!$X$2:$X$1501=$A364)*('Daily Sale entry '!$Z$2:$Z$1501="Online collection 网上收款"),'Daily Sale entry '!$AA$2:$AA$1501,"")))</f>
        <v/>
      </c>
      <c r="D364" s="6">
        <f>IF($A364="","",ROUND(SUMIFS('Daily Sale entry '!$AC$2:$AC$1501,'Daily Sale entry '!$X$2:$X$1501,$A364,'Daily Sale entry '!$Z$2:$Z$1501,"Online collection 网上收款")-'Opening Balance'!$B$15*SUMPRODUCT(('Daily Sale entry '!$X$2:$X$1501=$A364)*('Daily Sale entry '!$Z$2:$Z$1501="Online collection 网上收款")*('Daily Sale entry '!$AA$2:$AA$1501&lt;&gt;"")*('Daily Sale entry '!$AC$2:$AC$1501-TRUNC('Daily Sale entry '!$AC$2:$AC$1501))),2))</f>
        <v/>
      </c>
      <c r="E364" s="6">
        <f>IF($A364="","",ROUND('Sales &amp; Collection'!I5064-'Sales &amp; Collection'!I5063,2))</f>
        <v/>
      </c>
      <c r="F364" s="6">
        <f>IF($A364="","",'Sales &amp; Collection'!L5056)</f>
        <v/>
      </c>
      <c r="H364" s="6">
        <f>IF($A364="","",K363)</f>
        <v/>
      </c>
      <c r="I364" s="6">
        <f>IF($A364="","",ROUND(B364+D364+E364,2))</f>
        <v/>
      </c>
      <c r="J364" s="6">
        <f>IF($A364="","",F364)</f>
        <v/>
      </c>
      <c r="K364" s="6">
        <f>IF($A364="","",ROUND(H364+I364-J364,2))</f>
        <v/>
      </c>
    </row>
    <row r="365">
      <c r="A365" s="5">
        <f>IF('Daily Sale entry '!A364="","",'Daily Sale entry '!A364)</f>
        <v/>
      </c>
      <c r="B365" s="6">
        <f>IF($A365="","",'Daily Sale entry '!F364)</f>
        <v/>
      </c>
      <c r="C365">
        <f t="array" ref="C365">IF($A365="","",_xlfn.TEXTJOIN(", ",TRUE,IF(('Daily Sale entry '!$X$2:$X$1501=$A365)*('Daily Sale entry '!$Z$2:$Z$1501="Online collection 网上收款"),'Daily Sale entry '!$AA$2:$AA$1501,"")))</f>
        <v/>
      </c>
      <c r="D365" s="6">
        <f>IF($A365="","",ROUND(SUMIFS('Daily Sale entry '!$AC$2:$AC$1501,'Daily Sale entry '!$X$2:$X$1501,$A365,'Daily Sale entry '!$Z$2:$Z$1501,"Online collection 网上收款")-'Opening Balance'!$B$15*SUMPRODUCT(('Daily Sale entry '!$X$2:$X$1501=$A365)*('Daily Sale entry '!$Z$2:$Z$1501="Online collection 网上收款")*('Daily Sale entry '!$AA$2:$AA$1501&lt;&gt;"")*('Daily Sale entry '!$AC$2:$AC$1501-TRUNC('Daily Sale entry '!$AC$2:$AC$1501))),2))</f>
        <v/>
      </c>
      <c r="E365" s="6">
        <f>IF($A365="","",ROUND('Sales &amp; Collection'!I5078-'Sales &amp; Collection'!I5077,2))</f>
        <v/>
      </c>
      <c r="F365" s="6">
        <f>IF($A365="","",'Sales &amp; Collection'!L5070)</f>
        <v/>
      </c>
      <c r="H365" s="6">
        <f>IF($A365="","",K364)</f>
        <v/>
      </c>
      <c r="I365" s="6">
        <f>IF($A365="","",ROUND(B365+D365+E365,2))</f>
        <v/>
      </c>
      <c r="J365" s="6">
        <f>IF($A365="","",F365)</f>
        <v/>
      </c>
      <c r="K365" s="6">
        <f>IF($A365="","",ROUND(H365+I365-J365,2))</f>
        <v/>
      </c>
    </row>
    <row r="366">
      <c r="A366" s="5">
        <f>IF('Daily Sale entry '!A365="","",'Daily Sale entry '!A365)</f>
        <v/>
      </c>
      <c r="B366" s="6">
        <f>IF($A366="","",'Daily Sale entry '!F365)</f>
        <v/>
      </c>
      <c r="C366">
        <f t="array" ref="C366">IF($A366="","",_xlfn.TEXTJOIN(", ",TRUE,IF(('Daily Sale entry '!$X$2:$X$1501=$A366)*('Daily Sale entry '!$Z$2:$Z$1501="Online collection 网上收款"),'Daily Sale entry '!$AA$2:$AA$1501,"")))</f>
        <v/>
      </c>
      <c r="D366" s="6">
        <f>IF($A366="","",ROUND(SUMIFS('Daily Sale entry '!$AC$2:$AC$1501,'Daily Sale entry '!$X$2:$X$1501,$A366,'Daily Sale entry '!$Z$2:$Z$1501,"Online collection 网上收款")-'Opening Balance'!$B$15*SUMPRODUCT(('Daily Sale entry '!$X$2:$X$1501=$A366)*('Daily Sale entry '!$Z$2:$Z$1501="Online collection 网上收款")*('Daily Sale entry '!$AA$2:$AA$1501&lt;&gt;"")*('Daily Sale entry '!$AC$2:$AC$1501-TRUNC('Daily Sale entry '!$AC$2:$AC$1501))),2))</f>
        <v/>
      </c>
      <c r="E366" s="6">
        <f>IF($A366="","",ROUND('Sales &amp; Collection'!I5092-'Sales &amp; Collection'!I5091,2))</f>
        <v/>
      </c>
      <c r="F366" s="6">
        <f>IF($A366="","",'Sales &amp; Collection'!L5084)</f>
        <v/>
      </c>
      <c r="H366" s="6">
        <f>IF($A366="","",K365)</f>
        <v/>
      </c>
      <c r="I366" s="6">
        <f>IF($A366="","",ROUND(B366+D366+E366,2))</f>
        <v/>
      </c>
      <c r="J366" s="6">
        <f>IF($A366="","",F366)</f>
        <v/>
      </c>
      <c r="K366" s="6">
        <f>IF($A366="","",ROUND(H366+I366-J366,2))</f>
        <v/>
      </c>
    </row>
    <row r="367">
      <c r="A367" s="5">
        <f>IF('Daily Sale entry '!A366="","",'Daily Sale entry '!A366)</f>
        <v/>
      </c>
      <c r="B367" s="6">
        <f>IF($A367="","",'Daily Sale entry '!F366)</f>
        <v/>
      </c>
      <c r="C367">
        <f t="array" ref="C367">IF($A367="","",_xlfn.TEXTJOIN(", ",TRUE,IF(('Daily Sale entry '!$X$2:$X$1501=$A367)*('Daily Sale entry '!$Z$2:$Z$1501="Online collection 网上收款"),'Daily Sale entry '!$AA$2:$AA$1501,"")))</f>
        <v/>
      </c>
      <c r="D367" s="6">
        <f>IF($A367="","",ROUND(SUMIFS('Daily Sale entry '!$AC$2:$AC$1501,'Daily Sale entry '!$X$2:$X$1501,$A367,'Daily Sale entry '!$Z$2:$Z$1501,"Online collection 网上收款")-'Opening Balance'!$B$15*SUMPRODUCT(('Daily Sale entry '!$X$2:$X$1501=$A367)*('Daily Sale entry '!$Z$2:$Z$1501="Online collection 网上收款")*('Daily Sale entry '!$AA$2:$AA$1501&lt;&gt;"")*('Daily Sale entry '!$AC$2:$AC$1501-TRUNC('Daily Sale entry '!$AC$2:$AC$1501))),2))</f>
        <v/>
      </c>
      <c r="E367" s="6">
        <f>IF($A367="","",ROUND('Sales &amp; Collection'!I5106-'Sales &amp; Collection'!I5105,2))</f>
        <v/>
      </c>
      <c r="F367" s="6">
        <f>IF($A367="","",'Sales &amp; Collection'!L5098)</f>
        <v/>
      </c>
      <c r="H367" s="6">
        <f>IF($A367="","",K366)</f>
        <v/>
      </c>
      <c r="I367" s="6">
        <f>IF($A367="","",ROUND(B367+D367+E367,2))</f>
        <v/>
      </c>
      <c r="J367" s="6">
        <f>IF($A367="","",F367)</f>
        <v/>
      </c>
      <c r="K367" s="6">
        <f>IF($A367="","",ROUND(H367+I367-J367,2))</f>
        <v/>
      </c>
    </row>
    <row r="368">
      <c r="A368" s="5">
        <f>IF('Daily Sale entry '!A367="","",'Daily Sale entry '!A367)</f>
        <v/>
      </c>
      <c r="B368" s="6">
        <f>IF($A368="","",'Daily Sale entry '!F367)</f>
        <v/>
      </c>
      <c r="C368">
        <f t="array" ref="C368">IF($A368="","",_xlfn.TEXTJOIN(", ",TRUE,IF(('Daily Sale entry '!$X$2:$X$1501=$A368)*('Daily Sale entry '!$Z$2:$Z$1501="Online collection 网上收款"),'Daily Sale entry '!$AA$2:$AA$1501,"")))</f>
        <v/>
      </c>
      <c r="D368" s="6">
        <f>IF($A368="","",ROUND(SUMIFS('Daily Sale entry '!$AC$2:$AC$1501,'Daily Sale entry '!$X$2:$X$1501,$A368,'Daily Sale entry '!$Z$2:$Z$1501,"Online collection 网上收款")-'Opening Balance'!$B$15*SUMPRODUCT(('Daily Sale entry '!$X$2:$X$1501=$A368)*('Daily Sale entry '!$Z$2:$Z$1501="Online collection 网上收款")*('Daily Sale entry '!$AA$2:$AA$1501&lt;&gt;"")*('Daily Sale entry '!$AC$2:$AC$1501-TRUNC('Daily Sale entry '!$AC$2:$AC$1501))),2))</f>
        <v/>
      </c>
      <c r="E368" s="6">
        <f>IF($A368="","",ROUND('Sales &amp; Collection'!I5120-'Sales &amp; Collection'!I5119,2))</f>
        <v/>
      </c>
      <c r="F368" s="6">
        <f>IF($A368="","",'Sales &amp; Collection'!L5112)</f>
        <v/>
      </c>
      <c r="H368" s="6">
        <f>IF($A368="","",K367)</f>
        <v/>
      </c>
      <c r="I368" s="6">
        <f>IF($A368="","",ROUND(B368+D368+E368,2))</f>
        <v/>
      </c>
      <c r="J368" s="6">
        <f>IF($A368="","",F368)</f>
        <v/>
      </c>
      <c r="K368" s="6">
        <f>IF($A368="","",ROUND(H368+I368-J368,2))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T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  <col width="16" customWidth="1" min="8" max="8"/>
    <col hidden="1" width="5" customWidth="1" min="9" max="9"/>
    <col hidden="1" width="3" customWidth="1" min="10" max="10"/>
    <col hidden="1" width="24" customWidth="1" min="11" max="11"/>
    <col hidden="1" width="12" customWidth="1" min="12" max="12"/>
    <col hidden="1" width="12" customWidth="1" min="13" max="13"/>
    <col hidden="1" width="12" customWidth="1" min="14" max="14"/>
    <col hidden="1" width="12" customWidth="1" min="15" max="15"/>
    <col hidden="1" width="12" customWidth="1" min="16" max="16"/>
    <col hidden="1" width="12" customWidth="1" min="17" max="17"/>
    <col hidden="1" width="12" customWidth="1" min="18" max="18"/>
    <col hidden="1" width="8" customWidth="1" min="19" max="19"/>
    <col hidden="1" width="8" customWidth="1" min="20" max="20"/>
  </cols>
  <sheetData>
    <row r="1">
      <c r="A1" s="15" t="inlineStr">
        <is>
          <t>DEBTOR DAILY 债务人每日明细 - all buyers 所有买家</t>
        </is>
      </c>
    </row>
    <row r="2">
      <c r="A2" s="16" t="inlineStr">
        <is>
          <t>Date 日期:</t>
        </is>
      </c>
      <c r="B2" s="17" t="n"/>
      <c r="C2" s="18" t="inlineStr">
        <is>
          <t>Pick a date: only buyers with a transaction on that date are listed. Empty date = nothing shown. 选择日期后才显示当天有交易的买家;未选日期则不显示。</t>
        </is>
      </c>
    </row>
    <row r="3">
      <c r="K3" s="19" t="inlineStr">
        <is>
          <t>HELPER 辅助 - do not edit</t>
        </is>
      </c>
    </row>
    <row r="4" ht="34" customHeight="1">
      <c r="A4" s="20" t="inlineStr">
        <is>
          <t>Buyer
买家</t>
        </is>
      </c>
      <c r="B4" s="20" t="inlineStr">
        <is>
          <t>Balance b/f
上日欠款</t>
        </is>
      </c>
      <c r="C4" s="20" t="inlineStr">
        <is>
          <t>Credit sale
赊销</t>
        </is>
      </c>
      <c r="D4" s="20" t="inlineStr">
        <is>
          <t>Cash collection
现金收款</t>
        </is>
      </c>
      <c r="E4" s="20" t="inlineStr">
        <is>
          <t>Cheque collection
支票收款</t>
        </is>
      </c>
      <c r="F4" s="20" t="inlineStr">
        <is>
          <t>Online collection
网上收款</t>
        </is>
      </c>
      <c r="G4" s="20" t="inlineStr">
        <is>
          <t>Discount
折扣</t>
        </is>
      </c>
      <c r="H4" s="20" t="inlineStr">
        <is>
          <t>Balance c/f
本日欠款</t>
        </is>
      </c>
      <c r="I4" s="21" t="inlineStr">
        <is>
          <t>idx 索引</t>
        </is>
      </c>
      <c r="K4" s="21" t="inlineStr">
        <is>
          <t>Buyer 买家</t>
        </is>
      </c>
      <c r="L4" s="21" t="inlineStr">
        <is>
          <t>b/f 上日</t>
        </is>
      </c>
      <c r="M4" s="21" t="inlineStr">
        <is>
          <t>Credit sale 赊销</t>
        </is>
      </c>
      <c r="N4" s="21" t="inlineStr">
        <is>
          <t>Cash 现金</t>
        </is>
      </c>
      <c r="O4" s="21" t="inlineStr">
        <is>
          <t>Cheque 支票</t>
        </is>
      </c>
      <c r="P4" s="21" t="inlineStr">
        <is>
          <t>Online 网上</t>
        </is>
      </c>
      <c r="Q4" s="21" t="inlineStr">
        <is>
          <t>Discount 折扣</t>
        </is>
      </c>
      <c r="R4" s="21" t="inlineStr">
        <is>
          <t>c/f 本日</t>
        </is>
      </c>
      <c r="S4" s="21" t="inlineStr">
        <is>
          <t>Active 有交易</t>
        </is>
      </c>
      <c r="T4" s="21" t="inlineStr">
        <is>
          <t>Seq 序</t>
        </is>
      </c>
    </row>
    <row r="5">
      <c r="A5" s="22" t="inlineStr">
        <is>
          <t>TOTAL 总计 (all buyers 所有买家)</t>
        </is>
      </c>
      <c r="B5" s="23">
        <f>IF($B$2="","",SUM(L6:L305))</f>
        <v/>
      </c>
      <c r="C5" s="23">
        <f>IF($B$2="","",SUM(M6:M305))</f>
        <v/>
      </c>
      <c r="D5" s="23">
        <f>IF($B$2="","",SUM(N6:N305))</f>
        <v/>
      </c>
      <c r="E5" s="23">
        <f>IF($B$2="","",SUM(O6:O305))</f>
        <v/>
      </c>
      <c r="F5" s="23">
        <f>IF($B$2="","",SUM(P6:P305))</f>
        <v/>
      </c>
      <c r="G5" s="23">
        <f>IF($B$2="","",SUM(Q6:Q305))</f>
        <v/>
      </c>
      <c r="H5" s="23">
        <f>IF($B$2="","",SUM(R6:R305))</f>
        <v/>
      </c>
    </row>
    <row r="6">
      <c r="A6">
        <f>IF($I6="","",INDEX(K$6:K$305,$I6))</f>
        <v/>
      </c>
      <c r="B6" s="6">
        <f>IF($I6="","",INDEX(L$6:L$305,$I6))</f>
        <v/>
      </c>
      <c r="C6" s="6">
        <f>IF($I6="","",INDEX(M$6:M$305,$I6))</f>
        <v/>
      </c>
      <c r="D6" s="6">
        <f>IF($I6="","",INDEX(N$6:N$305,$I6))</f>
        <v/>
      </c>
      <c r="E6" s="6">
        <f>IF($I6="","",INDEX(O$6:O$305,$I6))</f>
        <v/>
      </c>
      <c r="F6" s="6">
        <f>IF($I6="","",INDEX(P$6:P$305,$I6))</f>
        <v/>
      </c>
      <c r="G6" s="6">
        <f>IF($I6="","",INDEX(Q$6:Q$305,$I6))</f>
        <v/>
      </c>
      <c r="H6" s="6">
        <f>IF($I6="","",INDEX(R$6:R$305,$I6))</f>
        <v/>
      </c>
      <c r="I6" s="21">
        <f>IFERROR(MATCH(1,$T$6:$T$305,0),"")</f>
        <v/>
      </c>
      <c r="K6" s="21">
        <f>IF('Debtor Summary'!A5="","",'Debtor Summary'!A5)</f>
        <v/>
      </c>
      <c r="L6" s="24">
        <f>IF($K6="","",IF($B$2="","",ROUND(SUMIFS('Opening Balance'!$F$4:$F$303,'Opening Balance'!$G$4:$G$303,$K6)+SUMIFS('Daily Sale entry '!$S$2:$S$1501,'Daily Sale entry '!$P$2:$P$1501,$K6,'Daily Sale entry '!$Q$2:$Q$1501,"Credit Sale 赊销",'Daily Sale entry '!$O$2:$O$1501,"&lt;"&amp;$B$2)-SUMIFS('Daily Sale entry '!$S$2:$S$1501,'Daily Sale entry '!$P$2:$P$1501,$K6,'Daily Sale entry '!$Q$2:$Q$1501,"Collection 收款",'Daily Sale entry '!$O$2:$O$1501,"&lt;"&amp;$B$2)-SUMIFS('Daily Sale entry '!$AC$2:$AC$1501,'Daily Sale entry '!$AA$2:$AA$1501,$K6,'Daily Sale entry '!$Z$2:$Z$1501,"Online collection 网上收款",'Daily Sale entry '!$X$2:$X$1501,"&lt;"&amp;$B$2)-SUMIFS('Debtor Ledger'!$K$2:$K$3001,'Debtor Ledger'!$C$2:$C$3001,$K6,'Debtor Ledger'!$B$2:$B$3001,"&lt;"&amp;$B$2),2)))</f>
        <v/>
      </c>
      <c r="M6" s="24">
        <f>IF($K6="","",IF($B$2="","",SUMIFS('Daily Sale entry '!$S$2:$S$1501,'Daily Sale entry '!$P$2:$P$1501,$K6,'Daily Sale entry '!$Q$2:$Q$1501,"Credit Sale 赊销",'Daily Sale entry '!$O$2:$O$1501,$B$2)))</f>
        <v/>
      </c>
      <c r="N6" s="24">
        <f>IF($K6="","",IF($B$2="","",SUMIFS('Daily Sale entry '!$S$2:$S$1501,'Daily Sale entry '!$P$2:$P$1501,$K6,'Daily Sale entry '!$Q$2:$Q$1501,"Collection 收款",'Daily Sale entry '!$R$2:$R$1501,"Cash 现金",'Daily Sale entry '!$O$2:$O$1501,$B$2)))</f>
        <v/>
      </c>
      <c r="O6" s="24">
        <f>IF($K6="","",IF($B$2="","",SUMIFS('Daily Sale entry '!$S$2:$S$1501,'Daily Sale entry '!$P$2:$P$1501,$K6,'Daily Sale entry '!$Q$2:$Q$1501,"Collection 收款",'Daily Sale entry '!$R$2:$R$1501,"Cheque 支票",'Daily Sale entry '!$O$2:$O$1501,$B$2)))</f>
        <v/>
      </c>
      <c r="P6" s="24">
        <f>IF($K6="","",IF($B$2="","",SUMIFS('Daily Sale entry '!$AC$2:$AC$1501,'Daily Sale entry '!$AA$2:$AA$1501,$K6,'Daily Sale entry '!$Z$2:$Z$1501,"Online collection 网上收款",'Daily Sale entry '!$X$2:$X$1501,$B$2)))</f>
        <v/>
      </c>
      <c r="Q6" s="24">
        <f>IF($K6="","",IF($B$2="","",SUMIFS('Debtor Ledger'!$K$2:$K$3001,'Debtor Ledger'!$C$2:$C$3001,$K6,'Debtor Ledger'!$B$2:$B$3001,$B$2)))</f>
        <v/>
      </c>
      <c r="R6" s="24">
        <f>IF($K6="","",IF($B$2="","",ROUND(L6+M6-N6-O6-P6-Q6,2)))</f>
        <v/>
      </c>
      <c r="S6" s="21">
        <f>IF(K6="","",IF($B$2="","",IF(ABS(M6)+ABS(N6)+ABS(O6)+ABS(P6)+ABS(Q6)&gt;0,1,0)))</f>
        <v/>
      </c>
      <c r="T6" s="21">
        <f>IF(S6=1,SUM($S$6:S6),"")</f>
        <v/>
      </c>
    </row>
    <row r="7">
      <c r="A7">
        <f>IF($I7="","",INDEX(K$6:K$305,$I7))</f>
        <v/>
      </c>
      <c r="B7" s="6">
        <f>IF($I7="","",INDEX(L$6:L$305,$I7))</f>
        <v/>
      </c>
      <c r="C7" s="6">
        <f>IF($I7="","",INDEX(M$6:M$305,$I7))</f>
        <v/>
      </c>
      <c r="D7" s="6">
        <f>IF($I7="","",INDEX(N$6:N$305,$I7))</f>
        <v/>
      </c>
      <c r="E7" s="6">
        <f>IF($I7="","",INDEX(O$6:O$305,$I7))</f>
        <v/>
      </c>
      <c r="F7" s="6">
        <f>IF($I7="","",INDEX(P$6:P$305,$I7))</f>
        <v/>
      </c>
      <c r="G7" s="6">
        <f>IF($I7="","",INDEX(Q$6:Q$305,$I7))</f>
        <v/>
      </c>
      <c r="H7" s="6">
        <f>IF($I7="","",INDEX(R$6:R$305,$I7))</f>
        <v/>
      </c>
      <c r="I7" s="21">
        <f>IFERROR(MATCH(2,$T$6:$T$305,0),"")</f>
        <v/>
      </c>
      <c r="K7" s="21">
        <f>IF('Debtor Summary'!A6="","",'Debtor Summary'!A6)</f>
        <v/>
      </c>
      <c r="L7" s="24">
        <f>IF($K7="","",IF($B$2="","",ROUND(SUMIFS('Opening Balance'!$F$4:$F$303,'Opening Balance'!$G$4:$G$303,$K7)+SUMIFS('Daily Sale entry '!$S$2:$S$1501,'Daily Sale entry '!$P$2:$P$1501,$K7,'Daily Sale entry '!$Q$2:$Q$1501,"Credit Sale 赊销",'Daily Sale entry '!$O$2:$O$1501,"&lt;"&amp;$B$2)-SUMIFS('Daily Sale entry '!$S$2:$S$1501,'Daily Sale entry '!$P$2:$P$1501,$K7,'Daily Sale entry '!$Q$2:$Q$1501,"Collection 收款",'Daily Sale entry '!$O$2:$O$1501,"&lt;"&amp;$B$2)-SUMIFS('Daily Sale entry '!$AC$2:$AC$1501,'Daily Sale entry '!$AA$2:$AA$1501,$K7,'Daily Sale entry '!$Z$2:$Z$1501,"Online collection 网上收款",'Daily Sale entry '!$X$2:$X$1501,"&lt;"&amp;$B$2)-SUMIFS('Debtor Ledger'!$K$2:$K$3001,'Debtor Ledger'!$C$2:$C$3001,$K7,'Debtor Ledger'!$B$2:$B$3001,"&lt;"&amp;$B$2),2)))</f>
        <v/>
      </c>
      <c r="M7" s="24">
        <f>IF($K7="","",IF($B$2="","",SUMIFS('Daily Sale entry '!$S$2:$S$1501,'Daily Sale entry '!$P$2:$P$1501,$K7,'Daily Sale entry '!$Q$2:$Q$1501,"Credit Sale 赊销",'Daily Sale entry '!$O$2:$O$1501,$B$2)))</f>
        <v/>
      </c>
      <c r="N7" s="24">
        <f>IF($K7="","",IF($B$2="","",SUMIFS('Daily Sale entry '!$S$2:$S$1501,'Daily Sale entry '!$P$2:$P$1501,$K7,'Daily Sale entry '!$Q$2:$Q$1501,"Collection 收款",'Daily Sale entry '!$R$2:$R$1501,"Cash 现金",'Daily Sale entry '!$O$2:$O$1501,$B$2)))</f>
        <v/>
      </c>
      <c r="O7" s="24">
        <f>IF($K7="","",IF($B$2="","",SUMIFS('Daily Sale entry '!$S$2:$S$1501,'Daily Sale entry '!$P$2:$P$1501,$K7,'Daily Sale entry '!$Q$2:$Q$1501,"Collection 收款",'Daily Sale entry '!$R$2:$R$1501,"Cheque 支票",'Daily Sale entry '!$O$2:$O$1501,$B$2)))</f>
        <v/>
      </c>
      <c r="P7" s="24">
        <f>IF($K7="","",IF($B$2="","",SUMIFS('Daily Sale entry '!$AC$2:$AC$1501,'Daily Sale entry '!$AA$2:$AA$1501,$K7,'Daily Sale entry '!$Z$2:$Z$1501,"Online collection 网上收款",'Daily Sale entry '!$X$2:$X$1501,$B$2)))</f>
        <v/>
      </c>
      <c r="Q7" s="24">
        <f>IF($K7="","",IF($B$2="","",SUMIFS('Debtor Ledger'!$K$2:$K$3001,'Debtor Ledger'!$C$2:$C$3001,$K7,'Debtor Ledger'!$B$2:$B$3001,$B$2)))</f>
        <v/>
      </c>
      <c r="R7" s="24">
        <f>IF($K7="","",IF($B$2="","",ROUND(L7+M7-N7-O7-P7-Q7,2)))</f>
        <v/>
      </c>
      <c r="S7" s="21">
        <f>IF(K7="","",IF($B$2="","",IF(ABS(M7)+ABS(N7)+ABS(O7)+ABS(P7)+ABS(Q7)&gt;0,1,0)))</f>
        <v/>
      </c>
      <c r="T7" s="21">
        <f>IF(S7=1,SUM($S$6:S7),"")</f>
        <v/>
      </c>
    </row>
    <row r="8">
      <c r="A8">
        <f>IF($I8="","",INDEX(K$6:K$305,$I8))</f>
        <v/>
      </c>
      <c r="B8" s="6">
        <f>IF($I8="","",INDEX(L$6:L$305,$I8))</f>
        <v/>
      </c>
      <c r="C8" s="6">
        <f>IF($I8="","",INDEX(M$6:M$305,$I8))</f>
        <v/>
      </c>
      <c r="D8" s="6">
        <f>IF($I8="","",INDEX(N$6:N$305,$I8))</f>
        <v/>
      </c>
      <c r="E8" s="6">
        <f>IF($I8="","",INDEX(O$6:O$305,$I8))</f>
        <v/>
      </c>
      <c r="F8" s="6">
        <f>IF($I8="","",INDEX(P$6:P$305,$I8))</f>
        <v/>
      </c>
      <c r="G8" s="6">
        <f>IF($I8="","",INDEX(Q$6:Q$305,$I8))</f>
        <v/>
      </c>
      <c r="H8" s="6">
        <f>IF($I8="","",INDEX(R$6:R$305,$I8))</f>
        <v/>
      </c>
      <c r="I8" s="21">
        <f>IFERROR(MATCH(3,$T$6:$T$305,0),"")</f>
        <v/>
      </c>
      <c r="K8" s="21">
        <f>IF('Debtor Summary'!A7="","",'Debtor Summary'!A7)</f>
        <v/>
      </c>
      <c r="L8" s="24">
        <f>IF($K8="","",IF($B$2="","",ROUND(SUMIFS('Opening Balance'!$F$4:$F$303,'Opening Balance'!$G$4:$G$303,$K8)+SUMIFS('Daily Sale entry '!$S$2:$S$1501,'Daily Sale entry '!$P$2:$P$1501,$K8,'Daily Sale entry '!$Q$2:$Q$1501,"Credit Sale 赊销",'Daily Sale entry '!$O$2:$O$1501,"&lt;"&amp;$B$2)-SUMIFS('Daily Sale entry '!$S$2:$S$1501,'Daily Sale entry '!$P$2:$P$1501,$K8,'Daily Sale entry '!$Q$2:$Q$1501,"Collection 收款",'Daily Sale entry '!$O$2:$O$1501,"&lt;"&amp;$B$2)-SUMIFS('Daily Sale entry '!$AC$2:$AC$1501,'Daily Sale entry '!$AA$2:$AA$1501,$K8,'Daily Sale entry '!$Z$2:$Z$1501,"Online collection 网上收款",'Daily Sale entry '!$X$2:$X$1501,"&lt;"&amp;$B$2)-SUMIFS('Debtor Ledger'!$K$2:$K$3001,'Debtor Ledger'!$C$2:$C$3001,$K8,'Debtor Ledger'!$B$2:$B$3001,"&lt;"&amp;$B$2),2)))</f>
        <v/>
      </c>
      <c r="M8" s="24">
        <f>IF($K8="","",IF($B$2="","",SUMIFS('Daily Sale entry '!$S$2:$S$1501,'Daily Sale entry '!$P$2:$P$1501,$K8,'Daily Sale entry '!$Q$2:$Q$1501,"Credit Sale 赊销",'Daily Sale entry '!$O$2:$O$1501,$B$2)))</f>
        <v/>
      </c>
      <c r="N8" s="24">
        <f>IF($K8="","",IF($B$2="","",SUMIFS('Daily Sale entry '!$S$2:$S$1501,'Daily Sale entry '!$P$2:$P$1501,$K8,'Daily Sale entry '!$Q$2:$Q$1501,"Collection 收款",'Daily Sale entry '!$R$2:$R$1501,"Cash 现金",'Daily Sale entry '!$O$2:$O$1501,$B$2)))</f>
        <v/>
      </c>
      <c r="O8" s="24">
        <f>IF($K8="","",IF($B$2="","",SUMIFS('Daily Sale entry '!$S$2:$S$1501,'Daily Sale entry '!$P$2:$P$1501,$K8,'Daily Sale entry '!$Q$2:$Q$1501,"Collection 收款",'Daily Sale entry '!$R$2:$R$1501,"Cheque 支票",'Daily Sale entry '!$O$2:$O$1501,$B$2)))</f>
        <v/>
      </c>
      <c r="P8" s="24">
        <f>IF($K8="","",IF($B$2="","",SUMIFS('Daily Sale entry '!$AC$2:$AC$1501,'Daily Sale entry '!$AA$2:$AA$1501,$K8,'Daily Sale entry '!$Z$2:$Z$1501,"Online collection 网上收款",'Daily Sale entry '!$X$2:$X$1501,$B$2)))</f>
        <v/>
      </c>
      <c r="Q8" s="24">
        <f>IF($K8="","",IF($B$2="","",SUMIFS('Debtor Ledger'!$K$2:$K$3001,'Debtor Ledger'!$C$2:$C$3001,$K8,'Debtor Ledger'!$B$2:$B$3001,$B$2)))</f>
        <v/>
      </c>
      <c r="R8" s="24">
        <f>IF($K8="","",IF($B$2="","",ROUND(L8+M8-N8-O8-P8-Q8,2)))</f>
        <v/>
      </c>
      <c r="S8" s="21">
        <f>IF(K8="","",IF($B$2="","",IF(ABS(M8)+ABS(N8)+ABS(O8)+ABS(P8)+ABS(Q8)&gt;0,1,0)))</f>
        <v/>
      </c>
      <c r="T8" s="21">
        <f>IF(S8=1,SUM($S$6:S8),"")</f>
        <v/>
      </c>
    </row>
    <row r="9">
      <c r="A9">
        <f>IF($I9="","",INDEX(K$6:K$305,$I9))</f>
        <v/>
      </c>
      <c r="B9" s="6">
        <f>IF($I9="","",INDEX(L$6:L$305,$I9))</f>
        <v/>
      </c>
      <c r="C9" s="6">
        <f>IF($I9="","",INDEX(M$6:M$305,$I9))</f>
        <v/>
      </c>
      <c r="D9" s="6">
        <f>IF($I9="","",INDEX(N$6:N$305,$I9))</f>
        <v/>
      </c>
      <c r="E9" s="6">
        <f>IF($I9="","",INDEX(O$6:O$305,$I9))</f>
        <v/>
      </c>
      <c r="F9" s="6">
        <f>IF($I9="","",INDEX(P$6:P$305,$I9))</f>
        <v/>
      </c>
      <c r="G9" s="6">
        <f>IF($I9="","",INDEX(Q$6:Q$305,$I9))</f>
        <v/>
      </c>
      <c r="H9" s="6">
        <f>IF($I9="","",INDEX(R$6:R$305,$I9))</f>
        <v/>
      </c>
      <c r="I9" s="21">
        <f>IFERROR(MATCH(4,$T$6:$T$305,0),"")</f>
        <v/>
      </c>
      <c r="K9" s="21">
        <f>IF('Debtor Summary'!A8="","",'Debtor Summary'!A8)</f>
        <v/>
      </c>
      <c r="L9" s="24">
        <f>IF($K9="","",IF($B$2="","",ROUND(SUMIFS('Opening Balance'!$F$4:$F$303,'Opening Balance'!$G$4:$G$303,$K9)+SUMIFS('Daily Sale entry '!$S$2:$S$1501,'Daily Sale entry '!$P$2:$P$1501,$K9,'Daily Sale entry '!$Q$2:$Q$1501,"Credit Sale 赊销",'Daily Sale entry '!$O$2:$O$1501,"&lt;"&amp;$B$2)-SUMIFS('Daily Sale entry '!$S$2:$S$1501,'Daily Sale entry '!$P$2:$P$1501,$K9,'Daily Sale entry '!$Q$2:$Q$1501,"Collection 收款",'Daily Sale entry '!$O$2:$O$1501,"&lt;"&amp;$B$2)-SUMIFS('Daily Sale entry '!$AC$2:$AC$1501,'Daily Sale entry '!$AA$2:$AA$1501,$K9,'Daily Sale entry '!$Z$2:$Z$1501,"Online collection 网上收款",'Daily Sale entry '!$X$2:$X$1501,"&lt;"&amp;$B$2)-SUMIFS('Debtor Ledger'!$K$2:$K$3001,'Debtor Ledger'!$C$2:$C$3001,$K9,'Debtor Ledger'!$B$2:$B$3001,"&lt;"&amp;$B$2),2)))</f>
        <v/>
      </c>
      <c r="M9" s="24">
        <f>IF($K9="","",IF($B$2="","",SUMIFS('Daily Sale entry '!$S$2:$S$1501,'Daily Sale entry '!$P$2:$P$1501,$K9,'Daily Sale entry '!$Q$2:$Q$1501,"Credit Sale 赊销",'Daily Sale entry '!$O$2:$O$1501,$B$2)))</f>
        <v/>
      </c>
      <c r="N9" s="24">
        <f>IF($K9="","",IF($B$2="","",SUMIFS('Daily Sale entry '!$S$2:$S$1501,'Daily Sale entry '!$P$2:$P$1501,$K9,'Daily Sale entry '!$Q$2:$Q$1501,"Collection 收款",'Daily Sale entry '!$R$2:$R$1501,"Cash 现金",'Daily Sale entry '!$O$2:$O$1501,$B$2)))</f>
        <v/>
      </c>
      <c r="O9" s="24">
        <f>IF($K9="","",IF($B$2="","",SUMIFS('Daily Sale entry '!$S$2:$S$1501,'Daily Sale entry '!$P$2:$P$1501,$K9,'Daily Sale entry '!$Q$2:$Q$1501,"Collection 收款",'Daily Sale entry '!$R$2:$R$1501,"Cheque 支票",'Daily Sale entry '!$O$2:$O$1501,$B$2)))</f>
        <v/>
      </c>
      <c r="P9" s="24">
        <f>IF($K9="","",IF($B$2="","",SUMIFS('Daily Sale entry '!$AC$2:$AC$1501,'Daily Sale entry '!$AA$2:$AA$1501,$K9,'Daily Sale entry '!$Z$2:$Z$1501,"Online collection 网上收款",'Daily Sale entry '!$X$2:$X$1501,$B$2)))</f>
        <v/>
      </c>
      <c r="Q9" s="24">
        <f>IF($K9="","",IF($B$2="","",SUMIFS('Debtor Ledger'!$K$2:$K$3001,'Debtor Ledger'!$C$2:$C$3001,$K9,'Debtor Ledger'!$B$2:$B$3001,$B$2)))</f>
        <v/>
      </c>
      <c r="R9" s="24">
        <f>IF($K9="","",IF($B$2="","",ROUND(L9+M9-N9-O9-P9-Q9,2)))</f>
        <v/>
      </c>
      <c r="S9" s="21">
        <f>IF(K9="","",IF($B$2="","",IF(ABS(M9)+ABS(N9)+ABS(O9)+ABS(P9)+ABS(Q9)&gt;0,1,0)))</f>
        <v/>
      </c>
      <c r="T9" s="21">
        <f>IF(S9=1,SUM($S$6:S9),"")</f>
        <v/>
      </c>
    </row>
    <row r="10">
      <c r="A10">
        <f>IF($I10="","",INDEX(K$6:K$305,$I10))</f>
        <v/>
      </c>
      <c r="B10" s="6">
        <f>IF($I10="","",INDEX(L$6:L$305,$I10))</f>
        <v/>
      </c>
      <c r="C10" s="6">
        <f>IF($I10="","",INDEX(M$6:M$305,$I10))</f>
        <v/>
      </c>
      <c r="D10" s="6">
        <f>IF($I10="","",INDEX(N$6:N$305,$I10))</f>
        <v/>
      </c>
      <c r="E10" s="6">
        <f>IF($I10="","",INDEX(O$6:O$305,$I10))</f>
        <v/>
      </c>
      <c r="F10" s="6">
        <f>IF($I10="","",INDEX(P$6:P$305,$I10))</f>
        <v/>
      </c>
      <c r="G10" s="6">
        <f>IF($I10="","",INDEX(Q$6:Q$305,$I10))</f>
        <v/>
      </c>
      <c r="H10" s="6">
        <f>IF($I10="","",INDEX(R$6:R$305,$I10))</f>
        <v/>
      </c>
      <c r="I10" s="21">
        <f>IFERROR(MATCH(5,$T$6:$T$305,0),"")</f>
        <v/>
      </c>
      <c r="K10" s="21">
        <f>IF('Debtor Summary'!A9="","",'Debtor Summary'!A9)</f>
        <v/>
      </c>
      <c r="L10" s="24">
        <f>IF($K10="","",IF($B$2="","",ROUND(SUMIFS('Opening Balance'!$F$4:$F$303,'Opening Balance'!$G$4:$G$303,$K10)+SUMIFS('Daily Sale entry '!$S$2:$S$1501,'Daily Sale entry '!$P$2:$P$1501,$K10,'Daily Sale entry '!$Q$2:$Q$1501,"Credit Sale 赊销",'Daily Sale entry '!$O$2:$O$1501,"&lt;"&amp;$B$2)-SUMIFS('Daily Sale entry '!$S$2:$S$1501,'Daily Sale entry '!$P$2:$P$1501,$K10,'Daily Sale entry '!$Q$2:$Q$1501,"Collection 收款",'Daily Sale entry '!$O$2:$O$1501,"&lt;"&amp;$B$2)-SUMIFS('Daily Sale entry '!$AC$2:$AC$1501,'Daily Sale entry '!$AA$2:$AA$1501,$K10,'Daily Sale entry '!$Z$2:$Z$1501,"Online collection 网上收款",'Daily Sale entry '!$X$2:$X$1501,"&lt;"&amp;$B$2)-SUMIFS('Debtor Ledger'!$K$2:$K$3001,'Debtor Ledger'!$C$2:$C$3001,$K10,'Debtor Ledger'!$B$2:$B$3001,"&lt;"&amp;$B$2),2)))</f>
        <v/>
      </c>
      <c r="M10" s="24">
        <f>IF($K10="","",IF($B$2="","",SUMIFS('Daily Sale entry '!$S$2:$S$1501,'Daily Sale entry '!$P$2:$P$1501,$K10,'Daily Sale entry '!$Q$2:$Q$1501,"Credit Sale 赊销",'Daily Sale entry '!$O$2:$O$1501,$B$2)))</f>
        <v/>
      </c>
      <c r="N10" s="24">
        <f>IF($K10="","",IF($B$2="","",SUMIFS('Daily Sale entry '!$S$2:$S$1501,'Daily Sale entry '!$P$2:$P$1501,$K10,'Daily Sale entry '!$Q$2:$Q$1501,"Collection 收款",'Daily Sale entry '!$R$2:$R$1501,"Cash 现金",'Daily Sale entry '!$O$2:$O$1501,$B$2)))</f>
        <v/>
      </c>
      <c r="O10" s="24">
        <f>IF($K10="","",IF($B$2="","",SUMIFS('Daily Sale entry '!$S$2:$S$1501,'Daily Sale entry '!$P$2:$P$1501,$K10,'Daily Sale entry '!$Q$2:$Q$1501,"Collection 收款",'Daily Sale entry '!$R$2:$R$1501,"Cheque 支票",'Daily Sale entry '!$O$2:$O$1501,$B$2)))</f>
        <v/>
      </c>
      <c r="P10" s="24">
        <f>IF($K10="","",IF($B$2="","",SUMIFS('Daily Sale entry '!$AC$2:$AC$1501,'Daily Sale entry '!$AA$2:$AA$1501,$K10,'Daily Sale entry '!$Z$2:$Z$1501,"Online collection 网上收款",'Daily Sale entry '!$X$2:$X$1501,$B$2)))</f>
        <v/>
      </c>
      <c r="Q10" s="24">
        <f>IF($K10="","",IF($B$2="","",SUMIFS('Debtor Ledger'!$K$2:$K$3001,'Debtor Ledger'!$C$2:$C$3001,$K10,'Debtor Ledger'!$B$2:$B$3001,$B$2)))</f>
        <v/>
      </c>
      <c r="R10" s="24">
        <f>IF($K10="","",IF($B$2="","",ROUND(L10+M10-N10-O10-P10-Q10,2)))</f>
        <v/>
      </c>
      <c r="S10" s="21">
        <f>IF(K10="","",IF($B$2="","",IF(ABS(M10)+ABS(N10)+ABS(O10)+ABS(P10)+ABS(Q10)&gt;0,1,0)))</f>
        <v/>
      </c>
      <c r="T10" s="21">
        <f>IF(S10=1,SUM($S$6:S10),"")</f>
        <v/>
      </c>
    </row>
    <row r="11">
      <c r="A11">
        <f>IF($I11="","",INDEX(K$6:K$305,$I11))</f>
        <v/>
      </c>
      <c r="B11" s="6">
        <f>IF($I11="","",INDEX(L$6:L$305,$I11))</f>
        <v/>
      </c>
      <c r="C11" s="6">
        <f>IF($I11="","",INDEX(M$6:M$305,$I11))</f>
        <v/>
      </c>
      <c r="D11" s="6">
        <f>IF($I11="","",INDEX(N$6:N$305,$I11))</f>
        <v/>
      </c>
      <c r="E11" s="6">
        <f>IF($I11="","",INDEX(O$6:O$305,$I11))</f>
        <v/>
      </c>
      <c r="F11" s="6">
        <f>IF($I11="","",INDEX(P$6:P$305,$I11))</f>
        <v/>
      </c>
      <c r="G11" s="6">
        <f>IF($I11="","",INDEX(Q$6:Q$305,$I11))</f>
        <v/>
      </c>
      <c r="H11" s="6">
        <f>IF($I11="","",INDEX(R$6:R$305,$I11))</f>
        <v/>
      </c>
      <c r="I11" s="21">
        <f>IFERROR(MATCH(6,$T$6:$T$305,0),"")</f>
        <v/>
      </c>
      <c r="K11" s="21">
        <f>IF('Debtor Summary'!A10="","",'Debtor Summary'!A10)</f>
        <v/>
      </c>
      <c r="L11" s="24">
        <f>IF($K11="","",IF($B$2="","",ROUND(SUMIFS('Opening Balance'!$F$4:$F$303,'Opening Balance'!$G$4:$G$303,$K11)+SUMIFS('Daily Sale entry '!$S$2:$S$1501,'Daily Sale entry '!$P$2:$P$1501,$K11,'Daily Sale entry '!$Q$2:$Q$1501,"Credit Sale 赊销",'Daily Sale entry '!$O$2:$O$1501,"&lt;"&amp;$B$2)-SUMIFS('Daily Sale entry '!$S$2:$S$1501,'Daily Sale entry '!$P$2:$P$1501,$K11,'Daily Sale entry '!$Q$2:$Q$1501,"Collection 收款",'Daily Sale entry '!$O$2:$O$1501,"&lt;"&amp;$B$2)-SUMIFS('Daily Sale entry '!$AC$2:$AC$1501,'Daily Sale entry '!$AA$2:$AA$1501,$K11,'Daily Sale entry '!$Z$2:$Z$1501,"Online collection 网上收款",'Daily Sale entry '!$X$2:$X$1501,"&lt;"&amp;$B$2)-SUMIFS('Debtor Ledger'!$K$2:$K$3001,'Debtor Ledger'!$C$2:$C$3001,$K11,'Debtor Ledger'!$B$2:$B$3001,"&lt;"&amp;$B$2),2)))</f>
        <v/>
      </c>
      <c r="M11" s="24">
        <f>IF($K11="","",IF($B$2="","",SUMIFS('Daily Sale entry '!$S$2:$S$1501,'Daily Sale entry '!$P$2:$P$1501,$K11,'Daily Sale entry '!$Q$2:$Q$1501,"Credit Sale 赊销",'Daily Sale entry '!$O$2:$O$1501,$B$2)))</f>
        <v/>
      </c>
      <c r="N11" s="24">
        <f>IF($K11="","",IF($B$2="","",SUMIFS('Daily Sale entry '!$S$2:$S$1501,'Daily Sale entry '!$P$2:$P$1501,$K11,'Daily Sale entry '!$Q$2:$Q$1501,"Collection 收款",'Daily Sale entry '!$R$2:$R$1501,"Cash 现金",'Daily Sale entry '!$O$2:$O$1501,$B$2)))</f>
        <v/>
      </c>
      <c r="O11" s="24">
        <f>IF($K11="","",IF($B$2="","",SUMIFS('Daily Sale entry '!$S$2:$S$1501,'Daily Sale entry '!$P$2:$P$1501,$K11,'Daily Sale entry '!$Q$2:$Q$1501,"Collection 收款",'Daily Sale entry '!$R$2:$R$1501,"Cheque 支票",'Daily Sale entry '!$O$2:$O$1501,$B$2)))</f>
        <v/>
      </c>
      <c r="P11" s="24">
        <f>IF($K11="","",IF($B$2="","",SUMIFS('Daily Sale entry '!$AC$2:$AC$1501,'Daily Sale entry '!$AA$2:$AA$1501,$K11,'Daily Sale entry '!$Z$2:$Z$1501,"Online collection 网上收款",'Daily Sale entry '!$X$2:$X$1501,$B$2)))</f>
        <v/>
      </c>
      <c r="Q11" s="24">
        <f>IF($K11="","",IF($B$2="","",SUMIFS('Debtor Ledger'!$K$2:$K$3001,'Debtor Ledger'!$C$2:$C$3001,$K11,'Debtor Ledger'!$B$2:$B$3001,$B$2)))</f>
        <v/>
      </c>
      <c r="R11" s="24">
        <f>IF($K11="","",IF($B$2="","",ROUND(L11+M11-N11-O11-P11-Q11,2)))</f>
        <v/>
      </c>
      <c r="S11" s="21">
        <f>IF(K11="","",IF($B$2="","",IF(ABS(M11)+ABS(N11)+ABS(O11)+ABS(P11)+ABS(Q11)&gt;0,1,0)))</f>
        <v/>
      </c>
      <c r="T11" s="21">
        <f>IF(S11=1,SUM($S$6:S11),"")</f>
        <v/>
      </c>
    </row>
    <row r="12">
      <c r="A12">
        <f>IF($I12="","",INDEX(K$6:K$305,$I12))</f>
        <v/>
      </c>
      <c r="B12" s="6">
        <f>IF($I12="","",INDEX(L$6:L$305,$I12))</f>
        <v/>
      </c>
      <c r="C12" s="6">
        <f>IF($I12="","",INDEX(M$6:M$305,$I12))</f>
        <v/>
      </c>
      <c r="D12" s="6">
        <f>IF($I12="","",INDEX(N$6:N$305,$I12))</f>
        <v/>
      </c>
      <c r="E12" s="6">
        <f>IF($I12="","",INDEX(O$6:O$305,$I12))</f>
        <v/>
      </c>
      <c r="F12" s="6">
        <f>IF($I12="","",INDEX(P$6:P$305,$I12))</f>
        <v/>
      </c>
      <c r="G12" s="6">
        <f>IF($I12="","",INDEX(Q$6:Q$305,$I12))</f>
        <v/>
      </c>
      <c r="H12" s="6">
        <f>IF($I12="","",INDEX(R$6:R$305,$I12))</f>
        <v/>
      </c>
      <c r="I12" s="21">
        <f>IFERROR(MATCH(7,$T$6:$T$305,0),"")</f>
        <v/>
      </c>
      <c r="K12" s="21">
        <f>IF('Debtor Summary'!A11="","",'Debtor Summary'!A11)</f>
        <v/>
      </c>
      <c r="L12" s="24">
        <f>IF($K12="","",IF($B$2="","",ROUND(SUMIFS('Opening Balance'!$F$4:$F$303,'Opening Balance'!$G$4:$G$303,$K12)+SUMIFS('Daily Sale entry '!$S$2:$S$1501,'Daily Sale entry '!$P$2:$P$1501,$K12,'Daily Sale entry '!$Q$2:$Q$1501,"Credit Sale 赊销",'Daily Sale entry '!$O$2:$O$1501,"&lt;"&amp;$B$2)-SUMIFS('Daily Sale entry '!$S$2:$S$1501,'Daily Sale entry '!$P$2:$P$1501,$K12,'Daily Sale entry '!$Q$2:$Q$1501,"Collection 收款",'Daily Sale entry '!$O$2:$O$1501,"&lt;"&amp;$B$2)-SUMIFS('Daily Sale entry '!$AC$2:$AC$1501,'Daily Sale entry '!$AA$2:$AA$1501,$K12,'Daily Sale entry '!$Z$2:$Z$1501,"Online collection 网上收款",'Daily Sale entry '!$X$2:$X$1501,"&lt;"&amp;$B$2)-SUMIFS('Debtor Ledger'!$K$2:$K$3001,'Debtor Ledger'!$C$2:$C$3001,$K12,'Debtor Ledger'!$B$2:$B$3001,"&lt;"&amp;$B$2),2)))</f>
        <v/>
      </c>
      <c r="M12" s="24">
        <f>IF($K12="","",IF($B$2="","",SUMIFS('Daily Sale entry '!$S$2:$S$1501,'Daily Sale entry '!$P$2:$P$1501,$K12,'Daily Sale entry '!$Q$2:$Q$1501,"Credit Sale 赊销",'Daily Sale entry '!$O$2:$O$1501,$B$2)))</f>
        <v/>
      </c>
      <c r="N12" s="24">
        <f>IF($K12="","",IF($B$2="","",SUMIFS('Daily Sale entry '!$S$2:$S$1501,'Daily Sale entry '!$P$2:$P$1501,$K12,'Daily Sale entry '!$Q$2:$Q$1501,"Collection 收款",'Daily Sale entry '!$R$2:$R$1501,"Cash 现金",'Daily Sale entry '!$O$2:$O$1501,$B$2)))</f>
        <v/>
      </c>
      <c r="O12" s="24">
        <f>IF($K12="","",IF($B$2="","",SUMIFS('Daily Sale entry '!$S$2:$S$1501,'Daily Sale entry '!$P$2:$P$1501,$K12,'Daily Sale entry '!$Q$2:$Q$1501,"Collection 收款",'Daily Sale entry '!$R$2:$R$1501,"Cheque 支票",'Daily Sale entry '!$O$2:$O$1501,$B$2)))</f>
        <v/>
      </c>
      <c r="P12" s="24">
        <f>IF($K12="","",IF($B$2="","",SUMIFS('Daily Sale entry '!$AC$2:$AC$1501,'Daily Sale entry '!$AA$2:$AA$1501,$K12,'Daily Sale entry '!$Z$2:$Z$1501,"Online collection 网上收款",'Daily Sale entry '!$X$2:$X$1501,$B$2)))</f>
        <v/>
      </c>
      <c r="Q12" s="24">
        <f>IF($K12="","",IF($B$2="","",SUMIFS('Debtor Ledger'!$K$2:$K$3001,'Debtor Ledger'!$C$2:$C$3001,$K12,'Debtor Ledger'!$B$2:$B$3001,$B$2)))</f>
        <v/>
      </c>
      <c r="R12" s="24">
        <f>IF($K12="","",IF($B$2="","",ROUND(L12+M12-N12-O12-P12-Q12,2)))</f>
        <v/>
      </c>
      <c r="S12" s="21">
        <f>IF(K12="","",IF($B$2="","",IF(ABS(M12)+ABS(N12)+ABS(O12)+ABS(P12)+ABS(Q12)&gt;0,1,0)))</f>
        <v/>
      </c>
      <c r="T12" s="21">
        <f>IF(S12=1,SUM($S$6:S12),"")</f>
        <v/>
      </c>
    </row>
    <row r="13">
      <c r="A13">
        <f>IF($I13="","",INDEX(K$6:K$305,$I13))</f>
        <v/>
      </c>
      <c r="B13" s="6">
        <f>IF($I13="","",INDEX(L$6:L$305,$I13))</f>
        <v/>
      </c>
      <c r="C13" s="6">
        <f>IF($I13="","",INDEX(M$6:M$305,$I13))</f>
        <v/>
      </c>
      <c r="D13" s="6">
        <f>IF($I13="","",INDEX(N$6:N$305,$I13))</f>
        <v/>
      </c>
      <c r="E13" s="6">
        <f>IF($I13="","",INDEX(O$6:O$305,$I13))</f>
        <v/>
      </c>
      <c r="F13" s="6">
        <f>IF($I13="","",INDEX(P$6:P$305,$I13))</f>
        <v/>
      </c>
      <c r="G13" s="6">
        <f>IF($I13="","",INDEX(Q$6:Q$305,$I13))</f>
        <v/>
      </c>
      <c r="H13" s="6">
        <f>IF($I13="","",INDEX(R$6:R$305,$I13))</f>
        <v/>
      </c>
      <c r="I13" s="21">
        <f>IFERROR(MATCH(8,$T$6:$T$305,0),"")</f>
        <v/>
      </c>
      <c r="K13" s="21">
        <f>IF('Debtor Summary'!A12="","",'Debtor Summary'!A12)</f>
        <v/>
      </c>
      <c r="L13" s="24">
        <f>IF($K13="","",IF($B$2="","",ROUND(SUMIFS('Opening Balance'!$F$4:$F$303,'Opening Balance'!$G$4:$G$303,$K13)+SUMIFS('Daily Sale entry '!$S$2:$S$1501,'Daily Sale entry '!$P$2:$P$1501,$K13,'Daily Sale entry '!$Q$2:$Q$1501,"Credit Sale 赊销",'Daily Sale entry '!$O$2:$O$1501,"&lt;"&amp;$B$2)-SUMIFS('Daily Sale entry '!$S$2:$S$1501,'Daily Sale entry '!$P$2:$P$1501,$K13,'Daily Sale entry '!$Q$2:$Q$1501,"Collection 收款",'Daily Sale entry '!$O$2:$O$1501,"&lt;"&amp;$B$2)-SUMIFS('Daily Sale entry '!$AC$2:$AC$1501,'Daily Sale entry '!$AA$2:$AA$1501,$K13,'Daily Sale entry '!$Z$2:$Z$1501,"Online collection 网上收款",'Daily Sale entry '!$X$2:$X$1501,"&lt;"&amp;$B$2)-SUMIFS('Debtor Ledger'!$K$2:$K$3001,'Debtor Ledger'!$C$2:$C$3001,$K13,'Debtor Ledger'!$B$2:$B$3001,"&lt;"&amp;$B$2),2)))</f>
        <v/>
      </c>
      <c r="M13" s="24">
        <f>IF($K13="","",IF($B$2="","",SUMIFS('Daily Sale entry '!$S$2:$S$1501,'Daily Sale entry '!$P$2:$P$1501,$K13,'Daily Sale entry '!$Q$2:$Q$1501,"Credit Sale 赊销",'Daily Sale entry '!$O$2:$O$1501,$B$2)))</f>
        <v/>
      </c>
      <c r="N13" s="24">
        <f>IF($K13="","",IF($B$2="","",SUMIFS('Daily Sale entry '!$S$2:$S$1501,'Daily Sale entry '!$P$2:$P$1501,$K13,'Daily Sale entry '!$Q$2:$Q$1501,"Collection 收款",'Daily Sale entry '!$R$2:$R$1501,"Cash 现金",'Daily Sale entry '!$O$2:$O$1501,$B$2)))</f>
        <v/>
      </c>
      <c r="O13" s="24">
        <f>IF($K13="","",IF($B$2="","",SUMIFS('Daily Sale entry '!$S$2:$S$1501,'Daily Sale entry '!$P$2:$P$1501,$K13,'Daily Sale entry '!$Q$2:$Q$1501,"Collection 收款",'Daily Sale entry '!$R$2:$R$1501,"Cheque 支票",'Daily Sale entry '!$O$2:$O$1501,$B$2)))</f>
        <v/>
      </c>
      <c r="P13" s="24">
        <f>IF($K13="","",IF($B$2="","",SUMIFS('Daily Sale entry '!$AC$2:$AC$1501,'Daily Sale entry '!$AA$2:$AA$1501,$K13,'Daily Sale entry '!$Z$2:$Z$1501,"Online collection 网上收款",'Daily Sale entry '!$X$2:$X$1501,$B$2)))</f>
        <v/>
      </c>
      <c r="Q13" s="24">
        <f>IF($K13="","",IF($B$2="","",SUMIFS('Debtor Ledger'!$K$2:$K$3001,'Debtor Ledger'!$C$2:$C$3001,$K13,'Debtor Ledger'!$B$2:$B$3001,$B$2)))</f>
        <v/>
      </c>
      <c r="R13" s="24">
        <f>IF($K13="","",IF($B$2="","",ROUND(L13+M13-N13-O13-P13-Q13,2)))</f>
        <v/>
      </c>
      <c r="S13" s="21">
        <f>IF(K13="","",IF($B$2="","",IF(ABS(M13)+ABS(N13)+ABS(O13)+ABS(P13)+ABS(Q13)&gt;0,1,0)))</f>
        <v/>
      </c>
      <c r="T13" s="21">
        <f>IF(S13=1,SUM($S$6:S13),"")</f>
        <v/>
      </c>
    </row>
    <row r="14">
      <c r="A14">
        <f>IF($I14="","",INDEX(K$6:K$305,$I14))</f>
        <v/>
      </c>
      <c r="B14" s="6">
        <f>IF($I14="","",INDEX(L$6:L$305,$I14))</f>
        <v/>
      </c>
      <c r="C14" s="6">
        <f>IF($I14="","",INDEX(M$6:M$305,$I14))</f>
        <v/>
      </c>
      <c r="D14" s="6">
        <f>IF($I14="","",INDEX(N$6:N$305,$I14))</f>
        <v/>
      </c>
      <c r="E14" s="6">
        <f>IF($I14="","",INDEX(O$6:O$305,$I14))</f>
        <v/>
      </c>
      <c r="F14" s="6">
        <f>IF($I14="","",INDEX(P$6:P$305,$I14))</f>
        <v/>
      </c>
      <c r="G14" s="6">
        <f>IF($I14="","",INDEX(Q$6:Q$305,$I14))</f>
        <v/>
      </c>
      <c r="H14" s="6">
        <f>IF($I14="","",INDEX(R$6:R$305,$I14))</f>
        <v/>
      </c>
      <c r="I14" s="21">
        <f>IFERROR(MATCH(9,$T$6:$T$305,0),"")</f>
        <v/>
      </c>
      <c r="K14" s="21">
        <f>IF('Debtor Summary'!A13="","",'Debtor Summary'!A13)</f>
        <v/>
      </c>
      <c r="L14" s="24">
        <f>IF($K14="","",IF($B$2="","",ROUND(SUMIFS('Opening Balance'!$F$4:$F$303,'Opening Balance'!$G$4:$G$303,$K14)+SUMIFS('Daily Sale entry '!$S$2:$S$1501,'Daily Sale entry '!$P$2:$P$1501,$K14,'Daily Sale entry '!$Q$2:$Q$1501,"Credit Sale 赊销",'Daily Sale entry '!$O$2:$O$1501,"&lt;"&amp;$B$2)-SUMIFS('Daily Sale entry '!$S$2:$S$1501,'Daily Sale entry '!$P$2:$P$1501,$K14,'Daily Sale entry '!$Q$2:$Q$1501,"Collection 收款",'Daily Sale entry '!$O$2:$O$1501,"&lt;"&amp;$B$2)-SUMIFS('Daily Sale entry '!$AC$2:$AC$1501,'Daily Sale entry '!$AA$2:$AA$1501,$K14,'Daily Sale entry '!$Z$2:$Z$1501,"Online collection 网上收款",'Daily Sale entry '!$X$2:$X$1501,"&lt;"&amp;$B$2)-SUMIFS('Debtor Ledger'!$K$2:$K$3001,'Debtor Ledger'!$C$2:$C$3001,$K14,'Debtor Ledger'!$B$2:$B$3001,"&lt;"&amp;$B$2),2)))</f>
        <v/>
      </c>
      <c r="M14" s="24">
        <f>IF($K14="","",IF($B$2="","",SUMIFS('Daily Sale entry '!$S$2:$S$1501,'Daily Sale entry '!$P$2:$P$1501,$K14,'Daily Sale entry '!$Q$2:$Q$1501,"Credit Sale 赊销",'Daily Sale entry '!$O$2:$O$1501,$B$2)))</f>
        <v/>
      </c>
      <c r="N14" s="24">
        <f>IF($K14="","",IF($B$2="","",SUMIFS('Daily Sale entry '!$S$2:$S$1501,'Daily Sale entry '!$P$2:$P$1501,$K14,'Daily Sale entry '!$Q$2:$Q$1501,"Collection 收款",'Daily Sale entry '!$R$2:$R$1501,"Cash 现金",'Daily Sale entry '!$O$2:$O$1501,$B$2)))</f>
        <v/>
      </c>
      <c r="O14" s="24">
        <f>IF($K14="","",IF($B$2="","",SUMIFS('Daily Sale entry '!$S$2:$S$1501,'Daily Sale entry '!$P$2:$P$1501,$K14,'Daily Sale entry '!$Q$2:$Q$1501,"Collection 收款",'Daily Sale entry '!$R$2:$R$1501,"Cheque 支票",'Daily Sale entry '!$O$2:$O$1501,$B$2)))</f>
        <v/>
      </c>
      <c r="P14" s="24">
        <f>IF($K14="","",IF($B$2="","",SUMIFS('Daily Sale entry '!$AC$2:$AC$1501,'Daily Sale entry '!$AA$2:$AA$1501,$K14,'Daily Sale entry '!$Z$2:$Z$1501,"Online collection 网上收款",'Daily Sale entry '!$X$2:$X$1501,$B$2)))</f>
        <v/>
      </c>
      <c r="Q14" s="24">
        <f>IF($K14="","",IF($B$2="","",SUMIFS('Debtor Ledger'!$K$2:$K$3001,'Debtor Ledger'!$C$2:$C$3001,$K14,'Debtor Ledger'!$B$2:$B$3001,$B$2)))</f>
        <v/>
      </c>
      <c r="R14" s="24">
        <f>IF($K14="","",IF($B$2="","",ROUND(L14+M14-N14-O14-P14-Q14,2)))</f>
        <v/>
      </c>
      <c r="S14" s="21">
        <f>IF(K14="","",IF($B$2="","",IF(ABS(M14)+ABS(N14)+ABS(O14)+ABS(P14)+ABS(Q14)&gt;0,1,0)))</f>
        <v/>
      </c>
      <c r="T14" s="21">
        <f>IF(S14=1,SUM($S$6:S14),"")</f>
        <v/>
      </c>
    </row>
    <row r="15">
      <c r="A15">
        <f>IF($I15="","",INDEX(K$6:K$305,$I15))</f>
        <v/>
      </c>
      <c r="B15" s="6">
        <f>IF($I15="","",INDEX(L$6:L$305,$I15))</f>
        <v/>
      </c>
      <c r="C15" s="6">
        <f>IF($I15="","",INDEX(M$6:M$305,$I15))</f>
        <v/>
      </c>
      <c r="D15" s="6">
        <f>IF($I15="","",INDEX(N$6:N$305,$I15))</f>
        <v/>
      </c>
      <c r="E15" s="6">
        <f>IF($I15="","",INDEX(O$6:O$305,$I15))</f>
        <v/>
      </c>
      <c r="F15" s="6">
        <f>IF($I15="","",INDEX(P$6:P$305,$I15))</f>
        <v/>
      </c>
      <c r="G15" s="6">
        <f>IF($I15="","",INDEX(Q$6:Q$305,$I15))</f>
        <v/>
      </c>
      <c r="H15" s="6">
        <f>IF($I15="","",INDEX(R$6:R$305,$I15))</f>
        <v/>
      </c>
      <c r="I15" s="21">
        <f>IFERROR(MATCH(10,$T$6:$T$305,0),"")</f>
        <v/>
      </c>
      <c r="K15" s="21">
        <f>IF('Debtor Summary'!A14="","",'Debtor Summary'!A14)</f>
        <v/>
      </c>
      <c r="L15" s="24">
        <f>IF($K15="","",IF($B$2="","",ROUND(SUMIFS('Opening Balance'!$F$4:$F$303,'Opening Balance'!$G$4:$G$303,$K15)+SUMIFS('Daily Sale entry '!$S$2:$S$1501,'Daily Sale entry '!$P$2:$P$1501,$K15,'Daily Sale entry '!$Q$2:$Q$1501,"Credit Sale 赊销",'Daily Sale entry '!$O$2:$O$1501,"&lt;"&amp;$B$2)-SUMIFS('Daily Sale entry '!$S$2:$S$1501,'Daily Sale entry '!$P$2:$P$1501,$K15,'Daily Sale entry '!$Q$2:$Q$1501,"Collection 收款",'Daily Sale entry '!$O$2:$O$1501,"&lt;"&amp;$B$2)-SUMIFS('Daily Sale entry '!$AC$2:$AC$1501,'Daily Sale entry '!$AA$2:$AA$1501,$K15,'Daily Sale entry '!$Z$2:$Z$1501,"Online collection 网上收款",'Daily Sale entry '!$X$2:$X$1501,"&lt;"&amp;$B$2)-SUMIFS('Debtor Ledger'!$K$2:$K$3001,'Debtor Ledger'!$C$2:$C$3001,$K15,'Debtor Ledger'!$B$2:$B$3001,"&lt;"&amp;$B$2),2)))</f>
        <v/>
      </c>
      <c r="M15" s="24">
        <f>IF($K15="","",IF($B$2="","",SUMIFS('Daily Sale entry '!$S$2:$S$1501,'Daily Sale entry '!$P$2:$P$1501,$K15,'Daily Sale entry '!$Q$2:$Q$1501,"Credit Sale 赊销",'Daily Sale entry '!$O$2:$O$1501,$B$2)))</f>
        <v/>
      </c>
      <c r="N15" s="24">
        <f>IF($K15="","",IF($B$2="","",SUMIFS('Daily Sale entry '!$S$2:$S$1501,'Daily Sale entry '!$P$2:$P$1501,$K15,'Daily Sale entry '!$Q$2:$Q$1501,"Collection 收款",'Daily Sale entry '!$R$2:$R$1501,"Cash 现金",'Daily Sale entry '!$O$2:$O$1501,$B$2)))</f>
        <v/>
      </c>
      <c r="O15" s="24">
        <f>IF($K15="","",IF($B$2="","",SUMIFS('Daily Sale entry '!$S$2:$S$1501,'Daily Sale entry '!$P$2:$P$1501,$K15,'Daily Sale entry '!$Q$2:$Q$1501,"Collection 收款",'Daily Sale entry '!$R$2:$R$1501,"Cheque 支票",'Daily Sale entry '!$O$2:$O$1501,$B$2)))</f>
        <v/>
      </c>
      <c r="P15" s="24">
        <f>IF($K15="","",IF($B$2="","",SUMIFS('Daily Sale entry '!$AC$2:$AC$1501,'Daily Sale entry '!$AA$2:$AA$1501,$K15,'Daily Sale entry '!$Z$2:$Z$1501,"Online collection 网上收款",'Daily Sale entry '!$X$2:$X$1501,$B$2)))</f>
        <v/>
      </c>
      <c r="Q15" s="24">
        <f>IF($K15="","",IF($B$2="","",SUMIFS('Debtor Ledger'!$K$2:$K$3001,'Debtor Ledger'!$C$2:$C$3001,$K15,'Debtor Ledger'!$B$2:$B$3001,$B$2)))</f>
        <v/>
      </c>
      <c r="R15" s="24">
        <f>IF($K15="","",IF($B$2="","",ROUND(L15+M15-N15-O15-P15-Q15,2)))</f>
        <v/>
      </c>
      <c r="S15" s="21">
        <f>IF(K15="","",IF($B$2="","",IF(ABS(M15)+ABS(N15)+ABS(O15)+ABS(P15)+ABS(Q15)&gt;0,1,0)))</f>
        <v/>
      </c>
      <c r="T15" s="21">
        <f>IF(S15=1,SUM($S$6:S15),"")</f>
        <v/>
      </c>
    </row>
    <row r="16">
      <c r="A16">
        <f>IF($I16="","",INDEX(K$6:K$305,$I16))</f>
        <v/>
      </c>
      <c r="B16" s="6">
        <f>IF($I16="","",INDEX(L$6:L$305,$I16))</f>
        <v/>
      </c>
      <c r="C16" s="6">
        <f>IF($I16="","",INDEX(M$6:M$305,$I16))</f>
        <v/>
      </c>
      <c r="D16" s="6">
        <f>IF($I16="","",INDEX(N$6:N$305,$I16))</f>
        <v/>
      </c>
      <c r="E16" s="6">
        <f>IF($I16="","",INDEX(O$6:O$305,$I16))</f>
        <v/>
      </c>
      <c r="F16" s="6">
        <f>IF($I16="","",INDEX(P$6:P$305,$I16))</f>
        <v/>
      </c>
      <c r="G16" s="6">
        <f>IF($I16="","",INDEX(Q$6:Q$305,$I16))</f>
        <v/>
      </c>
      <c r="H16" s="6">
        <f>IF($I16="","",INDEX(R$6:R$305,$I16))</f>
        <v/>
      </c>
      <c r="I16" s="21">
        <f>IFERROR(MATCH(11,$T$6:$T$305,0),"")</f>
        <v/>
      </c>
      <c r="K16" s="21">
        <f>IF('Debtor Summary'!A15="","",'Debtor Summary'!A15)</f>
        <v/>
      </c>
      <c r="L16" s="24">
        <f>IF($K16="","",IF($B$2="","",ROUND(SUMIFS('Opening Balance'!$F$4:$F$303,'Opening Balance'!$G$4:$G$303,$K16)+SUMIFS('Daily Sale entry '!$S$2:$S$1501,'Daily Sale entry '!$P$2:$P$1501,$K16,'Daily Sale entry '!$Q$2:$Q$1501,"Credit Sale 赊销",'Daily Sale entry '!$O$2:$O$1501,"&lt;"&amp;$B$2)-SUMIFS('Daily Sale entry '!$S$2:$S$1501,'Daily Sale entry '!$P$2:$P$1501,$K16,'Daily Sale entry '!$Q$2:$Q$1501,"Collection 收款",'Daily Sale entry '!$O$2:$O$1501,"&lt;"&amp;$B$2)-SUMIFS('Daily Sale entry '!$AC$2:$AC$1501,'Daily Sale entry '!$AA$2:$AA$1501,$K16,'Daily Sale entry '!$Z$2:$Z$1501,"Online collection 网上收款",'Daily Sale entry '!$X$2:$X$1501,"&lt;"&amp;$B$2)-SUMIFS('Debtor Ledger'!$K$2:$K$3001,'Debtor Ledger'!$C$2:$C$3001,$K16,'Debtor Ledger'!$B$2:$B$3001,"&lt;"&amp;$B$2),2)))</f>
        <v/>
      </c>
      <c r="M16" s="24">
        <f>IF($K16="","",IF($B$2="","",SUMIFS('Daily Sale entry '!$S$2:$S$1501,'Daily Sale entry '!$P$2:$P$1501,$K16,'Daily Sale entry '!$Q$2:$Q$1501,"Credit Sale 赊销",'Daily Sale entry '!$O$2:$O$1501,$B$2)))</f>
        <v/>
      </c>
      <c r="N16" s="24">
        <f>IF($K16="","",IF($B$2="","",SUMIFS('Daily Sale entry '!$S$2:$S$1501,'Daily Sale entry '!$P$2:$P$1501,$K16,'Daily Sale entry '!$Q$2:$Q$1501,"Collection 收款",'Daily Sale entry '!$R$2:$R$1501,"Cash 现金",'Daily Sale entry '!$O$2:$O$1501,$B$2)))</f>
        <v/>
      </c>
      <c r="O16" s="24">
        <f>IF($K16="","",IF($B$2="","",SUMIFS('Daily Sale entry '!$S$2:$S$1501,'Daily Sale entry '!$P$2:$P$1501,$K16,'Daily Sale entry '!$Q$2:$Q$1501,"Collection 收款",'Daily Sale entry '!$R$2:$R$1501,"Cheque 支票",'Daily Sale entry '!$O$2:$O$1501,$B$2)))</f>
        <v/>
      </c>
      <c r="P16" s="24">
        <f>IF($K16="","",IF($B$2="","",SUMIFS('Daily Sale entry '!$AC$2:$AC$1501,'Daily Sale entry '!$AA$2:$AA$1501,$K16,'Daily Sale entry '!$Z$2:$Z$1501,"Online collection 网上收款",'Daily Sale entry '!$X$2:$X$1501,$B$2)))</f>
        <v/>
      </c>
      <c r="Q16" s="24">
        <f>IF($K16="","",IF($B$2="","",SUMIFS('Debtor Ledger'!$K$2:$K$3001,'Debtor Ledger'!$C$2:$C$3001,$K16,'Debtor Ledger'!$B$2:$B$3001,$B$2)))</f>
        <v/>
      </c>
      <c r="R16" s="24">
        <f>IF($K16="","",IF($B$2="","",ROUND(L16+M16-N16-O16-P16-Q16,2)))</f>
        <v/>
      </c>
      <c r="S16" s="21">
        <f>IF(K16="","",IF($B$2="","",IF(ABS(M16)+ABS(N16)+ABS(O16)+ABS(P16)+ABS(Q16)&gt;0,1,0)))</f>
        <v/>
      </c>
      <c r="T16" s="21">
        <f>IF(S16=1,SUM($S$6:S16),"")</f>
        <v/>
      </c>
    </row>
    <row r="17">
      <c r="A17">
        <f>IF($I17="","",INDEX(K$6:K$305,$I17))</f>
        <v/>
      </c>
      <c r="B17" s="6">
        <f>IF($I17="","",INDEX(L$6:L$305,$I17))</f>
        <v/>
      </c>
      <c r="C17" s="6">
        <f>IF($I17="","",INDEX(M$6:M$305,$I17))</f>
        <v/>
      </c>
      <c r="D17" s="6">
        <f>IF($I17="","",INDEX(N$6:N$305,$I17))</f>
        <v/>
      </c>
      <c r="E17" s="6">
        <f>IF($I17="","",INDEX(O$6:O$305,$I17))</f>
        <v/>
      </c>
      <c r="F17" s="6">
        <f>IF($I17="","",INDEX(P$6:P$305,$I17))</f>
        <v/>
      </c>
      <c r="G17" s="6">
        <f>IF($I17="","",INDEX(Q$6:Q$305,$I17))</f>
        <v/>
      </c>
      <c r="H17" s="6">
        <f>IF($I17="","",INDEX(R$6:R$305,$I17))</f>
        <v/>
      </c>
      <c r="I17" s="21">
        <f>IFERROR(MATCH(12,$T$6:$T$305,0),"")</f>
        <v/>
      </c>
      <c r="K17" s="21">
        <f>IF('Debtor Summary'!A16="","",'Debtor Summary'!A16)</f>
        <v/>
      </c>
      <c r="L17" s="24">
        <f>IF($K17="","",IF($B$2="","",ROUND(SUMIFS('Opening Balance'!$F$4:$F$303,'Opening Balance'!$G$4:$G$303,$K17)+SUMIFS('Daily Sale entry '!$S$2:$S$1501,'Daily Sale entry '!$P$2:$P$1501,$K17,'Daily Sale entry '!$Q$2:$Q$1501,"Credit Sale 赊销",'Daily Sale entry '!$O$2:$O$1501,"&lt;"&amp;$B$2)-SUMIFS('Daily Sale entry '!$S$2:$S$1501,'Daily Sale entry '!$P$2:$P$1501,$K17,'Daily Sale entry '!$Q$2:$Q$1501,"Collection 收款",'Daily Sale entry '!$O$2:$O$1501,"&lt;"&amp;$B$2)-SUMIFS('Daily Sale entry '!$AC$2:$AC$1501,'Daily Sale entry '!$AA$2:$AA$1501,$K17,'Daily Sale entry '!$Z$2:$Z$1501,"Online collection 网上收款",'Daily Sale entry '!$X$2:$X$1501,"&lt;"&amp;$B$2)-SUMIFS('Debtor Ledger'!$K$2:$K$3001,'Debtor Ledger'!$C$2:$C$3001,$K17,'Debtor Ledger'!$B$2:$B$3001,"&lt;"&amp;$B$2),2)))</f>
        <v/>
      </c>
      <c r="M17" s="24">
        <f>IF($K17="","",IF($B$2="","",SUMIFS('Daily Sale entry '!$S$2:$S$1501,'Daily Sale entry '!$P$2:$P$1501,$K17,'Daily Sale entry '!$Q$2:$Q$1501,"Credit Sale 赊销",'Daily Sale entry '!$O$2:$O$1501,$B$2)))</f>
        <v/>
      </c>
      <c r="N17" s="24">
        <f>IF($K17="","",IF($B$2="","",SUMIFS('Daily Sale entry '!$S$2:$S$1501,'Daily Sale entry '!$P$2:$P$1501,$K17,'Daily Sale entry '!$Q$2:$Q$1501,"Collection 收款",'Daily Sale entry '!$R$2:$R$1501,"Cash 现金",'Daily Sale entry '!$O$2:$O$1501,$B$2)))</f>
        <v/>
      </c>
      <c r="O17" s="24">
        <f>IF($K17="","",IF($B$2="","",SUMIFS('Daily Sale entry '!$S$2:$S$1501,'Daily Sale entry '!$P$2:$P$1501,$K17,'Daily Sale entry '!$Q$2:$Q$1501,"Collection 收款",'Daily Sale entry '!$R$2:$R$1501,"Cheque 支票",'Daily Sale entry '!$O$2:$O$1501,$B$2)))</f>
        <v/>
      </c>
      <c r="P17" s="24">
        <f>IF($K17="","",IF($B$2="","",SUMIFS('Daily Sale entry '!$AC$2:$AC$1501,'Daily Sale entry '!$AA$2:$AA$1501,$K17,'Daily Sale entry '!$Z$2:$Z$1501,"Online collection 网上收款",'Daily Sale entry '!$X$2:$X$1501,$B$2)))</f>
        <v/>
      </c>
      <c r="Q17" s="24">
        <f>IF($K17="","",IF($B$2="","",SUMIFS('Debtor Ledger'!$K$2:$K$3001,'Debtor Ledger'!$C$2:$C$3001,$K17,'Debtor Ledger'!$B$2:$B$3001,$B$2)))</f>
        <v/>
      </c>
      <c r="R17" s="24">
        <f>IF($K17="","",IF($B$2="","",ROUND(L17+M17-N17-O17-P17-Q17,2)))</f>
        <v/>
      </c>
      <c r="S17" s="21">
        <f>IF(K17="","",IF($B$2="","",IF(ABS(M17)+ABS(N17)+ABS(O17)+ABS(P17)+ABS(Q17)&gt;0,1,0)))</f>
        <v/>
      </c>
      <c r="T17" s="21">
        <f>IF(S17=1,SUM($S$6:S17),"")</f>
        <v/>
      </c>
    </row>
    <row r="18">
      <c r="A18">
        <f>IF($I18="","",INDEX(K$6:K$305,$I18))</f>
        <v/>
      </c>
      <c r="B18" s="6">
        <f>IF($I18="","",INDEX(L$6:L$305,$I18))</f>
        <v/>
      </c>
      <c r="C18" s="6">
        <f>IF($I18="","",INDEX(M$6:M$305,$I18))</f>
        <v/>
      </c>
      <c r="D18" s="6">
        <f>IF($I18="","",INDEX(N$6:N$305,$I18))</f>
        <v/>
      </c>
      <c r="E18" s="6">
        <f>IF($I18="","",INDEX(O$6:O$305,$I18))</f>
        <v/>
      </c>
      <c r="F18" s="6">
        <f>IF($I18="","",INDEX(P$6:P$305,$I18))</f>
        <v/>
      </c>
      <c r="G18" s="6">
        <f>IF($I18="","",INDEX(Q$6:Q$305,$I18))</f>
        <v/>
      </c>
      <c r="H18" s="6">
        <f>IF($I18="","",INDEX(R$6:R$305,$I18))</f>
        <v/>
      </c>
      <c r="I18" s="21">
        <f>IFERROR(MATCH(13,$T$6:$T$305,0),"")</f>
        <v/>
      </c>
      <c r="K18" s="21">
        <f>IF('Debtor Summary'!A17="","",'Debtor Summary'!A17)</f>
        <v/>
      </c>
      <c r="L18" s="24">
        <f>IF($K18="","",IF($B$2="","",ROUND(SUMIFS('Opening Balance'!$F$4:$F$303,'Opening Balance'!$G$4:$G$303,$K18)+SUMIFS('Daily Sale entry '!$S$2:$S$1501,'Daily Sale entry '!$P$2:$P$1501,$K18,'Daily Sale entry '!$Q$2:$Q$1501,"Credit Sale 赊销",'Daily Sale entry '!$O$2:$O$1501,"&lt;"&amp;$B$2)-SUMIFS('Daily Sale entry '!$S$2:$S$1501,'Daily Sale entry '!$P$2:$P$1501,$K18,'Daily Sale entry '!$Q$2:$Q$1501,"Collection 收款",'Daily Sale entry '!$O$2:$O$1501,"&lt;"&amp;$B$2)-SUMIFS('Daily Sale entry '!$AC$2:$AC$1501,'Daily Sale entry '!$AA$2:$AA$1501,$K18,'Daily Sale entry '!$Z$2:$Z$1501,"Online collection 网上收款",'Daily Sale entry '!$X$2:$X$1501,"&lt;"&amp;$B$2)-SUMIFS('Debtor Ledger'!$K$2:$K$3001,'Debtor Ledger'!$C$2:$C$3001,$K18,'Debtor Ledger'!$B$2:$B$3001,"&lt;"&amp;$B$2),2)))</f>
        <v/>
      </c>
      <c r="M18" s="24">
        <f>IF($K18="","",IF($B$2="","",SUMIFS('Daily Sale entry '!$S$2:$S$1501,'Daily Sale entry '!$P$2:$P$1501,$K18,'Daily Sale entry '!$Q$2:$Q$1501,"Credit Sale 赊销",'Daily Sale entry '!$O$2:$O$1501,$B$2)))</f>
        <v/>
      </c>
      <c r="N18" s="24">
        <f>IF($K18="","",IF($B$2="","",SUMIFS('Daily Sale entry '!$S$2:$S$1501,'Daily Sale entry '!$P$2:$P$1501,$K18,'Daily Sale entry '!$Q$2:$Q$1501,"Collection 收款",'Daily Sale entry '!$R$2:$R$1501,"Cash 现金",'Daily Sale entry '!$O$2:$O$1501,$B$2)))</f>
        <v/>
      </c>
      <c r="O18" s="24">
        <f>IF($K18="","",IF($B$2="","",SUMIFS('Daily Sale entry '!$S$2:$S$1501,'Daily Sale entry '!$P$2:$P$1501,$K18,'Daily Sale entry '!$Q$2:$Q$1501,"Collection 收款",'Daily Sale entry '!$R$2:$R$1501,"Cheque 支票",'Daily Sale entry '!$O$2:$O$1501,$B$2)))</f>
        <v/>
      </c>
      <c r="P18" s="24">
        <f>IF($K18="","",IF($B$2="","",SUMIFS('Daily Sale entry '!$AC$2:$AC$1501,'Daily Sale entry '!$AA$2:$AA$1501,$K18,'Daily Sale entry '!$Z$2:$Z$1501,"Online collection 网上收款",'Daily Sale entry '!$X$2:$X$1501,$B$2)))</f>
        <v/>
      </c>
      <c r="Q18" s="24">
        <f>IF($K18="","",IF($B$2="","",SUMIFS('Debtor Ledger'!$K$2:$K$3001,'Debtor Ledger'!$C$2:$C$3001,$K18,'Debtor Ledger'!$B$2:$B$3001,$B$2)))</f>
        <v/>
      </c>
      <c r="R18" s="24">
        <f>IF($K18="","",IF($B$2="","",ROUND(L18+M18-N18-O18-P18-Q18,2)))</f>
        <v/>
      </c>
      <c r="S18" s="21">
        <f>IF(K18="","",IF($B$2="","",IF(ABS(M18)+ABS(N18)+ABS(O18)+ABS(P18)+ABS(Q18)&gt;0,1,0)))</f>
        <v/>
      </c>
      <c r="T18" s="21">
        <f>IF(S18=1,SUM($S$6:S18),"")</f>
        <v/>
      </c>
    </row>
    <row r="19">
      <c r="A19">
        <f>IF($I19="","",INDEX(K$6:K$305,$I19))</f>
        <v/>
      </c>
      <c r="B19" s="6">
        <f>IF($I19="","",INDEX(L$6:L$305,$I19))</f>
        <v/>
      </c>
      <c r="C19" s="6">
        <f>IF($I19="","",INDEX(M$6:M$305,$I19))</f>
        <v/>
      </c>
      <c r="D19" s="6">
        <f>IF($I19="","",INDEX(N$6:N$305,$I19))</f>
        <v/>
      </c>
      <c r="E19" s="6">
        <f>IF($I19="","",INDEX(O$6:O$305,$I19))</f>
        <v/>
      </c>
      <c r="F19" s="6">
        <f>IF($I19="","",INDEX(P$6:P$305,$I19))</f>
        <v/>
      </c>
      <c r="G19" s="6">
        <f>IF($I19="","",INDEX(Q$6:Q$305,$I19))</f>
        <v/>
      </c>
      <c r="H19" s="6">
        <f>IF($I19="","",INDEX(R$6:R$305,$I19))</f>
        <v/>
      </c>
      <c r="I19" s="21">
        <f>IFERROR(MATCH(14,$T$6:$T$305,0),"")</f>
        <v/>
      </c>
      <c r="K19" s="21">
        <f>IF('Debtor Summary'!A18="","",'Debtor Summary'!A18)</f>
        <v/>
      </c>
      <c r="L19" s="24">
        <f>IF($K19="","",IF($B$2="","",ROUND(SUMIFS('Opening Balance'!$F$4:$F$303,'Opening Balance'!$G$4:$G$303,$K19)+SUMIFS('Daily Sale entry '!$S$2:$S$1501,'Daily Sale entry '!$P$2:$P$1501,$K19,'Daily Sale entry '!$Q$2:$Q$1501,"Credit Sale 赊销",'Daily Sale entry '!$O$2:$O$1501,"&lt;"&amp;$B$2)-SUMIFS('Daily Sale entry '!$S$2:$S$1501,'Daily Sale entry '!$P$2:$P$1501,$K19,'Daily Sale entry '!$Q$2:$Q$1501,"Collection 收款",'Daily Sale entry '!$O$2:$O$1501,"&lt;"&amp;$B$2)-SUMIFS('Daily Sale entry '!$AC$2:$AC$1501,'Daily Sale entry '!$AA$2:$AA$1501,$K19,'Daily Sale entry '!$Z$2:$Z$1501,"Online collection 网上收款",'Daily Sale entry '!$X$2:$X$1501,"&lt;"&amp;$B$2)-SUMIFS('Debtor Ledger'!$K$2:$K$3001,'Debtor Ledger'!$C$2:$C$3001,$K19,'Debtor Ledger'!$B$2:$B$3001,"&lt;"&amp;$B$2),2)))</f>
        <v/>
      </c>
      <c r="M19" s="24">
        <f>IF($K19="","",IF($B$2="","",SUMIFS('Daily Sale entry '!$S$2:$S$1501,'Daily Sale entry '!$P$2:$P$1501,$K19,'Daily Sale entry '!$Q$2:$Q$1501,"Credit Sale 赊销",'Daily Sale entry '!$O$2:$O$1501,$B$2)))</f>
        <v/>
      </c>
      <c r="N19" s="24">
        <f>IF($K19="","",IF($B$2="","",SUMIFS('Daily Sale entry '!$S$2:$S$1501,'Daily Sale entry '!$P$2:$P$1501,$K19,'Daily Sale entry '!$Q$2:$Q$1501,"Collection 收款",'Daily Sale entry '!$R$2:$R$1501,"Cash 现金",'Daily Sale entry '!$O$2:$O$1501,$B$2)))</f>
        <v/>
      </c>
      <c r="O19" s="24">
        <f>IF($K19="","",IF($B$2="","",SUMIFS('Daily Sale entry '!$S$2:$S$1501,'Daily Sale entry '!$P$2:$P$1501,$K19,'Daily Sale entry '!$Q$2:$Q$1501,"Collection 收款",'Daily Sale entry '!$R$2:$R$1501,"Cheque 支票",'Daily Sale entry '!$O$2:$O$1501,$B$2)))</f>
        <v/>
      </c>
      <c r="P19" s="24">
        <f>IF($K19="","",IF($B$2="","",SUMIFS('Daily Sale entry '!$AC$2:$AC$1501,'Daily Sale entry '!$AA$2:$AA$1501,$K19,'Daily Sale entry '!$Z$2:$Z$1501,"Online collection 网上收款",'Daily Sale entry '!$X$2:$X$1501,$B$2)))</f>
        <v/>
      </c>
      <c r="Q19" s="24">
        <f>IF($K19="","",IF($B$2="","",SUMIFS('Debtor Ledger'!$K$2:$K$3001,'Debtor Ledger'!$C$2:$C$3001,$K19,'Debtor Ledger'!$B$2:$B$3001,$B$2)))</f>
        <v/>
      </c>
      <c r="R19" s="24">
        <f>IF($K19="","",IF($B$2="","",ROUND(L19+M19-N19-O19-P19-Q19,2)))</f>
        <v/>
      </c>
      <c r="S19" s="21">
        <f>IF(K19="","",IF($B$2="","",IF(ABS(M19)+ABS(N19)+ABS(O19)+ABS(P19)+ABS(Q19)&gt;0,1,0)))</f>
        <v/>
      </c>
      <c r="T19" s="21">
        <f>IF(S19=1,SUM($S$6:S19),"")</f>
        <v/>
      </c>
    </row>
    <row r="20">
      <c r="A20">
        <f>IF($I20="","",INDEX(K$6:K$305,$I20))</f>
        <v/>
      </c>
      <c r="B20" s="6">
        <f>IF($I20="","",INDEX(L$6:L$305,$I20))</f>
        <v/>
      </c>
      <c r="C20" s="6">
        <f>IF($I20="","",INDEX(M$6:M$305,$I20))</f>
        <v/>
      </c>
      <c r="D20" s="6">
        <f>IF($I20="","",INDEX(N$6:N$305,$I20))</f>
        <v/>
      </c>
      <c r="E20" s="6">
        <f>IF($I20="","",INDEX(O$6:O$305,$I20))</f>
        <v/>
      </c>
      <c r="F20" s="6">
        <f>IF($I20="","",INDEX(P$6:P$305,$I20))</f>
        <v/>
      </c>
      <c r="G20" s="6">
        <f>IF($I20="","",INDEX(Q$6:Q$305,$I20))</f>
        <v/>
      </c>
      <c r="H20" s="6">
        <f>IF($I20="","",INDEX(R$6:R$305,$I20))</f>
        <v/>
      </c>
      <c r="I20" s="21">
        <f>IFERROR(MATCH(15,$T$6:$T$305,0),"")</f>
        <v/>
      </c>
      <c r="K20" s="21">
        <f>IF('Debtor Summary'!A19="","",'Debtor Summary'!A19)</f>
        <v/>
      </c>
      <c r="L20" s="24">
        <f>IF($K20="","",IF($B$2="","",ROUND(SUMIFS('Opening Balance'!$F$4:$F$303,'Opening Balance'!$G$4:$G$303,$K20)+SUMIFS('Daily Sale entry '!$S$2:$S$1501,'Daily Sale entry '!$P$2:$P$1501,$K20,'Daily Sale entry '!$Q$2:$Q$1501,"Credit Sale 赊销",'Daily Sale entry '!$O$2:$O$1501,"&lt;"&amp;$B$2)-SUMIFS('Daily Sale entry '!$S$2:$S$1501,'Daily Sale entry '!$P$2:$P$1501,$K20,'Daily Sale entry '!$Q$2:$Q$1501,"Collection 收款",'Daily Sale entry '!$O$2:$O$1501,"&lt;"&amp;$B$2)-SUMIFS('Daily Sale entry '!$AC$2:$AC$1501,'Daily Sale entry '!$AA$2:$AA$1501,$K20,'Daily Sale entry '!$Z$2:$Z$1501,"Online collection 网上收款",'Daily Sale entry '!$X$2:$X$1501,"&lt;"&amp;$B$2)-SUMIFS('Debtor Ledger'!$K$2:$K$3001,'Debtor Ledger'!$C$2:$C$3001,$K20,'Debtor Ledger'!$B$2:$B$3001,"&lt;"&amp;$B$2),2)))</f>
        <v/>
      </c>
      <c r="M20" s="24">
        <f>IF($K20="","",IF($B$2="","",SUMIFS('Daily Sale entry '!$S$2:$S$1501,'Daily Sale entry '!$P$2:$P$1501,$K20,'Daily Sale entry '!$Q$2:$Q$1501,"Credit Sale 赊销",'Daily Sale entry '!$O$2:$O$1501,$B$2)))</f>
        <v/>
      </c>
      <c r="N20" s="24">
        <f>IF($K20="","",IF($B$2="","",SUMIFS('Daily Sale entry '!$S$2:$S$1501,'Daily Sale entry '!$P$2:$P$1501,$K20,'Daily Sale entry '!$Q$2:$Q$1501,"Collection 收款",'Daily Sale entry '!$R$2:$R$1501,"Cash 现金",'Daily Sale entry '!$O$2:$O$1501,$B$2)))</f>
        <v/>
      </c>
      <c r="O20" s="24">
        <f>IF($K20="","",IF($B$2="","",SUMIFS('Daily Sale entry '!$S$2:$S$1501,'Daily Sale entry '!$P$2:$P$1501,$K20,'Daily Sale entry '!$Q$2:$Q$1501,"Collection 收款",'Daily Sale entry '!$R$2:$R$1501,"Cheque 支票",'Daily Sale entry '!$O$2:$O$1501,$B$2)))</f>
        <v/>
      </c>
      <c r="P20" s="24">
        <f>IF($K20="","",IF($B$2="","",SUMIFS('Daily Sale entry '!$AC$2:$AC$1501,'Daily Sale entry '!$AA$2:$AA$1501,$K20,'Daily Sale entry '!$Z$2:$Z$1501,"Online collection 网上收款",'Daily Sale entry '!$X$2:$X$1501,$B$2)))</f>
        <v/>
      </c>
      <c r="Q20" s="24">
        <f>IF($K20="","",IF($B$2="","",SUMIFS('Debtor Ledger'!$K$2:$K$3001,'Debtor Ledger'!$C$2:$C$3001,$K20,'Debtor Ledger'!$B$2:$B$3001,$B$2)))</f>
        <v/>
      </c>
      <c r="R20" s="24">
        <f>IF($K20="","",IF($B$2="","",ROUND(L20+M20-N20-O20-P20-Q20,2)))</f>
        <v/>
      </c>
      <c r="S20" s="21">
        <f>IF(K20="","",IF($B$2="","",IF(ABS(M20)+ABS(N20)+ABS(O20)+ABS(P20)+ABS(Q20)&gt;0,1,0)))</f>
        <v/>
      </c>
      <c r="T20" s="21">
        <f>IF(S20=1,SUM($S$6:S20),"")</f>
        <v/>
      </c>
    </row>
    <row r="21">
      <c r="A21">
        <f>IF($I21="","",INDEX(K$6:K$305,$I21))</f>
        <v/>
      </c>
      <c r="B21" s="6">
        <f>IF($I21="","",INDEX(L$6:L$305,$I21))</f>
        <v/>
      </c>
      <c r="C21" s="6">
        <f>IF($I21="","",INDEX(M$6:M$305,$I21))</f>
        <v/>
      </c>
      <c r="D21" s="6">
        <f>IF($I21="","",INDEX(N$6:N$305,$I21))</f>
        <v/>
      </c>
      <c r="E21" s="6">
        <f>IF($I21="","",INDEX(O$6:O$305,$I21))</f>
        <v/>
      </c>
      <c r="F21" s="6">
        <f>IF($I21="","",INDEX(P$6:P$305,$I21))</f>
        <v/>
      </c>
      <c r="G21" s="6">
        <f>IF($I21="","",INDEX(Q$6:Q$305,$I21))</f>
        <v/>
      </c>
      <c r="H21" s="6">
        <f>IF($I21="","",INDEX(R$6:R$305,$I21))</f>
        <v/>
      </c>
      <c r="I21" s="21">
        <f>IFERROR(MATCH(16,$T$6:$T$305,0),"")</f>
        <v/>
      </c>
      <c r="K21" s="21">
        <f>IF('Debtor Summary'!A20="","",'Debtor Summary'!A20)</f>
        <v/>
      </c>
      <c r="L21" s="24">
        <f>IF($K21="","",IF($B$2="","",ROUND(SUMIFS('Opening Balance'!$F$4:$F$303,'Opening Balance'!$G$4:$G$303,$K21)+SUMIFS('Daily Sale entry '!$S$2:$S$1501,'Daily Sale entry '!$P$2:$P$1501,$K21,'Daily Sale entry '!$Q$2:$Q$1501,"Credit Sale 赊销",'Daily Sale entry '!$O$2:$O$1501,"&lt;"&amp;$B$2)-SUMIFS('Daily Sale entry '!$S$2:$S$1501,'Daily Sale entry '!$P$2:$P$1501,$K21,'Daily Sale entry '!$Q$2:$Q$1501,"Collection 收款",'Daily Sale entry '!$O$2:$O$1501,"&lt;"&amp;$B$2)-SUMIFS('Daily Sale entry '!$AC$2:$AC$1501,'Daily Sale entry '!$AA$2:$AA$1501,$K21,'Daily Sale entry '!$Z$2:$Z$1501,"Online collection 网上收款",'Daily Sale entry '!$X$2:$X$1501,"&lt;"&amp;$B$2)-SUMIFS('Debtor Ledger'!$K$2:$K$3001,'Debtor Ledger'!$C$2:$C$3001,$K21,'Debtor Ledger'!$B$2:$B$3001,"&lt;"&amp;$B$2),2)))</f>
        <v/>
      </c>
      <c r="M21" s="24">
        <f>IF($K21="","",IF($B$2="","",SUMIFS('Daily Sale entry '!$S$2:$S$1501,'Daily Sale entry '!$P$2:$P$1501,$K21,'Daily Sale entry '!$Q$2:$Q$1501,"Credit Sale 赊销",'Daily Sale entry '!$O$2:$O$1501,$B$2)))</f>
        <v/>
      </c>
      <c r="N21" s="24">
        <f>IF($K21="","",IF($B$2="","",SUMIFS('Daily Sale entry '!$S$2:$S$1501,'Daily Sale entry '!$P$2:$P$1501,$K21,'Daily Sale entry '!$Q$2:$Q$1501,"Collection 收款",'Daily Sale entry '!$R$2:$R$1501,"Cash 现金",'Daily Sale entry '!$O$2:$O$1501,$B$2)))</f>
        <v/>
      </c>
      <c r="O21" s="24">
        <f>IF($K21="","",IF($B$2="","",SUMIFS('Daily Sale entry '!$S$2:$S$1501,'Daily Sale entry '!$P$2:$P$1501,$K21,'Daily Sale entry '!$Q$2:$Q$1501,"Collection 收款",'Daily Sale entry '!$R$2:$R$1501,"Cheque 支票",'Daily Sale entry '!$O$2:$O$1501,$B$2)))</f>
        <v/>
      </c>
      <c r="P21" s="24">
        <f>IF($K21="","",IF($B$2="","",SUMIFS('Daily Sale entry '!$AC$2:$AC$1501,'Daily Sale entry '!$AA$2:$AA$1501,$K21,'Daily Sale entry '!$Z$2:$Z$1501,"Online collection 网上收款",'Daily Sale entry '!$X$2:$X$1501,$B$2)))</f>
        <v/>
      </c>
      <c r="Q21" s="24">
        <f>IF($K21="","",IF($B$2="","",SUMIFS('Debtor Ledger'!$K$2:$K$3001,'Debtor Ledger'!$C$2:$C$3001,$K21,'Debtor Ledger'!$B$2:$B$3001,$B$2)))</f>
        <v/>
      </c>
      <c r="R21" s="24">
        <f>IF($K21="","",IF($B$2="","",ROUND(L21+M21-N21-O21-P21-Q21,2)))</f>
        <v/>
      </c>
      <c r="S21" s="21">
        <f>IF(K21="","",IF($B$2="","",IF(ABS(M21)+ABS(N21)+ABS(O21)+ABS(P21)+ABS(Q21)&gt;0,1,0)))</f>
        <v/>
      </c>
      <c r="T21" s="21">
        <f>IF(S21=1,SUM($S$6:S21),"")</f>
        <v/>
      </c>
    </row>
    <row r="22">
      <c r="A22">
        <f>IF($I22="","",INDEX(K$6:K$305,$I22))</f>
        <v/>
      </c>
      <c r="B22" s="6">
        <f>IF($I22="","",INDEX(L$6:L$305,$I22))</f>
        <v/>
      </c>
      <c r="C22" s="6">
        <f>IF($I22="","",INDEX(M$6:M$305,$I22))</f>
        <v/>
      </c>
      <c r="D22" s="6">
        <f>IF($I22="","",INDEX(N$6:N$305,$I22))</f>
        <v/>
      </c>
      <c r="E22" s="6">
        <f>IF($I22="","",INDEX(O$6:O$305,$I22))</f>
        <v/>
      </c>
      <c r="F22" s="6">
        <f>IF($I22="","",INDEX(P$6:P$305,$I22))</f>
        <v/>
      </c>
      <c r="G22" s="6">
        <f>IF($I22="","",INDEX(Q$6:Q$305,$I22))</f>
        <v/>
      </c>
      <c r="H22" s="6">
        <f>IF($I22="","",INDEX(R$6:R$305,$I22))</f>
        <v/>
      </c>
      <c r="I22" s="21">
        <f>IFERROR(MATCH(17,$T$6:$T$305,0),"")</f>
        <v/>
      </c>
      <c r="K22" s="21">
        <f>IF('Debtor Summary'!A21="","",'Debtor Summary'!A21)</f>
        <v/>
      </c>
      <c r="L22" s="24">
        <f>IF($K22="","",IF($B$2="","",ROUND(SUMIFS('Opening Balance'!$F$4:$F$303,'Opening Balance'!$G$4:$G$303,$K22)+SUMIFS('Daily Sale entry '!$S$2:$S$1501,'Daily Sale entry '!$P$2:$P$1501,$K22,'Daily Sale entry '!$Q$2:$Q$1501,"Credit Sale 赊销",'Daily Sale entry '!$O$2:$O$1501,"&lt;"&amp;$B$2)-SUMIFS('Daily Sale entry '!$S$2:$S$1501,'Daily Sale entry '!$P$2:$P$1501,$K22,'Daily Sale entry '!$Q$2:$Q$1501,"Collection 收款",'Daily Sale entry '!$O$2:$O$1501,"&lt;"&amp;$B$2)-SUMIFS('Daily Sale entry '!$AC$2:$AC$1501,'Daily Sale entry '!$AA$2:$AA$1501,$K22,'Daily Sale entry '!$Z$2:$Z$1501,"Online collection 网上收款",'Daily Sale entry '!$X$2:$X$1501,"&lt;"&amp;$B$2)-SUMIFS('Debtor Ledger'!$K$2:$K$3001,'Debtor Ledger'!$C$2:$C$3001,$K22,'Debtor Ledger'!$B$2:$B$3001,"&lt;"&amp;$B$2),2)))</f>
        <v/>
      </c>
      <c r="M22" s="24">
        <f>IF($K22="","",IF($B$2="","",SUMIFS('Daily Sale entry '!$S$2:$S$1501,'Daily Sale entry '!$P$2:$P$1501,$K22,'Daily Sale entry '!$Q$2:$Q$1501,"Credit Sale 赊销",'Daily Sale entry '!$O$2:$O$1501,$B$2)))</f>
        <v/>
      </c>
      <c r="N22" s="24">
        <f>IF($K22="","",IF($B$2="","",SUMIFS('Daily Sale entry '!$S$2:$S$1501,'Daily Sale entry '!$P$2:$P$1501,$K22,'Daily Sale entry '!$Q$2:$Q$1501,"Collection 收款",'Daily Sale entry '!$R$2:$R$1501,"Cash 现金",'Daily Sale entry '!$O$2:$O$1501,$B$2)))</f>
        <v/>
      </c>
      <c r="O22" s="24">
        <f>IF($K22="","",IF($B$2="","",SUMIFS('Daily Sale entry '!$S$2:$S$1501,'Daily Sale entry '!$P$2:$P$1501,$K22,'Daily Sale entry '!$Q$2:$Q$1501,"Collection 收款",'Daily Sale entry '!$R$2:$R$1501,"Cheque 支票",'Daily Sale entry '!$O$2:$O$1501,$B$2)))</f>
        <v/>
      </c>
      <c r="P22" s="24">
        <f>IF($K22="","",IF($B$2="","",SUMIFS('Daily Sale entry '!$AC$2:$AC$1501,'Daily Sale entry '!$AA$2:$AA$1501,$K22,'Daily Sale entry '!$Z$2:$Z$1501,"Online collection 网上收款",'Daily Sale entry '!$X$2:$X$1501,$B$2)))</f>
        <v/>
      </c>
      <c r="Q22" s="24">
        <f>IF($K22="","",IF($B$2="","",SUMIFS('Debtor Ledger'!$K$2:$K$3001,'Debtor Ledger'!$C$2:$C$3001,$K22,'Debtor Ledger'!$B$2:$B$3001,$B$2)))</f>
        <v/>
      </c>
      <c r="R22" s="24">
        <f>IF($K22="","",IF($B$2="","",ROUND(L22+M22-N22-O22-P22-Q22,2)))</f>
        <v/>
      </c>
      <c r="S22" s="21">
        <f>IF(K22="","",IF($B$2="","",IF(ABS(M22)+ABS(N22)+ABS(O22)+ABS(P22)+ABS(Q22)&gt;0,1,0)))</f>
        <v/>
      </c>
      <c r="T22" s="21">
        <f>IF(S22=1,SUM($S$6:S22),"")</f>
        <v/>
      </c>
    </row>
    <row r="23">
      <c r="A23">
        <f>IF($I23="","",INDEX(K$6:K$305,$I23))</f>
        <v/>
      </c>
      <c r="B23" s="6">
        <f>IF($I23="","",INDEX(L$6:L$305,$I23))</f>
        <v/>
      </c>
      <c r="C23" s="6">
        <f>IF($I23="","",INDEX(M$6:M$305,$I23))</f>
        <v/>
      </c>
      <c r="D23" s="6">
        <f>IF($I23="","",INDEX(N$6:N$305,$I23))</f>
        <v/>
      </c>
      <c r="E23" s="6">
        <f>IF($I23="","",INDEX(O$6:O$305,$I23))</f>
        <v/>
      </c>
      <c r="F23" s="6">
        <f>IF($I23="","",INDEX(P$6:P$305,$I23))</f>
        <v/>
      </c>
      <c r="G23" s="6">
        <f>IF($I23="","",INDEX(Q$6:Q$305,$I23))</f>
        <v/>
      </c>
      <c r="H23" s="6">
        <f>IF($I23="","",INDEX(R$6:R$305,$I23))</f>
        <v/>
      </c>
      <c r="I23" s="21">
        <f>IFERROR(MATCH(18,$T$6:$T$305,0),"")</f>
        <v/>
      </c>
      <c r="K23" s="21">
        <f>IF('Debtor Summary'!A22="","",'Debtor Summary'!A22)</f>
        <v/>
      </c>
      <c r="L23" s="24">
        <f>IF($K23="","",IF($B$2="","",ROUND(SUMIFS('Opening Balance'!$F$4:$F$303,'Opening Balance'!$G$4:$G$303,$K23)+SUMIFS('Daily Sale entry '!$S$2:$S$1501,'Daily Sale entry '!$P$2:$P$1501,$K23,'Daily Sale entry '!$Q$2:$Q$1501,"Credit Sale 赊销",'Daily Sale entry '!$O$2:$O$1501,"&lt;"&amp;$B$2)-SUMIFS('Daily Sale entry '!$S$2:$S$1501,'Daily Sale entry '!$P$2:$P$1501,$K23,'Daily Sale entry '!$Q$2:$Q$1501,"Collection 收款",'Daily Sale entry '!$O$2:$O$1501,"&lt;"&amp;$B$2)-SUMIFS('Daily Sale entry '!$AC$2:$AC$1501,'Daily Sale entry '!$AA$2:$AA$1501,$K23,'Daily Sale entry '!$Z$2:$Z$1501,"Online collection 网上收款",'Daily Sale entry '!$X$2:$X$1501,"&lt;"&amp;$B$2)-SUMIFS('Debtor Ledger'!$K$2:$K$3001,'Debtor Ledger'!$C$2:$C$3001,$K23,'Debtor Ledger'!$B$2:$B$3001,"&lt;"&amp;$B$2),2)))</f>
        <v/>
      </c>
      <c r="M23" s="24">
        <f>IF($K23="","",IF($B$2="","",SUMIFS('Daily Sale entry '!$S$2:$S$1501,'Daily Sale entry '!$P$2:$P$1501,$K23,'Daily Sale entry '!$Q$2:$Q$1501,"Credit Sale 赊销",'Daily Sale entry '!$O$2:$O$1501,$B$2)))</f>
        <v/>
      </c>
      <c r="N23" s="24">
        <f>IF($K23="","",IF($B$2="","",SUMIFS('Daily Sale entry '!$S$2:$S$1501,'Daily Sale entry '!$P$2:$P$1501,$K23,'Daily Sale entry '!$Q$2:$Q$1501,"Collection 收款",'Daily Sale entry '!$R$2:$R$1501,"Cash 现金",'Daily Sale entry '!$O$2:$O$1501,$B$2)))</f>
        <v/>
      </c>
      <c r="O23" s="24">
        <f>IF($K23="","",IF($B$2="","",SUMIFS('Daily Sale entry '!$S$2:$S$1501,'Daily Sale entry '!$P$2:$P$1501,$K23,'Daily Sale entry '!$Q$2:$Q$1501,"Collection 收款",'Daily Sale entry '!$R$2:$R$1501,"Cheque 支票",'Daily Sale entry '!$O$2:$O$1501,$B$2)))</f>
        <v/>
      </c>
      <c r="P23" s="24">
        <f>IF($K23="","",IF($B$2="","",SUMIFS('Daily Sale entry '!$AC$2:$AC$1501,'Daily Sale entry '!$AA$2:$AA$1501,$K23,'Daily Sale entry '!$Z$2:$Z$1501,"Online collection 网上收款",'Daily Sale entry '!$X$2:$X$1501,$B$2)))</f>
        <v/>
      </c>
      <c r="Q23" s="24">
        <f>IF($K23="","",IF($B$2="","",SUMIFS('Debtor Ledger'!$K$2:$K$3001,'Debtor Ledger'!$C$2:$C$3001,$K23,'Debtor Ledger'!$B$2:$B$3001,$B$2)))</f>
        <v/>
      </c>
      <c r="R23" s="24">
        <f>IF($K23="","",IF($B$2="","",ROUND(L23+M23-N23-O23-P23-Q23,2)))</f>
        <v/>
      </c>
      <c r="S23" s="21">
        <f>IF(K23="","",IF($B$2="","",IF(ABS(M23)+ABS(N23)+ABS(O23)+ABS(P23)+ABS(Q23)&gt;0,1,0)))</f>
        <v/>
      </c>
      <c r="T23" s="21">
        <f>IF(S23=1,SUM($S$6:S23),"")</f>
        <v/>
      </c>
    </row>
    <row r="24">
      <c r="A24">
        <f>IF($I24="","",INDEX(K$6:K$305,$I24))</f>
        <v/>
      </c>
      <c r="B24" s="6">
        <f>IF($I24="","",INDEX(L$6:L$305,$I24))</f>
        <v/>
      </c>
      <c r="C24" s="6">
        <f>IF($I24="","",INDEX(M$6:M$305,$I24))</f>
        <v/>
      </c>
      <c r="D24" s="6">
        <f>IF($I24="","",INDEX(N$6:N$305,$I24))</f>
        <v/>
      </c>
      <c r="E24" s="6">
        <f>IF($I24="","",INDEX(O$6:O$305,$I24))</f>
        <v/>
      </c>
      <c r="F24" s="6">
        <f>IF($I24="","",INDEX(P$6:P$305,$I24))</f>
        <v/>
      </c>
      <c r="G24" s="6">
        <f>IF($I24="","",INDEX(Q$6:Q$305,$I24))</f>
        <v/>
      </c>
      <c r="H24" s="6">
        <f>IF($I24="","",INDEX(R$6:R$305,$I24))</f>
        <v/>
      </c>
      <c r="I24" s="21">
        <f>IFERROR(MATCH(19,$T$6:$T$305,0),"")</f>
        <v/>
      </c>
      <c r="K24" s="21">
        <f>IF('Debtor Summary'!A23="","",'Debtor Summary'!A23)</f>
        <v/>
      </c>
      <c r="L24" s="24">
        <f>IF($K24="","",IF($B$2="","",ROUND(SUMIFS('Opening Balance'!$F$4:$F$303,'Opening Balance'!$G$4:$G$303,$K24)+SUMIFS('Daily Sale entry '!$S$2:$S$1501,'Daily Sale entry '!$P$2:$P$1501,$K24,'Daily Sale entry '!$Q$2:$Q$1501,"Credit Sale 赊销",'Daily Sale entry '!$O$2:$O$1501,"&lt;"&amp;$B$2)-SUMIFS('Daily Sale entry '!$S$2:$S$1501,'Daily Sale entry '!$P$2:$P$1501,$K24,'Daily Sale entry '!$Q$2:$Q$1501,"Collection 收款",'Daily Sale entry '!$O$2:$O$1501,"&lt;"&amp;$B$2)-SUMIFS('Daily Sale entry '!$AC$2:$AC$1501,'Daily Sale entry '!$AA$2:$AA$1501,$K24,'Daily Sale entry '!$Z$2:$Z$1501,"Online collection 网上收款",'Daily Sale entry '!$X$2:$X$1501,"&lt;"&amp;$B$2)-SUMIFS('Debtor Ledger'!$K$2:$K$3001,'Debtor Ledger'!$C$2:$C$3001,$K24,'Debtor Ledger'!$B$2:$B$3001,"&lt;"&amp;$B$2),2)))</f>
        <v/>
      </c>
      <c r="M24" s="24">
        <f>IF($K24="","",IF($B$2="","",SUMIFS('Daily Sale entry '!$S$2:$S$1501,'Daily Sale entry '!$P$2:$P$1501,$K24,'Daily Sale entry '!$Q$2:$Q$1501,"Credit Sale 赊销",'Daily Sale entry '!$O$2:$O$1501,$B$2)))</f>
        <v/>
      </c>
      <c r="N24" s="24">
        <f>IF($K24="","",IF($B$2="","",SUMIFS('Daily Sale entry '!$S$2:$S$1501,'Daily Sale entry '!$P$2:$P$1501,$K24,'Daily Sale entry '!$Q$2:$Q$1501,"Collection 收款",'Daily Sale entry '!$R$2:$R$1501,"Cash 现金",'Daily Sale entry '!$O$2:$O$1501,$B$2)))</f>
        <v/>
      </c>
      <c r="O24" s="24">
        <f>IF($K24="","",IF($B$2="","",SUMIFS('Daily Sale entry '!$S$2:$S$1501,'Daily Sale entry '!$P$2:$P$1501,$K24,'Daily Sale entry '!$Q$2:$Q$1501,"Collection 收款",'Daily Sale entry '!$R$2:$R$1501,"Cheque 支票",'Daily Sale entry '!$O$2:$O$1501,$B$2)))</f>
        <v/>
      </c>
      <c r="P24" s="24">
        <f>IF($K24="","",IF($B$2="","",SUMIFS('Daily Sale entry '!$AC$2:$AC$1501,'Daily Sale entry '!$AA$2:$AA$1501,$K24,'Daily Sale entry '!$Z$2:$Z$1501,"Online collection 网上收款",'Daily Sale entry '!$X$2:$X$1501,$B$2)))</f>
        <v/>
      </c>
      <c r="Q24" s="24">
        <f>IF($K24="","",IF($B$2="","",SUMIFS('Debtor Ledger'!$K$2:$K$3001,'Debtor Ledger'!$C$2:$C$3001,$K24,'Debtor Ledger'!$B$2:$B$3001,$B$2)))</f>
        <v/>
      </c>
      <c r="R24" s="24">
        <f>IF($K24="","",IF($B$2="","",ROUND(L24+M24-N24-O24-P24-Q24,2)))</f>
        <v/>
      </c>
      <c r="S24" s="21">
        <f>IF(K24="","",IF($B$2="","",IF(ABS(M24)+ABS(N24)+ABS(O24)+ABS(P24)+ABS(Q24)&gt;0,1,0)))</f>
        <v/>
      </c>
      <c r="T24" s="21">
        <f>IF(S24=1,SUM($S$6:S24),"")</f>
        <v/>
      </c>
    </row>
    <row r="25">
      <c r="A25">
        <f>IF($I25="","",INDEX(K$6:K$305,$I25))</f>
        <v/>
      </c>
      <c r="B25" s="6">
        <f>IF($I25="","",INDEX(L$6:L$305,$I25))</f>
        <v/>
      </c>
      <c r="C25" s="6">
        <f>IF($I25="","",INDEX(M$6:M$305,$I25))</f>
        <v/>
      </c>
      <c r="D25" s="6">
        <f>IF($I25="","",INDEX(N$6:N$305,$I25))</f>
        <v/>
      </c>
      <c r="E25" s="6">
        <f>IF($I25="","",INDEX(O$6:O$305,$I25))</f>
        <v/>
      </c>
      <c r="F25" s="6">
        <f>IF($I25="","",INDEX(P$6:P$305,$I25))</f>
        <v/>
      </c>
      <c r="G25" s="6">
        <f>IF($I25="","",INDEX(Q$6:Q$305,$I25))</f>
        <v/>
      </c>
      <c r="H25" s="6">
        <f>IF($I25="","",INDEX(R$6:R$305,$I25))</f>
        <v/>
      </c>
      <c r="I25" s="21">
        <f>IFERROR(MATCH(20,$T$6:$T$305,0),"")</f>
        <v/>
      </c>
      <c r="K25" s="21">
        <f>IF('Debtor Summary'!A24="","",'Debtor Summary'!A24)</f>
        <v/>
      </c>
      <c r="L25" s="24">
        <f>IF($K25="","",IF($B$2="","",ROUND(SUMIFS('Opening Balance'!$F$4:$F$303,'Opening Balance'!$G$4:$G$303,$K25)+SUMIFS('Daily Sale entry '!$S$2:$S$1501,'Daily Sale entry '!$P$2:$P$1501,$K25,'Daily Sale entry '!$Q$2:$Q$1501,"Credit Sale 赊销",'Daily Sale entry '!$O$2:$O$1501,"&lt;"&amp;$B$2)-SUMIFS('Daily Sale entry '!$S$2:$S$1501,'Daily Sale entry '!$P$2:$P$1501,$K25,'Daily Sale entry '!$Q$2:$Q$1501,"Collection 收款",'Daily Sale entry '!$O$2:$O$1501,"&lt;"&amp;$B$2)-SUMIFS('Daily Sale entry '!$AC$2:$AC$1501,'Daily Sale entry '!$AA$2:$AA$1501,$K25,'Daily Sale entry '!$Z$2:$Z$1501,"Online collection 网上收款",'Daily Sale entry '!$X$2:$X$1501,"&lt;"&amp;$B$2)-SUMIFS('Debtor Ledger'!$K$2:$K$3001,'Debtor Ledger'!$C$2:$C$3001,$K25,'Debtor Ledger'!$B$2:$B$3001,"&lt;"&amp;$B$2),2)))</f>
        <v/>
      </c>
      <c r="M25" s="24">
        <f>IF($K25="","",IF($B$2="","",SUMIFS('Daily Sale entry '!$S$2:$S$1501,'Daily Sale entry '!$P$2:$P$1501,$K25,'Daily Sale entry '!$Q$2:$Q$1501,"Credit Sale 赊销",'Daily Sale entry '!$O$2:$O$1501,$B$2)))</f>
        <v/>
      </c>
      <c r="N25" s="24">
        <f>IF($K25="","",IF($B$2="","",SUMIFS('Daily Sale entry '!$S$2:$S$1501,'Daily Sale entry '!$P$2:$P$1501,$K25,'Daily Sale entry '!$Q$2:$Q$1501,"Collection 收款",'Daily Sale entry '!$R$2:$R$1501,"Cash 现金",'Daily Sale entry '!$O$2:$O$1501,$B$2)))</f>
        <v/>
      </c>
      <c r="O25" s="24">
        <f>IF($K25="","",IF($B$2="","",SUMIFS('Daily Sale entry '!$S$2:$S$1501,'Daily Sale entry '!$P$2:$P$1501,$K25,'Daily Sale entry '!$Q$2:$Q$1501,"Collection 收款",'Daily Sale entry '!$R$2:$R$1501,"Cheque 支票",'Daily Sale entry '!$O$2:$O$1501,$B$2)))</f>
        <v/>
      </c>
      <c r="P25" s="24">
        <f>IF($K25="","",IF($B$2="","",SUMIFS('Daily Sale entry '!$AC$2:$AC$1501,'Daily Sale entry '!$AA$2:$AA$1501,$K25,'Daily Sale entry '!$Z$2:$Z$1501,"Online collection 网上收款",'Daily Sale entry '!$X$2:$X$1501,$B$2)))</f>
        <v/>
      </c>
      <c r="Q25" s="24">
        <f>IF($K25="","",IF($B$2="","",SUMIFS('Debtor Ledger'!$K$2:$K$3001,'Debtor Ledger'!$C$2:$C$3001,$K25,'Debtor Ledger'!$B$2:$B$3001,$B$2)))</f>
        <v/>
      </c>
      <c r="R25" s="24">
        <f>IF($K25="","",IF($B$2="","",ROUND(L25+M25-N25-O25-P25-Q25,2)))</f>
        <v/>
      </c>
      <c r="S25" s="21">
        <f>IF(K25="","",IF($B$2="","",IF(ABS(M25)+ABS(N25)+ABS(O25)+ABS(P25)+ABS(Q25)&gt;0,1,0)))</f>
        <v/>
      </c>
      <c r="T25" s="21">
        <f>IF(S25=1,SUM($S$6:S25),"")</f>
        <v/>
      </c>
    </row>
    <row r="26">
      <c r="A26">
        <f>IF($I26="","",INDEX(K$6:K$305,$I26))</f>
        <v/>
      </c>
      <c r="B26" s="6">
        <f>IF($I26="","",INDEX(L$6:L$305,$I26))</f>
        <v/>
      </c>
      <c r="C26" s="6">
        <f>IF($I26="","",INDEX(M$6:M$305,$I26))</f>
        <v/>
      </c>
      <c r="D26" s="6">
        <f>IF($I26="","",INDEX(N$6:N$305,$I26))</f>
        <v/>
      </c>
      <c r="E26" s="6">
        <f>IF($I26="","",INDEX(O$6:O$305,$I26))</f>
        <v/>
      </c>
      <c r="F26" s="6">
        <f>IF($I26="","",INDEX(P$6:P$305,$I26))</f>
        <v/>
      </c>
      <c r="G26" s="6">
        <f>IF($I26="","",INDEX(Q$6:Q$305,$I26))</f>
        <v/>
      </c>
      <c r="H26" s="6">
        <f>IF($I26="","",INDEX(R$6:R$305,$I26))</f>
        <v/>
      </c>
      <c r="I26" s="21">
        <f>IFERROR(MATCH(21,$T$6:$T$305,0),"")</f>
        <v/>
      </c>
      <c r="K26" s="21">
        <f>IF('Debtor Summary'!A25="","",'Debtor Summary'!A25)</f>
        <v/>
      </c>
      <c r="L26" s="24">
        <f>IF($K26="","",IF($B$2="","",ROUND(SUMIFS('Opening Balance'!$F$4:$F$303,'Opening Balance'!$G$4:$G$303,$K26)+SUMIFS('Daily Sale entry '!$S$2:$S$1501,'Daily Sale entry '!$P$2:$P$1501,$K26,'Daily Sale entry '!$Q$2:$Q$1501,"Credit Sale 赊销",'Daily Sale entry '!$O$2:$O$1501,"&lt;"&amp;$B$2)-SUMIFS('Daily Sale entry '!$S$2:$S$1501,'Daily Sale entry '!$P$2:$P$1501,$K26,'Daily Sale entry '!$Q$2:$Q$1501,"Collection 收款",'Daily Sale entry '!$O$2:$O$1501,"&lt;"&amp;$B$2)-SUMIFS('Daily Sale entry '!$AC$2:$AC$1501,'Daily Sale entry '!$AA$2:$AA$1501,$K26,'Daily Sale entry '!$Z$2:$Z$1501,"Online collection 网上收款",'Daily Sale entry '!$X$2:$X$1501,"&lt;"&amp;$B$2)-SUMIFS('Debtor Ledger'!$K$2:$K$3001,'Debtor Ledger'!$C$2:$C$3001,$K26,'Debtor Ledger'!$B$2:$B$3001,"&lt;"&amp;$B$2),2)))</f>
        <v/>
      </c>
      <c r="M26" s="24">
        <f>IF($K26="","",IF($B$2="","",SUMIFS('Daily Sale entry '!$S$2:$S$1501,'Daily Sale entry '!$P$2:$P$1501,$K26,'Daily Sale entry '!$Q$2:$Q$1501,"Credit Sale 赊销",'Daily Sale entry '!$O$2:$O$1501,$B$2)))</f>
        <v/>
      </c>
      <c r="N26" s="24">
        <f>IF($K26="","",IF($B$2="","",SUMIFS('Daily Sale entry '!$S$2:$S$1501,'Daily Sale entry '!$P$2:$P$1501,$K26,'Daily Sale entry '!$Q$2:$Q$1501,"Collection 收款",'Daily Sale entry '!$R$2:$R$1501,"Cash 现金",'Daily Sale entry '!$O$2:$O$1501,$B$2)))</f>
        <v/>
      </c>
      <c r="O26" s="24">
        <f>IF($K26="","",IF($B$2="","",SUMIFS('Daily Sale entry '!$S$2:$S$1501,'Daily Sale entry '!$P$2:$P$1501,$K26,'Daily Sale entry '!$Q$2:$Q$1501,"Collection 收款",'Daily Sale entry '!$R$2:$R$1501,"Cheque 支票",'Daily Sale entry '!$O$2:$O$1501,$B$2)))</f>
        <v/>
      </c>
      <c r="P26" s="24">
        <f>IF($K26="","",IF($B$2="","",SUMIFS('Daily Sale entry '!$AC$2:$AC$1501,'Daily Sale entry '!$AA$2:$AA$1501,$K26,'Daily Sale entry '!$Z$2:$Z$1501,"Online collection 网上收款",'Daily Sale entry '!$X$2:$X$1501,$B$2)))</f>
        <v/>
      </c>
      <c r="Q26" s="24">
        <f>IF($K26="","",IF($B$2="","",SUMIFS('Debtor Ledger'!$K$2:$K$3001,'Debtor Ledger'!$C$2:$C$3001,$K26,'Debtor Ledger'!$B$2:$B$3001,$B$2)))</f>
        <v/>
      </c>
      <c r="R26" s="24">
        <f>IF($K26="","",IF($B$2="","",ROUND(L26+M26-N26-O26-P26-Q26,2)))</f>
        <v/>
      </c>
      <c r="S26" s="21">
        <f>IF(K26="","",IF($B$2="","",IF(ABS(M26)+ABS(N26)+ABS(O26)+ABS(P26)+ABS(Q26)&gt;0,1,0)))</f>
        <v/>
      </c>
      <c r="T26" s="21">
        <f>IF(S26=1,SUM($S$6:S26),"")</f>
        <v/>
      </c>
    </row>
    <row r="27">
      <c r="A27">
        <f>IF($I27="","",INDEX(K$6:K$305,$I27))</f>
        <v/>
      </c>
      <c r="B27" s="6">
        <f>IF($I27="","",INDEX(L$6:L$305,$I27))</f>
        <v/>
      </c>
      <c r="C27" s="6">
        <f>IF($I27="","",INDEX(M$6:M$305,$I27))</f>
        <v/>
      </c>
      <c r="D27" s="6">
        <f>IF($I27="","",INDEX(N$6:N$305,$I27))</f>
        <v/>
      </c>
      <c r="E27" s="6">
        <f>IF($I27="","",INDEX(O$6:O$305,$I27))</f>
        <v/>
      </c>
      <c r="F27" s="6">
        <f>IF($I27="","",INDEX(P$6:P$305,$I27))</f>
        <v/>
      </c>
      <c r="G27" s="6">
        <f>IF($I27="","",INDEX(Q$6:Q$305,$I27))</f>
        <v/>
      </c>
      <c r="H27" s="6">
        <f>IF($I27="","",INDEX(R$6:R$305,$I27))</f>
        <v/>
      </c>
      <c r="I27" s="21">
        <f>IFERROR(MATCH(22,$T$6:$T$305,0),"")</f>
        <v/>
      </c>
      <c r="K27" s="21">
        <f>IF('Debtor Summary'!A26="","",'Debtor Summary'!A26)</f>
        <v/>
      </c>
      <c r="L27" s="24">
        <f>IF($K27="","",IF($B$2="","",ROUND(SUMIFS('Opening Balance'!$F$4:$F$303,'Opening Balance'!$G$4:$G$303,$K27)+SUMIFS('Daily Sale entry '!$S$2:$S$1501,'Daily Sale entry '!$P$2:$P$1501,$K27,'Daily Sale entry '!$Q$2:$Q$1501,"Credit Sale 赊销",'Daily Sale entry '!$O$2:$O$1501,"&lt;"&amp;$B$2)-SUMIFS('Daily Sale entry '!$S$2:$S$1501,'Daily Sale entry '!$P$2:$P$1501,$K27,'Daily Sale entry '!$Q$2:$Q$1501,"Collection 收款",'Daily Sale entry '!$O$2:$O$1501,"&lt;"&amp;$B$2)-SUMIFS('Daily Sale entry '!$AC$2:$AC$1501,'Daily Sale entry '!$AA$2:$AA$1501,$K27,'Daily Sale entry '!$Z$2:$Z$1501,"Online collection 网上收款",'Daily Sale entry '!$X$2:$X$1501,"&lt;"&amp;$B$2)-SUMIFS('Debtor Ledger'!$K$2:$K$3001,'Debtor Ledger'!$C$2:$C$3001,$K27,'Debtor Ledger'!$B$2:$B$3001,"&lt;"&amp;$B$2),2)))</f>
        <v/>
      </c>
      <c r="M27" s="24">
        <f>IF($K27="","",IF($B$2="","",SUMIFS('Daily Sale entry '!$S$2:$S$1501,'Daily Sale entry '!$P$2:$P$1501,$K27,'Daily Sale entry '!$Q$2:$Q$1501,"Credit Sale 赊销",'Daily Sale entry '!$O$2:$O$1501,$B$2)))</f>
        <v/>
      </c>
      <c r="N27" s="24">
        <f>IF($K27="","",IF($B$2="","",SUMIFS('Daily Sale entry '!$S$2:$S$1501,'Daily Sale entry '!$P$2:$P$1501,$K27,'Daily Sale entry '!$Q$2:$Q$1501,"Collection 收款",'Daily Sale entry '!$R$2:$R$1501,"Cash 现金",'Daily Sale entry '!$O$2:$O$1501,$B$2)))</f>
        <v/>
      </c>
      <c r="O27" s="24">
        <f>IF($K27="","",IF($B$2="","",SUMIFS('Daily Sale entry '!$S$2:$S$1501,'Daily Sale entry '!$P$2:$P$1501,$K27,'Daily Sale entry '!$Q$2:$Q$1501,"Collection 收款",'Daily Sale entry '!$R$2:$R$1501,"Cheque 支票",'Daily Sale entry '!$O$2:$O$1501,$B$2)))</f>
        <v/>
      </c>
      <c r="P27" s="24">
        <f>IF($K27="","",IF($B$2="","",SUMIFS('Daily Sale entry '!$AC$2:$AC$1501,'Daily Sale entry '!$AA$2:$AA$1501,$K27,'Daily Sale entry '!$Z$2:$Z$1501,"Online collection 网上收款",'Daily Sale entry '!$X$2:$X$1501,$B$2)))</f>
        <v/>
      </c>
      <c r="Q27" s="24">
        <f>IF($K27="","",IF($B$2="","",SUMIFS('Debtor Ledger'!$K$2:$K$3001,'Debtor Ledger'!$C$2:$C$3001,$K27,'Debtor Ledger'!$B$2:$B$3001,$B$2)))</f>
        <v/>
      </c>
      <c r="R27" s="24">
        <f>IF($K27="","",IF($B$2="","",ROUND(L27+M27-N27-O27-P27-Q27,2)))</f>
        <v/>
      </c>
      <c r="S27" s="21">
        <f>IF(K27="","",IF($B$2="","",IF(ABS(M27)+ABS(N27)+ABS(O27)+ABS(P27)+ABS(Q27)&gt;0,1,0)))</f>
        <v/>
      </c>
      <c r="T27" s="21">
        <f>IF(S27=1,SUM($S$6:S27),"")</f>
        <v/>
      </c>
    </row>
    <row r="28">
      <c r="A28">
        <f>IF($I28="","",INDEX(K$6:K$305,$I28))</f>
        <v/>
      </c>
      <c r="B28" s="6">
        <f>IF($I28="","",INDEX(L$6:L$305,$I28))</f>
        <v/>
      </c>
      <c r="C28" s="6">
        <f>IF($I28="","",INDEX(M$6:M$305,$I28))</f>
        <v/>
      </c>
      <c r="D28" s="6">
        <f>IF($I28="","",INDEX(N$6:N$305,$I28))</f>
        <v/>
      </c>
      <c r="E28" s="6">
        <f>IF($I28="","",INDEX(O$6:O$305,$I28))</f>
        <v/>
      </c>
      <c r="F28" s="6">
        <f>IF($I28="","",INDEX(P$6:P$305,$I28))</f>
        <v/>
      </c>
      <c r="G28" s="6">
        <f>IF($I28="","",INDEX(Q$6:Q$305,$I28))</f>
        <v/>
      </c>
      <c r="H28" s="6">
        <f>IF($I28="","",INDEX(R$6:R$305,$I28))</f>
        <v/>
      </c>
      <c r="I28" s="21">
        <f>IFERROR(MATCH(23,$T$6:$T$305,0),"")</f>
        <v/>
      </c>
      <c r="K28" s="21">
        <f>IF('Debtor Summary'!A27="","",'Debtor Summary'!A27)</f>
        <v/>
      </c>
      <c r="L28" s="24">
        <f>IF($K28="","",IF($B$2="","",ROUND(SUMIFS('Opening Balance'!$F$4:$F$303,'Opening Balance'!$G$4:$G$303,$K28)+SUMIFS('Daily Sale entry '!$S$2:$S$1501,'Daily Sale entry '!$P$2:$P$1501,$K28,'Daily Sale entry '!$Q$2:$Q$1501,"Credit Sale 赊销",'Daily Sale entry '!$O$2:$O$1501,"&lt;"&amp;$B$2)-SUMIFS('Daily Sale entry '!$S$2:$S$1501,'Daily Sale entry '!$P$2:$P$1501,$K28,'Daily Sale entry '!$Q$2:$Q$1501,"Collection 收款",'Daily Sale entry '!$O$2:$O$1501,"&lt;"&amp;$B$2)-SUMIFS('Daily Sale entry '!$AC$2:$AC$1501,'Daily Sale entry '!$AA$2:$AA$1501,$K28,'Daily Sale entry '!$Z$2:$Z$1501,"Online collection 网上收款",'Daily Sale entry '!$X$2:$X$1501,"&lt;"&amp;$B$2)-SUMIFS('Debtor Ledger'!$K$2:$K$3001,'Debtor Ledger'!$C$2:$C$3001,$K28,'Debtor Ledger'!$B$2:$B$3001,"&lt;"&amp;$B$2),2)))</f>
        <v/>
      </c>
      <c r="M28" s="24">
        <f>IF($K28="","",IF($B$2="","",SUMIFS('Daily Sale entry '!$S$2:$S$1501,'Daily Sale entry '!$P$2:$P$1501,$K28,'Daily Sale entry '!$Q$2:$Q$1501,"Credit Sale 赊销",'Daily Sale entry '!$O$2:$O$1501,$B$2)))</f>
        <v/>
      </c>
      <c r="N28" s="24">
        <f>IF($K28="","",IF($B$2="","",SUMIFS('Daily Sale entry '!$S$2:$S$1501,'Daily Sale entry '!$P$2:$P$1501,$K28,'Daily Sale entry '!$Q$2:$Q$1501,"Collection 收款",'Daily Sale entry '!$R$2:$R$1501,"Cash 现金",'Daily Sale entry '!$O$2:$O$1501,$B$2)))</f>
        <v/>
      </c>
      <c r="O28" s="24">
        <f>IF($K28="","",IF($B$2="","",SUMIFS('Daily Sale entry '!$S$2:$S$1501,'Daily Sale entry '!$P$2:$P$1501,$K28,'Daily Sale entry '!$Q$2:$Q$1501,"Collection 收款",'Daily Sale entry '!$R$2:$R$1501,"Cheque 支票",'Daily Sale entry '!$O$2:$O$1501,$B$2)))</f>
        <v/>
      </c>
      <c r="P28" s="24">
        <f>IF($K28="","",IF($B$2="","",SUMIFS('Daily Sale entry '!$AC$2:$AC$1501,'Daily Sale entry '!$AA$2:$AA$1501,$K28,'Daily Sale entry '!$Z$2:$Z$1501,"Online collection 网上收款",'Daily Sale entry '!$X$2:$X$1501,$B$2)))</f>
        <v/>
      </c>
      <c r="Q28" s="24">
        <f>IF($K28="","",IF($B$2="","",SUMIFS('Debtor Ledger'!$K$2:$K$3001,'Debtor Ledger'!$C$2:$C$3001,$K28,'Debtor Ledger'!$B$2:$B$3001,$B$2)))</f>
        <v/>
      </c>
      <c r="R28" s="24">
        <f>IF($K28="","",IF($B$2="","",ROUND(L28+M28-N28-O28-P28-Q28,2)))</f>
        <v/>
      </c>
      <c r="S28" s="21">
        <f>IF(K28="","",IF($B$2="","",IF(ABS(M28)+ABS(N28)+ABS(O28)+ABS(P28)+ABS(Q28)&gt;0,1,0)))</f>
        <v/>
      </c>
      <c r="T28" s="21">
        <f>IF(S28=1,SUM($S$6:S28),"")</f>
        <v/>
      </c>
    </row>
    <row r="29">
      <c r="A29">
        <f>IF($I29="","",INDEX(K$6:K$305,$I29))</f>
        <v/>
      </c>
      <c r="B29" s="6">
        <f>IF($I29="","",INDEX(L$6:L$305,$I29))</f>
        <v/>
      </c>
      <c r="C29" s="6">
        <f>IF($I29="","",INDEX(M$6:M$305,$I29))</f>
        <v/>
      </c>
      <c r="D29" s="6">
        <f>IF($I29="","",INDEX(N$6:N$305,$I29))</f>
        <v/>
      </c>
      <c r="E29" s="6">
        <f>IF($I29="","",INDEX(O$6:O$305,$I29))</f>
        <v/>
      </c>
      <c r="F29" s="6">
        <f>IF($I29="","",INDEX(P$6:P$305,$I29))</f>
        <v/>
      </c>
      <c r="G29" s="6">
        <f>IF($I29="","",INDEX(Q$6:Q$305,$I29))</f>
        <v/>
      </c>
      <c r="H29" s="6">
        <f>IF($I29="","",INDEX(R$6:R$305,$I29))</f>
        <v/>
      </c>
      <c r="I29" s="21">
        <f>IFERROR(MATCH(24,$T$6:$T$305,0),"")</f>
        <v/>
      </c>
      <c r="K29" s="21">
        <f>IF('Debtor Summary'!A28="","",'Debtor Summary'!A28)</f>
        <v/>
      </c>
      <c r="L29" s="24">
        <f>IF($K29="","",IF($B$2="","",ROUND(SUMIFS('Opening Balance'!$F$4:$F$303,'Opening Balance'!$G$4:$G$303,$K29)+SUMIFS('Daily Sale entry '!$S$2:$S$1501,'Daily Sale entry '!$P$2:$P$1501,$K29,'Daily Sale entry '!$Q$2:$Q$1501,"Credit Sale 赊销",'Daily Sale entry '!$O$2:$O$1501,"&lt;"&amp;$B$2)-SUMIFS('Daily Sale entry '!$S$2:$S$1501,'Daily Sale entry '!$P$2:$P$1501,$K29,'Daily Sale entry '!$Q$2:$Q$1501,"Collection 收款",'Daily Sale entry '!$O$2:$O$1501,"&lt;"&amp;$B$2)-SUMIFS('Daily Sale entry '!$AC$2:$AC$1501,'Daily Sale entry '!$AA$2:$AA$1501,$K29,'Daily Sale entry '!$Z$2:$Z$1501,"Online collection 网上收款",'Daily Sale entry '!$X$2:$X$1501,"&lt;"&amp;$B$2)-SUMIFS('Debtor Ledger'!$K$2:$K$3001,'Debtor Ledger'!$C$2:$C$3001,$K29,'Debtor Ledger'!$B$2:$B$3001,"&lt;"&amp;$B$2),2)))</f>
        <v/>
      </c>
      <c r="M29" s="24">
        <f>IF($K29="","",IF($B$2="","",SUMIFS('Daily Sale entry '!$S$2:$S$1501,'Daily Sale entry '!$P$2:$P$1501,$K29,'Daily Sale entry '!$Q$2:$Q$1501,"Credit Sale 赊销",'Daily Sale entry '!$O$2:$O$1501,$B$2)))</f>
        <v/>
      </c>
      <c r="N29" s="24">
        <f>IF($K29="","",IF($B$2="","",SUMIFS('Daily Sale entry '!$S$2:$S$1501,'Daily Sale entry '!$P$2:$P$1501,$K29,'Daily Sale entry '!$Q$2:$Q$1501,"Collection 收款",'Daily Sale entry '!$R$2:$R$1501,"Cash 现金",'Daily Sale entry '!$O$2:$O$1501,$B$2)))</f>
        <v/>
      </c>
      <c r="O29" s="24">
        <f>IF($K29="","",IF($B$2="","",SUMIFS('Daily Sale entry '!$S$2:$S$1501,'Daily Sale entry '!$P$2:$P$1501,$K29,'Daily Sale entry '!$Q$2:$Q$1501,"Collection 收款",'Daily Sale entry '!$R$2:$R$1501,"Cheque 支票",'Daily Sale entry '!$O$2:$O$1501,$B$2)))</f>
        <v/>
      </c>
      <c r="P29" s="24">
        <f>IF($K29="","",IF($B$2="","",SUMIFS('Daily Sale entry '!$AC$2:$AC$1501,'Daily Sale entry '!$AA$2:$AA$1501,$K29,'Daily Sale entry '!$Z$2:$Z$1501,"Online collection 网上收款",'Daily Sale entry '!$X$2:$X$1501,$B$2)))</f>
        <v/>
      </c>
      <c r="Q29" s="24">
        <f>IF($K29="","",IF($B$2="","",SUMIFS('Debtor Ledger'!$K$2:$K$3001,'Debtor Ledger'!$C$2:$C$3001,$K29,'Debtor Ledger'!$B$2:$B$3001,$B$2)))</f>
        <v/>
      </c>
      <c r="R29" s="24">
        <f>IF($K29="","",IF($B$2="","",ROUND(L29+M29-N29-O29-P29-Q29,2)))</f>
        <v/>
      </c>
      <c r="S29" s="21">
        <f>IF(K29="","",IF($B$2="","",IF(ABS(M29)+ABS(N29)+ABS(O29)+ABS(P29)+ABS(Q29)&gt;0,1,0)))</f>
        <v/>
      </c>
      <c r="T29" s="21">
        <f>IF(S29=1,SUM($S$6:S29),"")</f>
        <v/>
      </c>
    </row>
    <row r="30">
      <c r="A30">
        <f>IF($I30="","",INDEX(K$6:K$305,$I30))</f>
        <v/>
      </c>
      <c r="B30" s="6">
        <f>IF($I30="","",INDEX(L$6:L$305,$I30))</f>
        <v/>
      </c>
      <c r="C30" s="6">
        <f>IF($I30="","",INDEX(M$6:M$305,$I30))</f>
        <v/>
      </c>
      <c r="D30" s="6">
        <f>IF($I30="","",INDEX(N$6:N$305,$I30))</f>
        <v/>
      </c>
      <c r="E30" s="6">
        <f>IF($I30="","",INDEX(O$6:O$305,$I30))</f>
        <v/>
      </c>
      <c r="F30" s="6">
        <f>IF($I30="","",INDEX(P$6:P$305,$I30))</f>
        <v/>
      </c>
      <c r="G30" s="6">
        <f>IF($I30="","",INDEX(Q$6:Q$305,$I30))</f>
        <v/>
      </c>
      <c r="H30" s="6">
        <f>IF($I30="","",INDEX(R$6:R$305,$I30))</f>
        <v/>
      </c>
      <c r="I30" s="21">
        <f>IFERROR(MATCH(25,$T$6:$T$305,0),"")</f>
        <v/>
      </c>
      <c r="K30" s="21">
        <f>IF('Debtor Summary'!A29="","",'Debtor Summary'!A29)</f>
        <v/>
      </c>
      <c r="L30" s="24">
        <f>IF($K30="","",IF($B$2="","",ROUND(SUMIFS('Opening Balance'!$F$4:$F$303,'Opening Balance'!$G$4:$G$303,$K30)+SUMIFS('Daily Sale entry '!$S$2:$S$1501,'Daily Sale entry '!$P$2:$P$1501,$K30,'Daily Sale entry '!$Q$2:$Q$1501,"Credit Sale 赊销",'Daily Sale entry '!$O$2:$O$1501,"&lt;"&amp;$B$2)-SUMIFS('Daily Sale entry '!$S$2:$S$1501,'Daily Sale entry '!$P$2:$P$1501,$K30,'Daily Sale entry '!$Q$2:$Q$1501,"Collection 收款",'Daily Sale entry '!$O$2:$O$1501,"&lt;"&amp;$B$2)-SUMIFS('Daily Sale entry '!$AC$2:$AC$1501,'Daily Sale entry '!$AA$2:$AA$1501,$K30,'Daily Sale entry '!$Z$2:$Z$1501,"Online collection 网上收款",'Daily Sale entry '!$X$2:$X$1501,"&lt;"&amp;$B$2)-SUMIFS('Debtor Ledger'!$K$2:$K$3001,'Debtor Ledger'!$C$2:$C$3001,$K30,'Debtor Ledger'!$B$2:$B$3001,"&lt;"&amp;$B$2),2)))</f>
        <v/>
      </c>
      <c r="M30" s="24">
        <f>IF($K30="","",IF($B$2="","",SUMIFS('Daily Sale entry '!$S$2:$S$1501,'Daily Sale entry '!$P$2:$P$1501,$K30,'Daily Sale entry '!$Q$2:$Q$1501,"Credit Sale 赊销",'Daily Sale entry '!$O$2:$O$1501,$B$2)))</f>
        <v/>
      </c>
      <c r="N30" s="24">
        <f>IF($K30="","",IF($B$2="","",SUMIFS('Daily Sale entry '!$S$2:$S$1501,'Daily Sale entry '!$P$2:$P$1501,$K30,'Daily Sale entry '!$Q$2:$Q$1501,"Collection 收款",'Daily Sale entry '!$R$2:$R$1501,"Cash 现金",'Daily Sale entry '!$O$2:$O$1501,$B$2)))</f>
        <v/>
      </c>
      <c r="O30" s="24">
        <f>IF($K30="","",IF($B$2="","",SUMIFS('Daily Sale entry '!$S$2:$S$1501,'Daily Sale entry '!$P$2:$P$1501,$K30,'Daily Sale entry '!$Q$2:$Q$1501,"Collection 收款",'Daily Sale entry '!$R$2:$R$1501,"Cheque 支票",'Daily Sale entry '!$O$2:$O$1501,$B$2)))</f>
        <v/>
      </c>
      <c r="P30" s="24">
        <f>IF($K30="","",IF($B$2="","",SUMIFS('Daily Sale entry '!$AC$2:$AC$1501,'Daily Sale entry '!$AA$2:$AA$1501,$K30,'Daily Sale entry '!$Z$2:$Z$1501,"Online collection 网上收款",'Daily Sale entry '!$X$2:$X$1501,$B$2)))</f>
        <v/>
      </c>
      <c r="Q30" s="24">
        <f>IF($K30="","",IF($B$2="","",SUMIFS('Debtor Ledger'!$K$2:$K$3001,'Debtor Ledger'!$C$2:$C$3001,$K30,'Debtor Ledger'!$B$2:$B$3001,$B$2)))</f>
        <v/>
      </c>
      <c r="R30" s="24">
        <f>IF($K30="","",IF($B$2="","",ROUND(L30+M30-N30-O30-P30-Q30,2)))</f>
        <v/>
      </c>
      <c r="S30" s="21">
        <f>IF(K30="","",IF($B$2="","",IF(ABS(M30)+ABS(N30)+ABS(O30)+ABS(P30)+ABS(Q30)&gt;0,1,0)))</f>
        <v/>
      </c>
      <c r="T30" s="21">
        <f>IF(S30=1,SUM($S$6:S30),"")</f>
        <v/>
      </c>
    </row>
    <row r="31">
      <c r="A31">
        <f>IF($I31="","",INDEX(K$6:K$305,$I31))</f>
        <v/>
      </c>
      <c r="B31" s="6">
        <f>IF($I31="","",INDEX(L$6:L$305,$I31))</f>
        <v/>
      </c>
      <c r="C31" s="6">
        <f>IF($I31="","",INDEX(M$6:M$305,$I31))</f>
        <v/>
      </c>
      <c r="D31" s="6">
        <f>IF($I31="","",INDEX(N$6:N$305,$I31))</f>
        <v/>
      </c>
      <c r="E31" s="6">
        <f>IF($I31="","",INDEX(O$6:O$305,$I31))</f>
        <v/>
      </c>
      <c r="F31" s="6">
        <f>IF($I31="","",INDEX(P$6:P$305,$I31))</f>
        <v/>
      </c>
      <c r="G31" s="6">
        <f>IF($I31="","",INDEX(Q$6:Q$305,$I31))</f>
        <v/>
      </c>
      <c r="H31" s="6">
        <f>IF($I31="","",INDEX(R$6:R$305,$I31))</f>
        <v/>
      </c>
      <c r="I31" s="21">
        <f>IFERROR(MATCH(26,$T$6:$T$305,0),"")</f>
        <v/>
      </c>
      <c r="K31" s="21">
        <f>IF('Debtor Summary'!A30="","",'Debtor Summary'!A30)</f>
        <v/>
      </c>
      <c r="L31" s="24">
        <f>IF($K31="","",IF($B$2="","",ROUND(SUMIFS('Opening Balance'!$F$4:$F$303,'Opening Balance'!$G$4:$G$303,$K31)+SUMIFS('Daily Sale entry '!$S$2:$S$1501,'Daily Sale entry '!$P$2:$P$1501,$K31,'Daily Sale entry '!$Q$2:$Q$1501,"Credit Sale 赊销",'Daily Sale entry '!$O$2:$O$1501,"&lt;"&amp;$B$2)-SUMIFS('Daily Sale entry '!$S$2:$S$1501,'Daily Sale entry '!$P$2:$P$1501,$K31,'Daily Sale entry '!$Q$2:$Q$1501,"Collection 收款",'Daily Sale entry '!$O$2:$O$1501,"&lt;"&amp;$B$2)-SUMIFS('Daily Sale entry '!$AC$2:$AC$1501,'Daily Sale entry '!$AA$2:$AA$1501,$K31,'Daily Sale entry '!$Z$2:$Z$1501,"Online collection 网上收款",'Daily Sale entry '!$X$2:$X$1501,"&lt;"&amp;$B$2)-SUMIFS('Debtor Ledger'!$K$2:$K$3001,'Debtor Ledger'!$C$2:$C$3001,$K31,'Debtor Ledger'!$B$2:$B$3001,"&lt;"&amp;$B$2),2)))</f>
        <v/>
      </c>
      <c r="M31" s="24">
        <f>IF($K31="","",IF($B$2="","",SUMIFS('Daily Sale entry '!$S$2:$S$1501,'Daily Sale entry '!$P$2:$P$1501,$K31,'Daily Sale entry '!$Q$2:$Q$1501,"Credit Sale 赊销",'Daily Sale entry '!$O$2:$O$1501,$B$2)))</f>
        <v/>
      </c>
      <c r="N31" s="24">
        <f>IF($K31="","",IF($B$2="","",SUMIFS('Daily Sale entry '!$S$2:$S$1501,'Daily Sale entry '!$P$2:$P$1501,$K31,'Daily Sale entry '!$Q$2:$Q$1501,"Collection 收款",'Daily Sale entry '!$R$2:$R$1501,"Cash 现金",'Daily Sale entry '!$O$2:$O$1501,$B$2)))</f>
        <v/>
      </c>
      <c r="O31" s="24">
        <f>IF($K31="","",IF($B$2="","",SUMIFS('Daily Sale entry '!$S$2:$S$1501,'Daily Sale entry '!$P$2:$P$1501,$K31,'Daily Sale entry '!$Q$2:$Q$1501,"Collection 收款",'Daily Sale entry '!$R$2:$R$1501,"Cheque 支票",'Daily Sale entry '!$O$2:$O$1501,$B$2)))</f>
        <v/>
      </c>
      <c r="P31" s="24">
        <f>IF($K31="","",IF($B$2="","",SUMIFS('Daily Sale entry '!$AC$2:$AC$1501,'Daily Sale entry '!$AA$2:$AA$1501,$K31,'Daily Sale entry '!$Z$2:$Z$1501,"Online collection 网上收款",'Daily Sale entry '!$X$2:$X$1501,$B$2)))</f>
        <v/>
      </c>
      <c r="Q31" s="24">
        <f>IF($K31="","",IF($B$2="","",SUMIFS('Debtor Ledger'!$K$2:$K$3001,'Debtor Ledger'!$C$2:$C$3001,$K31,'Debtor Ledger'!$B$2:$B$3001,$B$2)))</f>
        <v/>
      </c>
      <c r="R31" s="24">
        <f>IF($K31="","",IF($B$2="","",ROUND(L31+M31-N31-O31-P31-Q31,2)))</f>
        <v/>
      </c>
      <c r="S31" s="21">
        <f>IF(K31="","",IF($B$2="","",IF(ABS(M31)+ABS(N31)+ABS(O31)+ABS(P31)+ABS(Q31)&gt;0,1,0)))</f>
        <v/>
      </c>
      <c r="T31" s="21">
        <f>IF(S31=1,SUM($S$6:S31),"")</f>
        <v/>
      </c>
    </row>
    <row r="32">
      <c r="A32">
        <f>IF($I32="","",INDEX(K$6:K$305,$I32))</f>
        <v/>
      </c>
      <c r="B32" s="6">
        <f>IF($I32="","",INDEX(L$6:L$305,$I32))</f>
        <v/>
      </c>
      <c r="C32" s="6">
        <f>IF($I32="","",INDEX(M$6:M$305,$I32))</f>
        <v/>
      </c>
      <c r="D32" s="6">
        <f>IF($I32="","",INDEX(N$6:N$305,$I32))</f>
        <v/>
      </c>
      <c r="E32" s="6">
        <f>IF($I32="","",INDEX(O$6:O$305,$I32))</f>
        <v/>
      </c>
      <c r="F32" s="6">
        <f>IF($I32="","",INDEX(P$6:P$305,$I32))</f>
        <v/>
      </c>
      <c r="G32" s="6">
        <f>IF($I32="","",INDEX(Q$6:Q$305,$I32))</f>
        <v/>
      </c>
      <c r="H32" s="6">
        <f>IF($I32="","",INDEX(R$6:R$305,$I32))</f>
        <v/>
      </c>
      <c r="I32" s="21">
        <f>IFERROR(MATCH(27,$T$6:$T$305,0),"")</f>
        <v/>
      </c>
      <c r="K32" s="21">
        <f>IF('Debtor Summary'!A31="","",'Debtor Summary'!A31)</f>
        <v/>
      </c>
      <c r="L32" s="24">
        <f>IF($K32="","",IF($B$2="","",ROUND(SUMIFS('Opening Balance'!$F$4:$F$303,'Opening Balance'!$G$4:$G$303,$K32)+SUMIFS('Daily Sale entry '!$S$2:$S$1501,'Daily Sale entry '!$P$2:$P$1501,$K32,'Daily Sale entry '!$Q$2:$Q$1501,"Credit Sale 赊销",'Daily Sale entry '!$O$2:$O$1501,"&lt;"&amp;$B$2)-SUMIFS('Daily Sale entry '!$S$2:$S$1501,'Daily Sale entry '!$P$2:$P$1501,$K32,'Daily Sale entry '!$Q$2:$Q$1501,"Collection 收款",'Daily Sale entry '!$O$2:$O$1501,"&lt;"&amp;$B$2)-SUMIFS('Daily Sale entry '!$AC$2:$AC$1501,'Daily Sale entry '!$AA$2:$AA$1501,$K32,'Daily Sale entry '!$Z$2:$Z$1501,"Online collection 网上收款",'Daily Sale entry '!$X$2:$X$1501,"&lt;"&amp;$B$2)-SUMIFS('Debtor Ledger'!$K$2:$K$3001,'Debtor Ledger'!$C$2:$C$3001,$K32,'Debtor Ledger'!$B$2:$B$3001,"&lt;"&amp;$B$2),2)))</f>
        <v/>
      </c>
      <c r="M32" s="24">
        <f>IF($K32="","",IF($B$2="","",SUMIFS('Daily Sale entry '!$S$2:$S$1501,'Daily Sale entry '!$P$2:$P$1501,$K32,'Daily Sale entry '!$Q$2:$Q$1501,"Credit Sale 赊销",'Daily Sale entry '!$O$2:$O$1501,$B$2)))</f>
        <v/>
      </c>
      <c r="N32" s="24">
        <f>IF($K32="","",IF($B$2="","",SUMIFS('Daily Sale entry '!$S$2:$S$1501,'Daily Sale entry '!$P$2:$P$1501,$K32,'Daily Sale entry '!$Q$2:$Q$1501,"Collection 收款",'Daily Sale entry '!$R$2:$R$1501,"Cash 现金",'Daily Sale entry '!$O$2:$O$1501,$B$2)))</f>
        <v/>
      </c>
      <c r="O32" s="24">
        <f>IF($K32="","",IF($B$2="","",SUMIFS('Daily Sale entry '!$S$2:$S$1501,'Daily Sale entry '!$P$2:$P$1501,$K32,'Daily Sale entry '!$Q$2:$Q$1501,"Collection 收款",'Daily Sale entry '!$R$2:$R$1501,"Cheque 支票",'Daily Sale entry '!$O$2:$O$1501,$B$2)))</f>
        <v/>
      </c>
      <c r="P32" s="24">
        <f>IF($K32="","",IF($B$2="","",SUMIFS('Daily Sale entry '!$AC$2:$AC$1501,'Daily Sale entry '!$AA$2:$AA$1501,$K32,'Daily Sale entry '!$Z$2:$Z$1501,"Online collection 网上收款",'Daily Sale entry '!$X$2:$X$1501,$B$2)))</f>
        <v/>
      </c>
      <c r="Q32" s="24">
        <f>IF($K32="","",IF($B$2="","",SUMIFS('Debtor Ledger'!$K$2:$K$3001,'Debtor Ledger'!$C$2:$C$3001,$K32,'Debtor Ledger'!$B$2:$B$3001,$B$2)))</f>
        <v/>
      </c>
      <c r="R32" s="24">
        <f>IF($K32="","",IF($B$2="","",ROUND(L32+M32-N32-O32-P32-Q32,2)))</f>
        <v/>
      </c>
      <c r="S32" s="21">
        <f>IF(K32="","",IF($B$2="","",IF(ABS(M32)+ABS(N32)+ABS(O32)+ABS(P32)+ABS(Q32)&gt;0,1,0)))</f>
        <v/>
      </c>
      <c r="T32" s="21">
        <f>IF(S32=1,SUM($S$6:S32),"")</f>
        <v/>
      </c>
    </row>
    <row r="33">
      <c r="A33">
        <f>IF($I33="","",INDEX(K$6:K$305,$I33))</f>
        <v/>
      </c>
      <c r="B33" s="6">
        <f>IF($I33="","",INDEX(L$6:L$305,$I33))</f>
        <v/>
      </c>
      <c r="C33" s="6">
        <f>IF($I33="","",INDEX(M$6:M$305,$I33))</f>
        <v/>
      </c>
      <c r="D33" s="6">
        <f>IF($I33="","",INDEX(N$6:N$305,$I33))</f>
        <v/>
      </c>
      <c r="E33" s="6">
        <f>IF($I33="","",INDEX(O$6:O$305,$I33))</f>
        <v/>
      </c>
      <c r="F33" s="6">
        <f>IF($I33="","",INDEX(P$6:P$305,$I33))</f>
        <v/>
      </c>
      <c r="G33" s="6">
        <f>IF($I33="","",INDEX(Q$6:Q$305,$I33))</f>
        <v/>
      </c>
      <c r="H33" s="6">
        <f>IF($I33="","",INDEX(R$6:R$305,$I33))</f>
        <v/>
      </c>
      <c r="I33" s="21">
        <f>IFERROR(MATCH(28,$T$6:$T$305,0),"")</f>
        <v/>
      </c>
      <c r="K33" s="21">
        <f>IF('Debtor Summary'!A32="","",'Debtor Summary'!A32)</f>
        <v/>
      </c>
      <c r="L33" s="24">
        <f>IF($K33="","",IF($B$2="","",ROUND(SUMIFS('Opening Balance'!$F$4:$F$303,'Opening Balance'!$G$4:$G$303,$K33)+SUMIFS('Daily Sale entry '!$S$2:$S$1501,'Daily Sale entry '!$P$2:$P$1501,$K33,'Daily Sale entry '!$Q$2:$Q$1501,"Credit Sale 赊销",'Daily Sale entry '!$O$2:$O$1501,"&lt;"&amp;$B$2)-SUMIFS('Daily Sale entry '!$S$2:$S$1501,'Daily Sale entry '!$P$2:$P$1501,$K33,'Daily Sale entry '!$Q$2:$Q$1501,"Collection 收款",'Daily Sale entry '!$O$2:$O$1501,"&lt;"&amp;$B$2)-SUMIFS('Daily Sale entry '!$AC$2:$AC$1501,'Daily Sale entry '!$AA$2:$AA$1501,$K33,'Daily Sale entry '!$Z$2:$Z$1501,"Online collection 网上收款",'Daily Sale entry '!$X$2:$X$1501,"&lt;"&amp;$B$2)-SUMIFS('Debtor Ledger'!$K$2:$K$3001,'Debtor Ledger'!$C$2:$C$3001,$K33,'Debtor Ledger'!$B$2:$B$3001,"&lt;"&amp;$B$2),2)))</f>
        <v/>
      </c>
      <c r="M33" s="24">
        <f>IF($K33="","",IF($B$2="","",SUMIFS('Daily Sale entry '!$S$2:$S$1501,'Daily Sale entry '!$P$2:$P$1501,$K33,'Daily Sale entry '!$Q$2:$Q$1501,"Credit Sale 赊销",'Daily Sale entry '!$O$2:$O$1501,$B$2)))</f>
        <v/>
      </c>
      <c r="N33" s="24">
        <f>IF($K33="","",IF($B$2="","",SUMIFS('Daily Sale entry '!$S$2:$S$1501,'Daily Sale entry '!$P$2:$P$1501,$K33,'Daily Sale entry '!$Q$2:$Q$1501,"Collection 收款",'Daily Sale entry '!$R$2:$R$1501,"Cash 现金",'Daily Sale entry '!$O$2:$O$1501,$B$2)))</f>
        <v/>
      </c>
      <c r="O33" s="24">
        <f>IF($K33="","",IF($B$2="","",SUMIFS('Daily Sale entry '!$S$2:$S$1501,'Daily Sale entry '!$P$2:$P$1501,$K33,'Daily Sale entry '!$Q$2:$Q$1501,"Collection 收款",'Daily Sale entry '!$R$2:$R$1501,"Cheque 支票",'Daily Sale entry '!$O$2:$O$1501,$B$2)))</f>
        <v/>
      </c>
      <c r="P33" s="24">
        <f>IF($K33="","",IF($B$2="","",SUMIFS('Daily Sale entry '!$AC$2:$AC$1501,'Daily Sale entry '!$AA$2:$AA$1501,$K33,'Daily Sale entry '!$Z$2:$Z$1501,"Online collection 网上收款",'Daily Sale entry '!$X$2:$X$1501,$B$2)))</f>
        <v/>
      </c>
      <c r="Q33" s="24">
        <f>IF($K33="","",IF($B$2="","",SUMIFS('Debtor Ledger'!$K$2:$K$3001,'Debtor Ledger'!$C$2:$C$3001,$K33,'Debtor Ledger'!$B$2:$B$3001,$B$2)))</f>
        <v/>
      </c>
      <c r="R33" s="24">
        <f>IF($K33="","",IF($B$2="","",ROUND(L33+M33-N33-O33-P33-Q33,2)))</f>
        <v/>
      </c>
      <c r="S33" s="21">
        <f>IF(K33="","",IF($B$2="","",IF(ABS(M33)+ABS(N33)+ABS(O33)+ABS(P33)+ABS(Q33)&gt;0,1,0)))</f>
        <v/>
      </c>
      <c r="T33" s="21">
        <f>IF(S33=1,SUM($S$6:S33),"")</f>
        <v/>
      </c>
    </row>
    <row r="34">
      <c r="A34">
        <f>IF($I34="","",INDEX(K$6:K$305,$I34))</f>
        <v/>
      </c>
      <c r="B34" s="6">
        <f>IF($I34="","",INDEX(L$6:L$305,$I34))</f>
        <v/>
      </c>
      <c r="C34" s="6">
        <f>IF($I34="","",INDEX(M$6:M$305,$I34))</f>
        <v/>
      </c>
      <c r="D34" s="6">
        <f>IF($I34="","",INDEX(N$6:N$305,$I34))</f>
        <v/>
      </c>
      <c r="E34" s="6">
        <f>IF($I34="","",INDEX(O$6:O$305,$I34))</f>
        <v/>
      </c>
      <c r="F34" s="6">
        <f>IF($I34="","",INDEX(P$6:P$305,$I34))</f>
        <v/>
      </c>
      <c r="G34" s="6">
        <f>IF($I34="","",INDEX(Q$6:Q$305,$I34))</f>
        <v/>
      </c>
      <c r="H34" s="6">
        <f>IF($I34="","",INDEX(R$6:R$305,$I34))</f>
        <v/>
      </c>
      <c r="I34" s="21">
        <f>IFERROR(MATCH(29,$T$6:$T$305,0),"")</f>
        <v/>
      </c>
      <c r="K34" s="21">
        <f>IF('Debtor Summary'!A33="","",'Debtor Summary'!A33)</f>
        <v/>
      </c>
      <c r="L34" s="24">
        <f>IF($K34="","",IF($B$2="","",ROUND(SUMIFS('Opening Balance'!$F$4:$F$303,'Opening Balance'!$G$4:$G$303,$K34)+SUMIFS('Daily Sale entry '!$S$2:$S$1501,'Daily Sale entry '!$P$2:$P$1501,$K34,'Daily Sale entry '!$Q$2:$Q$1501,"Credit Sale 赊销",'Daily Sale entry '!$O$2:$O$1501,"&lt;"&amp;$B$2)-SUMIFS('Daily Sale entry '!$S$2:$S$1501,'Daily Sale entry '!$P$2:$P$1501,$K34,'Daily Sale entry '!$Q$2:$Q$1501,"Collection 收款",'Daily Sale entry '!$O$2:$O$1501,"&lt;"&amp;$B$2)-SUMIFS('Daily Sale entry '!$AC$2:$AC$1501,'Daily Sale entry '!$AA$2:$AA$1501,$K34,'Daily Sale entry '!$Z$2:$Z$1501,"Online collection 网上收款",'Daily Sale entry '!$X$2:$X$1501,"&lt;"&amp;$B$2)-SUMIFS('Debtor Ledger'!$K$2:$K$3001,'Debtor Ledger'!$C$2:$C$3001,$K34,'Debtor Ledger'!$B$2:$B$3001,"&lt;"&amp;$B$2),2)))</f>
        <v/>
      </c>
      <c r="M34" s="24">
        <f>IF($K34="","",IF($B$2="","",SUMIFS('Daily Sale entry '!$S$2:$S$1501,'Daily Sale entry '!$P$2:$P$1501,$K34,'Daily Sale entry '!$Q$2:$Q$1501,"Credit Sale 赊销",'Daily Sale entry '!$O$2:$O$1501,$B$2)))</f>
        <v/>
      </c>
      <c r="N34" s="24">
        <f>IF($K34="","",IF($B$2="","",SUMIFS('Daily Sale entry '!$S$2:$S$1501,'Daily Sale entry '!$P$2:$P$1501,$K34,'Daily Sale entry '!$Q$2:$Q$1501,"Collection 收款",'Daily Sale entry '!$R$2:$R$1501,"Cash 现金",'Daily Sale entry '!$O$2:$O$1501,$B$2)))</f>
        <v/>
      </c>
      <c r="O34" s="24">
        <f>IF($K34="","",IF($B$2="","",SUMIFS('Daily Sale entry '!$S$2:$S$1501,'Daily Sale entry '!$P$2:$P$1501,$K34,'Daily Sale entry '!$Q$2:$Q$1501,"Collection 收款",'Daily Sale entry '!$R$2:$R$1501,"Cheque 支票",'Daily Sale entry '!$O$2:$O$1501,$B$2)))</f>
        <v/>
      </c>
      <c r="P34" s="24">
        <f>IF($K34="","",IF($B$2="","",SUMIFS('Daily Sale entry '!$AC$2:$AC$1501,'Daily Sale entry '!$AA$2:$AA$1501,$K34,'Daily Sale entry '!$Z$2:$Z$1501,"Online collection 网上收款",'Daily Sale entry '!$X$2:$X$1501,$B$2)))</f>
        <v/>
      </c>
      <c r="Q34" s="24">
        <f>IF($K34="","",IF($B$2="","",SUMIFS('Debtor Ledger'!$K$2:$K$3001,'Debtor Ledger'!$C$2:$C$3001,$K34,'Debtor Ledger'!$B$2:$B$3001,$B$2)))</f>
        <v/>
      </c>
      <c r="R34" s="24">
        <f>IF($K34="","",IF($B$2="","",ROUND(L34+M34-N34-O34-P34-Q34,2)))</f>
        <v/>
      </c>
      <c r="S34" s="21">
        <f>IF(K34="","",IF($B$2="","",IF(ABS(M34)+ABS(N34)+ABS(O34)+ABS(P34)+ABS(Q34)&gt;0,1,0)))</f>
        <v/>
      </c>
      <c r="T34" s="21">
        <f>IF(S34=1,SUM($S$6:S34),"")</f>
        <v/>
      </c>
    </row>
    <row r="35">
      <c r="A35">
        <f>IF($I35="","",INDEX(K$6:K$305,$I35))</f>
        <v/>
      </c>
      <c r="B35" s="6">
        <f>IF($I35="","",INDEX(L$6:L$305,$I35))</f>
        <v/>
      </c>
      <c r="C35" s="6">
        <f>IF($I35="","",INDEX(M$6:M$305,$I35))</f>
        <v/>
      </c>
      <c r="D35" s="6">
        <f>IF($I35="","",INDEX(N$6:N$305,$I35))</f>
        <v/>
      </c>
      <c r="E35" s="6">
        <f>IF($I35="","",INDEX(O$6:O$305,$I35))</f>
        <v/>
      </c>
      <c r="F35" s="6">
        <f>IF($I35="","",INDEX(P$6:P$305,$I35))</f>
        <v/>
      </c>
      <c r="G35" s="6">
        <f>IF($I35="","",INDEX(Q$6:Q$305,$I35))</f>
        <v/>
      </c>
      <c r="H35" s="6">
        <f>IF($I35="","",INDEX(R$6:R$305,$I35))</f>
        <v/>
      </c>
      <c r="I35" s="21">
        <f>IFERROR(MATCH(30,$T$6:$T$305,0),"")</f>
        <v/>
      </c>
      <c r="K35" s="21">
        <f>IF('Debtor Summary'!A34="","",'Debtor Summary'!A34)</f>
        <v/>
      </c>
      <c r="L35" s="24">
        <f>IF($K35="","",IF($B$2="","",ROUND(SUMIFS('Opening Balance'!$F$4:$F$303,'Opening Balance'!$G$4:$G$303,$K35)+SUMIFS('Daily Sale entry '!$S$2:$S$1501,'Daily Sale entry '!$P$2:$P$1501,$K35,'Daily Sale entry '!$Q$2:$Q$1501,"Credit Sale 赊销",'Daily Sale entry '!$O$2:$O$1501,"&lt;"&amp;$B$2)-SUMIFS('Daily Sale entry '!$S$2:$S$1501,'Daily Sale entry '!$P$2:$P$1501,$K35,'Daily Sale entry '!$Q$2:$Q$1501,"Collection 收款",'Daily Sale entry '!$O$2:$O$1501,"&lt;"&amp;$B$2)-SUMIFS('Daily Sale entry '!$AC$2:$AC$1501,'Daily Sale entry '!$AA$2:$AA$1501,$K35,'Daily Sale entry '!$Z$2:$Z$1501,"Online collection 网上收款",'Daily Sale entry '!$X$2:$X$1501,"&lt;"&amp;$B$2)-SUMIFS('Debtor Ledger'!$K$2:$K$3001,'Debtor Ledger'!$C$2:$C$3001,$K35,'Debtor Ledger'!$B$2:$B$3001,"&lt;"&amp;$B$2),2)))</f>
        <v/>
      </c>
      <c r="M35" s="24">
        <f>IF($K35="","",IF($B$2="","",SUMIFS('Daily Sale entry '!$S$2:$S$1501,'Daily Sale entry '!$P$2:$P$1501,$K35,'Daily Sale entry '!$Q$2:$Q$1501,"Credit Sale 赊销",'Daily Sale entry '!$O$2:$O$1501,$B$2)))</f>
        <v/>
      </c>
      <c r="N35" s="24">
        <f>IF($K35="","",IF($B$2="","",SUMIFS('Daily Sale entry '!$S$2:$S$1501,'Daily Sale entry '!$P$2:$P$1501,$K35,'Daily Sale entry '!$Q$2:$Q$1501,"Collection 收款",'Daily Sale entry '!$R$2:$R$1501,"Cash 现金",'Daily Sale entry '!$O$2:$O$1501,$B$2)))</f>
        <v/>
      </c>
      <c r="O35" s="24">
        <f>IF($K35="","",IF($B$2="","",SUMIFS('Daily Sale entry '!$S$2:$S$1501,'Daily Sale entry '!$P$2:$P$1501,$K35,'Daily Sale entry '!$Q$2:$Q$1501,"Collection 收款",'Daily Sale entry '!$R$2:$R$1501,"Cheque 支票",'Daily Sale entry '!$O$2:$O$1501,$B$2)))</f>
        <v/>
      </c>
      <c r="P35" s="24">
        <f>IF($K35="","",IF($B$2="","",SUMIFS('Daily Sale entry '!$AC$2:$AC$1501,'Daily Sale entry '!$AA$2:$AA$1501,$K35,'Daily Sale entry '!$Z$2:$Z$1501,"Online collection 网上收款",'Daily Sale entry '!$X$2:$X$1501,$B$2)))</f>
        <v/>
      </c>
      <c r="Q35" s="24">
        <f>IF($K35="","",IF($B$2="","",SUMIFS('Debtor Ledger'!$K$2:$K$3001,'Debtor Ledger'!$C$2:$C$3001,$K35,'Debtor Ledger'!$B$2:$B$3001,$B$2)))</f>
        <v/>
      </c>
      <c r="R35" s="24">
        <f>IF($K35="","",IF($B$2="","",ROUND(L35+M35-N35-O35-P35-Q35,2)))</f>
        <v/>
      </c>
      <c r="S35" s="21">
        <f>IF(K35="","",IF($B$2="","",IF(ABS(M35)+ABS(N35)+ABS(O35)+ABS(P35)+ABS(Q35)&gt;0,1,0)))</f>
        <v/>
      </c>
      <c r="T35" s="21">
        <f>IF(S35=1,SUM($S$6:S35),"")</f>
        <v/>
      </c>
    </row>
    <row r="36">
      <c r="A36">
        <f>IF($I36="","",INDEX(K$6:K$305,$I36))</f>
        <v/>
      </c>
      <c r="B36" s="6">
        <f>IF($I36="","",INDEX(L$6:L$305,$I36))</f>
        <v/>
      </c>
      <c r="C36" s="6">
        <f>IF($I36="","",INDEX(M$6:M$305,$I36))</f>
        <v/>
      </c>
      <c r="D36" s="6">
        <f>IF($I36="","",INDEX(N$6:N$305,$I36))</f>
        <v/>
      </c>
      <c r="E36" s="6">
        <f>IF($I36="","",INDEX(O$6:O$305,$I36))</f>
        <v/>
      </c>
      <c r="F36" s="6">
        <f>IF($I36="","",INDEX(P$6:P$305,$I36))</f>
        <v/>
      </c>
      <c r="G36" s="6">
        <f>IF($I36="","",INDEX(Q$6:Q$305,$I36))</f>
        <v/>
      </c>
      <c r="H36" s="6">
        <f>IF($I36="","",INDEX(R$6:R$305,$I36))</f>
        <v/>
      </c>
      <c r="I36" s="21">
        <f>IFERROR(MATCH(31,$T$6:$T$305,0),"")</f>
        <v/>
      </c>
      <c r="K36" s="21">
        <f>IF('Debtor Summary'!A35="","",'Debtor Summary'!A35)</f>
        <v/>
      </c>
      <c r="L36" s="24">
        <f>IF($K36="","",IF($B$2="","",ROUND(SUMIFS('Opening Balance'!$F$4:$F$303,'Opening Balance'!$G$4:$G$303,$K36)+SUMIFS('Daily Sale entry '!$S$2:$S$1501,'Daily Sale entry '!$P$2:$P$1501,$K36,'Daily Sale entry '!$Q$2:$Q$1501,"Credit Sale 赊销",'Daily Sale entry '!$O$2:$O$1501,"&lt;"&amp;$B$2)-SUMIFS('Daily Sale entry '!$S$2:$S$1501,'Daily Sale entry '!$P$2:$P$1501,$K36,'Daily Sale entry '!$Q$2:$Q$1501,"Collection 收款",'Daily Sale entry '!$O$2:$O$1501,"&lt;"&amp;$B$2)-SUMIFS('Daily Sale entry '!$AC$2:$AC$1501,'Daily Sale entry '!$AA$2:$AA$1501,$K36,'Daily Sale entry '!$Z$2:$Z$1501,"Online collection 网上收款",'Daily Sale entry '!$X$2:$X$1501,"&lt;"&amp;$B$2)-SUMIFS('Debtor Ledger'!$K$2:$K$3001,'Debtor Ledger'!$C$2:$C$3001,$K36,'Debtor Ledger'!$B$2:$B$3001,"&lt;"&amp;$B$2),2)))</f>
        <v/>
      </c>
      <c r="M36" s="24">
        <f>IF($K36="","",IF($B$2="","",SUMIFS('Daily Sale entry '!$S$2:$S$1501,'Daily Sale entry '!$P$2:$P$1501,$K36,'Daily Sale entry '!$Q$2:$Q$1501,"Credit Sale 赊销",'Daily Sale entry '!$O$2:$O$1501,$B$2)))</f>
        <v/>
      </c>
      <c r="N36" s="24">
        <f>IF($K36="","",IF($B$2="","",SUMIFS('Daily Sale entry '!$S$2:$S$1501,'Daily Sale entry '!$P$2:$P$1501,$K36,'Daily Sale entry '!$Q$2:$Q$1501,"Collection 收款",'Daily Sale entry '!$R$2:$R$1501,"Cash 现金",'Daily Sale entry '!$O$2:$O$1501,$B$2)))</f>
        <v/>
      </c>
      <c r="O36" s="24">
        <f>IF($K36="","",IF($B$2="","",SUMIFS('Daily Sale entry '!$S$2:$S$1501,'Daily Sale entry '!$P$2:$P$1501,$K36,'Daily Sale entry '!$Q$2:$Q$1501,"Collection 收款",'Daily Sale entry '!$R$2:$R$1501,"Cheque 支票",'Daily Sale entry '!$O$2:$O$1501,$B$2)))</f>
        <v/>
      </c>
      <c r="P36" s="24">
        <f>IF($K36="","",IF($B$2="","",SUMIFS('Daily Sale entry '!$AC$2:$AC$1501,'Daily Sale entry '!$AA$2:$AA$1501,$K36,'Daily Sale entry '!$Z$2:$Z$1501,"Online collection 网上收款",'Daily Sale entry '!$X$2:$X$1501,$B$2)))</f>
        <v/>
      </c>
      <c r="Q36" s="24">
        <f>IF($K36="","",IF($B$2="","",SUMIFS('Debtor Ledger'!$K$2:$K$3001,'Debtor Ledger'!$C$2:$C$3001,$K36,'Debtor Ledger'!$B$2:$B$3001,$B$2)))</f>
        <v/>
      </c>
      <c r="R36" s="24">
        <f>IF($K36="","",IF($B$2="","",ROUND(L36+M36-N36-O36-P36-Q36,2)))</f>
        <v/>
      </c>
      <c r="S36" s="21">
        <f>IF(K36="","",IF($B$2="","",IF(ABS(M36)+ABS(N36)+ABS(O36)+ABS(P36)+ABS(Q36)&gt;0,1,0)))</f>
        <v/>
      </c>
      <c r="T36" s="21">
        <f>IF(S36=1,SUM($S$6:S36),"")</f>
        <v/>
      </c>
    </row>
    <row r="37">
      <c r="A37">
        <f>IF($I37="","",INDEX(K$6:K$305,$I37))</f>
        <v/>
      </c>
      <c r="B37" s="6">
        <f>IF($I37="","",INDEX(L$6:L$305,$I37))</f>
        <v/>
      </c>
      <c r="C37" s="6">
        <f>IF($I37="","",INDEX(M$6:M$305,$I37))</f>
        <v/>
      </c>
      <c r="D37" s="6">
        <f>IF($I37="","",INDEX(N$6:N$305,$I37))</f>
        <v/>
      </c>
      <c r="E37" s="6">
        <f>IF($I37="","",INDEX(O$6:O$305,$I37))</f>
        <v/>
      </c>
      <c r="F37" s="6">
        <f>IF($I37="","",INDEX(P$6:P$305,$I37))</f>
        <v/>
      </c>
      <c r="G37" s="6">
        <f>IF($I37="","",INDEX(Q$6:Q$305,$I37))</f>
        <v/>
      </c>
      <c r="H37" s="6">
        <f>IF($I37="","",INDEX(R$6:R$305,$I37))</f>
        <v/>
      </c>
      <c r="I37" s="21">
        <f>IFERROR(MATCH(32,$T$6:$T$305,0),"")</f>
        <v/>
      </c>
      <c r="K37" s="21">
        <f>IF('Debtor Summary'!A36="","",'Debtor Summary'!A36)</f>
        <v/>
      </c>
      <c r="L37" s="24">
        <f>IF($K37="","",IF($B$2="","",ROUND(SUMIFS('Opening Balance'!$F$4:$F$303,'Opening Balance'!$G$4:$G$303,$K37)+SUMIFS('Daily Sale entry '!$S$2:$S$1501,'Daily Sale entry '!$P$2:$P$1501,$K37,'Daily Sale entry '!$Q$2:$Q$1501,"Credit Sale 赊销",'Daily Sale entry '!$O$2:$O$1501,"&lt;"&amp;$B$2)-SUMIFS('Daily Sale entry '!$S$2:$S$1501,'Daily Sale entry '!$P$2:$P$1501,$K37,'Daily Sale entry '!$Q$2:$Q$1501,"Collection 收款",'Daily Sale entry '!$O$2:$O$1501,"&lt;"&amp;$B$2)-SUMIFS('Daily Sale entry '!$AC$2:$AC$1501,'Daily Sale entry '!$AA$2:$AA$1501,$K37,'Daily Sale entry '!$Z$2:$Z$1501,"Online collection 网上收款",'Daily Sale entry '!$X$2:$X$1501,"&lt;"&amp;$B$2)-SUMIFS('Debtor Ledger'!$K$2:$K$3001,'Debtor Ledger'!$C$2:$C$3001,$K37,'Debtor Ledger'!$B$2:$B$3001,"&lt;"&amp;$B$2),2)))</f>
        <v/>
      </c>
      <c r="M37" s="24">
        <f>IF($K37="","",IF($B$2="","",SUMIFS('Daily Sale entry '!$S$2:$S$1501,'Daily Sale entry '!$P$2:$P$1501,$K37,'Daily Sale entry '!$Q$2:$Q$1501,"Credit Sale 赊销",'Daily Sale entry '!$O$2:$O$1501,$B$2)))</f>
        <v/>
      </c>
      <c r="N37" s="24">
        <f>IF($K37="","",IF($B$2="","",SUMIFS('Daily Sale entry '!$S$2:$S$1501,'Daily Sale entry '!$P$2:$P$1501,$K37,'Daily Sale entry '!$Q$2:$Q$1501,"Collection 收款",'Daily Sale entry '!$R$2:$R$1501,"Cash 现金",'Daily Sale entry '!$O$2:$O$1501,$B$2)))</f>
        <v/>
      </c>
      <c r="O37" s="24">
        <f>IF($K37="","",IF($B$2="","",SUMIFS('Daily Sale entry '!$S$2:$S$1501,'Daily Sale entry '!$P$2:$P$1501,$K37,'Daily Sale entry '!$Q$2:$Q$1501,"Collection 收款",'Daily Sale entry '!$R$2:$R$1501,"Cheque 支票",'Daily Sale entry '!$O$2:$O$1501,$B$2)))</f>
        <v/>
      </c>
      <c r="P37" s="24">
        <f>IF($K37="","",IF($B$2="","",SUMIFS('Daily Sale entry '!$AC$2:$AC$1501,'Daily Sale entry '!$AA$2:$AA$1501,$K37,'Daily Sale entry '!$Z$2:$Z$1501,"Online collection 网上收款",'Daily Sale entry '!$X$2:$X$1501,$B$2)))</f>
        <v/>
      </c>
      <c r="Q37" s="24">
        <f>IF($K37="","",IF($B$2="","",SUMIFS('Debtor Ledger'!$K$2:$K$3001,'Debtor Ledger'!$C$2:$C$3001,$K37,'Debtor Ledger'!$B$2:$B$3001,$B$2)))</f>
        <v/>
      </c>
      <c r="R37" s="24">
        <f>IF($K37="","",IF($B$2="","",ROUND(L37+M37-N37-O37-P37-Q37,2)))</f>
        <v/>
      </c>
      <c r="S37" s="21">
        <f>IF(K37="","",IF($B$2="","",IF(ABS(M37)+ABS(N37)+ABS(O37)+ABS(P37)+ABS(Q37)&gt;0,1,0)))</f>
        <v/>
      </c>
      <c r="T37" s="21">
        <f>IF(S37=1,SUM($S$6:S37),"")</f>
        <v/>
      </c>
    </row>
    <row r="38">
      <c r="A38">
        <f>IF($I38="","",INDEX(K$6:K$305,$I38))</f>
        <v/>
      </c>
      <c r="B38" s="6">
        <f>IF($I38="","",INDEX(L$6:L$305,$I38))</f>
        <v/>
      </c>
      <c r="C38" s="6">
        <f>IF($I38="","",INDEX(M$6:M$305,$I38))</f>
        <v/>
      </c>
      <c r="D38" s="6">
        <f>IF($I38="","",INDEX(N$6:N$305,$I38))</f>
        <v/>
      </c>
      <c r="E38" s="6">
        <f>IF($I38="","",INDEX(O$6:O$305,$I38))</f>
        <v/>
      </c>
      <c r="F38" s="6">
        <f>IF($I38="","",INDEX(P$6:P$305,$I38))</f>
        <v/>
      </c>
      <c r="G38" s="6">
        <f>IF($I38="","",INDEX(Q$6:Q$305,$I38))</f>
        <v/>
      </c>
      <c r="H38" s="6">
        <f>IF($I38="","",INDEX(R$6:R$305,$I38))</f>
        <v/>
      </c>
      <c r="I38" s="21">
        <f>IFERROR(MATCH(33,$T$6:$T$305,0),"")</f>
        <v/>
      </c>
      <c r="K38" s="21">
        <f>IF('Debtor Summary'!A37="","",'Debtor Summary'!A37)</f>
        <v/>
      </c>
      <c r="L38" s="24">
        <f>IF($K38="","",IF($B$2="","",ROUND(SUMIFS('Opening Balance'!$F$4:$F$303,'Opening Balance'!$G$4:$G$303,$K38)+SUMIFS('Daily Sale entry '!$S$2:$S$1501,'Daily Sale entry '!$P$2:$P$1501,$K38,'Daily Sale entry '!$Q$2:$Q$1501,"Credit Sale 赊销",'Daily Sale entry '!$O$2:$O$1501,"&lt;"&amp;$B$2)-SUMIFS('Daily Sale entry '!$S$2:$S$1501,'Daily Sale entry '!$P$2:$P$1501,$K38,'Daily Sale entry '!$Q$2:$Q$1501,"Collection 收款",'Daily Sale entry '!$O$2:$O$1501,"&lt;"&amp;$B$2)-SUMIFS('Daily Sale entry '!$AC$2:$AC$1501,'Daily Sale entry '!$AA$2:$AA$1501,$K38,'Daily Sale entry '!$Z$2:$Z$1501,"Online collection 网上收款",'Daily Sale entry '!$X$2:$X$1501,"&lt;"&amp;$B$2)-SUMIFS('Debtor Ledger'!$K$2:$K$3001,'Debtor Ledger'!$C$2:$C$3001,$K38,'Debtor Ledger'!$B$2:$B$3001,"&lt;"&amp;$B$2),2)))</f>
        <v/>
      </c>
      <c r="M38" s="24">
        <f>IF($K38="","",IF($B$2="","",SUMIFS('Daily Sale entry '!$S$2:$S$1501,'Daily Sale entry '!$P$2:$P$1501,$K38,'Daily Sale entry '!$Q$2:$Q$1501,"Credit Sale 赊销",'Daily Sale entry '!$O$2:$O$1501,$B$2)))</f>
        <v/>
      </c>
      <c r="N38" s="24">
        <f>IF($K38="","",IF($B$2="","",SUMIFS('Daily Sale entry '!$S$2:$S$1501,'Daily Sale entry '!$P$2:$P$1501,$K38,'Daily Sale entry '!$Q$2:$Q$1501,"Collection 收款",'Daily Sale entry '!$R$2:$R$1501,"Cash 现金",'Daily Sale entry '!$O$2:$O$1501,$B$2)))</f>
        <v/>
      </c>
      <c r="O38" s="24">
        <f>IF($K38="","",IF($B$2="","",SUMIFS('Daily Sale entry '!$S$2:$S$1501,'Daily Sale entry '!$P$2:$P$1501,$K38,'Daily Sale entry '!$Q$2:$Q$1501,"Collection 收款",'Daily Sale entry '!$R$2:$R$1501,"Cheque 支票",'Daily Sale entry '!$O$2:$O$1501,$B$2)))</f>
        <v/>
      </c>
      <c r="P38" s="24">
        <f>IF($K38="","",IF($B$2="","",SUMIFS('Daily Sale entry '!$AC$2:$AC$1501,'Daily Sale entry '!$AA$2:$AA$1501,$K38,'Daily Sale entry '!$Z$2:$Z$1501,"Online collection 网上收款",'Daily Sale entry '!$X$2:$X$1501,$B$2)))</f>
        <v/>
      </c>
      <c r="Q38" s="24">
        <f>IF($K38="","",IF($B$2="","",SUMIFS('Debtor Ledger'!$K$2:$K$3001,'Debtor Ledger'!$C$2:$C$3001,$K38,'Debtor Ledger'!$B$2:$B$3001,$B$2)))</f>
        <v/>
      </c>
      <c r="R38" s="24">
        <f>IF($K38="","",IF($B$2="","",ROUND(L38+M38-N38-O38-P38-Q38,2)))</f>
        <v/>
      </c>
      <c r="S38" s="21">
        <f>IF(K38="","",IF($B$2="","",IF(ABS(M38)+ABS(N38)+ABS(O38)+ABS(P38)+ABS(Q38)&gt;0,1,0)))</f>
        <v/>
      </c>
      <c r="T38" s="21">
        <f>IF(S38=1,SUM($S$6:S38),"")</f>
        <v/>
      </c>
    </row>
    <row r="39">
      <c r="A39">
        <f>IF($I39="","",INDEX(K$6:K$305,$I39))</f>
        <v/>
      </c>
      <c r="B39" s="6">
        <f>IF($I39="","",INDEX(L$6:L$305,$I39))</f>
        <v/>
      </c>
      <c r="C39" s="6">
        <f>IF($I39="","",INDEX(M$6:M$305,$I39))</f>
        <v/>
      </c>
      <c r="D39" s="6">
        <f>IF($I39="","",INDEX(N$6:N$305,$I39))</f>
        <v/>
      </c>
      <c r="E39" s="6">
        <f>IF($I39="","",INDEX(O$6:O$305,$I39))</f>
        <v/>
      </c>
      <c r="F39" s="6">
        <f>IF($I39="","",INDEX(P$6:P$305,$I39))</f>
        <v/>
      </c>
      <c r="G39" s="6">
        <f>IF($I39="","",INDEX(Q$6:Q$305,$I39))</f>
        <v/>
      </c>
      <c r="H39" s="6">
        <f>IF($I39="","",INDEX(R$6:R$305,$I39))</f>
        <v/>
      </c>
      <c r="I39" s="21">
        <f>IFERROR(MATCH(34,$T$6:$T$305,0),"")</f>
        <v/>
      </c>
      <c r="K39" s="21">
        <f>IF('Debtor Summary'!A38="","",'Debtor Summary'!A38)</f>
        <v/>
      </c>
      <c r="L39" s="24">
        <f>IF($K39="","",IF($B$2="","",ROUND(SUMIFS('Opening Balance'!$F$4:$F$303,'Opening Balance'!$G$4:$G$303,$K39)+SUMIFS('Daily Sale entry '!$S$2:$S$1501,'Daily Sale entry '!$P$2:$P$1501,$K39,'Daily Sale entry '!$Q$2:$Q$1501,"Credit Sale 赊销",'Daily Sale entry '!$O$2:$O$1501,"&lt;"&amp;$B$2)-SUMIFS('Daily Sale entry '!$S$2:$S$1501,'Daily Sale entry '!$P$2:$P$1501,$K39,'Daily Sale entry '!$Q$2:$Q$1501,"Collection 收款",'Daily Sale entry '!$O$2:$O$1501,"&lt;"&amp;$B$2)-SUMIFS('Daily Sale entry '!$AC$2:$AC$1501,'Daily Sale entry '!$AA$2:$AA$1501,$K39,'Daily Sale entry '!$Z$2:$Z$1501,"Online collection 网上收款",'Daily Sale entry '!$X$2:$X$1501,"&lt;"&amp;$B$2)-SUMIFS('Debtor Ledger'!$K$2:$K$3001,'Debtor Ledger'!$C$2:$C$3001,$K39,'Debtor Ledger'!$B$2:$B$3001,"&lt;"&amp;$B$2),2)))</f>
        <v/>
      </c>
      <c r="M39" s="24">
        <f>IF($K39="","",IF($B$2="","",SUMIFS('Daily Sale entry '!$S$2:$S$1501,'Daily Sale entry '!$P$2:$P$1501,$K39,'Daily Sale entry '!$Q$2:$Q$1501,"Credit Sale 赊销",'Daily Sale entry '!$O$2:$O$1501,$B$2)))</f>
        <v/>
      </c>
      <c r="N39" s="24">
        <f>IF($K39="","",IF($B$2="","",SUMIFS('Daily Sale entry '!$S$2:$S$1501,'Daily Sale entry '!$P$2:$P$1501,$K39,'Daily Sale entry '!$Q$2:$Q$1501,"Collection 收款",'Daily Sale entry '!$R$2:$R$1501,"Cash 现金",'Daily Sale entry '!$O$2:$O$1501,$B$2)))</f>
        <v/>
      </c>
      <c r="O39" s="24">
        <f>IF($K39="","",IF($B$2="","",SUMIFS('Daily Sale entry '!$S$2:$S$1501,'Daily Sale entry '!$P$2:$P$1501,$K39,'Daily Sale entry '!$Q$2:$Q$1501,"Collection 收款",'Daily Sale entry '!$R$2:$R$1501,"Cheque 支票",'Daily Sale entry '!$O$2:$O$1501,$B$2)))</f>
        <v/>
      </c>
      <c r="P39" s="24">
        <f>IF($K39="","",IF($B$2="","",SUMIFS('Daily Sale entry '!$AC$2:$AC$1501,'Daily Sale entry '!$AA$2:$AA$1501,$K39,'Daily Sale entry '!$Z$2:$Z$1501,"Online collection 网上收款",'Daily Sale entry '!$X$2:$X$1501,$B$2)))</f>
        <v/>
      </c>
      <c r="Q39" s="24">
        <f>IF($K39="","",IF($B$2="","",SUMIFS('Debtor Ledger'!$K$2:$K$3001,'Debtor Ledger'!$C$2:$C$3001,$K39,'Debtor Ledger'!$B$2:$B$3001,$B$2)))</f>
        <v/>
      </c>
      <c r="R39" s="24">
        <f>IF($K39="","",IF($B$2="","",ROUND(L39+M39-N39-O39-P39-Q39,2)))</f>
        <v/>
      </c>
      <c r="S39" s="21">
        <f>IF(K39="","",IF($B$2="","",IF(ABS(M39)+ABS(N39)+ABS(O39)+ABS(P39)+ABS(Q39)&gt;0,1,0)))</f>
        <v/>
      </c>
      <c r="T39" s="21">
        <f>IF(S39=1,SUM($S$6:S39),"")</f>
        <v/>
      </c>
    </row>
    <row r="40">
      <c r="A40">
        <f>IF($I40="","",INDEX(K$6:K$305,$I40))</f>
        <v/>
      </c>
      <c r="B40" s="6">
        <f>IF($I40="","",INDEX(L$6:L$305,$I40))</f>
        <v/>
      </c>
      <c r="C40" s="6">
        <f>IF($I40="","",INDEX(M$6:M$305,$I40))</f>
        <v/>
      </c>
      <c r="D40" s="6">
        <f>IF($I40="","",INDEX(N$6:N$305,$I40))</f>
        <v/>
      </c>
      <c r="E40" s="6">
        <f>IF($I40="","",INDEX(O$6:O$305,$I40))</f>
        <v/>
      </c>
      <c r="F40" s="6">
        <f>IF($I40="","",INDEX(P$6:P$305,$I40))</f>
        <v/>
      </c>
      <c r="G40" s="6">
        <f>IF($I40="","",INDEX(Q$6:Q$305,$I40))</f>
        <v/>
      </c>
      <c r="H40" s="6">
        <f>IF($I40="","",INDEX(R$6:R$305,$I40))</f>
        <v/>
      </c>
      <c r="I40" s="21">
        <f>IFERROR(MATCH(35,$T$6:$T$305,0),"")</f>
        <v/>
      </c>
      <c r="K40" s="21">
        <f>IF('Debtor Summary'!A39="","",'Debtor Summary'!A39)</f>
        <v/>
      </c>
      <c r="L40" s="24">
        <f>IF($K40="","",IF($B$2="","",ROUND(SUMIFS('Opening Balance'!$F$4:$F$303,'Opening Balance'!$G$4:$G$303,$K40)+SUMIFS('Daily Sale entry '!$S$2:$S$1501,'Daily Sale entry '!$P$2:$P$1501,$K40,'Daily Sale entry '!$Q$2:$Q$1501,"Credit Sale 赊销",'Daily Sale entry '!$O$2:$O$1501,"&lt;"&amp;$B$2)-SUMIFS('Daily Sale entry '!$S$2:$S$1501,'Daily Sale entry '!$P$2:$P$1501,$K40,'Daily Sale entry '!$Q$2:$Q$1501,"Collection 收款",'Daily Sale entry '!$O$2:$O$1501,"&lt;"&amp;$B$2)-SUMIFS('Daily Sale entry '!$AC$2:$AC$1501,'Daily Sale entry '!$AA$2:$AA$1501,$K40,'Daily Sale entry '!$Z$2:$Z$1501,"Online collection 网上收款",'Daily Sale entry '!$X$2:$X$1501,"&lt;"&amp;$B$2)-SUMIFS('Debtor Ledger'!$K$2:$K$3001,'Debtor Ledger'!$C$2:$C$3001,$K40,'Debtor Ledger'!$B$2:$B$3001,"&lt;"&amp;$B$2),2)))</f>
        <v/>
      </c>
      <c r="M40" s="24">
        <f>IF($K40="","",IF($B$2="","",SUMIFS('Daily Sale entry '!$S$2:$S$1501,'Daily Sale entry '!$P$2:$P$1501,$K40,'Daily Sale entry '!$Q$2:$Q$1501,"Credit Sale 赊销",'Daily Sale entry '!$O$2:$O$1501,$B$2)))</f>
        <v/>
      </c>
      <c r="N40" s="24">
        <f>IF($K40="","",IF($B$2="","",SUMIFS('Daily Sale entry '!$S$2:$S$1501,'Daily Sale entry '!$P$2:$P$1501,$K40,'Daily Sale entry '!$Q$2:$Q$1501,"Collection 收款",'Daily Sale entry '!$R$2:$R$1501,"Cash 现金",'Daily Sale entry '!$O$2:$O$1501,$B$2)))</f>
        <v/>
      </c>
      <c r="O40" s="24">
        <f>IF($K40="","",IF($B$2="","",SUMIFS('Daily Sale entry '!$S$2:$S$1501,'Daily Sale entry '!$P$2:$P$1501,$K40,'Daily Sale entry '!$Q$2:$Q$1501,"Collection 收款",'Daily Sale entry '!$R$2:$R$1501,"Cheque 支票",'Daily Sale entry '!$O$2:$O$1501,$B$2)))</f>
        <v/>
      </c>
      <c r="P40" s="24">
        <f>IF($K40="","",IF($B$2="","",SUMIFS('Daily Sale entry '!$AC$2:$AC$1501,'Daily Sale entry '!$AA$2:$AA$1501,$K40,'Daily Sale entry '!$Z$2:$Z$1501,"Online collection 网上收款",'Daily Sale entry '!$X$2:$X$1501,$B$2)))</f>
        <v/>
      </c>
      <c r="Q40" s="24">
        <f>IF($K40="","",IF($B$2="","",SUMIFS('Debtor Ledger'!$K$2:$K$3001,'Debtor Ledger'!$C$2:$C$3001,$K40,'Debtor Ledger'!$B$2:$B$3001,$B$2)))</f>
        <v/>
      </c>
      <c r="R40" s="24">
        <f>IF($K40="","",IF($B$2="","",ROUND(L40+M40-N40-O40-P40-Q40,2)))</f>
        <v/>
      </c>
      <c r="S40" s="21">
        <f>IF(K40="","",IF($B$2="","",IF(ABS(M40)+ABS(N40)+ABS(O40)+ABS(P40)+ABS(Q40)&gt;0,1,0)))</f>
        <v/>
      </c>
      <c r="T40" s="21">
        <f>IF(S40=1,SUM($S$6:S40),"")</f>
        <v/>
      </c>
    </row>
    <row r="41">
      <c r="A41">
        <f>IF($I41="","",INDEX(K$6:K$305,$I41))</f>
        <v/>
      </c>
      <c r="B41" s="6">
        <f>IF($I41="","",INDEX(L$6:L$305,$I41))</f>
        <v/>
      </c>
      <c r="C41" s="6">
        <f>IF($I41="","",INDEX(M$6:M$305,$I41))</f>
        <v/>
      </c>
      <c r="D41" s="6">
        <f>IF($I41="","",INDEX(N$6:N$305,$I41))</f>
        <v/>
      </c>
      <c r="E41" s="6">
        <f>IF($I41="","",INDEX(O$6:O$305,$I41))</f>
        <v/>
      </c>
      <c r="F41" s="6">
        <f>IF($I41="","",INDEX(P$6:P$305,$I41))</f>
        <v/>
      </c>
      <c r="G41" s="6">
        <f>IF($I41="","",INDEX(Q$6:Q$305,$I41))</f>
        <v/>
      </c>
      <c r="H41" s="6">
        <f>IF($I41="","",INDEX(R$6:R$305,$I41))</f>
        <v/>
      </c>
      <c r="I41" s="21">
        <f>IFERROR(MATCH(36,$T$6:$T$305,0),"")</f>
        <v/>
      </c>
      <c r="K41" s="21">
        <f>IF('Debtor Summary'!A40="","",'Debtor Summary'!A40)</f>
        <v/>
      </c>
      <c r="L41" s="24">
        <f>IF($K41="","",IF($B$2="","",ROUND(SUMIFS('Opening Balance'!$F$4:$F$303,'Opening Balance'!$G$4:$G$303,$K41)+SUMIFS('Daily Sale entry '!$S$2:$S$1501,'Daily Sale entry '!$P$2:$P$1501,$K41,'Daily Sale entry '!$Q$2:$Q$1501,"Credit Sale 赊销",'Daily Sale entry '!$O$2:$O$1501,"&lt;"&amp;$B$2)-SUMIFS('Daily Sale entry '!$S$2:$S$1501,'Daily Sale entry '!$P$2:$P$1501,$K41,'Daily Sale entry '!$Q$2:$Q$1501,"Collection 收款",'Daily Sale entry '!$O$2:$O$1501,"&lt;"&amp;$B$2)-SUMIFS('Daily Sale entry '!$AC$2:$AC$1501,'Daily Sale entry '!$AA$2:$AA$1501,$K41,'Daily Sale entry '!$Z$2:$Z$1501,"Online collection 网上收款",'Daily Sale entry '!$X$2:$X$1501,"&lt;"&amp;$B$2)-SUMIFS('Debtor Ledger'!$K$2:$K$3001,'Debtor Ledger'!$C$2:$C$3001,$K41,'Debtor Ledger'!$B$2:$B$3001,"&lt;"&amp;$B$2),2)))</f>
        <v/>
      </c>
      <c r="M41" s="24">
        <f>IF($K41="","",IF($B$2="","",SUMIFS('Daily Sale entry '!$S$2:$S$1501,'Daily Sale entry '!$P$2:$P$1501,$K41,'Daily Sale entry '!$Q$2:$Q$1501,"Credit Sale 赊销",'Daily Sale entry '!$O$2:$O$1501,$B$2)))</f>
        <v/>
      </c>
      <c r="N41" s="24">
        <f>IF($K41="","",IF($B$2="","",SUMIFS('Daily Sale entry '!$S$2:$S$1501,'Daily Sale entry '!$P$2:$P$1501,$K41,'Daily Sale entry '!$Q$2:$Q$1501,"Collection 收款",'Daily Sale entry '!$R$2:$R$1501,"Cash 现金",'Daily Sale entry '!$O$2:$O$1501,$B$2)))</f>
        <v/>
      </c>
      <c r="O41" s="24">
        <f>IF($K41="","",IF($B$2="","",SUMIFS('Daily Sale entry '!$S$2:$S$1501,'Daily Sale entry '!$P$2:$P$1501,$K41,'Daily Sale entry '!$Q$2:$Q$1501,"Collection 收款",'Daily Sale entry '!$R$2:$R$1501,"Cheque 支票",'Daily Sale entry '!$O$2:$O$1501,$B$2)))</f>
        <v/>
      </c>
      <c r="P41" s="24">
        <f>IF($K41="","",IF($B$2="","",SUMIFS('Daily Sale entry '!$AC$2:$AC$1501,'Daily Sale entry '!$AA$2:$AA$1501,$K41,'Daily Sale entry '!$Z$2:$Z$1501,"Online collection 网上收款",'Daily Sale entry '!$X$2:$X$1501,$B$2)))</f>
        <v/>
      </c>
      <c r="Q41" s="24">
        <f>IF($K41="","",IF($B$2="","",SUMIFS('Debtor Ledger'!$K$2:$K$3001,'Debtor Ledger'!$C$2:$C$3001,$K41,'Debtor Ledger'!$B$2:$B$3001,$B$2)))</f>
        <v/>
      </c>
      <c r="R41" s="24">
        <f>IF($K41="","",IF($B$2="","",ROUND(L41+M41-N41-O41-P41-Q41,2)))</f>
        <v/>
      </c>
      <c r="S41" s="21">
        <f>IF(K41="","",IF($B$2="","",IF(ABS(M41)+ABS(N41)+ABS(O41)+ABS(P41)+ABS(Q41)&gt;0,1,0)))</f>
        <v/>
      </c>
      <c r="T41" s="21">
        <f>IF(S41=1,SUM($S$6:S41),"")</f>
        <v/>
      </c>
    </row>
    <row r="42">
      <c r="A42">
        <f>IF($I42="","",INDEX(K$6:K$305,$I42))</f>
        <v/>
      </c>
      <c r="B42" s="6">
        <f>IF($I42="","",INDEX(L$6:L$305,$I42))</f>
        <v/>
      </c>
      <c r="C42" s="6">
        <f>IF($I42="","",INDEX(M$6:M$305,$I42))</f>
        <v/>
      </c>
      <c r="D42" s="6">
        <f>IF($I42="","",INDEX(N$6:N$305,$I42))</f>
        <v/>
      </c>
      <c r="E42" s="6">
        <f>IF($I42="","",INDEX(O$6:O$305,$I42))</f>
        <v/>
      </c>
      <c r="F42" s="6">
        <f>IF($I42="","",INDEX(P$6:P$305,$I42))</f>
        <v/>
      </c>
      <c r="G42" s="6">
        <f>IF($I42="","",INDEX(Q$6:Q$305,$I42))</f>
        <v/>
      </c>
      <c r="H42" s="6">
        <f>IF($I42="","",INDEX(R$6:R$305,$I42))</f>
        <v/>
      </c>
      <c r="I42" s="21">
        <f>IFERROR(MATCH(37,$T$6:$T$305,0),"")</f>
        <v/>
      </c>
      <c r="K42" s="21">
        <f>IF('Debtor Summary'!A41="","",'Debtor Summary'!A41)</f>
        <v/>
      </c>
      <c r="L42" s="24">
        <f>IF($K42="","",IF($B$2="","",ROUND(SUMIFS('Opening Balance'!$F$4:$F$303,'Opening Balance'!$G$4:$G$303,$K42)+SUMIFS('Daily Sale entry '!$S$2:$S$1501,'Daily Sale entry '!$P$2:$P$1501,$K42,'Daily Sale entry '!$Q$2:$Q$1501,"Credit Sale 赊销",'Daily Sale entry '!$O$2:$O$1501,"&lt;"&amp;$B$2)-SUMIFS('Daily Sale entry '!$S$2:$S$1501,'Daily Sale entry '!$P$2:$P$1501,$K42,'Daily Sale entry '!$Q$2:$Q$1501,"Collection 收款",'Daily Sale entry '!$O$2:$O$1501,"&lt;"&amp;$B$2)-SUMIFS('Daily Sale entry '!$AC$2:$AC$1501,'Daily Sale entry '!$AA$2:$AA$1501,$K42,'Daily Sale entry '!$Z$2:$Z$1501,"Online collection 网上收款",'Daily Sale entry '!$X$2:$X$1501,"&lt;"&amp;$B$2)-SUMIFS('Debtor Ledger'!$K$2:$K$3001,'Debtor Ledger'!$C$2:$C$3001,$K42,'Debtor Ledger'!$B$2:$B$3001,"&lt;"&amp;$B$2),2)))</f>
        <v/>
      </c>
      <c r="M42" s="24">
        <f>IF($K42="","",IF($B$2="","",SUMIFS('Daily Sale entry '!$S$2:$S$1501,'Daily Sale entry '!$P$2:$P$1501,$K42,'Daily Sale entry '!$Q$2:$Q$1501,"Credit Sale 赊销",'Daily Sale entry '!$O$2:$O$1501,$B$2)))</f>
        <v/>
      </c>
      <c r="N42" s="24">
        <f>IF($K42="","",IF($B$2="","",SUMIFS('Daily Sale entry '!$S$2:$S$1501,'Daily Sale entry '!$P$2:$P$1501,$K42,'Daily Sale entry '!$Q$2:$Q$1501,"Collection 收款",'Daily Sale entry '!$R$2:$R$1501,"Cash 现金",'Daily Sale entry '!$O$2:$O$1501,$B$2)))</f>
        <v/>
      </c>
      <c r="O42" s="24">
        <f>IF($K42="","",IF($B$2="","",SUMIFS('Daily Sale entry '!$S$2:$S$1501,'Daily Sale entry '!$P$2:$P$1501,$K42,'Daily Sale entry '!$Q$2:$Q$1501,"Collection 收款",'Daily Sale entry '!$R$2:$R$1501,"Cheque 支票",'Daily Sale entry '!$O$2:$O$1501,$B$2)))</f>
        <v/>
      </c>
      <c r="P42" s="24">
        <f>IF($K42="","",IF($B$2="","",SUMIFS('Daily Sale entry '!$AC$2:$AC$1501,'Daily Sale entry '!$AA$2:$AA$1501,$K42,'Daily Sale entry '!$Z$2:$Z$1501,"Online collection 网上收款",'Daily Sale entry '!$X$2:$X$1501,$B$2)))</f>
        <v/>
      </c>
      <c r="Q42" s="24">
        <f>IF($K42="","",IF($B$2="","",SUMIFS('Debtor Ledger'!$K$2:$K$3001,'Debtor Ledger'!$C$2:$C$3001,$K42,'Debtor Ledger'!$B$2:$B$3001,$B$2)))</f>
        <v/>
      </c>
      <c r="R42" s="24">
        <f>IF($K42="","",IF($B$2="","",ROUND(L42+M42-N42-O42-P42-Q42,2)))</f>
        <v/>
      </c>
      <c r="S42" s="21">
        <f>IF(K42="","",IF($B$2="","",IF(ABS(M42)+ABS(N42)+ABS(O42)+ABS(P42)+ABS(Q42)&gt;0,1,0)))</f>
        <v/>
      </c>
      <c r="T42" s="21">
        <f>IF(S42=1,SUM($S$6:S42),"")</f>
        <v/>
      </c>
    </row>
    <row r="43">
      <c r="A43">
        <f>IF($I43="","",INDEX(K$6:K$305,$I43))</f>
        <v/>
      </c>
      <c r="B43" s="6">
        <f>IF($I43="","",INDEX(L$6:L$305,$I43))</f>
        <v/>
      </c>
      <c r="C43" s="6">
        <f>IF($I43="","",INDEX(M$6:M$305,$I43))</f>
        <v/>
      </c>
      <c r="D43" s="6">
        <f>IF($I43="","",INDEX(N$6:N$305,$I43))</f>
        <v/>
      </c>
      <c r="E43" s="6">
        <f>IF($I43="","",INDEX(O$6:O$305,$I43))</f>
        <v/>
      </c>
      <c r="F43" s="6">
        <f>IF($I43="","",INDEX(P$6:P$305,$I43))</f>
        <v/>
      </c>
      <c r="G43" s="6">
        <f>IF($I43="","",INDEX(Q$6:Q$305,$I43))</f>
        <v/>
      </c>
      <c r="H43" s="6">
        <f>IF($I43="","",INDEX(R$6:R$305,$I43))</f>
        <v/>
      </c>
      <c r="I43" s="21">
        <f>IFERROR(MATCH(38,$T$6:$T$305,0),"")</f>
        <v/>
      </c>
      <c r="K43" s="21">
        <f>IF('Debtor Summary'!A42="","",'Debtor Summary'!A42)</f>
        <v/>
      </c>
      <c r="L43" s="24">
        <f>IF($K43="","",IF($B$2="","",ROUND(SUMIFS('Opening Balance'!$F$4:$F$303,'Opening Balance'!$G$4:$G$303,$K43)+SUMIFS('Daily Sale entry '!$S$2:$S$1501,'Daily Sale entry '!$P$2:$P$1501,$K43,'Daily Sale entry '!$Q$2:$Q$1501,"Credit Sale 赊销",'Daily Sale entry '!$O$2:$O$1501,"&lt;"&amp;$B$2)-SUMIFS('Daily Sale entry '!$S$2:$S$1501,'Daily Sale entry '!$P$2:$P$1501,$K43,'Daily Sale entry '!$Q$2:$Q$1501,"Collection 收款",'Daily Sale entry '!$O$2:$O$1501,"&lt;"&amp;$B$2)-SUMIFS('Daily Sale entry '!$AC$2:$AC$1501,'Daily Sale entry '!$AA$2:$AA$1501,$K43,'Daily Sale entry '!$Z$2:$Z$1501,"Online collection 网上收款",'Daily Sale entry '!$X$2:$X$1501,"&lt;"&amp;$B$2)-SUMIFS('Debtor Ledger'!$K$2:$K$3001,'Debtor Ledger'!$C$2:$C$3001,$K43,'Debtor Ledger'!$B$2:$B$3001,"&lt;"&amp;$B$2),2)))</f>
        <v/>
      </c>
      <c r="M43" s="24">
        <f>IF($K43="","",IF($B$2="","",SUMIFS('Daily Sale entry '!$S$2:$S$1501,'Daily Sale entry '!$P$2:$P$1501,$K43,'Daily Sale entry '!$Q$2:$Q$1501,"Credit Sale 赊销",'Daily Sale entry '!$O$2:$O$1501,$B$2)))</f>
        <v/>
      </c>
      <c r="N43" s="24">
        <f>IF($K43="","",IF($B$2="","",SUMIFS('Daily Sale entry '!$S$2:$S$1501,'Daily Sale entry '!$P$2:$P$1501,$K43,'Daily Sale entry '!$Q$2:$Q$1501,"Collection 收款",'Daily Sale entry '!$R$2:$R$1501,"Cash 现金",'Daily Sale entry '!$O$2:$O$1501,$B$2)))</f>
        <v/>
      </c>
      <c r="O43" s="24">
        <f>IF($K43="","",IF($B$2="","",SUMIFS('Daily Sale entry '!$S$2:$S$1501,'Daily Sale entry '!$P$2:$P$1501,$K43,'Daily Sale entry '!$Q$2:$Q$1501,"Collection 收款",'Daily Sale entry '!$R$2:$R$1501,"Cheque 支票",'Daily Sale entry '!$O$2:$O$1501,$B$2)))</f>
        <v/>
      </c>
      <c r="P43" s="24">
        <f>IF($K43="","",IF($B$2="","",SUMIFS('Daily Sale entry '!$AC$2:$AC$1501,'Daily Sale entry '!$AA$2:$AA$1501,$K43,'Daily Sale entry '!$Z$2:$Z$1501,"Online collection 网上收款",'Daily Sale entry '!$X$2:$X$1501,$B$2)))</f>
        <v/>
      </c>
      <c r="Q43" s="24">
        <f>IF($K43="","",IF($B$2="","",SUMIFS('Debtor Ledger'!$K$2:$K$3001,'Debtor Ledger'!$C$2:$C$3001,$K43,'Debtor Ledger'!$B$2:$B$3001,$B$2)))</f>
        <v/>
      </c>
      <c r="R43" s="24">
        <f>IF($K43="","",IF($B$2="","",ROUND(L43+M43-N43-O43-P43-Q43,2)))</f>
        <v/>
      </c>
      <c r="S43" s="21">
        <f>IF(K43="","",IF($B$2="","",IF(ABS(M43)+ABS(N43)+ABS(O43)+ABS(P43)+ABS(Q43)&gt;0,1,0)))</f>
        <v/>
      </c>
      <c r="T43" s="21">
        <f>IF(S43=1,SUM($S$6:S43),"")</f>
        <v/>
      </c>
    </row>
    <row r="44">
      <c r="A44">
        <f>IF($I44="","",INDEX(K$6:K$305,$I44))</f>
        <v/>
      </c>
      <c r="B44" s="6">
        <f>IF($I44="","",INDEX(L$6:L$305,$I44))</f>
        <v/>
      </c>
      <c r="C44" s="6">
        <f>IF($I44="","",INDEX(M$6:M$305,$I44))</f>
        <v/>
      </c>
      <c r="D44" s="6">
        <f>IF($I44="","",INDEX(N$6:N$305,$I44))</f>
        <v/>
      </c>
      <c r="E44" s="6">
        <f>IF($I44="","",INDEX(O$6:O$305,$I44))</f>
        <v/>
      </c>
      <c r="F44" s="6">
        <f>IF($I44="","",INDEX(P$6:P$305,$I44))</f>
        <v/>
      </c>
      <c r="G44" s="6">
        <f>IF($I44="","",INDEX(Q$6:Q$305,$I44))</f>
        <v/>
      </c>
      <c r="H44" s="6">
        <f>IF($I44="","",INDEX(R$6:R$305,$I44))</f>
        <v/>
      </c>
      <c r="I44" s="21">
        <f>IFERROR(MATCH(39,$T$6:$T$305,0),"")</f>
        <v/>
      </c>
      <c r="K44" s="21">
        <f>IF('Debtor Summary'!A43="","",'Debtor Summary'!A43)</f>
        <v/>
      </c>
      <c r="L44" s="24">
        <f>IF($K44="","",IF($B$2="","",ROUND(SUMIFS('Opening Balance'!$F$4:$F$303,'Opening Balance'!$G$4:$G$303,$K44)+SUMIFS('Daily Sale entry '!$S$2:$S$1501,'Daily Sale entry '!$P$2:$P$1501,$K44,'Daily Sale entry '!$Q$2:$Q$1501,"Credit Sale 赊销",'Daily Sale entry '!$O$2:$O$1501,"&lt;"&amp;$B$2)-SUMIFS('Daily Sale entry '!$S$2:$S$1501,'Daily Sale entry '!$P$2:$P$1501,$K44,'Daily Sale entry '!$Q$2:$Q$1501,"Collection 收款",'Daily Sale entry '!$O$2:$O$1501,"&lt;"&amp;$B$2)-SUMIFS('Daily Sale entry '!$AC$2:$AC$1501,'Daily Sale entry '!$AA$2:$AA$1501,$K44,'Daily Sale entry '!$Z$2:$Z$1501,"Online collection 网上收款",'Daily Sale entry '!$X$2:$X$1501,"&lt;"&amp;$B$2)-SUMIFS('Debtor Ledger'!$K$2:$K$3001,'Debtor Ledger'!$C$2:$C$3001,$K44,'Debtor Ledger'!$B$2:$B$3001,"&lt;"&amp;$B$2),2)))</f>
        <v/>
      </c>
      <c r="M44" s="24">
        <f>IF($K44="","",IF($B$2="","",SUMIFS('Daily Sale entry '!$S$2:$S$1501,'Daily Sale entry '!$P$2:$P$1501,$K44,'Daily Sale entry '!$Q$2:$Q$1501,"Credit Sale 赊销",'Daily Sale entry '!$O$2:$O$1501,$B$2)))</f>
        <v/>
      </c>
      <c r="N44" s="24">
        <f>IF($K44="","",IF($B$2="","",SUMIFS('Daily Sale entry '!$S$2:$S$1501,'Daily Sale entry '!$P$2:$P$1501,$K44,'Daily Sale entry '!$Q$2:$Q$1501,"Collection 收款",'Daily Sale entry '!$R$2:$R$1501,"Cash 现金",'Daily Sale entry '!$O$2:$O$1501,$B$2)))</f>
        <v/>
      </c>
      <c r="O44" s="24">
        <f>IF($K44="","",IF($B$2="","",SUMIFS('Daily Sale entry '!$S$2:$S$1501,'Daily Sale entry '!$P$2:$P$1501,$K44,'Daily Sale entry '!$Q$2:$Q$1501,"Collection 收款",'Daily Sale entry '!$R$2:$R$1501,"Cheque 支票",'Daily Sale entry '!$O$2:$O$1501,$B$2)))</f>
        <v/>
      </c>
      <c r="P44" s="24">
        <f>IF($K44="","",IF($B$2="","",SUMIFS('Daily Sale entry '!$AC$2:$AC$1501,'Daily Sale entry '!$AA$2:$AA$1501,$K44,'Daily Sale entry '!$Z$2:$Z$1501,"Online collection 网上收款",'Daily Sale entry '!$X$2:$X$1501,$B$2)))</f>
        <v/>
      </c>
      <c r="Q44" s="24">
        <f>IF($K44="","",IF($B$2="","",SUMIFS('Debtor Ledger'!$K$2:$K$3001,'Debtor Ledger'!$C$2:$C$3001,$K44,'Debtor Ledger'!$B$2:$B$3001,$B$2)))</f>
        <v/>
      </c>
      <c r="R44" s="24">
        <f>IF($K44="","",IF($B$2="","",ROUND(L44+M44-N44-O44-P44-Q44,2)))</f>
        <v/>
      </c>
      <c r="S44" s="21">
        <f>IF(K44="","",IF($B$2="","",IF(ABS(M44)+ABS(N44)+ABS(O44)+ABS(P44)+ABS(Q44)&gt;0,1,0)))</f>
        <v/>
      </c>
      <c r="T44" s="21">
        <f>IF(S44=1,SUM($S$6:S44),"")</f>
        <v/>
      </c>
    </row>
    <row r="45">
      <c r="A45">
        <f>IF($I45="","",INDEX(K$6:K$305,$I45))</f>
        <v/>
      </c>
      <c r="B45" s="6">
        <f>IF($I45="","",INDEX(L$6:L$305,$I45))</f>
        <v/>
      </c>
      <c r="C45" s="6">
        <f>IF($I45="","",INDEX(M$6:M$305,$I45))</f>
        <v/>
      </c>
      <c r="D45" s="6">
        <f>IF($I45="","",INDEX(N$6:N$305,$I45))</f>
        <v/>
      </c>
      <c r="E45" s="6">
        <f>IF($I45="","",INDEX(O$6:O$305,$I45))</f>
        <v/>
      </c>
      <c r="F45" s="6">
        <f>IF($I45="","",INDEX(P$6:P$305,$I45))</f>
        <v/>
      </c>
      <c r="G45" s="6">
        <f>IF($I45="","",INDEX(Q$6:Q$305,$I45))</f>
        <v/>
      </c>
      <c r="H45" s="6">
        <f>IF($I45="","",INDEX(R$6:R$305,$I45))</f>
        <v/>
      </c>
      <c r="I45" s="21">
        <f>IFERROR(MATCH(40,$T$6:$T$305,0),"")</f>
        <v/>
      </c>
      <c r="K45" s="21">
        <f>IF('Debtor Summary'!A44="","",'Debtor Summary'!A44)</f>
        <v/>
      </c>
      <c r="L45" s="24">
        <f>IF($K45="","",IF($B$2="","",ROUND(SUMIFS('Opening Balance'!$F$4:$F$303,'Opening Balance'!$G$4:$G$303,$K45)+SUMIFS('Daily Sale entry '!$S$2:$S$1501,'Daily Sale entry '!$P$2:$P$1501,$K45,'Daily Sale entry '!$Q$2:$Q$1501,"Credit Sale 赊销",'Daily Sale entry '!$O$2:$O$1501,"&lt;"&amp;$B$2)-SUMIFS('Daily Sale entry '!$S$2:$S$1501,'Daily Sale entry '!$P$2:$P$1501,$K45,'Daily Sale entry '!$Q$2:$Q$1501,"Collection 收款",'Daily Sale entry '!$O$2:$O$1501,"&lt;"&amp;$B$2)-SUMIFS('Daily Sale entry '!$AC$2:$AC$1501,'Daily Sale entry '!$AA$2:$AA$1501,$K45,'Daily Sale entry '!$Z$2:$Z$1501,"Online collection 网上收款",'Daily Sale entry '!$X$2:$X$1501,"&lt;"&amp;$B$2)-SUMIFS('Debtor Ledger'!$K$2:$K$3001,'Debtor Ledger'!$C$2:$C$3001,$K45,'Debtor Ledger'!$B$2:$B$3001,"&lt;"&amp;$B$2),2)))</f>
        <v/>
      </c>
      <c r="M45" s="24">
        <f>IF($K45="","",IF($B$2="","",SUMIFS('Daily Sale entry '!$S$2:$S$1501,'Daily Sale entry '!$P$2:$P$1501,$K45,'Daily Sale entry '!$Q$2:$Q$1501,"Credit Sale 赊销",'Daily Sale entry '!$O$2:$O$1501,$B$2)))</f>
        <v/>
      </c>
      <c r="N45" s="24">
        <f>IF($K45="","",IF($B$2="","",SUMIFS('Daily Sale entry '!$S$2:$S$1501,'Daily Sale entry '!$P$2:$P$1501,$K45,'Daily Sale entry '!$Q$2:$Q$1501,"Collection 收款",'Daily Sale entry '!$R$2:$R$1501,"Cash 现金",'Daily Sale entry '!$O$2:$O$1501,$B$2)))</f>
        <v/>
      </c>
      <c r="O45" s="24">
        <f>IF($K45="","",IF($B$2="","",SUMIFS('Daily Sale entry '!$S$2:$S$1501,'Daily Sale entry '!$P$2:$P$1501,$K45,'Daily Sale entry '!$Q$2:$Q$1501,"Collection 收款",'Daily Sale entry '!$R$2:$R$1501,"Cheque 支票",'Daily Sale entry '!$O$2:$O$1501,$B$2)))</f>
        <v/>
      </c>
      <c r="P45" s="24">
        <f>IF($K45="","",IF($B$2="","",SUMIFS('Daily Sale entry '!$AC$2:$AC$1501,'Daily Sale entry '!$AA$2:$AA$1501,$K45,'Daily Sale entry '!$Z$2:$Z$1501,"Online collection 网上收款",'Daily Sale entry '!$X$2:$X$1501,$B$2)))</f>
        <v/>
      </c>
      <c r="Q45" s="24">
        <f>IF($K45="","",IF($B$2="","",SUMIFS('Debtor Ledger'!$K$2:$K$3001,'Debtor Ledger'!$C$2:$C$3001,$K45,'Debtor Ledger'!$B$2:$B$3001,$B$2)))</f>
        <v/>
      </c>
      <c r="R45" s="24">
        <f>IF($K45="","",IF($B$2="","",ROUND(L45+M45-N45-O45-P45-Q45,2)))</f>
        <v/>
      </c>
      <c r="S45" s="21">
        <f>IF(K45="","",IF($B$2="","",IF(ABS(M45)+ABS(N45)+ABS(O45)+ABS(P45)+ABS(Q45)&gt;0,1,0)))</f>
        <v/>
      </c>
      <c r="T45" s="21">
        <f>IF(S45=1,SUM($S$6:S45),"")</f>
        <v/>
      </c>
    </row>
    <row r="46">
      <c r="A46">
        <f>IF($I46="","",INDEX(K$6:K$305,$I46))</f>
        <v/>
      </c>
      <c r="B46" s="6">
        <f>IF($I46="","",INDEX(L$6:L$305,$I46))</f>
        <v/>
      </c>
      <c r="C46" s="6">
        <f>IF($I46="","",INDEX(M$6:M$305,$I46))</f>
        <v/>
      </c>
      <c r="D46" s="6">
        <f>IF($I46="","",INDEX(N$6:N$305,$I46))</f>
        <v/>
      </c>
      <c r="E46" s="6">
        <f>IF($I46="","",INDEX(O$6:O$305,$I46))</f>
        <v/>
      </c>
      <c r="F46" s="6">
        <f>IF($I46="","",INDEX(P$6:P$305,$I46))</f>
        <v/>
      </c>
      <c r="G46" s="6">
        <f>IF($I46="","",INDEX(Q$6:Q$305,$I46))</f>
        <v/>
      </c>
      <c r="H46" s="6">
        <f>IF($I46="","",INDEX(R$6:R$305,$I46))</f>
        <v/>
      </c>
      <c r="I46" s="21">
        <f>IFERROR(MATCH(41,$T$6:$T$305,0),"")</f>
        <v/>
      </c>
      <c r="K46" s="21">
        <f>IF('Debtor Summary'!A45="","",'Debtor Summary'!A45)</f>
        <v/>
      </c>
      <c r="L46" s="24">
        <f>IF($K46="","",IF($B$2="","",ROUND(SUMIFS('Opening Balance'!$F$4:$F$303,'Opening Balance'!$G$4:$G$303,$K46)+SUMIFS('Daily Sale entry '!$S$2:$S$1501,'Daily Sale entry '!$P$2:$P$1501,$K46,'Daily Sale entry '!$Q$2:$Q$1501,"Credit Sale 赊销",'Daily Sale entry '!$O$2:$O$1501,"&lt;"&amp;$B$2)-SUMIFS('Daily Sale entry '!$S$2:$S$1501,'Daily Sale entry '!$P$2:$P$1501,$K46,'Daily Sale entry '!$Q$2:$Q$1501,"Collection 收款",'Daily Sale entry '!$O$2:$O$1501,"&lt;"&amp;$B$2)-SUMIFS('Daily Sale entry '!$AC$2:$AC$1501,'Daily Sale entry '!$AA$2:$AA$1501,$K46,'Daily Sale entry '!$Z$2:$Z$1501,"Online collection 网上收款",'Daily Sale entry '!$X$2:$X$1501,"&lt;"&amp;$B$2)-SUMIFS('Debtor Ledger'!$K$2:$K$3001,'Debtor Ledger'!$C$2:$C$3001,$K46,'Debtor Ledger'!$B$2:$B$3001,"&lt;"&amp;$B$2),2)))</f>
        <v/>
      </c>
      <c r="M46" s="24">
        <f>IF($K46="","",IF($B$2="","",SUMIFS('Daily Sale entry '!$S$2:$S$1501,'Daily Sale entry '!$P$2:$P$1501,$K46,'Daily Sale entry '!$Q$2:$Q$1501,"Credit Sale 赊销",'Daily Sale entry '!$O$2:$O$1501,$B$2)))</f>
        <v/>
      </c>
      <c r="N46" s="24">
        <f>IF($K46="","",IF($B$2="","",SUMIFS('Daily Sale entry '!$S$2:$S$1501,'Daily Sale entry '!$P$2:$P$1501,$K46,'Daily Sale entry '!$Q$2:$Q$1501,"Collection 收款",'Daily Sale entry '!$R$2:$R$1501,"Cash 现金",'Daily Sale entry '!$O$2:$O$1501,$B$2)))</f>
        <v/>
      </c>
      <c r="O46" s="24">
        <f>IF($K46="","",IF($B$2="","",SUMIFS('Daily Sale entry '!$S$2:$S$1501,'Daily Sale entry '!$P$2:$P$1501,$K46,'Daily Sale entry '!$Q$2:$Q$1501,"Collection 收款",'Daily Sale entry '!$R$2:$R$1501,"Cheque 支票",'Daily Sale entry '!$O$2:$O$1501,$B$2)))</f>
        <v/>
      </c>
      <c r="P46" s="24">
        <f>IF($K46="","",IF($B$2="","",SUMIFS('Daily Sale entry '!$AC$2:$AC$1501,'Daily Sale entry '!$AA$2:$AA$1501,$K46,'Daily Sale entry '!$Z$2:$Z$1501,"Online collection 网上收款",'Daily Sale entry '!$X$2:$X$1501,$B$2)))</f>
        <v/>
      </c>
      <c r="Q46" s="24">
        <f>IF($K46="","",IF($B$2="","",SUMIFS('Debtor Ledger'!$K$2:$K$3001,'Debtor Ledger'!$C$2:$C$3001,$K46,'Debtor Ledger'!$B$2:$B$3001,$B$2)))</f>
        <v/>
      </c>
      <c r="R46" s="24">
        <f>IF($K46="","",IF($B$2="","",ROUND(L46+M46-N46-O46-P46-Q46,2)))</f>
        <v/>
      </c>
      <c r="S46" s="21">
        <f>IF(K46="","",IF($B$2="","",IF(ABS(M46)+ABS(N46)+ABS(O46)+ABS(P46)+ABS(Q46)&gt;0,1,0)))</f>
        <v/>
      </c>
      <c r="T46" s="21">
        <f>IF(S46=1,SUM($S$6:S46),"")</f>
        <v/>
      </c>
    </row>
    <row r="47">
      <c r="A47">
        <f>IF($I47="","",INDEX(K$6:K$305,$I47))</f>
        <v/>
      </c>
      <c r="B47" s="6">
        <f>IF($I47="","",INDEX(L$6:L$305,$I47))</f>
        <v/>
      </c>
      <c r="C47" s="6">
        <f>IF($I47="","",INDEX(M$6:M$305,$I47))</f>
        <v/>
      </c>
      <c r="D47" s="6">
        <f>IF($I47="","",INDEX(N$6:N$305,$I47))</f>
        <v/>
      </c>
      <c r="E47" s="6">
        <f>IF($I47="","",INDEX(O$6:O$305,$I47))</f>
        <v/>
      </c>
      <c r="F47" s="6">
        <f>IF($I47="","",INDEX(P$6:P$305,$I47))</f>
        <v/>
      </c>
      <c r="G47" s="6">
        <f>IF($I47="","",INDEX(Q$6:Q$305,$I47))</f>
        <v/>
      </c>
      <c r="H47" s="6">
        <f>IF($I47="","",INDEX(R$6:R$305,$I47))</f>
        <v/>
      </c>
      <c r="I47" s="21">
        <f>IFERROR(MATCH(42,$T$6:$T$305,0),"")</f>
        <v/>
      </c>
      <c r="K47" s="21">
        <f>IF('Debtor Summary'!A46="","",'Debtor Summary'!A46)</f>
        <v/>
      </c>
      <c r="L47" s="24">
        <f>IF($K47="","",IF($B$2="","",ROUND(SUMIFS('Opening Balance'!$F$4:$F$303,'Opening Balance'!$G$4:$G$303,$K47)+SUMIFS('Daily Sale entry '!$S$2:$S$1501,'Daily Sale entry '!$P$2:$P$1501,$K47,'Daily Sale entry '!$Q$2:$Q$1501,"Credit Sale 赊销",'Daily Sale entry '!$O$2:$O$1501,"&lt;"&amp;$B$2)-SUMIFS('Daily Sale entry '!$S$2:$S$1501,'Daily Sale entry '!$P$2:$P$1501,$K47,'Daily Sale entry '!$Q$2:$Q$1501,"Collection 收款",'Daily Sale entry '!$O$2:$O$1501,"&lt;"&amp;$B$2)-SUMIFS('Daily Sale entry '!$AC$2:$AC$1501,'Daily Sale entry '!$AA$2:$AA$1501,$K47,'Daily Sale entry '!$Z$2:$Z$1501,"Online collection 网上收款",'Daily Sale entry '!$X$2:$X$1501,"&lt;"&amp;$B$2)-SUMIFS('Debtor Ledger'!$K$2:$K$3001,'Debtor Ledger'!$C$2:$C$3001,$K47,'Debtor Ledger'!$B$2:$B$3001,"&lt;"&amp;$B$2),2)))</f>
        <v/>
      </c>
      <c r="M47" s="24">
        <f>IF($K47="","",IF($B$2="","",SUMIFS('Daily Sale entry '!$S$2:$S$1501,'Daily Sale entry '!$P$2:$P$1501,$K47,'Daily Sale entry '!$Q$2:$Q$1501,"Credit Sale 赊销",'Daily Sale entry '!$O$2:$O$1501,$B$2)))</f>
        <v/>
      </c>
      <c r="N47" s="24">
        <f>IF($K47="","",IF($B$2="","",SUMIFS('Daily Sale entry '!$S$2:$S$1501,'Daily Sale entry '!$P$2:$P$1501,$K47,'Daily Sale entry '!$Q$2:$Q$1501,"Collection 收款",'Daily Sale entry '!$R$2:$R$1501,"Cash 现金",'Daily Sale entry '!$O$2:$O$1501,$B$2)))</f>
        <v/>
      </c>
      <c r="O47" s="24">
        <f>IF($K47="","",IF($B$2="","",SUMIFS('Daily Sale entry '!$S$2:$S$1501,'Daily Sale entry '!$P$2:$P$1501,$K47,'Daily Sale entry '!$Q$2:$Q$1501,"Collection 收款",'Daily Sale entry '!$R$2:$R$1501,"Cheque 支票",'Daily Sale entry '!$O$2:$O$1501,$B$2)))</f>
        <v/>
      </c>
      <c r="P47" s="24">
        <f>IF($K47="","",IF($B$2="","",SUMIFS('Daily Sale entry '!$AC$2:$AC$1501,'Daily Sale entry '!$AA$2:$AA$1501,$K47,'Daily Sale entry '!$Z$2:$Z$1501,"Online collection 网上收款",'Daily Sale entry '!$X$2:$X$1501,$B$2)))</f>
        <v/>
      </c>
      <c r="Q47" s="24">
        <f>IF($K47="","",IF($B$2="","",SUMIFS('Debtor Ledger'!$K$2:$K$3001,'Debtor Ledger'!$C$2:$C$3001,$K47,'Debtor Ledger'!$B$2:$B$3001,$B$2)))</f>
        <v/>
      </c>
      <c r="R47" s="24">
        <f>IF($K47="","",IF($B$2="","",ROUND(L47+M47-N47-O47-P47-Q47,2)))</f>
        <v/>
      </c>
      <c r="S47" s="21">
        <f>IF(K47="","",IF($B$2="","",IF(ABS(M47)+ABS(N47)+ABS(O47)+ABS(P47)+ABS(Q47)&gt;0,1,0)))</f>
        <v/>
      </c>
      <c r="T47" s="21">
        <f>IF(S47=1,SUM($S$6:S47),"")</f>
        <v/>
      </c>
    </row>
    <row r="48">
      <c r="A48">
        <f>IF($I48="","",INDEX(K$6:K$305,$I48))</f>
        <v/>
      </c>
      <c r="B48" s="6">
        <f>IF($I48="","",INDEX(L$6:L$305,$I48))</f>
        <v/>
      </c>
      <c r="C48" s="6">
        <f>IF($I48="","",INDEX(M$6:M$305,$I48))</f>
        <v/>
      </c>
      <c r="D48" s="6">
        <f>IF($I48="","",INDEX(N$6:N$305,$I48))</f>
        <v/>
      </c>
      <c r="E48" s="6">
        <f>IF($I48="","",INDEX(O$6:O$305,$I48))</f>
        <v/>
      </c>
      <c r="F48" s="6">
        <f>IF($I48="","",INDEX(P$6:P$305,$I48))</f>
        <v/>
      </c>
      <c r="G48" s="6">
        <f>IF($I48="","",INDEX(Q$6:Q$305,$I48))</f>
        <v/>
      </c>
      <c r="H48" s="6">
        <f>IF($I48="","",INDEX(R$6:R$305,$I48))</f>
        <v/>
      </c>
      <c r="I48" s="21">
        <f>IFERROR(MATCH(43,$T$6:$T$305,0),"")</f>
        <v/>
      </c>
      <c r="K48" s="21">
        <f>IF('Debtor Summary'!A47="","",'Debtor Summary'!A47)</f>
        <v/>
      </c>
      <c r="L48" s="24">
        <f>IF($K48="","",IF($B$2="","",ROUND(SUMIFS('Opening Balance'!$F$4:$F$303,'Opening Balance'!$G$4:$G$303,$K48)+SUMIFS('Daily Sale entry '!$S$2:$S$1501,'Daily Sale entry '!$P$2:$P$1501,$K48,'Daily Sale entry '!$Q$2:$Q$1501,"Credit Sale 赊销",'Daily Sale entry '!$O$2:$O$1501,"&lt;"&amp;$B$2)-SUMIFS('Daily Sale entry '!$S$2:$S$1501,'Daily Sale entry '!$P$2:$P$1501,$K48,'Daily Sale entry '!$Q$2:$Q$1501,"Collection 收款",'Daily Sale entry '!$O$2:$O$1501,"&lt;"&amp;$B$2)-SUMIFS('Daily Sale entry '!$AC$2:$AC$1501,'Daily Sale entry '!$AA$2:$AA$1501,$K48,'Daily Sale entry '!$Z$2:$Z$1501,"Online collection 网上收款",'Daily Sale entry '!$X$2:$X$1501,"&lt;"&amp;$B$2)-SUMIFS('Debtor Ledger'!$K$2:$K$3001,'Debtor Ledger'!$C$2:$C$3001,$K48,'Debtor Ledger'!$B$2:$B$3001,"&lt;"&amp;$B$2),2)))</f>
        <v/>
      </c>
      <c r="M48" s="24">
        <f>IF($K48="","",IF($B$2="","",SUMIFS('Daily Sale entry '!$S$2:$S$1501,'Daily Sale entry '!$P$2:$P$1501,$K48,'Daily Sale entry '!$Q$2:$Q$1501,"Credit Sale 赊销",'Daily Sale entry '!$O$2:$O$1501,$B$2)))</f>
        <v/>
      </c>
      <c r="N48" s="24">
        <f>IF($K48="","",IF($B$2="","",SUMIFS('Daily Sale entry '!$S$2:$S$1501,'Daily Sale entry '!$P$2:$P$1501,$K48,'Daily Sale entry '!$Q$2:$Q$1501,"Collection 收款",'Daily Sale entry '!$R$2:$R$1501,"Cash 现金",'Daily Sale entry '!$O$2:$O$1501,$B$2)))</f>
        <v/>
      </c>
      <c r="O48" s="24">
        <f>IF($K48="","",IF($B$2="","",SUMIFS('Daily Sale entry '!$S$2:$S$1501,'Daily Sale entry '!$P$2:$P$1501,$K48,'Daily Sale entry '!$Q$2:$Q$1501,"Collection 收款",'Daily Sale entry '!$R$2:$R$1501,"Cheque 支票",'Daily Sale entry '!$O$2:$O$1501,$B$2)))</f>
        <v/>
      </c>
      <c r="P48" s="24">
        <f>IF($K48="","",IF($B$2="","",SUMIFS('Daily Sale entry '!$AC$2:$AC$1501,'Daily Sale entry '!$AA$2:$AA$1501,$K48,'Daily Sale entry '!$Z$2:$Z$1501,"Online collection 网上收款",'Daily Sale entry '!$X$2:$X$1501,$B$2)))</f>
        <v/>
      </c>
      <c r="Q48" s="24">
        <f>IF($K48="","",IF($B$2="","",SUMIFS('Debtor Ledger'!$K$2:$K$3001,'Debtor Ledger'!$C$2:$C$3001,$K48,'Debtor Ledger'!$B$2:$B$3001,$B$2)))</f>
        <v/>
      </c>
      <c r="R48" s="24">
        <f>IF($K48="","",IF($B$2="","",ROUND(L48+M48-N48-O48-P48-Q48,2)))</f>
        <v/>
      </c>
      <c r="S48" s="21">
        <f>IF(K48="","",IF($B$2="","",IF(ABS(M48)+ABS(N48)+ABS(O48)+ABS(P48)+ABS(Q48)&gt;0,1,0)))</f>
        <v/>
      </c>
      <c r="T48" s="21">
        <f>IF(S48=1,SUM($S$6:S48),"")</f>
        <v/>
      </c>
    </row>
    <row r="49">
      <c r="A49">
        <f>IF($I49="","",INDEX(K$6:K$305,$I49))</f>
        <v/>
      </c>
      <c r="B49" s="6">
        <f>IF($I49="","",INDEX(L$6:L$305,$I49))</f>
        <v/>
      </c>
      <c r="C49" s="6">
        <f>IF($I49="","",INDEX(M$6:M$305,$I49))</f>
        <v/>
      </c>
      <c r="D49" s="6">
        <f>IF($I49="","",INDEX(N$6:N$305,$I49))</f>
        <v/>
      </c>
      <c r="E49" s="6">
        <f>IF($I49="","",INDEX(O$6:O$305,$I49))</f>
        <v/>
      </c>
      <c r="F49" s="6">
        <f>IF($I49="","",INDEX(P$6:P$305,$I49))</f>
        <v/>
      </c>
      <c r="G49" s="6">
        <f>IF($I49="","",INDEX(Q$6:Q$305,$I49))</f>
        <v/>
      </c>
      <c r="H49" s="6">
        <f>IF($I49="","",INDEX(R$6:R$305,$I49))</f>
        <v/>
      </c>
      <c r="I49" s="21">
        <f>IFERROR(MATCH(44,$T$6:$T$305,0),"")</f>
        <v/>
      </c>
      <c r="K49" s="21">
        <f>IF('Debtor Summary'!A48="","",'Debtor Summary'!A48)</f>
        <v/>
      </c>
      <c r="L49" s="24">
        <f>IF($K49="","",IF($B$2="","",ROUND(SUMIFS('Opening Balance'!$F$4:$F$303,'Opening Balance'!$G$4:$G$303,$K49)+SUMIFS('Daily Sale entry '!$S$2:$S$1501,'Daily Sale entry '!$P$2:$P$1501,$K49,'Daily Sale entry '!$Q$2:$Q$1501,"Credit Sale 赊销",'Daily Sale entry '!$O$2:$O$1501,"&lt;"&amp;$B$2)-SUMIFS('Daily Sale entry '!$S$2:$S$1501,'Daily Sale entry '!$P$2:$P$1501,$K49,'Daily Sale entry '!$Q$2:$Q$1501,"Collection 收款",'Daily Sale entry '!$O$2:$O$1501,"&lt;"&amp;$B$2)-SUMIFS('Daily Sale entry '!$AC$2:$AC$1501,'Daily Sale entry '!$AA$2:$AA$1501,$K49,'Daily Sale entry '!$Z$2:$Z$1501,"Online collection 网上收款",'Daily Sale entry '!$X$2:$X$1501,"&lt;"&amp;$B$2)-SUMIFS('Debtor Ledger'!$K$2:$K$3001,'Debtor Ledger'!$C$2:$C$3001,$K49,'Debtor Ledger'!$B$2:$B$3001,"&lt;"&amp;$B$2),2)))</f>
        <v/>
      </c>
      <c r="M49" s="24">
        <f>IF($K49="","",IF($B$2="","",SUMIFS('Daily Sale entry '!$S$2:$S$1501,'Daily Sale entry '!$P$2:$P$1501,$K49,'Daily Sale entry '!$Q$2:$Q$1501,"Credit Sale 赊销",'Daily Sale entry '!$O$2:$O$1501,$B$2)))</f>
        <v/>
      </c>
      <c r="N49" s="24">
        <f>IF($K49="","",IF($B$2="","",SUMIFS('Daily Sale entry '!$S$2:$S$1501,'Daily Sale entry '!$P$2:$P$1501,$K49,'Daily Sale entry '!$Q$2:$Q$1501,"Collection 收款",'Daily Sale entry '!$R$2:$R$1501,"Cash 现金",'Daily Sale entry '!$O$2:$O$1501,$B$2)))</f>
        <v/>
      </c>
      <c r="O49" s="24">
        <f>IF($K49="","",IF($B$2="","",SUMIFS('Daily Sale entry '!$S$2:$S$1501,'Daily Sale entry '!$P$2:$P$1501,$K49,'Daily Sale entry '!$Q$2:$Q$1501,"Collection 收款",'Daily Sale entry '!$R$2:$R$1501,"Cheque 支票",'Daily Sale entry '!$O$2:$O$1501,$B$2)))</f>
        <v/>
      </c>
      <c r="P49" s="24">
        <f>IF($K49="","",IF($B$2="","",SUMIFS('Daily Sale entry '!$AC$2:$AC$1501,'Daily Sale entry '!$AA$2:$AA$1501,$K49,'Daily Sale entry '!$Z$2:$Z$1501,"Online collection 网上收款",'Daily Sale entry '!$X$2:$X$1501,$B$2)))</f>
        <v/>
      </c>
      <c r="Q49" s="24">
        <f>IF($K49="","",IF($B$2="","",SUMIFS('Debtor Ledger'!$K$2:$K$3001,'Debtor Ledger'!$C$2:$C$3001,$K49,'Debtor Ledger'!$B$2:$B$3001,$B$2)))</f>
        <v/>
      </c>
      <c r="R49" s="24">
        <f>IF($K49="","",IF($B$2="","",ROUND(L49+M49-N49-O49-P49-Q49,2)))</f>
        <v/>
      </c>
      <c r="S49" s="21">
        <f>IF(K49="","",IF($B$2="","",IF(ABS(M49)+ABS(N49)+ABS(O49)+ABS(P49)+ABS(Q49)&gt;0,1,0)))</f>
        <v/>
      </c>
      <c r="T49" s="21">
        <f>IF(S49=1,SUM($S$6:S49),"")</f>
        <v/>
      </c>
    </row>
    <row r="50">
      <c r="A50">
        <f>IF($I50="","",INDEX(K$6:K$305,$I50))</f>
        <v/>
      </c>
      <c r="B50" s="6">
        <f>IF($I50="","",INDEX(L$6:L$305,$I50))</f>
        <v/>
      </c>
      <c r="C50" s="6">
        <f>IF($I50="","",INDEX(M$6:M$305,$I50))</f>
        <v/>
      </c>
      <c r="D50" s="6">
        <f>IF($I50="","",INDEX(N$6:N$305,$I50))</f>
        <v/>
      </c>
      <c r="E50" s="6">
        <f>IF($I50="","",INDEX(O$6:O$305,$I50))</f>
        <v/>
      </c>
      <c r="F50" s="6">
        <f>IF($I50="","",INDEX(P$6:P$305,$I50))</f>
        <v/>
      </c>
      <c r="G50" s="6">
        <f>IF($I50="","",INDEX(Q$6:Q$305,$I50))</f>
        <v/>
      </c>
      <c r="H50" s="6">
        <f>IF($I50="","",INDEX(R$6:R$305,$I50))</f>
        <v/>
      </c>
      <c r="I50" s="21">
        <f>IFERROR(MATCH(45,$T$6:$T$305,0),"")</f>
        <v/>
      </c>
      <c r="K50" s="21">
        <f>IF('Debtor Summary'!A49="","",'Debtor Summary'!A49)</f>
        <v/>
      </c>
      <c r="L50" s="24">
        <f>IF($K50="","",IF($B$2="","",ROUND(SUMIFS('Opening Balance'!$F$4:$F$303,'Opening Balance'!$G$4:$G$303,$K50)+SUMIFS('Daily Sale entry '!$S$2:$S$1501,'Daily Sale entry '!$P$2:$P$1501,$K50,'Daily Sale entry '!$Q$2:$Q$1501,"Credit Sale 赊销",'Daily Sale entry '!$O$2:$O$1501,"&lt;"&amp;$B$2)-SUMIFS('Daily Sale entry '!$S$2:$S$1501,'Daily Sale entry '!$P$2:$P$1501,$K50,'Daily Sale entry '!$Q$2:$Q$1501,"Collection 收款",'Daily Sale entry '!$O$2:$O$1501,"&lt;"&amp;$B$2)-SUMIFS('Daily Sale entry '!$AC$2:$AC$1501,'Daily Sale entry '!$AA$2:$AA$1501,$K50,'Daily Sale entry '!$Z$2:$Z$1501,"Online collection 网上收款",'Daily Sale entry '!$X$2:$X$1501,"&lt;"&amp;$B$2)-SUMIFS('Debtor Ledger'!$K$2:$K$3001,'Debtor Ledger'!$C$2:$C$3001,$K50,'Debtor Ledger'!$B$2:$B$3001,"&lt;"&amp;$B$2),2)))</f>
        <v/>
      </c>
      <c r="M50" s="24">
        <f>IF($K50="","",IF($B$2="","",SUMIFS('Daily Sale entry '!$S$2:$S$1501,'Daily Sale entry '!$P$2:$P$1501,$K50,'Daily Sale entry '!$Q$2:$Q$1501,"Credit Sale 赊销",'Daily Sale entry '!$O$2:$O$1501,$B$2)))</f>
        <v/>
      </c>
      <c r="N50" s="24">
        <f>IF($K50="","",IF($B$2="","",SUMIFS('Daily Sale entry '!$S$2:$S$1501,'Daily Sale entry '!$P$2:$P$1501,$K50,'Daily Sale entry '!$Q$2:$Q$1501,"Collection 收款",'Daily Sale entry '!$R$2:$R$1501,"Cash 现金",'Daily Sale entry '!$O$2:$O$1501,$B$2)))</f>
        <v/>
      </c>
      <c r="O50" s="24">
        <f>IF($K50="","",IF($B$2="","",SUMIFS('Daily Sale entry '!$S$2:$S$1501,'Daily Sale entry '!$P$2:$P$1501,$K50,'Daily Sale entry '!$Q$2:$Q$1501,"Collection 收款",'Daily Sale entry '!$R$2:$R$1501,"Cheque 支票",'Daily Sale entry '!$O$2:$O$1501,$B$2)))</f>
        <v/>
      </c>
      <c r="P50" s="24">
        <f>IF($K50="","",IF($B$2="","",SUMIFS('Daily Sale entry '!$AC$2:$AC$1501,'Daily Sale entry '!$AA$2:$AA$1501,$K50,'Daily Sale entry '!$Z$2:$Z$1501,"Online collection 网上收款",'Daily Sale entry '!$X$2:$X$1501,$B$2)))</f>
        <v/>
      </c>
      <c r="Q50" s="24">
        <f>IF($K50="","",IF($B$2="","",SUMIFS('Debtor Ledger'!$K$2:$K$3001,'Debtor Ledger'!$C$2:$C$3001,$K50,'Debtor Ledger'!$B$2:$B$3001,$B$2)))</f>
        <v/>
      </c>
      <c r="R50" s="24">
        <f>IF($K50="","",IF($B$2="","",ROUND(L50+M50-N50-O50-P50-Q50,2)))</f>
        <v/>
      </c>
      <c r="S50" s="21">
        <f>IF(K50="","",IF($B$2="","",IF(ABS(M50)+ABS(N50)+ABS(O50)+ABS(P50)+ABS(Q50)&gt;0,1,0)))</f>
        <v/>
      </c>
      <c r="T50" s="21">
        <f>IF(S50=1,SUM($S$6:S50),"")</f>
        <v/>
      </c>
    </row>
    <row r="51">
      <c r="A51">
        <f>IF($I51="","",INDEX(K$6:K$305,$I51))</f>
        <v/>
      </c>
      <c r="B51" s="6">
        <f>IF($I51="","",INDEX(L$6:L$305,$I51))</f>
        <v/>
      </c>
      <c r="C51" s="6">
        <f>IF($I51="","",INDEX(M$6:M$305,$I51))</f>
        <v/>
      </c>
      <c r="D51" s="6">
        <f>IF($I51="","",INDEX(N$6:N$305,$I51))</f>
        <v/>
      </c>
      <c r="E51" s="6">
        <f>IF($I51="","",INDEX(O$6:O$305,$I51))</f>
        <v/>
      </c>
      <c r="F51" s="6">
        <f>IF($I51="","",INDEX(P$6:P$305,$I51))</f>
        <v/>
      </c>
      <c r="G51" s="6">
        <f>IF($I51="","",INDEX(Q$6:Q$305,$I51))</f>
        <v/>
      </c>
      <c r="H51" s="6">
        <f>IF($I51="","",INDEX(R$6:R$305,$I51))</f>
        <v/>
      </c>
      <c r="I51" s="21">
        <f>IFERROR(MATCH(46,$T$6:$T$305,0),"")</f>
        <v/>
      </c>
      <c r="K51" s="21">
        <f>IF('Debtor Summary'!A50="","",'Debtor Summary'!A50)</f>
        <v/>
      </c>
      <c r="L51" s="24">
        <f>IF($K51="","",IF($B$2="","",ROUND(SUMIFS('Opening Balance'!$F$4:$F$303,'Opening Balance'!$G$4:$G$303,$K51)+SUMIFS('Daily Sale entry '!$S$2:$S$1501,'Daily Sale entry '!$P$2:$P$1501,$K51,'Daily Sale entry '!$Q$2:$Q$1501,"Credit Sale 赊销",'Daily Sale entry '!$O$2:$O$1501,"&lt;"&amp;$B$2)-SUMIFS('Daily Sale entry '!$S$2:$S$1501,'Daily Sale entry '!$P$2:$P$1501,$K51,'Daily Sale entry '!$Q$2:$Q$1501,"Collection 收款",'Daily Sale entry '!$O$2:$O$1501,"&lt;"&amp;$B$2)-SUMIFS('Daily Sale entry '!$AC$2:$AC$1501,'Daily Sale entry '!$AA$2:$AA$1501,$K51,'Daily Sale entry '!$Z$2:$Z$1501,"Online collection 网上收款",'Daily Sale entry '!$X$2:$X$1501,"&lt;"&amp;$B$2)-SUMIFS('Debtor Ledger'!$K$2:$K$3001,'Debtor Ledger'!$C$2:$C$3001,$K51,'Debtor Ledger'!$B$2:$B$3001,"&lt;"&amp;$B$2),2)))</f>
        <v/>
      </c>
      <c r="M51" s="24">
        <f>IF($K51="","",IF($B$2="","",SUMIFS('Daily Sale entry '!$S$2:$S$1501,'Daily Sale entry '!$P$2:$P$1501,$K51,'Daily Sale entry '!$Q$2:$Q$1501,"Credit Sale 赊销",'Daily Sale entry '!$O$2:$O$1501,$B$2)))</f>
        <v/>
      </c>
      <c r="N51" s="24">
        <f>IF($K51="","",IF($B$2="","",SUMIFS('Daily Sale entry '!$S$2:$S$1501,'Daily Sale entry '!$P$2:$P$1501,$K51,'Daily Sale entry '!$Q$2:$Q$1501,"Collection 收款",'Daily Sale entry '!$R$2:$R$1501,"Cash 现金",'Daily Sale entry '!$O$2:$O$1501,$B$2)))</f>
        <v/>
      </c>
      <c r="O51" s="24">
        <f>IF($K51="","",IF($B$2="","",SUMIFS('Daily Sale entry '!$S$2:$S$1501,'Daily Sale entry '!$P$2:$P$1501,$K51,'Daily Sale entry '!$Q$2:$Q$1501,"Collection 收款",'Daily Sale entry '!$R$2:$R$1501,"Cheque 支票",'Daily Sale entry '!$O$2:$O$1501,$B$2)))</f>
        <v/>
      </c>
      <c r="P51" s="24">
        <f>IF($K51="","",IF($B$2="","",SUMIFS('Daily Sale entry '!$AC$2:$AC$1501,'Daily Sale entry '!$AA$2:$AA$1501,$K51,'Daily Sale entry '!$Z$2:$Z$1501,"Online collection 网上收款",'Daily Sale entry '!$X$2:$X$1501,$B$2)))</f>
        <v/>
      </c>
      <c r="Q51" s="24">
        <f>IF($K51="","",IF($B$2="","",SUMIFS('Debtor Ledger'!$K$2:$K$3001,'Debtor Ledger'!$C$2:$C$3001,$K51,'Debtor Ledger'!$B$2:$B$3001,$B$2)))</f>
        <v/>
      </c>
      <c r="R51" s="24">
        <f>IF($K51="","",IF($B$2="","",ROUND(L51+M51-N51-O51-P51-Q51,2)))</f>
        <v/>
      </c>
      <c r="S51" s="21">
        <f>IF(K51="","",IF($B$2="","",IF(ABS(M51)+ABS(N51)+ABS(O51)+ABS(P51)+ABS(Q51)&gt;0,1,0)))</f>
        <v/>
      </c>
      <c r="T51" s="21">
        <f>IF(S51=1,SUM($S$6:S51),"")</f>
        <v/>
      </c>
    </row>
    <row r="52">
      <c r="A52">
        <f>IF($I52="","",INDEX(K$6:K$305,$I52))</f>
        <v/>
      </c>
      <c r="B52" s="6">
        <f>IF($I52="","",INDEX(L$6:L$305,$I52))</f>
        <v/>
      </c>
      <c r="C52" s="6">
        <f>IF($I52="","",INDEX(M$6:M$305,$I52))</f>
        <v/>
      </c>
      <c r="D52" s="6">
        <f>IF($I52="","",INDEX(N$6:N$305,$I52))</f>
        <v/>
      </c>
      <c r="E52" s="6">
        <f>IF($I52="","",INDEX(O$6:O$305,$I52))</f>
        <v/>
      </c>
      <c r="F52" s="6">
        <f>IF($I52="","",INDEX(P$6:P$305,$I52))</f>
        <v/>
      </c>
      <c r="G52" s="6">
        <f>IF($I52="","",INDEX(Q$6:Q$305,$I52))</f>
        <v/>
      </c>
      <c r="H52" s="6">
        <f>IF($I52="","",INDEX(R$6:R$305,$I52))</f>
        <v/>
      </c>
      <c r="I52" s="21">
        <f>IFERROR(MATCH(47,$T$6:$T$305,0),"")</f>
        <v/>
      </c>
      <c r="K52" s="21">
        <f>IF('Debtor Summary'!A51="","",'Debtor Summary'!A51)</f>
        <v/>
      </c>
      <c r="L52" s="24">
        <f>IF($K52="","",IF($B$2="","",ROUND(SUMIFS('Opening Balance'!$F$4:$F$303,'Opening Balance'!$G$4:$G$303,$K52)+SUMIFS('Daily Sale entry '!$S$2:$S$1501,'Daily Sale entry '!$P$2:$P$1501,$K52,'Daily Sale entry '!$Q$2:$Q$1501,"Credit Sale 赊销",'Daily Sale entry '!$O$2:$O$1501,"&lt;"&amp;$B$2)-SUMIFS('Daily Sale entry '!$S$2:$S$1501,'Daily Sale entry '!$P$2:$P$1501,$K52,'Daily Sale entry '!$Q$2:$Q$1501,"Collection 收款",'Daily Sale entry '!$O$2:$O$1501,"&lt;"&amp;$B$2)-SUMIFS('Daily Sale entry '!$AC$2:$AC$1501,'Daily Sale entry '!$AA$2:$AA$1501,$K52,'Daily Sale entry '!$Z$2:$Z$1501,"Online collection 网上收款",'Daily Sale entry '!$X$2:$X$1501,"&lt;"&amp;$B$2)-SUMIFS('Debtor Ledger'!$K$2:$K$3001,'Debtor Ledger'!$C$2:$C$3001,$K52,'Debtor Ledger'!$B$2:$B$3001,"&lt;"&amp;$B$2),2)))</f>
        <v/>
      </c>
      <c r="M52" s="24">
        <f>IF($K52="","",IF($B$2="","",SUMIFS('Daily Sale entry '!$S$2:$S$1501,'Daily Sale entry '!$P$2:$P$1501,$K52,'Daily Sale entry '!$Q$2:$Q$1501,"Credit Sale 赊销",'Daily Sale entry '!$O$2:$O$1501,$B$2)))</f>
        <v/>
      </c>
      <c r="N52" s="24">
        <f>IF($K52="","",IF($B$2="","",SUMIFS('Daily Sale entry '!$S$2:$S$1501,'Daily Sale entry '!$P$2:$P$1501,$K52,'Daily Sale entry '!$Q$2:$Q$1501,"Collection 收款",'Daily Sale entry '!$R$2:$R$1501,"Cash 现金",'Daily Sale entry '!$O$2:$O$1501,$B$2)))</f>
        <v/>
      </c>
      <c r="O52" s="24">
        <f>IF($K52="","",IF($B$2="","",SUMIFS('Daily Sale entry '!$S$2:$S$1501,'Daily Sale entry '!$P$2:$P$1501,$K52,'Daily Sale entry '!$Q$2:$Q$1501,"Collection 收款",'Daily Sale entry '!$R$2:$R$1501,"Cheque 支票",'Daily Sale entry '!$O$2:$O$1501,$B$2)))</f>
        <v/>
      </c>
      <c r="P52" s="24">
        <f>IF($K52="","",IF($B$2="","",SUMIFS('Daily Sale entry '!$AC$2:$AC$1501,'Daily Sale entry '!$AA$2:$AA$1501,$K52,'Daily Sale entry '!$Z$2:$Z$1501,"Online collection 网上收款",'Daily Sale entry '!$X$2:$X$1501,$B$2)))</f>
        <v/>
      </c>
      <c r="Q52" s="24">
        <f>IF($K52="","",IF($B$2="","",SUMIFS('Debtor Ledger'!$K$2:$K$3001,'Debtor Ledger'!$C$2:$C$3001,$K52,'Debtor Ledger'!$B$2:$B$3001,$B$2)))</f>
        <v/>
      </c>
      <c r="R52" s="24">
        <f>IF($K52="","",IF($B$2="","",ROUND(L52+M52-N52-O52-P52-Q52,2)))</f>
        <v/>
      </c>
      <c r="S52" s="21">
        <f>IF(K52="","",IF($B$2="","",IF(ABS(M52)+ABS(N52)+ABS(O52)+ABS(P52)+ABS(Q52)&gt;0,1,0)))</f>
        <v/>
      </c>
      <c r="T52" s="21">
        <f>IF(S52=1,SUM($S$6:S52),"")</f>
        <v/>
      </c>
    </row>
    <row r="53">
      <c r="A53">
        <f>IF($I53="","",INDEX(K$6:K$305,$I53))</f>
        <v/>
      </c>
      <c r="B53" s="6">
        <f>IF($I53="","",INDEX(L$6:L$305,$I53))</f>
        <v/>
      </c>
      <c r="C53" s="6">
        <f>IF($I53="","",INDEX(M$6:M$305,$I53))</f>
        <v/>
      </c>
      <c r="D53" s="6">
        <f>IF($I53="","",INDEX(N$6:N$305,$I53))</f>
        <v/>
      </c>
      <c r="E53" s="6">
        <f>IF($I53="","",INDEX(O$6:O$305,$I53))</f>
        <v/>
      </c>
      <c r="F53" s="6">
        <f>IF($I53="","",INDEX(P$6:P$305,$I53))</f>
        <v/>
      </c>
      <c r="G53" s="6">
        <f>IF($I53="","",INDEX(Q$6:Q$305,$I53))</f>
        <v/>
      </c>
      <c r="H53" s="6">
        <f>IF($I53="","",INDEX(R$6:R$305,$I53))</f>
        <v/>
      </c>
      <c r="I53" s="21">
        <f>IFERROR(MATCH(48,$T$6:$T$305,0),"")</f>
        <v/>
      </c>
      <c r="K53" s="21">
        <f>IF('Debtor Summary'!A52="","",'Debtor Summary'!A52)</f>
        <v/>
      </c>
      <c r="L53" s="24">
        <f>IF($K53="","",IF($B$2="","",ROUND(SUMIFS('Opening Balance'!$F$4:$F$303,'Opening Balance'!$G$4:$G$303,$K53)+SUMIFS('Daily Sale entry '!$S$2:$S$1501,'Daily Sale entry '!$P$2:$P$1501,$K53,'Daily Sale entry '!$Q$2:$Q$1501,"Credit Sale 赊销",'Daily Sale entry '!$O$2:$O$1501,"&lt;"&amp;$B$2)-SUMIFS('Daily Sale entry '!$S$2:$S$1501,'Daily Sale entry '!$P$2:$P$1501,$K53,'Daily Sale entry '!$Q$2:$Q$1501,"Collection 收款",'Daily Sale entry '!$O$2:$O$1501,"&lt;"&amp;$B$2)-SUMIFS('Daily Sale entry '!$AC$2:$AC$1501,'Daily Sale entry '!$AA$2:$AA$1501,$K53,'Daily Sale entry '!$Z$2:$Z$1501,"Online collection 网上收款",'Daily Sale entry '!$X$2:$X$1501,"&lt;"&amp;$B$2)-SUMIFS('Debtor Ledger'!$K$2:$K$3001,'Debtor Ledger'!$C$2:$C$3001,$K53,'Debtor Ledger'!$B$2:$B$3001,"&lt;"&amp;$B$2),2)))</f>
        <v/>
      </c>
      <c r="M53" s="24">
        <f>IF($K53="","",IF($B$2="","",SUMIFS('Daily Sale entry '!$S$2:$S$1501,'Daily Sale entry '!$P$2:$P$1501,$K53,'Daily Sale entry '!$Q$2:$Q$1501,"Credit Sale 赊销",'Daily Sale entry '!$O$2:$O$1501,$B$2)))</f>
        <v/>
      </c>
      <c r="N53" s="24">
        <f>IF($K53="","",IF($B$2="","",SUMIFS('Daily Sale entry '!$S$2:$S$1501,'Daily Sale entry '!$P$2:$P$1501,$K53,'Daily Sale entry '!$Q$2:$Q$1501,"Collection 收款",'Daily Sale entry '!$R$2:$R$1501,"Cash 现金",'Daily Sale entry '!$O$2:$O$1501,$B$2)))</f>
        <v/>
      </c>
      <c r="O53" s="24">
        <f>IF($K53="","",IF($B$2="","",SUMIFS('Daily Sale entry '!$S$2:$S$1501,'Daily Sale entry '!$P$2:$P$1501,$K53,'Daily Sale entry '!$Q$2:$Q$1501,"Collection 收款",'Daily Sale entry '!$R$2:$R$1501,"Cheque 支票",'Daily Sale entry '!$O$2:$O$1501,$B$2)))</f>
        <v/>
      </c>
      <c r="P53" s="24">
        <f>IF($K53="","",IF($B$2="","",SUMIFS('Daily Sale entry '!$AC$2:$AC$1501,'Daily Sale entry '!$AA$2:$AA$1501,$K53,'Daily Sale entry '!$Z$2:$Z$1501,"Online collection 网上收款",'Daily Sale entry '!$X$2:$X$1501,$B$2)))</f>
        <v/>
      </c>
      <c r="Q53" s="24">
        <f>IF($K53="","",IF($B$2="","",SUMIFS('Debtor Ledger'!$K$2:$K$3001,'Debtor Ledger'!$C$2:$C$3001,$K53,'Debtor Ledger'!$B$2:$B$3001,$B$2)))</f>
        <v/>
      </c>
      <c r="R53" s="24">
        <f>IF($K53="","",IF($B$2="","",ROUND(L53+M53-N53-O53-P53-Q53,2)))</f>
        <v/>
      </c>
      <c r="S53" s="21">
        <f>IF(K53="","",IF($B$2="","",IF(ABS(M53)+ABS(N53)+ABS(O53)+ABS(P53)+ABS(Q53)&gt;0,1,0)))</f>
        <v/>
      </c>
      <c r="T53" s="21">
        <f>IF(S53=1,SUM($S$6:S53),"")</f>
        <v/>
      </c>
    </row>
    <row r="54">
      <c r="A54">
        <f>IF($I54="","",INDEX(K$6:K$305,$I54))</f>
        <v/>
      </c>
      <c r="B54" s="6">
        <f>IF($I54="","",INDEX(L$6:L$305,$I54))</f>
        <v/>
      </c>
      <c r="C54" s="6">
        <f>IF($I54="","",INDEX(M$6:M$305,$I54))</f>
        <v/>
      </c>
      <c r="D54" s="6">
        <f>IF($I54="","",INDEX(N$6:N$305,$I54))</f>
        <v/>
      </c>
      <c r="E54" s="6">
        <f>IF($I54="","",INDEX(O$6:O$305,$I54))</f>
        <v/>
      </c>
      <c r="F54" s="6">
        <f>IF($I54="","",INDEX(P$6:P$305,$I54))</f>
        <v/>
      </c>
      <c r="G54" s="6">
        <f>IF($I54="","",INDEX(Q$6:Q$305,$I54))</f>
        <v/>
      </c>
      <c r="H54" s="6">
        <f>IF($I54="","",INDEX(R$6:R$305,$I54))</f>
        <v/>
      </c>
      <c r="I54" s="21">
        <f>IFERROR(MATCH(49,$T$6:$T$305,0),"")</f>
        <v/>
      </c>
      <c r="K54" s="21">
        <f>IF('Debtor Summary'!A53="","",'Debtor Summary'!A53)</f>
        <v/>
      </c>
      <c r="L54" s="24">
        <f>IF($K54="","",IF($B$2="","",ROUND(SUMIFS('Opening Balance'!$F$4:$F$303,'Opening Balance'!$G$4:$G$303,$K54)+SUMIFS('Daily Sale entry '!$S$2:$S$1501,'Daily Sale entry '!$P$2:$P$1501,$K54,'Daily Sale entry '!$Q$2:$Q$1501,"Credit Sale 赊销",'Daily Sale entry '!$O$2:$O$1501,"&lt;"&amp;$B$2)-SUMIFS('Daily Sale entry '!$S$2:$S$1501,'Daily Sale entry '!$P$2:$P$1501,$K54,'Daily Sale entry '!$Q$2:$Q$1501,"Collection 收款",'Daily Sale entry '!$O$2:$O$1501,"&lt;"&amp;$B$2)-SUMIFS('Daily Sale entry '!$AC$2:$AC$1501,'Daily Sale entry '!$AA$2:$AA$1501,$K54,'Daily Sale entry '!$Z$2:$Z$1501,"Online collection 网上收款",'Daily Sale entry '!$X$2:$X$1501,"&lt;"&amp;$B$2)-SUMIFS('Debtor Ledger'!$K$2:$K$3001,'Debtor Ledger'!$C$2:$C$3001,$K54,'Debtor Ledger'!$B$2:$B$3001,"&lt;"&amp;$B$2),2)))</f>
        <v/>
      </c>
      <c r="M54" s="24">
        <f>IF($K54="","",IF($B$2="","",SUMIFS('Daily Sale entry '!$S$2:$S$1501,'Daily Sale entry '!$P$2:$P$1501,$K54,'Daily Sale entry '!$Q$2:$Q$1501,"Credit Sale 赊销",'Daily Sale entry '!$O$2:$O$1501,$B$2)))</f>
        <v/>
      </c>
      <c r="N54" s="24">
        <f>IF($K54="","",IF($B$2="","",SUMIFS('Daily Sale entry '!$S$2:$S$1501,'Daily Sale entry '!$P$2:$P$1501,$K54,'Daily Sale entry '!$Q$2:$Q$1501,"Collection 收款",'Daily Sale entry '!$R$2:$R$1501,"Cash 现金",'Daily Sale entry '!$O$2:$O$1501,$B$2)))</f>
        <v/>
      </c>
      <c r="O54" s="24">
        <f>IF($K54="","",IF($B$2="","",SUMIFS('Daily Sale entry '!$S$2:$S$1501,'Daily Sale entry '!$P$2:$P$1501,$K54,'Daily Sale entry '!$Q$2:$Q$1501,"Collection 收款",'Daily Sale entry '!$R$2:$R$1501,"Cheque 支票",'Daily Sale entry '!$O$2:$O$1501,$B$2)))</f>
        <v/>
      </c>
      <c r="P54" s="24">
        <f>IF($K54="","",IF($B$2="","",SUMIFS('Daily Sale entry '!$AC$2:$AC$1501,'Daily Sale entry '!$AA$2:$AA$1501,$K54,'Daily Sale entry '!$Z$2:$Z$1501,"Online collection 网上收款",'Daily Sale entry '!$X$2:$X$1501,$B$2)))</f>
        <v/>
      </c>
      <c r="Q54" s="24">
        <f>IF($K54="","",IF($B$2="","",SUMIFS('Debtor Ledger'!$K$2:$K$3001,'Debtor Ledger'!$C$2:$C$3001,$K54,'Debtor Ledger'!$B$2:$B$3001,$B$2)))</f>
        <v/>
      </c>
      <c r="R54" s="24">
        <f>IF($K54="","",IF($B$2="","",ROUND(L54+M54-N54-O54-P54-Q54,2)))</f>
        <v/>
      </c>
      <c r="S54" s="21">
        <f>IF(K54="","",IF($B$2="","",IF(ABS(M54)+ABS(N54)+ABS(O54)+ABS(P54)+ABS(Q54)&gt;0,1,0)))</f>
        <v/>
      </c>
      <c r="T54" s="21">
        <f>IF(S54=1,SUM($S$6:S54),"")</f>
        <v/>
      </c>
    </row>
    <row r="55">
      <c r="A55">
        <f>IF($I55="","",INDEX(K$6:K$305,$I55))</f>
        <v/>
      </c>
      <c r="B55" s="6">
        <f>IF($I55="","",INDEX(L$6:L$305,$I55))</f>
        <v/>
      </c>
      <c r="C55" s="6">
        <f>IF($I55="","",INDEX(M$6:M$305,$I55))</f>
        <v/>
      </c>
      <c r="D55" s="6">
        <f>IF($I55="","",INDEX(N$6:N$305,$I55))</f>
        <v/>
      </c>
      <c r="E55" s="6">
        <f>IF($I55="","",INDEX(O$6:O$305,$I55))</f>
        <v/>
      </c>
      <c r="F55" s="6">
        <f>IF($I55="","",INDEX(P$6:P$305,$I55))</f>
        <v/>
      </c>
      <c r="G55" s="6">
        <f>IF($I55="","",INDEX(Q$6:Q$305,$I55))</f>
        <v/>
      </c>
      <c r="H55" s="6">
        <f>IF($I55="","",INDEX(R$6:R$305,$I55))</f>
        <v/>
      </c>
      <c r="I55" s="21">
        <f>IFERROR(MATCH(50,$T$6:$T$305,0),"")</f>
        <v/>
      </c>
      <c r="K55" s="21">
        <f>IF('Debtor Summary'!A54="","",'Debtor Summary'!A54)</f>
        <v/>
      </c>
      <c r="L55" s="24">
        <f>IF($K55="","",IF($B$2="","",ROUND(SUMIFS('Opening Balance'!$F$4:$F$303,'Opening Balance'!$G$4:$G$303,$K55)+SUMIFS('Daily Sale entry '!$S$2:$S$1501,'Daily Sale entry '!$P$2:$P$1501,$K55,'Daily Sale entry '!$Q$2:$Q$1501,"Credit Sale 赊销",'Daily Sale entry '!$O$2:$O$1501,"&lt;"&amp;$B$2)-SUMIFS('Daily Sale entry '!$S$2:$S$1501,'Daily Sale entry '!$P$2:$P$1501,$K55,'Daily Sale entry '!$Q$2:$Q$1501,"Collection 收款",'Daily Sale entry '!$O$2:$O$1501,"&lt;"&amp;$B$2)-SUMIFS('Daily Sale entry '!$AC$2:$AC$1501,'Daily Sale entry '!$AA$2:$AA$1501,$K55,'Daily Sale entry '!$Z$2:$Z$1501,"Online collection 网上收款",'Daily Sale entry '!$X$2:$X$1501,"&lt;"&amp;$B$2)-SUMIFS('Debtor Ledger'!$K$2:$K$3001,'Debtor Ledger'!$C$2:$C$3001,$K55,'Debtor Ledger'!$B$2:$B$3001,"&lt;"&amp;$B$2),2)))</f>
        <v/>
      </c>
      <c r="M55" s="24">
        <f>IF($K55="","",IF($B$2="","",SUMIFS('Daily Sale entry '!$S$2:$S$1501,'Daily Sale entry '!$P$2:$P$1501,$K55,'Daily Sale entry '!$Q$2:$Q$1501,"Credit Sale 赊销",'Daily Sale entry '!$O$2:$O$1501,$B$2)))</f>
        <v/>
      </c>
      <c r="N55" s="24">
        <f>IF($K55="","",IF($B$2="","",SUMIFS('Daily Sale entry '!$S$2:$S$1501,'Daily Sale entry '!$P$2:$P$1501,$K55,'Daily Sale entry '!$Q$2:$Q$1501,"Collection 收款",'Daily Sale entry '!$R$2:$R$1501,"Cash 现金",'Daily Sale entry '!$O$2:$O$1501,$B$2)))</f>
        <v/>
      </c>
      <c r="O55" s="24">
        <f>IF($K55="","",IF($B$2="","",SUMIFS('Daily Sale entry '!$S$2:$S$1501,'Daily Sale entry '!$P$2:$P$1501,$K55,'Daily Sale entry '!$Q$2:$Q$1501,"Collection 收款",'Daily Sale entry '!$R$2:$R$1501,"Cheque 支票",'Daily Sale entry '!$O$2:$O$1501,$B$2)))</f>
        <v/>
      </c>
      <c r="P55" s="24">
        <f>IF($K55="","",IF($B$2="","",SUMIFS('Daily Sale entry '!$AC$2:$AC$1501,'Daily Sale entry '!$AA$2:$AA$1501,$K55,'Daily Sale entry '!$Z$2:$Z$1501,"Online collection 网上收款",'Daily Sale entry '!$X$2:$X$1501,$B$2)))</f>
        <v/>
      </c>
      <c r="Q55" s="24">
        <f>IF($K55="","",IF($B$2="","",SUMIFS('Debtor Ledger'!$K$2:$K$3001,'Debtor Ledger'!$C$2:$C$3001,$K55,'Debtor Ledger'!$B$2:$B$3001,$B$2)))</f>
        <v/>
      </c>
      <c r="R55" s="24">
        <f>IF($K55="","",IF($B$2="","",ROUND(L55+M55-N55-O55-P55-Q55,2)))</f>
        <v/>
      </c>
      <c r="S55" s="21">
        <f>IF(K55="","",IF($B$2="","",IF(ABS(M55)+ABS(N55)+ABS(O55)+ABS(P55)+ABS(Q55)&gt;0,1,0)))</f>
        <v/>
      </c>
      <c r="T55" s="21">
        <f>IF(S55=1,SUM($S$6:S55),"")</f>
        <v/>
      </c>
    </row>
    <row r="56">
      <c r="A56">
        <f>IF($I56="","",INDEX(K$6:K$305,$I56))</f>
        <v/>
      </c>
      <c r="B56" s="6">
        <f>IF($I56="","",INDEX(L$6:L$305,$I56))</f>
        <v/>
      </c>
      <c r="C56" s="6">
        <f>IF($I56="","",INDEX(M$6:M$305,$I56))</f>
        <v/>
      </c>
      <c r="D56" s="6">
        <f>IF($I56="","",INDEX(N$6:N$305,$I56))</f>
        <v/>
      </c>
      <c r="E56" s="6">
        <f>IF($I56="","",INDEX(O$6:O$305,$I56))</f>
        <v/>
      </c>
      <c r="F56" s="6">
        <f>IF($I56="","",INDEX(P$6:P$305,$I56))</f>
        <v/>
      </c>
      <c r="G56" s="6">
        <f>IF($I56="","",INDEX(Q$6:Q$305,$I56))</f>
        <v/>
      </c>
      <c r="H56" s="6">
        <f>IF($I56="","",INDEX(R$6:R$305,$I56))</f>
        <v/>
      </c>
      <c r="I56" s="21">
        <f>IFERROR(MATCH(51,$T$6:$T$305,0),"")</f>
        <v/>
      </c>
      <c r="K56" s="21">
        <f>IF('Debtor Summary'!A55="","",'Debtor Summary'!A55)</f>
        <v/>
      </c>
      <c r="L56" s="24">
        <f>IF($K56="","",IF($B$2="","",ROUND(SUMIFS('Opening Balance'!$F$4:$F$303,'Opening Balance'!$G$4:$G$303,$K56)+SUMIFS('Daily Sale entry '!$S$2:$S$1501,'Daily Sale entry '!$P$2:$P$1501,$K56,'Daily Sale entry '!$Q$2:$Q$1501,"Credit Sale 赊销",'Daily Sale entry '!$O$2:$O$1501,"&lt;"&amp;$B$2)-SUMIFS('Daily Sale entry '!$S$2:$S$1501,'Daily Sale entry '!$P$2:$P$1501,$K56,'Daily Sale entry '!$Q$2:$Q$1501,"Collection 收款",'Daily Sale entry '!$O$2:$O$1501,"&lt;"&amp;$B$2)-SUMIFS('Daily Sale entry '!$AC$2:$AC$1501,'Daily Sale entry '!$AA$2:$AA$1501,$K56,'Daily Sale entry '!$Z$2:$Z$1501,"Online collection 网上收款",'Daily Sale entry '!$X$2:$X$1501,"&lt;"&amp;$B$2)-SUMIFS('Debtor Ledger'!$K$2:$K$3001,'Debtor Ledger'!$C$2:$C$3001,$K56,'Debtor Ledger'!$B$2:$B$3001,"&lt;"&amp;$B$2),2)))</f>
        <v/>
      </c>
      <c r="M56" s="24">
        <f>IF($K56="","",IF($B$2="","",SUMIFS('Daily Sale entry '!$S$2:$S$1501,'Daily Sale entry '!$P$2:$P$1501,$K56,'Daily Sale entry '!$Q$2:$Q$1501,"Credit Sale 赊销",'Daily Sale entry '!$O$2:$O$1501,$B$2)))</f>
        <v/>
      </c>
      <c r="N56" s="24">
        <f>IF($K56="","",IF($B$2="","",SUMIFS('Daily Sale entry '!$S$2:$S$1501,'Daily Sale entry '!$P$2:$P$1501,$K56,'Daily Sale entry '!$Q$2:$Q$1501,"Collection 收款",'Daily Sale entry '!$R$2:$R$1501,"Cash 现金",'Daily Sale entry '!$O$2:$O$1501,$B$2)))</f>
        <v/>
      </c>
      <c r="O56" s="24">
        <f>IF($K56="","",IF($B$2="","",SUMIFS('Daily Sale entry '!$S$2:$S$1501,'Daily Sale entry '!$P$2:$P$1501,$K56,'Daily Sale entry '!$Q$2:$Q$1501,"Collection 收款",'Daily Sale entry '!$R$2:$R$1501,"Cheque 支票",'Daily Sale entry '!$O$2:$O$1501,$B$2)))</f>
        <v/>
      </c>
      <c r="P56" s="24">
        <f>IF($K56="","",IF($B$2="","",SUMIFS('Daily Sale entry '!$AC$2:$AC$1501,'Daily Sale entry '!$AA$2:$AA$1501,$K56,'Daily Sale entry '!$Z$2:$Z$1501,"Online collection 网上收款",'Daily Sale entry '!$X$2:$X$1501,$B$2)))</f>
        <v/>
      </c>
      <c r="Q56" s="24">
        <f>IF($K56="","",IF($B$2="","",SUMIFS('Debtor Ledger'!$K$2:$K$3001,'Debtor Ledger'!$C$2:$C$3001,$K56,'Debtor Ledger'!$B$2:$B$3001,$B$2)))</f>
        <v/>
      </c>
      <c r="R56" s="24">
        <f>IF($K56="","",IF($B$2="","",ROUND(L56+M56-N56-O56-P56-Q56,2)))</f>
        <v/>
      </c>
      <c r="S56" s="21">
        <f>IF(K56="","",IF($B$2="","",IF(ABS(M56)+ABS(N56)+ABS(O56)+ABS(P56)+ABS(Q56)&gt;0,1,0)))</f>
        <v/>
      </c>
      <c r="T56" s="21">
        <f>IF(S56=1,SUM($S$6:S56),"")</f>
        <v/>
      </c>
    </row>
    <row r="57">
      <c r="A57">
        <f>IF($I57="","",INDEX(K$6:K$305,$I57))</f>
        <v/>
      </c>
      <c r="B57" s="6">
        <f>IF($I57="","",INDEX(L$6:L$305,$I57))</f>
        <v/>
      </c>
      <c r="C57" s="6">
        <f>IF($I57="","",INDEX(M$6:M$305,$I57))</f>
        <v/>
      </c>
      <c r="D57" s="6">
        <f>IF($I57="","",INDEX(N$6:N$305,$I57))</f>
        <v/>
      </c>
      <c r="E57" s="6">
        <f>IF($I57="","",INDEX(O$6:O$305,$I57))</f>
        <v/>
      </c>
      <c r="F57" s="6">
        <f>IF($I57="","",INDEX(P$6:P$305,$I57))</f>
        <v/>
      </c>
      <c r="G57" s="6">
        <f>IF($I57="","",INDEX(Q$6:Q$305,$I57))</f>
        <v/>
      </c>
      <c r="H57" s="6">
        <f>IF($I57="","",INDEX(R$6:R$305,$I57))</f>
        <v/>
      </c>
      <c r="I57" s="21">
        <f>IFERROR(MATCH(52,$T$6:$T$305,0),"")</f>
        <v/>
      </c>
      <c r="K57" s="21">
        <f>IF('Debtor Summary'!A56="","",'Debtor Summary'!A56)</f>
        <v/>
      </c>
      <c r="L57" s="24">
        <f>IF($K57="","",IF($B$2="","",ROUND(SUMIFS('Opening Balance'!$F$4:$F$303,'Opening Balance'!$G$4:$G$303,$K57)+SUMIFS('Daily Sale entry '!$S$2:$S$1501,'Daily Sale entry '!$P$2:$P$1501,$K57,'Daily Sale entry '!$Q$2:$Q$1501,"Credit Sale 赊销",'Daily Sale entry '!$O$2:$O$1501,"&lt;"&amp;$B$2)-SUMIFS('Daily Sale entry '!$S$2:$S$1501,'Daily Sale entry '!$P$2:$P$1501,$K57,'Daily Sale entry '!$Q$2:$Q$1501,"Collection 收款",'Daily Sale entry '!$O$2:$O$1501,"&lt;"&amp;$B$2)-SUMIFS('Daily Sale entry '!$AC$2:$AC$1501,'Daily Sale entry '!$AA$2:$AA$1501,$K57,'Daily Sale entry '!$Z$2:$Z$1501,"Online collection 网上收款",'Daily Sale entry '!$X$2:$X$1501,"&lt;"&amp;$B$2)-SUMIFS('Debtor Ledger'!$K$2:$K$3001,'Debtor Ledger'!$C$2:$C$3001,$K57,'Debtor Ledger'!$B$2:$B$3001,"&lt;"&amp;$B$2),2)))</f>
        <v/>
      </c>
      <c r="M57" s="24">
        <f>IF($K57="","",IF($B$2="","",SUMIFS('Daily Sale entry '!$S$2:$S$1501,'Daily Sale entry '!$P$2:$P$1501,$K57,'Daily Sale entry '!$Q$2:$Q$1501,"Credit Sale 赊销",'Daily Sale entry '!$O$2:$O$1501,$B$2)))</f>
        <v/>
      </c>
      <c r="N57" s="24">
        <f>IF($K57="","",IF($B$2="","",SUMIFS('Daily Sale entry '!$S$2:$S$1501,'Daily Sale entry '!$P$2:$P$1501,$K57,'Daily Sale entry '!$Q$2:$Q$1501,"Collection 收款",'Daily Sale entry '!$R$2:$R$1501,"Cash 现金",'Daily Sale entry '!$O$2:$O$1501,$B$2)))</f>
        <v/>
      </c>
      <c r="O57" s="24">
        <f>IF($K57="","",IF($B$2="","",SUMIFS('Daily Sale entry '!$S$2:$S$1501,'Daily Sale entry '!$P$2:$P$1501,$K57,'Daily Sale entry '!$Q$2:$Q$1501,"Collection 收款",'Daily Sale entry '!$R$2:$R$1501,"Cheque 支票",'Daily Sale entry '!$O$2:$O$1501,$B$2)))</f>
        <v/>
      </c>
      <c r="P57" s="24">
        <f>IF($K57="","",IF($B$2="","",SUMIFS('Daily Sale entry '!$AC$2:$AC$1501,'Daily Sale entry '!$AA$2:$AA$1501,$K57,'Daily Sale entry '!$Z$2:$Z$1501,"Online collection 网上收款",'Daily Sale entry '!$X$2:$X$1501,$B$2)))</f>
        <v/>
      </c>
      <c r="Q57" s="24">
        <f>IF($K57="","",IF($B$2="","",SUMIFS('Debtor Ledger'!$K$2:$K$3001,'Debtor Ledger'!$C$2:$C$3001,$K57,'Debtor Ledger'!$B$2:$B$3001,$B$2)))</f>
        <v/>
      </c>
      <c r="R57" s="24">
        <f>IF($K57="","",IF($B$2="","",ROUND(L57+M57-N57-O57-P57-Q57,2)))</f>
        <v/>
      </c>
      <c r="S57" s="21">
        <f>IF(K57="","",IF($B$2="","",IF(ABS(M57)+ABS(N57)+ABS(O57)+ABS(P57)+ABS(Q57)&gt;0,1,0)))</f>
        <v/>
      </c>
      <c r="T57" s="21">
        <f>IF(S57=1,SUM($S$6:S57),"")</f>
        <v/>
      </c>
    </row>
    <row r="58">
      <c r="A58">
        <f>IF($I58="","",INDEX(K$6:K$305,$I58))</f>
        <v/>
      </c>
      <c r="B58" s="6">
        <f>IF($I58="","",INDEX(L$6:L$305,$I58))</f>
        <v/>
      </c>
      <c r="C58" s="6">
        <f>IF($I58="","",INDEX(M$6:M$305,$I58))</f>
        <v/>
      </c>
      <c r="D58" s="6">
        <f>IF($I58="","",INDEX(N$6:N$305,$I58))</f>
        <v/>
      </c>
      <c r="E58" s="6">
        <f>IF($I58="","",INDEX(O$6:O$305,$I58))</f>
        <v/>
      </c>
      <c r="F58" s="6">
        <f>IF($I58="","",INDEX(P$6:P$305,$I58))</f>
        <v/>
      </c>
      <c r="G58" s="6">
        <f>IF($I58="","",INDEX(Q$6:Q$305,$I58))</f>
        <v/>
      </c>
      <c r="H58" s="6">
        <f>IF($I58="","",INDEX(R$6:R$305,$I58))</f>
        <v/>
      </c>
      <c r="I58" s="21">
        <f>IFERROR(MATCH(53,$T$6:$T$305,0),"")</f>
        <v/>
      </c>
      <c r="K58" s="21">
        <f>IF('Debtor Summary'!A57="","",'Debtor Summary'!A57)</f>
        <v/>
      </c>
      <c r="L58" s="24">
        <f>IF($K58="","",IF($B$2="","",ROUND(SUMIFS('Opening Balance'!$F$4:$F$303,'Opening Balance'!$G$4:$G$303,$K58)+SUMIFS('Daily Sale entry '!$S$2:$S$1501,'Daily Sale entry '!$P$2:$P$1501,$K58,'Daily Sale entry '!$Q$2:$Q$1501,"Credit Sale 赊销",'Daily Sale entry '!$O$2:$O$1501,"&lt;"&amp;$B$2)-SUMIFS('Daily Sale entry '!$S$2:$S$1501,'Daily Sale entry '!$P$2:$P$1501,$K58,'Daily Sale entry '!$Q$2:$Q$1501,"Collection 收款",'Daily Sale entry '!$O$2:$O$1501,"&lt;"&amp;$B$2)-SUMIFS('Daily Sale entry '!$AC$2:$AC$1501,'Daily Sale entry '!$AA$2:$AA$1501,$K58,'Daily Sale entry '!$Z$2:$Z$1501,"Online collection 网上收款",'Daily Sale entry '!$X$2:$X$1501,"&lt;"&amp;$B$2)-SUMIFS('Debtor Ledger'!$K$2:$K$3001,'Debtor Ledger'!$C$2:$C$3001,$K58,'Debtor Ledger'!$B$2:$B$3001,"&lt;"&amp;$B$2),2)))</f>
        <v/>
      </c>
      <c r="M58" s="24">
        <f>IF($K58="","",IF($B$2="","",SUMIFS('Daily Sale entry '!$S$2:$S$1501,'Daily Sale entry '!$P$2:$P$1501,$K58,'Daily Sale entry '!$Q$2:$Q$1501,"Credit Sale 赊销",'Daily Sale entry '!$O$2:$O$1501,$B$2)))</f>
        <v/>
      </c>
      <c r="N58" s="24">
        <f>IF($K58="","",IF($B$2="","",SUMIFS('Daily Sale entry '!$S$2:$S$1501,'Daily Sale entry '!$P$2:$P$1501,$K58,'Daily Sale entry '!$Q$2:$Q$1501,"Collection 收款",'Daily Sale entry '!$R$2:$R$1501,"Cash 现金",'Daily Sale entry '!$O$2:$O$1501,$B$2)))</f>
        <v/>
      </c>
      <c r="O58" s="24">
        <f>IF($K58="","",IF($B$2="","",SUMIFS('Daily Sale entry '!$S$2:$S$1501,'Daily Sale entry '!$P$2:$P$1501,$K58,'Daily Sale entry '!$Q$2:$Q$1501,"Collection 收款",'Daily Sale entry '!$R$2:$R$1501,"Cheque 支票",'Daily Sale entry '!$O$2:$O$1501,$B$2)))</f>
        <v/>
      </c>
      <c r="P58" s="24">
        <f>IF($K58="","",IF($B$2="","",SUMIFS('Daily Sale entry '!$AC$2:$AC$1501,'Daily Sale entry '!$AA$2:$AA$1501,$K58,'Daily Sale entry '!$Z$2:$Z$1501,"Online collection 网上收款",'Daily Sale entry '!$X$2:$X$1501,$B$2)))</f>
        <v/>
      </c>
      <c r="Q58" s="24">
        <f>IF($K58="","",IF($B$2="","",SUMIFS('Debtor Ledger'!$K$2:$K$3001,'Debtor Ledger'!$C$2:$C$3001,$K58,'Debtor Ledger'!$B$2:$B$3001,$B$2)))</f>
        <v/>
      </c>
      <c r="R58" s="24">
        <f>IF($K58="","",IF($B$2="","",ROUND(L58+M58-N58-O58-P58-Q58,2)))</f>
        <v/>
      </c>
      <c r="S58" s="21">
        <f>IF(K58="","",IF($B$2="","",IF(ABS(M58)+ABS(N58)+ABS(O58)+ABS(P58)+ABS(Q58)&gt;0,1,0)))</f>
        <v/>
      </c>
      <c r="T58" s="21">
        <f>IF(S58=1,SUM($S$6:S58),"")</f>
        <v/>
      </c>
    </row>
    <row r="59">
      <c r="A59">
        <f>IF($I59="","",INDEX(K$6:K$305,$I59))</f>
        <v/>
      </c>
      <c r="B59" s="6">
        <f>IF($I59="","",INDEX(L$6:L$305,$I59))</f>
        <v/>
      </c>
      <c r="C59" s="6">
        <f>IF($I59="","",INDEX(M$6:M$305,$I59))</f>
        <v/>
      </c>
      <c r="D59" s="6">
        <f>IF($I59="","",INDEX(N$6:N$305,$I59))</f>
        <v/>
      </c>
      <c r="E59" s="6">
        <f>IF($I59="","",INDEX(O$6:O$305,$I59))</f>
        <v/>
      </c>
      <c r="F59" s="6">
        <f>IF($I59="","",INDEX(P$6:P$305,$I59))</f>
        <v/>
      </c>
      <c r="G59" s="6">
        <f>IF($I59="","",INDEX(Q$6:Q$305,$I59))</f>
        <v/>
      </c>
      <c r="H59" s="6">
        <f>IF($I59="","",INDEX(R$6:R$305,$I59))</f>
        <v/>
      </c>
      <c r="I59" s="21">
        <f>IFERROR(MATCH(54,$T$6:$T$305,0),"")</f>
        <v/>
      </c>
      <c r="K59" s="21">
        <f>IF('Debtor Summary'!A58="","",'Debtor Summary'!A58)</f>
        <v/>
      </c>
      <c r="L59" s="24">
        <f>IF($K59="","",IF($B$2="","",ROUND(SUMIFS('Opening Balance'!$F$4:$F$303,'Opening Balance'!$G$4:$G$303,$K59)+SUMIFS('Daily Sale entry '!$S$2:$S$1501,'Daily Sale entry '!$P$2:$P$1501,$K59,'Daily Sale entry '!$Q$2:$Q$1501,"Credit Sale 赊销",'Daily Sale entry '!$O$2:$O$1501,"&lt;"&amp;$B$2)-SUMIFS('Daily Sale entry '!$S$2:$S$1501,'Daily Sale entry '!$P$2:$P$1501,$K59,'Daily Sale entry '!$Q$2:$Q$1501,"Collection 收款",'Daily Sale entry '!$O$2:$O$1501,"&lt;"&amp;$B$2)-SUMIFS('Daily Sale entry '!$AC$2:$AC$1501,'Daily Sale entry '!$AA$2:$AA$1501,$K59,'Daily Sale entry '!$Z$2:$Z$1501,"Online collection 网上收款",'Daily Sale entry '!$X$2:$X$1501,"&lt;"&amp;$B$2)-SUMIFS('Debtor Ledger'!$K$2:$K$3001,'Debtor Ledger'!$C$2:$C$3001,$K59,'Debtor Ledger'!$B$2:$B$3001,"&lt;"&amp;$B$2),2)))</f>
        <v/>
      </c>
      <c r="M59" s="24">
        <f>IF($K59="","",IF($B$2="","",SUMIFS('Daily Sale entry '!$S$2:$S$1501,'Daily Sale entry '!$P$2:$P$1501,$K59,'Daily Sale entry '!$Q$2:$Q$1501,"Credit Sale 赊销",'Daily Sale entry '!$O$2:$O$1501,$B$2)))</f>
        <v/>
      </c>
      <c r="N59" s="24">
        <f>IF($K59="","",IF($B$2="","",SUMIFS('Daily Sale entry '!$S$2:$S$1501,'Daily Sale entry '!$P$2:$P$1501,$K59,'Daily Sale entry '!$Q$2:$Q$1501,"Collection 收款",'Daily Sale entry '!$R$2:$R$1501,"Cash 现金",'Daily Sale entry '!$O$2:$O$1501,$B$2)))</f>
        <v/>
      </c>
      <c r="O59" s="24">
        <f>IF($K59="","",IF($B$2="","",SUMIFS('Daily Sale entry '!$S$2:$S$1501,'Daily Sale entry '!$P$2:$P$1501,$K59,'Daily Sale entry '!$Q$2:$Q$1501,"Collection 收款",'Daily Sale entry '!$R$2:$R$1501,"Cheque 支票",'Daily Sale entry '!$O$2:$O$1501,$B$2)))</f>
        <v/>
      </c>
      <c r="P59" s="24">
        <f>IF($K59="","",IF($B$2="","",SUMIFS('Daily Sale entry '!$AC$2:$AC$1501,'Daily Sale entry '!$AA$2:$AA$1501,$K59,'Daily Sale entry '!$Z$2:$Z$1501,"Online collection 网上收款",'Daily Sale entry '!$X$2:$X$1501,$B$2)))</f>
        <v/>
      </c>
      <c r="Q59" s="24">
        <f>IF($K59="","",IF($B$2="","",SUMIFS('Debtor Ledger'!$K$2:$K$3001,'Debtor Ledger'!$C$2:$C$3001,$K59,'Debtor Ledger'!$B$2:$B$3001,$B$2)))</f>
        <v/>
      </c>
      <c r="R59" s="24">
        <f>IF($K59="","",IF($B$2="","",ROUND(L59+M59-N59-O59-P59-Q59,2)))</f>
        <v/>
      </c>
      <c r="S59" s="21">
        <f>IF(K59="","",IF($B$2="","",IF(ABS(M59)+ABS(N59)+ABS(O59)+ABS(P59)+ABS(Q59)&gt;0,1,0)))</f>
        <v/>
      </c>
      <c r="T59" s="21">
        <f>IF(S59=1,SUM($S$6:S59),"")</f>
        <v/>
      </c>
    </row>
    <row r="60">
      <c r="A60">
        <f>IF($I60="","",INDEX(K$6:K$305,$I60))</f>
        <v/>
      </c>
      <c r="B60" s="6">
        <f>IF($I60="","",INDEX(L$6:L$305,$I60))</f>
        <v/>
      </c>
      <c r="C60" s="6">
        <f>IF($I60="","",INDEX(M$6:M$305,$I60))</f>
        <v/>
      </c>
      <c r="D60" s="6">
        <f>IF($I60="","",INDEX(N$6:N$305,$I60))</f>
        <v/>
      </c>
      <c r="E60" s="6">
        <f>IF($I60="","",INDEX(O$6:O$305,$I60))</f>
        <v/>
      </c>
      <c r="F60" s="6">
        <f>IF($I60="","",INDEX(P$6:P$305,$I60))</f>
        <v/>
      </c>
      <c r="G60" s="6">
        <f>IF($I60="","",INDEX(Q$6:Q$305,$I60))</f>
        <v/>
      </c>
      <c r="H60" s="6">
        <f>IF($I60="","",INDEX(R$6:R$305,$I60))</f>
        <v/>
      </c>
      <c r="I60" s="21">
        <f>IFERROR(MATCH(55,$T$6:$T$305,0),"")</f>
        <v/>
      </c>
      <c r="K60" s="21">
        <f>IF('Debtor Summary'!A59="","",'Debtor Summary'!A59)</f>
        <v/>
      </c>
      <c r="L60" s="24">
        <f>IF($K60="","",IF($B$2="","",ROUND(SUMIFS('Opening Balance'!$F$4:$F$303,'Opening Balance'!$G$4:$G$303,$K60)+SUMIFS('Daily Sale entry '!$S$2:$S$1501,'Daily Sale entry '!$P$2:$P$1501,$K60,'Daily Sale entry '!$Q$2:$Q$1501,"Credit Sale 赊销",'Daily Sale entry '!$O$2:$O$1501,"&lt;"&amp;$B$2)-SUMIFS('Daily Sale entry '!$S$2:$S$1501,'Daily Sale entry '!$P$2:$P$1501,$K60,'Daily Sale entry '!$Q$2:$Q$1501,"Collection 收款",'Daily Sale entry '!$O$2:$O$1501,"&lt;"&amp;$B$2)-SUMIFS('Daily Sale entry '!$AC$2:$AC$1501,'Daily Sale entry '!$AA$2:$AA$1501,$K60,'Daily Sale entry '!$Z$2:$Z$1501,"Online collection 网上收款",'Daily Sale entry '!$X$2:$X$1501,"&lt;"&amp;$B$2)-SUMIFS('Debtor Ledger'!$K$2:$K$3001,'Debtor Ledger'!$C$2:$C$3001,$K60,'Debtor Ledger'!$B$2:$B$3001,"&lt;"&amp;$B$2),2)))</f>
        <v/>
      </c>
      <c r="M60" s="24">
        <f>IF($K60="","",IF($B$2="","",SUMIFS('Daily Sale entry '!$S$2:$S$1501,'Daily Sale entry '!$P$2:$P$1501,$K60,'Daily Sale entry '!$Q$2:$Q$1501,"Credit Sale 赊销",'Daily Sale entry '!$O$2:$O$1501,$B$2)))</f>
        <v/>
      </c>
      <c r="N60" s="24">
        <f>IF($K60="","",IF($B$2="","",SUMIFS('Daily Sale entry '!$S$2:$S$1501,'Daily Sale entry '!$P$2:$P$1501,$K60,'Daily Sale entry '!$Q$2:$Q$1501,"Collection 收款",'Daily Sale entry '!$R$2:$R$1501,"Cash 现金",'Daily Sale entry '!$O$2:$O$1501,$B$2)))</f>
        <v/>
      </c>
      <c r="O60" s="24">
        <f>IF($K60="","",IF($B$2="","",SUMIFS('Daily Sale entry '!$S$2:$S$1501,'Daily Sale entry '!$P$2:$P$1501,$K60,'Daily Sale entry '!$Q$2:$Q$1501,"Collection 收款",'Daily Sale entry '!$R$2:$R$1501,"Cheque 支票",'Daily Sale entry '!$O$2:$O$1501,$B$2)))</f>
        <v/>
      </c>
      <c r="P60" s="24">
        <f>IF($K60="","",IF($B$2="","",SUMIFS('Daily Sale entry '!$AC$2:$AC$1501,'Daily Sale entry '!$AA$2:$AA$1501,$K60,'Daily Sale entry '!$Z$2:$Z$1501,"Online collection 网上收款",'Daily Sale entry '!$X$2:$X$1501,$B$2)))</f>
        <v/>
      </c>
      <c r="Q60" s="24">
        <f>IF($K60="","",IF($B$2="","",SUMIFS('Debtor Ledger'!$K$2:$K$3001,'Debtor Ledger'!$C$2:$C$3001,$K60,'Debtor Ledger'!$B$2:$B$3001,$B$2)))</f>
        <v/>
      </c>
      <c r="R60" s="24">
        <f>IF($K60="","",IF($B$2="","",ROUND(L60+M60-N60-O60-P60-Q60,2)))</f>
        <v/>
      </c>
      <c r="S60" s="21">
        <f>IF(K60="","",IF($B$2="","",IF(ABS(M60)+ABS(N60)+ABS(O60)+ABS(P60)+ABS(Q60)&gt;0,1,0)))</f>
        <v/>
      </c>
      <c r="T60" s="21">
        <f>IF(S60=1,SUM($S$6:S60),"")</f>
        <v/>
      </c>
    </row>
    <row r="61">
      <c r="A61">
        <f>IF($I61="","",INDEX(K$6:K$305,$I61))</f>
        <v/>
      </c>
      <c r="B61" s="6">
        <f>IF($I61="","",INDEX(L$6:L$305,$I61))</f>
        <v/>
      </c>
      <c r="C61" s="6">
        <f>IF($I61="","",INDEX(M$6:M$305,$I61))</f>
        <v/>
      </c>
      <c r="D61" s="6">
        <f>IF($I61="","",INDEX(N$6:N$305,$I61))</f>
        <v/>
      </c>
      <c r="E61" s="6">
        <f>IF($I61="","",INDEX(O$6:O$305,$I61))</f>
        <v/>
      </c>
      <c r="F61" s="6">
        <f>IF($I61="","",INDEX(P$6:P$305,$I61))</f>
        <v/>
      </c>
      <c r="G61" s="6">
        <f>IF($I61="","",INDEX(Q$6:Q$305,$I61))</f>
        <v/>
      </c>
      <c r="H61" s="6">
        <f>IF($I61="","",INDEX(R$6:R$305,$I61))</f>
        <v/>
      </c>
      <c r="I61" s="21">
        <f>IFERROR(MATCH(56,$T$6:$T$305,0),"")</f>
        <v/>
      </c>
      <c r="K61" s="21">
        <f>IF('Debtor Summary'!A60="","",'Debtor Summary'!A60)</f>
        <v/>
      </c>
      <c r="L61" s="24">
        <f>IF($K61="","",IF($B$2="","",ROUND(SUMIFS('Opening Balance'!$F$4:$F$303,'Opening Balance'!$G$4:$G$303,$K61)+SUMIFS('Daily Sale entry '!$S$2:$S$1501,'Daily Sale entry '!$P$2:$P$1501,$K61,'Daily Sale entry '!$Q$2:$Q$1501,"Credit Sale 赊销",'Daily Sale entry '!$O$2:$O$1501,"&lt;"&amp;$B$2)-SUMIFS('Daily Sale entry '!$S$2:$S$1501,'Daily Sale entry '!$P$2:$P$1501,$K61,'Daily Sale entry '!$Q$2:$Q$1501,"Collection 收款",'Daily Sale entry '!$O$2:$O$1501,"&lt;"&amp;$B$2)-SUMIFS('Daily Sale entry '!$AC$2:$AC$1501,'Daily Sale entry '!$AA$2:$AA$1501,$K61,'Daily Sale entry '!$Z$2:$Z$1501,"Online collection 网上收款",'Daily Sale entry '!$X$2:$X$1501,"&lt;"&amp;$B$2)-SUMIFS('Debtor Ledger'!$K$2:$K$3001,'Debtor Ledger'!$C$2:$C$3001,$K61,'Debtor Ledger'!$B$2:$B$3001,"&lt;"&amp;$B$2),2)))</f>
        <v/>
      </c>
      <c r="M61" s="24">
        <f>IF($K61="","",IF($B$2="","",SUMIFS('Daily Sale entry '!$S$2:$S$1501,'Daily Sale entry '!$P$2:$P$1501,$K61,'Daily Sale entry '!$Q$2:$Q$1501,"Credit Sale 赊销",'Daily Sale entry '!$O$2:$O$1501,$B$2)))</f>
        <v/>
      </c>
      <c r="N61" s="24">
        <f>IF($K61="","",IF($B$2="","",SUMIFS('Daily Sale entry '!$S$2:$S$1501,'Daily Sale entry '!$P$2:$P$1501,$K61,'Daily Sale entry '!$Q$2:$Q$1501,"Collection 收款",'Daily Sale entry '!$R$2:$R$1501,"Cash 现金",'Daily Sale entry '!$O$2:$O$1501,$B$2)))</f>
        <v/>
      </c>
      <c r="O61" s="24">
        <f>IF($K61="","",IF($B$2="","",SUMIFS('Daily Sale entry '!$S$2:$S$1501,'Daily Sale entry '!$P$2:$P$1501,$K61,'Daily Sale entry '!$Q$2:$Q$1501,"Collection 收款",'Daily Sale entry '!$R$2:$R$1501,"Cheque 支票",'Daily Sale entry '!$O$2:$O$1501,$B$2)))</f>
        <v/>
      </c>
      <c r="P61" s="24">
        <f>IF($K61="","",IF($B$2="","",SUMIFS('Daily Sale entry '!$AC$2:$AC$1501,'Daily Sale entry '!$AA$2:$AA$1501,$K61,'Daily Sale entry '!$Z$2:$Z$1501,"Online collection 网上收款",'Daily Sale entry '!$X$2:$X$1501,$B$2)))</f>
        <v/>
      </c>
      <c r="Q61" s="24">
        <f>IF($K61="","",IF($B$2="","",SUMIFS('Debtor Ledger'!$K$2:$K$3001,'Debtor Ledger'!$C$2:$C$3001,$K61,'Debtor Ledger'!$B$2:$B$3001,$B$2)))</f>
        <v/>
      </c>
      <c r="R61" s="24">
        <f>IF($K61="","",IF($B$2="","",ROUND(L61+M61-N61-O61-P61-Q61,2)))</f>
        <v/>
      </c>
      <c r="S61" s="21">
        <f>IF(K61="","",IF($B$2="","",IF(ABS(M61)+ABS(N61)+ABS(O61)+ABS(P61)+ABS(Q61)&gt;0,1,0)))</f>
        <v/>
      </c>
      <c r="T61" s="21">
        <f>IF(S61=1,SUM($S$6:S61),"")</f>
        <v/>
      </c>
    </row>
    <row r="62">
      <c r="A62">
        <f>IF($I62="","",INDEX(K$6:K$305,$I62))</f>
        <v/>
      </c>
      <c r="B62" s="6">
        <f>IF($I62="","",INDEX(L$6:L$305,$I62))</f>
        <v/>
      </c>
      <c r="C62" s="6">
        <f>IF($I62="","",INDEX(M$6:M$305,$I62))</f>
        <v/>
      </c>
      <c r="D62" s="6">
        <f>IF($I62="","",INDEX(N$6:N$305,$I62))</f>
        <v/>
      </c>
      <c r="E62" s="6">
        <f>IF($I62="","",INDEX(O$6:O$305,$I62))</f>
        <v/>
      </c>
      <c r="F62" s="6">
        <f>IF($I62="","",INDEX(P$6:P$305,$I62))</f>
        <v/>
      </c>
      <c r="G62" s="6">
        <f>IF($I62="","",INDEX(Q$6:Q$305,$I62))</f>
        <v/>
      </c>
      <c r="H62" s="6">
        <f>IF($I62="","",INDEX(R$6:R$305,$I62))</f>
        <v/>
      </c>
      <c r="I62" s="21">
        <f>IFERROR(MATCH(57,$T$6:$T$305,0),"")</f>
        <v/>
      </c>
      <c r="K62" s="21">
        <f>IF('Debtor Summary'!A61="","",'Debtor Summary'!A61)</f>
        <v/>
      </c>
      <c r="L62" s="24">
        <f>IF($K62="","",IF($B$2="","",ROUND(SUMIFS('Opening Balance'!$F$4:$F$303,'Opening Balance'!$G$4:$G$303,$K62)+SUMIFS('Daily Sale entry '!$S$2:$S$1501,'Daily Sale entry '!$P$2:$P$1501,$K62,'Daily Sale entry '!$Q$2:$Q$1501,"Credit Sale 赊销",'Daily Sale entry '!$O$2:$O$1501,"&lt;"&amp;$B$2)-SUMIFS('Daily Sale entry '!$S$2:$S$1501,'Daily Sale entry '!$P$2:$P$1501,$K62,'Daily Sale entry '!$Q$2:$Q$1501,"Collection 收款",'Daily Sale entry '!$O$2:$O$1501,"&lt;"&amp;$B$2)-SUMIFS('Daily Sale entry '!$AC$2:$AC$1501,'Daily Sale entry '!$AA$2:$AA$1501,$K62,'Daily Sale entry '!$Z$2:$Z$1501,"Online collection 网上收款",'Daily Sale entry '!$X$2:$X$1501,"&lt;"&amp;$B$2)-SUMIFS('Debtor Ledger'!$K$2:$K$3001,'Debtor Ledger'!$C$2:$C$3001,$K62,'Debtor Ledger'!$B$2:$B$3001,"&lt;"&amp;$B$2),2)))</f>
        <v/>
      </c>
      <c r="M62" s="24">
        <f>IF($K62="","",IF($B$2="","",SUMIFS('Daily Sale entry '!$S$2:$S$1501,'Daily Sale entry '!$P$2:$P$1501,$K62,'Daily Sale entry '!$Q$2:$Q$1501,"Credit Sale 赊销",'Daily Sale entry '!$O$2:$O$1501,$B$2)))</f>
        <v/>
      </c>
      <c r="N62" s="24">
        <f>IF($K62="","",IF($B$2="","",SUMIFS('Daily Sale entry '!$S$2:$S$1501,'Daily Sale entry '!$P$2:$P$1501,$K62,'Daily Sale entry '!$Q$2:$Q$1501,"Collection 收款",'Daily Sale entry '!$R$2:$R$1501,"Cash 现金",'Daily Sale entry '!$O$2:$O$1501,$B$2)))</f>
        <v/>
      </c>
      <c r="O62" s="24">
        <f>IF($K62="","",IF($B$2="","",SUMIFS('Daily Sale entry '!$S$2:$S$1501,'Daily Sale entry '!$P$2:$P$1501,$K62,'Daily Sale entry '!$Q$2:$Q$1501,"Collection 收款",'Daily Sale entry '!$R$2:$R$1501,"Cheque 支票",'Daily Sale entry '!$O$2:$O$1501,$B$2)))</f>
        <v/>
      </c>
      <c r="P62" s="24">
        <f>IF($K62="","",IF($B$2="","",SUMIFS('Daily Sale entry '!$AC$2:$AC$1501,'Daily Sale entry '!$AA$2:$AA$1501,$K62,'Daily Sale entry '!$Z$2:$Z$1501,"Online collection 网上收款",'Daily Sale entry '!$X$2:$X$1501,$B$2)))</f>
        <v/>
      </c>
      <c r="Q62" s="24">
        <f>IF($K62="","",IF($B$2="","",SUMIFS('Debtor Ledger'!$K$2:$K$3001,'Debtor Ledger'!$C$2:$C$3001,$K62,'Debtor Ledger'!$B$2:$B$3001,$B$2)))</f>
        <v/>
      </c>
      <c r="R62" s="24">
        <f>IF($K62="","",IF($B$2="","",ROUND(L62+M62-N62-O62-P62-Q62,2)))</f>
        <v/>
      </c>
      <c r="S62" s="21">
        <f>IF(K62="","",IF($B$2="","",IF(ABS(M62)+ABS(N62)+ABS(O62)+ABS(P62)+ABS(Q62)&gt;0,1,0)))</f>
        <v/>
      </c>
      <c r="T62" s="21">
        <f>IF(S62=1,SUM($S$6:S62),"")</f>
        <v/>
      </c>
    </row>
    <row r="63">
      <c r="A63">
        <f>IF($I63="","",INDEX(K$6:K$305,$I63))</f>
        <v/>
      </c>
      <c r="B63" s="6">
        <f>IF($I63="","",INDEX(L$6:L$305,$I63))</f>
        <v/>
      </c>
      <c r="C63" s="6">
        <f>IF($I63="","",INDEX(M$6:M$305,$I63))</f>
        <v/>
      </c>
      <c r="D63" s="6">
        <f>IF($I63="","",INDEX(N$6:N$305,$I63))</f>
        <v/>
      </c>
      <c r="E63" s="6">
        <f>IF($I63="","",INDEX(O$6:O$305,$I63))</f>
        <v/>
      </c>
      <c r="F63" s="6">
        <f>IF($I63="","",INDEX(P$6:P$305,$I63))</f>
        <v/>
      </c>
      <c r="G63" s="6">
        <f>IF($I63="","",INDEX(Q$6:Q$305,$I63))</f>
        <v/>
      </c>
      <c r="H63" s="6">
        <f>IF($I63="","",INDEX(R$6:R$305,$I63))</f>
        <v/>
      </c>
      <c r="I63" s="21">
        <f>IFERROR(MATCH(58,$T$6:$T$305,0),"")</f>
        <v/>
      </c>
      <c r="K63" s="21">
        <f>IF('Debtor Summary'!A62="","",'Debtor Summary'!A62)</f>
        <v/>
      </c>
      <c r="L63" s="24">
        <f>IF($K63="","",IF($B$2="","",ROUND(SUMIFS('Opening Balance'!$F$4:$F$303,'Opening Balance'!$G$4:$G$303,$K63)+SUMIFS('Daily Sale entry '!$S$2:$S$1501,'Daily Sale entry '!$P$2:$P$1501,$K63,'Daily Sale entry '!$Q$2:$Q$1501,"Credit Sale 赊销",'Daily Sale entry '!$O$2:$O$1501,"&lt;"&amp;$B$2)-SUMIFS('Daily Sale entry '!$S$2:$S$1501,'Daily Sale entry '!$P$2:$P$1501,$K63,'Daily Sale entry '!$Q$2:$Q$1501,"Collection 收款",'Daily Sale entry '!$O$2:$O$1501,"&lt;"&amp;$B$2)-SUMIFS('Daily Sale entry '!$AC$2:$AC$1501,'Daily Sale entry '!$AA$2:$AA$1501,$K63,'Daily Sale entry '!$Z$2:$Z$1501,"Online collection 网上收款",'Daily Sale entry '!$X$2:$X$1501,"&lt;"&amp;$B$2)-SUMIFS('Debtor Ledger'!$K$2:$K$3001,'Debtor Ledger'!$C$2:$C$3001,$K63,'Debtor Ledger'!$B$2:$B$3001,"&lt;"&amp;$B$2),2)))</f>
        <v/>
      </c>
      <c r="M63" s="24">
        <f>IF($K63="","",IF($B$2="","",SUMIFS('Daily Sale entry '!$S$2:$S$1501,'Daily Sale entry '!$P$2:$P$1501,$K63,'Daily Sale entry '!$Q$2:$Q$1501,"Credit Sale 赊销",'Daily Sale entry '!$O$2:$O$1501,$B$2)))</f>
        <v/>
      </c>
      <c r="N63" s="24">
        <f>IF($K63="","",IF($B$2="","",SUMIFS('Daily Sale entry '!$S$2:$S$1501,'Daily Sale entry '!$P$2:$P$1501,$K63,'Daily Sale entry '!$Q$2:$Q$1501,"Collection 收款",'Daily Sale entry '!$R$2:$R$1501,"Cash 现金",'Daily Sale entry '!$O$2:$O$1501,$B$2)))</f>
        <v/>
      </c>
      <c r="O63" s="24">
        <f>IF($K63="","",IF($B$2="","",SUMIFS('Daily Sale entry '!$S$2:$S$1501,'Daily Sale entry '!$P$2:$P$1501,$K63,'Daily Sale entry '!$Q$2:$Q$1501,"Collection 收款",'Daily Sale entry '!$R$2:$R$1501,"Cheque 支票",'Daily Sale entry '!$O$2:$O$1501,$B$2)))</f>
        <v/>
      </c>
      <c r="P63" s="24">
        <f>IF($K63="","",IF($B$2="","",SUMIFS('Daily Sale entry '!$AC$2:$AC$1501,'Daily Sale entry '!$AA$2:$AA$1501,$K63,'Daily Sale entry '!$Z$2:$Z$1501,"Online collection 网上收款",'Daily Sale entry '!$X$2:$X$1501,$B$2)))</f>
        <v/>
      </c>
      <c r="Q63" s="24">
        <f>IF($K63="","",IF($B$2="","",SUMIFS('Debtor Ledger'!$K$2:$K$3001,'Debtor Ledger'!$C$2:$C$3001,$K63,'Debtor Ledger'!$B$2:$B$3001,$B$2)))</f>
        <v/>
      </c>
      <c r="R63" s="24">
        <f>IF($K63="","",IF($B$2="","",ROUND(L63+M63-N63-O63-P63-Q63,2)))</f>
        <v/>
      </c>
      <c r="S63" s="21">
        <f>IF(K63="","",IF($B$2="","",IF(ABS(M63)+ABS(N63)+ABS(O63)+ABS(P63)+ABS(Q63)&gt;0,1,0)))</f>
        <v/>
      </c>
      <c r="T63" s="21">
        <f>IF(S63=1,SUM($S$6:S63),"")</f>
        <v/>
      </c>
    </row>
    <row r="64">
      <c r="A64">
        <f>IF($I64="","",INDEX(K$6:K$305,$I64))</f>
        <v/>
      </c>
      <c r="B64" s="6">
        <f>IF($I64="","",INDEX(L$6:L$305,$I64))</f>
        <v/>
      </c>
      <c r="C64" s="6">
        <f>IF($I64="","",INDEX(M$6:M$305,$I64))</f>
        <v/>
      </c>
      <c r="D64" s="6">
        <f>IF($I64="","",INDEX(N$6:N$305,$I64))</f>
        <v/>
      </c>
      <c r="E64" s="6">
        <f>IF($I64="","",INDEX(O$6:O$305,$I64))</f>
        <v/>
      </c>
      <c r="F64" s="6">
        <f>IF($I64="","",INDEX(P$6:P$305,$I64))</f>
        <v/>
      </c>
      <c r="G64" s="6">
        <f>IF($I64="","",INDEX(Q$6:Q$305,$I64))</f>
        <v/>
      </c>
      <c r="H64" s="6">
        <f>IF($I64="","",INDEX(R$6:R$305,$I64))</f>
        <v/>
      </c>
      <c r="I64" s="21">
        <f>IFERROR(MATCH(59,$T$6:$T$305,0),"")</f>
        <v/>
      </c>
      <c r="K64" s="21">
        <f>IF('Debtor Summary'!A63="","",'Debtor Summary'!A63)</f>
        <v/>
      </c>
      <c r="L64" s="24">
        <f>IF($K64="","",IF($B$2="","",ROUND(SUMIFS('Opening Balance'!$F$4:$F$303,'Opening Balance'!$G$4:$G$303,$K64)+SUMIFS('Daily Sale entry '!$S$2:$S$1501,'Daily Sale entry '!$P$2:$P$1501,$K64,'Daily Sale entry '!$Q$2:$Q$1501,"Credit Sale 赊销",'Daily Sale entry '!$O$2:$O$1501,"&lt;"&amp;$B$2)-SUMIFS('Daily Sale entry '!$S$2:$S$1501,'Daily Sale entry '!$P$2:$P$1501,$K64,'Daily Sale entry '!$Q$2:$Q$1501,"Collection 收款",'Daily Sale entry '!$O$2:$O$1501,"&lt;"&amp;$B$2)-SUMIFS('Daily Sale entry '!$AC$2:$AC$1501,'Daily Sale entry '!$AA$2:$AA$1501,$K64,'Daily Sale entry '!$Z$2:$Z$1501,"Online collection 网上收款",'Daily Sale entry '!$X$2:$X$1501,"&lt;"&amp;$B$2)-SUMIFS('Debtor Ledger'!$K$2:$K$3001,'Debtor Ledger'!$C$2:$C$3001,$K64,'Debtor Ledger'!$B$2:$B$3001,"&lt;"&amp;$B$2),2)))</f>
        <v/>
      </c>
      <c r="M64" s="24">
        <f>IF($K64="","",IF($B$2="","",SUMIFS('Daily Sale entry '!$S$2:$S$1501,'Daily Sale entry '!$P$2:$P$1501,$K64,'Daily Sale entry '!$Q$2:$Q$1501,"Credit Sale 赊销",'Daily Sale entry '!$O$2:$O$1501,$B$2)))</f>
        <v/>
      </c>
      <c r="N64" s="24">
        <f>IF($K64="","",IF($B$2="","",SUMIFS('Daily Sale entry '!$S$2:$S$1501,'Daily Sale entry '!$P$2:$P$1501,$K64,'Daily Sale entry '!$Q$2:$Q$1501,"Collection 收款",'Daily Sale entry '!$R$2:$R$1501,"Cash 现金",'Daily Sale entry '!$O$2:$O$1501,$B$2)))</f>
        <v/>
      </c>
      <c r="O64" s="24">
        <f>IF($K64="","",IF($B$2="","",SUMIFS('Daily Sale entry '!$S$2:$S$1501,'Daily Sale entry '!$P$2:$P$1501,$K64,'Daily Sale entry '!$Q$2:$Q$1501,"Collection 收款",'Daily Sale entry '!$R$2:$R$1501,"Cheque 支票",'Daily Sale entry '!$O$2:$O$1501,$B$2)))</f>
        <v/>
      </c>
      <c r="P64" s="24">
        <f>IF($K64="","",IF($B$2="","",SUMIFS('Daily Sale entry '!$AC$2:$AC$1501,'Daily Sale entry '!$AA$2:$AA$1501,$K64,'Daily Sale entry '!$Z$2:$Z$1501,"Online collection 网上收款",'Daily Sale entry '!$X$2:$X$1501,$B$2)))</f>
        <v/>
      </c>
      <c r="Q64" s="24">
        <f>IF($K64="","",IF($B$2="","",SUMIFS('Debtor Ledger'!$K$2:$K$3001,'Debtor Ledger'!$C$2:$C$3001,$K64,'Debtor Ledger'!$B$2:$B$3001,$B$2)))</f>
        <v/>
      </c>
      <c r="R64" s="24">
        <f>IF($K64="","",IF($B$2="","",ROUND(L64+M64-N64-O64-P64-Q64,2)))</f>
        <v/>
      </c>
      <c r="S64" s="21">
        <f>IF(K64="","",IF($B$2="","",IF(ABS(M64)+ABS(N64)+ABS(O64)+ABS(P64)+ABS(Q64)&gt;0,1,0)))</f>
        <v/>
      </c>
      <c r="T64" s="21">
        <f>IF(S64=1,SUM($S$6:S64),"")</f>
        <v/>
      </c>
    </row>
    <row r="65">
      <c r="A65">
        <f>IF($I65="","",INDEX(K$6:K$305,$I65))</f>
        <v/>
      </c>
      <c r="B65" s="6">
        <f>IF($I65="","",INDEX(L$6:L$305,$I65))</f>
        <v/>
      </c>
      <c r="C65" s="6">
        <f>IF($I65="","",INDEX(M$6:M$305,$I65))</f>
        <v/>
      </c>
      <c r="D65" s="6">
        <f>IF($I65="","",INDEX(N$6:N$305,$I65))</f>
        <v/>
      </c>
      <c r="E65" s="6">
        <f>IF($I65="","",INDEX(O$6:O$305,$I65))</f>
        <v/>
      </c>
      <c r="F65" s="6">
        <f>IF($I65="","",INDEX(P$6:P$305,$I65))</f>
        <v/>
      </c>
      <c r="G65" s="6">
        <f>IF($I65="","",INDEX(Q$6:Q$305,$I65))</f>
        <v/>
      </c>
      <c r="H65" s="6">
        <f>IF($I65="","",INDEX(R$6:R$305,$I65))</f>
        <v/>
      </c>
      <c r="I65" s="21">
        <f>IFERROR(MATCH(60,$T$6:$T$305,0),"")</f>
        <v/>
      </c>
      <c r="K65" s="21">
        <f>IF('Debtor Summary'!A64="","",'Debtor Summary'!A64)</f>
        <v/>
      </c>
      <c r="L65" s="24">
        <f>IF($K65="","",IF($B$2="","",ROUND(SUMIFS('Opening Balance'!$F$4:$F$303,'Opening Balance'!$G$4:$G$303,$K65)+SUMIFS('Daily Sale entry '!$S$2:$S$1501,'Daily Sale entry '!$P$2:$P$1501,$K65,'Daily Sale entry '!$Q$2:$Q$1501,"Credit Sale 赊销",'Daily Sale entry '!$O$2:$O$1501,"&lt;"&amp;$B$2)-SUMIFS('Daily Sale entry '!$S$2:$S$1501,'Daily Sale entry '!$P$2:$P$1501,$K65,'Daily Sale entry '!$Q$2:$Q$1501,"Collection 收款",'Daily Sale entry '!$O$2:$O$1501,"&lt;"&amp;$B$2)-SUMIFS('Daily Sale entry '!$AC$2:$AC$1501,'Daily Sale entry '!$AA$2:$AA$1501,$K65,'Daily Sale entry '!$Z$2:$Z$1501,"Online collection 网上收款",'Daily Sale entry '!$X$2:$X$1501,"&lt;"&amp;$B$2)-SUMIFS('Debtor Ledger'!$K$2:$K$3001,'Debtor Ledger'!$C$2:$C$3001,$K65,'Debtor Ledger'!$B$2:$B$3001,"&lt;"&amp;$B$2),2)))</f>
        <v/>
      </c>
      <c r="M65" s="24">
        <f>IF($K65="","",IF($B$2="","",SUMIFS('Daily Sale entry '!$S$2:$S$1501,'Daily Sale entry '!$P$2:$P$1501,$K65,'Daily Sale entry '!$Q$2:$Q$1501,"Credit Sale 赊销",'Daily Sale entry '!$O$2:$O$1501,$B$2)))</f>
        <v/>
      </c>
      <c r="N65" s="24">
        <f>IF($K65="","",IF($B$2="","",SUMIFS('Daily Sale entry '!$S$2:$S$1501,'Daily Sale entry '!$P$2:$P$1501,$K65,'Daily Sale entry '!$Q$2:$Q$1501,"Collection 收款",'Daily Sale entry '!$R$2:$R$1501,"Cash 现金",'Daily Sale entry '!$O$2:$O$1501,$B$2)))</f>
        <v/>
      </c>
      <c r="O65" s="24">
        <f>IF($K65="","",IF($B$2="","",SUMIFS('Daily Sale entry '!$S$2:$S$1501,'Daily Sale entry '!$P$2:$P$1501,$K65,'Daily Sale entry '!$Q$2:$Q$1501,"Collection 收款",'Daily Sale entry '!$R$2:$R$1501,"Cheque 支票",'Daily Sale entry '!$O$2:$O$1501,$B$2)))</f>
        <v/>
      </c>
      <c r="P65" s="24">
        <f>IF($K65="","",IF($B$2="","",SUMIFS('Daily Sale entry '!$AC$2:$AC$1501,'Daily Sale entry '!$AA$2:$AA$1501,$K65,'Daily Sale entry '!$Z$2:$Z$1501,"Online collection 网上收款",'Daily Sale entry '!$X$2:$X$1501,$B$2)))</f>
        <v/>
      </c>
      <c r="Q65" s="24">
        <f>IF($K65="","",IF($B$2="","",SUMIFS('Debtor Ledger'!$K$2:$K$3001,'Debtor Ledger'!$C$2:$C$3001,$K65,'Debtor Ledger'!$B$2:$B$3001,$B$2)))</f>
        <v/>
      </c>
      <c r="R65" s="24">
        <f>IF($K65="","",IF($B$2="","",ROUND(L65+M65-N65-O65-P65-Q65,2)))</f>
        <v/>
      </c>
      <c r="S65" s="21">
        <f>IF(K65="","",IF($B$2="","",IF(ABS(M65)+ABS(N65)+ABS(O65)+ABS(P65)+ABS(Q65)&gt;0,1,0)))</f>
        <v/>
      </c>
      <c r="T65" s="21">
        <f>IF(S65=1,SUM($S$6:S65),"")</f>
        <v/>
      </c>
    </row>
    <row r="66">
      <c r="A66">
        <f>IF($I66="","",INDEX(K$6:K$305,$I66))</f>
        <v/>
      </c>
      <c r="B66" s="6">
        <f>IF($I66="","",INDEX(L$6:L$305,$I66))</f>
        <v/>
      </c>
      <c r="C66" s="6">
        <f>IF($I66="","",INDEX(M$6:M$305,$I66))</f>
        <v/>
      </c>
      <c r="D66" s="6">
        <f>IF($I66="","",INDEX(N$6:N$305,$I66))</f>
        <v/>
      </c>
      <c r="E66" s="6">
        <f>IF($I66="","",INDEX(O$6:O$305,$I66))</f>
        <v/>
      </c>
      <c r="F66" s="6">
        <f>IF($I66="","",INDEX(P$6:P$305,$I66))</f>
        <v/>
      </c>
      <c r="G66" s="6">
        <f>IF($I66="","",INDEX(Q$6:Q$305,$I66))</f>
        <v/>
      </c>
      <c r="H66" s="6">
        <f>IF($I66="","",INDEX(R$6:R$305,$I66))</f>
        <v/>
      </c>
      <c r="I66" s="21">
        <f>IFERROR(MATCH(61,$T$6:$T$305,0),"")</f>
        <v/>
      </c>
      <c r="K66" s="21">
        <f>IF('Debtor Summary'!A65="","",'Debtor Summary'!A65)</f>
        <v/>
      </c>
      <c r="L66" s="24">
        <f>IF($K66="","",IF($B$2="","",ROUND(SUMIFS('Opening Balance'!$F$4:$F$303,'Opening Balance'!$G$4:$G$303,$K66)+SUMIFS('Daily Sale entry '!$S$2:$S$1501,'Daily Sale entry '!$P$2:$P$1501,$K66,'Daily Sale entry '!$Q$2:$Q$1501,"Credit Sale 赊销",'Daily Sale entry '!$O$2:$O$1501,"&lt;"&amp;$B$2)-SUMIFS('Daily Sale entry '!$S$2:$S$1501,'Daily Sale entry '!$P$2:$P$1501,$K66,'Daily Sale entry '!$Q$2:$Q$1501,"Collection 收款",'Daily Sale entry '!$O$2:$O$1501,"&lt;"&amp;$B$2)-SUMIFS('Daily Sale entry '!$AC$2:$AC$1501,'Daily Sale entry '!$AA$2:$AA$1501,$K66,'Daily Sale entry '!$Z$2:$Z$1501,"Online collection 网上收款",'Daily Sale entry '!$X$2:$X$1501,"&lt;"&amp;$B$2)-SUMIFS('Debtor Ledger'!$K$2:$K$3001,'Debtor Ledger'!$C$2:$C$3001,$K66,'Debtor Ledger'!$B$2:$B$3001,"&lt;"&amp;$B$2),2)))</f>
        <v/>
      </c>
      <c r="M66" s="24">
        <f>IF($K66="","",IF($B$2="","",SUMIFS('Daily Sale entry '!$S$2:$S$1501,'Daily Sale entry '!$P$2:$P$1501,$K66,'Daily Sale entry '!$Q$2:$Q$1501,"Credit Sale 赊销",'Daily Sale entry '!$O$2:$O$1501,$B$2)))</f>
        <v/>
      </c>
      <c r="N66" s="24">
        <f>IF($K66="","",IF($B$2="","",SUMIFS('Daily Sale entry '!$S$2:$S$1501,'Daily Sale entry '!$P$2:$P$1501,$K66,'Daily Sale entry '!$Q$2:$Q$1501,"Collection 收款",'Daily Sale entry '!$R$2:$R$1501,"Cash 现金",'Daily Sale entry '!$O$2:$O$1501,$B$2)))</f>
        <v/>
      </c>
      <c r="O66" s="24">
        <f>IF($K66="","",IF($B$2="","",SUMIFS('Daily Sale entry '!$S$2:$S$1501,'Daily Sale entry '!$P$2:$P$1501,$K66,'Daily Sale entry '!$Q$2:$Q$1501,"Collection 收款",'Daily Sale entry '!$R$2:$R$1501,"Cheque 支票",'Daily Sale entry '!$O$2:$O$1501,$B$2)))</f>
        <v/>
      </c>
      <c r="P66" s="24">
        <f>IF($K66="","",IF($B$2="","",SUMIFS('Daily Sale entry '!$AC$2:$AC$1501,'Daily Sale entry '!$AA$2:$AA$1501,$K66,'Daily Sale entry '!$Z$2:$Z$1501,"Online collection 网上收款",'Daily Sale entry '!$X$2:$X$1501,$B$2)))</f>
        <v/>
      </c>
      <c r="Q66" s="24">
        <f>IF($K66="","",IF($B$2="","",SUMIFS('Debtor Ledger'!$K$2:$K$3001,'Debtor Ledger'!$C$2:$C$3001,$K66,'Debtor Ledger'!$B$2:$B$3001,$B$2)))</f>
        <v/>
      </c>
      <c r="R66" s="24">
        <f>IF($K66="","",IF($B$2="","",ROUND(L66+M66-N66-O66-P66-Q66,2)))</f>
        <v/>
      </c>
      <c r="S66" s="21">
        <f>IF(K66="","",IF($B$2="","",IF(ABS(M66)+ABS(N66)+ABS(O66)+ABS(P66)+ABS(Q66)&gt;0,1,0)))</f>
        <v/>
      </c>
      <c r="T66" s="21">
        <f>IF(S66=1,SUM($S$6:S66),"")</f>
        <v/>
      </c>
    </row>
    <row r="67">
      <c r="A67">
        <f>IF($I67="","",INDEX(K$6:K$305,$I67))</f>
        <v/>
      </c>
      <c r="B67" s="6">
        <f>IF($I67="","",INDEX(L$6:L$305,$I67))</f>
        <v/>
      </c>
      <c r="C67" s="6">
        <f>IF($I67="","",INDEX(M$6:M$305,$I67))</f>
        <v/>
      </c>
      <c r="D67" s="6">
        <f>IF($I67="","",INDEX(N$6:N$305,$I67))</f>
        <v/>
      </c>
      <c r="E67" s="6">
        <f>IF($I67="","",INDEX(O$6:O$305,$I67))</f>
        <v/>
      </c>
      <c r="F67" s="6">
        <f>IF($I67="","",INDEX(P$6:P$305,$I67))</f>
        <v/>
      </c>
      <c r="G67" s="6">
        <f>IF($I67="","",INDEX(Q$6:Q$305,$I67))</f>
        <v/>
      </c>
      <c r="H67" s="6">
        <f>IF($I67="","",INDEX(R$6:R$305,$I67))</f>
        <v/>
      </c>
      <c r="I67" s="21">
        <f>IFERROR(MATCH(62,$T$6:$T$305,0),"")</f>
        <v/>
      </c>
      <c r="K67" s="21">
        <f>IF('Debtor Summary'!A66="","",'Debtor Summary'!A66)</f>
        <v/>
      </c>
      <c r="L67" s="24">
        <f>IF($K67="","",IF($B$2="","",ROUND(SUMIFS('Opening Balance'!$F$4:$F$303,'Opening Balance'!$G$4:$G$303,$K67)+SUMIFS('Daily Sale entry '!$S$2:$S$1501,'Daily Sale entry '!$P$2:$P$1501,$K67,'Daily Sale entry '!$Q$2:$Q$1501,"Credit Sale 赊销",'Daily Sale entry '!$O$2:$O$1501,"&lt;"&amp;$B$2)-SUMIFS('Daily Sale entry '!$S$2:$S$1501,'Daily Sale entry '!$P$2:$P$1501,$K67,'Daily Sale entry '!$Q$2:$Q$1501,"Collection 收款",'Daily Sale entry '!$O$2:$O$1501,"&lt;"&amp;$B$2)-SUMIFS('Daily Sale entry '!$AC$2:$AC$1501,'Daily Sale entry '!$AA$2:$AA$1501,$K67,'Daily Sale entry '!$Z$2:$Z$1501,"Online collection 网上收款",'Daily Sale entry '!$X$2:$X$1501,"&lt;"&amp;$B$2)-SUMIFS('Debtor Ledger'!$K$2:$K$3001,'Debtor Ledger'!$C$2:$C$3001,$K67,'Debtor Ledger'!$B$2:$B$3001,"&lt;"&amp;$B$2),2)))</f>
        <v/>
      </c>
      <c r="M67" s="24">
        <f>IF($K67="","",IF($B$2="","",SUMIFS('Daily Sale entry '!$S$2:$S$1501,'Daily Sale entry '!$P$2:$P$1501,$K67,'Daily Sale entry '!$Q$2:$Q$1501,"Credit Sale 赊销",'Daily Sale entry '!$O$2:$O$1501,$B$2)))</f>
        <v/>
      </c>
      <c r="N67" s="24">
        <f>IF($K67="","",IF($B$2="","",SUMIFS('Daily Sale entry '!$S$2:$S$1501,'Daily Sale entry '!$P$2:$P$1501,$K67,'Daily Sale entry '!$Q$2:$Q$1501,"Collection 收款",'Daily Sale entry '!$R$2:$R$1501,"Cash 现金",'Daily Sale entry '!$O$2:$O$1501,$B$2)))</f>
        <v/>
      </c>
      <c r="O67" s="24">
        <f>IF($K67="","",IF($B$2="","",SUMIFS('Daily Sale entry '!$S$2:$S$1501,'Daily Sale entry '!$P$2:$P$1501,$K67,'Daily Sale entry '!$Q$2:$Q$1501,"Collection 收款",'Daily Sale entry '!$R$2:$R$1501,"Cheque 支票",'Daily Sale entry '!$O$2:$O$1501,$B$2)))</f>
        <v/>
      </c>
      <c r="P67" s="24">
        <f>IF($K67="","",IF($B$2="","",SUMIFS('Daily Sale entry '!$AC$2:$AC$1501,'Daily Sale entry '!$AA$2:$AA$1501,$K67,'Daily Sale entry '!$Z$2:$Z$1501,"Online collection 网上收款",'Daily Sale entry '!$X$2:$X$1501,$B$2)))</f>
        <v/>
      </c>
      <c r="Q67" s="24">
        <f>IF($K67="","",IF($B$2="","",SUMIFS('Debtor Ledger'!$K$2:$K$3001,'Debtor Ledger'!$C$2:$C$3001,$K67,'Debtor Ledger'!$B$2:$B$3001,$B$2)))</f>
        <v/>
      </c>
      <c r="R67" s="24">
        <f>IF($K67="","",IF($B$2="","",ROUND(L67+M67-N67-O67-P67-Q67,2)))</f>
        <v/>
      </c>
      <c r="S67" s="21">
        <f>IF(K67="","",IF($B$2="","",IF(ABS(M67)+ABS(N67)+ABS(O67)+ABS(P67)+ABS(Q67)&gt;0,1,0)))</f>
        <v/>
      </c>
      <c r="T67" s="21">
        <f>IF(S67=1,SUM($S$6:S67),"")</f>
        <v/>
      </c>
    </row>
    <row r="68">
      <c r="A68">
        <f>IF($I68="","",INDEX(K$6:K$305,$I68))</f>
        <v/>
      </c>
      <c r="B68" s="6">
        <f>IF($I68="","",INDEX(L$6:L$305,$I68))</f>
        <v/>
      </c>
      <c r="C68" s="6">
        <f>IF($I68="","",INDEX(M$6:M$305,$I68))</f>
        <v/>
      </c>
      <c r="D68" s="6">
        <f>IF($I68="","",INDEX(N$6:N$305,$I68))</f>
        <v/>
      </c>
      <c r="E68" s="6">
        <f>IF($I68="","",INDEX(O$6:O$305,$I68))</f>
        <v/>
      </c>
      <c r="F68" s="6">
        <f>IF($I68="","",INDEX(P$6:P$305,$I68))</f>
        <v/>
      </c>
      <c r="G68" s="6">
        <f>IF($I68="","",INDEX(Q$6:Q$305,$I68))</f>
        <v/>
      </c>
      <c r="H68" s="6">
        <f>IF($I68="","",INDEX(R$6:R$305,$I68))</f>
        <v/>
      </c>
      <c r="I68" s="21">
        <f>IFERROR(MATCH(63,$T$6:$T$305,0),"")</f>
        <v/>
      </c>
      <c r="K68" s="21">
        <f>IF('Debtor Summary'!A67="","",'Debtor Summary'!A67)</f>
        <v/>
      </c>
      <c r="L68" s="24">
        <f>IF($K68="","",IF($B$2="","",ROUND(SUMIFS('Opening Balance'!$F$4:$F$303,'Opening Balance'!$G$4:$G$303,$K68)+SUMIFS('Daily Sale entry '!$S$2:$S$1501,'Daily Sale entry '!$P$2:$P$1501,$K68,'Daily Sale entry '!$Q$2:$Q$1501,"Credit Sale 赊销",'Daily Sale entry '!$O$2:$O$1501,"&lt;"&amp;$B$2)-SUMIFS('Daily Sale entry '!$S$2:$S$1501,'Daily Sale entry '!$P$2:$P$1501,$K68,'Daily Sale entry '!$Q$2:$Q$1501,"Collection 收款",'Daily Sale entry '!$O$2:$O$1501,"&lt;"&amp;$B$2)-SUMIFS('Daily Sale entry '!$AC$2:$AC$1501,'Daily Sale entry '!$AA$2:$AA$1501,$K68,'Daily Sale entry '!$Z$2:$Z$1501,"Online collection 网上收款",'Daily Sale entry '!$X$2:$X$1501,"&lt;"&amp;$B$2)-SUMIFS('Debtor Ledger'!$K$2:$K$3001,'Debtor Ledger'!$C$2:$C$3001,$K68,'Debtor Ledger'!$B$2:$B$3001,"&lt;"&amp;$B$2),2)))</f>
        <v/>
      </c>
      <c r="M68" s="24">
        <f>IF($K68="","",IF($B$2="","",SUMIFS('Daily Sale entry '!$S$2:$S$1501,'Daily Sale entry '!$P$2:$P$1501,$K68,'Daily Sale entry '!$Q$2:$Q$1501,"Credit Sale 赊销",'Daily Sale entry '!$O$2:$O$1501,$B$2)))</f>
        <v/>
      </c>
      <c r="N68" s="24">
        <f>IF($K68="","",IF($B$2="","",SUMIFS('Daily Sale entry '!$S$2:$S$1501,'Daily Sale entry '!$P$2:$P$1501,$K68,'Daily Sale entry '!$Q$2:$Q$1501,"Collection 收款",'Daily Sale entry '!$R$2:$R$1501,"Cash 现金",'Daily Sale entry '!$O$2:$O$1501,$B$2)))</f>
        <v/>
      </c>
      <c r="O68" s="24">
        <f>IF($K68="","",IF($B$2="","",SUMIFS('Daily Sale entry '!$S$2:$S$1501,'Daily Sale entry '!$P$2:$P$1501,$K68,'Daily Sale entry '!$Q$2:$Q$1501,"Collection 收款",'Daily Sale entry '!$R$2:$R$1501,"Cheque 支票",'Daily Sale entry '!$O$2:$O$1501,$B$2)))</f>
        <v/>
      </c>
      <c r="P68" s="24">
        <f>IF($K68="","",IF($B$2="","",SUMIFS('Daily Sale entry '!$AC$2:$AC$1501,'Daily Sale entry '!$AA$2:$AA$1501,$K68,'Daily Sale entry '!$Z$2:$Z$1501,"Online collection 网上收款",'Daily Sale entry '!$X$2:$X$1501,$B$2)))</f>
        <v/>
      </c>
      <c r="Q68" s="24">
        <f>IF($K68="","",IF($B$2="","",SUMIFS('Debtor Ledger'!$K$2:$K$3001,'Debtor Ledger'!$C$2:$C$3001,$K68,'Debtor Ledger'!$B$2:$B$3001,$B$2)))</f>
        <v/>
      </c>
      <c r="R68" s="24">
        <f>IF($K68="","",IF($B$2="","",ROUND(L68+M68-N68-O68-P68-Q68,2)))</f>
        <v/>
      </c>
      <c r="S68" s="21">
        <f>IF(K68="","",IF($B$2="","",IF(ABS(M68)+ABS(N68)+ABS(O68)+ABS(P68)+ABS(Q68)&gt;0,1,0)))</f>
        <v/>
      </c>
      <c r="T68" s="21">
        <f>IF(S68=1,SUM($S$6:S68),"")</f>
        <v/>
      </c>
    </row>
    <row r="69">
      <c r="A69">
        <f>IF($I69="","",INDEX(K$6:K$305,$I69))</f>
        <v/>
      </c>
      <c r="B69" s="6">
        <f>IF($I69="","",INDEX(L$6:L$305,$I69))</f>
        <v/>
      </c>
      <c r="C69" s="6">
        <f>IF($I69="","",INDEX(M$6:M$305,$I69))</f>
        <v/>
      </c>
      <c r="D69" s="6">
        <f>IF($I69="","",INDEX(N$6:N$305,$I69))</f>
        <v/>
      </c>
      <c r="E69" s="6">
        <f>IF($I69="","",INDEX(O$6:O$305,$I69))</f>
        <v/>
      </c>
      <c r="F69" s="6">
        <f>IF($I69="","",INDEX(P$6:P$305,$I69))</f>
        <v/>
      </c>
      <c r="G69" s="6">
        <f>IF($I69="","",INDEX(Q$6:Q$305,$I69))</f>
        <v/>
      </c>
      <c r="H69" s="6">
        <f>IF($I69="","",INDEX(R$6:R$305,$I69))</f>
        <v/>
      </c>
      <c r="I69" s="21">
        <f>IFERROR(MATCH(64,$T$6:$T$305,0),"")</f>
        <v/>
      </c>
      <c r="K69" s="21">
        <f>IF('Debtor Summary'!A68="","",'Debtor Summary'!A68)</f>
        <v/>
      </c>
      <c r="L69" s="24">
        <f>IF($K69="","",IF($B$2="","",ROUND(SUMIFS('Opening Balance'!$F$4:$F$303,'Opening Balance'!$G$4:$G$303,$K69)+SUMIFS('Daily Sale entry '!$S$2:$S$1501,'Daily Sale entry '!$P$2:$P$1501,$K69,'Daily Sale entry '!$Q$2:$Q$1501,"Credit Sale 赊销",'Daily Sale entry '!$O$2:$O$1501,"&lt;"&amp;$B$2)-SUMIFS('Daily Sale entry '!$S$2:$S$1501,'Daily Sale entry '!$P$2:$P$1501,$K69,'Daily Sale entry '!$Q$2:$Q$1501,"Collection 收款",'Daily Sale entry '!$O$2:$O$1501,"&lt;"&amp;$B$2)-SUMIFS('Daily Sale entry '!$AC$2:$AC$1501,'Daily Sale entry '!$AA$2:$AA$1501,$K69,'Daily Sale entry '!$Z$2:$Z$1501,"Online collection 网上收款",'Daily Sale entry '!$X$2:$X$1501,"&lt;"&amp;$B$2)-SUMIFS('Debtor Ledger'!$K$2:$K$3001,'Debtor Ledger'!$C$2:$C$3001,$K69,'Debtor Ledger'!$B$2:$B$3001,"&lt;"&amp;$B$2),2)))</f>
        <v/>
      </c>
      <c r="M69" s="24">
        <f>IF($K69="","",IF($B$2="","",SUMIFS('Daily Sale entry '!$S$2:$S$1501,'Daily Sale entry '!$P$2:$P$1501,$K69,'Daily Sale entry '!$Q$2:$Q$1501,"Credit Sale 赊销",'Daily Sale entry '!$O$2:$O$1501,$B$2)))</f>
        <v/>
      </c>
      <c r="N69" s="24">
        <f>IF($K69="","",IF($B$2="","",SUMIFS('Daily Sale entry '!$S$2:$S$1501,'Daily Sale entry '!$P$2:$P$1501,$K69,'Daily Sale entry '!$Q$2:$Q$1501,"Collection 收款",'Daily Sale entry '!$R$2:$R$1501,"Cash 现金",'Daily Sale entry '!$O$2:$O$1501,$B$2)))</f>
        <v/>
      </c>
      <c r="O69" s="24">
        <f>IF($K69="","",IF($B$2="","",SUMIFS('Daily Sale entry '!$S$2:$S$1501,'Daily Sale entry '!$P$2:$P$1501,$K69,'Daily Sale entry '!$Q$2:$Q$1501,"Collection 收款",'Daily Sale entry '!$R$2:$R$1501,"Cheque 支票",'Daily Sale entry '!$O$2:$O$1501,$B$2)))</f>
        <v/>
      </c>
      <c r="P69" s="24">
        <f>IF($K69="","",IF($B$2="","",SUMIFS('Daily Sale entry '!$AC$2:$AC$1501,'Daily Sale entry '!$AA$2:$AA$1501,$K69,'Daily Sale entry '!$Z$2:$Z$1501,"Online collection 网上收款",'Daily Sale entry '!$X$2:$X$1501,$B$2)))</f>
        <v/>
      </c>
      <c r="Q69" s="24">
        <f>IF($K69="","",IF($B$2="","",SUMIFS('Debtor Ledger'!$K$2:$K$3001,'Debtor Ledger'!$C$2:$C$3001,$K69,'Debtor Ledger'!$B$2:$B$3001,$B$2)))</f>
        <v/>
      </c>
      <c r="R69" s="24">
        <f>IF($K69="","",IF($B$2="","",ROUND(L69+M69-N69-O69-P69-Q69,2)))</f>
        <v/>
      </c>
      <c r="S69" s="21">
        <f>IF(K69="","",IF($B$2="","",IF(ABS(M69)+ABS(N69)+ABS(O69)+ABS(P69)+ABS(Q69)&gt;0,1,0)))</f>
        <v/>
      </c>
      <c r="T69" s="21">
        <f>IF(S69=1,SUM($S$6:S69),"")</f>
        <v/>
      </c>
    </row>
    <row r="70">
      <c r="A70">
        <f>IF($I70="","",INDEX(K$6:K$305,$I70))</f>
        <v/>
      </c>
      <c r="B70" s="6">
        <f>IF($I70="","",INDEX(L$6:L$305,$I70))</f>
        <v/>
      </c>
      <c r="C70" s="6">
        <f>IF($I70="","",INDEX(M$6:M$305,$I70))</f>
        <v/>
      </c>
      <c r="D70" s="6">
        <f>IF($I70="","",INDEX(N$6:N$305,$I70))</f>
        <v/>
      </c>
      <c r="E70" s="6">
        <f>IF($I70="","",INDEX(O$6:O$305,$I70))</f>
        <v/>
      </c>
      <c r="F70" s="6">
        <f>IF($I70="","",INDEX(P$6:P$305,$I70))</f>
        <v/>
      </c>
      <c r="G70" s="6">
        <f>IF($I70="","",INDEX(Q$6:Q$305,$I70))</f>
        <v/>
      </c>
      <c r="H70" s="6">
        <f>IF($I70="","",INDEX(R$6:R$305,$I70))</f>
        <v/>
      </c>
      <c r="I70" s="21">
        <f>IFERROR(MATCH(65,$T$6:$T$305,0),"")</f>
        <v/>
      </c>
      <c r="K70" s="21">
        <f>IF('Debtor Summary'!A69="","",'Debtor Summary'!A69)</f>
        <v/>
      </c>
      <c r="L70" s="24">
        <f>IF($K70="","",IF($B$2="","",ROUND(SUMIFS('Opening Balance'!$F$4:$F$303,'Opening Balance'!$G$4:$G$303,$K70)+SUMIFS('Daily Sale entry '!$S$2:$S$1501,'Daily Sale entry '!$P$2:$P$1501,$K70,'Daily Sale entry '!$Q$2:$Q$1501,"Credit Sale 赊销",'Daily Sale entry '!$O$2:$O$1501,"&lt;"&amp;$B$2)-SUMIFS('Daily Sale entry '!$S$2:$S$1501,'Daily Sale entry '!$P$2:$P$1501,$K70,'Daily Sale entry '!$Q$2:$Q$1501,"Collection 收款",'Daily Sale entry '!$O$2:$O$1501,"&lt;"&amp;$B$2)-SUMIFS('Daily Sale entry '!$AC$2:$AC$1501,'Daily Sale entry '!$AA$2:$AA$1501,$K70,'Daily Sale entry '!$Z$2:$Z$1501,"Online collection 网上收款",'Daily Sale entry '!$X$2:$X$1501,"&lt;"&amp;$B$2)-SUMIFS('Debtor Ledger'!$K$2:$K$3001,'Debtor Ledger'!$C$2:$C$3001,$K70,'Debtor Ledger'!$B$2:$B$3001,"&lt;"&amp;$B$2),2)))</f>
        <v/>
      </c>
      <c r="M70" s="24">
        <f>IF($K70="","",IF($B$2="","",SUMIFS('Daily Sale entry '!$S$2:$S$1501,'Daily Sale entry '!$P$2:$P$1501,$K70,'Daily Sale entry '!$Q$2:$Q$1501,"Credit Sale 赊销",'Daily Sale entry '!$O$2:$O$1501,$B$2)))</f>
        <v/>
      </c>
      <c r="N70" s="24">
        <f>IF($K70="","",IF($B$2="","",SUMIFS('Daily Sale entry '!$S$2:$S$1501,'Daily Sale entry '!$P$2:$P$1501,$K70,'Daily Sale entry '!$Q$2:$Q$1501,"Collection 收款",'Daily Sale entry '!$R$2:$R$1501,"Cash 现金",'Daily Sale entry '!$O$2:$O$1501,$B$2)))</f>
        <v/>
      </c>
      <c r="O70" s="24">
        <f>IF($K70="","",IF($B$2="","",SUMIFS('Daily Sale entry '!$S$2:$S$1501,'Daily Sale entry '!$P$2:$P$1501,$K70,'Daily Sale entry '!$Q$2:$Q$1501,"Collection 收款",'Daily Sale entry '!$R$2:$R$1501,"Cheque 支票",'Daily Sale entry '!$O$2:$O$1501,$B$2)))</f>
        <v/>
      </c>
      <c r="P70" s="24">
        <f>IF($K70="","",IF($B$2="","",SUMIFS('Daily Sale entry '!$AC$2:$AC$1501,'Daily Sale entry '!$AA$2:$AA$1501,$K70,'Daily Sale entry '!$Z$2:$Z$1501,"Online collection 网上收款",'Daily Sale entry '!$X$2:$X$1501,$B$2)))</f>
        <v/>
      </c>
      <c r="Q70" s="24">
        <f>IF($K70="","",IF($B$2="","",SUMIFS('Debtor Ledger'!$K$2:$K$3001,'Debtor Ledger'!$C$2:$C$3001,$K70,'Debtor Ledger'!$B$2:$B$3001,$B$2)))</f>
        <v/>
      </c>
      <c r="R70" s="24">
        <f>IF($K70="","",IF($B$2="","",ROUND(L70+M70-N70-O70-P70-Q70,2)))</f>
        <v/>
      </c>
      <c r="S70" s="21">
        <f>IF(K70="","",IF($B$2="","",IF(ABS(M70)+ABS(N70)+ABS(O70)+ABS(P70)+ABS(Q70)&gt;0,1,0)))</f>
        <v/>
      </c>
      <c r="T70" s="21">
        <f>IF(S70=1,SUM($S$6:S70),"")</f>
        <v/>
      </c>
    </row>
    <row r="71">
      <c r="A71">
        <f>IF($I71="","",INDEX(K$6:K$305,$I71))</f>
        <v/>
      </c>
      <c r="B71" s="6">
        <f>IF($I71="","",INDEX(L$6:L$305,$I71))</f>
        <v/>
      </c>
      <c r="C71" s="6">
        <f>IF($I71="","",INDEX(M$6:M$305,$I71))</f>
        <v/>
      </c>
      <c r="D71" s="6">
        <f>IF($I71="","",INDEX(N$6:N$305,$I71))</f>
        <v/>
      </c>
      <c r="E71" s="6">
        <f>IF($I71="","",INDEX(O$6:O$305,$I71))</f>
        <v/>
      </c>
      <c r="F71" s="6">
        <f>IF($I71="","",INDEX(P$6:P$305,$I71))</f>
        <v/>
      </c>
      <c r="G71" s="6">
        <f>IF($I71="","",INDEX(Q$6:Q$305,$I71))</f>
        <v/>
      </c>
      <c r="H71" s="6">
        <f>IF($I71="","",INDEX(R$6:R$305,$I71))</f>
        <v/>
      </c>
      <c r="I71" s="21">
        <f>IFERROR(MATCH(66,$T$6:$T$305,0),"")</f>
        <v/>
      </c>
      <c r="K71" s="21">
        <f>IF('Debtor Summary'!A70="","",'Debtor Summary'!A70)</f>
        <v/>
      </c>
      <c r="L71" s="24">
        <f>IF($K71="","",IF($B$2="","",ROUND(SUMIFS('Opening Balance'!$F$4:$F$303,'Opening Balance'!$G$4:$G$303,$K71)+SUMIFS('Daily Sale entry '!$S$2:$S$1501,'Daily Sale entry '!$P$2:$P$1501,$K71,'Daily Sale entry '!$Q$2:$Q$1501,"Credit Sale 赊销",'Daily Sale entry '!$O$2:$O$1501,"&lt;"&amp;$B$2)-SUMIFS('Daily Sale entry '!$S$2:$S$1501,'Daily Sale entry '!$P$2:$P$1501,$K71,'Daily Sale entry '!$Q$2:$Q$1501,"Collection 收款",'Daily Sale entry '!$O$2:$O$1501,"&lt;"&amp;$B$2)-SUMIFS('Daily Sale entry '!$AC$2:$AC$1501,'Daily Sale entry '!$AA$2:$AA$1501,$K71,'Daily Sale entry '!$Z$2:$Z$1501,"Online collection 网上收款",'Daily Sale entry '!$X$2:$X$1501,"&lt;"&amp;$B$2)-SUMIFS('Debtor Ledger'!$K$2:$K$3001,'Debtor Ledger'!$C$2:$C$3001,$K71,'Debtor Ledger'!$B$2:$B$3001,"&lt;"&amp;$B$2),2)))</f>
        <v/>
      </c>
      <c r="M71" s="24">
        <f>IF($K71="","",IF($B$2="","",SUMIFS('Daily Sale entry '!$S$2:$S$1501,'Daily Sale entry '!$P$2:$P$1501,$K71,'Daily Sale entry '!$Q$2:$Q$1501,"Credit Sale 赊销",'Daily Sale entry '!$O$2:$O$1501,$B$2)))</f>
        <v/>
      </c>
      <c r="N71" s="24">
        <f>IF($K71="","",IF($B$2="","",SUMIFS('Daily Sale entry '!$S$2:$S$1501,'Daily Sale entry '!$P$2:$P$1501,$K71,'Daily Sale entry '!$Q$2:$Q$1501,"Collection 收款",'Daily Sale entry '!$R$2:$R$1501,"Cash 现金",'Daily Sale entry '!$O$2:$O$1501,$B$2)))</f>
        <v/>
      </c>
      <c r="O71" s="24">
        <f>IF($K71="","",IF($B$2="","",SUMIFS('Daily Sale entry '!$S$2:$S$1501,'Daily Sale entry '!$P$2:$P$1501,$K71,'Daily Sale entry '!$Q$2:$Q$1501,"Collection 收款",'Daily Sale entry '!$R$2:$R$1501,"Cheque 支票",'Daily Sale entry '!$O$2:$O$1501,$B$2)))</f>
        <v/>
      </c>
      <c r="P71" s="24">
        <f>IF($K71="","",IF($B$2="","",SUMIFS('Daily Sale entry '!$AC$2:$AC$1501,'Daily Sale entry '!$AA$2:$AA$1501,$K71,'Daily Sale entry '!$Z$2:$Z$1501,"Online collection 网上收款",'Daily Sale entry '!$X$2:$X$1501,$B$2)))</f>
        <v/>
      </c>
      <c r="Q71" s="24">
        <f>IF($K71="","",IF($B$2="","",SUMIFS('Debtor Ledger'!$K$2:$K$3001,'Debtor Ledger'!$C$2:$C$3001,$K71,'Debtor Ledger'!$B$2:$B$3001,$B$2)))</f>
        <v/>
      </c>
      <c r="R71" s="24">
        <f>IF($K71="","",IF($B$2="","",ROUND(L71+M71-N71-O71-P71-Q71,2)))</f>
        <v/>
      </c>
      <c r="S71" s="21">
        <f>IF(K71="","",IF($B$2="","",IF(ABS(M71)+ABS(N71)+ABS(O71)+ABS(P71)+ABS(Q71)&gt;0,1,0)))</f>
        <v/>
      </c>
      <c r="T71" s="21">
        <f>IF(S71=1,SUM($S$6:S71),"")</f>
        <v/>
      </c>
    </row>
    <row r="72">
      <c r="A72">
        <f>IF($I72="","",INDEX(K$6:K$305,$I72))</f>
        <v/>
      </c>
      <c r="B72" s="6">
        <f>IF($I72="","",INDEX(L$6:L$305,$I72))</f>
        <v/>
      </c>
      <c r="C72" s="6">
        <f>IF($I72="","",INDEX(M$6:M$305,$I72))</f>
        <v/>
      </c>
      <c r="D72" s="6">
        <f>IF($I72="","",INDEX(N$6:N$305,$I72))</f>
        <v/>
      </c>
      <c r="E72" s="6">
        <f>IF($I72="","",INDEX(O$6:O$305,$I72))</f>
        <v/>
      </c>
      <c r="F72" s="6">
        <f>IF($I72="","",INDEX(P$6:P$305,$I72))</f>
        <v/>
      </c>
      <c r="G72" s="6">
        <f>IF($I72="","",INDEX(Q$6:Q$305,$I72))</f>
        <v/>
      </c>
      <c r="H72" s="6">
        <f>IF($I72="","",INDEX(R$6:R$305,$I72))</f>
        <v/>
      </c>
      <c r="I72" s="21">
        <f>IFERROR(MATCH(67,$T$6:$T$305,0),"")</f>
        <v/>
      </c>
      <c r="K72" s="21">
        <f>IF('Debtor Summary'!A71="","",'Debtor Summary'!A71)</f>
        <v/>
      </c>
      <c r="L72" s="24">
        <f>IF($K72="","",IF($B$2="","",ROUND(SUMIFS('Opening Balance'!$F$4:$F$303,'Opening Balance'!$G$4:$G$303,$K72)+SUMIFS('Daily Sale entry '!$S$2:$S$1501,'Daily Sale entry '!$P$2:$P$1501,$K72,'Daily Sale entry '!$Q$2:$Q$1501,"Credit Sale 赊销",'Daily Sale entry '!$O$2:$O$1501,"&lt;"&amp;$B$2)-SUMIFS('Daily Sale entry '!$S$2:$S$1501,'Daily Sale entry '!$P$2:$P$1501,$K72,'Daily Sale entry '!$Q$2:$Q$1501,"Collection 收款",'Daily Sale entry '!$O$2:$O$1501,"&lt;"&amp;$B$2)-SUMIFS('Daily Sale entry '!$AC$2:$AC$1501,'Daily Sale entry '!$AA$2:$AA$1501,$K72,'Daily Sale entry '!$Z$2:$Z$1501,"Online collection 网上收款",'Daily Sale entry '!$X$2:$X$1501,"&lt;"&amp;$B$2)-SUMIFS('Debtor Ledger'!$K$2:$K$3001,'Debtor Ledger'!$C$2:$C$3001,$K72,'Debtor Ledger'!$B$2:$B$3001,"&lt;"&amp;$B$2),2)))</f>
        <v/>
      </c>
      <c r="M72" s="24">
        <f>IF($K72="","",IF($B$2="","",SUMIFS('Daily Sale entry '!$S$2:$S$1501,'Daily Sale entry '!$P$2:$P$1501,$K72,'Daily Sale entry '!$Q$2:$Q$1501,"Credit Sale 赊销",'Daily Sale entry '!$O$2:$O$1501,$B$2)))</f>
        <v/>
      </c>
      <c r="N72" s="24">
        <f>IF($K72="","",IF($B$2="","",SUMIFS('Daily Sale entry '!$S$2:$S$1501,'Daily Sale entry '!$P$2:$P$1501,$K72,'Daily Sale entry '!$Q$2:$Q$1501,"Collection 收款",'Daily Sale entry '!$R$2:$R$1501,"Cash 现金",'Daily Sale entry '!$O$2:$O$1501,$B$2)))</f>
        <v/>
      </c>
      <c r="O72" s="24">
        <f>IF($K72="","",IF($B$2="","",SUMIFS('Daily Sale entry '!$S$2:$S$1501,'Daily Sale entry '!$P$2:$P$1501,$K72,'Daily Sale entry '!$Q$2:$Q$1501,"Collection 收款",'Daily Sale entry '!$R$2:$R$1501,"Cheque 支票",'Daily Sale entry '!$O$2:$O$1501,$B$2)))</f>
        <v/>
      </c>
      <c r="P72" s="24">
        <f>IF($K72="","",IF($B$2="","",SUMIFS('Daily Sale entry '!$AC$2:$AC$1501,'Daily Sale entry '!$AA$2:$AA$1501,$K72,'Daily Sale entry '!$Z$2:$Z$1501,"Online collection 网上收款",'Daily Sale entry '!$X$2:$X$1501,$B$2)))</f>
        <v/>
      </c>
      <c r="Q72" s="24">
        <f>IF($K72="","",IF($B$2="","",SUMIFS('Debtor Ledger'!$K$2:$K$3001,'Debtor Ledger'!$C$2:$C$3001,$K72,'Debtor Ledger'!$B$2:$B$3001,$B$2)))</f>
        <v/>
      </c>
      <c r="R72" s="24">
        <f>IF($K72="","",IF($B$2="","",ROUND(L72+M72-N72-O72-P72-Q72,2)))</f>
        <v/>
      </c>
      <c r="S72" s="21">
        <f>IF(K72="","",IF($B$2="","",IF(ABS(M72)+ABS(N72)+ABS(O72)+ABS(P72)+ABS(Q72)&gt;0,1,0)))</f>
        <v/>
      </c>
      <c r="T72" s="21">
        <f>IF(S72=1,SUM($S$6:S72),"")</f>
        <v/>
      </c>
    </row>
    <row r="73">
      <c r="A73">
        <f>IF($I73="","",INDEX(K$6:K$305,$I73))</f>
        <v/>
      </c>
      <c r="B73" s="6">
        <f>IF($I73="","",INDEX(L$6:L$305,$I73))</f>
        <v/>
      </c>
      <c r="C73" s="6">
        <f>IF($I73="","",INDEX(M$6:M$305,$I73))</f>
        <v/>
      </c>
      <c r="D73" s="6">
        <f>IF($I73="","",INDEX(N$6:N$305,$I73))</f>
        <v/>
      </c>
      <c r="E73" s="6">
        <f>IF($I73="","",INDEX(O$6:O$305,$I73))</f>
        <v/>
      </c>
      <c r="F73" s="6">
        <f>IF($I73="","",INDEX(P$6:P$305,$I73))</f>
        <v/>
      </c>
      <c r="G73" s="6">
        <f>IF($I73="","",INDEX(Q$6:Q$305,$I73))</f>
        <v/>
      </c>
      <c r="H73" s="6">
        <f>IF($I73="","",INDEX(R$6:R$305,$I73))</f>
        <v/>
      </c>
      <c r="I73" s="21">
        <f>IFERROR(MATCH(68,$T$6:$T$305,0),"")</f>
        <v/>
      </c>
      <c r="K73" s="21">
        <f>IF('Debtor Summary'!A72="","",'Debtor Summary'!A72)</f>
        <v/>
      </c>
      <c r="L73" s="24">
        <f>IF($K73="","",IF($B$2="","",ROUND(SUMIFS('Opening Balance'!$F$4:$F$303,'Opening Balance'!$G$4:$G$303,$K73)+SUMIFS('Daily Sale entry '!$S$2:$S$1501,'Daily Sale entry '!$P$2:$P$1501,$K73,'Daily Sale entry '!$Q$2:$Q$1501,"Credit Sale 赊销",'Daily Sale entry '!$O$2:$O$1501,"&lt;"&amp;$B$2)-SUMIFS('Daily Sale entry '!$S$2:$S$1501,'Daily Sale entry '!$P$2:$P$1501,$K73,'Daily Sale entry '!$Q$2:$Q$1501,"Collection 收款",'Daily Sale entry '!$O$2:$O$1501,"&lt;"&amp;$B$2)-SUMIFS('Daily Sale entry '!$AC$2:$AC$1501,'Daily Sale entry '!$AA$2:$AA$1501,$K73,'Daily Sale entry '!$Z$2:$Z$1501,"Online collection 网上收款",'Daily Sale entry '!$X$2:$X$1501,"&lt;"&amp;$B$2)-SUMIFS('Debtor Ledger'!$K$2:$K$3001,'Debtor Ledger'!$C$2:$C$3001,$K73,'Debtor Ledger'!$B$2:$B$3001,"&lt;"&amp;$B$2),2)))</f>
        <v/>
      </c>
      <c r="M73" s="24">
        <f>IF($K73="","",IF($B$2="","",SUMIFS('Daily Sale entry '!$S$2:$S$1501,'Daily Sale entry '!$P$2:$P$1501,$K73,'Daily Sale entry '!$Q$2:$Q$1501,"Credit Sale 赊销",'Daily Sale entry '!$O$2:$O$1501,$B$2)))</f>
        <v/>
      </c>
      <c r="N73" s="24">
        <f>IF($K73="","",IF($B$2="","",SUMIFS('Daily Sale entry '!$S$2:$S$1501,'Daily Sale entry '!$P$2:$P$1501,$K73,'Daily Sale entry '!$Q$2:$Q$1501,"Collection 收款",'Daily Sale entry '!$R$2:$R$1501,"Cash 现金",'Daily Sale entry '!$O$2:$O$1501,$B$2)))</f>
        <v/>
      </c>
      <c r="O73" s="24">
        <f>IF($K73="","",IF($B$2="","",SUMIFS('Daily Sale entry '!$S$2:$S$1501,'Daily Sale entry '!$P$2:$P$1501,$K73,'Daily Sale entry '!$Q$2:$Q$1501,"Collection 收款",'Daily Sale entry '!$R$2:$R$1501,"Cheque 支票",'Daily Sale entry '!$O$2:$O$1501,$B$2)))</f>
        <v/>
      </c>
      <c r="P73" s="24">
        <f>IF($K73="","",IF($B$2="","",SUMIFS('Daily Sale entry '!$AC$2:$AC$1501,'Daily Sale entry '!$AA$2:$AA$1501,$K73,'Daily Sale entry '!$Z$2:$Z$1501,"Online collection 网上收款",'Daily Sale entry '!$X$2:$X$1501,$B$2)))</f>
        <v/>
      </c>
      <c r="Q73" s="24">
        <f>IF($K73="","",IF($B$2="","",SUMIFS('Debtor Ledger'!$K$2:$K$3001,'Debtor Ledger'!$C$2:$C$3001,$K73,'Debtor Ledger'!$B$2:$B$3001,$B$2)))</f>
        <v/>
      </c>
      <c r="R73" s="24">
        <f>IF($K73="","",IF($B$2="","",ROUND(L73+M73-N73-O73-P73-Q73,2)))</f>
        <v/>
      </c>
      <c r="S73" s="21">
        <f>IF(K73="","",IF($B$2="","",IF(ABS(M73)+ABS(N73)+ABS(O73)+ABS(P73)+ABS(Q73)&gt;0,1,0)))</f>
        <v/>
      </c>
      <c r="T73" s="21">
        <f>IF(S73=1,SUM($S$6:S73),"")</f>
        <v/>
      </c>
    </row>
    <row r="74">
      <c r="A74">
        <f>IF($I74="","",INDEX(K$6:K$305,$I74))</f>
        <v/>
      </c>
      <c r="B74" s="6">
        <f>IF($I74="","",INDEX(L$6:L$305,$I74))</f>
        <v/>
      </c>
      <c r="C74" s="6">
        <f>IF($I74="","",INDEX(M$6:M$305,$I74))</f>
        <v/>
      </c>
      <c r="D74" s="6">
        <f>IF($I74="","",INDEX(N$6:N$305,$I74))</f>
        <v/>
      </c>
      <c r="E74" s="6">
        <f>IF($I74="","",INDEX(O$6:O$305,$I74))</f>
        <v/>
      </c>
      <c r="F74" s="6">
        <f>IF($I74="","",INDEX(P$6:P$305,$I74))</f>
        <v/>
      </c>
      <c r="G74" s="6">
        <f>IF($I74="","",INDEX(Q$6:Q$305,$I74))</f>
        <v/>
      </c>
      <c r="H74" s="6">
        <f>IF($I74="","",INDEX(R$6:R$305,$I74))</f>
        <v/>
      </c>
      <c r="I74" s="21">
        <f>IFERROR(MATCH(69,$T$6:$T$305,0),"")</f>
        <v/>
      </c>
      <c r="K74" s="21">
        <f>IF('Debtor Summary'!A73="","",'Debtor Summary'!A73)</f>
        <v/>
      </c>
      <c r="L74" s="24">
        <f>IF($K74="","",IF($B$2="","",ROUND(SUMIFS('Opening Balance'!$F$4:$F$303,'Opening Balance'!$G$4:$G$303,$K74)+SUMIFS('Daily Sale entry '!$S$2:$S$1501,'Daily Sale entry '!$P$2:$P$1501,$K74,'Daily Sale entry '!$Q$2:$Q$1501,"Credit Sale 赊销",'Daily Sale entry '!$O$2:$O$1501,"&lt;"&amp;$B$2)-SUMIFS('Daily Sale entry '!$S$2:$S$1501,'Daily Sale entry '!$P$2:$P$1501,$K74,'Daily Sale entry '!$Q$2:$Q$1501,"Collection 收款",'Daily Sale entry '!$O$2:$O$1501,"&lt;"&amp;$B$2)-SUMIFS('Daily Sale entry '!$AC$2:$AC$1501,'Daily Sale entry '!$AA$2:$AA$1501,$K74,'Daily Sale entry '!$Z$2:$Z$1501,"Online collection 网上收款",'Daily Sale entry '!$X$2:$X$1501,"&lt;"&amp;$B$2)-SUMIFS('Debtor Ledger'!$K$2:$K$3001,'Debtor Ledger'!$C$2:$C$3001,$K74,'Debtor Ledger'!$B$2:$B$3001,"&lt;"&amp;$B$2),2)))</f>
        <v/>
      </c>
      <c r="M74" s="24">
        <f>IF($K74="","",IF($B$2="","",SUMIFS('Daily Sale entry '!$S$2:$S$1501,'Daily Sale entry '!$P$2:$P$1501,$K74,'Daily Sale entry '!$Q$2:$Q$1501,"Credit Sale 赊销",'Daily Sale entry '!$O$2:$O$1501,$B$2)))</f>
        <v/>
      </c>
      <c r="N74" s="24">
        <f>IF($K74="","",IF($B$2="","",SUMIFS('Daily Sale entry '!$S$2:$S$1501,'Daily Sale entry '!$P$2:$P$1501,$K74,'Daily Sale entry '!$Q$2:$Q$1501,"Collection 收款",'Daily Sale entry '!$R$2:$R$1501,"Cash 现金",'Daily Sale entry '!$O$2:$O$1501,$B$2)))</f>
        <v/>
      </c>
      <c r="O74" s="24">
        <f>IF($K74="","",IF($B$2="","",SUMIFS('Daily Sale entry '!$S$2:$S$1501,'Daily Sale entry '!$P$2:$P$1501,$K74,'Daily Sale entry '!$Q$2:$Q$1501,"Collection 收款",'Daily Sale entry '!$R$2:$R$1501,"Cheque 支票",'Daily Sale entry '!$O$2:$O$1501,$B$2)))</f>
        <v/>
      </c>
      <c r="P74" s="24">
        <f>IF($K74="","",IF($B$2="","",SUMIFS('Daily Sale entry '!$AC$2:$AC$1501,'Daily Sale entry '!$AA$2:$AA$1501,$K74,'Daily Sale entry '!$Z$2:$Z$1501,"Online collection 网上收款",'Daily Sale entry '!$X$2:$X$1501,$B$2)))</f>
        <v/>
      </c>
      <c r="Q74" s="24">
        <f>IF($K74="","",IF($B$2="","",SUMIFS('Debtor Ledger'!$K$2:$K$3001,'Debtor Ledger'!$C$2:$C$3001,$K74,'Debtor Ledger'!$B$2:$B$3001,$B$2)))</f>
        <v/>
      </c>
      <c r="R74" s="24">
        <f>IF($K74="","",IF($B$2="","",ROUND(L74+M74-N74-O74-P74-Q74,2)))</f>
        <v/>
      </c>
      <c r="S74" s="21">
        <f>IF(K74="","",IF($B$2="","",IF(ABS(M74)+ABS(N74)+ABS(O74)+ABS(P74)+ABS(Q74)&gt;0,1,0)))</f>
        <v/>
      </c>
      <c r="T74" s="21">
        <f>IF(S74=1,SUM($S$6:S74),"")</f>
        <v/>
      </c>
    </row>
    <row r="75">
      <c r="A75">
        <f>IF($I75="","",INDEX(K$6:K$305,$I75))</f>
        <v/>
      </c>
      <c r="B75" s="6">
        <f>IF($I75="","",INDEX(L$6:L$305,$I75))</f>
        <v/>
      </c>
      <c r="C75" s="6">
        <f>IF($I75="","",INDEX(M$6:M$305,$I75))</f>
        <v/>
      </c>
      <c r="D75" s="6">
        <f>IF($I75="","",INDEX(N$6:N$305,$I75))</f>
        <v/>
      </c>
      <c r="E75" s="6">
        <f>IF($I75="","",INDEX(O$6:O$305,$I75))</f>
        <v/>
      </c>
      <c r="F75" s="6">
        <f>IF($I75="","",INDEX(P$6:P$305,$I75))</f>
        <v/>
      </c>
      <c r="G75" s="6">
        <f>IF($I75="","",INDEX(Q$6:Q$305,$I75))</f>
        <v/>
      </c>
      <c r="H75" s="6">
        <f>IF($I75="","",INDEX(R$6:R$305,$I75))</f>
        <v/>
      </c>
      <c r="I75" s="21">
        <f>IFERROR(MATCH(70,$T$6:$T$305,0),"")</f>
        <v/>
      </c>
      <c r="K75" s="21">
        <f>IF('Debtor Summary'!A74="","",'Debtor Summary'!A74)</f>
        <v/>
      </c>
      <c r="L75" s="24">
        <f>IF($K75="","",IF($B$2="","",ROUND(SUMIFS('Opening Balance'!$F$4:$F$303,'Opening Balance'!$G$4:$G$303,$K75)+SUMIFS('Daily Sale entry '!$S$2:$S$1501,'Daily Sale entry '!$P$2:$P$1501,$K75,'Daily Sale entry '!$Q$2:$Q$1501,"Credit Sale 赊销",'Daily Sale entry '!$O$2:$O$1501,"&lt;"&amp;$B$2)-SUMIFS('Daily Sale entry '!$S$2:$S$1501,'Daily Sale entry '!$P$2:$P$1501,$K75,'Daily Sale entry '!$Q$2:$Q$1501,"Collection 收款",'Daily Sale entry '!$O$2:$O$1501,"&lt;"&amp;$B$2)-SUMIFS('Daily Sale entry '!$AC$2:$AC$1501,'Daily Sale entry '!$AA$2:$AA$1501,$K75,'Daily Sale entry '!$Z$2:$Z$1501,"Online collection 网上收款",'Daily Sale entry '!$X$2:$X$1501,"&lt;"&amp;$B$2)-SUMIFS('Debtor Ledger'!$K$2:$K$3001,'Debtor Ledger'!$C$2:$C$3001,$K75,'Debtor Ledger'!$B$2:$B$3001,"&lt;"&amp;$B$2),2)))</f>
        <v/>
      </c>
      <c r="M75" s="24">
        <f>IF($K75="","",IF($B$2="","",SUMIFS('Daily Sale entry '!$S$2:$S$1501,'Daily Sale entry '!$P$2:$P$1501,$K75,'Daily Sale entry '!$Q$2:$Q$1501,"Credit Sale 赊销",'Daily Sale entry '!$O$2:$O$1501,$B$2)))</f>
        <v/>
      </c>
      <c r="N75" s="24">
        <f>IF($K75="","",IF($B$2="","",SUMIFS('Daily Sale entry '!$S$2:$S$1501,'Daily Sale entry '!$P$2:$P$1501,$K75,'Daily Sale entry '!$Q$2:$Q$1501,"Collection 收款",'Daily Sale entry '!$R$2:$R$1501,"Cash 现金",'Daily Sale entry '!$O$2:$O$1501,$B$2)))</f>
        <v/>
      </c>
      <c r="O75" s="24">
        <f>IF($K75="","",IF($B$2="","",SUMIFS('Daily Sale entry '!$S$2:$S$1501,'Daily Sale entry '!$P$2:$P$1501,$K75,'Daily Sale entry '!$Q$2:$Q$1501,"Collection 收款",'Daily Sale entry '!$R$2:$R$1501,"Cheque 支票",'Daily Sale entry '!$O$2:$O$1501,$B$2)))</f>
        <v/>
      </c>
      <c r="P75" s="24">
        <f>IF($K75="","",IF($B$2="","",SUMIFS('Daily Sale entry '!$AC$2:$AC$1501,'Daily Sale entry '!$AA$2:$AA$1501,$K75,'Daily Sale entry '!$Z$2:$Z$1501,"Online collection 网上收款",'Daily Sale entry '!$X$2:$X$1501,$B$2)))</f>
        <v/>
      </c>
      <c r="Q75" s="24">
        <f>IF($K75="","",IF($B$2="","",SUMIFS('Debtor Ledger'!$K$2:$K$3001,'Debtor Ledger'!$C$2:$C$3001,$K75,'Debtor Ledger'!$B$2:$B$3001,$B$2)))</f>
        <v/>
      </c>
      <c r="R75" s="24">
        <f>IF($K75="","",IF($B$2="","",ROUND(L75+M75-N75-O75-P75-Q75,2)))</f>
        <v/>
      </c>
      <c r="S75" s="21">
        <f>IF(K75="","",IF($B$2="","",IF(ABS(M75)+ABS(N75)+ABS(O75)+ABS(P75)+ABS(Q75)&gt;0,1,0)))</f>
        <v/>
      </c>
      <c r="T75" s="21">
        <f>IF(S75=1,SUM($S$6:S75),"")</f>
        <v/>
      </c>
    </row>
    <row r="76">
      <c r="A76">
        <f>IF($I76="","",INDEX(K$6:K$305,$I76))</f>
        <v/>
      </c>
      <c r="B76" s="6">
        <f>IF($I76="","",INDEX(L$6:L$305,$I76))</f>
        <v/>
      </c>
      <c r="C76" s="6">
        <f>IF($I76="","",INDEX(M$6:M$305,$I76))</f>
        <v/>
      </c>
      <c r="D76" s="6">
        <f>IF($I76="","",INDEX(N$6:N$305,$I76))</f>
        <v/>
      </c>
      <c r="E76" s="6">
        <f>IF($I76="","",INDEX(O$6:O$305,$I76))</f>
        <v/>
      </c>
      <c r="F76" s="6">
        <f>IF($I76="","",INDEX(P$6:P$305,$I76))</f>
        <v/>
      </c>
      <c r="G76" s="6">
        <f>IF($I76="","",INDEX(Q$6:Q$305,$I76))</f>
        <v/>
      </c>
      <c r="H76" s="6">
        <f>IF($I76="","",INDEX(R$6:R$305,$I76))</f>
        <v/>
      </c>
      <c r="I76" s="21">
        <f>IFERROR(MATCH(71,$T$6:$T$305,0),"")</f>
        <v/>
      </c>
      <c r="K76" s="21">
        <f>IF('Debtor Summary'!A75="","",'Debtor Summary'!A75)</f>
        <v/>
      </c>
      <c r="L76" s="24">
        <f>IF($K76="","",IF($B$2="","",ROUND(SUMIFS('Opening Balance'!$F$4:$F$303,'Opening Balance'!$G$4:$G$303,$K76)+SUMIFS('Daily Sale entry '!$S$2:$S$1501,'Daily Sale entry '!$P$2:$P$1501,$K76,'Daily Sale entry '!$Q$2:$Q$1501,"Credit Sale 赊销",'Daily Sale entry '!$O$2:$O$1501,"&lt;"&amp;$B$2)-SUMIFS('Daily Sale entry '!$S$2:$S$1501,'Daily Sale entry '!$P$2:$P$1501,$K76,'Daily Sale entry '!$Q$2:$Q$1501,"Collection 收款",'Daily Sale entry '!$O$2:$O$1501,"&lt;"&amp;$B$2)-SUMIFS('Daily Sale entry '!$AC$2:$AC$1501,'Daily Sale entry '!$AA$2:$AA$1501,$K76,'Daily Sale entry '!$Z$2:$Z$1501,"Online collection 网上收款",'Daily Sale entry '!$X$2:$X$1501,"&lt;"&amp;$B$2)-SUMIFS('Debtor Ledger'!$K$2:$K$3001,'Debtor Ledger'!$C$2:$C$3001,$K76,'Debtor Ledger'!$B$2:$B$3001,"&lt;"&amp;$B$2),2)))</f>
        <v/>
      </c>
      <c r="M76" s="24">
        <f>IF($K76="","",IF($B$2="","",SUMIFS('Daily Sale entry '!$S$2:$S$1501,'Daily Sale entry '!$P$2:$P$1501,$K76,'Daily Sale entry '!$Q$2:$Q$1501,"Credit Sale 赊销",'Daily Sale entry '!$O$2:$O$1501,$B$2)))</f>
        <v/>
      </c>
      <c r="N76" s="24">
        <f>IF($K76="","",IF($B$2="","",SUMIFS('Daily Sale entry '!$S$2:$S$1501,'Daily Sale entry '!$P$2:$P$1501,$K76,'Daily Sale entry '!$Q$2:$Q$1501,"Collection 收款",'Daily Sale entry '!$R$2:$R$1501,"Cash 现金",'Daily Sale entry '!$O$2:$O$1501,$B$2)))</f>
        <v/>
      </c>
      <c r="O76" s="24">
        <f>IF($K76="","",IF($B$2="","",SUMIFS('Daily Sale entry '!$S$2:$S$1501,'Daily Sale entry '!$P$2:$P$1501,$K76,'Daily Sale entry '!$Q$2:$Q$1501,"Collection 收款",'Daily Sale entry '!$R$2:$R$1501,"Cheque 支票",'Daily Sale entry '!$O$2:$O$1501,$B$2)))</f>
        <v/>
      </c>
      <c r="P76" s="24">
        <f>IF($K76="","",IF($B$2="","",SUMIFS('Daily Sale entry '!$AC$2:$AC$1501,'Daily Sale entry '!$AA$2:$AA$1501,$K76,'Daily Sale entry '!$Z$2:$Z$1501,"Online collection 网上收款",'Daily Sale entry '!$X$2:$X$1501,$B$2)))</f>
        <v/>
      </c>
      <c r="Q76" s="24">
        <f>IF($K76="","",IF($B$2="","",SUMIFS('Debtor Ledger'!$K$2:$K$3001,'Debtor Ledger'!$C$2:$C$3001,$K76,'Debtor Ledger'!$B$2:$B$3001,$B$2)))</f>
        <v/>
      </c>
      <c r="R76" s="24">
        <f>IF($K76="","",IF($B$2="","",ROUND(L76+M76-N76-O76-P76-Q76,2)))</f>
        <v/>
      </c>
      <c r="S76" s="21">
        <f>IF(K76="","",IF($B$2="","",IF(ABS(M76)+ABS(N76)+ABS(O76)+ABS(P76)+ABS(Q76)&gt;0,1,0)))</f>
        <v/>
      </c>
      <c r="T76" s="21">
        <f>IF(S76=1,SUM($S$6:S76),"")</f>
        <v/>
      </c>
    </row>
    <row r="77">
      <c r="A77">
        <f>IF($I77="","",INDEX(K$6:K$305,$I77))</f>
        <v/>
      </c>
      <c r="B77" s="6">
        <f>IF($I77="","",INDEX(L$6:L$305,$I77))</f>
        <v/>
      </c>
      <c r="C77" s="6">
        <f>IF($I77="","",INDEX(M$6:M$305,$I77))</f>
        <v/>
      </c>
      <c r="D77" s="6">
        <f>IF($I77="","",INDEX(N$6:N$305,$I77))</f>
        <v/>
      </c>
      <c r="E77" s="6">
        <f>IF($I77="","",INDEX(O$6:O$305,$I77))</f>
        <v/>
      </c>
      <c r="F77" s="6">
        <f>IF($I77="","",INDEX(P$6:P$305,$I77))</f>
        <v/>
      </c>
      <c r="G77" s="6">
        <f>IF($I77="","",INDEX(Q$6:Q$305,$I77))</f>
        <v/>
      </c>
      <c r="H77" s="6">
        <f>IF($I77="","",INDEX(R$6:R$305,$I77))</f>
        <v/>
      </c>
      <c r="I77" s="21">
        <f>IFERROR(MATCH(72,$T$6:$T$305,0),"")</f>
        <v/>
      </c>
      <c r="K77" s="21">
        <f>IF('Debtor Summary'!A76="","",'Debtor Summary'!A76)</f>
        <v/>
      </c>
      <c r="L77" s="24">
        <f>IF($K77="","",IF($B$2="","",ROUND(SUMIFS('Opening Balance'!$F$4:$F$303,'Opening Balance'!$G$4:$G$303,$K77)+SUMIFS('Daily Sale entry '!$S$2:$S$1501,'Daily Sale entry '!$P$2:$P$1501,$K77,'Daily Sale entry '!$Q$2:$Q$1501,"Credit Sale 赊销",'Daily Sale entry '!$O$2:$O$1501,"&lt;"&amp;$B$2)-SUMIFS('Daily Sale entry '!$S$2:$S$1501,'Daily Sale entry '!$P$2:$P$1501,$K77,'Daily Sale entry '!$Q$2:$Q$1501,"Collection 收款",'Daily Sale entry '!$O$2:$O$1501,"&lt;"&amp;$B$2)-SUMIFS('Daily Sale entry '!$AC$2:$AC$1501,'Daily Sale entry '!$AA$2:$AA$1501,$K77,'Daily Sale entry '!$Z$2:$Z$1501,"Online collection 网上收款",'Daily Sale entry '!$X$2:$X$1501,"&lt;"&amp;$B$2)-SUMIFS('Debtor Ledger'!$K$2:$K$3001,'Debtor Ledger'!$C$2:$C$3001,$K77,'Debtor Ledger'!$B$2:$B$3001,"&lt;"&amp;$B$2),2)))</f>
        <v/>
      </c>
      <c r="M77" s="24">
        <f>IF($K77="","",IF($B$2="","",SUMIFS('Daily Sale entry '!$S$2:$S$1501,'Daily Sale entry '!$P$2:$P$1501,$K77,'Daily Sale entry '!$Q$2:$Q$1501,"Credit Sale 赊销",'Daily Sale entry '!$O$2:$O$1501,$B$2)))</f>
        <v/>
      </c>
      <c r="N77" s="24">
        <f>IF($K77="","",IF($B$2="","",SUMIFS('Daily Sale entry '!$S$2:$S$1501,'Daily Sale entry '!$P$2:$P$1501,$K77,'Daily Sale entry '!$Q$2:$Q$1501,"Collection 收款",'Daily Sale entry '!$R$2:$R$1501,"Cash 现金",'Daily Sale entry '!$O$2:$O$1501,$B$2)))</f>
        <v/>
      </c>
      <c r="O77" s="24">
        <f>IF($K77="","",IF($B$2="","",SUMIFS('Daily Sale entry '!$S$2:$S$1501,'Daily Sale entry '!$P$2:$P$1501,$K77,'Daily Sale entry '!$Q$2:$Q$1501,"Collection 收款",'Daily Sale entry '!$R$2:$R$1501,"Cheque 支票",'Daily Sale entry '!$O$2:$O$1501,$B$2)))</f>
        <v/>
      </c>
      <c r="P77" s="24">
        <f>IF($K77="","",IF($B$2="","",SUMIFS('Daily Sale entry '!$AC$2:$AC$1501,'Daily Sale entry '!$AA$2:$AA$1501,$K77,'Daily Sale entry '!$Z$2:$Z$1501,"Online collection 网上收款",'Daily Sale entry '!$X$2:$X$1501,$B$2)))</f>
        <v/>
      </c>
      <c r="Q77" s="24">
        <f>IF($K77="","",IF($B$2="","",SUMIFS('Debtor Ledger'!$K$2:$K$3001,'Debtor Ledger'!$C$2:$C$3001,$K77,'Debtor Ledger'!$B$2:$B$3001,$B$2)))</f>
        <v/>
      </c>
      <c r="R77" s="24">
        <f>IF($K77="","",IF($B$2="","",ROUND(L77+M77-N77-O77-P77-Q77,2)))</f>
        <v/>
      </c>
      <c r="S77" s="21">
        <f>IF(K77="","",IF($B$2="","",IF(ABS(M77)+ABS(N77)+ABS(O77)+ABS(P77)+ABS(Q77)&gt;0,1,0)))</f>
        <v/>
      </c>
      <c r="T77" s="21">
        <f>IF(S77=1,SUM($S$6:S77),"")</f>
        <v/>
      </c>
    </row>
    <row r="78">
      <c r="A78">
        <f>IF($I78="","",INDEX(K$6:K$305,$I78))</f>
        <v/>
      </c>
      <c r="B78" s="6">
        <f>IF($I78="","",INDEX(L$6:L$305,$I78))</f>
        <v/>
      </c>
      <c r="C78" s="6">
        <f>IF($I78="","",INDEX(M$6:M$305,$I78))</f>
        <v/>
      </c>
      <c r="D78" s="6">
        <f>IF($I78="","",INDEX(N$6:N$305,$I78))</f>
        <v/>
      </c>
      <c r="E78" s="6">
        <f>IF($I78="","",INDEX(O$6:O$305,$I78))</f>
        <v/>
      </c>
      <c r="F78" s="6">
        <f>IF($I78="","",INDEX(P$6:P$305,$I78))</f>
        <v/>
      </c>
      <c r="G78" s="6">
        <f>IF($I78="","",INDEX(Q$6:Q$305,$I78))</f>
        <v/>
      </c>
      <c r="H78" s="6">
        <f>IF($I78="","",INDEX(R$6:R$305,$I78))</f>
        <v/>
      </c>
      <c r="I78" s="21">
        <f>IFERROR(MATCH(73,$T$6:$T$305,0),"")</f>
        <v/>
      </c>
      <c r="K78" s="21">
        <f>IF('Debtor Summary'!A77="","",'Debtor Summary'!A77)</f>
        <v/>
      </c>
      <c r="L78" s="24">
        <f>IF($K78="","",IF($B$2="","",ROUND(SUMIFS('Opening Balance'!$F$4:$F$303,'Opening Balance'!$G$4:$G$303,$K78)+SUMIFS('Daily Sale entry '!$S$2:$S$1501,'Daily Sale entry '!$P$2:$P$1501,$K78,'Daily Sale entry '!$Q$2:$Q$1501,"Credit Sale 赊销",'Daily Sale entry '!$O$2:$O$1501,"&lt;"&amp;$B$2)-SUMIFS('Daily Sale entry '!$S$2:$S$1501,'Daily Sale entry '!$P$2:$P$1501,$K78,'Daily Sale entry '!$Q$2:$Q$1501,"Collection 收款",'Daily Sale entry '!$O$2:$O$1501,"&lt;"&amp;$B$2)-SUMIFS('Daily Sale entry '!$AC$2:$AC$1501,'Daily Sale entry '!$AA$2:$AA$1501,$K78,'Daily Sale entry '!$Z$2:$Z$1501,"Online collection 网上收款",'Daily Sale entry '!$X$2:$X$1501,"&lt;"&amp;$B$2)-SUMIFS('Debtor Ledger'!$K$2:$K$3001,'Debtor Ledger'!$C$2:$C$3001,$K78,'Debtor Ledger'!$B$2:$B$3001,"&lt;"&amp;$B$2),2)))</f>
        <v/>
      </c>
      <c r="M78" s="24">
        <f>IF($K78="","",IF($B$2="","",SUMIFS('Daily Sale entry '!$S$2:$S$1501,'Daily Sale entry '!$P$2:$P$1501,$K78,'Daily Sale entry '!$Q$2:$Q$1501,"Credit Sale 赊销",'Daily Sale entry '!$O$2:$O$1501,$B$2)))</f>
        <v/>
      </c>
      <c r="N78" s="24">
        <f>IF($K78="","",IF($B$2="","",SUMIFS('Daily Sale entry '!$S$2:$S$1501,'Daily Sale entry '!$P$2:$P$1501,$K78,'Daily Sale entry '!$Q$2:$Q$1501,"Collection 收款",'Daily Sale entry '!$R$2:$R$1501,"Cash 现金",'Daily Sale entry '!$O$2:$O$1501,$B$2)))</f>
        <v/>
      </c>
      <c r="O78" s="24">
        <f>IF($K78="","",IF($B$2="","",SUMIFS('Daily Sale entry '!$S$2:$S$1501,'Daily Sale entry '!$P$2:$P$1501,$K78,'Daily Sale entry '!$Q$2:$Q$1501,"Collection 收款",'Daily Sale entry '!$R$2:$R$1501,"Cheque 支票",'Daily Sale entry '!$O$2:$O$1501,$B$2)))</f>
        <v/>
      </c>
      <c r="P78" s="24">
        <f>IF($K78="","",IF($B$2="","",SUMIFS('Daily Sale entry '!$AC$2:$AC$1501,'Daily Sale entry '!$AA$2:$AA$1501,$K78,'Daily Sale entry '!$Z$2:$Z$1501,"Online collection 网上收款",'Daily Sale entry '!$X$2:$X$1501,$B$2)))</f>
        <v/>
      </c>
      <c r="Q78" s="24">
        <f>IF($K78="","",IF($B$2="","",SUMIFS('Debtor Ledger'!$K$2:$K$3001,'Debtor Ledger'!$C$2:$C$3001,$K78,'Debtor Ledger'!$B$2:$B$3001,$B$2)))</f>
        <v/>
      </c>
      <c r="R78" s="24">
        <f>IF($K78="","",IF($B$2="","",ROUND(L78+M78-N78-O78-P78-Q78,2)))</f>
        <v/>
      </c>
      <c r="S78" s="21">
        <f>IF(K78="","",IF($B$2="","",IF(ABS(M78)+ABS(N78)+ABS(O78)+ABS(P78)+ABS(Q78)&gt;0,1,0)))</f>
        <v/>
      </c>
      <c r="T78" s="21">
        <f>IF(S78=1,SUM($S$6:S78),"")</f>
        <v/>
      </c>
    </row>
    <row r="79">
      <c r="A79">
        <f>IF($I79="","",INDEX(K$6:K$305,$I79))</f>
        <v/>
      </c>
      <c r="B79" s="6">
        <f>IF($I79="","",INDEX(L$6:L$305,$I79))</f>
        <v/>
      </c>
      <c r="C79" s="6">
        <f>IF($I79="","",INDEX(M$6:M$305,$I79))</f>
        <v/>
      </c>
      <c r="D79" s="6">
        <f>IF($I79="","",INDEX(N$6:N$305,$I79))</f>
        <v/>
      </c>
      <c r="E79" s="6">
        <f>IF($I79="","",INDEX(O$6:O$305,$I79))</f>
        <v/>
      </c>
      <c r="F79" s="6">
        <f>IF($I79="","",INDEX(P$6:P$305,$I79))</f>
        <v/>
      </c>
      <c r="G79" s="6">
        <f>IF($I79="","",INDEX(Q$6:Q$305,$I79))</f>
        <v/>
      </c>
      <c r="H79" s="6">
        <f>IF($I79="","",INDEX(R$6:R$305,$I79))</f>
        <v/>
      </c>
      <c r="I79" s="21">
        <f>IFERROR(MATCH(74,$T$6:$T$305,0),"")</f>
        <v/>
      </c>
      <c r="K79" s="21">
        <f>IF('Debtor Summary'!A78="","",'Debtor Summary'!A78)</f>
        <v/>
      </c>
      <c r="L79" s="24">
        <f>IF($K79="","",IF($B$2="","",ROUND(SUMIFS('Opening Balance'!$F$4:$F$303,'Opening Balance'!$G$4:$G$303,$K79)+SUMIFS('Daily Sale entry '!$S$2:$S$1501,'Daily Sale entry '!$P$2:$P$1501,$K79,'Daily Sale entry '!$Q$2:$Q$1501,"Credit Sale 赊销",'Daily Sale entry '!$O$2:$O$1501,"&lt;"&amp;$B$2)-SUMIFS('Daily Sale entry '!$S$2:$S$1501,'Daily Sale entry '!$P$2:$P$1501,$K79,'Daily Sale entry '!$Q$2:$Q$1501,"Collection 收款",'Daily Sale entry '!$O$2:$O$1501,"&lt;"&amp;$B$2)-SUMIFS('Daily Sale entry '!$AC$2:$AC$1501,'Daily Sale entry '!$AA$2:$AA$1501,$K79,'Daily Sale entry '!$Z$2:$Z$1501,"Online collection 网上收款",'Daily Sale entry '!$X$2:$X$1501,"&lt;"&amp;$B$2)-SUMIFS('Debtor Ledger'!$K$2:$K$3001,'Debtor Ledger'!$C$2:$C$3001,$K79,'Debtor Ledger'!$B$2:$B$3001,"&lt;"&amp;$B$2),2)))</f>
        <v/>
      </c>
      <c r="M79" s="24">
        <f>IF($K79="","",IF($B$2="","",SUMIFS('Daily Sale entry '!$S$2:$S$1501,'Daily Sale entry '!$P$2:$P$1501,$K79,'Daily Sale entry '!$Q$2:$Q$1501,"Credit Sale 赊销",'Daily Sale entry '!$O$2:$O$1501,$B$2)))</f>
        <v/>
      </c>
      <c r="N79" s="24">
        <f>IF($K79="","",IF($B$2="","",SUMIFS('Daily Sale entry '!$S$2:$S$1501,'Daily Sale entry '!$P$2:$P$1501,$K79,'Daily Sale entry '!$Q$2:$Q$1501,"Collection 收款",'Daily Sale entry '!$R$2:$R$1501,"Cash 现金",'Daily Sale entry '!$O$2:$O$1501,$B$2)))</f>
        <v/>
      </c>
      <c r="O79" s="24">
        <f>IF($K79="","",IF($B$2="","",SUMIFS('Daily Sale entry '!$S$2:$S$1501,'Daily Sale entry '!$P$2:$P$1501,$K79,'Daily Sale entry '!$Q$2:$Q$1501,"Collection 收款",'Daily Sale entry '!$R$2:$R$1501,"Cheque 支票",'Daily Sale entry '!$O$2:$O$1501,$B$2)))</f>
        <v/>
      </c>
      <c r="P79" s="24">
        <f>IF($K79="","",IF($B$2="","",SUMIFS('Daily Sale entry '!$AC$2:$AC$1501,'Daily Sale entry '!$AA$2:$AA$1501,$K79,'Daily Sale entry '!$Z$2:$Z$1501,"Online collection 网上收款",'Daily Sale entry '!$X$2:$X$1501,$B$2)))</f>
        <v/>
      </c>
      <c r="Q79" s="24">
        <f>IF($K79="","",IF($B$2="","",SUMIFS('Debtor Ledger'!$K$2:$K$3001,'Debtor Ledger'!$C$2:$C$3001,$K79,'Debtor Ledger'!$B$2:$B$3001,$B$2)))</f>
        <v/>
      </c>
      <c r="R79" s="24">
        <f>IF($K79="","",IF($B$2="","",ROUND(L79+M79-N79-O79-P79-Q79,2)))</f>
        <v/>
      </c>
      <c r="S79" s="21">
        <f>IF(K79="","",IF($B$2="","",IF(ABS(M79)+ABS(N79)+ABS(O79)+ABS(P79)+ABS(Q79)&gt;0,1,0)))</f>
        <v/>
      </c>
      <c r="T79" s="21">
        <f>IF(S79=1,SUM($S$6:S79),"")</f>
        <v/>
      </c>
    </row>
    <row r="80">
      <c r="A80">
        <f>IF($I80="","",INDEX(K$6:K$305,$I80))</f>
        <v/>
      </c>
      <c r="B80" s="6">
        <f>IF($I80="","",INDEX(L$6:L$305,$I80))</f>
        <v/>
      </c>
      <c r="C80" s="6">
        <f>IF($I80="","",INDEX(M$6:M$305,$I80))</f>
        <v/>
      </c>
      <c r="D80" s="6">
        <f>IF($I80="","",INDEX(N$6:N$305,$I80))</f>
        <v/>
      </c>
      <c r="E80" s="6">
        <f>IF($I80="","",INDEX(O$6:O$305,$I80))</f>
        <v/>
      </c>
      <c r="F80" s="6">
        <f>IF($I80="","",INDEX(P$6:P$305,$I80))</f>
        <v/>
      </c>
      <c r="G80" s="6">
        <f>IF($I80="","",INDEX(Q$6:Q$305,$I80))</f>
        <v/>
      </c>
      <c r="H80" s="6">
        <f>IF($I80="","",INDEX(R$6:R$305,$I80))</f>
        <v/>
      </c>
      <c r="I80" s="21">
        <f>IFERROR(MATCH(75,$T$6:$T$305,0),"")</f>
        <v/>
      </c>
      <c r="K80" s="21">
        <f>IF('Debtor Summary'!A79="","",'Debtor Summary'!A79)</f>
        <v/>
      </c>
      <c r="L80" s="24">
        <f>IF($K80="","",IF($B$2="","",ROUND(SUMIFS('Opening Balance'!$F$4:$F$303,'Opening Balance'!$G$4:$G$303,$K80)+SUMIFS('Daily Sale entry '!$S$2:$S$1501,'Daily Sale entry '!$P$2:$P$1501,$K80,'Daily Sale entry '!$Q$2:$Q$1501,"Credit Sale 赊销",'Daily Sale entry '!$O$2:$O$1501,"&lt;"&amp;$B$2)-SUMIFS('Daily Sale entry '!$S$2:$S$1501,'Daily Sale entry '!$P$2:$P$1501,$K80,'Daily Sale entry '!$Q$2:$Q$1501,"Collection 收款",'Daily Sale entry '!$O$2:$O$1501,"&lt;"&amp;$B$2)-SUMIFS('Daily Sale entry '!$AC$2:$AC$1501,'Daily Sale entry '!$AA$2:$AA$1501,$K80,'Daily Sale entry '!$Z$2:$Z$1501,"Online collection 网上收款",'Daily Sale entry '!$X$2:$X$1501,"&lt;"&amp;$B$2)-SUMIFS('Debtor Ledger'!$K$2:$K$3001,'Debtor Ledger'!$C$2:$C$3001,$K80,'Debtor Ledger'!$B$2:$B$3001,"&lt;"&amp;$B$2),2)))</f>
        <v/>
      </c>
      <c r="M80" s="24">
        <f>IF($K80="","",IF($B$2="","",SUMIFS('Daily Sale entry '!$S$2:$S$1501,'Daily Sale entry '!$P$2:$P$1501,$K80,'Daily Sale entry '!$Q$2:$Q$1501,"Credit Sale 赊销",'Daily Sale entry '!$O$2:$O$1501,$B$2)))</f>
        <v/>
      </c>
      <c r="N80" s="24">
        <f>IF($K80="","",IF($B$2="","",SUMIFS('Daily Sale entry '!$S$2:$S$1501,'Daily Sale entry '!$P$2:$P$1501,$K80,'Daily Sale entry '!$Q$2:$Q$1501,"Collection 收款",'Daily Sale entry '!$R$2:$R$1501,"Cash 现金",'Daily Sale entry '!$O$2:$O$1501,$B$2)))</f>
        <v/>
      </c>
      <c r="O80" s="24">
        <f>IF($K80="","",IF($B$2="","",SUMIFS('Daily Sale entry '!$S$2:$S$1501,'Daily Sale entry '!$P$2:$P$1501,$K80,'Daily Sale entry '!$Q$2:$Q$1501,"Collection 收款",'Daily Sale entry '!$R$2:$R$1501,"Cheque 支票",'Daily Sale entry '!$O$2:$O$1501,$B$2)))</f>
        <v/>
      </c>
      <c r="P80" s="24">
        <f>IF($K80="","",IF($B$2="","",SUMIFS('Daily Sale entry '!$AC$2:$AC$1501,'Daily Sale entry '!$AA$2:$AA$1501,$K80,'Daily Sale entry '!$Z$2:$Z$1501,"Online collection 网上收款",'Daily Sale entry '!$X$2:$X$1501,$B$2)))</f>
        <v/>
      </c>
      <c r="Q80" s="24">
        <f>IF($K80="","",IF($B$2="","",SUMIFS('Debtor Ledger'!$K$2:$K$3001,'Debtor Ledger'!$C$2:$C$3001,$K80,'Debtor Ledger'!$B$2:$B$3001,$B$2)))</f>
        <v/>
      </c>
      <c r="R80" s="24">
        <f>IF($K80="","",IF($B$2="","",ROUND(L80+M80-N80-O80-P80-Q80,2)))</f>
        <v/>
      </c>
      <c r="S80" s="21">
        <f>IF(K80="","",IF($B$2="","",IF(ABS(M80)+ABS(N80)+ABS(O80)+ABS(P80)+ABS(Q80)&gt;0,1,0)))</f>
        <v/>
      </c>
      <c r="T80" s="21">
        <f>IF(S80=1,SUM($S$6:S80),"")</f>
        <v/>
      </c>
    </row>
    <row r="81">
      <c r="A81">
        <f>IF($I81="","",INDEX(K$6:K$305,$I81))</f>
        <v/>
      </c>
      <c r="B81" s="6">
        <f>IF($I81="","",INDEX(L$6:L$305,$I81))</f>
        <v/>
      </c>
      <c r="C81" s="6">
        <f>IF($I81="","",INDEX(M$6:M$305,$I81))</f>
        <v/>
      </c>
      <c r="D81" s="6">
        <f>IF($I81="","",INDEX(N$6:N$305,$I81))</f>
        <v/>
      </c>
      <c r="E81" s="6">
        <f>IF($I81="","",INDEX(O$6:O$305,$I81))</f>
        <v/>
      </c>
      <c r="F81" s="6">
        <f>IF($I81="","",INDEX(P$6:P$305,$I81))</f>
        <v/>
      </c>
      <c r="G81" s="6">
        <f>IF($I81="","",INDEX(Q$6:Q$305,$I81))</f>
        <v/>
      </c>
      <c r="H81" s="6">
        <f>IF($I81="","",INDEX(R$6:R$305,$I81))</f>
        <v/>
      </c>
      <c r="I81" s="21">
        <f>IFERROR(MATCH(76,$T$6:$T$305,0),"")</f>
        <v/>
      </c>
      <c r="K81" s="21">
        <f>IF('Debtor Summary'!A80="","",'Debtor Summary'!A80)</f>
        <v/>
      </c>
      <c r="L81" s="24">
        <f>IF($K81="","",IF($B$2="","",ROUND(SUMIFS('Opening Balance'!$F$4:$F$303,'Opening Balance'!$G$4:$G$303,$K81)+SUMIFS('Daily Sale entry '!$S$2:$S$1501,'Daily Sale entry '!$P$2:$P$1501,$K81,'Daily Sale entry '!$Q$2:$Q$1501,"Credit Sale 赊销",'Daily Sale entry '!$O$2:$O$1501,"&lt;"&amp;$B$2)-SUMIFS('Daily Sale entry '!$S$2:$S$1501,'Daily Sale entry '!$P$2:$P$1501,$K81,'Daily Sale entry '!$Q$2:$Q$1501,"Collection 收款",'Daily Sale entry '!$O$2:$O$1501,"&lt;"&amp;$B$2)-SUMIFS('Daily Sale entry '!$AC$2:$AC$1501,'Daily Sale entry '!$AA$2:$AA$1501,$K81,'Daily Sale entry '!$Z$2:$Z$1501,"Online collection 网上收款",'Daily Sale entry '!$X$2:$X$1501,"&lt;"&amp;$B$2)-SUMIFS('Debtor Ledger'!$K$2:$K$3001,'Debtor Ledger'!$C$2:$C$3001,$K81,'Debtor Ledger'!$B$2:$B$3001,"&lt;"&amp;$B$2),2)))</f>
        <v/>
      </c>
      <c r="M81" s="24">
        <f>IF($K81="","",IF($B$2="","",SUMIFS('Daily Sale entry '!$S$2:$S$1501,'Daily Sale entry '!$P$2:$P$1501,$K81,'Daily Sale entry '!$Q$2:$Q$1501,"Credit Sale 赊销",'Daily Sale entry '!$O$2:$O$1501,$B$2)))</f>
        <v/>
      </c>
      <c r="N81" s="24">
        <f>IF($K81="","",IF($B$2="","",SUMIFS('Daily Sale entry '!$S$2:$S$1501,'Daily Sale entry '!$P$2:$P$1501,$K81,'Daily Sale entry '!$Q$2:$Q$1501,"Collection 收款",'Daily Sale entry '!$R$2:$R$1501,"Cash 现金",'Daily Sale entry '!$O$2:$O$1501,$B$2)))</f>
        <v/>
      </c>
      <c r="O81" s="24">
        <f>IF($K81="","",IF($B$2="","",SUMIFS('Daily Sale entry '!$S$2:$S$1501,'Daily Sale entry '!$P$2:$P$1501,$K81,'Daily Sale entry '!$Q$2:$Q$1501,"Collection 收款",'Daily Sale entry '!$R$2:$R$1501,"Cheque 支票",'Daily Sale entry '!$O$2:$O$1501,$B$2)))</f>
        <v/>
      </c>
      <c r="P81" s="24">
        <f>IF($K81="","",IF($B$2="","",SUMIFS('Daily Sale entry '!$AC$2:$AC$1501,'Daily Sale entry '!$AA$2:$AA$1501,$K81,'Daily Sale entry '!$Z$2:$Z$1501,"Online collection 网上收款",'Daily Sale entry '!$X$2:$X$1501,$B$2)))</f>
        <v/>
      </c>
      <c r="Q81" s="24">
        <f>IF($K81="","",IF($B$2="","",SUMIFS('Debtor Ledger'!$K$2:$K$3001,'Debtor Ledger'!$C$2:$C$3001,$K81,'Debtor Ledger'!$B$2:$B$3001,$B$2)))</f>
        <v/>
      </c>
      <c r="R81" s="24">
        <f>IF($K81="","",IF($B$2="","",ROUND(L81+M81-N81-O81-P81-Q81,2)))</f>
        <v/>
      </c>
      <c r="S81" s="21">
        <f>IF(K81="","",IF($B$2="","",IF(ABS(M81)+ABS(N81)+ABS(O81)+ABS(P81)+ABS(Q81)&gt;0,1,0)))</f>
        <v/>
      </c>
      <c r="T81" s="21">
        <f>IF(S81=1,SUM($S$6:S81),"")</f>
        <v/>
      </c>
    </row>
    <row r="82">
      <c r="A82">
        <f>IF($I82="","",INDEX(K$6:K$305,$I82))</f>
        <v/>
      </c>
      <c r="B82" s="6">
        <f>IF($I82="","",INDEX(L$6:L$305,$I82))</f>
        <v/>
      </c>
      <c r="C82" s="6">
        <f>IF($I82="","",INDEX(M$6:M$305,$I82))</f>
        <v/>
      </c>
      <c r="D82" s="6">
        <f>IF($I82="","",INDEX(N$6:N$305,$I82))</f>
        <v/>
      </c>
      <c r="E82" s="6">
        <f>IF($I82="","",INDEX(O$6:O$305,$I82))</f>
        <v/>
      </c>
      <c r="F82" s="6">
        <f>IF($I82="","",INDEX(P$6:P$305,$I82))</f>
        <v/>
      </c>
      <c r="G82" s="6">
        <f>IF($I82="","",INDEX(Q$6:Q$305,$I82))</f>
        <v/>
      </c>
      <c r="H82" s="6">
        <f>IF($I82="","",INDEX(R$6:R$305,$I82))</f>
        <v/>
      </c>
      <c r="I82" s="21">
        <f>IFERROR(MATCH(77,$T$6:$T$305,0),"")</f>
        <v/>
      </c>
      <c r="K82" s="21">
        <f>IF('Debtor Summary'!A81="","",'Debtor Summary'!A81)</f>
        <v/>
      </c>
      <c r="L82" s="24">
        <f>IF($K82="","",IF($B$2="","",ROUND(SUMIFS('Opening Balance'!$F$4:$F$303,'Opening Balance'!$G$4:$G$303,$K82)+SUMIFS('Daily Sale entry '!$S$2:$S$1501,'Daily Sale entry '!$P$2:$P$1501,$K82,'Daily Sale entry '!$Q$2:$Q$1501,"Credit Sale 赊销",'Daily Sale entry '!$O$2:$O$1501,"&lt;"&amp;$B$2)-SUMIFS('Daily Sale entry '!$S$2:$S$1501,'Daily Sale entry '!$P$2:$P$1501,$K82,'Daily Sale entry '!$Q$2:$Q$1501,"Collection 收款",'Daily Sale entry '!$O$2:$O$1501,"&lt;"&amp;$B$2)-SUMIFS('Daily Sale entry '!$AC$2:$AC$1501,'Daily Sale entry '!$AA$2:$AA$1501,$K82,'Daily Sale entry '!$Z$2:$Z$1501,"Online collection 网上收款",'Daily Sale entry '!$X$2:$X$1501,"&lt;"&amp;$B$2)-SUMIFS('Debtor Ledger'!$K$2:$K$3001,'Debtor Ledger'!$C$2:$C$3001,$K82,'Debtor Ledger'!$B$2:$B$3001,"&lt;"&amp;$B$2),2)))</f>
        <v/>
      </c>
      <c r="M82" s="24">
        <f>IF($K82="","",IF($B$2="","",SUMIFS('Daily Sale entry '!$S$2:$S$1501,'Daily Sale entry '!$P$2:$P$1501,$K82,'Daily Sale entry '!$Q$2:$Q$1501,"Credit Sale 赊销",'Daily Sale entry '!$O$2:$O$1501,$B$2)))</f>
        <v/>
      </c>
      <c r="N82" s="24">
        <f>IF($K82="","",IF($B$2="","",SUMIFS('Daily Sale entry '!$S$2:$S$1501,'Daily Sale entry '!$P$2:$P$1501,$K82,'Daily Sale entry '!$Q$2:$Q$1501,"Collection 收款",'Daily Sale entry '!$R$2:$R$1501,"Cash 现金",'Daily Sale entry '!$O$2:$O$1501,$B$2)))</f>
        <v/>
      </c>
      <c r="O82" s="24">
        <f>IF($K82="","",IF($B$2="","",SUMIFS('Daily Sale entry '!$S$2:$S$1501,'Daily Sale entry '!$P$2:$P$1501,$K82,'Daily Sale entry '!$Q$2:$Q$1501,"Collection 收款",'Daily Sale entry '!$R$2:$R$1501,"Cheque 支票",'Daily Sale entry '!$O$2:$O$1501,$B$2)))</f>
        <v/>
      </c>
      <c r="P82" s="24">
        <f>IF($K82="","",IF($B$2="","",SUMIFS('Daily Sale entry '!$AC$2:$AC$1501,'Daily Sale entry '!$AA$2:$AA$1501,$K82,'Daily Sale entry '!$Z$2:$Z$1501,"Online collection 网上收款",'Daily Sale entry '!$X$2:$X$1501,$B$2)))</f>
        <v/>
      </c>
      <c r="Q82" s="24">
        <f>IF($K82="","",IF($B$2="","",SUMIFS('Debtor Ledger'!$K$2:$K$3001,'Debtor Ledger'!$C$2:$C$3001,$K82,'Debtor Ledger'!$B$2:$B$3001,$B$2)))</f>
        <v/>
      </c>
      <c r="R82" s="24">
        <f>IF($K82="","",IF($B$2="","",ROUND(L82+M82-N82-O82-P82-Q82,2)))</f>
        <v/>
      </c>
      <c r="S82" s="21">
        <f>IF(K82="","",IF($B$2="","",IF(ABS(M82)+ABS(N82)+ABS(O82)+ABS(P82)+ABS(Q82)&gt;0,1,0)))</f>
        <v/>
      </c>
      <c r="T82" s="21">
        <f>IF(S82=1,SUM($S$6:S82),"")</f>
        <v/>
      </c>
    </row>
    <row r="83">
      <c r="A83">
        <f>IF($I83="","",INDEX(K$6:K$305,$I83))</f>
        <v/>
      </c>
      <c r="B83" s="6">
        <f>IF($I83="","",INDEX(L$6:L$305,$I83))</f>
        <v/>
      </c>
      <c r="C83" s="6">
        <f>IF($I83="","",INDEX(M$6:M$305,$I83))</f>
        <v/>
      </c>
      <c r="D83" s="6">
        <f>IF($I83="","",INDEX(N$6:N$305,$I83))</f>
        <v/>
      </c>
      <c r="E83" s="6">
        <f>IF($I83="","",INDEX(O$6:O$305,$I83))</f>
        <v/>
      </c>
      <c r="F83" s="6">
        <f>IF($I83="","",INDEX(P$6:P$305,$I83))</f>
        <v/>
      </c>
      <c r="G83" s="6">
        <f>IF($I83="","",INDEX(Q$6:Q$305,$I83))</f>
        <v/>
      </c>
      <c r="H83" s="6">
        <f>IF($I83="","",INDEX(R$6:R$305,$I83))</f>
        <v/>
      </c>
      <c r="I83" s="21">
        <f>IFERROR(MATCH(78,$T$6:$T$305,0),"")</f>
        <v/>
      </c>
      <c r="K83" s="21">
        <f>IF('Debtor Summary'!A82="","",'Debtor Summary'!A82)</f>
        <v/>
      </c>
      <c r="L83" s="24">
        <f>IF($K83="","",IF($B$2="","",ROUND(SUMIFS('Opening Balance'!$F$4:$F$303,'Opening Balance'!$G$4:$G$303,$K83)+SUMIFS('Daily Sale entry '!$S$2:$S$1501,'Daily Sale entry '!$P$2:$P$1501,$K83,'Daily Sale entry '!$Q$2:$Q$1501,"Credit Sale 赊销",'Daily Sale entry '!$O$2:$O$1501,"&lt;"&amp;$B$2)-SUMIFS('Daily Sale entry '!$S$2:$S$1501,'Daily Sale entry '!$P$2:$P$1501,$K83,'Daily Sale entry '!$Q$2:$Q$1501,"Collection 收款",'Daily Sale entry '!$O$2:$O$1501,"&lt;"&amp;$B$2)-SUMIFS('Daily Sale entry '!$AC$2:$AC$1501,'Daily Sale entry '!$AA$2:$AA$1501,$K83,'Daily Sale entry '!$Z$2:$Z$1501,"Online collection 网上收款",'Daily Sale entry '!$X$2:$X$1501,"&lt;"&amp;$B$2)-SUMIFS('Debtor Ledger'!$K$2:$K$3001,'Debtor Ledger'!$C$2:$C$3001,$K83,'Debtor Ledger'!$B$2:$B$3001,"&lt;"&amp;$B$2),2)))</f>
        <v/>
      </c>
      <c r="M83" s="24">
        <f>IF($K83="","",IF($B$2="","",SUMIFS('Daily Sale entry '!$S$2:$S$1501,'Daily Sale entry '!$P$2:$P$1501,$K83,'Daily Sale entry '!$Q$2:$Q$1501,"Credit Sale 赊销",'Daily Sale entry '!$O$2:$O$1501,$B$2)))</f>
        <v/>
      </c>
      <c r="N83" s="24">
        <f>IF($K83="","",IF($B$2="","",SUMIFS('Daily Sale entry '!$S$2:$S$1501,'Daily Sale entry '!$P$2:$P$1501,$K83,'Daily Sale entry '!$Q$2:$Q$1501,"Collection 收款",'Daily Sale entry '!$R$2:$R$1501,"Cash 现金",'Daily Sale entry '!$O$2:$O$1501,$B$2)))</f>
        <v/>
      </c>
      <c r="O83" s="24">
        <f>IF($K83="","",IF($B$2="","",SUMIFS('Daily Sale entry '!$S$2:$S$1501,'Daily Sale entry '!$P$2:$P$1501,$K83,'Daily Sale entry '!$Q$2:$Q$1501,"Collection 收款",'Daily Sale entry '!$R$2:$R$1501,"Cheque 支票",'Daily Sale entry '!$O$2:$O$1501,$B$2)))</f>
        <v/>
      </c>
      <c r="P83" s="24">
        <f>IF($K83="","",IF($B$2="","",SUMIFS('Daily Sale entry '!$AC$2:$AC$1501,'Daily Sale entry '!$AA$2:$AA$1501,$K83,'Daily Sale entry '!$Z$2:$Z$1501,"Online collection 网上收款",'Daily Sale entry '!$X$2:$X$1501,$B$2)))</f>
        <v/>
      </c>
      <c r="Q83" s="24">
        <f>IF($K83="","",IF($B$2="","",SUMIFS('Debtor Ledger'!$K$2:$K$3001,'Debtor Ledger'!$C$2:$C$3001,$K83,'Debtor Ledger'!$B$2:$B$3001,$B$2)))</f>
        <v/>
      </c>
      <c r="R83" s="24">
        <f>IF($K83="","",IF($B$2="","",ROUND(L83+M83-N83-O83-P83-Q83,2)))</f>
        <v/>
      </c>
      <c r="S83" s="21">
        <f>IF(K83="","",IF($B$2="","",IF(ABS(M83)+ABS(N83)+ABS(O83)+ABS(P83)+ABS(Q83)&gt;0,1,0)))</f>
        <v/>
      </c>
      <c r="T83" s="21">
        <f>IF(S83=1,SUM($S$6:S83),"")</f>
        <v/>
      </c>
    </row>
    <row r="84">
      <c r="A84">
        <f>IF($I84="","",INDEX(K$6:K$305,$I84))</f>
        <v/>
      </c>
      <c r="B84" s="6">
        <f>IF($I84="","",INDEX(L$6:L$305,$I84))</f>
        <v/>
      </c>
      <c r="C84" s="6">
        <f>IF($I84="","",INDEX(M$6:M$305,$I84))</f>
        <v/>
      </c>
      <c r="D84" s="6">
        <f>IF($I84="","",INDEX(N$6:N$305,$I84))</f>
        <v/>
      </c>
      <c r="E84" s="6">
        <f>IF($I84="","",INDEX(O$6:O$305,$I84))</f>
        <v/>
      </c>
      <c r="F84" s="6">
        <f>IF($I84="","",INDEX(P$6:P$305,$I84))</f>
        <v/>
      </c>
      <c r="G84" s="6">
        <f>IF($I84="","",INDEX(Q$6:Q$305,$I84))</f>
        <v/>
      </c>
      <c r="H84" s="6">
        <f>IF($I84="","",INDEX(R$6:R$305,$I84))</f>
        <v/>
      </c>
      <c r="I84" s="21">
        <f>IFERROR(MATCH(79,$T$6:$T$305,0),"")</f>
        <v/>
      </c>
      <c r="K84" s="21">
        <f>IF('Debtor Summary'!A83="","",'Debtor Summary'!A83)</f>
        <v/>
      </c>
      <c r="L84" s="24">
        <f>IF($K84="","",IF($B$2="","",ROUND(SUMIFS('Opening Balance'!$F$4:$F$303,'Opening Balance'!$G$4:$G$303,$K84)+SUMIFS('Daily Sale entry '!$S$2:$S$1501,'Daily Sale entry '!$P$2:$P$1501,$K84,'Daily Sale entry '!$Q$2:$Q$1501,"Credit Sale 赊销",'Daily Sale entry '!$O$2:$O$1501,"&lt;"&amp;$B$2)-SUMIFS('Daily Sale entry '!$S$2:$S$1501,'Daily Sale entry '!$P$2:$P$1501,$K84,'Daily Sale entry '!$Q$2:$Q$1501,"Collection 收款",'Daily Sale entry '!$O$2:$O$1501,"&lt;"&amp;$B$2)-SUMIFS('Daily Sale entry '!$AC$2:$AC$1501,'Daily Sale entry '!$AA$2:$AA$1501,$K84,'Daily Sale entry '!$Z$2:$Z$1501,"Online collection 网上收款",'Daily Sale entry '!$X$2:$X$1501,"&lt;"&amp;$B$2)-SUMIFS('Debtor Ledger'!$K$2:$K$3001,'Debtor Ledger'!$C$2:$C$3001,$K84,'Debtor Ledger'!$B$2:$B$3001,"&lt;"&amp;$B$2),2)))</f>
        <v/>
      </c>
      <c r="M84" s="24">
        <f>IF($K84="","",IF($B$2="","",SUMIFS('Daily Sale entry '!$S$2:$S$1501,'Daily Sale entry '!$P$2:$P$1501,$K84,'Daily Sale entry '!$Q$2:$Q$1501,"Credit Sale 赊销",'Daily Sale entry '!$O$2:$O$1501,$B$2)))</f>
        <v/>
      </c>
      <c r="N84" s="24">
        <f>IF($K84="","",IF($B$2="","",SUMIFS('Daily Sale entry '!$S$2:$S$1501,'Daily Sale entry '!$P$2:$P$1501,$K84,'Daily Sale entry '!$Q$2:$Q$1501,"Collection 收款",'Daily Sale entry '!$R$2:$R$1501,"Cash 现金",'Daily Sale entry '!$O$2:$O$1501,$B$2)))</f>
        <v/>
      </c>
      <c r="O84" s="24">
        <f>IF($K84="","",IF($B$2="","",SUMIFS('Daily Sale entry '!$S$2:$S$1501,'Daily Sale entry '!$P$2:$P$1501,$K84,'Daily Sale entry '!$Q$2:$Q$1501,"Collection 收款",'Daily Sale entry '!$R$2:$R$1501,"Cheque 支票",'Daily Sale entry '!$O$2:$O$1501,$B$2)))</f>
        <v/>
      </c>
      <c r="P84" s="24">
        <f>IF($K84="","",IF($B$2="","",SUMIFS('Daily Sale entry '!$AC$2:$AC$1501,'Daily Sale entry '!$AA$2:$AA$1501,$K84,'Daily Sale entry '!$Z$2:$Z$1501,"Online collection 网上收款",'Daily Sale entry '!$X$2:$X$1501,$B$2)))</f>
        <v/>
      </c>
      <c r="Q84" s="24">
        <f>IF($K84="","",IF($B$2="","",SUMIFS('Debtor Ledger'!$K$2:$K$3001,'Debtor Ledger'!$C$2:$C$3001,$K84,'Debtor Ledger'!$B$2:$B$3001,$B$2)))</f>
        <v/>
      </c>
      <c r="R84" s="24">
        <f>IF($K84="","",IF($B$2="","",ROUND(L84+M84-N84-O84-P84-Q84,2)))</f>
        <v/>
      </c>
      <c r="S84" s="21">
        <f>IF(K84="","",IF($B$2="","",IF(ABS(M84)+ABS(N84)+ABS(O84)+ABS(P84)+ABS(Q84)&gt;0,1,0)))</f>
        <v/>
      </c>
      <c r="T84" s="21">
        <f>IF(S84=1,SUM($S$6:S84),"")</f>
        <v/>
      </c>
    </row>
    <row r="85">
      <c r="A85">
        <f>IF($I85="","",INDEX(K$6:K$305,$I85))</f>
        <v/>
      </c>
      <c r="B85" s="6">
        <f>IF($I85="","",INDEX(L$6:L$305,$I85))</f>
        <v/>
      </c>
      <c r="C85" s="6">
        <f>IF($I85="","",INDEX(M$6:M$305,$I85))</f>
        <v/>
      </c>
      <c r="D85" s="6">
        <f>IF($I85="","",INDEX(N$6:N$305,$I85))</f>
        <v/>
      </c>
      <c r="E85" s="6">
        <f>IF($I85="","",INDEX(O$6:O$305,$I85))</f>
        <v/>
      </c>
      <c r="F85" s="6">
        <f>IF($I85="","",INDEX(P$6:P$305,$I85))</f>
        <v/>
      </c>
      <c r="G85" s="6">
        <f>IF($I85="","",INDEX(Q$6:Q$305,$I85))</f>
        <v/>
      </c>
      <c r="H85" s="6">
        <f>IF($I85="","",INDEX(R$6:R$305,$I85))</f>
        <v/>
      </c>
      <c r="I85" s="21">
        <f>IFERROR(MATCH(80,$T$6:$T$305,0),"")</f>
        <v/>
      </c>
      <c r="K85" s="21">
        <f>IF('Debtor Summary'!A84="","",'Debtor Summary'!A84)</f>
        <v/>
      </c>
      <c r="L85" s="24">
        <f>IF($K85="","",IF($B$2="","",ROUND(SUMIFS('Opening Balance'!$F$4:$F$303,'Opening Balance'!$G$4:$G$303,$K85)+SUMIFS('Daily Sale entry '!$S$2:$S$1501,'Daily Sale entry '!$P$2:$P$1501,$K85,'Daily Sale entry '!$Q$2:$Q$1501,"Credit Sale 赊销",'Daily Sale entry '!$O$2:$O$1501,"&lt;"&amp;$B$2)-SUMIFS('Daily Sale entry '!$S$2:$S$1501,'Daily Sale entry '!$P$2:$P$1501,$K85,'Daily Sale entry '!$Q$2:$Q$1501,"Collection 收款",'Daily Sale entry '!$O$2:$O$1501,"&lt;"&amp;$B$2)-SUMIFS('Daily Sale entry '!$AC$2:$AC$1501,'Daily Sale entry '!$AA$2:$AA$1501,$K85,'Daily Sale entry '!$Z$2:$Z$1501,"Online collection 网上收款",'Daily Sale entry '!$X$2:$X$1501,"&lt;"&amp;$B$2)-SUMIFS('Debtor Ledger'!$K$2:$K$3001,'Debtor Ledger'!$C$2:$C$3001,$K85,'Debtor Ledger'!$B$2:$B$3001,"&lt;"&amp;$B$2),2)))</f>
        <v/>
      </c>
      <c r="M85" s="24">
        <f>IF($K85="","",IF($B$2="","",SUMIFS('Daily Sale entry '!$S$2:$S$1501,'Daily Sale entry '!$P$2:$P$1501,$K85,'Daily Sale entry '!$Q$2:$Q$1501,"Credit Sale 赊销",'Daily Sale entry '!$O$2:$O$1501,$B$2)))</f>
        <v/>
      </c>
      <c r="N85" s="24">
        <f>IF($K85="","",IF($B$2="","",SUMIFS('Daily Sale entry '!$S$2:$S$1501,'Daily Sale entry '!$P$2:$P$1501,$K85,'Daily Sale entry '!$Q$2:$Q$1501,"Collection 收款",'Daily Sale entry '!$R$2:$R$1501,"Cash 现金",'Daily Sale entry '!$O$2:$O$1501,$B$2)))</f>
        <v/>
      </c>
      <c r="O85" s="24">
        <f>IF($K85="","",IF($B$2="","",SUMIFS('Daily Sale entry '!$S$2:$S$1501,'Daily Sale entry '!$P$2:$P$1501,$K85,'Daily Sale entry '!$Q$2:$Q$1501,"Collection 收款",'Daily Sale entry '!$R$2:$R$1501,"Cheque 支票",'Daily Sale entry '!$O$2:$O$1501,$B$2)))</f>
        <v/>
      </c>
      <c r="P85" s="24">
        <f>IF($K85="","",IF($B$2="","",SUMIFS('Daily Sale entry '!$AC$2:$AC$1501,'Daily Sale entry '!$AA$2:$AA$1501,$K85,'Daily Sale entry '!$Z$2:$Z$1501,"Online collection 网上收款",'Daily Sale entry '!$X$2:$X$1501,$B$2)))</f>
        <v/>
      </c>
      <c r="Q85" s="24">
        <f>IF($K85="","",IF($B$2="","",SUMIFS('Debtor Ledger'!$K$2:$K$3001,'Debtor Ledger'!$C$2:$C$3001,$K85,'Debtor Ledger'!$B$2:$B$3001,$B$2)))</f>
        <v/>
      </c>
      <c r="R85" s="24">
        <f>IF($K85="","",IF($B$2="","",ROUND(L85+M85-N85-O85-P85-Q85,2)))</f>
        <v/>
      </c>
      <c r="S85" s="21">
        <f>IF(K85="","",IF($B$2="","",IF(ABS(M85)+ABS(N85)+ABS(O85)+ABS(P85)+ABS(Q85)&gt;0,1,0)))</f>
        <v/>
      </c>
      <c r="T85" s="21">
        <f>IF(S85=1,SUM($S$6:S85),"")</f>
        <v/>
      </c>
    </row>
    <row r="86">
      <c r="A86">
        <f>IF($I86="","",INDEX(K$6:K$305,$I86))</f>
        <v/>
      </c>
      <c r="B86" s="6">
        <f>IF($I86="","",INDEX(L$6:L$305,$I86))</f>
        <v/>
      </c>
      <c r="C86" s="6">
        <f>IF($I86="","",INDEX(M$6:M$305,$I86))</f>
        <v/>
      </c>
      <c r="D86" s="6">
        <f>IF($I86="","",INDEX(N$6:N$305,$I86))</f>
        <v/>
      </c>
      <c r="E86" s="6">
        <f>IF($I86="","",INDEX(O$6:O$305,$I86))</f>
        <v/>
      </c>
      <c r="F86" s="6">
        <f>IF($I86="","",INDEX(P$6:P$305,$I86))</f>
        <v/>
      </c>
      <c r="G86" s="6">
        <f>IF($I86="","",INDEX(Q$6:Q$305,$I86))</f>
        <v/>
      </c>
      <c r="H86" s="6">
        <f>IF($I86="","",INDEX(R$6:R$305,$I86))</f>
        <v/>
      </c>
      <c r="I86" s="21">
        <f>IFERROR(MATCH(81,$T$6:$T$305,0),"")</f>
        <v/>
      </c>
      <c r="K86" s="21">
        <f>IF('Debtor Summary'!A85="","",'Debtor Summary'!A85)</f>
        <v/>
      </c>
      <c r="L86" s="24">
        <f>IF($K86="","",IF($B$2="","",ROUND(SUMIFS('Opening Balance'!$F$4:$F$303,'Opening Balance'!$G$4:$G$303,$K86)+SUMIFS('Daily Sale entry '!$S$2:$S$1501,'Daily Sale entry '!$P$2:$P$1501,$K86,'Daily Sale entry '!$Q$2:$Q$1501,"Credit Sale 赊销",'Daily Sale entry '!$O$2:$O$1501,"&lt;"&amp;$B$2)-SUMIFS('Daily Sale entry '!$S$2:$S$1501,'Daily Sale entry '!$P$2:$P$1501,$K86,'Daily Sale entry '!$Q$2:$Q$1501,"Collection 收款",'Daily Sale entry '!$O$2:$O$1501,"&lt;"&amp;$B$2)-SUMIFS('Daily Sale entry '!$AC$2:$AC$1501,'Daily Sale entry '!$AA$2:$AA$1501,$K86,'Daily Sale entry '!$Z$2:$Z$1501,"Online collection 网上收款",'Daily Sale entry '!$X$2:$X$1501,"&lt;"&amp;$B$2)-SUMIFS('Debtor Ledger'!$K$2:$K$3001,'Debtor Ledger'!$C$2:$C$3001,$K86,'Debtor Ledger'!$B$2:$B$3001,"&lt;"&amp;$B$2),2)))</f>
        <v/>
      </c>
      <c r="M86" s="24">
        <f>IF($K86="","",IF($B$2="","",SUMIFS('Daily Sale entry '!$S$2:$S$1501,'Daily Sale entry '!$P$2:$P$1501,$K86,'Daily Sale entry '!$Q$2:$Q$1501,"Credit Sale 赊销",'Daily Sale entry '!$O$2:$O$1501,$B$2)))</f>
        <v/>
      </c>
      <c r="N86" s="24">
        <f>IF($K86="","",IF($B$2="","",SUMIFS('Daily Sale entry '!$S$2:$S$1501,'Daily Sale entry '!$P$2:$P$1501,$K86,'Daily Sale entry '!$Q$2:$Q$1501,"Collection 收款",'Daily Sale entry '!$R$2:$R$1501,"Cash 现金",'Daily Sale entry '!$O$2:$O$1501,$B$2)))</f>
        <v/>
      </c>
      <c r="O86" s="24">
        <f>IF($K86="","",IF($B$2="","",SUMIFS('Daily Sale entry '!$S$2:$S$1501,'Daily Sale entry '!$P$2:$P$1501,$K86,'Daily Sale entry '!$Q$2:$Q$1501,"Collection 收款",'Daily Sale entry '!$R$2:$R$1501,"Cheque 支票",'Daily Sale entry '!$O$2:$O$1501,$B$2)))</f>
        <v/>
      </c>
      <c r="P86" s="24">
        <f>IF($K86="","",IF($B$2="","",SUMIFS('Daily Sale entry '!$AC$2:$AC$1501,'Daily Sale entry '!$AA$2:$AA$1501,$K86,'Daily Sale entry '!$Z$2:$Z$1501,"Online collection 网上收款",'Daily Sale entry '!$X$2:$X$1501,$B$2)))</f>
        <v/>
      </c>
      <c r="Q86" s="24">
        <f>IF($K86="","",IF($B$2="","",SUMIFS('Debtor Ledger'!$K$2:$K$3001,'Debtor Ledger'!$C$2:$C$3001,$K86,'Debtor Ledger'!$B$2:$B$3001,$B$2)))</f>
        <v/>
      </c>
      <c r="R86" s="24">
        <f>IF($K86="","",IF($B$2="","",ROUND(L86+M86-N86-O86-P86-Q86,2)))</f>
        <v/>
      </c>
      <c r="S86" s="21">
        <f>IF(K86="","",IF($B$2="","",IF(ABS(M86)+ABS(N86)+ABS(O86)+ABS(P86)+ABS(Q86)&gt;0,1,0)))</f>
        <v/>
      </c>
      <c r="T86" s="21">
        <f>IF(S86=1,SUM($S$6:S86),"")</f>
        <v/>
      </c>
    </row>
    <row r="87">
      <c r="A87">
        <f>IF($I87="","",INDEX(K$6:K$305,$I87))</f>
        <v/>
      </c>
      <c r="B87" s="6">
        <f>IF($I87="","",INDEX(L$6:L$305,$I87))</f>
        <v/>
      </c>
      <c r="C87" s="6">
        <f>IF($I87="","",INDEX(M$6:M$305,$I87))</f>
        <v/>
      </c>
      <c r="D87" s="6">
        <f>IF($I87="","",INDEX(N$6:N$305,$I87))</f>
        <v/>
      </c>
      <c r="E87" s="6">
        <f>IF($I87="","",INDEX(O$6:O$305,$I87))</f>
        <v/>
      </c>
      <c r="F87" s="6">
        <f>IF($I87="","",INDEX(P$6:P$305,$I87))</f>
        <v/>
      </c>
      <c r="G87" s="6">
        <f>IF($I87="","",INDEX(Q$6:Q$305,$I87))</f>
        <v/>
      </c>
      <c r="H87" s="6">
        <f>IF($I87="","",INDEX(R$6:R$305,$I87))</f>
        <v/>
      </c>
      <c r="I87" s="21">
        <f>IFERROR(MATCH(82,$T$6:$T$305,0),"")</f>
        <v/>
      </c>
      <c r="K87" s="21">
        <f>IF('Debtor Summary'!A86="","",'Debtor Summary'!A86)</f>
        <v/>
      </c>
      <c r="L87" s="24">
        <f>IF($K87="","",IF($B$2="","",ROUND(SUMIFS('Opening Balance'!$F$4:$F$303,'Opening Balance'!$G$4:$G$303,$K87)+SUMIFS('Daily Sale entry '!$S$2:$S$1501,'Daily Sale entry '!$P$2:$P$1501,$K87,'Daily Sale entry '!$Q$2:$Q$1501,"Credit Sale 赊销",'Daily Sale entry '!$O$2:$O$1501,"&lt;"&amp;$B$2)-SUMIFS('Daily Sale entry '!$S$2:$S$1501,'Daily Sale entry '!$P$2:$P$1501,$K87,'Daily Sale entry '!$Q$2:$Q$1501,"Collection 收款",'Daily Sale entry '!$O$2:$O$1501,"&lt;"&amp;$B$2)-SUMIFS('Daily Sale entry '!$AC$2:$AC$1501,'Daily Sale entry '!$AA$2:$AA$1501,$K87,'Daily Sale entry '!$Z$2:$Z$1501,"Online collection 网上收款",'Daily Sale entry '!$X$2:$X$1501,"&lt;"&amp;$B$2)-SUMIFS('Debtor Ledger'!$K$2:$K$3001,'Debtor Ledger'!$C$2:$C$3001,$K87,'Debtor Ledger'!$B$2:$B$3001,"&lt;"&amp;$B$2),2)))</f>
        <v/>
      </c>
      <c r="M87" s="24">
        <f>IF($K87="","",IF($B$2="","",SUMIFS('Daily Sale entry '!$S$2:$S$1501,'Daily Sale entry '!$P$2:$P$1501,$K87,'Daily Sale entry '!$Q$2:$Q$1501,"Credit Sale 赊销",'Daily Sale entry '!$O$2:$O$1501,$B$2)))</f>
        <v/>
      </c>
      <c r="N87" s="24">
        <f>IF($K87="","",IF($B$2="","",SUMIFS('Daily Sale entry '!$S$2:$S$1501,'Daily Sale entry '!$P$2:$P$1501,$K87,'Daily Sale entry '!$Q$2:$Q$1501,"Collection 收款",'Daily Sale entry '!$R$2:$R$1501,"Cash 现金",'Daily Sale entry '!$O$2:$O$1501,$B$2)))</f>
        <v/>
      </c>
      <c r="O87" s="24">
        <f>IF($K87="","",IF($B$2="","",SUMIFS('Daily Sale entry '!$S$2:$S$1501,'Daily Sale entry '!$P$2:$P$1501,$K87,'Daily Sale entry '!$Q$2:$Q$1501,"Collection 收款",'Daily Sale entry '!$R$2:$R$1501,"Cheque 支票",'Daily Sale entry '!$O$2:$O$1501,$B$2)))</f>
        <v/>
      </c>
      <c r="P87" s="24">
        <f>IF($K87="","",IF($B$2="","",SUMIFS('Daily Sale entry '!$AC$2:$AC$1501,'Daily Sale entry '!$AA$2:$AA$1501,$K87,'Daily Sale entry '!$Z$2:$Z$1501,"Online collection 网上收款",'Daily Sale entry '!$X$2:$X$1501,$B$2)))</f>
        <v/>
      </c>
      <c r="Q87" s="24">
        <f>IF($K87="","",IF($B$2="","",SUMIFS('Debtor Ledger'!$K$2:$K$3001,'Debtor Ledger'!$C$2:$C$3001,$K87,'Debtor Ledger'!$B$2:$B$3001,$B$2)))</f>
        <v/>
      </c>
      <c r="R87" s="24">
        <f>IF($K87="","",IF($B$2="","",ROUND(L87+M87-N87-O87-P87-Q87,2)))</f>
        <v/>
      </c>
      <c r="S87" s="21">
        <f>IF(K87="","",IF($B$2="","",IF(ABS(M87)+ABS(N87)+ABS(O87)+ABS(P87)+ABS(Q87)&gt;0,1,0)))</f>
        <v/>
      </c>
      <c r="T87" s="21">
        <f>IF(S87=1,SUM($S$6:S87),"")</f>
        <v/>
      </c>
    </row>
    <row r="88">
      <c r="A88">
        <f>IF($I88="","",INDEX(K$6:K$305,$I88))</f>
        <v/>
      </c>
      <c r="B88" s="6">
        <f>IF($I88="","",INDEX(L$6:L$305,$I88))</f>
        <v/>
      </c>
      <c r="C88" s="6">
        <f>IF($I88="","",INDEX(M$6:M$305,$I88))</f>
        <v/>
      </c>
      <c r="D88" s="6">
        <f>IF($I88="","",INDEX(N$6:N$305,$I88))</f>
        <v/>
      </c>
      <c r="E88" s="6">
        <f>IF($I88="","",INDEX(O$6:O$305,$I88))</f>
        <v/>
      </c>
      <c r="F88" s="6">
        <f>IF($I88="","",INDEX(P$6:P$305,$I88))</f>
        <v/>
      </c>
      <c r="G88" s="6">
        <f>IF($I88="","",INDEX(Q$6:Q$305,$I88))</f>
        <v/>
      </c>
      <c r="H88" s="6">
        <f>IF($I88="","",INDEX(R$6:R$305,$I88))</f>
        <v/>
      </c>
      <c r="I88" s="21">
        <f>IFERROR(MATCH(83,$T$6:$T$305,0),"")</f>
        <v/>
      </c>
      <c r="K88" s="21">
        <f>IF('Debtor Summary'!A87="","",'Debtor Summary'!A87)</f>
        <v/>
      </c>
      <c r="L88" s="24">
        <f>IF($K88="","",IF($B$2="","",ROUND(SUMIFS('Opening Balance'!$F$4:$F$303,'Opening Balance'!$G$4:$G$303,$K88)+SUMIFS('Daily Sale entry '!$S$2:$S$1501,'Daily Sale entry '!$P$2:$P$1501,$K88,'Daily Sale entry '!$Q$2:$Q$1501,"Credit Sale 赊销",'Daily Sale entry '!$O$2:$O$1501,"&lt;"&amp;$B$2)-SUMIFS('Daily Sale entry '!$S$2:$S$1501,'Daily Sale entry '!$P$2:$P$1501,$K88,'Daily Sale entry '!$Q$2:$Q$1501,"Collection 收款",'Daily Sale entry '!$O$2:$O$1501,"&lt;"&amp;$B$2)-SUMIFS('Daily Sale entry '!$AC$2:$AC$1501,'Daily Sale entry '!$AA$2:$AA$1501,$K88,'Daily Sale entry '!$Z$2:$Z$1501,"Online collection 网上收款",'Daily Sale entry '!$X$2:$X$1501,"&lt;"&amp;$B$2)-SUMIFS('Debtor Ledger'!$K$2:$K$3001,'Debtor Ledger'!$C$2:$C$3001,$K88,'Debtor Ledger'!$B$2:$B$3001,"&lt;"&amp;$B$2),2)))</f>
        <v/>
      </c>
      <c r="M88" s="24">
        <f>IF($K88="","",IF($B$2="","",SUMIFS('Daily Sale entry '!$S$2:$S$1501,'Daily Sale entry '!$P$2:$P$1501,$K88,'Daily Sale entry '!$Q$2:$Q$1501,"Credit Sale 赊销",'Daily Sale entry '!$O$2:$O$1501,$B$2)))</f>
        <v/>
      </c>
      <c r="N88" s="24">
        <f>IF($K88="","",IF($B$2="","",SUMIFS('Daily Sale entry '!$S$2:$S$1501,'Daily Sale entry '!$P$2:$P$1501,$K88,'Daily Sale entry '!$Q$2:$Q$1501,"Collection 收款",'Daily Sale entry '!$R$2:$R$1501,"Cash 现金",'Daily Sale entry '!$O$2:$O$1501,$B$2)))</f>
        <v/>
      </c>
      <c r="O88" s="24">
        <f>IF($K88="","",IF($B$2="","",SUMIFS('Daily Sale entry '!$S$2:$S$1501,'Daily Sale entry '!$P$2:$P$1501,$K88,'Daily Sale entry '!$Q$2:$Q$1501,"Collection 收款",'Daily Sale entry '!$R$2:$R$1501,"Cheque 支票",'Daily Sale entry '!$O$2:$O$1501,$B$2)))</f>
        <v/>
      </c>
      <c r="P88" s="24">
        <f>IF($K88="","",IF($B$2="","",SUMIFS('Daily Sale entry '!$AC$2:$AC$1501,'Daily Sale entry '!$AA$2:$AA$1501,$K88,'Daily Sale entry '!$Z$2:$Z$1501,"Online collection 网上收款",'Daily Sale entry '!$X$2:$X$1501,$B$2)))</f>
        <v/>
      </c>
      <c r="Q88" s="24">
        <f>IF($K88="","",IF($B$2="","",SUMIFS('Debtor Ledger'!$K$2:$K$3001,'Debtor Ledger'!$C$2:$C$3001,$K88,'Debtor Ledger'!$B$2:$B$3001,$B$2)))</f>
        <v/>
      </c>
      <c r="R88" s="24">
        <f>IF($K88="","",IF($B$2="","",ROUND(L88+M88-N88-O88-P88-Q88,2)))</f>
        <v/>
      </c>
      <c r="S88" s="21">
        <f>IF(K88="","",IF($B$2="","",IF(ABS(M88)+ABS(N88)+ABS(O88)+ABS(P88)+ABS(Q88)&gt;0,1,0)))</f>
        <v/>
      </c>
      <c r="T88" s="21">
        <f>IF(S88=1,SUM($S$6:S88),"")</f>
        <v/>
      </c>
    </row>
    <row r="89">
      <c r="A89">
        <f>IF($I89="","",INDEX(K$6:K$305,$I89))</f>
        <v/>
      </c>
      <c r="B89" s="6">
        <f>IF($I89="","",INDEX(L$6:L$305,$I89))</f>
        <v/>
      </c>
      <c r="C89" s="6">
        <f>IF($I89="","",INDEX(M$6:M$305,$I89))</f>
        <v/>
      </c>
      <c r="D89" s="6">
        <f>IF($I89="","",INDEX(N$6:N$305,$I89))</f>
        <v/>
      </c>
      <c r="E89" s="6">
        <f>IF($I89="","",INDEX(O$6:O$305,$I89))</f>
        <v/>
      </c>
      <c r="F89" s="6">
        <f>IF($I89="","",INDEX(P$6:P$305,$I89))</f>
        <v/>
      </c>
      <c r="G89" s="6">
        <f>IF($I89="","",INDEX(Q$6:Q$305,$I89))</f>
        <v/>
      </c>
      <c r="H89" s="6">
        <f>IF($I89="","",INDEX(R$6:R$305,$I89))</f>
        <v/>
      </c>
      <c r="I89" s="21">
        <f>IFERROR(MATCH(84,$T$6:$T$305,0),"")</f>
        <v/>
      </c>
      <c r="K89" s="21">
        <f>IF('Debtor Summary'!A88="","",'Debtor Summary'!A88)</f>
        <v/>
      </c>
      <c r="L89" s="24">
        <f>IF($K89="","",IF($B$2="","",ROUND(SUMIFS('Opening Balance'!$F$4:$F$303,'Opening Balance'!$G$4:$G$303,$K89)+SUMIFS('Daily Sale entry '!$S$2:$S$1501,'Daily Sale entry '!$P$2:$P$1501,$K89,'Daily Sale entry '!$Q$2:$Q$1501,"Credit Sale 赊销",'Daily Sale entry '!$O$2:$O$1501,"&lt;"&amp;$B$2)-SUMIFS('Daily Sale entry '!$S$2:$S$1501,'Daily Sale entry '!$P$2:$P$1501,$K89,'Daily Sale entry '!$Q$2:$Q$1501,"Collection 收款",'Daily Sale entry '!$O$2:$O$1501,"&lt;"&amp;$B$2)-SUMIFS('Daily Sale entry '!$AC$2:$AC$1501,'Daily Sale entry '!$AA$2:$AA$1501,$K89,'Daily Sale entry '!$Z$2:$Z$1501,"Online collection 网上收款",'Daily Sale entry '!$X$2:$X$1501,"&lt;"&amp;$B$2)-SUMIFS('Debtor Ledger'!$K$2:$K$3001,'Debtor Ledger'!$C$2:$C$3001,$K89,'Debtor Ledger'!$B$2:$B$3001,"&lt;"&amp;$B$2),2)))</f>
        <v/>
      </c>
      <c r="M89" s="24">
        <f>IF($K89="","",IF($B$2="","",SUMIFS('Daily Sale entry '!$S$2:$S$1501,'Daily Sale entry '!$P$2:$P$1501,$K89,'Daily Sale entry '!$Q$2:$Q$1501,"Credit Sale 赊销",'Daily Sale entry '!$O$2:$O$1501,$B$2)))</f>
        <v/>
      </c>
      <c r="N89" s="24">
        <f>IF($K89="","",IF($B$2="","",SUMIFS('Daily Sale entry '!$S$2:$S$1501,'Daily Sale entry '!$P$2:$P$1501,$K89,'Daily Sale entry '!$Q$2:$Q$1501,"Collection 收款",'Daily Sale entry '!$R$2:$R$1501,"Cash 现金",'Daily Sale entry '!$O$2:$O$1501,$B$2)))</f>
        <v/>
      </c>
      <c r="O89" s="24">
        <f>IF($K89="","",IF($B$2="","",SUMIFS('Daily Sale entry '!$S$2:$S$1501,'Daily Sale entry '!$P$2:$P$1501,$K89,'Daily Sale entry '!$Q$2:$Q$1501,"Collection 收款",'Daily Sale entry '!$R$2:$R$1501,"Cheque 支票",'Daily Sale entry '!$O$2:$O$1501,$B$2)))</f>
        <v/>
      </c>
      <c r="P89" s="24">
        <f>IF($K89="","",IF($B$2="","",SUMIFS('Daily Sale entry '!$AC$2:$AC$1501,'Daily Sale entry '!$AA$2:$AA$1501,$K89,'Daily Sale entry '!$Z$2:$Z$1501,"Online collection 网上收款",'Daily Sale entry '!$X$2:$X$1501,$B$2)))</f>
        <v/>
      </c>
      <c r="Q89" s="24">
        <f>IF($K89="","",IF($B$2="","",SUMIFS('Debtor Ledger'!$K$2:$K$3001,'Debtor Ledger'!$C$2:$C$3001,$K89,'Debtor Ledger'!$B$2:$B$3001,$B$2)))</f>
        <v/>
      </c>
      <c r="R89" s="24">
        <f>IF($K89="","",IF($B$2="","",ROUND(L89+M89-N89-O89-P89-Q89,2)))</f>
        <v/>
      </c>
      <c r="S89" s="21">
        <f>IF(K89="","",IF($B$2="","",IF(ABS(M89)+ABS(N89)+ABS(O89)+ABS(P89)+ABS(Q89)&gt;0,1,0)))</f>
        <v/>
      </c>
      <c r="T89" s="21">
        <f>IF(S89=1,SUM($S$6:S89),"")</f>
        <v/>
      </c>
    </row>
    <row r="90">
      <c r="A90">
        <f>IF($I90="","",INDEX(K$6:K$305,$I90))</f>
        <v/>
      </c>
      <c r="B90" s="6">
        <f>IF($I90="","",INDEX(L$6:L$305,$I90))</f>
        <v/>
      </c>
      <c r="C90" s="6">
        <f>IF($I90="","",INDEX(M$6:M$305,$I90))</f>
        <v/>
      </c>
      <c r="D90" s="6">
        <f>IF($I90="","",INDEX(N$6:N$305,$I90))</f>
        <v/>
      </c>
      <c r="E90" s="6">
        <f>IF($I90="","",INDEX(O$6:O$305,$I90))</f>
        <v/>
      </c>
      <c r="F90" s="6">
        <f>IF($I90="","",INDEX(P$6:P$305,$I90))</f>
        <v/>
      </c>
      <c r="G90" s="6">
        <f>IF($I90="","",INDEX(Q$6:Q$305,$I90))</f>
        <v/>
      </c>
      <c r="H90" s="6">
        <f>IF($I90="","",INDEX(R$6:R$305,$I90))</f>
        <v/>
      </c>
      <c r="I90" s="21">
        <f>IFERROR(MATCH(85,$T$6:$T$305,0),"")</f>
        <v/>
      </c>
      <c r="K90" s="21">
        <f>IF('Debtor Summary'!A89="","",'Debtor Summary'!A89)</f>
        <v/>
      </c>
      <c r="L90" s="24">
        <f>IF($K90="","",IF($B$2="","",ROUND(SUMIFS('Opening Balance'!$F$4:$F$303,'Opening Balance'!$G$4:$G$303,$K90)+SUMIFS('Daily Sale entry '!$S$2:$S$1501,'Daily Sale entry '!$P$2:$P$1501,$K90,'Daily Sale entry '!$Q$2:$Q$1501,"Credit Sale 赊销",'Daily Sale entry '!$O$2:$O$1501,"&lt;"&amp;$B$2)-SUMIFS('Daily Sale entry '!$S$2:$S$1501,'Daily Sale entry '!$P$2:$P$1501,$K90,'Daily Sale entry '!$Q$2:$Q$1501,"Collection 收款",'Daily Sale entry '!$O$2:$O$1501,"&lt;"&amp;$B$2)-SUMIFS('Daily Sale entry '!$AC$2:$AC$1501,'Daily Sale entry '!$AA$2:$AA$1501,$K90,'Daily Sale entry '!$Z$2:$Z$1501,"Online collection 网上收款",'Daily Sale entry '!$X$2:$X$1501,"&lt;"&amp;$B$2)-SUMIFS('Debtor Ledger'!$K$2:$K$3001,'Debtor Ledger'!$C$2:$C$3001,$K90,'Debtor Ledger'!$B$2:$B$3001,"&lt;"&amp;$B$2),2)))</f>
        <v/>
      </c>
      <c r="M90" s="24">
        <f>IF($K90="","",IF($B$2="","",SUMIFS('Daily Sale entry '!$S$2:$S$1501,'Daily Sale entry '!$P$2:$P$1501,$K90,'Daily Sale entry '!$Q$2:$Q$1501,"Credit Sale 赊销",'Daily Sale entry '!$O$2:$O$1501,$B$2)))</f>
        <v/>
      </c>
      <c r="N90" s="24">
        <f>IF($K90="","",IF($B$2="","",SUMIFS('Daily Sale entry '!$S$2:$S$1501,'Daily Sale entry '!$P$2:$P$1501,$K90,'Daily Sale entry '!$Q$2:$Q$1501,"Collection 收款",'Daily Sale entry '!$R$2:$R$1501,"Cash 现金",'Daily Sale entry '!$O$2:$O$1501,$B$2)))</f>
        <v/>
      </c>
      <c r="O90" s="24">
        <f>IF($K90="","",IF($B$2="","",SUMIFS('Daily Sale entry '!$S$2:$S$1501,'Daily Sale entry '!$P$2:$P$1501,$K90,'Daily Sale entry '!$Q$2:$Q$1501,"Collection 收款",'Daily Sale entry '!$R$2:$R$1501,"Cheque 支票",'Daily Sale entry '!$O$2:$O$1501,$B$2)))</f>
        <v/>
      </c>
      <c r="P90" s="24">
        <f>IF($K90="","",IF($B$2="","",SUMIFS('Daily Sale entry '!$AC$2:$AC$1501,'Daily Sale entry '!$AA$2:$AA$1501,$K90,'Daily Sale entry '!$Z$2:$Z$1501,"Online collection 网上收款",'Daily Sale entry '!$X$2:$X$1501,$B$2)))</f>
        <v/>
      </c>
      <c r="Q90" s="24">
        <f>IF($K90="","",IF($B$2="","",SUMIFS('Debtor Ledger'!$K$2:$K$3001,'Debtor Ledger'!$C$2:$C$3001,$K90,'Debtor Ledger'!$B$2:$B$3001,$B$2)))</f>
        <v/>
      </c>
      <c r="R90" s="24">
        <f>IF($K90="","",IF($B$2="","",ROUND(L90+M90-N90-O90-P90-Q90,2)))</f>
        <v/>
      </c>
      <c r="S90" s="21">
        <f>IF(K90="","",IF($B$2="","",IF(ABS(M90)+ABS(N90)+ABS(O90)+ABS(P90)+ABS(Q90)&gt;0,1,0)))</f>
        <v/>
      </c>
      <c r="T90" s="21">
        <f>IF(S90=1,SUM($S$6:S90),"")</f>
        <v/>
      </c>
    </row>
    <row r="91">
      <c r="A91">
        <f>IF($I91="","",INDEX(K$6:K$305,$I91))</f>
        <v/>
      </c>
      <c r="B91" s="6">
        <f>IF($I91="","",INDEX(L$6:L$305,$I91))</f>
        <v/>
      </c>
      <c r="C91" s="6">
        <f>IF($I91="","",INDEX(M$6:M$305,$I91))</f>
        <v/>
      </c>
      <c r="D91" s="6">
        <f>IF($I91="","",INDEX(N$6:N$305,$I91))</f>
        <v/>
      </c>
      <c r="E91" s="6">
        <f>IF($I91="","",INDEX(O$6:O$305,$I91))</f>
        <v/>
      </c>
      <c r="F91" s="6">
        <f>IF($I91="","",INDEX(P$6:P$305,$I91))</f>
        <v/>
      </c>
      <c r="G91" s="6">
        <f>IF($I91="","",INDEX(Q$6:Q$305,$I91))</f>
        <v/>
      </c>
      <c r="H91" s="6">
        <f>IF($I91="","",INDEX(R$6:R$305,$I91))</f>
        <v/>
      </c>
      <c r="I91" s="21">
        <f>IFERROR(MATCH(86,$T$6:$T$305,0),"")</f>
        <v/>
      </c>
      <c r="K91" s="21">
        <f>IF('Debtor Summary'!A90="","",'Debtor Summary'!A90)</f>
        <v/>
      </c>
      <c r="L91" s="24">
        <f>IF($K91="","",IF($B$2="","",ROUND(SUMIFS('Opening Balance'!$F$4:$F$303,'Opening Balance'!$G$4:$G$303,$K91)+SUMIFS('Daily Sale entry '!$S$2:$S$1501,'Daily Sale entry '!$P$2:$P$1501,$K91,'Daily Sale entry '!$Q$2:$Q$1501,"Credit Sale 赊销",'Daily Sale entry '!$O$2:$O$1501,"&lt;"&amp;$B$2)-SUMIFS('Daily Sale entry '!$S$2:$S$1501,'Daily Sale entry '!$P$2:$P$1501,$K91,'Daily Sale entry '!$Q$2:$Q$1501,"Collection 收款",'Daily Sale entry '!$O$2:$O$1501,"&lt;"&amp;$B$2)-SUMIFS('Daily Sale entry '!$AC$2:$AC$1501,'Daily Sale entry '!$AA$2:$AA$1501,$K91,'Daily Sale entry '!$Z$2:$Z$1501,"Online collection 网上收款",'Daily Sale entry '!$X$2:$X$1501,"&lt;"&amp;$B$2)-SUMIFS('Debtor Ledger'!$K$2:$K$3001,'Debtor Ledger'!$C$2:$C$3001,$K91,'Debtor Ledger'!$B$2:$B$3001,"&lt;"&amp;$B$2),2)))</f>
        <v/>
      </c>
      <c r="M91" s="24">
        <f>IF($K91="","",IF($B$2="","",SUMIFS('Daily Sale entry '!$S$2:$S$1501,'Daily Sale entry '!$P$2:$P$1501,$K91,'Daily Sale entry '!$Q$2:$Q$1501,"Credit Sale 赊销",'Daily Sale entry '!$O$2:$O$1501,$B$2)))</f>
        <v/>
      </c>
      <c r="N91" s="24">
        <f>IF($K91="","",IF($B$2="","",SUMIFS('Daily Sale entry '!$S$2:$S$1501,'Daily Sale entry '!$P$2:$P$1501,$K91,'Daily Sale entry '!$Q$2:$Q$1501,"Collection 收款",'Daily Sale entry '!$R$2:$R$1501,"Cash 现金",'Daily Sale entry '!$O$2:$O$1501,$B$2)))</f>
        <v/>
      </c>
      <c r="O91" s="24">
        <f>IF($K91="","",IF($B$2="","",SUMIFS('Daily Sale entry '!$S$2:$S$1501,'Daily Sale entry '!$P$2:$P$1501,$K91,'Daily Sale entry '!$Q$2:$Q$1501,"Collection 收款",'Daily Sale entry '!$R$2:$R$1501,"Cheque 支票",'Daily Sale entry '!$O$2:$O$1501,$B$2)))</f>
        <v/>
      </c>
      <c r="P91" s="24">
        <f>IF($K91="","",IF($B$2="","",SUMIFS('Daily Sale entry '!$AC$2:$AC$1501,'Daily Sale entry '!$AA$2:$AA$1501,$K91,'Daily Sale entry '!$Z$2:$Z$1501,"Online collection 网上收款",'Daily Sale entry '!$X$2:$X$1501,$B$2)))</f>
        <v/>
      </c>
      <c r="Q91" s="24">
        <f>IF($K91="","",IF($B$2="","",SUMIFS('Debtor Ledger'!$K$2:$K$3001,'Debtor Ledger'!$C$2:$C$3001,$K91,'Debtor Ledger'!$B$2:$B$3001,$B$2)))</f>
        <v/>
      </c>
      <c r="R91" s="24">
        <f>IF($K91="","",IF($B$2="","",ROUND(L91+M91-N91-O91-P91-Q91,2)))</f>
        <v/>
      </c>
      <c r="S91" s="21">
        <f>IF(K91="","",IF($B$2="","",IF(ABS(M91)+ABS(N91)+ABS(O91)+ABS(P91)+ABS(Q91)&gt;0,1,0)))</f>
        <v/>
      </c>
      <c r="T91" s="21">
        <f>IF(S91=1,SUM($S$6:S91),"")</f>
        <v/>
      </c>
    </row>
    <row r="92">
      <c r="A92">
        <f>IF($I92="","",INDEX(K$6:K$305,$I92))</f>
        <v/>
      </c>
      <c r="B92" s="6">
        <f>IF($I92="","",INDEX(L$6:L$305,$I92))</f>
        <v/>
      </c>
      <c r="C92" s="6">
        <f>IF($I92="","",INDEX(M$6:M$305,$I92))</f>
        <v/>
      </c>
      <c r="D92" s="6">
        <f>IF($I92="","",INDEX(N$6:N$305,$I92))</f>
        <v/>
      </c>
      <c r="E92" s="6">
        <f>IF($I92="","",INDEX(O$6:O$305,$I92))</f>
        <v/>
      </c>
      <c r="F92" s="6">
        <f>IF($I92="","",INDEX(P$6:P$305,$I92))</f>
        <v/>
      </c>
      <c r="G92" s="6">
        <f>IF($I92="","",INDEX(Q$6:Q$305,$I92))</f>
        <v/>
      </c>
      <c r="H92" s="6">
        <f>IF($I92="","",INDEX(R$6:R$305,$I92))</f>
        <v/>
      </c>
      <c r="I92" s="21">
        <f>IFERROR(MATCH(87,$T$6:$T$305,0),"")</f>
        <v/>
      </c>
      <c r="K92" s="21">
        <f>IF('Debtor Summary'!A91="","",'Debtor Summary'!A91)</f>
        <v/>
      </c>
      <c r="L92" s="24">
        <f>IF($K92="","",IF($B$2="","",ROUND(SUMIFS('Opening Balance'!$F$4:$F$303,'Opening Balance'!$G$4:$G$303,$K92)+SUMIFS('Daily Sale entry '!$S$2:$S$1501,'Daily Sale entry '!$P$2:$P$1501,$K92,'Daily Sale entry '!$Q$2:$Q$1501,"Credit Sale 赊销",'Daily Sale entry '!$O$2:$O$1501,"&lt;"&amp;$B$2)-SUMIFS('Daily Sale entry '!$S$2:$S$1501,'Daily Sale entry '!$P$2:$P$1501,$K92,'Daily Sale entry '!$Q$2:$Q$1501,"Collection 收款",'Daily Sale entry '!$O$2:$O$1501,"&lt;"&amp;$B$2)-SUMIFS('Daily Sale entry '!$AC$2:$AC$1501,'Daily Sale entry '!$AA$2:$AA$1501,$K92,'Daily Sale entry '!$Z$2:$Z$1501,"Online collection 网上收款",'Daily Sale entry '!$X$2:$X$1501,"&lt;"&amp;$B$2)-SUMIFS('Debtor Ledger'!$K$2:$K$3001,'Debtor Ledger'!$C$2:$C$3001,$K92,'Debtor Ledger'!$B$2:$B$3001,"&lt;"&amp;$B$2),2)))</f>
        <v/>
      </c>
      <c r="M92" s="24">
        <f>IF($K92="","",IF($B$2="","",SUMIFS('Daily Sale entry '!$S$2:$S$1501,'Daily Sale entry '!$P$2:$P$1501,$K92,'Daily Sale entry '!$Q$2:$Q$1501,"Credit Sale 赊销",'Daily Sale entry '!$O$2:$O$1501,$B$2)))</f>
        <v/>
      </c>
      <c r="N92" s="24">
        <f>IF($K92="","",IF($B$2="","",SUMIFS('Daily Sale entry '!$S$2:$S$1501,'Daily Sale entry '!$P$2:$P$1501,$K92,'Daily Sale entry '!$Q$2:$Q$1501,"Collection 收款",'Daily Sale entry '!$R$2:$R$1501,"Cash 现金",'Daily Sale entry '!$O$2:$O$1501,$B$2)))</f>
        <v/>
      </c>
      <c r="O92" s="24">
        <f>IF($K92="","",IF($B$2="","",SUMIFS('Daily Sale entry '!$S$2:$S$1501,'Daily Sale entry '!$P$2:$P$1501,$K92,'Daily Sale entry '!$Q$2:$Q$1501,"Collection 收款",'Daily Sale entry '!$R$2:$R$1501,"Cheque 支票",'Daily Sale entry '!$O$2:$O$1501,$B$2)))</f>
        <v/>
      </c>
      <c r="P92" s="24">
        <f>IF($K92="","",IF($B$2="","",SUMIFS('Daily Sale entry '!$AC$2:$AC$1501,'Daily Sale entry '!$AA$2:$AA$1501,$K92,'Daily Sale entry '!$Z$2:$Z$1501,"Online collection 网上收款",'Daily Sale entry '!$X$2:$X$1501,$B$2)))</f>
        <v/>
      </c>
      <c r="Q92" s="24">
        <f>IF($K92="","",IF($B$2="","",SUMIFS('Debtor Ledger'!$K$2:$K$3001,'Debtor Ledger'!$C$2:$C$3001,$K92,'Debtor Ledger'!$B$2:$B$3001,$B$2)))</f>
        <v/>
      </c>
      <c r="R92" s="24">
        <f>IF($K92="","",IF($B$2="","",ROUND(L92+M92-N92-O92-P92-Q92,2)))</f>
        <v/>
      </c>
      <c r="S92" s="21">
        <f>IF(K92="","",IF($B$2="","",IF(ABS(M92)+ABS(N92)+ABS(O92)+ABS(P92)+ABS(Q92)&gt;0,1,0)))</f>
        <v/>
      </c>
      <c r="T92" s="21">
        <f>IF(S92=1,SUM($S$6:S92),"")</f>
        <v/>
      </c>
    </row>
    <row r="93">
      <c r="A93">
        <f>IF($I93="","",INDEX(K$6:K$305,$I93))</f>
        <v/>
      </c>
      <c r="B93" s="6">
        <f>IF($I93="","",INDEX(L$6:L$305,$I93))</f>
        <v/>
      </c>
      <c r="C93" s="6">
        <f>IF($I93="","",INDEX(M$6:M$305,$I93))</f>
        <v/>
      </c>
      <c r="D93" s="6">
        <f>IF($I93="","",INDEX(N$6:N$305,$I93))</f>
        <v/>
      </c>
      <c r="E93" s="6">
        <f>IF($I93="","",INDEX(O$6:O$305,$I93))</f>
        <v/>
      </c>
      <c r="F93" s="6">
        <f>IF($I93="","",INDEX(P$6:P$305,$I93))</f>
        <v/>
      </c>
      <c r="G93" s="6">
        <f>IF($I93="","",INDEX(Q$6:Q$305,$I93))</f>
        <v/>
      </c>
      <c r="H93" s="6">
        <f>IF($I93="","",INDEX(R$6:R$305,$I93))</f>
        <v/>
      </c>
      <c r="I93" s="21">
        <f>IFERROR(MATCH(88,$T$6:$T$305,0),"")</f>
        <v/>
      </c>
      <c r="K93" s="21">
        <f>IF('Debtor Summary'!A92="","",'Debtor Summary'!A92)</f>
        <v/>
      </c>
      <c r="L93" s="24">
        <f>IF($K93="","",IF($B$2="","",ROUND(SUMIFS('Opening Balance'!$F$4:$F$303,'Opening Balance'!$G$4:$G$303,$K93)+SUMIFS('Daily Sale entry '!$S$2:$S$1501,'Daily Sale entry '!$P$2:$P$1501,$K93,'Daily Sale entry '!$Q$2:$Q$1501,"Credit Sale 赊销",'Daily Sale entry '!$O$2:$O$1501,"&lt;"&amp;$B$2)-SUMIFS('Daily Sale entry '!$S$2:$S$1501,'Daily Sale entry '!$P$2:$P$1501,$K93,'Daily Sale entry '!$Q$2:$Q$1501,"Collection 收款",'Daily Sale entry '!$O$2:$O$1501,"&lt;"&amp;$B$2)-SUMIFS('Daily Sale entry '!$AC$2:$AC$1501,'Daily Sale entry '!$AA$2:$AA$1501,$K93,'Daily Sale entry '!$Z$2:$Z$1501,"Online collection 网上收款",'Daily Sale entry '!$X$2:$X$1501,"&lt;"&amp;$B$2)-SUMIFS('Debtor Ledger'!$K$2:$K$3001,'Debtor Ledger'!$C$2:$C$3001,$K93,'Debtor Ledger'!$B$2:$B$3001,"&lt;"&amp;$B$2),2)))</f>
        <v/>
      </c>
      <c r="M93" s="24">
        <f>IF($K93="","",IF($B$2="","",SUMIFS('Daily Sale entry '!$S$2:$S$1501,'Daily Sale entry '!$P$2:$P$1501,$K93,'Daily Sale entry '!$Q$2:$Q$1501,"Credit Sale 赊销",'Daily Sale entry '!$O$2:$O$1501,$B$2)))</f>
        <v/>
      </c>
      <c r="N93" s="24">
        <f>IF($K93="","",IF($B$2="","",SUMIFS('Daily Sale entry '!$S$2:$S$1501,'Daily Sale entry '!$P$2:$P$1501,$K93,'Daily Sale entry '!$Q$2:$Q$1501,"Collection 收款",'Daily Sale entry '!$R$2:$R$1501,"Cash 现金",'Daily Sale entry '!$O$2:$O$1501,$B$2)))</f>
        <v/>
      </c>
      <c r="O93" s="24">
        <f>IF($K93="","",IF($B$2="","",SUMIFS('Daily Sale entry '!$S$2:$S$1501,'Daily Sale entry '!$P$2:$P$1501,$K93,'Daily Sale entry '!$Q$2:$Q$1501,"Collection 收款",'Daily Sale entry '!$R$2:$R$1501,"Cheque 支票",'Daily Sale entry '!$O$2:$O$1501,$B$2)))</f>
        <v/>
      </c>
      <c r="P93" s="24">
        <f>IF($K93="","",IF($B$2="","",SUMIFS('Daily Sale entry '!$AC$2:$AC$1501,'Daily Sale entry '!$AA$2:$AA$1501,$K93,'Daily Sale entry '!$Z$2:$Z$1501,"Online collection 网上收款",'Daily Sale entry '!$X$2:$X$1501,$B$2)))</f>
        <v/>
      </c>
      <c r="Q93" s="24">
        <f>IF($K93="","",IF($B$2="","",SUMIFS('Debtor Ledger'!$K$2:$K$3001,'Debtor Ledger'!$C$2:$C$3001,$K93,'Debtor Ledger'!$B$2:$B$3001,$B$2)))</f>
        <v/>
      </c>
      <c r="R93" s="24">
        <f>IF($K93="","",IF($B$2="","",ROUND(L93+M93-N93-O93-P93-Q93,2)))</f>
        <v/>
      </c>
      <c r="S93" s="21">
        <f>IF(K93="","",IF($B$2="","",IF(ABS(M93)+ABS(N93)+ABS(O93)+ABS(P93)+ABS(Q93)&gt;0,1,0)))</f>
        <v/>
      </c>
      <c r="T93" s="21">
        <f>IF(S93=1,SUM($S$6:S93),"")</f>
        <v/>
      </c>
    </row>
    <row r="94">
      <c r="A94">
        <f>IF($I94="","",INDEX(K$6:K$305,$I94))</f>
        <v/>
      </c>
      <c r="B94" s="6">
        <f>IF($I94="","",INDEX(L$6:L$305,$I94))</f>
        <v/>
      </c>
      <c r="C94" s="6">
        <f>IF($I94="","",INDEX(M$6:M$305,$I94))</f>
        <v/>
      </c>
      <c r="D94" s="6">
        <f>IF($I94="","",INDEX(N$6:N$305,$I94))</f>
        <v/>
      </c>
      <c r="E94" s="6">
        <f>IF($I94="","",INDEX(O$6:O$305,$I94))</f>
        <v/>
      </c>
      <c r="F94" s="6">
        <f>IF($I94="","",INDEX(P$6:P$305,$I94))</f>
        <v/>
      </c>
      <c r="G94" s="6">
        <f>IF($I94="","",INDEX(Q$6:Q$305,$I94))</f>
        <v/>
      </c>
      <c r="H94" s="6">
        <f>IF($I94="","",INDEX(R$6:R$305,$I94))</f>
        <v/>
      </c>
      <c r="I94" s="21">
        <f>IFERROR(MATCH(89,$T$6:$T$305,0),"")</f>
        <v/>
      </c>
      <c r="K94" s="21">
        <f>IF('Debtor Summary'!A93="","",'Debtor Summary'!A93)</f>
        <v/>
      </c>
      <c r="L94" s="24">
        <f>IF($K94="","",IF($B$2="","",ROUND(SUMIFS('Opening Balance'!$F$4:$F$303,'Opening Balance'!$G$4:$G$303,$K94)+SUMIFS('Daily Sale entry '!$S$2:$S$1501,'Daily Sale entry '!$P$2:$P$1501,$K94,'Daily Sale entry '!$Q$2:$Q$1501,"Credit Sale 赊销",'Daily Sale entry '!$O$2:$O$1501,"&lt;"&amp;$B$2)-SUMIFS('Daily Sale entry '!$S$2:$S$1501,'Daily Sale entry '!$P$2:$P$1501,$K94,'Daily Sale entry '!$Q$2:$Q$1501,"Collection 收款",'Daily Sale entry '!$O$2:$O$1501,"&lt;"&amp;$B$2)-SUMIFS('Daily Sale entry '!$AC$2:$AC$1501,'Daily Sale entry '!$AA$2:$AA$1501,$K94,'Daily Sale entry '!$Z$2:$Z$1501,"Online collection 网上收款",'Daily Sale entry '!$X$2:$X$1501,"&lt;"&amp;$B$2)-SUMIFS('Debtor Ledger'!$K$2:$K$3001,'Debtor Ledger'!$C$2:$C$3001,$K94,'Debtor Ledger'!$B$2:$B$3001,"&lt;"&amp;$B$2),2)))</f>
        <v/>
      </c>
      <c r="M94" s="24">
        <f>IF($K94="","",IF($B$2="","",SUMIFS('Daily Sale entry '!$S$2:$S$1501,'Daily Sale entry '!$P$2:$P$1501,$K94,'Daily Sale entry '!$Q$2:$Q$1501,"Credit Sale 赊销",'Daily Sale entry '!$O$2:$O$1501,$B$2)))</f>
        <v/>
      </c>
      <c r="N94" s="24">
        <f>IF($K94="","",IF($B$2="","",SUMIFS('Daily Sale entry '!$S$2:$S$1501,'Daily Sale entry '!$P$2:$P$1501,$K94,'Daily Sale entry '!$Q$2:$Q$1501,"Collection 收款",'Daily Sale entry '!$R$2:$R$1501,"Cash 现金",'Daily Sale entry '!$O$2:$O$1501,$B$2)))</f>
        <v/>
      </c>
      <c r="O94" s="24">
        <f>IF($K94="","",IF($B$2="","",SUMIFS('Daily Sale entry '!$S$2:$S$1501,'Daily Sale entry '!$P$2:$P$1501,$K94,'Daily Sale entry '!$Q$2:$Q$1501,"Collection 收款",'Daily Sale entry '!$R$2:$R$1501,"Cheque 支票",'Daily Sale entry '!$O$2:$O$1501,$B$2)))</f>
        <v/>
      </c>
      <c r="P94" s="24">
        <f>IF($K94="","",IF($B$2="","",SUMIFS('Daily Sale entry '!$AC$2:$AC$1501,'Daily Sale entry '!$AA$2:$AA$1501,$K94,'Daily Sale entry '!$Z$2:$Z$1501,"Online collection 网上收款",'Daily Sale entry '!$X$2:$X$1501,$B$2)))</f>
        <v/>
      </c>
      <c r="Q94" s="24">
        <f>IF($K94="","",IF($B$2="","",SUMIFS('Debtor Ledger'!$K$2:$K$3001,'Debtor Ledger'!$C$2:$C$3001,$K94,'Debtor Ledger'!$B$2:$B$3001,$B$2)))</f>
        <v/>
      </c>
      <c r="R94" s="24">
        <f>IF($K94="","",IF($B$2="","",ROUND(L94+M94-N94-O94-P94-Q94,2)))</f>
        <v/>
      </c>
      <c r="S94" s="21">
        <f>IF(K94="","",IF($B$2="","",IF(ABS(M94)+ABS(N94)+ABS(O94)+ABS(P94)+ABS(Q94)&gt;0,1,0)))</f>
        <v/>
      </c>
      <c r="T94" s="21">
        <f>IF(S94=1,SUM($S$6:S94),"")</f>
        <v/>
      </c>
    </row>
    <row r="95">
      <c r="A95">
        <f>IF($I95="","",INDEX(K$6:K$305,$I95))</f>
        <v/>
      </c>
      <c r="B95" s="6">
        <f>IF($I95="","",INDEX(L$6:L$305,$I95))</f>
        <v/>
      </c>
      <c r="C95" s="6">
        <f>IF($I95="","",INDEX(M$6:M$305,$I95))</f>
        <v/>
      </c>
      <c r="D95" s="6">
        <f>IF($I95="","",INDEX(N$6:N$305,$I95))</f>
        <v/>
      </c>
      <c r="E95" s="6">
        <f>IF($I95="","",INDEX(O$6:O$305,$I95))</f>
        <v/>
      </c>
      <c r="F95" s="6">
        <f>IF($I95="","",INDEX(P$6:P$305,$I95))</f>
        <v/>
      </c>
      <c r="G95" s="6">
        <f>IF($I95="","",INDEX(Q$6:Q$305,$I95))</f>
        <v/>
      </c>
      <c r="H95" s="6">
        <f>IF($I95="","",INDEX(R$6:R$305,$I95))</f>
        <v/>
      </c>
      <c r="I95" s="21">
        <f>IFERROR(MATCH(90,$T$6:$T$305,0),"")</f>
        <v/>
      </c>
      <c r="K95" s="21">
        <f>IF('Debtor Summary'!A94="","",'Debtor Summary'!A94)</f>
        <v/>
      </c>
      <c r="L95" s="24">
        <f>IF($K95="","",IF($B$2="","",ROUND(SUMIFS('Opening Balance'!$F$4:$F$303,'Opening Balance'!$G$4:$G$303,$K95)+SUMIFS('Daily Sale entry '!$S$2:$S$1501,'Daily Sale entry '!$P$2:$P$1501,$K95,'Daily Sale entry '!$Q$2:$Q$1501,"Credit Sale 赊销",'Daily Sale entry '!$O$2:$O$1501,"&lt;"&amp;$B$2)-SUMIFS('Daily Sale entry '!$S$2:$S$1501,'Daily Sale entry '!$P$2:$P$1501,$K95,'Daily Sale entry '!$Q$2:$Q$1501,"Collection 收款",'Daily Sale entry '!$O$2:$O$1501,"&lt;"&amp;$B$2)-SUMIFS('Daily Sale entry '!$AC$2:$AC$1501,'Daily Sale entry '!$AA$2:$AA$1501,$K95,'Daily Sale entry '!$Z$2:$Z$1501,"Online collection 网上收款",'Daily Sale entry '!$X$2:$X$1501,"&lt;"&amp;$B$2)-SUMIFS('Debtor Ledger'!$K$2:$K$3001,'Debtor Ledger'!$C$2:$C$3001,$K95,'Debtor Ledger'!$B$2:$B$3001,"&lt;"&amp;$B$2),2)))</f>
        <v/>
      </c>
      <c r="M95" s="24">
        <f>IF($K95="","",IF($B$2="","",SUMIFS('Daily Sale entry '!$S$2:$S$1501,'Daily Sale entry '!$P$2:$P$1501,$K95,'Daily Sale entry '!$Q$2:$Q$1501,"Credit Sale 赊销",'Daily Sale entry '!$O$2:$O$1501,$B$2)))</f>
        <v/>
      </c>
      <c r="N95" s="24">
        <f>IF($K95="","",IF($B$2="","",SUMIFS('Daily Sale entry '!$S$2:$S$1501,'Daily Sale entry '!$P$2:$P$1501,$K95,'Daily Sale entry '!$Q$2:$Q$1501,"Collection 收款",'Daily Sale entry '!$R$2:$R$1501,"Cash 现金",'Daily Sale entry '!$O$2:$O$1501,$B$2)))</f>
        <v/>
      </c>
      <c r="O95" s="24">
        <f>IF($K95="","",IF($B$2="","",SUMIFS('Daily Sale entry '!$S$2:$S$1501,'Daily Sale entry '!$P$2:$P$1501,$K95,'Daily Sale entry '!$Q$2:$Q$1501,"Collection 收款",'Daily Sale entry '!$R$2:$R$1501,"Cheque 支票",'Daily Sale entry '!$O$2:$O$1501,$B$2)))</f>
        <v/>
      </c>
      <c r="P95" s="24">
        <f>IF($K95="","",IF($B$2="","",SUMIFS('Daily Sale entry '!$AC$2:$AC$1501,'Daily Sale entry '!$AA$2:$AA$1501,$K95,'Daily Sale entry '!$Z$2:$Z$1501,"Online collection 网上收款",'Daily Sale entry '!$X$2:$X$1501,$B$2)))</f>
        <v/>
      </c>
      <c r="Q95" s="24">
        <f>IF($K95="","",IF($B$2="","",SUMIFS('Debtor Ledger'!$K$2:$K$3001,'Debtor Ledger'!$C$2:$C$3001,$K95,'Debtor Ledger'!$B$2:$B$3001,$B$2)))</f>
        <v/>
      </c>
      <c r="R95" s="24">
        <f>IF($K95="","",IF($B$2="","",ROUND(L95+M95-N95-O95-P95-Q95,2)))</f>
        <v/>
      </c>
      <c r="S95" s="21">
        <f>IF(K95="","",IF($B$2="","",IF(ABS(M95)+ABS(N95)+ABS(O95)+ABS(P95)+ABS(Q95)&gt;0,1,0)))</f>
        <v/>
      </c>
      <c r="T95" s="21">
        <f>IF(S95=1,SUM($S$6:S95),"")</f>
        <v/>
      </c>
    </row>
    <row r="96">
      <c r="A96">
        <f>IF($I96="","",INDEX(K$6:K$305,$I96))</f>
        <v/>
      </c>
      <c r="B96" s="6">
        <f>IF($I96="","",INDEX(L$6:L$305,$I96))</f>
        <v/>
      </c>
      <c r="C96" s="6">
        <f>IF($I96="","",INDEX(M$6:M$305,$I96))</f>
        <v/>
      </c>
      <c r="D96" s="6">
        <f>IF($I96="","",INDEX(N$6:N$305,$I96))</f>
        <v/>
      </c>
      <c r="E96" s="6">
        <f>IF($I96="","",INDEX(O$6:O$305,$I96))</f>
        <v/>
      </c>
      <c r="F96" s="6">
        <f>IF($I96="","",INDEX(P$6:P$305,$I96))</f>
        <v/>
      </c>
      <c r="G96" s="6">
        <f>IF($I96="","",INDEX(Q$6:Q$305,$I96))</f>
        <v/>
      </c>
      <c r="H96" s="6">
        <f>IF($I96="","",INDEX(R$6:R$305,$I96))</f>
        <v/>
      </c>
      <c r="I96" s="21">
        <f>IFERROR(MATCH(91,$T$6:$T$305,0),"")</f>
        <v/>
      </c>
      <c r="K96" s="21">
        <f>IF('Debtor Summary'!A95="","",'Debtor Summary'!A95)</f>
        <v/>
      </c>
      <c r="L96" s="24">
        <f>IF($K96="","",IF($B$2="","",ROUND(SUMIFS('Opening Balance'!$F$4:$F$303,'Opening Balance'!$G$4:$G$303,$K96)+SUMIFS('Daily Sale entry '!$S$2:$S$1501,'Daily Sale entry '!$P$2:$P$1501,$K96,'Daily Sale entry '!$Q$2:$Q$1501,"Credit Sale 赊销",'Daily Sale entry '!$O$2:$O$1501,"&lt;"&amp;$B$2)-SUMIFS('Daily Sale entry '!$S$2:$S$1501,'Daily Sale entry '!$P$2:$P$1501,$K96,'Daily Sale entry '!$Q$2:$Q$1501,"Collection 收款",'Daily Sale entry '!$O$2:$O$1501,"&lt;"&amp;$B$2)-SUMIFS('Daily Sale entry '!$AC$2:$AC$1501,'Daily Sale entry '!$AA$2:$AA$1501,$K96,'Daily Sale entry '!$Z$2:$Z$1501,"Online collection 网上收款",'Daily Sale entry '!$X$2:$X$1501,"&lt;"&amp;$B$2)-SUMIFS('Debtor Ledger'!$K$2:$K$3001,'Debtor Ledger'!$C$2:$C$3001,$K96,'Debtor Ledger'!$B$2:$B$3001,"&lt;"&amp;$B$2),2)))</f>
        <v/>
      </c>
      <c r="M96" s="24">
        <f>IF($K96="","",IF($B$2="","",SUMIFS('Daily Sale entry '!$S$2:$S$1501,'Daily Sale entry '!$P$2:$P$1501,$K96,'Daily Sale entry '!$Q$2:$Q$1501,"Credit Sale 赊销",'Daily Sale entry '!$O$2:$O$1501,$B$2)))</f>
        <v/>
      </c>
      <c r="N96" s="24">
        <f>IF($K96="","",IF($B$2="","",SUMIFS('Daily Sale entry '!$S$2:$S$1501,'Daily Sale entry '!$P$2:$P$1501,$K96,'Daily Sale entry '!$Q$2:$Q$1501,"Collection 收款",'Daily Sale entry '!$R$2:$R$1501,"Cash 现金",'Daily Sale entry '!$O$2:$O$1501,$B$2)))</f>
        <v/>
      </c>
      <c r="O96" s="24">
        <f>IF($K96="","",IF($B$2="","",SUMIFS('Daily Sale entry '!$S$2:$S$1501,'Daily Sale entry '!$P$2:$P$1501,$K96,'Daily Sale entry '!$Q$2:$Q$1501,"Collection 收款",'Daily Sale entry '!$R$2:$R$1501,"Cheque 支票",'Daily Sale entry '!$O$2:$O$1501,$B$2)))</f>
        <v/>
      </c>
      <c r="P96" s="24">
        <f>IF($K96="","",IF($B$2="","",SUMIFS('Daily Sale entry '!$AC$2:$AC$1501,'Daily Sale entry '!$AA$2:$AA$1501,$K96,'Daily Sale entry '!$Z$2:$Z$1501,"Online collection 网上收款",'Daily Sale entry '!$X$2:$X$1501,$B$2)))</f>
        <v/>
      </c>
      <c r="Q96" s="24">
        <f>IF($K96="","",IF($B$2="","",SUMIFS('Debtor Ledger'!$K$2:$K$3001,'Debtor Ledger'!$C$2:$C$3001,$K96,'Debtor Ledger'!$B$2:$B$3001,$B$2)))</f>
        <v/>
      </c>
      <c r="R96" s="24">
        <f>IF($K96="","",IF($B$2="","",ROUND(L96+M96-N96-O96-P96-Q96,2)))</f>
        <v/>
      </c>
      <c r="S96" s="21">
        <f>IF(K96="","",IF($B$2="","",IF(ABS(M96)+ABS(N96)+ABS(O96)+ABS(P96)+ABS(Q96)&gt;0,1,0)))</f>
        <v/>
      </c>
      <c r="T96" s="21">
        <f>IF(S96=1,SUM($S$6:S96),"")</f>
        <v/>
      </c>
    </row>
    <row r="97">
      <c r="A97">
        <f>IF($I97="","",INDEX(K$6:K$305,$I97))</f>
        <v/>
      </c>
      <c r="B97" s="6">
        <f>IF($I97="","",INDEX(L$6:L$305,$I97))</f>
        <v/>
      </c>
      <c r="C97" s="6">
        <f>IF($I97="","",INDEX(M$6:M$305,$I97))</f>
        <v/>
      </c>
      <c r="D97" s="6">
        <f>IF($I97="","",INDEX(N$6:N$305,$I97))</f>
        <v/>
      </c>
      <c r="E97" s="6">
        <f>IF($I97="","",INDEX(O$6:O$305,$I97))</f>
        <v/>
      </c>
      <c r="F97" s="6">
        <f>IF($I97="","",INDEX(P$6:P$305,$I97))</f>
        <v/>
      </c>
      <c r="G97" s="6">
        <f>IF($I97="","",INDEX(Q$6:Q$305,$I97))</f>
        <v/>
      </c>
      <c r="H97" s="6">
        <f>IF($I97="","",INDEX(R$6:R$305,$I97))</f>
        <v/>
      </c>
      <c r="I97" s="21">
        <f>IFERROR(MATCH(92,$T$6:$T$305,0),"")</f>
        <v/>
      </c>
      <c r="K97" s="21">
        <f>IF('Debtor Summary'!A96="","",'Debtor Summary'!A96)</f>
        <v/>
      </c>
      <c r="L97" s="24">
        <f>IF($K97="","",IF($B$2="","",ROUND(SUMIFS('Opening Balance'!$F$4:$F$303,'Opening Balance'!$G$4:$G$303,$K97)+SUMIFS('Daily Sale entry '!$S$2:$S$1501,'Daily Sale entry '!$P$2:$P$1501,$K97,'Daily Sale entry '!$Q$2:$Q$1501,"Credit Sale 赊销",'Daily Sale entry '!$O$2:$O$1501,"&lt;"&amp;$B$2)-SUMIFS('Daily Sale entry '!$S$2:$S$1501,'Daily Sale entry '!$P$2:$P$1501,$K97,'Daily Sale entry '!$Q$2:$Q$1501,"Collection 收款",'Daily Sale entry '!$O$2:$O$1501,"&lt;"&amp;$B$2)-SUMIFS('Daily Sale entry '!$AC$2:$AC$1501,'Daily Sale entry '!$AA$2:$AA$1501,$K97,'Daily Sale entry '!$Z$2:$Z$1501,"Online collection 网上收款",'Daily Sale entry '!$X$2:$X$1501,"&lt;"&amp;$B$2)-SUMIFS('Debtor Ledger'!$K$2:$K$3001,'Debtor Ledger'!$C$2:$C$3001,$K97,'Debtor Ledger'!$B$2:$B$3001,"&lt;"&amp;$B$2),2)))</f>
        <v/>
      </c>
      <c r="M97" s="24">
        <f>IF($K97="","",IF($B$2="","",SUMIFS('Daily Sale entry '!$S$2:$S$1501,'Daily Sale entry '!$P$2:$P$1501,$K97,'Daily Sale entry '!$Q$2:$Q$1501,"Credit Sale 赊销",'Daily Sale entry '!$O$2:$O$1501,$B$2)))</f>
        <v/>
      </c>
      <c r="N97" s="24">
        <f>IF($K97="","",IF($B$2="","",SUMIFS('Daily Sale entry '!$S$2:$S$1501,'Daily Sale entry '!$P$2:$P$1501,$K97,'Daily Sale entry '!$Q$2:$Q$1501,"Collection 收款",'Daily Sale entry '!$R$2:$R$1501,"Cash 现金",'Daily Sale entry '!$O$2:$O$1501,$B$2)))</f>
        <v/>
      </c>
      <c r="O97" s="24">
        <f>IF($K97="","",IF($B$2="","",SUMIFS('Daily Sale entry '!$S$2:$S$1501,'Daily Sale entry '!$P$2:$P$1501,$K97,'Daily Sale entry '!$Q$2:$Q$1501,"Collection 收款",'Daily Sale entry '!$R$2:$R$1501,"Cheque 支票",'Daily Sale entry '!$O$2:$O$1501,$B$2)))</f>
        <v/>
      </c>
      <c r="P97" s="24">
        <f>IF($K97="","",IF($B$2="","",SUMIFS('Daily Sale entry '!$AC$2:$AC$1501,'Daily Sale entry '!$AA$2:$AA$1501,$K97,'Daily Sale entry '!$Z$2:$Z$1501,"Online collection 网上收款",'Daily Sale entry '!$X$2:$X$1501,$B$2)))</f>
        <v/>
      </c>
      <c r="Q97" s="24">
        <f>IF($K97="","",IF($B$2="","",SUMIFS('Debtor Ledger'!$K$2:$K$3001,'Debtor Ledger'!$C$2:$C$3001,$K97,'Debtor Ledger'!$B$2:$B$3001,$B$2)))</f>
        <v/>
      </c>
      <c r="R97" s="24">
        <f>IF($K97="","",IF($B$2="","",ROUND(L97+M97-N97-O97-P97-Q97,2)))</f>
        <v/>
      </c>
      <c r="S97" s="21">
        <f>IF(K97="","",IF($B$2="","",IF(ABS(M97)+ABS(N97)+ABS(O97)+ABS(P97)+ABS(Q97)&gt;0,1,0)))</f>
        <v/>
      </c>
      <c r="T97" s="21">
        <f>IF(S97=1,SUM($S$6:S97),"")</f>
        <v/>
      </c>
    </row>
    <row r="98">
      <c r="A98">
        <f>IF($I98="","",INDEX(K$6:K$305,$I98))</f>
        <v/>
      </c>
      <c r="B98" s="6">
        <f>IF($I98="","",INDEX(L$6:L$305,$I98))</f>
        <v/>
      </c>
      <c r="C98" s="6">
        <f>IF($I98="","",INDEX(M$6:M$305,$I98))</f>
        <v/>
      </c>
      <c r="D98" s="6">
        <f>IF($I98="","",INDEX(N$6:N$305,$I98))</f>
        <v/>
      </c>
      <c r="E98" s="6">
        <f>IF($I98="","",INDEX(O$6:O$305,$I98))</f>
        <v/>
      </c>
      <c r="F98" s="6">
        <f>IF($I98="","",INDEX(P$6:P$305,$I98))</f>
        <v/>
      </c>
      <c r="G98" s="6">
        <f>IF($I98="","",INDEX(Q$6:Q$305,$I98))</f>
        <v/>
      </c>
      <c r="H98" s="6">
        <f>IF($I98="","",INDEX(R$6:R$305,$I98))</f>
        <v/>
      </c>
      <c r="I98" s="21">
        <f>IFERROR(MATCH(93,$T$6:$T$305,0),"")</f>
        <v/>
      </c>
      <c r="K98" s="21">
        <f>IF('Debtor Summary'!A97="","",'Debtor Summary'!A97)</f>
        <v/>
      </c>
      <c r="L98" s="24">
        <f>IF($K98="","",IF($B$2="","",ROUND(SUMIFS('Opening Balance'!$F$4:$F$303,'Opening Balance'!$G$4:$G$303,$K98)+SUMIFS('Daily Sale entry '!$S$2:$S$1501,'Daily Sale entry '!$P$2:$P$1501,$K98,'Daily Sale entry '!$Q$2:$Q$1501,"Credit Sale 赊销",'Daily Sale entry '!$O$2:$O$1501,"&lt;"&amp;$B$2)-SUMIFS('Daily Sale entry '!$S$2:$S$1501,'Daily Sale entry '!$P$2:$P$1501,$K98,'Daily Sale entry '!$Q$2:$Q$1501,"Collection 收款",'Daily Sale entry '!$O$2:$O$1501,"&lt;"&amp;$B$2)-SUMIFS('Daily Sale entry '!$AC$2:$AC$1501,'Daily Sale entry '!$AA$2:$AA$1501,$K98,'Daily Sale entry '!$Z$2:$Z$1501,"Online collection 网上收款",'Daily Sale entry '!$X$2:$X$1501,"&lt;"&amp;$B$2)-SUMIFS('Debtor Ledger'!$K$2:$K$3001,'Debtor Ledger'!$C$2:$C$3001,$K98,'Debtor Ledger'!$B$2:$B$3001,"&lt;"&amp;$B$2),2)))</f>
        <v/>
      </c>
      <c r="M98" s="24">
        <f>IF($K98="","",IF($B$2="","",SUMIFS('Daily Sale entry '!$S$2:$S$1501,'Daily Sale entry '!$P$2:$P$1501,$K98,'Daily Sale entry '!$Q$2:$Q$1501,"Credit Sale 赊销",'Daily Sale entry '!$O$2:$O$1501,$B$2)))</f>
        <v/>
      </c>
      <c r="N98" s="24">
        <f>IF($K98="","",IF($B$2="","",SUMIFS('Daily Sale entry '!$S$2:$S$1501,'Daily Sale entry '!$P$2:$P$1501,$K98,'Daily Sale entry '!$Q$2:$Q$1501,"Collection 收款",'Daily Sale entry '!$R$2:$R$1501,"Cash 现金",'Daily Sale entry '!$O$2:$O$1501,$B$2)))</f>
        <v/>
      </c>
      <c r="O98" s="24">
        <f>IF($K98="","",IF($B$2="","",SUMIFS('Daily Sale entry '!$S$2:$S$1501,'Daily Sale entry '!$P$2:$P$1501,$K98,'Daily Sale entry '!$Q$2:$Q$1501,"Collection 收款",'Daily Sale entry '!$R$2:$R$1501,"Cheque 支票",'Daily Sale entry '!$O$2:$O$1501,$B$2)))</f>
        <v/>
      </c>
      <c r="P98" s="24">
        <f>IF($K98="","",IF($B$2="","",SUMIFS('Daily Sale entry '!$AC$2:$AC$1501,'Daily Sale entry '!$AA$2:$AA$1501,$K98,'Daily Sale entry '!$Z$2:$Z$1501,"Online collection 网上收款",'Daily Sale entry '!$X$2:$X$1501,$B$2)))</f>
        <v/>
      </c>
      <c r="Q98" s="24">
        <f>IF($K98="","",IF($B$2="","",SUMIFS('Debtor Ledger'!$K$2:$K$3001,'Debtor Ledger'!$C$2:$C$3001,$K98,'Debtor Ledger'!$B$2:$B$3001,$B$2)))</f>
        <v/>
      </c>
      <c r="R98" s="24">
        <f>IF($K98="","",IF($B$2="","",ROUND(L98+M98-N98-O98-P98-Q98,2)))</f>
        <v/>
      </c>
      <c r="S98" s="21">
        <f>IF(K98="","",IF($B$2="","",IF(ABS(M98)+ABS(N98)+ABS(O98)+ABS(P98)+ABS(Q98)&gt;0,1,0)))</f>
        <v/>
      </c>
      <c r="T98" s="21">
        <f>IF(S98=1,SUM($S$6:S98),"")</f>
        <v/>
      </c>
    </row>
    <row r="99">
      <c r="A99">
        <f>IF($I99="","",INDEX(K$6:K$305,$I99))</f>
        <v/>
      </c>
      <c r="B99" s="6">
        <f>IF($I99="","",INDEX(L$6:L$305,$I99))</f>
        <v/>
      </c>
      <c r="C99" s="6">
        <f>IF($I99="","",INDEX(M$6:M$305,$I99))</f>
        <v/>
      </c>
      <c r="D99" s="6">
        <f>IF($I99="","",INDEX(N$6:N$305,$I99))</f>
        <v/>
      </c>
      <c r="E99" s="6">
        <f>IF($I99="","",INDEX(O$6:O$305,$I99))</f>
        <v/>
      </c>
      <c r="F99" s="6">
        <f>IF($I99="","",INDEX(P$6:P$305,$I99))</f>
        <v/>
      </c>
      <c r="G99" s="6">
        <f>IF($I99="","",INDEX(Q$6:Q$305,$I99))</f>
        <v/>
      </c>
      <c r="H99" s="6">
        <f>IF($I99="","",INDEX(R$6:R$305,$I99))</f>
        <v/>
      </c>
      <c r="I99" s="21">
        <f>IFERROR(MATCH(94,$T$6:$T$305,0),"")</f>
        <v/>
      </c>
      <c r="K99" s="21">
        <f>IF('Debtor Summary'!A98="","",'Debtor Summary'!A98)</f>
        <v/>
      </c>
      <c r="L99" s="24">
        <f>IF($K99="","",IF($B$2="","",ROUND(SUMIFS('Opening Balance'!$F$4:$F$303,'Opening Balance'!$G$4:$G$303,$K99)+SUMIFS('Daily Sale entry '!$S$2:$S$1501,'Daily Sale entry '!$P$2:$P$1501,$K99,'Daily Sale entry '!$Q$2:$Q$1501,"Credit Sale 赊销",'Daily Sale entry '!$O$2:$O$1501,"&lt;"&amp;$B$2)-SUMIFS('Daily Sale entry '!$S$2:$S$1501,'Daily Sale entry '!$P$2:$P$1501,$K99,'Daily Sale entry '!$Q$2:$Q$1501,"Collection 收款",'Daily Sale entry '!$O$2:$O$1501,"&lt;"&amp;$B$2)-SUMIFS('Daily Sale entry '!$AC$2:$AC$1501,'Daily Sale entry '!$AA$2:$AA$1501,$K99,'Daily Sale entry '!$Z$2:$Z$1501,"Online collection 网上收款",'Daily Sale entry '!$X$2:$X$1501,"&lt;"&amp;$B$2)-SUMIFS('Debtor Ledger'!$K$2:$K$3001,'Debtor Ledger'!$C$2:$C$3001,$K99,'Debtor Ledger'!$B$2:$B$3001,"&lt;"&amp;$B$2),2)))</f>
        <v/>
      </c>
      <c r="M99" s="24">
        <f>IF($K99="","",IF($B$2="","",SUMIFS('Daily Sale entry '!$S$2:$S$1501,'Daily Sale entry '!$P$2:$P$1501,$K99,'Daily Sale entry '!$Q$2:$Q$1501,"Credit Sale 赊销",'Daily Sale entry '!$O$2:$O$1501,$B$2)))</f>
        <v/>
      </c>
      <c r="N99" s="24">
        <f>IF($K99="","",IF($B$2="","",SUMIFS('Daily Sale entry '!$S$2:$S$1501,'Daily Sale entry '!$P$2:$P$1501,$K99,'Daily Sale entry '!$Q$2:$Q$1501,"Collection 收款",'Daily Sale entry '!$R$2:$R$1501,"Cash 现金",'Daily Sale entry '!$O$2:$O$1501,$B$2)))</f>
        <v/>
      </c>
      <c r="O99" s="24">
        <f>IF($K99="","",IF($B$2="","",SUMIFS('Daily Sale entry '!$S$2:$S$1501,'Daily Sale entry '!$P$2:$P$1501,$K99,'Daily Sale entry '!$Q$2:$Q$1501,"Collection 收款",'Daily Sale entry '!$R$2:$R$1501,"Cheque 支票",'Daily Sale entry '!$O$2:$O$1501,$B$2)))</f>
        <v/>
      </c>
      <c r="P99" s="24">
        <f>IF($K99="","",IF($B$2="","",SUMIFS('Daily Sale entry '!$AC$2:$AC$1501,'Daily Sale entry '!$AA$2:$AA$1501,$K99,'Daily Sale entry '!$Z$2:$Z$1501,"Online collection 网上收款",'Daily Sale entry '!$X$2:$X$1501,$B$2)))</f>
        <v/>
      </c>
      <c r="Q99" s="24">
        <f>IF($K99="","",IF($B$2="","",SUMIFS('Debtor Ledger'!$K$2:$K$3001,'Debtor Ledger'!$C$2:$C$3001,$K99,'Debtor Ledger'!$B$2:$B$3001,$B$2)))</f>
        <v/>
      </c>
      <c r="R99" s="24">
        <f>IF($K99="","",IF($B$2="","",ROUND(L99+M99-N99-O99-P99-Q99,2)))</f>
        <v/>
      </c>
      <c r="S99" s="21">
        <f>IF(K99="","",IF($B$2="","",IF(ABS(M99)+ABS(N99)+ABS(O99)+ABS(P99)+ABS(Q99)&gt;0,1,0)))</f>
        <v/>
      </c>
      <c r="T99" s="21">
        <f>IF(S99=1,SUM($S$6:S99),"")</f>
        <v/>
      </c>
    </row>
    <row r="100">
      <c r="A100">
        <f>IF($I100="","",INDEX(K$6:K$305,$I100))</f>
        <v/>
      </c>
      <c r="B100" s="6">
        <f>IF($I100="","",INDEX(L$6:L$305,$I100))</f>
        <v/>
      </c>
      <c r="C100" s="6">
        <f>IF($I100="","",INDEX(M$6:M$305,$I100))</f>
        <v/>
      </c>
      <c r="D100" s="6">
        <f>IF($I100="","",INDEX(N$6:N$305,$I100))</f>
        <v/>
      </c>
      <c r="E100" s="6">
        <f>IF($I100="","",INDEX(O$6:O$305,$I100))</f>
        <v/>
      </c>
      <c r="F100" s="6">
        <f>IF($I100="","",INDEX(P$6:P$305,$I100))</f>
        <v/>
      </c>
      <c r="G100" s="6">
        <f>IF($I100="","",INDEX(Q$6:Q$305,$I100))</f>
        <v/>
      </c>
      <c r="H100" s="6">
        <f>IF($I100="","",INDEX(R$6:R$305,$I100))</f>
        <v/>
      </c>
      <c r="I100" s="21">
        <f>IFERROR(MATCH(95,$T$6:$T$305,0),"")</f>
        <v/>
      </c>
      <c r="K100" s="21">
        <f>IF('Debtor Summary'!A99="","",'Debtor Summary'!A99)</f>
        <v/>
      </c>
      <c r="L100" s="24">
        <f>IF($K100="","",IF($B$2="","",ROUND(SUMIFS('Opening Balance'!$F$4:$F$303,'Opening Balance'!$G$4:$G$303,$K100)+SUMIFS('Daily Sale entry '!$S$2:$S$1501,'Daily Sale entry '!$P$2:$P$1501,$K100,'Daily Sale entry '!$Q$2:$Q$1501,"Credit Sale 赊销",'Daily Sale entry '!$O$2:$O$1501,"&lt;"&amp;$B$2)-SUMIFS('Daily Sale entry '!$S$2:$S$1501,'Daily Sale entry '!$P$2:$P$1501,$K100,'Daily Sale entry '!$Q$2:$Q$1501,"Collection 收款",'Daily Sale entry '!$O$2:$O$1501,"&lt;"&amp;$B$2)-SUMIFS('Daily Sale entry '!$AC$2:$AC$1501,'Daily Sale entry '!$AA$2:$AA$1501,$K100,'Daily Sale entry '!$Z$2:$Z$1501,"Online collection 网上收款",'Daily Sale entry '!$X$2:$X$1501,"&lt;"&amp;$B$2)-SUMIFS('Debtor Ledger'!$K$2:$K$3001,'Debtor Ledger'!$C$2:$C$3001,$K100,'Debtor Ledger'!$B$2:$B$3001,"&lt;"&amp;$B$2),2)))</f>
        <v/>
      </c>
      <c r="M100" s="24">
        <f>IF($K100="","",IF($B$2="","",SUMIFS('Daily Sale entry '!$S$2:$S$1501,'Daily Sale entry '!$P$2:$P$1501,$K100,'Daily Sale entry '!$Q$2:$Q$1501,"Credit Sale 赊销",'Daily Sale entry '!$O$2:$O$1501,$B$2)))</f>
        <v/>
      </c>
      <c r="N100" s="24">
        <f>IF($K100="","",IF($B$2="","",SUMIFS('Daily Sale entry '!$S$2:$S$1501,'Daily Sale entry '!$P$2:$P$1501,$K100,'Daily Sale entry '!$Q$2:$Q$1501,"Collection 收款",'Daily Sale entry '!$R$2:$R$1501,"Cash 现金",'Daily Sale entry '!$O$2:$O$1501,$B$2)))</f>
        <v/>
      </c>
      <c r="O100" s="24">
        <f>IF($K100="","",IF($B$2="","",SUMIFS('Daily Sale entry '!$S$2:$S$1501,'Daily Sale entry '!$P$2:$P$1501,$K100,'Daily Sale entry '!$Q$2:$Q$1501,"Collection 收款",'Daily Sale entry '!$R$2:$R$1501,"Cheque 支票",'Daily Sale entry '!$O$2:$O$1501,$B$2)))</f>
        <v/>
      </c>
      <c r="P100" s="24">
        <f>IF($K100="","",IF($B$2="","",SUMIFS('Daily Sale entry '!$AC$2:$AC$1501,'Daily Sale entry '!$AA$2:$AA$1501,$K100,'Daily Sale entry '!$Z$2:$Z$1501,"Online collection 网上收款",'Daily Sale entry '!$X$2:$X$1501,$B$2)))</f>
        <v/>
      </c>
      <c r="Q100" s="24">
        <f>IF($K100="","",IF($B$2="","",SUMIFS('Debtor Ledger'!$K$2:$K$3001,'Debtor Ledger'!$C$2:$C$3001,$K100,'Debtor Ledger'!$B$2:$B$3001,$B$2)))</f>
        <v/>
      </c>
      <c r="R100" s="24">
        <f>IF($K100="","",IF($B$2="","",ROUND(L100+M100-N100-O100-P100-Q100,2)))</f>
        <v/>
      </c>
      <c r="S100" s="21">
        <f>IF(K100="","",IF($B$2="","",IF(ABS(M100)+ABS(N100)+ABS(O100)+ABS(P100)+ABS(Q100)&gt;0,1,0)))</f>
        <v/>
      </c>
      <c r="T100" s="21">
        <f>IF(S100=1,SUM($S$6:S100),"")</f>
        <v/>
      </c>
    </row>
    <row r="101">
      <c r="A101">
        <f>IF($I101="","",INDEX(K$6:K$305,$I101))</f>
        <v/>
      </c>
      <c r="B101" s="6">
        <f>IF($I101="","",INDEX(L$6:L$305,$I101))</f>
        <v/>
      </c>
      <c r="C101" s="6">
        <f>IF($I101="","",INDEX(M$6:M$305,$I101))</f>
        <v/>
      </c>
      <c r="D101" s="6">
        <f>IF($I101="","",INDEX(N$6:N$305,$I101))</f>
        <v/>
      </c>
      <c r="E101" s="6">
        <f>IF($I101="","",INDEX(O$6:O$305,$I101))</f>
        <v/>
      </c>
      <c r="F101" s="6">
        <f>IF($I101="","",INDEX(P$6:P$305,$I101))</f>
        <v/>
      </c>
      <c r="G101" s="6">
        <f>IF($I101="","",INDEX(Q$6:Q$305,$I101))</f>
        <v/>
      </c>
      <c r="H101" s="6">
        <f>IF($I101="","",INDEX(R$6:R$305,$I101))</f>
        <v/>
      </c>
      <c r="I101" s="21">
        <f>IFERROR(MATCH(96,$T$6:$T$305,0),"")</f>
        <v/>
      </c>
      <c r="K101" s="21">
        <f>IF('Debtor Summary'!A100="","",'Debtor Summary'!A100)</f>
        <v/>
      </c>
      <c r="L101" s="24">
        <f>IF($K101="","",IF($B$2="","",ROUND(SUMIFS('Opening Balance'!$F$4:$F$303,'Opening Balance'!$G$4:$G$303,$K101)+SUMIFS('Daily Sale entry '!$S$2:$S$1501,'Daily Sale entry '!$P$2:$P$1501,$K101,'Daily Sale entry '!$Q$2:$Q$1501,"Credit Sale 赊销",'Daily Sale entry '!$O$2:$O$1501,"&lt;"&amp;$B$2)-SUMIFS('Daily Sale entry '!$S$2:$S$1501,'Daily Sale entry '!$P$2:$P$1501,$K101,'Daily Sale entry '!$Q$2:$Q$1501,"Collection 收款",'Daily Sale entry '!$O$2:$O$1501,"&lt;"&amp;$B$2)-SUMIFS('Daily Sale entry '!$AC$2:$AC$1501,'Daily Sale entry '!$AA$2:$AA$1501,$K101,'Daily Sale entry '!$Z$2:$Z$1501,"Online collection 网上收款",'Daily Sale entry '!$X$2:$X$1501,"&lt;"&amp;$B$2)-SUMIFS('Debtor Ledger'!$K$2:$K$3001,'Debtor Ledger'!$C$2:$C$3001,$K101,'Debtor Ledger'!$B$2:$B$3001,"&lt;"&amp;$B$2),2)))</f>
        <v/>
      </c>
      <c r="M101" s="24">
        <f>IF($K101="","",IF($B$2="","",SUMIFS('Daily Sale entry '!$S$2:$S$1501,'Daily Sale entry '!$P$2:$P$1501,$K101,'Daily Sale entry '!$Q$2:$Q$1501,"Credit Sale 赊销",'Daily Sale entry '!$O$2:$O$1501,$B$2)))</f>
        <v/>
      </c>
      <c r="N101" s="24">
        <f>IF($K101="","",IF($B$2="","",SUMIFS('Daily Sale entry '!$S$2:$S$1501,'Daily Sale entry '!$P$2:$P$1501,$K101,'Daily Sale entry '!$Q$2:$Q$1501,"Collection 收款",'Daily Sale entry '!$R$2:$R$1501,"Cash 现金",'Daily Sale entry '!$O$2:$O$1501,$B$2)))</f>
        <v/>
      </c>
      <c r="O101" s="24">
        <f>IF($K101="","",IF($B$2="","",SUMIFS('Daily Sale entry '!$S$2:$S$1501,'Daily Sale entry '!$P$2:$P$1501,$K101,'Daily Sale entry '!$Q$2:$Q$1501,"Collection 收款",'Daily Sale entry '!$R$2:$R$1501,"Cheque 支票",'Daily Sale entry '!$O$2:$O$1501,$B$2)))</f>
        <v/>
      </c>
      <c r="P101" s="24">
        <f>IF($K101="","",IF($B$2="","",SUMIFS('Daily Sale entry '!$AC$2:$AC$1501,'Daily Sale entry '!$AA$2:$AA$1501,$K101,'Daily Sale entry '!$Z$2:$Z$1501,"Online collection 网上收款",'Daily Sale entry '!$X$2:$X$1501,$B$2)))</f>
        <v/>
      </c>
      <c r="Q101" s="24">
        <f>IF($K101="","",IF($B$2="","",SUMIFS('Debtor Ledger'!$K$2:$K$3001,'Debtor Ledger'!$C$2:$C$3001,$K101,'Debtor Ledger'!$B$2:$B$3001,$B$2)))</f>
        <v/>
      </c>
      <c r="R101" s="24">
        <f>IF($K101="","",IF($B$2="","",ROUND(L101+M101-N101-O101-P101-Q101,2)))</f>
        <v/>
      </c>
      <c r="S101" s="21">
        <f>IF(K101="","",IF($B$2="","",IF(ABS(M101)+ABS(N101)+ABS(O101)+ABS(P101)+ABS(Q101)&gt;0,1,0)))</f>
        <v/>
      </c>
      <c r="T101" s="21">
        <f>IF(S101=1,SUM($S$6:S101),"")</f>
        <v/>
      </c>
    </row>
    <row r="102">
      <c r="A102">
        <f>IF($I102="","",INDEX(K$6:K$305,$I102))</f>
        <v/>
      </c>
      <c r="B102" s="6">
        <f>IF($I102="","",INDEX(L$6:L$305,$I102))</f>
        <v/>
      </c>
      <c r="C102" s="6">
        <f>IF($I102="","",INDEX(M$6:M$305,$I102))</f>
        <v/>
      </c>
      <c r="D102" s="6">
        <f>IF($I102="","",INDEX(N$6:N$305,$I102))</f>
        <v/>
      </c>
      <c r="E102" s="6">
        <f>IF($I102="","",INDEX(O$6:O$305,$I102))</f>
        <v/>
      </c>
      <c r="F102" s="6">
        <f>IF($I102="","",INDEX(P$6:P$305,$I102))</f>
        <v/>
      </c>
      <c r="G102" s="6">
        <f>IF($I102="","",INDEX(Q$6:Q$305,$I102))</f>
        <v/>
      </c>
      <c r="H102" s="6">
        <f>IF($I102="","",INDEX(R$6:R$305,$I102))</f>
        <v/>
      </c>
      <c r="I102" s="21">
        <f>IFERROR(MATCH(97,$T$6:$T$305,0),"")</f>
        <v/>
      </c>
      <c r="K102" s="21">
        <f>IF('Debtor Summary'!A101="","",'Debtor Summary'!A101)</f>
        <v/>
      </c>
      <c r="L102" s="24">
        <f>IF($K102="","",IF($B$2="","",ROUND(SUMIFS('Opening Balance'!$F$4:$F$303,'Opening Balance'!$G$4:$G$303,$K102)+SUMIFS('Daily Sale entry '!$S$2:$S$1501,'Daily Sale entry '!$P$2:$P$1501,$K102,'Daily Sale entry '!$Q$2:$Q$1501,"Credit Sale 赊销",'Daily Sale entry '!$O$2:$O$1501,"&lt;"&amp;$B$2)-SUMIFS('Daily Sale entry '!$S$2:$S$1501,'Daily Sale entry '!$P$2:$P$1501,$K102,'Daily Sale entry '!$Q$2:$Q$1501,"Collection 收款",'Daily Sale entry '!$O$2:$O$1501,"&lt;"&amp;$B$2)-SUMIFS('Daily Sale entry '!$AC$2:$AC$1501,'Daily Sale entry '!$AA$2:$AA$1501,$K102,'Daily Sale entry '!$Z$2:$Z$1501,"Online collection 网上收款",'Daily Sale entry '!$X$2:$X$1501,"&lt;"&amp;$B$2)-SUMIFS('Debtor Ledger'!$K$2:$K$3001,'Debtor Ledger'!$C$2:$C$3001,$K102,'Debtor Ledger'!$B$2:$B$3001,"&lt;"&amp;$B$2),2)))</f>
        <v/>
      </c>
      <c r="M102" s="24">
        <f>IF($K102="","",IF($B$2="","",SUMIFS('Daily Sale entry '!$S$2:$S$1501,'Daily Sale entry '!$P$2:$P$1501,$K102,'Daily Sale entry '!$Q$2:$Q$1501,"Credit Sale 赊销",'Daily Sale entry '!$O$2:$O$1501,$B$2)))</f>
        <v/>
      </c>
      <c r="N102" s="24">
        <f>IF($K102="","",IF($B$2="","",SUMIFS('Daily Sale entry '!$S$2:$S$1501,'Daily Sale entry '!$P$2:$P$1501,$K102,'Daily Sale entry '!$Q$2:$Q$1501,"Collection 收款",'Daily Sale entry '!$R$2:$R$1501,"Cash 现金",'Daily Sale entry '!$O$2:$O$1501,$B$2)))</f>
        <v/>
      </c>
      <c r="O102" s="24">
        <f>IF($K102="","",IF($B$2="","",SUMIFS('Daily Sale entry '!$S$2:$S$1501,'Daily Sale entry '!$P$2:$P$1501,$K102,'Daily Sale entry '!$Q$2:$Q$1501,"Collection 收款",'Daily Sale entry '!$R$2:$R$1501,"Cheque 支票",'Daily Sale entry '!$O$2:$O$1501,$B$2)))</f>
        <v/>
      </c>
      <c r="P102" s="24">
        <f>IF($K102="","",IF($B$2="","",SUMIFS('Daily Sale entry '!$AC$2:$AC$1501,'Daily Sale entry '!$AA$2:$AA$1501,$K102,'Daily Sale entry '!$Z$2:$Z$1501,"Online collection 网上收款",'Daily Sale entry '!$X$2:$X$1501,$B$2)))</f>
        <v/>
      </c>
      <c r="Q102" s="24">
        <f>IF($K102="","",IF($B$2="","",SUMIFS('Debtor Ledger'!$K$2:$K$3001,'Debtor Ledger'!$C$2:$C$3001,$K102,'Debtor Ledger'!$B$2:$B$3001,$B$2)))</f>
        <v/>
      </c>
      <c r="R102" s="24">
        <f>IF($K102="","",IF($B$2="","",ROUND(L102+M102-N102-O102-P102-Q102,2)))</f>
        <v/>
      </c>
      <c r="S102" s="21">
        <f>IF(K102="","",IF($B$2="","",IF(ABS(M102)+ABS(N102)+ABS(O102)+ABS(P102)+ABS(Q102)&gt;0,1,0)))</f>
        <v/>
      </c>
      <c r="T102" s="21">
        <f>IF(S102=1,SUM($S$6:S102),"")</f>
        <v/>
      </c>
    </row>
    <row r="103">
      <c r="A103">
        <f>IF($I103="","",INDEX(K$6:K$305,$I103))</f>
        <v/>
      </c>
      <c r="B103" s="6">
        <f>IF($I103="","",INDEX(L$6:L$305,$I103))</f>
        <v/>
      </c>
      <c r="C103" s="6">
        <f>IF($I103="","",INDEX(M$6:M$305,$I103))</f>
        <v/>
      </c>
      <c r="D103" s="6">
        <f>IF($I103="","",INDEX(N$6:N$305,$I103))</f>
        <v/>
      </c>
      <c r="E103" s="6">
        <f>IF($I103="","",INDEX(O$6:O$305,$I103))</f>
        <v/>
      </c>
      <c r="F103" s="6">
        <f>IF($I103="","",INDEX(P$6:P$305,$I103))</f>
        <v/>
      </c>
      <c r="G103" s="6">
        <f>IF($I103="","",INDEX(Q$6:Q$305,$I103))</f>
        <v/>
      </c>
      <c r="H103" s="6">
        <f>IF($I103="","",INDEX(R$6:R$305,$I103))</f>
        <v/>
      </c>
      <c r="I103" s="21">
        <f>IFERROR(MATCH(98,$T$6:$T$305,0),"")</f>
        <v/>
      </c>
      <c r="K103" s="21">
        <f>IF('Debtor Summary'!A102="","",'Debtor Summary'!A102)</f>
        <v/>
      </c>
      <c r="L103" s="24">
        <f>IF($K103="","",IF($B$2="","",ROUND(SUMIFS('Opening Balance'!$F$4:$F$303,'Opening Balance'!$G$4:$G$303,$K103)+SUMIFS('Daily Sale entry '!$S$2:$S$1501,'Daily Sale entry '!$P$2:$P$1501,$K103,'Daily Sale entry '!$Q$2:$Q$1501,"Credit Sale 赊销",'Daily Sale entry '!$O$2:$O$1501,"&lt;"&amp;$B$2)-SUMIFS('Daily Sale entry '!$S$2:$S$1501,'Daily Sale entry '!$P$2:$P$1501,$K103,'Daily Sale entry '!$Q$2:$Q$1501,"Collection 收款",'Daily Sale entry '!$O$2:$O$1501,"&lt;"&amp;$B$2)-SUMIFS('Daily Sale entry '!$AC$2:$AC$1501,'Daily Sale entry '!$AA$2:$AA$1501,$K103,'Daily Sale entry '!$Z$2:$Z$1501,"Online collection 网上收款",'Daily Sale entry '!$X$2:$X$1501,"&lt;"&amp;$B$2)-SUMIFS('Debtor Ledger'!$K$2:$K$3001,'Debtor Ledger'!$C$2:$C$3001,$K103,'Debtor Ledger'!$B$2:$B$3001,"&lt;"&amp;$B$2),2)))</f>
        <v/>
      </c>
      <c r="M103" s="24">
        <f>IF($K103="","",IF($B$2="","",SUMIFS('Daily Sale entry '!$S$2:$S$1501,'Daily Sale entry '!$P$2:$P$1501,$K103,'Daily Sale entry '!$Q$2:$Q$1501,"Credit Sale 赊销",'Daily Sale entry '!$O$2:$O$1501,$B$2)))</f>
        <v/>
      </c>
      <c r="N103" s="24">
        <f>IF($K103="","",IF($B$2="","",SUMIFS('Daily Sale entry '!$S$2:$S$1501,'Daily Sale entry '!$P$2:$P$1501,$K103,'Daily Sale entry '!$Q$2:$Q$1501,"Collection 收款",'Daily Sale entry '!$R$2:$R$1501,"Cash 现金",'Daily Sale entry '!$O$2:$O$1501,$B$2)))</f>
        <v/>
      </c>
      <c r="O103" s="24">
        <f>IF($K103="","",IF($B$2="","",SUMIFS('Daily Sale entry '!$S$2:$S$1501,'Daily Sale entry '!$P$2:$P$1501,$K103,'Daily Sale entry '!$Q$2:$Q$1501,"Collection 收款",'Daily Sale entry '!$R$2:$R$1501,"Cheque 支票",'Daily Sale entry '!$O$2:$O$1501,$B$2)))</f>
        <v/>
      </c>
      <c r="P103" s="24">
        <f>IF($K103="","",IF($B$2="","",SUMIFS('Daily Sale entry '!$AC$2:$AC$1501,'Daily Sale entry '!$AA$2:$AA$1501,$K103,'Daily Sale entry '!$Z$2:$Z$1501,"Online collection 网上收款",'Daily Sale entry '!$X$2:$X$1501,$B$2)))</f>
        <v/>
      </c>
      <c r="Q103" s="24">
        <f>IF($K103="","",IF($B$2="","",SUMIFS('Debtor Ledger'!$K$2:$K$3001,'Debtor Ledger'!$C$2:$C$3001,$K103,'Debtor Ledger'!$B$2:$B$3001,$B$2)))</f>
        <v/>
      </c>
      <c r="R103" s="24">
        <f>IF($K103="","",IF($B$2="","",ROUND(L103+M103-N103-O103-P103-Q103,2)))</f>
        <v/>
      </c>
      <c r="S103" s="21">
        <f>IF(K103="","",IF($B$2="","",IF(ABS(M103)+ABS(N103)+ABS(O103)+ABS(P103)+ABS(Q103)&gt;0,1,0)))</f>
        <v/>
      </c>
      <c r="T103" s="21">
        <f>IF(S103=1,SUM($S$6:S103),"")</f>
        <v/>
      </c>
    </row>
    <row r="104">
      <c r="A104">
        <f>IF($I104="","",INDEX(K$6:K$305,$I104))</f>
        <v/>
      </c>
      <c r="B104" s="6">
        <f>IF($I104="","",INDEX(L$6:L$305,$I104))</f>
        <v/>
      </c>
      <c r="C104" s="6">
        <f>IF($I104="","",INDEX(M$6:M$305,$I104))</f>
        <v/>
      </c>
      <c r="D104" s="6">
        <f>IF($I104="","",INDEX(N$6:N$305,$I104))</f>
        <v/>
      </c>
      <c r="E104" s="6">
        <f>IF($I104="","",INDEX(O$6:O$305,$I104))</f>
        <v/>
      </c>
      <c r="F104" s="6">
        <f>IF($I104="","",INDEX(P$6:P$305,$I104))</f>
        <v/>
      </c>
      <c r="G104" s="6">
        <f>IF($I104="","",INDEX(Q$6:Q$305,$I104))</f>
        <v/>
      </c>
      <c r="H104" s="6">
        <f>IF($I104="","",INDEX(R$6:R$305,$I104))</f>
        <v/>
      </c>
      <c r="I104" s="21">
        <f>IFERROR(MATCH(99,$T$6:$T$305,0),"")</f>
        <v/>
      </c>
      <c r="K104" s="21">
        <f>IF('Debtor Summary'!A103="","",'Debtor Summary'!A103)</f>
        <v/>
      </c>
      <c r="L104" s="24">
        <f>IF($K104="","",IF($B$2="","",ROUND(SUMIFS('Opening Balance'!$F$4:$F$303,'Opening Balance'!$G$4:$G$303,$K104)+SUMIFS('Daily Sale entry '!$S$2:$S$1501,'Daily Sale entry '!$P$2:$P$1501,$K104,'Daily Sale entry '!$Q$2:$Q$1501,"Credit Sale 赊销",'Daily Sale entry '!$O$2:$O$1501,"&lt;"&amp;$B$2)-SUMIFS('Daily Sale entry '!$S$2:$S$1501,'Daily Sale entry '!$P$2:$P$1501,$K104,'Daily Sale entry '!$Q$2:$Q$1501,"Collection 收款",'Daily Sale entry '!$O$2:$O$1501,"&lt;"&amp;$B$2)-SUMIFS('Daily Sale entry '!$AC$2:$AC$1501,'Daily Sale entry '!$AA$2:$AA$1501,$K104,'Daily Sale entry '!$Z$2:$Z$1501,"Online collection 网上收款",'Daily Sale entry '!$X$2:$X$1501,"&lt;"&amp;$B$2)-SUMIFS('Debtor Ledger'!$K$2:$K$3001,'Debtor Ledger'!$C$2:$C$3001,$K104,'Debtor Ledger'!$B$2:$B$3001,"&lt;"&amp;$B$2),2)))</f>
        <v/>
      </c>
      <c r="M104" s="24">
        <f>IF($K104="","",IF($B$2="","",SUMIFS('Daily Sale entry '!$S$2:$S$1501,'Daily Sale entry '!$P$2:$P$1501,$K104,'Daily Sale entry '!$Q$2:$Q$1501,"Credit Sale 赊销",'Daily Sale entry '!$O$2:$O$1501,$B$2)))</f>
        <v/>
      </c>
      <c r="N104" s="24">
        <f>IF($K104="","",IF($B$2="","",SUMIFS('Daily Sale entry '!$S$2:$S$1501,'Daily Sale entry '!$P$2:$P$1501,$K104,'Daily Sale entry '!$Q$2:$Q$1501,"Collection 收款",'Daily Sale entry '!$R$2:$R$1501,"Cash 现金",'Daily Sale entry '!$O$2:$O$1501,$B$2)))</f>
        <v/>
      </c>
      <c r="O104" s="24">
        <f>IF($K104="","",IF($B$2="","",SUMIFS('Daily Sale entry '!$S$2:$S$1501,'Daily Sale entry '!$P$2:$P$1501,$K104,'Daily Sale entry '!$Q$2:$Q$1501,"Collection 收款",'Daily Sale entry '!$R$2:$R$1501,"Cheque 支票",'Daily Sale entry '!$O$2:$O$1501,$B$2)))</f>
        <v/>
      </c>
      <c r="P104" s="24">
        <f>IF($K104="","",IF($B$2="","",SUMIFS('Daily Sale entry '!$AC$2:$AC$1501,'Daily Sale entry '!$AA$2:$AA$1501,$K104,'Daily Sale entry '!$Z$2:$Z$1501,"Online collection 网上收款",'Daily Sale entry '!$X$2:$X$1501,$B$2)))</f>
        <v/>
      </c>
      <c r="Q104" s="24">
        <f>IF($K104="","",IF($B$2="","",SUMIFS('Debtor Ledger'!$K$2:$K$3001,'Debtor Ledger'!$C$2:$C$3001,$K104,'Debtor Ledger'!$B$2:$B$3001,$B$2)))</f>
        <v/>
      </c>
      <c r="R104" s="24">
        <f>IF($K104="","",IF($B$2="","",ROUND(L104+M104-N104-O104-P104-Q104,2)))</f>
        <v/>
      </c>
      <c r="S104" s="21">
        <f>IF(K104="","",IF($B$2="","",IF(ABS(M104)+ABS(N104)+ABS(O104)+ABS(P104)+ABS(Q104)&gt;0,1,0)))</f>
        <v/>
      </c>
      <c r="T104" s="21">
        <f>IF(S104=1,SUM($S$6:S104),"")</f>
        <v/>
      </c>
    </row>
    <row r="105">
      <c r="A105">
        <f>IF($I105="","",INDEX(K$6:K$305,$I105))</f>
        <v/>
      </c>
      <c r="B105" s="6">
        <f>IF($I105="","",INDEX(L$6:L$305,$I105))</f>
        <v/>
      </c>
      <c r="C105" s="6">
        <f>IF($I105="","",INDEX(M$6:M$305,$I105))</f>
        <v/>
      </c>
      <c r="D105" s="6">
        <f>IF($I105="","",INDEX(N$6:N$305,$I105))</f>
        <v/>
      </c>
      <c r="E105" s="6">
        <f>IF($I105="","",INDEX(O$6:O$305,$I105))</f>
        <v/>
      </c>
      <c r="F105" s="6">
        <f>IF($I105="","",INDEX(P$6:P$305,$I105))</f>
        <v/>
      </c>
      <c r="G105" s="6">
        <f>IF($I105="","",INDEX(Q$6:Q$305,$I105))</f>
        <v/>
      </c>
      <c r="H105" s="6">
        <f>IF($I105="","",INDEX(R$6:R$305,$I105))</f>
        <v/>
      </c>
      <c r="I105" s="21">
        <f>IFERROR(MATCH(100,$T$6:$T$305,0),"")</f>
        <v/>
      </c>
      <c r="K105" s="21">
        <f>IF('Debtor Summary'!A104="","",'Debtor Summary'!A104)</f>
        <v/>
      </c>
      <c r="L105" s="24">
        <f>IF($K105="","",IF($B$2="","",ROUND(SUMIFS('Opening Balance'!$F$4:$F$303,'Opening Balance'!$G$4:$G$303,$K105)+SUMIFS('Daily Sale entry '!$S$2:$S$1501,'Daily Sale entry '!$P$2:$P$1501,$K105,'Daily Sale entry '!$Q$2:$Q$1501,"Credit Sale 赊销",'Daily Sale entry '!$O$2:$O$1501,"&lt;"&amp;$B$2)-SUMIFS('Daily Sale entry '!$S$2:$S$1501,'Daily Sale entry '!$P$2:$P$1501,$K105,'Daily Sale entry '!$Q$2:$Q$1501,"Collection 收款",'Daily Sale entry '!$O$2:$O$1501,"&lt;"&amp;$B$2)-SUMIFS('Daily Sale entry '!$AC$2:$AC$1501,'Daily Sale entry '!$AA$2:$AA$1501,$K105,'Daily Sale entry '!$Z$2:$Z$1501,"Online collection 网上收款",'Daily Sale entry '!$X$2:$X$1501,"&lt;"&amp;$B$2)-SUMIFS('Debtor Ledger'!$K$2:$K$3001,'Debtor Ledger'!$C$2:$C$3001,$K105,'Debtor Ledger'!$B$2:$B$3001,"&lt;"&amp;$B$2),2)))</f>
        <v/>
      </c>
      <c r="M105" s="24">
        <f>IF($K105="","",IF($B$2="","",SUMIFS('Daily Sale entry '!$S$2:$S$1501,'Daily Sale entry '!$P$2:$P$1501,$K105,'Daily Sale entry '!$Q$2:$Q$1501,"Credit Sale 赊销",'Daily Sale entry '!$O$2:$O$1501,$B$2)))</f>
        <v/>
      </c>
      <c r="N105" s="24">
        <f>IF($K105="","",IF($B$2="","",SUMIFS('Daily Sale entry '!$S$2:$S$1501,'Daily Sale entry '!$P$2:$P$1501,$K105,'Daily Sale entry '!$Q$2:$Q$1501,"Collection 收款",'Daily Sale entry '!$R$2:$R$1501,"Cash 现金",'Daily Sale entry '!$O$2:$O$1501,$B$2)))</f>
        <v/>
      </c>
      <c r="O105" s="24">
        <f>IF($K105="","",IF($B$2="","",SUMIFS('Daily Sale entry '!$S$2:$S$1501,'Daily Sale entry '!$P$2:$P$1501,$K105,'Daily Sale entry '!$Q$2:$Q$1501,"Collection 收款",'Daily Sale entry '!$R$2:$R$1501,"Cheque 支票",'Daily Sale entry '!$O$2:$O$1501,$B$2)))</f>
        <v/>
      </c>
      <c r="P105" s="24">
        <f>IF($K105="","",IF($B$2="","",SUMIFS('Daily Sale entry '!$AC$2:$AC$1501,'Daily Sale entry '!$AA$2:$AA$1501,$K105,'Daily Sale entry '!$Z$2:$Z$1501,"Online collection 网上收款",'Daily Sale entry '!$X$2:$X$1501,$B$2)))</f>
        <v/>
      </c>
      <c r="Q105" s="24">
        <f>IF($K105="","",IF($B$2="","",SUMIFS('Debtor Ledger'!$K$2:$K$3001,'Debtor Ledger'!$C$2:$C$3001,$K105,'Debtor Ledger'!$B$2:$B$3001,$B$2)))</f>
        <v/>
      </c>
      <c r="R105" s="24">
        <f>IF($K105="","",IF($B$2="","",ROUND(L105+M105-N105-O105-P105-Q105,2)))</f>
        <v/>
      </c>
      <c r="S105" s="21">
        <f>IF(K105="","",IF($B$2="","",IF(ABS(M105)+ABS(N105)+ABS(O105)+ABS(P105)+ABS(Q105)&gt;0,1,0)))</f>
        <v/>
      </c>
      <c r="T105" s="21">
        <f>IF(S105=1,SUM($S$6:S105),"")</f>
        <v/>
      </c>
    </row>
    <row r="106">
      <c r="A106">
        <f>IF($I106="","",INDEX(K$6:K$305,$I106))</f>
        <v/>
      </c>
      <c r="B106" s="6">
        <f>IF($I106="","",INDEX(L$6:L$305,$I106))</f>
        <v/>
      </c>
      <c r="C106" s="6">
        <f>IF($I106="","",INDEX(M$6:M$305,$I106))</f>
        <v/>
      </c>
      <c r="D106" s="6">
        <f>IF($I106="","",INDEX(N$6:N$305,$I106))</f>
        <v/>
      </c>
      <c r="E106" s="6">
        <f>IF($I106="","",INDEX(O$6:O$305,$I106))</f>
        <v/>
      </c>
      <c r="F106" s="6">
        <f>IF($I106="","",INDEX(P$6:P$305,$I106))</f>
        <v/>
      </c>
      <c r="G106" s="6">
        <f>IF($I106="","",INDEX(Q$6:Q$305,$I106))</f>
        <v/>
      </c>
      <c r="H106" s="6">
        <f>IF($I106="","",INDEX(R$6:R$305,$I106))</f>
        <v/>
      </c>
      <c r="I106" s="21">
        <f>IFERROR(MATCH(101,$T$6:$T$305,0),"")</f>
        <v/>
      </c>
      <c r="K106" s="21">
        <f>IF('Debtor Summary'!A105="","",'Debtor Summary'!A105)</f>
        <v/>
      </c>
      <c r="L106" s="24">
        <f>IF($K106="","",IF($B$2="","",ROUND(SUMIFS('Opening Balance'!$F$4:$F$303,'Opening Balance'!$G$4:$G$303,$K106)+SUMIFS('Daily Sale entry '!$S$2:$S$1501,'Daily Sale entry '!$P$2:$P$1501,$K106,'Daily Sale entry '!$Q$2:$Q$1501,"Credit Sale 赊销",'Daily Sale entry '!$O$2:$O$1501,"&lt;"&amp;$B$2)-SUMIFS('Daily Sale entry '!$S$2:$S$1501,'Daily Sale entry '!$P$2:$P$1501,$K106,'Daily Sale entry '!$Q$2:$Q$1501,"Collection 收款",'Daily Sale entry '!$O$2:$O$1501,"&lt;"&amp;$B$2)-SUMIFS('Daily Sale entry '!$AC$2:$AC$1501,'Daily Sale entry '!$AA$2:$AA$1501,$K106,'Daily Sale entry '!$Z$2:$Z$1501,"Online collection 网上收款",'Daily Sale entry '!$X$2:$X$1501,"&lt;"&amp;$B$2)-SUMIFS('Debtor Ledger'!$K$2:$K$3001,'Debtor Ledger'!$C$2:$C$3001,$K106,'Debtor Ledger'!$B$2:$B$3001,"&lt;"&amp;$B$2),2)))</f>
        <v/>
      </c>
      <c r="M106" s="24">
        <f>IF($K106="","",IF($B$2="","",SUMIFS('Daily Sale entry '!$S$2:$S$1501,'Daily Sale entry '!$P$2:$P$1501,$K106,'Daily Sale entry '!$Q$2:$Q$1501,"Credit Sale 赊销",'Daily Sale entry '!$O$2:$O$1501,$B$2)))</f>
        <v/>
      </c>
      <c r="N106" s="24">
        <f>IF($K106="","",IF($B$2="","",SUMIFS('Daily Sale entry '!$S$2:$S$1501,'Daily Sale entry '!$P$2:$P$1501,$K106,'Daily Sale entry '!$Q$2:$Q$1501,"Collection 收款",'Daily Sale entry '!$R$2:$R$1501,"Cash 现金",'Daily Sale entry '!$O$2:$O$1501,$B$2)))</f>
        <v/>
      </c>
      <c r="O106" s="24">
        <f>IF($K106="","",IF($B$2="","",SUMIFS('Daily Sale entry '!$S$2:$S$1501,'Daily Sale entry '!$P$2:$P$1501,$K106,'Daily Sale entry '!$Q$2:$Q$1501,"Collection 收款",'Daily Sale entry '!$R$2:$R$1501,"Cheque 支票",'Daily Sale entry '!$O$2:$O$1501,$B$2)))</f>
        <v/>
      </c>
      <c r="P106" s="24">
        <f>IF($K106="","",IF($B$2="","",SUMIFS('Daily Sale entry '!$AC$2:$AC$1501,'Daily Sale entry '!$AA$2:$AA$1501,$K106,'Daily Sale entry '!$Z$2:$Z$1501,"Online collection 网上收款",'Daily Sale entry '!$X$2:$X$1501,$B$2)))</f>
        <v/>
      </c>
      <c r="Q106" s="24">
        <f>IF($K106="","",IF($B$2="","",SUMIFS('Debtor Ledger'!$K$2:$K$3001,'Debtor Ledger'!$C$2:$C$3001,$K106,'Debtor Ledger'!$B$2:$B$3001,$B$2)))</f>
        <v/>
      </c>
      <c r="R106" s="24">
        <f>IF($K106="","",IF($B$2="","",ROUND(L106+M106-N106-O106-P106-Q106,2)))</f>
        <v/>
      </c>
      <c r="S106" s="21">
        <f>IF(K106="","",IF($B$2="","",IF(ABS(M106)+ABS(N106)+ABS(O106)+ABS(P106)+ABS(Q106)&gt;0,1,0)))</f>
        <v/>
      </c>
      <c r="T106" s="21">
        <f>IF(S106=1,SUM($S$6:S106),"")</f>
        <v/>
      </c>
    </row>
    <row r="107">
      <c r="A107">
        <f>IF($I107="","",INDEX(K$6:K$305,$I107))</f>
        <v/>
      </c>
      <c r="B107" s="6">
        <f>IF($I107="","",INDEX(L$6:L$305,$I107))</f>
        <v/>
      </c>
      <c r="C107" s="6">
        <f>IF($I107="","",INDEX(M$6:M$305,$I107))</f>
        <v/>
      </c>
      <c r="D107" s="6">
        <f>IF($I107="","",INDEX(N$6:N$305,$I107))</f>
        <v/>
      </c>
      <c r="E107" s="6">
        <f>IF($I107="","",INDEX(O$6:O$305,$I107))</f>
        <v/>
      </c>
      <c r="F107" s="6">
        <f>IF($I107="","",INDEX(P$6:P$305,$I107))</f>
        <v/>
      </c>
      <c r="G107" s="6">
        <f>IF($I107="","",INDEX(Q$6:Q$305,$I107))</f>
        <v/>
      </c>
      <c r="H107" s="6">
        <f>IF($I107="","",INDEX(R$6:R$305,$I107))</f>
        <v/>
      </c>
      <c r="I107" s="21">
        <f>IFERROR(MATCH(102,$T$6:$T$305,0),"")</f>
        <v/>
      </c>
      <c r="K107" s="21">
        <f>IF('Debtor Summary'!A106="","",'Debtor Summary'!A106)</f>
        <v/>
      </c>
      <c r="L107" s="24">
        <f>IF($K107="","",IF($B$2="","",ROUND(SUMIFS('Opening Balance'!$F$4:$F$303,'Opening Balance'!$G$4:$G$303,$K107)+SUMIFS('Daily Sale entry '!$S$2:$S$1501,'Daily Sale entry '!$P$2:$P$1501,$K107,'Daily Sale entry '!$Q$2:$Q$1501,"Credit Sale 赊销",'Daily Sale entry '!$O$2:$O$1501,"&lt;"&amp;$B$2)-SUMIFS('Daily Sale entry '!$S$2:$S$1501,'Daily Sale entry '!$P$2:$P$1501,$K107,'Daily Sale entry '!$Q$2:$Q$1501,"Collection 收款",'Daily Sale entry '!$O$2:$O$1501,"&lt;"&amp;$B$2)-SUMIFS('Daily Sale entry '!$AC$2:$AC$1501,'Daily Sale entry '!$AA$2:$AA$1501,$K107,'Daily Sale entry '!$Z$2:$Z$1501,"Online collection 网上收款",'Daily Sale entry '!$X$2:$X$1501,"&lt;"&amp;$B$2)-SUMIFS('Debtor Ledger'!$K$2:$K$3001,'Debtor Ledger'!$C$2:$C$3001,$K107,'Debtor Ledger'!$B$2:$B$3001,"&lt;"&amp;$B$2),2)))</f>
        <v/>
      </c>
      <c r="M107" s="24">
        <f>IF($K107="","",IF($B$2="","",SUMIFS('Daily Sale entry '!$S$2:$S$1501,'Daily Sale entry '!$P$2:$P$1501,$K107,'Daily Sale entry '!$Q$2:$Q$1501,"Credit Sale 赊销",'Daily Sale entry '!$O$2:$O$1501,$B$2)))</f>
        <v/>
      </c>
      <c r="N107" s="24">
        <f>IF($K107="","",IF($B$2="","",SUMIFS('Daily Sale entry '!$S$2:$S$1501,'Daily Sale entry '!$P$2:$P$1501,$K107,'Daily Sale entry '!$Q$2:$Q$1501,"Collection 收款",'Daily Sale entry '!$R$2:$R$1501,"Cash 现金",'Daily Sale entry '!$O$2:$O$1501,$B$2)))</f>
        <v/>
      </c>
      <c r="O107" s="24">
        <f>IF($K107="","",IF($B$2="","",SUMIFS('Daily Sale entry '!$S$2:$S$1501,'Daily Sale entry '!$P$2:$P$1501,$K107,'Daily Sale entry '!$Q$2:$Q$1501,"Collection 收款",'Daily Sale entry '!$R$2:$R$1501,"Cheque 支票",'Daily Sale entry '!$O$2:$O$1501,$B$2)))</f>
        <v/>
      </c>
      <c r="P107" s="24">
        <f>IF($K107="","",IF($B$2="","",SUMIFS('Daily Sale entry '!$AC$2:$AC$1501,'Daily Sale entry '!$AA$2:$AA$1501,$K107,'Daily Sale entry '!$Z$2:$Z$1501,"Online collection 网上收款",'Daily Sale entry '!$X$2:$X$1501,$B$2)))</f>
        <v/>
      </c>
      <c r="Q107" s="24">
        <f>IF($K107="","",IF($B$2="","",SUMIFS('Debtor Ledger'!$K$2:$K$3001,'Debtor Ledger'!$C$2:$C$3001,$K107,'Debtor Ledger'!$B$2:$B$3001,$B$2)))</f>
        <v/>
      </c>
      <c r="R107" s="24">
        <f>IF($K107="","",IF($B$2="","",ROUND(L107+M107-N107-O107-P107-Q107,2)))</f>
        <v/>
      </c>
      <c r="S107" s="21">
        <f>IF(K107="","",IF($B$2="","",IF(ABS(M107)+ABS(N107)+ABS(O107)+ABS(P107)+ABS(Q107)&gt;0,1,0)))</f>
        <v/>
      </c>
      <c r="T107" s="21">
        <f>IF(S107=1,SUM($S$6:S107),"")</f>
        <v/>
      </c>
    </row>
    <row r="108">
      <c r="A108">
        <f>IF($I108="","",INDEX(K$6:K$305,$I108))</f>
        <v/>
      </c>
      <c r="B108" s="6">
        <f>IF($I108="","",INDEX(L$6:L$305,$I108))</f>
        <v/>
      </c>
      <c r="C108" s="6">
        <f>IF($I108="","",INDEX(M$6:M$305,$I108))</f>
        <v/>
      </c>
      <c r="D108" s="6">
        <f>IF($I108="","",INDEX(N$6:N$305,$I108))</f>
        <v/>
      </c>
      <c r="E108" s="6">
        <f>IF($I108="","",INDEX(O$6:O$305,$I108))</f>
        <v/>
      </c>
      <c r="F108" s="6">
        <f>IF($I108="","",INDEX(P$6:P$305,$I108))</f>
        <v/>
      </c>
      <c r="G108" s="6">
        <f>IF($I108="","",INDEX(Q$6:Q$305,$I108))</f>
        <v/>
      </c>
      <c r="H108" s="6">
        <f>IF($I108="","",INDEX(R$6:R$305,$I108))</f>
        <v/>
      </c>
      <c r="I108" s="21">
        <f>IFERROR(MATCH(103,$T$6:$T$305,0),"")</f>
        <v/>
      </c>
      <c r="K108" s="21">
        <f>IF('Debtor Summary'!A107="","",'Debtor Summary'!A107)</f>
        <v/>
      </c>
      <c r="L108" s="24">
        <f>IF($K108="","",IF($B$2="","",ROUND(SUMIFS('Opening Balance'!$F$4:$F$303,'Opening Balance'!$G$4:$G$303,$K108)+SUMIFS('Daily Sale entry '!$S$2:$S$1501,'Daily Sale entry '!$P$2:$P$1501,$K108,'Daily Sale entry '!$Q$2:$Q$1501,"Credit Sale 赊销",'Daily Sale entry '!$O$2:$O$1501,"&lt;"&amp;$B$2)-SUMIFS('Daily Sale entry '!$S$2:$S$1501,'Daily Sale entry '!$P$2:$P$1501,$K108,'Daily Sale entry '!$Q$2:$Q$1501,"Collection 收款",'Daily Sale entry '!$O$2:$O$1501,"&lt;"&amp;$B$2)-SUMIFS('Daily Sale entry '!$AC$2:$AC$1501,'Daily Sale entry '!$AA$2:$AA$1501,$K108,'Daily Sale entry '!$Z$2:$Z$1501,"Online collection 网上收款",'Daily Sale entry '!$X$2:$X$1501,"&lt;"&amp;$B$2)-SUMIFS('Debtor Ledger'!$K$2:$K$3001,'Debtor Ledger'!$C$2:$C$3001,$K108,'Debtor Ledger'!$B$2:$B$3001,"&lt;"&amp;$B$2),2)))</f>
        <v/>
      </c>
      <c r="M108" s="24">
        <f>IF($K108="","",IF($B$2="","",SUMIFS('Daily Sale entry '!$S$2:$S$1501,'Daily Sale entry '!$P$2:$P$1501,$K108,'Daily Sale entry '!$Q$2:$Q$1501,"Credit Sale 赊销",'Daily Sale entry '!$O$2:$O$1501,$B$2)))</f>
        <v/>
      </c>
      <c r="N108" s="24">
        <f>IF($K108="","",IF($B$2="","",SUMIFS('Daily Sale entry '!$S$2:$S$1501,'Daily Sale entry '!$P$2:$P$1501,$K108,'Daily Sale entry '!$Q$2:$Q$1501,"Collection 收款",'Daily Sale entry '!$R$2:$R$1501,"Cash 现金",'Daily Sale entry '!$O$2:$O$1501,$B$2)))</f>
        <v/>
      </c>
      <c r="O108" s="24">
        <f>IF($K108="","",IF($B$2="","",SUMIFS('Daily Sale entry '!$S$2:$S$1501,'Daily Sale entry '!$P$2:$P$1501,$K108,'Daily Sale entry '!$Q$2:$Q$1501,"Collection 收款",'Daily Sale entry '!$R$2:$R$1501,"Cheque 支票",'Daily Sale entry '!$O$2:$O$1501,$B$2)))</f>
        <v/>
      </c>
      <c r="P108" s="24">
        <f>IF($K108="","",IF($B$2="","",SUMIFS('Daily Sale entry '!$AC$2:$AC$1501,'Daily Sale entry '!$AA$2:$AA$1501,$K108,'Daily Sale entry '!$Z$2:$Z$1501,"Online collection 网上收款",'Daily Sale entry '!$X$2:$X$1501,$B$2)))</f>
        <v/>
      </c>
      <c r="Q108" s="24">
        <f>IF($K108="","",IF($B$2="","",SUMIFS('Debtor Ledger'!$K$2:$K$3001,'Debtor Ledger'!$C$2:$C$3001,$K108,'Debtor Ledger'!$B$2:$B$3001,$B$2)))</f>
        <v/>
      </c>
      <c r="R108" s="24">
        <f>IF($K108="","",IF($B$2="","",ROUND(L108+M108-N108-O108-P108-Q108,2)))</f>
        <v/>
      </c>
      <c r="S108" s="21">
        <f>IF(K108="","",IF($B$2="","",IF(ABS(M108)+ABS(N108)+ABS(O108)+ABS(P108)+ABS(Q108)&gt;0,1,0)))</f>
        <v/>
      </c>
      <c r="T108" s="21">
        <f>IF(S108=1,SUM($S$6:S108),"")</f>
        <v/>
      </c>
    </row>
    <row r="109">
      <c r="A109">
        <f>IF($I109="","",INDEX(K$6:K$305,$I109))</f>
        <v/>
      </c>
      <c r="B109" s="6">
        <f>IF($I109="","",INDEX(L$6:L$305,$I109))</f>
        <v/>
      </c>
      <c r="C109" s="6">
        <f>IF($I109="","",INDEX(M$6:M$305,$I109))</f>
        <v/>
      </c>
      <c r="D109" s="6">
        <f>IF($I109="","",INDEX(N$6:N$305,$I109))</f>
        <v/>
      </c>
      <c r="E109" s="6">
        <f>IF($I109="","",INDEX(O$6:O$305,$I109))</f>
        <v/>
      </c>
      <c r="F109" s="6">
        <f>IF($I109="","",INDEX(P$6:P$305,$I109))</f>
        <v/>
      </c>
      <c r="G109" s="6">
        <f>IF($I109="","",INDEX(Q$6:Q$305,$I109))</f>
        <v/>
      </c>
      <c r="H109" s="6">
        <f>IF($I109="","",INDEX(R$6:R$305,$I109))</f>
        <v/>
      </c>
      <c r="I109" s="21">
        <f>IFERROR(MATCH(104,$T$6:$T$305,0),"")</f>
        <v/>
      </c>
      <c r="K109" s="21">
        <f>IF('Debtor Summary'!A108="","",'Debtor Summary'!A108)</f>
        <v/>
      </c>
      <c r="L109" s="24">
        <f>IF($K109="","",IF($B$2="","",ROUND(SUMIFS('Opening Balance'!$F$4:$F$303,'Opening Balance'!$G$4:$G$303,$K109)+SUMIFS('Daily Sale entry '!$S$2:$S$1501,'Daily Sale entry '!$P$2:$P$1501,$K109,'Daily Sale entry '!$Q$2:$Q$1501,"Credit Sale 赊销",'Daily Sale entry '!$O$2:$O$1501,"&lt;"&amp;$B$2)-SUMIFS('Daily Sale entry '!$S$2:$S$1501,'Daily Sale entry '!$P$2:$P$1501,$K109,'Daily Sale entry '!$Q$2:$Q$1501,"Collection 收款",'Daily Sale entry '!$O$2:$O$1501,"&lt;"&amp;$B$2)-SUMIFS('Daily Sale entry '!$AC$2:$AC$1501,'Daily Sale entry '!$AA$2:$AA$1501,$K109,'Daily Sale entry '!$Z$2:$Z$1501,"Online collection 网上收款",'Daily Sale entry '!$X$2:$X$1501,"&lt;"&amp;$B$2)-SUMIFS('Debtor Ledger'!$K$2:$K$3001,'Debtor Ledger'!$C$2:$C$3001,$K109,'Debtor Ledger'!$B$2:$B$3001,"&lt;"&amp;$B$2),2)))</f>
        <v/>
      </c>
      <c r="M109" s="24">
        <f>IF($K109="","",IF($B$2="","",SUMIFS('Daily Sale entry '!$S$2:$S$1501,'Daily Sale entry '!$P$2:$P$1501,$K109,'Daily Sale entry '!$Q$2:$Q$1501,"Credit Sale 赊销",'Daily Sale entry '!$O$2:$O$1501,$B$2)))</f>
        <v/>
      </c>
      <c r="N109" s="24">
        <f>IF($K109="","",IF($B$2="","",SUMIFS('Daily Sale entry '!$S$2:$S$1501,'Daily Sale entry '!$P$2:$P$1501,$K109,'Daily Sale entry '!$Q$2:$Q$1501,"Collection 收款",'Daily Sale entry '!$R$2:$R$1501,"Cash 现金",'Daily Sale entry '!$O$2:$O$1501,$B$2)))</f>
        <v/>
      </c>
      <c r="O109" s="24">
        <f>IF($K109="","",IF($B$2="","",SUMIFS('Daily Sale entry '!$S$2:$S$1501,'Daily Sale entry '!$P$2:$P$1501,$K109,'Daily Sale entry '!$Q$2:$Q$1501,"Collection 收款",'Daily Sale entry '!$R$2:$R$1501,"Cheque 支票",'Daily Sale entry '!$O$2:$O$1501,$B$2)))</f>
        <v/>
      </c>
      <c r="P109" s="24">
        <f>IF($K109="","",IF($B$2="","",SUMIFS('Daily Sale entry '!$AC$2:$AC$1501,'Daily Sale entry '!$AA$2:$AA$1501,$K109,'Daily Sale entry '!$Z$2:$Z$1501,"Online collection 网上收款",'Daily Sale entry '!$X$2:$X$1501,$B$2)))</f>
        <v/>
      </c>
      <c r="Q109" s="24">
        <f>IF($K109="","",IF($B$2="","",SUMIFS('Debtor Ledger'!$K$2:$K$3001,'Debtor Ledger'!$C$2:$C$3001,$K109,'Debtor Ledger'!$B$2:$B$3001,$B$2)))</f>
        <v/>
      </c>
      <c r="R109" s="24">
        <f>IF($K109="","",IF($B$2="","",ROUND(L109+M109-N109-O109-P109-Q109,2)))</f>
        <v/>
      </c>
      <c r="S109" s="21">
        <f>IF(K109="","",IF($B$2="","",IF(ABS(M109)+ABS(N109)+ABS(O109)+ABS(P109)+ABS(Q109)&gt;0,1,0)))</f>
        <v/>
      </c>
      <c r="T109" s="21">
        <f>IF(S109=1,SUM($S$6:S109),"")</f>
        <v/>
      </c>
    </row>
    <row r="110">
      <c r="A110">
        <f>IF($I110="","",INDEX(K$6:K$305,$I110))</f>
        <v/>
      </c>
      <c r="B110" s="6">
        <f>IF($I110="","",INDEX(L$6:L$305,$I110))</f>
        <v/>
      </c>
      <c r="C110" s="6">
        <f>IF($I110="","",INDEX(M$6:M$305,$I110))</f>
        <v/>
      </c>
      <c r="D110" s="6">
        <f>IF($I110="","",INDEX(N$6:N$305,$I110))</f>
        <v/>
      </c>
      <c r="E110" s="6">
        <f>IF($I110="","",INDEX(O$6:O$305,$I110))</f>
        <v/>
      </c>
      <c r="F110" s="6">
        <f>IF($I110="","",INDEX(P$6:P$305,$I110))</f>
        <v/>
      </c>
      <c r="G110" s="6">
        <f>IF($I110="","",INDEX(Q$6:Q$305,$I110))</f>
        <v/>
      </c>
      <c r="H110" s="6">
        <f>IF($I110="","",INDEX(R$6:R$305,$I110))</f>
        <v/>
      </c>
      <c r="I110" s="21">
        <f>IFERROR(MATCH(105,$T$6:$T$305,0),"")</f>
        <v/>
      </c>
      <c r="K110" s="21">
        <f>IF('Debtor Summary'!A109="","",'Debtor Summary'!A109)</f>
        <v/>
      </c>
      <c r="L110" s="24">
        <f>IF($K110="","",IF($B$2="","",ROUND(SUMIFS('Opening Balance'!$F$4:$F$303,'Opening Balance'!$G$4:$G$303,$K110)+SUMIFS('Daily Sale entry '!$S$2:$S$1501,'Daily Sale entry '!$P$2:$P$1501,$K110,'Daily Sale entry '!$Q$2:$Q$1501,"Credit Sale 赊销",'Daily Sale entry '!$O$2:$O$1501,"&lt;"&amp;$B$2)-SUMIFS('Daily Sale entry '!$S$2:$S$1501,'Daily Sale entry '!$P$2:$P$1501,$K110,'Daily Sale entry '!$Q$2:$Q$1501,"Collection 收款",'Daily Sale entry '!$O$2:$O$1501,"&lt;"&amp;$B$2)-SUMIFS('Daily Sale entry '!$AC$2:$AC$1501,'Daily Sale entry '!$AA$2:$AA$1501,$K110,'Daily Sale entry '!$Z$2:$Z$1501,"Online collection 网上收款",'Daily Sale entry '!$X$2:$X$1501,"&lt;"&amp;$B$2)-SUMIFS('Debtor Ledger'!$K$2:$K$3001,'Debtor Ledger'!$C$2:$C$3001,$K110,'Debtor Ledger'!$B$2:$B$3001,"&lt;"&amp;$B$2),2)))</f>
        <v/>
      </c>
      <c r="M110" s="24">
        <f>IF($K110="","",IF($B$2="","",SUMIFS('Daily Sale entry '!$S$2:$S$1501,'Daily Sale entry '!$P$2:$P$1501,$K110,'Daily Sale entry '!$Q$2:$Q$1501,"Credit Sale 赊销",'Daily Sale entry '!$O$2:$O$1501,$B$2)))</f>
        <v/>
      </c>
      <c r="N110" s="24">
        <f>IF($K110="","",IF($B$2="","",SUMIFS('Daily Sale entry '!$S$2:$S$1501,'Daily Sale entry '!$P$2:$P$1501,$K110,'Daily Sale entry '!$Q$2:$Q$1501,"Collection 收款",'Daily Sale entry '!$R$2:$R$1501,"Cash 现金",'Daily Sale entry '!$O$2:$O$1501,$B$2)))</f>
        <v/>
      </c>
      <c r="O110" s="24">
        <f>IF($K110="","",IF($B$2="","",SUMIFS('Daily Sale entry '!$S$2:$S$1501,'Daily Sale entry '!$P$2:$P$1501,$K110,'Daily Sale entry '!$Q$2:$Q$1501,"Collection 收款",'Daily Sale entry '!$R$2:$R$1501,"Cheque 支票",'Daily Sale entry '!$O$2:$O$1501,$B$2)))</f>
        <v/>
      </c>
      <c r="P110" s="24">
        <f>IF($K110="","",IF($B$2="","",SUMIFS('Daily Sale entry '!$AC$2:$AC$1501,'Daily Sale entry '!$AA$2:$AA$1501,$K110,'Daily Sale entry '!$Z$2:$Z$1501,"Online collection 网上收款",'Daily Sale entry '!$X$2:$X$1501,$B$2)))</f>
        <v/>
      </c>
      <c r="Q110" s="24">
        <f>IF($K110="","",IF($B$2="","",SUMIFS('Debtor Ledger'!$K$2:$K$3001,'Debtor Ledger'!$C$2:$C$3001,$K110,'Debtor Ledger'!$B$2:$B$3001,$B$2)))</f>
        <v/>
      </c>
      <c r="R110" s="24">
        <f>IF($K110="","",IF($B$2="","",ROUND(L110+M110-N110-O110-P110-Q110,2)))</f>
        <v/>
      </c>
      <c r="S110" s="21">
        <f>IF(K110="","",IF($B$2="","",IF(ABS(M110)+ABS(N110)+ABS(O110)+ABS(P110)+ABS(Q110)&gt;0,1,0)))</f>
        <v/>
      </c>
      <c r="T110" s="21">
        <f>IF(S110=1,SUM($S$6:S110),"")</f>
        <v/>
      </c>
    </row>
    <row r="111">
      <c r="A111">
        <f>IF($I111="","",INDEX(K$6:K$305,$I111))</f>
        <v/>
      </c>
      <c r="B111" s="6">
        <f>IF($I111="","",INDEX(L$6:L$305,$I111))</f>
        <v/>
      </c>
      <c r="C111" s="6">
        <f>IF($I111="","",INDEX(M$6:M$305,$I111))</f>
        <v/>
      </c>
      <c r="D111" s="6">
        <f>IF($I111="","",INDEX(N$6:N$305,$I111))</f>
        <v/>
      </c>
      <c r="E111" s="6">
        <f>IF($I111="","",INDEX(O$6:O$305,$I111))</f>
        <v/>
      </c>
      <c r="F111" s="6">
        <f>IF($I111="","",INDEX(P$6:P$305,$I111))</f>
        <v/>
      </c>
      <c r="G111" s="6">
        <f>IF($I111="","",INDEX(Q$6:Q$305,$I111))</f>
        <v/>
      </c>
      <c r="H111" s="6">
        <f>IF($I111="","",INDEX(R$6:R$305,$I111))</f>
        <v/>
      </c>
      <c r="I111" s="21">
        <f>IFERROR(MATCH(106,$T$6:$T$305,0),"")</f>
        <v/>
      </c>
      <c r="K111" s="21">
        <f>IF('Debtor Summary'!A110="","",'Debtor Summary'!A110)</f>
        <v/>
      </c>
      <c r="L111" s="24">
        <f>IF($K111="","",IF($B$2="","",ROUND(SUMIFS('Opening Balance'!$F$4:$F$303,'Opening Balance'!$G$4:$G$303,$K111)+SUMIFS('Daily Sale entry '!$S$2:$S$1501,'Daily Sale entry '!$P$2:$P$1501,$K111,'Daily Sale entry '!$Q$2:$Q$1501,"Credit Sale 赊销",'Daily Sale entry '!$O$2:$O$1501,"&lt;"&amp;$B$2)-SUMIFS('Daily Sale entry '!$S$2:$S$1501,'Daily Sale entry '!$P$2:$P$1501,$K111,'Daily Sale entry '!$Q$2:$Q$1501,"Collection 收款",'Daily Sale entry '!$O$2:$O$1501,"&lt;"&amp;$B$2)-SUMIFS('Daily Sale entry '!$AC$2:$AC$1501,'Daily Sale entry '!$AA$2:$AA$1501,$K111,'Daily Sale entry '!$Z$2:$Z$1501,"Online collection 网上收款",'Daily Sale entry '!$X$2:$X$1501,"&lt;"&amp;$B$2)-SUMIFS('Debtor Ledger'!$K$2:$K$3001,'Debtor Ledger'!$C$2:$C$3001,$K111,'Debtor Ledger'!$B$2:$B$3001,"&lt;"&amp;$B$2),2)))</f>
        <v/>
      </c>
      <c r="M111" s="24">
        <f>IF($K111="","",IF($B$2="","",SUMIFS('Daily Sale entry '!$S$2:$S$1501,'Daily Sale entry '!$P$2:$P$1501,$K111,'Daily Sale entry '!$Q$2:$Q$1501,"Credit Sale 赊销",'Daily Sale entry '!$O$2:$O$1501,$B$2)))</f>
        <v/>
      </c>
      <c r="N111" s="24">
        <f>IF($K111="","",IF($B$2="","",SUMIFS('Daily Sale entry '!$S$2:$S$1501,'Daily Sale entry '!$P$2:$P$1501,$K111,'Daily Sale entry '!$Q$2:$Q$1501,"Collection 收款",'Daily Sale entry '!$R$2:$R$1501,"Cash 现金",'Daily Sale entry '!$O$2:$O$1501,$B$2)))</f>
        <v/>
      </c>
      <c r="O111" s="24">
        <f>IF($K111="","",IF($B$2="","",SUMIFS('Daily Sale entry '!$S$2:$S$1501,'Daily Sale entry '!$P$2:$P$1501,$K111,'Daily Sale entry '!$Q$2:$Q$1501,"Collection 收款",'Daily Sale entry '!$R$2:$R$1501,"Cheque 支票",'Daily Sale entry '!$O$2:$O$1501,$B$2)))</f>
        <v/>
      </c>
      <c r="P111" s="24">
        <f>IF($K111="","",IF($B$2="","",SUMIFS('Daily Sale entry '!$AC$2:$AC$1501,'Daily Sale entry '!$AA$2:$AA$1501,$K111,'Daily Sale entry '!$Z$2:$Z$1501,"Online collection 网上收款",'Daily Sale entry '!$X$2:$X$1501,$B$2)))</f>
        <v/>
      </c>
      <c r="Q111" s="24">
        <f>IF($K111="","",IF($B$2="","",SUMIFS('Debtor Ledger'!$K$2:$K$3001,'Debtor Ledger'!$C$2:$C$3001,$K111,'Debtor Ledger'!$B$2:$B$3001,$B$2)))</f>
        <v/>
      </c>
      <c r="R111" s="24">
        <f>IF($K111="","",IF($B$2="","",ROUND(L111+M111-N111-O111-P111-Q111,2)))</f>
        <v/>
      </c>
      <c r="S111" s="21">
        <f>IF(K111="","",IF($B$2="","",IF(ABS(M111)+ABS(N111)+ABS(O111)+ABS(P111)+ABS(Q111)&gt;0,1,0)))</f>
        <v/>
      </c>
      <c r="T111" s="21">
        <f>IF(S111=1,SUM($S$6:S111),"")</f>
        <v/>
      </c>
    </row>
    <row r="112">
      <c r="A112">
        <f>IF($I112="","",INDEX(K$6:K$305,$I112))</f>
        <v/>
      </c>
      <c r="B112" s="6">
        <f>IF($I112="","",INDEX(L$6:L$305,$I112))</f>
        <v/>
      </c>
      <c r="C112" s="6">
        <f>IF($I112="","",INDEX(M$6:M$305,$I112))</f>
        <v/>
      </c>
      <c r="D112" s="6">
        <f>IF($I112="","",INDEX(N$6:N$305,$I112))</f>
        <v/>
      </c>
      <c r="E112" s="6">
        <f>IF($I112="","",INDEX(O$6:O$305,$I112))</f>
        <v/>
      </c>
      <c r="F112" s="6">
        <f>IF($I112="","",INDEX(P$6:P$305,$I112))</f>
        <v/>
      </c>
      <c r="G112" s="6">
        <f>IF($I112="","",INDEX(Q$6:Q$305,$I112))</f>
        <v/>
      </c>
      <c r="H112" s="6">
        <f>IF($I112="","",INDEX(R$6:R$305,$I112))</f>
        <v/>
      </c>
      <c r="I112" s="21">
        <f>IFERROR(MATCH(107,$T$6:$T$305,0),"")</f>
        <v/>
      </c>
      <c r="K112" s="21">
        <f>IF('Debtor Summary'!A111="","",'Debtor Summary'!A111)</f>
        <v/>
      </c>
      <c r="L112" s="24">
        <f>IF($K112="","",IF($B$2="","",ROUND(SUMIFS('Opening Balance'!$F$4:$F$303,'Opening Balance'!$G$4:$G$303,$K112)+SUMIFS('Daily Sale entry '!$S$2:$S$1501,'Daily Sale entry '!$P$2:$P$1501,$K112,'Daily Sale entry '!$Q$2:$Q$1501,"Credit Sale 赊销",'Daily Sale entry '!$O$2:$O$1501,"&lt;"&amp;$B$2)-SUMIFS('Daily Sale entry '!$S$2:$S$1501,'Daily Sale entry '!$P$2:$P$1501,$K112,'Daily Sale entry '!$Q$2:$Q$1501,"Collection 收款",'Daily Sale entry '!$O$2:$O$1501,"&lt;"&amp;$B$2)-SUMIFS('Daily Sale entry '!$AC$2:$AC$1501,'Daily Sale entry '!$AA$2:$AA$1501,$K112,'Daily Sale entry '!$Z$2:$Z$1501,"Online collection 网上收款",'Daily Sale entry '!$X$2:$X$1501,"&lt;"&amp;$B$2)-SUMIFS('Debtor Ledger'!$K$2:$K$3001,'Debtor Ledger'!$C$2:$C$3001,$K112,'Debtor Ledger'!$B$2:$B$3001,"&lt;"&amp;$B$2),2)))</f>
        <v/>
      </c>
      <c r="M112" s="24">
        <f>IF($K112="","",IF($B$2="","",SUMIFS('Daily Sale entry '!$S$2:$S$1501,'Daily Sale entry '!$P$2:$P$1501,$K112,'Daily Sale entry '!$Q$2:$Q$1501,"Credit Sale 赊销",'Daily Sale entry '!$O$2:$O$1501,$B$2)))</f>
        <v/>
      </c>
      <c r="N112" s="24">
        <f>IF($K112="","",IF($B$2="","",SUMIFS('Daily Sale entry '!$S$2:$S$1501,'Daily Sale entry '!$P$2:$P$1501,$K112,'Daily Sale entry '!$Q$2:$Q$1501,"Collection 收款",'Daily Sale entry '!$R$2:$R$1501,"Cash 现金",'Daily Sale entry '!$O$2:$O$1501,$B$2)))</f>
        <v/>
      </c>
      <c r="O112" s="24">
        <f>IF($K112="","",IF($B$2="","",SUMIFS('Daily Sale entry '!$S$2:$S$1501,'Daily Sale entry '!$P$2:$P$1501,$K112,'Daily Sale entry '!$Q$2:$Q$1501,"Collection 收款",'Daily Sale entry '!$R$2:$R$1501,"Cheque 支票",'Daily Sale entry '!$O$2:$O$1501,$B$2)))</f>
        <v/>
      </c>
      <c r="P112" s="24">
        <f>IF($K112="","",IF($B$2="","",SUMIFS('Daily Sale entry '!$AC$2:$AC$1501,'Daily Sale entry '!$AA$2:$AA$1501,$K112,'Daily Sale entry '!$Z$2:$Z$1501,"Online collection 网上收款",'Daily Sale entry '!$X$2:$X$1501,$B$2)))</f>
        <v/>
      </c>
      <c r="Q112" s="24">
        <f>IF($K112="","",IF($B$2="","",SUMIFS('Debtor Ledger'!$K$2:$K$3001,'Debtor Ledger'!$C$2:$C$3001,$K112,'Debtor Ledger'!$B$2:$B$3001,$B$2)))</f>
        <v/>
      </c>
      <c r="R112" s="24">
        <f>IF($K112="","",IF($B$2="","",ROUND(L112+M112-N112-O112-P112-Q112,2)))</f>
        <v/>
      </c>
      <c r="S112" s="21">
        <f>IF(K112="","",IF($B$2="","",IF(ABS(M112)+ABS(N112)+ABS(O112)+ABS(P112)+ABS(Q112)&gt;0,1,0)))</f>
        <v/>
      </c>
      <c r="T112" s="21">
        <f>IF(S112=1,SUM($S$6:S112),"")</f>
        <v/>
      </c>
    </row>
    <row r="113">
      <c r="A113">
        <f>IF($I113="","",INDEX(K$6:K$305,$I113))</f>
        <v/>
      </c>
      <c r="B113" s="6">
        <f>IF($I113="","",INDEX(L$6:L$305,$I113))</f>
        <v/>
      </c>
      <c r="C113" s="6">
        <f>IF($I113="","",INDEX(M$6:M$305,$I113))</f>
        <v/>
      </c>
      <c r="D113" s="6">
        <f>IF($I113="","",INDEX(N$6:N$305,$I113))</f>
        <v/>
      </c>
      <c r="E113" s="6">
        <f>IF($I113="","",INDEX(O$6:O$305,$I113))</f>
        <v/>
      </c>
      <c r="F113" s="6">
        <f>IF($I113="","",INDEX(P$6:P$305,$I113))</f>
        <v/>
      </c>
      <c r="G113" s="6">
        <f>IF($I113="","",INDEX(Q$6:Q$305,$I113))</f>
        <v/>
      </c>
      <c r="H113" s="6">
        <f>IF($I113="","",INDEX(R$6:R$305,$I113))</f>
        <v/>
      </c>
      <c r="I113" s="21">
        <f>IFERROR(MATCH(108,$T$6:$T$305,0),"")</f>
        <v/>
      </c>
      <c r="K113" s="21">
        <f>IF('Debtor Summary'!A112="","",'Debtor Summary'!A112)</f>
        <v/>
      </c>
      <c r="L113" s="24">
        <f>IF($K113="","",IF($B$2="","",ROUND(SUMIFS('Opening Balance'!$F$4:$F$303,'Opening Balance'!$G$4:$G$303,$K113)+SUMIFS('Daily Sale entry '!$S$2:$S$1501,'Daily Sale entry '!$P$2:$P$1501,$K113,'Daily Sale entry '!$Q$2:$Q$1501,"Credit Sale 赊销",'Daily Sale entry '!$O$2:$O$1501,"&lt;"&amp;$B$2)-SUMIFS('Daily Sale entry '!$S$2:$S$1501,'Daily Sale entry '!$P$2:$P$1501,$K113,'Daily Sale entry '!$Q$2:$Q$1501,"Collection 收款",'Daily Sale entry '!$O$2:$O$1501,"&lt;"&amp;$B$2)-SUMIFS('Daily Sale entry '!$AC$2:$AC$1501,'Daily Sale entry '!$AA$2:$AA$1501,$K113,'Daily Sale entry '!$Z$2:$Z$1501,"Online collection 网上收款",'Daily Sale entry '!$X$2:$X$1501,"&lt;"&amp;$B$2)-SUMIFS('Debtor Ledger'!$K$2:$K$3001,'Debtor Ledger'!$C$2:$C$3001,$K113,'Debtor Ledger'!$B$2:$B$3001,"&lt;"&amp;$B$2),2)))</f>
        <v/>
      </c>
      <c r="M113" s="24">
        <f>IF($K113="","",IF($B$2="","",SUMIFS('Daily Sale entry '!$S$2:$S$1501,'Daily Sale entry '!$P$2:$P$1501,$K113,'Daily Sale entry '!$Q$2:$Q$1501,"Credit Sale 赊销",'Daily Sale entry '!$O$2:$O$1501,$B$2)))</f>
        <v/>
      </c>
      <c r="N113" s="24">
        <f>IF($K113="","",IF($B$2="","",SUMIFS('Daily Sale entry '!$S$2:$S$1501,'Daily Sale entry '!$P$2:$P$1501,$K113,'Daily Sale entry '!$Q$2:$Q$1501,"Collection 收款",'Daily Sale entry '!$R$2:$R$1501,"Cash 现金",'Daily Sale entry '!$O$2:$O$1501,$B$2)))</f>
        <v/>
      </c>
      <c r="O113" s="24">
        <f>IF($K113="","",IF($B$2="","",SUMIFS('Daily Sale entry '!$S$2:$S$1501,'Daily Sale entry '!$P$2:$P$1501,$K113,'Daily Sale entry '!$Q$2:$Q$1501,"Collection 收款",'Daily Sale entry '!$R$2:$R$1501,"Cheque 支票",'Daily Sale entry '!$O$2:$O$1501,$B$2)))</f>
        <v/>
      </c>
      <c r="P113" s="24">
        <f>IF($K113="","",IF($B$2="","",SUMIFS('Daily Sale entry '!$AC$2:$AC$1501,'Daily Sale entry '!$AA$2:$AA$1501,$K113,'Daily Sale entry '!$Z$2:$Z$1501,"Online collection 网上收款",'Daily Sale entry '!$X$2:$X$1501,$B$2)))</f>
        <v/>
      </c>
      <c r="Q113" s="24">
        <f>IF($K113="","",IF($B$2="","",SUMIFS('Debtor Ledger'!$K$2:$K$3001,'Debtor Ledger'!$C$2:$C$3001,$K113,'Debtor Ledger'!$B$2:$B$3001,$B$2)))</f>
        <v/>
      </c>
      <c r="R113" s="24">
        <f>IF($K113="","",IF($B$2="","",ROUND(L113+M113-N113-O113-P113-Q113,2)))</f>
        <v/>
      </c>
      <c r="S113" s="21">
        <f>IF(K113="","",IF($B$2="","",IF(ABS(M113)+ABS(N113)+ABS(O113)+ABS(P113)+ABS(Q113)&gt;0,1,0)))</f>
        <v/>
      </c>
      <c r="T113" s="21">
        <f>IF(S113=1,SUM($S$6:S113),"")</f>
        <v/>
      </c>
    </row>
    <row r="114">
      <c r="A114">
        <f>IF($I114="","",INDEX(K$6:K$305,$I114))</f>
        <v/>
      </c>
      <c r="B114" s="6">
        <f>IF($I114="","",INDEX(L$6:L$305,$I114))</f>
        <v/>
      </c>
      <c r="C114" s="6">
        <f>IF($I114="","",INDEX(M$6:M$305,$I114))</f>
        <v/>
      </c>
      <c r="D114" s="6">
        <f>IF($I114="","",INDEX(N$6:N$305,$I114))</f>
        <v/>
      </c>
      <c r="E114" s="6">
        <f>IF($I114="","",INDEX(O$6:O$305,$I114))</f>
        <v/>
      </c>
      <c r="F114" s="6">
        <f>IF($I114="","",INDEX(P$6:P$305,$I114))</f>
        <v/>
      </c>
      <c r="G114" s="6">
        <f>IF($I114="","",INDEX(Q$6:Q$305,$I114))</f>
        <v/>
      </c>
      <c r="H114" s="6">
        <f>IF($I114="","",INDEX(R$6:R$305,$I114))</f>
        <v/>
      </c>
      <c r="I114" s="21">
        <f>IFERROR(MATCH(109,$T$6:$T$305,0),"")</f>
        <v/>
      </c>
      <c r="K114" s="21">
        <f>IF('Debtor Summary'!A113="","",'Debtor Summary'!A113)</f>
        <v/>
      </c>
      <c r="L114" s="24">
        <f>IF($K114="","",IF($B$2="","",ROUND(SUMIFS('Opening Balance'!$F$4:$F$303,'Opening Balance'!$G$4:$G$303,$K114)+SUMIFS('Daily Sale entry '!$S$2:$S$1501,'Daily Sale entry '!$P$2:$P$1501,$K114,'Daily Sale entry '!$Q$2:$Q$1501,"Credit Sale 赊销",'Daily Sale entry '!$O$2:$O$1501,"&lt;"&amp;$B$2)-SUMIFS('Daily Sale entry '!$S$2:$S$1501,'Daily Sale entry '!$P$2:$P$1501,$K114,'Daily Sale entry '!$Q$2:$Q$1501,"Collection 收款",'Daily Sale entry '!$O$2:$O$1501,"&lt;"&amp;$B$2)-SUMIFS('Daily Sale entry '!$AC$2:$AC$1501,'Daily Sale entry '!$AA$2:$AA$1501,$K114,'Daily Sale entry '!$Z$2:$Z$1501,"Online collection 网上收款",'Daily Sale entry '!$X$2:$X$1501,"&lt;"&amp;$B$2)-SUMIFS('Debtor Ledger'!$K$2:$K$3001,'Debtor Ledger'!$C$2:$C$3001,$K114,'Debtor Ledger'!$B$2:$B$3001,"&lt;"&amp;$B$2),2)))</f>
        <v/>
      </c>
      <c r="M114" s="24">
        <f>IF($K114="","",IF($B$2="","",SUMIFS('Daily Sale entry '!$S$2:$S$1501,'Daily Sale entry '!$P$2:$P$1501,$K114,'Daily Sale entry '!$Q$2:$Q$1501,"Credit Sale 赊销",'Daily Sale entry '!$O$2:$O$1501,$B$2)))</f>
        <v/>
      </c>
      <c r="N114" s="24">
        <f>IF($K114="","",IF($B$2="","",SUMIFS('Daily Sale entry '!$S$2:$S$1501,'Daily Sale entry '!$P$2:$P$1501,$K114,'Daily Sale entry '!$Q$2:$Q$1501,"Collection 收款",'Daily Sale entry '!$R$2:$R$1501,"Cash 现金",'Daily Sale entry '!$O$2:$O$1501,$B$2)))</f>
        <v/>
      </c>
      <c r="O114" s="24">
        <f>IF($K114="","",IF($B$2="","",SUMIFS('Daily Sale entry '!$S$2:$S$1501,'Daily Sale entry '!$P$2:$P$1501,$K114,'Daily Sale entry '!$Q$2:$Q$1501,"Collection 收款",'Daily Sale entry '!$R$2:$R$1501,"Cheque 支票",'Daily Sale entry '!$O$2:$O$1501,$B$2)))</f>
        <v/>
      </c>
      <c r="P114" s="24">
        <f>IF($K114="","",IF($B$2="","",SUMIFS('Daily Sale entry '!$AC$2:$AC$1501,'Daily Sale entry '!$AA$2:$AA$1501,$K114,'Daily Sale entry '!$Z$2:$Z$1501,"Online collection 网上收款",'Daily Sale entry '!$X$2:$X$1501,$B$2)))</f>
        <v/>
      </c>
      <c r="Q114" s="24">
        <f>IF($K114="","",IF($B$2="","",SUMIFS('Debtor Ledger'!$K$2:$K$3001,'Debtor Ledger'!$C$2:$C$3001,$K114,'Debtor Ledger'!$B$2:$B$3001,$B$2)))</f>
        <v/>
      </c>
      <c r="R114" s="24">
        <f>IF($K114="","",IF($B$2="","",ROUND(L114+M114-N114-O114-P114-Q114,2)))</f>
        <v/>
      </c>
      <c r="S114" s="21">
        <f>IF(K114="","",IF($B$2="","",IF(ABS(M114)+ABS(N114)+ABS(O114)+ABS(P114)+ABS(Q114)&gt;0,1,0)))</f>
        <v/>
      </c>
      <c r="T114" s="21">
        <f>IF(S114=1,SUM($S$6:S114),"")</f>
        <v/>
      </c>
    </row>
    <row r="115">
      <c r="A115">
        <f>IF($I115="","",INDEX(K$6:K$305,$I115))</f>
        <v/>
      </c>
      <c r="B115" s="6">
        <f>IF($I115="","",INDEX(L$6:L$305,$I115))</f>
        <v/>
      </c>
      <c r="C115" s="6">
        <f>IF($I115="","",INDEX(M$6:M$305,$I115))</f>
        <v/>
      </c>
      <c r="D115" s="6">
        <f>IF($I115="","",INDEX(N$6:N$305,$I115))</f>
        <v/>
      </c>
      <c r="E115" s="6">
        <f>IF($I115="","",INDEX(O$6:O$305,$I115))</f>
        <v/>
      </c>
      <c r="F115" s="6">
        <f>IF($I115="","",INDEX(P$6:P$305,$I115))</f>
        <v/>
      </c>
      <c r="G115" s="6">
        <f>IF($I115="","",INDEX(Q$6:Q$305,$I115))</f>
        <v/>
      </c>
      <c r="H115" s="6">
        <f>IF($I115="","",INDEX(R$6:R$305,$I115))</f>
        <v/>
      </c>
      <c r="I115" s="21">
        <f>IFERROR(MATCH(110,$T$6:$T$305,0),"")</f>
        <v/>
      </c>
      <c r="K115" s="21">
        <f>IF('Debtor Summary'!A114="","",'Debtor Summary'!A114)</f>
        <v/>
      </c>
      <c r="L115" s="24">
        <f>IF($K115="","",IF($B$2="","",ROUND(SUMIFS('Opening Balance'!$F$4:$F$303,'Opening Balance'!$G$4:$G$303,$K115)+SUMIFS('Daily Sale entry '!$S$2:$S$1501,'Daily Sale entry '!$P$2:$P$1501,$K115,'Daily Sale entry '!$Q$2:$Q$1501,"Credit Sale 赊销",'Daily Sale entry '!$O$2:$O$1501,"&lt;"&amp;$B$2)-SUMIFS('Daily Sale entry '!$S$2:$S$1501,'Daily Sale entry '!$P$2:$P$1501,$K115,'Daily Sale entry '!$Q$2:$Q$1501,"Collection 收款",'Daily Sale entry '!$O$2:$O$1501,"&lt;"&amp;$B$2)-SUMIFS('Daily Sale entry '!$AC$2:$AC$1501,'Daily Sale entry '!$AA$2:$AA$1501,$K115,'Daily Sale entry '!$Z$2:$Z$1501,"Online collection 网上收款",'Daily Sale entry '!$X$2:$X$1501,"&lt;"&amp;$B$2)-SUMIFS('Debtor Ledger'!$K$2:$K$3001,'Debtor Ledger'!$C$2:$C$3001,$K115,'Debtor Ledger'!$B$2:$B$3001,"&lt;"&amp;$B$2),2)))</f>
        <v/>
      </c>
      <c r="M115" s="24">
        <f>IF($K115="","",IF($B$2="","",SUMIFS('Daily Sale entry '!$S$2:$S$1501,'Daily Sale entry '!$P$2:$P$1501,$K115,'Daily Sale entry '!$Q$2:$Q$1501,"Credit Sale 赊销",'Daily Sale entry '!$O$2:$O$1501,$B$2)))</f>
        <v/>
      </c>
      <c r="N115" s="24">
        <f>IF($K115="","",IF($B$2="","",SUMIFS('Daily Sale entry '!$S$2:$S$1501,'Daily Sale entry '!$P$2:$P$1501,$K115,'Daily Sale entry '!$Q$2:$Q$1501,"Collection 收款",'Daily Sale entry '!$R$2:$R$1501,"Cash 现金",'Daily Sale entry '!$O$2:$O$1501,$B$2)))</f>
        <v/>
      </c>
      <c r="O115" s="24">
        <f>IF($K115="","",IF($B$2="","",SUMIFS('Daily Sale entry '!$S$2:$S$1501,'Daily Sale entry '!$P$2:$P$1501,$K115,'Daily Sale entry '!$Q$2:$Q$1501,"Collection 收款",'Daily Sale entry '!$R$2:$R$1501,"Cheque 支票",'Daily Sale entry '!$O$2:$O$1501,$B$2)))</f>
        <v/>
      </c>
      <c r="P115" s="24">
        <f>IF($K115="","",IF($B$2="","",SUMIFS('Daily Sale entry '!$AC$2:$AC$1501,'Daily Sale entry '!$AA$2:$AA$1501,$K115,'Daily Sale entry '!$Z$2:$Z$1501,"Online collection 网上收款",'Daily Sale entry '!$X$2:$X$1501,$B$2)))</f>
        <v/>
      </c>
      <c r="Q115" s="24">
        <f>IF($K115="","",IF($B$2="","",SUMIFS('Debtor Ledger'!$K$2:$K$3001,'Debtor Ledger'!$C$2:$C$3001,$K115,'Debtor Ledger'!$B$2:$B$3001,$B$2)))</f>
        <v/>
      </c>
      <c r="R115" s="24">
        <f>IF($K115="","",IF($B$2="","",ROUND(L115+M115-N115-O115-P115-Q115,2)))</f>
        <v/>
      </c>
      <c r="S115" s="21">
        <f>IF(K115="","",IF($B$2="","",IF(ABS(M115)+ABS(N115)+ABS(O115)+ABS(P115)+ABS(Q115)&gt;0,1,0)))</f>
        <v/>
      </c>
      <c r="T115" s="21">
        <f>IF(S115=1,SUM($S$6:S115),"")</f>
        <v/>
      </c>
    </row>
    <row r="116">
      <c r="A116">
        <f>IF($I116="","",INDEX(K$6:K$305,$I116))</f>
        <v/>
      </c>
      <c r="B116" s="6">
        <f>IF($I116="","",INDEX(L$6:L$305,$I116))</f>
        <v/>
      </c>
      <c r="C116" s="6">
        <f>IF($I116="","",INDEX(M$6:M$305,$I116))</f>
        <v/>
      </c>
      <c r="D116" s="6">
        <f>IF($I116="","",INDEX(N$6:N$305,$I116))</f>
        <v/>
      </c>
      <c r="E116" s="6">
        <f>IF($I116="","",INDEX(O$6:O$305,$I116))</f>
        <v/>
      </c>
      <c r="F116" s="6">
        <f>IF($I116="","",INDEX(P$6:P$305,$I116))</f>
        <v/>
      </c>
      <c r="G116" s="6">
        <f>IF($I116="","",INDEX(Q$6:Q$305,$I116))</f>
        <v/>
      </c>
      <c r="H116" s="6">
        <f>IF($I116="","",INDEX(R$6:R$305,$I116))</f>
        <v/>
      </c>
      <c r="I116" s="21">
        <f>IFERROR(MATCH(111,$T$6:$T$305,0),"")</f>
        <v/>
      </c>
      <c r="K116" s="21">
        <f>IF('Debtor Summary'!A115="","",'Debtor Summary'!A115)</f>
        <v/>
      </c>
      <c r="L116" s="24">
        <f>IF($K116="","",IF($B$2="","",ROUND(SUMIFS('Opening Balance'!$F$4:$F$303,'Opening Balance'!$G$4:$G$303,$K116)+SUMIFS('Daily Sale entry '!$S$2:$S$1501,'Daily Sale entry '!$P$2:$P$1501,$K116,'Daily Sale entry '!$Q$2:$Q$1501,"Credit Sale 赊销",'Daily Sale entry '!$O$2:$O$1501,"&lt;"&amp;$B$2)-SUMIFS('Daily Sale entry '!$S$2:$S$1501,'Daily Sale entry '!$P$2:$P$1501,$K116,'Daily Sale entry '!$Q$2:$Q$1501,"Collection 收款",'Daily Sale entry '!$O$2:$O$1501,"&lt;"&amp;$B$2)-SUMIFS('Daily Sale entry '!$AC$2:$AC$1501,'Daily Sale entry '!$AA$2:$AA$1501,$K116,'Daily Sale entry '!$Z$2:$Z$1501,"Online collection 网上收款",'Daily Sale entry '!$X$2:$X$1501,"&lt;"&amp;$B$2)-SUMIFS('Debtor Ledger'!$K$2:$K$3001,'Debtor Ledger'!$C$2:$C$3001,$K116,'Debtor Ledger'!$B$2:$B$3001,"&lt;"&amp;$B$2),2)))</f>
        <v/>
      </c>
      <c r="M116" s="24">
        <f>IF($K116="","",IF($B$2="","",SUMIFS('Daily Sale entry '!$S$2:$S$1501,'Daily Sale entry '!$P$2:$P$1501,$K116,'Daily Sale entry '!$Q$2:$Q$1501,"Credit Sale 赊销",'Daily Sale entry '!$O$2:$O$1501,$B$2)))</f>
        <v/>
      </c>
      <c r="N116" s="24">
        <f>IF($K116="","",IF($B$2="","",SUMIFS('Daily Sale entry '!$S$2:$S$1501,'Daily Sale entry '!$P$2:$P$1501,$K116,'Daily Sale entry '!$Q$2:$Q$1501,"Collection 收款",'Daily Sale entry '!$R$2:$R$1501,"Cash 现金",'Daily Sale entry '!$O$2:$O$1501,$B$2)))</f>
        <v/>
      </c>
      <c r="O116" s="24">
        <f>IF($K116="","",IF($B$2="","",SUMIFS('Daily Sale entry '!$S$2:$S$1501,'Daily Sale entry '!$P$2:$P$1501,$K116,'Daily Sale entry '!$Q$2:$Q$1501,"Collection 收款",'Daily Sale entry '!$R$2:$R$1501,"Cheque 支票",'Daily Sale entry '!$O$2:$O$1501,$B$2)))</f>
        <v/>
      </c>
      <c r="P116" s="24">
        <f>IF($K116="","",IF($B$2="","",SUMIFS('Daily Sale entry '!$AC$2:$AC$1501,'Daily Sale entry '!$AA$2:$AA$1501,$K116,'Daily Sale entry '!$Z$2:$Z$1501,"Online collection 网上收款",'Daily Sale entry '!$X$2:$X$1501,$B$2)))</f>
        <v/>
      </c>
      <c r="Q116" s="24">
        <f>IF($K116="","",IF($B$2="","",SUMIFS('Debtor Ledger'!$K$2:$K$3001,'Debtor Ledger'!$C$2:$C$3001,$K116,'Debtor Ledger'!$B$2:$B$3001,$B$2)))</f>
        <v/>
      </c>
      <c r="R116" s="24">
        <f>IF($K116="","",IF($B$2="","",ROUND(L116+M116-N116-O116-P116-Q116,2)))</f>
        <v/>
      </c>
      <c r="S116" s="21">
        <f>IF(K116="","",IF($B$2="","",IF(ABS(M116)+ABS(N116)+ABS(O116)+ABS(P116)+ABS(Q116)&gt;0,1,0)))</f>
        <v/>
      </c>
      <c r="T116" s="21">
        <f>IF(S116=1,SUM($S$6:S116),"")</f>
        <v/>
      </c>
    </row>
    <row r="117">
      <c r="A117">
        <f>IF($I117="","",INDEX(K$6:K$305,$I117))</f>
        <v/>
      </c>
      <c r="B117" s="6">
        <f>IF($I117="","",INDEX(L$6:L$305,$I117))</f>
        <v/>
      </c>
      <c r="C117" s="6">
        <f>IF($I117="","",INDEX(M$6:M$305,$I117))</f>
        <v/>
      </c>
      <c r="D117" s="6">
        <f>IF($I117="","",INDEX(N$6:N$305,$I117))</f>
        <v/>
      </c>
      <c r="E117" s="6">
        <f>IF($I117="","",INDEX(O$6:O$305,$I117))</f>
        <v/>
      </c>
      <c r="F117" s="6">
        <f>IF($I117="","",INDEX(P$6:P$305,$I117))</f>
        <v/>
      </c>
      <c r="G117" s="6">
        <f>IF($I117="","",INDEX(Q$6:Q$305,$I117))</f>
        <v/>
      </c>
      <c r="H117" s="6">
        <f>IF($I117="","",INDEX(R$6:R$305,$I117))</f>
        <v/>
      </c>
      <c r="I117" s="21">
        <f>IFERROR(MATCH(112,$T$6:$T$305,0),"")</f>
        <v/>
      </c>
      <c r="K117" s="21">
        <f>IF('Debtor Summary'!A116="","",'Debtor Summary'!A116)</f>
        <v/>
      </c>
      <c r="L117" s="24">
        <f>IF($K117="","",IF($B$2="","",ROUND(SUMIFS('Opening Balance'!$F$4:$F$303,'Opening Balance'!$G$4:$G$303,$K117)+SUMIFS('Daily Sale entry '!$S$2:$S$1501,'Daily Sale entry '!$P$2:$P$1501,$K117,'Daily Sale entry '!$Q$2:$Q$1501,"Credit Sale 赊销",'Daily Sale entry '!$O$2:$O$1501,"&lt;"&amp;$B$2)-SUMIFS('Daily Sale entry '!$S$2:$S$1501,'Daily Sale entry '!$P$2:$P$1501,$K117,'Daily Sale entry '!$Q$2:$Q$1501,"Collection 收款",'Daily Sale entry '!$O$2:$O$1501,"&lt;"&amp;$B$2)-SUMIFS('Daily Sale entry '!$AC$2:$AC$1501,'Daily Sale entry '!$AA$2:$AA$1501,$K117,'Daily Sale entry '!$Z$2:$Z$1501,"Online collection 网上收款",'Daily Sale entry '!$X$2:$X$1501,"&lt;"&amp;$B$2)-SUMIFS('Debtor Ledger'!$K$2:$K$3001,'Debtor Ledger'!$C$2:$C$3001,$K117,'Debtor Ledger'!$B$2:$B$3001,"&lt;"&amp;$B$2),2)))</f>
        <v/>
      </c>
      <c r="M117" s="24">
        <f>IF($K117="","",IF($B$2="","",SUMIFS('Daily Sale entry '!$S$2:$S$1501,'Daily Sale entry '!$P$2:$P$1501,$K117,'Daily Sale entry '!$Q$2:$Q$1501,"Credit Sale 赊销",'Daily Sale entry '!$O$2:$O$1501,$B$2)))</f>
        <v/>
      </c>
      <c r="N117" s="24">
        <f>IF($K117="","",IF($B$2="","",SUMIFS('Daily Sale entry '!$S$2:$S$1501,'Daily Sale entry '!$P$2:$P$1501,$K117,'Daily Sale entry '!$Q$2:$Q$1501,"Collection 收款",'Daily Sale entry '!$R$2:$R$1501,"Cash 现金",'Daily Sale entry '!$O$2:$O$1501,$B$2)))</f>
        <v/>
      </c>
      <c r="O117" s="24">
        <f>IF($K117="","",IF($B$2="","",SUMIFS('Daily Sale entry '!$S$2:$S$1501,'Daily Sale entry '!$P$2:$P$1501,$K117,'Daily Sale entry '!$Q$2:$Q$1501,"Collection 收款",'Daily Sale entry '!$R$2:$R$1501,"Cheque 支票",'Daily Sale entry '!$O$2:$O$1501,$B$2)))</f>
        <v/>
      </c>
      <c r="P117" s="24">
        <f>IF($K117="","",IF($B$2="","",SUMIFS('Daily Sale entry '!$AC$2:$AC$1501,'Daily Sale entry '!$AA$2:$AA$1501,$K117,'Daily Sale entry '!$Z$2:$Z$1501,"Online collection 网上收款",'Daily Sale entry '!$X$2:$X$1501,$B$2)))</f>
        <v/>
      </c>
      <c r="Q117" s="24">
        <f>IF($K117="","",IF($B$2="","",SUMIFS('Debtor Ledger'!$K$2:$K$3001,'Debtor Ledger'!$C$2:$C$3001,$K117,'Debtor Ledger'!$B$2:$B$3001,$B$2)))</f>
        <v/>
      </c>
      <c r="R117" s="24">
        <f>IF($K117="","",IF($B$2="","",ROUND(L117+M117-N117-O117-P117-Q117,2)))</f>
        <v/>
      </c>
      <c r="S117" s="21">
        <f>IF(K117="","",IF($B$2="","",IF(ABS(M117)+ABS(N117)+ABS(O117)+ABS(P117)+ABS(Q117)&gt;0,1,0)))</f>
        <v/>
      </c>
      <c r="T117" s="21">
        <f>IF(S117=1,SUM($S$6:S117),"")</f>
        <v/>
      </c>
    </row>
    <row r="118">
      <c r="A118">
        <f>IF($I118="","",INDEX(K$6:K$305,$I118))</f>
        <v/>
      </c>
      <c r="B118" s="6">
        <f>IF($I118="","",INDEX(L$6:L$305,$I118))</f>
        <v/>
      </c>
      <c r="C118" s="6">
        <f>IF($I118="","",INDEX(M$6:M$305,$I118))</f>
        <v/>
      </c>
      <c r="D118" s="6">
        <f>IF($I118="","",INDEX(N$6:N$305,$I118))</f>
        <v/>
      </c>
      <c r="E118" s="6">
        <f>IF($I118="","",INDEX(O$6:O$305,$I118))</f>
        <v/>
      </c>
      <c r="F118" s="6">
        <f>IF($I118="","",INDEX(P$6:P$305,$I118))</f>
        <v/>
      </c>
      <c r="G118" s="6">
        <f>IF($I118="","",INDEX(Q$6:Q$305,$I118))</f>
        <v/>
      </c>
      <c r="H118" s="6">
        <f>IF($I118="","",INDEX(R$6:R$305,$I118))</f>
        <v/>
      </c>
      <c r="I118" s="21">
        <f>IFERROR(MATCH(113,$T$6:$T$305,0),"")</f>
        <v/>
      </c>
      <c r="K118" s="21">
        <f>IF('Debtor Summary'!A117="","",'Debtor Summary'!A117)</f>
        <v/>
      </c>
      <c r="L118" s="24">
        <f>IF($K118="","",IF($B$2="","",ROUND(SUMIFS('Opening Balance'!$F$4:$F$303,'Opening Balance'!$G$4:$G$303,$K118)+SUMIFS('Daily Sale entry '!$S$2:$S$1501,'Daily Sale entry '!$P$2:$P$1501,$K118,'Daily Sale entry '!$Q$2:$Q$1501,"Credit Sale 赊销",'Daily Sale entry '!$O$2:$O$1501,"&lt;"&amp;$B$2)-SUMIFS('Daily Sale entry '!$S$2:$S$1501,'Daily Sale entry '!$P$2:$P$1501,$K118,'Daily Sale entry '!$Q$2:$Q$1501,"Collection 收款",'Daily Sale entry '!$O$2:$O$1501,"&lt;"&amp;$B$2)-SUMIFS('Daily Sale entry '!$AC$2:$AC$1501,'Daily Sale entry '!$AA$2:$AA$1501,$K118,'Daily Sale entry '!$Z$2:$Z$1501,"Online collection 网上收款",'Daily Sale entry '!$X$2:$X$1501,"&lt;"&amp;$B$2)-SUMIFS('Debtor Ledger'!$K$2:$K$3001,'Debtor Ledger'!$C$2:$C$3001,$K118,'Debtor Ledger'!$B$2:$B$3001,"&lt;"&amp;$B$2),2)))</f>
        <v/>
      </c>
      <c r="M118" s="24">
        <f>IF($K118="","",IF($B$2="","",SUMIFS('Daily Sale entry '!$S$2:$S$1501,'Daily Sale entry '!$P$2:$P$1501,$K118,'Daily Sale entry '!$Q$2:$Q$1501,"Credit Sale 赊销",'Daily Sale entry '!$O$2:$O$1501,$B$2)))</f>
        <v/>
      </c>
      <c r="N118" s="24">
        <f>IF($K118="","",IF($B$2="","",SUMIFS('Daily Sale entry '!$S$2:$S$1501,'Daily Sale entry '!$P$2:$P$1501,$K118,'Daily Sale entry '!$Q$2:$Q$1501,"Collection 收款",'Daily Sale entry '!$R$2:$R$1501,"Cash 现金",'Daily Sale entry '!$O$2:$O$1501,$B$2)))</f>
        <v/>
      </c>
      <c r="O118" s="24">
        <f>IF($K118="","",IF($B$2="","",SUMIFS('Daily Sale entry '!$S$2:$S$1501,'Daily Sale entry '!$P$2:$P$1501,$K118,'Daily Sale entry '!$Q$2:$Q$1501,"Collection 收款",'Daily Sale entry '!$R$2:$R$1501,"Cheque 支票",'Daily Sale entry '!$O$2:$O$1501,$B$2)))</f>
        <v/>
      </c>
      <c r="P118" s="24">
        <f>IF($K118="","",IF($B$2="","",SUMIFS('Daily Sale entry '!$AC$2:$AC$1501,'Daily Sale entry '!$AA$2:$AA$1501,$K118,'Daily Sale entry '!$Z$2:$Z$1501,"Online collection 网上收款",'Daily Sale entry '!$X$2:$X$1501,$B$2)))</f>
        <v/>
      </c>
      <c r="Q118" s="24">
        <f>IF($K118="","",IF($B$2="","",SUMIFS('Debtor Ledger'!$K$2:$K$3001,'Debtor Ledger'!$C$2:$C$3001,$K118,'Debtor Ledger'!$B$2:$B$3001,$B$2)))</f>
        <v/>
      </c>
      <c r="R118" s="24">
        <f>IF($K118="","",IF($B$2="","",ROUND(L118+M118-N118-O118-P118-Q118,2)))</f>
        <v/>
      </c>
      <c r="S118" s="21">
        <f>IF(K118="","",IF($B$2="","",IF(ABS(M118)+ABS(N118)+ABS(O118)+ABS(P118)+ABS(Q118)&gt;0,1,0)))</f>
        <v/>
      </c>
      <c r="T118" s="21">
        <f>IF(S118=1,SUM($S$6:S118),"")</f>
        <v/>
      </c>
    </row>
    <row r="119">
      <c r="A119">
        <f>IF($I119="","",INDEX(K$6:K$305,$I119))</f>
        <v/>
      </c>
      <c r="B119" s="6">
        <f>IF($I119="","",INDEX(L$6:L$305,$I119))</f>
        <v/>
      </c>
      <c r="C119" s="6">
        <f>IF($I119="","",INDEX(M$6:M$305,$I119))</f>
        <v/>
      </c>
      <c r="D119" s="6">
        <f>IF($I119="","",INDEX(N$6:N$305,$I119))</f>
        <v/>
      </c>
      <c r="E119" s="6">
        <f>IF($I119="","",INDEX(O$6:O$305,$I119))</f>
        <v/>
      </c>
      <c r="F119" s="6">
        <f>IF($I119="","",INDEX(P$6:P$305,$I119))</f>
        <v/>
      </c>
      <c r="G119" s="6">
        <f>IF($I119="","",INDEX(Q$6:Q$305,$I119))</f>
        <v/>
      </c>
      <c r="H119" s="6">
        <f>IF($I119="","",INDEX(R$6:R$305,$I119))</f>
        <v/>
      </c>
      <c r="I119" s="21">
        <f>IFERROR(MATCH(114,$T$6:$T$305,0),"")</f>
        <v/>
      </c>
      <c r="K119" s="21">
        <f>IF('Debtor Summary'!A118="","",'Debtor Summary'!A118)</f>
        <v/>
      </c>
      <c r="L119" s="24">
        <f>IF($K119="","",IF($B$2="","",ROUND(SUMIFS('Opening Balance'!$F$4:$F$303,'Opening Balance'!$G$4:$G$303,$K119)+SUMIFS('Daily Sale entry '!$S$2:$S$1501,'Daily Sale entry '!$P$2:$P$1501,$K119,'Daily Sale entry '!$Q$2:$Q$1501,"Credit Sale 赊销",'Daily Sale entry '!$O$2:$O$1501,"&lt;"&amp;$B$2)-SUMIFS('Daily Sale entry '!$S$2:$S$1501,'Daily Sale entry '!$P$2:$P$1501,$K119,'Daily Sale entry '!$Q$2:$Q$1501,"Collection 收款",'Daily Sale entry '!$O$2:$O$1501,"&lt;"&amp;$B$2)-SUMIFS('Daily Sale entry '!$AC$2:$AC$1501,'Daily Sale entry '!$AA$2:$AA$1501,$K119,'Daily Sale entry '!$Z$2:$Z$1501,"Online collection 网上收款",'Daily Sale entry '!$X$2:$X$1501,"&lt;"&amp;$B$2)-SUMIFS('Debtor Ledger'!$K$2:$K$3001,'Debtor Ledger'!$C$2:$C$3001,$K119,'Debtor Ledger'!$B$2:$B$3001,"&lt;"&amp;$B$2),2)))</f>
        <v/>
      </c>
      <c r="M119" s="24">
        <f>IF($K119="","",IF($B$2="","",SUMIFS('Daily Sale entry '!$S$2:$S$1501,'Daily Sale entry '!$P$2:$P$1501,$K119,'Daily Sale entry '!$Q$2:$Q$1501,"Credit Sale 赊销",'Daily Sale entry '!$O$2:$O$1501,$B$2)))</f>
        <v/>
      </c>
      <c r="N119" s="24">
        <f>IF($K119="","",IF($B$2="","",SUMIFS('Daily Sale entry '!$S$2:$S$1501,'Daily Sale entry '!$P$2:$P$1501,$K119,'Daily Sale entry '!$Q$2:$Q$1501,"Collection 收款",'Daily Sale entry '!$R$2:$R$1501,"Cash 现金",'Daily Sale entry '!$O$2:$O$1501,$B$2)))</f>
        <v/>
      </c>
      <c r="O119" s="24">
        <f>IF($K119="","",IF($B$2="","",SUMIFS('Daily Sale entry '!$S$2:$S$1501,'Daily Sale entry '!$P$2:$P$1501,$K119,'Daily Sale entry '!$Q$2:$Q$1501,"Collection 收款",'Daily Sale entry '!$R$2:$R$1501,"Cheque 支票",'Daily Sale entry '!$O$2:$O$1501,$B$2)))</f>
        <v/>
      </c>
      <c r="P119" s="24">
        <f>IF($K119="","",IF($B$2="","",SUMIFS('Daily Sale entry '!$AC$2:$AC$1501,'Daily Sale entry '!$AA$2:$AA$1501,$K119,'Daily Sale entry '!$Z$2:$Z$1501,"Online collection 网上收款",'Daily Sale entry '!$X$2:$X$1501,$B$2)))</f>
        <v/>
      </c>
      <c r="Q119" s="24">
        <f>IF($K119="","",IF($B$2="","",SUMIFS('Debtor Ledger'!$K$2:$K$3001,'Debtor Ledger'!$C$2:$C$3001,$K119,'Debtor Ledger'!$B$2:$B$3001,$B$2)))</f>
        <v/>
      </c>
      <c r="R119" s="24">
        <f>IF($K119="","",IF($B$2="","",ROUND(L119+M119-N119-O119-P119-Q119,2)))</f>
        <v/>
      </c>
      <c r="S119" s="21">
        <f>IF(K119="","",IF($B$2="","",IF(ABS(M119)+ABS(N119)+ABS(O119)+ABS(P119)+ABS(Q119)&gt;0,1,0)))</f>
        <v/>
      </c>
      <c r="T119" s="21">
        <f>IF(S119=1,SUM($S$6:S119),"")</f>
        <v/>
      </c>
    </row>
    <row r="120">
      <c r="A120">
        <f>IF($I120="","",INDEX(K$6:K$305,$I120))</f>
        <v/>
      </c>
      <c r="B120" s="6">
        <f>IF($I120="","",INDEX(L$6:L$305,$I120))</f>
        <v/>
      </c>
      <c r="C120" s="6">
        <f>IF($I120="","",INDEX(M$6:M$305,$I120))</f>
        <v/>
      </c>
      <c r="D120" s="6">
        <f>IF($I120="","",INDEX(N$6:N$305,$I120))</f>
        <v/>
      </c>
      <c r="E120" s="6">
        <f>IF($I120="","",INDEX(O$6:O$305,$I120))</f>
        <v/>
      </c>
      <c r="F120" s="6">
        <f>IF($I120="","",INDEX(P$6:P$305,$I120))</f>
        <v/>
      </c>
      <c r="G120" s="6">
        <f>IF($I120="","",INDEX(Q$6:Q$305,$I120))</f>
        <v/>
      </c>
      <c r="H120" s="6">
        <f>IF($I120="","",INDEX(R$6:R$305,$I120))</f>
        <v/>
      </c>
      <c r="I120" s="21">
        <f>IFERROR(MATCH(115,$T$6:$T$305,0),"")</f>
        <v/>
      </c>
      <c r="K120" s="21">
        <f>IF('Debtor Summary'!A119="","",'Debtor Summary'!A119)</f>
        <v/>
      </c>
      <c r="L120" s="24">
        <f>IF($K120="","",IF($B$2="","",ROUND(SUMIFS('Opening Balance'!$F$4:$F$303,'Opening Balance'!$G$4:$G$303,$K120)+SUMIFS('Daily Sale entry '!$S$2:$S$1501,'Daily Sale entry '!$P$2:$P$1501,$K120,'Daily Sale entry '!$Q$2:$Q$1501,"Credit Sale 赊销",'Daily Sale entry '!$O$2:$O$1501,"&lt;"&amp;$B$2)-SUMIFS('Daily Sale entry '!$S$2:$S$1501,'Daily Sale entry '!$P$2:$P$1501,$K120,'Daily Sale entry '!$Q$2:$Q$1501,"Collection 收款",'Daily Sale entry '!$O$2:$O$1501,"&lt;"&amp;$B$2)-SUMIFS('Daily Sale entry '!$AC$2:$AC$1501,'Daily Sale entry '!$AA$2:$AA$1501,$K120,'Daily Sale entry '!$Z$2:$Z$1501,"Online collection 网上收款",'Daily Sale entry '!$X$2:$X$1501,"&lt;"&amp;$B$2)-SUMIFS('Debtor Ledger'!$K$2:$K$3001,'Debtor Ledger'!$C$2:$C$3001,$K120,'Debtor Ledger'!$B$2:$B$3001,"&lt;"&amp;$B$2),2)))</f>
        <v/>
      </c>
      <c r="M120" s="24">
        <f>IF($K120="","",IF($B$2="","",SUMIFS('Daily Sale entry '!$S$2:$S$1501,'Daily Sale entry '!$P$2:$P$1501,$K120,'Daily Sale entry '!$Q$2:$Q$1501,"Credit Sale 赊销",'Daily Sale entry '!$O$2:$O$1501,$B$2)))</f>
        <v/>
      </c>
      <c r="N120" s="24">
        <f>IF($K120="","",IF($B$2="","",SUMIFS('Daily Sale entry '!$S$2:$S$1501,'Daily Sale entry '!$P$2:$P$1501,$K120,'Daily Sale entry '!$Q$2:$Q$1501,"Collection 收款",'Daily Sale entry '!$R$2:$R$1501,"Cash 现金",'Daily Sale entry '!$O$2:$O$1501,$B$2)))</f>
        <v/>
      </c>
      <c r="O120" s="24">
        <f>IF($K120="","",IF($B$2="","",SUMIFS('Daily Sale entry '!$S$2:$S$1501,'Daily Sale entry '!$P$2:$P$1501,$K120,'Daily Sale entry '!$Q$2:$Q$1501,"Collection 收款",'Daily Sale entry '!$R$2:$R$1501,"Cheque 支票",'Daily Sale entry '!$O$2:$O$1501,$B$2)))</f>
        <v/>
      </c>
      <c r="P120" s="24">
        <f>IF($K120="","",IF($B$2="","",SUMIFS('Daily Sale entry '!$AC$2:$AC$1501,'Daily Sale entry '!$AA$2:$AA$1501,$K120,'Daily Sale entry '!$Z$2:$Z$1501,"Online collection 网上收款",'Daily Sale entry '!$X$2:$X$1501,$B$2)))</f>
        <v/>
      </c>
      <c r="Q120" s="24">
        <f>IF($K120="","",IF($B$2="","",SUMIFS('Debtor Ledger'!$K$2:$K$3001,'Debtor Ledger'!$C$2:$C$3001,$K120,'Debtor Ledger'!$B$2:$B$3001,$B$2)))</f>
        <v/>
      </c>
      <c r="R120" s="24">
        <f>IF($K120="","",IF($B$2="","",ROUND(L120+M120-N120-O120-P120-Q120,2)))</f>
        <v/>
      </c>
      <c r="S120" s="21">
        <f>IF(K120="","",IF($B$2="","",IF(ABS(M120)+ABS(N120)+ABS(O120)+ABS(P120)+ABS(Q120)&gt;0,1,0)))</f>
        <v/>
      </c>
      <c r="T120" s="21">
        <f>IF(S120=1,SUM($S$6:S120),"")</f>
        <v/>
      </c>
    </row>
    <row r="121">
      <c r="A121">
        <f>IF($I121="","",INDEX(K$6:K$305,$I121))</f>
        <v/>
      </c>
      <c r="B121" s="6">
        <f>IF($I121="","",INDEX(L$6:L$305,$I121))</f>
        <v/>
      </c>
      <c r="C121" s="6">
        <f>IF($I121="","",INDEX(M$6:M$305,$I121))</f>
        <v/>
      </c>
      <c r="D121" s="6">
        <f>IF($I121="","",INDEX(N$6:N$305,$I121))</f>
        <v/>
      </c>
      <c r="E121" s="6">
        <f>IF($I121="","",INDEX(O$6:O$305,$I121))</f>
        <v/>
      </c>
      <c r="F121" s="6">
        <f>IF($I121="","",INDEX(P$6:P$305,$I121))</f>
        <v/>
      </c>
      <c r="G121" s="6">
        <f>IF($I121="","",INDEX(Q$6:Q$305,$I121))</f>
        <v/>
      </c>
      <c r="H121" s="6">
        <f>IF($I121="","",INDEX(R$6:R$305,$I121))</f>
        <v/>
      </c>
      <c r="I121" s="21">
        <f>IFERROR(MATCH(116,$T$6:$T$305,0),"")</f>
        <v/>
      </c>
      <c r="K121" s="21">
        <f>IF('Debtor Summary'!A120="","",'Debtor Summary'!A120)</f>
        <v/>
      </c>
      <c r="L121" s="24">
        <f>IF($K121="","",IF($B$2="","",ROUND(SUMIFS('Opening Balance'!$F$4:$F$303,'Opening Balance'!$G$4:$G$303,$K121)+SUMIFS('Daily Sale entry '!$S$2:$S$1501,'Daily Sale entry '!$P$2:$P$1501,$K121,'Daily Sale entry '!$Q$2:$Q$1501,"Credit Sale 赊销",'Daily Sale entry '!$O$2:$O$1501,"&lt;"&amp;$B$2)-SUMIFS('Daily Sale entry '!$S$2:$S$1501,'Daily Sale entry '!$P$2:$P$1501,$K121,'Daily Sale entry '!$Q$2:$Q$1501,"Collection 收款",'Daily Sale entry '!$O$2:$O$1501,"&lt;"&amp;$B$2)-SUMIFS('Daily Sale entry '!$AC$2:$AC$1501,'Daily Sale entry '!$AA$2:$AA$1501,$K121,'Daily Sale entry '!$Z$2:$Z$1501,"Online collection 网上收款",'Daily Sale entry '!$X$2:$X$1501,"&lt;"&amp;$B$2)-SUMIFS('Debtor Ledger'!$K$2:$K$3001,'Debtor Ledger'!$C$2:$C$3001,$K121,'Debtor Ledger'!$B$2:$B$3001,"&lt;"&amp;$B$2),2)))</f>
        <v/>
      </c>
      <c r="M121" s="24">
        <f>IF($K121="","",IF($B$2="","",SUMIFS('Daily Sale entry '!$S$2:$S$1501,'Daily Sale entry '!$P$2:$P$1501,$K121,'Daily Sale entry '!$Q$2:$Q$1501,"Credit Sale 赊销",'Daily Sale entry '!$O$2:$O$1501,$B$2)))</f>
        <v/>
      </c>
      <c r="N121" s="24">
        <f>IF($K121="","",IF($B$2="","",SUMIFS('Daily Sale entry '!$S$2:$S$1501,'Daily Sale entry '!$P$2:$P$1501,$K121,'Daily Sale entry '!$Q$2:$Q$1501,"Collection 收款",'Daily Sale entry '!$R$2:$R$1501,"Cash 现金",'Daily Sale entry '!$O$2:$O$1501,$B$2)))</f>
        <v/>
      </c>
      <c r="O121" s="24">
        <f>IF($K121="","",IF($B$2="","",SUMIFS('Daily Sale entry '!$S$2:$S$1501,'Daily Sale entry '!$P$2:$P$1501,$K121,'Daily Sale entry '!$Q$2:$Q$1501,"Collection 收款",'Daily Sale entry '!$R$2:$R$1501,"Cheque 支票",'Daily Sale entry '!$O$2:$O$1501,$B$2)))</f>
        <v/>
      </c>
      <c r="P121" s="24">
        <f>IF($K121="","",IF($B$2="","",SUMIFS('Daily Sale entry '!$AC$2:$AC$1501,'Daily Sale entry '!$AA$2:$AA$1501,$K121,'Daily Sale entry '!$Z$2:$Z$1501,"Online collection 网上收款",'Daily Sale entry '!$X$2:$X$1501,$B$2)))</f>
        <v/>
      </c>
      <c r="Q121" s="24">
        <f>IF($K121="","",IF($B$2="","",SUMIFS('Debtor Ledger'!$K$2:$K$3001,'Debtor Ledger'!$C$2:$C$3001,$K121,'Debtor Ledger'!$B$2:$B$3001,$B$2)))</f>
        <v/>
      </c>
      <c r="R121" s="24">
        <f>IF($K121="","",IF($B$2="","",ROUND(L121+M121-N121-O121-P121-Q121,2)))</f>
        <v/>
      </c>
      <c r="S121" s="21">
        <f>IF(K121="","",IF($B$2="","",IF(ABS(M121)+ABS(N121)+ABS(O121)+ABS(P121)+ABS(Q121)&gt;0,1,0)))</f>
        <v/>
      </c>
      <c r="T121" s="21">
        <f>IF(S121=1,SUM($S$6:S121),"")</f>
        <v/>
      </c>
    </row>
    <row r="122">
      <c r="A122">
        <f>IF($I122="","",INDEX(K$6:K$305,$I122))</f>
        <v/>
      </c>
      <c r="B122" s="6">
        <f>IF($I122="","",INDEX(L$6:L$305,$I122))</f>
        <v/>
      </c>
      <c r="C122" s="6">
        <f>IF($I122="","",INDEX(M$6:M$305,$I122))</f>
        <v/>
      </c>
      <c r="D122" s="6">
        <f>IF($I122="","",INDEX(N$6:N$305,$I122))</f>
        <v/>
      </c>
      <c r="E122" s="6">
        <f>IF($I122="","",INDEX(O$6:O$305,$I122))</f>
        <v/>
      </c>
      <c r="F122" s="6">
        <f>IF($I122="","",INDEX(P$6:P$305,$I122))</f>
        <v/>
      </c>
      <c r="G122" s="6">
        <f>IF($I122="","",INDEX(Q$6:Q$305,$I122))</f>
        <v/>
      </c>
      <c r="H122" s="6">
        <f>IF($I122="","",INDEX(R$6:R$305,$I122))</f>
        <v/>
      </c>
      <c r="I122" s="21">
        <f>IFERROR(MATCH(117,$T$6:$T$305,0),"")</f>
        <v/>
      </c>
      <c r="K122" s="21">
        <f>IF('Debtor Summary'!A121="","",'Debtor Summary'!A121)</f>
        <v/>
      </c>
      <c r="L122" s="24">
        <f>IF($K122="","",IF($B$2="","",ROUND(SUMIFS('Opening Balance'!$F$4:$F$303,'Opening Balance'!$G$4:$G$303,$K122)+SUMIFS('Daily Sale entry '!$S$2:$S$1501,'Daily Sale entry '!$P$2:$P$1501,$K122,'Daily Sale entry '!$Q$2:$Q$1501,"Credit Sale 赊销",'Daily Sale entry '!$O$2:$O$1501,"&lt;"&amp;$B$2)-SUMIFS('Daily Sale entry '!$S$2:$S$1501,'Daily Sale entry '!$P$2:$P$1501,$K122,'Daily Sale entry '!$Q$2:$Q$1501,"Collection 收款",'Daily Sale entry '!$O$2:$O$1501,"&lt;"&amp;$B$2)-SUMIFS('Daily Sale entry '!$AC$2:$AC$1501,'Daily Sale entry '!$AA$2:$AA$1501,$K122,'Daily Sale entry '!$Z$2:$Z$1501,"Online collection 网上收款",'Daily Sale entry '!$X$2:$X$1501,"&lt;"&amp;$B$2)-SUMIFS('Debtor Ledger'!$K$2:$K$3001,'Debtor Ledger'!$C$2:$C$3001,$K122,'Debtor Ledger'!$B$2:$B$3001,"&lt;"&amp;$B$2),2)))</f>
        <v/>
      </c>
      <c r="M122" s="24">
        <f>IF($K122="","",IF($B$2="","",SUMIFS('Daily Sale entry '!$S$2:$S$1501,'Daily Sale entry '!$P$2:$P$1501,$K122,'Daily Sale entry '!$Q$2:$Q$1501,"Credit Sale 赊销",'Daily Sale entry '!$O$2:$O$1501,$B$2)))</f>
        <v/>
      </c>
      <c r="N122" s="24">
        <f>IF($K122="","",IF($B$2="","",SUMIFS('Daily Sale entry '!$S$2:$S$1501,'Daily Sale entry '!$P$2:$P$1501,$K122,'Daily Sale entry '!$Q$2:$Q$1501,"Collection 收款",'Daily Sale entry '!$R$2:$R$1501,"Cash 现金",'Daily Sale entry '!$O$2:$O$1501,$B$2)))</f>
        <v/>
      </c>
      <c r="O122" s="24">
        <f>IF($K122="","",IF($B$2="","",SUMIFS('Daily Sale entry '!$S$2:$S$1501,'Daily Sale entry '!$P$2:$P$1501,$K122,'Daily Sale entry '!$Q$2:$Q$1501,"Collection 收款",'Daily Sale entry '!$R$2:$R$1501,"Cheque 支票",'Daily Sale entry '!$O$2:$O$1501,$B$2)))</f>
        <v/>
      </c>
      <c r="P122" s="24">
        <f>IF($K122="","",IF($B$2="","",SUMIFS('Daily Sale entry '!$AC$2:$AC$1501,'Daily Sale entry '!$AA$2:$AA$1501,$K122,'Daily Sale entry '!$Z$2:$Z$1501,"Online collection 网上收款",'Daily Sale entry '!$X$2:$X$1501,$B$2)))</f>
        <v/>
      </c>
      <c r="Q122" s="24">
        <f>IF($K122="","",IF($B$2="","",SUMIFS('Debtor Ledger'!$K$2:$K$3001,'Debtor Ledger'!$C$2:$C$3001,$K122,'Debtor Ledger'!$B$2:$B$3001,$B$2)))</f>
        <v/>
      </c>
      <c r="R122" s="24">
        <f>IF($K122="","",IF($B$2="","",ROUND(L122+M122-N122-O122-P122-Q122,2)))</f>
        <v/>
      </c>
      <c r="S122" s="21">
        <f>IF(K122="","",IF($B$2="","",IF(ABS(M122)+ABS(N122)+ABS(O122)+ABS(P122)+ABS(Q122)&gt;0,1,0)))</f>
        <v/>
      </c>
      <c r="T122" s="21">
        <f>IF(S122=1,SUM($S$6:S122),"")</f>
        <v/>
      </c>
    </row>
    <row r="123">
      <c r="A123">
        <f>IF($I123="","",INDEX(K$6:K$305,$I123))</f>
        <v/>
      </c>
      <c r="B123" s="6">
        <f>IF($I123="","",INDEX(L$6:L$305,$I123))</f>
        <v/>
      </c>
      <c r="C123" s="6">
        <f>IF($I123="","",INDEX(M$6:M$305,$I123))</f>
        <v/>
      </c>
      <c r="D123" s="6">
        <f>IF($I123="","",INDEX(N$6:N$305,$I123))</f>
        <v/>
      </c>
      <c r="E123" s="6">
        <f>IF($I123="","",INDEX(O$6:O$305,$I123))</f>
        <v/>
      </c>
      <c r="F123" s="6">
        <f>IF($I123="","",INDEX(P$6:P$305,$I123))</f>
        <v/>
      </c>
      <c r="G123" s="6">
        <f>IF($I123="","",INDEX(Q$6:Q$305,$I123))</f>
        <v/>
      </c>
      <c r="H123" s="6">
        <f>IF($I123="","",INDEX(R$6:R$305,$I123))</f>
        <v/>
      </c>
      <c r="I123" s="21">
        <f>IFERROR(MATCH(118,$T$6:$T$305,0),"")</f>
        <v/>
      </c>
      <c r="K123" s="21">
        <f>IF('Debtor Summary'!A122="","",'Debtor Summary'!A122)</f>
        <v/>
      </c>
      <c r="L123" s="24">
        <f>IF($K123="","",IF($B$2="","",ROUND(SUMIFS('Opening Balance'!$F$4:$F$303,'Opening Balance'!$G$4:$G$303,$K123)+SUMIFS('Daily Sale entry '!$S$2:$S$1501,'Daily Sale entry '!$P$2:$P$1501,$K123,'Daily Sale entry '!$Q$2:$Q$1501,"Credit Sale 赊销",'Daily Sale entry '!$O$2:$O$1501,"&lt;"&amp;$B$2)-SUMIFS('Daily Sale entry '!$S$2:$S$1501,'Daily Sale entry '!$P$2:$P$1501,$K123,'Daily Sale entry '!$Q$2:$Q$1501,"Collection 收款",'Daily Sale entry '!$O$2:$O$1501,"&lt;"&amp;$B$2)-SUMIFS('Daily Sale entry '!$AC$2:$AC$1501,'Daily Sale entry '!$AA$2:$AA$1501,$K123,'Daily Sale entry '!$Z$2:$Z$1501,"Online collection 网上收款",'Daily Sale entry '!$X$2:$X$1501,"&lt;"&amp;$B$2)-SUMIFS('Debtor Ledger'!$K$2:$K$3001,'Debtor Ledger'!$C$2:$C$3001,$K123,'Debtor Ledger'!$B$2:$B$3001,"&lt;"&amp;$B$2),2)))</f>
        <v/>
      </c>
      <c r="M123" s="24">
        <f>IF($K123="","",IF($B$2="","",SUMIFS('Daily Sale entry '!$S$2:$S$1501,'Daily Sale entry '!$P$2:$P$1501,$K123,'Daily Sale entry '!$Q$2:$Q$1501,"Credit Sale 赊销",'Daily Sale entry '!$O$2:$O$1501,$B$2)))</f>
        <v/>
      </c>
      <c r="N123" s="24">
        <f>IF($K123="","",IF($B$2="","",SUMIFS('Daily Sale entry '!$S$2:$S$1501,'Daily Sale entry '!$P$2:$P$1501,$K123,'Daily Sale entry '!$Q$2:$Q$1501,"Collection 收款",'Daily Sale entry '!$R$2:$R$1501,"Cash 现金",'Daily Sale entry '!$O$2:$O$1501,$B$2)))</f>
        <v/>
      </c>
      <c r="O123" s="24">
        <f>IF($K123="","",IF($B$2="","",SUMIFS('Daily Sale entry '!$S$2:$S$1501,'Daily Sale entry '!$P$2:$P$1501,$K123,'Daily Sale entry '!$Q$2:$Q$1501,"Collection 收款",'Daily Sale entry '!$R$2:$R$1501,"Cheque 支票",'Daily Sale entry '!$O$2:$O$1501,$B$2)))</f>
        <v/>
      </c>
      <c r="P123" s="24">
        <f>IF($K123="","",IF($B$2="","",SUMIFS('Daily Sale entry '!$AC$2:$AC$1501,'Daily Sale entry '!$AA$2:$AA$1501,$K123,'Daily Sale entry '!$Z$2:$Z$1501,"Online collection 网上收款",'Daily Sale entry '!$X$2:$X$1501,$B$2)))</f>
        <v/>
      </c>
      <c r="Q123" s="24">
        <f>IF($K123="","",IF($B$2="","",SUMIFS('Debtor Ledger'!$K$2:$K$3001,'Debtor Ledger'!$C$2:$C$3001,$K123,'Debtor Ledger'!$B$2:$B$3001,$B$2)))</f>
        <v/>
      </c>
      <c r="R123" s="24">
        <f>IF($K123="","",IF($B$2="","",ROUND(L123+M123-N123-O123-P123-Q123,2)))</f>
        <v/>
      </c>
      <c r="S123" s="21">
        <f>IF(K123="","",IF($B$2="","",IF(ABS(M123)+ABS(N123)+ABS(O123)+ABS(P123)+ABS(Q123)&gt;0,1,0)))</f>
        <v/>
      </c>
      <c r="T123" s="21">
        <f>IF(S123=1,SUM($S$6:S123),"")</f>
        <v/>
      </c>
    </row>
    <row r="124">
      <c r="A124">
        <f>IF($I124="","",INDEX(K$6:K$305,$I124))</f>
        <v/>
      </c>
      <c r="B124" s="6">
        <f>IF($I124="","",INDEX(L$6:L$305,$I124))</f>
        <v/>
      </c>
      <c r="C124" s="6">
        <f>IF($I124="","",INDEX(M$6:M$305,$I124))</f>
        <v/>
      </c>
      <c r="D124" s="6">
        <f>IF($I124="","",INDEX(N$6:N$305,$I124))</f>
        <v/>
      </c>
      <c r="E124" s="6">
        <f>IF($I124="","",INDEX(O$6:O$305,$I124))</f>
        <v/>
      </c>
      <c r="F124" s="6">
        <f>IF($I124="","",INDEX(P$6:P$305,$I124))</f>
        <v/>
      </c>
      <c r="G124" s="6">
        <f>IF($I124="","",INDEX(Q$6:Q$305,$I124))</f>
        <v/>
      </c>
      <c r="H124" s="6">
        <f>IF($I124="","",INDEX(R$6:R$305,$I124))</f>
        <v/>
      </c>
      <c r="I124" s="21">
        <f>IFERROR(MATCH(119,$T$6:$T$305,0),"")</f>
        <v/>
      </c>
      <c r="K124" s="21">
        <f>IF('Debtor Summary'!A123="","",'Debtor Summary'!A123)</f>
        <v/>
      </c>
      <c r="L124" s="24">
        <f>IF($K124="","",IF($B$2="","",ROUND(SUMIFS('Opening Balance'!$F$4:$F$303,'Opening Balance'!$G$4:$G$303,$K124)+SUMIFS('Daily Sale entry '!$S$2:$S$1501,'Daily Sale entry '!$P$2:$P$1501,$K124,'Daily Sale entry '!$Q$2:$Q$1501,"Credit Sale 赊销",'Daily Sale entry '!$O$2:$O$1501,"&lt;"&amp;$B$2)-SUMIFS('Daily Sale entry '!$S$2:$S$1501,'Daily Sale entry '!$P$2:$P$1501,$K124,'Daily Sale entry '!$Q$2:$Q$1501,"Collection 收款",'Daily Sale entry '!$O$2:$O$1501,"&lt;"&amp;$B$2)-SUMIFS('Daily Sale entry '!$AC$2:$AC$1501,'Daily Sale entry '!$AA$2:$AA$1501,$K124,'Daily Sale entry '!$Z$2:$Z$1501,"Online collection 网上收款",'Daily Sale entry '!$X$2:$X$1501,"&lt;"&amp;$B$2)-SUMIFS('Debtor Ledger'!$K$2:$K$3001,'Debtor Ledger'!$C$2:$C$3001,$K124,'Debtor Ledger'!$B$2:$B$3001,"&lt;"&amp;$B$2),2)))</f>
        <v/>
      </c>
      <c r="M124" s="24">
        <f>IF($K124="","",IF($B$2="","",SUMIFS('Daily Sale entry '!$S$2:$S$1501,'Daily Sale entry '!$P$2:$P$1501,$K124,'Daily Sale entry '!$Q$2:$Q$1501,"Credit Sale 赊销",'Daily Sale entry '!$O$2:$O$1501,$B$2)))</f>
        <v/>
      </c>
      <c r="N124" s="24">
        <f>IF($K124="","",IF($B$2="","",SUMIFS('Daily Sale entry '!$S$2:$S$1501,'Daily Sale entry '!$P$2:$P$1501,$K124,'Daily Sale entry '!$Q$2:$Q$1501,"Collection 收款",'Daily Sale entry '!$R$2:$R$1501,"Cash 现金",'Daily Sale entry '!$O$2:$O$1501,$B$2)))</f>
        <v/>
      </c>
      <c r="O124" s="24">
        <f>IF($K124="","",IF($B$2="","",SUMIFS('Daily Sale entry '!$S$2:$S$1501,'Daily Sale entry '!$P$2:$P$1501,$K124,'Daily Sale entry '!$Q$2:$Q$1501,"Collection 收款",'Daily Sale entry '!$R$2:$R$1501,"Cheque 支票",'Daily Sale entry '!$O$2:$O$1501,$B$2)))</f>
        <v/>
      </c>
      <c r="P124" s="24">
        <f>IF($K124="","",IF($B$2="","",SUMIFS('Daily Sale entry '!$AC$2:$AC$1501,'Daily Sale entry '!$AA$2:$AA$1501,$K124,'Daily Sale entry '!$Z$2:$Z$1501,"Online collection 网上收款",'Daily Sale entry '!$X$2:$X$1501,$B$2)))</f>
        <v/>
      </c>
      <c r="Q124" s="24">
        <f>IF($K124="","",IF($B$2="","",SUMIFS('Debtor Ledger'!$K$2:$K$3001,'Debtor Ledger'!$C$2:$C$3001,$K124,'Debtor Ledger'!$B$2:$B$3001,$B$2)))</f>
        <v/>
      </c>
      <c r="R124" s="24">
        <f>IF($K124="","",IF($B$2="","",ROUND(L124+M124-N124-O124-P124-Q124,2)))</f>
        <v/>
      </c>
      <c r="S124" s="21">
        <f>IF(K124="","",IF($B$2="","",IF(ABS(M124)+ABS(N124)+ABS(O124)+ABS(P124)+ABS(Q124)&gt;0,1,0)))</f>
        <v/>
      </c>
      <c r="T124" s="21">
        <f>IF(S124=1,SUM($S$6:S124),"")</f>
        <v/>
      </c>
    </row>
    <row r="125">
      <c r="A125">
        <f>IF($I125="","",INDEX(K$6:K$305,$I125))</f>
        <v/>
      </c>
      <c r="B125" s="6">
        <f>IF($I125="","",INDEX(L$6:L$305,$I125))</f>
        <v/>
      </c>
      <c r="C125" s="6">
        <f>IF($I125="","",INDEX(M$6:M$305,$I125))</f>
        <v/>
      </c>
      <c r="D125" s="6">
        <f>IF($I125="","",INDEX(N$6:N$305,$I125))</f>
        <v/>
      </c>
      <c r="E125" s="6">
        <f>IF($I125="","",INDEX(O$6:O$305,$I125))</f>
        <v/>
      </c>
      <c r="F125" s="6">
        <f>IF($I125="","",INDEX(P$6:P$305,$I125))</f>
        <v/>
      </c>
      <c r="G125" s="6">
        <f>IF($I125="","",INDEX(Q$6:Q$305,$I125))</f>
        <v/>
      </c>
      <c r="H125" s="6">
        <f>IF($I125="","",INDEX(R$6:R$305,$I125))</f>
        <v/>
      </c>
      <c r="I125" s="21">
        <f>IFERROR(MATCH(120,$T$6:$T$305,0),"")</f>
        <v/>
      </c>
      <c r="K125" s="21">
        <f>IF('Debtor Summary'!A124="","",'Debtor Summary'!A124)</f>
        <v/>
      </c>
      <c r="L125" s="24">
        <f>IF($K125="","",IF($B$2="","",ROUND(SUMIFS('Opening Balance'!$F$4:$F$303,'Opening Balance'!$G$4:$G$303,$K125)+SUMIFS('Daily Sale entry '!$S$2:$S$1501,'Daily Sale entry '!$P$2:$P$1501,$K125,'Daily Sale entry '!$Q$2:$Q$1501,"Credit Sale 赊销",'Daily Sale entry '!$O$2:$O$1501,"&lt;"&amp;$B$2)-SUMIFS('Daily Sale entry '!$S$2:$S$1501,'Daily Sale entry '!$P$2:$P$1501,$K125,'Daily Sale entry '!$Q$2:$Q$1501,"Collection 收款",'Daily Sale entry '!$O$2:$O$1501,"&lt;"&amp;$B$2)-SUMIFS('Daily Sale entry '!$AC$2:$AC$1501,'Daily Sale entry '!$AA$2:$AA$1501,$K125,'Daily Sale entry '!$Z$2:$Z$1501,"Online collection 网上收款",'Daily Sale entry '!$X$2:$X$1501,"&lt;"&amp;$B$2)-SUMIFS('Debtor Ledger'!$K$2:$K$3001,'Debtor Ledger'!$C$2:$C$3001,$K125,'Debtor Ledger'!$B$2:$B$3001,"&lt;"&amp;$B$2),2)))</f>
        <v/>
      </c>
      <c r="M125" s="24">
        <f>IF($K125="","",IF($B$2="","",SUMIFS('Daily Sale entry '!$S$2:$S$1501,'Daily Sale entry '!$P$2:$P$1501,$K125,'Daily Sale entry '!$Q$2:$Q$1501,"Credit Sale 赊销",'Daily Sale entry '!$O$2:$O$1501,$B$2)))</f>
        <v/>
      </c>
      <c r="N125" s="24">
        <f>IF($K125="","",IF($B$2="","",SUMIFS('Daily Sale entry '!$S$2:$S$1501,'Daily Sale entry '!$P$2:$P$1501,$K125,'Daily Sale entry '!$Q$2:$Q$1501,"Collection 收款",'Daily Sale entry '!$R$2:$R$1501,"Cash 现金",'Daily Sale entry '!$O$2:$O$1501,$B$2)))</f>
        <v/>
      </c>
      <c r="O125" s="24">
        <f>IF($K125="","",IF($B$2="","",SUMIFS('Daily Sale entry '!$S$2:$S$1501,'Daily Sale entry '!$P$2:$P$1501,$K125,'Daily Sale entry '!$Q$2:$Q$1501,"Collection 收款",'Daily Sale entry '!$R$2:$R$1501,"Cheque 支票",'Daily Sale entry '!$O$2:$O$1501,$B$2)))</f>
        <v/>
      </c>
      <c r="P125" s="24">
        <f>IF($K125="","",IF($B$2="","",SUMIFS('Daily Sale entry '!$AC$2:$AC$1501,'Daily Sale entry '!$AA$2:$AA$1501,$K125,'Daily Sale entry '!$Z$2:$Z$1501,"Online collection 网上收款",'Daily Sale entry '!$X$2:$X$1501,$B$2)))</f>
        <v/>
      </c>
      <c r="Q125" s="24">
        <f>IF($K125="","",IF($B$2="","",SUMIFS('Debtor Ledger'!$K$2:$K$3001,'Debtor Ledger'!$C$2:$C$3001,$K125,'Debtor Ledger'!$B$2:$B$3001,$B$2)))</f>
        <v/>
      </c>
      <c r="R125" s="24">
        <f>IF($K125="","",IF($B$2="","",ROUND(L125+M125-N125-O125-P125-Q125,2)))</f>
        <v/>
      </c>
      <c r="S125" s="21">
        <f>IF(K125="","",IF($B$2="","",IF(ABS(M125)+ABS(N125)+ABS(O125)+ABS(P125)+ABS(Q125)&gt;0,1,0)))</f>
        <v/>
      </c>
      <c r="T125" s="21">
        <f>IF(S125=1,SUM($S$6:S125),"")</f>
        <v/>
      </c>
    </row>
    <row r="126">
      <c r="A126">
        <f>IF($I126="","",INDEX(K$6:K$305,$I126))</f>
        <v/>
      </c>
      <c r="B126" s="6">
        <f>IF($I126="","",INDEX(L$6:L$305,$I126))</f>
        <v/>
      </c>
      <c r="C126" s="6">
        <f>IF($I126="","",INDEX(M$6:M$305,$I126))</f>
        <v/>
      </c>
      <c r="D126" s="6">
        <f>IF($I126="","",INDEX(N$6:N$305,$I126))</f>
        <v/>
      </c>
      <c r="E126" s="6">
        <f>IF($I126="","",INDEX(O$6:O$305,$I126))</f>
        <v/>
      </c>
      <c r="F126" s="6">
        <f>IF($I126="","",INDEX(P$6:P$305,$I126))</f>
        <v/>
      </c>
      <c r="G126" s="6">
        <f>IF($I126="","",INDEX(Q$6:Q$305,$I126))</f>
        <v/>
      </c>
      <c r="H126" s="6">
        <f>IF($I126="","",INDEX(R$6:R$305,$I126))</f>
        <v/>
      </c>
      <c r="I126" s="21">
        <f>IFERROR(MATCH(121,$T$6:$T$305,0),"")</f>
        <v/>
      </c>
      <c r="K126" s="21">
        <f>IF('Debtor Summary'!A125="","",'Debtor Summary'!A125)</f>
        <v/>
      </c>
      <c r="L126" s="24">
        <f>IF($K126="","",IF($B$2="","",ROUND(SUMIFS('Opening Balance'!$F$4:$F$303,'Opening Balance'!$G$4:$G$303,$K126)+SUMIFS('Daily Sale entry '!$S$2:$S$1501,'Daily Sale entry '!$P$2:$P$1501,$K126,'Daily Sale entry '!$Q$2:$Q$1501,"Credit Sale 赊销",'Daily Sale entry '!$O$2:$O$1501,"&lt;"&amp;$B$2)-SUMIFS('Daily Sale entry '!$S$2:$S$1501,'Daily Sale entry '!$P$2:$P$1501,$K126,'Daily Sale entry '!$Q$2:$Q$1501,"Collection 收款",'Daily Sale entry '!$O$2:$O$1501,"&lt;"&amp;$B$2)-SUMIFS('Daily Sale entry '!$AC$2:$AC$1501,'Daily Sale entry '!$AA$2:$AA$1501,$K126,'Daily Sale entry '!$Z$2:$Z$1501,"Online collection 网上收款",'Daily Sale entry '!$X$2:$X$1501,"&lt;"&amp;$B$2)-SUMIFS('Debtor Ledger'!$K$2:$K$3001,'Debtor Ledger'!$C$2:$C$3001,$K126,'Debtor Ledger'!$B$2:$B$3001,"&lt;"&amp;$B$2),2)))</f>
        <v/>
      </c>
      <c r="M126" s="24">
        <f>IF($K126="","",IF($B$2="","",SUMIFS('Daily Sale entry '!$S$2:$S$1501,'Daily Sale entry '!$P$2:$P$1501,$K126,'Daily Sale entry '!$Q$2:$Q$1501,"Credit Sale 赊销",'Daily Sale entry '!$O$2:$O$1501,$B$2)))</f>
        <v/>
      </c>
      <c r="N126" s="24">
        <f>IF($K126="","",IF($B$2="","",SUMIFS('Daily Sale entry '!$S$2:$S$1501,'Daily Sale entry '!$P$2:$P$1501,$K126,'Daily Sale entry '!$Q$2:$Q$1501,"Collection 收款",'Daily Sale entry '!$R$2:$R$1501,"Cash 现金",'Daily Sale entry '!$O$2:$O$1501,$B$2)))</f>
        <v/>
      </c>
      <c r="O126" s="24">
        <f>IF($K126="","",IF($B$2="","",SUMIFS('Daily Sale entry '!$S$2:$S$1501,'Daily Sale entry '!$P$2:$P$1501,$K126,'Daily Sale entry '!$Q$2:$Q$1501,"Collection 收款",'Daily Sale entry '!$R$2:$R$1501,"Cheque 支票",'Daily Sale entry '!$O$2:$O$1501,$B$2)))</f>
        <v/>
      </c>
      <c r="P126" s="24">
        <f>IF($K126="","",IF($B$2="","",SUMIFS('Daily Sale entry '!$AC$2:$AC$1501,'Daily Sale entry '!$AA$2:$AA$1501,$K126,'Daily Sale entry '!$Z$2:$Z$1501,"Online collection 网上收款",'Daily Sale entry '!$X$2:$X$1501,$B$2)))</f>
        <v/>
      </c>
      <c r="Q126" s="24">
        <f>IF($K126="","",IF($B$2="","",SUMIFS('Debtor Ledger'!$K$2:$K$3001,'Debtor Ledger'!$C$2:$C$3001,$K126,'Debtor Ledger'!$B$2:$B$3001,$B$2)))</f>
        <v/>
      </c>
      <c r="R126" s="24">
        <f>IF($K126="","",IF($B$2="","",ROUND(L126+M126-N126-O126-P126-Q126,2)))</f>
        <v/>
      </c>
      <c r="S126" s="21">
        <f>IF(K126="","",IF($B$2="","",IF(ABS(M126)+ABS(N126)+ABS(O126)+ABS(P126)+ABS(Q126)&gt;0,1,0)))</f>
        <v/>
      </c>
      <c r="T126" s="21">
        <f>IF(S126=1,SUM($S$6:S126),"")</f>
        <v/>
      </c>
    </row>
    <row r="127">
      <c r="A127">
        <f>IF($I127="","",INDEX(K$6:K$305,$I127))</f>
        <v/>
      </c>
      <c r="B127" s="6">
        <f>IF($I127="","",INDEX(L$6:L$305,$I127))</f>
        <v/>
      </c>
      <c r="C127" s="6">
        <f>IF($I127="","",INDEX(M$6:M$305,$I127))</f>
        <v/>
      </c>
      <c r="D127" s="6">
        <f>IF($I127="","",INDEX(N$6:N$305,$I127))</f>
        <v/>
      </c>
      <c r="E127" s="6">
        <f>IF($I127="","",INDEX(O$6:O$305,$I127))</f>
        <v/>
      </c>
      <c r="F127" s="6">
        <f>IF($I127="","",INDEX(P$6:P$305,$I127))</f>
        <v/>
      </c>
      <c r="G127" s="6">
        <f>IF($I127="","",INDEX(Q$6:Q$305,$I127))</f>
        <v/>
      </c>
      <c r="H127" s="6">
        <f>IF($I127="","",INDEX(R$6:R$305,$I127))</f>
        <v/>
      </c>
      <c r="I127" s="21">
        <f>IFERROR(MATCH(122,$T$6:$T$305,0),"")</f>
        <v/>
      </c>
      <c r="K127" s="21">
        <f>IF('Debtor Summary'!A126="","",'Debtor Summary'!A126)</f>
        <v/>
      </c>
      <c r="L127" s="24">
        <f>IF($K127="","",IF($B$2="","",ROUND(SUMIFS('Opening Balance'!$F$4:$F$303,'Opening Balance'!$G$4:$G$303,$K127)+SUMIFS('Daily Sale entry '!$S$2:$S$1501,'Daily Sale entry '!$P$2:$P$1501,$K127,'Daily Sale entry '!$Q$2:$Q$1501,"Credit Sale 赊销",'Daily Sale entry '!$O$2:$O$1501,"&lt;"&amp;$B$2)-SUMIFS('Daily Sale entry '!$S$2:$S$1501,'Daily Sale entry '!$P$2:$P$1501,$K127,'Daily Sale entry '!$Q$2:$Q$1501,"Collection 收款",'Daily Sale entry '!$O$2:$O$1501,"&lt;"&amp;$B$2)-SUMIFS('Daily Sale entry '!$AC$2:$AC$1501,'Daily Sale entry '!$AA$2:$AA$1501,$K127,'Daily Sale entry '!$Z$2:$Z$1501,"Online collection 网上收款",'Daily Sale entry '!$X$2:$X$1501,"&lt;"&amp;$B$2)-SUMIFS('Debtor Ledger'!$K$2:$K$3001,'Debtor Ledger'!$C$2:$C$3001,$K127,'Debtor Ledger'!$B$2:$B$3001,"&lt;"&amp;$B$2),2)))</f>
        <v/>
      </c>
      <c r="M127" s="24">
        <f>IF($K127="","",IF($B$2="","",SUMIFS('Daily Sale entry '!$S$2:$S$1501,'Daily Sale entry '!$P$2:$P$1501,$K127,'Daily Sale entry '!$Q$2:$Q$1501,"Credit Sale 赊销",'Daily Sale entry '!$O$2:$O$1501,$B$2)))</f>
        <v/>
      </c>
      <c r="N127" s="24">
        <f>IF($K127="","",IF($B$2="","",SUMIFS('Daily Sale entry '!$S$2:$S$1501,'Daily Sale entry '!$P$2:$P$1501,$K127,'Daily Sale entry '!$Q$2:$Q$1501,"Collection 收款",'Daily Sale entry '!$R$2:$R$1501,"Cash 现金",'Daily Sale entry '!$O$2:$O$1501,$B$2)))</f>
        <v/>
      </c>
      <c r="O127" s="24">
        <f>IF($K127="","",IF($B$2="","",SUMIFS('Daily Sale entry '!$S$2:$S$1501,'Daily Sale entry '!$P$2:$P$1501,$K127,'Daily Sale entry '!$Q$2:$Q$1501,"Collection 收款",'Daily Sale entry '!$R$2:$R$1501,"Cheque 支票",'Daily Sale entry '!$O$2:$O$1501,$B$2)))</f>
        <v/>
      </c>
      <c r="P127" s="24">
        <f>IF($K127="","",IF($B$2="","",SUMIFS('Daily Sale entry '!$AC$2:$AC$1501,'Daily Sale entry '!$AA$2:$AA$1501,$K127,'Daily Sale entry '!$Z$2:$Z$1501,"Online collection 网上收款",'Daily Sale entry '!$X$2:$X$1501,$B$2)))</f>
        <v/>
      </c>
      <c r="Q127" s="24">
        <f>IF($K127="","",IF($B$2="","",SUMIFS('Debtor Ledger'!$K$2:$K$3001,'Debtor Ledger'!$C$2:$C$3001,$K127,'Debtor Ledger'!$B$2:$B$3001,$B$2)))</f>
        <v/>
      </c>
      <c r="R127" s="24">
        <f>IF($K127="","",IF($B$2="","",ROUND(L127+M127-N127-O127-P127-Q127,2)))</f>
        <v/>
      </c>
      <c r="S127" s="21">
        <f>IF(K127="","",IF($B$2="","",IF(ABS(M127)+ABS(N127)+ABS(O127)+ABS(P127)+ABS(Q127)&gt;0,1,0)))</f>
        <v/>
      </c>
      <c r="T127" s="21">
        <f>IF(S127=1,SUM($S$6:S127),"")</f>
        <v/>
      </c>
    </row>
    <row r="128">
      <c r="A128">
        <f>IF($I128="","",INDEX(K$6:K$305,$I128))</f>
        <v/>
      </c>
      <c r="B128" s="6">
        <f>IF($I128="","",INDEX(L$6:L$305,$I128))</f>
        <v/>
      </c>
      <c r="C128" s="6">
        <f>IF($I128="","",INDEX(M$6:M$305,$I128))</f>
        <v/>
      </c>
      <c r="D128" s="6">
        <f>IF($I128="","",INDEX(N$6:N$305,$I128))</f>
        <v/>
      </c>
      <c r="E128" s="6">
        <f>IF($I128="","",INDEX(O$6:O$305,$I128))</f>
        <v/>
      </c>
      <c r="F128" s="6">
        <f>IF($I128="","",INDEX(P$6:P$305,$I128))</f>
        <v/>
      </c>
      <c r="G128" s="6">
        <f>IF($I128="","",INDEX(Q$6:Q$305,$I128))</f>
        <v/>
      </c>
      <c r="H128" s="6">
        <f>IF($I128="","",INDEX(R$6:R$305,$I128))</f>
        <v/>
      </c>
      <c r="I128" s="21">
        <f>IFERROR(MATCH(123,$T$6:$T$305,0),"")</f>
        <v/>
      </c>
      <c r="K128" s="21">
        <f>IF('Debtor Summary'!A127="","",'Debtor Summary'!A127)</f>
        <v/>
      </c>
      <c r="L128" s="24">
        <f>IF($K128="","",IF($B$2="","",ROUND(SUMIFS('Opening Balance'!$F$4:$F$303,'Opening Balance'!$G$4:$G$303,$K128)+SUMIFS('Daily Sale entry '!$S$2:$S$1501,'Daily Sale entry '!$P$2:$P$1501,$K128,'Daily Sale entry '!$Q$2:$Q$1501,"Credit Sale 赊销",'Daily Sale entry '!$O$2:$O$1501,"&lt;"&amp;$B$2)-SUMIFS('Daily Sale entry '!$S$2:$S$1501,'Daily Sale entry '!$P$2:$P$1501,$K128,'Daily Sale entry '!$Q$2:$Q$1501,"Collection 收款",'Daily Sale entry '!$O$2:$O$1501,"&lt;"&amp;$B$2)-SUMIFS('Daily Sale entry '!$AC$2:$AC$1501,'Daily Sale entry '!$AA$2:$AA$1501,$K128,'Daily Sale entry '!$Z$2:$Z$1501,"Online collection 网上收款",'Daily Sale entry '!$X$2:$X$1501,"&lt;"&amp;$B$2)-SUMIFS('Debtor Ledger'!$K$2:$K$3001,'Debtor Ledger'!$C$2:$C$3001,$K128,'Debtor Ledger'!$B$2:$B$3001,"&lt;"&amp;$B$2),2)))</f>
        <v/>
      </c>
      <c r="M128" s="24">
        <f>IF($K128="","",IF($B$2="","",SUMIFS('Daily Sale entry '!$S$2:$S$1501,'Daily Sale entry '!$P$2:$P$1501,$K128,'Daily Sale entry '!$Q$2:$Q$1501,"Credit Sale 赊销",'Daily Sale entry '!$O$2:$O$1501,$B$2)))</f>
        <v/>
      </c>
      <c r="N128" s="24">
        <f>IF($K128="","",IF($B$2="","",SUMIFS('Daily Sale entry '!$S$2:$S$1501,'Daily Sale entry '!$P$2:$P$1501,$K128,'Daily Sale entry '!$Q$2:$Q$1501,"Collection 收款",'Daily Sale entry '!$R$2:$R$1501,"Cash 现金",'Daily Sale entry '!$O$2:$O$1501,$B$2)))</f>
        <v/>
      </c>
      <c r="O128" s="24">
        <f>IF($K128="","",IF($B$2="","",SUMIFS('Daily Sale entry '!$S$2:$S$1501,'Daily Sale entry '!$P$2:$P$1501,$K128,'Daily Sale entry '!$Q$2:$Q$1501,"Collection 收款",'Daily Sale entry '!$R$2:$R$1501,"Cheque 支票",'Daily Sale entry '!$O$2:$O$1501,$B$2)))</f>
        <v/>
      </c>
      <c r="P128" s="24">
        <f>IF($K128="","",IF($B$2="","",SUMIFS('Daily Sale entry '!$AC$2:$AC$1501,'Daily Sale entry '!$AA$2:$AA$1501,$K128,'Daily Sale entry '!$Z$2:$Z$1501,"Online collection 网上收款",'Daily Sale entry '!$X$2:$X$1501,$B$2)))</f>
        <v/>
      </c>
      <c r="Q128" s="24">
        <f>IF($K128="","",IF($B$2="","",SUMIFS('Debtor Ledger'!$K$2:$K$3001,'Debtor Ledger'!$C$2:$C$3001,$K128,'Debtor Ledger'!$B$2:$B$3001,$B$2)))</f>
        <v/>
      </c>
      <c r="R128" s="24">
        <f>IF($K128="","",IF($B$2="","",ROUND(L128+M128-N128-O128-P128-Q128,2)))</f>
        <v/>
      </c>
      <c r="S128" s="21">
        <f>IF(K128="","",IF($B$2="","",IF(ABS(M128)+ABS(N128)+ABS(O128)+ABS(P128)+ABS(Q128)&gt;0,1,0)))</f>
        <v/>
      </c>
      <c r="T128" s="21">
        <f>IF(S128=1,SUM($S$6:S128),"")</f>
        <v/>
      </c>
    </row>
    <row r="129">
      <c r="A129">
        <f>IF($I129="","",INDEX(K$6:K$305,$I129))</f>
        <v/>
      </c>
      <c r="B129" s="6">
        <f>IF($I129="","",INDEX(L$6:L$305,$I129))</f>
        <v/>
      </c>
      <c r="C129" s="6">
        <f>IF($I129="","",INDEX(M$6:M$305,$I129))</f>
        <v/>
      </c>
      <c r="D129" s="6">
        <f>IF($I129="","",INDEX(N$6:N$305,$I129))</f>
        <v/>
      </c>
      <c r="E129" s="6">
        <f>IF($I129="","",INDEX(O$6:O$305,$I129))</f>
        <v/>
      </c>
      <c r="F129" s="6">
        <f>IF($I129="","",INDEX(P$6:P$305,$I129))</f>
        <v/>
      </c>
      <c r="G129" s="6">
        <f>IF($I129="","",INDEX(Q$6:Q$305,$I129))</f>
        <v/>
      </c>
      <c r="H129" s="6">
        <f>IF($I129="","",INDEX(R$6:R$305,$I129))</f>
        <v/>
      </c>
      <c r="I129" s="21">
        <f>IFERROR(MATCH(124,$T$6:$T$305,0),"")</f>
        <v/>
      </c>
      <c r="K129" s="21">
        <f>IF('Debtor Summary'!A128="","",'Debtor Summary'!A128)</f>
        <v/>
      </c>
      <c r="L129" s="24">
        <f>IF($K129="","",IF($B$2="","",ROUND(SUMIFS('Opening Balance'!$F$4:$F$303,'Opening Balance'!$G$4:$G$303,$K129)+SUMIFS('Daily Sale entry '!$S$2:$S$1501,'Daily Sale entry '!$P$2:$P$1501,$K129,'Daily Sale entry '!$Q$2:$Q$1501,"Credit Sale 赊销",'Daily Sale entry '!$O$2:$O$1501,"&lt;"&amp;$B$2)-SUMIFS('Daily Sale entry '!$S$2:$S$1501,'Daily Sale entry '!$P$2:$P$1501,$K129,'Daily Sale entry '!$Q$2:$Q$1501,"Collection 收款",'Daily Sale entry '!$O$2:$O$1501,"&lt;"&amp;$B$2)-SUMIFS('Daily Sale entry '!$AC$2:$AC$1501,'Daily Sale entry '!$AA$2:$AA$1501,$K129,'Daily Sale entry '!$Z$2:$Z$1501,"Online collection 网上收款",'Daily Sale entry '!$X$2:$X$1501,"&lt;"&amp;$B$2)-SUMIFS('Debtor Ledger'!$K$2:$K$3001,'Debtor Ledger'!$C$2:$C$3001,$K129,'Debtor Ledger'!$B$2:$B$3001,"&lt;"&amp;$B$2),2)))</f>
        <v/>
      </c>
      <c r="M129" s="24">
        <f>IF($K129="","",IF($B$2="","",SUMIFS('Daily Sale entry '!$S$2:$S$1501,'Daily Sale entry '!$P$2:$P$1501,$K129,'Daily Sale entry '!$Q$2:$Q$1501,"Credit Sale 赊销",'Daily Sale entry '!$O$2:$O$1501,$B$2)))</f>
        <v/>
      </c>
      <c r="N129" s="24">
        <f>IF($K129="","",IF($B$2="","",SUMIFS('Daily Sale entry '!$S$2:$S$1501,'Daily Sale entry '!$P$2:$P$1501,$K129,'Daily Sale entry '!$Q$2:$Q$1501,"Collection 收款",'Daily Sale entry '!$R$2:$R$1501,"Cash 现金",'Daily Sale entry '!$O$2:$O$1501,$B$2)))</f>
        <v/>
      </c>
      <c r="O129" s="24">
        <f>IF($K129="","",IF($B$2="","",SUMIFS('Daily Sale entry '!$S$2:$S$1501,'Daily Sale entry '!$P$2:$P$1501,$K129,'Daily Sale entry '!$Q$2:$Q$1501,"Collection 收款",'Daily Sale entry '!$R$2:$R$1501,"Cheque 支票",'Daily Sale entry '!$O$2:$O$1501,$B$2)))</f>
        <v/>
      </c>
      <c r="P129" s="24">
        <f>IF($K129="","",IF($B$2="","",SUMIFS('Daily Sale entry '!$AC$2:$AC$1501,'Daily Sale entry '!$AA$2:$AA$1501,$K129,'Daily Sale entry '!$Z$2:$Z$1501,"Online collection 网上收款",'Daily Sale entry '!$X$2:$X$1501,$B$2)))</f>
        <v/>
      </c>
      <c r="Q129" s="24">
        <f>IF($K129="","",IF($B$2="","",SUMIFS('Debtor Ledger'!$K$2:$K$3001,'Debtor Ledger'!$C$2:$C$3001,$K129,'Debtor Ledger'!$B$2:$B$3001,$B$2)))</f>
        <v/>
      </c>
      <c r="R129" s="24">
        <f>IF($K129="","",IF($B$2="","",ROUND(L129+M129-N129-O129-P129-Q129,2)))</f>
        <v/>
      </c>
      <c r="S129" s="21">
        <f>IF(K129="","",IF($B$2="","",IF(ABS(M129)+ABS(N129)+ABS(O129)+ABS(P129)+ABS(Q129)&gt;0,1,0)))</f>
        <v/>
      </c>
      <c r="T129" s="21">
        <f>IF(S129=1,SUM($S$6:S129),"")</f>
        <v/>
      </c>
    </row>
    <row r="130">
      <c r="A130">
        <f>IF($I130="","",INDEX(K$6:K$305,$I130))</f>
        <v/>
      </c>
      <c r="B130" s="6">
        <f>IF($I130="","",INDEX(L$6:L$305,$I130))</f>
        <v/>
      </c>
      <c r="C130" s="6">
        <f>IF($I130="","",INDEX(M$6:M$305,$I130))</f>
        <v/>
      </c>
      <c r="D130" s="6">
        <f>IF($I130="","",INDEX(N$6:N$305,$I130))</f>
        <v/>
      </c>
      <c r="E130" s="6">
        <f>IF($I130="","",INDEX(O$6:O$305,$I130))</f>
        <v/>
      </c>
      <c r="F130" s="6">
        <f>IF($I130="","",INDEX(P$6:P$305,$I130))</f>
        <v/>
      </c>
      <c r="G130" s="6">
        <f>IF($I130="","",INDEX(Q$6:Q$305,$I130))</f>
        <v/>
      </c>
      <c r="H130" s="6">
        <f>IF($I130="","",INDEX(R$6:R$305,$I130))</f>
        <v/>
      </c>
      <c r="I130" s="21">
        <f>IFERROR(MATCH(125,$T$6:$T$305,0),"")</f>
        <v/>
      </c>
      <c r="K130" s="21">
        <f>IF('Debtor Summary'!A129="","",'Debtor Summary'!A129)</f>
        <v/>
      </c>
      <c r="L130" s="24">
        <f>IF($K130="","",IF($B$2="","",ROUND(SUMIFS('Opening Balance'!$F$4:$F$303,'Opening Balance'!$G$4:$G$303,$K130)+SUMIFS('Daily Sale entry '!$S$2:$S$1501,'Daily Sale entry '!$P$2:$P$1501,$K130,'Daily Sale entry '!$Q$2:$Q$1501,"Credit Sale 赊销",'Daily Sale entry '!$O$2:$O$1501,"&lt;"&amp;$B$2)-SUMIFS('Daily Sale entry '!$S$2:$S$1501,'Daily Sale entry '!$P$2:$P$1501,$K130,'Daily Sale entry '!$Q$2:$Q$1501,"Collection 收款",'Daily Sale entry '!$O$2:$O$1501,"&lt;"&amp;$B$2)-SUMIFS('Daily Sale entry '!$AC$2:$AC$1501,'Daily Sale entry '!$AA$2:$AA$1501,$K130,'Daily Sale entry '!$Z$2:$Z$1501,"Online collection 网上收款",'Daily Sale entry '!$X$2:$X$1501,"&lt;"&amp;$B$2)-SUMIFS('Debtor Ledger'!$K$2:$K$3001,'Debtor Ledger'!$C$2:$C$3001,$K130,'Debtor Ledger'!$B$2:$B$3001,"&lt;"&amp;$B$2),2)))</f>
        <v/>
      </c>
      <c r="M130" s="24">
        <f>IF($K130="","",IF($B$2="","",SUMIFS('Daily Sale entry '!$S$2:$S$1501,'Daily Sale entry '!$P$2:$P$1501,$K130,'Daily Sale entry '!$Q$2:$Q$1501,"Credit Sale 赊销",'Daily Sale entry '!$O$2:$O$1501,$B$2)))</f>
        <v/>
      </c>
      <c r="N130" s="24">
        <f>IF($K130="","",IF($B$2="","",SUMIFS('Daily Sale entry '!$S$2:$S$1501,'Daily Sale entry '!$P$2:$P$1501,$K130,'Daily Sale entry '!$Q$2:$Q$1501,"Collection 收款",'Daily Sale entry '!$R$2:$R$1501,"Cash 现金",'Daily Sale entry '!$O$2:$O$1501,$B$2)))</f>
        <v/>
      </c>
      <c r="O130" s="24">
        <f>IF($K130="","",IF($B$2="","",SUMIFS('Daily Sale entry '!$S$2:$S$1501,'Daily Sale entry '!$P$2:$P$1501,$K130,'Daily Sale entry '!$Q$2:$Q$1501,"Collection 收款",'Daily Sale entry '!$R$2:$R$1501,"Cheque 支票",'Daily Sale entry '!$O$2:$O$1501,$B$2)))</f>
        <v/>
      </c>
      <c r="P130" s="24">
        <f>IF($K130="","",IF($B$2="","",SUMIFS('Daily Sale entry '!$AC$2:$AC$1501,'Daily Sale entry '!$AA$2:$AA$1501,$K130,'Daily Sale entry '!$Z$2:$Z$1501,"Online collection 网上收款",'Daily Sale entry '!$X$2:$X$1501,$B$2)))</f>
        <v/>
      </c>
      <c r="Q130" s="24">
        <f>IF($K130="","",IF($B$2="","",SUMIFS('Debtor Ledger'!$K$2:$K$3001,'Debtor Ledger'!$C$2:$C$3001,$K130,'Debtor Ledger'!$B$2:$B$3001,$B$2)))</f>
        <v/>
      </c>
      <c r="R130" s="24">
        <f>IF($K130="","",IF($B$2="","",ROUND(L130+M130-N130-O130-P130-Q130,2)))</f>
        <v/>
      </c>
      <c r="S130" s="21">
        <f>IF(K130="","",IF($B$2="","",IF(ABS(M130)+ABS(N130)+ABS(O130)+ABS(P130)+ABS(Q130)&gt;0,1,0)))</f>
        <v/>
      </c>
      <c r="T130" s="21">
        <f>IF(S130=1,SUM($S$6:S130),"")</f>
        <v/>
      </c>
    </row>
    <row r="131">
      <c r="A131">
        <f>IF($I131="","",INDEX(K$6:K$305,$I131))</f>
        <v/>
      </c>
      <c r="B131" s="6">
        <f>IF($I131="","",INDEX(L$6:L$305,$I131))</f>
        <v/>
      </c>
      <c r="C131" s="6">
        <f>IF($I131="","",INDEX(M$6:M$305,$I131))</f>
        <v/>
      </c>
      <c r="D131" s="6">
        <f>IF($I131="","",INDEX(N$6:N$305,$I131))</f>
        <v/>
      </c>
      <c r="E131" s="6">
        <f>IF($I131="","",INDEX(O$6:O$305,$I131))</f>
        <v/>
      </c>
      <c r="F131" s="6">
        <f>IF($I131="","",INDEX(P$6:P$305,$I131))</f>
        <v/>
      </c>
      <c r="G131" s="6">
        <f>IF($I131="","",INDEX(Q$6:Q$305,$I131))</f>
        <v/>
      </c>
      <c r="H131" s="6">
        <f>IF($I131="","",INDEX(R$6:R$305,$I131))</f>
        <v/>
      </c>
      <c r="I131" s="21">
        <f>IFERROR(MATCH(126,$T$6:$T$305,0),"")</f>
        <v/>
      </c>
      <c r="K131" s="21">
        <f>IF('Debtor Summary'!A130="","",'Debtor Summary'!A130)</f>
        <v/>
      </c>
      <c r="L131" s="24">
        <f>IF($K131="","",IF($B$2="","",ROUND(SUMIFS('Opening Balance'!$F$4:$F$303,'Opening Balance'!$G$4:$G$303,$K131)+SUMIFS('Daily Sale entry '!$S$2:$S$1501,'Daily Sale entry '!$P$2:$P$1501,$K131,'Daily Sale entry '!$Q$2:$Q$1501,"Credit Sale 赊销",'Daily Sale entry '!$O$2:$O$1501,"&lt;"&amp;$B$2)-SUMIFS('Daily Sale entry '!$S$2:$S$1501,'Daily Sale entry '!$P$2:$P$1501,$K131,'Daily Sale entry '!$Q$2:$Q$1501,"Collection 收款",'Daily Sale entry '!$O$2:$O$1501,"&lt;"&amp;$B$2)-SUMIFS('Daily Sale entry '!$AC$2:$AC$1501,'Daily Sale entry '!$AA$2:$AA$1501,$K131,'Daily Sale entry '!$Z$2:$Z$1501,"Online collection 网上收款",'Daily Sale entry '!$X$2:$X$1501,"&lt;"&amp;$B$2)-SUMIFS('Debtor Ledger'!$K$2:$K$3001,'Debtor Ledger'!$C$2:$C$3001,$K131,'Debtor Ledger'!$B$2:$B$3001,"&lt;"&amp;$B$2),2)))</f>
        <v/>
      </c>
      <c r="M131" s="24">
        <f>IF($K131="","",IF($B$2="","",SUMIFS('Daily Sale entry '!$S$2:$S$1501,'Daily Sale entry '!$P$2:$P$1501,$K131,'Daily Sale entry '!$Q$2:$Q$1501,"Credit Sale 赊销",'Daily Sale entry '!$O$2:$O$1501,$B$2)))</f>
        <v/>
      </c>
      <c r="N131" s="24">
        <f>IF($K131="","",IF($B$2="","",SUMIFS('Daily Sale entry '!$S$2:$S$1501,'Daily Sale entry '!$P$2:$P$1501,$K131,'Daily Sale entry '!$Q$2:$Q$1501,"Collection 收款",'Daily Sale entry '!$R$2:$R$1501,"Cash 现金",'Daily Sale entry '!$O$2:$O$1501,$B$2)))</f>
        <v/>
      </c>
      <c r="O131" s="24">
        <f>IF($K131="","",IF($B$2="","",SUMIFS('Daily Sale entry '!$S$2:$S$1501,'Daily Sale entry '!$P$2:$P$1501,$K131,'Daily Sale entry '!$Q$2:$Q$1501,"Collection 收款",'Daily Sale entry '!$R$2:$R$1501,"Cheque 支票",'Daily Sale entry '!$O$2:$O$1501,$B$2)))</f>
        <v/>
      </c>
      <c r="P131" s="24">
        <f>IF($K131="","",IF($B$2="","",SUMIFS('Daily Sale entry '!$AC$2:$AC$1501,'Daily Sale entry '!$AA$2:$AA$1501,$K131,'Daily Sale entry '!$Z$2:$Z$1501,"Online collection 网上收款",'Daily Sale entry '!$X$2:$X$1501,$B$2)))</f>
        <v/>
      </c>
      <c r="Q131" s="24">
        <f>IF($K131="","",IF($B$2="","",SUMIFS('Debtor Ledger'!$K$2:$K$3001,'Debtor Ledger'!$C$2:$C$3001,$K131,'Debtor Ledger'!$B$2:$B$3001,$B$2)))</f>
        <v/>
      </c>
      <c r="R131" s="24">
        <f>IF($K131="","",IF($B$2="","",ROUND(L131+M131-N131-O131-P131-Q131,2)))</f>
        <v/>
      </c>
      <c r="S131" s="21">
        <f>IF(K131="","",IF($B$2="","",IF(ABS(M131)+ABS(N131)+ABS(O131)+ABS(P131)+ABS(Q131)&gt;0,1,0)))</f>
        <v/>
      </c>
      <c r="T131" s="21">
        <f>IF(S131=1,SUM($S$6:S131),"")</f>
        <v/>
      </c>
    </row>
    <row r="132">
      <c r="A132">
        <f>IF($I132="","",INDEX(K$6:K$305,$I132))</f>
        <v/>
      </c>
      <c r="B132" s="6">
        <f>IF($I132="","",INDEX(L$6:L$305,$I132))</f>
        <v/>
      </c>
      <c r="C132" s="6">
        <f>IF($I132="","",INDEX(M$6:M$305,$I132))</f>
        <v/>
      </c>
      <c r="D132" s="6">
        <f>IF($I132="","",INDEX(N$6:N$305,$I132))</f>
        <v/>
      </c>
      <c r="E132" s="6">
        <f>IF($I132="","",INDEX(O$6:O$305,$I132))</f>
        <v/>
      </c>
      <c r="F132" s="6">
        <f>IF($I132="","",INDEX(P$6:P$305,$I132))</f>
        <v/>
      </c>
      <c r="G132" s="6">
        <f>IF($I132="","",INDEX(Q$6:Q$305,$I132))</f>
        <v/>
      </c>
      <c r="H132" s="6">
        <f>IF($I132="","",INDEX(R$6:R$305,$I132))</f>
        <v/>
      </c>
      <c r="I132" s="21">
        <f>IFERROR(MATCH(127,$T$6:$T$305,0),"")</f>
        <v/>
      </c>
      <c r="K132" s="21">
        <f>IF('Debtor Summary'!A131="","",'Debtor Summary'!A131)</f>
        <v/>
      </c>
      <c r="L132" s="24">
        <f>IF($K132="","",IF($B$2="","",ROUND(SUMIFS('Opening Balance'!$F$4:$F$303,'Opening Balance'!$G$4:$G$303,$K132)+SUMIFS('Daily Sale entry '!$S$2:$S$1501,'Daily Sale entry '!$P$2:$P$1501,$K132,'Daily Sale entry '!$Q$2:$Q$1501,"Credit Sale 赊销",'Daily Sale entry '!$O$2:$O$1501,"&lt;"&amp;$B$2)-SUMIFS('Daily Sale entry '!$S$2:$S$1501,'Daily Sale entry '!$P$2:$P$1501,$K132,'Daily Sale entry '!$Q$2:$Q$1501,"Collection 收款",'Daily Sale entry '!$O$2:$O$1501,"&lt;"&amp;$B$2)-SUMIFS('Daily Sale entry '!$AC$2:$AC$1501,'Daily Sale entry '!$AA$2:$AA$1501,$K132,'Daily Sale entry '!$Z$2:$Z$1501,"Online collection 网上收款",'Daily Sale entry '!$X$2:$X$1501,"&lt;"&amp;$B$2)-SUMIFS('Debtor Ledger'!$K$2:$K$3001,'Debtor Ledger'!$C$2:$C$3001,$K132,'Debtor Ledger'!$B$2:$B$3001,"&lt;"&amp;$B$2),2)))</f>
        <v/>
      </c>
      <c r="M132" s="24">
        <f>IF($K132="","",IF($B$2="","",SUMIFS('Daily Sale entry '!$S$2:$S$1501,'Daily Sale entry '!$P$2:$P$1501,$K132,'Daily Sale entry '!$Q$2:$Q$1501,"Credit Sale 赊销",'Daily Sale entry '!$O$2:$O$1501,$B$2)))</f>
        <v/>
      </c>
      <c r="N132" s="24">
        <f>IF($K132="","",IF($B$2="","",SUMIFS('Daily Sale entry '!$S$2:$S$1501,'Daily Sale entry '!$P$2:$P$1501,$K132,'Daily Sale entry '!$Q$2:$Q$1501,"Collection 收款",'Daily Sale entry '!$R$2:$R$1501,"Cash 现金",'Daily Sale entry '!$O$2:$O$1501,$B$2)))</f>
        <v/>
      </c>
      <c r="O132" s="24">
        <f>IF($K132="","",IF($B$2="","",SUMIFS('Daily Sale entry '!$S$2:$S$1501,'Daily Sale entry '!$P$2:$P$1501,$K132,'Daily Sale entry '!$Q$2:$Q$1501,"Collection 收款",'Daily Sale entry '!$R$2:$R$1501,"Cheque 支票",'Daily Sale entry '!$O$2:$O$1501,$B$2)))</f>
        <v/>
      </c>
      <c r="P132" s="24">
        <f>IF($K132="","",IF($B$2="","",SUMIFS('Daily Sale entry '!$AC$2:$AC$1501,'Daily Sale entry '!$AA$2:$AA$1501,$K132,'Daily Sale entry '!$Z$2:$Z$1501,"Online collection 网上收款",'Daily Sale entry '!$X$2:$X$1501,$B$2)))</f>
        <v/>
      </c>
      <c r="Q132" s="24">
        <f>IF($K132="","",IF($B$2="","",SUMIFS('Debtor Ledger'!$K$2:$K$3001,'Debtor Ledger'!$C$2:$C$3001,$K132,'Debtor Ledger'!$B$2:$B$3001,$B$2)))</f>
        <v/>
      </c>
      <c r="R132" s="24">
        <f>IF($K132="","",IF($B$2="","",ROUND(L132+M132-N132-O132-P132-Q132,2)))</f>
        <v/>
      </c>
      <c r="S132" s="21">
        <f>IF(K132="","",IF($B$2="","",IF(ABS(M132)+ABS(N132)+ABS(O132)+ABS(P132)+ABS(Q132)&gt;0,1,0)))</f>
        <v/>
      </c>
      <c r="T132" s="21">
        <f>IF(S132=1,SUM($S$6:S132),"")</f>
        <v/>
      </c>
    </row>
    <row r="133">
      <c r="A133">
        <f>IF($I133="","",INDEX(K$6:K$305,$I133))</f>
        <v/>
      </c>
      <c r="B133" s="6">
        <f>IF($I133="","",INDEX(L$6:L$305,$I133))</f>
        <v/>
      </c>
      <c r="C133" s="6">
        <f>IF($I133="","",INDEX(M$6:M$305,$I133))</f>
        <v/>
      </c>
      <c r="D133" s="6">
        <f>IF($I133="","",INDEX(N$6:N$305,$I133))</f>
        <v/>
      </c>
      <c r="E133" s="6">
        <f>IF($I133="","",INDEX(O$6:O$305,$I133))</f>
        <v/>
      </c>
      <c r="F133" s="6">
        <f>IF($I133="","",INDEX(P$6:P$305,$I133))</f>
        <v/>
      </c>
      <c r="G133" s="6">
        <f>IF($I133="","",INDEX(Q$6:Q$305,$I133))</f>
        <v/>
      </c>
      <c r="H133" s="6">
        <f>IF($I133="","",INDEX(R$6:R$305,$I133))</f>
        <v/>
      </c>
      <c r="I133" s="21">
        <f>IFERROR(MATCH(128,$T$6:$T$305,0),"")</f>
        <v/>
      </c>
      <c r="K133" s="21">
        <f>IF('Debtor Summary'!A132="","",'Debtor Summary'!A132)</f>
        <v/>
      </c>
      <c r="L133" s="24">
        <f>IF($K133="","",IF($B$2="","",ROUND(SUMIFS('Opening Balance'!$F$4:$F$303,'Opening Balance'!$G$4:$G$303,$K133)+SUMIFS('Daily Sale entry '!$S$2:$S$1501,'Daily Sale entry '!$P$2:$P$1501,$K133,'Daily Sale entry '!$Q$2:$Q$1501,"Credit Sale 赊销",'Daily Sale entry '!$O$2:$O$1501,"&lt;"&amp;$B$2)-SUMIFS('Daily Sale entry '!$S$2:$S$1501,'Daily Sale entry '!$P$2:$P$1501,$K133,'Daily Sale entry '!$Q$2:$Q$1501,"Collection 收款",'Daily Sale entry '!$O$2:$O$1501,"&lt;"&amp;$B$2)-SUMIFS('Daily Sale entry '!$AC$2:$AC$1501,'Daily Sale entry '!$AA$2:$AA$1501,$K133,'Daily Sale entry '!$Z$2:$Z$1501,"Online collection 网上收款",'Daily Sale entry '!$X$2:$X$1501,"&lt;"&amp;$B$2)-SUMIFS('Debtor Ledger'!$K$2:$K$3001,'Debtor Ledger'!$C$2:$C$3001,$K133,'Debtor Ledger'!$B$2:$B$3001,"&lt;"&amp;$B$2),2)))</f>
        <v/>
      </c>
      <c r="M133" s="24">
        <f>IF($K133="","",IF($B$2="","",SUMIFS('Daily Sale entry '!$S$2:$S$1501,'Daily Sale entry '!$P$2:$P$1501,$K133,'Daily Sale entry '!$Q$2:$Q$1501,"Credit Sale 赊销",'Daily Sale entry '!$O$2:$O$1501,$B$2)))</f>
        <v/>
      </c>
      <c r="N133" s="24">
        <f>IF($K133="","",IF($B$2="","",SUMIFS('Daily Sale entry '!$S$2:$S$1501,'Daily Sale entry '!$P$2:$P$1501,$K133,'Daily Sale entry '!$Q$2:$Q$1501,"Collection 收款",'Daily Sale entry '!$R$2:$R$1501,"Cash 现金",'Daily Sale entry '!$O$2:$O$1501,$B$2)))</f>
        <v/>
      </c>
      <c r="O133" s="24">
        <f>IF($K133="","",IF($B$2="","",SUMIFS('Daily Sale entry '!$S$2:$S$1501,'Daily Sale entry '!$P$2:$P$1501,$K133,'Daily Sale entry '!$Q$2:$Q$1501,"Collection 收款",'Daily Sale entry '!$R$2:$R$1501,"Cheque 支票",'Daily Sale entry '!$O$2:$O$1501,$B$2)))</f>
        <v/>
      </c>
      <c r="P133" s="24">
        <f>IF($K133="","",IF($B$2="","",SUMIFS('Daily Sale entry '!$AC$2:$AC$1501,'Daily Sale entry '!$AA$2:$AA$1501,$K133,'Daily Sale entry '!$Z$2:$Z$1501,"Online collection 网上收款",'Daily Sale entry '!$X$2:$X$1501,$B$2)))</f>
        <v/>
      </c>
      <c r="Q133" s="24">
        <f>IF($K133="","",IF($B$2="","",SUMIFS('Debtor Ledger'!$K$2:$K$3001,'Debtor Ledger'!$C$2:$C$3001,$K133,'Debtor Ledger'!$B$2:$B$3001,$B$2)))</f>
        <v/>
      </c>
      <c r="R133" s="24">
        <f>IF($K133="","",IF($B$2="","",ROUND(L133+M133-N133-O133-P133-Q133,2)))</f>
        <v/>
      </c>
      <c r="S133" s="21">
        <f>IF(K133="","",IF($B$2="","",IF(ABS(M133)+ABS(N133)+ABS(O133)+ABS(P133)+ABS(Q133)&gt;0,1,0)))</f>
        <v/>
      </c>
      <c r="T133" s="21">
        <f>IF(S133=1,SUM($S$6:S133),"")</f>
        <v/>
      </c>
    </row>
    <row r="134">
      <c r="A134">
        <f>IF($I134="","",INDEX(K$6:K$305,$I134))</f>
        <v/>
      </c>
      <c r="B134" s="6">
        <f>IF($I134="","",INDEX(L$6:L$305,$I134))</f>
        <v/>
      </c>
      <c r="C134" s="6">
        <f>IF($I134="","",INDEX(M$6:M$305,$I134))</f>
        <v/>
      </c>
      <c r="D134" s="6">
        <f>IF($I134="","",INDEX(N$6:N$305,$I134))</f>
        <v/>
      </c>
      <c r="E134" s="6">
        <f>IF($I134="","",INDEX(O$6:O$305,$I134))</f>
        <v/>
      </c>
      <c r="F134" s="6">
        <f>IF($I134="","",INDEX(P$6:P$305,$I134))</f>
        <v/>
      </c>
      <c r="G134" s="6">
        <f>IF($I134="","",INDEX(Q$6:Q$305,$I134))</f>
        <v/>
      </c>
      <c r="H134" s="6">
        <f>IF($I134="","",INDEX(R$6:R$305,$I134))</f>
        <v/>
      </c>
      <c r="I134" s="21">
        <f>IFERROR(MATCH(129,$T$6:$T$305,0),"")</f>
        <v/>
      </c>
      <c r="K134" s="21">
        <f>IF('Debtor Summary'!A133="","",'Debtor Summary'!A133)</f>
        <v/>
      </c>
      <c r="L134" s="24">
        <f>IF($K134="","",IF($B$2="","",ROUND(SUMIFS('Opening Balance'!$F$4:$F$303,'Opening Balance'!$G$4:$G$303,$K134)+SUMIFS('Daily Sale entry '!$S$2:$S$1501,'Daily Sale entry '!$P$2:$P$1501,$K134,'Daily Sale entry '!$Q$2:$Q$1501,"Credit Sale 赊销",'Daily Sale entry '!$O$2:$O$1501,"&lt;"&amp;$B$2)-SUMIFS('Daily Sale entry '!$S$2:$S$1501,'Daily Sale entry '!$P$2:$P$1501,$K134,'Daily Sale entry '!$Q$2:$Q$1501,"Collection 收款",'Daily Sale entry '!$O$2:$O$1501,"&lt;"&amp;$B$2)-SUMIFS('Daily Sale entry '!$AC$2:$AC$1501,'Daily Sale entry '!$AA$2:$AA$1501,$K134,'Daily Sale entry '!$Z$2:$Z$1501,"Online collection 网上收款",'Daily Sale entry '!$X$2:$X$1501,"&lt;"&amp;$B$2)-SUMIFS('Debtor Ledger'!$K$2:$K$3001,'Debtor Ledger'!$C$2:$C$3001,$K134,'Debtor Ledger'!$B$2:$B$3001,"&lt;"&amp;$B$2),2)))</f>
        <v/>
      </c>
      <c r="M134" s="24">
        <f>IF($K134="","",IF($B$2="","",SUMIFS('Daily Sale entry '!$S$2:$S$1501,'Daily Sale entry '!$P$2:$P$1501,$K134,'Daily Sale entry '!$Q$2:$Q$1501,"Credit Sale 赊销",'Daily Sale entry '!$O$2:$O$1501,$B$2)))</f>
        <v/>
      </c>
      <c r="N134" s="24">
        <f>IF($K134="","",IF($B$2="","",SUMIFS('Daily Sale entry '!$S$2:$S$1501,'Daily Sale entry '!$P$2:$P$1501,$K134,'Daily Sale entry '!$Q$2:$Q$1501,"Collection 收款",'Daily Sale entry '!$R$2:$R$1501,"Cash 现金",'Daily Sale entry '!$O$2:$O$1501,$B$2)))</f>
        <v/>
      </c>
      <c r="O134" s="24">
        <f>IF($K134="","",IF($B$2="","",SUMIFS('Daily Sale entry '!$S$2:$S$1501,'Daily Sale entry '!$P$2:$P$1501,$K134,'Daily Sale entry '!$Q$2:$Q$1501,"Collection 收款",'Daily Sale entry '!$R$2:$R$1501,"Cheque 支票",'Daily Sale entry '!$O$2:$O$1501,$B$2)))</f>
        <v/>
      </c>
      <c r="P134" s="24">
        <f>IF($K134="","",IF($B$2="","",SUMIFS('Daily Sale entry '!$AC$2:$AC$1501,'Daily Sale entry '!$AA$2:$AA$1501,$K134,'Daily Sale entry '!$Z$2:$Z$1501,"Online collection 网上收款",'Daily Sale entry '!$X$2:$X$1501,$B$2)))</f>
        <v/>
      </c>
      <c r="Q134" s="24">
        <f>IF($K134="","",IF($B$2="","",SUMIFS('Debtor Ledger'!$K$2:$K$3001,'Debtor Ledger'!$C$2:$C$3001,$K134,'Debtor Ledger'!$B$2:$B$3001,$B$2)))</f>
        <v/>
      </c>
      <c r="R134" s="24">
        <f>IF($K134="","",IF($B$2="","",ROUND(L134+M134-N134-O134-P134-Q134,2)))</f>
        <v/>
      </c>
      <c r="S134" s="21">
        <f>IF(K134="","",IF($B$2="","",IF(ABS(M134)+ABS(N134)+ABS(O134)+ABS(P134)+ABS(Q134)&gt;0,1,0)))</f>
        <v/>
      </c>
      <c r="T134" s="21">
        <f>IF(S134=1,SUM($S$6:S134),"")</f>
        <v/>
      </c>
    </row>
    <row r="135">
      <c r="A135">
        <f>IF($I135="","",INDEX(K$6:K$305,$I135))</f>
        <v/>
      </c>
      <c r="B135" s="6">
        <f>IF($I135="","",INDEX(L$6:L$305,$I135))</f>
        <v/>
      </c>
      <c r="C135" s="6">
        <f>IF($I135="","",INDEX(M$6:M$305,$I135))</f>
        <v/>
      </c>
      <c r="D135" s="6">
        <f>IF($I135="","",INDEX(N$6:N$305,$I135))</f>
        <v/>
      </c>
      <c r="E135" s="6">
        <f>IF($I135="","",INDEX(O$6:O$305,$I135))</f>
        <v/>
      </c>
      <c r="F135" s="6">
        <f>IF($I135="","",INDEX(P$6:P$305,$I135))</f>
        <v/>
      </c>
      <c r="G135" s="6">
        <f>IF($I135="","",INDEX(Q$6:Q$305,$I135))</f>
        <v/>
      </c>
      <c r="H135" s="6">
        <f>IF($I135="","",INDEX(R$6:R$305,$I135))</f>
        <v/>
      </c>
      <c r="I135" s="21">
        <f>IFERROR(MATCH(130,$T$6:$T$305,0),"")</f>
        <v/>
      </c>
      <c r="K135" s="21">
        <f>IF('Debtor Summary'!A134="","",'Debtor Summary'!A134)</f>
        <v/>
      </c>
      <c r="L135" s="24">
        <f>IF($K135="","",IF($B$2="","",ROUND(SUMIFS('Opening Balance'!$F$4:$F$303,'Opening Balance'!$G$4:$G$303,$K135)+SUMIFS('Daily Sale entry '!$S$2:$S$1501,'Daily Sale entry '!$P$2:$P$1501,$K135,'Daily Sale entry '!$Q$2:$Q$1501,"Credit Sale 赊销",'Daily Sale entry '!$O$2:$O$1501,"&lt;"&amp;$B$2)-SUMIFS('Daily Sale entry '!$S$2:$S$1501,'Daily Sale entry '!$P$2:$P$1501,$K135,'Daily Sale entry '!$Q$2:$Q$1501,"Collection 收款",'Daily Sale entry '!$O$2:$O$1501,"&lt;"&amp;$B$2)-SUMIFS('Daily Sale entry '!$AC$2:$AC$1501,'Daily Sale entry '!$AA$2:$AA$1501,$K135,'Daily Sale entry '!$Z$2:$Z$1501,"Online collection 网上收款",'Daily Sale entry '!$X$2:$X$1501,"&lt;"&amp;$B$2)-SUMIFS('Debtor Ledger'!$K$2:$K$3001,'Debtor Ledger'!$C$2:$C$3001,$K135,'Debtor Ledger'!$B$2:$B$3001,"&lt;"&amp;$B$2),2)))</f>
        <v/>
      </c>
      <c r="M135" s="24">
        <f>IF($K135="","",IF($B$2="","",SUMIFS('Daily Sale entry '!$S$2:$S$1501,'Daily Sale entry '!$P$2:$P$1501,$K135,'Daily Sale entry '!$Q$2:$Q$1501,"Credit Sale 赊销",'Daily Sale entry '!$O$2:$O$1501,$B$2)))</f>
        <v/>
      </c>
      <c r="N135" s="24">
        <f>IF($K135="","",IF($B$2="","",SUMIFS('Daily Sale entry '!$S$2:$S$1501,'Daily Sale entry '!$P$2:$P$1501,$K135,'Daily Sale entry '!$Q$2:$Q$1501,"Collection 收款",'Daily Sale entry '!$R$2:$R$1501,"Cash 现金",'Daily Sale entry '!$O$2:$O$1501,$B$2)))</f>
        <v/>
      </c>
      <c r="O135" s="24">
        <f>IF($K135="","",IF($B$2="","",SUMIFS('Daily Sale entry '!$S$2:$S$1501,'Daily Sale entry '!$P$2:$P$1501,$K135,'Daily Sale entry '!$Q$2:$Q$1501,"Collection 收款",'Daily Sale entry '!$R$2:$R$1501,"Cheque 支票",'Daily Sale entry '!$O$2:$O$1501,$B$2)))</f>
        <v/>
      </c>
      <c r="P135" s="24">
        <f>IF($K135="","",IF($B$2="","",SUMIFS('Daily Sale entry '!$AC$2:$AC$1501,'Daily Sale entry '!$AA$2:$AA$1501,$K135,'Daily Sale entry '!$Z$2:$Z$1501,"Online collection 网上收款",'Daily Sale entry '!$X$2:$X$1501,$B$2)))</f>
        <v/>
      </c>
      <c r="Q135" s="24">
        <f>IF($K135="","",IF($B$2="","",SUMIFS('Debtor Ledger'!$K$2:$K$3001,'Debtor Ledger'!$C$2:$C$3001,$K135,'Debtor Ledger'!$B$2:$B$3001,$B$2)))</f>
        <v/>
      </c>
      <c r="R135" s="24">
        <f>IF($K135="","",IF($B$2="","",ROUND(L135+M135-N135-O135-P135-Q135,2)))</f>
        <v/>
      </c>
      <c r="S135" s="21">
        <f>IF(K135="","",IF($B$2="","",IF(ABS(M135)+ABS(N135)+ABS(O135)+ABS(P135)+ABS(Q135)&gt;0,1,0)))</f>
        <v/>
      </c>
      <c r="T135" s="21">
        <f>IF(S135=1,SUM($S$6:S135),"")</f>
        <v/>
      </c>
    </row>
    <row r="136">
      <c r="A136">
        <f>IF($I136="","",INDEX(K$6:K$305,$I136))</f>
        <v/>
      </c>
      <c r="B136" s="6">
        <f>IF($I136="","",INDEX(L$6:L$305,$I136))</f>
        <v/>
      </c>
      <c r="C136" s="6">
        <f>IF($I136="","",INDEX(M$6:M$305,$I136))</f>
        <v/>
      </c>
      <c r="D136" s="6">
        <f>IF($I136="","",INDEX(N$6:N$305,$I136))</f>
        <v/>
      </c>
      <c r="E136" s="6">
        <f>IF($I136="","",INDEX(O$6:O$305,$I136))</f>
        <v/>
      </c>
      <c r="F136" s="6">
        <f>IF($I136="","",INDEX(P$6:P$305,$I136))</f>
        <v/>
      </c>
      <c r="G136" s="6">
        <f>IF($I136="","",INDEX(Q$6:Q$305,$I136))</f>
        <v/>
      </c>
      <c r="H136" s="6">
        <f>IF($I136="","",INDEX(R$6:R$305,$I136))</f>
        <v/>
      </c>
      <c r="I136" s="21">
        <f>IFERROR(MATCH(131,$T$6:$T$305,0),"")</f>
        <v/>
      </c>
      <c r="K136" s="21">
        <f>IF('Debtor Summary'!A135="","",'Debtor Summary'!A135)</f>
        <v/>
      </c>
      <c r="L136" s="24">
        <f>IF($K136="","",IF($B$2="","",ROUND(SUMIFS('Opening Balance'!$F$4:$F$303,'Opening Balance'!$G$4:$G$303,$K136)+SUMIFS('Daily Sale entry '!$S$2:$S$1501,'Daily Sale entry '!$P$2:$P$1501,$K136,'Daily Sale entry '!$Q$2:$Q$1501,"Credit Sale 赊销",'Daily Sale entry '!$O$2:$O$1501,"&lt;"&amp;$B$2)-SUMIFS('Daily Sale entry '!$S$2:$S$1501,'Daily Sale entry '!$P$2:$P$1501,$K136,'Daily Sale entry '!$Q$2:$Q$1501,"Collection 收款",'Daily Sale entry '!$O$2:$O$1501,"&lt;"&amp;$B$2)-SUMIFS('Daily Sale entry '!$AC$2:$AC$1501,'Daily Sale entry '!$AA$2:$AA$1501,$K136,'Daily Sale entry '!$Z$2:$Z$1501,"Online collection 网上收款",'Daily Sale entry '!$X$2:$X$1501,"&lt;"&amp;$B$2)-SUMIFS('Debtor Ledger'!$K$2:$K$3001,'Debtor Ledger'!$C$2:$C$3001,$K136,'Debtor Ledger'!$B$2:$B$3001,"&lt;"&amp;$B$2),2)))</f>
        <v/>
      </c>
      <c r="M136" s="24">
        <f>IF($K136="","",IF($B$2="","",SUMIFS('Daily Sale entry '!$S$2:$S$1501,'Daily Sale entry '!$P$2:$P$1501,$K136,'Daily Sale entry '!$Q$2:$Q$1501,"Credit Sale 赊销",'Daily Sale entry '!$O$2:$O$1501,$B$2)))</f>
        <v/>
      </c>
      <c r="N136" s="24">
        <f>IF($K136="","",IF($B$2="","",SUMIFS('Daily Sale entry '!$S$2:$S$1501,'Daily Sale entry '!$P$2:$P$1501,$K136,'Daily Sale entry '!$Q$2:$Q$1501,"Collection 收款",'Daily Sale entry '!$R$2:$R$1501,"Cash 现金",'Daily Sale entry '!$O$2:$O$1501,$B$2)))</f>
        <v/>
      </c>
      <c r="O136" s="24">
        <f>IF($K136="","",IF($B$2="","",SUMIFS('Daily Sale entry '!$S$2:$S$1501,'Daily Sale entry '!$P$2:$P$1501,$K136,'Daily Sale entry '!$Q$2:$Q$1501,"Collection 收款",'Daily Sale entry '!$R$2:$R$1501,"Cheque 支票",'Daily Sale entry '!$O$2:$O$1501,$B$2)))</f>
        <v/>
      </c>
      <c r="P136" s="24">
        <f>IF($K136="","",IF($B$2="","",SUMIFS('Daily Sale entry '!$AC$2:$AC$1501,'Daily Sale entry '!$AA$2:$AA$1501,$K136,'Daily Sale entry '!$Z$2:$Z$1501,"Online collection 网上收款",'Daily Sale entry '!$X$2:$X$1501,$B$2)))</f>
        <v/>
      </c>
      <c r="Q136" s="24">
        <f>IF($K136="","",IF($B$2="","",SUMIFS('Debtor Ledger'!$K$2:$K$3001,'Debtor Ledger'!$C$2:$C$3001,$K136,'Debtor Ledger'!$B$2:$B$3001,$B$2)))</f>
        <v/>
      </c>
      <c r="R136" s="24">
        <f>IF($K136="","",IF($B$2="","",ROUND(L136+M136-N136-O136-P136-Q136,2)))</f>
        <v/>
      </c>
      <c r="S136" s="21">
        <f>IF(K136="","",IF($B$2="","",IF(ABS(M136)+ABS(N136)+ABS(O136)+ABS(P136)+ABS(Q136)&gt;0,1,0)))</f>
        <v/>
      </c>
      <c r="T136" s="21">
        <f>IF(S136=1,SUM($S$6:S136),"")</f>
        <v/>
      </c>
    </row>
    <row r="137">
      <c r="A137">
        <f>IF($I137="","",INDEX(K$6:K$305,$I137))</f>
        <v/>
      </c>
      <c r="B137" s="6">
        <f>IF($I137="","",INDEX(L$6:L$305,$I137))</f>
        <v/>
      </c>
      <c r="C137" s="6">
        <f>IF($I137="","",INDEX(M$6:M$305,$I137))</f>
        <v/>
      </c>
      <c r="D137" s="6">
        <f>IF($I137="","",INDEX(N$6:N$305,$I137))</f>
        <v/>
      </c>
      <c r="E137" s="6">
        <f>IF($I137="","",INDEX(O$6:O$305,$I137))</f>
        <v/>
      </c>
      <c r="F137" s="6">
        <f>IF($I137="","",INDEX(P$6:P$305,$I137))</f>
        <v/>
      </c>
      <c r="G137" s="6">
        <f>IF($I137="","",INDEX(Q$6:Q$305,$I137))</f>
        <v/>
      </c>
      <c r="H137" s="6">
        <f>IF($I137="","",INDEX(R$6:R$305,$I137))</f>
        <v/>
      </c>
      <c r="I137" s="21">
        <f>IFERROR(MATCH(132,$T$6:$T$305,0),"")</f>
        <v/>
      </c>
      <c r="K137" s="21">
        <f>IF('Debtor Summary'!A136="","",'Debtor Summary'!A136)</f>
        <v/>
      </c>
      <c r="L137" s="24">
        <f>IF($K137="","",IF($B$2="","",ROUND(SUMIFS('Opening Balance'!$F$4:$F$303,'Opening Balance'!$G$4:$G$303,$K137)+SUMIFS('Daily Sale entry '!$S$2:$S$1501,'Daily Sale entry '!$P$2:$P$1501,$K137,'Daily Sale entry '!$Q$2:$Q$1501,"Credit Sale 赊销",'Daily Sale entry '!$O$2:$O$1501,"&lt;"&amp;$B$2)-SUMIFS('Daily Sale entry '!$S$2:$S$1501,'Daily Sale entry '!$P$2:$P$1501,$K137,'Daily Sale entry '!$Q$2:$Q$1501,"Collection 收款",'Daily Sale entry '!$O$2:$O$1501,"&lt;"&amp;$B$2)-SUMIFS('Daily Sale entry '!$AC$2:$AC$1501,'Daily Sale entry '!$AA$2:$AA$1501,$K137,'Daily Sale entry '!$Z$2:$Z$1501,"Online collection 网上收款",'Daily Sale entry '!$X$2:$X$1501,"&lt;"&amp;$B$2)-SUMIFS('Debtor Ledger'!$K$2:$K$3001,'Debtor Ledger'!$C$2:$C$3001,$K137,'Debtor Ledger'!$B$2:$B$3001,"&lt;"&amp;$B$2),2)))</f>
        <v/>
      </c>
      <c r="M137" s="24">
        <f>IF($K137="","",IF($B$2="","",SUMIFS('Daily Sale entry '!$S$2:$S$1501,'Daily Sale entry '!$P$2:$P$1501,$K137,'Daily Sale entry '!$Q$2:$Q$1501,"Credit Sale 赊销",'Daily Sale entry '!$O$2:$O$1501,$B$2)))</f>
        <v/>
      </c>
      <c r="N137" s="24">
        <f>IF($K137="","",IF($B$2="","",SUMIFS('Daily Sale entry '!$S$2:$S$1501,'Daily Sale entry '!$P$2:$P$1501,$K137,'Daily Sale entry '!$Q$2:$Q$1501,"Collection 收款",'Daily Sale entry '!$R$2:$R$1501,"Cash 现金",'Daily Sale entry '!$O$2:$O$1501,$B$2)))</f>
        <v/>
      </c>
      <c r="O137" s="24">
        <f>IF($K137="","",IF($B$2="","",SUMIFS('Daily Sale entry '!$S$2:$S$1501,'Daily Sale entry '!$P$2:$P$1501,$K137,'Daily Sale entry '!$Q$2:$Q$1501,"Collection 收款",'Daily Sale entry '!$R$2:$R$1501,"Cheque 支票",'Daily Sale entry '!$O$2:$O$1501,$B$2)))</f>
        <v/>
      </c>
      <c r="P137" s="24">
        <f>IF($K137="","",IF($B$2="","",SUMIFS('Daily Sale entry '!$AC$2:$AC$1501,'Daily Sale entry '!$AA$2:$AA$1501,$K137,'Daily Sale entry '!$Z$2:$Z$1501,"Online collection 网上收款",'Daily Sale entry '!$X$2:$X$1501,$B$2)))</f>
        <v/>
      </c>
      <c r="Q137" s="24">
        <f>IF($K137="","",IF($B$2="","",SUMIFS('Debtor Ledger'!$K$2:$K$3001,'Debtor Ledger'!$C$2:$C$3001,$K137,'Debtor Ledger'!$B$2:$B$3001,$B$2)))</f>
        <v/>
      </c>
      <c r="R137" s="24">
        <f>IF($K137="","",IF($B$2="","",ROUND(L137+M137-N137-O137-P137-Q137,2)))</f>
        <v/>
      </c>
      <c r="S137" s="21">
        <f>IF(K137="","",IF($B$2="","",IF(ABS(M137)+ABS(N137)+ABS(O137)+ABS(P137)+ABS(Q137)&gt;0,1,0)))</f>
        <v/>
      </c>
      <c r="T137" s="21">
        <f>IF(S137=1,SUM($S$6:S137),"")</f>
        <v/>
      </c>
    </row>
    <row r="138">
      <c r="A138">
        <f>IF($I138="","",INDEX(K$6:K$305,$I138))</f>
        <v/>
      </c>
      <c r="B138" s="6">
        <f>IF($I138="","",INDEX(L$6:L$305,$I138))</f>
        <v/>
      </c>
      <c r="C138" s="6">
        <f>IF($I138="","",INDEX(M$6:M$305,$I138))</f>
        <v/>
      </c>
      <c r="D138" s="6">
        <f>IF($I138="","",INDEX(N$6:N$305,$I138))</f>
        <v/>
      </c>
      <c r="E138" s="6">
        <f>IF($I138="","",INDEX(O$6:O$305,$I138))</f>
        <v/>
      </c>
      <c r="F138" s="6">
        <f>IF($I138="","",INDEX(P$6:P$305,$I138))</f>
        <v/>
      </c>
      <c r="G138" s="6">
        <f>IF($I138="","",INDEX(Q$6:Q$305,$I138))</f>
        <v/>
      </c>
      <c r="H138" s="6">
        <f>IF($I138="","",INDEX(R$6:R$305,$I138))</f>
        <v/>
      </c>
      <c r="I138" s="21">
        <f>IFERROR(MATCH(133,$T$6:$T$305,0),"")</f>
        <v/>
      </c>
      <c r="K138" s="21">
        <f>IF('Debtor Summary'!A137="","",'Debtor Summary'!A137)</f>
        <v/>
      </c>
      <c r="L138" s="24">
        <f>IF($K138="","",IF($B$2="","",ROUND(SUMIFS('Opening Balance'!$F$4:$F$303,'Opening Balance'!$G$4:$G$303,$K138)+SUMIFS('Daily Sale entry '!$S$2:$S$1501,'Daily Sale entry '!$P$2:$P$1501,$K138,'Daily Sale entry '!$Q$2:$Q$1501,"Credit Sale 赊销",'Daily Sale entry '!$O$2:$O$1501,"&lt;"&amp;$B$2)-SUMIFS('Daily Sale entry '!$S$2:$S$1501,'Daily Sale entry '!$P$2:$P$1501,$K138,'Daily Sale entry '!$Q$2:$Q$1501,"Collection 收款",'Daily Sale entry '!$O$2:$O$1501,"&lt;"&amp;$B$2)-SUMIFS('Daily Sale entry '!$AC$2:$AC$1501,'Daily Sale entry '!$AA$2:$AA$1501,$K138,'Daily Sale entry '!$Z$2:$Z$1501,"Online collection 网上收款",'Daily Sale entry '!$X$2:$X$1501,"&lt;"&amp;$B$2)-SUMIFS('Debtor Ledger'!$K$2:$K$3001,'Debtor Ledger'!$C$2:$C$3001,$K138,'Debtor Ledger'!$B$2:$B$3001,"&lt;"&amp;$B$2),2)))</f>
        <v/>
      </c>
      <c r="M138" s="24">
        <f>IF($K138="","",IF($B$2="","",SUMIFS('Daily Sale entry '!$S$2:$S$1501,'Daily Sale entry '!$P$2:$P$1501,$K138,'Daily Sale entry '!$Q$2:$Q$1501,"Credit Sale 赊销",'Daily Sale entry '!$O$2:$O$1501,$B$2)))</f>
        <v/>
      </c>
      <c r="N138" s="24">
        <f>IF($K138="","",IF($B$2="","",SUMIFS('Daily Sale entry '!$S$2:$S$1501,'Daily Sale entry '!$P$2:$P$1501,$K138,'Daily Sale entry '!$Q$2:$Q$1501,"Collection 收款",'Daily Sale entry '!$R$2:$R$1501,"Cash 现金",'Daily Sale entry '!$O$2:$O$1501,$B$2)))</f>
        <v/>
      </c>
      <c r="O138" s="24">
        <f>IF($K138="","",IF($B$2="","",SUMIFS('Daily Sale entry '!$S$2:$S$1501,'Daily Sale entry '!$P$2:$P$1501,$K138,'Daily Sale entry '!$Q$2:$Q$1501,"Collection 收款",'Daily Sale entry '!$R$2:$R$1501,"Cheque 支票",'Daily Sale entry '!$O$2:$O$1501,$B$2)))</f>
        <v/>
      </c>
      <c r="P138" s="24">
        <f>IF($K138="","",IF($B$2="","",SUMIFS('Daily Sale entry '!$AC$2:$AC$1501,'Daily Sale entry '!$AA$2:$AA$1501,$K138,'Daily Sale entry '!$Z$2:$Z$1501,"Online collection 网上收款",'Daily Sale entry '!$X$2:$X$1501,$B$2)))</f>
        <v/>
      </c>
      <c r="Q138" s="24">
        <f>IF($K138="","",IF($B$2="","",SUMIFS('Debtor Ledger'!$K$2:$K$3001,'Debtor Ledger'!$C$2:$C$3001,$K138,'Debtor Ledger'!$B$2:$B$3001,$B$2)))</f>
        <v/>
      </c>
      <c r="R138" s="24">
        <f>IF($K138="","",IF($B$2="","",ROUND(L138+M138-N138-O138-P138-Q138,2)))</f>
        <v/>
      </c>
      <c r="S138" s="21">
        <f>IF(K138="","",IF($B$2="","",IF(ABS(M138)+ABS(N138)+ABS(O138)+ABS(P138)+ABS(Q138)&gt;0,1,0)))</f>
        <v/>
      </c>
      <c r="T138" s="21">
        <f>IF(S138=1,SUM($S$6:S138),"")</f>
        <v/>
      </c>
    </row>
    <row r="139">
      <c r="A139">
        <f>IF($I139="","",INDEX(K$6:K$305,$I139))</f>
        <v/>
      </c>
      <c r="B139" s="6">
        <f>IF($I139="","",INDEX(L$6:L$305,$I139))</f>
        <v/>
      </c>
      <c r="C139" s="6">
        <f>IF($I139="","",INDEX(M$6:M$305,$I139))</f>
        <v/>
      </c>
      <c r="D139" s="6">
        <f>IF($I139="","",INDEX(N$6:N$305,$I139))</f>
        <v/>
      </c>
      <c r="E139" s="6">
        <f>IF($I139="","",INDEX(O$6:O$305,$I139))</f>
        <v/>
      </c>
      <c r="F139" s="6">
        <f>IF($I139="","",INDEX(P$6:P$305,$I139))</f>
        <v/>
      </c>
      <c r="G139" s="6">
        <f>IF($I139="","",INDEX(Q$6:Q$305,$I139))</f>
        <v/>
      </c>
      <c r="H139" s="6">
        <f>IF($I139="","",INDEX(R$6:R$305,$I139))</f>
        <v/>
      </c>
      <c r="I139" s="21">
        <f>IFERROR(MATCH(134,$T$6:$T$305,0),"")</f>
        <v/>
      </c>
      <c r="K139" s="21">
        <f>IF('Debtor Summary'!A138="","",'Debtor Summary'!A138)</f>
        <v/>
      </c>
      <c r="L139" s="24">
        <f>IF($K139="","",IF($B$2="","",ROUND(SUMIFS('Opening Balance'!$F$4:$F$303,'Opening Balance'!$G$4:$G$303,$K139)+SUMIFS('Daily Sale entry '!$S$2:$S$1501,'Daily Sale entry '!$P$2:$P$1501,$K139,'Daily Sale entry '!$Q$2:$Q$1501,"Credit Sale 赊销",'Daily Sale entry '!$O$2:$O$1501,"&lt;"&amp;$B$2)-SUMIFS('Daily Sale entry '!$S$2:$S$1501,'Daily Sale entry '!$P$2:$P$1501,$K139,'Daily Sale entry '!$Q$2:$Q$1501,"Collection 收款",'Daily Sale entry '!$O$2:$O$1501,"&lt;"&amp;$B$2)-SUMIFS('Daily Sale entry '!$AC$2:$AC$1501,'Daily Sale entry '!$AA$2:$AA$1501,$K139,'Daily Sale entry '!$Z$2:$Z$1501,"Online collection 网上收款",'Daily Sale entry '!$X$2:$X$1501,"&lt;"&amp;$B$2)-SUMIFS('Debtor Ledger'!$K$2:$K$3001,'Debtor Ledger'!$C$2:$C$3001,$K139,'Debtor Ledger'!$B$2:$B$3001,"&lt;"&amp;$B$2),2)))</f>
        <v/>
      </c>
      <c r="M139" s="24">
        <f>IF($K139="","",IF($B$2="","",SUMIFS('Daily Sale entry '!$S$2:$S$1501,'Daily Sale entry '!$P$2:$P$1501,$K139,'Daily Sale entry '!$Q$2:$Q$1501,"Credit Sale 赊销",'Daily Sale entry '!$O$2:$O$1501,$B$2)))</f>
        <v/>
      </c>
      <c r="N139" s="24">
        <f>IF($K139="","",IF($B$2="","",SUMIFS('Daily Sale entry '!$S$2:$S$1501,'Daily Sale entry '!$P$2:$P$1501,$K139,'Daily Sale entry '!$Q$2:$Q$1501,"Collection 收款",'Daily Sale entry '!$R$2:$R$1501,"Cash 现金",'Daily Sale entry '!$O$2:$O$1501,$B$2)))</f>
        <v/>
      </c>
      <c r="O139" s="24">
        <f>IF($K139="","",IF($B$2="","",SUMIFS('Daily Sale entry '!$S$2:$S$1501,'Daily Sale entry '!$P$2:$P$1501,$K139,'Daily Sale entry '!$Q$2:$Q$1501,"Collection 收款",'Daily Sale entry '!$R$2:$R$1501,"Cheque 支票",'Daily Sale entry '!$O$2:$O$1501,$B$2)))</f>
        <v/>
      </c>
      <c r="P139" s="24">
        <f>IF($K139="","",IF($B$2="","",SUMIFS('Daily Sale entry '!$AC$2:$AC$1501,'Daily Sale entry '!$AA$2:$AA$1501,$K139,'Daily Sale entry '!$Z$2:$Z$1501,"Online collection 网上收款",'Daily Sale entry '!$X$2:$X$1501,$B$2)))</f>
        <v/>
      </c>
      <c r="Q139" s="24">
        <f>IF($K139="","",IF($B$2="","",SUMIFS('Debtor Ledger'!$K$2:$K$3001,'Debtor Ledger'!$C$2:$C$3001,$K139,'Debtor Ledger'!$B$2:$B$3001,$B$2)))</f>
        <v/>
      </c>
      <c r="R139" s="24">
        <f>IF($K139="","",IF($B$2="","",ROUND(L139+M139-N139-O139-P139-Q139,2)))</f>
        <v/>
      </c>
      <c r="S139" s="21">
        <f>IF(K139="","",IF($B$2="","",IF(ABS(M139)+ABS(N139)+ABS(O139)+ABS(P139)+ABS(Q139)&gt;0,1,0)))</f>
        <v/>
      </c>
      <c r="T139" s="21">
        <f>IF(S139=1,SUM($S$6:S139),"")</f>
        <v/>
      </c>
    </row>
    <row r="140">
      <c r="A140">
        <f>IF($I140="","",INDEX(K$6:K$305,$I140))</f>
        <v/>
      </c>
      <c r="B140" s="6">
        <f>IF($I140="","",INDEX(L$6:L$305,$I140))</f>
        <v/>
      </c>
      <c r="C140" s="6">
        <f>IF($I140="","",INDEX(M$6:M$305,$I140))</f>
        <v/>
      </c>
      <c r="D140" s="6">
        <f>IF($I140="","",INDEX(N$6:N$305,$I140))</f>
        <v/>
      </c>
      <c r="E140" s="6">
        <f>IF($I140="","",INDEX(O$6:O$305,$I140))</f>
        <v/>
      </c>
      <c r="F140" s="6">
        <f>IF($I140="","",INDEX(P$6:P$305,$I140))</f>
        <v/>
      </c>
      <c r="G140" s="6">
        <f>IF($I140="","",INDEX(Q$6:Q$305,$I140))</f>
        <v/>
      </c>
      <c r="H140" s="6">
        <f>IF($I140="","",INDEX(R$6:R$305,$I140))</f>
        <v/>
      </c>
      <c r="I140" s="21">
        <f>IFERROR(MATCH(135,$T$6:$T$305,0),"")</f>
        <v/>
      </c>
      <c r="K140" s="21">
        <f>IF('Debtor Summary'!A139="","",'Debtor Summary'!A139)</f>
        <v/>
      </c>
      <c r="L140" s="24">
        <f>IF($K140="","",IF($B$2="","",ROUND(SUMIFS('Opening Balance'!$F$4:$F$303,'Opening Balance'!$G$4:$G$303,$K140)+SUMIFS('Daily Sale entry '!$S$2:$S$1501,'Daily Sale entry '!$P$2:$P$1501,$K140,'Daily Sale entry '!$Q$2:$Q$1501,"Credit Sale 赊销",'Daily Sale entry '!$O$2:$O$1501,"&lt;"&amp;$B$2)-SUMIFS('Daily Sale entry '!$S$2:$S$1501,'Daily Sale entry '!$P$2:$P$1501,$K140,'Daily Sale entry '!$Q$2:$Q$1501,"Collection 收款",'Daily Sale entry '!$O$2:$O$1501,"&lt;"&amp;$B$2)-SUMIFS('Daily Sale entry '!$AC$2:$AC$1501,'Daily Sale entry '!$AA$2:$AA$1501,$K140,'Daily Sale entry '!$Z$2:$Z$1501,"Online collection 网上收款",'Daily Sale entry '!$X$2:$X$1501,"&lt;"&amp;$B$2)-SUMIFS('Debtor Ledger'!$K$2:$K$3001,'Debtor Ledger'!$C$2:$C$3001,$K140,'Debtor Ledger'!$B$2:$B$3001,"&lt;"&amp;$B$2),2)))</f>
        <v/>
      </c>
      <c r="M140" s="24">
        <f>IF($K140="","",IF($B$2="","",SUMIFS('Daily Sale entry '!$S$2:$S$1501,'Daily Sale entry '!$P$2:$P$1501,$K140,'Daily Sale entry '!$Q$2:$Q$1501,"Credit Sale 赊销",'Daily Sale entry '!$O$2:$O$1501,$B$2)))</f>
        <v/>
      </c>
      <c r="N140" s="24">
        <f>IF($K140="","",IF($B$2="","",SUMIFS('Daily Sale entry '!$S$2:$S$1501,'Daily Sale entry '!$P$2:$P$1501,$K140,'Daily Sale entry '!$Q$2:$Q$1501,"Collection 收款",'Daily Sale entry '!$R$2:$R$1501,"Cash 现金",'Daily Sale entry '!$O$2:$O$1501,$B$2)))</f>
        <v/>
      </c>
      <c r="O140" s="24">
        <f>IF($K140="","",IF($B$2="","",SUMIFS('Daily Sale entry '!$S$2:$S$1501,'Daily Sale entry '!$P$2:$P$1501,$K140,'Daily Sale entry '!$Q$2:$Q$1501,"Collection 收款",'Daily Sale entry '!$R$2:$R$1501,"Cheque 支票",'Daily Sale entry '!$O$2:$O$1501,$B$2)))</f>
        <v/>
      </c>
      <c r="P140" s="24">
        <f>IF($K140="","",IF($B$2="","",SUMIFS('Daily Sale entry '!$AC$2:$AC$1501,'Daily Sale entry '!$AA$2:$AA$1501,$K140,'Daily Sale entry '!$Z$2:$Z$1501,"Online collection 网上收款",'Daily Sale entry '!$X$2:$X$1501,$B$2)))</f>
        <v/>
      </c>
      <c r="Q140" s="24">
        <f>IF($K140="","",IF($B$2="","",SUMIFS('Debtor Ledger'!$K$2:$K$3001,'Debtor Ledger'!$C$2:$C$3001,$K140,'Debtor Ledger'!$B$2:$B$3001,$B$2)))</f>
        <v/>
      </c>
      <c r="R140" s="24">
        <f>IF($K140="","",IF($B$2="","",ROUND(L140+M140-N140-O140-P140-Q140,2)))</f>
        <v/>
      </c>
      <c r="S140" s="21">
        <f>IF(K140="","",IF($B$2="","",IF(ABS(M140)+ABS(N140)+ABS(O140)+ABS(P140)+ABS(Q140)&gt;0,1,0)))</f>
        <v/>
      </c>
      <c r="T140" s="21">
        <f>IF(S140=1,SUM($S$6:S140),"")</f>
        <v/>
      </c>
    </row>
    <row r="141">
      <c r="A141">
        <f>IF($I141="","",INDEX(K$6:K$305,$I141))</f>
        <v/>
      </c>
      <c r="B141" s="6">
        <f>IF($I141="","",INDEX(L$6:L$305,$I141))</f>
        <v/>
      </c>
      <c r="C141" s="6">
        <f>IF($I141="","",INDEX(M$6:M$305,$I141))</f>
        <v/>
      </c>
      <c r="D141" s="6">
        <f>IF($I141="","",INDEX(N$6:N$305,$I141))</f>
        <v/>
      </c>
      <c r="E141" s="6">
        <f>IF($I141="","",INDEX(O$6:O$305,$I141))</f>
        <v/>
      </c>
      <c r="F141" s="6">
        <f>IF($I141="","",INDEX(P$6:P$305,$I141))</f>
        <v/>
      </c>
      <c r="G141" s="6">
        <f>IF($I141="","",INDEX(Q$6:Q$305,$I141))</f>
        <v/>
      </c>
      <c r="H141" s="6">
        <f>IF($I141="","",INDEX(R$6:R$305,$I141))</f>
        <v/>
      </c>
      <c r="I141" s="21">
        <f>IFERROR(MATCH(136,$T$6:$T$305,0),"")</f>
        <v/>
      </c>
      <c r="K141" s="21">
        <f>IF('Debtor Summary'!A140="","",'Debtor Summary'!A140)</f>
        <v/>
      </c>
      <c r="L141" s="24">
        <f>IF($K141="","",IF($B$2="","",ROUND(SUMIFS('Opening Balance'!$F$4:$F$303,'Opening Balance'!$G$4:$G$303,$K141)+SUMIFS('Daily Sale entry '!$S$2:$S$1501,'Daily Sale entry '!$P$2:$P$1501,$K141,'Daily Sale entry '!$Q$2:$Q$1501,"Credit Sale 赊销",'Daily Sale entry '!$O$2:$O$1501,"&lt;"&amp;$B$2)-SUMIFS('Daily Sale entry '!$S$2:$S$1501,'Daily Sale entry '!$P$2:$P$1501,$K141,'Daily Sale entry '!$Q$2:$Q$1501,"Collection 收款",'Daily Sale entry '!$O$2:$O$1501,"&lt;"&amp;$B$2)-SUMIFS('Daily Sale entry '!$AC$2:$AC$1501,'Daily Sale entry '!$AA$2:$AA$1501,$K141,'Daily Sale entry '!$Z$2:$Z$1501,"Online collection 网上收款",'Daily Sale entry '!$X$2:$X$1501,"&lt;"&amp;$B$2)-SUMIFS('Debtor Ledger'!$K$2:$K$3001,'Debtor Ledger'!$C$2:$C$3001,$K141,'Debtor Ledger'!$B$2:$B$3001,"&lt;"&amp;$B$2),2)))</f>
        <v/>
      </c>
      <c r="M141" s="24">
        <f>IF($K141="","",IF($B$2="","",SUMIFS('Daily Sale entry '!$S$2:$S$1501,'Daily Sale entry '!$P$2:$P$1501,$K141,'Daily Sale entry '!$Q$2:$Q$1501,"Credit Sale 赊销",'Daily Sale entry '!$O$2:$O$1501,$B$2)))</f>
        <v/>
      </c>
      <c r="N141" s="24">
        <f>IF($K141="","",IF($B$2="","",SUMIFS('Daily Sale entry '!$S$2:$S$1501,'Daily Sale entry '!$P$2:$P$1501,$K141,'Daily Sale entry '!$Q$2:$Q$1501,"Collection 收款",'Daily Sale entry '!$R$2:$R$1501,"Cash 现金",'Daily Sale entry '!$O$2:$O$1501,$B$2)))</f>
        <v/>
      </c>
      <c r="O141" s="24">
        <f>IF($K141="","",IF($B$2="","",SUMIFS('Daily Sale entry '!$S$2:$S$1501,'Daily Sale entry '!$P$2:$P$1501,$K141,'Daily Sale entry '!$Q$2:$Q$1501,"Collection 收款",'Daily Sale entry '!$R$2:$R$1501,"Cheque 支票",'Daily Sale entry '!$O$2:$O$1501,$B$2)))</f>
        <v/>
      </c>
      <c r="P141" s="24">
        <f>IF($K141="","",IF($B$2="","",SUMIFS('Daily Sale entry '!$AC$2:$AC$1501,'Daily Sale entry '!$AA$2:$AA$1501,$K141,'Daily Sale entry '!$Z$2:$Z$1501,"Online collection 网上收款",'Daily Sale entry '!$X$2:$X$1501,$B$2)))</f>
        <v/>
      </c>
      <c r="Q141" s="24">
        <f>IF($K141="","",IF($B$2="","",SUMIFS('Debtor Ledger'!$K$2:$K$3001,'Debtor Ledger'!$C$2:$C$3001,$K141,'Debtor Ledger'!$B$2:$B$3001,$B$2)))</f>
        <v/>
      </c>
      <c r="R141" s="24">
        <f>IF($K141="","",IF($B$2="","",ROUND(L141+M141-N141-O141-P141-Q141,2)))</f>
        <v/>
      </c>
      <c r="S141" s="21">
        <f>IF(K141="","",IF($B$2="","",IF(ABS(M141)+ABS(N141)+ABS(O141)+ABS(P141)+ABS(Q141)&gt;0,1,0)))</f>
        <v/>
      </c>
      <c r="T141" s="21">
        <f>IF(S141=1,SUM($S$6:S141),"")</f>
        <v/>
      </c>
    </row>
    <row r="142">
      <c r="A142">
        <f>IF($I142="","",INDEX(K$6:K$305,$I142))</f>
        <v/>
      </c>
      <c r="B142" s="6">
        <f>IF($I142="","",INDEX(L$6:L$305,$I142))</f>
        <v/>
      </c>
      <c r="C142" s="6">
        <f>IF($I142="","",INDEX(M$6:M$305,$I142))</f>
        <v/>
      </c>
      <c r="D142" s="6">
        <f>IF($I142="","",INDEX(N$6:N$305,$I142))</f>
        <v/>
      </c>
      <c r="E142" s="6">
        <f>IF($I142="","",INDEX(O$6:O$305,$I142))</f>
        <v/>
      </c>
      <c r="F142" s="6">
        <f>IF($I142="","",INDEX(P$6:P$305,$I142))</f>
        <v/>
      </c>
      <c r="G142" s="6">
        <f>IF($I142="","",INDEX(Q$6:Q$305,$I142))</f>
        <v/>
      </c>
      <c r="H142" s="6">
        <f>IF($I142="","",INDEX(R$6:R$305,$I142))</f>
        <v/>
      </c>
      <c r="I142" s="21">
        <f>IFERROR(MATCH(137,$T$6:$T$305,0),"")</f>
        <v/>
      </c>
      <c r="K142" s="21">
        <f>IF('Debtor Summary'!A141="","",'Debtor Summary'!A141)</f>
        <v/>
      </c>
      <c r="L142" s="24">
        <f>IF($K142="","",IF($B$2="","",ROUND(SUMIFS('Opening Balance'!$F$4:$F$303,'Opening Balance'!$G$4:$G$303,$K142)+SUMIFS('Daily Sale entry '!$S$2:$S$1501,'Daily Sale entry '!$P$2:$P$1501,$K142,'Daily Sale entry '!$Q$2:$Q$1501,"Credit Sale 赊销",'Daily Sale entry '!$O$2:$O$1501,"&lt;"&amp;$B$2)-SUMIFS('Daily Sale entry '!$S$2:$S$1501,'Daily Sale entry '!$P$2:$P$1501,$K142,'Daily Sale entry '!$Q$2:$Q$1501,"Collection 收款",'Daily Sale entry '!$O$2:$O$1501,"&lt;"&amp;$B$2)-SUMIFS('Daily Sale entry '!$AC$2:$AC$1501,'Daily Sale entry '!$AA$2:$AA$1501,$K142,'Daily Sale entry '!$Z$2:$Z$1501,"Online collection 网上收款",'Daily Sale entry '!$X$2:$X$1501,"&lt;"&amp;$B$2)-SUMIFS('Debtor Ledger'!$K$2:$K$3001,'Debtor Ledger'!$C$2:$C$3001,$K142,'Debtor Ledger'!$B$2:$B$3001,"&lt;"&amp;$B$2),2)))</f>
        <v/>
      </c>
      <c r="M142" s="24">
        <f>IF($K142="","",IF($B$2="","",SUMIFS('Daily Sale entry '!$S$2:$S$1501,'Daily Sale entry '!$P$2:$P$1501,$K142,'Daily Sale entry '!$Q$2:$Q$1501,"Credit Sale 赊销",'Daily Sale entry '!$O$2:$O$1501,$B$2)))</f>
        <v/>
      </c>
      <c r="N142" s="24">
        <f>IF($K142="","",IF($B$2="","",SUMIFS('Daily Sale entry '!$S$2:$S$1501,'Daily Sale entry '!$P$2:$P$1501,$K142,'Daily Sale entry '!$Q$2:$Q$1501,"Collection 收款",'Daily Sale entry '!$R$2:$R$1501,"Cash 现金",'Daily Sale entry '!$O$2:$O$1501,$B$2)))</f>
        <v/>
      </c>
      <c r="O142" s="24">
        <f>IF($K142="","",IF($B$2="","",SUMIFS('Daily Sale entry '!$S$2:$S$1501,'Daily Sale entry '!$P$2:$P$1501,$K142,'Daily Sale entry '!$Q$2:$Q$1501,"Collection 收款",'Daily Sale entry '!$R$2:$R$1501,"Cheque 支票",'Daily Sale entry '!$O$2:$O$1501,$B$2)))</f>
        <v/>
      </c>
      <c r="P142" s="24">
        <f>IF($K142="","",IF($B$2="","",SUMIFS('Daily Sale entry '!$AC$2:$AC$1501,'Daily Sale entry '!$AA$2:$AA$1501,$K142,'Daily Sale entry '!$Z$2:$Z$1501,"Online collection 网上收款",'Daily Sale entry '!$X$2:$X$1501,$B$2)))</f>
        <v/>
      </c>
      <c r="Q142" s="24">
        <f>IF($K142="","",IF($B$2="","",SUMIFS('Debtor Ledger'!$K$2:$K$3001,'Debtor Ledger'!$C$2:$C$3001,$K142,'Debtor Ledger'!$B$2:$B$3001,$B$2)))</f>
        <v/>
      </c>
      <c r="R142" s="24">
        <f>IF($K142="","",IF($B$2="","",ROUND(L142+M142-N142-O142-P142-Q142,2)))</f>
        <v/>
      </c>
      <c r="S142" s="21">
        <f>IF(K142="","",IF($B$2="","",IF(ABS(M142)+ABS(N142)+ABS(O142)+ABS(P142)+ABS(Q142)&gt;0,1,0)))</f>
        <v/>
      </c>
      <c r="T142" s="21">
        <f>IF(S142=1,SUM($S$6:S142),"")</f>
        <v/>
      </c>
    </row>
    <row r="143">
      <c r="A143">
        <f>IF($I143="","",INDEX(K$6:K$305,$I143))</f>
        <v/>
      </c>
      <c r="B143" s="6">
        <f>IF($I143="","",INDEX(L$6:L$305,$I143))</f>
        <v/>
      </c>
      <c r="C143" s="6">
        <f>IF($I143="","",INDEX(M$6:M$305,$I143))</f>
        <v/>
      </c>
      <c r="D143" s="6">
        <f>IF($I143="","",INDEX(N$6:N$305,$I143))</f>
        <v/>
      </c>
      <c r="E143" s="6">
        <f>IF($I143="","",INDEX(O$6:O$305,$I143))</f>
        <v/>
      </c>
      <c r="F143" s="6">
        <f>IF($I143="","",INDEX(P$6:P$305,$I143))</f>
        <v/>
      </c>
      <c r="G143" s="6">
        <f>IF($I143="","",INDEX(Q$6:Q$305,$I143))</f>
        <v/>
      </c>
      <c r="H143" s="6">
        <f>IF($I143="","",INDEX(R$6:R$305,$I143))</f>
        <v/>
      </c>
      <c r="I143" s="21">
        <f>IFERROR(MATCH(138,$T$6:$T$305,0),"")</f>
        <v/>
      </c>
      <c r="K143" s="21">
        <f>IF('Debtor Summary'!A142="","",'Debtor Summary'!A142)</f>
        <v/>
      </c>
      <c r="L143" s="24">
        <f>IF($K143="","",IF($B$2="","",ROUND(SUMIFS('Opening Balance'!$F$4:$F$303,'Opening Balance'!$G$4:$G$303,$K143)+SUMIFS('Daily Sale entry '!$S$2:$S$1501,'Daily Sale entry '!$P$2:$P$1501,$K143,'Daily Sale entry '!$Q$2:$Q$1501,"Credit Sale 赊销",'Daily Sale entry '!$O$2:$O$1501,"&lt;"&amp;$B$2)-SUMIFS('Daily Sale entry '!$S$2:$S$1501,'Daily Sale entry '!$P$2:$P$1501,$K143,'Daily Sale entry '!$Q$2:$Q$1501,"Collection 收款",'Daily Sale entry '!$O$2:$O$1501,"&lt;"&amp;$B$2)-SUMIFS('Daily Sale entry '!$AC$2:$AC$1501,'Daily Sale entry '!$AA$2:$AA$1501,$K143,'Daily Sale entry '!$Z$2:$Z$1501,"Online collection 网上收款",'Daily Sale entry '!$X$2:$X$1501,"&lt;"&amp;$B$2)-SUMIFS('Debtor Ledger'!$K$2:$K$3001,'Debtor Ledger'!$C$2:$C$3001,$K143,'Debtor Ledger'!$B$2:$B$3001,"&lt;"&amp;$B$2),2)))</f>
        <v/>
      </c>
      <c r="M143" s="24">
        <f>IF($K143="","",IF($B$2="","",SUMIFS('Daily Sale entry '!$S$2:$S$1501,'Daily Sale entry '!$P$2:$P$1501,$K143,'Daily Sale entry '!$Q$2:$Q$1501,"Credit Sale 赊销",'Daily Sale entry '!$O$2:$O$1501,$B$2)))</f>
        <v/>
      </c>
      <c r="N143" s="24">
        <f>IF($K143="","",IF($B$2="","",SUMIFS('Daily Sale entry '!$S$2:$S$1501,'Daily Sale entry '!$P$2:$P$1501,$K143,'Daily Sale entry '!$Q$2:$Q$1501,"Collection 收款",'Daily Sale entry '!$R$2:$R$1501,"Cash 现金",'Daily Sale entry '!$O$2:$O$1501,$B$2)))</f>
        <v/>
      </c>
      <c r="O143" s="24">
        <f>IF($K143="","",IF($B$2="","",SUMIFS('Daily Sale entry '!$S$2:$S$1501,'Daily Sale entry '!$P$2:$P$1501,$K143,'Daily Sale entry '!$Q$2:$Q$1501,"Collection 收款",'Daily Sale entry '!$R$2:$R$1501,"Cheque 支票",'Daily Sale entry '!$O$2:$O$1501,$B$2)))</f>
        <v/>
      </c>
      <c r="P143" s="24">
        <f>IF($K143="","",IF($B$2="","",SUMIFS('Daily Sale entry '!$AC$2:$AC$1501,'Daily Sale entry '!$AA$2:$AA$1501,$K143,'Daily Sale entry '!$Z$2:$Z$1501,"Online collection 网上收款",'Daily Sale entry '!$X$2:$X$1501,$B$2)))</f>
        <v/>
      </c>
      <c r="Q143" s="24">
        <f>IF($K143="","",IF($B$2="","",SUMIFS('Debtor Ledger'!$K$2:$K$3001,'Debtor Ledger'!$C$2:$C$3001,$K143,'Debtor Ledger'!$B$2:$B$3001,$B$2)))</f>
        <v/>
      </c>
      <c r="R143" s="24">
        <f>IF($K143="","",IF($B$2="","",ROUND(L143+M143-N143-O143-P143-Q143,2)))</f>
        <v/>
      </c>
      <c r="S143" s="21">
        <f>IF(K143="","",IF($B$2="","",IF(ABS(M143)+ABS(N143)+ABS(O143)+ABS(P143)+ABS(Q143)&gt;0,1,0)))</f>
        <v/>
      </c>
      <c r="T143" s="21">
        <f>IF(S143=1,SUM($S$6:S143),"")</f>
        <v/>
      </c>
    </row>
    <row r="144">
      <c r="A144">
        <f>IF($I144="","",INDEX(K$6:K$305,$I144))</f>
        <v/>
      </c>
      <c r="B144" s="6">
        <f>IF($I144="","",INDEX(L$6:L$305,$I144))</f>
        <v/>
      </c>
      <c r="C144" s="6">
        <f>IF($I144="","",INDEX(M$6:M$305,$I144))</f>
        <v/>
      </c>
      <c r="D144" s="6">
        <f>IF($I144="","",INDEX(N$6:N$305,$I144))</f>
        <v/>
      </c>
      <c r="E144" s="6">
        <f>IF($I144="","",INDEX(O$6:O$305,$I144))</f>
        <v/>
      </c>
      <c r="F144" s="6">
        <f>IF($I144="","",INDEX(P$6:P$305,$I144))</f>
        <v/>
      </c>
      <c r="G144" s="6">
        <f>IF($I144="","",INDEX(Q$6:Q$305,$I144))</f>
        <v/>
      </c>
      <c r="H144" s="6">
        <f>IF($I144="","",INDEX(R$6:R$305,$I144))</f>
        <v/>
      </c>
      <c r="I144" s="21">
        <f>IFERROR(MATCH(139,$T$6:$T$305,0),"")</f>
        <v/>
      </c>
      <c r="K144" s="21">
        <f>IF('Debtor Summary'!A143="","",'Debtor Summary'!A143)</f>
        <v/>
      </c>
      <c r="L144" s="24">
        <f>IF($K144="","",IF($B$2="","",ROUND(SUMIFS('Opening Balance'!$F$4:$F$303,'Opening Balance'!$G$4:$G$303,$K144)+SUMIFS('Daily Sale entry '!$S$2:$S$1501,'Daily Sale entry '!$P$2:$P$1501,$K144,'Daily Sale entry '!$Q$2:$Q$1501,"Credit Sale 赊销",'Daily Sale entry '!$O$2:$O$1501,"&lt;"&amp;$B$2)-SUMIFS('Daily Sale entry '!$S$2:$S$1501,'Daily Sale entry '!$P$2:$P$1501,$K144,'Daily Sale entry '!$Q$2:$Q$1501,"Collection 收款",'Daily Sale entry '!$O$2:$O$1501,"&lt;"&amp;$B$2)-SUMIFS('Daily Sale entry '!$AC$2:$AC$1501,'Daily Sale entry '!$AA$2:$AA$1501,$K144,'Daily Sale entry '!$Z$2:$Z$1501,"Online collection 网上收款",'Daily Sale entry '!$X$2:$X$1501,"&lt;"&amp;$B$2)-SUMIFS('Debtor Ledger'!$K$2:$K$3001,'Debtor Ledger'!$C$2:$C$3001,$K144,'Debtor Ledger'!$B$2:$B$3001,"&lt;"&amp;$B$2),2)))</f>
        <v/>
      </c>
      <c r="M144" s="24">
        <f>IF($K144="","",IF($B$2="","",SUMIFS('Daily Sale entry '!$S$2:$S$1501,'Daily Sale entry '!$P$2:$P$1501,$K144,'Daily Sale entry '!$Q$2:$Q$1501,"Credit Sale 赊销",'Daily Sale entry '!$O$2:$O$1501,$B$2)))</f>
        <v/>
      </c>
      <c r="N144" s="24">
        <f>IF($K144="","",IF($B$2="","",SUMIFS('Daily Sale entry '!$S$2:$S$1501,'Daily Sale entry '!$P$2:$P$1501,$K144,'Daily Sale entry '!$Q$2:$Q$1501,"Collection 收款",'Daily Sale entry '!$R$2:$R$1501,"Cash 现金",'Daily Sale entry '!$O$2:$O$1501,$B$2)))</f>
        <v/>
      </c>
      <c r="O144" s="24">
        <f>IF($K144="","",IF($B$2="","",SUMIFS('Daily Sale entry '!$S$2:$S$1501,'Daily Sale entry '!$P$2:$P$1501,$K144,'Daily Sale entry '!$Q$2:$Q$1501,"Collection 收款",'Daily Sale entry '!$R$2:$R$1501,"Cheque 支票",'Daily Sale entry '!$O$2:$O$1501,$B$2)))</f>
        <v/>
      </c>
      <c r="P144" s="24">
        <f>IF($K144="","",IF($B$2="","",SUMIFS('Daily Sale entry '!$AC$2:$AC$1501,'Daily Sale entry '!$AA$2:$AA$1501,$K144,'Daily Sale entry '!$Z$2:$Z$1501,"Online collection 网上收款",'Daily Sale entry '!$X$2:$X$1501,$B$2)))</f>
        <v/>
      </c>
      <c r="Q144" s="24">
        <f>IF($K144="","",IF($B$2="","",SUMIFS('Debtor Ledger'!$K$2:$K$3001,'Debtor Ledger'!$C$2:$C$3001,$K144,'Debtor Ledger'!$B$2:$B$3001,$B$2)))</f>
        <v/>
      </c>
      <c r="R144" s="24">
        <f>IF($K144="","",IF($B$2="","",ROUND(L144+M144-N144-O144-P144-Q144,2)))</f>
        <v/>
      </c>
      <c r="S144" s="21">
        <f>IF(K144="","",IF($B$2="","",IF(ABS(M144)+ABS(N144)+ABS(O144)+ABS(P144)+ABS(Q144)&gt;0,1,0)))</f>
        <v/>
      </c>
      <c r="T144" s="21">
        <f>IF(S144=1,SUM($S$6:S144),"")</f>
        <v/>
      </c>
    </row>
    <row r="145">
      <c r="A145">
        <f>IF($I145="","",INDEX(K$6:K$305,$I145))</f>
        <v/>
      </c>
      <c r="B145" s="6">
        <f>IF($I145="","",INDEX(L$6:L$305,$I145))</f>
        <v/>
      </c>
      <c r="C145" s="6">
        <f>IF($I145="","",INDEX(M$6:M$305,$I145))</f>
        <v/>
      </c>
      <c r="D145" s="6">
        <f>IF($I145="","",INDEX(N$6:N$305,$I145))</f>
        <v/>
      </c>
      <c r="E145" s="6">
        <f>IF($I145="","",INDEX(O$6:O$305,$I145))</f>
        <v/>
      </c>
      <c r="F145" s="6">
        <f>IF($I145="","",INDEX(P$6:P$305,$I145))</f>
        <v/>
      </c>
      <c r="G145" s="6">
        <f>IF($I145="","",INDEX(Q$6:Q$305,$I145))</f>
        <v/>
      </c>
      <c r="H145" s="6">
        <f>IF($I145="","",INDEX(R$6:R$305,$I145))</f>
        <v/>
      </c>
      <c r="I145" s="21">
        <f>IFERROR(MATCH(140,$T$6:$T$305,0),"")</f>
        <v/>
      </c>
      <c r="K145" s="21">
        <f>IF('Debtor Summary'!A144="","",'Debtor Summary'!A144)</f>
        <v/>
      </c>
      <c r="L145" s="24">
        <f>IF($K145="","",IF($B$2="","",ROUND(SUMIFS('Opening Balance'!$F$4:$F$303,'Opening Balance'!$G$4:$G$303,$K145)+SUMIFS('Daily Sale entry '!$S$2:$S$1501,'Daily Sale entry '!$P$2:$P$1501,$K145,'Daily Sale entry '!$Q$2:$Q$1501,"Credit Sale 赊销",'Daily Sale entry '!$O$2:$O$1501,"&lt;"&amp;$B$2)-SUMIFS('Daily Sale entry '!$S$2:$S$1501,'Daily Sale entry '!$P$2:$P$1501,$K145,'Daily Sale entry '!$Q$2:$Q$1501,"Collection 收款",'Daily Sale entry '!$O$2:$O$1501,"&lt;"&amp;$B$2)-SUMIFS('Daily Sale entry '!$AC$2:$AC$1501,'Daily Sale entry '!$AA$2:$AA$1501,$K145,'Daily Sale entry '!$Z$2:$Z$1501,"Online collection 网上收款",'Daily Sale entry '!$X$2:$X$1501,"&lt;"&amp;$B$2)-SUMIFS('Debtor Ledger'!$K$2:$K$3001,'Debtor Ledger'!$C$2:$C$3001,$K145,'Debtor Ledger'!$B$2:$B$3001,"&lt;"&amp;$B$2),2)))</f>
        <v/>
      </c>
      <c r="M145" s="24">
        <f>IF($K145="","",IF($B$2="","",SUMIFS('Daily Sale entry '!$S$2:$S$1501,'Daily Sale entry '!$P$2:$P$1501,$K145,'Daily Sale entry '!$Q$2:$Q$1501,"Credit Sale 赊销",'Daily Sale entry '!$O$2:$O$1501,$B$2)))</f>
        <v/>
      </c>
      <c r="N145" s="24">
        <f>IF($K145="","",IF($B$2="","",SUMIFS('Daily Sale entry '!$S$2:$S$1501,'Daily Sale entry '!$P$2:$P$1501,$K145,'Daily Sale entry '!$Q$2:$Q$1501,"Collection 收款",'Daily Sale entry '!$R$2:$R$1501,"Cash 现金",'Daily Sale entry '!$O$2:$O$1501,$B$2)))</f>
        <v/>
      </c>
      <c r="O145" s="24">
        <f>IF($K145="","",IF($B$2="","",SUMIFS('Daily Sale entry '!$S$2:$S$1501,'Daily Sale entry '!$P$2:$P$1501,$K145,'Daily Sale entry '!$Q$2:$Q$1501,"Collection 收款",'Daily Sale entry '!$R$2:$R$1501,"Cheque 支票",'Daily Sale entry '!$O$2:$O$1501,$B$2)))</f>
        <v/>
      </c>
      <c r="P145" s="24">
        <f>IF($K145="","",IF($B$2="","",SUMIFS('Daily Sale entry '!$AC$2:$AC$1501,'Daily Sale entry '!$AA$2:$AA$1501,$K145,'Daily Sale entry '!$Z$2:$Z$1501,"Online collection 网上收款",'Daily Sale entry '!$X$2:$X$1501,$B$2)))</f>
        <v/>
      </c>
      <c r="Q145" s="24">
        <f>IF($K145="","",IF($B$2="","",SUMIFS('Debtor Ledger'!$K$2:$K$3001,'Debtor Ledger'!$C$2:$C$3001,$K145,'Debtor Ledger'!$B$2:$B$3001,$B$2)))</f>
        <v/>
      </c>
      <c r="R145" s="24">
        <f>IF($K145="","",IF($B$2="","",ROUND(L145+M145-N145-O145-P145-Q145,2)))</f>
        <v/>
      </c>
      <c r="S145" s="21">
        <f>IF(K145="","",IF($B$2="","",IF(ABS(M145)+ABS(N145)+ABS(O145)+ABS(P145)+ABS(Q145)&gt;0,1,0)))</f>
        <v/>
      </c>
      <c r="T145" s="21">
        <f>IF(S145=1,SUM($S$6:S145),"")</f>
        <v/>
      </c>
    </row>
    <row r="146">
      <c r="A146">
        <f>IF($I146="","",INDEX(K$6:K$305,$I146))</f>
        <v/>
      </c>
      <c r="B146" s="6">
        <f>IF($I146="","",INDEX(L$6:L$305,$I146))</f>
        <v/>
      </c>
      <c r="C146" s="6">
        <f>IF($I146="","",INDEX(M$6:M$305,$I146))</f>
        <v/>
      </c>
      <c r="D146" s="6">
        <f>IF($I146="","",INDEX(N$6:N$305,$I146))</f>
        <v/>
      </c>
      <c r="E146" s="6">
        <f>IF($I146="","",INDEX(O$6:O$305,$I146))</f>
        <v/>
      </c>
      <c r="F146" s="6">
        <f>IF($I146="","",INDEX(P$6:P$305,$I146))</f>
        <v/>
      </c>
      <c r="G146" s="6">
        <f>IF($I146="","",INDEX(Q$6:Q$305,$I146))</f>
        <v/>
      </c>
      <c r="H146" s="6">
        <f>IF($I146="","",INDEX(R$6:R$305,$I146))</f>
        <v/>
      </c>
      <c r="I146" s="21">
        <f>IFERROR(MATCH(141,$T$6:$T$305,0),"")</f>
        <v/>
      </c>
      <c r="K146" s="21">
        <f>IF('Debtor Summary'!A145="","",'Debtor Summary'!A145)</f>
        <v/>
      </c>
      <c r="L146" s="24">
        <f>IF($K146="","",IF($B$2="","",ROUND(SUMIFS('Opening Balance'!$F$4:$F$303,'Opening Balance'!$G$4:$G$303,$K146)+SUMIFS('Daily Sale entry '!$S$2:$S$1501,'Daily Sale entry '!$P$2:$P$1501,$K146,'Daily Sale entry '!$Q$2:$Q$1501,"Credit Sale 赊销",'Daily Sale entry '!$O$2:$O$1501,"&lt;"&amp;$B$2)-SUMIFS('Daily Sale entry '!$S$2:$S$1501,'Daily Sale entry '!$P$2:$P$1501,$K146,'Daily Sale entry '!$Q$2:$Q$1501,"Collection 收款",'Daily Sale entry '!$O$2:$O$1501,"&lt;"&amp;$B$2)-SUMIFS('Daily Sale entry '!$AC$2:$AC$1501,'Daily Sale entry '!$AA$2:$AA$1501,$K146,'Daily Sale entry '!$Z$2:$Z$1501,"Online collection 网上收款",'Daily Sale entry '!$X$2:$X$1501,"&lt;"&amp;$B$2)-SUMIFS('Debtor Ledger'!$K$2:$K$3001,'Debtor Ledger'!$C$2:$C$3001,$K146,'Debtor Ledger'!$B$2:$B$3001,"&lt;"&amp;$B$2),2)))</f>
        <v/>
      </c>
      <c r="M146" s="24">
        <f>IF($K146="","",IF($B$2="","",SUMIFS('Daily Sale entry '!$S$2:$S$1501,'Daily Sale entry '!$P$2:$P$1501,$K146,'Daily Sale entry '!$Q$2:$Q$1501,"Credit Sale 赊销",'Daily Sale entry '!$O$2:$O$1501,$B$2)))</f>
        <v/>
      </c>
      <c r="N146" s="24">
        <f>IF($K146="","",IF($B$2="","",SUMIFS('Daily Sale entry '!$S$2:$S$1501,'Daily Sale entry '!$P$2:$P$1501,$K146,'Daily Sale entry '!$Q$2:$Q$1501,"Collection 收款",'Daily Sale entry '!$R$2:$R$1501,"Cash 现金",'Daily Sale entry '!$O$2:$O$1501,$B$2)))</f>
        <v/>
      </c>
      <c r="O146" s="24">
        <f>IF($K146="","",IF($B$2="","",SUMIFS('Daily Sale entry '!$S$2:$S$1501,'Daily Sale entry '!$P$2:$P$1501,$K146,'Daily Sale entry '!$Q$2:$Q$1501,"Collection 收款",'Daily Sale entry '!$R$2:$R$1501,"Cheque 支票",'Daily Sale entry '!$O$2:$O$1501,$B$2)))</f>
        <v/>
      </c>
      <c r="P146" s="24">
        <f>IF($K146="","",IF($B$2="","",SUMIFS('Daily Sale entry '!$AC$2:$AC$1501,'Daily Sale entry '!$AA$2:$AA$1501,$K146,'Daily Sale entry '!$Z$2:$Z$1501,"Online collection 网上收款",'Daily Sale entry '!$X$2:$X$1501,$B$2)))</f>
        <v/>
      </c>
      <c r="Q146" s="24">
        <f>IF($K146="","",IF($B$2="","",SUMIFS('Debtor Ledger'!$K$2:$K$3001,'Debtor Ledger'!$C$2:$C$3001,$K146,'Debtor Ledger'!$B$2:$B$3001,$B$2)))</f>
        <v/>
      </c>
      <c r="R146" s="24">
        <f>IF($K146="","",IF($B$2="","",ROUND(L146+M146-N146-O146-P146-Q146,2)))</f>
        <v/>
      </c>
      <c r="S146" s="21">
        <f>IF(K146="","",IF($B$2="","",IF(ABS(M146)+ABS(N146)+ABS(O146)+ABS(P146)+ABS(Q146)&gt;0,1,0)))</f>
        <v/>
      </c>
      <c r="T146" s="21">
        <f>IF(S146=1,SUM($S$6:S146),"")</f>
        <v/>
      </c>
    </row>
    <row r="147">
      <c r="A147">
        <f>IF($I147="","",INDEX(K$6:K$305,$I147))</f>
        <v/>
      </c>
      <c r="B147" s="6">
        <f>IF($I147="","",INDEX(L$6:L$305,$I147))</f>
        <v/>
      </c>
      <c r="C147" s="6">
        <f>IF($I147="","",INDEX(M$6:M$305,$I147))</f>
        <v/>
      </c>
      <c r="D147" s="6">
        <f>IF($I147="","",INDEX(N$6:N$305,$I147))</f>
        <v/>
      </c>
      <c r="E147" s="6">
        <f>IF($I147="","",INDEX(O$6:O$305,$I147))</f>
        <v/>
      </c>
      <c r="F147" s="6">
        <f>IF($I147="","",INDEX(P$6:P$305,$I147))</f>
        <v/>
      </c>
      <c r="G147" s="6">
        <f>IF($I147="","",INDEX(Q$6:Q$305,$I147))</f>
        <v/>
      </c>
      <c r="H147" s="6">
        <f>IF($I147="","",INDEX(R$6:R$305,$I147))</f>
        <v/>
      </c>
      <c r="I147" s="21">
        <f>IFERROR(MATCH(142,$T$6:$T$305,0),"")</f>
        <v/>
      </c>
      <c r="K147" s="21">
        <f>IF('Debtor Summary'!A146="","",'Debtor Summary'!A146)</f>
        <v/>
      </c>
      <c r="L147" s="24">
        <f>IF($K147="","",IF($B$2="","",ROUND(SUMIFS('Opening Balance'!$F$4:$F$303,'Opening Balance'!$G$4:$G$303,$K147)+SUMIFS('Daily Sale entry '!$S$2:$S$1501,'Daily Sale entry '!$P$2:$P$1501,$K147,'Daily Sale entry '!$Q$2:$Q$1501,"Credit Sale 赊销",'Daily Sale entry '!$O$2:$O$1501,"&lt;"&amp;$B$2)-SUMIFS('Daily Sale entry '!$S$2:$S$1501,'Daily Sale entry '!$P$2:$P$1501,$K147,'Daily Sale entry '!$Q$2:$Q$1501,"Collection 收款",'Daily Sale entry '!$O$2:$O$1501,"&lt;"&amp;$B$2)-SUMIFS('Daily Sale entry '!$AC$2:$AC$1501,'Daily Sale entry '!$AA$2:$AA$1501,$K147,'Daily Sale entry '!$Z$2:$Z$1501,"Online collection 网上收款",'Daily Sale entry '!$X$2:$X$1501,"&lt;"&amp;$B$2)-SUMIFS('Debtor Ledger'!$K$2:$K$3001,'Debtor Ledger'!$C$2:$C$3001,$K147,'Debtor Ledger'!$B$2:$B$3001,"&lt;"&amp;$B$2),2)))</f>
        <v/>
      </c>
      <c r="M147" s="24">
        <f>IF($K147="","",IF($B$2="","",SUMIFS('Daily Sale entry '!$S$2:$S$1501,'Daily Sale entry '!$P$2:$P$1501,$K147,'Daily Sale entry '!$Q$2:$Q$1501,"Credit Sale 赊销",'Daily Sale entry '!$O$2:$O$1501,$B$2)))</f>
        <v/>
      </c>
      <c r="N147" s="24">
        <f>IF($K147="","",IF($B$2="","",SUMIFS('Daily Sale entry '!$S$2:$S$1501,'Daily Sale entry '!$P$2:$P$1501,$K147,'Daily Sale entry '!$Q$2:$Q$1501,"Collection 收款",'Daily Sale entry '!$R$2:$R$1501,"Cash 现金",'Daily Sale entry '!$O$2:$O$1501,$B$2)))</f>
        <v/>
      </c>
      <c r="O147" s="24">
        <f>IF($K147="","",IF($B$2="","",SUMIFS('Daily Sale entry '!$S$2:$S$1501,'Daily Sale entry '!$P$2:$P$1501,$K147,'Daily Sale entry '!$Q$2:$Q$1501,"Collection 收款",'Daily Sale entry '!$R$2:$R$1501,"Cheque 支票",'Daily Sale entry '!$O$2:$O$1501,$B$2)))</f>
        <v/>
      </c>
      <c r="P147" s="24">
        <f>IF($K147="","",IF($B$2="","",SUMIFS('Daily Sale entry '!$AC$2:$AC$1501,'Daily Sale entry '!$AA$2:$AA$1501,$K147,'Daily Sale entry '!$Z$2:$Z$1501,"Online collection 网上收款",'Daily Sale entry '!$X$2:$X$1501,$B$2)))</f>
        <v/>
      </c>
      <c r="Q147" s="24">
        <f>IF($K147="","",IF($B$2="","",SUMIFS('Debtor Ledger'!$K$2:$K$3001,'Debtor Ledger'!$C$2:$C$3001,$K147,'Debtor Ledger'!$B$2:$B$3001,$B$2)))</f>
        <v/>
      </c>
      <c r="R147" s="24">
        <f>IF($K147="","",IF($B$2="","",ROUND(L147+M147-N147-O147-P147-Q147,2)))</f>
        <v/>
      </c>
      <c r="S147" s="21">
        <f>IF(K147="","",IF($B$2="","",IF(ABS(M147)+ABS(N147)+ABS(O147)+ABS(P147)+ABS(Q147)&gt;0,1,0)))</f>
        <v/>
      </c>
      <c r="T147" s="21">
        <f>IF(S147=1,SUM($S$6:S147),"")</f>
        <v/>
      </c>
    </row>
    <row r="148">
      <c r="A148">
        <f>IF($I148="","",INDEX(K$6:K$305,$I148))</f>
        <v/>
      </c>
      <c r="B148" s="6">
        <f>IF($I148="","",INDEX(L$6:L$305,$I148))</f>
        <v/>
      </c>
      <c r="C148" s="6">
        <f>IF($I148="","",INDEX(M$6:M$305,$I148))</f>
        <v/>
      </c>
      <c r="D148" s="6">
        <f>IF($I148="","",INDEX(N$6:N$305,$I148))</f>
        <v/>
      </c>
      <c r="E148" s="6">
        <f>IF($I148="","",INDEX(O$6:O$305,$I148))</f>
        <v/>
      </c>
      <c r="F148" s="6">
        <f>IF($I148="","",INDEX(P$6:P$305,$I148))</f>
        <v/>
      </c>
      <c r="G148" s="6">
        <f>IF($I148="","",INDEX(Q$6:Q$305,$I148))</f>
        <v/>
      </c>
      <c r="H148" s="6">
        <f>IF($I148="","",INDEX(R$6:R$305,$I148))</f>
        <v/>
      </c>
      <c r="I148" s="21">
        <f>IFERROR(MATCH(143,$T$6:$T$305,0),"")</f>
        <v/>
      </c>
      <c r="K148" s="21">
        <f>IF('Debtor Summary'!A147="","",'Debtor Summary'!A147)</f>
        <v/>
      </c>
      <c r="L148" s="24">
        <f>IF($K148="","",IF($B$2="","",ROUND(SUMIFS('Opening Balance'!$F$4:$F$303,'Opening Balance'!$G$4:$G$303,$K148)+SUMIFS('Daily Sale entry '!$S$2:$S$1501,'Daily Sale entry '!$P$2:$P$1501,$K148,'Daily Sale entry '!$Q$2:$Q$1501,"Credit Sale 赊销",'Daily Sale entry '!$O$2:$O$1501,"&lt;"&amp;$B$2)-SUMIFS('Daily Sale entry '!$S$2:$S$1501,'Daily Sale entry '!$P$2:$P$1501,$K148,'Daily Sale entry '!$Q$2:$Q$1501,"Collection 收款",'Daily Sale entry '!$O$2:$O$1501,"&lt;"&amp;$B$2)-SUMIFS('Daily Sale entry '!$AC$2:$AC$1501,'Daily Sale entry '!$AA$2:$AA$1501,$K148,'Daily Sale entry '!$Z$2:$Z$1501,"Online collection 网上收款",'Daily Sale entry '!$X$2:$X$1501,"&lt;"&amp;$B$2)-SUMIFS('Debtor Ledger'!$K$2:$K$3001,'Debtor Ledger'!$C$2:$C$3001,$K148,'Debtor Ledger'!$B$2:$B$3001,"&lt;"&amp;$B$2),2)))</f>
        <v/>
      </c>
      <c r="M148" s="24">
        <f>IF($K148="","",IF($B$2="","",SUMIFS('Daily Sale entry '!$S$2:$S$1501,'Daily Sale entry '!$P$2:$P$1501,$K148,'Daily Sale entry '!$Q$2:$Q$1501,"Credit Sale 赊销",'Daily Sale entry '!$O$2:$O$1501,$B$2)))</f>
        <v/>
      </c>
      <c r="N148" s="24">
        <f>IF($K148="","",IF($B$2="","",SUMIFS('Daily Sale entry '!$S$2:$S$1501,'Daily Sale entry '!$P$2:$P$1501,$K148,'Daily Sale entry '!$Q$2:$Q$1501,"Collection 收款",'Daily Sale entry '!$R$2:$R$1501,"Cash 现金",'Daily Sale entry '!$O$2:$O$1501,$B$2)))</f>
        <v/>
      </c>
      <c r="O148" s="24">
        <f>IF($K148="","",IF($B$2="","",SUMIFS('Daily Sale entry '!$S$2:$S$1501,'Daily Sale entry '!$P$2:$P$1501,$K148,'Daily Sale entry '!$Q$2:$Q$1501,"Collection 收款",'Daily Sale entry '!$R$2:$R$1501,"Cheque 支票",'Daily Sale entry '!$O$2:$O$1501,$B$2)))</f>
        <v/>
      </c>
      <c r="P148" s="24">
        <f>IF($K148="","",IF($B$2="","",SUMIFS('Daily Sale entry '!$AC$2:$AC$1501,'Daily Sale entry '!$AA$2:$AA$1501,$K148,'Daily Sale entry '!$Z$2:$Z$1501,"Online collection 网上收款",'Daily Sale entry '!$X$2:$X$1501,$B$2)))</f>
        <v/>
      </c>
      <c r="Q148" s="24">
        <f>IF($K148="","",IF($B$2="","",SUMIFS('Debtor Ledger'!$K$2:$K$3001,'Debtor Ledger'!$C$2:$C$3001,$K148,'Debtor Ledger'!$B$2:$B$3001,$B$2)))</f>
        <v/>
      </c>
      <c r="R148" s="24">
        <f>IF($K148="","",IF($B$2="","",ROUND(L148+M148-N148-O148-P148-Q148,2)))</f>
        <v/>
      </c>
      <c r="S148" s="21">
        <f>IF(K148="","",IF($B$2="","",IF(ABS(M148)+ABS(N148)+ABS(O148)+ABS(P148)+ABS(Q148)&gt;0,1,0)))</f>
        <v/>
      </c>
      <c r="T148" s="21">
        <f>IF(S148=1,SUM($S$6:S148),"")</f>
        <v/>
      </c>
    </row>
    <row r="149">
      <c r="A149">
        <f>IF($I149="","",INDEX(K$6:K$305,$I149))</f>
        <v/>
      </c>
      <c r="B149" s="6">
        <f>IF($I149="","",INDEX(L$6:L$305,$I149))</f>
        <v/>
      </c>
      <c r="C149" s="6">
        <f>IF($I149="","",INDEX(M$6:M$305,$I149))</f>
        <v/>
      </c>
      <c r="D149" s="6">
        <f>IF($I149="","",INDEX(N$6:N$305,$I149))</f>
        <v/>
      </c>
      <c r="E149" s="6">
        <f>IF($I149="","",INDEX(O$6:O$305,$I149))</f>
        <v/>
      </c>
      <c r="F149" s="6">
        <f>IF($I149="","",INDEX(P$6:P$305,$I149))</f>
        <v/>
      </c>
      <c r="G149" s="6">
        <f>IF($I149="","",INDEX(Q$6:Q$305,$I149))</f>
        <v/>
      </c>
      <c r="H149" s="6">
        <f>IF($I149="","",INDEX(R$6:R$305,$I149))</f>
        <v/>
      </c>
      <c r="I149" s="21">
        <f>IFERROR(MATCH(144,$T$6:$T$305,0),"")</f>
        <v/>
      </c>
      <c r="K149" s="21">
        <f>IF('Debtor Summary'!A148="","",'Debtor Summary'!A148)</f>
        <v/>
      </c>
      <c r="L149" s="24">
        <f>IF($K149="","",IF($B$2="","",ROUND(SUMIFS('Opening Balance'!$F$4:$F$303,'Opening Balance'!$G$4:$G$303,$K149)+SUMIFS('Daily Sale entry '!$S$2:$S$1501,'Daily Sale entry '!$P$2:$P$1501,$K149,'Daily Sale entry '!$Q$2:$Q$1501,"Credit Sale 赊销",'Daily Sale entry '!$O$2:$O$1501,"&lt;"&amp;$B$2)-SUMIFS('Daily Sale entry '!$S$2:$S$1501,'Daily Sale entry '!$P$2:$P$1501,$K149,'Daily Sale entry '!$Q$2:$Q$1501,"Collection 收款",'Daily Sale entry '!$O$2:$O$1501,"&lt;"&amp;$B$2)-SUMIFS('Daily Sale entry '!$AC$2:$AC$1501,'Daily Sale entry '!$AA$2:$AA$1501,$K149,'Daily Sale entry '!$Z$2:$Z$1501,"Online collection 网上收款",'Daily Sale entry '!$X$2:$X$1501,"&lt;"&amp;$B$2)-SUMIFS('Debtor Ledger'!$K$2:$K$3001,'Debtor Ledger'!$C$2:$C$3001,$K149,'Debtor Ledger'!$B$2:$B$3001,"&lt;"&amp;$B$2),2)))</f>
        <v/>
      </c>
      <c r="M149" s="24">
        <f>IF($K149="","",IF($B$2="","",SUMIFS('Daily Sale entry '!$S$2:$S$1501,'Daily Sale entry '!$P$2:$P$1501,$K149,'Daily Sale entry '!$Q$2:$Q$1501,"Credit Sale 赊销",'Daily Sale entry '!$O$2:$O$1501,$B$2)))</f>
        <v/>
      </c>
      <c r="N149" s="24">
        <f>IF($K149="","",IF($B$2="","",SUMIFS('Daily Sale entry '!$S$2:$S$1501,'Daily Sale entry '!$P$2:$P$1501,$K149,'Daily Sale entry '!$Q$2:$Q$1501,"Collection 收款",'Daily Sale entry '!$R$2:$R$1501,"Cash 现金",'Daily Sale entry '!$O$2:$O$1501,$B$2)))</f>
        <v/>
      </c>
      <c r="O149" s="24">
        <f>IF($K149="","",IF($B$2="","",SUMIFS('Daily Sale entry '!$S$2:$S$1501,'Daily Sale entry '!$P$2:$P$1501,$K149,'Daily Sale entry '!$Q$2:$Q$1501,"Collection 收款",'Daily Sale entry '!$R$2:$R$1501,"Cheque 支票",'Daily Sale entry '!$O$2:$O$1501,$B$2)))</f>
        <v/>
      </c>
      <c r="P149" s="24">
        <f>IF($K149="","",IF($B$2="","",SUMIFS('Daily Sale entry '!$AC$2:$AC$1501,'Daily Sale entry '!$AA$2:$AA$1501,$K149,'Daily Sale entry '!$Z$2:$Z$1501,"Online collection 网上收款",'Daily Sale entry '!$X$2:$X$1501,$B$2)))</f>
        <v/>
      </c>
      <c r="Q149" s="24">
        <f>IF($K149="","",IF($B$2="","",SUMIFS('Debtor Ledger'!$K$2:$K$3001,'Debtor Ledger'!$C$2:$C$3001,$K149,'Debtor Ledger'!$B$2:$B$3001,$B$2)))</f>
        <v/>
      </c>
      <c r="R149" s="24">
        <f>IF($K149="","",IF($B$2="","",ROUND(L149+M149-N149-O149-P149-Q149,2)))</f>
        <v/>
      </c>
      <c r="S149" s="21">
        <f>IF(K149="","",IF($B$2="","",IF(ABS(M149)+ABS(N149)+ABS(O149)+ABS(P149)+ABS(Q149)&gt;0,1,0)))</f>
        <v/>
      </c>
      <c r="T149" s="21">
        <f>IF(S149=1,SUM($S$6:S149),"")</f>
        <v/>
      </c>
    </row>
    <row r="150">
      <c r="A150">
        <f>IF($I150="","",INDEX(K$6:K$305,$I150))</f>
        <v/>
      </c>
      <c r="B150" s="6">
        <f>IF($I150="","",INDEX(L$6:L$305,$I150))</f>
        <v/>
      </c>
      <c r="C150" s="6">
        <f>IF($I150="","",INDEX(M$6:M$305,$I150))</f>
        <v/>
      </c>
      <c r="D150" s="6">
        <f>IF($I150="","",INDEX(N$6:N$305,$I150))</f>
        <v/>
      </c>
      <c r="E150" s="6">
        <f>IF($I150="","",INDEX(O$6:O$305,$I150))</f>
        <v/>
      </c>
      <c r="F150" s="6">
        <f>IF($I150="","",INDEX(P$6:P$305,$I150))</f>
        <v/>
      </c>
      <c r="G150" s="6">
        <f>IF($I150="","",INDEX(Q$6:Q$305,$I150))</f>
        <v/>
      </c>
      <c r="H150" s="6">
        <f>IF($I150="","",INDEX(R$6:R$305,$I150))</f>
        <v/>
      </c>
      <c r="I150" s="21">
        <f>IFERROR(MATCH(145,$T$6:$T$305,0),"")</f>
        <v/>
      </c>
      <c r="K150" s="21">
        <f>IF('Debtor Summary'!A149="","",'Debtor Summary'!A149)</f>
        <v/>
      </c>
      <c r="L150" s="24">
        <f>IF($K150="","",IF($B$2="","",ROUND(SUMIFS('Opening Balance'!$F$4:$F$303,'Opening Balance'!$G$4:$G$303,$K150)+SUMIFS('Daily Sale entry '!$S$2:$S$1501,'Daily Sale entry '!$P$2:$P$1501,$K150,'Daily Sale entry '!$Q$2:$Q$1501,"Credit Sale 赊销",'Daily Sale entry '!$O$2:$O$1501,"&lt;"&amp;$B$2)-SUMIFS('Daily Sale entry '!$S$2:$S$1501,'Daily Sale entry '!$P$2:$P$1501,$K150,'Daily Sale entry '!$Q$2:$Q$1501,"Collection 收款",'Daily Sale entry '!$O$2:$O$1501,"&lt;"&amp;$B$2)-SUMIFS('Daily Sale entry '!$AC$2:$AC$1501,'Daily Sale entry '!$AA$2:$AA$1501,$K150,'Daily Sale entry '!$Z$2:$Z$1501,"Online collection 网上收款",'Daily Sale entry '!$X$2:$X$1501,"&lt;"&amp;$B$2)-SUMIFS('Debtor Ledger'!$K$2:$K$3001,'Debtor Ledger'!$C$2:$C$3001,$K150,'Debtor Ledger'!$B$2:$B$3001,"&lt;"&amp;$B$2),2)))</f>
        <v/>
      </c>
      <c r="M150" s="24">
        <f>IF($K150="","",IF($B$2="","",SUMIFS('Daily Sale entry '!$S$2:$S$1501,'Daily Sale entry '!$P$2:$P$1501,$K150,'Daily Sale entry '!$Q$2:$Q$1501,"Credit Sale 赊销",'Daily Sale entry '!$O$2:$O$1501,$B$2)))</f>
        <v/>
      </c>
      <c r="N150" s="24">
        <f>IF($K150="","",IF($B$2="","",SUMIFS('Daily Sale entry '!$S$2:$S$1501,'Daily Sale entry '!$P$2:$P$1501,$K150,'Daily Sale entry '!$Q$2:$Q$1501,"Collection 收款",'Daily Sale entry '!$R$2:$R$1501,"Cash 现金",'Daily Sale entry '!$O$2:$O$1501,$B$2)))</f>
        <v/>
      </c>
      <c r="O150" s="24">
        <f>IF($K150="","",IF($B$2="","",SUMIFS('Daily Sale entry '!$S$2:$S$1501,'Daily Sale entry '!$P$2:$P$1501,$K150,'Daily Sale entry '!$Q$2:$Q$1501,"Collection 收款",'Daily Sale entry '!$R$2:$R$1501,"Cheque 支票",'Daily Sale entry '!$O$2:$O$1501,$B$2)))</f>
        <v/>
      </c>
      <c r="P150" s="24">
        <f>IF($K150="","",IF($B$2="","",SUMIFS('Daily Sale entry '!$AC$2:$AC$1501,'Daily Sale entry '!$AA$2:$AA$1501,$K150,'Daily Sale entry '!$Z$2:$Z$1501,"Online collection 网上收款",'Daily Sale entry '!$X$2:$X$1501,$B$2)))</f>
        <v/>
      </c>
      <c r="Q150" s="24">
        <f>IF($K150="","",IF($B$2="","",SUMIFS('Debtor Ledger'!$K$2:$K$3001,'Debtor Ledger'!$C$2:$C$3001,$K150,'Debtor Ledger'!$B$2:$B$3001,$B$2)))</f>
        <v/>
      </c>
      <c r="R150" s="24">
        <f>IF($K150="","",IF($B$2="","",ROUND(L150+M150-N150-O150-P150-Q150,2)))</f>
        <v/>
      </c>
      <c r="S150" s="21">
        <f>IF(K150="","",IF($B$2="","",IF(ABS(M150)+ABS(N150)+ABS(O150)+ABS(P150)+ABS(Q150)&gt;0,1,0)))</f>
        <v/>
      </c>
      <c r="T150" s="21">
        <f>IF(S150=1,SUM($S$6:S150),"")</f>
        <v/>
      </c>
    </row>
    <row r="151">
      <c r="A151">
        <f>IF($I151="","",INDEX(K$6:K$305,$I151))</f>
        <v/>
      </c>
      <c r="B151" s="6">
        <f>IF($I151="","",INDEX(L$6:L$305,$I151))</f>
        <v/>
      </c>
      <c r="C151" s="6">
        <f>IF($I151="","",INDEX(M$6:M$305,$I151))</f>
        <v/>
      </c>
      <c r="D151" s="6">
        <f>IF($I151="","",INDEX(N$6:N$305,$I151))</f>
        <v/>
      </c>
      <c r="E151" s="6">
        <f>IF($I151="","",INDEX(O$6:O$305,$I151))</f>
        <v/>
      </c>
      <c r="F151" s="6">
        <f>IF($I151="","",INDEX(P$6:P$305,$I151))</f>
        <v/>
      </c>
      <c r="G151" s="6">
        <f>IF($I151="","",INDEX(Q$6:Q$305,$I151))</f>
        <v/>
      </c>
      <c r="H151" s="6">
        <f>IF($I151="","",INDEX(R$6:R$305,$I151))</f>
        <v/>
      </c>
      <c r="I151" s="21">
        <f>IFERROR(MATCH(146,$T$6:$T$305,0),"")</f>
        <v/>
      </c>
      <c r="K151" s="21">
        <f>IF('Debtor Summary'!A150="","",'Debtor Summary'!A150)</f>
        <v/>
      </c>
      <c r="L151" s="24">
        <f>IF($K151="","",IF($B$2="","",ROUND(SUMIFS('Opening Balance'!$F$4:$F$303,'Opening Balance'!$G$4:$G$303,$K151)+SUMIFS('Daily Sale entry '!$S$2:$S$1501,'Daily Sale entry '!$P$2:$P$1501,$K151,'Daily Sale entry '!$Q$2:$Q$1501,"Credit Sale 赊销",'Daily Sale entry '!$O$2:$O$1501,"&lt;"&amp;$B$2)-SUMIFS('Daily Sale entry '!$S$2:$S$1501,'Daily Sale entry '!$P$2:$P$1501,$K151,'Daily Sale entry '!$Q$2:$Q$1501,"Collection 收款",'Daily Sale entry '!$O$2:$O$1501,"&lt;"&amp;$B$2)-SUMIFS('Daily Sale entry '!$AC$2:$AC$1501,'Daily Sale entry '!$AA$2:$AA$1501,$K151,'Daily Sale entry '!$Z$2:$Z$1501,"Online collection 网上收款",'Daily Sale entry '!$X$2:$X$1501,"&lt;"&amp;$B$2)-SUMIFS('Debtor Ledger'!$K$2:$K$3001,'Debtor Ledger'!$C$2:$C$3001,$K151,'Debtor Ledger'!$B$2:$B$3001,"&lt;"&amp;$B$2),2)))</f>
        <v/>
      </c>
      <c r="M151" s="24">
        <f>IF($K151="","",IF($B$2="","",SUMIFS('Daily Sale entry '!$S$2:$S$1501,'Daily Sale entry '!$P$2:$P$1501,$K151,'Daily Sale entry '!$Q$2:$Q$1501,"Credit Sale 赊销",'Daily Sale entry '!$O$2:$O$1501,$B$2)))</f>
        <v/>
      </c>
      <c r="N151" s="24">
        <f>IF($K151="","",IF($B$2="","",SUMIFS('Daily Sale entry '!$S$2:$S$1501,'Daily Sale entry '!$P$2:$P$1501,$K151,'Daily Sale entry '!$Q$2:$Q$1501,"Collection 收款",'Daily Sale entry '!$R$2:$R$1501,"Cash 现金",'Daily Sale entry '!$O$2:$O$1501,$B$2)))</f>
        <v/>
      </c>
      <c r="O151" s="24">
        <f>IF($K151="","",IF($B$2="","",SUMIFS('Daily Sale entry '!$S$2:$S$1501,'Daily Sale entry '!$P$2:$P$1501,$K151,'Daily Sale entry '!$Q$2:$Q$1501,"Collection 收款",'Daily Sale entry '!$R$2:$R$1501,"Cheque 支票",'Daily Sale entry '!$O$2:$O$1501,$B$2)))</f>
        <v/>
      </c>
      <c r="P151" s="24">
        <f>IF($K151="","",IF($B$2="","",SUMIFS('Daily Sale entry '!$AC$2:$AC$1501,'Daily Sale entry '!$AA$2:$AA$1501,$K151,'Daily Sale entry '!$Z$2:$Z$1501,"Online collection 网上收款",'Daily Sale entry '!$X$2:$X$1501,$B$2)))</f>
        <v/>
      </c>
      <c r="Q151" s="24">
        <f>IF($K151="","",IF($B$2="","",SUMIFS('Debtor Ledger'!$K$2:$K$3001,'Debtor Ledger'!$C$2:$C$3001,$K151,'Debtor Ledger'!$B$2:$B$3001,$B$2)))</f>
        <v/>
      </c>
      <c r="R151" s="24">
        <f>IF($K151="","",IF($B$2="","",ROUND(L151+M151-N151-O151-P151-Q151,2)))</f>
        <v/>
      </c>
      <c r="S151" s="21">
        <f>IF(K151="","",IF($B$2="","",IF(ABS(M151)+ABS(N151)+ABS(O151)+ABS(P151)+ABS(Q151)&gt;0,1,0)))</f>
        <v/>
      </c>
      <c r="T151" s="21">
        <f>IF(S151=1,SUM($S$6:S151),"")</f>
        <v/>
      </c>
    </row>
    <row r="152">
      <c r="A152">
        <f>IF($I152="","",INDEX(K$6:K$305,$I152))</f>
        <v/>
      </c>
      <c r="B152" s="6">
        <f>IF($I152="","",INDEX(L$6:L$305,$I152))</f>
        <v/>
      </c>
      <c r="C152" s="6">
        <f>IF($I152="","",INDEX(M$6:M$305,$I152))</f>
        <v/>
      </c>
      <c r="D152" s="6">
        <f>IF($I152="","",INDEX(N$6:N$305,$I152))</f>
        <v/>
      </c>
      <c r="E152" s="6">
        <f>IF($I152="","",INDEX(O$6:O$305,$I152))</f>
        <v/>
      </c>
      <c r="F152" s="6">
        <f>IF($I152="","",INDEX(P$6:P$305,$I152))</f>
        <v/>
      </c>
      <c r="G152" s="6">
        <f>IF($I152="","",INDEX(Q$6:Q$305,$I152))</f>
        <v/>
      </c>
      <c r="H152" s="6">
        <f>IF($I152="","",INDEX(R$6:R$305,$I152))</f>
        <v/>
      </c>
      <c r="I152" s="21">
        <f>IFERROR(MATCH(147,$T$6:$T$305,0),"")</f>
        <v/>
      </c>
      <c r="K152" s="21">
        <f>IF('Debtor Summary'!A151="","",'Debtor Summary'!A151)</f>
        <v/>
      </c>
      <c r="L152" s="24">
        <f>IF($K152="","",IF($B$2="","",ROUND(SUMIFS('Opening Balance'!$F$4:$F$303,'Opening Balance'!$G$4:$G$303,$K152)+SUMIFS('Daily Sale entry '!$S$2:$S$1501,'Daily Sale entry '!$P$2:$P$1501,$K152,'Daily Sale entry '!$Q$2:$Q$1501,"Credit Sale 赊销",'Daily Sale entry '!$O$2:$O$1501,"&lt;"&amp;$B$2)-SUMIFS('Daily Sale entry '!$S$2:$S$1501,'Daily Sale entry '!$P$2:$P$1501,$K152,'Daily Sale entry '!$Q$2:$Q$1501,"Collection 收款",'Daily Sale entry '!$O$2:$O$1501,"&lt;"&amp;$B$2)-SUMIFS('Daily Sale entry '!$AC$2:$AC$1501,'Daily Sale entry '!$AA$2:$AA$1501,$K152,'Daily Sale entry '!$Z$2:$Z$1501,"Online collection 网上收款",'Daily Sale entry '!$X$2:$X$1501,"&lt;"&amp;$B$2)-SUMIFS('Debtor Ledger'!$K$2:$K$3001,'Debtor Ledger'!$C$2:$C$3001,$K152,'Debtor Ledger'!$B$2:$B$3001,"&lt;"&amp;$B$2),2)))</f>
        <v/>
      </c>
      <c r="M152" s="24">
        <f>IF($K152="","",IF($B$2="","",SUMIFS('Daily Sale entry '!$S$2:$S$1501,'Daily Sale entry '!$P$2:$P$1501,$K152,'Daily Sale entry '!$Q$2:$Q$1501,"Credit Sale 赊销",'Daily Sale entry '!$O$2:$O$1501,$B$2)))</f>
        <v/>
      </c>
      <c r="N152" s="24">
        <f>IF($K152="","",IF($B$2="","",SUMIFS('Daily Sale entry '!$S$2:$S$1501,'Daily Sale entry '!$P$2:$P$1501,$K152,'Daily Sale entry '!$Q$2:$Q$1501,"Collection 收款",'Daily Sale entry '!$R$2:$R$1501,"Cash 现金",'Daily Sale entry '!$O$2:$O$1501,$B$2)))</f>
        <v/>
      </c>
      <c r="O152" s="24">
        <f>IF($K152="","",IF($B$2="","",SUMIFS('Daily Sale entry '!$S$2:$S$1501,'Daily Sale entry '!$P$2:$P$1501,$K152,'Daily Sale entry '!$Q$2:$Q$1501,"Collection 收款",'Daily Sale entry '!$R$2:$R$1501,"Cheque 支票",'Daily Sale entry '!$O$2:$O$1501,$B$2)))</f>
        <v/>
      </c>
      <c r="P152" s="24">
        <f>IF($K152="","",IF($B$2="","",SUMIFS('Daily Sale entry '!$AC$2:$AC$1501,'Daily Sale entry '!$AA$2:$AA$1501,$K152,'Daily Sale entry '!$Z$2:$Z$1501,"Online collection 网上收款",'Daily Sale entry '!$X$2:$X$1501,$B$2)))</f>
        <v/>
      </c>
      <c r="Q152" s="24">
        <f>IF($K152="","",IF($B$2="","",SUMIFS('Debtor Ledger'!$K$2:$K$3001,'Debtor Ledger'!$C$2:$C$3001,$K152,'Debtor Ledger'!$B$2:$B$3001,$B$2)))</f>
        <v/>
      </c>
      <c r="R152" s="24">
        <f>IF($K152="","",IF($B$2="","",ROUND(L152+M152-N152-O152-P152-Q152,2)))</f>
        <v/>
      </c>
      <c r="S152" s="21">
        <f>IF(K152="","",IF($B$2="","",IF(ABS(M152)+ABS(N152)+ABS(O152)+ABS(P152)+ABS(Q152)&gt;0,1,0)))</f>
        <v/>
      </c>
      <c r="T152" s="21">
        <f>IF(S152=1,SUM($S$6:S152),"")</f>
        <v/>
      </c>
    </row>
    <row r="153">
      <c r="A153">
        <f>IF($I153="","",INDEX(K$6:K$305,$I153))</f>
        <v/>
      </c>
      <c r="B153" s="6">
        <f>IF($I153="","",INDEX(L$6:L$305,$I153))</f>
        <v/>
      </c>
      <c r="C153" s="6">
        <f>IF($I153="","",INDEX(M$6:M$305,$I153))</f>
        <v/>
      </c>
      <c r="D153" s="6">
        <f>IF($I153="","",INDEX(N$6:N$305,$I153))</f>
        <v/>
      </c>
      <c r="E153" s="6">
        <f>IF($I153="","",INDEX(O$6:O$305,$I153))</f>
        <v/>
      </c>
      <c r="F153" s="6">
        <f>IF($I153="","",INDEX(P$6:P$305,$I153))</f>
        <v/>
      </c>
      <c r="G153" s="6">
        <f>IF($I153="","",INDEX(Q$6:Q$305,$I153))</f>
        <v/>
      </c>
      <c r="H153" s="6">
        <f>IF($I153="","",INDEX(R$6:R$305,$I153))</f>
        <v/>
      </c>
      <c r="I153" s="21">
        <f>IFERROR(MATCH(148,$T$6:$T$305,0),"")</f>
        <v/>
      </c>
      <c r="K153" s="21">
        <f>IF('Debtor Summary'!A152="","",'Debtor Summary'!A152)</f>
        <v/>
      </c>
      <c r="L153" s="24">
        <f>IF($K153="","",IF($B$2="","",ROUND(SUMIFS('Opening Balance'!$F$4:$F$303,'Opening Balance'!$G$4:$G$303,$K153)+SUMIFS('Daily Sale entry '!$S$2:$S$1501,'Daily Sale entry '!$P$2:$P$1501,$K153,'Daily Sale entry '!$Q$2:$Q$1501,"Credit Sale 赊销",'Daily Sale entry '!$O$2:$O$1501,"&lt;"&amp;$B$2)-SUMIFS('Daily Sale entry '!$S$2:$S$1501,'Daily Sale entry '!$P$2:$P$1501,$K153,'Daily Sale entry '!$Q$2:$Q$1501,"Collection 收款",'Daily Sale entry '!$O$2:$O$1501,"&lt;"&amp;$B$2)-SUMIFS('Daily Sale entry '!$AC$2:$AC$1501,'Daily Sale entry '!$AA$2:$AA$1501,$K153,'Daily Sale entry '!$Z$2:$Z$1501,"Online collection 网上收款",'Daily Sale entry '!$X$2:$X$1501,"&lt;"&amp;$B$2)-SUMIFS('Debtor Ledger'!$K$2:$K$3001,'Debtor Ledger'!$C$2:$C$3001,$K153,'Debtor Ledger'!$B$2:$B$3001,"&lt;"&amp;$B$2),2)))</f>
        <v/>
      </c>
      <c r="M153" s="24">
        <f>IF($K153="","",IF($B$2="","",SUMIFS('Daily Sale entry '!$S$2:$S$1501,'Daily Sale entry '!$P$2:$P$1501,$K153,'Daily Sale entry '!$Q$2:$Q$1501,"Credit Sale 赊销",'Daily Sale entry '!$O$2:$O$1501,$B$2)))</f>
        <v/>
      </c>
      <c r="N153" s="24">
        <f>IF($K153="","",IF($B$2="","",SUMIFS('Daily Sale entry '!$S$2:$S$1501,'Daily Sale entry '!$P$2:$P$1501,$K153,'Daily Sale entry '!$Q$2:$Q$1501,"Collection 收款",'Daily Sale entry '!$R$2:$R$1501,"Cash 现金",'Daily Sale entry '!$O$2:$O$1501,$B$2)))</f>
        <v/>
      </c>
      <c r="O153" s="24">
        <f>IF($K153="","",IF($B$2="","",SUMIFS('Daily Sale entry '!$S$2:$S$1501,'Daily Sale entry '!$P$2:$P$1501,$K153,'Daily Sale entry '!$Q$2:$Q$1501,"Collection 收款",'Daily Sale entry '!$R$2:$R$1501,"Cheque 支票",'Daily Sale entry '!$O$2:$O$1501,$B$2)))</f>
        <v/>
      </c>
      <c r="P153" s="24">
        <f>IF($K153="","",IF($B$2="","",SUMIFS('Daily Sale entry '!$AC$2:$AC$1501,'Daily Sale entry '!$AA$2:$AA$1501,$K153,'Daily Sale entry '!$Z$2:$Z$1501,"Online collection 网上收款",'Daily Sale entry '!$X$2:$X$1501,$B$2)))</f>
        <v/>
      </c>
      <c r="Q153" s="24">
        <f>IF($K153="","",IF($B$2="","",SUMIFS('Debtor Ledger'!$K$2:$K$3001,'Debtor Ledger'!$C$2:$C$3001,$K153,'Debtor Ledger'!$B$2:$B$3001,$B$2)))</f>
        <v/>
      </c>
      <c r="R153" s="24">
        <f>IF($K153="","",IF($B$2="","",ROUND(L153+M153-N153-O153-P153-Q153,2)))</f>
        <v/>
      </c>
      <c r="S153" s="21">
        <f>IF(K153="","",IF($B$2="","",IF(ABS(M153)+ABS(N153)+ABS(O153)+ABS(P153)+ABS(Q153)&gt;0,1,0)))</f>
        <v/>
      </c>
      <c r="T153" s="21">
        <f>IF(S153=1,SUM($S$6:S153),"")</f>
        <v/>
      </c>
    </row>
    <row r="154">
      <c r="A154">
        <f>IF($I154="","",INDEX(K$6:K$305,$I154))</f>
        <v/>
      </c>
      <c r="B154" s="6">
        <f>IF($I154="","",INDEX(L$6:L$305,$I154))</f>
        <v/>
      </c>
      <c r="C154" s="6">
        <f>IF($I154="","",INDEX(M$6:M$305,$I154))</f>
        <v/>
      </c>
      <c r="D154" s="6">
        <f>IF($I154="","",INDEX(N$6:N$305,$I154))</f>
        <v/>
      </c>
      <c r="E154" s="6">
        <f>IF($I154="","",INDEX(O$6:O$305,$I154))</f>
        <v/>
      </c>
      <c r="F154" s="6">
        <f>IF($I154="","",INDEX(P$6:P$305,$I154))</f>
        <v/>
      </c>
      <c r="G154" s="6">
        <f>IF($I154="","",INDEX(Q$6:Q$305,$I154))</f>
        <v/>
      </c>
      <c r="H154" s="6">
        <f>IF($I154="","",INDEX(R$6:R$305,$I154))</f>
        <v/>
      </c>
      <c r="I154" s="21">
        <f>IFERROR(MATCH(149,$T$6:$T$305,0),"")</f>
        <v/>
      </c>
      <c r="K154" s="21">
        <f>IF('Debtor Summary'!A153="","",'Debtor Summary'!A153)</f>
        <v/>
      </c>
      <c r="L154" s="24">
        <f>IF($K154="","",IF($B$2="","",ROUND(SUMIFS('Opening Balance'!$F$4:$F$303,'Opening Balance'!$G$4:$G$303,$K154)+SUMIFS('Daily Sale entry '!$S$2:$S$1501,'Daily Sale entry '!$P$2:$P$1501,$K154,'Daily Sale entry '!$Q$2:$Q$1501,"Credit Sale 赊销",'Daily Sale entry '!$O$2:$O$1501,"&lt;"&amp;$B$2)-SUMIFS('Daily Sale entry '!$S$2:$S$1501,'Daily Sale entry '!$P$2:$P$1501,$K154,'Daily Sale entry '!$Q$2:$Q$1501,"Collection 收款",'Daily Sale entry '!$O$2:$O$1501,"&lt;"&amp;$B$2)-SUMIFS('Daily Sale entry '!$AC$2:$AC$1501,'Daily Sale entry '!$AA$2:$AA$1501,$K154,'Daily Sale entry '!$Z$2:$Z$1501,"Online collection 网上收款",'Daily Sale entry '!$X$2:$X$1501,"&lt;"&amp;$B$2)-SUMIFS('Debtor Ledger'!$K$2:$K$3001,'Debtor Ledger'!$C$2:$C$3001,$K154,'Debtor Ledger'!$B$2:$B$3001,"&lt;"&amp;$B$2),2)))</f>
        <v/>
      </c>
      <c r="M154" s="24">
        <f>IF($K154="","",IF($B$2="","",SUMIFS('Daily Sale entry '!$S$2:$S$1501,'Daily Sale entry '!$P$2:$P$1501,$K154,'Daily Sale entry '!$Q$2:$Q$1501,"Credit Sale 赊销",'Daily Sale entry '!$O$2:$O$1501,$B$2)))</f>
        <v/>
      </c>
      <c r="N154" s="24">
        <f>IF($K154="","",IF($B$2="","",SUMIFS('Daily Sale entry '!$S$2:$S$1501,'Daily Sale entry '!$P$2:$P$1501,$K154,'Daily Sale entry '!$Q$2:$Q$1501,"Collection 收款",'Daily Sale entry '!$R$2:$R$1501,"Cash 现金",'Daily Sale entry '!$O$2:$O$1501,$B$2)))</f>
        <v/>
      </c>
      <c r="O154" s="24">
        <f>IF($K154="","",IF($B$2="","",SUMIFS('Daily Sale entry '!$S$2:$S$1501,'Daily Sale entry '!$P$2:$P$1501,$K154,'Daily Sale entry '!$Q$2:$Q$1501,"Collection 收款",'Daily Sale entry '!$R$2:$R$1501,"Cheque 支票",'Daily Sale entry '!$O$2:$O$1501,$B$2)))</f>
        <v/>
      </c>
      <c r="P154" s="24">
        <f>IF($K154="","",IF($B$2="","",SUMIFS('Daily Sale entry '!$AC$2:$AC$1501,'Daily Sale entry '!$AA$2:$AA$1501,$K154,'Daily Sale entry '!$Z$2:$Z$1501,"Online collection 网上收款",'Daily Sale entry '!$X$2:$X$1501,$B$2)))</f>
        <v/>
      </c>
      <c r="Q154" s="24">
        <f>IF($K154="","",IF($B$2="","",SUMIFS('Debtor Ledger'!$K$2:$K$3001,'Debtor Ledger'!$C$2:$C$3001,$K154,'Debtor Ledger'!$B$2:$B$3001,$B$2)))</f>
        <v/>
      </c>
      <c r="R154" s="24">
        <f>IF($K154="","",IF($B$2="","",ROUND(L154+M154-N154-O154-P154-Q154,2)))</f>
        <v/>
      </c>
      <c r="S154" s="21">
        <f>IF(K154="","",IF($B$2="","",IF(ABS(M154)+ABS(N154)+ABS(O154)+ABS(P154)+ABS(Q154)&gt;0,1,0)))</f>
        <v/>
      </c>
      <c r="T154" s="21">
        <f>IF(S154=1,SUM($S$6:S154),"")</f>
        <v/>
      </c>
    </row>
    <row r="155">
      <c r="A155">
        <f>IF($I155="","",INDEX(K$6:K$305,$I155))</f>
        <v/>
      </c>
      <c r="B155" s="6">
        <f>IF($I155="","",INDEX(L$6:L$305,$I155))</f>
        <v/>
      </c>
      <c r="C155" s="6">
        <f>IF($I155="","",INDEX(M$6:M$305,$I155))</f>
        <v/>
      </c>
      <c r="D155" s="6">
        <f>IF($I155="","",INDEX(N$6:N$305,$I155))</f>
        <v/>
      </c>
      <c r="E155" s="6">
        <f>IF($I155="","",INDEX(O$6:O$305,$I155))</f>
        <v/>
      </c>
      <c r="F155" s="6">
        <f>IF($I155="","",INDEX(P$6:P$305,$I155))</f>
        <v/>
      </c>
      <c r="G155" s="6">
        <f>IF($I155="","",INDEX(Q$6:Q$305,$I155))</f>
        <v/>
      </c>
      <c r="H155" s="6">
        <f>IF($I155="","",INDEX(R$6:R$305,$I155))</f>
        <v/>
      </c>
      <c r="I155" s="21">
        <f>IFERROR(MATCH(150,$T$6:$T$305,0),"")</f>
        <v/>
      </c>
      <c r="K155" s="21">
        <f>IF('Debtor Summary'!A154="","",'Debtor Summary'!A154)</f>
        <v/>
      </c>
      <c r="L155" s="24">
        <f>IF($K155="","",IF($B$2="","",ROUND(SUMIFS('Opening Balance'!$F$4:$F$303,'Opening Balance'!$G$4:$G$303,$K155)+SUMIFS('Daily Sale entry '!$S$2:$S$1501,'Daily Sale entry '!$P$2:$P$1501,$K155,'Daily Sale entry '!$Q$2:$Q$1501,"Credit Sale 赊销",'Daily Sale entry '!$O$2:$O$1501,"&lt;"&amp;$B$2)-SUMIFS('Daily Sale entry '!$S$2:$S$1501,'Daily Sale entry '!$P$2:$P$1501,$K155,'Daily Sale entry '!$Q$2:$Q$1501,"Collection 收款",'Daily Sale entry '!$O$2:$O$1501,"&lt;"&amp;$B$2)-SUMIFS('Daily Sale entry '!$AC$2:$AC$1501,'Daily Sale entry '!$AA$2:$AA$1501,$K155,'Daily Sale entry '!$Z$2:$Z$1501,"Online collection 网上收款",'Daily Sale entry '!$X$2:$X$1501,"&lt;"&amp;$B$2)-SUMIFS('Debtor Ledger'!$K$2:$K$3001,'Debtor Ledger'!$C$2:$C$3001,$K155,'Debtor Ledger'!$B$2:$B$3001,"&lt;"&amp;$B$2),2)))</f>
        <v/>
      </c>
      <c r="M155" s="24">
        <f>IF($K155="","",IF($B$2="","",SUMIFS('Daily Sale entry '!$S$2:$S$1501,'Daily Sale entry '!$P$2:$P$1501,$K155,'Daily Sale entry '!$Q$2:$Q$1501,"Credit Sale 赊销",'Daily Sale entry '!$O$2:$O$1501,$B$2)))</f>
        <v/>
      </c>
      <c r="N155" s="24">
        <f>IF($K155="","",IF($B$2="","",SUMIFS('Daily Sale entry '!$S$2:$S$1501,'Daily Sale entry '!$P$2:$P$1501,$K155,'Daily Sale entry '!$Q$2:$Q$1501,"Collection 收款",'Daily Sale entry '!$R$2:$R$1501,"Cash 现金",'Daily Sale entry '!$O$2:$O$1501,$B$2)))</f>
        <v/>
      </c>
      <c r="O155" s="24">
        <f>IF($K155="","",IF($B$2="","",SUMIFS('Daily Sale entry '!$S$2:$S$1501,'Daily Sale entry '!$P$2:$P$1501,$K155,'Daily Sale entry '!$Q$2:$Q$1501,"Collection 收款",'Daily Sale entry '!$R$2:$R$1501,"Cheque 支票",'Daily Sale entry '!$O$2:$O$1501,$B$2)))</f>
        <v/>
      </c>
      <c r="P155" s="24">
        <f>IF($K155="","",IF($B$2="","",SUMIFS('Daily Sale entry '!$AC$2:$AC$1501,'Daily Sale entry '!$AA$2:$AA$1501,$K155,'Daily Sale entry '!$Z$2:$Z$1501,"Online collection 网上收款",'Daily Sale entry '!$X$2:$X$1501,$B$2)))</f>
        <v/>
      </c>
      <c r="Q155" s="24">
        <f>IF($K155="","",IF($B$2="","",SUMIFS('Debtor Ledger'!$K$2:$K$3001,'Debtor Ledger'!$C$2:$C$3001,$K155,'Debtor Ledger'!$B$2:$B$3001,$B$2)))</f>
        <v/>
      </c>
      <c r="R155" s="24">
        <f>IF($K155="","",IF($B$2="","",ROUND(L155+M155-N155-O155-P155-Q155,2)))</f>
        <v/>
      </c>
      <c r="S155" s="21">
        <f>IF(K155="","",IF($B$2="","",IF(ABS(M155)+ABS(N155)+ABS(O155)+ABS(P155)+ABS(Q155)&gt;0,1,0)))</f>
        <v/>
      </c>
      <c r="T155" s="21">
        <f>IF(S155=1,SUM($S$6:S155),"")</f>
        <v/>
      </c>
    </row>
    <row r="156">
      <c r="A156">
        <f>IF($I156="","",INDEX(K$6:K$305,$I156))</f>
        <v/>
      </c>
      <c r="B156" s="6">
        <f>IF($I156="","",INDEX(L$6:L$305,$I156))</f>
        <v/>
      </c>
      <c r="C156" s="6">
        <f>IF($I156="","",INDEX(M$6:M$305,$I156))</f>
        <v/>
      </c>
      <c r="D156" s="6">
        <f>IF($I156="","",INDEX(N$6:N$305,$I156))</f>
        <v/>
      </c>
      <c r="E156" s="6">
        <f>IF($I156="","",INDEX(O$6:O$305,$I156))</f>
        <v/>
      </c>
      <c r="F156" s="6">
        <f>IF($I156="","",INDEX(P$6:P$305,$I156))</f>
        <v/>
      </c>
      <c r="G156" s="6">
        <f>IF($I156="","",INDEX(Q$6:Q$305,$I156))</f>
        <v/>
      </c>
      <c r="H156" s="6">
        <f>IF($I156="","",INDEX(R$6:R$305,$I156))</f>
        <v/>
      </c>
      <c r="I156" s="21">
        <f>IFERROR(MATCH(151,$T$6:$T$305,0),"")</f>
        <v/>
      </c>
      <c r="K156" s="21">
        <f>IF('Debtor Summary'!A155="","",'Debtor Summary'!A155)</f>
        <v/>
      </c>
      <c r="L156" s="24">
        <f>IF($K156="","",IF($B$2="","",ROUND(SUMIFS('Opening Balance'!$F$4:$F$303,'Opening Balance'!$G$4:$G$303,$K156)+SUMIFS('Daily Sale entry '!$S$2:$S$1501,'Daily Sale entry '!$P$2:$P$1501,$K156,'Daily Sale entry '!$Q$2:$Q$1501,"Credit Sale 赊销",'Daily Sale entry '!$O$2:$O$1501,"&lt;"&amp;$B$2)-SUMIFS('Daily Sale entry '!$S$2:$S$1501,'Daily Sale entry '!$P$2:$P$1501,$K156,'Daily Sale entry '!$Q$2:$Q$1501,"Collection 收款",'Daily Sale entry '!$O$2:$O$1501,"&lt;"&amp;$B$2)-SUMIFS('Daily Sale entry '!$AC$2:$AC$1501,'Daily Sale entry '!$AA$2:$AA$1501,$K156,'Daily Sale entry '!$Z$2:$Z$1501,"Online collection 网上收款",'Daily Sale entry '!$X$2:$X$1501,"&lt;"&amp;$B$2)-SUMIFS('Debtor Ledger'!$K$2:$K$3001,'Debtor Ledger'!$C$2:$C$3001,$K156,'Debtor Ledger'!$B$2:$B$3001,"&lt;"&amp;$B$2),2)))</f>
        <v/>
      </c>
      <c r="M156" s="24">
        <f>IF($K156="","",IF($B$2="","",SUMIFS('Daily Sale entry '!$S$2:$S$1501,'Daily Sale entry '!$P$2:$P$1501,$K156,'Daily Sale entry '!$Q$2:$Q$1501,"Credit Sale 赊销",'Daily Sale entry '!$O$2:$O$1501,$B$2)))</f>
        <v/>
      </c>
      <c r="N156" s="24">
        <f>IF($K156="","",IF($B$2="","",SUMIFS('Daily Sale entry '!$S$2:$S$1501,'Daily Sale entry '!$P$2:$P$1501,$K156,'Daily Sale entry '!$Q$2:$Q$1501,"Collection 收款",'Daily Sale entry '!$R$2:$R$1501,"Cash 现金",'Daily Sale entry '!$O$2:$O$1501,$B$2)))</f>
        <v/>
      </c>
      <c r="O156" s="24">
        <f>IF($K156="","",IF($B$2="","",SUMIFS('Daily Sale entry '!$S$2:$S$1501,'Daily Sale entry '!$P$2:$P$1501,$K156,'Daily Sale entry '!$Q$2:$Q$1501,"Collection 收款",'Daily Sale entry '!$R$2:$R$1501,"Cheque 支票",'Daily Sale entry '!$O$2:$O$1501,$B$2)))</f>
        <v/>
      </c>
      <c r="P156" s="24">
        <f>IF($K156="","",IF($B$2="","",SUMIFS('Daily Sale entry '!$AC$2:$AC$1501,'Daily Sale entry '!$AA$2:$AA$1501,$K156,'Daily Sale entry '!$Z$2:$Z$1501,"Online collection 网上收款",'Daily Sale entry '!$X$2:$X$1501,$B$2)))</f>
        <v/>
      </c>
      <c r="Q156" s="24">
        <f>IF($K156="","",IF($B$2="","",SUMIFS('Debtor Ledger'!$K$2:$K$3001,'Debtor Ledger'!$C$2:$C$3001,$K156,'Debtor Ledger'!$B$2:$B$3001,$B$2)))</f>
        <v/>
      </c>
      <c r="R156" s="24">
        <f>IF($K156="","",IF($B$2="","",ROUND(L156+M156-N156-O156-P156-Q156,2)))</f>
        <v/>
      </c>
      <c r="S156" s="21">
        <f>IF(K156="","",IF($B$2="","",IF(ABS(M156)+ABS(N156)+ABS(O156)+ABS(P156)+ABS(Q156)&gt;0,1,0)))</f>
        <v/>
      </c>
      <c r="T156" s="21">
        <f>IF(S156=1,SUM($S$6:S156),"")</f>
        <v/>
      </c>
    </row>
    <row r="157">
      <c r="A157">
        <f>IF($I157="","",INDEX(K$6:K$305,$I157))</f>
        <v/>
      </c>
      <c r="B157" s="6">
        <f>IF($I157="","",INDEX(L$6:L$305,$I157))</f>
        <v/>
      </c>
      <c r="C157" s="6">
        <f>IF($I157="","",INDEX(M$6:M$305,$I157))</f>
        <v/>
      </c>
      <c r="D157" s="6">
        <f>IF($I157="","",INDEX(N$6:N$305,$I157))</f>
        <v/>
      </c>
      <c r="E157" s="6">
        <f>IF($I157="","",INDEX(O$6:O$305,$I157))</f>
        <v/>
      </c>
      <c r="F157" s="6">
        <f>IF($I157="","",INDEX(P$6:P$305,$I157))</f>
        <v/>
      </c>
      <c r="G157" s="6">
        <f>IF($I157="","",INDEX(Q$6:Q$305,$I157))</f>
        <v/>
      </c>
      <c r="H157" s="6">
        <f>IF($I157="","",INDEX(R$6:R$305,$I157))</f>
        <v/>
      </c>
      <c r="I157" s="21">
        <f>IFERROR(MATCH(152,$T$6:$T$305,0),"")</f>
        <v/>
      </c>
      <c r="K157" s="21">
        <f>IF('Debtor Summary'!A156="","",'Debtor Summary'!A156)</f>
        <v/>
      </c>
      <c r="L157" s="24">
        <f>IF($K157="","",IF($B$2="","",ROUND(SUMIFS('Opening Balance'!$F$4:$F$303,'Opening Balance'!$G$4:$G$303,$K157)+SUMIFS('Daily Sale entry '!$S$2:$S$1501,'Daily Sale entry '!$P$2:$P$1501,$K157,'Daily Sale entry '!$Q$2:$Q$1501,"Credit Sale 赊销",'Daily Sale entry '!$O$2:$O$1501,"&lt;"&amp;$B$2)-SUMIFS('Daily Sale entry '!$S$2:$S$1501,'Daily Sale entry '!$P$2:$P$1501,$K157,'Daily Sale entry '!$Q$2:$Q$1501,"Collection 收款",'Daily Sale entry '!$O$2:$O$1501,"&lt;"&amp;$B$2)-SUMIFS('Daily Sale entry '!$AC$2:$AC$1501,'Daily Sale entry '!$AA$2:$AA$1501,$K157,'Daily Sale entry '!$Z$2:$Z$1501,"Online collection 网上收款",'Daily Sale entry '!$X$2:$X$1501,"&lt;"&amp;$B$2)-SUMIFS('Debtor Ledger'!$K$2:$K$3001,'Debtor Ledger'!$C$2:$C$3001,$K157,'Debtor Ledger'!$B$2:$B$3001,"&lt;"&amp;$B$2),2)))</f>
        <v/>
      </c>
      <c r="M157" s="24">
        <f>IF($K157="","",IF($B$2="","",SUMIFS('Daily Sale entry '!$S$2:$S$1501,'Daily Sale entry '!$P$2:$P$1501,$K157,'Daily Sale entry '!$Q$2:$Q$1501,"Credit Sale 赊销",'Daily Sale entry '!$O$2:$O$1501,$B$2)))</f>
        <v/>
      </c>
      <c r="N157" s="24">
        <f>IF($K157="","",IF($B$2="","",SUMIFS('Daily Sale entry '!$S$2:$S$1501,'Daily Sale entry '!$P$2:$P$1501,$K157,'Daily Sale entry '!$Q$2:$Q$1501,"Collection 收款",'Daily Sale entry '!$R$2:$R$1501,"Cash 现金",'Daily Sale entry '!$O$2:$O$1501,$B$2)))</f>
        <v/>
      </c>
      <c r="O157" s="24">
        <f>IF($K157="","",IF($B$2="","",SUMIFS('Daily Sale entry '!$S$2:$S$1501,'Daily Sale entry '!$P$2:$P$1501,$K157,'Daily Sale entry '!$Q$2:$Q$1501,"Collection 收款",'Daily Sale entry '!$R$2:$R$1501,"Cheque 支票",'Daily Sale entry '!$O$2:$O$1501,$B$2)))</f>
        <v/>
      </c>
      <c r="P157" s="24">
        <f>IF($K157="","",IF($B$2="","",SUMIFS('Daily Sale entry '!$AC$2:$AC$1501,'Daily Sale entry '!$AA$2:$AA$1501,$K157,'Daily Sale entry '!$Z$2:$Z$1501,"Online collection 网上收款",'Daily Sale entry '!$X$2:$X$1501,$B$2)))</f>
        <v/>
      </c>
      <c r="Q157" s="24">
        <f>IF($K157="","",IF($B$2="","",SUMIFS('Debtor Ledger'!$K$2:$K$3001,'Debtor Ledger'!$C$2:$C$3001,$K157,'Debtor Ledger'!$B$2:$B$3001,$B$2)))</f>
        <v/>
      </c>
      <c r="R157" s="24">
        <f>IF($K157="","",IF($B$2="","",ROUND(L157+M157-N157-O157-P157-Q157,2)))</f>
        <v/>
      </c>
      <c r="S157" s="21">
        <f>IF(K157="","",IF($B$2="","",IF(ABS(M157)+ABS(N157)+ABS(O157)+ABS(P157)+ABS(Q157)&gt;0,1,0)))</f>
        <v/>
      </c>
      <c r="T157" s="21">
        <f>IF(S157=1,SUM($S$6:S157),"")</f>
        <v/>
      </c>
    </row>
    <row r="158">
      <c r="A158">
        <f>IF($I158="","",INDEX(K$6:K$305,$I158))</f>
        <v/>
      </c>
      <c r="B158" s="6">
        <f>IF($I158="","",INDEX(L$6:L$305,$I158))</f>
        <v/>
      </c>
      <c r="C158" s="6">
        <f>IF($I158="","",INDEX(M$6:M$305,$I158))</f>
        <v/>
      </c>
      <c r="D158" s="6">
        <f>IF($I158="","",INDEX(N$6:N$305,$I158))</f>
        <v/>
      </c>
      <c r="E158" s="6">
        <f>IF($I158="","",INDEX(O$6:O$305,$I158))</f>
        <v/>
      </c>
      <c r="F158" s="6">
        <f>IF($I158="","",INDEX(P$6:P$305,$I158))</f>
        <v/>
      </c>
      <c r="G158" s="6">
        <f>IF($I158="","",INDEX(Q$6:Q$305,$I158))</f>
        <v/>
      </c>
      <c r="H158" s="6">
        <f>IF($I158="","",INDEX(R$6:R$305,$I158))</f>
        <v/>
      </c>
      <c r="I158" s="21">
        <f>IFERROR(MATCH(153,$T$6:$T$305,0),"")</f>
        <v/>
      </c>
      <c r="K158" s="21">
        <f>IF('Debtor Summary'!A157="","",'Debtor Summary'!A157)</f>
        <v/>
      </c>
      <c r="L158" s="24">
        <f>IF($K158="","",IF($B$2="","",ROUND(SUMIFS('Opening Balance'!$F$4:$F$303,'Opening Balance'!$G$4:$G$303,$K158)+SUMIFS('Daily Sale entry '!$S$2:$S$1501,'Daily Sale entry '!$P$2:$P$1501,$K158,'Daily Sale entry '!$Q$2:$Q$1501,"Credit Sale 赊销",'Daily Sale entry '!$O$2:$O$1501,"&lt;"&amp;$B$2)-SUMIFS('Daily Sale entry '!$S$2:$S$1501,'Daily Sale entry '!$P$2:$P$1501,$K158,'Daily Sale entry '!$Q$2:$Q$1501,"Collection 收款",'Daily Sale entry '!$O$2:$O$1501,"&lt;"&amp;$B$2)-SUMIFS('Daily Sale entry '!$AC$2:$AC$1501,'Daily Sale entry '!$AA$2:$AA$1501,$K158,'Daily Sale entry '!$Z$2:$Z$1501,"Online collection 网上收款",'Daily Sale entry '!$X$2:$X$1501,"&lt;"&amp;$B$2)-SUMIFS('Debtor Ledger'!$K$2:$K$3001,'Debtor Ledger'!$C$2:$C$3001,$K158,'Debtor Ledger'!$B$2:$B$3001,"&lt;"&amp;$B$2),2)))</f>
        <v/>
      </c>
      <c r="M158" s="24">
        <f>IF($K158="","",IF($B$2="","",SUMIFS('Daily Sale entry '!$S$2:$S$1501,'Daily Sale entry '!$P$2:$P$1501,$K158,'Daily Sale entry '!$Q$2:$Q$1501,"Credit Sale 赊销",'Daily Sale entry '!$O$2:$O$1501,$B$2)))</f>
        <v/>
      </c>
      <c r="N158" s="24">
        <f>IF($K158="","",IF($B$2="","",SUMIFS('Daily Sale entry '!$S$2:$S$1501,'Daily Sale entry '!$P$2:$P$1501,$K158,'Daily Sale entry '!$Q$2:$Q$1501,"Collection 收款",'Daily Sale entry '!$R$2:$R$1501,"Cash 现金",'Daily Sale entry '!$O$2:$O$1501,$B$2)))</f>
        <v/>
      </c>
      <c r="O158" s="24">
        <f>IF($K158="","",IF($B$2="","",SUMIFS('Daily Sale entry '!$S$2:$S$1501,'Daily Sale entry '!$P$2:$P$1501,$K158,'Daily Sale entry '!$Q$2:$Q$1501,"Collection 收款",'Daily Sale entry '!$R$2:$R$1501,"Cheque 支票",'Daily Sale entry '!$O$2:$O$1501,$B$2)))</f>
        <v/>
      </c>
      <c r="P158" s="24">
        <f>IF($K158="","",IF($B$2="","",SUMIFS('Daily Sale entry '!$AC$2:$AC$1501,'Daily Sale entry '!$AA$2:$AA$1501,$K158,'Daily Sale entry '!$Z$2:$Z$1501,"Online collection 网上收款",'Daily Sale entry '!$X$2:$X$1501,$B$2)))</f>
        <v/>
      </c>
      <c r="Q158" s="24">
        <f>IF($K158="","",IF($B$2="","",SUMIFS('Debtor Ledger'!$K$2:$K$3001,'Debtor Ledger'!$C$2:$C$3001,$K158,'Debtor Ledger'!$B$2:$B$3001,$B$2)))</f>
        <v/>
      </c>
      <c r="R158" s="24">
        <f>IF($K158="","",IF($B$2="","",ROUND(L158+M158-N158-O158-P158-Q158,2)))</f>
        <v/>
      </c>
      <c r="S158" s="21">
        <f>IF(K158="","",IF($B$2="","",IF(ABS(M158)+ABS(N158)+ABS(O158)+ABS(P158)+ABS(Q158)&gt;0,1,0)))</f>
        <v/>
      </c>
      <c r="T158" s="21">
        <f>IF(S158=1,SUM($S$6:S158),"")</f>
        <v/>
      </c>
    </row>
    <row r="159">
      <c r="A159">
        <f>IF($I159="","",INDEX(K$6:K$305,$I159))</f>
        <v/>
      </c>
      <c r="B159" s="6">
        <f>IF($I159="","",INDEX(L$6:L$305,$I159))</f>
        <v/>
      </c>
      <c r="C159" s="6">
        <f>IF($I159="","",INDEX(M$6:M$305,$I159))</f>
        <v/>
      </c>
      <c r="D159" s="6">
        <f>IF($I159="","",INDEX(N$6:N$305,$I159))</f>
        <v/>
      </c>
      <c r="E159" s="6">
        <f>IF($I159="","",INDEX(O$6:O$305,$I159))</f>
        <v/>
      </c>
      <c r="F159" s="6">
        <f>IF($I159="","",INDEX(P$6:P$305,$I159))</f>
        <v/>
      </c>
      <c r="G159" s="6">
        <f>IF($I159="","",INDEX(Q$6:Q$305,$I159))</f>
        <v/>
      </c>
      <c r="H159" s="6">
        <f>IF($I159="","",INDEX(R$6:R$305,$I159))</f>
        <v/>
      </c>
      <c r="I159" s="21">
        <f>IFERROR(MATCH(154,$T$6:$T$305,0),"")</f>
        <v/>
      </c>
      <c r="K159" s="21">
        <f>IF('Debtor Summary'!A158="","",'Debtor Summary'!A158)</f>
        <v/>
      </c>
      <c r="L159" s="24">
        <f>IF($K159="","",IF($B$2="","",ROUND(SUMIFS('Opening Balance'!$F$4:$F$303,'Opening Balance'!$G$4:$G$303,$K159)+SUMIFS('Daily Sale entry '!$S$2:$S$1501,'Daily Sale entry '!$P$2:$P$1501,$K159,'Daily Sale entry '!$Q$2:$Q$1501,"Credit Sale 赊销",'Daily Sale entry '!$O$2:$O$1501,"&lt;"&amp;$B$2)-SUMIFS('Daily Sale entry '!$S$2:$S$1501,'Daily Sale entry '!$P$2:$P$1501,$K159,'Daily Sale entry '!$Q$2:$Q$1501,"Collection 收款",'Daily Sale entry '!$O$2:$O$1501,"&lt;"&amp;$B$2)-SUMIFS('Daily Sale entry '!$AC$2:$AC$1501,'Daily Sale entry '!$AA$2:$AA$1501,$K159,'Daily Sale entry '!$Z$2:$Z$1501,"Online collection 网上收款",'Daily Sale entry '!$X$2:$X$1501,"&lt;"&amp;$B$2)-SUMIFS('Debtor Ledger'!$K$2:$K$3001,'Debtor Ledger'!$C$2:$C$3001,$K159,'Debtor Ledger'!$B$2:$B$3001,"&lt;"&amp;$B$2),2)))</f>
        <v/>
      </c>
      <c r="M159" s="24">
        <f>IF($K159="","",IF($B$2="","",SUMIFS('Daily Sale entry '!$S$2:$S$1501,'Daily Sale entry '!$P$2:$P$1501,$K159,'Daily Sale entry '!$Q$2:$Q$1501,"Credit Sale 赊销",'Daily Sale entry '!$O$2:$O$1501,$B$2)))</f>
        <v/>
      </c>
      <c r="N159" s="24">
        <f>IF($K159="","",IF($B$2="","",SUMIFS('Daily Sale entry '!$S$2:$S$1501,'Daily Sale entry '!$P$2:$P$1501,$K159,'Daily Sale entry '!$Q$2:$Q$1501,"Collection 收款",'Daily Sale entry '!$R$2:$R$1501,"Cash 现金",'Daily Sale entry '!$O$2:$O$1501,$B$2)))</f>
        <v/>
      </c>
      <c r="O159" s="24">
        <f>IF($K159="","",IF($B$2="","",SUMIFS('Daily Sale entry '!$S$2:$S$1501,'Daily Sale entry '!$P$2:$P$1501,$K159,'Daily Sale entry '!$Q$2:$Q$1501,"Collection 收款",'Daily Sale entry '!$R$2:$R$1501,"Cheque 支票",'Daily Sale entry '!$O$2:$O$1501,$B$2)))</f>
        <v/>
      </c>
      <c r="P159" s="24">
        <f>IF($K159="","",IF($B$2="","",SUMIFS('Daily Sale entry '!$AC$2:$AC$1501,'Daily Sale entry '!$AA$2:$AA$1501,$K159,'Daily Sale entry '!$Z$2:$Z$1501,"Online collection 网上收款",'Daily Sale entry '!$X$2:$X$1501,$B$2)))</f>
        <v/>
      </c>
      <c r="Q159" s="24">
        <f>IF($K159="","",IF($B$2="","",SUMIFS('Debtor Ledger'!$K$2:$K$3001,'Debtor Ledger'!$C$2:$C$3001,$K159,'Debtor Ledger'!$B$2:$B$3001,$B$2)))</f>
        <v/>
      </c>
      <c r="R159" s="24">
        <f>IF($K159="","",IF($B$2="","",ROUND(L159+M159-N159-O159-P159-Q159,2)))</f>
        <v/>
      </c>
      <c r="S159" s="21">
        <f>IF(K159="","",IF($B$2="","",IF(ABS(M159)+ABS(N159)+ABS(O159)+ABS(P159)+ABS(Q159)&gt;0,1,0)))</f>
        <v/>
      </c>
      <c r="T159" s="21">
        <f>IF(S159=1,SUM($S$6:S159),"")</f>
        <v/>
      </c>
    </row>
    <row r="160">
      <c r="A160">
        <f>IF($I160="","",INDEX(K$6:K$305,$I160))</f>
        <v/>
      </c>
      <c r="B160" s="6">
        <f>IF($I160="","",INDEX(L$6:L$305,$I160))</f>
        <v/>
      </c>
      <c r="C160" s="6">
        <f>IF($I160="","",INDEX(M$6:M$305,$I160))</f>
        <v/>
      </c>
      <c r="D160" s="6">
        <f>IF($I160="","",INDEX(N$6:N$305,$I160))</f>
        <v/>
      </c>
      <c r="E160" s="6">
        <f>IF($I160="","",INDEX(O$6:O$305,$I160))</f>
        <v/>
      </c>
      <c r="F160" s="6">
        <f>IF($I160="","",INDEX(P$6:P$305,$I160))</f>
        <v/>
      </c>
      <c r="G160" s="6">
        <f>IF($I160="","",INDEX(Q$6:Q$305,$I160))</f>
        <v/>
      </c>
      <c r="H160" s="6">
        <f>IF($I160="","",INDEX(R$6:R$305,$I160))</f>
        <v/>
      </c>
      <c r="I160" s="21">
        <f>IFERROR(MATCH(155,$T$6:$T$305,0),"")</f>
        <v/>
      </c>
      <c r="K160" s="21">
        <f>IF('Debtor Summary'!A159="","",'Debtor Summary'!A159)</f>
        <v/>
      </c>
      <c r="L160" s="24">
        <f>IF($K160="","",IF($B$2="","",ROUND(SUMIFS('Opening Balance'!$F$4:$F$303,'Opening Balance'!$G$4:$G$303,$K160)+SUMIFS('Daily Sale entry '!$S$2:$S$1501,'Daily Sale entry '!$P$2:$P$1501,$K160,'Daily Sale entry '!$Q$2:$Q$1501,"Credit Sale 赊销",'Daily Sale entry '!$O$2:$O$1501,"&lt;"&amp;$B$2)-SUMIFS('Daily Sale entry '!$S$2:$S$1501,'Daily Sale entry '!$P$2:$P$1501,$K160,'Daily Sale entry '!$Q$2:$Q$1501,"Collection 收款",'Daily Sale entry '!$O$2:$O$1501,"&lt;"&amp;$B$2)-SUMIFS('Daily Sale entry '!$AC$2:$AC$1501,'Daily Sale entry '!$AA$2:$AA$1501,$K160,'Daily Sale entry '!$Z$2:$Z$1501,"Online collection 网上收款",'Daily Sale entry '!$X$2:$X$1501,"&lt;"&amp;$B$2)-SUMIFS('Debtor Ledger'!$K$2:$K$3001,'Debtor Ledger'!$C$2:$C$3001,$K160,'Debtor Ledger'!$B$2:$B$3001,"&lt;"&amp;$B$2),2)))</f>
        <v/>
      </c>
      <c r="M160" s="24">
        <f>IF($K160="","",IF($B$2="","",SUMIFS('Daily Sale entry '!$S$2:$S$1501,'Daily Sale entry '!$P$2:$P$1501,$K160,'Daily Sale entry '!$Q$2:$Q$1501,"Credit Sale 赊销",'Daily Sale entry '!$O$2:$O$1501,$B$2)))</f>
        <v/>
      </c>
      <c r="N160" s="24">
        <f>IF($K160="","",IF($B$2="","",SUMIFS('Daily Sale entry '!$S$2:$S$1501,'Daily Sale entry '!$P$2:$P$1501,$K160,'Daily Sale entry '!$Q$2:$Q$1501,"Collection 收款",'Daily Sale entry '!$R$2:$R$1501,"Cash 现金",'Daily Sale entry '!$O$2:$O$1501,$B$2)))</f>
        <v/>
      </c>
      <c r="O160" s="24">
        <f>IF($K160="","",IF($B$2="","",SUMIFS('Daily Sale entry '!$S$2:$S$1501,'Daily Sale entry '!$P$2:$P$1501,$K160,'Daily Sale entry '!$Q$2:$Q$1501,"Collection 收款",'Daily Sale entry '!$R$2:$R$1501,"Cheque 支票",'Daily Sale entry '!$O$2:$O$1501,$B$2)))</f>
        <v/>
      </c>
      <c r="P160" s="24">
        <f>IF($K160="","",IF($B$2="","",SUMIFS('Daily Sale entry '!$AC$2:$AC$1501,'Daily Sale entry '!$AA$2:$AA$1501,$K160,'Daily Sale entry '!$Z$2:$Z$1501,"Online collection 网上收款",'Daily Sale entry '!$X$2:$X$1501,$B$2)))</f>
        <v/>
      </c>
      <c r="Q160" s="24">
        <f>IF($K160="","",IF($B$2="","",SUMIFS('Debtor Ledger'!$K$2:$K$3001,'Debtor Ledger'!$C$2:$C$3001,$K160,'Debtor Ledger'!$B$2:$B$3001,$B$2)))</f>
        <v/>
      </c>
      <c r="R160" s="24">
        <f>IF($K160="","",IF($B$2="","",ROUND(L160+M160-N160-O160-P160-Q160,2)))</f>
        <v/>
      </c>
      <c r="S160" s="21">
        <f>IF(K160="","",IF($B$2="","",IF(ABS(M160)+ABS(N160)+ABS(O160)+ABS(P160)+ABS(Q160)&gt;0,1,0)))</f>
        <v/>
      </c>
      <c r="T160" s="21">
        <f>IF(S160=1,SUM($S$6:S160),"")</f>
        <v/>
      </c>
    </row>
    <row r="161">
      <c r="A161">
        <f>IF($I161="","",INDEX(K$6:K$305,$I161))</f>
        <v/>
      </c>
      <c r="B161" s="6">
        <f>IF($I161="","",INDEX(L$6:L$305,$I161))</f>
        <v/>
      </c>
      <c r="C161" s="6">
        <f>IF($I161="","",INDEX(M$6:M$305,$I161))</f>
        <v/>
      </c>
      <c r="D161" s="6">
        <f>IF($I161="","",INDEX(N$6:N$305,$I161))</f>
        <v/>
      </c>
      <c r="E161" s="6">
        <f>IF($I161="","",INDEX(O$6:O$305,$I161))</f>
        <v/>
      </c>
      <c r="F161" s="6">
        <f>IF($I161="","",INDEX(P$6:P$305,$I161))</f>
        <v/>
      </c>
      <c r="G161" s="6">
        <f>IF($I161="","",INDEX(Q$6:Q$305,$I161))</f>
        <v/>
      </c>
      <c r="H161" s="6">
        <f>IF($I161="","",INDEX(R$6:R$305,$I161))</f>
        <v/>
      </c>
      <c r="I161" s="21">
        <f>IFERROR(MATCH(156,$T$6:$T$305,0),"")</f>
        <v/>
      </c>
      <c r="K161" s="21">
        <f>IF('Debtor Summary'!A160="","",'Debtor Summary'!A160)</f>
        <v/>
      </c>
      <c r="L161" s="24">
        <f>IF($K161="","",IF($B$2="","",ROUND(SUMIFS('Opening Balance'!$F$4:$F$303,'Opening Balance'!$G$4:$G$303,$K161)+SUMIFS('Daily Sale entry '!$S$2:$S$1501,'Daily Sale entry '!$P$2:$P$1501,$K161,'Daily Sale entry '!$Q$2:$Q$1501,"Credit Sale 赊销",'Daily Sale entry '!$O$2:$O$1501,"&lt;"&amp;$B$2)-SUMIFS('Daily Sale entry '!$S$2:$S$1501,'Daily Sale entry '!$P$2:$P$1501,$K161,'Daily Sale entry '!$Q$2:$Q$1501,"Collection 收款",'Daily Sale entry '!$O$2:$O$1501,"&lt;"&amp;$B$2)-SUMIFS('Daily Sale entry '!$AC$2:$AC$1501,'Daily Sale entry '!$AA$2:$AA$1501,$K161,'Daily Sale entry '!$Z$2:$Z$1501,"Online collection 网上收款",'Daily Sale entry '!$X$2:$X$1501,"&lt;"&amp;$B$2)-SUMIFS('Debtor Ledger'!$K$2:$K$3001,'Debtor Ledger'!$C$2:$C$3001,$K161,'Debtor Ledger'!$B$2:$B$3001,"&lt;"&amp;$B$2),2)))</f>
        <v/>
      </c>
      <c r="M161" s="24">
        <f>IF($K161="","",IF($B$2="","",SUMIFS('Daily Sale entry '!$S$2:$S$1501,'Daily Sale entry '!$P$2:$P$1501,$K161,'Daily Sale entry '!$Q$2:$Q$1501,"Credit Sale 赊销",'Daily Sale entry '!$O$2:$O$1501,$B$2)))</f>
        <v/>
      </c>
      <c r="N161" s="24">
        <f>IF($K161="","",IF($B$2="","",SUMIFS('Daily Sale entry '!$S$2:$S$1501,'Daily Sale entry '!$P$2:$P$1501,$K161,'Daily Sale entry '!$Q$2:$Q$1501,"Collection 收款",'Daily Sale entry '!$R$2:$R$1501,"Cash 现金",'Daily Sale entry '!$O$2:$O$1501,$B$2)))</f>
        <v/>
      </c>
      <c r="O161" s="24">
        <f>IF($K161="","",IF($B$2="","",SUMIFS('Daily Sale entry '!$S$2:$S$1501,'Daily Sale entry '!$P$2:$P$1501,$K161,'Daily Sale entry '!$Q$2:$Q$1501,"Collection 收款",'Daily Sale entry '!$R$2:$R$1501,"Cheque 支票",'Daily Sale entry '!$O$2:$O$1501,$B$2)))</f>
        <v/>
      </c>
      <c r="P161" s="24">
        <f>IF($K161="","",IF($B$2="","",SUMIFS('Daily Sale entry '!$AC$2:$AC$1501,'Daily Sale entry '!$AA$2:$AA$1501,$K161,'Daily Sale entry '!$Z$2:$Z$1501,"Online collection 网上收款",'Daily Sale entry '!$X$2:$X$1501,$B$2)))</f>
        <v/>
      </c>
      <c r="Q161" s="24">
        <f>IF($K161="","",IF($B$2="","",SUMIFS('Debtor Ledger'!$K$2:$K$3001,'Debtor Ledger'!$C$2:$C$3001,$K161,'Debtor Ledger'!$B$2:$B$3001,$B$2)))</f>
        <v/>
      </c>
      <c r="R161" s="24">
        <f>IF($K161="","",IF($B$2="","",ROUND(L161+M161-N161-O161-P161-Q161,2)))</f>
        <v/>
      </c>
      <c r="S161" s="21">
        <f>IF(K161="","",IF($B$2="","",IF(ABS(M161)+ABS(N161)+ABS(O161)+ABS(P161)+ABS(Q161)&gt;0,1,0)))</f>
        <v/>
      </c>
      <c r="T161" s="21">
        <f>IF(S161=1,SUM($S$6:S161),"")</f>
        <v/>
      </c>
    </row>
    <row r="162">
      <c r="A162">
        <f>IF($I162="","",INDEX(K$6:K$305,$I162))</f>
        <v/>
      </c>
      <c r="B162" s="6">
        <f>IF($I162="","",INDEX(L$6:L$305,$I162))</f>
        <v/>
      </c>
      <c r="C162" s="6">
        <f>IF($I162="","",INDEX(M$6:M$305,$I162))</f>
        <v/>
      </c>
      <c r="D162" s="6">
        <f>IF($I162="","",INDEX(N$6:N$305,$I162))</f>
        <v/>
      </c>
      <c r="E162" s="6">
        <f>IF($I162="","",INDEX(O$6:O$305,$I162))</f>
        <v/>
      </c>
      <c r="F162" s="6">
        <f>IF($I162="","",INDEX(P$6:P$305,$I162))</f>
        <v/>
      </c>
      <c r="G162" s="6">
        <f>IF($I162="","",INDEX(Q$6:Q$305,$I162))</f>
        <v/>
      </c>
      <c r="H162" s="6">
        <f>IF($I162="","",INDEX(R$6:R$305,$I162))</f>
        <v/>
      </c>
      <c r="I162" s="21">
        <f>IFERROR(MATCH(157,$T$6:$T$305,0),"")</f>
        <v/>
      </c>
      <c r="K162" s="21">
        <f>IF('Debtor Summary'!A161="","",'Debtor Summary'!A161)</f>
        <v/>
      </c>
      <c r="L162" s="24">
        <f>IF($K162="","",IF($B$2="","",ROUND(SUMIFS('Opening Balance'!$F$4:$F$303,'Opening Balance'!$G$4:$G$303,$K162)+SUMIFS('Daily Sale entry '!$S$2:$S$1501,'Daily Sale entry '!$P$2:$P$1501,$K162,'Daily Sale entry '!$Q$2:$Q$1501,"Credit Sale 赊销",'Daily Sale entry '!$O$2:$O$1501,"&lt;"&amp;$B$2)-SUMIFS('Daily Sale entry '!$S$2:$S$1501,'Daily Sale entry '!$P$2:$P$1501,$K162,'Daily Sale entry '!$Q$2:$Q$1501,"Collection 收款",'Daily Sale entry '!$O$2:$O$1501,"&lt;"&amp;$B$2)-SUMIFS('Daily Sale entry '!$AC$2:$AC$1501,'Daily Sale entry '!$AA$2:$AA$1501,$K162,'Daily Sale entry '!$Z$2:$Z$1501,"Online collection 网上收款",'Daily Sale entry '!$X$2:$X$1501,"&lt;"&amp;$B$2)-SUMIFS('Debtor Ledger'!$K$2:$K$3001,'Debtor Ledger'!$C$2:$C$3001,$K162,'Debtor Ledger'!$B$2:$B$3001,"&lt;"&amp;$B$2),2)))</f>
        <v/>
      </c>
      <c r="M162" s="24">
        <f>IF($K162="","",IF($B$2="","",SUMIFS('Daily Sale entry '!$S$2:$S$1501,'Daily Sale entry '!$P$2:$P$1501,$K162,'Daily Sale entry '!$Q$2:$Q$1501,"Credit Sale 赊销",'Daily Sale entry '!$O$2:$O$1501,$B$2)))</f>
        <v/>
      </c>
      <c r="N162" s="24">
        <f>IF($K162="","",IF($B$2="","",SUMIFS('Daily Sale entry '!$S$2:$S$1501,'Daily Sale entry '!$P$2:$P$1501,$K162,'Daily Sale entry '!$Q$2:$Q$1501,"Collection 收款",'Daily Sale entry '!$R$2:$R$1501,"Cash 现金",'Daily Sale entry '!$O$2:$O$1501,$B$2)))</f>
        <v/>
      </c>
      <c r="O162" s="24">
        <f>IF($K162="","",IF($B$2="","",SUMIFS('Daily Sale entry '!$S$2:$S$1501,'Daily Sale entry '!$P$2:$P$1501,$K162,'Daily Sale entry '!$Q$2:$Q$1501,"Collection 收款",'Daily Sale entry '!$R$2:$R$1501,"Cheque 支票",'Daily Sale entry '!$O$2:$O$1501,$B$2)))</f>
        <v/>
      </c>
      <c r="P162" s="24">
        <f>IF($K162="","",IF($B$2="","",SUMIFS('Daily Sale entry '!$AC$2:$AC$1501,'Daily Sale entry '!$AA$2:$AA$1501,$K162,'Daily Sale entry '!$Z$2:$Z$1501,"Online collection 网上收款",'Daily Sale entry '!$X$2:$X$1501,$B$2)))</f>
        <v/>
      </c>
      <c r="Q162" s="24">
        <f>IF($K162="","",IF($B$2="","",SUMIFS('Debtor Ledger'!$K$2:$K$3001,'Debtor Ledger'!$C$2:$C$3001,$K162,'Debtor Ledger'!$B$2:$B$3001,$B$2)))</f>
        <v/>
      </c>
      <c r="R162" s="24">
        <f>IF($K162="","",IF($B$2="","",ROUND(L162+M162-N162-O162-P162-Q162,2)))</f>
        <v/>
      </c>
      <c r="S162" s="21">
        <f>IF(K162="","",IF($B$2="","",IF(ABS(M162)+ABS(N162)+ABS(O162)+ABS(P162)+ABS(Q162)&gt;0,1,0)))</f>
        <v/>
      </c>
      <c r="T162" s="21">
        <f>IF(S162=1,SUM($S$6:S162),"")</f>
        <v/>
      </c>
    </row>
    <row r="163">
      <c r="A163">
        <f>IF($I163="","",INDEX(K$6:K$305,$I163))</f>
        <v/>
      </c>
      <c r="B163" s="6">
        <f>IF($I163="","",INDEX(L$6:L$305,$I163))</f>
        <v/>
      </c>
      <c r="C163" s="6">
        <f>IF($I163="","",INDEX(M$6:M$305,$I163))</f>
        <v/>
      </c>
      <c r="D163" s="6">
        <f>IF($I163="","",INDEX(N$6:N$305,$I163))</f>
        <v/>
      </c>
      <c r="E163" s="6">
        <f>IF($I163="","",INDEX(O$6:O$305,$I163))</f>
        <v/>
      </c>
      <c r="F163" s="6">
        <f>IF($I163="","",INDEX(P$6:P$305,$I163))</f>
        <v/>
      </c>
      <c r="G163" s="6">
        <f>IF($I163="","",INDEX(Q$6:Q$305,$I163))</f>
        <v/>
      </c>
      <c r="H163" s="6">
        <f>IF($I163="","",INDEX(R$6:R$305,$I163))</f>
        <v/>
      </c>
      <c r="I163" s="21">
        <f>IFERROR(MATCH(158,$T$6:$T$305,0),"")</f>
        <v/>
      </c>
      <c r="K163" s="21">
        <f>IF('Debtor Summary'!A162="","",'Debtor Summary'!A162)</f>
        <v/>
      </c>
      <c r="L163" s="24">
        <f>IF($K163="","",IF($B$2="","",ROUND(SUMIFS('Opening Balance'!$F$4:$F$303,'Opening Balance'!$G$4:$G$303,$K163)+SUMIFS('Daily Sale entry '!$S$2:$S$1501,'Daily Sale entry '!$P$2:$P$1501,$K163,'Daily Sale entry '!$Q$2:$Q$1501,"Credit Sale 赊销",'Daily Sale entry '!$O$2:$O$1501,"&lt;"&amp;$B$2)-SUMIFS('Daily Sale entry '!$S$2:$S$1501,'Daily Sale entry '!$P$2:$P$1501,$K163,'Daily Sale entry '!$Q$2:$Q$1501,"Collection 收款",'Daily Sale entry '!$O$2:$O$1501,"&lt;"&amp;$B$2)-SUMIFS('Daily Sale entry '!$AC$2:$AC$1501,'Daily Sale entry '!$AA$2:$AA$1501,$K163,'Daily Sale entry '!$Z$2:$Z$1501,"Online collection 网上收款",'Daily Sale entry '!$X$2:$X$1501,"&lt;"&amp;$B$2)-SUMIFS('Debtor Ledger'!$K$2:$K$3001,'Debtor Ledger'!$C$2:$C$3001,$K163,'Debtor Ledger'!$B$2:$B$3001,"&lt;"&amp;$B$2),2)))</f>
        <v/>
      </c>
      <c r="M163" s="24">
        <f>IF($K163="","",IF($B$2="","",SUMIFS('Daily Sale entry '!$S$2:$S$1501,'Daily Sale entry '!$P$2:$P$1501,$K163,'Daily Sale entry '!$Q$2:$Q$1501,"Credit Sale 赊销",'Daily Sale entry '!$O$2:$O$1501,$B$2)))</f>
        <v/>
      </c>
      <c r="N163" s="24">
        <f>IF($K163="","",IF($B$2="","",SUMIFS('Daily Sale entry '!$S$2:$S$1501,'Daily Sale entry '!$P$2:$P$1501,$K163,'Daily Sale entry '!$Q$2:$Q$1501,"Collection 收款",'Daily Sale entry '!$R$2:$R$1501,"Cash 现金",'Daily Sale entry '!$O$2:$O$1501,$B$2)))</f>
        <v/>
      </c>
      <c r="O163" s="24">
        <f>IF($K163="","",IF($B$2="","",SUMIFS('Daily Sale entry '!$S$2:$S$1501,'Daily Sale entry '!$P$2:$P$1501,$K163,'Daily Sale entry '!$Q$2:$Q$1501,"Collection 收款",'Daily Sale entry '!$R$2:$R$1501,"Cheque 支票",'Daily Sale entry '!$O$2:$O$1501,$B$2)))</f>
        <v/>
      </c>
      <c r="P163" s="24">
        <f>IF($K163="","",IF($B$2="","",SUMIFS('Daily Sale entry '!$AC$2:$AC$1501,'Daily Sale entry '!$AA$2:$AA$1501,$K163,'Daily Sale entry '!$Z$2:$Z$1501,"Online collection 网上收款",'Daily Sale entry '!$X$2:$X$1501,$B$2)))</f>
        <v/>
      </c>
      <c r="Q163" s="24">
        <f>IF($K163="","",IF($B$2="","",SUMIFS('Debtor Ledger'!$K$2:$K$3001,'Debtor Ledger'!$C$2:$C$3001,$K163,'Debtor Ledger'!$B$2:$B$3001,$B$2)))</f>
        <v/>
      </c>
      <c r="R163" s="24">
        <f>IF($K163="","",IF($B$2="","",ROUND(L163+M163-N163-O163-P163-Q163,2)))</f>
        <v/>
      </c>
      <c r="S163" s="21">
        <f>IF(K163="","",IF($B$2="","",IF(ABS(M163)+ABS(N163)+ABS(O163)+ABS(P163)+ABS(Q163)&gt;0,1,0)))</f>
        <v/>
      </c>
      <c r="T163" s="21">
        <f>IF(S163=1,SUM($S$6:S163),"")</f>
        <v/>
      </c>
    </row>
    <row r="164">
      <c r="A164">
        <f>IF($I164="","",INDEX(K$6:K$305,$I164))</f>
        <v/>
      </c>
      <c r="B164" s="6">
        <f>IF($I164="","",INDEX(L$6:L$305,$I164))</f>
        <v/>
      </c>
      <c r="C164" s="6">
        <f>IF($I164="","",INDEX(M$6:M$305,$I164))</f>
        <v/>
      </c>
      <c r="D164" s="6">
        <f>IF($I164="","",INDEX(N$6:N$305,$I164))</f>
        <v/>
      </c>
      <c r="E164" s="6">
        <f>IF($I164="","",INDEX(O$6:O$305,$I164))</f>
        <v/>
      </c>
      <c r="F164" s="6">
        <f>IF($I164="","",INDEX(P$6:P$305,$I164))</f>
        <v/>
      </c>
      <c r="G164" s="6">
        <f>IF($I164="","",INDEX(Q$6:Q$305,$I164))</f>
        <v/>
      </c>
      <c r="H164" s="6">
        <f>IF($I164="","",INDEX(R$6:R$305,$I164))</f>
        <v/>
      </c>
      <c r="I164" s="21">
        <f>IFERROR(MATCH(159,$T$6:$T$305,0),"")</f>
        <v/>
      </c>
      <c r="K164" s="21">
        <f>IF('Debtor Summary'!A163="","",'Debtor Summary'!A163)</f>
        <v/>
      </c>
      <c r="L164" s="24">
        <f>IF($K164="","",IF($B$2="","",ROUND(SUMIFS('Opening Balance'!$F$4:$F$303,'Opening Balance'!$G$4:$G$303,$K164)+SUMIFS('Daily Sale entry '!$S$2:$S$1501,'Daily Sale entry '!$P$2:$P$1501,$K164,'Daily Sale entry '!$Q$2:$Q$1501,"Credit Sale 赊销",'Daily Sale entry '!$O$2:$O$1501,"&lt;"&amp;$B$2)-SUMIFS('Daily Sale entry '!$S$2:$S$1501,'Daily Sale entry '!$P$2:$P$1501,$K164,'Daily Sale entry '!$Q$2:$Q$1501,"Collection 收款",'Daily Sale entry '!$O$2:$O$1501,"&lt;"&amp;$B$2)-SUMIFS('Daily Sale entry '!$AC$2:$AC$1501,'Daily Sale entry '!$AA$2:$AA$1501,$K164,'Daily Sale entry '!$Z$2:$Z$1501,"Online collection 网上收款",'Daily Sale entry '!$X$2:$X$1501,"&lt;"&amp;$B$2)-SUMIFS('Debtor Ledger'!$K$2:$K$3001,'Debtor Ledger'!$C$2:$C$3001,$K164,'Debtor Ledger'!$B$2:$B$3001,"&lt;"&amp;$B$2),2)))</f>
        <v/>
      </c>
      <c r="M164" s="24">
        <f>IF($K164="","",IF($B$2="","",SUMIFS('Daily Sale entry '!$S$2:$S$1501,'Daily Sale entry '!$P$2:$P$1501,$K164,'Daily Sale entry '!$Q$2:$Q$1501,"Credit Sale 赊销",'Daily Sale entry '!$O$2:$O$1501,$B$2)))</f>
        <v/>
      </c>
      <c r="N164" s="24">
        <f>IF($K164="","",IF($B$2="","",SUMIFS('Daily Sale entry '!$S$2:$S$1501,'Daily Sale entry '!$P$2:$P$1501,$K164,'Daily Sale entry '!$Q$2:$Q$1501,"Collection 收款",'Daily Sale entry '!$R$2:$R$1501,"Cash 现金",'Daily Sale entry '!$O$2:$O$1501,$B$2)))</f>
        <v/>
      </c>
      <c r="O164" s="24">
        <f>IF($K164="","",IF($B$2="","",SUMIFS('Daily Sale entry '!$S$2:$S$1501,'Daily Sale entry '!$P$2:$P$1501,$K164,'Daily Sale entry '!$Q$2:$Q$1501,"Collection 收款",'Daily Sale entry '!$R$2:$R$1501,"Cheque 支票",'Daily Sale entry '!$O$2:$O$1501,$B$2)))</f>
        <v/>
      </c>
      <c r="P164" s="24">
        <f>IF($K164="","",IF($B$2="","",SUMIFS('Daily Sale entry '!$AC$2:$AC$1501,'Daily Sale entry '!$AA$2:$AA$1501,$K164,'Daily Sale entry '!$Z$2:$Z$1501,"Online collection 网上收款",'Daily Sale entry '!$X$2:$X$1501,$B$2)))</f>
        <v/>
      </c>
      <c r="Q164" s="24">
        <f>IF($K164="","",IF($B$2="","",SUMIFS('Debtor Ledger'!$K$2:$K$3001,'Debtor Ledger'!$C$2:$C$3001,$K164,'Debtor Ledger'!$B$2:$B$3001,$B$2)))</f>
        <v/>
      </c>
      <c r="R164" s="24">
        <f>IF($K164="","",IF($B$2="","",ROUND(L164+M164-N164-O164-P164-Q164,2)))</f>
        <v/>
      </c>
      <c r="S164" s="21">
        <f>IF(K164="","",IF($B$2="","",IF(ABS(M164)+ABS(N164)+ABS(O164)+ABS(P164)+ABS(Q164)&gt;0,1,0)))</f>
        <v/>
      </c>
      <c r="T164" s="21">
        <f>IF(S164=1,SUM($S$6:S164),"")</f>
        <v/>
      </c>
    </row>
    <row r="165">
      <c r="A165">
        <f>IF($I165="","",INDEX(K$6:K$305,$I165))</f>
        <v/>
      </c>
      <c r="B165" s="6">
        <f>IF($I165="","",INDEX(L$6:L$305,$I165))</f>
        <v/>
      </c>
      <c r="C165" s="6">
        <f>IF($I165="","",INDEX(M$6:M$305,$I165))</f>
        <v/>
      </c>
      <c r="D165" s="6">
        <f>IF($I165="","",INDEX(N$6:N$305,$I165))</f>
        <v/>
      </c>
      <c r="E165" s="6">
        <f>IF($I165="","",INDEX(O$6:O$305,$I165))</f>
        <v/>
      </c>
      <c r="F165" s="6">
        <f>IF($I165="","",INDEX(P$6:P$305,$I165))</f>
        <v/>
      </c>
      <c r="G165" s="6">
        <f>IF($I165="","",INDEX(Q$6:Q$305,$I165))</f>
        <v/>
      </c>
      <c r="H165" s="6">
        <f>IF($I165="","",INDEX(R$6:R$305,$I165))</f>
        <v/>
      </c>
      <c r="I165" s="21">
        <f>IFERROR(MATCH(160,$T$6:$T$305,0),"")</f>
        <v/>
      </c>
      <c r="K165" s="21">
        <f>IF('Debtor Summary'!A164="","",'Debtor Summary'!A164)</f>
        <v/>
      </c>
      <c r="L165" s="24">
        <f>IF($K165="","",IF($B$2="","",ROUND(SUMIFS('Opening Balance'!$F$4:$F$303,'Opening Balance'!$G$4:$G$303,$K165)+SUMIFS('Daily Sale entry '!$S$2:$S$1501,'Daily Sale entry '!$P$2:$P$1501,$K165,'Daily Sale entry '!$Q$2:$Q$1501,"Credit Sale 赊销",'Daily Sale entry '!$O$2:$O$1501,"&lt;"&amp;$B$2)-SUMIFS('Daily Sale entry '!$S$2:$S$1501,'Daily Sale entry '!$P$2:$P$1501,$K165,'Daily Sale entry '!$Q$2:$Q$1501,"Collection 收款",'Daily Sale entry '!$O$2:$O$1501,"&lt;"&amp;$B$2)-SUMIFS('Daily Sale entry '!$AC$2:$AC$1501,'Daily Sale entry '!$AA$2:$AA$1501,$K165,'Daily Sale entry '!$Z$2:$Z$1501,"Online collection 网上收款",'Daily Sale entry '!$X$2:$X$1501,"&lt;"&amp;$B$2)-SUMIFS('Debtor Ledger'!$K$2:$K$3001,'Debtor Ledger'!$C$2:$C$3001,$K165,'Debtor Ledger'!$B$2:$B$3001,"&lt;"&amp;$B$2),2)))</f>
        <v/>
      </c>
      <c r="M165" s="24">
        <f>IF($K165="","",IF($B$2="","",SUMIFS('Daily Sale entry '!$S$2:$S$1501,'Daily Sale entry '!$P$2:$P$1501,$K165,'Daily Sale entry '!$Q$2:$Q$1501,"Credit Sale 赊销",'Daily Sale entry '!$O$2:$O$1501,$B$2)))</f>
        <v/>
      </c>
      <c r="N165" s="24">
        <f>IF($K165="","",IF($B$2="","",SUMIFS('Daily Sale entry '!$S$2:$S$1501,'Daily Sale entry '!$P$2:$P$1501,$K165,'Daily Sale entry '!$Q$2:$Q$1501,"Collection 收款",'Daily Sale entry '!$R$2:$R$1501,"Cash 现金",'Daily Sale entry '!$O$2:$O$1501,$B$2)))</f>
        <v/>
      </c>
      <c r="O165" s="24">
        <f>IF($K165="","",IF($B$2="","",SUMIFS('Daily Sale entry '!$S$2:$S$1501,'Daily Sale entry '!$P$2:$P$1501,$K165,'Daily Sale entry '!$Q$2:$Q$1501,"Collection 收款",'Daily Sale entry '!$R$2:$R$1501,"Cheque 支票",'Daily Sale entry '!$O$2:$O$1501,$B$2)))</f>
        <v/>
      </c>
      <c r="P165" s="24">
        <f>IF($K165="","",IF($B$2="","",SUMIFS('Daily Sale entry '!$AC$2:$AC$1501,'Daily Sale entry '!$AA$2:$AA$1501,$K165,'Daily Sale entry '!$Z$2:$Z$1501,"Online collection 网上收款",'Daily Sale entry '!$X$2:$X$1501,$B$2)))</f>
        <v/>
      </c>
      <c r="Q165" s="24">
        <f>IF($K165="","",IF($B$2="","",SUMIFS('Debtor Ledger'!$K$2:$K$3001,'Debtor Ledger'!$C$2:$C$3001,$K165,'Debtor Ledger'!$B$2:$B$3001,$B$2)))</f>
        <v/>
      </c>
      <c r="R165" s="24">
        <f>IF($K165="","",IF($B$2="","",ROUND(L165+M165-N165-O165-P165-Q165,2)))</f>
        <v/>
      </c>
      <c r="S165" s="21">
        <f>IF(K165="","",IF($B$2="","",IF(ABS(M165)+ABS(N165)+ABS(O165)+ABS(P165)+ABS(Q165)&gt;0,1,0)))</f>
        <v/>
      </c>
      <c r="T165" s="21">
        <f>IF(S165=1,SUM($S$6:S165),"")</f>
        <v/>
      </c>
    </row>
    <row r="166">
      <c r="A166">
        <f>IF($I166="","",INDEX(K$6:K$305,$I166))</f>
        <v/>
      </c>
      <c r="B166" s="6">
        <f>IF($I166="","",INDEX(L$6:L$305,$I166))</f>
        <v/>
      </c>
      <c r="C166" s="6">
        <f>IF($I166="","",INDEX(M$6:M$305,$I166))</f>
        <v/>
      </c>
      <c r="D166" s="6">
        <f>IF($I166="","",INDEX(N$6:N$305,$I166))</f>
        <v/>
      </c>
      <c r="E166" s="6">
        <f>IF($I166="","",INDEX(O$6:O$305,$I166))</f>
        <v/>
      </c>
      <c r="F166" s="6">
        <f>IF($I166="","",INDEX(P$6:P$305,$I166))</f>
        <v/>
      </c>
      <c r="G166" s="6">
        <f>IF($I166="","",INDEX(Q$6:Q$305,$I166))</f>
        <v/>
      </c>
      <c r="H166" s="6">
        <f>IF($I166="","",INDEX(R$6:R$305,$I166))</f>
        <v/>
      </c>
      <c r="I166" s="21">
        <f>IFERROR(MATCH(161,$T$6:$T$305,0),"")</f>
        <v/>
      </c>
      <c r="K166" s="21">
        <f>IF('Debtor Summary'!A165="","",'Debtor Summary'!A165)</f>
        <v/>
      </c>
      <c r="L166" s="24">
        <f>IF($K166="","",IF($B$2="","",ROUND(SUMIFS('Opening Balance'!$F$4:$F$303,'Opening Balance'!$G$4:$G$303,$K166)+SUMIFS('Daily Sale entry '!$S$2:$S$1501,'Daily Sale entry '!$P$2:$P$1501,$K166,'Daily Sale entry '!$Q$2:$Q$1501,"Credit Sale 赊销",'Daily Sale entry '!$O$2:$O$1501,"&lt;"&amp;$B$2)-SUMIFS('Daily Sale entry '!$S$2:$S$1501,'Daily Sale entry '!$P$2:$P$1501,$K166,'Daily Sale entry '!$Q$2:$Q$1501,"Collection 收款",'Daily Sale entry '!$O$2:$O$1501,"&lt;"&amp;$B$2)-SUMIFS('Daily Sale entry '!$AC$2:$AC$1501,'Daily Sale entry '!$AA$2:$AA$1501,$K166,'Daily Sale entry '!$Z$2:$Z$1501,"Online collection 网上收款",'Daily Sale entry '!$X$2:$X$1501,"&lt;"&amp;$B$2)-SUMIFS('Debtor Ledger'!$K$2:$K$3001,'Debtor Ledger'!$C$2:$C$3001,$K166,'Debtor Ledger'!$B$2:$B$3001,"&lt;"&amp;$B$2),2)))</f>
        <v/>
      </c>
      <c r="M166" s="24">
        <f>IF($K166="","",IF($B$2="","",SUMIFS('Daily Sale entry '!$S$2:$S$1501,'Daily Sale entry '!$P$2:$P$1501,$K166,'Daily Sale entry '!$Q$2:$Q$1501,"Credit Sale 赊销",'Daily Sale entry '!$O$2:$O$1501,$B$2)))</f>
        <v/>
      </c>
      <c r="N166" s="24">
        <f>IF($K166="","",IF($B$2="","",SUMIFS('Daily Sale entry '!$S$2:$S$1501,'Daily Sale entry '!$P$2:$P$1501,$K166,'Daily Sale entry '!$Q$2:$Q$1501,"Collection 收款",'Daily Sale entry '!$R$2:$R$1501,"Cash 现金",'Daily Sale entry '!$O$2:$O$1501,$B$2)))</f>
        <v/>
      </c>
      <c r="O166" s="24">
        <f>IF($K166="","",IF($B$2="","",SUMIFS('Daily Sale entry '!$S$2:$S$1501,'Daily Sale entry '!$P$2:$P$1501,$K166,'Daily Sale entry '!$Q$2:$Q$1501,"Collection 收款",'Daily Sale entry '!$R$2:$R$1501,"Cheque 支票",'Daily Sale entry '!$O$2:$O$1501,$B$2)))</f>
        <v/>
      </c>
      <c r="P166" s="24">
        <f>IF($K166="","",IF($B$2="","",SUMIFS('Daily Sale entry '!$AC$2:$AC$1501,'Daily Sale entry '!$AA$2:$AA$1501,$K166,'Daily Sale entry '!$Z$2:$Z$1501,"Online collection 网上收款",'Daily Sale entry '!$X$2:$X$1501,$B$2)))</f>
        <v/>
      </c>
      <c r="Q166" s="24">
        <f>IF($K166="","",IF($B$2="","",SUMIFS('Debtor Ledger'!$K$2:$K$3001,'Debtor Ledger'!$C$2:$C$3001,$K166,'Debtor Ledger'!$B$2:$B$3001,$B$2)))</f>
        <v/>
      </c>
      <c r="R166" s="24">
        <f>IF($K166="","",IF($B$2="","",ROUND(L166+M166-N166-O166-P166-Q166,2)))</f>
        <v/>
      </c>
      <c r="S166" s="21">
        <f>IF(K166="","",IF($B$2="","",IF(ABS(M166)+ABS(N166)+ABS(O166)+ABS(P166)+ABS(Q166)&gt;0,1,0)))</f>
        <v/>
      </c>
      <c r="T166" s="21">
        <f>IF(S166=1,SUM($S$6:S166),"")</f>
        <v/>
      </c>
    </row>
    <row r="167">
      <c r="A167">
        <f>IF($I167="","",INDEX(K$6:K$305,$I167))</f>
        <v/>
      </c>
      <c r="B167" s="6">
        <f>IF($I167="","",INDEX(L$6:L$305,$I167))</f>
        <v/>
      </c>
      <c r="C167" s="6">
        <f>IF($I167="","",INDEX(M$6:M$305,$I167))</f>
        <v/>
      </c>
      <c r="D167" s="6">
        <f>IF($I167="","",INDEX(N$6:N$305,$I167))</f>
        <v/>
      </c>
      <c r="E167" s="6">
        <f>IF($I167="","",INDEX(O$6:O$305,$I167))</f>
        <v/>
      </c>
      <c r="F167" s="6">
        <f>IF($I167="","",INDEX(P$6:P$305,$I167))</f>
        <v/>
      </c>
      <c r="G167" s="6">
        <f>IF($I167="","",INDEX(Q$6:Q$305,$I167))</f>
        <v/>
      </c>
      <c r="H167" s="6">
        <f>IF($I167="","",INDEX(R$6:R$305,$I167))</f>
        <v/>
      </c>
      <c r="I167" s="21">
        <f>IFERROR(MATCH(162,$T$6:$T$305,0),"")</f>
        <v/>
      </c>
      <c r="K167" s="21">
        <f>IF('Debtor Summary'!A166="","",'Debtor Summary'!A166)</f>
        <v/>
      </c>
      <c r="L167" s="24">
        <f>IF($K167="","",IF($B$2="","",ROUND(SUMIFS('Opening Balance'!$F$4:$F$303,'Opening Balance'!$G$4:$G$303,$K167)+SUMIFS('Daily Sale entry '!$S$2:$S$1501,'Daily Sale entry '!$P$2:$P$1501,$K167,'Daily Sale entry '!$Q$2:$Q$1501,"Credit Sale 赊销",'Daily Sale entry '!$O$2:$O$1501,"&lt;"&amp;$B$2)-SUMIFS('Daily Sale entry '!$S$2:$S$1501,'Daily Sale entry '!$P$2:$P$1501,$K167,'Daily Sale entry '!$Q$2:$Q$1501,"Collection 收款",'Daily Sale entry '!$O$2:$O$1501,"&lt;"&amp;$B$2)-SUMIFS('Daily Sale entry '!$AC$2:$AC$1501,'Daily Sale entry '!$AA$2:$AA$1501,$K167,'Daily Sale entry '!$Z$2:$Z$1501,"Online collection 网上收款",'Daily Sale entry '!$X$2:$X$1501,"&lt;"&amp;$B$2)-SUMIFS('Debtor Ledger'!$K$2:$K$3001,'Debtor Ledger'!$C$2:$C$3001,$K167,'Debtor Ledger'!$B$2:$B$3001,"&lt;"&amp;$B$2),2)))</f>
        <v/>
      </c>
      <c r="M167" s="24">
        <f>IF($K167="","",IF($B$2="","",SUMIFS('Daily Sale entry '!$S$2:$S$1501,'Daily Sale entry '!$P$2:$P$1501,$K167,'Daily Sale entry '!$Q$2:$Q$1501,"Credit Sale 赊销",'Daily Sale entry '!$O$2:$O$1501,$B$2)))</f>
        <v/>
      </c>
      <c r="N167" s="24">
        <f>IF($K167="","",IF($B$2="","",SUMIFS('Daily Sale entry '!$S$2:$S$1501,'Daily Sale entry '!$P$2:$P$1501,$K167,'Daily Sale entry '!$Q$2:$Q$1501,"Collection 收款",'Daily Sale entry '!$R$2:$R$1501,"Cash 现金",'Daily Sale entry '!$O$2:$O$1501,$B$2)))</f>
        <v/>
      </c>
      <c r="O167" s="24">
        <f>IF($K167="","",IF($B$2="","",SUMIFS('Daily Sale entry '!$S$2:$S$1501,'Daily Sale entry '!$P$2:$P$1501,$K167,'Daily Sale entry '!$Q$2:$Q$1501,"Collection 收款",'Daily Sale entry '!$R$2:$R$1501,"Cheque 支票",'Daily Sale entry '!$O$2:$O$1501,$B$2)))</f>
        <v/>
      </c>
      <c r="P167" s="24">
        <f>IF($K167="","",IF($B$2="","",SUMIFS('Daily Sale entry '!$AC$2:$AC$1501,'Daily Sale entry '!$AA$2:$AA$1501,$K167,'Daily Sale entry '!$Z$2:$Z$1501,"Online collection 网上收款",'Daily Sale entry '!$X$2:$X$1501,$B$2)))</f>
        <v/>
      </c>
      <c r="Q167" s="24">
        <f>IF($K167="","",IF($B$2="","",SUMIFS('Debtor Ledger'!$K$2:$K$3001,'Debtor Ledger'!$C$2:$C$3001,$K167,'Debtor Ledger'!$B$2:$B$3001,$B$2)))</f>
        <v/>
      </c>
      <c r="R167" s="24">
        <f>IF($K167="","",IF($B$2="","",ROUND(L167+M167-N167-O167-P167-Q167,2)))</f>
        <v/>
      </c>
      <c r="S167" s="21">
        <f>IF(K167="","",IF($B$2="","",IF(ABS(M167)+ABS(N167)+ABS(O167)+ABS(P167)+ABS(Q167)&gt;0,1,0)))</f>
        <v/>
      </c>
      <c r="T167" s="21">
        <f>IF(S167=1,SUM($S$6:S167),"")</f>
        <v/>
      </c>
    </row>
    <row r="168">
      <c r="A168">
        <f>IF($I168="","",INDEX(K$6:K$305,$I168))</f>
        <v/>
      </c>
      <c r="B168" s="6">
        <f>IF($I168="","",INDEX(L$6:L$305,$I168))</f>
        <v/>
      </c>
      <c r="C168" s="6">
        <f>IF($I168="","",INDEX(M$6:M$305,$I168))</f>
        <v/>
      </c>
      <c r="D168" s="6">
        <f>IF($I168="","",INDEX(N$6:N$305,$I168))</f>
        <v/>
      </c>
      <c r="E168" s="6">
        <f>IF($I168="","",INDEX(O$6:O$305,$I168))</f>
        <v/>
      </c>
      <c r="F168" s="6">
        <f>IF($I168="","",INDEX(P$6:P$305,$I168))</f>
        <v/>
      </c>
      <c r="G168" s="6">
        <f>IF($I168="","",INDEX(Q$6:Q$305,$I168))</f>
        <v/>
      </c>
      <c r="H168" s="6">
        <f>IF($I168="","",INDEX(R$6:R$305,$I168))</f>
        <v/>
      </c>
      <c r="I168" s="21">
        <f>IFERROR(MATCH(163,$T$6:$T$305,0),"")</f>
        <v/>
      </c>
      <c r="K168" s="21">
        <f>IF('Debtor Summary'!A167="","",'Debtor Summary'!A167)</f>
        <v/>
      </c>
      <c r="L168" s="24">
        <f>IF($K168="","",IF($B$2="","",ROUND(SUMIFS('Opening Balance'!$F$4:$F$303,'Opening Balance'!$G$4:$G$303,$K168)+SUMIFS('Daily Sale entry '!$S$2:$S$1501,'Daily Sale entry '!$P$2:$P$1501,$K168,'Daily Sale entry '!$Q$2:$Q$1501,"Credit Sale 赊销",'Daily Sale entry '!$O$2:$O$1501,"&lt;"&amp;$B$2)-SUMIFS('Daily Sale entry '!$S$2:$S$1501,'Daily Sale entry '!$P$2:$P$1501,$K168,'Daily Sale entry '!$Q$2:$Q$1501,"Collection 收款",'Daily Sale entry '!$O$2:$O$1501,"&lt;"&amp;$B$2)-SUMIFS('Daily Sale entry '!$AC$2:$AC$1501,'Daily Sale entry '!$AA$2:$AA$1501,$K168,'Daily Sale entry '!$Z$2:$Z$1501,"Online collection 网上收款",'Daily Sale entry '!$X$2:$X$1501,"&lt;"&amp;$B$2)-SUMIFS('Debtor Ledger'!$K$2:$K$3001,'Debtor Ledger'!$C$2:$C$3001,$K168,'Debtor Ledger'!$B$2:$B$3001,"&lt;"&amp;$B$2),2)))</f>
        <v/>
      </c>
      <c r="M168" s="24">
        <f>IF($K168="","",IF($B$2="","",SUMIFS('Daily Sale entry '!$S$2:$S$1501,'Daily Sale entry '!$P$2:$P$1501,$K168,'Daily Sale entry '!$Q$2:$Q$1501,"Credit Sale 赊销",'Daily Sale entry '!$O$2:$O$1501,$B$2)))</f>
        <v/>
      </c>
      <c r="N168" s="24">
        <f>IF($K168="","",IF($B$2="","",SUMIFS('Daily Sale entry '!$S$2:$S$1501,'Daily Sale entry '!$P$2:$P$1501,$K168,'Daily Sale entry '!$Q$2:$Q$1501,"Collection 收款",'Daily Sale entry '!$R$2:$R$1501,"Cash 现金",'Daily Sale entry '!$O$2:$O$1501,$B$2)))</f>
        <v/>
      </c>
      <c r="O168" s="24">
        <f>IF($K168="","",IF($B$2="","",SUMIFS('Daily Sale entry '!$S$2:$S$1501,'Daily Sale entry '!$P$2:$P$1501,$K168,'Daily Sale entry '!$Q$2:$Q$1501,"Collection 收款",'Daily Sale entry '!$R$2:$R$1501,"Cheque 支票",'Daily Sale entry '!$O$2:$O$1501,$B$2)))</f>
        <v/>
      </c>
      <c r="P168" s="24">
        <f>IF($K168="","",IF($B$2="","",SUMIFS('Daily Sale entry '!$AC$2:$AC$1501,'Daily Sale entry '!$AA$2:$AA$1501,$K168,'Daily Sale entry '!$Z$2:$Z$1501,"Online collection 网上收款",'Daily Sale entry '!$X$2:$X$1501,$B$2)))</f>
        <v/>
      </c>
      <c r="Q168" s="24">
        <f>IF($K168="","",IF($B$2="","",SUMIFS('Debtor Ledger'!$K$2:$K$3001,'Debtor Ledger'!$C$2:$C$3001,$K168,'Debtor Ledger'!$B$2:$B$3001,$B$2)))</f>
        <v/>
      </c>
      <c r="R168" s="24">
        <f>IF($K168="","",IF($B$2="","",ROUND(L168+M168-N168-O168-P168-Q168,2)))</f>
        <v/>
      </c>
      <c r="S168" s="21">
        <f>IF(K168="","",IF($B$2="","",IF(ABS(M168)+ABS(N168)+ABS(O168)+ABS(P168)+ABS(Q168)&gt;0,1,0)))</f>
        <v/>
      </c>
      <c r="T168" s="21">
        <f>IF(S168=1,SUM($S$6:S168),"")</f>
        <v/>
      </c>
    </row>
    <row r="169">
      <c r="A169">
        <f>IF($I169="","",INDEX(K$6:K$305,$I169))</f>
        <v/>
      </c>
      <c r="B169" s="6">
        <f>IF($I169="","",INDEX(L$6:L$305,$I169))</f>
        <v/>
      </c>
      <c r="C169" s="6">
        <f>IF($I169="","",INDEX(M$6:M$305,$I169))</f>
        <v/>
      </c>
      <c r="D169" s="6">
        <f>IF($I169="","",INDEX(N$6:N$305,$I169))</f>
        <v/>
      </c>
      <c r="E169" s="6">
        <f>IF($I169="","",INDEX(O$6:O$305,$I169))</f>
        <v/>
      </c>
      <c r="F169" s="6">
        <f>IF($I169="","",INDEX(P$6:P$305,$I169))</f>
        <v/>
      </c>
      <c r="G169" s="6">
        <f>IF($I169="","",INDEX(Q$6:Q$305,$I169))</f>
        <v/>
      </c>
      <c r="H169" s="6">
        <f>IF($I169="","",INDEX(R$6:R$305,$I169))</f>
        <v/>
      </c>
      <c r="I169" s="21">
        <f>IFERROR(MATCH(164,$T$6:$T$305,0),"")</f>
        <v/>
      </c>
      <c r="K169" s="21">
        <f>IF('Debtor Summary'!A168="","",'Debtor Summary'!A168)</f>
        <v/>
      </c>
      <c r="L169" s="24">
        <f>IF($K169="","",IF($B$2="","",ROUND(SUMIFS('Opening Balance'!$F$4:$F$303,'Opening Balance'!$G$4:$G$303,$K169)+SUMIFS('Daily Sale entry '!$S$2:$S$1501,'Daily Sale entry '!$P$2:$P$1501,$K169,'Daily Sale entry '!$Q$2:$Q$1501,"Credit Sale 赊销",'Daily Sale entry '!$O$2:$O$1501,"&lt;"&amp;$B$2)-SUMIFS('Daily Sale entry '!$S$2:$S$1501,'Daily Sale entry '!$P$2:$P$1501,$K169,'Daily Sale entry '!$Q$2:$Q$1501,"Collection 收款",'Daily Sale entry '!$O$2:$O$1501,"&lt;"&amp;$B$2)-SUMIFS('Daily Sale entry '!$AC$2:$AC$1501,'Daily Sale entry '!$AA$2:$AA$1501,$K169,'Daily Sale entry '!$Z$2:$Z$1501,"Online collection 网上收款",'Daily Sale entry '!$X$2:$X$1501,"&lt;"&amp;$B$2)-SUMIFS('Debtor Ledger'!$K$2:$K$3001,'Debtor Ledger'!$C$2:$C$3001,$K169,'Debtor Ledger'!$B$2:$B$3001,"&lt;"&amp;$B$2),2)))</f>
        <v/>
      </c>
      <c r="M169" s="24">
        <f>IF($K169="","",IF($B$2="","",SUMIFS('Daily Sale entry '!$S$2:$S$1501,'Daily Sale entry '!$P$2:$P$1501,$K169,'Daily Sale entry '!$Q$2:$Q$1501,"Credit Sale 赊销",'Daily Sale entry '!$O$2:$O$1501,$B$2)))</f>
        <v/>
      </c>
      <c r="N169" s="24">
        <f>IF($K169="","",IF($B$2="","",SUMIFS('Daily Sale entry '!$S$2:$S$1501,'Daily Sale entry '!$P$2:$P$1501,$K169,'Daily Sale entry '!$Q$2:$Q$1501,"Collection 收款",'Daily Sale entry '!$R$2:$R$1501,"Cash 现金",'Daily Sale entry '!$O$2:$O$1501,$B$2)))</f>
        <v/>
      </c>
      <c r="O169" s="24">
        <f>IF($K169="","",IF($B$2="","",SUMIFS('Daily Sale entry '!$S$2:$S$1501,'Daily Sale entry '!$P$2:$P$1501,$K169,'Daily Sale entry '!$Q$2:$Q$1501,"Collection 收款",'Daily Sale entry '!$R$2:$R$1501,"Cheque 支票",'Daily Sale entry '!$O$2:$O$1501,$B$2)))</f>
        <v/>
      </c>
      <c r="P169" s="24">
        <f>IF($K169="","",IF($B$2="","",SUMIFS('Daily Sale entry '!$AC$2:$AC$1501,'Daily Sale entry '!$AA$2:$AA$1501,$K169,'Daily Sale entry '!$Z$2:$Z$1501,"Online collection 网上收款",'Daily Sale entry '!$X$2:$X$1501,$B$2)))</f>
        <v/>
      </c>
      <c r="Q169" s="24">
        <f>IF($K169="","",IF($B$2="","",SUMIFS('Debtor Ledger'!$K$2:$K$3001,'Debtor Ledger'!$C$2:$C$3001,$K169,'Debtor Ledger'!$B$2:$B$3001,$B$2)))</f>
        <v/>
      </c>
      <c r="R169" s="24">
        <f>IF($K169="","",IF($B$2="","",ROUND(L169+M169-N169-O169-P169-Q169,2)))</f>
        <v/>
      </c>
      <c r="S169" s="21">
        <f>IF(K169="","",IF($B$2="","",IF(ABS(M169)+ABS(N169)+ABS(O169)+ABS(P169)+ABS(Q169)&gt;0,1,0)))</f>
        <v/>
      </c>
      <c r="T169" s="21">
        <f>IF(S169=1,SUM($S$6:S169),"")</f>
        <v/>
      </c>
    </row>
    <row r="170">
      <c r="A170">
        <f>IF($I170="","",INDEX(K$6:K$305,$I170))</f>
        <v/>
      </c>
      <c r="B170" s="6">
        <f>IF($I170="","",INDEX(L$6:L$305,$I170))</f>
        <v/>
      </c>
      <c r="C170" s="6">
        <f>IF($I170="","",INDEX(M$6:M$305,$I170))</f>
        <v/>
      </c>
      <c r="D170" s="6">
        <f>IF($I170="","",INDEX(N$6:N$305,$I170))</f>
        <v/>
      </c>
      <c r="E170" s="6">
        <f>IF($I170="","",INDEX(O$6:O$305,$I170))</f>
        <v/>
      </c>
      <c r="F170" s="6">
        <f>IF($I170="","",INDEX(P$6:P$305,$I170))</f>
        <v/>
      </c>
      <c r="G170" s="6">
        <f>IF($I170="","",INDEX(Q$6:Q$305,$I170))</f>
        <v/>
      </c>
      <c r="H170" s="6">
        <f>IF($I170="","",INDEX(R$6:R$305,$I170))</f>
        <v/>
      </c>
      <c r="I170" s="21">
        <f>IFERROR(MATCH(165,$T$6:$T$305,0),"")</f>
        <v/>
      </c>
      <c r="K170" s="21">
        <f>IF('Debtor Summary'!A169="","",'Debtor Summary'!A169)</f>
        <v/>
      </c>
      <c r="L170" s="24">
        <f>IF($K170="","",IF($B$2="","",ROUND(SUMIFS('Opening Balance'!$F$4:$F$303,'Opening Balance'!$G$4:$G$303,$K170)+SUMIFS('Daily Sale entry '!$S$2:$S$1501,'Daily Sale entry '!$P$2:$P$1501,$K170,'Daily Sale entry '!$Q$2:$Q$1501,"Credit Sale 赊销",'Daily Sale entry '!$O$2:$O$1501,"&lt;"&amp;$B$2)-SUMIFS('Daily Sale entry '!$S$2:$S$1501,'Daily Sale entry '!$P$2:$P$1501,$K170,'Daily Sale entry '!$Q$2:$Q$1501,"Collection 收款",'Daily Sale entry '!$O$2:$O$1501,"&lt;"&amp;$B$2)-SUMIFS('Daily Sale entry '!$AC$2:$AC$1501,'Daily Sale entry '!$AA$2:$AA$1501,$K170,'Daily Sale entry '!$Z$2:$Z$1501,"Online collection 网上收款",'Daily Sale entry '!$X$2:$X$1501,"&lt;"&amp;$B$2)-SUMIFS('Debtor Ledger'!$K$2:$K$3001,'Debtor Ledger'!$C$2:$C$3001,$K170,'Debtor Ledger'!$B$2:$B$3001,"&lt;"&amp;$B$2),2)))</f>
        <v/>
      </c>
      <c r="M170" s="24">
        <f>IF($K170="","",IF($B$2="","",SUMIFS('Daily Sale entry '!$S$2:$S$1501,'Daily Sale entry '!$P$2:$P$1501,$K170,'Daily Sale entry '!$Q$2:$Q$1501,"Credit Sale 赊销",'Daily Sale entry '!$O$2:$O$1501,$B$2)))</f>
        <v/>
      </c>
      <c r="N170" s="24">
        <f>IF($K170="","",IF($B$2="","",SUMIFS('Daily Sale entry '!$S$2:$S$1501,'Daily Sale entry '!$P$2:$P$1501,$K170,'Daily Sale entry '!$Q$2:$Q$1501,"Collection 收款",'Daily Sale entry '!$R$2:$R$1501,"Cash 现金",'Daily Sale entry '!$O$2:$O$1501,$B$2)))</f>
        <v/>
      </c>
      <c r="O170" s="24">
        <f>IF($K170="","",IF($B$2="","",SUMIFS('Daily Sale entry '!$S$2:$S$1501,'Daily Sale entry '!$P$2:$P$1501,$K170,'Daily Sale entry '!$Q$2:$Q$1501,"Collection 收款",'Daily Sale entry '!$R$2:$R$1501,"Cheque 支票",'Daily Sale entry '!$O$2:$O$1501,$B$2)))</f>
        <v/>
      </c>
      <c r="P170" s="24">
        <f>IF($K170="","",IF($B$2="","",SUMIFS('Daily Sale entry '!$AC$2:$AC$1501,'Daily Sale entry '!$AA$2:$AA$1501,$K170,'Daily Sale entry '!$Z$2:$Z$1501,"Online collection 网上收款",'Daily Sale entry '!$X$2:$X$1501,$B$2)))</f>
        <v/>
      </c>
      <c r="Q170" s="24">
        <f>IF($K170="","",IF($B$2="","",SUMIFS('Debtor Ledger'!$K$2:$K$3001,'Debtor Ledger'!$C$2:$C$3001,$K170,'Debtor Ledger'!$B$2:$B$3001,$B$2)))</f>
        <v/>
      </c>
      <c r="R170" s="24">
        <f>IF($K170="","",IF($B$2="","",ROUND(L170+M170-N170-O170-P170-Q170,2)))</f>
        <v/>
      </c>
      <c r="S170" s="21">
        <f>IF(K170="","",IF($B$2="","",IF(ABS(M170)+ABS(N170)+ABS(O170)+ABS(P170)+ABS(Q170)&gt;0,1,0)))</f>
        <v/>
      </c>
      <c r="T170" s="21">
        <f>IF(S170=1,SUM($S$6:S170),"")</f>
        <v/>
      </c>
    </row>
    <row r="171">
      <c r="A171">
        <f>IF($I171="","",INDEX(K$6:K$305,$I171))</f>
        <v/>
      </c>
      <c r="B171" s="6">
        <f>IF($I171="","",INDEX(L$6:L$305,$I171))</f>
        <v/>
      </c>
      <c r="C171" s="6">
        <f>IF($I171="","",INDEX(M$6:M$305,$I171))</f>
        <v/>
      </c>
      <c r="D171" s="6">
        <f>IF($I171="","",INDEX(N$6:N$305,$I171))</f>
        <v/>
      </c>
      <c r="E171" s="6">
        <f>IF($I171="","",INDEX(O$6:O$305,$I171))</f>
        <v/>
      </c>
      <c r="F171" s="6">
        <f>IF($I171="","",INDEX(P$6:P$305,$I171))</f>
        <v/>
      </c>
      <c r="G171" s="6">
        <f>IF($I171="","",INDEX(Q$6:Q$305,$I171))</f>
        <v/>
      </c>
      <c r="H171" s="6">
        <f>IF($I171="","",INDEX(R$6:R$305,$I171))</f>
        <v/>
      </c>
      <c r="I171" s="21">
        <f>IFERROR(MATCH(166,$T$6:$T$305,0),"")</f>
        <v/>
      </c>
      <c r="K171" s="21">
        <f>IF('Debtor Summary'!A170="","",'Debtor Summary'!A170)</f>
        <v/>
      </c>
      <c r="L171" s="24">
        <f>IF($K171="","",IF($B$2="","",ROUND(SUMIFS('Opening Balance'!$F$4:$F$303,'Opening Balance'!$G$4:$G$303,$K171)+SUMIFS('Daily Sale entry '!$S$2:$S$1501,'Daily Sale entry '!$P$2:$P$1501,$K171,'Daily Sale entry '!$Q$2:$Q$1501,"Credit Sale 赊销",'Daily Sale entry '!$O$2:$O$1501,"&lt;"&amp;$B$2)-SUMIFS('Daily Sale entry '!$S$2:$S$1501,'Daily Sale entry '!$P$2:$P$1501,$K171,'Daily Sale entry '!$Q$2:$Q$1501,"Collection 收款",'Daily Sale entry '!$O$2:$O$1501,"&lt;"&amp;$B$2)-SUMIFS('Daily Sale entry '!$AC$2:$AC$1501,'Daily Sale entry '!$AA$2:$AA$1501,$K171,'Daily Sale entry '!$Z$2:$Z$1501,"Online collection 网上收款",'Daily Sale entry '!$X$2:$X$1501,"&lt;"&amp;$B$2)-SUMIFS('Debtor Ledger'!$K$2:$K$3001,'Debtor Ledger'!$C$2:$C$3001,$K171,'Debtor Ledger'!$B$2:$B$3001,"&lt;"&amp;$B$2),2)))</f>
        <v/>
      </c>
      <c r="M171" s="24">
        <f>IF($K171="","",IF($B$2="","",SUMIFS('Daily Sale entry '!$S$2:$S$1501,'Daily Sale entry '!$P$2:$P$1501,$K171,'Daily Sale entry '!$Q$2:$Q$1501,"Credit Sale 赊销",'Daily Sale entry '!$O$2:$O$1501,$B$2)))</f>
        <v/>
      </c>
      <c r="N171" s="24">
        <f>IF($K171="","",IF($B$2="","",SUMIFS('Daily Sale entry '!$S$2:$S$1501,'Daily Sale entry '!$P$2:$P$1501,$K171,'Daily Sale entry '!$Q$2:$Q$1501,"Collection 收款",'Daily Sale entry '!$R$2:$R$1501,"Cash 现金",'Daily Sale entry '!$O$2:$O$1501,$B$2)))</f>
        <v/>
      </c>
      <c r="O171" s="24">
        <f>IF($K171="","",IF($B$2="","",SUMIFS('Daily Sale entry '!$S$2:$S$1501,'Daily Sale entry '!$P$2:$P$1501,$K171,'Daily Sale entry '!$Q$2:$Q$1501,"Collection 收款",'Daily Sale entry '!$R$2:$R$1501,"Cheque 支票",'Daily Sale entry '!$O$2:$O$1501,$B$2)))</f>
        <v/>
      </c>
      <c r="P171" s="24">
        <f>IF($K171="","",IF($B$2="","",SUMIFS('Daily Sale entry '!$AC$2:$AC$1501,'Daily Sale entry '!$AA$2:$AA$1501,$K171,'Daily Sale entry '!$Z$2:$Z$1501,"Online collection 网上收款",'Daily Sale entry '!$X$2:$X$1501,$B$2)))</f>
        <v/>
      </c>
      <c r="Q171" s="24">
        <f>IF($K171="","",IF($B$2="","",SUMIFS('Debtor Ledger'!$K$2:$K$3001,'Debtor Ledger'!$C$2:$C$3001,$K171,'Debtor Ledger'!$B$2:$B$3001,$B$2)))</f>
        <v/>
      </c>
      <c r="R171" s="24">
        <f>IF($K171="","",IF($B$2="","",ROUND(L171+M171-N171-O171-P171-Q171,2)))</f>
        <v/>
      </c>
      <c r="S171" s="21">
        <f>IF(K171="","",IF($B$2="","",IF(ABS(M171)+ABS(N171)+ABS(O171)+ABS(P171)+ABS(Q171)&gt;0,1,0)))</f>
        <v/>
      </c>
      <c r="T171" s="21">
        <f>IF(S171=1,SUM($S$6:S171),"")</f>
        <v/>
      </c>
    </row>
    <row r="172">
      <c r="A172">
        <f>IF($I172="","",INDEX(K$6:K$305,$I172))</f>
        <v/>
      </c>
      <c r="B172" s="6">
        <f>IF($I172="","",INDEX(L$6:L$305,$I172))</f>
        <v/>
      </c>
      <c r="C172" s="6">
        <f>IF($I172="","",INDEX(M$6:M$305,$I172))</f>
        <v/>
      </c>
      <c r="D172" s="6">
        <f>IF($I172="","",INDEX(N$6:N$305,$I172))</f>
        <v/>
      </c>
      <c r="E172" s="6">
        <f>IF($I172="","",INDEX(O$6:O$305,$I172))</f>
        <v/>
      </c>
      <c r="F172" s="6">
        <f>IF($I172="","",INDEX(P$6:P$305,$I172))</f>
        <v/>
      </c>
      <c r="G172" s="6">
        <f>IF($I172="","",INDEX(Q$6:Q$305,$I172))</f>
        <v/>
      </c>
      <c r="H172" s="6">
        <f>IF($I172="","",INDEX(R$6:R$305,$I172))</f>
        <v/>
      </c>
      <c r="I172" s="21">
        <f>IFERROR(MATCH(167,$T$6:$T$305,0),"")</f>
        <v/>
      </c>
      <c r="K172" s="21">
        <f>IF('Debtor Summary'!A171="","",'Debtor Summary'!A171)</f>
        <v/>
      </c>
      <c r="L172" s="24">
        <f>IF($K172="","",IF($B$2="","",ROUND(SUMIFS('Opening Balance'!$F$4:$F$303,'Opening Balance'!$G$4:$G$303,$K172)+SUMIFS('Daily Sale entry '!$S$2:$S$1501,'Daily Sale entry '!$P$2:$P$1501,$K172,'Daily Sale entry '!$Q$2:$Q$1501,"Credit Sale 赊销",'Daily Sale entry '!$O$2:$O$1501,"&lt;"&amp;$B$2)-SUMIFS('Daily Sale entry '!$S$2:$S$1501,'Daily Sale entry '!$P$2:$P$1501,$K172,'Daily Sale entry '!$Q$2:$Q$1501,"Collection 收款",'Daily Sale entry '!$O$2:$O$1501,"&lt;"&amp;$B$2)-SUMIFS('Daily Sale entry '!$AC$2:$AC$1501,'Daily Sale entry '!$AA$2:$AA$1501,$K172,'Daily Sale entry '!$Z$2:$Z$1501,"Online collection 网上收款",'Daily Sale entry '!$X$2:$X$1501,"&lt;"&amp;$B$2)-SUMIFS('Debtor Ledger'!$K$2:$K$3001,'Debtor Ledger'!$C$2:$C$3001,$K172,'Debtor Ledger'!$B$2:$B$3001,"&lt;"&amp;$B$2),2)))</f>
        <v/>
      </c>
      <c r="M172" s="24">
        <f>IF($K172="","",IF($B$2="","",SUMIFS('Daily Sale entry '!$S$2:$S$1501,'Daily Sale entry '!$P$2:$P$1501,$K172,'Daily Sale entry '!$Q$2:$Q$1501,"Credit Sale 赊销",'Daily Sale entry '!$O$2:$O$1501,$B$2)))</f>
        <v/>
      </c>
      <c r="N172" s="24">
        <f>IF($K172="","",IF($B$2="","",SUMIFS('Daily Sale entry '!$S$2:$S$1501,'Daily Sale entry '!$P$2:$P$1501,$K172,'Daily Sale entry '!$Q$2:$Q$1501,"Collection 收款",'Daily Sale entry '!$R$2:$R$1501,"Cash 现金",'Daily Sale entry '!$O$2:$O$1501,$B$2)))</f>
        <v/>
      </c>
      <c r="O172" s="24">
        <f>IF($K172="","",IF($B$2="","",SUMIFS('Daily Sale entry '!$S$2:$S$1501,'Daily Sale entry '!$P$2:$P$1501,$K172,'Daily Sale entry '!$Q$2:$Q$1501,"Collection 收款",'Daily Sale entry '!$R$2:$R$1501,"Cheque 支票",'Daily Sale entry '!$O$2:$O$1501,$B$2)))</f>
        <v/>
      </c>
      <c r="P172" s="24">
        <f>IF($K172="","",IF($B$2="","",SUMIFS('Daily Sale entry '!$AC$2:$AC$1501,'Daily Sale entry '!$AA$2:$AA$1501,$K172,'Daily Sale entry '!$Z$2:$Z$1501,"Online collection 网上收款",'Daily Sale entry '!$X$2:$X$1501,$B$2)))</f>
        <v/>
      </c>
      <c r="Q172" s="24">
        <f>IF($K172="","",IF($B$2="","",SUMIFS('Debtor Ledger'!$K$2:$K$3001,'Debtor Ledger'!$C$2:$C$3001,$K172,'Debtor Ledger'!$B$2:$B$3001,$B$2)))</f>
        <v/>
      </c>
      <c r="R172" s="24">
        <f>IF($K172="","",IF($B$2="","",ROUND(L172+M172-N172-O172-P172-Q172,2)))</f>
        <v/>
      </c>
      <c r="S172" s="21">
        <f>IF(K172="","",IF($B$2="","",IF(ABS(M172)+ABS(N172)+ABS(O172)+ABS(P172)+ABS(Q172)&gt;0,1,0)))</f>
        <v/>
      </c>
      <c r="T172" s="21">
        <f>IF(S172=1,SUM($S$6:S172),"")</f>
        <v/>
      </c>
    </row>
    <row r="173">
      <c r="A173">
        <f>IF($I173="","",INDEX(K$6:K$305,$I173))</f>
        <v/>
      </c>
      <c r="B173" s="6">
        <f>IF($I173="","",INDEX(L$6:L$305,$I173))</f>
        <v/>
      </c>
      <c r="C173" s="6">
        <f>IF($I173="","",INDEX(M$6:M$305,$I173))</f>
        <v/>
      </c>
      <c r="D173" s="6">
        <f>IF($I173="","",INDEX(N$6:N$305,$I173))</f>
        <v/>
      </c>
      <c r="E173" s="6">
        <f>IF($I173="","",INDEX(O$6:O$305,$I173))</f>
        <v/>
      </c>
      <c r="F173" s="6">
        <f>IF($I173="","",INDEX(P$6:P$305,$I173))</f>
        <v/>
      </c>
      <c r="G173" s="6">
        <f>IF($I173="","",INDEX(Q$6:Q$305,$I173))</f>
        <v/>
      </c>
      <c r="H173" s="6">
        <f>IF($I173="","",INDEX(R$6:R$305,$I173))</f>
        <v/>
      </c>
      <c r="I173" s="21">
        <f>IFERROR(MATCH(168,$T$6:$T$305,0),"")</f>
        <v/>
      </c>
      <c r="K173" s="21">
        <f>IF('Debtor Summary'!A172="","",'Debtor Summary'!A172)</f>
        <v/>
      </c>
      <c r="L173" s="24">
        <f>IF($K173="","",IF($B$2="","",ROUND(SUMIFS('Opening Balance'!$F$4:$F$303,'Opening Balance'!$G$4:$G$303,$K173)+SUMIFS('Daily Sale entry '!$S$2:$S$1501,'Daily Sale entry '!$P$2:$P$1501,$K173,'Daily Sale entry '!$Q$2:$Q$1501,"Credit Sale 赊销",'Daily Sale entry '!$O$2:$O$1501,"&lt;"&amp;$B$2)-SUMIFS('Daily Sale entry '!$S$2:$S$1501,'Daily Sale entry '!$P$2:$P$1501,$K173,'Daily Sale entry '!$Q$2:$Q$1501,"Collection 收款",'Daily Sale entry '!$O$2:$O$1501,"&lt;"&amp;$B$2)-SUMIFS('Daily Sale entry '!$AC$2:$AC$1501,'Daily Sale entry '!$AA$2:$AA$1501,$K173,'Daily Sale entry '!$Z$2:$Z$1501,"Online collection 网上收款",'Daily Sale entry '!$X$2:$X$1501,"&lt;"&amp;$B$2)-SUMIFS('Debtor Ledger'!$K$2:$K$3001,'Debtor Ledger'!$C$2:$C$3001,$K173,'Debtor Ledger'!$B$2:$B$3001,"&lt;"&amp;$B$2),2)))</f>
        <v/>
      </c>
      <c r="M173" s="24">
        <f>IF($K173="","",IF($B$2="","",SUMIFS('Daily Sale entry '!$S$2:$S$1501,'Daily Sale entry '!$P$2:$P$1501,$K173,'Daily Sale entry '!$Q$2:$Q$1501,"Credit Sale 赊销",'Daily Sale entry '!$O$2:$O$1501,$B$2)))</f>
        <v/>
      </c>
      <c r="N173" s="24">
        <f>IF($K173="","",IF($B$2="","",SUMIFS('Daily Sale entry '!$S$2:$S$1501,'Daily Sale entry '!$P$2:$P$1501,$K173,'Daily Sale entry '!$Q$2:$Q$1501,"Collection 收款",'Daily Sale entry '!$R$2:$R$1501,"Cash 现金",'Daily Sale entry '!$O$2:$O$1501,$B$2)))</f>
        <v/>
      </c>
      <c r="O173" s="24">
        <f>IF($K173="","",IF($B$2="","",SUMIFS('Daily Sale entry '!$S$2:$S$1501,'Daily Sale entry '!$P$2:$P$1501,$K173,'Daily Sale entry '!$Q$2:$Q$1501,"Collection 收款",'Daily Sale entry '!$R$2:$R$1501,"Cheque 支票",'Daily Sale entry '!$O$2:$O$1501,$B$2)))</f>
        <v/>
      </c>
      <c r="P173" s="24">
        <f>IF($K173="","",IF($B$2="","",SUMIFS('Daily Sale entry '!$AC$2:$AC$1501,'Daily Sale entry '!$AA$2:$AA$1501,$K173,'Daily Sale entry '!$Z$2:$Z$1501,"Online collection 网上收款",'Daily Sale entry '!$X$2:$X$1501,$B$2)))</f>
        <v/>
      </c>
      <c r="Q173" s="24">
        <f>IF($K173="","",IF($B$2="","",SUMIFS('Debtor Ledger'!$K$2:$K$3001,'Debtor Ledger'!$C$2:$C$3001,$K173,'Debtor Ledger'!$B$2:$B$3001,$B$2)))</f>
        <v/>
      </c>
      <c r="R173" s="24">
        <f>IF($K173="","",IF($B$2="","",ROUND(L173+M173-N173-O173-P173-Q173,2)))</f>
        <v/>
      </c>
      <c r="S173" s="21">
        <f>IF(K173="","",IF($B$2="","",IF(ABS(M173)+ABS(N173)+ABS(O173)+ABS(P173)+ABS(Q173)&gt;0,1,0)))</f>
        <v/>
      </c>
      <c r="T173" s="21">
        <f>IF(S173=1,SUM($S$6:S173),"")</f>
        <v/>
      </c>
    </row>
    <row r="174">
      <c r="A174">
        <f>IF($I174="","",INDEX(K$6:K$305,$I174))</f>
        <v/>
      </c>
      <c r="B174" s="6">
        <f>IF($I174="","",INDEX(L$6:L$305,$I174))</f>
        <v/>
      </c>
      <c r="C174" s="6">
        <f>IF($I174="","",INDEX(M$6:M$305,$I174))</f>
        <v/>
      </c>
      <c r="D174" s="6">
        <f>IF($I174="","",INDEX(N$6:N$305,$I174))</f>
        <v/>
      </c>
      <c r="E174" s="6">
        <f>IF($I174="","",INDEX(O$6:O$305,$I174))</f>
        <v/>
      </c>
      <c r="F174" s="6">
        <f>IF($I174="","",INDEX(P$6:P$305,$I174))</f>
        <v/>
      </c>
      <c r="G174" s="6">
        <f>IF($I174="","",INDEX(Q$6:Q$305,$I174))</f>
        <v/>
      </c>
      <c r="H174" s="6">
        <f>IF($I174="","",INDEX(R$6:R$305,$I174))</f>
        <v/>
      </c>
      <c r="I174" s="21">
        <f>IFERROR(MATCH(169,$T$6:$T$305,0),"")</f>
        <v/>
      </c>
      <c r="K174" s="21">
        <f>IF('Debtor Summary'!A173="","",'Debtor Summary'!A173)</f>
        <v/>
      </c>
      <c r="L174" s="24">
        <f>IF($K174="","",IF($B$2="","",ROUND(SUMIFS('Opening Balance'!$F$4:$F$303,'Opening Balance'!$G$4:$G$303,$K174)+SUMIFS('Daily Sale entry '!$S$2:$S$1501,'Daily Sale entry '!$P$2:$P$1501,$K174,'Daily Sale entry '!$Q$2:$Q$1501,"Credit Sale 赊销",'Daily Sale entry '!$O$2:$O$1501,"&lt;"&amp;$B$2)-SUMIFS('Daily Sale entry '!$S$2:$S$1501,'Daily Sale entry '!$P$2:$P$1501,$K174,'Daily Sale entry '!$Q$2:$Q$1501,"Collection 收款",'Daily Sale entry '!$O$2:$O$1501,"&lt;"&amp;$B$2)-SUMIFS('Daily Sale entry '!$AC$2:$AC$1501,'Daily Sale entry '!$AA$2:$AA$1501,$K174,'Daily Sale entry '!$Z$2:$Z$1501,"Online collection 网上收款",'Daily Sale entry '!$X$2:$X$1501,"&lt;"&amp;$B$2)-SUMIFS('Debtor Ledger'!$K$2:$K$3001,'Debtor Ledger'!$C$2:$C$3001,$K174,'Debtor Ledger'!$B$2:$B$3001,"&lt;"&amp;$B$2),2)))</f>
        <v/>
      </c>
      <c r="M174" s="24">
        <f>IF($K174="","",IF($B$2="","",SUMIFS('Daily Sale entry '!$S$2:$S$1501,'Daily Sale entry '!$P$2:$P$1501,$K174,'Daily Sale entry '!$Q$2:$Q$1501,"Credit Sale 赊销",'Daily Sale entry '!$O$2:$O$1501,$B$2)))</f>
        <v/>
      </c>
      <c r="N174" s="24">
        <f>IF($K174="","",IF($B$2="","",SUMIFS('Daily Sale entry '!$S$2:$S$1501,'Daily Sale entry '!$P$2:$P$1501,$K174,'Daily Sale entry '!$Q$2:$Q$1501,"Collection 收款",'Daily Sale entry '!$R$2:$R$1501,"Cash 现金",'Daily Sale entry '!$O$2:$O$1501,$B$2)))</f>
        <v/>
      </c>
      <c r="O174" s="24">
        <f>IF($K174="","",IF($B$2="","",SUMIFS('Daily Sale entry '!$S$2:$S$1501,'Daily Sale entry '!$P$2:$P$1501,$K174,'Daily Sale entry '!$Q$2:$Q$1501,"Collection 收款",'Daily Sale entry '!$R$2:$R$1501,"Cheque 支票",'Daily Sale entry '!$O$2:$O$1501,$B$2)))</f>
        <v/>
      </c>
      <c r="P174" s="24">
        <f>IF($K174="","",IF($B$2="","",SUMIFS('Daily Sale entry '!$AC$2:$AC$1501,'Daily Sale entry '!$AA$2:$AA$1501,$K174,'Daily Sale entry '!$Z$2:$Z$1501,"Online collection 网上收款",'Daily Sale entry '!$X$2:$X$1501,$B$2)))</f>
        <v/>
      </c>
      <c r="Q174" s="24">
        <f>IF($K174="","",IF($B$2="","",SUMIFS('Debtor Ledger'!$K$2:$K$3001,'Debtor Ledger'!$C$2:$C$3001,$K174,'Debtor Ledger'!$B$2:$B$3001,$B$2)))</f>
        <v/>
      </c>
      <c r="R174" s="24">
        <f>IF($K174="","",IF($B$2="","",ROUND(L174+M174-N174-O174-P174-Q174,2)))</f>
        <v/>
      </c>
      <c r="S174" s="21">
        <f>IF(K174="","",IF($B$2="","",IF(ABS(M174)+ABS(N174)+ABS(O174)+ABS(P174)+ABS(Q174)&gt;0,1,0)))</f>
        <v/>
      </c>
      <c r="T174" s="21">
        <f>IF(S174=1,SUM($S$6:S174),"")</f>
        <v/>
      </c>
    </row>
    <row r="175">
      <c r="A175">
        <f>IF($I175="","",INDEX(K$6:K$305,$I175))</f>
        <v/>
      </c>
      <c r="B175" s="6">
        <f>IF($I175="","",INDEX(L$6:L$305,$I175))</f>
        <v/>
      </c>
      <c r="C175" s="6">
        <f>IF($I175="","",INDEX(M$6:M$305,$I175))</f>
        <v/>
      </c>
      <c r="D175" s="6">
        <f>IF($I175="","",INDEX(N$6:N$305,$I175))</f>
        <v/>
      </c>
      <c r="E175" s="6">
        <f>IF($I175="","",INDEX(O$6:O$305,$I175))</f>
        <v/>
      </c>
      <c r="F175" s="6">
        <f>IF($I175="","",INDEX(P$6:P$305,$I175))</f>
        <v/>
      </c>
      <c r="G175" s="6">
        <f>IF($I175="","",INDEX(Q$6:Q$305,$I175))</f>
        <v/>
      </c>
      <c r="H175" s="6">
        <f>IF($I175="","",INDEX(R$6:R$305,$I175))</f>
        <v/>
      </c>
      <c r="I175" s="21">
        <f>IFERROR(MATCH(170,$T$6:$T$305,0),"")</f>
        <v/>
      </c>
      <c r="K175" s="21">
        <f>IF('Debtor Summary'!A174="","",'Debtor Summary'!A174)</f>
        <v/>
      </c>
      <c r="L175" s="24">
        <f>IF($K175="","",IF($B$2="","",ROUND(SUMIFS('Opening Balance'!$F$4:$F$303,'Opening Balance'!$G$4:$G$303,$K175)+SUMIFS('Daily Sale entry '!$S$2:$S$1501,'Daily Sale entry '!$P$2:$P$1501,$K175,'Daily Sale entry '!$Q$2:$Q$1501,"Credit Sale 赊销",'Daily Sale entry '!$O$2:$O$1501,"&lt;"&amp;$B$2)-SUMIFS('Daily Sale entry '!$S$2:$S$1501,'Daily Sale entry '!$P$2:$P$1501,$K175,'Daily Sale entry '!$Q$2:$Q$1501,"Collection 收款",'Daily Sale entry '!$O$2:$O$1501,"&lt;"&amp;$B$2)-SUMIFS('Daily Sale entry '!$AC$2:$AC$1501,'Daily Sale entry '!$AA$2:$AA$1501,$K175,'Daily Sale entry '!$Z$2:$Z$1501,"Online collection 网上收款",'Daily Sale entry '!$X$2:$X$1501,"&lt;"&amp;$B$2)-SUMIFS('Debtor Ledger'!$K$2:$K$3001,'Debtor Ledger'!$C$2:$C$3001,$K175,'Debtor Ledger'!$B$2:$B$3001,"&lt;"&amp;$B$2),2)))</f>
        <v/>
      </c>
      <c r="M175" s="24">
        <f>IF($K175="","",IF($B$2="","",SUMIFS('Daily Sale entry '!$S$2:$S$1501,'Daily Sale entry '!$P$2:$P$1501,$K175,'Daily Sale entry '!$Q$2:$Q$1501,"Credit Sale 赊销",'Daily Sale entry '!$O$2:$O$1501,$B$2)))</f>
        <v/>
      </c>
      <c r="N175" s="24">
        <f>IF($K175="","",IF($B$2="","",SUMIFS('Daily Sale entry '!$S$2:$S$1501,'Daily Sale entry '!$P$2:$P$1501,$K175,'Daily Sale entry '!$Q$2:$Q$1501,"Collection 收款",'Daily Sale entry '!$R$2:$R$1501,"Cash 现金",'Daily Sale entry '!$O$2:$O$1501,$B$2)))</f>
        <v/>
      </c>
      <c r="O175" s="24">
        <f>IF($K175="","",IF($B$2="","",SUMIFS('Daily Sale entry '!$S$2:$S$1501,'Daily Sale entry '!$P$2:$P$1501,$K175,'Daily Sale entry '!$Q$2:$Q$1501,"Collection 收款",'Daily Sale entry '!$R$2:$R$1501,"Cheque 支票",'Daily Sale entry '!$O$2:$O$1501,$B$2)))</f>
        <v/>
      </c>
      <c r="P175" s="24">
        <f>IF($K175="","",IF($B$2="","",SUMIFS('Daily Sale entry '!$AC$2:$AC$1501,'Daily Sale entry '!$AA$2:$AA$1501,$K175,'Daily Sale entry '!$Z$2:$Z$1501,"Online collection 网上收款",'Daily Sale entry '!$X$2:$X$1501,$B$2)))</f>
        <v/>
      </c>
      <c r="Q175" s="24">
        <f>IF($K175="","",IF($B$2="","",SUMIFS('Debtor Ledger'!$K$2:$K$3001,'Debtor Ledger'!$C$2:$C$3001,$K175,'Debtor Ledger'!$B$2:$B$3001,$B$2)))</f>
        <v/>
      </c>
      <c r="R175" s="24">
        <f>IF($K175="","",IF($B$2="","",ROUND(L175+M175-N175-O175-P175-Q175,2)))</f>
        <v/>
      </c>
      <c r="S175" s="21">
        <f>IF(K175="","",IF($B$2="","",IF(ABS(M175)+ABS(N175)+ABS(O175)+ABS(P175)+ABS(Q175)&gt;0,1,0)))</f>
        <v/>
      </c>
      <c r="T175" s="21">
        <f>IF(S175=1,SUM($S$6:S175),"")</f>
        <v/>
      </c>
    </row>
    <row r="176">
      <c r="A176">
        <f>IF($I176="","",INDEX(K$6:K$305,$I176))</f>
        <v/>
      </c>
      <c r="B176" s="6">
        <f>IF($I176="","",INDEX(L$6:L$305,$I176))</f>
        <v/>
      </c>
      <c r="C176" s="6">
        <f>IF($I176="","",INDEX(M$6:M$305,$I176))</f>
        <v/>
      </c>
      <c r="D176" s="6">
        <f>IF($I176="","",INDEX(N$6:N$305,$I176))</f>
        <v/>
      </c>
      <c r="E176" s="6">
        <f>IF($I176="","",INDEX(O$6:O$305,$I176))</f>
        <v/>
      </c>
      <c r="F176" s="6">
        <f>IF($I176="","",INDEX(P$6:P$305,$I176))</f>
        <v/>
      </c>
      <c r="G176" s="6">
        <f>IF($I176="","",INDEX(Q$6:Q$305,$I176))</f>
        <v/>
      </c>
      <c r="H176" s="6">
        <f>IF($I176="","",INDEX(R$6:R$305,$I176))</f>
        <v/>
      </c>
      <c r="I176" s="21">
        <f>IFERROR(MATCH(171,$T$6:$T$305,0),"")</f>
        <v/>
      </c>
      <c r="K176" s="21">
        <f>IF('Debtor Summary'!A175="","",'Debtor Summary'!A175)</f>
        <v/>
      </c>
      <c r="L176" s="24">
        <f>IF($K176="","",IF($B$2="","",ROUND(SUMIFS('Opening Balance'!$F$4:$F$303,'Opening Balance'!$G$4:$G$303,$K176)+SUMIFS('Daily Sale entry '!$S$2:$S$1501,'Daily Sale entry '!$P$2:$P$1501,$K176,'Daily Sale entry '!$Q$2:$Q$1501,"Credit Sale 赊销",'Daily Sale entry '!$O$2:$O$1501,"&lt;"&amp;$B$2)-SUMIFS('Daily Sale entry '!$S$2:$S$1501,'Daily Sale entry '!$P$2:$P$1501,$K176,'Daily Sale entry '!$Q$2:$Q$1501,"Collection 收款",'Daily Sale entry '!$O$2:$O$1501,"&lt;"&amp;$B$2)-SUMIFS('Daily Sale entry '!$AC$2:$AC$1501,'Daily Sale entry '!$AA$2:$AA$1501,$K176,'Daily Sale entry '!$Z$2:$Z$1501,"Online collection 网上收款",'Daily Sale entry '!$X$2:$X$1501,"&lt;"&amp;$B$2)-SUMIFS('Debtor Ledger'!$K$2:$K$3001,'Debtor Ledger'!$C$2:$C$3001,$K176,'Debtor Ledger'!$B$2:$B$3001,"&lt;"&amp;$B$2),2)))</f>
        <v/>
      </c>
      <c r="M176" s="24">
        <f>IF($K176="","",IF($B$2="","",SUMIFS('Daily Sale entry '!$S$2:$S$1501,'Daily Sale entry '!$P$2:$P$1501,$K176,'Daily Sale entry '!$Q$2:$Q$1501,"Credit Sale 赊销",'Daily Sale entry '!$O$2:$O$1501,$B$2)))</f>
        <v/>
      </c>
      <c r="N176" s="24">
        <f>IF($K176="","",IF($B$2="","",SUMIFS('Daily Sale entry '!$S$2:$S$1501,'Daily Sale entry '!$P$2:$P$1501,$K176,'Daily Sale entry '!$Q$2:$Q$1501,"Collection 收款",'Daily Sale entry '!$R$2:$R$1501,"Cash 现金",'Daily Sale entry '!$O$2:$O$1501,$B$2)))</f>
        <v/>
      </c>
      <c r="O176" s="24">
        <f>IF($K176="","",IF($B$2="","",SUMIFS('Daily Sale entry '!$S$2:$S$1501,'Daily Sale entry '!$P$2:$P$1501,$K176,'Daily Sale entry '!$Q$2:$Q$1501,"Collection 收款",'Daily Sale entry '!$R$2:$R$1501,"Cheque 支票",'Daily Sale entry '!$O$2:$O$1501,$B$2)))</f>
        <v/>
      </c>
      <c r="P176" s="24">
        <f>IF($K176="","",IF($B$2="","",SUMIFS('Daily Sale entry '!$AC$2:$AC$1501,'Daily Sale entry '!$AA$2:$AA$1501,$K176,'Daily Sale entry '!$Z$2:$Z$1501,"Online collection 网上收款",'Daily Sale entry '!$X$2:$X$1501,$B$2)))</f>
        <v/>
      </c>
      <c r="Q176" s="24">
        <f>IF($K176="","",IF($B$2="","",SUMIFS('Debtor Ledger'!$K$2:$K$3001,'Debtor Ledger'!$C$2:$C$3001,$K176,'Debtor Ledger'!$B$2:$B$3001,$B$2)))</f>
        <v/>
      </c>
      <c r="R176" s="24">
        <f>IF($K176="","",IF($B$2="","",ROUND(L176+M176-N176-O176-P176-Q176,2)))</f>
        <v/>
      </c>
      <c r="S176" s="21">
        <f>IF(K176="","",IF($B$2="","",IF(ABS(M176)+ABS(N176)+ABS(O176)+ABS(P176)+ABS(Q176)&gt;0,1,0)))</f>
        <v/>
      </c>
      <c r="T176" s="21">
        <f>IF(S176=1,SUM($S$6:S176),"")</f>
        <v/>
      </c>
    </row>
    <row r="177">
      <c r="A177">
        <f>IF($I177="","",INDEX(K$6:K$305,$I177))</f>
        <v/>
      </c>
      <c r="B177" s="6">
        <f>IF($I177="","",INDEX(L$6:L$305,$I177))</f>
        <v/>
      </c>
      <c r="C177" s="6">
        <f>IF($I177="","",INDEX(M$6:M$305,$I177))</f>
        <v/>
      </c>
      <c r="D177" s="6">
        <f>IF($I177="","",INDEX(N$6:N$305,$I177))</f>
        <v/>
      </c>
      <c r="E177" s="6">
        <f>IF($I177="","",INDEX(O$6:O$305,$I177))</f>
        <v/>
      </c>
      <c r="F177" s="6">
        <f>IF($I177="","",INDEX(P$6:P$305,$I177))</f>
        <v/>
      </c>
      <c r="G177" s="6">
        <f>IF($I177="","",INDEX(Q$6:Q$305,$I177))</f>
        <v/>
      </c>
      <c r="H177" s="6">
        <f>IF($I177="","",INDEX(R$6:R$305,$I177))</f>
        <v/>
      </c>
      <c r="I177" s="21">
        <f>IFERROR(MATCH(172,$T$6:$T$305,0),"")</f>
        <v/>
      </c>
      <c r="K177" s="21">
        <f>IF('Debtor Summary'!A176="","",'Debtor Summary'!A176)</f>
        <v/>
      </c>
      <c r="L177" s="24">
        <f>IF($K177="","",IF($B$2="","",ROUND(SUMIFS('Opening Balance'!$F$4:$F$303,'Opening Balance'!$G$4:$G$303,$K177)+SUMIFS('Daily Sale entry '!$S$2:$S$1501,'Daily Sale entry '!$P$2:$P$1501,$K177,'Daily Sale entry '!$Q$2:$Q$1501,"Credit Sale 赊销",'Daily Sale entry '!$O$2:$O$1501,"&lt;"&amp;$B$2)-SUMIFS('Daily Sale entry '!$S$2:$S$1501,'Daily Sale entry '!$P$2:$P$1501,$K177,'Daily Sale entry '!$Q$2:$Q$1501,"Collection 收款",'Daily Sale entry '!$O$2:$O$1501,"&lt;"&amp;$B$2)-SUMIFS('Daily Sale entry '!$AC$2:$AC$1501,'Daily Sale entry '!$AA$2:$AA$1501,$K177,'Daily Sale entry '!$Z$2:$Z$1501,"Online collection 网上收款",'Daily Sale entry '!$X$2:$X$1501,"&lt;"&amp;$B$2)-SUMIFS('Debtor Ledger'!$K$2:$K$3001,'Debtor Ledger'!$C$2:$C$3001,$K177,'Debtor Ledger'!$B$2:$B$3001,"&lt;"&amp;$B$2),2)))</f>
        <v/>
      </c>
      <c r="M177" s="24">
        <f>IF($K177="","",IF($B$2="","",SUMIFS('Daily Sale entry '!$S$2:$S$1501,'Daily Sale entry '!$P$2:$P$1501,$K177,'Daily Sale entry '!$Q$2:$Q$1501,"Credit Sale 赊销",'Daily Sale entry '!$O$2:$O$1501,$B$2)))</f>
        <v/>
      </c>
      <c r="N177" s="24">
        <f>IF($K177="","",IF($B$2="","",SUMIFS('Daily Sale entry '!$S$2:$S$1501,'Daily Sale entry '!$P$2:$P$1501,$K177,'Daily Sale entry '!$Q$2:$Q$1501,"Collection 收款",'Daily Sale entry '!$R$2:$R$1501,"Cash 现金",'Daily Sale entry '!$O$2:$O$1501,$B$2)))</f>
        <v/>
      </c>
      <c r="O177" s="24">
        <f>IF($K177="","",IF($B$2="","",SUMIFS('Daily Sale entry '!$S$2:$S$1501,'Daily Sale entry '!$P$2:$P$1501,$K177,'Daily Sale entry '!$Q$2:$Q$1501,"Collection 收款",'Daily Sale entry '!$R$2:$R$1501,"Cheque 支票",'Daily Sale entry '!$O$2:$O$1501,$B$2)))</f>
        <v/>
      </c>
      <c r="P177" s="24">
        <f>IF($K177="","",IF($B$2="","",SUMIFS('Daily Sale entry '!$AC$2:$AC$1501,'Daily Sale entry '!$AA$2:$AA$1501,$K177,'Daily Sale entry '!$Z$2:$Z$1501,"Online collection 网上收款",'Daily Sale entry '!$X$2:$X$1501,$B$2)))</f>
        <v/>
      </c>
      <c r="Q177" s="24">
        <f>IF($K177="","",IF($B$2="","",SUMIFS('Debtor Ledger'!$K$2:$K$3001,'Debtor Ledger'!$C$2:$C$3001,$K177,'Debtor Ledger'!$B$2:$B$3001,$B$2)))</f>
        <v/>
      </c>
      <c r="R177" s="24">
        <f>IF($K177="","",IF($B$2="","",ROUND(L177+M177-N177-O177-P177-Q177,2)))</f>
        <v/>
      </c>
      <c r="S177" s="21">
        <f>IF(K177="","",IF($B$2="","",IF(ABS(M177)+ABS(N177)+ABS(O177)+ABS(P177)+ABS(Q177)&gt;0,1,0)))</f>
        <v/>
      </c>
      <c r="T177" s="21">
        <f>IF(S177=1,SUM($S$6:S177),"")</f>
        <v/>
      </c>
    </row>
    <row r="178">
      <c r="A178">
        <f>IF($I178="","",INDEX(K$6:K$305,$I178))</f>
        <v/>
      </c>
      <c r="B178" s="6">
        <f>IF($I178="","",INDEX(L$6:L$305,$I178))</f>
        <v/>
      </c>
      <c r="C178" s="6">
        <f>IF($I178="","",INDEX(M$6:M$305,$I178))</f>
        <v/>
      </c>
      <c r="D178" s="6">
        <f>IF($I178="","",INDEX(N$6:N$305,$I178))</f>
        <v/>
      </c>
      <c r="E178" s="6">
        <f>IF($I178="","",INDEX(O$6:O$305,$I178))</f>
        <v/>
      </c>
      <c r="F178" s="6">
        <f>IF($I178="","",INDEX(P$6:P$305,$I178))</f>
        <v/>
      </c>
      <c r="G178" s="6">
        <f>IF($I178="","",INDEX(Q$6:Q$305,$I178))</f>
        <v/>
      </c>
      <c r="H178" s="6">
        <f>IF($I178="","",INDEX(R$6:R$305,$I178))</f>
        <v/>
      </c>
      <c r="I178" s="21">
        <f>IFERROR(MATCH(173,$T$6:$T$305,0),"")</f>
        <v/>
      </c>
      <c r="K178" s="21">
        <f>IF('Debtor Summary'!A177="","",'Debtor Summary'!A177)</f>
        <v/>
      </c>
      <c r="L178" s="24">
        <f>IF($K178="","",IF($B$2="","",ROUND(SUMIFS('Opening Balance'!$F$4:$F$303,'Opening Balance'!$G$4:$G$303,$K178)+SUMIFS('Daily Sale entry '!$S$2:$S$1501,'Daily Sale entry '!$P$2:$P$1501,$K178,'Daily Sale entry '!$Q$2:$Q$1501,"Credit Sale 赊销",'Daily Sale entry '!$O$2:$O$1501,"&lt;"&amp;$B$2)-SUMIFS('Daily Sale entry '!$S$2:$S$1501,'Daily Sale entry '!$P$2:$P$1501,$K178,'Daily Sale entry '!$Q$2:$Q$1501,"Collection 收款",'Daily Sale entry '!$O$2:$O$1501,"&lt;"&amp;$B$2)-SUMIFS('Daily Sale entry '!$AC$2:$AC$1501,'Daily Sale entry '!$AA$2:$AA$1501,$K178,'Daily Sale entry '!$Z$2:$Z$1501,"Online collection 网上收款",'Daily Sale entry '!$X$2:$X$1501,"&lt;"&amp;$B$2)-SUMIFS('Debtor Ledger'!$K$2:$K$3001,'Debtor Ledger'!$C$2:$C$3001,$K178,'Debtor Ledger'!$B$2:$B$3001,"&lt;"&amp;$B$2),2)))</f>
        <v/>
      </c>
      <c r="M178" s="24">
        <f>IF($K178="","",IF($B$2="","",SUMIFS('Daily Sale entry '!$S$2:$S$1501,'Daily Sale entry '!$P$2:$P$1501,$K178,'Daily Sale entry '!$Q$2:$Q$1501,"Credit Sale 赊销",'Daily Sale entry '!$O$2:$O$1501,$B$2)))</f>
        <v/>
      </c>
      <c r="N178" s="24">
        <f>IF($K178="","",IF($B$2="","",SUMIFS('Daily Sale entry '!$S$2:$S$1501,'Daily Sale entry '!$P$2:$P$1501,$K178,'Daily Sale entry '!$Q$2:$Q$1501,"Collection 收款",'Daily Sale entry '!$R$2:$R$1501,"Cash 现金",'Daily Sale entry '!$O$2:$O$1501,$B$2)))</f>
        <v/>
      </c>
      <c r="O178" s="24">
        <f>IF($K178="","",IF($B$2="","",SUMIFS('Daily Sale entry '!$S$2:$S$1501,'Daily Sale entry '!$P$2:$P$1501,$K178,'Daily Sale entry '!$Q$2:$Q$1501,"Collection 收款",'Daily Sale entry '!$R$2:$R$1501,"Cheque 支票",'Daily Sale entry '!$O$2:$O$1501,$B$2)))</f>
        <v/>
      </c>
      <c r="P178" s="24">
        <f>IF($K178="","",IF($B$2="","",SUMIFS('Daily Sale entry '!$AC$2:$AC$1501,'Daily Sale entry '!$AA$2:$AA$1501,$K178,'Daily Sale entry '!$Z$2:$Z$1501,"Online collection 网上收款",'Daily Sale entry '!$X$2:$X$1501,$B$2)))</f>
        <v/>
      </c>
      <c r="Q178" s="24">
        <f>IF($K178="","",IF($B$2="","",SUMIFS('Debtor Ledger'!$K$2:$K$3001,'Debtor Ledger'!$C$2:$C$3001,$K178,'Debtor Ledger'!$B$2:$B$3001,$B$2)))</f>
        <v/>
      </c>
      <c r="R178" s="24">
        <f>IF($K178="","",IF($B$2="","",ROUND(L178+M178-N178-O178-P178-Q178,2)))</f>
        <v/>
      </c>
      <c r="S178" s="21">
        <f>IF(K178="","",IF($B$2="","",IF(ABS(M178)+ABS(N178)+ABS(O178)+ABS(P178)+ABS(Q178)&gt;0,1,0)))</f>
        <v/>
      </c>
      <c r="T178" s="21">
        <f>IF(S178=1,SUM($S$6:S178),"")</f>
        <v/>
      </c>
    </row>
    <row r="179">
      <c r="A179">
        <f>IF($I179="","",INDEX(K$6:K$305,$I179))</f>
        <v/>
      </c>
      <c r="B179" s="6">
        <f>IF($I179="","",INDEX(L$6:L$305,$I179))</f>
        <v/>
      </c>
      <c r="C179" s="6">
        <f>IF($I179="","",INDEX(M$6:M$305,$I179))</f>
        <v/>
      </c>
      <c r="D179" s="6">
        <f>IF($I179="","",INDEX(N$6:N$305,$I179))</f>
        <v/>
      </c>
      <c r="E179" s="6">
        <f>IF($I179="","",INDEX(O$6:O$305,$I179))</f>
        <v/>
      </c>
      <c r="F179" s="6">
        <f>IF($I179="","",INDEX(P$6:P$305,$I179))</f>
        <v/>
      </c>
      <c r="G179" s="6">
        <f>IF($I179="","",INDEX(Q$6:Q$305,$I179))</f>
        <v/>
      </c>
      <c r="H179" s="6">
        <f>IF($I179="","",INDEX(R$6:R$305,$I179))</f>
        <v/>
      </c>
      <c r="I179" s="21">
        <f>IFERROR(MATCH(174,$T$6:$T$305,0),"")</f>
        <v/>
      </c>
      <c r="K179" s="21">
        <f>IF('Debtor Summary'!A178="","",'Debtor Summary'!A178)</f>
        <v/>
      </c>
      <c r="L179" s="24">
        <f>IF($K179="","",IF($B$2="","",ROUND(SUMIFS('Opening Balance'!$F$4:$F$303,'Opening Balance'!$G$4:$G$303,$K179)+SUMIFS('Daily Sale entry '!$S$2:$S$1501,'Daily Sale entry '!$P$2:$P$1501,$K179,'Daily Sale entry '!$Q$2:$Q$1501,"Credit Sale 赊销",'Daily Sale entry '!$O$2:$O$1501,"&lt;"&amp;$B$2)-SUMIFS('Daily Sale entry '!$S$2:$S$1501,'Daily Sale entry '!$P$2:$P$1501,$K179,'Daily Sale entry '!$Q$2:$Q$1501,"Collection 收款",'Daily Sale entry '!$O$2:$O$1501,"&lt;"&amp;$B$2)-SUMIFS('Daily Sale entry '!$AC$2:$AC$1501,'Daily Sale entry '!$AA$2:$AA$1501,$K179,'Daily Sale entry '!$Z$2:$Z$1501,"Online collection 网上收款",'Daily Sale entry '!$X$2:$X$1501,"&lt;"&amp;$B$2)-SUMIFS('Debtor Ledger'!$K$2:$K$3001,'Debtor Ledger'!$C$2:$C$3001,$K179,'Debtor Ledger'!$B$2:$B$3001,"&lt;"&amp;$B$2),2)))</f>
        <v/>
      </c>
      <c r="M179" s="24">
        <f>IF($K179="","",IF($B$2="","",SUMIFS('Daily Sale entry '!$S$2:$S$1501,'Daily Sale entry '!$P$2:$P$1501,$K179,'Daily Sale entry '!$Q$2:$Q$1501,"Credit Sale 赊销",'Daily Sale entry '!$O$2:$O$1501,$B$2)))</f>
        <v/>
      </c>
      <c r="N179" s="24">
        <f>IF($K179="","",IF($B$2="","",SUMIFS('Daily Sale entry '!$S$2:$S$1501,'Daily Sale entry '!$P$2:$P$1501,$K179,'Daily Sale entry '!$Q$2:$Q$1501,"Collection 收款",'Daily Sale entry '!$R$2:$R$1501,"Cash 现金",'Daily Sale entry '!$O$2:$O$1501,$B$2)))</f>
        <v/>
      </c>
      <c r="O179" s="24">
        <f>IF($K179="","",IF($B$2="","",SUMIFS('Daily Sale entry '!$S$2:$S$1501,'Daily Sale entry '!$P$2:$P$1501,$K179,'Daily Sale entry '!$Q$2:$Q$1501,"Collection 收款",'Daily Sale entry '!$R$2:$R$1501,"Cheque 支票",'Daily Sale entry '!$O$2:$O$1501,$B$2)))</f>
        <v/>
      </c>
      <c r="P179" s="24">
        <f>IF($K179="","",IF($B$2="","",SUMIFS('Daily Sale entry '!$AC$2:$AC$1501,'Daily Sale entry '!$AA$2:$AA$1501,$K179,'Daily Sale entry '!$Z$2:$Z$1501,"Online collection 网上收款",'Daily Sale entry '!$X$2:$X$1501,$B$2)))</f>
        <v/>
      </c>
      <c r="Q179" s="24">
        <f>IF($K179="","",IF($B$2="","",SUMIFS('Debtor Ledger'!$K$2:$K$3001,'Debtor Ledger'!$C$2:$C$3001,$K179,'Debtor Ledger'!$B$2:$B$3001,$B$2)))</f>
        <v/>
      </c>
      <c r="R179" s="24">
        <f>IF($K179="","",IF($B$2="","",ROUND(L179+M179-N179-O179-P179-Q179,2)))</f>
        <v/>
      </c>
      <c r="S179" s="21">
        <f>IF(K179="","",IF($B$2="","",IF(ABS(M179)+ABS(N179)+ABS(O179)+ABS(P179)+ABS(Q179)&gt;0,1,0)))</f>
        <v/>
      </c>
      <c r="T179" s="21">
        <f>IF(S179=1,SUM($S$6:S179),"")</f>
        <v/>
      </c>
    </row>
    <row r="180">
      <c r="A180">
        <f>IF($I180="","",INDEX(K$6:K$305,$I180))</f>
        <v/>
      </c>
      <c r="B180" s="6">
        <f>IF($I180="","",INDEX(L$6:L$305,$I180))</f>
        <v/>
      </c>
      <c r="C180" s="6">
        <f>IF($I180="","",INDEX(M$6:M$305,$I180))</f>
        <v/>
      </c>
      <c r="D180" s="6">
        <f>IF($I180="","",INDEX(N$6:N$305,$I180))</f>
        <v/>
      </c>
      <c r="E180" s="6">
        <f>IF($I180="","",INDEX(O$6:O$305,$I180))</f>
        <v/>
      </c>
      <c r="F180" s="6">
        <f>IF($I180="","",INDEX(P$6:P$305,$I180))</f>
        <v/>
      </c>
      <c r="G180" s="6">
        <f>IF($I180="","",INDEX(Q$6:Q$305,$I180))</f>
        <v/>
      </c>
      <c r="H180" s="6">
        <f>IF($I180="","",INDEX(R$6:R$305,$I180))</f>
        <v/>
      </c>
      <c r="I180" s="21">
        <f>IFERROR(MATCH(175,$T$6:$T$305,0),"")</f>
        <v/>
      </c>
      <c r="K180" s="21">
        <f>IF('Debtor Summary'!A179="","",'Debtor Summary'!A179)</f>
        <v/>
      </c>
      <c r="L180" s="24">
        <f>IF($K180="","",IF($B$2="","",ROUND(SUMIFS('Opening Balance'!$F$4:$F$303,'Opening Balance'!$G$4:$G$303,$K180)+SUMIFS('Daily Sale entry '!$S$2:$S$1501,'Daily Sale entry '!$P$2:$P$1501,$K180,'Daily Sale entry '!$Q$2:$Q$1501,"Credit Sale 赊销",'Daily Sale entry '!$O$2:$O$1501,"&lt;"&amp;$B$2)-SUMIFS('Daily Sale entry '!$S$2:$S$1501,'Daily Sale entry '!$P$2:$P$1501,$K180,'Daily Sale entry '!$Q$2:$Q$1501,"Collection 收款",'Daily Sale entry '!$O$2:$O$1501,"&lt;"&amp;$B$2)-SUMIFS('Daily Sale entry '!$AC$2:$AC$1501,'Daily Sale entry '!$AA$2:$AA$1501,$K180,'Daily Sale entry '!$Z$2:$Z$1501,"Online collection 网上收款",'Daily Sale entry '!$X$2:$X$1501,"&lt;"&amp;$B$2)-SUMIFS('Debtor Ledger'!$K$2:$K$3001,'Debtor Ledger'!$C$2:$C$3001,$K180,'Debtor Ledger'!$B$2:$B$3001,"&lt;"&amp;$B$2),2)))</f>
        <v/>
      </c>
      <c r="M180" s="24">
        <f>IF($K180="","",IF($B$2="","",SUMIFS('Daily Sale entry '!$S$2:$S$1501,'Daily Sale entry '!$P$2:$P$1501,$K180,'Daily Sale entry '!$Q$2:$Q$1501,"Credit Sale 赊销",'Daily Sale entry '!$O$2:$O$1501,$B$2)))</f>
        <v/>
      </c>
      <c r="N180" s="24">
        <f>IF($K180="","",IF($B$2="","",SUMIFS('Daily Sale entry '!$S$2:$S$1501,'Daily Sale entry '!$P$2:$P$1501,$K180,'Daily Sale entry '!$Q$2:$Q$1501,"Collection 收款",'Daily Sale entry '!$R$2:$R$1501,"Cash 现金",'Daily Sale entry '!$O$2:$O$1501,$B$2)))</f>
        <v/>
      </c>
      <c r="O180" s="24">
        <f>IF($K180="","",IF($B$2="","",SUMIFS('Daily Sale entry '!$S$2:$S$1501,'Daily Sale entry '!$P$2:$P$1501,$K180,'Daily Sale entry '!$Q$2:$Q$1501,"Collection 收款",'Daily Sale entry '!$R$2:$R$1501,"Cheque 支票",'Daily Sale entry '!$O$2:$O$1501,$B$2)))</f>
        <v/>
      </c>
      <c r="P180" s="24">
        <f>IF($K180="","",IF($B$2="","",SUMIFS('Daily Sale entry '!$AC$2:$AC$1501,'Daily Sale entry '!$AA$2:$AA$1501,$K180,'Daily Sale entry '!$Z$2:$Z$1501,"Online collection 网上收款",'Daily Sale entry '!$X$2:$X$1501,$B$2)))</f>
        <v/>
      </c>
      <c r="Q180" s="24">
        <f>IF($K180="","",IF($B$2="","",SUMIFS('Debtor Ledger'!$K$2:$K$3001,'Debtor Ledger'!$C$2:$C$3001,$K180,'Debtor Ledger'!$B$2:$B$3001,$B$2)))</f>
        <v/>
      </c>
      <c r="R180" s="24">
        <f>IF($K180="","",IF($B$2="","",ROUND(L180+M180-N180-O180-P180-Q180,2)))</f>
        <v/>
      </c>
      <c r="S180" s="21">
        <f>IF(K180="","",IF($B$2="","",IF(ABS(M180)+ABS(N180)+ABS(O180)+ABS(P180)+ABS(Q180)&gt;0,1,0)))</f>
        <v/>
      </c>
      <c r="T180" s="21">
        <f>IF(S180=1,SUM($S$6:S180),"")</f>
        <v/>
      </c>
    </row>
    <row r="181">
      <c r="A181">
        <f>IF($I181="","",INDEX(K$6:K$305,$I181))</f>
        <v/>
      </c>
      <c r="B181" s="6">
        <f>IF($I181="","",INDEX(L$6:L$305,$I181))</f>
        <v/>
      </c>
      <c r="C181" s="6">
        <f>IF($I181="","",INDEX(M$6:M$305,$I181))</f>
        <v/>
      </c>
      <c r="D181" s="6">
        <f>IF($I181="","",INDEX(N$6:N$305,$I181))</f>
        <v/>
      </c>
      <c r="E181" s="6">
        <f>IF($I181="","",INDEX(O$6:O$305,$I181))</f>
        <v/>
      </c>
      <c r="F181" s="6">
        <f>IF($I181="","",INDEX(P$6:P$305,$I181))</f>
        <v/>
      </c>
      <c r="G181" s="6">
        <f>IF($I181="","",INDEX(Q$6:Q$305,$I181))</f>
        <v/>
      </c>
      <c r="H181" s="6">
        <f>IF($I181="","",INDEX(R$6:R$305,$I181))</f>
        <v/>
      </c>
      <c r="I181" s="21">
        <f>IFERROR(MATCH(176,$T$6:$T$305,0),"")</f>
        <v/>
      </c>
      <c r="K181" s="21">
        <f>IF('Debtor Summary'!A180="","",'Debtor Summary'!A180)</f>
        <v/>
      </c>
      <c r="L181" s="24">
        <f>IF($K181="","",IF($B$2="","",ROUND(SUMIFS('Opening Balance'!$F$4:$F$303,'Opening Balance'!$G$4:$G$303,$K181)+SUMIFS('Daily Sale entry '!$S$2:$S$1501,'Daily Sale entry '!$P$2:$P$1501,$K181,'Daily Sale entry '!$Q$2:$Q$1501,"Credit Sale 赊销",'Daily Sale entry '!$O$2:$O$1501,"&lt;"&amp;$B$2)-SUMIFS('Daily Sale entry '!$S$2:$S$1501,'Daily Sale entry '!$P$2:$P$1501,$K181,'Daily Sale entry '!$Q$2:$Q$1501,"Collection 收款",'Daily Sale entry '!$O$2:$O$1501,"&lt;"&amp;$B$2)-SUMIFS('Daily Sale entry '!$AC$2:$AC$1501,'Daily Sale entry '!$AA$2:$AA$1501,$K181,'Daily Sale entry '!$Z$2:$Z$1501,"Online collection 网上收款",'Daily Sale entry '!$X$2:$X$1501,"&lt;"&amp;$B$2)-SUMIFS('Debtor Ledger'!$K$2:$K$3001,'Debtor Ledger'!$C$2:$C$3001,$K181,'Debtor Ledger'!$B$2:$B$3001,"&lt;"&amp;$B$2),2)))</f>
        <v/>
      </c>
      <c r="M181" s="24">
        <f>IF($K181="","",IF($B$2="","",SUMIFS('Daily Sale entry '!$S$2:$S$1501,'Daily Sale entry '!$P$2:$P$1501,$K181,'Daily Sale entry '!$Q$2:$Q$1501,"Credit Sale 赊销",'Daily Sale entry '!$O$2:$O$1501,$B$2)))</f>
        <v/>
      </c>
      <c r="N181" s="24">
        <f>IF($K181="","",IF($B$2="","",SUMIFS('Daily Sale entry '!$S$2:$S$1501,'Daily Sale entry '!$P$2:$P$1501,$K181,'Daily Sale entry '!$Q$2:$Q$1501,"Collection 收款",'Daily Sale entry '!$R$2:$R$1501,"Cash 现金",'Daily Sale entry '!$O$2:$O$1501,$B$2)))</f>
        <v/>
      </c>
      <c r="O181" s="24">
        <f>IF($K181="","",IF($B$2="","",SUMIFS('Daily Sale entry '!$S$2:$S$1501,'Daily Sale entry '!$P$2:$P$1501,$K181,'Daily Sale entry '!$Q$2:$Q$1501,"Collection 收款",'Daily Sale entry '!$R$2:$R$1501,"Cheque 支票",'Daily Sale entry '!$O$2:$O$1501,$B$2)))</f>
        <v/>
      </c>
      <c r="P181" s="24">
        <f>IF($K181="","",IF($B$2="","",SUMIFS('Daily Sale entry '!$AC$2:$AC$1501,'Daily Sale entry '!$AA$2:$AA$1501,$K181,'Daily Sale entry '!$Z$2:$Z$1501,"Online collection 网上收款",'Daily Sale entry '!$X$2:$X$1501,$B$2)))</f>
        <v/>
      </c>
      <c r="Q181" s="24">
        <f>IF($K181="","",IF($B$2="","",SUMIFS('Debtor Ledger'!$K$2:$K$3001,'Debtor Ledger'!$C$2:$C$3001,$K181,'Debtor Ledger'!$B$2:$B$3001,$B$2)))</f>
        <v/>
      </c>
      <c r="R181" s="24">
        <f>IF($K181="","",IF($B$2="","",ROUND(L181+M181-N181-O181-P181-Q181,2)))</f>
        <v/>
      </c>
      <c r="S181" s="21">
        <f>IF(K181="","",IF($B$2="","",IF(ABS(M181)+ABS(N181)+ABS(O181)+ABS(P181)+ABS(Q181)&gt;0,1,0)))</f>
        <v/>
      </c>
      <c r="T181" s="21">
        <f>IF(S181=1,SUM($S$6:S181),"")</f>
        <v/>
      </c>
    </row>
    <row r="182">
      <c r="A182">
        <f>IF($I182="","",INDEX(K$6:K$305,$I182))</f>
        <v/>
      </c>
      <c r="B182" s="6">
        <f>IF($I182="","",INDEX(L$6:L$305,$I182))</f>
        <v/>
      </c>
      <c r="C182" s="6">
        <f>IF($I182="","",INDEX(M$6:M$305,$I182))</f>
        <v/>
      </c>
      <c r="D182" s="6">
        <f>IF($I182="","",INDEX(N$6:N$305,$I182))</f>
        <v/>
      </c>
      <c r="E182" s="6">
        <f>IF($I182="","",INDEX(O$6:O$305,$I182))</f>
        <v/>
      </c>
      <c r="F182" s="6">
        <f>IF($I182="","",INDEX(P$6:P$305,$I182))</f>
        <v/>
      </c>
      <c r="G182" s="6">
        <f>IF($I182="","",INDEX(Q$6:Q$305,$I182))</f>
        <v/>
      </c>
      <c r="H182" s="6">
        <f>IF($I182="","",INDEX(R$6:R$305,$I182))</f>
        <v/>
      </c>
      <c r="I182" s="21">
        <f>IFERROR(MATCH(177,$T$6:$T$305,0),"")</f>
        <v/>
      </c>
      <c r="K182" s="21">
        <f>IF('Debtor Summary'!A181="","",'Debtor Summary'!A181)</f>
        <v/>
      </c>
      <c r="L182" s="24">
        <f>IF($K182="","",IF($B$2="","",ROUND(SUMIFS('Opening Balance'!$F$4:$F$303,'Opening Balance'!$G$4:$G$303,$K182)+SUMIFS('Daily Sale entry '!$S$2:$S$1501,'Daily Sale entry '!$P$2:$P$1501,$K182,'Daily Sale entry '!$Q$2:$Q$1501,"Credit Sale 赊销",'Daily Sale entry '!$O$2:$O$1501,"&lt;"&amp;$B$2)-SUMIFS('Daily Sale entry '!$S$2:$S$1501,'Daily Sale entry '!$P$2:$P$1501,$K182,'Daily Sale entry '!$Q$2:$Q$1501,"Collection 收款",'Daily Sale entry '!$O$2:$O$1501,"&lt;"&amp;$B$2)-SUMIFS('Daily Sale entry '!$AC$2:$AC$1501,'Daily Sale entry '!$AA$2:$AA$1501,$K182,'Daily Sale entry '!$Z$2:$Z$1501,"Online collection 网上收款",'Daily Sale entry '!$X$2:$X$1501,"&lt;"&amp;$B$2)-SUMIFS('Debtor Ledger'!$K$2:$K$3001,'Debtor Ledger'!$C$2:$C$3001,$K182,'Debtor Ledger'!$B$2:$B$3001,"&lt;"&amp;$B$2),2)))</f>
        <v/>
      </c>
      <c r="M182" s="24">
        <f>IF($K182="","",IF($B$2="","",SUMIFS('Daily Sale entry '!$S$2:$S$1501,'Daily Sale entry '!$P$2:$P$1501,$K182,'Daily Sale entry '!$Q$2:$Q$1501,"Credit Sale 赊销",'Daily Sale entry '!$O$2:$O$1501,$B$2)))</f>
        <v/>
      </c>
      <c r="N182" s="24">
        <f>IF($K182="","",IF($B$2="","",SUMIFS('Daily Sale entry '!$S$2:$S$1501,'Daily Sale entry '!$P$2:$P$1501,$K182,'Daily Sale entry '!$Q$2:$Q$1501,"Collection 收款",'Daily Sale entry '!$R$2:$R$1501,"Cash 现金",'Daily Sale entry '!$O$2:$O$1501,$B$2)))</f>
        <v/>
      </c>
      <c r="O182" s="24">
        <f>IF($K182="","",IF($B$2="","",SUMIFS('Daily Sale entry '!$S$2:$S$1501,'Daily Sale entry '!$P$2:$P$1501,$K182,'Daily Sale entry '!$Q$2:$Q$1501,"Collection 收款",'Daily Sale entry '!$R$2:$R$1501,"Cheque 支票",'Daily Sale entry '!$O$2:$O$1501,$B$2)))</f>
        <v/>
      </c>
      <c r="P182" s="24">
        <f>IF($K182="","",IF($B$2="","",SUMIFS('Daily Sale entry '!$AC$2:$AC$1501,'Daily Sale entry '!$AA$2:$AA$1501,$K182,'Daily Sale entry '!$Z$2:$Z$1501,"Online collection 网上收款",'Daily Sale entry '!$X$2:$X$1501,$B$2)))</f>
        <v/>
      </c>
      <c r="Q182" s="24">
        <f>IF($K182="","",IF($B$2="","",SUMIFS('Debtor Ledger'!$K$2:$K$3001,'Debtor Ledger'!$C$2:$C$3001,$K182,'Debtor Ledger'!$B$2:$B$3001,$B$2)))</f>
        <v/>
      </c>
      <c r="R182" s="24">
        <f>IF($K182="","",IF($B$2="","",ROUND(L182+M182-N182-O182-P182-Q182,2)))</f>
        <v/>
      </c>
      <c r="S182" s="21">
        <f>IF(K182="","",IF($B$2="","",IF(ABS(M182)+ABS(N182)+ABS(O182)+ABS(P182)+ABS(Q182)&gt;0,1,0)))</f>
        <v/>
      </c>
      <c r="T182" s="21">
        <f>IF(S182=1,SUM($S$6:S182),"")</f>
        <v/>
      </c>
    </row>
    <row r="183">
      <c r="A183">
        <f>IF($I183="","",INDEX(K$6:K$305,$I183))</f>
        <v/>
      </c>
      <c r="B183" s="6">
        <f>IF($I183="","",INDEX(L$6:L$305,$I183))</f>
        <v/>
      </c>
      <c r="C183" s="6">
        <f>IF($I183="","",INDEX(M$6:M$305,$I183))</f>
        <v/>
      </c>
      <c r="D183" s="6">
        <f>IF($I183="","",INDEX(N$6:N$305,$I183))</f>
        <v/>
      </c>
      <c r="E183" s="6">
        <f>IF($I183="","",INDEX(O$6:O$305,$I183))</f>
        <v/>
      </c>
      <c r="F183" s="6">
        <f>IF($I183="","",INDEX(P$6:P$305,$I183))</f>
        <v/>
      </c>
      <c r="G183" s="6">
        <f>IF($I183="","",INDEX(Q$6:Q$305,$I183))</f>
        <v/>
      </c>
      <c r="H183" s="6">
        <f>IF($I183="","",INDEX(R$6:R$305,$I183))</f>
        <v/>
      </c>
      <c r="I183" s="21">
        <f>IFERROR(MATCH(178,$T$6:$T$305,0),"")</f>
        <v/>
      </c>
      <c r="K183" s="21">
        <f>IF('Debtor Summary'!A182="","",'Debtor Summary'!A182)</f>
        <v/>
      </c>
      <c r="L183" s="24">
        <f>IF($K183="","",IF($B$2="","",ROUND(SUMIFS('Opening Balance'!$F$4:$F$303,'Opening Balance'!$G$4:$G$303,$K183)+SUMIFS('Daily Sale entry '!$S$2:$S$1501,'Daily Sale entry '!$P$2:$P$1501,$K183,'Daily Sale entry '!$Q$2:$Q$1501,"Credit Sale 赊销",'Daily Sale entry '!$O$2:$O$1501,"&lt;"&amp;$B$2)-SUMIFS('Daily Sale entry '!$S$2:$S$1501,'Daily Sale entry '!$P$2:$P$1501,$K183,'Daily Sale entry '!$Q$2:$Q$1501,"Collection 收款",'Daily Sale entry '!$O$2:$O$1501,"&lt;"&amp;$B$2)-SUMIFS('Daily Sale entry '!$AC$2:$AC$1501,'Daily Sale entry '!$AA$2:$AA$1501,$K183,'Daily Sale entry '!$Z$2:$Z$1501,"Online collection 网上收款",'Daily Sale entry '!$X$2:$X$1501,"&lt;"&amp;$B$2)-SUMIFS('Debtor Ledger'!$K$2:$K$3001,'Debtor Ledger'!$C$2:$C$3001,$K183,'Debtor Ledger'!$B$2:$B$3001,"&lt;"&amp;$B$2),2)))</f>
        <v/>
      </c>
      <c r="M183" s="24">
        <f>IF($K183="","",IF($B$2="","",SUMIFS('Daily Sale entry '!$S$2:$S$1501,'Daily Sale entry '!$P$2:$P$1501,$K183,'Daily Sale entry '!$Q$2:$Q$1501,"Credit Sale 赊销",'Daily Sale entry '!$O$2:$O$1501,$B$2)))</f>
        <v/>
      </c>
      <c r="N183" s="24">
        <f>IF($K183="","",IF($B$2="","",SUMIFS('Daily Sale entry '!$S$2:$S$1501,'Daily Sale entry '!$P$2:$P$1501,$K183,'Daily Sale entry '!$Q$2:$Q$1501,"Collection 收款",'Daily Sale entry '!$R$2:$R$1501,"Cash 现金",'Daily Sale entry '!$O$2:$O$1501,$B$2)))</f>
        <v/>
      </c>
      <c r="O183" s="24">
        <f>IF($K183="","",IF($B$2="","",SUMIFS('Daily Sale entry '!$S$2:$S$1501,'Daily Sale entry '!$P$2:$P$1501,$K183,'Daily Sale entry '!$Q$2:$Q$1501,"Collection 收款",'Daily Sale entry '!$R$2:$R$1501,"Cheque 支票",'Daily Sale entry '!$O$2:$O$1501,$B$2)))</f>
        <v/>
      </c>
      <c r="P183" s="24">
        <f>IF($K183="","",IF($B$2="","",SUMIFS('Daily Sale entry '!$AC$2:$AC$1501,'Daily Sale entry '!$AA$2:$AA$1501,$K183,'Daily Sale entry '!$Z$2:$Z$1501,"Online collection 网上收款",'Daily Sale entry '!$X$2:$X$1501,$B$2)))</f>
        <v/>
      </c>
      <c r="Q183" s="24">
        <f>IF($K183="","",IF($B$2="","",SUMIFS('Debtor Ledger'!$K$2:$K$3001,'Debtor Ledger'!$C$2:$C$3001,$K183,'Debtor Ledger'!$B$2:$B$3001,$B$2)))</f>
        <v/>
      </c>
      <c r="R183" s="24">
        <f>IF($K183="","",IF($B$2="","",ROUND(L183+M183-N183-O183-P183-Q183,2)))</f>
        <v/>
      </c>
      <c r="S183" s="21">
        <f>IF(K183="","",IF($B$2="","",IF(ABS(M183)+ABS(N183)+ABS(O183)+ABS(P183)+ABS(Q183)&gt;0,1,0)))</f>
        <v/>
      </c>
      <c r="T183" s="21">
        <f>IF(S183=1,SUM($S$6:S183),"")</f>
        <v/>
      </c>
    </row>
    <row r="184">
      <c r="A184">
        <f>IF($I184="","",INDEX(K$6:K$305,$I184))</f>
        <v/>
      </c>
      <c r="B184" s="6">
        <f>IF($I184="","",INDEX(L$6:L$305,$I184))</f>
        <v/>
      </c>
      <c r="C184" s="6">
        <f>IF($I184="","",INDEX(M$6:M$305,$I184))</f>
        <v/>
      </c>
      <c r="D184" s="6">
        <f>IF($I184="","",INDEX(N$6:N$305,$I184))</f>
        <v/>
      </c>
      <c r="E184" s="6">
        <f>IF($I184="","",INDEX(O$6:O$305,$I184))</f>
        <v/>
      </c>
      <c r="F184" s="6">
        <f>IF($I184="","",INDEX(P$6:P$305,$I184))</f>
        <v/>
      </c>
      <c r="G184" s="6">
        <f>IF($I184="","",INDEX(Q$6:Q$305,$I184))</f>
        <v/>
      </c>
      <c r="H184" s="6">
        <f>IF($I184="","",INDEX(R$6:R$305,$I184))</f>
        <v/>
      </c>
      <c r="I184" s="21">
        <f>IFERROR(MATCH(179,$T$6:$T$305,0),"")</f>
        <v/>
      </c>
      <c r="K184" s="21">
        <f>IF('Debtor Summary'!A183="","",'Debtor Summary'!A183)</f>
        <v/>
      </c>
      <c r="L184" s="24">
        <f>IF($K184="","",IF($B$2="","",ROUND(SUMIFS('Opening Balance'!$F$4:$F$303,'Opening Balance'!$G$4:$G$303,$K184)+SUMIFS('Daily Sale entry '!$S$2:$S$1501,'Daily Sale entry '!$P$2:$P$1501,$K184,'Daily Sale entry '!$Q$2:$Q$1501,"Credit Sale 赊销",'Daily Sale entry '!$O$2:$O$1501,"&lt;"&amp;$B$2)-SUMIFS('Daily Sale entry '!$S$2:$S$1501,'Daily Sale entry '!$P$2:$P$1501,$K184,'Daily Sale entry '!$Q$2:$Q$1501,"Collection 收款",'Daily Sale entry '!$O$2:$O$1501,"&lt;"&amp;$B$2)-SUMIFS('Daily Sale entry '!$AC$2:$AC$1501,'Daily Sale entry '!$AA$2:$AA$1501,$K184,'Daily Sale entry '!$Z$2:$Z$1501,"Online collection 网上收款",'Daily Sale entry '!$X$2:$X$1501,"&lt;"&amp;$B$2)-SUMIFS('Debtor Ledger'!$K$2:$K$3001,'Debtor Ledger'!$C$2:$C$3001,$K184,'Debtor Ledger'!$B$2:$B$3001,"&lt;"&amp;$B$2),2)))</f>
        <v/>
      </c>
      <c r="M184" s="24">
        <f>IF($K184="","",IF($B$2="","",SUMIFS('Daily Sale entry '!$S$2:$S$1501,'Daily Sale entry '!$P$2:$P$1501,$K184,'Daily Sale entry '!$Q$2:$Q$1501,"Credit Sale 赊销",'Daily Sale entry '!$O$2:$O$1501,$B$2)))</f>
        <v/>
      </c>
      <c r="N184" s="24">
        <f>IF($K184="","",IF($B$2="","",SUMIFS('Daily Sale entry '!$S$2:$S$1501,'Daily Sale entry '!$P$2:$P$1501,$K184,'Daily Sale entry '!$Q$2:$Q$1501,"Collection 收款",'Daily Sale entry '!$R$2:$R$1501,"Cash 现金",'Daily Sale entry '!$O$2:$O$1501,$B$2)))</f>
        <v/>
      </c>
      <c r="O184" s="24">
        <f>IF($K184="","",IF($B$2="","",SUMIFS('Daily Sale entry '!$S$2:$S$1501,'Daily Sale entry '!$P$2:$P$1501,$K184,'Daily Sale entry '!$Q$2:$Q$1501,"Collection 收款",'Daily Sale entry '!$R$2:$R$1501,"Cheque 支票",'Daily Sale entry '!$O$2:$O$1501,$B$2)))</f>
        <v/>
      </c>
      <c r="P184" s="24">
        <f>IF($K184="","",IF($B$2="","",SUMIFS('Daily Sale entry '!$AC$2:$AC$1501,'Daily Sale entry '!$AA$2:$AA$1501,$K184,'Daily Sale entry '!$Z$2:$Z$1501,"Online collection 网上收款",'Daily Sale entry '!$X$2:$X$1501,$B$2)))</f>
        <v/>
      </c>
      <c r="Q184" s="24">
        <f>IF($K184="","",IF($B$2="","",SUMIFS('Debtor Ledger'!$K$2:$K$3001,'Debtor Ledger'!$C$2:$C$3001,$K184,'Debtor Ledger'!$B$2:$B$3001,$B$2)))</f>
        <v/>
      </c>
      <c r="R184" s="24">
        <f>IF($K184="","",IF($B$2="","",ROUND(L184+M184-N184-O184-P184-Q184,2)))</f>
        <v/>
      </c>
      <c r="S184" s="21">
        <f>IF(K184="","",IF($B$2="","",IF(ABS(M184)+ABS(N184)+ABS(O184)+ABS(P184)+ABS(Q184)&gt;0,1,0)))</f>
        <v/>
      </c>
      <c r="T184" s="21">
        <f>IF(S184=1,SUM($S$6:S184),"")</f>
        <v/>
      </c>
    </row>
    <row r="185">
      <c r="A185">
        <f>IF($I185="","",INDEX(K$6:K$305,$I185))</f>
        <v/>
      </c>
      <c r="B185" s="6">
        <f>IF($I185="","",INDEX(L$6:L$305,$I185))</f>
        <v/>
      </c>
      <c r="C185" s="6">
        <f>IF($I185="","",INDEX(M$6:M$305,$I185))</f>
        <v/>
      </c>
      <c r="D185" s="6">
        <f>IF($I185="","",INDEX(N$6:N$305,$I185))</f>
        <v/>
      </c>
      <c r="E185" s="6">
        <f>IF($I185="","",INDEX(O$6:O$305,$I185))</f>
        <v/>
      </c>
      <c r="F185" s="6">
        <f>IF($I185="","",INDEX(P$6:P$305,$I185))</f>
        <v/>
      </c>
      <c r="G185" s="6">
        <f>IF($I185="","",INDEX(Q$6:Q$305,$I185))</f>
        <v/>
      </c>
      <c r="H185" s="6">
        <f>IF($I185="","",INDEX(R$6:R$305,$I185))</f>
        <v/>
      </c>
      <c r="I185" s="21">
        <f>IFERROR(MATCH(180,$T$6:$T$305,0),"")</f>
        <v/>
      </c>
      <c r="K185" s="21">
        <f>IF('Debtor Summary'!A184="","",'Debtor Summary'!A184)</f>
        <v/>
      </c>
      <c r="L185" s="24">
        <f>IF($K185="","",IF($B$2="","",ROUND(SUMIFS('Opening Balance'!$F$4:$F$303,'Opening Balance'!$G$4:$G$303,$K185)+SUMIFS('Daily Sale entry '!$S$2:$S$1501,'Daily Sale entry '!$P$2:$P$1501,$K185,'Daily Sale entry '!$Q$2:$Q$1501,"Credit Sale 赊销",'Daily Sale entry '!$O$2:$O$1501,"&lt;"&amp;$B$2)-SUMIFS('Daily Sale entry '!$S$2:$S$1501,'Daily Sale entry '!$P$2:$P$1501,$K185,'Daily Sale entry '!$Q$2:$Q$1501,"Collection 收款",'Daily Sale entry '!$O$2:$O$1501,"&lt;"&amp;$B$2)-SUMIFS('Daily Sale entry '!$AC$2:$AC$1501,'Daily Sale entry '!$AA$2:$AA$1501,$K185,'Daily Sale entry '!$Z$2:$Z$1501,"Online collection 网上收款",'Daily Sale entry '!$X$2:$X$1501,"&lt;"&amp;$B$2)-SUMIFS('Debtor Ledger'!$K$2:$K$3001,'Debtor Ledger'!$C$2:$C$3001,$K185,'Debtor Ledger'!$B$2:$B$3001,"&lt;"&amp;$B$2),2)))</f>
        <v/>
      </c>
      <c r="M185" s="24">
        <f>IF($K185="","",IF($B$2="","",SUMIFS('Daily Sale entry '!$S$2:$S$1501,'Daily Sale entry '!$P$2:$P$1501,$K185,'Daily Sale entry '!$Q$2:$Q$1501,"Credit Sale 赊销",'Daily Sale entry '!$O$2:$O$1501,$B$2)))</f>
        <v/>
      </c>
      <c r="N185" s="24">
        <f>IF($K185="","",IF($B$2="","",SUMIFS('Daily Sale entry '!$S$2:$S$1501,'Daily Sale entry '!$P$2:$P$1501,$K185,'Daily Sale entry '!$Q$2:$Q$1501,"Collection 收款",'Daily Sale entry '!$R$2:$R$1501,"Cash 现金",'Daily Sale entry '!$O$2:$O$1501,$B$2)))</f>
        <v/>
      </c>
      <c r="O185" s="24">
        <f>IF($K185="","",IF($B$2="","",SUMIFS('Daily Sale entry '!$S$2:$S$1501,'Daily Sale entry '!$P$2:$P$1501,$K185,'Daily Sale entry '!$Q$2:$Q$1501,"Collection 收款",'Daily Sale entry '!$R$2:$R$1501,"Cheque 支票",'Daily Sale entry '!$O$2:$O$1501,$B$2)))</f>
        <v/>
      </c>
      <c r="P185" s="24">
        <f>IF($K185="","",IF($B$2="","",SUMIFS('Daily Sale entry '!$AC$2:$AC$1501,'Daily Sale entry '!$AA$2:$AA$1501,$K185,'Daily Sale entry '!$Z$2:$Z$1501,"Online collection 网上收款",'Daily Sale entry '!$X$2:$X$1501,$B$2)))</f>
        <v/>
      </c>
      <c r="Q185" s="24">
        <f>IF($K185="","",IF($B$2="","",SUMIFS('Debtor Ledger'!$K$2:$K$3001,'Debtor Ledger'!$C$2:$C$3001,$K185,'Debtor Ledger'!$B$2:$B$3001,$B$2)))</f>
        <v/>
      </c>
      <c r="R185" s="24">
        <f>IF($K185="","",IF($B$2="","",ROUND(L185+M185-N185-O185-P185-Q185,2)))</f>
        <v/>
      </c>
      <c r="S185" s="21">
        <f>IF(K185="","",IF($B$2="","",IF(ABS(M185)+ABS(N185)+ABS(O185)+ABS(P185)+ABS(Q185)&gt;0,1,0)))</f>
        <v/>
      </c>
      <c r="T185" s="21">
        <f>IF(S185=1,SUM($S$6:S185),"")</f>
        <v/>
      </c>
    </row>
    <row r="186">
      <c r="A186">
        <f>IF($I186="","",INDEX(K$6:K$305,$I186))</f>
        <v/>
      </c>
      <c r="B186" s="6">
        <f>IF($I186="","",INDEX(L$6:L$305,$I186))</f>
        <v/>
      </c>
      <c r="C186" s="6">
        <f>IF($I186="","",INDEX(M$6:M$305,$I186))</f>
        <v/>
      </c>
      <c r="D186" s="6">
        <f>IF($I186="","",INDEX(N$6:N$305,$I186))</f>
        <v/>
      </c>
      <c r="E186" s="6">
        <f>IF($I186="","",INDEX(O$6:O$305,$I186))</f>
        <v/>
      </c>
      <c r="F186" s="6">
        <f>IF($I186="","",INDEX(P$6:P$305,$I186))</f>
        <v/>
      </c>
      <c r="G186" s="6">
        <f>IF($I186="","",INDEX(Q$6:Q$305,$I186))</f>
        <v/>
      </c>
      <c r="H186" s="6">
        <f>IF($I186="","",INDEX(R$6:R$305,$I186))</f>
        <v/>
      </c>
      <c r="I186" s="21">
        <f>IFERROR(MATCH(181,$T$6:$T$305,0),"")</f>
        <v/>
      </c>
      <c r="K186" s="21">
        <f>IF('Debtor Summary'!A185="","",'Debtor Summary'!A185)</f>
        <v/>
      </c>
      <c r="L186" s="24">
        <f>IF($K186="","",IF($B$2="","",ROUND(SUMIFS('Opening Balance'!$F$4:$F$303,'Opening Balance'!$G$4:$G$303,$K186)+SUMIFS('Daily Sale entry '!$S$2:$S$1501,'Daily Sale entry '!$P$2:$P$1501,$K186,'Daily Sale entry '!$Q$2:$Q$1501,"Credit Sale 赊销",'Daily Sale entry '!$O$2:$O$1501,"&lt;"&amp;$B$2)-SUMIFS('Daily Sale entry '!$S$2:$S$1501,'Daily Sale entry '!$P$2:$P$1501,$K186,'Daily Sale entry '!$Q$2:$Q$1501,"Collection 收款",'Daily Sale entry '!$O$2:$O$1501,"&lt;"&amp;$B$2)-SUMIFS('Daily Sale entry '!$AC$2:$AC$1501,'Daily Sale entry '!$AA$2:$AA$1501,$K186,'Daily Sale entry '!$Z$2:$Z$1501,"Online collection 网上收款",'Daily Sale entry '!$X$2:$X$1501,"&lt;"&amp;$B$2)-SUMIFS('Debtor Ledger'!$K$2:$K$3001,'Debtor Ledger'!$C$2:$C$3001,$K186,'Debtor Ledger'!$B$2:$B$3001,"&lt;"&amp;$B$2),2)))</f>
        <v/>
      </c>
      <c r="M186" s="24">
        <f>IF($K186="","",IF($B$2="","",SUMIFS('Daily Sale entry '!$S$2:$S$1501,'Daily Sale entry '!$P$2:$P$1501,$K186,'Daily Sale entry '!$Q$2:$Q$1501,"Credit Sale 赊销",'Daily Sale entry '!$O$2:$O$1501,$B$2)))</f>
        <v/>
      </c>
      <c r="N186" s="24">
        <f>IF($K186="","",IF($B$2="","",SUMIFS('Daily Sale entry '!$S$2:$S$1501,'Daily Sale entry '!$P$2:$P$1501,$K186,'Daily Sale entry '!$Q$2:$Q$1501,"Collection 收款",'Daily Sale entry '!$R$2:$R$1501,"Cash 现金",'Daily Sale entry '!$O$2:$O$1501,$B$2)))</f>
        <v/>
      </c>
      <c r="O186" s="24">
        <f>IF($K186="","",IF($B$2="","",SUMIFS('Daily Sale entry '!$S$2:$S$1501,'Daily Sale entry '!$P$2:$P$1501,$K186,'Daily Sale entry '!$Q$2:$Q$1501,"Collection 收款",'Daily Sale entry '!$R$2:$R$1501,"Cheque 支票",'Daily Sale entry '!$O$2:$O$1501,$B$2)))</f>
        <v/>
      </c>
      <c r="P186" s="24">
        <f>IF($K186="","",IF($B$2="","",SUMIFS('Daily Sale entry '!$AC$2:$AC$1501,'Daily Sale entry '!$AA$2:$AA$1501,$K186,'Daily Sale entry '!$Z$2:$Z$1501,"Online collection 网上收款",'Daily Sale entry '!$X$2:$X$1501,$B$2)))</f>
        <v/>
      </c>
      <c r="Q186" s="24">
        <f>IF($K186="","",IF($B$2="","",SUMIFS('Debtor Ledger'!$K$2:$K$3001,'Debtor Ledger'!$C$2:$C$3001,$K186,'Debtor Ledger'!$B$2:$B$3001,$B$2)))</f>
        <v/>
      </c>
      <c r="R186" s="24">
        <f>IF($K186="","",IF($B$2="","",ROUND(L186+M186-N186-O186-P186-Q186,2)))</f>
        <v/>
      </c>
      <c r="S186" s="21">
        <f>IF(K186="","",IF($B$2="","",IF(ABS(M186)+ABS(N186)+ABS(O186)+ABS(P186)+ABS(Q186)&gt;0,1,0)))</f>
        <v/>
      </c>
      <c r="T186" s="21">
        <f>IF(S186=1,SUM($S$6:S186),"")</f>
        <v/>
      </c>
    </row>
    <row r="187">
      <c r="A187">
        <f>IF($I187="","",INDEX(K$6:K$305,$I187))</f>
        <v/>
      </c>
      <c r="B187" s="6">
        <f>IF($I187="","",INDEX(L$6:L$305,$I187))</f>
        <v/>
      </c>
      <c r="C187" s="6">
        <f>IF($I187="","",INDEX(M$6:M$305,$I187))</f>
        <v/>
      </c>
      <c r="D187" s="6">
        <f>IF($I187="","",INDEX(N$6:N$305,$I187))</f>
        <v/>
      </c>
      <c r="E187" s="6">
        <f>IF($I187="","",INDEX(O$6:O$305,$I187))</f>
        <v/>
      </c>
      <c r="F187" s="6">
        <f>IF($I187="","",INDEX(P$6:P$305,$I187))</f>
        <v/>
      </c>
      <c r="G187" s="6">
        <f>IF($I187="","",INDEX(Q$6:Q$305,$I187))</f>
        <v/>
      </c>
      <c r="H187" s="6">
        <f>IF($I187="","",INDEX(R$6:R$305,$I187))</f>
        <v/>
      </c>
      <c r="I187" s="21">
        <f>IFERROR(MATCH(182,$T$6:$T$305,0),"")</f>
        <v/>
      </c>
      <c r="K187" s="21">
        <f>IF('Debtor Summary'!A186="","",'Debtor Summary'!A186)</f>
        <v/>
      </c>
      <c r="L187" s="24">
        <f>IF($K187="","",IF($B$2="","",ROUND(SUMIFS('Opening Balance'!$F$4:$F$303,'Opening Balance'!$G$4:$G$303,$K187)+SUMIFS('Daily Sale entry '!$S$2:$S$1501,'Daily Sale entry '!$P$2:$P$1501,$K187,'Daily Sale entry '!$Q$2:$Q$1501,"Credit Sale 赊销",'Daily Sale entry '!$O$2:$O$1501,"&lt;"&amp;$B$2)-SUMIFS('Daily Sale entry '!$S$2:$S$1501,'Daily Sale entry '!$P$2:$P$1501,$K187,'Daily Sale entry '!$Q$2:$Q$1501,"Collection 收款",'Daily Sale entry '!$O$2:$O$1501,"&lt;"&amp;$B$2)-SUMIFS('Daily Sale entry '!$AC$2:$AC$1501,'Daily Sale entry '!$AA$2:$AA$1501,$K187,'Daily Sale entry '!$Z$2:$Z$1501,"Online collection 网上收款",'Daily Sale entry '!$X$2:$X$1501,"&lt;"&amp;$B$2)-SUMIFS('Debtor Ledger'!$K$2:$K$3001,'Debtor Ledger'!$C$2:$C$3001,$K187,'Debtor Ledger'!$B$2:$B$3001,"&lt;"&amp;$B$2),2)))</f>
        <v/>
      </c>
      <c r="M187" s="24">
        <f>IF($K187="","",IF($B$2="","",SUMIFS('Daily Sale entry '!$S$2:$S$1501,'Daily Sale entry '!$P$2:$P$1501,$K187,'Daily Sale entry '!$Q$2:$Q$1501,"Credit Sale 赊销",'Daily Sale entry '!$O$2:$O$1501,$B$2)))</f>
        <v/>
      </c>
      <c r="N187" s="24">
        <f>IF($K187="","",IF($B$2="","",SUMIFS('Daily Sale entry '!$S$2:$S$1501,'Daily Sale entry '!$P$2:$P$1501,$K187,'Daily Sale entry '!$Q$2:$Q$1501,"Collection 收款",'Daily Sale entry '!$R$2:$R$1501,"Cash 现金",'Daily Sale entry '!$O$2:$O$1501,$B$2)))</f>
        <v/>
      </c>
      <c r="O187" s="24">
        <f>IF($K187="","",IF($B$2="","",SUMIFS('Daily Sale entry '!$S$2:$S$1501,'Daily Sale entry '!$P$2:$P$1501,$K187,'Daily Sale entry '!$Q$2:$Q$1501,"Collection 收款",'Daily Sale entry '!$R$2:$R$1501,"Cheque 支票",'Daily Sale entry '!$O$2:$O$1501,$B$2)))</f>
        <v/>
      </c>
      <c r="P187" s="24">
        <f>IF($K187="","",IF($B$2="","",SUMIFS('Daily Sale entry '!$AC$2:$AC$1501,'Daily Sale entry '!$AA$2:$AA$1501,$K187,'Daily Sale entry '!$Z$2:$Z$1501,"Online collection 网上收款",'Daily Sale entry '!$X$2:$X$1501,$B$2)))</f>
        <v/>
      </c>
      <c r="Q187" s="24">
        <f>IF($K187="","",IF($B$2="","",SUMIFS('Debtor Ledger'!$K$2:$K$3001,'Debtor Ledger'!$C$2:$C$3001,$K187,'Debtor Ledger'!$B$2:$B$3001,$B$2)))</f>
        <v/>
      </c>
      <c r="R187" s="24">
        <f>IF($K187="","",IF($B$2="","",ROUND(L187+M187-N187-O187-P187-Q187,2)))</f>
        <v/>
      </c>
      <c r="S187" s="21">
        <f>IF(K187="","",IF($B$2="","",IF(ABS(M187)+ABS(N187)+ABS(O187)+ABS(P187)+ABS(Q187)&gt;0,1,0)))</f>
        <v/>
      </c>
      <c r="T187" s="21">
        <f>IF(S187=1,SUM($S$6:S187),"")</f>
        <v/>
      </c>
    </row>
    <row r="188">
      <c r="A188">
        <f>IF($I188="","",INDEX(K$6:K$305,$I188))</f>
        <v/>
      </c>
      <c r="B188" s="6">
        <f>IF($I188="","",INDEX(L$6:L$305,$I188))</f>
        <v/>
      </c>
      <c r="C188" s="6">
        <f>IF($I188="","",INDEX(M$6:M$305,$I188))</f>
        <v/>
      </c>
      <c r="D188" s="6">
        <f>IF($I188="","",INDEX(N$6:N$305,$I188))</f>
        <v/>
      </c>
      <c r="E188" s="6">
        <f>IF($I188="","",INDEX(O$6:O$305,$I188))</f>
        <v/>
      </c>
      <c r="F188" s="6">
        <f>IF($I188="","",INDEX(P$6:P$305,$I188))</f>
        <v/>
      </c>
      <c r="G188" s="6">
        <f>IF($I188="","",INDEX(Q$6:Q$305,$I188))</f>
        <v/>
      </c>
      <c r="H188" s="6">
        <f>IF($I188="","",INDEX(R$6:R$305,$I188))</f>
        <v/>
      </c>
      <c r="I188" s="21">
        <f>IFERROR(MATCH(183,$T$6:$T$305,0),"")</f>
        <v/>
      </c>
      <c r="K188" s="21">
        <f>IF('Debtor Summary'!A187="","",'Debtor Summary'!A187)</f>
        <v/>
      </c>
      <c r="L188" s="24">
        <f>IF($K188="","",IF($B$2="","",ROUND(SUMIFS('Opening Balance'!$F$4:$F$303,'Opening Balance'!$G$4:$G$303,$K188)+SUMIFS('Daily Sale entry '!$S$2:$S$1501,'Daily Sale entry '!$P$2:$P$1501,$K188,'Daily Sale entry '!$Q$2:$Q$1501,"Credit Sale 赊销",'Daily Sale entry '!$O$2:$O$1501,"&lt;"&amp;$B$2)-SUMIFS('Daily Sale entry '!$S$2:$S$1501,'Daily Sale entry '!$P$2:$P$1501,$K188,'Daily Sale entry '!$Q$2:$Q$1501,"Collection 收款",'Daily Sale entry '!$O$2:$O$1501,"&lt;"&amp;$B$2)-SUMIFS('Daily Sale entry '!$AC$2:$AC$1501,'Daily Sale entry '!$AA$2:$AA$1501,$K188,'Daily Sale entry '!$Z$2:$Z$1501,"Online collection 网上收款",'Daily Sale entry '!$X$2:$X$1501,"&lt;"&amp;$B$2)-SUMIFS('Debtor Ledger'!$K$2:$K$3001,'Debtor Ledger'!$C$2:$C$3001,$K188,'Debtor Ledger'!$B$2:$B$3001,"&lt;"&amp;$B$2),2)))</f>
        <v/>
      </c>
      <c r="M188" s="24">
        <f>IF($K188="","",IF($B$2="","",SUMIFS('Daily Sale entry '!$S$2:$S$1501,'Daily Sale entry '!$P$2:$P$1501,$K188,'Daily Sale entry '!$Q$2:$Q$1501,"Credit Sale 赊销",'Daily Sale entry '!$O$2:$O$1501,$B$2)))</f>
        <v/>
      </c>
      <c r="N188" s="24">
        <f>IF($K188="","",IF($B$2="","",SUMIFS('Daily Sale entry '!$S$2:$S$1501,'Daily Sale entry '!$P$2:$P$1501,$K188,'Daily Sale entry '!$Q$2:$Q$1501,"Collection 收款",'Daily Sale entry '!$R$2:$R$1501,"Cash 现金",'Daily Sale entry '!$O$2:$O$1501,$B$2)))</f>
        <v/>
      </c>
      <c r="O188" s="24">
        <f>IF($K188="","",IF($B$2="","",SUMIFS('Daily Sale entry '!$S$2:$S$1501,'Daily Sale entry '!$P$2:$P$1501,$K188,'Daily Sale entry '!$Q$2:$Q$1501,"Collection 收款",'Daily Sale entry '!$R$2:$R$1501,"Cheque 支票",'Daily Sale entry '!$O$2:$O$1501,$B$2)))</f>
        <v/>
      </c>
      <c r="P188" s="24">
        <f>IF($K188="","",IF($B$2="","",SUMIFS('Daily Sale entry '!$AC$2:$AC$1501,'Daily Sale entry '!$AA$2:$AA$1501,$K188,'Daily Sale entry '!$Z$2:$Z$1501,"Online collection 网上收款",'Daily Sale entry '!$X$2:$X$1501,$B$2)))</f>
        <v/>
      </c>
      <c r="Q188" s="24">
        <f>IF($K188="","",IF($B$2="","",SUMIFS('Debtor Ledger'!$K$2:$K$3001,'Debtor Ledger'!$C$2:$C$3001,$K188,'Debtor Ledger'!$B$2:$B$3001,$B$2)))</f>
        <v/>
      </c>
      <c r="R188" s="24">
        <f>IF($K188="","",IF($B$2="","",ROUND(L188+M188-N188-O188-P188-Q188,2)))</f>
        <v/>
      </c>
      <c r="S188" s="21">
        <f>IF(K188="","",IF($B$2="","",IF(ABS(M188)+ABS(N188)+ABS(O188)+ABS(P188)+ABS(Q188)&gt;0,1,0)))</f>
        <v/>
      </c>
      <c r="T188" s="21">
        <f>IF(S188=1,SUM($S$6:S188),"")</f>
        <v/>
      </c>
    </row>
    <row r="189">
      <c r="A189">
        <f>IF($I189="","",INDEX(K$6:K$305,$I189))</f>
        <v/>
      </c>
      <c r="B189" s="6">
        <f>IF($I189="","",INDEX(L$6:L$305,$I189))</f>
        <v/>
      </c>
      <c r="C189" s="6">
        <f>IF($I189="","",INDEX(M$6:M$305,$I189))</f>
        <v/>
      </c>
      <c r="D189" s="6">
        <f>IF($I189="","",INDEX(N$6:N$305,$I189))</f>
        <v/>
      </c>
      <c r="E189" s="6">
        <f>IF($I189="","",INDEX(O$6:O$305,$I189))</f>
        <v/>
      </c>
      <c r="F189" s="6">
        <f>IF($I189="","",INDEX(P$6:P$305,$I189))</f>
        <v/>
      </c>
      <c r="G189" s="6">
        <f>IF($I189="","",INDEX(Q$6:Q$305,$I189))</f>
        <v/>
      </c>
      <c r="H189" s="6">
        <f>IF($I189="","",INDEX(R$6:R$305,$I189))</f>
        <v/>
      </c>
      <c r="I189" s="21">
        <f>IFERROR(MATCH(184,$T$6:$T$305,0),"")</f>
        <v/>
      </c>
      <c r="K189" s="21">
        <f>IF('Debtor Summary'!A188="","",'Debtor Summary'!A188)</f>
        <v/>
      </c>
      <c r="L189" s="24">
        <f>IF($K189="","",IF($B$2="","",ROUND(SUMIFS('Opening Balance'!$F$4:$F$303,'Opening Balance'!$G$4:$G$303,$K189)+SUMIFS('Daily Sale entry '!$S$2:$S$1501,'Daily Sale entry '!$P$2:$P$1501,$K189,'Daily Sale entry '!$Q$2:$Q$1501,"Credit Sale 赊销",'Daily Sale entry '!$O$2:$O$1501,"&lt;"&amp;$B$2)-SUMIFS('Daily Sale entry '!$S$2:$S$1501,'Daily Sale entry '!$P$2:$P$1501,$K189,'Daily Sale entry '!$Q$2:$Q$1501,"Collection 收款",'Daily Sale entry '!$O$2:$O$1501,"&lt;"&amp;$B$2)-SUMIFS('Daily Sale entry '!$AC$2:$AC$1501,'Daily Sale entry '!$AA$2:$AA$1501,$K189,'Daily Sale entry '!$Z$2:$Z$1501,"Online collection 网上收款",'Daily Sale entry '!$X$2:$X$1501,"&lt;"&amp;$B$2)-SUMIFS('Debtor Ledger'!$K$2:$K$3001,'Debtor Ledger'!$C$2:$C$3001,$K189,'Debtor Ledger'!$B$2:$B$3001,"&lt;"&amp;$B$2),2)))</f>
        <v/>
      </c>
      <c r="M189" s="24">
        <f>IF($K189="","",IF($B$2="","",SUMIFS('Daily Sale entry '!$S$2:$S$1501,'Daily Sale entry '!$P$2:$P$1501,$K189,'Daily Sale entry '!$Q$2:$Q$1501,"Credit Sale 赊销",'Daily Sale entry '!$O$2:$O$1501,$B$2)))</f>
        <v/>
      </c>
      <c r="N189" s="24">
        <f>IF($K189="","",IF($B$2="","",SUMIFS('Daily Sale entry '!$S$2:$S$1501,'Daily Sale entry '!$P$2:$P$1501,$K189,'Daily Sale entry '!$Q$2:$Q$1501,"Collection 收款",'Daily Sale entry '!$R$2:$R$1501,"Cash 现金",'Daily Sale entry '!$O$2:$O$1501,$B$2)))</f>
        <v/>
      </c>
      <c r="O189" s="24">
        <f>IF($K189="","",IF($B$2="","",SUMIFS('Daily Sale entry '!$S$2:$S$1501,'Daily Sale entry '!$P$2:$P$1501,$K189,'Daily Sale entry '!$Q$2:$Q$1501,"Collection 收款",'Daily Sale entry '!$R$2:$R$1501,"Cheque 支票",'Daily Sale entry '!$O$2:$O$1501,$B$2)))</f>
        <v/>
      </c>
      <c r="P189" s="24">
        <f>IF($K189="","",IF($B$2="","",SUMIFS('Daily Sale entry '!$AC$2:$AC$1501,'Daily Sale entry '!$AA$2:$AA$1501,$K189,'Daily Sale entry '!$Z$2:$Z$1501,"Online collection 网上收款",'Daily Sale entry '!$X$2:$X$1501,$B$2)))</f>
        <v/>
      </c>
      <c r="Q189" s="24">
        <f>IF($K189="","",IF($B$2="","",SUMIFS('Debtor Ledger'!$K$2:$K$3001,'Debtor Ledger'!$C$2:$C$3001,$K189,'Debtor Ledger'!$B$2:$B$3001,$B$2)))</f>
        <v/>
      </c>
      <c r="R189" s="24">
        <f>IF($K189="","",IF($B$2="","",ROUND(L189+M189-N189-O189-P189-Q189,2)))</f>
        <v/>
      </c>
      <c r="S189" s="21">
        <f>IF(K189="","",IF($B$2="","",IF(ABS(M189)+ABS(N189)+ABS(O189)+ABS(P189)+ABS(Q189)&gt;0,1,0)))</f>
        <v/>
      </c>
      <c r="T189" s="21">
        <f>IF(S189=1,SUM($S$6:S189),"")</f>
        <v/>
      </c>
    </row>
    <row r="190">
      <c r="A190">
        <f>IF($I190="","",INDEX(K$6:K$305,$I190))</f>
        <v/>
      </c>
      <c r="B190" s="6">
        <f>IF($I190="","",INDEX(L$6:L$305,$I190))</f>
        <v/>
      </c>
      <c r="C190" s="6">
        <f>IF($I190="","",INDEX(M$6:M$305,$I190))</f>
        <v/>
      </c>
      <c r="D190" s="6">
        <f>IF($I190="","",INDEX(N$6:N$305,$I190))</f>
        <v/>
      </c>
      <c r="E190" s="6">
        <f>IF($I190="","",INDEX(O$6:O$305,$I190))</f>
        <v/>
      </c>
      <c r="F190" s="6">
        <f>IF($I190="","",INDEX(P$6:P$305,$I190))</f>
        <v/>
      </c>
      <c r="G190" s="6">
        <f>IF($I190="","",INDEX(Q$6:Q$305,$I190))</f>
        <v/>
      </c>
      <c r="H190" s="6">
        <f>IF($I190="","",INDEX(R$6:R$305,$I190))</f>
        <v/>
      </c>
      <c r="I190" s="21">
        <f>IFERROR(MATCH(185,$T$6:$T$305,0),"")</f>
        <v/>
      </c>
      <c r="K190" s="21">
        <f>IF('Debtor Summary'!A189="","",'Debtor Summary'!A189)</f>
        <v/>
      </c>
      <c r="L190" s="24">
        <f>IF($K190="","",IF($B$2="","",ROUND(SUMIFS('Opening Balance'!$F$4:$F$303,'Opening Balance'!$G$4:$G$303,$K190)+SUMIFS('Daily Sale entry '!$S$2:$S$1501,'Daily Sale entry '!$P$2:$P$1501,$K190,'Daily Sale entry '!$Q$2:$Q$1501,"Credit Sale 赊销",'Daily Sale entry '!$O$2:$O$1501,"&lt;"&amp;$B$2)-SUMIFS('Daily Sale entry '!$S$2:$S$1501,'Daily Sale entry '!$P$2:$P$1501,$K190,'Daily Sale entry '!$Q$2:$Q$1501,"Collection 收款",'Daily Sale entry '!$O$2:$O$1501,"&lt;"&amp;$B$2)-SUMIFS('Daily Sale entry '!$AC$2:$AC$1501,'Daily Sale entry '!$AA$2:$AA$1501,$K190,'Daily Sale entry '!$Z$2:$Z$1501,"Online collection 网上收款",'Daily Sale entry '!$X$2:$X$1501,"&lt;"&amp;$B$2)-SUMIFS('Debtor Ledger'!$K$2:$K$3001,'Debtor Ledger'!$C$2:$C$3001,$K190,'Debtor Ledger'!$B$2:$B$3001,"&lt;"&amp;$B$2),2)))</f>
        <v/>
      </c>
      <c r="M190" s="24">
        <f>IF($K190="","",IF($B$2="","",SUMIFS('Daily Sale entry '!$S$2:$S$1501,'Daily Sale entry '!$P$2:$P$1501,$K190,'Daily Sale entry '!$Q$2:$Q$1501,"Credit Sale 赊销",'Daily Sale entry '!$O$2:$O$1501,$B$2)))</f>
        <v/>
      </c>
      <c r="N190" s="24">
        <f>IF($K190="","",IF($B$2="","",SUMIFS('Daily Sale entry '!$S$2:$S$1501,'Daily Sale entry '!$P$2:$P$1501,$K190,'Daily Sale entry '!$Q$2:$Q$1501,"Collection 收款",'Daily Sale entry '!$R$2:$R$1501,"Cash 现金",'Daily Sale entry '!$O$2:$O$1501,$B$2)))</f>
        <v/>
      </c>
      <c r="O190" s="24">
        <f>IF($K190="","",IF($B$2="","",SUMIFS('Daily Sale entry '!$S$2:$S$1501,'Daily Sale entry '!$P$2:$P$1501,$K190,'Daily Sale entry '!$Q$2:$Q$1501,"Collection 收款",'Daily Sale entry '!$R$2:$R$1501,"Cheque 支票",'Daily Sale entry '!$O$2:$O$1501,$B$2)))</f>
        <v/>
      </c>
      <c r="P190" s="24">
        <f>IF($K190="","",IF($B$2="","",SUMIFS('Daily Sale entry '!$AC$2:$AC$1501,'Daily Sale entry '!$AA$2:$AA$1501,$K190,'Daily Sale entry '!$Z$2:$Z$1501,"Online collection 网上收款",'Daily Sale entry '!$X$2:$X$1501,$B$2)))</f>
        <v/>
      </c>
      <c r="Q190" s="24">
        <f>IF($K190="","",IF($B$2="","",SUMIFS('Debtor Ledger'!$K$2:$K$3001,'Debtor Ledger'!$C$2:$C$3001,$K190,'Debtor Ledger'!$B$2:$B$3001,$B$2)))</f>
        <v/>
      </c>
      <c r="R190" s="24">
        <f>IF($K190="","",IF($B$2="","",ROUND(L190+M190-N190-O190-P190-Q190,2)))</f>
        <v/>
      </c>
      <c r="S190" s="21">
        <f>IF(K190="","",IF($B$2="","",IF(ABS(M190)+ABS(N190)+ABS(O190)+ABS(P190)+ABS(Q190)&gt;0,1,0)))</f>
        <v/>
      </c>
      <c r="T190" s="21">
        <f>IF(S190=1,SUM($S$6:S190),"")</f>
        <v/>
      </c>
    </row>
    <row r="191">
      <c r="A191">
        <f>IF($I191="","",INDEX(K$6:K$305,$I191))</f>
        <v/>
      </c>
      <c r="B191" s="6">
        <f>IF($I191="","",INDEX(L$6:L$305,$I191))</f>
        <v/>
      </c>
      <c r="C191" s="6">
        <f>IF($I191="","",INDEX(M$6:M$305,$I191))</f>
        <v/>
      </c>
      <c r="D191" s="6">
        <f>IF($I191="","",INDEX(N$6:N$305,$I191))</f>
        <v/>
      </c>
      <c r="E191" s="6">
        <f>IF($I191="","",INDEX(O$6:O$305,$I191))</f>
        <v/>
      </c>
      <c r="F191" s="6">
        <f>IF($I191="","",INDEX(P$6:P$305,$I191))</f>
        <v/>
      </c>
      <c r="G191" s="6">
        <f>IF($I191="","",INDEX(Q$6:Q$305,$I191))</f>
        <v/>
      </c>
      <c r="H191" s="6">
        <f>IF($I191="","",INDEX(R$6:R$305,$I191))</f>
        <v/>
      </c>
      <c r="I191" s="21">
        <f>IFERROR(MATCH(186,$T$6:$T$305,0),"")</f>
        <v/>
      </c>
      <c r="K191" s="21">
        <f>IF('Debtor Summary'!A190="","",'Debtor Summary'!A190)</f>
        <v/>
      </c>
      <c r="L191" s="24">
        <f>IF($K191="","",IF($B$2="","",ROUND(SUMIFS('Opening Balance'!$F$4:$F$303,'Opening Balance'!$G$4:$G$303,$K191)+SUMIFS('Daily Sale entry '!$S$2:$S$1501,'Daily Sale entry '!$P$2:$P$1501,$K191,'Daily Sale entry '!$Q$2:$Q$1501,"Credit Sale 赊销",'Daily Sale entry '!$O$2:$O$1501,"&lt;"&amp;$B$2)-SUMIFS('Daily Sale entry '!$S$2:$S$1501,'Daily Sale entry '!$P$2:$P$1501,$K191,'Daily Sale entry '!$Q$2:$Q$1501,"Collection 收款",'Daily Sale entry '!$O$2:$O$1501,"&lt;"&amp;$B$2)-SUMIFS('Daily Sale entry '!$AC$2:$AC$1501,'Daily Sale entry '!$AA$2:$AA$1501,$K191,'Daily Sale entry '!$Z$2:$Z$1501,"Online collection 网上收款",'Daily Sale entry '!$X$2:$X$1501,"&lt;"&amp;$B$2)-SUMIFS('Debtor Ledger'!$K$2:$K$3001,'Debtor Ledger'!$C$2:$C$3001,$K191,'Debtor Ledger'!$B$2:$B$3001,"&lt;"&amp;$B$2),2)))</f>
        <v/>
      </c>
      <c r="M191" s="24">
        <f>IF($K191="","",IF($B$2="","",SUMIFS('Daily Sale entry '!$S$2:$S$1501,'Daily Sale entry '!$P$2:$P$1501,$K191,'Daily Sale entry '!$Q$2:$Q$1501,"Credit Sale 赊销",'Daily Sale entry '!$O$2:$O$1501,$B$2)))</f>
        <v/>
      </c>
      <c r="N191" s="24">
        <f>IF($K191="","",IF($B$2="","",SUMIFS('Daily Sale entry '!$S$2:$S$1501,'Daily Sale entry '!$P$2:$P$1501,$K191,'Daily Sale entry '!$Q$2:$Q$1501,"Collection 收款",'Daily Sale entry '!$R$2:$R$1501,"Cash 现金",'Daily Sale entry '!$O$2:$O$1501,$B$2)))</f>
        <v/>
      </c>
      <c r="O191" s="24">
        <f>IF($K191="","",IF($B$2="","",SUMIFS('Daily Sale entry '!$S$2:$S$1501,'Daily Sale entry '!$P$2:$P$1501,$K191,'Daily Sale entry '!$Q$2:$Q$1501,"Collection 收款",'Daily Sale entry '!$R$2:$R$1501,"Cheque 支票",'Daily Sale entry '!$O$2:$O$1501,$B$2)))</f>
        <v/>
      </c>
      <c r="P191" s="24">
        <f>IF($K191="","",IF($B$2="","",SUMIFS('Daily Sale entry '!$AC$2:$AC$1501,'Daily Sale entry '!$AA$2:$AA$1501,$K191,'Daily Sale entry '!$Z$2:$Z$1501,"Online collection 网上收款",'Daily Sale entry '!$X$2:$X$1501,$B$2)))</f>
        <v/>
      </c>
      <c r="Q191" s="24">
        <f>IF($K191="","",IF($B$2="","",SUMIFS('Debtor Ledger'!$K$2:$K$3001,'Debtor Ledger'!$C$2:$C$3001,$K191,'Debtor Ledger'!$B$2:$B$3001,$B$2)))</f>
        <v/>
      </c>
      <c r="R191" s="24">
        <f>IF($K191="","",IF($B$2="","",ROUND(L191+M191-N191-O191-P191-Q191,2)))</f>
        <v/>
      </c>
      <c r="S191" s="21">
        <f>IF(K191="","",IF($B$2="","",IF(ABS(M191)+ABS(N191)+ABS(O191)+ABS(P191)+ABS(Q191)&gt;0,1,0)))</f>
        <v/>
      </c>
      <c r="T191" s="21">
        <f>IF(S191=1,SUM($S$6:S191),"")</f>
        <v/>
      </c>
    </row>
    <row r="192">
      <c r="A192">
        <f>IF($I192="","",INDEX(K$6:K$305,$I192))</f>
        <v/>
      </c>
      <c r="B192" s="6">
        <f>IF($I192="","",INDEX(L$6:L$305,$I192))</f>
        <v/>
      </c>
      <c r="C192" s="6">
        <f>IF($I192="","",INDEX(M$6:M$305,$I192))</f>
        <v/>
      </c>
      <c r="D192" s="6">
        <f>IF($I192="","",INDEX(N$6:N$305,$I192))</f>
        <v/>
      </c>
      <c r="E192" s="6">
        <f>IF($I192="","",INDEX(O$6:O$305,$I192))</f>
        <v/>
      </c>
      <c r="F192" s="6">
        <f>IF($I192="","",INDEX(P$6:P$305,$I192))</f>
        <v/>
      </c>
      <c r="G192" s="6">
        <f>IF($I192="","",INDEX(Q$6:Q$305,$I192))</f>
        <v/>
      </c>
      <c r="H192" s="6">
        <f>IF($I192="","",INDEX(R$6:R$305,$I192))</f>
        <v/>
      </c>
      <c r="I192" s="21">
        <f>IFERROR(MATCH(187,$T$6:$T$305,0),"")</f>
        <v/>
      </c>
      <c r="K192" s="21">
        <f>IF('Debtor Summary'!A191="","",'Debtor Summary'!A191)</f>
        <v/>
      </c>
      <c r="L192" s="24">
        <f>IF($K192="","",IF($B$2="","",ROUND(SUMIFS('Opening Balance'!$F$4:$F$303,'Opening Balance'!$G$4:$G$303,$K192)+SUMIFS('Daily Sale entry '!$S$2:$S$1501,'Daily Sale entry '!$P$2:$P$1501,$K192,'Daily Sale entry '!$Q$2:$Q$1501,"Credit Sale 赊销",'Daily Sale entry '!$O$2:$O$1501,"&lt;"&amp;$B$2)-SUMIFS('Daily Sale entry '!$S$2:$S$1501,'Daily Sale entry '!$P$2:$P$1501,$K192,'Daily Sale entry '!$Q$2:$Q$1501,"Collection 收款",'Daily Sale entry '!$O$2:$O$1501,"&lt;"&amp;$B$2)-SUMIFS('Daily Sale entry '!$AC$2:$AC$1501,'Daily Sale entry '!$AA$2:$AA$1501,$K192,'Daily Sale entry '!$Z$2:$Z$1501,"Online collection 网上收款",'Daily Sale entry '!$X$2:$X$1501,"&lt;"&amp;$B$2)-SUMIFS('Debtor Ledger'!$K$2:$K$3001,'Debtor Ledger'!$C$2:$C$3001,$K192,'Debtor Ledger'!$B$2:$B$3001,"&lt;"&amp;$B$2),2)))</f>
        <v/>
      </c>
      <c r="M192" s="24">
        <f>IF($K192="","",IF($B$2="","",SUMIFS('Daily Sale entry '!$S$2:$S$1501,'Daily Sale entry '!$P$2:$P$1501,$K192,'Daily Sale entry '!$Q$2:$Q$1501,"Credit Sale 赊销",'Daily Sale entry '!$O$2:$O$1501,$B$2)))</f>
        <v/>
      </c>
      <c r="N192" s="24">
        <f>IF($K192="","",IF($B$2="","",SUMIFS('Daily Sale entry '!$S$2:$S$1501,'Daily Sale entry '!$P$2:$P$1501,$K192,'Daily Sale entry '!$Q$2:$Q$1501,"Collection 收款",'Daily Sale entry '!$R$2:$R$1501,"Cash 现金",'Daily Sale entry '!$O$2:$O$1501,$B$2)))</f>
        <v/>
      </c>
      <c r="O192" s="24">
        <f>IF($K192="","",IF($B$2="","",SUMIFS('Daily Sale entry '!$S$2:$S$1501,'Daily Sale entry '!$P$2:$P$1501,$K192,'Daily Sale entry '!$Q$2:$Q$1501,"Collection 收款",'Daily Sale entry '!$R$2:$R$1501,"Cheque 支票",'Daily Sale entry '!$O$2:$O$1501,$B$2)))</f>
        <v/>
      </c>
      <c r="P192" s="24">
        <f>IF($K192="","",IF($B$2="","",SUMIFS('Daily Sale entry '!$AC$2:$AC$1501,'Daily Sale entry '!$AA$2:$AA$1501,$K192,'Daily Sale entry '!$Z$2:$Z$1501,"Online collection 网上收款",'Daily Sale entry '!$X$2:$X$1501,$B$2)))</f>
        <v/>
      </c>
      <c r="Q192" s="24">
        <f>IF($K192="","",IF($B$2="","",SUMIFS('Debtor Ledger'!$K$2:$K$3001,'Debtor Ledger'!$C$2:$C$3001,$K192,'Debtor Ledger'!$B$2:$B$3001,$B$2)))</f>
        <v/>
      </c>
      <c r="R192" s="24">
        <f>IF($K192="","",IF($B$2="","",ROUND(L192+M192-N192-O192-P192-Q192,2)))</f>
        <v/>
      </c>
      <c r="S192" s="21">
        <f>IF(K192="","",IF($B$2="","",IF(ABS(M192)+ABS(N192)+ABS(O192)+ABS(P192)+ABS(Q192)&gt;0,1,0)))</f>
        <v/>
      </c>
      <c r="T192" s="21">
        <f>IF(S192=1,SUM($S$6:S192),"")</f>
        <v/>
      </c>
    </row>
    <row r="193">
      <c r="A193">
        <f>IF($I193="","",INDEX(K$6:K$305,$I193))</f>
        <v/>
      </c>
      <c r="B193" s="6">
        <f>IF($I193="","",INDEX(L$6:L$305,$I193))</f>
        <v/>
      </c>
      <c r="C193" s="6">
        <f>IF($I193="","",INDEX(M$6:M$305,$I193))</f>
        <v/>
      </c>
      <c r="D193" s="6">
        <f>IF($I193="","",INDEX(N$6:N$305,$I193))</f>
        <v/>
      </c>
      <c r="E193" s="6">
        <f>IF($I193="","",INDEX(O$6:O$305,$I193))</f>
        <v/>
      </c>
      <c r="F193" s="6">
        <f>IF($I193="","",INDEX(P$6:P$305,$I193))</f>
        <v/>
      </c>
      <c r="G193" s="6">
        <f>IF($I193="","",INDEX(Q$6:Q$305,$I193))</f>
        <v/>
      </c>
      <c r="H193" s="6">
        <f>IF($I193="","",INDEX(R$6:R$305,$I193))</f>
        <v/>
      </c>
      <c r="I193" s="21">
        <f>IFERROR(MATCH(188,$T$6:$T$305,0),"")</f>
        <v/>
      </c>
      <c r="K193" s="21">
        <f>IF('Debtor Summary'!A192="","",'Debtor Summary'!A192)</f>
        <v/>
      </c>
      <c r="L193" s="24">
        <f>IF($K193="","",IF($B$2="","",ROUND(SUMIFS('Opening Balance'!$F$4:$F$303,'Opening Balance'!$G$4:$G$303,$K193)+SUMIFS('Daily Sale entry '!$S$2:$S$1501,'Daily Sale entry '!$P$2:$P$1501,$K193,'Daily Sale entry '!$Q$2:$Q$1501,"Credit Sale 赊销",'Daily Sale entry '!$O$2:$O$1501,"&lt;"&amp;$B$2)-SUMIFS('Daily Sale entry '!$S$2:$S$1501,'Daily Sale entry '!$P$2:$P$1501,$K193,'Daily Sale entry '!$Q$2:$Q$1501,"Collection 收款",'Daily Sale entry '!$O$2:$O$1501,"&lt;"&amp;$B$2)-SUMIFS('Daily Sale entry '!$AC$2:$AC$1501,'Daily Sale entry '!$AA$2:$AA$1501,$K193,'Daily Sale entry '!$Z$2:$Z$1501,"Online collection 网上收款",'Daily Sale entry '!$X$2:$X$1501,"&lt;"&amp;$B$2)-SUMIFS('Debtor Ledger'!$K$2:$K$3001,'Debtor Ledger'!$C$2:$C$3001,$K193,'Debtor Ledger'!$B$2:$B$3001,"&lt;"&amp;$B$2),2)))</f>
        <v/>
      </c>
      <c r="M193" s="24">
        <f>IF($K193="","",IF($B$2="","",SUMIFS('Daily Sale entry '!$S$2:$S$1501,'Daily Sale entry '!$P$2:$P$1501,$K193,'Daily Sale entry '!$Q$2:$Q$1501,"Credit Sale 赊销",'Daily Sale entry '!$O$2:$O$1501,$B$2)))</f>
        <v/>
      </c>
      <c r="N193" s="24">
        <f>IF($K193="","",IF($B$2="","",SUMIFS('Daily Sale entry '!$S$2:$S$1501,'Daily Sale entry '!$P$2:$P$1501,$K193,'Daily Sale entry '!$Q$2:$Q$1501,"Collection 收款",'Daily Sale entry '!$R$2:$R$1501,"Cash 现金",'Daily Sale entry '!$O$2:$O$1501,$B$2)))</f>
        <v/>
      </c>
      <c r="O193" s="24">
        <f>IF($K193="","",IF($B$2="","",SUMIFS('Daily Sale entry '!$S$2:$S$1501,'Daily Sale entry '!$P$2:$P$1501,$K193,'Daily Sale entry '!$Q$2:$Q$1501,"Collection 收款",'Daily Sale entry '!$R$2:$R$1501,"Cheque 支票",'Daily Sale entry '!$O$2:$O$1501,$B$2)))</f>
        <v/>
      </c>
      <c r="P193" s="24">
        <f>IF($K193="","",IF($B$2="","",SUMIFS('Daily Sale entry '!$AC$2:$AC$1501,'Daily Sale entry '!$AA$2:$AA$1501,$K193,'Daily Sale entry '!$Z$2:$Z$1501,"Online collection 网上收款",'Daily Sale entry '!$X$2:$X$1501,$B$2)))</f>
        <v/>
      </c>
      <c r="Q193" s="24">
        <f>IF($K193="","",IF($B$2="","",SUMIFS('Debtor Ledger'!$K$2:$K$3001,'Debtor Ledger'!$C$2:$C$3001,$K193,'Debtor Ledger'!$B$2:$B$3001,$B$2)))</f>
        <v/>
      </c>
      <c r="R193" s="24">
        <f>IF($K193="","",IF($B$2="","",ROUND(L193+M193-N193-O193-P193-Q193,2)))</f>
        <v/>
      </c>
      <c r="S193" s="21">
        <f>IF(K193="","",IF($B$2="","",IF(ABS(M193)+ABS(N193)+ABS(O193)+ABS(P193)+ABS(Q193)&gt;0,1,0)))</f>
        <v/>
      </c>
      <c r="T193" s="21">
        <f>IF(S193=1,SUM($S$6:S193),"")</f>
        <v/>
      </c>
    </row>
    <row r="194">
      <c r="A194">
        <f>IF($I194="","",INDEX(K$6:K$305,$I194))</f>
        <v/>
      </c>
      <c r="B194" s="6">
        <f>IF($I194="","",INDEX(L$6:L$305,$I194))</f>
        <v/>
      </c>
      <c r="C194" s="6">
        <f>IF($I194="","",INDEX(M$6:M$305,$I194))</f>
        <v/>
      </c>
      <c r="D194" s="6">
        <f>IF($I194="","",INDEX(N$6:N$305,$I194))</f>
        <v/>
      </c>
      <c r="E194" s="6">
        <f>IF($I194="","",INDEX(O$6:O$305,$I194))</f>
        <v/>
      </c>
      <c r="F194" s="6">
        <f>IF($I194="","",INDEX(P$6:P$305,$I194))</f>
        <v/>
      </c>
      <c r="G194" s="6">
        <f>IF($I194="","",INDEX(Q$6:Q$305,$I194))</f>
        <v/>
      </c>
      <c r="H194" s="6">
        <f>IF($I194="","",INDEX(R$6:R$305,$I194))</f>
        <v/>
      </c>
      <c r="I194" s="21">
        <f>IFERROR(MATCH(189,$T$6:$T$305,0),"")</f>
        <v/>
      </c>
      <c r="K194" s="21">
        <f>IF('Debtor Summary'!A193="","",'Debtor Summary'!A193)</f>
        <v/>
      </c>
      <c r="L194" s="24">
        <f>IF($K194="","",IF($B$2="","",ROUND(SUMIFS('Opening Balance'!$F$4:$F$303,'Opening Balance'!$G$4:$G$303,$K194)+SUMIFS('Daily Sale entry '!$S$2:$S$1501,'Daily Sale entry '!$P$2:$P$1501,$K194,'Daily Sale entry '!$Q$2:$Q$1501,"Credit Sale 赊销",'Daily Sale entry '!$O$2:$O$1501,"&lt;"&amp;$B$2)-SUMIFS('Daily Sale entry '!$S$2:$S$1501,'Daily Sale entry '!$P$2:$P$1501,$K194,'Daily Sale entry '!$Q$2:$Q$1501,"Collection 收款",'Daily Sale entry '!$O$2:$O$1501,"&lt;"&amp;$B$2)-SUMIFS('Daily Sale entry '!$AC$2:$AC$1501,'Daily Sale entry '!$AA$2:$AA$1501,$K194,'Daily Sale entry '!$Z$2:$Z$1501,"Online collection 网上收款",'Daily Sale entry '!$X$2:$X$1501,"&lt;"&amp;$B$2)-SUMIFS('Debtor Ledger'!$K$2:$K$3001,'Debtor Ledger'!$C$2:$C$3001,$K194,'Debtor Ledger'!$B$2:$B$3001,"&lt;"&amp;$B$2),2)))</f>
        <v/>
      </c>
      <c r="M194" s="24">
        <f>IF($K194="","",IF($B$2="","",SUMIFS('Daily Sale entry '!$S$2:$S$1501,'Daily Sale entry '!$P$2:$P$1501,$K194,'Daily Sale entry '!$Q$2:$Q$1501,"Credit Sale 赊销",'Daily Sale entry '!$O$2:$O$1501,$B$2)))</f>
        <v/>
      </c>
      <c r="N194" s="24">
        <f>IF($K194="","",IF($B$2="","",SUMIFS('Daily Sale entry '!$S$2:$S$1501,'Daily Sale entry '!$P$2:$P$1501,$K194,'Daily Sale entry '!$Q$2:$Q$1501,"Collection 收款",'Daily Sale entry '!$R$2:$R$1501,"Cash 现金",'Daily Sale entry '!$O$2:$O$1501,$B$2)))</f>
        <v/>
      </c>
      <c r="O194" s="24">
        <f>IF($K194="","",IF($B$2="","",SUMIFS('Daily Sale entry '!$S$2:$S$1501,'Daily Sale entry '!$P$2:$P$1501,$K194,'Daily Sale entry '!$Q$2:$Q$1501,"Collection 收款",'Daily Sale entry '!$R$2:$R$1501,"Cheque 支票",'Daily Sale entry '!$O$2:$O$1501,$B$2)))</f>
        <v/>
      </c>
      <c r="P194" s="24">
        <f>IF($K194="","",IF($B$2="","",SUMIFS('Daily Sale entry '!$AC$2:$AC$1501,'Daily Sale entry '!$AA$2:$AA$1501,$K194,'Daily Sale entry '!$Z$2:$Z$1501,"Online collection 网上收款",'Daily Sale entry '!$X$2:$X$1501,$B$2)))</f>
        <v/>
      </c>
      <c r="Q194" s="24">
        <f>IF($K194="","",IF($B$2="","",SUMIFS('Debtor Ledger'!$K$2:$K$3001,'Debtor Ledger'!$C$2:$C$3001,$K194,'Debtor Ledger'!$B$2:$B$3001,$B$2)))</f>
        <v/>
      </c>
      <c r="R194" s="24">
        <f>IF($K194="","",IF($B$2="","",ROUND(L194+M194-N194-O194-P194-Q194,2)))</f>
        <v/>
      </c>
      <c r="S194" s="21">
        <f>IF(K194="","",IF($B$2="","",IF(ABS(M194)+ABS(N194)+ABS(O194)+ABS(P194)+ABS(Q194)&gt;0,1,0)))</f>
        <v/>
      </c>
      <c r="T194" s="21">
        <f>IF(S194=1,SUM($S$6:S194),"")</f>
        <v/>
      </c>
    </row>
    <row r="195">
      <c r="A195">
        <f>IF($I195="","",INDEX(K$6:K$305,$I195))</f>
        <v/>
      </c>
      <c r="B195" s="6">
        <f>IF($I195="","",INDEX(L$6:L$305,$I195))</f>
        <v/>
      </c>
      <c r="C195" s="6">
        <f>IF($I195="","",INDEX(M$6:M$305,$I195))</f>
        <v/>
      </c>
      <c r="D195" s="6">
        <f>IF($I195="","",INDEX(N$6:N$305,$I195))</f>
        <v/>
      </c>
      <c r="E195" s="6">
        <f>IF($I195="","",INDEX(O$6:O$305,$I195))</f>
        <v/>
      </c>
      <c r="F195" s="6">
        <f>IF($I195="","",INDEX(P$6:P$305,$I195))</f>
        <v/>
      </c>
      <c r="G195" s="6">
        <f>IF($I195="","",INDEX(Q$6:Q$305,$I195))</f>
        <v/>
      </c>
      <c r="H195" s="6">
        <f>IF($I195="","",INDEX(R$6:R$305,$I195))</f>
        <v/>
      </c>
      <c r="I195" s="21">
        <f>IFERROR(MATCH(190,$T$6:$T$305,0),"")</f>
        <v/>
      </c>
      <c r="K195" s="21">
        <f>IF('Debtor Summary'!A194="","",'Debtor Summary'!A194)</f>
        <v/>
      </c>
      <c r="L195" s="24">
        <f>IF($K195="","",IF($B$2="","",ROUND(SUMIFS('Opening Balance'!$F$4:$F$303,'Opening Balance'!$G$4:$G$303,$K195)+SUMIFS('Daily Sale entry '!$S$2:$S$1501,'Daily Sale entry '!$P$2:$P$1501,$K195,'Daily Sale entry '!$Q$2:$Q$1501,"Credit Sale 赊销",'Daily Sale entry '!$O$2:$O$1501,"&lt;"&amp;$B$2)-SUMIFS('Daily Sale entry '!$S$2:$S$1501,'Daily Sale entry '!$P$2:$P$1501,$K195,'Daily Sale entry '!$Q$2:$Q$1501,"Collection 收款",'Daily Sale entry '!$O$2:$O$1501,"&lt;"&amp;$B$2)-SUMIFS('Daily Sale entry '!$AC$2:$AC$1501,'Daily Sale entry '!$AA$2:$AA$1501,$K195,'Daily Sale entry '!$Z$2:$Z$1501,"Online collection 网上收款",'Daily Sale entry '!$X$2:$X$1501,"&lt;"&amp;$B$2)-SUMIFS('Debtor Ledger'!$K$2:$K$3001,'Debtor Ledger'!$C$2:$C$3001,$K195,'Debtor Ledger'!$B$2:$B$3001,"&lt;"&amp;$B$2),2)))</f>
        <v/>
      </c>
      <c r="M195" s="24">
        <f>IF($K195="","",IF($B$2="","",SUMIFS('Daily Sale entry '!$S$2:$S$1501,'Daily Sale entry '!$P$2:$P$1501,$K195,'Daily Sale entry '!$Q$2:$Q$1501,"Credit Sale 赊销",'Daily Sale entry '!$O$2:$O$1501,$B$2)))</f>
        <v/>
      </c>
      <c r="N195" s="24">
        <f>IF($K195="","",IF($B$2="","",SUMIFS('Daily Sale entry '!$S$2:$S$1501,'Daily Sale entry '!$P$2:$P$1501,$K195,'Daily Sale entry '!$Q$2:$Q$1501,"Collection 收款",'Daily Sale entry '!$R$2:$R$1501,"Cash 现金",'Daily Sale entry '!$O$2:$O$1501,$B$2)))</f>
        <v/>
      </c>
      <c r="O195" s="24">
        <f>IF($K195="","",IF($B$2="","",SUMIFS('Daily Sale entry '!$S$2:$S$1501,'Daily Sale entry '!$P$2:$P$1501,$K195,'Daily Sale entry '!$Q$2:$Q$1501,"Collection 收款",'Daily Sale entry '!$R$2:$R$1501,"Cheque 支票",'Daily Sale entry '!$O$2:$O$1501,$B$2)))</f>
        <v/>
      </c>
      <c r="P195" s="24">
        <f>IF($K195="","",IF($B$2="","",SUMIFS('Daily Sale entry '!$AC$2:$AC$1501,'Daily Sale entry '!$AA$2:$AA$1501,$K195,'Daily Sale entry '!$Z$2:$Z$1501,"Online collection 网上收款",'Daily Sale entry '!$X$2:$X$1501,$B$2)))</f>
        <v/>
      </c>
      <c r="Q195" s="24">
        <f>IF($K195="","",IF($B$2="","",SUMIFS('Debtor Ledger'!$K$2:$K$3001,'Debtor Ledger'!$C$2:$C$3001,$K195,'Debtor Ledger'!$B$2:$B$3001,$B$2)))</f>
        <v/>
      </c>
      <c r="R195" s="24">
        <f>IF($K195="","",IF($B$2="","",ROUND(L195+M195-N195-O195-P195-Q195,2)))</f>
        <v/>
      </c>
      <c r="S195" s="21">
        <f>IF(K195="","",IF($B$2="","",IF(ABS(M195)+ABS(N195)+ABS(O195)+ABS(P195)+ABS(Q195)&gt;0,1,0)))</f>
        <v/>
      </c>
      <c r="T195" s="21">
        <f>IF(S195=1,SUM($S$6:S195),"")</f>
        <v/>
      </c>
    </row>
    <row r="196">
      <c r="A196">
        <f>IF($I196="","",INDEX(K$6:K$305,$I196))</f>
        <v/>
      </c>
      <c r="B196" s="6">
        <f>IF($I196="","",INDEX(L$6:L$305,$I196))</f>
        <v/>
      </c>
      <c r="C196" s="6">
        <f>IF($I196="","",INDEX(M$6:M$305,$I196))</f>
        <v/>
      </c>
      <c r="D196" s="6">
        <f>IF($I196="","",INDEX(N$6:N$305,$I196))</f>
        <v/>
      </c>
      <c r="E196" s="6">
        <f>IF($I196="","",INDEX(O$6:O$305,$I196))</f>
        <v/>
      </c>
      <c r="F196" s="6">
        <f>IF($I196="","",INDEX(P$6:P$305,$I196))</f>
        <v/>
      </c>
      <c r="G196" s="6">
        <f>IF($I196="","",INDEX(Q$6:Q$305,$I196))</f>
        <v/>
      </c>
      <c r="H196" s="6">
        <f>IF($I196="","",INDEX(R$6:R$305,$I196))</f>
        <v/>
      </c>
      <c r="I196" s="21">
        <f>IFERROR(MATCH(191,$T$6:$T$305,0),"")</f>
        <v/>
      </c>
      <c r="K196" s="21">
        <f>IF('Debtor Summary'!A195="","",'Debtor Summary'!A195)</f>
        <v/>
      </c>
      <c r="L196" s="24">
        <f>IF($K196="","",IF($B$2="","",ROUND(SUMIFS('Opening Balance'!$F$4:$F$303,'Opening Balance'!$G$4:$G$303,$K196)+SUMIFS('Daily Sale entry '!$S$2:$S$1501,'Daily Sale entry '!$P$2:$P$1501,$K196,'Daily Sale entry '!$Q$2:$Q$1501,"Credit Sale 赊销",'Daily Sale entry '!$O$2:$O$1501,"&lt;"&amp;$B$2)-SUMIFS('Daily Sale entry '!$S$2:$S$1501,'Daily Sale entry '!$P$2:$P$1501,$K196,'Daily Sale entry '!$Q$2:$Q$1501,"Collection 收款",'Daily Sale entry '!$O$2:$O$1501,"&lt;"&amp;$B$2)-SUMIFS('Daily Sale entry '!$AC$2:$AC$1501,'Daily Sale entry '!$AA$2:$AA$1501,$K196,'Daily Sale entry '!$Z$2:$Z$1501,"Online collection 网上收款",'Daily Sale entry '!$X$2:$X$1501,"&lt;"&amp;$B$2)-SUMIFS('Debtor Ledger'!$K$2:$K$3001,'Debtor Ledger'!$C$2:$C$3001,$K196,'Debtor Ledger'!$B$2:$B$3001,"&lt;"&amp;$B$2),2)))</f>
        <v/>
      </c>
      <c r="M196" s="24">
        <f>IF($K196="","",IF($B$2="","",SUMIFS('Daily Sale entry '!$S$2:$S$1501,'Daily Sale entry '!$P$2:$P$1501,$K196,'Daily Sale entry '!$Q$2:$Q$1501,"Credit Sale 赊销",'Daily Sale entry '!$O$2:$O$1501,$B$2)))</f>
        <v/>
      </c>
      <c r="N196" s="24">
        <f>IF($K196="","",IF($B$2="","",SUMIFS('Daily Sale entry '!$S$2:$S$1501,'Daily Sale entry '!$P$2:$P$1501,$K196,'Daily Sale entry '!$Q$2:$Q$1501,"Collection 收款",'Daily Sale entry '!$R$2:$R$1501,"Cash 现金",'Daily Sale entry '!$O$2:$O$1501,$B$2)))</f>
        <v/>
      </c>
      <c r="O196" s="24">
        <f>IF($K196="","",IF($B$2="","",SUMIFS('Daily Sale entry '!$S$2:$S$1501,'Daily Sale entry '!$P$2:$P$1501,$K196,'Daily Sale entry '!$Q$2:$Q$1501,"Collection 收款",'Daily Sale entry '!$R$2:$R$1501,"Cheque 支票",'Daily Sale entry '!$O$2:$O$1501,$B$2)))</f>
        <v/>
      </c>
      <c r="P196" s="24">
        <f>IF($K196="","",IF($B$2="","",SUMIFS('Daily Sale entry '!$AC$2:$AC$1501,'Daily Sale entry '!$AA$2:$AA$1501,$K196,'Daily Sale entry '!$Z$2:$Z$1501,"Online collection 网上收款",'Daily Sale entry '!$X$2:$X$1501,$B$2)))</f>
        <v/>
      </c>
      <c r="Q196" s="24">
        <f>IF($K196="","",IF($B$2="","",SUMIFS('Debtor Ledger'!$K$2:$K$3001,'Debtor Ledger'!$C$2:$C$3001,$K196,'Debtor Ledger'!$B$2:$B$3001,$B$2)))</f>
        <v/>
      </c>
      <c r="R196" s="24">
        <f>IF($K196="","",IF($B$2="","",ROUND(L196+M196-N196-O196-P196-Q196,2)))</f>
        <v/>
      </c>
      <c r="S196" s="21">
        <f>IF(K196="","",IF($B$2="","",IF(ABS(M196)+ABS(N196)+ABS(O196)+ABS(P196)+ABS(Q196)&gt;0,1,0)))</f>
        <v/>
      </c>
      <c r="T196" s="21">
        <f>IF(S196=1,SUM($S$6:S196),"")</f>
        <v/>
      </c>
    </row>
    <row r="197">
      <c r="A197">
        <f>IF($I197="","",INDEX(K$6:K$305,$I197))</f>
        <v/>
      </c>
      <c r="B197" s="6">
        <f>IF($I197="","",INDEX(L$6:L$305,$I197))</f>
        <v/>
      </c>
      <c r="C197" s="6">
        <f>IF($I197="","",INDEX(M$6:M$305,$I197))</f>
        <v/>
      </c>
      <c r="D197" s="6">
        <f>IF($I197="","",INDEX(N$6:N$305,$I197))</f>
        <v/>
      </c>
      <c r="E197" s="6">
        <f>IF($I197="","",INDEX(O$6:O$305,$I197))</f>
        <v/>
      </c>
      <c r="F197" s="6">
        <f>IF($I197="","",INDEX(P$6:P$305,$I197))</f>
        <v/>
      </c>
      <c r="G197" s="6">
        <f>IF($I197="","",INDEX(Q$6:Q$305,$I197))</f>
        <v/>
      </c>
      <c r="H197" s="6">
        <f>IF($I197="","",INDEX(R$6:R$305,$I197))</f>
        <v/>
      </c>
      <c r="I197" s="21">
        <f>IFERROR(MATCH(192,$T$6:$T$305,0),"")</f>
        <v/>
      </c>
      <c r="K197" s="21">
        <f>IF('Debtor Summary'!A196="","",'Debtor Summary'!A196)</f>
        <v/>
      </c>
      <c r="L197" s="24">
        <f>IF($K197="","",IF($B$2="","",ROUND(SUMIFS('Opening Balance'!$F$4:$F$303,'Opening Balance'!$G$4:$G$303,$K197)+SUMIFS('Daily Sale entry '!$S$2:$S$1501,'Daily Sale entry '!$P$2:$P$1501,$K197,'Daily Sale entry '!$Q$2:$Q$1501,"Credit Sale 赊销",'Daily Sale entry '!$O$2:$O$1501,"&lt;"&amp;$B$2)-SUMIFS('Daily Sale entry '!$S$2:$S$1501,'Daily Sale entry '!$P$2:$P$1501,$K197,'Daily Sale entry '!$Q$2:$Q$1501,"Collection 收款",'Daily Sale entry '!$O$2:$O$1501,"&lt;"&amp;$B$2)-SUMIFS('Daily Sale entry '!$AC$2:$AC$1501,'Daily Sale entry '!$AA$2:$AA$1501,$K197,'Daily Sale entry '!$Z$2:$Z$1501,"Online collection 网上收款",'Daily Sale entry '!$X$2:$X$1501,"&lt;"&amp;$B$2)-SUMIFS('Debtor Ledger'!$K$2:$K$3001,'Debtor Ledger'!$C$2:$C$3001,$K197,'Debtor Ledger'!$B$2:$B$3001,"&lt;"&amp;$B$2),2)))</f>
        <v/>
      </c>
      <c r="M197" s="24">
        <f>IF($K197="","",IF($B$2="","",SUMIFS('Daily Sale entry '!$S$2:$S$1501,'Daily Sale entry '!$P$2:$P$1501,$K197,'Daily Sale entry '!$Q$2:$Q$1501,"Credit Sale 赊销",'Daily Sale entry '!$O$2:$O$1501,$B$2)))</f>
        <v/>
      </c>
      <c r="N197" s="24">
        <f>IF($K197="","",IF($B$2="","",SUMIFS('Daily Sale entry '!$S$2:$S$1501,'Daily Sale entry '!$P$2:$P$1501,$K197,'Daily Sale entry '!$Q$2:$Q$1501,"Collection 收款",'Daily Sale entry '!$R$2:$R$1501,"Cash 现金",'Daily Sale entry '!$O$2:$O$1501,$B$2)))</f>
        <v/>
      </c>
      <c r="O197" s="24">
        <f>IF($K197="","",IF($B$2="","",SUMIFS('Daily Sale entry '!$S$2:$S$1501,'Daily Sale entry '!$P$2:$P$1501,$K197,'Daily Sale entry '!$Q$2:$Q$1501,"Collection 收款",'Daily Sale entry '!$R$2:$R$1501,"Cheque 支票",'Daily Sale entry '!$O$2:$O$1501,$B$2)))</f>
        <v/>
      </c>
      <c r="P197" s="24">
        <f>IF($K197="","",IF($B$2="","",SUMIFS('Daily Sale entry '!$AC$2:$AC$1501,'Daily Sale entry '!$AA$2:$AA$1501,$K197,'Daily Sale entry '!$Z$2:$Z$1501,"Online collection 网上收款",'Daily Sale entry '!$X$2:$X$1501,$B$2)))</f>
        <v/>
      </c>
      <c r="Q197" s="24">
        <f>IF($K197="","",IF($B$2="","",SUMIFS('Debtor Ledger'!$K$2:$K$3001,'Debtor Ledger'!$C$2:$C$3001,$K197,'Debtor Ledger'!$B$2:$B$3001,$B$2)))</f>
        <v/>
      </c>
      <c r="R197" s="24">
        <f>IF($K197="","",IF($B$2="","",ROUND(L197+M197-N197-O197-P197-Q197,2)))</f>
        <v/>
      </c>
      <c r="S197" s="21">
        <f>IF(K197="","",IF($B$2="","",IF(ABS(M197)+ABS(N197)+ABS(O197)+ABS(P197)+ABS(Q197)&gt;0,1,0)))</f>
        <v/>
      </c>
      <c r="T197" s="21">
        <f>IF(S197=1,SUM($S$6:S197),"")</f>
        <v/>
      </c>
    </row>
    <row r="198">
      <c r="A198">
        <f>IF($I198="","",INDEX(K$6:K$305,$I198))</f>
        <v/>
      </c>
      <c r="B198" s="6">
        <f>IF($I198="","",INDEX(L$6:L$305,$I198))</f>
        <v/>
      </c>
      <c r="C198" s="6">
        <f>IF($I198="","",INDEX(M$6:M$305,$I198))</f>
        <v/>
      </c>
      <c r="D198" s="6">
        <f>IF($I198="","",INDEX(N$6:N$305,$I198))</f>
        <v/>
      </c>
      <c r="E198" s="6">
        <f>IF($I198="","",INDEX(O$6:O$305,$I198))</f>
        <v/>
      </c>
      <c r="F198" s="6">
        <f>IF($I198="","",INDEX(P$6:P$305,$I198))</f>
        <v/>
      </c>
      <c r="G198" s="6">
        <f>IF($I198="","",INDEX(Q$6:Q$305,$I198))</f>
        <v/>
      </c>
      <c r="H198" s="6">
        <f>IF($I198="","",INDEX(R$6:R$305,$I198))</f>
        <v/>
      </c>
      <c r="I198" s="21">
        <f>IFERROR(MATCH(193,$T$6:$T$305,0),"")</f>
        <v/>
      </c>
      <c r="K198" s="21">
        <f>IF('Debtor Summary'!A197="","",'Debtor Summary'!A197)</f>
        <v/>
      </c>
      <c r="L198" s="24">
        <f>IF($K198="","",IF($B$2="","",ROUND(SUMIFS('Opening Balance'!$F$4:$F$303,'Opening Balance'!$G$4:$G$303,$K198)+SUMIFS('Daily Sale entry '!$S$2:$S$1501,'Daily Sale entry '!$P$2:$P$1501,$K198,'Daily Sale entry '!$Q$2:$Q$1501,"Credit Sale 赊销",'Daily Sale entry '!$O$2:$O$1501,"&lt;"&amp;$B$2)-SUMIFS('Daily Sale entry '!$S$2:$S$1501,'Daily Sale entry '!$P$2:$P$1501,$K198,'Daily Sale entry '!$Q$2:$Q$1501,"Collection 收款",'Daily Sale entry '!$O$2:$O$1501,"&lt;"&amp;$B$2)-SUMIFS('Daily Sale entry '!$AC$2:$AC$1501,'Daily Sale entry '!$AA$2:$AA$1501,$K198,'Daily Sale entry '!$Z$2:$Z$1501,"Online collection 网上收款",'Daily Sale entry '!$X$2:$X$1501,"&lt;"&amp;$B$2)-SUMIFS('Debtor Ledger'!$K$2:$K$3001,'Debtor Ledger'!$C$2:$C$3001,$K198,'Debtor Ledger'!$B$2:$B$3001,"&lt;"&amp;$B$2),2)))</f>
        <v/>
      </c>
      <c r="M198" s="24">
        <f>IF($K198="","",IF($B$2="","",SUMIFS('Daily Sale entry '!$S$2:$S$1501,'Daily Sale entry '!$P$2:$P$1501,$K198,'Daily Sale entry '!$Q$2:$Q$1501,"Credit Sale 赊销",'Daily Sale entry '!$O$2:$O$1501,$B$2)))</f>
        <v/>
      </c>
      <c r="N198" s="24">
        <f>IF($K198="","",IF($B$2="","",SUMIFS('Daily Sale entry '!$S$2:$S$1501,'Daily Sale entry '!$P$2:$P$1501,$K198,'Daily Sale entry '!$Q$2:$Q$1501,"Collection 收款",'Daily Sale entry '!$R$2:$R$1501,"Cash 现金",'Daily Sale entry '!$O$2:$O$1501,$B$2)))</f>
        <v/>
      </c>
      <c r="O198" s="24">
        <f>IF($K198="","",IF($B$2="","",SUMIFS('Daily Sale entry '!$S$2:$S$1501,'Daily Sale entry '!$P$2:$P$1501,$K198,'Daily Sale entry '!$Q$2:$Q$1501,"Collection 收款",'Daily Sale entry '!$R$2:$R$1501,"Cheque 支票",'Daily Sale entry '!$O$2:$O$1501,$B$2)))</f>
        <v/>
      </c>
      <c r="P198" s="24">
        <f>IF($K198="","",IF($B$2="","",SUMIFS('Daily Sale entry '!$AC$2:$AC$1501,'Daily Sale entry '!$AA$2:$AA$1501,$K198,'Daily Sale entry '!$Z$2:$Z$1501,"Online collection 网上收款",'Daily Sale entry '!$X$2:$X$1501,$B$2)))</f>
        <v/>
      </c>
      <c r="Q198" s="24">
        <f>IF($K198="","",IF($B$2="","",SUMIFS('Debtor Ledger'!$K$2:$K$3001,'Debtor Ledger'!$C$2:$C$3001,$K198,'Debtor Ledger'!$B$2:$B$3001,$B$2)))</f>
        <v/>
      </c>
      <c r="R198" s="24">
        <f>IF($K198="","",IF($B$2="","",ROUND(L198+M198-N198-O198-P198-Q198,2)))</f>
        <v/>
      </c>
      <c r="S198" s="21">
        <f>IF(K198="","",IF($B$2="","",IF(ABS(M198)+ABS(N198)+ABS(O198)+ABS(P198)+ABS(Q198)&gt;0,1,0)))</f>
        <v/>
      </c>
      <c r="T198" s="21">
        <f>IF(S198=1,SUM($S$6:S198),"")</f>
        <v/>
      </c>
    </row>
    <row r="199">
      <c r="A199">
        <f>IF($I199="","",INDEX(K$6:K$305,$I199))</f>
        <v/>
      </c>
      <c r="B199" s="6">
        <f>IF($I199="","",INDEX(L$6:L$305,$I199))</f>
        <v/>
      </c>
      <c r="C199" s="6">
        <f>IF($I199="","",INDEX(M$6:M$305,$I199))</f>
        <v/>
      </c>
      <c r="D199" s="6">
        <f>IF($I199="","",INDEX(N$6:N$305,$I199))</f>
        <v/>
      </c>
      <c r="E199" s="6">
        <f>IF($I199="","",INDEX(O$6:O$305,$I199))</f>
        <v/>
      </c>
      <c r="F199" s="6">
        <f>IF($I199="","",INDEX(P$6:P$305,$I199))</f>
        <v/>
      </c>
      <c r="G199" s="6">
        <f>IF($I199="","",INDEX(Q$6:Q$305,$I199))</f>
        <v/>
      </c>
      <c r="H199" s="6">
        <f>IF($I199="","",INDEX(R$6:R$305,$I199))</f>
        <v/>
      </c>
      <c r="I199" s="21">
        <f>IFERROR(MATCH(194,$T$6:$T$305,0),"")</f>
        <v/>
      </c>
      <c r="K199" s="21">
        <f>IF('Debtor Summary'!A198="","",'Debtor Summary'!A198)</f>
        <v/>
      </c>
      <c r="L199" s="24">
        <f>IF($K199="","",IF($B$2="","",ROUND(SUMIFS('Opening Balance'!$F$4:$F$303,'Opening Balance'!$G$4:$G$303,$K199)+SUMIFS('Daily Sale entry '!$S$2:$S$1501,'Daily Sale entry '!$P$2:$P$1501,$K199,'Daily Sale entry '!$Q$2:$Q$1501,"Credit Sale 赊销",'Daily Sale entry '!$O$2:$O$1501,"&lt;"&amp;$B$2)-SUMIFS('Daily Sale entry '!$S$2:$S$1501,'Daily Sale entry '!$P$2:$P$1501,$K199,'Daily Sale entry '!$Q$2:$Q$1501,"Collection 收款",'Daily Sale entry '!$O$2:$O$1501,"&lt;"&amp;$B$2)-SUMIFS('Daily Sale entry '!$AC$2:$AC$1501,'Daily Sale entry '!$AA$2:$AA$1501,$K199,'Daily Sale entry '!$Z$2:$Z$1501,"Online collection 网上收款",'Daily Sale entry '!$X$2:$X$1501,"&lt;"&amp;$B$2)-SUMIFS('Debtor Ledger'!$K$2:$K$3001,'Debtor Ledger'!$C$2:$C$3001,$K199,'Debtor Ledger'!$B$2:$B$3001,"&lt;"&amp;$B$2),2)))</f>
        <v/>
      </c>
      <c r="M199" s="24">
        <f>IF($K199="","",IF($B$2="","",SUMIFS('Daily Sale entry '!$S$2:$S$1501,'Daily Sale entry '!$P$2:$P$1501,$K199,'Daily Sale entry '!$Q$2:$Q$1501,"Credit Sale 赊销",'Daily Sale entry '!$O$2:$O$1501,$B$2)))</f>
        <v/>
      </c>
      <c r="N199" s="24">
        <f>IF($K199="","",IF($B$2="","",SUMIFS('Daily Sale entry '!$S$2:$S$1501,'Daily Sale entry '!$P$2:$P$1501,$K199,'Daily Sale entry '!$Q$2:$Q$1501,"Collection 收款",'Daily Sale entry '!$R$2:$R$1501,"Cash 现金",'Daily Sale entry '!$O$2:$O$1501,$B$2)))</f>
        <v/>
      </c>
      <c r="O199" s="24">
        <f>IF($K199="","",IF($B$2="","",SUMIFS('Daily Sale entry '!$S$2:$S$1501,'Daily Sale entry '!$P$2:$P$1501,$K199,'Daily Sale entry '!$Q$2:$Q$1501,"Collection 收款",'Daily Sale entry '!$R$2:$R$1501,"Cheque 支票",'Daily Sale entry '!$O$2:$O$1501,$B$2)))</f>
        <v/>
      </c>
      <c r="P199" s="24">
        <f>IF($K199="","",IF($B$2="","",SUMIFS('Daily Sale entry '!$AC$2:$AC$1501,'Daily Sale entry '!$AA$2:$AA$1501,$K199,'Daily Sale entry '!$Z$2:$Z$1501,"Online collection 网上收款",'Daily Sale entry '!$X$2:$X$1501,$B$2)))</f>
        <v/>
      </c>
      <c r="Q199" s="24">
        <f>IF($K199="","",IF($B$2="","",SUMIFS('Debtor Ledger'!$K$2:$K$3001,'Debtor Ledger'!$C$2:$C$3001,$K199,'Debtor Ledger'!$B$2:$B$3001,$B$2)))</f>
        <v/>
      </c>
      <c r="R199" s="24">
        <f>IF($K199="","",IF($B$2="","",ROUND(L199+M199-N199-O199-P199-Q199,2)))</f>
        <v/>
      </c>
      <c r="S199" s="21">
        <f>IF(K199="","",IF($B$2="","",IF(ABS(M199)+ABS(N199)+ABS(O199)+ABS(P199)+ABS(Q199)&gt;0,1,0)))</f>
        <v/>
      </c>
      <c r="T199" s="21">
        <f>IF(S199=1,SUM($S$6:S199),"")</f>
        <v/>
      </c>
    </row>
    <row r="200">
      <c r="A200">
        <f>IF($I200="","",INDEX(K$6:K$305,$I200))</f>
        <v/>
      </c>
      <c r="B200" s="6">
        <f>IF($I200="","",INDEX(L$6:L$305,$I200))</f>
        <v/>
      </c>
      <c r="C200" s="6">
        <f>IF($I200="","",INDEX(M$6:M$305,$I200))</f>
        <v/>
      </c>
      <c r="D200" s="6">
        <f>IF($I200="","",INDEX(N$6:N$305,$I200))</f>
        <v/>
      </c>
      <c r="E200" s="6">
        <f>IF($I200="","",INDEX(O$6:O$305,$I200))</f>
        <v/>
      </c>
      <c r="F200" s="6">
        <f>IF($I200="","",INDEX(P$6:P$305,$I200))</f>
        <v/>
      </c>
      <c r="G200" s="6">
        <f>IF($I200="","",INDEX(Q$6:Q$305,$I200))</f>
        <v/>
      </c>
      <c r="H200" s="6">
        <f>IF($I200="","",INDEX(R$6:R$305,$I200))</f>
        <v/>
      </c>
      <c r="I200" s="21">
        <f>IFERROR(MATCH(195,$T$6:$T$305,0),"")</f>
        <v/>
      </c>
      <c r="K200" s="21">
        <f>IF('Debtor Summary'!A199="","",'Debtor Summary'!A199)</f>
        <v/>
      </c>
      <c r="L200" s="24">
        <f>IF($K200="","",IF($B$2="","",ROUND(SUMIFS('Opening Balance'!$F$4:$F$303,'Opening Balance'!$G$4:$G$303,$K200)+SUMIFS('Daily Sale entry '!$S$2:$S$1501,'Daily Sale entry '!$P$2:$P$1501,$K200,'Daily Sale entry '!$Q$2:$Q$1501,"Credit Sale 赊销",'Daily Sale entry '!$O$2:$O$1501,"&lt;"&amp;$B$2)-SUMIFS('Daily Sale entry '!$S$2:$S$1501,'Daily Sale entry '!$P$2:$P$1501,$K200,'Daily Sale entry '!$Q$2:$Q$1501,"Collection 收款",'Daily Sale entry '!$O$2:$O$1501,"&lt;"&amp;$B$2)-SUMIFS('Daily Sale entry '!$AC$2:$AC$1501,'Daily Sale entry '!$AA$2:$AA$1501,$K200,'Daily Sale entry '!$Z$2:$Z$1501,"Online collection 网上收款",'Daily Sale entry '!$X$2:$X$1501,"&lt;"&amp;$B$2)-SUMIFS('Debtor Ledger'!$K$2:$K$3001,'Debtor Ledger'!$C$2:$C$3001,$K200,'Debtor Ledger'!$B$2:$B$3001,"&lt;"&amp;$B$2),2)))</f>
        <v/>
      </c>
      <c r="M200" s="24">
        <f>IF($K200="","",IF($B$2="","",SUMIFS('Daily Sale entry '!$S$2:$S$1501,'Daily Sale entry '!$P$2:$P$1501,$K200,'Daily Sale entry '!$Q$2:$Q$1501,"Credit Sale 赊销",'Daily Sale entry '!$O$2:$O$1501,$B$2)))</f>
        <v/>
      </c>
      <c r="N200" s="24">
        <f>IF($K200="","",IF($B$2="","",SUMIFS('Daily Sale entry '!$S$2:$S$1501,'Daily Sale entry '!$P$2:$P$1501,$K200,'Daily Sale entry '!$Q$2:$Q$1501,"Collection 收款",'Daily Sale entry '!$R$2:$R$1501,"Cash 现金",'Daily Sale entry '!$O$2:$O$1501,$B$2)))</f>
        <v/>
      </c>
      <c r="O200" s="24">
        <f>IF($K200="","",IF($B$2="","",SUMIFS('Daily Sale entry '!$S$2:$S$1501,'Daily Sale entry '!$P$2:$P$1501,$K200,'Daily Sale entry '!$Q$2:$Q$1501,"Collection 收款",'Daily Sale entry '!$R$2:$R$1501,"Cheque 支票",'Daily Sale entry '!$O$2:$O$1501,$B$2)))</f>
        <v/>
      </c>
      <c r="P200" s="24">
        <f>IF($K200="","",IF($B$2="","",SUMIFS('Daily Sale entry '!$AC$2:$AC$1501,'Daily Sale entry '!$AA$2:$AA$1501,$K200,'Daily Sale entry '!$Z$2:$Z$1501,"Online collection 网上收款",'Daily Sale entry '!$X$2:$X$1501,$B$2)))</f>
        <v/>
      </c>
      <c r="Q200" s="24">
        <f>IF($K200="","",IF($B$2="","",SUMIFS('Debtor Ledger'!$K$2:$K$3001,'Debtor Ledger'!$C$2:$C$3001,$K200,'Debtor Ledger'!$B$2:$B$3001,$B$2)))</f>
        <v/>
      </c>
      <c r="R200" s="24">
        <f>IF($K200="","",IF($B$2="","",ROUND(L200+M200-N200-O200-P200-Q200,2)))</f>
        <v/>
      </c>
      <c r="S200" s="21">
        <f>IF(K200="","",IF($B$2="","",IF(ABS(M200)+ABS(N200)+ABS(O200)+ABS(P200)+ABS(Q200)&gt;0,1,0)))</f>
        <v/>
      </c>
      <c r="T200" s="21">
        <f>IF(S200=1,SUM($S$6:S200),"")</f>
        <v/>
      </c>
    </row>
    <row r="201">
      <c r="A201">
        <f>IF($I201="","",INDEX(K$6:K$305,$I201))</f>
        <v/>
      </c>
      <c r="B201" s="6">
        <f>IF($I201="","",INDEX(L$6:L$305,$I201))</f>
        <v/>
      </c>
      <c r="C201" s="6">
        <f>IF($I201="","",INDEX(M$6:M$305,$I201))</f>
        <v/>
      </c>
      <c r="D201" s="6">
        <f>IF($I201="","",INDEX(N$6:N$305,$I201))</f>
        <v/>
      </c>
      <c r="E201" s="6">
        <f>IF($I201="","",INDEX(O$6:O$305,$I201))</f>
        <v/>
      </c>
      <c r="F201" s="6">
        <f>IF($I201="","",INDEX(P$6:P$305,$I201))</f>
        <v/>
      </c>
      <c r="G201" s="6">
        <f>IF($I201="","",INDEX(Q$6:Q$305,$I201))</f>
        <v/>
      </c>
      <c r="H201" s="6">
        <f>IF($I201="","",INDEX(R$6:R$305,$I201))</f>
        <v/>
      </c>
      <c r="I201" s="21">
        <f>IFERROR(MATCH(196,$T$6:$T$305,0),"")</f>
        <v/>
      </c>
      <c r="K201" s="21">
        <f>IF('Debtor Summary'!A200="","",'Debtor Summary'!A200)</f>
        <v/>
      </c>
      <c r="L201" s="24">
        <f>IF($K201="","",IF($B$2="","",ROUND(SUMIFS('Opening Balance'!$F$4:$F$303,'Opening Balance'!$G$4:$G$303,$K201)+SUMIFS('Daily Sale entry '!$S$2:$S$1501,'Daily Sale entry '!$P$2:$P$1501,$K201,'Daily Sale entry '!$Q$2:$Q$1501,"Credit Sale 赊销",'Daily Sale entry '!$O$2:$O$1501,"&lt;"&amp;$B$2)-SUMIFS('Daily Sale entry '!$S$2:$S$1501,'Daily Sale entry '!$P$2:$P$1501,$K201,'Daily Sale entry '!$Q$2:$Q$1501,"Collection 收款",'Daily Sale entry '!$O$2:$O$1501,"&lt;"&amp;$B$2)-SUMIFS('Daily Sale entry '!$AC$2:$AC$1501,'Daily Sale entry '!$AA$2:$AA$1501,$K201,'Daily Sale entry '!$Z$2:$Z$1501,"Online collection 网上收款",'Daily Sale entry '!$X$2:$X$1501,"&lt;"&amp;$B$2)-SUMIFS('Debtor Ledger'!$K$2:$K$3001,'Debtor Ledger'!$C$2:$C$3001,$K201,'Debtor Ledger'!$B$2:$B$3001,"&lt;"&amp;$B$2),2)))</f>
        <v/>
      </c>
      <c r="M201" s="24">
        <f>IF($K201="","",IF($B$2="","",SUMIFS('Daily Sale entry '!$S$2:$S$1501,'Daily Sale entry '!$P$2:$P$1501,$K201,'Daily Sale entry '!$Q$2:$Q$1501,"Credit Sale 赊销",'Daily Sale entry '!$O$2:$O$1501,$B$2)))</f>
        <v/>
      </c>
      <c r="N201" s="24">
        <f>IF($K201="","",IF($B$2="","",SUMIFS('Daily Sale entry '!$S$2:$S$1501,'Daily Sale entry '!$P$2:$P$1501,$K201,'Daily Sale entry '!$Q$2:$Q$1501,"Collection 收款",'Daily Sale entry '!$R$2:$R$1501,"Cash 现金",'Daily Sale entry '!$O$2:$O$1501,$B$2)))</f>
        <v/>
      </c>
      <c r="O201" s="24">
        <f>IF($K201="","",IF($B$2="","",SUMIFS('Daily Sale entry '!$S$2:$S$1501,'Daily Sale entry '!$P$2:$P$1501,$K201,'Daily Sale entry '!$Q$2:$Q$1501,"Collection 收款",'Daily Sale entry '!$R$2:$R$1501,"Cheque 支票",'Daily Sale entry '!$O$2:$O$1501,$B$2)))</f>
        <v/>
      </c>
      <c r="P201" s="24">
        <f>IF($K201="","",IF($B$2="","",SUMIFS('Daily Sale entry '!$AC$2:$AC$1501,'Daily Sale entry '!$AA$2:$AA$1501,$K201,'Daily Sale entry '!$Z$2:$Z$1501,"Online collection 网上收款",'Daily Sale entry '!$X$2:$X$1501,$B$2)))</f>
        <v/>
      </c>
      <c r="Q201" s="24">
        <f>IF($K201="","",IF($B$2="","",SUMIFS('Debtor Ledger'!$K$2:$K$3001,'Debtor Ledger'!$C$2:$C$3001,$K201,'Debtor Ledger'!$B$2:$B$3001,$B$2)))</f>
        <v/>
      </c>
      <c r="R201" s="24">
        <f>IF($K201="","",IF($B$2="","",ROUND(L201+M201-N201-O201-P201-Q201,2)))</f>
        <v/>
      </c>
      <c r="S201" s="21">
        <f>IF(K201="","",IF($B$2="","",IF(ABS(M201)+ABS(N201)+ABS(O201)+ABS(P201)+ABS(Q201)&gt;0,1,0)))</f>
        <v/>
      </c>
      <c r="T201" s="21">
        <f>IF(S201=1,SUM($S$6:S201),"")</f>
        <v/>
      </c>
    </row>
    <row r="202">
      <c r="A202">
        <f>IF($I202="","",INDEX(K$6:K$305,$I202))</f>
        <v/>
      </c>
      <c r="B202" s="6">
        <f>IF($I202="","",INDEX(L$6:L$305,$I202))</f>
        <v/>
      </c>
      <c r="C202" s="6">
        <f>IF($I202="","",INDEX(M$6:M$305,$I202))</f>
        <v/>
      </c>
      <c r="D202" s="6">
        <f>IF($I202="","",INDEX(N$6:N$305,$I202))</f>
        <v/>
      </c>
      <c r="E202" s="6">
        <f>IF($I202="","",INDEX(O$6:O$305,$I202))</f>
        <v/>
      </c>
      <c r="F202" s="6">
        <f>IF($I202="","",INDEX(P$6:P$305,$I202))</f>
        <v/>
      </c>
      <c r="G202" s="6">
        <f>IF($I202="","",INDEX(Q$6:Q$305,$I202))</f>
        <v/>
      </c>
      <c r="H202" s="6">
        <f>IF($I202="","",INDEX(R$6:R$305,$I202))</f>
        <v/>
      </c>
      <c r="I202" s="21">
        <f>IFERROR(MATCH(197,$T$6:$T$305,0),"")</f>
        <v/>
      </c>
      <c r="K202" s="21">
        <f>IF('Debtor Summary'!A201="","",'Debtor Summary'!A201)</f>
        <v/>
      </c>
      <c r="L202" s="24">
        <f>IF($K202="","",IF($B$2="","",ROUND(SUMIFS('Opening Balance'!$F$4:$F$303,'Opening Balance'!$G$4:$G$303,$K202)+SUMIFS('Daily Sale entry '!$S$2:$S$1501,'Daily Sale entry '!$P$2:$P$1501,$K202,'Daily Sale entry '!$Q$2:$Q$1501,"Credit Sale 赊销",'Daily Sale entry '!$O$2:$O$1501,"&lt;"&amp;$B$2)-SUMIFS('Daily Sale entry '!$S$2:$S$1501,'Daily Sale entry '!$P$2:$P$1501,$K202,'Daily Sale entry '!$Q$2:$Q$1501,"Collection 收款",'Daily Sale entry '!$O$2:$O$1501,"&lt;"&amp;$B$2)-SUMIFS('Daily Sale entry '!$AC$2:$AC$1501,'Daily Sale entry '!$AA$2:$AA$1501,$K202,'Daily Sale entry '!$Z$2:$Z$1501,"Online collection 网上收款",'Daily Sale entry '!$X$2:$X$1501,"&lt;"&amp;$B$2)-SUMIFS('Debtor Ledger'!$K$2:$K$3001,'Debtor Ledger'!$C$2:$C$3001,$K202,'Debtor Ledger'!$B$2:$B$3001,"&lt;"&amp;$B$2),2)))</f>
        <v/>
      </c>
      <c r="M202" s="24">
        <f>IF($K202="","",IF($B$2="","",SUMIFS('Daily Sale entry '!$S$2:$S$1501,'Daily Sale entry '!$P$2:$P$1501,$K202,'Daily Sale entry '!$Q$2:$Q$1501,"Credit Sale 赊销",'Daily Sale entry '!$O$2:$O$1501,$B$2)))</f>
        <v/>
      </c>
      <c r="N202" s="24">
        <f>IF($K202="","",IF($B$2="","",SUMIFS('Daily Sale entry '!$S$2:$S$1501,'Daily Sale entry '!$P$2:$P$1501,$K202,'Daily Sale entry '!$Q$2:$Q$1501,"Collection 收款",'Daily Sale entry '!$R$2:$R$1501,"Cash 现金",'Daily Sale entry '!$O$2:$O$1501,$B$2)))</f>
        <v/>
      </c>
      <c r="O202" s="24">
        <f>IF($K202="","",IF($B$2="","",SUMIFS('Daily Sale entry '!$S$2:$S$1501,'Daily Sale entry '!$P$2:$P$1501,$K202,'Daily Sale entry '!$Q$2:$Q$1501,"Collection 收款",'Daily Sale entry '!$R$2:$R$1501,"Cheque 支票",'Daily Sale entry '!$O$2:$O$1501,$B$2)))</f>
        <v/>
      </c>
      <c r="P202" s="24">
        <f>IF($K202="","",IF($B$2="","",SUMIFS('Daily Sale entry '!$AC$2:$AC$1501,'Daily Sale entry '!$AA$2:$AA$1501,$K202,'Daily Sale entry '!$Z$2:$Z$1501,"Online collection 网上收款",'Daily Sale entry '!$X$2:$X$1501,$B$2)))</f>
        <v/>
      </c>
      <c r="Q202" s="24">
        <f>IF($K202="","",IF($B$2="","",SUMIFS('Debtor Ledger'!$K$2:$K$3001,'Debtor Ledger'!$C$2:$C$3001,$K202,'Debtor Ledger'!$B$2:$B$3001,$B$2)))</f>
        <v/>
      </c>
      <c r="R202" s="24">
        <f>IF($K202="","",IF($B$2="","",ROUND(L202+M202-N202-O202-P202-Q202,2)))</f>
        <v/>
      </c>
      <c r="S202" s="21">
        <f>IF(K202="","",IF($B$2="","",IF(ABS(M202)+ABS(N202)+ABS(O202)+ABS(P202)+ABS(Q202)&gt;0,1,0)))</f>
        <v/>
      </c>
      <c r="T202" s="21">
        <f>IF(S202=1,SUM($S$6:S202),"")</f>
        <v/>
      </c>
    </row>
    <row r="203">
      <c r="A203">
        <f>IF($I203="","",INDEX(K$6:K$305,$I203))</f>
        <v/>
      </c>
      <c r="B203" s="6">
        <f>IF($I203="","",INDEX(L$6:L$305,$I203))</f>
        <v/>
      </c>
      <c r="C203" s="6">
        <f>IF($I203="","",INDEX(M$6:M$305,$I203))</f>
        <v/>
      </c>
      <c r="D203" s="6">
        <f>IF($I203="","",INDEX(N$6:N$305,$I203))</f>
        <v/>
      </c>
      <c r="E203" s="6">
        <f>IF($I203="","",INDEX(O$6:O$305,$I203))</f>
        <v/>
      </c>
      <c r="F203" s="6">
        <f>IF($I203="","",INDEX(P$6:P$305,$I203))</f>
        <v/>
      </c>
      <c r="G203" s="6">
        <f>IF($I203="","",INDEX(Q$6:Q$305,$I203))</f>
        <v/>
      </c>
      <c r="H203" s="6">
        <f>IF($I203="","",INDEX(R$6:R$305,$I203))</f>
        <v/>
      </c>
      <c r="I203" s="21">
        <f>IFERROR(MATCH(198,$T$6:$T$305,0),"")</f>
        <v/>
      </c>
      <c r="K203" s="21">
        <f>IF('Debtor Summary'!A202="","",'Debtor Summary'!A202)</f>
        <v/>
      </c>
      <c r="L203" s="24">
        <f>IF($K203="","",IF($B$2="","",ROUND(SUMIFS('Opening Balance'!$F$4:$F$303,'Opening Balance'!$G$4:$G$303,$K203)+SUMIFS('Daily Sale entry '!$S$2:$S$1501,'Daily Sale entry '!$P$2:$P$1501,$K203,'Daily Sale entry '!$Q$2:$Q$1501,"Credit Sale 赊销",'Daily Sale entry '!$O$2:$O$1501,"&lt;"&amp;$B$2)-SUMIFS('Daily Sale entry '!$S$2:$S$1501,'Daily Sale entry '!$P$2:$P$1501,$K203,'Daily Sale entry '!$Q$2:$Q$1501,"Collection 收款",'Daily Sale entry '!$O$2:$O$1501,"&lt;"&amp;$B$2)-SUMIFS('Daily Sale entry '!$AC$2:$AC$1501,'Daily Sale entry '!$AA$2:$AA$1501,$K203,'Daily Sale entry '!$Z$2:$Z$1501,"Online collection 网上收款",'Daily Sale entry '!$X$2:$X$1501,"&lt;"&amp;$B$2)-SUMIFS('Debtor Ledger'!$K$2:$K$3001,'Debtor Ledger'!$C$2:$C$3001,$K203,'Debtor Ledger'!$B$2:$B$3001,"&lt;"&amp;$B$2),2)))</f>
        <v/>
      </c>
      <c r="M203" s="24">
        <f>IF($K203="","",IF($B$2="","",SUMIFS('Daily Sale entry '!$S$2:$S$1501,'Daily Sale entry '!$P$2:$P$1501,$K203,'Daily Sale entry '!$Q$2:$Q$1501,"Credit Sale 赊销",'Daily Sale entry '!$O$2:$O$1501,$B$2)))</f>
        <v/>
      </c>
      <c r="N203" s="24">
        <f>IF($K203="","",IF($B$2="","",SUMIFS('Daily Sale entry '!$S$2:$S$1501,'Daily Sale entry '!$P$2:$P$1501,$K203,'Daily Sale entry '!$Q$2:$Q$1501,"Collection 收款",'Daily Sale entry '!$R$2:$R$1501,"Cash 现金",'Daily Sale entry '!$O$2:$O$1501,$B$2)))</f>
        <v/>
      </c>
      <c r="O203" s="24">
        <f>IF($K203="","",IF($B$2="","",SUMIFS('Daily Sale entry '!$S$2:$S$1501,'Daily Sale entry '!$P$2:$P$1501,$K203,'Daily Sale entry '!$Q$2:$Q$1501,"Collection 收款",'Daily Sale entry '!$R$2:$R$1501,"Cheque 支票",'Daily Sale entry '!$O$2:$O$1501,$B$2)))</f>
        <v/>
      </c>
      <c r="P203" s="24">
        <f>IF($K203="","",IF($B$2="","",SUMIFS('Daily Sale entry '!$AC$2:$AC$1501,'Daily Sale entry '!$AA$2:$AA$1501,$K203,'Daily Sale entry '!$Z$2:$Z$1501,"Online collection 网上收款",'Daily Sale entry '!$X$2:$X$1501,$B$2)))</f>
        <v/>
      </c>
      <c r="Q203" s="24">
        <f>IF($K203="","",IF($B$2="","",SUMIFS('Debtor Ledger'!$K$2:$K$3001,'Debtor Ledger'!$C$2:$C$3001,$K203,'Debtor Ledger'!$B$2:$B$3001,$B$2)))</f>
        <v/>
      </c>
      <c r="R203" s="24">
        <f>IF($K203="","",IF($B$2="","",ROUND(L203+M203-N203-O203-P203-Q203,2)))</f>
        <v/>
      </c>
      <c r="S203" s="21">
        <f>IF(K203="","",IF($B$2="","",IF(ABS(M203)+ABS(N203)+ABS(O203)+ABS(P203)+ABS(Q203)&gt;0,1,0)))</f>
        <v/>
      </c>
      <c r="T203" s="21">
        <f>IF(S203=1,SUM($S$6:S203),"")</f>
        <v/>
      </c>
    </row>
    <row r="204">
      <c r="A204">
        <f>IF($I204="","",INDEX(K$6:K$305,$I204))</f>
        <v/>
      </c>
      <c r="B204" s="6">
        <f>IF($I204="","",INDEX(L$6:L$305,$I204))</f>
        <v/>
      </c>
      <c r="C204" s="6">
        <f>IF($I204="","",INDEX(M$6:M$305,$I204))</f>
        <v/>
      </c>
      <c r="D204" s="6">
        <f>IF($I204="","",INDEX(N$6:N$305,$I204))</f>
        <v/>
      </c>
      <c r="E204" s="6">
        <f>IF($I204="","",INDEX(O$6:O$305,$I204))</f>
        <v/>
      </c>
      <c r="F204" s="6">
        <f>IF($I204="","",INDEX(P$6:P$305,$I204))</f>
        <v/>
      </c>
      <c r="G204" s="6">
        <f>IF($I204="","",INDEX(Q$6:Q$305,$I204))</f>
        <v/>
      </c>
      <c r="H204" s="6">
        <f>IF($I204="","",INDEX(R$6:R$305,$I204))</f>
        <v/>
      </c>
      <c r="I204" s="21">
        <f>IFERROR(MATCH(199,$T$6:$T$305,0),"")</f>
        <v/>
      </c>
      <c r="K204" s="21">
        <f>IF('Debtor Summary'!A203="","",'Debtor Summary'!A203)</f>
        <v/>
      </c>
      <c r="L204" s="24">
        <f>IF($K204="","",IF($B$2="","",ROUND(SUMIFS('Opening Balance'!$F$4:$F$303,'Opening Balance'!$G$4:$G$303,$K204)+SUMIFS('Daily Sale entry '!$S$2:$S$1501,'Daily Sale entry '!$P$2:$P$1501,$K204,'Daily Sale entry '!$Q$2:$Q$1501,"Credit Sale 赊销",'Daily Sale entry '!$O$2:$O$1501,"&lt;"&amp;$B$2)-SUMIFS('Daily Sale entry '!$S$2:$S$1501,'Daily Sale entry '!$P$2:$P$1501,$K204,'Daily Sale entry '!$Q$2:$Q$1501,"Collection 收款",'Daily Sale entry '!$O$2:$O$1501,"&lt;"&amp;$B$2)-SUMIFS('Daily Sale entry '!$AC$2:$AC$1501,'Daily Sale entry '!$AA$2:$AA$1501,$K204,'Daily Sale entry '!$Z$2:$Z$1501,"Online collection 网上收款",'Daily Sale entry '!$X$2:$X$1501,"&lt;"&amp;$B$2)-SUMIFS('Debtor Ledger'!$K$2:$K$3001,'Debtor Ledger'!$C$2:$C$3001,$K204,'Debtor Ledger'!$B$2:$B$3001,"&lt;"&amp;$B$2),2)))</f>
        <v/>
      </c>
      <c r="M204" s="24">
        <f>IF($K204="","",IF($B$2="","",SUMIFS('Daily Sale entry '!$S$2:$S$1501,'Daily Sale entry '!$P$2:$P$1501,$K204,'Daily Sale entry '!$Q$2:$Q$1501,"Credit Sale 赊销",'Daily Sale entry '!$O$2:$O$1501,$B$2)))</f>
        <v/>
      </c>
      <c r="N204" s="24">
        <f>IF($K204="","",IF($B$2="","",SUMIFS('Daily Sale entry '!$S$2:$S$1501,'Daily Sale entry '!$P$2:$P$1501,$K204,'Daily Sale entry '!$Q$2:$Q$1501,"Collection 收款",'Daily Sale entry '!$R$2:$R$1501,"Cash 现金",'Daily Sale entry '!$O$2:$O$1501,$B$2)))</f>
        <v/>
      </c>
      <c r="O204" s="24">
        <f>IF($K204="","",IF($B$2="","",SUMIFS('Daily Sale entry '!$S$2:$S$1501,'Daily Sale entry '!$P$2:$P$1501,$K204,'Daily Sale entry '!$Q$2:$Q$1501,"Collection 收款",'Daily Sale entry '!$R$2:$R$1501,"Cheque 支票",'Daily Sale entry '!$O$2:$O$1501,$B$2)))</f>
        <v/>
      </c>
      <c r="P204" s="24">
        <f>IF($K204="","",IF($B$2="","",SUMIFS('Daily Sale entry '!$AC$2:$AC$1501,'Daily Sale entry '!$AA$2:$AA$1501,$K204,'Daily Sale entry '!$Z$2:$Z$1501,"Online collection 网上收款",'Daily Sale entry '!$X$2:$X$1501,$B$2)))</f>
        <v/>
      </c>
      <c r="Q204" s="24">
        <f>IF($K204="","",IF($B$2="","",SUMIFS('Debtor Ledger'!$K$2:$K$3001,'Debtor Ledger'!$C$2:$C$3001,$K204,'Debtor Ledger'!$B$2:$B$3001,$B$2)))</f>
        <v/>
      </c>
      <c r="R204" s="24">
        <f>IF($K204="","",IF($B$2="","",ROUND(L204+M204-N204-O204-P204-Q204,2)))</f>
        <v/>
      </c>
      <c r="S204" s="21">
        <f>IF(K204="","",IF($B$2="","",IF(ABS(M204)+ABS(N204)+ABS(O204)+ABS(P204)+ABS(Q204)&gt;0,1,0)))</f>
        <v/>
      </c>
      <c r="T204" s="21">
        <f>IF(S204=1,SUM($S$6:S204),"")</f>
        <v/>
      </c>
    </row>
    <row r="205">
      <c r="A205">
        <f>IF($I205="","",INDEX(K$6:K$305,$I205))</f>
        <v/>
      </c>
      <c r="B205" s="6">
        <f>IF($I205="","",INDEX(L$6:L$305,$I205))</f>
        <v/>
      </c>
      <c r="C205" s="6">
        <f>IF($I205="","",INDEX(M$6:M$305,$I205))</f>
        <v/>
      </c>
      <c r="D205" s="6">
        <f>IF($I205="","",INDEX(N$6:N$305,$I205))</f>
        <v/>
      </c>
      <c r="E205" s="6">
        <f>IF($I205="","",INDEX(O$6:O$305,$I205))</f>
        <v/>
      </c>
      <c r="F205" s="6">
        <f>IF($I205="","",INDEX(P$6:P$305,$I205))</f>
        <v/>
      </c>
      <c r="G205" s="6">
        <f>IF($I205="","",INDEX(Q$6:Q$305,$I205))</f>
        <v/>
      </c>
      <c r="H205" s="6">
        <f>IF($I205="","",INDEX(R$6:R$305,$I205))</f>
        <v/>
      </c>
      <c r="I205" s="21">
        <f>IFERROR(MATCH(200,$T$6:$T$305,0),"")</f>
        <v/>
      </c>
      <c r="K205" s="21">
        <f>IF('Debtor Summary'!A204="","",'Debtor Summary'!A204)</f>
        <v/>
      </c>
      <c r="L205" s="24">
        <f>IF($K205="","",IF($B$2="","",ROUND(SUMIFS('Opening Balance'!$F$4:$F$303,'Opening Balance'!$G$4:$G$303,$K205)+SUMIFS('Daily Sale entry '!$S$2:$S$1501,'Daily Sale entry '!$P$2:$P$1501,$K205,'Daily Sale entry '!$Q$2:$Q$1501,"Credit Sale 赊销",'Daily Sale entry '!$O$2:$O$1501,"&lt;"&amp;$B$2)-SUMIFS('Daily Sale entry '!$S$2:$S$1501,'Daily Sale entry '!$P$2:$P$1501,$K205,'Daily Sale entry '!$Q$2:$Q$1501,"Collection 收款",'Daily Sale entry '!$O$2:$O$1501,"&lt;"&amp;$B$2)-SUMIFS('Daily Sale entry '!$AC$2:$AC$1501,'Daily Sale entry '!$AA$2:$AA$1501,$K205,'Daily Sale entry '!$Z$2:$Z$1501,"Online collection 网上收款",'Daily Sale entry '!$X$2:$X$1501,"&lt;"&amp;$B$2)-SUMIFS('Debtor Ledger'!$K$2:$K$3001,'Debtor Ledger'!$C$2:$C$3001,$K205,'Debtor Ledger'!$B$2:$B$3001,"&lt;"&amp;$B$2),2)))</f>
        <v/>
      </c>
      <c r="M205" s="24">
        <f>IF($K205="","",IF($B$2="","",SUMIFS('Daily Sale entry '!$S$2:$S$1501,'Daily Sale entry '!$P$2:$P$1501,$K205,'Daily Sale entry '!$Q$2:$Q$1501,"Credit Sale 赊销",'Daily Sale entry '!$O$2:$O$1501,$B$2)))</f>
        <v/>
      </c>
      <c r="N205" s="24">
        <f>IF($K205="","",IF($B$2="","",SUMIFS('Daily Sale entry '!$S$2:$S$1501,'Daily Sale entry '!$P$2:$P$1501,$K205,'Daily Sale entry '!$Q$2:$Q$1501,"Collection 收款",'Daily Sale entry '!$R$2:$R$1501,"Cash 现金",'Daily Sale entry '!$O$2:$O$1501,$B$2)))</f>
        <v/>
      </c>
      <c r="O205" s="24">
        <f>IF($K205="","",IF($B$2="","",SUMIFS('Daily Sale entry '!$S$2:$S$1501,'Daily Sale entry '!$P$2:$P$1501,$K205,'Daily Sale entry '!$Q$2:$Q$1501,"Collection 收款",'Daily Sale entry '!$R$2:$R$1501,"Cheque 支票",'Daily Sale entry '!$O$2:$O$1501,$B$2)))</f>
        <v/>
      </c>
      <c r="P205" s="24">
        <f>IF($K205="","",IF($B$2="","",SUMIFS('Daily Sale entry '!$AC$2:$AC$1501,'Daily Sale entry '!$AA$2:$AA$1501,$K205,'Daily Sale entry '!$Z$2:$Z$1501,"Online collection 网上收款",'Daily Sale entry '!$X$2:$X$1501,$B$2)))</f>
        <v/>
      </c>
      <c r="Q205" s="24">
        <f>IF($K205="","",IF($B$2="","",SUMIFS('Debtor Ledger'!$K$2:$K$3001,'Debtor Ledger'!$C$2:$C$3001,$K205,'Debtor Ledger'!$B$2:$B$3001,$B$2)))</f>
        <v/>
      </c>
      <c r="R205" s="24">
        <f>IF($K205="","",IF($B$2="","",ROUND(L205+M205-N205-O205-P205-Q205,2)))</f>
        <v/>
      </c>
      <c r="S205" s="21">
        <f>IF(K205="","",IF($B$2="","",IF(ABS(M205)+ABS(N205)+ABS(O205)+ABS(P205)+ABS(Q205)&gt;0,1,0)))</f>
        <v/>
      </c>
      <c r="T205" s="21">
        <f>IF(S205=1,SUM($S$6:S205),"")</f>
        <v/>
      </c>
    </row>
    <row r="206">
      <c r="A206">
        <f>IF($I206="","",INDEX(K$6:K$305,$I206))</f>
        <v/>
      </c>
      <c r="B206" s="6">
        <f>IF($I206="","",INDEX(L$6:L$305,$I206))</f>
        <v/>
      </c>
      <c r="C206" s="6">
        <f>IF($I206="","",INDEX(M$6:M$305,$I206))</f>
        <v/>
      </c>
      <c r="D206" s="6">
        <f>IF($I206="","",INDEX(N$6:N$305,$I206))</f>
        <v/>
      </c>
      <c r="E206" s="6">
        <f>IF($I206="","",INDEX(O$6:O$305,$I206))</f>
        <v/>
      </c>
      <c r="F206" s="6">
        <f>IF($I206="","",INDEX(P$6:P$305,$I206))</f>
        <v/>
      </c>
      <c r="G206" s="6">
        <f>IF($I206="","",INDEX(Q$6:Q$305,$I206))</f>
        <v/>
      </c>
      <c r="H206" s="6">
        <f>IF($I206="","",INDEX(R$6:R$305,$I206))</f>
        <v/>
      </c>
      <c r="I206" s="21">
        <f>IFERROR(MATCH(201,$T$6:$T$305,0),"")</f>
        <v/>
      </c>
      <c r="K206" s="21">
        <f>IF('Debtor Summary'!A205="","",'Debtor Summary'!A205)</f>
        <v/>
      </c>
      <c r="L206" s="24">
        <f>IF($K206="","",IF($B$2="","",ROUND(SUMIFS('Opening Balance'!$F$4:$F$303,'Opening Balance'!$G$4:$G$303,$K206)+SUMIFS('Daily Sale entry '!$S$2:$S$1501,'Daily Sale entry '!$P$2:$P$1501,$K206,'Daily Sale entry '!$Q$2:$Q$1501,"Credit Sale 赊销",'Daily Sale entry '!$O$2:$O$1501,"&lt;"&amp;$B$2)-SUMIFS('Daily Sale entry '!$S$2:$S$1501,'Daily Sale entry '!$P$2:$P$1501,$K206,'Daily Sale entry '!$Q$2:$Q$1501,"Collection 收款",'Daily Sale entry '!$O$2:$O$1501,"&lt;"&amp;$B$2)-SUMIFS('Daily Sale entry '!$AC$2:$AC$1501,'Daily Sale entry '!$AA$2:$AA$1501,$K206,'Daily Sale entry '!$Z$2:$Z$1501,"Online collection 网上收款",'Daily Sale entry '!$X$2:$X$1501,"&lt;"&amp;$B$2)-SUMIFS('Debtor Ledger'!$K$2:$K$3001,'Debtor Ledger'!$C$2:$C$3001,$K206,'Debtor Ledger'!$B$2:$B$3001,"&lt;"&amp;$B$2),2)))</f>
        <v/>
      </c>
      <c r="M206" s="24">
        <f>IF($K206="","",IF($B$2="","",SUMIFS('Daily Sale entry '!$S$2:$S$1501,'Daily Sale entry '!$P$2:$P$1501,$K206,'Daily Sale entry '!$Q$2:$Q$1501,"Credit Sale 赊销",'Daily Sale entry '!$O$2:$O$1501,$B$2)))</f>
        <v/>
      </c>
      <c r="N206" s="24">
        <f>IF($K206="","",IF($B$2="","",SUMIFS('Daily Sale entry '!$S$2:$S$1501,'Daily Sale entry '!$P$2:$P$1501,$K206,'Daily Sale entry '!$Q$2:$Q$1501,"Collection 收款",'Daily Sale entry '!$R$2:$R$1501,"Cash 现金",'Daily Sale entry '!$O$2:$O$1501,$B$2)))</f>
        <v/>
      </c>
      <c r="O206" s="24">
        <f>IF($K206="","",IF($B$2="","",SUMIFS('Daily Sale entry '!$S$2:$S$1501,'Daily Sale entry '!$P$2:$P$1501,$K206,'Daily Sale entry '!$Q$2:$Q$1501,"Collection 收款",'Daily Sale entry '!$R$2:$R$1501,"Cheque 支票",'Daily Sale entry '!$O$2:$O$1501,$B$2)))</f>
        <v/>
      </c>
      <c r="P206" s="24">
        <f>IF($K206="","",IF($B$2="","",SUMIFS('Daily Sale entry '!$AC$2:$AC$1501,'Daily Sale entry '!$AA$2:$AA$1501,$K206,'Daily Sale entry '!$Z$2:$Z$1501,"Online collection 网上收款",'Daily Sale entry '!$X$2:$X$1501,$B$2)))</f>
        <v/>
      </c>
      <c r="Q206" s="24">
        <f>IF($K206="","",IF($B$2="","",SUMIFS('Debtor Ledger'!$K$2:$K$3001,'Debtor Ledger'!$C$2:$C$3001,$K206,'Debtor Ledger'!$B$2:$B$3001,$B$2)))</f>
        <v/>
      </c>
      <c r="R206" s="24">
        <f>IF($K206="","",IF($B$2="","",ROUND(L206+M206-N206-O206-P206-Q206,2)))</f>
        <v/>
      </c>
      <c r="S206" s="21">
        <f>IF(K206="","",IF($B$2="","",IF(ABS(M206)+ABS(N206)+ABS(O206)+ABS(P206)+ABS(Q206)&gt;0,1,0)))</f>
        <v/>
      </c>
      <c r="T206" s="21">
        <f>IF(S206=1,SUM($S$6:S206),"")</f>
        <v/>
      </c>
    </row>
    <row r="207">
      <c r="A207">
        <f>IF($I207="","",INDEX(K$6:K$305,$I207))</f>
        <v/>
      </c>
      <c r="B207" s="6">
        <f>IF($I207="","",INDEX(L$6:L$305,$I207))</f>
        <v/>
      </c>
      <c r="C207" s="6">
        <f>IF($I207="","",INDEX(M$6:M$305,$I207))</f>
        <v/>
      </c>
      <c r="D207" s="6">
        <f>IF($I207="","",INDEX(N$6:N$305,$I207))</f>
        <v/>
      </c>
      <c r="E207" s="6">
        <f>IF($I207="","",INDEX(O$6:O$305,$I207))</f>
        <v/>
      </c>
      <c r="F207" s="6">
        <f>IF($I207="","",INDEX(P$6:P$305,$I207))</f>
        <v/>
      </c>
      <c r="G207" s="6">
        <f>IF($I207="","",INDEX(Q$6:Q$305,$I207))</f>
        <v/>
      </c>
      <c r="H207" s="6">
        <f>IF($I207="","",INDEX(R$6:R$305,$I207))</f>
        <v/>
      </c>
      <c r="I207" s="21">
        <f>IFERROR(MATCH(202,$T$6:$T$305,0),"")</f>
        <v/>
      </c>
      <c r="K207" s="21">
        <f>IF('Debtor Summary'!A206="","",'Debtor Summary'!A206)</f>
        <v/>
      </c>
      <c r="L207" s="24">
        <f>IF($K207="","",IF($B$2="","",ROUND(SUMIFS('Opening Balance'!$F$4:$F$303,'Opening Balance'!$G$4:$G$303,$K207)+SUMIFS('Daily Sale entry '!$S$2:$S$1501,'Daily Sale entry '!$P$2:$P$1501,$K207,'Daily Sale entry '!$Q$2:$Q$1501,"Credit Sale 赊销",'Daily Sale entry '!$O$2:$O$1501,"&lt;"&amp;$B$2)-SUMIFS('Daily Sale entry '!$S$2:$S$1501,'Daily Sale entry '!$P$2:$P$1501,$K207,'Daily Sale entry '!$Q$2:$Q$1501,"Collection 收款",'Daily Sale entry '!$O$2:$O$1501,"&lt;"&amp;$B$2)-SUMIFS('Daily Sale entry '!$AC$2:$AC$1501,'Daily Sale entry '!$AA$2:$AA$1501,$K207,'Daily Sale entry '!$Z$2:$Z$1501,"Online collection 网上收款",'Daily Sale entry '!$X$2:$X$1501,"&lt;"&amp;$B$2)-SUMIFS('Debtor Ledger'!$K$2:$K$3001,'Debtor Ledger'!$C$2:$C$3001,$K207,'Debtor Ledger'!$B$2:$B$3001,"&lt;"&amp;$B$2),2)))</f>
        <v/>
      </c>
      <c r="M207" s="24">
        <f>IF($K207="","",IF($B$2="","",SUMIFS('Daily Sale entry '!$S$2:$S$1501,'Daily Sale entry '!$P$2:$P$1501,$K207,'Daily Sale entry '!$Q$2:$Q$1501,"Credit Sale 赊销",'Daily Sale entry '!$O$2:$O$1501,$B$2)))</f>
        <v/>
      </c>
      <c r="N207" s="24">
        <f>IF($K207="","",IF($B$2="","",SUMIFS('Daily Sale entry '!$S$2:$S$1501,'Daily Sale entry '!$P$2:$P$1501,$K207,'Daily Sale entry '!$Q$2:$Q$1501,"Collection 收款",'Daily Sale entry '!$R$2:$R$1501,"Cash 现金",'Daily Sale entry '!$O$2:$O$1501,$B$2)))</f>
        <v/>
      </c>
      <c r="O207" s="24">
        <f>IF($K207="","",IF($B$2="","",SUMIFS('Daily Sale entry '!$S$2:$S$1501,'Daily Sale entry '!$P$2:$P$1501,$K207,'Daily Sale entry '!$Q$2:$Q$1501,"Collection 收款",'Daily Sale entry '!$R$2:$R$1501,"Cheque 支票",'Daily Sale entry '!$O$2:$O$1501,$B$2)))</f>
        <v/>
      </c>
      <c r="P207" s="24">
        <f>IF($K207="","",IF($B$2="","",SUMIFS('Daily Sale entry '!$AC$2:$AC$1501,'Daily Sale entry '!$AA$2:$AA$1501,$K207,'Daily Sale entry '!$Z$2:$Z$1501,"Online collection 网上收款",'Daily Sale entry '!$X$2:$X$1501,$B$2)))</f>
        <v/>
      </c>
      <c r="Q207" s="24">
        <f>IF($K207="","",IF($B$2="","",SUMIFS('Debtor Ledger'!$K$2:$K$3001,'Debtor Ledger'!$C$2:$C$3001,$K207,'Debtor Ledger'!$B$2:$B$3001,$B$2)))</f>
        <v/>
      </c>
      <c r="R207" s="24">
        <f>IF($K207="","",IF($B$2="","",ROUND(L207+M207-N207-O207-P207-Q207,2)))</f>
        <v/>
      </c>
      <c r="S207" s="21">
        <f>IF(K207="","",IF($B$2="","",IF(ABS(M207)+ABS(N207)+ABS(O207)+ABS(P207)+ABS(Q207)&gt;0,1,0)))</f>
        <v/>
      </c>
      <c r="T207" s="21">
        <f>IF(S207=1,SUM($S$6:S207),"")</f>
        <v/>
      </c>
    </row>
    <row r="208">
      <c r="A208">
        <f>IF($I208="","",INDEX(K$6:K$305,$I208))</f>
        <v/>
      </c>
      <c r="B208" s="6">
        <f>IF($I208="","",INDEX(L$6:L$305,$I208))</f>
        <v/>
      </c>
      <c r="C208" s="6">
        <f>IF($I208="","",INDEX(M$6:M$305,$I208))</f>
        <v/>
      </c>
      <c r="D208" s="6">
        <f>IF($I208="","",INDEX(N$6:N$305,$I208))</f>
        <v/>
      </c>
      <c r="E208" s="6">
        <f>IF($I208="","",INDEX(O$6:O$305,$I208))</f>
        <v/>
      </c>
      <c r="F208" s="6">
        <f>IF($I208="","",INDEX(P$6:P$305,$I208))</f>
        <v/>
      </c>
      <c r="G208" s="6">
        <f>IF($I208="","",INDEX(Q$6:Q$305,$I208))</f>
        <v/>
      </c>
      <c r="H208" s="6">
        <f>IF($I208="","",INDEX(R$6:R$305,$I208))</f>
        <v/>
      </c>
      <c r="I208" s="21">
        <f>IFERROR(MATCH(203,$T$6:$T$305,0),"")</f>
        <v/>
      </c>
      <c r="K208" s="21">
        <f>IF('Debtor Summary'!A207="","",'Debtor Summary'!A207)</f>
        <v/>
      </c>
      <c r="L208" s="24">
        <f>IF($K208="","",IF($B$2="","",ROUND(SUMIFS('Opening Balance'!$F$4:$F$303,'Opening Balance'!$G$4:$G$303,$K208)+SUMIFS('Daily Sale entry '!$S$2:$S$1501,'Daily Sale entry '!$P$2:$P$1501,$K208,'Daily Sale entry '!$Q$2:$Q$1501,"Credit Sale 赊销",'Daily Sale entry '!$O$2:$O$1501,"&lt;"&amp;$B$2)-SUMIFS('Daily Sale entry '!$S$2:$S$1501,'Daily Sale entry '!$P$2:$P$1501,$K208,'Daily Sale entry '!$Q$2:$Q$1501,"Collection 收款",'Daily Sale entry '!$O$2:$O$1501,"&lt;"&amp;$B$2)-SUMIFS('Daily Sale entry '!$AC$2:$AC$1501,'Daily Sale entry '!$AA$2:$AA$1501,$K208,'Daily Sale entry '!$Z$2:$Z$1501,"Online collection 网上收款",'Daily Sale entry '!$X$2:$X$1501,"&lt;"&amp;$B$2)-SUMIFS('Debtor Ledger'!$K$2:$K$3001,'Debtor Ledger'!$C$2:$C$3001,$K208,'Debtor Ledger'!$B$2:$B$3001,"&lt;"&amp;$B$2),2)))</f>
        <v/>
      </c>
      <c r="M208" s="24">
        <f>IF($K208="","",IF($B$2="","",SUMIFS('Daily Sale entry '!$S$2:$S$1501,'Daily Sale entry '!$P$2:$P$1501,$K208,'Daily Sale entry '!$Q$2:$Q$1501,"Credit Sale 赊销",'Daily Sale entry '!$O$2:$O$1501,$B$2)))</f>
        <v/>
      </c>
      <c r="N208" s="24">
        <f>IF($K208="","",IF($B$2="","",SUMIFS('Daily Sale entry '!$S$2:$S$1501,'Daily Sale entry '!$P$2:$P$1501,$K208,'Daily Sale entry '!$Q$2:$Q$1501,"Collection 收款",'Daily Sale entry '!$R$2:$R$1501,"Cash 现金",'Daily Sale entry '!$O$2:$O$1501,$B$2)))</f>
        <v/>
      </c>
      <c r="O208" s="24">
        <f>IF($K208="","",IF($B$2="","",SUMIFS('Daily Sale entry '!$S$2:$S$1501,'Daily Sale entry '!$P$2:$P$1501,$K208,'Daily Sale entry '!$Q$2:$Q$1501,"Collection 收款",'Daily Sale entry '!$R$2:$R$1501,"Cheque 支票",'Daily Sale entry '!$O$2:$O$1501,$B$2)))</f>
        <v/>
      </c>
      <c r="P208" s="24">
        <f>IF($K208="","",IF($B$2="","",SUMIFS('Daily Sale entry '!$AC$2:$AC$1501,'Daily Sale entry '!$AA$2:$AA$1501,$K208,'Daily Sale entry '!$Z$2:$Z$1501,"Online collection 网上收款",'Daily Sale entry '!$X$2:$X$1501,$B$2)))</f>
        <v/>
      </c>
      <c r="Q208" s="24">
        <f>IF($K208="","",IF($B$2="","",SUMIFS('Debtor Ledger'!$K$2:$K$3001,'Debtor Ledger'!$C$2:$C$3001,$K208,'Debtor Ledger'!$B$2:$B$3001,$B$2)))</f>
        <v/>
      </c>
      <c r="R208" s="24">
        <f>IF($K208="","",IF($B$2="","",ROUND(L208+M208-N208-O208-P208-Q208,2)))</f>
        <v/>
      </c>
      <c r="S208" s="21">
        <f>IF(K208="","",IF($B$2="","",IF(ABS(M208)+ABS(N208)+ABS(O208)+ABS(P208)+ABS(Q208)&gt;0,1,0)))</f>
        <v/>
      </c>
      <c r="T208" s="21">
        <f>IF(S208=1,SUM($S$6:S208),"")</f>
        <v/>
      </c>
    </row>
    <row r="209">
      <c r="A209">
        <f>IF($I209="","",INDEX(K$6:K$305,$I209))</f>
        <v/>
      </c>
      <c r="B209" s="6">
        <f>IF($I209="","",INDEX(L$6:L$305,$I209))</f>
        <v/>
      </c>
      <c r="C209" s="6">
        <f>IF($I209="","",INDEX(M$6:M$305,$I209))</f>
        <v/>
      </c>
      <c r="D209" s="6">
        <f>IF($I209="","",INDEX(N$6:N$305,$I209))</f>
        <v/>
      </c>
      <c r="E209" s="6">
        <f>IF($I209="","",INDEX(O$6:O$305,$I209))</f>
        <v/>
      </c>
      <c r="F209" s="6">
        <f>IF($I209="","",INDEX(P$6:P$305,$I209))</f>
        <v/>
      </c>
      <c r="G209" s="6">
        <f>IF($I209="","",INDEX(Q$6:Q$305,$I209))</f>
        <v/>
      </c>
      <c r="H209" s="6">
        <f>IF($I209="","",INDEX(R$6:R$305,$I209))</f>
        <v/>
      </c>
      <c r="I209" s="21">
        <f>IFERROR(MATCH(204,$T$6:$T$305,0),"")</f>
        <v/>
      </c>
      <c r="K209" s="21">
        <f>IF('Debtor Summary'!A208="","",'Debtor Summary'!A208)</f>
        <v/>
      </c>
      <c r="L209" s="24">
        <f>IF($K209="","",IF($B$2="","",ROUND(SUMIFS('Opening Balance'!$F$4:$F$303,'Opening Balance'!$G$4:$G$303,$K209)+SUMIFS('Daily Sale entry '!$S$2:$S$1501,'Daily Sale entry '!$P$2:$P$1501,$K209,'Daily Sale entry '!$Q$2:$Q$1501,"Credit Sale 赊销",'Daily Sale entry '!$O$2:$O$1501,"&lt;"&amp;$B$2)-SUMIFS('Daily Sale entry '!$S$2:$S$1501,'Daily Sale entry '!$P$2:$P$1501,$K209,'Daily Sale entry '!$Q$2:$Q$1501,"Collection 收款",'Daily Sale entry '!$O$2:$O$1501,"&lt;"&amp;$B$2)-SUMIFS('Daily Sale entry '!$AC$2:$AC$1501,'Daily Sale entry '!$AA$2:$AA$1501,$K209,'Daily Sale entry '!$Z$2:$Z$1501,"Online collection 网上收款",'Daily Sale entry '!$X$2:$X$1501,"&lt;"&amp;$B$2)-SUMIFS('Debtor Ledger'!$K$2:$K$3001,'Debtor Ledger'!$C$2:$C$3001,$K209,'Debtor Ledger'!$B$2:$B$3001,"&lt;"&amp;$B$2),2)))</f>
        <v/>
      </c>
      <c r="M209" s="24">
        <f>IF($K209="","",IF($B$2="","",SUMIFS('Daily Sale entry '!$S$2:$S$1501,'Daily Sale entry '!$P$2:$P$1501,$K209,'Daily Sale entry '!$Q$2:$Q$1501,"Credit Sale 赊销",'Daily Sale entry '!$O$2:$O$1501,$B$2)))</f>
        <v/>
      </c>
      <c r="N209" s="24">
        <f>IF($K209="","",IF($B$2="","",SUMIFS('Daily Sale entry '!$S$2:$S$1501,'Daily Sale entry '!$P$2:$P$1501,$K209,'Daily Sale entry '!$Q$2:$Q$1501,"Collection 收款",'Daily Sale entry '!$R$2:$R$1501,"Cash 现金",'Daily Sale entry '!$O$2:$O$1501,$B$2)))</f>
        <v/>
      </c>
      <c r="O209" s="24">
        <f>IF($K209="","",IF($B$2="","",SUMIFS('Daily Sale entry '!$S$2:$S$1501,'Daily Sale entry '!$P$2:$P$1501,$K209,'Daily Sale entry '!$Q$2:$Q$1501,"Collection 收款",'Daily Sale entry '!$R$2:$R$1501,"Cheque 支票",'Daily Sale entry '!$O$2:$O$1501,$B$2)))</f>
        <v/>
      </c>
      <c r="P209" s="24">
        <f>IF($K209="","",IF($B$2="","",SUMIFS('Daily Sale entry '!$AC$2:$AC$1501,'Daily Sale entry '!$AA$2:$AA$1501,$K209,'Daily Sale entry '!$Z$2:$Z$1501,"Online collection 网上收款",'Daily Sale entry '!$X$2:$X$1501,$B$2)))</f>
        <v/>
      </c>
      <c r="Q209" s="24">
        <f>IF($K209="","",IF($B$2="","",SUMIFS('Debtor Ledger'!$K$2:$K$3001,'Debtor Ledger'!$C$2:$C$3001,$K209,'Debtor Ledger'!$B$2:$B$3001,$B$2)))</f>
        <v/>
      </c>
      <c r="R209" s="24">
        <f>IF($K209="","",IF($B$2="","",ROUND(L209+M209-N209-O209-P209-Q209,2)))</f>
        <v/>
      </c>
      <c r="S209" s="21">
        <f>IF(K209="","",IF($B$2="","",IF(ABS(M209)+ABS(N209)+ABS(O209)+ABS(P209)+ABS(Q209)&gt;0,1,0)))</f>
        <v/>
      </c>
      <c r="T209" s="21">
        <f>IF(S209=1,SUM($S$6:S209),"")</f>
        <v/>
      </c>
    </row>
    <row r="210">
      <c r="A210">
        <f>IF($I210="","",INDEX(K$6:K$305,$I210))</f>
        <v/>
      </c>
      <c r="B210" s="6">
        <f>IF($I210="","",INDEX(L$6:L$305,$I210))</f>
        <v/>
      </c>
      <c r="C210" s="6">
        <f>IF($I210="","",INDEX(M$6:M$305,$I210))</f>
        <v/>
      </c>
      <c r="D210" s="6">
        <f>IF($I210="","",INDEX(N$6:N$305,$I210))</f>
        <v/>
      </c>
      <c r="E210" s="6">
        <f>IF($I210="","",INDEX(O$6:O$305,$I210))</f>
        <v/>
      </c>
      <c r="F210" s="6">
        <f>IF($I210="","",INDEX(P$6:P$305,$I210))</f>
        <v/>
      </c>
      <c r="G210" s="6">
        <f>IF($I210="","",INDEX(Q$6:Q$305,$I210))</f>
        <v/>
      </c>
      <c r="H210" s="6">
        <f>IF($I210="","",INDEX(R$6:R$305,$I210))</f>
        <v/>
      </c>
      <c r="I210" s="21">
        <f>IFERROR(MATCH(205,$T$6:$T$305,0),"")</f>
        <v/>
      </c>
      <c r="K210" s="21">
        <f>IF('Debtor Summary'!A209="","",'Debtor Summary'!A209)</f>
        <v/>
      </c>
      <c r="L210" s="24">
        <f>IF($K210="","",IF($B$2="","",ROUND(SUMIFS('Opening Balance'!$F$4:$F$303,'Opening Balance'!$G$4:$G$303,$K210)+SUMIFS('Daily Sale entry '!$S$2:$S$1501,'Daily Sale entry '!$P$2:$P$1501,$K210,'Daily Sale entry '!$Q$2:$Q$1501,"Credit Sale 赊销",'Daily Sale entry '!$O$2:$O$1501,"&lt;"&amp;$B$2)-SUMIFS('Daily Sale entry '!$S$2:$S$1501,'Daily Sale entry '!$P$2:$P$1501,$K210,'Daily Sale entry '!$Q$2:$Q$1501,"Collection 收款",'Daily Sale entry '!$O$2:$O$1501,"&lt;"&amp;$B$2)-SUMIFS('Daily Sale entry '!$AC$2:$AC$1501,'Daily Sale entry '!$AA$2:$AA$1501,$K210,'Daily Sale entry '!$Z$2:$Z$1501,"Online collection 网上收款",'Daily Sale entry '!$X$2:$X$1501,"&lt;"&amp;$B$2)-SUMIFS('Debtor Ledger'!$K$2:$K$3001,'Debtor Ledger'!$C$2:$C$3001,$K210,'Debtor Ledger'!$B$2:$B$3001,"&lt;"&amp;$B$2),2)))</f>
        <v/>
      </c>
      <c r="M210" s="24">
        <f>IF($K210="","",IF($B$2="","",SUMIFS('Daily Sale entry '!$S$2:$S$1501,'Daily Sale entry '!$P$2:$P$1501,$K210,'Daily Sale entry '!$Q$2:$Q$1501,"Credit Sale 赊销",'Daily Sale entry '!$O$2:$O$1501,$B$2)))</f>
        <v/>
      </c>
      <c r="N210" s="24">
        <f>IF($K210="","",IF($B$2="","",SUMIFS('Daily Sale entry '!$S$2:$S$1501,'Daily Sale entry '!$P$2:$P$1501,$K210,'Daily Sale entry '!$Q$2:$Q$1501,"Collection 收款",'Daily Sale entry '!$R$2:$R$1501,"Cash 现金",'Daily Sale entry '!$O$2:$O$1501,$B$2)))</f>
        <v/>
      </c>
      <c r="O210" s="24">
        <f>IF($K210="","",IF($B$2="","",SUMIFS('Daily Sale entry '!$S$2:$S$1501,'Daily Sale entry '!$P$2:$P$1501,$K210,'Daily Sale entry '!$Q$2:$Q$1501,"Collection 收款",'Daily Sale entry '!$R$2:$R$1501,"Cheque 支票",'Daily Sale entry '!$O$2:$O$1501,$B$2)))</f>
        <v/>
      </c>
      <c r="P210" s="24">
        <f>IF($K210="","",IF($B$2="","",SUMIFS('Daily Sale entry '!$AC$2:$AC$1501,'Daily Sale entry '!$AA$2:$AA$1501,$K210,'Daily Sale entry '!$Z$2:$Z$1501,"Online collection 网上收款",'Daily Sale entry '!$X$2:$X$1501,$B$2)))</f>
        <v/>
      </c>
      <c r="Q210" s="24">
        <f>IF($K210="","",IF($B$2="","",SUMIFS('Debtor Ledger'!$K$2:$K$3001,'Debtor Ledger'!$C$2:$C$3001,$K210,'Debtor Ledger'!$B$2:$B$3001,$B$2)))</f>
        <v/>
      </c>
      <c r="R210" s="24">
        <f>IF($K210="","",IF($B$2="","",ROUND(L210+M210-N210-O210-P210-Q210,2)))</f>
        <v/>
      </c>
      <c r="S210" s="21">
        <f>IF(K210="","",IF($B$2="","",IF(ABS(M210)+ABS(N210)+ABS(O210)+ABS(P210)+ABS(Q210)&gt;0,1,0)))</f>
        <v/>
      </c>
      <c r="T210" s="21">
        <f>IF(S210=1,SUM($S$6:S210),"")</f>
        <v/>
      </c>
    </row>
    <row r="211">
      <c r="A211">
        <f>IF($I211="","",INDEX(K$6:K$305,$I211))</f>
        <v/>
      </c>
      <c r="B211" s="6">
        <f>IF($I211="","",INDEX(L$6:L$305,$I211))</f>
        <v/>
      </c>
      <c r="C211" s="6">
        <f>IF($I211="","",INDEX(M$6:M$305,$I211))</f>
        <v/>
      </c>
      <c r="D211" s="6">
        <f>IF($I211="","",INDEX(N$6:N$305,$I211))</f>
        <v/>
      </c>
      <c r="E211" s="6">
        <f>IF($I211="","",INDEX(O$6:O$305,$I211))</f>
        <v/>
      </c>
      <c r="F211" s="6">
        <f>IF($I211="","",INDEX(P$6:P$305,$I211))</f>
        <v/>
      </c>
      <c r="G211" s="6">
        <f>IF($I211="","",INDEX(Q$6:Q$305,$I211))</f>
        <v/>
      </c>
      <c r="H211" s="6">
        <f>IF($I211="","",INDEX(R$6:R$305,$I211))</f>
        <v/>
      </c>
      <c r="I211" s="21">
        <f>IFERROR(MATCH(206,$T$6:$T$305,0),"")</f>
        <v/>
      </c>
      <c r="K211" s="21">
        <f>IF('Debtor Summary'!A210="","",'Debtor Summary'!A210)</f>
        <v/>
      </c>
      <c r="L211" s="24">
        <f>IF($K211="","",IF($B$2="","",ROUND(SUMIFS('Opening Balance'!$F$4:$F$303,'Opening Balance'!$G$4:$G$303,$K211)+SUMIFS('Daily Sale entry '!$S$2:$S$1501,'Daily Sale entry '!$P$2:$P$1501,$K211,'Daily Sale entry '!$Q$2:$Q$1501,"Credit Sale 赊销",'Daily Sale entry '!$O$2:$O$1501,"&lt;"&amp;$B$2)-SUMIFS('Daily Sale entry '!$S$2:$S$1501,'Daily Sale entry '!$P$2:$P$1501,$K211,'Daily Sale entry '!$Q$2:$Q$1501,"Collection 收款",'Daily Sale entry '!$O$2:$O$1501,"&lt;"&amp;$B$2)-SUMIFS('Daily Sale entry '!$AC$2:$AC$1501,'Daily Sale entry '!$AA$2:$AA$1501,$K211,'Daily Sale entry '!$Z$2:$Z$1501,"Online collection 网上收款",'Daily Sale entry '!$X$2:$X$1501,"&lt;"&amp;$B$2)-SUMIFS('Debtor Ledger'!$K$2:$K$3001,'Debtor Ledger'!$C$2:$C$3001,$K211,'Debtor Ledger'!$B$2:$B$3001,"&lt;"&amp;$B$2),2)))</f>
        <v/>
      </c>
      <c r="M211" s="24">
        <f>IF($K211="","",IF($B$2="","",SUMIFS('Daily Sale entry '!$S$2:$S$1501,'Daily Sale entry '!$P$2:$P$1501,$K211,'Daily Sale entry '!$Q$2:$Q$1501,"Credit Sale 赊销",'Daily Sale entry '!$O$2:$O$1501,$B$2)))</f>
        <v/>
      </c>
      <c r="N211" s="24">
        <f>IF($K211="","",IF($B$2="","",SUMIFS('Daily Sale entry '!$S$2:$S$1501,'Daily Sale entry '!$P$2:$P$1501,$K211,'Daily Sale entry '!$Q$2:$Q$1501,"Collection 收款",'Daily Sale entry '!$R$2:$R$1501,"Cash 现金",'Daily Sale entry '!$O$2:$O$1501,$B$2)))</f>
        <v/>
      </c>
      <c r="O211" s="24">
        <f>IF($K211="","",IF($B$2="","",SUMIFS('Daily Sale entry '!$S$2:$S$1501,'Daily Sale entry '!$P$2:$P$1501,$K211,'Daily Sale entry '!$Q$2:$Q$1501,"Collection 收款",'Daily Sale entry '!$R$2:$R$1501,"Cheque 支票",'Daily Sale entry '!$O$2:$O$1501,$B$2)))</f>
        <v/>
      </c>
      <c r="P211" s="24">
        <f>IF($K211="","",IF($B$2="","",SUMIFS('Daily Sale entry '!$AC$2:$AC$1501,'Daily Sale entry '!$AA$2:$AA$1501,$K211,'Daily Sale entry '!$Z$2:$Z$1501,"Online collection 网上收款",'Daily Sale entry '!$X$2:$X$1501,$B$2)))</f>
        <v/>
      </c>
      <c r="Q211" s="24">
        <f>IF($K211="","",IF($B$2="","",SUMIFS('Debtor Ledger'!$K$2:$K$3001,'Debtor Ledger'!$C$2:$C$3001,$K211,'Debtor Ledger'!$B$2:$B$3001,$B$2)))</f>
        <v/>
      </c>
      <c r="R211" s="24">
        <f>IF($K211="","",IF($B$2="","",ROUND(L211+M211-N211-O211-P211-Q211,2)))</f>
        <v/>
      </c>
      <c r="S211" s="21">
        <f>IF(K211="","",IF($B$2="","",IF(ABS(M211)+ABS(N211)+ABS(O211)+ABS(P211)+ABS(Q211)&gt;0,1,0)))</f>
        <v/>
      </c>
      <c r="T211" s="21">
        <f>IF(S211=1,SUM($S$6:S211),"")</f>
        <v/>
      </c>
    </row>
    <row r="212">
      <c r="A212">
        <f>IF($I212="","",INDEX(K$6:K$305,$I212))</f>
        <v/>
      </c>
      <c r="B212" s="6">
        <f>IF($I212="","",INDEX(L$6:L$305,$I212))</f>
        <v/>
      </c>
      <c r="C212" s="6">
        <f>IF($I212="","",INDEX(M$6:M$305,$I212))</f>
        <v/>
      </c>
      <c r="D212" s="6">
        <f>IF($I212="","",INDEX(N$6:N$305,$I212))</f>
        <v/>
      </c>
      <c r="E212" s="6">
        <f>IF($I212="","",INDEX(O$6:O$305,$I212))</f>
        <v/>
      </c>
      <c r="F212" s="6">
        <f>IF($I212="","",INDEX(P$6:P$305,$I212))</f>
        <v/>
      </c>
      <c r="G212" s="6">
        <f>IF($I212="","",INDEX(Q$6:Q$305,$I212))</f>
        <v/>
      </c>
      <c r="H212" s="6">
        <f>IF($I212="","",INDEX(R$6:R$305,$I212))</f>
        <v/>
      </c>
      <c r="I212" s="21">
        <f>IFERROR(MATCH(207,$T$6:$T$305,0),"")</f>
        <v/>
      </c>
      <c r="K212" s="21">
        <f>IF('Debtor Summary'!A211="","",'Debtor Summary'!A211)</f>
        <v/>
      </c>
      <c r="L212" s="24">
        <f>IF($K212="","",IF($B$2="","",ROUND(SUMIFS('Opening Balance'!$F$4:$F$303,'Opening Balance'!$G$4:$G$303,$K212)+SUMIFS('Daily Sale entry '!$S$2:$S$1501,'Daily Sale entry '!$P$2:$P$1501,$K212,'Daily Sale entry '!$Q$2:$Q$1501,"Credit Sale 赊销",'Daily Sale entry '!$O$2:$O$1501,"&lt;"&amp;$B$2)-SUMIFS('Daily Sale entry '!$S$2:$S$1501,'Daily Sale entry '!$P$2:$P$1501,$K212,'Daily Sale entry '!$Q$2:$Q$1501,"Collection 收款",'Daily Sale entry '!$O$2:$O$1501,"&lt;"&amp;$B$2)-SUMIFS('Daily Sale entry '!$AC$2:$AC$1501,'Daily Sale entry '!$AA$2:$AA$1501,$K212,'Daily Sale entry '!$Z$2:$Z$1501,"Online collection 网上收款",'Daily Sale entry '!$X$2:$X$1501,"&lt;"&amp;$B$2)-SUMIFS('Debtor Ledger'!$K$2:$K$3001,'Debtor Ledger'!$C$2:$C$3001,$K212,'Debtor Ledger'!$B$2:$B$3001,"&lt;"&amp;$B$2),2)))</f>
        <v/>
      </c>
      <c r="M212" s="24">
        <f>IF($K212="","",IF($B$2="","",SUMIFS('Daily Sale entry '!$S$2:$S$1501,'Daily Sale entry '!$P$2:$P$1501,$K212,'Daily Sale entry '!$Q$2:$Q$1501,"Credit Sale 赊销",'Daily Sale entry '!$O$2:$O$1501,$B$2)))</f>
        <v/>
      </c>
      <c r="N212" s="24">
        <f>IF($K212="","",IF($B$2="","",SUMIFS('Daily Sale entry '!$S$2:$S$1501,'Daily Sale entry '!$P$2:$P$1501,$K212,'Daily Sale entry '!$Q$2:$Q$1501,"Collection 收款",'Daily Sale entry '!$R$2:$R$1501,"Cash 现金",'Daily Sale entry '!$O$2:$O$1501,$B$2)))</f>
        <v/>
      </c>
      <c r="O212" s="24">
        <f>IF($K212="","",IF($B$2="","",SUMIFS('Daily Sale entry '!$S$2:$S$1501,'Daily Sale entry '!$P$2:$P$1501,$K212,'Daily Sale entry '!$Q$2:$Q$1501,"Collection 收款",'Daily Sale entry '!$R$2:$R$1501,"Cheque 支票",'Daily Sale entry '!$O$2:$O$1501,$B$2)))</f>
        <v/>
      </c>
      <c r="P212" s="24">
        <f>IF($K212="","",IF($B$2="","",SUMIFS('Daily Sale entry '!$AC$2:$AC$1501,'Daily Sale entry '!$AA$2:$AA$1501,$K212,'Daily Sale entry '!$Z$2:$Z$1501,"Online collection 网上收款",'Daily Sale entry '!$X$2:$X$1501,$B$2)))</f>
        <v/>
      </c>
      <c r="Q212" s="24">
        <f>IF($K212="","",IF($B$2="","",SUMIFS('Debtor Ledger'!$K$2:$K$3001,'Debtor Ledger'!$C$2:$C$3001,$K212,'Debtor Ledger'!$B$2:$B$3001,$B$2)))</f>
        <v/>
      </c>
      <c r="R212" s="24">
        <f>IF($K212="","",IF($B$2="","",ROUND(L212+M212-N212-O212-P212-Q212,2)))</f>
        <v/>
      </c>
      <c r="S212" s="21">
        <f>IF(K212="","",IF($B$2="","",IF(ABS(M212)+ABS(N212)+ABS(O212)+ABS(P212)+ABS(Q212)&gt;0,1,0)))</f>
        <v/>
      </c>
      <c r="T212" s="21">
        <f>IF(S212=1,SUM($S$6:S212),"")</f>
        <v/>
      </c>
    </row>
    <row r="213">
      <c r="A213">
        <f>IF($I213="","",INDEX(K$6:K$305,$I213))</f>
        <v/>
      </c>
      <c r="B213" s="6">
        <f>IF($I213="","",INDEX(L$6:L$305,$I213))</f>
        <v/>
      </c>
      <c r="C213" s="6">
        <f>IF($I213="","",INDEX(M$6:M$305,$I213))</f>
        <v/>
      </c>
      <c r="D213" s="6">
        <f>IF($I213="","",INDEX(N$6:N$305,$I213))</f>
        <v/>
      </c>
      <c r="E213" s="6">
        <f>IF($I213="","",INDEX(O$6:O$305,$I213))</f>
        <v/>
      </c>
      <c r="F213" s="6">
        <f>IF($I213="","",INDEX(P$6:P$305,$I213))</f>
        <v/>
      </c>
      <c r="G213" s="6">
        <f>IF($I213="","",INDEX(Q$6:Q$305,$I213))</f>
        <v/>
      </c>
      <c r="H213" s="6">
        <f>IF($I213="","",INDEX(R$6:R$305,$I213))</f>
        <v/>
      </c>
      <c r="I213" s="21">
        <f>IFERROR(MATCH(208,$T$6:$T$305,0),"")</f>
        <v/>
      </c>
      <c r="K213" s="21">
        <f>IF('Debtor Summary'!A212="","",'Debtor Summary'!A212)</f>
        <v/>
      </c>
      <c r="L213" s="24">
        <f>IF($K213="","",IF($B$2="","",ROUND(SUMIFS('Opening Balance'!$F$4:$F$303,'Opening Balance'!$G$4:$G$303,$K213)+SUMIFS('Daily Sale entry '!$S$2:$S$1501,'Daily Sale entry '!$P$2:$P$1501,$K213,'Daily Sale entry '!$Q$2:$Q$1501,"Credit Sale 赊销",'Daily Sale entry '!$O$2:$O$1501,"&lt;"&amp;$B$2)-SUMIFS('Daily Sale entry '!$S$2:$S$1501,'Daily Sale entry '!$P$2:$P$1501,$K213,'Daily Sale entry '!$Q$2:$Q$1501,"Collection 收款",'Daily Sale entry '!$O$2:$O$1501,"&lt;"&amp;$B$2)-SUMIFS('Daily Sale entry '!$AC$2:$AC$1501,'Daily Sale entry '!$AA$2:$AA$1501,$K213,'Daily Sale entry '!$Z$2:$Z$1501,"Online collection 网上收款",'Daily Sale entry '!$X$2:$X$1501,"&lt;"&amp;$B$2)-SUMIFS('Debtor Ledger'!$K$2:$K$3001,'Debtor Ledger'!$C$2:$C$3001,$K213,'Debtor Ledger'!$B$2:$B$3001,"&lt;"&amp;$B$2),2)))</f>
        <v/>
      </c>
      <c r="M213" s="24">
        <f>IF($K213="","",IF($B$2="","",SUMIFS('Daily Sale entry '!$S$2:$S$1501,'Daily Sale entry '!$P$2:$P$1501,$K213,'Daily Sale entry '!$Q$2:$Q$1501,"Credit Sale 赊销",'Daily Sale entry '!$O$2:$O$1501,$B$2)))</f>
        <v/>
      </c>
      <c r="N213" s="24">
        <f>IF($K213="","",IF($B$2="","",SUMIFS('Daily Sale entry '!$S$2:$S$1501,'Daily Sale entry '!$P$2:$P$1501,$K213,'Daily Sale entry '!$Q$2:$Q$1501,"Collection 收款",'Daily Sale entry '!$R$2:$R$1501,"Cash 现金",'Daily Sale entry '!$O$2:$O$1501,$B$2)))</f>
        <v/>
      </c>
      <c r="O213" s="24">
        <f>IF($K213="","",IF($B$2="","",SUMIFS('Daily Sale entry '!$S$2:$S$1501,'Daily Sale entry '!$P$2:$P$1501,$K213,'Daily Sale entry '!$Q$2:$Q$1501,"Collection 收款",'Daily Sale entry '!$R$2:$R$1501,"Cheque 支票",'Daily Sale entry '!$O$2:$O$1501,$B$2)))</f>
        <v/>
      </c>
      <c r="P213" s="24">
        <f>IF($K213="","",IF($B$2="","",SUMIFS('Daily Sale entry '!$AC$2:$AC$1501,'Daily Sale entry '!$AA$2:$AA$1501,$K213,'Daily Sale entry '!$Z$2:$Z$1501,"Online collection 网上收款",'Daily Sale entry '!$X$2:$X$1501,$B$2)))</f>
        <v/>
      </c>
      <c r="Q213" s="24">
        <f>IF($K213="","",IF($B$2="","",SUMIFS('Debtor Ledger'!$K$2:$K$3001,'Debtor Ledger'!$C$2:$C$3001,$K213,'Debtor Ledger'!$B$2:$B$3001,$B$2)))</f>
        <v/>
      </c>
      <c r="R213" s="24">
        <f>IF($K213="","",IF($B$2="","",ROUND(L213+M213-N213-O213-P213-Q213,2)))</f>
        <v/>
      </c>
      <c r="S213" s="21">
        <f>IF(K213="","",IF($B$2="","",IF(ABS(M213)+ABS(N213)+ABS(O213)+ABS(P213)+ABS(Q213)&gt;0,1,0)))</f>
        <v/>
      </c>
      <c r="T213" s="21">
        <f>IF(S213=1,SUM($S$6:S213),"")</f>
        <v/>
      </c>
    </row>
    <row r="214">
      <c r="A214">
        <f>IF($I214="","",INDEX(K$6:K$305,$I214))</f>
        <v/>
      </c>
      <c r="B214" s="6">
        <f>IF($I214="","",INDEX(L$6:L$305,$I214))</f>
        <v/>
      </c>
      <c r="C214" s="6">
        <f>IF($I214="","",INDEX(M$6:M$305,$I214))</f>
        <v/>
      </c>
      <c r="D214" s="6">
        <f>IF($I214="","",INDEX(N$6:N$305,$I214))</f>
        <v/>
      </c>
      <c r="E214" s="6">
        <f>IF($I214="","",INDEX(O$6:O$305,$I214))</f>
        <v/>
      </c>
      <c r="F214" s="6">
        <f>IF($I214="","",INDEX(P$6:P$305,$I214))</f>
        <v/>
      </c>
      <c r="G214" s="6">
        <f>IF($I214="","",INDEX(Q$6:Q$305,$I214))</f>
        <v/>
      </c>
      <c r="H214" s="6">
        <f>IF($I214="","",INDEX(R$6:R$305,$I214))</f>
        <v/>
      </c>
      <c r="I214" s="21">
        <f>IFERROR(MATCH(209,$T$6:$T$305,0),"")</f>
        <v/>
      </c>
      <c r="K214" s="21">
        <f>IF('Debtor Summary'!A213="","",'Debtor Summary'!A213)</f>
        <v/>
      </c>
      <c r="L214" s="24">
        <f>IF($K214="","",IF($B$2="","",ROUND(SUMIFS('Opening Balance'!$F$4:$F$303,'Opening Balance'!$G$4:$G$303,$K214)+SUMIFS('Daily Sale entry '!$S$2:$S$1501,'Daily Sale entry '!$P$2:$P$1501,$K214,'Daily Sale entry '!$Q$2:$Q$1501,"Credit Sale 赊销",'Daily Sale entry '!$O$2:$O$1501,"&lt;"&amp;$B$2)-SUMIFS('Daily Sale entry '!$S$2:$S$1501,'Daily Sale entry '!$P$2:$P$1501,$K214,'Daily Sale entry '!$Q$2:$Q$1501,"Collection 收款",'Daily Sale entry '!$O$2:$O$1501,"&lt;"&amp;$B$2)-SUMIFS('Daily Sale entry '!$AC$2:$AC$1501,'Daily Sale entry '!$AA$2:$AA$1501,$K214,'Daily Sale entry '!$Z$2:$Z$1501,"Online collection 网上收款",'Daily Sale entry '!$X$2:$X$1501,"&lt;"&amp;$B$2)-SUMIFS('Debtor Ledger'!$K$2:$K$3001,'Debtor Ledger'!$C$2:$C$3001,$K214,'Debtor Ledger'!$B$2:$B$3001,"&lt;"&amp;$B$2),2)))</f>
        <v/>
      </c>
      <c r="M214" s="24">
        <f>IF($K214="","",IF($B$2="","",SUMIFS('Daily Sale entry '!$S$2:$S$1501,'Daily Sale entry '!$P$2:$P$1501,$K214,'Daily Sale entry '!$Q$2:$Q$1501,"Credit Sale 赊销",'Daily Sale entry '!$O$2:$O$1501,$B$2)))</f>
        <v/>
      </c>
      <c r="N214" s="24">
        <f>IF($K214="","",IF($B$2="","",SUMIFS('Daily Sale entry '!$S$2:$S$1501,'Daily Sale entry '!$P$2:$P$1501,$K214,'Daily Sale entry '!$Q$2:$Q$1501,"Collection 收款",'Daily Sale entry '!$R$2:$R$1501,"Cash 现金",'Daily Sale entry '!$O$2:$O$1501,$B$2)))</f>
        <v/>
      </c>
      <c r="O214" s="24">
        <f>IF($K214="","",IF($B$2="","",SUMIFS('Daily Sale entry '!$S$2:$S$1501,'Daily Sale entry '!$P$2:$P$1501,$K214,'Daily Sale entry '!$Q$2:$Q$1501,"Collection 收款",'Daily Sale entry '!$R$2:$R$1501,"Cheque 支票",'Daily Sale entry '!$O$2:$O$1501,$B$2)))</f>
        <v/>
      </c>
      <c r="P214" s="24">
        <f>IF($K214="","",IF($B$2="","",SUMIFS('Daily Sale entry '!$AC$2:$AC$1501,'Daily Sale entry '!$AA$2:$AA$1501,$K214,'Daily Sale entry '!$Z$2:$Z$1501,"Online collection 网上收款",'Daily Sale entry '!$X$2:$X$1501,$B$2)))</f>
        <v/>
      </c>
      <c r="Q214" s="24">
        <f>IF($K214="","",IF($B$2="","",SUMIFS('Debtor Ledger'!$K$2:$K$3001,'Debtor Ledger'!$C$2:$C$3001,$K214,'Debtor Ledger'!$B$2:$B$3001,$B$2)))</f>
        <v/>
      </c>
      <c r="R214" s="24">
        <f>IF($K214="","",IF($B$2="","",ROUND(L214+M214-N214-O214-P214-Q214,2)))</f>
        <v/>
      </c>
      <c r="S214" s="21">
        <f>IF(K214="","",IF($B$2="","",IF(ABS(M214)+ABS(N214)+ABS(O214)+ABS(P214)+ABS(Q214)&gt;0,1,0)))</f>
        <v/>
      </c>
      <c r="T214" s="21">
        <f>IF(S214=1,SUM($S$6:S214),"")</f>
        <v/>
      </c>
    </row>
    <row r="215">
      <c r="A215">
        <f>IF($I215="","",INDEX(K$6:K$305,$I215))</f>
        <v/>
      </c>
      <c r="B215" s="6">
        <f>IF($I215="","",INDEX(L$6:L$305,$I215))</f>
        <v/>
      </c>
      <c r="C215" s="6">
        <f>IF($I215="","",INDEX(M$6:M$305,$I215))</f>
        <v/>
      </c>
      <c r="D215" s="6">
        <f>IF($I215="","",INDEX(N$6:N$305,$I215))</f>
        <v/>
      </c>
      <c r="E215" s="6">
        <f>IF($I215="","",INDEX(O$6:O$305,$I215))</f>
        <v/>
      </c>
      <c r="F215" s="6">
        <f>IF($I215="","",INDEX(P$6:P$305,$I215))</f>
        <v/>
      </c>
      <c r="G215" s="6">
        <f>IF($I215="","",INDEX(Q$6:Q$305,$I215))</f>
        <v/>
      </c>
      <c r="H215" s="6">
        <f>IF($I215="","",INDEX(R$6:R$305,$I215))</f>
        <v/>
      </c>
      <c r="I215" s="21">
        <f>IFERROR(MATCH(210,$T$6:$T$305,0),"")</f>
        <v/>
      </c>
      <c r="K215" s="21">
        <f>IF('Debtor Summary'!A214="","",'Debtor Summary'!A214)</f>
        <v/>
      </c>
      <c r="L215" s="24">
        <f>IF($K215="","",IF($B$2="","",ROUND(SUMIFS('Opening Balance'!$F$4:$F$303,'Opening Balance'!$G$4:$G$303,$K215)+SUMIFS('Daily Sale entry '!$S$2:$S$1501,'Daily Sale entry '!$P$2:$P$1501,$K215,'Daily Sale entry '!$Q$2:$Q$1501,"Credit Sale 赊销",'Daily Sale entry '!$O$2:$O$1501,"&lt;"&amp;$B$2)-SUMIFS('Daily Sale entry '!$S$2:$S$1501,'Daily Sale entry '!$P$2:$P$1501,$K215,'Daily Sale entry '!$Q$2:$Q$1501,"Collection 收款",'Daily Sale entry '!$O$2:$O$1501,"&lt;"&amp;$B$2)-SUMIFS('Daily Sale entry '!$AC$2:$AC$1501,'Daily Sale entry '!$AA$2:$AA$1501,$K215,'Daily Sale entry '!$Z$2:$Z$1501,"Online collection 网上收款",'Daily Sale entry '!$X$2:$X$1501,"&lt;"&amp;$B$2)-SUMIFS('Debtor Ledger'!$K$2:$K$3001,'Debtor Ledger'!$C$2:$C$3001,$K215,'Debtor Ledger'!$B$2:$B$3001,"&lt;"&amp;$B$2),2)))</f>
        <v/>
      </c>
      <c r="M215" s="24">
        <f>IF($K215="","",IF($B$2="","",SUMIFS('Daily Sale entry '!$S$2:$S$1501,'Daily Sale entry '!$P$2:$P$1501,$K215,'Daily Sale entry '!$Q$2:$Q$1501,"Credit Sale 赊销",'Daily Sale entry '!$O$2:$O$1501,$B$2)))</f>
        <v/>
      </c>
      <c r="N215" s="24">
        <f>IF($K215="","",IF($B$2="","",SUMIFS('Daily Sale entry '!$S$2:$S$1501,'Daily Sale entry '!$P$2:$P$1501,$K215,'Daily Sale entry '!$Q$2:$Q$1501,"Collection 收款",'Daily Sale entry '!$R$2:$R$1501,"Cash 现金",'Daily Sale entry '!$O$2:$O$1501,$B$2)))</f>
        <v/>
      </c>
      <c r="O215" s="24">
        <f>IF($K215="","",IF($B$2="","",SUMIFS('Daily Sale entry '!$S$2:$S$1501,'Daily Sale entry '!$P$2:$P$1501,$K215,'Daily Sale entry '!$Q$2:$Q$1501,"Collection 收款",'Daily Sale entry '!$R$2:$R$1501,"Cheque 支票",'Daily Sale entry '!$O$2:$O$1501,$B$2)))</f>
        <v/>
      </c>
      <c r="P215" s="24">
        <f>IF($K215="","",IF($B$2="","",SUMIFS('Daily Sale entry '!$AC$2:$AC$1501,'Daily Sale entry '!$AA$2:$AA$1501,$K215,'Daily Sale entry '!$Z$2:$Z$1501,"Online collection 网上收款",'Daily Sale entry '!$X$2:$X$1501,$B$2)))</f>
        <v/>
      </c>
      <c r="Q215" s="24">
        <f>IF($K215="","",IF($B$2="","",SUMIFS('Debtor Ledger'!$K$2:$K$3001,'Debtor Ledger'!$C$2:$C$3001,$K215,'Debtor Ledger'!$B$2:$B$3001,$B$2)))</f>
        <v/>
      </c>
      <c r="R215" s="24">
        <f>IF($K215="","",IF($B$2="","",ROUND(L215+M215-N215-O215-P215-Q215,2)))</f>
        <v/>
      </c>
      <c r="S215" s="21">
        <f>IF(K215="","",IF($B$2="","",IF(ABS(M215)+ABS(N215)+ABS(O215)+ABS(P215)+ABS(Q215)&gt;0,1,0)))</f>
        <v/>
      </c>
      <c r="T215" s="21">
        <f>IF(S215=1,SUM($S$6:S215),"")</f>
        <v/>
      </c>
    </row>
    <row r="216">
      <c r="A216">
        <f>IF($I216="","",INDEX(K$6:K$305,$I216))</f>
        <v/>
      </c>
      <c r="B216" s="6">
        <f>IF($I216="","",INDEX(L$6:L$305,$I216))</f>
        <v/>
      </c>
      <c r="C216" s="6">
        <f>IF($I216="","",INDEX(M$6:M$305,$I216))</f>
        <v/>
      </c>
      <c r="D216" s="6">
        <f>IF($I216="","",INDEX(N$6:N$305,$I216))</f>
        <v/>
      </c>
      <c r="E216" s="6">
        <f>IF($I216="","",INDEX(O$6:O$305,$I216))</f>
        <v/>
      </c>
      <c r="F216" s="6">
        <f>IF($I216="","",INDEX(P$6:P$305,$I216))</f>
        <v/>
      </c>
      <c r="G216" s="6">
        <f>IF($I216="","",INDEX(Q$6:Q$305,$I216))</f>
        <v/>
      </c>
      <c r="H216" s="6">
        <f>IF($I216="","",INDEX(R$6:R$305,$I216))</f>
        <v/>
      </c>
      <c r="I216" s="21">
        <f>IFERROR(MATCH(211,$T$6:$T$305,0),"")</f>
        <v/>
      </c>
      <c r="K216" s="21">
        <f>IF('Debtor Summary'!A215="","",'Debtor Summary'!A215)</f>
        <v/>
      </c>
      <c r="L216" s="24">
        <f>IF($K216="","",IF($B$2="","",ROUND(SUMIFS('Opening Balance'!$F$4:$F$303,'Opening Balance'!$G$4:$G$303,$K216)+SUMIFS('Daily Sale entry '!$S$2:$S$1501,'Daily Sale entry '!$P$2:$P$1501,$K216,'Daily Sale entry '!$Q$2:$Q$1501,"Credit Sale 赊销",'Daily Sale entry '!$O$2:$O$1501,"&lt;"&amp;$B$2)-SUMIFS('Daily Sale entry '!$S$2:$S$1501,'Daily Sale entry '!$P$2:$P$1501,$K216,'Daily Sale entry '!$Q$2:$Q$1501,"Collection 收款",'Daily Sale entry '!$O$2:$O$1501,"&lt;"&amp;$B$2)-SUMIFS('Daily Sale entry '!$AC$2:$AC$1501,'Daily Sale entry '!$AA$2:$AA$1501,$K216,'Daily Sale entry '!$Z$2:$Z$1501,"Online collection 网上收款",'Daily Sale entry '!$X$2:$X$1501,"&lt;"&amp;$B$2)-SUMIFS('Debtor Ledger'!$K$2:$K$3001,'Debtor Ledger'!$C$2:$C$3001,$K216,'Debtor Ledger'!$B$2:$B$3001,"&lt;"&amp;$B$2),2)))</f>
        <v/>
      </c>
      <c r="M216" s="24">
        <f>IF($K216="","",IF($B$2="","",SUMIFS('Daily Sale entry '!$S$2:$S$1501,'Daily Sale entry '!$P$2:$P$1501,$K216,'Daily Sale entry '!$Q$2:$Q$1501,"Credit Sale 赊销",'Daily Sale entry '!$O$2:$O$1501,$B$2)))</f>
        <v/>
      </c>
      <c r="N216" s="24">
        <f>IF($K216="","",IF($B$2="","",SUMIFS('Daily Sale entry '!$S$2:$S$1501,'Daily Sale entry '!$P$2:$P$1501,$K216,'Daily Sale entry '!$Q$2:$Q$1501,"Collection 收款",'Daily Sale entry '!$R$2:$R$1501,"Cash 现金",'Daily Sale entry '!$O$2:$O$1501,$B$2)))</f>
        <v/>
      </c>
      <c r="O216" s="24">
        <f>IF($K216="","",IF($B$2="","",SUMIFS('Daily Sale entry '!$S$2:$S$1501,'Daily Sale entry '!$P$2:$P$1501,$K216,'Daily Sale entry '!$Q$2:$Q$1501,"Collection 收款",'Daily Sale entry '!$R$2:$R$1501,"Cheque 支票",'Daily Sale entry '!$O$2:$O$1501,$B$2)))</f>
        <v/>
      </c>
      <c r="P216" s="24">
        <f>IF($K216="","",IF($B$2="","",SUMIFS('Daily Sale entry '!$AC$2:$AC$1501,'Daily Sale entry '!$AA$2:$AA$1501,$K216,'Daily Sale entry '!$Z$2:$Z$1501,"Online collection 网上收款",'Daily Sale entry '!$X$2:$X$1501,$B$2)))</f>
        <v/>
      </c>
      <c r="Q216" s="24">
        <f>IF($K216="","",IF($B$2="","",SUMIFS('Debtor Ledger'!$K$2:$K$3001,'Debtor Ledger'!$C$2:$C$3001,$K216,'Debtor Ledger'!$B$2:$B$3001,$B$2)))</f>
        <v/>
      </c>
      <c r="R216" s="24">
        <f>IF($K216="","",IF($B$2="","",ROUND(L216+M216-N216-O216-P216-Q216,2)))</f>
        <v/>
      </c>
      <c r="S216" s="21">
        <f>IF(K216="","",IF($B$2="","",IF(ABS(M216)+ABS(N216)+ABS(O216)+ABS(P216)+ABS(Q216)&gt;0,1,0)))</f>
        <v/>
      </c>
      <c r="T216" s="21">
        <f>IF(S216=1,SUM($S$6:S216),"")</f>
        <v/>
      </c>
    </row>
    <row r="217">
      <c r="A217">
        <f>IF($I217="","",INDEX(K$6:K$305,$I217))</f>
        <v/>
      </c>
      <c r="B217" s="6">
        <f>IF($I217="","",INDEX(L$6:L$305,$I217))</f>
        <v/>
      </c>
      <c r="C217" s="6">
        <f>IF($I217="","",INDEX(M$6:M$305,$I217))</f>
        <v/>
      </c>
      <c r="D217" s="6">
        <f>IF($I217="","",INDEX(N$6:N$305,$I217))</f>
        <v/>
      </c>
      <c r="E217" s="6">
        <f>IF($I217="","",INDEX(O$6:O$305,$I217))</f>
        <v/>
      </c>
      <c r="F217" s="6">
        <f>IF($I217="","",INDEX(P$6:P$305,$I217))</f>
        <v/>
      </c>
      <c r="G217" s="6">
        <f>IF($I217="","",INDEX(Q$6:Q$305,$I217))</f>
        <v/>
      </c>
      <c r="H217" s="6">
        <f>IF($I217="","",INDEX(R$6:R$305,$I217))</f>
        <v/>
      </c>
      <c r="I217" s="21">
        <f>IFERROR(MATCH(212,$T$6:$T$305,0),"")</f>
        <v/>
      </c>
      <c r="K217" s="21">
        <f>IF('Debtor Summary'!A216="","",'Debtor Summary'!A216)</f>
        <v/>
      </c>
      <c r="L217" s="24">
        <f>IF($K217="","",IF($B$2="","",ROUND(SUMIFS('Opening Balance'!$F$4:$F$303,'Opening Balance'!$G$4:$G$303,$K217)+SUMIFS('Daily Sale entry '!$S$2:$S$1501,'Daily Sale entry '!$P$2:$P$1501,$K217,'Daily Sale entry '!$Q$2:$Q$1501,"Credit Sale 赊销",'Daily Sale entry '!$O$2:$O$1501,"&lt;"&amp;$B$2)-SUMIFS('Daily Sale entry '!$S$2:$S$1501,'Daily Sale entry '!$P$2:$P$1501,$K217,'Daily Sale entry '!$Q$2:$Q$1501,"Collection 收款",'Daily Sale entry '!$O$2:$O$1501,"&lt;"&amp;$B$2)-SUMIFS('Daily Sale entry '!$AC$2:$AC$1501,'Daily Sale entry '!$AA$2:$AA$1501,$K217,'Daily Sale entry '!$Z$2:$Z$1501,"Online collection 网上收款",'Daily Sale entry '!$X$2:$X$1501,"&lt;"&amp;$B$2)-SUMIFS('Debtor Ledger'!$K$2:$K$3001,'Debtor Ledger'!$C$2:$C$3001,$K217,'Debtor Ledger'!$B$2:$B$3001,"&lt;"&amp;$B$2),2)))</f>
        <v/>
      </c>
      <c r="M217" s="24">
        <f>IF($K217="","",IF($B$2="","",SUMIFS('Daily Sale entry '!$S$2:$S$1501,'Daily Sale entry '!$P$2:$P$1501,$K217,'Daily Sale entry '!$Q$2:$Q$1501,"Credit Sale 赊销",'Daily Sale entry '!$O$2:$O$1501,$B$2)))</f>
        <v/>
      </c>
      <c r="N217" s="24">
        <f>IF($K217="","",IF($B$2="","",SUMIFS('Daily Sale entry '!$S$2:$S$1501,'Daily Sale entry '!$P$2:$P$1501,$K217,'Daily Sale entry '!$Q$2:$Q$1501,"Collection 收款",'Daily Sale entry '!$R$2:$R$1501,"Cash 现金",'Daily Sale entry '!$O$2:$O$1501,$B$2)))</f>
        <v/>
      </c>
      <c r="O217" s="24">
        <f>IF($K217="","",IF($B$2="","",SUMIFS('Daily Sale entry '!$S$2:$S$1501,'Daily Sale entry '!$P$2:$P$1501,$K217,'Daily Sale entry '!$Q$2:$Q$1501,"Collection 收款",'Daily Sale entry '!$R$2:$R$1501,"Cheque 支票",'Daily Sale entry '!$O$2:$O$1501,$B$2)))</f>
        <v/>
      </c>
      <c r="P217" s="24">
        <f>IF($K217="","",IF($B$2="","",SUMIFS('Daily Sale entry '!$AC$2:$AC$1501,'Daily Sale entry '!$AA$2:$AA$1501,$K217,'Daily Sale entry '!$Z$2:$Z$1501,"Online collection 网上收款",'Daily Sale entry '!$X$2:$X$1501,$B$2)))</f>
        <v/>
      </c>
      <c r="Q217" s="24">
        <f>IF($K217="","",IF($B$2="","",SUMIFS('Debtor Ledger'!$K$2:$K$3001,'Debtor Ledger'!$C$2:$C$3001,$K217,'Debtor Ledger'!$B$2:$B$3001,$B$2)))</f>
        <v/>
      </c>
      <c r="R217" s="24">
        <f>IF($K217="","",IF($B$2="","",ROUND(L217+M217-N217-O217-P217-Q217,2)))</f>
        <v/>
      </c>
      <c r="S217" s="21">
        <f>IF(K217="","",IF($B$2="","",IF(ABS(M217)+ABS(N217)+ABS(O217)+ABS(P217)+ABS(Q217)&gt;0,1,0)))</f>
        <v/>
      </c>
      <c r="T217" s="21">
        <f>IF(S217=1,SUM($S$6:S217),"")</f>
        <v/>
      </c>
    </row>
    <row r="218">
      <c r="A218">
        <f>IF($I218="","",INDEX(K$6:K$305,$I218))</f>
        <v/>
      </c>
      <c r="B218" s="6">
        <f>IF($I218="","",INDEX(L$6:L$305,$I218))</f>
        <v/>
      </c>
      <c r="C218" s="6">
        <f>IF($I218="","",INDEX(M$6:M$305,$I218))</f>
        <v/>
      </c>
      <c r="D218" s="6">
        <f>IF($I218="","",INDEX(N$6:N$305,$I218))</f>
        <v/>
      </c>
      <c r="E218" s="6">
        <f>IF($I218="","",INDEX(O$6:O$305,$I218))</f>
        <v/>
      </c>
      <c r="F218" s="6">
        <f>IF($I218="","",INDEX(P$6:P$305,$I218))</f>
        <v/>
      </c>
      <c r="G218" s="6">
        <f>IF($I218="","",INDEX(Q$6:Q$305,$I218))</f>
        <v/>
      </c>
      <c r="H218" s="6">
        <f>IF($I218="","",INDEX(R$6:R$305,$I218))</f>
        <v/>
      </c>
      <c r="I218" s="21">
        <f>IFERROR(MATCH(213,$T$6:$T$305,0),"")</f>
        <v/>
      </c>
      <c r="K218" s="21">
        <f>IF('Debtor Summary'!A217="","",'Debtor Summary'!A217)</f>
        <v/>
      </c>
      <c r="L218" s="24">
        <f>IF($K218="","",IF($B$2="","",ROUND(SUMIFS('Opening Balance'!$F$4:$F$303,'Opening Balance'!$G$4:$G$303,$K218)+SUMIFS('Daily Sale entry '!$S$2:$S$1501,'Daily Sale entry '!$P$2:$P$1501,$K218,'Daily Sale entry '!$Q$2:$Q$1501,"Credit Sale 赊销",'Daily Sale entry '!$O$2:$O$1501,"&lt;"&amp;$B$2)-SUMIFS('Daily Sale entry '!$S$2:$S$1501,'Daily Sale entry '!$P$2:$P$1501,$K218,'Daily Sale entry '!$Q$2:$Q$1501,"Collection 收款",'Daily Sale entry '!$O$2:$O$1501,"&lt;"&amp;$B$2)-SUMIFS('Daily Sale entry '!$AC$2:$AC$1501,'Daily Sale entry '!$AA$2:$AA$1501,$K218,'Daily Sale entry '!$Z$2:$Z$1501,"Online collection 网上收款",'Daily Sale entry '!$X$2:$X$1501,"&lt;"&amp;$B$2)-SUMIFS('Debtor Ledger'!$K$2:$K$3001,'Debtor Ledger'!$C$2:$C$3001,$K218,'Debtor Ledger'!$B$2:$B$3001,"&lt;"&amp;$B$2),2)))</f>
        <v/>
      </c>
      <c r="M218" s="24">
        <f>IF($K218="","",IF($B$2="","",SUMIFS('Daily Sale entry '!$S$2:$S$1501,'Daily Sale entry '!$P$2:$P$1501,$K218,'Daily Sale entry '!$Q$2:$Q$1501,"Credit Sale 赊销",'Daily Sale entry '!$O$2:$O$1501,$B$2)))</f>
        <v/>
      </c>
      <c r="N218" s="24">
        <f>IF($K218="","",IF($B$2="","",SUMIFS('Daily Sale entry '!$S$2:$S$1501,'Daily Sale entry '!$P$2:$P$1501,$K218,'Daily Sale entry '!$Q$2:$Q$1501,"Collection 收款",'Daily Sale entry '!$R$2:$R$1501,"Cash 现金",'Daily Sale entry '!$O$2:$O$1501,$B$2)))</f>
        <v/>
      </c>
      <c r="O218" s="24">
        <f>IF($K218="","",IF($B$2="","",SUMIFS('Daily Sale entry '!$S$2:$S$1501,'Daily Sale entry '!$P$2:$P$1501,$K218,'Daily Sale entry '!$Q$2:$Q$1501,"Collection 收款",'Daily Sale entry '!$R$2:$R$1501,"Cheque 支票",'Daily Sale entry '!$O$2:$O$1501,$B$2)))</f>
        <v/>
      </c>
      <c r="P218" s="24">
        <f>IF($K218="","",IF($B$2="","",SUMIFS('Daily Sale entry '!$AC$2:$AC$1501,'Daily Sale entry '!$AA$2:$AA$1501,$K218,'Daily Sale entry '!$Z$2:$Z$1501,"Online collection 网上收款",'Daily Sale entry '!$X$2:$X$1501,$B$2)))</f>
        <v/>
      </c>
      <c r="Q218" s="24">
        <f>IF($K218="","",IF($B$2="","",SUMIFS('Debtor Ledger'!$K$2:$K$3001,'Debtor Ledger'!$C$2:$C$3001,$K218,'Debtor Ledger'!$B$2:$B$3001,$B$2)))</f>
        <v/>
      </c>
      <c r="R218" s="24">
        <f>IF($K218="","",IF($B$2="","",ROUND(L218+M218-N218-O218-P218-Q218,2)))</f>
        <v/>
      </c>
      <c r="S218" s="21">
        <f>IF(K218="","",IF($B$2="","",IF(ABS(M218)+ABS(N218)+ABS(O218)+ABS(P218)+ABS(Q218)&gt;0,1,0)))</f>
        <v/>
      </c>
      <c r="T218" s="21">
        <f>IF(S218=1,SUM($S$6:S218),"")</f>
        <v/>
      </c>
    </row>
    <row r="219">
      <c r="A219">
        <f>IF($I219="","",INDEX(K$6:K$305,$I219))</f>
        <v/>
      </c>
      <c r="B219" s="6">
        <f>IF($I219="","",INDEX(L$6:L$305,$I219))</f>
        <v/>
      </c>
      <c r="C219" s="6">
        <f>IF($I219="","",INDEX(M$6:M$305,$I219))</f>
        <v/>
      </c>
      <c r="D219" s="6">
        <f>IF($I219="","",INDEX(N$6:N$305,$I219))</f>
        <v/>
      </c>
      <c r="E219" s="6">
        <f>IF($I219="","",INDEX(O$6:O$305,$I219))</f>
        <v/>
      </c>
      <c r="F219" s="6">
        <f>IF($I219="","",INDEX(P$6:P$305,$I219))</f>
        <v/>
      </c>
      <c r="G219" s="6">
        <f>IF($I219="","",INDEX(Q$6:Q$305,$I219))</f>
        <v/>
      </c>
      <c r="H219" s="6">
        <f>IF($I219="","",INDEX(R$6:R$305,$I219))</f>
        <v/>
      </c>
      <c r="I219" s="21">
        <f>IFERROR(MATCH(214,$T$6:$T$305,0),"")</f>
        <v/>
      </c>
      <c r="K219" s="21">
        <f>IF('Debtor Summary'!A218="","",'Debtor Summary'!A218)</f>
        <v/>
      </c>
      <c r="L219" s="24">
        <f>IF($K219="","",IF($B$2="","",ROUND(SUMIFS('Opening Balance'!$F$4:$F$303,'Opening Balance'!$G$4:$G$303,$K219)+SUMIFS('Daily Sale entry '!$S$2:$S$1501,'Daily Sale entry '!$P$2:$P$1501,$K219,'Daily Sale entry '!$Q$2:$Q$1501,"Credit Sale 赊销",'Daily Sale entry '!$O$2:$O$1501,"&lt;"&amp;$B$2)-SUMIFS('Daily Sale entry '!$S$2:$S$1501,'Daily Sale entry '!$P$2:$P$1501,$K219,'Daily Sale entry '!$Q$2:$Q$1501,"Collection 收款",'Daily Sale entry '!$O$2:$O$1501,"&lt;"&amp;$B$2)-SUMIFS('Daily Sale entry '!$AC$2:$AC$1501,'Daily Sale entry '!$AA$2:$AA$1501,$K219,'Daily Sale entry '!$Z$2:$Z$1501,"Online collection 网上收款",'Daily Sale entry '!$X$2:$X$1501,"&lt;"&amp;$B$2)-SUMIFS('Debtor Ledger'!$K$2:$K$3001,'Debtor Ledger'!$C$2:$C$3001,$K219,'Debtor Ledger'!$B$2:$B$3001,"&lt;"&amp;$B$2),2)))</f>
        <v/>
      </c>
      <c r="M219" s="24">
        <f>IF($K219="","",IF($B$2="","",SUMIFS('Daily Sale entry '!$S$2:$S$1501,'Daily Sale entry '!$P$2:$P$1501,$K219,'Daily Sale entry '!$Q$2:$Q$1501,"Credit Sale 赊销",'Daily Sale entry '!$O$2:$O$1501,$B$2)))</f>
        <v/>
      </c>
      <c r="N219" s="24">
        <f>IF($K219="","",IF($B$2="","",SUMIFS('Daily Sale entry '!$S$2:$S$1501,'Daily Sale entry '!$P$2:$P$1501,$K219,'Daily Sale entry '!$Q$2:$Q$1501,"Collection 收款",'Daily Sale entry '!$R$2:$R$1501,"Cash 现金",'Daily Sale entry '!$O$2:$O$1501,$B$2)))</f>
        <v/>
      </c>
      <c r="O219" s="24">
        <f>IF($K219="","",IF($B$2="","",SUMIFS('Daily Sale entry '!$S$2:$S$1501,'Daily Sale entry '!$P$2:$P$1501,$K219,'Daily Sale entry '!$Q$2:$Q$1501,"Collection 收款",'Daily Sale entry '!$R$2:$R$1501,"Cheque 支票",'Daily Sale entry '!$O$2:$O$1501,$B$2)))</f>
        <v/>
      </c>
      <c r="P219" s="24">
        <f>IF($K219="","",IF($B$2="","",SUMIFS('Daily Sale entry '!$AC$2:$AC$1501,'Daily Sale entry '!$AA$2:$AA$1501,$K219,'Daily Sale entry '!$Z$2:$Z$1501,"Online collection 网上收款",'Daily Sale entry '!$X$2:$X$1501,$B$2)))</f>
        <v/>
      </c>
      <c r="Q219" s="24">
        <f>IF($K219="","",IF($B$2="","",SUMIFS('Debtor Ledger'!$K$2:$K$3001,'Debtor Ledger'!$C$2:$C$3001,$K219,'Debtor Ledger'!$B$2:$B$3001,$B$2)))</f>
        <v/>
      </c>
      <c r="R219" s="24">
        <f>IF($K219="","",IF($B$2="","",ROUND(L219+M219-N219-O219-P219-Q219,2)))</f>
        <v/>
      </c>
      <c r="S219" s="21">
        <f>IF(K219="","",IF($B$2="","",IF(ABS(M219)+ABS(N219)+ABS(O219)+ABS(P219)+ABS(Q219)&gt;0,1,0)))</f>
        <v/>
      </c>
      <c r="T219" s="21">
        <f>IF(S219=1,SUM($S$6:S219),"")</f>
        <v/>
      </c>
    </row>
    <row r="220">
      <c r="A220">
        <f>IF($I220="","",INDEX(K$6:K$305,$I220))</f>
        <v/>
      </c>
      <c r="B220" s="6">
        <f>IF($I220="","",INDEX(L$6:L$305,$I220))</f>
        <v/>
      </c>
      <c r="C220" s="6">
        <f>IF($I220="","",INDEX(M$6:M$305,$I220))</f>
        <v/>
      </c>
      <c r="D220" s="6">
        <f>IF($I220="","",INDEX(N$6:N$305,$I220))</f>
        <v/>
      </c>
      <c r="E220" s="6">
        <f>IF($I220="","",INDEX(O$6:O$305,$I220))</f>
        <v/>
      </c>
      <c r="F220" s="6">
        <f>IF($I220="","",INDEX(P$6:P$305,$I220))</f>
        <v/>
      </c>
      <c r="G220" s="6">
        <f>IF($I220="","",INDEX(Q$6:Q$305,$I220))</f>
        <v/>
      </c>
      <c r="H220" s="6">
        <f>IF($I220="","",INDEX(R$6:R$305,$I220))</f>
        <v/>
      </c>
      <c r="I220" s="21">
        <f>IFERROR(MATCH(215,$T$6:$T$305,0),"")</f>
        <v/>
      </c>
      <c r="K220" s="21">
        <f>IF('Debtor Summary'!A219="","",'Debtor Summary'!A219)</f>
        <v/>
      </c>
      <c r="L220" s="24">
        <f>IF($K220="","",IF($B$2="","",ROUND(SUMIFS('Opening Balance'!$F$4:$F$303,'Opening Balance'!$G$4:$G$303,$K220)+SUMIFS('Daily Sale entry '!$S$2:$S$1501,'Daily Sale entry '!$P$2:$P$1501,$K220,'Daily Sale entry '!$Q$2:$Q$1501,"Credit Sale 赊销",'Daily Sale entry '!$O$2:$O$1501,"&lt;"&amp;$B$2)-SUMIFS('Daily Sale entry '!$S$2:$S$1501,'Daily Sale entry '!$P$2:$P$1501,$K220,'Daily Sale entry '!$Q$2:$Q$1501,"Collection 收款",'Daily Sale entry '!$O$2:$O$1501,"&lt;"&amp;$B$2)-SUMIFS('Daily Sale entry '!$AC$2:$AC$1501,'Daily Sale entry '!$AA$2:$AA$1501,$K220,'Daily Sale entry '!$Z$2:$Z$1501,"Online collection 网上收款",'Daily Sale entry '!$X$2:$X$1501,"&lt;"&amp;$B$2)-SUMIFS('Debtor Ledger'!$K$2:$K$3001,'Debtor Ledger'!$C$2:$C$3001,$K220,'Debtor Ledger'!$B$2:$B$3001,"&lt;"&amp;$B$2),2)))</f>
        <v/>
      </c>
      <c r="M220" s="24">
        <f>IF($K220="","",IF($B$2="","",SUMIFS('Daily Sale entry '!$S$2:$S$1501,'Daily Sale entry '!$P$2:$P$1501,$K220,'Daily Sale entry '!$Q$2:$Q$1501,"Credit Sale 赊销",'Daily Sale entry '!$O$2:$O$1501,$B$2)))</f>
        <v/>
      </c>
      <c r="N220" s="24">
        <f>IF($K220="","",IF($B$2="","",SUMIFS('Daily Sale entry '!$S$2:$S$1501,'Daily Sale entry '!$P$2:$P$1501,$K220,'Daily Sale entry '!$Q$2:$Q$1501,"Collection 收款",'Daily Sale entry '!$R$2:$R$1501,"Cash 现金",'Daily Sale entry '!$O$2:$O$1501,$B$2)))</f>
        <v/>
      </c>
      <c r="O220" s="24">
        <f>IF($K220="","",IF($B$2="","",SUMIFS('Daily Sale entry '!$S$2:$S$1501,'Daily Sale entry '!$P$2:$P$1501,$K220,'Daily Sale entry '!$Q$2:$Q$1501,"Collection 收款",'Daily Sale entry '!$R$2:$R$1501,"Cheque 支票",'Daily Sale entry '!$O$2:$O$1501,$B$2)))</f>
        <v/>
      </c>
      <c r="P220" s="24">
        <f>IF($K220="","",IF($B$2="","",SUMIFS('Daily Sale entry '!$AC$2:$AC$1501,'Daily Sale entry '!$AA$2:$AA$1501,$K220,'Daily Sale entry '!$Z$2:$Z$1501,"Online collection 网上收款",'Daily Sale entry '!$X$2:$X$1501,$B$2)))</f>
        <v/>
      </c>
      <c r="Q220" s="24">
        <f>IF($K220="","",IF($B$2="","",SUMIFS('Debtor Ledger'!$K$2:$K$3001,'Debtor Ledger'!$C$2:$C$3001,$K220,'Debtor Ledger'!$B$2:$B$3001,$B$2)))</f>
        <v/>
      </c>
      <c r="R220" s="24">
        <f>IF($K220="","",IF($B$2="","",ROUND(L220+M220-N220-O220-P220-Q220,2)))</f>
        <v/>
      </c>
      <c r="S220" s="21">
        <f>IF(K220="","",IF($B$2="","",IF(ABS(M220)+ABS(N220)+ABS(O220)+ABS(P220)+ABS(Q220)&gt;0,1,0)))</f>
        <v/>
      </c>
      <c r="T220" s="21">
        <f>IF(S220=1,SUM($S$6:S220),"")</f>
        <v/>
      </c>
    </row>
    <row r="221">
      <c r="A221">
        <f>IF($I221="","",INDEX(K$6:K$305,$I221))</f>
        <v/>
      </c>
      <c r="B221" s="6">
        <f>IF($I221="","",INDEX(L$6:L$305,$I221))</f>
        <v/>
      </c>
      <c r="C221" s="6">
        <f>IF($I221="","",INDEX(M$6:M$305,$I221))</f>
        <v/>
      </c>
      <c r="D221" s="6">
        <f>IF($I221="","",INDEX(N$6:N$305,$I221))</f>
        <v/>
      </c>
      <c r="E221" s="6">
        <f>IF($I221="","",INDEX(O$6:O$305,$I221))</f>
        <v/>
      </c>
      <c r="F221" s="6">
        <f>IF($I221="","",INDEX(P$6:P$305,$I221))</f>
        <v/>
      </c>
      <c r="G221" s="6">
        <f>IF($I221="","",INDEX(Q$6:Q$305,$I221))</f>
        <v/>
      </c>
      <c r="H221" s="6">
        <f>IF($I221="","",INDEX(R$6:R$305,$I221))</f>
        <v/>
      </c>
      <c r="I221" s="21">
        <f>IFERROR(MATCH(216,$T$6:$T$305,0),"")</f>
        <v/>
      </c>
      <c r="K221" s="21">
        <f>IF('Debtor Summary'!A220="","",'Debtor Summary'!A220)</f>
        <v/>
      </c>
      <c r="L221" s="24">
        <f>IF($K221="","",IF($B$2="","",ROUND(SUMIFS('Opening Balance'!$F$4:$F$303,'Opening Balance'!$G$4:$G$303,$K221)+SUMIFS('Daily Sale entry '!$S$2:$S$1501,'Daily Sale entry '!$P$2:$P$1501,$K221,'Daily Sale entry '!$Q$2:$Q$1501,"Credit Sale 赊销",'Daily Sale entry '!$O$2:$O$1501,"&lt;"&amp;$B$2)-SUMIFS('Daily Sale entry '!$S$2:$S$1501,'Daily Sale entry '!$P$2:$P$1501,$K221,'Daily Sale entry '!$Q$2:$Q$1501,"Collection 收款",'Daily Sale entry '!$O$2:$O$1501,"&lt;"&amp;$B$2)-SUMIFS('Daily Sale entry '!$AC$2:$AC$1501,'Daily Sale entry '!$AA$2:$AA$1501,$K221,'Daily Sale entry '!$Z$2:$Z$1501,"Online collection 网上收款",'Daily Sale entry '!$X$2:$X$1501,"&lt;"&amp;$B$2)-SUMIFS('Debtor Ledger'!$K$2:$K$3001,'Debtor Ledger'!$C$2:$C$3001,$K221,'Debtor Ledger'!$B$2:$B$3001,"&lt;"&amp;$B$2),2)))</f>
        <v/>
      </c>
      <c r="M221" s="24">
        <f>IF($K221="","",IF($B$2="","",SUMIFS('Daily Sale entry '!$S$2:$S$1501,'Daily Sale entry '!$P$2:$P$1501,$K221,'Daily Sale entry '!$Q$2:$Q$1501,"Credit Sale 赊销",'Daily Sale entry '!$O$2:$O$1501,$B$2)))</f>
        <v/>
      </c>
      <c r="N221" s="24">
        <f>IF($K221="","",IF($B$2="","",SUMIFS('Daily Sale entry '!$S$2:$S$1501,'Daily Sale entry '!$P$2:$P$1501,$K221,'Daily Sale entry '!$Q$2:$Q$1501,"Collection 收款",'Daily Sale entry '!$R$2:$R$1501,"Cash 现金",'Daily Sale entry '!$O$2:$O$1501,$B$2)))</f>
        <v/>
      </c>
      <c r="O221" s="24">
        <f>IF($K221="","",IF($B$2="","",SUMIFS('Daily Sale entry '!$S$2:$S$1501,'Daily Sale entry '!$P$2:$P$1501,$K221,'Daily Sale entry '!$Q$2:$Q$1501,"Collection 收款",'Daily Sale entry '!$R$2:$R$1501,"Cheque 支票",'Daily Sale entry '!$O$2:$O$1501,$B$2)))</f>
        <v/>
      </c>
      <c r="P221" s="24">
        <f>IF($K221="","",IF($B$2="","",SUMIFS('Daily Sale entry '!$AC$2:$AC$1501,'Daily Sale entry '!$AA$2:$AA$1501,$K221,'Daily Sale entry '!$Z$2:$Z$1501,"Online collection 网上收款",'Daily Sale entry '!$X$2:$X$1501,$B$2)))</f>
        <v/>
      </c>
      <c r="Q221" s="24">
        <f>IF($K221="","",IF($B$2="","",SUMIFS('Debtor Ledger'!$K$2:$K$3001,'Debtor Ledger'!$C$2:$C$3001,$K221,'Debtor Ledger'!$B$2:$B$3001,$B$2)))</f>
        <v/>
      </c>
      <c r="R221" s="24">
        <f>IF($K221="","",IF($B$2="","",ROUND(L221+M221-N221-O221-P221-Q221,2)))</f>
        <v/>
      </c>
      <c r="S221" s="21">
        <f>IF(K221="","",IF($B$2="","",IF(ABS(M221)+ABS(N221)+ABS(O221)+ABS(P221)+ABS(Q221)&gt;0,1,0)))</f>
        <v/>
      </c>
      <c r="T221" s="21">
        <f>IF(S221=1,SUM($S$6:S221),"")</f>
        <v/>
      </c>
    </row>
    <row r="222">
      <c r="A222">
        <f>IF($I222="","",INDEX(K$6:K$305,$I222))</f>
        <v/>
      </c>
      <c r="B222" s="6">
        <f>IF($I222="","",INDEX(L$6:L$305,$I222))</f>
        <v/>
      </c>
      <c r="C222" s="6">
        <f>IF($I222="","",INDEX(M$6:M$305,$I222))</f>
        <v/>
      </c>
      <c r="D222" s="6">
        <f>IF($I222="","",INDEX(N$6:N$305,$I222))</f>
        <v/>
      </c>
      <c r="E222" s="6">
        <f>IF($I222="","",INDEX(O$6:O$305,$I222))</f>
        <v/>
      </c>
      <c r="F222" s="6">
        <f>IF($I222="","",INDEX(P$6:P$305,$I222))</f>
        <v/>
      </c>
      <c r="G222" s="6">
        <f>IF($I222="","",INDEX(Q$6:Q$305,$I222))</f>
        <v/>
      </c>
      <c r="H222" s="6">
        <f>IF($I222="","",INDEX(R$6:R$305,$I222))</f>
        <v/>
      </c>
      <c r="I222" s="21">
        <f>IFERROR(MATCH(217,$T$6:$T$305,0),"")</f>
        <v/>
      </c>
      <c r="K222" s="21">
        <f>IF('Debtor Summary'!A221="","",'Debtor Summary'!A221)</f>
        <v/>
      </c>
      <c r="L222" s="24">
        <f>IF($K222="","",IF($B$2="","",ROUND(SUMIFS('Opening Balance'!$F$4:$F$303,'Opening Balance'!$G$4:$G$303,$K222)+SUMIFS('Daily Sale entry '!$S$2:$S$1501,'Daily Sale entry '!$P$2:$P$1501,$K222,'Daily Sale entry '!$Q$2:$Q$1501,"Credit Sale 赊销",'Daily Sale entry '!$O$2:$O$1501,"&lt;"&amp;$B$2)-SUMIFS('Daily Sale entry '!$S$2:$S$1501,'Daily Sale entry '!$P$2:$P$1501,$K222,'Daily Sale entry '!$Q$2:$Q$1501,"Collection 收款",'Daily Sale entry '!$O$2:$O$1501,"&lt;"&amp;$B$2)-SUMIFS('Daily Sale entry '!$AC$2:$AC$1501,'Daily Sale entry '!$AA$2:$AA$1501,$K222,'Daily Sale entry '!$Z$2:$Z$1501,"Online collection 网上收款",'Daily Sale entry '!$X$2:$X$1501,"&lt;"&amp;$B$2)-SUMIFS('Debtor Ledger'!$K$2:$K$3001,'Debtor Ledger'!$C$2:$C$3001,$K222,'Debtor Ledger'!$B$2:$B$3001,"&lt;"&amp;$B$2),2)))</f>
        <v/>
      </c>
      <c r="M222" s="24">
        <f>IF($K222="","",IF($B$2="","",SUMIFS('Daily Sale entry '!$S$2:$S$1501,'Daily Sale entry '!$P$2:$P$1501,$K222,'Daily Sale entry '!$Q$2:$Q$1501,"Credit Sale 赊销",'Daily Sale entry '!$O$2:$O$1501,$B$2)))</f>
        <v/>
      </c>
      <c r="N222" s="24">
        <f>IF($K222="","",IF($B$2="","",SUMIFS('Daily Sale entry '!$S$2:$S$1501,'Daily Sale entry '!$P$2:$P$1501,$K222,'Daily Sale entry '!$Q$2:$Q$1501,"Collection 收款",'Daily Sale entry '!$R$2:$R$1501,"Cash 现金",'Daily Sale entry '!$O$2:$O$1501,$B$2)))</f>
        <v/>
      </c>
      <c r="O222" s="24">
        <f>IF($K222="","",IF($B$2="","",SUMIFS('Daily Sale entry '!$S$2:$S$1501,'Daily Sale entry '!$P$2:$P$1501,$K222,'Daily Sale entry '!$Q$2:$Q$1501,"Collection 收款",'Daily Sale entry '!$R$2:$R$1501,"Cheque 支票",'Daily Sale entry '!$O$2:$O$1501,$B$2)))</f>
        <v/>
      </c>
      <c r="P222" s="24">
        <f>IF($K222="","",IF($B$2="","",SUMIFS('Daily Sale entry '!$AC$2:$AC$1501,'Daily Sale entry '!$AA$2:$AA$1501,$K222,'Daily Sale entry '!$Z$2:$Z$1501,"Online collection 网上收款",'Daily Sale entry '!$X$2:$X$1501,$B$2)))</f>
        <v/>
      </c>
      <c r="Q222" s="24">
        <f>IF($K222="","",IF($B$2="","",SUMIFS('Debtor Ledger'!$K$2:$K$3001,'Debtor Ledger'!$C$2:$C$3001,$K222,'Debtor Ledger'!$B$2:$B$3001,$B$2)))</f>
        <v/>
      </c>
      <c r="R222" s="24">
        <f>IF($K222="","",IF($B$2="","",ROUND(L222+M222-N222-O222-P222-Q222,2)))</f>
        <v/>
      </c>
      <c r="S222" s="21">
        <f>IF(K222="","",IF($B$2="","",IF(ABS(M222)+ABS(N222)+ABS(O222)+ABS(P222)+ABS(Q222)&gt;0,1,0)))</f>
        <v/>
      </c>
      <c r="T222" s="21">
        <f>IF(S222=1,SUM($S$6:S222),"")</f>
        <v/>
      </c>
    </row>
    <row r="223">
      <c r="A223">
        <f>IF($I223="","",INDEX(K$6:K$305,$I223))</f>
        <v/>
      </c>
      <c r="B223" s="6">
        <f>IF($I223="","",INDEX(L$6:L$305,$I223))</f>
        <v/>
      </c>
      <c r="C223" s="6">
        <f>IF($I223="","",INDEX(M$6:M$305,$I223))</f>
        <v/>
      </c>
      <c r="D223" s="6">
        <f>IF($I223="","",INDEX(N$6:N$305,$I223))</f>
        <v/>
      </c>
      <c r="E223" s="6">
        <f>IF($I223="","",INDEX(O$6:O$305,$I223))</f>
        <v/>
      </c>
      <c r="F223" s="6">
        <f>IF($I223="","",INDEX(P$6:P$305,$I223))</f>
        <v/>
      </c>
      <c r="G223" s="6">
        <f>IF($I223="","",INDEX(Q$6:Q$305,$I223))</f>
        <v/>
      </c>
      <c r="H223" s="6">
        <f>IF($I223="","",INDEX(R$6:R$305,$I223))</f>
        <v/>
      </c>
      <c r="I223" s="21">
        <f>IFERROR(MATCH(218,$T$6:$T$305,0),"")</f>
        <v/>
      </c>
      <c r="K223" s="21">
        <f>IF('Debtor Summary'!A222="","",'Debtor Summary'!A222)</f>
        <v/>
      </c>
      <c r="L223" s="24">
        <f>IF($K223="","",IF($B$2="","",ROUND(SUMIFS('Opening Balance'!$F$4:$F$303,'Opening Balance'!$G$4:$G$303,$K223)+SUMIFS('Daily Sale entry '!$S$2:$S$1501,'Daily Sale entry '!$P$2:$P$1501,$K223,'Daily Sale entry '!$Q$2:$Q$1501,"Credit Sale 赊销",'Daily Sale entry '!$O$2:$O$1501,"&lt;"&amp;$B$2)-SUMIFS('Daily Sale entry '!$S$2:$S$1501,'Daily Sale entry '!$P$2:$P$1501,$K223,'Daily Sale entry '!$Q$2:$Q$1501,"Collection 收款",'Daily Sale entry '!$O$2:$O$1501,"&lt;"&amp;$B$2)-SUMIFS('Daily Sale entry '!$AC$2:$AC$1501,'Daily Sale entry '!$AA$2:$AA$1501,$K223,'Daily Sale entry '!$Z$2:$Z$1501,"Online collection 网上收款",'Daily Sale entry '!$X$2:$X$1501,"&lt;"&amp;$B$2)-SUMIFS('Debtor Ledger'!$K$2:$K$3001,'Debtor Ledger'!$C$2:$C$3001,$K223,'Debtor Ledger'!$B$2:$B$3001,"&lt;"&amp;$B$2),2)))</f>
        <v/>
      </c>
      <c r="M223" s="24">
        <f>IF($K223="","",IF($B$2="","",SUMIFS('Daily Sale entry '!$S$2:$S$1501,'Daily Sale entry '!$P$2:$P$1501,$K223,'Daily Sale entry '!$Q$2:$Q$1501,"Credit Sale 赊销",'Daily Sale entry '!$O$2:$O$1501,$B$2)))</f>
        <v/>
      </c>
      <c r="N223" s="24">
        <f>IF($K223="","",IF($B$2="","",SUMIFS('Daily Sale entry '!$S$2:$S$1501,'Daily Sale entry '!$P$2:$P$1501,$K223,'Daily Sale entry '!$Q$2:$Q$1501,"Collection 收款",'Daily Sale entry '!$R$2:$R$1501,"Cash 现金",'Daily Sale entry '!$O$2:$O$1501,$B$2)))</f>
        <v/>
      </c>
      <c r="O223" s="24">
        <f>IF($K223="","",IF($B$2="","",SUMIFS('Daily Sale entry '!$S$2:$S$1501,'Daily Sale entry '!$P$2:$P$1501,$K223,'Daily Sale entry '!$Q$2:$Q$1501,"Collection 收款",'Daily Sale entry '!$R$2:$R$1501,"Cheque 支票",'Daily Sale entry '!$O$2:$O$1501,$B$2)))</f>
        <v/>
      </c>
      <c r="P223" s="24">
        <f>IF($K223="","",IF($B$2="","",SUMIFS('Daily Sale entry '!$AC$2:$AC$1501,'Daily Sale entry '!$AA$2:$AA$1501,$K223,'Daily Sale entry '!$Z$2:$Z$1501,"Online collection 网上收款",'Daily Sale entry '!$X$2:$X$1501,$B$2)))</f>
        <v/>
      </c>
      <c r="Q223" s="24">
        <f>IF($K223="","",IF($B$2="","",SUMIFS('Debtor Ledger'!$K$2:$K$3001,'Debtor Ledger'!$C$2:$C$3001,$K223,'Debtor Ledger'!$B$2:$B$3001,$B$2)))</f>
        <v/>
      </c>
      <c r="R223" s="24">
        <f>IF($K223="","",IF($B$2="","",ROUND(L223+M223-N223-O223-P223-Q223,2)))</f>
        <v/>
      </c>
      <c r="S223" s="21">
        <f>IF(K223="","",IF($B$2="","",IF(ABS(M223)+ABS(N223)+ABS(O223)+ABS(P223)+ABS(Q223)&gt;0,1,0)))</f>
        <v/>
      </c>
      <c r="T223" s="21">
        <f>IF(S223=1,SUM($S$6:S223),"")</f>
        <v/>
      </c>
    </row>
    <row r="224">
      <c r="A224">
        <f>IF($I224="","",INDEX(K$6:K$305,$I224))</f>
        <v/>
      </c>
      <c r="B224" s="6">
        <f>IF($I224="","",INDEX(L$6:L$305,$I224))</f>
        <v/>
      </c>
      <c r="C224" s="6">
        <f>IF($I224="","",INDEX(M$6:M$305,$I224))</f>
        <v/>
      </c>
      <c r="D224" s="6">
        <f>IF($I224="","",INDEX(N$6:N$305,$I224))</f>
        <v/>
      </c>
      <c r="E224" s="6">
        <f>IF($I224="","",INDEX(O$6:O$305,$I224))</f>
        <v/>
      </c>
      <c r="F224" s="6">
        <f>IF($I224="","",INDEX(P$6:P$305,$I224))</f>
        <v/>
      </c>
      <c r="G224" s="6">
        <f>IF($I224="","",INDEX(Q$6:Q$305,$I224))</f>
        <v/>
      </c>
      <c r="H224" s="6">
        <f>IF($I224="","",INDEX(R$6:R$305,$I224))</f>
        <v/>
      </c>
      <c r="I224" s="21">
        <f>IFERROR(MATCH(219,$T$6:$T$305,0),"")</f>
        <v/>
      </c>
      <c r="K224" s="21">
        <f>IF('Debtor Summary'!A223="","",'Debtor Summary'!A223)</f>
        <v/>
      </c>
      <c r="L224" s="24">
        <f>IF($K224="","",IF($B$2="","",ROUND(SUMIFS('Opening Balance'!$F$4:$F$303,'Opening Balance'!$G$4:$G$303,$K224)+SUMIFS('Daily Sale entry '!$S$2:$S$1501,'Daily Sale entry '!$P$2:$P$1501,$K224,'Daily Sale entry '!$Q$2:$Q$1501,"Credit Sale 赊销",'Daily Sale entry '!$O$2:$O$1501,"&lt;"&amp;$B$2)-SUMIFS('Daily Sale entry '!$S$2:$S$1501,'Daily Sale entry '!$P$2:$P$1501,$K224,'Daily Sale entry '!$Q$2:$Q$1501,"Collection 收款",'Daily Sale entry '!$O$2:$O$1501,"&lt;"&amp;$B$2)-SUMIFS('Daily Sale entry '!$AC$2:$AC$1501,'Daily Sale entry '!$AA$2:$AA$1501,$K224,'Daily Sale entry '!$Z$2:$Z$1501,"Online collection 网上收款",'Daily Sale entry '!$X$2:$X$1501,"&lt;"&amp;$B$2)-SUMIFS('Debtor Ledger'!$K$2:$K$3001,'Debtor Ledger'!$C$2:$C$3001,$K224,'Debtor Ledger'!$B$2:$B$3001,"&lt;"&amp;$B$2),2)))</f>
        <v/>
      </c>
      <c r="M224" s="24">
        <f>IF($K224="","",IF($B$2="","",SUMIFS('Daily Sale entry '!$S$2:$S$1501,'Daily Sale entry '!$P$2:$P$1501,$K224,'Daily Sale entry '!$Q$2:$Q$1501,"Credit Sale 赊销",'Daily Sale entry '!$O$2:$O$1501,$B$2)))</f>
        <v/>
      </c>
      <c r="N224" s="24">
        <f>IF($K224="","",IF($B$2="","",SUMIFS('Daily Sale entry '!$S$2:$S$1501,'Daily Sale entry '!$P$2:$P$1501,$K224,'Daily Sale entry '!$Q$2:$Q$1501,"Collection 收款",'Daily Sale entry '!$R$2:$R$1501,"Cash 现金",'Daily Sale entry '!$O$2:$O$1501,$B$2)))</f>
        <v/>
      </c>
      <c r="O224" s="24">
        <f>IF($K224="","",IF($B$2="","",SUMIFS('Daily Sale entry '!$S$2:$S$1501,'Daily Sale entry '!$P$2:$P$1501,$K224,'Daily Sale entry '!$Q$2:$Q$1501,"Collection 收款",'Daily Sale entry '!$R$2:$R$1501,"Cheque 支票",'Daily Sale entry '!$O$2:$O$1501,$B$2)))</f>
        <v/>
      </c>
      <c r="P224" s="24">
        <f>IF($K224="","",IF($B$2="","",SUMIFS('Daily Sale entry '!$AC$2:$AC$1501,'Daily Sale entry '!$AA$2:$AA$1501,$K224,'Daily Sale entry '!$Z$2:$Z$1501,"Online collection 网上收款",'Daily Sale entry '!$X$2:$X$1501,$B$2)))</f>
        <v/>
      </c>
      <c r="Q224" s="24">
        <f>IF($K224="","",IF($B$2="","",SUMIFS('Debtor Ledger'!$K$2:$K$3001,'Debtor Ledger'!$C$2:$C$3001,$K224,'Debtor Ledger'!$B$2:$B$3001,$B$2)))</f>
        <v/>
      </c>
      <c r="R224" s="24">
        <f>IF($K224="","",IF($B$2="","",ROUND(L224+M224-N224-O224-P224-Q224,2)))</f>
        <v/>
      </c>
      <c r="S224" s="21">
        <f>IF(K224="","",IF($B$2="","",IF(ABS(M224)+ABS(N224)+ABS(O224)+ABS(P224)+ABS(Q224)&gt;0,1,0)))</f>
        <v/>
      </c>
      <c r="T224" s="21">
        <f>IF(S224=1,SUM($S$6:S224),"")</f>
        <v/>
      </c>
    </row>
    <row r="225">
      <c r="A225">
        <f>IF($I225="","",INDEX(K$6:K$305,$I225))</f>
        <v/>
      </c>
      <c r="B225" s="6">
        <f>IF($I225="","",INDEX(L$6:L$305,$I225))</f>
        <v/>
      </c>
      <c r="C225" s="6">
        <f>IF($I225="","",INDEX(M$6:M$305,$I225))</f>
        <v/>
      </c>
      <c r="D225" s="6">
        <f>IF($I225="","",INDEX(N$6:N$305,$I225))</f>
        <v/>
      </c>
      <c r="E225" s="6">
        <f>IF($I225="","",INDEX(O$6:O$305,$I225))</f>
        <v/>
      </c>
      <c r="F225" s="6">
        <f>IF($I225="","",INDEX(P$6:P$305,$I225))</f>
        <v/>
      </c>
      <c r="G225" s="6">
        <f>IF($I225="","",INDEX(Q$6:Q$305,$I225))</f>
        <v/>
      </c>
      <c r="H225" s="6">
        <f>IF($I225="","",INDEX(R$6:R$305,$I225))</f>
        <v/>
      </c>
      <c r="I225" s="21">
        <f>IFERROR(MATCH(220,$T$6:$T$305,0),"")</f>
        <v/>
      </c>
      <c r="K225" s="21">
        <f>IF('Debtor Summary'!A224="","",'Debtor Summary'!A224)</f>
        <v/>
      </c>
      <c r="L225" s="24">
        <f>IF($K225="","",IF($B$2="","",ROUND(SUMIFS('Opening Balance'!$F$4:$F$303,'Opening Balance'!$G$4:$G$303,$K225)+SUMIFS('Daily Sale entry '!$S$2:$S$1501,'Daily Sale entry '!$P$2:$P$1501,$K225,'Daily Sale entry '!$Q$2:$Q$1501,"Credit Sale 赊销",'Daily Sale entry '!$O$2:$O$1501,"&lt;"&amp;$B$2)-SUMIFS('Daily Sale entry '!$S$2:$S$1501,'Daily Sale entry '!$P$2:$P$1501,$K225,'Daily Sale entry '!$Q$2:$Q$1501,"Collection 收款",'Daily Sale entry '!$O$2:$O$1501,"&lt;"&amp;$B$2)-SUMIFS('Daily Sale entry '!$AC$2:$AC$1501,'Daily Sale entry '!$AA$2:$AA$1501,$K225,'Daily Sale entry '!$Z$2:$Z$1501,"Online collection 网上收款",'Daily Sale entry '!$X$2:$X$1501,"&lt;"&amp;$B$2)-SUMIFS('Debtor Ledger'!$K$2:$K$3001,'Debtor Ledger'!$C$2:$C$3001,$K225,'Debtor Ledger'!$B$2:$B$3001,"&lt;"&amp;$B$2),2)))</f>
        <v/>
      </c>
      <c r="M225" s="24">
        <f>IF($K225="","",IF($B$2="","",SUMIFS('Daily Sale entry '!$S$2:$S$1501,'Daily Sale entry '!$P$2:$P$1501,$K225,'Daily Sale entry '!$Q$2:$Q$1501,"Credit Sale 赊销",'Daily Sale entry '!$O$2:$O$1501,$B$2)))</f>
        <v/>
      </c>
      <c r="N225" s="24">
        <f>IF($K225="","",IF($B$2="","",SUMIFS('Daily Sale entry '!$S$2:$S$1501,'Daily Sale entry '!$P$2:$P$1501,$K225,'Daily Sale entry '!$Q$2:$Q$1501,"Collection 收款",'Daily Sale entry '!$R$2:$R$1501,"Cash 现金",'Daily Sale entry '!$O$2:$O$1501,$B$2)))</f>
        <v/>
      </c>
      <c r="O225" s="24">
        <f>IF($K225="","",IF($B$2="","",SUMIFS('Daily Sale entry '!$S$2:$S$1501,'Daily Sale entry '!$P$2:$P$1501,$K225,'Daily Sale entry '!$Q$2:$Q$1501,"Collection 收款",'Daily Sale entry '!$R$2:$R$1501,"Cheque 支票",'Daily Sale entry '!$O$2:$O$1501,$B$2)))</f>
        <v/>
      </c>
      <c r="P225" s="24">
        <f>IF($K225="","",IF($B$2="","",SUMIFS('Daily Sale entry '!$AC$2:$AC$1501,'Daily Sale entry '!$AA$2:$AA$1501,$K225,'Daily Sale entry '!$Z$2:$Z$1501,"Online collection 网上收款",'Daily Sale entry '!$X$2:$X$1501,$B$2)))</f>
        <v/>
      </c>
      <c r="Q225" s="24">
        <f>IF($K225="","",IF($B$2="","",SUMIFS('Debtor Ledger'!$K$2:$K$3001,'Debtor Ledger'!$C$2:$C$3001,$K225,'Debtor Ledger'!$B$2:$B$3001,$B$2)))</f>
        <v/>
      </c>
      <c r="R225" s="24">
        <f>IF($K225="","",IF($B$2="","",ROUND(L225+M225-N225-O225-P225-Q225,2)))</f>
        <v/>
      </c>
      <c r="S225" s="21">
        <f>IF(K225="","",IF($B$2="","",IF(ABS(M225)+ABS(N225)+ABS(O225)+ABS(P225)+ABS(Q225)&gt;0,1,0)))</f>
        <v/>
      </c>
      <c r="T225" s="21">
        <f>IF(S225=1,SUM($S$6:S225),"")</f>
        <v/>
      </c>
    </row>
    <row r="226">
      <c r="A226">
        <f>IF($I226="","",INDEX(K$6:K$305,$I226))</f>
        <v/>
      </c>
      <c r="B226" s="6">
        <f>IF($I226="","",INDEX(L$6:L$305,$I226))</f>
        <v/>
      </c>
      <c r="C226" s="6">
        <f>IF($I226="","",INDEX(M$6:M$305,$I226))</f>
        <v/>
      </c>
      <c r="D226" s="6">
        <f>IF($I226="","",INDEX(N$6:N$305,$I226))</f>
        <v/>
      </c>
      <c r="E226" s="6">
        <f>IF($I226="","",INDEX(O$6:O$305,$I226))</f>
        <v/>
      </c>
      <c r="F226" s="6">
        <f>IF($I226="","",INDEX(P$6:P$305,$I226))</f>
        <v/>
      </c>
      <c r="G226" s="6">
        <f>IF($I226="","",INDEX(Q$6:Q$305,$I226))</f>
        <v/>
      </c>
      <c r="H226" s="6">
        <f>IF($I226="","",INDEX(R$6:R$305,$I226))</f>
        <v/>
      </c>
      <c r="I226" s="21">
        <f>IFERROR(MATCH(221,$T$6:$T$305,0),"")</f>
        <v/>
      </c>
      <c r="K226" s="21">
        <f>IF('Debtor Summary'!A225="","",'Debtor Summary'!A225)</f>
        <v/>
      </c>
      <c r="L226" s="24">
        <f>IF($K226="","",IF($B$2="","",ROUND(SUMIFS('Opening Balance'!$F$4:$F$303,'Opening Balance'!$G$4:$G$303,$K226)+SUMIFS('Daily Sale entry '!$S$2:$S$1501,'Daily Sale entry '!$P$2:$P$1501,$K226,'Daily Sale entry '!$Q$2:$Q$1501,"Credit Sale 赊销",'Daily Sale entry '!$O$2:$O$1501,"&lt;"&amp;$B$2)-SUMIFS('Daily Sale entry '!$S$2:$S$1501,'Daily Sale entry '!$P$2:$P$1501,$K226,'Daily Sale entry '!$Q$2:$Q$1501,"Collection 收款",'Daily Sale entry '!$O$2:$O$1501,"&lt;"&amp;$B$2)-SUMIFS('Daily Sale entry '!$AC$2:$AC$1501,'Daily Sale entry '!$AA$2:$AA$1501,$K226,'Daily Sale entry '!$Z$2:$Z$1501,"Online collection 网上收款",'Daily Sale entry '!$X$2:$X$1501,"&lt;"&amp;$B$2)-SUMIFS('Debtor Ledger'!$K$2:$K$3001,'Debtor Ledger'!$C$2:$C$3001,$K226,'Debtor Ledger'!$B$2:$B$3001,"&lt;"&amp;$B$2),2)))</f>
        <v/>
      </c>
      <c r="M226" s="24">
        <f>IF($K226="","",IF($B$2="","",SUMIFS('Daily Sale entry '!$S$2:$S$1501,'Daily Sale entry '!$P$2:$P$1501,$K226,'Daily Sale entry '!$Q$2:$Q$1501,"Credit Sale 赊销",'Daily Sale entry '!$O$2:$O$1501,$B$2)))</f>
        <v/>
      </c>
      <c r="N226" s="24">
        <f>IF($K226="","",IF($B$2="","",SUMIFS('Daily Sale entry '!$S$2:$S$1501,'Daily Sale entry '!$P$2:$P$1501,$K226,'Daily Sale entry '!$Q$2:$Q$1501,"Collection 收款",'Daily Sale entry '!$R$2:$R$1501,"Cash 现金",'Daily Sale entry '!$O$2:$O$1501,$B$2)))</f>
        <v/>
      </c>
      <c r="O226" s="24">
        <f>IF($K226="","",IF($B$2="","",SUMIFS('Daily Sale entry '!$S$2:$S$1501,'Daily Sale entry '!$P$2:$P$1501,$K226,'Daily Sale entry '!$Q$2:$Q$1501,"Collection 收款",'Daily Sale entry '!$R$2:$R$1501,"Cheque 支票",'Daily Sale entry '!$O$2:$O$1501,$B$2)))</f>
        <v/>
      </c>
      <c r="P226" s="24">
        <f>IF($K226="","",IF($B$2="","",SUMIFS('Daily Sale entry '!$AC$2:$AC$1501,'Daily Sale entry '!$AA$2:$AA$1501,$K226,'Daily Sale entry '!$Z$2:$Z$1501,"Online collection 网上收款",'Daily Sale entry '!$X$2:$X$1501,$B$2)))</f>
        <v/>
      </c>
      <c r="Q226" s="24">
        <f>IF($K226="","",IF($B$2="","",SUMIFS('Debtor Ledger'!$K$2:$K$3001,'Debtor Ledger'!$C$2:$C$3001,$K226,'Debtor Ledger'!$B$2:$B$3001,$B$2)))</f>
        <v/>
      </c>
      <c r="R226" s="24">
        <f>IF($K226="","",IF($B$2="","",ROUND(L226+M226-N226-O226-P226-Q226,2)))</f>
        <v/>
      </c>
      <c r="S226" s="21">
        <f>IF(K226="","",IF($B$2="","",IF(ABS(M226)+ABS(N226)+ABS(O226)+ABS(P226)+ABS(Q226)&gt;0,1,0)))</f>
        <v/>
      </c>
      <c r="T226" s="21">
        <f>IF(S226=1,SUM($S$6:S226),"")</f>
        <v/>
      </c>
    </row>
    <row r="227">
      <c r="A227">
        <f>IF($I227="","",INDEX(K$6:K$305,$I227))</f>
        <v/>
      </c>
      <c r="B227" s="6">
        <f>IF($I227="","",INDEX(L$6:L$305,$I227))</f>
        <v/>
      </c>
      <c r="C227" s="6">
        <f>IF($I227="","",INDEX(M$6:M$305,$I227))</f>
        <v/>
      </c>
      <c r="D227" s="6">
        <f>IF($I227="","",INDEX(N$6:N$305,$I227))</f>
        <v/>
      </c>
      <c r="E227" s="6">
        <f>IF($I227="","",INDEX(O$6:O$305,$I227))</f>
        <v/>
      </c>
      <c r="F227" s="6">
        <f>IF($I227="","",INDEX(P$6:P$305,$I227))</f>
        <v/>
      </c>
      <c r="G227" s="6">
        <f>IF($I227="","",INDEX(Q$6:Q$305,$I227))</f>
        <v/>
      </c>
      <c r="H227" s="6">
        <f>IF($I227="","",INDEX(R$6:R$305,$I227))</f>
        <v/>
      </c>
      <c r="I227" s="21">
        <f>IFERROR(MATCH(222,$T$6:$T$305,0),"")</f>
        <v/>
      </c>
      <c r="K227" s="21">
        <f>IF('Debtor Summary'!A226="","",'Debtor Summary'!A226)</f>
        <v/>
      </c>
      <c r="L227" s="24">
        <f>IF($K227="","",IF($B$2="","",ROUND(SUMIFS('Opening Balance'!$F$4:$F$303,'Opening Balance'!$G$4:$G$303,$K227)+SUMIFS('Daily Sale entry '!$S$2:$S$1501,'Daily Sale entry '!$P$2:$P$1501,$K227,'Daily Sale entry '!$Q$2:$Q$1501,"Credit Sale 赊销",'Daily Sale entry '!$O$2:$O$1501,"&lt;"&amp;$B$2)-SUMIFS('Daily Sale entry '!$S$2:$S$1501,'Daily Sale entry '!$P$2:$P$1501,$K227,'Daily Sale entry '!$Q$2:$Q$1501,"Collection 收款",'Daily Sale entry '!$O$2:$O$1501,"&lt;"&amp;$B$2)-SUMIFS('Daily Sale entry '!$AC$2:$AC$1501,'Daily Sale entry '!$AA$2:$AA$1501,$K227,'Daily Sale entry '!$Z$2:$Z$1501,"Online collection 网上收款",'Daily Sale entry '!$X$2:$X$1501,"&lt;"&amp;$B$2)-SUMIFS('Debtor Ledger'!$K$2:$K$3001,'Debtor Ledger'!$C$2:$C$3001,$K227,'Debtor Ledger'!$B$2:$B$3001,"&lt;"&amp;$B$2),2)))</f>
        <v/>
      </c>
      <c r="M227" s="24">
        <f>IF($K227="","",IF($B$2="","",SUMIFS('Daily Sale entry '!$S$2:$S$1501,'Daily Sale entry '!$P$2:$P$1501,$K227,'Daily Sale entry '!$Q$2:$Q$1501,"Credit Sale 赊销",'Daily Sale entry '!$O$2:$O$1501,$B$2)))</f>
        <v/>
      </c>
      <c r="N227" s="24">
        <f>IF($K227="","",IF($B$2="","",SUMIFS('Daily Sale entry '!$S$2:$S$1501,'Daily Sale entry '!$P$2:$P$1501,$K227,'Daily Sale entry '!$Q$2:$Q$1501,"Collection 收款",'Daily Sale entry '!$R$2:$R$1501,"Cash 现金",'Daily Sale entry '!$O$2:$O$1501,$B$2)))</f>
        <v/>
      </c>
      <c r="O227" s="24">
        <f>IF($K227="","",IF($B$2="","",SUMIFS('Daily Sale entry '!$S$2:$S$1501,'Daily Sale entry '!$P$2:$P$1501,$K227,'Daily Sale entry '!$Q$2:$Q$1501,"Collection 收款",'Daily Sale entry '!$R$2:$R$1501,"Cheque 支票",'Daily Sale entry '!$O$2:$O$1501,$B$2)))</f>
        <v/>
      </c>
      <c r="P227" s="24">
        <f>IF($K227="","",IF($B$2="","",SUMIFS('Daily Sale entry '!$AC$2:$AC$1501,'Daily Sale entry '!$AA$2:$AA$1501,$K227,'Daily Sale entry '!$Z$2:$Z$1501,"Online collection 网上收款",'Daily Sale entry '!$X$2:$X$1501,$B$2)))</f>
        <v/>
      </c>
      <c r="Q227" s="24">
        <f>IF($K227="","",IF($B$2="","",SUMIFS('Debtor Ledger'!$K$2:$K$3001,'Debtor Ledger'!$C$2:$C$3001,$K227,'Debtor Ledger'!$B$2:$B$3001,$B$2)))</f>
        <v/>
      </c>
      <c r="R227" s="24">
        <f>IF($K227="","",IF($B$2="","",ROUND(L227+M227-N227-O227-P227-Q227,2)))</f>
        <v/>
      </c>
      <c r="S227" s="21">
        <f>IF(K227="","",IF($B$2="","",IF(ABS(M227)+ABS(N227)+ABS(O227)+ABS(P227)+ABS(Q227)&gt;0,1,0)))</f>
        <v/>
      </c>
      <c r="T227" s="21">
        <f>IF(S227=1,SUM($S$6:S227),"")</f>
        <v/>
      </c>
    </row>
    <row r="228">
      <c r="A228">
        <f>IF($I228="","",INDEX(K$6:K$305,$I228))</f>
        <v/>
      </c>
      <c r="B228" s="6">
        <f>IF($I228="","",INDEX(L$6:L$305,$I228))</f>
        <v/>
      </c>
      <c r="C228" s="6">
        <f>IF($I228="","",INDEX(M$6:M$305,$I228))</f>
        <v/>
      </c>
      <c r="D228" s="6">
        <f>IF($I228="","",INDEX(N$6:N$305,$I228))</f>
        <v/>
      </c>
      <c r="E228" s="6">
        <f>IF($I228="","",INDEX(O$6:O$305,$I228))</f>
        <v/>
      </c>
      <c r="F228" s="6">
        <f>IF($I228="","",INDEX(P$6:P$305,$I228))</f>
        <v/>
      </c>
      <c r="G228" s="6">
        <f>IF($I228="","",INDEX(Q$6:Q$305,$I228))</f>
        <v/>
      </c>
      <c r="H228" s="6">
        <f>IF($I228="","",INDEX(R$6:R$305,$I228))</f>
        <v/>
      </c>
      <c r="I228" s="21">
        <f>IFERROR(MATCH(223,$T$6:$T$305,0),"")</f>
        <v/>
      </c>
      <c r="K228" s="21">
        <f>IF('Debtor Summary'!A227="","",'Debtor Summary'!A227)</f>
        <v/>
      </c>
      <c r="L228" s="24">
        <f>IF($K228="","",IF($B$2="","",ROUND(SUMIFS('Opening Balance'!$F$4:$F$303,'Opening Balance'!$G$4:$G$303,$K228)+SUMIFS('Daily Sale entry '!$S$2:$S$1501,'Daily Sale entry '!$P$2:$P$1501,$K228,'Daily Sale entry '!$Q$2:$Q$1501,"Credit Sale 赊销",'Daily Sale entry '!$O$2:$O$1501,"&lt;"&amp;$B$2)-SUMIFS('Daily Sale entry '!$S$2:$S$1501,'Daily Sale entry '!$P$2:$P$1501,$K228,'Daily Sale entry '!$Q$2:$Q$1501,"Collection 收款",'Daily Sale entry '!$O$2:$O$1501,"&lt;"&amp;$B$2)-SUMIFS('Daily Sale entry '!$AC$2:$AC$1501,'Daily Sale entry '!$AA$2:$AA$1501,$K228,'Daily Sale entry '!$Z$2:$Z$1501,"Online collection 网上收款",'Daily Sale entry '!$X$2:$X$1501,"&lt;"&amp;$B$2)-SUMIFS('Debtor Ledger'!$K$2:$K$3001,'Debtor Ledger'!$C$2:$C$3001,$K228,'Debtor Ledger'!$B$2:$B$3001,"&lt;"&amp;$B$2),2)))</f>
        <v/>
      </c>
      <c r="M228" s="24">
        <f>IF($K228="","",IF($B$2="","",SUMIFS('Daily Sale entry '!$S$2:$S$1501,'Daily Sale entry '!$P$2:$P$1501,$K228,'Daily Sale entry '!$Q$2:$Q$1501,"Credit Sale 赊销",'Daily Sale entry '!$O$2:$O$1501,$B$2)))</f>
        <v/>
      </c>
      <c r="N228" s="24">
        <f>IF($K228="","",IF($B$2="","",SUMIFS('Daily Sale entry '!$S$2:$S$1501,'Daily Sale entry '!$P$2:$P$1501,$K228,'Daily Sale entry '!$Q$2:$Q$1501,"Collection 收款",'Daily Sale entry '!$R$2:$R$1501,"Cash 现金",'Daily Sale entry '!$O$2:$O$1501,$B$2)))</f>
        <v/>
      </c>
      <c r="O228" s="24">
        <f>IF($K228="","",IF($B$2="","",SUMIFS('Daily Sale entry '!$S$2:$S$1501,'Daily Sale entry '!$P$2:$P$1501,$K228,'Daily Sale entry '!$Q$2:$Q$1501,"Collection 收款",'Daily Sale entry '!$R$2:$R$1501,"Cheque 支票",'Daily Sale entry '!$O$2:$O$1501,$B$2)))</f>
        <v/>
      </c>
      <c r="P228" s="24">
        <f>IF($K228="","",IF($B$2="","",SUMIFS('Daily Sale entry '!$AC$2:$AC$1501,'Daily Sale entry '!$AA$2:$AA$1501,$K228,'Daily Sale entry '!$Z$2:$Z$1501,"Online collection 网上收款",'Daily Sale entry '!$X$2:$X$1501,$B$2)))</f>
        <v/>
      </c>
      <c r="Q228" s="24">
        <f>IF($K228="","",IF($B$2="","",SUMIFS('Debtor Ledger'!$K$2:$K$3001,'Debtor Ledger'!$C$2:$C$3001,$K228,'Debtor Ledger'!$B$2:$B$3001,$B$2)))</f>
        <v/>
      </c>
      <c r="R228" s="24">
        <f>IF($K228="","",IF($B$2="","",ROUND(L228+M228-N228-O228-P228-Q228,2)))</f>
        <v/>
      </c>
      <c r="S228" s="21">
        <f>IF(K228="","",IF($B$2="","",IF(ABS(M228)+ABS(N228)+ABS(O228)+ABS(P228)+ABS(Q228)&gt;0,1,0)))</f>
        <v/>
      </c>
      <c r="T228" s="21">
        <f>IF(S228=1,SUM($S$6:S228),"")</f>
        <v/>
      </c>
    </row>
    <row r="229">
      <c r="A229">
        <f>IF($I229="","",INDEX(K$6:K$305,$I229))</f>
        <v/>
      </c>
      <c r="B229" s="6">
        <f>IF($I229="","",INDEX(L$6:L$305,$I229))</f>
        <v/>
      </c>
      <c r="C229" s="6">
        <f>IF($I229="","",INDEX(M$6:M$305,$I229))</f>
        <v/>
      </c>
      <c r="D229" s="6">
        <f>IF($I229="","",INDEX(N$6:N$305,$I229))</f>
        <v/>
      </c>
      <c r="E229" s="6">
        <f>IF($I229="","",INDEX(O$6:O$305,$I229))</f>
        <v/>
      </c>
      <c r="F229" s="6">
        <f>IF($I229="","",INDEX(P$6:P$305,$I229))</f>
        <v/>
      </c>
      <c r="G229" s="6">
        <f>IF($I229="","",INDEX(Q$6:Q$305,$I229))</f>
        <v/>
      </c>
      <c r="H229" s="6">
        <f>IF($I229="","",INDEX(R$6:R$305,$I229))</f>
        <v/>
      </c>
      <c r="I229" s="21">
        <f>IFERROR(MATCH(224,$T$6:$T$305,0),"")</f>
        <v/>
      </c>
      <c r="K229" s="21">
        <f>IF('Debtor Summary'!A228="","",'Debtor Summary'!A228)</f>
        <v/>
      </c>
      <c r="L229" s="24">
        <f>IF($K229="","",IF($B$2="","",ROUND(SUMIFS('Opening Balance'!$F$4:$F$303,'Opening Balance'!$G$4:$G$303,$K229)+SUMIFS('Daily Sale entry '!$S$2:$S$1501,'Daily Sale entry '!$P$2:$P$1501,$K229,'Daily Sale entry '!$Q$2:$Q$1501,"Credit Sale 赊销",'Daily Sale entry '!$O$2:$O$1501,"&lt;"&amp;$B$2)-SUMIFS('Daily Sale entry '!$S$2:$S$1501,'Daily Sale entry '!$P$2:$P$1501,$K229,'Daily Sale entry '!$Q$2:$Q$1501,"Collection 收款",'Daily Sale entry '!$O$2:$O$1501,"&lt;"&amp;$B$2)-SUMIFS('Daily Sale entry '!$AC$2:$AC$1501,'Daily Sale entry '!$AA$2:$AA$1501,$K229,'Daily Sale entry '!$Z$2:$Z$1501,"Online collection 网上收款",'Daily Sale entry '!$X$2:$X$1501,"&lt;"&amp;$B$2)-SUMIFS('Debtor Ledger'!$K$2:$K$3001,'Debtor Ledger'!$C$2:$C$3001,$K229,'Debtor Ledger'!$B$2:$B$3001,"&lt;"&amp;$B$2),2)))</f>
        <v/>
      </c>
      <c r="M229" s="24">
        <f>IF($K229="","",IF($B$2="","",SUMIFS('Daily Sale entry '!$S$2:$S$1501,'Daily Sale entry '!$P$2:$P$1501,$K229,'Daily Sale entry '!$Q$2:$Q$1501,"Credit Sale 赊销",'Daily Sale entry '!$O$2:$O$1501,$B$2)))</f>
        <v/>
      </c>
      <c r="N229" s="24">
        <f>IF($K229="","",IF($B$2="","",SUMIFS('Daily Sale entry '!$S$2:$S$1501,'Daily Sale entry '!$P$2:$P$1501,$K229,'Daily Sale entry '!$Q$2:$Q$1501,"Collection 收款",'Daily Sale entry '!$R$2:$R$1501,"Cash 现金",'Daily Sale entry '!$O$2:$O$1501,$B$2)))</f>
        <v/>
      </c>
      <c r="O229" s="24">
        <f>IF($K229="","",IF($B$2="","",SUMIFS('Daily Sale entry '!$S$2:$S$1501,'Daily Sale entry '!$P$2:$P$1501,$K229,'Daily Sale entry '!$Q$2:$Q$1501,"Collection 收款",'Daily Sale entry '!$R$2:$R$1501,"Cheque 支票",'Daily Sale entry '!$O$2:$O$1501,$B$2)))</f>
        <v/>
      </c>
      <c r="P229" s="24">
        <f>IF($K229="","",IF($B$2="","",SUMIFS('Daily Sale entry '!$AC$2:$AC$1501,'Daily Sale entry '!$AA$2:$AA$1501,$K229,'Daily Sale entry '!$Z$2:$Z$1501,"Online collection 网上收款",'Daily Sale entry '!$X$2:$X$1501,$B$2)))</f>
        <v/>
      </c>
      <c r="Q229" s="24">
        <f>IF($K229="","",IF($B$2="","",SUMIFS('Debtor Ledger'!$K$2:$K$3001,'Debtor Ledger'!$C$2:$C$3001,$K229,'Debtor Ledger'!$B$2:$B$3001,$B$2)))</f>
        <v/>
      </c>
      <c r="R229" s="24">
        <f>IF($K229="","",IF($B$2="","",ROUND(L229+M229-N229-O229-P229-Q229,2)))</f>
        <v/>
      </c>
      <c r="S229" s="21">
        <f>IF(K229="","",IF($B$2="","",IF(ABS(M229)+ABS(N229)+ABS(O229)+ABS(P229)+ABS(Q229)&gt;0,1,0)))</f>
        <v/>
      </c>
      <c r="T229" s="21">
        <f>IF(S229=1,SUM($S$6:S229),"")</f>
        <v/>
      </c>
    </row>
    <row r="230">
      <c r="A230">
        <f>IF($I230="","",INDEX(K$6:K$305,$I230))</f>
        <v/>
      </c>
      <c r="B230" s="6">
        <f>IF($I230="","",INDEX(L$6:L$305,$I230))</f>
        <v/>
      </c>
      <c r="C230" s="6">
        <f>IF($I230="","",INDEX(M$6:M$305,$I230))</f>
        <v/>
      </c>
      <c r="D230" s="6">
        <f>IF($I230="","",INDEX(N$6:N$305,$I230))</f>
        <v/>
      </c>
      <c r="E230" s="6">
        <f>IF($I230="","",INDEX(O$6:O$305,$I230))</f>
        <v/>
      </c>
      <c r="F230" s="6">
        <f>IF($I230="","",INDEX(P$6:P$305,$I230))</f>
        <v/>
      </c>
      <c r="G230" s="6">
        <f>IF($I230="","",INDEX(Q$6:Q$305,$I230))</f>
        <v/>
      </c>
      <c r="H230" s="6">
        <f>IF($I230="","",INDEX(R$6:R$305,$I230))</f>
        <v/>
      </c>
      <c r="I230" s="21">
        <f>IFERROR(MATCH(225,$T$6:$T$305,0),"")</f>
        <v/>
      </c>
      <c r="K230" s="21">
        <f>IF('Debtor Summary'!A229="","",'Debtor Summary'!A229)</f>
        <v/>
      </c>
      <c r="L230" s="24">
        <f>IF($K230="","",IF($B$2="","",ROUND(SUMIFS('Opening Balance'!$F$4:$F$303,'Opening Balance'!$G$4:$G$303,$K230)+SUMIFS('Daily Sale entry '!$S$2:$S$1501,'Daily Sale entry '!$P$2:$P$1501,$K230,'Daily Sale entry '!$Q$2:$Q$1501,"Credit Sale 赊销",'Daily Sale entry '!$O$2:$O$1501,"&lt;"&amp;$B$2)-SUMIFS('Daily Sale entry '!$S$2:$S$1501,'Daily Sale entry '!$P$2:$P$1501,$K230,'Daily Sale entry '!$Q$2:$Q$1501,"Collection 收款",'Daily Sale entry '!$O$2:$O$1501,"&lt;"&amp;$B$2)-SUMIFS('Daily Sale entry '!$AC$2:$AC$1501,'Daily Sale entry '!$AA$2:$AA$1501,$K230,'Daily Sale entry '!$Z$2:$Z$1501,"Online collection 网上收款",'Daily Sale entry '!$X$2:$X$1501,"&lt;"&amp;$B$2)-SUMIFS('Debtor Ledger'!$K$2:$K$3001,'Debtor Ledger'!$C$2:$C$3001,$K230,'Debtor Ledger'!$B$2:$B$3001,"&lt;"&amp;$B$2),2)))</f>
        <v/>
      </c>
      <c r="M230" s="24">
        <f>IF($K230="","",IF($B$2="","",SUMIFS('Daily Sale entry '!$S$2:$S$1501,'Daily Sale entry '!$P$2:$P$1501,$K230,'Daily Sale entry '!$Q$2:$Q$1501,"Credit Sale 赊销",'Daily Sale entry '!$O$2:$O$1501,$B$2)))</f>
        <v/>
      </c>
      <c r="N230" s="24">
        <f>IF($K230="","",IF($B$2="","",SUMIFS('Daily Sale entry '!$S$2:$S$1501,'Daily Sale entry '!$P$2:$P$1501,$K230,'Daily Sale entry '!$Q$2:$Q$1501,"Collection 收款",'Daily Sale entry '!$R$2:$R$1501,"Cash 现金",'Daily Sale entry '!$O$2:$O$1501,$B$2)))</f>
        <v/>
      </c>
      <c r="O230" s="24">
        <f>IF($K230="","",IF($B$2="","",SUMIFS('Daily Sale entry '!$S$2:$S$1501,'Daily Sale entry '!$P$2:$P$1501,$K230,'Daily Sale entry '!$Q$2:$Q$1501,"Collection 收款",'Daily Sale entry '!$R$2:$R$1501,"Cheque 支票",'Daily Sale entry '!$O$2:$O$1501,$B$2)))</f>
        <v/>
      </c>
      <c r="P230" s="24">
        <f>IF($K230="","",IF($B$2="","",SUMIFS('Daily Sale entry '!$AC$2:$AC$1501,'Daily Sale entry '!$AA$2:$AA$1501,$K230,'Daily Sale entry '!$Z$2:$Z$1501,"Online collection 网上收款",'Daily Sale entry '!$X$2:$X$1501,$B$2)))</f>
        <v/>
      </c>
      <c r="Q230" s="24">
        <f>IF($K230="","",IF($B$2="","",SUMIFS('Debtor Ledger'!$K$2:$K$3001,'Debtor Ledger'!$C$2:$C$3001,$K230,'Debtor Ledger'!$B$2:$B$3001,$B$2)))</f>
        <v/>
      </c>
      <c r="R230" s="24">
        <f>IF($K230="","",IF($B$2="","",ROUND(L230+M230-N230-O230-P230-Q230,2)))</f>
        <v/>
      </c>
      <c r="S230" s="21">
        <f>IF(K230="","",IF($B$2="","",IF(ABS(M230)+ABS(N230)+ABS(O230)+ABS(P230)+ABS(Q230)&gt;0,1,0)))</f>
        <v/>
      </c>
      <c r="T230" s="21">
        <f>IF(S230=1,SUM($S$6:S230),"")</f>
        <v/>
      </c>
    </row>
    <row r="231">
      <c r="A231">
        <f>IF($I231="","",INDEX(K$6:K$305,$I231))</f>
        <v/>
      </c>
      <c r="B231" s="6">
        <f>IF($I231="","",INDEX(L$6:L$305,$I231))</f>
        <v/>
      </c>
      <c r="C231" s="6">
        <f>IF($I231="","",INDEX(M$6:M$305,$I231))</f>
        <v/>
      </c>
      <c r="D231" s="6">
        <f>IF($I231="","",INDEX(N$6:N$305,$I231))</f>
        <v/>
      </c>
      <c r="E231" s="6">
        <f>IF($I231="","",INDEX(O$6:O$305,$I231))</f>
        <v/>
      </c>
      <c r="F231" s="6">
        <f>IF($I231="","",INDEX(P$6:P$305,$I231))</f>
        <v/>
      </c>
      <c r="G231" s="6">
        <f>IF($I231="","",INDEX(Q$6:Q$305,$I231))</f>
        <v/>
      </c>
      <c r="H231" s="6">
        <f>IF($I231="","",INDEX(R$6:R$305,$I231))</f>
        <v/>
      </c>
      <c r="I231" s="21">
        <f>IFERROR(MATCH(226,$T$6:$T$305,0),"")</f>
        <v/>
      </c>
      <c r="K231" s="21">
        <f>IF('Debtor Summary'!A230="","",'Debtor Summary'!A230)</f>
        <v/>
      </c>
      <c r="L231" s="24">
        <f>IF($K231="","",IF($B$2="","",ROUND(SUMIFS('Opening Balance'!$F$4:$F$303,'Opening Balance'!$G$4:$G$303,$K231)+SUMIFS('Daily Sale entry '!$S$2:$S$1501,'Daily Sale entry '!$P$2:$P$1501,$K231,'Daily Sale entry '!$Q$2:$Q$1501,"Credit Sale 赊销",'Daily Sale entry '!$O$2:$O$1501,"&lt;"&amp;$B$2)-SUMIFS('Daily Sale entry '!$S$2:$S$1501,'Daily Sale entry '!$P$2:$P$1501,$K231,'Daily Sale entry '!$Q$2:$Q$1501,"Collection 收款",'Daily Sale entry '!$O$2:$O$1501,"&lt;"&amp;$B$2)-SUMIFS('Daily Sale entry '!$AC$2:$AC$1501,'Daily Sale entry '!$AA$2:$AA$1501,$K231,'Daily Sale entry '!$Z$2:$Z$1501,"Online collection 网上收款",'Daily Sale entry '!$X$2:$X$1501,"&lt;"&amp;$B$2)-SUMIFS('Debtor Ledger'!$K$2:$K$3001,'Debtor Ledger'!$C$2:$C$3001,$K231,'Debtor Ledger'!$B$2:$B$3001,"&lt;"&amp;$B$2),2)))</f>
        <v/>
      </c>
      <c r="M231" s="24">
        <f>IF($K231="","",IF($B$2="","",SUMIFS('Daily Sale entry '!$S$2:$S$1501,'Daily Sale entry '!$P$2:$P$1501,$K231,'Daily Sale entry '!$Q$2:$Q$1501,"Credit Sale 赊销",'Daily Sale entry '!$O$2:$O$1501,$B$2)))</f>
        <v/>
      </c>
      <c r="N231" s="24">
        <f>IF($K231="","",IF($B$2="","",SUMIFS('Daily Sale entry '!$S$2:$S$1501,'Daily Sale entry '!$P$2:$P$1501,$K231,'Daily Sale entry '!$Q$2:$Q$1501,"Collection 收款",'Daily Sale entry '!$R$2:$R$1501,"Cash 现金",'Daily Sale entry '!$O$2:$O$1501,$B$2)))</f>
        <v/>
      </c>
      <c r="O231" s="24">
        <f>IF($K231="","",IF($B$2="","",SUMIFS('Daily Sale entry '!$S$2:$S$1501,'Daily Sale entry '!$P$2:$P$1501,$K231,'Daily Sale entry '!$Q$2:$Q$1501,"Collection 收款",'Daily Sale entry '!$R$2:$R$1501,"Cheque 支票",'Daily Sale entry '!$O$2:$O$1501,$B$2)))</f>
        <v/>
      </c>
      <c r="P231" s="24">
        <f>IF($K231="","",IF($B$2="","",SUMIFS('Daily Sale entry '!$AC$2:$AC$1501,'Daily Sale entry '!$AA$2:$AA$1501,$K231,'Daily Sale entry '!$Z$2:$Z$1501,"Online collection 网上收款",'Daily Sale entry '!$X$2:$X$1501,$B$2)))</f>
        <v/>
      </c>
      <c r="Q231" s="24">
        <f>IF($K231="","",IF($B$2="","",SUMIFS('Debtor Ledger'!$K$2:$K$3001,'Debtor Ledger'!$C$2:$C$3001,$K231,'Debtor Ledger'!$B$2:$B$3001,$B$2)))</f>
        <v/>
      </c>
      <c r="R231" s="24">
        <f>IF($K231="","",IF($B$2="","",ROUND(L231+M231-N231-O231-P231-Q231,2)))</f>
        <v/>
      </c>
      <c r="S231" s="21">
        <f>IF(K231="","",IF($B$2="","",IF(ABS(M231)+ABS(N231)+ABS(O231)+ABS(P231)+ABS(Q231)&gt;0,1,0)))</f>
        <v/>
      </c>
      <c r="T231" s="21">
        <f>IF(S231=1,SUM($S$6:S231),"")</f>
        <v/>
      </c>
    </row>
    <row r="232">
      <c r="A232">
        <f>IF($I232="","",INDEX(K$6:K$305,$I232))</f>
        <v/>
      </c>
      <c r="B232" s="6">
        <f>IF($I232="","",INDEX(L$6:L$305,$I232))</f>
        <v/>
      </c>
      <c r="C232" s="6">
        <f>IF($I232="","",INDEX(M$6:M$305,$I232))</f>
        <v/>
      </c>
      <c r="D232" s="6">
        <f>IF($I232="","",INDEX(N$6:N$305,$I232))</f>
        <v/>
      </c>
      <c r="E232" s="6">
        <f>IF($I232="","",INDEX(O$6:O$305,$I232))</f>
        <v/>
      </c>
      <c r="F232" s="6">
        <f>IF($I232="","",INDEX(P$6:P$305,$I232))</f>
        <v/>
      </c>
      <c r="G232" s="6">
        <f>IF($I232="","",INDEX(Q$6:Q$305,$I232))</f>
        <v/>
      </c>
      <c r="H232" s="6">
        <f>IF($I232="","",INDEX(R$6:R$305,$I232))</f>
        <v/>
      </c>
      <c r="I232" s="21">
        <f>IFERROR(MATCH(227,$T$6:$T$305,0),"")</f>
        <v/>
      </c>
      <c r="K232" s="21">
        <f>IF('Debtor Summary'!A231="","",'Debtor Summary'!A231)</f>
        <v/>
      </c>
      <c r="L232" s="24">
        <f>IF($K232="","",IF($B$2="","",ROUND(SUMIFS('Opening Balance'!$F$4:$F$303,'Opening Balance'!$G$4:$G$303,$K232)+SUMIFS('Daily Sale entry '!$S$2:$S$1501,'Daily Sale entry '!$P$2:$P$1501,$K232,'Daily Sale entry '!$Q$2:$Q$1501,"Credit Sale 赊销",'Daily Sale entry '!$O$2:$O$1501,"&lt;"&amp;$B$2)-SUMIFS('Daily Sale entry '!$S$2:$S$1501,'Daily Sale entry '!$P$2:$P$1501,$K232,'Daily Sale entry '!$Q$2:$Q$1501,"Collection 收款",'Daily Sale entry '!$O$2:$O$1501,"&lt;"&amp;$B$2)-SUMIFS('Daily Sale entry '!$AC$2:$AC$1501,'Daily Sale entry '!$AA$2:$AA$1501,$K232,'Daily Sale entry '!$Z$2:$Z$1501,"Online collection 网上收款",'Daily Sale entry '!$X$2:$X$1501,"&lt;"&amp;$B$2)-SUMIFS('Debtor Ledger'!$K$2:$K$3001,'Debtor Ledger'!$C$2:$C$3001,$K232,'Debtor Ledger'!$B$2:$B$3001,"&lt;"&amp;$B$2),2)))</f>
        <v/>
      </c>
      <c r="M232" s="24">
        <f>IF($K232="","",IF($B$2="","",SUMIFS('Daily Sale entry '!$S$2:$S$1501,'Daily Sale entry '!$P$2:$P$1501,$K232,'Daily Sale entry '!$Q$2:$Q$1501,"Credit Sale 赊销",'Daily Sale entry '!$O$2:$O$1501,$B$2)))</f>
        <v/>
      </c>
      <c r="N232" s="24">
        <f>IF($K232="","",IF($B$2="","",SUMIFS('Daily Sale entry '!$S$2:$S$1501,'Daily Sale entry '!$P$2:$P$1501,$K232,'Daily Sale entry '!$Q$2:$Q$1501,"Collection 收款",'Daily Sale entry '!$R$2:$R$1501,"Cash 现金",'Daily Sale entry '!$O$2:$O$1501,$B$2)))</f>
        <v/>
      </c>
      <c r="O232" s="24">
        <f>IF($K232="","",IF($B$2="","",SUMIFS('Daily Sale entry '!$S$2:$S$1501,'Daily Sale entry '!$P$2:$P$1501,$K232,'Daily Sale entry '!$Q$2:$Q$1501,"Collection 收款",'Daily Sale entry '!$R$2:$R$1501,"Cheque 支票",'Daily Sale entry '!$O$2:$O$1501,$B$2)))</f>
        <v/>
      </c>
      <c r="P232" s="24">
        <f>IF($K232="","",IF($B$2="","",SUMIFS('Daily Sale entry '!$AC$2:$AC$1501,'Daily Sale entry '!$AA$2:$AA$1501,$K232,'Daily Sale entry '!$Z$2:$Z$1501,"Online collection 网上收款",'Daily Sale entry '!$X$2:$X$1501,$B$2)))</f>
        <v/>
      </c>
      <c r="Q232" s="24">
        <f>IF($K232="","",IF($B$2="","",SUMIFS('Debtor Ledger'!$K$2:$K$3001,'Debtor Ledger'!$C$2:$C$3001,$K232,'Debtor Ledger'!$B$2:$B$3001,$B$2)))</f>
        <v/>
      </c>
      <c r="R232" s="24">
        <f>IF($K232="","",IF($B$2="","",ROUND(L232+M232-N232-O232-P232-Q232,2)))</f>
        <v/>
      </c>
      <c r="S232" s="21">
        <f>IF(K232="","",IF($B$2="","",IF(ABS(M232)+ABS(N232)+ABS(O232)+ABS(P232)+ABS(Q232)&gt;0,1,0)))</f>
        <v/>
      </c>
      <c r="T232" s="21">
        <f>IF(S232=1,SUM($S$6:S232),"")</f>
        <v/>
      </c>
    </row>
    <row r="233">
      <c r="A233">
        <f>IF($I233="","",INDEX(K$6:K$305,$I233))</f>
        <v/>
      </c>
      <c r="B233" s="6">
        <f>IF($I233="","",INDEX(L$6:L$305,$I233))</f>
        <v/>
      </c>
      <c r="C233" s="6">
        <f>IF($I233="","",INDEX(M$6:M$305,$I233))</f>
        <v/>
      </c>
      <c r="D233" s="6">
        <f>IF($I233="","",INDEX(N$6:N$305,$I233))</f>
        <v/>
      </c>
      <c r="E233" s="6">
        <f>IF($I233="","",INDEX(O$6:O$305,$I233))</f>
        <v/>
      </c>
      <c r="F233" s="6">
        <f>IF($I233="","",INDEX(P$6:P$305,$I233))</f>
        <v/>
      </c>
      <c r="G233" s="6">
        <f>IF($I233="","",INDEX(Q$6:Q$305,$I233))</f>
        <v/>
      </c>
      <c r="H233" s="6">
        <f>IF($I233="","",INDEX(R$6:R$305,$I233))</f>
        <v/>
      </c>
      <c r="I233" s="21">
        <f>IFERROR(MATCH(228,$T$6:$T$305,0),"")</f>
        <v/>
      </c>
      <c r="K233" s="21">
        <f>IF('Debtor Summary'!A232="","",'Debtor Summary'!A232)</f>
        <v/>
      </c>
      <c r="L233" s="24">
        <f>IF($K233="","",IF($B$2="","",ROUND(SUMIFS('Opening Balance'!$F$4:$F$303,'Opening Balance'!$G$4:$G$303,$K233)+SUMIFS('Daily Sale entry '!$S$2:$S$1501,'Daily Sale entry '!$P$2:$P$1501,$K233,'Daily Sale entry '!$Q$2:$Q$1501,"Credit Sale 赊销",'Daily Sale entry '!$O$2:$O$1501,"&lt;"&amp;$B$2)-SUMIFS('Daily Sale entry '!$S$2:$S$1501,'Daily Sale entry '!$P$2:$P$1501,$K233,'Daily Sale entry '!$Q$2:$Q$1501,"Collection 收款",'Daily Sale entry '!$O$2:$O$1501,"&lt;"&amp;$B$2)-SUMIFS('Daily Sale entry '!$AC$2:$AC$1501,'Daily Sale entry '!$AA$2:$AA$1501,$K233,'Daily Sale entry '!$Z$2:$Z$1501,"Online collection 网上收款",'Daily Sale entry '!$X$2:$X$1501,"&lt;"&amp;$B$2)-SUMIFS('Debtor Ledger'!$K$2:$K$3001,'Debtor Ledger'!$C$2:$C$3001,$K233,'Debtor Ledger'!$B$2:$B$3001,"&lt;"&amp;$B$2),2)))</f>
        <v/>
      </c>
      <c r="M233" s="24">
        <f>IF($K233="","",IF($B$2="","",SUMIFS('Daily Sale entry '!$S$2:$S$1501,'Daily Sale entry '!$P$2:$P$1501,$K233,'Daily Sale entry '!$Q$2:$Q$1501,"Credit Sale 赊销",'Daily Sale entry '!$O$2:$O$1501,$B$2)))</f>
        <v/>
      </c>
      <c r="N233" s="24">
        <f>IF($K233="","",IF($B$2="","",SUMIFS('Daily Sale entry '!$S$2:$S$1501,'Daily Sale entry '!$P$2:$P$1501,$K233,'Daily Sale entry '!$Q$2:$Q$1501,"Collection 收款",'Daily Sale entry '!$R$2:$R$1501,"Cash 现金",'Daily Sale entry '!$O$2:$O$1501,$B$2)))</f>
        <v/>
      </c>
      <c r="O233" s="24">
        <f>IF($K233="","",IF($B$2="","",SUMIFS('Daily Sale entry '!$S$2:$S$1501,'Daily Sale entry '!$P$2:$P$1501,$K233,'Daily Sale entry '!$Q$2:$Q$1501,"Collection 收款",'Daily Sale entry '!$R$2:$R$1501,"Cheque 支票",'Daily Sale entry '!$O$2:$O$1501,$B$2)))</f>
        <v/>
      </c>
      <c r="P233" s="24">
        <f>IF($K233="","",IF($B$2="","",SUMIFS('Daily Sale entry '!$AC$2:$AC$1501,'Daily Sale entry '!$AA$2:$AA$1501,$K233,'Daily Sale entry '!$Z$2:$Z$1501,"Online collection 网上收款",'Daily Sale entry '!$X$2:$X$1501,$B$2)))</f>
        <v/>
      </c>
      <c r="Q233" s="24">
        <f>IF($K233="","",IF($B$2="","",SUMIFS('Debtor Ledger'!$K$2:$K$3001,'Debtor Ledger'!$C$2:$C$3001,$K233,'Debtor Ledger'!$B$2:$B$3001,$B$2)))</f>
        <v/>
      </c>
      <c r="R233" s="24">
        <f>IF($K233="","",IF($B$2="","",ROUND(L233+M233-N233-O233-P233-Q233,2)))</f>
        <v/>
      </c>
      <c r="S233" s="21">
        <f>IF(K233="","",IF($B$2="","",IF(ABS(M233)+ABS(N233)+ABS(O233)+ABS(P233)+ABS(Q233)&gt;0,1,0)))</f>
        <v/>
      </c>
      <c r="T233" s="21">
        <f>IF(S233=1,SUM($S$6:S233),"")</f>
        <v/>
      </c>
    </row>
    <row r="234">
      <c r="A234">
        <f>IF($I234="","",INDEX(K$6:K$305,$I234))</f>
        <v/>
      </c>
      <c r="B234" s="6">
        <f>IF($I234="","",INDEX(L$6:L$305,$I234))</f>
        <v/>
      </c>
      <c r="C234" s="6">
        <f>IF($I234="","",INDEX(M$6:M$305,$I234))</f>
        <v/>
      </c>
      <c r="D234" s="6">
        <f>IF($I234="","",INDEX(N$6:N$305,$I234))</f>
        <v/>
      </c>
      <c r="E234" s="6">
        <f>IF($I234="","",INDEX(O$6:O$305,$I234))</f>
        <v/>
      </c>
      <c r="F234" s="6">
        <f>IF($I234="","",INDEX(P$6:P$305,$I234))</f>
        <v/>
      </c>
      <c r="G234" s="6">
        <f>IF($I234="","",INDEX(Q$6:Q$305,$I234))</f>
        <v/>
      </c>
      <c r="H234" s="6">
        <f>IF($I234="","",INDEX(R$6:R$305,$I234))</f>
        <v/>
      </c>
      <c r="I234" s="21">
        <f>IFERROR(MATCH(229,$T$6:$T$305,0),"")</f>
        <v/>
      </c>
      <c r="K234" s="21">
        <f>IF('Debtor Summary'!A233="","",'Debtor Summary'!A233)</f>
        <v/>
      </c>
      <c r="L234" s="24">
        <f>IF($K234="","",IF($B$2="","",ROUND(SUMIFS('Opening Balance'!$F$4:$F$303,'Opening Balance'!$G$4:$G$303,$K234)+SUMIFS('Daily Sale entry '!$S$2:$S$1501,'Daily Sale entry '!$P$2:$P$1501,$K234,'Daily Sale entry '!$Q$2:$Q$1501,"Credit Sale 赊销",'Daily Sale entry '!$O$2:$O$1501,"&lt;"&amp;$B$2)-SUMIFS('Daily Sale entry '!$S$2:$S$1501,'Daily Sale entry '!$P$2:$P$1501,$K234,'Daily Sale entry '!$Q$2:$Q$1501,"Collection 收款",'Daily Sale entry '!$O$2:$O$1501,"&lt;"&amp;$B$2)-SUMIFS('Daily Sale entry '!$AC$2:$AC$1501,'Daily Sale entry '!$AA$2:$AA$1501,$K234,'Daily Sale entry '!$Z$2:$Z$1501,"Online collection 网上收款",'Daily Sale entry '!$X$2:$X$1501,"&lt;"&amp;$B$2)-SUMIFS('Debtor Ledger'!$K$2:$K$3001,'Debtor Ledger'!$C$2:$C$3001,$K234,'Debtor Ledger'!$B$2:$B$3001,"&lt;"&amp;$B$2),2)))</f>
        <v/>
      </c>
      <c r="M234" s="24">
        <f>IF($K234="","",IF($B$2="","",SUMIFS('Daily Sale entry '!$S$2:$S$1501,'Daily Sale entry '!$P$2:$P$1501,$K234,'Daily Sale entry '!$Q$2:$Q$1501,"Credit Sale 赊销",'Daily Sale entry '!$O$2:$O$1501,$B$2)))</f>
        <v/>
      </c>
      <c r="N234" s="24">
        <f>IF($K234="","",IF($B$2="","",SUMIFS('Daily Sale entry '!$S$2:$S$1501,'Daily Sale entry '!$P$2:$P$1501,$K234,'Daily Sale entry '!$Q$2:$Q$1501,"Collection 收款",'Daily Sale entry '!$R$2:$R$1501,"Cash 现金",'Daily Sale entry '!$O$2:$O$1501,$B$2)))</f>
        <v/>
      </c>
      <c r="O234" s="24">
        <f>IF($K234="","",IF($B$2="","",SUMIFS('Daily Sale entry '!$S$2:$S$1501,'Daily Sale entry '!$P$2:$P$1501,$K234,'Daily Sale entry '!$Q$2:$Q$1501,"Collection 收款",'Daily Sale entry '!$R$2:$R$1501,"Cheque 支票",'Daily Sale entry '!$O$2:$O$1501,$B$2)))</f>
        <v/>
      </c>
      <c r="P234" s="24">
        <f>IF($K234="","",IF($B$2="","",SUMIFS('Daily Sale entry '!$AC$2:$AC$1501,'Daily Sale entry '!$AA$2:$AA$1501,$K234,'Daily Sale entry '!$Z$2:$Z$1501,"Online collection 网上收款",'Daily Sale entry '!$X$2:$X$1501,$B$2)))</f>
        <v/>
      </c>
      <c r="Q234" s="24">
        <f>IF($K234="","",IF($B$2="","",SUMIFS('Debtor Ledger'!$K$2:$K$3001,'Debtor Ledger'!$C$2:$C$3001,$K234,'Debtor Ledger'!$B$2:$B$3001,$B$2)))</f>
        <v/>
      </c>
      <c r="R234" s="24">
        <f>IF($K234="","",IF($B$2="","",ROUND(L234+M234-N234-O234-P234-Q234,2)))</f>
        <v/>
      </c>
      <c r="S234" s="21">
        <f>IF(K234="","",IF($B$2="","",IF(ABS(M234)+ABS(N234)+ABS(O234)+ABS(P234)+ABS(Q234)&gt;0,1,0)))</f>
        <v/>
      </c>
      <c r="T234" s="21">
        <f>IF(S234=1,SUM($S$6:S234),"")</f>
        <v/>
      </c>
    </row>
    <row r="235">
      <c r="A235">
        <f>IF($I235="","",INDEX(K$6:K$305,$I235))</f>
        <v/>
      </c>
      <c r="B235" s="6">
        <f>IF($I235="","",INDEX(L$6:L$305,$I235))</f>
        <v/>
      </c>
      <c r="C235" s="6">
        <f>IF($I235="","",INDEX(M$6:M$305,$I235))</f>
        <v/>
      </c>
      <c r="D235" s="6">
        <f>IF($I235="","",INDEX(N$6:N$305,$I235))</f>
        <v/>
      </c>
      <c r="E235" s="6">
        <f>IF($I235="","",INDEX(O$6:O$305,$I235))</f>
        <v/>
      </c>
      <c r="F235" s="6">
        <f>IF($I235="","",INDEX(P$6:P$305,$I235))</f>
        <v/>
      </c>
      <c r="G235" s="6">
        <f>IF($I235="","",INDEX(Q$6:Q$305,$I235))</f>
        <v/>
      </c>
      <c r="H235" s="6">
        <f>IF($I235="","",INDEX(R$6:R$305,$I235))</f>
        <v/>
      </c>
      <c r="I235" s="21">
        <f>IFERROR(MATCH(230,$T$6:$T$305,0),"")</f>
        <v/>
      </c>
      <c r="K235" s="21">
        <f>IF('Debtor Summary'!A234="","",'Debtor Summary'!A234)</f>
        <v/>
      </c>
      <c r="L235" s="24">
        <f>IF($K235="","",IF($B$2="","",ROUND(SUMIFS('Opening Balance'!$F$4:$F$303,'Opening Balance'!$G$4:$G$303,$K235)+SUMIFS('Daily Sale entry '!$S$2:$S$1501,'Daily Sale entry '!$P$2:$P$1501,$K235,'Daily Sale entry '!$Q$2:$Q$1501,"Credit Sale 赊销",'Daily Sale entry '!$O$2:$O$1501,"&lt;"&amp;$B$2)-SUMIFS('Daily Sale entry '!$S$2:$S$1501,'Daily Sale entry '!$P$2:$P$1501,$K235,'Daily Sale entry '!$Q$2:$Q$1501,"Collection 收款",'Daily Sale entry '!$O$2:$O$1501,"&lt;"&amp;$B$2)-SUMIFS('Daily Sale entry '!$AC$2:$AC$1501,'Daily Sale entry '!$AA$2:$AA$1501,$K235,'Daily Sale entry '!$Z$2:$Z$1501,"Online collection 网上收款",'Daily Sale entry '!$X$2:$X$1501,"&lt;"&amp;$B$2)-SUMIFS('Debtor Ledger'!$K$2:$K$3001,'Debtor Ledger'!$C$2:$C$3001,$K235,'Debtor Ledger'!$B$2:$B$3001,"&lt;"&amp;$B$2),2)))</f>
        <v/>
      </c>
      <c r="M235" s="24">
        <f>IF($K235="","",IF($B$2="","",SUMIFS('Daily Sale entry '!$S$2:$S$1501,'Daily Sale entry '!$P$2:$P$1501,$K235,'Daily Sale entry '!$Q$2:$Q$1501,"Credit Sale 赊销",'Daily Sale entry '!$O$2:$O$1501,$B$2)))</f>
        <v/>
      </c>
      <c r="N235" s="24">
        <f>IF($K235="","",IF($B$2="","",SUMIFS('Daily Sale entry '!$S$2:$S$1501,'Daily Sale entry '!$P$2:$P$1501,$K235,'Daily Sale entry '!$Q$2:$Q$1501,"Collection 收款",'Daily Sale entry '!$R$2:$R$1501,"Cash 现金",'Daily Sale entry '!$O$2:$O$1501,$B$2)))</f>
        <v/>
      </c>
      <c r="O235" s="24">
        <f>IF($K235="","",IF($B$2="","",SUMIFS('Daily Sale entry '!$S$2:$S$1501,'Daily Sale entry '!$P$2:$P$1501,$K235,'Daily Sale entry '!$Q$2:$Q$1501,"Collection 收款",'Daily Sale entry '!$R$2:$R$1501,"Cheque 支票",'Daily Sale entry '!$O$2:$O$1501,$B$2)))</f>
        <v/>
      </c>
      <c r="P235" s="24">
        <f>IF($K235="","",IF($B$2="","",SUMIFS('Daily Sale entry '!$AC$2:$AC$1501,'Daily Sale entry '!$AA$2:$AA$1501,$K235,'Daily Sale entry '!$Z$2:$Z$1501,"Online collection 网上收款",'Daily Sale entry '!$X$2:$X$1501,$B$2)))</f>
        <v/>
      </c>
      <c r="Q235" s="24">
        <f>IF($K235="","",IF($B$2="","",SUMIFS('Debtor Ledger'!$K$2:$K$3001,'Debtor Ledger'!$C$2:$C$3001,$K235,'Debtor Ledger'!$B$2:$B$3001,$B$2)))</f>
        <v/>
      </c>
      <c r="R235" s="24">
        <f>IF($K235="","",IF($B$2="","",ROUND(L235+M235-N235-O235-P235-Q235,2)))</f>
        <v/>
      </c>
      <c r="S235" s="21">
        <f>IF(K235="","",IF($B$2="","",IF(ABS(M235)+ABS(N235)+ABS(O235)+ABS(P235)+ABS(Q235)&gt;0,1,0)))</f>
        <v/>
      </c>
      <c r="T235" s="21">
        <f>IF(S235=1,SUM($S$6:S235),"")</f>
        <v/>
      </c>
    </row>
    <row r="236">
      <c r="A236">
        <f>IF($I236="","",INDEX(K$6:K$305,$I236))</f>
        <v/>
      </c>
      <c r="B236" s="6">
        <f>IF($I236="","",INDEX(L$6:L$305,$I236))</f>
        <v/>
      </c>
      <c r="C236" s="6">
        <f>IF($I236="","",INDEX(M$6:M$305,$I236))</f>
        <v/>
      </c>
      <c r="D236" s="6">
        <f>IF($I236="","",INDEX(N$6:N$305,$I236))</f>
        <v/>
      </c>
      <c r="E236" s="6">
        <f>IF($I236="","",INDEX(O$6:O$305,$I236))</f>
        <v/>
      </c>
      <c r="F236" s="6">
        <f>IF($I236="","",INDEX(P$6:P$305,$I236))</f>
        <v/>
      </c>
      <c r="G236" s="6">
        <f>IF($I236="","",INDEX(Q$6:Q$305,$I236))</f>
        <v/>
      </c>
      <c r="H236" s="6">
        <f>IF($I236="","",INDEX(R$6:R$305,$I236))</f>
        <v/>
      </c>
      <c r="I236" s="21">
        <f>IFERROR(MATCH(231,$T$6:$T$305,0),"")</f>
        <v/>
      </c>
      <c r="K236" s="21">
        <f>IF('Debtor Summary'!A235="","",'Debtor Summary'!A235)</f>
        <v/>
      </c>
      <c r="L236" s="24">
        <f>IF($K236="","",IF($B$2="","",ROUND(SUMIFS('Opening Balance'!$F$4:$F$303,'Opening Balance'!$G$4:$G$303,$K236)+SUMIFS('Daily Sale entry '!$S$2:$S$1501,'Daily Sale entry '!$P$2:$P$1501,$K236,'Daily Sale entry '!$Q$2:$Q$1501,"Credit Sale 赊销",'Daily Sale entry '!$O$2:$O$1501,"&lt;"&amp;$B$2)-SUMIFS('Daily Sale entry '!$S$2:$S$1501,'Daily Sale entry '!$P$2:$P$1501,$K236,'Daily Sale entry '!$Q$2:$Q$1501,"Collection 收款",'Daily Sale entry '!$O$2:$O$1501,"&lt;"&amp;$B$2)-SUMIFS('Daily Sale entry '!$AC$2:$AC$1501,'Daily Sale entry '!$AA$2:$AA$1501,$K236,'Daily Sale entry '!$Z$2:$Z$1501,"Online collection 网上收款",'Daily Sale entry '!$X$2:$X$1501,"&lt;"&amp;$B$2)-SUMIFS('Debtor Ledger'!$K$2:$K$3001,'Debtor Ledger'!$C$2:$C$3001,$K236,'Debtor Ledger'!$B$2:$B$3001,"&lt;"&amp;$B$2),2)))</f>
        <v/>
      </c>
      <c r="M236" s="24">
        <f>IF($K236="","",IF($B$2="","",SUMIFS('Daily Sale entry '!$S$2:$S$1501,'Daily Sale entry '!$P$2:$P$1501,$K236,'Daily Sale entry '!$Q$2:$Q$1501,"Credit Sale 赊销",'Daily Sale entry '!$O$2:$O$1501,$B$2)))</f>
        <v/>
      </c>
      <c r="N236" s="24">
        <f>IF($K236="","",IF($B$2="","",SUMIFS('Daily Sale entry '!$S$2:$S$1501,'Daily Sale entry '!$P$2:$P$1501,$K236,'Daily Sale entry '!$Q$2:$Q$1501,"Collection 收款",'Daily Sale entry '!$R$2:$R$1501,"Cash 现金",'Daily Sale entry '!$O$2:$O$1501,$B$2)))</f>
        <v/>
      </c>
      <c r="O236" s="24">
        <f>IF($K236="","",IF($B$2="","",SUMIFS('Daily Sale entry '!$S$2:$S$1501,'Daily Sale entry '!$P$2:$P$1501,$K236,'Daily Sale entry '!$Q$2:$Q$1501,"Collection 收款",'Daily Sale entry '!$R$2:$R$1501,"Cheque 支票",'Daily Sale entry '!$O$2:$O$1501,$B$2)))</f>
        <v/>
      </c>
      <c r="P236" s="24">
        <f>IF($K236="","",IF($B$2="","",SUMIFS('Daily Sale entry '!$AC$2:$AC$1501,'Daily Sale entry '!$AA$2:$AA$1501,$K236,'Daily Sale entry '!$Z$2:$Z$1501,"Online collection 网上收款",'Daily Sale entry '!$X$2:$X$1501,$B$2)))</f>
        <v/>
      </c>
      <c r="Q236" s="24">
        <f>IF($K236="","",IF($B$2="","",SUMIFS('Debtor Ledger'!$K$2:$K$3001,'Debtor Ledger'!$C$2:$C$3001,$K236,'Debtor Ledger'!$B$2:$B$3001,$B$2)))</f>
        <v/>
      </c>
      <c r="R236" s="24">
        <f>IF($K236="","",IF($B$2="","",ROUND(L236+M236-N236-O236-P236-Q236,2)))</f>
        <v/>
      </c>
      <c r="S236" s="21">
        <f>IF(K236="","",IF($B$2="","",IF(ABS(M236)+ABS(N236)+ABS(O236)+ABS(P236)+ABS(Q236)&gt;0,1,0)))</f>
        <v/>
      </c>
      <c r="T236" s="21">
        <f>IF(S236=1,SUM($S$6:S236),"")</f>
        <v/>
      </c>
    </row>
    <row r="237">
      <c r="A237">
        <f>IF($I237="","",INDEX(K$6:K$305,$I237))</f>
        <v/>
      </c>
      <c r="B237" s="6">
        <f>IF($I237="","",INDEX(L$6:L$305,$I237))</f>
        <v/>
      </c>
      <c r="C237" s="6">
        <f>IF($I237="","",INDEX(M$6:M$305,$I237))</f>
        <v/>
      </c>
      <c r="D237" s="6">
        <f>IF($I237="","",INDEX(N$6:N$305,$I237))</f>
        <v/>
      </c>
      <c r="E237" s="6">
        <f>IF($I237="","",INDEX(O$6:O$305,$I237))</f>
        <v/>
      </c>
      <c r="F237" s="6">
        <f>IF($I237="","",INDEX(P$6:P$305,$I237))</f>
        <v/>
      </c>
      <c r="G237" s="6">
        <f>IF($I237="","",INDEX(Q$6:Q$305,$I237))</f>
        <v/>
      </c>
      <c r="H237" s="6">
        <f>IF($I237="","",INDEX(R$6:R$305,$I237))</f>
        <v/>
      </c>
      <c r="I237" s="21">
        <f>IFERROR(MATCH(232,$T$6:$T$305,0),"")</f>
        <v/>
      </c>
      <c r="K237" s="21">
        <f>IF('Debtor Summary'!A236="","",'Debtor Summary'!A236)</f>
        <v/>
      </c>
      <c r="L237" s="24">
        <f>IF($K237="","",IF($B$2="","",ROUND(SUMIFS('Opening Balance'!$F$4:$F$303,'Opening Balance'!$G$4:$G$303,$K237)+SUMIFS('Daily Sale entry '!$S$2:$S$1501,'Daily Sale entry '!$P$2:$P$1501,$K237,'Daily Sale entry '!$Q$2:$Q$1501,"Credit Sale 赊销",'Daily Sale entry '!$O$2:$O$1501,"&lt;"&amp;$B$2)-SUMIFS('Daily Sale entry '!$S$2:$S$1501,'Daily Sale entry '!$P$2:$P$1501,$K237,'Daily Sale entry '!$Q$2:$Q$1501,"Collection 收款",'Daily Sale entry '!$O$2:$O$1501,"&lt;"&amp;$B$2)-SUMIFS('Daily Sale entry '!$AC$2:$AC$1501,'Daily Sale entry '!$AA$2:$AA$1501,$K237,'Daily Sale entry '!$Z$2:$Z$1501,"Online collection 网上收款",'Daily Sale entry '!$X$2:$X$1501,"&lt;"&amp;$B$2)-SUMIFS('Debtor Ledger'!$K$2:$K$3001,'Debtor Ledger'!$C$2:$C$3001,$K237,'Debtor Ledger'!$B$2:$B$3001,"&lt;"&amp;$B$2),2)))</f>
        <v/>
      </c>
      <c r="M237" s="24">
        <f>IF($K237="","",IF($B$2="","",SUMIFS('Daily Sale entry '!$S$2:$S$1501,'Daily Sale entry '!$P$2:$P$1501,$K237,'Daily Sale entry '!$Q$2:$Q$1501,"Credit Sale 赊销",'Daily Sale entry '!$O$2:$O$1501,$B$2)))</f>
        <v/>
      </c>
      <c r="N237" s="24">
        <f>IF($K237="","",IF($B$2="","",SUMIFS('Daily Sale entry '!$S$2:$S$1501,'Daily Sale entry '!$P$2:$P$1501,$K237,'Daily Sale entry '!$Q$2:$Q$1501,"Collection 收款",'Daily Sale entry '!$R$2:$R$1501,"Cash 现金",'Daily Sale entry '!$O$2:$O$1501,$B$2)))</f>
        <v/>
      </c>
      <c r="O237" s="24">
        <f>IF($K237="","",IF($B$2="","",SUMIFS('Daily Sale entry '!$S$2:$S$1501,'Daily Sale entry '!$P$2:$P$1501,$K237,'Daily Sale entry '!$Q$2:$Q$1501,"Collection 收款",'Daily Sale entry '!$R$2:$R$1501,"Cheque 支票",'Daily Sale entry '!$O$2:$O$1501,$B$2)))</f>
        <v/>
      </c>
      <c r="P237" s="24">
        <f>IF($K237="","",IF($B$2="","",SUMIFS('Daily Sale entry '!$AC$2:$AC$1501,'Daily Sale entry '!$AA$2:$AA$1501,$K237,'Daily Sale entry '!$Z$2:$Z$1501,"Online collection 网上收款",'Daily Sale entry '!$X$2:$X$1501,$B$2)))</f>
        <v/>
      </c>
      <c r="Q237" s="24">
        <f>IF($K237="","",IF($B$2="","",SUMIFS('Debtor Ledger'!$K$2:$K$3001,'Debtor Ledger'!$C$2:$C$3001,$K237,'Debtor Ledger'!$B$2:$B$3001,$B$2)))</f>
        <v/>
      </c>
      <c r="R237" s="24">
        <f>IF($K237="","",IF($B$2="","",ROUND(L237+M237-N237-O237-P237-Q237,2)))</f>
        <v/>
      </c>
      <c r="S237" s="21">
        <f>IF(K237="","",IF($B$2="","",IF(ABS(M237)+ABS(N237)+ABS(O237)+ABS(P237)+ABS(Q237)&gt;0,1,0)))</f>
        <v/>
      </c>
      <c r="T237" s="21">
        <f>IF(S237=1,SUM($S$6:S237),"")</f>
        <v/>
      </c>
    </row>
    <row r="238">
      <c r="A238">
        <f>IF($I238="","",INDEX(K$6:K$305,$I238))</f>
        <v/>
      </c>
      <c r="B238" s="6">
        <f>IF($I238="","",INDEX(L$6:L$305,$I238))</f>
        <v/>
      </c>
      <c r="C238" s="6">
        <f>IF($I238="","",INDEX(M$6:M$305,$I238))</f>
        <v/>
      </c>
      <c r="D238" s="6">
        <f>IF($I238="","",INDEX(N$6:N$305,$I238))</f>
        <v/>
      </c>
      <c r="E238" s="6">
        <f>IF($I238="","",INDEX(O$6:O$305,$I238))</f>
        <v/>
      </c>
      <c r="F238" s="6">
        <f>IF($I238="","",INDEX(P$6:P$305,$I238))</f>
        <v/>
      </c>
      <c r="G238" s="6">
        <f>IF($I238="","",INDEX(Q$6:Q$305,$I238))</f>
        <v/>
      </c>
      <c r="H238" s="6">
        <f>IF($I238="","",INDEX(R$6:R$305,$I238))</f>
        <v/>
      </c>
      <c r="I238" s="21">
        <f>IFERROR(MATCH(233,$T$6:$T$305,0),"")</f>
        <v/>
      </c>
      <c r="K238" s="21">
        <f>IF('Debtor Summary'!A237="","",'Debtor Summary'!A237)</f>
        <v/>
      </c>
      <c r="L238" s="24">
        <f>IF($K238="","",IF($B$2="","",ROUND(SUMIFS('Opening Balance'!$F$4:$F$303,'Opening Balance'!$G$4:$G$303,$K238)+SUMIFS('Daily Sale entry '!$S$2:$S$1501,'Daily Sale entry '!$P$2:$P$1501,$K238,'Daily Sale entry '!$Q$2:$Q$1501,"Credit Sale 赊销",'Daily Sale entry '!$O$2:$O$1501,"&lt;"&amp;$B$2)-SUMIFS('Daily Sale entry '!$S$2:$S$1501,'Daily Sale entry '!$P$2:$P$1501,$K238,'Daily Sale entry '!$Q$2:$Q$1501,"Collection 收款",'Daily Sale entry '!$O$2:$O$1501,"&lt;"&amp;$B$2)-SUMIFS('Daily Sale entry '!$AC$2:$AC$1501,'Daily Sale entry '!$AA$2:$AA$1501,$K238,'Daily Sale entry '!$Z$2:$Z$1501,"Online collection 网上收款",'Daily Sale entry '!$X$2:$X$1501,"&lt;"&amp;$B$2)-SUMIFS('Debtor Ledger'!$K$2:$K$3001,'Debtor Ledger'!$C$2:$C$3001,$K238,'Debtor Ledger'!$B$2:$B$3001,"&lt;"&amp;$B$2),2)))</f>
        <v/>
      </c>
      <c r="M238" s="24">
        <f>IF($K238="","",IF($B$2="","",SUMIFS('Daily Sale entry '!$S$2:$S$1501,'Daily Sale entry '!$P$2:$P$1501,$K238,'Daily Sale entry '!$Q$2:$Q$1501,"Credit Sale 赊销",'Daily Sale entry '!$O$2:$O$1501,$B$2)))</f>
        <v/>
      </c>
      <c r="N238" s="24">
        <f>IF($K238="","",IF($B$2="","",SUMIFS('Daily Sale entry '!$S$2:$S$1501,'Daily Sale entry '!$P$2:$P$1501,$K238,'Daily Sale entry '!$Q$2:$Q$1501,"Collection 收款",'Daily Sale entry '!$R$2:$R$1501,"Cash 现金",'Daily Sale entry '!$O$2:$O$1501,$B$2)))</f>
        <v/>
      </c>
      <c r="O238" s="24">
        <f>IF($K238="","",IF($B$2="","",SUMIFS('Daily Sale entry '!$S$2:$S$1501,'Daily Sale entry '!$P$2:$P$1501,$K238,'Daily Sale entry '!$Q$2:$Q$1501,"Collection 收款",'Daily Sale entry '!$R$2:$R$1501,"Cheque 支票",'Daily Sale entry '!$O$2:$O$1501,$B$2)))</f>
        <v/>
      </c>
      <c r="P238" s="24">
        <f>IF($K238="","",IF($B$2="","",SUMIFS('Daily Sale entry '!$AC$2:$AC$1501,'Daily Sale entry '!$AA$2:$AA$1501,$K238,'Daily Sale entry '!$Z$2:$Z$1501,"Online collection 网上收款",'Daily Sale entry '!$X$2:$X$1501,$B$2)))</f>
        <v/>
      </c>
      <c r="Q238" s="24">
        <f>IF($K238="","",IF($B$2="","",SUMIFS('Debtor Ledger'!$K$2:$K$3001,'Debtor Ledger'!$C$2:$C$3001,$K238,'Debtor Ledger'!$B$2:$B$3001,$B$2)))</f>
        <v/>
      </c>
      <c r="R238" s="24">
        <f>IF($K238="","",IF($B$2="","",ROUND(L238+M238-N238-O238-P238-Q238,2)))</f>
        <v/>
      </c>
      <c r="S238" s="21">
        <f>IF(K238="","",IF($B$2="","",IF(ABS(M238)+ABS(N238)+ABS(O238)+ABS(P238)+ABS(Q238)&gt;0,1,0)))</f>
        <v/>
      </c>
      <c r="T238" s="21">
        <f>IF(S238=1,SUM($S$6:S238),"")</f>
        <v/>
      </c>
    </row>
    <row r="239">
      <c r="A239">
        <f>IF($I239="","",INDEX(K$6:K$305,$I239))</f>
        <v/>
      </c>
      <c r="B239" s="6">
        <f>IF($I239="","",INDEX(L$6:L$305,$I239))</f>
        <v/>
      </c>
      <c r="C239" s="6">
        <f>IF($I239="","",INDEX(M$6:M$305,$I239))</f>
        <v/>
      </c>
      <c r="D239" s="6">
        <f>IF($I239="","",INDEX(N$6:N$305,$I239))</f>
        <v/>
      </c>
      <c r="E239" s="6">
        <f>IF($I239="","",INDEX(O$6:O$305,$I239))</f>
        <v/>
      </c>
      <c r="F239" s="6">
        <f>IF($I239="","",INDEX(P$6:P$305,$I239))</f>
        <v/>
      </c>
      <c r="G239" s="6">
        <f>IF($I239="","",INDEX(Q$6:Q$305,$I239))</f>
        <v/>
      </c>
      <c r="H239" s="6">
        <f>IF($I239="","",INDEX(R$6:R$305,$I239))</f>
        <v/>
      </c>
      <c r="I239" s="21">
        <f>IFERROR(MATCH(234,$T$6:$T$305,0),"")</f>
        <v/>
      </c>
      <c r="K239" s="21">
        <f>IF('Debtor Summary'!A238="","",'Debtor Summary'!A238)</f>
        <v/>
      </c>
      <c r="L239" s="24">
        <f>IF($K239="","",IF($B$2="","",ROUND(SUMIFS('Opening Balance'!$F$4:$F$303,'Opening Balance'!$G$4:$G$303,$K239)+SUMIFS('Daily Sale entry '!$S$2:$S$1501,'Daily Sale entry '!$P$2:$P$1501,$K239,'Daily Sale entry '!$Q$2:$Q$1501,"Credit Sale 赊销",'Daily Sale entry '!$O$2:$O$1501,"&lt;"&amp;$B$2)-SUMIFS('Daily Sale entry '!$S$2:$S$1501,'Daily Sale entry '!$P$2:$P$1501,$K239,'Daily Sale entry '!$Q$2:$Q$1501,"Collection 收款",'Daily Sale entry '!$O$2:$O$1501,"&lt;"&amp;$B$2)-SUMIFS('Daily Sale entry '!$AC$2:$AC$1501,'Daily Sale entry '!$AA$2:$AA$1501,$K239,'Daily Sale entry '!$Z$2:$Z$1501,"Online collection 网上收款",'Daily Sale entry '!$X$2:$X$1501,"&lt;"&amp;$B$2)-SUMIFS('Debtor Ledger'!$K$2:$K$3001,'Debtor Ledger'!$C$2:$C$3001,$K239,'Debtor Ledger'!$B$2:$B$3001,"&lt;"&amp;$B$2),2)))</f>
        <v/>
      </c>
      <c r="M239" s="24">
        <f>IF($K239="","",IF($B$2="","",SUMIFS('Daily Sale entry '!$S$2:$S$1501,'Daily Sale entry '!$P$2:$P$1501,$K239,'Daily Sale entry '!$Q$2:$Q$1501,"Credit Sale 赊销",'Daily Sale entry '!$O$2:$O$1501,$B$2)))</f>
        <v/>
      </c>
      <c r="N239" s="24">
        <f>IF($K239="","",IF($B$2="","",SUMIFS('Daily Sale entry '!$S$2:$S$1501,'Daily Sale entry '!$P$2:$P$1501,$K239,'Daily Sale entry '!$Q$2:$Q$1501,"Collection 收款",'Daily Sale entry '!$R$2:$R$1501,"Cash 现金",'Daily Sale entry '!$O$2:$O$1501,$B$2)))</f>
        <v/>
      </c>
      <c r="O239" s="24">
        <f>IF($K239="","",IF($B$2="","",SUMIFS('Daily Sale entry '!$S$2:$S$1501,'Daily Sale entry '!$P$2:$P$1501,$K239,'Daily Sale entry '!$Q$2:$Q$1501,"Collection 收款",'Daily Sale entry '!$R$2:$R$1501,"Cheque 支票",'Daily Sale entry '!$O$2:$O$1501,$B$2)))</f>
        <v/>
      </c>
      <c r="P239" s="24">
        <f>IF($K239="","",IF($B$2="","",SUMIFS('Daily Sale entry '!$AC$2:$AC$1501,'Daily Sale entry '!$AA$2:$AA$1501,$K239,'Daily Sale entry '!$Z$2:$Z$1501,"Online collection 网上收款",'Daily Sale entry '!$X$2:$X$1501,$B$2)))</f>
        <v/>
      </c>
      <c r="Q239" s="24">
        <f>IF($K239="","",IF($B$2="","",SUMIFS('Debtor Ledger'!$K$2:$K$3001,'Debtor Ledger'!$C$2:$C$3001,$K239,'Debtor Ledger'!$B$2:$B$3001,$B$2)))</f>
        <v/>
      </c>
      <c r="R239" s="24">
        <f>IF($K239="","",IF($B$2="","",ROUND(L239+M239-N239-O239-P239-Q239,2)))</f>
        <v/>
      </c>
      <c r="S239" s="21">
        <f>IF(K239="","",IF($B$2="","",IF(ABS(M239)+ABS(N239)+ABS(O239)+ABS(P239)+ABS(Q239)&gt;0,1,0)))</f>
        <v/>
      </c>
      <c r="T239" s="21">
        <f>IF(S239=1,SUM($S$6:S239),"")</f>
        <v/>
      </c>
    </row>
    <row r="240">
      <c r="A240">
        <f>IF($I240="","",INDEX(K$6:K$305,$I240))</f>
        <v/>
      </c>
      <c r="B240" s="6">
        <f>IF($I240="","",INDEX(L$6:L$305,$I240))</f>
        <v/>
      </c>
      <c r="C240" s="6">
        <f>IF($I240="","",INDEX(M$6:M$305,$I240))</f>
        <v/>
      </c>
      <c r="D240" s="6">
        <f>IF($I240="","",INDEX(N$6:N$305,$I240))</f>
        <v/>
      </c>
      <c r="E240" s="6">
        <f>IF($I240="","",INDEX(O$6:O$305,$I240))</f>
        <v/>
      </c>
      <c r="F240" s="6">
        <f>IF($I240="","",INDEX(P$6:P$305,$I240))</f>
        <v/>
      </c>
      <c r="G240" s="6">
        <f>IF($I240="","",INDEX(Q$6:Q$305,$I240))</f>
        <v/>
      </c>
      <c r="H240" s="6">
        <f>IF($I240="","",INDEX(R$6:R$305,$I240))</f>
        <v/>
      </c>
      <c r="I240" s="21">
        <f>IFERROR(MATCH(235,$T$6:$T$305,0),"")</f>
        <v/>
      </c>
      <c r="K240" s="21">
        <f>IF('Debtor Summary'!A239="","",'Debtor Summary'!A239)</f>
        <v/>
      </c>
      <c r="L240" s="24">
        <f>IF($K240="","",IF($B$2="","",ROUND(SUMIFS('Opening Balance'!$F$4:$F$303,'Opening Balance'!$G$4:$G$303,$K240)+SUMIFS('Daily Sale entry '!$S$2:$S$1501,'Daily Sale entry '!$P$2:$P$1501,$K240,'Daily Sale entry '!$Q$2:$Q$1501,"Credit Sale 赊销",'Daily Sale entry '!$O$2:$O$1501,"&lt;"&amp;$B$2)-SUMIFS('Daily Sale entry '!$S$2:$S$1501,'Daily Sale entry '!$P$2:$P$1501,$K240,'Daily Sale entry '!$Q$2:$Q$1501,"Collection 收款",'Daily Sale entry '!$O$2:$O$1501,"&lt;"&amp;$B$2)-SUMIFS('Daily Sale entry '!$AC$2:$AC$1501,'Daily Sale entry '!$AA$2:$AA$1501,$K240,'Daily Sale entry '!$Z$2:$Z$1501,"Online collection 网上收款",'Daily Sale entry '!$X$2:$X$1501,"&lt;"&amp;$B$2)-SUMIFS('Debtor Ledger'!$K$2:$K$3001,'Debtor Ledger'!$C$2:$C$3001,$K240,'Debtor Ledger'!$B$2:$B$3001,"&lt;"&amp;$B$2),2)))</f>
        <v/>
      </c>
      <c r="M240" s="24">
        <f>IF($K240="","",IF($B$2="","",SUMIFS('Daily Sale entry '!$S$2:$S$1501,'Daily Sale entry '!$P$2:$P$1501,$K240,'Daily Sale entry '!$Q$2:$Q$1501,"Credit Sale 赊销",'Daily Sale entry '!$O$2:$O$1501,$B$2)))</f>
        <v/>
      </c>
      <c r="N240" s="24">
        <f>IF($K240="","",IF($B$2="","",SUMIFS('Daily Sale entry '!$S$2:$S$1501,'Daily Sale entry '!$P$2:$P$1501,$K240,'Daily Sale entry '!$Q$2:$Q$1501,"Collection 收款",'Daily Sale entry '!$R$2:$R$1501,"Cash 现金",'Daily Sale entry '!$O$2:$O$1501,$B$2)))</f>
        <v/>
      </c>
      <c r="O240" s="24">
        <f>IF($K240="","",IF($B$2="","",SUMIFS('Daily Sale entry '!$S$2:$S$1501,'Daily Sale entry '!$P$2:$P$1501,$K240,'Daily Sale entry '!$Q$2:$Q$1501,"Collection 收款",'Daily Sale entry '!$R$2:$R$1501,"Cheque 支票",'Daily Sale entry '!$O$2:$O$1501,$B$2)))</f>
        <v/>
      </c>
      <c r="P240" s="24">
        <f>IF($K240="","",IF($B$2="","",SUMIFS('Daily Sale entry '!$AC$2:$AC$1501,'Daily Sale entry '!$AA$2:$AA$1501,$K240,'Daily Sale entry '!$Z$2:$Z$1501,"Online collection 网上收款",'Daily Sale entry '!$X$2:$X$1501,$B$2)))</f>
        <v/>
      </c>
      <c r="Q240" s="24">
        <f>IF($K240="","",IF($B$2="","",SUMIFS('Debtor Ledger'!$K$2:$K$3001,'Debtor Ledger'!$C$2:$C$3001,$K240,'Debtor Ledger'!$B$2:$B$3001,$B$2)))</f>
        <v/>
      </c>
      <c r="R240" s="24">
        <f>IF($K240="","",IF($B$2="","",ROUND(L240+M240-N240-O240-P240-Q240,2)))</f>
        <v/>
      </c>
      <c r="S240" s="21">
        <f>IF(K240="","",IF($B$2="","",IF(ABS(M240)+ABS(N240)+ABS(O240)+ABS(P240)+ABS(Q240)&gt;0,1,0)))</f>
        <v/>
      </c>
      <c r="T240" s="21">
        <f>IF(S240=1,SUM($S$6:S240),"")</f>
        <v/>
      </c>
    </row>
    <row r="241">
      <c r="A241">
        <f>IF($I241="","",INDEX(K$6:K$305,$I241))</f>
        <v/>
      </c>
      <c r="B241" s="6">
        <f>IF($I241="","",INDEX(L$6:L$305,$I241))</f>
        <v/>
      </c>
      <c r="C241" s="6">
        <f>IF($I241="","",INDEX(M$6:M$305,$I241))</f>
        <v/>
      </c>
      <c r="D241" s="6">
        <f>IF($I241="","",INDEX(N$6:N$305,$I241))</f>
        <v/>
      </c>
      <c r="E241" s="6">
        <f>IF($I241="","",INDEX(O$6:O$305,$I241))</f>
        <v/>
      </c>
      <c r="F241" s="6">
        <f>IF($I241="","",INDEX(P$6:P$305,$I241))</f>
        <v/>
      </c>
      <c r="G241" s="6">
        <f>IF($I241="","",INDEX(Q$6:Q$305,$I241))</f>
        <v/>
      </c>
      <c r="H241" s="6">
        <f>IF($I241="","",INDEX(R$6:R$305,$I241))</f>
        <v/>
      </c>
      <c r="I241" s="21">
        <f>IFERROR(MATCH(236,$T$6:$T$305,0),"")</f>
        <v/>
      </c>
      <c r="K241" s="21">
        <f>IF('Debtor Summary'!A240="","",'Debtor Summary'!A240)</f>
        <v/>
      </c>
      <c r="L241" s="24">
        <f>IF($K241="","",IF($B$2="","",ROUND(SUMIFS('Opening Balance'!$F$4:$F$303,'Opening Balance'!$G$4:$G$303,$K241)+SUMIFS('Daily Sale entry '!$S$2:$S$1501,'Daily Sale entry '!$P$2:$P$1501,$K241,'Daily Sale entry '!$Q$2:$Q$1501,"Credit Sale 赊销",'Daily Sale entry '!$O$2:$O$1501,"&lt;"&amp;$B$2)-SUMIFS('Daily Sale entry '!$S$2:$S$1501,'Daily Sale entry '!$P$2:$P$1501,$K241,'Daily Sale entry '!$Q$2:$Q$1501,"Collection 收款",'Daily Sale entry '!$O$2:$O$1501,"&lt;"&amp;$B$2)-SUMIFS('Daily Sale entry '!$AC$2:$AC$1501,'Daily Sale entry '!$AA$2:$AA$1501,$K241,'Daily Sale entry '!$Z$2:$Z$1501,"Online collection 网上收款",'Daily Sale entry '!$X$2:$X$1501,"&lt;"&amp;$B$2)-SUMIFS('Debtor Ledger'!$K$2:$K$3001,'Debtor Ledger'!$C$2:$C$3001,$K241,'Debtor Ledger'!$B$2:$B$3001,"&lt;"&amp;$B$2),2)))</f>
        <v/>
      </c>
      <c r="M241" s="24">
        <f>IF($K241="","",IF($B$2="","",SUMIFS('Daily Sale entry '!$S$2:$S$1501,'Daily Sale entry '!$P$2:$P$1501,$K241,'Daily Sale entry '!$Q$2:$Q$1501,"Credit Sale 赊销",'Daily Sale entry '!$O$2:$O$1501,$B$2)))</f>
        <v/>
      </c>
      <c r="N241" s="24">
        <f>IF($K241="","",IF($B$2="","",SUMIFS('Daily Sale entry '!$S$2:$S$1501,'Daily Sale entry '!$P$2:$P$1501,$K241,'Daily Sale entry '!$Q$2:$Q$1501,"Collection 收款",'Daily Sale entry '!$R$2:$R$1501,"Cash 现金",'Daily Sale entry '!$O$2:$O$1501,$B$2)))</f>
        <v/>
      </c>
      <c r="O241" s="24">
        <f>IF($K241="","",IF($B$2="","",SUMIFS('Daily Sale entry '!$S$2:$S$1501,'Daily Sale entry '!$P$2:$P$1501,$K241,'Daily Sale entry '!$Q$2:$Q$1501,"Collection 收款",'Daily Sale entry '!$R$2:$R$1501,"Cheque 支票",'Daily Sale entry '!$O$2:$O$1501,$B$2)))</f>
        <v/>
      </c>
      <c r="P241" s="24">
        <f>IF($K241="","",IF($B$2="","",SUMIFS('Daily Sale entry '!$AC$2:$AC$1501,'Daily Sale entry '!$AA$2:$AA$1501,$K241,'Daily Sale entry '!$Z$2:$Z$1501,"Online collection 网上收款",'Daily Sale entry '!$X$2:$X$1501,$B$2)))</f>
        <v/>
      </c>
      <c r="Q241" s="24">
        <f>IF($K241="","",IF($B$2="","",SUMIFS('Debtor Ledger'!$K$2:$K$3001,'Debtor Ledger'!$C$2:$C$3001,$K241,'Debtor Ledger'!$B$2:$B$3001,$B$2)))</f>
        <v/>
      </c>
      <c r="R241" s="24">
        <f>IF($K241="","",IF($B$2="","",ROUND(L241+M241-N241-O241-P241-Q241,2)))</f>
        <v/>
      </c>
      <c r="S241" s="21">
        <f>IF(K241="","",IF($B$2="","",IF(ABS(M241)+ABS(N241)+ABS(O241)+ABS(P241)+ABS(Q241)&gt;0,1,0)))</f>
        <v/>
      </c>
      <c r="T241" s="21">
        <f>IF(S241=1,SUM($S$6:S241),"")</f>
        <v/>
      </c>
    </row>
    <row r="242">
      <c r="A242">
        <f>IF($I242="","",INDEX(K$6:K$305,$I242))</f>
        <v/>
      </c>
      <c r="B242" s="6">
        <f>IF($I242="","",INDEX(L$6:L$305,$I242))</f>
        <v/>
      </c>
      <c r="C242" s="6">
        <f>IF($I242="","",INDEX(M$6:M$305,$I242))</f>
        <v/>
      </c>
      <c r="D242" s="6">
        <f>IF($I242="","",INDEX(N$6:N$305,$I242))</f>
        <v/>
      </c>
      <c r="E242" s="6">
        <f>IF($I242="","",INDEX(O$6:O$305,$I242))</f>
        <v/>
      </c>
      <c r="F242" s="6">
        <f>IF($I242="","",INDEX(P$6:P$305,$I242))</f>
        <v/>
      </c>
      <c r="G242" s="6">
        <f>IF($I242="","",INDEX(Q$6:Q$305,$I242))</f>
        <v/>
      </c>
      <c r="H242" s="6">
        <f>IF($I242="","",INDEX(R$6:R$305,$I242))</f>
        <v/>
      </c>
      <c r="I242" s="21">
        <f>IFERROR(MATCH(237,$T$6:$T$305,0),"")</f>
        <v/>
      </c>
      <c r="K242" s="21">
        <f>IF('Debtor Summary'!A241="","",'Debtor Summary'!A241)</f>
        <v/>
      </c>
      <c r="L242" s="24">
        <f>IF($K242="","",IF($B$2="","",ROUND(SUMIFS('Opening Balance'!$F$4:$F$303,'Opening Balance'!$G$4:$G$303,$K242)+SUMIFS('Daily Sale entry '!$S$2:$S$1501,'Daily Sale entry '!$P$2:$P$1501,$K242,'Daily Sale entry '!$Q$2:$Q$1501,"Credit Sale 赊销",'Daily Sale entry '!$O$2:$O$1501,"&lt;"&amp;$B$2)-SUMIFS('Daily Sale entry '!$S$2:$S$1501,'Daily Sale entry '!$P$2:$P$1501,$K242,'Daily Sale entry '!$Q$2:$Q$1501,"Collection 收款",'Daily Sale entry '!$O$2:$O$1501,"&lt;"&amp;$B$2)-SUMIFS('Daily Sale entry '!$AC$2:$AC$1501,'Daily Sale entry '!$AA$2:$AA$1501,$K242,'Daily Sale entry '!$Z$2:$Z$1501,"Online collection 网上收款",'Daily Sale entry '!$X$2:$X$1501,"&lt;"&amp;$B$2)-SUMIFS('Debtor Ledger'!$K$2:$K$3001,'Debtor Ledger'!$C$2:$C$3001,$K242,'Debtor Ledger'!$B$2:$B$3001,"&lt;"&amp;$B$2),2)))</f>
        <v/>
      </c>
      <c r="M242" s="24">
        <f>IF($K242="","",IF($B$2="","",SUMIFS('Daily Sale entry '!$S$2:$S$1501,'Daily Sale entry '!$P$2:$P$1501,$K242,'Daily Sale entry '!$Q$2:$Q$1501,"Credit Sale 赊销",'Daily Sale entry '!$O$2:$O$1501,$B$2)))</f>
        <v/>
      </c>
      <c r="N242" s="24">
        <f>IF($K242="","",IF($B$2="","",SUMIFS('Daily Sale entry '!$S$2:$S$1501,'Daily Sale entry '!$P$2:$P$1501,$K242,'Daily Sale entry '!$Q$2:$Q$1501,"Collection 收款",'Daily Sale entry '!$R$2:$R$1501,"Cash 现金",'Daily Sale entry '!$O$2:$O$1501,$B$2)))</f>
        <v/>
      </c>
      <c r="O242" s="24">
        <f>IF($K242="","",IF($B$2="","",SUMIFS('Daily Sale entry '!$S$2:$S$1501,'Daily Sale entry '!$P$2:$P$1501,$K242,'Daily Sale entry '!$Q$2:$Q$1501,"Collection 收款",'Daily Sale entry '!$R$2:$R$1501,"Cheque 支票",'Daily Sale entry '!$O$2:$O$1501,$B$2)))</f>
        <v/>
      </c>
      <c r="P242" s="24">
        <f>IF($K242="","",IF($B$2="","",SUMIFS('Daily Sale entry '!$AC$2:$AC$1501,'Daily Sale entry '!$AA$2:$AA$1501,$K242,'Daily Sale entry '!$Z$2:$Z$1501,"Online collection 网上收款",'Daily Sale entry '!$X$2:$X$1501,$B$2)))</f>
        <v/>
      </c>
      <c r="Q242" s="24">
        <f>IF($K242="","",IF($B$2="","",SUMIFS('Debtor Ledger'!$K$2:$K$3001,'Debtor Ledger'!$C$2:$C$3001,$K242,'Debtor Ledger'!$B$2:$B$3001,$B$2)))</f>
        <v/>
      </c>
      <c r="R242" s="24">
        <f>IF($K242="","",IF($B$2="","",ROUND(L242+M242-N242-O242-P242-Q242,2)))</f>
        <v/>
      </c>
      <c r="S242" s="21">
        <f>IF(K242="","",IF($B$2="","",IF(ABS(M242)+ABS(N242)+ABS(O242)+ABS(P242)+ABS(Q242)&gt;0,1,0)))</f>
        <v/>
      </c>
      <c r="T242" s="21">
        <f>IF(S242=1,SUM($S$6:S242),"")</f>
        <v/>
      </c>
    </row>
    <row r="243">
      <c r="A243">
        <f>IF($I243="","",INDEX(K$6:K$305,$I243))</f>
        <v/>
      </c>
      <c r="B243" s="6">
        <f>IF($I243="","",INDEX(L$6:L$305,$I243))</f>
        <v/>
      </c>
      <c r="C243" s="6">
        <f>IF($I243="","",INDEX(M$6:M$305,$I243))</f>
        <v/>
      </c>
      <c r="D243" s="6">
        <f>IF($I243="","",INDEX(N$6:N$305,$I243))</f>
        <v/>
      </c>
      <c r="E243" s="6">
        <f>IF($I243="","",INDEX(O$6:O$305,$I243))</f>
        <v/>
      </c>
      <c r="F243" s="6">
        <f>IF($I243="","",INDEX(P$6:P$305,$I243))</f>
        <v/>
      </c>
      <c r="G243" s="6">
        <f>IF($I243="","",INDEX(Q$6:Q$305,$I243))</f>
        <v/>
      </c>
      <c r="H243" s="6">
        <f>IF($I243="","",INDEX(R$6:R$305,$I243))</f>
        <v/>
      </c>
      <c r="I243" s="21">
        <f>IFERROR(MATCH(238,$T$6:$T$305,0),"")</f>
        <v/>
      </c>
      <c r="K243" s="21">
        <f>IF('Debtor Summary'!A242="","",'Debtor Summary'!A242)</f>
        <v/>
      </c>
      <c r="L243" s="24">
        <f>IF($K243="","",IF($B$2="","",ROUND(SUMIFS('Opening Balance'!$F$4:$F$303,'Opening Balance'!$G$4:$G$303,$K243)+SUMIFS('Daily Sale entry '!$S$2:$S$1501,'Daily Sale entry '!$P$2:$P$1501,$K243,'Daily Sale entry '!$Q$2:$Q$1501,"Credit Sale 赊销",'Daily Sale entry '!$O$2:$O$1501,"&lt;"&amp;$B$2)-SUMIFS('Daily Sale entry '!$S$2:$S$1501,'Daily Sale entry '!$P$2:$P$1501,$K243,'Daily Sale entry '!$Q$2:$Q$1501,"Collection 收款",'Daily Sale entry '!$O$2:$O$1501,"&lt;"&amp;$B$2)-SUMIFS('Daily Sale entry '!$AC$2:$AC$1501,'Daily Sale entry '!$AA$2:$AA$1501,$K243,'Daily Sale entry '!$Z$2:$Z$1501,"Online collection 网上收款",'Daily Sale entry '!$X$2:$X$1501,"&lt;"&amp;$B$2)-SUMIFS('Debtor Ledger'!$K$2:$K$3001,'Debtor Ledger'!$C$2:$C$3001,$K243,'Debtor Ledger'!$B$2:$B$3001,"&lt;"&amp;$B$2),2)))</f>
        <v/>
      </c>
      <c r="M243" s="24">
        <f>IF($K243="","",IF($B$2="","",SUMIFS('Daily Sale entry '!$S$2:$S$1501,'Daily Sale entry '!$P$2:$P$1501,$K243,'Daily Sale entry '!$Q$2:$Q$1501,"Credit Sale 赊销",'Daily Sale entry '!$O$2:$O$1501,$B$2)))</f>
        <v/>
      </c>
      <c r="N243" s="24">
        <f>IF($K243="","",IF($B$2="","",SUMIFS('Daily Sale entry '!$S$2:$S$1501,'Daily Sale entry '!$P$2:$P$1501,$K243,'Daily Sale entry '!$Q$2:$Q$1501,"Collection 收款",'Daily Sale entry '!$R$2:$R$1501,"Cash 现金",'Daily Sale entry '!$O$2:$O$1501,$B$2)))</f>
        <v/>
      </c>
      <c r="O243" s="24">
        <f>IF($K243="","",IF($B$2="","",SUMIFS('Daily Sale entry '!$S$2:$S$1501,'Daily Sale entry '!$P$2:$P$1501,$K243,'Daily Sale entry '!$Q$2:$Q$1501,"Collection 收款",'Daily Sale entry '!$R$2:$R$1501,"Cheque 支票",'Daily Sale entry '!$O$2:$O$1501,$B$2)))</f>
        <v/>
      </c>
      <c r="P243" s="24">
        <f>IF($K243="","",IF($B$2="","",SUMIFS('Daily Sale entry '!$AC$2:$AC$1501,'Daily Sale entry '!$AA$2:$AA$1501,$K243,'Daily Sale entry '!$Z$2:$Z$1501,"Online collection 网上收款",'Daily Sale entry '!$X$2:$X$1501,$B$2)))</f>
        <v/>
      </c>
      <c r="Q243" s="24">
        <f>IF($K243="","",IF($B$2="","",SUMIFS('Debtor Ledger'!$K$2:$K$3001,'Debtor Ledger'!$C$2:$C$3001,$K243,'Debtor Ledger'!$B$2:$B$3001,$B$2)))</f>
        <v/>
      </c>
      <c r="R243" s="24">
        <f>IF($K243="","",IF($B$2="","",ROUND(L243+M243-N243-O243-P243-Q243,2)))</f>
        <v/>
      </c>
      <c r="S243" s="21">
        <f>IF(K243="","",IF($B$2="","",IF(ABS(M243)+ABS(N243)+ABS(O243)+ABS(P243)+ABS(Q243)&gt;0,1,0)))</f>
        <v/>
      </c>
      <c r="T243" s="21">
        <f>IF(S243=1,SUM($S$6:S243),"")</f>
        <v/>
      </c>
    </row>
    <row r="244">
      <c r="A244">
        <f>IF($I244="","",INDEX(K$6:K$305,$I244))</f>
        <v/>
      </c>
      <c r="B244" s="6">
        <f>IF($I244="","",INDEX(L$6:L$305,$I244))</f>
        <v/>
      </c>
      <c r="C244" s="6">
        <f>IF($I244="","",INDEX(M$6:M$305,$I244))</f>
        <v/>
      </c>
      <c r="D244" s="6">
        <f>IF($I244="","",INDEX(N$6:N$305,$I244))</f>
        <v/>
      </c>
      <c r="E244" s="6">
        <f>IF($I244="","",INDEX(O$6:O$305,$I244))</f>
        <v/>
      </c>
      <c r="F244" s="6">
        <f>IF($I244="","",INDEX(P$6:P$305,$I244))</f>
        <v/>
      </c>
      <c r="G244" s="6">
        <f>IF($I244="","",INDEX(Q$6:Q$305,$I244))</f>
        <v/>
      </c>
      <c r="H244" s="6">
        <f>IF($I244="","",INDEX(R$6:R$305,$I244))</f>
        <v/>
      </c>
      <c r="I244" s="21">
        <f>IFERROR(MATCH(239,$T$6:$T$305,0),"")</f>
        <v/>
      </c>
      <c r="K244" s="21">
        <f>IF('Debtor Summary'!A243="","",'Debtor Summary'!A243)</f>
        <v/>
      </c>
      <c r="L244" s="24">
        <f>IF($K244="","",IF($B$2="","",ROUND(SUMIFS('Opening Balance'!$F$4:$F$303,'Opening Balance'!$G$4:$G$303,$K244)+SUMIFS('Daily Sale entry '!$S$2:$S$1501,'Daily Sale entry '!$P$2:$P$1501,$K244,'Daily Sale entry '!$Q$2:$Q$1501,"Credit Sale 赊销",'Daily Sale entry '!$O$2:$O$1501,"&lt;"&amp;$B$2)-SUMIFS('Daily Sale entry '!$S$2:$S$1501,'Daily Sale entry '!$P$2:$P$1501,$K244,'Daily Sale entry '!$Q$2:$Q$1501,"Collection 收款",'Daily Sale entry '!$O$2:$O$1501,"&lt;"&amp;$B$2)-SUMIFS('Daily Sale entry '!$AC$2:$AC$1501,'Daily Sale entry '!$AA$2:$AA$1501,$K244,'Daily Sale entry '!$Z$2:$Z$1501,"Online collection 网上收款",'Daily Sale entry '!$X$2:$X$1501,"&lt;"&amp;$B$2)-SUMIFS('Debtor Ledger'!$K$2:$K$3001,'Debtor Ledger'!$C$2:$C$3001,$K244,'Debtor Ledger'!$B$2:$B$3001,"&lt;"&amp;$B$2),2)))</f>
        <v/>
      </c>
      <c r="M244" s="24">
        <f>IF($K244="","",IF($B$2="","",SUMIFS('Daily Sale entry '!$S$2:$S$1501,'Daily Sale entry '!$P$2:$P$1501,$K244,'Daily Sale entry '!$Q$2:$Q$1501,"Credit Sale 赊销",'Daily Sale entry '!$O$2:$O$1501,$B$2)))</f>
        <v/>
      </c>
      <c r="N244" s="24">
        <f>IF($K244="","",IF($B$2="","",SUMIFS('Daily Sale entry '!$S$2:$S$1501,'Daily Sale entry '!$P$2:$P$1501,$K244,'Daily Sale entry '!$Q$2:$Q$1501,"Collection 收款",'Daily Sale entry '!$R$2:$R$1501,"Cash 现金",'Daily Sale entry '!$O$2:$O$1501,$B$2)))</f>
        <v/>
      </c>
      <c r="O244" s="24">
        <f>IF($K244="","",IF($B$2="","",SUMIFS('Daily Sale entry '!$S$2:$S$1501,'Daily Sale entry '!$P$2:$P$1501,$K244,'Daily Sale entry '!$Q$2:$Q$1501,"Collection 收款",'Daily Sale entry '!$R$2:$R$1501,"Cheque 支票",'Daily Sale entry '!$O$2:$O$1501,$B$2)))</f>
        <v/>
      </c>
      <c r="P244" s="24">
        <f>IF($K244="","",IF($B$2="","",SUMIFS('Daily Sale entry '!$AC$2:$AC$1501,'Daily Sale entry '!$AA$2:$AA$1501,$K244,'Daily Sale entry '!$Z$2:$Z$1501,"Online collection 网上收款",'Daily Sale entry '!$X$2:$X$1501,$B$2)))</f>
        <v/>
      </c>
      <c r="Q244" s="24">
        <f>IF($K244="","",IF($B$2="","",SUMIFS('Debtor Ledger'!$K$2:$K$3001,'Debtor Ledger'!$C$2:$C$3001,$K244,'Debtor Ledger'!$B$2:$B$3001,$B$2)))</f>
        <v/>
      </c>
      <c r="R244" s="24">
        <f>IF($K244="","",IF($B$2="","",ROUND(L244+M244-N244-O244-P244-Q244,2)))</f>
        <v/>
      </c>
      <c r="S244" s="21">
        <f>IF(K244="","",IF($B$2="","",IF(ABS(M244)+ABS(N244)+ABS(O244)+ABS(P244)+ABS(Q244)&gt;0,1,0)))</f>
        <v/>
      </c>
      <c r="T244" s="21">
        <f>IF(S244=1,SUM($S$6:S244),"")</f>
        <v/>
      </c>
    </row>
    <row r="245">
      <c r="A245">
        <f>IF($I245="","",INDEX(K$6:K$305,$I245))</f>
        <v/>
      </c>
      <c r="B245" s="6">
        <f>IF($I245="","",INDEX(L$6:L$305,$I245))</f>
        <v/>
      </c>
      <c r="C245" s="6">
        <f>IF($I245="","",INDEX(M$6:M$305,$I245))</f>
        <v/>
      </c>
      <c r="D245" s="6">
        <f>IF($I245="","",INDEX(N$6:N$305,$I245))</f>
        <v/>
      </c>
      <c r="E245" s="6">
        <f>IF($I245="","",INDEX(O$6:O$305,$I245))</f>
        <v/>
      </c>
      <c r="F245" s="6">
        <f>IF($I245="","",INDEX(P$6:P$305,$I245))</f>
        <v/>
      </c>
      <c r="G245" s="6">
        <f>IF($I245="","",INDEX(Q$6:Q$305,$I245))</f>
        <v/>
      </c>
      <c r="H245" s="6">
        <f>IF($I245="","",INDEX(R$6:R$305,$I245))</f>
        <v/>
      </c>
      <c r="I245" s="21">
        <f>IFERROR(MATCH(240,$T$6:$T$305,0),"")</f>
        <v/>
      </c>
      <c r="K245" s="21">
        <f>IF('Debtor Summary'!A244="","",'Debtor Summary'!A244)</f>
        <v/>
      </c>
      <c r="L245" s="24">
        <f>IF($K245="","",IF($B$2="","",ROUND(SUMIFS('Opening Balance'!$F$4:$F$303,'Opening Balance'!$G$4:$G$303,$K245)+SUMIFS('Daily Sale entry '!$S$2:$S$1501,'Daily Sale entry '!$P$2:$P$1501,$K245,'Daily Sale entry '!$Q$2:$Q$1501,"Credit Sale 赊销",'Daily Sale entry '!$O$2:$O$1501,"&lt;"&amp;$B$2)-SUMIFS('Daily Sale entry '!$S$2:$S$1501,'Daily Sale entry '!$P$2:$P$1501,$K245,'Daily Sale entry '!$Q$2:$Q$1501,"Collection 收款",'Daily Sale entry '!$O$2:$O$1501,"&lt;"&amp;$B$2)-SUMIFS('Daily Sale entry '!$AC$2:$AC$1501,'Daily Sale entry '!$AA$2:$AA$1501,$K245,'Daily Sale entry '!$Z$2:$Z$1501,"Online collection 网上收款",'Daily Sale entry '!$X$2:$X$1501,"&lt;"&amp;$B$2)-SUMIFS('Debtor Ledger'!$K$2:$K$3001,'Debtor Ledger'!$C$2:$C$3001,$K245,'Debtor Ledger'!$B$2:$B$3001,"&lt;"&amp;$B$2),2)))</f>
        <v/>
      </c>
      <c r="M245" s="24">
        <f>IF($K245="","",IF($B$2="","",SUMIFS('Daily Sale entry '!$S$2:$S$1501,'Daily Sale entry '!$P$2:$P$1501,$K245,'Daily Sale entry '!$Q$2:$Q$1501,"Credit Sale 赊销",'Daily Sale entry '!$O$2:$O$1501,$B$2)))</f>
        <v/>
      </c>
      <c r="N245" s="24">
        <f>IF($K245="","",IF($B$2="","",SUMIFS('Daily Sale entry '!$S$2:$S$1501,'Daily Sale entry '!$P$2:$P$1501,$K245,'Daily Sale entry '!$Q$2:$Q$1501,"Collection 收款",'Daily Sale entry '!$R$2:$R$1501,"Cash 现金",'Daily Sale entry '!$O$2:$O$1501,$B$2)))</f>
        <v/>
      </c>
      <c r="O245" s="24">
        <f>IF($K245="","",IF($B$2="","",SUMIFS('Daily Sale entry '!$S$2:$S$1501,'Daily Sale entry '!$P$2:$P$1501,$K245,'Daily Sale entry '!$Q$2:$Q$1501,"Collection 收款",'Daily Sale entry '!$R$2:$R$1501,"Cheque 支票",'Daily Sale entry '!$O$2:$O$1501,$B$2)))</f>
        <v/>
      </c>
      <c r="P245" s="24">
        <f>IF($K245="","",IF($B$2="","",SUMIFS('Daily Sale entry '!$AC$2:$AC$1501,'Daily Sale entry '!$AA$2:$AA$1501,$K245,'Daily Sale entry '!$Z$2:$Z$1501,"Online collection 网上收款",'Daily Sale entry '!$X$2:$X$1501,$B$2)))</f>
        <v/>
      </c>
      <c r="Q245" s="24">
        <f>IF($K245="","",IF($B$2="","",SUMIFS('Debtor Ledger'!$K$2:$K$3001,'Debtor Ledger'!$C$2:$C$3001,$K245,'Debtor Ledger'!$B$2:$B$3001,$B$2)))</f>
        <v/>
      </c>
      <c r="R245" s="24">
        <f>IF($K245="","",IF($B$2="","",ROUND(L245+M245-N245-O245-P245-Q245,2)))</f>
        <v/>
      </c>
      <c r="S245" s="21">
        <f>IF(K245="","",IF($B$2="","",IF(ABS(M245)+ABS(N245)+ABS(O245)+ABS(P245)+ABS(Q245)&gt;0,1,0)))</f>
        <v/>
      </c>
      <c r="T245" s="21">
        <f>IF(S245=1,SUM($S$6:S245),"")</f>
        <v/>
      </c>
    </row>
    <row r="246">
      <c r="A246">
        <f>IF($I246="","",INDEX(K$6:K$305,$I246))</f>
        <v/>
      </c>
      <c r="B246" s="6">
        <f>IF($I246="","",INDEX(L$6:L$305,$I246))</f>
        <v/>
      </c>
      <c r="C246" s="6">
        <f>IF($I246="","",INDEX(M$6:M$305,$I246))</f>
        <v/>
      </c>
      <c r="D246" s="6">
        <f>IF($I246="","",INDEX(N$6:N$305,$I246))</f>
        <v/>
      </c>
      <c r="E246" s="6">
        <f>IF($I246="","",INDEX(O$6:O$305,$I246))</f>
        <v/>
      </c>
      <c r="F246" s="6">
        <f>IF($I246="","",INDEX(P$6:P$305,$I246))</f>
        <v/>
      </c>
      <c r="G246" s="6">
        <f>IF($I246="","",INDEX(Q$6:Q$305,$I246))</f>
        <v/>
      </c>
      <c r="H246" s="6">
        <f>IF($I246="","",INDEX(R$6:R$305,$I246))</f>
        <v/>
      </c>
      <c r="I246" s="21">
        <f>IFERROR(MATCH(241,$T$6:$T$305,0),"")</f>
        <v/>
      </c>
      <c r="K246" s="21">
        <f>IF('Debtor Summary'!A245="","",'Debtor Summary'!A245)</f>
        <v/>
      </c>
      <c r="L246" s="24">
        <f>IF($K246="","",IF($B$2="","",ROUND(SUMIFS('Opening Balance'!$F$4:$F$303,'Opening Balance'!$G$4:$G$303,$K246)+SUMIFS('Daily Sale entry '!$S$2:$S$1501,'Daily Sale entry '!$P$2:$P$1501,$K246,'Daily Sale entry '!$Q$2:$Q$1501,"Credit Sale 赊销",'Daily Sale entry '!$O$2:$O$1501,"&lt;"&amp;$B$2)-SUMIFS('Daily Sale entry '!$S$2:$S$1501,'Daily Sale entry '!$P$2:$P$1501,$K246,'Daily Sale entry '!$Q$2:$Q$1501,"Collection 收款",'Daily Sale entry '!$O$2:$O$1501,"&lt;"&amp;$B$2)-SUMIFS('Daily Sale entry '!$AC$2:$AC$1501,'Daily Sale entry '!$AA$2:$AA$1501,$K246,'Daily Sale entry '!$Z$2:$Z$1501,"Online collection 网上收款",'Daily Sale entry '!$X$2:$X$1501,"&lt;"&amp;$B$2)-SUMIFS('Debtor Ledger'!$K$2:$K$3001,'Debtor Ledger'!$C$2:$C$3001,$K246,'Debtor Ledger'!$B$2:$B$3001,"&lt;"&amp;$B$2),2)))</f>
        <v/>
      </c>
      <c r="M246" s="24">
        <f>IF($K246="","",IF($B$2="","",SUMIFS('Daily Sale entry '!$S$2:$S$1501,'Daily Sale entry '!$P$2:$P$1501,$K246,'Daily Sale entry '!$Q$2:$Q$1501,"Credit Sale 赊销",'Daily Sale entry '!$O$2:$O$1501,$B$2)))</f>
        <v/>
      </c>
      <c r="N246" s="24">
        <f>IF($K246="","",IF($B$2="","",SUMIFS('Daily Sale entry '!$S$2:$S$1501,'Daily Sale entry '!$P$2:$P$1501,$K246,'Daily Sale entry '!$Q$2:$Q$1501,"Collection 收款",'Daily Sale entry '!$R$2:$R$1501,"Cash 现金",'Daily Sale entry '!$O$2:$O$1501,$B$2)))</f>
        <v/>
      </c>
      <c r="O246" s="24">
        <f>IF($K246="","",IF($B$2="","",SUMIFS('Daily Sale entry '!$S$2:$S$1501,'Daily Sale entry '!$P$2:$P$1501,$K246,'Daily Sale entry '!$Q$2:$Q$1501,"Collection 收款",'Daily Sale entry '!$R$2:$R$1501,"Cheque 支票",'Daily Sale entry '!$O$2:$O$1501,$B$2)))</f>
        <v/>
      </c>
      <c r="P246" s="24">
        <f>IF($K246="","",IF($B$2="","",SUMIFS('Daily Sale entry '!$AC$2:$AC$1501,'Daily Sale entry '!$AA$2:$AA$1501,$K246,'Daily Sale entry '!$Z$2:$Z$1501,"Online collection 网上收款",'Daily Sale entry '!$X$2:$X$1501,$B$2)))</f>
        <v/>
      </c>
      <c r="Q246" s="24">
        <f>IF($K246="","",IF($B$2="","",SUMIFS('Debtor Ledger'!$K$2:$K$3001,'Debtor Ledger'!$C$2:$C$3001,$K246,'Debtor Ledger'!$B$2:$B$3001,$B$2)))</f>
        <v/>
      </c>
      <c r="R246" s="24">
        <f>IF($K246="","",IF($B$2="","",ROUND(L246+M246-N246-O246-P246-Q246,2)))</f>
        <v/>
      </c>
      <c r="S246" s="21">
        <f>IF(K246="","",IF($B$2="","",IF(ABS(M246)+ABS(N246)+ABS(O246)+ABS(P246)+ABS(Q246)&gt;0,1,0)))</f>
        <v/>
      </c>
      <c r="T246" s="21">
        <f>IF(S246=1,SUM($S$6:S246),"")</f>
        <v/>
      </c>
    </row>
    <row r="247">
      <c r="A247">
        <f>IF($I247="","",INDEX(K$6:K$305,$I247))</f>
        <v/>
      </c>
      <c r="B247" s="6">
        <f>IF($I247="","",INDEX(L$6:L$305,$I247))</f>
        <v/>
      </c>
      <c r="C247" s="6">
        <f>IF($I247="","",INDEX(M$6:M$305,$I247))</f>
        <v/>
      </c>
      <c r="D247" s="6">
        <f>IF($I247="","",INDEX(N$6:N$305,$I247))</f>
        <v/>
      </c>
      <c r="E247" s="6">
        <f>IF($I247="","",INDEX(O$6:O$305,$I247))</f>
        <v/>
      </c>
      <c r="F247" s="6">
        <f>IF($I247="","",INDEX(P$6:P$305,$I247))</f>
        <v/>
      </c>
      <c r="G247" s="6">
        <f>IF($I247="","",INDEX(Q$6:Q$305,$I247))</f>
        <v/>
      </c>
      <c r="H247" s="6">
        <f>IF($I247="","",INDEX(R$6:R$305,$I247))</f>
        <v/>
      </c>
      <c r="I247" s="21">
        <f>IFERROR(MATCH(242,$T$6:$T$305,0),"")</f>
        <v/>
      </c>
      <c r="K247" s="21">
        <f>IF('Debtor Summary'!A246="","",'Debtor Summary'!A246)</f>
        <v/>
      </c>
      <c r="L247" s="24">
        <f>IF($K247="","",IF($B$2="","",ROUND(SUMIFS('Opening Balance'!$F$4:$F$303,'Opening Balance'!$G$4:$G$303,$K247)+SUMIFS('Daily Sale entry '!$S$2:$S$1501,'Daily Sale entry '!$P$2:$P$1501,$K247,'Daily Sale entry '!$Q$2:$Q$1501,"Credit Sale 赊销",'Daily Sale entry '!$O$2:$O$1501,"&lt;"&amp;$B$2)-SUMIFS('Daily Sale entry '!$S$2:$S$1501,'Daily Sale entry '!$P$2:$P$1501,$K247,'Daily Sale entry '!$Q$2:$Q$1501,"Collection 收款",'Daily Sale entry '!$O$2:$O$1501,"&lt;"&amp;$B$2)-SUMIFS('Daily Sale entry '!$AC$2:$AC$1501,'Daily Sale entry '!$AA$2:$AA$1501,$K247,'Daily Sale entry '!$Z$2:$Z$1501,"Online collection 网上收款",'Daily Sale entry '!$X$2:$X$1501,"&lt;"&amp;$B$2)-SUMIFS('Debtor Ledger'!$K$2:$K$3001,'Debtor Ledger'!$C$2:$C$3001,$K247,'Debtor Ledger'!$B$2:$B$3001,"&lt;"&amp;$B$2),2)))</f>
        <v/>
      </c>
      <c r="M247" s="24">
        <f>IF($K247="","",IF($B$2="","",SUMIFS('Daily Sale entry '!$S$2:$S$1501,'Daily Sale entry '!$P$2:$P$1501,$K247,'Daily Sale entry '!$Q$2:$Q$1501,"Credit Sale 赊销",'Daily Sale entry '!$O$2:$O$1501,$B$2)))</f>
        <v/>
      </c>
      <c r="N247" s="24">
        <f>IF($K247="","",IF($B$2="","",SUMIFS('Daily Sale entry '!$S$2:$S$1501,'Daily Sale entry '!$P$2:$P$1501,$K247,'Daily Sale entry '!$Q$2:$Q$1501,"Collection 收款",'Daily Sale entry '!$R$2:$R$1501,"Cash 现金",'Daily Sale entry '!$O$2:$O$1501,$B$2)))</f>
        <v/>
      </c>
      <c r="O247" s="24">
        <f>IF($K247="","",IF($B$2="","",SUMIFS('Daily Sale entry '!$S$2:$S$1501,'Daily Sale entry '!$P$2:$P$1501,$K247,'Daily Sale entry '!$Q$2:$Q$1501,"Collection 收款",'Daily Sale entry '!$R$2:$R$1501,"Cheque 支票",'Daily Sale entry '!$O$2:$O$1501,$B$2)))</f>
        <v/>
      </c>
      <c r="P247" s="24">
        <f>IF($K247="","",IF($B$2="","",SUMIFS('Daily Sale entry '!$AC$2:$AC$1501,'Daily Sale entry '!$AA$2:$AA$1501,$K247,'Daily Sale entry '!$Z$2:$Z$1501,"Online collection 网上收款",'Daily Sale entry '!$X$2:$X$1501,$B$2)))</f>
        <v/>
      </c>
      <c r="Q247" s="24">
        <f>IF($K247="","",IF($B$2="","",SUMIFS('Debtor Ledger'!$K$2:$K$3001,'Debtor Ledger'!$C$2:$C$3001,$K247,'Debtor Ledger'!$B$2:$B$3001,$B$2)))</f>
        <v/>
      </c>
      <c r="R247" s="24">
        <f>IF($K247="","",IF($B$2="","",ROUND(L247+M247-N247-O247-P247-Q247,2)))</f>
        <v/>
      </c>
      <c r="S247" s="21">
        <f>IF(K247="","",IF($B$2="","",IF(ABS(M247)+ABS(N247)+ABS(O247)+ABS(P247)+ABS(Q247)&gt;0,1,0)))</f>
        <v/>
      </c>
      <c r="T247" s="21">
        <f>IF(S247=1,SUM($S$6:S247),"")</f>
        <v/>
      </c>
    </row>
    <row r="248">
      <c r="A248">
        <f>IF($I248="","",INDEX(K$6:K$305,$I248))</f>
        <v/>
      </c>
      <c r="B248" s="6">
        <f>IF($I248="","",INDEX(L$6:L$305,$I248))</f>
        <v/>
      </c>
      <c r="C248" s="6">
        <f>IF($I248="","",INDEX(M$6:M$305,$I248))</f>
        <v/>
      </c>
      <c r="D248" s="6">
        <f>IF($I248="","",INDEX(N$6:N$305,$I248))</f>
        <v/>
      </c>
      <c r="E248" s="6">
        <f>IF($I248="","",INDEX(O$6:O$305,$I248))</f>
        <v/>
      </c>
      <c r="F248" s="6">
        <f>IF($I248="","",INDEX(P$6:P$305,$I248))</f>
        <v/>
      </c>
      <c r="G248" s="6">
        <f>IF($I248="","",INDEX(Q$6:Q$305,$I248))</f>
        <v/>
      </c>
      <c r="H248" s="6">
        <f>IF($I248="","",INDEX(R$6:R$305,$I248))</f>
        <v/>
      </c>
      <c r="I248" s="21">
        <f>IFERROR(MATCH(243,$T$6:$T$305,0),"")</f>
        <v/>
      </c>
      <c r="K248" s="21">
        <f>IF('Debtor Summary'!A247="","",'Debtor Summary'!A247)</f>
        <v/>
      </c>
      <c r="L248" s="24">
        <f>IF($K248="","",IF($B$2="","",ROUND(SUMIFS('Opening Balance'!$F$4:$F$303,'Opening Balance'!$G$4:$G$303,$K248)+SUMIFS('Daily Sale entry '!$S$2:$S$1501,'Daily Sale entry '!$P$2:$P$1501,$K248,'Daily Sale entry '!$Q$2:$Q$1501,"Credit Sale 赊销",'Daily Sale entry '!$O$2:$O$1501,"&lt;"&amp;$B$2)-SUMIFS('Daily Sale entry '!$S$2:$S$1501,'Daily Sale entry '!$P$2:$P$1501,$K248,'Daily Sale entry '!$Q$2:$Q$1501,"Collection 收款",'Daily Sale entry '!$O$2:$O$1501,"&lt;"&amp;$B$2)-SUMIFS('Daily Sale entry '!$AC$2:$AC$1501,'Daily Sale entry '!$AA$2:$AA$1501,$K248,'Daily Sale entry '!$Z$2:$Z$1501,"Online collection 网上收款",'Daily Sale entry '!$X$2:$X$1501,"&lt;"&amp;$B$2)-SUMIFS('Debtor Ledger'!$K$2:$K$3001,'Debtor Ledger'!$C$2:$C$3001,$K248,'Debtor Ledger'!$B$2:$B$3001,"&lt;"&amp;$B$2),2)))</f>
        <v/>
      </c>
      <c r="M248" s="24">
        <f>IF($K248="","",IF($B$2="","",SUMIFS('Daily Sale entry '!$S$2:$S$1501,'Daily Sale entry '!$P$2:$P$1501,$K248,'Daily Sale entry '!$Q$2:$Q$1501,"Credit Sale 赊销",'Daily Sale entry '!$O$2:$O$1501,$B$2)))</f>
        <v/>
      </c>
      <c r="N248" s="24">
        <f>IF($K248="","",IF($B$2="","",SUMIFS('Daily Sale entry '!$S$2:$S$1501,'Daily Sale entry '!$P$2:$P$1501,$K248,'Daily Sale entry '!$Q$2:$Q$1501,"Collection 收款",'Daily Sale entry '!$R$2:$R$1501,"Cash 现金",'Daily Sale entry '!$O$2:$O$1501,$B$2)))</f>
        <v/>
      </c>
      <c r="O248" s="24">
        <f>IF($K248="","",IF($B$2="","",SUMIFS('Daily Sale entry '!$S$2:$S$1501,'Daily Sale entry '!$P$2:$P$1501,$K248,'Daily Sale entry '!$Q$2:$Q$1501,"Collection 收款",'Daily Sale entry '!$R$2:$R$1501,"Cheque 支票",'Daily Sale entry '!$O$2:$O$1501,$B$2)))</f>
        <v/>
      </c>
      <c r="P248" s="24">
        <f>IF($K248="","",IF($B$2="","",SUMIFS('Daily Sale entry '!$AC$2:$AC$1501,'Daily Sale entry '!$AA$2:$AA$1501,$K248,'Daily Sale entry '!$Z$2:$Z$1501,"Online collection 网上收款",'Daily Sale entry '!$X$2:$X$1501,$B$2)))</f>
        <v/>
      </c>
      <c r="Q248" s="24">
        <f>IF($K248="","",IF($B$2="","",SUMIFS('Debtor Ledger'!$K$2:$K$3001,'Debtor Ledger'!$C$2:$C$3001,$K248,'Debtor Ledger'!$B$2:$B$3001,$B$2)))</f>
        <v/>
      </c>
      <c r="R248" s="24">
        <f>IF($K248="","",IF($B$2="","",ROUND(L248+M248-N248-O248-P248-Q248,2)))</f>
        <v/>
      </c>
      <c r="S248" s="21">
        <f>IF(K248="","",IF($B$2="","",IF(ABS(M248)+ABS(N248)+ABS(O248)+ABS(P248)+ABS(Q248)&gt;0,1,0)))</f>
        <v/>
      </c>
      <c r="T248" s="21">
        <f>IF(S248=1,SUM($S$6:S248),"")</f>
        <v/>
      </c>
    </row>
    <row r="249">
      <c r="A249">
        <f>IF($I249="","",INDEX(K$6:K$305,$I249))</f>
        <v/>
      </c>
      <c r="B249" s="6">
        <f>IF($I249="","",INDEX(L$6:L$305,$I249))</f>
        <v/>
      </c>
      <c r="C249" s="6">
        <f>IF($I249="","",INDEX(M$6:M$305,$I249))</f>
        <v/>
      </c>
      <c r="D249" s="6">
        <f>IF($I249="","",INDEX(N$6:N$305,$I249))</f>
        <v/>
      </c>
      <c r="E249" s="6">
        <f>IF($I249="","",INDEX(O$6:O$305,$I249))</f>
        <v/>
      </c>
      <c r="F249" s="6">
        <f>IF($I249="","",INDEX(P$6:P$305,$I249))</f>
        <v/>
      </c>
      <c r="G249" s="6">
        <f>IF($I249="","",INDEX(Q$6:Q$305,$I249))</f>
        <v/>
      </c>
      <c r="H249" s="6">
        <f>IF($I249="","",INDEX(R$6:R$305,$I249))</f>
        <v/>
      </c>
      <c r="I249" s="21">
        <f>IFERROR(MATCH(244,$T$6:$T$305,0),"")</f>
        <v/>
      </c>
      <c r="K249" s="21">
        <f>IF('Debtor Summary'!A248="","",'Debtor Summary'!A248)</f>
        <v/>
      </c>
      <c r="L249" s="24">
        <f>IF($K249="","",IF($B$2="","",ROUND(SUMIFS('Opening Balance'!$F$4:$F$303,'Opening Balance'!$G$4:$G$303,$K249)+SUMIFS('Daily Sale entry '!$S$2:$S$1501,'Daily Sale entry '!$P$2:$P$1501,$K249,'Daily Sale entry '!$Q$2:$Q$1501,"Credit Sale 赊销",'Daily Sale entry '!$O$2:$O$1501,"&lt;"&amp;$B$2)-SUMIFS('Daily Sale entry '!$S$2:$S$1501,'Daily Sale entry '!$P$2:$P$1501,$K249,'Daily Sale entry '!$Q$2:$Q$1501,"Collection 收款",'Daily Sale entry '!$O$2:$O$1501,"&lt;"&amp;$B$2)-SUMIFS('Daily Sale entry '!$AC$2:$AC$1501,'Daily Sale entry '!$AA$2:$AA$1501,$K249,'Daily Sale entry '!$Z$2:$Z$1501,"Online collection 网上收款",'Daily Sale entry '!$X$2:$X$1501,"&lt;"&amp;$B$2)-SUMIFS('Debtor Ledger'!$K$2:$K$3001,'Debtor Ledger'!$C$2:$C$3001,$K249,'Debtor Ledger'!$B$2:$B$3001,"&lt;"&amp;$B$2),2)))</f>
        <v/>
      </c>
      <c r="M249" s="24">
        <f>IF($K249="","",IF($B$2="","",SUMIFS('Daily Sale entry '!$S$2:$S$1501,'Daily Sale entry '!$P$2:$P$1501,$K249,'Daily Sale entry '!$Q$2:$Q$1501,"Credit Sale 赊销",'Daily Sale entry '!$O$2:$O$1501,$B$2)))</f>
        <v/>
      </c>
      <c r="N249" s="24">
        <f>IF($K249="","",IF($B$2="","",SUMIFS('Daily Sale entry '!$S$2:$S$1501,'Daily Sale entry '!$P$2:$P$1501,$K249,'Daily Sale entry '!$Q$2:$Q$1501,"Collection 收款",'Daily Sale entry '!$R$2:$R$1501,"Cash 现金",'Daily Sale entry '!$O$2:$O$1501,$B$2)))</f>
        <v/>
      </c>
      <c r="O249" s="24">
        <f>IF($K249="","",IF($B$2="","",SUMIFS('Daily Sale entry '!$S$2:$S$1501,'Daily Sale entry '!$P$2:$P$1501,$K249,'Daily Sale entry '!$Q$2:$Q$1501,"Collection 收款",'Daily Sale entry '!$R$2:$R$1501,"Cheque 支票",'Daily Sale entry '!$O$2:$O$1501,$B$2)))</f>
        <v/>
      </c>
      <c r="P249" s="24">
        <f>IF($K249="","",IF($B$2="","",SUMIFS('Daily Sale entry '!$AC$2:$AC$1501,'Daily Sale entry '!$AA$2:$AA$1501,$K249,'Daily Sale entry '!$Z$2:$Z$1501,"Online collection 网上收款",'Daily Sale entry '!$X$2:$X$1501,$B$2)))</f>
        <v/>
      </c>
      <c r="Q249" s="24">
        <f>IF($K249="","",IF($B$2="","",SUMIFS('Debtor Ledger'!$K$2:$K$3001,'Debtor Ledger'!$C$2:$C$3001,$K249,'Debtor Ledger'!$B$2:$B$3001,$B$2)))</f>
        <v/>
      </c>
      <c r="R249" s="24">
        <f>IF($K249="","",IF($B$2="","",ROUND(L249+M249-N249-O249-P249-Q249,2)))</f>
        <v/>
      </c>
      <c r="S249" s="21">
        <f>IF(K249="","",IF($B$2="","",IF(ABS(M249)+ABS(N249)+ABS(O249)+ABS(P249)+ABS(Q249)&gt;0,1,0)))</f>
        <v/>
      </c>
      <c r="T249" s="21">
        <f>IF(S249=1,SUM($S$6:S249),"")</f>
        <v/>
      </c>
    </row>
    <row r="250">
      <c r="A250">
        <f>IF($I250="","",INDEX(K$6:K$305,$I250))</f>
        <v/>
      </c>
      <c r="B250" s="6">
        <f>IF($I250="","",INDEX(L$6:L$305,$I250))</f>
        <v/>
      </c>
      <c r="C250" s="6">
        <f>IF($I250="","",INDEX(M$6:M$305,$I250))</f>
        <v/>
      </c>
      <c r="D250" s="6">
        <f>IF($I250="","",INDEX(N$6:N$305,$I250))</f>
        <v/>
      </c>
      <c r="E250" s="6">
        <f>IF($I250="","",INDEX(O$6:O$305,$I250))</f>
        <v/>
      </c>
      <c r="F250" s="6">
        <f>IF($I250="","",INDEX(P$6:P$305,$I250))</f>
        <v/>
      </c>
      <c r="G250" s="6">
        <f>IF($I250="","",INDEX(Q$6:Q$305,$I250))</f>
        <v/>
      </c>
      <c r="H250" s="6">
        <f>IF($I250="","",INDEX(R$6:R$305,$I250))</f>
        <v/>
      </c>
      <c r="I250" s="21">
        <f>IFERROR(MATCH(245,$T$6:$T$305,0),"")</f>
        <v/>
      </c>
      <c r="K250" s="21">
        <f>IF('Debtor Summary'!A249="","",'Debtor Summary'!A249)</f>
        <v/>
      </c>
      <c r="L250" s="24">
        <f>IF($K250="","",IF($B$2="","",ROUND(SUMIFS('Opening Balance'!$F$4:$F$303,'Opening Balance'!$G$4:$G$303,$K250)+SUMIFS('Daily Sale entry '!$S$2:$S$1501,'Daily Sale entry '!$P$2:$P$1501,$K250,'Daily Sale entry '!$Q$2:$Q$1501,"Credit Sale 赊销",'Daily Sale entry '!$O$2:$O$1501,"&lt;"&amp;$B$2)-SUMIFS('Daily Sale entry '!$S$2:$S$1501,'Daily Sale entry '!$P$2:$P$1501,$K250,'Daily Sale entry '!$Q$2:$Q$1501,"Collection 收款",'Daily Sale entry '!$O$2:$O$1501,"&lt;"&amp;$B$2)-SUMIFS('Daily Sale entry '!$AC$2:$AC$1501,'Daily Sale entry '!$AA$2:$AA$1501,$K250,'Daily Sale entry '!$Z$2:$Z$1501,"Online collection 网上收款",'Daily Sale entry '!$X$2:$X$1501,"&lt;"&amp;$B$2)-SUMIFS('Debtor Ledger'!$K$2:$K$3001,'Debtor Ledger'!$C$2:$C$3001,$K250,'Debtor Ledger'!$B$2:$B$3001,"&lt;"&amp;$B$2),2)))</f>
        <v/>
      </c>
      <c r="M250" s="24">
        <f>IF($K250="","",IF($B$2="","",SUMIFS('Daily Sale entry '!$S$2:$S$1501,'Daily Sale entry '!$P$2:$P$1501,$K250,'Daily Sale entry '!$Q$2:$Q$1501,"Credit Sale 赊销",'Daily Sale entry '!$O$2:$O$1501,$B$2)))</f>
        <v/>
      </c>
      <c r="N250" s="24">
        <f>IF($K250="","",IF($B$2="","",SUMIFS('Daily Sale entry '!$S$2:$S$1501,'Daily Sale entry '!$P$2:$P$1501,$K250,'Daily Sale entry '!$Q$2:$Q$1501,"Collection 收款",'Daily Sale entry '!$R$2:$R$1501,"Cash 现金",'Daily Sale entry '!$O$2:$O$1501,$B$2)))</f>
        <v/>
      </c>
      <c r="O250" s="24">
        <f>IF($K250="","",IF($B$2="","",SUMIFS('Daily Sale entry '!$S$2:$S$1501,'Daily Sale entry '!$P$2:$P$1501,$K250,'Daily Sale entry '!$Q$2:$Q$1501,"Collection 收款",'Daily Sale entry '!$R$2:$R$1501,"Cheque 支票",'Daily Sale entry '!$O$2:$O$1501,$B$2)))</f>
        <v/>
      </c>
      <c r="P250" s="24">
        <f>IF($K250="","",IF($B$2="","",SUMIFS('Daily Sale entry '!$AC$2:$AC$1501,'Daily Sale entry '!$AA$2:$AA$1501,$K250,'Daily Sale entry '!$Z$2:$Z$1501,"Online collection 网上收款",'Daily Sale entry '!$X$2:$X$1501,$B$2)))</f>
        <v/>
      </c>
      <c r="Q250" s="24">
        <f>IF($K250="","",IF($B$2="","",SUMIFS('Debtor Ledger'!$K$2:$K$3001,'Debtor Ledger'!$C$2:$C$3001,$K250,'Debtor Ledger'!$B$2:$B$3001,$B$2)))</f>
        <v/>
      </c>
      <c r="R250" s="24">
        <f>IF($K250="","",IF($B$2="","",ROUND(L250+M250-N250-O250-P250-Q250,2)))</f>
        <v/>
      </c>
      <c r="S250" s="21">
        <f>IF(K250="","",IF($B$2="","",IF(ABS(M250)+ABS(N250)+ABS(O250)+ABS(P250)+ABS(Q250)&gt;0,1,0)))</f>
        <v/>
      </c>
      <c r="T250" s="21">
        <f>IF(S250=1,SUM($S$6:S250),"")</f>
        <v/>
      </c>
    </row>
    <row r="251">
      <c r="A251">
        <f>IF($I251="","",INDEX(K$6:K$305,$I251))</f>
        <v/>
      </c>
      <c r="B251" s="6">
        <f>IF($I251="","",INDEX(L$6:L$305,$I251))</f>
        <v/>
      </c>
      <c r="C251" s="6">
        <f>IF($I251="","",INDEX(M$6:M$305,$I251))</f>
        <v/>
      </c>
      <c r="D251" s="6">
        <f>IF($I251="","",INDEX(N$6:N$305,$I251))</f>
        <v/>
      </c>
      <c r="E251" s="6">
        <f>IF($I251="","",INDEX(O$6:O$305,$I251))</f>
        <v/>
      </c>
      <c r="F251" s="6">
        <f>IF($I251="","",INDEX(P$6:P$305,$I251))</f>
        <v/>
      </c>
      <c r="G251" s="6">
        <f>IF($I251="","",INDEX(Q$6:Q$305,$I251))</f>
        <v/>
      </c>
      <c r="H251" s="6">
        <f>IF($I251="","",INDEX(R$6:R$305,$I251))</f>
        <v/>
      </c>
      <c r="I251" s="21">
        <f>IFERROR(MATCH(246,$T$6:$T$305,0),"")</f>
        <v/>
      </c>
      <c r="K251" s="21">
        <f>IF('Debtor Summary'!A250="","",'Debtor Summary'!A250)</f>
        <v/>
      </c>
      <c r="L251" s="24">
        <f>IF($K251="","",IF($B$2="","",ROUND(SUMIFS('Opening Balance'!$F$4:$F$303,'Opening Balance'!$G$4:$G$303,$K251)+SUMIFS('Daily Sale entry '!$S$2:$S$1501,'Daily Sale entry '!$P$2:$P$1501,$K251,'Daily Sale entry '!$Q$2:$Q$1501,"Credit Sale 赊销",'Daily Sale entry '!$O$2:$O$1501,"&lt;"&amp;$B$2)-SUMIFS('Daily Sale entry '!$S$2:$S$1501,'Daily Sale entry '!$P$2:$P$1501,$K251,'Daily Sale entry '!$Q$2:$Q$1501,"Collection 收款",'Daily Sale entry '!$O$2:$O$1501,"&lt;"&amp;$B$2)-SUMIFS('Daily Sale entry '!$AC$2:$AC$1501,'Daily Sale entry '!$AA$2:$AA$1501,$K251,'Daily Sale entry '!$Z$2:$Z$1501,"Online collection 网上收款",'Daily Sale entry '!$X$2:$X$1501,"&lt;"&amp;$B$2)-SUMIFS('Debtor Ledger'!$K$2:$K$3001,'Debtor Ledger'!$C$2:$C$3001,$K251,'Debtor Ledger'!$B$2:$B$3001,"&lt;"&amp;$B$2),2)))</f>
        <v/>
      </c>
      <c r="M251" s="24">
        <f>IF($K251="","",IF($B$2="","",SUMIFS('Daily Sale entry '!$S$2:$S$1501,'Daily Sale entry '!$P$2:$P$1501,$K251,'Daily Sale entry '!$Q$2:$Q$1501,"Credit Sale 赊销",'Daily Sale entry '!$O$2:$O$1501,$B$2)))</f>
        <v/>
      </c>
      <c r="N251" s="24">
        <f>IF($K251="","",IF($B$2="","",SUMIFS('Daily Sale entry '!$S$2:$S$1501,'Daily Sale entry '!$P$2:$P$1501,$K251,'Daily Sale entry '!$Q$2:$Q$1501,"Collection 收款",'Daily Sale entry '!$R$2:$R$1501,"Cash 现金",'Daily Sale entry '!$O$2:$O$1501,$B$2)))</f>
        <v/>
      </c>
      <c r="O251" s="24">
        <f>IF($K251="","",IF($B$2="","",SUMIFS('Daily Sale entry '!$S$2:$S$1501,'Daily Sale entry '!$P$2:$P$1501,$K251,'Daily Sale entry '!$Q$2:$Q$1501,"Collection 收款",'Daily Sale entry '!$R$2:$R$1501,"Cheque 支票",'Daily Sale entry '!$O$2:$O$1501,$B$2)))</f>
        <v/>
      </c>
      <c r="P251" s="24">
        <f>IF($K251="","",IF($B$2="","",SUMIFS('Daily Sale entry '!$AC$2:$AC$1501,'Daily Sale entry '!$AA$2:$AA$1501,$K251,'Daily Sale entry '!$Z$2:$Z$1501,"Online collection 网上收款",'Daily Sale entry '!$X$2:$X$1501,$B$2)))</f>
        <v/>
      </c>
      <c r="Q251" s="24">
        <f>IF($K251="","",IF($B$2="","",SUMIFS('Debtor Ledger'!$K$2:$K$3001,'Debtor Ledger'!$C$2:$C$3001,$K251,'Debtor Ledger'!$B$2:$B$3001,$B$2)))</f>
        <v/>
      </c>
      <c r="R251" s="24">
        <f>IF($K251="","",IF($B$2="","",ROUND(L251+M251-N251-O251-P251-Q251,2)))</f>
        <v/>
      </c>
      <c r="S251" s="21">
        <f>IF(K251="","",IF($B$2="","",IF(ABS(M251)+ABS(N251)+ABS(O251)+ABS(P251)+ABS(Q251)&gt;0,1,0)))</f>
        <v/>
      </c>
      <c r="T251" s="21">
        <f>IF(S251=1,SUM($S$6:S251),"")</f>
        <v/>
      </c>
    </row>
    <row r="252">
      <c r="A252">
        <f>IF($I252="","",INDEX(K$6:K$305,$I252))</f>
        <v/>
      </c>
      <c r="B252" s="6">
        <f>IF($I252="","",INDEX(L$6:L$305,$I252))</f>
        <v/>
      </c>
      <c r="C252" s="6">
        <f>IF($I252="","",INDEX(M$6:M$305,$I252))</f>
        <v/>
      </c>
      <c r="D252" s="6">
        <f>IF($I252="","",INDEX(N$6:N$305,$I252))</f>
        <v/>
      </c>
      <c r="E252" s="6">
        <f>IF($I252="","",INDEX(O$6:O$305,$I252))</f>
        <v/>
      </c>
      <c r="F252" s="6">
        <f>IF($I252="","",INDEX(P$6:P$305,$I252))</f>
        <v/>
      </c>
      <c r="G252" s="6">
        <f>IF($I252="","",INDEX(Q$6:Q$305,$I252))</f>
        <v/>
      </c>
      <c r="H252" s="6">
        <f>IF($I252="","",INDEX(R$6:R$305,$I252))</f>
        <v/>
      </c>
      <c r="I252" s="21">
        <f>IFERROR(MATCH(247,$T$6:$T$305,0),"")</f>
        <v/>
      </c>
      <c r="K252" s="21">
        <f>IF('Debtor Summary'!A251="","",'Debtor Summary'!A251)</f>
        <v/>
      </c>
      <c r="L252" s="24">
        <f>IF($K252="","",IF($B$2="","",ROUND(SUMIFS('Opening Balance'!$F$4:$F$303,'Opening Balance'!$G$4:$G$303,$K252)+SUMIFS('Daily Sale entry '!$S$2:$S$1501,'Daily Sale entry '!$P$2:$P$1501,$K252,'Daily Sale entry '!$Q$2:$Q$1501,"Credit Sale 赊销",'Daily Sale entry '!$O$2:$O$1501,"&lt;"&amp;$B$2)-SUMIFS('Daily Sale entry '!$S$2:$S$1501,'Daily Sale entry '!$P$2:$P$1501,$K252,'Daily Sale entry '!$Q$2:$Q$1501,"Collection 收款",'Daily Sale entry '!$O$2:$O$1501,"&lt;"&amp;$B$2)-SUMIFS('Daily Sale entry '!$AC$2:$AC$1501,'Daily Sale entry '!$AA$2:$AA$1501,$K252,'Daily Sale entry '!$Z$2:$Z$1501,"Online collection 网上收款",'Daily Sale entry '!$X$2:$X$1501,"&lt;"&amp;$B$2)-SUMIFS('Debtor Ledger'!$K$2:$K$3001,'Debtor Ledger'!$C$2:$C$3001,$K252,'Debtor Ledger'!$B$2:$B$3001,"&lt;"&amp;$B$2),2)))</f>
        <v/>
      </c>
      <c r="M252" s="24">
        <f>IF($K252="","",IF($B$2="","",SUMIFS('Daily Sale entry '!$S$2:$S$1501,'Daily Sale entry '!$P$2:$P$1501,$K252,'Daily Sale entry '!$Q$2:$Q$1501,"Credit Sale 赊销",'Daily Sale entry '!$O$2:$O$1501,$B$2)))</f>
        <v/>
      </c>
      <c r="N252" s="24">
        <f>IF($K252="","",IF($B$2="","",SUMIFS('Daily Sale entry '!$S$2:$S$1501,'Daily Sale entry '!$P$2:$P$1501,$K252,'Daily Sale entry '!$Q$2:$Q$1501,"Collection 收款",'Daily Sale entry '!$R$2:$R$1501,"Cash 现金",'Daily Sale entry '!$O$2:$O$1501,$B$2)))</f>
        <v/>
      </c>
      <c r="O252" s="24">
        <f>IF($K252="","",IF($B$2="","",SUMIFS('Daily Sale entry '!$S$2:$S$1501,'Daily Sale entry '!$P$2:$P$1501,$K252,'Daily Sale entry '!$Q$2:$Q$1501,"Collection 收款",'Daily Sale entry '!$R$2:$R$1501,"Cheque 支票",'Daily Sale entry '!$O$2:$O$1501,$B$2)))</f>
        <v/>
      </c>
      <c r="P252" s="24">
        <f>IF($K252="","",IF($B$2="","",SUMIFS('Daily Sale entry '!$AC$2:$AC$1501,'Daily Sale entry '!$AA$2:$AA$1501,$K252,'Daily Sale entry '!$Z$2:$Z$1501,"Online collection 网上收款",'Daily Sale entry '!$X$2:$X$1501,$B$2)))</f>
        <v/>
      </c>
      <c r="Q252" s="24">
        <f>IF($K252="","",IF($B$2="","",SUMIFS('Debtor Ledger'!$K$2:$K$3001,'Debtor Ledger'!$C$2:$C$3001,$K252,'Debtor Ledger'!$B$2:$B$3001,$B$2)))</f>
        <v/>
      </c>
      <c r="R252" s="24">
        <f>IF($K252="","",IF($B$2="","",ROUND(L252+M252-N252-O252-P252-Q252,2)))</f>
        <v/>
      </c>
      <c r="S252" s="21">
        <f>IF(K252="","",IF($B$2="","",IF(ABS(M252)+ABS(N252)+ABS(O252)+ABS(P252)+ABS(Q252)&gt;0,1,0)))</f>
        <v/>
      </c>
      <c r="T252" s="21">
        <f>IF(S252=1,SUM($S$6:S252),"")</f>
        <v/>
      </c>
    </row>
    <row r="253">
      <c r="A253">
        <f>IF($I253="","",INDEX(K$6:K$305,$I253))</f>
        <v/>
      </c>
      <c r="B253" s="6">
        <f>IF($I253="","",INDEX(L$6:L$305,$I253))</f>
        <v/>
      </c>
      <c r="C253" s="6">
        <f>IF($I253="","",INDEX(M$6:M$305,$I253))</f>
        <v/>
      </c>
      <c r="D253" s="6">
        <f>IF($I253="","",INDEX(N$6:N$305,$I253))</f>
        <v/>
      </c>
      <c r="E253" s="6">
        <f>IF($I253="","",INDEX(O$6:O$305,$I253))</f>
        <v/>
      </c>
      <c r="F253" s="6">
        <f>IF($I253="","",INDEX(P$6:P$305,$I253))</f>
        <v/>
      </c>
      <c r="G253" s="6">
        <f>IF($I253="","",INDEX(Q$6:Q$305,$I253))</f>
        <v/>
      </c>
      <c r="H253" s="6">
        <f>IF($I253="","",INDEX(R$6:R$305,$I253))</f>
        <v/>
      </c>
      <c r="I253" s="21">
        <f>IFERROR(MATCH(248,$T$6:$T$305,0),"")</f>
        <v/>
      </c>
      <c r="K253" s="21">
        <f>IF('Debtor Summary'!A252="","",'Debtor Summary'!A252)</f>
        <v/>
      </c>
      <c r="L253" s="24">
        <f>IF($K253="","",IF($B$2="","",ROUND(SUMIFS('Opening Balance'!$F$4:$F$303,'Opening Balance'!$G$4:$G$303,$K253)+SUMIFS('Daily Sale entry '!$S$2:$S$1501,'Daily Sale entry '!$P$2:$P$1501,$K253,'Daily Sale entry '!$Q$2:$Q$1501,"Credit Sale 赊销",'Daily Sale entry '!$O$2:$O$1501,"&lt;"&amp;$B$2)-SUMIFS('Daily Sale entry '!$S$2:$S$1501,'Daily Sale entry '!$P$2:$P$1501,$K253,'Daily Sale entry '!$Q$2:$Q$1501,"Collection 收款",'Daily Sale entry '!$O$2:$O$1501,"&lt;"&amp;$B$2)-SUMIFS('Daily Sale entry '!$AC$2:$AC$1501,'Daily Sale entry '!$AA$2:$AA$1501,$K253,'Daily Sale entry '!$Z$2:$Z$1501,"Online collection 网上收款",'Daily Sale entry '!$X$2:$X$1501,"&lt;"&amp;$B$2)-SUMIFS('Debtor Ledger'!$K$2:$K$3001,'Debtor Ledger'!$C$2:$C$3001,$K253,'Debtor Ledger'!$B$2:$B$3001,"&lt;"&amp;$B$2),2)))</f>
        <v/>
      </c>
      <c r="M253" s="24">
        <f>IF($K253="","",IF($B$2="","",SUMIFS('Daily Sale entry '!$S$2:$S$1501,'Daily Sale entry '!$P$2:$P$1501,$K253,'Daily Sale entry '!$Q$2:$Q$1501,"Credit Sale 赊销",'Daily Sale entry '!$O$2:$O$1501,$B$2)))</f>
        <v/>
      </c>
      <c r="N253" s="24">
        <f>IF($K253="","",IF($B$2="","",SUMIFS('Daily Sale entry '!$S$2:$S$1501,'Daily Sale entry '!$P$2:$P$1501,$K253,'Daily Sale entry '!$Q$2:$Q$1501,"Collection 收款",'Daily Sale entry '!$R$2:$R$1501,"Cash 现金",'Daily Sale entry '!$O$2:$O$1501,$B$2)))</f>
        <v/>
      </c>
      <c r="O253" s="24">
        <f>IF($K253="","",IF($B$2="","",SUMIFS('Daily Sale entry '!$S$2:$S$1501,'Daily Sale entry '!$P$2:$P$1501,$K253,'Daily Sale entry '!$Q$2:$Q$1501,"Collection 收款",'Daily Sale entry '!$R$2:$R$1501,"Cheque 支票",'Daily Sale entry '!$O$2:$O$1501,$B$2)))</f>
        <v/>
      </c>
      <c r="P253" s="24">
        <f>IF($K253="","",IF($B$2="","",SUMIFS('Daily Sale entry '!$AC$2:$AC$1501,'Daily Sale entry '!$AA$2:$AA$1501,$K253,'Daily Sale entry '!$Z$2:$Z$1501,"Online collection 网上收款",'Daily Sale entry '!$X$2:$X$1501,$B$2)))</f>
        <v/>
      </c>
      <c r="Q253" s="24">
        <f>IF($K253="","",IF($B$2="","",SUMIFS('Debtor Ledger'!$K$2:$K$3001,'Debtor Ledger'!$C$2:$C$3001,$K253,'Debtor Ledger'!$B$2:$B$3001,$B$2)))</f>
        <v/>
      </c>
      <c r="R253" s="24">
        <f>IF($K253="","",IF($B$2="","",ROUND(L253+M253-N253-O253-P253-Q253,2)))</f>
        <v/>
      </c>
      <c r="S253" s="21">
        <f>IF(K253="","",IF($B$2="","",IF(ABS(M253)+ABS(N253)+ABS(O253)+ABS(P253)+ABS(Q253)&gt;0,1,0)))</f>
        <v/>
      </c>
      <c r="T253" s="21">
        <f>IF(S253=1,SUM($S$6:S253),"")</f>
        <v/>
      </c>
    </row>
    <row r="254">
      <c r="A254">
        <f>IF($I254="","",INDEX(K$6:K$305,$I254))</f>
        <v/>
      </c>
      <c r="B254" s="6">
        <f>IF($I254="","",INDEX(L$6:L$305,$I254))</f>
        <v/>
      </c>
      <c r="C254" s="6">
        <f>IF($I254="","",INDEX(M$6:M$305,$I254))</f>
        <v/>
      </c>
      <c r="D254" s="6">
        <f>IF($I254="","",INDEX(N$6:N$305,$I254))</f>
        <v/>
      </c>
      <c r="E254" s="6">
        <f>IF($I254="","",INDEX(O$6:O$305,$I254))</f>
        <v/>
      </c>
      <c r="F254" s="6">
        <f>IF($I254="","",INDEX(P$6:P$305,$I254))</f>
        <v/>
      </c>
      <c r="G254" s="6">
        <f>IF($I254="","",INDEX(Q$6:Q$305,$I254))</f>
        <v/>
      </c>
      <c r="H254" s="6">
        <f>IF($I254="","",INDEX(R$6:R$305,$I254))</f>
        <v/>
      </c>
      <c r="I254" s="21">
        <f>IFERROR(MATCH(249,$T$6:$T$305,0),"")</f>
        <v/>
      </c>
      <c r="K254" s="21">
        <f>IF('Debtor Summary'!A253="","",'Debtor Summary'!A253)</f>
        <v/>
      </c>
      <c r="L254" s="24">
        <f>IF($K254="","",IF($B$2="","",ROUND(SUMIFS('Opening Balance'!$F$4:$F$303,'Opening Balance'!$G$4:$G$303,$K254)+SUMIFS('Daily Sale entry '!$S$2:$S$1501,'Daily Sale entry '!$P$2:$P$1501,$K254,'Daily Sale entry '!$Q$2:$Q$1501,"Credit Sale 赊销",'Daily Sale entry '!$O$2:$O$1501,"&lt;"&amp;$B$2)-SUMIFS('Daily Sale entry '!$S$2:$S$1501,'Daily Sale entry '!$P$2:$P$1501,$K254,'Daily Sale entry '!$Q$2:$Q$1501,"Collection 收款",'Daily Sale entry '!$O$2:$O$1501,"&lt;"&amp;$B$2)-SUMIFS('Daily Sale entry '!$AC$2:$AC$1501,'Daily Sale entry '!$AA$2:$AA$1501,$K254,'Daily Sale entry '!$Z$2:$Z$1501,"Online collection 网上收款",'Daily Sale entry '!$X$2:$X$1501,"&lt;"&amp;$B$2)-SUMIFS('Debtor Ledger'!$K$2:$K$3001,'Debtor Ledger'!$C$2:$C$3001,$K254,'Debtor Ledger'!$B$2:$B$3001,"&lt;"&amp;$B$2),2)))</f>
        <v/>
      </c>
      <c r="M254" s="24">
        <f>IF($K254="","",IF($B$2="","",SUMIFS('Daily Sale entry '!$S$2:$S$1501,'Daily Sale entry '!$P$2:$P$1501,$K254,'Daily Sale entry '!$Q$2:$Q$1501,"Credit Sale 赊销",'Daily Sale entry '!$O$2:$O$1501,$B$2)))</f>
        <v/>
      </c>
      <c r="N254" s="24">
        <f>IF($K254="","",IF($B$2="","",SUMIFS('Daily Sale entry '!$S$2:$S$1501,'Daily Sale entry '!$P$2:$P$1501,$K254,'Daily Sale entry '!$Q$2:$Q$1501,"Collection 收款",'Daily Sale entry '!$R$2:$R$1501,"Cash 现金",'Daily Sale entry '!$O$2:$O$1501,$B$2)))</f>
        <v/>
      </c>
      <c r="O254" s="24">
        <f>IF($K254="","",IF($B$2="","",SUMIFS('Daily Sale entry '!$S$2:$S$1501,'Daily Sale entry '!$P$2:$P$1501,$K254,'Daily Sale entry '!$Q$2:$Q$1501,"Collection 收款",'Daily Sale entry '!$R$2:$R$1501,"Cheque 支票",'Daily Sale entry '!$O$2:$O$1501,$B$2)))</f>
        <v/>
      </c>
      <c r="P254" s="24">
        <f>IF($K254="","",IF($B$2="","",SUMIFS('Daily Sale entry '!$AC$2:$AC$1501,'Daily Sale entry '!$AA$2:$AA$1501,$K254,'Daily Sale entry '!$Z$2:$Z$1501,"Online collection 网上收款",'Daily Sale entry '!$X$2:$X$1501,$B$2)))</f>
        <v/>
      </c>
      <c r="Q254" s="24">
        <f>IF($K254="","",IF($B$2="","",SUMIFS('Debtor Ledger'!$K$2:$K$3001,'Debtor Ledger'!$C$2:$C$3001,$K254,'Debtor Ledger'!$B$2:$B$3001,$B$2)))</f>
        <v/>
      </c>
      <c r="R254" s="24">
        <f>IF($K254="","",IF($B$2="","",ROUND(L254+M254-N254-O254-P254-Q254,2)))</f>
        <v/>
      </c>
      <c r="S254" s="21">
        <f>IF(K254="","",IF($B$2="","",IF(ABS(M254)+ABS(N254)+ABS(O254)+ABS(P254)+ABS(Q254)&gt;0,1,0)))</f>
        <v/>
      </c>
      <c r="T254" s="21">
        <f>IF(S254=1,SUM($S$6:S254),"")</f>
        <v/>
      </c>
    </row>
    <row r="255">
      <c r="A255">
        <f>IF($I255="","",INDEX(K$6:K$305,$I255))</f>
        <v/>
      </c>
      <c r="B255" s="6">
        <f>IF($I255="","",INDEX(L$6:L$305,$I255))</f>
        <v/>
      </c>
      <c r="C255" s="6">
        <f>IF($I255="","",INDEX(M$6:M$305,$I255))</f>
        <v/>
      </c>
      <c r="D255" s="6">
        <f>IF($I255="","",INDEX(N$6:N$305,$I255))</f>
        <v/>
      </c>
      <c r="E255" s="6">
        <f>IF($I255="","",INDEX(O$6:O$305,$I255))</f>
        <v/>
      </c>
      <c r="F255" s="6">
        <f>IF($I255="","",INDEX(P$6:P$305,$I255))</f>
        <v/>
      </c>
      <c r="G255" s="6">
        <f>IF($I255="","",INDEX(Q$6:Q$305,$I255))</f>
        <v/>
      </c>
      <c r="H255" s="6">
        <f>IF($I255="","",INDEX(R$6:R$305,$I255))</f>
        <v/>
      </c>
      <c r="I255" s="21">
        <f>IFERROR(MATCH(250,$T$6:$T$305,0),"")</f>
        <v/>
      </c>
      <c r="K255" s="21">
        <f>IF('Debtor Summary'!A254="","",'Debtor Summary'!A254)</f>
        <v/>
      </c>
      <c r="L255" s="24">
        <f>IF($K255="","",IF($B$2="","",ROUND(SUMIFS('Opening Balance'!$F$4:$F$303,'Opening Balance'!$G$4:$G$303,$K255)+SUMIFS('Daily Sale entry '!$S$2:$S$1501,'Daily Sale entry '!$P$2:$P$1501,$K255,'Daily Sale entry '!$Q$2:$Q$1501,"Credit Sale 赊销",'Daily Sale entry '!$O$2:$O$1501,"&lt;"&amp;$B$2)-SUMIFS('Daily Sale entry '!$S$2:$S$1501,'Daily Sale entry '!$P$2:$P$1501,$K255,'Daily Sale entry '!$Q$2:$Q$1501,"Collection 收款",'Daily Sale entry '!$O$2:$O$1501,"&lt;"&amp;$B$2)-SUMIFS('Daily Sale entry '!$AC$2:$AC$1501,'Daily Sale entry '!$AA$2:$AA$1501,$K255,'Daily Sale entry '!$Z$2:$Z$1501,"Online collection 网上收款",'Daily Sale entry '!$X$2:$X$1501,"&lt;"&amp;$B$2)-SUMIFS('Debtor Ledger'!$K$2:$K$3001,'Debtor Ledger'!$C$2:$C$3001,$K255,'Debtor Ledger'!$B$2:$B$3001,"&lt;"&amp;$B$2),2)))</f>
        <v/>
      </c>
      <c r="M255" s="24">
        <f>IF($K255="","",IF($B$2="","",SUMIFS('Daily Sale entry '!$S$2:$S$1501,'Daily Sale entry '!$P$2:$P$1501,$K255,'Daily Sale entry '!$Q$2:$Q$1501,"Credit Sale 赊销",'Daily Sale entry '!$O$2:$O$1501,$B$2)))</f>
        <v/>
      </c>
      <c r="N255" s="24">
        <f>IF($K255="","",IF($B$2="","",SUMIFS('Daily Sale entry '!$S$2:$S$1501,'Daily Sale entry '!$P$2:$P$1501,$K255,'Daily Sale entry '!$Q$2:$Q$1501,"Collection 收款",'Daily Sale entry '!$R$2:$R$1501,"Cash 现金",'Daily Sale entry '!$O$2:$O$1501,$B$2)))</f>
        <v/>
      </c>
      <c r="O255" s="24">
        <f>IF($K255="","",IF($B$2="","",SUMIFS('Daily Sale entry '!$S$2:$S$1501,'Daily Sale entry '!$P$2:$P$1501,$K255,'Daily Sale entry '!$Q$2:$Q$1501,"Collection 收款",'Daily Sale entry '!$R$2:$R$1501,"Cheque 支票",'Daily Sale entry '!$O$2:$O$1501,$B$2)))</f>
        <v/>
      </c>
      <c r="P255" s="24">
        <f>IF($K255="","",IF($B$2="","",SUMIFS('Daily Sale entry '!$AC$2:$AC$1501,'Daily Sale entry '!$AA$2:$AA$1501,$K255,'Daily Sale entry '!$Z$2:$Z$1501,"Online collection 网上收款",'Daily Sale entry '!$X$2:$X$1501,$B$2)))</f>
        <v/>
      </c>
      <c r="Q255" s="24">
        <f>IF($K255="","",IF($B$2="","",SUMIFS('Debtor Ledger'!$K$2:$K$3001,'Debtor Ledger'!$C$2:$C$3001,$K255,'Debtor Ledger'!$B$2:$B$3001,$B$2)))</f>
        <v/>
      </c>
      <c r="R255" s="24">
        <f>IF($K255="","",IF($B$2="","",ROUND(L255+M255-N255-O255-P255-Q255,2)))</f>
        <v/>
      </c>
      <c r="S255" s="21">
        <f>IF(K255="","",IF($B$2="","",IF(ABS(M255)+ABS(N255)+ABS(O255)+ABS(P255)+ABS(Q255)&gt;0,1,0)))</f>
        <v/>
      </c>
      <c r="T255" s="21">
        <f>IF(S255=1,SUM($S$6:S255),"")</f>
        <v/>
      </c>
    </row>
    <row r="256">
      <c r="A256">
        <f>IF($I256="","",INDEX(K$6:K$305,$I256))</f>
        <v/>
      </c>
      <c r="B256" s="6">
        <f>IF($I256="","",INDEX(L$6:L$305,$I256))</f>
        <v/>
      </c>
      <c r="C256" s="6">
        <f>IF($I256="","",INDEX(M$6:M$305,$I256))</f>
        <v/>
      </c>
      <c r="D256" s="6">
        <f>IF($I256="","",INDEX(N$6:N$305,$I256))</f>
        <v/>
      </c>
      <c r="E256" s="6">
        <f>IF($I256="","",INDEX(O$6:O$305,$I256))</f>
        <v/>
      </c>
      <c r="F256" s="6">
        <f>IF($I256="","",INDEX(P$6:P$305,$I256))</f>
        <v/>
      </c>
      <c r="G256" s="6">
        <f>IF($I256="","",INDEX(Q$6:Q$305,$I256))</f>
        <v/>
      </c>
      <c r="H256" s="6">
        <f>IF($I256="","",INDEX(R$6:R$305,$I256))</f>
        <v/>
      </c>
      <c r="I256" s="21">
        <f>IFERROR(MATCH(251,$T$6:$T$305,0),"")</f>
        <v/>
      </c>
      <c r="K256" s="21">
        <f>IF('Debtor Summary'!A255="","",'Debtor Summary'!A255)</f>
        <v/>
      </c>
      <c r="L256" s="24">
        <f>IF($K256="","",IF($B$2="","",ROUND(SUMIFS('Opening Balance'!$F$4:$F$303,'Opening Balance'!$G$4:$G$303,$K256)+SUMIFS('Daily Sale entry '!$S$2:$S$1501,'Daily Sale entry '!$P$2:$P$1501,$K256,'Daily Sale entry '!$Q$2:$Q$1501,"Credit Sale 赊销",'Daily Sale entry '!$O$2:$O$1501,"&lt;"&amp;$B$2)-SUMIFS('Daily Sale entry '!$S$2:$S$1501,'Daily Sale entry '!$P$2:$P$1501,$K256,'Daily Sale entry '!$Q$2:$Q$1501,"Collection 收款",'Daily Sale entry '!$O$2:$O$1501,"&lt;"&amp;$B$2)-SUMIFS('Daily Sale entry '!$AC$2:$AC$1501,'Daily Sale entry '!$AA$2:$AA$1501,$K256,'Daily Sale entry '!$Z$2:$Z$1501,"Online collection 网上收款",'Daily Sale entry '!$X$2:$X$1501,"&lt;"&amp;$B$2)-SUMIFS('Debtor Ledger'!$K$2:$K$3001,'Debtor Ledger'!$C$2:$C$3001,$K256,'Debtor Ledger'!$B$2:$B$3001,"&lt;"&amp;$B$2),2)))</f>
        <v/>
      </c>
      <c r="M256" s="24">
        <f>IF($K256="","",IF($B$2="","",SUMIFS('Daily Sale entry '!$S$2:$S$1501,'Daily Sale entry '!$P$2:$P$1501,$K256,'Daily Sale entry '!$Q$2:$Q$1501,"Credit Sale 赊销",'Daily Sale entry '!$O$2:$O$1501,$B$2)))</f>
        <v/>
      </c>
      <c r="N256" s="24">
        <f>IF($K256="","",IF($B$2="","",SUMIFS('Daily Sale entry '!$S$2:$S$1501,'Daily Sale entry '!$P$2:$P$1501,$K256,'Daily Sale entry '!$Q$2:$Q$1501,"Collection 收款",'Daily Sale entry '!$R$2:$R$1501,"Cash 现金",'Daily Sale entry '!$O$2:$O$1501,$B$2)))</f>
        <v/>
      </c>
      <c r="O256" s="24">
        <f>IF($K256="","",IF($B$2="","",SUMIFS('Daily Sale entry '!$S$2:$S$1501,'Daily Sale entry '!$P$2:$P$1501,$K256,'Daily Sale entry '!$Q$2:$Q$1501,"Collection 收款",'Daily Sale entry '!$R$2:$R$1501,"Cheque 支票",'Daily Sale entry '!$O$2:$O$1501,$B$2)))</f>
        <v/>
      </c>
      <c r="P256" s="24">
        <f>IF($K256="","",IF($B$2="","",SUMIFS('Daily Sale entry '!$AC$2:$AC$1501,'Daily Sale entry '!$AA$2:$AA$1501,$K256,'Daily Sale entry '!$Z$2:$Z$1501,"Online collection 网上收款",'Daily Sale entry '!$X$2:$X$1501,$B$2)))</f>
        <v/>
      </c>
      <c r="Q256" s="24">
        <f>IF($K256="","",IF($B$2="","",SUMIFS('Debtor Ledger'!$K$2:$K$3001,'Debtor Ledger'!$C$2:$C$3001,$K256,'Debtor Ledger'!$B$2:$B$3001,$B$2)))</f>
        <v/>
      </c>
      <c r="R256" s="24">
        <f>IF($K256="","",IF($B$2="","",ROUND(L256+M256-N256-O256-P256-Q256,2)))</f>
        <v/>
      </c>
      <c r="S256" s="21">
        <f>IF(K256="","",IF($B$2="","",IF(ABS(M256)+ABS(N256)+ABS(O256)+ABS(P256)+ABS(Q256)&gt;0,1,0)))</f>
        <v/>
      </c>
      <c r="T256" s="21">
        <f>IF(S256=1,SUM($S$6:S256),"")</f>
        <v/>
      </c>
    </row>
    <row r="257">
      <c r="A257">
        <f>IF($I257="","",INDEX(K$6:K$305,$I257))</f>
        <v/>
      </c>
      <c r="B257" s="6">
        <f>IF($I257="","",INDEX(L$6:L$305,$I257))</f>
        <v/>
      </c>
      <c r="C257" s="6">
        <f>IF($I257="","",INDEX(M$6:M$305,$I257))</f>
        <v/>
      </c>
      <c r="D257" s="6">
        <f>IF($I257="","",INDEX(N$6:N$305,$I257))</f>
        <v/>
      </c>
      <c r="E257" s="6">
        <f>IF($I257="","",INDEX(O$6:O$305,$I257))</f>
        <v/>
      </c>
      <c r="F257" s="6">
        <f>IF($I257="","",INDEX(P$6:P$305,$I257))</f>
        <v/>
      </c>
      <c r="G257" s="6">
        <f>IF($I257="","",INDEX(Q$6:Q$305,$I257))</f>
        <v/>
      </c>
      <c r="H257" s="6">
        <f>IF($I257="","",INDEX(R$6:R$305,$I257))</f>
        <v/>
      </c>
      <c r="I257" s="21">
        <f>IFERROR(MATCH(252,$T$6:$T$305,0),"")</f>
        <v/>
      </c>
      <c r="K257" s="21">
        <f>IF('Debtor Summary'!A256="","",'Debtor Summary'!A256)</f>
        <v/>
      </c>
      <c r="L257" s="24">
        <f>IF($K257="","",IF($B$2="","",ROUND(SUMIFS('Opening Balance'!$F$4:$F$303,'Opening Balance'!$G$4:$G$303,$K257)+SUMIFS('Daily Sale entry '!$S$2:$S$1501,'Daily Sale entry '!$P$2:$P$1501,$K257,'Daily Sale entry '!$Q$2:$Q$1501,"Credit Sale 赊销",'Daily Sale entry '!$O$2:$O$1501,"&lt;"&amp;$B$2)-SUMIFS('Daily Sale entry '!$S$2:$S$1501,'Daily Sale entry '!$P$2:$P$1501,$K257,'Daily Sale entry '!$Q$2:$Q$1501,"Collection 收款",'Daily Sale entry '!$O$2:$O$1501,"&lt;"&amp;$B$2)-SUMIFS('Daily Sale entry '!$AC$2:$AC$1501,'Daily Sale entry '!$AA$2:$AA$1501,$K257,'Daily Sale entry '!$Z$2:$Z$1501,"Online collection 网上收款",'Daily Sale entry '!$X$2:$X$1501,"&lt;"&amp;$B$2)-SUMIFS('Debtor Ledger'!$K$2:$K$3001,'Debtor Ledger'!$C$2:$C$3001,$K257,'Debtor Ledger'!$B$2:$B$3001,"&lt;"&amp;$B$2),2)))</f>
        <v/>
      </c>
      <c r="M257" s="24">
        <f>IF($K257="","",IF($B$2="","",SUMIFS('Daily Sale entry '!$S$2:$S$1501,'Daily Sale entry '!$P$2:$P$1501,$K257,'Daily Sale entry '!$Q$2:$Q$1501,"Credit Sale 赊销",'Daily Sale entry '!$O$2:$O$1501,$B$2)))</f>
        <v/>
      </c>
      <c r="N257" s="24">
        <f>IF($K257="","",IF($B$2="","",SUMIFS('Daily Sale entry '!$S$2:$S$1501,'Daily Sale entry '!$P$2:$P$1501,$K257,'Daily Sale entry '!$Q$2:$Q$1501,"Collection 收款",'Daily Sale entry '!$R$2:$R$1501,"Cash 现金",'Daily Sale entry '!$O$2:$O$1501,$B$2)))</f>
        <v/>
      </c>
      <c r="O257" s="24">
        <f>IF($K257="","",IF($B$2="","",SUMIFS('Daily Sale entry '!$S$2:$S$1501,'Daily Sale entry '!$P$2:$P$1501,$K257,'Daily Sale entry '!$Q$2:$Q$1501,"Collection 收款",'Daily Sale entry '!$R$2:$R$1501,"Cheque 支票",'Daily Sale entry '!$O$2:$O$1501,$B$2)))</f>
        <v/>
      </c>
      <c r="P257" s="24">
        <f>IF($K257="","",IF($B$2="","",SUMIFS('Daily Sale entry '!$AC$2:$AC$1501,'Daily Sale entry '!$AA$2:$AA$1501,$K257,'Daily Sale entry '!$Z$2:$Z$1501,"Online collection 网上收款",'Daily Sale entry '!$X$2:$X$1501,$B$2)))</f>
        <v/>
      </c>
      <c r="Q257" s="24">
        <f>IF($K257="","",IF($B$2="","",SUMIFS('Debtor Ledger'!$K$2:$K$3001,'Debtor Ledger'!$C$2:$C$3001,$K257,'Debtor Ledger'!$B$2:$B$3001,$B$2)))</f>
        <v/>
      </c>
      <c r="R257" s="24">
        <f>IF($K257="","",IF($B$2="","",ROUND(L257+M257-N257-O257-P257-Q257,2)))</f>
        <v/>
      </c>
      <c r="S257" s="21">
        <f>IF(K257="","",IF($B$2="","",IF(ABS(M257)+ABS(N257)+ABS(O257)+ABS(P257)+ABS(Q257)&gt;0,1,0)))</f>
        <v/>
      </c>
      <c r="T257" s="21">
        <f>IF(S257=1,SUM($S$6:S257),"")</f>
        <v/>
      </c>
    </row>
    <row r="258">
      <c r="A258">
        <f>IF($I258="","",INDEX(K$6:K$305,$I258))</f>
        <v/>
      </c>
      <c r="B258" s="6">
        <f>IF($I258="","",INDEX(L$6:L$305,$I258))</f>
        <v/>
      </c>
      <c r="C258" s="6">
        <f>IF($I258="","",INDEX(M$6:M$305,$I258))</f>
        <v/>
      </c>
      <c r="D258" s="6">
        <f>IF($I258="","",INDEX(N$6:N$305,$I258))</f>
        <v/>
      </c>
      <c r="E258" s="6">
        <f>IF($I258="","",INDEX(O$6:O$305,$I258))</f>
        <v/>
      </c>
      <c r="F258" s="6">
        <f>IF($I258="","",INDEX(P$6:P$305,$I258))</f>
        <v/>
      </c>
      <c r="G258" s="6">
        <f>IF($I258="","",INDEX(Q$6:Q$305,$I258))</f>
        <v/>
      </c>
      <c r="H258" s="6">
        <f>IF($I258="","",INDEX(R$6:R$305,$I258))</f>
        <v/>
      </c>
      <c r="I258" s="21">
        <f>IFERROR(MATCH(253,$T$6:$T$305,0),"")</f>
        <v/>
      </c>
      <c r="K258" s="21">
        <f>IF('Debtor Summary'!A257="","",'Debtor Summary'!A257)</f>
        <v/>
      </c>
      <c r="L258" s="24">
        <f>IF($K258="","",IF($B$2="","",ROUND(SUMIFS('Opening Balance'!$F$4:$F$303,'Opening Balance'!$G$4:$G$303,$K258)+SUMIFS('Daily Sale entry '!$S$2:$S$1501,'Daily Sale entry '!$P$2:$P$1501,$K258,'Daily Sale entry '!$Q$2:$Q$1501,"Credit Sale 赊销",'Daily Sale entry '!$O$2:$O$1501,"&lt;"&amp;$B$2)-SUMIFS('Daily Sale entry '!$S$2:$S$1501,'Daily Sale entry '!$P$2:$P$1501,$K258,'Daily Sale entry '!$Q$2:$Q$1501,"Collection 收款",'Daily Sale entry '!$O$2:$O$1501,"&lt;"&amp;$B$2)-SUMIFS('Daily Sale entry '!$AC$2:$AC$1501,'Daily Sale entry '!$AA$2:$AA$1501,$K258,'Daily Sale entry '!$Z$2:$Z$1501,"Online collection 网上收款",'Daily Sale entry '!$X$2:$X$1501,"&lt;"&amp;$B$2)-SUMIFS('Debtor Ledger'!$K$2:$K$3001,'Debtor Ledger'!$C$2:$C$3001,$K258,'Debtor Ledger'!$B$2:$B$3001,"&lt;"&amp;$B$2),2)))</f>
        <v/>
      </c>
      <c r="M258" s="24">
        <f>IF($K258="","",IF($B$2="","",SUMIFS('Daily Sale entry '!$S$2:$S$1501,'Daily Sale entry '!$P$2:$P$1501,$K258,'Daily Sale entry '!$Q$2:$Q$1501,"Credit Sale 赊销",'Daily Sale entry '!$O$2:$O$1501,$B$2)))</f>
        <v/>
      </c>
      <c r="N258" s="24">
        <f>IF($K258="","",IF($B$2="","",SUMIFS('Daily Sale entry '!$S$2:$S$1501,'Daily Sale entry '!$P$2:$P$1501,$K258,'Daily Sale entry '!$Q$2:$Q$1501,"Collection 收款",'Daily Sale entry '!$R$2:$R$1501,"Cash 现金",'Daily Sale entry '!$O$2:$O$1501,$B$2)))</f>
        <v/>
      </c>
      <c r="O258" s="24">
        <f>IF($K258="","",IF($B$2="","",SUMIFS('Daily Sale entry '!$S$2:$S$1501,'Daily Sale entry '!$P$2:$P$1501,$K258,'Daily Sale entry '!$Q$2:$Q$1501,"Collection 收款",'Daily Sale entry '!$R$2:$R$1501,"Cheque 支票",'Daily Sale entry '!$O$2:$O$1501,$B$2)))</f>
        <v/>
      </c>
      <c r="P258" s="24">
        <f>IF($K258="","",IF($B$2="","",SUMIFS('Daily Sale entry '!$AC$2:$AC$1501,'Daily Sale entry '!$AA$2:$AA$1501,$K258,'Daily Sale entry '!$Z$2:$Z$1501,"Online collection 网上收款",'Daily Sale entry '!$X$2:$X$1501,$B$2)))</f>
        <v/>
      </c>
      <c r="Q258" s="24">
        <f>IF($K258="","",IF($B$2="","",SUMIFS('Debtor Ledger'!$K$2:$K$3001,'Debtor Ledger'!$C$2:$C$3001,$K258,'Debtor Ledger'!$B$2:$B$3001,$B$2)))</f>
        <v/>
      </c>
      <c r="R258" s="24">
        <f>IF($K258="","",IF($B$2="","",ROUND(L258+M258-N258-O258-P258-Q258,2)))</f>
        <v/>
      </c>
      <c r="S258" s="21">
        <f>IF(K258="","",IF($B$2="","",IF(ABS(M258)+ABS(N258)+ABS(O258)+ABS(P258)+ABS(Q258)&gt;0,1,0)))</f>
        <v/>
      </c>
      <c r="T258" s="21">
        <f>IF(S258=1,SUM($S$6:S258),"")</f>
        <v/>
      </c>
    </row>
    <row r="259">
      <c r="A259">
        <f>IF($I259="","",INDEX(K$6:K$305,$I259))</f>
        <v/>
      </c>
      <c r="B259" s="6">
        <f>IF($I259="","",INDEX(L$6:L$305,$I259))</f>
        <v/>
      </c>
      <c r="C259" s="6">
        <f>IF($I259="","",INDEX(M$6:M$305,$I259))</f>
        <v/>
      </c>
      <c r="D259" s="6">
        <f>IF($I259="","",INDEX(N$6:N$305,$I259))</f>
        <v/>
      </c>
      <c r="E259" s="6">
        <f>IF($I259="","",INDEX(O$6:O$305,$I259))</f>
        <v/>
      </c>
      <c r="F259" s="6">
        <f>IF($I259="","",INDEX(P$6:P$305,$I259))</f>
        <v/>
      </c>
      <c r="G259" s="6">
        <f>IF($I259="","",INDEX(Q$6:Q$305,$I259))</f>
        <v/>
      </c>
      <c r="H259" s="6">
        <f>IF($I259="","",INDEX(R$6:R$305,$I259))</f>
        <v/>
      </c>
      <c r="I259" s="21">
        <f>IFERROR(MATCH(254,$T$6:$T$305,0),"")</f>
        <v/>
      </c>
      <c r="K259" s="21">
        <f>IF('Debtor Summary'!A258="","",'Debtor Summary'!A258)</f>
        <v/>
      </c>
      <c r="L259" s="24">
        <f>IF($K259="","",IF($B$2="","",ROUND(SUMIFS('Opening Balance'!$F$4:$F$303,'Opening Balance'!$G$4:$G$303,$K259)+SUMIFS('Daily Sale entry '!$S$2:$S$1501,'Daily Sale entry '!$P$2:$P$1501,$K259,'Daily Sale entry '!$Q$2:$Q$1501,"Credit Sale 赊销",'Daily Sale entry '!$O$2:$O$1501,"&lt;"&amp;$B$2)-SUMIFS('Daily Sale entry '!$S$2:$S$1501,'Daily Sale entry '!$P$2:$P$1501,$K259,'Daily Sale entry '!$Q$2:$Q$1501,"Collection 收款",'Daily Sale entry '!$O$2:$O$1501,"&lt;"&amp;$B$2)-SUMIFS('Daily Sale entry '!$AC$2:$AC$1501,'Daily Sale entry '!$AA$2:$AA$1501,$K259,'Daily Sale entry '!$Z$2:$Z$1501,"Online collection 网上收款",'Daily Sale entry '!$X$2:$X$1501,"&lt;"&amp;$B$2)-SUMIFS('Debtor Ledger'!$K$2:$K$3001,'Debtor Ledger'!$C$2:$C$3001,$K259,'Debtor Ledger'!$B$2:$B$3001,"&lt;"&amp;$B$2),2)))</f>
        <v/>
      </c>
      <c r="M259" s="24">
        <f>IF($K259="","",IF($B$2="","",SUMIFS('Daily Sale entry '!$S$2:$S$1501,'Daily Sale entry '!$P$2:$P$1501,$K259,'Daily Sale entry '!$Q$2:$Q$1501,"Credit Sale 赊销",'Daily Sale entry '!$O$2:$O$1501,$B$2)))</f>
        <v/>
      </c>
      <c r="N259" s="24">
        <f>IF($K259="","",IF($B$2="","",SUMIFS('Daily Sale entry '!$S$2:$S$1501,'Daily Sale entry '!$P$2:$P$1501,$K259,'Daily Sale entry '!$Q$2:$Q$1501,"Collection 收款",'Daily Sale entry '!$R$2:$R$1501,"Cash 现金",'Daily Sale entry '!$O$2:$O$1501,$B$2)))</f>
        <v/>
      </c>
      <c r="O259" s="24">
        <f>IF($K259="","",IF($B$2="","",SUMIFS('Daily Sale entry '!$S$2:$S$1501,'Daily Sale entry '!$P$2:$P$1501,$K259,'Daily Sale entry '!$Q$2:$Q$1501,"Collection 收款",'Daily Sale entry '!$R$2:$R$1501,"Cheque 支票",'Daily Sale entry '!$O$2:$O$1501,$B$2)))</f>
        <v/>
      </c>
      <c r="P259" s="24">
        <f>IF($K259="","",IF($B$2="","",SUMIFS('Daily Sale entry '!$AC$2:$AC$1501,'Daily Sale entry '!$AA$2:$AA$1501,$K259,'Daily Sale entry '!$Z$2:$Z$1501,"Online collection 网上收款",'Daily Sale entry '!$X$2:$X$1501,$B$2)))</f>
        <v/>
      </c>
      <c r="Q259" s="24">
        <f>IF($K259="","",IF($B$2="","",SUMIFS('Debtor Ledger'!$K$2:$K$3001,'Debtor Ledger'!$C$2:$C$3001,$K259,'Debtor Ledger'!$B$2:$B$3001,$B$2)))</f>
        <v/>
      </c>
      <c r="R259" s="24">
        <f>IF($K259="","",IF($B$2="","",ROUND(L259+M259-N259-O259-P259-Q259,2)))</f>
        <v/>
      </c>
      <c r="S259" s="21">
        <f>IF(K259="","",IF($B$2="","",IF(ABS(M259)+ABS(N259)+ABS(O259)+ABS(P259)+ABS(Q259)&gt;0,1,0)))</f>
        <v/>
      </c>
      <c r="T259" s="21">
        <f>IF(S259=1,SUM($S$6:S259),"")</f>
        <v/>
      </c>
    </row>
    <row r="260">
      <c r="A260">
        <f>IF($I260="","",INDEX(K$6:K$305,$I260))</f>
        <v/>
      </c>
      <c r="B260" s="6">
        <f>IF($I260="","",INDEX(L$6:L$305,$I260))</f>
        <v/>
      </c>
      <c r="C260" s="6">
        <f>IF($I260="","",INDEX(M$6:M$305,$I260))</f>
        <v/>
      </c>
      <c r="D260" s="6">
        <f>IF($I260="","",INDEX(N$6:N$305,$I260))</f>
        <v/>
      </c>
      <c r="E260" s="6">
        <f>IF($I260="","",INDEX(O$6:O$305,$I260))</f>
        <v/>
      </c>
      <c r="F260" s="6">
        <f>IF($I260="","",INDEX(P$6:P$305,$I260))</f>
        <v/>
      </c>
      <c r="G260" s="6">
        <f>IF($I260="","",INDEX(Q$6:Q$305,$I260))</f>
        <v/>
      </c>
      <c r="H260" s="6">
        <f>IF($I260="","",INDEX(R$6:R$305,$I260))</f>
        <v/>
      </c>
      <c r="I260" s="21">
        <f>IFERROR(MATCH(255,$T$6:$T$305,0),"")</f>
        <v/>
      </c>
      <c r="K260" s="21">
        <f>IF('Debtor Summary'!A259="","",'Debtor Summary'!A259)</f>
        <v/>
      </c>
      <c r="L260" s="24">
        <f>IF($K260="","",IF($B$2="","",ROUND(SUMIFS('Opening Balance'!$F$4:$F$303,'Opening Balance'!$G$4:$G$303,$K260)+SUMIFS('Daily Sale entry '!$S$2:$S$1501,'Daily Sale entry '!$P$2:$P$1501,$K260,'Daily Sale entry '!$Q$2:$Q$1501,"Credit Sale 赊销",'Daily Sale entry '!$O$2:$O$1501,"&lt;"&amp;$B$2)-SUMIFS('Daily Sale entry '!$S$2:$S$1501,'Daily Sale entry '!$P$2:$P$1501,$K260,'Daily Sale entry '!$Q$2:$Q$1501,"Collection 收款",'Daily Sale entry '!$O$2:$O$1501,"&lt;"&amp;$B$2)-SUMIFS('Daily Sale entry '!$AC$2:$AC$1501,'Daily Sale entry '!$AA$2:$AA$1501,$K260,'Daily Sale entry '!$Z$2:$Z$1501,"Online collection 网上收款",'Daily Sale entry '!$X$2:$X$1501,"&lt;"&amp;$B$2)-SUMIFS('Debtor Ledger'!$K$2:$K$3001,'Debtor Ledger'!$C$2:$C$3001,$K260,'Debtor Ledger'!$B$2:$B$3001,"&lt;"&amp;$B$2),2)))</f>
        <v/>
      </c>
      <c r="M260" s="24">
        <f>IF($K260="","",IF($B$2="","",SUMIFS('Daily Sale entry '!$S$2:$S$1501,'Daily Sale entry '!$P$2:$P$1501,$K260,'Daily Sale entry '!$Q$2:$Q$1501,"Credit Sale 赊销",'Daily Sale entry '!$O$2:$O$1501,$B$2)))</f>
        <v/>
      </c>
      <c r="N260" s="24">
        <f>IF($K260="","",IF($B$2="","",SUMIFS('Daily Sale entry '!$S$2:$S$1501,'Daily Sale entry '!$P$2:$P$1501,$K260,'Daily Sale entry '!$Q$2:$Q$1501,"Collection 收款",'Daily Sale entry '!$R$2:$R$1501,"Cash 现金",'Daily Sale entry '!$O$2:$O$1501,$B$2)))</f>
        <v/>
      </c>
      <c r="O260" s="24">
        <f>IF($K260="","",IF($B$2="","",SUMIFS('Daily Sale entry '!$S$2:$S$1501,'Daily Sale entry '!$P$2:$P$1501,$K260,'Daily Sale entry '!$Q$2:$Q$1501,"Collection 收款",'Daily Sale entry '!$R$2:$R$1501,"Cheque 支票",'Daily Sale entry '!$O$2:$O$1501,$B$2)))</f>
        <v/>
      </c>
      <c r="P260" s="24">
        <f>IF($K260="","",IF($B$2="","",SUMIFS('Daily Sale entry '!$AC$2:$AC$1501,'Daily Sale entry '!$AA$2:$AA$1501,$K260,'Daily Sale entry '!$Z$2:$Z$1501,"Online collection 网上收款",'Daily Sale entry '!$X$2:$X$1501,$B$2)))</f>
        <v/>
      </c>
      <c r="Q260" s="24">
        <f>IF($K260="","",IF($B$2="","",SUMIFS('Debtor Ledger'!$K$2:$K$3001,'Debtor Ledger'!$C$2:$C$3001,$K260,'Debtor Ledger'!$B$2:$B$3001,$B$2)))</f>
        <v/>
      </c>
      <c r="R260" s="24">
        <f>IF($K260="","",IF($B$2="","",ROUND(L260+M260-N260-O260-P260-Q260,2)))</f>
        <v/>
      </c>
      <c r="S260" s="21">
        <f>IF(K260="","",IF($B$2="","",IF(ABS(M260)+ABS(N260)+ABS(O260)+ABS(P260)+ABS(Q260)&gt;0,1,0)))</f>
        <v/>
      </c>
      <c r="T260" s="21">
        <f>IF(S260=1,SUM($S$6:S260),"")</f>
        <v/>
      </c>
    </row>
    <row r="261">
      <c r="A261">
        <f>IF($I261="","",INDEX(K$6:K$305,$I261))</f>
        <v/>
      </c>
      <c r="B261" s="6">
        <f>IF($I261="","",INDEX(L$6:L$305,$I261))</f>
        <v/>
      </c>
      <c r="C261" s="6">
        <f>IF($I261="","",INDEX(M$6:M$305,$I261))</f>
        <v/>
      </c>
      <c r="D261" s="6">
        <f>IF($I261="","",INDEX(N$6:N$305,$I261))</f>
        <v/>
      </c>
      <c r="E261" s="6">
        <f>IF($I261="","",INDEX(O$6:O$305,$I261))</f>
        <v/>
      </c>
      <c r="F261" s="6">
        <f>IF($I261="","",INDEX(P$6:P$305,$I261))</f>
        <v/>
      </c>
      <c r="G261" s="6">
        <f>IF($I261="","",INDEX(Q$6:Q$305,$I261))</f>
        <v/>
      </c>
      <c r="H261" s="6">
        <f>IF($I261="","",INDEX(R$6:R$305,$I261))</f>
        <v/>
      </c>
      <c r="I261" s="21">
        <f>IFERROR(MATCH(256,$T$6:$T$305,0),"")</f>
        <v/>
      </c>
      <c r="K261" s="21">
        <f>IF('Debtor Summary'!A260="","",'Debtor Summary'!A260)</f>
        <v/>
      </c>
      <c r="L261" s="24">
        <f>IF($K261="","",IF($B$2="","",ROUND(SUMIFS('Opening Balance'!$F$4:$F$303,'Opening Balance'!$G$4:$G$303,$K261)+SUMIFS('Daily Sale entry '!$S$2:$S$1501,'Daily Sale entry '!$P$2:$P$1501,$K261,'Daily Sale entry '!$Q$2:$Q$1501,"Credit Sale 赊销",'Daily Sale entry '!$O$2:$O$1501,"&lt;"&amp;$B$2)-SUMIFS('Daily Sale entry '!$S$2:$S$1501,'Daily Sale entry '!$P$2:$P$1501,$K261,'Daily Sale entry '!$Q$2:$Q$1501,"Collection 收款",'Daily Sale entry '!$O$2:$O$1501,"&lt;"&amp;$B$2)-SUMIFS('Daily Sale entry '!$AC$2:$AC$1501,'Daily Sale entry '!$AA$2:$AA$1501,$K261,'Daily Sale entry '!$Z$2:$Z$1501,"Online collection 网上收款",'Daily Sale entry '!$X$2:$X$1501,"&lt;"&amp;$B$2)-SUMIFS('Debtor Ledger'!$K$2:$K$3001,'Debtor Ledger'!$C$2:$C$3001,$K261,'Debtor Ledger'!$B$2:$B$3001,"&lt;"&amp;$B$2),2)))</f>
        <v/>
      </c>
      <c r="M261" s="24">
        <f>IF($K261="","",IF($B$2="","",SUMIFS('Daily Sale entry '!$S$2:$S$1501,'Daily Sale entry '!$P$2:$P$1501,$K261,'Daily Sale entry '!$Q$2:$Q$1501,"Credit Sale 赊销",'Daily Sale entry '!$O$2:$O$1501,$B$2)))</f>
        <v/>
      </c>
      <c r="N261" s="24">
        <f>IF($K261="","",IF($B$2="","",SUMIFS('Daily Sale entry '!$S$2:$S$1501,'Daily Sale entry '!$P$2:$P$1501,$K261,'Daily Sale entry '!$Q$2:$Q$1501,"Collection 收款",'Daily Sale entry '!$R$2:$R$1501,"Cash 现金",'Daily Sale entry '!$O$2:$O$1501,$B$2)))</f>
        <v/>
      </c>
      <c r="O261" s="24">
        <f>IF($K261="","",IF($B$2="","",SUMIFS('Daily Sale entry '!$S$2:$S$1501,'Daily Sale entry '!$P$2:$P$1501,$K261,'Daily Sale entry '!$Q$2:$Q$1501,"Collection 收款",'Daily Sale entry '!$R$2:$R$1501,"Cheque 支票",'Daily Sale entry '!$O$2:$O$1501,$B$2)))</f>
        <v/>
      </c>
      <c r="P261" s="24">
        <f>IF($K261="","",IF($B$2="","",SUMIFS('Daily Sale entry '!$AC$2:$AC$1501,'Daily Sale entry '!$AA$2:$AA$1501,$K261,'Daily Sale entry '!$Z$2:$Z$1501,"Online collection 网上收款",'Daily Sale entry '!$X$2:$X$1501,$B$2)))</f>
        <v/>
      </c>
      <c r="Q261" s="24">
        <f>IF($K261="","",IF($B$2="","",SUMIFS('Debtor Ledger'!$K$2:$K$3001,'Debtor Ledger'!$C$2:$C$3001,$K261,'Debtor Ledger'!$B$2:$B$3001,$B$2)))</f>
        <v/>
      </c>
      <c r="R261" s="24">
        <f>IF($K261="","",IF($B$2="","",ROUND(L261+M261-N261-O261-P261-Q261,2)))</f>
        <v/>
      </c>
      <c r="S261" s="21">
        <f>IF(K261="","",IF($B$2="","",IF(ABS(M261)+ABS(N261)+ABS(O261)+ABS(P261)+ABS(Q261)&gt;0,1,0)))</f>
        <v/>
      </c>
      <c r="T261" s="21">
        <f>IF(S261=1,SUM($S$6:S261),"")</f>
        <v/>
      </c>
    </row>
    <row r="262">
      <c r="A262">
        <f>IF($I262="","",INDEX(K$6:K$305,$I262))</f>
        <v/>
      </c>
      <c r="B262" s="6">
        <f>IF($I262="","",INDEX(L$6:L$305,$I262))</f>
        <v/>
      </c>
      <c r="C262" s="6">
        <f>IF($I262="","",INDEX(M$6:M$305,$I262))</f>
        <v/>
      </c>
      <c r="D262" s="6">
        <f>IF($I262="","",INDEX(N$6:N$305,$I262))</f>
        <v/>
      </c>
      <c r="E262" s="6">
        <f>IF($I262="","",INDEX(O$6:O$305,$I262))</f>
        <v/>
      </c>
      <c r="F262" s="6">
        <f>IF($I262="","",INDEX(P$6:P$305,$I262))</f>
        <v/>
      </c>
      <c r="G262" s="6">
        <f>IF($I262="","",INDEX(Q$6:Q$305,$I262))</f>
        <v/>
      </c>
      <c r="H262" s="6">
        <f>IF($I262="","",INDEX(R$6:R$305,$I262))</f>
        <v/>
      </c>
      <c r="I262" s="21">
        <f>IFERROR(MATCH(257,$T$6:$T$305,0),"")</f>
        <v/>
      </c>
      <c r="K262" s="21">
        <f>IF('Debtor Summary'!A261="","",'Debtor Summary'!A261)</f>
        <v/>
      </c>
      <c r="L262" s="24">
        <f>IF($K262="","",IF($B$2="","",ROUND(SUMIFS('Opening Balance'!$F$4:$F$303,'Opening Balance'!$G$4:$G$303,$K262)+SUMIFS('Daily Sale entry '!$S$2:$S$1501,'Daily Sale entry '!$P$2:$P$1501,$K262,'Daily Sale entry '!$Q$2:$Q$1501,"Credit Sale 赊销",'Daily Sale entry '!$O$2:$O$1501,"&lt;"&amp;$B$2)-SUMIFS('Daily Sale entry '!$S$2:$S$1501,'Daily Sale entry '!$P$2:$P$1501,$K262,'Daily Sale entry '!$Q$2:$Q$1501,"Collection 收款",'Daily Sale entry '!$O$2:$O$1501,"&lt;"&amp;$B$2)-SUMIFS('Daily Sale entry '!$AC$2:$AC$1501,'Daily Sale entry '!$AA$2:$AA$1501,$K262,'Daily Sale entry '!$Z$2:$Z$1501,"Online collection 网上收款",'Daily Sale entry '!$X$2:$X$1501,"&lt;"&amp;$B$2)-SUMIFS('Debtor Ledger'!$K$2:$K$3001,'Debtor Ledger'!$C$2:$C$3001,$K262,'Debtor Ledger'!$B$2:$B$3001,"&lt;"&amp;$B$2),2)))</f>
        <v/>
      </c>
      <c r="M262" s="24">
        <f>IF($K262="","",IF($B$2="","",SUMIFS('Daily Sale entry '!$S$2:$S$1501,'Daily Sale entry '!$P$2:$P$1501,$K262,'Daily Sale entry '!$Q$2:$Q$1501,"Credit Sale 赊销",'Daily Sale entry '!$O$2:$O$1501,$B$2)))</f>
        <v/>
      </c>
      <c r="N262" s="24">
        <f>IF($K262="","",IF($B$2="","",SUMIFS('Daily Sale entry '!$S$2:$S$1501,'Daily Sale entry '!$P$2:$P$1501,$K262,'Daily Sale entry '!$Q$2:$Q$1501,"Collection 收款",'Daily Sale entry '!$R$2:$R$1501,"Cash 现金",'Daily Sale entry '!$O$2:$O$1501,$B$2)))</f>
        <v/>
      </c>
      <c r="O262" s="24">
        <f>IF($K262="","",IF($B$2="","",SUMIFS('Daily Sale entry '!$S$2:$S$1501,'Daily Sale entry '!$P$2:$P$1501,$K262,'Daily Sale entry '!$Q$2:$Q$1501,"Collection 收款",'Daily Sale entry '!$R$2:$R$1501,"Cheque 支票",'Daily Sale entry '!$O$2:$O$1501,$B$2)))</f>
        <v/>
      </c>
      <c r="P262" s="24">
        <f>IF($K262="","",IF($B$2="","",SUMIFS('Daily Sale entry '!$AC$2:$AC$1501,'Daily Sale entry '!$AA$2:$AA$1501,$K262,'Daily Sale entry '!$Z$2:$Z$1501,"Online collection 网上收款",'Daily Sale entry '!$X$2:$X$1501,$B$2)))</f>
        <v/>
      </c>
      <c r="Q262" s="24">
        <f>IF($K262="","",IF($B$2="","",SUMIFS('Debtor Ledger'!$K$2:$K$3001,'Debtor Ledger'!$C$2:$C$3001,$K262,'Debtor Ledger'!$B$2:$B$3001,$B$2)))</f>
        <v/>
      </c>
      <c r="R262" s="24">
        <f>IF($K262="","",IF($B$2="","",ROUND(L262+M262-N262-O262-P262-Q262,2)))</f>
        <v/>
      </c>
      <c r="S262" s="21">
        <f>IF(K262="","",IF($B$2="","",IF(ABS(M262)+ABS(N262)+ABS(O262)+ABS(P262)+ABS(Q262)&gt;0,1,0)))</f>
        <v/>
      </c>
      <c r="T262" s="21">
        <f>IF(S262=1,SUM($S$6:S262),"")</f>
        <v/>
      </c>
    </row>
    <row r="263">
      <c r="A263">
        <f>IF($I263="","",INDEX(K$6:K$305,$I263))</f>
        <v/>
      </c>
      <c r="B263" s="6">
        <f>IF($I263="","",INDEX(L$6:L$305,$I263))</f>
        <v/>
      </c>
      <c r="C263" s="6">
        <f>IF($I263="","",INDEX(M$6:M$305,$I263))</f>
        <v/>
      </c>
      <c r="D263" s="6">
        <f>IF($I263="","",INDEX(N$6:N$305,$I263))</f>
        <v/>
      </c>
      <c r="E263" s="6">
        <f>IF($I263="","",INDEX(O$6:O$305,$I263))</f>
        <v/>
      </c>
      <c r="F263" s="6">
        <f>IF($I263="","",INDEX(P$6:P$305,$I263))</f>
        <v/>
      </c>
      <c r="G263" s="6">
        <f>IF($I263="","",INDEX(Q$6:Q$305,$I263))</f>
        <v/>
      </c>
      <c r="H263" s="6">
        <f>IF($I263="","",INDEX(R$6:R$305,$I263))</f>
        <v/>
      </c>
      <c r="I263" s="21">
        <f>IFERROR(MATCH(258,$T$6:$T$305,0),"")</f>
        <v/>
      </c>
      <c r="K263" s="21">
        <f>IF('Debtor Summary'!A262="","",'Debtor Summary'!A262)</f>
        <v/>
      </c>
      <c r="L263" s="24">
        <f>IF($K263="","",IF($B$2="","",ROUND(SUMIFS('Opening Balance'!$F$4:$F$303,'Opening Balance'!$G$4:$G$303,$K263)+SUMIFS('Daily Sale entry '!$S$2:$S$1501,'Daily Sale entry '!$P$2:$P$1501,$K263,'Daily Sale entry '!$Q$2:$Q$1501,"Credit Sale 赊销",'Daily Sale entry '!$O$2:$O$1501,"&lt;"&amp;$B$2)-SUMIFS('Daily Sale entry '!$S$2:$S$1501,'Daily Sale entry '!$P$2:$P$1501,$K263,'Daily Sale entry '!$Q$2:$Q$1501,"Collection 收款",'Daily Sale entry '!$O$2:$O$1501,"&lt;"&amp;$B$2)-SUMIFS('Daily Sale entry '!$AC$2:$AC$1501,'Daily Sale entry '!$AA$2:$AA$1501,$K263,'Daily Sale entry '!$Z$2:$Z$1501,"Online collection 网上收款",'Daily Sale entry '!$X$2:$X$1501,"&lt;"&amp;$B$2)-SUMIFS('Debtor Ledger'!$K$2:$K$3001,'Debtor Ledger'!$C$2:$C$3001,$K263,'Debtor Ledger'!$B$2:$B$3001,"&lt;"&amp;$B$2),2)))</f>
        <v/>
      </c>
      <c r="M263" s="24">
        <f>IF($K263="","",IF($B$2="","",SUMIFS('Daily Sale entry '!$S$2:$S$1501,'Daily Sale entry '!$P$2:$P$1501,$K263,'Daily Sale entry '!$Q$2:$Q$1501,"Credit Sale 赊销",'Daily Sale entry '!$O$2:$O$1501,$B$2)))</f>
        <v/>
      </c>
      <c r="N263" s="24">
        <f>IF($K263="","",IF($B$2="","",SUMIFS('Daily Sale entry '!$S$2:$S$1501,'Daily Sale entry '!$P$2:$P$1501,$K263,'Daily Sale entry '!$Q$2:$Q$1501,"Collection 收款",'Daily Sale entry '!$R$2:$R$1501,"Cash 现金",'Daily Sale entry '!$O$2:$O$1501,$B$2)))</f>
        <v/>
      </c>
      <c r="O263" s="24">
        <f>IF($K263="","",IF($B$2="","",SUMIFS('Daily Sale entry '!$S$2:$S$1501,'Daily Sale entry '!$P$2:$P$1501,$K263,'Daily Sale entry '!$Q$2:$Q$1501,"Collection 收款",'Daily Sale entry '!$R$2:$R$1501,"Cheque 支票",'Daily Sale entry '!$O$2:$O$1501,$B$2)))</f>
        <v/>
      </c>
      <c r="P263" s="24">
        <f>IF($K263="","",IF($B$2="","",SUMIFS('Daily Sale entry '!$AC$2:$AC$1501,'Daily Sale entry '!$AA$2:$AA$1501,$K263,'Daily Sale entry '!$Z$2:$Z$1501,"Online collection 网上收款",'Daily Sale entry '!$X$2:$X$1501,$B$2)))</f>
        <v/>
      </c>
      <c r="Q263" s="24">
        <f>IF($K263="","",IF($B$2="","",SUMIFS('Debtor Ledger'!$K$2:$K$3001,'Debtor Ledger'!$C$2:$C$3001,$K263,'Debtor Ledger'!$B$2:$B$3001,$B$2)))</f>
        <v/>
      </c>
      <c r="R263" s="24">
        <f>IF($K263="","",IF($B$2="","",ROUND(L263+M263-N263-O263-P263-Q263,2)))</f>
        <v/>
      </c>
      <c r="S263" s="21">
        <f>IF(K263="","",IF($B$2="","",IF(ABS(M263)+ABS(N263)+ABS(O263)+ABS(P263)+ABS(Q263)&gt;0,1,0)))</f>
        <v/>
      </c>
      <c r="T263" s="21">
        <f>IF(S263=1,SUM($S$6:S263),"")</f>
        <v/>
      </c>
    </row>
    <row r="264">
      <c r="A264">
        <f>IF($I264="","",INDEX(K$6:K$305,$I264))</f>
        <v/>
      </c>
      <c r="B264" s="6">
        <f>IF($I264="","",INDEX(L$6:L$305,$I264))</f>
        <v/>
      </c>
      <c r="C264" s="6">
        <f>IF($I264="","",INDEX(M$6:M$305,$I264))</f>
        <v/>
      </c>
      <c r="D264" s="6">
        <f>IF($I264="","",INDEX(N$6:N$305,$I264))</f>
        <v/>
      </c>
      <c r="E264" s="6">
        <f>IF($I264="","",INDEX(O$6:O$305,$I264))</f>
        <v/>
      </c>
      <c r="F264" s="6">
        <f>IF($I264="","",INDEX(P$6:P$305,$I264))</f>
        <v/>
      </c>
      <c r="G264" s="6">
        <f>IF($I264="","",INDEX(Q$6:Q$305,$I264))</f>
        <v/>
      </c>
      <c r="H264" s="6">
        <f>IF($I264="","",INDEX(R$6:R$305,$I264))</f>
        <v/>
      </c>
      <c r="I264" s="21">
        <f>IFERROR(MATCH(259,$T$6:$T$305,0),"")</f>
        <v/>
      </c>
      <c r="K264" s="21">
        <f>IF('Debtor Summary'!A263="","",'Debtor Summary'!A263)</f>
        <v/>
      </c>
      <c r="L264" s="24">
        <f>IF($K264="","",IF($B$2="","",ROUND(SUMIFS('Opening Balance'!$F$4:$F$303,'Opening Balance'!$G$4:$G$303,$K264)+SUMIFS('Daily Sale entry '!$S$2:$S$1501,'Daily Sale entry '!$P$2:$P$1501,$K264,'Daily Sale entry '!$Q$2:$Q$1501,"Credit Sale 赊销",'Daily Sale entry '!$O$2:$O$1501,"&lt;"&amp;$B$2)-SUMIFS('Daily Sale entry '!$S$2:$S$1501,'Daily Sale entry '!$P$2:$P$1501,$K264,'Daily Sale entry '!$Q$2:$Q$1501,"Collection 收款",'Daily Sale entry '!$O$2:$O$1501,"&lt;"&amp;$B$2)-SUMIFS('Daily Sale entry '!$AC$2:$AC$1501,'Daily Sale entry '!$AA$2:$AA$1501,$K264,'Daily Sale entry '!$Z$2:$Z$1501,"Online collection 网上收款",'Daily Sale entry '!$X$2:$X$1501,"&lt;"&amp;$B$2)-SUMIFS('Debtor Ledger'!$K$2:$K$3001,'Debtor Ledger'!$C$2:$C$3001,$K264,'Debtor Ledger'!$B$2:$B$3001,"&lt;"&amp;$B$2),2)))</f>
        <v/>
      </c>
      <c r="M264" s="24">
        <f>IF($K264="","",IF($B$2="","",SUMIFS('Daily Sale entry '!$S$2:$S$1501,'Daily Sale entry '!$P$2:$P$1501,$K264,'Daily Sale entry '!$Q$2:$Q$1501,"Credit Sale 赊销",'Daily Sale entry '!$O$2:$O$1501,$B$2)))</f>
        <v/>
      </c>
      <c r="N264" s="24">
        <f>IF($K264="","",IF($B$2="","",SUMIFS('Daily Sale entry '!$S$2:$S$1501,'Daily Sale entry '!$P$2:$P$1501,$K264,'Daily Sale entry '!$Q$2:$Q$1501,"Collection 收款",'Daily Sale entry '!$R$2:$R$1501,"Cash 现金",'Daily Sale entry '!$O$2:$O$1501,$B$2)))</f>
        <v/>
      </c>
      <c r="O264" s="24">
        <f>IF($K264="","",IF($B$2="","",SUMIFS('Daily Sale entry '!$S$2:$S$1501,'Daily Sale entry '!$P$2:$P$1501,$K264,'Daily Sale entry '!$Q$2:$Q$1501,"Collection 收款",'Daily Sale entry '!$R$2:$R$1501,"Cheque 支票",'Daily Sale entry '!$O$2:$O$1501,$B$2)))</f>
        <v/>
      </c>
      <c r="P264" s="24">
        <f>IF($K264="","",IF($B$2="","",SUMIFS('Daily Sale entry '!$AC$2:$AC$1501,'Daily Sale entry '!$AA$2:$AA$1501,$K264,'Daily Sale entry '!$Z$2:$Z$1501,"Online collection 网上收款",'Daily Sale entry '!$X$2:$X$1501,$B$2)))</f>
        <v/>
      </c>
      <c r="Q264" s="24">
        <f>IF($K264="","",IF($B$2="","",SUMIFS('Debtor Ledger'!$K$2:$K$3001,'Debtor Ledger'!$C$2:$C$3001,$K264,'Debtor Ledger'!$B$2:$B$3001,$B$2)))</f>
        <v/>
      </c>
      <c r="R264" s="24">
        <f>IF($K264="","",IF($B$2="","",ROUND(L264+M264-N264-O264-P264-Q264,2)))</f>
        <v/>
      </c>
      <c r="S264" s="21">
        <f>IF(K264="","",IF($B$2="","",IF(ABS(M264)+ABS(N264)+ABS(O264)+ABS(P264)+ABS(Q264)&gt;0,1,0)))</f>
        <v/>
      </c>
      <c r="T264" s="21">
        <f>IF(S264=1,SUM($S$6:S264),"")</f>
        <v/>
      </c>
    </row>
    <row r="265">
      <c r="A265">
        <f>IF($I265="","",INDEX(K$6:K$305,$I265))</f>
        <v/>
      </c>
      <c r="B265" s="6">
        <f>IF($I265="","",INDEX(L$6:L$305,$I265))</f>
        <v/>
      </c>
      <c r="C265" s="6">
        <f>IF($I265="","",INDEX(M$6:M$305,$I265))</f>
        <v/>
      </c>
      <c r="D265" s="6">
        <f>IF($I265="","",INDEX(N$6:N$305,$I265))</f>
        <v/>
      </c>
      <c r="E265" s="6">
        <f>IF($I265="","",INDEX(O$6:O$305,$I265))</f>
        <v/>
      </c>
      <c r="F265" s="6">
        <f>IF($I265="","",INDEX(P$6:P$305,$I265))</f>
        <v/>
      </c>
      <c r="G265" s="6">
        <f>IF($I265="","",INDEX(Q$6:Q$305,$I265))</f>
        <v/>
      </c>
      <c r="H265" s="6">
        <f>IF($I265="","",INDEX(R$6:R$305,$I265))</f>
        <v/>
      </c>
      <c r="I265" s="21">
        <f>IFERROR(MATCH(260,$T$6:$T$305,0),"")</f>
        <v/>
      </c>
      <c r="K265" s="21">
        <f>IF('Debtor Summary'!A264="","",'Debtor Summary'!A264)</f>
        <v/>
      </c>
      <c r="L265" s="24">
        <f>IF($K265="","",IF($B$2="","",ROUND(SUMIFS('Opening Balance'!$F$4:$F$303,'Opening Balance'!$G$4:$G$303,$K265)+SUMIFS('Daily Sale entry '!$S$2:$S$1501,'Daily Sale entry '!$P$2:$P$1501,$K265,'Daily Sale entry '!$Q$2:$Q$1501,"Credit Sale 赊销",'Daily Sale entry '!$O$2:$O$1501,"&lt;"&amp;$B$2)-SUMIFS('Daily Sale entry '!$S$2:$S$1501,'Daily Sale entry '!$P$2:$P$1501,$K265,'Daily Sale entry '!$Q$2:$Q$1501,"Collection 收款",'Daily Sale entry '!$O$2:$O$1501,"&lt;"&amp;$B$2)-SUMIFS('Daily Sale entry '!$AC$2:$AC$1501,'Daily Sale entry '!$AA$2:$AA$1501,$K265,'Daily Sale entry '!$Z$2:$Z$1501,"Online collection 网上收款",'Daily Sale entry '!$X$2:$X$1501,"&lt;"&amp;$B$2)-SUMIFS('Debtor Ledger'!$K$2:$K$3001,'Debtor Ledger'!$C$2:$C$3001,$K265,'Debtor Ledger'!$B$2:$B$3001,"&lt;"&amp;$B$2),2)))</f>
        <v/>
      </c>
      <c r="M265" s="24">
        <f>IF($K265="","",IF($B$2="","",SUMIFS('Daily Sale entry '!$S$2:$S$1501,'Daily Sale entry '!$P$2:$P$1501,$K265,'Daily Sale entry '!$Q$2:$Q$1501,"Credit Sale 赊销",'Daily Sale entry '!$O$2:$O$1501,$B$2)))</f>
        <v/>
      </c>
      <c r="N265" s="24">
        <f>IF($K265="","",IF($B$2="","",SUMIFS('Daily Sale entry '!$S$2:$S$1501,'Daily Sale entry '!$P$2:$P$1501,$K265,'Daily Sale entry '!$Q$2:$Q$1501,"Collection 收款",'Daily Sale entry '!$R$2:$R$1501,"Cash 现金",'Daily Sale entry '!$O$2:$O$1501,$B$2)))</f>
        <v/>
      </c>
      <c r="O265" s="24">
        <f>IF($K265="","",IF($B$2="","",SUMIFS('Daily Sale entry '!$S$2:$S$1501,'Daily Sale entry '!$P$2:$P$1501,$K265,'Daily Sale entry '!$Q$2:$Q$1501,"Collection 收款",'Daily Sale entry '!$R$2:$R$1501,"Cheque 支票",'Daily Sale entry '!$O$2:$O$1501,$B$2)))</f>
        <v/>
      </c>
      <c r="P265" s="24">
        <f>IF($K265="","",IF($B$2="","",SUMIFS('Daily Sale entry '!$AC$2:$AC$1501,'Daily Sale entry '!$AA$2:$AA$1501,$K265,'Daily Sale entry '!$Z$2:$Z$1501,"Online collection 网上收款",'Daily Sale entry '!$X$2:$X$1501,$B$2)))</f>
        <v/>
      </c>
      <c r="Q265" s="24">
        <f>IF($K265="","",IF($B$2="","",SUMIFS('Debtor Ledger'!$K$2:$K$3001,'Debtor Ledger'!$C$2:$C$3001,$K265,'Debtor Ledger'!$B$2:$B$3001,$B$2)))</f>
        <v/>
      </c>
      <c r="R265" s="24">
        <f>IF($K265="","",IF($B$2="","",ROUND(L265+M265-N265-O265-P265-Q265,2)))</f>
        <v/>
      </c>
      <c r="S265" s="21">
        <f>IF(K265="","",IF($B$2="","",IF(ABS(M265)+ABS(N265)+ABS(O265)+ABS(P265)+ABS(Q265)&gt;0,1,0)))</f>
        <v/>
      </c>
      <c r="T265" s="21">
        <f>IF(S265=1,SUM($S$6:S265),"")</f>
        <v/>
      </c>
    </row>
    <row r="266">
      <c r="A266">
        <f>IF($I266="","",INDEX(K$6:K$305,$I266))</f>
        <v/>
      </c>
      <c r="B266" s="6">
        <f>IF($I266="","",INDEX(L$6:L$305,$I266))</f>
        <v/>
      </c>
      <c r="C266" s="6">
        <f>IF($I266="","",INDEX(M$6:M$305,$I266))</f>
        <v/>
      </c>
      <c r="D266" s="6">
        <f>IF($I266="","",INDEX(N$6:N$305,$I266))</f>
        <v/>
      </c>
      <c r="E266" s="6">
        <f>IF($I266="","",INDEX(O$6:O$305,$I266))</f>
        <v/>
      </c>
      <c r="F266" s="6">
        <f>IF($I266="","",INDEX(P$6:P$305,$I266))</f>
        <v/>
      </c>
      <c r="G266" s="6">
        <f>IF($I266="","",INDEX(Q$6:Q$305,$I266))</f>
        <v/>
      </c>
      <c r="H266" s="6">
        <f>IF($I266="","",INDEX(R$6:R$305,$I266))</f>
        <v/>
      </c>
      <c r="I266" s="21">
        <f>IFERROR(MATCH(261,$T$6:$T$305,0),"")</f>
        <v/>
      </c>
      <c r="K266" s="21">
        <f>IF('Debtor Summary'!A265="","",'Debtor Summary'!A265)</f>
        <v/>
      </c>
      <c r="L266" s="24">
        <f>IF($K266="","",IF($B$2="","",ROUND(SUMIFS('Opening Balance'!$F$4:$F$303,'Opening Balance'!$G$4:$G$303,$K266)+SUMIFS('Daily Sale entry '!$S$2:$S$1501,'Daily Sale entry '!$P$2:$P$1501,$K266,'Daily Sale entry '!$Q$2:$Q$1501,"Credit Sale 赊销",'Daily Sale entry '!$O$2:$O$1501,"&lt;"&amp;$B$2)-SUMIFS('Daily Sale entry '!$S$2:$S$1501,'Daily Sale entry '!$P$2:$P$1501,$K266,'Daily Sale entry '!$Q$2:$Q$1501,"Collection 收款",'Daily Sale entry '!$O$2:$O$1501,"&lt;"&amp;$B$2)-SUMIFS('Daily Sale entry '!$AC$2:$AC$1501,'Daily Sale entry '!$AA$2:$AA$1501,$K266,'Daily Sale entry '!$Z$2:$Z$1501,"Online collection 网上收款",'Daily Sale entry '!$X$2:$X$1501,"&lt;"&amp;$B$2)-SUMIFS('Debtor Ledger'!$K$2:$K$3001,'Debtor Ledger'!$C$2:$C$3001,$K266,'Debtor Ledger'!$B$2:$B$3001,"&lt;"&amp;$B$2),2)))</f>
        <v/>
      </c>
      <c r="M266" s="24">
        <f>IF($K266="","",IF($B$2="","",SUMIFS('Daily Sale entry '!$S$2:$S$1501,'Daily Sale entry '!$P$2:$P$1501,$K266,'Daily Sale entry '!$Q$2:$Q$1501,"Credit Sale 赊销",'Daily Sale entry '!$O$2:$O$1501,$B$2)))</f>
        <v/>
      </c>
      <c r="N266" s="24">
        <f>IF($K266="","",IF($B$2="","",SUMIFS('Daily Sale entry '!$S$2:$S$1501,'Daily Sale entry '!$P$2:$P$1501,$K266,'Daily Sale entry '!$Q$2:$Q$1501,"Collection 收款",'Daily Sale entry '!$R$2:$R$1501,"Cash 现金",'Daily Sale entry '!$O$2:$O$1501,$B$2)))</f>
        <v/>
      </c>
      <c r="O266" s="24">
        <f>IF($K266="","",IF($B$2="","",SUMIFS('Daily Sale entry '!$S$2:$S$1501,'Daily Sale entry '!$P$2:$P$1501,$K266,'Daily Sale entry '!$Q$2:$Q$1501,"Collection 收款",'Daily Sale entry '!$R$2:$R$1501,"Cheque 支票",'Daily Sale entry '!$O$2:$O$1501,$B$2)))</f>
        <v/>
      </c>
      <c r="P266" s="24">
        <f>IF($K266="","",IF($B$2="","",SUMIFS('Daily Sale entry '!$AC$2:$AC$1501,'Daily Sale entry '!$AA$2:$AA$1501,$K266,'Daily Sale entry '!$Z$2:$Z$1501,"Online collection 网上收款",'Daily Sale entry '!$X$2:$X$1501,$B$2)))</f>
        <v/>
      </c>
      <c r="Q266" s="24">
        <f>IF($K266="","",IF($B$2="","",SUMIFS('Debtor Ledger'!$K$2:$K$3001,'Debtor Ledger'!$C$2:$C$3001,$K266,'Debtor Ledger'!$B$2:$B$3001,$B$2)))</f>
        <v/>
      </c>
      <c r="R266" s="24">
        <f>IF($K266="","",IF($B$2="","",ROUND(L266+M266-N266-O266-P266-Q266,2)))</f>
        <v/>
      </c>
      <c r="S266" s="21">
        <f>IF(K266="","",IF($B$2="","",IF(ABS(M266)+ABS(N266)+ABS(O266)+ABS(P266)+ABS(Q266)&gt;0,1,0)))</f>
        <v/>
      </c>
      <c r="T266" s="21">
        <f>IF(S266=1,SUM($S$6:S266),"")</f>
        <v/>
      </c>
    </row>
    <row r="267">
      <c r="A267">
        <f>IF($I267="","",INDEX(K$6:K$305,$I267))</f>
        <v/>
      </c>
      <c r="B267" s="6">
        <f>IF($I267="","",INDEX(L$6:L$305,$I267))</f>
        <v/>
      </c>
      <c r="C267" s="6">
        <f>IF($I267="","",INDEX(M$6:M$305,$I267))</f>
        <v/>
      </c>
      <c r="D267" s="6">
        <f>IF($I267="","",INDEX(N$6:N$305,$I267))</f>
        <v/>
      </c>
      <c r="E267" s="6">
        <f>IF($I267="","",INDEX(O$6:O$305,$I267))</f>
        <v/>
      </c>
      <c r="F267" s="6">
        <f>IF($I267="","",INDEX(P$6:P$305,$I267))</f>
        <v/>
      </c>
      <c r="G267" s="6">
        <f>IF($I267="","",INDEX(Q$6:Q$305,$I267))</f>
        <v/>
      </c>
      <c r="H267" s="6">
        <f>IF($I267="","",INDEX(R$6:R$305,$I267))</f>
        <v/>
      </c>
      <c r="I267" s="21">
        <f>IFERROR(MATCH(262,$T$6:$T$305,0),"")</f>
        <v/>
      </c>
      <c r="K267" s="21">
        <f>IF('Debtor Summary'!A266="","",'Debtor Summary'!A266)</f>
        <v/>
      </c>
      <c r="L267" s="24">
        <f>IF($K267="","",IF($B$2="","",ROUND(SUMIFS('Opening Balance'!$F$4:$F$303,'Opening Balance'!$G$4:$G$303,$K267)+SUMIFS('Daily Sale entry '!$S$2:$S$1501,'Daily Sale entry '!$P$2:$P$1501,$K267,'Daily Sale entry '!$Q$2:$Q$1501,"Credit Sale 赊销",'Daily Sale entry '!$O$2:$O$1501,"&lt;"&amp;$B$2)-SUMIFS('Daily Sale entry '!$S$2:$S$1501,'Daily Sale entry '!$P$2:$P$1501,$K267,'Daily Sale entry '!$Q$2:$Q$1501,"Collection 收款",'Daily Sale entry '!$O$2:$O$1501,"&lt;"&amp;$B$2)-SUMIFS('Daily Sale entry '!$AC$2:$AC$1501,'Daily Sale entry '!$AA$2:$AA$1501,$K267,'Daily Sale entry '!$Z$2:$Z$1501,"Online collection 网上收款",'Daily Sale entry '!$X$2:$X$1501,"&lt;"&amp;$B$2)-SUMIFS('Debtor Ledger'!$K$2:$K$3001,'Debtor Ledger'!$C$2:$C$3001,$K267,'Debtor Ledger'!$B$2:$B$3001,"&lt;"&amp;$B$2),2)))</f>
        <v/>
      </c>
      <c r="M267" s="24">
        <f>IF($K267="","",IF($B$2="","",SUMIFS('Daily Sale entry '!$S$2:$S$1501,'Daily Sale entry '!$P$2:$P$1501,$K267,'Daily Sale entry '!$Q$2:$Q$1501,"Credit Sale 赊销",'Daily Sale entry '!$O$2:$O$1501,$B$2)))</f>
        <v/>
      </c>
      <c r="N267" s="24">
        <f>IF($K267="","",IF($B$2="","",SUMIFS('Daily Sale entry '!$S$2:$S$1501,'Daily Sale entry '!$P$2:$P$1501,$K267,'Daily Sale entry '!$Q$2:$Q$1501,"Collection 收款",'Daily Sale entry '!$R$2:$R$1501,"Cash 现金",'Daily Sale entry '!$O$2:$O$1501,$B$2)))</f>
        <v/>
      </c>
      <c r="O267" s="24">
        <f>IF($K267="","",IF($B$2="","",SUMIFS('Daily Sale entry '!$S$2:$S$1501,'Daily Sale entry '!$P$2:$P$1501,$K267,'Daily Sale entry '!$Q$2:$Q$1501,"Collection 收款",'Daily Sale entry '!$R$2:$R$1501,"Cheque 支票",'Daily Sale entry '!$O$2:$O$1501,$B$2)))</f>
        <v/>
      </c>
      <c r="P267" s="24">
        <f>IF($K267="","",IF($B$2="","",SUMIFS('Daily Sale entry '!$AC$2:$AC$1501,'Daily Sale entry '!$AA$2:$AA$1501,$K267,'Daily Sale entry '!$Z$2:$Z$1501,"Online collection 网上收款",'Daily Sale entry '!$X$2:$X$1501,$B$2)))</f>
        <v/>
      </c>
      <c r="Q267" s="24">
        <f>IF($K267="","",IF($B$2="","",SUMIFS('Debtor Ledger'!$K$2:$K$3001,'Debtor Ledger'!$C$2:$C$3001,$K267,'Debtor Ledger'!$B$2:$B$3001,$B$2)))</f>
        <v/>
      </c>
      <c r="R267" s="24">
        <f>IF($K267="","",IF($B$2="","",ROUND(L267+M267-N267-O267-P267-Q267,2)))</f>
        <v/>
      </c>
      <c r="S267" s="21">
        <f>IF(K267="","",IF($B$2="","",IF(ABS(M267)+ABS(N267)+ABS(O267)+ABS(P267)+ABS(Q267)&gt;0,1,0)))</f>
        <v/>
      </c>
      <c r="T267" s="21">
        <f>IF(S267=1,SUM($S$6:S267),"")</f>
        <v/>
      </c>
    </row>
    <row r="268">
      <c r="A268">
        <f>IF($I268="","",INDEX(K$6:K$305,$I268))</f>
        <v/>
      </c>
      <c r="B268" s="6">
        <f>IF($I268="","",INDEX(L$6:L$305,$I268))</f>
        <v/>
      </c>
      <c r="C268" s="6">
        <f>IF($I268="","",INDEX(M$6:M$305,$I268))</f>
        <v/>
      </c>
      <c r="D268" s="6">
        <f>IF($I268="","",INDEX(N$6:N$305,$I268))</f>
        <v/>
      </c>
      <c r="E268" s="6">
        <f>IF($I268="","",INDEX(O$6:O$305,$I268))</f>
        <v/>
      </c>
      <c r="F268" s="6">
        <f>IF($I268="","",INDEX(P$6:P$305,$I268))</f>
        <v/>
      </c>
      <c r="G268" s="6">
        <f>IF($I268="","",INDEX(Q$6:Q$305,$I268))</f>
        <v/>
      </c>
      <c r="H268" s="6">
        <f>IF($I268="","",INDEX(R$6:R$305,$I268))</f>
        <v/>
      </c>
      <c r="I268" s="21">
        <f>IFERROR(MATCH(263,$T$6:$T$305,0),"")</f>
        <v/>
      </c>
      <c r="K268" s="21">
        <f>IF('Debtor Summary'!A267="","",'Debtor Summary'!A267)</f>
        <v/>
      </c>
      <c r="L268" s="24">
        <f>IF($K268="","",IF($B$2="","",ROUND(SUMIFS('Opening Balance'!$F$4:$F$303,'Opening Balance'!$G$4:$G$303,$K268)+SUMIFS('Daily Sale entry '!$S$2:$S$1501,'Daily Sale entry '!$P$2:$P$1501,$K268,'Daily Sale entry '!$Q$2:$Q$1501,"Credit Sale 赊销",'Daily Sale entry '!$O$2:$O$1501,"&lt;"&amp;$B$2)-SUMIFS('Daily Sale entry '!$S$2:$S$1501,'Daily Sale entry '!$P$2:$P$1501,$K268,'Daily Sale entry '!$Q$2:$Q$1501,"Collection 收款",'Daily Sale entry '!$O$2:$O$1501,"&lt;"&amp;$B$2)-SUMIFS('Daily Sale entry '!$AC$2:$AC$1501,'Daily Sale entry '!$AA$2:$AA$1501,$K268,'Daily Sale entry '!$Z$2:$Z$1501,"Online collection 网上收款",'Daily Sale entry '!$X$2:$X$1501,"&lt;"&amp;$B$2)-SUMIFS('Debtor Ledger'!$K$2:$K$3001,'Debtor Ledger'!$C$2:$C$3001,$K268,'Debtor Ledger'!$B$2:$B$3001,"&lt;"&amp;$B$2),2)))</f>
        <v/>
      </c>
      <c r="M268" s="24">
        <f>IF($K268="","",IF($B$2="","",SUMIFS('Daily Sale entry '!$S$2:$S$1501,'Daily Sale entry '!$P$2:$P$1501,$K268,'Daily Sale entry '!$Q$2:$Q$1501,"Credit Sale 赊销",'Daily Sale entry '!$O$2:$O$1501,$B$2)))</f>
        <v/>
      </c>
      <c r="N268" s="24">
        <f>IF($K268="","",IF($B$2="","",SUMIFS('Daily Sale entry '!$S$2:$S$1501,'Daily Sale entry '!$P$2:$P$1501,$K268,'Daily Sale entry '!$Q$2:$Q$1501,"Collection 收款",'Daily Sale entry '!$R$2:$R$1501,"Cash 现金",'Daily Sale entry '!$O$2:$O$1501,$B$2)))</f>
        <v/>
      </c>
      <c r="O268" s="24">
        <f>IF($K268="","",IF($B$2="","",SUMIFS('Daily Sale entry '!$S$2:$S$1501,'Daily Sale entry '!$P$2:$P$1501,$K268,'Daily Sale entry '!$Q$2:$Q$1501,"Collection 收款",'Daily Sale entry '!$R$2:$R$1501,"Cheque 支票",'Daily Sale entry '!$O$2:$O$1501,$B$2)))</f>
        <v/>
      </c>
      <c r="P268" s="24">
        <f>IF($K268="","",IF($B$2="","",SUMIFS('Daily Sale entry '!$AC$2:$AC$1501,'Daily Sale entry '!$AA$2:$AA$1501,$K268,'Daily Sale entry '!$Z$2:$Z$1501,"Online collection 网上收款",'Daily Sale entry '!$X$2:$X$1501,$B$2)))</f>
        <v/>
      </c>
      <c r="Q268" s="24">
        <f>IF($K268="","",IF($B$2="","",SUMIFS('Debtor Ledger'!$K$2:$K$3001,'Debtor Ledger'!$C$2:$C$3001,$K268,'Debtor Ledger'!$B$2:$B$3001,$B$2)))</f>
        <v/>
      </c>
      <c r="R268" s="24">
        <f>IF($K268="","",IF($B$2="","",ROUND(L268+M268-N268-O268-P268-Q268,2)))</f>
        <v/>
      </c>
      <c r="S268" s="21">
        <f>IF(K268="","",IF($B$2="","",IF(ABS(M268)+ABS(N268)+ABS(O268)+ABS(P268)+ABS(Q268)&gt;0,1,0)))</f>
        <v/>
      </c>
      <c r="T268" s="21">
        <f>IF(S268=1,SUM($S$6:S268),"")</f>
        <v/>
      </c>
    </row>
    <row r="269">
      <c r="A269">
        <f>IF($I269="","",INDEX(K$6:K$305,$I269))</f>
        <v/>
      </c>
      <c r="B269" s="6">
        <f>IF($I269="","",INDEX(L$6:L$305,$I269))</f>
        <v/>
      </c>
      <c r="C269" s="6">
        <f>IF($I269="","",INDEX(M$6:M$305,$I269))</f>
        <v/>
      </c>
      <c r="D269" s="6">
        <f>IF($I269="","",INDEX(N$6:N$305,$I269))</f>
        <v/>
      </c>
      <c r="E269" s="6">
        <f>IF($I269="","",INDEX(O$6:O$305,$I269))</f>
        <v/>
      </c>
      <c r="F269" s="6">
        <f>IF($I269="","",INDEX(P$6:P$305,$I269))</f>
        <v/>
      </c>
      <c r="G269" s="6">
        <f>IF($I269="","",INDEX(Q$6:Q$305,$I269))</f>
        <v/>
      </c>
      <c r="H269" s="6">
        <f>IF($I269="","",INDEX(R$6:R$305,$I269))</f>
        <v/>
      </c>
      <c r="I269" s="21">
        <f>IFERROR(MATCH(264,$T$6:$T$305,0),"")</f>
        <v/>
      </c>
      <c r="K269" s="21">
        <f>IF('Debtor Summary'!A268="","",'Debtor Summary'!A268)</f>
        <v/>
      </c>
      <c r="L269" s="24">
        <f>IF($K269="","",IF($B$2="","",ROUND(SUMIFS('Opening Balance'!$F$4:$F$303,'Opening Balance'!$G$4:$G$303,$K269)+SUMIFS('Daily Sale entry '!$S$2:$S$1501,'Daily Sale entry '!$P$2:$P$1501,$K269,'Daily Sale entry '!$Q$2:$Q$1501,"Credit Sale 赊销",'Daily Sale entry '!$O$2:$O$1501,"&lt;"&amp;$B$2)-SUMIFS('Daily Sale entry '!$S$2:$S$1501,'Daily Sale entry '!$P$2:$P$1501,$K269,'Daily Sale entry '!$Q$2:$Q$1501,"Collection 收款",'Daily Sale entry '!$O$2:$O$1501,"&lt;"&amp;$B$2)-SUMIFS('Daily Sale entry '!$AC$2:$AC$1501,'Daily Sale entry '!$AA$2:$AA$1501,$K269,'Daily Sale entry '!$Z$2:$Z$1501,"Online collection 网上收款",'Daily Sale entry '!$X$2:$X$1501,"&lt;"&amp;$B$2)-SUMIFS('Debtor Ledger'!$K$2:$K$3001,'Debtor Ledger'!$C$2:$C$3001,$K269,'Debtor Ledger'!$B$2:$B$3001,"&lt;"&amp;$B$2),2)))</f>
        <v/>
      </c>
      <c r="M269" s="24">
        <f>IF($K269="","",IF($B$2="","",SUMIFS('Daily Sale entry '!$S$2:$S$1501,'Daily Sale entry '!$P$2:$P$1501,$K269,'Daily Sale entry '!$Q$2:$Q$1501,"Credit Sale 赊销",'Daily Sale entry '!$O$2:$O$1501,$B$2)))</f>
        <v/>
      </c>
      <c r="N269" s="24">
        <f>IF($K269="","",IF($B$2="","",SUMIFS('Daily Sale entry '!$S$2:$S$1501,'Daily Sale entry '!$P$2:$P$1501,$K269,'Daily Sale entry '!$Q$2:$Q$1501,"Collection 收款",'Daily Sale entry '!$R$2:$R$1501,"Cash 现金",'Daily Sale entry '!$O$2:$O$1501,$B$2)))</f>
        <v/>
      </c>
      <c r="O269" s="24">
        <f>IF($K269="","",IF($B$2="","",SUMIFS('Daily Sale entry '!$S$2:$S$1501,'Daily Sale entry '!$P$2:$P$1501,$K269,'Daily Sale entry '!$Q$2:$Q$1501,"Collection 收款",'Daily Sale entry '!$R$2:$R$1501,"Cheque 支票",'Daily Sale entry '!$O$2:$O$1501,$B$2)))</f>
        <v/>
      </c>
      <c r="P269" s="24">
        <f>IF($K269="","",IF($B$2="","",SUMIFS('Daily Sale entry '!$AC$2:$AC$1501,'Daily Sale entry '!$AA$2:$AA$1501,$K269,'Daily Sale entry '!$Z$2:$Z$1501,"Online collection 网上收款",'Daily Sale entry '!$X$2:$X$1501,$B$2)))</f>
        <v/>
      </c>
      <c r="Q269" s="24">
        <f>IF($K269="","",IF($B$2="","",SUMIFS('Debtor Ledger'!$K$2:$K$3001,'Debtor Ledger'!$C$2:$C$3001,$K269,'Debtor Ledger'!$B$2:$B$3001,$B$2)))</f>
        <v/>
      </c>
      <c r="R269" s="24">
        <f>IF($K269="","",IF($B$2="","",ROUND(L269+M269-N269-O269-P269-Q269,2)))</f>
        <v/>
      </c>
      <c r="S269" s="21">
        <f>IF(K269="","",IF($B$2="","",IF(ABS(M269)+ABS(N269)+ABS(O269)+ABS(P269)+ABS(Q269)&gt;0,1,0)))</f>
        <v/>
      </c>
      <c r="T269" s="21">
        <f>IF(S269=1,SUM($S$6:S269),"")</f>
        <v/>
      </c>
    </row>
    <row r="270">
      <c r="A270">
        <f>IF($I270="","",INDEX(K$6:K$305,$I270))</f>
        <v/>
      </c>
      <c r="B270" s="6">
        <f>IF($I270="","",INDEX(L$6:L$305,$I270))</f>
        <v/>
      </c>
      <c r="C270" s="6">
        <f>IF($I270="","",INDEX(M$6:M$305,$I270))</f>
        <v/>
      </c>
      <c r="D270" s="6">
        <f>IF($I270="","",INDEX(N$6:N$305,$I270))</f>
        <v/>
      </c>
      <c r="E270" s="6">
        <f>IF($I270="","",INDEX(O$6:O$305,$I270))</f>
        <v/>
      </c>
      <c r="F270" s="6">
        <f>IF($I270="","",INDEX(P$6:P$305,$I270))</f>
        <v/>
      </c>
      <c r="G270" s="6">
        <f>IF($I270="","",INDEX(Q$6:Q$305,$I270))</f>
        <v/>
      </c>
      <c r="H270" s="6">
        <f>IF($I270="","",INDEX(R$6:R$305,$I270))</f>
        <v/>
      </c>
      <c r="I270" s="21">
        <f>IFERROR(MATCH(265,$T$6:$T$305,0),"")</f>
        <v/>
      </c>
      <c r="K270" s="21">
        <f>IF('Debtor Summary'!A269="","",'Debtor Summary'!A269)</f>
        <v/>
      </c>
      <c r="L270" s="24">
        <f>IF($K270="","",IF($B$2="","",ROUND(SUMIFS('Opening Balance'!$F$4:$F$303,'Opening Balance'!$G$4:$G$303,$K270)+SUMIFS('Daily Sale entry '!$S$2:$S$1501,'Daily Sale entry '!$P$2:$P$1501,$K270,'Daily Sale entry '!$Q$2:$Q$1501,"Credit Sale 赊销",'Daily Sale entry '!$O$2:$O$1501,"&lt;"&amp;$B$2)-SUMIFS('Daily Sale entry '!$S$2:$S$1501,'Daily Sale entry '!$P$2:$P$1501,$K270,'Daily Sale entry '!$Q$2:$Q$1501,"Collection 收款",'Daily Sale entry '!$O$2:$O$1501,"&lt;"&amp;$B$2)-SUMIFS('Daily Sale entry '!$AC$2:$AC$1501,'Daily Sale entry '!$AA$2:$AA$1501,$K270,'Daily Sale entry '!$Z$2:$Z$1501,"Online collection 网上收款",'Daily Sale entry '!$X$2:$X$1501,"&lt;"&amp;$B$2)-SUMIFS('Debtor Ledger'!$K$2:$K$3001,'Debtor Ledger'!$C$2:$C$3001,$K270,'Debtor Ledger'!$B$2:$B$3001,"&lt;"&amp;$B$2),2)))</f>
        <v/>
      </c>
      <c r="M270" s="24">
        <f>IF($K270="","",IF($B$2="","",SUMIFS('Daily Sale entry '!$S$2:$S$1501,'Daily Sale entry '!$P$2:$P$1501,$K270,'Daily Sale entry '!$Q$2:$Q$1501,"Credit Sale 赊销",'Daily Sale entry '!$O$2:$O$1501,$B$2)))</f>
        <v/>
      </c>
      <c r="N270" s="24">
        <f>IF($K270="","",IF($B$2="","",SUMIFS('Daily Sale entry '!$S$2:$S$1501,'Daily Sale entry '!$P$2:$P$1501,$K270,'Daily Sale entry '!$Q$2:$Q$1501,"Collection 收款",'Daily Sale entry '!$R$2:$R$1501,"Cash 现金",'Daily Sale entry '!$O$2:$O$1501,$B$2)))</f>
        <v/>
      </c>
      <c r="O270" s="24">
        <f>IF($K270="","",IF($B$2="","",SUMIFS('Daily Sale entry '!$S$2:$S$1501,'Daily Sale entry '!$P$2:$P$1501,$K270,'Daily Sale entry '!$Q$2:$Q$1501,"Collection 收款",'Daily Sale entry '!$R$2:$R$1501,"Cheque 支票",'Daily Sale entry '!$O$2:$O$1501,$B$2)))</f>
        <v/>
      </c>
      <c r="P270" s="24">
        <f>IF($K270="","",IF($B$2="","",SUMIFS('Daily Sale entry '!$AC$2:$AC$1501,'Daily Sale entry '!$AA$2:$AA$1501,$K270,'Daily Sale entry '!$Z$2:$Z$1501,"Online collection 网上收款",'Daily Sale entry '!$X$2:$X$1501,$B$2)))</f>
        <v/>
      </c>
      <c r="Q270" s="24">
        <f>IF($K270="","",IF($B$2="","",SUMIFS('Debtor Ledger'!$K$2:$K$3001,'Debtor Ledger'!$C$2:$C$3001,$K270,'Debtor Ledger'!$B$2:$B$3001,$B$2)))</f>
        <v/>
      </c>
      <c r="R270" s="24">
        <f>IF($K270="","",IF($B$2="","",ROUND(L270+M270-N270-O270-P270-Q270,2)))</f>
        <v/>
      </c>
      <c r="S270" s="21">
        <f>IF(K270="","",IF($B$2="","",IF(ABS(M270)+ABS(N270)+ABS(O270)+ABS(P270)+ABS(Q270)&gt;0,1,0)))</f>
        <v/>
      </c>
      <c r="T270" s="21">
        <f>IF(S270=1,SUM($S$6:S270),"")</f>
        <v/>
      </c>
    </row>
    <row r="271">
      <c r="A271">
        <f>IF($I271="","",INDEX(K$6:K$305,$I271))</f>
        <v/>
      </c>
      <c r="B271" s="6">
        <f>IF($I271="","",INDEX(L$6:L$305,$I271))</f>
        <v/>
      </c>
      <c r="C271" s="6">
        <f>IF($I271="","",INDEX(M$6:M$305,$I271))</f>
        <v/>
      </c>
      <c r="D271" s="6">
        <f>IF($I271="","",INDEX(N$6:N$305,$I271))</f>
        <v/>
      </c>
      <c r="E271" s="6">
        <f>IF($I271="","",INDEX(O$6:O$305,$I271))</f>
        <v/>
      </c>
      <c r="F271" s="6">
        <f>IF($I271="","",INDEX(P$6:P$305,$I271))</f>
        <v/>
      </c>
      <c r="G271" s="6">
        <f>IF($I271="","",INDEX(Q$6:Q$305,$I271))</f>
        <v/>
      </c>
      <c r="H271" s="6">
        <f>IF($I271="","",INDEX(R$6:R$305,$I271))</f>
        <v/>
      </c>
      <c r="I271" s="21">
        <f>IFERROR(MATCH(266,$T$6:$T$305,0),"")</f>
        <v/>
      </c>
      <c r="K271" s="21">
        <f>IF('Debtor Summary'!A270="","",'Debtor Summary'!A270)</f>
        <v/>
      </c>
      <c r="L271" s="24">
        <f>IF($K271="","",IF($B$2="","",ROUND(SUMIFS('Opening Balance'!$F$4:$F$303,'Opening Balance'!$G$4:$G$303,$K271)+SUMIFS('Daily Sale entry '!$S$2:$S$1501,'Daily Sale entry '!$P$2:$P$1501,$K271,'Daily Sale entry '!$Q$2:$Q$1501,"Credit Sale 赊销",'Daily Sale entry '!$O$2:$O$1501,"&lt;"&amp;$B$2)-SUMIFS('Daily Sale entry '!$S$2:$S$1501,'Daily Sale entry '!$P$2:$P$1501,$K271,'Daily Sale entry '!$Q$2:$Q$1501,"Collection 收款",'Daily Sale entry '!$O$2:$O$1501,"&lt;"&amp;$B$2)-SUMIFS('Daily Sale entry '!$AC$2:$AC$1501,'Daily Sale entry '!$AA$2:$AA$1501,$K271,'Daily Sale entry '!$Z$2:$Z$1501,"Online collection 网上收款",'Daily Sale entry '!$X$2:$X$1501,"&lt;"&amp;$B$2)-SUMIFS('Debtor Ledger'!$K$2:$K$3001,'Debtor Ledger'!$C$2:$C$3001,$K271,'Debtor Ledger'!$B$2:$B$3001,"&lt;"&amp;$B$2),2)))</f>
        <v/>
      </c>
      <c r="M271" s="24">
        <f>IF($K271="","",IF($B$2="","",SUMIFS('Daily Sale entry '!$S$2:$S$1501,'Daily Sale entry '!$P$2:$P$1501,$K271,'Daily Sale entry '!$Q$2:$Q$1501,"Credit Sale 赊销",'Daily Sale entry '!$O$2:$O$1501,$B$2)))</f>
        <v/>
      </c>
      <c r="N271" s="24">
        <f>IF($K271="","",IF($B$2="","",SUMIFS('Daily Sale entry '!$S$2:$S$1501,'Daily Sale entry '!$P$2:$P$1501,$K271,'Daily Sale entry '!$Q$2:$Q$1501,"Collection 收款",'Daily Sale entry '!$R$2:$R$1501,"Cash 现金",'Daily Sale entry '!$O$2:$O$1501,$B$2)))</f>
        <v/>
      </c>
      <c r="O271" s="24">
        <f>IF($K271="","",IF($B$2="","",SUMIFS('Daily Sale entry '!$S$2:$S$1501,'Daily Sale entry '!$P$2:$P$1501,$K271,'Daily Sale entry '!$Q$2:$Q$1501,"Collection 收款",'Daily Sale entry '!$R$2:$R$1501,"Cheque 支票",'Daily Sale entry '!$O$2:$O$1501,$B$2)))</f>
        <v/>
      </c>
      <c r="P271" s="24">
        <f>IF($K271="","",IF($B$2="","",SUMIFS('Daily Sale entry '!$AC$2:$AC$1501,'Daily Sale entry '!$AA$2:$AA$1501,$K271,'Daily Sale entry '!$Z$2:$Z$1501,"Online collection 网上收款",'Daily Sale entry '!$X$2:$X$1501,$B$2)))</f>
        <v/>
      </c>
      <c r="Q271" s="24">
        <f>IF($K271="","",IF($B$2="","",SUMIFS('Debtor Ledger'!$K$2:$K$3001,'Debtor Ledger'!$C$2:$C$3001,$K271,'Debtor Ledger'!$B$2:$B$3001,$B$2)))</f>
        <v/>
      </c>
      <c r="R271" s="24">
        <f>IF($K271="","",IF($B$2="","",ROUND(L271+M271-N271-O271-P271-Q271,2)))</f>
        <v/>
      </c>
      <c r="S271" s="21">
        <f>IF(K271="","",IF($B$2="","",IF(ABS(M271)+ABS(N271)+ABS(O271)+ABS(P271)+ABS(Q271)&gt;0,1,0)))</f>
        <v/>
      </c>
      <c r="T271" s="21">
        <f>IF(S271=1,SUM($S$6:S271),"")</f>
        <v/>
      </c>
    </row>
    <row r="272">
      <c r="A272">
        <f>IF($I272="","",INDEX(K$6:K$305,$I272))</f>
        <v/>
      </c>
      <c r="B272" s="6">
        <f>IF($I272="","",INDEX(L$6:L$305,$I272))</f>
        <v/>
      </c>
      <c r="C272" s="6">
        <f>IF($I272="","",INDEX(M$6:M$305,$I272))</f>
        <v/>
      </c>
      <c r="D272" s="6">
        <f>IF($I272="","",INDEX(N$6:N$305,$I272))</f>
        <v/>
      </c>
      <c r="E272" s="6">
        <f>IF($I272="","",INDEX(O$6:O$305,$I272))</f>
        <v/>
      </c>
      <c r="F272" s="6">
        <f>IF($I272="","",INDEX(P$6:P$305,$I272))</f>
        <v/>
      </c>
      <c r="G272" s="6">
        <f>IF($I272="","",INDEX(Q$6:Q$305,$I272))</f>
        <v/>
      </c>
      <c r="H272" s="6">
        <f>IF($I272="","",INDEX(R$6:R$305,$I272))</f>
        <v/>
      </c>
      <c r="I272" s="21">
        <f>IFERROR(MATCH(267,$T$6:$T$305,0),"")</f>
        <v/>
      </c>
      <c r="K272" s="21">
        <f>IF('Debtor Summary'!A271="","",'Debtor Summary'!A271)</f>
        <v/>
      </c>
      <c r="L272" s="24">
        <f>IF($K272="","",IF($B$2="","",ROUND(SUMIFS('Opening Balance'!$F$4:$F$303,'Opening Balance'!$G$4:$G$303,$K272)+SUMIFS('Daily Sale entry '!$S$2:$S$1501,'Daily Sale entry '!$P$2:$P$1501,$K272,'Daily Sale entry '!$Q$2:$Q$1501,"Credit Sale 赊销",'Daily Sale entry '!$O$2:$O$1501,"&lt;"&amp;$B$2)-SUMIFS('Daily Sale entry '!$S$2:$S$1501,'Daily Sale entry '!$P$2:$P$1501,$K272,'Daily Sale entry '!$Q$2:$Q$1501,"Collection 收款",'Daily Sale entry '!$O$2:$O$1501,"&lt;"&amp;$B$2)-SUMIFS('Daily Sale entry '!$AC$2:$AC$1501,'Daily Sale entry '!$AA$2:$AA$1501,$K272,'Daily Sale entry '!$Z$2:$Z$1501,"Online collection 网上收款",'Daily Sale entry '!$X$2:$X$1501,"&lt;"&amp;$B$2)-SUMIFS('Debtor Ledger'!$K$2:$K$3001,'Debtor Ledger'!$C$2:$C$3001,$K272,'Debtor Ledger'!$B$2:$B$3001,"&lt;"&amp;$B$2),2)))</f>
        <v/>
      </c>
      <c r="M272" s="24">
        <f>IF($K272="","",IF($B$2="","",SUMIFS('Daily Sale entry '!$S$2:$S$1501,'Daily Sale entry '!$P$2:$P$1501,$K272,'Daily Sale entry '!$Q$2:$Q$1501,"Credit Sale 赊销",'Daily Sale entry '!$O$2:$O$1501,$B$2)))</f>
        <v/>
      </c>
      <c r="N272" s="24">
        <f>IF($K272="","",IF($B$2="","",SUMIFS('Daily Sale entry '!$S$2:$S$1501,'Daily Sale entry '!$P$2:$P$1501,$K272,'Daily Sale entry '!$Q$2:$Q$1501,"Collection 收款",'Daily Sale entry '!$R$2:$R$1501,"Cash 现金",'Daily Sale entry '!$O$2:$O$1501,$B$2)))</f>
        <v/>
      </c>
      <c r="O272" s="24">
        <f>IF($K272="","",IF($B$2="","",SUMIFS('Daily Sale entry '!$S$2:$S$1501,'Daily Sale entry '!$P$2:$P$1501,$K272,'Daily Sale entry '!$Q$2:$Q$1501,"Collection 收款",'Daily Sale entry '!$R$2:$R$1501,"Cheque 支票",'Daily Sale entry '!$O$2:$O$1501,$B$2)))</f>
        <v/>
      </c>
      <c r="P272" s="24">
        <f>IF($K272="","",IF($B$2="","",SUMIFS('Daily Sale entry '!$AC$2:$AC$1501,'Daily Sale entry '!$AA$2:$AA$1501,$K272,'Daily Sale entry '!$Z$2:$Z$1501,"Online collection 网上收款",'Daily Sale entry '!$X$2:$X$1501,$B$2)))</f>
        <v/>
      </c>
      <c r="Q272" s="24">
        <f>IF($K272="","",IF($B$2="","",SUMIFS('Debtor Ledger'!$K$2:$K$3001,'Debtor Ledger'!$C$2:$C$3001,$K272,'Debtor Ledger'!$B$2:$B$3001,$B$2)))</f>
        <v/>
      </c>
      <c r="R272" s="24">
        <f>IF($K272="","",IF($B$2="","",ROUND(L272+M272-N272-O272-P272-Q272,2)))</f>
        <v/>
      </c>
      <c r="S272" s="21">
        <f>IF(K272="","",IF($B$2="","",IF(ABS(M272)+ABS(N272)+ABS(O272)+ABS(P272)+ABS(Q272)&gt;0,1,0)))</f>
        <v/>
      </c>
      <c r="T272" s="21">
        <f>IF(S272=1,SUM($S$6:S272),"")</f>
        <v/>
      </c>
    </row>
    <row r="273">
      <c r="A273">
        <f>IF($I273="","",INDEX(K$6:K$305,$I273))</f>
        <v/>
      </c>
      <c r="B273" s="6">
        <f>IF($I273="","",INDEX(L$6:L$305,$I273))</f>
        <v/>
      </c>
      <c r="C273" s="6">
        <f>IF($I273="","",INDEX(M$6:M$305,$I273))</f>
        <v/>
      </c>
      <c r="D273" s="6">
        <f>IF($I273="","",INDEX(N$6:N$305,$I273))</f>
        <v/>
      </c>
      <c r="E273" s="6">
        <f>IF($I273="","",INDEX(O$6:O$305,$I273))</f>
        <v/>
      </c>
      <c r="F273" s="6">
        <f>IF($I273="","",INDEX(P$6:P$305,$I273))</f>
        <v/>
      </c>
      <c r="G273" s="6">
        <f>IF($I273="","",INDEX(Q$6:Q$305,$I273))</f>
        <v/>
      </c>
      <c r="H273" s="6">
        <f>IF($I273="","",INDEX(R$6:R$305,$I273))</f>
        <v/>
      </c>
      <c r="I273" s="21">
        <f>IFERROR(MATCH(268,$T$6:$T$305,0),"")</f>
        <v/>
      </c>
      <c r="K273" s="21">
        <f>IF('Debtor Summary'!A272="","",'Debtor Summary'!A272)</f>
        <v/>
      </c>
      <c r="L273" s="24">
        <f>IF($K273="","",IF($B$2="","",ROUND(SUMIFS('Opening Balance'!$F$4:$F$303,'Opening Balance'!$G$4:$G$303,$K273)+SUMIFS('Daily Sale entry '!$S$2:$S$1501,'Daily Sale entry '!$P$2:$P$1501,$K273,'Daily Sale entry '!$Q$2:$Q$1501,"Credit Sale 赊销",'Daily Sale entry '!$O$2:$O$1501,"&lt;"&amp;$B$2)-SUMIFS('Daily Sale entry '!$S$2:$S$1501,'Daily Sale entry '!$P$2:$P$1501,$K273,'Daily Sale entry '!$Q$2:$Q$1501,"Collection 收款",'Daily Sale entry '!$O$2:$O$1501,"&lt;"&amp;$B$2)-SUMIFS('Daily Sale entry '!$AC$2:$AC$1501,'Daily Sale entry '!$AA$2:$AA$1501,$K273,'Daily Sale entry '!$Z$2:$Z$1501,"Online collection 网上收款",'Daily Sale entry '!$X$2:$X$1501,"&lt;"&amp;$B$2)-SUMIFS('Debtor Ledger'!$K$2:$K$3001,'Debtor Ledger'!$C$2:$C$3001,$K273,'Debtor Ledger'!$B$2:$B$3001,"&lt;"&amp;$B$2),2)))</f>
        <v/>
      </c>
      <c r="M273" s="24">
        <f>IF($K273="","",IF($B$2="","",SUMIFS('Daily Sale entry '!$S$2:$S$1501,'Daily Sale entry '!$P$2:$P$1501,$K273,'Daily Sale entry '!$Q$2:$Q$1501,"Credit Sale 赊销",'Daily Sale entry '!$O$2:$O$1501,$B$2)))</f>
        <v/>
      </c>
      <c r="N273" s="24">
        <f>IF($K273="","",IF($B$2="","",SUMIFS('Daily Sale entry '!$S$2:$S$1501,'Daily Sale entry '!$P$2:$P$1501,$K273,'Daily Sale entry '!$Q$2:$Q$1501,"Collection 收款",'Daily Sale entry '!$R$2:$R$1501,"Cash 现金",'Daily Sale entry '!$O$2:$O$1501,$B$2)))</f>
        <v/>
      </c>
      <c r="O273" s="24">
        <f>IF($K273="","",IF($B$2="","",SUMIFS('Daily Sale entry '!$S$2:$S$1501,'Daily Sale entry '!$P$2:$P$1501,$K273,'Daily Sale entry '!$Q$2:$Q$1501,"Collection 收款",'Daily Sale entry '!$R$2:$R$1501,"Cheque 支票",'Daily Sale entry '!$O$2:$O$1501,$B$2)))</f>
        <v/>
      </c>
      <c r="P273" s="24">
        <f>IF($K273="","",IF($B$2="","",SUMIFS('Daily Sale entry '!$AC$2:$AC$1501,'Daily Sale entry '!$AA$2:$AA$1501,$K273,'Daily Sale entry '!$Z$2:$Z$1501,"Online collection 网上收款",'Daily Sale entry '!$X$2:$X$1501,$B$2)))</f>
        <v/>
      </c>
      <c r="Q273" s="24">
        <f>IF($K273="","",IF($B$2="","",SUMIFS('Debtor Ledger'!$K$2:$K$3001,'Debtor Ledger'!$C$2:$C$3001,$K273,'Debtor Ledger'!$B$2:$B$3001,$B$2)))</f>
        <v/>
      </c>
      <c r="R273" s="24">
        <f>IF($K273="","",IF($B$2="","",ROUND(L273+M273-N273-O273-P273-Q273,2)))</f>
        <v/>
      </c>
      <c r="S273" s="21">
        <f>IF(K273="","",IF($B$2="","",IF(ABS(M273)+ABS(N273)+ABS(O273)+ABS(P273)+ABS(Q273)&gt;0,1,0)))</f>
        <v/>
      </c>
      <c r="T273" s="21">
        <f>IF(S273=1,SUM($S$6:S273),"")</f>
        <v/>
      </c>
    </row>
    <row r="274">
      <c r="A274">
        <f>IF($I274="","",INDEX(K$6:K$305,$I274))</f>
        <v/>
      </c>
      <c r="B274" s="6">
        <f>IF($I274="","",INDEX(L$6:L$305,$I274))</f>
        <v/>
      </c>
      <c r="C274" s="6">
        <f>IF($I274="","",INDEX(M$6:M$305,$I274))</f>
        <v/>
      </c>
      <c r="D274" s="6">
        <f>IF($I274="","",INDEX(N$6:N$305,$I274))</f>
        <v/>
      </c>
      <c r="E274" s="6">
        <f>IF($I274="","",INDEX(O$6:O$305,$I274))</f>
        <v/>
      </c>
      <c r="F274" s="6">
        <f>IF($I274="","",INDEX(P$6:P$305,$I274))</f>
        <v/>
      </c>
      <c r="G274" s="6">
        <f>IF($I274="","",INDEX(Q$6:Q$305,$I274))</f>
        <v/>
      </c>
      <c r="H274" s="6">
        <f>IF($I274="","",INDEX(R$6:R$305,$I274))</f>
        <v/>
      </c>
      <c r="I274" s="21">
        <f>IFERROR(MATCH(269,$T$6:$T$305,0),"")</f>
        <v/>
      </c>
      <c r="K274" s="21">
        <f>IF('Debtor Summary'!A273="","",'Debtor Summary'!A273)</f>
        <v/>
      </c>
      <c r="L274" s="24">
        <f>IF($K274="","",IF($B$2="","",ROUND(SUMIFS('Opening Balance'!$F$4:$F$303,'Opening Balance'!$G$4:$G$303,$K274)+SUMIFS('Daily Sale entry '!$S$2:$S$1501,'Daily Sale entry '!$P$2:$P$1501,$K274,'Daily Sale entry '!$Q$2:$Q$1501,"Credit Sale 赊销",'Daily Sale entry '!$O$2:$O$1501,"&lt;"&amp;$B$2)-SUMIFS('Daily Sale entry '!$S$2:$S$1501,'Daily Sale entry '!$P$2:$P$1501,$K274,'Daily Sale entry '!$Q$2:$Q$1501,"Collection 收款",'Daily Sale entry '!$O$2:$O$1501,"&lt;"&amp;$B$2)-SUMIFS('Daily Sale entry '!$AC$2:$AC$1501,'Daily Sale entry '!$AA$2:$AA$1501,$K274,'Daily Sale entry '!$Z$2:$Z$1501,"Online collection 网上收款",'Daily Sale entry '!$X$2:$X$1501,"&lt;"&amp;$B$2)-SUMIFS('Debtor Ledger'!$K$2:$K$3001,'Debtor Ledger'!$C$2:$C$3001,$K274,'Debtor Ledger'!$B$2:$B$3001,"&lt;"&amp;$B$2),2)))</f>
        <v/>
      </c>
      <c r="M274" s="24">
        <f>IF($K274="","",IF($B$2="","",SUMIFS('Daily Sale entry '!$S$2:$S$1501,'Daily Sale entry '!$P$2:$P$1501,$K274,'Daily Sale entry '!$Q$2:$Q$1501,"Credit Sale 赊销",'Daily Sale entry '!$O$2:$O$1501,$B$2)))</f>
        <v/>
      </c>
      <c r="N274" s="24">
        <f>IF($K274="","",IF($B$2="","",SUMIFS('Daily Sale entry '!$S$2:$S$1501,'Daily Sale entry '!$P$2:$P$1501,$K274,'Daily Sale entry '!$Q$2:$Q$1501,"Collection 收款",'Daily Sale entry '!$R$2:$R$1501,"Cash 现金",'Daily Sale entry '!$O$2:$O$1501,$B$2)))</f>
        <v/>
      </c>
      <c r="O274" s="24">
        <f>IF($K274="","",IF($B$2="","",SUMIFS('Daily Sale entry '!$S$2:$S$1501,'Daily Sale entry '!$P$2:$P$1501,$K274,'Daily Sale entry '!$Q$2:$Q$1501,"Collection 收款",'Daily Sale entry '!$R$2:$R$1501,"Cheque 支票",'Daily Sale entry '!$O$2:$O$1501,$B$2)))</f>
        <v/>
      </c>
      <c r="P274" s="24">
        <f>IF($K274="","",IF($B$2="","",SUMIFS('Daily Sale entry '!$AC$2:$AC$1501,'Daily Sale entry '!$AA$2:$AA$1501,$K274,'Daily Sale entry '!$Z$2:$Z$1501,"Online collection 网上收款",'Daily Sale entry '!$X$2:$X$1501,$B$2)))</f>
        <v/>
      </c>
      <c r="Q274" s="24">
        <f>IF($K274="","",IF($B$2="","",SUMIFS('Debtor Ledger'!$K$2:$K$3001,'Debtor Ledger'!$C$2:$C$3001,$K274,'Debtor Ledger'!$B$2:$B$3001,$B$2)))</f>
        <v/>
      </c>
      <c r="R274" s="24">
        <f>IF($K274="","",IF($B$2="","",ROUND(L274+M274-N274-O274-P274-Q274,2)))</f>
        <v/>
      </c>
      <c r="S274" s="21">
        <f>IF(K274="","",IF($B$2="","",IF(ABS(M274)+ABS(N274)+ABS(O274)+ABS(P274)+ABS(Q274)&gt;0,1,0)))</f>
        <v/>
      </c>
      <c r="T274" s="21">
        <f>IF(S274=1,SUM($S$6:S274),"")</f>
        <v/>
      </c>
    </row>
    <row r="275">
      <c r="A275">
        <f>IF($I275="","",INDEX(K$6:K$305,$I275))</f>
        <v/>
      </c>
      <c r="B275" s="6">
        <f>IF($I275="","",INDEX(L$6:L$305,$I275))</f>
        <v/>
      </c>
      <c r="C275" s="6">
        <f>IF($I275="","",INDEX(M$6:M$305,$I275))</f>
        <v/>
      </c>
      <c r="D275" s="6">
        <f>IF($I275="","",INDEX(N$6:N$305,$I275))</f>
        <v/>
      </c>
      <c r="E275" s="6">
        <f>IF($I275="","",INDEX(O$6:O$305,$I275))</f>
        <v/>
      </c>
      <c r="F275" s="6">
        <f>IF($I275="","",INDEX(P$6:P$305,$I275))</f>
        <v/>
      </c>
      <c r="G275" s="6">
        <f>IF($I275="","",INDEX(Q$6:Q$305,$I275))</f>
        <v/>
      </c>
      <c r="H275" s="6">
        <f>IF($I275="","",INDEX(R$6:R$305,$I275))</f>
        <v/>
      </c>
      <c r="I275" s="21">
        <f>IFERROR(MATCH(270,$T$6:$T$305,0),"")</f>
        <v/>
      </c>
      <c r="K275" s="21">
        <f>IF('Debtor Summary'!A274="","",'Debtor Summary'!A274)</f>
        <v/>
      </c>
      <c r="L275" s="24">
        <f>IF($K275="","",IF($B$2="","",ROUND(SUMIFS('Opening Balance'!$F$4:$F$303,'Opening Balance'!$G$4:$G$303,$K275)+SUMIFS('Daily Sale entry '!$S$2:$S$1501,'Daily Sale entry '!$P$2:$P$1501,$K275,'Daily Sale entry '!$Q$2:$Q$1501,"Credit Sale 赊销",'Daily Sale entry '!$O$2:$O$1501,"&lt;"&amp;$B$2)-SUMIFS('Daily Sale entry '!$S$2:$S$1501,'Daily Sale entry '!$P$2:$P$1501,$K275,'Daily Sale entry '!$Q$2:$Q$1501,"Collection 收款",'Daily Sale entry '!$O$2:$O$1501,"&lt;"&amp;$B$2)-SUMIFS('Daily Sale entry '!$AC$2:$AC$1501,'Daily Sale entry '!$AA$2:$AA$1501,$K275,'Daily Sale entry '!$Z$2:$Z$1501,"Online collection 网上收款",'Daily Sale entry '!$X$2:$X$1501,"&lt;"&amp;$B$2)-SUMIFS('Debtor Ledger'!$K$2:$K$3001,'Debtor Ledger'!$C$2:$C$3001,$K275,'Debtor Ledger'!$B$2:$B$3001,"&lt;"&amp;$B$2),2)))</f>
        <v/>
      </c>
      <c r="M275" s="24">
        <f>IF($K275="","",IF($B$2="","",SUMIFS('Daily Sale entry '!$S$2:$S$1501,'Daily Sale entry '!$P$2:$P$1501,$K275,'Daily Sale entry '!$Q$2:$Q$1501,"Credit Sale 赊销",'Daily Sale entry '!$O$2:$O$1501,$B$2)))</f>
        <v/>
      </c>
      <c r="N275" s="24">
        <f>IF($K275="","",IF($B$2="","",SUMIFS('Daily Sale entry '!$S$2:$S$1501,'Daily Sale entry '!$P$2:$P$1501,$K275,'Daily Sale entry '!$Q$2:$Q$1501,"Collection 收款",'Daily Sale entry '!$R$2:$R$1501,"Cash 现金",'Daily Sale entry '!$O$2:$O$1501,$B$2)))</f>
        <v/>
      </c>
      <c r="O275" s="24">
        <f>IF($K275="","",IF($B$2="","",SUMIFS('Daily Sale entry '!$S$2:$S$1501,'Daily Sale entry '!$P$2:$P$1501,$K275,'Daily Sale entry '!$Q$2:$Q$1501,"Collection 收款",'Daily Sale entry '!$R$2:$R$1501,"Cheque 支票",'Daily Sale entry '!$O$2:$O$1501,$B$2)))</f>
        <v/>
      </c>
      <c r="P275" s="24">
        <f>IF($K275="","",IF($B$2="","",SUMIFS('Daily Sale entry '!$AC$2:$AC$1501,'Daily Sale entry '!$AA$2:$AA$1501,$K275,'Daily Sale entry '!$Z$2:$Z$1501,"Online collection 网上收款",'Daily Sale entry '!$X$2:$X$1501,$B$2)))</f>
        <v/>
      </c>
      <c r="Q275" s="24">
        <f>IF($K275="","",IF($B$2="","",SUMIFS('Debtor Ledger'!$K$2:$K$3001,'Debtor Ledger'!$C$2:$C$3001,$K275,'Debtor Ledger'!$B$2:$B$3001,$B$2)))</f>
        <v/>
      </c>
      <c r="R275" s="24">
        <f>IF($K275="","",IF($B$2="","",ROUND(L275+M275-N275-O275-P275-Q275,2)))</f>
        <v/>
      </c>
      <c r="S275" s="21">
        <f>IF(K275="","",IF($B$2="","",IF(ABS(M275)+ABS(N275)+ABS(O275)+ABS(P275)+ABS(Q275)&gt;0,1,0)))</f>
        <v/>
      </c>
      <c r="T275" s="21">
        <f>IF(S275=1,SUM($S$6:S275),"")</f>
        <v/>
      </c>
    </row>
    <row r="276">
      <c r="A276">
        <f>IF($I276="","",INDEX(K$6:K$305,$I276))</f>
        <v/>
      </c>
      <c r="B276" s="6">
        <f>IF($I276="","",INDEX(L$6:L$305,$I276))</f>
        <v/>
      </c>
      <c r="C276" s="6">
        <f>IF($I276="","",INDEX(M$6:M$305,$I276))</f>
        <v/>
      </c>
      <c r="D276" s="6">
        <f>IF($I276="","",INDEX(N$6:N$305,$I276))</f>
        <v/>
      </c>
      <c r="E276" s="6">
        <f>IF($I276="","",INDEX(O$6:O$305,$I276))</f>
        <v/>
      </c>
      <c r="F276" s="6">
        <f>IF($I276="","",INDEX(P$6:P$305,$I276))</f>
        <v/>
      </c>
      <c r="G276" s="6">
        <f>IF($I276="","",INDEX(Q$6:Q$305,$I276))</f>
        <v/>
      </c>
      <c r="H276" s="6">
        <f>IF($I276="","",INDEX(R$6:R$305,$I276))</f>
        <v/>
      </c>
      <c r="I276" s="21">
        <f>IFERROR(MATCH(271,$T$6:$T$305,0),"")</f>
        <v/>
      </c>
      <c r="K276" s="21">
        <f>IF('Debtor Summary'!A275="","",'Debtor Summary'!A275)</f>
        <v/>
      </c>
      <c r="L276" s="24">
        <f>IF($K276="","",IF($B$2="","",ROUND(SUMIFS('Opening Balance'!$F$4:$F$303,'Opening Balance'!$G$4:$G$303,$K276)+SUMIFS('Daily Sale entry '!$S$2:$S$1501,'Daily Sale entry '!$P$2:$P$1501,$K276,'Daily Sale entry '!$Q$2:$Q$1501,"Credit Sale 赊销",'Daily Sale entry '!$O$2:$O$1501,"&lt;"&amp;$B$2)-SUMIFS('Daily Sale entry '!$S$2:$S$1501,'Daily Sale entry '!$P$2:$P$1501,$K276,'Daily Sale entry '!$Q$2:$Q$1501,"Collection 收款",'Daily Sale entry '!$O$2:$O$1501,"&lt;"&amp;$B$2)-SUMIFS('Daily Sale entry '!$AC$2:$AC$1501,'Daily Sale entry '!$AA$2:$AA$1501,$K276,'Daily Sale entry '!$Z$2:$Z$1501,"Online collection 网上收款",'Daily Sale entry '!$X$2:$X$1501,"&lt;"&amp;$B$2)-SUMIFS('Debtor Ledger'!$K$2:$K$3001,'Debtor Ledger'!$C$2:$C$3001,$K276,'Debtor Ledger'!$B$2:$B$3001,"&lt;"&amp;$B$2),2)))</f>
        <v/>
      </c>
      <c r="M276" s="24">
        <f>IF($K276="","",IF($B$2="","",SUMIFS('Daily Sale entry '!$S$2:$S$1501,'Daily Sale entry '!$P$2:$P$1501,$K276,'Daily Sale entry '!$Q$2:$Q$1501,"Credit Sale 赊销",'Daily Sale entry '!$O$2:$O$1501,$B$2)))</f>
        <v/>
      </c>
      <c r="N276" s="24">
        <f>IF($K276="","",IF($B$2="","",SUMIFS('Daily Sale entry '!$S$2:$S$1501,'Daily Sale entry '!$P$2:$P$1501,$K276,'Daily Sale entry '!$Q$2:$Q$1501,"Collection 收款",'Daily Sale entry '!$R$2:$R$1501,"Cash 现金",'Daily Sale entry '!$O$2:$O$1501,$B$2)))</f>
        <v/>
      </c>
      <c r="O276" s="24">
        <f>IF($K276="","",IF($B$2="","",SUMIFS('Daily Sale entry '!$S$2:$S$1501,'Daily Sale entry '!$P$2:$P$1501,$K276,'Daily Sale entry '!$Q$2:$Q$1501,"Collection 收款",'Daily Sale entry '!$R$2:$R$1501,"Cheque 支票",'Daily Sale entry '!$O$2:$O$1501,$B$2)))</f>
        <v/>
      </c>
      <c r="P276" s="24">
        <f>IF($K276="","",IF($B$2="","",SUMIFS('Daily Sale entry '!$AC$2:$AC$1501,'Daily Sale entry '!$AA$2:$AA$1501,$K276,'Daily Sale entry '!$Z$2:$Z$1501,"Online collection 网上收款",'Daily Sale entry '!$X$2:$X$1501,$B$2)))</f>
        <v/>
      </c>
      <c r="Q276" s="24">
        <f>IF($K276="","",IF($B$2="","",SUMIFS('Debtor Ledger'!$K$2:$K$3001,'Debtor Ledger'!$C$2:$C$3001,$K276,'Debtor Ledger'!$B$2:$B$3001,$B$2)))</f>
        <v/>
      </c>
      <c r="R276" s="24">
        <f>IF($K276="","",IF($B$2="","",ROUND(L276+M276-N276-O276-P276-Q276,2)))</f>
        <v/>
      </c>
      <c r="S276" s="21">
        <f>IF(K276="","",IF($B$2="","",IF(ABS(M276)+ABS(N276)+ABS(O276)+ABS(P276)+ABS(Q276)&gt;0,1,0)))</f>
        <v/>
      </c>
      <c r="T276" s="21">
        <f>IF(S276=1,SUM($S$6:S276),"")</f>
        <v/>
      </c>
    </row>
    <row r="277">
      <c r="A277">
        <f>IF($I277="","",INDEX(K$6:K$305,$I277))</f>
        <v/>
      </c>
      <c r="B277" s="6">
        <f>IF($I277="","",INDEX(L$6:L$305,$I277))</f>
        <v/>
      </c>
      <c r="C277" s="6">
        <f>IF($I277="","",INDEX(M$6:M$305,$I277))</f>
        <v/>
      </c>
      <c r="D277" s="6">
        <f>IF($I277="","",INDEX(N$6:N$305,$I277))</f>
        <v/>
      </c>
      <c r="E277" s="6">
        <f>IF($I277="","",INDEX(O$6:O$305,$I277))</f>
        <v/>
      </c>
      <c r="F277" s="6">
        <f>IF($I277="","",INDEX(P$6:P$305,$I277))</f>
        <v/>
      </c>
      <c r="G277" s="6">
        <f>IF($I277="","",INDEX(Q$6:Q$305,$I277))</f>
        <v/>
      </c>
      <c r="H277" s="6">
        <f>IF($I277="","",INDEX(R$6:R$305,$I277))</f>
        <v/>
      </c>
      <c r="I277" s="21">
        <f>IFERROR(MATCH(272,$T$6:$T$305,0),"")</f>
        <v/>
      </c>
      <c r="K277" s="21">
        <f>IF('Debtor Summary'!A276="","",'Debtor Summary'!A276)</f>
        <v/>
      </c>
      <c r="L277" s="24">
        <f>IF($K277="","",IF($B$2="","",ROUND(SUMIFS('Opening Balance'!$F$4:$F$303,'Opening Balance'!$G$4:$G$303,$K277)+SUMIFS('Daily Sale entry '!$S$2:$S$1501,'Daily Sale entry '!$P$2:$P$1501,$K277,'Daily Sale entry '!$Q$2:$Q$1501,"Credit Sale 赊销",'Daily Sale entry '!$O$2:$O$1501,"&lt;"&amp;$B$2)-SUMIFS('Daily Sale entry '!$S$2:$S$1501,'Daily Sale entry '!$P$2:$P$1501,$K277,'Daily Sale entry '!$Q$2:$Q$1501,"Collection 收款",'Daily Sale entry '!$O$2:$O$1501,"&lt;"&amp;$B$2)-SUMIFS('Daily Sale entry '!$AC$2:$AC$1501,'Daily Sale entry '!$AA$2:$AA$1501,$K277,'Daily Sale entry '!$Z$2:$Z$1501,"Online collection 网上收款",'Daily Sale entry '!$X$2:$X$1501,"&lt;"&amp;$B$2)-SUMIFS('Debtor Ledger'!$K$2:$K$3001,'Debtor Ledger'!$C$2:$C$3001,$K277,'Debtor Ledger'!$B$2:$B$3001,"&lt;"&amp;$B$2),2)))</f>
        <v/>
      </c>
      <c r="M277" s="24">
        <f>IF($K277="","",IF($B$2="","",SUMIFS('Daily Sale entry '!$S$2:$S$1501,'Daily Sale entry '!$P$2:$P$1501,$K277,'Daily Sale entry '!$Q$2:$Q$1501,"Credit Sale 赊销",'Daily Sale entry '!$O$2:$O$1501,$B$2)))</f>
        <v/>
      </c>
      <c r="N277" s="24">
        <f>IF($K277="","",IF($B$2="","",SUMIFS('Daily Sale entry '!$S$2:$S$1501,'Daily Sale entry '!$P$2:$P$1501,$K277,'Daily Sale entry '!$Q$2:$Q$1501,"Collection 收款",'Daily Sale entry '!$R$2:$R$1501,"Cash 现金",'Daily Sale entry '!$O$2:$O$1501,$B$2)))</f>
        <v/>
      </c>
      <c r="O277" s="24">
        <f>IF($K277="","",IF($B$2="","",SUMIFS('Daily Sale entry '!$S$2:$S$1501,'Daily Sale entry '!$P$2:$P$1501,$K277,'Daily Sale entry '!$Q$2:$Q$1501,"Collection 收款",'Daily Sale entry '!$R$2:$R$1501,"Cheque 支票",'Daily Sale entry '!$O$2:$O$1501,$B$2)))</f>
        <v/>
      </c>
      <c r="P277" s="24">
        <f>IF($K277="","",IF($B$2="","",SUMIFS('Daily Sale entry '!$AC$2:$AC$1501,'Daily Sale entry '!$AA$2:$AA$1501,$K277,'Daily Sale entry '!$Z$2:$Z$1501,"Online collection 网上收款",'Daily Sale entry '!$X$2:$X$1501,$B$2)))</f>
        <v/>
      </c>
      <c r="Q277" s="24">
        <f>IF($K277="","",IF($B$2="","",SUMIFS('Debtor Ledger'!$K$2:$K$3001,'Debtor Ledger'!$C$2:$C$3001,$K277,'Debtor Ledger'!$B$2:$B$3001,$B$2)))</f>
        <v/>
      </c>
      <c r="R277" s="24">
        <f>IF($K277="","",IF($B$2="","",ROUND(L277+M277-N277-O277-P277-Q277,2)))</f>
        <v/>
      </c>
      <c r="S277" s="21">
        <f>IF(K277="","",IF($B$2="","",IF(ABS(M277)+ABS(N277)+ABS(O277)+ABS(P277)+ABS(Q277)&gt;0,1,0)))</f>
        <v/>
      </c>
      <c r="T277" s="21">
        <f>IF(S277=1,SUM($S$6:S277),"")</f>
        <v/>
      </c>
    </row>
    <row r="278">
      <c r="A278">
        <f>IF($I278="","",INDEX(K$6:K$305,$I278))</f>
        <v/>
      </c>
      <c r="B278" s="6">
        <f>IF($I278="","",INDEX(L$6:L$305,$I278))</f>
        <v/>
      </c>
      <c r="C278" s="6">
        <f>IF($I278="","",INDEX(M$6:M$305,$I278))</f>
        <v/>
      </c>
      <c r="D278" s="6">
        <f>IF($I278="","",INDEX(N$6:N$305,$I278))</f>
        <v/>
      </c>
      <c r="E278" s="6">
        <f>IF($I278="","",INDEX(O$6:O$305,$I278))</f>
        <v/>
      </c>
      <c r="F278" s="6">
        <f>IF($I278="","",INDEX(P$6:P$305,$I278))</f>
        <v/>
      </c>
      <c r="G278" s="6">
        <f>IF($I278="","",INDEX(Q$6:Q$305,$I278))</f>
        <v/>
      </c>
      <c r="H278" s="6">
        <f>IF($I278="","",INDEX(R$6:R$305,$I278))</f>
        <v/>
      </c>
      <c r="I278" s="21">
        <f>IFERROR(MATCH(273,$T$6:$T$305,0),"")</f>
        <v/>
      </c>
      <c r="K278" s="21">
        <f>IF('Debtor Summary'!A277="","",'Debtor Summary'!A277)</f>
        <v/>
      </c>
      <c r="L278" s="24">
        <f>IF($K278="","",IF($B$2="","",ROUND(SUMIFS('Opening Balance'!$F$4:$F$303,'Opening Balance'!$G$4:$G$303,$K278)+SUMIFS('Daily Sale entry '!$S$2:$S$1501,'Daily Sale entry '!$P$2:$P$1501,$K278,'Daily Sale entry '!$Q$2:$Q$1501,"Credit Sale 赊销",'Daily Sale entry '!$O$2:$O$1501,"&lt;"&amp;$B$2)-SUMIFS('Daily Sale entry '!$S$2:$S$1501,'Daily Sale entry '!$P$2:$P$1501,$K278,'Daily Sale entry '!$Q$2:$Q$1501,"Collection 收款",'Daily Sale entry '!$O$2:$O$1501,"&lt;"&amp;$B$2)-SUMIFS('Daily Sale entry '!$AC$2:$AC$1501,'Daily Sale entry '!$AA$2:$AA$1501,$K278,'Daily Sale entry '!$Z$2:$Z$1501,"Online collection 网上收款",'Daily Sale entry '!$X$2:$X$1501,"&lt;"&amp;$B$2)-SUMIFS('Debtor Ledger'!$K$2:$K$3001,'Debtor Ledger'!$C$2:$C$3001,$K278,'Debtor Ledger'!$B$2:$B$3001,"&lt;"&amp;$B$2),2)))</f>
        <v/>
      </c>
      <c r="M278" s="24">
        <f>IF($K278="","",IF($B$2="","",SUMIFS('Daily Sale entry '!$S$2:$S$1501,'Daily Sale entry '!$P$2:$P$1501,$K278,'Daily Sale entry '!$Q$2:$Q$1501,"Credit Sale 赊销",'Daily Sale entry '!$O$2:$O$1501,$B$2)))</f>
        <v/>
      </c>
      <c r="N278" s="24">
        <f>IF($K278="","",IF($B$2="","",SUMIFS('Daily Sale entry '!$S$2:$S$1501,'Daily Sale entry '!$P$2:$P$1501,$K278,'Daily Sale entry '!$Q$2:$Q$1501,"Collection 收款",'Daily Sale entry '!$R$2:$R$1501,"Cash 现金",'Daily Sale entry '!$O$2:$O$1501,$B$2)))</f>
        <v/>
      </c>
      <c r="O278" s="24">
        <f>IF($K278="","",IF($B$2="","",SUMIFS('Daily Sale entry '!$S$2:$S$1501,'Daily Sale entry '!$P$2:$P$1501,$K278,'Daily Sale entry '!$Q$2:$Q$1501,"Collection 收款",'Daily Sale entry '!$R$2:$R$1501,"Cheque 支票",'Daily Sale entry '!$O$2:$O$1501,$B$2)))</f>
        <v/>
      </c>
      <c r="P278" s="24">
        <f>IF($K278="","",IF($B$2="","",SUMIFS('Daily Sale entry '!$AC$2:$AC$1501,'Daily Sale entry '!$AA$2:$AA$1501,$K278,'Daily Sale entry '!$Z$2:$Z$1501,"Online collection 网上收款",'Daily Sale entry '!$X$2:$X$1501,$B$2)))</f>
        <v/>
      </c>
      <c r="Q278" s="24">
        <f>IF($K278="","",IF($B$2="","",SUMIFS('Debtor Ledger'!$K$2:$K$3001,'Debtor Ledger'!$C$2:$C$3001,$K278,'Debtor Ledger'!$B$2:$B$3001,$B$2)))</f>
        <v/>
      </c>
      <c r="R278" s="24">
        <f>IF($K278="","",IF($B$2="","",ROUND(L278+M278-N278-O278-P278-Q278,2)))</f>
        <v/>
      </c>
      <c r="S278" s="21">
        <f>IF(K278="","",IF($B$2="","",IF(ABS(M278)+ABS(N278)+ABS(O278)+ABS(P278)+ABS(Q278)&gt;0,1,0)))</f>
        <v/>
      </c>
      <c r="T278" s="21">
        <f>IF(S278=1,SUM($S$6:S278),"")</f>
        <v/>
      </c>
    </row>
    <row r="279">
      <c r="A279">
        <f>IF($I279="","",INDEX(K$6:K$305,$I279))</f>
        <v/>
      </c>
      <c r="B279" s="6">
        <f>IF($I279="","",INDEX(L$6:L$305,$I279))</f>
        <v/>
      </c>
      <c r="C279" s="6">
        <f>IF($I279="","",INDEX(M$6:M$305,$I279))</f>
        <v/>
      </c>
      <c r="D279" s="6">
        <f>IF($I279="","",INDEX(N$6:N$305,$I279))</f>
        <v/>
      </c>
      <c r="E279" s="6">
        <f>IF($I279="","",INDEX(O$6:O$305,$I279))</f>
        <v/>
      </c>
      <c r="F279" s="6">
        <f>IF($I279="","",INDEX(P$6:P$305,$I279))</f>
        <v/>
      </c>
      <c r="G279" s="6">
        <f>IF($I279="","",INDEX(Q$6:Q$305,$I279))</f>
        <v/>
      </c>
      <c r="H279" s="6">
        <f>IF($I279="","",INDEX(R$6:R$305,$I279))</f>
        <v/>
      </c>
      <c r="I279" s="21">
        <f>IFERROR(MATCH(274,$T$6:$T$305,0),"")</f>
        <v/>
      </c>
      <c r="K279" s="21">
        <f>IF('Debtor Summary'!A278="","",'Debtor Summary'!A278)</f>
        <v/>
      </c>
      <c r="L279" s="24">
        <f>IF($K279="","",IF($B$2="","",ROUND(SUMIFS('Opening Balance'!$F$4:$F$303,'Opening Balance'!$G$4:$G$303,$K279)+SUMIFS('Daily Sale entry '!$S$2:$S$1501,'Daily Sale entry '!$P$2:$P$1501,$K279,'Daily Sale entry '!$Q$2:$Q$1501,"Credit Sale 赊销",'Daily Sale entry '!$O$2:$O$1501,"&lt;"&amp;$B$2)-SUMIFS('Daily Sale entry '!$S$2:$S$1501,'Daily Sale entry '!$P$2:$P$1501,$K279,'Daily Sale entry '!$Q$2:$Q$1501,"Collection 收款",'Daily Sale entry '!$O$2:$O$1501,"&lt;"&amp;$B$2)-SUMIFS('Daily Sale entry '!$AC$2:$AC$1501,'Daily Sale entry '!$AA$2:$AA$1501,$K279,'Daily Sale entry '!$Z$2:$Z$1501,"Online collection 网上收款",'Daily Sale entry '!$X$2:$X$1501,"&lt;"&amp;$B$2)-SUMIFS('Debtor Ledger'!$K$2:$K$3001,'Debtor Ledger'!$C$2:$C$3001,$K279,'Debtor Ledger'!$B$2:$B$3001,"&lt;"&amp;$B$2),2)))</f>
        <v/>
      </c>
      <c r="M279" s="24">
        <f>IF($K279="","",IF($B$2="","",SUMIFS('Daily Sale entry '!$S$2:$S$1501,'Daily Sale entry '!$P$2:$P$1501,$K279,'Daily Sale entry '!$Q$2:$Q$1501,"Credit Sale 赊销",'Daily Sale entry '!$O$2:$O$1501,$B$2)))</f>
        <v/>
      </c>
      <c r="N279" s="24">
        <f>IF($K279="","",IF($B$2="","",SUMIFS('Daily Sale entry '!$S$2:$S$1501,'Daily Sale entry '!$P$2:$P$1501,$K279,'Daily Sale entry '!$Q$2:$Q$1501,"Collection 收款",'Daily Sale entry '!$R$2:$R$1501,"Cash 现金",'Daily Sale entry '!$O$2:$O$1501,$B$2)))</f>
        <v/>
      </c>
      <c r="O279" s="24">
        <f>IF($K279="","",IF($B$2="","",SUMIFS('Daily Sale entry '!$S$2:$S$1501,'Daily Sale entry '!$P$2:$P$1501,$K279,'Daily Sale entry '!$Q$2:$Q$1501,"Collection 收款",'Daily Sale entry '!$R$2:$R$1501,"Cheque 支票",'Daily Sale entry '!$O$2:$O$1501,$B$2)))</f>
        <v/>
      </c>
      <c r="P279" s="24">
        <f>IF($K279="","",IF($B$2="","",SUMIFS('Daily Sale entry '!$AC$2:$AC$1501,'Daily Sale entry '!$AA$2:$AA$1501,$K279,'Daily Sale entry '!$Z$2:$Z$1501,"Online collection 网上收款",'Daily Sale entry '!$X$2:$X$1501,$B$2)))</f>
        <v/>
      </c>
      <c r="Q279" s="24">
        <f>IF($K279="","",IF($B$2="","",SUMIFS('Debtor Ledger'!$K$2:$K$3001,'Debtor Ledger'!$C$2:$C$3001,$K279,'Debtor Ledger'!$B$2:$B$3001,$B$2)))</f>
        <v/>
      </c>
      <c r="R279" s="24">
        <f>IF($K279="","",IF($B$2="","",ROUND(L279+M279-N279-O279-P279-Q279,2)))</f>
        <v/>
      </c>
      <c r="S279" s="21">
        <f>IF(K279="","",IF($B$2="","",IF(ABS(M279)+ABS(N279)+ABS(O279)+ABS(P279)+ABS(Q279)&gt;0,1,0)))</f>
        <v/>
      </c>
      <c r="T279" s="21">
        <f>IF(S279=1,SUM($S$6:S279),"")</f>
        <v/>
      </c>
    </row>
    <row r="280">
      <c r="A280">
        <f>IF($I280="","",INDEX(K$6:K$305,$I280))</f>
        <v/>
      </c>
      <c r="B280" s="6">
        <f>IF($I280="","",INDEX(L$6:L$305,$I280))</f>
        <v/>
      </c>
      <c r="C280" s="6">
        <f>IF($I280="","",INDEX(M$6:M$305,$I280))</f>
        <v/>
      </c>
      <c r="D280" s="6">
        <f>IF($I280="","",INDEX(N$6:N$305,$I280))</f>
        <v/>
      </c>
      <c r="E280" s="6">
        <f>IF($I280="","",INDEX(O$6:O$305,$I280))</f>
        <v/>
      </c>
      <c r="F280" s="6">
        <f>IF($I280="","",INDEX(P$6:P$305,$I280))</f>
        <v/>
      </c>
      <c r="G280" s="6">
        <f>IF($I280="","",INDEX(Q$6:Q$305,$I280))</f>
        <v/>
      </c>
      <c r="H280" s="6">
        <f>IF($I280="","",INDEX(R$6:R$305,$I280))</f>
        <v/>
      </c>
      <c r="I280" s="21">
        <f>IFERROR(MATCH(275,$T$6:$T$305,0),"")</f>
        <v/>
      </c>
      <c r="K280" s="21">
        <f>IF('Debtor Summary'!A279="","",'Debtor Summary'!A279)</f>
        <v/>
      </c>
      <c r="L280" s="24">
        <f>IF($K280="","",IF($B$2="","",ROUND(SUMIFS('Opening Balance'!$F$4:$F$303,'Opening Balance'!$G$4:$G$303,$K280)+SUMIFS('Daily Sale entry '!$S$2:$S$1501,'Daily Sale entry '!$P$2:$P$1501,$K280,'Daily Sale entry '!$Q$2:$Q$1501,"Credit Sale 赊销",'Daily Sale entry '!$O$2:$O$1501,"&lt;"&amp;$B$2)-SUMIFS('Daily Sale entry '!$S$2:$S$1501,'Daily Sale entry '!$P$2:$P$1501,$K280,'Daily Sale entry '!$Q$2:$Q$1501,"Collection 收款",'Daily Sale entry '!$O$2:$O$1501,"&lt;"&amp;$B$2)-SUMIFS('Daily Sale entry '!$AC$2:$AC$1501,'Daily Sale entry '!$AA$2:$AA$1501,$K280,'Daily Sale entry '!$Z$2:$Z$1501,"Online collection 网上收款",'Daily Sale entry '!$X$2:$X$1501,"&lt;"&amp;$B$2)-SUMIFS('Debtor Ledger'!$K$2:$K$3001,'Debtor Ledger'!$C$2:$C$3001,$K280,'Debtor Ledger'!$B$2:$B$3001,"&lt;"&amp;$B$2),2)))</f>
        <v/>
      </c>
      <c r="M280" s="24">
        <f>IF($K280="","",IF($B$2="","",SUMIFS('Daily Sale entry '!$S$2:$S$1501,'Daily Sale entry '!$P$2:$P$1501,$K280,'Daily Sale entry '!$Q$2:$Q$1501,"Credit Sale 赊销",'Daily Sale entry '!$O$2:$O$1501,$B$2)))</f>
        <v/>
      </c>
      <c r="N280" s="24">
        <f>IF($K280="","",IF($B$2="","",SUMIFS('Daily Sale entry '!$S$2:$S$1501,'Daily Sale entry '!$P$2:$P$1501,$K280,'Daily Sale entry '!$Q$2:$Q$1501,"Collection 收款",'Daily Sale entry '!$R$2:$R$1501,"Cash 现金",'Daily Sale entry '!$O$2:$O$1501,$B$2)))</f>
        <v/>
      </c>
      <c r="O280" s="24">
        <f>IF($K280="","",IF($B$2="","",SUMIFS('Daily Sale entry '!$S$2:$S$1501,'Daily Sale entry '!$P$2:$P$1501,$K280,'Daily Sale entry '!$Q$2:$Q$1501,"Collection 收款",'Daily Sale entry '!$R$2:$R$1501,"Cheque 支票",'Daily Sale entry '!$O$2:$O$1501,$B$2)))</f>
        <v/>
      </c>
      <c r="P280" s="24">
        <f>IF($K280="","",IF($B$2="","",SUMIFS('Daily Sale entry '!$AC$2:$AC$1501,'Daily Sale entry '!$AA$2:$AA$1501,$K280,'Daily Sale entry '!$Z$2:$Z$1501,"Online collection 网上收款",'Daily Sale entry '!$X$2:$X$1501,$B$2)))</f>
        <v/>
      </c>
      <c r="Q280" s="24">
        <f>IF($K280="","",IF($B$2="","",SUMIFS('Debtor Ledger'!$K$2:$K$3001,'Debtor Ledger'!$C$2:$C$3001,$K280,'Debtor Ledger'!$B$2:$B$3001,$B$2)))</f>
        <v/>
      </c>
      <c r="R280" s="24">
        <f>IF($K280="","",IF($B$2="","",ROUND(L280+M280-N280-O280-P280-Q280,2)))</f>
        <v/>
      </c>
      <c r="S280" s="21">
        <f>IF(K280="","",IF($B$2="","",IF(ABS(M280)+ABS(N280)+ABS(O280)+ABS(P280)+ABS(Q280)&gt;0,1,0)))</f>
        <v/>
      </c>
      <c r="T280" s="21">
        <f>IF(S280=1,SUM($S$6:S280),"")</f>
        <v/>
      </c>
    </row>
    <row r="281">
      <c r="A281">
        <f>IF($I281="","",INDEX(K$6:K$305,$I281))</f>
        <v/>
      </c>
      <c r="B281" s="6">
        <f>IF($I281="","",INDEX(L$6:L$305,$I281))</f>
        <v/>
      </c>
      <c r="C281" s="6">
        <f>IF($I281="","",INDEX(M$6:M$305,$I281))</f>
        <v/>
      </c>
      <c r="D281" s="6">
        <f>IF($I281="","",INDEX(N$6:N$305,$I281))</f>
        <v/>
      </c>
      <c r="E281" s="6">
        <f>IF($I281="","",INDEX(O$6:O$305,$I281))</f>
        <v/>
      </c>
      <c r="F281" s="6">
        <f>IF($I281="","",INDEX(P$6:P$305,$I281))</f>
        <v/>
      </c>
      <c r="G281" s="6">
        <f>IF($I281="","",INDEX(Q$6:Q$305,$I281))</f>
        <v/>
      </c>
      <c r="H281" s="6">
        <f>IF($I281="","",INDEX(R$6:R$305,$I281))</f>
        <v/>
      </c>
      <c r="I281" s="21">
        <f>IFERROR(MATCH(276,$T$6:$T$305,0),"")</f>
        <v/>
      </c>
      <c r="K281" s="21">
        <f>IF('Debtor Summary'!A280="","",'Debtor Summary'!A280)</f>
        <v/>
      </c>
      <c r="L281" s="24">
        <f>IF($K281="","",IF($B$2="","",ROUND(SUMIFS('Opening Balance'!$F$4:$F$303,'Opening Balance'!$G$4:$G$303,$K281)+SUMIFS('Daily Sale entry '!$S$2:$S$1501,'Daily Sale entry '!$P$2:$P$1501,$K281,'Daily Sale entry '!$Q$2:$Q$1501,"Credit Sale 赊销",'Daily Sale entry '!$O$2:$O$1501,"&lt;"&amp;$B$2)-SUMIFS('Daily Sale entry '!$S$2:$S$1501,'Daily Sale entry '!$P$2:$P$1501,$K281,'Daily Sale entry '!$Q$2:$Q$1501,"Collection 收款",'Daily Sale entry '!$O$2:$O$1501,"&lt;"&amp;$B$2)-SUMIFS('Daily Sale entry '!$AC$2:$AC$1501,'Daily Sale entry '!$AA$2:$AA$1501,$K281,'Daily Sale entry '!$Z$2:$Z$1501,"Online collection 网上收款",'Daily Sale entry '!$X$2:$X$1501,"&lt;"&amp;$B$2)-SUMIFS('Debtor Ledger'!$K$2:$K$3001,'Debtor Ledger'!$C$2:$C$3001,$K281,'Debtor Ledger'!$B$2:$B$3001,"&lt;"&amp;$B$2),2)))</f>
        <v/>
      </c>
      <c r="M281" s="24">
        <f>IF($K281="","",IF($B$2="","",SUMIFS('Daily Sale entry '!$S$2:$S$1501,'Daily Sale entry '!$P$2:$P$1501,$K281,'Daily Sale entry '!$Q$2:$Q$1501,"Credit Sale 赊销",'Daily Sale entry '!$O$2:$O$1501,$B$2)))</f>
        <v/>
      </c>
      <c r="N281" s="24">
        <f>IF($K281="","",IF($B$2="","",SUMIFS('Daily Sale entry '!$S$2:$S$1501,'Daily Sale entry '!$P$2:$P$1501,$K281,'Daily Sale entry '!$Q$2:$Q$1501,"Collection 收款",'Daily Sale entry '!$R$2:$R$1501,"Cash 现金",'Daily Sale entry '!$O$2:$O$1501,$B$2)))</f>
        <v/>
      </c>
      <c r="O281" s="24">
        <f>IF($K281="","",IF($B$2="","",SUMIFS('Daily Sale entry '!$S$2:$S$1501,'Daily Sale entry '!$P$2:$P$1501,$K281,'Daily Sale entry '!$Q$2:$Q$1501,"Collection 收款",'Daily Sale entry '!$R$2:$R$1501,"Cheque 支票",'Daily Sale entry '!$O$2:$O$1501,$B$2)))</f>
        <v/>
      </c>
      <c r="P281" s="24">
        <f>IF($K281="","",IF($B$2="","",SUMIFS('Daily Sale entry '!$AC$2:$AC$1501,'Daily Sale entry '!$AA$2:$AA$1501,$K281,'Daily Sale entry '!$Z$2:$Z$1501,"Online collection 网上收款",'Daily Sale entry '!$X$2:$X$1501,$B$2)))</f>
        <v/>
      </c>
      <c r="Q281" s="24">
        <f>IF($K281="","",IF($B$2="","",SUMIFS('Debtor Ledger'!$K$2:$K$3001,'Debtor Ledger'!$C$2:$C$3001,$K281,'Debtor Ledger'!$B$2:$B$3001,$B$2)))</f>
        <v/>
      </c>
      <c r="R281" s="24">
        <f>IF($K281="","",IF($B$2="","",ROUND(L281+M281-N281-O281-P281-Q281,2)))</f>
        <v/>
      </c>
      <c r="S281" s="21">
        <f>IF(K281="","",IF($B$2="","",IF(ABS(M281)+ABS(N281)+ABS(O281)+ABS(P281)+ABS(Q281)&gt;0,1,0)))</f>
        <v/>
      </c>
      <c r="T281" s="21">
        <f>IF(S281=1,SUM($S$6:S281),"")</f>
        <v/>
      </c>
    </row>
    <row r="282">
      <c r="A282">
        <f>IF($I282="","",INDEX(K$6:K$305,$I282))</f>
        <v/>
      </c>
      <c r="B282" s="6">
        <f>IF($I282="","",INDEX(L$6:L$305,$I282))</f>
        <v/>
      </c>
      <c r="C282" s="6">
        <f>IF($I282="","",INDEX(M$6:M$305,$I282))</f>
        <v/>
      </c>
      <c r="D282" s="6">
        <f>IF($I282="","",INDEX(N$6:N$305,$I282))</f>
        <v/>
      </c>
      <c r="E282" s="6">
        <f>IF($I282="","",INDEX(O$6:O$305,$I282))</f>
        <v/>
      </c>
      <c r="F282" s="6">
        <f>IF($I282="","",INDEX(P$6:P$305,$I282))</f>
        <v/>
      </c>
      <c r="G282" s="6">
        <f>IF($I282="","",INDEX(Q$6:Q$305,$I282))</f>
        <v/>
      </c>
      <c r="H282" s="6">
        <f>IF($I282="","",INDEX(R$6:R$305,$I282))</f>
        <v/>
      </c>
      <c r="I282" s="21">
        <f>IFERROR(MATCH(277,$T$6:$T$305,0),"")</f>
        <v/>
      </c>
      <c r="K282" s="21">
        <f>IF('Debtor Summary'!A281="","",'Debtor Summary'!A281)</f>
        <v/>
      </c>
      <c r="L282" s="24">
        <f>IF($K282="","",IF($B$2="","",ROUND(SUMIFS('Opening Balance'!$F$4:$F$303,'Opening Balance'!$G$4:$G$303,$K282)+SUMIFS('Daily Sale entry '!$S$2:$S$1501,'Daily Sale entry '!$P$2:$P$1501,$K282,'Daily Sale entry '!$Q$2:$Q$1501,"Credit Sale 赊销",'Daily Sale entry '!$O$2:$O$1501,"&lt;"&amp;$B$2)-SUMIFS('Daily Sale entry '!$S$2:$S$1501,'Daily Sale entry '!$P$2:$P$1501,$K282,'Daily Sale entry '!$Q$2:$Q$1501,"Collection 收款",'Daily Sale entry '!$O$2:$O$1501,"&lt;"&amp;$B$2)-SUMIFS('Daily Sale entry '!$AC$2:$AC$1501,'Daily Sale entry '!$AA$2:$AA$1501,$K282,'Daily Sale entry '!$Z$2:$Z$1501,"Online collection 网上收款",'Daily Sale entry '!$X$2:$X$1501,"&lt;"&amp;$B$2)-SUMIFS('Debtor Ledger'!$K$2:$K$3001,'Debtor Ledger'!$C$2:$C$3001,$K282,'Debtor Ledger'!$B$2:$B$3001,"&lt;"&amp;$B$2),2)))</f>
        <v/>
      </c>
      <c r="M282" s="24">
        <f>IF($K282="","",IF($B$2="","",SUMIFS('Daily Sale entry '!$S$2:$S$1501,'Daily Sale entry '!$P$2:$P$1501,$K282,'Daily Sale entry '!$Q$2:$Q$1501,"Credit Sale 赊销",'Daily Sale entry '!$O$2:$O$1501,$B$2)))</f>
        <v/>
      </c>
      <c r="N282" s="24">
        <f>IF($K282="","",IF($B$2="","",SUMIFS('Daily Sale entry '!$S$2:$S$1501,'Daily Sale entry '!$P$2:$P$1501,$K282,'Daily Sale entry '!$Q$2:$Q$1501,"Collection 收款",'Daily Sale entry '!$R$2:$R$1501,"Cash 现金",'Daily Sale entry '!$O$2:$O$1501,$B$2)))</f>
        <v/>
      </c>
      <c r="O282" s="24">
        <f>IF($K282="","",IF($B$2="","",SUMIFS('Daily Sale entry '!$S$2:$S$1501,'Daily Sale entry '!$P$2:$P$1501,$K282,'Daily Sale entry '!$Q$2:$Q$1501,"Collection 收款",'Daily Sale entry '!$R$2:$R$1501,"Cheque 支票",'Daily Sale entry '!$O$2:$O$1501,$B$2)))</f>
        <v/>
      </c>
      <c r="P282" s="24">
        <f>IF($K282="","",IF($B$2="","",SUMIFS('Daily Sale entry '!$AC$2:$AC$1501,'Daily Sale entry '!$AA$2:$AA$1501,$K282,'Daily Sale entry '!$Z$2:$Z$1501,"Online collection 网上收款",'Daily Sale entry '!$X$2:$X$1501,$B$2)))</f>
        <v/>
      </c>
      <c r="Q282" s="24">
        <f>IF($K282="","",IF($B$2="","",SUMIFS('Debtor Ledger'!$K$2:$K$3001,'Debtor Ledger'!$C$2:$C$3001,$K282,'Debtor Ledger'!$B$2:$B$3001,$B$2)))</f>
        <v/>
      </c>
      <c r="R282" s="24">
        <f>IF($K282="","",IF($B$2="","",ROUND(L282+M282-N282-O282-P282-Q282,2)))</f>
        <v/>
      </c>
      <c r="S282" s="21">
        <f>IF(K282="","",IF($B$2="","",IF(ABS(M282)+ABS(N282)+ABS(O282)+ABS(P282)+ABS(Q282)&gt;0,1,0)))</f>
        <v/>
      </c>
      <c r="T282" s="21">
        <f>IF(S282=1,SUM($S$6:S282),"")</f>
        <v/>
      </c>
    </row>
    <row r="283">
      <c r="A283">
        <f>IF($I283="","",INDEX(K$6:K$305,$I283))</f>
        <v/>
      </c>
      <c r="B283" s="6">
        <f>IF($I283="","",INDEX(L$6:L$305,$I283))</f>
        <v/>
      </c>
      <c r="C283" s="6">
        <f>IF($I283="","",INDEX(M$6:M$305,$I283))</f>
        <v/>
      </c>
      <c r="D283" s="6">
        <f>IF($I283="","",INDEX(N$6:N$305,$I283))</f>
        <v/>
      </c>
      <c r="E283" s="6">
        <f>IF($I283="","",INDEX(O$6:O$305,$I283))</f>
        <v/>
      </c>
      <c r="F283" s="6">
        <f>IF($I283="","",INDEX(P$6:P$305,$I283))</f>
        <v/>
      </c>
      <c r="G283" s="6">
        <f>IF($I283="","",INDEX(Q$6:Q$305,$I283))</f>
        <v/>
      </c>
      <c r="H283" s="6">
        <f>IF($I283="","",INDEX(R$6:R$305,$I283))</f>
        <v/>
      </c>
      <c r="I283" s="21">
        <f>IFERROR(MATCH(278,$T$6:$T$305,0),"")</f>
        <v/>
      </c>
      <c r="K283" s="21">
        <f>IF('Debtor Summary'!A282="","",'Debtor Summary'!A282)</f>
        <v/>
      </c>
      <c r="L283" s="24">
        <f>IF($K283="","",IF($B$2="","",ROUND(SUMIFS('Opening Balance'!$F$4:$F$303,'Opening Balance'!$G$4:$G$303,$K283)+SUMIFS('Daily Sale entry '!$S$2:$S$1501,'Daily Sale entry '!$P$2:$P$1501,$K283,'Daily Sale entry '!$Q$2:$Q$1501,"Credit Sale 赊销",'Daily Sale entry '!$O$2:$O$1501,"&lt;"&amp;$B$2)-SUMIFS('Daily Sale entry '!$S$2:$S$1501,'Daily Sale entry '!$P$2:$P$1501,$K283,'Daily Sale entry '!$Q$2:$Q$1501,"Collection 收款",'Daily Sale entry '!$O$2:$O$1501,"&lt;"&amp;$B$2)-SUMIFS('Daily Sale entry '!$AC$2:$AC$1501,'Daily Sale entry '!$AA$2:$AA$1501,$K283,'Daily Sale entry '!$Z$2:$Z$1501,"Online collection 网上收款",'Daily Sale entry '!$X$2:$X$1501,"&lt;"&amp;$B$2)-SUMIFS('Debtor Ledger'!$K$2:$K$3001,'Debtor Ledger'!$C$2:$C$3001,$K283,'Debtor Ledger'!$B$2:$B$3001,"&lt;"&amp;$B$2),2)))</f>
        <v/>
      </c>
      <c r="M283" s="24">
        <f>IF($K283="","",IF($B$2="","",SUMIFS('Daily Sale entry '!$S$2:$S$1501,'Daily Sale entry '!$P$2:$P$1501,$K283,'Daily Sale entry '!$Q$2:$Q$1501,"Credit Sale 赊销",'Daily Sale entry '!$O$2:$O$1501,$B$2)))</f>
        <v/>
      </c>
      <c r="N283" s="24">
        <f>IF($K283="","",IF($B$2="","",SUMIFS('Daily Sale entry '!$S$2:$S$1501,'Daily Sale entry '!$P$2:$P$1501,$K283,'Daily Sale entry '!$Q$2:$Q$1501,"Collection 收款",'Daily Sale entry '!$R$2:$R$1501,"Cash 现金",'Daily Sale entry '!$O$2:$O$1501,$B$2)))</f>
        <v/>
      </c>
      <c r="O283" s="24">
        <f>IF($K283="","",IF($B$2="","",SUMIFS('Daily Sale entry '!$S$2:$S$1501,'Daily Sale entry '!$P$2:$P$1501,$K283,'Daily Sale entry '!$Q$2:$Q$1501,"Collection 收款",'Daily Sale entry '!$R$2:$R$1501,"Cheque 支票",'Daily Sale entry '!$O$2:$O$1501,$B$2)))</f>
        <v/>
      </c>
      <c r="P283" s="24">
        <f>IF($K283="","",IF($B$2="","",SUMIFS('Daily Sale entry '!$AC$2:$AC$1501,'Daily Sale entry '!$AA$2:$AA$1501,$K283,'Daily Sale entry '!$Z$2:$Z$1501,"Online collection 网上收款",'Daily Sale entry '!$X$2:$X$1501,$B$2)))</f>
        <v/>
      </c>
      <c r="Q283" s="24">
        <f>IF($K283="","",IF($B$2="","",SUMIFS('Debtor Ledger'!$K$2:$K$3001,'Debtor Ledger'!$C$2:$C$3001,$K283,'Debtor Ledger'!$B$2:$B$3001,$B$2)))</f>
        <v/>
      </c>
      <c r="R283" s="24">
        <f>IF($K283="","",IF($B$2="","",ROUND(L283+M283-N283-O283-P283-Q283,2)))</f>
        <v/>
      </c>
      <c r="S283" s="21">
        <f>IF(K283="","",IF($B$2="","",IF(ABS(M283)+ABS(N283)+ABS(O283)+ABS(P283)+ABS(Q283)&gt;0,1,0)))</f>
        <v/>
      </c>
      <c r="T283" s="21">
        <f>IF(S283=1,SUM($S$6:S283),"")</f>
        <v/>
      </c>
    </row>
    <row r="284">
      <c r="A284">
        <f>IF($I284="","",INDEX(K$6:K$305,$I284))</f>
        <v/>
      </c>
      <c r="B284" s="6">
        <f>IF($I284="","",INDEX(L$6:L$305,$I284))</f>
        <v/>
      </c>
      <c r="C284" s="6">
        <f>IF($I284="","",INDEX(M$6:M$305,$I284))</f>
        <v/>
      </c>
      <c r="D284" s="6">
        <f>IF($I284="","",INDEX(N$6:N$305,$I284))</f>
        <v/>
      </c>
      <c r="E284" s="6">
        <f>IF($I284="","",INDEX(O$6:O$305,$I284))</f>
        <v/>
      </c>
      <c r="F284" s="6">
        <f>IF($I284="","",INDEX(P$6:P$305,$I284))</f>
        <v/>
      </c>
      <c r="G284" s="6">
        <f>IF($I284="","",INDEX(Q$6:Q$305,$I284))</f>
        <v/>
      </c>
      <c r="H284" s="6">
        <f>IF($I284="","",INDEX(R$6:R$305,$I284))</f>
        <v/>
      </c>
      <c r="I284" s="21">
        <f>IFERROR(MATCH(279,$T$6:$T$305,0),"")</f>
        <v/>
      </c>
      <c r="K284" s="21">
        <f>IF('Debtor Summary'!A283="","",'Debtor Summary'!A283)</f>
        <v/>
      </c>
      <c r="L284" s="24">
        <f>IF($K284="","",IF($B$2="","",ROUND(SUMIFS('Opening Balance'!$F$4:$F$303,'Opening Balance'!$G$4:$G$303,$K284)+SUMIFS('Daily Sale entry '!$S$2:$S$1501,'Daily Sale entry '!$P$2:$P$1501,$K284,'Daily Sale entry '!$Q$2:$Q$1501,"Credit Sale 赊销",'Daily Sale entry '!$O$2:$O$1501,"&lt;"&amp;$B$2)-SUMIFS('Daily Sale entry '!$S$2:$S$1501,'Daily Sale entry '!$P$2:$P$1501,$K284,'Daily Sale entry '!$Q$2:$Q$1501,"Collection 收款",'Daily Sale entry '!$O$2:$O$1501,"&lt;"&amp;$B$2)-SUMIFS('Daily Sale entry '!$AC$2:$AC$1501,'Daily Sale entry '!$AA$2:$AA$1501,$K284,'Daily Sale entry '!$Z$2:$Z$1501,"Online collection 网上收款",'Daily Sale entry '!$X$2:$X$1501,"&lt;"&amp;$B$2)-SUMIFS('Debtor Ledger'!$K$2:$K$3001,'Debtor Ledger'!$C$2:$C$3001,$K284,'Debtor Ledger'!$B$2:$B$3001,"&lt;"&amp;$B$2),2)))</f>
        <v/>
      </c>
      <c r="M284" s="24">
        <f>IF($K284="","",IF($B$2="","",SUMIFS('Daily Sale entry '!$S$2:$S$1501,'Daily Sale entry '!$P$2:$P$1501,$K284,'Daily Sale entry '!$Q$2:$Q$1501,"Credit Sale 赊销",'Daily Sale entry '!$O$2:$O$1501,$B$2)))</f>
        <v/>
      </c>
      <c r="N284" s="24">
        <f>IF($K284="","",IF($B$2="","",SUMIFS('Daily Sale entry '!$S$2:$S$1501,'Daily Sale entry '!$P$2:$P$1501,$K284,'Daily Sale entry '!$Q$2:$Q$1501,"Collection 收款",'Daily Sale entry '!$R$2:$R$1501,"Cash 现金",'Daily Sale entry '!$O$2:$O$1501,$B$2)))</f>
        <v/>
      </c>
      <c r="O284" s="24">
        <f>IF($K284="","",IF($B$2="","",SUMIFS('Daily Sale entry '!$S$2:$S$1501,'Daily Sale entry '!$P$2:$P$1501,$K284,'Daily Sale entry '!$Q$2:$Q$1501,"Collection 收款",'Daily Sale entry '!$R$2:$R$1501,"Cheque 支票",'Daily Sale entry '!$O$2:$O$1501,$B$2)))</f>
        <v/>
      </c>
      <c r="P284" s="24">
        <f>IF($K284="","",IF($B$2="","",SUMIFS('Daily Sale entry '!$AC$2:$AC$1501,'Daily Sale entry '!$AA$2:$AA$1501,$K284,'Daily Sale entry '!$Z$2:$Z$1501,"Online collection 网上收款",'Daily Sale entry '!$X$2:$X$1501,$B$2)))</f>
        <v/>
      </c>
      <c r="Q284" s="24">
        <f>IF($K284="","",IF($B$2="","",SUMIFS('Debtor Ledger'!$K$2:$K$3001,'Debtor Ledger'!$C$2:$C$3001,$K284,'Debtor Ledger'!$B$2:$B$3001,$B$2)))</f>
        <v/>
      </c>
      <c r="R284" s="24">
        <f>IF($K284="","",IF($B$2="","",ROUND(L284+M284-N284-O284-P284-Q284,2)))</f>
        <v/>
      </c>
      <c r="S284" s="21">
        <f>IF(K284="","",IF($B$2="","",IF(ABS(M284)+ABS(N284)+ABS(O284)+ABS(P284)+ABS(Q284)&gt;0,1,0)))</f>
        <v/>
      </c>
      <c r="T284" s="21">
        <f>IF(S284=1,SUM($S$6:S284),"")</f>
        <v/>
      </c>
    </row>
    <row r="285">
      <c r="A285">
        <f>IF($I285="","",INDEX(K$6:K$305,$I285))</f>
        <v/>
      </c>
      <c r="B285" s="6">
        <f>IF($I285="","",INDEX(L$6:L$305,$I285))</f>
        <v/>
      </c>
      <c r="C285" s="6">
        <f>IF($I285="","",INDEX(M$6:M$305,$I285))</f>
        <v/>
      </c>
      <c r="D285" s="6">
        <f>IF($I285="","",INDEX(N$6:N$305,$I285))</f>
        <v/>
      </c>
      <c r="E285" s="6">
        <f>IF($I285="","",INDEX(O$6:O$305,$I285))</f>
        <v/>
      </c>
      <c r="F285" s="6">
        <f>IF($I285="","",INDEX(P$6:P$305,$I285))</f>
        <v/>
      </c>
      <c r="G285" s="6">
        <f>IF($I285="","",INDEX(Q$6:Q$305,$I285))</f>
        <v/>
      </c>
      <c r="H285" s="6">
        <f>IF($I285="","",INDEX(R$6:R$305,$I285))</f>
        <v/>
      </c>
      <c r="I285" s="21">
        <f>IFERROR(MATCH(280,$T$6:$T$305,0),"")</f>
        <v/>
      </c>
      <c r="K285" s="21">
        <f>IF('Debtor Summary'!A284="","",'Debtor Summary'!A284)</f>
        <v/>
      </c>
      <c r="L285" s="24">
        <f>IF($K285="","",IF($B$2="","",ROUND(SUMIFS('Opening Balance'!$F$4:$F$303,'Opening Balance'!$G$4:$G$303,$K285)+SUMIFS('Daily Sale entry '!$S$2:$S$1501,'Daily Sale entry '!$P$2:$P$1501,$K285,'Daily Sale entry '!$Q$2:$Q$1501,"Credit Sale 赊销",'Daily Sale entry '!$O$2:$O$1501,"&lt;"&amp;$B$2)-SUMIFS('Daily Sale entry '!$S$2:$S$1501,'Daily Sale entry '!$P$2:$P$1501,$K285,'Daily Sale entry '!$Q$2:$Q$1501,"Collection 收款",'Daily Sale entry '!$O$2:$O$1501,"&lt;"&amp;$B$2)-SUMIFS('Daily Sale entry '!$AC$2:$AC$1501,'Daily Sale entry '!$AA$2:$AA$1501,$K285,'Daily Sale entry '!$Z$2:$Z$1501,"Online collection 网上收款",'Daily Sale entry '!$X$2:$X$1501,"&lt;"&amp;$B$2)-SUMIFS('Debtor Ledger'!$K$2:$K$3001,'Debtor Ledger'!$C$2:$C$3001,$K285,'Debtor Ledger'!$B$2:$B$3001,"&lt;"&amp;$B$2),2)))</f>
        <v/>
      </c>
      <c r="M285" s="24">
        <f>IF($K285="","",IF($B$2="","",SUMIFS('Daily Sale entry '!$S$2:$S$1501,'Daily Sale entry '!$P$2:$P$1501,$K285,'Daily Sale entry '!$Q$2:$Q$1501,"Credit Sale 赊销",'Daily Sale entry '!$O$2:$O$1501,$B$2)))</f>
        <v/>
      </c>
      <c r="N285" s="24">
        <f>IF($K285="","",IF($B$2="","",SUMIFS('Daily Sale entry '!$S$2:$S$1501,'Daily Sale entry '!$P$2:$P$1501,$K285,'Daily Sale entry '!$Q$2:$Q$1501,"Collection 收款",'Daily Sale entry '!$R$2:$R$1501,"Cash 现金",'Daily Sale entry '!$O$2:$O$1501,$B$2)))</f>
        <v/>
      </c>
      <c r="O285" s="24">
        <f>IF($K285="","",IF($B$2="","",SUMIFS('Daily Sale entry '!$S$2:$S$1501,'Daily Sale entry '!$P$2:$P$1501,$K285,'Daily Sale entry '!$Q$2:$Q$1501,"Collection 收款",'Daily Sale entry '!$R$2:$R$1501,"Cheque 支票",'Daily Sale entry '!$O$2:$O$1501,$B$2)))</f>
        <v/>
      </c>
      <c r="P285" s="24">
        <f>IF($K285="","",IF($B$2="","",SUMIFS('Daily Sale entry '!$AC$2:$AC$1501,'Daily Sale entry '!$AA$2:$AA$1501,$K285,'Daily Sale entry '!$Z$2:$Z$1501,"Online collection 网上收款",'Daily Sale entry '!$X$2:$X$1501,$B$2)))</f>
        <v/>
      </c>
      <c r="Q285" s="24">
        <f>IF($K285="","",IF($B$2="","",SUMIFS('Debtor Ledger'!$K$2:$K$3001,'Debtor Ledger'!$C$2:$C$3001,$K285,'Debtor Ledger'!$B$2:$B$3001,$B$2)))</f>
        <v/>
      </c>
      <c r="R285" s="24">
        <f>IF($K285="","",IF($B$2="","",ROUND(L285+M285-N285-O285-P285-Q285,2)))</f>
        <v/>
      </c>
      <c r="S285" s="21">
        <f>IF(K285="","",IF($B$2="","",IF(ABS(M285)+ABS(N285)+ABS(O285)+ABS(P285)+ABS(Q285)&gt;0,1,0)))</f>
        <v/>
      </c>
      <c r="T285" s="21">
        <f>IF(S285=1,SUM($S$6:S285),"")</f>
        <v/>
      </c>
    </row>
    <row r="286">
      <c r="A286">
        <f>IF($I286="","",INDEX(K$6:K$305,$I286))</f>
        <v/>
      </c>
      <c r="B286" s="6">
        <f>IF($I286="","",INDEX(L$6:L$305,$I286))</f>
        <v/>
      </c>
      <c r="C286" s="6">
        <f>IF($I286="","",INDEX(M$6:M$305,$I286))</f>
        <v/>
      </c>
      <c r="D286" s="6">
        <f>IF($I286="","",INDEX(N$6:N$305,$I286))</f>
        <v/>
      </c>
      <c r="E286" s="6">
        <f>IF($I286="","",INDEX(O$6:O$305,$I286))</f>
        <v/>
      </c>
      <c r="F286" s="6">
        <f>IF($I286="","",INDEX(P$6:P$305,$I286))</f>
        <v/>
      </c>
      <c r="G286" s="6">
        <f>IF($I286="","",INDEX(Q$6:Q$305,$I286))</f>
        <v/>
      </c>
      <c r="H286" s="6">
        <f>IF($I286="","",INDEX(R$6:R$305,$I286))</f>
        <v/>
      </c>
      <c r="I286" s="21">
        <f>IFERROR(MATCH(281,$T$6:$T$305,0),"")</f>
        <v/>
      </c>
      <c r="K286" s="21">
        <f>IF('Debtor Summary'!A285="","",'Debtor Summary'!A285)</f>
        <v/>
      </c>
      <c r="L286" s="24">
        <f>IF($K286="","",IF($B$2="","",ROUND(SUMIFS('Opening Balance'!$F$4:$F$303,'Opening Balance'!$G$4:$G$303,$K286)+SUMIFS('Daily Sale entry '!$S$2:$S$1501,'Daily Sale entry '!$P$2:$P$1501,$K286,'Daily Sale entry '!$Q$2:$Q$1501,"Credit Sale 赊销",'Daily Sale entry '!$O$2:$O$1501,"&lt;"&amp;$B$2)-SUMIFS('Daily Sale entry '!$S$2:$S$1501,'Daily Sale entry '!$P$2:$P$1501,$K286,'Daily Sale entry '!$Q$2:$Q$1501,"Collection 收款",'Daily Sale entry '!$O$2:$O$1501,"&lt;"&amp;$B$2)-SUMIFS('Daily Sale entry '!$AC$2:$AC$1501,'Daily Sale entry '!$AA$2:$AA$1501,$K286,'Daily Sale entry '!$Z$2:$Z$1501,"Online collection 网上收款",'Daily Sale entry '!$X$2:$X$1501,"&lt;"&amp;$B$2)-SUMIFS('Debtor Ledger'!$K$2:$K$3001,'Debtor Ledger'!$C$2:$C$3001,$K286,'Debtor Ledger'!$B$2:$B$3001,"&lt;"&amp;$B$2),2)))</f>
        <v/>
      </c>
      <c r="M286" s="24">
        <f>IF($K286="","",IF($B$2="","",SUMIFS('Daily Sale entry '!$S$2:$S$1501,'Daily Sale entry '!$P$2:$P$1501,$K286,'Daily Sale entry '!$Q$2:$Q$1501,"Credit Sale 赊销",'Daily Sale entry '!$O$2:$O$1501,$B$2)))</f>
        <v/>
      </c>
      <c r="N286" s="24">
        <f>IF($K286="","",IF($B$2="","",SUMIFS('Daily Sale entry '!$S$2:$S$1501,'Daily Sale entry '!$P$2:$P$1501,$K286,'Daily Sale entry '!$Q$2:$Q$1501,"Collection 收款",'Daily Sale entry '!$R$2:$R$1501,"Cash 现金",'Daily Sale entry '!$O$2:$O$1501,$B$2)))</f>
        <v/>
      </c>
      <c r="O286" s="24">
        <f>IF($K286="","",IF($B$2="","",SUMIFS('Daily Sale entry '!$S$2:$S$1501,'Daily Sale entry '!$P$2:$P$1501,$K286,'Daily Sale entry '!$Q$2:$Q$1501,"Collection 收款",'Daily Sale entry '!$R$2:$R$1501,"Cheque 支票",'Daily Sale entry '!$O$2:$O$1501,$B$2)))</f>
        <v/>
      </c>
      <c r="P286" s="24">
        <f>IF($K286="","",IF($B$2="","",SUMIFS('Daily Sale entry '!$AC$2:$AC$1501,'Daily Sale entry '!$AA$2:$AA$1501,$K286,'Daily Sale entry '!$Z$2:$Z$1501,"Online collection 网上收款",'Daily Sale entry '!$X$2:$X$1501,$B$2)))</f>
        <v/>
      </c>
      <c r="Q286" s="24">
        <f>IF($K286="","",IF($B$2="","",SUMIFS('Debtor Ledger'!$K$2:$K$3001,'Debtor Ledger'!$C$2:$C$3001,$K286,'Debtor Ledger'!$B$2:$B$3001,$B$2)))</f>
        <v/>
      </c>
      <c r="R286" s="24">
        <f>IF($K286="","",IF($B$2="","",ROUND(L286+M286-N286-O286-P286-Q286,2)))</f>
        <v/>
      </c>
      <c r="S286" s="21">
        <f>IF(K286="","",IF($B$2="","",IF(ABS(M286)+ABS(N286)+ABS(O286)+ABS(P286)+ABS(Q286)&gt;0,1,0)))</f>
        <v/>
      </c>
      <c r="T286" s="21">
        <f>IF(S286=1,SUM($S$6:S286),"")</f>
        <v/>
      </c>
    </row>
    <row r="287">
      <c r="A287">
        <f>IF($I287="","",INDEX(K$6:K$305,$I287))</f>
        <v/>
      </c>
      <c r="B287" s="6">
        <f>IF($I287="","",INDEX(L$6:L$305,$I287))</f>
        <v/>
      </c>
      <c r="C287" s="6">
        <f>IF($I287="","",INDEX(M$6:M$305,$I287))</f>
        <v/>
      </c>
      <c r="D287" s="6">
        <f>IF($I287="","",INDEX(N$6:N$305,$I287))</f>
        <v/>
      </c>
      <c r="E287" s="6">
        <f>IF($I287="","",INDEX(O$6:O$305,$I287))</f>
        <v/>
      </c>
      <c r="F287" s="6">
        <f>IF($I287="","",INDEX(P$6:P$305,$I287))</f>
        <v/>
      </c>
      <c r="G287" s="6">
        <f>IF($I287="","",INDEX(Q$6:Q$305,$I287))</f>
        <v/>
      </c>
      <c r="H287" s="6">
        <f>IF($I287="","",INDEX(R$6:R$305,$I287))</f>
        <v/>
      </c>
      <c r="I287" s="21">
        <f>IFERROR(MATCH(282,$T$6:$T$305,0),"")</f>
        <v/>
      </c>
      <c r="K287" s="21">
        <f>IF('Debtor Summary'!A286="","",'Debtor Summary'!A286)</f>
        <v/>
      </c>
      <c r="L287" s="24">
        <f>IF($K287="","",IF($B$2="","",ROUND(SUMIFS('Opening Balance'!$F$4:$F$303,'Opening Balance'!$G$4:$G$303,$K287)+SUMIFS('Daily Sale entry '!$S$2:$S$1501,'Daily Sale entry '!$P$2:$P$1501,$K287,'Daily Sale entry '!$Q$2:$Q$1501,"Credit Sale 赊销",'Daily Sale entry '!$O$2:$O$1501,"&lt;"&amp;$B$2)-SUMIFS('Daily Sale entry '!$S$2:$S$1501,'Daily Sale entry '!$P$2:$P$1501,$K287,'Daily Sale entry '!$Q$2:$Q$1501,"Collection 收款",'Daily Sale entry '!$O$2:$O$1501,"&lt;"&amp;$B$2)-SUMIFS('Daily Sale entry '!$AC$2:$AC$1501,'Daily Sale entry '!$AA$2:$AA$1501,$K287,'Daily Sale entry '!$Z$2:$Z$1501,"Online collection 网上收款",'Daily Sale entry '!$X$2:$X$1501,"&lt;"&amp;$B$2)-SUMIFS('Debtor Ledger'!$K$2:$K$3001,'Debtor Ledger'!$C$2:$C$3001,$K287,'Debtor Ledger'!$B$2:$B$3001,"&lt;"&amp;$B$2),2)))</f>
        <v/>
      </c>
      <c r="M287" s="24">
        <f>IF($K287="","",IF($B$2="","",SUMIFS('Daily Sale entry '!$S$2:$S$1501,'Daily Sale entry '!$P$2:$P$1501,$K287,'Daily Sale entry '!$Q$2:$Q$1501,"Credit Sale 赊销",'Daily Sale entry '!$O$2:$O$1501,$B$2)))</f>
        <v/>
      </c>
      <c r="N287" s="24">
        <f>IF($K287="","",IF($B$2="","",SUMIFS('Daily Sale entry '!$S$2:$S$1501,'Daily Sale entry '!$P$2:$P$1501,$K287,'Daily Sale entry '!$Q$2:$Q$1501,"Collection 收款",'Daily Sale entry '!$R$2:$R$1501,"Cash 现金",'Daily Sale entry '!$O$2:$O$1501,$B$2)))</f>
        <v/>
      </c>
      <c r="O287" s="24">
        <f>IF($K287="","",IF($B$2="","",SUMIFS('Daily Sale entry '!$S$2:$S$1501,'Daily Sale entry '!$P$2:$P$1501,$K287,'Daily Sale entry '!$Q$2:$Q$1501,"Collection 收款",'Daily Sale entry '!$R$2:$R$1501,"Cheque 支票",'Daily Sale entry '!$O$2:$O$1501,$B$2)))</f>
        <v/>
      </c>
      <c r="P287" s="24">
        <f>IF($K287="","",IF($B$2="","",SUMIFS('Daily Sale entry '!$AC$2:$AC$1501,'Daily Sale entry '!$AA$2:$AA$1501,$K287,'Daily Sale entry '!$Z$2:$Z$1501,"Online collection 网上收款",'Daily Sale entry '!$X$2:$X$1501,$B$2)))</f>
        <v/>
      </c>
      <c r="Q287" s="24">
        <f>IF($K287="","",IF($B$2="","",SUMIFS('Debtor Ledger'!$K$2:$K$3001,'Debtor Ledger'!$C$2:$C$3001,$K287,'Debtor Ledger'!$B$2:$B$3001,$B$2)))</f>
        <v/>
      </c>
      <c r="R287" s="24">
        <f>IF($K287="","",IF($B$2="","",ROUND(L287+M287-N287-O287-P287-Q287,2)))</f>
        <v/>
      </c>
      <c r="S287" s="21">
        <f>IF(K287="","",IF($B$2="","",IF(ABS(M287)+ABS(N287)+ABS(O287)+ABS(P287)+ABS(Q287)&gt;0,1,0)))</f>
        <v/>
      </c>
      <c r="T287" s="21">
        <f>IF(S287=1,SUM($S$6:S287),"")</f>
        <v/>
      </c>
    </row>
    <row r="288">
      <c r="A288">
        <f>IF($I288="","",INDEX(K$6:K$305,$I288))</f>
        <v/>
      </c>
      <c r="B288" s="6">
        <f>IF($I288="","",INDEX(L$6:L$305,$I288))</f>
        <v/>
      </c>
      <c r="C288" s="6">
        <f>IF($I288="","",INDEX(M$6:M$305,$I288))</f>
        <v/>
      </c>
      <c r="D288" s="6">
        <f>IF($I288="","",INDEX(N$6:N$305,$I288))</f>
        <v/>
      </c>
      <c r="E288" s="6">
        <f>IF($I288="","",INDEX(O$6:O$305,$I288))</f>
        <v/>
      </c>
      <c r="F288" s="6">
        <f>IF($I288="","",INDEX(P$6:P$305,$I288))</f>
        <v/>
      </c>
      <c r="G288" s="6">
        <f>IF($I288="","",INDEX(Q$6:Q$305,$I288))</f>
        <v/>
      </c>
      <c r="H288" s="6">
        <f>IF($I288="","",INDEX(R$6:R$305,$I288))</f>
        <v/>
      </c>
      <c r="I288" s="21">
        <f>IFERROR(MATCH(283,$T$6:$T$305,0),"")</f>
        <v/>
      </c>
      <c r="K288" s="21">
        <f>IF('Debtor Summary'!A287="","",'Debtor Summary'!A287)</f>
        <v/>
      </c>
      <c r="L288" s="24">
        <f>IF($K288="","",IF($B$2="","",ROUND(SUMIFS('Opening Balance'!$F$4:$F$303,'Opening Balance'!$G$4:$G$303,$K288)+SUMIFS('Daily Sale entry '!$S$2:$S$1501,'Daily Sale entry '!$P$2:$P$1501,$K288,'Daily Sale entry '!$Q$2:$Q$1501,"Credit Sale 赊销",'Daily Sale entry '!$O$2:$O$1501,"&lt;"&amp;$B$2)-SUMIFS('Daily Sale entry '!$S$2:$S$1501,'Daily Sale entry '!$P$2:$P$1501,$K288,'Daily Sale entry '!$Q$2:$Q$1501,"Collection 收款",'Daily Sale entry '!$O$2:$O$1501,"&lt;"&amp;$B$2)-SUMIFS('Daily Sale entry '!$AC$2:$AC$1501,'Daily Sale entry '!$AA$2:$AA$1501,$K288,'Daily Sale entry '!$Z$2:$Z$1501,"Online collection 网上收款",'Daily Sale entry '!$X$2:$X$1501,"&lt;"&amp;$B$2)-SUMIFS('Debtor Ledger'!$K$2:$K$3001,'Debtor Ledger'!$C$2:$C$3001,$K288,'Debtor Ledger'!$B$2:$B$3001,"&lt;"&amp;$B$2),2)))</f>
        <v/>
      </c>
      <c r="M288" s="24">
        <f>IF($K288="","",IF($B$2="","",SUMIFS('Daily Sale entry '!$S$2:$S$1501,'Daily Sale entry '!$P$2:$P$1501,$K288,'Daily Sale entry '!$Q$2:$Q$1501,"Credit Sale 赊销",'Daily Sale entry '!$O$2:$O$1501,$B$2)))</f>
        <v/>
      </c>
      <c r="N288" s="24">
        <f>IF($K288="","",IF($B$2="","",SUMIFS('Daily Sale entry '!$S$2:$S$1501,'Daily Sale entry '!$P$2:$P$1501,$K288,'Daily Sale entry '!$Q$2:$Q$1501,"Collection 收款",'Daily Sale entry '!$R$2:$R$1501,"Cash 现金",'Daily Sale entry '!$O$2:$O$1501,$B$2)))</f>
        <v/>
      </c>
      <c r="O288" s="24">
        <f>IF($K288="","",IF($B$2="","",SUMIFS('Daily Sale entry '!$S$2:$S$1501,'Daily Sale entry '!$P$2:$P$1501,$K288,'Daily Sale entry '!$Q$2:$Q$1501,"Collection 收款",'Daily Sale entry '!$R$2:$R$1501,"Cheque 支票",'Daily Sale entry '!$O$2:$O$1501,$B$2)))</f>
        <v/>
      </c>
      <c r="P288" s="24">
        <f>IF($K288="","",IF($B$2="","",SUMIFS('Daily Sale entry '!$AC$2:$AC$1501,'Daily Sale entry '!$AA$2:$AA$1501,$K288,'Daily Sale entry '!$Z$2:$Z$1501,"Online collection 网上收款",'Daily Sale entry '!$X$2:$X$1501,$B$2)))</f>
        <v/>
      </c>
      <c r="Q288" s="24">
        <f>IF($K288="","",IF($B$2="","",SUMIFS('Debtor Ledger'!$K$2:$K$3001,'Debtor Ledger'!$C$2:$C$3001,$K288,'Debtor Ledger'!$B$2:$B$3001,$B$2)))</f>
        <v/>
      </c>
      <c r="R288" s="24">
        <f>IF($K288="","",IF($B$2="","",ROUND(L288+M288-N288-O288-P288-Q288,2)))</f>
        <v/>
      </c>
      <c r="S288" s="21">
        <f>IF(K288="","",IF($B$2="","",IF(ABS(M288)+ABS(N288)+ABS(O288)+ABS(P288)+ABS(Q288)&gt;0,1,0)))</f>
        <v/>
      </c>
      <c r="T288" s="21">
        <f>IF(S288=1,SUM($S$6:S288),"")</f>
        <v/>
      </c>
    </row>
    <row r="289">
      <c r="A289">
        <f>IF($I289="","",INDEX(K$6:K$305,$I289))</f>
        <v/>
      </c>
      <c r="B289" s="6">
        <f>IF($I289="","",INDEX(L$6:L$305,$I289))</f>
        <v/>
      </c>
      <c r="C289" s="6">
        <f>IF($I289="","",INDEX(M$6:M$305,$I289))</f>
        <v/>
      </c>
      <c r="D289" s="6">
        <f>IF($I289="","",INDEX(N$6:N$305,$I289))</f>
        <v/>
      </c>
      <c r="E289" s="6">
        <f>IF($I289="","",INDEX(O$6:O$305,$I289))</f>
        <v/>
      </c>
      <c r="F289" s="6">
        <f>IF($I289="","",INDEX(P$6:P$305,$I289))</f>
        <v/>
      </c>
      <c r="G289" s="6">
        <f>IF($I289="","",INDEX(Q$6:Q$305,$I289))</f>
        <v/>
      </c>
      <c r="H289" s="6">
        <f>IF($I289="","",INDEX(R$6:R$305,$I289))</f>
        <v/>
      </c>
      <c r="I289" s="21">
        <f>IFERROR(MATCH(284,$T$6:$T$305,0),"")</f>
        <v/>
      </c>
      <c r="K289" s="21">
        <f>IF('Debtor Summary'!A288="","",'Debtor Summary'!A288)</f>
        <v/>
      </c>
      <c r="L289" s="24">
        <f>IF($K289="","",IF($B$2="","",ROUND(SUMIFS('Opening Balance'!$F$4:$F$303,'Opening Balance'!$G$4:$G$303,$K289)+SUMIFS('Daily Sale entry '!$S$2:$S$1501,'Daily Sale entry '!$P$2:$P$1501,$K289,'Daily Sale entry '!$Q$2:$Q$1501,"Credit Sale 赊销",'Daily Sale entry '!$O$2:$O$1501,"&lt;"&amp;$B$2)-SUMIFS('Daily Sale entry '!$S$2:$S$1501,'Daily Sale entry '!$P$2:$P$1501,$K289,'Daily Sale entry '!$Q$2:$Q$1501,"Collection 收款",'Daily Sale entry '!$O$2:$O$1501,"&lt;"&amp;$B$2)-SUMIFS('Daily Sale entry '!$AC$2:$AC$1501,'Daily Sale entry '!$AA$2:$AA$1501,$K289,'Daily Sale entry '!$Z$2:$Z$1501,"Online collection 网上收款",'Daily Sale entry '!$X$2:$X$1501,"&lt;"&amp;$B$2)-SUMIFS('Debtor Ledger'!$K$2:$K$3001,'Debtor Ledger'!$C$2:$C$3001,$K289,'Debtor Ledger'!$B$2:$B$3001,"&lt;"&amp;$B$2),2)))</f>
        <v/>
      </c>
      <c r="M289" s="24">
        <f>IF($K289="","",IF($B$2="","",SUMIFS('Daily Sale entry '!$S$2:$S$1501,'Daily Sale entry '!$P$2:$P$1501,$K289,'Daily Sale entry '!$Q$2:$Q$1501,"Credit Sale 赊销",'Daily Sale entry '!$O$2:$O$1501,$B$2)))</f>
        <v/>
      </c>
      <c r="N289" s="24">
        <f>IF($K289="","",IF($B$2="","",SUMIFS('Daily Sale entry '!$S$2:$S$1501,'Daily Sale entry '!$P$2:$P$1501,$K289,'Daily Sale entry '!$Q$2:$Q$1501,"Collection 收款",'Daily Sale entry '!$R$2:$R$1501,"Cash 现金",'Daily Sale entry '!$O$2:$O$1501,$B$2)))</f>
        <v/>
      </c>
      <c r="O289" s="24">
        <f>IF($K289="","",IF($B$2="","",SUMIFS('Daily Sale entry '!$S$2:$S$1501,'Daily Sale entry '!$P$2:$P$1501,$K289,'Daily Sale entry '!$Q$2:$Q$1501,"Collection 收款",'Daily Sale entry '!$R$2:$R$1501,"Cheque 支票",'Daily Sale entry '!$O$2:$O$1501,$B$2)))</f>
        <v/>
      </c>
      <c r="P289" s="24">
        <f>IF($K289="","",IF($B$2="","",SUMIFS('Daily Sale entry '!$AC$2:$AC$1501,'Daily Sale entry '!$AA$2:$AA$1501,$K289,'Daily Sale entry '!$Z$2:$Z$1501,"Online collection 网上收款",'Daily Sale entry '!$X$2:$X$1501,$B$2)))</f>
        <v/>
      </c>
      <c r="Q289" s="24">
        <f>IF($K289="","",IF($B$2="","",SUMIFS('Debtor Ledger'!$K$2:$K$3001,'Debtor Ledger'!$C$2:$C$3001,$K289,'Debtor Ledger'!$B$2:$B$3001,$B$2)))</f>
        <v/>
      </c>
      <c r="R289" s="24">
        <f>IF($K289="","",IF($B$2="","",ROUND(L289+M289-N289-O289-P289-Q289,2)))</f>
        <v/>
      </c>
      <c r="S289" s="21">
        <f>IF(K289="","",IF($B$2="","",IF(ABS(M289)+ABS(N289)+ABS(O289)+ABS(P289)+ABS(Q289)&gt;0,1,0)))</f>
        <v/>
      </c>
      <c r="T289" s="21">
        <f>IF(S289=1,SUM($S$6:S289),"")</f>
        <v/>
      </c>
    </row>
    <row r="290">
      <c r="A290">
        <f>IF($I290="","",INDEX(K$6:K$305,$I290))</f>
        <v/>
      </c>
      <c r="B290" s="6">
        <f>IF($I290="","",INDEX(L$6:L$305,$I290))</f>
        <v/>
      </c>
      <c r="C290" s="6">
        <f>IF($I290="","",INDEX(M$6:M$305,$I290))</f>
        <v/>
      </c>
      <c r="D290" s="6">
        <f>IF($I290="","",INDEX(N$6:N$305,$I290))</f>
        <v/>
      </c>
      <c r="E290" s="6">
        <f>IF($I290="","",INDEX(O$6:O$305,$I290))</f>
        <v/>
      </c>
      <c r="F290" s="6">
        <f>IF($I290="","",INDEX(P$6:P$305,$I290))</f>
        <v/>
      </c>
      <c r="G290" s="6">
        <f>IF($I290="","",INDEX(Q$6:Q$305,$I290))</f>
        <v/>
      </c>
      <c r="H290" s="6">
        <f>IF($I290="","",INDEX(R$6:R$305,$I290))</f>
        <v/>
      </c>
      <c r="I290" s="21">
        <f>IFERROR(MATCH(285,$T$6:$T$305,0),"")</f>
        <v/>
      </c>
      <c r="K290" s="21">
        <f>IF('Debtor Summary'!A289="","",'Debtor Summary'!A289)</f>
        <v/>
      </c>
      <c r="L290" s="24">
        <f>IF($K290="","",IF($B$2="","",ROUND(SUMIFS('Opening Balance'!$F$4:$F$303,'Opening Balance'!$G$4:$G$303,$K290)+SUMIFS('Daily Sale entry '!$S$2:$S$1501,'Daily Sale entry '!$P$2:$P$1501,$K290,'Daily Sale entry '!$Q$2:$Q$1501,"Credit Sale 赊销",'Daily Sale entry '!$O$2:$O$1501,"&lt;"&amp;$B$2)-SUMIFS('Daily Sale entry '!$S$2:$S$1501,'Daily Sale entry '!$P$2:$P$1501,$K290,'Daily Sale entry '!$Q$2:$Q$1501,"Collection 收款",'Daily Sale entry '!$O$2:$O$1501,"&lt;"&amp;$B$2)-SUMIFS('Daily Sale entry '!$AC$2:$AC$1501,'Daily Sale entry '!$AA$2:$AA$1501,$K290,'Daily Sale entry '!$Z$2:$Z$1501,"Online collection 网上收款",'Daily Sale entry '!$X$2:$X$1501,"&lt;"&amp;$B$2)-SUMIFS('Debtor Ledger'!$K$2:$K$3001,'Debtor Ledger'!$C$2:$C$3001,$K290,'Debtor Ledger'!$B$2:$B$3001,"&lt;"&amp;$B$2),2)))</f>
        <v/>
      </c>
      <c r="M290" s="24">
        <f>IF($K290="","",IF($B$2="","",SUMIFS('Daily Sale entry '!$S$2:$S$1501,'Daily Sale entry '!$P$2:$P$1501,$K290,'Daily Sale entry '!$Q$2:$Q$1501,"Credit Sale 赊销",'Daily Sale entry '!$O$2:$O$1501,$B$2)))</f>
        <v/>
      </c>
      <c r="N290" s="24">
        <f>IF($K290="","",IF($B$2="","",SUMIFS('Daily Sale entry '!$S$2:$S$1501,'Daily Sale entry '!$P$2:$P$1501,$K290,'Daily Sale entry '!$Q$2:$Q$1501,"Collection 收款",'Daily Sale entry '!$R$2:$R$1501,"Cash 现金",'Daily Sale entry '!$O$2:$O$1501,$B$2)))</f>
        <v/>
      </c>
      <c r="O290" s="24">
        <f>IF($K290="","",IF($B$2="","",SUMIFS('Daily Sale entry '!$S$2:$S$1501,'Daily Sale entry '!$P$2:$P$1501,$K290,'Daily Sale entry '!$Q$2:$Q$1501,"Collection 收款",'Daily Sale entry '!$R$2:$R$1501,"Cheque 支票",'Daily Sale entry '!$O$2:$O$1501,$B$2)))</f>
        <v/>
      </c>
      <c r="P290" s="24">
        <f>IF($K290="","",IF($B$2="","",SUMIFS('Daily Sale entry '!$AC$2:$AC$1501,'Daily Sale entry '!$AA$2:$AA$1501,$K290,'Daily Sale entry '!$Z$2:$Z$1501,"Online collection 网上收款",'Daily Sale entry '!$X$2:$X$1501,$B$2)))</f>
        <v/>
      </c>
      <c r="Q290" s="24">
        <f>IF($K290="","",IF($B$2="","",SUMIFS('Debtor Ledger'!$K$2:$K$3001,'Debtor Ledger'!$C$2:$C$3001,$K290,'Debtor Ledger'!$B$2:$B$3001,$B$2)))</f>
        <v/>
      </c>
      <c r="R290" s="24">
        <f>IF($K290="","",IF($B$2="","",ROUND(L290+M290-N290-O290-P290-Q290,2)))</f>
        <v/>
      </c>
      <c r="S290" s="21">
        <f>IF(K290="","",IF($B$2="","",IF(ABS(M290)+ABS(N290)+ABS(O290)+ABS(P290)+ABS(Q290)&gt;0,1,0)))</f>
        <v/>
      </c>
      <c r="T290" s="21">
        <f>IF(S290=1,SUM($S$6:S290),"")</f>
        <v/>
      </c>
    </row>
    <row r="291">
      <c r="A291">
        <f>IF($I291="","",INDEX(K$6:K$305,$I291))</f>
        <v/>
      </c>
      <c r="B291" s="6">
        <f>IF($I291="","",INDEX(L$6:L$305,$I291))</f>
        <v/>
      </c>
      <c r="C291" s="6">
        <f>IF($I291="","",INDEX(M$6:M$305,$I291))</f>
        <v/>
      </c>
      <c r="D291" s="6">
        <f>IF($I291="","",INDEX(N$6:N$305,$I291))</f>
        <v/>
      </c>
      <c r="E291" s="6">
        <f>IF($I291="","",INDEX(O$6:O$305,$I291))</f>
        <v/>
      </c>
      <c r="F291" s="6">
        <f>IF($I291="","",INDEX(P$6:P$305,$I291))</f>
        <v/>
      </c>
      <c r="G291" s="6">
        <f>IF($I291="","",INDEX(Q$6:Q$305,$I291))</f>
        <v/>
      </c>
      <c r="H291" s="6">
        <f>IF($I291="","",INDEX(R$6:R$305,$I291))</f>
        <v/>
      </c>
      <c r="I291" s="21">
        <f>IFERROR(MATCH(286,$T$6:$T$305,0),"")</f>
        <v/>
      </c>
      <c r="K291" s="21">
        <f>IF('Debtor Summary'!A290="","",'Debtor Summary'!A290)</f>
        <v/>
      </c>
      <c r="L291" s="24">
        <f>IF($K291="","",IF($B$2="","",ROUND(SUMIFS('Opening Balance'!$F$4:$F$303,'Opening Balance'!$G$4:$G$303,$K291)+SUMIFS('Daily Sale entry '!$S$2:$S$1501,'Daily Sale entry '!$P$2:$P$1501,$K291,'Daily Sale entry '!$Q$2:$Q$1501,"Credit Sale 赊销",'Daily Sale entry '!$O$2:$O$1501,"&lt;"&amp;$B$2)-SUMIFS('Daily Sale entry '!$S$2:$S$1501,'Daily Sale entry '!$P$2:$P$1501,$K291,'Daily Sale entry '!$Q$2:$Q$1501,"Collection 收款",'Daily Sale entry '!$O$2:$O$1501,"&lt;"&amp;$B$2)-SUMIFS('Daily Sale entry '!$AC$2:$AC$1501,'Daily Sale entry '!$AA$2:$AA$1501,$K291,'Daily Sale entry '!$Z$2:$Z$1501,"Online collection 网上收款",'Daily Sale entry '!$X$2:$X$1501,"&lt;"&amp;$B$2)-SUMIFS('Debtor Ledger'!$K$2:$K$3001,'Debtor Ledger'!$C$2:$C$3001,$K291,'Debtor Ledger'!$B$2:$B$3001,"&lt;"&amp;$B$2),2)))</f>
        <v/>
      </c>
      <c r="M291" s="24">
        <f>IF($K291="","",IF($B$2="","",SUMIFS('Daily Sale entry '!$S$2:$S$1501,'Daily Sale entry '!$P$2:$P$1501,$K291,'Daily Sale entry '!$Q$2:$Q$1501,"Credit Sale 赊销",'Daily Sale entry '!$O$2:$O$1501,$B$2)))</f>
        <v/>
      </c>
      <c r="N291" s="24">
        <f>IF($K291="","",IF($B$2="","",SUMIFS('Daily Sale entry '!$S$2:$S$1501,'Daily Sale entry '!$P$2:$P$1501,$K291,'Daily Sale entry '!$Q$2:$Q$1501,"Collection 收款",'Daily Sale entry '!$R$2:$R$1501,"Cash 现金",'Daily Sale entry '!$O$2:$O$1501,$B$2)))</f>
        <v/>
      </c>
      <c r="O291" s="24">
        <f>IF($K291="","",IF($B$2="","",SUMIFS('Daily Sale entry '!$S$2:$S$1501,'Daily Sale entry '!$P$2:$P$1501,$K291,'Daily Sale entry '!$Q$2:$Q$1501,"Collection 收款",'Daily Sale entry '!$R$2:$R$1501,"Cheque 支票",'Daily Sale entry '!$O$2:$O$1501,$B$2)))</f>
        <v/>
      </c>
      <c r="P291" s="24">
        <f>IF($K291="","",IF($B$2="","",SUMIFS('Daily Sale entry '!$AC$2:$AC$1501,'Daily Sale entry '!$AA$2:$AA$1501,$K291,'Daily Sale entry '!$Z$2:$Z$1501,"Online collection 网上收款",'Daily Sale entry '!$X$2:$X$1501,$B$2)))</f>
        <v/>
      </c>
      <c r="Q291" s="24">
        <f>IF($K291="","",IF($B$2="","",SUMIFS('Debtor Ledger'!$K$2:$K$3001,'Debtor Ledger'!$C$2:$C$3001,$K291,'Debtor Ledger'!$B$2:$B$3001,$B$2)))</f>
        <v/>
      </c>
      <c r="R291" s="24">
        <f>IF($K291="","",IF($B$2="","",ROUND(L291+M291-N291-O291-P291-Q291,2)))</f>
        <v/>
      </c>
      <c r="S291" s="21">
        <f>IF(K291="","",IF($B$2="","",IF(ABS(M291)+ABS(N291)+ABS(O291)+ABS(P291)+ABS(Q291)&gt;0,1,0)))</f>
        <v/>
      </c>
      <c r="T291" s="21">
        <f>IF(S291=1,SUM($S$6:S291),"")</f>
        <v/>
      </c>
    </row>
    <row r="292">
      <c r="A292">
        <f>IF($I292="","",INDEX(K$6:K$305,$I292))</f>
        <v/>
      </c>
      <c r="B292" s="6">
        <f>IF($I292="","",INDEX(L$6:L$305,$I292))</f>
        <v/>
      </c>
      <c r="C292" s="6">
        <f>IF($I292="","",INDEX(M$6:M$305,$I292))</f>
        <v/>
      </c>
      <c r="D292" s="6">
        <f>IF($I292="","",INDEX(N$6:N$305,$I292))</f>
        <v/>
      </c>
      <c r="E292" s="6">
        <f>IF($I292="","",INDEX(O$6:O$305,$I292))</f>
        <v/>
      </c>
      <c r="F292" s="6">
        <f>IF($I292="","",INDEX(P$6:P$305,$I292))</f>
        <v/>
      </c>
      <c r="G292" s="6">
        <f>IF($I292="","",INDEX(Q$6:Q$305,$I292))</f>
        <v/>
      </c>
      <c r="H292" s="6">
        <f>IF($I292="","",INDEX(R$6:R$305,$I292))</f>
        <v/>
      </c>
      <c r="I292" s="21">
        <f>IFERROR(MATCH(287,$T$6:$T$305,0),"")</f>
        <v/>
      </c>
      <c r="K292" s="21">
        <f>IF('Debtor Summary'!A291="","",'Debtor Summary'!A291)</f>
        <v/>
      </c>
      <c r="L292" s="24">
        <f>IF($K292="","",IF($B$2="","",ROUND(SUMIFS('Opening Balance'!$F$4:$F$303,'Opening Balance'!$G$4:$G$303,$K292)+SUMIFS('Daily Sale entry '!$S$2:$S$1501,'Daily Sale entry '!$P$2:$P$1501,$K292,'Daily Sale entry '!$Q$2:$Q$1501,"Credit Sale 赊销",'Daily Sale entry '!$O$2:$O$1501,"&lt;"&amp;$B$2)-SUMIFS('Daily Sale entry '!$S$2:$S$1501,'Daily Sale entry '!$P$2:$P$1501,$K292,'Daily Sale entry '!$Q$2:$Q$1501,"Collection 收款",'Daily Sale entry '!$O$2:$O$1501,"&lt;"&amp;$B$2)-SUMIFS('Daily Sale entry '!$AC$2:$AC$1501,'Daily Sale entry '!$AA$2:$AA$1501,$K292,'Daily Sale entry '!$Z$2:$Z$1501,"Online collection 网上收款",'Daily Sale entry '!$X$2:$X$1501,"&lt;"&amp;$B$2)-SUMIFS('Debtor Ledger'!$K$2:$K$3001,'Debtor Ledger'!$C$2:$C$3001,$K292,'Debtor Ledger'!$B$2:$B$3001,"&lt;"&amp;$B$2),2)))</f>
        <v/>
      </c>
      <c r="M292" s="24">
        <f>IF($K292="","",IF($B$2="","",SUMIFS('Daily Sale entry '!$S$2:$S$1501,'Daily Sale entry '!$P$2:$P$1501,$K292,'Daily Sale entry '!$Q$2:$Q$1501,"Credit Sale 赊销",'Daily Sale entry '!$O$2:$O$1501,$B$2)))</f>
        <v/>
      </c>
      <c r="N292" s="24">
        <f>IF($K292="","",IF($B$2="","",SUMIFS('Daily Sale entry '!$S$2:$S$1501,'Daily Sale entry '!$P$2:$P$1501,$K292,'Daily Sale entry '!$Q$2:$Q$1501,"Collection 收款",'Daily Sale entry '!$R$2:$R$1501,"Cash 现金",'Daily Sale entry '!$O$2:$O$1501,$B$2)))</f>
        <v/>
      </c>
      <c r="O292" s="24">
        <f>IF($K292="","",IF($B$2="","",SUMIFS('Daily Sale entry '!$S$2:$S$1501,'Daily Sale entry '!$P$2:$P$1501,$K292,'Daily Sale entry '!$Q$2:$Q$1501,"Collection 收款",'Daily Sale entry '!$R$2:$R$1501,"Cheque 支票",'Daily Sale entry '!$O$2:$O$1501,$B$2)))</f>
        <v/>
      </c>
      <c r="P292" s="24">
        <f>IF($K292="","",IF($B$2="","",SUMIFS('Daily Sale entry '!$AC$2:$AC$1501,'Daily Sale entry '!$AA$2:$AA$1501,$K292,'Daily Sale entry '!$Z$2:$Z$1501,"Online collection 网上收款",'Daily Sale entry '!$X$2:$X$1501,$B$2)))</f>
        <v/>
      </c>
      <c r="Q292" s="24">
        <f>IF($K292="","",IF($B$2="","",SUMIFS('Debtor Ledger'!$K$2:$K$3001,'Debtor Ledger'!$C$2:$C$3001,$K292,'Debtor Ledger'!$B$2:$B$3001,$B$2)))</f>
        <v/>
      </c>
      <c r="R292" s="24">
        <f>IF($K292="","",IF($B$2="","",ROUND(L292+M292-N292-O292-P292-Q292,2)))</f>
        <v/>
      </c>
      <c r="S292" s="21">
        <f>IF(K292="","",IF($B$2="","",IF(ABS(M292)+ABS(N292)+ABS(O292)+ABS(P292)+ABS(Q292)&gt;0,1,0)))</f>
        <v/>
      </c>
      <c r="T292" s="21">
        <f>IF(S292=1,SUM($S$6:S292),"")</f>
        <v/>
      </c>
    </row>
    <row r="293">
      <c r="A293">
        <f>IF($I293="","",INDEX(K$6:K$305,$I293))</f>
        <v/>
      </c>
      <c r="B293" s="6">
        <f>IF($I293="","",INDEX(L$6:L$305,$I293))</f>
        <v/>
      </c>
      <c r="C293" s="6">
        <f>IF($I293="","",INDEX(M$6:M$305,$I293))</f>
        <v/>
      </c>
      <c r="D293" s="6">
        <f>IF($I293="","",INDEX(N$6:N$305,$I293))</f>
        <v/>
      </c>
      <c r="E293" s="6">
        <f>IF($I293="","",INDEX(O$6:O$305,$I293))</f>
        <v/>
      </c>
      <c r="F293" s="6">
        <f>IF($I293="","",INDEX(P$6:P$305,$I293))</f>
        <v/>
      </c>
      <c r="G293" s="6">
        <f>IF($I293="","",INDEX(Q$6:Q$305,$I293))</f>
        <v/>
      </c>
      <c r="H293" s="6">
        <f>IF($I293="","",INDEX(R$6:R$305,$I293))</f>
        <v/>
      </c>
      <c r="I293" s="21">
        <f>IFERROR(MATCH(288,$T$6:$T$305,0),"")</f>
        <v/>
      </c>
      <c r="K293" s="21">
        <f>IF('Debtor Summary'!A292="","",'Debtor Summary'!A292)</f>
        <v/>
      </c>
      <c r="L293" s="24">
        <f>IF($K293="","",IF($B$2="","",ROUND(SUMIFS('Opening Balance'!$F$4:$F$303,'Opening Balance'!$G$4:$G$303,$K293)+SUMIFS('Daily Sale entry '!$S$2:$S$1501,'Daily Sale entry '!$P$2:$P$1501,$K293,'Daily Sale entry '!$Q$2:$Q$1501,"Credit Sale 赊销",'Daily Sale entry '!$O$2:$O$1501,"&lt;"&amp;$B$2)-SUMIFS('Daily Sale entry '!$S$2:$S$1501,'Daily Sale entry '!$P$2:$P$1501,$K293,'Daily Sale entry '!$Q$2:$Q$1501,"Collection 收款",'Daily Sale entry '!$O$2:$O$1501,"&lt;"&amp;$B$2)-SUMIFS('Daily Sale entry '!$AC$2:$AC$1501,'Daily Sale entry '!$AA$2:$AA$1501,$K293,'Daily Sale entry '!$Z$2:$Z$1501,"Online collection 网上收款",'Daily Sale entry '!$X$2:$X$1501,"&lt;"&amp;$B$2)-SUMIFS('Debtor Ledger'!$K$2:$K$3001,'Debtor Ledger'!$C$2:$C$3001,$K293,'Debtor Ledger'!$B$2:$B$3001,"&lt;"&amp;$B$2),2)))</f>
        <v/>
      </c>
      <c r="M293" s="24">
        <f>IF($K293="","",IF($B$2="","",SUMIFS('Daily Sale entry '!$S$2:$S$1501,'Daily Sale entry '!$P$2:$P$1501,$K293,'Daily Sale entry '!$Q$2:$Q$1501,"Credit Sale 赊销",'Daily Sale entry '!$O$2:$O$1501,$B$2)))</f>
        <v/>
      </c>
      <c r="N293" s="24">
        <f>IF($K293="","",IF($B$2="","",SUMIFS('Daily Sale entry '!$S$2:$S$1501,'Daily Sale entry '!$P$2:$P$1501,$K293,'Daily Sale entry '!$Q$2:$Q$1501,"Collection 收款",'Daily Sale entry '!$R$2:$R$1501,"Cash 现金",'Daily Sale entry '!$O$2:$O$1501,$B$2)))</f>
        <v/>
      </c>
      <c r="O293" s="24">
        <f>IF($K293="","",IF($B$2="","",SUMIFS('Daily Sale entry '!$S$2:$S$1501,'Daily Sale entry '!$P$2:$P$1501,$K293,'Daily Sale entry '!$Q$2:$Q$1501,"Collection 收款",'Daily Sale entry '!$R$2:$R$1501,"Cheque 支票",'Daily Sale entry '!$O$2:$O$1501,$B$2)))</f>
        <v/>
      </c>
      <c r="P293" s="24">
        <f>IF($K293="","",IF($B$2="","",SUMIFS('Daily Sale entry '!$AC$2:$AC$1501,'Daily Sale entry '!$AA$2:$AA$1501,$K293,'Daily Sale entry '!$Z$2:$Z$1501,"Online collection 网上收款",'Daily Sale entry '!$X$2:$X$1501,$B$2)))</f>
        <v/>
      </c>
      <c r="Q293" s="24">
        <f>IF($K293="","",IF($B$2="","",SUMIFS('Debtor Ledger'!$K$2:$K$3001,'Debtor Ledger'!$C$2:$C$3001,$K293,'Debtor Ledger'!$B$2:$B$3001,$B$2)))</f>
        <v/>
      </c>
      <c r="R293" s="24">
        <f>IF($K293="","",IF($B$2="","",ROUND(L293+M293-N293-O293-P293-Q293,2)))</f>
        <v/>
      </c>
      <c r="S293" s="21">
        <f>IF(K293="","",IF($B$2="","",IF(ABS(M293)+ABS(N293)+ABS(O293)+ABS(P293)+ABS(Q293)&gt;0,1,0)))</f>
        <v/>
      </c>
      <c r="T293" s="21">
        <f>IF(S293=1,SUM($S$6:S293),"")</f>
        <v/>
      </c>
    </row>
    <row r="294">
      <c r="A294">
        <f>IF($I294="","",INDEX(K$6:K$305,$I294))</f>
        <v/>
      </c>
      <c r="B294" s="6">
        <f>IF($I294="","",INDEX(L$6:L$305,$I294))</f>
        <v/>
      </c>
      <c r="C294" s="6">
        <f>IF($I294="","",INDEX(M$6:M$305,$I294))</f>
        <v/>
      </c>
      <c r="D294" s="6">
        <f>IF($I294="","",INDEX(N$6:N$305,$I294))</f>
        <v/>
      </c>
      <c r="E294" s="6">
        <f>IF($I294="","",INDEX(O$6:O$305,$I294))</f>
        <v/>
      </c>
      <c r="F294" s="6">
        <f>IF($I294="","",INDEX(P$6:P$305,$I294))</f>
        <v/>
      </c>
      <c r="G294" s="6">
        <f>IF($I294="","",INDEX(Q$6:Q$305,$I294))</f>
        <v/>
      </c>
      <c r="H294" s="6">
        <f>IF($I294="","",INDEX(R$6:R$305,$I294))</f>
        <v/>
      </c>
      <c r="I294" s="21">
        <f>IFERROR(MATCH(289,$T$6:$T$305,0),"")</f>
        <v/>
      </c>
      <c r="K294" s="21">
        <f>IF('Debtor Summary'!A293="","",'Debtor Summary'!A293)</f>
        <v/>
      </c>
      <c r="L294" s="24">
        <f>IF($K294="","",IF($B$2="","",ROUND(SUMIFS('Opening Balance'!$F$4:$F$303,'Opening Balance'!$G$4:$G$303,$K294)+SUMIFS('Daily Sale entry '!$S$2:$S$1501,'Daily Sale entry '!$P$2:$P$1501,$K294,'Daily Sale entry '!$Q$2:$Q$1501,"Credit Sale 赊销",'Daily Sale entry '!$O$2:$O$1501,"&lt;"&amp;$B$2)-SUMIFS('Daily Sale entry '!$S$2:$S$1501,'Daily Sale entry '!$P$2:$P$1501,$K294,'Daily Sale entry '!$Q$2:$Q$1501,"Collection 收款",'Daily Sale entry '!$O$2:$O$1501,"&lt;"&amp;$B$2)-SUMIFS('Daily Sale entry '!$AC$2:$AC$1501,'Daily Sale entry '!$AA$2:$AA$1501,$K294,'Daily Sale entry '!$Z$2:$Z$1501,"Online collection 网上收款",'Daily Sale entry '!$X$2:$X$1501,"&lt;"&amp;$B$2)-SUMIFS('Debtor Ledger'!$K$2:$K$3001,'Debtor Ledger'!$C$2:$C$3001,$K294,'Debtor Ledger'!$B$2:$B$3001,"&lt;"&amp;$B$2),2)))</f>
        <v/>
      </c>
      <c r="M294" s="24">
        <f>IF($K294="","",IF($B$2="","",SUMIFS('Daily Sale entry '!$S$2:$S$1501,'Daily Sale entry '!$P$2:$P$1501,$K294,'Daily Sale entry '!$Q$2:$Q$1501,"Credit Sale 赊销",'Daily Sale entry '!$O$2:$O$1501,$B$2)))</f>
        <v/>
      </c>
      <c r="N294" s="24">
        <f>IF($K294="","",IF($B$2="","",SUMIFS('Daily Sale entry '!$S$2:$S$1501,'Daily Sale entry '!$P$2:$P$1501,$K294,'Daily Sale entry '!$Q$2:$Q$1501,"Collection 收款",'Daily Sale entry '!$R$2:$R$1501,"Cash 现金",'Daily Sale entry '!$O$2:$O$1501,$B$2)))</f>
        <v/>
      </c>
      <c r="O294" s="24">
        <f>IF($K294="","",IF($B$2="","",SUMIFS('Daily Sale entry '!$S$2:$S$1501,'Daily Sale entry '!$P$2:$P$1501,$K294,'Daily Sale entry '!$Q$2:$Q$1501,"Collection 收款",'Daily Sale entry '!$R$2:$R$1501,"Cheque 支票",'Daily Sale entry '!$O$2:$O$1501,$B$2)))</f>
        <v/>
      </c>
      <c r="P294" s="24">
        <f>IF($K294="","",IF($B$2="","",SUMIFS('Daily Sale entry '!$AC$2:$AC$1501,'Daily Sale entry '!$AA$2:$AA$1501,$K294,'Daily Sale entry '!$Z$2:$Z$1501,"Online collection 网上收款",'Daily Sale entry '!$X$2:$X$1501,$B$2)))</f>
        <v/>
      </c>
      <c r="Q294" s="24">
        <f>IF($K294="","",IF($B$2="","",SUMIFS('Debtor Ledger'!$K$2:$K$3001,'Debtor Ledger'!$C$2:$C$3001,$K294,'Debtor Ledger'!$B$2:$B$3001,$B$2)))</f>
        <v/>
      </c>
      <c r="R294" s="24">
        <f>IF($K294="","",IF($B$2="","",ROUND(L294+M294-N294-O294-P294-Q294,2)))</f>
        <v/>
      </c>
      <c r="S294" s="21">
        <f>IF(K294="","",IF($B$2="","",IF(ABS(M294)+ABS(N294)+ABS(O294)+ABS(P294)+ABS(Q294)&gt;0,1,0)))</f>
        <v/>
      </c>
      <c r="T294" s="21">
        <f>IF(S294=1,SUM($S$6:S294),"")</f>
        <v/>
      </c>
    </row>
    <row r="295">
      <c r="A295">
        <f>IF($I295="","",INDEX(K$6:K$305,$I295))</f>
        <v/>
      </c>
      <c r="B295" s="6">
        <f>IF($I295="","",INDEX(L$6:L$305,$I295))</f>
        <v/>
      </c>
      <c r="C295" s="6">
        <f>IF($I295="","",INDEX(M$6:M$305,$I295))</f>
        <v/>
      </c>
      <c r="D295" s="6">
        <f>IF($I295="","",INDEX(N$6:N$305,$I295))</f>
        <v/>
      </c>
      <c r="E295" s="6">
        <f>IF($I295="","",INDEX(O$6:O$305,$I295))</f>
        <v/>
      </c>
      <c r="F295" s="6">
        <f>IF($I295="","",INDEX(P$6:P$305,$I295))</f>
        <v/>
      </c>
      <c r="G295" s="6">
        <f>IF($I295="","",INDEX(Q$6:Q$305,$I295))</f>
        <v/>
      </c>
      <c r="H295" s="6">
        <f>IF($I295="","",INDEX(R$6:R$305,$I295))</f>
        <v/>
      </c>
      <c r="I295" s="21">
        <f>IFERROR(MATCH(290,$T$6:$T$305,0),"")</f>
        <v/>
      </c>
      <c r="K295" s="21">
        <f>IF('Debtor Summary'!A294="","",'Debtor Summary'!A294)</f>
        <v/>
      </c>
      <c r="L295" s="24">
        <f>IF($K295="","",IF($B$2="","",ROUND(SUMIFS('Opening Balance'!$F$4:$F$303,'Opening Balance'!$G$4:$G$303,$K295)+SUMIFS('Daily Sale entry '!$S$2:$S$1501,'Daily Sale entry '!$P$2:$P$1501,$K295,'Daily Sale entry '!$Q$2:$Q$1501,"Credit Sale 赊销",'Daily Sale entry '!$O$2:$O$1501,"&lt;"&amp;$B$2)-SUMIFS('Daily Sale entry '!$S$2:$S$1501,'Daily Sale entry '!$P$2:$P$1501,$K295,'Daily Sale entry '!$Q$2:$Q$1501,"Collection 收款",'Daily Sale entry '!$O$2:$O$1501,"&lt;"&amp;$B$2)-SUMIFS('Daily Sale entry '!$AC$2:$AC$1501,'Daily Sale entry '!$AA$2:$AA$1501,$K295,'Daily Sale entry '!$Z$2:$Z$1501,"Online collection 网上收款",'Daily Sale entry '!$X$2:$X$1501,"&lt;"&amp;$B$2)-SUMIFS('Debtor Ledger'!$K$2:$K$3001,'Debtor Ledger'!$C$2:$C$3001,$K295,'Debtor Ledger'!$B$2:$B$3001,"&lt;"&amp;$B$2),2)))</f>
        <v/>
      </c>
      <c r="M295" s="24">
        <f>IF($K295="","",IF($B$2="","",SUMIFS('Daily Sale entry '!$S$2:$S$1501,'Daily Sale entry '!$P$2:$P$1501,$K295,'Daily Sale entry '!$Q$2:$Q$1501,"Credit Sale 赊销",'Daily Sale entry '!$O$2:$O$1501,$B$2)))</f>
        <v/>
      </c>
      <c r="N295" s="24">
        <f>IF($K295="","",IF($B$2="","",SUMIFS('Daily Sale entry '!$S$2:$S$1501,'Daily Sale entry '!$P$2:$P$1501,$K295,'Daily Sale entry '!$Q$2:$Q$1501,"Collection 收款",'Daily Sale entry '!$R$2:$R$1501,"Cash 现金",'Daily Sale entry '!$O$2:$O$1501,$B$2)))</f>
        <v/>
      </c>
      <c r="O295" s="24">
        <f>IF($K295="","",IF($B$2="","",SUMIFS('Daily Sale entry '!$S$2:$S$1501,'Daily Sale entry '!$P$2:$P$1501,$K295,'Daily Sale entry '!$Q$2:$Q$1501,"Collection 收款",'Daily Sale entry '!$R$2:$R$1501,"Cheque 支票",'Daily Sale entry '!$O$2:$O$1501,$B$2)))</f>
        <v/>
      </c>
      <c r="P295" s="24">
        <f>IF($K295="","",IF($B$2="","",SUMIFS('Daily Sale entry '!$AC$2:$AC$1501,'Daily Sale entry '!$AA$2:$AA$1501,$K295,'Daily Sale entry '!$Z$2:$Z$1501,"Online collection 网上收款",'Daily Sale entry '!$X$2:$X$1501,$B$2)))</f>
        <v/>
      </c>
      <c r="Q295" s="24">
        <f>IF($K295="","",IF($B$2="","",SUMIFS('Debtor Ledger'!$K$2:$K$3001,'Debtor Ledger'!$C$2:$C$3001,$K295,'Debtor Ledger'!$B$2:$B$3001,$B$2)))</f>
        <v/>
      </c>
      <c r="R295" s="24">
        <f>IF($K295="","",IF($B$2="","",ROUND(L295+M295-N295-O295-P295-Q295,2)))</f>
        <v/>
      </c>
      <c r="S295" s="21">
        <f>IF(K295="","",IF($B$2="","",IF(ABS(M295)+ABS(N295)+ABS(O295)+ABS(P295)+ABS(Q295)&gt;0,1,0)))</f>
        <v/>
      </c>
      <c r="T295" s="21">
        <f>IF(S295=1,SUM($S$6:S295),"")</f>
        <v/>
      </c>
    </row>
    <row r="296">
      <c r="A296">
        <f>IF($I296="","",INDEX(K$6:K$305,$I296))</f>
        <v/>
      </c>
      <c r="B296" s="6">
        <f>IF($I296="","",INDEX(L$6:L$305,$I296))</f>
        <v/>
      </c>
      <c r="C296" s="6">
        <f>IF($I296="","",INDEX(M$6:M$305,$I296))</f>
        <v/>
      </c>
      <c r="D296" s="6">
        <f>IF($I296="","",INDEX(N$6:N$305,$I296))</f>
        <v/>
      </c>
      <c r="E296" s="6">
        <f>IF($I296="","",INDEX(O$6:O$305,$I296))</f>
        <v/>
      </c>
      <c r="F296" s="6">
        <f>IF($I296="","",INDEX(P$6:P$305,$I296))</f>
        <v/>
      </c>
      <c r="G296" s="6">
        <f>IF($I296="","",INDEX(Q$6:Q$305,$I296))</f>
        <v/>
      </c>
      <c r="H296" s="6">
        <f>IF($I296="","",INDEX(R$6:R$305,$I296))</f>
        <v/>
      </c>
      <c r="I296" s="21">
        <f>IFERROR(MATCH(291,$T$6:$T$305,0),"")</f>
        <v/>
      </c>
      <c r="K296" s="21">
        <f>IF('Debtor Summary'!A295="","",'Debtor Summary'!A295)</f>
        <v/>
      </c>
      <c r="L296" s="24">
        <f>IF($K296="","",IF($B$2="","",ROUND(SUMIFS('Opening Balance'!$F$4:$F$303,'Opening Balance'!$G$4:$G$303,$K296)+SUMIFS('Daily Sale entry '!$S$2:$S$1501,'Daily Sale entry '!$P$2:$P$1501,$K296,'Daily Sale entry '!$Q$2:$Q$1501,"Credit Sale 赊销",'Daily Sale entry '!$O$2:$O$1501,"&lt;"&amp;$B$2)-SUMIFS('Daily Sale entry '!$S$2:$S$1501,'Daily Sale entry '!$P$2:$P$1501,$K296,'Daily Sale entry '!$Q$2:$Q$1501,"Collection 收款",'Daily Sale entry '!$O$2:$O$1501,"&lt;"&amp;$B$2)-SUMIFS('Daily Sale entry '!$AC$2:$AC$1501,'Daily Sale entry '!$AA$2:$AA$1501,$K296,'Daily Sale entry '!$Z$2:$Z$1501,"Online collection 网上收款",'Daily Sale entry '!$X$2:$X$1501,"&lt;"&amp;$B$2)-SUMIFS('Debtor Ledger'!$K$2:$K$3001,'Debtor Ledger'!$C$2:$C$3001,$K296,'Debtor Ledger'!$B$2:$B$3001,"&lt;"&amp;$B$2),2)))</f>
        <v/>
      </c>
      <c r="M296" s="24">
        <f>IF($K296="","",IF($B$2="","",SUMIFS('Daily Sale entry '!$S$2:$S$1501,'Daily Sale entry '!$P$2:$P$1501,$K296,'Daily Sale entry '!$Q$2:$Q$1501,"Credit Sale 赊销",'Daily Sale entry '!$O$2:$O$1501,$B$2)))</f>
        <v/>
      </c>
      <c r="N296" s="24">
        <f>IF($K296="","",IF($B$2="","",SUMIFS('Daily Sale entry '!$S$2:$S$1501,'Daily Sale entry '!$P$2:$P$1501,$K296,'Daily Sale entry '!$Q$2:$Q$1501,"Collection 收款",'Daily Sale entry '!$R$2:$R$1501,"Cash 现金",'Daily Sale entry '!$O$2:$O$1501,$B$2)))</f>
        <v/>
      </c>
      <c r="O296" s="24">
        <f>IF($K296="","",IF($B$2="","",SUMIFS('Daily Sale entry '!$S$2:$S$1501,'Daily Sale entry '!$P$2:$P$1501,$K296,'Daily Sale entry '!$Q$2:$Q$1501,"Collection 收款",'Daily Sale entry '!$R$2:$R$1501,"Cheque 支票",'Daily Sale entry '!$O$2:$O$1501,$B$2)))</f>
        <v/>
      </c>
      <c r="P296" s="24">
        <f>IF($K296="","",IF($B$2="","",SUMIFS('Daily Sale entry '!$AC$2:$AC$1501,'Daily Sale entry '!$AA$2:$AA$1501,$K296,'Daily Sale entry '!$Z$2:$Z$1501,"Online collection 网上收款",'Daily Sale entry '!$X$2:$X$1501,$B$2)))</f>
        <v/>
      </c>
      <c r="Q296" s="24">
        <f>IF($K296="","",IF($B$2="","",SUMIFS('Debtor Ledger'!$K$2:$K$3001,'Debtor Ledger'!$C$2:$C$3001,$K296,'Debtor Ledger'!$B$2:$B$3001,$B$2)))</f>
        <v/>
      </c>
      <c r="R296" s="24">
        <f>IF($K296="","",IF($B$2="","",ROUND(L296+M296-N296-O296-P296-Q296,2)))</f>
        <v/>
      </c>
      <c r="S296" s="21">
        <f>IF(K296="","",IF($B$2="","",IF(ABS(M296)+ABS(N296)+ABS(O296)+ABS(P296)+ABS(Q296)&gt;0,1,0)))</f>
        <v/>
      </c>
      <c r="T296" s="21">
        <f>IF(S296=1,SUM($S$6:S296),"")</f>
        <v/>
      </c>
    </row>
    <row r="297">
      <c r="A297">
        <f>IF($I297="","",INDEX(K$6:K$305,$I297))</f>
        <v/>
      </c>
      <c r="B297" s="6">
        <f>IF($I297="","",INDEX(L$6:L$305,$I297))</f>
        <v/>
      </c>
      <c r="C297" s="6">
        <f>IF($I297="","",INDEX(M$6:M$305,$I297))</f>
        <v/>
      </c>
      <c r="D297" s="6">
        <f>IF($I297="","",INDEX(N$6:N$305,$I297))</f>
        <v/>
      </c>
      <c r="E297" s="6">
        <f>IF($I297="","",INDEX(O$6:O$305,$I297))</f>
        <v/>
      </c>
      <c r="F297" s="6">
        <f>IF($I297="","",INDEX(P$6:P$305,$I297))</f>
        <v/>
      </c>
      <c r="G297" s="6">
        <f>IF($I297="","",INDEX(Q$6:Q$305,$I297))</f>
        <v/>
      </c>
      <c r="H297" s="6">
        <f>IF($I297="","",INDEX(R$6:R$305,$I297))</f>
        <v/>
      </c>
      <c r="I297" s="21">
        <f>IFERROR(MATCH(292,$T$6:$T$305,0),"")</f>
        <v/>
      </c>
      <c r="K297" s="21">
        <f>IF('Debtor Summary'!A296="","",'Debtor Summary'!A296)</f>
        <v/>
      </c>
      <c r="L297" s="24">
        <f>IF($K297="","",IF($B$2="","",ROUND(SUMIFS('Opening Balance'!$F$4:$F$303,'Opening Balance'!$G$4:$G$303,$K297)+SUMIFS('Daily Sale entry '!$S$2:$S$1501,'Daily Sale entry '!$P$2:$P$1501,$K297,'Daily Sale entry '!$Q$2:$Q$1501,"Credit Sale 赊销",'Daily Sale entry '!$O$2:$O$1501,"&lt;"&amp;$B$2)-SUMIFS('Daily Sale entry '!$S$2:$S$1501,'Daily Sale entry '!$P$2:$P$1501,$K297,'Daily Sale entry '!$Q$2:$Q$1501,"Collection 收款",'Daily Sale entry '!$O$2:$O$1501,"&lt;"&amp;$B$2)-SUMIFS('Daily Sale entry '!$AC$2:$AC$1501,'Daily Sale entry '!$AA$2:$AA$1501,$K297,'Daily Sale entry '!$Z$2:$Z$1501,"Online collection 网上收款",'Daily Sale entry '!$X$2:$X$1501,"&lt;"&amp;$B$2)-SUMIFS('Debtor Ledger'!$K$2:$K$3001,'Debtor Ledger'!$C$2:$C$3001,$K297,'Debtor Ledger'!$B$2:$B$3001,"&lt;"&amp;$B$2),2)))</f>
        <v/>
      </c>
      <c r="M297" s="24">
        <f>IF($K297="","",IF($B$2="","",SUMIFS('Daily Sale entry '!$S$2:$S$1501,'Daily Sale entry '!$P$2:$P$1501,$K297,'Daily Sale entry '!$Q$2:$Q$1501,"Credit Sale 赊销",'Daily Sale entry '!$O$2:$O$1501,$B$2)))</f>
        <v/>
      </c>
      <c r="N297" s="24">
        <f>IF($K297="","",IF($B$2="","",SUMIFS('Daily Sale entry '!$S$2:$S$1501,'Daily Sale entry '!$P$2:$P$1501,$K297,'Daily Sale entry '!$Q$2:$Q$1501,"Collection 收款",'Daily Sale entry '!$R$2:$R$1501,"Cash 现金",'Daily Sale entry '!$O$2:$O$1501,$B$2)))</f>
        <v/>
      </c>
      <c r="O297" s="24">
        <f>IF($K297="","",IF($B$2="","",SUMIFS('Daily Sale entry '!$S$2:$S$1501,'Daily Sale entry '!$P$2:$P$1501,$K297,'Daily Sale entry '!$Q$2:$Q$1501,"Collection 收款",'Daily Sale entry '!$R$2:$R$1501,"Cheque 支票",'Daily Sale entry '!$O$2:$O$1501,$B$2)))</f>
        <v/>
      </c>
      <c r="P297" s="24">
        <f>IF($K297="","",IF($B$2="","",SUMIFS('Daily Sale entry '!$AC$2:$AC$1501,'Daily Sale entry '!$AA$2:$AA$1501,$K297,'Daily Sale entry '!$Z$2:$Z$1501,"Online collection 网上收款",'Daily Sale entry '!$X$2:$X$1501,$B$2)))</f>
        <v/>
      </c>
      <c r="Q297" s="24">
        <f>IF($K297="","",IF($B$2="","",SUMIFS('Debtor Ledger'!$K$2:$K$3001,'Debtor Ledger'!$C$2:$C$3001,$K297,'Debtor Ledger'!$B$2:$B$3001,$B$2)))</f>
        <v/>
      </c>
      <c r="R297" s="24">
        <f>IF($K297="","",IF($B$2="","",ROUND(L297+M297-N297-O297-P297-Q297,2)))</f>
        <v/>
      </c>
      <c r="S297" s="21">
        <f>IF(K297="","",IF($B$2="","",IF(ABS(M297)+ABS(N297)+ABS(O297)+ABS(P297)+ABS(Q297)&gt;0,1,0)))</f>
        <v/>
      </c>
      <c r="T297" s="21">
        <f>IF(S297=1,SUM($S$6:S297),"")</f>
        <v/>
      </c>
    </row>
    <row r="298">
      <c r="A298">
        <f>IF($I298="","",INDEX(K$6:K$305,$I298))</f>
        <v/>
      </c>
      <c r="B298" s="6">
        <f>IF($I298="","",INDEX(L$6:L$305,$I298))</f>
        <v/>
      </c>
      <c r="C298" s="6">
        <f>IF($I298="","",INDEX(M$6:M$305,$I298))</f>
        <v/>
      </c>
      <c r="D298" s="6">
        <f>IF($I298="","",INDEX(N$6:N$305,$I298))</f>
        <v/>
      </c>
      <c r="E298" s="6">
        <f>IF($I298="","",INDEX(O$6:O$305,$I298))</f>
        <v/>
      </c>
      <c r="F298" s="6">
        <f>IF($I298="","",INDEX(P$6:P$305,$I298))</f>
        <v/>
      </c>
      <c r="G298" s="6">
        <f>IF($I298="","",INDEX(Q$6:Q$305,$I298))</f>
        <v/>
      </c>
      <c r="H298" s="6">
        <f>IF($I298="","",INDEX(R$6:R$305,$I298))</f>
        <v/>
      </c>
      <c r="I298" s="21">
        <f>IFERROR(MATCH(293,$T$6:$T$305,0),"")</f>
        <v/>
      </c>
      <c r="K298" s="21">
        <f>IF('Debtor Summary'!A297="","",'Debtor Summary'!A297)</f>
        <v/>
      </c>
      <c r="L298" s="24">
        <f>IF($K298="","",IF($B$2="","",ROUND(SUMIFS('Opening Balance'!$F$4:$F$303,'Opening Balance'!$G$4:$G$303,$K298)+SUMIFS('Daily Sale entry '!$S$2:$S$1501,'Daily Sale entry '!$P$2:$P$1501,$K298,'Daily Sale entry '!$Q$2:$Q$1501,"Credit Sale 赊销",'Daily Sale entry '!$O$2:$O$1501,"&lt;"&amp;$B$2)-SUMIFS('Daily Sale entry '!$S$2:$S$1501,'Daily Sale entry '!$P$2:$P$1501,$K298,'Daily Sale entry '!$Q$2:$Q$1501,"Collection 收款",'Daily Sale entry '!$O$2:$O$1501,"&lt;"&amp;$B$2)-SUMIFS('Daily Sale entry '!$AC$2:$AC$1501,'Daily Sale entry '!$AA$2:$AA$1501,$K298,'Daily Sale entry '!$Z$2:$Z$1501,"Online collection 网上收款",'Daily Sale entry '!$X$2:$X$1501,"&lt;"&amp;$B$2)-SUMIFS('Debtor Ledger'!$K$2:$K$3001,'Debtor Ledger'!$C$2:$C$3001,$K298,'Debtor Ledger'!$B$2:$B$3001,"&lt;"&amp;$B$2),2)))</f>
        <v/>
      </c>
      <c r="M298" s="24">
        <f>IF($K298="","",IF($B$2="","",SUMIFS('Daily Sale entry '!$S$2:$S$1501,'Daily Sale entry '!$P$2:$P$1501,$K298,'Daily Sale entry '!$Q$2:$Q$1501,"Credit Sale 赊销",'Daily Sale entry '!$O$2:$O$1501,$B$2)))</f>
        <v/>
      </c>
      <c r="N298" s="24">
        <f>IF($K298="","",IF($B$2="","",SUMIFS('Daily Sale entry '!$S$2:$S$1501,'Daily Sale entry '!$P$2:$P$1501,$K298,'Daily Sale entry '!$Q$2:$Q$1501,"Collection 收款",'Daily Sale entry '!$R$2:$R$1501,"Cash 现金",'Daily Sale entry '!$O$2:$O$1501,$B$2)))</f>
        <v/>
      </c>
      <c r="O298" s="24">
        <f>IF($K298="","",IF($B$2="","",SUMIFS('Daily Sale entry '!$S$2:$S$1501,'Daily Sale entry '!$P$2:$P$1501,$K298,'Daily Sale entry '!$Q$2:$Q$1501,"Collection 收款",'Daily Sale entry '!$R$2:$R$1501,"Cheque 支票",'Daily Sale entry '!$O$2:$O$1501,$B$2)))</f>
        <v/>
      </c>
      <c r="P298" s="24">
        <f>IF($K298="","",IF($B$2="","",SUMIFS('Daily Sale entry '!$AC$2:$AC$1501,'Daily Sale entry '!$AA$2:$AA$1501,$K298,'Daily Sale entry '!$Z$2:$Z$1501,"Online collection 网上收款",'Daily Sale entry '!$X$2:$X$1501,$B$2)))</f>
        <v/>
      </c>
      <c r="Q298" s="24">
        <f>IF($K298="","",IF($B$2="","",SUMIFS('Debtor Ledger'!$K$2:$K$3001,'Debtor Ledger'!$C$2:$C$3001,$K298,'Debtor Ledger'!$B$2:$B$3001,$B$2)))</f>
        <v/>
      </c>
      <c r="R298" s="24">
        <f>IF($K298="","",IF($B$2="","",ROUND(L298+M298-N298-O298-P298-Q298,2)))</f>
        <v/>
      </c>
      <c r="S298" s="21">
        <f>IF(K298="","",IF($B$2="","",IF(ABS(M298)+ABS(N298)+ABS(O298)+ABS(P298)+ABS(Q298)&gt;0,1,0)))</f>
        <v/>
      </c>
      <c r="T298" s="21">
        <f>IF(S298=1,SUM($S$6:S298),"")</f>
        <v/>
      </c>
    </row>
    <row r="299">
      <c r="A299">
        <f>IF($I299="","",INDEX(K$6:K$305,$I299))</f>
        <v/>
      </c>
      <c r="B299" s="6">
        <f>IF($I299="","",INDEX(L$6:L$305,$I299))</f>
        <v/>
      </c>
      <c r="C299" s="6">
        <f>IF($I299="","",INDEX(M$6:M$305,$I299))</f>
        <v/>
      </c>
      <c r="D299" s="6">
        <f>IF($I299="","",INDEX(N$6:N$305,$I299))</f>
        <v/>
      </c>
      <c r="E299" s="6">
        <f>IF($I299="","",INDEX(O$6:O$305,$I299))</f>
        <v/>
      </c>
      <c r="F299" s="6">
        <f>IF($I299="","",INDEX(P$6:P$305,$I299))</f>
        <v/>
      </c>
      <c r="G299" s="6">
        <f>IF($I299="","",INDEX(Q$6:Q$305,$I299))</f>
        <v/>
      </c>
      <c r="H299" s="6">
        <f>IF($I299="","",INDEX(R$6:R$305,$I299))</f>
        <v/>
      </c>
      <c r="I299" s="21">
        <f>IFERROR(MATCH(294,$T$6:$T$305,0),"")</f>
        <v/>
      </c>
      <c r="K299" s="21">
        <f>IF('Debtor Summary'!A298="","",'Debtor Summary'!A298)</f>
        <v/>
      </c>
      <c r="L299" s="24">
        <f>IF($K299="","",IF($B$2="","",ROUND(SUMIFS('Opening Balance'!$F$4:$F$303,'Opening Balance'!$G$4:$G$303,$K299)+SUMIFS('Daily Sale entry '!$S$2:$S$1501,'Daily Sale entry '!$P$2:$P$1501,$K299,'Daily Sale entry '!$Q$2:$Q$1501,"Credit Sale 赊销",'Daily Sale entry '!$O$2:$O$1501,"&lt;"&amp;$B$2)-SUMIFS('Daily Sale entry '!$S$2:$S$1501,'Daily Sale entry '!$P$2:$P$1501,$K299,'Daily Sale entry '!$Q$2:$Q$1501,"Collection 收款",'Daily Sale entry '!$O$2:$O$1501,"&lt;"&amp;$B$2)-SUMIFS('Daily Sale entry '!$AC$2:$AC$1501,'Daily Sale entry '!$AA$2:$AA$1501,$K299,'Daily Sale entry '!$Z$2:$Z$1501,"Online collection 网上收款",'Daily Sale entry '!$X$2:$X$1501,"&lt;"&amp;$B$2)-SUMIFS('Debtor Ledger'!$K$2:$K$3001,'Debtor Ledger'!$C$2:$C$3001,$K299,'Debtor Ledger'!$B$2:$B$3001,"&lt;"&amp;$B$2),2)))</f>
        <v/>
      </c>
      <c r="M299" s="24">
        <f>IF($K299="","",IF($B$2="","",SUMIFS('Daily Sale entry '!$S$2:$S$1501,'Daily Sale entry '!$P$2:$P$1501,$K299,'Daily Sale entry '!$Q$2:$Q$1501,"Credit Sale 赊销",'Daily Sale entry '!$O$2:$O$1501,$B$2)))</f>
        <v/>
      </c>
      <c r="N299" s="24">
        <f>IF($K299="","",IF($B$2="","",SUMIFS('Daily Sale entry '!$S$2:$S$1501,'Daily Sale entry '!$P$2:$P$1501,$K299,'Daily Sale entry '!$Q$2:$Q$1501,"Collection 收款",'Daily Sale entry '!$R$2:$R$1501,"Cash 现金",'Daily Sale entry '!$O$2:$O$1501,$B$2)))</f>
        <v/>
      </c>
      <c r="O299" s="24">
        <f>IF($K299="","",IF($B$2="","",SUMIFS('Daily Sale entry '!$S$2:$S$1501,'Daily Sale entry '!$P$2:$P$1501,$K299,'Daily Sale entry '!$Q$2:$Q$1501,"Collection 收款",'Daily Sale entry '!$R$2:$R$1501,"Cheque 支票",'Daily Sale entry '!$O$2:$O$1501,$B$2)))</f>
        <v/>
      </c>
      <c r="P299" s="24">
        <f>IF($K299="","",IF($B$2="","",SUMIFS('Daily Sale entry '!$AC$2:$AC$1501,'Daily Sale entry '!$AA$2:$AA$1501,$K299,'Daily Sale entry '!$Z$2:$Z$1501,"Online collection 网上收款",'Daily Sale entry '!$X$2:$X$1501,$B$2)))</f>
        <v/>
      </c>
      <c r="Q299" s="24">
        <f>IF($K299="","",IF($B$2="","",SUMIFS('Debtor Ledger'!$K$2:$K$3001,'Debtor Ledger'!$C$2:$C$3001,$K299,'Debtor Ledger'!$B$2:$B$3001,$B$2)))</f>
        <v/>
      </c>
      <c r="R299" s="24">
        <f>IF($K299="","",IF($B$2="","",ROUND(L299+M299-N299-O299-P299-Q299,2)))</f>
        <v/>
      </c>
      <c r="S299" s="21">
        <f>IF(K299="","",IF($B$2="","",IF(ABS(M299)+ABS(N299)+ABS(O299)+ABS(P299)+ABS(Q299)&gt;0,1,0)))</f>
        <v/>
      </c>
      <c r="T299" s="21">
        <f>IF(S299=1,SUM($S$6:S299),"")</f>
        <v/>
      </c>
    </row>
    <row r="300">
      <c r="A300">
        <f>IF($I300="","",INDEX(K$6:K$305,$I300))</f>
        <v/>
      </c>
      <c r="B300" s="6">
        <f>IF($I300="","",INDEX(L$6:L$305,$I300))</f>
        <v/>
      </c>
      <c r="C300" s="6">
        <f>IF($I300="","",INDEX(M$6:M$305,$I300))</f>
        <v/>
      </c>
      <c r="D300" s="6">
        <f>IF($I300="","",INDEX(N$6:N$305,$I300))</f>
        <v/>
      </c>
      <c r="E300" s="6">
        <f>IF($I300="","",INDEX(O$6:O$305,$I300))</f>
        <v/>
      </c>
      <c r="F300" s="6">
        <f>IF($I300="","",INDEX(P$6:P$305,$I300))</f>
        <v/>
      </c>
      <c r="G300" s="6">
        <f>IF($I300="","",INDEX(Q$6:Q$305,$I300))</f>
        <v/>
      </c>
      <c r="H300" s="6">
        <f>IF($I300="","",INDEX(R$6:R$305,$I300))</f>
        <v/>
      </c>
      <c r="I300" s="21">
        <f>IFERROR(MATCH(295,$T$6:$T$305,0),"")</f>
        <v/>
      </c>
      <c r="K300" s="21">
        <f>IF('Debtor Summary'!A299="","",'Debtor Summary'!A299)</f>
        <v/>
      </c>
      <c r="L300" s="24">
        <f>IF($K300="","",IF($B$2="","",ROUND(SUMIFS('Opening Balance'!$F$4:$F$303,'Opening Balance'!$G$4:$G$303,$K300)+SUMIFS('Daily Sale entry '!$S$2:$S$1501,'Daily Sale entry '!$P$2:$P$1501,$K300,'Daily Sale entry '!$Q$2:$Q$1501,"Credit Sale 赊销",'Daily Sale entry '!$O$2:$O$1501,"&lt;"&amp;$B$2)-SUMIFS('Daily Sale entry '!$S$2:$S$1501,'Daily Sale entry '!$P$2:$P$1501,$K300,'Daily Sale entry '!$Q$2:$Q$1501,"Collection 收款",'Daily Sale entry '!$O$2:$O$1501,"&lt;"&amp;$B$2)-SUMIFS('Daily Sale entry '!$AC$2:$AC$1501,'Daily Sale entry '!$AA$2:$AA$1501,$K300,'Daily Sale entry '!$Z$2:$Z$1501,"Online collection 网上收款",'Daily Sale entry '!$X$2:$X$1501,"&lt;"&amp;$B$2)-SUMIFS('Debtor Ledger'!$K$2:$K$3001,'Debtor Ledger'!$C$2:$C$3001,$K300,'Debtor Ledger'!$B$2:$B$3001,"&lt;"&amp;$B$2),2)))</f>
        <v/>
      </c>
      <c r="M300" s="24">
        <f>IF($K300="","",IF($B$2="","",SUMIFS('Daily Sale entry '!$S$2:$S$1501,'Daily Sale entry '!$P$2:$P$1501,$K300,'Daily Sale entry '!$Q$2:$Q$1501,"Credit Sale 赊销",'Daily Sale entry '!$O$2:$O$1501,$B$2)))</f>
        <v/>
      </c>
      <c r="N300" s="24">
        <f>IF($K300="","",IF($B$2="","",SUMIFS('Daily Sale entry '!$S$2:$S$1501,'Daily Sale entry '!$P$2:$P$1501,$K300,'Daily Sale entry '!$Q$2:$Q$1501,"Collection 收款",'Daily Sale entry '!$R$2:$R$1501,"Cash 现金",'Daily Sale entry '!$O$2:$O$1501,$B$2)))</f>
        <v/>
      </c>
      <c r="O300" s="24">
        <f>IF($K300="","",IF($B$2="","",SUMIFS('Daily Sale entry '!$S$2:$S$1501,'Daily Sale entry '!$P$2:$P$1501,$K300,'Daily Sale entry '!$Q$2:$Q$1501,"Collection 收款",'Daily Sale entry '!$R$2:$R$1501,"Cheque 支票",'Daily Sale entry '!$O$2:$O$1501,$B$2)))</f>
        <v/>
      </c>
      <c r="P300" s="24">
        <f>IF($K300="","",IF($B$2="","",SUMIFS('Daily Sale entry '!$AC$2:$AC$1501,'Daily Sale entry '!$AA$2:$AA$1501,$K300,'Daily Sale entry '!$Z$2:$Z$1501,"Online collection 网上收款",'Daily Sale entry '!$X$2:$X$1501,$B$2)))</f>
        <v/>
      </c>
      <c r="Q300" s="24">
        <f>IF($K300="","",IF($B$2="","",SUMIFS('Debtor Ledger'!$K$2:$K$3001,'Debtor Ledger'!$C$2:$C$3001,$K300,'Debtor Ledger'!$B$2:$B$3001,$B$2)))</f>
        <v/>
      </c>
      <c r="R300" s="24">
        <f>IF($K300="","",IF($B$2="","",ROUND(L300+M300-N300-O300-P300-Q300,2)))</f>
        <v/>
      </c>
      <c r="S300" s="21">
        <f>IF(K300="","",IF($B$2="","",IF(ABS(M300)+ABS(N300)+ABS(O300)+ABS(P300)+ABS(Q300)&gt;0,1,0)))</f>
        <v/>
      </c>
      <c r="T300" s="21">
        <f>IF(S300=1,SUM($S$6:S300),"")</f>
        <v/>
      </c>
    </row>
    <row r="301">
      <c r="A301">
        <f>IF($I301="","",INDEX(K$6:K$305,$I301))</f>
        <v/>
      </c>
      <c r="B301" s="6">
        <f>IF($I301="","",INDEX(L$6:L$305,$I301))</f>
        <v/>
      </c>
      <c r="C301" s="6">
        <f>IF($I301="","",INDEX(M$6:M$305,$I301))</f>
        <v/>
      </c>
      <c r="D301" s="6">
        <f>IF($I301="","",INDEX(N$6:N$305,$I301))</f>
        <v/>
      </c>
      <c r="E301" s="6">
        <f>IF($I301="","",INDEX(O$6:O$305,$I301))</f>
        <v/>
      </c>
      <c r="F301" s="6">
        <f>IF($I301="","",INDEX(P$6:P$305,$I301))</f>
        <v/>
      </c>
      <c r="G301" s="6">
        <f>IF($I301="","",INDEX(Q$6:Q$305,$I301))</f>
        <v/>
      </c>
      <c r="H301" s="6">
        <f>IF($I301="","",INDEX(R$6:R$305,$I301))</f>
        <v/>
      </c>
      <c r="I301" s="21">
        <f>IFERROR(MATCH(296,$T$6:$T$305,0),"")</f>
        <v/>
      </c>
      <c r="K301" s="21">
        <f>IF('Debtor Summary'!A300="","",'Debtor Summary'!A300)</f>
        <v/>
      </c>
      <c r="L301" s="24">
        <f>IF($K301="","",IF($B$2="","",ROUND(SUMIFS('Opening Balance'!$F$4:$F$303,'Opening Balance'!$G$4:$G$303,$K301)+SUMIFS('Daily Sale entry '!$S$2:$S$1501,'Daily Sale entry '!$P$2:$P$1501,$K301,'Daily Sale entry '!$Q$2:$Q$1501,"Credit Sale 赊销",'Daily Sale entry '!$O$2:$O$1501,"&lt;"&amp;$B$2)-SUMIFS('Daily Sale entry '!$S$2:$S$1501,'Daily Sale entry '!$P$2:$P$1501,$K301,'Daily Sale entry '!$Q$2:$Q$1501,"Collection 收款",'Daily Sale entry '!$O$2:$O$1501,"&lt;"&amp;$B$2)-SUMIFS('Daily Sale entry '!$AC$2:$AC$1501,'Daily Sale entry '!$AA$2:$AA$1501,$K301,'Daily Sale entry '!$Z$2:$Z$1501,"Online collection 网上收款",'Daily Sale entry '!$X$2:$X$1501,"&lt;"&amp;$B$2)-SUMIFS('Debtor Ledger'!$K$2:$K$3001,'Debtor Ledger'!$C$2:$C$3001,$K301,'Debtor Ledger'!$B$2:$B$3001,"&lt;"&amp;$B$2),2)))</f>
        <v/>
      </c>
      <c r="M301" s="24">
        <f>IF($K301="","",IF($B$2="","",SUMIFS('Daily Sale entry '!$S$2:$S$1501,'Daily Sale entry '!$P$2:$P$1501,$K301,'Daily Sale entry '!$Q$2:$Q$1501,"Credit Sale 赊销",'Daily Sale entry '!$O$2:$O$1501,$B$2)))</f>
        <v/>
      </c>
      <c r="N301" s="24">
        <f>IF($K301="","",IF($B$2="","",SUMIFS('Daily Sale entry '!$S$2:$S$1501,'Daily Sale entry '!$P$2:$P$1501,$K301,'Daily Sale entry '!$Q$2:$Q$1501,"Collection 收款",'Daily Sale entry '!$R$2:$R$1501,"Cash 现金",'Daily Sale entry '!$O$2:$O$1501,$B$2)))</f>
        <v/>
      </c>
      <c r="O301" s="24">
        <f>IF($K301="","",IF($B$2="","",SUMIFS('Daily Sale entry '!$S$2:$S$1501,'Daily Sale entry '!$P$2:$P$1501,$K301,'Daily Sale entry '!$Q$2:$Q$1501,"Collection 收款",'Daily Sale entry '!$R$2:$R$1501,"Cheque 支票",'Daily Sale entry '!$O$2:$O$1501,$B$2)))</f>
        <v/>
      </c>
      <c r="P301" s="24">
        <f>IF($K301="","",IF($B$2="","",SUMIFS('Daily Sale entry '!$AC$2:$AC$1501,'Daily Sale entry '!$AA$2:$AA$1501,$K301,'Daily Sale entry '!$Z$2:$Z$1501,"Online collection 网上收款",'Daily Sale entry '!$X$2:$X$1501,$B$2)))</f>
        <v/>
      </c>
      <c r="Q301" s="24">
        <f>IF($K301="","",IF($B$2="","",SUMIFS('Debtor Ledger'!$K$2:$K$3001,'Debtor Ledger'!$C$2:$C$3001,$K301,'Debtor Ledger'!$B$2:$B$3001,$B$2)))</f>
        <v/>
      </c>
      <c r="R301" s="24">
        <f>IF($K301="","",IF($B$2="","",ROUND(L301+M301-N301-O301-P301-Q301,2)))</f>
        <v/>
      </c>
      <c r="S301" s="21">
        <f>IF(K301="","",IF($B$2="","",IF(ABS(M301)+ABS(N301)+ABS(O301)+ABS(P301)+ABS(Q301)&gt;0,1,0)))</f>
        <v/>
      </c>
      <c r="T301" s="21">
        <f>IF(S301=1,SUM($S$6:S301),"")</f>
        <v/>
      </c>
    </row>
    <row r="302">
      <c r="A302">
        <f>IF($I302="","",INDEX(K$6:K$305,$I302))</f>
        <v/>
      </c>
      <c r="B302" s="6">
        <f>IF($I302="","",INDEX(L$6:L$305,$I302))</f>
        <v/>
      </c>
      <c r="C302" s="6">
        <f>IF($I302="","",INDEX(M$6:M$305,$I302))</f>
        <v/>
      </c>
      <c r="D302" s="6">
        <f>IF($I302="","",INDEX(N$6:N$305,$I302))</f>
        <v/>
      </c>
      <c r="E302" s="6">
        <f>IF($I302="","",INDEX(O$6:O$305,$I302))</f>
        <v/>
      </c>
      <c r="F302" s="6">
        <f>IF($I302="","",INDEX(P$6:P$305,$I302))</f>
        <v/>
      </c>
      <c r="G302" s="6">
        <f>IF($I302="","",INDEX(Q$6:Q$305,$I302))</f>
        <v/>
      </c>
      <c r="H302" s="6">
        <f>IF($I302="","",INDEX(R$6:R$305,$I302))</f>
        <v/>
      </c>
      <c r="I302" s="21">
        <f>IFERROR(MATCH(297,$T$6:$T$305,0),"")</f>
        <v/>
      </c>
      <c r="K302" s="21">
        <f>IF('Debtor Summary'!A301="","",'Debtor Summary'!A301)</f>
        <v/>
      </c>
      <c r="L302" s="24">
        <f>IF($K302="","",IF($B$2="","",ROUND(SUMIFS('Opening Balance'!$F$4:$F$303,'Opening Balance'!$G$4:$G$303,$K302)+SUMIFS('Daily Sale entry '!$S$2:$S$1501,'Daily Sale entry '!$P$2:$P$1501,$K302,'Daily Sale entry '!$Q$2:$Q$1501,"Credit Sale 赊销",'Daily Sale entry '!$O$2:$O$1501,"&lt;"&amp;$B$2)-SUMIFS('Daily Sale entry '!$S$2:$S$1501,'Daily Sale entry '!$P$2:$P$1501,$K302,'Daily Sale entry '!$Q$2:$Q$1501,"Collection 收款",'Daily Sale entry '!$O$2:$O$1501,"&lt;"&amp;$B$2)-SUMIFS('Daily Sale entry '!$AC$2:$AC$1501,'Daily Sale entry '!$AA$2:$AA$1501,$K302,'Daily Sale entry '!$Z$2:$Z$1501,"Online collection 网上收款",'Daily Sale entry '!$X$2:$X$1501,"&lt;"&amp;$B$2)-SUMIFS('Debtor Ledger'!$K$2:$K$3001,'Debtor Ledger'!$C$2:$C$3001,$K302,'Debtor Ledger'!$B$2:$B$3001,"&lt;"&amp;$B$2),2)))</f>
        <v/>
      </c>
      <c r="M302" s="24">
        <f>IF($K302="","",IF($B$2="","",SUMIFS('Daily Sale entry '!$S$2:$S$1501,'Daily Sale entry '!$P$2:$P$1501,$K302,'Daily Sale entry '!$Q$2:$Q$1501,"Credit Sale 赊销",'Daily Sale entry '!$O$2:$O$1501,$B$2)))</f>
        <v/>
      </c>
      <c r="N302" s="24">
        <f>IF($K302="","",IF($B$2="","",SUMIFS('Daily Sale entry '!$S$2:$S$1501,'Daily Sale entry '!$P$2:$P$1501,$K302,'Daily Sale entry '!$Q$2:$Q$1501,"Collection 收款",'Daily Sale entry '!$R$2:$R$1501,"Cash 现金",'Daily Sale entry '!$O$2:$O$1501,$B$2)))</f>
        <v/>
      </c>
      <c r="O302" s="24">
        <f>IF($K302="","",IF($B$2="","",SUMIFS('Daily Sale entry '!$S$2:$S$1501,'Daily Sale entry '!$P$2:$P$1501,$K302,'Daily Sale entry '!$Q$2:$Q$1501,"Collection 收款",'Daily Sale entry '!$R$2:$R$1501,"Cheque 支票",'Daily Sale entry '!$O$2:$O$1501,$B$2)))</f>
        <v/>
      </c>
      <c r="P302" s="24">
        <f>IF($K302="","",IF($B$2="","",SUMIFS('Daily Sale entry '!$AC$2:$AC$1501,'Daily Sale entry '!$AA$2:$AA$1501,$K302,'Daily Sale entry '!$Z$2:$Z$1501,"Online collection 网上收款",'Daily Sale entry '!$X$2:$X$1501,$B$2)))</f>
        <v/>
      </c>
      <c r="Q302" s="24">
        <f>IF($K302="","",IF($B$2="","",SUMIFS('Debtor Ledger'!$K$2:$K$3001,'Debtor Ledger'!$C$2:$C$3001,$K302,'Debtor Ledger'!$B$2:$B$3001,$B$2)))</f>
        <v/>
      </c>
      <c r="R302" s="24">
        <f>IF($K302="","",IF($B$2="","",ROUND(L302+M302-N302-O302-P302-Q302,2)))</f>
        <v/>
      </c>
      <c r="S302" s="21">
        <f>IF(K302="","",IF($B$2="","",IF(ABS(M302)+ABS(N302)+ABS(O302)+ABS(P302)+ABS(Q302)&gt;0,1,0)))</f>
        <v/>
      </c>
      <c r="T302" s="21">
        <f>IF(S302=1,SUM($S$6:S302),"")</f>
        <v/>
      </c>
    </row>
    <row r="303">
      <c r="A303">
        <f>IF($I303="","",INDEX(K$6:K$305,$I303))</f>
        <v/>
      </c>
      <c r="B303" s="6">
        <f>IF($I303="","",INDEX(L$6:L$305,$I303))</f>
        <v/>
      </c>
      <c r="C303" s="6">
        <f>IF($I303="","",INDEX(M$6:M$305,$I303))</f>
        <v/>
      </c>
      <c r="D303" s="6">
        <f>IF($I303="","",INDEX(N$6:N$305,$I303))</f>
        <v/>
      </c>
      <c r="E303" s="6">
        <f>IF($I303="","",INDEX(O$6:O$305,$I303))</f>
        <v/>
      </c>
      <c r="F303" s="6">
        <f>IF($I303="","",INDEX(P$6:P$305,$I303))</f>
        <v/>
      </c>
      <c r="G303" s="6">
        <f>IF($I303="","",INDEX(Q$6:Q$305,$I303))</f>
        <v/>
      </c>
      <c r="H303" s="6">
        <f>IF($I303="","",INDEX(R$6:R$305,$I303))</f>
        <v/>
      </c>
      <c r="I303" s="21">
        <f>IFERROR(MATCH(298,$T$6:$T$305,0),"")</f>
        <v/>
      </c>
      <c r="K303" s="21">
        <f>IF('Debtor Summary'!A302="","",'Debtor Summary'!A302)</f>
        <v/>
      </c>
      <c r="L303" s="24">
        <f>IF($K303="","",IF($B$2="","",ROUND(SUMIFS('Opening Balance'!$F$4:$F$303,'Opening Balance'!$G$4:$G$303,$K303)+SUMIFS('Daily Sale entry '!$S$2:$S$1501,'Daily Sale entry '!$P$2:$P$1501,$K303,'Daily Sale entry '!$Q$2:$Q$1501,"Credit Sale 赊销",'Daily Sale entry '!$O$2:$O$1501,"&lt;"&amp;$B$2)-SUMIFS('Daily Sale entry '!$S$2:$S$1501,'Daily Sale entry '!$P$2:$P$1501,$K303,'Daily Sale entry '!$Q$2:$Q$1501,"Collection 收款",'Daily Sale entry '!$O$2:$O$1501,"&lt;"&amp;$B$2)-SUMIFS('Daily Sale entry '!$AC$2:$AC$1501,'Daily Sale entry '!$AA$2:$AA$1501,$K303,'Daily Sale entry '!$Z$2:$Z$1501,"Online collection 网上收款",'Daily Sale entry '!$X$2:$X$1501,"&lt;"&amp;$B$2)-SUMIFS('Debtor Ledger'!$K$2:$K$3001,'Debtor Ledger'!$C$2:$C$3001,$K303,'Debtor Ledger'!$B$2:$B$3001,"&lt;"&amp;$B$2),2)))</f>
        <v/>
      </c>
      <c r="M303" s="24">
        <f>IF($K303="","",IF($B$2="","",SUMIFS('Daily Sale entry '!$S$2:$S$1501,'Daily Sale entry '!$P$2:$P$1501,$K303,'Daily Sale entry '!$Q$2:$Q$1501,"Credit Sale 赊销",'Daily Sale entry '!$O$2:$O$1501,$B$2)))</f>
        <v/>
      </c>
      <c r="N303" s="24">
        <f>IF($K303="","",IF($B$2="","",SUMIFS('Daily Sale entry '!$S$2:$S$1501,'Daily Sale entry '!$P$2:$P$1501,$K303,'Daily Sale entry '!$Q$2:$Q$1501,"Collection 收款",'Daily Sale entry '!$R$2:$R$1501,"Cash 现金",'Daily Sale entry '!$O$2:$O$1501,$B$2)))</f>
        <v/>
      </c>
      <c r="O303" s="24">
        <f>IF($K303="","",IF($B$2="","",SUMIFS('Daily Sale entry '!$S$2:$S$1501,'Daily Sale entry '!$P$2:$P$1501,$K303,'Daily Sale entry '!$Q$2:$Q$1501,"Collection 收款",'Daily Sale entry '!$R$2:$R$1501,"Cheque 支票",'Daily Sale entry '!$O$2:$O$1501,$B$2)))</f>
        <v/>
      </c>
      <c r="P303" s="24">
        <f>IF($K303="","",IF($B$2="","",SUMIFS('Daily Sale entry '!$AC$2:$AC$1501,'Daily Sale entry '!$AA$2:$AA$1501,$K303,'Daily Sale entry '!$Z$2:$Z$1501,"Online collection 网上收款",'Daily Sale entry '!$X$2:$X$1501,$B$2)))</f>
        <v/>
      </c>
      <c r="Q303" s="24">
        <f>IF($K303="","",IF($B$2="","",SUMIFS('Debtor Ledger'!$K$2:$K$3001,'Debtor Ledger'!$C$2:$C$3001,$K303,'Debtor Ledger'!$B$2:$B$3001,$B$2)))</f>
        <v/>
      </c>
      <c r="R303" s="24">
        <f>IF($K303="","",IF($B$2="","",ROUND(L303+M303-N303-O303-P303-Q303,2)))</f>
        <v/>
      </c>
      <c r="S303" s="21">
        <f>IF(K303="","",IF($B$2="","",IF(ABS(M303)+ABS(N303)+ABS(O303)+ABS(P303)+ABS(Q303)&gt;0,1,0)))</f>
        <v/>
      </c>
      <c r="T303" s="21">
        <f>IF(S303=1,SUM($S$6:S303),"")</f>
        <v/>
      </c>
    </row>
    <row r="304">
      <c r="A304">
        <f>IF($I304="","",INDEX(K$6:K$305,$I304))</f>
        <v/>
      </c>
      <c r="B304" s="6">
        <f>IF($I304="","",INDEX(L$6:L$305,$I304))</f>
        <v/>
      </c>
      <c r="C304" s="6">
        <f>IF($I304="","",INDEX(M$6:M$305,$I304))</f>
        <v/>
      </c>
      <c r="D304" s="6">
        <f>IF($I304="","",INDEX(N$6:N$305,$I304))</f>
        <v/>
      </c>
      <c r="E304" s="6">
        <f>IF($I304="","",INDEX(O$6:O$305,$I304))</f>
        <v/>
      </c>
      <c r="F304" s="6">
        <f>IF($I304="","",INDEX(P$6:P$305,$I304))</f>
        <v/>
      </c>
      <c r="G304" s="6">
        <f>IF($I304="","",INDEX(Q$6:Q$305,$I304))</f>
        <v/>
      </c>
      <c r="H304" s="6">
        <f>IF($I304="","",INDEX(R$6:R$305,$I304))</f>
        <v/>
      </c>
      <c r="I304" s="21">
        <f>IFERROR(MATCH(299,$T$6:$T$305,0),"")</f>
        <v/>
      </c>
      <c r="K304" s="21">
        <f>IF('Debtor Summary'!A303="","",'Debtor Summary'!A303)</f>
        <v/>
      </c>
      <c r="L304" s="24">
        <f>IF($K304="","",IF($B$2="","",ROUND(SUMIFS('Opening Balance'!$F$4:$F$303,'Opening Balance'!$G$4:$G$303,$K304)+SUMIFS('Daily Sale entry '!$S$2:$S$1501,'Daily Sale entry '!$P$2:$P$1501,$K304,'Daily Sale entry '!$Q$2:$Q$1501,"Credit Sale 赊销",'Daily Sale entry '!$O$2:$O$1501,"&lt;"&amp;$B$2)-SUMIFS('Daily Sale entry '!$S$2:$S$1501,'Daily Sale entry '!$P$2:$P$1501,$K304,'Daily Sale entry '!$Q$2:$Q$1501,"Collection 收款",'Daily Sale entry '!$O$2:$O$1501,"&lt;"&amp;$B$2)-SUMIFS('Daily Sale entry '!$AC$2:$AC$1501,'Daily Sale entry '!$AA$2:$AA$1501,$K304,'Daily Sale entry '!$Z$2:$Z$1501,"Online collection 网上收款",'Daily Sale entry '!$X$2:$X$1501,"&lt;"&amp;$B$2)-SUMIFS('Debtor Ledger'!$K$2:$K$3001,'Debtor Ledger'!$C$2:$C$3001,$K304,'Debtor Ledger'!$B$2:$B$3001,"&lt;"&amp;$B$2),2)))</f>
        <v/>
      </c>
      <c r="M304" s="24">
        <f>IF($K304="","",IF($B$2="","",SUMIFS('Daily Sale entry '!$S$2:$S$1501,'Daily Sale entry '!$P$2:$P$1501,$K304,'Daily Sale entry '!$Q$2:$Q$1501,"Credit Sale 赊销",'Daily Sale entry '!$O$2:$O$1501,$B$2)))</f>
        <v/>
      </c>
      <c r="N304" s="24">
        <f>IF($K304="","",IF($B$2="","",SUMIFS('Daily Sale entry '!$S$2:$S$1501,'Daily Sale entry '!$P$2:$P$1501,$K304,'Daily Sale entry '!$Q$2:$Q$1501,"Collection 收款",'Daily Sale entry '!$R$2:$R$1501,"Cash 现金",'Daily Sale entry '!$O$2:$O$1501,$B$2)))</f>
        <v/>
      </c>
      <c r="O304" s="24">
        <f>IF($K304="","",IF($B$2="","",SUMIFS('Daily Sale entry '!$S$2:$S$1501,'Daily Sale entry '!$P$2:$P$1501,$K304,'Daily Sale entry '!$Q$2:$Q$1501,"Collection 收款",'Daily Sale entry '!$R$2:$R$1501,"Cheque 支票",'Daily Sale entry '!$O$2:$O$1501,$B$2)))</f>
        <v/>
      </c>
      <c r="P304" s="24">
        <f>IF($K304="","",IF($B$2="","",SUMIFS('Daily Sale entry '!$AC$2:$AC$1501,'Daily Sale entry '!$AA$2:$AA$1501,$K304,'Daily Sale entry '!$Z$2:$Z$1501,"Online collection 网上收款",'Daily Sale entry '!$X$2:$X$1501,$B$2)))</f>
        <v/>
      </c>
      <c r="Q304" s="24">
        <f>IF($K304="","",IF($B$2="","",SUMIFS('Debtor Ledger'!$K$2:$K$3001,'Debtor Ledger'!$C$2:$C$3001,$K304,'Debtor Ledger'!$B$2:$B$3001,$B$2)))</f>
        <v/>
      </c>
      <c r="R304" s="24">
        <f>IF($K304="","",IF($B$2="","",ROUND(L304+M304-N304-O304-P304-Q304,2)))</f>
        <v/>
      </c>
      <c r="S304" s="21">
        <f>IF(K304="","",IF($B$2="","",IF(ABS(M304)+ABS(N304)+ABS(O304)+ABS(P304)+ABS(Q304)&gt;0,1,0)))</f>
        <v/>
      </c>
      <c r="T304" s="21">
        <f>IF(S304=1,SUM($S$6:S304),"")</f>
        <v/>
      </c>
    </row>
    <row r="305">
      <c r="A305">
        <f>IF($I305="","",INDEX(K$6:K$305,$I305))</f>
        <v/>
      </c>
      <c r="B305" s="6">
        <f>IF($I305="","",INDEX(L$6:L$305,$I305))</f>
        <v/>
      </c>
      <c r="C305" s="6">
        <f>IF($I305="","",INDEX(M$6:M$305,$I305))</f>
        <v/>
      </c>
      <c r="D305" s="6">
        <f>IF($I305="","",INDEX(N$6:N$305,$I305))</f>
        <v/>
      </c>
      <c r="E305" s="6">
        <f>IF($I305="","",INDEX(O$6:O$305,$I305))</f>
        <v/>
      </c>
      <c r="F305" s="6">
        <f>IF($I305="","",INDEX(P$6:P$305,$I305))</f>
        <v/>
      </c>
      <c r="G305" s="6">
        <f>IF($I305="","",INDEX(Q$6:Q$305,$I305))</f>
        <v/>
      </c>
      <c r="H305" s="6">
        <f>IF($I305="","",INDEX(R$6:R$305,$I305))</f>
        <v/>
      </c>
      <c r="I305" s="21">
        <f>IFERROR(MATCH(300,$T$6:$T$305,0),"")</f>
        <v/>
      </c>
      <c r="K305" s="21">
        <f>IF('Debtor Summary'!A304="","",'Debtor Summary'!A304)</f>
        <v/>
      </c>
      <c r="L305" s="24">
        <f>IF($K305="","",IF($B$2="","",ROUND(SUMIFS('Opening Balance'!$F$4:$F$303,'Opening Balance'!$G$4:$G$303,$K305)+SUMIFS('Daily Sale entry '!$S$2:$S$1501,'Daily Sale entry '!$P$2:$P$1501,$K305,'Daily Sale entry '!$Q$2:$Q$1501,"Credit Sale 赊销",'Daily Sale entry '!$O$2:$O$1501,"&lt;"&amp;$B$2)-SUMIFS('Daily Sale entry '!$S$2:$S$1501,'Daily Sale entry '!$P$2:$P$1501,$K305,'Daily Sale entry '!$Q$2:$Q$1501,"Collection 收款",'Daily Sale entry '!$O$2:$O$1501,"&lt;"&amp;$B$2)-SUMIFS('Daily Sale entry '!$AC$2:$AC$1501,'Daily Sale entry '!$AA$2:$AA$1501,$K305,'Daily Sale entry '!$Z$2:$Z$1501,"Online collection 网上收款",'Daily Sale entry '!$X$2:$X$1501,"&lt;"&amp;$B$2)-SUMIFS('Debtor Ledger'!$K$2:$K$3001,'Debtor Ledger'!$C$2:$C$3001,$K305,'Debtor Ledger'!$B$2:$B$3001,"&lt;"&amp;$B$2),2)))</f>
        <v/>
      </c>
      <c r="M305" s="24">
        <f>IF($K305="","",IF($B$2="","",SUMIFS('Daily Sale entry '!$S$2:$S$1501,'Daily Sale entry '!$P$2:$P$1501,$K305,'Daily Sale entry '!$Q$2:$Q$1501,"Credit Sale 赊销",'Daily Sale entry '!$O$2:$O$1501,$B$2)))</f>
        <v/>
      </c>
      <c r="N305" s="24">
        <f>IF($K305="","",IF($B$2="","",SUMIFS('Daily Sale entry '!$S$2:$S$1501,'Daily Sale entry '!$P$2:$P$1501,$K305,'Daily Sale entry '!$Q$2:$Q$1501,"Collection 收款",'Daily Sale entry '!$R$2:$R$1501,"Cash 现金",'Daily Sale entry '!$O$2:$O$1501,$B$2)))</f>
        <v/>
      </c>
      <c r="O305" s="24">
        <f>IF($K305="","",IF($B$2="","",SUMIFS('Daily Sale entry '!$S$2:$S$1501,'Daily Sale entry '!$P$2:$P$1501,$K305,'Daily Sale entry '!$Q$2:$Q$1501,"Collection 收款",'Daily Sale entry '!$R$2:$R$1501,"Cheque 支票",'Daily Sale entry '!$O$2:$O$1501,$B$2)))</f>
        <v/>
      </c>
      <c r="P305" s="24">
        <f>IF($K305="","",IF($B$2="","",SUMIFS('Daily Sale entry '!$AC$2:$AC$1501,'Daily Sale entry '!$AA$2:$AA$1501,$K305,'Daily Sale entry '!$Z$2:$Z$1501,"Online collection 网上收款",'Daily Sale entry '!$X$2:$X$1501,$B$2)))</f>
        <v/>
      </c>
      <c r="Q305" s="24">
        <f>IF($K305="","",IF($B$2="","",SUMIFS('Debtor Ledger'!$K$2:$K$3001,'Debtor Ledger'!$C$2:$C$3001,$K305,'Debtor Ledger'!$B$2:$B$3001,$B$2)))</f>
        <v/>
      </c>
      <c r="R305" s="24">
        <f>IF($K305="","",IF($B$2="","",ROUND(L305+M305-N305-O305-P305-Q305,2)))</f>
        <v/>
      </c>
      <c r="S305" s="21">
        <f>IF(K305="","",IF($B$2="","",IF(ABS(M305)+ABS(N305)+ABS(O305)+ABS(P305)+ABS(Q305)&gt;0,1,0)))</f>
        <v/>
      </c>
      <c r="T305" s="21">
        <f>IF(S305=1,SUM($S$6:S305),"")</f>
        <v/>
      </c>
    </row>
  </sheetData>
  <conditionalFormatting sqref="A6:H305">
    <cfRule type="expression" priority="1" dxfId="3">
      <formula>$A6&lt;&gt;""</formula>
    </cfRule>
  </conditionalFormatting>
  <dataValidations count="1">
    <dataValidation sqref="B2" showDropDown="0" showInputMessage="0" showErrorMessage="0" allowBlank="1" type="list">
      <formula1>='Daily Sale entry '!$A$2:$A$367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" customWidth="1" min="3" max="3"/>
    <col width="20" customWidth="1" min="4" max="4"/>
    <col width="26" customWidth="1" min="5" max="5"/>
    <col width="18" customWidth="1" min="6" max="6"/>
    <col width="30" customWidth="1" min="7" max="7"/>
    <col width="10" customWidth="1" min="8" max="8"/>
    <col width="30" customWidth="1" min="9" max="9"/>
  </cols>
  <sheetData>
    <row r="1">
      <c r="A1" s="15" t="inlineStr">
        <is>
          <t>OPENING BALANCES 期初余额 (key in once, before the first day 开始使用前填一次)</t>
        </is>
      </c>
    </row>
    <row r="2">
      <c r="A2" t="inlineStr">
        <is>
          <t>Yellow cells = you key in. 黄色格子 = 请自行输入。</t>
        </is>
      </c>
      <c r="D2" t="inlineStr">
        <is>
          <t>Buyer list (up to 300) 买家名单(最多300位): any order 不必排序; dropdowns are sorted A-Z automatically 下拉名单自动按A-Z排序</t>
        </is>
      </c>
    </row>
    <row r="3">
      <c r="A3" s="25" t="inlineStr">
        <is>
          <t>Cash flow 现金流</t>
        </is>
      </c>
      <c r="B3" s="26" t="n"/>
      <c r="D3" s="27" t="inlineStr">
        <is>
          <t>Pinyin / Code 拼音/代号</t>
        </is>
      </c>
      <c r="E3" s="27" t="inlineStr">
        <is>
          <t>Name 名称 (Chinese ok 可中文)</t>
        </is>
      </c>
      <c r="F3" s="27" t="inlineStr">
        <is>
          <t>Opening balance owing 期初欠款</t>
        </is>
      </c>
      <c r="G3" s="27" t="inlineStr">
        <is>
          <t>Dropdown name 下拉名称 (auto 自动)</t>
        </is>
      </c>
      <c r="H3" s="27" t="inlineStr">
        <is>
          <t>Rank 排序 (auto)</t>
        </is>
      </c>
      <c r="I3" s="27" t="inlineStr">
        <is>
          <t>A-Z dropdown list 排序后下拉名单 (auto 自动)</t>
        </is>
      </c>
    </row>
    <row r="4">
      <c r="A4" t="inlineStr">
        <is>
          <t>Bank balance b/f 银行期初余额</t>
        </is>
      </c>
      <c r="B4" s="28" t="n">
        <v>0</v>
      </c>
      <c r="D4" s="29" t="n"/>
      <c r="E4" s="29" t="n"/>
      <c r="F4" s="28" t="n"/>
      <c r="G4" s="30">
        <f>IF(AND(TRIM(D4)="",TRIM(E4)=""),"",IF(OR(TRIM(D4)="",TRIM(D4)="-"),TRIM(E4),TRIM(D4)&amp;TRIM(E4)))</f>
        <v/>
      </c>
      <c r="H4" s="30">
        <f>IF(G4="","",SUMPRODUCT(--($G$4:$G$303&lt;&gt;""),--($G$4:$G$303&lt;G4))+COUNTIF($G$4:G4,G4))</f>
        <v/>
      </c>
      <c r="I4" s="30">
        <f>IFERROR(INDEX($G$4:$G$303,MATCH(ROW()-3,$H$4:$H$303,0)),"")</f>
        <v/>
      </c>
    </row>
    <row r="5">
      <c r="A5" t="inlineStr">
        <is>
          <t>Cheque in hand (unit) b/f 手头支票(张)</t>
        </is>
      </c>
      <c r="B5" s="31" t="n">
        <v>0</v>
      </c>
      <c r="D5" s="29" t="n"/>
      <c r="E5" s="29" t="n"/>
      <c r="F5" s="28" t="n"/>
      <c r="G5" s="30">
        <f>IF(AND(TRIM(D5)="",TRIM(E5)=""),"",IF(OR(TRIM(D5)="",TRIM(D5)="-"),TRIM(E5),TRIM(D5)&amp;TRIM(E5)))</f>
        <v/>
      </c>
      <c r="H5" s="30">
        <f>IF(G5="","",SUMPRODUCT(--($G$4:$G$303&lt;&gt;""),--($G$4:$G$303&lt;G5))+COUNTIF($G$4:G5,G5))</f>
        <v/>
      </c>
      <c r="I5" s="30">
        <f>IFERROR(INDEX($G$4:$G$303,MATCH(ROW()-3,$H$4:$H$303,0)),"")</f>
        <v/>
      </c>
    </row>
    <row r="6">
      <c r="A6" t="inlineStr">
        <is>
          <t>Cheque in hand (RM) b/f 手头支票(RM)</t>
        </is>
      </c>
      <c r="B6" s="28" t="n">
        <v>0</v>
      </c>
      <c r="D6" s="29" t="n"/>
      <c r="E6" s="29" t="n"/>
      <c r="F6" s="28" t="n"/>
      <c r="G6" s="30">
        <f>IF(AND(TRIM(D6)="",TRIM(E6)=""),"",IF(OR(TRIM(D6)="",TRIM(D6)="-"),TRIM(E6),TRIM(D6)&amp;TRIM(E6)))</f>
        <v/>
      </c>
      <c r="H6" s="30">
        <f>IF(G6="","",SUMPRODUCT(--($G$4:$G$303&lt;&gt;""),--($G$4:$G$303&lt;G6))+COUNTIF($G$4:G6,G6))</f>
        <v/>
      </c>
      <c r="I6" s="30">
        <f>IFERROR(INDEX($G$4:$G$303,MATCH(ROW()-3,$H$4:$H$303,0)),"")</f>
        <v/>
      </c>
    </row>
    <row r="7">
      <c r="A7" t="inlineStr">
        <is>
          <t>Petty cash (fixed) 备用金(固定)</t>
        </is>
      </c>
      <c r="B7" s="28" t="n">
        <v>600</v>
      </c>
      <c r="D7" s="29" t="n"/>
      <c r="E7" s="29" t="n"/>
      <c r="F7" s="28" t="n"/>
      <c r="G7" s="30">
        <f>IF(AND(TRIM(D7)="",TRIM(E7)=""),"",IF(OR(TRIM(D7)="",TRIM(D7)="-"),TRIM(E7),TRIM(D7)&amp;TRIM(E7)))</f>
        <v/>
      </c>
      <c r="H7" s="30">
        <f>IF(G7="","",SUMPRODUCT(--($G$4:$G$303&lt;&gt;""),--($G$4:$G$303&lt;G7))+COUNTIF($G$4:G7,G7))</f>
        <v/>
      </c>
      <c r="I7" s="30">
        <f>IFERROR(INDEX($G$4:$G$303,MATCH(ROW()-3,$H$4:$H$303,0)),"")</f>
        <v/>
      </c>
    </row>
    <row r="8">
      <c r="A8" t="inlineStr">
        <is>
          <t>Advance salary b/f 预支薪水期初</t>
        </is>
      </c>
      <c r="B8" s="28" t="n">
        <v>0</v>
      </c>
      <c r="D8" s="29" t="n"/>
      <c r="E8" s="29" t="n"/>
      <c r="F8" s="28" t="n"/>
      <c r="G8" s="30">
        <f>IF(AND(TRIM(D8)="",TRIM(E8)=""),"",IF(OR(TRIM(D8)="",TRIM(D8)="-"),TRIM(E8),TRIM(D8)&amp;TRIM(E8)))</f>
        <v/>
      </c>
      <c r="H8" s="30">
        <f>IF(G8="","",SUMPRODUCT(--($G$4:$G$303&lt;&gt;""),--($G$4:$G$303&lt;G8))+COUNTIF($G$4:G8,G8))</f>
        <v/>
      </c>
      <c r="I8" s="30">
        <f>IFERROR(INDEX($G$4:$G$303,MATCH(ROW()-3,$H$4:$H$303,0)),"")</f>
        <v/>
      </c>
    </row>
    <row r="9">
      <c r="A9" t="inlineStr">
        <is>
          <t>Loose cash b/f (below step) 零散现金期初</t>
        </is>
      </c>
      <c r="B9" s="28" t="n">
        <v>0</v>
      </c>
      <c r="D9" s="29" t="n"/>
      <c r="E9" s="29" t="n"/>
      <c r="F9" s="28" t="n"/>
      <c r="G9" s="30">
        <f>IF(AND(TRIM(D9)="",TRIM(E9)=""),"",IF(OR(TRIM(D9)="",TRIM(D9)="-"),TRIM(E9),TRIM(D9)&amp;TRIM(E9)))</f>
        <v/>
      </c>
      <c r="H9" s="30">
        <f>IF(G9="","",SUMPRODUCT(--($G$4:$G$303&lt;&gt;""),--($G$4:$G$303&lt;G9))+COUNTIF($G$4:G9,G9))</f>
        <v/>
      </c>
      <c r="I9" s="30">
        <f>IFERROR(INDEX($G$4:$G$303,MATCH(ROW()-3,$H$4:$H$303,0)),"")</f>
        <v/>
      </c>
    </row>
    <row r="10">
      <c r="A10" t="inlineStr">
        <is>
          <t>Cash in hand (RM) b/f 手头现金期初</t>
        </is>
      </c>
      <c r="B10" s="28" t="n">
        <v>0</v>
      </c>
      <c r="D10" s="29" t="n"/>
      <c r="E10" s="29" t="n"/>
      <c r="F10" s="28" t="n"/>
      <c r="G10" s="30">
        <f>IF(AND(TRIM(D10)="",TRIM(E10)=""),"",IF(OR(TRIM(D10)="",TRIM(D10)="-"),TRIM(E10),TRIM(D10)&amp;TRIM(E10)))</f>
        <v/>
      </c>
      <c r="H10" s="30">
        <f>IF(G10="","",SUMPRODUCT(--($G$4:$G$303&lt;&gt;""),--($G$4:$G$303&lt;G10))+COUNTIF($G$4:G10,G10))</f>
        <v/>
      </c>
      <c r="I10" s="30">
        <f>IFERROR(INDEX($G$4:$G$303,MATCH(ROW()-3,$H$4:$H$303,0)),"")</f>
        <v/>
      </c>
    </row>
    <row r="11">
      <c r="A11" t="inlineStr">
        <is>
          <t>Cash-in-hand step (RM) 转入手头现金的单位</t>
        </is>
      </c>
      <c r="B11" s="28" t="n">
        <v>5000</v>
      </c>
      <c r="D11" s="29" t="n"/>
      <c r="E11" s="29" t="n"/>
      <c r="F11" s="28" t="n"/>
      <c r="G11" s="30">
        <f>IF(AND(TRIM(D11)="",TRIM(E11)=""),"",IF(OR(TRIM(D11)="",TRIM(D11)="-"),TRIM(E11),TRIM(D11)&amp;TRIM(E11)))</f>
        <v/>
      </c>
      <c r="H11" s="30">
        <f>IF(G11="","",SUMPRODUCT(--($G$4:$G$303&lt;&gt;""),--($G$4:$G$303&lt;G11))+COUNTIF($G$4:G11,G11))</f>
        <v/>
      </c>
      <c r="I11" s="30">
        <f>IFERROR(INDEX($G$4:$G$303,MATCH(ROW()-3,$H$4:$H$303,0)),"")</f>
        <v/>
      </c>
    </row>
    <row r="12">
      <c r="A12" s="16" t="inlineStr">
        <is>
          <t>Opening total (= AR &amp; AP Balance b/f) 期初总额</t>
        </is>
      </c>
      <c r="B12" s="32">
        <f>B4+B6+B7+B8+B9+B10</f>
        <v/>
      </c>
      <c r="D12" s="29" t="n"/>
      <c r="E12" s="29" t="n"/>
      <c r="F12" s="28" t="n"/>
      <c r="G12" s="30">
        <f>IF(AND(TRIM(D12)="",TRIM(E12)=""),"",IF(OR(TRIM(D12)="",TRIM(D12)="-"),TRIM(E12),TRIM(D12)&amp;TRIM(E12)))</f>
        <v/>
      </c>
      <c r="H12" s="30">
        <f>IF(G12="","",SUMPRODUCT(--($G$4:$G$303&lt;&gt;""),--($G$4:$G$303&lt;G12))+COUNTIF($G$4:G12,G12))</f>
        <v/>
      </c>
      <c r="I12" s="30">
        <f>IFERROR(INDEX($G$4:$G$303,MATCH(ROW()-3,$H$4:$H$303,0)),"")</f>
        <v/>
      </c>
    </row>
    <row r="13" ht="46" customHeight="1">
      <c r="A13" s="33" t="inlineStr">
        <is>
          <t>Petty-cash tolerance (RM) 备用金容差: a Different up to this amount is adjusted on c/f petty cash (After); bigger: short cash is added to Misc Charges, extra cash is added to Cash Sales 差额不超过此数调整备用金;超过则:现金短少加入杂项费用,现金多出加入现金销售</t>
        </is>
      </c>
      <c r="B13" s="28" t="n">
        <v>30</v>
      </c>
      <c r="D13" s="29" t="n"/>
      <c r="E13" s="29" t="n"/>
      <c r="F13" s="28" t="n"/>
      <c r="G13" s="30">
        <f>IF(AND(TRIM(D13)="",TRIM(E13)=""),"",IF(OR(TRIM(D13)="",TRIM(D13)="-"),TRIM(E13),TRIM(D13)&amp;TRIM(E13)))</f>
        <v/>
      </c>
      <c r="H13" s="30">
        <f>IF(G13="","",SUMPRODUCT(--($G$4:$G$303&lt;&gt;""),--($G$4:$G$303&lt;G13))+COUNTIF($G$4:G13,G13))</f>
        <v/>
      </c>
      <c r="I13" s="30">
        <f>IFERROR(INDEX($G$4:$G$303,MATCH(ROW()-3,$H$4:$H$303,0)),"")</f>
        <v/>
      </c>
    </row>
    <row r="14" ht="78" customHeight="1">
      <c r="A14" s="33" t="inlineStr">
        <is>
          <t>Auto small write-off (RM) 自动小额折扣 (optional 可选, 0 = off 关闭): only when you leave Discount empty in the peach table, a leftover below this amount after a payment is written off. Discounts of any size (even RM100+) can be keyed in the Discount column 折扣金额不限,可直接在桃色表Discount栏输入</t>
        </is>
      </c>
      <c r="B14" s="28" t="n">
        <v>0</v>
      </c>
      <c r="D14" s="29" t="n"/>
      <c r="E14" s="29" t="n"/>
      <c r="F14" s="28" t="n"/>
      <c r="G14" s="30">
        <f>IF(AND(TRIM(D14)="",TRIM(E14)=""),"",IF(OR(TRIM(D14)="",TRIM(D14)="-"),TRIM(E14),TRIM(D14)&amp;TRIM(E14)))</f>
        <v/>
      </c>
      <c r="H14" s="30">
        <f>IF(G14="","",SUMPRODUCT(--($G$4:$G$303&lt;&gt;""),--($G$4:$G$303&lt;G14))+COUNTIF($G$4:G14,G14))</f>
        <v/>
      </c>
      <c r="I14" s="30">
        <f>IFERROR(INDEX($G$4:$G$303,MATCH(ROW()-3,$H$4:$H$303,0)),"")</f>
        <v/>
      </c>
    </row>
    <row r="15" ht="62" customHeight="1">
      <c r="A15" s="33" t="inlineStr">
        <is>
          <t>Drop sen on buyer cheques &amp; online payments (1 = yes, 0 = no) 买家支票/网上付款去掉角分: debtor account is cleared in full, but Bank, Cheque in hand and Credit Collection show whole ringgit only (e.g. 1,988.70 -&gt; 1,988) 债务人账按全额结清,银行/手头支票/赊账收款只显示整数</t>
        </is>
      </c>
      <c r="B15" s="31" t="n">
        <v>1</v>
      </c>
      <c r="D15" s="29" t="n"/>
      <c r="E15" s="29" t="n"/>
      <c r="F15" s="28" t="n"/>
      <c r="G15" s="30">
        <f>IF(AND(TRIM(D15)="",TRIM(E15)=""),"",IF(OR(TRIM(D15)="",TRIM(D15)="-"),TRIM(E15),TRIM(D15)&amp;TRIM(E15)))</f>
        <v/>
      </c>
      <c r="H15" s="30">
        <f>IF(G15="","",SUMPRODUCT(--($G$4:$G$303&lt;&gt;""),--($G$4:$G$303&lt;G15))+COUNTIF($G$4:G15,G15))</f>
        <v/>
      </c>
      <c r="I15" s="30">
        <f>IFERROR(INDEX($G$4:$G$303,MATCH(ROW()-3,$H$4:$H$303,0)),"")</f>
        <v/>
      </c>
    </row>
    <row r="16" ht="46" customHeight="1">
      <c r="A16" s="33" t="inlineStr">
        <is>
          <t>ALERT limit (RM) 警报上限: if the Different is more than this amount, Sales &amp; Collection turns red and Cash flow shows an alert 差额超过此数,Sales &amp; Collection变红,Cash flow显示警报</t>
        </is>
      </c>
      <c r="B16" s="28" t="n">
        <v>400</v>
      </c>
      <c r="D16" s="29" t="n"/>
      <c r="E16" s="29" t="n"/>
      <c r="F16" s="28" t="n"/>
      <c r="G16" s="30">
        <f>IF(AND(TRIM(D16)="",TRIM(E16)=""),"",IF(OR(TRIM(D16)="",TRIM(D16)="-"),TRIM(E16),TRIM(D16)&amp;TRIM(E16)))</f>
        <v/>
      </c>
      <c r="H16" s="30">
        <f>IF(G16="","",SUMPRODUCT(--($G$4:$G$303&lt;&gt;""),--($G$4:$G$303&lt;G16))+COUNTIF($G$4:G16,G16))</f>
        <v/>
      </c>
      <c r="I16" s="30">
        <f>IFERROR(INDEX($G$4:$G$303,MATCH(ROW()-3,$H$4:$H$303,0)),"")</f>
        <v/>
      </c>
    </row>
    <row r="17">
      <c r="A17" s="16" t="inlineStr">
        <is>
          <t>WHERE TO KEY IN 哪里输入</t>
        </is>
      </c>
      <c r="D17" s="29" t="n"/>
      <c r="E17" s="29" t="n"/>
      <c r="F17" s="28" t="n"/>
      <c r="G17" s="30">
        <f>IF(AND(TRIM(D17)="",TRIM(E17)=""),"",IF(OR(TRIM(D17)="",TRIM(D17)="-"),TRIM(E17),TRIM(D17)&amp;TRIM(E17)))</f>
        <v/>
      </c>
      <c r="H17" s="30">
        <f>IF(G17="","",SUMPRODUCT(--($G$4:$G$303&lt;&gt;""),--($G$4:$G$303&lt;G17))+COUNTIF($G$4:G17,G17))</f>
        <v/>
      </c>
      <c r="I17" s="30">
        <f>IFERROR(INDEX($G$4:$G$303,MATCH(ROW()-3,$H$4:$H$303,0)),"")</f>
        <v/>
      </c>
    </row>
    <row r="18">
      <c r="A18" t="inlineStr">
        <is>
          <t>Page 1 "Daily Sale entry" 第1页: left table = daily figures 左边=每日销售;</t>
        </is>
      </c>
      <c r="D18" s="29" t="n"/>
      <c r="E18" s="29" t="n"/>
      <c r="F18" s="28" t="n"/>
      <c r="G18" s="30">
        <f>IF(AND(TRIM(D18)="",TRIM(E18)=""),"",IF(OR(TRIM(D18)="",TRIM(D18)="-"),TRIM(E18),TRIM(D18)&amp;TRIM(E18)))</f>
        <v/>
      </c>
      <c r="H18" s="30">
        <f>IF(G18="","",SUMPRODUCT(--($G$4:$G$303&lt;&gt;""),--($G$4:$G$303&lt;G18))+COUNTIF($G$4:G18,G18))</f>
        <v/>
      </c>
      <c r="I18" s="30">
        <f>IFERROR(INDEX($G$4:$G$303,MATCH(ROW()-3,$H$4:$H$303,0)),"")</f>
        <v/>
      </c>
    </row>
    <row r="19">
      <c r="A19" t="inlineStr">
        <is>
          <t xml:space="preserve">   peach table (O:V) = debtor credit sales / collections 桃色表=债务人赊销及收款;</t>
        </is>
      </c>
      <c r="D19" s="29" t="n"/>
      <c r="E19" s="29" t="n"/>
      <c r="F19" s="28" t="n"/>
      <c r="G19" s="30">
        <f>IF(AND(TRIM(D19)="",TRIM(E19)=""),"",IF(OR(TRIM(D19)="",TRIM(D19)="-"),TRIM(E19),TRIM(D19)&amp;TRIM(E19)))</f>
        <v/>
      </c>
      <c r="H19" s="30">
        <f>IF(G19="","",SUMPRODUCT(--($G$4:$G$303&lt;&gt;""),--($G$4:$G$303&lt;G19))+COUNTIF($G$4:G19,G19))</f>
        <v/>
      </c>
      <c r="I19" s="30">
        <f>IFERROR(INDEX($G$4:$G$303,MATCH(ROW()-3,$H$4:$H$303,0)),"")</f>
        <v/>
      </c>
    </row>
    <row r="20">
      <c r="A20" t="inlineStr">
        <is>
          <t xml:space="preserve">   green table (X:AE) = bank transactions &amp; online collections 绿色表=银行记录及网上收款.</t>
        </is>
      </c>
      <c r="D20" s="29" t="n"/>
      <c r="E20" s="29" t="n"/>
      <c r="F20" s="28" t="n"/>
      <c r="G20" s="30">
        <f>IF(AND(TRIM(D20)="",TRIM(E20)=""),"",IF(OR(TRIM(D20)="",TRIM(D20)="-"),TRIM(E20),TRIM(D20)&amp;TRIM(E20)))</f>
        <v/>
      </c>
      <c r="H20" s="30">
        <f>IF(G20="","",SUMPRODUCT(--($G$4:$G$303&lt;&gt;""),--($G$4:$G$303&lt;G20))+COUNTIF($G$4:G20,G20))</f>
        <v/>
      </c>
      <c r="I20" s="30">
        <f>IFERROR(INDEX($G$4:$G$303,MATCH(ROW()-3,$H$4:$H$303,0)),"")</f>
        <v/>
      </c>
    </row>
    <row r="21">
      <c r="A21" t="inlineStr">
        <is>
          <t>Page 2 "Opening Balance" 第2页: opening balances + buyer list (once) 期初余额及买家名单(一次).</t>
        </is>
      </c>
      <c r="D21" s="29" t="n"/>
      <c r="E21" s="29" t="n"/>
      <c r="F21" s="28" t="n"/>
      <c r="G21" s="30">
        <f>IF(AND(TRIM(D21)="",TRIM(E21)=""),"",IF(OR(TRIM(D21)="",TRIM(D21)="-"),TRIM(E21),TRIM(D21)&amp;TRIM(E21)))</f>
        <v/>
      </c>
      <c r="H21" s="30">
        <f>IF(G21="","",SUMPRODUCT(--($G$4:$G$303&lt;&gt;""),--($G$4:$G$303&lt;G21))+COUNTIF($G$4:G21,G21))</f>
        <v/>
      </c>
      <c r="I21" s="30">
        <f>IFERROR(INDEX($G$4:$G$303,MATCH(ROW()-3,$H$4:$H$303,0)),"")</f>
        <v/>
      </c>
    </row>
    <row r="22">
      <c r="A22" t="inlineStr">
        <is>
          <t>Everything else is automatic - do not type in green tabs. 其余全部自动,绿色标签页请勿输入。</t>
        </is>
      </c>
      <c r="D22" s="29" t="n"/>
      <c r="E22" s="29" t="n"/>
      <c r="F22" s="28" t="n"/>
      <c r="G22" s="30">
        <f>IF(AND(TRIM(D22)="",TRIM(E22)=""),"",IF(OR(TRIM(D22)="",TRIM(D22)="-"),TRIM(E22),TRIM(D22)&amp;TRIM(E22)))</f>
        <v/>
      </c>
      <c r="H22" s="30">
        <f>IF(G22="","",SUMPRODUCT(--($G$4:$G$303&lt;&gt;""),--($G$4:$G$303&lt;G22))+COUNTIF($G$4:G22,G22))</f>
        <v/>
      </c>
      <c r="I22" s="30">
        <f>IFERROR(INDEX($G$4:$G$303,MATCH(ROW()-3,$H$4:$H$303,0)),"")</f>
        <v/>
      </c>
    </row>
    <row r="23">
      <c r="A23" t="inlineStr">
        <is>
          <t>Each table is independent: rows need not line up. 三个表互相独立,不必同一行。</t>
        </is>
      </c>
      <c r="D23" s="29" t="n"/>
      <c r="E23" s="29" t="n"/>
      <c r="F23" s="28" t="n"/>
      <c r="G23" s="30">
        <f>IF(AND(TRIM(D23)="",TRIM(E23)=""),"",IF(OR(TRIM(D23)="",TRIM(D23)="-"),TRIM(E23),TRIM(D23)&amp;TRIM(E23)))</f>
        <v/>
      </c>
      <c r="H23" s="30">
        <f>IF(G23="","",SUMPRODUCT(--($G$4:$G$303&lt;&gt;""),--($G$4:$G$303&lt;G23))+COUNTIF($G$4:G23,G23))</f>
        <v/>
      </c>
      <c r="I23" s="30">
        <f>IFERROR(INDEX($G$4:$G$303,MATCH(ROW()-3,$H$4:$H$303,0)),"")</f>
        <v/>
      </c>
    </row>
    <row r="24">
      <c r="A24" t="inlineStr">
        <is>
          <t>Buyer dropdown shows "pinyin + name" - type the first letters to find fast. 买家下拉显示"拼音+名称",输入首字母可快速查找。</t>
        </is>
      </c>
      <c r="D24" s="29" t="n"/>
      <c r="E24" s="29" t="n"/>
      <c r="F24" s="28" t="n"/>
      <c r="G24" s="30">
        <f>IF(AND(TRIM(D24)="",TRIM(E24)=""),"",IF(OR(TRIM(D24)="",TRIM(D24)="-"),TRIM(E24),TRIM(D24)&amp;TRIM(E24)))</f>
        <v/>
      </c>
      <c r="H24" s="30">
        <f>IF(G24="","",SUMPRODUCT(--($G$4:$G$303&lt;&gt;""),--($G$4:$G$303&lt;G24))+COUNTIF($G$4:G24,G24))</f>
        <v/>
      </c>
      <c r="I24" s="30">
        <f>IFERROR(INDEX($G$4:$G$303,MATCH(ROW()-3,$H$4:$H$303,0)),"")</f>
        <v/>
      </c>
    </row>
    <row r="25">
      <c r="A25" t="inlineStr">
        <is>
          <t>Cheque from a buyer: key Collection + Cheque in peach table, fill Bank-in date later: it flows into the bank (tab Bank Statement) by itself, no need to key it in the green table. 买家支票:桃色表填Collection+Cheque,存入日期填了就自动进银行(Bank Statement标签页),不必再填绿色表。</t>
        </is>
      </c>
      <c r="D25" s="29" t="n"/>
      <c r="E25" s="29" t="n"/>
      <c r="F25" s="28" t="n"/>
      <c r="G25" s="30">
        <f>IF(AND(TRIM(D25)="",TRIM(E25)=""),"",IF(OR(TRIM(D25)="",TRIM(D25)="-"),TRIM(E25),TRIM(D25)&amp;TRIM(E25)))</f>
        <v/>
      </c>
      <c r="H25" s="30">
        <f>IF(G25="","",SUMPRODUCT(--($G$4:$G$303&lt;&gt;""),--($G$4:$G$303&lt;G25))+COUNTIF($G$4:G25,G25))</f>
        <v/>
      </c>
      <c r="I25" s="30">
        <f>IFERROR(INDEX($G$4:$G$303,MATCH(ROW()-3,$H$4:$H$303,0)),"")</f>
        <v/>
      </c>
    </row>
    <row r="26">
      <c r="A26" t="inlineStr">
        <is>
          <t>Discount to a buyer (any amount): key it in the Discount column of the Collection row. 给买家折扣(金额不限):填在收款那行的Discount栏。</t>
        </is>
      </c>
      <c r="D26" s="29" t="n"/>
      <c r="E26" s="29" t="n"/>
      <c r="F26" s="28" t="n"/>
      <c r="G26" s="30">
        <f>IF(AND(TRIM(D26)="",TRIM(E26)=""),"",IF(OR(TRIM(D26)="",TRIM(D26)="-"),TRIM(E26),TRIM(D26)&amp;TRIM(E26)))</f>
        <v/>
      </c>
      <c r="H26" s="30">
        <f>IF(G26="","",SUMPRODUCT(--($G$4:$G$303&lt;&gt;""),--($G$4:$G$303&lt;G26))+COUNTIF($G$4:G26,G26))</f>
        <v/>
      </c>
      <c r="I26" s="30">
        <f>IFERROR(INDEX($G$4:$G$303,MATCH(ROW()-3,$H$4:$H$303,0)),"")</f>
        <v/>
      </c>
    </row>
    <row r="27">
      <c r="A27" t="inlineStr">
        <is>
          <t>TNG / e-wallet sales (no buyer): key in the TNG column of the left table (page 1). TNG电子钱包销售(无买家):填在左边表格的TNG栏。</t>
        </is>
      </c>
      <c r="D27" s="29" t="n"/>
      <c r="E27" s="29" t="n"/>
      <c r="F27" s="28" t="n"/>
      <c r="G27" s="30">
        <f>IF(AND(TRIM(D27)="",TRIM(E27)=""),"",IF(OR(TRIM(D27)="",TRIM(D27)="-"),TRIM(E27),TRIM(D27)&amp;TRIM(E27)))</f>
        <v/>
      </c>
      <c r="H27" s="30">
        <f>IF(G27="","",SUMPRODUCT(--($G$4:$G$303&lt;&gt;""),--($G$4:$G$303&lt;G27))+COUNTIF($G$4:G27,G27))</f>
        <v/>
      </c>
      <c r="I27" s="30">
        <f>IFERROR(INDEX($G$4:$G$303,MATCH(ROW()-3,$H$4:$H$303,0)),"")</f>
        <v/>
      </c>
    </row>
    <row r="28">
      <c r="D28" s="29" t="n"/>
      <c r="E28" s="29" t="n"/>
      <c r="F28" s="28" t="n"/>
      <c r="G28" s="30">
        <f>IF(AND(TRIM(D28)="",TRIM(E28)=""),"",IF(OR(TRIM(D28)="",TRIM(D28)="-"),TRIM(E28),TRIM(D28)&amp;TRIM(E28)))</f>
        <v/>
      </c>
      <c r="H28" s="30">
        <f>IF(G28="","",SUMPRODUCT(--($G$4:$G$303&lt;&gt;""),--($G$4:$G$303&lt;G28))+COUNTIF($G$4:G28,G28))</f>
        <v/>
      </c>
      <c r="I28" s="30">
        <f>IFERROR(INDEX($G$4:$G$303,MATCH(ROW()-3,$H$4:$H$303,0)),"")</f>
        <v/>
      </c>
    </row>
    <row r="29">
      <c r="D29" s="29" t="n"/>
      <c r="E29" s="29" t="n"/>
      <c r="F29" s="28" t="n"/>
      <c r="G29" s="30">
        <f>IF(AND(TRIM(D29)="",TRIM(E29)=""),"",IF(OR(TRIM(D29)="",TRIM(D29)="-"),TRIM(E29),TRIM(D29)&amp;TRIM(E29)))</f>
        <v/>
      </c>
      <c r="H29" s="30">
        <f>IF(G29="","",SUMPRODUCT(--($G$4:$G$303&lt;&gt;""),--($G$4:$G$303&lt;G29))+COUNTIF($G$4:G29,G29))</f>
        <v/>
      </c>
      <c r="I29" s="30">
        <f>IFERROR(INDEX($G$4:$G$303,MATCH(ROW()-3,$H$4:$H$303,0)),"")</f>
        <v/>
      </c>
    </row>
    <row r="30">
      <c r="D30" s="29" t="n"/>
      <c r="E30" s="29" t="n"/>
      <c r="F30" s="28" t="n"/>
      <c r="G30" s="30">
        <f>IF(AND(TRIM(D30)="",TRIM(E30)=""),"",IF(OR(TRIM(D30)="",TRIM(D30)="-"),TRIM(E30),TRIM(D30)&amp;TRIM(E30)))</f>
        <v/>
      </c>
      <c r="H30" s="30">
        <f>IF(G30="","",SUMPRODUCT(--($G$4:$G$303&lt;&gt;""),--($G$4:$G$303&lt;G30))+COUNTIF($G$4:G30,G30))</f>
        <v/>
      </c>
      <c r="I30" s="30">
        <f>IFERROR(INDEX($G$4:$G$303,MATCH(ROW()-3,$H$4:$H$303,0)),"")</f>
        <v/>
      </c>
    </row>
    <row r="31">
      <c r="D31" s="29" t="n"/>
      <c r="E31" s="29" t="n"/>
      <c r="F31" s="28" t="n"/>
      <c r="G31" s="30">
        <f>IF(AND(TRIM(D31)="",TRIM(E31)=""),"",IF(OR(TRIM(D31)="",TRIM(D31)="-"),TRIM(E31),TRIM(D31)&amp;TRIM(E31)))</f>
        <v/>
      </c>
      <c r="H31" s="30">
        <f>IF(G31="","",SUMPRODUCT(--($G$4:$G$303&lt;&gt;""),--($G$4:$G$303&lt;G31))+COUNTIF($G$4:G31,G31))</f>
        <v/>
      </c>
      <c r="I31" s="30">
        <f>IFERROR(INDEX($G$4:$G$303,MATCH(ROW()-3,$H$4:$H$303,0)),"")</f>
        <v/>
      </c>
    </row>
    <row r="32">
      <c r="D32" s="29" t="n"/>
      <c r="E32" s="29" t="n"/>
      <c r="F32" s="28" t="n"/>
      <c r="G32" s="30">
        <f>IF(AND(TRIM(D32)="",TRIM(E32)=""),"",IF(OR(TRIM(D32)="",TRIM(D32)="-"),TRIM(E32),TRIM(D32)&amp;TRIM(E32)))</f>
        <v/>
      </c>
      <c r="H32" s="30">
        <f>IF(G32="","",SUMPRODUCT(--($G$4:$G$303&lt;&gt;""),--($G$4:$G$303&lt;G32))+COUNTIF($G$4:G32,G32))</f>
        <v/>
      </c>
      <c r="I32" s="30">
        <f>IFERROR(INDEX($G$4:$G$303,MATCH(ROW()-3,$H$4:$H$303,0)),"")</f>
        <v/>
      </c>
    </row>
    <row r="33">
      <c r="D33" s="29" t="n"/>
      <c r="E33" s="29" t="n"/>
      <c r="F33" s="28" t="n"/>
      <c r="G33" s="30">
        <f>IF(AND(TRIM(D33)="",TRIM(E33)=""),"",IF(OR(TRIM(D33)="",TRIM(D33)="-"),TRIM(E33),TRIM(D33)&amp;TRIM(E33)))</f>
        <v/>
      </c>
      <c r="H33" s="30">
        <f>IF(G33="","",SUMPRODUCT(--($G$4:$G$303&lt;&gt;""),--($G$4:$G$303&lt;G33))+COUNTIF($G$4:G33,G33))</f>
        <v/>
      </c>
      <c r="I33" s="30">
        <f>IFERROR(INDEX($G$4:$G$303,MATCH(ROW()-3,$H$4:$H$303,0)),"")</f>
        <v/>
      </c>
    </row>
    <row r="34">
      <c r="D34" s="29" t="n"/>
      <c r="E34" s="29" t="n"/>
      <c r="F34" s="28" t="n"/>
      <c r="G34" s="30">
        <f>IF(AND(TRIM(D34)="",TRIM(E34)=""),"",IF(OR(TRIM(D34)="",TRIM(D34)="-"),TRIM(E34),TRIM(D34)&amp;TRIM(E34)))</f>
        <v/>
      </c>
      <c r="H34" s="30">
        <f>IF(G34="","",SUMPRODUCT(--($G$4:$G$303&lt;&gt;""),--($G$4:$G$303&lt;G34))+COUNTIF($G$4:G34,G34))</f>
        <v/>
      </c>
      <c r="I34" s="30">
        <f>IFERROR(INDEX($G$4:$G$303,MATCH(ROW()-3,$H$4:$H$303,0)),"")</f>
        <v/>
      </c>
    </row>
    <row r="35">
      <c r="D35" s="29" t="n"/>
      <c r="E35" s="29" t="n"/>
      <c r="F35" s="28" t="n"/>
      <c r="G35" s="30">
        <f>IF(AND(TRIM(D35)="",TRIM(E35)=""),"",IF(OR(TRIM(D35)="",TRIM(D35)="-"),TRIM(E35),TRIM(D35)&amp;TRIM(E35)))</f>
        <v/>
      </c>
      <c r="H35" s="30">
        <f>IF(G35="","",SUMPRODUCT(--($G$4:$G$303&lt;&gt;""),--($G$4:$G$303&lt;G35))+COUNTIF($G$4:G35,G35))</f>
        <v/>
      </c>
      <c r="I35" s="30">
        <f>IFERROR(INDEX($G$4:$G$303,MATCH(ROW()-3,$H$4:$H$303,0)),"")</f>
        <v/>
      </c>
    </row>
    <row r="36">
      <c r="D36" s="29" t="n"/>
      <c r="E36" s="29" t="n"/>
      <c r="F36" s="28" t="n"/>
      <c r="G36" s="30">
        <f>IF(AND(TRIM(D36)="",TRIM(E36)=""),"",IF(OR(TRIM(D36)="",TRIM(D36)="-"),TRIM(E36),TRIM(D36)&amp;TRIM(E36)))</f>
        <v/>
      </c>
      <c r="H36" s="30">
        <f>IF(G36="","",SUMPRODUCT(--($G$4:$G$303&lt;&gt;""),--($G$4:$G$303&lt;G36))+COUNTIF($G$4:G36,G36))</f>
        <v/>
      </c>
      <c r="I36" s="30">
        <f>IFERROR(INDEX($G$4:$G$303,MATCH(ROW()-3,$H$4:$H$303,0)),"")</f>
        <v/>
      </c>
    </row>
    <row r="37">
      <c r="D37" s="29" t="n"/>
      <c r="E37" s="29" t="n"/>
      <c r="F37" s="28" t="n"/>
      <c r="G37" s="30">
        <f>IF(AND(TRIM(D37)="",TRIM(E37)=""),"",IF(OR(TRIM(D37)="",TRIM(D37)="-"),TRIM(E37),TRIM(D37)&amp;TRIM(E37)))</f>
        <v/>
      </c>
      <c r="H37" s="30">
        <f>IF(G37="","",SUMPRODUCT(--($G$4:$G$303&lt;&gt;""),--($G$4:$G$303&lt;G37))+COUNTIF($G$4:G37,G37))</f>
        <v/>
      </c>
      <c r="I37" s="30">
        <f>IFERROR(INDEX($G$4:$G$303,MATCH(ROW()-3,$H$4:$H$303,0)),"")</f>
        <v/>
      </c>
    </row>
    <row r="38">
      <c r="D38" s="29" t="n"/>
      <c r="E38" s="29" t="n"/>
      <c r="F38" s="28" t="n"/>
      <c r="G38" s="30">
        <f>IF(AND(TRIM(D38)="",TRIM(E38)=""),"",IF(OR(TRIM(D38)="",TRIM(D38)="-"),TRIM(E38),TRIM(D38)&amp;TRIM(E38)))</f>
        <v/>
      </c>
      <c r="H38" s="30">
        <f>IF(G38="","",SUMPRODUCT(--($G$4:$G$303&lt;&gt;""),--($G$4:$G$303&lt;G38))+COUNTIF($G$4:G38,G38))</f>
        <v/>
      </c>
      <c r="I38" s="30">
        <f>IFERROR(INDEX($G$4:$G$303,MATCH(ROW()-3,$H$4:$H$303,0)),"")</f>
        <v/>
      </c>
    </row>
    <row r="39">
      <c r="D39" s="29" t="n"/>
      <c r="E39" s="29" t="n"/>
      <c r="F39" s="28" t="n"/>
      <c r="G39" s="30">
        <f>IF(AND(TRIM(D39)="",TRIM(E39)=""),"",IF(OR(TRIM(D39)="",TRIM(D39)="-"),TRIM(E39),TRIM(D39)&amp;TRIM(E39)))</f>
        <v/>
      </c>
      <c r="H39" s="30">
        <f>IF(G39="","",SUMPRODUCT(--($G$4:$G$303&lt;&gt;""),--($G$4:$G$303&lt;G39))+COUNTIF($G$4:G39,G39))</f>
        <v/>
      </c>
      <c r="I39" s="30">
        <f>IFERROR(INDEX($G$4:$G$303,MATCH(ROW()-3,$H$4:$H$303,0)),"")</f>
        <v/>
      </c>
    </row>
    <row r="40">
      <c r="D40" s="29" t="n"/>
      <c r="E40" s="29" t="n"/>
      <c r="F40" s="28" t="n"/>
      <c r="G40" s="30">
        <f>IF(AND(TRIM(D40)="",TRIM(E40)=""),"",IF(OR(TRIM(D40)="",TRIM(D40)="-"),TRIM(E40),TRIM(D40)&amp;TRIM(E40)))</f>
        <v/>
      </c>
      <c r="H40" s="30">
        <f>IF(G40="","",SUMPRODUCT(--($G$4:$G$303&lt;&gt;""),--($G$4:$G$303&lt;G40))+COUNTIF($G$4:G40,G40))</f>
        <v/>
      </c>
      <c r="I40" s="30">
        <f>IFERROR(INDEX($G$4:$G$303,MATCH(ROW()-3,$H$4:$H$303,0)),"")</f>
        <v/>
      </c>
    </row>
    <row r="41">
      <c r="D41" s="29" t="n"/>
      <c r="E41" s="29" t="n"/>
      <c r="F41" s="28" t="n"/>
      <c r="G41" s="30">
        <f>IF(AND(TRIM(D41)="",TRIM(E41)=""),"",IF(OR(TRIM(D41)="",TRIM(D41)="-"),TRIM(E41),TRIM(D41)&amp;TRIM(E41)))</f>
        <v/>
      </c>
      <c r="H41" s="30">
        <f>IF(G41="","",SUMPRODUCT(--($G$4:$G$303&lt;&gt;""),--($G$4:$G$303&lt;G41))+COUNTIF($G$4:G41,G41))</f>
        <v/>
      </c>
      <c r="I41" s="30">
        <f>IFERROR(INDEX($G$4:$G$303,MATCH(ROW()-3,$H$4:$H$303,0)),"")</f>
        <v/>
      </c>
    </row>
    <row r="42">
      <c r="D42" s="29" t="n"/>
      <c r="E42" s="29" t="n"/>
      <c r="F42" s="28" t="n"/>
      <c r="G42" s="30">
        <f>IF(AND(TRIM(D42)="",TRIM(E42)=""),"",IF(OR(TRIM(D42)="",TRIM(D42)="-"),TRIM(E42),TRIM(D42)&amp;TRIM(E42)))</f>
        <v/>
      </c>
      <c r="H42" s="30">
        <f>IF(G42="","",SUMPRODUCT(--($G$4:$G$303&lt;&gt;""),--($G$4:$G$303&lt;G42))+COUNTIF($G$4:G42,G42))</f>
        <v/>
      </c>
      <c r="I42" s="30">
        <f>IFERROR(INDEX($G$4:$G$303,MATCH(ROW()-3,$H$4:$H$303,0)),"")</f>
        <v/>
      </c>
    </row>
    <row r="43">
      <c r="D43" s="29" t="n"/>
      <c r="E43" s="29" t="n"/>
      <c r="F43" s="28" t="n"/>
      <c r="G43" s="30">
        <f>IF(AND(TRIM(D43)="",TRIM(E43)=""),"",IF(OR(TRIM(D43)="",TRIM(D43)="-"),TRIM(E43),TRIM(D43)&amp;TRIM(E43)))</f>
        <v/>
      </c>
      <c r="H43" s="30">
        <f>IF(G43="","",SUMPRODUCT(--($G$4:$G$303&lt;&gt;""),--($G$4:$G$303&lt;G43))+COUNTIF($G$4:G43,G43))</f>
        <v/>
      </c>
      <c r="I43" s="30">
        <f>IFERROR(INDEX($G$4:$G$303,MATCH(ROW()-3,$H$4:$H$303,0)),"")</f>
        <v/>
      </c>
    </row>
    <row r="44">
      <c r="D44" s="29" t="n"/>
      <c r="E44" s="29" t="n"/>
      <c r="F44" s="28" t="n"/>
      <c r="G44" s="30">
        <f>IF(AND(TRIM(D44)="",TRIM(E44)=""),"",IF(OR(TRIM(D44)="",TRIM(D44)="-"),TRIM(E44),TRIM(D44)&amp;TRIM(E44)))</f>
        <v/>
      </c>
      <c r="H44" s="30">
        <f>IF(G44="","",SUMPRODUCT(--($G$4:$G$303&lt;&gt;""),--($G$4:$G$303&lt;G44))+COUNTIF($G$4:G44,G44))</f>
        <v/>
      </c>
      <c r="I44" s="30">
        <f>IFERROR(INDEX($G$4:$G$303,MATCH(ROW()-3,$H$4:$H$303,0)),"")</f>
        <v/>
      </c>
    </row>
    <row r="45">
      <c r="D45" s="29" t="n"/>
      <c r="E45" s="29" t="n"/>
      <c r="F45" s="28" t="n"/>
      <c r="G45" s="30">
        <f>IF(AND(TRIM(D45)="",TRIM(E45)=""),"",IF(OR(TRIM(D45)="",TRIM(D45)="-"),TRIM(E45),TRIM(D45)&amp;TRIM(E45)))</f>
        <v/>
      </c>
      <c r="H45" s="30">
        <f>IF(G45="","",SUMPRODUCT(--($G$4:$G$303&lt;&gt;""),--($G$4:$G$303&lt;G45))+COUNTIF($G$4:G45,G45))</f>
        <v/>
      </c>
      <c r="I45" s="30">
        <f>IFERROR(INDEX($G$4:$G$303,MATCH(ROW()-3,$H$4:$H$303,0)),"")</f>
        <v/>
      </c>
    </row>
    <row r="46">
      <c r="D46" s="29" t="n"/>
      <c r="E46" s="29" t="n"/>
      <c r="F46" s="28" t="n"/>
      <c r="G46" s="30">
        <f>IF(AND(TRIM(D46)="",TRIM(E46)=""),"",IF(OR(TRIM(D46)="",TRIM(D46)="-"),TRIM(E46),TRIM(D46)&amp;TRIM(E46)))</f>
        <v/>
      </c>
      <c r="H46" s="30">
        <f>IF(G46="","",SUMPRODUCT(--($G$4:$G$303&lt;&gt;""),--($G$4:$G$303&lt;G46))+COUNTIF($G$4:G46,G46))</f>
        <v/>
      </c>
      <c r="I46" s="30">
        <f>IFERROR(INDEX($G$4:$G$303,MATCH(ROW()-3,$H$4:$H$303,0)),"")</f>
        <v/>
      </c>
    </row>
    <row r="47">
      <c r="D47" s="29" t="n"/>
      <c r="E47" s="29" t="n"/>
      <c r="F47" s="28" t="n"/>
      <c r="G47" s="30">
        <f>IF(AND(TRIM(D47)="",TRIM(E47)=""),"",IF(OR(TRIM(D47)="",TRIM(D47)="-"),TRIM(E47),TRIM(D47)&amp;TRIM(E47)))</f>
        <v/>
      </c>
      <c r="H47" s="30">
        <f>IF(G47="","",SUMPRODUCT(--($G$4:$G$303&lt;&gt;""),--($G$4:$G$303&lt;G47))+COUNTIF($G$4:G47,G47))</f>
        <v/>
      </c>
      <c r="I47" s="30">
        <f>IFERROR(INDEX($G$4:$G$303,MATCH(ROW()-3,$H$4:$H$303,0)),"")</f>
        <v/>
      </c>
    </row>
    <row r="48">
      <c r="D48" s="29" t="n"/>
      <c r="E48" s="29" t="n"/>
      <c r="F48" s="28" t="n"/>
      <c r="G48" s="30">
        <f>IF(AND(TRIM(D48)="",TRIM(E48)=""),"",IF(OR(TRIM(D48)="",TRIM(D48)="-"),TRIM(E48),TRIM(D48)&amp;TRIM(E48)))</f>
        <v/>
      </c>
      <c r="H48" s="30">
        <f>IF(G48="","",SUMPRODUCT(--($G$4:$G$303&lt;&gt;""),--($G$4:$G$303&lt;G48))+COUNTIF($G$4:G48,G48))</f>
        <v/>
      </c>
      <c r="I48" s="30">
        <f>IFERROR(INDEX($G$4:$G$303,MATCH(ROW()-3,$H$4:$H$303,0)),"")</f>
        <v/>
      </c>
    </row>
    <row r="49">
      <c r="D49" s="29" t="n"/>
      <c r="E49" s="29" t="n"/>
      <c r="F49" s="28" t="n"/>
      <c r="G49" s="30">
        <f>IF(AND(TRIM(D49)="",TRIM(E49)=""),"",IF(OR(TRIM(D49)="",TRIM(D49)="-"),TRIM(E49),TRIM(D49)&amp;TRIM(E49)))</f>
        <v/>
      </c>
      <c r="H49" s="30">
        <f>IF(G49="","",SUMPRODUCT(--($G$4:$G$303&lt;&gt;""),--($G$4:$G$303&lt;G49))+COUNTIF($G$4:G49,G49))</f>
        <v/>
      </c>
      <c r="I49" s="30">
        <f>IFERROR(INDEX($G$4:$G$303,MATCH(ROW()-3,$H$4:$H$303,0)),"")</f>
        <v/>
      </c>
    </row>
    <row r="50">
      <c r="D50" s="29" t="n"/>
      <c r="E50" s="29" t="n"/>
      <c r="F50" s="28" t="n"/>
      <c r="G50" s="30">
        <f>IF(AND(TRIM(D50)="",TRIM(E50)=""),"",IF(OR(TRIM(D50)="",TRIM(D50)="-"),TRIM(E50),TRIM(D50)&amp;TRIM(E50)))</f>
        <v/>
      </c>
      <c r="H50" s="30">
        <f>IF(G50="","",SUMPRODUCT(--($G$4:$G$303&lt;&gt;""),--($G$4:$G$303&lt;G50))+COUNTIF($G$4:G50,G50))</f>
        <v/>
      </c>
      <c r="I50" s="30">
        <f>IFERROR(INDEX($G$4:$G$303,MATCH(ROW()-3,$H$4:$H$303,0)),"")</f>
        <v/>
      </c>
    </row>
    <row r="51">
      <c r="D51" s="29" t="n"/>
      <c r="E51" s="29" t="n"/>
      <c r="F51" s="28" t="n"/>
      <c r="G51" s="30">
        <f>IF(AND(TRIM(D51)="",TRIM(E51)=""),"",IF(OR(TRIM(D51)="",TRIM(D51)="-"),TRIM(E51),TRIM(D51)&amp;TRIM(E51)))</f>
        <v/>
      </c>
      <c r="H51" s="30">
        <f>IF(G51="","",SUMPRODUCT(--($G$4:$G$303&lt;&gt;""),--($G$4:$G$303&lt;G51))+COUNTIF($G$4:G51,G51))</f>
        <v/>
      </c>
      <c r="I51" s="30">
        <f>IFERROR(INDEX($G$4:$G$303,MATCH(ROW()-3,$H$4:$H$303,0)),"")</f>
        <v/>
      </c>
    </row>
    <row r="52">
      <c r="D52" s="29" t="n"/>
      <c r="E52" s="29" t="n"/>
      <c r="F52" s="28" t="n"/>
      <c r="G52" s="30">
        <f>IF(AND(TRIM(D52)="",TRIM(E52)=""),"",IF(OR(TRIM(D52)="",TRIM(D52)="-"),TRIM(E52),TRIM(D52)&amp;TRIM(E52)))</f>
        <v/>
      </c>
      <c r="H52" s="30">
        <f>IF(G52="","",SUMPRODUCT(--($G$4:$G$303&lt;&gt;""),--($G$4:$G$303&lt;G52))+COUNTIF($G$4:G52,G52))</f>
        <v/>
      </c>
      <c r="I52" s="30">
        <f>IFERROR(INDEX($G$4:$G$303,MATCH(ROW()-3,$H$4:$H$303,0)),"")</f>
        <v/>
      </c>
    </row>
    <row r="53">
      <c r="D53" s="29" t="n"/>
      <c r="E53" s="29" t="n"/>
      <c r="F53" s="28" t="n"/>
      <c r="G53" s="30">
        <f>IF(AND(TRIM(D53)="",TRIM(E53)=""),"",IF(OR(TRIM(D53)="",TRIM(D53)="-"),TRIM(E53),TRIM(D53)&amp;TRIM(E53)))</f>
        <v/>
      </c>
      <c r="H53" s="30">
        <f>IF(G53="","",SUMPRODUCT(--($G$4:$G$303&lt;&gt;""),--($G$4:$G$303&lt;G53))+COUNTIF($G$4:G53,G53))</f>
        <v/>
      </c>
      <c r="I53" s="30">
        <f>IFERROR(INDEX($G$4:$G$303,MATCH(ROW()-3,$H$4:$H$303,0)),"")</f>
        <v/>
      </c>
    </row>
    <row r="54">
      <c r="D54" s="29" t="n"/>
      <c r="E54" s="29" t="n"/>
      <c r="F54" s="28" t="n"/>
      <c r="G54" s="30">
        <f>IF(AND(TRIM(D54)="",TRIM(E54)=""),"",IF(OR(TRIM(D54)="",TRIM(D54)="-"),TRIM(E54),TRIM(D54)&amp;TRIM(E54)))</f>
        <v/>
      </c>
      <c r="H54" s="30">
        <f>IF(G54="","",SUMPRODUCT(--($G$4:$G$303&lt;&gt;""),--($G$4:$G$303&lt;G54))+COUNTIF($G$4:G54,G54))</f>
        <v/>
      </c>
      <c r="I54" s="30">
        <f>IFERROR(INDEX($G$4:$G$303,MATCH(ROW()-3,$H$4:$H$303,0)),"")</f>
        <v/>
      </c>
    </row>
    <row r="55">
      <c r="D55" s="29" t="n"/>
      <c r="E55" s="29" t="n"/>
      <c r="F55" s="28" t="n"/>
      <c r="G55" s="30">
        <f>IF(AND(TRIM(D55)="",TRIM(E55)=""),"",IF(OR(TRIM(D55)="",TRIM(D55)="-"),TRIM(E55),TRIM(D55)&amp;TRIM(E55)))</f>
        <v/>
      </c>
      <c r="H55" s="30">
        <f>IF(G55="","",SUMPRODUCT(--($G$4:$G$303&lt;&gt;""),--($G$4:$G$303&lt;G55))+COUNTIF($G$4:G55,G55))</f>
        <v/>
      </c>
      <c r="I55" s="30">
        <f>IFERROR(INDEX($G$4:$G$303,MATCH(ROW()-3,$H$4:$H$303,0)),"")</f>
        <v/>
      </c>
    </row>
    <row r="56">
      <c r="D56" s="29" t="n"/>
      <c r="E56" s="29" t="n"/>
      <c r="F56" s="28" t="n"/>
      <c r="G56" s="30">
        <f>IF(AND(TRIM(D56)="",TRIM(E56)=""),"",IF(OR(TRIM(D56)="",TRIM(D56)="-"),TRIM(E56),TRIM(D56)&amp;TRIM(E56)))</f>
        <v/>
      </c>
      <c r="H56" s="30">
        <f>IF(G56="","",SUMPRODUCT(--($G$4:$G$303&lt;&gt;""),--($G$4:$G$303&lt;G56))+COUNTIF($G$4:G56,G56))</f>
        <v/>
      </c>
      <c r="I56" s="30">
        <f>IFERROR(INDEX($G$4:$G$303,MATCH(ROW()-3,$H$4:$H$303,0)),"")</f>
        <v/>
      </c>
    </row>
    <row r="57">
      <c r="D57" s="29" t="n"/>
      <c r="E57" s="29" t="n"/>
      <c r="F57" s="28" t="n"/>
      <c r="G57" s="30">
        <f>IF(AND(TRIM(D57)="",TRIM(E57)=""),"",IF(OR(TRIM(D57)="",TRIM(D57)="-"),TRIM(E57),TRIM(D57)&amp;TRIM(E57)))</f>
        <v/>
      </c>
      <c r="H57" s="30">
        <f>IF(G57="","",SUMPRODUCT(--($G$4:$G$303&lt;&gt;""),--($G$4:$G$303&lt;G57))+COUNTIF($G$4:G57,G57))</f>
        <v/>
      </c>
      <c r="I57" s="30">
        <f>IFERROR(INDEX($G$4:$G$303,MATCH(ROW()-3,$H$4:$H$303,0)),"")</f>
        <v/>
      </c>
    </row>
    <row r="58">
      <c r="D58" s="29" t="n"/>
      <c r="E58" s="29" t="n"/>
      <c r="F58" s="28" t="n"/>
      <c r="G58" s="30">
        <f>IF(AND(TRIM(D58)="",TRIM(E58)=""),"",IF(OR(TRIM(D58)="",TRIM(D58)="-"),TRIM(E58),TRIM(D58)&amp;TRIM(E58)))</f>
        <v/>
      </c>
      <c r="H58" s="30">
        <f>IF(G58="","",SUMPRODUCT(--($G$4:$G$303&lt;&gt;""),--($G$4:$G$303&lt;G58))+COUNTIF($G$4:G58,G58))</f>
        <v/>
      </c>
      <c r="I58" s="30">
        <f>IFERROR(INDEX($G$4:$G$303,MATCH(ROW()-3,$H$4:$H$303,0)),"")</f>
        <v/>
      </c>
    </row>
    <row r="59">
      <c r="D59" s="29" t="n"/>
      <c r="E59" s="29" t="n"/>
      <c r="F59" s="28" t="n"/>
      <c r="G59" s="30">
        <f>IF(AND(TRIM(D59)="",TRIM(E59)=""),"",IF(OR(TRIM(D59)="",TRIM(D59)="-"),TRIM(E59),TRIM(D59)&amp;TRIM(E59)))</f>
        <v/>
      </c>
      <c r="H59" s="30">
        <f>IF(G59="","",SUMPRODUCT(--($G$4:$G$303&lt;&gt;""),--($G$4:$G$303&lt;G59))+COUNTIF($G$4:G59,G59))</f>
        <v/>
      </c>
      <c r="I59" s="30">
        <f>IFERROR(INDEX($G$4:$G$303,MATCH(ROW()-3,$H$4:$H$303,0)),"")</f>
        <v/>
      </c>
    </row>
    <row r="60">
      <c r="D60" s="29" t="n"/>
      <c r="E60" s="29" t="n"/>
      <c r="F60" s="28" t="n"/>
      <c r="G60" s="30">
        <f>IF(AND(TRIM(D60)="",TRIM(E60)=""),"",IF(OR(TRIM(D60)="",TRIM(D60)="-"),TRIM(E60),TRIM(D60)&amp;TRIM(E60)))</f>
        <v/>
      </c>
      <c r="H60" s="30">
        <f>IF(G60="","",SUMPRODUCT(--($G$4:$G$303&lt;&gt;""),--($G$4:$G$303&lt;G60))+COUNTIF($G$4:G60,G60))</f>
        <v/>
      </c>
      <c r="I60" s="30">
        <f>IFERROR(INDEX($G$4:$G$303,MATCH(ROW()-3,$H$4:$H$303,0)),"")</f>
        <v/>
      </c>
    </row>
    <row r="61">
      <c r="D61" s="29" t="n"/>
      <c r="E61" s="29" t="n"/>
      <c r="F61" s="28" t="n"/>
      <c r="G61" s="30">
        <f>IF(AND(TRIM(D61)="",TRIM(E61)=""),"",IF(OR(TRIM(D61)="",TRIM(D61)="-"),TRIM(E61),TRIM(D61)&amp;TRIM(E61)))</f>
        <v/>
      </c>
      <c r="H61" s="30">
        <f>IF(G61="","",SUMPRODUCT(--($G$4:$G$303&lt;&gt;""),--($G$4:$G$303&lt;G61))+COUNTIF($G$4:G61,G61))</f>
        <v/>
      </c>
      <c r="I61" s="30">
        <f>IFERROR(INDEX($G$4:$G$303,MATCH(ROW()-3,$H$4:$H$303,0)),"")</f>
        <v/>
      </c>
    </row>
    <row r="62">
      <c r="D62" s="29" t="n"/>
      <c r="E62" s="29" t="n"/>
      <c r="F62" s="28" t="n"/>
      <c r="G62" s="30">
        <f>IF(AND(TRIM(D62)="",TRIM(E62)=""),"",IF(OR(TRIM(D62)="",TRIM(D62)="-"),TRIM(E62),TRIM(D62)&amp;TRIM(E62)))</f>
        <v/>
      </c>
      <c r="H62" s="30">
        <f>IF(G62="","",SUMPRODUCT(--($G$4:$G$303&lt;&gt;""),--($G$4:$G$303&lt;G62))+COUNTIF($G$4:G62,G62))</f>
        <v/>
      </c>
      <c r="I62" s="30">
        <f>IFERROR(INDEX($G$4:$G$303,MATCH(ROW()-3,$H$4:$H$303,0)),"")</f>
        <v/>
      </c>
    </row>
    <row r="63">
      <c r="D63" s="29" t="n"/>
      <c r="E63" s="29" t="n"/>
      <c r="F63" s="28" t="n"/>
      <c r="G63" s="30">
        <f>IF(AND(TRIM(D63)="",TRIM(E63)=""),"",IF(OR(TRIM(D63)="",TRIM(D63)="-"),TRIM(E63),TRIM(D63)&amp;TRIM(E63)))</f>
        <v/>
      </c>
      <c r="H63" s="30">
        <f>IF(G63="","",SUMPRODUCT(--($G$4:$G$303&lt;&gt;""),--($G$4:$G$303&lt;G63))+COUNTIF($G$4:G63,G63))</f>
        <v/>
      </c>
      <c r="I63" s="30">
        <f>IFERROR(INDEX($G$4:$G$303,MATCH(ROW()-3,$H$4:$H$303,0)),"")</f>
        <v/>
      </c>
    </row>
    <row r="64">
      <c r="D64" s="29" t="n"/>
      <c r="E64" s="29" t="n"/>
      <c r="F64" s="28" t="n"/>
      <c r="G64" s="30">
        <f>IF(AND(TRIM(D64)="",TRIM(E64)=""),"",IF(OR(TRIM(D64)="",TRIM(D64)="-"),TRIM(E64),TRIM(D64)&amp;TRIM(E64)))</f>
        <v/>
      </c>
      <c r="H64" s="30">
        <f>IF(G64="","",SUMPRODUCT(--($G$4:$G$303&lt;&gt;""),--($G$4:$G$303&lt;G64))+COUNTIF($G$4:G64,G64))</f>
        <v/>
      </c>
      <c r="I64" s="30">
        <f>IFERROR(INDEX($G$4:$G$303,MATCH(ROW()-3,$H$4:$H$303,0)),"")</f>
        <v/>
      </c>
    </row>
    <row r="65">
      <c r="D65" s="29" t="n"/>
      <c r="E65" s="29" t="n"/>
      <c r="F65" s="28" t="n"/>
      <c r="G65" s="30">
        <f>IF(AND(TRIM(D65)="",TRIM(E65)=""),"",IF(OR(TRIM(D65)="",TRIM(D65)="-"),TRIM(E65),TRIM(D65)&amp;TRIM(E65)))</f>
        <v/>
      </c>
      <c r="H65" s="30">
        <f>IF(G65="","",SUMPRODUCT(--($G$4:$G$303&lt;&gt;""),--($G$4:$G$303&lt;G65))+COUNTIF($G$4:G65,G65))</f>
        <v/>
      </c>
      <c r="I65" s="30">
        <f>IFERROR(INDEX($G$4:$G$303,MATCH(ROW()-3,$H$4:$H$303,0)),"")</f>
        <v/>
      </c>
    </row>
    <row r="66">
      <c r="D66" s="29" t="n"/>
      <c r="E66" s="29" t="n"/>
      <c r="F66" s="28" t="n"/>
      <c r="G66" s="30">
        <f>IF(AND(TRIM(D66)="",TRIM(E66)=""),"",IF(OR(TRIM(D66)="",TRIM(D66)="-"),TRIM(E66),TRIM(D66)&amp;TRIM(E66)))</f>
        <v/>
      </c>
      <c r="H66" s="30">
        <f>IF(G66="","",SUMPRODUCT(--($G$4:$G$303&lt;&gt;""),--($G$4:$G$303&lt;G66))+COUNTIF($G$4:G66,G66))</f>
        <v/>
      </c>
      <c r="I66" s="30">
        <f>IFERROR(INDEX($G$4:$G$303,MATCH(ROW()-3,$H$4:$H$303,0)),"")</f>
        <v/>
      </c>
    </row>
    <row r="67">
      <c r="D67" s="29" t="n"/>
      <c r="E67" s="29" t="n"/>
      <c r="F67" s="28" t="n"/>
      <c r="G67" s="30">
        <f>IF(AND(TRIM(D67)="",TRIM(E67)=""),"",IF(OR(TRIM(D67)="",TRIM(D67)="-"),TRIM(E67),TRIM(D67)&amp;TRIM(E67)))</f>
        <v/>
      </c>
      <c r="H67" s="30">
        <f>IF(G67="","",SUMPRODUCT(--($G$4:$G$303&lt;&gt;""),--($G$4:$G$303&lt;G67))+COUNTIF($G$4:G67,G67))</f>
        <v/>
      </c>
      <c r="I67" s="30">
        <f>IFERROR(INDEX($G$4:$G$303,MATCH(ROW()-3,$H$4:$H$303,0)),"")</f>
        <v/>
      </c>
    </row>
    <row r="68">
      <c r="D68" s="29" t="n"/>
      <c r="E68" s="29" t="n"/>
      <c r="F68" s="28" t="n"/>
      <c r="G68" s="30">
        <f>IF(AND(TRIM(D68)="",TRIM(E68)=""),"",IF(OR(TRIM(D68)="",TRIM(D68)="-"),TRIM(E68),TRIM(D68)&amp;TRIM(E68)))</f>
        <v/>
      </c>
      <c r="H68" s="30">
        <f>IF(G68="","",SUMPRODUCT(--($G$4:$G$303&lt;&gt;""),--($G$4:$G$303&lt;G68))+COUNTIF($G$4:G68,G68))</f>
        <v/>
      </c>
      <c r="I68" s="30">
        <f>IFERROR(INDEX($G$4:$G$303,MATCH(ROW()-3,$H$4:$H$303,0)),"")</f>
        <v/>
      </c>
    </row>
    <row r="69">
      <c r="D69" s="29" t="n"/>
      <c r="E69" s="29" t="n"/>
      <c r="F69" s="28" t="n"/>
      <c r="G69" s="30">
        <f>IF(AND(TRIM(D69)="",TRIM(E69)=""),"",IF(OR(TRIM(D69)="",TRIM(D69)="-"),TRIM(E69),TRIM(D69)&amp;TRIM(E69)))</f>
        <v/>
      </c>
      <c r="H69" s="30">
        <f>IF(G69="","",SUMPRODUCT(--($G$4:$G$303&lt;&gt;""),--($G$4:$G$303&lt;G69))+COUNTIF($G$4:G69,G69))</f>
        <v/>
      </c>
      <c r="I69" s="30">
        <f>IFERROR(INDEX($G$4:$G$303,MATCH(ROW()-3,$H$4:$H$303,0)),"")</f>
        <v/>
      </c>
    </row>
    <row r="70">
      <c r="D70" s="29" t="n"/>
      <c r="E70" s="29" t="n"/>
      <c r="F70" s="28" t="n"/>
      <c r="G70" s="30">
        <f>IF(AND(TRIM(D70)="",TRIM(E70)=""),"",IF(OR(TRIM(D70)="",TRIM(D70)="-"),TRIM(E70),TRIM(D70)&amp;TRIM(E70)))</f>
        <v/>
      </c>
      <c r="H70" s="30">
        <f>IF(G70="","",SUMPRODUCT(--($G$4:$G$303&lt;&gt;""),--($G$4:$G$303&lt;G70))+COUNTIF($G$4:G70,G70))</f>
        <v/>
      </c>
      <c r="I70" s="30">
        <f>IFERROR(INDEX($G$4:$G$303,MATCH(ROW()-3,$H$4:$H$303,0)),"")</f>
        <v/>
      </c>
    </row>
    <row r="71">
      <c r="D71" s="29" t="n"/>
      <c r="E71" s="29" t="n"/>
      <c r="F71" s="28" t="n"/>
      <c r="G71" s="30">
        <f>IF(AND(TRIM(D71)="",TRIM(E71)=""),"",IF(OR(TRIM(D71)="",TRIM(D71)="-"),TRIM(E71),TRIM(D71)&amp;TRIM(E71)))</f>
        <v/>
      </c>
      <c r="H71" s="30">
        <f>IF(G71="","",SUMPRODUCT(--($G$4:$G$303&lt;&gt;""),--($G$4:$G$303&lt;G71))+COUNTIF($G$4:G71,G71))</f>
        <v/>
      </c>
      <c r="I71" s="30">
        <f>IFERROR(INDEX($G$4:$G$303,MATCH(ROW()-3,$H$4:$H$303,0)),"")</f>
        <v/>
      </c>
    </row>
    <row r="72">
      <c r="D72" s="29" t="n"/>
      <c r="E72" s="29" t="n"/>
      <c r="F72" s="28" t="n"/>
      <c r="G72" s="30">
        <f>IF(AND(TRIM(D72)="",TRIM(E72)=""),"",IF(OR(TRIM(D72)="",TRIM(D72)="-"),TRIM(E72),TRIM(D72)&amp;TRIM(E72)))</f>
        <v/>
      </c>
      <c r="H72" s="30">
        <f>IF(G72="","",SUMPRODUCT(--($G$4:$G$303&lt;&gt;""),--($G$4:$G$303&lt;G72))+COUNTIF($G$4:G72,G72))</f>
        <v/>
      </c>
      <c r="I72" s="30">
        <f>IFERROR(INDEX($G$4:$G$303,MATCH(ROW()-3,$H$4:$H$303,0)),"")</f>
        <v/>
      </c>
    </row>
    <row r="73">
      <c r="D73" s="29" t="n"/>
      <c r="E73" s="29" t="n"/>
      <c r="F73" s="28" t="n"/>
      <c r="G73" s="30">
        <f>IF(AND(TRIM(D73)="",TRIM(E73)=""),"",IF(OR(TRIM(D73)="",TRIM(D73)="-"),TRIM(E73),TRIM(D73)&amp;TRIM(E73)))</f>
        <v/>
      </c>
      <c r="H73" s="30">
        <f>IF(G73="","",SUMPRODUCT(--($G$4:$G$303&lt;&gt;""),--($G$4:$G$303&lt;G73))+COUNTIF($G$4:G73,G73))</f>
        <v/>
      </c>
      <c r="I73" s="30">
        <f>IFERROR(INDEX($G$4:$G$303,MATCH(ROW()-3,$H$4:$H$303,0)),"")</f>
        <v/>
      </c>
    </row>
    <row r="74">
      <c r="D74" s="29" t="n"/>
      <c r="E74" s="29" t="n"/>
      <c r="F74" s="28" t="n"/>
      <c r="G74" s="30">
        <f>IF(AND(TRIM(D74)="",TRIM(E74)=""),"",IF(OR(TRIM(D74)="",TRIM(D74)="-"),TRIM(E74),TRIM(D74)&amp;TRIM(E74)))</f>
        <v/>
      </c>
      <c r="H74" s="30">
        <f>IF(G74="","",SUMPRODUCT(--($G$4:$G$303&lt;&gt;""),--($G$4:$G$303&lt;G74))+COUNTIF($G$4:G74,G74))</f>
        <v/>
      </c>
      <c r="I74" s="30">
        <f>IFERROR(INDEX($G$4:$G$303,MATCH(ROW()-3,$H$4:$H$303,0)),"")</f>
        <v/>
      </c>
    </row>
    <row r="75">
      <c r="D75" s="29" t="n"/>
      <c r="E75" s="29" t="n"/>
      <c r="F75" s="28" t="n"/>
      <c r="G75" s="30">
        <f>IF(AND(TRIM(D75)="",TRIM(E75)=""),"",IF(OR(TRIM(D75)="",TRIM(D75)="-"),TRIM(E75),TRIM(D75)&amp;TRIM(E75)))</f>
        <v/>
      </c>
      <c r="H75" s="30">
        <f>IF(G75="","",SUMPRODUCT(--($G$4:$G$303&lt;&gt;""),--($G$4:$G$303&lt;G75))+COUNTIF($G$4:G75,G75))</f>
        <v/>
      </c>
      <c r="I75" s="30">
        <f>IFERROR(INDEX($G$4:$G$303,MATCH(ROW()-3,$H$4:$H$303,0)),"")</f>
        <v/>
      </c>
    </row>
    <row r="76">
      <c r="D76" s="29" t="n"/>
      <c r="E76" s="29" t="n"/>
      <c r="F76" s="28" t="n"/>
      <c r="G76" s="30">
        <f>IF(AND(TRIM(D76)="",TRIM(E76)=""),"",IF(OR(TRIM(D76)="",TRIM(D76)="-"),TRIM(E76),TRIM(D76)&amp;TRIM(E76)))</f>
        <v/>
      </c>
      <c r="H76" s="30">
        <f>IF(G76="","",SUMPRODUCT(--($G$4:$G$303&lt;&gt;""),--($G$4:$G$303&lt;G76))+COUNTIF($G$4:G76,G76))</f>
        <v/>
      </c>
      <c r="I76" s="30">
        <f>IFERROR(INDEX($G$4:$G$303,MATCH(ROW()-3,$H$4:$H$303,0)),"")</f>
        <v/>
      </c>
    </row>
    <row r="77">
      <c r="D77" s="29" t="n"/>
      <c r="E77" s="29" t="n"/>
      <c r="F77" s="28" t="n"/>
      <c r="G77" s="30">
        <f>IF(AND(TRIM(D77)="",TRIM(E77)=""),"",IF(OR(TRIM(D77)="",TRIM(D77)="-"),TRIM(E77),TRIM(D77)&amp;TRIM(E77)))</f>
        <v/>
      </c>
      <c r="H77" s="30">
        <f>IF(G77="","",SUMPRODUCT(--($G$4:$G$303&lt;&gt;""),--($G$4:$G$303&lt;G77))+COUNTIF($G$4:G77,G77))</f>
        <v/>
      </c>
      <c r="I77" s="30">
        <f>IFERROR(INDEX($G$4:$G$303,MATCH(ROW()-3,$H$4:$H$303,0)),"")</f>
        <v/>
      </c>
    </row>
    <row r="78">
      <c r="D78" s="29" t="n"/>
      <c r="E78" s="29" t="n"/>
      <c r="F78" s="28" t="n"/>
      <c r="G78" s="30">
        <f>IF(AND(TRIM(D78)="",TRIM(E78)=""),"",IF(OR(TRIM(D78)="",TRIM(D78)="-"),TRIM(E78),TRIM(D78)&amp;TRIM(E78)))</f>
        <v/>
      </c>
      <c r="H78" s="30">
        <f>IF(G78="","",SUMPRODUCT(--($G$4:$G$303&lt;&gt;""),--($G$4:$G$303&lt;G78))+COUNTIF($G$4:G78,G78))</f>
        <v/>
      </c>
      <c r="I78" s="30">
        <f>IFERROR(INDEX($G$4:$G$303,MATCH(ROW()-3,$H$4:$H$303,0)),"")</f>
        <v/>
      </c>
    </row>
    <row r="79">
      <c r="D79" s="29" t="n"/>
      <c r="E79" s="29" t="n"/>
      <c r="F79" s="28" t="n"/>
      <c r="G79" s="30">
        <f>IF(AND(TRIM(D79)="",TRIM(E79)=""),"",IF(OR(TRIM(D79)="",TRIM(D79)="-"),TRIM(E79),TRIM(D79)&amp;TRIM(E79)))</f>
        <v/>
      </c>
      <c r="H79" s="30">
        <f>IF(G79="","",SUMPRODUCT(--($G$4:$G$303&lt;&gt;""),--($G$4:$G$303&lt;G79))+COUNTIF($G$4:G79,G79))</f>
        <v/>
      </c>
      <c r="I79" s="30">
        <f>IFERROR(INDEX($G$4:$G$303,MATCH(ROW()-3,$H$4:$H$303,0)),"")</f>
        <v/>
      </c>
    </row>
    <row r="80">
      <c r="D80" s="29" t="n"/>
      <c r="E80" s="29" t="n"/>
      <c r="F80" s="28" t="n"/>
      <c r="G80" s="30">
        <f>IF(AND(TRIM(D80)="",TRIM(E80)=""),"",IF(OR(TRIM(D80)="",TRIM(D80)="-"),TRIM(E80),TRIM(D80)&amp;TRIM(E80)))</f>
        <v/>
      </c>
      <c r="H80" s="30">
        <f>IF(G80="","",SUMPRODUCT(--($G$4:$G$303&lt;&gt;""),--($G$4:$G$303&lt;G80))+COUNTIF($G$4:G80,G80))</f>
        <v/>
      </c>
      <c r="I80" s="30">
        <f>IFERROR(INDEX($G$4:$G$303,MATCH(ROW()-3,$H$4:$H$303,0)),"")</f>
        <v/>
      </c>
    </row>
    <row r="81">
      <c r="D81" s="29" t="n"/>
      <c r="E81" s="29" t="n"/>
      <c r="F81" s="28" t="n"/>
      <c r="G81" s="30">
        <f>IF(AND(TRIM(D81)="",TRIM(E81)=""),"",IF(OR(TRIM(D81)="",TRIM(D81)="-"),TRIM(E81),TRIM(D81)&amp;TRIM(E81)))</f>
        <v/>
      </c>
      <c r="H81" s="30">
        <f>IF(G81="","",SUMPRODUCT(--($G$4:$G$303&lt;&gt;""),--($G$4:$G$303&lt;G81))+COUNTIF($G$4:G81,G81))</f>
        <v/>
      </c>
      <c r="I81" s="30">
        <f>IFERROR(INDEX($G$4:$G$303,MATCH(ROW()-3,$H$4:$H$303,0)),"")</f>
        <v/>
      </c>
    </row>
    <row r="82">
      <c r="D82" s="29" t="n"/>
      <c r="E82" s="29" t="n"/>
      <c r="F82" s="28" t="n"/>
      <c r="G82" s="30">
        <f>IF(AND(TRIM(D82)="",TRIM(E82)=""),"",IF(OR(TRIM(D82)="",TRIM(D82)="-"),TRIM(E82),TRIM(D82)&amp;TRIM(E82)))</f>
        <v/>
      </c>
      <c r="H82" s="30">
        <f>IF(G82="","",SUMPRODUCT(--($G$4:$G$303&lt;&gt;""),--($G$4:$G$303&lt;G82))+COUNTIF($G$4:G82,G82))</f>
        <v/>
      </c>
      <c r="I82" s="30">
        <f>IFERROR(INDEX($G$4:$G$303,MATCH(ROW()-3,$H$4:$H$303,0)),"")</f>
        <v/>
      </c>
    </row>
    <row r="83">
      <c r="D83" s="29" t="n"/>
      <c r="E83" s="29" t="n"/>
      <c r="F83" s="28" t="n"/>
      <c r="G83" s="30">
        <f>IF(AND(TRIM(D83)="",TRIM(E83)=""),"",IF(OR(TRIM(D83)="",TRIM(D83)="-"),TRIM(E83),TRIM(D83)&amp;TRIM(E83)))</f>
        <v/>
      </c>
      <c r="H83" s="30">
        <f>IF(G83="","",SUMPRODUCT(--($G$4:$G$303&lt;&gt;""),--($G$4:$G$303&lt;G83))+COUNTIF($G$4:G83,G83))</f>
        <v/>
      </c>
      <c r="I83" s="30">
        <f>IFERROR(INDEX($G$4:$G$303,MATCH(ROW()-3,$H$4:$H$303,0)),"")</f>
        <v/>
      </c>
    </row>
    <row r="84">
      <c r="D84" s="29" t="n"/>
      <c r="E84" s="29" t="n"/>
      <c r="F84" s="28" t="n"/>
      <c r="G84" s="30">
        <f>IF(AND(TRIM(D84)="",TRIM(E84)=""),"",IF(OR(TRIM(D84)="",TRIM(D84)="-"),TRIM(E84),TRIM(D84)&amp;TRIM(E84)))</f>
        <v/>
      </c>
      <c r="H84" s="30">
        <f>IF(G84="","",SUMPRODUCT(--($G$4:$G$303&lt;&gt;""),--($G$4:$G$303&lt;G84))+COUNTIF($G$4:G84,G84))</f>
        <v/>
      </c>
      <c r="I84" s="30">
        <f>IFERROR(INDEX($G$4:$G$303,MATCH(ROW()-3,$H$4:$H$303,0)),"")</f>
        <v/>
      </c>
    </row>
    <row r="85">
      <c r="D85" s="29" t="n"/>
      <c r="E85" s="29" t="n"/>
      <c r="F85" s="28" t="n"/>
      <c r="G85" s="30">
        <f>IF(AND(TRIM(D85)="",TRIM(E85)=""),"",IF(OR(TRIM(D85)="",TRIM(D85)="-"),TRIM(E85),TRIM(D85)&amp;TRIM(E85)))</f>
        <v/>
      </c>
      <c r="H85" s="30">
        <f>IF(G85="","",SUMPRODUCT(--($G$4:$G$303&lt;&gt;""),--($G$4:$G$303&lt;G85))+COUNTIF($G$4:G85,G85))</f>
        <v/>
      </c>
      <c r="I85" s="30">
        <f>IFERROR(INDEX($G$4:$G$303,MATCH(ROW()-3,$H$4:$H$303,0)),"")</f>
        <v/>
      </c>
    </row>
    <row r="86">
      <c r="D86" s="29" t="n"/>
      <c r="E86" s="29" t="n"/>
      <c r="F86" s="28" t="n"/>
      <c r="G86" s="30">
        <f>IF(AND(TRIM(D86)="",TRIM(E86)=""),"",IF(OR(TRIM(D86)="",TRIM(D86)="-"),TRIM(E86),TRIM(D86)&amp;TRIM(E86)))</f>
        <v/>
      </c>
      <c r="H86" s="30">
        <f>IF(G86="","",SUMPRODUCT(--($G$4:$G$303&lt;&gt;""),--($G$4:$G$303&lt;G86))+COUNTIF($G$4:G86,G86))</f>
        <v/>
      </c>
      <c r="I86" s="30">
        <f>IFERROR(INDEX($G$4:$G$303,MATCH(ROW()-3,$H$4:$H$303,0)),"")</f>
        <v/>
      </c>
    </row>
    <row r="87">
      <c r="D87" s="29" t="n"/>
      <c r="E87" s="29" t="n"/>
      <c r="F87" s="28" t="n"/>
      <c r="G87" s="30">
        <f>IF(AND(TRIM(D87)="",TRIM(E87)=""),"",IF(OR(TRIM(D87)="",TRIM(D87)="-"),TRIM(E87),TRIM(D87)&amp;TRIM(E87)))</f>
        <v/>
      </c>
      <c r="H87" s="30">
        <f>IF(G87="","",SUMPRODUCT(--($G$4:$G$303&lt;&gt;""),--($G$4:$G$303&lt;G87))+COUNTIF($G$4:G87,G87))</f>
        <v/>
      </c>
      <c r="I87" s="30">
        <f>IFERROR(INDEX($G$4:$G$303,MATCH(ROW()-3,$H$4:$H$303,0)),"")</f>
        <v/>
      </c>
    </row>
    <row r="88">
      <c r="D88" s="29" t="n"/>
      <c r="E88" s="29" t="n"/>
      <c r="F88" s="28" t="n"/>
      <c r="G88" s="30">
        <f>IF(AND(TRIM(D88)="",TRIM(E88)=""),"",IF(OR(TRIM(D88)="",TRIM(D88)="-"),TRIM(E88),TRIM(D88)&amp;TRIM(E88)))</f>
        <v/>
      </c>
      <c r="H88" s="30">
        <f>IF(G88="","",SUMPRODUCT(--($G$4:$G$303&lt;&gt;""),--($G$4:$G$303&lt;G88))+COUNTIF($G$4:G88,G88))</f>
        <v/>
      </c>
      <c r="I88" s="30">
        <f>IFERROR(INDEX($G$4:$G$303,MATCH(ROW()-3,$H$4:$H$303,0)),"")</f>
        <v/>
      </c>
    </row>
    <row r="89">
      <c r="D89" s="29" t="n"/>
      <c r="E89" s="29" t="n"/>
      <c r="F89" s="28" t="n"/>
      <c r="G89" s="30">
        <f>IF(AND(TRIM(D89)="",TRIM(E89)=""),"",IF(OR(TRIM(D89)="",TRIM(D89)="-"),TRIM(E89),TRIM(D89)&amp;TRIM(E89)))</f>
        <v/>
      </c>
      <c r="H89" s="30">
        <f>IF(G89="","",SUMPRODUCT(--($G$4:$G$303&lt;&gt;""),--($G$4:$G$303&lt;G89))+COUNTIF($G$4:G89,G89))</f>
        <v/>
      </c>
      <c r="I89" s="30">
        <f>IFERROR(INDEX($G$4:$G$303,MATCH(ROW()-3,$H$4:$H$303,0)),"")</f>
        <v/>
      </c>
    </row>
    <row r="90">
      <c r="D90" s="29" t="n"/>
      <c r="E90" s="29" t="n"/>
      <c r="F90" s="28" t="n"/>
      <c r="G90" s="30">
        <f>IF(AND(TRIM(D90)="",TRIM(E90)=""),"",IF(OR(TRIM(D90)="",TRIM(D90)="-"),TRIM(E90),TRIM(D90)&amp;TRIM(E90)))</f>
        <v/>
      </c>
      <c r="H90" s="30">
        <f>IF(G90="","",SUMPRODUCT(--($G$4:$G$303&lt;&gt;""),--($G$4:$G$303&lt;G90))+COUNTIF($G$4:G90,G90))</f>
        <v/>
      </c>
      <c r="I90" s="30">
        <f>IFERROR(INDEX($G$4:$G$303,MATCH(ROW()-3,$H$4:$H$303,0)),"")</f>
        <v/>
      </c>
    </row>
    <row r="91">
      <c r="D91" s="29" t="n"/>
      <c r="E91" s="29" t="n"/>
      <c r="F91" s="28" t="n"/>
      <c r="G91" s="30">
        <f>IF(AND(TRIM(D91)="",TRIM(E91)=""),"",IF(OR(TRIM(D91)="",TRIM(D91)="-"),TRIM(E91),TRIM(D91)&amp;TRIM(E91)))</f>
        <v/>
      </c>
      <c r="H91" s="30">
        <f>IF(G91="","",SUMPRODUCT(--($G$4:$G$303&lt;&gt;""),--($G$4:$G$303&lt;G91))+COUNTIF($G$4:G91,G91))</f>
        <v/>
      </c>
      <c r="I91" s="30">
        <f>IFERROR(INDEX($G$4:$G$303,MATCH(ROW()-3,$H$4:$H$303,0)),"")</f>
        <v/>
      </c>
    </row>
    <row r="92">
      <c r="D92" s="29" t="n"/>
      <c r="E92" s="29" t="n"/>
      <c r="F92" s="28" t="n"/>
      <c r="G92" s="30">
        <f>IF(AND(TRIM(D92)="",TRIM(E92)=""),"",IF(OR(TRIM(D92)="",TRIM(D92)="-"),TRIM(E92),TRIM(D92)&amp;TRIM(E92)))</f>
        <v/>
      </c>
      <c r="H92" s="30">
        <f>IF(G92="","",SUMPRODUCT(--($G$4:$G$303&lt;&gt;""),--($G$4:$G$303&lt;G92))+COUNTIF($G$4:G92,G92))</f>
        <v/>
      </c>
      <c r="I92" s="30">
        <f>IFERROR(INDEX($G$4:$G$303,MATCH(ROW()-3,$H$4:$H$303,0)),"")</f>
        <v/>
      </c>
    </row>
    <row r="93">
      <c r="D93" s="29" t="n"/>
      <c r="E93" s="29" t="n"/>
      <c r="F93" s="28" t="n"/>
      <c r="G93" s="30">
        <f>IF(AND(TRIM(D93)="",TRIM(E93)=""),"",IF(OR(TRIM(D93)="",TRIM(D93)="-"),TRIM(E93),TRIM(D93)&amp;TRIM(E93)))</f>
        <v/>
      </c>
      <c r="H93" s="30">
        <f>IF(G93="","",SUMPRODUCT(--($G$4:$G$303&lt;&gt;""),--($G$4:$G$303&lt;G93))+COUNTIF($G$4:G93,G93))</f>
        <v/>
      </c>
      <c r="I93" s="30">
        <f>IFERROR(INDEX($G$4:$G$303,MATCH(ROW()-3,$H$4:$H$303,0)),"")</f>
        <v/>
      </c>
    </row>
    <row r="94">
      <c r="D94" s="29" t="n"/>
      <c r="E94" s="29" t="n"/>
      <c r="F94" s="28" t="n"/>
      <c r="G94" s="30">
        <f>IF(AND(TRIM(D94)="",TRIM(E94)=""),"",IF(OR(TRIM(D94)="",TRIM(D94)="-"),TRIM(E94),TRIM(D94)&amp;TRIM(E94)))</f>
        <v/>
      </c>
      <c r="H94" s="30">
        <f>IF(G94="","",SUMPRODUCT(--($G$4:$G$303&lt;&gt;""),--($G$4:$G$303&lt;G94))+COUNTIF($G$4:G94,G94))</f>
        <v/>
      </c>
      <c r="I94" s="30">
        <f>IFERROR(INDEX($G$4:$G$303,MATCH(ROW()-3,$H$4:$H$303,0)),"")</f>
        <v/>
      </c>
    </row>
    <row r="95">
      <c r="D95" s="29" t="n"/>
      <c r="E95" s="29" t="n"/>
      <c r="F95" s="28" t="n"/>
      <c r="G95" s="30">
        <f>IF(AND(TRIM(D95)="",TRIM(E95)=""),"",IF(OR(TRIM(D95)="",TRIM(D95)="-"),TRIM(E95),TRIM(D95)&amp;TRIM(E95)))</f>
        <v/>
      </c>
      <c r="H95" s="30">
        <f>IF(G95="","",SUMPRODUCT(--($G$4:$G$303&lt;&gt;""),--($G$4:$G$303&lt;G95))+COUNTIF($G$4:G95,G95))</f>
        <v/>
      </c>
      <c r="I95" s="30">
        <f>IFERROR(INDEX($G$4:$G$303,MATCH(ROW()-3,$H$4:$H$303,0)),"")</f>
        <v/>
      </c>
    </row>
    <row r="96">
      <c r="D96" s="29" t="n"/>
      <c r="E96" s="29" t="n"/>
      <c r="F96" s="28" t="n"/>
      <c r="G96" s="30">
        <f>IF(AND(TRIM(D96)="",TRIM(E96)=""),"",IF(OR(TRIM(D96)="",TRIM(D96)="-"),TRIM(E96),TRIM(D96)&amp;TRIM(E96)))</f>
        <v/>
      </c>
      <c r="H96" s="30">
        <f>IF(G96="","",SUMPRODUCT(--($G$4:$G$303&lt;&gt;""),--($G$4:$G$303&lt;G96))+COUNTIF($G$4:G96,G96))</f>
        <v/>
      </c>
      <c r="I96" s="30">
        <f>IFERROR(INDEX($G$4:$G$303,MATCH(ROW()-3,$H$4:$H$303,0)),"")</f>
        <v/>
      </c>
    </row>
    <row r="97">
      <c r="D97" s="29" t="n"/>
      <c r="E97" s="29" t="n"/>
      <c r="F97" s="28" t="n"/>
      <c r="G97" s="30">
        <f>IF(AND(TRIM(D97)="",TRIM(E97)=""),"",IF(OR(TRIM(D97)="",TRIM(D97)="-"),TRIM(E97),TRIM(D97)&amp;TRIM(E97)))</f>
        <v/>
      </c>
      <c r="H97" s="30">
        <f>IF(G97="","",SUMPRODUCT(--($G$4:$G$303&lt;&gt;""),--($G$4:$G$303&lt;G97))+COUNTIF($G$4:G97,G97))</f>
        <v/>
      </c>
      <c r="I97" s="30">
        <f>IFERROR(INDEX($G$4:$G$303,MATCH(ROW()-3,$H$4:$H$303,0)),"")</f>
        <v/>
      </c>
    </row>
    <row r="98">
      <c r="D98" s="29" t="n"/>
      <c r="E98" s="29" t="n"/>
      <c r="F98" s="28" t="n"/>
      <c r="G98" s="30">
        <f>IF(AND(TRIM(D98)="",TRIM(E98)=""),"",IF(OR(TRIM(D98)="",TRIM(D98)="-"),TRIM(E98),TRIM(D98)&amp;TRIM(E98)))</f>
        <v/>
      </c>
      <c r="H98" s="30">
        <f>IF(G98="","",SUMPRODUCT(--($G$4:$G$303&lt;&gt;""),--($G$4:$G$303&lt;G98))+COUNTIF($G$4:G98,G98))</f>
        <v/>
      </c>
      <c r="I98" s="30">
        <f>IFERROR(INDEX($G$4:$G$303,MATCH(ROW()-3,$H$4:$H$303,0)),"")</f>
        <v/>
      </c>
    </row>
    <row r="99">
      <c r="D99" s="29" t="n"/>
      <c r="E99" s="29" t="n"/>
      <c r="F99" s="28" t="n"/>
      <c r="G99" s="30">
        <f>IF(AND(TRIM(D99)="",TRIM(E99)=""),"",IF(OR(TRIM(D99)="",TRIM(D99)="-"),TRIM(E99),TRIM(D99)&amp;TRIM(E99)))</f>
        <v/>
      </c>
      <c r="H99" s="30">
        <f>IF(G99="","",SUMPRODUCT(--($G$4:$G$303&lt;&gt;""),--($G$4:$G$303&lt;G99))+COUNTIF($G$4:G99,G99))</f>
        <v/>
      </c>
      <c r="I99" s="30">
        <f>IFERROR(INDEX($G$4:$G$303,MATCH(ROW()-3,$H$4:$H$303,0)),"")</f>
        <v/>
      </c>
    </row>
    <row r="100">
      <c r="D100" s="29" t="n"/>
      <c r="E100" s="29" t="n"/>
      <c r="F100" s="28" t="n"/>
      <c r="G100" s="30">
        <f>IF(AND(TRIM(D100)="",TRIM(E100)=""),"",IF(OR(TRIM(D100)="",TRIM(D100)="-"),TRIM(E100),TRIM(D100)&amp;TRIM(E100)))</f>
        <v/>
      </c>
      <c r="H100" s="30">
        <f>IF(G100="","",SUMPRODUCT(--($G$4:$G$303&lt;&gt;""),--($G$4:$G$303&lt;G100))+COUNTIF($G$4:G100,G100))</f>
        <v/>
      </c>
      <c r="I100" s="30">
        <f>IFERROR(INDEX($G$4:$G$303,MATCH(ROW()-3,$H$4:$H$303,0)),"")</f>
        <v/>
      </c>
    </row>
    <row r="101">
      <c r="D101" s="29" t="n"/>
      <c r="E101" s="29" t="n"/>
      <c r="F101" s="28" t="n"/>
      <c r="G101" s="30">
        <f>IF(AND(TRIM(D101)="",TRIM(E101)=""),"",IF(OR(TRIM(D101)="",TRIM(D101)="-"),TRIM(E101),TRIM(D101)&amp;TRIM(E101)))</f>
        <v/>
      </c>
      <c r="H101" s="30">
        <f>IF(G101="","",SUMPRODUCT(--($G$4:$G$303&lt;&gt;""),--($G$4:$G$303&lt;G101))+COUNTIF($G$4:G101,G101))</f>
        <v/>
      </c>
      <c r="I101" s="30">
        <f>IFERROR(INDEX($G$4:$G$303,MATCH(ROW()-3,$H$4:$H$303,0)),"")</f>
        <v/>
      </c>
    </row>
    <row r="102">
      <c r="D102" s="29" t="n"/>
      <c r="E102" s="29" t="n"/>
      <c r="F102" s="28" t="n"/>
      <c r="G102" s="30">
        <f>IF(AND(TRIM(D102)="",TRIM(E102)=""),"",IF(OR(TRIM(D102)="",TRIM(D102)="-"),TRIM(E102),TRIM(D102)&amp;TRIM(E102)))</f>
        <v/>
      </c>
      <c r="H102" s="30">
        <f>IF(G102="","",SUMPRODUCT(--($G$4:$G$303&lt;&gt;""),--($G$4:$G$303&lt;G102))+COUNTIF($G$4:G102,G102))</f>
        <v/>
      </c>
      <c r="I102" s="30">
        <f>IFERROR(INDEX($G$4:$G$303,MATCH(ROW()-3,$H$4:$H$303,0)),"")</f>
        <v/>
      </c>
    </row>
    <row r="103">
      <c r="D103" s="29" t="n"/>
      <c r="E103" s="29" t="n"/>
      <c r="F103" s="28" t="n"/>
      <c r="G103" s="30">
        <f>IF(AND(TRIM(D103)="",TRIM(E103)=""),"",IF(OR(TRIM(D103)="",TRIM(D103)="-"),TRIM(E103),TRIM(D103)&amp;TRIM(E103)))</f>
        <v/>
      </c>
      <c r="H103" s="30">
        <f>IF(G103="","",SUMPRODUCT(--($G$4:$G$303&lt;&gt;""),--($G$4:$G$303&lt;G103))+COUNTIF($G$4:G103,G103))</f>
        <v/>
      </c>
      <c r="I103" s="30">
        <f>IFERROR(INDEX($G$4:$G$303,MATCH(ROW()-3,$H$4:$H$303,0)),"")</f>
        <v/>
      </c>
    </row>
    <row r="104">
      <c r="D104" s="29" t="n"/>
      <c r="E104" s="29" t="n"/>
      <c r="F104" s="28" t="n"/>
      <c r="G104" s="30">
        <f>IF(AND(TRIM(D104)="",TRIM(E104)=""),"",IF(OR(TRIM(D104)="",TRIM(D104)="-"),TRIM(E104),TRIM(D104)&amp;TRIM(E104)))</f>
        <v/>
      </c>
      <c r="H104" s="30">
        <f>IF(G104="","",SUMPRODUCT(--($G$4:$G$303&lt;&gt;""),--($G$4:$G$303&lt;G104))+COUNTIF($G$4:G104,G104))</f>
        <v/>
      </c>
      <c r="I104" s="30">
        <f>IFERROR(INDEX($G$4:$G$303,MATCH(ROW()-3,$H$4:$H$303,0)),"")</f>
        <v/>
      </c>
    </row>
    <row r="105">
      <c r="D105" s="29" t="n"/>
      <c r="E105" s="29" t="n"/>
      <c r="F105" s="28" t="n"/>
      <c r="G105" s="30">
        <f>IF(AND(TRIM(D105)="",TRIM(E105)=""),"",IF(OR(TRIM(D105)="",TRIM(D105)="-"),TRIM(E105),TRIM(D105)&amp;TRIM(E105)))</f>
        <v/>
      </c>
      <c r="H105" s="30">
        <f>IF(G105="","",SUMPRODUCT(--($G$4:$G$303&lt;&gt;""),--($G$4:$G$303&lt;G105))+COUNTIF($G$4:G105,G105))</f>
        <v/>
      </c>
      <c r="I105" s="30">
        <f>IFERROR(INDEX($G$4:$G$303,MATCH(ROW()-3,$H$4:$H$303,0)),"")</f>
        <v/>
      </c>
    </row>
    <row r="106">
      <c r="D106" s="29" t="n"/>
      <c r="E106" s="29" t="n"/>
      <c r="F106" s="28" t="n"/>
      <c r="G106" s="30">
        <f>IF(AND(TRIM(D106)="",TRIM(E106)=""),"",IF(OR(TRIM(D106)="",TRIM(D106)="-"),TRIM(E106),TRIM(D106)&amp;TRIM(E106)))</f>
        <v/>
      </c>
      <c r="H106" s="30">
        <f>IF(G106="","",SUMPRODUCT(--($G$4:$G$303&lt;&gt;""),--($G$4:$G$303&lt;G106))+COUNTIF($G$4:G106,G106))</f>
        <v/>
      </c>
      <c r="I106" s="30">
        <f>IFERROR(INDEX($G$4:$G$303,MATCH(ROW()-3,$H$4:$H$303,0)),"")</f>
        <v/>
      </c>
    </row>
    <row r="107">
      <c r="D107" s="29" t="n"/>
      <c r="E107" s="29" t="n"/>
      <c r="F107" s="28" t="n"/>
      <c r="G107" s="30">
        <f>IF(AND(TRIM(D107)="",TRIM(E107)=""),"",IF(OR(TRIM(D107)="",TRIM(D107)="-"),TRIM(E107),TRIM(D107)&amp;TRIM(E107)))</f>
        <v/>
      </c>
      <c r="H107" s="30">
        <f>IF(G107="","",SUMPRODUCT(--($G$4:$G$303&lt;&gt;""),--($G$4:$G$303&lt;G107))+COUNTIF($G$4:G107,G107))</f>
        <v/>
      </c>
      <c r="I107" s="30">
        <f>IFERROR(INDEX($G$4:$G$303,MATCH(ROW()-3,$H$4:$H$303,0)),"")</f>
        <v/>
      </c>
    </row>
    <row r="108">
      <c r="D108" s="29" t="n"/>
      <c r="E108" s="29" t="n"/>
      <c r="F108" s="28" t="n"/>
      <c r="G108" s="30">
        <f>IF(AND(TRIM(D108)="",TRIM(E108)=""),"",IF(OR(TRIM(D108)="",TRIM(D108)="-"),TRIM(E108),TRIM(D108)&amp;TRIM(E108)))</f>
        <v/>
      </c>
      <c r="H108" s="30">
        <f>IF(G108="","",SUMPRODUCT(--($G$4:$G$303&lt;&gt;""),--($G$4:$G$303&lt;G108))+COUNTIF($G$4:G108,G108))</f>
        <v/>
      </c>
      <c r="I108" s="30">
        <f>IFERROR(INDEX($G$4:$G$303,MATCH(ROW()-3,$H$4:$H$303,0)),"")</f>
        <v/>
      </c>
    </row>
    <row r="109">
      <c r="D109" s="29" t="n"/>
      <c r="E109" s="29" t="n"/>
      <c r="F109" s="28" t="n"/>
      <c r="G109" s="30">
        <f>IF(AND(TRIM(D109)="",TRIM(E109)=""),"",IF(OR(TRIM(D109)="",TRIM(D109)="-"),TRIM(E109),TRIM(D109)&amp;TRIM(E109)))</f>
        <v/>
      </c>
      <c r="H109" s="30">
        <f>IF(G109="","",SUMPRODUCT(--($G$4:$G$303&lt;&gt;""),--($G$4:$G$303&lt;G109))+COUNTIF($G$4:G109,G109))</f>
        <v/>
      </c>
      <c r="I109" s="30">
        <f>IFERROR(INDEX($G$4:$G$303,MATCH(ROW()-3,$H$4:$H$303,0)),"")</f>
        <v/>
      </c>
    </row>
    <row r="110">
      <c r="D110" s="29" t="n"/>
      <c r="E110" s="29" t="n"/>
      <c r="F110" s="28" t="n"/>
      <c r="G110" s="30">
        <f>IF(AND(TRIM(D110)="",TRIM(E110)=""),"",IF(OR(TRIM(D110)="",TRIM(D110)="-"),TRIM(E110),TRIM(D110)&amp;TRIM(E110)))</f>
        <v/>
      </c>
      <c r="H110" s="30">
        <f>IF(G110="","",SUMPRODUCT(--($G$4:$G$303&lt;&gt;""),--($G$4:$G$303&lt;G110))+COUNTIF($G$4:G110,G110))</f>
        <v/>
      </c>
      <c r="I110" s="30">
        <f>IFERROR(INDEX($G$4:$G$303,MATCH(ROW()-3,$H$4:$H$303,0)),"")</f>
        <v/>
      </c>
    </row>
    <row r="111">
      <c r="D111" s="29" t="n"/>
      <c r="E111" s="29" t="n"/>
      <c r="F111" s="28" t="n"/>
      <c r="G111" s="30">
        <f>IF(AND(TRIM(D111)="",TRIM(E111)=""),"",IF(OR(TRIM(D111)="",TRIM(D111)="-"),TRIM(E111),TRIM(D111)&amp;TRIM(E111)))</f>
        <v/>
      </c>
      <c r="H111" s="30">
        <f>IF(G111="","",SUMPRODUCT(--($G$4:$G$303&lt;&gt;""),--($G$4:$G$303&lt;G111))+COUNTIF($G$4:G111,G111))</f>
        <v/>
      </c>
      <c r="I111" s="30">
        <f>IFERROR(INDEX($G$4:$G$303,MATCH(ROW()-3,$H$4:$H$303,0)),"")</f>
        <v/>
      </c>
    </row>
    <row r="112">
      <c r="D112" s="29" t="n"/>
      <c r="E112" s="29" t="n"/>
      <c r="F112" s="28" t="n"/>
      <c r="G112" s="30">
        <f>IF(AND(TRIM(D112)="",TRIM(E112)=""),"",IF(OR(TRIM(D112)="",TRIM(D112)="-"),TRIM(E112),TRIM(D112)&amp;TRIM(E112)))</f>
        <v/>
      </c>
      <c r="H112" s="30">
        <f>IF(G112="","",SUMPRODUCT(--($G$4:$G$303&lt;&gt;""),--($G$4:$G$303&lt;G112))+COUNTIF($G$4:G112,G112))</f>
        <v/>
      </c>
      <c r="I112" s="30">
        <f>IFERROR(INDEX($G$4:$G$303,MATCH(ROW()-3,$H$4:$H$303,0)),"")</f>
        <v/>
      </c>
    </row>
    <row r="113">
      <c r="D113" s="29" t="n"/>
      <c r="E113" s="29" t="n"/>
      <c r="F113" s="28" t="n"/>
      <c r="G113" s="30">
        <f>IF(AND(TRIM(D113)="",TRIM(E113)=""),"",IF(OR(TRIM(D113)="",TRIM(D113)="-"),TRIM(E113),TRIM(D113)&amp;TRIM(E113)))</f>
        <v/>
      </c>
      <c r="H113" s="30">
        <f>IF(G113="","",SUMPRODUCT(--($G$4:$G$303&lt;&gt;""),--($G$4:$G$303&lt;G113))+COUNTIF($G$4:G113,G113))</f>
        <v/>
      </c>
      <c r="I113" s="30">
        <f>IFERROR(INDEX($G$4:$G$303,MATCH(ROW()-3,$H$4:$H$303,0)),"")</f>
        <v/>
      </c>
    </row>
    <row r="114">
      <c r="D114" s="29" t="n"/>
      <c r="E114" s="29" t="n"/>
      <c r="F114" s="28" t="n"/>
      <c r="G114" s="30">
        <f>IF(AND(TRIM(D114)="",TRIM(E114)=""),"",IF(OR(TRIM(D114)="",TRIM(D114)="-"),TRIM(E114),TRIM(D114)&amp;TRIM(E114)))</f>
        <v/>
      </c>
      <c r="H114" s="30">
        <f>IF(G114="","",SUMPRODUCT(--($G$4:$G$303&lt;&gt;""),--($G$4:$G$303&lt;G114))+COUNTIF($G$4:G114,G114))</f>
        <v/>
      </c>
      <c r="I114" s="30">
        <f>IFERROR(INDEX($G$4:$G$303,MATCH(ROW()-3,$H$4:$H$303,0)),"")</f>
        <v/>
      </c>
    </row>
    <row r="115">
      <c r="D115" s="29" t="n"/>
      <c r="E115" s="29" t="n"/>
      <c r="F115" s="28" t="n"/>
      <c r="G115" s="30">
        <f>IF(AND(TRIM(D115)="",TRIM(E115)=""),"",IF(OR(TRIM(D115)="",TRIM(D115)="-"),TRIM(E115),TRIM(D115)&amp;TRIM(E115)))</f>
        <v/>
      </c>
      <c r="H115" s="30">
        <f>IF(G115="","",SUMPRODUCT(--($G$4:$G$303&lt;&gt;""),--($G$4:$G$303&lt;G115))+COUNTIF($G$4:G115,G115))</f>
        <v/>
      </c>
      <c r="I115" s="30">
        <f>IFERROR(INDEX($G$4:$G$303,MATCH(ROW()-3,$H$4:$H$303,0)),"")</f>
        <v/>
      </c>
    </row>
    <row r="116">
      <c r="D116" s="29" t="n"/>
      <c r="E116" s="29" t="n"/>
      <c r="F116" s="28" t="n"/>
      <c r="G116" s="30">
        <f>IF(AND(TRIM(D116)="",TRIM(E116)=""),"",IF(OR(TRIM(D116)="",TRIM(D116)="-"),TRIM(E116),TRIM(D116)&amp;TRIM(E116)))</f>
        <v/>
      </c>
      <c r="H116" s="30">
        <f>IF(G116="","",SUMPRODUCT(--($G$4:$G$303&lt;&gt;""),--($G$4:$G$303&lt;G116))+COUNTIF($G$4:G116,G116))</f>
        <v/>
      </c>
      <c r="I116" s="30">
        <f>IFERROR(INDEX($G$4:$G$303,MATCH(ROW()-3,$H$4:$H$303,0)),"")</f>
        <v/>
      </c>
    </row>
    <row r="117">
      <c r="D117" s="29" t="n"/>
      <c r="E117" s="29" t="n"/>
      <c r="F117" s="28" t="n"/>
      <c r="G117" s="30">
        <f>IF(AND(TRIM(D117)="",TRIM(E117)=""),"",IF(OR(TRIM(D117)="",TRIM(D117)="-"),TRIM(E117),TRIM(D117)&amp;TRIM(E117)))</f>
        <v/>
      </c>
      <c r="H117" s="30">
        <f>IF(G117="","",SUMPRODUCT(--($G$4:$G$303&lt;&gt;""),--($G$4:$G$303&lt;G117))+COUNTIF($G$4:G117,G117))</f>
        <v/>
      </c>
      <c r="I117" s="30">
        <f>IFERROR(INDEX($G$4:$G$303,MATCH(ROW()-3,$H$4:$H$303,0)),"")</f>
        <v/>
      </c>
    </row>
    <row r="118">
      <c r="D118" s="29" t="n"/>
      <c r="E118" s="29" t="n"/>
      <c r="F118" s="28" t="n"/>
      <c r="G118" s="30">
        <f>IF(AND(TRIM(D118)="",TRIM(E118)=""),"",IF(OR(TRIM(D118)="",TRIM(D118)="-"),TRIM(E118),TRIM(D118)&amp;TRIM(E118)))</f>
        <v/>
      </c>
      <c r="H118" s="30">
        <f>IF(G118="","",SUMPRODUCT(--($G$4:$G$303&lt;&gt;""),--($G$4:$G$303&lt;G118))+COUNTIF($G$4:G118,G118))</f>
        <v/>
      </c>
      <c r="I118" s="30">
        <f>IFERROR(INDEX($G$4:$G$303,MATCH(ROW()-3,$H$4:$H$303,0)),"")</f>
        <v/>
      </c>
    </row>
    <row r="119">
      <c r="D119" s="29" t="n"/>
      <c r="E119" s="29" t="n"/>
      <c r="F119" s="28" t="n"/>
      <c r="G119" s="30">
        <f>IF(AND(TRIM(D119)="",TRIM(E119)=""),"",IF(OR(TRIM(D119)="",TRIM(D119)="-"),TRIM(E119),TRIM(D119)&amp;TRIM(E119)))</f>
        <v/>
      </c>
      <c r="H119" s="30">
        <f>IF(G119="","",SUMPRODUCT(--($G$4:$G$303&lt;&gt;""),--($G$4:$G$303&lt;G119))+COUNTIF($G$4:G119,G119))</f>
        <v/>
      </c>
      <c r="I119" s="30">
        <f>IFERROR(INDEX($G$4:$G$303,MATCH(ROW()-3,$H$4:$H$303,0)),"")</f>
        <v/>
      </c>
    </row>
    <row r="120">
      <c r="D120" s="29" t="n"/>
      <c r="E120" s="29" t="n"/>
      <c r="F120" s="28" t="n"/>
      <c r="G120" s="30">
        <f>IF(AND(TRIM(D120)="",TRIM(E120)=""),"",IF(OR(TRIM(D120)="",TRIM(D120)="-"),TRIM(E120),TRIM(D120)&amp;TRIM(E120)))</f>
        <v/>
      </c>
      <c r="H120" s="30">
        <f>IF(G120="","",SUMPRODUCT(--($G$4:$G$303&lt;&gt;""),--($G$4:$G$303&lt;G120))+COUNTIF($G$4:G120,G120))</f>
        <v/>
      </c>
      <c r="I120" s="30">
        <f>IFERROR(INDEX($G$4:$G$303,MATCH(ROW()-3,$H$4:$H$303,0)),"")</f>
        <v/>
      </c>
    </row>
    <row r="121">
      <c r="D121" s="29" t="n"/>
      <c r="E121" s="29" t="n"/>
      <c r="F121" s="28" t="n"/>
      <c r="G121" s="30">
        <f>IF(AND(TRIM(D121)="",TRIM(E121)=""),"",IF(OR(TRIM(D121)="",TRIM(D121)="-"),TRIM(E121),TRIM(D121)&amp;TRIM(E121)))</f>
        <v/>
      </c>
      <c r="H121" s="30">
        <f>IF(G121="","",SUMPRODUCT(--($G$4:$G$303&lt;&gt;""),--($G$4:$G$303&lt;G121))+COUNTIF($G$4:G121,G121))</f>
        <v/>
      </c>
      <c r="I121" s="30">
        <f>IFERROR(INDEX($G$4:$G$303,MATCH(ROW()-3,$H$4:$H$303,0)),"")</f>
        <v/>
      </c>
    </row>
    <row r="122">
      <c r="D122" s="29" t="n"/>
      <c r="E122" s="29" t="n"/>
      <c r="F122" s="28" t="n"/>
      <c r="G122" s="30">
        <f>IF(AND(TRIM(D122)="",TRIM(E122)=""),"",IF(OR(TRIM(D122)="",TRIM(D122)="-"),TRIM(E122),TRIM(D122)&amp;TRIM(E122)))</f>
        <v/>
      </c>
      <c r="H122" s="30">
        <f>IF(G122="","",SUMPRODUCT(--($G$4:$G$303&lt;&gt;""),--($G$4:$G$303&lt;G122))+COUNTIF($G$4:G122,G122))</f>
        <v/>
      </c>
      <c r="I122" s="30">
        <f>IFERROR(INDEX($G$4:$G$303,MATCH(ROW()-3,$H$4:$H$303,0)),"")</f>
        <v/>
      </c>
    </row>
    <row r="123">
      <c r="D123" s="29" t="n"/>
      <c r="E123" s="29" t="n"/>
      <c r="F123" s="28" t="n"/>
      <c r="G123" s="30">
        <f>IF(AND(TRIM(D123)="",TRIM(E123)=""),"",IF(OR(TRIM(D123)="",TRIM(D123)="-"),TRIM(E123),TRIM(D123)&amp;TRIM(E123)))</f>
        <v/>
      </c>
      <c r="H123" s="30">
        <f>IF(G123="","",SUMPRODUCT(--($G$4:$G$303&lt;&gt;""),--($G$4:$G$303&lt;G123))+COUNTIF($G$4:G123,G123))</f>
        <v/>
      </c>
      <c r="I123" s="30">
        <f>IFERROR(INDEX($G$4:$G$303,MATCH(ROW()-3,$H$4:$H$303,0)),"")</f>
        <v/>
      </c>
    </row>
    <row r="124">
      <c r="D124" s="29" t="n"/>
      <c r="E124" s="29" t="n"/>
      <c r="F124" s="28" t="n"/>
      <c r="G124" s="30">
        <f>IF(AND(TRIM(D124)="",TRIM(E124)=""),"",IF(OR(TRIM(D124)="",TRIM(D124)="-"),TRIM(E124),TRIM(D124)&amp;TRIM(E124)))</f>
        <v/>
      </c>
      <c r="H124" s="30">
        <f>IF(G124="","",SUMPRODUCT(--($G$4:$G$303&lt;&gt;""),--($G$4:$G$303&lt;G124))+COUNTIF($G$4:G124,G124))</f>
        <v/>
      </c>
      <c r="I124" s="30">
        <f>IFERROR(INDEX($G$4:$G$303,MATCH(ROW()-3,$H$4:$H$303,0)),"")</f>
        <v/>
      </c>
    </row>
    <row r="125">
      <c r="D125" s="29" t="n"/>
      <c r="E125" s="29" t="n"/>
      <c r="F125" s="28" t="n"/>
      <c r="G125" s="30">
        <f>IF(AND(TRIM(D125)="",TRIM(E125)=""),"",IF(OR(TRIM(D125)="",TRIM(D125)="-"),TRIM(E125),TRIM(D125)&amp;TRIM(E125)))</f>
        <v/>
      </c>
      <c r="H125" s="30">
        <f>IF(G125="","",SUMPRODUCT(--($G$4:$G$303&lt;&gt;""),--($G$4:$G$303&lt;G125))+COUNTIF($G$4:G125,G125))</f>
        <v/>
      </c>
      <c r="I125" s="30">
        <f>IFERROR(INDEX($G$4:$G$303,MATCH(ROW()-3,$H$4:$H$303,0)),"")</f>
        <v/>
      </c>
    </row>
    <row r="126">
      <c r="D126" s="29" t="n"/>
      <c r="E126" s="29" t="n"/>
      <c r="F126" s="28" t="n"/>
      <c r="G126" s="30">
        <f>IF(AND(TRIM(D126)="",TRIM(E126)=""),"",IF(OR(TRIM(D126)="",TRIM(D126)="-"),TRIM(E126),TRIM(D126)&amp;TRIM(E126)))</f>
        <v/>
      </c>
      <c r="H126" s="30">
        <f>IF(G126="","",SUMPRODUCT(--($G$4:$G$303&lt;&gt;""),--($G$4:$G$303&lt;G126))+COUNTIF($G$4:G126,G126))</f>
        <v/>
      </c>
      <c r="I126" s="30">
        <f>IFERROR(INDEX($G$4:$G$303,MATCH(ROW()-3,$H$4:$H$303,0)),"")</f>
        <v/>
      </c>
    </row>
    <row r="127">
      <c r="D127" s="29" t="n"/>
      <c r="E127" s="29" t="n"/>
      <c r="F127" s="28" t="n"/>
      <c r="G127" s="30">
        <f>IF(AND(TRIM(D127)="",TRIM(E127)=""),"",IF(OR(TRIM(D127)="",TRIM(D127)="-"),TRIM(E127),TRIM(D127)&amp;TRIM(E127)))</f>
        <v/>
      </c>
      <c r="H127" s="30">
        <f>IF(G127="","",SUMPRODUCT(--($G$4:$G$303&lt;&gt;""),--($G$4:$G$303&lt;G127))+COUNTIF($G$4:G127,G127))</f>
        <v/>
      </c>
      <c r="I127" s="30">
        <f>IFERROR(INDEX($G$4:$G$303,MATCH(ROW()-3,$H$4:$H$303,0)),"")</f>
        <v/>
      </c>
    </row>
    <row r="128">
      <c r="D128" s="29" t="n"/>
      <c r="E128" s="29" t="n"/>
      <c r="F128" s="28" t="n"/>
      <c r="G128" s="30">
        <f>IF(AND(TRIM(D128)="",TRIM(E128)=""),"",IF(OR(TRIM(D128)="",TRIM(D128)="-"),TRIM(E128),TRIM(D128)&amp;TRIM(E128)))</f>
        <v/>
      </c>
      <c r="H128" s="30">
        <f>IF(G128="","",SUMPRODUCT(--($G$4:$G$303&lt;&gt;""),--($G$4:$G$303&lt;G128))+COUNTIF($G$4:G128,G128))</f>
        <v/>
      </c>
      <c r="I128" s="30">
        <f>IFERROR(INDEX($G$4:$G$303,MATCH(ROW()-3,$H$4:$H$303,0)),"")</f>
        <v/>
      </c>
    </row>
    <row r="129">
      <c r="D129" s="29" t="n"/>
      <c r="E129" s="29" t="n"/>
      <c r="F129" s="28" t="n"/>
      <c r="G129" s="30">
        <f>IF(AND(TRIM(D129)="",TRIM(E129)=""),"",IF(OR(TRIM(D129)="",TRIM(D129)="-"),TRIM(E129),TRIM(D129)&amp;TRIM(E129)))</f>
        <v/>
      </c>
      <c r="H129" s="30">
        <f>IF(G129="","",SUMPRODUCT(--($G$4:$G$303&lt;&gt;""),--($G$4:$G$303&lt;G129))+COUNTIF($G$4:G129,G129))</f>
        <v/>
      </c>
      <c r="I129" s="30">
        <f>IFERROR(INDEX($G$4:$G$303,MATCH(ROW()-3,$H$4:$H$303,0)),"")</f>
        <v/>
      </c>
    </row>
    <row r="130">
      <c r="D130" s="29" t="n"/>
      <c r="E130" s="29" t="n"/>
      <c r="F130" s="28" t="n"/>
      <c r="G130" s="30">
        <f>IF(AND(TRIM(D130)="",TRIM(E130)=""),"",IF(OR(TRIM(D130)="",TRIM(D130)="-"),TRIM(E130),TRIM(D130)&amp;TRIM(E130)))</f>
        <v/>
      </c>
      <c r="H130" s="30">
        <f>IF(G130="","",SUMPRODUCT(--($G$4:$G$303&lt;&gt;""),--($G$4:$G$303&lt;G130))+COUNTIF($G$4:G130,G130))</f>
        <v/>
      </c>
      <c r="I130" s="30">
        <f>IFERROR(INDEX($G$4:$G$303,MATCH(ROW()-3,$H$4:$H$303,0)),"")</f>
        <v/>
      </c>
    </row>
    <row r="131">
      <c r="D131" s="29" t="n"/>
      <c r="E131" s="29" t="n"/>
      <c r="F131" s="28" t="n"/>
      <c r="G131" s="30">
        <f>IF(AND(TRIM(D131)="",TRIM(E131)=""),"",IF(OR(TRIM(D131)="",TRIM(D131)="-"),TRIM(E131),TRIM(D131)&amp;TRIM(E131)))</f>
        <v/>
      </c>
      <c r="H131" s="30">
        <f>IF(G131="","",SUMPRODUCT(--($G$4:$G$303&lt;&gt;""),--($G$4:$G$303&lt;G131))+COUNTIF($G$4:G131,G131))</f>
        <v/>
      </c>
      <c r="I131" s="30">
        <f>IFERROR(INDEX($G$4:$G$303,MATCH(ROW()-3,$H$4:$H$303,0)),"")</f>
        <v/>
      </c>
    </row>
    <row r="132">
      <c r="D132" s="29" t="n"/>
      <c r="E132" s="29" t="n"/>
      <c r="F132" s="28" t="n"/>
      <c r="G132" s="30">
        <f>IF(AND(TRIM(D132)="",TRIM(E132)=""),"",IF(OR(TRIM(D132)="",TRIM(D132)="-"),TRIM(E132),TRIM(D132)&amp;TRIM(E132)))</f>
        <v/>
      </c>
      <c r="H132" s="30">
        <f>IF(G132="","",SUMPRODUCT(--($G$4:$G$303&lt;&gt;""),--($G$4:$G$303&lt;G132))+COUNTIF($G$4:G132,G132))</f>
        <v/>
      </c>
      <c r="I132" s="30">
        <f>IFERROR(INDEX($G$4:$G$303,MATCH(ROW()-3,$H$4:$H$303,0)),"")</f>
        <v/>
      </c>
    </row>
    <row r="133">
      <c r="D133" s="29" t="n"/>
      <c r="E133" s="29" t="n"/>
      <c r="F133" s="28" t="n"/>
      <c r="G133" s="30">
        <f>IF(AND(TRIM(D133)="",TRIM(E133)=""),"",IF(OR(TRIM(D133)="",TRIM(D133)="-"),TRIM(E133),TRIM(D133)&amp;TRIM(E133)))</f>
        <v/>
      </c>
      <c r="H133" s="30">
        <f>IF(G133="","",SUMPRODUCT(--($G$4:$G$303&lt;&gt;""),--($G$4:$G$303&lt;G133))+COUNTIF($G$4:G133,G133))</f>
        <v/>
      </c>
      <c r="I133" s="30">
        <f>IFERROR(INDEX($G$4:$G$303,MATCH(ROW()-3,$H$4:$H$303,0)),"")</f>
        <v/>
      </c>
    </row>
    <row r="134">
      <c r="D134" s="29" t="n"/>
      <c r="E134" s="29" t="n"/>
      <c r="F134" s="28" t="n"/>
      <c r="G134" s="30">
        <f>IF(AND(TRIM(D134)="",TRIM(E134)=""),"",IF(OR(TRIM(D134)="",TRIM(D134)="-"),TRIM(E134),TRIM(D134)&amp;TRIM(E134)))</f>
        <v/>
      </c>
      <c r="H134" s="30">
        <f>IF(G134="","",SUMPRODUCT(--($G$4:$G$303&lt;&gt;""),--($G$4:$G$303&lt;G134))+COUNTIF($G$4:G134,G134))</f>
        <v/>
      </c>
      <c r="I134" s="30">
        <f>IFERROR(INDEX($G$4:$G$303,MATCH(ROW()-3,$H$4:$H$303,0)),"")</f>
        <v/>
      </c>
    </row>
    <row r="135">
      <c r="D135" s="29" t="n"/>
      <c r="E135" s="29" t="n"/>
      <c r="F135" s="28" t="n"/>
      <c r="G135" s="30">
        <f>IF(AND(TRIM(D135)="",TRIM(E135)=""),"",IF(OR(TRIM(D135)="",TRIM(D135)="-"),TRIM(E135),TRIM(D135)&amp;TRIM(E135)))</f>
        <v/>
      </c>
      <c r="H135" s="30">
        <f>IF(G135="","",SUMPRODUCT(--($G$4:$G$303&lt;&gt;""),--($G$4:$G$303&lt;G135))+COUNTIF($G$4:G135,G135))</f>
        <v/>
      </c>
      <c r="I135" s="30">
        <f>IFERROR(INDEX($G$4:$G$303,MATCH(ROW()-3,$H$4:$H$303,0)),"")</f>
        <v/>
      </c>
    </row>
    <row r="136">
      <c r="D136" s="29" t="n"/>
      <c r="E136" s="29" t="n"/>
      <c r="F136" s="28" t="n"/>
      <c r="G136" s="30">
        <f>IF(AND(TRIM(D136)="",TRIM(E136)=""),"",IF(OR(TRIM(D136)="",TRIM(D136)="-"),TRIM(E136),TRIM(D136)&amp;TRIM(E136)))</f>
        <v/>
      </c>
      <c r="H136" s="30">
        <f>IF(G136="","",SUMPRODUCT(--($G$4:$G$303&lt;&gt;""),--($G$4:$G$303&lt;G136))+COUNTIF($G$4:G136,G136))</f>
        <v/>
      </c>
      <c r="I136" s="30">
        <f>IFERROR(INDEX($G$4:$G$303,MATCH(ROW()-3,$H$4:$H$303,0)),"")</f>
        <v/>
      </c>
    </row>
    <row r="137">
      <c r="D137" s="29" t="n"/>
      <c r="E137" s="29" t="n"/>
      <c r="F137" s="28" t="n"/>
      <c r="G137" s="30">
        <f>IF(AND(TRIM(D137)="",TRIM(E137)=""),"",IF(OR(TRIM(D137)="",TRIM(D137)="-"),TRIM(E137),TRIM(D137)&amp;TRIM(E137)))</f>
        <v/>
      </c>
      <c r="H137" s="30">
        <f>IF(G137="","",SUMPRODUCT(--($G$4:$G$303&lt;&gt;""),--($G$4:$G$303&lt;G137))+COUNTIF($G$4:G137,G137))</f>
        <v/>
      </c>
      <c r="I137" s="30">
        <f>IFERROR(INDEX($G$4:$G$303,MATCH(ROW()-3,$H$4:$H$303,0)),"")</f>
        <v/>
      </c>
    </row>
    <row r="138">
      <c r="D138" s="29" t="n"/>
      <c r="E138" s="29" t="n"/>
      <c r="F138" s="28" t="n"/>
      <c r="G138" s="30">
        <f>IF(AND(TRIM(D138)="",TRIM(E138)=""),"",IF(OR(TRIM(D138)="",TRIM(D138)="-"),TRIM(E138),TRIM(D138)&amp;TRIM(E138)))</f>
        <v/>
      </c>
      <c r="H138" s="30">
        <f>IF(G138="","",SUMPRODUCT(--($G$4:$G$303&lt;&gt;""),--($G$4:$G$303&lt;G138))+COUNTIF($G$4:G138,G138))</f>
        <v/>
      </c>
      <c r="I138" s="30">
        <f>IFERROR(INDEX($G$4:$G$303,MATCH(ROW()-3,$H$4:$H$303,0)),"")</f>
        <v/>
      </c>
    </row>
    <row r="139">
      <c r="D139" s="29" t="n"/>
      <c r="E139" s="29" t="n"/>
      <c r="F139" s="28" t="n"/>
      <c r="G139" s="30">
        <f>IF(AND(TRIM(D139)="",TRIM(E139)=""),"",IF(OR(TRIM(D139)="",TRIM(D139)="-"),TRIM(E139),TRIM(D139)&amp;TRIM(E139)))</f>
        <v/>
      </c>
      <c r="H139" s="30">
        <f>IF(G139="","",SUMPRODUCT(--($G$4:$G$303&lt;&gt;""),--($G$4:$G$303&lt;G139))+COUNTIF($G$4:G139,G139))</f>
        <v/>
      </c>
      <c r="I139" s="30">
        <f>IFERROR(INDEX($G$4:$G$303,MATCH(ROW()-3,$H$4:$H$303,0)),"")</f>
        <v/>
      </c>
    </row>
    <row r="140">
      <c r="D140" s="29" t="n"/>
      <c r="E140" s="29" t="n"/>
      <c r="F140" s="28" t="n"/>
      <c r="G140" s="30">
        <f>IF(AND(TRIM(D140)="",TRIM(E140)=""),"",IF(OR(TRIM(D140)="",TRIM(D140)="-"),TRIM(E140),TRIM(D140)&amp;TRIM(E140)))</f>
        <v/>
      </c>
      <c r="H140" s="30">
        <f>IF(G140="","",SUMPRODUCT(--($G$4:$G$303&lt;&gt;""),--($G$4:$G$303&lt;G140))+COUNTIF($G$4:G140,G140))</f>
        <v/>
      </c>
      <c r="I140" s="30">
        <f>IFERROR(INDEX($G$4:$G$303,MATCH(ROW()-3,$H$4:$H$303,0)),"")</f>
        <v/>
      </c>
    </row>
    <row r="141">
      <c r="D141" s="29" t="n"/>
      <c r="E141" s="29" t="n"/>
      <c r="F141" s="28" t="n"/>
      <c r="G141" s="30">
        <f>IF(AND(TRIM(D141)="",TRIM(E141)=""),"",IF(OR(TRIM(D141)="",TRIM(D141)="-"),TRIM(E141),TRIM(D141)&amp;TRIM(E141)))</f>
        <v/>
      </c>
      <c r="H141" s="30">
        <f>IF(G141="","",SUMPRODUCT(--($G$4:$G$303&lt;&gt;""),--($G$4:$G$303&lt;G141))+COUNTIF($G$4:G141,G141))</f>
        <v/>
      </c>
      <c r="I141" s="30">
        <f>IFERROR(INDEX($G$4:$G$303,MATCH(ROW()-3,$H$4:$H$303,0)),"")</f>
        <v/>
      </c>
    </row>
    <row r="142">
      <c r="D142" s="29" t="n"/>
      <c r="E142" s="29" t="n"/>
      <c r="F142" s="28" t="n"/>
      <c r="G142" s="30">
        <f>IF(AND(TRIM(D142)="",TRIM(E142)=""),"",IF(OR(TRIM(D142)="",TRIM(D142)="-"),TRIM(E142),TRIM(D142)&amp;TRIM(E142)))</f>
        <v/>
      </c>
      <c r="H142" s="30">
        <f>IF(G142="","",SUMPRODUCT(--($G$4:$G$303&lt;&gt;""),--($G$4:$G$303&lt;G142))+COUNTIF($G$4:G142,G142))</f>
        <v/>
      </c>
      <c r="I142" s="30">
        <f>IFERROR(INDEX($G$4:$G$303,MATCH(ROW()-3,$H$4:$H$303,0)),"")</f>
        <v/>
      </c>
    </row>
    <row r="143">
      <c r="D143" s="29" t="n"/>
      <c r="E143" s="29" t="n"/>
      <c r="F143" s="28" t="n"/>
      <c r="G143" s="30">
        <f>IF(AND(TRIM(D143)="",TRIM(E143)=""),"",IF(OR(TRIM(D143)="",TRIM(D143)="-"),TRIM(E143),TRIM(D143)&amp;TRIM(E143)))</f>
        <v/>
      </c>
      <c r="H143" s="30">
        <f>IF(G143="","",SUMPRODUCT(--($G$4:$G$303&lt;&gt;""),--($G$4:$G$303&lt;G143))+COUNTIF($G$4:G143,G143))</f>
        <v/>
      </c>
      <c r="I143" s="30">
        <f>IFERROR(INDEX($G$4:$G$303,MATCH(ROW()-3,$H$4:$H$303,0)),"")</f>
        <v/>
      </c>
    </row>
    <row r="144">
      <c r="D144" s="29" t="n"/>
      <c r="E144" s="29" t="n"/>
      <c r="F144" s="28" t="n"/>
      <c r="G144" s="30">
        <f>IF(AND(TRIM(D144)="",TRIM(E144)=""),"",IF(OR(TRIM(D144)="",TRIM(D144)="-"),TRIM(E144),TRIM(D144)&amp;TRIM(E144)))</f>
        <v/>
      </c>
      <c r="H144" s="30">
        <f>IF(G144="","",SUMPRODUCT(--($G$4:$G$303&lt;&gt;""),--($G$4:$G$303&lt;G144))+COUNTIF($G$4:G144,G144))</f>
        <v/>
      </c>
      <c r="I144" s="30">
        <f>IFERROR(INDEX($G$4:$G$303,MATCH(ROW()-3,$H$4:$H$303,0)),"")</f>
        <v/>
      </c>
    </row>
    <row r="145">
      <c r="D145" s="29" t="n"/>
      <c r="E145" s="29" t="n"/>
      <c r="F145" s="28" t="n"/>
      <c r="G145" s="30">
        <f>IF(AND(TRIM(D145)="",TRIM(E145)=""),"",IF(OR(TRIM(D145)="",TRIM(D145)="-"),TRIM(E145),TRIM(D145)&amp;TRIM(E145)))</f>
        <v/>
      </c>
      <c r="H145" s="30">
        <f>IF(G145="","",SUMPRODUCT(--($G$4:$G$303&lt;&gt;""),--($G$4:$G$303&lt;G145))+COUNTIF($G$4:G145,G145))</f>
        <v/>
      </c>
      <c r="I145" s="30">
        <f>IFERROR(INDEX($G$4:$G$303,MATCH(ROW()-3,$H$4:$H$303,0)),"")</f>
        <v/>
      </c>
    </row>
    <row r="146">
      <c r="D146" s="29" t="n"/>
      <c r="E146" s="29" t="n"/>
      <c r="F146" s="28" t="n"/>
      <c r="G146" s="30">
        <f>IF(AND(TRIM(D146)="",TRIM(E146)=""),"",IF(OR(TRIM(D146)="",TRIM(D146)="-"),TRIM(E146),TRIM(D146)&amp;TRIM(E146)))</f>
        <v/>
      </c>
      <c r="H146" s="30">
        <f>IF(G146="","",SUMPRODUCT(--($G$4:$G$303&lt;&gt;""),--($G$4:$G$303&lt;G146))+COUNTIF($G$4:G146,G146))</f>
        <v/>
      </c>
      <c r="I146" s="30">
        <f>IFERROR(INDEX($G$4:$G$303,MATCH(ROW()-3,$H$4:$H$303,0)),"")</f>
        <v/>
      </c>
    </row>
    <row r="147">
      <c r="D147" s="29" t="n"/>
      <c r="E147" s="29" t="n"/>
      <c r="F147" s="28" t="n"/>
      <c r="G147" s="30">
        <f>IF(AND(TRIM(D147)="",TRIM(E147)=""),"",IF(OR(TRIM(D147)="",TRIM(D147)="-"),TRIM(E147),TRIM(D147)&amp;TRIM(E147)))</f>
        <v/>
      </c>
      <c r="H147" s="30">
        <f>IF(G147="","",SUMPRODUCT(--($G$4:$G$303&lt;&gt;""),--($G$4:$G$303&lt;G147))+COUNTIF($G$4:G147,G147))</f>
        <v/>
      </c>
      <c r="I147" s="30">
        <f>IFERROR(INDEX($G$4:$G$303,MATCH(ROW()-3,$H$4:$H$303,0)),"")</f>
        <v/>
      </c>
    </row>
    <row r="148">
      <c r="D148" s="29" t="n"/>
      <c r="E148" s="29" t="n"/>
      <c r="F148" s="28" t="n"/>
      <c r="G148" s="30">
        <f>IF(AND(TRIM(D148)="",TRIM(E148)=""),"",IF(OR(TRIM(D148)="",TRIM(D148)="-"),TRIM(E148),TRIM(D148)&amp;TRIM(E148)))</f>
        <v/>
      </c>
      <c r="H148" s="30">
        <f>IF(G148="","",SUMPRODUCT(--($G$4:$G$303&lt;&gt;""),--($G$4:$G$303&lt;G148))+COUNTIF($G$4:G148,G148))</f>
        <v/>
      </c>
      <c r="I148" s="30">
        <f>IFERROR(INDEX($G$4:$G$303,MATCH(ROW()-3,$H$4:$H$303,0)),"")</f>
        <v/>
      </c>
    </row>
    <row r="149">
      <c r="D149" s="29" t="n"/>
      <c r="E149" s="29" t="n"/>
      <c r="F149" s="28" t="n"/>
      <c r="G149" s="30">
        <f>IF(AND(TRIM(D149)="",TRIM(E149)=""),"",IF(OR(TRIM(D149)="",TRIM(D149)="-"),TRIM(E149),TRIM(D149)&amp;TRIM(E149)))</f>
        <v/>
      </c>
      <c r="H149" s="30">
        <f>IF(G149="","",SUMPRODUCT(--($G$4:$G$303&lt;&gt;""),--($G$4:$G$303&lt;G149))+COUNTIF($G$4:G149,G149))</f>
        <v/>
      </c>
      <c r="I149" s="30">
        <f>IFERROR(INDEX($G$4:$G$303,MATCH(ROW()-3,$H$4:$H$303,0)),"")</f>
        <v/>
      </c>
    </row>
    <row r="150">
      <c r="D150" s="29" t="n"/>
      <c r="E150" s="29" t="n"/>
      <c r="F150" s="28" t="n"/>
      <c r="G150" s="30">
        <f>IF(AND(TRIM(D150)="",TRIM(E150)=""),"",IF(OR(TRIM(D150)="",TRIM(D150)="-"),TRIM(E150),TRIM(D150)&amp;TRIM(E150)))</f>
        <v/>
      </c>
      <c r="H150" s="30">
        <f>IF(G150="","",SUMPRODUCT(--($G$4:$G$303&lt;&gt;""),--($G$4:$G$303&lt;G150))+COUNTIF($G$4:G150,G150))</f>
        <v/>
      </c>
      <c r="I150" s="30">
        <f>IFERROR(INDEX($G$4:$G$303,MATCH(ROW()-3,$H$4:$H$303,0)),"")</f>
        <v/>
      </c>
    </row>
    <row r="151">
      <c r="D151" s="29" t="n"/>
      <c r="E151" s="29" t="n"/>
      <c r="F151" s="28" t="n"/>
      <c r="G151" s="30">
        <f>IF(AND(TRIM(D151)="",TRIM(E151)=""),"",IF(OR(TRIM(D151)="",TRIM(D151)="-"),TRIM(E151),TRIM(D151)&amp;TRIM(E151)))</f>
        <v/>
      </c>
      <c r="H151" s="30">
        <f>IF(G151="","",SUMPRODUCT(--($G$4:$G$303&lt;&gt;""),--($G$4:$G$303&lt;G151))+COUNTIF($G$4:G151,G151))</f>
        <v/>
      </c>
      <c r="I151" s="30">
        <f>IFERROR(INDEX($G$4:$G$303,MATCH(ROW()-3,$H$4:$H$303,0)),"")</f>
        <v/>
      </c>
    </row>
    <row r="152">
      <c r="D152" s="29" t="n"/>
      <c r="E152" s="29" t="n"/>
      <c r="F152" s="28" t="n"/>
      <c r="G152" s="30">
        <f>IF(AND(TRIM(D152)="",TRIM(E152)=""),"",IF(OR(TRIM(D152)="",TRIM(D152)="-"),TRIM(E152),TRIM(D152)&amp;TRIM(E152)))</f>
        <v/>
      </c>
      <c r="H152" s="30">
        <f>IF(G152="","",SUMPRODUCT(--($G$4:$G$303&lt;&gt;""),--($G$4:$G$303&lt;G152))+COUNTIF($G$4:G152,G152))</f>
        <v/>
      </c>
      <c r="I152" s="30">
        <f>IFERROR(INDEX($G$4:$G$303,MATCH(ROW()-3,$H$4:$H$303,0)),"")</f>
        <v/>
      </c>
    </row>
    <row r="153">
      <c r="D153" s="29" t="n"/>
      <c r="E153" s="29" t="n"/>
      <c r="F153" s="28" t="n"/>
      <c r="G153" s="30">
        <f>IF(AND(TRIM(D153)="",TRIM(E153)=""),"",IF(OR(TRIM(D153)="",TRIM(D153)="-"),TRIM(E153),TRIM(D153)&amp;TRIM(E153)))</f>
        <v/>
      </c>
      <c r="H153" s="30">
        <f>IF(G153="","",SUMPRODUCT(--($G$4:$G$303&lt;&gt;""),--($G$4:$G$303&lt;G153))+COUNTIF($G$4:G153,G153))</f>
        <v/>
      </c>
      <c r="I153" s="30">
        <f>IFERROR(INDEX($G$4:$G$303,MATCH(ROW()-3,$H$4:$H$303,0)),"")</f>
        <v/>
      </c>
    </row>
    <row r="154">
      <c r="D154" s="29" t="n"/>
      <c r="E154" s="29" t="n"/>
      <c r="F154" s="28" t="n"/>
      <c r="G154" s="30">
        <f>IF(AND(TRIM(D154)="",TRIM(E154)=""),"",IF(OR(TRIM(D154)="",TRIM(D154)="-"),TRIM(E154),TRIM(D154)&amp;TRIM(E154)))</f>
        <v/>
      </c>
      <c r="H154" s="30">
        <f>IF(G154="","",SUMPRODUCT(--($G$4:$G$303&lt;&gt;""),--($G$4:$G$303&lt;G154))+COUNTIF($G$4:G154,G154))</f>
        <v/>
      </c>
      <c r="I154" s="30">
        <f>IFERROR(INDEX($G$4:$G$303,MATCH(ROW()-3,$H$4:$H$303,0)),"")</f>
        <v/>
      </c>
    </row>
    <row r="155">
      <c r="D155" s="29" t="n"/>
      <c r="E155" s="29" t="n"/>
      <c r="F155" s="28" t="n"/>
      <c r="G155" s="30">
        <f>IF(AND(TRIM(D155)="",TRIM(E155)=""),"",IF(OR(TRIM(D155)="",TRIM(D155)="-"),TRIM(E155),TRIM(D155)&amp;TRIM(E155)))</f>
        <v/>
      </c>
      <c r="H155" s="30">
        <f>IF(G155="","",SUMPRODUCT(--($G$4:$G$303&lt;&gt;""),--($G$4:$G$303&lt;G155))+COUNTIF($G$4:G155,G155))</f>
        <v/>
      </c>
      <c r="I155" s="30">
        <f>IFERROR(INDEX($G$4:$G$303,MATCH(ROW()-3,$H$4:$H$303,0)),"")</f>
        <v/>
      </c>
    </row>
    <row r="156">
      <c r="D156" s="29" t="n"/>
      <c r="E156" s="29" t="n"/>
      <c r="F156" s="28" t="n"/>
      <c r="G156" s="30">
        <f>IF(AND(TRIM(D156)="",TRIM(E156)=""),"",IF(OR(TRIM(D156)="",TRIM(D156)="-"),TRIM(E156),TRIM(D156)&amp;TRIM(E156)))</f>
        <v/>
      </c>
      <c r="H156" s="30">
        <f>IF(G156="","",SUMPRODUCT(--($G$4:$G$303&lt;&gt;""),--($G$4:$G$303&lt;G156))+COUNTIF($G$4:G156,G156))</f>
        <v/>
      </c>
      <c r="I156" s="30">
        <f>IFERROR(INDEX($G$4:$G$303,MATCH(ROW()-3,$H$4:$H$303,0)),"")</f>
        <v/>
      </c>
    </row>
    <row r="157">
      <c r="D157" s="29" t="n"/>
      <c r="E157" s="29" t="n"/>
      <c r="F157" s="28" t="n"/>
      <c r="G157" s="30">
        <f>IF(AND(TRIM(D157)="",TRIM(E157)=""),"",IF(OR(TRIM(D157)="",TRIM(D157)="-"),TRIM(E157),TRIM(D157)&amp;TRIM(E157)))</f>
        <v/>
      </c>
      <c r="H157" s="30">
        <f>IF(G157="","",SUMPRODUCT(--($G$4:$G$303&lt;&gt;""),--($G$4:$G$303&lt;G157))+COUNTIF($G$4:G157,G157))</f>
        <v/>
      </c>
      <c r="I157" s="30">
        <f>IFERROR(INDEX($G$4:$G$303,MATCH(ROW()-3,$H$4:$H$303,0)),"")</f>
        <v/>
      </c>
    </row>
    <row r="158">
      <c r="D158" s="29" t="n"/>
      <c r="E158" s="29" t="n"/>
      <c r="F158" s="28" t="n"/>
      <c r="G158" s="30">
        <f>IF(AND(TRIM(D158)="",TRIM(E158)=""),"",IF(OR(TRIM(D158)="",TRIM(D158)="-"),TRIM(E158),TRIM(D158)&amp;TRIM(E158)))</f>
        <v/>
      </c>
      <c r="H158" s="30">
        <f>IF(G158="","",SUMPRODUCT(--($G$4:$G$303&lt;&gt;""),--($G$4:$G$303&lt;G158))+COUNTIF($G$4:G158,G158))</f>
        <v/>
      </c>
      <c r="I158" s="30">
        <f>IFERROR(INDEX($G$4:$G$303,MATCH(ROW()-3,$H$4:$H$303,0)),"")</f>
        <v/>
      </c>
    </row>
    <row r="159">
      <c r="D159" s="29" t="n"/>
      <c r="E159" s="29" t="n"/>
      <c r="F159" s="28" t="n"/>
      <c r="G159" s="30">
        <f>IF(AND(TRIM(D159)="",TRIM(E159)=""),"",IF(OR(TRIM(D159)="",TRIM(D159)="-"),TRIM(E159),TRIM(D159)&amp;TRIM(E159)))</f>
        <v/>
      </c>
      <c r="H159" s="30">
        <f>IF(G159="","",SUMPRODUCT(--($G$4:$G$303&lt;&gt;""),--($G$4:$G$303&lt;G159))+COUNTIF($G$4:G159,G159))</f>
        <v/>
      </c>
      <c r="I159" s="30">
        <f>IFERROR(INDEX($G$4:$G$303,MATCH(ROW()-3,$H$4:$H$303,0)),"")</f>
        <v/>
      </c>
    </row>
    <row r="160">
      <c r="D160" s="29" t="n"/>
      <c r="E160" s="29" t="n"/>
      <c r="F160" s="28" t="n"/>
      <c r="G160" s="30">
        <f>IF(AND(TRIM(D160)="",TRIM(E160)=""),"",IF(OR(TRIM(D160)="",TRIM(D160)="-"),TRIM(E160),TRIM(D160)&amp;TRIM(E160)))</f>
        <v/>
      </c>
      <c r="H160" s="30">
        <f>IF(G160="","",SUMPRODUCT(--($G$4:$G$303&lt;&gt;""),--($G$4:$G$303&lt;G160))+COUNTIF($G$4:G160,G160))</f>
        <v/>
      </c>
      <c r="I160" s="30">
        <f>IFERROR(INDEX($G$4:$G$303,MATCH(ROW()-3,$H$4:$H$303,0)),"")</f>
        <v/>
      </c>
    </row>
    <row r="161">
      <c r="D161" s="29" t="n"/>
      <c r="E161" s="29" t="n"/>
      <c r="F161" s="28" t="n"/>
      <c r="G161" s="30">
        <f>IF(AND(TRIM(D161)="",TRIM(E161)=""),"",IF(OR(TRIM(D161)="",TRIM(D161)="-"),TRIM(E161),TRIM(D161)&amp;TRIM(E161)))</f>
        <v/>
      </c>
      <c r="H161" s="30">
        <f>IF(G161="","",SUMPRODUCT(--($G$4:$G$303&lt;&gt;""),--($G$4:$G$303&lt;G161))+COUNTIF($G$4:G161,G161))</f>
        <v/>
      </c>
      <c r="I161" s="30">
        <f>IFERROR(INDEX($G$4:$G$303,MATCH(ROW()-3,$H$4:$H$303,0)),"")</f>
        <v/>
      </c>
    </row>
    <row r="162">
      <c r="D162" s="29" t="n"/>
      <c r="E162" s="29" t="n"/>
      <c r="F162" s="28" t="n"/>
      <c r="G162" s="30">
        <f>IF(AND(TRIM(D162)="",TRIM(E162)=""),"",IF(OR(TRIM(D162)="",TRIM(D162)="-"),TRIM(E162),TRIM(D162)&amp;TRIM(E162)))</f>
        <v/>
      </c>
      <c r="H162" s="30">
        <f>IF(G162="","",SUMPRODUCT(--($G$4:$G$303&lt;&gt;""),--($G$4:$G$303&lt;G162))+COUNTIF($G$4:G162,G162))</f>
        <v/>
      </c>
      <c r="I162" s="30">
        <f>IFERROR(INDEX($G$4:$G$303,MATCH(ROW()-3,$H$4:$H$303,0)),"")</f>
        <v/>
      </c>
    </row>
    <row r="163">
      <c r="D163" s="29" t="n"/>
      <c r="E163" s="29" t="n"/>
      <c r="F163" s="28" t="n"/>
      <c r="G163" s="30">
        <f>IF(AND(TRIM(D163)="",TRIM(E163)=""),"",IF(OR(TRIM(D163)="",TRIM(D163)="-"),TRIM(E163),TRIM(D163)&amp;TRIM(E163)))</f>
        <v/>
      </c>
      <c r="H163" s="30">
        <f>IF(G163="","",SUMPRODUCT(--($G$4:$G$303&lt;&gt;""),--($G$4:$G$303&lt;G163))+COUNTIF($G$4:G163,G163))</f>
        <v/>
      </c>
      <c r="I163" s="30">
        <f>IFERROR(INDEX($G$4:$G$303,MATCH(ROW()-3,$H$4:$H$303,0)),"")</f>
        <v/>
      </c>
    </row>
    <row r="164">
      <c r="D164" s="29" t="n"/>
      <c r="E164" s="29" t="n"/>
      <c r="F164" s="28" t="n"/>
      <c r="G164" s="30">
        <f>IF(AND(TRIM(D164)="",TRIM(E164)=""),"",IF(OR(TRIM(D164)="",TRIM(D164)="-"),TRIM(E164),TRIM(D164)&amp;TRIM(E164)))</f>
        <v/>
      </c>
      <c r="H164" s="30">
        <f>IF(G164="","",SUMPRODUCT(--($G$4:$G$303&lt;&gt;""),--($G$4:$G$303&lt;G164))+COUNTIF($G$4:G164,G164))</f>
        <v/>
      </c>
      <c r="I164" s="30">
        <f>IFERROR(INDEX($G$4:$G$303,MATCH(ROW()-3,$H$4:$H$303,0)),"")</f>
        <v/>
      </c>
    </row>
    <row r="165">
      <c r="D165" s="29" t="n"/>
      <c r="E165" s="29" t="n"/>
      <c r="F165" s="28" t="n"/>
      <c r="G165" s="30">
        <f>IF(AND(TRIM(D165)="",TRIM(E165)=""),"",IF(OR(TRIM(D165)="",TRIM(D165)="-"),TRIM(E165),TRIM(D165)&amp;TRIM(E165)))</f>
        <v/>
      </c>
      <c r="H165" s="30">
        <f>IF(G165="","",SUMPRODUCT(--($G$4:$G$303&lt;&gt;""),--($G$4:$G$303&lt;G165))+COUNTIF($G$4:G165,G165))</f>
        <v/>
      </c>
      <c r="I165" s="30">
        <f>IFERROR(INDEX($G$4:$G$303,MATCH(ROW()-3,$H$4:$H$303,0)),"")</f>
        <v/>
      </c>
    </row>
    <row r="166">
      <c r="D166" s="29" t="n"/>
      <c r="E166" s="29" t="n"/>
      <c r="F166" s="28" t="n"/>
      <c r="G166" s="30">
        <f>IF(AND(TRIM(D166)="",TRIM(E166)=""),"",IF(OR(TRIM(D166)="",TRIM(D166)="-"),TRIM(E166),TRIM(D166)&amp;TRIM(E166)))</f>
        <v/>
      </c>
      <c r="H166" s="30">
        <f>IF(G166="","",SUMPRODUCT(--($G$4:$G$303&lt;&gt;""),--($G$4:$G$303&lt;G166))+COUNTIF($G$4:G166,G166))</f>
        <v/>
      </c>
      <c r="I166" s="30">
        <f>IFERROR(INDEX($G$4:$G$303,MATCH(ROW()-3,$H$4:$H$303,0)),"")</f>
        <v/>
      </c>
    </row>
    <row r="167">
      <c r="D167" s="29" t="n"/>
      <c r="E167" s="29" t="n"/>
      <c r="F167" s="28" t="n"/>
      <c r="G167" s="30">
        <f>IF(AND(TRIM(D167)="",TRIM(E167)=""),"",IF(OR(TRIM(D167)="",TRIM(D167)="-"),TRIM(E167),TRIM(D167)&amp;TRIM(E167)))</f>
        <v/>
      </c>
      <c r="H167" s="30">
        <f>IF(G167="","",SUMPRODUCT(--($G$4:$G$303&lt;&gt;""),--($G$4:$G$303&lt;G167))+COUNTIF($G$4:G167,G167))</f>
        <v/>
      </c>
      <c r="I167" s="30">
        <f>IFERROR(INDEX($G$4:$G$303,MATCH(ROW()-3,$H$4:$H$303,0)),"")</f>
        <v/>
      </c>
    </row>
    <row r="168">
      <c r="D168" s="29" t="n"/>
      <c r="E168" s="29" t="n"/>
      <c r="F168" s="28" t="n"/>
      <c r="G168" s="30">
        <f>IF(AND(TRIM(D168)="",TRIM(E168)=""),"",IF(OR(TRIM(D168)="",TRIM(D168)="-"),TRIM(E168),TRIM(D168)&amp;TRIM(E168)))</f>
        <v/>
      </c>
      <c r="H168" s="30">
        <f>IF(G168="","",SUMPRODUCT(--($G$4:$G$303&lt;&gt;""),--($G$4:$G$303&lt;G168))+COUNTIF($G$4:G168,G168))</f>
        <v/>
      </c>
      <c r="I168" s="30">
        <f>IFERROR(INDEX($G$4:$G$303,MATCH(ROW()-3,$H$4:$H$303,0)),"")</f>
        <v/>
      </c>
    </row>
    <row r="169">
      <c r="D169" s="29" t="n"/>
      <c r="E169" s="29" t="n"/>
      <c r="F169" s="28" t="n"/>
      <c r="G169" s="30">
        <f>IF(AND(TRIM(D169)="",TRIM(E169)=""),"",IF(OR(TRIM(D169)="",TRIM(D169)="-"),TRIM(E169),TRIM(D169)&amp;TRIM(E169)))</f>
        <v/>
      </c>
      <c r="H169" s="30">
        <f>IF(G169="","",SUMPRODUCT(--($G$4:$G$303&lt;&gt;""),--($G$4:$G$303&lt;G169))+COUNTIF($G$4:G169,G169))</f>
        <v/>
      </c>
      <c r="I169" s="30">
        <f>IFERROR(INDEX($G$4:$G$303,MATCH(ROW()-3,$H$4:$H$303,0)),"")</f>
        <v/>
      </c>
    </row>
    <row r="170">
      <c r="D170" s="29" t="n"/>
      <c r="E170" s="29" t="n"/>
      <c r="F170" s="28" t="n"/>
      <c r="G170" s="30">
        <f>IF(AND(TRIM(D170)="",TRIM(E170)=""),"",IF(OR(TRIM(D170)="",TRIM(D170)="-"),TRIM(E170),TRIM(D170)&amp;TRIM(E170)))</f>
        <v/>
      </c>
      <c r="H170" s="30">
        <f>IF(G170="","",SUMPRODUCT(--($G$4:$G$303&lt;&gt;""),--($G$4:$G$303&lt;G170))+COUNTIF($G$4:G170,G170))</f>
        <v/>
      </c>
      <c r="I170" s="30">
        <f>IFERROR(INDEX($G$4:$G$303,MATCH(ROW()-3,$H$4:$H$303,0)),"")</f>
        <v/>
      </c>
    </row>
    <row r="171">
      <c r="D171" s="29" t="n"/>
      <c r="E171" s="29" t="n"/>
      <c r="F171" s="28" t="n"/>
      <c r="G171" s="30">
        <f>IF(AND(TRIM(D171)="",TRIM(E171)=""),"",IF(OR(TRIM(D171)="",TRIM(D171)="-"),TRIM(E171),TRIM(D171)&amp;TRIM(E171)))</f>
        <v/>
      </c>
      <c r="H171" s="30">
        <f>IF(G171="","",SUMPRODUCT(--($G$4:$G$303&lt;&gt;""),--($G$4:$G$303&lt;G171))+COUNTIF($G$4:G171,G171))</f>
        <v/>
      </c>
      <c r="I171" s="30">
        <f>IFERROR(INDEX($G$4:$G$303,MATCH(ROW()-3,$H$4:$H$303,0)),"")</f>
        <v/>
      </c>
    </row>
    <row r="172">
      <c r="D172" s="29" t="n"/>
      <c r="E172" s="29" t="n"/>
      <c r="F172" s="28" t="n"/>
      <c r="G172" s="30">
        <f>IF(AND(TRIM(D172)="",TRIM(E172)=""),"",IF(OR(TRIM(D172)="",TRIM(D172)="-"),TRIM(E172),TRIM(D172)&amp;TRIM(E172)))</f>
        <v/>
      </c>
      <c r="H172" s="30">
        <f>IF(G172="","",SUMPRODUCT(--($G$4:$G$303&lt;&gt;""),--($G$4:$G$303&lt;G172))+COUNTIF($G$4:G172,G172))</f>
        <v/>
      </c>
      <c r="I172" s="30">
        <f>IFERROR(INDEX($G$4:$G$303,MATCH(ROW()-3,$H$4:$H$303,0)),"")</f>
        <v/>
      </c>
    </row>
    <row r="173">
      <c r="D173" s="29" t="n"/>
      <c r="E173" s="29" t="n"/>
      <c r="F173" s="28" t="n"/>
      <c r="G173" s="30">
        <f>IF(AND(TRIM(D173)="",TRIM(E173)=""),"",IF(OR(TRIM(D173)="",TRIM(D173)="-"),TRIM(E173),TRIM(D173)&amp;TRIM(E173)))</f>
        <v/>
      </c>
      <c r="H173" s="30">
        <f>IF(G173="","",SUMPRODUCT(--($G$4:$G$303&lt;&gt;""),--($G$4:$G$303&lt;G173))+COUNTIF($G$4:G173,G173))</f>
        <v/>
      </c>
      <c r="I173" s="30">
        <f>IFERROR(INDEX($G$4:$G$303,MATCH(ROW()-3,$H$4:$H$303,0)),"")</f>
        <v/>
      </c>
    </row>
    <row r="174">
      <c r="D174" s="29" t="n"/>
      <c r="E174" s="29" t="n"/>
      <c r="F174" s="28" t="n"/>
      <c r="G174" s="30">
        <f>IF(AND(TRIM(D174)="",TRIM(E174)=""),"",IF(OR(TRIM(D174)="",TRIM(D174)="-"),TRIM(E174),TRIM(D174)&amp;TRIM(E174)))</f>
        <v/>
      </c>
      <c r="H174" s="30">
        <f>IF(G174="","",SUMPRODUCT(--($G$4:$G$303&lt;&gt;""),--($G$4:$G$303&lt;G174))+COUNTIF($G$4:G174,G174))</f>
        <v/>
      </c>
      <c r="I174" s="30">
        <f>IFERROR(INDEX($G$4:$G$303,MATCH(ROW()-3,$H$4:$H$303,0)),"")</f>
        <v/>
      </c>
    </row>
    <row r="175">
      <c r="D175" s="29" t="n"/>
      <c r="E175" s="29" t="n"/>
      <c r="F175" s="28" t="n"/>
      <c r="G175" s="30">
        <f>IF(AND(TRIM(D175)="",TRIM(E175)=""),"",IF(OR(TRIM(D175)="",TRIM(D175)="-"),TRIM(E175),TRIM(D175)&amp;TRIM(E175)))</f>
        <v/>
      </c>
      <c r="H175" s="30">
        <f>IF(G175="","",SUMPRODUCT(--($G$4:$G$303&lt;&gt;""),--($G$4:$G$303&lt;G175))+COUNTIF($G$4:G175,G175))</f>
        <v/>
      </c>
      <c r="I175" s="30">
        <f>IFERROR(INDEX($G$4:$G$303,MATCH(ROW()-3,$H$4:$H$303,0)),"")</f>
        <v/>
      </c>
    </row>
    <row r="176">
      <c r="D176" s="29" t="n"/>
      <c r="E176" s="29" t="n"/>
      <c r="F176" s="28" t="n"/>
      <c r="G176" s="30">
        <f>IF(AND(TRIM(D176)="",TRIM(E176)=""),"",IF(OR(TRIM(D176)="",TRIM(D176)="-"),TRIM(E176),TRIM(D176)&amp;TRIM(E176)))</f>
        <v/>
      </c>
      <c r="H176" s="30">
        <f>IF(G176="","",SUMPRODUCT(--($G$4:$G$303&lt;&gt;""),--($G$4:$G$303&lt;G176))+COUNTIF($G$4:G176,G176))</f>
        <v/>
      </c>
      <c r="I176" s="30">
        <f>IFERROR(INDEX($G$4:$G$303,MATCH(ROW()-3,$H$4:$H$303,0)),"")</f>
        <v/>
      </c>
    </row>
    <row r="177">
      <c r="D177" s="29" t="n"/>
      <c r="E177" s="29" t="n"/>
      <c r="F177" s="28" t="n"/>
      <c r="G177" s="30">
        <f>IF(AND(TRIM(D177)="",TRIM(E177)=""),"",IF(OR(TRIM(D177)="",TRIM(D177)="-"),TRIM(E177),TRIM(D177)&amp;TRIM(E177)))</f>
        <v/>
      </c>
      <c r="H177" s="30">
        <f>IF(G177="","",SUMPRODUCT(--($G$4:$G$303&lt;&gt;""),--($G$4:$G$303&lt;G177))+COUNTIF($G$4:G177,G177))</f>
        <v/>
      </c>
      <c r="I177" s="30">
        <f>IFERROR(INDEX($G$4:$G$303,MATCH(ROW()-3,$H$4:$H$303,0)),"")</f>
        <v/>
      </c>
    </row>
    <row r="178">
      <c r="D178" s="29" t="n"/>
      <c r="E178" s="29" t="n"/>
      <c r="F178" s="28" t="n"/>
      <c r="G178" s="30">
        <f>IF(AND(TRIM(D178)="",TRIM(E178)=""),"",IF(OR(TRIM(D178)="",TRIM(D178)="-"),TRIM(E178),TRIM(D178)&amp;TRIM(E178)))</f>
        <v/>
      </c>
      <c r="H178" s="30">
        <f>IF(G178="","",SUMPRODUCT(--($G$4:$G$303&lt;&gt;""),--($G$4:$G$303&lt;G178))+COUNTIF($G$4:G178,G178))</f>
        <v/>
      </c>
      <c r="I178" s="30">
        <f>IFERROR(INDEX($G$4:$G$303,MATCH(ROW()-3,$H$4:$H$303,0)),"")</f>
        <v/>
      </c>
    </row>
    <row r="179">
      <c r="D179" s="29" t="n"/>
      <c r="E179" s="29" t="n"/>
      <c r="F179" s="28" t="n"/>
      <c r="G179" s="30">
        <f>IF(AND(TRIM(D179)="",TRIM(E179)=""),"",IF(OR(TRIM(D179)="",TRIM(D179)="-"),TRIM(E179),TRIM(D179)&amp;TRIM(E179)))</f>
        <v/>
      </c>
      <c r="H179" s="30">
        <f>IF(G179="","",SUMPRODUCT(--($G$4:$G$303&lt;&gt;""),--($G$4:$G$303&lt;G179))+COUNTIF($G$4:G179,G179))</f>
        <v/>
      </c>
      <c r="I179" s="30">
        <f>IFERROR(INDEX($G$4:$G$303,MATCH(ROW()-3,$H$4:$H$303,0)),"")</f>
        <v/>
      </c>
    </row>
    <row r="180">
      <c r="D180" s="29" t="n"/>
      <c r="E180" s="29" t="n"/>
      <c r="F180" s="28" t="n"/>
      <c r="G180" s="30">
        <f>IF(AND(TRIM(D180)="",TRIM(E180)=""),"",IF(OR(TRIM(D180)="",TRIM(D180)="-"),TRIM(E180),TRIM(D180)&amp;TRIM(E180)))</f>
        <v/>
      </c>
      <c r="H180" s="30">
        <f>IF(G180="","",SUMPRODUCT(--($G$4:$G$303&lt;&gt;""),--($G$4:$G$303&lt;G180))+COUNTIF($G$4:G180,G180))</f>
        <v/>
      </c>
      <c r="I180" s="30">
        <f>IFERROR(INDEX($G$4:$G$303,MATCH(ROW()-3,$H$4:$H$303,0)),"")</f>
        <v/>
      </c>
    </row>
    <row r="181">
      <c r="D181" s="29" t="n"/>
      <c r="E181" s="29" t="n"/>
      <c r="F181" s="28" t="n"/>
      <c r="G181" s="30">
        <f>IF(AND(TRIM(D181)="",TRIM(E181)=""),"",IF(OR(TRIM(D181)="",TRIM(D181)="-"),TRIM(E181),TRIM(D181)&amp;TRIM(E181)))</f>
        <v/>
      </c>
      <c r="H181" s="30">
        <f>IF(G181="","",SUMPRODUCT(--($G$4:$G$303&lt;&gt;""),--($G$4:$G$303&lt;G181))+COUNTIF($G$4:G181,G181))</f>
        <v/>
      </c>
      <c r="I181" s="30">
        <f>IFERROR(INDEX($G$4:$G$303,MATCH(ROW()-3,$H$4:$H$303,0)),"")</f>
        <v/>
      </c>
    </row>
    <row r="182">
      <c r="D182" s="29" t="n"/>
      <c r="E182" s="29" t="n"/>
      <c r="F182" s="28" t="n"/>
      <c r="G182" s="30">
        <f>IF(AND(TRIM(D182)="",TRIM(E182)=""),"",IF(OR(TRIM(D182)="",TRIM(D182)="-"),TRIM(E182),TRIM(D182)&amp;TRIM(E182)))</f>
        <v/>
      </c>
      <c r="H182" s="30">
        <f>IF(G182="","",SUMPRODUCT(--($G$4:$G$303&lt;&gt;""),--($G$4:$G$303&lt;G182))+COUNTIF($G$4:G182,G182))</f>
        <v/>
      </c>
      <c r="I182" s="30">
        <f>IFERROR(INDEX($G$4:$G$303,MATCH(ROW()-3,$H$4:$H$303,0)),"")</f>
        <v/>
      </c>
    </row>
    <row r="183">
      <c r="D183" s="29" t="n"/>
      <c r="E183" s="29" t="n"/>
      <c r="F183" s="28" t="n"/>
      <c r="G183" s="30">
        <f>IF(AND(TRIM(D183)="",TRIM(E183)=""),"",IF(OR(TRIM(D183)="",TRIM(D183)="-"),TRIM(E183),TRIM(D183)&amp;TRIM(E183)))</f>
        <v/>
      </c>
      <c r="H183" s="30">
        <f>IF(G183="","",SUMPRODUCT(--($G$4:$G$303&lt;&gt;""),--($G$4:$G$303&lt;G183))+COUNTIF($G$4:G183,G183))</f>
        <v/>
      </c>
      <c r="I183" s="30">
        <f>IFERROR(INDEX($G$4:$G$303,MATCH(ROW()-3,$H$4:$H$303,0)),"")</f>
        <v/>
      </c>
    </row>
    <row r="184">
      <c r="D184" s="29" t="n"/>
      <c r="E184" s="29" t="n"/>
      <c r="F184" s="28" t="n"/>
      <c r="G184" s="30">
        <f>IF(AND(TRIM(D184)="",TRIM(E184)=""),"",IF(OR(TRIM(D184)="",TRIM(D184)="-"),TRIM(E184),TRIM(D184)&amp;TRIM(E184)))</f>
        <v/>
      </c>
      <c r="H184" s="30">
        <f>IF(G184="","",SUMPRODUCT(--($G$4:$G$303&lt;&gt;""),--($G$4:$G$303&lt;G184))+COUNTIF($G$4:G184,G184))</f>
        <v/>
      </c>
      <c r="I184" s="30">
        <f>IFERROR(INDEX($G$4:$G$303,MATCH(ROW()-3,$H$4:$H$303,0)),"")</f>
        <v/>
      </c>
    </row>
    <row r="185">
      <c r="D185" s="29" t="n"/>
      <c r="E185" s="29" t="n"/>
      <c r="F185" s="28" t="n"/>
      <c r="G185" s="30">
        <f>IF(AND(TRIM(D185)="",TRIM(E185)=""),"",IF(OR(TRIM(D185)="",TRIM(D185)="-"),TRIM(E185),TRIM(D185)&amp;TRIM(E185)))</f>
        <v/>
      </c>
      <c r="H185" s="30">
        <f>IF(G185="","",SUMPRODUCT(--($G$4:$G$303&lt;&gt;""),--($G$4:$G$303&lt;G185))+COUNTIF($G$4:G185,G185))</f>
        <v/>
      </c>
      <c r="I185" s="30">
        <f>IFERROR(INDEX($G$4:$G$303,MATCH(ROW()-3,$H$4:$H$303,0)),"")</f>
        <v/>
      </c>
    </row>
    <row r="186">
      <c r="D186" s="29" t="n"/>
      <c r="E186" s="29" t="n"/>
      <c r="F186" s="28" t="n"/>
      <c r="G186" s="30">
        <f>IF(AND(TRIM(D186)="",TRIM(E186)=""),"",IF(OR(TRIM(D186)="",TRIM(D186)="-"),TRIM(E186),TRIM(D186)&amp;TRIM(E186)))</f>
        <v/>
      </c>
      <c r="H186" s="30">
        <f>IF(G186="","",SUMPRODUCT(--($G$4:$G$303&lt;&gt;""),--($G$4:$G$303&lt;G186))+COUNTIF($G$4:G186,G186))</f>
        <v/>
      </c>
      <c r="I186" s="30">
        <f>IFERROR(INDEX($G$4:$G$303,MATCH(ROW()-3,$H$4:$H$303,0)),"")</f>
        <v/>
      </c>
    </row>
    <row r="187">
      <c r="D187" s="29" t="n"/>
      <c r="E187" s="29" t="n"/>
      <c r="F187" s="28" t="n"/>
      <c r="G187" s="30">
        <f>IF(AND(TRIM(D187)="",TRIM(E187)=""),"",IF(OR(TRIM(D187)="",TRIM(D187)="-"),TRIM(E187),TRIM(D187)&amp;TRIM(E187)))</f>
        <v/>
      </c>
      <c r="H187" s="30">
        <f>IF(G187="","",SUMPRODUCT(--($G$4:$G$303&lt;&gt;""),--($G$4:$G$303&lt;G187))+COUNTIF($G$4:G187,G187))</f>
        <v/>
      </c>
      <c r="I187" s="30">
        <f>IFERROR(INDEX($G$4:$G$303,MATCH(ROW()-3,$H$4:$H$303,0)),"")</f>
        <v/>
      </c>
    </row>
    <row r="188">
      <c r="D188" s="29" t="n"/>
      <c r="E188" s="29" t="n"/>
      <c r="F188" s="28" t="n"/>
      <c r="G188" s="30">
        <f>IF(AND(TRIM(D188)="",TRIM(E188)=""),"",IF(OR(TRIM(D188)="",TRIM(D188)="-"),TRIM(E188),TRIM(D188)&amp;TRIM(E188)))</f>
        <v/>
      </c>
      <c r="H188" s="30">
        <f>IF(G188="","",SUMPRODUCT(--($G$4:$G$303&lt;&gt;""),--($G$4:$G$303&lt;G188))+COUNTIF($G$4:G188,G188))</f>
        <v/>
      </c>
      <c r="I188" s="30">
        <f>IFERROR(INDEX($G$4:$G$303,MATCH(ROW()-3,$H$4:$H$303,0)),"")</f>
        <v/>
      </c>
    </row>
    <row r="189">
      <c r="D189" s="29" t="n"/>
      <c r="E189" s="29" t="n"/>
      <c r="F189" s="28" t="n"/>
      <c r="G189" s="30">
        <f>IF(AND(TRIM(D189)="",TRIM(E189)=""),"",IF(OR(TRIM(D189)="",TRIM(D189)="-"),TRIM(E189),TRIM(D189)&amp;TRIM(E189)))</f>
        <v/>
      </c>
      <c r="H189" s="30">
        <f>IF(G189="","",SUMPRODUCT(--($G$4:$G$303&lt;&gt;""),--($G$4:$G$303&lt;G189))+COUNTIF($G$4:G189,G189))</f>
        <v/>
      </c>
      <c r="I189" s="30">
        <f>IFERROR(INDEX($G$4:$G$303,MATCH(ROW()-3,$H$4:$H$303,0)),"")</f>
        <v/>
      </c>
    </row>
    <row r="190">
      <c r="D190" s="29" t="n"/>
      <c r="E190" s="29" t="n"/>
      <c r="F190" s="28" t="n"/>
      <c r="G190" s="30">
        <f>IF(AND(TRIM(D190)="",TRIM(E190)=""),"",IF(OR(TRIM(D190)="",TRIM(D190)="-"),TRIM(E190),TRIM(D190)&amp;TRIM(E190)))</f>
        <v/>
      </c>
      <c r="H190" s="30">
        <f>IF(G190="","",SUMPRODUCT(--($G$4:$G$303&lt;&gt;""),--($G$4:$G$303&lt;G190))+COUNTIF($G$4:G190,G190))</f>
        <v/>
      </c>
      <c r="I190" s="30">
        <f>IFERROR(INDEX($G$4:$G$303,MATCH(ROW()-3,$H$4:$H$303,0)),"")</f>
        <v/>
      </c>
    </row>
    <row r="191">
      <c r="D191" s="29" t="n"/>
      <c r="E191" s="29" t="n"/>
      <c r="F191" s="28" t="n"/>
      <c r="G191" s="30">
        <f>IF(AND(TRIM(D191)="",TRIM(E191)=""),"",IF(OR(TRIM(D191)="",TRIM(D191)="-"),TRIM(E191),TRIM(D191)&amp;TRIM(E191)))</f>
        <v/>
      </c>
      <c r="H191" s="30">
        <f>IF(G191="","",SUMPRODUCT(--($G$4:$G$303&lt;&gt;""),--($G$4:$G$303&lt;G191))+COUNTIF($G$4:G191,G191))</f>
        <v/>
      </c>
      <c r="I191" s="30">
        <f>IFERROR(INDEX($G$4:$G$303,MATCH(ROW()-3,$H$4:$H$303,0)),"")</f>
        <v/>
      </c>
    </row>
    <row r="192">
      <c r="D192" s="29" t="n"/>
      <c r="E192" s="29" t="n"/>
      <c r="F192" s="28" t="n"/>
      <c r="G192" s="30">
        <f>IF(AND(TRIM(D192)="",TRIM(E192)=""),"",IF(OR(TRIM(D192)="",TRIM(D192)="-"),TRIM(E192),TRIM(D192)&amp;TRIM(E192)))</f>
        <v/>
      </c>
      <c r="H192" s="30">
        <f>IF(G192="","",SUMPRODUCT(--($G$4:$G$303&lt;&gt;""),--($G$4:$G$303&lt;G192))+COUNTIF($G$4:G192,G192))</f>
        <v/>
      </c>
      <c r="I192" s="30">
        <f>IFERROR(INDEX($G$4:$G$303,MATCH(ROW()-3,$H$4:$H$303,0)),"")</f>
        <v/>
      </c>
    </row>
    <row r="193">
      <c r="D193" s="29" t="n"/>
      <c r="E193" s="29" t="n"/>
      <c r="F193" s="28" t="n"/>
      <c r="G193" s="30">
        <f>IF(AND(TRIM(D193)="",TRIM(E193)=""),"",IF(OR(TRIM(D193)="",TRIM(D193)="-"),TRIM(E193),TRIM(D193)&amp;TRIM(E193)))</f>
        <v/>
      </c>
      <c r="H193" s="30">
        <f>IF(G193="","",SUMPRODUCT(--($G$4:$G$303&lt;&gt;""),--($G$4:$G$303&lt;G193))+COUNTIF($G$4:G193,G193))</f>
        <v/>
      </c>
      <c r="I193" s="30">
        <f>IFERROR(INDEX($G$4:$G$303,MATCH(ROW()-3,$H$4:$H$303,0)),"")</f>
        <v/>
      </c>
    </row>
    <row r="194">
      <c r="D194" s="29" t="n"/>
      <c r="E194" s="29" t="n"/>
      <c r="F194" s="28" t="n"/>
      <c r="G194" s="30">
        <f>IF(AND(TRIM(D194)="",TRIM(E194)=""),"",IF(OR(TRIM(D194)="",TRIM(D194)="-"),TRIM(E194),TRIM(D194)&amp;TRIM(E194)))</f>
        <v/>
      </c>
      <c r="H194" s="30">
        <f>IF(G194="","",SUMPRODUCT(--($G$4:$G$303&lt;&gt;""),--($G$4:$G$303&lt;G194))+COUNTIF($G$4:G194,G194))</f>
        <v/>
      </c>
      <c r="I194" s="30">
        <f>IFERROR(INDEX($G$4:$G$303,MATCH(ROW()-3,$H$4:$H$303,0)),"")</f>
        <v/>
      </c>
    </row>
    <row r="195">
      <c r="D195" s="29" t="n"/>
      <c r="E195" s="29" t="n"/>
      <c r="F195" s="28" t="n"/>
      <c r="G195" s="30">
        <f>IF(AND(TRIM(D195)="",TRIM(E195)=""),"",IF(OR(TRIM(D195)="",TRIM(D195)="-"),TRIM(E195),TRIM(D195)&amp;TRIM(E195)))</f>
        <v/>
      </c>
      <c r="H195" s="30">
        <f>IF(G195="","",SUMPRODUCT(--($G$4:$G$303&lt;&gt;""),--($G$4:$G$303&lt;G195))+COUNTIF($G$4:G195,G195))</f>
        <v/>
      </c>
      <c r="I195" s="30">
        <f>IFERROR(INDEX($G$4:$G$303,MATCH(ROW()-3,$H$4:$H$303,0)),"")</f>
        <v/>
      </c>
    </row>
    <row r="196">
      <c r="D196" s="29" t="n"/>
      <c r="E196" s="29" t="n"/>
      <c r="F196" s="28" t="n"/>
      <c r="G196" s="30">
        <f>IF(AND(TRIM(D196)="",TRIM(E196)=""),"",IF(OR(TRIM(D196)="",TRIM(D196)="-"),TRIM(E196),TRIM(D196)&amp;TRIM(E196)))</f>
        <v/>
      </c>
      <c r="H196" s="30">
        <f>IF(G196="","",SUMPRODUCT(--($G$4:$G$303&lt;&gt;""),--($G$4:$G$303&lt;G196))+COUNTIF($G$4:G196,G196))</f>
        <v/>
      </c>
      <c r="I196" s="30">
        <f>IFERROR(INDEX($G$4:$G$303,MATCH(ROW()-3,$H$4:$H$303,0)),"")</f>
        <v/>
      </c>
    </row>
    <row r="197">
      <c r="D197" s="29" t="n"/>
      <c r="E197" s="29" t="n"/>
      <c r="F197" s="28" t="n"/>
      <c r="G197" s="30">
        <f>IF(AND(TRIM(D197)="",TRIM(E197)=""),"",IF(OR(TRIM(D197)="",TRIM(D197)="-"),TRIM(E197),TRIM(D197)&amp;TRIM(E197)))</f>
        <v/>
      </c>
      <c r="H197" s="30">
        <f>IF(G197="","",SUMPRODUCT(--($G$4:$G$303&lt;&gt;""),--($G$4:$G$303&lt;G197))+COUNTIF($G$4:G197,G197))</f>
        <v/>
      </c>
      <c r="I197" s="30">
        <f>IFERROR(INDEX($G$4:$G$303,MATCH(ROW()-3,$H$4:$H$303,0)),"")</f>
        <v/>
      </c>
    </row>
    <row r="198">
      <c r="D198" s="29" t="n"/>
      <c r="E198" s="29" t="n"/>
      <c r="F198" s="28" t="n"/>
      <c r="G198" s="30">
        <f>IF(AND(TRIM(D198)="",TRIM(E198)=""),"",IF(OR(TRIM(D198)="",TRIM(D198)="-"),TRIM(E198),TRIM(D198)&amp;TRIM(E198)))</f>
        <v/>
      </c>
      <c r="H198" s="30">
        <f>IF(G198="","",SUMPRODUCT(--($G$4:$G$303&lt;&gt;""),--($G$4:$G$303&lt;G198))+COUNTIF($G$4:G198,G198))</f>
        <v/>
      </c>
      <c r="I198" s="30">
        <f>IFERROR(INDEX($G$4:$G$303,MATCH(ROW()-3,$H$4:$H$303,0)),"")</f>
        <v/>
      </c>
    </row>
    <row r="199">
      <c r="D199" s="29" t="n"/>
      <c r="E199" s="29" t="n"/>
      <c r="F199" s="28" t="n"/>
      <c r="G199" s="30">
        <f>IF(AND(TRIM(D199)="",TRIM(E199)=""),"",IF(OR(TRIM(D199)="",TRIM(D199)="-"),TRIM(E199),TRIM(D199)&amp;TRIM(E199)))</f>
        <v/>
      </c>
      <c r="H199" s="30">
        <f>IF(G199="","",SUMPRODUCT(--($G$4:$G$303&lt;&gt;""),--($G$4:$G$303&lt;G199))+COUNTIF($G$4:G199,G199))</f>
        <v/>
      </c>
      <c r="I199" s="30">
        <f>IFERROR(INDEX($G$4:$G$303,MATCH(ROW()-3,$H$4:$H$303,0)),"")</f>
        <v/>
      </c>
    </row>
    <row r="200">
      <c r="D200" s="29" t="n"/>
      <c r="E200" s="29" t="n"/>
      <c r="F200" s="28" t="n"/>
      <c r="G200" s="30">
        <f>IF(AND(TRIM(D200)="",TRIM(E200)=""),"",IF(OR(TRIM(D200)="",TRIM(D200)="-"),TRIM(E200),TRIM(D200)&amp;TRIM(E200)))</f>
        <v/>
      </c>
      <c r="H200" s="30">
        <f>IF(G200="","",SUMPRODUCT(--($G$4:$G$303&lt;&gt;""),--($G$4:$G$303&lt;G200))+COUNTIF($G$4:G200,G200))</f>
        <v/>
      </c>
      <c r="I200" s="30">
        <f>IFERROR(INDEX($G$4:$G$303,MATCH(ROW()-3,$H$4:$H$303,0)),"")</f>
        <v/>
      </c>
    </row>
    <row r="201">
      <c r="D201" s="29" t="n"/>
      <c r="E201" s="29" t="n"/>
      <c r="F201" s="28" t="n"/>
      <c r="G201" s="30">
        <f>IF(AND(TRIM(D201)="",TRIM(E201)=""),"",IF(OR(TRIM(D201)="",TRIM(D201)="-"),TRIM(E201),TRIM(D201)&amp;TRIM(E201)))</f>
        <v/>
      </c>
      <c r="H201" s="30">
        <f>IF(G201="","",SUMPRODUCT(--($G$4:$G$303&lt;&gt;""),--($G$4:$G$303&lt;G201))+COUNTIF($G$4:G201,G201))</f>
        <v/>
      </c>
      <c r="I201" s="30">
        <f>IFERROR(INDEX($G$4:$G$303,MATCH(ROW()-3,$H$4:$H$303,0)),"")</f>
        <v/>
      </c>
    </row>
    <row r="202">
      <c r="D202" s="29" t="n"/>
      <c r="E202" s="29" t="n"/>
      <c r="F202" s="28" t="n"/>
      <c r="G202" s="30">
        <f>IF(AND(TRIM(D202)="",TRIM(E202)=""),"",IF(OR(TRIM(D202)="",TRIM(D202)="-"),TRIM(E202),TRIM(D202)&amp;TRIM(E202)))</f>
        <v/>
      </c>
      <c r="H202" s="30">
        <f>IF(G202="","",SUMPRODUCT(--($G$4:$G$303&lt;&gt;""),--($G$4:$G$303&lt;G202))+COUNTIF($G$4:G202,G202))</f>
        <v/>
      </c>
      <c r="I202" s="30">
        <f>IFERROR(INDEX($G$4:$G$303,MATCH(ROW()-3,$H$4:$H$303,0)),"")</f>
        <v/>
      </c>
    </row>
    <row r="203">
      <c r="D203" s="29" t="n"/>
      <c r="E203" s="29" t="n"/>
      <c r="F203" s="28" t="n"/>
      <c r="G203" s="30">
        <f>IF(AND(TRIM(D203)="",TRIM(E203)=""),"",IF(OR(TRIM(D203)="",TRIM(D203)="-"),TRIM(E203),TRIM(D203)&amp;TRIM(E203)))</f>
        <v/>
      </c>
      <c r="H203" s="30">
        <f>IF(G203="","",SUMPRODUCT(--($G$4:$G$303&lt;&gt;""),--($G$4:$G$303&lt;G203))+COUNTIF($G$4:G203,G203))</f>
        <v/>
      </c>
      <c r="I203" s="30">
        <f>IFERROR(INDEX($G$4:$G$303,MATCH(ROW()-3,$H$4:$H$303,0)),"")</f>
        <v/>
      </c>
    </row>
    <row r="204">
      <c r="D204" s="29" t="n"/>
      <c r="E204" s="29" t="n"/>
      <c r="F204" s="28" t="n"/>
      <c r="G204" s="30">
        <f>IF(AND(TRIM(D204)="",TRIM(E204)=""),"",IF(OR(TRIM(D204)="",TRIM(D204)="-"),TRIM(E204),TRIM(D204)&amp;TRIM(E204)))</f>
        <v/>
      </c>
      <c r="H204" s="30">
        <f>IF(G204="","",SUMPRODUCT(--($G$4:$G$303&lt;&gt;""),--($G$4:$G$303&lt;G204))+COUNTIF($G$4:G204,G204))</f>
        <v/>
      </c>
      <c r="I204" s="30">
        <f>IFERROR(INDEX($G$4:$G$303,MATCH(ROW()-3,$H$4:$H$303,0)),"")</f>
        <v/>
      </c>
    </row>
    <row r="205">
      <c r="D205" s="29" t="n"/>
      <c r="E205" s="29" t="n"/>
      <c r="F205" s="28" t="n"/>
      <c r="G205" s="30">
        <f>IF(AND(TRIM(D205)="",TRIM(E205)=""),"",IF(OR(TRIM(D205)="",TRIM(D205)="-"),TRIM(E205),TRIM(D205)&amp;TRIM(E205)))</f>
        <v/>
      </c>
      <c r="H205" s="30">
        <f>IF(G205="","",SUMPRODUCT(--($G$4:$G$303&lt;&gt;""),--($G$4:$G$303&lt;G205))+COUNTIF($G$4:G205,G205))</f>
        <v/>
      </c>
      <c r="I205" s="30">
        <f>IFERROR(INDEX($G$4:$G$303,MATCH(ROW()-3,$H$4:$H$303,0)),"")</f>
        <v/>
      </c>
    </row>
    <row r="206">
      <c r="D206" s="29" t="n"/>
      <c r="E206" s="29" t="n"/>
      <c r="F206" s="28" t="n"/>
      <c r="G206" s="30">
        <f>IF(AND(TRIM(D206)="",TRIM(E206)=""),"",IF(OR(TRIM(D206)="",TRIM(D206)="-"),TRIM(E206),TRIM(D206)&amp;TRIM(E206)))</f>
        <v/>
      </c>
      <c r="H206" s="30">
        <f>IF(G206="","",SUMPRODUCT(--($G$4:$G$303&lt;&gt;""),--($G$4:$G$303&lt;G206))+COUNTIF($G$4:G206,G206))</f>
        <v/>
      </c>
      <c r="I206" s="30">
        <f>IFERROR(INDEX($G$4:$G$303,MATCH(ROW()-3,$H$4:$H$303,0)),"")</f>
        <v/>
      </c>
    </row>
    <row r="207">
      <c r="D207" s="29" t="n"/>
      <c r="E207" s="29" t="n"/>
      <c r="F207" s="28" t="n"/>
      <c r="G207" s="30">
        <f>IF(AND(TRIM(D207)="",TRIM(E207)=""),"",IF(OR(TRIM(D207)="",TRIM(D207)="-"),TRIM(E207),TRIM(D207)&amp;TRIM(E207)))</f>
        <v/>
      </c>
      <c r="H207" s="30">
        <f>IF(G207="","",SUMPRODUCT(--($G$4:$G$303&lt;&gt;""),--($G$4:$G$303&lt;G207))+COUNTIF($G$4:G207,G207))</f>
        <v/>
      </c>
      <c r="I207" s="30">
        <f>IFERROR(INDEX($G$4:$G$303,MATCH(ROW()-3,$H$4:$H$303,0)),"")</f>
        <v/>
      </c>
    </row>
    <row r="208">
      <c r="D208" s="29" t="n"/>
      <c r="E208" s="29" t="n"/>
      <c r="F208" s="28" t="n"/>
      <c r="G208" s="30">
        <f>IF(AND(TRIM(D208)="",TRIM(E208)=""),"",IF(OR(TRIM(D208)="",TRIM(D208)="-"),TRIM(E208),TRIM(D208)&amp;TRIM(E208)))</f>
        <v/>
      </c>
      <c r="H208" s="30">
        <f>IF(G208="","",SUMPRODUCT(--($G$4:$G$303&lt;&gt;""),--($G$4:$G$303&lt;G208))+COUNTIF($G$4:G208,G208))</f>
        <v/>
      </c>
      <c r="I208" s="30">
        <f>IFERROR(INDEX($G$4:$G$303,MATCH(ROW()-3,$H$4:$H$303,0)),"")</f>
        <v/>
      </c>
    </row>
    <row r="209">
      <c r="D209" s="29" t="n"/>
      <c r="E209" s="29" t="n"/>
      <c r="F209" s="28" t="n"/>
      <c r="G209" s="30">
        <f>IF(AND(TRIM(D209)="",TRIM(E209)=""),"",IF(OR(TRIM(D209)="",TRIM(D209)="-"),TRIM(E209),TRIM(D209)&amp;TRIM(E209)))</f>
        <v/>
      </c>
      <c r="H209" s="30">
        <f>IF(G209="","",SUMPRODUCT(--($G$4:$G$303&lt;&gt;""),--($G$4:$G$303&lt;G209))+COUNTIF($G$4:G209,G209))</f>
        <v/>
      </c>
      <c r="I209" s="30">
        <f>IFERROR(INDEX($G$4:$G$303,MATCH(ROW()-3,$H$4:$H$303,0)),"")</f>
        <v/>
      </c>
    </row>
    <row r="210">
      <c r="D210" s="29" t="n"/>
      <c r="E210" s="29" t="n"/>
      <c r="F210" s="28" t="n"/>
      <c r="G210" s="30">
        <f>IF(AND(TRIM(D210)="",TRIM(E210)=""),"",IF(OR(TRIM(D210)="",TRIM(D210)="-"),TRIM(E210),TRIM(D210)&amp;TRIM(E210)))</f>
        <v/>
      </c>
      <c r="H210" s="30">
        <f>IF(G210="","",SUMPRODUCT(--($G$4:$G$303&lt;&gt;""),--($G$4:$G$303&lt;G210))+COUNTIF($G$4:G210,G210))</f>
        <v/>
      </c>
      <c r="I210" s="30">
        <f>IFERROR(INDEX($G$4:$G$303,MATCH(ROW()-3,$H$4:$H$303,0)),"")</f>
        <v/>
      </c>
    </row>
    <row r="211">
      <c r="D211" s="29" t="n"/>
      <c r="E211" s="29" t="n"/>
      <c r="F211" s="28" t="n"/>
      <c r="G211" s="30">
        <f>IF(AND(TRIM(D211)="",TRIM(E211)=""),"",IF(OR(TRIM(D211)="",TRIM(D211)="-"),TRIM(E211),TRIM(D211)&amp;TRIM(E211)))</f>
        <v/>
      </c>
      <c r="H211" s="30">
        <f>IF(G211="","",SUMPRODUCT(--($G$4:$G$303&lt;&gt;""),--($G$4:$G$303&lt;G211))+COUNTIF($G$4:G211,G211))</f>
        <v/>
      </c>
      <c r="I211" s="30">
        <f>IFERROR(INDEX($G$4:$G$303,MATCH(ROW()-3,$H$4:$H$303,0)),"")</f>
        <v/>
      </c>
    </row>
    <row r="212">
      <c r="D212" s="29" t="n"/>
      <c r="E212" s="29" t="n"/>
      <c r="F212" s="28" t="n"/>
      <c r="G212" s="30">
        <f>IF(AND(TRIM(D212)="",TRIM(E212)=""),"",IF(OR(TRIM(D212)="",TRIM(D212)="-"),TRIM(E212),TRIM(D212)&amp;TRIM(E212)))</f>
        <v/>
      </c>
      <c r="H212" s="30">
        <f>IF(G212="","",SUMPRODUCT(--($G$4:$G$303&lt;&gt;""),--($G$4:$G$303&lt;G212))+COUNTIF($G$4:G212,G212))</f>
        <v/>
      </c>
      <c r="I212" s="30">
        <f>IFERROR(INDEX($G$4:$G$303,MATCH(ROW()-3,$H$4:$H$303,0)),"")</f>
        <v/>
      </c>
    </row>
    <row r="213">
      <c r="D213" s="29" t="n"/>
      <c r="E213" s="29" t="n"/>
      <c r="F213" s="28" t="n"/>
      <c r="G213" s="30">
        <f>IF(AND(TRIM(D213)="",TRIM(E213)=""),"",IF(OR(TRIM(D213)="",TRIM(D213)="-"),TRIM(E213),TRIM(D213)&amp;TRIM(E213)))</f>
        <v/>
      </c>
      <c r="H213" s="30">
        <f>IF(G213="","",SUMPRODUCT(--($G$4:$G$303&lt;&gt;""),--($G$4:$G$303&lt;G213))+COUNTIF($G$4:G213,G213))</f>
        <v/>
      </c>
      <c r="I213" s="30">
        <f>IFERROR(INDEX($G$4:$G$303,MATCH(ROW()-3,$H$4:$H$303,0)),"")</f>
        <v/>
      </c>
    </row>
    <row r="214">
      <c r="D214" s="29" t="n"/>
      <c r="E214" s="29" t="n"/>
      <c r="F214" s="28" t="n"/>
      <c r="G214" s="30">
        <f>IF(AND(TRIM(D214)="",TRIM(E214)=""),"",IF(OR(TRIM(D214)="",TRIM(D214)="-"),TRIM(E214),TRIM(D214)&amp;TRIM(E214)))</f>
        <v/>
      </c>
      <c r="H214" s="30">
        <f>IF(G214="","",SUMPRODUCT(--($G$4:$G$303&lt;&gt;""),--($G$4:$G$303&lt;G214))+COUNTIF($G$4:G214,G214))</f>
        <v/>
      </c>
      <c r="I214" s="30">
        <f>IFERROR(INDEX($G$4:$G$303,MATCH(ROW()-3,$H$4:$H$303,0)),"")</f>
        <v/>
      </c>
    </row>
    <row r="215">
      <c r="D215" s="29" t="n"/>
      <c r="E215" s="29" t="n"/>
      <c r="F215" s="28" t="n"/>
      <c r="G215" s="30">
        <f>IF(AND(TRIM(D215)="",TRIM(E215)=""),"",IF(OR(TRIM(D215)="",TRIM(D215)="-"),TRIM(E215),TRIM(D215)&amp;TRIM(E215)))</f>
        <v/>
      </c>
      <c r="H215" s="30">
        <f>IF(G215="","",SUMPRODUCT(--($G$4:$G$303&lt;&gt;""),--($G$4:$G$303&lt;G215))+COUNTIF($G$4:G215,G215))</f>
        <v/>
      </c>
      <c r="I215" s="30">
        <f>IFERROR(INDEX($G$4:$G$303,MATCH(ROW()-3,$H$4:$H$303,0)),"")</f>
        <v/>
      </c>
    </row>
    <row r="216">
      <c r="D216" s="29" t="n"/>
      <c r="E216" s="29" t="n"/>
      <c r="F216" s="28" t="n"/>
      <c r="G216" s="30">
        <f>IF(AND(TRIM(D216)="",TRIM(E216)=""),"",IF(OR(TRIM(D216)="",TRIM(D216)="-"),TRIM(E216),TRIM(D216)&amp;TRIM(E216)))</f>
        <v/>
      </c>
      <c r="H216" s="30">
        <f>IF(G216="","",SUMPRODUCT(--($G$4:$G$303&lt;&gt;""),--($G$4:$G$303&lt;G216))+COUNTIF($G$4:G216,G216))</f>
        <v/>
      </c>
      <c r="I216" s="30">
        <f>IFERROR(INDEX($G$4:$G$303,MATCH(ROW()-3,$H$4:$H$303,0)),"")</f>
        <v/>
      </c>
    </row>
    <row r="217">
      <c r="D217" s="29" t="n"/>
      <c r="E217" s="29" t="n"/>
      <c r="F217" s="28" t="n"/>
      <c r="G217" s="30">
        <f>IF(AND(TRIM(D217)="",TRIM(E217)=""),"",IF(OR(TRIM(D217)="",TRIM(D217)="-"),TRIM(E217),TRIM(D217)&amp;TRIM(E217)))</f>
        <v/>
      </c>
      <c r="H217" s="30">
        <f>IF(G217="","",SUMPRODUCT(--($G$4:$G$303&lt;&gt;""),--($G$4:$G$303&lt;G217))+COUNTIF($G$4:G217,G217))</f>
        <v/>
      </c>
      <c r="I217" s="30">
        <f>IFERROR(INDEX($G$4:$G$303,MATCH(ROW()-3,$H$4:$H$303,0)),"")</f>
        <v/>
      </c>
    </row>
    <row r="218">
      <c r="D218" s="29" t="n"/>
      <c r="E218" s="29" t="n"/>
      <c r="F218" s="28" t="n"/>
      <c r="G218" s="30">
        <f>IF(AND(TRIM(D218)="",TRIM(E218)=""),"",IF(OR(TRIM(D218)="",TRIM(D218)="-"),TRIM(E218),TRIM(D218)&amp;TRIM(E218)))</f>
        <v/>
      </c>
      <c r="H218" s="30">
        <f>IF(G218="","",SUMPRODUCT(--($G$4:$G$303&lt;&gt;""),--($G$4:$G$303&lt;G218))+COUNTIF($G$4:G218,G218))</f>
        <v/>
      </c>
      <c r="I218" s="30">
        <f>IFERROR(INDEX($G$4:$G$303,MATCH(ROW()-3,$H$4:$H$303,0)),"")</f>
        <v/>
      </c>
    </row>
    <row r="219">
      <c r="D219" s="29" t="n"/>
      <c r="E219" s="29" t="n"/>
      <c r="F219" s="28" t="n"/>
      <c r="G219" s="30">
        <f>IF(AND(TRIM(D219)="",TRIM(E219)=""),"",IF(OR(TRIM(D219)="",TRIM(D219)="-"),TRIM(E219),TRIM(D219)&amp;TRIM(E219)))</f>
        <v/>
      </c>
      <c r="H219" s="30">
        <f>IF(G219="","",SUMPRODUCT(--($G$4:$G$303&lt;&gt;""),--($G$4:$G$303&lt;G219))+COUNTIF($G$4:G219,G219))</f>
        <v/>
      </c>
      <c r="I219" s="30">
        <f>IFERROR(INDEX($G$4:$G$303,MATCH(ROW()-3,$H$4:$H$303,0)),"")</f>
        <v/>
      </c>
    </row>
    <row r="220">
      <c r="D220" s="29" t="n"/>
      <c r="E220" s="29" t="n"/>
      <c r="F220" s="28" t="n"/>
      <c r="G220" s="30">
        <f>IF(AND(TRIM(D220)="",TRIM(E220)=""),"",IF(OR(TRIM(D220)="",TRIM(D220)="-"),TRIM(E220),TRIM(D220)&amp;TRIM(E220)))</f>
        <v/>
      </c>
      <c r="H220" s="30">
        <f>IF(G220="","",SUMPRODUCT(--($G$4:$G$303&lt;&gt;""),--($G$4:$G$303&lt;G220))+COUNTIF($G$4:G220,G220))</f>
        <v/>
      </c>
      <c r="I220" s="30">
        <f>IFERROR(INDEX($G$4:$G$303,MATCH(ROW()-3,$H$4:$H$303,0)),"")</f>
        <v/>
      </c>
    </row>
    <row r="221">
      <c r="D221" s="29" t="n"/>
      <c r="E221" s="29" t="n"/>
      <c r="F221" s="28" t="n"/>
      <c r="G221" s="30">
        <f>IF(AND(TRIM(D221)="",TRIM(E221)=""),"",IF(OR(TRIM(D221)="",TRIM(D221)="-"),TRIM(E221),TRIM(D221)&amp;TRIM(E221)))</f>
        <v/>
      </c>
      <c r="H221" s="30">
        <f>IF(G221="","",SUMPRODUCT(--($G$4:$G$303&lt;&gt;""),--($G$4:$G$303&lt;G221))+COUNTIF($G$4:G221,G221))</f>
        <v/>
      </c>
      <c r="I221" s="30">
        <f>IFERROR(INDEX($G$4:$G$303,MATCH(ROW()-3,$H$4:$H$303,0)),"")</f>
        <v/>
      </c>
    </row>
    <row r="222">
      <c r="D222" s="29" t="n"/>
      <c r="E222" s="29" t="n"/>
      <c r="F222" s="28" t="n"/>
      <c r="G222" s="30">
        <f>IF(AND(TRIM(D222)="",TRIM(E222)=""),"",IF(OR(TRIM(D222)="",TRIM(D222)="-"),TRIM(E222),TRIM(D222)&amp;TRIM(E222)))</f>
        <v/>
      </c>
      <c r="H222" s="30">
        <f>IF(G222="","",SUMPRODUCT(--($G$4:$G$303&lt;&gt;""),--($G$4:$G$303&lt;G222))+COUNTIF($G$4:G222,G222))</f>
        <v/>
      </c>
      <c r="I222" s="30">
        <f>IFERROR(INDEX($G$4:$G$303,MATCH(ROW()-3,$H$4:$H$303,0)),"")</f>
        <v/>
      </c>
    </row>
    <row r="223">
      <c r="D223" s="29" t="n"/>
      <c r="E223" s="29" t="n"/>
      <c r="F223" s="28" t="n"/>
      <c r="G223" s="30">
        <f>IF(AND(TRIM(D223)="",TRIM(E223)=""),"",IF(OR(TRIM(D223)="",TRIM(D223)="-"),TRIM(E223),TRIM(D223)&amp;TRIM(E223)))</f>
        <v/>
      </c>
      <c r="H223" s="30">
        <f>IF(G223="","",SUMPRODUCT(--($G$4:$G$303&lt;&gt;""),--($G$4:$G$303&lt;G223))+COUNTIF($G$4:G223,G223))</f>
        <v/>
      </c>
      <c r="I223" s="30">
        <f>IFERROR(INDEX($G$4:$G$303,MATCH(ROW()-3,$H$4:$H$303,0)),"")</f>
        <v/>
      </c>
    </row>
    <row r="224">
      <c r="D224" s="29" t="n"/>
      <c r="E224" s="29" t="n"/>
      <c r="F224" s="28" t="n"/>
      <c r="G224" s="30">
        <f>IF(AND(TRIM(D224)="",TRIM(E224)=""),"",IF(OR(TRIM(D224)="",TRIM(D224)="-"),TRIM(E224),TRIM(D224)&amp;TRIM(E224)))</f>
        <v/>
      </c>
      <c r="H224" s="30">
        <f>IF(G224="","",SUMPRODUCT(--($G$4:$G$303&lt;&gt;""),--($G$4:$G$303&lt;G224))+COUNTIF($G$4:G224,G224))</f>
        <v/>
      </c>
      <c r="I224" s="30">
        <f>IFERROR(INDEX($G$4:$G$303,MATCH(ROW()-3,$H$4:$H$303,0)),"")</f>
        <v/>
      </c>
    </row>
    <row r="225">
      <c r="D225" s="29" t="n"/>
      <c r="E225" s="29" t="n"/>
      <c r="F225" s="28" t="n"/>
      <c r="G225" s="30">
        <f>IF(AND(TRIM(D225)="",TRIM(E225)=""),"",IF(OR(TRIM(D225)="",TRIM(D225)="-"),TRIM(E225),TRIM(D225)&amp;TRIM(E225)))</f>
        <v/>
      </c>
      <c r="H225" s="30">
        <f>IF(G225="","",SUMPRODUCT(--($G$4:$G$303&lt;&gt;""),--($G$4:$G$303&lt;G225))+COUNTIF($G$4:G225,G225))</f>
        <v/>
      </c>
      <c r="I225" s="30">
        <f>IFERROR(INDEX($G$4:$G$303,MATCH(ROW()-3,$H$4:$H$303,0)),"")</f>
        <v/>
      </c>
    </row>
    <row r="226">
      <c r="D226" s="29" t="n"/>
      <c r="E226" s="29" t="n"/>
      <c r="F226" s="28" t="n"/>
      <c r="G226" s="30">
        <f>IF(AND(TRIM(D226)="",TRIM(E226)=""),"",IF(OR(TRIM(D226)="",TRIM(D226)="-"),TRIM(E226),TRIM(D226)&amp;TRIM(E226)))</f>
        <v/>
      </c>
      <c r="H226" s="30">
        <f>IF(G226="","",SUMPRODUCT(--($G$4:$G$303&lt;&gt;""),--($G$4:$G$303&lt;G226))+COUNTIF($G$4:G226,G226))</f>
        <v/>
      </c>
      <c r="I226" s="30">
        <f>IFERROR(INDEX($G$4:$G$303,MATCH(ROW()-3,$H$4:$H$303,0)),"")</f>
        <v/>
      </c>
    </row>
    <row r="227">
      <c r="D227" s="29" t="n"/>
      <c r="E227" s="29" t="n"/>
      <c r="F227" s="28" t="n"/>
      <c r="G227" s="30">
        <f>IF(AND(TRIM(D227)="",TRIM(E227)=""),"",IF(OR(TRIM(D227)="",TRIM(D227)="-"),TRIM(E227),TRIM(D227)&amp;TRIM(E227)))</f>
        <v/>
      </c>
      <c r="H227" s="30">
        <f>IF(G227="","",SUMPRODUCT(--($G$4:$G$303&lt;&gt;""),--($G$4:$G$303&lt;G227))+COUNTIF($G$4:G227,G227))</f>
        <v/>
      </c>
      <c r="I227" s="30">
        <f>IFERROR(INDEX($G$4:$G$303,MATCH(ROW()-3,$H$4:$H$303,0)),"")</f>
        <v/>
      </c>
    </row>
    <row r="228">
      <c r="D228" s="29" t="n"/>
      <c r="E228" s="29" t="n"/>
      <c r="F228" s="28" t="n"/>
      <c r="G228" s="30">
        <f>IF(AND(TRIM(D228)="",TRIM(E228)=""),"",IF(OR(TRIM(D228)="",TRIM(D228)="-"),TRIM(E228),TRIM(D228)&amp;TRIM(E228)))</f>
        <v/>
      </c>
      <c r="H228" s="30">
        <f>IF(G228="","",SUMPRODUCT(--($G$4:$G$303&lt;&gt;""),--($G$4:$G$303&lt;G228))+COUNTIF($G$4:G228,G228))</f>
        <v/>
      </c>
      <c r="I228" s="30">
        <f>IFERROR(INDEX($G$4:$G$303,MATCH(ROW()-3,$H$4:$H$303,0)),"")</f>
        <v/>
      </c>
    </row>
    <row r="229">
      <c r="D229" s="29" t="n"/>
      <c r="E229" s="29" t="n"/>
      <c r="F229" s="28" t="n"/>
      <c r="G229" s="30">
        <f>IF(AND(TRIM(D229)="",TRIM(E229)=""),"",IF(OR(TRIM(D229)="",TRIM(D229)="-"),TRIM(E229),TRIM(D229)&amp;TRIM(E229)))</f>
        <v/>
      </c>
      <c r="H229" s="30">
        <f>IF(G229="","",SUMPRODUCT(--($G$4:$G$303&lt;&gt;""),--($G$4:$G$303&lt;G229))+COUNTIF($G$4:G229,G229))</f>
        <v/>
      </c>
      <c r="I229" s="30">
        <f>IFERROR(INDEX($G$4:$G$303,MATCH(ROW()-3,$H$4:$H$303,0)),"")</f>
        <v/>
      </c>
    </row>
    <row r="230">
      <c r="D230" s="29" t="n"/>
      <c r="E230" s="29" t="n"/>
      <c r="F230" s="28" t="n"/>
      <c r="G230" s="30">
        <f>IF(AND(TRIM(D230)="",TRIM(E230)=""),"",IF(OR(TRIM(D230)="",TRIM(D230)="-"),TRIM(E230),TRIM(D230)&amp;TRIM(E230)))</f>
        <v/>
      </c>
      <c r="H230" s="30">
        <f>IF(G230="","",SUMPRODUCT(--($G$4:$G$303&lt;&gt;""),--($G$4:$G$303&lt;G230))+COUNTIF($G$4:G230,G230))</f>
        <v/>
      </c>
      <c r="I230" s="30">
        <f>IFERROR(INDEX($G$4:$G$303,MATCH(ROW()-3,$H$4:$H$303,0)),"")</f>
        <v/>
      </c>
    </row>
    <row r="231">
      <c r="D231" s="29" t="n"/>
      <c r="E231" s="29" t="n"/>
      <c r="F231" s="28" t="n"/>
      <c r="G231" s="30">
        <f>IF(AND(TRIM(D231)="",TRIM(E231)=""),"",IF(OR(TRIM(D231)="",TRIM(D231)="-"),TRIM(E231),TRIM(D231)&amp;TRIM(E231)))</f>
        <v/>
      </c>
      <c r="H231" s="30">
        <f>IF(G231="","",SUMPRODUCT(--($G$4:$G$303&lt;&gt;""),--($G$4:$G$303&lt;G231))+COUNTIF($G$4:G231,G231))</f>
        <v/>
      </c>
      <c r="I231" s="30">
        <f>IFERROR(INDEX($G$4:$G$303,MATCH(ROW()-3,$H$4:$H$303,0)),"")</f>
        <v/>
      </c>
    </row>
    <row r="232">
      <c r="D232" s="29" t="n"/>
      <c r="E232" s="29" t="n"/>
      <c r="F232" s="28" t="n"/>
      <c r="G232" s="30">
        <f>IF(AND(TRIM(D232)="",TRIM(E232)=""),"",IF(OR(TRIM(D232)="",TRIM(D232)="-"),TRIM(E232),TRIM(D232)&amp;TRIM(E232)))</f>
        <v/>
      </c>
      <c r="H232" s="30">
        <f>IF(G232="","",SUMPRODUCT(--($G$4:$G$303&lt;&gt;""),--($G$4:$G$303&lt;G232))+COUNTIF($G$4:G232,G232))</f>
        <v/>
      </c>
      <c r="I232" s="30">
        <f>IFERROR(INDEX($G$4:$G$303,MATCH(ROW()-3,$H$4:$H$303,0)),"")</f>
        <v/>
      </c>
    </row>
    <row r="233">
      <c r="D233" s="29" t="n"/>
      <c r="E233" s="29" t="n"/>
      <c r="F233" s="28" t="n"/>
      <c r="G233" s="30">
        <f>IF(AND(TRIM(D233)="",TRIM(E233)=""),"",IF(OR(TRIM(D233)="",TRIM(D233)="-"),TRIM(E233),TRIM(D233)&amp;TRIM(E233)))</f>
        <v/>
      </c>
      <c r="H233" s="30">
        <f>IF(G233="","",SUMPRODUCT(--($G$4:$G$303&lt;&gt;""),--($G$4:$G$303&lt;G233))+COUNTIF($G$4:G233,G233))</f>
        <v/>
      </c>
      <c r="I233" s="30">
        <f>IFERROR(INDEX($G$4:$G$303,MATCH(ROW()-3,$H$4:$H$303,0)),"")</f>
        <v/>
      </c>
    </row>
    <row r="234">
      <c r="D234" s="29" t="n"/>
      <c r="E234" s="29" t="n"/>
      <c r="F234" s="28" t="n"/>
      <c r="G234" s="30">
        <f>IF(AND(TRIM(D234)="",TRIM(E234)=""),"",IF(OR(TRIM(D234)="",TRIM(D234)="-"),TRIM(E234),TRIM(D234)&amp;TRIM(E234)))</f>
        <v/>
      </c>
      <c r="H234" s="30">
        <f>IF(G234="","",SUMPRODUCT(--($G$4:$G$303&lt;&gt;""),--($G$4:$G$303&lt;G234))+COUNTIF($G$4:G234,G234))</f>
        <v/>
      </c>
      <c r="I234" s="30">
        <f>IFERROR(INDEX($G$4:$G$303,MATCH(ROW()-3,$H$4:$H$303,0)),"")</f>
        <v/>
      </c>
    </row>
    <row r="235">
      <c r="D235" s="29" t="n"/>
      <c r="E235" s="29" t="n"/>
      <c r="F235" s="28" t="n"/>
      <c r="G235" s="30">
        <f>IF(AND(TRIM(D235)="",TRIM(E235)=""),"",IF(OR(TRIM(D235)="",TRIM(D235)="-"),TRIM(E235),TRIM(D235)&amp;TRIM(E235)))</f>
        <v/>
      </c>
      <c r="H235" s="30">
        <f>IF(G235="","",SUMPRODUCT(--($G$4:$G$303&lt;&gt;""),--($G$4:$G$303&lt;G235))+COUNTIF($G$4:G235,G235))</f>
        <v/>
      </c>
      <c r="I235" s="30">
        <f>IFERROR(INDEX($G$4:$G$303,MATCH(ROW()-3,$H$4:$H$303,0)),"")</f>
        <v/>
      </c>
    </row>
    <row r="236">
      <c r="D236" s="29" t="n"/>
      <c r="E236" s="29" t="n"/>
      <c r="F236" s="28" t="n"/>
      <c r="G236" s="30">
        <f>IF(AND(TRIM(D236)="",TRIM(E236)=""),"",IF(OR(TRIM(D236)="",TRIM(D236)="-"),TRIM(E236),TRIM(D236)&amp;TRIM(E236)))</f>
        <v/>
      </c>
      <c r="H236" s="30">
        <f>IF(G236="","",SUMPRODUCT(--($G$4:$G$303&lt;&gt;""),--($G$4:$G$303&lt;G236))+COUNTIF($G$4:G236,G236))</f>
        <v/>
      </c>
      <c r="I236" s="30">
        <f>IFERROR(INDEX($G$4:$G$303,MATCH(ROW()-3,$H$4:$H$303,0)),"")</f>
        <v/>
      </c>
    </row>
    <row r="237">
      <c r="D237" s="29" t="n"/>
      <c r="E237" s="29" t="n"/>
      <c r="F237" s="28" t="n"/>
      <c r="G237" s="30">
        <f>IF(AND(TRIM(D237)="",TRIM(E237)=""),"",IF(OR(TRIM(D237)="",TRIM(D237)="-"),TRIM(E237),TRIM(D237)&amp;TRIM(E237)))</f>
        <v/>
      </c>
      <c r="H237" s="30">
        <f>IF(G237="","",SUMPRODUCT(--($G$4:$G$303&lt;&gt;""),--($G$4:$G$303&lt;G237))+COUNTIF($G$4:G237,G237))</f>
        <v/>
      </c>
      <c r="I237" s="30">
        <f>IFERROR(INDEX($G$4:$G$303,MATCH(ROW()-3,$H$4:$H$303,0)),"")</f>
        <v/>
      </c>
    </row>
    <row r="238">
      <c r="D238" s="29" t="n"/>
      <c r="E238" s="29" t="n"/>
      <c r="F238" s="28" t="n"/>
      <c r="G238" s="30">
        <f>IF(AND(TRIM(D238)="",TRIM(E238)=""),"",IF(OR(TRIM(D238)="",TRIM(D238)="-"),TRIM(E238),TRIM(D238)&amp;TRIM(E238)))</f>
        <v/>
      </c>
      <c r="H238" s="30">
        <f>IF(G238="","",SUMPRODUCT(--($G$4:$G$303&lt;&gt;""),--($G$4:$G$303&lt;G238))+COUNTIF($G$4:G238,G238))</f>
        <v/>
      </c>
      <c r="I238" s="30">
        <f>IFERROR(INDEX($G$4:$G$303,MATCH(ROW()-3,$H$4:$H$303,0)),"")</f>
        <v/>
      </c>
    </row>
    <row r="239">
      <c r="D239" s="29" t="n"/>
      <c r="E239" s="29" t="n"/>
      <c r="F239" s="28" t="n"/>
      <c r="G239" s="30">
        <f>IF(AND(TRIM(D239)="",TRIM(E239)=""),"",IF(OR(TRIM(D239)="",TRIM(D239)="-"),TRIM(E239),TRIM(D239)&amp;TRIM(E239)))</f>
        <v/>
      </c>
      <c r="H239" s="30">
        <f>IF(G239="","",SUMPRODUCT(--($G$4:$G$303&lt;&gt;""),--($G$4:$G$303&lt;G239))+COUNTIF($G$4:G239,G239))</f>
        <v/>
      </c>
      <c r="I239" s="30">
        <f>IFERROR(INDEX($G$4:$G$303,MATCH(ROW()-3,$H$4:$H$303,0)),"")</f>
        <v/>
      </c>
    </row>
    <row r="240">
      <c r="D240" s="29" t="n"/>
      <c r="E240" s="29" t="n"/>
      <c r="F240" s="28" t="n"/>
      <c r="G240" s="30">
        <f>IF(AND(TRIM(D240)="",TRIM(E240)=""),"",IF(OR(TRIM(D240)="",TRIM(D240)="-"),TRIM(E240),TRIM(D240)&amp;TRIM(E240)))</f>
        <v/>
      </c>
      <c r="H240" s="30">
        <f>IF(G240="","",SUMPRODUCT(--($G$4:$G$303&lt;&gt;""),--($G$4:$G$303&lt;G240))+COUNTIF($G$4:G240,G240))</f>
        <v/>
      </c>
      <c r="I240" s="30">
        <f>IFERROR(INDEX($G$4:$G$303,MATCH(ROW()-3,$H$4:$H$303,0)),"")</f>
        <v/>
      </c>
    </row>
    <row r="241">
      <c r="D241" s="29" t="n"/>
      <c r="E241" s="29" t="n"/>
      <c r="F241" s="28" t="n"/>
      <c r="G241" s="30">
        <f>IF(AND(TRIM(D241)="",TRIM(E241)=""),"",IF(OR(TRIM(D241)="",TRIM(D241)="-"),TRIM(E241),TRIM(D241)&amp;TRIM(E241)))</f>
        <v/>
      </c>
      <c r="H241" s="30">
        <f>IF(G241="","",SUMPRODUCT(--($G$4:$G$303&lt;&gt;""),--($G$4:$G$303&lt;G241))+COUNTIF($G$4:G241,G241))</f>
        <v/>
      </c>
      <c r="I241" s="30">
        <f>IFERROR(INDEX($G$4:$G$303,MATCH(ROW()-3,$H$4:$H$303,0)),"")</f>
        <v/>
      </c>
    </row>
    <row r="242">
      <c r="D242" s="29" t="n"/>
      <c r="E242" s="29" t="n"/>
      <c r="F242" s="28" t="n"/>
      <c r="G242" s="30">
        <f>IF(AND(TRIM(D242)="",TRIM(E242)=""),"",IF(OR(TRIM(D242)="",TRIM(D242)="-"),TRIM(E242),TRIM(D242)&amp;TRIM(E242)))</f>
        <v/>
      </c>
      <c r="H242" s="30">
        <f>IF(G242="","",SUMPRODUCT(--($G$4:$G$303&lt;&gt;""),--($G$4:$G$303&lt;G242))+COUNTIF($G$4:G242,G242))</f>
        <v/>
      </c>
      <c r="I242" s="30">
        <f>IFERROR(INDEX($G$4:$G$303,MATCH(ROW()-3,$H$4:$H$303,0)),"")</f>
        <v/>
      </c>
    </row>
    <row r="243">
      <c r="D243" s="29" t="n"/>
      <c r="E243" s="29" t="n"/>
      <c r="F243" s="28" t="n"/>
      <c r="G243" s="30">
        <f>IF(AND(TRIM(D243)="",TRIM(E243)=""),"",IF(OR(TRIM(D243)="",TRIM(D243)="-"),TRIM(E243),TRIM(D243)&amp;TRIM(E243)))</f>
        <v/>
      </c>
      <c r="H243" s="30">
        <f>IF(G243="","",SUMPRODUCT(--($G$4:$G$303&lt;&gt;""),--($G$4:$G$303&lt;G243))+COUNTIF($G$4:G243,G243))</f>
        <v/>
      </c>
      <c r="I243" s="30">
        <f>IFERROR(INDEX($G$4:$G$303,MATCH(ROW()-3,$H$4:$H$303,0)),"")</f>
        <v/>
      </c>
    </row>
    <row r="244">
      <c r="D244" s="29" t="n"/>
      <c r="E244" s="29" t="n"/>
      <c r="F244" s="28" t="n"/>
      <c r="G244" s="30">
        <f>IF(AND(TRIM(D244)="",TRIM(E244)=""),"",IF(OR(TRIM(D244)="",TRIM(D244)="-"),TRIM(E244),TRIM(D244)&amp;TRIM(E244)))</f>
        <v/>
      </c>
      <c r="H244" s="30">
        <f>IF(G244="","",SUMPRODUCT(--($G$4:$G$303&lt;&gt;""),--($G$4:$G$303&lt;G244))+COUNTIF($G$4:G244,G244))</f>
        <v/>
      </c>
      <c r="I244" s="30">
        <f>IFERROR(INDEX($G$4:$G$303,MATCH(ROW()-3,$H$4:$H$303,0)),"")</f>
        <v/>
      </c>
    </row>
    <row r="245">
      <c r="D245" s="29" t="n"/>
      <c r="E245" s="29" t="n"/>
      <c r="F245" s="28" t="n"/>
      <c r="G245" s="30">
        <f>IF(AND(TRIM(D245)="",TRIM(E245)=""),"",IF(OR(TRIM(D245)="",TRIM(D245)="-"),TRIM(E245),TRIM(D245)&amp;TRIM(E245)))</f>
        <v/>
      </c>
      <c r="H245" s="30">
        <f>IF(G245="","",SUMPRODUCT(--($G$4:$G$303&lt;&gt;""),--($G$4:$G$303&lt;G245))+COUNTIF($G$4:G245,G245))</f>
        <v/>
      </c>
      <c r="I245" s="30">
        <f>IFERROR(INDEX($G$4:$G$303,MATCH(ROW()-3,$H$4:$H$303,0)),"")</f>
        <v/>
      </c>
    </row>
    <row r="246">
      <c r="D246" s="29" t="n"/>
      <c r="E246" s="29" t="n"/>
      <c r="F246" s="28" t="n"/>
      <c r="G246" s="30">
        <f>IF(AND(TRIM(D246)="",TRIM(E246)=""),"",IF(OR(TRIM(D246)="",TRIM(D246)="-"),TRIM(E246),TRIM(D246)&amp;TRIM(E246)))</f>
        <v/>
      </c>
      <c r="H246" s="30">
        <f>IF(G246="","",SUMPRODUCT(--($G$4:$G$303&lt;&gt;""),--($G$4:$G$303&lt;G246))+COUNTIF($G$4:G246,G246))</f>
        <v/>
      </c>
      <c r="I246" s="30">
        <f>IFERROR(INDEX($G$4:$G$303,MATCH(ROW()-3,$H$4:$H$303,0)),"")</f>
        <v/>
      </c>
    </row>
    <row r="247">
      <c r="D247" s="29" t="n"/>
      <c r="E247" s="29" t="n"/>
      <c r="F247" s="28" t="n"/>
      <c r="G247" s="30">
        <f>IF(AND(TRIM(D247)="",TRIM(E247)=""),"",IF(OR(TRIM(D247)="",TRIM(D247)="-"),TRIM(E247),TRIM(D247)&amp;TRIM(E247)))</f>
        <v/>
      </c>
      <c r="H247" s="30">
        <f>IF(G247="","",SUMPRODUCT(--($G$4:$G$303&lt;&gt;""),--($G$4:$G$303&lt;G247))+COUNTIF($G$4:G247,G247))</f>
        <v/>
      </c>
      <c r="I247" s="30">
        <f>IFERROR(INDEX($G$4:$G$303,MATCH(ROW()-3,$H$4:$H$303,0)),"")</f>
        <v/>
      </c>
    </row>
    <row r="248">
      <c r="D248" s="29" t="n"/>
      <c r="E248" s="29" t="n"/>
      <c r="F248" s="28" t="n"/>
      <c r="G248" s="30">
        <f>IF(AND(TRIM(D248)="",TRIM(E248)=""),"",IF(OR(TRIM(D248)="",TRIM(D248)="-"),TRIM(E248),TRIM(D248)&amp;TRIM(E248)))</f>
        <v/>
      </c>
      <c r="H248" s="30">
        <f>IF(G248="","",SUMPRODUCT(--($G$4:$G$303&lt;&gt;""),--($G$4:$G$303&lt;G248))+COUNTIF($G$4:G248,G248))</f>
        <v/>
      </c>
      <c r="I248" s="30">
        <f>IFERROR(INDEX($G$4:$G$303,MATCH(ROW()-3,$H$4:$H$303,0)),"")</f>
        <v/>
      </c>
    </row>
    <row r="249">
      <c r="D249" s="29" t="n"/>
      <c r="E249" s="29" t="n"/>
      <c r="F249" s="28" t="n"/>
      <c r="G249" s="30">
        <f>IF(AND(TRIM(D249)="",TRIM(E249)=""),"",IF(OR(TRIM(D249)="",TRIM(D249)="-"),TRIM(E249),TRIM(D249)&amp;TRIM(E249)))</f>
        <v/>
      </c>
      <c r="H249" s="30">
        <f>IF(G249="","",SUMPRODUCT(--($G$4:$G$303&lt;&gt;""),--($G$4:$G$303&lt;G249))+COUNTIF($G$4:G249,G249))</f>
        <v/>
      </c>
      <c r="I249" s="30">
        <f>IFERROR(INDEX($G$4:$G$303,MATCH(ROW()-3,$H$4:$H$303,0)),"")</f>
        <v/>
      </c>
    </row>
    <row r="250">
      <c r="D250" s="29" t="n"/>
      <c r="E250" s="29" t="n"/>
      <c r="F250" s="28" t="n"/>
      <c r="G250" s="30">
        <f>IF(AND(TRIM(D250)="",TRIM(E250)=""),"",IF(OR(TRIM(D250)="",TRIM(D250)="-"),TRIM(E250),TRIM(D250)&amp;TRIM(E250)))</f>
        <v/>
      </c>
      <c r="H250" s="30">
        <f>IF(G250="","",SUMPRODUCT(--($G$4:$G$303&lt;&gt;""),--($G$4:$G$303&lt;G250))+COUNTIF($G$4:G250,G250))</f>
        <v/>
      </c>
      <c r="I250" s="30">
        <f>IFERROR(INDEX($G$4:$G$303,MATCH(ROW()-3,$H$4:$H$303,0)),"")</f>
        <v/>
      </c>
    </row>
    <row r="251">
      <c r="D251" s="29" t="n"/>
      <c r="E251" s="29" t="n"/>
      <c r="F251" s="28" t="n"/>
      <c r="G251" s="30">
        <f>IF(AND(TRIM(D251)="",TRIM(E251)=""),"",IF(OR(TRIM(D251)="",TRIM(D251)="-"),TRIM(E251),TRIM(D251)&amp;TRIM(E251)))</f>
        <v/>
      </c>
      <c r="H251" s="30">
        <f>IF(G251="","",SUMPRODUCT(--($G$4:$G$303&lt;&gt;""),--($G$4:$G$303&lt;G251))+COUNTIF($G$4:G251,G251))</f>
        <v/>
      </c>
      <c r="I251" s="30">
        <f>IFERROR(INDEX($G$4:$G$303,MATCH(ROW()-3,$H$4:$H$303,0)),"")</f>
        <v/>
      </c>
    </row>
    <row r="252">
      <c r="D252" s="29" t="n"/>
      <c r="E252" s="29" t="n"/>
      <c r="F252" s="28" t="n"/>
      <c r="G252" s="30">
        <f>IF(AND(TRIM(D252)="",TRIM(E252)=""),"",IF(OR(TRIM(D252)="",TRIM(D252)="-"),TRIM(E252),TRIM(D252)&amp;TRIM(E252)))</f>
        <v/>
      </c>
      <c r="H252" s="30">
        <f>IF(G252="","",SUMPRODUCT(--($G$4:$G$303&lt;&gt;""),--($G$4:$G$303&lt;G252))+COUNTIF($G$4:G252,G252))</f>
        <v/>
      </c>
      <c r="I252" s="30">
        <f>IFERROR(INDEX($G$4:$G$303,MATCH(ROW()-3,$H$4:$H$303,0)),"")</f>
        <v/>
      </c>
    </row>
    <row r="253">
      <c r="D253" s="29" t="n"/>
      <c r="E253" s="29" t="n"/>
      <c r="F253" s="28" t="n"/>
      <c r="G253" s="30">
        <f>IF(AND(TRIM(D253)="",TRIM(E253)=""),"",IF(OR(TRIM(D253)="",TRIM(D253)="-"),TRIM(E253),TRIM(D253)&amp;TRIM(E253)))</f>
        <v/>
      </c>
      <c r="H253" s="30">
        <f>IF(G253="","",SUMPRODUCT(--($G$4:$G$303&lt;&gt;""),--($G$4:$G$303&lt;G253))+COUNTIF($G$4:G253,G253))</f>
        <v/>
      </c>
      <c r="I253" s="30">
        <f>IFERROR(INDEX($G$4:$G$303,MATCH(ROW()-3,$H$4:$H$303,0)),"")</f>
        <v/>
      </c>
    </row>
    <row r="254">
      <c r="D254" s="29" t="n"/>
      <c r="E254" s="29" t="n"/>
      <c r="F254" s="28" t="n"/>
      <c r="G254" s="30">
        <f>IF(AND(TRIM(D254)="",TRIM(E254)=""),"",IF(OR(TRIM(D254)="",TRIM(D254)="-"),TRIM(E254),TRIM(D254)&amp;TRIM(E254)))</f>
        <v/>
      </c>
      <c r="H254" s="30">
        <f>IF(G254="","",SUMPRODUCT(--($G$4:$G$303&lt;&gt;""),--($G$4:$G$303&lt;G254))+COUNTIF($G$4:G254,G254))</f>
        <v/>
      </c>
      <c r="I254" s="30">
        <f>IFERROR(INDEX($G$4:$G$303,MATCH(ROW()-3,$H$4:$H$303,0)),"")</f>
        <v/>
      </c>
    </row>
    <row r="255">
      <c r="D255" s="29" t="n"/>
      <c r="E255" s="29" t="n"/>
      <c r="F255" s="28" t="n"/>
      <c r="G255" s="30">
        <f>IF(AND(TRIM(D255)="",TRIM(E255)=""),"",IF(OR(TRIM(D255)="",TRIM(D255)="-"),TRIM(E255),TRIM(D255)&amp;TRIM(E255)))</f>
        <v/>
      </c>
      <c r="H255" s="30">
        <f>IF(G255="","",SUMPRODUCT(--($G$4:$G$303&lt;&gt;""),--($G$4:$G$303&lt;G255))+COUNTIF($G$4:G255,G255))</f>
        <v/>
      </c>
      <c r="I255" s="30">
        <f>IFERROR(INDEX($G$4:$G$303,MATCH(ROW()-3,$H$4:$H$303,0)),"")</f>
        <v/>
      </c>
    </row>
    <row r="256">
      <c r="D256" s="29" t="n"/>
      <c r="E256" s="29" t="n"/>
      <c r="F256" s="28" t="n"/>
      <c r="G256" s="30">
        <f>IF(AND(TRIM(D256)="",TRIM(E256)=""),"",IF(OR(TRIM(D256)="",TRIM(D256)="-"),TRIM(E256),TRIM(D256)&amp;TRIM(E256)))</f>
        <v/>
      </c>
      <c r="H256" s="30">
        <f>IF(G256="","",SUMPRODUCT(--($G$4:$G$303&lt;&gt;""),--($G$4:$G$303&lt;G256))+COUNTIF($G$4:G256,G256))</f>
        <v/>
      </c>
      <c r="I256" s="30">
        <f>IFERROR(INDEX($G$4:$G$303,MATCH(ROW()-3,$H$4:$H$303,0)),"")</f>
        <v/>
      </c>
    </row>
    <row r="257">
      <c r="D257" s="29" t="n"/>
      <c r="E257" s="29" t="n"/>
      <c r="F257" s="28" t="n"/>
      <c r="G257" s="30">
        <f>IF(AND(TRIM(D257)="",TRIM(E257)=""),"",IF(OR(TRIM(D257)="",TRIM(D257)="-"),TRIM(E257),TRIM(D257)&amp;TRIM(E257)))</f>
        <v/>
      </c>
      <c r="H257" s="30">
        <f>IF(G257="","",SUMPRODUCT(--($G$4:$G$303&lt;&gt;""),--($G$4:$G$303&lt;G257))+COUNTIF($G$4:G257,G257))</f>
        <v/>
      </c>
      <c r="I257" s="30">
        <f>IFERROR(INDEX($G$4:$G$303,MATCH(ROW()-3,$H$4:$H$303,0)),"")</f>
        <v/>
      </c>
    </row>
    <row r="258">
      <c r="D258" s="29" t="n"/>
      <c r="E258" s="29" t="n"/>
      <c r="F258" s="28" t="n"/>
      <c r="G258" s="30">
        <f>IF(AND(TRIM(D258)="",TRIM(E258)=""),"",IF(OR(TRIM(D258)="",TRIM(D258)="-"),TRIM(E258),TRIM(D258)&amp;TRIM(E258)))</f>
        <v/>
      </c>
      <c r="H258" s="30">
        <f>IF(G258="","",SUMPRODUCT(--($G$4:$G$303&lt;&gt;""),--($G$4:$G$303&lt;G258))+COUNTIF($G$4:G258,G258))</f>
        <v/>
      </c>
      <c r="I258" s="30">
        <f>IFERROR(INDEX($G$4:$G$303,MATCH(ROW()-3,$H$4:$H$303,0)),"")</f>
        <v/>
      </c>
    </row>
    <row r="259">
      <c r="D259" s="29" t="n"/>
      <c r="E259" s="29" t="n"/>
      <c r="F259" s="28" t="n"/>
      <c r="G259" s="30">
        <f>IF(AND(TRIM(D259)="",TRIM(E259)=""),"",IF(OR(TRIM(D259)="",TRIM(D259)="-"),TRIM(E259),TRIM(D259)&amp;TRIM(E259)))</f>
        <v/>
      </c>
      <c r="H259" s="30">
        <f>IF(G259="","",SUMPRODUCT(--($G$4:$G$303&lt;&gt;""),--($G$4:$G$303&lt;G259))+COUNTIF($G$4:G259,G259))</f>
        <v/>
      </c>
      <c r="I259" s="30">
        <f>IFERROR(INDEX($G$4:$G$303,MATCH(ROW()-3,$H$4:$H$303,0)),"")</f>
        <v/>
      </c>
    </row>
    <row r="260">
      <c r="D260" s="29" t="n"/>
      <c r="E260" s="29" t="n"/>
      <c r="F260" s="28" t="n"/>
      <c r="G260" s="30">
        <f>IF(AND(TRIM(D260)="",TRIM(E260)=""),"",IF(OR(TRIM(D260)="",TRIM(D260)="-"),TRIM(E260),TRIM(D260)&amp;TRIM(E260)))</f>
        <v/>
      </c>
      <c r="H260" s="30">
        <f>IF(G260="","",SUMPRODUCT(--($G$4:$G$303&lt;&gt;""),--($G$4:$G$303&lt;G260))+COUNTIF($G$4:G260,G260))</f>
        <v/>
      </c>
      <c r="I260" s="30">
        <f>IFERROR(INDEX($G$4:$G$303,MATCH(ROW()-3,$H$4:$H$303,0)),"")</f>
        <v/>
      </c>
    </row>
    <row r="261">
      <c r="D261" s="29" t="n"/>
      <c r="E261" s="29" t="n"/>
      <c r="F261" s="28" t="n"/>
      <c r="G261" s="30">
        <f>IF(AND(TRIM(D261)="",TRIM(E261)=""),"",IF(OR(TRIM(D261)="",TRIM(D261)="-"),TRIM(E261),TRIM(D261)&amp;TRIM(E261)))</f>
        <v/>
      </c>
      <c r="H261" s="30">
        <f>IF(G261="","",SUMPRODUCT(--($G$4:$G$303&lt;&gt;""),--($G$4:$G$303&lt;G261))+COUNTIF($G$4:G261,G261))</f>
        <v/>
      </c>
      <c r="I261" s="30">
        <f>IFERROR(INDEX($G$4:$G$303,MATCH(ROW()-3,$H$4:$H$303,0)),"")</f>
        <v/>
      </c>
    </row>
    <row r="262">
      <c r="D262" s="29" t="n"/>
      <c r="E262" s="29" t="n"/>
      <c r="F262" s="28" t="n"/>
      <c r="G262" s="30">
        <f>IF(AND(TRIM(D262)="",TRIM(E262)=""),"",IF(OR(TRIM(D262)="",TRIM(D262)="-"),TRIM(E262),TRIM(D262)&amp;TRIM(E262)))</f>
        <v/>
      </c>
      <c r="H262" s="30">
        <f>IF(G262="","",SUMPRODUCT(--($G$4:$G$303&lt;&gt;""),--($G$4:$G$303&lt;G262))+COUNTIF($G$4:G262,G262))</f>
        <v/>
      </c>
      <c r="I262" s="30">
        <f>IFERROR(INDEX($G$4:$G$303,MATCH(ROW()-3,$H$4:$H$303,0)),"")</f>
        <v/>
      </c>
    </row>
    <row r="263">
      <c r="D263" s="29" t="n"/>
      <c r="E263" s="29" t="n"/>
      <c r="F263" s="28" t="n"/>
      <c r="G263" s="30">
        <f>IF(AND(TRIM(D263)="",TRIM(E263)=""),"",IF(OR(TRIM(D263)="",TRIM(D263)="-"),TRIM(E263),TRIM(D263)&amp;TRIM(E263)))</f>
        <v/>
      </c>
      <c r="H263" s="30">
        <f>IF(G263="","",SUMPRODUCT(--($G$4:$G$303&lt;&gt;""),--($G$4:$G$303&lt;G263))+COUNTIF($G$4:G263,G263))</f>
        <v/>
      </c>
      <c r="I263" s="30">
        <f>IFERROR(INDEX($G$4:$G$303,MATCH(ROW()-3,$H$4:$H$303,0)),"")</f>
        <v/>
      </c>
    </row>
    <row r="264">
      <c r="D264" s="29" t="n"/>
      <c r="E264" s="29" t="n"/>
      <c r="F264" s="28" t="n"/>
      <c r="G264" s="30">
        <f>IF(AND(TRIM(D264)="",TRIM(E264)=""),"",IF(OR(TRIM(D264)="",TRIM(D264)="-"),TRIM(E264),TRIM(D264)&amp;TRIM(E264)))</f>
        <v/>
      </c>
      <c r="H264" s="30">
        <f>IF(G264="","",SUMPRODUCT(--($G$4:$G$303&lt;&gt;""),--($G$4:$G$303&lt;G264))+COUNTIF($G$4:G264,G264))</f>
        <v/>
      </c>
      <c r="I264" s="30">
        <f>IFERROR(INDEX($G$4:$G$303,MATCH(ROW()-3,$H$4:$H$303,0)),"")</f>
        <v/>
      </c>
    </row>
    <row r="265">
      <c r="D265" s="29" t="n"/>
      <c r="E265" s="29" t="n"/>
      <c r="F265" s="28" t="n"/>
      <c r="G265" s="30">
        <f>IF(AND(TRIM(D265)="",TRIM(E265)=""),"",IF(OR(TRIM(D265)="",TRIM(D265)="-"),TRIM(E265),TRIM(D265)&amp;TRIM(E265)))</f>
        <v/>
      </c>
      <c r="H265" s="30">
        <f>IF(G265="","",SUMPRODUCT(--($G$4:$G$303&lt;&gt;""),--($G$4:$G$303&lt;G265))+COUNTIF($G$4:G265,G265))</f>
        <v/>
      </c>
      <c r="I265" s="30">
        <f>IFERROR(INDEX($G$4:$G$303,MATCH(ROW()-3,$H$4:$H$303,0)),"")</f>
        <v/>
      </c>
    </row>
    <row r="266">
      <c r="D266" s="29" t="n"/>
      <c r="E266" s="29" t="n"/>
      <c r="F266" s="28" t="n"/>
      <c r="G266" s="30">
        <f>IF(AND(TRIM(D266)="",TRIM(E266)=""),"",IF(OR(TRIM(D266)="",TRIM(D266)="-"),TRIM(E266),TRIM(D266)&amp;TRIM(E266)))</f>
        <v/>
      </c>
      <c r="H266" s="30">
        <f>IF(G266="","",SUMPRODUCT(--($G$4:$G$303&lt;&gt;""),--($G$4:$G$303&lt;G266))+COUNTIF($G$4:G266,G266))</f>
        <v/>
      </c>
      <c r="I266" s="30">
        <f>IFERROR(INDEX($G$4:$G$303,MATCH(ROW()-3,$H$4:$H$303,0)),"")</f>
        <v/>
      </c>
    </row>
    <row r="267">
      <c r="D267" s="29" t="n"/>
      <c r="E267" s="29" t="n"/>
      <c r="F267" s="28" t="n"/>
      <c r="G267" s="30">
        <f>IF(AND(TRIM(D267)="",TRIM(E267)=""),"",IF(OR(TRIM(D267)="",TRIM(D267)="-"),TRIM(E267),TRIM(D267)&amp;TRIM(E267)))</f>
        <v/>
      </c>
      <c r="H267" s="30">
        <f>IF(G267="","",SUMPRODUCT(--($G$4:$G$303&lt;&gt;""),--($G$4:$G$303&lt;G267))+COUNTIF($G$4:G267,G267))</f>
        <v/>
      </c>
      <c r="I267" s="30">
        <f>IFERROR(INDEX($G$4:$G$303,MATCH(ROW()-3,$H$4:$H$303,0)),"")</f>
        <v/>
      </c>
    </row>
    <row r="268">
      <c r="D268" s="29" t="n"/>
      <c r="E268" s="29" t="n"/>
      <c r="F268" s="28" t="n"/>
      <c r="G268" s="30">
        <f>IF(AND(TRIM(D268)="",TRIM(E268)=""),"",IF(OR(TRIM(D268)="",TRIM(D268)="-"),TRIM(E268),TRIM(D268)&amp;TRIM(E268)))</f>
        <v/>
      </c>
      <c r="H268" s="30">
        <f>IF(G268="","",SUMPRODUCT(--($G$4:$G$303&lt;&gt;""),--($G$4:$G$303&lt;G268))+COUNTIF($G$4:G268,G268))</f>
        <v/>
      </c>
      <c r="I268" s="30">
        <f>IFERROR(INDEX($G$4:$G$303,MATCH(ROW()-3,$H$4:$H$303,0)),"")</f>
        <v/>
      </c>
    </row>
    <row r="269">
      <c r="D269" s="29" t="n"/>
      <c r="E269" s="29" t="n"/>
      <c r="F269" s="28" t="n"/>
      <c r="G269" s="30">
        <f>IF(AND(TRIM(D269)="",TRIM(E269)=""),"",IF(OR(TRIM(D269)="",TRIM(D269)="-"),TRIM(E269),TRIM(D269)&amp;TRIM(E269)))</f>
        <v/>
      </c>
      <c r="H269" s="30">
        <f>IF(G269="","",SUMPRODUCT(--($G$4:$G$303&lt;&gt;""),--($G$4:$G$303&lt;G269))+COUNTIF($G$4:G269,G269))</f>
        <v/>
      </c>
      <c r="I269" s="30">
        <f>IFERROR(INDEX($G$4:$G$303,MATCH(ROW()-3,$H$4:$H$303,0)),"")</f>
        <v/>
      </c>
    </row>
    <row r="270">
      <c r="D270" s="29" t="n"/>
      <c r="E270" s="29" t="n"/>
      <c r="F270" s="28" t="n"/>
      <c r="G270" s="30">
        <f>IF(AND(TRIM(D270)="",TRIM(E270)=""),"",IF(OR(TRIM(D270)="",TRIM(D270)="-"),TRIM(E270),TRIM(D270)&amp;TRIM(E270)))</f>
        <v/>
      </c>
      <c r="H270" s="30">
        <f>IF(G270="","",SUMPRODUCT(--($G$4:$G$303&lt;&gt;""),--($G$4:$G$303&lt;G270))+COUNTIF($G$4:G270,G270))</f>
        <v/>
      </c>
      <c r="I270" s="30">
        <f>IFERROR(INDEX($G$4:$G$303,MATCH(ROW()-3,$H$4:$H$303,0)),"")</f>
        <v/>
      </c>
    </row>
    <row r="271">
      <c r="D271" s="29" t="n"/>
      <c r="E271" s="29" t="n"/>
      <c r="F271" s="28" t="n"/>
      <c r="G271" s="30">
        <f>IF(AND(TRIM(D271)="",TRIM(E271)=""),"",IF(OR(TRIM(D271)="",TRIM(D271)="-"),TRIM(E271),TRIM(D271)&amp;TRIM(E271)))</f>
        <v/>
      </c>
      <c r="H271" s="30">
        <f>IF(G271="","",SUMPRODUCT(--($G$4:$G$303&lt;&gt;""),--($G$4:$G$303&lt;G271))+COUNTIF($G$4:G271,G271))</f>
        <v/>
      </c>
      <c r="I271" s="30">
        <f>IFERROR(INDEX($G$4:$G$303,MATCH(ROW()-3,$H$4:$H$303,0)),"")</f>
        <v/>
      </c>
    </row>
    <row r="272">
      <c r="D272" s="29" t="n"/>
      <c r="E272" s="29" t="n"/>
      <c r="F272" s="28" t="n"/>
      <c r="G272" s="30">
        <f>IF(AND(TRIM(D272)="",TRIM(E272)=""),"",IF(OR(TRIM(D272)="",TRIM(D272)="-"),TRIM(E272),TRIM(D272)&amp;TRIM(E272)))</f>
        <v/>
      </c>
      <c r="H272" s="30">
        <f>IF(G272="","",SUMPRODUCT(--($G$4:$G$303&lt;&gt;""),--($G$4:$G$303&lt;G272))+COUNTIF($G$4:G272,G272))</f>
        <v/>
      </c>
      <c r="I272" s="30">
        <f>IFERROR(INDEX($G$4:$G$303,MATCH(ROW()-3,$H$4:$H$303,0)),"")</f>
        <v/>
      </c>
    </row>
    <row r="273">
      <c r="D273" s="29" t="n"/>
      <c r="E273" s="29" t="n"/>
      <c r="F273" s="28" t="n"/>
      <c r="G273" s="30">
        <f>IF(AND(TRIM(D273)="",TRIM(E273)=""),"",IF(OR(TRIM(D273)="",TRIM(D273)="-"),TRIM(E273),TRIM(D273)&amp;TRIM(E273)))</f>
        <v/>
      </c>
      <c r="H273" s="30">
        <f>IF(G273="","",SUMPRODUCT(--($G$4:$G$303&lt;&gt;""),--($G$4:$G$303&lt;G273))+COUNTIF($G$4:G273,G273))</f>
        <v/>
      </c>
      <c r="I273" s="30">
        <f>IFERROR(INDEX($G$4:$G$303,MATCH(ROW()-3,$H$4:$H$303,0)),"")</f>
        <v/>
      </c>
    </row>
    <row r="274">
      <c r="D274" s="29" t="n"/>
      <c r="E274" s="29" t="n"/>
      <c r="F274" s="28" t="n"/>
      <c r="G274" s="30">
        <f>IF(AND(TRIM(D274)="",TRIM(E274)=""),"",IF(OR(TRIM(D274)="",TRIM(D274)="-"),TRIM(E274),TRIM(D274)&amp;TRIM(E274)))</f>
        <v/>
      </c>
      <c r="H274" s="30">
        <f>IF(G274="","",SUMPRODUCT(--($G$4:$G$303&lt;&gt;""),--($G$4:$G$303&lt;G274))+COUNTIF($G$4:G274,G274))</f>
        <v/>
      </c>
      <c r="I274" s="30">
        <f>IFERROR(INDEX($G$4:$G$303,MATCH(ROW()-3,$H$4:$H$303,0)),"")</f>
        <v/>
      </c>
    </row>
    <row r="275">
      <c r="D275" s="29" t="n"/>
      <c r="E275" s="29" t="n"/>
      <c r="F275" s="28" t="n"/>
      <c r="G275" s="30">
        <f>IF(AND(TRIM(D275)="",TRIM(E275)=""),"",IF(OR(TRIM(D275)="",TRIM(D275)="-"),TRIM(E275),TRIM(D275)&amp;TRIM(E275)))</f>
        <v/>
      </c>
      <c r="H275" s="30">
        <f>IF(G275="","",SUMPRODUCT(--($G$4:$G$303&lt;&gt;""),--($G$4:$G$303&lt;G275))+COUNTIF($G$4:G275,G275))</f>
        <v/>
      </c>
      <c r="I275" s="30">
        <f>IFERROR(INDEX($G$4:$G$303,MATCH(ROW()-3,$H$4:$H$303,0)),"")</f>
        <v/>
      </c>
    </row>
    <row r="276">
      <c r="D276" s="29" t="n"/>
      <c r="E276" s="29" t="n"/>
      <c r="F276" s="28" t="n"/>
      <c r="G276" s="30">
        <f>IF(AND(TRIM(D276)="",TRIM(E276)=""),"",IF(OR(TRIM(D276)="",TRIM(D276)="-"),TRIM(E276),TRIM(D276)&amp;TRIM(E276)))</f>
        <v/>
      </c>
      <c r="H276" s="30">
        <f>IF(G276="","",SUMPRODUCT(--($G$4:$G$303&lt;&gt;""),--($G$4:$G$303&lt;G276))+COUNTIF($G$4:G276,G276))</f>
        <v/>
      </c>
      <c r="I276" s="30">
        <f>IFERROR(INDEX($G$4:$G$303,MATCH(ROW()-3,$H$4:$H$303,0)),"")</f>
        <v/>
      </c>
    </row>
    <row r="277">
      <c r="D277" s="29" t="n"/>
      <c r="E277" s="29" t="n"/>
      <c r="F277" s="28" t="n"/>
      <c r="G277" s="30">
        <f>IF(AND(TRIM(D277)="",TRIM(E277)=""),"",IF(OR(TRIM(D277)="",TRIM(D277)="-"),TRIM(E277),TRIM(D277)&amp;TRIM(E277)))</f>
        <v/>
      </c>
      <c r="H277" s="30">
        <f>IF(G277="","",SUMPRODUCT(--($G$4:$G$303&lt;&gt;""),--($G$4:$G$303&lt;G277))+COUNTIF($G$4:G277,G277))</f>
        <v/>
      </c>
      <c r="I277" s="30">
        <f>IFERROR(INDEX($G$4:$G$303,MATCH(ROW()-3,$H$4:$H$303,0)),"")</f>
        <v/>
      </c>
    </row>
    <row r="278">
      <c r="D278" s="29" t="n"/>
      <c r="E278" s="29" t="n"/>
      <c r="F278" s="28" t="n"/>
      <c r="G278" s="30">
        <f>IF(AND(TRIM(D278)="",TRIM(E278)=""),"",IF(OR(TRIM(D278)="",TRIM(D278)="-"),TRIM(E278),TRIM(D278)&amp;TRIM(E278)))</f>
        <v/>
      </c>
      <c r="H278" s="30">
        <f>IF(G278="","",SUMPRODUCT(--($G$4:$G$303&lt;&gt;""),--($G$4:$G$303&lt;G278))+COUNTIF($G$4:G278,G278))</f>
        <v/>
      </c>
      <c r="I278" s="30">
        <f>IFERROR(INDEX($G$4:$G$303,MATCH(ROW()-3,$H$4:$H$303,0)),"")</f>
        <v/>
      </c>
    </row>
    <row r="279">
      <c r="D279" s="29" t="n"/>
      <c r="E279" s="29" t="n"/>
      <c r="F279" s="28" t="n"/>
      <c r="G279" s="30">
        <f>IF(AND(TRIM(D279)="",TRIM(E279)=""),"",IF(OR(TRIM(D279)="",TRIM(D279)="-"),TRIM(E279),TRIM(D279)&amp;TRIM(E279)))</f>
        <v/>
      </c>
      <c r="H279" s="30">
        <f>IF(G279="","",SUMPRODUCT(--($G$4:$G$303&lt;&gt;""),--($G$4:$G$303&lt;G279))+COUNTIF($G$4:G279,G279))</f>
        <v/>
      </c>
      <c r="I279" s="30">
        <f>IFERROR(INDEX($G$4:$G$303,MATCH(ROW()-3,$H$4:$H$303,0)),"")</f>
        <v/>
      </c>
    </row>
    <row r="280">
      <c r="D280" s="29" t="n"/>
      <c r="E280" s="29" t="n"/>
      <c r="F280" s="28" t="n"/>
      <c r="G280" s="30">
        <f>IF(AND(TRIM(D280)="",TRIM(E280)=""),"",IF(OR(TRIM(D280)="",TRIM(D280)="-"),TRIM(E280),TRIM(D280)&amp;TRIM(E280)))</f>
        <v/>
      </c>
      <c r="H280" s="30">
        <f>IF(G280="","",SUMPRODUCT(--($G$4:$G$303&lt;&gt;""),--($G$4:$G$303&lt;G280))+COUNTIF($G$4:G280,G280))</f>
        <v/>
      </c>
      <c r="I280" s="30">
        <f>IFERROR(INDEX($G$4:$G$303,MATCH(ROW()-3,$H$4:$H$303,0)),"")</f>
        <v/>
      </c>
    </row>
    <row r="281">
      <c r="D281" s="29" t="n"/>
      <c r="E281" s="29" t="n"/>
      <c r="F281" s="28" t="n"/>
      <c r="G281" s="30">
        <f>IF(AND(TRIM(D281)="",TRIM(E281)=""),"",IF(OR(TRIM(D281)="",TRIM(D281)="-"),TRIM(E281),TRIM(D281)&amp;TRIM(E281)))</f>
        <v/>
      </c>
      <c r="H281" s="30">
        <f>IF(G281="","",SUMPRODUCT(--($G$4:$G$303&lt;&gt;""),--($G$4:$G$303&lt;G281))+COUNTIF($G$4:G281,G281))</f>
        <v/>
      </c>
      <c r="I281" s="30">
        <f>IFERROR(INDEX($G$4:$G$303,MATCH(ROW()-3,$H$4:$H$303,0)),"")</f>
        <v/>
      </c>
    </row>
    <row r="282">
      <c r="D282" s="29" t="n"/>
      <c r="E282" s="29" t="n"/>
      <c r="F282" s="28" t="n"/>
      <c r="G282" s="30">
        <f>IF(AND(TRIM(D282)="",TRIM(E282)=""),"",IF(OR(TRIM(D282)="",TRIM(D282)="-"),TRIM(E282),TRIM(D282)&amp;TRIM(E282)))</f>
        <v/>
      </c>
      <c r="H282" s="30">
        <f>IF(G282="","",SUMPRODUCT(--($G$4:$G$303&lt;&gt;""),--($G$4:$G$303&lt;G282))+COUNTIF($G$4:G282,G282))</f>
        <v/>
      </c>
      <c r="I282" s="30">
        <f>IFERROR(INDEX($G$4:$G$303,MATCH(ROW()-3,$H$4:$H$303,0)),"")</f>
        <v/>
      </c>
    </row>
    <row r="283">
      <c r="D283" s="29" t="n"/>
      <c r="E283" s="29" t="n"/>
      <c r="F283" s="28" t="n"/>
      <c r="G283" s="30">
        <f>IF(AND(TRIM(D283)="",TRIM(E283)=""),"",IF(OR(TRIM(D283)="",TRIM(D283)="-"),TRIM(E283),TRIM(D283)&amp;TRIM(E283)))</f>
        <v/>
      </c>
      <c r="H283" s="30">
        <f>IF(G283="","",SUMPRODUCT(--($G$4:$G$303&lt;&gt;""),--($G$4:$G$303&lt;G283))+COUNTIF($G$4:G283,G283))</f>
        <v/>
      </c>
      <c r="I283" s="30">
        <f>IFERROR(INDEX($G$4:$G$303,MATCH(ROW()-3,$H$4:$H$303,0)),"")</f>
        <v/>
      </c>
    </row>
    <row r="284">
      <c r="D284" s="29" t="n"/>
      <c r="E284" s="29" t="n"/>
      <c r="F284" s="28" t="n"/>
      <c r="G284" s="30">
        <f>IF(AND(TRIM(D284)="",TRIM(E284)=""),"",IF(OR(TRIM(D284)="",TRIM(D284)="-"),TRIM(E284),TRIM(D284)&amp;TRIM(E284)))</f>
        <v/>
      </c>
      <c r="H284" s="30">
        <f>IF(G284="","",SUMPRODUCT(--($G$4:$G$303&lt;&gt;""),--($G$4:$G$303&lt;G284))+COUNTIF($G$4:G284,G284))</f>
        <v/>
      </c>
      <c r="I284" s="30">
        <f>IFERROR(INDEX($G$4:$G$303,MATCH(ROW()-3,$H$4:$H$303,0)),"")</f>
        <v/>
      </c>
    </row>
    <row r="285">
      <c r="D285" s="29" t="n"/>
      <c r="E285" s="29" t="n"/>
      <c r="F285" s="28" t="n"/>
      <c r="G285" s="30">
        <f>IF(AND(TRIM(D285)="",TRIM(E285)=""),"",IF(OR(TRIM(D285)="",TRIM(D285)="-"),TRIM(E285),TRIM(D285)&amp;TRIM(E285)))</f>
        <v/>
      </c>
      <c r="H285" s="30">
        <f>IF(G285="","",SUMPRODUCT(--($G$4:$G$303&lt;&gt;""),--($G$4:$G$303&lt;G285))+COUNTIF($G$4:G285,G285))</f>
        <v/>
      </c>
      <c r="I285" s="30">
        <f>IFERROR(INDEX($G$4:$G$303,MATCH(ROW()-3,$H$4:$H$303,0)),"")</f>
        <v/>
      </c>
    </row>
    <row r="286">
      <c r="D286" s="29" t="n"/>
      <c r="E286" s="29" t="n"/>
      <c r="F286" s="28" t="n"/>
      <c r="G286" s="30">
        <f>IF(AND(TRIM(D286)="",TRIM(E286)=""),"",IF(OR(TRIM(D286)="",TRIM(D286)="-"),TRIM(E286),TRIM(D286)&amp;TRIM(E286)))</f>
        <v/>
      </c>
      <c r="H286" s="30">
        <f>IF(G286="","",SUMPRODUCT(--($G$4:$G$303&lt;&gt;""),--($G$4:$G$303&lt;G286))+COUNTIF($G$4:G286,G286))</f>
        <v/>
      </c>
      <c r="I286" s="30">
        <f>IFERROR(INDEX($G$4:$G$303,MATCH(ROW()-3,$H$4:$H$303,0)),"")</f>
        <v/>
      </c>
    </row>
    <row r="287">
      <c r="D287" s="29" t="n"/>
      <c r="E287" s="29" t="n"/>
      <c r="F287" s="28" t="n"/>
      <c r="G287" s="30">
        <f>IF(AND(TRIM(D287)="",TRIM(E287)=""),"",IF(OR(TRIM(D287)="",TRIM(D287)="-"),TRIM(E287),TRIM(D287)&amp;TRIM(E287)))</f>
        <v/>
      </c>
      <c r="H287" s="30">
        <f>IF(G287="","",SUMPRODUCT(--($G$4:$G$303&lt;&gt;""),--($G$4:$G$303&lt;G287))+COUNTIF($G$4:G287,G287))</f>
        <v/>
      </c>
      <c r="I287" s="30">
        <f>IFERROR(INDEX($G$4:$G$303,MATCH(ROW()-3,$H$4:$H$303,0)),"")</f>
        <v/>
      </c>
    </row>
    <row r="288">
      <c r="D288" s="29" t="n"/>
      <c r="E288" s="29" t="n"/>
      <c r="F288" s="28" t="n"/>
      <c r="G288" s="30">
        <f>IF(AND(TRIM(D288)="",TRIM(E288)=""),"",IF(OR(TRIM(D288)="",TRIM(D288)="-"),TRIM(E288),TRIM(D288)&amp;TRIM(E288)))</f>
        <v/>
      </c>
      <c r="H288" s="30">
        <f>IF(G288="","",SUMPRODUCT(--($G$4:$G$303&lt;&gt;""),--($G$4:$G$303&lt;G288))+COUNTIF($G$4:G288,G288))</f>
        <v/>
      </c>
      <c r="I288" s="30">
        <f>IFERROR(INDEX($G$4:$G$303,MATCH(ROW()-3,$H$4:$H$303,0)),"")</f>
        <v/>
      </c>
    </row>
    <row r="289">
      <c r="D289" s="29" t="n"/>
      <c r="E289" s="29" t="n"/>
      <c r="F289" s="28" t="n"/>
      <c r="G289" s="30">
        <f>IF(AND(TRIM(D289)="",TRIM(E289)=""),"",IF(OR(TRIM(D289)="",TRIM(D289)="-"),TRIM(E289),TRIM(D289)&amp;TRIM(E289)))</f>
        <v/>
      </c>
      <c r="H289" s="30">
        <f>IF(G289="","",SUMPRODUCT(--($G$4:$G$303&lt;&gt;""),--($G$4:$G$303&lt;G289))+COUNTIF($G$4:G289,G289))</f>
        <v/>
      </c>
      <c r="I289" s="30">
        <f>IFERROR(INDEX($G$4:$G$303,MATCH(ROW()-3,$H$4:$H$303,0)),"")</f>
        <v/>
      </c>
    </row>
    <row r="290">
      <c r="D290" s="29" t="n"/>
      <c r="E290" s="29" t="n"/>
      <c r="F290" s="28" t="n"/>
      <c r="G290" s="30">
        <f>IF(AND(TRIM(D290)="",TRIM(E290)=""),"",IF(OR(TRIM(D290)="",TRIM(D290)="-"),TRIM(E290),TRIM(D290)&amp;TRIM(E290)))</f>
        <v/>
      </c>
      <c r="H290" s="30">
        <f>IF(G290="","",SUMPRODUCT(--($G$4:$G$303&lt;&gt;""),--($G$4:$G$303&lt;G290))+COUNTIF($G$4:G290,G290))</f>
        <v/>
      </c>
      <c r="I290" s="30">
        <f>IFERROR(INDEX($G$4:$G$303,MATCH(ROW()-3,$H$4:$H$303,0)),"")</f>
        <v/>
      </c>
    </row>
    <row r="291">
      <c r="D291" s="29" t="n"/>
      <c r="E291" s="29" t="n"/>
      <c r="F291" s="28" t="n"/>
      <c r="G291" s="30">
        <f>IF(AND(TRIM(D291)="",TRIM(E291)=""),"",IF(OR(TRIM(D291)="",TRIM(D291)="-"),TRIM(E291),TRIM(D291)&amp;TRIM(E291)))</f>
        <v/>
      </c>
      <c r="H291" s="30">
        <f>IF(G291="","",SUMPRODUCT(--($G$4:$G$303&lt;&gt;""),--($G$4:$G$303&lt;G291))+COUNTIF($G$4:G291,G291))</f>
        <v/>
      </c>
      <c r="I291" s="30">
        <f>IFERROR(INDEX($G$4:$G$303,MATCH(ROW()-3,$H$4:$H$303,0)),"")</f>
        <v/>
      </c>
    </row>
    <row r="292">
      <c r="D292" s="29" t="n"/>
      <c r="E292" s="29" t="n"/>
      <c r="F292" s="28" t="n"/>
      <c r="G292" s="30">
        <f>IF(AND(TRIM(D292)="",TRIM(E292)=""),"",IF(OR(TRIM(D292)="",TRIM(D292)="-"),TRIM(E292),TRIM(D292)&amp;TRIM(E292)))</f>
        <v/>
      </c>
      <c r="H292" s="30">
        <f>IF(G292="","",SUMPRODUCT(--($G$4:$G$303&lt;&gt;""),--($G$4:$G$303&lt;G292))+COUNTIF($G$4:G292,G292))</f>
        <v/>
      </c>
      <c r="I292" s="30">
        <f>IFERROR(INDEX($G$4:$G$303,MATCH(ROW()-3,$H$4:$H$303,0)),"")</f>
        <v/>
      </c>
    </row>
    <row r="293">
      <c r="D293" s="29" t="n"/>
      <c r="E293" s="29" t="n"/>
      <c r="F293" s="28" t="n"/>
      <c r="G293" s="30">
        <f>IF(AND(TRIM(D293)="",TRIM(E293)=""),"",IF(OR(TRIM(D293)="",TRIM(D293)="-"),TRIM(E293),TRIM(D293)&amp;TRIM(E293)))</f>
        <v/>
      </c>
      <c r="H293" s="30">
        <f>IF(G293="","",SUMPRODUCT(--($G$4:$G$303&lt;&gt;""),--($G$4:$G$303&lt;G293))+COUNTIF($G$4:G293,G293))</f>
        <v/>
      </c>
      <c r="I293" s="30">
        <f>IFERROR(INDEX($G$4:$G$303,MATCH(ROW()-3,$H$4:$H$303,0)),"")</f>
        <v/>
      </c>
    </row>
    <row r="294">
      <c r="D294" s="29" t="n"/>
      <c r="E294" s="29" t="n"/>
      <c r="F294" s="28" t="n"/>
      <c r="G294" s="30">
        <f>IF(AND(TRIM(D294)="",TRIM(E294)=""),"",IF(OR(TRIM(D294)="",TRIM(D294)="-"),TRIM(E294),TRIM(D294)&amp;TRIM(E294)))</f>
        <v/>
      </c>
      <c r="H294" s="30">
        <f>IF(G294="","",SUMPRODUCT(--($G$4:$G$303&lt;&gt;""),--($G$4:$G$303&lt;G294))+COUNTIF($G$4:G294,G294))</f>
        <v/>
      </c>
      <c r="I294" s="30">
        <f>IFERROR(INDEX($G$4:$G$303,MATCH(ROW()-3,$H$4:$H$303,0)),"")</f>
        <v/>
      </c>
    </row>
    <row r="295">
      <c r="D295" s="29" t="n"/>
      <c r="E295" s="29" t="n"/>
      <c r="F295" s="28" t="n"/>
      <c r="G295" s="30">
        <f>IF(AND(TRIM(D295)="",TRIM(E295)=""),"",IF(OR(TRIM(D295)="",TRIM(D295)="-"),TRIM(E295),TRIM(D295)&amp;TRIM(E295)))</f>
        <v/>
      </c>
      <c r="H295" s="30">
        <f>IF(G295="","",SUMPRODUCT(--($G$4:$G$303&lt;&gt;""),--($G$4:$G$303&lt;G295))+COUNTIF($G$4:G295,G295))</f>
        <v/>
      </c>
      <c r="I295" s="30">
        <f>IFERROR(INDEX($G$4:$G$303,MATCH(ROW()-3,$H$4:$H$303,0)),"")</f>
        <v/>
      </c>
    </row>
    <row r="296">
      <c r="D296" s="29" t="n"/>
      <c r="E296" s="29" t="n"/>
      <c r="F296" s="28" t="n"/>
      <c r="G296" s="30">
        <f>IF(AND(TRIM(D296)="",TRIM(E296)=""),"",IF(OR(TRIM(D296)="",TRIM(D296)="-"),TRIM(E296),TRIM(D296)&amp;TRIM(E296)))</f>
        <v/>
      </c>
      <c r="H296" s="30">
        <f>IF(G296="","",SUMPRODUCT(--($G$4:$G$303&lt;&gt;""),--($G$4:$G$303&lt;G296))+COUNTIF($G$4:G296,G296))</f>
        <v/>
      </c>
      <c r="I296" s="30">
        <f>IFERROR(INDEX($G$4:$G$303,MATCH(ROW()-3,$H$4:$H$303,0)),"")</f>
        <v/>
      </c>
    </row>
    <row r="297">
      <c r="D297" s="29" t="n"/>
      <c r="E297" s="29" t="n"/>
      <c r="F297" s="28" t="n"/>
      <c r="G297" s="30">
        <f>IF(AND(TRIM(D297)="",TRIM(E297)=""),"",IF(OR(TRIM(D297)="",TRIM(D297)="-"),TRIM(E297),TRIM(D297)&amp;TRIM(E297)))</f>
        <v/>
      </c>
      <c r="H297" s="30">
        <f>IF(G297="","",SUMPRODUCT(--($G$4:$G$303&lt;&gt;""),--($G$4:$G$303&lt;G297))+COUNTIF($G$4:G297,G297))</f>
        <v/>
      </c>
      <c r="I297" s="30">
        <f>IFERROR(INDEX($G$4:$G$303,MATCH(ROW()-3,$H$4:$H$303,0)),"")</f>
        <v/>
      </c>
    </row>
    <row r="298">
      <c r="D298" s="29" t="n"/>
      <c r="E298" s="29" t="n"/>
      <c r="F298" s="28" t="n"/>
      <c r="G298" s="30">
        <f>IF(AND(TRIM(D298)="",TRIM(E298)=""),"",IF(OR(TRIM(D298)="",TRIM(D298)="-"),TRIM(E298),TRIM(D298)&amp;TRIM(E298)))</f>
        <v/>
      </c>
      <c r="H298" s="30">
        <f>IF(G298="","",SUMPRODUCT(--($G$4:$G$303&lt;&gt;""),--($G$4:$G$303&lt;G298))+COUNTIF($G$4:G298,G298))</f>
        <v/>
      </c>
      <c r="I298" s="30">
        <f>IFERROR(INDEX($G$4:$G$303,MATCH(ROW()-3,$H$4:$H$303,0)),"")</f>
        <v/>
      </c>
    </row>
    <row r="299">
      <c r="D299" s="29" t="n"/>
      <c r="E299" s="29" t="n"/>
      <c r="F299" s="28" t="n"/>
      <c r="G299" s="30">
        <f>IF(AND(TRIM(D299)="",TRIM(E299)=""),"",IF(OR(TRIM(D299)="",TRIM(D299)="-"),TRIM(E299),TRIM(D299)&amp;TRIM(E299)))</f>
        <v/>
      </c>
      <c r="H299" s="30">
        <f>IF(G299="","",SUMPRODUCT(--($G$4:$G$303&lt;&gt;""),--($G$4:$G$303&lt;G299))+COUNTIF($G$4:G299,G299))</f>
        <v/>
      </c>
      <c r="I299" s="30">
        <f>IFERROR(INDEX($G$4:$G$303,MATCH(ROW()-3,$H$4:$H$303,0)),"")</f>
        <v/>
      </c>
    </row>
    <row r="300">
      <c r="D300" s="29" t="n"/>
      <c r="E300" s="29" t="n"/>
      <c r="F300" s="28" t="n"/>
      <c r="G300" s="30">
        <f>IF(AND(TRIM(D300)="",TRIM(E300)=""),"",IF(OR(TRIM(D300)="",TRIM(D300)="-"),TRIM(E300),TRIM(D300)&amp;TRIM(E300)))</f>
        <v/>
      </c>
      <c r="H300" s="30">
        <f>IF(G300="","",SUMPRODUCT(--($G$4:$G$303&lt;&gt;""),--($G$4:$G$303&lt;G300))+COUNTIF($G$4:G300,G300))</f>
        <v/>
      </c>
      <c r="I300" s="30">
        <f>IFERROR(INDEX($G$4:$G$303,MATCH(ROW()-3,$H$4:$H$303,0)),"")</f>
        <v/>
      </c>
    </row>
    <row r="301">
      <c r="D301" s="29" t="n"/>
      <c r="E301" s="29" t="n"/>
      <c r="F301" s="28" t="n"/>
      <c r="G301" s="30">
        <f>IF(AND(TRIM(D301)="",TRIM(E301)=""),"",IF(OR(TRIM(D301)="",TRIM(D301)="-"),TRIM(E301),TRIM(D301)&amp;TRIM(E301)))</f>
        <v/>
      </c>
      <c r="H301" s="30">
        <f>IF(G301="","",SUMPRODUCT(--($G$4:$G$303&lt;&gt;""),--($G$4:$G$303&lt;G301))+COUNTIF($G$4:G301,G301))</f>
        <v/>
      </c>
      <c r="I301" s="30">
        <f>IFERROR(INDEX($G$4:$G$303,MATCH(ROW()-3,$H$4:$H$303,0)),"")</f>
        <v/>
      </c>
    </row>
    <row r="302">
      <c r="D302" s="29" t="n"/>
      <c r="E302" s="29" t="n"/>
      <c r="F302" s="28" t="n"/>
      <c r="G302" s="30">
        <f>IF(AND(TRIM(D302)="",TRIM(E302)=""),"",IF(OR(TRIM(D302)="",TRIM(D302)="-"),TRIM(E302),TRIM(D302)&amp;TRIM(E302)))</f>
        <v/>
      </c>
      <c r="H302" s="30">
        <f>IF(G302="","",SUMPRODUCT(--($G$4:$G$303&lt;&gt;""),--($G$4:$G$303&lt;G302))+COUNTIF($G$4:G302,G302))</f>
        <v/>
      </c>
      <c r="I302" s="30">
        <f>IFERROR(INDEX($G$4:$G$303,MATCH(ROW()-3,$H$4:$H$303,0)),"")</f>
        <v/>
      </c>
    </row>
    <row r="303">
      <c r="D303" s="29" t="n"/>
      <c r="E303" s="29" t="n"/>
      <c r="F303" s="28" t="n"/>
      <c r="G303" s="30">
        <f>IF(AND(TRIM(D303)="",TRIM(E303)=""),"",IF(OR(TRIM(D303)="",TRIM(D303)="-"),TRIM(E303),TRIM(D303)&amp;TRIM(E303)))</f>
        <v/>
      </c>
      <c r="H303" s="30">
        <f>IF(G303="","",SUMPRODUCT(--($G$4:$G$303&lt;&gt;""),--($G$4:$G$303&lt;G303))+COUNTIF($G$4:G303,G303))</f>
        <v/>
      </c>
      <c r="I303" s="30">
        <f>IFERROR(INDEX($G$4:$G$303,MATCH(ROW()-3,$H$4:$H$303,0)),"")</f>
        <v/>
      </c>
    </row>
  </sheetData>
  <dataValidations count="1">
    <dataValidation sqref="B4:B16 F4:F303" showDropDown="0" showInputMessage="0" showErrorMessage="1" allowBlank="1" errorTitle="Numbers only 只能输入数字" error="Please enter numbers only. 请只输入数字。" type="decimal" operator="between">
      <formula1>-999999999</formula1>
      <formula2>999999999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6" customWidth="1" min="4" max="4"/>
    <col width="12" customWidth="1" min="5" max="5"/>
    <col width="14" customWidth="1" min="6" max="6"/>
    <col width="14" customWidth="1" min="7" max="7"/>
    <col width="16" customWidth="1" min="8" max="8"/>
    <col width="3" customWidth="1" min="9" max="9"/>
    <col width="9" customWidth="1" min="10" max="10"/>
    <col width="9" customWidth="1" min="11" max="11"/>
    <col width="9" customWidth="1" min="12" max="12"/>
  </cols>
  <sheetData>
    <row r="1">
      <c r="A1" s="20" t="inlineStr">
        <is>
          <t>Date
日期</t>
        </is>
      </c>
      <c r="B1" s="20" t="inlineStr">
        <is>
          <t>Description
说明</t>
        </is>
      </c>
      <c r="C1" s="20" t="inlineStr">
        <is>
          <t>Type
类别</t>
        </is>
      </c>
      <c r="D1" s="20" t="inlineStr">
        <is>
          <t>Buyer / Debtor
买家</t>
        </is>
      </c>
      <c r="E1" s="20" t="inlineStr">
        <is>
          <t>Cheque (unit)
支票(张)</t>
        </is>
      </c>
      <c r="F1" s="20" t="inlineStr">
        <is>
          <t>Deposit
存入</t>
        </is>
      </c>
      <c r="G1" s="20" t="inlineStr">
        <is>
          <t>Withdrawal
提取</t>
        </is>
      </c>
      <c r="H1" s="20" t="inlineStr">
        <is>
          <t>Balance
余额</t>
        </is>
      </c>
      <c r="J1" s="21" t="inlineStr">
        <is>
          <t>idx 索引</t>
        </is>
      </c>
      <c r="K1" s="21" t="inlineStr">
        <is>
          <t>key 排序码</t>
        </is>
      </c>
      <c r="L1" s="21" t="inlineStr">
        <is>
          <t>rank 排名</t>
        </is>
      </c>
      <c r="N1" s="18" t="inlineStr">
        <is>
          <t>AUTO 自动 - do not type here 请勿输入. Shows green-table rows AND buyer cheques once their Bank-in date is filled (peach table). 显示绿色表记录及已填存入日期的买家支票。</t>
        </is>
      </c>
    </row>
    <row r="2">
      <c r="A2" s="5">
        <f>IF($J2="","",IF($J2&lt;=1500,INDEX('Daily Sale entry '!$X$1:$X$1501,$J2+1),INDEX('Daily Sale entry '!$V$1:$V$1501,$J2-1499)))</f>
        <v/>
      </c>
      <c r="B2">
        <f>IF($J2="","",IF($J2&lt;=1500,INDEX('Daily Sale entry '!$Y$1:$Y$1501,$J2+1)&amp;"","Buyer cheque banked 买家支票存入"&amp;IF(INDEX('Daily Sale entry '!$U$1:$U$1501,$J2-1499)="","", " - "&amp;INDEX('Daily Sale entry '!$U$1:$U$1501,$J2-1499))))</f>
        <v/>
      </c>
      <c r="C2">
        <f>IF($J2="","",IF($J2&lt;=1500,INDEX('Daily Sale entry '!$Z$1:$Z$1501,$J2+1)&amp;"","Cheque deposit 支票存入 (buyer 买家)"))</f>
        <v/>
      </c>
      <c r="D2">
        <f>IF($J2="","",IF($J2&lt;=1500,INDEX('Daily Sale entry '!$AA$1:$AA$1501,$J2+1)&amp;"",INDEX('Daily Sale entry '!$P$1:$P$1501,$J2-1499)&amp;""))</f>
        <v/>
      </c>
      <c r="E2">
        <f>IF($J2="","",IF($J2&lt;=1500,IF(N(INDEX('Daily Sale entry '!$AB$1:$AB$1501,$J2+1))=0,"",INDEX('Daily Sale entry '!$AB$1:$AB$1501,$J2+1)),1))</f>
        <v/>
      </c>
      <c r="F2" s="6">
        <f>IF($J2="","",IF($J2&lt;=1500,N(INDEX('Daily Sale entry '!$AC$1:$AC$1501,$J2+1))-IF(AND('Opening Balance'!$B$15=1,INDEX('Daily Sale entry '!$Z$1:$Z$1501,$J2+1)="Online collection 网上收款",INDEX('Daily Sale entry '!$AA$1:$AA$1501,$J2+1)&lt;&gt;""),N(INDEX('Daily Sale entry '!$AC$1:$AC$1501,$J2+1))-TRUNC(N(INDEX('Daily Sale entry '!$AC$1:$AC$1501,$J2+1))),0),N(INDEX('Daily Sale entry '!$S$1:$S$1501,$J2-1499))-'Opening Balance'!$B$15*(N(INDEX('Daily Sale entry '!$S$1:$S$1501,$J2-1499))-TRUNC(N(INDEX('Daily Sale entry '!$S$1:$S$1501,$J2-1499))))))</f>
        <v/>
      </c>
      <c r="G2" s="6">
        <f>IF($J2="","",IF($J2&lt;=1500,N(INDEX('Daily Sale entry '!$AD$1:$AD$1501,$J2+1)),0))</f>
        <v/>
      </c>
      <c r="H2" s="6">
        <f>IF($J2="","",ROUND('Opening Balance'!$B$4+SUM($F$2:F2)-SUM($G$2:G2),2))</f>
        <v/>
      </c>
      <c r="J2" s="21">
        <f>IFERROR(MATCH(ROW()-1,$L$2:$L$3001,0),"")</f>
        <v/>
      </c>
      <c r="K2" s="34">
        <f>IF(AND('Daily Sale entry '!X2&lt;&gt;"",OR('Daily Sale entry '!AC2&lt;&gt;"",'Daily Sale entry '!AD2&lt;&gt;"")),'Daily Sale entry '!X2+ROW()/10000000,"")</f>
        <v/>
      </c>
      <c r="L2" s="21">
        <f>IF(K2="","",COUNTIF($K$2:$K$3001,"&lt;"&amp;K2)+1)</f>
        <v/>
      </c>
    </row>
    <row r="3">
      <c r="A3" s="5">
        <f>IF($J3="","",IF($J3&lt;=1500,INDEX('Daily Sale entry '!$X$1:$X$1501,$J3+1),INDEX('Daily Sale entry '!$V$1:$V$1501,$J3-1499)))</f>
        <v/>
      </c>
      <c r="B3">
        <f>IF($J3="","",IF($J3&lt;=1500,INDEX('Daily Sale entry '!$Y$1:$Y$1501,$J3+1)&amp;"","Buyer cheque banked 买家支票存入"&amp;IF(INDEX('Daily Sale entry '!$U$1:$U$1501,$J3-1499)="","", " - "&amp;INDEX('Daily Sale entry '!$U$1:$U$1501,$J3-1499))))</f>
        <v/>
      </c>
      <c r="C3">
        <f>IF($J3="","",IF($J3&lt;=1500,INDEX('Daily Sale entry '!$Z$1:$Z$1501,$J3+1)&amp;"","Cheque deposit 支票存入 (buyer 买家)"))</f>
        <v/>
      </c>
      <c r="D3">
        <f>IF($J3="","",IF($J3&lt;=1500,INDEX('Daily Sale entry '!$AA$1:$AA$1501,$J3+1)&amp;"",INDEX('Daily Sale entry '!$P$1:$P$1501,$J3-1499)&amp;""))</f>
        <v/>
      </c>
      <c r="E3">
        <f>IF($J3="","",IF($J3&lt;=1500,IF(N(INDEX('Daily Sale entry '!$AB$1:$AB$1501,$J3+1))=0,"",INDEX('Daily Sale entry '!$AB$1:$AB$1501,$J3+1)),1))</f>
        <v/>
      </c>
      <c r="F3" s="6">
        <f>IF($J3="","",IF($J3&lt;=1500,N(INDEX('Daily Sale entry '!$AC$1:$AC$1501,$J3+1))-IF(AND('Opening Balance'!$B$15=1,INDEX('Daily Sale entry '!$Z$1:$Z$1501,$J3+1)="Online collection 网上收款",INDEX('Daily Sale entry '!$AA$1:$AA$1501,$J3+1)&lt;&gt;""),N(INDEX('Daily Sale entry '!$AC$1:$AC$1501,$J3+1))-TRUNC(N(INDEX('Daily Sale entry '!$AC$1:$AC$1501,$J3+1))),0),N(INDEX('Daily Sale entry '!$S$1:$S$1501,$J3-1499))-'Opening Balance'!$B$15*(N(INDEX('Daily Sale entry '!$S$1:$S$1501,$J3-1499))-TRUNC(N(INDEX('Daily Sale entry '!$S$1:$S$1501,$J3-1499))))))</f>
        <v/>
      </c>
      <c r="G3" s="6">
        <f>IF($J3="","",IF($J3&lt;=1500,N(INDEX('Daily Sale entry '!$AD$1:$AD$1501,$J3+1)),0))</f>
        <v/>
      </c>
      <c r="H3" s="6">
        <f>IF($J3="","",ROUND('Opening Balance'!$B$4+SUM($F$2:F3)-SUM($G$2:G3),2))</f>
        <v/>
      </c>
      <c r="J3" s="21">
        <f>IFERROR(MATCH(ROW()-1,$L$2:$L$3001,0),"")</f>
        <v/>
      </c>
      <c r="K3" s="34">
        <f>IF(AND('Daily Sale entry '!X3&lt;&gt;"",OR('Daily Sale entry '!AC3&lt;&gt;"",'Daily Sale entry '!AD3&lt;&gt;"")),'Daily Sale entry '!X3+ROW()/10000000,"")</f>
        <v/>
      </c>
      <c r="L3" s="21">
        <f>IF(K3="","",COUNTIF($K$2:$K$3001,"&lt;"&amp;K3)+1)</f>
        <v/>
      </c>
    </row>
    <row r="4">
      <c r="A4" s="5">
        <f>IF($J4="","",IF($J4&lt;=1500,INDEX('Daily Sale entry '!$X$1:$X$1501,$J4+1),INDEX('Daily Sale entry '!$V$1:$V$1501,$J4-1499)))</f>
        <v/>
      </c>
      <c r="B4">
        <f>IF($J4="","",IF($J4&lt;=1500,INDEX('Daily Sale entry '!$Y$1:$Y$1501,$J4+1)&amp;"","Buyer cheque banked 买家支票存入"&amp;IF(INDEX('Daily Sale entry '!$U$1:$U$1501,$J4-1499)="","", " - "&amp;INDEX('Daily Sale entry '!$U$1:$U$1501,$J4-1499))))</f>
        <v/>
      </c>
      <c r="C4">
        <f>IF($J4="","",IF($J4&lt;=1500,INDEX('Daily Sale entry '!$Z$1:$Z$1501,$J4+1)&amp;"","Cheque deposit 支票存入 (buyer 买家)"))</f>
        <v/>
      </c>
      <c r="D4">
        <f>IF($J4="","",IF($J4&lt;=1500,INDEX('Daily Sale entry '!$AA$1:$AA$1501,$J4+1)&amp;"",INDEX('Daily Sale entry '!$P$1:$P$1501,$J4-1499)&amp;""))</f>
        <v/>
      </c>
      <c r="E4">
        <f>IF($J4="","",IF($J4&lt;=1500,IF(N(INDEX('Daily Sale entry '!$AB$1:$AB$1501,$J4+1))=0,"",INDEX('Daily Sale entry '!$AB$1:$AB$1501,$J4+1)),1))</f>
        <v/>
      </c>
      <c r="F4" s="6">
        <f>IF($J4="","",IF($J4&lt;=1500,N(INDEX('Daily Sale entry '!$AC$1:$AC$1501,$J4+1))-IF(AND('Opening Balance'!$B$15=1,INDEX('Daily Sale entry '!$Z$1:$Z$1501,$J4+1)="Online collection 网上收款",INDEX('Daily Sale entry '!$AA$1:$AA$1501,$J4+1)&lt;&gt;""),N(INDEX('Daily Sale entry '!$AC$1:$AC$1501,$J4+1))-TRUNC(N(INDEX('Daily Sale entry '!$AC$1:$AC$1501,$J4+1))),0),N(INDEX('Daily Sale entry '!$S$1:$S$1501,$J4-1499))-'Opening Balance'!$B$15*(N(INDEX('Daily Sale entry '!$S$1:$S$1501,$J4-1499))-TRUNC(N(INDEX('Daily Sale entry '!$S$1:$S$1501,$J4-1499))))))</f>
        <v/>
      </c>
      <c r="G4" s="6">
        <f>IF($J4="","",IF($J4&lt;=1500,N(INDEX('Daily Sale entry '!$AD$1:$AD$1501,$J4+1)),0))</f>
        <v/>
      </c>
      <c r="H4" s="6">
        <f>IF($J4="","",ROUND('Opening Balance'!$B$4+SUM($F$2:F4)-SUM($G$2:G4),2))</f>
        <v/>
      </c>
      <c r="J4" s="21">
        <f>IFERROR(MATCH(ROW()-1,$L$2:$L$3001,0),"")</f>
        <v/>
      </c>
      <c r="K4" s="34">
        <f>IF(AND('Daily Sale entry '!X4&lt;&gt;"",OR('Daily Sale entry '!AC4&lt;&gt;"",'Daily Sale entry '!AD4&lt;&gt;"")),'Daily Sale entry '!X4+ROW()/10000000,"")</f>
        <v/>
      </c>
      <c r="L4" s="21">
        <f>IF(K4="","",COUNTIF($K$2:$K$3001,"&lt;"&amp;K4)+1)</f>
        <v/>
      </c>
    </row>
    <row r="5">
      <c r="A5" s="5">
        <f>IF($J5="","",IF($J5&lt;=1500,INDEX('Daily Sale entry '!$X$1:$X$1501,$J5+1),INDEX('Daily Sale entry '!$V$1:$V$1501,$J5-1499)))</f>
        <v/>
      </c>
      <c r="B5">
        <f>IF($J5="","",IF($J5&lt;=1500,INDEX('Daily Sale entry '!$Y$1:$Y$1501,$J5+1)&amp;"","Buyer cheque banked 买家支票存入"&amp;IF(INDEX('Daily Sale entry '!$U$1:$U$1501,$J5-1499)="","", " - "&amp;INDEX('Daily Sale entry '!$U$1:$U$1501,$J5-1499))))</f>
        <v/>
      </c>
      <c r="C5">
        <f>IF($J5="","",IF($J5&lt;=1500,INDEX('Daily Sale entry '!$Z$1:$Z$1501,$J5+1)&amp;"","Cheque deposit 支票存入 (buyer 买家)"))</f>
        <v/>
      </c>
      <c r="D5">
        <f>IF($J5="","",IF($J5&lt;=1500,INDEX('Daily Sale entry '!$AA$1:$AA$1501,$J5+1)&amp;"",INDEX('Daily Sale entry '!$P$1:$P$1501,$J5-1499)&amp;""))</f>
        <v/>
      </c>
      <c r="E5">
        <f>IF($J5="","",IF($J5&lt;=1500,IF(N(INDEX('Daily Sale entry '!$AB$1:$AB$1501,$J5+1))=0,"",INDEX('Daily Sale entry '!$AB$1:$AB$1501,$J5+1)),1))</f>
        <v/>
      </c>
      <c r="F5" s="6">
        <f>IF($J5="","",IF($J5&lt;=1500,N(INDEX('Daily Sale entry '!$AC$1:$AC$1501,$J5+1))-IF(AND('Opening Balance'!$B$15=1,INDEX('Daily Sale entry '!$Z$1:$Z$1501,$J5+1)="Online collection 网上收款",INDEX('Daily Sale entry '!$AA$1:$AA$1501,$J5+1)&lt;&gt;""),N(INDEX('Daily Sale entry '!$AC$1:$AC$1501,$J5+1))-TRUNC(N(INDEX('Daily Sale entry '!$AC$1:$AC$1501,$J5+1))),0),N(INDEX('Daily Sale entry '!$S$1:$S$1501,$J5-1499))-'Opening Balance'!$B$15*(N(INDEX('Daily Sale entry '!$S$1:$S$1501,$J5-1499))-TRUNC(N(INDEX('Daily Sale entry '!$S$1:$S$1501,$J5-1499))))))</f>
        <v/>
      </c>
      <c r="G5" s="6">
        <f>IF($J5="","",IF($J5&lt;=1500,N(INDEX('Daily Sale entry '!$AD$1:$AD$1501,$J5+1)),0))</f>
        <v/>
      </c>
      <c r="H5" s="6">
        <f>IF($J5="","",ROUND('Opening Balance'!$B$4+SUM($F$2:F5)-SUM($G$2:G5),2))</f>
        <v/>
      </c>
      <c r="J5" s="21">
        <f>IFERROR(MATCH(ROW()-1,$L$2:$L$3001,0),"")</f>
        <v/>
      </c>
      <c r="K5" s="34">
        <f>IF(AND('Daily Sale entry '!X5&lt;&gt;"",OR('Daily Sale entry '!AC5&lt;&gt;"",'Daily Sale entry '!AD5&lt;&gt;"")),'Daily Sale entry '!X5+ROW()/10000000,"")</f>
        <v/>
      </c>
      <c r="L5" s="21">
        <f>IF(K5="","",COUNTIF($K$2:$K$3001,"&lt;"&amp;K5)+1)</f>
        <v/>
      </c>
    </row>
    <row r="6">
      <c r="A6" s="5">
        <f>IF($J6="","",IF($J6&lt;=1500,INDEX('Daily Sale entry '!$X$1:$X$1501,$J6+1),INDEX('Daily Sale entry '!$V$1:$V$1501,$J6-1499)))</f>
        <v/>
      </c>
      <c r="B6">
        <f>IF($J6="","",IF($J6&lt;=1500,INDEX('Daily Sale entry '!$Y$1:$Y$1501,$J6+1)&amp;"","Buyer cheque banked 买家支票存入"&amp;IF(INDEX('Daily Sale entry '!$U$1:$U$1501,$J6-1499)="","", " - "&amp;INDEX('Daily Sale entry '!$U$1:$U$1501,$J6-1499))))</f>
        <v/>
      </c>
      <c r="C6">
        <f>IF($J6="","",IF($J6&lt;=1500,INDEX('Daily Sale entry '!$Z$1:$Z$1501,$J6+1)&amp;"","Cheque deposit 支票存入 (buyer 买家)"))</f>
        <v/>
      </c>
      <c r="D6">
        <f>IF($J6="","",IF($J6&lt;=1500,INDEX('Daily Sale entry '!$AA$1:$AA$1501,$J6+1)&amp;"",INDEX('Daily Sale entry '!$P$1:$P$1501,$J6-1499)&amp;""))</f>
        <v/>
      </c>
      <c r="E6">
        <f>IF($J6="","",IF($J6&lt;=1500,IF(N(INDEX('Daily Sale entry '!$AB$1:$AB$1501,$J6+1))=0,"",INDEX('Daily Sale entry '!$AB$1:$AB$1501,$J6+1)),1))</f>
        <v/>
      </c>
      <c r="F6" s="6">
        <f>IF($J6="","",IF($J6&lt;=1500,N(INDEX('Daily Sale entry '!$AC$1:$AC$1501,$J6+1))-IF(AND('Opening Balance'!$B$15=1,INDEX('Daily Sale entry '!$Z$1:$Z$1501,$J6+1)="Online collection 网上收款",INDEX('Daily Sale entry '!$AA$1:$AA$1501,$J6+1)&lt;&gt;""),N(INDEX('Daily Sale entry '!$AC$1:$AC$1501,$J6+1))-TRUNC(N(INDEX('Daily Sale entry '!$AC$1:$AC$1501,$J6+1))),0),N(INDEX('Daily Sale entry '!$S$1:$S$1501,$J6-1499))-'Opening Balance'!$B$15*(N(INDEX('Daily Sale entry '!$S$1:$S$1501,$J6-1499))-TRUNC(N(INDEX('Daily Sale entry '!$S$1:$S$1501,$J6-1499))))))</f>
        <v/>
      </c>
      <c r="G6" s="6">
        <f>IF($J6="","",IF($J6&lt;=1500,N(INDEX('Daily Sale entry '!$AD$1:$AD$1501,$J6+1)),0))</f>
        <v/>
      </c>
      <c r="H6" s="6">
        <f>IF($J6="","",ROUND('Opening Balance'!$B$4+SUM($F$2:F6)-SUM($G$2:G6),2))</f>
        <v/>
      </c>
      <c r="J6" s="21">
        <f>IFERROR(MATCH(ROW()-1,$L$2:$L$3001,0),"")</f>
        <v/>
      </c>
      <c r="K6" s="34">
        <f>IF(AND('Daily Sale entry '!X6&lt;&gt;"",OR('Daily Sale entry '!AC6&lt;&gt;"",'Daily Sale entry '!AD6&lt;&gt;"")),'Daily Sale entry '!X6+ROW()/10000000,"")</f>
        <v/>
      </c>
      <c r="L6" s="21">
        <f>IF(K6="","",COUNTIF($K$2:$K$3001,"&lt;"&amp;K6)+1)</f>
        <v/>
      </c>
    </row>
    <row r="7">
      <c r="A7" s="5">
        <f>IF($J7="","",IF($J7&lt;=1500,INDEX('Daily Sale entry '!$X$1:$X$1501,$J7+1),INDEX('Daily Sale entry '!$V$1:$V$1501,$J7-1499)))</f>
        <v/>
      </c>
      <c r="B7">
        <f>IF($J7="","",IF($J7&lt;=1500,INDEX('Daily Sale entry '!$Y$1:$Y$1501,$J7+1)&amp;"","Buyer cheque banked 买家支票存入"&amp;IF(INDEX('Daily Sale entry '!$U$1:$U$1501,$J7-1499)="","", " - "&amp;INDEX('Daily Sale entry '!$U$1:$U$1501,$J7-1499))))</f>
        <v/>
      </c>
      <c r="C7">
        <f>IF($J7="","",IF($J7&lt;=1500,INDEX('Daily Sale entry '!$Z$1:$Z$1501,$J7+1)&amp;"","Cheque deposit 支票存入 (buyer 买家)"))</f>
        <v/>
      </c>
      <c r="D7">
        <f>IF($J7="","",IF($J7&lt;=1500,INDEX('Daily Sale entry '!$AA$1:$AA$1501,$J7+1)&amp;"",INDEX('Daily Sale entry '!$P$1:$P$1501,$J7-1499)&amp;""))</f>
        <v/>
      </c>
      <c r="E7">
        <f>IF($J7="","",IF($J7&lt;=1500,IF(N(INDEX('Daily Sale entry '!$AB$1:$AB$1501,$J7+1))=0,"",INDEX('Daily Sale entry '!$AB$1:$AB$1501,$J7+1)),1))</f>
        <v/>
      </c>
      <c r="F7" s="6">
        <f>IF($J7="","",IF($J7&lt;=1500,N(INDEX('Daily Sale entry '!$AC$1:$AC$1501,$J7+1))-IF(AND('Opening Balance'!$B$15=1,INDEX('Daily Sale entry '!$Z$1:$Z$1501,$J7+1)="Online collection 网上收款",INDEX('Daily Sale entry '!$AA$1:$AA$1501,$J7+1)&lt;&gt;""),N(INDEX('Daily Sale entry '!$AC$1:$AC$1501,$J7+1))-TRUNC(N(INDEX('Daily Sale entry '!$AC$1:$AC$1501,$J7+1))),0),N(INDEX('Daily Sale entry '!$S$1:$S$1501,$J7-1499))-'Opening Balance'!$B$15*(N(INDEX('Daily Sale entry '!$S$1:$S$1501,$J7-1499))-TRUNC(N(INDEX('Daily Sale entry '!$S$1:$S$1501,$J7-1499))))))</f>
        <v/>
      </c>
      <c r="G7" s="6">
        <f>IF($J7="","",IF($J7&lt;=1500,N(INDEX('Daily Sale entry '!$AD$1:$AD$1501,$J7+1)),0))</f>
        <v/>
      </c>
      <c r="H7" s="6">
        <f>IF($J7="","",ROUND('Opening Balance'!$B$4+SUM($F$2:F7)-SUM($G$2:G7),2))</f>
        <v/>
      </c>
      <c r="J7" s="21">
        <f>IFERROR(MATCH(ROW()-1,$L$2:$L$3001,0),"")</f>
        <v/>
      </c>
      <c r="K7" s="34">
        <f>IF(AND('Daily Sale entry '!X7&lt;&gt;"",OR('Daily Sale entry '!AC7&lt;&gt;"",'Daily Sale entry '!AD7&lt;&gt;"")),'Daily Sale entry '!X7+ROW()/10000000,"")</f>
        <v/>
      </c>
      <c r="L7" s="21">
        <f>IF(K7="","",COUNTIF($K$2:$K$3001,"&lt;"&amp;K7)+1)</f>
        <v/>
      </c>
    </row>
    <row r="8">
      <c r="A8" s="5">
        <f>IF($J8="","",IF($J8&lt;=1500,INDEX('Daily Sale entry '!$X$1:$X$1501,$J8+1),INDEX('Daily Sale entry '!$V$1:$V$1501,$J8-1499)))</f>
        <v/>
      </c>
      <c r="B8">
        <f>IF($J8="","",IF($J8&lt;=1500,INDEX('Daily Sale entry '!$Y$1:$Y$1501,$J8+1)&amp;"","Buyer cheque banked 买家支票存入"&amp;IF(INDEX('Daily Sale entry '!$U$1:$U$1501,$J8-1499)="","", " - "&amp;INDEX('Daily Sale entry '!$U$1:$U$1501,$J8-1499))))</f>
        <v/>
      </c>
      <c r="C8">
        <f>IF($J8="","",IF($J8&lt;=1500,INDEX('Daily Sale entry '!$Z$1:$Z$1501,$J8+1)&amp;"","Cheque deposit 支票存入 (buyer 买家)"))</f>
        <v/>
      </c>
      <c r="D8">
        <f>IF($J8="","",IF($J8&lt;=1500,INDEX('Daily Sale entry '!$AA$1:$AA$1501,$J8+1)&amp;"",INDEX('Daily Sale entry '!$P$1:$P$1501,$J8-1499)&amp;""))</f>
        <v/>
      </c>
      <c r="E8">
        <f>IF($J8="","",IF($J8&lt;=1500,IF(N(INDEX('Daily Sale entry '!$AB$1:$AB$1501,$J8+1))=0,"",INDEX('Daily Sale entry '!$AB$1:$AB$1501,$J8+1)),1))</f>
        <v/>
      </c>
      <c r="F8" s="6">
        <f>IF($J8="","",IF($J8&lt;=1500,N(INDEX('Daily Sale entry '!$AC$1:$AC$1501,$J8+1))-IF(AND('Opening Balance'!$B$15=1,INDEX('Daily Sale entry '!$Z$1:$Z$1501,$J8+1)="Online collection 网上收款",INDEX('Daily Sale entry '!$AA$1:$AA$1501,$J8+1)&lt;&gt;""),N(INDEX('Daily Sale entry '!$AC$1:$AC$1501,$J8+1))-TRUNC(N(INDEX('Daily Sale entry '!$AC$1:$AC$1501,$J8+1))),0),N(INDEX('Daily Sale entry '!$S$1:$S$1501,$J8-1499))-'Opening Balance'!$B$15*(N(INDEX('Daily Sale entry '!$S$1:$S$1501,$J8-1499))-TRUNC(N(INDEX('Daily Sale entry '!$S$1:$S$1501,$J8-1499))))))</f>
        <v/>
      </c>
      <c r="G8" s="6">
        <f>IF($J8="","",IF($J8&lt;=1500,N(INDEX('Daily Sale entry '!$AD$1:$AD$1501,$J8+1)),0))</f>
        <v/>
      </c>
      <c r="H8" s="6">
        <f>IF($J8="","",ROUND('Opening Balance'!$B$4+SUM($F$2:F8)-SUM($G$2:G8),2))</f>
        <v/>
      </c>
      <c r="J8" s="21">
        <f>IFERROR(MATCH(ROW()-1,$L$2:$L$3001,0),"")</f>
        <v/>
      </c>
      <c r="K8" s="34">
        <f>IF(AND('Daily Sale entry '!X8&lt;&gt;"",OR('Daily Sale entry '!AC8&lt;&gt;"",'Daily Sale entry '!AD8&lt;&gt;"")),'Daily Sale entry '!X8+ROW()/10000000,"")</f>
        <v/>
      </c>
      <c r="L8" s="21">
        <f>IF(K8="","",COUNTIF($K$2:$K$3001,"&lt;"&amp;K8)+1)</f>
        <v/>
      </c>
    </row>
    <row r="9">
      <c r="A9" s="5">
        <f>IF($J9="","",IF($J9&lt;=1500,INDEX('Daily Sale entry '!$X$1:$X$1501,$J9+1),INDEX('Daily Sale entry '!$V$1:$V$1501,$J9-1499)))</f>
        <v/>
      </c>
      <c r="B9">
        <f>IF($J9="","",IF($J9&lt;=1500,INDEX('Daily Sale entry '!$Y$1:$Y$1501,$J9+1)&amp;"","Buyer cheque banked 买家支票存入"&amp;IF(INDEX('Daily Sale entry '!$U$1:$U$1501,$J9-1499)="","", " - "&amp;INDEX('Daily Sale entry '!$U$1:$U$1501,$J9-1499))))</f>
        <v/>
      </c>
      <c r="C9">
        <f>IF($J9="","",IF($J9&lt;=1500,INDEX('Daily Sale entry '!$Z$1:$Z$1501,$J9+1)&amp;"","Cheque deposit 支票存入 (buyer 买家)"))</f>
        <v/>
      </c>
      <c r="D9">
        <f>IF($J9="","",IF($J9&lt;=1500,INDEX('Daily Sale entry '!$AA$1:$AA$1501,$J9+1)&amp;"",INDEX('Daily Sale entry '!$P$1:$P$1501,$J9-1499)&amp;""))</f>
        <v/>
      </c>
      <c r="E9">
        <f>IF($J9="","",IF($J9&lt;=1500,IF(N(INDEX('Daily Sale entry '!$AB$1:$AB$1501,$J9+1))=0,"",INDEX('Daily Sale entry '!$AB$1:$AB$1501,$J9+1)),1))</f>
        <v/>
      </c>
      <c r="F9" s="6">
        <f>IF($J9="","",IF($J9&lt;=1500,N(INDEX('Daily Sale entry '!$AC$1:$AC$1501,$J9+1))-IF(AND('Opening Balance'!$B$15=1,INDEX('Daily Sale entry '!$Z$1:$Z$1501,$J9+1)="Online collection 网上收款",INDEX('Daily Sale entry '!$AA$1:$AA$1501,$J9+1)&lt;&gt;""),N(INDEX('Daily Sale entry '!$AC$1:$AC$1501,$J9+1))-TRUNC(N(INDEX('Daily Sale entry '!$AC$1:$AC$1501,$J9+1))),0),N(INDEX('Daily Sale entry '!$S$1:$S$1501,$J9-1499))-'Opening Balance'!$B$15*(N(INDEX('Daily Sale entry '!$S$1:$S$1501,$J9-1499))-TRUNC(N(INDEX('Daily Sale entry '!$S$1:$S$1501,$J9-1499))))))</f>
        <v/>
      </c>
      <c r="G9" s="6">
        <f>IF($J9="","",IF($J9&lt;=1500,N(INDEX('Daily Sale entry '!$AD$1:$AD$1501,$J9+1)),0))</f>
        <v/>
      </c>
      <c r="H9" s="6">
        <f>IF($J9="","",ROUND('Opening Balance'!$B$4+SUM($F$2:F9)-SUM($G$2:G9),2))</f>
        <v/>
      </c>
      <c r="J9" s="21">
        <f>IFERROR(MATCH(ROW()-1,$L$2:$L$3001,0),"")</f>
        <v/>
      </c>
      <c r="K9" s="34">
        <f>IF(AND('Daily Sale entry '!X9&lt;&gt;"",OR('Daily Sale entry '!AC9&lt;&gt;"",'Daily Sale entry '!AD9&lt;&gt;"")),'Daily Sale entry '!X9+ROW()/10000000,"")</f>
        <v/>
      </c>
      <c r="L9" s="21">
        <f>IF(K9="","",COUNTIF($K$2:$K$3001,"&lt;"&amp;K9)+1)</f>
        <v/>
      </c>
    </row>
    <row r="10">
      <c r="A10" s="5">
        <f>IF($J10="","",IF($J10&lt;=1500,INDEX('Daily Sale entry '!$X$1:$X$1501,$J10+1),INDEX('Daily Sale entry '!$V$1:$V$1501,$J10-1499)))</f>
        <v/>
      </c>
      <c r="B10">
        <f>IF($J10="","",IF($J10&lt;=1500,INDEX('Daily Sale entry '!$Y$1:$Y$1501,$J10+1)&amp;"","Buyer cheque banked 买家支票存入"&amp;IF(INDEX('Daily Sale entry '!$U$1:$U$1501,$J10-1499)="","", " - "&amp;INDEX('Daily Sale entry '!$U$1:$U$1501,$J10-1499))))</f>
        <v/>
      </c>
      <c r="C10">
        <f>IF($J10="","",IF($J10&lt;=1500,INDEX('Daily Sale entry '!$Z$1:$Z$1501,$J10+1)&amp;"","Cheque deposit 支票存入 (buyer 买家)"))</f>
        <v/>
      </c>
      <c r="D10">
        <f>IF($J10="","",IF($J10&lt;=1500,INDEX('Daily Sale entry '!$AA$1:$AA$1501,$J10+1)&amp;"",INDEX('Daily Sale entry '!$P$1:$P$1501,$J10-1499)&amp;""))</f>
        <v/>
      </c>
      <c r="E10">
        <f>IF($J10="","",IF($J10&lt;=1500,IF(N(INDEX('Daily Sale entry '!$AB$1:$AB$1501,$J10+1))=0,"",INDEX('Daily Sale entry '!$AB$1:$AB$1501,$J10+1)),1))</f>
        <v/>
      </c>
      <c r="F10" s="6">
        <f>IF($J10="","",IF($J10&lt;=1500,N(INDEX('Daily Sale entry '!$AC$1:$AC$1501,$J10+1))-IF(AND('Opening Balance'!$B$15=1,INDEX('Daily Sale entry '!$Z$1:$Z$1501,$J10+1)="Online collection 网上收款",INDEX('Daily Sale entry '!$AA$1:$AA$1501,$J10+1)&lt;&gt;""),N(INDEX('Daily Sale entry '!$AC$1:$AC$1501,$J10+1))-TRUNC(N(INDEX('Daily Sale entry '!$AC$1:$AC$1501,$J10+1))),0),N(INDEX('Daily Sale entry '!$S$1:$S$1501,$J10-1499))-'Opening Balance'!$B$15*(N(INDEX('Daily Sale entry '!$S$1:$S$1501,$J10-1499))-TRUNC(N(INDEX('Daily Sale entry '!$S$1:$S$1501,$J10-1499))))))</f>
        <v/>
      </c>
      <c r="G10" s="6">
        <f>IF($J10="","",IF($J10&lt;=1500,N(INDEX('Daily Sale entry '!$AD$1:$AD$1501,$J10+1)),0))</f>
        <v/>
      </c>
      <c r="H10" s="6">
        <f>IF($J10="","",ROUND('Opening Balance'!$B$4+SUM($F$2:F10)-SUM($G$2:G10),2))</f>
        <v/>
      </c>
      <c r="J10" s="21">
        <f>IFERROR(MATCH(ROW()-1,$L$2:$L$3001,0),"")</f>
        <v/>
      </c>
      <c r="K10" s="34">
        <f>IF(AND('Daily Sale entry '!X10&lt;&gt;"",OR('Daily Sale entry '!AC10&lt;&gt;"",'Daily Sale entry '!AD10&lt;&gt;"")),'Daily Sale entry '!X10+ROW()/10000000,"")</f>
        <v/>
      </c>
      <c r="L10" s="21">
        <f>IF(K10="","",COUNTIF($K$2:$K$3001,"&lt;"&amp;K10)+1)</f>
        <v/>
      </c>
    </row>
    <row r="11">
      <c r="A11" s="5">
        <f>IF($J11="","",IF($J11&lt;=1500,INDEX('Daily Sale entry '!$X$1:$X$1501,$J11+1),INDEX('Daily Sale entry '!$V$1:$V$1501,$J11-1499)))</f>
        <v/>
      </c>
      <c r="B11">
        <f>IF($J11="","",IF($J11&lt;=1500,INDEX('Daily Sale entry '!$Y$1:$Y$1501,$J11+1)&amp;"","Buyer cheque banked 买家支票存入"&amp;IF(INDEX('Daily Sale entry '!$U$1:$U$1501,$J11-1499)="","", " - "&amp;INDEX('Daily Sale entry '!$U$1:$U$1501,$J11-1499))))</f>
        <v/>
      </c>
      <c r="C11">
        <f>IF($J11="","",IF($J11&lt;=1500,INDEX('Daily Sale entry '!$Z$1:$Z$1501,$J11+1)&amp;"","Cheque deposit 支票存入 (buyer 买家)"))</f>
        <v/>
      </c>
      <c r="D11">
        <f>IF($J11="","",IF($J11&lt;=1500,INDEX('Daily Sale entry '!$AA$1:$AA$1501,$J11+1)&amp;"",INDEX('Daily Sale entry '!$P$1:$P$1501,$J11-1499)&amp;""))</f>
        <v/>
      </c>
      <c r="E11">
        <f>IF($J11="","",IF($J11&lt;=1500,IF(N(INDEX('Daily Sale entry '!$AB$1:$AB$1501,$J11+1))=0,"",INDEX('Daily Sale entry '!$AB$1:$AB$1501,$J11+1)),1))</f>
        <v/>
      </c>
      <c r="F11" s="6">
        <f>IF($J11="","",IF($J11&lt;=1500,N(INDEX('Daily Sale entry '!$AC$1:$AC$1501,$J11+1))-IF(AND('Opening Balance'!$B$15=1,INDEX('Daily Sale entry '!$Z$1:$Z$1501,$J11+1)="Online collection 网上收款",INDEX('Daily Sale entry '!$AA$1:$AA$1501,$J11+1)&lt;&gt;""),N(INDEX('Daily Sale entry '!$AC$1:$AC$1501,$J11+1))-TRUNC(N(INDEX('Daily Sale entry '!$AC$1:$AC$1501,$J11+1))),0),N(INDEX('Daily Sale entry '!$S$1:$S$1501,$J11-1499))-'Opening Balance'!$B$15*(N(INDEX('Daily Sale entry '!$S$1:$S$1501,$J11-1499))-TRUNC(N(INDEX('Daily Sale entry '!$S$1:$S$1501,$J11-1499))))))</f>
        <v/>
      </c>
      <c r="G11" s="6">
        <f>IF($J11="","",IF($J11&lt;=1500,N(INDEX('Daily Sale entry '!$AD$1:$AD$1501,$J11+1)),0))</f>
        <v/>
      </c>
      <c r="H11" s="6">
        <f>IF($J11="","",ROUND('Opening Balance'!$B$4+SUM($F$2:F11)-SUM($G$2:G11),2))</f>
        <v/>
      </c>
      <c r="J11" s="21">
        <f>IFERROR(MATCH(ROW()-1,$L$2:$L$3001,0),"")</f>
        <v/>
      </c>
      <c r="K11" s="34">
        <f>IF(AND('Daily Sale entry '!X11&lt;&gt;"",OR('Daily Sale entry '!AC11&lt;&gt;"",'Daily Sale entry '!AD11&lt;&gt;"")),'Daily Sale entry '!X11+ROW()/10000000,"")</f>
        <v/>
      </c>
      <c r="L11" s="21">
        <f>IF(K11="","",COUNTIF($K$2:$K$3001,"&lt;"&amp;K11)+1)</f>
        <v/>
      </c>
    </row>
    <row r="12">
      <c r="A12" s="5">
        <f>IF($J12="","",IF($J12&lt;=1500,INDEX('Daily Sale entry '!$X$1:$X$1501,$J12+1),INDEX('Daily Sale entry '!$V$1:$V$1501,$J12-1499)))</f>
        <v/>
      </c>
      <c r="B12">
        <f>IF($J12="","",IF($J12&lt;=1500,INDEX('Daily Sale entry '!$Y$1:$Y$1501,$J12+1)&amp;"","Buyer cheque banked 买家支票存入"&amp;IF(INDEX('Daily Sale entry '!$U$1:$U$1501,$J12-1499)="","", " - "&amp;INDEX('Daily Sale entry '!$U$1:$U$1501,$J12-1499))))</f>
        <v/>
      </c>
      <c r="C12">
        <f>IF($J12="","",IF($J12&lt;=1500,INDEX('Daily Sale entry '!$Z$1:$Z$1501,$J12+1)&amp;"","Cheque deposit 支票存入 (buyer 买家)"))</f>
        <v/>
      </c>
      <c r="D12">
        <f>IF($J12="","",IF($J12&lt;=1500,INDEX('Daily Sale entry '!$AA$1:$AA$1501,$J12+1)&amp;"",INDEX('Daily Sale entry '!$P$1:$P$1501,$J12-1499)&amp;""))</f>
        <v/>
      </c>
      <c r="E12">
        <f>IF($J12="","",IF($J12&lt;=1500,IF(N(INDEX('Daily Sale entry '!$AB$1:$AB$1501,$J12+1))=0,"",INDEX('Daily Sale entry '!$AB$1:$AB$1501,$J12+1)),1))</f>
        <v/>
      </c>
      <c r="F12" s="6">
        <f>IF($J12="","",IF($J12&lt;=1500,N(INDEX('Daily Sale entry '!$AC$1:$AC$1501,$J12+1))-IF(AND('Opening Balance'!$B$15=1,INDEX('Daily Sale entry '!$Z$1:$Z$1501,$J12+1)="Online collection 网上收款",INDEX('Daily Sale entry '!$AA$1:$AA$1501,$J12+1)&lt;&gt;""),N(INDEX('Daily Sale entry '!$AC$1:$AC$1501,$J12+1))-TRUNC(N(INDEX('Daily Sale entry '!$AC$1:$AC$1501,$J12+1))),0),N(INDEX('Daily Sale entry '!$S$1:$S$1501,$J12-1499))-'Opening Balance'!$B$15*(N(INDEX('Daily Sale entry '!$S$1:$S$1501,$J12-1499))-TRUNC(N(INDEX('Daily Sale entry '!$S$1:$S$1501,$J12-1499))))))</f>
        <v/>
      </c>
      <c r="G12" s="6">
        <f>IF($J12="","",IF($J12&lt;=1500,N(INDEX('Daily Sale entry '!$AD$1:$AD$1501,$J12+1)),0))</f>
        <v/>
      </c>
      <c r="H12" s="6">
        <f>IF($J12="","",ROUND('Opening Balance'!$B$4+SUM($F$2:F12)-SUM($G$2:G12),2))</f>
        <v/>
      </c>
      <c r="J12" s="21">
        <f>IFERROR(MATCH(ROW()-1,$L$2:$L$3001,0),"")</f>
        <v/>
      </c>
      <c r="K12" s="34">
        <f>IF(AND('Daily Sale entry '!X12&lt;&gt;"",OR('Daily Sale entry '!AC12&lt;&gt;"",'Daily Sale entry '!AD12&lt;&gt;"")),'Daily Sale entry '!X12+ROW()/10000000,"")</f>
        <v/>
      </c>
      <c r="L12" s="21">
        <f>IF(K12="","",COUNTIF($K$2:$K$3001,"&lt;"&amp;K12)+1)</f>
        <v/>
      </c>
    </row>
    <row r="13">
      <c r="A13" s="5">
        <f>IF($J13="","",IF($J13&lt;=1500,INDEX('Daily Sale entry '!$X$1:$X$1501,$J13+1),INDEX('Daily Sale entry '!$V$1:$V$1501,$J13-1499)))</f>
        <v/>
      </c>
      <c r="B13">
        <f>IF($J13="","",IF($J13&lt;=1500,INDEX('Daily Sale entry '!$Y$1:$Y$1501,$J13+1)&amp;"","Buyer cheque banked 买家支票存入"&amp;IF(INDEX('Daily Sale entry '!$U$1:$U$1501,$J13-1499)="","", " - "&amp;INDEX('Daily Sale entry '!$U$1:$U$1501,$J13-1499))))</f>
        <v/>
      </c>
      <c r="C13">
        <f>IF($J13="","",IF($J13&lt;=1500,INDEX('Daily Sale entry '!$Z$1:$Z$1501,$J13+1)&amp;"","Cheque deposit 支票存入 (buyer 买家)"))</f>
        <v/>
      </c>
      <c r="D13">
        <f>IF($J13="","",IF($J13&lt;=1500,INDEX('Daily Sale entry '!$AA$1:$AA$1501,$J13+1)&amp;"",INDEX('Daily Sale entry '!$P$1:$P$1501,$J13-1499)&amp;""))</f>
        <v/>
      </c>
      <c r="E13">
        <f>IF($J13="","",IF($J13&lt;=1500,IF(N(INDEX('Daily Sale entry '!$AB$1:$AB$1501,$J13+1))=0,"",INDEX('Daily Sale entry '!$AB$1:$AB$1501,$J13+1)),1))</f>
        <v/>
      </c>
      <c r="F13" s="6">
        <f>IF($J13="","",IF($J13&lt;=1500,N(INDEX('Daily Sale entry '!$AC$1:$AC$1501,$J13+1))-IF(AND('Opening Balance'!$B$15=1,INDEX('Daily Sale entry '!$Z$1:$Z$1501,$J13+1)="Online collection 网上收款",INDEX('Daily Sale entry '!$AA$1:$AA$1501,$J13+1)&lt;&gt;""),N(INDEX('Daily Sale entry '!$AC$1:$AC$1501,$J13+1))-TRUNC(N(INDEX('Daily Sale entry '!$AC$1:$AC$1501,$J13+1))),0),N(INDEX('Daily Sale entry '!$S$1:$S$1501,$J13-1499))-'Opening Balance'!$B$15*(N(INDEX('Daily Sale entry '!$S$1:$S$1501,$J13-1499))-TRUNC(N(INDEX('Daily Sale entry '!$S$1:$S$1501,$J13-1499))))))</f>
        <v/>
      </c>
      <c r="G13" s="6">
        <f>IF($J13="","",IF($J13&lt;=1500,N(INDEX('Daily Sale entry '!$AD$1:$AD$1501,$J13+1)),0))</f>
        <v/>
      </c>
      <c r="H13" s="6">
        <f>IF($J13="","",ROUND('Opening Balance'!$B$4+SUM($F$2:F13)-SUM($G$2:G13),2))</f>
        <v/>
      </c>
      <c r="J13" s="21">
        <f>IFERROR(MATCH(ROW()-1,$L$2:$L$3001,0),"")</f>
        <v/>
      </c>
      <c r="K13" s="34">
        <f>IF(AND('Daily Sale entry '!X13&lt;&gt;"",OR('Daily Sale entry '!AC13&lt;&gt;"",'Daily Sale entry '!AD13&lt;&gt;"")),'Daily Sale entry '!X13+ROW()/10000000,"")</f>
        <v/>
      </c>
      <c r="L13" s="21">
        <f>IF(K13="","",COUNTIF($K$2:$K$3001,"&lt;"&amp;K13)+1)</f>
        <v/>
      </c>
    </row>
    <row r="14">
      <c r="A14" s="5">
        <f>IF($J14="","",IF($J14&lt;=1500,INDEX('Daily Sale entry '!$X$1:$X$1501,$J14+1),INDEX('Daily Sale entry '!$V$1:$V$1501,$J14-1499)))</f>
        <v/>
      </c>
      <c r="B14">
        <f>IF($J14="","",IF($J14&lt;=1500,INDEX('Daily Sale entry '!$Y$1:$Y$1501,$J14+1)&amp;"","Buyer cheque banked 买家支票存入"&amp;IF(INDEX('Daily Sale entry '!$U$1:$U$1501,$J14-1499)="","", " - "&amp;INDEX('Daily Sale entry '!$U$1:$U$1501,$J14-1499))))</f>
        <v/>
      </c>
      <c r="C14">
        <f>IF($J14="","",IF($J14&lt;=1500,INDEX('Daily Sale entry '!$Z$1:$Z$1501,$J14+1)&amp;"","Cheque deposit 支票存入 (buyer 买家)"))</f>
        <v/>
      </c>
      <c r="D14">
        <f>IF($J14="","",IF($J14&lt;=1500,INDEX('Daily Sale entry '!$AA$1:$AA$1501,$J14+1)&amp;"",INDEX('Daily Sale entry '!$P$1:$P$1501,$J14-1499)&amp;""))</f>
        <v/>
      </c>
      <c r="E14">
        <f>IF($J14="","",IF($J14&lt;=1500,IF(N(INDEX('Daily Sale entry '!$AB$1:$AB$1501,$J14+1))=0,"",INDEX('Daily Sale entry '!$AB$1:$AB$1501,$J14+1)),1))</f>
        <v/>
      </c>
      <c r="F14" s="6">
        <f>IF($J14="","",IF($J14&lt;=1500,N(INDEX('Daily Sale entry '!$AC$1:$AC$1501,$J14+1))-IF(AND('Opening Balance'!$B$15=1,INDEX('Daily Sale entry '!$Z$1:$Z$1501,$J14+1)="Online collection 网上收款",INDEX('Daily Sale entry '!$AA$1:$AA$1501,$J14+1)&lt;&gt;""),N(INDEX('Daily Sale entry '!$AC$1:$AC$1501,$J14+1))-TRUNC(N(INDEX('Daily Sale entry '!$AC$1:$AC$1501,$J14+1))),0),N(INDEX('Daily Sale entry '!$S$1:$S$1501,$J14-1499))-'Opening Balance'!$B$15*(N(INDEX('Daily Sale entry '!$S$1:$S$1501,$J14-1499))-TRUNC(N(INDEX('Daily Sale entry '!$S$1:$S$1501,$J14-1499))))))</f>
        <v/>
      </c>
      <c r="G14" s="6">
        <f>IF($J14="","",IF($J14&lt;=1500,N(INDEX('Daily Sale entry '!$AD$1:$AD$1501,$J14+1)),0))</f>
        <v/>
      </c>
      <c r="H14" s="6">
        <f>IF($J14="","",ROUND('Opening Balance'!$B$4+SUM($F$2:F14)-SUM($G$2:G14),2))</f>
        <v/>
      </c>
      <c r="J14" s="21">
        <f>IFERROR(MATCH(ROW()-1,$L$2:$L$3001,0),"")</f>
        <v/>
      </c>
      <c r="K14" s="34">
        <f>IF(AND('Daily Sale entry '!X14&lt;&gt;"",OR('Daily Sale entry '!AC14&lt;&gt;"",'Daily Sale entry '!AD14&lt;&gt;"")),'Daily Sale entry '!X14+ROW()/10000000,"")</f>
        <v/>
      </c>
      <c r="L14" s="21">
        <f>IF(K14="","",COUNTIF($K$2:$K$3001,"&lt;"&amp;K14)+1)</f>
        <v/>
      </c>
    </row>
    <row r="15">
      <c r="A15" s="5">
        <f>IF($J15="","",IF($J15&lt;=1500,INDEX('Daily Sale entry '!$X$1:$X$1501,$J15+1),INDEX('Daily Sale entry '!$V$1:$V$1501,$J15-1499)))</f>
        <v/>
      </c>
      <c r="B15">
        <f>IF($J15="","",IF($J15&lt;=1500,INDEX('Daily Sale entry '!$Y$1:$Y$1501,$J15+1)&amp;"","Buyer cheque banked 买家支票存入"&amp;IF(INDEX('Daily Sale entry '!$U$1:$U$1501,$J15-1499)="","", " - "&amp;INDEX('Daily Sale entry '!$U$1:$U$1501,$J15-1499))))</f>
        <v/>
      </c>
      <c r="C15">
        <f>IF($J15="","",IF($J15&lt;=1500,INDEX('Daily Sale entry '!$Z$1:$Z$1501,$J15+1)&amp;"","Cheque deposit 支票存入 (buyer 买家)"))</f>
        <v/>
      </c>
      <c r="D15">
        <f>IF($J15="","",IF($J15&lt;=1500,INDEX('Daily Sale entry '!$AA$1:$AA$1501,$J15+1)&amp;"",INDEX('Daily Sale entry '!$P$1:$P$1501,$J15-1499)&amp;""))</f>
        <v/>
      </c>
      <c r="E15">
        <f>IF($J15="","",IF($J15&lt;=1500,IF(N(INDEX('Daily Sale entry '!$AB$1:$AB$1501,$J15+1))=0,"",INDEX('Daily Sale entry '!$AB$1:$AB$1501,$J15+1)),1))</f>
        <v/>
      </c>
      <c r="F15" s="6">
        <f>IF($J15="","",IF($J15&lt;=1500,N(INDEX('Daily Sale entry '!$AC$1:$AC$1501,$J15+1))-IF(AND('Opening Balance'!$B$15=1,INDEX('Daily Sale entry '!$Z$1:$Z$1501,$J15+1)="Online collection 网上收款",INDEX('Daily Sale entry '!$AA$1:$AA$1501,$J15+1)&lt;&gt;""),N(INDEX('Daily Sale entry '!$AC$1:$AC$1501,$J15+1))-TRUNC(N(INDEX('Daily Sale entry '!$AC$1:$AC$1501,$J15+1))),0),N(INDEX('Daily Sale entry '!$S$1:$S$1501,$J15-1499))-'Opening Balance'!$B$15*(N(INDEX('Daily Sale entry '!$S$1:$S$1501,$J15-1499))-TRUNC(N(INDEX('Daily Sale entry '!$S$1:$S$1501,$J15-1499))))))</f>
        <v/>
      </c>
      <c r="G15" s="6">
        <f>IF($J15="","",IF($J15&lt;=1500,N(INDEX('Daily Sale entry '!$AD$1:$AD$1501,$J15+1)),0))</f>
        <v/>
      </c>
      <c r="H15" s="6">
        <f>IF($J15="","",ROUND('Opening Balance'!$B$4+SUM($F$2:F15)-SUM($G$2:G15),2))</f>
        <v/>
      </c>
      <c r="J15" s="21">
        <f>IFERROR(MATCH(ROW()-1,$L$2:$L$3001,0),"")</f>
        <v/>
      </c>
      <c r="K15" s="34">
        <f>IF(AND('Daily Sale entry '!X15&lt;&gt;"",OR('Daily Sale entry '!AC15&lt;&gt;"",'Daily Sale entry '!AD15&lt;&gt;"")),'Daily Sale entry '!X15+ROW()/10000000,"")</f>
        <v/>
      </c>
      <c r="L15" s="21">
        <f>IF(K15="","",COUNTIF($K$2:$K$3001,"&lt;"&amp;K15)+1)</f>
        <v/>
      </c>
    </row>
    <row r="16">
      <c r="A16" s="5">
        <f>IF($J16="","",IF($J16&lt;=1500,INDEX('Daily Sale entry '!$X$1:$X$1501,$J16+1),INDEX('Daily Sale entry '!$V$1:$V$1501,$J16-1499)))</f>
        <v/>
      </c>
      <c r="B16">
        <f>IF($J16="","",IF($J16&lt;=1500,INDEX('Daily Sale entry '!$Y$1:$Y$1501,$J16+1)&amp;"","Buyer cheque banked 买家支票存入"&amp;IF(INDEX('Daily Sale entry '!$U$1:$U$1501,$J16-1499)="","", " - "&amp;INDEX('Daily Sale entry '!$U$1:$U$1501,$J16-1499))))</f>
        <v/>
      </c>
      <c r="C16">
        <f>IF($J16="","",IF($J16&lt;=1500,INDEX('Daily Sale entry '!$Z$1:$Z$1501,$J16+1)&amp;"","Cheque deposit 支票存入 (buyer 买家)"))</f>
        <v/>
      </c>
      <c r="D16">
        <f>IF($J16="","",IF($J16&lt;=1500,INDEX('Daily Sale entry '!$AA$1:$AA$1501,$J16+1)&amp;"",INDEX('Daily Sale entry '!$P$1:$P$1501,$J16-1499)&amp;""))</f>
        <v/>
      </c>
      <c r="E16">
        <f>IF($J16="","",IF($J16&lt;=1500,IF(N(INDEX('Daily Sale entry '!$AB$1:$AB$1501,$J16+1))=0,"",INDEX('Daily Sale entry '!$AB$1:$AB$1501,$J16+1)),1))</f>
        <v/>
      </c>
      <c r="F16" s="6">
        <f>IF($J16="","",IF($J16&lt;=1500,N(INDEX('Daily Sale entry '!$AC$1:$AC$1501,$J16+1))-IF(AND('Opening Balance'!$B$15=1,INDEX('Daily Sale entry '!$Z$1:$Z$1501,$J16+1)="Online collection 网上收款",INDEX('Daily Sale entry '!$AA$1:$AA$1501,$J16+1)&lt;&gt;""),N(INDEX('Daily Sale entry '!$AC$1:$AC$1501,$J16+1))-TRUNC(N(INDEX('Daily Sale entry '!$AC$1:$AC$1501,$J16+1))),0),N(INDEX('Daily Sale entry '!$S$1:$S$1501,$J16-1499))-'Opening Balance'!$B$15*(N(INDEX('Daily Sale entry '!$S$1:$S$1501,$J16-1499))-TRUNC(N(INDEX('Daily Sale entry '!$S$1:$S$1501,$J16-1499))))))</f>
        <v/>
      </c>
      <c r="G16" s="6">
        <f>IF($J16="","",IF($J16&lt;=1500,N(INDEX('Daily Sale entry '!$AD$1:$AD$1501,$J16+1)),0))</f>
        <v/>
      </c>
      <c r="H16" s="6">
        <f>IF($J16="","",ROUND('Opening Balance'!$B$4+SUM($F$2:F16)-SUM($G$2:G16),2))</f>
        <v/>
      </c>
      <c r="J16" s="21">
        <f>IFERROR(MATCH(ROW()-1,$L$2:$L$3001,0),"")</f>
        <v/>
      </c>
      <c r="K16" s="34">
        <f>IF(AND('Daily Sale entry '!X16&lt;&gt;"",OR('Daily Sale entry '!AC16&lt;&gt;"",'Daily Sale entry '!AD16&lt;&gt;"")),'Daily Sale entry '!X16+ROW()/10000000,"")</f>
        <v/>
      </c>
      <c r="L16" s="21">
        <f>IF(K16="","",COUNTIF($K$2:$K$3001,"&lt;"&amp;K16)+1)</f>
        <v/>
      </c>
    </row>
    <row r="17">
      <c r="A17" s="5">
        <f>IF($J17="","",IF($J17&lt;=1500,INDEX('Daily Sale entry '!$X$1:$X$1501,$J17+1),INDEX('Daily Sale entry '!$V$1:$V$1501,$J17-1499)))</f>
        <v/>
      </c>
      <c r="B17">
        <f>IF($J17="","",IF($J17&lt;=1500,INDEX('Daily Sale entry '!$Y$1:$Y$1501,$J17+1)&amp;"","Buyer cheque banked 买家支票存入"&amp;IF(INDEX('Daily Sale entry '!$U$1:$U$1501,$J17-1499)="","", " - "&amp;INDEX('Daily Sale entry '!$U$1:$U$1501,$J17-1499))))</f>
        <v/>
      </c>
      <c r="C17">
        <f>IF($J17="","",IF($J17&lt;=1500,INDEX('Daily Sale entry '!$Z$1:$Z$1501,$J17+1)&amp;"","Cheque deposit 支票存入 (buyer 买家)"))</f>
        <v/>
      </c>
      <c r="D17">
        <f>IF($J17="","",IF($J17&lt;=1500,INDEX('Daily Sale entry '!$AA$1:$AA$1501,$J17+1)&amp;"",INDEX('Daily Sale entry '!$P$1:$P$1501,$J17-1499)&amp;""))</f>
        <v/>
      </c>
      <c r="E17">
        <f>IF($J17="","",IF($J17&lt;=1500,IF(N(INDEX('Daily Sale entry '!$AB$1:$AB$1501,$J17+1))=0,"",INDEX('Daily Sale entry '!$AB$1:$AB$1501,$J17+1)),1))</f>
        <v/>
      </c>
      <c r="F17" s="6">
        <f>IF($J17="","",IF($J17&lt;=1500,N(INDEX('Daily Sale entry '!$AC$1:$AC$1501,$J17+1))-IF(AND('Opening Balance'!$B$15=1,INDEX('Daily Sale entry '!$Z$1:$Z$1501,$J17+1)="Online collection 网上收款",INDEX('Daily Sale entry '!$AA$1:$AA$1501,$J17+1)&lt;&gt;""),N(INDEX('Daily Sale entry '!$AC$1:$AC$1501,$J17+1))-TRUNC(N(INDEX('Daily Sale entry '!$AC$1:$AC$1501,$J17+1))),0),N(INDEX('Daily Sale entry '!$S$1:$S$1501,$J17-1499))-'Opening Balance'!$B$15*(N(INDEX('Daily Sale entry '!$S$1:$S$1501,$J17-1499))-TRUNC(N(INDEX('Daily Sale entry '!$S$1:$S$1501,$J17-1499))))))</f>
        <v/>
      </c>
      <c r="G17" s="6">
        <f>IF($J17="","",IF($J17&lt;=1500,N(INDEX('Daily Sale entry '!$AD$1:$AD$1501,$J17+1)),0))</f>
        <v/>
      </c>
      <c r="H17" s="6">
        <f>IF($J17="","",ROUND('Opening Balance'!$B$4+SUM($F$2:F17)-SUM($G$2:G17),2))</f>
        <v/>
      </c>
      <c r="J17" s="21">
        <f>IFERROR(MATCH(ROW()-1,$L$2:$L$3001,0),"")</f>
        <v/>
      </c>
      <c r="K17" s="34">
        <f>IF(AND('Daily Sale entry '!X17&lt;&gt;"",OR('Daily Sale entry '!AC17&lt;&gt;"",'Daily Sale entry '!AD17&lt;&gt;"")),'Daily Sale entry '!X17+ROW()/10000000,"")</f>
        <v/>
      </c>
      <c r="L17" s="21">
        <f>IF(K17="","",COUNTIF($K$2:$K$3001,"&lt;"&amp;K17)+1)</f>
        <v/>
      </c>
    </row>
    <row r="18">
      <c r="A18" s="5">
        <f>IF($J18="","",IF($J18&lt;=1500,INDEX('Daily Sale entry '!$X$1:$X$1501,$J18+1),INDEX('Daily Sale entry '!$V$1:$V$1501,$J18-1499)))</f>
        <v/>
      </c>
      <c r="B18">
        <f>IF($J18="","",IF($J18&lt;=1500,INDEX('Daily Sale entry '!$Y$1:$Y$1501,$J18+1)&amp;"","Buyer cheque banked 买家支票存入"&amp;IF(INDEX('Daily Sale entry '!$U$1:$U$1501,$J18-1499)="","", " - "&amp;INDEX('Daily Sale entry '!$U$1:$U$1501,$J18-1499))))</f>
        <v/>
      </c>
      <c r="C18">
        <f>IF($J18="","",IF($J18&lt;=1500,INDEX('Daily Sale entry '!$Z$1:$Z$1501,$J18+1)&amp;"","Cheque deposit 支票存入 (buyer 买家)"))</f>
        <v/>
      </c>
      <c r="D18">
        <f>IF($J18="","",IF($J18&lt;=1500,INDEX('Daily Sale entry '!$AA$1:$AA$1501,$J18+1)&amp;"",INDEX('Daily Sale entry '!$P$1:$P$1501,$J18-1499)&amp;""))</f>
        <v/>
      </c>
      <c r="E18">
        <f>IF($J18="","",IF($J18&lt;=1500,IF(N(INDEX('Daily Sale entry '!$AB$1:$AB$1501,$J18+1))=0,"",INDEX('Daily Sale entry '!$AB$1:$AB$1501,$J18+1)),1))</f>
        <v/>
      </c>
      <c r="F18" s="6">
        <f>IF($J18="","",IF($J18&lt;=1500,N(INDEX('Daily Sale entry '!$AC$1:$AC$1501,$J18+1))-IF(AND('Opening Balance'!$B$15=1,INDEX('Daily Sale entry '!$Z$1:$Z$1501,$J18+1)="Online collection 网上收款",INDEX('Daily Sale entry '!$AA$1:$AA$1501,$J18+1)&lt;&gt;""),N(INDEX('Daily Sale entry '!$AC$1:$AC$1501,$J18+1))-TRUNC(N(INDEX('Daily Sale entry '!$AC$1:$AC$1501,$J18+1))),0),N(INDEX('Daily Sale entry '!$S$1:$S$1501,$J18-1499))-'Opening Balance'!$B$15*(N(INDEX('Daily Sale entry '!$S$1:$S$1501,$J18-1499))-TRUNC(N(INDEX('Daily Sale entry '!$S$1:$S$1501,$J18-1499))))))</f>
        <v/>
      </c>
      <c r="G18" s="6">
        <f>IF($J18="","",IF($J18&lt;=1500,N(INDEX('Daily Sale entry '!$AD$1:$AD$1501,$J18+1)),0))</f>
        <v/>
      </c>
      <c r="H18" s="6">
        <f>IF($J18="","",ROUND('Opening Balance'!$B$4+SUM($F$2:F18)-SUM($G$2:G18),2))</f>
        <v/>
      </c>
      <c r="J18" s="21">
        <f>IFERROR(MATCH(ROW()-1,$L$2:$L$3001,0),"")</f>
        <v/>
      </c>
      <c r="K18" s="34">
        <f>IF(AND('Daily Sale entry '!X18&lt;&gt;"",OR('Daily Sale entry '!AC18&lt;&gt;"",'Daily Sale entry '!AD18&lt;&gt;"")),'Daily Sale entry '!X18+ROW()/10000000,"")</f>
        <v/>
      </c>
      <c r="L18" s="21">
        <f>IF(K18="","",COUNTIF($K$2:$K$3001,"&lt;"&amp;K18)+1)</f>
        <v/>
      </c>
    </row>
    <row r="19">
      <c r="A19" s="5">
        <f>IF($J19="","",IF($J19&lt;=1500,INDEX('Daily Sale entry '!$X$1:$X$1501,$J19+1),INDEX('Daily Sale entry '!$V$1:$V$1501,$J19-1499)))</f>
        <v/>
      </c>
      <c r="B19">
        <f>IF($J19="","",IF($J19&lt;=1500,INDEX('Daily Sale entry '!$Y$1:$Y$1501,$J19+1)&amp;"","Buyer cheque banked 买家支票存入"&amp;IF(INDEX('Daily Sale entry '!$U$1:$U$1501,$J19-1499)="","", " - "&amp;INDEX('Daily Sale entry '!$U$1:$U$1501,$J19-1499))))</f>
        <v/>
      </c>
      <c r="C19">
        <f>IF($J19="","",IF($J19&lt;=1500,INDEX('Daily Sale entry '!$Z$1:$Z$1501,$J19+1)&amp;"","Cheque deposit 支票存入 (buyer 买家)"))</f>
        <v/>
      </c>
      <c r="D19">
        <f>IF($J19="","",IF($J19&lt;=1500,INDEX('Daily Sale entry '!$AA$1:$AA$1501,$J19+1)&amp;"",INDEX('Daily Sale entry '!$P$1:$P$1501,$J19-1499)&amp;""))</f>
        <v/>
      </c>
      <c r="E19">
        <f>IF($J19="","",IF($J19&lt;=1500,IF(N(INDEX('Daily Sale entry '!$AB$1:$AB$1501,$J19+1))=0,"",INDEX('Daily Sale entry '!$AB$1:$AB$1501,$J19+1)),1))</f>
        <v/>
      </c>
      <c r="F19" s="6">
        <f>IF($J19="","",IF($J19&lt;=1500,N(INDEX('Daily Sale entry '!$AC$1:$AC$1501,$J19+1))-IF(AND('Opening Balance'!$B$15=1,INDEX('Daily Sale entry '!$Z$1:$Z$1501,$J19+1)="Online collection 网上收款",INDEX('Daily Sale entry '!$AA$1:$AA$1501,$J19+1)&lt;&gt;""),N(INDEX('Daily Sale entry '!$AC$1:$AC$1501,$J19+1))-TRUNC(N(INDEX('Daily Sale entry '!$AC$1:$AC$1501,$J19+1))),0),N(INDEX('Daily Sale entry '!$S$1:$S$1501,$J19-1499))-'Opening Balance'!$B$15*(N(INDEX('Daily Sale entry '!$S$1:$S$1501,$J19-1499))-TRUNC(N(INDEX('Daily Sale entry '!$S$1:$S$1501,$J19-1499))))))</f>
        <v/>
      </c>
      <c r="G19" s="6">
        <f>IF($J19="","",IF($J19&lt;=1500,N(INDEX('Daily Sale entry '!$AD$1:$AD$1501,$J19+1)),0))</f>
        <v/>
      </c>
      <c r="H19" s="6">
        <f>IF($J19="","",ROUND('Opening Balance'!$B$4+SUM($F$2:F19)-SUM($G$2:G19),2))</f>
        <v/>
      </c>
      <c r="J19" s="21">
        <f>IFERROR(MATCH(ROW()-1,$L$2:$L$3001,0),"")</f>
        <v/>
      </c>
      <c r="K19" s="34">
        <f>IF(AND('Daily Sale entry '!X19&lt;&gt;"",OR('Daily Sale entry '!AC19&lt;&gt;"",'Daily Sale entry '!AD19&lt;&gt;"")),'Daily Sale entry '!X19+ROW()/10000000,"")</f>
        <v/>
      </c>
      <c r="L19" s="21">
        <f>IF(K19="","",COUNTIF($K$2:$K$3001,"&lt;"&amp;K19)+1)</f>
        <v/>
      </c>
    </row>
    <row r="20">
      <c r="A20" s="5">
        <f>IF($J20="","",IF($J20&lt;=1500,INDEX('Daily Sale entry '!$X$1:$X$1501,$J20+1),INDEX('Daily Sale entry '!$V$1:$V$1501,$J20-1499)))</f>
        <v/>
      </c>
      <c r="B20">
        <f>IF($J20="","",IF($J20&lt;=1500,INDEX('Daily Sale entry '!$Y$1:$Y$1501,$J20+1)&amp;"","Buyer cheque banked 买家支票存入"&amp;IF(INDEX('Daily Sale entry '!$U$1:$U$1501,$J20-1499)="","", " - "&amp;INDEX('Daily Sale entry '!$U$1:$U$1501,$J20-1499))))</f>
        <v/>
      </c>
      <c r="C20">
        <f>IF($J20="","",IF($J20&lt;=1500,INDEX('Daily Sale entry '!$Z$1:$Z$1501,$J20+1)&amp;"","Cheque deposit 支票存入 (buyer 买家)"))</f>
        <v/>
      </c>
      <c r="D20">
        <f>IF($J20="","",IF($J20&lt;=1500,INDEX('Daily Sale entry '!$AA$1:$AA$1501,$J20+1)&amp;"",INDEX('Daily Sale entry '!$P$1:$P$1501,$J20-1499)&amp;""))</f>
        <v/>
      </c>
      <c r="E20">
        <f>IF($J20="","",IF($J20&lt;=1500,IF(N(INDEX('Daily Sale entry '!$AB$1:$AB$1501,$J20+1))=0,"",INDEX('Daily Sale entry '!$AB$1:$AB$1501,$J20+1)),1))</f>
        <v/>
      </c>
      <c r="F20" s="6">
        <f>IF($J20="","",IF($J20&lt;=1500,N(INDEX('Daily Sale entry '!$AC$1:$AC$1501,$J20+1))-IF(AND('Opening Balance'!$B$15=1,INDEX('Daily Sale entry '!$Z$1:$Z$1501,$J20+1)="Online collection 网上收款",INDEX('Daily Sale entry '!$AA$1:$AA$1501,$J20+1)&lt;&gt;""),N(INDEX('Daily Sale entry '!$AC$1:$AC$1501,$J20+1))-TRUNC(N(INDEX('Daily Sale entry '!$AC$1:$AC$1501,$J20+1))),0),N(INDEX('Daily Sale entry '!$S$1:$S$1501,$J20-1499))-'Opening Balance'!$B$15*(N(INDEX('Daily Sale entry '!$S$1:$S$1501,$J20-1499))-TRUNC(N(INDEX('Daily Sale entry '!$S$1:$S$1501,$J20-1499))))))</f>
        <v/>
      </c>
      <c r="G20" s="6">
        <f>IF($J20="","",IF($J20&lt;=1500,N(INDEX('Daily Sale entry '!$AD$1:$AD$1501,$J20+1)),0))</f>
        <v/>
      </c>
      <c r="H20" s="6">
        <f>IF($J20="","",ROUND('Opening Balance'!$B$4+SUM($F$2:F20)-SUM($G$2:G20),2))</f>
        <v/>
      </c>
      <c r="J20" s="21">
        <f>IFERROR(MATCH(ROW()-1,$L$2:$L$3001,0),"")</f>
        <v/>
      </c>
      <c r="K20" s="34">
        <f>IF(AND('Daily Sale entry '!X20&lt;&gt;"",OR('Daily Sale entry '!AC20&lt;&gt;"",'Daily Sale entry '!AD20&lt;&gt;"")),'Daily Sale entry '!X20+ROW()/10000000,"")</f>
        <v/>
      </c>
      <c r="L20" s="21">
        <f>IF(K20="","",COUNTIF($K$2:$K$3001,"&lt;"&amp;K20)+1)</f>
        <v/>
      </c>
    </row>
    <row r="21">
      <c r="A21" s="5">
        <f>IF($J21="","",IF($J21&lt;=1500,INDEX('Daily Sale entry '!$X$1:$X$1501,$J21+1),INDEX('Daily Sale entry '!$V$1:$V$1501,$J21-1499)))</f>
        <v/>
      </c>
      <c r="B21">
        <f>IF($J21="","",IF($J21&lt;=1500,INDEX('Daily Sale entry '!$Y$1:$Y$1501,$J21+1)&amp;"","Buyer cheque banked 买家支票存入"&amp;IF(INDEX('Daily Sale entry '!$U$1:$U$1501,$J21-1499)="","", " - "&amp;INDEX('Daily Sale entry '!$U$1:$U$1501,$J21-1499))))</f>
        <v/>
      </c>
      <c r="C21">
        <f>IF($J21="","",IF($J21&lt;=1500,INDEX('Daily Sale entry '!$Z$1:$Z$1501,$J21+1)&amp;"","Cheque deposit 支票存入 (buyer 买家)"))</f>
        <v/>
      </c>
      <c r="D21">
        <f>IF($J21="","",IF($J21&lt;=1500,INDEX('Daily Sale entry '!$AA$1:$AA$1501,$J21+1)&amp;"",INDEX('Daily Sale entry '!$P$1:$P$1501,$J21-1499)&amp;""))</f>
        <v/>
      </c>
      <c r="E21">
        <f>IF($J21="","",IF($J21&lt;=1500,IF(N(INDEX('Daily Sale entry '!$AB$1:$AB$1501,$J21+1))=0,"",INDEX('Daily Sale entry '!$AB$1:$AB$1501,$J21+1)),1))</f>
        <v/>
      </c>
      <c r="F21" s="6">
        <f>IF($J21="","",IF($J21&lt;=1500,N(INDEX('Daily Sale entry '!$AC$1:$AC$1501,$J21+1))-IF(AND('Opening Balance'!$B$15=1,INDEX('Daily Sale entry '!$Z$1:$Z$1501,$J21+1)="Online collection 网上收款",INDEX('Daily Sale entry '!$AA$1:$AA$1501,$J21+1)&lt;&gt;""),N(INDEX('Daily Sale entry '!$AC$1:$AC$1501,$J21+1))-TRUNC(N(INDEX('Daily Sale entry '!$AC$1:$AC$1501,$J21+1))),0),N(INDEX('Daily Sale entry '!$S$1:$S$1501,$J21-1499))-'Opening Balance'!$B$15*(N(INDEX('Daily Sale entry '!$S$1:$S$1501,$J21-1499))-TRUNC(N(INDEX('Daily Sale entry '!$S$1:$S$1501,$J21-1499))))))</f>
        <v/>
      </c>
      <c r="G21" s="6">
        <f>IF($J21="","",IF($J21&lt;=1500,N(INDEX('Daily Sale entry '!$AD$1:$AD$1501,$J21+1)),0))</f>
        <v/>
      </c>
      <c r="H21" s="6">
        <f>IF($J21="","",ROUND('Opening Balance'!$B$4+SUM($F$2:F21)-SUM($G$2:G21),2))</f>
        <v/>
      </c>
      <c r="J21" s="21">
        <f>IFERROR(MATCH(ROW()-1,$L$2:$L$3001,0),"")</f>
        <v/>
      </c>
      <c r="K21" s="34">
        <f>IF(AND('Daily Sale entry '!X21&lt;&gt;"",OR('Daily Sale entry '!AC21&lt;&gt;"",'Daily Sale entry '!AD21&lt;&gt;"")),'Daily Sale entry '!X21+ROW()/10000000,"")</f>
        <v/>
      </c>
      <c r="L21" s="21">
        <f>IF(K21="","",COUNTIF($K$2:$K$3001,"&lt;"&amp;K21)+1)</f>
        <v/>
      </c>
    </row>
    <row r="22">
      <c r="A22" s="5">
        <f>IF($J22="","",IF($J22&lt;=1500,INDEX('Daily Sale entry '!$X$1:$X$1501,$J22+1),INDEX('Daily Sale entry '!$V$1:$V$1501,$J22-1499)))</f>
        <v/>
      </c>
      <c r="B22">
        <f>IF($J22="","",IF($J22&lt;=1500,INDEX('Daily Sale entry '!$Y$1:$Y$1501,$J22+1)&amp;"","Buyer cheque banked 买家支票存入"&amp;IF(INDEX('Daily Sale entry '!$U$1:$U$1501,$J22-1499)="","", " - "&amp;INDEX('Daily Sale entry '!$U$1:$U$1501,$J22-1499))))</f>
        <v/>
      </c>
      <c r="C22">
        <f>IF($J22="","",IF($J22&lt;=1500,INDEX('Daily Sale entry '!$Z$1:$Z$1501,$J22+1)&amp;"","Cheque deposit 支票存入 (buyer 买家)"))</f>
        <v/>
      </c>
      <c r="D22">
        <f>IF($J22="","",IF($J22&lt;=1500,INDEX('Daily Sale entry '!$AA$1:$AA$1501,$J22+1)&amp;"",INDEX('Daily Sale entry '!$P$1:$P$1501,$J22-1499)&amp;""))</f>
        <v/>
      </c>
      <c r="E22">
        <f>IF($J22="","",IF($J22&lt;=1500,IF(N(INDEX('Daily Sale entry '!$AB$1:$AB$1501,$J22+1))=0,"",INDEX('Daily Sale entry '!$AB$1:$AB$1501,$J22+1)),1))</f>
        <v/>
      </c>
      <c r="F22" s="6">
        <f>IF($J22="","",IF($J22&lt;=1500,N(INDEX('Daily Sale entry '!$AC$1:$AC$1501,$J22+1))-IF(AND('Opening Balance'!$B$15=1,INDEX('Daily Sale entry '!$Z$1:$Z$1501,$J22+1)="Online collection 网上收款",INDEX('Daily Sale entry '!$AA$1:$AA$1501,$J22+1)&lt;&gt;""),N(INDEX('Daily Sale entry '!$AC$1:$AC$1501,$J22+1))-TRUNC(N(INDEX('Daily Sale entry '!$AC$1:$AC$1501,$J22+1))),0),N(INDEX('Daily Sale entry '!$S$1:$S$1501,$J22-1499))-'Opening Balance'!$B$15*(N(INDEX('Daily Sale entry '!$S$1:$S$1501,$J22-1499))-TRUNC(N(INDEX('Daily Sale entry '!$S$1:$S$1501,$J22-1499))))))</f>
        <v/>
      </c>
      <c r="G22" s="6">
        <f>IF($J22="","",IF($J22&lt;=1500,N(INDEX('Daily Sale entry '!$AD$1:$AD$1501,$J22+1)),0))</f>
        <v/>
      </c>
      <c r="H22" s="6">
        <f>IF($J22="","",ROUND('Opening Balance'!$B$4+SUM($F$2:F22)-SUM($G$2:G22),2))</f>
        <v/>
      </c>
      <c r="J22" s="21">
        <f>IFERROR(MATCH(ROW()-1,$L$2:$L$3001,0),"")</f>
        <v/>
      </c>
      <c r="K22" s="34">
        <f>IF(AND('Daily Sale entry '!X22&lt;&gt;"",OR('Daily Sale entry '!AC22&lt;&gt;"",'Daily Sale entry '!AD22&lt;&gt;"")),'Daily Sale entry '!X22+ROW()/10000000,"")</f>
        <v/>
      </c>
      <c r="L22" s="21">
        <f>IF(K22="","",COUNTIF($K$2:$K$3001,"&lt;"&amp;K22)+1)</f>
        <v/>
      </c>
    </row>
    <row r="23">
      <c r="A23" s="5">
        <f>IF($J23="","",IF($J23&lt;=1500,INDEX('Daily Sale entry '!$X$1:$X$1501,$J23+1),INDEX('Daily Sale entry '!$V$1:$V$1501,$J23-1499)))</f>
        <v/>
      </c>
      <c r="B23">
        <f>IF($J23="","",IF($J23&lt;=1500,INDEX('Daily Sale entry '!$Y$1:$Y$1501,$J23+1)&amp;"","Buyer cheque banked 买家支票存入"&amp;IF(INDEX('Daily Sale entry '!$U$1:$U$1501,$J23-1499)="","", " - "&amp;INDEX('Daily Sale entry '!$U$1:$U$1501,$J23-1499))))</f>
        <v/>
      </c>
      <c r="C23">
        <f>IF($J23="","",IF($J23&lt;=1500,INDEX('Daily Sale entry '!$Z$1:$Z$1501,$J23+1)&amp;"","Cheque deposit 支票存入 (buyer 买家)"))</f>
        <v/>
      </c>
      <c r="D23">
        <f>IF($J23="","",IF($J23&lt;=1500,INDEX('Daily Sale entry '!$AA$1:$AA$1501,$J23+1)&amp;"",INDEX('Daily Sale entry '!$P$1:$P$1501,$J23-1499)&amp;""))</f>
        <v/>
      </c>
      <c r="E23">
        <f>IF($J23="","",IF($J23&lt;=1500,IF(N(INDEX('Daily Sale entry '!$AB$1:$AB$1501,$J23+1))=0,"",INDEX('Daily Sale entry '!$AB$1:$AB$1501,$J23+1)),1))</f>
        <v/>
      </c>
      <c r="F23" s="6">
        <f>IF($J23="","",IF($J23&lt;=1500,N(INDEX('Daily Sale entry '!$AC$1:$AC$1501,$J23+1))-IF(AND('Opening Balance'!$B$15=1,INDEX('Daily Sale entry '!$Z$1:$Z$1501,$J23+1)="Online collection 网上收款",INDEX('Daily Sale entry '!$AA$1:$AA$1501,$J23+1)&lt;&gt;""),N(INDEX('Daily Sale entry '!$AC$1:$AC$1501,$J23+1))-TRUNC(N(INDEX('Daily Sale entry '!$AC$1:$AC$1501,$J23+1))),0),N(INDEX('Daily Sale entry '!$S$1:$S$1501,$J23-1499))-'Opening Balance'!$B$15*(N(INDEX('Daily Sale entry '!$S$1:$S$1501,$J23-1499))-TRUNC(N(INDEX('Daily Sale entry '!$S$1:$S$1501,$J23-1499))))))</f>
        <v/>
      </c>
      <c r="G23" s="6">
        <f>IF($J23="","",IF($J23&lt;=1500,N(INDEX('Daily Sale entry '!$AD$1:$AD$1501,$J23+1)),0))</f>
        <v/>
      </c>
      <c r="H23" s="6">
        <f>IF($J23="","",ROUND('Opening Balance'!$B$4+SUM($F$2:F23)-SUM($G$2:G23),2))</f>
        <v/>
      </c>
      <c r="J23" s="21">
        <f>IFERROR(MATCH(ROW()-1,$L$2:$L$3001,0),"")</f>
        <v/>
      </c>
      <c r="K23" s="34">
        <f>IF(AND('Daily Sale entry '!X23&lt;&gt;"",OR('Daily Sale entry '!AC23&lt;&gt;"",'Daily Sale entry '!AD23&lt;&gt;"")),'Daily Sale entry '!X23+ROW()/10000000,"")</f>
        <v/>
      </c>
      <c r="L23" s="21">
        <f>IF(K23="","",COUNTIF($K$2:$K$3001,"&lt;"&amp;K23)+1)</f>
        <v/>
      </c>
    </row>
    <row r="24">
      <c r="A24" s="5">
        <f>IF($J24="","",IF($J24&lt;=1500,INDEX('Daily Sale entry '!$X$1:$X$1501,$J24+1),INDEX('Daily Sale entry '!$V$1:$V$1501,$J24-1499)))</f>
        <v/>
      </c>
      <c r="B24">
        <f>IF($J24="","",IF($J24&lt;=1500,INDEX('Daily Sale entry '!$Y$1:$Y$1501,$J24+1)&amp;"","Buyer cheque banked 买家支票存入"&amp;IF(INDEX('Daily Sale entry '!$U$1:$U$1501,$J24-1499)="","", " - "&amp;INDEX('Daily Sale entry '!$U$1:$U$1501,$J24-1499))))</f>
        <v/>
      </c>
      <c r="C24">
        <f>IF($J24="","",IF($J24&lt;=1500,INDEX('Daily Sale entry '!$Z$1:$Z$1501,$J24+1)&amp;"","Cheque deposit 支票存入 (buyer 买家)"))</f>
        <v/>
      </c>
      <c r="D24">
        <f>IF($J24="","",IF($J24&lt;=1500,INDEX('Daily Sale entry '!$AA$1:$AA$1501,$J24+1)&amp;"",INDEX('Daily Sale entry '!$P$1:$P$1501,$J24-1499)&amp;""))</f>
        <v/>
      </c>
      <c r="E24">
        <f>IF($J24="","",IF($J24&lt;=1500,IF(N(INDEX('Daily Sale entry '!$AB$1:$AB$1501,$J24+1))=0,"",INDEX('Daily Sale entry '!$AB$1:$AB$1501,$J24+1)),1))</f>
        <v/>
      </c>
      <c r="F24" s="6">
        <f>IF($J24="","",IF($J24&lt;=1500,N(INDEX('Daily Sale entry '!$AC$1:$AC$1501,$J24+1))-IF(AND('Opening Balance'!$B$15=1,INDEX('Daily Sale entry '!$Z$1:$Z$1501,$J24+1)="Online collection 网上收款",INDEX('Daily Sale entry '!$AA$1:$AA$1501,$J24+1)&lt;&gt;""),N(INDEX('Daily Sale entry '!$AC$1:$AC$1501,$J24+1))-TRUNC(N(INDEX('Daily Sale entry '!$AC$1:$AC$1501,$J24+1))),0),N(INDEX('Daily Sale entry '!$S$1:$S$1501,$J24-1499))-'Opening Balance'!$B$15*(N(INDEX('Daily Sale entry '!$S$1:$S$1501,$J24-1499))-TRUNC(N(INDEX('Daily Sale entry '!$S$1:$S$1501,$J24-1499))))))</f>
        <v/>
      </c>
      <c r="G24" s="6">
        <f>IF($J24="","",IF($J24&lt;=1500,N(INDEX('Daily Sale entry '!$AD$1:$AD$1501,$J24+1)),0))</f>
        <v/>
      </c>
      <c r="H24" s="6">
        <f>IF($J24="","",ROUND('Opening Balance'!$B$4+SUM($F$2:F24)-SUM($G$2:G24),2))</f>
        <v/>
      </c>
      <c r="J24" s="21">
        <f>IFERROR(MATCH(ROW()-1,$L$2:$L$3001,0),"")</f>
        <v/>
      </c>
      <c r="K24" s="34">
        <f>IF(AND('Daily Sale entry '!X24&lt;&gt;"",OR('Daily Sale entry '!AC24&lt;&gt;"",'Daily Sale entry '!AD24&lt;&gt;"")),'Daily Sale entry '!X24+ROW()/10000000,"")</f>
        <v/>
      </c>
      <c r="L24" s="21">
        <f>IF(K24="","",COUNTIF($K$2:$K$3001,"&lt;"&amp;K24)+1)</f>
        <v/>
      </c>
    </row>
    <row r="25">
      <c r="A25" s="5">
        <f>IF($J25="","",IF($J25&lt;=1500,INDEX('Daily Sale entry '!$X$1:$X$1501,$J25+1),INDEX('Daily Sale entry '!$V$1:$V$1501,$J25-1499)))</f>
        <v/>
      </c>
      <c r="B25">
        <f>IF($J25="","",IF($J25&lt;=1500,INDEX('Daily Sale entry '!$Y$1:$Y$1501,$J25+1)&amp;"","Buyer cheque banked 买家支票存入"&amp;IF(INDEX('Daily Sale entry '!$U$1:$U$1501,$J25-1499)="","", " - "&amp;INDEX('Daily Sale entry '!$U$1:$U$1501,$J25-1499))))</f>
        <v/>
      </c>
      <c r="C25">
        <f>IF($J25="","",IF($J25&lt;=1500,INDEX('Daily Sale entry '!$Z$1:$Z$1501,$J25+1)&amp;"","Cheque deposit 支票存入 (buyer 买家)"))</f>
        <v/>
      </c>
      <c r="D25">
        <f>IF($J25="","",IF($J25&lt;=1500,INDEX('Daily Sale entry '!$AA$1:$AA$1501,$J25+1)&amp;"",INDEX('Daily Sale entry '!$P$1:$P$1501,$J25-1499)&amp;""))</f>
        <v/>
      </c>
      <c r="E25">
        <f>IF($J25="","",IF($J25&lt;=1500,IF(N(INDEX('Daily Sale entry '!$AB$1:$AB$1501,$J25+1))=0,"",INDEX('Daily Sale entry '!$AB$1:$AB$1501,$J25+1)),1))</f>
        <v/>
      </c>
      <c r="F25" s="6">
        <f>IF($J25="","",IF($J25&lt;=1500,N(INDEX('Daily Sale entry '!$AC$1:$AC$1501,$J25+1))-IF(AND('Opening Balance'!$B$15=1,INDEX('Daily Sale entry '!$Z$1:$Z$1501,$J25+1)="Online collection 网上收款",INDEX('Daily Sale entry '!$AA$1:$AA$1501,$J25+1)&lt;&gt;""),N(INDEX('Daily Sale entry '!$AC$1:$AC$1501,$J25+1))-TRUNC(N(INDEX('Daily Sale entry '!$AC$1:$AC$1501,$J25+1))),0),N(INDEX('Daily Sale entry '!$S$1:$S$1501,$J25-1499))-'Opening Balance'!$B$15*(N(INDEX('Daily Sale entry '!$S$1:$S$1501,$J25-1499))-TRUNC(N(INDEX('Daily Sale entry '!$S$1:$S$1501,$J25-1499))))))</f>
        <v/>
      </c>
      <c r="G25" s="6">
        <f>IF($J25="","",IF($J25&lt;=1500,N(INDEX('Daily Sale entry '!$AD$1:$AD$1501,$J25+1)),0))</f>
        <v/>
      </c>
      <c r="H25" s="6">
        <f>IF($J25="","",ROUND('Opening Balance'!$B$4+SUM($F$2:F25)-SUM($G$2:G25),2))</f>
        <v/>
      </c>
      <c r="J25" s="21">
        <f>IFERROR(MATCH(ROW()-1,$L$2:$L$3001,0),"")</f>
        <v/>
      </c>
      <c r="K25" s="34">
        <f>IF(AND('Daily Sale entry '!X25&lt;&gt;"",OR('Daily Sale entry '!AC25&lt;&gt;"",'Daily Sale entry '!AD25&lt;&gt;"")),'Daily Sale entry '!X25+ROW()/10000000,"")</f>
        <v/>
      </c>
      <c r="L25" s="21">
        <f>IF(K25="","",COUNTIF($K$2:$K$3001,"&lt;"&amp;K25)+1)</f>
        <v/>
      </c>
    </row>
    <row r="26">
      <c r="A26" s="5">
        <f>IF($J26="","",IF($J26&lt;=1500,INDEX('Daily Sale entry '!$X$1:$X$1501,$J26+1),INDEX('Daily Sale entry '!$V$1:$V$1501,$J26-1499)))</f>
        <v/>
      </c>
      <c r="B26">
        <f>IF($J26="","",IF($J26&lt;=1500,INDEX('Daily Sale entry '!$Y$1:$Y$1501,$J26+1)&amp;"","Buyer cheque banked 买家支票存入"&amp;IF(INDEX('Daily Sale entry '!$U$1:$U$1501,$J26-1499)="","", " - "&amp;INDEX('Daily Sale entry '!$U$1:$U$1501,$J26-1499))))</f>
        <v/>
      </c>
      <c r="C26">
        <f>IF($J26="","",IF($J26&lt;=1500,INDEX('Daily Sale entry '!$Z$1:$Z$1501,$J26+1)&amp;"","Cheque deposit 支票存入 (buyer 买家)"))</f>
        <v/>
      </c>
      <c r="D26">
        <f>IF($J26="","",IF($J26&lt;=1500,INDEX('Daily Sale entry '!$AA$1:$AA$1501,$J26+1)&amp;"",INDEX('Daily Sale entry '!$P$1:$P$1501,$J26-1499)&amp;""))</f>
        <v/>
      </c>
      <c r="E26">
        <f>IF($J26="","",IF($J26&lt;=1500,IF(N(INDEX('Daily Sale entry '!$AB$1:$AB$1501,$J26+1))=0,"",INDEX('Daily Sale entry '!$AB$1:$AB$1501,$J26+1)),1))</f>
        <v/>
      </c>
      <c r="F26" s="6">
        <f>IF($J26="","",IF($J26&lt;=1500,N(INDEX('Daily Sale entry '!$AC$1:$AC$1501,$J26+1))-IF(AND('Opening Balance'!$B$15=1,INDEX('Daily Sale entry '!$Z$1:$Z$1501,$J26+1)="Online collection 网上收款",INDEX('Daily Sale entry '!$AA$1:$AA$1501,$J26+1)&lt;&gt;""),N(INDEX('Daily Sale entry '!$AC$1:$AC$1501,$J26+1))-TRUNC(N(INDEX('Daily Sale entry '!$AC$1:$AC$1501,$J26+1))),0),N(INDEX('Daily Sale entry '!$S$1:$S$1501,$J26-1499))-'Opening Balance'!$B$15*(N(INDEX('Daily Sale entry '!$S$1:$S$1501,$J26-1499))-TRUNC(N(INDEX('Daily Sale entry '!$S$1:$S$1501,$J26-1499))))))</f>
        <v/>
      </c>
      <c r="G26" s="6">
        <f>IF($J26="","",IF($J26&lt;=1500,N(INDEX('Daily Sale entry '!$AD$1:$AD$1501,$J26+1)),0))</f>
        <v/>
      </c>
      <c r="H26" s="6">
        <f>IF($J26="","",ROUND('Opening Balance'!$B$4+SUM($F$2:F26)-SUM($G$2:G26),2))</f>
        <v/>
      </c>
      <c r="J26" s="21">
        <f>IFERROR(MATCH(ROW()-1,$L$2:$L$3001,0),"")</f>
        <v/>
      </c>
      <c r="K26" s="34">
        <f>IF(AND('Daily Sale entry '!X26&lt;&gt;"",OR('Daily Sale entry '!AC26&lt;&gt;"",'Daily Sale entry '!AD26&lt;&gt;"")),'Daily Sale entry '!X26+ROW()/10000000,"")</f>
        <v/>
      </c>
      <c r="L26" s="21">
        <f>IF(K26="","",COUNTIF($K$2:$K$3001,"&lt;"&amp;K26)+1)</f>
        <v/>
      </c>
    </row>
    <row r="27">
      <c r="A27" s="5">
        <f>IF($J27="","",IF($J27&lt;=1500,INDEX('Daily Sale entry '!$X$1:$X$1501,$J27+1),INDEX('Daily Sale entry '!$V$1:$V$1501,$J27-1499)))</f>
        <v/>
      </c>
      <c r="B27">
        <f>IF($J27="","",IF($J27&lt;=1500,INDEX('Daily Sale entry '!$Y$1:$Y$1501,$J27+1)&amp;"","Buyer cheque banked 买家支票存入"&amp;IF(INDEX('Daily Sale entry '!$U$1:$U$1501,$J27-1499)="","", " - "&amp;INDEX('Daily Sale entry '!$U$1:$U$1501,$J27-1499))))</f>
        <v/>
      </c>
      <c r="C27">
        <f>IF($J27="","",IF($J27&lt;=1500,INDEX('Daily Sale entry '!$Z$1:$Z$1501,$J27+1)&amp;"","Cheque deposit 支票存入 (buyer 买家)"))</f>
        <v/>
      </c>
      <c r="D27">
        <f>IF($J27="","",IF($J27&lt;=1500,INDEX('Daily Sale entry '!$AA$1:$AA$1501,$J27+1)&amp;"",INDEX('Daily Sale entry '!$P$1:$P$1501,$J27-1499)&amp;""))</f>
        <v/>
      </c>
      <c r="E27">
        <f>IF($J27="","",IF($J27&lt;=1500,IF(N(INDEX('Daily Sale entry '!$AB$1:$AB$1501,$J27+1))=0,"",INDEX('Daily Sale entry '!$AB$1:$AB$1501,$J27+1)),1))</f>
        <v/>
      </c>
      <c r="F27" s="6">
        <f>IF($J27="","",IF($J27&lt;=1500,N(INDEX('Daily Sale entry '!$AC$1:$AC$1501,$J27+1))-IF(AND('Opening Balance'!$B$15=1,INDEX('Daily Sale entry '!$Z$1:$Z$1501,$J27+1)="Online collection 网上收款",INDEX('Daily Sale entry '!$AA$1:$AA$1501,$J27+1)&lt;&gt;""),N(INDEX('Daily Sale entry '!$AC$1:$AC$1501,$J27+1))-TRUNC(N(INDEX('Daily Sale entry '!$AC$1:$AC$1501,$J27+1))),0),N(INDEX('Daily Sale entry '!$S$1:$S$1501,$J27-1499))-'Opening Balance'!$B$15*(N(INDEX('Daily Sale entry '!$S$1:$S$1501,$J27-1499))-TRUNC(N(INDEX('Daily Sale entry '!$S$1:$S$1501,$J27-1499))))))</f>
        <v/>
      </c>
      <c r="G27" s="6">
        <f>IF($J27="","",IF($J27&lt;=1500,N(INDEX('Daily Sale entry '!$AD$1:$AD$1501,$J27+1)),0))</f>
        <v/>
      </c>
      <c r="H27" s="6">
        <f>IF($J27="","",ROUND('Opening Balance'!$B$4+SUM($F$2:F27)-SUM($G$2:G27),2))</f>
        <v/>
      </c>
      <c r="J27" s="21">
        <f>IFERROR(MATCH(ROW()-1,$L$2:$L$3001,0),"")</f>
        <v/>
      </c>
      <c r="K27" s="34">
        <f>IF(AND('Daily Sale entry '!X27&lt;&gt;"",OR('Daily Sale entry '!AC27&lt;&gt;"",'Daily Sale entry '!AD27&lt;&gt;"")),'Daily Sale entry '!X27+ROW()/10000000,"")</f>
        <v/>
      </c>
      <c r="L27" s="21">
        <f>IF(K27="","",COUNTIF($K$2:$K$3001,"&lt;"&amp;K27)+1)</f>
        <v/>
      </c>
    </row>
    <row r="28">
      <c r="A28" s="5">
        <f>IF($J28="","",IF($J28&lt;=1500,INDEX('Daily Sale entry '!$X$1:$X$1501,$J28+1),INDEX('Daily Sale entry '!$V$1:$V$1501,$J28-1499)))</f>
        <v/>
      </c>
      <c r="B28">
        <f>IF($J28="","",IF($J28&lt;=1500,INDEX('Daily Sale entry '!$Y$1:$Y$1501,$J28+1)&amp;"","Buyer cheque banked 买家支票存入"&amp;IF(INDEX('Daily Sale entry '!$U$1:$U$1501,$J28-1499)="","", " - "&amp;INDEX('Daily Sale entry '!$U$1:$U$1501,$J28-1499))))</f>
        <v/>
      </c>
      <c r="C28">
        <f>IF($J28="","",IF($J28&lt;=1500,INDEX('Daily Sale entry '!$Z$1:$Z$1501,$J28+1)&amp;"","Cheque deposit 支票存入 (buyer 买家)"))</f>
        <v/>
      </c>
      <c r="D28">
        <f>IF($J28="","",IF($J28&lt;=1500,INDEX('Daily Sale entry '!$AA$1:$AA$1501,$J28+1)&amp;"",INDEX('Daily Sale entry '!$P$1:$P$1501,$J28-1499)&amp;""))</f>
        <v/>
      </c>
      <c r="E28">
        <f>IF($J28="","",IF($J28&lt;=1500,IF(N(INDEX('Daily Sale entry '!$AB$1:$AB$1501,$J28+1))=0,"",INDEX('Daily Sale entry '!$AB$1:$AB$1501,$J28+1)),1))</f>
        <v/>
      </c>
      <c r="F28" s="6">
        <f>IF($J28="","",IF($J28&lt;=1500,N(INDEX('Daily Sale entry '!$AC$1:$AC$1501,$J28+1))-IF(AND('Opening Balance'!$B$15=1,INDEX('Daily Sale entry '!$Z$1:$Z$1501,$J28+1)="Online collection 网上收款",INDEX('Daily Sale entry '!$AA$1:$AA$1501,$J28+1)&lt;&gt;""),N(INDEX('Daily Sale entry '!$AC$1:$AC$1501,$J28+1))-TRUNC(N(INDEX('Daily Sale entry '!$AC$1:$AC$1501,$J28+1))),0),N(INDEX('Daily Sale entry '!$S$1:$S$1501,$J28-1499))-'Opening Balance'!$B$15*(N(INDEX('Daily Sale entry '!$S$1:$S$1501,$J28-1499))-TRUNC(N(INDEX('Daily Sale entry '!$S$1:$S$1501,$J28-1499))))))</f>
        <v/>
      </c>
      <c r="G28" s="6">
        <f>IF($J28="","",IF($J28&lt;=1500,N(INDEX('Daily Sale entry '!$AD$1:$AD$1501,$J28+1)),0))</f>
        <v/>
      </c>
      <c r="H28" s="6">
        <f>IF($J28="","",ROUND('Opening Balance'!$B$4+SUM($F$2:F28)-SUM($G$2:G28),2))</f>
        <v/>
      </c>
      <c r="J28" s="21">
        <f>IFERROR(MATCH(ROW()-1,$L$2:$L$3001,0),"")</f>
        <v/>
      </c>
      <c r="K28" s="34">
        <f>IF(AND('Daily Sale entry '!X28&lt;&gt;"",OR('Daily Sale entry '!AC28&lt;&gt;"",'Daily Sale entry '!AD28&lt;&gt;"")),'Daily Sale entry '!X28+ROW()/10000000,"")</f>
        <v/>
      </c>
      <c r="L28" s="21">
        <f>IF(K28="","",COUNTIF($K$2:$K$3001,"&lt;"&amp;K28)+1)</f>
        <v/>
      </c>
    </row>
    <row r="29">
      <c r="A29" s="5">
        <f>IF($J29="","",IF($J29&lt;=1500,INDEX('Daily Sale entry '!$X$1:$X$1501,$J29+1),INDEX('Daily Sale entry '!$V$1:$V$1501,$J29-1499)))</f>
        <v/>
      </c>
      <c r="B29">
        <f>IF($J29="","",IF($J29&lt;=1500,INDEX('Daily Sale entry '!$Y$1:$Y$1501,$J29+1)&amp;"","Buyer cheque banked 买家支票存入"&amp;IF(INDEX('Daily Sale entry '!$U$1:$U$1501,$J29-1499)="","", " - "&amp;INDEX('Daily Sale entry '!$U$1:$U$1501,$J29-1499))))</f>
        <v/>
      </c>
      <c r="C29">
        <f>IF($J29="","",IF($J29&lt;=1500,INDEX('Daily Sale entry '!$Z$1:$Z$1501,$J29+1)&amp;"","Cheque deposit 支票存入 (buyer 买家)"))</f>
        <v/>
      </c>
      <c r="D29">
        <f>IF($J29="","",IF($J29&lt;=1500,INDEX('Daily Sale entry '!$AA$1:$AA$1501,$J29+1)&amp;"",INDEX('Daily Sale entry '!$P$1:$P$1501,$J29-1499)&amp;""))</f>
        <v/>
      </c>
      <c r="E29">
        <f>IF($J29="","",IF($J29&lt;=1500,IF(N(INDEX('Daily Sale entry '!$AB$1:$AB$1501,$J29+1))=0,"",INDEX('Daily Sale entry '!$AB$1:$AB$1501,$J29+1)),1))</f>
        <v/>
      </c>
      <c r="F29" s="6">
        <f>IF($J29="","",IF($J29&lt;=1500,N(INDEX('Daily Sale entry '!$AC$1:$AC$1501,$J29+1))-IF(AND('Opening Balance'!$B$15=1,INDEX('Daily Sale entry '!$Z$1:$Z$1501,$J29+1)="Online collection 网上收款",INDEX('Daily Sale entry '!$AA$1:$AA$1501,$J29+1)&lt;&gt;""),N(INDEX('Daily Sale entry '!$AC$1:$AC$1501,$J29+1))-TRUNC(N(INDEX('Daily Sale entry '!$AC$1:$AC$1501,$J29+1))),0),N(INDEX('Daily Sale entry '!$S$1:$S$1501,$J29-1499))-'Opening Balance'!$B$15*(N(INDEX('Daily Sale entry '!$S$1:$S$1501,$J29-1499))-TRUNC(N(INDEX('Daily Sale entry '!$S$1:$S$1501,$J29-1499))))))</f>
        <v/>
      </c>
      <c r="G29" s="6">
        <f>IF($J29="","",IF($J29&lt;=1500,N(INDEX('Daily Sale entry '!$AD$1:$AD$1501,$J29+1)),0))</f>
        <v/>
      </c>
      <c r="H29" s="6">
        <f>IF($J29="","",ROUND('Opening Balance'!$B$4+SUM($F$2:F29)-SUM($G$2:G29),2))</f>
        <v/>
      </c>
      <c r="J29" s="21">
        <f>IFERROR(MATCH(ROW()-1,$L$2:$L$3001,0),"")</f>
        <v/>
      </c>
      <c r="K29" s="34">
        <f>IF(AND('Daily Sale entry '!X29&lt;&gt;"",OR('Daily Sale entry '!AC29&lt;&gt;"",'Daily Sale entry '!AD29&lt;&gt;"")),'Daily Sale entry '!X29+ROW()/10000000,"")</f>
        <v/>
      </c>
      <c r="L29" s="21">
        <f>IF(K29="","",COUNTIF($K$2:$K$3001,"&lt;"&amp;K29)+1)</f>
        <v/>
      </c>
    </row>
    <row r="30">
      <c r="A30" s="5">
        <f>IF($J30="","",IF($J30&lt;=1500,INDEX('Daily Sale entry '!$X$1:$X$1501,$J30+1),INDEX('Daily Sale entry '!$V$1:$V$1501,$J30-1499)))</f>
        <v/>
      </c>
      <c r="B30">
        <f>IF($J30="","",IF($J30&lt;=1500,INDEX('Daily Sale entry '!$Y$1:$Y$1501,$J30+1)&amp;"","Buyer cheque banked 买家支票存入"&amp;IF(INDEX('Daily Sale entry '!$U$1:$U$1501,$J30-1499)="","", " - "&amp;INDEX('Daily Sale entry '!$U$1:$U$1501,$J30-1499))))</f>
        <v/>
      </c>
      <c r="C30">
        <f>IF($J30="","",IF($J30&lt;=1500,INDEX('Daily Sale entry '!$Z$1:$Z$1501,$J30+1)&amp;"","Cheque deposit 支票存入 (buyer 买家)"))</f>
        <v/>
      </c>
      <c r="D30">
        <f>IF($J30="","",IF($J30&lt;=1500,INDEX('Daily Sale entry '!$AA$1:$AA$1501,$J30+1)&amp;"",INDEX('Daily Sale entry '!$P$1:$P$1501,$J30-1499)&amp;""))</f>
        <v/>
      </c>
      <c r="E30">
        <f>IF($J30="","",IF($J30&lt;=1500,IF(N(INDEX('Daily Sale entry '!$AB$1:$AB$1501,$J30+1))=0,"",INDEX('Daily Sale entry '!$AB$1:$AB$1501,$J30+1)),1))</f>
        <v/>
      </c>
      <c r="F30" s="6">
        <f>IF($J30="","",IF($J30&lt;=1500,N(INDEX('Daily Sale entry '!$AC$1:$AC$1501,$J30+1))-IF(AND('Opening Balance'!$B$15=1,INDEX('Daily Sale entry '!$Z$1:$Z$1501,$J30+1)="Online collection 网上收款",INDEX('Daily Sale entry '!$AA$1:$AA$1501,$J30+1)&lt;&gt;""),N(INDEX('Daily Sale entry '!$AC$1:$AC$1501,$J30+1))-TRUNC(N(INDEX('Daily Sale entry '!$AC$1:$AC$1501,$J30+1))),0),N(INDEX('Daily Sale entry '!$S$1:$S$1501,$J30-1499))-'Opening Balance'!$B$15*(N(INDEX('Daily Sale entry '!$S$1:$S$1501,$J30-1499))-TRUNC(N(INDEX('Daily Sale entry '!$S$1:$S$1501,$J30-1499))))))</f>
        <v/>
      </c>
      <c r="G30" s="6">
        <f>IF($J30="","",IF($J30&lt;=1500,N(INDEX('Daily Sale entry '!$AD$1:$AD$1501,$J30+1)),0))</f>
        <v/>
      </c>
      <c r="H30" s="6">
        <f>IF($J30="","",ROUND('Opening Balance'!$B$4+SUM($F$2:F30)-SUM($G$2:G30),2))</f>
        <v/>
      </c>
      <c r="J30" s="21">
        <f>IFERROR(MATCH(ROW()-1,$L$2:$L$3001,0),"")</f>
        <v/>
      </c>
      <c r="K30" s="34">
        <f>IF(AND('Daily Sale entry '!X30&lt;&gt;"",OR('Daily Sale entry '!AC30&lt;&gt;"",'Daily Sale entry '!AD30&lt;&gt;"")),'Daily Sale entry '!X30+ROW()/10000000,"")</f>
        <v/>
      </c>
      <c r="L30" s="21">
        <f>IF(K30="","",COUNTIF($K$2:$K$3001,"&lt;"&amp;K30)+1)</f>
        <v/>
      </c>
    </row>
    <row r="31">
      <c r="A31" s="5">
        <f>IF($J31="","",IF($J31&lt;=1500,INDEX('Daily Sale entry '!$X$1:$X$1501,$J31+1),INDEX('Daily Sale entry '!$V$1:$V$1501,$J31-1499)))</f>
        <v/>
      </c>
      <c r="B31">
        <f>IF($J31="","",IF($J31&lt;=1500,INDEX('Daily Sale entry '!$Y$1:$Y$1501,$J31+1)&amp;"","Buyer cheque banked 买家支票存入"&amp;IF(INDEX('Daily Sale entry '!$U$1:$U$1501,$J31-1499)="","", " - "&amp;INDEX('Daily Sale entry '!$U$1:$U$1501,$J31-1499))))</f>
        <v/>
      </c>
      <c r="C31">
        <f>IF($J31="","",IF($J31&lt;=1500,INDEX('Daily Sale entry '!$Z$1:$Z$1501,$J31+1)&amp;"","Cheque deposit 支票存入 (buyer 买家)"))</f>
        <v/>
      </c>
      <c r="D31">
        <f>IF($J31="","",IF($J31&lt;=1500,INDEX('Daily Sale entry '!$AA$1:$AA$1501,$J31+1)&amp;"",INDEX('Daily Sale entry '!$P$1:$P$1501,$J31-1499)&amp;""))</f>
        <v/>
      </c>
      <c r="E31">
        <f>IF($J31="","",IF($J31&lt;=1500,IF(N(INDEX('Daily Sale entry '!$AB$1:$AB$1501,$J31+1))=0,"",INDEX('Daily Sale entry '!$AB$1:$AB$1501,$J31+1)),1))</f>
        <v/>
      </c>
      <c r="F31" s="6">
        <f>IF($J31="","",IF($J31&lt;=1500,N(INDEX('Daily Sale entry '!$AC$1:$AC$1501,$J31+1))-IF(AND('Opening Balance'!$B$15=1,INDEX('Daily Sale entry '!$Z$1:$Z$1501,$J31+1)="Online collection 网上收款",INDEX('Daily Sale entry '!$AA$1:$AA$1501,$J31+1)&lt;&gt;""),N(INDEX('Daily Sale entry '!$AC$1:$AC$1501,$J31+1))-TRUNC(N(INDEX('Daily Sale entry '!$AC$1:$AC$1501,$J31+1))),0),N(INDEX('Daily Sale entry '!$S$1:$S$1501,$J31-1499))-'Opening Balance'!$B$15*(N(INDEX('Daily Sale entry '!$S$1:$S$1501,$J31-1499))-TRUNC(N(INDEX('Daily Sale entry '!$S$1:$S$1501,$J31-1499))))))</f>
        <v/>
      </c>
      <c r="G31" s="6">
        <f>IF($J31="","",IF($J31&lt;=1500,N(INDEX('Daily Sale entry '!$AD$1:$AD$1501,$J31+1)),0))</f>
        <v/>
      </c>
      <c r="H31" s="6">
        <f>IF($J31="","",ROUND('Opening Balance'!$B$4+SUM($F$2:F31)-SUM($G$2:G31),2))</f>
        <v/>
      </c>
      <c r="J31" s="21">
        <f>IFERROR(MATCH(ROW()-1,$L$2:$L$3001,0),"")</f>
        <v/>
      </c>
      <c r="K31" s="34">
        <f>IF(AND('Daily Sale entry '!X31&lt;&gt;"",OR('Daily Sale entry '!AC31&lt;&gt;"",'Daily Sale entry '!AD31&lt;&gt;"")),'Daily Sale entry '!X31+ROW()/10000000,"")</f>
        <v/>
      </c>
      <c r="L31" s="21">
        <f>IF(K31="","",COUNTIF($K$2:$K$3001,"&lt;"&amp;K31)+1)</f>
        <v/>
      </c>
    </row>
    <row r="32">
      <c r="A32" s="5">
        <f>IF($J32="","",IF($J32&lt;=1500,INDEX('Daily Sale entry '!$X$1:$X$1501,$J32+1),INDEX('Daily Sale entry '!$V$1:$V$1501,$J32-1499)))</f>
        <v/>
      </c>
      <c r="B32">
        <f>IF($J32="","",IF($J32&lt;=1500,INDEX('Daily Sale entry '!$Y$1:$Y$1501,$J32+1)&amp;"","Buyer cheque banked 买家支票存入"&amp;IF(INDEX('Daily Sale entry '!$U$1:$U$1501,$J32-1499)="","", " - "&amp;INDEX('Daily Sale entry '!$U$1:$U$1501,$J32-1499))))</f>
        <v/>
      </c>
      <c r="C32">
        <f>IF($J32="","",IF($J32&lt;=1500,INDEX('Daily Sale entry '!$Z$1:$Z$1501,$J32+1)&amp;"","Cheque deposit 支票存入 (buyer 买家)"))</f>
        <v/>
      </c>
      <c r="D32">
        <f>IF($J32="","",IF($J32&lt;=1500,INDEX('Daily Sale entry '!$AA$1:$AA$1501,$J32+1)&amp;"",INDEX('Daily Sale entry '!$P$1:$P$1501,$J32-1499)&amp;""))</f>
        <v/>
      </c>
      <c r="E32">
        <f>IF($J32="","",IF($J32&lt;=1500,IF(N(INDEX('Daily Sale entry '!$AB$1:$AB$1501,$J32+1))=0,"",INDEX('Daily Sale entry '!$AB$1:$AB$1501,$J32+1)),1))</f>
        <v/>
      </c>
      <c r="F32" s="6">
        <f>IF($J32="","",IF($J32&lt;=1500,N(INDEX('Daily Sale entry '!$AC$1:$AC$1501,$J32+1))-IF(AND('Opening Balance'!$B$15=1,INDEX('Daily Sale entry '!$Z$1:$Z$1501,$J32+1)="Online collection 网上收款",INDEX('Daily Sale entry '!$AA$1:$AA$1501,$J32+1)&lt;&gt;""),N(INDEX('Daily Sale entry '!$AC$1:$AC$1501,$J32+1))-TRUNC(N(INDEX('Daily Sale entry '!$AC$1:$AC$1501,$J32+1))),0),N(INDEX('Daily Sale entry '!$S$1:$S$1501,$J32-1499))-'Opening Balance'!$B$15*(N(INDEX('Daily Sale entry '!$S$1:$S$1501,$J32-1499))-TRUNC(N(INDEX('Daily Sale entry '!$S$1:$S$1501,$J32-1499))))))</f>
        <v/>
      </c>
      <c r="G32" s="6">
        <f>IF($J32="","",IF($J32&lt;=1500,N(INDEX('Daily Sale entry '!$AD$1:$AD$1501,$J32+1)),0))</f>
        <v/>
      </c>
      <c r="H32" s="6">
        <f>IF($J32="","",ROUND('Opening Balance'!$B$4+SUM($F$2:F32)-SUM($G$2:G32),2))</f>
        <v/>
      </c>
      <c r="J32" s="21">
        <f>IFERROR(MATCH(ROW()-1,$L$2:$L$3001,0),"")</f>
        <v/>
      </c>
      <c r="K32" s="34">
        <f>IF(AND('Daily Sale entry '!X32&lt;&gt;"",OR('Daily Sale entry '!AC32&lt;&gt;"",'Daily Sale entry '!AD32&lt;&gt;"")),'Daily Sale entry '!X32+ROW()/10000000,"")</f>
        <v/>
      </c>
      <c r="L32" s="21">
        <f>IF(K32="","",COUNTIF($K$2:$K$3001,"&lt;"&amp;K32)+1)</f>
        <v/>
      </c>
    </row>
    <row r="33">
      <c r="A33" s="5">
        <f>IF($J33="","",IF($J33&lt;=1500,INDEX('Daily Sale entry '!$X$1:$X$1501,$J33+1),INDEX('Daily Sale entry '!$V$1:$V$1501,$J33-1499)))</f>
        <v/>
      </c>
      <c r="B33">
        <f>IF($J33="","",IF($J33&lt;=1500,INDEX('Daily Sale entry '!$Y$1:$Y$1501,$J33+1)&amp;"","Buyer cheque banked 买家支票存入"&amp;IF(INDEX('Daily Sale entry '!$U$1:$U$1501,$J33-1499)="","", " - "&amp;INDEX('Daily Sale entry '!$U$1:$U$1501,$J33-1499))))</f>
        <v/>
      </c>
      <c r="C33">
        <f>IF($J33="","",IF($J33&lt;=1500,INDEX('Daily Sale entry '!$Z$1:$Z$1501,$J33+1)&amp;"","Cheque deposit 支票存入 (buyer 买家)"))</f>
        <v/>
      </c>
      <c r="D33">
        <f>IF($J33="","",IF($J33&lt;=1500,INDEX('Daily Sale entry '!$AA$1:$AA$1501,$J33+1)&amp;"",INDEX('Daily Sale entry '!$P$1:$P$1501,$J33-1499)&amp;""))</f>
        <v/>
      </c>
      <c r="E33">
        <f>IF($J33="","",IF($J33&lt;=1500,IF(N(INDEX('Daily Sale entry '!$AB$1:$AB$1501,$J33+1))=0,"",INDEX('Daily Sale entry '!$AB$1:$AB$1501,$J33+1)),1))</f>
        <v/>
      </c>
      <c r="F33" s="6">
        <f>IF($J33="","",IF($J33&lt;=1500,N(INDEX('Daily Sale entry '!$AC$1:$AC$1501,$J33+1))-IF(AND('Opening Balance'!$B$15=1,INDEX('Daily Sale entry '!$Z$1:$Z$1501,$J33+1)="Online collection 网上收款",INDEX('Daily Sale entry '!$AA$1:$AA$1501,$J33+1)&lt;&gt;""),N(INDEX('Daily Sale entry '!$AC$1:$AC$1501,$J33+1))-TRUNC(N(INDEX('Daily Sale entry '!$AC$1:$AC$1501,$J33+1))),0),N(INDEX('Daily Sale entry '!$S$1:$S$1501,$J33-1499))-'Opening Balance'!$B$15*(N(INDEX('Daily Sale entry '!$S$1:$S$1501,$J33-1499))-TRUNC(N(INDEX('Daily Sale entry '!$S$1:$S$1501,$J33-1499))))))</f>
        <v/>
      </c>
      <c r="G33" s="6">
        <f>IF($J33="","",IF($J33&lt;=1500,N(INDEX('Daily Sale entry '!$AD$1:$AD$1501,$J33+1)),0))</f>
        <v/>
      </c>
      <c r="H33" s="6">
        <f>IF($J33="","",ROUND('Opening Balance'!$B$4+SUM($F$2:F33)-SUM($G$2:G33),2))</f>
        <v/>
      </c>
      <c r="J33" s="21">
        <f>IFERROR(MATCH(ROW()-1,$L$2:$L$3001,0),"")</f>
        <v/>
      </c>
      <c r="K33" s="34">
        <f>IF(AND('Daily Sale entry '!X33&lt;&gt;"",OR('Daily Sale entry '!AC33&lt;&gt;"",'Daily Sale entry '!AD33&lt;&gt;"")),'Daily Sale entry '!X33+ROW()/10000000,"")</f>
        <v/>
      </c>
      <c r="L33" s="21">
        <f>IF(K33="","",COUNTIF($K$2:$K$3001,"&lt;"&amp;K33)+1)</f>
        <v/>
      </c>
    </row>
    <row r="34">
      <c r="A34" s="5">
        <f>IF($J34="","",IF($J34&lt;=1500,INDEX('Daily Sale entry '!$X$1:$X$1501,$J34+1),INDEX('Daily Sale entry '!$V$1:$V$1501,$J34-1499)))</f>
        <v/>
      </c>
      <c r="B34">
        <f>IF($J34="","",IF($J34&lt;=1500,INDEX('Daily Sale entry '!$Y$1:$Y$1501,$J34+1)&amp;"","Buyer cheque banked 买家支票存入"&amp;IF(INDEX('Daily Sale entry '!$U$1:$U$1501,$J34-1499)="","", " - "&amp;INDEX('Daily Sale entry '!$U$1:$U$1501,$J34-1499))))</f>
        <v/>
      </c>
      <c r="C34">
        <f>IF($J34="","",IF($J34&lt;=1500,INDEX('Daily Sale entry '!$Z$1:$Z$1501,$J34+1)&amp;"","Cheque deposit 支票存入 (buyer 买家)"))</f>
        <v/>
      </c>
      <c r="D34">
        <f>IF($J34="","",IF($J34&lt;=1500,INDEX('Daily Sale entry '!$AA$1:$AA$1501,$J34+1)&amp;"",INDEX('Daily Sale entry '!$P$1:$P$1501,$J34-1499)&amp;""))</f>
        <v/>
      </c>
      <c r="E34">
        <f>IF($J34="","",IF($J34&lt;=1500,IF(N(INDEX('Daily Sale entry '!$AB$1:$AB$1501,$J34+1))=0,"",INDEX('Daily Sale entry '!$AB$1:$AB$1501,$J34+1)),1))</f>
        <v/>
      </c>
      <c r="F34" s="6">
        <f>IF($J34="","",IF($J34&lt;=1500,N(INDEX('Daily Sale entry '!$AC$1:$AC$1501,$J34+1))-IF(AND('Opening Balance'!$B$15=1,INDEX('Daily Sale entry '!$Z$1:$Z$1501,$J34+1)="Online collection 网上收款",INDEX('Daily Sale entry '!$AA$1:$AA$1501,$J34+1)&lt;&gt;""),N(INDEX('Daily Sale entry '!$AC$1:$AC$1501,$J34+1))-TRUNC(N(INDEX('Daily Sale entry '!$AC$1:$AC$1501,$J34+1))),0),N(INDEX('Daily Sale entry '!$S$1:$S$1501,$J34-1499))-'Opening Balance'!$B$15*(N(INDEX('Daily Sale entry '!$S$1:$S$1501,$J34-1499))-TRUNC(N(INDEX('Daily Sale entry '!$S$1:$S$1501,$J34-1499))))))</f>
        <v/>
      </c>
      <c r="G34" s="6">
        <f>IF($J34="","",IF($J34&lt;=1500,N(INDEX('Daily Sale entry '!$AD$1:$AD$1501,$J34+1)),0))</f>
        <v/>
      </c>
      <c r="H34" s="6">
        <f>IF($J34="","",ROUND('Opening Balance'!$B$4+SUM($F$2:F34)-SUM($G$2:G34),2))</f>
        <v/>
      </c>
      <c r="J34" s="21">
        <f>IFERROR(MATCH(ROW()-1,$L$2:$L$3001,0),"")</f>
        <v/>
      </c>
      <c r="K34" s="34">
        <f>IF(AND('Daily Sale entry '!X34&lt;&gt;"",OR('Daily Sale entry '!AC34&lt;&gt;"",'Daily Sale entry '!AD34&lt;&gt;"")),'Daily Sale entry '!X34+ROW()/10000000,"")</f>
        <v/>
      </c>
      <c r="L34" s="21">
        <f>IF(K34="","",COUNTIF($K$2:$K$3001,"&lt;"&amp;K34)+1)</f>
        <v/>
      </c>
    </row>
    <row r="35">
      <c r="A35" s="5">
        <f>IF($J35="","",IF($J35&lt;=1500,INDEX('Daily Sale entry '!$X$1:$X$1501,$J35+1),INDEX('Daily Sale entry '!$V$1:$V$1501,$J35-1499)))</f>
        <v/>
      </c>
      <c r="B35">
        <f>IF($J35="","",IF($J35&lt;=1500,INDEX('Daily Sale entry '!$Y$1:$Y$1501,$J35+1)&amp;"","Buyer cheque banked 买家支票存入"&amp;IF(INDEX('Daily Sale entry '!$U$1:$U$1501,$J35-1499)="","", " - "&amp;INDEX('Daily Sale entry '!$U$1:$U$1501,$J35-1499))))</f>
        <v/>
      </c>
      <c r="C35">
        <f>IF($J35="","",IF($J35&lt;=1500,INDEX('Daily Sale entry '!$Z$1:$Z$1501,$J35+1)&amp;"","Cheque deposit 支票存入 (buyer 买家)"))</f>
        <v/>
      </c>
      <c r="D35">
        <f>IF($J35="","",IF($J35&lt;=1500,INDEX('Daily Sale entry '!$AA$1:$AA$1501,$J35+1)&amp;"",INDEX('Daily Sale entry '!$P$1:$P$1501,$J35-1499)&amp;""))</f>
        <v/>
      </c>
      <c r="E35">
        <f>IF($J35="","",IF($J35&lt;=1500,IF(N(INDEX('Daily Sale entry '!$AB$1:$AB$1501,$J35+1))=0,"",INDEX('Daily Sale entry '!$AB$1:$AB$1501,$J35+1)),1))</f>
        <v/>
      </c>
      <c r="F35" s="6">
        <f>IF($J35="","",IF($J35&lt;=1500,N(INDEX('Daily Sale entry '!$AC$1:$AC$1501,$J35+1))-IF(AND('Opening Balance'!$B$15=1,INDEX('Daily Sale entry '!$Z$1:$Z$1501,$J35+1)="Online collection 网上收款",INDEX('Daily Sale entry '!$AA$1:$AA$1501,$J35+1)&lt;&gt;""),N(INDEX('Daily Sale entry '!$AC$1:$AC$1501,$J35+1))-TRUNC(N(INDEX('Daily Sale entry '!$AC$1:$AC$1501,$J35+1))),0),N(INDEX('Daily Sale entry '!$S$1:$S$1501,$J35-1499))-'Opening Balance'!$B$15*(N(INDEX('Daily Sale entry '!$S$1:$S$1501,$J35-1499))-TRUNC(N(INDEX('Daily Sale entry '!$S$1:$S$1501,$J35-1499))))))</f>
        <v/>
      </c>
      <c r="G35" s="6">
        <f>IF($J35="","",IF($J35&lt;=1500,N(INDEX('Daily Sale entry '!$AD$1:$AD$1501,$J35+1)),0))</f>
        <v/>
      </c>
      <c r="H35" s="6">
        <f>IF($J35="","",ROUND('Opening Balance'!$B$4+SUM($F$2:F35)-SUM($G$2:G35),2))</f>
        <v/>
      </c>
      <c r="J35" s="21">
        <f>IFERROR(MATCH(ROW()-1,$L$2:$L$3001,0),"")</f>
        <v/>
      </c>
      <c r="K35" s="34">
        <f>IF(AND('Daily Sale entry '!X35&lt;&gt;"",OR('Daily Sale entry '!AC35&lt;&gt;"",'Daily Sale entry '!AD35&lt;&gt;"")),'Daily Sale entry '!X35+ROW()/10000000,"")</f>
        <v/>
      </c>
      <c r="L35" s="21">
        <f>IF(K35="","",COUNTIF($K$2:$K$3001,"&lt;"&amp;K35)+1)</f>
        <v/>
      </c>
    </row>
    <row r="36">
      <c r="A36" s="5">
        <f>IF($J36="","",IF($J36&lt;=1500,INDEX('Daily Sale entry '!$X$1:$X$1501,$J36+1),INDEX('Daily Sale entry '!$V$1:$V$1501,$J36-1499)))</f>
        <v/>
      </c>
      <c r="B36">
        <f>IF($J36="","",IF($J36&lt;=1500,INDEX('Daily Sale entry '!$Y$1:$Y$1501,$J36+1)&amp;"","Buyer cheque banked 买家支票存入"&amp;IF(INDEX('Daily Sale entry '!$U$1:$U$1501,$J36-1499)="","", " - "&amp;INDEX('Daily Sale entry '!$U$1:$U$1501,$J36-1499))))</f>
        <v/>
      </c>
      <c r="C36">
        <f>IF($J36="","",IF($J36&lt;=1500,INDEX('Daily Sale entry '!$Z$1:$Z$1501,$J36+1)&amp;"","Cheque deposit 支票存入 (buyer 买家)"))</f>
        <v/>
      </c>
      <c r="D36">
        <f>IF($J36="","",IF($J36&lt;=1500,INDEX('Daily Sale entry '!$AA$1:$AA$1501,$J36+1)&amp;"",INDEX('Daily Sale entry '!$P$1:$P$1501,$J36-1499)&amp;""))</f>
        <v/>
      </c>
      <c r="E36">
        <f>IF($J36="","",IF($J36&lt;=1500,IF(N(INDEX('Daily Sale entry '!$AB$1:$AB$1501,$J36+1))=0,"",INDEX('Daily Sale entry '!$AB$1:$AB$1501,$J36+1)),1))</f>
        <v/>
      </c>
      <c r="F36" s="6">
        <f>IF($J36="","",IF($J36&lt;=1500,N(INDEX('Daily Sale entry '!$AC$1:$AC$1501,$J36+1))-IF(AND('Opening Balance'!$B$15=1,INDEX('Daily Sale entry '!$Z$1:$Z$1501,$J36+1)="Online collection 网上收款",INDEX('Daily Sale entry '!$AA$1:$AA$1501,$J36+1)&lt;&gt;""),N(INDEX('Daily Sale entry '!$AC$1:$AC$1501,$J36+1))-TRUNC(N(INDEX('Daily Sale entry '!$AC$1:$AC$1501,$J36+1))),0),N(INDEX('Daily Sale entry '!$S$1:$S$1501,$J36-1499))-'Opening Balance'!$B$15*(N(INDEX('Daily Sale entry '!$S$1:$S$1501,$J36-1499))-TRUNC(N(INDEX('Daily Sale entry '!$S$1:$S$1501,$J36-1499))))))</f>
        <v/>
      </c>
      <c r="G36" s="6">
        <f>IF($J36="","",IF($J36&lt;=1500,N(INDEX('Daily Sale entry '!$AD$1:$AD$1501,$J36+1)),0))</f>
        <v/>
      </c>
      <c r="H36" s="6">
        <f>IF($J36="","",ROUND('Opening Balance'!$B$4+SUM($F$2:F36)-SUM($G$2:G36),2))</f>
        <v/>
      </c>
      <c r="J36" s="21">
        <f>IFERROR(MATCH(ROW()-1,$L$2:$L$3001,0),"")</f>
        <v/>
      </c>
      <c r="K36" s="34">
        <f>IF(AND('Daily Sale entry '!X36&lt;&gt;"",OR('Daily Sale entry '!AC36&lt;&gt;"",'Daily Sale entry '!AD36&lt;&gt;"")),'Daily Sale entry '!X36+ROW()/10000000,"")</f>
        <v/>
      </c>
      <c r="L36" s="21">
        <f>IF(K36="","",COUNTIF($K$2:$K$3001,"&lt;"&amp;K36)+1)</f>
        <v/>
      </c>
    </row>
    <row r="37">
      <c r="A37" s="5">
        <f>IF($J37="","",IF($J37&lt;=1500,INDEX('Daily Sale entry '!$X$1:$X$1501,$J37+1),INDEX('Daily Sale entry '!$V$1:$V$1501,$J37-1499)))</f>
        <v/>
      </c>
      <c r="B37">
        <f>IF($J37="","",IF($J37&lt;=1500,INDEX('Daily Sale entry '!$Y$1:$Y$1501,$J37+1)&amp;"","Buyer cheque banked 买家支票存入"&amp;IF(INDEX('Daily Sale entry '!$U$1:$U$1501,$J37-1499)="","", " - "&amp;INDEX('Daily Sale entry '!$U$1:$U$1501,$J37-1499))))</f>
        <v/>
      </c>
      <c r="C37">
        <f>IF($J37="","",IF($J37&lt;=1500,INDEX('Daily Sale entry '!$Z$1:$Z$1501,$J37+1)&amp;"","Cheque deposit 支票存入 (buyer 买家)"))</f>
        <v/>
      </c>
      <c r="D37">
        <f>IF($J37="","",IF($J37&lt;=1500,INDEX('Daily Sale entry '!$AA$1:$AA$1501,$J37+1)&amp;"",INDEX('Daily Sale entry '!$P$1:$P$1501,$J37-1499)&amp;""))</f>
        <v/>
      </c>
      <c r="E37">
        <f>IF($J37="","",IF($J37&lt;=1500,IF(N(INDEX('Daily Sale entry '!$AB$1:$AB$1501,$J37+1))=0,"",INDEX('Daily Sale entry '!$AB$1:$AB$1501,$J37+1)),1))</f>
        <v/>
      </c>
      <c r="F37" s="6">
        <f>IF($J37="","",IF($J37&lt;=1500,N(INDEX('Daily Sale entry '!$AC$1:$AC$1501,$J37+1))-IF(AND('Opening Balance'!$B$15=1,INDEX('Daily Sale entry '!$Z$1:$Z$1501,$J37+1)="Online collection 网上收款",INDEX('Daily Sale entry '!$AA$1:$AA$1501,$J37+1)&lt;&gt;""),N(INDEX('Daily Sale entry '!$AC$1:$AC$1501,$J37+1))-TRUNC(N(INDEX('Daily Sale entry '!$AC$1:$AC$1501,$J37+1))),0),N(INDEX('Daily Sale entry '!$S$1:$S$1501,$J37-1499))-'Opening Balance'!$B$15*(N(INDEX('Daily Sale entry '!$S$1:$S$1501,$J37-1499))-TRUNC(N(INDEX('Daily Sale entry '!$S$1:$S$1501,$J37-1499))))))</f>
        <v/>
      </c>
      <c r="G37" s="6">
        <f>IF($J37="","",IF($J37&lt;=1500,N(INDEX('Daily Sale entry '!$AD$1:$AD$1501,$J37+1)),0))</f>
        <v/>
      </c>
      <c r="H37" s="6">
        <f>IF($J37="","",ROUND('Opening Balance'!$B$4+SUM($F$2:F37)-SUM($G$2:G37),2))</f>
        <v/>
      </c>
      <c r="J37" s="21">
        <f>IFERROR(MATCH(ROW()-1,$L$2:$L$3001,0),"")</f>
        <v/>
      </c>
      <c r="K37" s="34">
        <f>IF(AND('Daily Sale entry '!X37&lt;&gt;"",OR('Daily Sale entry '!AC37&lt;&gt;"",'Daily Sale entry '!AD37&lt;&gt;"")),'Daily Sale entry '!X37+ROW()/10000000,"")</f>
        <v/>
      </c>
      <c r="L37" s="21">
        <f>IF(K37="","",COUNTIF($K$2:$K$3001,"&lt;"&amp;K37)+1)</f>
        <v/>
      </c>
    </row>
    <row r="38">
      <c r="A38" s="5">
        <f>IF($J38="","",IF($J38&lt;=1500,INDEX('Daily Sale entry '!$X$1:$X$1501,$J38+1),INDEX('Daily Sale entry '!$V$1:$V$1501,$J38-1499)))</f>
        <v/>
      </c>
      <c r="B38">
        <f>IF($J38="","",IF($J38&lt;=1500,INDEX('Daily Sale entry '!$Y$1:$Y$1501,$J38+1)&amp;"","Buyer cheque banked 买家支票存入"&amp;IF(INDEX('Daily Sale entry '!$U$1:$U$1501,$J38-1499)="","", " - "&amp;INDEX('Daily Sale entry '!$U$1:$U$1501,$J38-1499))))</f>
        <v/>
      </c>
      <c r="C38">
        <f>IF($J38="","",IF($J38&lt;=1500,INDEX('Daily Sale entry '!$Z$1:$Z$1501,$J38+1)&amp;"","Cheque deposit 支票存入 (buyer 买家)"))</f>
        <v/>
      </c>
      <c r="D38">
        <f>IF($J38="","",IF($J38&lt;=1500,INDEX('Daily Sale entry '!$AA$1:$AA$1501,$J38+1)&amp;"",INDEX('Daily Sale entry '!$P$1:$P$1501,$J38-1499)&amp;""))</f>
        <v/>
      </c>
      <c r="E38">
        <f>IF($J38="","",IF($J38&lt;=1500,IF(N(INDEX('Daily Sale entry '!$AB$1:$AB$1501,$J38+1))=0,"",INDEX('Daily Sale entry '!$AB$1:$AB$1501,$J38+1)),1))</f>
        <v/>
      </c>
      <c r="F38" s="6">
        <f>IF($J38="","",IF($J38&lt;=1500,N(INDEX('Daily Sale entry '!$AC$1:$AC$1501,$J38+1))-IF(AND('Opening Balance'!$B$15=1,INDEX('Daily Sale entry '!$Z$1:$Z$1501,$J38+1)="Online collection 网上收款",INDEX('Daily Sale entry '!$AA$1:$AA$1501,$J38+1)&lt;&gt;""),N(INDEX('Daily Sale entry '!$AC$1:$AC$1501,$J38+1))-TRUNC(N(INDEX('Daily Sale entry '!$AC$1:$AC$1501,$J38+1))),0),N(INDEX('Daily Sale entry '!$S$1:$S$1501,$J38-1499))-'Opening Balance'!$B$15*(N(INDEX('Daily Sale entry '!$S$1:$S$1501,$J38-1499))-TRUNC(N(INDEX('Daily Sale entry '!$S$1:$S$1501,$J38-1499))))))</f>
        <v/>
      </c>
      <c r="G38" s="6">
        <f>IF($J38="","",IF($J38&lt;=1500,N(INDEX('Daily Sale entry '!$AD$1:$AD$1501,$J38+1)),0))</f>
        <v/>
      </c>
      <c r="H38" s="6">
        <f>IF($J38="","",ROUND('Opening Balance'!$B$4+SUM($F$2:F38)-SUM($G$2:G38),2))</f>
        <v/>
      </c>
      <c r="J38" s="21">
        <f>IFERROR(MATCH(ROW()-1,$L$2:$L$3001,0),"")</f>
        <v/>
      </c>
      <c r="K38" s="34">
        <f>IF(AND('Daily Sale entry '!X38&lt;&gt;"",OR('Daily Sale entry '!AC38&lt;&gt;"",'Daily Sale entry '!AD38&lt;&gt;"")),'Daily Sale entry '!X38+ROW()/10000000,"")</f>
        <v/>
      </c>
      <c r="L38" s="21">
        <f>IF(K38="","",COUNTIF($K$2:$K$3001,"&lt;"&amp;K38)+1)</f>
        <v/>
      </c>
    </row>
    <row r="39">
      <c r="A39" s="5">
        <f>IF($J39="","",IF($J39&lt;=1500,INDEX('Daily Sale entry '!$X$1:$X$1501,$J39+1),INDEX('Daily Sale entry '!$V$1:$V$1501,$J39-1499)))</f>
        <v/>
      </c>
      <c r="B39">
        <f>IF($J39="","",IF($J39&lt;=1500,INDEX('Daily Sale entry '!$Y$1:$Y$1501,$J39+1)&amp;"","Buyer cheque banked 买家支票存入"&amp;IF(INDEX('Daily Sale entry '!$U$1:$U$1501,$J39-1499)="","", " - "&amp;INDEX('Daily Sale entry '!$U$1:$U$1501,$J39-1499))))</f>
        <v/>
      </c>
      <c r="C39">
        <f>IF($J39="","",IF($J39&lt;=1500,INDEX('Daily Sale entry '!$Z$1:$Z$1501,$J39+1)&amp;"","Cheque deposit 支票存入 (buyer 买家)"))</f>
        <v/>
      </c>
      <c r="D39">
        <f>IF($J39="","",IF($J39&lt;=1500,INDEX('Daily Sale entry '!$AA$1:$AA$1501,$J39+1)&amp;"",INDEX('Daily Sale entry '!$P$1:$P$1501,$J39-1499)&amp;""))</f>
        <v/>
      </c>
      <c r="E39">
        <f>IF($J39="","",IF($J39&lt;=1500,IF(N(INDEX('Daily Sale entry '!$AB$1:$AB$1501,$J39+1))=0,"",INDEX('Daily Sale entry '!$AB$1:$AB$1501,$J39+1)),1))</f>
        <v/>
      </c>
      <c r="F39" s="6">
        <f>IF($J39="","",IF($J39&lt;=1500,N(INDEX('Daily Sale entry '!$AC$1:$AC$1501,$J39+1))-IF(AND('Opening Balance'!$B$15=1,INDEX('Daily Sale entry '!$Z$1:$Z$1501,$J39+1)="Online collection 网上收款",INDEX('Daily Sale entry '!$AA$1:$AA$1501,$J39+1)&lt;&gt;""),N(INDEX('Daily Sale entry '!$AC$1:$AC$1501,$J39+1))-TRUNC(N(INDEX('Daily Sale entry '!$AC$1:$AC$1501,$J39+1))),0),N(INDEX('Daily Sale entry '!$S$1:$S$1501,$J39-1499))-'Opening Balance'!$B$15*(N(INDEX('Daily Sale entry '!$S$1:$S$1501,$J39-1499))-TRUNC(N(INDEX('Daily Sale entry '!$S$1:$S$1501,$J39-1499))))))</f>
        <v/>
      </c>
      <c r="G39" s="6">
        <f>IF($J39="","",IF($J39&lt;=1500,N(INDEX('Daily Sale entry '!$AD$1:$AD$1501,$J39+1)),0))</f>
        <v/>
      </c>
      <c r="H39" s="6">
        <f>IF($J39="","",ROUND('Opening Balance'!$B$4+SUM($F$2:F39)-SUM($G$2:G39),2))</f>
        <v/>
      </c>
      <c r="J39" s="21">
        <f>IFERROR(MATCH(ROW()-1,$L$2:$L$3001,0),"")</f>
        <v/>
      </c>
      <c r="K39" s="34">
        <f>IF(AND('Daily Sale entry '!X39&lt;&gt;"",OR('Daily Sale entry '!AC39&lt;&gt;"",'Daily Sale entry '!AD39&lt;&gt;"")),'Daily Sale entry '!X39+ROW()/10000000,"")</f>
        <v/>
      </c>
      <c r="L39" s="21">
        <f>IF(K39="","",COUNTIF($K$2:$K$3001,"&lt;"&amp;K39)+1)</f>
        <v/>
      </c>
    </row>
    <row r="40">
      <c r="A40" s="5">
        <f>IF($J40="","",IF($J40&lt;=1500,INDEX('Daily Sale entry '!$X$1:$X$1501,$J40+1),INDEX('Daily Sale entry '!$V$1:$V$1501,$J40-1499)))</f>
        <v/>
      </c>
      <c r="B40">
        <f>IF($J40="","",IF($J40&lt;=1500,INDEX('Daily Sale entry '!$Y$1:$Y$1501,$J40+1)&amp;"","Buyer cheque banked 买家支票存入"&amp;IF(INDEX('Daily Sale entry '!$U$1:$U$1501,$J40-1499)="","", " - "&amp;INDEX('Daily Sale entry '!$U$1:$U$1501,$J40-1499))))</f>
        <v/>
      </c>
      <c r="C40">
        <f>IF($J40="","",IF($J40&lt;=1500,INDEX('Daily Sale entry '!$Z$1:$Z$1501,$J40+1)&amp;"","Cheque deposit 支票存入 (buyer 买家)"))</f>
        <v/>
      </c>
      <c r="D40">
        <f>IF($J40="","",IF($J40&lt;=1500,INDEX('Daily Sale entry '!$AA$1:$AA$1501,$J40+1)&amp;"",INDEX('Daily Sale entry '!$P$1:$P$1501,$J40-1499)&amp;""))</f>
        <v/>
      </c>
      <c r="E40">
        <f>IF($J40="","",IF($J40&lt;=1500,IF(N(INDEX('Daily Sale entry '!$AB$1:$AB$1501,$J40+1))=0,"",INDEX('Daily Sale entry '!$AB$1:$AB$1501,$J40+1)),1))</f>
        <v/>
      </c>
      <c r="F40" s="6">
        <f>IF($J40="","",IF($J40&lt;=1500,N(INDEX('Daily Sale entry '!$AC$1:$AC$1501,$J40+1))-IF(AND('Opening Balance'!$B$15=1,INDEX('Daily Sale entry '!$Z$1:$Z$1501,$J40+1)="Online collection 网上收款",INDEX('Daily Sale entry '!$AA$1:$AA$1501,$J40+1)&lt;&gt;""),N(INDEX('Daily Sale entry '!$AC$1:$AC$1501,$J40+1))-TRUNC(N(INDEX('Daily Sale entry '!$AC$1:$AC$1501,$J40+1))),0),N(INDEX('Daily Sale entry '!$S$1:$S$1501,$J40-1499))-'Opening Balance'!$B$15*(N(INDEX('Daily Sale entry '!$S$1:$S$1501,$J40-1499))-TRUNC(N(INDEX('Daily Sale entry '!$S$1:$S$1501,$J40-1499))))))</f>
        <v/>
      </c>
      <c r="G40" s="6">
        <f>IF($J40="","",IF($J40&lt;=1500,N(INDEX('Daily Sale entry '!$AD$1:$AD$1501,$J40+1)),0))</f>
        <v/>
      </c>
      <c r="H40" s="6">
        <f>IF($J40="","",ROUND('Opening Balance'!$B$4+SUM($F$2:F40)-SUM($G$2:G40),2))</f>
        <v/>
      </c>
      <c r="J40" s="21">
        <f>IFERROR(MATCH(ROW()-1,$L$2:$L$3001,0),"")</f>
        <v/>
      </c>
      <c r="K40" s="34">
        <f>IF(AND('Daily Sale entry '!X40&lt;&gt;"",OR('Daily Sale entry '!AC40&lt;&gt;"",'Daily Sale entry '!AD40&lt;&gt;"")),'Daily Sale entry '!X40+ROW()/10000000,"")</f>
        <v/>
      </c>
      <c r="L40" s="21">
        <f>IF(K40="","",COUNTIF($K$2:$K$3001,"&lt;"&amp;K40)+1)</f>
        <v/>
      </c>
    </row>
    <row r="41">
      <c r="A41" s="5">
        <f>IF($J41="","",IF($J41&lt;=1500,INDEX('Daily Sale entry '!$X$1:$X$1501,$J41+1),INDEX('Daily Sale entry '!$V$1:$V$1501,$J41-1499)))</f>
        <v/>
      </c>
      <c r="B41">
        <f>IF($J41="","",IF($J41&lt;=1500,INDEX('Daily Sale entry '!$Y$1:$Y$1501,$J41+1)&amp;"","Buyer cheque banked 买家支票存入"&amp;IF(INDEX('Daily Sale entry '!$U$1:$U$1501,$J41-1499)="","", " - "&amp;INDEX('Daily Sale entry '!$U$1:$U$1501,$J41-1499))))</f>
        <v/>
      </c>
      <c r="C41">
        <f>IF($J41="","",IF($J41&lt;=1500,INDEX('Daily Sale entry '!$Z$1:$Z$1501,$J41+1)&amp;"","Cheque deposit 支票存入 (buyer 买家)"))</f>
        <v/>
      </c>
      <c r="D41">
        <f>IF($J41="","",IF($J41&lt;=1500,INDEX('Daily Sale entry '!$AA$1:$AA$1501,$J41+1)&amp;"",INDEX('Daily Sale entry '!$P$1:$P$1501,$J41-1499)&amp;""))</f>
        <v/>
      </c>
      <c r="E41">
        <f>IF($J41="","",IF($J41&lt;=1500,IF(N(INDEX('Daily Sale entry '!$AB$1:$AB$1501,$J41+1))=0,"",INDEX('Daily Sale entry '!$AB$1:$AB$1501,$J41+1)),1))</f>
        <v/>
      </c>
      <c r="F41" s="6">
        <f>IF($J41="","",IF($J41&lt;=1500,N(INDEX('Daily Sale entry '!$AC$1:$AC$1501,$J41+1))-IF(AND('Opening Balance'!$B$15=1,INDEX('Daily Sale entry '!$Z$1:$Z$1501,$J41+1)="Online collection 网上收款",INDEX('Daily Sale entry '!$AA$1:$AA$1501,$J41+1)&lt;&gt;""),N(INDEX('Daily Sale entry '!$AC$1:$AC$1501,$J41+1))-TRUNC(N(INDEX('Daily Sale entry '!$AC$1:$AC$1501,$J41+1))),0),N(INDEX('Daily Sale entry '!$S$1:$S$1501,$J41-1499))-'Opening Balance'!$B$15*(N(INDEX('Daily Sale entry '!$S$1:$S$1501,$J41-1499))-TRUNC(N(INDEX('Daily Sale entry '!$S$1:$S$1501,$J41-1499))))))</f>
        <v/>
      </c>
      <c r="G41" s="6">
        <f>IF($J41="","",IF($J41&lt;=1500,N(INDEX('Daily Sale entry '!$AD$1:$AD$1501,$J41+1)),0))</f>
        <v/>
      </c>
      <c r="H41" s="6">
        <f>IF($J41="","",ROUND('Opening Balance'!$B$4+SUM($F$2:F41)-SUM($G$2:G41),2))</f>
        <v/>
      </c>
      <c r="J41" s="21">
        <f>IFERROR(MATCH(ROW()-1,$L$2:$L$3001,0),"")</f>
        <v/>
      </c>
      <c r="K41" s="34">
        <f>IF(AND('Daily Sale entry '!X41&lt;&gt;"",OR('Daily Sale entry '!AC41&lt;&gt;"",'Daily Sale entry '!AD41&lt;&gt;"")),'Daily Sale entry '!X41+ROW()/10000000,"")</f>
        <v/>
      </c>
      <c r="L41" s="21">
        <f>IF(K41="","",COUNTIF($K$2:$K$3001,"&lt;"&amp;K41)+1)</f>
        <v/>
      </c>
    </row>
    <row r="42">
      <c r="A42" s="5">
        <f>IF($J42="","",IF($J42&lt;=1500,INDEX('Daily Sale entry '!$X$1:$X$1501,$J42+1),INDEX('Daily Sale entry '!$V$1:$V$1501,$J42-1499)))</f>
        <v/>
      </c>
      <c r="B42">
        <f>IF($J42="","",IF($J42&lt;=1500,INDEX('Daily Sale entry '!$Y$1:$Y$1501,$J42+1)&amp;"","Buyer cheque banked 买家支票存入"&amp;IF(INDEX('Daily Sale entry '!$U$1:$U$1501,$J42-1499)="","", " - "&amp;INDEX('Daily Sale entry '!$U$1:$U$1501,$J42-1499))))</f>
        <v/>
      </c>
      <c r="C42">
        <f>IF($J42="","",IF($J42&lt;=1500,INDEX('Daily Sale entry '!$Z$1:$Z$1501,$J42+1)&amp;"","Cheque deposit 支票存入 (buyer 买家)"))</f>
        <v/>
      </c>
      <c r="D42">
        <f>IF($J42="","",IF($J42&lt;=1500,INDEX('Daily Sale entry '!$AA$1:$AA$1501,$J42+1)&amp;"",INDEX('Daily Sale entry '!$P$1:$P$1501,$J42-1499)&amp;""))</f>
        <v/>
      </c>
      <c r="E42">
        <f>IF($J42="","",IF($J42&lt;=1500,IF(N(INDEX('Daily Sale entry '!$AB$1:$AB$1501,$J42+1))=0,"",INDEX('Daily Sale entry '!$AB$1:$AB$1501,$J42+1)),1))</f>
        <v/>
      </c>
      <c r="F42" s="6">
        <f>IF($J42="","",IF($J42&lt;=1500,N(INDEX('Daily Sale entry '!$AC$1:$AC$1501,$J42+1))-IF(AND('Opening Balance'!$B$15=1,INDEX('Daily Sale entry '!$Z$1:$Z$1501,$J42+1)="Online collection 网上收款",INDEX('Daily Sale entry '!$AA$1:$AA$1501,$J42+1)&lt;&gt;""),N(INDEX('Daily Sale entry '!$AC$1:$AC$1501,$J42+1))-TRUNC(N(INDEX('Daily Sale entry '!$AC$1:$AC$1501,$J42+1))),0),N(INDEX('Daily Sale entry '!$S$1:$S$1501,$J42-1499))-'Opening Balance'!$B$15*(N(INDEX('Daily Sale entry '!$S$1:$S$1501,$J42-1499))-TRUNC(N(INDEX('Daily Sale entry '!$S$1:$S$1501,$J42-1499))))))</f>
        <v/>
      </c>
      <c r="G42" s="6">
        <f>IF($J42="","",IF($J42&lt;=1500,N(INDEX('Daily Sale entry '!$AD$1:$AD$1501,$J42+1)),0))</f>
        <v/>
      </c>
      <c r="H42" s="6">
        <f>IF($J42="","",ROUND('Opening Balance'!$B$4+SUM($F$2:F42)-SUM($G$2:G42),2))</f>
        <v/>
      </c>
      <c r="J42" s="21">
        <f>IFERROR(MATCH(ROW()-1,$L$2:$L$3001,0),"")</f>
        <v/>
      </c>
      <c r="K42" s="34">
        <f>IF(AND('Daily Sale entry '!X42&lt;&gt;"",OR('Daily Sale entry '!AC42&lt;&gt;"",'Daily Sale entry '!AD42&lt;&gt;"")),'Daily Sale entry '!X42+ROW()/10000000,"")</f>
        <v/>
      </c>
      <c r="L42" s="21">
        <f>IF(K42="","",COUNTIF($K$2:$K$3001,"&lt;"&amp;K42)+1)</f>
        <v/>
      </c>
    </row>
    <row r="43">
      <c r="A43" s="5">
        <f>IF($J43="","",IF($J43&lt;=1500,INDEX('Daily Sale entry '!$X$1:$X$1501,$J43+1),INDEX('Daily Sale entry '!$V$1:$V$1501,$J43-1499)))</f>
        <v/>
      </c>
      <c r="B43">
        <f>IF($J43="","",IF($J43&lt;=1500,INDEX('Daily Sale entry '!$Y$1:$Y$1501,$J43+1)&amp;"","Buyer cheque banked 买家支票存入"&amp;IF(INDEX('Daily Sale entry '!$U$1:$U$1501,$J43-1499)="","", " - "&amp;INDEX('Daily Sale entry '!$U$1:$U$1501,$J43-1499))))</f>
        <v/>
      </c>
      <c r="C43">
        <f>IF($J43="","",IF($J43&lt;=1500,INDEX('Daily Sale entry '!$Z$1:$Z$1501,$J43+1)&amp;"","Cheque deposit 支票存入 (buyer 买家)"))</f>
        <v/>
      </c>
      <c r="D43">
        <f>IF($J43="","",IF($J43&lt;=1500,INDEX('Daily Sale entry '!$AA$1:$AA$1501,$J43+1)&amp;"",INDEX('Daily Sale entry '!$P$1:$P$1501,$J43-1499)&amp;""))</f>
        <v/>
      </c>
      <c r="E43">
        <f>IF($J43="","",IF($J43&lt;=1500,IF(N(INDEX('Daily Sale entry '!$AB$1:$AB$1501,$J43+1))=0,"",INDEX('Daily Sale entry '!$AB$1:$AB$1501,$J43+1)),1))</f>
        <v/>
      </c>
      <c r="F43" s="6">
        <f>IF($J43="","",IF($J43&lt;=1500,N(INDEX('Daily Sale entry '!$AC$1:$AC$1501,$J43+1))-IF(AND('Opening Balance'!$B$15=1,INDEX('Daily Sale entry '!$Z$1:$Z$1501,$J43+1)="Online collection 网上收款",INDEX('Daily Sale entry '!$AA$1:$AA$1501,$J43+1)&lt;&gt;""),N(INDEX('Daily Sale entry '!$AC$1:$AC$1501,$J43+1))-TRUNC(N(INDEX('Daily Sale entry '!$AC$1:$AC$1501,$J43+1))),0),N(INDEX('Daily Sale entry '!$S$1:$S$1501,$J43-1499))-'Opening Balance'!$B$15*(N(INDEX('Daily Sale entry '!$S$1:$S$1501,$J43-1499))-TRUNC(N(INDEX('Daily Sale entry '!$S$1:$S$1501,$J43-1499))))))</f>
        <v/>
      </c>
      <c r="G43" s="6">
        <f>IF($J43="","",IF($J43&lt;=1500,N(INDEX('Daily Sale entry '!$AD$1:$AD$1501,$J43+1)),0))</f>
        <v/>
      </c>
      <c r="H43" s="6">
        <f>IF($J43="","",ROUND('Opening Balance'!$B$4+SUM($F$2:F43)-SUM($G$2:G43),2))</f>
        <v/>
      </c>
      <c r="J43" s="21">
        <f>IFERROR(MATCH(ROW()-1,$L$2:$L$3001,0),"")</f>
        <v/>
      </c>
      <c r="K43" s="34">
        <f>IF(AND('Daily Sale entry '!X43&lt;&gt;"",OR('Daily Sale entry '!AC43&lt;&gt;"",'Daily Sale entry '!AD43&lt;&gt;"")),'Daily Sale entry '!X43+ROW()/10000000,"")</f>
        <v/>
      </c>
      <c r="L43" s="21">
        <f>IF(K43="","",COUNTIF($K$2:$K$3001,"&lt;"&amp;K43)+1)</f>
        <v/>
      </c>
    </row>
    <row r="44">
      <c r="A44" s="5">
        <f>IF($J44="","",IF($J44&lt;=1500,INDEX('Daily Sale entry '!$X$1:$X$1501,$J44+1),INDEX('Daily Sale entry '!$V$1:$V$1501,$J44-1499)))</f>
        <v/>
      </c>
      <c r="B44">
        <f>IF($J44="","",IF($J44&lt;=1500,INDEX('Daily Sale entry '!$Y$1:$Y$1501,$J44+1)&amp;"","Buyer cheque banked 买家支票存入"&amp;IF(INDEX('Daily Sale entry '!$U$1:$U$1501,$J44-1499)="","", " - "&amp;INDEX('Daily Sale entry '!$U$1:$U$1501,$J44-1499))))</f>
        <v/>
      </c>
      <c r="C44">
        <f>IF($J44="","",IF($J44&lt;=1500,INDEX('Daily Sale entry '!$Z$1:$Z$1501,$J44+1)&amp;"","Cheque deposit 支票存入 (buyer 买家)"))</f>
        <v/>
      </c>
      <c r="D44">
        <f>IF($J44="","",IF($J44&lt;=1500,INDEX('Daily Sale entry '!$AA$1:$AA$1501,$J44+1)&amp;"",INDEX('Daily Sale entry '!$P$1:$P$1501,$J44-1499)&amp;""))</f>
        <v/>
      </c>
      <c r="E44">
        <f>IF($J44="","",IF($J44&lt;=1500,IF(N(INDEX('Daily Sale entry '!$AB$1:$AB$1501,$J44+1))=0,"",INDEX('Daily Sale entry '!$AB$1:$AB$1501,$J44+1)),1))</f>
        <v/>
      </c>
      <c r="F44" s="6">
        <f>IF($J44="","",IF($J44&lt;=1500,N(INDEX('Daily Sale entry '!$AC$1:$AC$1501,$J44+1))-IF(AND('Opening Balance'!$B$15=1,INDEX('Daily Sale entry '!$Z$1:$Z$1501,$J44+1)="Online collection 网上收款",INDEX('Daily Sale entry '!$AA$1:$AA$1501,$J44+1)&lt;&gt;""),N(INDEX('Daily Sale entry '!$AC$1:$AC$1501,$J44+1))-TRUNC(N(INDEX('Daily Sale entry '!$AC$1:$AC$1501,$J44+1))),0),N(INDEX('Daily Sale entry '!$S$1:$S$1501,$J44-1499))-'Opening Balance'!$B$15*(N(INDEX('Daily Sale entry '!$S$1:$S$1501,$J44-1499))-TRUNC(N(INDEX('Daily Sale entry '!$S$1:$S$1501,$J44-1499))))))</f>
        <v/>
      </c>
      <c r="G44" s="6">
        <f>IF($J44="","",IF($J44&lt;=1500,N(INDEX('Daily Sale entry '!$AD$1:$AD$1501,$J44+1)),0))</f>
        <v/>
      </c>
      <c r="H44" s="6">
        <f>IF($J44="","",ROUND('Opening Balance'!$B$4+SUM($F$2:F44)-SUM($G$2:G44),2))</f>
        <v/>
      </c>
      <c r="J44" s="21">
        <f>IFERROR(MATCH(ROW()-1,$L$2:$L$3001,0),"")</f>
        <v/>
      </c>
      <c r="K44" s="34">
        <f>IF(AND('Daily Sale entry '!X44&lt;&gt;"",OR('Daily Sale entry '!AC44&lt;&gt;"",'Daily Sale entry '!AD44&lt;&gt;"")),'Daily Sale entry '!X44+ROW()/10000000,"")</f>
        <v/>
      </c>
      <c r="L44" s="21">
        <f>IF(K44="","",COUNTIF($K$2:$K$3001,"&lt;"&amp;K44)+1)</f>
        <v/>
      </c>
    </row>
    <row r="45">
      <c r="A45" s="5">
        <f>IF($J45="","",IF($J45&lt;=1500,INDEX('Daily Sale entry '!$X$1:$X$1501,$J45+1),INDEX('Daily Sale entry '!$V$1:$V$1501,$J45-1499)))</f>
        <v/>
      </c>
      <c r="B45">
        <f>IF($J45="","",IF($J45&lt;=1500,INDEX('Daily Sale entry '!$Y$1:$Y$1501,$J45+1)&amp;"","Buyer cheque banked 买家支票存入"&amp;IF(INDEX('Daily Sale entry '!$U$1:$U$1501,$J45-1499)="","", " - "&amp;INDEX('Daily Sale entry '!$U$1:$U$1501,$J45-1499))))</f>
        <v/>
      </c>
      <c r="C45">
        <f>IF($J45="","",IF($J45&lt;=1500,INDEX('Daily Sale entry '!$Z$1:$Z$1501,$J45+1)&amp;"","Cheque deposit 支票存入 (buyer 买家)"))</f>
        <v/>
      </c>
      <c r="D45">
        <f>IF($J45="","",IF($J45&lt;=1500,INDEX('Daily Sale entry '!$AA$1:$AA$1501,$J45+1)&amp;"",INDEX('Daily Sale entry '!$P$1:$P$1501,$J45-1499)&amp;""))</f>
        <v/>
      </c>
      <c r="E45">
        <f>IF($J45="","",IF($J45&lt;=1500,IF(N(INDEX('Daily Sale entry '!$AB$1:$AB$1501,$J45+1))=0,"",INDEX('Daily Sale entry '!$AB$1:$AB$1501,$J45+1)),1))</f>
        <v/>
      </c>
      <c r="F45" s="6">
        <f>IF($J45="","",IF($J45&lt;=1500,N(INDEX('Daily Sale entry '!$AC$1:$AC$1501,$J45+1))-IF(AND('Opening Balance'!$B$15=1,INDEX('Daily Sale entry '!$Z$1:$Z$1501,$J45+1)="Online collection 网上收款",INDEX('Daily Sale entry '!$AA$1:$AA$1501,$J45+1)&lt;&gt;""),N(INDEX('Daily Sale entry '!$AC$1:$AC$1501,$J45+1))-TRUNC(N(INDEX('Daily Sale entry '!$AC$1:$AC$1501,$J45+1))),0),N(INDEX('Daily Sale entry '!$S$1:$S$1501,$J45-1499))-'Opening Balance'!$B$15*(N(INDEX('Daily Sale entry '!$S$1:$S$1501,$J45-1499))-TRUNC(N(INDEX('Daily Sale entry '!$S$1:$S$1501,$J45-1499))))))</f>
        <v/>
      </c>
      <c r="G45" s="6">
        <f>IF($J45="","",IF($J45&lt;=1500,N(INDEX('Daily Sale entry '!$AD$1:$AD$1501,$J45+1)),0))</f>
        <v/>
      </c>
      <c r="H45" s="6">
        <f>IF($J45="","",ROUND('Opening Balance'!$B$4+SUM($F$2:F45)-SUM($G$2:G45),2))</f>
        <v/>
      </c>
      <c r="J45" s="21">
        <f>IFERROR(MATCH(ROW()-1,$L$2:$L$3001,0),"")</f>
        <v/>
      </c>
      <c r="K45" s="34">
        <f>IF(AND('Daily Sale entry '!X45&lt;&gt;"",OR('Daily Sale entry '!AC45&lt;&gt;"",'Daily Sale entry '!AD45&lt;&gt;"")),'Daily Sale entry '!X45+ROW()/10000000,"")</f>
        <v/>
      </c>
      <c r="L45" s="21">
        <f>IF(K45="","",COUNTIF($K$2:$K$3001,"&lt;"&amp;K45)+1)</f>
        <v/>
      </c>
    </row>
    <row r="46">
      <c r="A46" s="5">
        <f>IF($J46="","",IF($J46&lt;=1500,INDEX('Daily Sale entry '!$X$1:$X$1501,$J46+1),INDEX('Daily Sale entry '!$V$1:$V$1501,$J46-1499)))</f>
        <v/>
      </c>
      <c r="B46">
        <f>IF($J46="","",IF($J46&lt;=1500,INDEX('Daily Sale entry '!$Y$1:$Y$1501,$J46+1)&amp;"","Buyer cheque banked 买家支票存入"&amp;IF(INDEX('Daily Sale entry '!$U$1:$U$1501,$J46-1499)="","", " - "&amp;INDEX('Daily Sale entry '!$U$1:$U$1501,$J46-1499))))</f>
        <v/>
      </c>
      <c r="C46">
        <f>IF($J46="","",IF($J46&lt;=1500,INDEX('Daily Sale entry '!$Z$1:$Z$1501,$J46+1)&amp;"","Cheque deposit 支票存入 (buyer 买家)"))</f>
        <v/>
      </c>
      <c r="D46">
        <f>IF($J46="","",IF($J46&lt;=1500,INDEX('Daily Sale entry '!$AA$1:$AA$1501,$J46+1)&amp;"",INDEX('Daily Sale entry '!$P$1:$P$1501,$J46-1499)&amp;""))</f>
        <v/>
      </c>
      <c r="E46">
        <f>IF($J46="","",IF($J46&lt;=1500,IF(N(INDEX('Daily Sale entry '!$AB$1:$AB$1501,$J46+1))=0,"",INDEX('Daily Sale entry '!$AB$1:$AB$1501,$J46+1)),1))</f>
        <v/>
      </c>
      <c r="F46" s="6">
        <f>IF($J46="","",IF($J46&lt;=1500,N(INDEX('Daily Sale entry '!$AC$1:$AC$1501,$J46+1))-IF(AND('Opening Balance'!$B$15=1,INDEX('Daily Sale entry '!$Z$1:$Z$1501,$J46+1)="Online collection 网上收款",INDEX('Daily Sale entry '!$AA$1:$AA$1501,$J46+1)&lt;&gt;""),N(INDEX('Daily Sale entry '!$AC$1:$AC$1501,$J46+1))-TRUNC(N(INDEX('Daily Sale entry '!$AC$1:$AC$1501,$J46+1))),0),N(INDEX('Daily Sale entry '!$S$1:$S$1501,$J46-1499))-'Opening Balance'!$B$15*(N(INDEX('Daily Sale entry '!$S$1:$S$1501,$J46-1499))-TRUNC(N(INDEX('Daily Sale entry '!$S$1:$S$1501,$J46-1499))))))</f>
        <v/>
      </c>
      <c r="G46" s="6">
        <f>IF($J46="","",IF($J46&lt;=1500,N(INDEX('Daily Sale entry '!$AD$1:$AD$1501,$J46+1)),0))</f>
        <v/>
      </c>
      <c r="H46" s="6">
        <f>IF($J46="","",ROUND('Opening Balance'!$B$4+SUM($F$2:F46)-SUM($G$2:G46),2))</f>
        <v/>
      </c>
      <c r="J46" s="21">
        <f>IFERROR(MATCH(ROW()-1,$L$2:$L$3001,0),"")</f>
        <v/>
      </c>
      <c r="K46" s="34">
        <f>IF(AND('Daily Sale entry '!X46&lt;&gt;"",OR('Daily Sale entry '!AC46&lt;&gt;"",'Daily Sale entry '!AD46&lt;&gt;"")),'Daily Sale entry '!X46+ROW()/10000000,"")</f>
        <v/>
      </c>
      <c r="L46" s="21">
        <f>IF(K46="","",COUNTIF($K$2:$K$3001,"&lt;"&amp;K46)+1)</f>
        <v/>
      </c>
    </row>
    <row r="47">
      <c r="A47" s="5">
        <f>IF($J47="","",IF($J47&lt;=1500,INDEX('Daily Sale entry '!$X$1:$X$1501,$J47+1),INDEX('Daily Sale entry '!$V$1:$V$1501,$J47-1499)))</f>
        <v/>
      </c>
      <c r="B47">
        <f>IF($J47="","",IF($J47&lt;=1500,INDEX('Daily Sale entry '!$Y$1:$Y$1501,$J47+1)&amp;"","Buyer cheque banked 买家支票存入"&amp;IF(INDEX('Daily Sale entry '!$U$1:$U$1501,$J47-1499)="","", " - "&amp;INDEX('Daily Sale entry '!$U$1:$U$1501,$J47-1499))))</f>
        <v/>
      </c>
      <c r="C47">
        <f>IF($J47="","",IF($J47&lt;=1500,INDEX('Daily Sale entry '!$Z$1:$Z$1501,$J47+1)&amp;"","Cheque deposit 支票存入 (buyer 买家)"))</f>
        <v/>
      </c>
      <c r="D47">
        <f>IF($J47="","",IF($J47&lt;=1500,INDEX('Daily Sale entry '!$AA$1:$AA$1501,$J47+1)&amp;"",INDEX('Daily Sale entry '!$P$1:$P$1501,$J47-1499)&amp;""))</f>
        <v/>
      </c>
      <c r="E47">
        <f>IF($J47="","",IF($J47&lt;=1500,IF(N(INDEX('Daily Sale entry '!$AB$1:$AB$1501,$J47+1))=0,"",INDEX('Daily Sale entry '!$AB$1:$AB$1501,$J47+1)),1))</f>
        <v/>
      </c>
      <c r="F47" s="6">
        <f>IF($J47="","",IF($J47&lt;=1500,N(INDEX('Daily Sale entry '!$AC$1:$AC$1501,$J47+1))-IF(AND('Opening Balance'!$B$15=1,INDEX('Daily Sale entry '!$Z$1:$Z$1501,$J47+1)="Online collection 网上收款",INDEX('Daily Sale entry '!$AA$1:$AA$1501,$J47+1)&lt;&gt;""),N(INDEX('Daily Sale entry '!$AC$1:$AC$1501,$J47+1))-TRUNC(N(INDEX('Daily Sale entry '!$AC$1:$AC$1501,$J47+1))),0),N(INDEX('Daily Sale entry '!$S$1:$S$1501,$J47-1499))-'Opening Balance'!$B$15*(N(INDEX('Daily Sale entry '!$S$1:$S$1501,$J47-1499))-TRUNC(N(INDEX('Daily Sale entry '!$S$1:$S$1501,$J47-1499))))))</f>
        <v/>
      </c>
      <c r="G47" s="6">
        <f>IF($J47="","",IF($J47&lt;=1500,N(INDEX('Daily Sale entry '!$AD$1:$AD$1501,$J47+1)),0))</f>
        <v/>
      </c>
      <c r="H47" s="6">
        <f>IF($J47="","",ROUND('Opening Balance'!$B$4+SUM($F$2:F47)-SUM($G$2:G47),2))</f>
        <v/>
      </c>
      <c r="J47" s="21">
        <f>IFERROR(MATCH(ROW()-1,$L$2:$L$3001,0),"")</f>
        <v/>
      </c>
      <c r="K47" s="34">
        <f>IF(AND('Daily Sale entry '!X47&lt;&gt;"",OR('Daily Sale entry '!AC47&lt;&gt;"",'Daily Sale entry '!AD47&lt;&gt;"")),'Daily Sale entry '!X47+ROW()/10000000,"")</f>
        <v/>
      </c>
      <c r="L47" s="21">
        <f>IF(K47="","",COUNTIF($K$2:$K$3001,"&lt;"&amp;K47)+1)</f>
        <v/>
      </c>
    </row>
    <row r="48">
      <c r="A48" s="5">
        <f>IF($J48="","",IF($J48&lt;=1500,INDEX('Daily Sale entry '!$X$1:$X$1501,$J48+1),INDEX('Daily Sale entry '!$V$1:$V$1501,$J48-1499)))</f>
        <v/>
      </c>
      <c r="B48">
        <f>IF($J48="","",IF($J48&lt;=1500,INDEX('Daily Sale entry '!$Y$1:$Y$1501,$J48+1)&amp;"","Buyer cheque banked 买家支票存入"&amp;IF(INDEX('Daily Sale entry '!$U$1:$U$1501,$J48-1499)="","", " - "&amp;INDEX('Daily Sale entry '!$U$1:$U$1501,$J48-1499))))</f>
        <v/>
      </c>
      <c r="C48">
        <f>IF($J48="","",IF($J48&lt;=1500,INDEX('Daily Sale entry '!$Z$1:$Z$1501,$J48+1)&amp;"","Cheque deposit 支票存入 (buyer 买家)"))</f>
        <v/>
      </c>
      <c r="D48">
        <f>IF($J48="","",IF($J48&lt;=1500,INDEX('Daily Sale entry '!$AA$1:$AA$1501,$J48+1)&amp;"",INDEX('Daily Sale entry '!$P$1:$P$1501,$J48-1499)&amp;""))</f>
        <v/>
      </c>
      <c r="E48">
        <f>IF($J48="","",IF($J48&lt;=1500,IF(N(INDEX('Daily Sale entry '!$AB$1:$AB$1501,$J48+1))=0,"",INDEX('Daily Sale entry '!$AB$1:$AB$1501,$J48+1)),1))</f>
        <v/>
      </c>
      <c r="F48" s="6">
        <f>IF($J48="","",IF($J48&lt;=1500,N(INDEX('Daily Sale entry '!$AC$1:$AC$1501,$J48+1))-IF(AND('Opening Balance'!$B$15=1,INDEX('Daily Sale entry '!$Z$1:$Z$1501,$J48+1)="Online collection 网上收款",INDEX('Daily Sale entry '!$AA$1:$AA$1501,$J48+1)&lt;&gt;""),N(INDEX('Daily Sale entry '!$AC$1:$AC$1501,$J48+1))-TRUNC(N(INDEX('Daily Sale entry '!$AC$1:$AC$1501,$J48+1))),0),N(INDEX('Daily Sale entry '!$S$1:$S$1501,$J48-1499))-'Opening Balance'!$B$15*(N(INDEX('Daily Sale entry '!$S$1:$S$1501,$J48-1499))-TRUNC(N(INDEX('Daily Sale entry '!$S$1:$S$1501,$J48-1499))))))</f>
        <v/>
      </c>
      <c r="G48" s="6">
        <f>IF($J48="","",IF($J48&lt;=1500,N(INDEX('Daily Sale entry '!$AD$1:$AD$1501,$J48+1)),0))</f>
        <v/>
      </c>
      <c r="H48" s="6">
        <f>IF($J48="","",ROUND('Opening Balance'!$B$4+SUM($F$2:F48)-SUM($G$2:G48),2))</f>
        <v/>
      </c>
      <c r="J48" s="21">
        <f>IFERROR(MATCH(ROW()-1,$L$2:$L$3001,0),"")</f>
        <v/>
      </c>
      <c r="K48" s="34">
        <f>IF(AND('Daily Sale entry '!X48&lt;&gt;"",OR('Daily Sale entry '!AC48&lt;&gt;"",'Daily Sale entry '!AD48&lt;&gt;"")),'Daily Sale entry '!X48+ROW()/10000000,"")</f>
        <v/>
      </c>
      <c r="L48" s="21">
        <f>IF(K48="","",COUNTIF($K$2:$K$3001,"&lt;"&amp;K48)+1)</f>
        <v/>
      </c>
    </row>
    <row r="49">
      <c r="A49" s="5">
        <f>IF($J49="","",IF($J49&lt;=1500,INDEX('Daily Sale entry '!$X$1:$X$1501,$J49+1),INDEX('Daily Sale entry '!$V$1:$V$1501,$J49-1499)))</f>
        <v/>
      </c>
      <c r="B49">
        <f>IF($J49="","",IF($J49&lt;=1500,INDEX('Daily Sale entry '!$Y$1:$Y$1501,$J49+1)&amp;"","Buyer cheque banked 买家支票存入"&amp;IF(INDEX('Daily Sale entry '!$U$1:$U$1501,$J49-1499)="","", " - "&amp;INDEX('Daily Sale entry '!$U$1:$U$1501,$J49-1499))))</f>
        <v/>
      </c>
      <c r="C49">
        <f>IF($J49="","",IF($J49&lt;=1500,INDEX('Daily Sale entry '!$Z$1:$Z$1501,$J49+1)&amp;"","Cheque deposit 支票存入 (buyer 买家)"))</f>
        <v/>
      </c>
      <c r="D49">
        <f>IF($J49="","",IF($J49&lt;=1500,INDEX('Daily Sale entry '!$AA$1:$AA$1501,$J49+1)&amp;"",INDEX('Daily Sale entry '!$P$1:$P$1501,$J49-1499)&amp;""))</f>
        <v/>
      </c>
      <c r="E49">
        <f>IF($J49="","",IF($J49&lt;=1500,IF(N(INDEX('Daily Sale entry '!$AB$1:$AB$1501,$J49+1))=0,"",INDEX('Daily Sale entry '!$AB$1:$AB$1501,$J49+1)),1))</f>
        <v/>
      </c>
      <c r="F49" s="6">
        <f>IF($J49="","",IF($J49&lt;=1500,N(INDEX('Daily Sale entry '!$AC$1:$AC$1501,$J49+1))-IF(AND('Opening Balance'!$B$15=1,INDEX('Daily Sale entry '!$Z$1:$Z$1501,$J49+1)="Online collection 网上收款",INDEX('Daily Sale entry '!$AA$1:$AA$1501,$J49+1)&lt;&gt;""),N(INDEX('Daily Sale entry '!$AC$1:$AC$1501,$J49+1))-TRUNC(N(INDEX('Daily Sale entry '!$AC$1:$AC$1501,$J49+1))),0),N(INDEX('Daily Sale entry '!$S$1:$S$1501,$J49-1499))-'Opening Balance'!$B$15*(N(INDEX('Daily Sale entry '!$S$1:$S$1501,$J49-1499))-TRUNC(N(INDEX('Daily Sale entry '!$S$1:$S$1501,$J49-1499))))))</f>
        <v/>
      </c>
      <c r="G49" s="6">
        <f>IF($J49="","",IF($J49&lt;=1500,N(INDEX('Daily Sale entry '!$AD$1:$AD$1501,$J49+1)),0))</f>
        <v/>
      </c>
      <c r="H49" s="6">
        <f>IF($J49="","",ROUND('Opening Balance'!$B$4+SUM($F$2:F49)-SUM($G$2:G49),2))</f>
        <v/>
      </c>
      <c r="J49" s="21">
        <f>IFERROR(MATCH(ROW()-1,$L$2:$L$3001,0),"")</f>
        <v/>
      </c>
      <c r="K49" s="34">
        <f>IF(AND('Daily Sale entry '!X49&lt;&gt;"",OR('Daily Sale entry '!AC49&lt;&gt;"",'Daily Sale entry '!AD49&lt;&gt;"")),'Daily Sale entry '!X49+ROW()/10000000,"")</f>
        <v/>
      </c>
      <c r="L49" s="21">
        <f>IF(K49="","",COUNTIF($K$2:$K$3001,"&lt;"&amp;K49)+1)</f>
        <v/>
      </c>
    </row>
    <row r="50">
      <c r="A50" s="5">
        <f>IF($J50="","",IF($J50&lt;=1500,INDEX('Daily Sale entry '!$X$1:$X$1501,$J50+1),INDEX('Daily Sale entry '!$V$1:$V$1501,$J50-1499)))</f>
        <v/>
      </c>
      <c r="B50">
        <f>IF($J50="","",IF($J50&lt;=1500,INDEX('Daily Sale entry '!$Y$1:$Y$1501,$J50+1)&amp;"","Buyer cheque banked 买家支票存入"&amp;IF(INDEX('Daily Sale entry '!$U$1:$U$1501,$J50-1499)="","", " - "&amp;INDEX('Daily Sale entry '!$U$1:$U$1501,$J50-1499))))</f>
        <v/>
      </c>
      <c r="C50">
        <f>IF($J50="","",IF($J50&lt;=1500,INDEX('Daily Sale entry '!$Z$1:$Z$1501,$J50+1)&amp;"","Cheque deposit 支票存入 (buyer 买家)"))</f>
        <v/>
      </c>
      <c r="D50">
        <f>IF($J50="","",IF($J50&lt;=1500,INDEX('Daily Sale entry '!$AA$1:$AA$1501,$J50+1)&amp;"",INDEX('Daily Sale entry '!$P$1:$P$1501,$J50-1499)&amp;""))</f>
        <v/>
      </c>
      <c r="E50">
        <f>IF($J50="","",IF($J50&lt;=1500,IF(N(INDEX('Daily Sale entry '!$AB$1:$AB$1501,$J50+1))=0,"",INDEX('Daily Sale entry '!$AB$1:$AB$1501,$J50+1)),1))</f>
        <v/>
      </c>
      <c r="F50" s="6">
        <f>IF($J50="","",IF($J50&lt;=1500,N(INDEX('Daily Sale entry '!$AC$1:$AC$1501,$J50+1))-IF(AND('Opening Balance'!$B$15=1,INDEX('Daily Sale entry '!$Z$1:$Z$1501,$J50+1)="Online collection 网上收款",INDEX('Daily Sale entry '!$AA$1:$AA$1501,$J50+1)&lt;&gt;""),N(INDEX('Daily Sale entry '!$AC$1:$AC$1501,$J50+1))-TRUNC(N(INDEX('Daily Sale entry '!$AC$1:$AC$1501,$J50+1))),0),N(INDEX('Daily Sale entry '!$S$1:$S$1501,$J50-1499))-'Opening Balance'!$B$15*(N(INDEX('Daily Sale entry '!$S$1:$S$1501,$J50-1499))-TRUNC(N(INDEX('Daily Sale entry '!$S$1:$S$1501,$J50-1499))))))</f>
        <v/>
      </c>
      <c r="G50" s="6">
        <f>IF($J50="","",IF($J50&lt;=1500,N(INDEX('Daily Sale entry '!$AD$1:$AD$1501,$J50+1)),0))</f>
        <v/>
      </c>
      <c r="H50" s="6">
        <f>IF($J50="","",ROUND('Opening Balance'!$B$4+SUM($F$2:F50)-SUM($G$2:G50),2))</f>
        <v/>
      </c>
      <c r="J50" s="21">
        <f>IFERROR(MATCH(ROW()-1,$L$2:$L$3001,0),"")</f>
        <v/>
      </c>
      <c r="K50" s="34">
        <f>IF(AND('Daily Sale entry '!X50&lt;&gt;"",OR('Daily Sale entry '!AC50&lt;&gt;"",'Daily Sale entry '!AD50&lt;&gt;"")),'Daily Sale entry '!X50+ROW()/10000000,"")</f>
        <v/>
      </c>
      <c r="L50" s="21">
        <f>IF(K50="","",COUNTIF($K$2:$K$3001,"&lt;"&amp;K50)+1)</f>
        <v/>
      </c>
    </row>
    <row r="51">
      <c r="A51" s="5">
        <f>IF($J51="","",IF($J51&lt;=1500,INDEX('Daily Sale entry '!$X$1:$X$1501,$J51+1),INDEX('Daily Sale entry '!$V$1:$V$1501,$J51-1499)))</f>
        <v/>
      </c>
      <c r="B51">
        <f>IF($J51="","",IF($J51&lt;=1500,INDEX('Daily Sale entry '!$Y$1:$Y$1501,$J51+1)&amp;"","Buyer cheque banked 买家支票存入"&amp;IF(INDEX('Daily Sale entry '!$U$1:$U$1501,$J51-1499)="","", " - "&amp;INDEX('Daily Sale entry '!$U$1:$U$1501,$J51-1499))))</f>
        <v/>
      </c>
      <c r="C51">
        <f>IF($J51="","",IF($J51&lt;=1500,INDEX('Daily Sale entry '!$Z$1:$Z$1501,$J51+1)&amp;"","Cheque deposit 支票存入 (buyer 买家)"))</f>
        <v/>
      </c>
      <c r="D51">
        <f>IF($J51="","",IF($J51&lt;=1500,INDEX('Daily Sale entry '!$AA$1:$AA$1501,$J51+1)&amp;"",INDEX('Daily Sale entry '!$P$1:$P$1501,$J51-1499)&amp;""))</f>
        <v/>
      </c>
      <c r="E51">
        <f>IF($J51="","",IF($J51&lt;=1500,IF(N(INDEX('Daily Sale entry '!$AB$1:$AB$1501,$J51+1))=0,"",INDEX('Daily Sale entry '!$AB$1:$AB$1501,$J51+1)),1))</f>
        <v/>
      </c>
      <c r="F51" s="6">
        <f>IF($J51="","",IF($J51&lt;=1500,N(INDEX('Daily Sale entry '!$AC$1:$AC$1501,$J51+1))-IF(AND('Opening Balance'!$B$15=1,INDEX('Daily Sale entry '!$Z$1:$Z$1501,$J51+1)="Online collection 网上收款",INDEX('Daily Sale entry '!$AA$1:$AA$1501,$J51+1)&lt;&gt;""),N(INDEX('Daily Sale entry '!$AC$1:$AC$1501,$J51+1))-TRUNC(N(INDEX('Daily Sale entry '!$AC$1:$AC$1501,$J51+1))),0),N(INDEX('Daily Sale entry '!$S$1:$S$1501,$J51-1499))-'Opening Balance'!$B$15*(N(INDEX('Daily Sale entry '!$S$1:$S$1501,$J51-1499))-TRUNC(N(INDEX('Daily Sale entry '!$S$1:$S$1501,$J51-1499))))))</f>
        <v/>
      </c>
      <c r="G51" s="6">
        <f>IF($J51="","",IF($J51&lt;=1500,N(INDEX('Daily Sale entry '!$AD$1:$AD$1501,$J51+1)),0))</f>
        <v/>
      </c>
      <c r="H51" s="6">
        <f>IF($J51="","",ROUND('Opening Balance'!$B$4+SUM($F$2:F51)-SUM($G$2:G51),2))</f>
        <v/>
      </c>
      <c r="J51" s="21">
        <f>IFERROR(MATCH(ROW()-1,$L$2:$L$3001,0),"")</f>
        <v/>
      </c>
      <c r="K51" s="34">
        <f>IF(AND('Daily Sale entry '!X51&lt;&gt;"",OR('Daily Sale entry '!AC51&lt;&gt;"",'Daily Sale entry '!AD51&lt;&gt;"")),'Daily Sale entry '!X51+ROW()/10000000,"")</f>
        <v/>
      </c>
      <c r="L51" s="21">
        <f>IF(K51="","",COUNTIF($K$2:$K$3001,"&lt;"&amp;K51)+1)</f>
        <v/>
      </c>
    </row>
    <row r="52">
      <c r="A52" s="5">
        <f>IF($J52="","",IF($J52&lt;=1500,INDEX('Daily Sale entry '!$X$1:$X$1501,$J52+1),INDEX('Daily Sale entry '!$V$1:$V$1501,$J52-1499)))</f>
        <v/>
      </c>
      <c r="B52">
        <f>IF($J52="","",IF($J52&lt;=1500,INDEX('Daily Sale entry '!$Y$1:$Y$1501,$J52+1)&amp;"","Buyer cheque banked 买家支票存入"&amp;IF(INDEX('Daily Sale entry '!$U$1:$U$1501,$J52-1499)="","", " - "&amp;INDEX('Daily Sale entry '!$U$1:$U$1501,$J52-1499))))</f>
        <v/>
      </c>
      <c r="C52">
        <f>IF($J52="","",IF($J52&lt;=1500,INDEX('Daily Sale entry '!$Z$1:$Z$1501,$J52+1)&amp;"","Cheque deposit 支票存入 (buyer 买家)"))</f>
        <v/>
      </c>
      <c r="D52">
        <f>IF($J52="","",IF($J52&lt;=1500,INDEX('Daily Sale entry '!$AA$1:$AA$1501,$J52+1)&amp;"",INDEX('Daily Sale entry '!$P$1:$P$1501,$J52-1499)&amp;""))</f>
        <v/>
      </c>
      <c r="E52">
        <f>IF($J52="","",IF($J52&lt;=1500,IF(N(INDEX('Daily Sale entry '!$AB$1:$AB$1501,$J52+1))=0,"",INDEX('Daily Sale entry '!$AB$1:$AB$1501,$J52+1)),1))</f>
        <v/>
      </c>
      <c r="F52" s="6">
        <f>IF($J52="","",IF($J52&lt;=1500,N(INDEX('Daily Sale entry '!$AC$1:$AC$1501,$J52+1))-IF(AND('Opening Balance'!$B$15=1,INDEX('Daily Sale entry '!$Z$1:$Z$1501,$J52+1)="Online collection 网上收款",INDEX('Daily Sale entry '!$AA$1:$AA$1501,$J52+1)&lt;&gt;""),N(INDEX('Daily Sale entry '!$AC$1:$AC$1501,$J52+1))-TRUNC(N(INDEX('Daily Sale entry '!$AC$1:$AC$1501,$J52+1))),0),N(INDEX('Daily Sale entry '!$S$1:$S$1501,$J52-1499))-'Opening Balance'!$B$15*(N(INDEX('Daily Sale entry '!$S$1:$S$1501,$J52-1499))-TRUNC(N(INDEX('Daily Sale entry '!$S$1:$S$1501,$J52-1499))))))</f>
        <v/>
      </c>
      <c r="G52" s="6">
        <f>IF($J52="","",IF($J52&lt;=1500,N(INDEX('Daily Sale entry '!$AD$1:$AD$1501,$J52+1)),0))</f>
        <v/>
      </c>
      <c r="H52" s="6">
        <f>IF($J52="","",ROUND('Opening Balance'!$B$4+SUM($F$2:F52)-SUM($G$2:G52),2))</f>
        <v/>
      </c>
      <c r="J52" s="21">
        <f>IFERROR(MATCH(ROW()-1,$L$2:$L$3001,0),"")</f>
        <v/>
      </c>
      <c r="K52" s="34">
        <f>IF(AND('Daily Sale entry '!X52&lt;&gt;"",OR('Daily Sale entry '!AC52&lt;&gt;"",'Daily Sale entry '!AD52&lt;&gt;"")),'Daily Sale entry '!X52+ROW()/10000000,"")</f>
        <v/>
      </c>
      <c r="L52" s="21">
        <f>IF(K52="","",COUNTIF($K$2:$K$3001,"&lt;"&amp;K52)+1)</f>
        <v/>
      </c>
    </row>
    <row r="53">
      <c r="A53" s="5">
        <f>IF($J53="","",IF($J53&lt;=1500,INDEX('Daily Sale entry '!$X$1:$X$1501,$J53+1),INDEX('Daily Sale entry '!$V$1:$V$1501,$J53-1499)))</f>
        <v/>
      </c>
      <c r="B53">
        <f>IF($J53="","",IF($J53&lt;=1500,INDEX('Daily Sale entry '!$Y$1:$Y$1501,$J53+1)&amp;"","Buyer cheque banked 买家支票存入"&amp;IF(INDEX('Daily Sale entry '!$U$1:$U$1501,$J53-1499)="","", " - "&amp;INDEX('Daily Sale entry '!$U$1:$U$1501,$J53-1499))))</f>
        <v/>
      </c>
      <c r="C53">
        <f>IF($J53="","",IF($J53&lt;=1500,INDEX('Daily Sale entry '!$Z$1:$Z$1501,$J53+1)&amp;"","Cheque deposit 支票存入 (buyer 买家)"))</f>
        <v/>
      </c>
      <c r="D53">
        <f>IF($J53="","",IF($J53&lt;=1500,INDEX('Daily Sale entry '!$AA$1:$AA$1501,$J53+1)&amp;"",INDEX('Daily Sale entry '!$P$1:$P$1501,$J53-1499)&amp;""))</f>
        <v/>
      </c>
      <c r="E53">
        <f>IF($J53="","",IF($J53&lt;=1500,IF(N(INDEX('Daily Sale entry '!$AB$1:$AB$1501,$J53+1))=0,"",INDEX('Daily Sale entry '!$AB$1:$AB$1501,$J53+1)),1))</f>
        <v/>
      </c>
      <c r="F53" s="6">
        <f>IF($J53="","",IF($J53&lt;=1500,N(INDEX('Daily Sale entry '!$AC$1:$AC$1501,$J53+1))-IF(AND('Opening Balance'!$B$15=1,INDEX('Daily Sale entry '!$Z$1:$Z$1501,$J53+1)="Online collection 网上收款",INDEX('Daily Sale entry '!$AA$1:$AA$1501,$J53+1)&lt;&gt;""),N(INDEX('Daily Sale entry '!$AC$1:$AC$1501,$J53+1))-TRUNC(N(INDEX('Daily Sale entry '!$AC$1:$AC$1501,$J53+1))),0),N(INDEX('Daily Sale entry '!$S$1:$S$1501,$J53-1499))-'Opening Balance'!$B$15*(N(INDEX('Daily Sale entry '!$S$1:$S$1501,$J53-1499))-TRUNC(N(INDEX('Daily Sale entry '!$S$1:$S$1501,$J53-1499))))))</f>
        <v/>
      </c>
      <c r="G53" s="6">
        <f>IF($J53="","",IF($J53&lt;=1500,N(INDEX('Daily Sale entry '!$AD$1:$AD$1501,$J53+1)),0))</f>
        <v/>
      </c>
      <c r="H53" s="6">
        <f>IF($J53="","",ROUND('Opening Balance'!$B$4+SUM($F$2:F53)-SUM($G$2:G53),2))</f>
        <v/>
      </c>
      <c r="J53" s="21">
        <f>IFERROR(MATCH(ROW()-1,$L$2:$L$3001,0),"")</f>
        <v/>
      </c>
      <c r="K53" s="34">
        <f>IF(AND('Daily Sale entry '!X53&lt;&gt;"",OR('Daily Sale entry '!AC53&lt;&gt;"",'Daily Sale entry '!AD53&lt;&gt;"")),'Daily Sale entry '!X53+ROW()/10000000,"")</f>
        <v/>
      </c>
      <c r="L53" s="21">
        <f>IF(K53="","",COUNTIF($K$2:$K$3001,"&lt;"&amp;K53)+1)</f>
        <v/>
      </c>
    </row>
    <row r="54">
      <c r="A54" s="5">
        <f>IF($J54="","",IF($J54&lt;=1500,INDEX('Daily Sale entry '!$X$1:$X$1501,$J54+1),INDEX('Daily Sale entry '!$V$1:$V$1501,$J54-1499)))</f>
        <v/>
      </c>
      <c r="B54">
        <f>IF($J54="","",IF($J54&lt;=1500,INDEX('Daily Sale entry '!$Y$1:$Y$1501,$J54+1)&amp;"","Buyer cheque banked 买家支票存入"&amp;IF(INDEX('Daily Sale entry '!$U$1:$U$1501,$J54-1499)="","", " - "&amp;INDEX('Daily Sale entry '!$U$1:$U$1501,$J54-1499))))</f>
        <v/>
      </c>
      <c r="C54">
        <f>IF($J54="","",IF($J54&lt;=1500,INDEX('Daily Sale entry '!$Z$1:$Z$1501,$J54+1)&amp;"","Cheque deposit 支票存入 (buyer 买家)"))</f>
        <v/>
      </c>
      <c r="D54">
        <f>IF($J54="","",IF($J54&lt;=1500,INDEX('Daily Sale entry '!$AA$1:$AA$1501,$J54+1)&amp;"",INDEX('Daily Sale entry '!$P$1:$P$1501,$J54-1499)&amp;""))</f>
        <v/>
      </c>
      <c r="E54">
        <f>IF($J54="","",IF($J54&lt;=1500,IF(N(INDEX('Daily Sale entry '!$AB$1:$AB$1501,$J54+1))=0,"",INDEX('Daily Sale entry '!$AB$1:$AB$1501,$J54+1)),1))</f>
        <v/>
      </c>
      <c r="F54" s="6">
        <f>IF($J54="","",IF($J54&lt;=1500,N(INDEX('Daily Sale entry '!$AC$1:$AC$1501,$J54+1))-IF(AND('Opening Balance'!$B$15=1,INDEX('Daily Sale entry '!$Z$1:$Z$1501,$J54+1)="Online collection 网上收款",INDEX('Daily Sale entry '!$AA$1:$AA$1501,$J54+1)&lt;&gt;""),N(INDEX('Daily Sale entry '!$AC$1:$AC$1501,$J54+1))-TRUNC(N(INDEX('Daily Sale entry '!$AC$1:$AC$1501,$J54+1))),0),N(INDEX('Daily Sale entry '!$S$1:$S$1501,$J54-1499))-'Opening Balance'!$B$15*(N(INDEX('Daily Sale entry '!$S$1:$S$1501,$J54-1499))-TRUNC(N(INDEX('Daily Sale entry '!$S$1:$S$1501,$J54-1499))))))</f>
        <v/>
      </c>
      <c r="G54" s="6">
        <f>IF($J54="","",IF($J54&lt;=1500,N(INDEX('Daily Sale entry '!$AD$1:$AD$1501,$J54+1)),0))</f>
        <v/>
      </c>
      <c r="H54" s="6">
        <f>IF($J54="","",ROUND('Opening Balance'!$B$4+SUM($F$2:F54)-SUM($G$2:G54),2))</f>
        <v/>
      </c>
      <c r="J54" s="21">
        <f>IFERROR(MATCH(ROW()-1,$L$2:$L$3001,0),"")</f>
        <v/>
      </c>
      <c r="K54" s="34">
        <f>IF(AND('Daily Sale entry '!X54&lt;&gt;"",OR('Daily Sale entry '!AC54&lt;&gt;"",'Daily Sale entry '!AD54&lt;&gt;"")),'Daily Sale entry '!X54+ROW()/10000000,"")</f>
        <v/>
      </c>
      <c r="L54" s="21">
        <f>IF(K54="","",COUNTIF($K$2:$K$3001,"&lt;"&amp;K54)+1)</f>
        <v/>
      </c>
    </row>
    <row r="55">
      <c r="A55" s="5">
        <f>IF($J55="","",IF($J55&lt;=1500,INDEX('Daily Sale entry '!$X$1:$X$1501,$J55+1),INDEX('Daily Sale entry '!$V$1:$V$1501,$J55-1499)))</f>
        <v/>
      </c>
      <c r="B55">
        <f>IF($J55="","",IF($J55&lt;=1500,INDEX('Daily Sale entry '!$Y$1:$Y$1501,$J55+1)&amp;"","Buyer cheque banked 买家支票存入"&amp;IF(INDEX('Daily Sale entry '!$U$1:$U$1501,$J55-1499)="","", " - "&amp;INDEX('Daily Sale entry '!$U$1:$U$1501,$J55-1499))))</f>
        <v/>
      </c>
      <c r="C55">
        <f>IF($J55="","",IF($J55&lt;=1500,INDEX('Daily Sale entry '!$Z$1:$Z$1501,$J55+1)&amp;"","Cheque deposit 支票存入 (buyer 买家)"))</f>
        <v/>
      </c>
      <c r="D55">
        <f>IF($J55="","",IF($J55&lt;=1500,INDEX('Daily Sale entry '!$AA$1:$AA$1501,$J55+1)&amp;"",INDEX('Daily Sale entry '!$P$1:$P$1501,$J55-1499)&amp;""))</f>
        <v/>
      </c>
      <c r="E55">
        <f>IF($J55="","",IF($J55&lt;=1500,IF(N(INDEX('Daily Sale entry '!$AB$1:$AB$1501,$J55+1))=0,"",INDEX('Daily Sale entry '!$AB$1:$AB$1501,$J55+1)),1))</f>
        <v/>
      </c>
      <c r="F55" s="6">
        <f>IF($J55="","",IF($J55&lt;=1500,N(INDEX('Daily Sale entry '!$AC$1:$AC$1501,$J55+1))-IF(AND('Opening Balance'!$B$15=1,INDEX('Daily Sale entry '!$Z$1:$Z$1501,$J55+1)="Online collection 网上收款",INDEX('Daily Sale entry '!$AA$1:$AA$1501,$J55+1)&lt;&gt;""),N(INDEX('Daily Sale entry '!$AC$1:$AC$1501,$J55+1))-TRUNC(N(INDEX('Daily Sale entry '!$AC$1:$AC$1501,$J55+1))),0),N(INDEX('Daily Sale entry '!$S$1:$S$1501,$J55-1499))-'Opening Balance'!$B$15*(N(INDEX('Daily Sale entry '!$S$1:$S$1501,$J55-1499))-TRUNC(N(INDEX('Daily Sale entry '!$S$1:$S$1501,$J55-1499))))))</f>
        <v/>
      </c>
      <c r="G55" s="6">
        <f>IF($J55="","",IF($J55&lt;=1500,N(INDEX('Daily Sale entry '!$AD$1:$AD$1501,$J55+1)),0))</f>
        <v/>
      </c>
      <c r="H55" s="6">
        <f>IF($J55="","",ROUND('Opening Balance'!$B$4+SUM($F$2:F55)-SUM($G$2:G55),2))</f>
        <v/>
      </c>
      <c r="J55" s="21">
        <f>IFERROR(MATCH(ROW()-1,$L$2:$L$3001,0),"")</f>
        <v/>
      </c>
      <c r="K55" s="34">
        <f>IF(AND('Daily Sale entry '!X55&lt;&gt;"",OR('Daily Sale entry '!AC55&lt;&gt;"",'Daily Sale entry '!AD55&lt;&gt;"")),'Daily Sale entry '!X55+ROW()/10000000,"")</f>
        <v/>
      </c>
      <c r="L55" s="21">
        <f>IF(K55="","",COUNTIF($K$2:$K$3001,"&lt;"&amp;K55)+1)</f>
        <v/>
      </c>
    </row>
    <row r="56">
      <c r="A56" s="5">
        <f>IF($J56="","",IF($J56&lt;=1500,INDEX('Daily Sale entry '!$X$1:$X$1501,$J56+1),INDEX('Daily Sale entry '!$V$1:$V$1501,$J56-1499)))</f>
        <v/>
      </c>
      <c r="B56">
        <f>IF($J56="","",IF($J56&lt;=1500,INDEX('Daily Sale entry '!$Y$1:$Y$1501,$J56+1)&amp;"","Buyer cheque banked 买家支票存入"&amp;IF(INDEX('Daily Sale entry '!$U$1:$U$1501,$J56-1499)="","", " - "&amp;INDEX('Daily Sale entry '!$U$1:$U$1501,$J56-1499))))</f>
        <v/>
      </c>
      <c r="C56">
        <f>IF($J56="","",IF($J56&lt;=1500,INDEX('Daily Sale entry '!$Z$1:$Z$1501,$J56+1)&amp;"","Cheque deposit 支票存入 (buyer 买家)"))</f>
        <v/>
      </c>
      <c r="D56">
        <f>IF($J56="","",IF($J56&lt;=1500,INDEX('Daily Sale entry '!$AA$1:$AA$1501,$J56+1)&amp;"",INDEX('Daily Sale entry '!$P$1:$P$1501,$J56-1499)&amp;""))</f>
        <v/>
      </c>
      <c r="E56">
        <f>IF($J56="","",IF($J56&lt;=1500,IF(N(INDEX('Daily Sale entry '!$AB$1:$AB$1501,$J56+1))=0,"",INDEX('Daily Sale entry '!$AB$1:$AB$1501,$J56+1)),1))</f>
        <v/>
      </c>
      <c r="F56" s="6">
        <f>IF($J56="","",IF($J56&lt;=1500,N(INDEX('Daily Sale entry '!$AC$1:$AC$1501,$J56+1))-IF(AND('Opening Balance'!$B$15=1,INDEX('Daily Sale entry '!$Z$1:$Z$1501,$J56+1)="Online collection 网上收款",INDEX('Daily Sale entry '!$AA$1:$AA$1501,$J56+1)&lt;&gt;""),N(INDEX('Daily Sale entry '!$AC$1:$AC$1501,$J56+1))-TRUNC(N(INDEX('Daily Sale entry '!$AC$1:$AC$1501,$J56+1))),0),N(INDEX('Daily Sale entry '!$S$1:$S$1501,$J56-1499))-'Opening Balance'!$B$15*(N(INDEX('Daily Sale entry '!$S$1:$S$1501,$J56-1499))-TRUNC(N(INDEX('Daily Sale entry '!$S$1:$S$1501,$J56-1499))))))</f>
        <v/>
      </c>
      <c r="G56" s="6">
        <f>IF($J56="","",IF($J56&lt;=1500,N(INDEX('Daily Sale entry '!$AD$1:$AD$1501,$J56+1)),0))</f>
        <v/>
      </c>
      <c r="H56" s="6">
        <f>IF($J56="","",ROUND('Opening Balance'!$B$4+SUM($F$2:F56)-SUM($G$2:G56),2))</f>
        <v/>
      </c>
      <c r="J56" s="21">
        <f>IFERROR(MATCH(ROW()-1,$L$2:$L$3001,0),"")</f>
        <v/>
      </c>
      <c r="K56" s="34">
        <f>IF(AND('Daily Sale entry '!X56&lt;&gt;"",OR('Daily Sale entry '!AC56&lt;&gt;"",'Daily Sale entry '!AD56&lt;&gt;"")),'Daily Sale entry '!X56+ROW()/10000000,"")</f>
        <v/>
      </c>
      <c r="L56" s="21">
        <f>IF(K56="","",COUNTIF($K$2:$K$3001,"&lt;"&amp;K56)+1)</f>
        <v/>
      </c>
    </row>
    <row r="57">
      <c r="A57" s="5">
        <f>IF($J57="","",IF($J57&lt;=1500,INDEX('Daily Sale entry '!$X$1:$X$1501,$J57+1),INDEX('Daily Sale entry '!$V$1:$V$1501,$J57-1499)))</f>
        <v/>
      </c>
      <c r="B57">
        <f>IF($J57="","",IF($J57&lt;=1500,INDEX('Daily Sale entry '!$Y$1:$Y$1501,$J57+1)&amp;"","Buyer cheque banked 买家支票存入"&amp;IF(INDEX('Daily Sale entry '!$U$1:$U$1501,$J57-1499)="","", " - "&amp;INDEX('Daily Sale entry '!$U$1:$U$1501,$J57-1499))))</f>
        <v/>
      </c>
      <c r="C57">
        <f>IF($J57="","",IF($J57&lt;=1500,INDEX('Daily Sale entry '!$Z$1:$Z$1501,$J57+1)&amp;"","Cheque deposit 支票存入 (buyer 买家)"))</f>
        <v/>
      </c>
      <c r="D57">
        <f>IF($J57="","",IF($J57&lt;=1500,INDEX('Daily Sale entry '!$AA$1:$AA$1501,$J57+1)&amp;"",INDEX('Daily Sale entry '!$P$1:$P$1501,$J57-1499)&amp;""))</f>
        <v/>
      </c>
      <c r="E57">
        <f>IF($J57="","",IF($J57&lt;=1500,IF(N(INDEX('Daily Sale entry '!$AB$1:$AB$1501,$J57+1))=0,"",INDEX('Daily Sale entry '!$AB$1:$AB$1501,$J57+1)),1))</f>
        <v/>
      </c>
      <c r="F57" s="6">
        <f>IF($J57="","",IF($J57&lt;=1500,N(INDEX('Daily Sale entry '!$AC$1:$AC$1501,$J57+1))-IF(AND('Opening Balance'!$B$15=1,INDEX('Daily Sale entry '!$Z$1:$Z$1501,$J57+1)="Online collection 网上收款",INDEX('Daily Sale entry '!$AA$1:$AA$1501,$J57+1)&lt;&gt;""),N(INDEX('Daily Sale entry '!$AC$1:$AC$1501,$J57+1))-TRUNC(N(INDEX('Daily Sale entry '!$AC$1:$AC$1501,$J57+1))),0),N(INDEX('Daily Sale entry '!$S$1:$S$1501,$J57-1499))-'Opening Balance'!$B$15*(N(INDEX('Daily Sale entry '!$S$1:$S$1501,$J57-1499))-TRUNC(N(INDEX('Daily Sale entry '!$S$1:$S$1501,$J57-1499))))))</f>
        <v/>
      </c>
      <c r="G57" s="6">
        <f>IF($J57="","",IF($J57&lt;=1500,N(INDEX('Daily Sale entry '!$AD$1:$AD$1501,$J57+1)),0))</f>
        <v/>
      </c>
      <c r="H57" s="6">
        <f>IF($J57="","",ROUND('Opening Balance'!$B$4+SUM($F$2:F57)-SUM($G$2:G57),2))</f>
        <v/>
      </c>
      <c r="J57" s="21">
        <f>IFERROR(MATCH(ROW()-1,$L$2:$L$3001,0),"")</f>
        <v/>
      </c>
      <c r="K57" s="34">
        <f>IF(AND('Daily Sale entry '!X57&lt;&gt;"",OR('Daily Sale entry '!AC57&lt;&gt;"",'Daily Sale entry '!AD57&lt;&gt;"")),'Daily Sale entry '!X57+ROW()/10000000,"")</f>
        <v/>
      </c>
      <c r="L57" s="21">
        <f>IF(K57="","",COUNTIF($K$2:$K$3001,"&lt;"&amp;K57)+1)</f>
        <v/>
      </c>
    </row>
    <row r="58">
      <c r="A58" s="5">
        <f>IF($J58="","",IF($J58&lt;=1500,INDEX('Daily Sale entry '!$X$1:$X$1501,$J58+1),INDEX('Daily Sale entry '!$V$1:$V$1501,$J58-1499)))</f>
        <v/>
      </c>
      <c r="B58">
        <f>IF($J58="","",IF($J58&lt;=1500,INDEX('Daily Sale entry '!$Y$1:$Y$1501,$J58+1)&amp;"","Buyer cheque banked 买家支票存入"&amp;IF(INDEX('Daily Sale entry '!$U$1:$U$1501,$J58-1499)="","", " - "&amp;INDEX('Daily Sale entry '!$U$1:$U$1501,$J58-1499))))</f>
        <v/>
      </c>
      <c r="C58">
        <f>IF($J58="","",IF($J58&lt;=1500,INDEX('Daily Sale entry '!$Z$1:$Z$1501,$J58+1)&amp;"","Cheque deposit 支票存入 (buyer 买家)"))</f>
        <v/>
      </c>
      <c r="D58">
        <f>IF($J58="","",IF($J58&lt;=1500,INDEX('Daily Sale entry '!$AA$1:$AA$1501,$J58+1)&amp;"",INDEX('Daily Sale entry '!$P$1:$P$1501,$J58-1499)&amp;""))</f>
        <v/>
      </c>
      <c r="E58">
        <f>IF($J58="","",IF($J58&lt;=1500,IF(N(INDEX('Daily Sale entry '!$AB$1:$AB$1501,$J58+1))=0,"",INDEX('Daily Sale entry '!$AB$1:$AB$1501,$J58+1)),1))</f>
        <v/>
      </c>
      <c r="F58" s="6">
        <f>IF($J58="","",IF($J58&lt;=1500,N(INDEX('Daily Sale entry '!$AC$1:$AC$1501,$J58+1))-IF(AND('Opening Balance'!$B$15=1,INDEX('Daily Sale entry '!$Z$1:$Z$1501,$J58+1)="Online collection 网上收款",INDEX('Daily Sale entry '!$AA$1:$AA$1501,$J58+1)&lt;&gt;""),N(INDEX('Daily Sale entry '!$AC$1:$AC$1501,$J58+1))-TRUNC(N(INDEX('Daily Sale entry '!$AC$1:$AC$1501,$J58+1))),0),N(INDEX('Daily Sale entry '!$S$1:$S$1501,$J58-1499))-'Opening Balance'!$B$15*(N(INDEX('Daily Sale entry '!$S$1:$S$1501,$J58-1499))-TRUNC(N(INDEX('Daily Sale entry '!$S$1:$S$1501,$J58-1499))))))</f>
        <v/>
      </c>
      <c r="G58" s="6">
        <f>IF($J58="","",IF($J58&lt;=1500,N(INDEX('Daily Sale entry '!$AD$1:$AD$1501,$J58+1)),0))</f>
        <v/>
      </c>
      <c r="H58" s="6">
        <f>IF($J58="","",ROUND('Opening Balance'!$B$4+SUM($F$2:F58)-SUM($G$2:G58),2))</f>
        <v/>
      </c>
      <c r="J58" s="21">
        <f>IFERROR(MATCH(ROW()-1,$L$2:$L$3001,0),"")</f>
        <v/>
      </c>
      <c r="K58" s="34">
        <f>IF(AND('Daily Sale entry '!X58&lt;&gt;"",OR('Daily Sale entry '!AC58&lt;&gt;"",'Daily Sale entry '!AD58&lt;&gt;"")),'Daily Sale entry '!X58+ROW()/10000000,"")</f>
        <v/>
      </c>
      <c r="L58" s="21">
        <f>IF(K58="","",COUNTIF($K$2:$K$3001,"&lt;"&amp;K58)+1)</f>
        <v/>
      </c>
    </row>
    <row r="59">
      <c r="A59" s="5">
        <f>IF($J59="","",IF($J59&lt;=1500,INDEX('Daily Sale entry '!$X$1:$X$1501,$J59+1),INDEX('Daily Sale entry '!$V$1:$V$1501,$J59-1499)))</f>
        <v/>
      </c>
      <c r="B59">
        <f>IF($J59="","",IF($J59&lt;=1500,INDEX('Daily Sale entry '!$Y$1:$Y$1501,$J59+1)&amp;"","Buyer cheque banked 买家支票存入"&amp;IF(INDEX('Daily Sale entry '!$U$1:$U$1501,$J59-1499)="","", " - "&amp;INDEX('Daily Sale entry '!$U$1:$U$1501,$J59-1499))))</f>
        <v/>
      </c>
      <c r="C59">
        <f>IF($J59="","",IF($J59&lt;=1500,INDEX('Daily Sale entry '!$Z$1:$Z$1501,$J59+1)&amp;"","Cheque deposit 支票存入 (buyer 买家)"))</f>
        <v/>
      </c>
      <c r="D59">
        <f>IF($J59="","",IF($J59&lt;=1500,INDEX('Daily Sale entry '!$AA$1:$AA$1501,$J59+1)&amp;"",INDEX('Daily Sale entry '!$P$1:$P$1501,$J59-1499)&amp;""))</f>
        <v/>
      </c>
      <c r="E59">
        <f>IF($J59="","",IF($J59&lt;=1500,IF(N(INDEX('Daily Sale entry '!$AB$1:$AB$1501,$J59+1))=0,"",INDEX('Daily Sale entry '!$AB$1:$AB$1501,$J59+1)),1))</f>
        <v/>
      </c>
      <c r="F59" s="6">
        <f>IF($J59="","",IF($J59&lt;=1500,N(INDEX('Daily Sale entry '!$AC$1:$AC$1501,$J59+1))-IF(AND('Opening Balance'!$B$15=1,INDEX('Daily Sale entry '!$Z$1:$Z$1501,$J59+1)="Online collection 网上收款",INDEX('Daily Sale entry '!$AA$1:$AA$1501,$J59+1)&lt;&gt;""),N(INDEX('Daily Sale entry '!$AC$1:$AC$1501,$J59+1))-TRUNC(N(INDEX('Daily Sale entry '!$AC$1:$AC$1501,$J59+1))),0),N(INDEX('Daily Sale entry '!$S$1:$S$1501,$J59-1499))-'Opening Balance'!$B$15*(N(INDEX('Daily Sale entry '!$S$1:$S$1501,$J59-1499))-TRUNC(N(INDEX('Daily Sale entry '!$S$1:$S$1501,$J59-1499))))))</f>
        <v/>
      </c>
      <c r="G59" s="6">
        <f>IF($J59="","",IF($J59&lt;=1500,N(INDEX('Daily Sale entry '!$AD$1:$AD$1501,$J59+1)),0))</f>
        <v/>
      </c>
      <c r="H59" s="6">
        <f>IF($J59="","",ROUND('Opening Balance'!$B$4+SUM($F$2:F59)-SUM($G$2:G59),2))</f>
        <v/>
      </c>
      <c r="J59" s="21">
        <f>IFERROR(MATCH(ROW()-1,$L$2:$L$3001,0),"")</f>
        <v/>
      </c>
      <c r="K59" s="34">
        <f>IF(AND('Daily Sale entry '!X59&lt;&gt;"",OR('Daily Sale entry '!AC59&lt;&gt;"",'Daily Sale entry '!AD59&lt;&gt;"")),'Daily Sale entry '!X59+ROW()/10000000,"")</f>
        <v/>
      </c>
      <c r="L59" s="21">
        <f>IF(K59="","",COUNTIF($K$2:$K$3001,"&lt;"&amp;K59)+1)</f>
        <v/>
      </c>
    </row>
    <row r="60">
      <c r="A60" s="5">
        <f>IF($J60="","",IF($J60&lt;=1500,INDEX('Daily Sale entry '!$X$1:$X$1501,$J60+1),INDEX('Daily Sale entry '!$V$1:$V$1501,$J60-1499)))</f>
        <v/>
      </c>
      <c r="B60">
        <f>IF($J60="","",IF($J60&lt;=1500,INDEX('Daily Sale entry '!$Y$1:$Y$1501,$J60+1)&amp;"","Buyer cheque banked 买家支票存入"&amp;IF(INDEX('Daily Sale entry '!$U$1:$U$1501,$J60-1499)="","", " - "&amp;INDEX('Daily Sale entry '!$U$1:$U$1501,$J60-1499))))</f>
        <v/>
      </c>
      <c r="C60">
        <f>IF($J60="","",IF($J60&lt;=1500,INDEX('Daily Sale entry '!$Z$1:$Z$1501,$J60+1)&amp;"","Cheque deposit 支票存入 (buyer 买家)"))</f>
        <v/>
      </c>
      <c r="D60">
        <f>IF($J60="","",IF($J60&lt;=1500,INDEX('Daily Sale entry '!$AA$1:$AA$1501,$J60+1)&amp;"",INDEX('Daily Sale entry '!$P$1:$P$1501,$J60-1499)&amp;""))</f>
        <v/>
      </c>
      <c r="E60">
        <f>IF($J60="","",IF($J60&lt;=1500,IF(N(INDEX('Daily Sale entry '!$AB$1:$AB$1501,$J60+1))=0,"",INDEX('Daily Sale entry '!$AB$1:$AB$1501,$J60+1)),1))</f>
        <v/>
      </c>
      <c r="F60" s="6">
        <f>IF($J60="","",IF($J60&lt;=1500,N(INDEX('Daily Sale entry '!$AC$1:$AC$1501,$J60+1))-IF(AND('Opening Balance'!$B$15=1,INDEX('Daily Sale entry '!$Z$1:$Z$1501,$J60+1)="Online collection 网上收款",INDEX('Daily Sale entry '!$AA$1:$AA$1501,$J60+1)&lt;&gt;""),N(INDEX('Daily Sale entry '!$AC$1:$AC$1501,$J60+1))-TRUNC(N(INDEX('Daily Sale entry '!$AC$1:$AC$1501,$J60+1))),0),N(INDEX('Daily Sale entry '!$S$1:$S$1501,$J60-1499))-'Opening Balance'!$B$15*(N(INDEX('Daily Sale entry '!$S$1:$S$1501,$J60-1499))-TRUNC(N(INDEX('Daily Sale entry '!$S$1:$S$1501,$J60-1499))))))</f>
        <v/>
      </c>
      <c r="G60" s="6">
        <f>IF($J60="","",IF($J60&lt;=1500,N(INDEX('Daily Sale entry '!$AD$1:$AD$1501,$J60+1)),0))</f>
        <v/>
      </c>
      <c r="H60" s="6">
        <f>IF($J60="","",ROUND('Opening Balance'!$B$4+SUM($F$2:F60)-SUM($G$2:G60),2))</f>
        <v/>
      </c>
      <c r="J60" s="21">
        <f>IFERROR(MATCH(ROW()-1,$L$2:$L$3001,0),"")</f>
        <v/>
      </c>
      <c r="K60" s="34">
        <f>IF(AND('Daily Sale entry '!X60&lt;&gt;"",OR('Daily Sale entry '!AC60&lt;&gt;"",'Daily Sale entry '!AD60&lt;&gt;"")),'Daily Sale entry '!X60+ROW()/10000000,"")</f>
        <v/>
      </c>
      <c r="L60" s="21">
        <f>IF(K60="","",COUNTIF($K$2:$K$3001,"&lt;"&amp;K60)+1)</f>
        <v/>
      </c>
    </row>
    <row r="61">
      <c r="A61" s="5">
        <f>IF($J61="","",IF($J61&lt;=1500,INDEX('Daily Sale entry '!$X$1:$X$1501,$J61+1),INDEX('Daily Sale entry '!$V$1:$V$1501,$J61-1499)))</f>
        <v/>
      </c>
      <c r="B61">
        <f>IF($J61="","",IF($J61&lt;=1500,INDEX('Daily Sale entry '!$Y$1:$Y$1501,$J61+1)&amp;"","Buyer cheque banked 买家支票存入"&amp;IF(INDEX('Daily Sale entry '!$U$1:$U$1501,$J61-1499)="","", " - "&amp;INDEX('Daily Sale entry '!$U$1:$U$1501,$J61-1499))))</f>
        <v/>
      </c>
      <c r="C61">
        <f>IF($J61="","",IF($J61&lt;=1500,INDEX('Daily Sale entry '!$Z$1:$Z$1501,$J61+1)&amp;"","Cheque deposit 支票存入 (buyer 买家)"))</f>
        <v/>
      </c>
      <c r="D61">
        <f>IF($J61="","",IF($J61&lt;=1500,INDEX('Daily Sale entry '!$AA$1:$AA$1501,$J61+1)&amp;"",INDEX('Daily Sale entry '!$P$1:$P$1501,$J61-1499)&amp;""))</f>
        <v/>
      </c>
      <c r="E61">
        <f>IF($J61="","",IF($J61&lt;=1500,IF(N(INDEX('Daily Sale entry '!$AB$1:$AB$1501,$J61+1))=0,"",INDEX('Daily Sale entry '!$AB$1:$AB$1501,$J61+1)),1))</f>
        <v/>
      </c>
      <c r="F61" s="6">
        <f>IF($J61="","",IF($J61&lt;=1500,N(INDEX('Daily Sale entry '!$AC$1:$AC$1501,$J61+1))-IF(AND('Opening Balance'!$B$15=1,INDEX('Daily Sale entry '!$Z$1:$Z$1501,$J61+1)="Online collection 网上收款",INDEX('Daily Sale entry '!$AA$1:$AA$1501,$J61+1)&lt;&gt;""),N(INDEX('Daily Sale entry '!$AC$1:$AC$1501,$J61+1))-TRUNC(N(INDEX('Daily Sale entry '!$AC$1:$AC$1501,$J61+1))),0),N(INDEX('Daily Sale entry '!$S$1:$S$1501,$J61-1499))-'Opening Balance'!$B$15*(N(INDEX('Daily Sale entry '!$S$1:$S$1501,$J61-1499))-TRUNC(N(INDEX('Daily Sale entry '!$S$1:$S$1501,$J61-1499))))))</f>
        <v/>
      </c>
      <c r="G61" s="6">
        <f>IF($J61="","",IF($J61&lt;=1500,N(INDEX('Daily Sale entry '!$AD$1:$AD$1501,$J61+1)),0))</f>
        <v/>
      </c>
      <c r="H61" s="6">
        <f>IF($J61="","",ROUND('Opening Balance'!$B$4+SUM($F$2:F61)-SUM($G$2:G61),2))</f>
        <v/>
      </c>
      <c r="J61" s="21">
        <f>IFERROR(MATCH(ROW()-1,$L$2:$L$3001,0),"")</f>
        <v/>
      </c>
      <c r="K61" s="34">
        <f>IF(AND('Daily Sale entry '!X61&lt;&gt;"",OR('Daily Sale entry '!AC61&lt;&gt;"",'Daily Sale entry '!AD61&lt;&gt;"")),'Daily Sale entry '!X61+ROW()/10000000,"")</f>
        <v/>
      </c>
      <c r="L61" s="21">
        <f>IF(K61="","",COUNTIF($K$2:$K$3001,"&lt;"&amp;K61)+1)</f>
        <v/>
      </c>
    </row>
    <row r="62">
      <c r="A62" s="5">
        <f>IF($J62="","",IF($J62&lt;=1500,INDEX('Daily Sale entry '!$X$1:$X$1501,$J62+1),INDEX('Daily Sale entry '!$V$1:$V$1501,$J62-1499)))</f>
        <v/>
      </c>
      <c r="B62">
        <f>IF($J62="","",IF($J62&lt;=1500,INDEX('Daily Sale entry '!$Y$1:$Y$1501,$J62+1)&amp;"","Buyer cheque banked 买家支票存入"&amp;IF(INDEX('Daily Sale entry '!$U$1:$U$1501,$J62-1499)="","", " - "&amp;INDEX('Daily Sale entry '!$U$1:$U$1501,$J62-1499))))</f>
        <v/>
      </c>
      <c r="C62">
        <f>IF($J62="","",IF($J62&lt;=1500,INDEX('Daily Sale entry '!$Z$1:$Z$1501,$J62+1)&amp;"","Cheque deposit 支票存入 (buyer 买家)"))</f>
        <v/>
      </c>
      <c r="D62">
        <f>IF($J62="","",IF($J62&lt;=1500,INDEX('Daily Sale entry '!$AA$1:$AA$1501,$J62+1)&amp;"",INDEX('Daily Sale entry '!$P$1:$P$1501,$J62-1499)&amp;""))</f>
        <v/>
      </c>
      <c r="E62">
        <f>IF($J62="","",IF($J62&lt;=1500,IF(N(INDEX('Daily Sale entry '!$AB$1:$AB$1501,$J62+1))=0,"",INDEX('Daily Sale entry '!$AB$1:$AB$1501,$J62+1)),1))</f>
        <v/>
      </c>
      <c r="F62" s="6">
        <f>IF($J62="","",IF($J62&lt;=1500,N(INDEX('Daily Sale entry '!$AC$1:$AC$1501,$J62+1))-IF(AND('Opening Balance'!$B$15=1,INDEX('Daily Sale entry '!$Z$1:$Z$1501,$J62+1)="Online collection 网上收款",INDEX('Daily Sale entry '!$AA$1:$AA$1501,$J62+1)&lt;&gt;""),N(INDEX('Daily Sale entry '!$AC$1:$AC$1501,$J62+1))-TRUNC(N(INDEX('Daily Sale entry '!$AC$1:$AC$1501,$J62+1))),0),N(INDEX('Daily Sale entry '!$S$1:$S$1501,$J62-1499))-'Opening Balance'!$B$15*(N(INDEX('Daily Sale entry '!$S$1:$S$1501,$J62-1499))-TRUNC(N(INDEX('Daily Sale entry '!$S$1:$S$1501,$J62-1499))))))</f>
        <v/>
      </c>
      <c r="G62" s="6">
        <f>IF($J62="","",IF($J62&lt;=1500,N(INDEX('Daily Sale entry '!$AD$1:$AD$1501,$J62+1)),0))</f>
        <v/>
      </c>
      <c r="H62" s="6">
        <f>IF($J62="","",ROUND('Opening Balance'!$B$4+SUM($F$2:F62)-SUM($G$2:G62),2))</f>
        <v/>
      </c>
      <c r="J62" s="21">
        <f>IFERROR(MATCH(ROW()-1,$L$2:$L$3001,0),"")</f>
        <v/>
      </c>
      <c r="K62" s="34">
        <f>IF(AND('Daily Sale entry '!X62&lt;&gt;"",OR('Daily Sale entry '!AC62&lt;&gt;"",'Daily Sale entry '!AD62&lt;&gt;"")),'Daily Sale entry '!X62+ROW()/10000000,"")</f>
        <v/>
      </c>
      <c r="L62" s="21">
        <f>IF(K62="","",COUNTIF($K$2:$K$3001,"&lt;"&amp;K62)+1)</f>
        <v/>
      </c>
    </row>
    <row r="63">
      <c r="A63" s="5">
        <f>IF($J63="","",IF($J63&lt;=1500,INDEX('Daily Sale entry '!$X$1:$X$1501,$J63+1),INDEX('Daily Sale entry '!$V$1:$V$1501,$J63-1499)))</f>
        <v/>
      </c>
      <c r="B63">
        <f>IF($J63="","",IF($J63&lt;=1500,INDEX('Daily Sale entry '!$Y$1:$Y$1501,$J63+1)&amp;"","Buyer cheque banked 买家支票存入"&amp;IF(INDEX('Daily Sale entry '!$U$1:$U$1501,$J63-1499)="","", " - "&amp;INDEX('Daily Sale entry '!$U$1:$U$1501,$J63-1499))))</f>
        <v/>
      </c>
      <c r="C63">
        <f>IF($J63="","",IF($J63&lt;=1500,INDEX('Daily Sale entry '!$Z$1:$Z$1501,$J63+1)&amp;"","Cheque deposit 支票存入 (buyer 买家)"))</f>
        <v/>
      </c>
      <c r="D63">
        <f>IF($J63="","",IF($J63&lt;=1500,INDEX('Daily Sale entry '!$AA$1:$AA$1501,$J63+1)&amp;"",INDEX('Daily Sale entry '!$P$1:$P$1501,$J63-1499)&amp;""))</f>
        <v/>
      </c>
      <c r="E63">
        <f>IF($J63="","",IF($J63&lt;=1500,IF(N(INDEX('Daily Sale entry '!$AB$1:$AB$1501,$J63+1))=0,"",INDEX('Daily Sale entry '!$AB$1:$AB$1501,$J63+1)),1))</f>
        <v/>
      </c>
      <c r="F63" s="6">
        <f>IF($J63="","",IF($J63&lt;=1500,N(INDEX('Daily Sale entry '!$AC$1:$AC$1501,$J63+1))-IF(AND('Opening Balance'!$B$15=1,INDEX('Daily Sale entry '!$Z$1:$Z$1501,$J63+1)="Online collection 网上收款",INDEX('Daily Sale entry '!$AA$1:$AA$1501,$J63+1)&lt;&gt;""),N(INDEX('Daily Sale entry '!$AC$1:$AC$1501,$J63+1))-TRUNC(N(INDEX('Daily Sale entry '!$AC$1:$AC$1501,$J63+1))),0),N(INDEX('Daily Sale entry '!$S$1:$S$1501,$J63-1499))-'Opening Balance'!$B$15*(N(INDEX('Daily Sale entry '!$S$1:$S$1501,$J63-1499))-TRUNC(N(INDEX('Daily Sale entry '!$S$1:$S$1501,$J63-1499))))))</f>
        <v/>
      </c>
      <c r="G63" s="6">
        <f>IF($J63="","",IF($J63&lt;=1500,N(INDEX('Daily Sale entry '!$AD$1:$AD$1501,$J63+1)),0))</f>
        <v/>
      </c>
      <c r="H63" s="6">
        <f>IF($J63="","",ROUND('Opening Balance'!$B$4+SUM($F$2:F63)-SUM($G$2:G63),2))</f>
        <v/>
      </c>
      <c r="J63" s="21">
        <f>IFERROR(MATCH(ROW()-1,$L$2:$L$3001,0),"")</f>
        <v/>
      </c>
      <c r="K63" s="34">
        <f>IF(AND('Daily Sale entry '!X63&lt;&gt;"",OR('Daily Sale entry '!AC63&lt;&gt;"",'Daily Sale entry '!AD63&lt;&gt;"")),'Daily Sale entry '!X63+ROW()/10000000,"")</f>
        <v/>
      </c>
      <c r="L63" s="21">
        <f>IF(K63="","",COUNTIF($K$2:$K$3001,"&lt;"&amp;K63)+1)</f>
        <v/>
      </c>
    </row>
    <row r="64">
      <c r="A64" s="5">
        <f>IF($J64="","",IF($J64&lt;=1500,INDEX('Daily Sale entry '!$X$1:$X$1501,$J64+1),INDEX('Daily Sale entry '!$V$1:$V$1501,$J64-1499)))</f>
        <v/>
      </c>
      <c r="B64">
        <f>IF($J64="","",IF($J64&lt;=1500,INDEX('Daily Sale entry '!$Y$1:$Y$1501,$J64+1)&amp;"","Buyer cheque banked 买家支票存入"&amp;IF(INDEX('Daily Sale entry '!$U$1:$U$1501,$J64-1499)="","", " - "&amp;INDEX('Daily Sale entry '!$U$1:$U$1501,$J64-1499))))</f>
        <v/>
      </c>
      <c r="C64">
        <f>IF($J64="","",IF($J64&lt;=1500,INDEX('Daily Sale entry '!$Z$1:$Z$1501,$J64+1)&amp;"","Cheque deposit 支票存入 (buyer 买家)"))</f>
        <v/>
      </c>
      <c r="D64">
        <f>IF($J64="","",IF($J64&lt;=1500,INDEX('Daily Sale entry '!$AA$1:$AA$1501,$J64+1)&amp;"",INDEX('Daily Sale entry '!$P$1:$P$1501,$J64-1499)&amp;""))</f>
        <v/>
      </c>
      <c r="E64">
        <f>IF($J64="","",IF($J64&lt;=1500,IF(N(INDEX('Daily Sale entry '!$AB$1:$AB$1501,$J64+1))=0,"",INDEX('Daily Sale entry '!$AB$1:$AB$1501,$J64+1)),1))</f>
        <v/>
      </c>
      <c r="F64" s="6">
        <f>IF($J64="","",IF($J64&lt;=1500,N(INDEX('Daily Sale entry '!$AC$1:$AC$1501,$J64+1))-IF(AND('Opening Balance'!$B$15=1,INDEX('Daily Sale entry '!$Z$1:$Z$1501,$J64+1)="Online collection 网上收款",INDEX('Daily Sale entry '!$AA$1:$AA$1501,$J64+1)&lt;&gt;""),N(INDEX('Daily Sale entry '!$AC$1:$AC$1501,$J64+1))-TRUNC(N(INDEX('Daily Sale entry '!$AC$1:$AC$1501,$J64+1))),0),N(INDEX('Daily Sale entry '!$S$1:$S$1501,$J64-1499))-'Opening Balance'!$B$15*(N(INDEX('Daily Sale entry '!$S$1:$S$1501,$J64-1499))-TRUNC(N(INDEX('Daily Sale entry '!$S$1:$S$1501,$J64-1499))))))</f>
        <v/>
      </c>
      <c r="G64" s="6">
        <f>IF($J64="","",IF($J64&lt;=1500,N(INDEX('Daily Sale entry '!$AD$1:$AD$1501,$J64+1)),0))</f>
        <v/>
      </c>
      <c r="H64" s="6">
        <f>IF($J64="","",ROUND('Opening Balance'!$B$4+SUM($F$2:F64)-SUM($G$2:G64),2))</f>
        <v/>
      </c>
      <c r="J64" s="21">
        <f>IFERROR(MATCH(ROW()-1,$L$2:$L$3001,0),"")</f>
        <v/>
      </c>
      <c r="K64" s="34">
        <f>IF(AND('Daily Sale entry '!X64&lt;&gt;"",OR('Daily Sale entry '!AC64&lt;&gt;"",'Daily Sale entry '!AD64&lt;&gt;"")),'Daily Sale entry '!X64+ROW()/10000000,"")</f>
        <v/>
      </c>
      <c r="L64" s="21">
        <f>IF(K64="","",COUNTIF($K$2:$K$3001,"&lt;"&amp;K64)+1)</f>
        <v/>
      </c>
    </row>
    <row r="65">
      <c r="A65" s="5">
        <f>IF($J65="","",IF($J65&lt;=1500,INDEX('Daily Sale entry '!$X$1:$X$1501,$J65+1),INDEX('Daily Sale entry '!$V$1:$V$1501,$J65-1499)))</f>
        <v/>
      </c>
      <c r="B65">
        <f>IF($J65="","",IF($J65&lt;=1500,INDEX('Daily Sale entry '!$Y$1:$Y$1501,$J65+1)&amp;"","Buyer cheque banked 买家支票存入"&amp;IF(INDEX('Daily Sale entry '!$U$1:$U$1501,$J65-1499)="","", " - "&amp;INDEX('Daily Sale entry '!$U$1:$U$1501,$J65-1499))))</f>
        <v/>
      </c>
      <c r="C65">
        <f>IF($J65="","",IF($J65&lt;=1500,INDEX('Daily Sale entry '!$Z$1:$Z$1501,$J65+1)&amp;"","Cheque deposit 支票存入 (buyer 买家)"))</f>
        <v/>
      </c>
      <c r="D65">
        <f>IF($J65="","",IF($J65&lt;=1500,INDEX('Daily Sale entry '!$AA$1:$AA$1501,$J65+1)&amp;"",INDEX('Daily Sale entry '!$P$1:$P$1501,$J65-1499)&amp;""))</f>
        <v/>
      </c>
      <c r="E65">
        <f>IF($J65="","",IF($J65&lt;=1500,IF(N(INDEX('Daily Sale entry '!$AB$1:$AB$1501,$J65+1))=0,"",INDEX('Daily Sale entry '!$AB$1:$AB$1501,$J65+1)),1))</f>
        <v/>
      </c>
      <c r="F65" s="6">
        <f>IF($J65="","",IF($J65&lt;=1500,N(INDEX('Daily Sale entry '!$AC$1:$AC$1501,$J65+1))-IF(AND('Opening Balance'!$B$15=1,INDEX('Daily Sale entry '!$Z$1:$Z$1501,$J65+1)="Online collection 网上收款",INDEX('Daily Sale entry '!$AA$1:$AA$1501,$J65+1)&lt;&gt;""),N(INDEX('Daily Sale entry '!$AC$1:$AC$1501,$J65+1))-TRUNC(N(INDEX('Daily Sale entry '!$AC$1:$AC$1501,$J65+1))),0),N(INDEX('Daily Sale entry '!$S$1:$S$1501,$J65-1499))-'Opening Balance'!$B$15*(N(INDEX('Daily Sale entry '!$S$1:$S$1501,$J65-1499))-TRUNC(N(INDEX('Daily Sale entry '!$S$1:$S$1501,$J65-1499))))))</f>
        <v/>
      </c>
      <c r="G65" s="6">
        <f>IF($J65="","",IF($J65&lt;=1500,N(INDEX('Daily Sale entry '!$AD$1:$AD$1501,$J65+1)),0))</f>
        <v/>
      </c>
      <c r="H65" s="6">
        <f>IF($J65="","",ROUND('Opening Balance'!$B$4+SUM($F$2:F65)-SUM($G$2:G65),2))</f>
        <v/>
      </c>
      <c r="J65" s="21">
        <f>IFERROR(MATCH(ROW()-1,$L$2:$L$3001,0),"")</f>
        <v/>
      </c>
      <c r="K65" s="34">
        <f>IF(AND('Daily Sale entry '!X65&lt;&gt;"",OR('Daily Sale entry '!AC65&lt;&gt;"",'Daily Sale entry '!AD65&lt;&gt;"")),'Daily Sale entry '!X65+ROW()/10000000,"")</f>
        <v/>
      </c>
      <c r="L65" s="21">
        <f>IF(K65="","",COUNTIF($K$2:$K$3001,"&lt;"&amp;K65)+1)</f>
        <v/>
      </c>
    </row>
    <row r="66">
      <c r="A66" s="5">
        <f>IF($J66="","",IF($J66&lt;=1500,INDEX('Daily Sale entry '!$X$1:$X$1501,$J66+1),INDEX('Daily Sale entry '!$V$1:$V$1501,$J66-1499)))</f>
        <v/>
      </c>
      <c r="B66">
        <f>IF($J66="","",IF($J66&lt;=1500,INDEX('Daily Sale entry '!$Y$1:$Y$1501,$J66+1)&amp;"","Buyer cheque banked 买家支票存入"&amp;IF(INDEX('Daily Sale entry '!$U$1:$U$1501,$J66-1499)="","", " - "&amp;INDEX('Daily Sale entry '!$U$1:$U$1501,$J66-1499))))</f>
        <v/>
      </c>
      <c r="C66">
        <f>IF($J66="","",IF($J66&lt;=1500,INDEX('Daily Sale entry '!$Z$1:$Z$1501,$J66+1)&amp;"","Cheque deposit 支票存入 (buyer 买家)"))</f>
        <v/>
      </c>
      <c r="D66">
        <f>IF($J66="","",IF($J66&lt;=1500,INDEX('Daily Sale entry '!$AA$1:$AA$1501,$J66+1)&amp;"",INDEX('Daily Sale entry '!$P$1:$P$1501,$J66-1499)&amp;""))</f>
        <v/>
      </c>
      <c r="E66">
        <f>IF($J66="","",IF($J66&lt;=1500,IF(N(INDEX('Daily Sale entry '!$AB$1:$AB$1501,$J66+1))=0,"",INDEX('Daily Sale entry '!$AB$1:$AB$1501,$J66+1)),1))</f>
        <v/>
      </c>
      <c r="F66" s="6">
        <f>IF($J66="","",IF($J66&lt;=1500,N(INDEX('Daily Sale entry '!$AC$1:$AC$1501,$J66+1))-IF(AND('Opening Balance'!$B$15=1,INDEX('Daily Sale entry '!$Z$1:$Z$1501,$J66+1)="Online collection 网上收款",INDEX('Daily Sale entry '!$AA$1:$AA$1501,$J66+1)&lt;&gt;""),N(INDEX('Daily Sale entry '!$AC$1:$AC$1501,$J66+1))-TRUNC(N(INDEX('Daily Sale entry '!$AC$1:$AC$1501,$J66+1))),0),N(INDEX('Daily Sale entry '!$S$1:$S$1501,$J66-1499))-'Opening Balance'!$B$15*(N(INDEX('Daily Sale entry '!$S$1:$S$1501,$J66-1499))-TRUNC(N(INDEX('Daily Sale entry '!$S$1:$S$1501,$J66-1499))))))</f>
        <v/>
      </c>
      <c r="G66" s="6">
        <f>IF($J66="","",IF($J66&lt;=1500,N(INDEX('Daily Sale entry '!$AD$1:$AD$1501,$J66+1)),0))</f>
        <v/>
      </c>
      <c r="H66" s="6">
        <f>IF($J66="","",ROUND('Opening Balance'!$B$4+SUM($F$2:F66)-SUM($G$2:G66),2))</f>
        <v/>
      </c>
      <c r="J66" s="21">
        <f>IFERROR(MATCH(ROW()-1,$L$2:$L$3001,0),"")</f>
        <v/>
      </c>
      <c r="K66" s="34">
        <f>IF(AND('Daily Sale entry '!X66&lt;&gt;"",OR('Daily Sale entry '!AC66&lt;&gt;"",'Daily Sale entry '!AD66&lt;&gt;"")),'Daily Sale entry '!X66+ROW()/10000000,"")</f>
        <v/>
      </c>
      <c r="L66" s="21">
        <f>IF(K66="","",COUNTIF($K$2:$K$3001,"&lt;"&amp;K66)+1)</f>
        <v/>
      </c>
    </row>
    <row r="67">
      <c r="A67" s="5">
        <f>IF($J67="","",IF($J67&lt;=1500,INDEX('Daily Sale entry '!$X$1:$X$1501,$J67+1),INDEX('Daily Sale entry '!$V$1:$V$1501,$J67-1499)))</f>
        <v/>
      </c>
      <c r="B67">
        <f>IF($J67="","",IF($J67&lt;=1500,INDEX('Daily Sale entry '!$Y$1:$Y$1501,$J67+1)&amp;"","Buyer cheque banked 买家支票存入"&amp;IF(INDEX('Daily Sale entry '!$U$1:$U$1501,$J67-1499)="","", " - "&amp;INDEX('Daily Sale entry '!$U$1:$U$1501,$J67-1499))))</f>
        <v/>
      </c>
      <c r="C67">
        <f>IF($J67="","",IF($J67&lt;=1500,INDEX('Daily Sale entry '!$Z$1:$Z$1501,$J67+1)&amp;"","Cheque deposit 支票存入 (buyer 买家)"))</f>
        <v/>
      </c>
      <c r="D67">
        <f>IF($J67="","",IF($J67&lt;=1500,INDEX('Daily Sale entry '!$AA$1:$AA$1501,$J67+1)&amp;"",INDEX('Daily Sale entry '!$P$1:$P$1501,$J67-1499)&amp;""))</f>
        <v/>
      </c>
      <c r="E67">
        <f>IF($J67="","",IF($J67&lt;=1500,IF(N(INDEX('Daily Sale entry '!$AB$1:$AB$1501,$J67+1))=0,"",INDEX('Daily Sale entry '!$AB$1:$AB$1501,$J67+1)),1))</f>
        <v/>
      </c>
      <c r="F67" s="6">
        <f>IF($J67="","",IF($J67&lt;=1500,N(INDEX('Daily Sale entry '!$AC$1:$AC$1501,$J67+1))-IF(AND('Opening Balance'!$B$15=1,INDEX('Daily Sale entry '!$Z$1:$Z$1501,$J67+1)="Online collection 网上收款",INDEX('Daily Sale entry '!$AA$1:$AA$1501,$J67+1)&lt;&gt;""),N(INDEX('Daily Sale entry '!$AC$1:$AC$1501,$J67+1))-TRUNC(N(INDEX('Daily Sale entry '!$AC$1:$AC$1501,$J67+1))),0),N(INDEX('Daily Sale entry '!$S$1:$S$1501,$J67-1499))-'Opening Balance'!$B$15*(N(INDEX('Daily Sale entry '!$S$1:$S$1501,$J67-1499))-TRUNC(N(INDEX('Daily Sale entry '!$S$1:$S$1501,$J67-1499))))))</f>
        <v/>
      </c>
      <c r="G67" s="6">
        <f>IF($J67="","",IF($J67&lt;=1500,N(INDEX('Daily Sale entry '!$AD$1:$AD$1501,$J67+1)),0))</f>
        <v/>
      </c>
      <c r="H67" s="6">
        <f>IF($J67="","",ROUND('Opening Balance'!$B$4+SUM($F$2:F67)-SUM($G$2:G67),2))</f>
        <v/>
      </c>
      <c r="J67" s="21">
        <f>IFERROR(MATCH(ROW()-1,$L$2:$L$3001,0),"")</f>
        <v/>
      </c>
      <c r="K67" s="34">
        <f>IF(AND('Daily Sale entry '!X67&lt;&gt;"",OR('Daily Sale entry '!AC67&lt;&gt;"",'Daily Sale entry '!AD67&lt;&gt;"")),'Daily Sale entry '!X67+ROW()/10000000,"")</f>
        <v/>
      </c>
      <c r="L67" s="21">
        <f>IF(K67="","",COUNTIF($K$2:$K$3001,"&lt;"&amp;K67)+1)</f>
        <v/>
      </c>
    </row>
    <row r="68">
      <c r="A68" s="5">
        <f>IF($J68="","",IF($J68&lt;=1500,INDEX('Daily Sale entry '!$X$1:$X$1501,$J68+1),INDEX('Daily Sale entry '!$V$1:$V$1501,$J68-1499)))</f>
        <v/>
      </c>
      <c r="B68">
        <f>IF($J68="","",IF($J68&lt;=1500,INDEX('Daily Sale entry '!$Y$1:$Y$1501,$J68+1)&amp;"","Buyer cheque banked 买家支票存入"&amp;IF(INDEX('Daily Sale entry '!$U$1:$U$1501,$J68-1499)="","", " - "&amp;INDEX('Daily Sale entry '!$U$1:$U$1501,$J68-1499))))</f>
        <v/>
      </c>
      <c r="C68">
        <f>IF($J68="","",IF($J68&lt;=1500,INDEX('Daily Sale entry '!$Z$1:$Z$1501,$J68+1)&amp;"","Cheque deposit 支票存入 (buyer 买家)"))</f>
        <v/>
      </c>
      <c r="D68">
        <f>IF($J68="","",IF($J68&lt;=1500,INDEX('Daily Sale entry '!$AA$1:$AA$1501,$J68+1)&amp;"",INDEX('Daily Sale entry '!$P$1:$P$1501,$J68-1499)&amp;""))</f>
        <v/>
      </c>
      <c r="E68">
        <f>IF($J68="","",IF($J68&lt;=1500,IF(N(INDEX('Daily Sale entry '!$AB$1:$AB$1501,$J68+1))=0,"",INDEX('Daily Sale entry '!$AB$1:$AB$1501,$J68+1)),1))</f>
        <v/>
      </c>
      <c r="F68" s="6">
        <f>IF($J68="","",IF($J68&lt;=1500,N(INDEX('Daily Sale entry '!$AC$1:$AC$1501,$J68+1))-IF(AND('Opening Balance'!$B$15=1,INDEX('Daily Sale entry '!$Z$1:$Z$1501,$J68+1)="Online collection 网上收款",INDEX('Daily Sale entry '!$AA$1:$AA$1501,$J68+1)&lt;&gt;""),N(INDEX('Daily Sale entry '!$AC$1:$AC$1501,$J68+1))-TRUNC(N(INDEX('Daily Sale entry '!$AC$1:$AC$1501,$J68+1))),0),N(INDEX('Daily Sale entry '!$S$1:$S$1501,$J68-1499))-'Opening Balance'!$B$15*(N(INDEX('Daily Sale entry '!$S$1:$S$1501,$J68-1499))-TRUNC(N(INDEX('Daily Sale entry '!$S$1:$S$1501,$J68-1499))))))</f>
        <v/>
      </c>
      <c r="G68" s="6">
        <f>IF($J68="","",IF($J68&lt;=1500,N(INDEX('Daily Sale entry '!$AD$1:$AD$1501,$J68+1)),0))</f>
        <v/>
      </c>
      <c r="H68" s="6">
        <f>IF($J68="","",ROUND('Opening Balance'!$B$4+SUM($F$2:F68)-SUM($G$2:G68),2))</f>
        <v/>
      </c>
      <c r="J68" s="21">
        <f>IFERROR(MATCH(ROW()-1,$L$2:$L$3001,0),"")</f>
        <v/>
      </c>
      <c r="K68" s="34">
        <f>IF(AND('Daily Sale entry '!X68&lt;&gt;"",OR('Daily Sale entry '!AC68&lt;&gt;"",'Daily Sale entry '!AD68&lt;&gt;"")),'Daily Sale entry '!X68+ROW()/10000000,"")</f>
        <v/>
      </c>
      <c r="L68" s="21">
        <f>IF(K68="","",COUNTIF($K$2:$K$3001,"&lt;"&amp;K68)+1)</f>
        <v/>
      </c>
    </row>
    <row r="69">
      <c r="A69" s="5">
        <f>IF($J69="","",IF($J69&lt;=1500,INDEX('Daily Sale entry '!$X$1:$X$1501,$J69+1),INDEX('Daily Sale entry '!$V$1:$V$1501,$J69-1499)))</f>
        <v/>
      </c>
      <c r="B69">
        <f>IF($J69="","",IF($J69&lt;=1500,INDEX('Daily Sale entry '!$Y$1:$Y$1501,$J69+1)&amp;"","Buyer cheque banked 买家支票存入"&amp;IF(INDEX('Daily Sale entry '!$U$1:$U$1501,$J69-1499)="","", " - "&amp;INDEX('Daily Sale entry '!$U$1:$U$1501,$J69-1499))))</f>
        <v/>
      </c>
      <c r="C69">
        <f>IF($J69="","",IF($J69&lt;=1500,INDEX('Daily Sale entry '!$Z$1:$Z$1501,$J69+1)&amp;"","Cheque deposit 支票存入 (buyer 买家)"))</f>
        <v/>
      </c>
      <c r="D69">
        <f>IF($J69="","",IF($J69&lt;=1500,INDEX('Daily Sale entry '!$AA$1:$AA$1501,$J69+1)&amp;"",INDEX('Daily Sale entry '!$P$1:$P$1501,$J69-1499)&amp;""))</f>
        <v/>
      </c>
      <c r="E69">
        <f>IF($J69="","",IF($J69&lt;=1500,IF(N(INDEX('Daily Sale entry '!$AB$1:$AB$1501,$J69+1))=0,"",INDEX('Daily Sale entry '!$AB$1:$AB$1501,$J69+1)),1))</f>
        <v/>
      </c>
      <c r="F69" s="6">
        <f>IF($J69="","",IF($J69&lt;=1500,N(INDEX('Daily Sale entry '!$AC$1:$AC$1501,$J69+1))-IF(AND('Opening Balance'!$B$15=1,INDEX('Daily Sale entry '!$Z$1:$Z$1501,$J69+1)="Online collection 网上收款",INDEX('Daily Sale entry '!$AA$1:$AA$1501,$J69+1)&lt;&gt;""),N(INDEX('Daily Sale entry '!$AC$1:$AC$1501,$J69+1))-TRUNC(N(INDEX('Daily Sale entry '!$AC$1:$AC$1501,$J69+1))),0),N(INDEX('Daily Sale entry '!$S$1:$S$1501,$J69-1499))-'Opening Balance'!$B$15*(N(INDEX('Daily Sale entry '!$S$1:$S$1501,$J69-1499))-TRUNC(N(INDEX('Daily Sale entry '!$S$1:$S$1501,$J69-1499))))))</f>
        <v/>
      </c>
      <c r="G69" s="6">
        <f>IF($J69="","",IF($J69&lt;=1500,N(INDEX('Daily Sale entry '!$AD$1:$AD$1501,$J69+1)),0))</f>
        <v/>
      </c>
      <c r="H69" s="6">
        <f>IF($J69="","",ROUND('Opening Balance'!$B$4+SUM($F$2:F69)-SUM($G$2:G69),2))</f>
        <v/>
      </c>
      <c r="J69" s="21">
        <f>IFERROR(MATCH(ROW()-1,$L$2:$L$3001,0),"")</f>
        <v/>
      </c>
      <c r="K69" s="34">
        <f>IF(AND('Daily Sale entry '!X69&lt;&gt;"",OR('Daily Sale entry '!AC69&lt;&gt;"",'Daily Sale entry '!AD69&lt;&gt;"")),'Daily Sale entry '!X69+ROW()/10000000,"")</f>
        <v/>
      </c>
      <c r="L69" s="21">
        <f>IF(K69="","",COUNTIF($K$2:$K$3001,"&lt;"&amp;K69)+1)</f>
        <v/>
      </c>
    </row>
    <row r="70">
      <c r="A70" s="5">
        <f>IF($J70="","",IF($J70&lt;=1500,INDEX('Daily Sale entry '!$X$1:$X$1501,$J70+1),INDEX('Daily Sale entry '!$V$1:$V$1501,$J70-1499)))</f>
        <v/>
      </c>
      <c r="B70">
        <f>IF($J70="","",IF($J70&lt;=1500,INDEX('Daily Sale entry '!$Y$1:$Y$1501,$J70+1)&amp;"","Buyer cheque banked 买家支票存入"&amp;IF(INDEX('Daily Sale entry '!$U$1:$U$1501,$J70-1499)="","", " - "&amp;INDEX('Daily Sale entry '!$U$1:$U$1501,$J70-1499))))</f>
        <v/>
      </c>
      <c r="C70">
        <f>IF($J70="","",IF($J70&lt;=1500,INDEX('Daily Sale entry '!$Z$1:$Z$1501,$J70+1)&amp;"","Cheque deposit 支票存入 (buyer 买家)"))</f>
        <v/>
      </c>
      <c r="D70">
        <f>IF($J70="","",IF($J70&lt;=1500,INDEX('Daily Sale entry '!$AA$1:$AA$1501,$J70+1)&amp;"",INDEX('Daily Sale entry '!$P$1:$P$1501,$J70-1499)&amp;""))</f>
        <v/>
      </c>
      <c r="E70">
        <f>IF($J70="","",IF($J70&lt;=1500,IF(N(INDEX('Daily Sale entry '!$AB$1:$AB$1501,$J70+1))=0,"",INDEX('Daily Sale entry '!$AB$1:$AB$1501,$J70+1)),1))</f>
        <v/>
      </c>
      <c r="F70" s="6">
        <f>IF($J70="","",IF($J70&lt;=1500,N(INDEX('Daily Sale entry '!$AC$1:$AC$1501,$J70+1))-IF(AND('Opening Balance'!$B$15=1,INDEX('Daily Sale entry '!$Z$1:$Z$1501,$J70+1)="Online collection 网上收款",INDEX('Daily Sale entry '!$AA$1:$AA$1501,$J70+1)&lt;&gt;""),N(INDEX('Daily Sale entry '!$AC$1:$AC$1501,$J70+1))-TRUNC(N(INDEX('Daily Sale entry '!$AC$1:$AC$1501,$J70+1))),0),N(INDEX('Daily Sale entry '!$S$1:$S$1501,$J70-1499))-'Opening Balance'!$B$15*(N(INDEX('Daily Sale entry '!$S$1:$S$1501,$J70-1499))-TRUNC(N(INDEX('Daily Sale entry '!$S$1:$S$1501,$J70-1499))))))</f>
        <v/>
      </c>
      <c r="G70" s="6">
        <f>IF($J70="","",IF($J70&lt;=1500,N(INDEX('Daily Sale entry '!$AD$1:$AD$1501,$J70+1)),0))</f>
        <v/>
      </c>
      <c r="H70" s="6">
        <f>IF($J70="","",ROUND('Opening Balance'!$B$4+SUM($F$2:F70)-SUM($G$2:G70),2))</f>
        <v/>
      </c>
      <c r="J70" s="21">
        <f>IFERROR(MATCH(ROW()-1,$L$2:$L$3001,0),"")</f>
        <v/>
      </c>
      <c r="K70" s="34">
        <f>IF(AND('Daily Sale entry '!X70&lt;&gt;"",OR('Daily Sale entry '!AC70&lt;&gt;"",'Daily Sale entry '!AD70&lt;&gt;"")),'Daily Sale entry '!X70+ROW()/10000000,"")</f>
        <v/>
      </c>
      <c r="L70" s="21">
        <f>IF(K70="","",COUNTIF($K$2:$K$3001,"&lt;"&amp;K70)+1)</f>
        <v/>
      </c>
    </row>
    <row r="71">
      <c r="A71" s="5">
        <f>IF($J71="","",IF($J71&lt;=1500,INDEX('Daily Sale entry '!$X$1:$X$1501,$J71+1),INDEX('Daily Sale entry '!$V$1:$V$1501,$J71-1499)))</f>
        <v/>
      </c>
      <c r="B71">
        <f>IF($J71="","",IF($J71&lt;=1500,INDEX('Daily Sale entry '!$Y$1:$Y$1501,$J71+1)&amp;"","Buyer cheque banked 买家支票存入"&amp;IF(INDEX('Daily Sale entry '!$U$1:$U$1501,$J71-1499)="","", " - "&amp;INDEX('Daily Sale entry '!$U$1:$U$1501,$J71-1499))))</f>
        <v/>
      </c>
      <c r="C71">
        <f>IF($J71="","",IF($J71&lt;=1500,INDEX('Daily Sale entry '!$Z$1:$Z$1501,$J71+1)&amp;"","Cheque deposit 支票存入 (buyer 买家)"))</f>
        <v/>
      </c>
      <c r="D71">
        <f>IF($J71="","",IF($J71&lt;=1500,INDEX('Daily Sale entry '!$AA$1:$AA$1501,$J71+1)&amp;"",INDEX('Daily Sale entry '!$P$1:$P$1501,$J71-1499)&amp;""))</f>
        <v/>
      </c>
      <c r="E71">
        <f>IF($J71="","",IF($J71&lt;=1500,IF(N(INDEX('Daily Sale entry '!$AB$1:$AB$1501,$J71+1))=0,"",INDEX('Daily Sale entry '!$AB$1:$AB$1501,$J71+1)),1))</f>
        <v/>
      </c>
      <c r="F71" s="6">
        <f>IF($J71="","",IF($J71&lt;=1500,N(INDEX('Daily Sale entry '!$AC$1:$AC$1501,$J71+1))-IF(AND('Opening Balance'!$B$15=1,INDEX('Daily Sale entry '!$Z$1:$Z$1501,$J71+1)="Online collection 网上收款",INDEX('Daily Sale entry '!$AA$1:$AA$1501,$J71+1)&lt;&gt;""),N(INDEX('Daily Sale entry '!$AC$1:$AC$1501,$J71+1))-TRUNC(N(INDEX('Daily Sale entry '!$AC$1:$AC$1501,$J71+1))),0),N(INDEX('Daily Sale entry '!$S$1:$S$1501,$J71-1499))-'Opening Balance'!$B$15*(N(INDEX('Daily Sale entry '!$S$1:$S$1501,$J71-1499))-TRUNC(N(INDEX('Daily Sale entry '!$S$1:$S$1501,$J71-1499))))))</f>
        <v/>
      </c>
      <c r="G71" s="6">
        <f>IF($J71="","",IF($J71&lt;=1500,N(INDEX('Daily Sale entry '!$AD$1:$AD$1501,$J71+1)),0))</f>
        <v/>
      </c>
      <c r="H71" s="6">
        <f>IF($J71="","",ROUND('Opening Balance'!$B$4+SUM($F$2:F71)-SUM($G$2:G71),2))</f>
        <v/>
      </c>
      <c r="J71" s="21">
        <f>IFERROR(MATCH(ROW()-1,$L$2:$L$3001,0),"")</f>
        <v/>
      </c>
      <c r="K71" s="34">
        <f>IF(AND('Daily Sale entry '!X71&lt;&gt;"",OR('Daily Sale entry '!AC71&lt;&gt;"",'Daily Sale entry '!AD71&lt;&gt;"")),'Daily Sale entry '!X71+ROW()/10000000,"")</f>
        <v/>
      </c>
      <c r="L71" s="21">
        <f>IF(K71="","",COUNTIF($K$2:$K$3001,"&lt;"&amp;K71)+1)</f>
        <v/>
      </c>
    </row>
    <row r="72">
      <c r="A72" s="5">
        <f>IF($J72="","",IF($J72&lt;=1500,INDEX('Daily Sale entry '!$X$1:$X$1501,$J72+1),INDEX('Daily Sale entry '!$V$1:$V$1501,$J72-1499)))</f>
        <v/>
      </c>
      <c r="B72">
        <f>IF($J72="","",IF($J72&lt;=1500,INDEX('Daily Sale entry '!$Y$1:$Y$1501,$J72+1)&amp;"","Buyer cheque banked 买家支票存入"&amp;IF(INDEX('Daily Sale entry '!$U$1:$U$1501,$J72-1499)="","", " - "&amp;INDEX('Daily Sale entry '!$U$1:$U$1501,$J72-1499))))</f>
        <v/>
      </c>
      <c r="C72">
        <f>IF($J72="","",IF($J72&lt;=1500,INDEX('Daily Sale entry '!$Z$1:$Z$1501,$J72+1)&amp;"","Cheque deposit 支票存入 (buyer 买家)"))</f>
        <v/>
      </c>
      <c r="D72">
        <f>IF($J72="","",IF($J72&lt;=1500,INDEX('Daily Sale entry '!$AA$1:$AA$1501,$J72+1)&amp;"",INDEX('Daily Sale entry '!$P$1:$P$1501,$J72-1499)&amp;""))</f>
        <v/>
      </c>
      <c r="E72">
        <f>IF($J72="","",IF($J72&lt;=1500,IF(N(INDEX('Daily Sale entry '!$AB$1:$AB$1501,$J72+1))=0,"",INDEX('Daily Sale entry '!$AB$1:$AB$1501,$J72+1)),1))</f>
        <v/>
      </c>
      <c r="F72" s="6">
        <f>IF($J72="","",IF($J72&lt;=1500,N(INDEX('Daily Sale entry '!$AC$1:$AC$1501,$J72+1))-IF(AND('Opening Balance'!$B$15=1,INDEX('Daily Sale entry '!$Z$1:$Z$1501,$J72+1)="Online collection 网上收款",INDEX('Daily Sale entry '!$AA$1:$AA$1501,$J72+1)&lt;&gt;""),N(INDEX('Daily Sale entry '!$AC$1:$AC$1501,$J72+1))-TRUNC(N(INDEX('Daily Sale entry '!$AC$1:$AC$1501,$J72+1))),0),N(INDEX('Daily Sale entry '!$S$1:$S$1501,$J72-1499))-'Opening Balance'!$B$15*(N(INDEX('Daily Sale entry '!$S$1:$S$1501,$J72-1499))-TRUNC(N(INDEX('Daily Sale entry '!$S$1:$S$1501,$J72-1499))))))</f>
        <v/>
      </c>
      <c r="G72" s="6">
        <f>IF($J72="","",IF($J72&lt;=1500,N(INDEX('Daily Sale entry '!$AD$1:$AD$1501,$J72+1)),0))</f>
        <v/>
      </c>
      <c r="H72" s="6">
        <f>IF($J72="","",ROUND('Opening Balance'!$B$4+SUM($F$2:F72)-SUM($G$2:G72),2))</f>
        <v/>
      </c>
      <c r="J72" s="21">
        <f>IFERROR(MATCH(ROW()-1,$L$2:$L$3001,0),"")</f>
        <v/>
      </c>
      <c r="K72" s="34">
        <f>IF(AND('Daily Sale entry '!X72&lt;&gt;"",OR('Daily Sale entry '!AC72&lt;&gt;"",'Daily Sale entry '!AD72&lt;&gt;"")),'Daily Sale entry '!X72+ROW()/10000000,"")</f>
        <v/>
      </c>
      <c r="L72" s="21">
        <f>IF(K72="","",COUNTIF($K$2:$K$3001,"&lt;"&amp;K72)+1)</f>
        <v/>
      </c>
    </row>
    <row r="73">
      <c r="A73" s="5">
        <f>IF($J73="","",IF($J73&lt;=1500,INDEX('Daily Sale entry '!$X$1:$X$1501,$J73+1),INDEX('Daily Sale entry '!$V$1:$V$1501,$J73-1499)))</f>
        <v/>
      </c>
      <c r="B73">
        <f>IF($J73="","",IF($J73&lt;=1500,INDEX('Daily Sale entry '!$Y$1:$Y$1501,$J73+1)&amp;"","Buyer cheque banked 买家支票存入"&amp;IF(INDEX('Daily Sale entry '!$U$1:$U$1501,$J73-1499)="","", " - "&amp;INDEX('Daily Sale entry '!$U$1:$U$1501,$J73-1499))))</f>
        <v/>
      </c>
      <c r="C73">
        <f>IF($J73="","",IF($J73&lt;=1500,INDEX('Daily Sale entry '!$Z$1:$Z$1501,$J73+1)&amp;"","Cheque deposit 支票存入 (buyer 买家)"))</f>
        <v/>
      </c>
      <c r="D73">
        <f>IF($J73="","",IF($J73&lt;=1500,INDEX('Daily Sale entry '!$AA$1:$AA$1501,$J73+1)&amp;"",INDEX('Daily Sale entry '!$P$1:$P$1501,$J73-1499)&amp;""))</f>
        <v/>
      </c>
      <c r="E73">
        <f>IF($J73="","",IF($J73&lt;=1500,IF(N(INDEX('Daily Sale entry '!$AB$1:$AB$1501,$J73+1))=0,"",INDEX('Daily Sale entry '!$AB$1:$AB$1501,$J73+1)),1))</f>
        <v/>
      </c>
      <c r="F73" s="6">
        <f>IF($J73="","",IF($J73&lt;=1500,N(INDEX('Daily Sale entry '!$AC$1:$AC$1501,$J73+1))-IF(AND('Opening Balance'!$B$15=1,INDEX('Daily Sale entry '!$Z$1:$Z$1501,$J73+1)="Online collection 网上收款",INDEX('Daily Sale entry '!$AA$1:$AA$1501,$J73+1)&lt;&gt;""),N(INDEX('Daily Sale entry '!$AC$1:$AC$1501,$J73+1))-TRUNC(N(INDEX('Daily Sale entry '!$AC$1:$AC$1501,$J73+1))),0),N(INDEX('Daily Sale entry '!$S$1:$S$1501,$J73-1499))-'Opening Balance'!$B$15*(N(INDEX('Daily Sale entry '!$S$1:$S$1501,$J73-1499))-TRUNC(N(INDEX('Daily Sale entry '!$S$1:$S$1501,$J73-1499))))))</f>
        <v/>
      </c>
      <c r="G73" s="6">
        <f>IF($J73="","",IF($J73&lt;=1500,N(INDEX('Daily Sale entry '!$AD$1:$AD$1501,$J73+1)),0))</f>
        <v/>
      </c>
      <c r="H73" s="6">
        <f>IF($J73="","",ROUND('Opening Balance'!$B$4+SUM($F$2:F73)-SUM($G$2:G73),2))</f>
        <v/>
      </c>
      <c r="J73" s="21">
        <f>IFERROR(MATCH(ROW()-1,$L$2:$L$3001,0),"")</f>
        <v/>
      </c>
      <c r="K73" s="34">
        <f>IF(AND('Daily Sale entry '!X73&lt;&gt;"",OR('Daily Sale entry '!AC73&lt;&gt;"",'Daily Sale entry '!AD73&lt;&gt;"")),'Daily Sale entry '!X73+ROW()/10000000,"")</f>
        <v/>
      </c>
      <c r="L73" s="21">
        <f>IF(K73="","",COUNTIF($K$2:$K$3001,"&lt;"&amp;K73)+1)</f>
        <v/>
      </c>
    </row>
    <row r="74">
      <c r="A74" s="5">
        <f>IF($J74="","",IF($J74&lt;=1500,INDEX('Daily Sale entry '!$X$1:$X$1501,$J74+1),INDEX('Daily Sale entry '!$V$1:$V$1501,$J74-1499)))</f>
        <v/>
      </c>
      <c r="B74">
        <f>IF($J74="","",IF($J74&lt;=1500,INDEX('Daily Sale entry '!$Y$1:$Y$1501,$J74+1)&amp;"","Buyer cheque banked 买家支票存入"&amp;IF(INDEX('Daily Sale entry '!$U$1:$U$1501,$J74-1499)="","", " - "&amp;INDEX('Daily Sale entry '!$U$1:$U$1501,$J74-1499))))</f>
        <v/>
      </c>
      <c r="C74">
        <f>IF($J74="","",IF($J74&lt;=1500,INDEX('Daily Sale entry '!$Z$1:$Z$1501,$J74+1)&amp;"","Cheque deposit 支票存入 (buyer 买家)"))</f>
        <v/>
      </c>
      <c r="D74">
        <f>IF($J74="","",IF($J74&lt;=1500,INDEX('Daily Sale entry '!$AA$1:$AA$1501,$J74+1)&amp;"",INDEX('Daily Sale entry '!$P$1:$P$1501,$J74-1499)&amp;""))</f>
        <v/>
      </c>
      <c r="E74">
        <f>IF($J74="","",IF($J74&lt;=1500,IF(N(INDEX('Daily Sale entry '!$AB$1:$AB$1501,$J74+1))=0,"",INDEX('Daily Sale entry '!$AB$1:$AB$1501,$J74+1)),1))</f>
        <v/>
      </c>
      <c r="F74" s="6">
        <f>IF($J74="","",IF($J74&lt;=1500,N(INDEX('Daily Sale entry '!$AC$1:$AC$1501,$J74+1))-IF(AND('Opening Balance'!$B$15=1,INDEX('Daily Sale entry '!$Z$1:$Z$1501,$J74+1)="Online collection 网上收款",INDEX('Daily Sale entry '!$AA$1:$AA$1501,$J74+1)&lt;&gt;""),N(INDEX('Daily Sale entry '!$AC$1:$AC$1501,$J74+1))-TRUNC(N(INDEX('Daily Sale entry '!$AC$1:$AC$1501,$J74+1))),0),N(INDEX('Daily Sale entry '!$S$1:$S$1501,$J74-1499))-'Opening Balance'!$B$15*(N(INDEX('Daily Sale entry '!$S$1:$S$1501,$J74-1499))-TRUNC(N(INDEX('Daily Sale entry '!$S$1:$S$1501,$J74-1499))))))</f>
        <v/>
      </c>
      <c r="G74" s="6">
        <f>IF($J74="","",IF($J74&lt;=1500,N(INDEX('Daily Sale entry '!$AD$1:$AD$1501,$J74+1)),0))</f>
        <v/>
      </c>
      <c r="H74" s="6">
        <f>IF($J74="","",ROUND('Opening Balance'!$B$4+SUM($F$2:F74)-SUM($G$2:G74),2))</f>
        <v/>
      </c>
      <c r="J74" s="21">
        <f>IFERROR(MATCH(ROW()-1,$L$2:$L$3001,0),"")</f>
        <v/>
      </c>
      <c r="K74" s="34">
        <f>IF(AND('Daily Sale entry '!X74&lt;&gt;"",OR('Daily Sale entry '!AC74&lt;&gt;"",'Daily Sale entry '!AD74&lt;&gt;"")),'Daily Sale entry '!X74+ROW()/10000000,"")</f>
        <v/>
      </c>
      <c r="L74" s="21">
        <f>IF(K74="","",COUNTIF($K$2:$K$3001,"&lt;"&amp;K74)+1)</f>
        <v/>
      </c>
    </row>
    <row r="75">
      <c r="A75" s="5">
        <f>IF($J75="","",IF($J75&lt;=1500,INDEX('Daily Sale entry '!$X$1:$X$1501,$J75+1),INDEX('Daily Sale entry '!$V$1:$V$1501,$J75-1499)))</f>
        <v/>
      </c>
      <c r="B75">
        <f>IF($J75="","",IF($J75&lt;=1500,INDEX('Daily Sale entry '!$Y$1:$Y$1501,$J75+1)&amp;"","Buyer cheque banked 买家支票存入"&amp;IF(INDEX('Daily Sale entry '!$U$1:$U$1501,$J75-1499)="","", " - "&amp;INDEX('Daily Sale entry '!$U$1:$U$1501,$J75-1499))))</f>
        <v/>
      </c>
      <c r="C75">
        <f>IF($J75="","",IF($J75&lt;=1500,INDEX('Daily Sale entry '!$Z$1:$Z$1501,$J75+1)&amp;"","Cheque deposit 支票存入 (buyer 买家)"))</f>
        <v/>
      </c>
      <c r="D75">
        <f>IF($J75="","",IF($J75&lt;=1500,INDEX('Daily Sale entry '!$AA$1:$AA$1501,$J75+1)&amp;"",INDEX('Daily Sale entry '!$P$1:$P$1501,$J75-1499)&amp;""))</f>
        <v/>
      </c>
      <c r="E75">
        <f>IF($J75="","",IF($J75&lt;=1500,IF(N(INDEX('Daily Sale entry '!$AB$1:$AB$1501,$J75+1))=0,"",INDEX('Daily Sale entry '!$AB$1:$AB$1501,$J75+1)),1))</f>
        <v/>
      </c>
      <c r="F75" s="6">
        <f>IF($J75="","",IF($J75&lt;=1500,N(INDEX('Daily Sale entry '!$AC$1:$AC$1501,$J75+1))-IF(AND('Opening Balance'!$B$15=1,INDEX('Daily Sale entry '!$Z$1:$Z$1501,$J75+1)="Online collection 网上收款",INDEX('Daily Sale entry '!$AA$1:$AA$1501,$J75+1)&lt;&gt;""),N(INDEX('Daily Sale entry '!$AC$1:$AC$1501,$J75+1))-TRUNC(N(INDEX('Daily Sale entry '!$AC$1:$AC$1501,$J75+1))),0),N(INDEX('Daily Sale entry '!$S$1:$S$1501,$J75-1499))-'Opening Balance'!$B$15*(N(INDEX('Daily Sale entry '!$S$1:$S$1501,$J75-1499))-TRUNC(N(INDEX('Daily Sale entry '!$S$1:$S$1501,$J75-1499))))))</f>
        <v/>
      </c>
      <c r="G75" s="6">
        <f>IF($J75="","",IF($J75&lt;=1500,N(INDEX('Daily Sale entry '!$AD$1:$AD$1501,$J75+1)),0))</f>
        <v/>
      </c>
      <c r="H75" s="6">
        <f>IF($J75="","",ROUND('Opening Balance'!$B$4+SUM($F$2:F75)-SUM($G$2:G75),2))</f>
        <v/>
      </c>
      <c r="J75" s="21">
        <f>IFERROR(MATCH(ROW()-1,$L$2:$L$3001,0),"")</f>
        <v/>
      </c>
      <c r="K75" s="34">
        <f>IF(AND('Daily Sale entry '!X75&lt;&gt;"",OR('Daily Sale entry '!AC75&lt;&gt;"",'Daily Sale entry '!AD75&lt;&gt;"")),'Daily Sale entry '!X75+ROW()/10000000,"")</f>
        <v/>
      </c>
      <c r="L75" s="21">
        <f>IF(K75="","",COUNTIF($K$2:$K$3001,"&lt;"&amp;K75)+1)</f>
        <v/>
      </c>
    </row>
    <row r="76">
      <c r="A76" s="5">
        <f>IF($J76="","",IF($J76&lt;=1500,INDEX('Daily Sale entry '!$X$1:$X$1501,$J76+1),INDEX('Daily Sale entry '!$V$1:$V$1501,$J76-1499)))</f>
        <v/>
      </c>
      <c r="B76">
        <f>IF($J76="","",IF($J76&lt;=1500,INDEX('Daily Sale entry '!$Y$1:$Y$1501,$J76+1)&amp;"","Buyer cheque banked 买家支票存入"&amp;IF(INDEX('Daily Sale entry '!$U$1:$U$1501,$J76-1499)="","", " - "&amp;INDEX('Daily Sale entry '!$U$1:$U$1501,$J76-1499))))</f>
        <v/>
      </c>
      <c r="C76">
        <f>IF($J76="","",IF($J76&lt;=1500,INDEX('Daily Sale entry '!$Z$1:$Z$1501,$J76+1)&amp;"","Cheque deposit 支票存入 (buyer 买家)"))</f>
        <v/>
      </c>
      <c r="D76">
        <f>IF($J76="","",IF($J76&lt;=1500,INDEX('Daily Sale entry '!$AA$1:$AA$1501,$J76+1)&amp;"",INDEX('Daily Sale entry '!$P$1:$P$1501,$J76-1499)&amp;""))</f>
        <v/>
      </c>
      <c r="E76">
        <f>IF($J76="","",IF($J76&lt;=1500,IF(N(INDEX('Daily Sale entry '!$AB$1:$AB$1501,$J76+1))=0,"",INDEX('Daily Sale entry '!$AB$1:$AB$1501,$J76+1)),1))</f>
        <v/>
      </c>
      <c r="F76" s="6">
        <f>IF($J76="","",IF($J76&lt;=1500,N(INDEX('Daily Sale entry '!$AC$1:$AC$1501,$J76+1))-IF(AND('Opening Balance'!$B$15=1,INDEX('Daily Sale entry '!$Z$1:$Z$1501,$J76+1)="Online collection 网上收款",INDEX('Daily Sale entry '!$AA$1:$AA$1501,$J76+1)&lt;&gt;""),N(INDEX('Daily Sale entry '!$AC$1:$AC$1501,$J76+1))-TRUNC(N(INDEX('Daily Sale entry '!$AC$1:$AC$1501,$J76+1))),0),N(INDEX('Daily Sale entry '!$S$1:$S$1501,$J76-1499))-'Opening Balance'!$B$15*(N(INDEX('Daily Sale entry '!$S$1:$S$1501,$J76-1499))-TRUNC(N(INDEX('Daily Sale entry '!$S$1:$S$1501,$J76-1499))))))</f>
        <v/>
      </c>
      <c r="G76" s="6">
        <f>IF($J76="","",IF($J76&lt;=1500,N(INDEX('Daily Sale entry '!$AD$1:$AD$1501,$J76+1)),0))</f>
        <v/>
      </c>
      <c r="H76" s="6">
        <f>IF($J76="","",ROUND('Opening Balance'!$B$4+SUM($F$2:F76)-SUM($G$2:G76),2))</f>
        <v/>
      </c>
      <c r="J76" s="21">
        <f>IFERROR(MATCH(ROW()-1,$L$2:$L$3001,0),"")</f>
        <v/>
      </c>
      <c r="K76" s="34">
        <f>IF(AND('Daily Sale entry '!X76&lt;&gt;"",OR('Daily Sale entry '!AC76&lt;&gt;"",'Daily Sale entry '!AD76&lt;&gt;"")),'Daily Sale entry '!X76+ROW()/10000000,"")</f>
        <v/>
      </c>
      <c r="L76" s="21">
        <f>IF(K76="","",COUNTIF($K$2:$K$3001,"&lt;"&amp;K76)+1)</f>
        <v/>
      </c>
    </row>
    <row r="77">
      <c r="A77" s="5">
        <f>IF($J77="","",IF($J77&lt;=1500,INDEX('Daily Sale entry '!$X$1:$X$1501,$J77+1),INDEX('Daily Sale entry '!$V$1:$V$1501,$J77-1499)))</f>
        <v/>
      </c>
      <c r="B77">
        <f>IF($J77="","",IF($J77&lt;=1500,INDEX('Daily Sale entry '!$Y$1:$Y$1501,$J77+1)&amp;"","Buyer cheque banked 买家支票存入"&amp;IF(INDEX('Daily Sale entry '!$U$1:$U$1501,$J77-1499)="","", " - "&amp;INDEX('Daily Sale entry '!$U$1:$U$1501,$J77-1499))))</f>
        <v/>
      </c>
      <c r="C77">
        <f>IF($J77="","",IF($J77&lt;=1500,INDEX('Daily Sale entry '!$Z$1:$Z$1501,$J77+1)&amp;"","Cheque deposit 支票存入 (buyer 买家)"))</f>
        <v/>
      </c>
      <c r="D77">
        <f>IF($J77="","",IF($J77&lt;=1500,INDEX('Daily Sale entry '!$AA$1:$AA$1501,$J77+1)&amp;"",INDEX('Daily Sale entry '!$P$1:$P$1501,$J77-1499)&amp;""))</f>
        <v/>
      </c>
      <c r="E77">
        <f>IF($J77="","",IF($J77&lt;=1500,IF(N(INDEX('Daily Sale entry '!$AB$1:$AB$1501,$J77+1))=0,"",INDEX('Daily Sale entry '!$AB$1:$AB$1501,$J77+1)),1))</f>
        <v/>
      </c>
      <c r="F77" s="6">
        <f>IF($J77="","",IF($J77&lt;=1500,N(INDEX('Daily Sale entry '!$AC$1:$AC$1501,$J77+1))-IF(AND('Opening Balance'!$B$15=1,INDEX('Daily Sale entry '!$Z$1:$Z$1501,$J77+1)="Online collection 网上收款",INDEX('Daily Sale entry '!$AA$1:$AA$1501,$J77+1)&lt;&gt;""),N(INDEX('Daily Sale entry '!$AC$1:$AC$1501,$J77+1))-TRUNC(N(INDEX('Daily Sale entry '!$AC$1:$AC$1501,$J77+1))),0),N(INDEX('Daily Sale entry '!$S$1:$S$1501,$J77-1499))-'Opening Balance'!$B$15*(N(INDEX('Daily Sale entry '!$S$1:$S$1501,$J77-1499))-TRUNC(N(INDEX('Daily Sale entry '!$S$1:$S$1501,$J77-1499))))))</f>
        <v/>
      </c>
      <c r="G77" s="6">
        <f>IF($J77="","",IF($J77&lt;=1500,N(INDEX('Daily Sale entry '!$AD$1:$AD$1501,$J77+1)),0))</f>
        <v/>
      </c>
      <c r="H77" s="6">
        <f>IF($J77="","",ROUND('Opening Balance'!$B$4+SUM($F$2:F77)-SUM($G$2:G77),2))</f>
        <v/>
      </c>
      <c r="J77" s="21">
        <f>IFERROR(MATCH(ROW()-1,$L$2:$L$3001,0),"")</f>
        <v/>
      </c>
      <c r="K77" s="34">
        <f>IF(AND('Daily Sale entry '!X77&lt;&gt;"",OR('Daily Sale entry '!AC77&lt;&gt;"",'Daily Sale entry '!AD77&lt;&gt;"")),'Daily Sale entry '!X77+ROW()/10000000,"")</f>
        <v/>
      </c>
      <c r="L77" s="21">
        <f>IF(K77="","",COUNTIF($K$2:$K$3001,"&lt;"&amp;K77)+1)</f>
        <v/>
      </c>
    </row>
    <row r="78">
      <c r="A78" s="5">
        <f>IF($J78="","",IF($J78&lt;=1500,INDEX('Daily Sale entry '!$X$1:$X$1501,$J78+1),INDEX('Daily Sale entry '!$V$1:$V$1501,$J78-1499)))</f>
        <v/>
      </c>
      <c r="B78">
        <f>IF($J78="","",IF($J78&lt;=1500,INDEX('Daily Sale entry '!$Y$1:$Y$1501,$J78+1)&amp;"","Buyer cheque banked 买家支票存入"&amp;IF(INDEX('Daily Sale entry '!$U$1:$U$1501,$J78-1499)="","", " - "&amp;INDEX('Daily Sale entry '!$U$1:$U$1501,$J78-1499))))</f>
        <v/>
      </c>
      <c r="C78">
        <f>IF($J78="","",IF($J78&lt;=1500,INDEX('Daily Sale entry '!$Z$1:$Z$1501,$J78+1)&amp;"","Cheque deposit 支票存入 (buyer 买家)"))</f>
        <v/>
      </c>
      <c r="D78">
        <f>IF($J78="","",IF($J78&lt;=1500,INDEX('Daily Sale entry '!$AA$1:$AA$1501,$J78+1)&amp;"",INDEX('Daily Sale entry '!$P$1:$P$1501,$J78-1499)&amp;""))</f>
        <v/>
      </c>
      <c r="E78">
        <f>IF($J78="","",IF($J78&lt;=1500,IF(N(INDEX('Daily Sale entry '!$AB$1:$AB$1501,$J78+1))=0,"",INDEX('Daily Sale entry '!$AB$1:$AB$1501,$J78+1)),1))</f>
        <v/>
      </c>
      <c r="F78" s="6">
        <f>IF($J78="","",IF($J78&lt;=1500,N(INDEX('Daily Sale entry '!$AC$1:$AC$1501,$J78+1))-IF(AND('Opening Balance'!$B$15=1,INDEX('Daily Sale entry '!$Z$1:$Z$1501,$J78+1)="Online collection 网上收款",INDEX('Daily Sale entry '!$AA$1:$AA$1501,$J78+1)&lt;&gt;""),N(INDEX('Daily Sale entry '!$AC$1:$AC$1501,$J78+1))-TRUNC(N(INDEX('Daily Sale entry '!$AC$1:$AC$1501,$J78+1))),0),N(INDEX('Daily Sale entry '!$S$1:$S$1501,$J78-1499))-'Opening Balance'!$B$15*(N(INDEX('Daily Sale entry '!$S$1:$S$1501,$J78-1499))-TRUNC(N(INDEX('Daily Sale entry '!$S$1:$S$1501,$J78-1499))))))</f>
        <v/>
      </c>
      <c r="G78" s="6">
        <f>IF($J78="","",IF($J78&lt;=1500,N(INDEX('Daily Sale entry '!$AD$1:$AD$1501,$J78+1)),0))</f>
        <v/>
      </c>
      <c r="H78" s="6">
        <f>IF($J78="","",ROUND('Opening Balance'!$B$4+SUM($F$2:F78)-SUM($G$2:G78),2))</f>
        <v/>
      </c>
      <c r="J78" s="21">
        <f>IFERROR(MATCH(ROW()-1,$L$2:$L$3001,0),"")</f>
        <v/>
      </c>
      <c r="K78" s="34">
        <f>IF(AND('Daily Sale entry '!X78&lt;&gt;"",OR('Daily Sale entry '!AC78&lt;&gt;"",'Daily Sale entry '!AD78&lt;&gt;"")),'Daily Sale entry '!X78+ROW()/10000000,"")</f>
        <v/>
      </c>
      <c r="L78" s="21">
        <f>IF(K78="","",COUNTIF($K$2:$K$3001,"&lt;"&amp;K78)+1)</f>
        <v/>
      </c>
    </row>
    <row r="79">
      <c r="A79" s="5">
        <f>IF($J79="","",IF($J79&lt;=1500,INDEX('Daily Sale entry '!$X$1:$X$1501,$J79+1),INDEX('Daily Sale entry '!$V$1:$V$1501,$J79-1499)))</f>
        <v/>
      </c>
      <c r="B79">
        <f>IF($J79="","",IF($J79&lt;=1500,INDEX('Daily Sale entry '!$Y$1:$Y$1501,$J79+1)&amp;"","Buyer cheque banked 买家支票存入"&amp;IF(INDEX('Daily Sale entry '!$U$1:$U$1501,$J79-1499)="","", " - "&amp;INDEX('Daily Sale entry '!$U$1:$U$1501,$J79-1499))))</f>
        <v/>
      </c>
      <c r="C79">
        <f>IF($J79="","",IF($J79&lt;=1500,INDEX('Daily Sale entry '!$Z$1:$Z$1501,$J79+1)&amp;"","Cheque deposit 支票存入 (buyer 买家)"))</f>
        <v/>
      </c>
      <c r="D79">
        <f>IF($J79="","",IF($J79&lt;=1500,INDEX('Daily Sale entry '!$AA$1:$AA$1501,$J79+1)&amp;"",INDEX('Daily Sale entry '!$P$1:$P$1501,$J79-1499)&amp;""))</f>
        <v/>
      </c>
      <c r="E79">
        <f>IF($J79="","",IF($J79&lt;=1500,IF(N(INDEX('Daily Sale entry '!$AB$1:$AB$1501,$J79+1))=0,"",INDEX('Daily Sale entry '!$AB$1:$AB$1501,$J79+1)),1))</f>
        <v/>
      </c>
      <c r="F79" s="6">
        <f>IF($J79="","",IF($J79&lt;=1500,N(INDEX('Daily Sale entry '!$AC$1:$AC$1501,$J79+1))-IF(AND('Opening Balance'!$B$15=1,INDEX('Daily Sale entry '!$Z$1:$Z$1501,$J79+1)="Online collection 网上收款",INDEX('Daily Sale entry '!$AA$1:$AA$1501,$J79+1)&lt;&gt;""),N(INDEX('Daily Sale entry '!$AC$1:$AC$1501,$J79+1))-TRUNC(N(INDEX('Daily Sale entry '!$AC$1:$AC$1501,$J79+1))),0),N(INDEX('Daily Sale entry '!$S$1:$S$1501,$J79-1499))-'Opening Balance'!$B$15*(N(INDEX('Daily Sale entry '!$S$1:$S$1501,$J79-1499))-TRUNC(N(INDEX('Daily Sale entry '!$S$1:$S$1501,$J79-1499))))))</f>
        <v/>
      </c>
      <c r="G79" s="6">
        <f>IF($J79="","",IF($J79&lt;=1500,N(INDEX('Daily Sale entry '!$AD$1:$AD$1501,$J79+1)),0))</f>
        <v/>
      </c>
      <c r="H79" s="6">
        <f>IF($J79="","",ROUND('Opening Balance'!$B$4+SUM($F$2:F79)-SUM($G$2:G79),2))</f>
        <v/>
      </c>
      <c r="J79" s="21">
        <f>IFERROR(MATCH(ROW()-1,$L$2:$L$3001,0),"")</f>
        <v/>
      </c>
      <c r="K79" s="34">
        <f>IF(AND('Daily Sale entry '!X79&lt;&gt;"",OR('Daily Sale entry '!AC79&lt;&gt;"",'Daily Sale entry '!AD79&lt;&gt;"")),'Daily Sale entry '!X79+ROW()/10000000,"")</f>
        <v/>
      </c>
      <c r="L79" s="21">
        <f>IF(K79="","",COUNTIF($K$2:$K$3001,"&lt;"&amp;K79)+1)</f>
        <v/>
      </c>
    </row>
    <row r="80">
      <c r="A80" s="5">
        <f>IF($J80="","",IF($J80&lt;=1500,INDEX('Daily Sale entry '!$X$1:$X$1501,$J80+1),INDEX('Daily Sale entry '!$V$1:$V$1501,$J80-1499)))</f>
        <v/>
      </c>
      <c r="B80">
        <f>IF($J80="","",IF($J80&lt;=1500,INDEX('Daily Sale entry '!$Y$1:$Y$1501,$J80+1)&amp;"","Buyer cheque banked 买家支票存入"&amp;IF(INDEX('Daily Sale entry '!$U$1:$U$1501,$J80-1499)="","", " - "&amp;INDEX('Daily Sale entry '!$U$1:$U$1501,$J80-1499))))</f>
        <v/>
      </c>
      <c r="C80">
        <f>IF($J80="","",IF($J80&lt;=1500,INDEX('Daily Sale entry '!$Z$1:$Z$1501,$J80+1)&amp;"","Cheque deposit 支票存入 (buyer 买家)"))</f>
        <v/>
      </c>
      <c r="D80">
        <f>IF($J80="","",IF($J80&lt;=1500,INDEX('Daily Sale entry '!$AA$1:$AA$1501,$J80+1)&amp;"",INDEX('Daily Sale entry '!$P$1:$P$1501,$J80-1499)&amp;""))</f>
        <v/>
      </c>
      <c r="E80">
        <f>IF($J80="","",IF($J80&lt;=1500,IF(N(INDEX('Daily Sale entry '!$AB$1:$AB$1501,$J80+1))=0,"",INDEX('Daily Sale entry '!$AB$1:$AB$1501,$J80+1)),1))</f>
        <v/>
      </c>
      <c r="F80" s="6">
        <f>IF($J80="","",IF($J80&lt;=1500,N(INDEX('Daily Sale entry '!$AC$1:$AC$1501,$J80+1))-IF(AND('Opening Balance'!$B$15=1,INDEX('Daily Sale entry '!$Z$1:$Z$1501,$J80+1)="Online collection 网上收款",INDEX('Daily Sale entry '!$AA$1:$AA$1501,$J80+1)&lt;&gt;""),N(INDEX('Daily Sale entry '!$AC$1:$AC$1501,$J80+1))-TRUNC(N(INDEX('Daily Sale entry '!$AC$1:$AC$1501,$J80+1))),0),N(INDEX('Daily Sale entry '!$S$1:$S$1501,$J80-1499))-'Opening Balance'!$B$15*(N(INDEX('Daily Sale entry '!$S$1:$S$1501,$J80-1499))-TRUNC(N(INDEX('Daily Sale entry '!$S$1:$S$1501,$J80-1499))))))</f>
        <v/>
      </c>
      <c r="G80" s="6">
        <f>IF($J80="","",IF($J80&lt;=1500,N(INDEX('Daily Sale entry '!$AD$1:$AD$1501,$J80+1)),0))</f>
        <v/>
      </c>
      <c r="H80" s="6">
        <f>IF($J80="","",ROUND('Opening Balance'!$B$4+SUM($F$2:F80)-SUM($G$2:G80),2))</f>
        <v/>
      </c>
      <c r="J80" s="21">
        <f>IFERROR(MATCH(ROW()-1,$L$2:$L$3001,0),"")</f>
        <v/>
      </c>
      <c r="K80" s="34">
        <f>IF(AND('Daily Sale entry '!X80&lt;&gt;"",OR('Daily Sale entry '!AC80&lt;&gt;"",'Daily Sale entry '!AD80&lt;&gt;"")),'Daily Sale entry '!X80+ROW()/10000000,"")</f>
        <v/>
      </c>
      <c r="L80" s="21">
        <f>IF(K80="","",COUNTIF($K$2:$K$3001,"&lt;"&amp;K80)+1)</f>
        <v/>
      </c>
    </row>
    <row r="81">
      <c r="A81" s="5">
        <f>IF($J81="","",IF($J81&lt;=1500,INDEX('Daily Sale entry '!$X$1:$X$1501,$J81+1),INDEX('Daily Sale entry '!$V$1:$V$1501,$J81-1499)))</f>
        <v/>
      </c>
      <c r="B81">
        <f>IF($J81="","",IF($J81&lt;=1500,INDEX('Daily Sale entry '!$Y$1:$Y$1501,$J81+1)&amp;"","Buyer cheque banked 买家支票存入"&amp;IF(INDEX('Daily Sale entry '!$U$1:$U$1501,$J81-1499)="","", " - "&amp;INDEX('Daily Sale entry '!$U$1:$U$1501,$J81-1499))))</f>
        <v/>
      </c>
      <c r="C81">
        <f>IF($J81="","",IF($J81&lt;=1500,INDEX('Daily Sale entry '!$Z$1:$Z$1501,$J81+1)&amp;"","Cheque deposit 支票存入 (buyer 买家)"))</f>
        <v/>
      </c>
      <c r="D81">
        <f>IF($J81="","",IF($J81&lt;=1500,INDEX('Daily Sale entry '!$AA$1:$AA$1501,$J81+1)&amp;"",INDEX('Daily Sale entry '!$P$1:$P$1501,$J81-1499)&amp;""))</f>
        <v/>
      </c>
      <c r="E81">
        <f>IF($J81="","",IF($J81&lt;=1500,IF(N(INDEX('Daily Sale entry '!$AB$1:$AB$1501,$J81+1))=0,"",INDEX('Daily Sale entry '!$AB$1:$AB$1501,$J81+1)),1))</f>
        <v/>
      </c>
      <c r="F81" s="6">
        <f>IF($J81="","",IF($J81&lt;=1500,N(INDEX('Daily Sale entry '!$AC$1:$AC$1501,$J81+1))-IF(AND('Opening Balance'!$B$15=1,INDEX('Daily Sale entry '!$Z$1:$Z$1501,$J81+1)="Online collection 网上收款",INDEX('Daily Sale entry '!$AA$1:$AA$1501,$J81+1)&lt;&gt;""),N(INDEX('Daily Sale entry '!$AC$1:$AC$1501,$J81+1))-TRUNC(N(INDEX('Daily Sale entry '!$AC$1:$AC$1501,$J81+1))),0),N(INDEX('Daily Sale entry '!$S$1:$S$1501,$J81-1499))-'Opening Balance'!$B$15*(N(INDEX('Daily Sale entry '!$S$1:$S$1501,$J81-1499))-TRUNC(N(INDEX('Daily Sale entry '!$S$1:$S$1501,$J81-1499))))))</f>
        <v/>
      </c>
      <c r="G81" s="6">
        <f>IF($J81="","",IF($J81&lt;=1500,N(INDEX('Daily Sale entry '!$AD$1:$AD$1501,$J81+1)),0))</f>
        <v/>
      </c>
      <c r="H81" s="6">
        <f>IF($J81="","",ROUND('Opening Balance'!$B$4+SUM($F$2:F81)-SUM($G$2:G81),2))</f>
        <v/>
      </c>
      <c r="J81" s="21">
        <f>IFERROR(MATCH(ROW()-1,$L$2:$L$3001,0),"")</f>
        <v/>
      </c>
      <c r="K81" s="34">
        <f>IF(AND('Daily Sale entry '!X81&lt;&gt;"",OR('Daily Sale entry '!AC81&lt;&gt;"",'Daily Sale entry '!AD81&lt;&gt;"")),'Daily Sale entry '!X81+ROW()/10000000,"")</f>
        <v/>
      </c>
      <c r="L81" s="21">
        <f>IF(K81="","",COUNTIF($K$2:$K$3001,"&lt;"&amp;K81)+1)</f>
        <v/>
      </c>
    </row>
    <row r="82">
      <c r="A82" s="5">
        <f>IF($J82="","",IF($J82&lt;=1500,INDEX('Daily Sale entry '!$X$1:$X$1501,$J82+1),INDEX('Daily Sale entry '!$V$1:$V$1501,$J82-1499)))</f>
        <v/>
      </c>
      <c r="B82">
        <f>IF($J82="","",IF($J82&lt;=1500,INDEX('Daily Sale entry '!$Y$1:$Y$1501,$J82+1)&amp;"","Buyer cheque banked 买家支票存入"&amp;IF(INDEX('Daily Sale entry '!$U$1:$U$1501,$J82-1499)="","", " - "&amp;INDEX('Daily Sale entry '!$U$1:$U$1501,$J82-1499))))</f>
        <v/>
      </c>
      <c r="C82">
        <f>IF($J82="","",IF($J82&lt;=1500,INDEX('Daily Sale entry '!$Z$1:$Z$1501,$J82+1)&amp;"","Cheque deposit 支票存入 (buyer 买家)"))</f>
        <v/>
      </c>
      <c r="D82">
        <f>IF($J82="","",IF($J82&lt;=1500,INDEX('Daily Sale entry '!$AA$1:$AA$1501,$J82+1)&amp;"",INDEX('Daily Sale entry '!$P$1:$P$1501,$J82-1499)&amp;""))</f>
        <v/>
      </c>
      <c r="E82">
        <f>IF($J82="","",IF($J82&lt;=1500,IF(N(INDEX('Daily Sale entry '!$AB$1:$AB$1501,$J82+1))=0,"",INDEX('Daily Sale entry '!$AB$1:$AB$1501,$J82+1)),1))</f>
        <v/>
      </c>
      <c r="F82" s="6">
        <f>IF($J82="","",IF($J82&lt;=1500,N(INDEX('Daily Sale entry '!$AC$1:$AC$1501,$J82+1))-IF(AND('Opening Balance'!$B$15=1,INDEX('Daily Sale entry '!$Z$1:$Z$1501,$J82+1)="Online collection 网上收款",INDEX('Daily Sale entry '!$AA$1:$AA$1501,$J82+1)&lt;&gt;""),N(INDEX('Daily Sale entry '!$AC$1:$AC$1501,$J82+1))-TRUNC(N(INDEX('Daily Sale entry '!$AC$1:$AC$1501,$J82+1))),0),N(INDEX('Daily Sale entry '!$S$1:$S$1501,$J82-1499))-'Opening Balance'!$B$15*(N(INDEX('Daily Sale entry '!$S$1:$S$1501,$J82-1499))-TRUNC(N(INDEX('Daily Sale entry '!$S$1:$S$1501,$J82-1499))))))</f>
        <v/>
      </c>
      <c r="G82" s="6">
        <f>IF($J82="","",IF($J82&lt;=1500,N(INDEX('Daily Sale entry '!$AD$1:$AD$1501,$J82+1)),0))</f>
        <v/>
      </c>
      <c r="H82" s="6">
        <f>IF($J82="","",ROUND('Opening Balance'!$B$4+SUM($F$2:F82)-SUM($G$2:G82),2))</f>
        <v/>
      </c>
      <c r="J82" s="21">
        <f>IFERROR(MATCH(ROW()-1,$L$2:$L$3001,0),"")</f>
        <v/>
      </c>
      <c r="K82" s="34">
        <f>IF(AND('Daily Sale entry '!X82&lt;&gt;"",OR('Daily Sale entry '!AC82&lt;&gt;"",'Daily Sale entry '!AD82&lt;&gt;"")),'Daily Sale entry '!X82+ROW()/10000000,"")</f>
        <v/>
      </c>
      <c r="L82" s="21">
        <f>IF(K82="","",COUNTIF($K$2:$K$3001,"&lt;"&amp;K82)+1)</f>
        <v/>
      </c>
    </row>
    <row r="83">
      <c r="A83" s="5">
        <f>IF($J83="","",IF($J83&lt;=1500,INDEX('Daily Sale entry '!$X$1:$X$1501,$J83+1),INDEX('Daily Sale entry '!$V$1:$V$1501,$J83-1499)))</f>
        <v/>
      </c>
      <c r="B83">
        <f>IF($J83="","",IF($J83&lt;=1500,INDEX('Daily Sale entry '!$Y$1:$Y$1501,$J83+1)&amp;"","Buyer cheque banked 买家支票存入"&amp;IF(INDEX('Daily Sale entry '!$U$1:$U$1501,$J83-1499)="","", " - "&amp;INDEX('Daily Sale entry '!$U$1:$U$1501,$J83-1499))))</f>
        <v/>
      </c>
      <c r="C83">
        <f>IF($J83="","",IF($J83&lt;=1500,INDEX('Daily Sale entry '!$Z$1:$Z$1501,$J83+1)&amp;"","Cheque deposit 支票存入 (buyer 买家)"))</f>
        <v/>
      </c>
      <c r="D83">
        <f>IF($J83="","",IF($J83&lt;=1500,INDEX('Daily Sale entry '!$AA$1:$AA$1501,$J83+1)&amp;"",INDEX('Daily Sale entry '!$P$1:$P$1501,$J83-1499)&amp;""))</f>
        <v/>
      </c>
      <c r="E83">
        <f>IF($J83="","",IF($J83&lt;=1500,IF(N(INDEX('Daily Sale entry '!$AB$1:$AB$1501,$J83+1))=0,"",INDEX('Daily Sale entry '!$AB$1:$AB$1501,$J83+1)),1))</f>
        <v/>
      </c>
      <c r="F83" s="6">
        <f>IF($J83="","",IF($J83&lt;=1500,N(INDEX('Daily Sale entry '!$AC$1:$AC$1501,$J83+1))-IF(AND('Opening Balance'!$B$15=1,INDEX('Daily Sale entry '!$Z$1:$Z$1501,$J83+1)="Online collection 网上收款",INDEX('Daily Sale entry '!$AA$1:$AA$1501,$J83+1)&lt;&gt;""),N(INDEX('Daily Sale entry '!$AC$1:$AC$1501,$J83+1))-TRUNC(N(INDEX('Daily Sale entry '!$AC$1:$AC$1501,$J83+1))),0),N(INDEX('Daily Sale entry '!$S$1:$S$1501,$J83-1499))-'Opening Balance'!$B$15*(N(INDEX('Daily Sale entry '!$S$1:$S$1501,$J83-1499))-TRUNC(N(INDEX('Daily Sale entry '!$S$1:$S$1501,$J83-1499))))))</f>
        <v/>
      </c>
      <c r="G83" s="6">
        <f>IF($J83="","",IF($J83&lt;=1500,N(INDEX('Daily Sale entry '!$AD$1:$AD$1501,$J83+1)),0))</f>
        <v/>
      </c>
      <c r="H83" s="6">
        <f>IF($J83="","",ROUND('Opening Balance'!$B$4+SUM($F$2:F83)-SUM($G$2:G83),2))</f>
        <v/>
      </c>
      <c r="J83" s="21">
        <f>IFERROR(MATCH(ROW()-1,$L$2:$L$3001,0),"")</f>
        <v/>
      </c>
      <c r="K83" s="34">
        <f>IF(AND('Daily Sale entry '!X83&lt;&gt;"",OR('Daily Sale entry '!AC83&lt;&gt;"",'Daily Sale entry '!AD83&lt;&gt;"")),'Daily Sale entry '!X83+ROW()/10000000,"")</f>
        <v/>
      </c>
      <c r="L83" s="21">
        <f>IF(K83="","",COUNTIF($K$2:$K$3001,"&lt;"&amp;K83)+1)</f>
        <v/>
      </c>
    </row>
    <row r="84">
      <c r="A84" s="5">
        <f>IF($J84="","",IF($J84&lt;=1500,INDEX('Daily Sale entry '!$X$1:$X$1501,$J84+1),INDEX('Daily Sale entry '!$V$1:$V$1501,$J84-1499)))</f>
        <v/>
      </c>
      <c r="B84">
        <f>IF($J84="","",IF($J84&lt;=1500,INDEX('Daily Sale entry '!$Y$1:$Y$1501,$J84+1)&amp;"","Buyer cheque banked 买家支票存入"&amp;IF(INDEX('Daily Sale entry '!$U$1:$U$1501,$J84-1499)="","", " - "&amp;INDEX('Daily Sale entry '!$U$1:$U$1501,$J84-1499))))</f>
        <v/>
      </c>
      <c r="C84">
        <f>IF($J84="","",IF($J84&lt;=1500,INDEX('Daily Sale entry '!$Z$1:$Z$1501,$J84+1)&amp;"","Cheque deposit 支票存入 (buyer 买家)"))</f>
        <v/>
      </c>
      <c r="D84">
        <f>IF($J84="","",IF($J84&lt;=1500,INDEX('Daily Sale entry '!$AA$1:$AA$1501,$J84+1)&amp;"",INDEX('Daily Sale entry '!$P$1:$P$1501,$J84-1499)&amp;""))</f>
        <v/>
      </c>
      <c r="E84">
        <f>IF($J84="","",IF($J84&lt;=1500,IF(N(INDEX('Daily Sale entry '!$AB$1:$AB$1501,$J84+1))=0,"",INDEX('Daily Sale entry '!$AB$1:$AB$1501,$J84+1)),1))</f>
        <v/>
      </c>
      <c r="F84" s="6">
        <f>IF($J84="","",IF($J84&lt;=1500,N(INDEX('Daily Sale entry '!$AC$1:$AC$1501,$J84+1))-IF(AND('Opening Balance'!$B$15=1,INDEX('Daily Sale entry '!$Z$1:$Z$1501,$J84+1)="Online collection 网上收款",INDEX('Daily Sale entry '!$AA$1:$AA$1501,$J84+1)&lt;&gt;""),N(INDEX('Daily Sale entry '!$AC$1:$AC$1501,$J84+1))-TRUNC(N(INDEX('Daily Sale entry '!$AC$1:$AC$1501,$J84+1))),0),N(INDEX('Daily Sale entry '!$S$1:$S$1501,$J84-1499))-'Opening Balance'!$B$15*(N(INDEX('Daily Sale entry '!$S$1:$S$1501,$J84-1499))-TRUNC(N(INDEX('Daily Sale entry '!$S$1:$S$1501,$J84-1499))))))</f>
        <v/>
      </c>
      <c r="G84" s="6">
        <f>IF($J84="","",IF($J84&lt;=1500,N(INDEX('Daily Sale entry '!$AD$1:$AD$1501,$J84+1)),0))</f>
        <v/>
      </c>
      <c r="H84" s="6">
        <f>IF($J84="","",ROUND('Opening Balance'!$B$4+SUM($F$2:F84)-SUM($G$2:G84),2))</f>
        <v/>
      </c>
      <c r="J84" s="21">
        <f>IFERROR(MATCH(ROW()-1,$L$2:$L$3001,0),"")</f>
        <v/>
      </c>
      <c r="K84" s="34">
        <f>IF(AND('Daily Sale entry '!X84&lt;&gt;"",OR('Daily Sale entry '!AC84&lt;&gt;"",'Daily Sale entry '!AD84&lt;&gt;"")),'Daily Sale entry '!X84+ROW()/10000000,"")</f>
        <v/>
      </c>
      <c r="L84" s="21">
        <f>IF(K84="","",COUNTIF($K$2:$K$3001,"&lt;"&amp;K84)+1)</f>
        <v/>
      </c>
    </row>
    <row r="85">
      <c r="A85" s="5">
        <f>IF($J85="","",IF($J85&lt;=1500,INDEX('Daily Sale entry '!$X$1:$X$1501,$J85+1),INDEX('Daily Sale entry '!$V$1:$V$1501,$J85-1499)))</f>
        <v/>
      </c>
      <c r="B85">
        <f>IF($J85="","",IF($J85&lt;=1500,INDEX('Daily Sale entry '!$Y$1:$Y$1501,$J85+1)&amp;"","Buyer cheque banked 买家支票存入"&amp;IF(INDEX('Daily Sale entry '!$U$1:$U$1501,$J85-1499)="","", " - "&amp;INDEX('Daily Sale entry '!$U$1:$U$1501,$J85-1499))))</f>
        <v/>
      </c>
      <c r="C85">
        <f>IF($J85="","",IF($J85&lt;=1500,INDEX('Daily Sale entry '!$Z$1:$Z$1501,$J85+1)&amp;"","Cheque deposit 支票存入 (buyer 买家)"))</f>
        <v/>
      </c>
      <c r="D85">
        <f>IF($J85="","",IF($J85&lt;=1500,INDEX('Daily Sale entry '!$AA$1:$AA$1501,$J85+1)&amp;"",INDEX('Daily Sale entry '!$P$1:$P$1501,$J85-1499)&amp;""))</f>
        <v/>
      </c>
      <c r="E85">
        <f>IF($J85="","",IF($J85&lt;=1500,IF(N(INDEX('Daily Sale entry '!$AB$1:$AB$1501,$J85+1))=0,"",INDEX('Daily Sale entry '!$AB$1:$AB$1501,$J85+1)),1))</f>
        <v/>
      </c>
      <c r="F85" s="6">
        <f>IF($J85="","",IF($J85&lt;=1500,N(INDEX('Daily Sale entry '!$AC$1:$AC$1501,$J85+1))-IF(AND('Opening Balance'!$B$15=1,INDEX('Daily Sale entry '!$Z$1:$Z$1501,$J85+1)="Online collection 网上收款",INDEX('Daily Sale entry '!$AA$1:$AA$1501,$J85+1)&lt;&gt;""),N(INDEX('Daily Sale entry '!$AC$1:$AC$1501,$J85+1))-TRUNC(N(INDEX('Daily Sale entry '!$AC$1:$AC$1501,$J85+1))),0),N(INDEX('Daily Sale entry '!$S$1:$S$1501,$J85-1499))-'Opening Balance'!$B$15*(N(INDEX('Daily Sale entry '!$S$1:$S$1501,$J85-1499))-TRUNC(N(INDEX('Daily Sale entry '!$S$1:$S$1501,$J85-1499))))))</f>
        <v/>
      </c>
      <c r="G85" s="6">
        <f>IF($J85="","",IF($J85&lt;=1500,N(INDEX('Daily Sale entry '!$AD$1:$AD$1501,$J85+1)),0))</f>
        <v/>
      </c>
      <c r="H85" s="6">
        <f>IF($J85="","",ROUND('Opening Balance'!$B$4+SUM($F$2:F85)-SUM($G$2:G85),2))</f>
        <v/>
      </c>
      <c r="J85" s="21">
        <f>IFERROR(MATCH(ROW()-1,$L$2:$L$3001,0),"")</f>
        <v/>
      </c>
      <c r="K85" s="34">
        <f>IF(AND('Daily Sale entry '!X85&lt;&gt;"",OR('Daily Sale entry '!AC85&lt;&gt;"",'Daily Sale entry '!AD85&lt;&gt;"")),'Daily Sale entry '!X85+ROW()/10000000,"")</f>
        <v/>
      </c>
      <c r="L85" s="21">
        <f>IF(K85="","",COUNTIF($K$2:$K$3001,"&lt;"&amp;K85)+1)</f>
        <v/>
      </c>
    </row>
    <row r="86">
      <c r="A86" s="5">
        <f>IF($J86="","",IF($J86&lt;=1500,INDEX('Daily Sale entry '!$X$1:$X$1501,$J86+1),INDEX('Daily Sale entry '!$V$1:$V$1501,$J86-1499)))</f>
        <v/>
      </c>
      <c r="B86">
        <f>IF($J86="","",IF($J86&lt;=1500,INDEX('Daily Sale entry '!$Y$1:$Y$1501,$J86+1)&amp;"","Buyer cheque banked 买家支票存入"&amp;IF(INDEX('Daily Sale entry '!$U$1:$U$1501,$J86-1499)="","", " - "&amp;INDEX('Daily Sale entry '!$U$1:$U$1501,$J86-1499))))</f>
        <v/>
      </c>
      <c r="C86">
        <f>IF($J86="","",IF($J86&lt;=1500,INDEX('Daily Sale entry '!$Z$1:$Z$1501,$J86+1)&amp;"","Cheque deposit 支票存入 (buyer 买家)"))</f>
        <v/>
      </c>
      <c r="D86">
        <f>IF($J86="","",IF($J86&lt;=1500,INDEX('Daily Sale entry '!$AA$1:$AA$1501,$J86+1)&amp;"",INDEX('Daily Sale entry '!$P$1:$P$1501,$J86-1499)&amp;""))</f>
        <v/>
      </c>
      <c r="E86">
        <f>IF($J86="","",IF($J86&lt;=1500,IF(N(INDEX('Daily Sale entry '!$AB$1:$AB$1501,$J86+1))=0,"",INDEX('Daily Sale entry '!$AB$1:$AB$1501,$J86+1)),1))</f>
        <v/>
      </c>
      <c r="F86" s="6">
        <f>IF($J86="","",IF($J86&lt;=1500,N(INDEX('Daily Sale entry '!$AC$1:$AC$1501,$J86+1))-IF(AND('Opening Balance'!$B$15=1,INDEX('Daily Sale entry '!$Z$1:$Z$1501,$J86+1)="Online collection 网上收款",INDEX('Daily Sale entry '!$AA$1:$AA$1501,$J86+1)&lt;&gt;""),N(INDEX('Daily Sale entry '!$AC$1:$AC$1501,$J86+1))-TRUNC(N(INDEX('Daily Sale entry '!$AC$1:$AC$1501,$J86+1))),0),N(INDEX('Daily Sale entry '!$S$1:$S$1501,$J86-1499))-'Opening Balance'!$B$15*(N(INDEX('Daily Sale entry '!$S$1:$S$1501,$J86-1499))-TRUNC(N(INDEX('Daily Sale entry '!$S$1:$S$1501,$J86-1499))))))</f>
        <v/>
      </c>
      <c r="G86" s="6">
        <f>IF($J86="","",IF($J86&lt;=1500,N(INDEX('Daily Sale entry '!$AD$1:$AD$1501,$J86+1)),0))</f>
        <v/>
      </c>
      <c r="H86" s="6">
        <f>IF($J86="","",ROUND('Opening Balance'!$B$4+SUM($F$2:F86)-SUM($G$2:G86),2))</f>
        <v/>
      </c>
      <c r="J86" s="21">
        <f>IFERROR(MATCH(ROW()-1,$L$2:$L$3001,0),"")</f>
        <v/>
      </c>
      <c r="K86" s="34">
        <f>IF(AND('Daily Sale entry '!X86&lt;&gt;"",OR('Daily Sale entry '!AC86&lt;&gt;"",'Daily Sale entry '!AD86&lt;&gt;"")),'Daily Sale entry '!X86+ROW()/10000000,"")</f>
        <v/>
      </c>
      <c r="L86" s="21">
        <f>IF(K86="","",COUNTIF($K$2:$K$3001,"&lt;"&amp;K86)+1)</f>
        <v/>
      </c>
    </row>
    <row r="87">
      <c r="A87" s="5">
        <f>IF($J87="","",IF($J87&lt;=1500,INDEX('Daily Sale entry '!$X$1:$X$1501,$J87+1),INDEX('Daily Sale entry '!$V$1:$V$1501,$J87-1499)))</f>
        <v/>
      </c>
      <c r="B87">
        <f>IF($J87="","",IF($J87&lt;=1500,INDEX('Daily Sale entry '!$Y$1:$Y$1501,$J87+1)&amp;"","Buyer cheque banked 买家支票存入"&amp;IF(INDEX('Daily Sale entry '!$U$1:$U$1501,$J87-1499)="","", " - "&amp;INDEX('Daily Sale entry '!$U$1:$U$1501,$J87-1499))))</f>
        <v/>
      </c>
      <c r="C87">
        <f>IF($J87="","",IF($J87&lt;=1500,INDEX('Daily Sale entry '!$Z$1:$Z$1501,$J87+1)&amp;"","Cheque deposit 支票存入 (buyer 买家)"))</f>
        <v/>
      </c>
      <c r="D87">
        <f>IF($J87="","",IF($J87&lt;=1500,INDEX('Daily Sale entry '!$AA$1:$AA$1501,$J87+1)&amp;"",INDEX('Daily Sale entry '!$P$1:$P$1501,$J87-1499)&amp;""))</f>
        <v/>
      </c>
      <c r="E87">
        <f>IF($J87="","",IF($J87&lt;=1500,IF(N(INDEX('Daily Sale entry '!$AB$1:$AB$1501,$J87+1))=0,"",INDEX('Daily Sale entry '!$AB$1:$AB$1501,$J87+1)),1))</f>
        <v/>
      </c>
      <c r="F87" s="6">
        <f>IF($J87="","",IF($J87&lt;=1500,N(INDEX('Daily Sale entry '!$AC$1:$AC$1501,$J87+1))-IF(AND('Opening Balance'!$B$15=1,INDEX('Daily Sale entry '!$Z$1:$Z$1501,$J87+1)="Online collection 网上收款",INDEX('Daily Sale entry '!$AA$1:$AA$1501,$J87+1)&lt;&gt;""),N(INDEX('Daily Sale entry '!$AC$1:$AC$1501,$J87+1))-TRUNC(N(INDEX('Daily Sale entry '!$AC$1:$AC$1501,$J87+1))),0),N(INDEX('Daily Sale entry '!$S$1:$S$1501,$J87-1499))-'Opening Balance'!$B$15*(N(INDEX('Daily Sale entry '!$S$1:$S$1501,$J87-1499))-TRUNC(N(INDEX('Daily Sale entry '!$S$1:$S$1501,$J87-1499))))))</f>
        <v/>
      </c>
      <c r="G87" s="6">
        <f>IF($J87="","",IF($J87&lt;=1500,N(INDEX('Daily Sale entry '!$AD$1:$AD$1501,$J87+1)),0))</f>
        <v/>
      </c>
      <c r="H87" s="6">
        <f>IF($J87="","",ROUND('Opening Balance'!$B$4+SUM($F$2:F87)-SUM($G$2:G87),2))</f>
        <v/>
      </c>
      <c r="J87" s="21">
        <f>IFERROR(MATCH(ROW()-1,$L$2:$L$3001,0),"")</f>
        <v/>
      </c>
      <c r="K87" s="34">
        <f>IF(AND('Daily Sale entry '!X87&lt;&gt;"",OR('Daily Sale entry '!AC87&lt;&gt;"",'Daily Sale entry '!AD87&lt;&gt;"")),'Daily Sale entry '!X87+ROW()/10000000,"")</f>
        <v/>
      </c>
      <c r="L87" s="21">
        <f>IF(K87="","",COUNTIF($K$2:$K$3001,"&lt;"&amp;K87)+1)</f>
        <v/>
      </c>
    </row>
    <row r="88">
      <c r="A88" s="5">
        <f>IF($J88="","",IF($J88&lt;=1500,INDEX('Daily Sale entry '!$X$1:$X$1501,$J88+1),INDEX('Daily Sale entry '!$V$1:$V$1501,$J88-1499)))</f>
        <v/>
      </c>
      <c r="B88">
        <f>IF($J88="","",IF($J88&lt;=1500,INDEX('Daily Sale entry '!$Y$1:$Y$1501,$J88+1)&amp;"","Buyer cheque banked 买家支票存入"&amp;IF(INDEX('Daily Sale entry '!$U$1:$U$1501,$J88-1499)="","", " - "&amp;INDEX('Daily Sale entry '!$U$1:$U$1501,$J88-1499))))</f>
        <v/>
      </c>
      <c r="C88">
        <f>IF($J88="","",IF($J88&lt;=1500,INDEX('Daily Sale entry '!$Z$1:$Z$1501,$J88+1)&amp;"","Cheque deposit 支票存入 (buyer 买家)"))</f>
        <v/>
      </c>
      <c r="D88">
        <f>IF($J88="","",IF($J88&lt;=1500,INDEX('Daily Sale entry '!$AA$1:$AA$1501,$J88+1)&amp;"",INDEX('Daily Sale entry '!$P$1:$P$1501,$J88-1499)&amp;""))</f>
        <v/>
      </c>
      <c r="E88">
        <f>IF($J88="","",IF($J88&lt;=1500,IF(N(INDEX('Daily Sale entry '!$AB$1:$AB$1501,$J88+1))=0,"",INDEX('Daily Sale entry '!$AB$1:$AB$1501,$J88+1)),1))</f>
        <v/>
      </c>
      <c r="F88" s="6">
        <f>IF($J88="","",IF($J88&lt;=1500,N(INDEX('Daily Sale entry '!$AC$1:$AC$1501,$J88+1))-IF(AND('Opening Balance'!$B$15=1,INDEX('Daily Sale entry '!$Z$1:$Z$1501,$J88+1)="Online collection 网上收款",INDEX('Daily Sale entry '!$AA$1:$AA$1501,$J88+1)&lt;&gt;""),N(INDEX('Daily Sale entry '!$AC$1:$AC$1501,$J88+1))-TRUNC(N(INDEX('Daily Sale entry '!$AC$1:$AC$1501,$J88+1))),0),N(INDEX('Daily Sale entry '!$S$1:$S$1501,$J88-1499))-'Opening Balance'!$B$15*(N(INDEX('Daily Sale entry '!$S$1:$S$1501,$J88-1499))-TRUNC(N(INDEX('Daily Sale entry '!$S$1:$S$1501,$J88-1499))))))</f>
        <v/>
      </c>
      <c r="G88" s="6">
        <f>IF($J88="","",IF($J88&lt;=1500,N(INDEX('Daily Sale entry '!$AD$1:$AD$1501,$J88+1)),0))</f>
        <v/>
      </c>
      <c r="H88" s="6">
        <f>IF($J88="","",ROUND('Opening Balance'!$B$4+SUM($F$2:F88)-SUM($G$2:G88),2))</f>
        <v/>
      </c>
      <c r="J88" s="21">
        <f>IFERROR(MATCH(ROW()-1,$L$2:$L$3001,0),"")</f>
        <v/>
      </c>
      <c r="K88" s="34">
        <f>IF(AND('Daily Sale entry '!X88&lt;&gt;"",OR('Daily Sale entry '!AC88&lt;&gt;"",'Daily Sale entry '!AD88&lt;&gt;"")),'Daily Sale entry '!X88+ROW()/10000000,"")</f>
        <v/>
      </c>
      <c r="L88" s="21">
        <f>IF(K88="","",COUNTIF($K$2:$K$3001,"&lt;"&amp;K88)+1)</f>
        <v/>
      </c>
    </row>
    <row r="89">
      <c r="A89" s="5">
        <f>IF($J89="","",IF($J89&lt;=1500,INDEX('Daily Sale entry '!$X$1:$X$1501,$J89+1),INDEX('Daily Sale entry '!$V$1:$V$1501,$J89-1499)))</f>
        <v/>
      </c>
      <c r="B89">
        <f>IF($J89="","",IF($J89&lt;=1500,INDEX('Daily Sale entry '!$Y$1:$Y$1501,$J89+1)&amp;"","Buyer cheque banked 买家支票存入"&amp;IF(INDEX('Daily Sale entry '!$U$1:$U$1501,$J89-1499)="","", " - "&amp;INDEX('Daily Sale entry '!$U$1:$U$1501,$J89-1499))))</f>
        <v/>
      </c>
      <c r="C89">
        <f>IF($J89="","",IF($J89&lt;=1500,INDEX('Daily Sale entry '!$Z$1:$Z$1501,$J89+1)&amp;"","Cheque deposit 支票存入 (buyer 买家)"))</f>
        <v/>
      </c>
      <c r="D89">
        <f>IF($J89="","",IF($J89&lt;=1500,INDEX('Daily Sale entry '!$AA$1:$AA$1501,$J89+1)&amp;"",INDEX('Daily Sale entry '!$P$1:$P$1501,$J89-1499)&amp;""))</f>
        <v/>
      </c>
      <c r="E89">
        <f>IF($J89="","",IF($J89&lt;=1500,IF(N(INDEX('Daily Sale entry '!$AB$1:$AB$1501,$J89+1))=0,"",INDEX('Daily Sale entry '!$AB$1:$AB$1501,$J89+1)),1))</f>
        <v/>
      </c>
      <c r="F89" s="6">
        <f>IF($J89="","",IF($J89&lt;=1500,N(INDEX('Daily Sale entry '!$AC$1:$AC$1501,$J89+1))-IF(AND('Opening Balance'!$B$15=1,INDEX('Daily Sale entry '!$Z$1:$Z$1501,$J89+1)="Online collection 网上收款",INDEX('Daily Sale entry '!$AA$1:$AA$1501,$J89+1)&lt;&gt;""),N(INDEX('Daily Sale entry '!$AC$1:$AC$1501,$J89+1))-TRUNC(N(INDEX('Daily Sale entry '!$AC$1:$AC$1501,$J89+1))),0),N(INDEX('Daily Sale entry '!$S$1:$S$1501,$J89-1499))-'Opening Balance'!$B$15*(N(INDEX('Daily Sale entry '!$S$1:$S$1501,$J89-1499))-TRUNC(N(INDEX('Daily Sale entry '!$S$1:$S$1501,$J89-1499))))))</f>
        <v/>
      </c>
      <c r="G89" s="6">
        <f>IF($J89="","",IF($J89&lt;=1500,N(INDEX('Daily Sale entry '!$AD$1:$AD$1501,$J89+1)),0))</f>
        <v/>
      </c>
      <c r="H89" s="6">
        <f>IF($J89="","",ROUND('Opening Balance'!$B$4+SUM($F$2:F89)-SUM($G$2:G89),2))</f>
        <v/>
      </c>
      <c r="J89" s="21">
        <f>IFERROR(MATCH(ROW()-1,$L$2:$L$3001,0),"")</f>
        <v/>
      </c>
      <c r="K89" s="34">
        <f>IF(AND('Daily Sale entry '!X89&lt;&gt;"",OR('Daily Sale entry '!AC89&lt;&gt;"",'Daily Sale entry '!AD89&lt;&gt;"")),'Daily Sale entry '!X89+ROW()/10000000,"")</f>
        <v/>
      </c>
      <c r="L89" s="21">
        <f>IF(K89="","",COUNTIF($K$2:$K$3001,"&lt;"&amp;K89)+1)</f>
        <v/>
      </c>
    </row>
    <row r="90">
      <c r="A90" s="5">
        <f>IF($J90="","",IF($J90&lt;=1500,INDEX('Daily Sale entry '!$X$1:$X$1501,$J90+1),INDEX('Daily Sale entry '!$V$1:$V$1501,$J90-1499)))</f>
        <v/>
      </c>
      <c r="B90">
        <f>IF($J90="","",IF($J90&lt;=1500,INDEX('Daily Sale entry '!$Y$1:$Y$1501,$J90+1)&amp;"","Buyer cheque banked 买家支票存入"&amp;IF(INDEX('Daily Sale entry '!$U$1:$U$1501,$J90-1499)="","", " - "&amp;INDEX('Daily Sale entry '!$U$1:$U$1501,$J90-1499))))</f>
        <v/>
      </c>
      <c r="C90">
        <f>IF($J90="","",IF($J90&lt;=1500,INDEX('Daily Sale entry '!$Z$1:$Z$1501,$J90+1)&amp;"","Cheque deposit 支票存入 (buyer 买家)"))</f>
        <v/>
      </c>
      <c r="D90">
        <f>IF($J90="","",IF($J90&lt;=1500,INDEX('Daily Sale entry '!$AA$1:$AA$1501,$J90+1)&amp;"",INDEX('Daily Sale entry '!$P$1:$P$1501,$J90-1499)&amp;""))</f>
        <v/>
      </c>
      <c r="E90">
        <f>IF($J90="","",IF($J90&lt;=1500,IF(N(INDEX('Daily Sale entry '!$AB$1:$AB$1501,$J90+1))=0,"",INDEX('Daily Sale entry '!$AB$1:$AB$1501,$J90+1)),1))</f>
        <v/>
      </c>
      <c r="F90" s="6">
        <f>IF($J90="","",IF($J90&lt;=1500,N(INDEX('Daily Sale entry '!$AC$1:$AC$1501,$J90+1))-IF(AND('Opening Balance'!$B$15=1,INDEX('Daily Sale entry '!$Z$1:$Z$1501,$J90+1)="Online collection 网上收款",INDEX('Daily Sale entry '!$AA$1:$AA$1501,$J90+1)&lt;&gt;""),N(INDEX('Daily Sale entry '!$AC$1:$AC$1501,$J90+1))-TRUNC(N(INDEX('Daily Sale entry '!$AC$1:$AC$1501,$J90+1))),0),N(INDEX('Daily Sale entry '!$S$1:$S$1501,$J90-1499))-'Opening Balance'!$B$15*(N(INDEX('Daily Sale entry '!$S$1:$S$1501,$J90-1499))-TRUNC(N(INDEX('Daily Sale entry '!$S$1:$S$1501,$J90-1499))))))</f>
        <v/>
      </c>
      <c r="G90" s="6">
        <f>IF($J90="","",IF($J90&lt;=1500,N(INDEX('Daily Sale entry '!$AD$1:$AD$1501,$J90+1)),0))</f>
        <v/>
      </c>
      <c r="H90" s="6">
        <f>IF($J90="","",ROUND('Opening Balance'!$B$4+SUM($F$2:F90)-SUM($G$2:G90),2))</f>
        <v/>
      </c>
      <c r="J90" s="21">
        <f>IFERROR(MATCH(ROW()-1,$L$2:$L$3001,0),"")</f>
        <v/>
      </c>
      <c r="K90" s="34">
        <f>IF(AND('Daily Sale entry '!X90&lt;&gt;"",OR('Daily Sale entry '!AC90&lt;&gt;"",'Daily Sale entry '!AD90&lt;&gt;"")),'Daily Sale entry '!X90+ROW()/10000000,"")</f>
        <v/>
      </c>
      <c r="L90" s="21">
        <f>IF(K90="","",COUNTIF($K$2:$K$3001,"&lt;"&amp;K90)+1)</f>
        <v/>
      </c>
    </row>
    <row r="91">
      <c r="A91" s="5">
        <f>IF($J91="","",IF($J91&lt;=1500,INDEX('Daily Sale entry '!$X$1:$X$1501,$J91+1),INDEX('Daily Sale entry '!$V$1:$V$1501,$J91-1499)))</f>
        <v/>
      </c>
      <c r="B91">
        <f>IF($J91="","",IF($J91&lt;=1500,INDEX('Daily Sale entry '!$Y$1:$Y$1501,$J91+1)&amp;"","Buyer cheque banked 买家支票存入"&amp;IF(INDEX('Daily Sale entry '!$U$1:$U$1501,$J91-1499)="","", " - "&amp;INDEX('Daily Sale entry '!$U$1:$U$1501,$J91-1499))))</f>
        <v/>
      </c>
      <c r="C91">
        <f>IF($J91="","",IF($J91&lt;=1500,INDEX('Daily Sale entry '!$Z$1:$Z$1501,$J91+1)&amp;"","Cheque deposit 支票存入 (buyer 买家)"))</f>
        <v/>
      </c>
      <c r="D91">
        <f>IF($J91="","",IF($J91&lt;=1500,INDEX('Daily Sale entry '!$AA$1:$AA$1501,$J91+1)&amp;"",INDEX('Daily Sale entry '!$P$1:$P$1501,$J91-1499)&amp;""))</f>
        <v/>
      </c>
      <c r="E91">
        <f>IF($J91="","",IF($J91&lt;=1500,IF(N(INDEX('Daily Sale entry '!$AB$1:$AB$1501,$J91+1))=0,"",INDEX('Daily Sale entry '!$AB$1:$AB$1501,$J91+1)),1))</f>
        <v/>
      </c>
      <c r="F91" s="6">
        <f>IF($J91="","",IF($J91&lt;=1500,N(INDEX('Daily Sale entry '!$AC$1:$AC$1501,$J91+1))-IF(AND('Opening Balance'!$B$15=1,INDEX('Daily Sale entry '!$Z$1:$Z$1501,$J91+1)="Online collection 网上收款",INDEX('Daily Sale entry '!$AA$1:$AA$1501,$J91+1)&lt;&gt;""),N(INDEX('Daily Sale entry '!$AC$1:$AC$1501,$J91+1))-TRUNC(N(INDEX('Daily Sale entry '!$AC$1:$AC$1501,$J91+1))),0),N(INDEX('Daily Sale entry '!$S$1:$S$1501,$J91-1499))-'Opening Balance'!$B$15*(N(INDEX('Daily Sale entry '!$S$1:$S$1501,$J91-1499))-TRUNC(N(INDEX('Daily Sale entry '!$S$1:$S$1501,$J91-1499))))))</f>
        <v/>
      </c>
      <c r="G91" s="6">
        <f>IF($J91="","",IF($J91&lt;=1500,N(INDEX('Daily Sale entry '!$AD$1:$AD$1501,$J91+1)),0))</f>
        <v/>
      </c>
      <c r="H91" s="6">
        <f>IF($J91="","",ROUND('Opening Balance'!$B$4+SUM($F$2:F91)-SUM($G$2:G91),2))</f>
        <v/>
      </c>
      <c r="J91" s="21">
        <f>IFERROR(MATCH(ROW()-1,$L$2:$L$3001,0),"")</f>
        <v/>
      </c>
      <c r="K91" s="34">
        <f>IF(AND('Daily Sale entry '!X91&lt;&gt;"",OR('Daily Sale entry '!AC91&lt;&gt;"",'Daily Sale entry '!AD91&lt;&gt;"")),'Daily Sale entry '!X91+ROW()/10000000,"")</f>
        <v/>
      </c>
      <c r="L91" s="21">
        <f>IF(K91="","",COUNTIF($K$2:$K$3001,"&lt;"&amp;K91)+1)</f>
        <v/>
      </c>
    </row>
    <row r="92">
      <c r="A92" s="5">
        <f>IF($J92="","",IF($J92&lt;=1500,INDEX('Daily Sale entry '!$X$1:$X$1501,$J92+1),INDEX('Daily Sale entry '!$V$1:$V$1501,$J92-1499)))</f>
        <v/>
      </c>
      <c r="B92">
        <f>IF($J92="","",IF($J92&lt;=1500,INDEX('Daily Sale entry '!$Y$1:$Y$1501,$J92+1)&amp;"","Buyer cheque banked 买家支票存入"&amp;IF(INDEX('Daily Sale entry '!$U$1:$U$1501,$J92-1499)="","", " - "&amp;INDEX('Daily Sale entry '!$U$1:$U$1501,$J92-1499))))</f>
        <v/>
      </c>
      <c r="C92">
        <f>IF($J92="","",IF($J92&lt;=1500,INDEX('Daily Sale entry '!$Z$1:$Z$1501,$J92+1)&amp;"","Cheque deposit 支票存入 (buyer 买家)"))</f>
        <v/>
      </c>
      <c r="D92">
        <f>IF($J92="","",IF($J92&lt;=1500,INDEX('Daily Sale entry '!$AA$1:$AA$1501,$J92+1)&amp;"",INDEX('Daily Sale entry '!$P$1:$P$1501,$J92-1499)&amp;""))</f>
        <v/>
      </c>
      <c r="E92">
        <f>IF($J92="","",IF($J92&lt;=1500,IF(N(INDEX('Daily Sale entry '!$AB$1:$AB$1501,$J92+1))=0,"",INDEX('Daily Sale entry '!$AB$1:$AB$1501,$J92+1)),1))</f>
        <v/>
      </c>
      <c r="F92" s="6">
        <f>IF($J92="","",IF($J92&lt;=1500,N(INDEX('Daily Sale entry '!$AC$1:$AC$1501,$J92+1))-IF(AND('Opening Balance'!$B$15=1,INDEX('Daily Sale entry '!$Z$1:$Z$1501,$J92+1)="Online collection 网上收款",INDEX('Daily Sale entry '!$AA$1:$AA$1501,$J92+1)&lt;&gt;""),N(INDEX('Daily Sale entry '!$AC$1:$AC$1501,$J92+1))-TRUNC(N(INDEX('Daily Sale entry '!$AC$1:$AC$1501,$J92+1))),0),N(INDEX('Daily Sale entry '!$S$1:$S$1501,$J92-1499))-'Opening Balance'!$B$15*(N(INDEX('Daily Sale entry '!$S$1:$S$1501,$J92-1499))-TRUNC(N(INDEX('Daily Sale entry '!$S$1:$S$1501,$J92-1499))))))</f>
        <v/>
      </c>
      <c r="G92" s="6">
        <f>IF($J92="","",IF($J92&lt;=1500,N(INDEX('Daily Sale entry '!$AD$1:$AD$1501,$J92+1)),0))</f>
        <v/>
      </c>
      <c r="H92" s="6">
        <f>IF($J92="","",ROUND('Opening Balance'!$B$4+SUM($F$2:F92)-SUM($G$2:G92),2))</f>
        <v/>
      </c>
      <c r="J92" s="21">
        <f>IFERROR(MATCH(ROW()-1,$L$2:$L$3001,0),"")</f>
        <v/>
      </c>
      <c r="K92" s="34">
        <f>IF(AND('Daily Sale entry '!X92&lt;&gt;"",OR('Daily Sale entry '!AC92&lt;&gt;"",'Daily Sale entry '!AD92&lt;&gt;"")),'Daily Sale entry '!X92+ROW()/10000000,"")</f>
        <v/>
      </c>
      <c r="L92" s="21">
        <f>IF(K92="","",COUNTIF($K$2:$K$3001,"&lt;"&amp;K92)+1)</f>
        <v/>
      </c>
    </row>
    <row r="93">
      <c r="A93" s="5">
        <f>IF($J93="","",IF($J93&lt;=1500,INDEX('Daily Sale entry '!$X$1:$X$1501,$J93+1),INDEX('Daily Sale entry '!$V$1:$V$1501,$J93-1499)))</f>
        <v/>
      </c>
      <c r="B93">
        <f>IF($J93="","",IF($J93&lt;=1500,INDEX('Daily Sale entry '!$Y$1:$Y$1501,$J93+1)&amp;"","Buyer cheque banked 买家支票存入"&amp;IF(INDEX('Daily Sale entry '!$U$1:$U$1501,$J93-1499)="","", " - "&amp;INDEX('Daily Sale entry '!$U$1:$U$1501,$J93-1499))))</f>
        <v/>
      </c>
      <c r="C93">
        <f>IF($J93="","",IF($J93&lt;=1500,INDEX('Daily Sale entry '!$Z$1:$Z$1501,$J93+1)&amp;"","Cheque deposit 支票存入 (buyer 买家)"))</f>
        <v/>
      </c>
      <c r="D93">
        <f>IF($J93="","",IF($J93&lt;=1500,INDEX('Daily Sale entry '!$AA$1:$AA$1501,$J93+1)&amp;"",INDEX('Daily Sale entry '!$P$1:$P$1501,$J93-1499)&amp;""))</f>
        <v/>
      </c>
      <c r="E93">
        <f>IF($J93="","",IF($J93&lt;=1500,IF(N(INDEX('Daily Sale entry '!$AB$1:$AB$1501,$J93+1))=0,"",INDEX('Daily Sale entry '!$AB$1:$AB$1501,$J93+1)),1))</f>
        <v/>
      </c>
      <c r="F93" s="6">
        <f>IF($J93="","",IF($J93&lt;=1500,N(INDEX('Daily Sale entry '!$AC$1:$AC$1501,$J93+1))-IF(AND('Opening Balance'!$B$15=1,INDEX('Daily Sale entry '!$Z$1:$Z$1501,$J93+1)="Online collection 网上收款",INDEX('Daily Sale entry '!$AA$1:$AA$1501,$J93+1)&lt;&gt;""),N(INDEX('Daily Sale entry '!$AC$1:$AC$1501,$J93+1))-TRUNC(N(INDEX('Daily Sale entry '!$AC$1:$AC$1501,$J93+1))),0),N(INDEX('Daily Sale entry '!$S$1:$S$1501,$J93-1499))-'Opening Balance'!$B$15*(N(INDEX('Daily Sale entry '!$S$1:$S$1501,$J93-1499))-TRUNC(N(INDEX('Daily Sale entry '!$S$1:$S$1501,$J93-1499))))))</f>
        <v/>
      </c>
      <c r="G93" s="6">
        <f>IF($J93="","",IF($J93&lt;=1500,N(INDEX('Daily Sale entry '!$AD$1:$AD$1501,$J93+1)),0))</f>
        <v/>
      </c>
      <c r="H93" s="6">
        <f>IF($J93="","",ROUND('Opening Balance'!$B$4+SUM($F$2:F93)-SUM($G$2:G93),2))</f>
        <v/>
      </c>
      <c r="J93" s="21">
        <f>IFERROR(MATCH(ROW()-1,$L$2:$L$3001,0),"")</f>
        <v/>
      </c>
      <c r="K93" s="34">
        <f>IF(AND('Daily Sale entry '!X93&lt;&gt;"",OR('Daily Sale entry '!AC93&lt;&gt;"",'Daily Sale entry '!AD93&lt;&gt;"")),'Daily Sale entry '!X93+ROW()/10000000,"")</f>
        <v/>
      </c>
      <c r="L93" s="21">
        <f>IF(K93="","",COUNTIF($K$2:$K$3001,"&lt;"&amp;K93)+1)</f>
        <v/>
      </c>
    </row>
    <row r="94">
      <c r="A94" s="5">
        <f>IF($J94="","",IF($J94&lt;=1500,INDEX('Daily Sale entry '!$X$1:$X$1501,$J94+1),INDEX('Daily Sale entry '!$V$1:$V$1501,$J94-1499)))</f>
        <v/>
      </c>
      <c r="B94">
        <f>IF($J94="","",IF($J94&lt;=1500,INDEX('Daily Sale entry '!$Y$1:$Y$1501,$J94+1)&amp;"","Buyer cheque banked 买家支票存入"&amp;IF(INDEX('Daily Sale entry '!$U$1:$U$1501,$J94-1499)="","", " - "&amp;INDEX('Daily Sale entry '!$U$1:$U$1501,$J94-1499))))</f>
        <v/>
      </c>
      <c r="C94">
        <f>IF($J94="","",IF($J94&lt;=1500,INDEX('Daily Sale entry '!$Z$1:$Z$1501,$J94+1)&amp;"","Cheque deposit 支票存入 (buyer 买家)"))</f>
        <v/>
      </c>
      <c r="D94">
        <f>IF($J94="","",IF($J94&lt;=1500,INDEX('Daily Sale entry '!$AA$1:$AA$1501,$J94+1)&amp;"",INDEX('Daily Sale entry '!$P$1:$P$1501,$J94-1499)&amp;""))</f>
        <v/>
      </c>
      <c r="E94">
        <f>IF($J94="","",IF($J94&lt;=1500,IF(N(INDEX('Daily Sale entry '!$AB$1:$AB$1501,$J94+1))=0,"",INDEX('Daily Sale entry '!$AB$1:$AB$1501,$J94+1)),1))</f>
        <v/>
      </c>
      <c r="F94" s="6">
        <f>IF($J94="","",IF($J94&lt;=1500,N(INDEX('Daily Sale entry '!$AC$1:$AC$1501,$J94+1))-IF(AND('Opening Balance'!$B$15=1,INDEX('Daily Sale entry '!$Z$1:$Z$1501,$J94+1)="Online collection 网上收款",INDEX('Daily Sale entry '!$AA$1:$AA$1501,$J94+1)&lt;&gt;""),N(INDEX('Daily Sale entry '!$AC$1:$AC$1501,$J94+1))-TRUNC(N(INDEX('Daily Sale entry '!$AC$1:$AC$1501,$J94+1))),0),N(INDEX('Daily Sale entry '!$S$1:$S$1501,$J94-1499))-'Opening Balance'!$B$15*(N(INDEX('Daily Sale entry '!$S$1:$S$1501,$J94-1499))-TRUNC(N(INDEX('Daily Sale entry '!$S$1:$S$1501,$J94-1499))))))</f>
        <v/>
      </c>
      <c r="G94" s="6">
        <f>IF($J94="","",IF($J94&lt;=1500,N(INDEX('Daily Sale entry '!$AD$1:$AD$1501,$J94+1)),0))</f>
        <v/>
      </c>
      <c r="H94" s="6">
        <f>IF($J94="","",ROUND('Opening Balance'!$B$4+SUM($F$2:F94)-SUM($G$2:G94),2))</f>
        <v/>
      </c>
      <c r="J94" s="21">
        <f>IFERROR(MATCH(ROW()-1,$L$2:$L$3001,0),"")</f>
        <v/>
      </c>
      <c r="K94" s="34">
        <f>IF(AND('Daily Sale entry '!X94&lt;&gt;"",OR('Daily Sale entry '!AC94&lt;&gt;"",'Daily Sale entry '!AD94&lt;&gt;"")),'Daily Sale entry '!X94+ROW()/10000000,"")</f>
        <v/>
      </c>
      <c r="L94" s="21">
        <f>IF(K94="","",COUNTIF($K$2:$K$3001,"&lt;"&amp;K94)+1)</f>
        <v/>
      </c>
    </row>
    <row r="95">
      <c r="A95" s="5">
        <f>IF($J95="","",IF($J95&lt;=1500,INDEX('Daily Sale entry '!$X$1:$X$1501,$J95+1),INDEX('Daily Sale entry '!$V$1:$V$1501,$J95-1499)))</f>
        <v/>
      </c>
      <c r="B95">
        <f>IF($J95="","",IF($J95&lt;=1500,INDEX('Daily Sale entry '!$Y$1:$Y$1501,$J95+1)&amp;"","Buyer cheque banked 买家支票存入"&amp;IF(INDEX('Daily Sale entry '!$U$1:$U$1501,$J95-1499)="","", " - "&amp;INDEX('Daily Sale entry '!$U$1:$U$1501,$J95-1499))))</f>
        <v/>
      </c>
      <c r="C95">
        <f>IF($J95="","",IF($J95&lt;=1500,INDEX('Daily Sale entry '!$Z$1:$Z$1501,$J95+1)&amp;"","Cheque deposit 支票存入 (buyer 买家)"))</f>
        <v/>
      </c>
      <c r="D95">
        <f>IF($J95="","",IF($J95&lt;=1500,INDEX('Daily Sale entry '!$AA$1:$AA$1501,$J95+1)&amp;"",INDEX('Daily Sale entry '!$P$1:$P$1501,$J95-1499)&amp;""))</f>
        <v/>
      </c>
      <c r="E95">
        <f>IF($J95="","",IF($J95&lt;=1500,IF(N(INDEX('Daily Sale entry '!$AB$1:$AB$1501,$J95+1))=0,"",INDEX('Daily Sale entry '!$AB$1:$AB$1501,$J95+1)),1))</f>
        <v/>
      </c>
      <c r="F95" s="6">
        <f>IF($J95="","",IF($J95&lt;=1500,N(INDEX('Daily Sale entry '!$AC$1:$AC$1501,$J95+1))-IF(AND('Opening Balance'!$B$15=1,INDEX('Daily Sale entry '!$Z$1:$Z$1501,$J95+1)="Online collection 网上收款",INDEX('Daily Sale entry '!$AA$1:$AA$1501,$J95+1)&lt;&gt;""),N(INDEX('Daily Sale entry '!$AC$1:$AC$1501,$J95+1))-TRUNC(N(INDEX('Daily Sale entry '!$AC$1:$AC$1501,$J95+1))),0),N(INDEX('Daily Sale entry '!$S$1:$S$1501,$J95-1499))-'Opening Balance'!$B$15*(N(INDEX('Daily Sale entry '!$S$1:$S$1501,$J95-1499))-TRUNC(N(INDEX('Daily Sale entry '!$S$1:$S$1501,$J95-1499))))))</f>
        <v/>
      </c>
      <c r="G95" s="6">
        <f>IF($J95="","",IF($J95&lt;=1500,N(INDEX('Daily Sale entry '!$AD$1:$AD$1501,$J95+1)),0))</f>
        <v/>
      </c>
      <c r="H95" s="6">
        <f>IF($J95="","",ROUND('Opening Balance'!$B$4+SUM($F$2:F95)-SUM($G$2:G95),2))</f>
        <v/>
      </c>
      <c r="J95" s="21">
        <f>IFERROR(MATCH(ROW()-1,$L$2:$L$3001,0),"")</f>
        <v/>
      </c>
      <c r="K95" s="34">
        <f>IF(AND('Daily Sale entry '!X95&lt;&gt;"",OR('Daily Sale entry '!AC95&lt;&gt;"",'Daily Sale entry '!AD95&lt;&gt;"")),'Daily Sale entry '!X95+ROW()/10000000,"")</f>
        <v/>
      </c>
      <c r="L95" s="21">
        <f>IF(K95="","",COUNTIF($K$2:$K$3001,"&lt;"&amp;K95)+1)</f>
        <v/>
      </c>
    </row>
    <row r="96">
      <c r="A96" s="5">
        <f>IF($J96="","",IF($J96&lt;=1500,INDEX('Daily Sale entry '!$X$1:$X$1501,$J96+1),INDEX('Daily Sale entry '!$V$1:$V$1501,$J96-1499)))</f>
        <v/>
      </c>
      <c r="B96">
        <f>IF($J96="","",IF($J96&lt;=1500,INDEX('Daily Sale entry '!$Y$1:$Y$1501,$J96+1)&amp;"","Buyer cheque banked 买家支票存入"&amp;IF(INDEX('Daily Sale entry '!$U$1:$U$1501,$J96-1499)="","", " - "&amp;INDEX('Daily Sale entry '!$U$1:$U$1501,$J96-1499))))</f>
        <v/>
      </c>
      <c r="C96">
        <f>IF($J96="","",IF($J96&lt;=1500,INDEX('Daily Sale entry '!$Z$1:$Z$1501,$J96+1)&amp;"","Cheque deposit 支票存入 (buyer 买家)"))</f>
        <v/>
      </c>
      <c r="D96">
        <f>IF($J96="","",IF($J96&lt;=1500,INDEX('Daily Sale entry '!$AA$1:$AA$1501,$J96+1)&amp;"",INDEX('Daily Sale entry '!$P$1:$P$1501,$J96-1499)&amp;""))</f>
        <v/>
      </c>
      <c r="E96">
        <f>IF($J96="","",IF($J96&lt;=1500,IF(N(INDEX('Daily Sale entry '!$AB$1:$AB$1501,$J96+1))=0,"",INDEX('Daily Sale entry '!$AB$1:$AB$1501,$J96+1)),1))</f>
        <v/>
      </c>
      <c r="F96" s="6">
        <f>IF($J96="","",IF($J96&lt;=1500,N(INDEX('Daily Sale entry '!$AC$1:$AC$1501,$J96+1))-IF(AND('Opening Balance'!$B$15=1,INDEX('Daily Sale entry '!$Z$1:$Z$1501,$J96+1)="Online collection 网上收款",INDEX('Daily Sale entry '!$AA$1:$AA$1501,$J96+1)&lt;&gt;""),N(INDEX('Daily Sale entry '!$AC$1:$AC$1501,$J96+1))-TRUNC(N(INDEX('Daily Sale entry '!$AC$1:$AC$1501,$J96+1))),0),N(INDEX('Daily Sale entry '!$S$1:$S$1501,$J96-1499))-'Opening Balance'!$B$15*(N(INDEX('Daily Sale entry '!$S$1:$S$1501,$J96-1499))-TRUNC(N(INDEX('Daily Sale entry '!$S$1:$S$1501,$J96-1499))))))</f>
        <v/>
      </c>
      <c r="G96" s="6">
        <f>IF($J96="","",IF($J96&lt;=1500,N(INDEX('Daily Sale entry '!$AD$1:$AD$1501,$J96+1)),0))</f>
        <v/>
      </c>
      <c r="H96" s="6">
        <f>IF($J96="","",ROUND('Opening Balance'!$B$4+SUM($F$2:F96)-SUM($G$2:G96),2))</f>
        <v/>
      </c>
      <c r="J96" s="21">
        <f>IFERROR(MATCH(ROW()-1,$L$2:$L$3001,0),"")</f>
        <v/>
      </c>
      <c r="K96" s="34">
        <f>IF(AND('Daily Sale entry '!X96&lt;&gt;"",OR('Daily Sale entry '!AC96&lt;&gt;"",'Daily Sale entry '!AD96&lt;&gt;"")),'Daily Sale entry '!X96+ROW()/10000000,"")</f>
        <v/>
      </c>
      <c r="L96" s="21">
        <f>IF(K96="","",COUNTIF($K$2:$K$3001,"&lt;"&amp;K96)+1)</f>
        <v/>
      </c>
    </row>
    <row r="97">
      <c r="A97" s="5">
        <f>IF($J97="","",IF($J97&lt;=1500,INDEX('Daily Sale entry '!$X$1:$X$1501,$J97+1),INDEX('Daily Sale entry '!$V$1:$V$1501,$J97-1499)))</f>
        <v/>
      </c>
      <c r="B97">
        <f>IF($J97="","",IF($J97&lt;=1500,INDEX('Daily Sale entry '!$Y$1:$Y$1501,$J97+1)&amp;"","Buyer cheque banked 买家支票存入"&amp;IF(INDEX('Daily Sale entry '!$U$1:$U$1501,$J97-1499)="","", " - "&amp;INDEX('Daily Sale entry '!$U$1:$U$1501,$J97-1499))))</f>
        <v/>
      </c>
      <c r="C97">
        <f>IF($J97="","",IF($J97&lt;=1500,INDEX('Daily Sale entry '!$Z$1:$Z$1501,$J97+1)&amp;"","Cheque deposit 支票存入 (buyer 买家)"))</f>
        <v/>
      </c>
      <c r="D97">
        <f>IF($J97="","",IF($J97&lt;=1500,INDEX('Daily Sale entry '!$AA$1:$AA$1501,$J97+1)&amp;"",INDEX('Daily Sale entry '!$P$1:$P$1501,$J97-1499)&amp;""))</f>
        <v/>
      </c>
      <c r="E97">
        <f>IF($J97="","",IF($J97&lt;=1500,IF(N(INDEX('Daily Sale entry '!$AB$1:$AB$1501,$J97+1))=0,"",INDEX('Daily Sale entry '!$AB$1:$AB$1501,$J97+1)),1))</f>
        <v/>
      </c>
      <c r="F97" s="6">
        <f>IF($J97="","",IF($J97&lt;=1500,N(INDEX('Daily Sale entry '!$AC$1:$AC$1501,$J97+1))-IF(AND('Opening Balance'!$B$15=1,INDEX('Daily Sale entry '!$Z$1:$Z$1501,$J97+1)="Online collection 网上收款",INDEX('Daily Sale entry '!$AA$1:$AA$1501,$J97+1)&lt;&gt;""),N(INDEX('Daily Sale entry '!$AC$1:$AC$1501,$J97+1))-TRUNC(N(INDEX('Daily Sale entry '!$AC$1:$AC$1501,$J97+1))),0),N(INDEX('Daily Sale entry '!$S$1:$S$1501,$J97-1499))-'Opening Balance'!$B$15*(N(INDEX('Daily Sale entry '!$S$1:$S$1501,$J97-1499))-TRUNC(N(INDEX('Daily Sale entry '!$S$1:$S$1501,$J97-1499))))))</f>
        <v/>
      </c>
      <c r="G97" s="6">
        <f>IF($J97="","",IF($J97&lt;=1500,N(INDEX('Daily Sale entry '!$AD$1:$AD$1501,$J97+1)),0))</f>
        <v/>
      </c>
      <c r="H97" s="6">
        <f>IF($J97="","",ROUND('Opening Balance'!$B$4+SUM($F$2:F97)-SUM($G$2:G97),2))</f>
        <v/>
      </c>
      <c r="J97" s="21">
        <f>IFERROR(MATCH(ROW()-1,$L$2:$L$3001,0),"")</f>
        <v/>
      </c>
      <c r="K97" s="34">
        <f>IF(AND('Daily Sale entry '!X97&lt;&gt;"",OR('Daily Sale entry '!AC97&lt;&gt;"",'Daily Sale entry '!AD97&lt;&gt;"")),'Daily Sale entry '!X97+ROW()/10000000,"")</f>
        <v/>
      </c>
      <c r="L97" s="21">
        <f>IF(K97="","",COUNTIF($K$2:$K$3001,"&lt;"&amp;K97)+1)</f>
        <v/>
      </c>
    </row>
    <row r="98">
      <c r="A98" s="5">
        <f>IF($J98="","",IF($J98&lt;=1500,INDEX('Daily Sale entry '!$X$1:$X$1501,$J98+1),INDEX('Daily Sale entry '!$V$1:$V$1501,$J98-1499)))</f>
        <v/>
      </c>
      <c r="B98">
        <f>IF($J98="","",IF($J98&lt;=1500,INDEX('Daily Sale entry '!$Y$1:$Y$1501,$J98+1)&amp;"","Buyer cheque banked 买家支票存入"&amp;IF(INDEX('Daily Sale entry '!$U$1:$U$1501,$J98-1499)="","", " - "&amp;INDEX('Daily Sale entry '!$U$1:$U$1501,$J98-1499))))</f>
        <v/>
      </c>
      <c r="C98">
        <f>IF($J98="","",IF($J98&lt;=1500,INDEX('Daily Sale entry '!$Z$1:$Z$1501,$J98+1)&amp;"","Cheque deposit 支票存入 (buyer 买家)"))</f>
        <v/>
      </c>
      <c r="D98">
        <f>IF($J98="","",IF($J98&lt;=1500,INDEX('Daily Sale entry '!$AA$1:$AA$1501,$J98+1)&amp;"",INDEX('Daily Sale entry '!$P$1:$P$1501,$J98-1499)&amp;""))</f>
        <v/>
      </c>
      <c r="E98">
        <f>IF($J98="","",IF($J98&lt;=1500,IF(N(INDEX('Daily Sale entry '!$AB$1:$AB$1501,$J98+1))=0,"",INDEX('Daily Sale entry '!$AB$1:$AB$1501,$J98+1)),1))</f>
        <v/>
      </c>
      <c r="F98" s="6">
        <f>IF($J98="","",IF($J98&lt;=1500,N(INDEX('Daily Sale entry '!$AC$1:$AC$1501,$J98+1))-IF(AND('Opening Balance'!$B$15=1,INDEX('Daily Sale entry '!$Z$1:$Z$1501,$J98+1)="Online collection 网上收款",INDEX('Daily Sale entry '!$AA$1:$AA$1501,$J98+1)&lt;&gt;""),N(INDEX('Daily Sale entry '!$AC$1:$AC$1501,$J98+1))-TRUNC(N(INDEX('Daily Sale entry '!$AC$1:$AC$1501,$J98+1))),0),N(INDEX('Daily Sale entry '!$S$1:$S$1501,$J98-1499))-'Opening Balance'!$B$15*(N(INDEX('Daily Sale entry '!$S$1:$S$1501,$J98-1499))-TRUNC(N(INDEX('Daily Sale entry '!$S$1:$S$1501,$J98-1499))))))</f>
        <v/>
      </c>
      <c r="G98" s="6">
        <f>IF($J98="","",IF($J98&lt;=1500,N(INDEX('Daily Sale entry '!$AD$1:$AD$1501,$J98+1)),0))</f>
        <v/>
      </c>
      <c r="H98" s="6">
        <f>IF($J98="","",ROUND('Opening Balance'!$B$4+SUM($F$2:F98)-SUM($G$2:G98),2))</f>
        <v/>
      </c>
      <c r="J98" s="21">
        <f>IFERROR(MATCH(ROW()-1,$L$2:$L$3001,0),"")</f>
        <v/>
      </c>
      <c r="K98" s="34">
        <f>IF(AND('Daily Sale entry '!X98&lt;&gt;"",OR('Daily Sale entry '!AC98&lt;&gt;"",'Daily Sale entry '!AD98&lt;&gt;"")),'Daily Sale entry '!X98+ROW()/10000000,"")</f>
        <v/>
      </c>
      <c r="L98" s="21">
        <f>IF(K98="","",COUNTIF($K$2:$K$3001,"&lt;"&amp;K98)+1)</f>
        <v/>
      </c>
    </row>
    <row r="99">
      <c r="A99" s="5">
        <f>IF($J99="","",IF($J99&lt;=1500,INDEX('Daily Sale entry '!$X$1:$X$1501,$J99+1),INDEX('Daily Sale entry '!$V$1:$V$1501,$J99-1499)))</f>
        <v/>
      </c>
      <c r="B99">
        <f>IF($J99="","",IF($J99&lt;=1500,INDEX('Daily Sale entry '!$Y$1:$Y$1501,$J99+1)&amp;"","Buyer cheque banked 买家支票存入"&amp;IF(INDEX('Daily Sale entry '!$U$1:$U$1501,$J99-1499)="","", " - "&amp;INDEX('Daily Sale entry '!$U$1:$U$1501,$J99-1499))))</f>
        <v/>
      </c>
      <c r="C99">
        <f>IF($J99="","",IF($J99&lt;=1500,INDEX('Daily Sale entry '!$Z$1:$Z$1501,$J99+1)&amp;"","Cheque deposit 支票存入 (buyer 买家)"))</f>
        <v/>
      </c>
      <c r="D99">
        <f>IF($J99="","",IF($J99&lt;=1500,INDEX('Daily Sale entry '!$AA$1:$AA$1501,$J99+1)&amp;"",INDEX('Daily Sale entry '!$P$1:$P$1501,$J99-1499)&amp;""))</f>
        <v/>
      </c>
      <c r="E99">
        <f>IF($J99="","",IF($J99&lt;=1500,IF(N(INDEX('Daily Sale entry '!$AB$1:$AB$1501,$J99+1))=0,"",INDEX('Daily Sale entry '!$AB$1:$AB$1501,$J99+1)),1))</f>
        <v/>
      </c>
      <c r="F99" s="6">
        <f>IF($J99="","",IF($J99&lt;=1500,N(INDEX('Daily Sale entry '!$AC$1:$AC$1501,$J99+1))-IF(AND('Opening Balance'!$B$15=1,INDEX('Daily Sale entry '!$Z$1:$Z$1501,$J99+1)="Online collection 网上收款",INDEX('Daily Sale entry '!$AA$1:$AA$1501,$J99+1)&lt;&gt;""),N(INDEX('Daily Sale entry '!$AC$1:$AC$1501,$J99+1))-TRUNC(N(INDEX('Daily Sale entry '!$AC$1:$AC$1501,$J99+1))),0),N(INDEX('Daily Sale entry '!$S$1:$S$1501,$J99-1499))-'Opening Balance'!$B$15*(N(INDEX('Daily Sale entry '!$S$1:$S$1501,$J99-1499))-TRUNC(N(INDEX('Daily Sale entry '!$S$1:$S$1501,$J99-1499))))))</f>
        <v/>
      </c>
      <c r="G99" s="6">
        <f>IF($J99="","",IF($J99&lt;=1500,N(INDEX('Daily Sale entry '!$AD$1:$AD$1501,$J99+1)),0))</f>
        <v/>
      </c>
      <c r="H99" s="6">
        <f>IF($J99="","",ROUND('Opening Balance'!$B$4+SUM($F$2:F99)-SUM($G$2:G99),2))</f>
        <v/>
      </c>
      <c r="J99" s="21">
        <f>IFERROR(MATCH(ROW()-1,$L$2:$L$3001,0),"")</f>
        <v/>
      </c>
      <c r="K99" s="34">
        <f>IF(AND('Daily Sale entry '!X99&lt;&gt;"",OR('Daily Sale entry '!AC99&lt;&gt;"",'Daily Sale entry '!AD99&lt;&gt;"")),'Daily Sale entry '!X99+ROW()/10000000,"")</f>
        <v/>
      </c>
      <c r="L99" s="21">
        <f>IF(K99="","",COUNTIF($K$2:$K$3001,"&lt;"&amp;K99)+1)</f>
        <v/>
      </c>
    </row>
    <row r="100">
      <c r="A100" s="5">
        <f>IF($J100="","",IF($J100&lt;=1500,INDEX('Daily Sale entry '!$X$1:$X$1501,$J100+1),INDEX('Daily Sale entry '!$V$1:$V$1501,$J100-1499)))</f>
        <v/>
      </c>
      <c r="B100">
        <f>IF($J100="","",IF($J100&lt;=1500,INDEX('Daily Sale entry '!$Y$1:$Y$1501,$J100+1)&amp;"","Buyer cheque banked 买家支票存入"&amp;IF(INDEX('Daily Sale entry '!$U$1:$U$1501,$J100-1499)="","", " - "&amp;INDEX('Daily Sale entry '!$U$1:$U$1501,$J100-1499))))</f>
        <v/>
      </c>
      <c r="C100">
        <f>IF($J100="","",IF($J100&lt;=1500,INDEX('Daily Sale entry '!$Z$1:$Z$1501,$J100+1)&amp;"","Cheque deposit 支票存入 (buyer 买家)"))</f>
        <v/>
      </c>
      <c r="D100">
        <f>IF($J100="","",IF($J100&lt;=1500,INDEX('Daily Sale entry '!$AA$1:$AA$1501,$J100+1)&amp;"",INDEX('Daily Sale entry '!$P$1:$P$1501,$J100-1499)&amp;""))</f>
        <v/>
      </c>
      <c r="E100">
        <f>IF($J100="","",IF($J100&lt;=1500,IF(N(INDEX('Daily Sale entry '!$AB$1:$AB$1501,$J100+1))=0,"",INDEX('Daily Sale entry '!$AB$1:$AB$1501,$J100+1)),1))</f>
        <v/>
      </c>
      <c r="F100" s="6">
        <f>IF($J100="","",IF($J100&lt;=1500,N(INDEX('Daily Sale entry '!$AC$1:$AC$1501,$J100+1))-IF(AND('Opening Balance'!$B$15=1,INDEX('Daily Sale entry '!$Z$1:$Z$1501,$J100+1)="Online collection 网上收款",INDEX('Daily Sale entry '!$AA$1:$AA$1501,$J100+1)&lt;&gt;""),N(INDEX('Daily Sale entry '!$AC$1:$AC$1501,$J100+1))-TRUNC(N(INDEX('Daily Sale entry '!$AC$1:$AC$1501,$J100+1))),0),N(INDEX('Daily Sale entry '!$S$1:$S$1501,$J100-1499))-'Opening Balance'!$B$15*(N(INDEX('Daily Sale entry '!$S$1:$S$1501,$J100-1499))-TRUNC(N(INDEX('Daily Sale entry '!$S$1:$S$1501,$J100-1499))))))</f>
        <v/>
      </c>
      <c r="G100" s="6">
        <f>IF($J100="","",IF($J100&lt;=1500,N(INDEX('Daily Sale entry '!$AD$1:$AD$1501,$J100+1)),0))</f>
        <v/>
      </c>
      <c r="H100" s="6">
        <f>IF($J100="","",ROUND('Opening Balance'!$B$4+SUM($F$2:F100)-SUM($G$2:G100),2))</f>
        <v/>
      </c>
      <c r="J100" s="21">
        <f>IFERROR(MATCH(ROW()-1,$L$2:$L$3001,0),"")</f>
        <v/>
      </c>
      <c r="K100" s="34">
        <f>IF(AND('Daily Sale entry '!X100&lt;&gt;"",OR('Daily Sale entry '!AC100&lt;&gt;"",'Daily Sale entry '!AD100&lt;&gt;"")),'Daily Sale entry '!X100+ROW()/10000000,"")</f>
        <v/>
      </c>
      <c r="L100" s="21">
        <f>IF(K100="","",COUNTIF($K$2:$K$3001,"&lt;"&amp;K100)+1)</f>
        <v/>
      </c>
    </row>
    <row r="101">
      <c r="A101" s="5">
        <f>IF($J101="","",IF($J101&lt;=1500,INDEX('Daily Sale entry '!$X$1:$X$1501,$J101+1),INDEX('Daily Sale entry '!$V$1:$V$1501,$J101-1499)))</f>
        <v/>
      </c>
      <c r="B101">
        <f>IF($J101="","",IF($J101&lt;=1500,INDEX('Daily Sale entry '!$Y$1:$Y$1501,$J101+1)&amp;"","Buyer cheque banked 买家支票存入"&amp;IF(INDEX('Daily Sale entry '!$U$1:$U$1501,$J101-1499)="","", " - "&amp;INDEX('Daily Sale entry '!$U$1:$U$1501,$J101-1499))))</f>
        <v/>
      </c>
      <c r="C101">
        <f>IF($J101="","",IF($J101&lt;=1500,INDEX('Daily Sale entry '!$Z$1:$Z$1501,$J101+1)&amp;"","Cheque deposit 支票存入 (buyer 买家)"))</f>
        <v/>
      </c>
      <c r="D101">
        <f>IF($J101="","",IF($J101&lt;=1500,INDEX('Daily Sale entry '!$AA$1:$AA$1501,$J101+1)&amp;"",INDEX('Daily Sale entry '!$P$1:$P$1501,$J101-1499)&amp;""))</f>
        <v/>
      </c>
      <c r="E101">
        <f>IF($J101="","",IF($J101&lt;=1500,IF(N(INDEX('Daily Sale entry '!$AB$1:$AB$1501,$J101+1))=0,"",INDEX('Daily Sale entry '!$AB$1:$AB$1501,$J101+1)),1))</f>
        <v/>
      </c>
      <c r="F101" s="6">
        <f>IF($J101="","",IF($J101&lt;=1500,N(INDEX('Daily Sale entry '!$AC$1:$AC$1501,$J101+1))-IF(AND('Opening Balance'!$B$15=1,INDEX('Daily Sale entry '!$Z$1:$Z$1501,$J101+1)="Online collection 网上收款",INDEX('Daily Sale entry '!$AA$1:$AA$1501,$J101+1)&lt;&gt;""),N(INDEX('Daily Sale entry '!$AC$1:$AC$1501,$J101+1))-TRUNC(N(INDEX('Daily Sale entry '!$AC$1:$AC$1501,$J101+1))),0),N(INDEX('Daily Sale entry '!$S$1:$S$1501,$J101-1499))-'Opening Balance'!$B$15*(N(INDEX('Daily Sale entry '!$S$1:$S$1501,$J101-1499))-TRUNC(N(INDEX('Daily Sale entry '!$S$1:$S$1501,$J101-1499))))))</f>
        <v/>
      </c>
      <c r="G101" s="6">
        <f>IF($J101="","",IF($J101&lt;=1500,N(INDEX('Daily Sale entry '!$AD$1:$AD$1501,$J101+1)),0))</f>
        <v/>
      </c>
      <c r="H101" s="6">
        <f>IF($J101="","",ROUND('Opening Balance'!$B$4+SUM($F$2:F101)-SUM($G$2:G101),2))</f>
        <v/>
      </c>
      <c r="J101" s="21">
        <f>IFERROR(MATCH(ROW()-1,$L$2:$L$3001,0),"")</f>
        <v/>
      </c>
      <c r="K101" s="34">
        <f>IF(AND('Daily Sale entry '!X101&lt;&gt;"",OR('Daily Sale entry '!AC101&lt;&gt;"",'Daily Sale entry '!AD101&lt;&gt;"")),'Daily Sale entry '!X101+ROW()/10000000,"")</f>
        <v/>
      </c>
      <c r="L101" s="21">
        <f>IF(K101="","",COUNTIF($K$2:$K$3001,"&lt;"&amp;K101)+1)</f>
        <v/>
      </c>
    </row>
    <row r="102">
      <c r="A102" s="5">
        <f>IF($J102="","",IF($J102&lt;=1500,INDEX('Daily Sale entry '!$X$1:$X$1501,$J102+1),INDEX('Daily Sale entry '!$V$1:$V$1501,$J102-1499)))</f>
        <v/>
      </c>
      <c r="B102">
        <f>IF($J102="","",IF($J102&lt;=1500,INDEX('Daily Sale entry '!$Y$1:$Y$1501,$J102+1)&amp;"","Buyer cheque banked 买家支票存入"&amp;IF(INDEX('Daily Sale entry '!$U$1:$U$1501,$J102-1499)="","", " - "&amp;INDEX('Daily Sale entry '!$U$1:$U$1501,$J102-1499))))</f>
        <v/>
      </c>
      <c r="C102">
        <f>IF($J102="","",IF($J102&lt;=1500,INDEX('Daily Sale entry '!$Z$1:$Z$1501,$J102+1)&amp;"","Cheque deposit 支票存入 (buyer 买家)"))</f>
        <v/>
      </c>
      <c r="D102">
        <f>IF($J102="","",IF($J102&lt;=1500,INDEX('Daily Sale entry '!$AA$1:$AA$1501,$J102+1)&amp;"",INDEX('Daily Sale entry '!$P$1:$P$1501,$J102-1499)&amp;""))</f>
        <v/>
      </c>
      <c r="E102">
        <f>IF($J102="","",IF($J102&lt;=1500,IF(N(INDEX('Daily Sale entry '!$AB$1:$AB$1501,$J102+1))=0,"",INDEX('Daily Sale entry '!$AB$1:$AB$1501,$J102+1)),1))</f>
        <v/>
      </c>
      <c r="F102" s="6">
        <f>IF($J102="","",IF($J102&lt;=1500,N(INDEX('Daily Sale entry '!$AC$1:$AC$1501,$J102+1))-IF(AND('Opening Balance'!$B$15=1,INDEX('Daily Sale entry '!$Z$1:$Z$1501,$J102+1)="Online collection 网上收款",INDEX('Daily Sale entry '!$AA$1:$AA$1501,$J102+1)&lt;&gt;""),N(INDEX('Daily Sale entry '!$AC$1:$AC$1501,$J102+1))-TRUNC(N(INDEX('Daily Sale entry '!$AC$1:$AC$1501,$J102+1))),0),N(INDEX('Daily Sale entry '!$S$1:$S$1501,$J102-1499))-'Opening Balance'!$B$15*(N(INDEX('Daily Sale entry '!$S$1:$S$1501,$J102-1499))-TRUNC(N(INDEX('Daily Sale entry '!$S$1:$S$1501,$J102-1499))))))</f>
        <v/>
      </c>
      <c r="G102" s="6">
        <f>IF($J102="","",IF($J102&lt;=1500,N(INDEX('Daily Sale entry '!$AD$1:$AD$1501,$J102+1)),0))</f>
        <v/>
      </c>
      <c r="H102" s="6">
        <f>IF($J102="","",ROUND('Opening Balance'!$B$4+SUM($F$2:F102)-SUM($G$2:G102),2))</f>
        <v/>
      </c>
      <c r="J102" s="21">
        <f>IFERROR(MATCH(ROW()-1,$L$2:$L$3001,0),"")</f>
        <v/>
      </c>
      <c r="K102" s="34">
        <f>IF(AND('Daily Sale entry '!X102&lt;&gt;"",OR('Daily Sale entry '!AC102&lt;&gt;"",'Daily Sale entry '!AD102&lt;&gt;"")),'Daily Sale entry '!X102+ROW()/10000000,"")</f>
        <v/>
      </c>
      <c r="L102" s="21">
        <f>IF(K102="","",COUNTIF($K$2:$K$3001,"&lt;"&amp;K102)+1)</f>
        <v/>
      </c>
    </row>
    <row r="103">
      <c r="A103" s="5">
        <f>IF($J103="","",IF($J103&lt;=1500,INDEX('Daily Sale entry '!$X$1:$X$1501,$J103+1),INDEX('Daily Sale entry '!$V$1:$V$1501,$J103-1499)))</f>
        <v/>
      </c>
      <c r="B103">
        <f>IF($J103="","",IF($J103&lt;=1500,INDEX('Daily Sale entry '!$Y$1:$Y$1501,$J103+1)&amp;"","Buyer cheque banked 买家支票存入"&amp;IF(INDEX('Daily Sale entry '!$U$1:$U$1501,$J103-1499)="","", " - "&amp;INDEX('Daily Sale entry '!$U$1:$U$1501,$J103-1499))))</f>
        <v/>
      </c>
      <c r="C103">
        <f>IF($J103="","",IF($J103&lt;=1500,INDEX('Daily Sale entry '!$Z$1:$Z$1501,$J103+1)&amp;"","Cheque deposit 支票存入 (buyer 买家)"))</f>
        <v/>
      </c>
      <c r="D103">
        <f>IF($J103="","",IF($J103&lt;=1500,INDEX('Daily Sale entry '!$AA$1:$AA$1501,$J103+1)&amp;"",INDEX('Daily Sale entry '!$P$1:$P$1501,$J103-1499)&amp;""))</f>
        <v/>
      </c>
      <c r="E103">
        <f>IF($J103="","",IF($J103&lt;=1500,IF(N(INDEX('Daily Sale entry '!$AB$1:$AB$1501,$J103+1))=0,"",INDEX('Daily Sale entry '!$AB$1:$AB$1501,$J103+1)),1))</f>
        <v/>
      </c>
      <c r="F103" s="6">
        <f>IF($J103="","",IF($J103&lt;=1500,N(INDEX('Daily Sale entry '!$AC$1:$AC$1501,$J103+1))-IF(AND('Opening Balance'!$B$15=1,INDEX('Daily Sale entry '!$Z$1:$Z$1501,$J103+1)="Online collection 网上收款",INDEX('Daily Sale entry '!$AA$1:$AA$1501,$J103+1)&lt;&gt;""),N(INDEX('Daily Sale entry '!$AC$1:$AC$1501,$J103+1))-TRUNC(N(INDEX('Daily Sale entry '!$AC$1:$AC$1501,$J103+1))),0),N(INDEX('Daily Sale entry '!$S$1:$S$1501,$J103-1499))-'Opening Balance'!$B$15*(N(INDEX('Daily Sale entry '!$S$1:$S$1501,$J103-1499))-TRUNC(N(INDEX('Daily Sale entry '!$S$1:$S$1501,$J103-1499))))))</f>
        <v/>
      </c>
      <c r="G103" s="6">
        <f>IF($J103="","",IF($J103&lt;=1500,N(INDEX('Daily Sale entry '!$AD$1:$AD$1501,$J103+1)),0))</f>
        <v/>
      </c>
      <c r="H103" s="6">
        <f>IF($J103="","",ROUND('Opening Balance'!$B$4+SUM($F$2:F103)-SUM($G$2:G103),2))</f>
        <v/>
      </c>
      <c r="J103" s="21">
        <f>IFERROR(MATCH(ROW()-1,$L$2:$L$3001,0),"")</f>
        <v/>
      </c>
      <c r="K103" s="34">
        <f>IF(AND('Daily Sale entry '!X103&lt;&gt;"",OR('Daily Sale entry '!AC103&lt;&gt;"",'Daily Sale entry '!AD103&lt;&gt;"")),'Daily Sale entry '!X103+ROW()/10000000,"")</f>
        <v/>
      </c>
      <c r="L103" s="21">
        <f>IF(K103="","",COUNTIF($K$2:$K$3001,"&lt;"&amp;K103)+1)</f>
        <v/>
      </c>
    </row>
    <row r="104">
      <c r="A104" s="5">
        <f>IF($J104="","",IF($J104&lt;=1500,INDEX('Daily Sale entry '!$X$1:$X$1501,$J104+1),INDEX('Daily Sale entry '!$V$1:$V$1501,$J104-1499)))</f>
        <v/>
      </c>
      <c r="B104">
        <f>IF($J104="","",IF($J104&lt;=1500,INDEX('Daily Sale entry '!$Y$1:$Y$1501,$J104+1)&amp;"","Buyer cheque banked 买家支票存入"&amp;IF(INDEX('Daily Sale entry '!$U$1:$U$1501,$J104-1499)="","", " - "&amp;INDEX('Daily Sale entry '!$U$1:$U$1501,$J104-1499))))</f>
        <v/>
      </c>
      <c r="C104">
        <f>IF($J104="","",IF($J104&lt;=1500,INDEX('Daily Sale entry '!$Z$1:$Z$1501,$J104+1)&amp;"","Cheque deposit 支票存入 (buyer 买家)"))</f>
        <v/>
      </c>
      <c r="D104">
        <f>IF($J104="","",IF($J104&lt;=1500,INDEX('Daily Sale entry '!$AA$1:$AA$1501,$J104+1)&amp;"",INDEX('Daily Sale entry '!$P$1:$P$1501,$J104-1499)&amp;""))</f>
        <v/>
      </c>
      <c r="E104">
        <f>IF($J104="","",IF($J104&lt;=1500,IF(N(INDEX('Daily Sale entry '!$AB$1:$AB$1501,$J104+1))=0,"",INDEX('Daily Sale entry '!$AB$1:$AB$1501,$J104+1)),1))</f>
        <v/>
      </c>
      <c r="F104" s="6">
        <f>IF($J104="","",IF($J104&lt;=1500,N(INDEX('Daily Sale entry '!$AC$1:$AC$1501,$J104+1))-IF(AND('Opening Balance'!$B$15=1,INDEX('Daily Sale entry '!$Z$1:$Z$1501,$J104+1)="Online collection 网上收款",INDEX('Daily Sale entry '!$AA$1:$AA$1501,$J104+1)&lt;&gt;""),N(INDEX('Daily Sale entry '!$AC$1:$AC$1501,$J104+1))-TRUNC(N(INDEX('Daily Sale entry '!$AC$1:$AC$1501,$J104+1))),0),N(INDEX('Daily Sale entry '!$S$1:$S$1501,$J104-1499))-'Opening Balance'!$B$15*(N(INDEX('Daily Sale entry '!$S$1:$S$1501,$J104-1499))-TRUNC(N(INDEX('Daily Sale entry '!$S$1:$S$1501,$J104-1499))))))</f>
        <v/>
      </c>
      <c r="G104" s="6">
        <f>IF($J104="","",IF($J104&lt;=1500,N(INDEX('Daily Sale entry '!$AD$1:$AD$1501,$J104+1)),0))</f>
        <v/>
      </c>
      <c r="H104" s="6">
        <f>IF($J104="","",ROUND('Opening Balance'!$B$4+SUM($F$2:F104)-SUM($G$2:G104),2))</f>
        <v/>
      </c>
      <c r="J104" s="21">
        <f>IFERROR(MATCH(ROW()-1,$L$2:$L$3001,0),"")</f>
        <v/>
      </c>
      <c r="K104" s="34">
        <f>IF(AND('Daily Sale entry '!X104&lt;&gt;"",OR('Daily Sale entry '!AC104&lt;&gt;"",'Daily Sale entry '!AD104&lt;&gt;"")),'Daily Sale entry '!X104+ROW()/10000000,"")</f>
        <v/>
      </c>
      <c r="L104" s="21">
        <f>IF(K104="","",COUNTIF($K$2:$K$3001,"&lt;"&amp;K104)+1)</f>
        <v/>
      </c>
    </row>
    <row r="105">
      <c r="A105" s="5">
        <f>IF($J105="","",IF($J105&lt;=1500,INDEX('Daily Sale entry '!$X$1:$X$1501,$J105+1),INDEX('Daily Sale entry '!$V$1:$V$1501,$J105-1499)))</f>
        <v/>
      </c>
      <c r="B105">
        <f>IF($J105="","",IF($J105&lt;=1500,INDEX('Daily Sale entry '!$Y$1:$Y$1501,$J105+1)&amp;"","Buyer cheque banked 买家支票存入"&amp;IF(INDEX('Daily Sale entry '!$U$1:$U$1501,$J105-1499)="","", " - "&amp;INDEX('Daily Sale entry '!$U$1:$U$1501,$J105-1499))))</f>
        <v/>
      </c>
      <c r="C105">
        <f>IF($J105="","",IF($J105&lt;=1500,INDEX('Daily Sale entry '!$Z$1:$Z$1501,$J105+1)&amp;"","Cheque deposit 支票存入 (buyer 买家)"))</f>
        <v/>
      </c>
      <c r="D105">
        <f>IF($J105="","",IF($J105&lt;=1500,INDEX('Daily Sale entry '!$AA$1:$AA$1501,$J105+1)&amp;"",INDEX('Daily Sale entry '!$P$1:$P$1501,$J105-1499)&amp;""))</f>
        <v/>
      </c>
      <c r="E105">
        <f>IF($J105="","",IF($J105&lt;=1500,IF(N(INDEX('Daily Sale entry '!$AB$1:$AB$1501,$J105+1))=0,"",INDEX('Daily Sale entry '!$AB$1:$AB$1501,$J105+1)),1))</f>
        <v/>
      </c>
      <c r="F105" s="6">
        <f>IF($J105="","",IF($J105&lt;=1500,N(INDEX('Daily Sale entry '!$AC$1:$AC$1501,$J105+1))-IF(AND('Opening Balance'!$B$15=1,INDEX('Daily Sale entry '!$Z$1:$Z$1501,$J105+1)="Online collection 网上收款",INDEX('Daily Sale entry '!$AA$1:$AA$1501,$J105+1)&lt;&gt;""),N(INDEX('Daily Sale entry '!$AC$1:$AC$1501,$J105+1))-TRUNC(N(INDEX('Daily Sale entry '!$AC$1:$AC$1501,$J105+1))),0),N(INDEX('Daily Sale entry '!$S$1:$S$1501,$J105-1499))-'Opening Balance'!$B$15*(N(INDEX('Daily Sale entry '!$S$1:$S$1501,$J105-1499))-TRUNC(N(INDEX('Daily Sale entry '!$S$1:$S$1501,$J105-1499))))))</f>
        <v/>
      </c>
      <c r="G105" s="6">
        <f>IF($J105="","",IF($J105&lt;=1500,N(INDEX('Daily Sale entry '!$AD$1:$AD$1501,$J105+1)),0))</f>
        <v/>
      </c>
      <c r="H105" s="6">
        <f>IF($J105="","",ROUND('Opening Balance'!$B$4+SUM($F$2:F105)-SUM($G$2:G105),2))</f>
        <v/>
      </c>
      <c r="J105" s="21">
        <f>IFERROR(MATCH(ROW()-1,$L$2:$L$3001,0),"")</f>
        <v/>
      </c>
      <c r="K105" s="34">
        <f>IF(AND('Daily Sale entry '!X105&lt;&gt;"",OR('Daily Sale entry '!AC105&lt;&gt;"",'Daily Sale entry '!AD105&lt;&gt;"")),'Daily Sale entry '!X105+ROW()/10000000,"")</f>
        <v/>
      </c>
      <c r="L105" s="21">
        <f>IF(K105="","",COUNTIF($K$2:$K$3001,"&lt;"&amp;K105)+1)</f>
        <v/>
      </c>
    </row>
    <row r="106">
      <c r="A106" s="5">
        <f>IF($J106="","",IF($J106&lt;=1500,INDEX('Daily Sale entry '!$X$1:$X$1501,$J106+1),INDEX('Daily Sale entry '!$V$1:$V$1501,$J106-1499)))</f>
        <v/>
      </c>
      <c r="B106">
        <f>IF($J106="","",IF($J106&lt;=1500,INDEX('Daily Sale entry '!$Y$1:$Y$1501,$J106+1)&amp;"","Buyer cheque banked 买家支票存入"&amp;IF(INDEX('Daily Sale entry '!$U$1:$U$1501,$J106-1499)="","", " - "&amp;INDEX('Daily Sale entry '!$U$1:$U$1501,$J106-1499))))</f>
        <v/>
      </c>
      <c r="C106">
        <f>IF($J106="","",IF($J106&lt;=1500,INDEX('Daily Sale entry '!$Z$1:$Z$1501,$J106+1)&amp;"","Cheque deposit 支票存入 (buyer 买家)"))</f>
        <v/>
      </c>
      <c r="D106">
        <f>IF($J106="","",IF($J106&lt;=1500,INDEX('Daily Sale entry '!$AA$1:$AA$1501,$J106+1)&amp;"",INDEX('Daily Sale entry '!$P$1:$P$1501,$J106-1499)&amp;""))</f>
        <v/>
      </c>
      <c r="E106">
        <f>IF($J106="","",IF($J106&lt;=1500,IF(N(INDEX('Daily Sale entry '!$AB$1:$AB$1501,$J106+1))=0,"",INDEX('Daily Sale entry '!$AB$1:$AB$1501,$J106+1)),1))</f>
        <v/>
      </c>
      <c r="F106" s="6">
        <f>IF($J106="","",IF($J106&lt;=1500,N(INDEX('Daily Sale entry '!$AC$1:$AC$1501,$J106+1))-IF(AND('Opening Balance'!$B$15=1,INDEX('Daily Sale entry '!$Z$1:$Z$1501,$J106+1)="Online collection 网上收款",INDEX('Daily Sale entry '!$AA$1:$AA$1501,$J106+1)&lt;&gt;""),N(INDEX('Daily Sale entry '!$AC$1:$AC$1501,$J106+1))-TRUNC(N(INDEX('Daily Sale entry '!$AC$1:$AC$1501,$J106+1))),0),N(INDEX('Daily Sale entry '!$S$1:$S$1501,$J106-1499))-'Opening Balance'!$B$15*(N(INDEX('Daily Sale entry '!$S$1:$S$1501,$J106-1499))-TRUNC(N(INDEX('Daily Sale entry '!$S$1:$S$1501,$J106-1499))))))</f>
        <v/>
      </c>
      <c r="G106" s="6">
        <f>IF($J106="","",IF($J106&lt;=1500,N(INDEX('Daily Sale entry '!$AD$1:$AD$1501,$J106+1)),0))</f>
        <v/>
      </c>
      <c r="H106" s="6">
        <f>IF($J106="","",ROUND('Opening Balance'!$B$4+SUM($F$2:F106)-SUM($G$2:G106),2))</f>
        <v/>
      </c>
      <c r="J106" s="21">
        <f>IFERROR(MATCH(ROW()-1,$L$2:$L$3001,0),"")</f>
        <v/>
      </c>
      <c r="K106" s="34">
        <f>IF(AND('Daily Sale entry '!X106&lt;&gt;"",OR('Daily Sale entry '!AC106&lt;&gt;"",'Daily Sale entry '!AD106&lt;&gt;"")),'Daily Sale entry '!X106+ROW()/10000000,"")</f>
        <v/>
      </c>
      <c r="L106" s="21">
        <f>IF(K106="","",COUNTIF($K$2:$K$3001,"&lt;"&amp;K106)+1)</f>
        <v/>
      </c>
    </row>
    <row r="107">
      <c r="A107" s="5">
        <f>IF($J107="","",IF($J107&lt;=1500,INDEX('Daily Sale entry '!$X$1:$X$1501,$J107+1),INDEX('Daily Sale entry '!$V$1:$V$1501,$J107-1499)))</f>
        <v/>
      </c>
      <c r="B107">
        <f>IF($J107="","",IF($J107&lt;=1500,INDEX('Daily Sale entry '!$Y$1:$Y$1501,$J107+1)&amp;"","Buyer cheque banked 买家支票存入"&amp;IF(INDEX('Daily Sale entry '!$U$1:$U$1501,$J107-1499)="","", " - "&amp;INDEX('Daily Sale entry '!$U$1:$U$1501,$J107-1499))))</f>
        <v/>
      </c>
      <c r="C107">
        <f>IF($J107="","",IF($J107&lt;=1500,INDEX('Daily Sale entry '!$Z$1:$Z$1501,$J107+1)&amp;"","Cheque deposit 支票存入 (buyer 买家)"))</f>
        <v/>
      </c>
      <c r="D107">
        <f>IF($J107="","",IF($J107&lt;=1500,INDEX('Daily Sale entry '!$AA$1:$AA$1501,$J107+1)&amp;"",INDEX('Daily Sale entry '!$P$1:$P$1501,$J107-1499)&amp;""))</f>
        <v/>
      </c>
      <c r="E107">
        <f>IF($J107="","",IF($J107&lt;=1500,IF(N(INDEX('Daily Sale entry '!$AB$1:$AB$1501,$J107+1))=0,"",INDEX('Daily Sale entry '!$AB$1:$AB$1501,$J107+1)),1))</f>
        <v/>
      </c>
      <c r="F107" s="6">
        <f>IF($J107="","",IF($J107&lt;=1500,N(INDEX('Daily Sale entry '!$AC$1:$AC$1501,$J107+1))-IF(AND('Opening Balance'!$B$15=1,INDEX('Daily Sale entry '!$Z$1:$Z$1501,$J107+1)="Online collection 网上收款",INDEX('Daily Sale entry '!$AA$1:$AA$1501,$J107+1)&lt;&gt;""),N(INDEX('Daily Sale entry '!$AC$1:$AC$1501,$J107+1))-TRUNC(N(INDEX('Daily Sale entry '!$AC$1:$AC$1501,$J107+1))),0),N(INDEX('Daily Sale entry '!$S$1:$S$1501,$J107-1499))-'Opening Balance'!$B$15*(N(INDEX('Daily Sale entry '!$S$1:$S$1501,$J107-1499))-TRUNC(N(INDEX('Daily Sale entry '!$S$1:$S$1501,$J107-1499))))))</f>
        <v/>
      </c>
      <c r="G107" s="6">
        <f>IF($J107="","",IF($J107&lt;=1500,N(INDEX('Daily Sale entry '!$AD$1:$AD$1501,$J107+1)),0))</f>
        <v/>
      </c>
      <c r="H107" s="6">
        <f>IF($J107="","",ROUND('Opening Balance'!$B$4+SUM($F$2:F107)-SUM($G$2:G107),2))</f>
        <v/>
      </c>
      <c r="J107" s="21">
        <f>IFERROR(MATCH(ROW()-1,$L$2:$L$3001,0),"")</f>
        <v/>
      </c>
      <c r="K107" s="34">
        <f>IF(AND('Daily Sale entry '!X107&lt;&gt;"",OR('Daily Sale entry '!AC107&lt;&gt;"",'Daily Sale entry '!AD107&lt;&gt;"")),'Daily Sale entry '!X107+ROW()/10000000,"")</f>
        <v/>
      </c>
      <c r="L107" s="21">
        <f>IF(K107="","",COUNTIF($K$2:$K$3001,"&lt;"&amp;K107)+1)</f>
        <v/>
      </c>
    </row>
    <row r="108">
      <c r="A108" s="5">
        <f>IF($J108="","",IF($J108&lt;=1500,INDEX('Daily Sale entry '!$X$1:$X$1501,$J108+1),INDEX('Daily Sale entry '!$V$1:$V$1501,$J108-1499)))</f>
        <v/>
      </c>
      <c r="B108">
        <f>IF($J108="","",IF($J108&lt;=1500,INDEX('Daily Sale entry '!$Y$1:$Y$1501,$J108+1)&amp;"","Buyer cheque banked 买家支票存入"&amp;IF(INDEX('Daily Sale entry '!$U$1:$U$1501,$J108-1499)="","", " - "&amp;INDEX('Daily Sale entry '!$U$1:$U$1501,$J108-1499))))</f>
        <v/>
      </c>
      <c r="C108">
        <f>IF($J108="","",IF($J108&lt;=1500,INDEX('Daily Sale entry '!$Z$1:$Z$1501,$J108+1)&amp;"","Cheque deposit 支票存入 (buyer 买家)"))</f>
        <v/>
      </c>
      <c r="D108">
        <f>IF($J108="","",IF($J108&lt;=1500,INDEX('Daily Sale entry '!$AA$1:$AA$1501,$J108+1)&amp;"",INDEX('Daily Sale entry '!$P$1:$P$1501,$J108-1499)&amp;""))</f>
        <v/>
      </c>
      <c r="E108">
        <f>IF($J108="","",IF($J108&lt;=1500,IF(N(INDEX('Daily Sale entry '!$AB$1:$AB$1501,$J108+1))=0,"",INDEX('Daily Sale entry '!$AB$1:$AB$1501,$J108+1)),1))</f>
        <v/>
      </c>
      <c r="F108" s="6">
        <f>IF($J108="","",IF($J108&lt;=1500,N(INDEX('Daily Sale entry '!$AC$1:$AC$1501,$J108+1))-IF(AND('Opening Balance'!$B$15=1,INDEX('Daily Sale entry '!$Z$1:$Z$1501,$J108+1)="Online collection 网上收款",INDEX('Daily Sale entry '!$AA$1:$AA$1501,$J108+1)&lt;&gt;""),N(INDEX('Daily Sale entry '!$AC$1:$AC$1501,$J108+1))-TRUNC(N(INDEX('Daily Sale entry '!$AC$1:$AC$1501,$J108+1))),0),N(INDEX('Daily Sale entry '!$S$1:$S$1501,$J108-1499))-'Opening Balance'!$B$15*(N(INDEX('Daily Sale entry '!$S$1:$S$1501,$J108-1499))-TRUNC(N(INDEX('Daily Sale entry '!$S$1:$S$1501,$J108-1499))))))</f>
        <v/>
      </c>
      <c r="G108" s="6">
        <f>IF($J108="","",IF($J108&lt;=1500,N(INDEX('Daily Sale entry '!$AD$1:$AD$1501,$J108+1)),0))</f>
        <v/>
      </c>
      <c r="H108" s="6">
        <f>IF($J108="","",ROUND('Opening Balance'!$B$4+SUM($F$2:F108)-SUM($G$2:G108),2))</f>
        <v/>
      </c>
      <c r="J108" s="21">
        <f>IFERROR(MATCH(ROW()-1,$L$2:$L$3001,0),"")</f>
        <v/>
      </c>
      <c r="K108" s="34">
        <f>IF(AND('Daily Sale entry '!X108&lt;&gt;"",OR('Daily Sale entry '!AC108&lt;&gt;"",'Daily Sale entry '!AD108&lt;&gt;"")),'Daily Sale entry '!X108+ROW()/10000000,"")</f>
        <v/>
      </c>
      <c r="L108" s="21">
        <f>IF(K108="","",COUNTIF($K$2:$K$3001,"&lt;"&amp;K108)+1)</f>
        <v/>
      </c>
    </row>
    <row r="109">
      <c r="A109" s="5">
        <f>IF($J109="","",IF($J109&lt;=1500,INDEX('Daily Sale entry '!$X$1:$X$1501,$J109+1),INDEX('Daily Sale entry '!$V$1:$V$1501,$J109-1499)))</f>
        <v/>
      </c>
      <c r="B109">
        <f>IF($J109="","",IF($J109&lt;=1500,INDEX('Daily Sale entry '!$Y$1:$Y$1501,$J109+1)&amp;"","Buyer cheque banked 买家支票存入"&amp;IF(INDEX('Daily Sale entry '!$U$1:$U$1501,$J109-1499)="","", " - "&amp;INDEX('Daily Sale entry '!$U$1:$U$1501,$J109-1499))))</f>
        <v/>
      </c>
      <c r="C109">
        <f>IF($J109="","",IF($J109&lt;=1500,INDEX('Daily Sale entry '!$Z$1:$Z$1501,$J109+1)&amp;"","Cheque deposit 支票存入 (buyer 买家)"))</f>
        <v/>
      </c>
      <c r="D109">
        <f>IF($J109="","",IF($J109&lt;=1500,INDEX('Daily Sale entry '!$AA$1:$AA$1501,$J109+1)&amp;"",INDEX('Daily Sale entry '!$P$1:$P$1501,$J109-1499)&amp;""))</f>
        <v/>
      </c>
      <c r="E109">
        <f>IF($J109="","",IF($J109&lt;=1500,IF(N(INDEX('Daily Sale entry '!$AB$1:$AB$1501,$J109+1))=0,"",INDEX('Daily Sale entry '!$AB$1:$AB$1501,$J109+1)),1))</f>
        <v/>
      </c>
      <c r="F109" s="6">
        <f>IF($J109="","",IF($J109&lt;=1500,N(INDEX('Daily Sale entry '!$AC$1:$AC$1501,$J109+1))-IF(AND('Opening Balance'!$B$15=1,INDEX('Daily Sale entry '!$Z$1:$Z$1501,$J109+1)="Online collection 网上收款",INDEX('Daily Sale entry '!$AA$1:$AA$1501,$J109+1)&lt;&gt;""),N(INDEX('Daily Sale entry '!$AC$1:$AC$1501,$J109+1))-TRUNC(N(INDEX('Daily Sale entry '!$AC$1:$AC$1501,$J109+1))),0),N(INDEX('Daily Sale entry '!$S$1:$S$1501,$J109-1499))-'Opening Balance'!$B$15*(N(INDEX('Daily Sale entry '!$S$1:$S$1501,$J109-1499))-TRUNC(N(INDEX('Daily Sale entry '!$S$1:$S$1501,$J109-1499))))))</f>
        <v/>
      </c>
      <c r="G109" s="6">
        <f>IF($J109="","",IF($J109&lt;=1500,N(INDEX('Daily Sale entry '!$AD$1:$AD$1501,$J109+1)),0))</f>
        <v/>
      </c>
      <c r="H109" s="6">
        <f>IF($J109="","",ROUND('Opening Balance'!$B$4+SUM($F$2:F109)-SUM($G$2:G109),2))</f>
        <v/>
      </c>
      <c r="J109" s="21">
        <f>IFERROR(MATCH(ROW()-1,$L$2:$L$3001,0),"")</f>
        <v/>
      </c>
      <c r="K109" s="34">
        <f>IF(AND('Daily Sale entry '!X109&lt;&gt;"",OR('Daily Sale entry '!AC109&lt;&gt;"",'Daily Sale entry '!AD109&lt;&gt;"")),'Daily Sale entry '!X109+ROW()/10000000,"")</f>
        <v/>
      </c>
      <c r="L109" s="21">
        <f>IF(K109="","",COUNTIF($K$2:$K$3001,"&lt;"&amp;K109)+1)</f>
        <v/>
      </c>
    </row>
    <row r="110">
      <c r="A110" s="5">
        <f>IF($J110="","",IF($J110&lt;=1500,INDEX('Daily Sale entry '!$X$1:$X$1501,$J110+1),INDEX('Daily Sale entry '!$V$1:$V$1501,$J110-1499)))</f>
        <v/>
      </c>
      <c r="B110">
        <f>IF($J110="","",IF($J110&lt;=1500,INDEX('Daily Sale entry '!$Y$1:$Y$1501,$J110+1)&amp;"","Buyer cheque banked 买家支票存入"&amp;IF(INDEX('Daily Sale entry '!$U$1:$U$1501,$J110-1499)="","", " - "&amp;INDEX('Daily Sale entry '!$U$1:$U$1501,$J110-1499))))</f>
        <v/>
      </c>
      <c r="C110">
        <f>IF($J110="","",IF($J110&lt;=1500,INDEX('Daily Sale entry '!$Z$1:$Z$1501,$J110+1)&amp;"","Cheque deposit 支票存入 (buyer 买家)"))</f>
        <v/>
      </c>
      <c r="D110">
        <f>IF($J110="","",IF($J110&lt;=1500,INDEX('Daily Sale entry '!$AA$1:$AA$1501,$J110+1)&amp;"",INDEX('Daily Sale entry '!$P$1:$P$1501,$J110-1499)&amp;""))</f>
        <v/>
      </c>
      <c r="E110">
        <f>IF($J110="","",IF($J110&lt;=1500,IF(N(INDEX('Daily Sale entry '!$AB$1:$AB$1501,$J110+1))=0,"",INDEX('Daily Sale entry '!$AB$1:$AB$1501,$J110+1)),1))</f>
        <v/>
      </c>
      <c r="F110" s="6">
        <f>IF($J110="","",IF($J110&lt;=1500,N(INDEX('Daily Sale entry '!$AC$1:$AC$1501,$J110+1))-IF(AND('Opening Balance'!$B$15=1,INDEX('Daily Sale entry '!$Z$1:$Z$1501,$J110+1)="Online collection 网上收款",INDEX('Daily Sale entry '!$AA$1:$AA$1501,$J110+1)&lt;&gt;""),N(INDEX('Daily Sale entry '!$AC$1:$AC$1501,$J110+1))-TRUNC(N(INDEX('Daily Sale entry '!$AC$1:$AC$1501,$J110+1))),0),N(INDEX('Daily Sale entry '!$S$1:$S$1501,$J110-1499))-'Opening Balance'!$B$15*(N(INDEX('Daily Sale entry '!$S$1:$S$1501,$J110-1499))-TRUNC(N(INDEX('Daily Sale entry '!$S$1:$S$1501,$J110-1499))))))</f>
        <v/>
      </c>
      <c r="G110" s="6">
        <f>IF($J110="","",IF($J110&lt;=1500,N(INDEX('Daily Sale entry '!$AD$1:$AD$1501,$J110+1)),0))</f>
        <v/>
      </c>
      <c r="H110" s="6">
        <f>IF($J110="","",ROUND('Opening Balance'!$B$4+SUM($F$2:F110)-SUM($G$2:G110),2))</f>
        <v/>
      </c>
      <c r="J110" s="21">
        <f>IFERROR(MATCH(ROW()-1,$L$2:$L$3001,0),"")</f>
        <v/>
      </c>
      <c r="K110" s="34">
        <f>IF(AND('Daily Sale entry '!X110&lt;&gt;"",OR('Daily Sale entry '!AC110&lt;&gt;"",'Daily Sale entry '!AD110&lt;&gt;"")),'Daily Sale entry '!X110+ROW()/10000000,"")</f>
        <v/>
      </c>
      <c r="L110" s="21">
        <f>IF(K110="","",COUNTIF($K$2:$K$3001,"&lt;"&amp;K110)+1)</f>
        <v/>
      </c>
    </row>
    <row r="111">
      <c r="A111" s="5">
        <f>IF($J111="","",IF($J111&lt;=1500,INDEX('Daily Sale entry '!$X$1:$X$1501,$J111+1),INDEX('Daily Sale entry '!$V$1:$V$1501,$J111-1499)))</f>
        <v/>
      </c>
      <c r="B111">
        <f>IF($J111="","",IF($J111&lt;=1500,INDEX('Daily Sale entry '!$Y$1:$Y$1501,$J111+1)&amp;"","Buyer cheque banked 买家支票存入"&amp;IF(INDEX('Daily Sale entry '!$U$1:$U$1501,$J111-1499)="","", " - "&amp;INDEX('Daily Sale entry '!$U$1:$U$1501,$J111-1499))))</f>
        <v/>
      </c>
      <c r="C111">
        <f>IF($J111="","",IF($J111&lt;=1500,INDEX('Daily Sale entry '!$Z$1:$Z$1501,$J111+1)&amp;"","Cheque deposit 支票存入 (buyer 买家)"))</f>
        <v/>
      </c>
      <c r="D111">
        <f>IF($J111="","",IF($J111&lt;=1500,INDEX('Daily Sale entry '!$AA$1:$AA$1501,$J111+1)&amp;"",INDEX('Daily Sale entry '!$P$1:$P$1501,$J111-1499)&amp;""))</f>
        <v/>
      </c>
      <c r="E111">
        <f>IF($J111="","",IF($J111&lt;=1500,IF(N(INDEX('Daily Sale entry '!$AB$1:$AB$1501,$J111+1))=0,"",INDEX('Daily Sale entry '!$AB$1:$AB$1501,$J111+1)),1))</f>
        <v/>
      </c>
      <c r="F111" s="6">
        <f>IF($J111="","",IF($J111&lt;=1500,N(INDEX('Daily Sale entry '!$AC$1:$AC$1501,$J111+1))-IF(AND('Opening Balance'!$B$15=1,INDEX('Daily Sale entry '!$Z$1:$Z$1501,$J111+1)="Online collection 网上收款",INDEX('Daily Sale entry '!$AA$1:$AA$1501,$J111+1)&lt;&gt;""),N(INDEX('Daily Sale entry '!$AC$1:$AC$1501,$J111+1))-TRUNC(N(INDEX('Daily Sale entry '!$AC$1:$AC$1501,$J111+1))),0),N(INDEX('Daily Sale entry '!$S$1:$S$1501,$J111-1499))-'Opening Balance'!$B$15*(N(INDEX('Daily Sale entry '!$S$1:$S$1501,$J111-1499))-TRUNC(N(INDEX('Daily Sale entry '!$S$1:$S$1501,$J111-1499))))))</f>
        <v/>
      </c>
      <c r="G111" s="6">
        <f>IF($J111="","",IF($J111&lt;=1500,N(INDEX('Daily Sale entry '!$AD$1:$AD$1501,$J111+1)),0))</f>
        <v/>
      </c>
      <c r="H111" s="6">
        <f>IF($J111="","",ROUND('Opening Balance'!$B$4+SUM($F$2:F111)-SUM($G$2:G111),2))</f>
        <v/>
      </c>
      <c r="J111" s="21">
        <f>IFERROR(MATCH(ROW()-1,$L$2:$L$3001,0),"")</f>
        <v/>
      </c>
      <c r="K111" s="34">
        <f>IF(AND('Daily Sale entry '!X111&lt;&gt;"",OR('Daily Sale entry '!AC111&lt;&gt;"",'Daily Sale entry '!AD111&lt;&gt;"")),'Daily Sale entry '!X111+ROW()/10000000,"")</f>
        <v/>
      </c>
      <c r="L111" s="21">
        <f>IF(K111="","",COUNTIF($K$2:$K$3001,"&lt;"&amp;K111)+1)</f>
        <v/>
      </c>
    </row>
    <row r="112">
      <c r="A112" s="5">
        <f>IF($J112="","",IF($J112&lt;=1500,INDEX('Daily Sale entry '!$X$1:$X$1501,$J112+1),INDEX('Daily Sale entry '!$V$1:$V$1501,$J112-1499)))</f>
        <v/>
      </c>
      <c r="B112">
        <f>IF($J112="","",IF($J112&lt;=1500,INDEX('Daily Sale entry '!$Y$1:$Y$1501,$J112+1)&amp;"","Buyer cheque banked 买家支票存入"&amp;IF(INDEX('Daily Sale entry '!$U$1:$U$1501,$J112-1499)="","", " - "&amp;INDEX('Daily Sale entry '!$U$1:$U$1501,$J112-1499))))</f>
        <v/>
      </c>
      <c r="C112">
        <f>IF($J112="","",IF($J112&lt;=1500,INDEX('Daily Sale entry '!$Z$1:$Z$1501,$J112+1)&amp;"","Cheque deposit 支票存入 (buyer 买家)"))</f>
        <v/>
      </c>
      <c r="D112">
        <f>IF($J112="","",IF($J112&lt;=1500,INDEX('Daily Sale entry '!$AA$1:$AA$1501,$J112+1)&amp;"",INDEX('Daily Sale entry '!$P$1:$P$1501,$J112-1499)&amp;""))</f>
        <v/>
      </c>
      <c r="E112">
        <f>IF($J112="","",IF($J112&lt;=1500,IF(N(INDEX('Daily Sale entry '!$AB$1:$AB$1501,$J112+1))=0,"",INDEX('Daily Sale entry '!$AB$1:$AB$1501,$J112+1)),1))</f>
        <v/>
      </c>
      <c r="F112" s="6">
        <f>IF($J112="","",IF($J112&lt;=1500,N(INDEX('Daily Sale entry '!$AC$1:$AC$1501,$J112+1))-IF(AND('Opening Balance'!$B$15=1,INDEX('Daily Sale entry '!$Z$1:$Z$1501,$J112+1)="Online collection 网上收款",INDEX('Daily Sale entry '!$AA$1:$AA$1501,$J112+1)&lt;&gt;""),N(INDEX('Daily Sale entry '!$AC$1:$AC$1501,$J112+1))-TRUNC(N(INDEX('Daily Sale entry '!$AC$1:$AC$1501,$J112+1))),0),N(INDEX('Daily Sale entry '!$S$1:$S$1501,$J112-1499))-'Opening Balance'!$B$15*(N(INDEX('Daily Sale entry '!$S$1:$S$1501,$J112-1499))-TRUNC(N(INDEX('Daily Sale entry '!$S$1:$S$1501,$J112-1499))))))</f>
        <v/>
      </c>
      <c r="G112" s="6">
        <f>IF($J112="","",IF($J112&lt;=1500,N(INDEX('Daily Sale entry '!$AD$1:$AD$1501,$J112+1)),0))</f>
        <v/>
      </c>
      <c r="H112" s="6">
        <f>IF($J112="","",ROUND('Opening Balance'!$B$4+SUM($F$2:F112)-SUM($G$2:G112),2))</f>
        <v/>
      </c>
      <c r="J112" s="21">
        <f>IFERROR(MATCH(ROW()-1,$L$2:$L$3001,0),"")</f>
        <v/>
      </c>
      <c r="K112" s="34">
        <f>IF(AND('Daily Sale entry '!X112&lt;&gt;"",OR('Daily Sale entry '!AC112&lt;&gt;"",'Daily Sale entry '!AD112&lt;&gt;"")),'Daily Sale entry '!X112+ROW()/10000000,"")</f>
        <v/>
      </c>
      <c r="L112" s="21">
        <f>IF(K112="","",COUNTIF($K$2:$K$3001,"&lt;"&amp;K112)+1)</f>
        <v/>
      </c>
    </row>
    <row r="113">
      <c r="A113" s="5">
        <f>IF($J113="","",IF($J113&lt;=1500,INDEX('Daily Sale entry '!$X$1:$X$1501,$J113+1),INDEX('Daily Sale entry '!$V$1:$V$1501,$J113-1499)))</f>
        <v/>
      </c>
      <c r="B113">
        <f>IF($J113="","",IF($J113&lt;=1500,INDEX('Daily Sale entry '!$Y$1:$Y$1501,$J113+1)&amp;"","Buyer cheque banked 买家支票存入"&amp;IF(INDEX('Daily Sale entry '!$U$1:$U$1501,$J113-1499)="","", " - "&amp;INDEX('Daily Sale entry '!$U$1:$U$1501,$J113-1499))))</f>
        <v/>
      </c>
      <c r="C113">
        <f>IF($J113="","",IF($J113&lt;=1500,INDEX('Daily Sale entry '!$Z$1:$Z$1501,$J113+1)&amp;"","Cheque deposit 支票存入 (buyer 买家)"))</f>
        <v/>
      </c>
      <c r="D113">
        <f>IF($J113="","",IF($J113&lt;=1500,INDEX('Daily Sale entry '!$AA$1:$AA$1501,$J113+1)&amp;"",INDEX('Daily Sale entry '!$P$1:$P$1501,$J113-1499)&amp;""))</f>
        <v/>
      </c>
      <c r="E113">
        <f>IF($J113="","",IF($J113&lt;=1500,IF(N(INDEX('Daily Sale entry '!$AB$1:$AB$1501,$J113+1))=0,"",INDEX('Daily Sale entry '!$AB$1:$AB$1501,$J113+1)),1))</f>
        <v/>
      </c>
      <c r="F113" s="6">
        <f>IF($J113="","",IF($J113&lt;=1500,N(INDEX('Daily Sale entry '!$AC$1:$AC$1501,$J113+1))-IF(AND('Opening Balance'!$B$15=1,INDEX('Daily Sale entry '!$Z$1:$Z$1501,$J113+1)="Online collection 网上收款",INDEX('Daily Sale entry '!$AA$1:$AA$1501,$J113+1)&lt;&gt;""),N(INDEX('Daily Sale entry '!$AC$1:$AC$1501,$J113+1))-TRUNC(N(INDEX('Daily Sale entry '!$AC$1:$AC$1501,$J113+1))),0),N(INDEX('Daily Sale entry '!$S$1:$S$1501,$J113-1499))-'Opening Balance'!$B$15*(N(INDEX('Daily Sale entry '!$S$1:$S$1501,$J113-1499))-TRUNC(N(INDEX('Daily Sale entry '!$S$1:$S$1501,$J113-1499))))))</f>
        <v/>
      </c>
      <c r="G113" s="6">
        <f>IF($J113="","",IF($J113&lt;=1500,N(INDEX('Daily Sale entry '!$AD$1:$AD$1501,$J113+1)),0))</f>
        <v/>
      </c>
      <c r="H113" s="6">
        <f>IF($J113="","",ROUND('Opening Balance'!$B$4+SUM($F$2:F113)-SUM($G$2:G113),2))</f>
        <v/>
      </c>
      <c r="J113" s="21">
        <f>IFERROR(MATCH(ROW()-1,$L$2:$L$3001,0),"")</f>
        <v/>
      </c>
      <c r="K113" s="34">
        <f>IF(AND('Daily Sale entry '!X113&lt;&gt;"",OR('Daily Sale entry '!AC113&lt;&gt;"",'Daily Sale entry '!AD113&lt;&gt;"")),'Daily Sale entry '!X113+ROW()/10000000,"")</f>
        <v/>
      </c>
      <c r="L113" s="21">
        <f>IF(K113="","",COUNTIF($K$2:$K$3001,"&lt;"&amp;K113)+1)</f>
        <v/>
      </c>
    </row>
    <row r="114">
      <c r="A114" s="5">
        <f>IF($J114="","",IF($J114&lt;=1500,INDEX('Daily Sale entry '!$X$1:$X$1501,$J114+1),INDEX('Daily Sale entry '!$V$1:$V$1501,$J114-1499)))</f>
        <v/>
      </c>
      <c r="B114">
        <f>IF($J114="","",IF($J114&lt;=1500,INDEX('Daily Sale entry '!$Y$1:$Y$1501,$J114+1)&amp;"","Buyer cheque banked 买家支票存入"&amp;IF(INDEX('Daily Sale entry '!$U$1:$U$1501,$J114-1499)="","", " - "&amp;INDEX('Daily Sale entry '!$U$1:$U$1501,$J114-1499))))</f>
        <v/>
      </c>
      <c r="C114">
        <f>IF($J114="","",IF($J114&lt;=1500,INDEX('Daily Sale entry '!$Z$1:$Z$1501,$J114+1)&amp;"","Cheque deposit 支票存入 (buyer 买家)"))</f>
        <v/>
      </c>
      <c r="D114">
        <f>IF($J114="","",IF($J114&lt;=1500,INDEX('Daily Sale entry '!$AA$1:$AA$1501,$J114+1)&amp;"",INDEX('Daily Sale entry '!$P$1:$P$1501,$J114-1499)&amp;""))</f>
        <v/>
      </c>
      <c r="E114">
        <f>IF($J114="","",IF($J114&lt;=1500,IF(N(INDEX('Daily Sale entry '!$AB$1:$AB$1501,$J114+1))=0,"",INDEX('Daily Sale entry '!$AB$1:$AB$1501,$J114+1)),1))</f>
        <v/>
      </c>
      <c r="F114" s="6">
        <f>IF($J114="","",IF($J114&lt;=1500,N(INDEX('Daily Sale entry '!$AC$1:$AC$1501,$J114+1))-IF(AND('Opening Balance'!$B$15=1,INDEX('Daily Sale entry '!$Z$1:$Z$1501,$J114+1)="Online collection 网上收款",INDEX('Daily Sale entry '!$AA$1:$AA$1501,$J114+1)&lt;&gt;""),N(INDEX('Daily Sale entry '!$AC$1:$AC$1501,$J114+1))-TRUNC(N(INDEX('Daily Sale entry '!$AC$1:$AC$1501,$J114+1))),0),N(INDEX('Daily Sale entry '!$S$1:$S$1501,$J114-1499))-'Opening Balance'!$B$15*(N(INDEX('Daily Sale entry '!$S$1:$S$1501,$J114-1499))-TRUNC(N(INDEX('Daily Sale entry '!$S$1:$S$1501,$J114-1499))))))</f>
        <v/>
      </c>
      <c r="G114" s="6">
        <f>IF($J114="","",IF($J114&lt;=1500,N(INDEX('Daily Sale entry '!$AD$1:$AD$1501,$J114+1)),0))</f>
        <v/>
      </c>
      <c r="H114" s="6">
        <f>IF($J114="","",ROUND('Opening Balance'!$B$4+SUM($F$2:F114)-SUM($G$2:G114),2))</f>
        <v/>
      </c>
      <c r="J114" s="21">
        <f>IFERROR(MATCH(ROW()-1,$L$2:$L$3001,0),"")</f>
        <v/>
      </c>
      <c r="K114" s="34">
        <f>IF(AND('Daily Sale entry '!X114&lt;&gt;"",OR('Daily Sale entry '!AC114&lt;&gt;"",'Daily Sale entry '!AD114&lt;&gt;"")),'Daily Sale entry '!X114+ROW()/10000000,"")</f>
        <v/>
      </c>
      <c r="L114" s="21">
        <f>IF(K114="","",COUNTIF($K$2:$K$3001,"&lt;"&amp;K114)+1)</f>
        <v/>
      </c>
    </row>
    <row r="115">
      <c r="A115" s="5">
        <f>IF($J115="","",IF($J115&lt;=1500,INDEX('Daily Sale entry '!$X$1:$X$1501,$J115+1),INDEX('Daily Sale entry '!$V$1:$V$1501,$J115-1499)))</f>
        <v/>
      </c>
      <c r="B115">
        <f>IF($J115="","",IF($J115&lt;=1500,INDEX('Daily Sale entry '!$Y$1:$Y$1501,$J115+1)&amp;"","Buyer cheque banked 买家支票存入"&amp;IF(INDEX('Daily Sale entry '!$U$1:$U$1501,$J115-1499)="","", " - "&amp;INDEX('Daily Sale entry '!$U$1:$U$1501,$J115-1499))))</f>
        <v/>
      </c>
      <c r="C115">
        <f>IF($J115="","",IF($J115&lt;=1500,INDEX('Daily Sale entry '!$Z$1:$Z$1501,$J115+1)&amp;"","Cheque deposit 支票存入 (buyer 买家)"))</f>
        <v/>
      </c>
      <c r="D115">
        <f>IF($J115="","",IF($J115&lt;=1500,INDEX('Daily Sale entry '!$AA$1:$AA$1501,$J115+1)&amp;"",INDEX('Daily Sale entry '!$P$1:$P$1501,$J115-1499)&amp;""))</f>
        <v/>
      </c>
      <c r="E115">
        <f>IF($J115="","",IF($J115&lt;=1500,IF(N(INDEX('Daily Sale entry '!$AB$1:$AB$1501,$J115+1))=0,"",INDEX('Daily Sale entry '!$AB$1:$AB$1501,$J115+1)),1))</f>
        <v/>
      </c>
      <c r="F115" s="6">
        <f>IF($J115="","",IF($J115&lt;=1500,N(INDEX('Daily Sale entry '!$AC$1:$AC$1501,$J115+1))-IF(AND('Opening Balance'!$B$15=1,INDEX('Daily Sale entry '!$Z$1:$Z$1501,$J115+1)="Online collection 网上收款",INDEX('Daily Sale entry '!$AA$1:$AA$1501,$J115+1)&lt;&gt;""),N(INDEX('Daily Sale entry '!$AC$1:$AC$1501,$J115+1))-TRUNC(N(INDEX('Daily Sale entry '!$AC$1:$AC$1501,$J115+1))),0),N(INDEX('Daily Sale entry '!$S$1:$S$1501,$J115-1499))-'Opening Balance'!$B$15*(N(INDEX('Daily Sale entry '!$S$1:$S$1501,$J115-1499))-TRUNC(N(INDEX('Daily Sale entry '!$S$1:$S$1501,$J115-1499))))))</f>
        <v/>
      </c>
      <c r="G115" s="6">
        <f>IF($J115="","",IF($J115&lt;=1500,N(INDEX('Daily Sale entry '!$AD$1:$AD$1501,$J115+1)),0))</f>
        <v/>
      </c>
      <c r="H115" s="6">
        <f>IF($J115="","",ROUND('Opening Balance'!$B$4+SUM($F$2:F115)-SUM($G$2:G115),2))</f>
        <v/>
      </c>
      <c r="J115" s="21">
        <f>IFERROR(MATCH(ROW()-1,$L$2:$L$3001,0),"")</f>
        <v/>
      </c>
      <c r="K115" s="34">
        <f>IF(AND('Daily Sale entry '!X115&lt;&gt;"",OR('Daily Sale entry '!AC115&lt;&gt;"",'Daily Sale entry '!AD115&lt;&gt;"")),'Daily Sale entry '!X115+ROW()/10000000,"")</f>
        <v/>
      </c>
      <c r="L115" s="21">
        <f>IF(K115="","",COUNTIF($K$2:$K$3001,"&lt;"&amp;K115)+1)</f>
        <v/>
      </c>
    </row>
    <row r="116">
      <c r="A116" s="5">
        <f>IF($J116="","",IF($J116&lt;=1500,INDEX('Daily Sale entry '!$X$1:$X$1501,$J116+1),INDEX('Daily Sale entry '!$V$1:$V$1501,$J116-1499)))</f>
        <v/>
      </c>
      <c r="B116">
        <f>IF($J116="","",IF($J116&lt;=1500,INDEX('Daily Sale entry '!$Y$1:$Y$1501,$J116+1)&amp;"","Buyer cheque banked 买家支票存入"&amp;IF(INDEX('Daily Sale entry '!$U$1:$U$1501,$J116-1499)="","", " - "&amp;INDEX('Daily Sale entry '!$U$1:$U$1501,$J116-1499))))</f>
        <v/>
      </c>
      <c r="C116">
        <f>IF($J116="","",IF($J116&lt;=1500,INDEX('Daily Sale entry '!$Z$1:$Z$1501,$J116+1)&amp;"","Cheque deposit 支票存入 (buyer 买家)"))</f>
        <v/>
      </c>
      <c r="D116">
        <f>IF($J116="","",IF($J116&lt;=1500,INDEX('Daily Sale entry '!$AA$1:$AA$1501,$J116+1)&amp;"",INDEX('Daily Sale entry '!$P$1:$P$1501,$J116-1499)&amp;""))</f>
        <v/>
      </c>
      <c r="E116">
        <f>IF($J116="","",IF($J116&lt;=1500,IF(N(INDEX('Daily Sale entry '!$AB$1:$AB$1501,$J116+1))=0,"",INDEX('Daily Sale entry '!$AB$1:$AB$1501,$J116+1)),1))</f>
        <v/>
      </c>
      <c r="F116" s="6">
        <f>IF($J116="","",IF($J116&lt;=1500,N(INDEX('Daily Sale entry '!$AC$1:$AC$1501,$J116+1))-IF(AND('Opening Balance'!$B$15=1,INDEX('Daily Sale entry '!$Z$1:$Z$1501,$J116+1)="Online collection 网上收款",INDEX('Daily Sale entry '!$AA$1:$AA$1501,$J116+1)&lt;&gt;""),N(INDEX('Daily Sale entry '!$AC$1:$AC$1501,$J116+1))-TRUNC(N(INDEX('Daily Sale entry '!$AC$1:$AC$1501,$J116+1))),0),N(INDEX('Daily Sale entry '!$S$1:$S$1501,$J116-1499))-'Opening Balance'!$B$15*(N(INDEX('Daily Sale entry '!$S$1:$S$1501,$J116-1499))-TRUNC(N(INDEX('Daily Sale entry '!$S$1:$S$1501,$J116-1499))))))</f>
        <v/>
      </c>
      <c r="G116" s="6">
        <f>IF($J116="","",IF($J116&lt;=1500,N(INDEX('Daily Sale entry '!$AD$1:$AD$1501,$J116+1)),0))</f>
        <v/>
      </c>
      <c r="H116" s="6">
        <f>IF($J116="","",ROUND('Opening Balance'!$B$4+SUM($F$2:F116)-SUM($G$2:G116),2))</f>
        <v/>
      </c>
      <c r="J116" s="21">
        <f>IFERROR(MATCH(ROW()-1,$L$2:$L$3001,0),"")</f>
        <v/>
      </c>
      <c r="K116" s="34">
        <f>IF(AND('Daily Sale entry '!X116&lt;&gt;"",OR('Daily Sale entry '!AC116&lt;&gt;"",'Daily Sale entry '!AD116&lt;&gt;"")),'Daily Sale entry '!X116+ROW()/10000000,"")</f>
        <v/>
      </c>
      <c r="L116" s="21">
        <f>IF(K116="","",COUNTIF($K$2:$K$3001,"&lt;"&amp;K116)+1)</f>
        <v/>
      </c>
    </row>
    <row r="117">
      <c r="A117" s="5">
        <f>IF($J117="","",IF($J117&lt;=1500,INDEX('Daily Sale entry '!$X$1:$X$1501,$J117+1),INDEX('Daily Sale entry '!$V$1:$V$1501,$J117-1499)))</f>
        <v/>
      </c>
      <c r="B117">
        <f>IF($J117="","",IF($J117&lt;=1500,INDEX('Daily Sale entry '!$Y$1:$Y$1501,$J117+1)&amp;"","Buyer cheque banked 买家支票存入"&amp;IF(INDEX('Daily Sale entry '!$U$1:$U$1501,$J117-1499)="","", " - "&amp;INDEX('Daily Sale entry '!$U$1:$U$1501,$J117-1499))))</f>
        <v/>
      </c>
      <c r="C117">
        <f>IF($J117="","",IF($J117&lt;=1500,INDEX('Daily Sale entry '!$Z$1:$Z$1501,$J117+1)&amp;"","Cheque deposit 支票存入 (buyer 买家)"))</f>
        <v/>
      </c>
      <c r="D117">
        <f>IF($J117="","",IF($J117&lt;=1500,INDEX('Daily Sale entry '!$AA$1:$AA$1501,$J117+1)&amp;"",INDEX('Daily Sale entry '!$P$1:$P$1501,$J117-1499)&amp;""))</f>
        <v/>
      </c>
      <c r="E117">
        <f>IF($J117="","",IF($J117&lt;=1500,IF(N(INDEX('Daily Sale entry '!$AB$1:$AB$1501,$J117+1))=0,"",INDEX('Daily Sale entry '!$AB$1:$AB$1501,$J117+1)),1))</f>
        <v/>
      </c>
      <c r="F117" s="6">
        <f>IF($J117="","",IF($J117&lt;=1500,N(INDEX('Daily Sale entry '!$AC$1:$AC$1501,$J117+1))-IF(AND('Opening Balance'!$B$15=1,INDEX('Daily Sale entry '!$Z$1:$Z$1501,$J117+1)="Online collection 网上收款",INDEX('Daily Sale entry '!$AA$1:$AA$1501,$J117+1)&lt;&gt;""),N(INDEX('Daily Sale entry '!$AC$1:$AC$1501,$J117+1))-TRUNC(N(INDEX('Daily Sale entry '!$AC$1:$AC$1501,$J117+1))),0),N(INDEX('Daily Sale entry '!$S$1:$S$1501,$J117-1499))-'Opening Balance'!$B$15*(N(INDEX('Daily Sale entry '!$S$1:$S$1501,$J117-1499))-TRUNC(N(INDEX('Daily Sale entry '!$S$1:$S$1501,$J117-1499))))))</f>
        <v/>
      </c>
      <c r="G117" s="6">
        <f>IF($J117="","",IF($J117&lt;=1500,N(INDEX('Daily Sale entry '!$AD$1:$AD$1501,$J117+1)),0))</f>
        <v/>
      </c>
      <c r="H117" s="6">
        <f>IF($J117="","",ROUND('Opening Balance'!$B$4+SUM($F$2:F117)-SUM($G$2:G117),2))</f>
        <v/>
      </c>
      <c r="J117" s="21">
        <f>IFERROR(MATCH(ROW()-1,$L$2:$L$3001,0),"")</f>
        <v/>
      </c>
      <c r="K117" s="34">
        <f>IF(AND('Daily Sale entry '!X117&lt;&gt;"",OR('Daily Sale entry '!AC117&lt;&gt;"",'Daily Sale entry '!AD117&lt;&gt;"")),'Daily Sale entry '!X117+ROW()/10000000,"")</f>
        <v/>
      </c>
      <c r="L117" s="21">
        <f>IF(K117="","",COUNTIF($K$2:$K$3001,"&lt;"&amp;K117)+1)</f>
        <v/>
      </c>
    </row>
    <row r="118">
      <c r="A118" s="5">
        <f>IF($J118="","",IF($J118&lt;=1500,INDEX('Daily Sale entry '!$X$1:$X$1501,$J118+1),INDEX('Daily Sale entry '!$V$1:$V$1501,$J118-1499)))</f>
        <v/>
      </c>
      <c r="B118">
        <f>IF($J118="","",IF($J118&lt;=1500,INDEX('Daily Sale entry '!$Y$1:$Y$1501,$J118+1)&amp;"","Buyer cheque banked 买家支票存入"&amp;IF(INDEX('Daily Sale entry '!$U$1:$U$1501,$J118-1499)="","", " - "&amp;INDEX('Daily Sale entry '!$U$1:$U$1501,$J118-1499))))</f>
        <v/>
      </c>
      <c r="C118">
        <f>IF($J118="","",IF($J118&lt;=1500,INDEX('Daily Sale entry '!$Z$1:$Z$1501,$J118+1)&amp;"","Cheque deposit 支票存入 (buyer 买家)"))</f>
        <v/>
      </c>
      <c r="D118">
        <f>IF($J118="","",IF($J118&lt;=1500,INDEX('Daily Sale entry '!$AA$1:$AA$1501,$J118+1)&amp;"",INDEX('Daily Sale entry '!$P$1:$P$1501,$J118-1499)&amp;""))</f>
        <v/>
      </c>
      <c r="E118">
        <f>IF($J118="","",IF($J118&lt;=1500,IF(N(INDEX('Daily Sale entry '!$AB$1:$AB$1501,$J118+1))=0,"",INDEX('Daily Sale entry '!$AB$1:$AB$1501,$J118+1)),1))</f>
        <v/>
      </c>
      <c r="F118" s="6">
        <f>IF($J118="","",IF($J118&lt;=1500,N(INDEX('Daily Sale entry '!$AC$1:$AC$1501,$J118+1))-IF(AND('Opening Balance'!$B$15=1,INDEX('Daily Sale entry '!$Z$1:$Z$1501,$J118+1)="Online collection 网上收款",INDEX('Daily Sale entry '!$AA$1:$AA$1501,$J118+1)&lt;&gt;""),N(INDEX('Daily Sale entry '!$AC$1:$AC$1501,$J118+1))-TRUNC(N(INDEX('Daily Sale entry '!$AC$1:$AC$1501,$J118+1))),0),N(INDEX('Daily Sale entry '!$S$1:$S$1501,$J118-1499))-'Opening Balance'!$B$15*(N(INDEX('Daily Sale entry '!$S$1:$S$1501,$J118-1499))-TRUNC(N(INDEX('Daily Sale entry '!$S$1:$S$1501,$J118-1499))))))</f>
        <v/>
      </c>
      <c r="G118" s="6">
        <f>IF($J118="","",IF($J118&lt;=1500,N(INDEX('Daily Sale entry '!$AD$1:$AD$1501,$J118+1)),0))</f>
        <v/>
      </c>
      <c r="H118" s="6">
        <f>IF($J118="","",ROUND('Opening Balance'!$B$4+SUM($F$2:F118)-SUM($G$2:G118),2))</f>
        <v/>
      </c>
      <c r="J118" s="21">
        <f>IFERROR(MATCH(ROW()-1,$L$2:$L$3001,0),"")</f>
        <v/>
      </c>
      <c r="K118" s="34">
        <f>IF(AND('Daily Sale entry '!X118&lt;&gt;"",OR('Daily Sale entry '!AC118&lt;&gt;"",'Daily Sale entry '!AD118&lt;&gt;"")),'Daily Sale entry '!X118+ROW()/10000000,"")</f>
        <v/>
      </c>
      <c r="L118" s="21">
        <f>IF(K118="","",COUNTIF($K$2:$K$3001,"&lt;"&amp;K118)+1)</f>
        <v/>
      </c>
    </row>
    <row r="119">
      <c r="A119" s="5">
        <f>IF($J119="","",IF($J119&lt;=1500,INDEX('Daily Sale entry '!$X$1:$X$1501,$J119+1),INDEX('Daily Sale entry '!$V$1:$V$1501,$J119-1499)))</f>
        <v/>
      </c>
      <c r="B119">
        <f>IF($J119="","",IF($J119&lt;=1500,INDEX('Daily Sale entry '!$Y$1:$Y$1501,$J119+1)&amp;"","Buyer cheque banked 买家支票存入"&amp;IF(INDEX('Daily Sale entry '!$U$1:$U$1501,$J119-1499)="","", " - "&amp;INDEX('Daily Sale entry '!$U$1:$U$1501,$J119-1499))))</f>
        <v/>
      </c>
      <c r="C119">
        <f>IF($J119="","",IF($J119&lt;=1500,INDEX('Daily Sale entry '!$Z$1:$Z$1501,$J119+1)&amp;"","Cheque deposit 支票存入 (buyer 买家)"))</f>
        <v/>
      </c>
      <c r="D119">
        <f>IF($J119="","",IF($J119&lt;=1500,INDEX('Daily Sale entry '!$AA$1:$AA$1501,$J119+1)&amp;"",INDEX('Daily Sale entry '!$P$1:$P$1501,$J119-1499)&amp;""))</f>
        <v/>
      </c>
      <c r="E119">
        <f>IF($J119="","",IF($J119&lt;=1500,IF(N(INDEX('Daily Sale entry '!$AB$1:$AB$1501,$J119+1))=0,"",INDEX('Daily Sale entry '!$AB$1:$AB$1501,$J119+1)),1))</f>
        <v/>
      </c>
      <c r="F119" s="6">
        <f>IF($J119="","",IF($J119&lt;=1500,N(INDEX('Daily Sale entry '!$AC$1:$AC$1501,$J119+1))-IF(AND('Opening Balance'!$B$15=1,INDEX('Daily Sale entry '!$Z$1:$Z$1501,$J119+1)="Online collection 网上收款",INDEX('Daily Sale entry '!$AA$1:$AA$1501,$J119+1)&lt;&gt;""),N(INDEX('Daily Sale entry '!$AC$1:$AC$1501,$J119+1))-TRUNC(N(INDEX('Daily Sale entry '!$AC$1:$AC$1501,$J119+1))),0),N(INDEX('Daily Sale entry '!$S$1:$S$1501,$J119-1499))-'Opening Balance'!$B$15*(N(INDEX('Daily Sale entry '!$S$1:$S$1501,$J119-1499))-TRUNC(N(INDEX('Daily Sale entry '!$S$1:$S$1501,$J119-1499))))))</f>
        <v/>
      </c>
      <c r="G119" s="6">
        <f>IF($J119="","",IF($J119&lt;=1500,N(INDEX('Daily Sale entry '!$AD$1:$AD$1501,$J119+1)),0))</f>
        <v/>
      </c>
      <c r="H119" s="6">
        <f>IF($J119="","",ROUND('Opening Balance'!$B$4+SUM($F$2:F119)-SUM($G$2:G119),2))</f>
        <v/>
      </c>
      <c r="J119" s="21">
        <f>IFERROR(MATCH(ROW()-1,$L$2:$L$3001,0),"")</f>
        <v/>
      </c>
      <c r="K119" s="34">
        <f>IF(AND('Daily Sale entry '!X119&lt;&gt;"",OR('Daily Sale entry '!AC119&lt;&gt;"",'Daily Sale entry '!AD119&lt;&gt;"")),'Daily Sale entry '!X119+ROW()/10000000,"")</f>
        <v/>
      </c>
      <c r="L119" s="21">
        <f>IF(K119="","",COUNTIF($K$2:$K$3001,"&lt;"&amp;K119)+1)</f>
        <v/>
      </c>
    </row>
    <row r="120">
      <c r="A120" s="5">
        <f>IF($J120="","",IF($J120&lt;=1500,INDEX('Daily Sale entry '!$X$1:$X$1501,$J120+1),INDEX('Daily Sale entry '!$V$1:$V$1501,$J120-1499)))</f>
        <v/>
      </c>
      <c r="B120">
        <f>IF($J120="","",IF($J120&lt;=1500,INDEX('Daily Sale entry '!$Y$1:$Y$1501,$J120+1)&amp;"","Buyer cheque banked 买家支票存入"&amp;IF(INDEX('Daily Sale entry '!$U$1:$U$1501,$J120-1499)="","", " - "&amp;INDEX('Daily Sale entry '!$U$1:$U$1501,$J120-1499))))</f>
        <v/>
      </c>
      <c r="C120">
        <f>IF($J120="","",IF($J120&lt;=1500,INDEX('Daily Sale entry '!$Z$1:$Z$1501,$J120+1)&amp;"","Cheque deposit 支票存入 (buyer 买家)"))</f>
        <v/>
      </c>
      <c r="D120">
        <f>IF($J120="","",IF($J120&lt;=1500,INDEX('Daily Sale entry '!$AA$1:$AA$1501,$J120+1)&amp;"",INDEX('Daily Sale entry '!$P$1:$P$1501,$J120-1499)&amp;""))</f>
        <v/>
      </c>
      <c r="E120">
        <f>IF($J120="","",IF($J120&lt;=1500,IF(N(INDEX('Daily Sale entry '!$AB$1:$AB$1501,$J120+1))=0,"",INDEX('Daily Sale entry '!$AB$1:$AB$1501,$J120+1)),1))</f>
        <v/>
      </c>
      <c r="F120" s="6">
        <f>IF($J120="","",IF($J120&lt;=1500,N(INDEX('Daily Sale entry '!$AC$1:$AC$1501,$J120+1))-IF(AND('Opening Balance'!$B$15=1,INDEX('Daily Sale entry '!$Z$1:$Z$1501,$J120+1)="Online collection 网上收款",INDEX('Daily Sale entry '!$AA$1:$AA$1501,$J120+1)&lt;&gt;""),N(INDEX('Daily Sale entry '!$AC$1:$AC$1501,$J120+1))-TRUNC(N(INDEX('Daily Sale entry '!$AC$1:$AC$1501,$J120+1))),0),N(INDEX('Daily Sale entry '!$S$1:$S$1501,$J120-1499))-'Opening Balance'!$B$15*(N(INDEX('Daily Sale entry '!$S$1:$S$1501,$J120-1499))-TRUNC(N(INDEX('Daily Sale entry '!$S$1:$S$1501,$J120-1499))))))</f>
        <v/>
      </c>
      <c r="G120" s="6">
        <f>IF($J120="","",IF($J120&lt;=1500,N(INDEX('Daily Sale entry '!$AD$1:$AD$1501,$J120+1)),0))</f>
        <v/>
      </c>
      <c r="H120" s="6">
        <f>IF($J120="","",ROUND('Opening Balance'!$B$4+SUM($F$2:F120)-SUM($G$2:G120),2))</f>
        <v/>
      </c>
      <c r="J120" s="21">
        <f>IFERROR(MATCH(ROW()-1,$L$2:$L$3001,0),"")</f>
        <v/>
      </c>
      <c r="K120" s="34">
        <f>IF(AND('Daily Sale entry '!X120&lt;&gt;"",OR('Daily Sale entry '!AC120&lt;&gt;"",'Daily Sale entry '!AD120&lt;&gt;"")),'Daily Sale entry '!X120+ROW()/10000000,"")</f>
        <v/>
      </c>
      <c r="L120" s="21">
        <f>IF(K120="","",COUNTIF($K$2:$K$3001,"&lt;"&amp;K120)+1)</f>
        <v/>
      </c>
    </row>
    <row r="121">
      <c r="A121" s="5">
        <f>IF($J121="","",IF($J121&lt;=1500,INDEX('Daily Sale entry '!$X$1:$X$1501,$J121+1),INDEX('Daily Sale entry '!$V$1:$V$1501,$J121-1499)))</f>
        <v/>
      </c>
      <c r="B121">
        <f>IF($J121="","",IF($J121&lt;=1500,INDEX('Daily Sale entry '!$Y$1:$Y$1501,$J121+1)&amp;"","Buyer cheque banked 买家支票存入"&amp;IF(INDEX('Daily Sale entry '!$U$1:$U$1501,$J121-1499)="","", " - "&amp;INDEX('Daily Sale entry '!$U$1:$U$1501,$J121-1499))))</f>
        <v/>
      </c>
      <c r="C121">
        <f>IF($J121="","",IF($J121&lt;=1500,INDEX('Daily Sale entry '!$Z$1:$Z$1501,$J121+1)&amp;"","Cheque deposit 支票存入 (buyer 买家)"))</f>
        <v/>
      </c>
      <c r="D121">
        <f>IF($J121="","",IF($J121&lt;=1500,INDEX('Daily Sale entry '!$AA$1:$AA$1501,$J121+1)&amp;"",INDEX('Daily Sale entry '!$P$1:$P$1501,$J121-1499)&amp;""))</f>
        <v/>
      </c>
      <c r="E121">
        <f>IF($J121="","",IF($J121&lt;=1500,IF(N(INDEX('Daily Sale entry '!$AB$1:$AB$1501,$J121+1))=0,"",INDEX('Daily Sale entry '!$AB$1:$AB$1501,$J121+1)),1))</f>
        <v/>
      </c>
      <c r="F121" s="6">
        <f>IF($J121="","",IF($J121&lt;=1500,N(INDEX('Daily Sale entry '!$AC$1:$AC$1501,$J121+1))-IF(AND('Opening Balance'!$B$15=1,INDEX('Daily Sale entry '!$Z$1:$Z$1501,$J121+1)="Online collection 网上收款",INDEX('Daily Sale entry '!$AA$1:$AA$1501,$J121+1)&lt;&gt;""),N(INDEX('Daily Sale entry '!$AC$1:$AC$1501,$J121+1))-TRUNC(N(INDEX('Daily Sale entry '!$AC$1:$AC$1501,$J121+1))),0),N(INDEX('Daily Sale entry '!$S$1:$S$1501,$J121-1499))-'Opening Balance'!$B$15*(N(INDEX('Daily Sale entry '!$S$1:$S$1501,$J121-1499))-TRUNC(N(INDEX('Daily Sale entry '!$S$1:$S$1501,$J121-1499))))))</f>
        <v/>
      </c>
      <c r="G121" s="6">
        <f>IF($J121="","",IF($J121&lt;=1500,N(INDEX('Daily Sale entry '!$AD$1:$AD$1501,$J121+1)),0))</f>
        <v/>
      </c>
      <c r="H121" s="6">
        <f>IF($J121="","",ROUND('Opening Balance'!$B$4+SUM($F$2:F121)-SUM($G$2:G121),2))</f>
        <v/>
      </c>
      <c r="J121" s="21">
        <f>IFERROR(MATCH(ROW()-1,$L$2:$L$3001,0),"")</f>
        <v/>
      </c>
      <c r="K121" s="34">
        <f>IF(AND('Daily Sale entry '!X121&lt;&gt;"",OR('Daily Sale entry '!AC121&lt;&gt;"",'Daily Sale entry '!AD121&lt;&gt;"")),'Daily Sale entry '!X121+ROW()/10000000,"")</f>
        <v/>
      </c>
      <c r="L121" s="21">
        <f>IF(K121="","",COUNTIF($K$2:$K$3001,"&lt;"&amp;K121)+1)</f>
        <v/>
      </c>
    </row>
    <row r="122">
      <c r="A122" s="5">
        <f>IF($J122="","",IF($J122&lt;=1500,INDEX('Daily Sale entry '!$X$1:$X$1501,$J122+1),INDEX('Daily Sale entry '!$V$1:$V$1501,$J122-1499)))</f>
        <v/>
      </c>
      <c r="B122">
        <f>IF($J122="","",IF($J122&lt;=1500,INDEX('Daily Sale entry '!$Y$1:$Y$1501,$J122+1)&amp;"","Buyer cheque banked 买家支票存入"&amp;IF(INDEX('Daily Sale entry '!$U$1:$U$1501,$J122-1499)="","", " - "&amp;INDEX('Daily Sale entry '!$U$1:$U$1501,$J122-1499))))</f>
        <v/>
      </c>
      <c r="C122">
        <f>IF($J122="","",IF($J122&lt;=1500,INDEX('Daily Sale entry '!$Z$1:$Z$1501,$J122+1)&amp;"","Cheque deposit 支票存入 (buyer 买家)"))</f>
        <v/>
      </c>
      <c r="D122">
        <f>IF($J122="","",IF($J122&lt;=1500,INDEX('Daily Sale entry '!$AA$1:$AA$1501,$J122+1)&amp;"",INDEX('Daily Sale entry '!$P$1:$P$1501,$J122-1499)&amp;""))</f>
        <v/>
      </c>
      <c r="E122">
        <f>IF($J122="","",IF($J122&lt;=1500,IF(N(INDEX('Daily Sale entry '!$AB$1:$AB$1501,$J122+1))=0,"",INDEX('Daily Sale entry '!$AB$1:$AB$1501,$J122+1)),1))</f>
        <v/>
      </c>
      <c r="F122" s="6">
        <f>IF($J122="","",IF($J122&lt;=1500,N(INDEX('Daily Sale entry '!$AC$1:$AC$1501,$J122+1))-IF(AND('Opening Balance'!$B$15=1,INDEX('Daily Sale entry '!$Z$1:$Z$1501,$J122+1)="Online collection 网上收款",INDEX('Daily Sale entry '!$AA$1:$AA$1501,$J122+1)&lt;&gt;""),N(INDEX('Daily Sale entry '!$AC$1:$AC$1501,$J122+1))-TRUNC(N(INDEX('Daily Sale entry '!$AC$1:$AC$1501,$J122+1))),0),N(INDEX('Daily Sale entry '!$S$1:$S$1501,$J122-1499))-'Opening Balance'!$B$15*(N(INDEX('Daily Sale entry '!$S$1:$S$1501,$J122-1499))-TRUNC(N(INDEX('Daily Sale entry '!$S$1:$S$1501,$J122-1499))))))</f>
        <v/>
      </c>
      <c r="G122" s="6">
        <f>IF($J122="","",IF($J122&lt;=1500,N(INDEX('Daily Sale entry '!$AD$1:$AD$1501,$J122+1)),0))</f>
        <v/>
      </c>
      <c r="H122" s="6">
        <f>IF($J122="","",ROUND('Opening Balance'!$B$4+SUM($F$2:F122)-SUM($G$2:G122),2))</f>
        <v/>
      </c>
      <c r="J122" s="21">
        <f>IFERROR(MATCH(ROW()-1,$L$2:$L$3001,0),"")</f>
        <v/>
      </c>
      <c r="K122" s="34">
        <f>IF(AND('Daily Sale entry '!X122&lt;&gt;"",OR('Daily Sale entry '!AC122&lt;&gt;"",'Daily Sale entry '!AD122&lt;&gt;"")),'Daily Sale entry '!X122+ROW()/10000000,"")</f>
        <v/>
      </c>
      <c r="L122" s="21">
        <f>IF(K122="","",COUNTIF($K$2:$K$3001,"&lt;"&amp;K122)+1)</f>
        <v/>
      </c>
    </row>
    <row r="123">
      <c r="A123" s="5">
        <f>IF($J123="","",IF($J123&lt;=1500,INDEX('Daily Sale entry '!$X$1:$X$1501,$J123+1),INDEX('Daily Sale entry '!$V$1:$V$1501,$J123-1499)))</f>
        <v/>
      </c>
      <c r="B123">
        <f>IF($J123="","",IF($J123&lt;=1500,INDEX('Daily Sale entry '!$Y$1:$Y$1501,$J123+1)&amp;"","Buyer cheque banked 买家支票存入"&amp;IF(INDEX('Daily Sale entry '!$U$1:$U$1501,$J123-1499)="","", " - "&amp;INDEX('Daily Sale entry '!$U$1:$U$1501,$J123-1499))))</f>
        <v/>
      </c>
      <c r="C123">
        <f>IF($J123="","",IF($J123&lt;=1500,INDEX('Daily Sale entry '!$Z$1:$Z$1501,$J123+1)&amp;"","Cheque deposit 支票存入 (buyer 买家)"))</f>
        <v/>
      </c>
      <c r="D123">
        <f>IF($J123="","",IF($J123&lt;=1500,INDEX('Daily Sale entry '!$AA$1:$AA$1501,$J123+1)&amp;"",INDEX('Daily Sale entry '!$P$1:$P$1501,$J123-1499)&amp;""))</f>
        <v/>
      </c>
      <c r="E123">
        <f>IF($J123="","",IF($J123&lt;=1500,IF(N(INDEX('Daily Sale entry '!$AB$1:$AB$1501,$J123+1))=0,"",INDEX('Daily Sale entry '!$AB$1:$AB$1501,$J123+1)),1))</f>
        <v/>
      </c>
      <c r="F123" s="6">
        <f>IF($J123="","",IF($J123&lt;=1500,N(INDEX('Daily Sale entry '!$AC$1:$AC$1501,$J123+1))-IF(AND('Opening Balance'!$B$15=1,INDEX('Daily Sale entry '!$Z$1:$Z$1501,$J123+1)="Online collection 网上收款",INDEX('Daily Sale entry '!$AA$1:$AA$1501,$J123+1)&lt;&gt;""),N(INDEX('Daily Sale entry '!$AC$1:$AC$1501,$J123+1))-TRUNC(N(INDEX('Daily Sale entry '!$AC$1:$AC$1501,$J123+1))),0),N(INDEX('Daily Sale entry '!$S$1:$S$1501,$J123-1499))-'Opening Balance'!$B$15*(N(INDEX('Daily Sale entry '!$S$1:$S$1501,$J123-1499))-TRUNC(N(INDEX('Daily Sale entry '!$S$1:$S$1501,$J123-1499))))))</f>
        <v/>
      </c>
      <c r="G123" s="6">
        <f>IF($J123="","",IF($J123&lt;=1500,N(INDEX('Daily Sale entry '!$AD$1:$AD$1501,$J123+1)),0))</f>
        <v/>
      </c>
      <c r="H123" s="6">
        <f>IF($J123="","",ROUND('Opening Balance'!$B$4+SUM($F$2:F123)-SUM($G$2:G123),2))</f>
        <v/>
      </c>
      <c r="J123" s="21">
        <f>IFERROR(MATCH(ROW()-1,$L$2:$L$3001,0),"")</f>
        <v/>
      </c>
      <c r="K123" s="34">
        <f>IF(AND('Daily Sale entry '!X123&lt;&gt;"",OR('Daily Sale entry '!AC123&lt;&gt;"",'Daily Sale entry '!AD123&lt;&gt;"")),'Daily Sale entry '!X123+ROW()/10000000,"")</f>
        <v/>
      </c>
      <c r="L123" s="21">
        <f>IF(K123="","",COUNTIF($K$2:$K$3001,"&lt;"&amp;K123)+1)</f>
        <v/>
      </c>
    </row>
    <row r="124">
      <c r="A124" s="5">
        <f>IF($J124="","",IF($J124&lt;=1500,INDEX('Daily Sale entry '!$X$1:$X$1501,$J124+1),INDEX('Daily Sale entry '!$V$1:$V$1501,$J124-1499)))</f>
        <v/>
      </c>
      <c r="B124">
        <f>IF($J124="","",IF($J124&lt;=1500,INDEX('Daily Sale entry '!$Y$1:$Y$1501,$J124+1)&amp;"","Buyer cheque banked 买家支票存入"&amp;IF(INDEX('Daily Sale entry '!$U$1:$U$1501,$J124-1499)="","", " - "&amp;INDEX('Daily Sale entry '!$U$1:$U$1501,$J124-1499))))</f>
        <v/>
      </c>
      <c r="C124">
        <f>IF($J124="","",IF($J124&lt;=1500,INDEX('Daily Sale entry '!$Z$1:$Z$1501,$J124+1)&amp;"","Cheque deposit 支票存入 (buyer 买家)"))</f>
        <v/>
      </c>
      <c r="D124">
        <f>IF($J124="","",IF($J124&lt;=1500,INDEX('Daily Sale entry '!$AA$1:$AA$1501,$J124+1)&amp;"",INDEX('Daily Sale entry '!$P$1:$P$1501,$J124-1499)&amp;""))</f>
        <v/>
      </c>
      <c r="E124">
        <f>IF($J124="","",IF($J124&lt;=1500,IF(N(INDEX('Daily Sale entry '!$AB$1:$AB$1501,$J124+1))=0,"",INDEX('Daily Sale entry '!$AB$1:$AB$1501,$J124+1)),1))</f>
        <v/>
      </c>
      <c r="F124" s="6">
        <f>IF($J124="","",IF($J124&lt;=1500,N(INDEX('Daily Sale entry '!$AC$1:$AC$1501,$J124+1))-IF(AND('Opening Balance'!$B$15=1,INDEX('Daily Sale entry '!$Z$1:$Z$1501,$J124+1)="Online collection 网上收款",INDEX('Daily Sale entry '!$AA$1:$AA$1501,$J124+1)&lt;&gt;""),N(INDEX('Daily Sale entry '!$AC$1:$AC$1501,$J124+1))-TRUNC(N(INDEX('Daily Sale entry '!$AC$1:$AC$1501,$J124+1))),0),N(INDEX('Daily Sale entry '!$S$1:$S$1501,$J124-1499))-'Opening Balance'!$B$15*(N(INDEX('Daily Sale entry '!$S$1:$S$1501,$J124-1499))-TRUNC(N(INDEX('Daily Sale entry '!$S$1:$S$1501,$J124-1499))))))</f>
        <v/>
      </c>
      <c r="G124" s="6">
        <f>IF($J124="","",IF($J124&lt;=1500,N(INDEX('Daily Sale entry '!$AD$1:$AD$1501,$J124+1)),0))</f>
        <v/>
      </c>
      <c r="H124" s="6">
        <f>IF($J124="","",ROUND('Opening Balance'!$B$4+SUM($F$2:F124)-SUM($G$2:G124),2))</f>
        <v/>
      </c>
      <c r="J124" s="21">
        <f>IFERROR(MATCH(ROW()-1,$L$2:$L$3001,0),"")</f>
        <v/>
      </c>
      <c r="K124" s="34">
        <f>IF(AND('Daily Sale entry '!X124&lt;&gt;"",OR('Daily Sale entry '!AC124&lt;&gt;"",'Daily Sale entry '!AD124&lt;&gt;"")),'Daily Sale entry '!X124+ROW()/10000000,"")</f>
        <v/>
      </c>
      <c r="L124" s="21">
        <f>IF(K124="","",COUNTIF($K$2:$K$3001,"&lt;"&amp;K124)+1)</f>
        <v/>
      </c>
    </row>
    <row r="125">
      <c r="A125" s="5">
        <f>IF($J125="","",IF($J125&lt;=1500,INDEX('Daily Sale entry '!$X$1:$X$1501,$J125+1),INDEX('Daily Sale entry '!$V$1:$V$1501,$J125-1499)))</f>
        <v/>
      </c>
      <c r="B125">
        <f>IF($J125="","",IF($J125&lt;=1500,INDEX('Daily Sale entry '!$Y$1:$Y$1501,$J125+1)&amp;"","Buyer cheque banked 买家支票存入"&amp;IF(INDEX('Daily Sale entry '!$U$1:$U$1501,$J125-1499)="","", " - "&amp;INDEX('Daily Sale entry '!$U$1:$U$1501,$J125-1499))))</f>
        <v/>
      </c>
      <c r="C125">
        <f>IF($J125="","",IF($J125&lt;=1500,INDEX('Daily Sale entry '!$Z$1:$Z$1501,$J125+1)&amp;"","Cheque deposit 支票存入 (buyer 买家)"))</f>
        <v/>
      </c>
      <c r="D125">
        <f>IF($J125="","",IF($J125&lt;=1500,INDEX('Daily Sale entry '!$AA$1:$AA$1501,$J125+1)&amp;"",INDEX('Daily Sale entry '!$P$1:$P$1501,$J125-1499)&amp;""))</f>
        <v/>
      </c>
      <c r="E125">
        <f>IF($J125="","",IF($J125&lt;=1500,IF(N(INDEX('Daily Sale entry '!$AB$1:$AB$1501,$J125+1))=0,"",INDEX('Daily Sale entry '!$AB$1:$AB$1501,$J125+1)),1))</f>
        <v/>
      </c>
      <c r="F125" s="6">
        <f>IF($J125="","",IF($J125&lt;=1500,N(INDEX('Daily Sale entry '!$AC$1:$AC$1501,$J125+1))-IF(AND('Opening Balance'!$B$15=1,INDEX('Daily Sale entry '!$Z$1:$Z$1501,$J125+1)="Online collection 网上收款",INDEX('Daily Sale entry '!$AA$1:$AA$1501,$J125+1)&lt;&gt;""),N(INDEX('Daily Sale entry '!$AC$1:$AC$1501,$J125+1))-TRUNC(N(INDEX('Daily Sale entry '!$AC$1:$AC$1501,$J125+1))),0),N(INDEX('Daily Sale entry '!$S$1:$S$1501,$J125-1499))-'Opening Balance'!$B$15*(N(INDEX('Daily Sale entry '!$S$1:$S$1501,$J125-1499))-TRUNC(N(INDEX('Daily Sale entry '!$S$1:$S$1501,$J125-1499))))))</f>
        <v/>
      </c>
      <c r="G125" s="6">
        <f>IF($J125="","",IF($J125&lt;=1500,N(INDEX('Daily Sale entry '!$AD$1:$AD$1501,$J125+1)),0))</f>
        <v/>
      </c>
      <c r="H125" s="6">
        <f>IF($J125="","",ROUND('Opening Balance'!$B$4+SUM($F$2:F125)-SUM($G$2:G125),2))</f>
        <v/>
      </c>
      <c r="J125" s="21">
        <f>IFERROR(MATCH(ROW()-1,$L$2:$L$3001,0),"")</f>
        <v/>
      </c>
      <c r="K125" s="34">
        <f>IF(AND('Daily Sale entry '!X125&lt;&gt;"",OR('Daily Sale entry '!AC125&lt;&gt;"",'Daily Sale entry '!AD125&lt;&gt;"")),'Daily Sale entry '!X125+ROW()/10000000,"")</f>
        <v/>
      </c>
      <c r="L125" s="21">
        <f>IF(K125="","",COUNTIF($K$2:$K$3001,"&lt;"&amp;K125)+1)</f>
        <v/>
      </c>
    </row>
    <row r="126">
      <c r="A126" s="5">
        <f>IF($J126="","",IF($J126&lt;=1500,INDEX('Daily Sale entry '!$X$1:$X$1501,$J126+1),INDEX('Daily Sale entry '!$V$1:$V$1501,$J126-1499)))</f>
        <v/>
      </c>
      <c r="B126">
        <f>IF($J126="","",IF($J126&lt;=1500,INDEX('Daily Sale entry '!$Y$1:$Y$1501,$J126+1)&amp;"","Buyer cheque banked 买家支票存入"&amp;IF(INDEX('Daily Sale entry '!$U$1:$U$1501,$J126-1499)="","", " - "&amp;INDEX('Daily Sale entry '!$U$1:$U$1501,$J126-1499))))</f>
        <v/>
      </c>
      <c r="C126">
        <f>IF($J126="","",IF($J126&lt;=1500,INDEX('Daily Sale entry '!$Z$1:$Z$1501,$J126+1)&amp;"","Cheque deposit 支票存入 (buyer 买家)"))</f>
        <v/>
      </c>
      <c r="D126">
        <f>IF($J126="","",IF($J126&lt;=1500,INDEX('Daily Sale entry '!$AA$1:$AA$1501,$J126+1)&amp;"",INDEX('Daily Sale entry '!$P$1:$P$1501,$J126-1499)&amp;""))</f>
        <v/>
      </c>
      <c r="E126">
        <f>IF($J126="","",IF($J126&lt;=1500,IF(N(INDEX('Daily Sale entry '!$AB$1:$AB$1501,$J126+1))=0,"",INDEX('Daily Sale entry '!$AB$1:$AB$1501,$J126+1)),1))</f>
        <v/>
      </c>
      <c r="F126" s="6">
        <f>IF($J126="","",IF($J126&lt;=1500,N(INDEX('Daily Sale entry '!$AC$1:$AC$1501,$J126+1))-IF(AND('Opening Balance'!$B$15=1,INDEX('Daily Sale entry '!$Z$1:$Z$1501,$J126+1)="Online collection 网上收款",INDEX('Daily Sale entry '!$AA$1:$AA$1501,$J126+1)&lt;&gt;""),N(INDEX('Daily Sale entry '!$AC$1:$AC$1501,$J126+1))-TRUNC(N(INDEX('Daily Sale entry '!$AC$1:$AC$1501,$J126+1))),0),N(INDEX('Daily Sale entry '!$S$1:$S$1501,$J126-1499))-'Opening Balance'!$B$15*(N(INDEX('Daily Sale entry '!$S$1:$S$1501,$J126-1499))-TRUNC(N(INDEX('Daily Sale entry '!$S$1:$S$1501,$J126-1499))))))</f>
        <v/>
      </c>
      <c r="G126" s="6">
        <f>IF($J126="","",IF($J126&lt;=1500,N(INDEX('Daily Sale entry '!$AD$1:$AD$1501,$J126+1)),0))</f>
        <v/>
      </c>
      <c r="H126" s="6">
        <f>IF($J126="","",ROUND('Opening Balance'!$B$4+SUM($F$2:F126)-SUM($G$2:G126),2))</f>
        <v/>
      </c>
      <c r="J126" s="21">
        <f>IFERROR(MATCH(ROW()-1,$L$2:$L$3001,0),"")</f>
        <v/>
      </c>
      <c r="K126" s="34">
        <f>IF(AND('Daily Sale entry '!X126&lt;&gt;"",OR('Daily Sale entry '!AC126&lt;&gt;"",'Daily Sale entry '!AD126&lt;&gt;"")),'Daily Sale entry '!X126+ROW()/10000000,"")</f>
        <v/>
      </c>
      <c r="L126" s="21">
        <f>IF(K126="","",COUNTIF($K$2:$K$3001,"&lt;"&amp;K126)+1)</f>
        <v/>
      </c>
    </row>
    <row r="127">
      <c r="A127" s="5">
        <f>IF($J127="","",IF($J127&lt;=1500,INDEX('Daily Sale entry '!$X$1:$X$1501,$J127+1),INDEX('Daily Sale entry '!$V$1:$V$1501,$J127-1499)))</f>
        <v/>
      </c>
      <c r="B127">
        <f>IF($J127="","",IF($J127&lt;=1500,INDEX('Daily Sale entry '!$Y$1:$Y$1501,$J127+1)&amp;"","Buyer cheque banked 买家支票存入"&amp;IF(INDEX('Daily Sale entry '!$U$1:$U$1501,$J127-1499)="","", " - "&amp;INDEX('Daily Sale entry '!$U$1:$U$1501,$J127-1499))))</f>
        <v/>
      </c>
      <c r="C127">
        <f>IF($J127="","",IF($J127&lt;=1500,INDEX('Daily Sale entry '!$Z$1:$Z$1501,$J127+1)&amp;"","Cheque deposit 支票存入 (buyer 买家)"))</f>
        <v/>
      </c>
      <c r="D127">
        <f>IF($J127="","",IF($J127&lt;=1500,INDEX('Daily Sale entry '!$AA$1:$AA$1501,$J127+1)&amp;"",INDEX('Daily Sale entry '!$P$1:$P$1501,$J127-1499)&amp;""))</f>
        <v/>
      </c>
      <c r="E127">
        <f>IF($J127="","",IF($J127&lt;=1500,IF(N(INDEX('Daily Sale entry '!$AB$1:$AB$1501,$J127+1))=0,"",INDEX('Daily Sale entry '!$AB$1:$AB$1501,$J127+1)),1))</f>
        <v/>
      </c>
      <c r="F127" s="6">
        <f>IF($J127="","",IF($J127&lt;=1500,N(INDEX('Daily Sale entry '!$AC$1:$AC$1501,$J127+1))-IF(AND('Opening Balance'!$B$15=1,INDEX('Daily Sale entry '!$Z$1:$Z$1501,$J127+1)="Online collection 网上收款",INDEX('Daily Sale entry '!$AA$1:$AA$1501,$J127+1)&lt;&gt;""),N(INDEX('Daily Sale entry '!$AC$1:$AC$1501,$J127+1))-TRUNC(N(INDEX('Daily Sale entry '!$AC$1:$AC$1501,$J127+1))),0),N(INDEX('Daily Sale entry '!$S$1:$S$1501,$J127-1499))-'Opening Balance'!$B$15*(N(INDEX('Daily Sale entry '!$S$1:$S$1501,$J127-1499))-TRUNC(N(INDEX('Daily Sale entry '!$S$1:$S$1501,$J127-1499))))))</f>
        <v/>
      </c>
      <c r="G127" s="6">
        <f>IF($J127="","",IF($J127&lt;=1500,N(INDEX('Daily Sale entry '!$AD$1:$AD$1501,$J127+1)),0))</f>
        <v/>
      </c>
      <c r="H127" s="6">
        <f>IF($J127="","",ROUND('Opening Balance'!$B$4+SUM($F$2:F127)-SUM($G$2:G127),2))</f>
        <v/>
      </c>
      <c r="J127" s="21">
        <f>IFERROR(MATCH(ROW()-1,$L$2:$L$3001,0),"")</f>
        <v/>
      </c>
      <c r="K127" s="34">
        <f>IF(AND('Daily Sale entry '!X127&lt;&gt;"",OR('Daily Sale entry '!AC127&lt;&gt;"",'Daily Sale entry '!AD127&lt;&gt;"")),'Daily Sale entry '!X127+ROW()/10000000,"")</f>
        <v/>
      </c>
      <c r="L127" s="21">
        <f>IF(K127="","",COUNTIF($K$2:$K$3001,"&lt;"&amp;K127)+1)</f>
        <v/>
      </c>
    </row>
    <row r="128">
      <c r="A128" s="5">
        <f>IF($J128="","",IF($J128&lt;=1500,INDEX('Daily Sale entry '!$X$1:$X$1501,$J128+1),INDEX('Daily Sale entry '!$V$1:$V$1501,$J128-1499)))</f>
        <v/>
      </c>
      <c r="B128">
        <f>IF($J128="","",IF($J128&lt;=1500,INDEX('Daily Sale entry '!$Y$1:$Y$1501,$J128+1)&amp;"","Buyer cheque banked 买家支票存入"&amp;IF(INDEX('Daily Sale entry '!$U$1:$U$1501,$J128-1499)="","", " - "&amp;INDEX('Daily Sale entry '!$U$1:$U$1501,$J128-1499))))</f>
        <v/>
      </c>
      <c r="C128">
        <f>IF($J128="","",IF($J128&lt;=1500,INDEX('Daily Sale entry '!$Z$1:$Z$1501,$J128+1)&amp;"","Cheque deposit 支票存入 (buyer 买家)"))</f>
        <v/>
      </c>
      <c r="D128">
        <f>IF($J128="","",IF($J128&lt;=1500,INDEX('Daily Sale entry '!$AA$1:$AA$1501,$J128+1)&amp;"",INDEX('Daily Sale entry '!$P$1:$P$1501,$J128-1499)&amp;""))</f>
        <v/>
      </c>
      <c r="E128">
        <f>IF($J128="","",IF($J128&lt;=1500,IF(N(INDEX('Daily Sale entry '!$AB$1:$AB$1501,$J128+1))=0,"",INDEX('Daily Sale entry '!$AB$1:$AB$1501,$J128+1)),1))</f>
        <v/>
      </c>
      <c r="F128" s="6">
        <f>IF($J128="","",IF($J128&lt;=1500,N(INDEX('Daily Sale entry '!$AC$1:$AC$1501,$J128+1))-IF(AND('Opening Balance'!$B$15=1,INDEX('Daily Sale entry '!$Z$1:$Z$1501,$J128+1)="Online collection 网上收款",INDEX('Daily Sale entry '!$AA$1:$AA$1501,$J128+1)&lt;&gt;""),N(INDEX('Daily Sale entry '!$AC$1:$AC$1501,$J128+1))-TRUNC(N(INDEX('Daily Sale entry '!$AC$1:$AC$1501,$J128+1))),0),N(INDEX('Daily Sale entry '!$S$1:$S$1501,$J128-1499))-'Opening Balance'!$B$15*(N(INDEX('Daily Sale entry '!$S$1:$S$1501,$J128-1499))-TRUNC(N(INDEX('Daily Sale entry '!$S$1:$S$1501,$J128-1499))))))</f>
        <v/>
      </c>
      <c r="G128" s="6">
        <f>IF($J128="","",IF($J128&lt;=1500,N(INDEX('Daily Sale entry '!$AD$1:$AD$1501,$J128+1)),0))</f>
        <v/>
      </c>
      <c r="H128" s="6">
        <f>IF($J128="","",ROUND('Opening Balance'!$B$4+SUM($F$2:F128)-SUM($G$2:G128),2))</f>
        <v/>
      </c>
      <c r="J128" s="21">
        <f>IFERROR(MATCH(ROW()-1,$L$2:$L$3001,0),"")</f>
        <v/>
      </c>
      <c r="K128" s="34">
        <f>IF(AND('Daily Sale entry '!X128&lt;&gt;"",OR('Daily Sale entry '!AC128&lt;&gt;"",'Daily Sale entry '!AD128&lt;&gt;"")),'Daily Sale entry '!X128+ROW()/10000000,"")</f>
        <v/>
      </c>
      <c r="L128" s="21">
        <f>IF(K128="","",COUNTIF($K$2:$K$3001,"&lt;"&amp;K128)+1)</f>
        <v/>
      </c>
    </row>
    <row r="129">
      <c r="A129" s="5">
        <f>IF($J129="","",IF($J129&lt;=1500,INDEX('Daily Sale entry '!$X$1:$X$1501,$J129+1),INDEX('Daily Sale entry '!$V$1:$V$1501,$J129-1499)))</f>
        <v/>
      </c>
      <c r="B129">
        <f>IF($J129="","",IF($J129&lt;=1500,INDEX('Daily Sale entry '!$Y$1:$Y$1501,$J129+1)&amp;"","Buyer cheque banked 买家支票存入"&amp;IF(INDEX('Daily Sale entry '!$U$1:$U$1501,$J129-1499)="","", " - "&amp;INDEX('Daily Sale entry '!$U$1:$U$1501,$J129-1499))))</f>
        <v/>
      </c>
      <c r="C129">
        <f>IF($J129="","",IF($J129&lt;=1500,INDEX('Daily Sale entry '!$Z$1:$Z$1501,$J129+1)&amp;"","Cheque deposit 支票存入 (buyer 买家)"))</f>
        <v/>
      </c>
      <c r="D129">
        <f>IF($J129="","",IF($J129&lt;=1500,INDEX('Daily Sale entry '!$AA$1:$AA$1501,$J129+1)&amp;"",INDEX('Daily Sale entry '!$P$1:$P$1501,$J129-1499)&amp;""))</f>
        <v/>
      </c>
      <c r="E129">
        <f>IF($J129="","",IF($J129&lt;=1500,IF(N(INDEX('Daily Sale entry '!$AB$1:$AB$1501,$J129+1))=0,"",INDEX('Daily Sale entry '!$AB$1:$AB$1501,$J129+1)),1))</f>
        <v/>
      </c>
      <c r="F129" s="6">
        <f>IF($J129="","",IF($J129&lt;=1500,N(INDEX('Daily Sale entry '!$AC$1:$AC$1501,$J129+1))-IF(AND('Opening Balance'!$B$15=1,INDEX('Daily Sale entry '!$Z$1:$Z$1501,$J129+1)="Online collection 网上收款",INDEX('Daily Sale entry '!$AA$1:$AA$1501,$J129+1)&lt;&gt;""),N(INDEX('Daily Sale entry '!$AC$1:$AC$1501,$J129+1))-TRUNC(N(INDEX('Daily Sale entry '!$AC$1:$AC$1501,$J129+1))),0),N(INDEX('Daily Sale entry '!$S$1:$S$1501,$J129-1499))-'Opening Balance'!$B$15*(N(INDEX('Daily Sale entry '!$S$1:$S$1501,$J129-1499))-TRUNC(N(INDEX('Daily Sale entry '!$S$1:$S$1501,$J129-1499))))))</f>
        <v/>
      </c>
      <c r="G129" s="6">
        <f>IF($J129="","",IF($J129&lt;=1500,N(INDEX('Daily Sale entry '!$AD$1:$AD$1501,$J129+1)),0))</f>
        <v/>
      </c>
      <c r="H129" s="6">
        <f>IF($J129="","",ROUND('Opening Balance'!$B$4+SUM($F$2:F129)-SUM($G$2:G129),2))</f>
        <v/>
      </c>
      <c r="J129" s="21">
        <f>IFERROR(MATCH(ROW()-1,$L$2:$L$3001,0),"")</f>
        <v/>
      </c>
      <c r="K129" s="34">
        <f>IF(AND('Daily Sale entry '!X129&lt;&gt;"",OR('Daily Sale entry '!AC129&lt;&gt;"",'Daily Sale entry '!AD129&lt;&gt;"")),'Daily Sale entry '!X129+ROW()/10000000,"")</f>
        <v/>
      </c>
      <c r="L129" s="21">
        <f>IF(K129="","",COUNTIF($K$2:$K$3001,"&lt;"&amp;K129)+1)</f>
        <v/>
      </c>
    </row>
    <row r="130">
      <c r="A130" s="5">
        <f>IF($J130="","",IF($J130&lt;=1500,INDEX('Daily Sale entry '!$X$1:$X$1501,$J130+1),INDEX('Daily Sale entry '!$V$1:$V$1501,$J130-1499)))</f>
        <v/>
      </c>
      <c r="B130">
        <f>IF($J130="","",IF($J130&lt;=1500,INDEX('Daily Sale entry '!$Y$1:$Y$1501,$J130+1)&amp;"","Buyer cheque banked 买家支票存入"&amp;IF(INDEX('Daily Sale entry '!$U$1:$U$1501,$J130-1499)="","", " - "&amp;INDEX('Daily Sale entry '!$U$1:$U$1501,$J130-1499))))</f>
        <v/>
      </c>
      <c r="C130">
        <f>IF($J130="","",IF($J130&lt;=1500,INDEX('Daily Sale entry '!$Z$1:$Z$1501,$J130+1)&amp;"","Cheque deposit 支票存入 (buyer 买家)"))</f>
        <v/>
      </c>
      <c r="D130">
        <f>IF($J130="","",IF($J130&lt;=1500,INDEX('Daily Sale entry '!$AA$1:$AA$1501,$J130+1)&amp;"",INDEX('Daily Sale entry '!$P$1:$P$1501,$J130-1499)&amp;""))</f>
        <v/>
      </c>
      <c r="E130">
        <f>IF($J130="","",IF($J130&lt;=1500,IF(N(INDEX('Daily Sale entry '!$AB$1:$AB$1501,$J130+1))=0,"",INDEX('Daily Sale entry '!$AB$1:$AB$1501,$J130+1)),1))</f>
        <v/>
      </c>
      <c r="F130" s="6">
        <f>IF($J130="","",IF($J130&lt;=1500,N(INDEX('Daily Sale entry '!$AC$1:$AC$1501,$J130+1))-IF(AND('Opening Balance'!$B$15=1,INDEX('Daily Sale entry '!$Z$1:$Z$1501,$J130+1)="Online collection 网上收款",INDEX('Daily Sale entry '!$AA$1:$AA$1501,$J130+1)&lt;&gt;""),N(INDEX('Daily Sale entry '!$AC$1:$AC$1501,$J130+1))-TRUNC(N(INDEX('Daily Sale entry '!$AC$1:$AC$1501,$J130+1))),0),N(INDEX('Daily Sale entry '!$S$1:$S$1501,$J130-1499))-'Opening Balance'!$B$15*(N(INDEX('Daily Sale entry '!$S$1:$S$1501,$J130-1499))-TRUNC(N(INDEX('Daily Sale entry '!$S$1:$S$1501,$J130-1499))))))</f>
        <v/>
      </c>
      <c r="G130" s="6">
        <f>IF($J130="","",IF($J130&lt;=1500,N(INDEX('Daily Sale entry '!$AD$1:$AD$1501,$J130+1)),0))</f>
        <v/>
      </c>
      <c r="H130" s="6">
        <f>IF($J130="","",ROUND('Opening Balance'!$B$4+SUM($F$2:F130)-SUM($G$2:G130),2))</f>
        <v/>
      </c>
      <c r="J130" s="21">
        <f>IFERROR(MATCH(ROW()-1,$L$2:$L$3001,0),"")</f>
        <v/>
      </c>
      <c r="K130" s="34">
        <f>IF(AND('Daily Sale entry '!X130&lt;&gt;"",OR('Daily Sale entry '!AC130&lt;&gt;"",'Daily Sale entry '!AD130&lt;&gt;"")),'Daily Sale entry '!X130+ROW()/10000000,"")</f>
        <v/>
      </c>
      <c r="L130" s="21">
        <f>IF(K130="","",COUNTIF($K$2:$K$3001,"&lt;"&amp;K130)+1)</f>
        <v/>
      </c>
    </row>
    <row r="131">
      <c r="A131" s="5">
        <f>IF($J131="","",IF($J131&lt;=1500,INDEX('Daily Sale entry '!$X$1:$X$1501,$J131+1),INDEX('Daily Sale entry '!$V$1:$V$1501,$J131-1499)))</f>
        <v/>
      </c>
      <c r="B131">
        <f>IF($J131="","",IF($J131&lt;=1500,INDEX('Daily Sale entry '!$Y$1:$Y$1501,$J131+1)&amp;"","Buyer cheque banked 买家支票存入"&amp;IF(INDEX('Daily Sale entry '!$U$1:$U$1501,$J131-1499)="","", " - "&amp;INDEX('Daily Sale entry '!$U$1:$U$1501,$J131-1499))))</f>
        <v/>
      </c>
      <c r="C131">
        <f>IF($J131="","",IF($J131&lt;=1500,INDEX('Daily Sale entry '!$Z$1:$Z$1501,$J131+1)&amp;"","Cheque deposit 支票存入 (buyer 买家)"))</f>
        <v/>
      </c>
      <c r="D131">
        <f>IF($J131="","",IF($J131&lt;=1500,INDEX('Daily Sale entry '!$AA$1:$AA$1501,$J131+1)&amp;"",INDEX('Daily Sale entry '!$P$1:$P$1501,$J131-1499)&amp;""))</f>
        <v/>
      </c>
      <c r="E131">
        <f>IF($J131="","",IF($J131&lt;=1500,IF(N(INDEX('Daily Sale entry '!$AB$1:$AB$1501,$J131+1))=0,"",INDEX('Daily Sale entry '!$AB$1:$AB$1501,$J131+1)),1))</f>
        <v/>
      </c>
      <c r="F131" s="6">
        <f>IF($J131="","",IF($J131&lt;=1500,N(INDEX('Daily Sale entry '!$AC$1:$AC$1501,$J131+1))-IF(AND('Opening Balance'!$B$15=1,INDEX('Daily Sale entry '!$Z$1:$Z$1501,$J131+1)="Online collection 网上收款",INDEX('Daily Sale entry '!$AA$1:$AA$1501,$J131+1)&lt;&gt;""),N(INDEX('Daily Sale entry '!$AC$1:$AC$1501,$J131+1))-TRUNC(N(INDEX('Daily Sale entry '!$AC$1:$AC$1501,$J131+1))),0),N(INDEX('Daily Sale entry '!$S$1:$S$1501,$J131-1499))-'Opening Balance'!$B$15*(N(INDEX('Daily Sale entry '!$S$1:$S$1501,$J131-1499))-TRUNC(N(INDEX('Daily Sale entry '!$S$1:$S$1501,$J131-1499))))))</f>
        <v/>
      </c>
      <c r="G131" s="6">
        <f>IF($J131="","",IF($J131&lt;=1500,N(INDEX('Daily Sale entry '!$AD$1:$AD$1501,$J131+1)),0))</f>
        <v/>
      </c>
      <c r="H131" s="6">
        <f>IF($J131="","",ROUND('Opening Balance'!$B$4+SUM($F$2:F131)-SUM($G$2:G131),2))</f>
        <v/>
      </c>
      <c r="J131" s="21">
        <f>IFERROR(MATCH(ROW()-1,$L$2:$L$3001,0),"")</f>
        <v/>
      </c>
      <c r="K131" s="34">
        <f>IF(AND('Daily Sale entry '!X131&lt;&gt;"",OR('Daily Sale entry '!AC131&lt;&gt;"",'Daily Sale entry '!AD131&lt;&gt;"")),'Daily Sale entry '!X131+ROW()/10000000,"")</f>
        <v/>
      </c>
      <c r="L131" s="21">
        <f>IF(K131="","",COUNTIF($K$2:$K$3001,"&lt;"&amp;K131)+1)</f>
        <v/>
      </c>
    </row>
    <row r="132">
      <c r="A132" s="5">
        <f>IF($J132="","",IF($J132&lt;=1500,INDEX('Daily Sale entry '!$X$1:$X$1501,$J132+1),INDEX('Daily Sale entry '!$V$1:$V$1501,$J132-1499)))</f>
        <v/>
      </c>
      <c r="B132">
        <f>IF($J132="","",IF($J132&lt;=1500,INDEX('Daily Sale entry '!$Y$1:$Y$1501,$J132+1)&amp;"","Buyer cheque banked 买家支票存入"&amp;IF(INDEX('Daily Sale entry '!$U$1:$U$1501,$J132-1499)="","", " - "&amp;INDEX('Daily Sale entry '!$U$1:$U$1501,$J132-1499))))</f>
        <v/>
      </c>
      <c r="C132">
        <f>IF($J132="","",IF($J132&lt;=1500,INDEX('Daily Sale entry '!$Z$1:$Z$1501,$J132+1)&amp;"","Cheque deposit 支票存入 (buyer 买家)"))</f>
        <v/>
      </c>
      <c r="D132">
        <f>IF($J132="","",IF($J132&lt;=1500,INDEX('Daily Sale entry '!$AA$1:$AA$1501,$J132+1)&amp;"",INDEX('Daily Sale entry '!$P$1:$P$1501,$J132-1499)&amp;""))</f>
        <v/>
      </c>
      <c r="E132">
        <f>IF($J132="","",IF($J132&lt;=1500,IF(N(INDEX('Daily Sale entry '!$AB$1:$AB$1501,$J132+1))=0,"",INDEX('Daily Sale entry '!$AB$1:$AB$1501,$J132+1)),1))</f>
        <v/>
      </c>
      <c r="F132" s="6">
        <f>IF($J132="","",IF($J132&lt;=1500,N(INDEX('Daily Sale entry '!$AC$1:$AC$1501,$J132+1))-IF(AND('Opening Balance'!$B$15=1,INDEX('Daily Sale entry '!$Z$1:$Z$1501,$J132+1)="Online collection 网上收款",INDEX('Daily Sale entry '!$AA$1:$AA$1501,$J132+1)&lt;&gt;""),N(INDEX('Daily Sale entry '!$AC$1:$AC$1501,$J132+1))-TRUNC(N(INDEX('Daily Sale entry '!$AC$1:$AC$1501,$J132+1))),0),N(INDEX('Daily Sale entry '!$S$1:$S$1501,$J132-1499))-'Opening Balance'!$B$15*(N(INDEX('Daily Sale entry '!$S$1:$S$1501,$J132-1499))-TRUNC(N(INDEX('Daily Sale entry '!$S$1:$S$1501,$J132-1499))))))</f>
        <v/>
      </c>
      <c r="G132" s="6">
        <f>IF($J132="","",IF($J132&lt;=1500,N(INDEX('Daily Sale entry '!$AD$1:$AD$1501,$J132+1)),0))</f>
        <v/>
      </c>
      <c r="H132" s="6">
        <f>IF($J132="","",ROUND('Opening Balance'!$B$4+SUM($F$2:F132)-SUM($G$2:G132),2))</f>
        <v/>
      </c>
      <c r="J132" s="21">
        <f>IFERROR(MATCH(ROW()-1,$L$2:$L$3001,0),"")</f>
        <v/>
      </c>
      <c r="K132" s="34">
        <f>IF(AND('Daily Sale entry '!X132&lt;&gt;"",OR('Daily Sale entry '!AC132&lt;&gt;"",'Daily Sale entry '!AD132&lt;&gt;"")),'Daily Sale entry '!X132+ROW()/10000000,"")</f>
        <v/>
      </c>
      <c r="L132" s="21">
        <f>IF(K132="","",COUNTIF($K$2:$K$3001,"&lt;"&amp;K132)+1)</f>
        <v/>
      </c>
    </row>
    <row r="133">
      <c r="A133" s="5">
        <f>IF($J133="","",IF($J133&lt;=1500,INDEX('Daily Sale entry '!$X$1:$X$1501,$J133+1),INDEX('Daily Sale entry '!$V$1:$V$1501,$J133-1499)))</f>
        <v/>
      </c>
      <c r="B133">
        <f>IF($J133="","",IF($J133&lt;=1500,INDEX('Daily Sale entry '!$Y$1:$Y$1501,$J133+1)&amp;"","Buyer cheque banked 买家支票存入"&amp;IF(INDEX('Daily Sale entry '!$U$1:$U$1501,$J133-1499)="","", " - "&amp;INDEX('Daily Sale entry '!$U$1:$U$1501,$J133-1499))))</f>
        <v/>
      </c>
      <c r="C133">
        <f>IF($J133="","",IF($J133&lt;=1500,INDEX('Daily Sale entry '!$Z$1:$Z$1501,$J133+1)&amp;"","Cheque deposit 支票存入 (buyer 买家)"))</f>
        <v/>
      </c>
      <c r="D133">
        <f>IF($J133="","",IF($J133&lt;=1500,INDEX('Daily Sale entry '!$AA$1:$AA$1501,$J133+1)&amp;"",INDEX('Daily Sale entry '!$P$1:$P$1501,$J133-1499)&amp;""))</f>
        <v/>
      </c>
      <c r="E133">
        <f>IF($J133="","",IF($J133&lt;=1500,IF(N(INDEX('Daily Sale entry '!$AB$1:$AB$1501,$J133+1))=0,"",INDEX('Daily Sale entry '!$AB$1:$AB$1501,$J133+1)),1))</f>
        <v/>
      </c>
      <c r="F133" s="6">
        <f>IF($J133="","",IF($J133&lt;=1500,N(INDEX('Daily Sale entry '!$AC$1:$AC$1501,$J133+1))-IF(AND('Opening Balance'!$B$15=1,INDEX('Daily Sale entry '!$Z$1:$Z$1501,$J133+1)="Online collection 网上收款",INDEX('Daily Sale entry '!$AA$1:$AA$1501,$J133+1)&lt;&gt;""),N(INDEX('Daily Sale entry '!$AC$1:$AC$1501,$J133+1))-TRUNC(N(INDEX('Daily Sale entry '!$AC$1:$AC$1501,$J133+1))),0),N(INDEX('Daily Sale entry '!$S$1:$S$1501,$J133-1499))-'Opening Balance'!$B$15*(N(INDEX('Daily Sale entry '!$S$1:$S$1501,$J133-1499))-TRUNC(N(INDEX('Daily Sale entry '!$S$1:$S$1501,$J133-1499))))))</f>
        <v/>
      </c>
      <c r="G133" s="6">
        <f>IF($J133="","",IF($J133&lt;=1500,N(INDEX('Daily Sale entry '!$AD$1:$AD$1501,$J133+1)),0))</f>
        <v/>
      </c>
      <c r="H133" s="6">
        <f>IF($J133="","",ROUND('Opening Balance'!$B$4+SUM($F$2:F133)-SUM($G$2:G133),2))</f>
        <v/>
      </c>
      <c r="J133" s="21">
        <f>IFERROR(MATCH(ROW()-1,$L$2:$L$3001,0),"")</f>
        <v/>
      </c>
      <c r="K133" s="34">
        <f>IF(AND('Daily Sale entry '!X133&lt;&gt;"",OR('Daily Sale entry '!AC133&lt;&gt;"",'Daily Sale entry '!AD133&lt;&gt;"")),'Daily Sale entry '!X133+ROW()/10000000,"")</f>
        <v/>
      </c>
      <c r="L133" s="21">
        <f>IF(K133="","",COUNTIF($K$2:$K$3001,"&lt;"&amp;K133)+1)</f>
        <v/>
      </c>
    </row>
    <row r="134">
      <c r="A134" s="5">
        <f>IF($J134="","",IF($J134&lt;=1500,INDEX('Daily Sale entry '!$X$1:$X$1501,$J134+1),INDEX('Daily Sale entry '!$V$1:$V$1501,$J134-1499)))</f>
        <v/>
      </c>
      <c r="B134">
        <f>IF($J134="","",IF($J134&lt;=1500,INDEX('Daily Sale entry '!$Y$1:$Y$1501,$J134+1)&amp;"","Buyer cheque banked 买家支票存入"&amp;IF(INDEX('Daily Sale entry '!$U$1:$U$1501,$J134-1499)="","", " - "&amp;INDEX('Daily Sale entry '!$U$1:$U$1501,$J134-1499))))</f>
        <v/>
      </c>
      <c r="C134">
        <f>IF($J134="","",IF($J134&lt;=1500,INDEX('Daily Sale entry '!$Z$1:$Z$1501,$J134+1)&amp;"","Cheque deposit 支票存入 (buyer 买家)"))</f>
        <v/>
      </c>
      <c r="D134">
        <f>IF($J134="","",IF($J134&lt;=1500,INDEX('Daily Sale entry '!$AA$1:$AA$1501,$J134+1)&amp;"",INDEX('Daily Sale entry '!$P$1:$P$1501,$J134-1499)&amp;""))</f>
        <v/>
      </c>
      <c r="E134">
        <f>IF($J134="","",IF($J134&lt;=1500,IF(N(INDEX('Daily Sale entry '!$AB$1:$AB$1501,$J134+1))=0,"",INDEX('Daily Sale entry '!$AB$1:$AB$1501,$J134+1)),1))</f>
        <v/>
      </c>
      <c r="F134" s="6">
        <f>IF($J134="","",IF($J134&lt;=1500,N(INDEX('Daily Sale entry '!$AC$1:$AC$1501,$J134+1))-IF(AND('Opening Balance'!$B$15=1,INDEX('Daily Sale entry '!$Z$1:$Z$1501,$J134+1)="Online collection 网上收款",INDEX('Daily Sale entry '!$AA$1:$AA$1501,$J134+1)&lt;&gt;""),N(INDEX('Daily Sale entry '!$AC$1:$AC$1501,$J134+1))-TRUNC(N(INDEX('Daily Sale entry '!$AC$1:$AC$1501,$J134+1))),0),N(INDEX('Daily Sale entry '!$S$1:$S$1501,$J134-1499))-'Opening Balance'!$B$15*(N(INDEX('Daily Sale entry '!$S$1:$S$1501,$J134-1499))-TRUNC(N(INDEX('Daily Sale entry '!$S$1:$S$1501,$J134-1499))))))</f>
        <v/>
      </c>
      <c r="G134" s="6">
        <f>IF($J134="","",IF($J134&lt;=1500,N(INDEX('Daily Sale entry '!$AD$1:$AD$1501,$J134+1)),0))</f>
        <v/>
      </c>
      <c r="H134" s="6">
        <f>IF($J134="","",ROUND('Opening Balance'!$B$4+SUM($F$2:F134)-SUM($G$2:G134),2))</f>
        <v/>
      </c>
      <c r="J134" s="21">
        <f>IFERROR(MATCH(ROW()-1,$L$2:$L$3001,0),"")</f>
        <v/>
      </c>
      <c r="K134" s="34">
        <f>IF(AND('Daily Sale entry '!X134&lt;&gt;"",OR('Daily Sale entry '!AC134&lt;&gt;"",'Daily Sale entry '!AD134&lt;&gt;"")),'Daily Sale entry '!X134+ROW()/10000000,"")</f>
        <v/>
      </c>
      <c r="L134" s="21">
        <f>IF(K134="","",COUNTIF($K$2:$K$3001,"&lt;"&amp;K134)+1)</f>
        <v/>
      </c>
    </row>
    <row r="135">
      <c r="A135" s="5">
        <f>IF($J135="","",IF($J135&lt;=1500,INDEX('Daily Sale entry '!$X$1:$X$1501,$J135+1),INDEX('Daily Sale entry '!$V$1:$V$1501,$J135-1499)))</f>
        <v/>
      </c>
      <c r="B135">
        <f>IF($J135="","",IF($J135&lt;=1500,INDEX('Daily Sale entry '!$Y$1:$Y$1501,$J135+1)&amp;"","Buyer cheque banked 买家支票存入"&amp;IF(INDEX('Daily Sale entry '!$U$1:$U$1501,$J135-1499)="","", " - "&amp;INDEX('Daily Sale entry '!$U$1:$U$1501,$J135-1499))))</f>
        <v/>
      </c>
      <c r="C135">
        <f>IF($J135="","",IF($J135&lt;=1500,INDEX('Daily Sale entry '!$Z$1:$Z$1501,$J135+1)&amp;"","Cheque deposit 支票存入 (buyer 买家)"))</f>
        <v/>
      </c>
      <c r="D135">
        <f>IF($J135="","",IF($J135&lt;=1500,INDEX('Daily Sale entry '!$AA$1:$AA$1501,$J135+1)&amp;"",INDEX('Daily Sale entry '!$P$1:$P$1501,$J135-1499)&amp;""))</f>
        <v/>
      </c>
      <c r="E135">
        <f>IF($J135="","",IF($J135&lt;=1500,IF(N(INDEX('Daily Sale entry '!$AB$1:$AB$1501,$J135+1))=0,"",INDEX('Daily Sale entry '!$AB$1:$AB$1501,$J135+1)),1))</f>
        <v/>
      </c>
      <c r="F135" s="6">
        <f>IF($J135="","",IF($J135&lt;=1500,N(INDEX('Daily Sale entry '!$AC$1:$AC$1501,$J135+1))-IF(AND('Opening Balance'!$B$15=1,INDEX('Daily Sale entry '!$Z$1:$Z$1501,$J135+1)="Online collection 网上收款",INDEX('Daily Sale entry '!$AA$1:$AA$1501,$J135+1)&lt;&gt;""),N(INDEX('Daily Sale entry '!$AC$1:$AC$1501,$J135+1))-TRUNC(N(INDEX('Daily Sale entry '!$AC$1:$AC$1501,$J135+1))),0),N(INDEX('Daily Sale entry '!$S$1:$S$1501,$J135-1499))-'Opening Balance'!$B$15*(N(INDEX('Daily Sale entry '!$S$1:$S$1501,$J135-1499))-TRUNC(N(INDEX('Daily Sale entry '!$S$1:$S$1501,$J135-1499))))))</f>
        <v/>
      </c>
      <c r="G135" s="6">
        <f>IF($J135="","",IF($J135&lt;=1500,N(INDEX('Daily Sale entry '!$AD$1:$AD$1501,$J135+1)),0))</f>
        <v/>
      </c>
      <c r="H135" s="6">
        <f>IF($J135="","",ROUND('Opening Balance'!$B$4+SUM($F$2:F135)-SUM($G$2:G135),2))</f>
        <v/>
      </c>
      <c r="J135" s="21">
        <f>IFERROR(MATCH(ROW()-1,$L$2:$L$3001,0),"")</f>
        <v/>
      </c>
      <c r="K135" s="34">
        <f>IF(AND('Daily Sale entry '!X135&lt;&gt;"",OR('Daily Sale entry '!AC135&lt;&gt;"",'Daily Sale entry '!AD135&lt;&gt;"")),'Daily Sale entry '!X135+ROW()/10000000,"")</f>
        <v/>
      </c>
      <c r="L135" s="21">
        <f>IF(K135="","",COUNTIF($K$2:$K$3001,"&lt;"&amp;K135)+1)</f>
        <v/>
      </c>
    </row>
    <row r="136">
      <c r="A136" s="5">
        <f>IF($J136="","",IF($J136&lt;=1500,INDEX('Daily Sale entry '!$X$1:$X$1501,$J136+1),INDEX('Daily Sale entry '!$V$1:$V$1501,$J136-1499)))</f>
        <v/>
      </c>
      <c r="B136">
        <f>IF($J136="","",IF($J136&lt;=1500,INDEX('Daily Sale entry '!$Y$1:$Y$1501,$J136+1)&amp;"","Buyer cheque banked 买家支票存入"&amp;IF(INDEX('Daily Sale entry '!$U$1:$U$1501,$J136-1499)="","", " - "&amp;INDEX('Daily Sale entry '!$U$1:$U$1501,$J136-1499))))</f>
        <v/>
      </c>
      <c r="C136">
        <f>IF($J136="","",IF($J136&lt;=1500,INDEX('Daily Sale entry '!$Z$1:$Z$1501,$J136+1)&amp;"","Cheque deposit 支票存入 (buyer 买家)"))</f>
        <v/>
      </c>
      <c r="D136">
        <f>IF($J136="","",IF($J136&lt;=1500,INDEX('Daily Sale entry '!$AA$1:$AA$1501,$J136+1)&amp;"",INDEX('Daily Sale entry '!$P$1:$P$1501,$J136-1499)&amp;""))</f>
        <v/>
      </c>
      <c r="E136">
        <f>IF($J136="","",IF($J136&lt;=1500,IF(N(INDEX('Daily Sale entry '!$AB$1:$AB$1501,$J136+1))=0,"",INDEX('Daily Sale entry '!$AB$1:$AB$1501,$J136+1)),1))</f>
        <v/>
      </c>
      <c r="F136" s="6">
        <f>IF($J136="","",IF($J136&lt;=1500,N(INDEX('Daily Sale entry '!$AC$1:$AC$1501,$J136+1))-IF(AND('Opening Balance'!$B$15=1,INDEX('Daily Sale entry '!$Z$1:$Z$1501,$J136+1)="Online collection 网上收款",INDEX('Daily Sale entry '!$AA$1:$AA$1501,$J136+1)&lt;&gt;""),N(INDEX('Daily Sale entry '!$AC$1:$AC$1501,$J136+1))-TRUNC(N(INDEX('Daily Sale entry '!$AC$1:$AC$1501,$J136+1))),0),N(INDEX('Daily Sale entry '!$S$1:$S$1501,$J136-1499))-'Opening Balance'!$B$15*(N(INDEX('Daily Sale entry '!$S$1:$S$1501,$J136-1499))-TRUNC(N(INDEX('Daily Sale entry '!$S$1:$S$1501,$J136-1499))))))</f>
        <v/>
      </c>
      <c r="G136" s="6">
        <f>IF($J136="","",IF($J136&lt;=1500,N(INDEX('Daily Sale entry '!$AD$1:$AD$1501,$J136+1)),0))</f>
        <v/>
      </c>
      <c r="H136" s="6">
        <f>IF($J136="","",ROUND('Opening Balance'!$B$4+SUM($F$2:F136)-SUM($G$2:G136),2))</f>
        <v/>
      </c>
      <c r="J136" s="21">
        <f>IFERROR(MATCH(ROW()-1,$L$2:$L$3001,0),"")</f>
        <v/>
      </c>
      <c r="K136" s="34">
        <f>IF(AND('Daily Sale entry '!X136&lt;&gt;"",OR('Daily Sale entry '!AC136&lt;&gt;"",'Daily Sale entry '!AD136&lt;&gt;"")),'Daily Sale entry '!X136+ROW()/10000000,"")</f>
        <v/>
      </c>
      <c r="L136" s="21">
        <f>IF(K136="","",COUNTIF($K$2:$K$3001,"&lt;"&amp;K136)+1)</f>
        <v/>
      </c>
    </row>
    <row r="137">
      <c r="A137" s="5">
        <f>IF($J137="","",IF($J137&lt;=1500,INDEX('Daily Sale entry '!$X$1:$X$1501,$J137+1),INDEX('Daily Sale entry '!$V$1:$V$1501,$J137-1499)))</f>
        <v/>
      </c>
      <c r="B137">
        <f>IF($J137="","",IF($J137&lt;=1500,INDEX('Daily Sale entry '!$Y$1:$Y$1501,$J137+1)&amp;"","Buyer cheque banked 买家支票存入"&amp;IF(INDEX('Daily Sale entry '!$U$1:$U$1501,$J137-1499)="","", " - "&amp;INDEX('Daily Sale entry '!$U$1:$U$1501,$J137-1499))))</f>
        <v/>
      </c>
      <c r="C137">
        <f>IF($J137="","",IF($J137&lt;=1500,INDEX('Daily Sale entry '!$Z$1:$Z$1501,$J137+1)&amp;"","Cheque deposit 支票存入 (buyer 买家)"))</f>
        <v/>
      </c>
      <c r="D137">
        <f>IF($J137="","",IF($J137&lt;=1500,INDEX('Daily Sale entry '!$AA$1:$AA$1501,$J137+1)&amp;"",INDEX('Daily Sale entry '!$P$1:$P$1501,$J137-1499)&amp;""))</f>
        <v/>
      </c>
      <c r="E137">
        <f>IF($J137="","",IF($J137&lt;=1500,IF(N(INDEX('Daily Sale entry '!$AB$1:$AB$1501,$J137+1))=0,"",INDEX('Daily Sale entry '!$AB$1:$AB$1501,$J137+1)),1))</f>
        <v/>
      </c>
      <c r="F137" s="6">
        <f>IF($J137="","",IF($J137&lt;=1500,N(INDEX('Daily Sale entry '!$AC$1:$AC$1501,$J137+1))-IF(AND('Opening Balance'!$B$15=1,INDEX('Daily Sale entry '!$Z$1:$Z$1501,$J137+1)="Online collection 网上收款",INDEX('Daily Sale entry '!$AA$1:$AA$1501,$J137+1)&lt;&gt;""),N(INDEX('Daily Sale entry '!$AC$1:$AC$1501,$J137+1))-TRUNC(N(INDEX('Daily Sale entry '!$AC$1:$AC$1501,$J137+1))),0),N(INDEX('Daily Sale entry '!$S$1:$S$1501,$J137-1499))-'Opening Balance'!$B$15*(N(INDEX('Daily Sale entry '!$S$1:$S$1501,$J137-1499))-TRUNC(N(INDEX('Daily Sale entry '!$S$1:$S$1501,$J137-1499))))))</f>
        <v/>
      </c>
      <c r="G137" s="6">
        <f>IF($J137="","",IF($J137&lt;=1500,N(INDEX('Daily Sale entry '!$AD$1:$AD$1501,$J137+1)),0))</f>
        <v/>
      </c>
      <c r="H137" s="6">
        <f>IF($J137="","",ROUND('Opening Balance'!$B$4+SUM($F$2:F137)-SUM($G$2:G137),2))</f>
        <v/>
      </c>
      <c r="J137" s="21">
        <f>IFERROR(MATCH(ROW()-1,$L$2:$L$3001,0),"")</f>
        <v/>
      </c>
      <c r="K137" s="34">
        <f>IF(AND('Daily Sale entry '!X137&lt;&gt;"",OR('Daily Sale entry '!AC137&lt;&gt;"",'Daily Sale entry '!AD137&lt;&gt;"")),'Daily Sale entry '!X137+ROW()/10000000,"")</f>
        <v/>
      </c>
      <c r="L137" s="21">
        <f>IF(K137="","",COUNTIF($K$2:$K$3001,"&lt;"&amp;K137)+1)</f>
        <v/>
      </c>
    </row>
    <row r="138">
      <c r="A138" s="5">
        <f>IF($J138="","",IF($J138&lt;=1500,INDEX('Daily Sale entry '!$X$1:$X$1501,$J138+1),INDEX('Daily Sale entry '!$V$1:$V$1501,$J138-1499)))</f>
        <v/>
      </c>
      <c r="B138">
        <f>IF($J138="","",IF($J138&lt;=1500,INDEX('Daily Sale entry '!$Y$1:$Y$1501,$J138+1)&amp;"","Buyer cheque banked 买家支票存入"&amp;IF(INDEX('Daily Sale entry '!$U$1:$U$1501,$J138-1499)="","", " - "&amp;INDEX('Daily Sale entry '!$U$1:$U$1501,$J138-1499))))</f>
        <v/>
      </c>
      <c r="C138">
        <f>IF($J138="","",IF($J138&lt;=1500,INDEX('Daily Sale entry '!$Z$1:$Z$1501,$J138+1)&amp;"","Cheque deposit 支票存入 (buyer 买家)"))</f>
        <v/>
      </c>
      <c r="D138">
        <f>IF($J138="","",IF($J138&lt;=1500,INDEX('Daily Sale entry '!$AA$1:$AA$1501,$J138+1)&amp;"",INDEX('Daily Sale entry '!$P$1:$P$1501,$J138-1499)&amp;""))</f>
        <v/>
      </c>
      <c r="E138">
        <f>IF($J138="","",IF($J138&lt;=1500,IF(N(INDEX('Daily Sale entry '!$AB$1:$AB$1501,$J138+1))=0,"",INDEX('Daily Sale entry '!$AB$1:$AB$1501,$J138+1)),1))</f>
        <v/>
      </c>
      <c r="F138" s="6">
        <f>IF($J138="","",IF($J138&lt;=1500,N(INDEX('Daily Sale entry '!$AC$1:$AC$1501,$J138+1))-IF(AND('Opening Balance'!$B$15=1,INDEX('Daily Sale entry '!$Z$1:$Z$1501,$J138+1)="Online collection 网上收款",INDEX('Daily Sale entry '!$AA$1:$AA$1501,$J138+1)&lt;&gt;""),N(INDEX('Daily Sale entry '!$AC$1:$AC$1501,$J138+1))-TRUNC(N(INDEX('Daily Sale entry '!$AC$1:$AC$1501,$J138+1))),0),N(INDEX('Daily Sale entry '!$S$1:$S$1501,$J138-1499))-'Opening Balance'!$B$15*(N(INDEX('Daily Sale entry '!$S$1:$S$1501,$J138-1499))-TRUNC(N(INDEX('Daily Sale entry '!$S$1:$S$1501,$J138-1499))))))</f>
        <v/>
      </c>
      <c r="G138" s="6">
        <f>IF($J138="","",IF($J138&lt;=1500,N(INDEX('Daily Sale entry '!$AD$1:$AD$1501,$J138+1)),0))</f>
        <v/>
      </c>
      <c r="H138" s="6">
        <f>IF($J138="","",ROUND('Opening Balance'!$B$4+SUM($F$2:F138)-SUM($G$2:G138),2))</f>
        <v/>
      </c>
      <c r="J138" s="21">
        <f>IFERROR(MATCH(ROW()-1,$L$2:$L$3001,0),"")</f>
        <v/>
      </c>
      <c r="K138" s="34">
        <f>IF(AND('Daily Sale entry '!X138&lt;&gt;"",OR('Daily Sale entry '!AC138&lt;&gt;"",'Daily Sale entry '!AD138&lt;&gt;"")),'Daily Sale entry '!X138+ROW()/10000000,"")</f>
        <v/>
      </c>
      <c r="L138" s="21">
        <f>IF(K138="","",COUNTIF($K$2:$K$3001,"&lt;"&amp;K138)+1)</f>
        <v/>
      </c>
    </row>
    <row r="139">
      <c r="A139" s="5">
        <f>IF($J139="","",IF($J139&lt;=1500,INDEX('Daily Sale entry '!$X$1:$X$1501,$J139+1),INDEX('Daily Sale entry '!$V$1:$V$1501,$J139-1499)))</f>
        <v/>
      </c>
      <c r="B139">
        <f>IF($J139="","",IF($J139&lt;=1500,INDEX('Daily Sale entry '!$Y$1:$Y$1501,$J139+1)&amp;"","Buyer cheque banked 买家支票存入"&amp;IF(INDEX('Daily Sale entry '!$U$1:$U$1501,$J139-1499)="","", " - "&amp;INDEX('Daily Sale entry '!$U$1:$U$1501,$J139-1499))))</f>
        <v/>
      </c>
      <c r="C139">
        <f>IF($J139="","",IF($J139&lt;=1500,INDEX('Daily Sale entry '!$Z$1:$Z$1501,$J139+1)&amp;"","Cheque deposit 支票存入 (buyer 买家)"))</f>
        <v/>
      </c>
      <c r="D139">
        <f>IF($J139="","",IF($J139&lt;=1500,INDEX('Daily Sale entry '!$AA$1:$AA$1501,$J139+1)&amp;"",INDEX('Daily Sale entry '!$P$1:$P$1501,$J139-1499)&amp;""))</f>
        <v/>
      </c>
      <c r="E139">
        <f>IF($J139="","",IF($J139&lt;=1500,IF(N(INDEX('Daily Sale entry '!$AB$1:$AB$1501,$J139+1))=0,"",INDEX('Daily Sale entry '!$AB$1:$AB$1501,$J139+1)),1))</f>
        <v/>
      </c>
      <c r="F139" s="6">
        <f>IF($J139="","",IF($J139&lt;=1500,N(INDEX('Daily Sale entry '!$AC$1:$AC$1501,$J139+1))-IF(AND('Opening Balance'!$B$15=1,INDEX('Daily Sale entry '!$Z$1:$Z$1501,$J139+1)="Online collection 网上收款",INDEX('Daily Sale entry '!$AA$1:$AA$1501,$J139+1)&lt;&gt;""),N(INDEX('Daily Sale entry '!$AC$1:$AC$1501,$J139+1))-TRUNC(N(INDEX('Daily Sale entry '!$AC$1:$AC$1501,$J139+1))),0),N(INDEX('Daily Sale entry '!$S$1:$S$1501,$J139-1499))-'Opening Balance'!$B$15*(N(INDEX('Daily Sale entry '!$S$1:$S$1501,$J139-1499))-TRUNC(N(INDEX('Daily Sale entry '!$S$1:$S$1501,$J139-1499))))))</f>
        <v/>
      </c>
      <c r="G139" s="6">
        <f>IF($J139="","",IF($J139&lt;=1500,N(INDEX('Daily Sale entry '!$AD$1:$AD$1501,$J139+1)),0))</f>
        <v/>
      </c>
      <c r="H139" s="6">
        <f>IF($J139="","",ROUND('Opening Balance'!$B$4+SUM($F$2:F139)-SUM($G$2:G139),2))</f>
        <v/>
      </c>
      <c r="J139" s="21">
        <f>IFERROR(MATCH(ROW()-1,$L$2:$L$3001,0),"")</f>
        <v/>
      </c>
      <c r="K139" s="34">
        <f>IF(AND('Daily Sale entry '!X139&lt;&gt;"",OR('Daily Sale entry '!AC139&lt;&gt;"",'Daily Sale entry '!AD139&lt;&gt;"")),'Daily Sale entry '!X139+ROW()/10000000,"")</f>
        <v/>
      </c>
      <c r="L139" s="21">
        <f>IF(K139="","",COUNTIF($K$2:$K$3001,"&lt;"&amp;K139)+1)</f>
        <v/>
      </c>
    </row>
    <row r="140">
      <c r="A140" s="5">
        <f>IF($J140="","",IF($J140&lt;=1500,INDEX('Daily Sale entry '!$X$1:$X$1501,$J140+1),INDEX('Daily Sale entry '!$V$1:$V$1501,$J140-1499)))</f>
        <v/>
      </c>
      <c r="B140">
        <f>IF($J140="","",IF($J140&lt;=1500,INDEX('Daily Sale entry '!$Y$1:$Y$1501,$J140+1)&amp;"","Buyer cheque banked 买家支票存入"&amp;IF(INDEX('Daily Sale entry '!$U$1:$U$1501,$J140-1499)="","", " - "&amp;INDEX('Daily Sale entry '!$U$1:$U$1501,$J140-1499))))</f>
        <v/>
      </c>
      <c r="C140">
        <f>IF($J140="","",IF($J140&lt;=1500,INDEX('Daily Sale entry '!$Z$1:$Z$1501,$J140+1)&amp;"","Cheque deposit 支票存入 (buyer 买家)"))</f>
        <v/>
      </c>
      <c r="D140">
        <f>IF($J140="","",IF($J140&lt;=1500,INDEX('Daily Sale entry '!$AA$1:$AA$1501,$J140+1)&amp;"",INDEX('Daily Sale entry '!$P$1:$P$1501,$J140-1499)&amp;""))</f>
        <v/>
      </c>
      <c r="E140">
        <f>IF($J140="","",IF($J140&lt;=1500,IF(N(INDEX('Daily Sale entry '!$AB$1:$AB$1501,$J140+1))=0,"",INDEX('Daily Sale entry '!$AB$1:$AB$1501,$J140+1)),1))</f>
        <v/>
      </c>
      <c r="F140" s="6">
        <f>IF($J140="","",IF($J140&lt;=1500,N(INDEX('Daily Sale entry '!$AC$1:$AC$1501,$J140+1))-IF(AND('Opening Balance'!$B$15=1,INDEX('Daily Sale entry '!$Z$1:$Z$1501,$J140+1)="Online collection 网上收款",INDEX('Daily Sale entry '!$AA$1:$AA$1501,$J140+1)&lt;&gt;""),N(INDEX('Daily Sale entry '!$AC$1:$AC$1501,$J140+1))-TRUNC(N(INDEX('Daily Sale entry '!$AC$1:$AC$1501,$J140+1))),0),N(INDEX('Daily Sale entry '!$S$1:$S$1501,$J140-1499))-'Opening Balance'!$B$15*(N(INDEX('Daily Sale entry '!$S$1:$S$1501,$J140-1499))-TRUNC(N(INDEX('Daily Sale entry '!$S$1:$S$1501,$J140-1499))))))</f>
        <v/>
      </c>
      <c r="G140" s="6">
        <f>IF($J140="","",IF($J140&lt;=1500,N(INDEX('Daily Sale entry '!$AD$1:$AD$1501,$J140+1)),0))</f>
        <v/>
      </c>
      <c r="H140" s="6">
        <f>IF($J140="","",ROUND('Opening Balance'!$B$4+SUM($F$2:F140)-SUM($G$2:G140),2))</f>
        <v/>
      </c>
      <c r="J140" s="21">
        <f>IFERROR(MATCH(ROW()-1,$L$2:$L$3001,0),"")</f>
        <v/>
      </c>
      <c r="K140" s="34">
        <f>IF(AND('Daily Sale entry '!X140&lt;&gt;"",OR('Daily Sale entry '!AC140&lt;&gt;"",'Daily Sale entry '!AD140&lt;&gt;"")),'Daily Sale entry '!X140+ROW()/10000000,"")</f>
        <v/>
      </c>
      <c r="L140" s="21">
        <f>IF(K140="","",COUNTIF($K$2:$K$3001,"&lt;"&amp;K140)+1)</f>
        <v/>
      </c>
    </row>
    <row r="141">
      <c r="A141" s="5">
        <f>IF($J141="","",IF($J141&lt;=1500,INDEX('Daily Sale entry '!$X$1:$X$1501,$J141+1),INDEX('Daily Sale entry '!$V$1:$V$1501,$J141-1499)))</f>
        <v/>
      </c>
      <c r="B141">
        <f>IF($J141="","",IF($J141&lt;=1500,INDEX('Daily Sale entry '!$Y$1:$Y$1501,$J141+1)&amp;"","Buyer cheque banked 买家支票存入"&amp;IF(INDEX('Daily Sale entry '!$U$1:$U$1501,$J141-1499)="","", " - "&amp;INDEX('Daily Sale entry '!$U$1:$U$1501,$J141-1499))))</f>
        <v/>
      </c>
      <c r="C141">
        <f>IF($J141="","",IF($J141&lt;=1500,INDEX('Daily Sale entry '!$Z$1:$Z$1501,$J141+1)&amp;"","Cheque deposit 支票存入 (buyer 买家)"))</f>
        <v/>
      </c>
      <c r="D141">
        <f>IF($J141="","",IF($J141&lt;=1500,INDEX('Daily Sale entry '!$AA$1:$AA$1501,$J141+1)&amp;"",INDEX('Daily Sale entry '!$P$1:$P$1501,$J141-1499)&amp;""))</f>
        <v/>
      </c>
      <c r="E141">
        <f>IF($J141="","",IF($J141&lt;=1500,IF(N(INDEX('Daily Sale entry '!$AB$1:$AB$1501,$J141+1))=0,"",INDEX('Daily Sale entry '!$AB$1:$AB$1501,$J141+1)),1))</f>
        <v/>
      </c>
      <c r="F141" s="6">
        <f>IF($J141="","",IF($J141&lt;=1500,N(INDEX('Daily Sale entry '!$AC$1:$AC$1501,$J141+1))-IF(AND('Opening Balance'!$B$15=1,INDEX('Daily Sale entry '!$Z$1:$Z$1501,$J141+1)="Online collection 网上收款",INDEX('Daily Sale entry '!$AA$1:$AA$1501,$J141+1)&lt;&gt;""),N(INDEX('Daily Sale entry '!$AC$1:$AC$1501,$J141+1))-TRUNC(N(INDEX('Daily Sale entry '!$AC$1:$AC$1501,$J141+1))),0),N(INDEX('Daily Sale entry '!$S$1:$S$1501,$J141-1499))-'Opening Balance'!$B$15*(N(INDEX('Daily Sale entry '!$S$1:$S$1501,$J141-1499))-TRUNC(N(INDEX('Daily Sale entry '!$S$1:$S$1501,$J141-1499))))))</f>
        <v/>
      </c>
      <c r="G141" s="6">
        <f>IF($J141="","",IF($J141&lt;=1500,N(INDEX('Daily Sale entry '!$AD$1:$AD$1501,$J141+1)),0))</f>
        <v/>
      </c>
      <c r="H141" s="6">
        <f>IF($J141="","",ROUND('Opening Balance'!$B$4+SUM($F$2:F141)-SUM($G$2:G141),2))</f>
        <v/>
      </c>
      <c r="J141" s="21">
        <f>IFERROR(MATCH(ROW()-1,$L$2:$L$3001,0),"")</f>
        <v/>
      </c>
      <c r="K141" s="34">
        <f>IF(AND('Daily Sale entry '!X141&lt;&gt;"",OR('Daily Sale entry '!AC141&lt;&gt;"",'Daily Sale entry '!AD141&lt;&gt;"")),'Daily Sale entry '!X141+ROW()/10000000,"")</f>
        <v/>
      </c>
      <c r="L141" s="21">
        <f>IF(K141="","",COUNTIF($K$2:$K$3001,"&lt;"&amp;K141)+1)</f>
        <v/>
      </c>
    </row>
    <row r="142">
      <c r="A142" s="5">
        <f>IF($J142="","",IF($J142&lt;=1500,INDEX('Daily Sale entry '!$X$1:$X$1501,$J142+1),INDEX('Daily Sale entry '!$V$1:$V$1501,$J142-1499)))</f>
        <v/>
      </c>
      <c r="B142">
        <f>IF($J142="","",IF($J142&lt;=1500,INDEX('Daily Sale entry '!$Y$1:$Y$1501,$J142+1)&amp;"","Buyer cheque banked 买家支票存入"&amp;IF(INDEX('Daily Sale entry '!$U$1:$U$1501,$J142-1499)="","", " - "&amp;INDEX('Daily Sale entry '!$U$1:$U$1501,$J142-1499))))</f>
        <v/>
      </c>
      <c r="C142">
        <f>IF($J142="","",IF($J142&lt;=1500,INDEX('Daily Sale entry '!$Z$1:$Z$1501,$J142+1)&amp;"","Cheque deposit 支票存入 (buyer 买家)"))</f>
        <v/>
      </c>
      <c r="D142">
        <f>IF($J142="","",IF($J142&lt;=1500,INDEX('Daily Sale entry '!$AA$1:$AA$1501,$J142+1)&amp;"",INDEX('Daily Sale entry '!$P$1:$P$1501,$J142-1499)&amp;""))</f>
        <v/>
      </c>
      <c r="E142">
        <f>IF($J142="","",IF($J142&lt;=1500,IF(N(INDEX('Daily Sale entry '!$AB$1:$AB$1501,$J142+1))=0,"",INDEX('Daily Sale entry '!$AB$1:$AB$1501,$J142+1)),1))</f>
        <v/>
      </c>
      <c r="F142" s="6">
        <f>IF($J142="","",IF($J142&lt;=1500,N(INDEX('Daily Sale entry '!$AC$1:$AC$1501,$J142+1))-IF(AND('Opening Balance'!$B$15=1,INDEX('Daily Sale entry '!$Z$1:$Z$1501,$J142+1)="Online collection 网上收款",INDEX('Daily Sale entry '!$AA$1:$AA$1501,$J142+1)&lt;&gt;""),N(INDEX('Daily Sale entry '!$AC$1:$AC$1501,$J142+1))-TRUNC(N(INDEX('Daily Sale entry '!$AC$1:$AC$1501,$J142+1))),0),N(INDEX('Daily Sale entry '!$S$1:$S$1501,$J142-1499))-'Opening Balance'!$B$15*(N(INDEX('Daily Sale entry '!$S$1:$S$1501,$J142-1499))-TRUNC(N(INDEX('Daily Sale entry '!$S$1:$S$1501,$J142-1499))))))</f>
        <v/>
      </c>
      <c r="G142" s="6">
        <f>IF($J142="","",IF($J142&lt;=1500,N(INDEX('Daily Sale entry '!$AD$1:$AD$1501,$J142+1)),0))</f>
        <v/>
      </c>
      <c r="H142" s="6">
        <f>IF($J142="","",ROUND('Opening Balance'!$B$4+SUM($F$2:F142)-SUM($G$2:G142),2))</f>
        <v/>
      </c>
      <c r="J142" s="21">
        <f>IFERROR(MATCH(ROW()-1,$L$2:$L$3001,0),"")</f>
        <v/>
      </c>
      <c r="K142" s="34">
        <f>IF(AND('Daily Sale entry '!X142&lt;&gt;"",OR('Daily Sale entry '!AC142&lt;&gt;"",'Daily Sale entry '!AD142&lt;&gt;"")),'Daily Sale entry '!X142+ROW()/10000000,"")</f>
        <v/>
      </c>
      <c r="L142" s="21">
        <f>IF(K142="","",COUNTIF($K$2:$K$3001,"&lt;"&amp;K142)+1)</f>
        <v/>
      </c>
    </row>
    <row r="143">
      <c r="A143" s="5">
        <f>IF($J143="","",IF($J143&lt;=1500,INDEX('Daily Sale entry '!$X$1:$X$1501,$J143+1),INDEX('Daily Sale entry '!$V$1:$V$1501,$J143-1499)))</f>
        <v/>
      </c>
      <c r="B143">
        <f>IF($J143="","",IF($J143&lt;=1500,INDEX('Daily Sale entry '!$Y$1:$Y$1501,$J143+1)&amp;"","Buyer cheque banked 买家支票存入"&amp;IF(INDEX('Daily Sale entry '!$U$1:$U$1501,$J143-1499)="","", " - "&amp;INDEX('Daily Sale entry '!$U$1:$U$1501,$J143-1499))))</f>
        <v/>
      </c>
      <c r="C143">
        <f>IF($J143="","",IF($J143&lt;=1500,INDEX('Daily Sale entry '!$Z$1:$Z$1501,$J143+1)&amp;"","Cheque deposit 支票存入 (buyer 买家)"))</f>
        <v/>
      </c>
      <c r="D143">
        <f>IF($J143="","",IF($J143&lt;=1500,INDEX('Daily Sale entry '!$AA$1:$AA$1501,$J143+1)&amp;"",INDEX('Daily Sale entry '!$P$1:$P$1501,$J143-1499)&amp;""))</f>
        <v/>
      </c>
      <c r="E143">
        <f>IF($J143="","",IF($J143&lt;=1500,IF(N(INDEX('Daily Sale entry '!$AB$1:$AB$1501,$J143+1))=0,"",INDEX('Daily Sale entry '!$AB$1:$AB$1501,$J143+1)),1))</f>
        <v/>
      </c>
      <c r="F143" s="6">
        <f>IF($J143="","",IF($J143&lt;=1500,N(INDEX('Daily Sale entry '!$AC$1:$AC$1501,$J143+1))-IF(AND('Opening Balance'!$B$15=1,INDEX('Daily Sale entry '!$Z$1:$Z$1501,$J143+1)="Online collection 网上收款",INDEX('Daily Sale entry '!$AA$1:$AA$1501,$J143+1)&lt;&gt;""),N(INDEX('Daily Sale entry '!$AC$1:$AC$1501,$J143+1))-TRUNC(N(INDEX('Daily Sale entry '!$AC$1:$AC$1501,$J143+1))),0),N(INDEX('Daily Sale entry '!$S$1:$S$1501,$J143-1499))-'Opening Balance'!$B$15*(N(INDEX('Daily Sale entry '!$S$1:$S$1501,$J143-1499))-TRUNC(N(INDEX('Daily Sale entry '!$S$1:$S$1501,$J143-1499))))))</f>
        <v/>
      </c>
      <c r="G143" s="6">
        <f>IF($J143="","",IF($J143&lt;=1500,N(INDEX('Daily Sale entry '!$AD$1:$AD$1501,$J143+1)),0))</f>
        <v/>
      </c>
      <c r="H143" s="6">
        <f>IF($J143="","",ROUND('Opening Balance'!$B$4+SUM($F$2:F143)-SUM($G$2:G143),2))</f>
        <v/>
      </c>
      <c r="J143" s="21">
        <f>IFERROR(MATCH(ROW()-1,$L$2:$L$3001,0),"")</f>
        <v/>
      </c>
      <c r="K143" s="34">
        <f>IF(AND('Daily Sale entry '!X143&lt;&gt;"",OR('Daily Sale entry '!AC143&lt;&gt;"",'Daily Sale entry '!AD143&lt;&gt;"")),'Daily Sale entry '!X143+ROW()/10000000,"")</f>
        <v/>
      </c>
      <c r="L143" s="21">
        <f>IF(K143="","",COUNTIF($K$2:$K$3001,"&lt;"&amp;K143)+1)</f>
        <v/>
      </c>
    </row>
    <row r="144">
      <c r="A144" s="5">
        <f>IF($J144="","",IF($J144&lt;=1500,INDEX('Daily Sale entry '!$X$1:$X$1501,$J144+1),INDEX('Daily Sale entry '!$V$1:$V$1501,$J144-1499)))</f>
        <v/>
      </c>
      <c r="B144">
        <f>IF($J144="","",IF($J144&lt;=1500,INDEX('Daily Sale entry '!$Y$1:$Y$1501,$J144+1)&amp;"","Buyer cheque banked 买家支票存入"&amp;IF(INDEX('Daily Sale entry '!$U$1:$U$1501,$J144-1499)="","", " - "&amp;INDEX('Daily Sale entry '!$U$1:$U$1501,$J144-1499))))</f>
        <v/>
      </c>
      <c r="C144">
        <f>IF($J144="","",IF($J144&lt;=1500,INDEX('Daily Sale entry '!$Z$1:$Z$1501,$J144+1)&amp;"","Cheque deposit 支票存入 (buyer 买家)"))</f>
        <v/>
      </c>
      <c r="D144">
        <f>IF($J144="","",IF($J144&lt;=1500,INDEX('Daily Sale entry '!$AA$1:$AA$1501,$J144+1)&amp;"",INDEX('Daily Sale entry '!$P$1:$P$1501,$J144-1499)&amp;""))</f>
        <v/>
      </c>
      <c r="E144">
        <f>IF($J144="","",IF($J144&lt;=1500,IF(N(INDEX('Daily Sale entry '!$AB$1:$AB$1501,$J144+1))=0,"",INDEX('Daily Sale entry '!$AB$1:$AB$1501,$J144+1)),1))</f>
        <v/>
      </c>
      <c r="F144" s="6">
        <f>IF($J144="","",IF($J144&lt;=1500,N(INDEX('Daily Sale entry '!$AC$1:$AC$1501,$J144+1))-IF(AND('Opening Balance'!$B$15=1,INDEX('Daily Sale entry '!$Z$1:$Z$1501,$J144+1)="Online collection 网上收款",INDEX('Daily Sale entry '!$AA$1:$AA$1501,$J144+1)&lt;&gt;""),N(INDEX('Daily Sale entry '!$AC$1:$AC$1501,$J144+1))-TRUNC(N(INDEX('Daily Sale entry '!$AC$1:$AC$1501,$J144+1))),0),N(INDEX('Daily Sale entry '!$S$1:$S$1501,$J144-1499))-'Opening Balance'!$B$15*(N(INDEX('Daily Sale entry '!$S$1:$S$1501,$J144-1499))-TRUNC(N(INDEX('Daily Sale entry '!$S$1:$S$1501,$J144-1499))))))</f>
        <v/>
      </c>
      <c r="G144" s="6">
        <f>IF($J144="","",IF($J144&lt;=1500,N(INDEX('Daily Sale entry '!$AD$1:$AD$1501,$J144+1)),0))</f>
        <v/>
      </c>
      <c r="H144" s="6">
        <f>IF($J144="","",ROUND('Opening Balance'!$B$4+SUM($F$2:F144)-SUM($G$2:G144),2))</f>
        <v/>
      </c>
      <c r="J144" s="21">
        <f>IFERROR(MATCH(ROW()-1,$L$2:$L$3001,0),"")</f>
        <v/>
      </c>
      <c r="K144" s="34">
        <f>IF(AND('Daily Sale entry '!X144&lt;&gt;"",OR('Daily Sale entry '!AC144&lt;&gt;"",'Daily Sale entry '!AD144&lt;&gt;"")),'Daily Sale entry '!X144+ROW()/10000000,"")</f>
        <v/>
      </c>
      <c r="L144" s="21">
        <f>IF(K144="","",COUNTIF($K$2:$K$3001,"&lt;"&amp;K144)+1)</f>
        <v/>
      </c>
    </row>
    <row r="145">
      <c r="A145" s="5">
        <f>IF($J145="","",IF($J145&lt;=1500,INDEX('Daily Sale entry '!$X$1:$X$1501,$J145+1),INDEX('Daily Sale entry '!$V$1:$V$1501,$J145-1499)))</f>
        <v/>
      </c>
      <c r="B145">
        <f>IF($J145="","",IF($J145&lt;=1500,INDEX('Daily Sale entry '!$Y$1:$Y$1501,$J145+1)&amp;"","Buyer cheque banked 买家支票存入"&amp;IF(INDEX('Daily Sale entry '!$U$1:$U$1501,$J145-1499)="","", " - "&amp;INDEX('Daily Sale entry '!$U$1:$U$1501,$J145-1499))))</f>
        <v/>
      </c>
      <c r="C145">
        <f>IF($J145="","",IF($J145&lt;=1500,INDEX('Daily Sale entry '!$Z$1:$Z$1501,$J145+1)&amp;"","Cheque deposit 支票存入 (buyer 买家)"))</f>
        <v/>
      </c>
      <c r="D145">
        <f>IF($J145="","",IF($J145&lt;=1500,INDEX('Daily Sale entry '!$AA$1:$AA$1501,$J145+1)&amp;"",INDEX('Daily Sale entry '!$P$1:$P$1501,$J145-1499)&amp;""))</f>
        <v/>
      </c>
      <c r="E145">
        <f>IF($J145="","",IF($J145&lt;=1500,IF(N(INDEX('Daily Sale entry '!$AB$1:$AB$1501,$J145+1))=0,"",INDEX('Daily Sale entry '!$AB$1:$AB$1501,$J145+1)),1))</f>
        <v/>
      </c>
      <c r="F145" s="6">
        <f>IF($J145="","",IF($J145&lt;=1500,N(INDEX('Daily Sale entry '!$AC$1:$AC$1501,$J145+1))-IF(AND('Opening Balance'!$B$15=1,INDEX('Daily Sale entry '!$Z$1:$Z$1501,$J145+1)="Online collection 网上收款",INDEX('Daily Sale entry '!$AA$1:$AA$1501,$J145+1)&lt;&gt;""),N(INDEX('Daily Sale entry '!$AC$1:$AC$1501,$J145+1))-TRUNC(N(INDEX('Daily Sale entry '!$AC$1:$AC$1501,$J145+1))),0),N(INDEX('Daily Sale entry '!$S$1:$S$1501,$J145-1499))-'Opening Balance'!$B$15*(N(INDEX('Daily Sale entry '!$S$1:$S$1501,$J145-1499))-TRUNC(N(INDEX('Daily Sale entry '!$S$1:$S$1501,$J145-1499))))))</f>
        <v/>
      </c>
      <c r="G145" s="6">
        <f>IF($J145="","",IF($J145&lt;=1500,N(INDEX('Daily Sale entry '!$AD$1:$AD$1501,$J145+1)),0))</f>
        <v/>
      </c>
      <c r="H145" s="6">
        <f>IF($J145="","",ROUND('Opening Balance'!$B$4+SUM($F$2:F145)-SUM($G$2:G145),2))</f>
        <v/>
      </c>
      <c r="J145" s="21">
        <f>IFERROR(MATCH(ROW()-1,$L$2:$L$3001,0),"")</f>
        <v/>
      </c>
      <c r="K145" s="34">
        <f>IF(AND('Daily Sale entry '!X145&lt;&gt;"",OR('Daily Sale entry '!AC145&lt;&gt;"",'Daily Sale entry '!AD145&lt;&gt;"")),'Daily Sale entry '!X145+ROW()/10000000,"")</f>
        <v/>
      </c>
      <c r="L145" s="21">
        <f>IF(K145="","",COUNTIF($K$2:$K$3001,"&lt;"&amp;K145)+1)</f>
        <v/>
      </c>
    </row>
    <row r="146">
      <c r="A146" s="5">
        <f>IF($J146="","",IF($J146&lt;=1500,INDEX('Daily Sale entry '!$X$1:$X$1501,$J146+1),INDEX('Daily Sale entry '!$V$1:$V$1501,$J146-1499)))</f>
        <v/>
      </c>
      <c r="B146">
        <f>IF($J146="","",IF($J146&lt;=1500,INDEX('Daily Sale entry '!$Y$1:$Y$1501,$J146+1)&amp;"","Buyer cheque banked 买家支票存入"&amp;IF(INDEX('Daily Sale entry '!$U$1:$U$1501,$J146-1499)="","", " - "&amp;INDEX('Daily Sale entry '!$U$1:$U$1501,$J146-1499))))</f>
        <v/>
      </c>
      <c r="C146">
        <f>IF($J146="","",IF($J146&lt;=1500,INDEX('Daily Sale entry '!$Z$1:$Z$1501,$J146+1)&amp;"","Cheque deposit 支票存入 (buyer 买家)"))</f>
        <v/>
      </c>
      <c r="D146">
        <f>IF($J146="","",IF($J146&lt;=1500,INDEX('Daily Sale entry '!$AA$1:$AA$1501,$J146+1)&amp;"",INDEX('Daily Sale entry '!$P$1:$P$1501,$J146-1499)&amp;""))</f>
        <v/>
      </c>
      <c r="E146">
        <f>IF($J146="","",IF($J146&lt;=1500,IF(N(INDEX('Daily Sale entry '!$AB$1:$AB$1501,$J146+1))=0,"",INDEX('Daily Sale entry '!$AB$1:$AB$1501,$J146+1)),1))</f>
        <v/>
      </c>
      <c r="F146" s="6">
        <f>IF($J146="","",IF($J146&lt;=1500,N(INDEX('Daily Sale entry '!$AC$1:$AC$1501,$J146+1))-IF(AND('Opening Balance'!$B$15=1,INDEX('Daily Sale entry '!$Z$1:$Z$1501,$J146+1)="Online collection 网上收款",INDEX('Daily Sale entry '!$AA$1:$AA$1501,$J146+1)&lt;&gt;""),N(INDEX('Daily Sale entry '!$AC$1:$AC$1501,$J146+1))-TRUNC(N(INDEX('Daily Sale entry '!$AC$1:$AC$1501,$J146+1))),0),N(INDEX('Daily Sale entry '!$S$1:$S$1501,$J146-1499))-'Opening Balance'!$B$15*(N(INDEX('Daily Sale entry '!$S$1:$S$1501,$J146-1499))-TRUNC(N(INDEX('Daily Sale entry '!$S$1:$S$1501,$J146-1499))))))</f>
        <v/>
      </c>
      <c r="G146" s="6">
        <f>IF($J146="","",IF($J146&lt;=1500,N(INDEX('Daily Sale entry '!$AD$1:$AD$1501,$J146+1)),0))</f>
        <v/>
      </c>
      <c r="H146" s="6">
        <f>IF($J146="","",ROUND('Opening Balance'!$B$4+SUM($F$2:F146)-SUM($G$2:G146),2))</f>
        <v/>
      </c>
      <c r="J146" s="21">
        <f>IFERROR(MATCH(ROW()-1,$L$2:$L$3001,0),"")</f>
        <v/>
      </c>
      <c r="K146" s="34">
        <f>IF(AND('Daily Sale entry '!X146&lt;&gt;"",OR('Daily Sale entry '!AC146&lt;&gt;"",'Daily Sale entry '!AD146&lt;&gt;"")),'Daily Sale entry '!X146+ROW()/10000000,"")</f>
        <v/>
      </c>
      <c r="L146" s="21">
        <f>IF(K146="","",COUNTIF($K$2:$K$3001,"&lt;"&amp;K146)+1)</f>
        <v/>
      </c>
    </row>
    <row r="147">
      <c r="A147" s="5">
        <f>IF($J147="","",IF($J147&lt;=1500,INDEX('Daily Sale entry '!$X$1:$X$1501,$J147+1),INDEX('Daily Sale entry '!$V$1:$V$1501,$J147-1499)))</f>
        <v/>
      </c>
      <c r="B147">
        <f>IF($J147="","",IF($J147&lt;=1500,INDEX('Daily Sale entry '!$Y$1:$Y$1501,$J147+1)&amp;"","Buyer cheque banked 买家支票存入"&amp;IF(INDEX('Daily Sale entry '!$U$1:$U$1501,$J147-1499)="","", " - "&amp;INDEX('Daily Sale entry '!$U$1:$U$1501,$J147-1499))))</f>
        <v/>
      </c>
      <c r="C147">
        <f>IF($J147="","",IF($J147&lt;=1500,INDEX('Daily Sale entry '!$Z$1:$Z$1501,$J147+1)&amp;"","Cheque deposit 支票存入 (buyer 买家)"))</f>
        <v/>
      </c>
      <c r="D147">
        <f>IF($J147="","",IF($J147&lt;=1500,INDEX('Daily Sale entry '!$AA$1:$AA$1501,$J147+1)&amp;"",INDEX('Daily Sale entry '!$P$1:$P$1501,$J147-1499)&amp;""))</f>
        <v/>
      </c>
      <c r="E147">
        <f>IF($J147="","",IF($J147&lt;=1500,IF(N(INDEX('Daily Sale entry '!$AB$1:$AB$1501,$J147+1))=0,"",INDEX('Daily Sale entry '!$AB$1:$AB$1501,$J147+1)),1))</f>
        <v/>
      </c>
      <c r="F147" s="6">
        <f>IF($J147="","",IF($J147&lt;=1500,N(INDEX('Daily Sale entry '!$AC$1:$AC$1501,$J147+1))-IF(AND('Opening Balance'!$B$15=1,INDEX('Daily Sale entry '!$Z$1:$Z$1501,$J147+1)="Online collection 网上收款",INDEX('Daily Sale entry '!$AA$1:$AA$1501,$J147+1)&lt;&gt;""),N(INDEX('Daily Sale entry '!$AC$1:$AC$1501,$J147+1))-TRUNC(N(INDEX('Daily Sale entry '!$AC$1:$AC$1501,$J147+1))),0),N(INDEX('Daily Sale entry '!$S$1:$S$1501,$J147-1499))-'Opening Balance'!$B$15*(N(INDEX('Daily Sale entry '!$S$1:$S$1501,$J147-1499))-TRUNC(N(INDEX('Daily Sale entry '!$S$1:$S$1501,$J147-1499))))))</f>
        <v/>
      </c>
      <c r="G147" s="6">
        <f>IF($J147="","",IF($J147&lt;=1500,N(INDEX('Daily Sale entry '!$AD$1:$AD$1501,$J147+1)),0))</f>
        <v/>
      </c>
      <c r="H147" s="6">
        <f>IF($J147="","",ROUND('Opening Balance'!$B$4+SUM($F$2:F147)-SUM($G$2:G147),2))</f>
        <v/>
      </c>
      <c r="J147" s="21">
        <f>IFERROR(MATCH(ROW()-1,$L$2:$L$3001,0),"")</f>
        <v/>
      </c>
      <c r="K147" s="34">
        <f>IF(AND('Daily Sale entry '!X147&lt;&gt;"",OR('Daily Sale entry '!AC147&lt;&gt;"",'Daily Sale entry '!AD147&lt;&gt;"")),'Daily Sale entry '!X147+ROW()/10000000,"")</f>
        <v/>
      </c>
      <c r="L147" s="21">
        <f>IF(K147="","",COUNTIF($K$2:$K$3001,"&lt;"&amp;K147)+1)</f>
        <v/>
      </c>
    </row>
    <row r="148">
      <c r="A148" s="5">
        <f>IF($J148="","",IF($J148&lt;=1500,INDEX('Daily Sale entry '!$X$1:$X$1501,$J148+1),INDEX('Daily Sale entry '!$V$1:$V$1501,$J148-1499)))</f>
        <v/>
      </c>
      <c r="B148">
        <f>IF($J148="","",IF($J148&lt;=1500,INDEX('Daily Sale entry '!$Y$1:$Y$1501,$J148+1)&amp;"","Buyer cheque banked 买家支票存入"&amp;IF(INDEX('Daily Sale entry '!$U$1:$U$1501,$J148-1499)="","", " - "&amp;INDEX('Daily Sale entry '!$U$1:$U$1501,$J148-1499))))</f>
        <v/>
      </c>
      <c r="C148">
        <f>IF($J148="","",IF($J148&lt;=1500,INDEX('Daily Sale entry '!$Z$1:$Z$1501,$J148+1)&amp;"","Cheque deposit 支票存入 (buyer 买家)"))</f>
        <v/>
      </c>
      <c r="D148">
        <f>IF($J148="","",IF($J148&lt;=1500,INDEX('Daily Sale entry '!$AA$1:$AA$1501,$J148+1)&amp;"",INDEX('Daily Sale entry '!$P$1:$P$1501,$J148-1499)&amp;""))</f>
        <v/>
      </c>
      <c r="E148">
        <f>IF($J148="","",IF($J148&lt;=1500,IF(N(INDEX('Daily Sale entry '!$AB$1:$AB$1501,$J148+1))=0,"",INDEX('Daily Sale entry '!$AB$1:$AB$1501,$J148+1)),1))</f>
        <v/>
      </c>
      <c r="F148" s="6">
        <f>IF($J148="","",IF($J148&lt;=1500,N(INDEX('Daily Sale entry '!$AC$1:$AC$1501,$J148+1))-IF(AND('Opening Balance'!$B$15=1,INDEX('Daily Sale entry '!$Z$1:$Z$1501,$J148+1)="Online collection 网上收款",INDEX('Daily Sale entry '!$AA$1:$AA$1501,$J148+1)&lt;&gt;""),N(INDEX('Daily Sale entry '!$AC$1:$AC$1501,$J148+1))-TRUNC(N(INDEX('Daily Sale entry '!$AC$1:$AC$1501,$J148+1))),0),N(INDEX('Daily Sale entry '!$S$1:$S$1501,$J148-1499))-'Opening Balance'!$B$15*(N(INDEX('Daily Sale entry '!$S$1:$S$1501,$J148-1499))-TRUNC(N(INDEX('Daily Sale entry '!$S$1:$S$1501,$J148-1499))))))</f>
        <v/>
      </c>
      <c r="G148" s="6">
        <f>IF($J148="","",IF($J148&lt;=1500,N(INDEX('Daily Sale entry '!$AD$1:$AD$1501,$J148+1)),0))</f>
        <v/>
      </c>
      <c r="H148" s="6">
        <f>IF($J148="","",ROUND('Opening Balance'!$B$4+SUM($F$2:F148)-SUM($G$2:G148),2))</f>
        <v/>
      </c>
      <c r="J148" s="21">
        <f>IFERROR(MATCH(ROW()-1,$L$2:$L$3001,0),"")</f>
        <v/>
      </c>
      <c r="K148" s="34">
        <f>IF(AND('Daily Sale entry '!X148&lt;&gt;"",OR('Daily Sale entry '!AC148&lt;&gt;"",'Daily Sale entry '!AD148&lt;&gt;"")),'Daily Sale entry '!X148+ROW()/10000000,"")</f>
        <v/>
      </c>
      <c r="L148" s="21">
        <f>IF(K148="","",COUNTIF($K$2:$K$3001,"&lt;"&amp;K148)+1)</f>
        <v/>
      </c>
    </row>
    <row r="149">
      <c r="A149" s="5">
        <f>IF($J149="","",IF($J149&lt;=1500,INDEX('Daily Sale entry '!$X$1:$X$1501,$J149+1),INDEX('Daily Sale entry '!$V$1:$V$1501,$J149-1499)))</f>
        <v/>
      </c>
      <c r="B149">
        <f>IF($J149="","",IF($J149&lt;=1500,INDEX('Daily Sale entry '!$Y$1:$Y$1501,$J149+1)&amp;"","Buyer cheque banked 买家支票存入"&amp;IF(INDEX('Daily Sale entry '!$U$1:$U$1501,$J149-1499)="","", " - "&amp;INDEX('Daily Sale entry '!$U$1:$U$1501,$J149-1499))))</f>
        <v/>
      </c>
      <c r="C149">
        <f>IF($J149="","",IF($J149&lt;=1500,INDEX('Daily Sale entry '!$Z$1:$Z$1501,$J149+1)&amp;"","Cheque deposit 支票存入 (buyer 买家)"))</f>
        <v/>
      </c>
      <c r="D149">
        <f>IF($J149="","",IF($J149&lt;=1500,INDEX('Daily Sale entry '!$AA$1:$AA$1501,$J149+1)&amp;"",INDEX('Daily Sale entry '!$P$1:$P$1501,$J149-1499)&amp;""))</f>
        <v/>
      </c>
      <c r="E149">
        <f>IF($J149="","",IF($J149&lt;=1500,IF(N(INDEX('Daily Sale entry '!$AB$1:$AB$1501,$J149+1))=0,"",INDEX('Daily Sale entry '!$AB$1:$AB$1501,$J149+1)),1))</f>
        <v/>
      </c>
      <c r="F149" s="6">
        <f>IF($J149="","",IF($J149&lt;=1500,N(INDEX('Daily Sale entry '!$AC$1:$AC$1501,$J149+1))-IF(AND('Opening Balance'!$B$15=1,INDEX('Daily Sale entry '!$Z$1:$Z$1501,$J149+1)="Online collection 网上收款",INDEX('Daily Sale entry '!$AA$1:$AA$1501,$J149+1)&lt;&gt;""),N(INDEX('Daily Sale entry '!$AC$1:$AC$1501,$J149+1))-TRUNC(N(INDEX('Daily Sale entry '!$AC$1:$AC$1501,$J149+1))),0),N(INDEX('Daily Sale entry '!$S$1:$S$1501,$J149-1499))-'Opening Balance'!$B$15*(N(INDEX('Daily Sale entry '!$S$1:$S$1501,$J149-1499))-TRUNC(N(INDEX('Daily Sale entry '!$S$1:$S$1501,$J149-1499))))))</f>
        <v/>
      </c>
      <c r="G149" s="6">
        <f>IF($J149="","",IF($J149&lt;=1500,N(INDEX('Daily Sale entry '!$AD$1:$AD$1501,$J149+1)),0))</f>
        <v/>
      </c>
      <c r="H149" s="6">
        <f>IF($J149="","",ROUND('Opening Balance'!$B$4+SUM($F$2:F149)-SUM($G$2:G149),2))</f>
        <v/>
      </c>
      <c r="J149" s="21">
        <f>IFERROR(MATCH(ROW()-1,$L$2:$L$3001,0),"")</f>
        <v/>
      </c>
      <c r="K149" s="34">
        <f>IF(AND('Daily Sale entry '!X149&lt;&gt;"",OR('Daily Sale entry '!AC149&lt;&gt;"",'Daily Sale entry '!AD149&lt;&gt;"")),'Daily Sale entry '!X149+ROW()/10000000,"")</f>
        <v/>
      </c>
      <c r="L149" s="21">
        <f>IF(K149="","",COUNTIF($K$2:$K$3001,"&lt;"&amp;K149)+1)</f>
        <v/>
      </c>
    </row>
    <row r="150">
      <c r="A150" s="5">
        <f>IF($J150="","",IF($J150&lt;=1500,INDEX('Daily Sale entry '!$X$1:$X$1501,$J150+1),INDEX('Daily Sale entry '!$V$1:$V$1501,$J150-1499)))</f>
        <v/>
      </c>
      <c r="B150">
        <f>IF($J150="","",IF($J150&lt;=1500,INDEX('Daily Sale entry '!$Y$1:$Y$1501,$J150+1)&amp;"","Buyer cheque banked 买家支票存入"&amp;IF(INDEX('Daily Sale entry '!$U$1:$U$1501,$J150-1499)="","", " - "&amp;INDEX('Daily Sale entry '!$U$1:$U$1501,$J150-1499))))</f>
        <v/>
      </c>
      <c r="C150">
        <f>IF($J150="","",IF($J150&lt;=1500,INDEX('Daily Sale entry '!$Z$1:$Z$1501,$J150+1)&amp;"","Cheque deposit 支票存入 (buyer 买家)"))</f>
        <v/>
      </c>
      <c r="D150">
        <f>IF($J150="","",IF($J150&lt;=1500,INDEX('Daily Sale entry '!$AA$1:$AA$1501,$J150+1)&amp;"",INDEX('Daily Sale entry '!$P$1:$P$1501,$J150-1499)&amp;""))</f>
        <v/>
      </c>
      <c r="E150">
        <f>IF($J150="","",IF($J150&lt;=1500,IF(N(INDEX('Daily Sale entry '!$AB$1:$AB$1501,$J150+1))=0,"",INDEX('Daily Sale entry '!$AB$1:$AB$1501,$J150+1)),1))</f>
        <v/>
      </c>
      <c r="F150" s="6">
        <f>IF($J150="","",IF($J150&lt;=1500,N(INDEX('Daily Sale entry '!$AC$1:$AC$1501,$J150+1))-IF(AND('Opening Balance'!$B$15=1,INDEX('Daily Sale entry '!$Z$1:$Z$1501,$J150+1)="Online collection 网上收款",INDEX('Daily Sale entry '!$AA$1:$AA$1501,$J150+1)&lt;&gt;""),N(INDEX('Daily Sale entry '!$AC$1:$AC$1501,$J150+1))-TRUNC(N(INDEX('Daily Sale entry '!$AC$1:$AC$1501,$J150+1))),0),N(INDEX('Daily Sale entry '!$S$1:$S$1501,$J150-1499))-'Opening Balance'!$B$15*(N(INDEX('Daily Sale entry '!$S$1:$S$1501,$J150-1499))-TRUNC(N(INDEX('Daily Sale entry '!$S$1:$S$1501,$J150-1499))))))</f>
        <v/>
      </c>
      <c r="G150" s="6">
        <f>IF($J150="","",IF($J150&lt;=1500,N(INDEX('Daily Sale entry '!$AD$1:$AD$1501,$J150+1)),0))</f>
        <v/>
      </c>
      <c r="H150" s="6">
        <f>IF($J150="","",ROUND('Opening Balance'!$B$4+SUM($F$2:F150)-SUM($G$2:G150),2))</f>
        <v/>
      </c>
      <c r="J150" s="21">
        <f>IFERROR(MATCH(ROW()-1,$L$2:$L$3001,0),"")</f>
        <v/>
      </c>
      <c r="K150" s="34">
        <f>IF(AND('Daily Sale entry '!X150&lt;&gt;"",OR('Daily Sale entry '!AC150&lt;&gt;"",'Daily Sale entry '!AD150&lt;&gt;"")),'Daily Sale entry '!X150+ROW()/10000000,"")</f>
        <v/>
      </c>
      <c r="L150" s="21">
        <f>IF(K150="","",COUNTIF($K$2:$K$3001,"&lt;"&amp;K150)+1)</f>
        <v/>
      </c>
    </row>
    <row r="151">
      <c r="A151" s="5">
        <f>IF($J151="","",IF($J151&lt;=1500,INDEX('Daily Sale entry '!$X$1:$X$1501,$J151+1),INDEX('Daily Sale entry '!$V$1:$V$1501,$J151-1499)))</f>
        <v/>
      </c>
      <c r="B151">
        <f>IF($J151="","",IF($J151&lt;=1500,INDEX('Daily Sale entry '!$Y$1:$Y$1501,$J151+1)&amp;"","Buyer cheque banked 买家支票存入"&amp;IF(INDEX('Daily Sale entry '!$U$1:$U$1501,$J151-1499)="","", " - "&amp;INDEX('Daily Sale entry '!$U$1:$U$1501,$J151-1499))))</f>
        <v/>
      </c>
      <c r="C151">
        <f>IF($J151="","",IF($J151&lt;=1500,INDEX('Daily Sale entry '!$Z$1:$Z$1501,$J151+1)&amp;"","Cheque deposit 支票存入 (buyer 买家)"))</f>
        <v/>
      </c>
      <c r="D151">
        <f>IF($J151="","",IF($J151&lt;=1500,INDEX('Daily Sale entry '!$AA$1:$AA$1501,$J151+1)&amp;"",INDEX('Daily Sale entry '!$P$1:$P$1501,$J151-1499)&amp;""))</f>
        <v/>
      </c>
      <c r="E151">
        <f>IF($J151="","",IF($J151&lt;=1500,IF(N(INDEX('Daily Sale entry '!$AB$1:$AB$1501,$J151+1))=0,"",INDEX('Daily Sale entry '!$AB$1:$AB$1501,$J151+1)),1))</f>
        <v/>
      </c>
      <c r="F151" s="6">
        <f>IF($J151="","",IF($J151&lt;=1500,N(INDEX('Daily Sale entry '!$AC$1:$AC$1501,$J151+1))-IF(AND('Opening Balance'!$B$15=1,INDEX('Daily Sale entry '!$Z$1:$Z$1501,$J151+1)="Online collection 网上收款",INDEX('Daily Sale entry '!$AA$1:$AA$1501,$J151+1)&lt;&gt;""),N(INDEX('Daily Sale entry '!$AC$1:$AC$1501,$J151+1))-TRUNC(N(INDEX('Daily Sale entry '!$AC$1:$AC$1501,$J151+1))),0),N(INDEX('Daily Sale entry '!$S$1:$S$1501,$J151-1499))-'Opening Balance'!$B$15*(N(INDEX('Daily Sale entry '!$S$1:$S$1501,$J151-1499))-TRUNC(N(INDEX('Daily Sale entry '!$S$1:$S$1501,$J151-1499))))))</f>
        <v/>
      </c>
      <c r="G151" s="6">
        <f>IF($J151="","",IF($J151&lt;=1500,N(INDEX('Daily Sale entry '!$AD$1:$AD$1501,$J151+1)),0))</f>
        <v/>
      </c>
      <c r="H151" s="6">
        <f>IF($J151="","",ROUND('Opening Balance'!$B$4+SUM($F$2:F151)-SUM($G$2:G151),2))</f>
        <v/>
      </c>
      <c r="J151" s="21">
        <f>IFERROR(MATCH(ROW()-1,$L$2:$L$3001,0),"")</f>
        <v/>
      </c>
      <c r="K151" s="34">
        <f>IF(AND('Daily Sale entry '!X151&lt;&gt;"",OR('Daily Sale entry '!AC151&lt;&gt;"",'Daily Sale entry '!AD151&lt;&gt;"")),'Daily Sale entry '!X151+ROW()/10000000,"")</f>
        <v/>
      </c>
      <c r="L151" s="21">
        <f>IF(K151="","",COUNTIF($K$2:$K$3001,"&lt;"&amp;K151)+1)</f>
        <v/>
      </c>
    </row>
    <row r="152">
      <c r="A152" s="5">
        <f>IF($J152="","",IF($J152&lt;=1500,INDEX('Daily Sale entry '!$X$1:$X$1501,$J152+1),INDEX('Daily Sale entry '!$V$1:$V$1501,$J152-1499)))</f>
        <v/>
      </c>
      <c r="B152">
        <f>IF($J152="","",IF($J152&lt;=1500,INDEX('Daily Sale entry '!$Y$1:$Y$1501,$J152+1)&amp;"","Buyer cheque banked 买家支票存入"&amp;IF(INDEX('Daily Sale entry '!$U$1:$U$1501,$J152-1499)="","", " - "&amp;INDEX('Daily Sale entry '!$U$1:$U$1501,$J152-1499))))</f>
        <v/>
      </c>
      <c r="C152">
        <f>IF($J152="","",IF($J152&lt;=1500,INDEX('Daily Sale entry '!$Z$1:$Z$1501,$J152+1)&amp;"","Cheque deposit 支票存入 (buyer 买家)"))</f>
        <v/>
      </c>
      <c r="D152">
        <f>IF($J152="","",IF($J152&lt;=1500,INDEX('Daily Sale entry '!$AA$1:$AA$1501,$J152+1)&amp;"",INDEX('Daily Sale entry '!$P$1:$P$1501,$J152-1499)&amp;""))</f>
        <v/>
      </c>
      <c r="E152">
        <f>IF($J152="","",IF($J152&lt;=1500,IF(N(INDEX('Daily Sale entry '!$AB$1:$AB$1501,$J152+1))=0,"",INDEX('Daily Sale entry '!$AB$1:$AB$1501,$J152+1)),1))</f>
        <v/>
      </c>
      <c r="F152" s="6">
        <f>IF($J152="","",IF($J152&lt;=1500,N(INDEX('Daily Sale entry '!$AC$1:$AC$1501,$J152+1))-IF(AND('Opening Balance'!$B$15=1,INDEX('Daily Sale entry '!$Z$1:$Z$1501,$J152+1)="Online collection 网上收款",INDEX('Daily Sale entry '!$AA$1:$AA$1501,$J152+1)&lt;&gt;""),N(INDEX('Daily Sale entry '!$AC$1:$AC$1501,$J152+1))-TRUNC(N(INDEX('Daily Sale entry '!$AC$1:$AC$1501,$J152+1))),0),N(INDEX('Daily Sale entry '!$S$1:$S$1501,$J152-1499))-'Opening Balance'!$B$15*(N(INDEX('Daily Sale entry '!$S$1:$S$1501,$J152-1499))-TRUNC(N(INDEX('Daily Sale entry '!$S$1:$S$1501,$J152-1499))))))</f>
        <v/>
      </c>
      <c r="G152" s="6">
        <f>IF($J152="","",IF($J152&lt;=1500,N(INDEX('Daily Sale entry '!$AD$1:$AD$1501,$J152+1)),0))</f>
        <v/>
      </c>
      <c r="H152" s="6">
        <f>IF($J152="","",ROUND('Opening Balance'!$B$4+SUM($F$2:F152)-SUM($G$2:G152),2))</f>
        <v/>
      </c>
      <c r="J152" s="21">
        <f>IFERROR(MATCH(ROW()-1,$L$2:$L$3001,0),"")</f>
        <v/>
      </c>
      <c r="K152" s="34">
        <f>IF(AND('Daily Sale entry '!X152&lt;&gt;"",OR('Daily Sale entry '!AC152&lt;&gt;"",'Daily Sale entry '!AD152&lt;&gt;"")),'Daily Sale entry '!X152+ROW()/10000000,"")</f>
        <v/>
      </c>
      <c r="L152" s="21">
        <f>IF(K152="","",COUNTIF($K$2:$K$3001,"&lt;"&amp;K152)+1)</f>
        <v/>
      </c>
    </row>
    <row r="153">
      <c r="A153" s="5">
        <f>IF($J153="","",IF($J153&lt;=1500,INDEX('Daily Sale entry '!$X$1:$X$1501,$J153+1),INDEX('Daily Sale entry '!$V$1:$V$1501,$J153-1499)))</f>
        <v/>
      </c>
      <c r="B153">
        <f>IF($J153="","",IF($J153&lt;=1500,INDEX('Daily Sale entry '!$Y$1:$Y$1501,$J153+1)&amp;"","Buyer cheque banked 买家支票存入"&amp;IF(INDEX('Daily Sale entry '!$U$1:$U$1501,$J153-1499)="","", " - "&amp;INDEX('Daily Sale entry '!$U$1:$U$1501,$J153-1499))))</f>
        <v/>
      </c>
      <c r="C153">
        <f>IF($J153="","",IF($J153&lt;=1500,INDEX('Daily Sale entry '!$Z$1:$Z$1501,$J153+1)&amp;"","Cheque deposit 支票存入 (buyer 买家)"))</f>
        <v/>
      </c>
      <c r="D153">
        <f>IF($J153="","",IF($J153&lt;=1500,INDEX('Daily Sale entry '!$AA$1:$AA$1501,$J153+1)&amp;"",INDEX('Daily Sale entry '!$P$1:$P$1501,$J153-1499)&amp;""))</f>
        <v/>
      </c>
      <c r="E153">
        <f>IF($J153="","",IF($J153&lt;=1500,IF(N(INDEX('Daily Sale entry '!$AB$1:$AB$1501,$J153+1))=0,"",INDEX('Daily Sale entry '!$AB$1:$AB$1501,$J153+1)),1))</f>
        <v/>
      </c>
      <c r="F153" s="6">
        <f>IF($J153="","",IF($J153&lt;=1500,N(INDEX('Daily Sale entry '!$AC$1:$AC$1501,$J153+1))-IF(AND('Opening Balance'!$B$15=1,INDEX('Daily Sale entry '!$Z$1:$Z$1501,$J153+1)="Online collection 网上收款",INDEX('Daily Sale entry '!$AA$1:$AA$1501,$J153+1)&lt;&gt;""),N(INDEX('Daily Sale entry '!$AC$1:$AC$1501,$J153+1))-TRUNC(N(INDEX('Daily Sale entry '!$AC$1:$AC$1501,$J153+1))),0),N(INDEX('Daily Sale entry '!$S$1:$S$1501,$J153-1499))-'Opening Balance'!$B$15*(N(INDEX('Daily Sale entry '!$S$1:$S$1501,$J153-1499))-TRUNC(N(INDEX('Daily Sale entry '!$S$1:$S$1501,$J153-1499))))))</f>
        <v/>
      </c>
      <c r="G153" s="6">
        <f>IF($J153="","",IF($J153&lt;=1500,N(INDEX('Daily Sale entry '!$AD$1:$AD$1501,$J153+1)),0))</f>
        <v/>
      </c>
      <c r="H153" s="6">
        <f>IF($J153="","",ROUND('Opening Balance'!$B$4+SUM($F$2:F153)-SUM($G$2:G153),2))</f>
        <v/>
      </c>
      <c r="J153" s="21">
        <f>IFERROR(MATCH(ROW()-1,$L$2:$L$3001,0),"")</f>
        <v/>
      </c>
      <c r="K153" s="34">
        <f>IF(AND('Daily Sale entry '!X153&lt;&gt;"",OR('Daily Sale entry '!AC153&lt;&gt;"",'Daily Sale entry '!AD153&lt;&gt;"")),'Daily Sale entry '!X153+ROW()/10000000,"")</f>
        <v/>
      </c>
      <c r="L153" s="21">
        <f>IF(K153="","",COUNTIF($K$2:$K$3001,"&lt;"&amp;K153)+1)</f>
        <v/>
      </c>
    </row>
    <row r="154">
      <c r="A154" s="5">
        <f>IF($J154="","",IF($J154&lt;=1500,INDEX('Daily Sale entry '!$X$1:$X$1501,$J154+1),INDEX('Daily Sale entry '!$V$1:$V$1501,$J154-1499)))</f>
        <v/>
      </c>
      <c r="B154">
        <f>IF($J154="","",IF($J154&lt;=1500,INDEX('Daily Sale entry '!$Y$1:$Y$1501,$J154+1)&amp;"","Buyer cheque banked 买家支票存入"&amp;IF(INDEX('Daily Sale entry '!$U$1:$U$1501,$J154-1499)="","", " - "&amp;INDEX('Daily Sale entry '!$U$1:$U$1501,$J154-1499))))</f>
        <v/>
      </c>
      <c r="C154">
        <f>IF($J154="","",IF($J154&lt;=1500,INDEX('Daily Sale entry '!$Z$1:$Z$1501,$J154+1)&amp;"","Cheque deposit 支票存入 (buyer 买家)"))</f>
        <v/>
      </c>
      <c r="D154">
        <f>IF($J154="","",IF($J154&lt;=1500,INDEX('Daily Sale entry '!$AA$1:$AA$1501,$J154+1)&amp;"",INDEX('Daily Sale entry '!$P$1:$P$1501,$J154-1499)&amp;""))</f>
        <v/>
      </c>
      <c r="E154">
        <f>IF($J154="","",IF($J154&lt;=1500,IF(N(INDEX('Daily Sale entry '!$AB$1:$AB$1501,$J154+1))=0,"",INDEX('Daily Sale entry '!$AB$1:$AB$1501,$J154+1)),1))</f>
        <v/>
      </c>
      <c r="F154" s="6">
        <f>IF($J154="","",IF($J154&lt;=1500,N(INDEX('Daily Sale entry '!$AC$1:$AC$1501,$J154+1))-IF(AND('Opening Balance'!$B$15=1,INDEX('Daily Sale entry '!$Z$1:$Z$1501,$J154+1)="Online collection 网上收款",INDEX('Daily Sale entry '!$AA$1:$AA$1501,$J154+1)&lt;&gt;""),N(INDEX('Daily Sale entry '!$AC$1:$AC$1501,$J154+1))-TRUNC(N(INDEX('Daily Sale entry '!$AC$1:$AC$1501,$J154+1))),0),N(INDEX('Daily Sale entry '!$S$1:$S$1501,$J154-1499))-'Opening Balance'!$B$15*(N(INDEX('Daily Sale entry '!$S$1:$S$1501,$J154-1499))-TRUNC(N(INDEX('Daily Sale entry '!$S$1:$S$1501,$J154-1499))))))</f>
        <v/>
      </c>
      <c r="G154" s="6">
        <f>IF($J154="","",IF($J154&lt;=1500,N(INDEX('Daily Sale entry '!$AD$1:$AD$1501,$J154+1)),0))</f>
        <v/>
      </c>
      <c r="H154" s="6">
        <f>IF($J154="","",ROUND('Opening Balance'!$B$4+SUM($F$2:F154)-SUM($G$2:G154),2))</f>
        <v/>
      </c>
      <c r="J154" s="21">
        <f>IFERROR(MATCH(ROW()-1,$L$2:$L$3001,0),"")</f>
        <v/>
      </c>
      <c r="K154" s="34">
        <f>IF(AND('Daily Sale entry '!X154&lt;&gt;"",OR('Daily Sale entry '!AC154&lt;&gt;"",'Daily Sale entry '!AD154&lt;&gt;"")),'Daily Sale entry '!X154+ROW()/10000000,"")</f>
        <v/>
      </c>
      <c r="L154" s="21">
        <f>IF(K154="","",COUNTIF($K$2:$K$3001,"&lt;"&amp;K154)+1)</f>
        <v/>
      </c>
    </row>
    <row r="155">
      <c r="A155" s="5">
        <f>IF($J155="","",IF($J155&lt;=1500,INDEX('Daily Sale entry '!$X$1:$X$1501,$J155+1),INDEX('Daily Sale entry '!$V$1:$V$1501,$J155-1499)))</f>
        <v/>
      </c>
      <c r="B155">
        <f>IF($J155="","",IF($J155&lt;=1500,INDEX('Daily Sale entry '!$Y$1:$Y$1501,$J155+1)&amp;"","Buyer cheque banked 买家支票存入"&amp;IF(INDEX('Daily Sale entry '!$U$1:$U$1501,$J155-1499)="","", " - "&amp;INDEX('Daily Sale entry '!$U$1:$U$1501,$J155-1499))))</f>
        <v/>
      </c>
      <c r="C155">
        <f>IF($J155="","",IF($J155&lt;=1500,INDEX('Daily Sale entry '!$Z$1:$Z$1501,$J155+1)&amp;"","Cheque deposit 支票存入 (buyer 买家)"))</f>
        <v/>
      </c>
      <c r="D155">
        <f>IF($J155="","",IF($J155&lt;=1500,INDEX('Daily Sale entry '!$AA$1:$AA$1501,$J155+1)&amp;"",INDEX('Daily Sale entry '!$P$1:$P$1501,$J155-1499)&amp;""))</f>
        <v/>
      </c>
      <c r="E155">
        <f>IF($J155="","",IF($J155&lt;=1500,IF(N(INDEX('Daily Sale entry '!$AB$1:$AB$1501,$J155+1))=0,"",INDEX('Daily Sale entry '!$AB$1:$AB$1501,$J155+1)),1))</f>
        <v/>
      </c>
      <c r="F155" s="6">
        <f>IF($J155="","",IF($J155&lt;=1500,N(INDEX('Daily Sale entry '!$AC$1:$AC$1501,$J155+1))-IF(AND('Opening Balance'!$B$15=1,INDEX('Daily Sale entry '!$Z$1:$Z$1501,$J155+1)="Online collection 网上收款",INDEX('Daily Sale entry '!$AA$1:$AA$1501,$J155+1)&lt;&gt;""),N(INDEX('Daily Sale entry '!$AC$1:$AC$1501,$J155+1))-TRUNC(N(INDEX('Daily Sale entry '!$AC$1:$AC$1501,$J155+1))),0),N(INDEX('Daily Sale entry '!$S$1:$S$1501,$J155-1499))-'Opening Balance'!$B$15*(N(INDEX('Daily Sale entry '!$S$1:$S$1501,$J155-1499))-TRUNC(N(INDEX('Daily Sale entry '!$S$1:$S$1501,$J155-1499))))))</f>
        <v/>
      </c>
      <c r="G155" s="6">
        <f>IF($J155="","",IF($J155&lt;=1500,N(INDEX('Daily Sale entry '!$AD$1:$AD$1501,$J155+1)),0))</f>
        <v/>
      </c>
      <c r="H155" s="6">
        <f>IF($J155="","",ROUND('Opening Balance'!$B$4+SUM($F$2:F155)-SUM($G$2:G155),2))</f>
        <v/>
      </c>
      <c r="J155" s="21">
        <f>IFERROR(MATCH(ROW()-1,$L$2:$L$3001,0),"")</f>
        <v/>
      </c>
      <c r="K155" s="34">
        <f>IF(AND('Daily Sale entry '!X155&lt;&gt;"",OR('Daily Sale entry '!AC155&lt;&gt;"",'Daily Sale entry '!AD155&lt;&gt;"")),'Daily Sale entry '!X155+ROW()/10000000,"")</f>
        <v/>
      </c>
      <c r="L155" s="21">
        <f>IF(K155="","",COUNTIF($K$2:$K$3001,"&lt;"&amp;K155)+1)</f>
        <v/>
      </c>
    </row>
    <row r="156">
      <c r="A156" s="5">
        <f>IF($J156="","",IF($J156&lt;=1500,INDEX('Daily Sale entry '!$X$1:$X$1501,$J156+1),INDEX('Daily Sale entry '!$V$1:$V$1501,$J156-1499)))</f>
        <v/>
      </c>
      <c r="B156">
        <f>IF($J156="","",IF($J156&lt;=1500,INDEX('Daily Sale entry '!$Y$1:$Y$1501,$J156+1)&amp;"","Buyer cheque banked 买家支票存入"&amp;IF(INDEX('Daily Sale entry '!$U$1:$U$1501,$J156-1499)="","", " - "&amp;INDEX('Daily Sale entry '!$U$1:$U$1501,$J156-1499))))</f>
        <v/>
      </c>
      <c r="C156">
        <f>IF($J156="","",IF($J156&lt;=1500,INDEX('Daily Sale entry '!$Z$1:$Z$1501,$J156+1)&amp;"","Cheque deposit 支票存入 (buyer 买家)"))</f>
        <v/>
      </c>
      <c r="D156">
        <f>IF($J156="","",IF($J156&lt;=1500,INDEX('Daily Sale entry '!$AA$1:$AA$1501,$J156+1)&amp;"",INDEX('Daily Sale entry '!$P$1:$P$1501,$J156-1499)&amp;""))</f>
        <v/>
      </c>
      <c r="E156">
        <f>IF($J156="","",IF($J156&lt;=1500,IF(N(INDEX('Daily Sale entry '!$AB$1:$AB$1501,$J156+1))=0,"",INDEX('Daily Sale entry '!$AB$1:$AB$1501,$J156+1)),1))</f>
        <v/>
      </c>
      <c r="F156" s="6">
        <f>IF($J156="","",IF($J156&lt;=1500,N(INDEX('Daily Sale entry '!$AC$1:$AC$1501,$J156+1))-IF(AND('Opening Balance'!$B$15=1,INDEX('Daily Sale entry '!$Z$1:$Z$1501,$J156+1)="Online collection 网上收款",INDEX('Daily Sale entry '!$AA$1:$AA$1501,$J156+1)&lt;&gt;""),N(INDEX('Daily Sale entry '!$AC$1:$AC$1501,$J156+1))-TRUNC(N(INDEX('Daily Sale entry '!$AC$1:$AC$1501,$J156+1))),0),N(INDEX('Daily Sale entry '!$S$1:$S$1501,$J156-1499))-'Opening Balance'!$B$15*(N(INDEX('Daily Sale entry '!$S$1:$S$1501,$J156-1499))-TRUNC(N(INDEX('Daily Sale entry '!$S$1:$S$1501,$J156-1499))))))</f>
        <v/>
      </c>
      <c r="G156" s="6">
        <f>IF($J156="","",IF($J156&lt;=1500,N(INDEX('Daily Sale entry '!$AD$1:$AD$1501,$J156+1)),0))</f>
        <v/>
      </c>
      <c r="H156" s="6">
        <f>IF($J156="","",ROUND('Opening Balance'!$B$4+SUM($F$2:F156)-SUM($G$2:G156),2))</f>
        <v/>
      </c>
      <c r="J156" s="21">
        <f>IFERROR(MATCH(ROW()-1,$L$2:$L$3001,0),"")</f>
        <v/>
      </c>
      <c r="K156" s="34">
        <f>IF(AND('Daily Sale entry '!X156&lt;&gt;"",OR('Daily Sale entry '!AC156&lt;&gt;"",'Daily Sale entry '!AD156&lt;&gt;"")),'Daily Sale entry '!X156+ROW()/10000000,"")</f>
        <v/>
      </c>
      <c r="L156" s="21">
        <f>IF(K156="","",COUNTIF($K$2:$K$3001,"&lt;"&amp;K156)+1)</f>
        <v/>
      </c>
    </row>
    <row r="157">
      <c r="A157" s="5">
        <f>IF($J157="","",IF($J157&lt;=1500,INDEX('Daily Sale entry '!$X$1:$X$1501,$J157+1),INDEX('Daily Sale entry '!$V$1:$V$1501,$J157-1499)))</f>
        <v/>
      </c>
      <c r="B157">
        <f>IF($J157="","",IF($J157&lt;=1500,INDEX('Daily Sale entry '!$Y$1:$Y$1501,$J157+1)&amp;"","Buyer cheque banked 买家支票存入"&amp;IF(INDEX('Daily Sale entry '!$U$1:$U$1501,$J157-1499)="","", " - "&amp;INDEX('Daily Sale entry '!$U$1:$U$1501,$J157-1499))))</f>
        <v/>
      </c>
      <c r="C157">
        <f>IF($J157="","",IF($J157&lt;=1500,INDEX('Daily Sale entry '!$Z$1:$Z$1501,$J157+1)&amp;"","Cheque deposit 支票存入 (buyer 买家)"))</f>
        <v/>
      </c>
      <c r="D157">
        <f>IF($J157="","",IF($J157&lt;=1500,INDEX('Daily Sale entry '!$AA$1:$AA$1501,$J157+1)&amp;"",INDEX('Daily Sale entry '!$P$1:$P$1501,$J157-1499)&amp;""))</f>
        <v/>
      </c>
      <c r="E157">
        <f>IF($J157="","",IF($J157&lt;=1500,IF(N(INDEX('Daily Sale entry '!$AB$1:$AB$1501,$J157+1))=0,"",INDEX('Daily Sale entry '!$AB$1:$AB$1501,$J157+1)),1))</f>
        <v/>
      </c>
      <c r="F157" s="6">
        <f>IF($J157="","",IF($J157&lt;=1500,N(INDEX('Daily Sale entry '!$AC$1:$AC$1501,$J157+1))-IF(AND('Opening Balance'!$B$15=1,INDEX('Daily Sale entry '!$Z$1:$Z$1501,$J157+1)="Online collection 网上收款",INDEX('Daily Sale entry '!$AA$1:$AA$1501,$J157+1)&lt;&gt;""),N(INDEX('Daily Sale entry '!$AC$1:$AC$1501,$J157+1))-TRUNC(N(INDEX('Daily Sale entry '!$AC$1:$AC$1501,$J157+1))),0),N(INDEX('Daily Sale entry '!$S$1:$S$1501,$J157-1499))-'Opening Balance'!$B$15*(N(INDEX('Daily Sale entry '!$S$1:$S$1501,$J157-1499))-TRUNC(N(INDEX('Daily Sale entry '!$S$1:$S$1501,$J157-1499))))))</f>
        <v/>
      </c>
      <c r="G157" s="6">
        <f>IF($J157="","",IF($J157&lt;=1500,N(INDEX('Daily Sale entry '!$AD$1:$AD$1501,$J157+1)),0))</f>
        <v/>
      </c>
      <c r="H157" s="6">
        <f>IF($J157="","",ROUND('Opening Balance'!$B$4+SUM($F$2:F157)-SUM($G$2:G157),2))</f>
        <v/>
      </c>
      <c r="J157" s="21">
        <f>IFERROR(MATCH(ROW()-1,$L$2:$L$3001,0),"")</f>
        <v/>
      </c>
      <c r="K157" s="34">
        <f>IF(AND('Daily Sale entry '!X157&lt;&gt;"",OR('Daily Sale entry '!AC157&lt;&gt;"",'Daily Sale entry '!AD157&lt;&gt;"")),'Daily Sale entry '!X157+ROW()/10000000,"")</f>
        <v/>
      </c>
      <c r="L157" s="21">
        <f>IF(K157="","",COUNTIF($K$2:$K$3001,"&lt;"&amp;K157)+1)</f>
        <v/>
      </c>
    </row>
    <row r="158">
      <c r="A158" s="5">
        <f>IF($J158="","",IF($J158&lt;=1500,INDEX('Daily Sale entry '!$X$1:$X$1501,$J158+1),INDEX('Daily Sale entry '!$V$1:$V$1501,$J158-1499)))</f>
        <v/>
      </c>
      <c r="B158">
        <f>IF($J158="","",IF($J158&lt;=1500,INDEX('Daily Sale entry '!$Y$1:$Y$1501,$J158+1)&amp;"","Buyer cheque banked 买家支票存入"&amp;IF(INDEX('Daily Sale entry '!$U$1:$U$1501,$J158-1499)="","", " - "&amp;INDEX('Daily Sale entry '!$U$1:$U$1501,$J158-1499))))</f>
        <v/>
      </c>
      <c r="C158">
        <f>IF($J158="","",IF($J158&lt;=1500,INDEX('Daily Sale entry '!$Z$1:$Z$1501,$J158+1)&amp;"","Cheque deposit 支票存入 (buyer 买家)"))</f>
        <v/>
      </c>
      <c r="D158">
        <f>IF($J158="","",IF($J158&lt;=1500,INDEX('Daily Sale entry '!$AA$1:$AA$1501,$J158+1)&amp;"",INDEX('Daily Sale entry '!$P$1:$P$1501,$J158-1499)&amp;""))</f>
        <v/>
      </c>
      <c r="E158">
        <f>IF($J158="","",IF($J158&lt;=1500,IF(N(INDEX('Daily Sale entry '!$AB$1:$AB$1501,$J158+1))=0,"",INDEX('Daily Sale entry '!$AB$1:$AB$1501,$J158+1)),1))</f>
        <v/>
      </c>
      <c r="F158" s="6">
        <f>IF($J158="","",IF($J158&lt;=1500,N(INDEX('Daily Sale entry '!$AC$1:$AC$1501,$J158+1))-IF(AND('Opening Balance'!$B$15=1,INDEX('Daily Sale entry '!$Z$1:$Z$1501,$J158+1)="Online collection 网上收款",INDEX('Daily Sale entry '!$AA$1:$AA$1501,$J158+1)&lt;&gt;""),N(INDEX('Daily Sale entry '!$AC$1:$AC$1501,$J158+1))-TRUNC(N(INDEX('Daily Sale entry '!$AC$1:$AC$1501,$J158+1))),0),N(INDEX('Daily Sale entry '!$S$1:$S$1501,$J158-1499))-'Opening Balance'!$B$15*(N(INDEX('Daily Sale entry '!$S$1:$S$1501,$J158-1499))-TRUNC(N(INDEX('Daily Sale entry '!$S$1:$S$1501,$J158-1499))))))</f>
        <v/>
      </c>
      <c r="G158" s="6">
        <f>IF($J158="","",IF($J158&lt;=1500,N(INDEX('Daily Sale entry '!$AD$1:$AD$1501,$J158+1)),0))</f>
        <v/>
      </c>
      <c r="H158" s="6">
        <f>IF($J158="","",ROUND('Opening Balance'!$B$4+SUM($F$2:F158)-SUM($G$2:G158),2))</f>
        <v/>
      </c>
      <c r="J158" s="21">
        <f>IFERROR(MATCH(ROW()-1,$L$2:$L$3001,0),"")</f>
        <v/>
      </c>
      <c r="K158" s="34">
        <f>IF(AND('Daily Sale entry '!X158&lt;&gt;"",OR('Daily Sale entry '!AC158&lt;&gt;"",'Daily Sale entry '!AD158&lt;&gt;"")),'Daily Sale entry '!X158+ROW()/10000000,"")</f>
        <v/>
      </c>
      <c r="L158" s="21">
        <f>IF(K158="","",COUNTIF($K$2:$K$3001,"&lt;"&amp;K158)+1)</f>
        <v/>
      </c>
    </row>
    <row r="159">
      <c r="A159" s="5">
        <f>IF($J159="","",IF($J159&lt;=1500,INDEX('Daily Sale entry '!$X$1:$X$1501,$J159+1),INDEX('Daily Sale entry '!$V$1:$V$1501,$J159-1499)))</f>
        <v/>
      </c>
      <c r="B159">
        <f>IF($J159="","",IF($J159&lt;=1500,INDEX('Daily Sale entry '!$Y$1:$Y$1501,$J159+1)&amp;"","Buyer cheque banked 买家支票存入"&amp;IF(INDEX('Daily Sale entry '!$U$1:$U$1501,$J159-1499)="","", " - "&amp;INDEX('Daily Sale entry '!$U$1:$U$1501,$J159-1499))))</f>
        <v/>
      </c>
      <c r="C159">
        <f>IF($J159="","",IF($J159&lt;=1500,INDEX('Daily Sale entry '!$Z$1:$Z$1501,$J159+1)&amp;"","Cheque deposit 支票存入 (buyer 买家)"))</f>
        <v/>
      </c>
      <c r="D159">
        <f>IF($J159="","",IF($J159&lt;=1500,INDEX('Daily Sale entry '!$AA$1:$AA$1501,$J159+1)&amp;"",INDEX('Daily Sale entry '!$P$1:$P$1501,$J159-1499)&amp;""))</f>
        <v/>
      </c>
      <c r="E159">
        <f>IF($J159="","",IF($J159&lt;=1500,IF(N(INDEX('Daily Sale entry '!$AB$1:$AB$1501,$J159+1))=0,"",INDEX('Daily Sale entry '!$AB$1:$AB$1501,$J159+1)),1))</f>
        <v/>
      </c>
      <c r="F159" s="6">
        <f>IF($J159="","",IF($J159&lt;=1500,N(INDEX('Daily Sale entry '!$AC$1:$AC$1501,$J159+1))-IF(AND('Opening Balance'!$B$15=1,INDEX('Daily Sale entry '!$Z$1:$Z$1501,$J159+1)="Online collection 网上收款",INDEX('Daily Sale entry '!$AA$1:$AA$1501,$J159+1)&lt;&gt;""),N(INDEX('Daily Sale entry '!$AC$1:$AC$1501,$J159+1))-TRUNC(N(INDEX('Daily Sale entry '!$AC$1:$AC$1501,$J159+1))),0),N(INDEX('Daily Sale entry '!$S$1:$S$1501,$J159-1499))-'Opening Balance'!$B$15*(N(INDEX('Daily Sale entry '!$S$1:$S$1501,$J159-1499))-TRUNC(N(INDEX('Daily Sale entry '!$S$1:$S$1501,$J159-1499))))))</f>
        <v/>
      </c>
      <c r="G159" s="6">
        <f>IF($J159="","",IF($J159&lt;=1500,N(INDEX('Daily Sale entry '!$AD$1:$AD$1501,$J159+1)),0))</f>
        <v/>
      </c>
      <c r="H159" s="6">
        <f>IF($J159="","",ROUND('Opening Balance'!$B$4+SUM($F$2:F159)-SUM($G$2:G159),2))</f>
        <v/>
      </c>
      <c r="J159" s="21">
        <f>IFERROR(MATCH(ROW()-1,$L$2:$L$3001,0),"")</f>
        <v/>
      </c>
      <c r="K159" s="34">
        <f>IF(AND('Daily Sale entry '!X159&lt;&gt;"",OR('Daily Sale entry '!AC159&lt;&gt;"",'Daily Sale entry '!AD159&lt;&gt;"")),'Daily Sale entry '!X159+ROW()/10000000,"")</f>
        <v/>
      </c>
      <c r="L159" s="21">
        <f>IF(K159="","",COUNTIF($K$2:$K$3001,"&lt;"&amp;K159)+1)</f>
        <v/>
      </c>
    </row>
    <row r="160">
      <c r="A160" s="5">
        <f>IF($J160="","",IF($J160&lt;=1500,INDEX('Daily Sale entry '!$X$1:$X$1501,$J160+1),INDEX('Daily Sale entry '!$V$1:$V$1501,$J160-1499)))</f>
        <v/>
      </c>
      <c r="B160">
        <f>IF($J160="","",IF($J160&lt;=1500,INDEX('Daily Sale entry '!$Y$1:$Y$1501,$J160+1)&amp;"","Buyer cheque banked 买家支票存入"&amp;IF(INDEX('Daily Sale entry '!$U$1:$U$1501,$J160-1499)="","", " - "&amp;INDEX('Daily Sale entry '!$U$1:$U$1501,$J160-1499))))</f>
        <v/>
      </c>
      <c r="C160">
        <f>IF($J160="","",IF($J160&lt;=1500,INDEX('Daily Sale entry '!$Z$1:$Z$1501,$J160+1)&amp;"","Cheque deposit 支票存入 (buyer 买家)"))</f>
        <v/>
      </c>
      <c r="D160">
        <f>IF($J160="","",IF($J160&lt;=1500,INDEX('Daily Sale entry '!$AA$1:$AA$1501,$J160+1)&amp;"",INDEX('Daily Sale entry '!$P$1:$P$1501,$J160-1499)&amp;""))</f>
        <v/>
      </c>
      <c r="E160">
        <f>IF($J160="","",IF($J160&lt;=1500,IF(N(INDEX('Daily Sale entry '!$AB$1:$AB$1501,$J160+1))=0,"",INDEX('Daily Sale entry '!$AB$1:$AB$1501,$J160+1)),1))</f>
        <v/>
      </c>
      <c r="F160" s="6">
        <f>IF($J160="","",IF($J160&lt;=1500,N(INDEX('Daily Sale entry '!$AC$1:$AC$1501,$J160+1))-IF(AND('Opening Balance'!$B$15=1,INDEX('Daily Sale entry '!$Z$1:$Z$1501,$J160+1)="Online collection 网上收款",INDEX('Daily Sale entry '!$AA$1:$AA$1501,$J160+1)&lt;&gt;""),N(INDEX('Daily Sale entry '!$AC$1:$AC$1501,$J160+1))-TRUNC(N(INDEX('Daily Sale entry '!$AC$1:$AC$1501,$J160+1))),0),N(INDEX('Daily Sale entry '!$S$1:$S$1501,$J160-1499))-'Opening Balance'!$B$15*(N(INDEX('Daily Sale entry '!$S$1:$S$1501,$J160-1499))-TRUNC(N(INDEX('Daily Sale entry '!$S$1:$S$1501,$J160-1499))))))</f>
        <v/>
      </c>
      <c r="G160" s="6">
        <f>IF($J160="","",IF($J160&lt;=1500,N(INDEX('Daily Sale entry '!$AD$1:$AD$1501,$J160+1)),0))</f>
        <v/>
      </c>
      <c r="H160" s="6">
        <f>IF($J160="","",ROUND('Opening Balance'!$B$4+SUM($F$2:F160)-SUM($G$2:G160),2))</f>
        <v/>
      </c>
      <c r="J160" s="21">
        <f>IFERROR(MATCH(ROW()-1,$L$2:$L$3001,0),"")</f>
        <v/>
      </c>
      <c r="K160" s="34">
        <f>IF(AND('Daily Sale entry '!X160&lt;&gt;"",OR('Daily Sale entry '!AC160&lt;&gt;"",'Daily Sale entry '!AD160&lt;&gt;"")),'Daily Sale entry '!X160+ROW()/10000000,"")</f>
        <v/>
      </c>
      <c r="L160" s="21">
        <f>IF(K160="","",COUNTIF($K$2:$K$3001,"&lt;"&amp;K160)+1)</f>
        <v/>
      </c>
    </row>
    <row r="161">
      <c r="A161" s="5">
        <f>IF($J161="","",IF($J161&lt;=1500,INDEX('Daily Sale entry '!$X$1:$X$1501,$J161+1),INDEX('Daily Sale entry '!$V$1:$V$1501,$J161-1499)))</f>
        <v/>
      </c>
      <c r="B161">
        <f>IF($J161="","",IF($J161&lt;=1500,INDEX('Daily Sale entry '!$Y$1:$Y$1501,$J161+1)&amp;"","Buyer cheque banked 买家支票存入"&amp;IF(INDEX('Daily Sale entry '!$U$1:$U$1501,$J161-1499)="","", " - "&amp;INDEX('Daily Sale entry '!$U$1:$U$1501,$J161-1499))))</f>
        <v/>
      </c>
      <c r="C161">
        <f>IF($J161="","",IF($J161&lt;=1500,INDEX('Daily Sale entry '!$Z$1:$Z$1501,$J161+1)&amp;"","Cheque deposit 支票存入 (buyer 买家)"))</f>
        <v/>
      </c>
      <c r="D161">
        <f>IF($J161="","",IF($J161&lt;=1500,INDEX('Daily Sale entry '!$AA$1:$AA$1501,$J161+1)&amp;"",INDEX('Daily Sale entry '!$P$1:$P$1501,$J161-1499)&amp;""))</f>
        <v/>
      </c>
      <c r="E161">
        <f>IF($J161="","",IF($J161&lt;=1500,IF(N(INDEX('Daily Sale entry '!$AB$1:$AB$1501,$J161+1))=0,"",INDEX('Daily Sale entry '!$AB$1:$AB$1501,$J161+1)),1))</f>
        <v/>
      </c>
      <c r="F161" s="6">
        <f>IF($J161="","",IF($J161&lt;=1500,N(INDEX('Daily Sale entry '!$AC$1:$AC$1501,$J161+1))-IF(AND('Opening Balance'!$B$15=1,INDEX('Daily Sale entry '!$Z$1:$Z$1501,$J161+1)="Online collection 网上收款",INDEX('Daily Sale entry '!$AA$1:$AA$1501,$J161+1)&lt;&gt;""),N(INDEX('Daily Sale entry '!$AC$1:$AC$1501,$J161+1))-TRUNC(N(INDEX('Daily Sale entry '!$AC$1:$AC$1501,$J161+1))),0),N(INDEX('Daily Sale entry '!$S$1:$S$1501,$J161-1499))-'Opening Balance'!$B$15*(N(INDEX('Daily Sale entry '!$S$1:$S$1501,$J161-1499))-TRUNC(N(INDEX('Daily Sale entry '!$S$1:$S$1501,$J161-1499))))))</f>
        <v/>
      </c>
      <c r="G161" s="6">
        <f>IF($J161="","",IF($J161&lt;=1500,N(INDEX('Daily Sale entry '!$AD$1:$AD$1501,$J161+1)),0))</f>
        <v/>
      </c>
      <c r="H161" s="6">
        <f>IF($J161="","",ROUND('Opening Balance'!$B$4+SUM($F$2:F161)-SUM($G$2:G161),2))</f>
        <v/>
      </c>
      <c r="J161" s="21">
        <f>IFERROR(MATCH(ROW()-1,$L$2:$L$3001,0),"")</f>
        <v/>
      </c>
      <c r="K161" s="34">
        <f>IF(AND('Daily Sale entry '!X161&lt;&gt;"",OR('Daily Sale entry '!AC161&lt;&gt;"",'Daily Sale entry '!AD161&lt;&gt;"")),'Daily Sale entry '!X161+ROW()/10000000,"")</f>
        <v/>
      </c>
      <c r="L161" s="21">
        <f>IF(K161="","",COUNTIF($K$2:$K$3001,"&lt;"&amp;K161)+1)</f>
        <v/>
      </c>
    </row>
    <row r="162">
      <c r="A162" s="5">
        <f>IF($J162="","",IF($J162&lt;=1500,INDEX('Daily Sale entry '!$X$1:$X$1501,$J162+1),INDEX('Daily Sale entry '!$V$1:$V$1501,$J162-1499)))</f>
        <v/>
      </c>
      <c r="B162">
        <f>IF($J162="","",IF($J162&lt;=1500,INDEX('Daily Sale entry '!$Y$1:$Y$1501,$J162+1)&amp;"","Buyer cheque banked 买家支票存入"&amp;IF(INDEX('Daily Sale entry '!$U$1:$U$1501,$J162-1499)="","", " - "&amp;INDEX('Daily Sale entry '!$U$1:$U$1501,$J162-1499))))</f>
        <v/>
      </c>
      <c r="C162">
        <f>IF($J162="","",IF($J162&lt;=1500,INDEX('Daily Sale entry '!$Z$1:$Z$1501,$J162+1)&amp;"","Cheque deposit 支票存入 (buyer 买家)"))</f>
        <v/>
      </c>
      <c r="D162">
        <f>IF($J162="","",IF($J162&lt;=1500,INDEX('Daily Sale entry '!$AA$1:$AA$1501,$J162+1)&amp;"",INDEX('Daily Sale entry '!$P$1:$P$1501,$J162-1499)&amp;""))</f>
        <v/>
      </c>
      <c r="E162">
        <f>IF($J162="","",IF($J162&lt;=1500,IF(N(INDEX('Daily Sale entry '!$AB$1:$AB$1501,$J162+1))=0,"",INDEX('Daily Sale entry '!$AB$1:$AB$1501,$J162+1)),1))</f>
        <v/>
      </c>
      <c r="F162" s="6">
        <f>IF($J162="","",IF($J162&lt;=1500,N(INDEX('Daily Sale entry '!$AC$1:$AC$1501,$J162+1))-IF(AND('Opening Balance'!$B$15=1,INDEX('Daily Sale entry '!$Z$1:$Z$1501,$J162+1)="Online collection 网上收款",INDEX('Daily Sale entry '!$AA$1:$AA$1501,$J162+1)&lt;&gt;""),N(INDEX('Daily Sale entry '!$AC$1:$AC$1501,$J162+1))-TRUNC(N(INDEX('Daily Sale entry '!$AC$1:$AC$1501,$J162+1))),0),N(INDEX('Daily Sale entry '!$S$1:$S$1501,$J162-1499))-'Opening Balance'!$B$15*(N(INDEX('Daily Sale entry '!$S$1:$S$1501,$J162-1499))-TRUNC(N(INDEX('Daily Sale entry '!$S$1:$S$1501,$J162-1499))))))</f>
        <v/>
      </c>
      <c r="G162" s="6">
        <f>IF($J162="","",IF($J162&lt;=1500,N(INDEX('Daily Sale entry '!$AD$1:$AD$1501,$J162+1)),0))</f>
        <v/>
      </c>
      <c r="H162" s="6">
        <f>IF($J162="","",ROUND('Opening Balance'!$B$4+SUM($F$2:F162)-SUM($G$2:G162),2))</f>
        <v/>
      </c>
      <c r="J162" s="21">
        <f>IFERROR(MATCH(ROW()-1,$L$2:$L$3001,0),"")</f>
        <v/>
      </c>
      <c r="K162" s="34">
        <f>IF(AND('Daily Sale entry '!X162&lt;&gt;"",OR('Daily Sale entry '!AC162&lt;&gt;"",'Daily Sale entry '!AD162&lt;&gt;"")),'Daily Sale entry '!X162+ROW()/10000000,"")</f>
        <v/>
      </c>
      <c r="L162" s="21">
        <f>IF(K162="","",COUNTIF($K$2:$K$3001,"&lt;"&amp;K162)+1)</f>
        <v/>
      </c>
    </row>
    <row r="163">
      <c r="A163" s="5">
        <f>IF($J163="","",IF($J163&lt;=1500,INDEX('Daily Sale entry '!$X$1:$X$1501,$J163+1),INDEX('Daily Sale entry '!$V$1:$V$1501,$J163-1499)))</f>
        <v/>
      </c>
      <c r="B163">
        <f>IF($J163="","",IF($J163&lt;=1500,INDEX('Daily Sale entry '!$Y$1:$Y$1501,$J163+1)&amp;"","Buyer cheque banked 买家支票存入"&amp;IF(INDEX('Daily Sale entry '!$U$1:$U$1501,$J163-1499)="","", " - "&amp;INDEX('Daily Sale entry '!$U$1:$U$1501,$J163-1499))))</f>
        <v/>
      </c>
      <c r="C163">
        <f>IF($J163="","",IF($J163&lt;=1500,INDEX('Daily Sale entry '!$Z$1:$Z$1501,$J163+1)&amp;"","Cheque deposit 支票存入 (buyer 买家)"))</f>
        <v/>
      </c>
      <c r="D163">
        <f>IF($J163="","",IF($J163&lt;=1500,INDEX('Daily Sale entry '!$AA$1:$AA$1501,$J163+1)&amp;"",INDEX('Daily Sale entry '!$P$1:$P$1501,$J163-1499)&amp;""))</f>
        <v/>
      </c>
      <c r="E163">
        <f>IF($J163="","",IF($J163&lt;=1500,IF(N(INDEX('Daily Sale entry '!$AB$1:$AB$1501,$J163+1))=0,"",INDEX('Daily Sale entry '!$AB$1:$AB$1501,$J163+1)),1))</f>
        <v/>
      </c>
      <c r="F163" s="6">
        <f>IF($J163="","",IF($J163&lt;=1500,N(INDEX('Daily Sale entry '!$AC$1:$AC$1501,$J163+1))-IF(AND('Opening Balance'!$B$15=1,INDEX('Daily Sale entry '!$Z$1:$Z$1501,$J163+1)="Online collection 网上收款",INDEX('Daily Sale entry '!$AA$1:$AA$1501,$J163+1)&lt;&gt;""),N(INDEX('Daily Sale entry '!$AC$1:$AC$1501,$J163+1))-TRUNC(N(INDEX('Daily Sale entry '!$AC$1:$AC$1501,$J163+1))),0),N(INDEX('Daily Sale entry '!$S$1:$S$1501,$J163-1499))-'Opening Balance'!$B$15*(N(INDEX('Daily Sale entry '!$S$1:$S$1501,$J163-1499))-TRUNC(N(INDEX('Daily Sale entry '!$S$1:$S$1501,$J163-1499))))))</f>
        <v/>
      </c>
      <c r="G163" s="6">
        <f>IF($J163="","",IF($J163&lt;=1500,N(INDEX('Daily Sale entry '!$AD$1:$AD$1501,$J163+1)),0))</f>
        <v/>
      </c>
      <c r="H163" s="6">
        <f>IF($J163="","",ROUND('Opening Balance'!$B$4+SUM($F$2:F163)-SUM($G$2:G163),2))</f>
        <v/>
      </c>
      <c r="J163" s="21">
        <f>IFERROR(MATCH(ROW()-1,$L$2:$L$3001,0),"")</f>
        <v/>
      </c>
      <c r="K163" s="34">
        <f>IF(AND('Daily Sale entry '!X163&lt;&gt;"",OR('Daily Sale entry '!AC163&lt;&gt;"",'Daily Sale entry '!AD163&lt;&gt;"")),'Daily Sale entry '!X163+ROW()/10000000,"")</f>
        <v/>
      </c>
      <c r="L163" s="21">
        <f>IF(K163="","",COUNTIF($K$2:$K$3001,"&lt;"&amp;K163)+1)</f>
        <v/>
      </c>
    </row>
    <row r="164">
      <c r="A164" s="5">
        <f>IF($J164="","",IF($J164&lt;=1500,INDEX('Daily Sale entry '!$X$1:$X$1501,$J164+1),INDEX('Daily Sale entry '!$V$1:$V$1501,$J164-1499)))</f>
        <v/>
      </c>
      <c r="B164">
        <f>IF($J164="","",IF($J164&lt;=1500,INDEX('Daily Sale entry '!$Y$1:$Y$1501,$J164+1)&amp;"","Buyer cheque banked 买家支票存入"&amp;IF(INDEX('Daily Sale entry '!$U$1:$U$1501,$J164-1499)="","", " - "&amp;INDEX('Daily Sale entry '!$U$1:$U$1501,$J164-1499))))</f>
        <v/>
      </c>
      <c r="C164">
        <f>IF($J164="","",IF($J164&lt;=1500,INDEX('Daily Sale entry '!$Z$1:$Z$1501,$J164+1)&amp;"","Cheque deposit 支票存入 (buyer 买家)"))</f>
        <v/>
      </c>
      <c r="D164">
        <f>IF($J164="","",IF($J164&lt;=1500,INDEX('Daily Sale entry '!$AA$1:$AA$1501,$J164+1)&amp;"",INDEX('Daily Sale entry '!$P$1:$P$1501,$J164-1499)&amp;""))</f>
        <v/>
      </c>
      <c r="E164">
        <f>IF($J164="","",IF($J164&lt;=1500,IF(N(INDEX('Daily Sale entry '!$AB$1:$AB$1501,$J164+1))=0,"",INDEX('Daily Sale entry '!$AB$1:$AB$1501,$J164+1)),1))</f>
        <v/>
      </c>
      <c r="F164" s="6">
        <f>IF($J164="","",IF($J164&lt;=1500,N(INDEX('Daily Sale entry '!$AC$1:$AC$1501,$J164+1))-IF(AND('Opening Balance'!$B$15=1,INDEX('Daily Sale entry '!$Z$1:$Z$1501,$J164+1)="Online collection 网上收款",INDEX('Daily Sale entry '!$AA$1:$AA$1501,$J164+1)&lt;&gt;""),N(INDEX('Daily Sale entry '!$AC$1:$AC$1501,$J164+1))-TRUNC(N(INDEX('Daily Sale entry '!$AC$1:$AC$1501,$J164+1))),0),N(INDEX('Daily Sale entry '!$S$1:$S$1501,$J164-1499))-'Opening Balance'!$B$15*(N(INDEX('Daily Sale entry '!$S$1:$S$1501,$J164-1499))-TRUNC(N(INDEX('Daily Sale entry '!$S$1:$S$1501,$J164-1499))))))</f>
        <v/>
      </c>
      <c r="G164" s="6">
        <f>IF($J164="","",IF($J164&lt;=1500,N(INDEX('Daily Sale entry '!$AD$1:$AD$1501,$J164+1)),0))</f>
        <v/>
      </c>
      <c r="H164" s="6">
        <f>IF($J164="","",ROUND('Opening Balance'!$B$4+SUM($F$2:F164)-SUM($G$2:G164),2))</f>
        <v/>
      </c>
      <c r="J164" s="21">
        <f>IFERROR(MATCH(ROW()-1,$L$2:$L$3001,0),"")</f>
        <v/>
      </c>
      <c r="K164" s="34">
        <f>IF(AND('Daily Sale entry '!X164&lt;&gt;"",OR('Daily Sale entry '!AC164&lt;&gt;"",'Daily Sale entry '!AD164&lt;&gt;"")),'Daily Sale entry '!X164+ROW()/10000000,"")</f>
        <v/>
      </c>
      <c r="L164" s="21">
        <f>IF(K164="","",COUNTIF($K$2:$K$3001,"&lt;"&amp;K164)+1)</f>
        <v/>
      </c>
    </row>
    <row r="165">
      <c r="A165" s="5">
        <f>IF($J165="","",IF($J165&lt;=1500,INDEX('Daily Sale entry '!$X$1:$X$1501,$J165+1),INDEX('Daily Sale entry '!$V$1:$V$1501,$J165-1499)))</f>
        <v/>
      </c>
      <c r="B165">
        <f>IF($J165="","",IF($J165&lt;=1500,INDEX('Daily Sale entry '!$Y$1:$Y$1501,$J165+1)&amp;"","Buyer cheque banked 买家支票存入"&amp;IF(INDEX('Daily Sale entry '!$U$1:$U$1501,$J165-1499)="","", " - "&amp;INDEX('Daily Sale entry '!$U$1:$U$1501,$J165-1499))))</f>
        <v/>
      </c>
      <c r="C165">
        <f>IF($J165="","",IF($J165&lt;=1500,INDEX('Daily Sale entry '!$Z$1:$Z$1501,$J165+1)&amp;"","Cheque deposit 支票存入 (buyer 买家)"))</f>
        <v/>
      </c>
      <c r="D165">
        <f>IF($J165="","",IF($J165&lt;=1500,INDEX('Daily Sale entry '!$AA$1:$AA$1501,$J165+1)&amp;"",INDEX('Daily Sale entry '!$P$1:$P$1501,$J165-1499)&amp;""))</f>
        <v/>
      </c>
      <c r="E165">
        <f>IF($J165="","",IF($J165&lt;=1500,IF(N(INDEX('Daily Sale entry '!$AB$1:$AB$1501,$J165+1))=0,"",INDEX('Daily Sale entry '!$AB$1:$AB$1501,$J165+1)),1))</f>
        <v/>
      </c>
      <c r="F165" s="6">
        <f>IF($J165="","",IF($J165&lt;=1500,N(INDEX('Daily Sale entry '!$AC$1:$AC$1501,$J165+1))-IF(AND('Opening Balance'!$B$15=1,INDEX('Daily Sale entry '!$Z$1:$Z$1501,$J165+1)="Online collection 网上收款",INDEX('Daily Sale entry '!$AA$1:$AA$1501,$J165+1)&lt;&gt;""),N(INDEX('Daily Sale entry '!$AC$1:$AC$1501,$J165+1))-TRUNC(N(INDEX('Daily Sale entry '!$AC$1:$AC$1501,$J165+1))),0),N(INDEX('Daily Sale entry '!$S$1:$S$1501,$J165-1499))-'Opening Balance'!$B$15*(N(INDEX('Daily Sale entry '!$S$1:$S$1501,$J165-1499))-TRUNC(N(INDEX('Daily Sale entry '!$S$1:$S$1501,$J165-1499))))))</f>
        <v/>
      </c>
      <c r="G165" s="6">
        <f>IF($J165="","",IF($J165&lt;=1500,N(INDEX('Daily Sale entry '!$AD$1:$AD$1501,$J165+1)),0))</f>
        <v/>
      </c>
      <c r="H165" s="6">
        <f>IF($J165="","",ROUND('Opening Balance'!$B$4+SUM($F$2:F165)-SUM($G$2:G165),2))</f>
        <v/>
      </c>
      <c r="J165" s="21">
        <f>IFERROR(MATCH(ROW()-1,$L$2:$L$3001,0),"")</f>
        <v/>
      </c>
      <c r="K165" s="34">
        <f>IF(AND('Daily Sale entry '!X165&lt;&gt;"",OR('Daily Sale entry '!AC165&lt;&gt;"",'Daily Sale entry '!AD165&lt;&gt;"")),'Daily Sale entry '!X165+ROW()/10000000,"")</f>
        <v/>
      </c>
      <c r="L165" s="21">
        <f>IF(K165="","",COUNTIF($K$2:$K$3001,"&lt;"&amp;K165)+1)</f>
        <v/>
      </c>
    </row>
    <row r="166">
      <c r="A166" s="5">
        <f>IF($J166="","",IF($J166&lt;=1500,INDEX('Daily Sale entry '!$X$1:$X$1501,$J166+1),INDEX('Daily Sale entry '!$V$1:$V$1501,$J166-1499)))</f>
        <v/>
      </c>
      <c r="B166">
        <f>IF($J166="","",IF($J166&lt;=1500,INDEX('Daily Sale entry '!$Y$1:$Y$1501,$J166+1)&amp;"","Buyer cheque banked 买家支票存入"&amp;IF(INDEX('Daily Sale entry '!$U$1:$U$1501,$J166-1499)="","", " - "&amp;INDEX('Daily Sale entry '!$U$1:$U$1501,$J166-1499))))</f>
        <v/>
      </c>
      <c r="C166">
        <f>IF($J166="","",IF($J166&lt;=1500,INDEX('Daily Sale entry '!$Z$1:$Z$1501,$J166+1)&amp;"","Cheque deposit 支票存入 (buyer 买家)"))</f>
        <v/>
      </c>
      <c r="D166">
        <f>IF($J166="","",IF($J166&lt;=1500,INDEX('Daily Sale entry '!$AA$1:$AA$1501,$J166+1)&amp;"",INDEX('Daily Sale entry '!$P$1:$P$1501,$J166-1499)&amp;""))</f>
        <v/>
      </c>
      <c r="E166">
        <f>IF($J166="","",IF($J166&lt;=1500,IF(N(INDEX('Daily Sale entry '!$AB$1:$AB$1501,$J166+1))=0,"",INDEX('Daily Sale entry '!$AB$1:$AB$1501,$J166+1)),1))</f>
        <v/>
      </c>
      <c r="F166" s="6">
        <f>IF($J166="","",IF($J166&lt;=1500,N(INDEX('Daily Sale entry '!$AC$1:$AC$1501,$J166+1))-IF(AND('Opening Balance'!$B$15=1,INDEX('Daily Sale entry '!$Z$1:$Z$1501,$J166+1)="Online collection 网上收款",INDEX('Daily Sale entry '!$AA$1:$AA$1501,$J166+1)&lt;&gt;""),N(INDEX('Daily Sale entry '!$AC$1:$AC$1501,$J166+1))-TRUNC(N(INDEX('Daily Sale entry '!$AC$1:$AC$1501,$J166+1))),0),N(INDEX('Daily Sale entry '!$S$1:$S$1501,$J166-1499))-'Opening Balance'!$B$15*(N(INDEX('Daily Sale entry '!$S$1:$S$1501,$J166-1499))-TRUNC(N(INDEX('Daily Sale entry '!$S$1:$S$1501,$J166-1499))))))</f>
        <v/>
      </c>
      <c r="G166" s="6">
        <f>IF($J166="","",IF($J166&lt;=1500,N(INDEX('Daily Sale entry '!$AD$1:$AD$1501,$J166+1)),0))</f>
        <v/>
      </c>
      <c r="H166" s="6">
        <f>IF($J166="","",ROUND('Opening Balance'!$B$4+SUM($F$2:F166)-SUM($G$2:G166),2))</f>
        <v/>
      </c>
      <c r="J166" s="21">
        <f>IFERROR(MATCH(ROW()-1,$L$2:$L$3001,0),"")</f>
        <v/>
      </c>
      <c r="K166" s="34">
        <f>IF(AND('Daily Sale entry '!X166&lt;&gt;"",OR('Daily Sale entry '!AC166&lt;&gt;"",'Daily Sale entry '!AD166&lt;&gt;"")),'Daily Sale entry '!X166+ROW()/10000000,"")</f>
        <v/>
      </c>
      <c r="L166" s="21">
        <f>IF(K166="","",COUNTIF($K$2:$K$3001,"&lt;"&amp;K166)+1)</f>
        <v/>
      </c>
    </row>
    <row r="167">
      <c r="A167" s="5">
        <f>IF($J167="","",IF($J167&lt;=1500,INDEX('Daily Sale entry '!$X$1:$X$1501,$J167+1),INDEX('Daily Sale entry '!$V$1:$V$1501,$J167-1499)))</f>
        <v/>
      </c>
      <c r="B167">
        <f>IF($J167="","",IF($J167&lt;=1500,INDEX('Daily Sale entry '!$Y$1:$Y$1501,$J167+1)&amp;"","Buyer cheque banked 买家支票存入"&amp;IF(INDEX('Daily Sale entry '!$U$1:$U$1501,$J167-1499)="","", " - "&amp;INDEX('Daily Sale entry '!$U$1:$U$1501,$J167-1499))))</f>
        <v/>
      </c>
      <c r="C167">
        <f>IF($J167="","",IF($J167&lt;=1500,INDEX('Daily Sale entry '!$Z$1:$Z$1501,$J167+1)&amp;"","Cheque deposit 支票存入 (buyer 买家)"))</f>
        <v/>
      </c>
      <c r="D167">
        <f>IF($J167="","",IF($J167&lt;=1500,INDEX('Daily Sale entry '!$AA$1:$AA$1501,$J167+1)&amp;"",INDEX('Daily Sale entry '!$P$1:$P$1501,$J167-1499)&amp;""))</f>
        <v/>
      </c>
      <c r="E167">
        <f>IF($J167="","",IF($J167&lt;=1500,IF(N(INDEX('Daily Sale entry '!$AB$1:$AB$1501,$J167+1))=0,"",INDEX('Daily Sale entry '!$AB$1:$AB$1501,$J167+1)),1))</f>
        <v/>
      </c>
      <c r="F167" s="6">
        <f>IF($J167="","",IF($J167&lt;=1500,N(INDEX('Daily Sale entry '!$AC$1:$AC$1501,$J167+1))-IF(AND('Opening Balance'!$B$15=1,INDEX('Daily Sale entry '!$Z$1:$Z$1501,$J167+1)="Online collection 网上收款",INDEX('Daily Sale entry '!$AA$1:$AA$1501,$J167+1)&lt;&gt;""),N(INDEX('Daily Sale entry '!$AC$1:$AC$1501,$J167+1))-TRUNC(N(INDEX('Daily Sale entry '!$AC$1:$AC$1501,$J167+1))),0),N(INDEX('Daily Sale entry '!$S$1:$S$1501,$J167-1499))-'Opening Balance'!$B$15*(N(INDEX('Daily Sale entry '!$S$1:$S$1501,$J167-1499))-TRUNC(N(INDEX('Daily Sale entry '!$S$1:$S$1501,$J167-1499))))))</f>
        <v/>
      </c>
      <c r="G167" s="6">
        <f>IF($J167="","",IF($J167&lt;=1500,N(INDEX('Daily Sale entry '!$AD$1:$AD$1501,$J167+1)),0))</f>
        <v/>
      </c>
      <c r="H167" s="6">
        <f>IF($J167="","",ROUND('Opening Balance'!$B$4+SUM($F$2:F167)-SUM($G$2:G167),2))</f>
        <v/>
      </c>
      <c r="J167" s="21">
        <f>IFERROR(MATCH(ROW()-1,$L$2:$L$3001,0),"")</f>
        <v/>
      </c>
      <c r="K167" s="34">
        <f>IF(AND('Daily Sale entry '!X167&lt;&gt;"",OR('Daily Sale entry '!AC167&lt;&gt;"",'Daily Sale entry '!AD167&lt;&gt;"")),'Daily Sale entry '!X167+ROW()/10000000,"")</f>
        <v/>
      </c>
      <c r="L167" s="21">
        <f>IF(K167="","",COUNTIF($K$2:$K$3001,"&lt;"&amp;K167)+1)</f>
        <v/>
      </c>
    </row>
    <row r="168">
      <c r="A168" s="5">
        <f>IF($J168="","",IF($J168&lt;=1500,INDEX('Daily Sale entry '!$X$1:$X$1501,$J168+1),INDEX('Daily Sale entry '!$V$1:$V$1501,$J168-1499)))</f>
        <v/>
      </c>
      <c r="B168">
        <f>IF($J168="","",IF($J168&lt;=1500,INDEX('Daily Sale entry '!$Y$1:$Y$1501,$J168+1)&amp;"","Buyer cheque banked 买家支票存入"&amp;IF(INDEX('Daily Sale entry '!$U$1:$U$1501,$J168-1499)="","", " - "&amp;INDEX('Daily Sale entry '!$U$1:$U$1501,$J168-1499))))</f>
        <v/>
      </c>
      <c r="C168">
        <f>IF($J168="","",IF($J168&lt;=1500,INDEX('Daily Sale entry '!$Z$1:$Z$1501,$J168+1)&amp;"","Cheque deposit 支票存入 (buyer 买家)"))</f>
        <v/>
      </c>
      <c r="D168">
        <f>IF($J168="","",IF($J168&lt;=1500,INDEX('Daily Sale entry '!$AA$1:$AA$1501,$J168+1)&amp;"",INDEX('Daily Sale entry '!$P$1:$P$1501,$J168-1499)&amp;""))</f>
        <v/>
      </c>
      <c r="E168">
        <f>IF($J168="","",IF($J168&lt;=1500,IF(N(INDEX('Daily Sale entry '!$AB$1:$AB$1501,$J168+1))=0,"",INDEX('Daily Sale entry '!$AB$1:$AB$1501,$J168+1)),1))</f>
        <v/>
      </c>
      <c r="F168" s="6">
        <f>IF($J168="","",IF($J168&lt;=1500,N(INDEX('Daily Sale entry '!$AC$1:$AC$1501,$J168+1))-IF(AND('Opening Balance'!$B$15=1,INDEX('Daily Sale entry '!$Z$1:$Z$1501,$J168+1)="Online collection 网上收款",INDEX('Daily Sale entry '!$AA$1:$AA$1501,$J168+1)&lt;&gt;""),N(INDEX('Daily Sale entry '!$AC$1:$AC$1501,$J168+1))-TRUNC(N(INDEX('Daily Sale entry '!$AC$1:$AC$1501,$J168+1))),0),N(INDEX('Daily Sale entry '!$S$1:$S$1501,$J168-1499))-'Opening Balance'!$B$15*(N(INDEX('Daily Sale entry '!$S$1:$S$1501,$J168-1499))-TRUNC(N(INDEX('Daily Sale entry '!$S$1:$S$1501,$J168-1499))))))</f>
        <v/>
      </c>
      <c r="G168" s="6">
        <f>IF($J168="","",IF($J168&lt;=1500,N(INDEX('Daily Sale entry '!$AD$1:$AD$1501,$J168+1)),0))</f>
        <v/>
      </c>
      <c r="H168" s="6">
        <f>IF($J168="","",ROUND('Opening Balance'!$B$4+SUM($F$2:F168)-SUM($G$2:G168),2))</f>
        <v/>
      </c>
      <c r="J168" s="21">
        <f>IFERROR(MATCH(ROW()-1,$L$2:$L$3001,0),"")</f>
        <v/>
      </c>
      <c r="K168" s="34">
        <f>IF(AND('Daily Sale entry '!X168&lt;&gt;"",OR('Daily Sale entry '!AC168&lt;&gt;"",'Daily Sale entry '!AD168&lt;&gt;"")),'Daily Sale entry '!X168+ROW()/10000000,"")</f>
        <v/>
      </c>
      <c r="L168" s="21">
        <f>IF(K168="","",COUNTIF($K$2:$K$3001,"&lt;"&amp;K168)+1)</f>
        <v/>
      </c>
    </row>
    <row r="169">
      <c r="A169" s="5">
        <f>IF($J169="","",IF($J169&lt;=1500,INDEX('Daily Sale entry '!$X$1:$X$1501,$J169+1),INDEX('Daily Sale entry '!$V$1:$V$1501,$J169-1499)))</f>
        <v/>
      </c>
      <c r="B169">
        <f>IF($J169="","",IF($J169&lt;=1500,INDEX('Daily Sale entry '!$Y$1:$Y$1501,$J169+1)&amp;"","Buyer cheque banked 买家支票存入"&amp;IF(INDEX('Daily Sale entry '!$U$1:$U$1501,$J169-1499)="","", " - "&amp;INDEX('Daily Sale entry '!$U$1:$U$1501,$J169-1499))))</f>
        <v/>
      </c>
      <c r="C169">
        <f>IF($J169="","",IF($J169&lt;=1500,INDEX('Daily Sale entry '!$Z$1:$Z$1501,$J169+1)&amp;"","Cheque deposit 支票存入 (buyer 买家)"))</f>
        <v/>
      </c>
      <c r="D169">
        <f>IF($J169="","",IF($J169&lt;=1500,INDEX('Daily Sale entry '!$AA$1:$AA$1501,$J169+1)&amp;"",INDEX('Daily Sale entry '!$P$1:$P$1501,$J169-1499)&amp;""))</f>
        <v/>
      </c>
      <c r="E169">
        <f>IF($J169="","",IF($J169&lt;=1500,IF(N(INDEX('Daily Sale entry '!$AB$1:$AB$1501,$J169+1))=0,"",INDEX('Daily Sale entry '!$AB$1:$AB$1501,$J169+1)),1))</f>
        <v/>
      </c>
      <c r="F169" s="6">
        <f>IF($J169="","",IF($J169&lt;=1500,N(INDEX('Daily Sale entry '!$AC$1:$AC$1501,$J169+1))-IF(AND('Opening Balance'!$B$15=1,INDEX('Daily Sale entry '!$Z$1:$Z$1501,$J169+1)="Online collection 网上收款",INDEX('Daily Sale entry '!$AA$1:$AA$1501,$J169+1)&lt;&gt;""),N(INDEX('Daily Sale entry '!$AC$1:$AC$1501,$J169+1))-TRUNC(N(INDEX('Daily Sale entry '!$AC$1:$AC$1501,$J169+1))),0),N(INDEX('Daily Sale entry '!$S$1:$S$1501,$J169-1499))-'Opening Balance'!$B$15*(N(INDEX('Daily Sale entry '!$S$1:$S$1501,$J169-1499))-TRUNC(N(INDEX('Daily Sale entry '!$S$1:$S$1501,$J169-1499))))))</f>
        <v/>
      </c>
      <c r="G169" s="6">
        <f>IF($J169="","",IF($J169&lt;=1500,N(INDEX('Daily Sale entry '!$AD$1:$AD$1501,$J169+1)),0))</f>
        <v/>
      </c>
      <c r="H169" s="6">
        <f>IF($J169="","",ROUND('Opening Balance'!$B$4+SUM($F$2:F169)-SUM($G$2:G169),2))</f>
        <v/>
      </c>
      <c r="J169" s="21">
        <f>IFERROR(MATCH(ROW()-1,$L$2:$L$3001,0),"")</f>
        <v/>
      </c>
      <c r="K169" s="34">
        <f>IF(AND('Daily Sale entry '!X169&lt;&gt;"",OR('Daily Sale entry '!AC169&lt;&gt;"",'Daily Sale entry '!AD169&lt;&gt;"")),'Daily Sale entry '!X169+ROW()/10000000,"")</f>
        <v/>
      </c>
      <c r="L169" s="21">
        <f>IF(K169="","",COUNTIF($K$2:$K$3001,"&lt;"&amp;K169)+1)</f>
        <v/>
      </c>
    </row>
    <row r="170">
      <c r="A170" s="5">
        <f>IF($J170="","",IF($J170&lt;=1500,INDEX('Daily Sale entry '!$X$1:$X$1501,$J170+1),INDEX('Daily Sale entry '!$V$1:$V$1501,$J170-1499)))</f>
        <v/>
      </c>
      <c r="B170">
        <f>IF($J170="","",IF($J170&lt;=1500,INDEX('Daily Sale entry '!$Y$1:$Y$1501,$J170+1)&amp;"","Buyer cheque banked 买家支票存入"&amp;IF(INDEX('Daily Sale entry '!$U$1:$U$1501,$J170-1499)="","", " - "&amp;INDEX('Daily Sale entry '!$U$1:$U$1501,$J170-1499))))</f>
        <v/>
      </c>
      <c r="C170">
        <f>IF($J170="","",IF($J170&lt;=1500,INDEX('Daily Sale entry '!$Z$1:$Z$1501,$J170+1)&amp;"","Cheque deposit 支票存入 (buyer 买家)"))</f>
        <v/>
      </c>
      <c r="D170">
        <f>IF($J170="","",IF($J170&lt;=1500,INDEX('Daily Sale entry '!$AA$1:$AA$1501,$J170+1)&amp;"",INDEX('Daily Sale entry '!$P$1:$P$1501,$J170-1499)&amp;""))</f>
        <v/>
      </c>
      <c r="E170">
        <f>IF($J170="","",IF($J170&lt;=1500,IF(N(INDEX('Daily Sale entry '!$AB$1:$AB$1501,$J170+1))=0,"",INDEX('Daily Sale entry '!$AB$1:$AB$1501,$J170+1)),1))</f>
        <v/>
      </c>
      <c r="F170" s="6">
        <f>IF($J170="","",IF($J170&lt;=1500,N(INDEX('Daily Sale entry '!$AC$1:$AC$1501,$J170+1))-IF(AND('Opening Balance'!$B$15=1,INDEX('Daily Sale entry '!$Z$1:$Z$1501,$J170+1)="Online collection 网上收款",INDEX('Daily Sale entry '!$AA$1:$AA$1501,$J170+1)&lt;&gt;""),N(INDEX('Daily Sale entry '!$AC$1:$AC$1501,$J170+1))-TRUNC(N(INDEX('Daily Sale entry '!$AC$1:$AC$1501,$J170+1))),0),N(INDEX('Daily Sale entry '!$S$1:$S$1501,$J170-1499))-'Opening Balance'!$B$15*(N(INDEX('Daily Sale entry '!$S$1:$S$1501,$J170-1499))-TRUNC(N(INDEX('Daily Sale entry '!$S$1:$S$1501,$J170-1499))))))</f>
        <v/>
      </c>
      <c r="G170" s="6">
        <f>IF($J170="","",IF($J170&lt;=1500,N(INDEX('Daily Sale entry '!$AD$1:$AD$1501,$J170+1)),0))</f>
        <v/>
      </c>
      <c r="H170" s="6">
        <f>IF($J170="","",ROUND('Opening Balance'!$B$4+SUM($F$2:F170)-SUM($G$2:G170),2))</f>
        <v/>
      </c>
      <c r="J170" s="21">
        <f>IFERROR(MATCH(ROW()-1,$L$2:$L$3001,0),"")</f>
        <v/>
      </c>
      <c r="K170" s="34">
        <f>IF(AND('Daily Sale entry '!X170&lt;&gt;"",OR('Daily Sale entry '!AC170&lt;&gt;"",'Daily Sale entry '!AD170&lt;&gt;"")),'Daily Sale entry '!X170+ROW()/10000000,"")</f>
        <v/>
      </c>
      <c r="L170" s="21">
        <f>IF(K170="","",COUNTIF($K$2:$K$3001,"&lt;"&amp;K170)+1)</f>
        <v/>
      </c>
    </row>
    <row r="171">
      <c r="A171" s="5">
        <f>IF($J171="","",IF($J171&lt;=1500,INDEX('Daily Sale entry '!$X$1:$X$1501,$J171+1),INDEX('Daily Sale entry '!$V$1:$V$1501,$J171-1499)))</f>
        <v/>
      </c>
      <c r="B171">
        <f>IF($J171="","",IF($J171&lt;=1500,INDEX('Daily Sale entry '!$Y$1:$Y$1501,$J171+1)&amp;"","Buyer cheque banked 买家支票存入"&amp;IF(INDEX('Daily Sale entry '!$U$1:$U$1501,$J171-1499)="","", " - "&amp;INDEX('Daily Sale entry '!$U$1:$U$1501,$J171-1499))))</f>
        <v/>
      </c>
      <c r="C171">
        <f>IF($J171="","",IF($J171&lt;=1500,INDEX('Daily Sale entry '!$Z$1:$Z$1501,$J171+1)&amp;"","Cheque deposit 支票存入 (buyer 买家)"))</f>
        <v/>
      </c>
      <c r="D171">
        <f>IF($J171="","",IF($J171&lt;=1500,INDEX('Daily Sale entry '!$AA$1:$AA$1501,$J171+1)&amp;"",INDEX('Daily Sale entry '!$P$1:$P$1501,$J171-1499)&amp;""))</f>
        <v/>
      </c>
      <c r="E171">
        <f>IF($J171="","",IF($J171&lt;=1500,IF(N(INDEX('Daily Sale entry '!$AB$1:$AB$1501,$J171+1))=0,"",INDEX('Daily Sale entry '!$AB$1:$AB$1501,$J171+1)),1))</f>
        <v/>
      </c>
      <c r="F171" s="6">
        <f>IF($J171="","",IF($J171&lt;=1500,N(INDEX('Daily Sale entry '!$AC$1:$AC$1501,$J171+1))-IF(AND('Opening Balance'!$B$15=1,INDEX('Daily Sale entry '!$Z$1:$Z$1501,$J171+1)="Online collection 网上收款",INDEX('Daily Sale entry '!$AA$1:$AA$1501,$J171+1)&lt;&gt;""),N(INDEX('Daily Sale entry '!$AC$1:$AC$1501,$J171+1))-TRUNC(N(INDEX('Daily Sale entry '!$AC$1:$AC$1501,$J171+1))),0),N(INDEX('Daily Sale entry '!$S$1:$S$1501,$J171-1499))-'Opening Balance'!$B$15*(N(INDEX('Daily Sale entry '!$S$1:$S$1501,$J171-1499))-TRUNC(N(INDEX('Daily Sale entry '!$S$1:$S$1501,$J171-1499))))))</f>
        <v/>
      </c>
      <c r="G171" s="6">
        <f>IF($J171="","",IF($J171&lt;=1500,N(INDEX('Daily Sale entry '!$AD$1:$AD$1501,$J171+1)),0))</f>
        <v/>
      </c>
      <c r="H171" s="6">
        <f>IF($J171="","",ROUND('Opening Balance'!$B$4+SUM($F$2:F171)-SUM($G$2:G171),2))</f>
        <v/>
      </c>
      <c r="J171" s="21">
        <f>IFERROR(MATCH(ROW()-1,$L$2:$L$3001,0),"")</f>
        <v/>
      </c>
      <c r="K171" s="34">
        <f>IF(AND('Daily Sale entry '!X171&lt;&gt;"",OR('Daily Sale entry '!AC171&lt;&gt;"",'Daily Sale entry '!AD171&lt;&gt;"")),'Daily Sale entry '!X171+ROW()/10000000,"")</f>
        <v/>
      </c>
      <c r="L171" s="21">
        <f>IF(K171="","",COUNTIF($K$2:$K$3001,"&lt;"&amp;K171)+1)</f>
        <v/>
      </c>
    </row>
    <row r="172">
      <c r="A172" s="5">
        <f>IF($J172="","",IF($J172&lt;=1500,INDEX('Daily Sale entry '!$X$1:$X$1501,$J172+1),INDEX('Daily Sale entry '!$V$1:$V$1501,$J172-1499)))</f>
        <v/>
      </c>
      <c r="B172">
        <f>IF($J172="","",IF($J172&lt;=1500,INDEX('Daily Sale entry '!$Y$1:$Y$1501,$J172+1)&amp;"","Buyer cheque banked 买家支票存入"&amp;IF(INDEX('Daily Sale entry '!$U$1:$U$1501,$J172-1499)="","", " - "&amp;INDEX('Daily Sale entry '!$U$1:$U$1501,$J172-1499))))</f>
        <v/>
      </c>
      <c r="C172">
        <f>IF($J172="","",IF($J172&lt;=1500,INDEX('Daily Sale entry '!$Z$1:$Z$1501,$J172+1)&amp;"","Cheque deposit 支票存入 (buyer 买家)"))</f>
        <v/>
      </c>
      <c r="D172">
        <f>IF($J172="","",IF($J172&lt;=1500,INDEX('Daily Sale entry '!$AA$1:$AA$1501,$J172+1)&amp;"",INDEX('Daily Sale entry '!$P$1:$P$1501,$J172-1499)&amp;""))</f>
        <v/>
      </c>
      <c r="E172">
        <f>IF($J172="","",IF($J172&lt;=1500,IF(N(INDEX('Daily Sale entry '!$AB$1:$AB$1501,$J172+1))=0,"",INDEX('Daily Sale entry '!$AB$1:$AB$1501,$J172+1)),1))</f>
        <v/>
      </c>
      <c r="F172" s="6">
        <f>IF($J172="","",IF($J172&lt;=1500,N(INDEX('Daily Sale entry '!$AC$1:$AC$1501,$J172+1))-IF(AND('Opening Balance'!$B$15=1,INDEX('Daily Sale entry '!$Z$1:$Z$1501,$J172+1)="Online collection 网上收款",INDEX('Daily Sale entry '!$AA$1:$AA$1501,$J172+1)&lt;&gt;""),N(INDEX('Daily Sale entry '!$AC$1:$AC$1501,$J172+1))-TRUNC(N(INDEX('Daily Sale entry '!$AC$1:$AC$1501,$J172+1))),0),N(INDEX('Daily Sale entry '!$S$1:$S$1501,$J172-1499))-'Opening Balance'!$B$15*(N(INDEX('Daily Sale entry '!$S$1:$S$1501,$J172-1499))-TRUNC(N(INDEX('Daily Sale entry '!$S$1:$S$1501,$J172-1499))))))</f>
        <v/>
      </c>
      <c r="G172" s="6">
        <f>IF($J172="","",IF($J172&lt;=1500,N(INDEX('Daily Sale entry '!$AD$1:$AD$1501,$J172+1)),0))</f>
        <v/>
      </c>
      <c r="H172" s="6">
        <f>IF($J172="","",ROUND('Opening Balance'!$B$4+SUM($F$2:F172)-SUM($G$2:G172),2))</f>
        <v/>
      </c>
      <c r="J172" s="21">
        <f>IFERROR(MATCH(ROW()-1,$L$2:$L$3001,0),"")</f>
        <v/>
      </c>
      <c r="K172" s="34">
        <f>IF(AND('Daily Sale entry '!X172&lt;&gt;"",OR('Daily Sale entry '!AC172&lt;&gt;"",'Daily Sale entry '!AD172&lt;&gt;"")),'Daily Sale entry '!X172+ROW()/10000000,"")</f>
        <v/>
      </c>
      <c r="L172" s="21">
        <f>IF(K172="","",COUNTIF($K$2:$K$3001,"&lt;"&amp;K172)+1)</f>
        <v/>
      </c>
    </row>
    <row r="173">
      <c r="A173" s="5">
        <f>IF($J173="","",IF($J173&lt;=1500,INDEX('Daily Sale entry '!$X$1:$X$1501,$J173+1),INDEX('Daily Sale entry '!$V$1:$V$1501,$J173-1499)))</f>
        <v/>
      </c>
      <c r="B173">
        <f>IF($J173="","",IF($J173&lt;=1500,INDEX('Daily Sale entry '!$Y$1:$Y$1501,$J173+1)&amp;"","Buyer cheque banked 买家支票存入"&amp;IF(INDEX('Daily Sale entry '!$U$1:$U$1501,$J173-1499)="","", " - "&amp;INDEX('Daily Sale entry '!$U$1:$U$1501,$J173-1499))))</f>
        <v/>
      </c>
      <c r="C173">
        <f>IF($J173="","",IF($J173&lt;=1500,INDEX('Daily Sale entry '!$Z$1:$Z$1501,$J173+1)&amp;"","Cheque deposit 支票存入 (buyer 买家)"))</f>
        <v/>
      </c>
      <c r="D173">
        <f>IF($J173="","",IF($J173&lt;=1500,INDEX('Daily Sale entry '!$AA$1:$AA$1501,$J173+1)&amp;"",INDEX('Daily Sale entry '!$P$1:$P$1501,$J173-1499)&amp;""))</f>
        <v/>
      </c>
      <c r="E173">
        <f>IF($J173="","",IF($J173&lt;=1500,IF(N(INDEX('Daily Sale entry '!$AB$1:$AB$1501,$J173+1))=0,"",INDEX('Daily Sale entry '!$AB$1:$AB$1501,$J173+1)),1))</f>
        <v/>
      </c>
      <c r="F173" s="6">
        <f>IF($J173="","",IF($J173&lt;=1500,N(INDEX('Daily Sale entry '!$AC$1:$AC$1501,$J173+1))-IF(AND('Opening Balance'!$B$15=1,INDEX('Daily Sale entry '!$Z$1:$Z$1501,$J173+1)="Online collection 网上收款",INDEX('Daily Sale entry '!$AA$1:$AA$1501,$J173+1)&lt;&gt;""),N(INDEX('Daily Sale entry '!$AC$1:$AC$1501,$J173+1))-TRUNC(N(INDEX('Daily Sale entry '!$AC$1:$AC$1501,$J173+1))),0),N(INDEX('Daily Sale entry '!$S$1:$S$1501,$J173-1499))-'Opening Balance'!$B$15*(N(INDEX('Daily Sale entry '!$S$1:$S$1501,$J173-1499))-TRUNC(N(INDEX('Daily Sale entry '!$S$1:$S$1501,$J173-1499))))))</f>
        <v/>
      </c>
      <c r="G173" s="6">
        <f>IF($J173="","",IF($J173&lt;=1500,N(INDEX('Daily Sale entry '!$AD$1:$AD$1501,$J173+1)),0))</f>
        <v/>
      </c>
      <c r="H173" s="6">
        <f>IF($J173="","",ROUND('Opening Balance'!$B$4+SUM($F$2:F173)-SUM($G$2:G173),2))</f>
        <v/>
      </c>
      <c r="J173" s="21">
        <f>IFERROR(MATCH(ROW()-1,$L$2:$L$3001,0),"")</f>
        <v/>
      </c>
      <c r="K173" s="34">
        <f>IF(AND('Daily Sale entry '!X173&lt;&gt;"",OR('Daily Sale entry '!AC173&lt;&gt;"",'Daily Sale entry '!AD173&lt;&gt;"")),'Daily Sale entry '!X173+ROW()/10000000,"")</f>
        <v/>
      </c>
      <c r="L173" s="21">
        <f>IF(K173="","",COUNTIF($K$2:$K$3001,"&lt;"&amp;K173)+1)</f>
        <v/>
      </c>
    </row>
    <row r="174">
      <c r="A174" s="5">
        <f>IF($J174="","",IF($J174&lt;=1500,INDEX('Daily Sale entry '!$X$1:$X$1501,$J174+1),INDEX('Daily Sale entry '!$V$1:$V$1501,$J174-1499)))</f>
        <v/>
      </c>
      <c r="B174">
        <f>IF($J174="","",IF($J174&lt;=1500,INDEX('Daily Sale entry '!$Y$1:$Y$1501,$J174+1)&amp;"","Buyer cheque banked 买家支票存入"&amp;IF(INDEX('Daily Sale entry '!$U$1:$U$1501,$J174-1499)="","", " - "&amp;INDEX('Daily Sale entry '!$U$1:$U$1501,$J174-1499))))</f>
        <v/>
      </c>
      <c r="C174">
        <f>IF($J174="","",IF($J174&lt;=1500,INDEX('Daily Sale entry '!$Z$1:$Z$1501,$J174+1)&amp;"","Cheque deposit 支票存入 (buyer 买家)"))</f>
        <v/>
      </c>
      <c r="D174">
        <f>IF($J174="","",IF($J174&lt;=1500,INDEX('Daily Sale entry '!$AA$1:$AA$1501,$J174+1)&amp;"",INDEX('Daily Sale entry '!$P$1:$P$1501,$J174-1499)&amp;""))</f>
        <v/>
      </c>
      <c r="E174">
        <f>IF($J174="","",IF($J174&lt;=1500,IF(N(INDEX('Daily Sale entry '!$AB$1:$AB$1501,$J174+1))=0,"",INDEX('Daily Sale entry '!$AB$1:$AB$1501,$J174+1)),1))</f>
        <v/>
      </c>
      <c r="F174" s="6">
        <f>IF($J174="","",IF($J174&lt;=1500,N(INDEX('Daily Sale entry '!$AC$1:$AC$1501,$J174+1))-IF(AND('Opening Balance'!$B$15=1,INDEX('Daily Sale entry '!$Z$1:$Z$1501,$J174+1)="Online collection 网上收款",INDEX('Daily Sale entry '!$AA$1:$AA$1501,$J174+1)&lt;&gt;""),N(INDEX('Daily Sale entry '!$AC$1:$AC$1501,$J174+1))-TRUNC(N(INDEX('Daily Sale entry '!$AC$1:$AC$1501,$J174+1))),0),N(INDEX('Daily Sale entry '!$S$1:$S$1501,$J174-1499))-'Opening Balance'!$B$15*(N(INDEX('Daily Sale entry '!$S$1:$S$1501,$J174-1499))-TRUNC(N(INDEX('Daily Sale entry '!$S$1:$S$1501,$J174-1499))))))</f>
        <v/>
      </c>
      <c r="G174" s="6">
        <f>IF($J174="","",IF($J174&lt;=1500,N(INDEX('Daily Sale entry '!$AD$1:$AD$1501,$J174+1)),0))</f>
        <v/>
      </c>
      <c r="H174" s="6">
        <f>IF($J174="","",ROUND('Opening Balance'!$B$4+SUM($F$2:F174)-SUM($G$2:G174),2))</f>
        <v/>
      </c>
      <c r="J174" s="21">
        <f>IFERROR(MATCH(ROW()-1,$L$2:$L$3001,0),"")</f>
        <v/>
      </c>
      <c r="K174" s="34">
        <f>IF(AND('Daily Sale entry '!X174&lt;&gt;"",OR('Daily Sale entry '!AC174&lt;&gt;"",'Daily Sale entry '!AD174&lt;&gt;"")),'Daily Sale entry '!X174+ROW()/10000000,"")</f>
        <v/>
      </c>
      <c r="L174" s="21">
        <f>IF(K174="","",COUNTIF($K$2:$K$3001,"&lt;"&amp;K174)+1)</f>
        <v/>
      </c>
    </row>
    <row r="175">
      <c r="A175" s="5">
        <f>IF($J175="","",IF($J175&lt;=1500,INDEX('Daily Sale entry '!$X$1:$X$1501,$J175+1),INDEX('Daily Sale entry '!$V$1:$V$1501,$J175-1499)))</f>
        <v/>
      </c>
      <c r="B175">
        <f>IF($J175="","",IF($J175&lt;=1500,INDEX('Daily Sale entry '!$Y$1:$Y$1501,$J175+1)&amp;"","Buyer cheque banked 买家支票存入"&amp;IF(INDEX('Daily Sale entry '!$U$1:$U$1501,$J175-1499)="","", " - "&amp;INDEX('Daily Sale entry '!$U$1:$U$1501,$J175-1499))))</f>
        <v/>
      </c>
      <c r="C175">
        <f>IF($J175="","",IF($J175&lt;=1500,INDEX('Daily Sale entry '!$Z$1:$Z$1501,$J175+1)&amp;"","Cheque deposit 支票存入 (buyer 买家)"))</f>
        <v/>
      </c>
      <c r="D175">
        <f>IF($J175="","",IF($J175&lt;=1500,INDEX('Daily Sale entry '!$AA$1:$AA$1501,$J175+1)&amp;"",INDEX('Daily Sale entry '!$P$1:$P$1501,$J175-1499)&amp;""))</f>
        <v/>
      </c>
      <c r="E175">
        <f>IF($J175="","",IF($J175&lt;=1500,IF(N(INDEX('Daily Sale entry '!$AB$1:$AB$1501,$J175+1))=0,"",INDEX('Daily Sale entry '!$AB$1:$AB$1501,$J175+1)),1))</f>
        <v/>
      </c>
      <c r="F175" s="6">
        <f>IF($J175="","",IF($J175&lt;=1500,N(INDEX('Daily Sale entry '!$AC$1:$AC$1501,$J175+1))-IF(AND('Opening Balance'!$B$15=1,INDEX('Daily Sale entry '!$Z$1:$Z$1501,$J175+1)="Online collection 网上收款",INDEX('Daily Sale entry '!$AA$1:$AA$1501,$J175+1)&lt;&gt;""),N(INDEX('Daily Sale entry '!$AC$1:$AC$1501,$J175+1))-TRUNC(N(INDEX('Daily Sale entry '!$AC$1:$AC$1501,$J175+1))),0),N(INDEX('Daily Sale entry '!$S$1:$S$1501,$J175-1499))-'Opening Balance'!$B$15*(N(INDEX('Daily Sale entry '!$S$1:$S$1501,$J175-1499))-TRUNC(N(INDEX('Daily Sale entry '!$S$1:$S$1501,$J175-1499))))))</f>
        <v/>
      </c>
      <c r="G175" s="6">
        <f>IF($J175="","",IF($J175&lt;=1500,N(INDEX('Daily Sale entry '!$AD$1:$AD$1501,$J175+1)),0))</f>
        <v/>
      </c>
      <c r="H175" s="6">
        <f>IF($J175="","",ROUND('Opening Balance'!$B$4+SUM($F$2:F175)-SUM($G$2:G175),2))</f>
        <v/>
      </c>
      <c r="J175" s="21">
        <f>IFERROR(MATCH(ROW()-1,$L$2:$L$3001,0),"")</f>
        <v/>
      </c>
      <c r="K175" s="34">
        <f>IF(AND('Daily Sale entry '!X175&lt;&gt;"",OR('Daily Sale entry '!AC175&lt;&gt;"",'Daily Sale entry '!AD175&lt;&gt;"")),'Daily Sale entry '!X175+ROW()/10000000,"")</f>
        <v/>
      </c>
      <c r="L175" s="21">
        <f>IF(K175="","",COUNTIF($K$2:$K$3001,"&lt;"&amp;K175)+1)</f>
        <v/>
      </c>
    </row>
    <row r="176">
      <c r="A176" s="5">
        <f>IF($J176="","",IF($J176&lt;=1500,INDEX('Daily Sale entry '!$X$1:$X$1501,$J176+1),INDEX('Daily Sale entry '!$V$1:$V$1501,$J176-1499)))</f>
        <v/>
      </c>
      <c r="B176">
        <f>IF($J176="","",IF($J176&lt;=1500,INDEX('Daily Sale entry '!$Y$1:$Y$1501,$J176+1)&amp;"","Buyer cheque banked 买家支票存入"&amp;IF(INDEX('Daily Sale entry '!$U$1:$U$1501,$J176-1499)="","", " - "&amp;INDEX('Daily Sale entry '!$U$1:$U$1501,$J176-1499))))</f>
        <v/>
      </c>
      <c r="C176">
        <f>IF($J176="","",IF($J176&lt;=1500,INDEX('Daily Sale entry '!$Z$1:$Z$1501,$J176+1)&amp;"","Cheque deposit 支票存入 (buyer 买家)"))</f>
        <v/>
      </c>
      <c r="D176">
        <f>IF($J176="","",IF($J176&lt;=1500,INDEX('Daily Sale entry '!$AA$1:$AA$1501,$J176+1)&amp;"",INDEX('Daily Sale entry '!$P$1:$P$1501,$J176-1499)&amp;""))</f>
        <v/>
      </c>
      <c r="E176">
        <f>IF($J176="","",IF($J176&lt;=1500,IF(N(INDEX('Daily Sale entry '!$AB$1:$AB$1501,$J176+1))=0,"",INDEX('Daily Sale entry '!$AB$1:$AB$1501,$J176+1)),1))</f>
        <v/>
      </c>
      <c r="F176" s="6">
        <f>IF($J176="","",IF($J176&lt;=1500,N(INDEX('Daily Sale entry '!$AC$1:$AC$1501,$J176+1))-IF(AND('Opening Balance'!$B$15=1,INDEX('Daily Sale entry '!$Z$1:$Z$1501,$J176+1)="Online collection 网上收款",INDEX('Daily Sale entry '!$AA$1:$AA$1501,$J176+1)&lt;&gt;""),N(INDEX('Daily Sale entry '!$AC$1:$AC$1501,$J176+1))-TRUNC(N(INDEX('Daily Sale entry '!$AC$1:$AC$1501,$J176+1))),0),N(INDEX('Daily Sale entry '!$S$1:$S$1501,$J176-1499))-'Opening Balance'!$B$15*(N(INDEX('Daily Sale entry '!$S$1:$S$1501,$J176-1499))-TRUNC(N(INDEX('Daily Sale entry '!$S$1:$S$1501,$J176-1499))))))</f>
        <v/>
      </c>
      <c r="G176" s="6">
        <f>IF($J176="","",IF($J176&lt;=1500,N(INDEX('Daily Sale entry '!$AD$1:$AD$1501,$J176+1)),0))</f>
        <v/>
      </c>
      <c r="H176" s="6">
        <f>IF($J176="","",ROUND('Opening Balance'!$B$4+SUM($F$2:F176)-SUM($G$2:G176),2))</f>
        <v/>
      </c>
      <c r="J176" s="21">
        <f>IFERROR(MATCH(ROW()-1,$L$2:$L$3001,0),"")</f>
        <v/>
      </c>
      <c r="K176" s="34">
        <f>IF(AND('Daily Sale entry '!X176&lt;&gt;"",OR('Daily Sale entry '!AC176&lt;&gt;"",'Daily Sale entry '!AD176&lt;&gt;"")),'Daily Sale entry '!X176+ROW()/10000000,"")</f>
        <v/>
      </c>
      <c r="L176" s="21">
        <f>IF(K176="","",COUNTIF($K$2:$K$3001,"&lt;"&amp;K176)+1)</f>
        <v/>
      </c>
    </row>
    <row r="177">
      <c r="A177" s="5">
        <f>IF($J177="","",IF($J177&lt;=1500,INDEX('Daily Sale entry '!$X$1:$X$1501,$J177+1),INDEX('Daily Sale entry '!$V$1:$V$1501,$J177-1499)))</f>
        <v/>
      </c>
      <c r="B177">
        <f>IF($J177="","",IF($J177&lt;=1500,INDEX('Daily Sale entry '!$Y$1:$Y$1501,$J177+1)&amp;"","Buyer cheque banked 买家支票存入"&amp;IF(INDEX('Daily Sale entry '!$U$1:$U$1501,$J177-1499)="","", " - "&amp;INDEX('Daily Sale entry '!$U$1:$U$1501,$J177-1499))))</f>
        <v/>
      </c>
      <c r="C177">
        <f>IF($J177="","",IF($J177&lt;=1500,INDEX('Daily Sale entry '!$Z$1:$Z$1501,$J177+1)&amp;"","Cheque deposit 支票存入 (buyer 买家)"))</f>
        <v/>
      </c>
      <c r="D177">
        <f>IF($J177="","",IF($J177&lt;=1500,INDEX('Daily Sale entry '!$AA$1:$AA$1501,$J177+1)&amp;"",INDEX('Daily Sale entry '!$P$1:$P$1501,$J177-1499)&amp;""))</f>
        <v/>
      </c>
      <c r="E177">
        <f>IF($J177="","",IF($J177&lt;=1500,IF(N(INDEX('Daily Sale entry '!$AB$1:$AB$1501,$J177+1))=0,"",INDEX('Daily Sale entry '!$AB$1:$AB$1501,$J177+1)),1))</f>
        <v/>
      </c>
      <c r="F177" s="6">
        <f>IF($J177="","",IF($J177&lt;=1500,N(INDEX('Daily Sale entry '!$AC$1:$AC$1501,$J177+1))-IF(AND('Opening Balance'!$B$15=1,INDEX('Daily Sale entry '!$Z$1:$Z$1501,$J177+1)="Online collection 网上收款",INDEX('Daily Sale entry '!$AA$1:$AA$1501,$J177+1)&lt;&gt;""),N(INDEX('Daily Sale entry '!$AC$1:$AC$1501,$J177+1))-TRUNC(N(INDEX('Daily Sale entry '!$AC$1:$AC$1501,$J177+1))),0),N(INDEX('Daily Sale entry '!$S$1:$S$1501,$J177-1499))-'Opening Balance'!$B$15*(N(INDEX('Daily Sale entry '!$S$1:$S$1501,$J177-1499))-TRUNC(N(INDEX('Daily Sale entry '!$S$1:$S$1501,$J177-1499))))))</f>
        <v/>
      </c>
      <c r="G177" s="6">
        <f>IF($J177="","",IF($J177&lt;=1500,N(INDEX('Daily Sale entry '!$AD$1:$AD$1501,$J177+1)),0))</f>
        <v/>
      </c>
      <c r="H177" s="6">
        <f>IF($J177="","",ROUND('Opening Balance'!$B$4+SUM($F$2:F177)-SUM($G$2:G177),2))</f>
        <v/>
      </c>
      <c r="J177" s="21">
        <f>IFERROR(MATCH(ROW()-1,$L$2:$L$3001,0),"")</f>
        <v/>
      </c>
      <c r="K177" s="34">
        <f>IF(AND('Daily Sale entry '!X177&lt;&gt;"",OR('Daily Sale entry '!AC177&lt;&gt;"",'Daily Sale entry '!AD177&lt;&gt;"")),'Daily Sale entry '!X177+ROW()/10000000,"")</f>
        <v/>
      </c>
      <c r="L177" s="21">
        <f>IF(K177="","",COUNTIF($K$2:$K$3001,"&lt;"&amp;K177)+1)</f>
        <v/>
      </c>
    </row>
    <row r="178">
      <c r="A178" s="5">
        <f>IF($J178="","",IF($J178&lt;=1500,INDEX('Daily Sale entry '!$X$1:$X$1501,$J178+1),INDEX('Daily Sale entry '!$V$1:$V$1501,$J178-1499)))</f>
        <v/>
      </c>
      <c r="B178">
        <f>IF($J178="","",IF($J178&lt;=1500,INDEX('Daily Sale entry '!$Y$1:$Y$1501,$J178+1)&amp;"","Buyer cheque banked 买家支票存入"&amp;IF(INDEX('Daily Sale entry '!$U$1:$U$1501,$J178-1499)="","", " - "&amp;INDEX('Daily Sale entry '!$U$1:$U$1501,$J178-1499))))</f>
        <v/>
      </c>
      <c r="C178">
        <f>IF($J178="","",IF($J178&lt;=1500,INDEX('Daily Sale entry '!$Z$1:$Z$1501,$J178+1)&amp;"","Cheque deposit 支票存入 (buyer 买家)"))</f>
        <v/>
      </c>
      <c r="D178">
        <f>IF($J178="","",IF($J178&lt;=1500,INDEX('Daily Sale entry '!$AA$1:$AA$1501,$J178+1)&amp;"",INDEX('Daily Sale entry '!$P$1:$P$1501,$J178-1499)&amp;""))</f>
        <v/>
      </c>
      <c r="E178">
        <f>IF($J178="","",IF($J178&lt;=1500,IF(N(INDEX('Daily Sale entry '!$AB$1:$AB$1501,$J178+1))=0,"",INDEX('Daily Sale entry '!$AB$1:$AB$1501,$J178+1)),1))</f>
        <v/>
      </c>
      <c r="F178" s="6">
        <f>IF($J178="","",IF($J178&lt;=1500,N(INDEX('Daily Sale entry '!$AC$1:$AC$1501,$J178+1))-IF(AND('Opening Balance'!$B$15=1,INDEX('Daily Sale entry '!$Z$1:$Z$1501,$J178+1)="Online collection 网上收款",INDEX('Daily Sale entry '!$AA$1:$AA$1501,$J178+1)&lt;&gt;""),N(INDEX('Daily Sale entry '!$AC$1:$AC$1501,$J178+1))-TRUNC(N(INDEX('Daily Sale entry '!$AC$1:$AC$1501,$J178+1))),0),N(INDEX('Daily Sale entry '!$S$1:$S$1501,$J178-1499))-'Opening Balance'!$B$15*(N(INDEX('Daily Sale entry '!$S$1:$S$1501,$J178-1499))-TRUNC(N(INDEX('Daily Sale entry '!$S$1:$S$1501,$J178-1499))))))</f>
        <v/>
      </c>
      <c r="G178" s="6">
        <f>IF($J178="","",IF($J178&lt;=1500,N(INDEX('Daily Sale entry '!$AD$1:$AD$1501,$J178+1)),0))</f>
        <v/>
      </c>
      <c r="H178" s="6">
        <f>IF($J178="","",ROUND('Opening Balance'!$B$4+SUM($F$2:F178)-SUM($G$2:G178),2))</f>
        <v/>
      </c>
      <c r="J178" s="21">
        <f>IFERROR(MATCH(ROW()-1,$L$2:$L$3001,0),"")</f>
        <v/>
      </c>
      <c r="K178" s="34">
        <f>IF(AND('Daily Sale entry '!X178&lt;&gt;"",OR('Daily Sale entry '!AC178&lt;&gt;"",'Daily Sale entry '!AD178&lt;&gt;"")),'Daily Sale entry '!X178+ROW()/10000000,"")</f>
        <v/>
      </c>
      <c r="L178" s="21">
        <f>IF(K178="","",COUNTIF($K$2:$K$3001,"&lt;"&amp;K178)+1)</f>
        <v/>
      </c>
    </row>
    <row r="179">
      <c r="A179" s="5">
        <f>IF($J179="","",IF($J179&lt;=1500,INDEX('Daily Sale entry '!$X$1:$X$1501,$J179+1),INDEX('Daily Sale entry '!$V$1:$V$1501,$J179-1499)))</f>
        <v/>
      </c>
      <c r="B179">
        <f>IF($J179="","",IF($J179&lt;=1500,INDEX('Daily Sale entry '!$Y$1:$Y$1501,$J179+1)&amp;"","Buyer cheque banked 买家支票存入"&amp;IF(INDEX('Daily Sale entry '!$U$1:$U$1501,$J179-1499)="","", " - "&amp;INDEX('Daily Sale entry '!$U$1:$U$1501,$J179-1499))))</f>
        <v/>
      </c>
      <c r="C179">
        <f>IF($J179="","",IF($J179&lt;=1500,INDEX('Daily Sale entry '!$Z$1:$Z$1501,$J179+1)&amp;"","Cheque deposit 支票存入 (buyer 买家)"))</f>
        <v/>
      </c>
      <c r="D179">
        <f>IF($J179="","",IF($J179&lt;=1500,INDEX('Daily Sale entry '!$AA$1:$AA$1501,$J179+1)&amp;"",INDEX('Daily Sale entry '!$P$1:$P$1501,$J179-1499)&amp;""))</f>
        <v/>
      </c>
      <c r="E179">
        <f>IF($J179="","",IF($J179&lt;=1500,IF(N(INDEX('Daily Sale entry '!$AB$1:$AB$1501,$J179+1))=0,"",INDEX('Daily Sale entry '!$AB$1:$AB$1501,$J179+1)),1))</f>
        <v/>
      </c>
      <c r="F179" s="6">
        <f>IF($J179="","",IF($J179&lt;=1500,N(INDEX('Daily Sale entry '!$AC$1:$AC$1501,$J179+1))-IF(AND('Opening Balance'!$B$15=1,INDEX('Daily Sale entry '!$Z$1:$Z$1501,$J179+1)="Online collection 网上收款",INDEX('Daily Sale entry '!$AA$1:$AA$1501,$J179+1)&lt;&gt;""),N(INDEX('Daily Sale entry '!$AC$1:$AC$1501,$J179+1))-TRUNC(N(INDEX('Daily Sale entry '!$AC$1:$AC$1501,$J179+1))),0),N(INDEX('Daily Sale entry '!$S$1:$S$1501,$J179-1499))-'Opening Balance'!$B$15*(N(INDEX('Daily Sale entry '!$S$1:$S$1501,$J179-1499))-TRUNC(N(INDEX('Daily Sale entry '!$S$1:$S$1501,$J179-1499))))))</f>
        <v/>
      </c>
      <c r="G179" s="6">
        <f>IF($J179="","",IF($J179&lt;=1500,N(INDEX('Daily Sale entry '!$AD$1:$AD$1501,$J179+1)),0))</f>
        <v/>
      </c>
      <c r="H179" s="6">
        <f>IF($J179="","",ROUND('Opening Balance'!$B$4+SUM($F$2:F179)-SUM($G$2:G179),2))</f>
        <v/>
      </c>
      <c r="J179" s="21">
        <f>IFERROR(MATCH(ROW()-1,$L$2:$L$3001,0),"")</f>
        <v/>
      </c>
      <c r="K179" s="34">
        <f>IF(AND('Daily Sale entry '!X179&lt;&gt;"",OR('Daily Sale entry '!AC179&lt;&gt;"",'Daily Sale entry '!AD179&lt;&gt;"")),'Daily Sale entry '!X179+ROW()/10000000,"")</f>
        <v/>
      </c>
      <c r="L179" s="21">
        <f>IF(K179="","",COUNTIF($K$2:$K$3001,"&lt;"&amp;K179)+1)</f>
        <v/>
      </c>
    </row>
    <row r="180">
      <c r="A180" s="5">
        <f>IF($J180="","",IF($J180&lt;=1500,INDEX('Daily Sale entry '!$X$1:$X$1501,$J180+1),INDEX('Daily Sale entry '!$V$1:$V$1501,$J180-1499)))</f>
        <v/>
      </c>
      <c r="B180">
        <f>IF($J180="","",IF($J180&lt;=1500,INDEX('Daily Sale entry '!$Y$1:$Y$1501,$J180+1)&amp;"","Buyer cheque banked 买家支票存入"&amp;IF(INDEX('Daily Sale entry '!$U$1:$U$1501,$J180-1499)="","", " - "&amp;INDEX('Daily Sale entry '!$U$1:$U$1501,$J180-1499))))</f>
        <v/>
      </c>
      <c r="C180">
        <f>IF($J180="","",IF($J180&lt;=1500,INDEX('Daily Sale entry '!$Z$1:$Z$1501,$J180+1)&amp;"","Cheque deposit 支票存入 (buyer 买家)"))</f>
        <v/>
      </c>
      <c r="D180">
        <f>IF($J180="","",IF($J180&lt;=1500,INDEX('Daily Sale entry '!$AA$1:$AA$1501,$J180+1)&amp;"",INDEX('Daily Sale entry '!$P$1:$P$1501,$J180-1499)&amp;""))</f>
        <v/>
      </c>
      <c r="E180">
        <f>IF($J180="","",IF($J180&lt;=1500,IF(N(INDEX('Daily Sale entry '!$AB$1:$AB$1501,$J180+1))=0,"",INDEX('Daily Sale entry '!$AB$1:$AB$1501,$J180+1)),1))</f>
        <v/>
      </c>
      <c r="F180" s="6">
        <f>IF($J180="","",IF($J180&lt;=1500,N(INDEX('Daily Sale entry '!$AC$1:$AC$1501,$J180+1))-IF(AND('Opening Balance'!$B$15=1,INDEX('Daily Sale entry '!$Z$1:$Z$1501,$J180+1)="Online collection 网上收款",INDEX('Daily Sale entry '!$AA$1:$AA$1501,$J180+1)&lt;&gt;""),N(INDEX('Daily Sale entry '!$AC$1:$AC$1501,$J180+1))-TRUNC(N(INDEX('Daily Sale entry '!$AC$1:$AC$1501,$J180+1))),0),N(INDEX('Daily Sale entry '!$S$1:$S$1501,$J180-1499))-'Opening Balance'!$B$15*(N(INDEX('Daily Sale entry '!$S$1:$S$1501,$J180-1499))-TRUNC(N(INDEX('Daily Sale entry '!$S$1:$S$1501,$J180-1499))))))</f>
        <v/>
      </c>
      <c r="G180" s="6">
        <f>IF($J180="","",IF($J180&lt;=1500,N(INDEX('Daily Sale entry '!$AD$1:$AD$1501,$J180+1)),0))</f>
        <v/>
      </c>
      <c r="H180" s="6">
        <f>IF($J180="","",ROUND('Opening Balance'!$B$4+SUM($F$2:F180)-SUM($G$2:G180),2))</f>
        <v/>
      </c>
      <c r="J180" s="21">
        <f>IFERROR(MATCH(ROW()-1,$L$2:$L$3001,0),"")</f>
        <v/>
      </c>
      <c r="K180" s="34">
        <f>IF(AND('Daily Sale entry '!X180&lt;&gt;"",OR('Daily Sale entry '!AC180&lt;&gt;"",'Daily Sale entry '!AD180&lt;&gt;"")),'Daily Sale entry '!X180+ROW()/10000000,"")</f>
        <v/>
      </c>
      <c r="L180" s="21">
        <f>IF(K180="","",COUNTIF($K$2:$K$3001,"&lt;"&amp;K180)+1)</f>
        <v/>
      </c>
    </row>
    <row r="181">
      <c r="A181" s="5">
        <f>IF($J181="","",IF($J181&lt;=1500,INDEX('Daily Sale entry '!$X$1:$X$1501,$J181+1),INDEX('Daily Sale entry '!$V$1:$V$1501,$J181-1499)))</f>
        <v/>
      </c>
      <c r="B181">
        <f>IF($J181="","",IF($J181&lt;=1500,INDEX('Daily Sale entry '!$Y$1:$Y$1501,$J181+1)&amp;"","Buyer cheque banked 买家支票存入"&amp;IF(INDEX('Daily Sale entry '!$U$1:$U$1501,$J181-1499)="","", " - "&amp;INDEX('Daily Sale entry '!$U$1:$U$1501,$J181-1499))))</f>
        <v/>
      </c>
      <c r="C181">
        <f>IF($J181="","",IF($J181&lt;=1500,INDEX('Daily Sale entry '!$Z$1:$Z$1501,$J181+1)&amp;"","Cheque deposit 支票存入 (buyer 买家)"))</f>
        <v/>
      </c>
      <c r="D181">
        <f>IF($J181="","",IF($J181&lt;=1500,INDEX('Daily Sale entry '!$AA$1:$AA$1501,$J181+1)&amp;"",INDEX('Daily Sale entry '!$P$1:$P$1501,$J181-1499)&amp;""))</f>
        <v/>
      </c>
      <c r="E181">
        <f>IF($J181="","",IF($J181&lt;=1500,IF(N(INDEX('Daily Sale entry '!$AB$1:$AB$1501,$J181+1))=0,"",INDEX('Daily Sale entry '!$AB$1:$AB$1501,$J181+1)),1))</f>
        <v/>
      </c>
      <c r="F181" s="6">
        <f>IF($J181="","",IF($J181&lt;=1500,N(INDEX('Daily Sale entry '!$AC$1:$AC$1501,$J181+1))-IF(AND('Opening Balance'!$B$15=1,INDEX('Daily Sale entry '!$Z$1:$Z$1501,$J181+1)="Online collection 网上收款",INDEX('Daily Sale entry '!$AA$1:$AA$1501,$J181+1)&lt;&gt;""),N(INDEX('Daily Sale entry '!$AC$1:$AC$1501,$J181+1))-TRUNC(N(INDEX('Daily Sale entry '!$AC$1:$AC$1501,$J181+1))),0),N(INDEX('Daily Sale entry '!$S$1:$S$1501,$J181-1499))-'Opening Balance'!$B$15*(N(INDEX('Daily Sale entry '!$S$1:$S$1501,$J181-1499))-TRUNC(N(INDEX('Daily Sale entry '!$S$1:$S$1501,$J181-1499))))))</f>
        <v/>
      </c>
      <c r="G181" s="6">
        <f>IF($J181="","",IF($J181&lt;=1500,N(INDEX('Daily Sale entry '!$AD$1:$AD$1501,$J181+1)),0))</f>
        <v/>
      </c>
      <c r="H181" s="6">
        <f>IF($J181="","",ROUND('Opening Balance'!$B$4+SUM($F$2:F181)-SUM($G$2:G181),2))</f>
        <v/>
      </c>
      <c r="J181" s="21">
        <f>IFERROR(MATCH(ROW()-1,$L$2:$L$3001,0),"")</f>
        <v/>
      </c>
      <c r="K181" s="34">
        <f>IF(AND('Daily Sale entry '!X181&lt;&gt;"",OR('Daily Sale entry '!AC181&lt;&gt;"",'Daily Sale entry '!AD181&lt;&gt;"")),'Daily Sale entry '!X181+ROW()/10000000,"")</f>
        <v/>
      </c>
      <c r="L181" s="21">
        <f>IF(K181="","",COUNTIF($K$2:$K$3001,"&lt;"&amp;K181)+1)</f>
        <v/>
      </c>
    </row>
    <row r="182">
      <c r="A182" s="5">
        <f>IF($J182="","",IF($J182&lt;=1500,INDEX('Daily Sale entry '!$X$1:$X$1501,$J182+1),INDEX('Daily Sale entry '!$V$1:$V$1501,$J182-1499)))</f>
        <v/>
      </c>
      <c r="B182">
        <f>IF($J182="","",IF($J182&lt;=1500,INDEX('Daily Sale entry '!$Y$1:$Y$1501,$J182+1)&amp;"","Buyer cheque banked 买家支票存入"&amp;IF(INDEX('Daily Sale entry '!$U$1:$U$1501,$J182-1499)="","", " - "&amp;INDEX('Daily Sale entry '!$U$1:$U$1501,$J182-1499))))</f>
        <v/>
      </c>
      <c r="C182">
        <f>IF($J182="","",IF($J182&lt;=1500,INDEX('Daily Sale entry '!$Z$1:$Z$1501,$J182+1)&amp;"","Cheque deposit 支票存入 (buyer 买家)"))</f>
        <v/>
      </c>
      <c r="D182">
        <f>IF($J182="","",IF($J182&lt;=1500,INDEX('Daily Sale entry '!$AA$1:$AA$1501,$J182+1)&amp;"",INDEX('Daily Sale entry '!$P$1:$P$1501,$J182-1499)&amp;""))</f>
        <v/>
      </c>
      <c r="E182">
        <f>IF($J182="","",IF($J182&lt;=1500,IF(N(INDEX('Daily Sale entry '!$AB$1:$AB$1501,$J182+1))=0,"",INDEX('Daily Sale entry '!$AB$1:$AB$1501,$J182+1)),1))</f>
        <v/>
      </c>
      <c r="F182" s="6">
        <f>IF($J182="","",IF($J182&lt;=1500,N(INDEX('Daily Sale entry '!$AC$1:$AC$1501,$J182+1))-IF(AND('Opening Balance'!$B$15=1,INDEX('Daily Sale entry '!$Z$1:$Z$1501,$J182+1)="Online collection 网上收款",INDEX('Daily Sale entry '!$AA$1:$AA$1501,$J182+1)&lt;&gt;""),N(INDEX('Daily Sale entry '!$AC$1:$AC$1501,$J182+1))-TRUNC(N(INDEX('Daily Sale entry '!$AC$1:$AC$1501,$J182+1))),0),N(INDEX('Daily Sale entry '!$S$1:$S$1501,$J182-1499))-'Opening Balance'!$B$15*(N(INDEX('Daily Sale entry '!$S$1:$S$1501,$J182-1499))-TRUNC(N(INDEX('Daily Sale entry '!$S$1:$S$1501,$J182-1499))))))</f>
        <v/>
      </c>
      <c r="G182" s="6">
        <f>IF($J182="","",IF($J182&lt;=1500,N(INDEX('Daily Sale entry '!$AD$1:$AD$1501,$J182+1)),0))</f>
        <v/>
      </c>
      <c r="H182" s="6">
        <f>IF($J182="","",ROUND('Opening Balance'!$B$4+SUM($F$2:F182)-SUM($G$2:G182),2))</f>
        <v/>
      </c>
      <c r="J182" s="21">
        <f>IFERROR(MATCH(ROW()-1,$L$2:$L$3001,0),"")</f>
        <v/>
      </c>
      <c r="K182" s="34">
        <f>IF(AND('Daily Sale entry '!X182&lt;&gt;"",OR('Daily Sale entry '!AC182&lt;&gt;"",'Daily Sale entry '!AD182&lt;&gt;"")),'Daily Sale entry '!X182+ROW()/10000000,"")</f>
        <v/>
      </c>
      <c r="L182" s="21">
        <f>IF(K182="","",COUNTIF($K$2:$K$3001,"&lt;"&amp;K182)+1)</f>
        <v/>
      </c>
    </row>
    <row r="183">
      <c r="A183" s="5">
        <f>IF($J183="","",IF($J183&lt;=1500,INDEX('Daily Sale entry '!$X$1:$X$1501,$J183+1),INDEX('Daily Sale entry '!$V$1:$V$1501,$J183-1499)))</f>
        <v/>
      </c>
      <c r="B183">
        <f>IF($J183="","",IF($J183&lt;=1500,INDEX('Daily Sale entry '!$Y$1:$Y$1501,$J183+1)&amp;"","Buyer cheque banked 买家支票存入"&amp;IF(INDEX('Daily Sale entry '!$U$1:$U$1501,$J183-1499)="","", " - "&amp;INDEX('Daily Sale entry '!$U$1:$U$1501,$J183-1499))))</f>
        <v/>
      </c>
      <c r="C183">
        <f>IF($J183="","",IF($J183&lt;=1500,INDEX('Daily Sale entry '!$Z$1:$Z$1501,$J183+1)&amp;"","Cheque deposit 支票存入 (buyer 买家)"))</f>
        <v/>
      </c>
      <c r="D183">
        <f>IF($J183="","",IF($J183&lt;=1500,INDEX('Daily Sale entry '!$AA$1:$AA$1501,$J183+1)&amp;"",INDEX('Daily Sale entry '!$P$1:$P$1501,$J183-1499)&amp;""))</f>
        <v/>
      </c>
      <c r="E183">
        <f>IF($J183="","",IF($J183&lt;=1500,IF(N(INDEX('Daily Sale entry '!$AB$1:$AB$1501,$J183+1))=0,"",INDEX('Daily Sale entry '!$AB$1:$AB$1501,$J183+1)),1))</f>
        <v/>
      </c>
      <c r="F183" s="6">
        <f>IF($J183="","",IF($J183&lt;=1500,N(INDEX('Daily Sale entry '!$AC$1:$AC$1501,$J183+1))-IF(AND('Opening Balance'!$B$15=1,INDEX('Daily Sale entry '!$Z$1:$Z$1501,$J183+1)="Online collection 网上收款",INDEX('Daily Sale entry '!$AA$1:$AA$1501,$J183+1)&lt;&gt;""),N(INDEX('Daily Sale entry '!$AC$1:$AC$1501,$J183+1))-TRUNC(N(INDEX('Daily Sale entry '!$AC$1:$AC$1501,$J183+1))),0),N(INDEX('Daily Sale entry '!$S$1:$S$1501,$J183-1499))-'Opening Balance'!$B$15*(N(INDEX('Daily Sale entry '!$S$1:$S$1501,$J183-1499))-TRUNC(N(INDEX('Daily Sale entry '!$S$1:$S$1501,$J183-1499))))))</f>
        <v/>
      </c>
      <c r="G183" s="6">
        <f>IF($J183="","",IF($J183&lt;=1500,N(INDEX('Daily Sale entry '!$AD$1:$AD$1501,$J183+1)),0))</f>
        <v/>
      </c>
      <c r="H183" s="6">
        <f>IF($J183="","",ROUND('Opening Balance'!$B$4+SUM($F$2:F183)-SUM($G$2:G183),2))</f>
        <v/>
      </c>
      <c r="J183" s="21">
        <f>IFERROR(MATCH(ROW()-1,$L$2:$L$3001,0),"")</f>
        <v/>
      </c>
      <c r="K183" s="34">
        <f>IF(AND('Daily Sale entry '!X183&lt;&gt;"",OR('Daily Sale entry '!AC183&lt;&gt;"",'Daily Sale entry '!AD183&lt;&gt;"")),'Daily Sale entry '!X183+ROW()/10000000,"")</f>
        <v/>
      </c>
      <c r="L183" s="21">
        <f>IF(K183="","",COUNTIF($K$2:$K$3001,"&lt;"&amp;K183)+1)</f>
        <v/>
      </c>
    </row>
    <row r="184">
      <c r="A184" s="5">
        <f>IF($J184="","",IF($J184&lt;=1500,INDEX('Daily Sale entry '!$X$1:$X$1501,$J184+1),INDEX('Daily Sale entry '!$V$1:$V$1501,$J184-1499)))</f>
        <v/>
      </c>
      <c r="B184">
        <f>IF($J184="","",IF($J184&lt;=1500,INDEX('Daily Sale entry '!$Y$1:$Y$1501,$J184+1)&amp;"","Buyer cheque banked 买家支票存入"&amp;IF(INDEX('Daily Sale entry '!$U$1:$U$1501,$J184-1499)="","", " - "&amp;INDEX('Daily Sale entry '!$U$1:$U$1501,$J184-1499))))</f>
        <v/>
      </c>
      <c r="C184">
        <f>IF($J184="","",IF($J184&lt;=1500,INDEX('Daily Sale entry '!$Z$1:$Z$1501,$J184+1)&amp;"","Cheque deposit 支票存入 (buyer 买家)"))</f>
        <v/>
      </c>
      <c r="D184">
        <f>IF($J184="","",IF($J184&lt;=1500,INDEX('Daily Sale entry '!$AA$1:$AA$1501,$J184+1)&amp;"",INDEX('Daily Sale entry '!$P$1:$P$1501,$J184-1499)&amp;""))</f>
        <v/>
      </c>
      <c r="E184">
        <f>IF($J184="","",IF($J184&lt;=1500,IF(N(INDEX('Daily Sale entry '!$AB$1:$AB$1501,$J184+1))=0,"",INDEX('Daily Sale entry '!$AB$1:$AB$1501,$J184+1)),1))</f>
        <v/>
      </c>
      <c r="F184" s="6">
        <f>IF($J184="","",IF($J184&lt;=1500,N(INDEX('Daily Sale entry '!$AC$1:$AC$1501,$J184+1))-IF(AND('Opening Balance'!$B$15=1,INDEX('Daily Sale entry '!$Z$1:$Z$1501,$J184+1)="Online collection 网上收款",INDEX('Daily Sale entry '!$AA$1:$AA$1501,$J184+1)&lt;&gt;""),N(INDEX('Daily Sale entry '!$AC$1:$AC$1501,$J184+1))-TRUNC(N(INDEX('Daily Sale entry '!$AC$1:$AC$1501,$J184+1))),0),N(INDEX('Daily Sale entry '!$S$1:$S$1501,$J184-1499))-'Opening Balance'!$B$15*(N(INDEX('Daily Sale entry '!$S$1:$S$1501,$J184-1499))-TRUNC(N(INDEX('Daily Sale entry '!$S$1:$S$1501,$J184-1499))))))</f>
        <v/>
      </c>
      <c r="G184" s="6">
        <f>IF($J184="","",IF($J184&lt;=1500,N(INDEX('Daily Sale entry '!$AD$1:$AD$1501,$J184+1)),0))</f>
        <v/>
      </c>
      <c r="H184" s="6">
        <f>IF($J184="","",ROUND('Opening Balance'!$B$4+SUM($F$2:F184)-SUM($G$2:G184),2))</f>
        <v/>
      </c>
      <c r="J184" s="21">
        <f>IFERROR(MATCH(ROW()-1,$L$2:$L$3001,0),"")</f>
        <v/>
      </c>
      <c r="K184" s="34">
        <f>IF(AND('Daily Sale entry '!X184&lt;&gt;"",OR('Daily Sale entry '!AC184&lt;&gt;"",'Daily Sale entry '!AD184&lt;&gt;"")),'Daily Sale entry '!X184+ROW()/10000000,"")</f>
        <v/>
      </c>
      <c r="L184" s="21">
        <f>IF(K184="","",COUNTIF($K$2:$K$3001,"&lt;"&amp;K184)+1)</f>
        <v/>
      </c>
    </row>
    <row r="185">
      <c r="A185" s="5">
        <f>IF($J185="","",IF($J185&lt;=1500,INDEX('Daily Sale entry '!$X$1:$X$1501,$J185+1),INDEX('Daily Sale entry '!$V$1:$V$1501,$J185-1499)))</f>
        <v/>
      </c>
      <c r="B185">
        <f>IF($J185="","",IF($J185&lt;=1500,INDEX('Daily Sale entry '!$Y$1:$Y$1501,$J185+1)&amp;"","Buyer cheque banked 买家支票存入"&amp;IF(INDEX('Daily Sale entry '!$U$1:$U$1501,$J185-1499)="","", " - "&amp;INDEX('Daily Sale entry '!$U$1:$U$1501,$J185-1499))))</f>
        <v/>
      </c>
      <c r="C185">
        <f>IF($J185="","",IF($J185&lt;=1500,INDEX('Daily Sale entry '!$Z$1:$Z$1501,$J185+1)&amp;"","Cheque deposit 支票存入 (buyer 买家)"))</f>
        <v/>
      </c>
      <c r="D185">
        <f>IF($J185="","",IF($J185&lt;=1500,INDEX('Daily Sale entry '!$AA$1:$AA$1501,$J185+1)&amp;"",INDEX('Daily Sale entry '!$P$1:$P$1501,$J185-1499)&amp;""))</f>
        <v/>
      </c>
      <c r="E185">
        <f>IF($J185="","",IF($J185&lt;=1500,IF(N(INDEX('Daily Sale entry '!$AB$1:$AB$1501,$J185+1))=0,"",INDEX('Daily Sale entry '!$AB$1:$AB$1501,$J185+1)),1))</f>
        <v/>
      </c>
      <c r="F185" s="6">
        <f>IF($J185="","",IF($J185&lt;=1500,N(INDEX('Daily Sale entry '!$AC$1:$AC$1501,$J185+1))-IF(AND('Opening Balance'!$B$15=1,INDEX('Daily Sale entry '!$Z$1:$Z$1501,$J185+1)="Online collection 网上收款",INDEX('Daily Sale entry '!$AA$1:$AA$1501,$J185+1)&lt;&gt;""),N(INDEX('Daily Sale entry '!$AC$1:$AC$1501,$J185+1))-TRUNC(N(INDEX('Daily Sale entry '!$AC$1:$AC$1501,$J185+1))),0),N(INDEX('Daily Sale entry '!$S$1:$S$1501,$J185-1499))-'Opening Balance'!$B$15*(N(INDEX('Daily Sale entry '!$S$1:$S$1501,$J185-1499))-TRUNC(N(INDEX('Daily Sale entry '!$S$1:$S$1501,$J185-1499))))))</f>
        <v/>
      </c>
      <c r="G185" s="6">
        <f>IF($J185="","",IF($J185&lt;=1500,N(INDEX('Daily Sale entry '!$AD$1:$AD$1501,$J185+1)),0))</f>
        <v/>
      </c>
      <c r="H185" s="6">
        <f>IF($J185="","",ROUND('Opening Balance'!$B$4+SUM($F$2:F185)-SUM($G$2:G185),2))</f>
        <v/>
      </c>
      <c r="J185" s="21">
        <f>IFERROR(MATCH(ROW()-1,$L$2:$L$3001,0),"")</f>
        <v/>
      </c>
      <c r="K185" s="34">
        <f>IF(AND('Daily Sale entry '!X185&lt;&gt;"",OR('Daily Sale entry '!AC185&lt;&gt;"",'Daily Sale entry '!AD185&lt;&gt;"")),'Daily Sale entry '!X185+ROW()/10000000,"")</f>
        <v/>
      </c>
      <c r="L185" s="21">
        <f>IF(K185="","",COUNTIF($K$2:$K$3001,"&lt;"&amp;K185)+1)</f>
        <v/>
      </c>
    </row>
    <row r="186">
      <c r="A186" s="5">
        <f>IF($J186="","",IF($J186&lt;=1500,INDEX('Daily Sale entry '!$X$1:$X$1501,$J186+1),INDEX('Daily Sale entry '!$V$1:$V$1501,$J186-1499)))</f>
        <v/>
      </c>
      <c r="B186">
        <f>IF($J186="","",IF($J186&lt;=1500,INDEX('Daily Sale entry '!$Y$1:$Y$1501,$J186+1)&amp;"","Buyer cheque banked 买家支票存入"&amp;IF(INDEX('Daily Sale entry '!$U$1:$U$1501,$J186-1499)="","", " - "&amp;INDEX('Daily Sale entry '!$U$1:$U$1501,$J186-1499))))</f>
        <v/>
      </c>
      <c r="C186">
        <f>IF($J186="","",IF($J186&lt;=1500,INDEX('Daily Sale entry '!$Z$1:$Z$1501,$J186+1)&amp;"","Cheque deposit 支票存入 (buyer 买家)"))</f>
        <v/>
      </c>
      <c r="D186">
        <f>IF($J186="","",IF($J186&lt;=1500,INDEX('Daily Sale entry '!$AA$1:$AA$1501,$J186+1)&amp;"",INDEX('Daily Sale entry '!$P$1:$P$1501,$J186-1499)&amp;""))</f>
        <v/>
      </c>
      <c r="E186">
        <f>IF($J186="","",IF($J186&lt;=1500,IF(N(INDEX('Daily Sale entry '!$AB$1:$AB$1501,$J186+1))=0,"",INDEX('Daily Sale entry '!$AB$1:$AB$1501,$J186+1)),1))</f>
        <v/>
      </c>
      <c r="F186" s="6">
        <f>IF($J186="","",IF($J186&lt;=1500,N(INDEX('Daily Sale entry '!$AC$1:$AC$1501,$J186+1))-IF(AND('Opening Balance'!$B$15=1,INDEX('Daily Sale entry '!$Z$1:$Z$1501,$J186+1)="Online collection 网上收款",INDEX('Daily Sale entry '!$AA$1:$AA$1501,$J186+1)&lt;&gt;""),N(INDEX('Daily Sale entry '!$AC$1:$AC$1501,$J186+1))-TRUNC(N(INDEX('Daily Sale entry '!$AC$1:$AC$1501,$J186+1))),0),N(INDEX('Daily Sale entry '!$S$1:$S$1501,$J186-1499))-'Opening Balance'!$B$15*(N(INDEX('Daily Sale entry '!$S$1:$S$1501,$J186-1499))-TRUNC(N(INDEX('Daily Sale entry '!$S$1:$S$1501,$J186-1499))))))</f>
        <v/>
      </c>
      <c r="G186" s="6">
        <f>IF($J186="","",IF($J186&lt;=1500,N(INDEX('Daily Sale entry '!$AD$1:$AD$1501,$J186+1)),0))</f>
        <v/>
      </c>
      <c r="H186" s="6">
        <f>IF($J186="","",ROUND('Opening Balance'!$B$4+SUM($F$2:F186)-SUM($G$2:G186),2))</f>
        <v/>
      </c>
      <c r="J186" s="21">
        <f>IFERROR(MATCH(ROW()-1,$L$2:$L$3001,0),"")</f>
        <v/>
      </c>
      <c r="K186" s="34">
        <f>IF(AND('Daily Sale entry '!X186&lt;&gt;"",OR('Daily Sale entry '!AC186&lt;&gt;"",'Daily Sale entry '!AD186&lt;&gt;"")),'Daily Sale entry '!X186+ROW()/10000000,"")</f>
        <v/>
      </c>
      <c r="L186" s="21">
        <f>IF(K186="","",COUNTIF($K$2:$K$3001,"&lt;"&amp;K186)+1)</f>
        <v/>
      </c>
    </row>
    <row r="187">
      <c r="A187" s="5">
        <f>IF($J187="","",IF($J187&lt;=1500,INDEX('Daily Sale entry '!$X$1:$X$1501,$J187+1),INDEX('Daily Sale entry '!$V$1:$V$1501,$J187-1499)))</f>
        <v/>
      </c>
      <c r="B187">
        <f>IF($J187="","",IF($J187&lt;=1500,INDEX('Daily Sale entry '!$Y$1:$Y$1501,$J187+1)&amp;"","Buyer cheque banked 买家支票存入"&amp;IF(INDEX('Daily Sale entry '!$U$1:$U$1501,$J187-1499)="","", " - "&amp;INDEX('Daily Sale entry '!$U$1:$U$1501,$J187-1499))))</f>
        <v/>
      </c>
      <c r="C187">
        <f>IF($J187="","",IF($J187&lt;=1500,INDEX('Daily Sale entry '!$Z$1:$Z$1501,$J187+1)&amp;"","Cheque deposit 支票存入 (buyer 买家)"))</f>
        <v/>
      </c>
      <c r="D187">
        <f>IF($J187="","",IF($J187&lt;=1500,INDEX('Daily Sale entry '!$AA$1:$AA$1501,$J187+1)&amp;"",INDEX('Daily Sale entry '!$P$1:$P$1501,$J187-1499)&amp;""))</f>
        <v/>
      </c>
      <c r="E187">
        <f>IF($J187="","",IF($J187&lt;=1500,IF(N(INDEX('Daily Sale entry '!$AB$1:$AB$1501,$J187+1))=0,"",INDEX('Daily Sale entry '!$AB$1:$AB$1501,$J187+1)),1))</f>
        <v/>
      </c>
      <c r="F187" s="6">
        <f>IF($J187="","",IF($J187&lt;=1500,N(INDEX('Daily Sale entry '!$AC$1:$AC$1501,$J187+1))-IF(AND('Opening Balance'!$B$15=1,INDEX('Daily Sale entry '!$Z$1:$Z$1501,$J187+1)="Online collection 网上收款",INDEX('Daily Sale entry '!$AA$1:$AA$1501,$J187+1)&lt;&gt;""),N(INDEX('Daily Sale entry '!$AC$1:$AC$1501,$J187+1))-TRUNC(N(INDEX('Daily Sale entry '!$AC$1:$AC$1501,$J187+1))),0),N(INDEX('Daily Sale entry '!$S$1:$S$1501,$J187-1499))-'Opening Balance'!$B$15*(N(INDEX('Daily Sale entry '!$S$1:$S$1501,$J187-1499))-TRUNC(N(INDEX('Daily Sale entry '!$S$1:$S$1501,$J187-1499))))))</f>
        <v/>
      </c>
      <c r="G187" s="6">
        <f>IF($J187="","",IF($J187&lt;=1500,N(INDEX('Daily Sale entry '!$AD$1:$AD$1501,$J187+1)),0))</f>
        <v/>
      </c>
      <c r="H187" s="6">
        <f>IF($J187="","",ROUND('Opening Balance'!$B$4+SUM($F$2:F187)-SUM($G$2:G187),2))</f>
        <v/>
      </c>
      <c r="J187" s="21">
        <f>IFERROR(MATCH(ROW()-1,$L$2:$L$3001,0),"")</f>
        <v/>
      </c>
      <c r="K187" s="34">
        <f>IF(AND('Daily Sale entry '!X187&lt;&gt;"",OR('Daily Sale entry '!AC187&lt;&gt;"",'Daily Sale entry '!AD187&lt;&gt;"")),'Daily Sale entry '!X187+ROW()/10000000,"")</f>
        <v/>
      </c>
      <c r="L187" s="21">
        <f>IF(K187="","",COUNTIF($K$2:$K$3001,"&lt;"&amp;K187)+1)</f>
        <v/>
      </c>
    </row>
    <row r="188">
      <c r="A188" s="5">
        <f>IF($J188="","",IF($J188&lt;=1500,INDEX('Daily Sale entry '!$X$1:$X$1501,$J188+1),INDEX('Daily Sale entry '!$V$1:$V$1501,$J188-1499)))</f>
        <v/>
      </c>
      <c r="B188">
        <f>IF($J188="","",IF($J188&lt;=1500,INDEX('Daily Sale entry '!$Y$1:$Y$1501,$J188+1)&amp;"","Buyer cheque banked 买家支票存入"&amp;IF(INDEX('Daily Sale entry '!$U$1:$U$1501,$J188-1499)="","", " - "&amp;INDEX('Daily Sale entry '!$U$1:$U$1501,$J188-1499))))</f>
        <v/>
      </c>
      <c r="C188">
        <f>IF($J188="","",IF($J188&lt;=1500,INDEX('Daily Sale entry '!$Z$1:$Z$1501,$J188+1)&amp;"","Cheque deposit 支票存入 (buyer 买家)"))</f>
        <v/>
      </c>
      <c r="D188">
        <f>IF($J188="","",IF($J188&lt;=1500,INDEX('Daily Sale entry '!$AA$1:$AA$1501,$J188+1)&amp;"",INDEX('Daily Sale entry '!$P$1:$P$1501,$J188-1499)&amp;""))</f>
        <v/>
      </c>
      <c r="E188">
        <f>IF($J188="","",IF($J188&lt;=1500,IF(N(INDEX('Daily Sale entry '!$AB$1:$AB$1501,$J188+1))=0,"",INDEX('Daily Sale entry '!$AB$1:$AB$1501,$J188+1)),1))</f>
        <v/>
      </c>
      <c r="F188" s="6">
        <f>IF($J188="","",IF($J188&lt;=1500,N(INDEX('Daily Sale entry '!$AC$1:$AC$1501,$J188+1))-IF(AND('Opening Balance'!$B$15=1,INDEX('Daily Sale entry '!$Z$1:$Z$1501,$J188+1)="Online collection 网上收款",INDEX('Daily Sale entry '!$AA$1:$AA$1501,$J188+1)&lt;&gt;""),N(INDEX('Daily Sale entry '!$AC$1:$AC$1501,$J188+1))-TRUNC(N(INDEX('Daily Sale entry '!$AC$1:$AC$1501,$J188+1))),0),N(INDEX('Daily Sale entry '!$S$1:$S$1501,$J188-1499))-'Opening Balance'!$B$15*(N(INDEX('Daily Sale entry '!$S$1:$S$1501,$J188-1499))-TRUNC(N(INDEX('Daily Sale entry '!$S$1:$S$1501,$J188-1499))))))</f>
        <v/>
      </c>
      <c r="G188" s="6">
        <f>IF($J188="","",IF($J188&lt;=1500,N(INDEX('Daily Sale entry '!$AD$1:$AD$1501,$J188+1)),0))</f>
        <v/>
      </c>
      <c r="H188" s="6">
        <f>IF($J188="","",ROUND('Opening Balance'!$B$4+SUM($F$2:F188)-SUM($G$2:G188),2))</f>
        <v/>
      </c>
      <c r="J188" s="21">
        <f>IFERROR(MATCH(ROW()-1,$L$2:$L$3001,0),"")</f>
        <v/>
      </c>
      <c r="K188" s="34">
        <f>IF(AND('Daily Sale entry '!X188&lt;&gt;"",OR('Daily Sale entry '!AC188&lt;&gt;"",'Daily Sale entry '!AD188&lt;&gt;"")),'Daily Sale entry '!X188+ROW()/10000000,"")</f>
        <v/>
      </c>
      <c r="L188" s="21">
        <f>IF(K188="","",COUNTIF($K$2:$K$3001,"&lt;"&amp;K188)+1)</f>
        <v/>
      </c>
    </row>
    <row r="189">
      <c r="A189" s="5">
        <f>IF($J189="","",IF($J189&lt;=1500,INDEX('Daily Sale entry '!$X$1:$X$1501,$J189+1),INDEX('Daily Sale entry '!$V$1:$V$1501,$J189-1499)))</f>
        <v/>
      </c>
      <c r="B189">
        <f>IF($J189="","",IF($J189&lt;=1500,INDEX('Daily Sale entry '!$Y$1:$Y$1501,$J189+1)&amp;"","Buyer cheque banked 买家支票存入"&amp;IF(INDEX('Daily Sale entry '!$U$1:$U$1501,$J189-1499)="","", " - "&amp;INDEX('Daily Sale entry '!$U$1:$U$1501,$J189-1499))))</f>
        <v/>
      </c>
      <c r="C189">
        <f>IF($J189="","",IF($J189&lt;=1500,INDEX('Daily Sale entry '!$Z$1:$Z$1501,$J189+1)&amp;"","Cheque deposit 支票存入 (buyer 买家)"))</f>
        <v/>
      </c>
      <c r="D189">
        <f>IF($J189="","",IF($J189&lt;=1500,INDEX('Daily Sale entry '!$AA$1:$AA$1501,$J189+1)&amp;"",INDEX('Daily Sale entry '!$P$1:$P$1501,$J189-1499)&amp;""))</f>
        <v/>
      </c>
      <c r="E189">
        <f>IF($J189="","",IF($J189&lt;=1500,IF(N(INDEX('Daily Sale entry '!$AB$1:$AB$1501,$J189+1))=0,"",INDEX('Daily Sale entry '!$AB$1:$AB$1501,$J189+1)),1))</f>
        <v/>
      </c>
      <c r="F189" s="6">
        <f>IF($J189="","",IF($J189&lt;=1500,N(INDEX('Daily Sale entry '!$AC$1:$AC$1501,$J189+1))-IF(AND('Opening Balance'!$B$15=1,INDEX('Daily Sale entry '!$Z$1:$Z$1501,$J189+1)="Online collection 网上收款",INDEX('Daily Sale entry '!$AA$1:$AA$1501,$J189+1)&lt;&gt;""),N(INDEX('Daily Sale entry '!$AC$1:$AC$1501,$J189+1))-TRUNC(N(INDEX('Daily Sale entry '!$AC$1:$AC$1501,$J189+1))),0),N(INDEX('Daily Sale entry '!$S$1:$S$1501,$J189-1499))-'Opening Balance'!$B$15*(N(INDEX('Daily Sale entry '!$S$1:$S$1501,$J189-1499))-TRUNC(N(INDEX('Daily Sale entry '!$S$1:$S$1501,$J189-1499))))))</f>
        <v/>
      </c>
      <c r="G189" s="6">
        <f>IF($J189="","",IF($J189&lt;=1500,N(INDEX('Daily Sale entry '!$AD$1:$AD$1501,$J189+1)),0))</f>
        <v/>
      </c>
      <c r="H189" s="6">
        <f>IF($J189="","",ROUND('Opening Balance'!$B$4+SUM($F$2:F189)-SUM($G$2:G189),2))</f>
        <v/>
      </c>
      <c r="J189" s="21">
        <f>IFERROR(MATCH(ROW()-1,$L$2:$L$3001,0),"")</f>
        <v/>
      </c>
      <c r="K189" s="34">
        <f>IF(AND('Daily Sale entry '!X189&lt;&gt;"",OR('Daily Sale entry '!AC189&lt;&gt;"",'Daily Sale entry '!AD189&lt;&gt;"")),'Daily Sale entry '!X189+ROW()/10000000,"")</f>
        <v/>
      </c>
      <c r="L189" s="21">
        <f>IF(K189="","",COUNTIF($K$2:$K$3001,"&lt;"&amp;K189)+1)</f>
        <v/>
      </c>
    </row>
    <row r="190">
      <c r="A190" s="5">
        <f>IF($J190="","",IF($J190&lt;=1500,INDEX('Daily Sale entry '!$X$1:$X$1501,$J190+1),INDEX('Daily Sale entry '!$V$1:$V$1501,$J190-1499)))</f>
        <v/>
      </c>
      <c r="B190">
        <f>IF($J190="","",IF($J190&lt;=1500,INDEX('Daily Sale entry '!$Y$1:$Y$1501,$J190+1)&amp;"","Buyer cheque banked 买家支票存入"&amp;IF(INDEX('Daily Sale entry '!$U$1:$U$1501,$J190-1499)="","", " - "&amp;INDEX('Daily Sale entry '!$U$1:$U$1501,$J190-1499))))</f>
        <v/>
      </c>
      <c r="C190">
        <f>IF($J190="","",IF($J190&lt;=1500,INDEX('Daily Sale entry '!$Z$1:$Z$1501,$J190+1)&amp;"","Cheque deposit 支票存入 (buyer 买家)"))</f>
        <v/>
      </c>
      <c r="D190">
        <f>IF($J190="","",IF($J190&lt;=1500,INDEX('Daily Sale entry '!$AA$1:$AA$1501,$J190+1)&amp;"",INDEX('Daily Sale entry '!$P$1:$P$1501,$J190-1499)&amp;""))</f>
        <v/>
      </c>
      <c r="E190">
        <f>IF($J190="","",IF($J190&lt;=1500,IF(N(INDEX('Daily Sale entry '!$AB$1:$AB$1501,$J190+1))=0,"",INDEX('Daily Sale entry '!$AB$1:$AB$1501,$J190+1)),1))</f>
        <v/>
      </c>
      <c r="F190" s="6">
        <f>IF($J190="","",IF($J190&lt;=1500,N(INDEX('Daily Sale entry '!$AC$1:$AC$1501,$J190+1))-IF(AND('Opening Balance'!$B$15=1,INDEX('Daily Sale entry '!$Z$1:$Z$1501,$J190+1)="Online collection 网上收款",INDEX('Daily Sale entry '!$AA$1:$AA$1501,$J190+1)&lt;&gt;""),N(INDEX('Daily Sale entry '!$AC$1:$AC$1501,$J190+1))-TRUNC(N(INDEX('Daily Sale entry '!$AC$1:$AC$1501,$J190+1))),0),N(INDEX('Daily Sale entry '!$S$1:$S$1501,$J190-1499))-'Opening Balance'!$B$15*(N(INDEX('Daily Sale entry '!$S$1:$S$1501,$J190-1499))-TRUNC(N(INDEX('Daily Sale entry '!$S$1:$S$1501,$J190-1499))))))</f>
        <v/>
      </c>
      <c r="G190" s="6">
        <f>IF($J190="","",IF($J190&lt;=1500,N(INDEX('Daily Sale entry '!$AD$1:$AD$1501,$J190+1)),0))</f>
        <v/>
      </c>
      <c r="H190" s="6">
        <f>IF($J190="","",ROUND('Opening Balance'!$B$4+SUM($F$2:F190)-SUM($G$2:G190),2))</f>
        <v/>
      </c>
      <c r="J190" s="21">
        <f>IFERROR(MATCH(ROW()-1,$L$2:$L$3001,0),"")</f>
        <v/>
      </c>
      <c r="K190" s="34">
        <f>IF(AND('Daily Sale entry '!X190&lt;&gt;"",OR('Daily Sale entry '!AC190&lt;&gt;"",'Daily Sale entry '!AD190&lt;&gt;"")),'Daily Sale entry '!X190+ROW()/10000000,"")</f>
        <v/>
      </c>
      <c r="L190" s="21">
        <f>IF(K190="","",COUNTIF($K$2:$K$3001,"&lt;"&amp;K190)+1)</f>
        <v/>
      </c>
    </row>
    <row r="191">
      <c r="A191" s="5">
        <f>IF($J191="","",IF($J191&lt;=1500,INDEX('Daily Sale entry '!$X$1:$X$1501,$J191+1),INDEX('Daily Sale entry '!$V$1:$V$1501,$J191-1499)))</f>
        <v/>
      </c>
      <c r="B191">
        <f>IF($J191="","",IF($J191&lt;=1500,INDEX('Daily Sale entry '!$Y$1:$Y$1501,$J191+1)&amp;"","Buyer cheque banked 买家支票存入"&amp;IF(INDEX('Daily Sale entry '!$U$1:$U$1501,$J191-1499)="","", " - "&amp;INDEX('Daily Sale entry '!$U$1:$U$1501,$J191-1499))))</f>
        <v/>
      </c>
      <c r="C191">
        <f>IF($J191="","",IF($J191&lt;=1500,INDEX('Daily Sale entry '!$Z$1:$Z$1501,$J191+1)&amp;"","Cheque deposit 支票存入 (buyer 买家)"))</f>
        <v/>
      </c>
      <c r="D191">
        <f>IF($J191="","",IF($J191&lt;=1500,INDEX('Daily Sale entry '!$AA$1:$AA$1501,$J191+1)&amp;"",INDEX('Daily Sale entry '!$P$1:$P$1501,$J191-1499)&amp;""))</f>
        <v/>
      </c>
      <c r="E191">
        <f>IF($J191="","",IF($J191&lt;=1500,IF(N(INDEX('Daily Sale entry '!$AB$1:$AB$1501,$J191+1))=0,"",INDEX('Daily Sale entry '!$AB$1:$AB$1501,$J191+1)),1))</f>
        <v/>
      </c>
      <c r="F191" s="6">
        <f>IF($J191="","",IF($J191&lt;=1500,N(INDEX('Daily Sale entry '!$AC$1:$AC$1501,$J191+1))-IF(AND('Opening Balance'!$B$15=1,INDEX('Daily Sale entry '!$Z$1:$Z$1501,$J191+1)="Online collection 网上收款",INDEX('Daily Sale entry '!$AA$1:$AA$1501,$J191+1)&lt;&gt;""),N(INDEX('Daily Sale entry '!$AC$1:$AC$1501,$J191+1))-TRUNC(N(INDEX('Daily Sale entry '!$AC$1:$AC$1501,$J191+1))),0),N(INDEX('Daily Sale entry '!$S$1:$S$1501,$J191-1499))-'Opening Balance'!$B$15*(N(INDEX('Daily Sale entry '!$S$1:$S$1501,$J191-1499))-TRUNC(N(INDEX('Daily Sale entry '!$S$1:$S$1501,$J191-1499))))))</f>
        <v/>
      </c>
      <c r="G191" s="6">
        <f>IF($J191="","",IF($J191&lt;=1500,N(INDEX('Daily Sale entry '!$AD$1:$AD$1501,$J191+1)),0))</f>
        <v/>
      </c>
      <c r="H191" s="6">
        <f>IF($J191="","",ROUND('Opening Balance'!$B$4+SUM($F$2:F191)-SUM($G$2:G191),2))</f>
        <v/>
      </c>
      <c r="J191" s="21">
        <f>IFERROR(MATCH(ROW()-1,$L$2:$L$3001,0),"")</f>
        <v/>
      </c>
      <c r="K191" s="34">
        <f>IF(AND('Daily Sale entry '!X191&lt;&gt;"",OR('Daily Sale entry '!AC191&lt;&gt;"",'Daily Sale entry '!AD191&lt;&gt;"")),'Daily Sale entry '!X191+ROW()/10000000,"")</f>
        <v/>
      </c>
      <c r="L191" s="21">
        <f>IF(K191="","",COUNTIF($K$2:$K$3001,"&lt;"&amp;K191)+1)</f>
        <v/>
      </c>
    </row>
    <row r="192">
      <c r="A192" s="5">
        <f>IF($J192="","",IF($J192&lt;=1500,INDEX('Daily Sale entry '!$X$1:$X$1501,$J192+1),INDEX('Daily Sale entry '!$V$1:$V$1501,$J192-1499)))</f>
        <v/>
      </c>
      <c r="B192">
        <f>IF($J192="","",IF($J192&lt;=1500,INDEX('Daily Sale entry '!$Y$1:$Y$1501,$J192+1)&amp;"","Buyer cheque banked 买家支票存入"&amp;IF(INDEX('Daily Sale entry '!$U$1:$U$1501,$J192-1499)="","", " - "&amp;INDEX('Daily Sale entry '!$U$1:$U$1501,$J192-1499))))</f>
        <v/>
      </c>
      <c r="C192">
        <f>IF($J192="","",IF($J192&lt;=1500,INDEX('Daily Sale entry '!$Z$1:$Z$1501,$J192+1)&amp;"","Cheque deposit 支票存入 (buyer 买家)"))</f>
        <v/>
      </c>
      <c r="D192">
        <f>IF($J192="","",IF($J192&lt;=1500,INDEX('Daily Sale entry '!$AA$1:$AA$1501,$J192+1)&amp;"",INDEX('Daily Sale entry '!$P$1:$P$1501,$J192-1499)&amp;""))</f>
        <v/>
      </c>
      <c r="E192">
        <f>IF($J192="","",IF($J192&lt;=1500,IF(N(INDEX('Daily Sale entry '!$AB$1:$AB$1501,$J192+1))=0,"",INDEX('Daily Sale entry '!$AB$1:$AB$1501,$J192+1)),1))</f>
        <v/>
      </c>
      <c r="F192" s="6">
        <f>IF($J192="","",IF($J192&lt;=1500,N(INDEX('Daily Sale entry '!$AC$1:$AC$1501,$J192+1))-IF(AND('Opening Balance'!$B$15=1,INDEX('Daily Sale entry '!$Z$1:$Z$1501,$J192+1)="Online collection 网上收款",INDEX('Daily Sale entry '!$AA$1:$AA$1501,$J192+1)&lt;&gt;""),N(INDEX('Daily Sale entry '!$AC$1:$AC$1501,$J192+1))-TRUNC(N(INDEX('Daily Sale entry '!$AC$1:$AC$1501,$J192+1))),0),N(INDEX('Daily Sale entry '!$S$1:$S$1501,$J192-1499))-'Opening Balance'!$B$15*(N(INDEX('Daily Sale entry '!$S$1:$S$1501,$J192-1499))-TRUNC(N(INDEX('Daily Sale entry '!$S$1:$S$1501,$J192-1499))))))</f>
        <v/>
      </c>
      <c r="G192" s="6">
        <f>IF($J192="","",IF($J192&lt;=1500,N(INDEX('Daily Sale entry '!$AD$1:$AD$1501,$J192+1)),0))</f>
        <v/>
      </c>
      <c r="H192" s="6">
        <f>IF($J192="","",ROUND('Opening Balance'!$B$4+SUM($F$2:F192)-SUM($G$2:G192),2))</f>
        <v/>
      </c>
      <c r="J192" s="21">
        <f>IFERROR(MATCH(ROW()-1,$L$2:$L$3001,0),"")</f>
        <v/>
      </c>
      <c r="K192" s="34">
        <f>IF(AND('Daily Sale entry '!X192&lt;&gt;"",OR('Daily Sale entry '!AC192&lt;&gt;"",'Daily Sale entry '!AD192&lt;&gt;"")),'Daily Sale entry '!X192+ROW()/10000000,"")</f>
        <v/>
      </c>
      <c r="L192" s="21">
        <f>IF(K192="","",COUNTIF($K$2:$K$3001,"&lt;"&amp;K192)+1)</f>
        <v/>
      </c>
    </row>
    <row r="193">
      <c r="A193" s="5">
        <f>IF($J193="","",IF($J193&lt;=1500,INDEX('Daily Sale entry '!$X$1:$X$1501,$J193+1),INDEX('Daily Sale entry '!$V$1:$V$1501,$J193-1499)))</f>
        <v/>
      </c>
      <c r="B193">
        <f>IF($J193="","",IF($J193&lt;=1500,INDEX('Daily Sale entry '!$Y$1:$Y$1501,$J193+1)&amp;"","Buyer cheque banked 买家支票存入"&amp;IF(INDEX('Daily Sale entry '!$U$1:$U$1501,$J193-1499)="","", " - "&amp;INDEX('Daily Sale entry '!$U$1:$U$1501,$J193-1499))))</f>
        <v/>
      </c>
      <c r="C193">
        <f>IF($J193="","",IF($J193&lt;=1500,INDEX('Daily Sale entry '!$Z$1:$Z$1501,$J193+1)&amp;"","Cheque deposit 支票存入 (buyer 买家)"))</f>
        <v/>
      </c>
      <c r="D193">
        <f>IF($J193="","",IF($J193&lt;=1500,INDEX('Daily Sale entry '!$AA$1:$AA$1501,$J193+1)&amp;"",INDEX('Daily Sale entry '!$P$1:$P$1501,$J193-1499)&amp;""))</f>
        <v/>
      </c>
      <c r="E193">
        <f>IF($J193="","",IF($J193&lt;=1500,IF(N(INDEX('Daily Sale entry '!$AB$1:$AB$1501,$J193+1))=0,"",INDEX('Daily Sale entry '!$AB$1:$AB$1501,$J193+1)),1))</f>
        <v/>
      </c>
      <c r="F193" s="6">
        <f>IF($J193="","",IF($J193&lt;=1500,N(INDEX('Daily Sale entry '!$AC$1:$AC$1501,$J193+1))-IF(AND('Opening Balance'!$B$15=1,INDEX('Daily Sale entry '!$Z$1:$Z$1501,$J193+1)="Online collection 网上收款",INDEX('Daily Sale entry '!$AA$1:$AA$1501,$J193+1)&lt;&gt;""),N(INDEX('Daily Sale entry '!$AC$1:$AC$1501,$J193+1))-TRUNC(N(INDEX('Daily Sale entry '!$AC$1:$AC$1501,$J193+1))),0),N(INDEX('Daily Sale entry '!$S$1:$S$1501,$J193-1499))-'Opening Balance'!$B$15*(N(INDEX('Daily Sale entry '!$S$1:$S$1501,$J193-1499))-TRUNC(N(INDEX('Daily Sale entry '!$S$1:$S$1501,$J193-1499))))))</f>
        <v/>
      </c>
      <c r="G193" s="6">
        <f>IF($J193="","",IF($J193&lt;=1500,N(INDEX('Daily Sale entry '!$AD$1:$AD$1501,$J193+1)),0))</f>
        <v/>
      </c>
      <c r="H193" s="6">
        <f>IF($J193="","",ROUND('Opening Balance'!$B$4+SUM($F$2:F193)-SUM($G$2:G193),2))</f>
        <v/>
      </c>
      <c r="J193" s="21">
        <f>IFERROR(MATCH(ROW()-1,$L$2:$L$3001,0),"")</f>
        <v/>
      </c>
      <c r="K193" s="34">
        <f>IF(AND('Daily Sale entry '!X193&lt;&gt;"",OR('Daily Sale entry '!AC193&lt;&gt;"",'Daily Sale entry '!AD193&lt;&gt;"")),'Daily Sale entry '!X193+ROW()/10000000,"")</f>
        <v/>
      </c>
      <c r="L193" s="21">
        <f>IF(K193="","",COUNTIF($K$2:$K$3001,"&lt;"&amp;K193)+1)</f>
        <v/>
      </c>
    </row>
    <row r="194">
      <c r="A194" s="5">
        <f>IF($J194="","",IF($J194&lt;=1500,INDEX('Daily Sale entry '!$X$1:$X$1501,$J194+1),INDEX('Daily Sale entry '!$V$1:$V$1501,$J194-1499)))</f>
        <v/>
      </c>
      <c r="B194">
        <f>IF($J194="","",IF($J194&lt;=1500,INDEX('Daily Sale entry '!$Y$1:$Y$1501,$J194+1)&amp;"","Buyer cheque banked 买家支票存入"&amp;IF(INDEX('Daily Sale entry '!$U$1:$U$1501,$J194-1499)="","", " - "&amp;INDEX('Daily Sale entry '!$U$1:$U$1501,$J194-1499))))</f>
        <v/>
      </c>
      <c r="C194">
        <f>IF($J194="","",IF($J194&lt;=1500,INDEX('Daily Sale entry '!$Z$1:$Z$1501,$J194+1)&amp;"","Cheque deposit 支票存入 (buyer 买家)"))</f>
        <v/>
      </c>
      <c r="D194">
        <f>IF($J194="","",IF($J194&lt;=1500,INDEX('Daily Sale entry '!$AA$1:$AA$1501,$J194+1)&amp;"",INDEX('Daily Sale entry '!$P$1:$P$1501,$J194-1499)&amp;""))</f>
        <v/>
      </c>
      <c r="E194">
        <f>IF($J194="","",IF($J194&lt;=1500,IF(N(INDEX('Daily Sale entry '!$AB$1:$AB$1501,$J194+1))=0,"",INDEX('Daily Sale entry '!$AB$1:$AB$1501,$J194+1)),1))</f>
        <v/>
      </c>
      <c r="F194" s="6">
        <f>IF($J194="","",IF($J194&lt;=1500,N(INDEX('Daily Sale entry '!$AC$1:$AC$1501,$J194+1))-IF(AND('Opening Balance'!$B$15=1,INDEX('Daily Sale entry '!$Z$1:$Z$1501,$J194+1)="Online collection 网上收款",INDEX('Daily Sale entry '!$AA$1:$AA$1501,$J194+1)&lt;&gt;""),N(INDEX('Daily Sale entry '!$AC$1:$AC$1501,$J194+1))-TRUNC(N(INDEX('Daily Sale entry '!$AC$1:$AC$1501,$J194+1))),0),N(INDEX('Daily Sale entry '!$S$1:$S$1501,$J194-1499))-'Opening Balance'!$B$15*(N(INDEX('Daily Sale entry '!$S$1:$S$1501,$J194-1499))-TRUNC(N(INDEX('Daily Sale entry '!$S$1:$S$1501,$J194-1499))))))</f>
        <v/>
      </c>
      <c r="G194" s="6">
        <f>IF($J194="","",IF($J194&lt;=1500,N(INDEX('Daily Sale entry '!$AD$1:$AD$1501,$J194+1)),0))</f>
        <v/>
      </c>
      <c r="H194" s="6">
        <f>IF($J194="","",ROUND('Opening Balance'!$B$4+SUM($F$2:F194)-SUM($G$2:G194),2))</f>
        <v/>
      </c>
      <c r="J194" s="21">
        <f>IFERROR(MATCH(ROW()-1,$L$2:$L$3001,0),"")</f>
        <v/>
      </c>
      <c r="K194" s="34">
        <f>IF(AND('Daily Sale entry '!X194&lt;&gt;"",OR('Daily Sale entry '!AC194&lt;&gt;"",'Daily Sale entry '!AD194&lt;&gt;"")),'Daily Sale entry '!X194+ROW()/10000000,"")</f>
        <v/>
      </c>
      <c r="L194" s="21">
        <f>IF(K194="","",COUNTIF($K$2:$K$3001,"&lt;"&amp;K194)+1)</f>
        <v/>
      </c>
    </row>
    <row r="195">
      <c r="A195" s="5">
        <f>IF($J195="","",IF($J195&lt;=1500,INDEX('Daily Sale entry '!$X$1:$X$1501,$J195+1),INDEX('Daily Sale entry '!$V$1:$V$1501,$J195-1499)))</f>
        <v/>
      </c>
      <c r="B195">
        <f>IF($J195="","",IF($J195&lt;=1500,INDEX('Daily Sale entry '!$Y$1:$Y$1501,$J195+1)&amp;"","Buyer cheque banked 买家支票存入"&amp;IF(INDEX('Daily Sale entry '!$U$1:$U$1501,$J195-1499)="","", " - "&amp;INDEX('Daily Sale entry '!$U$1:$U$1501,$J195-1499))))</f>
        <v/>
      </c>
      <c r="C195">
        <f>IF($J195="","",IF($J195&lt;=1500,INDEX('Daily Sale entry '!$Z$1:$Z$1501,$J195+1)&amp;"","Cheque deposit 支票存入 (buyer 买家)"))</f>
        <v/>
      </c>
      <c r="D195">
        <f>IF($J195="","",IF($J195&lt;=1500,INDEX('Daily Sale entry '!$AA$1:$AA$1501,$J195+1)&amp;"",INDEX('Daily Sale entry '!$P$1:$P$1501,$J195-1499)&amp;""))</f>
        <v/>
      </c>
      <c r="E195">
        <f>IF($J195="","",IF($J195&lt;=1500,IF(N(INDEX('Daily Sale entry '!$AB$1:$AB$1501,$J195+1))=0,"",INDEX('Daily Sale entry '!$AB$1:$AB$1501,$J195+1)),1))</f>
        <v/>
      </c>
      <c r="F195" s="6">
        <f>IF($J195="","",IF($J195&lt;=1500,N(INDEX('Daily Sale entry '!$AC$1:$AC$1501,$J195+1))-IF(AND('Opening Balance'!$B$15=1,INDEX('Daily Sale entry '!$Z$1:$Z$1501,$J195+1)="Online collection 网上收款",INDEX('Daily Sale entry '!$AA$1:$AA$1501,$J195+1)&lt;&gt;""),N(INDEX('Daily Sale entry '!$AC$1:$AC$1501,$J195+1))-TRUNC(N(INDEX('Daily Sale entry '!$AC$1:$AC$1501,$J195+1))),0),N(INDEX('Daily Sale entry '!$S$1:$S$1501,$J195-1499))-'Opening Balance'!$B$15*(N(INDEX('Daily Sale entry '!$S$1:$S$1501,$J195-1499))-TRUNC(N(INDEX('Daily Sale entry '!$S$1:$S$1501,$J195-1499))))))</f>
        <v/>
      </c>
      <c r="G195" s="6">
        <f>IF($J195="","",IF($J195&lt;=1500,N(INDEX('Daily Sale entry '!$AD$1:$AD$1501,$J195+1)),0))</f>
        <v/>
      </c>
      <c r="H195" s="6">
        <f>IF($J195="","",ROUND('Opening Balance'!$B$4+SUM($F$2:F195)-SUM($G$2:G195),2))</f>
        <v/>
      </c>
      <c r="J195" s="21">
        <f>IFERROR(MATCH(ROW()-1,$L$2:$L$3001,0),"")</f>
        <v/>
      </c>
      <c r="K195" s="34">
        <f>IF(AND('Daily Sale entry '!X195&lt;&gt;"",OR('Daily Sale entry '!AC195&lt;&gt;"",'Daily Sale entry '!AD195&lt;&gt;"")),'Daily Sale entry '!X195+ROW()/10000000,"")</f>
        <v/>
      </c>
      <c r="L195" s="21">
        <f>IF(K195="","",COUNTIF($K$2:$K$3001,"&lt;"&amp;K195)+1)</f>
        <v/>
      </c>
    </row>
    <row r="196">
      <c r="A196" s="5">
        <f>IF($J196="","",IF($J196&lt;=1500,INDEX('Daily Sale entry '!$X$1:$X$1501,$J196+1),INDEX('Daily Sale entry '!$V$1:$V$1501,$J196-1499)))</f>
        <v/>
      </c>
      <c r="B196">
        <f>IF($J196="","",IF($J196&lt;=1500,INDEX('Daily Sale entry '!$Y$1:$Y$1501,$J196+1)&amp;"","Buyer cheque banked 买家支票存入"&amp;IF(INDEX('Daily Sale entry '!$U$1:$U$1501,$J196-1499)="","", " - "&amp;INDEX('Daily Sale entry '!$U$1:$U$1501,$J196-1499))))</f>
        <v/>
      </c>
      <c r="C196">
        <f>IF($J196="","",IF($J196&lt;=1500,INDEX('Daily Sale entry '!$Z$1:$Z$1501,$J196+1)&amp;"","Cheque deposit 支票存入 (buyer 买家)"))</f>
        <v/>
      </c>
      <c r="D196">
        <f>IF($J196="","",IF($J196&lt;=1500,INDEX('Daily Sale entry '!$AA$1:$AA$1501,$J196+1)&amp;"",INDEX('Daily Sale entry '!$P$1:$P$1501,$J196-1499)&amp;""))</f>
        <v/>
      </c>
      <c r="E196">
        <f>IF($J196="","",IF($J196&lt;=1500,IF(N(INDEX('Daily Sale entry '!$AB$1:$AB$1501,$J196+1))=0,"",INDEX('Daily Sale entry '!$AB$1:$AB$1501,$J196+1)),1))</f>
        <v/>
      </c>
      <c r="F196" s="6">
        <f>IF($J196="","",IF($J196&lt;=1500,N(INDEX('Daily Sale entry '!$AC$1:$AC$1501,$J196+1))-IF(AND('Opening Balance'!$B$15=1,INDEX('Daily Sale entry '!$Z$1:$Z$1501,$J196+1)="Online collection 网上收款",INDEX('Daily Sale entry '!$AA$1:$AA$1501,$J196+1)&lt;&gt;""),N(INDEX('Daily Sale entry '!$AC$1:$AC$1501,$J196+1))-TRUNC(N(INDEX('Daily Sale entry '!$AC$1:$AC$1501,$J196+1))),0),N(INDEX('Daily Sale entry '!$S$1:$S$1501,$J196-1499))-'Opening Balance'!$B$15*(N(INDEX('Daily Sale entry '!$S$1:$S$1501,$J196-1499))-TRUNC(N(INDEX('Daily Sale entry '!$S$1:$S$1501,$J196-1499))))))</f>
        <v/>
      </c>
      <c r="G196" s="6">
        <f>IF($J196="","",IF($J196&lt;=1500,N(INDEX('Daily Sale entry '!$AD$1:$AD$1501,$J196+1)),0))</f>
        <v/>
      </c>
      <c r="H196" s="6">
        <f>IF($J196="","",ROUND('Opening Balance'!$B$4+SUM($F$2:F196)-SUM($G$2:G196),2))</f>
        <v/>
      </c>
      <c r="J196" s="21">
        <f>IFERROR(MATCH(ROW()-1,$L$2:$L$3001,0),"")</f>
        <v/>
      </c>
      <c r="K196" s="34">
        <f>IF(AND('Daily Sale entry '!X196&lt;&gt;"",OR('Daily Sale entry '!AC196&lt;&gt;"",'Daily Sale entry '!AD196&lt;&gt;"")),'Daily Sale entry '!X196+ROW()/10000000,"")</f>
        <v/>
      </c>
      <c r="L196" s="21">
        <f>IF(K196="","",COUNTIF($K$2:$K$3001,"&lt;"&amp;K196)+1)</f>
        <v/>
      </c>
    </row>
    <row r="197">
      <c r="A197" s="5">
        <f>IF($J197="","",IF($J197&lt;=1500,INDEX('Daily Sale entry '!$X$1:$X$1501,$J197+1),INDEX('Daily Sale entry '!$V$1:$V$1501,$J197-1499)))</f>
        <v/>
      </c>
      <c r="B197">
        <f>IF($J197="","",IF($J197&lt;=1500,INDEX('Daily Sale entry '!$Y$1:$Y$1501,$J197+1)&amp;"","Buyer cheque banked 买家支票存入"&amp;IF(INDEX('Daily Sale entry '!$U$1:$U$1501,$J197-1499)="","", " - "&amp;INDEX('Daily Sale entry '!$U$1:$U$1501,$J197-1499))))</f>
        <v/>
      </c>
      <c r="C197">
        <f>IF($J197="","",IF($J197&lt;=1500,INDEX('Daily Sale entry '!$Z$1:$Z$1501,$J197+1)&amp;"","Cheque deposit 支票存入 (buyer 买家)"))</f>
        <v/>
      </c>
      <c r="D197">
        <f>IF($J197="","",IF($J197&lt;=1500,INDEX('Daily Sale entry '!$AA$1:$AA$1501,$J197+1)&amp;"",INDEX('Daily Sale entry '!$P$1:$P$1501,$J197-1499)&amp;""))</f>
        <v/>
      </c>
      <c r="E197">
        <f>IF($J197="","",IF($J197&lt;=1500,IF(N(INDEX('Daily Sale entry '!$AB$1:$AB$1501,$J197+1))=0,"",INDEX('Daily Sale entry '!$AB$1:$AB$1501,$J197+1)),1))</f>
        <v/>
      </c>
      <c r="F197" s="6">
        <f>IF($J197="","",IF($J197&lt;=1500,N(INDEX('Daily Sale entry '!$AC$1:$AC$1501,$J197+1))-IF(AND('Opening Balance'!$B$15=1,INDEX('Daily Sale entry '!$Z$1:$Z$1501,$J197+1)="Online collection 网上收款",INDEX('Daily Sale entry '!$AA$1:$AA$1501,$J197+1)&lt;&gt;""),N(INDEX('Daily Sale entry '!$AC$1:$AC$1501,$J197+1))-TRUNC(N(INDEX('Daily Sale entry '!$AC$1:$AC$1501,$J197+1))),0),N(INDEX('Daily Sale entry '!$S$1:$S$1501,$J197-1499))-'Opening Balance'!$B$15*(N(INDEX('Daily Sale entry '!$S$1:$S$1501,$J197-1499))-TRUNC(N(INDEX('Daily Sale entry '!$S$1:$S$1501,$J197-1499))))))</f>
        <v/>
      </c>
      <c r="G197" s="6">
        <f>IF($J197="","",IF($J197&lt;=1500,N(INDEX('Daily Sale entry '!$AD$1:$AD$1501,$J197+1)),0))</f>
        <v/>
      </c>
      <c r="H197" s="6">
        <f>IF($J197="","",ROUND('Opening Balance'!$B$4+SUM($F$2:F197)-SUM($G$2:G197),2))</f>
        <v/>
      </c>
      <c r="J197" s="21">
        <f>IFERROR(MATCH(ROW()-1,$L$2:$L$3001,0),"")</f>
        <v/>
      </c>
      <c r="K197" s="34">
        <f>IF(AND('Daily Sale entry '!X197&lt;&gt;"",OR('Daily Sale entry '!AC197&lt;&gt;"",'Daily Sale entry '!AD197&lt;&gt;"")),'Daily Sale entry '!X197+ROW()/10000000,"")</f>
        <v/>
      </c>
      <c r="L197" s="21">
        <f>IF(K197="","",COUNTIF($K$2:$K$3001,"&lt;"&amp;K197)+1)</f>
        <v/>
      </c>
    </row>
    <row r="198">
      <c r="A198" s="5">
        <f>IF($J198="","",IF($J198&lt;=1500,INDEX('Daily Sale entry '!$X$1:$X$1501,$J198+1),INDEX('Daily Sale entry '!$V$1:$V$1501,$J198-1499)))</f>
        <v/>
      </c>
      <c r="B198">
        <f>IF($J198="","",IF($J198&lt;=1500,INDEX('Daily Sale entry '!$Y$1:$Y$1501,$J198+1)&amp;"","Buyer cheque banked 买家支票存入"&amp;IF(INDEX('Daily Sale entry '!$U$1:$U$1501,$J198-1499)="","", " - "&amp;INDEX('Daily Sale entry '!$U$1:$U$1501,$J198-1499))))</f>
        <v/>
      </c>
      <c r="C198">
        <f>IF($J198="","",IF($J198&lt;=1500,INDEX('Daily Sale entry '!$Z$1:$Z$1501,$J198+1)&amp;"","Cheque deposit 支票存入 (buyer 买家)"))</f>
        <v/>
      </c>
      <c r="D198">
        <f>IF($J198="","",IF($J198&lt;=1500,INDEX('Daily Sale entry '!$AA$1:$AA$1501,$J198+1)&amp;"",INDEX('Daily Sale entry '!$P$1:$P$1501,$J198-1499)&amp;""))</f>
        <v/>
      </c>
      <c r="E198">
        <f>IF($J198="","",IF($J198&lt;=1500,IF(N(INDEX('Daily Sale entry '!$AB$1:$AB$1501,$J198+1))=0,"",INDEX('Daily Sale entry '!$AB$1:$AB$1501,$J198+1)),1))</f>
        <v/>
      </c>
      <c r="F198" s="6">
        <f>IF($J198="","",IF($J198&lt;=1500,N(INDEX('Daily Sale entry '!$AC$1:$AC$1501,$J198+1))-IF(AND('Opening Balance'!$B$15=1,INDEX('Daily Sale entry '!$Z$1:$Z$1501,$J198+1)="Online collection 网上收款",INDEX('Daily Sale entry '!$AA$1:$AA$1501,$J198+1)&lt;&gt;""),N(INDEX('Daily Sale entry '!$AC$1:$AC$1501,$J198+1))-TRUNC(N(INDEX('Daily Sale entry '!$AC$1:$AC$1501,$J198+1))),0),N(INDEX('Daily Sale entry '!$S$1:$S$1501,$J198-1499))-'Opening Balance'!$B$15*(N(INDEX('Daily Sale entry '!$S$1:$S$1501,$J198-1499))-TRUNC(N(INDEX('Daily Sale entry '!$S$1:$S$1501,$J198-1499))))))</f>
        <v/>
      </c>
      <c r="G198" s="6">
        <f>IF($J198="","",IF($J198&lt;=1500,N(INDEX('Daily Sale entry '!$AD$1:$AD$1501,$J198+1)),0))</f>
        <v/>
      </c>
      <c r="H198" s="6">
        <f>IF($J198="","",ROUND('Opening Balance'!$B$4+SUM($F$2:F198)-SUM($G$2:G198),2))</f>
        <v/>
      </c>
      <c r="J198" s="21">
        <f>IFERROR(MATCH(ROW()-1,$L$2:$L$3001,0),"")</f>
        <v/>
      </c>
      <c r="K198" s="34">
        <f>IF(AND('Daily Sale entry '!X198&lt;&gt;"",OR('Daily Sale entry '!AC198&lt;&gt;"",'Daily Sale entry '!AD198&lt;&gt;"")),'Daily Sale entry '!X198+ROW()/10000000,"")</f>
        <v/>
      </c>
      <c r="L198" s="21">
        <f>IF(K198="","",COUNTIF($K$2:$K$3001,"&lt;"&amp;K198)+1)</f>
        <v/>
      </c>
    </row>
    <row r="199">
      <c r="A199" s="5">
        <f>IF($J199="","",IF($J199&lt;=1500,INDEX('Daily Sale entry '!$X$1:$X$1501,$J199+1),INDEX('Daily Sale entry '!$V$1:$V$1501,$J199-1499)))</f>
        <v/>
      </c>
      <c r="B199">
        <f>IF($J199="","",IF($J199&lt;=1500,INDEX('Daily Sale entry '!$Y$1:$Y$1501,$J199+1)&amp;"","Buyer cheque banked 买家支票存入"&amp;IF(INDEX('Daily Sale entry '!$U$1:$U$1501,$J199-1499)="","", " - "&amp;INDEX('Daily Sale entry '!$U$1:$U$1501,$J199-1499))))</f>
        <v/>
      </c>
      <c r="C199">
        <f>IF($J199="","",IF($J199&lt;=1500,INDEX('Daily Sale entry '!$Z$1:$Z$1501,$J199+1)&amp;"","Cheque deposit 支票存入 (buyer 买家)"))</f>
        <v/>
      </c>
      <c r="D199">
        <f>IF($J199="","",IF($J199&lt;=1500,INDEX('Daily Sale entry '!$AA$1:$AA$1501,$J199+1)&amp;"",INDEX('Daily Sale entry '!$P$1:$P$1501,$J199-1499)&amp;""))</f>
        <v/>
      </c>
      <c r="E199">
        <f>IF($J199="","",IF($J199&lt;=1500,IF(N(INDEX('Daily Sale entry '!$AB$1:$AB$1501,$J199+1))=0,"",INDEX('Daily Sale entry '!$AB$1:$AB$1501,$J199+1)),1))</f>
        <v/>
      </c>
      <c r="F199" s="6">
        <f>IF($J199="","",IF($J199&lt;=1500,N(INDEX('Daily Sale entry '!$AC$1:$AC$1501,$J199+1))-IF(AND('Opening Balance'!$B$15=1,INDEX('Daily Sale entry '!$Z$1:$Z$1501,$J199+1)="Online collection 网上收款",INDEX('Daily Sale entry '!$AA$1:$AA$1501,$J199+1)&lt;&gt;""),N(INDEX('Daily Sale entry '!$AC$1:$AC$1501,$J199+1))-TRUNC(N(INDEX('Daily Sale entry '!$AC$1:$AC$1501,$J199+1))),0),N(INDEX('Daily Sale entry '!$S$1:$S$1501,$J199-1499))-'Opening Balance'!$B$15*(N(INDEX('Daily Sale entry '!$S$1:$S$1501,$J199-1499))-TRUNC(N(INDEX('Daily Sale entry '!$S$1:$S$1501,$J199-1499))))))</f>
        <v/>
      </c>
      <c r="G199" s="6">
        <f>IF($J199="","",IF($J199&lt;=1500,N(INDEX('Daily Sale entry '!$AD$1:$AD$1501,$J199+1)),0))</f>
        <v/>
      </c>
      <c r="H199" s="6">
        <f>IF($J199="","",ROUND('Opening Balance'!$B$4+SUM($F$2:F199)-SUM($G$2:G199),2))</f>
        <v/>
      </c>
      <c r="J199" s="21">
        <f>IFERROR(MATCH(ROW()-1,$L$2:$L$3001,0),"")</f>
        <v/>
      </c>
      <c r="K199" s="34">
        <f>IF(AND('Daily Sale entry '!X199&lt;&gt;"",OR('Daily Sale entry '!AC199&lt;&gt;"",'Daily Sale entry '!AD199&lt;&gt;"")),'Daily Sale entry '!X199+ROW()/10000000,"")</f>
        <v/>
      </c>
      <c r="L199" s="21">
        <f>IF(K199="","",COUNTIF($K$2:$K$3001,"&lt;"&amp;K199)+1)</f>
        <v/>
      </c>
    </row>
    <row r="200">
      <c r="A200" s="5">
        <f>IF($J200="","",IF($J200&lt;=1500,INDEX('Daily Sale entry '!$X$1:$X$1501,$J200+1),INDEX('Daily Sale entry '!$V$1:$V$1501,$J200-1499)))</f>
        <v/>
      </c>
      <c r="B200">
        <f>IF($J200="","",IF($J200&lt;=1500,INDEX('Daily Sale entry '!$Y$1:$Y$1501,$J200+1)&amp;"","Buyer cheque banked 买家支票存入"&amp;IF(INDEX('Daily Sale entry '!$U$1:$U$1501,$J200-1499)="","", " - "&amp;INDEX('Daily Sale entry '!$U$1:$U$1501,$J200-1499))))</f>
        <v/>
      </c>
      <c r="C200">
        <f>IF($J200="","",IF($J200&lt;=1500,INDEX('Daily Sale entry '!$Z$1:$Z$1501,$J200+1)&amp;"","Cheque deposit 支票存入 (buyer 买家)"))</f>
        <v/>
      </c>
      <c r="D200">
        <f>IF($J200="","",IF($J200&lt;=1500,INDEX('Daily Sale entry '!$AA$1:$AA$1501,$J200+1)&amp;"",INDEX('Daily Sale entry '!$P$1:$P$1501,$J200-1499)&amp;""))</f>
        <v/>
      </c>
      <c r="E200">
        <f>IF($J200="","",IF($J200&lt;=1500,IF(N(INDEX('Daily Sale entry '!$AB$1:$AB$1501,$J200+1))=0,"",INDEX('Daily Sale entry '!$AB$1:$AB$1501,$J200+1)),1))</f>
        <v/>
      </c>
      <c r="F200" s="6">
        <f>IF($J200="","",IF($J200&lt;=1500,N(INDEX('Daily Sale entry '!$AC$1:$AC$1501,$J200+1))-IF(AND('Opening Balance'!$B$15=1,INDEX('Daily Sale entry '!$Z$1:$Z$1501,$J200+1)="Online collection 网上收款",INDEX('Daily Sale entry '!$AA$1:$AA$1501,$J200+1)&lt;&gt;""),N(INDEX('Daily Sale entry '!$AC$1:$AC$1501,$J200+1))-TRUNC(N(INDEX('Daily Sale entry '!$AC$1:$AC$1501,$J200+1))),0),N(INDEX('Daily Sale entry '!$S$1:$S$1501,$J200-1499))-'Opening Balance'!$B$15*(N(INDEX('Daily Sale entry '!$S$1:$S$1501,$J200-1499))-TRUNC(N(INDEX('Daily Sale entry '!$S$1:$S$1501,$J200-1499))))))</f>
        <v/>
      </c>
      <c r="G200" s="6">
        <f>IF($J200="","",IF($J200&lt;=1500,N(INDEX('Daily Sale entry '!$AD$1:$AD$1501,$J200+1)),0))</f>
        <v/>
      </c>
      <c r="H200" s="6">
        <f>IF($J200="","",ROUND('Opening Balance'!$B$4+SUM($F$2:F200)-SUM($G$2:G200),2))</f>
        <v/>
      </c>
      <c r="J200" s="21">
        <f>IFERROR(MATCH(ROW()-1,$L$2:$L$3001,0),"")</f>
        <v/>
      </c>
      <c r="K200" s="34">
        <f>IF(AND('Daily Sale entry '!X200&lt;&gt;"",OR('Daily Sale entry '!AC200&lt;&gt;"",'Daily Sale entry '!AD200&lt;&gt;"")),'Daily Sale entry '!X200+ROW()/10000000,"")</f>
        <v/>
      </c>
      <c r="L200" s="21">
        <f>IF(K200="","",COUNTIF($K$2:$K$3001,"&lt;"&amp;K200)+1)</f>
        <v/>
      </c>
    </row>
    <row r="201">
      <c r="A201" s="5">
        <f>IF($J201="","",IF($J201&lt;=1500,INDEX('Daily Sale entry '!$X$1:$X$1501,$J201+1),INDEX('Daily Sale entry '!$V$1:$V$1501,$J201-1499)))</f>
        <v/>
      </c>
      <c r="B201">
        <f>IF($J201="","",IF($J201&lt;=1500,INDEX('Daily Sale entry '!$Y$1:$Y$1501,$J201+1)&amp;"","Buyer cheque banked 买家支票存入"&amp;IF(INDEX('Daily Sale entry '!$U$1:$U$1501,$J201-1499)="","", " - "&amp;INDEX('Daily Sale entry '!$U$1:$U$1501,$J201-1499))))</f>
        <v/>
      </c>
      <c r="C201">
        <f>IF($J201="","",IF($J201&lt;=1500,INDEX('Daily Sale entry '!$Z$1:$Z$1501,$J201+1)&amp;"","Cheque deposit 支票存入 (buyer 买家)"))</f>
        <v/>
      </c>
      <c r="D201">
        <f>IF($J201="","",IF($J201&lt;=1500,INDEX('Daily Sale entry '!$AA$1:$AA$1501,$J201+1)&amp;"",INDEX('Daily Sale entry '!$P$1:$P$1501,$J201-1499)&amp;""))</f>
        <v/>
      </c>
      <c r="E201">
        <f>IF($J201="","",IF($J201&lt;=1500,IF(N(INDEX('Daily Sale entry '!$AB$1:$AB$1501,$J201+1))=0,"",INDEX('Daily Sale entry '!$AB$1:$AB$1501,$J201+1)),1))</f>
        <v/>
      </c>
      <c r="F201" s="6">
        <f>IF($J201="","",IF($J201&lt;=1500,N(INDEX('Daily Sale entry '!$AC$1:$AC$1501,$J201+1))-IF(AND('Opening Balance'!$B$15=1,INDEX('Daily Sale entry '!$Z$1:$Z$1501,$J201+1)="Online collection 网上收款",INDEX('Daily Sale entry '!$AA$1:$AA$1501,$J201+1)&lt;&gt;""),N(INDEX('Daily Sale entry '!$AC$1:$AC$1501,$J201+1))-TRUNC(N(INDEX('Daily Sale entry '!$AC$1:$AC$1501,$J201+1))),0),N(INDEX('Daily Sale entry '!$S$1:$S$1501,$J201-1499))-'Opening Balance'!$B$15*(N(INDEX('Daily Sale entry '!$S$1:$S$1501,$J201-1499))-TRUNC(N(INDEX('Daily Sale entry '!$S$1:$S$1501,$J201-1499))))))</f>
        <v/>
      </c>
      <c r="G201" s="6">
        <f>IF($J201="","",IF($J201&lt;=1500,N(INDEX('Daily Sale entry '!$AD$1:$AD$1501,$J201+1)),0))</f>
        <v/>
      </c>
      <c r="H201" s="6">
        <f>IF($J201="","",ROUND('Opening Balance'!$B$4+SUM($F$2:F201)-SUM($G$2:G201),2))</f>
        <v/>
      </c>
      <c r="J201" s="21">
        <f>IFERROR(MATCH(ROW()-1,$L$2:$L$3001,0),"")</f>
        <v/>
      </c>
      <c r="K201" s="34">
        <f>IF(AND('Daily Sale entry '!X201&lt;&gt;"",OR('Daily Sale entry '!AC201&lt;&gt;"",'Daily Sale entry '!AD201&lt;&gt;"")),'Daily Sale entry '!X201+ROW()/10000000,"")</f>
        <v/>
      </c>
      <c r="L201" s="21">
        <f>IF(K201="","",COUNTIF($K$2:$K$3001,"&lt;"&amp;K201)+1)</f>
        <v/>
      </c>
    </row>
    <row r="202">
      <c r="A202" s="5">
        <f>IF($J202="","",IF($J202&lt;=1500,INDEX('Daily Sale entry '!$X$1:$X$1501,$J202+1),INDEX('Daily Sale entry '!$V$1:$V$1501,$J202-1499)))</f>
        <v/>
      </c>
      <c r="B202">
        <f>IF($J202="","",IF($J202&lt;=1500,INDEX('Daily Sale entry '!$Y$1:$Y$1501,$J202+1)&amp;"","Buyer cheque banked 买家支票存入"&amp;IF(INDEX('Daily Sale entry '!$U$1:$U$1501,$J202-1499)="","", " - "&amp;INDEX('Daily Sale entry '!$U$1:$U$1501,$J202-1499))))</f>
        <v/>
      </c>
      <c r="C202">
        <f>IF($J202="","",IF($J202&lt;=1500,INDEX('Daily Sale entry '!$Z$1:$Z$1501,$J202+1)&amp;"","Cheque deposit 支票存入 (buyer 买家)"))</f>
        <v/>
      </c>
      <c r="D202">
        <f>IF($J202="","",IF($J202&lt;=1500,INDEX('Daily Sale entry '!$AA$1:$AA$1501,$J202+1)&amp;"",INDEX('Daily Sale entry '!$P$1:$P$1501,$J202-1499)&amp;""))</f>
        <v/>
      </c>
      <c r="E202">
        <f>IF($J202="","",IF($J202&lt;=1500,IF(N(INDEX('Daily Sale entry '!$AB$1:$AB$1501,$J202+1))=0,"",INDEX('Daily Sale entry '!$AB$1:$AB$1501,$J202+1)),1))</f>
        <v/>
      </c>
      <c r="F202" s="6">
        <f>IF($J202="","",IF($J202&lt;=1500,N(INDEX('Daily Sale entry '!$AC$1:$AC$1501,$J202+1))-IF(AND('Opening Balance'!$B$15=1,INDEX('Daily Sale entry '!$Z$1:$Z$1501,$J202+1)="Online collection 网上收款",INDEX('Daily Sale entry '!$AA$1:$AA$1501,$J202+1)&lt;&gt;""),N(INDEX('Daily Sale entry '!$AC$1:$AC$1501,$J202+1))-TRUNC(N(INDEX('Daily Sale entry '!$AC$1:$AC$1501,$J202+1))),0),N(INDEX('Daily Sale entry '!$S$1:$S$1501,$J202-1499))-'Opening Balance'!$B$15*(N(INDEX('Daily Sale entry '!$S$1:$S$1501,$J202-1499))-TRUNC(N(INDEX('Daily Sale entry '!$S$1:$S$1501,$J202-1499))))))</f>
        <v/>
      </c>
      <c r="G202" s="6">
        <f>IF($J202="","",IF($J202&lt;=1500,N(INDEX('Daily Sale entry '!$AD$1:$AD$1501,$J202+1)),0))</f>
        <v/>
      </c>
      <c r="H202" s="6">
        <f>IF($J202="","",ROUND('Opening Balance'!$B$4+SUM($F$2:F202)-SUM($G$2:G202),2))</f>
        <v/>
      </c>
      <c r="J202" s="21">
        <f>IFERROR(MATCH(ROW()-1,$L$2:$L$3001,0),"")</f>
        <v/>
      </c>
      <c r="K202" s="34">
        <f>IF(AND('Daily Sale entry '!X202&lt;&gt;"",OR('Daily Sale entry '!AC202&lt;&gt;"",'Daily Sale entry '!AD202&lt;&gt;"")),'Daily Sale entry '!X202+ROW()/10000000,"")</f>
        <v/>
      </c>
      <c r="L202" s="21">
        <f>IF(K202="","",COUNTIF($K$2:$K$3001,"&lt;"&amp;K202)+1)</f>
        <v/>
      </c>
    </row>
    <row r="203">
      <c r="A203" s="5">
        <f>IF($J203="","",IF($J203&lt;=1500,INDEX('Daily Sale entry '!$X$1:$X$1501,$J203+1),INDEX('Daily Sale entry '!$V$1:$V$1501,$J203-1499)))</f>
        <v/>
      </c>
      <c r="B203">
        <f>IF($J203="","",IF($J203&lt;=1500,INDEX('Daily Sale entry '!$Y$1:$Y$1501,$J203+1)&amp;"","Buyer cheque banked 买家支票存入"&amp;IF(INDEX('Daily Sale entry '!$U$1:$U$1501,$J203-1499)="","", " - "&amp;INDEX('Daily Sale entry '!$U$1:$U$1501,$J203-1499))))</f>
        <v/>
      </c>
      <c r="C203">
        <f>IF($J203="","",IF($J203&lt;=1500,INDEX('Daily Sale entry '!$Z$1:$Z$1501,$J203+1)&amp;"","Cheque deposit 支票存入 (buyer 买家)"))</f>
        <v/>
      </c>
      <c r="D203">
        <f>IF($J203="","",IF($J203&lt;=1500,INDEX('Daily Sale entry '!$AA$1:$AA$1501,$J203+1)&amp;"",INDEX('Daily Sale entry '!$P$1:$P$1501,$J203-1499)&amp;""))</f>
        <v/>
      </c>
      <c r="E203">
        <f>IF($J203="","",IF($J203&lt;=1500,IF(N(INDEX('Daily Sale entry '!$AB$1:$AB$1501,$J203+1))=0,"",INDEX('Daily Sale entry '!$AB$1:$AB$1501,$J203+1)),1))</f>
        <v/>
      </c>
      <c r="F203" s="6">
        <f>IF($J203="","",IF($J203&lt;=1500,N(INDEX('Daily Sale entry '!$AC$1:$AC$1501,$J203+1))-IF(AND('Opening Balance'!$B$15=1,INDEX('Daily Sale entry '!$Z$1:$Z$1501,$J203+1)="Online collection 网上收款",INDEX('Daily Sale entry '!$AA$1:$AA$1501,$J203+1)&lt;&gt;""),N(INDEX('Daily Sale entry '!$AC$1:$AC$1501,$J203+1))-TRUNC(N(INDEX('Daily Sale entry '!$AC$1:$AC$1501,$J203+1))),0),N(INDEX('Daily Sale entry '!$S$1:$S$1501,$J203-1499))-'Opening Balance'!$B$15*(N(INDEX('Daily Sale entry '!$S$1:$S$1501,$J203-1499))-TRUNC(N(INDEX('Daily Sale entry '!$S$1:$S$1501,$J203-1499))))))</f>
        <v/>
      </c>
      <c r="G203" s="6">
        <f>IF($J203="","",IF($J203&lt;=1500,N(INDEX('Daily Sale entry '!$AD$1:$AD$1501,$J203+1)),0))</f>
        <v/>
      </c>
      <c r="H203" s="6">
        <f>IF($J203="","",ROUND('Opening Balance'!$B$4+SUM($F$2:F203)-SUM($G$2:G203),2))</f>
        <v/>
      </c>
      <c r="J203" s="21">
        <f>IFERROR(MATCH(ROW()-1,$L$2:$L$3001,0),"")</f>
        <v/>
      </c>
      <c r="K203" s="34">
        <f>IF(AND('Daily Sale entry '!X203&lt;&gt;"",OR('Daily Sale entry '!AC203&lt;&gt;"",'Daily Sale entry '!AD203&lt;&gt;"")),'Daily Sale entry '!X203+ROW()/10000000,"")</f>
        <v/>
      </c>
      <c r="L203" s="21">
        <f>IF(K203="","",COUNTIF($K$2:$K$3001,"&lt;"&amp;K203)+1)</f>
        <v/>
      </c>
    </row>
    <row r="204">
      <c r="A204" s="5">
        <f>IF($J204="","",IF($J204&lt;=1500,INDEX('Daily Sale entry '!$X$1:$X$1501,$J204+1),INDEX('Daily Sale entry '!$V$1:$V$1501,$J204-1499)))</f>
        <v/>
      </c>
      <c r="B204">
        <f>IF($J204="","",IF($J204&lt;=1500,INDEX('Daily Sale entry '!$Y$1:$Y$1501,$J204+1)&amp;"","Buyer cheque banked 买家支票存入"&amp;IF(INDEX('Daily Sale entry '!$U$1:$U$1501,$J204-1499)="","", " - "&amp;INDEX('Daily Sale entry '!$U$1:$U$1501,$J204-1499))))</f>
        <v/>
      </c>
      <c r="C204">
        <f>IF($J204="","",IF($J204&lt;=1500,INDEX('Daily Sale entry '!$Z$1:$Z$1501,$J204+1)&amp;"","Cheque deposit 支票存入 (buyer 买家)"))</f>
        <v/>
      </c>
      <c r="D204">
        <f>IF($J204="","",IF($J204&lt;=1500,INDEX('Daily Sale entry '!$AA$1:$AA$1501,$J204+1)&amp;"",INDEX('Daily Sale entry '!$P$1:$P$1501,$J204-1499)&amp;""))</f>
        <v/>
      </c>
      <c r="E204">
        <f>IF($J204="","",IF($J204&lt;=1500,IF(N(INDEX('Daily Sale entry '!$AB$1:$AB$1501,$J204+1))=0,"",INDEX('Daily Sale entry '!$AB$1:$AB$1501,$J204+1)),1))</f>
        <v/>
      </c>
      <c r="F204" s="6">
        <f>IF($J204="","",IF($J204&lt;=1500,N(INDEX('Daily Sale entry '!$AC$1:$AC$1501,$J204+1))-IF(AND('Opening Balance'!$B$15=1,INDEX('Daily Sale entry '!$Z$1:$Z$1501,$J204+1)="Online collection 网上收款",INDEX('Daily Sale entry '!$AA$1:$AA$1501,$J204+1)&lt;&gt;""),N(INDEX('Daily Sale entry '!$AC$1:$AC$1501,$J204+1))-TRUNC(N(INDEX('Daily Sale entry '!$AC$1:$AC$1501,$J204+1))),0),N(INDEX('Daily Sale entry '!$S$1:$S$1501,$J204-1499))-'Opening Balance'!$B$15*(N(INDEX('Daily Sale entry '!$S$1:$S$1501,$J204-1499))-TRUNC(N(INDEX('Daily Sale entry '!$S$1:$S$1501,$J204-1499))))))</f>
        <v/>
      </c>
      <c r="G204" s="6">
        <f>IF($J204="","",IF($J204&lt;=1500,N(INDEX('Daily Sale entry '!$AD$1:$AD$1501,$J204+1)),0))</f>
        <v/>
      </c>
      <c r="H204" s="6">
        <f>IF($J204="","",ROUND('Opening Balance'!$B$4+SUM($F$2:F204)-SUM($G$2:G204),2))</f>
        <v/>
      </c>
      <c r="J204" s="21">
        <f>IFERROR(MATCH(ROW()-1,$L$2:$L$3001,0),"")</f>
        <v/>
      </c>
      <c r="K204" s="34">
        <f>IF(AND('Daily Sale entry '!X204&lt;&gt;"",OR('Daily Sale entry '!AC204&lt;&gt;"",'Daily Sale entry '!AD204&lt;&gt;"")),'Daily Sale entry '!X204+ROW()/10000000,"")</f>
        <v/>
      </c>
      <c r="L204" s="21">
        <f>IF(K204="","",COUNTIF($K$2:$K$3001,"&lt;"&amp;K204)+1)</f>
        <v/>
      </c>
    </row>
    <row r="205">
      <c r="A205" s="5">
        <f>IF($J205="","",IF($J205&lt;=1500,INDEX('Daily Sale entry '!$X$1:$X$1501,$J205+1),INDEX('Daily Sale entry '!$V$1:$V$1501,$J205-1499)))</f>
        <v/>
      </c>
      <c r="B205">
        <f>IF($J205="","",IF($J205&lt;=1500,INDEX('Daily Sale entry '!$Y$1:$Y$1501,$J205+1)&amp;"","Buyer cheque banked 买家支票存入"&amp;IF(INDEX('Daily Sale entry '!$U$1:$U$1501,$J205-1499)="","", " - "&amp;INDEX('Daily Sale entry '!$U$1:$U$1501,$J205-1499))))</f>
        <v/>
      </c>
      <c r="C205">
        <f>IF($J205="","",IF($J205&lt;=1500,INDEX('Daily Sale entry '!$Z$1:$Z$1501,$J205+1)&amp;"","Cheque deposit 支票存入 (buyer 买家)"))</f>
        <v/>
      </c>
      <c r="D205">
        <f>IF($J205="","",IF($J205&lt;=1500,INDEX('Daily Sale entry '!$AA$1:$AA$1501,$J205+1)&amp;"",INDEX('Daily Sale entry '!$P$1:$P$1501,$J205-1499)&amp;""))</f>
        <v/>
      </c>
      <c r="E205">
        <f>IF($J205="","",IF($J205&lt;=1500,IF(N(INDEX('Daily Sale entry '!$AB$1:$AB$1501,$J205+1))=0,"",INDEX('Daily Sale entry '!$AB$1:$AB$1501,$J205+1)),1))</f>
        <v/>
      </c>
      <c r="F205" s="6">
        <f>IF($J205="","",IF($J205&lt;=1500,N(INDEX('Daily Sale entry '!$AC$1:$AC$1501,$J205+1))-IF(AND('Opening Balance'!$B$15=1,INDEX('Daily Sale entry '!$Z$1:$Z$1501,$J205+1)="Online collection 网上收款",INDEX('Daily Sale entry '!$AA$1:$AA$1501,$J205+1)&lt;&gt;""),N(INDEX('Daily Sale entry '!$AC$1:$AC$1501,$J205+1))-TRUNC(N(INDEX('Daily Sale entry '!$AC$1:$AC$1501,$J205+1))),0),N(INDEX('Daily Sale entry '!$S$1:$S$1501,$J205-1499))-'Opening Balance'!$B$15*(N(INDEX('Daily Sale entry '!$S$1:$S$1501,$J205-1499))-TRUNC(N(INDEX('Daily Sale entry '!$S$1:$S$1501,$J205-1499))))))</f>
        <v/>
      </c>
      <c r="G205" s="6">
        <f>IF($J205="","",IF($J205&lt;=1500,N(INDEX('Daily Sale entry '!$AD$1:$AD$1501,$J205+1)),0))</f>
        <v/>
      </c>
      <c r="H205" s="6">
        <f>IF($J205="","",ROUND('Opening Balance'!$B$4+SUM($F$2:F205)-SUM($G$2:G205),2))</f>
        <v/>
      </c>
      <c r="J205" s="21">
        <f>IFERROR(MATCH(ROW()-1,$L$2:$L$3001,0),"")</f>
        <v/>
      </c>
      <c r="K205" s="34">
        <f>IF(AND('Daily Sale entry '!X205&lt;&gt;"",OR('Daily Sale entry '!AC205&lt;&gt;"",'Daily Sale entry '!AD205&lt;&gt;"")),'Daily Sale entry '!X205+ROW()/10000000,"")</f>
        <v/>
      </c>
      <c r="L205" s="21">
        <f>IF(K205="","",COUNTIF($K$2:$K$3001,"&lt;"&amp;K205)+1)</f>
        <v/>
      </c>
    </row>
    <row r="206">
      <c r="A206" s="5">
        <f>IF($J206="","",IF($J206&lt;=1500,INDEX('Daily Sale entry '!$X$1:$X$1501,$J206+1),INDEX('Daily Sale entry '!$V$1:$V$1501,$J206-1499)))</f>
        <v/>
      </c>
      <c r="B206">
        <f>IF($J206="","",IF($J206&lt;=1500,INDEX('Daily Sale entry '!$Y$1:$Y$1501,$J206+1)&amp;"","Buyer cheque banked 买家支票存入"&amp;IF(INDEX('Daily Sale entry '!$U$1:$U$1501,$J206-1499)="","", " - "&amp;INDEX('Daily Sale entry '!$U$1:$U$1501,$J206-1499))))</f>
        <v/>
      </c>
      <c r="C206">
        <f>IF($J206="","",IF($J206&lt;=1500,INDEX('Daily Sale entry '!$Z$1:$Z$1501,$J206+1)&amp;"","Cheque deposit 支票存入 (buyer 买家)"))</f>
        <v/>
      </c>
      <c r="D206">
        <f>IF($J206="","",IF($J206&lt;=1500,INDEX('Daily Sale entry '!$AA$1:$AA$1501,$J206+1)&amp;"",INDEX('Daily Sale entry '!$P$1:$P$1501,$J206-1499)&amp;""))</f>
        <v/>
      </c>
      <c r="E206">
        <f>IF($J206="","",IF($J206&lt;=1500,IF(N(INDEX('Daily Sale entry '!$AB$1:$AB$1501,$J206+1))=0,"",INDEX('Daily Sale entry '!$AB$1:$AB$1501,$J206+1)),1))</f>
        <v/>
      </c>
      <c r="F206" s="6">
        <f>IF($J206="","",IF($J206&lt;=1500,N(INDEX('Daily Sale entry '!$AC$1:$AC$1501,$J206+1))-IF(AND('Opening Balance'!$B$15=1,INDEX('Daily Sale entry '!$Z$1:$Z$1501,$J206+1)="Online collection 网上收款",INDEX('Daily Sale entry '!$AA$1:$AA$1501,$J206+1)&lt;&gt;""),N(INDEX('Daily Sale entry '!$AC$1:$AC$1501,$J206+1))-TRUNC(N(INDEX('Daily Sale entry '!$AC$1:$AC$1501,$J206+1))),0),N(INDEX('Daily Sale entry '!$S$1:$S$1501,$J206-1499))-'Opening Balance'!$B$15*(N(INDEX('Daily Sale entry '!$S$1:$S$1501,$J206-1499))-TRUNC(N(INDEX('Daily Sale entry '!$S$1:$S$1501,$J206-1499))))))</f>
        <v/>
      </c>
      <c r="G206" s="6">
        <f>IF($J206="","",IF($J206&lt;=1500,N(INDEX('Daily Sale entry '!$AD$1:$AD$1501,$J206+1)),0))</f>
        <v/>
      </c>
      <c r="H206" s="6">
        <f>IF($J206="","",ROUND('Opening Balance'!$B$4+SUM($F$2:F206)-SUM($G$2:G206),2))</f>
        <v/>
      </c>
      <c r="J206" s="21">
        <f>IFERROR(MATCH(ROW()-1,$L$2:$L$3001,0),"")</f>
        <v/>
      </c>
      <c r="K206" s="34">
        <f>IF(AND('Daily Sale entry '!X206&lt;&gt;"",OR('Daily Sale entry '!AC206&lt;&gt;"",'Daily Sale entry '!AD206&lt;&gt;"")),'Daily Sale entry '!X206+ROW()/10000000,"")</f>
        <v/>
      </c>
      <c r="L206" s="21">
        <f>IF(K206="","",COUNTIF($K$2:$K$3001,"&lt;"&amp;K206)+1)</f>
        <v/>
      </c>
    </row>
    <row r="207">
      <c r="A207" s="5">
        <f>IF($J207="","",IF($J207&lt;=1500,INDEX('Daily Sale entry '!$X$1:$X$1501,$J207+1),INDEX('Daily Sale entry '!$V$1:$V$1501,$J207-1499)))</f>
        <v/>
      </c>
      <c r="B207">
        <f>IF($J207="","",IF($J207&lt;=1500,INDEX('Daily Sale entry '!$Y$1:$Y$1501,$J207+1)&amp;"","Buyer cheque banked 买家支票存入"&amp;IF(INDEX('Daily Sale entry '!$U$1:$U$1501,$J207-1499)="","", " - "&amp;INDEX('Daily Sale entry '!$U$1:$U$1501,$J207-1499))))</f>
        <v/>
      </c>
      <c r="C207">
        <f>IF($J207="","",IF($J207&lt;=1500,INDEX('Daily Sale entry '!$Z$1:$Z$1501,$J207+1)&amp;"","Cheque deposit 支票存入 (buyer 买家)"))</f>
        <v/>
      </c>
      <c r="D207">
        <f>IF($J207="","",IF($J207&lt;=1500,INDEX('Daily Sale entry '!$AA$1:$AA$1501,$J207+1)&amp;"",INDEX('Daily Sale entry '!$P$1:$P$1501,$J207-1499)&amp;""))</f>
        <v/>
      </c>
      <c r="E207">
        <f>IF($J207="","",IF($J207&lt;=1500,IF(N(INDEX('Daily Sale entry '!$AB$1:$AB$1501,$J207+1))=0,"",INDEX('Daily Sale entry '!$AB$1:$AB$1501,$J207+1)),1))</f>
        <v/>
      </c>
      <c r="F207" s="6">
        <f>IF($J207="","",IF($J207&lt;=1500,N(INDEX('Daily Sale entry '!$AC$1:$AC$1501,$J207+1))-IF(AND('Opening Balance'!$B$15=1,INDEX('Daily Sale entry '!$Z$1:$Z$1501,$J207+1)="Online collection 网上收款",INDEX('Daily Sale entry '!$AA$1:$AA$1501,$J207+1)&lt;&gt;""),N(INDEX('Daily Sale entry '!$AC$1:$AC$1501,$J207+1))-TRUNC(N(INDEX('Daily Sale entry '!$AC$1:$AC$1501,$J207+1))),0),N(INDEX('Daily Sale entry '!$S$1:$S$1501,$J207-1499))-'Opening Balance'!$B$15*(N(INDEX('Daily Sale entry '!$S$1:$S$1501,$J207-1499))-TRUNC(N(INDEX('Daily Sale entry '!$S$1:$S$1501,$J207-1499))))))</f>
        <v/>
      </c>
      <c r="G207" s="6">
        <f>IF($J207="","",IF($J207&lt;=1500,N(INDEX('Daily Sale entry '!$AD$1:$AD$1501,$J207+1)),0))</f>
        <v/>
      </c>
      <c r="H207" s="6">
        <f>IF($J207="","",ROUND('Opening Balance'!$B$4+SUM($F$2:F207)-SUM($G$2:G207),2))</f>
        <v/>
      </c>
      <c r="J207" s="21">
        <f>IFERROR(MATCH(ROW()-1,$L$2:$L$3001,0),"")</f>
        <v/>
      </c>
      <c r="K207" s="34">
        <f>IF(AND('Daily Sale entry '!X207&lt;&gt;"",OR('Daily Sale entry '!AC207&lt;&gt;"",'Daily Sale entry '!AD207&lt;&gt;"")),'Daily Sale entry '!X207+ROW()/10000000,"")</f>
        <v/>
      </c>
      <c r="L207" s="21">
        <f>IF(K207="","",COUNTIF($K$2:$K$3001,"&lt;"&amp;K207)+1)</f>
        <v/>
      </c>
    </row>
    <row r="208">
      <c r="A208" s="5">
        <f>IF($J208="","",IF($J208&lt;=1500,INDEX('Daily Sale entry '!$X$1:$X$1501,$J208+1),INDEX('Daily Sale entry '!$V$1:$V$1501,$J208-1499)))</f>
        <v/>
      </c>
      <c r="B208">
        <f>IF($J208="","",IF($J208&lt;=1500,INDEX('Daily Sale entry '!$Y$1:$Y$1501,$J208+1)&amp;"","Buyer cheque banked 买家支票存入"&amp;IF(INDEX('Daily Sale entry '!$U$1:$U$1501,$J208-1499)="","", " - "&amp;INDEX('Daily Sale entry '!$U$1:$U$1501,$J208-1499))))</f>
        <v/>
      </c>
      <c r="C208">
        <f>IF($J208="","",IF($J208&lt;=1500,INDEX('Daily Sale entry '!$Z$1:$Z$1501,$J208+1)&amp;"","Cheque deposit 支票存入 (buyer 买家)"))</f>
        <v/>
      </c>
      <c r="D208">
        <f>IF($J208="","",IF($J208&lt;=1500,INDEX('Daily Sale entry '!$AA$1:$AA$1501,$J208+1)&amp;"",INDEX('Daily Sale entry '!$P$1:$P$1501,$J208-1499)&amp;""))</f>
        <v/>
      </c>
      <c r="E208">
        <f>IF($J208="","",IF($J208&lt;=1500,IF(N(INDEX('Daily Sale entry '!$AB$1:$AB$1501,$J208+1))=0,"",INDEX('Daily Sale entry '!$AB$1:$AB$1501,$J208+1)),1))</f>
        <v/>
      </c>
      <c r="F208" s="6">
        <f>IF($J208="","",IF($J208&lt;=1500,N(INDEX('Daily Sale entry '!$AC$1:$AC$1501,$J208+1))-IF(AND('Opening Balance'!$B$15=1,INDEX('Daily Sale entry '!$Z$1:$Z$1501,$J208+1)="Online collection 网上收款",INDEX('Daily Sale entry '!$AA$1:$AA$1501,$J208+1)&lt;&gt;""),N(INDEX('Daily Sale entry '!$AC$1:$AC$1501,$J208+1))-TRUNC(N(INDEX('Daily Sale entry '!$AC$1:$AC$1501,$J208+1))),0),N(INDEX('Daily Sale entry '!$S$1:$S$1501,$J208-1499))-'Opening Balance'!$B$15*(N(INDEX('Daily Sale entry '!$S$1:$S$1501,$J208-1499))-TRUNC(N(INDEX('Daily Sale entry '!$S$1:$S$1501,$J208-1499))))))</f>
        <v/>
      </c>
      <c r="G208" s="6">
        <f>IF($J208="","",IF($J208&lt;=1500,N(INDEX('Daily Sale entry '!$AD$1:$AD$1501,$J208+1)),0))</f>
        <v/>
      </c>
      <c r="H208" s="6">
        <f>IF($J208="","",ROUND('Opening Balance'!$B$4+SUM($F$2:F208)-SUM($G$2:G208),2))</f>
        <v/>
      </c>
      <c r="J208" s="21">
        <f>IFERROR(MATCH(ROW()-1,$L$2:$L$3001,0),"")</f>
        <v/>
      </c>
      <c r="K208" s="34">
        <f>IF(AND('Daily Sale entry '!X208&lt;&gt;"",OR('Daily Sale entry '!AC208&lt;&gt;"",'Daily Sale entry '!AD208&lt;&gt;"")),'Daily Sale entry '!X208+ROW()/10000000,"")</f>
        <v/>
      </c>
      <c r="L208" s="21">
        <f>IF(K208="","",COUNTIF($K$2:$K$3001,"&lt;"&amp;K208)+1)</f>
        <v/>
      </c>
    </row>
    <row r="209">
      <c r="A209" s="5">
        <f>IF($J209="","",IF($J209&lt;=1500,INDEX('Daily Sale entry '!$X$1:$X$1501,$J209+1),INDEX('Daily Sale entry '!$V$1:$V$1501,$J209-1499)))</f>
        <v/>
      </c>
      <c r="B209">
        <f>IF($J209="","",IF($J209&lt;=1500,INDEX('Daily Sale entry '!$Y$1:$Y$1501,$J209+1)&amp;"","Buyer cheque banked 买家支票存入"&amp;IF(INDEX('Daily Sale entry '!$U$1:$U$1501,$J209-1499)="","", " - "&amp;INDEX('Daily Sale entry '!$U$1:$U$1501,$J209-1499))))</f>
        <v/>
      </c>
      <c r="C209">
        <f>IF($J209="","",IF($J209&lt;=1500,INDEX('Daily Sale entry '!$Z$1:$Z$1501,$J209+1)&amp;"","Cheque deposit 支票存入 (buyer 买家)"))</f>
        <v/>
      </c>
      <c r="D209">
        <f>IF($J209="","",IF($J209&lt;=1500,INDEX('Daily Sale entry '!$AA$1:$AA$1501,$J209+1)&amp;"",INDEX('Daily Sale entry '!$P$1:$P$1501,$J209-1499)&amp;""))</f>
        <v/>
      </c>
      <c r="E209">
        <f>IF($J209="","",IF($J209&lt;=1500,IF(N(INDEX('Daily Sale entry '!$AB$1:$AB$1501,$J209+1))=0,"",INDEX('Daily Sale entry '!$AB$1:$AB$1501,$J209+1)),1))</f>
        <v/>
      </c>
      <c r="F209" s="6">
        <f>IF($J209="","",IF($J209&lt;=1500,N(INDEX('Daily Sale entry '!$AC$1:$AC$1501,$J209+1))-IF(AND('Opening Balance'!$B$15=1,INDEX('Daily Sale entry '!$Z$1:$Z$1501,$J209+1)="Online collection 网上收款",INDEX('Daily Sale entry '!$AA$1:$AA$1501,$J209+1)&lt;&gt;""),N(INDEX('Daily Sale entry '!$AC$1:$AC$1501,$J209+1))-TRUNC(N(INDEX('Daily Sale entry '!$AC$1:$AC$1501,$J209+1))),0),N(INDEX('Daily Sale entry '!$S$1:$S$1501,$J209-1499))-'Opening Balance'!$B$15*(N(INDEX('Daily Sale entry '!$S$1:$S$1501,$J209-1499))-TRUNC(N(INDEX('Daily Sale entry '!$S$1:$S$1501,$J209-1499))))))</f>
        <v/>
      </c>
      <c r="G209" s="6">
        <f>IF($J209="","",IF($J209&lt;=1500,N(INDEX('Daily Sale entry '!$AD$1:$AD$1501,$J209+1)),0))</f>
        <v/>
      </c>
      <c r="H209" s="6">
        <f>IF($J209="","",ROUND('Opening Balance'!$B$4+SUM($F$2:F209)-SUM($G$2:G209),2))</f>
        <v/>
      </c>
      <c r="J209" s="21">
        <f>IFERROR(MATCH(ROW()-1,$L$2:$L$3001,0),"")</f>
        <v/>
      </c>
      <c r="K209" s="34">
        <f>IF(AND('Daily Sale entry '!X209&lt;&gt;"",OR('Daily Sale entry '!AC209&lt;&gt;"",'Daily Sale entry '!AD209&lt;&gt;"")),'Daily Sale entry '!X209+ROW()/10000000,"")</f>
        <v/>
      </c>
      <c r="L209" s="21">
        <f>IF(K209="","",COUNTIF($K$2:$K$3001,"&lt;"&amp;K209)+1)</f>
        <v/>
      </c>
    </row>
    <row r="210">
      <c r="A210" s="5">
        <f>IF($J210="","",IF($J210&lt;=1500,INDEX('Daily Sale entry '!$X$1:$X$1501,$J210+1),INDEX('Daily Sale entry '!$V$1:$V$1501,$J210-1499)))</f>
        <v/>
      </c>
      <c r="B210">
        <f>IF($J210="","",IF($J210&lt;=1500,INDEX('Daily Sale entry '!$Y$1:$Y$1501,$J210+1)&amp;"","Buyer cheque banked 买家支票存入"&amp;IF(INDEX('Daily Sale entry '!$U$1:$U$1501,$J210-1499)="","", " - "&amp;INDEX('Daily Sale entry '!$U$1:$U$1501,$J210-1499))))</f>
        <v/>
      </c>
      <c r="C210">
        <f>IF($J210="","",IF($J210&lt;=1500,INDEX('Daily Sale entry '!$Z$1:$Z$1501,$J210+1)&amp;"","Cheque deposit 支票存入 (buyer 买家)"))</f>
        <v/>
      </c>
      <c r="D210">
        <f>IF($J210="","",IF($J210&lt;=1500,INDEX('Daily Sale entry '!$AA$1:$AA$1501,$J210+1)&amp;"",INDEX('Daily Sale entry '!$P$1:$P$1501,$J210-1499)&amp;""))</f>
        <v/>
      </c>
      <c r="E210">
        <f>IF($J210="","",IF($J210&lt;=1500,IF(N(INDEX('Daily Sale entry '!$AB$1:$AB$1501,$J210+1))=0,"",INDEX('Daily Sale entry '!$AB$1:$AB$1501,$J210+1)),1))</f>
        <v/>
      </c>
      <c r="F210" s="6">
        <f>IF($J210="","",IF($J210&lt;=1500,N(INDEX('Daily Sale entry '!$AC$1:$AC$1501,$J210+1))-IF(AND('Opening Balance'!$B$15=1,INDEX('Daily Sale entry '!$Z$1:$Z$1501,$J210+1)="Online collection 网上收款",INDEX('Daily Sale entry '!$AA$1:$AA$1501,$J210+1)&lt;&gt;""),N(INDEX('Daily Sale entry '!$AC$1:$AC$1501,$J210+1))-TRUNC(N(INDEX('Daily Sale entry '!$AC$1:$AC$1501,$J210+1))),0),N(INDEX('Daily Sale entry '!$S$1:$S$1501,$J210-1499))-'Opening Balance'!$B$15*(N(INDEX('Daily Sale entry '!$S$1:$S$1501,$J210-1499))-TRUNC(N(INDEX('Daily Sale entry '!$S$1:$S$1501,$J210-1499))))))</f>
        <v/>
      </c>
      <c r="G210" s="6">
        <f>IF($J210="","",IF($J210&lt;=1500,N(INDEX('Daily Sale entry '!$AD$1:$AD$1501,$J210+1)),0))</f>
        <v/>
      </c>
      <c r="H210" s="6">
        <f>IF($J210="","",ROUND('Opening Balance'!$B$4+SUM($F$2:F210)-SUM($G$2:G210),2))</f>
        <v/>
      </c>
      <c r="J210" s="21">
        <f>IFERROR(MATCH(ROW()-1,$L$2:$L$3001,0),"")</f>
        <v/>
      </c>
      <c r="K210" s="34">
        <f>IF(AND('Daily Sale entry '!X210&lt;&gt;"",OR('Daily Sale entry '!AC210&lt;&gt;"",'Daily Sale entry '!AD210&lt;&gt;"")),'Daily Sale entry '!X210+ROW()/10000000,"")</f>
        <v/>
      </c>
      <c r="L210" s="21">
        <f>IF(K210="","",COUNTIF($K$2:$K$3001,"&lt;"&amp;K210)+1)</f>
        <v/>
      </c>
    </row>
    <row r="211">
      <c r="A211" s="5">
        <f>IF($J211="","",IF($J211&lt;=1500,INDEX('Daily Sale entry '!$X$1:$X$1501,$J211+1),INDEX('Daily Sale entry '!$V$1:$V$1501,$J211-1499)))</f>
        <v/>
      </c>
      <c r="B211">
        <f>IF($J211="","",IF($J211&lt;=1500,INDEX('Daily Sale entry '!$Y$1:$Y$1501,$J211+1)&amp;"","Buyer cheque banked 买家支票存入"&amp;IF(INDEX('Daily Sale entry '!$U$1:$U$1501,$J211-1499)="","", " - "&amp;INDEX('Daily Sale entry '!$U$1:$U$1501,$J211-1499))))</f>
        <v/>
      </c>
      <c r="C211">
        <f>IF($J211="","",IF($J211&lt;=1500,INDEX('Daily Sale entry '!$Z$1:$Z$1501,$J211+1)&amp;"","Cheque deposit 支票存入 (buyer 买家)"))</f>
        <v/>
      </c>
      <c r="D211">
        <f>IF($J211="","",IF($J211&lt;=1500,INDEX('Daily Sale entry '!$AA$1:$AA$1501,$J211+1)&amp;"",INDEX('Daily Sale entry '!$P$1:$P$1501,$J211-1499)&amp;""))</f>
        <v/>
      </c>
      <c r="E211">
        <f>IF($J211="","",IF($J211&lt;=1500,IF(N(INDEX('Daily Sale entry '!$AB$1:$AB$1501,$J211+1))=0,"",INDEX('Daily Sale entry '!$AB$1:$AB$1501,$J211+1)),1))</f>
        <v/>
      </c>
      <c r="F211" s="6">
        <f>IF($J211="","",IF($J211&lt;=1500,N(INDEX('Daily Sale entry '!$AC$1:$AC$1501,$J211+1))-IF(AND('Opening Balance'!$B$15=1,INDEX('Daily Sale entry '!$Z$1:$Z$1501,$J211+1)="Online collection 网上收款",INDEX('Daily Sale entry '!$AA$1:$AA$1501,$J211+1)&lt;&gt;""),N(INDEX('Daily Sale entry '!$AC$1:$AC$1501,$J211+1))-TRUNC(N(INDEX('Daily Sale entry '!$AC$1:$AC$1501,$J211+1))),0),N(INDEX('Daily Sale entry '!$S$1:$S$1501,$J211-1499))-'Opening Balance'!$B$15*(N(INDEX('Daily Sale entry '!$S$1:$S$1501,$J211-1499))-TRUNC(N(INDEX('Daily Sale entry '!$S$1:$S$1501,$J211-1499))))))</f>
        <v/>
      </c>
      <c r="G211" s="6">
        <f>IF($J211="","",IF($J211&lt;=1500,N(INDEX('Daily Sale entry '!$AD$1:$AD$1501,$J211+1)),0))</f>
        <v/>
      </c>
      <c r="H211" s="6">
        <f>IF($J211="","",ROUND('Opening Balance'!$B$4+SUM($F$2:F211)-SUM($G$2:G211),2))</f>
        <v/>
      </c>
      <c r="J211" s="21">
        <f>IFERROR(MATCH(ROW()-1,$L$2:$L$3001,0),"")</f>
        <v/>
      </c>
      <c r="K211" s="34">
        <f>IF(AND('Daily Sale entry '!X211&lt;&gt;"",OR('Daily Sale entry '!AC211&lt;&gt;"",'Daily Sale entry '!AD211&lt;&gt;"")),'Daily Sale entry '!X211+ROW()/10000000,"")</f>
        <v/>
      </c>
      <c r="L211" s="21">
        <f>IF(K211="","",COUNTIF($K$2:$K$3001,"&lt;"&amp;K211)+1)</f>
        <v/>
      </c>
    </row>
    <row r="212">
      <c r="A212" s="5">
        <f>IF($J212="","",IF($J212&lt;=1500,INDEX('Daily Sale entry '!$X$1:$X$1501,$J212+1),INDEX('Daily Sale entry '!$V$1:$V$1501,$J212-1499)))</f>
        <v/>
      </c>
      <c r="B212">
        <f>IF($J212="","",IF($J212&lt;=1500,INDEX('Daily Sale entry '!$Y$1:$Y$1501,$J212+1)&amp;"","Buyer cheque banked 买家支票存入"&amp;IF(INDEX('Daily Sale entry '!$U$1:$U$1501,$J212-1499)="","", " - "&amp;INDEX('Daily Sale entry '!$U$1:$U$1501,$J212-1499))))</f>
        <v/>
      </c>
      <c r="C212">
        <f>IF($J212="","",IF($J212&lt;=1500,INDEX('Daily Sale entry '!$Z$1:$Z$1501,$J212+1)&amp;"","Cheque deposit 支票存入 (buyer 买家)"))</f>
        <v/>
      </c>
      <c r="D212">
        <f>IF($J212="","",IF($J212&lt;=1500,INDEX('Daily Sale entry '!$AA$1:$AA$1501,$J212+1)&amp;"",INDEX('Daily Sale entry '!$P$1:$P$1501,$J212-1499)&amp;""))</f>
        <v/>
      </c>
      <c r="E212">
        <f>IF($J212="","",IF($J212&lt;=1500,IF(N(INDEX('Daily Sale entry '!$AB$1:$AB$1501,$J212+1))=0,"",INDEX('Daily Sale entry '!$AB$1:$AB$1501,$J212+1)),1))</f>
        <v/>
      </c>
      <c r="F212" s="6">
        <f>IF($J212="","",IF($J212&lt;=1500,N(INDEX('Daily Sale entry '!$AC$1:$AC$1501,$J212+1))-IF(AND('Opening Balance'!$B$15=1,INDEX('Daily Sale entry '!$Z$1:$Z$1501,$J212+1)="Online collection 网上收款",INDEX('Daily Sale entry '!$AA$1:$AA$1501,$J212+1)&lt;&gt;""),N(INDEX('Daily Sale entry '!$AC$1:$AC$1501,$J212+1))-TRUNC(N(INDEX('Daily Sale entry '!$AC$1:$AC$1501,$J212+1))),0),N(INDEX('Daily Sale entry '!$S$1:$S$1501,$J212-1499))-'Opening Balance'!$B$15*(N(INDEX('Daily Sale entry '!$S$1:$S$1501,$J212-1499))-TRUNC(N(INDEX('Daily Sale entry '!$S$1:$S$1501,$J212-1499))))))</f>
        <v/>
      </c>
      <c r="G212" s="6">
        <f>IF($J212="","",IF($J212&lt;=1500,N(INDEX('Daily Sale entry '!$AD$1:$AD$1501,$J212+1)),0))</f>
        <v/>
      </c>
      <c r="H212" s="6">
        <f>IF($J212="","",ROUND('Opening Balance'!$B$4+SUM($F$2:F212)-SUM($G$2:G212),2))</f>
        <v/>
      </c>
      <c r="J212" s="21">
        <f>IFERROR(MATCH(ROW()-1,$L$2:$L$3001,0),"")</f>
        <v/>
      </c>
      <c r="K212" s="34">
        <f>IF(AND('Daily Sale entry '!X212&lt;&gt;"",OR('Daily Sale entry '!AC212&lt;&gt;"",'Daily Sale entry '!AD212&lt;&gt;"")),'Daily Sale entry '!X212+ROW()/10000000,"")</f>
        <v/>
      </c>
      <c r="L212" s="21">
        <f>IF(K212="","",COUNTIF($K$2:$K$3001,"&lt;"&amp;K212)+1)</f>
        <v/>
      </c>
    </row>
    <row r="213">
      <c r="A213" s="5">
        <f>IF($J213="","",IF($J213&lt;=1500,INDEX('Daily Sale entry '!$X$1:$X$1501,$J213+1),INDEX('Daily Sale entry '!$V$1:$V$1501,$J213-1499)))</f>
        <v/>
      </c>
      <c r="B213">
        <f>IF($J213="","",IF($J213&lt;=1500,INDEX('Daily Sale entry '!$Y$1:$Y$1501,$J213+1)&amp;"","Buyer cheque banked 买家支票存入"&amp;IF(INDEX('Daily Sale entry '!$U$1:$U$1501,$J213-1499)="","", " - "&amp;INDEX('Daily Sale entry '!$U$1:$U$1501,$J213-1499))))</f>
        <v/>
      </c>
      <c r="C213">
        <f>IF($J213="","",IF($J213&lt;=1500,INDEX('Daily Sale entry '!$Z$1:$Z$1501,$J213+1)&amp;"","Cheque deposit 支票存入 (buyer 买家)"))</f>
        <v/>
      </c>
      <c r="D213">
        <f>IF($J213="","",IF($J213&lt;=1500,INDEX('Daily Sale entry '!$AA$1:$AA$1501,$J213+1)&amp;"",INDEX('Daily Sale entry '!$P$1:$P$1501,$J213-1499)&amp;""))</f>
        <v/>
      </c>
      <c r="E213">
        <f>IF($J213="","",IF($J213&lt;=1500,IF(N(INDEX('Daily Sale entry '!$AB$1:$AB$1501,$J213+1))=0,"",INDEX('Daily Sale entry '!$AB$1:$AB$1501,$J213+1)),1))</f>
        <v/>
      </c>
      <c r="F213" s="6">
        <f>IF($J213="","",IF($J213&lt;=1500,N(INDEX('Daily Sale entry '!$AC$1:$AC$1501,$J213+1))-IF(AND('Opening Balance'!$B$15=1,INDEX('Daily Sale entry '!$Z$1:$Z$1501,$J213+1)="Online collection 网上收款",INDEX('Daily Sale entry '!$AA$1:$AA$1501,$J213+1)&lt;&gt;""),N(INDEX('Daily Sale entry '!$AC$1:$AC$1501,$J213+1))-TRUNC(N(INDEX('Daily Sale entry '!$AC$1:$AC$1501,$J213+1))),0),N(INDEX('Daily Sale entry '!$S$1:$S$1501,$J213-1499))-'Opening Balance'!$B$15*(N(INDEX('Daily Sale entry '!$S$1:$S$1501,$J213-1499))-TRUNC(N(INDEX('Daily Sale entry '!$S$1:$S$1501,$J213-1499))))))</f>
        <v/>
      </c>
      <c r="G213" s="6">
        <f>IF($J213="","",IF($J213&lt;=1500,N(INDEX('Daily Sale entry '!$AD$1:$AD$1501,$J213+1)),0))</f>
        <v/>
      </c>
      <c r="H213" s="6">
        <f>IF($J213="","",ROUND('Opening Balance'!$B$4+SUM($F$2:F213)-SUM($G$2:G213),2))</f>
        <v/>
      </c>
      <c r="J213" s="21">
        <f>IFERROR(MATCH(ROW()-1,$L$2:$L$3001,0),"")</f>
        <v/>
      </c>
      <c r="K213" s="34">
        <f>IF(AND('Daily Sale entry '!X213&lt;&gt;"",OR('Daily Sale entry '!AC213&lt;&gt;"",'Daily Sale entry '!AD213&lt;&gt;"")),'Daily Sale entry '!X213+ROW()/10000000,"")</f>
        <v/>
      </c>
      <c r="L213" s="21">
        <f>IF(K213="","",COUNTIF($K$2:$K$3001,"&lt;"&amp;K213)+1)</f>
        <v/>
      </c>
    </row>
    <row r="214">
      <c r="A214" s="5">
        <f>IF($J214="","",IF($J214&lt;=1500,INDEX('Daily Sale entry '!$X$1:$X$1501,$J214+1),INDEX('Daily Sale entry '!$V$1:$V$1501,$J214-1499)))</f>
        <v/>
      </c>
      <c r="B214">
        <f>IF($J214="","",IF($J214&lt;=1500,INDEX('Daily Sale entry '!$Y$1:$Y$1501,$J214+1)&amp;"","Buyer cheque banked 买家支票存入"&amp;IF(INDEX('Daily Sale entry '!$U$1:$U$1501,$J214-1499)="","", " - "&amp;INDEX('Daily Sale entry '!$U$1:$U$1501,$J214-1499))))</f>
        <v/>
      </c>
      <c r="C214">
        <f>IF($J214="","",IF($J214&lt;=1500,INDEX('Daily Sale entry '!$Z$1:$Z$1501,$J214+1)&amp;"","Cheque deposit 支票存入 (buyer 买家)"))</f>
        <v/>
      </c>
      <c r="D214">
        <f>IF($J214="","",IF($J214&lt;=1500,INDEX('Daily Sale entry '!$AA$1:$AA$1501,$J214+1)&amp;"",INDEX('Daily Sale entry '!$P$1:$P$1501,$J214-1499)&amp;""))</f>
        <v/>
      </c>
      <c r="E214">
        <f>IF($J214="","",IF($J214&lt;=1500,IF(N(INDEX('Daily Sale entry '!$AB$1:$AB$1501,$J214+1))=0,"",INDEX('Daily Sale entry '!$AB$1:$AB$1501,$J214+1)),1))</f>
        <v/>
      </c>
      <c r="F214" s="6">
        <f>IF($J214="","",IF($J214&lt;=1500,N(INDEX('Daily Sale entry '!$AC$1:$AC$1501,$J214+1))-IF(AND('Opening Balance'!$B$15=1,INDEX('Daily Sale entry '!$Z$1:$Z$1501,$J214+1)="Online collection 网上收款",INDEX('Daily Sale entry '!$AA$1:$AA$1501,$J214+1)&lt;&gt;""),N(INDEX('Daily Sale entry '!$AC$1:$AC$1501,$J214+1))-TRUNC(N(INDEX('Daily Sale entry '!$AC$1:$AC$1501,$J214+1))),0),N(INDEX('Daily Sale entry '!$S$1:$S$1501,$J214-1499))-'Opening Balance'!$B$15*(N(INDEX('Daily Sale entry '!$S$1:$S$1501,$J214-1499))-TRUNC(N(INDEX('Daily Sale entry '!$S$1:$S$1501,$J214-1499))))))</f>
        <v/>
      </c>
      <c r="G214" s="6">
        <f>IF($J214="","",IF($J214&lt;=1500,N(INDEX('Daily Sale entry '!$AD$1:$AD$1501,$J214+1)),0))</f>
        <v/>
      </c>
      <c r="H214" s="6">
        <f>IF($J214="","",ROUND('Opening Balance'!$B$4+SUM($F$2:F214)-SUM($G$2:G214),2))</f>
        <v/>
      </c>
      <c r="J214" s="21">
        <f>IFERROR(MATCH(ROW()-1,$L$2:$L$3001,0),"")</f>
        <v/>
      </c>
      <c r="K214" s="34">
        <f>IF(AND('Daily Sale entry '!X214&lt;&gt;"",OR('Daily Sale entry '!AC214&lt;&gt;"",'Daily Sale entry '!AD214&lt;&gt;"")),'Daily Sale entry '!X214+ROW()/10000000,"")</f>
        <v/>
      </c>
      <c r="L214" s="21">
        <f>IF(K214="","",COUNTIF($K$2:$K$3001,"&lt;"&amp;K214)+1)</f>
        <v/>
      </c>
    </row>
    <row r="215">
      <c r="A215" s="5">
        <f>IF($J215="","",IF($J215&lt;=1500,INDEX('Daily Sale entry '!$X$1:$X$1501,$J215+1),INDEX('Daily Sale entry '!$V$1:$V$1501,$J215-1499)))</f>
        <v/>
      </c>
      <c r="B215">
        <f>IF($J215="","",IF($J215&lt;=1500,INDEX('Daily Sale entry '!$Y$1:$Y$1501,$J215+1)&amp;"","Buyer cheque banked 买家支票存入"&amp;IF(INDEX('Daily Sale entry '!$U$1:$U$1501,$J215-1499)="","", " - "&amp;INDEX('Daily Sale entry '!$U$1:$U$1501,$J215-1499))))</f>
        <v/>
      </c>
      <c r="C215">
        <f>IF($J215="","",IF($J215&lt;=1500,INDEX('Daily Sale entry '!$Z$1:$Z$1501,$J215+1)&amp;"","Cheque deposit 支票存入 (buyer 买家)"))</f>
        <v/>
      </c>
      <c r="D215">
        <f>IF($J215="","",IF($J215&lt;=1500,INDEX('Daily Sale entry '!$AA$1:$AA$1501,$J215+1)&amp;"",INDEX('Daily Sale entry '!$P$1:$P$1501,$J215-1499)&amp;""))</f>
        <v/>
      </c>
      <c r="E215">
        <f>IF($J215="","",IF($J215&lt;=1500,IF(N(INDEX('Daily Sale entry '!$AB$1:$AB$1501,$J215+1))=0,"",INDEX('Daily Sale entry '!$AB$1:$AB$1501,$J215+1)),1))</f>
        <v/>
      </c>
      <c r="F215" s="6">
        <f>IF($J215="","",IF($J215&lt;=1500,N(INDEX('Daily Sale entry '!$AC$1:$AC$1501,$J215+1))-IF(AND('Opening Balance'!$B$15=1,INDEX('Daily Sale entry '!$Z$1:$Z$1501,$J215+1)="Online collection 网上收款",INDEX('Daily Sale entry '!$AA$1:$AA$1501,$J215+1)&lt;&gt;""),N(INDEX('Daily Sale entry '!$AC$1:$AC$1501,$J215+1))-TRUNC(N(INDEX('Daily Sale entry '!$AC$1:$AC$1501,$J215+1))),0),N(INDEX('Daily Sale entry '!$S$1:$S$1501,$J215-1499))-'Opening Balance'!$B$15*(N(INDEX('Daily Sale entry '!$S$1:$S$1501,$J215-1499))-TRUNC(N(INDEX('Daily Sale entry '!$S$1:$S$1501,$J215-1499))))))</f>
        <v/>
      </c>
      <c r="G215" s="6">
        <f>IF($J215="","",IF($J215&lt;=1500,N(INDEX('Daily Sale entry '!$AD$1:$AD$1501,$J215+1)),0))</f>
        <v/>
      </c>
      <c r="H215" s="6">
        <f>IF($J215="","",ROUND('Opening Balance'!$B$4+SUM($F$2:F215)-SUM($G$2:G215),2))</f>
        <v/>
      </c>
      <c r="J215" s="21">
        <f>IFERROR(MATCH(ROW()-1,$L$2:$L$3001,0),"")</f>
        <v/>
      </c>
      <c r="K215" s="34">
        <f>IF(AND('Daily Sale entry '!X215&lt;&gt;"",OR('Daily Sale entry '!AC215&lt;&gt;"",'Daily Sale entry '!AD215&lt;&gt;"")),'Daily Sale entry '!X215+ROW()/10000000,"")</f>
        <v/>
      </c>
      <c r="L215" s="21">
        <f>IF(K215="","",COUNTIF($K$2:$K$3001,"&lt;"&amp;K215)+1)</f>
        <v/>
      </c>
    </row>
    <row r="216">
      <c r="A216" s="5">
        <f>IF($J216="","",IF($J216&lt;=1500,INDEX('Daily Sale entry '!$X$1:$X$1501,$J216+1),INDEX('Daily Sale entry '!$V$1:$V$1501,$J216-1499)))</f>
        <v/>
      </c>
      <c r="B216">
        <f>IF($J216="","",IF($J216&lt;=1500,INDEX('Daily Sale entry '!$Y$1:$Y$1501,$J216+1)&amp;"","Buyer cheque banked 买家支票存入"&amp;IF(INDEX('Daily Sale entry '!$U$1:$U$1501,$J216-1499)="","", " - "&amp;INDEX('Daily Sale entry '!$U$1:$U$1501,$J216-1499))))</f>
        <v/>
      </c>
      <c r="C216">
        <f>IF($J216="","",IF($J216&lt;=1500,INDEX('Daily Sale entry '!$Z$1:$Z$1501,$J216+1)&amp;"","Cheque deposit 支票存入 (buyer 买家)"))</f>
        <v/>
      </c>
      <c r="D216">
        <f>IF($J216="","",IF($J216&lt;=1500,INDEX('Daily Sale entry '!$AA$1:$AA$1501,$J216+1)&amp;"",INDEX('Daily Sale entry '!$P$1:$P$1501,$J216-1499)&amp;""))</f>
        <v/>
      </c>
      <c r="E216">
        <f>IF($J216="","",IF($J216&lt;=1500,IF(N(INDEX('Daily Sale entry '!$AB$1:$AB$1501,$J216+1))=0,"",INDEX('Daily Sale entry '!$AB$1:$AB$1501,$J216+1)),1))</f>
        <v/>
      </c>
      <c r="F216" s="6">
        <f>IF($J216="","",IF($J216&lt;=1500,N(INDEX('Daily Sale entry '!$AC$1:$AC$1501,$J216+1))-IF(AND('Opening Balance'!$B$15=1,INDEX('Daily Sale entry '!$Z$1:$Z$1501,$J216+1)="Online collection 网上收款",INDEX('Daily Sale entry '!$AA$1:$AA$1501,$J216+1)&lt;&gt;""),N(INDEX('Daily Sale entry '!$AC$1:$AC$1501,$J216+1))-TRUNC(N(INDEX('Daily Sale entry '!$AC$1:$AC$1501,$J216+1))),0),N(INDEX('Daily Sale entry '!$S$1:$S$1501,$J216-1499))-'Opening Balance'!$B$15*(N(INDEX('Daily Sale entry '!$S$1:$S$1501,$J216-1499))-TRUNC(N(INDEX('Daily Sale entry '!$S$1:$S$1501,$J216-1499))))))</f>
        <v/>
      </c>
      <c r="G216" s="6">
        <f>IF($J216="","",IF($J216&lt;=1500,N(INDEX('Daily Sale entry '!$AD$1:$AD$1501,$J216+1)),0))</f>
        <v/>
      </c>
      <c r="H216" s="6">
        <f>IF($J216="","",ROUND('Opening Balance'!$B$4+SUM($F$2:F216)-SUM($G$2:G216),2))</f>
        <v/>
      </c>
      <c r="J216" s="21">
        <f>IFERROR(MATCH(ROW()-1,$L$2:$L$3001,0),"")</f>
        <v/>
      </c>
      <c r="K216" s="34">
        <f>IF(AND('Daily Sale entry '!X216&lt;&gt;"",OR('Daily Sale entry '!AC216&lt;&gt;"",'Daily Sale entry '!AD216&lt;&gt;"")),'Daily Sale entry '!X216+ROW()/10000000,"")</f>
        <v/>
      </c>
      <c r="L216" s="21">
        <f>IF(K216="","",COUNTIF($K$2:$K$3001,"&lt;"&amp;K216)+1)</f>
        <v/>
      </c>
    </row>
    <row r="217">
      <c r="A217" s="5">
        <f>IF($J217="","",IF($J217&lt;=1500,INDEX('Daily Sale entry '!$X$1:$X$1501,$J217+1),INDEX('Daily Sale entry '!$V$1:$V$1501,$J217-1499)))</f>
        <v/>
      </c>
      <c r="B217">
        <f>IF($J217="","",IF($J217&lt;=1500,INDEX('Daily Sale entry '!$Y$1:$Y$1501,$J217+1)&amp;"","Buyer cheque banked 买家支票存入"&amp;IF(INDEX('Daily Sale entry '!$U$1:$U$1501,$J217-1499)="","", " - "&amp;INDEX('Daily Sale entry '!$U$1:$U$1501,$J217-1499))))</f>
        <v/>
      </c>
      <c r="C217">
        <f>IF($J217="","",IF($J217&lt;=1500,INDEX('Daily Sale entry '!$Z$1:$Z$1501,$J217+1)&amp;"","Cheque deposit 支票存入 (buyer 买家)"))</f>
        <v/>
      </c>
      <c r="D217">
        <f>IF($J217="","",IF($J217&lt;=1500,INDEX('Daily Sale entry '!$AA$1:$AA$1501,$J217+1)&amp;"",INDEX('Daily Sale entry '!$P$1:$P$1501,$J217-1499)&amp;""))</f>
        <v/>
      </c>
      <c r="E217">
        <f>IF($J217="","",IF($J217&lt;=1500,IF(N(INDEX('Daily Sale entry '!$AB$1:$AB$1501,$J217+1))=0,"",INDEX('Daily Sale entry '!$AB$1:$AB$1501,$J217+1)),1))</f>
        <v/>
      </c>
      <c r="F217" s="6">
        <f>IF($J217="","",IF($J217&lt;=1500,N(INDEX('Daily Sale entry '!$AC$1:$AC$1501,$J217+1))-IF(AND('Opening Balance'!$B$15=1,INDEX('Daily Sale entry '!$Z$1:$Z$1501,$J217+1)="Online collection 网上收款",INDEX('Daily Sale entry '!$AA$1:$AA$1501,$J217+1)&lt;&gt;""),N(INDEX('Daily Sale entry '!$AC$1:$AC$1501,$J217+1))-TRUNC(N(INDEX('Daily Sale entry '!$AC$1:$AC$1501,$J217+1))),0),N(INDEX('Daily Sale entry '!$S$1:$S$1501,$J217-1499))-'Opening Balance'!$B$15*(N(INDEX('Daily Sale entry '!$S$1:$S$1501,$J217-1499))-TRUNC(N(INDEX('Daily Sale entry '!$S$1:$S$1501,$J217-1499))))))</f>
        <v/>
      </c>
      <c r="G217" s="6">
        <f>IF($J217="","",IF($J217&lt;=1500,N(INDEX('Daily Sale entry '!$AD$1:$AD$1501,$J217+1)),0))</f>
        <v/>
      </c>
      <c r="H217" s="6">
        <f>IF($J217="","",ROUND('Opening Balance'!$B$4+SUM($F$2:F217)-SUM($G$2:G217),2))</f>
        <v/>
      </c>
      <c r="J217" s="21">
        <f>IFERROR(MATCH(ROW()-1,$L$2:$L$3001,0),"")</f>
        <v/>
      </c>
      <c r="K217" s="34">
        <f>IF(AND('Daily Sale entry '!X217&lt;&gt;"",OR('Daily Sale entry '!AC217&lt;&gt;"",'Daily Sale entry '!AD217&lt;&gt;"")),'Daily Sale entry '!X217+ROW()/10000000,"")</f>
        <v/>
      </c>
      <c r="L217" s="21">
        <f>IF(K217="","",COUNTIF($K$2:$K$3001,"&lt;"&amp;K217)+1)</f>
        <v/>
      </c>
    </row>
    <row r="218">
      <c r="A218" s="5">
        <f>IF($J218="","",IF($J218&lt;=1500,INDEX('Daily Sale entry '!$X$1:$X$1501,$J218+1),INDEX('Daily Sale entry '!$V$1:$V$1501,$J218-1499)))</f>
        <v/>
      </c>
      <c r="B218">
        <f>IF($J218="","",IF($J218&lt;=1500,INDEX('Daily Sale entry '!$Y$1:$Y$1501,$J218+1)&amp;"","Buyer cheque banked 买家支票存入"&amp;IF(INDEX('Daily Sale entry '!$U$1:$U$1501,$J218-1499)="","", " - "&amp;INDEX('Daily Sale entry '!$U$1:$U$1501,$J218-1499))))</f>
        <v/>
      </c>
      <c r="C218">
        <f>IF($J218="","",IF($J218&lt;=1500,INDEX('Daily Sale entry '!$Z$1:$Z$1501,$J218+1)&amp;"","Cheque deposit 支票存入 (buyer 买家)"))</f>
        <v/>
      </c>
      <c r="D218">
        <f>IF($J218="","",IF($J218&lt;=1500,INDEX('Daily Sale entry '!$AA$1:$AA$1501,$J218+1)&amp;"",INDEX('Daily Sale entry '!$P$1:$P$1501,$J218-1499)&amp;""))</f>
        <v/>
      </c>
      <c r="E218">
        <f>IF($J218="","",IF($J218&lt;=1500,IF(N(INDEX('Daily Sale entry '!$AB$1:$AB$1501,$J218+1))=0,"",INDEX('Daily Sale entry '!$AB$1:$AB$1501,$J218+1)),1))</f>
        <v/>
      </c>
      <c r="F218" s="6">
        <f>IF($J218="","",IF($J218&lt;=1500,N(INDEX('Daily Sale entry '!$AC$1:$AC$1501,$J218+1))-IF(AND('Opening Balance'!$B$15=1,INDEX('Daily Sale entry '!$Z$1:$Z$1501,$J218+1)="Online collection 网上收款",INDEX('Daily Sale entry '!$AA$1:$AA$1501,$J218+1)&lt;&gt;""),N(INDEX('Daily Sale entry '!$AC$1:$AC$1501,$J218+1))-TRUNC(N(INDEX('Daily Sale entry '!$AC$1:$AC$1501,$J218+1))),0),N(INDEX('Daily Sale entry '!$S$1:$S$1501,$J218-1499))-'Opening Balance'!$B$15*(N(INDEX('Daily Sale entry '!$S$1:$S$1501,$J218-1499))-TRUNC(N(INDEX('Daily Sale entry '!$S$1:$S$1501,$J218-1499))))))</f>
        <v/>
      </c>
      <c r="G218" s="6">
        <f>IF($J218="","",IF($J218&lt;=1500,N(INDEX('Daily Sale entry '!$AD$1:$AD$1501,$J218+1)),0))</f>
        <v/>
      </c>
      <c r="H218" s="6">
        <f>IF($J218="","",ROUND('Opening Balance'!$B$4+SUM($F$2:F218)-SUM($G$2:G218),2))</f>
        <v/>
      </c>
      <c r="J218" s="21">
        <f>IFERROR(MATCH(ROW()-1,$L$2:$L$3001,0),"")</f>
        <v/>
      </c>
      <c r="K218" s="34">
        <f>IF(AND('Daily Sale entry '!X218&lt;&gt;"",OR('Daily Sale entry '!AC218&lt;&gt;"",'Daily Sale entry '!AD218&lt;&gt;"")),'Daily Sale entry '!X218+ROW()/10000000,"")</f>
        <v/>
      </c>
      <c r="L218" s="21">
        <f>IF(K218="","",COUNTIF($K$2:$K$3001,"&lt;"&amp;K218)+1)</f>
        <v/>
      </c>
    </row>
    <row r="219">
      <c r="A219" s="5">
        <f>IF($J219="","",IF($J219&lt;=1500,INDEX('Daily Sale entry '!$X$1:$X$1501,$J219+1),INDEX('Daily Sale entry '!$V$1:$V$1501,$J219-1499)))</f>
        <v/>
      </c>
      <c r="B219">
        <f>IF($J219="","",IF($J219&lt;=1500,INDEX('Daily Sale entry '!$Y$1:$Y$1501,$J219+1)&amp;"","Buyer cheque banked 买家支票存入"&amp;IF(INDEX('Daily Sale entry '!$U$1:$U$1501,$J219-1499)="","", " - "&amp;INDEX('Daily Sale entry '!$U$1:$U$1501,$J219-1499))))</f>
        <v/>
      </c>
      <c r="C219">
        <f>IF($J219="","",IF($J219&lt;=1500,INDEX('Daily Sale entry '!$Z$1:$Z$1501,$J219+1)&amp;"","Cheque deposit 支票存入 (buyer 买家)"))</f>
        <v/>
      </c>
      <c r="D219">
        <f>IF($J219="","",IF($J219&lt;=1500,INDEX('Daily Sale entry '!$AA$1:$AA$1501,$J219+1)&amp;"",INDEX('Daily Sale entry '!$P$1:$P$1501,$J219-1499)&amp;""))</f>
        <v/>
      </c>
      <c r="E219">
        <f>IF($J219="","",IF($J219&lt;=1500,IF(N(INDEX('Daily Sale entry '!$AB$1:$AB$1501,$J219+1))=0,"",INDEX('Daily Sale entry '!$AB$1:$AB$1501,$J219+1)),1))</f>
        <v/>
      </c>
      <c r="F219" s="6">
        <f>IF($J219="","",IF($J219&lt;=1500,N(INDEX('Daily Sale entry '!$AC$1:$AC$1501,$J219+1))-IF(AND('Opening Balance'!$B$15=1,INDEX('Daily Sale entry '!$Z$1:$Z$1501,$J219+1)="Online collection 网上收款",INDEX('Daily Sale entry '!$AA$1:$AA$1501,$J219+1)&lt;&gt;""),N(INDEX('Daily Sale entry '!$AC$1:$AC$1501,$J219+1))-TRUNC(N(INDEX('Daily Sale entry '!$AC$1:$AC$1501,$J219+1))),0),N(INDEX('Daily Sale entry '!$S$1:$S$1501,$J219-1499))-'Opening Balance'!$B$15*(N(INDEX('Daily Sale entry '!$S$1:$S$1501,$J219-1499))-TRUNC(N(INDEX('Daily Sale entry '!$S$1:$S$1501,$J219-1499))))))</f>
        <v/>
      </c>
      <c r="G219" s="6">
        <f>IF($J219="","",IF($J219&lt;=1500,N(INDEX('Daily Sale entry '!$AD$1:$AD$1501,$J219+1)),0))</f>
        <v/>
      </c>
      <c r="H219" s="6">
        <f>IF($J219="","",ROUND('Opening Balance'!$B$4+SUM($F$2:F219)-SUM($G$2:G219),2))</f>
        <v/>
      </c>
      <c r="J219" s="21">
        <f>IFERROR(MATCH(ROW()-1,$L$2:$L$3001,0),"")</f>
        <v/>
      </c>
      <c r="K219" s="34">
        <f>IF(AND('Daily Sale entry '!X219&lt;&gt;"",OR('Daily Sale entry '!AC219&lt;&gt;"",'Daily Sale entry '!AD219&lt;&gt;"")),'Daily Sale entry '!X219+ROW()/10000000,"")</f>
        <v/>
      </c>
      <c r="L219" s="21">
        <f>IF(K219="","",COUNTIF($K$2:$K$3001,"&lt;"&amp;K219)+1)</f>
        <v/>
      </c>
    </row>
    <row r="220">
      <c r="A220" s="5">
        <f>IF($J220="","",IF($J220&lt;=1500,INDEX('Daily Sale entry '!$X$1:$X$1501,$J220+1),INDEX('Daily Sale entry '!$V$1:$V$1501,$J220-1499)))</f>
        <v/>
      </c>
      <c r="B220">
        <f>IF($J220="","",IF($J220&lt;=1500,INDEX('Daily Sale entry '!$Y$1:$Y$1501,$J220+1)&amp;"","Buyer cheque banked 买家支票存入"&amp;IF(INDEX('Daily Sale entry '!$U$1:$U$1501,$J220-1499)="","", " - "&amp;INDEX('Daily Sale entry '!$U$1:$U$1501,$J220-1499))))</f>
        <v/>
      </c>
      <c r="C220">
        <f>IF($J220="","",IF($J220&lt;=1500,INDEX('Daily Sale entry '!$Z$1:$Z$1501,$J220+1)&amp;"","Cheque deposit 支票存入 (buyer 买家)"))</f>
        <v/>
      </c>
      <c r="D220">
        <f>IF($J220="","",IF($J220&lt;=1500,INDEX('Daily Sale entry '!$AA$1:$AA$1501,$J220+1)&amp;"",INDEX('Daily Sale entry '!$P$1:$P$1501,$J220-1499)&amp;""))</f>
        <v/>
      </c>
      <c r="E220">
        <f>IF($J220="","",IF($J220&lt;=1500,IF(N(INDEX('Daily Sale entry '!$AB$1:$AB$1501,$J220+1))=0,"",INDEX('Daily Sale entry '!$AB$1:$AB$1501,$J220+1)),1))</f>
        <v/>
      </c>
      <c r="F220" s="6">
        <f>IF($J220="","",IF($J220&lt;=1500,N(INDEX('Daily Sale entry '!$AC$1:$AC$1501,$J220+1))-IF(AND('Opening Balance'!$B$15=1,INDEX('Daily Sale entry '!$Z$1:$Z$1501,$J220+1)="Online collection 网上收款",INDEX('Daily Sale entry '!$AA$1:$AA$1501,$J220+1)&lt;&gt;""),N(INDEX('Daily Sale entry '!$AC$1:$AC$1501,$J220+1))-TRUNC(N(INDEX('Daily Sale entry '!$AC$1:$AC$1501,$J220+1))),0),N(INDEX('Daily Sale entry '!$S$1:$S$1501,$J220-1499))-'Opening Balance'!$B$15*(N(INDEX('Daily Sale entry '!$S$1:$S$1501,$J220-1499))-TRUNC(N(INDEX('Daily Sale entry '!$S$1:$S$1501,$J220-1499))))))</f>
        <v/>
      </c>
      <c r="G220" s="6">
        <f>IF($J220="","",IF($J220&lt;=1500,N(INDEX('Daily Sale entry '!$AD$1:$AD$1501,$J220+1)),0))</f>
        <v/>
      </c>
      <c r="H220" s="6">
        <f>IF($J220="","",ROUND('Opening Balance'!$B$4+SUM($F$2:F220)-SUM($G$2:G220),2))</f>
        <v/>
      </c>
      <c r="J220" s="21">
        <f>IFERROR(MATCH(ROW()-1,$L$2:$L$3001,0),"")</f>
        <v/>
      </c>
      <c r="K220" s="34">
        <f>IF(AND('Daily Sale entry '!X220&lt;&gt;"",OR('Daily Sale entry '!AC220&lt;&gt;"",'Daily Sale entry '!AD220&lt;&gt;"")),'Daily Sale entry '!X220+ROW()/10000000,"")</f>
        <v/>
      </c>
      <c r="L220" s="21">
        <f>IF(K220="","",COUNTIF($K$2:$K$3001,"&lt;"&amp;K220)+1)</f>
        <v/>
      </c>
    </row>
    <row r="221">
      <c r="A221" s="5">
        <f>IF($J221="","",IF($J221&lt;=1500,INDEX('Daily Sale entry '!$X$1:$X$1501,$J221+1),INDEX('Daily Sale entry '!$V$1:$V$1501,$J221-1499)))</f>
        <v/>
      </c>
      <c r="B221">
        <f>IF($J221="","",IF($J221&lt;=1500,INDEX('Daily Sale entry '!$Y$1:$Y$1501,$J221+1)&amp;"","Buyer cheque banked 买家支票存入"&amp;IF(INDEX('Daily Sale entry '!$U$1:$U$1501,$J221-1499)="","", " - "&amp;INDEX('Daily Sale entry '!$U$1:$U$1501,$J221-1499))))</f>
        <v/>
      </c>
      <c r="C221">
        <f>IF($J221="","",IF($J221&lt;=1500,INDEX('Daily Sale entry '!$Z$1:$Z$1501,$J221+1)&amp;"","Cheque deposit 支票存入 (buyer 买家)"))</f>
        <v/>
      </c>
      <c r="D221">
        <f>IF($J221="","",IF($J221&lt;=1500,INDEX('Daily Sale entry '!$AA$1:$AA$1501,$J221+1)&amp;"",INDEX('Daily Sale entry '!$P$1:$P$1501,$J221-1499)&amp;""))</f>
        <v/>
      </c>
      <c r="E221">
        <f>IF($J221="","",IF($J221&lt;=1500,IF(N(INDEX('Daily Sale entry '!$AB$1:$AB$1501,$J221+1))=0,"",INDEX('Daily Sale entry '!$AB$1:$AB$1501,$J221+1)),1))</f>
        <v/>
      </c>
      <c r="F221" s="6">
        <f>IF($J221="","",IF($J221&lt;=1500,N(INDEX('Daily Sale entry '!$AC$1:$AC$1501,$J221+1))-IF(AND('Opening Balance'!$B$15=1,INDEX('Daily Sale entry '!$Z$1:$Z$1501,$J221+1)="Online collection 网上收款",INDEX('Daily Sale entry '!$AA$1:$AA$1501,$J221+1)&lt;&gt;""),N(INDEX('Daily Sale entry '!$AC$1:$AC$1501,$J221+1))-TRUNC(N(INDEX('Daily Sale entry '!$AC$1:$AC$1501,$J221+1))),0),N(INDEX('Daily Sale entry '!$S$1:$S$1501,$J221-1499))-'Opening Balance'!$B$15*(N(INDEX('Daily Sale entry '!$S$1:$S$1501,$J221-1499))-TRUNC(N(INDEX('Daily Sale entry '!$S$1:$S$1501,$J221-1499))))))</f>
        <v/>
      </c>
      <c r="G221" s="6">
        <f>IF($J221="","",IF($J221&lt;=1500,N(INDEX('Daily Sale entry '!$AD$1:$AD$1501,$J221+1)),0))</f>
        <v/>
      </c>
      <c r="H221" s="6">
        <f>IF($J221="","",ROUND('Opening Balance'!$B$4+SUM($F$2:F221)-SUM($G$2:G221),2))</f>
        <v/>
      </c>
      <c r="J221" s="21">
        <f>IFERROR(MATCH(ROW()-1,$L$2:$L$3001,0),"")</f>
        <v/>
      </c>
      <c r="K221" s="34">
        <f>IF(AND('Daily Sale entry '!X221&lt;&gt;"",OR('Daily Sale entry '!AC221&lt;&gt;"",'Daily Sale entry '!AD221&lt;&gt;"")),'Daily Sale entry '!X221+ROW()/10000000,"")</f>
        <v/>
      </c>
      <c r="L221" s="21">
        <f>IF(K221="","",COUNTIF($K$2:$K$3001,"&lt;"&amp;K221)+1)</f>
        <v/>
      </c>
    </row>
    <row r="222">
      <c r="A222" s="5">
        <f>IF($J222="","",IF($J222&lt;=1500,INDEX('Daily Sale entry '!$X$1:$X$1501,$J222+1),INDEX('Daily Sale entry '!$V$1:$V$1501,$J222-1499)))</f>
        <v/>
      </c>
      <c r="B222">
        <f>IF($J222="","",IF($J222&lt;=1500,INDEX('Daily Sale entry '!$Y$1:$Y$1501,$J222+1)&amp;"","Buyer cheque banked 买家支票存入"&amp;IF(INDEX('Daily Sale entry '!$U$1:$U$1501,$J222-1499)="","", " - "&amp;INDEX('Daily Sale entry '!$U$1:$U$1501,$J222-1499))))</f>
        <v/>
      </c>
      <c r="C222">
        <f>IF($J222="","",IF($J222&lt;=1500,INDEX('Daily Sale entry '!$Z$1:$Z$1501,$J222+1)&amp;"","Cheque deposit 支票存入 (buyer 买家)"))</f>
        <v/>
      </c>
      <c r="D222">
        <f>IF($J222="","",IF($J222&lt;=1500,INDEX('Daily Sale entry '!$AA$1:$AA$1501,$J222+1)&amp;"",INDEX('Daily Sale entry '!$P$1:$P$1501,$J222-1499)&amp;""))</f>
        <v/>
      </c>
      <c r="E222">
        <f>IF($J222="","",IF($J222&lt;=1500,IF(N(INDEX('Daily Sale entry '!$AB$1:$AB$1501,$J222+1))=0,"",INDEX('Daily Sale entry '!$AB$1:$AB$1501,$J222+1)),1))</f>
        <v/>
      </c>
      <c r="F222" s="6">
        <f>IF($J222="","",IF($J222&lt;=1500,N(INDEX('Daily Sale entry '!$AC$1:$AC$1501,$J222+1))-IF(AND('Opening Balance'!$B$15=1,INDEX('Daily Sale entry '!$Z$1:$Z$1501,$J222+1)="Online collection 网上收款",INDEX('Daily Sale entry '!$AA$1:$AA$1501,$J222+1)&lt;&gt;""),N(INDEX('Daily Sale entry '!$AC$1:$AC$1501,$J222+1))-TRUNC(N(INDEX('Daily Sale entry '!$AC$1:$AC$1501,$J222+1))),0),N(INDEX('Daily Sale entry '!$S$1:$S$1501,$J222-1499))-'Opening Balance'!$B$15*(N(INDEX('Daily Sale entry '!$S$1:$S$1501,$J222-1499))-TRUNC(N(INDEX('Daily Sale entry '!$S$1:$S$1501,$J222-1499))))))</f>
        <v/>
      </c>
      <c r="G222" s="6">
        <f>IF($J222="","",IF($J222&lt;=1500,N(INDEX('Daily Sale entry '!$AD$1:$AD$1501,$J222+1)),0))</f>
        <v/>
      </c>
      <c r="H222" s="6">
        <f>IF($J222="","",ROUND('Opening Balance'!$B$4+SUM($F$2:F222)-SUM($G$2:G222),2))</f>
        <v/>
      </c>
      <c r="J222" s="21">
        <f>IFERROR(MATCH(ROW()-1,$L$2:$L$3001,0),"")</f>
        <v/>
      </c>
      <c r="K222" s="34">
        <f>IF(AND('Daily Sale entry '!X222&lt;&gt;"",OR('Daily Sale entry '!AC222&lt;&gt;"",'Daily Sale entry '!AD222&lt;&gt;"")),'Daily Sale entry '!X222+ROW()/10000000,"")</f>
        <v/>
      </c>
      <c r="L222" s="21">
        <f>IF(K222="","",COUNTIF($K$2:$K$3001,"&lt;"&amp;K222)+1)</f>
        <v/>
      </c>
    </row>
    <row r="223">
      <c r="A223" s="5">
        <f>IF($J223="","",IF($J223&lt;=1500,INDEX('Daily Sale entry '!$X$1:$X$1501,$J223+1),INDEX('Daily Sale entry '!$V$1:$V$1501,$J223-1499)))</f>
        <v/>
      </c>
      <c r="B223">
        <f>IF($J223="","",IF($J223&lt;=1500,INDEX('Daily Sale entry '!$Y$1:$Y$1501,$J223+1)&amp;"","Buyer cheque banked 买家支票存入"&amp;IF(INDEX('Daily Sale entry '!$U$1:$U$1501,$J223-1499)="","", " - "&amp;INDEX('Daily Sale entry '!$U$1:$U$1501,$J223-1499))))</f>
        <v/>
      </c>
      <c r="C223">
        <f>IF($J223="","",IF($J223&lt;=1500,INDEX('Daily Sale entry '!$Z$1:$Z$1501,$J223+1)&amp;"","Cheque deposit 支票存入 (buyer 买家)"))</f>
        <v/>
      </c>
      <c r="D223">
        <f>IF($J223="","",IF($J223&lt;=1500,INDEX('Daily Sale entry '!$AA$1:$AA$1501,$J223+1)&amp;"",INDEX('Daily Sale entry '!$P$1:$P$1501,$J223-1499)&amp;""))</f>
        <v/>
      </c>
      <c r="E223">
        <f>IF($J223="","",IF($J223&lt;=1500,IF(N(INDEX('Daily Sale entry '!$AB$1:$AB$1501,$J223+1))=0,"",INDEX('Daily Sale entry '!$AB$1:$AB$1501,$J223+1)),1))</f>
        <v/>
      </c>
      <c r="F223" s="6">
        <f>IF($J223="","",IF($J223&lt;=1500,N(INDEX('Daily Sale entry '!$AC$1:$AC$1501,$J223+1))-IF(AND('Opening Balance'!$B$15=1,INDEX('Daily Sale entry '!$Z$1:$Z$1501,$J223+1)="Online collection 网上收款",INDEX('Daily Sale entry '!$AA$1:$AA$1501,$J223+1)&lt;&gt;""),N(INDEX('Daily Sale entry '!$AC$1:$AC$1501,$J223+1))-TRUNC(N(INDEX('Daily Sale entry '!$AC$1:$AC$1501,$J223+1))),0),N(INDEX('Daily Sale entry '!$S$1:$S$1501,$J223-1499))-'Opening Balance'!$B$15*(N(INDEX('Daily Sale entry '!$S$1:$S$1501,$J223-1499))-TRUNC(N(INDEX('Daily Sale entry '!$S$1:$S$1501,$J223-1499))))))</f>
        <v/>
      </c>
      <c r="G223" s="6">
        <f>IF($J223="","",IF($J223&lt;=1500,N(INDEX('Daily Sale entry '!$AD$1:$AD$1501,$J223+1)),0))</f>
        <v/>
      </c>
      <c r="H223" s="6">
        <f>IF($J223="","",ROUND('Opening Balance'!$B$4+SUM($F$2:F223)-SUM($G$2:G223),2))</f>
        <v/>
      </c>
      <c r="J223" s="21">
        <f>IFERROR(MATCH(ROW()-1,$L$2:$L$3001,0),"")</f>
        <v/>
      </c>
      <c r="K223" s="34">
        <f>IF(AND('Daily Sale entry '!X223&lt;&gt;"",OR('Daily Sale entry '!AC223&lt;&gt;"",'Daily Sale entry '!AD223&lt;&gt;"")),'Daily Sale entry '!X223+ROW()/10000000,"")</f>
        <v/>
      </c>
      <c r="L223" s="21">
        <f>IF(K223="","",COUNTIF($K$2:$K$3001,"&lt;"&amp;K223)+1)</f>
        <v/>
      </c>
    </row>
    <row r="224">
      <c r="A224" s="5">
        <f>IF($J224="","",IF($J224&lt;=1500,INDEX('Daily Sale entry '!$X$1:$X$1501,$J224+1),INDEX('Daily Sale entry '!$V$1:$V$1501,$J224-1499)))</f>
        <v/>
      </c>
      <c r="B224">
        <f>IF($J224="","",IF($J224&lt;=1500,INDEX('Daily Sale entry '!$Y$1:$Y$1501,$J224+1)&amp;"","Buyer cheque banked 买家支票存入"&amp;IF(INDEX('Daily Sale entry '!$U$1:$U$1501,$J224-1499)="","", " - "&amp;INDEX('Daily Sale entry '!$U$1:$U$1501,$J224-1499))))</f>
        <v/>
      </c>
      <c r="C224">
        <f>IF($J224="","",IF($J224&lt;=1500,INDEX('Daily Sale entry '!$Z$1:$Z$1501,$J224+1)&amp;"","Cheque deposit 支票存入 (buyer 买家)"))</f>
        <v/>
      </c>
      <c r="D224">
        <f>IF($J224="","",IF($J224&lt;=1500,INDEX('Daily Sale entry '!$AA$1:$AA$1501,$J224+1)&amp;"",INDEX('Daily Sale entry '!$P$1:$P$1501,$J224-1499)&amp;""))</f>
        <v/>
      </c>
      <c r="E224">
        <f>IF($J224="","",IF($J224&lt;=1500,IF(N(INDEX('Daily Sale entry '!$AB$1:$AB$1501,$J224+1))=0,"",INDEX('Daily Sale entry '!$AB$1:$AB$1501,$J224+1)),1))</f>
        <v/>
      </c>
      <c r="F224" s="6">
        <f>IF($J224="","",IF($J224&lt;=1500,N(INDEX('Daily Sale entry '!$AC$1:$AC$1501,$J224+1))-IF(AND('Opening Balance'!$B$15=1,INDEX('Daily Sale entry '!$Z$1:$Z$1501,$J224+1)="Online collection 网上收款",INDEX('Daily Sale entry '!$AA$1:$AA$1501,$J224+1)&lt;&gt;""),N(INDEX('Daily Sale entry '!$AC$1:$AC$1501,$J224+1))-TRUNC(N(INDEX('Daily Sale entry '!$AC$1:$AC$1501,$J224+1))),0),N(INDEX('Daily Sale entry '!$S$1:$S$1501,$J224-1499))-'Opening Balance'!$B$15*(N(INDEX('Daily Sale entry '!$S$1:$S$1501,$J224-1499))-TRUNC(N(INDEX('Daily Sale entry '!$S$1:$S$1501,$J224-1499))))))</f>
        <v/>
      </c>
      <c r="G224" s="6">
        <f>IF($J224="","",IF($J224&lt;=1500,N(INDEX('Daily Sale entry '!$AD$1:$AD$1501,$J224+1)),0))</f>
        <v/>
      </c>
      <c r="H224" s="6">
        <f>IF($J224="","",ROUND('Opening Balance'!$B$4+SUM($F$2:F224)-SUM($G$2:G224),2))</f>
        <v/>
      </c>
      <c r="J224" s="21">
        <f>IFERROR(MATCH(ROW()-1,$L$2:$L$3001,0),"")</f>
        <v/>
      </c>
      <c r="K224" s="34">
        <f>IF(AND('Daily Sale entry '!X224&lt;&gt;"",OR('Daily Sale entry '!AC224&lt;&gt;"",'Daily Sale entry '!AD224&lt;&gt;"")),'Daily Sale entry '!X224+ROW()/10000000,"")</f>
        <v/>
      </c>
      <c r="L224" s="21">
        <f>IF(K224="","",COUNTIF($K$2:$K$3001,"&lt;"&amp;K224)+1)</f>
        <v/>
      </c>
    </row>
    <row r="225">
      <c r="A225" s="5">
        <f>IF($J225="","",IF($J225&lt;=1500,INDEX('Daily Sale entry '!$X$1:$X$1501,$J225+1),INDEX('Daily Sale entry '!$V$1:$V$1501,$J225-1499)))</f>
        <v/>
      </c>
      <c r="B225">
        <f>IF($J225="","",IF($J225&lt;=1500,INDEX('Daily Sale entry '!$Y$1:$Y$1501,$J225+1)&amp;"","Buyer cheque banked 买家支票存入"&amp;IF(INDEX('Daily Sale entry '!$U$1:$U$1501,$J225-1499)="","", " - "&amp;INDEX('Daily Sale entry '!$U$1:$U$1501,$J225-1499))))</f>
        <v/>
      </c>
      <c r="C225">
        <f>IF($J225="","",IF($J225&lt;=1500,INDEX('Daily Sale entry '!$Z$1:$Z$1501,$J225+1)&amp;"","Cheque deposit 支票存入 (buyer 买家)"))</f>
        <v/>
      </c>
      <c r="D225">
        <f>IF($J225="","",IF($J225&lt;=1500,INDEX('Daily Sale entry '!$AA$1:$AA$1501,$J225+1)&amp;"",INDEX('Daily Sale entry '!$P$1:$P$1501,$J225-1499)&amp;""))</f>
        <v/>
      </c>
      <c r="E225">
        <f>IF($J225="","",IF($J225&lt;=1500,IF(N(INDEX('Daily Sale entry '!$AB$1:$AB$1501,$J225+1))=0,"",INDEX('Daily Sale entry '!$AB$1:$AB$1501,$J225+1)),1))</f>
        <v/>
      </c>
      <c r="F225" s="6">
        <f>IF($J225="","",IF($J225&lt;=1500,N(INDEX('Daily Sale entry '!$AC$1:$AC$1501,$J225+1))-IF(AND('Opening Balance'!$B$15=1,INDEX('Daily Sale entry '!$Z$1:$Z$1501,$J225+1)="Online collection 网上收款",INDEX('Daily Sale entry '!$AA$1:$AA$1501,$J225+1)&lt;&gt;""),N(INDEX('Daily Sale entry '!$AC$1:$AC$1501,$J225+1))-TRUNC(N(INDEX('Daily Sale entry '!$AC$1:$AC$1501,$J225+1))),0),N(INDEX('Daily Sale entry '!$S$1:$S$1501,$J225-1499))-'Opening Balance'!$B$15*(N(INDEX('Daily Sale entry '!$S$1:$S$1501,$J225-1499))-TRUNC(N(INDEX('Daily Sale entry '!$S$1:$S$1501,$J225-1499))))))</f>
        <v/>
      </c>
      <c r="G225" s="6">
        <f>IF($J225="","",IF($J225&lt;=1500,N(INDEX('Daily Sale entry '!$AD$1:$AD$1501,$J225+1)),0))</f>
        <v/>
      </c>
      <c r="H225" s="6">
        <f>IF($J225="","",ROUND('Opening Balance'!$B$4+SUM($F$2:F225)-SUM($G$2:G225),2))</f>
        <v/>
      </c>
      <c r="J225" s="21">
        <f>IFERROR(MATCH(ROW()-1,$L$2:$L$3001,0),"")</f>
        <v/>
      </c>
      <c r="K225" s="34">
        <f>IF(AND('Daily Sale entry '!X225&lt;&gt;"",OR('Daily Sale entry '!AC225&lt;&gt;"",'Daily Sale entry '!AD225&lt;&gt;"")),'Daily Sale entry '!X225+ROW()/10000000,"")</f>
        <v/>
      </c>
      <c r="L225" s="21">
        <f>IF(K225="","",COUNTIF($K$2:$K$3001,"&lt;"&amp;K225)+1)</f>
        <v/>
      </c>
    </row>
    <row r="226">
      <c r="A226" s="5">
        <f>IF($J226="","",IF($J226&lt;=1500,INDEX('Daily Sale entry '!$X$1:$X$1501,$J226+1),INDEX('Daily Sale entry '!$V$1:$V$1501,$J226-1499)))</f>
        <v/>
      </c>
      <c r="B226">
        <f>IF($J226="","",IF($J226&lt;=1500,INDEX('Daily Sale entry '!$Y$1:$Y$1501,$J226+1)&amp;"","Buyer cheque banked 买家支票存入"&amp;IF(INDEX('Daily Sale entry '!$U$1:$U$1501,$J226-1499)="","", " - "&amp;INDEX('Daily Sale entry '!$U$1:$U$1501,$J226-1499))))</f>
        <v/>
      </c>
      <c r="C226">
        <f>IF($J226="","",IF($J226&lt;=1500,INDEX('Daily Sale entry '!$Z$1:$Z$1501,$J226+1)&amp;"","Cheque deposit 支票存入 (buyer 买家)"))</f>
        <v/>
      </c>
      <c r="D226">
        <f>IF($J226="","",IF($J226&lt;=1500,INDEX('Daily Sale entry '!$AA$1:$AA$1501,$J226+1)&amp;"",INDEX('Daily Sale entry '!$P$1:$P$1501,$J226-1499)&amp;""))</f>
        <v/>
      </c>
      <c r="E226">
        <f>IF($J226="","",IF($J226&lt;=1500,IF(N(INDEX('Daily Sale entry '!$AB$1:$AB$1501,$J226+1))=0,"",INDEX('Daily Sale entry '!$AB$1:$AB$1501,$J226+1)),1))</f>
        <v/>
      </c>
      <c r="F226" s="6">
        <f>IF($J226="","",IF($J226&lt;=1500,N(INDEX('Daily Sale entry '!$AC$1:$AC$1501,$J226+1))-IF(AND('Opening Balance'!$B$15=1,INDEX('Daily Sale entry '!$Z$1:$Z$1501,$J226+1)="Online collection 网上收款",INDEX('Daily Sale entry '!$AA$1:$AA$1501,$J226+1)&lt;&gt;""),N(INDEX('Daily Sale entry '!$AC$1:$AC$1501,$J226+1))-TRUNC(N(INDEX('Daily Sale entry '!$AC$1:$AC$1501,$J226+1))),0),N(INDEX('Daily Sale entry '!$S$1:$S$1501,$J226-1499))-'Opening Balance'!$B$15*(N(INDEX('Daily Sale entry '!$S$1:$S$1501,$J226-1499))-TRUNC(N(INDEX('Daily Sale entry '!$S$1:$S$1501,$J226-1499))))))</f>
        <v/>
      </c>
      <c r="G226" s="6">
        <f>IF($J226="","",IF($J226&lt;=1500,N(INDEX('Daily Sale entry '!$AD$1:$AD$1501,$J226+1)),0))</f>
        <v/>
      </c>
      <c r="H226" s="6">
        <f>IF($J226="","",ROUND('Opening Balance'!$B$4+SUM($F$2:F226)-SUM($G$2:G226),2))</f>
        <v/>
      </c>
      <c r="J226" s="21">
        <f>IFERROR(MATCH(ROW()-1,$L$2:$L$3001,0),"")</f>
        <v/>
      </c>
      <c r="K226" s="34">
        <f>IF(AND('Daily Sale entry '!X226&lt;&gt;"",OR('Daily Sale entry '!AC226&lt;&gt;"",'Daily Sale entry '!AD226&lt;&gt;"")),'Daily Sale entry '!X226+ROW()/10000000,"")</f>
        <v/>
      </c>
      <c r="L226" s="21">
        <f>IF(K226="","",COUNTIF($K$2:$K$3001,"&lt;"&amp;K226)+1)</f>
        <v/>
      </c>
    </row>
    <row r="227">
      <c r="A227" s="5">
        <f>IF($J227="","",IF($J227&lt;=1500,INDEX('Daily Sale entry '!$X$1:$X$1501,$J227+1),INDEX('Daily Sale entry '!$V$1:$V$1501,$J227-1499)))</f>
        <v/>
      </c>
      <c r="B227">
        <f>IF($J227="","",IF($J227&lt;=1500,INDEX('Daily Sale entry '!$Y$1:$Y$1501,$J227+1)&amp;"","Buyer cheque banked 买家支票存入"&amp;IF(INDEX('Daily Sale entry '!$U$1:$U$1501,$J227-1499)="","", " - "&amp;INDEX('Daily Sale entry '!$U$1:$U$1501,$J227-1499))))</f>
        <v/>
      </c>
      <c r="C227">
        <f>IF($J227="","",IF($J227&lt;=1500,INDEX('Daily Sale entry '!$Z$1:$Z$1501,$J227+1)&amp;"","Cheque deposit 支票存入 (buyer 买家)"))</f>
        <v/>
      </c>
      <c r="D227">
        <f>IF($J227="","",IF($J227&lt;=1500,INDEX('Daily Sale entry '!$AA$1:$AA$1501,$J227+1)&amp;"",INDEX('Daily Sale entry '!$P$1:$P$1501,$J227-1499)&amp;""))</f>
        <v/>
      </c>
      <c r="E227">
        <f>IF($J227="","",IF($J227&lt;=1500,IF(N(INDEX('Daily Sale entry '!$AB$1:$AB$1501,$J227+1))=0,"",INDEX('Daily Sale entry '!$AB$1:$AB$1501,$J227+1)),1))</f>
        <v/>
      </c>
      <c r="F227" s="6">
        <f>IF($J227="","",IF($J227&lt;=1500,N(INDEX('Daily Sale entry '!$AC$1:$AC$1501,$J227+1))-IF(AND('Opening Balance'!$B$15=1,INDEX('Daily Sale entry '!$Z$1:$Z$1501,$J227+1)="Online collection 网上收款",INDEX('Daily Sale entry '!$AA$1:$AA$1501,$J227+1)&lt;&gt;""),N(INDEX('Daily Sale entry '!$AC$1:$AC$1501,$J227+1))-TRUNC(N(INDEX('Daily Sale entry '!$AC$1:$AC$1501,$J227+1))),0),N(INDEX('Daily Sale entry '!$S$1:$S$1501,$J227-1499))-'Opening Balance'!$B$15*(N(INDEX('Daily Sale entry '!$S$1:$S$1501,$J227-1499))-TRUNC(N(INDEX('Daily Sale entry '!$S$1:$S$1501,$J227-1499))))))</f>
        <v/>
      </c>
      <c r="G227" s="6">
        <f>IF($J227="","",IF($J227&lt;=1500,N(INDEX('Daily Sale entry '!$AD$1:$AD$1501,$J227+1)),0))</f>
        <v/>
      </c>
      <c r="H227" s="6">
        <f>IF($J227="","",ROUND('Opening Balance'!$B$4+SUM($F$2:F227)-SUM($G$2:G227),2))</f>
        <v/>
      </c>
      <c r="J227" s="21">
        <f>IFERROR(MATCH(ROW()-1,$L$2:$L$3001,0),"")</f>
        <v/>
      </c>
      <c r="K227" s="34">
        <f>IF(AND('Daily Sale entry '!X227&lt;&gt;"",OR('Daily Sale entry '!AC227&lt;&gt;"",'Daily Sale entry '!AD227&lt;&gt;"")),'Daily Sale entry '!X227+ROW()/10000000,"")</f>
        <v/>
      </c>
      <c r="L227" s="21">
        <f>IF(K227="","",COUNTIF($K$2:$K$3001,"&lt;"&amp;K227)+1)</f>
        <v/>
      </c>
    </row>
    <row r="228">
      <c r="A228" s="5">
        <f>IF($J228="","",IF($J228&lt;=1500,INDEX('Daily Sale entry '!$X$1:$X$1501,$J228+1),INDEX('Daily Sale entry '!$V$1:$V$1501,$J228-1499)))</f>
        <v/>
      </c>
      <c r="B228">
        <f>IF($J228="","",IF($J228&lt;=1500,INDEX('Daily Sale entry '!$Y$1:$Y$1501,$J228+1)&amp;"","Buyer cheque banked 买家支票存入"&amp;IF(INDEX('Daily Sale entry '!$U$1:$U$1501,$J228-1499)="","", " - "&amp;INDEX('Daily Sale entry '!$U$1:$U$1501,$J228-1499))))</f>
        <v/>
      </c>
      <c r="C228">
        <f>IF($J228="","",IF($J228&lt;=1500,INDEX('Daily Sale entry '!$Z$1:$Z$1501,$J228+1)&amp;"","Cheque deposit 支票存入 (buyer 买家)"))</f>
        <v/>
      </c>
      <c r="D228">
        <f>IF($J228="","",IF($J228&lt;=1500,INDEX('Daily Sale entry '!$AA$1:$AA$1501,$J228+1)&amp;"",INDEX('Daily Sale entry '!$P$1:$P$1501,$J228-1499)&amp;""))</f>
        <v/>
      </c>
      <c r="E228">
        <f>IF($J228="","",IF($J228&lt;=1500,IF(N(INDEX('Daily Sale entry '!$AB$1:$AB$1501,$J228+1))=0,"",INDEX('Daily Sale entry '!$AB$1:$AB$1501,$J228+1)),1))</f>
        <v/>
      </c>
      <c r="F228" s="6">
        <f>IF($J228="","",IF($J228&lt;=1500,N(INDEX('Daily Sale entry '!$AC$1:$AC$1501,$J228+1))-IF(AND('Opening Balance'!$B$15=1,INDEX('Daily Sale entry '!$Z$1:$Z$1501,$J228+1)="Online collection 网上收款",INDEX('Daily Sale entry '!$AA$1:$AA$1501,$J228+1)&lt;&gt;""),N(INDEX('Daily Sale entry '!$AC$1:$AC$1501,$J228+1))-TRUNC(N(INDEX('Daily Sale entry '!$AC$1:$AC$1501,$J228+1))),0),N(INDEX('Daily Sale entry '!$S$1:$S$1501,$J228-1499))-'Opening Balance'!$B$15*(N(INDEX('Daily Sale entry '!$S$1:$S$1501,$J228-1499))-TRUNC(N(INDEX('Daily Sale entry '!$S$1:$S$1501,$J228-1499))))))</f>
        <v/>
      </c>
      <c r="G228" s="6">
        <f>IF($J228="","",IF($J228&lt;=1500,N(INDEX('Daily Sale entry '!$AD$1:$AD$1501,$J228+1)),0))</f>
        <v/>
      </c>
      <c r="H228" s="6">
        <f>IF($J228="","",ROUND('Opening Balance'!$B$4+SUM($F$2:F228)-SUM($G$2:G228),2))</f>
        <v/>
      </c>
      <c r="J228" s="21">
        <f>IFERROR(MATCH(ROW()-1,$L$2:$L$3001,0),"")</f>
        <v/>
      </c>
      <c r="K228" s="34">
        <f>IF(AND('Daily Sale entry '!X228&lt;&gt;"",OR('Daily Sale entry '!AC228&lt;&gt;"",'Daily Sale entry '!AD228&lt;&gt;"")),'Daily Sale entry '!X228+ROW()/10000000,"")</f>
        <v/>
      </c>
      <c r="L228" s="21">
        <f>IF(K228="","",COUNTIF($K$2:$K$3001,"&lt;"&amp;K228)+1)</f>
        <v/>
      </c>
    </row>
    <row r="229">
      <c r="A229" s="5">
        <f>IF($J229="","",IF($J229&lt;=1500,INDEX('Daily Sale entry '!$X$1:$X$1501,$J229+1),INDEX('Daily Sale entry '!$V$1:$V$1501,$J229-1499)))</f>
        <v/>
      </c>
      <c r="B229">
        <f>IF($J229="","",IF($J229&lt;=1500,INDEX('Daily Sale entry '!$Y$1:$Y$1501,$J229+1)&amp;"","Buyer cheque banked 买家支票存入"&amp;IF(INDEX('Daily Sale entry '!$U$1:$U$1501,$J229-1499)="","", " - "&amp;INDEX('Daily Sale entry '!$U$1:$U$1501,$J229-1499))))</f>
        <v/>
      </c>
      <c r="C229">
        <f>IF($J229="","",IF($J229&lt;=1500,INDEX('Daily Sale entry '!$Z$1:$Z$1501,$J229+1)&amp;"","Cheque deposit 支票存入 (buyer 买家)"))</f>
        <v/>
      </c>
      <c r="D229">
        <f>IF($J229="","",IF($J229&lt;=1500,INDEX('Daily Sale entry '!$AA$1:$AA$1501,$J229+1)&amp;"",INDEX('Daily Sale entry '!$P$1:$P$1501,$J229-1499)&amp;""))</f>
        <v/>
      </c>
      <c r="E229">
        <f>IF($J229="","",IF($J229&lt;=1500,IF(N(INDEX('Daily Sale entry '!$AB$1:$AB$1501,$J229+1))=0,"",INDEX('Daily Sale entry '!$AB$1:$AB$1501,$J229+1)),1))</f>
        <v/>
      </c>
      <c r="F229" s="6">
        <f>IF($J229="","",IF($J229&lt;=1500,N(INDEX('Daily Sale entry '!$AC$1:$AC$1501,$J229+1))-IF(AND('Opening Balance'!$B$15=1,INDEX('Daily Sale entry '!$Z$1:$Z$1501,$J229+1)="Online collection 网上收款",INDEX('Daily Sale entry '!$AA$1:$AA$1501,$J229+1)&lt;&gt;""),N(INDEX('Daily Sale entry '!$AC$1:$AC$1501,$J229+1))-TRUNC(N(INDEX('Daily Sale entry '!$AC$1:$AC$1501,$J229+1))),0),N(INDEX('Daily Sale entry '!$S$1:$S$1501,$J229-1499))-'Opening Balance'!$B$15*(N(INDEX('Daily Sale entry '!$S$1:$S$1501,$J229-1499))-TRUNC(N(INDEX('Daily Sale entry '!$S$1:$S$1501,$J229-1499))))))</f>
        <v/>
      </c>
      <c r="G229" s="6">
        <f>IF($J229="","",IF($J229&lt;=1500,N(INDEX('Daily Sale entry '!$AD$1:$AD$1501,$J229+1)),0))</f>
        <v/>
      </c>
      <c r="H229" s="6">
        <f>IF($J229="","",ROUND('Opening Balance'!$B$4+SUM($F$2:F229)-SUM($G$2:G229),2))</f>
        <v/>
      </c>
      <c r="J229" s="21">
        <f>IFERROR(MATCH(ROW()-1,$L$2:$L$3001,0),"")</f>
        <v/>
      </c>
      <c r="K229" s="34">
        <f>IF(AND('Daily Sale entry '!X229&lt;&gt;"",OR('Daily Sale entry '!AC229&lt;&gt;"",'Daily Sale entry '!AD229&lt;&gt;"")),'Daily Sale entry '!X229+ROW()/10000000,"")</f>
        <v/>
      </c>
      <c r="L229" s="21">
        <f>IF(K229="","",COUNTIF($K$2:$K$3001,"&lt;"&amp;K229)+1)</f>
        <v/>
      </c>
    </row>
    <row r="230">
      <c r="A230" s="5">
        <f>IF($J230="","",IF($J230&lt;=1500,INDEX('Daily Sale entry '!$X$1:$X$1501,$J230+1),INDEX('Daily Sale entry '!$V$1:$V$1501,$J230-1499)))</f>
        <v/>
      </c>
      <c r="B230">
        <f>IF($J230="","",IF($J230&lt;=1500,INDEX('Daily Sale entry '!$Y$1:$Y$1501,$J230+1)&amp;"","Buyer cheque banked 买家支票存入"&amp;IF(INDEX('Daily Sale entry '!$U$1:$U$1501,$J230-1499)="","", " - "&amp;INDEX('Daily Sale entry '!$U$1:$U$1501,$J230-1499))))</f>
        <v/>
      </c>
      <c r="C230">
        <f>IF($J230="","",IF($J230&lt;=1500,INDEX('Daily Sale entry '!$Z$1:$Z$1501,$J230+1)&amp;"","Cheque deposit 支票存入 (buyer 买家)"))</f>
        <v/>
      </c>
      <c r="D230">
        <f>IF($J230="","",IF($J230&lt;=1500,INDEX('Daily Sale entry '!$AA$1:$AA$1501,$J230+1)&amp;"",INDEX('Daily Sale entry '!$P$1:$P$1501,$J230-1499)&amp;""))</f>
        <v/>
      </c>
      <c r="E230">
        <f>IF($J230="","",IF($J230&lt;=1500,IF(N(INDEX('Daily Sale entry '!$AB$1:$AB$1501,$J230+1))=0,"",INDEX('Daily Sale entry '!$AB$1:$AB$1501,$J230+1)),1))</f>
        <v/>
      </c>
      <c r="F230" s="6">
        <f>IF($J230="","",IF($J230&lt;=1500,N(INDEX('Daily Sale entry '!$AC$1:$AC$1501,$J230+1))-IF(AND('Opening Balance'!$B$15=1,INDEX('Daily Sale entry '!$Z$1:$Z$1501,$J230+1)="Online collection 网上收款",INDEX('Daily Sale entry '!$AA$1:$AA$1501,$J230+1)&lt;&gt;""),N(INDEX('Daily Sale entry '!$AC$1:$AC$1501,$J230+1))-TRUNC(N(INDEX('Daily Sale entry '!$AC$1:$AC$1501,$J230+1))),0),N(INDEX('Daily Sale entry '!$S$1:$S$1501,$J230-1499))-'Opening Balance'!$B$15*(N(INDEX('Daily Sale entry '!$S$1:$S$1501,$J230-1499))-TRUNC(N(INDEX('Daily Sale entry '!$S$1:$S$1501,$J230-1499))))))</f>
        <v/>
      </c>
      <c r="G230" s="6">
        <f>IF($J230="","",IF($J230&lt;=1500,N(INDEX('Daily Sale entry '!$AD$1:$AD$1501,$J230+1)),0))</f>
        <v/>
      </c>
      <c r="H230" s="6">
        <f>IF($J230="","",ROUND('Opening Balance'!$B$4+SUM($F$2:F230)-SUM($G$2:G230),2))</f>
        <v/>
      </c>
      <c r="J230" s="21">
        <f>IFERROR(MATCH(ROW()-1,$L$2:$L$3001,0),"")</f>
        <v/>
      </c>
      <c r="K230" s="34">
        <f>IF(AND('Daily Sale entry '!X230&lt;&gt;"",OR('Daily Sale entry '!AC230&lt;&gt;"",'Daily Sale entry '!AD230&lt;&gt;"")),'Daily Sale entry '!X230+ROW()/10000000,"")</f>
        <v/>
      </c>
      <c r="L230" s="21">
        <f>IF(K230="","",COUNTIF($K$2:$K$3001,"&lt;"&amp;K230)+1)</f>
        <v/>
      </c>
    </row>
    <row r="231">
      <c r="A231" s="5">
        <f>IF($J231="","",IF($J231&lt;=1500,INDEX('Daily Sale entry '!$X$1:$X$1501,$J231+1),INDEX('Daily Sale entry '!$V$1:$V$1501,$J231-1499)))</f>
        <v/>
      </c>
      <c r="B231">
        <f>IF($J231="","",IF($J231&lt;=1500,INDEX('Daily Sale entry '!$Y$1:$Y$1501,$J231+1)&amp;"","Buyer cheque banked 买家支票存入"&amp;IF(INDEX('Daily Sale entry '!$U$1:$U$1501,$J231-1499)="","", " - "&amp;INDEX('Daily Sale entry '!$U$1:$U$1501,$J231-1499))))</f>
        <v/>
      </c>
      <c r="C231">
        <f>IF($J231="","",IF($J231&lt;=1500,INDEX('Daily Sale entry '!$Z$1:$Z$1501,$J231+1)&amp;"","Cheque deposit 支票存入 (buyer 买家)"))</f>
        <v/>
      </c>
      <c r="D231">
        <f>IF($J231="","",IF($J231&lt;=1500,INDEX('Daily Sale entry '!$AA$1:$AA$1501,$J231+1)&amp;"",INDEX('Daily Sale entry '!$P$1:$P$1501,$J231-1499)&amp;""))</f>
        <v/>
      </c>
      <c r="E231">
        <f>IF($J231="","",IF($J231&lt;=1500,IF(N(INDEX('Daily Sale entry '!$AB$1:$AB$1501,$J231+1))=0,"",INDEX('Daily Sale entry '!$AB$1:$AB$1501,$J231+1)),1))</f>
        <v/>
      </c>
      <c r="F231" s="6">
        <f>IF($J231="","",IF($J231&lt;=1500,N(INDEX('Daily Sale entry '!$AC$1:$AC$1501,$J231+1))-IF(AND('Opening Balance'!$B$15=1,INDEX('Daily Sale entry '!$Z$1:$Z$1501,$J231+1)="Online collection 网上收款",INDEX('Daily Sale entry '!$AA$1:$AA$1501,$J231+1)&lt;&gt;""),N(INDEX('Daily Sale entry '!$AC$1:$AC$1501,$J231+1))-TRUNC(N(INDEX('Daily Sale entry '!$AC$1:$AC$1501,$J231+1))),0),N(INDEX('Daily Sale entry '!$S$1:$S$1501,$J231-1499))-'Opening Balance'!$B$15*(N(INDEX('Daily Sale entry '!$S$1:$S$1501,$J231-1499))-TRUNC(N(INDEX('Daily Sale entry '!$S$1:$S$1501,$J231-1499))))))</f>
        <v/>
      </c>
      <c r="G231" s="6">
        <f>IF($J231="","",IF($J231&lt;=1500,N(INDEX('Daily Sale entry '!$AD$1:$AD$1501,$J231+1)),0))</f>
        <v/>
      </c>
      <c r="H231" s="6">
        <f>IF($J231="","",ROUND('Opening Balance'!$B$4+SUM($F$2:F231)-SUM($G$2:G231),2))</f>
        <v/>
      </c>
      <c r="J231" s="21">
        <f>IFERROR(MATCH(ROW()-1,$L$2:$L$3001,0),"")</f>
        <v/>
      </c>
      <c r="K231" s="34">
        <f>IF(AND('Daily Sale entry '!X231&lt;&gt;"",OR('Daily Sale entry '!AC231&lt;&gt;"",'Daily Sale entry '!AD231&lt;&gt;"")),'Daily Sale entry '!X231+ROW()/10000000,"")</f>
        <v/>
      </c>
      <c r="L231" s="21">
        <f>IF(K231="","",COUNTIF($K$2:$K$3001,"&lt;"&amp;K231)+1)</f>
        <v/>
      </c>
    </row>
    <row r="232">
      <c r="A232" s="5">
        <f>IF($J232="","",IF($J232&lt;=1500,INDEX('Daily Sale entry '!$X$1:$X$1501,$J232+1),INDEX('Daily Sale entry '!$V$1:$V$1501,$J232-1499)))</f>
        <v/>
      </c>
      <c r="B232">
        <f>IF($J232="","",IF($J232&lt;=1500,INDEX('Daily Sale entry '!$Y$1:$Y$1501,$J232+1)&amp;"","Buyer cheque banked 买家支票存入"&amp;IF(INDEX('Daily Sale entry '!$U$1:$U$1501,$J232-1499)="","", " - "&amp;INDEX('Daily Sale entry '!$U$1:$U$1501,$J232-1499))))</f>
        <v/>
      </c>
      <c r="C232">
        <f>IF($J232="","",IF($J232&lt;=1500,INDEX('Daily Sale entry '!$Z$1:$Z$1501,$J232+1)&amp;"","Cheque deposit 支票存入 (buyer 买家)"))</f>
        <v/>
      </c>
      <c r="D232">
        <f>IF($J232="","",IF($J232&lt;=1500,INDEX('Daily Sale entry '!$AA$1:$AA$1501,$J232+1)&amp;"",INDEX('Daily Sale entry '!$P$1:$P$1501,$J232-1499)&amp;""))</f>
        <v/>
      </c>
      <c r="E232">
        <f>IF($J232="","",IF($J232&lt;=1500,IF(N(INDEX('Daily Sale entry '!$AB$1:$AB$1501,$J232+1))=0,"",INDEX('Daily Sale entry '!$AB$1:$AB$1501,$J232+1)),1))</f>
        <v/>
      </c>
      <c r="F232" s="6">
        <f>IF($J232="","",IF($J232&lt;=1500,N(INDEX('Daily Sale entry '!$AC$1:$AC$1501,$J232+1))-IF(AND('Opening Balance'!$B$15=1,INDEX('Daily Sale entry '!$Z$1:$Z$1501,$J232+1)="Online collection 网上收款",INDEX('Daily Sale entry '!$AA$1:$AA$1501,$J232+1)&lt;&gt;""),N(INDEX('Daily Sale entry '!$AC$1:$AC$1501,$J232+1))-TRUNC(N(INDEX('Daily Sale entry '!$AC$1:$AC$1501,$J232+1))),0),N(INDEX('Daily Sale entry '!$S$1:$S$1501,$J232-1499))-'Opening Balance'!$B$15*(N(INDEX('Daily Sale entry '!$S$1:$S$1501,$J232-1499))-TRUNC(N(INDEX('Daily Sale entry '!$S$1:$S$1501,$J232-1499))))))</f>
        <v/>
      </c>
      <c r="G232" s="6">
        <f>IF($J232="","",IF($J232&lt;=1500,N(INDEX('Daily Sale entry '!$AD$1:$AD$1501,$J232+1)),0))</f>
        <v/>
      </c>
      <c r="H232" s="6">
        <f>IF($J232="","",ROUND('Opening Balance'!$B$4+SUM($F$2:F232)-SUM($G$2:G232),2))</f>
        <v/>
      </c>
      <c r="J232" s="21">
        <f>IFERROR(MATCH(ROW()-1,$L$2:$L$3001,0),"")</f>
        <v/>
      </c>
      <c r="K232" s="34">
        <f>IF(AND('Daily Sale entry '!X232&lt;&gt;"",OR('Daily Sale entry '!AC232&lt;&gt;"",'Daily Sale entry '!AD232&lt;&gt;"")),'Daily Sale entry '!X232+ROW()/10000000,"")</f>
        <v/>
      </c>
      <c r="L232" s="21">
        <f>IF(K232="","",COUNTIF($K$2:$K$3001,"&lt;"&amp;K232)+1)</f>
        <v/>
      </c>
    </row>
    <row r="233">
      <c r="A233" s="5">
        <f>IF($J233="","",IF($J233&lt;=1500,INDEX('Daily Sale entry '!$X$1:$X$1501,$J233+1),INDEX('Daily Sale entry '!$V$1:$V$1501,$J233-1499)))</f>
        <v/>
      </c>
      <c r="B233">
        <f>IF($J233="","",IF($J233&lt;=1500,INDEX('Daily Sale entry '!$Y$1:$Y$1501,$J233+1)&amp;"","Buyer cheque banked 买家支票存入"&amp;IF(INDEX('Daily Sale entry '!$U$1:$U$1501,$J233-1499)="","", " - "&amp;INDEX('Daily Sale entry '!$U$1:$U$1501,$J233-1499))))</f>
        <v/>
      </c>
      <c r="C233">
        <f>IF($J233="","",IF($J233&lt;=1500,INDEX('Daily Sale entry '!$Z$1:$Z$1501,$J233+1)&amp;"","Cheque deposit 支票存入 (buyer 买家)"))</f>
        <v/>
      </c>
      <c r="D233">
        <f>IF($J233="","",IF($J233&lt;=1500,INDEX('Daily Sale entry '!$AA$1:$AA$1501,$J233+1)&amp;"",INDEX('Daily Sale entry '!$P$1:$P$1501,$J233-1499)&amp;""))</f>
        <v/>
      </c>
      <c r="E233">
        <f>IF($J233="","",IF($J233&lt;=1500,IF(N(INDEX('Daily Sale entry '!$AB$1:$AB$1501,$J233+1))=0,"",INDEX('Daily Sale entry '!$AB$1:$AB$1501,$J233+1)),1))</f>
        <v/>
      </c>
      <c r="F233" s="6">
        <f>IF($J233="","",IF($J233&lt;=1500,N(INDEX('Daily Sale entry '!$AC$1:$AC$1501,$J233+1))-IF(AND('Opening Balance'!$B$15=1,INDEX('Daily Sale entry '!$Z$1:$Z$1501,$J233+1)="Online collection 网上收款",INDEX('Daily Sale entry '!$AA$1:$AA$1501,$J233+1)&lt;&gt;""),N(INDEX('Daily Sale entry '!$AC$1:$AC$1501,$J233+1))-TRUNC(N(INDEX('Daily Sale entry '!$AC$1:$AC$1501,$J233+1))),0),N(INDEX('Daily Sale entry '!$S$1:$S$1501,$J233-1499))-'Opening Balance'!$B$15*(N(INDEX('Daily Sale entry '!$S$1:$S$1501,$J233-1499))-TRUNC(N(INDEX('Daily Sale entry '!$S$1:$S$1501,$J233-1499))))))</f>
        <v/>
      </c>
      <c r="G233" s="6">
        <f>IF($J233="","",IF($J233&lt;=1500,N(INDEX('Daily Sale entry '!$AD$1:$AD$1501,$J233+1)),0))</f>
        <v/>
      </c>
      <c r="H233" s="6">
        <f>IF($J233="","",ROUND('Opening Balance'!$B$4+SUM($F$2:F233)-SUM($G$2:G233),2))</f>
        <v/>
      </c>
      <c r="J233" s="21">
        <f>IFERROR(MATCH(ROW()-1,$L$2:$L$3001,0),"")</f>
        <v/>
      </c>
      <c r="K233" s="34">
        <f>IF(AND('Daily Sale entry '!X233&lt;&gt;"",OR('Daily Sale entry '!AC233&lt;&gt;"",'Daily Sale entry '!AD233&lt;&gt;"")),'Daily Sale entry '!X233+ROW()/10000000,"")</f>
        <v/>
      </c>
      <c r="L233" s="21">
        <f>IF(K233="","",COUNTIF($K$2:$K$3001,"&lt;"&amp;K233)+1)</f>
        <v/>
      </c>
    </row>
    <row r="234">
      <c r="A234" s="5">
        <f>IF($J234="","",IF($J234&lt;=1500,INDEX('Daily Sale entry '!$X$1:$X$1501,$J234+1),INDEX('Daily Sale entry '!$V$1:$V$1501,$J234-1499)))</f>
        <v/>
      </c>
      <c r="B234">
        <f>IF($J234="","",IF($J234&lt;=1500,INDEX('Daily Sale entry '!$Y$1:$Y$1501,$J234+1)&amp;"","Buyer cheque banked 买家支票存入"&amp;IF(INDEX('Daily Sale entry '!$U$1:$U$1501,$J234-1499)="","", " - "&amp;INDEX('Daily Sale entry '!$U$1:$U$1501,$J234-1499))))</f>
        <v/>
      </c>
      <c r="C234">
        <f>IF($J234="","",IF($J234&lt;=1500,INDEX('Daily Sale entry '!$Z$1:$Z$1501,$J234+1)&amp;"","Cheque deposit 支票存入 (buyer 买家)"))</f>
        <v/>
      </c>
      <c r="D234">
        <f>IF($J234="","",IF($J234&lt;=1500,INDEX('Daily Sale entry '!$AA$1:$AA$1501,$J234+1)&amp;"",INDEX('Daily Sale entry '!$P$1:$P$1501,$J234-1499)&amp;""))</f>
        <v/>
      </c>
      <c r="E234">
        <f>IF($J234="","",IF($J234&lt;=1500,IF(N(INDEX('Daily Sale entry '!$AB$1:$AB$1501,$J234+1))=0,"",INDEX('Daily Sale entry '!$AB$1:$AB$1501,$J234+1)),1))</f>
        <v/>
      </c>
      <c r="F234" s="6">
        <f>IF($J234="","",IF($J234&lt;=1500,N(INDEX('Daily Sale entry '!$AC$1:$AC$1501,$J234+1))-IF(AND('Opening Balance'!$B$15=1,INDEX('Daily Sale entry '!$Z$1:$Z$1501,$J234+1)="Online collection 网上收款",INDEX('Daily Sale entry '!$AA$1:$AA$1501,$J234+1)&lt;&gt;""),N(INDEX('Daily Sale entry '!$AC$1:$AC$1501,$J234+1))-TRUNC(N(INDEX('Daily Sale entry '!$AC$1:$AC$1501,$J234+1))),0),N(INDEX('Daily Sale entry '!$S$1:$S$1501,$J234-1499))-'Opening Balance'!$B$15*(N(INDEX('Daily Sale entry '!$S$1:$S$1501,$J234-1499))-TRUNC(N(INDEX('Daily Sale entry '!$S$1:$S$1501,$J234-1499))))))</f>
        <v/>
      </c>
      <c r="G234" s="6">
        <f>IF($J234="","",IF($J234&lt;=1500,N(INDEX('Daily Sale entry '!$AD$1:$AD$1501,$J234+1)),0))</f>
        <v/>
      </c>
      <c r="H234" s="6">
        <f>IF($J234="","",ROUND('Opening Balance'!$B$4+SUM($F$2:F234)-SUM($G$2:G234),2))</f>
        <v/>
      </c>
      <c r="J234" s="21">
        <f>IFERROR(MATCH(ROW()-1,$L$2:$L$3001,0),"")</f>
        <v/>
      </c>
      <c r="K234" s="34">
        <f>IF(AND('Daily Sale entry '!X234&lt;&gt;"",OR('Daily Sale entry '!AC234&lt;&gt;"",'Daily Sale entry '!AD234&lt;&gt;"")),'Daily Sale entry '!X234+ROW()/10000000,"")</f>
        <v/>
      </c>
      <c r="L234" s="21">
        <f>IF(K234="","",COUNTIF($K$2:$K$3001,"&lt;"&amp;K234)+1)</f>
        <v/>
      </c>
    </row>
    <row r="235">
      <c r="A235" s="5">
        <f>IF($J235="","",IF($J235&lt;=1500,INDEX('Daily Sale entry '!$X$1:$X$1501,$J235+1),INDEX('Daily Sale entry '!$V$1:$V$1501,$J235-1499)))</f>
        <v/>
      </c>
      <c r="B235">
        <f>IF($J235="","",IF($J235&lt;=1500,INDEX('Daily Sale entry '!$Y$1:$Y$1501,$J235+1)&amp;"","Buyer cheque banked 买家支票存入"&amp;IF(INDEX('Daily Sale entry '!$U$1:$U$1501,$J235-1499)="","", " - "&amp;INDEX('Daily Sale entry '!$U$1:$U$1501,$J235-1499))))</f>
        <v/>
      </c>
      <c r="C235">
        <f>IF($J235="","",IF($J235&lt;=1500,INDEX('Daily Sale entry '!$Z$1:$Z$1501,$J235+1)&amp;"","Cheque deposit 支票存入 (buyer 买家)"))</f>
        <v/>
      </c>
      <c r="D235">
        <f>IF($J235="","",IF($J235&lt;=1500,INDEX('Daily Sale entry '!$AA$1:$AA$1501,$J235+1)&amp;"",INDEX('Daily Sale entry '!$P$1:$P$1501,$J235-1499)&amp;""))</f>
        <v/>
      </c>
      <c r="E235">
        <f>IF($J235="","",IF($J235&lt;=1500,IF(N(INDEX('Daily Sale entry '!$AB$1:$AB$1501,$J235+1))=0,"",INDEX('Daily Sale entry '!$AB$1:$AB$1501,$J235+1)),1))</f>
        <v/>
      </c>
      <c r="F235" s="6">
        <f>IF($J235="","",IF($J235&lt;=1500,N(INDEX('Daily Sale entry '!$AC$1:$AC$1501,$J235+1))-IF(AND('Opening Balance'!$B$15=1,INDEX('Daily Sale entry '!$Z$1:$Z$1501,$J235+1)="Online collection 网上收款",INDEX('Daily Sale entry '!$AA$1:$AA$1501,$J235+1)&lt;&gt;""),N(INDEX('Daily Sale entry '!$AC$1:$AC$1501,$J235+1))-TRUNC(N(INDEX('Daily Sale entry '!$AC$1:$AC$1501,$J235+1))),0),N(INDEX('Daily Sale entry '!$S$1:$S$1501,$J235-1499))-'Opening Balance'!$B$15*(N(INDEX('Daily Sale entry '!$S$1:$S$1501,$J235-1499))-TRUNC(N(INDEX('Daily Sale entry '!$S$1:$S$1501,$J235-1499))))))</f>
        <v/>
      </c>
      <c r="G235" s="6">
        <f>IF($J235="","",IF($J235&lt;=1500,N(INDEX('Daily Sale entry '!$AD$1:$AD$1501,$J235+1)),0))</f>
        <v/>
      </c>
      <c r="H235" s="6">
        <f>IF($J235="","",ROUND('Opening Balance'!$B$4+SUM($F$2:F235)-SUM($G$2:G235),2))</f>
        <v/>
      </c>
      <c r="J235" s="21">
        <f>IFERROR(MATCH(ROW()-1,$L$2:$L$3001,0),"")</f>
        <v/>
      </c>
      <c r="K235" s="34">
        <f>IF(AND('Daily Sale entry '!X235&lt;&gt;"",OR('Daily Sale entry '!AC235&lt;&gt;"",'Daily Sale entry '!AD235&lt;&gt;"")),'Daily Sale entry '!X235+ROW()/10000000,"")</f>
        <v/>
      </c>
      <c r="L235" s="21">
        <f>IF(K235="","",COUNTIF($K$2:$K$3001,"&lt;"&amp;K235)+1)</f>
        <v/>
      </c>
    </row>
    <row r="236">
      <c r="A236" s="5">
        <f>IF($J236="","",IF($J236&lt;=1500,INDEX('Daily Sale entry '!$X$1:$X$1501,$J236+1),INDEX('Daily Sale entry '!$V$1:$V$1501,$J236-1499)))</f>
        <v/>
      </c>
      <c r="B236">
        <f>IF($J236="","",IF($J236&lt;=1500,INDEX('Daily Sale entry '!$Y$1:$Y$1501,$J236+1)&amp;"","Buyer cheque banked 买家支票存入"&amp;IF(INDEX('Daily Sale entry '!$U$1:$U$1501,$J236-1499)="","", " - "&amp;INDEX('Daily Sale entry '!$U$1:$U$1501,$J236-1499))))</f>
        <v/>
      </c>
      <c r="C236">
        <f>IF($J236="","",IF($J236&lt;=1500,INDEX('Daily Sale entry '!$Z$1:$Z$1501,$J236+1)&amp;"","Cheque deposit 支票存入 (buyer 买家)"))</f>
        <v/>
      </c>
      <c r="D236">
        <f>IF($J236="","",IF($J236&lt;=1500,INDEX('Daily Sale entry '!$AA$1:$AA$1501,$J236+1)&amp;"",INDEX('Daily Sale entry '!$P$1:$P$1501,$J236-1499)&amp;""))</f>
        <v/>
      </c>
      <c r="E236">
        <f>IF($J236="","",IF($J236&lt;=1500,IF(N(INDEX('Daily Sale entry '!$AB$1:$AB$1501,$J236+1))=0,"",INDEX('Daily Sale entry '!$AB$1:$AB$1501,$J236+1)),1))</f>
        <v/>
      </c>
      <c r="F236" s="6">
        <f>IF($J236="","",IF($J236&lt;=1500,N(INDEX('Daily Sale entry '!$AC$1:$AC$1501,$J236+1))-IF(AND('Opening Balance'!$B$15=1,INDEX('Daily Sale entry '!$Z$1:$Z$1501,$J236+1)="Online collection 网上收款",INDEX('Daily Sale entry '!$AA$1:$AA$1501,$J236+1)&lt;&gt;""),N(INDEX('Daily Sale entry '!$AC$1:$AC$1501,$J236+1))-TRUNC(N(INDEX('Daily Sale entry '!$AC$1:$AC$1501,$J236+1))),0),N(INDEX('Daily Sale entry '!$S$1:$S$1501,$J236-1499))-'Opening Balance'!$B$15*(N(INDEX('Daily Sale entry '!$S$1:$S$1501,$J236-1499))-TRUNC(N(INDEX('Daily Sale entry '!$S$1:$S$1501,$J236-1499))))))</f>
        <v/>
      </c>
      <c r="G236" s="6">
        <f>IF($J236="","",IF($J236&lt;=1500,N(INDEX('Daily Sale entry '!$AD$1:$AD$1501,$J236+1)),0))</f>
        <v/>
      </c>
      <c r="H236" s="6">
        <f>IF($J236="","",ROUND('Opening Balance'!$B$4+SUM($F$2:F236)-SUM($G$2:G236),2))</f>
        <v/>
      </c>
      <c r="J236" s="21">
        <f>IFERROR(MATCH(ROW()-1,$L$2:$L$3001,0),"")</f>
        <v/>
      </c>
      <c r="K236" s="34">
        <f>IF(AND('Daily Sale entry '!X236&lt;&gt;"",OR('Daily Sale entry '!AC236&lt;&gt;"",'Daily Sale entry '!AD236&lt;&gt;"")),'Daily Sale entry '!X236+ROW()/10000000,"")</f>
        <v/>
      </c>
      <c r="L236" s="21">
        <f>IF(K236="","",COUNTIF($K$2:$K$3001,"&lt;"&amp;K236)+1)</f>
        <v/>
      </c>
    </row>
    <row r="237">
      <c r="A237" s="5">
        <f>IF($J237="","",IF($J237&lt;=1500,INDEX('Daily Sale entry '!$X$1:$X$1501,$J237+1),INDEX('Daily Sale entry '!$V$1:$V$1501,$J237-1499)))</f>
        <v/>
      </c>
      <c r="B237">
        <f>IF($J237="","",IF($J237&lt;=1500,INDEX('Daily Sale entry '!$Y$1:$Y$1501,$J237+1)&amp;"","Buyer cheque banked 买家支票存入"&amp;IF(INDEX('Daily Sale entry '!$U$1:$U$1501,$J237-1499)="","", " - "&amp;INDEX('Daily Sale entry '!$U$1:$U$1501,$J237-1499))))</f>
        <v/>
      </c>
      <c r="C237">
        <f>IF($J237="","",IF($J237&lt;=1500,INDEX('Daily Sale entry '!$Z$1:$Z$1501,$J237+1)&amp;"","Cheque deposit 支票存入 (buyer 买家)"))</f>
        <v/>
      </c>
      <c r="D237">
        <f>IF($J237="","",IF($J237&lt;=1500,INDEX('Daily Sale entry '!$AA$1:$AA$1501,$J237+1)&amp;"",INDEX('Daily Sale entry '!$P$1:$P$1501,$J237-1499)&amp;""))</f>
        <v/>
      </c>
      <c r="E237">
        <f>IF($J237="","",IF($J237&lt;=1500,IF(N(INDEX('Daily Sale entry '!$AB$1:$AB$1501,$J237+1))=0,"",INDEX('Daily Sale entry '!$AB$1:$AB$1501,$J237+1)),1))</f>
        <v/>
      </c>
      <c r="F237" s="6">
        <f>IF($J237="","",IF($J237&lt;=1500,N(INDEX('Daily Sale entry '!$AC$1:$AC$1501,$J237+1))-IF(AND('Opening Balance'!$B$15=1,INDEX('Daily Sale entry '!$Z$1:$Z$1501,$J237+1)="Online collection 网上收款",INDEX('Daily Sale entry '!$AA$1:$AA$1501,$J237+1)&lt;&gt;""),N(INDEX('Daily Sale entry '!$AC$1:$AC$1501,$J237+1))-TRUNC(N(INDEX('Daily Sale entry '!$AC$1:$AC$1501,$J237+1))),0),N(INDEX('Daily Sale entry '!$S$1:$S$1501,$J237-1499))-'Opening Balance'!$B$15*(N(INDEX('Daily Sale entry '!$S$1:$S$1501,$J237-1499))-TRUNC(N(INDEX('Daily Sale entry '!$S$1:$S$1501,$J237-1499))))))</f>
        <v/>
      </c>
      <c r="G237" s="6">
        <f>IF($J237="","",IF($J237&lt;=1500,N(INDEX('Daily Sale entry '!$AD$1:$AD$1501,$J237+1)),0))</f>
        <v/>
      </c>
      <c r="H237" s="6">
        <f>IF($J237="","",ROUND('Opening Balance'!$B$4+SUM($F$2:F237)-SUM($G$2:G237),2))</f>
        <v/>
      </c>
      <c r="J237" s="21">
        <f>IFERROR(MATCH(ROW()-1,$L$2:$L$3001,0),"")</f>
        <v/>
      </c>
      <c r="K237" s="34">
        <f>IF(AND('Daily Sale entry '!X237&lt;&gt;"",OR('Daily Sale entry '!AC237&lt;&gt;"",'Daily Sale entry '!AD237&lt;&gt;"")),'Daily Sale entry '!X237+ROW()/10000000,"")</f>
        <v/>
      </c>
      <c r="L237" s="21">
        <f>IF(K237="","",COUNTIF($K$2:$K$3001,"&lt;"&amp;K237)+1)</f>
        <v/>
      </c>
    </row>
    <row r="238">
      <c r="A238" s="5">
        <f>IF($J238="","",IF($J238&lt;=1500,INDEX('Daily Sale entry '!$X$1:$X$1501,$J238+1),INDEX('Daily Sale entry '!$V$1:$V$1501,$J238-1499)))</f>
        <v/>
      </c>
      <c r="B238">
        <f>IF($J238="","",IF($J238&lt;=1500,INDEX('Daily Sale entry '!$Y$1:$Y$1501,$J238+1)&amp;"","Buyer cheque banked 买家支票存入"&amp;IF(INDEX('Daily Sale entry '!$U$1:$U$1501,$J238-1499)="","", " - "&amp;INDEX('Daily Sale entry '!$U$1:$U$1501,$J238-1499))))</f>
        <v/>
      </c>
      <c r="C238">
        <f>IF($J238="","",IF($J238&lt;=1500,INDEX('Daily Sale entry '!$Z$1:$Z$1501,$J238+1)&amp;"","Cheque deposit 支票存入 (buyer 买家)"))</f>
        <v/>
      </c>
      <c r="D238">
        <f>IF($J238="","",IF($J238&lt;=1500,INDEX('Daily Sale entry '!$AA$1:$AA$1501,$J238+1)&amp;"",INDEX('Daily Sale entry '!$P$1:$P$1501,$J238-1499)&amp;""))</f>
        <v/>
      </c>
      <c r="E238">
        <f>IF($J238="","",IF($J238&lt;=1500,IF(N(INDEX('Daily Sale entry '!$AB$1:$AB$1501,$J238+1))=0,"",INDEX('Daily Sale entry '!$AB$1:$AB$1501,$J238+1)),1))</f>
        <v/>
      </c>
      <c r="F238" s="6">
        <f>IF($J238="","",IF($J238&lt;=1500,N(INDEX('Daily Sale entry '!$AC$1:$AC$1501,$J238+1))-IF(AND('Opening Balance'!$B$15=1,INDEX('Daily Sale entry '!$Z$1:$Z$1501,$J238+1)="Online collection 网上收款",INDEX('Daily Sale entry '!$AA$1:$AA$1501,$J238+1)&lt;&gt;""),N(INDEX('Daily Sale entry '!$AC$1:$AC$1501,$J238+1))-TRUNC(N(INDEX('Daily Sale entry '!$AC$1:$AC$1501,$J238+1))),0),N(INDEX('Daily Sale entry '!$S$1:$S$1501,$J238-1499))-'Opening Balance'!$B$15*(N(INDEX('Daily Sale entry '!$S$1:$S$1501,$J238-1499))-TRUNC(N(INDEX('Daily Sale entry '!$S$1:$S$1501,$J238-1499))))))</f>
        <v/>
      </c>
      <c r="G238" s="6">
        <f>IF($J238="","",IF($J238&lt;=1500,N(INDEX('Daily Sale entry '!$AD$1:$AD$1501,$J238+1)),0))</f>
        <v/>
      </c>
      <c r="H238" s="6">
        <f>IF($J238="","",ROUND('Opening Balance'!$B$4+SUM($F$2:F238)-SUM($G$2:G238),2))</f>
        <v/>
      </c>
      <c r="J238" s="21">
        <f>IFERROR(MATCH(ROW()-1,$L$2:$L$3001,0),"")</f>
        <v/>
      </c>
      <c r="K238" s="34">
        <f>IF(AND('Daily Sale entry '!X238&lt;&gt;"",OR('Daily Sale entry '!AC238&lt;&gt;"",'Daily Sale entry '!AD238&lt;&gt;"")),'Daily Sale entry '!X238+ROW()/10000000,"")</f>
        <v/>
      </c>
      <c r="L238" s="21">
        <f>IF(K238="","",COUNTIF($K$2:$K$3001,"&lt;"&amp;K238)+1)</f>
        <v/>
      </c>
    </row>
    <row r="239">
      <c r="A239" s="5">
        <f>IF($J239="","",IF($J239&lt;=1500,INDEX('Daily Sale entry '!$X$1:$X$1501,$J239+1),INDEX('Daily Sale entry '!$V$1:$V$1501,$J239-1499)))</f>
        <v/>
      </c>
      <c r="B239">
        <f>IF($J239="","",IF($J239&lt;=1500,INDEX('Daily Sale entry '!$Y$1:$Y$1501,$J239+1)&amp;"","Buyer cheque banked 买家支票存入"&amp;IF(INDEX('Daily Sale entry '!$U$1:$U$1501,$J239-1499)="","", " - "&amp;INDEX('Daily Sale entry '!$U$1:$U$1501,$J239-1499))))</f>
        <v/>
      </c>
      <c r="C239">
        <f>IF($J239="","",IF($J239&lt;=1500,INDEX('Daily Sale entry '!$Z$1:$Z$1501,$J239+1)&amp;"","Cheque deposit 支票存入 (buyer 买家)"))</f>
        <v/>
      </c>
      <c r="D239">
        <f>IF($J239="","",IF($J239&lt;=1500,INDEX('Daily Sale entry '!$AA$1:$AA$1501,$J239+1)&amp;"",INDEX('Daily Sale entry '!$P$1:$P$1501,$J239-1499)&amp;""))</f>
        <v/>
      </c>
      <c r="E239">
        <f>IF($J239="","",IF($J239&lt;=1500,IF(N(INDEX('Daily Sale entry '!$AB$1:$AB$1501,$J239+1))=0,"",INDEX('Daily Sale entry '!$AB$1:$AB$1501,$J239+1)),1))</f>
        <v/>
      </c>
      <c r="F239" s="6">
        <f>IF($J239="","",IF($J239&lt;=1500,N(INDEX('Daily Sale entry '!$AC$1:$AC$1501,$J239+1))-IF(AND('Opening Balance'!$B$15=1,INDEX('Daily Sale entry '!$Z$1:$Z$1501,$J239+1)="Online collection 网上收款",INDEX('Daily Sale entry '!$AA$1:$AA$1501,$J239+1)&lt;&gt;""),N(INDEX('Daily Sale entry '!$AC$1:$AC$1501,$J239+1))-TRUNC(N(INDEX('Daily Sale entry '!$AC$1:$AC$1501,$J239+1))),0),N(INDEX('Daily Sale entry '!$S$1:$S$1501,$J239-1499))-'Opening Balance'!$B$15*(N(INDEX('Daily Sale entry '!$S$1:$S$1501,$J239-1499))-TRUNC(N(INDEX('Daily Sale entry '!$S$1:$S$1501,$J239-1499))))))</f>
        <v/>
      </c>
      <c r="G239" s="6">
        <f>IF($J239="","",IF($J239&lt;=1500,N(INDEX('Daily Sale entry '!$AD$1:$AD$1501,$J239+1)),0))</f>
        <v/>
      </c>
      <c r="H239" s="6">
        <f>IF($J239="","",ROUND('Opening Balance'!$B$4+SUM($F$2:F239)-SUM($G$2:G239),2))</f>
        <v/>
      </c>
      <c r="J239" s="21">
        <f>IFERROR(MATCH(ROW()-1,$L$2:$L$3001,0),"")</f>
        <v/>
      </c>
      <c r="K239" s="34">
        <f>IF(AND('Daily Sale entry '!X239&lt;&gt;"",OR('Daily Sale entry '!AC239&lt;&gt;"",'Daily Sale entry '!AD239&lt;&gt;"")),'Daily Sale entry '!X239+ROW()/10000000,"")</f>
        <v/>
      </c>
      <c r="L239" s="21">
        <f>IF(K239="","",COUNTIF($K$2:$K$3001,"&lt;"&amp;K239)+1)</f>
        <v/>
      </c>
    </row>
    <row r="240">
      <c r="A240" s="5">
        <f>IF($J240="","",IF($J240&lt;=1500,INDEX('Daily Sale entry '!$X$1:$X$1501,$J240+1),INDEX('Daily Sale entry '!$V$1:$V$1501,$J240-1499)))</f>
        <v/>
      </c>
      <c r="B240">
        <f>IF($J240="","",IF($J240&lt;=1500,INDEX('Daily Sale entry '!$Y$1:$Y$1501,$J240+1)&amp;"","Buyer cheque banked 买家支票存入"&amp;IF(INDEX('Daily Sale entry '!$U$1:$U$1501,$J240-1499)="","", " - "&amp;INDEX('Daily Sale entry '!$U$1:$U$1501,$J240-1499))))</f>
        <v/>
      </c>
      <c r="C240">
        <f>IF($J240="","",IF($J240&lt;=1500,INDEX('Daily Sale entry '!$Z$1:$Z$1501,$J240+1)&amp;"","Cheque deposit 支票存入 (buyer 买家)"))</f>
        <v/>
      </c>
      <c r="D240">
        <f>IF($J240="","",IF($J240&lt;=1500,INDEX('Daily Sale entry '!$AA$1:$AA$1501,$J240+1)&amp;"",INDEX('Daily Sale entry '!$P$1:$P$1501,$J240-1499)&amp;""))</f>
        <v/>
      </c>
      <c r="E240">
        <f>IF($J240="","",IF($J240&lt;=1500,IF(N(INDEX('Daily Sale entry '!$AB$1:$AB$1501,$J240+1))=0,"",INDEX('Daily Sale entry '!$AB$1:$AB$1501,$J240+1)),1))</f>
        <v/>
      </c>
      <c r="F240" s="6">
        <f>IF($J240="","",IF($J240&lt;=1500,N(INDEX('Daily Sale entry '!$AC$1:$AC$1501,$J240+1))-IF(AND('Opening Balance'!$B$15=1,INDEX('Daily Sale entry '!$Z$1:$Z$1501,$J240+1)="Online collection 网上收款",INDEX('Daily Sale entry '!$AA$1:$AA$1501,$J240+1)&lt;&gt;""),N(INDEX('Daily Sale entry '!$AC$1:$AC$1501,$J240+1))-TRUNC(N(INDEX('Daily Sale entry '!$AC$1:$AC$1501,$J240+1))),0),N(INDEX('Daily Sale entry '!$S$1:$S$1501,$J240-1499))-'Opening Balance'!$B$15*(N(INDEX('Daily Sale entry '!$S$1:$S$1501,$J240-1499))-TRUNC(N(INDEX('Daily Sale entry '!$S$1:$S$1501,$J240-1499))))))</f>
        <v/>
      </c>
      <c r="G240" s="6">
        <f>IF($J240="","",IF($J240&lt;=1500,N(INDEX('Daily Sale entry '!$AD$1:$AD$1501,$J240+1)),0))</f>
        <v/>
      </c>
      <c r="H240" s="6">
        <f>IF($J240="","",ROUND('Opening Balance'!$B$4+SUM($F$2:F240)-SUM($G$2:G240),2))</f>
        <v/>
      </c>
      <c r="J240" s="21">
        <f>IFERROR(MATCH(ROW()-1,$L$2:$L$3001,0),"")</f>
        <v/>
      </c>
      <c r="K240" s="34">
        <f>IF(AND('Daily Sale entry '!X240&lt;&gt;"",OR('Daily Sale entry '!AC240&lt;&gt;"",'Daily Sale entry '!AD240&lt;&gt;"")),'Daily Sale entry '!X240+ROW()/10000000,"")</f>
        <v/>
      </c>
      <c r="L240" s="21">
        <f>IF(K240="","",COUNTIF($K$2:$K$3001,"&lt;"&amp;K240)+1)</f>
        <v/>
      </c>
    </row>
    <row r="241">
      <c r="A241" s="5">
        <f>IF($J241="","",IF($J241&lt;=1500,INDEX('Daily Sale entry '!$X$1:$X$1501,$J241+1),INDEX('Daily Sale entry '!$V$1:$V$1501,$J241-1499)))</f>
        <v/>
      </c>
      <c r="B241">
        <f>IF($J241="","",IF($J241&lt;=1500,INDEX('Daily Sale entry '!$Y$1:$Y$1501,$J241+1)&amp;"","Buyer cheque banked 买家支票存入"&amp;IF(INDEX('Daily Sale entry '!$U$1:$U$1501,$J241-1499)="","", " - "&amp;INDEX('Daily Sale entry '!$U$1:$U$1501,$J241-1499))))</f>
        <v/>
      </c>
      <c r="C241">
        <f>IF($J241="","",IF($J241&lt;=1500,INDEX('Daily Sale entry '!$Z$1:$Z$1501,$J241+1)&amp;"","Cheque deposit 支票存入 (buyer 买家)"))</f>
        <v/>
      </c>
      <c r="D241">
        <f>IF($J241="","",IF($J241&lt;=1500,INDEX('Daily Sale entry '!$AA$1:$AA$1501,$J241+1)&amp;"",INDEX('Daily Sale entry '!$P$1:$P$1501,$J241-1499)&amp;""))</f>
        <v/>
      </c>
      <c r="E241">
        <f>IF($J241="","",IF($J241&lt;=1500,IF(N(INDEX('Daily Sale entry '!$AB$1:$AB$1501,$J241+1))=0,"",INDEX('Daily Sale entry '!$AB$1:$AB$1501,$J241+1)),1))</f>
        <v/>
      </c>
      <c r="F241" s="6">
        <f>IF($J241="","",IF($J241&lt;=1500,N(INDEX('Daily Sale entry '!$AC$1:$AC$1501,$J241+1))-IF(AND('Opening Balance'!$B$15=1,INDEX('Daily Sale entry '!$Z$1:$Z$1501,$J241+1)="Online collection 网上收款",INDEX('Daily Sale entry '!$AA$1:$AA$1501,$J241+1)&lt;&gt;""),N(INDEX('Daily Sale entry '!$AC$1:$AC$1501,$J241+1))-TRUNC(N(INDEX('Daily Sale entry '!$AC$1:$AC$1501,$J241+1))),0),N(INDEX('Daily Sale entry '!$S$1:$S$1501,$J241-1499))-'Opening Balance'!$B$15*(N(INDEX('Daily Sale entry '!$S$1:$S$1501,$J241-1499))-TRUNC(N(INDEX('Daily Sale entry '!$S$1:$S$1501,$J241-1499))))))</f>
        <v/>
      </c>
      <c r="G241" s="6">
        <f>IF($J241="","",IF($J241&lt;=1500,N(INDEX('Daily Sale entry '!$AD$1:$AD$1501,$J241+1)),0))</f>
        <v/>
      </c>
      <c r="H241" s="6">
        <f>IF($J241="","",ROUND('Opening Balance'!$B$4+SUM($F$2:F241)-SUM($G$2:G241),2))</f>
        <v/>
      </c>
      <c r="J241" s="21">
        <f>IFERROR(MATCH(ROW()-1,$L$2:$L$3001,0),"")</f>
        <v/>
      </c>
      <c r="K241" s="34">
        <f>IF(AND('Daily Sale entry '!X241&lt;&gt;"",OR('Daily Sale entry '!AC241&lt;&gt;"",'Daily Sale entry '!AD241&lt;&gt;"")),'Daily Sale entry '!X241+ROW()/10000000,"")</f>
        <v/>
      </c>
      <c r="L241" s="21">
        <f>IF(K241="","",COUNTIF($K$2:$K$3001,"&lt;"&amp;K241)+1)</f>
        <v/>
      </c>
    </row>
    <row r="242">
      <c r="A242" s="5">
        <f>IF($J242="","",IF($J242&lt;=1500,INDEX('Daily Sale entry '!$X$1:$X$1501,$J242+1),INDEX('Daily Sale entry '!$V$1:$V$1501,$J242-1499)))</f>
        <v/>
      </c>
      <c r="B242">
        <f>IF($J242="","",IF($J242&lt;=1500,INDEX('Daily Sale entry '!$Y$1:$Y$1501,$J242+1)&amp;"","Buyer cheque banked 买家支票存入"&amp;IF(INDEX('Daily Sale entry '!$U$1:$U$1501,$J242-1499)="","", " - "&amp;INDEX('Daily Sale entry '!$U$1:$U$1501,$J242-1499))))</f>
        <v/>
      </c>
      <c r="C242">
        <f>IF($J242="","",IF($J242&lt;=1500,INDEX('Daily Sale entry '!$Z$1:$Z$1501,$J242+1)&amp;"","Cheque deposit 支票存入 (buyer 买家)"))</f>
        <v/>
      </c>
      <c r="D242">
        <f>IF($J242="","",IF($J242&lt;=1500,INDEX('Daily Sale entry '!$AA$1:$AA$1501,$J242+1)&amp;"",INDEX('Daily Sale entry '!$P$1:$P$1501,$J242-1499)&amp;""))</f>
        <v/>
      </c>
      <c r="E242">
        <f>IF($J242="","",IF($J242&lt;=1500,IF(N(INDEX('Daily Sale entry '!$AB$1:$AB$1501,$J242+1))=0,"",INDEX('Daily Sale entry '!$AB$1:$AB$1501,$J242+1)),1))</f>
        <v/>
      </c>
      <c r="F242" s="6">
        <f>IF($J242="","",IF($J242&lt;=1500,N(INDEX('Daily Sale entry '!$AC$1:$AC$1501,$J242+1))-IF(AND('Opening Balance'!$B$15=1,INDEX('Daily Sale entry '!$Z$1:$Z$1501,$J242+1)="Online collection 网上收款",INDEX('Daily Sale entry '!$AA$1:$AA$1501,$J242+1)&lt;&gt;""),N(INDEX('Daily Sale entry '!$AC$1:$AC$1501,$J242+1))-TRUNC(N(INDEX('Daily Sale entry '!$AC$1:$AC$1501,$J242+1))),0),N(INDEX('Daily Sale entry '!$S$1:$S$1501,$J242-1499))-'Opening Balance'!$B$15*(N(INDEX('Daily Sale entry '!$S$1:$S$1501,$J242-1499))-TRUNC(N(INDEX('Daily Sale entry '!$S$1:$S$1501,$J242-1499))))))</f>
        <v/>
      </c>
      <c r="G242" s="6">
        <f>IF($J242="","",IF($J242&lt;=1500,N(INDEX('Daily Sale entry '!$AD$1:$AD$1501,$J242+1)),0))</f>
        <v/>
      </c>
      <c r="H242" s="6">
        <f>IF($J242="","",ROUND('Opening Balance'!$B$4+SUM($F$2:F242)-SUM($G$2:G242),2))</f>
        <v/>
      </c>
      <c r="J242" s="21">
        <f>IFERROR(MATCH(ROW()-1,$L$2:$L$3001,0),"")</f>
        <v/>
      </c>
      <c r="K242" s="34">
        <f>IF(AND('Daily Sale entry '!X242&lt;&gt;"",OR('Daily Sale entry '!AC242&lt;&gt;"",'Daily Sale entry '!AD242&lt;&gt;"")),'Daily Sale entry '!X242+ROW()/10000000,"")</f>
        <v/>
      </c>
      <c r="L242" s="21">
        <f>IF(K242="","",COUNTIF($K$2:$K$3001,"&lt;"&amp;K242)+1)</f>
        <v/>
      </c>
    </row>
    <row r="243">
      <c r="A243" s="5">
        <f>IF($J243="","",IF($J243&lt;=1500,INDEX('Daily Sale entry '!$X$1:$X$1501,$J243+1),INDEX('Daily Sale entry '!$V$1:$V$1501,$J243-1499)))</f>
        <v/>
      </c>
      <c r="B243">
        <f>IF($J243="","",IF($J243&lt;=1500,INDEX('Daily Sale entry '!$Y$1:$Y$1501,$J243+1)&amp;"","Buyer cheque banked 买家支票存入"&amp;IF(INDEX('Daily Sale entry '!$U$1:$U$1501,$J243-1499)="","", " - "&amp;INDEX('Daily Sale entry '!$U$1:$U$1501,$J243-1499))))</f>
        <v/>
      </c>
      <c r="C243">
        <f>IF($J243="","",IF($J243&lt;=1500,INDEX('Daily Sale entry '!$Z$1:$Z$1501,$J243+1)&amp;"","Cheque deposit 支票存入 (buyer 买家)"))</f>
        <v/>
      </c>
      <c r="D243">
        <f>IF($J243="","",IF($J243&lt;=1500,INDEX('Daily Sale entry '!$AA$1:$AA$1501,$J243+1)&amp;"",INDEX('Daily Sale entry '!$P$1:$P$1501,$J243-1499)&amp;""))</f>
        <v/>
      </c>
      <c r="E243">
        <f>IF($J243="","",IF($J243&lt;=1500,IF(N(INDEX('Daily Sale entry '!$AB$1:$AB$1501,$J243+1))=0,"",INDEX('Daily Sale entry '!$AB$1:$AB$1501,$J243+1)),1))</f>
        <v/>
      </c>
      <c r="F243" s="6">
        <f>IF($J243="","",IF($J243&lt;=1500,N(INDEX('Daily Sale entry '!$AC$1:$AC$1501,$J243+1))-IF(AND('Opening Balance'!$B$15=1,INDEX('Daily Sale entry '!$Z$1:$Z$1501,$J243+1)="Online collection 网上收款",INDEX('Daily Sale entry '!$AA$1:$AA$1501,$J243+1)&lt;&gt;""),N(INDEX('Daily Sale entry '!$AC$1:$AC$1501,$J243+1))-TRUNC(N(INDEX('Daily Sale entry '!$AC$1:$AC$1501,$J243+1))),0),N(INDEX('Daily Sale entry '!$S$1:$S$1501,$J243-1499))-'Opening Balance'!$B$15*(N(INDEX('Daily Sale entry '!$S$1:$S$1501,$J243-1499))-TRUNC(N(INDEX('Daily Sale entry '!$S$1:$S$1501,$J243-1499))))))</f>
        <v/>
      </c>
      <c r="G243" s="6">
        <f>IF($J243="","",IF($J243&lt;=1500,N(INDEX('Daily Sale entry '!$AD$1:$AD$1501,$J243+1)),0))</f>
        <v/>
      </c>
      <c r="H243" s="6">
        <f>IF($J243="","",ROUND('Opening Balance'!$B$4+SUM($F$2:F243)-SUM($G$2:G243),2))</f>
        <v/>
      </c>
      <c r="J243" s="21">
        <f>IFERROR(MATCH(ROW()-1,$L$2:$L$3001,0),"")</f>
        <v/>
      </c>
      <c r="K243" s="34">
        <f>IF(AND('Daily Sale entry '!X243&lt;&gt;"",OR('Daily Sale entry '!AC243&lt;&gt;"",'Daily Sale entry '!AD243&lt;&gt;"")),'Daily Sale entry '!X243+ROW()/10000000,"")</f>
        <v/>
      </c>
      <c r="L243" s="21">
        <f>IF(K243="","",COUNTIF($K$2:$K$3001,"&lt;"&amp;K243)+1)</f>
        <v/>
      </c>
    </row>
    <row r="244">
      <c r="A244" s="5">
        <f>IF($J244="","",IF($J244&lt;=1500,INDEX('Daily Sale entry '!$X$1:$X$1501,$J244+1),INDEX('Daily Sale entry '!$V$1:$V$1501,$J244-1499)))</f>
        <v/>
      </c>
      <c r="B244">
        <f>IF($J244="","",IF($J244&lt;=1500,INDEX('Daily Sale entry '!$Y$1:$Y$1501,$J244+1)&amp;"","Buyer cheque banked 买家支票存入"&amp;IF(INDEX('Daily Sale entry '!$U$1:$U$1501,$J244-1499)="","", " - "&amp;INDEX('Daily Sale entry '!$U$1:$U$1501,$J244-1499))))</f>
        <v/>
      </c>
      <c r="C244">
        <f>IF($J244="","",IF($J244&lt;=1500,INDEX('Daily Sale entry '!$Z$1:$Z$1501,$J244+1)&amp;"","Cheque deposit 支票存入 (buyer 买家)"))</f>
        <v/>
      </c>
      <c r="D244">
        <f>IF($J244="","",IF($J244&lt;=1500,INDEX('Daily Sale entry '!$AA$1:$AA$1501,$J244+1)&amp;"",INDEX('Daily Sale entry '!$P$1:$P$1501,$J244-1499)&amp;""))</f>
        <v/>
      </c>
      <c r="E244">
        <f>IF($J244="","",IF($J244&lt;=1500,IF(N(INDEX('Daily Sale entry '!$AB$1:$AB$1501,$J244+1))=0,"",INDEX('Daily Sale entry '!$AB$1:$AB$1501,$J244+1)),1))</f>
        <v/>
      </c>
      <c r="F244" s="6">
        <f>IF($J244="","",IF($J244&lt;=1500,N(INDEX('Daily Sale entry '!$AC$1:$AC$1501,$J244+1))-IF(AND('Opening Balance'!$B$15=1,INDEX('Daily Sale entry '!$Z$1:$Z$1501,$J244+1)="Online collection 网上收款",INDEX('Daily Sale entry '!$AA$1:$AA$1501,$J244+1)&lt;&gt;""),N(INDEX('Daily Sale entry '!$AC$1:$AC$1501,$J244+1))-TRUNC(N(INDEX('Daily Sale entry '!$AC$1:$AC$1501,$J244+1))),0),N(INDEX('Daily Sale entry '!$S$1:$S$1501,$J244-1499))-'Opening Balance'!$B$15*(N(INDEX('Daily Sale entry '!$S$1:$S$1501,$J244-1499))-TRUNC(N(INDEX('Daily Sale entry '!$S$1:$S$1501,$J244-1499))))))</f>
        <v/>
      </c>
      <c r="G244" s="6">
        <f>IF($J244="","",IF($J244&lt;=1500,N(INDEX('Daily Sale entry '!$AD$1:$AD$1501,$J244+1)),0))</f>
        <v/>
      </c>
      <c r="H244" s="6">
        <f>IF($J244="","",ROUND('Opening Balance'!$B$4+SUM($F$2:F244)-SUM($G$2:G244),2))</f>
        <v/>
      </c>
      <c r="J244" s="21">
        <f>IFERROR(MATCH(ROW()-1,$L$2:$L$3001,0),"")</f>
        <v/>
      </c>
      <c r="K244" s="34">
        <f>IF(AND('Daily Sale entry '!X244&lt;&gt;"",OR('Daily Sale entry '!AC244&lt;&gt;"",'Daily Sale entry '!AD244&lt;&gt;"")),'Daily Sale entry '!X244+ROW()/10000000,"")</f>
        <v/>
      </c>
      <c r="L244" s="21">
        <f>IF(K244="","",COUNTIF($K$2:$K$3001,"&lt;"&amp;K244)+1)</f>
        <v/>
      </c>
    </row>
    <row r="245">
      <c r="A245" s="5">
        <f>IF($J245="","",IF($J245&lt;=1500,INDEX('Daily Sale entry '!$X$1:$X$1501,$J245+1),INDEX('Daily Sale entry '!$V$1:$V$1501,$J245-1499)))</f>
        <v/>
      </c>
      <c r="B245">
        <f>IF($J245="","",IF($J245&lt;=1500,INDEX('Daily Sale entry '!$Y$1:$Y$1501,$J245+1)&amp;"","Buyer cheque banked 买家支票存入"&amp;IF(INDEX('Daily Sale entry '!$U$1:$U$1501,$J245-1499)="","", " - "&amp;INDEX('Daily Sale entry '!$U$1:$U$1501,$J245-1499))))</f>
        <v/>
      </c>
      <c r="C245">
        <f>IF($J245="","",IF($J245&lt;=1500,INDEX('Daily Sale entry '!$Z$1:$Z$1501,$J245+1)&amp;"","Cheque deposit 支票存入 (buyer 买家)"))</f>
        <v/>
      </c>
      <c r="D245">
        <f>IF($J245="","",IF($J245&lt;=1500,INDEX('Daily Sale entry '!$AA$1:$AA$1501,$J245+1)&amp;"",INDEX('Daily Sale entry '!$P$1:$P$1501,$J245-1499)&amp;""))</f>
        <v/>
      </c>
      <c r="E245">
        <f>IF($J245="","",IF($J245&lt;=1500,IF(N(INDEX('Daily Sale entry '!$AB$1:$AB$1501,$J245+1))=0,"",INDEX('Daily Sale entry '!$AB$1:$AB$1501,$J245+1)),1))</f>
        <v/>
      </c>
      <c r="F245" s="6">
        <f>IF($J245="","",IF($J245&lt;=1500,N(INDEX('Daily Sale entry '!$AC$1:$AC$1501,$J245+1))-IF(AND('Opening Balance'!$B$15=1,INDEX('Daily Sale entry '!$Z$1:$Z$1501,$J245+1)="Online collection 网上收款",INDEX('Daily Sale entry '!$AA$1:$AA$1501,$J245+1)&lt;&gt;""),N(INDEX('Daily Sale entry '!$AC$1:$AC$1501,$J245+1))-TRUNC(N(INDEX('Daily Sale entry '!$AC$1:$AC$1501,$J245+1))),0),N(INDEX('Daily Sale entry '!$S$1:$S$1501,$J245-1499))-'Opening Balance'!$B$15*(N(INDEX('Daily Sale entry '!$S$1:$S$1501,$J245-1499))-TRUNC(N(INDEX('Daily Sale entry '!$S$1:$S$1501,$J245-1499))))))</f>
        <v/>
      </c>
      <c r="G245" s="6">
        <f>IF($J245="","",IF($J245&lt;=1500,N(INDEX('Daily Sale entry '!$AD$1:$AD$1501,$J245+1)),0))</f>
        <v/>
      </c>
      <c r="H245" s="6">
        <f>IF($J245="","",ROUND('Opening Balance'!$B$4+SUM($F$2:F245)-SUM($G$2:G245),2))</f>
        <v/>
      </c>
      <c r="J245" s="21">
        <f>IFERROR(MATCH(ROW()-1,$L$2:$L$3001,0),"")</f>
        <v/>
      </c>
      <c r="K245" s="34">
        <f>IF(AND('Daily Sale entry '!X245&lt;&gt;"",OR('Daily Sale entry '!AC245&lt;&gt;"",'Daily Sale entry '!AD245&lt;&gt;"")),'Daily Sale entry '!X245+ROW()/10000000,"")</f>
        <v/>
      </c>
      <c r="L245" s="21">
        <f>IF(K245="","",COUNTIF($K$2:$K$3001,"&lt;"&amp;K245)+1)</f>
        <v/>
      </c>
    </row>
    <row r="246">
      <c r="A246" s="5">
        <f>IF($J246="","",IF($J246&lt;=1500,INDEX('Daily Sale entry '!$X$1:$X$1501,$J246+1),INDEX('Daily Sale entry '!$V$1:$V$1501,$J246-1499)))</f>
        <v/>
      </c>
      <c r="B246">
        <f>IF($J246="","",IF($J246&lt;=1500,INDEX('Daily Sale entry '!$Y$1:$Y$1501,$J246+1)&amp;"","Buyer cheque banked 买家支票存入"&amp;IF(INDEX('Daily Sale entry '!$U$1:$U$1501,$J246-1499)="","", " - "&amp;INDEX('Daily Sale entry '!$U$1:$U$1501,$J246-1499))))</f>
        <v/>
      </c>
      <c r="C246">
        <f>IF($J246="","",IF($J246&lt;=1500,INDEX('Daily Sale entry '!$Z$1:$Z$1501,$J246+1)&amp;"","Cheque deposit 支票存入 (buyer 买家)"))</f>
        <v/>
      </c>
      <c r="D246">
        <f>IF($J246="","",IF($J246&lt;=1500,INDEX('Daily Sale entry '!$AA$1:$AA$1501,$J246+1)&amp;"",INDEX('Daily Sale entry '!$P$1:$P$1501,$J246-1499)&amp;""))</f>
        <v/>
      </c>
      <c r="E246">
        <f>IF($J246="","",IF($J246&lt;=1500,IF(N(INDEX('Daily Sale entry '!$AB$1:$AB$1501,$J246+1))=0,"",INDEX('Daily Sale entry '!$AB$1:$AB$1501,$J246+1)),1))</f>
        <v/>
      </c>
      <c r="F246" s="6">
        <f>IF($J246="","",IF($J246&lt;=1500,N(INDEX('Daily Sale entry '!$AC$1:$AC$1501,$J246+1))-IF(AND('Opening Balance'!$B$15=1,INDEX('Daily Sale entry '!$Z$1:$Z$1501,$J246+1)="Online collection 网上收款",INDEX('Daily Sale entry '!$AA$1:$AA$1501,$J246+1)&lt;&gt;""),N(INDEX('Daily Sale entry '!$AC$1:$AC$1501,$J246+1))-TRUNC(N(INDEX('Daily Sale entry '!$AC$1:$AC$1501,$J246+1))),0),N(INDEX('Daily Sale entry '!$S$1:$S$1501,$J246-1499))-'Opening Balance'!$B$15*(N(INDEX('Daily Sale entry '!$S$1:$S$1501,$J246-1499))-TRUNC(N(INDEX('Daily Sale entry '!$S$1:$S$1501,$J246-1499))))))</f>
        <v/>
      </c>
      <c r="G246" s="6">
        <f>IF($J246="","",IF($J246&lt;=1500,N(INDEX('Daily Sale entry '!$AD$1:$AD$1501,$J246+1)),0))</f>
        <v/>
      </c>
      <c r="H246" s="6">
        <f>IF($J246="","",ROUND('Opening Balance'!$B$4+SUM($F$2:F246)-SUM($G$2:G246),2))</f>
        <v/>
      </c>
      <c r="J246" s="21">
        <f>IFERROR(MATCH(ROW()-1,$L$2:$L$3001,0),"")</f>
        <v/>
      </c>
      <c r="K246" s="34">
        <f>IF(AND('Daily Sale entry '!X246&lt;&gt;"",OR('Daily Sale entry '!AC246&lt;&gt;"",'Daily Sale entry '!AD246&lt;&gt;"")),'Daily Sale entry '!X246+ROW()/10000000,"")</f>
        <v/>
      </c>
      <c r="L246" s="21">
        <f>IF(K246="","",COUNTIF($K$2:$K$3001,"&lt;"&amp;K246)+1)</f>
        <v/>
      </c>
    </row>
    <row r="247">
      <c r="A247" s="5">
        <f>IF($J247="","",IF($J247&lt;=1500,INDEX('Daily Sale entry '!$X$1:$X$1501,$J247+1),INDEX('Daily Sale entry '!$V$1:$V$1501,$J247-1499)))</f>
        <v/>
      </c>
      <c r="B247">
        <f>IF($J247="","",IF($J247&lt;=1500,INDEX('Daily Sale entry '!$Y$1:$Y$1501,$J247+1)&amp;"","Buyer cheque banked 买家支票存入"&amp;IF(INDEX('Daily Sale entry '!$U$1:$U$1501,$J247-1499)="","", " - "&amp;INDEX('Daily Sale entry '!$U$1:$U$1501,$J247-1499))))</f>
        <v/>
      </c>
      <c r="C247">
        <f>IF($J247="","",IF($J247&lt;=1500,INDEX('Daily Sale entry '!$Z$1:$Z$1501,$J247+1)&amp;"","Cheque deposit 支票存入 (buyer 买家)"))</f>
        <v/>
      </c>
      <c r="D247">
        <f>IF($J247="","",IF($J247&lt;=1500,INDEX('Daily Sale entry '!$AA$1:$AA$1501,$J247+1)&amp;"",INDEX('Daily Sale entry '!$P$1:$P$1501,$J247-1499)&amp;""))</f>
        <v/>
      </c>
      <c r="E247">
        <f>IF($J247="","",IF($J247&lt;=1500,IF(N(INDEX('Daily Sale entry '!$AB$1:$AB$1501,$J247+1))=0,"",INDEX('Daily Sale entry '!$AB$1:$AB$1501,$J247+1)),1))</f>
        <v/>
      </c>
      <c r="F247" s="6">
        <f>IF($J247="","",IF($J247&lt;=1500,N(INDEX('Daily Sale entry '!$AC$1:$AC$1501,$J247+1))-IF(AND('Opening Balance'!$B$15=1,INDEX('Daily Sale entry '!$Z$1:$Z$1501,$J247+1)="Online collection 网上收款",INDEX('Daily Sale entry '!$AA$1:$AA$1501,$J247+1)&lt;&gt;""),N(INDEX('Daily Sale entry '!$AC$1:$AC$1501,$J247+1))-TRUNC(N(INDEX('Daily Sale entry '!$AC$1:$AC$1501,$J247+1))),0),N(INDEX('Daily Sale entry '!$S$1:$S$1501,$J247-1499))-'Opening Balance'!$B$15*(N(INDEX('Daily Sale entry '!$S$1:$S$1501,$J247-1499))-TRUNC(N(INDEX('Daily Sale entry '!$S$1:$S$1501,$J247-1499))))))</f>
        <v/>
      </c>
      <c r="G247" s="6">
        <f>IF($J247="","",IF($J247&lt;=1500,N(INDEX('Daily Sale entry '!$AD$1:$AD$1501,$J247+1)),0))</f>
        <v/>
      </c>
      <c r="H247" s="6">
        <f>IF($J247="","",ROUND('Opening Balance'!$B$4+SUM($F$2:F247)-SUM($G$2:G247),2))</f>
        <v/>
      </c>
      <c r="J247" s="21">
        <f>IFERROR(MATCH(ROW()-1,$L$2:$L$3001,0),"")</f>
        <v/>
      </c>
      <c r="K247" s="34">
        <f>IF(AND('Daily Sale entry '!X247&lt;&gt;"",OR('Daily Sale entry '!AC247&lt;&gt;"",'Daily Sale entry '!AD247&lt;&gt;"")),'Daily Sale entry '!X247+ROW()/10000000,"")</f>
        <v/>
      </c>
      <c r="L247" s="21">
        <f>IF(K247="","",COUNTIF($K$2:$K$3001,"&lt;"&amp;K247)+1)</f>
        <v/>
      </c>
    </row>
    <row r="248">
      <c r="A248" s="5">
        <f>IF($J248="","",IF($J248&lt;=1500,INDEX('Daily Sale entry '!$X$1:$X$1501,$J248+1),INDEX('Daily Sale entry '!$V$1:$V$1501,$J248-1499)))</f>
        <v/>
      </c>
      <c r="B248">
        <f>IF($J248="","",IF($J248&lt;=1500,INDEX('Daily Sale entry '!$Y$1:$Y$1501,$J248+1)&amp;"","Buyer cheque banked 买家支票存入"&amp;IF(INDEX('Daily Sale entry '!$U$1:$U$1501,$J248-1499)="","", " - "&amp;INDEX('Daily Sale entry '!$U$1:$U$1501,$J248-1499))))</f>
        <v/>
      </c>
      <c r="C248">
        <f>IF($J248="","",IF($J248&lt;=1500,INDEX('Daily Sale entry '!$Z$1:$Z$1501,$J248+1)&amp;"","Cheque deposit 支票存入 (buyer 买家)"))</f>
        <v/>
      </c>
      <c r="D248">
        <f>IF($J248="","",IF($J248&lt;=1500,INDEX('Daily Sale entry '!$AA$1:$AA$1501,$J248+1)&amp;"",INDEX('Daily Sale entry '!$P$1:$P$1501,$J248-1499)&amp;""))</f>
        <v/>
      </c>
      <c r="E248">
        <f>IF($J248="","",IF($J248&lt;=1500,IF(N(INDEX('Daily Sale entry '!$AB$1:$AB$1501,$J248+1))=0,"",INDEX('Daily Sale entry '!$AB$1:$AB$1501,$J248+1)),1))</f>
        <v/>
      </c>
      <c r="F248" s="6">
        <f>IF($J248="","",IF($J248&lt;=1500,N(INDEX('Daily Sale entry '!$AC$1:$AC$1501,$J248+1))-IF(AND('Opening Balance'!$B$15=1,INDEX('Daily Sale entry '!$Z$1:$Z$1501,$J248+1)="Online collection 网上收款",INDEX('Daily Sale entry '!$AA$1:$AA$1501,$J248+1)&lt;&gt;""),N(INDEX('Daily Sale entry '!$AC$1:$AC$1501,$J248+1))-TRUNC(N(INDEX('Daily Sale entry '!$AC$1:$AC$1501,$J248+1))),0),N(INDEX('Daily Sale entry '!$S$1:$S$1501,$J248-1499))-'Opening Balance'!$B$15*(N(INDEX('Daily Sale entry '!$S$1:$S$1501,$J248-1499))-TRUNC(N(INDEX('Daily Sale entry '!$S$1:$S$1501,$J248-1499))))))</f>
        <v/>
      </c>
      <c r="G248" s="6">
        <f>IF($J248="","",IF($J248&lt;=1500,N(INDEX('Daily Sale entry '!$AD$1:$AD$1501,$J248+1)),0))</f>
        <v/>
      </c>
      <c r="H248" s="6">
        <f>IF($J248="","",ROUND('Opening Balance'!$B$4+SUM($F$2:F248)-SUM($G$2:G248),2))</f>
        <v/>
      </c>
      <c r="J248" s="21">
        <f>IFERROR(MATCH(ROW()-1,$L$2:$L$3001,0),"")</f>
        <v/>
      </c>
      <c r="K248" s="34">
        <f>IF(AND('Daily Sale entry '!X248&lt;&gt;"",OR('Daily Sale entry '!AC248&lt;&gt;"",'Daily Sale entry '!AD248&lt;&gt;"")),'Daily Sale entry '!X248+ROW()/10000000,"")</f>
        <v/>
      </c>
      <c r="L248" s="21">
        <f>IF(K248="","",COUNTIF($K$2:$K$3001,"&lt;"&amp;K248)+1)</f>
        <v/>
      </c>
    </row>
    <row r="249">
      <c r="A249" s="5">
        <f>IF($J249="","",IF($J249&lt;=1500,INDEX('Daily Sale entry '!$X$1:$X$1501,$J249+1),INDEX('Daily Sale entry '!$V$1:$V$1501,$J249-1499)))</f>
        <v/>
      </c>
      <c r="B249">
        <f>IF($J249="","",IF($J249&lt;=1500,INDEX('Daily Sale entry '!$Y$1:$Y$1501,$J249+1)&amp;"","Buyer cheque banked 买家支票存入"&amp;IF(INDEX('Daily Sale entry '!$U$1:$U$1501,$J249-1499)="","", " - "&amp;INDEX('Daily Sale entry '!$U$1:$U$1501,$J249-1499))))</f>
        <v/>
      </c>
      <c r="C249">
        <f>IF($J249="","",IF($J249&lt;=1500,INDEX('Daily Sale entry '!$Z$1:$Z$1501,$J249+1)&amp;"","Cheque deposit 支票存入 (buyer 买家)"))</f>
        <v/>
      </c>
      <c r="D249">
        <f>IF($J249="","",IF($J249&lt;=1500,INDEX('Daily Sale entry '!$AA$1:$AA$1501,$J249+1)&amp;"",INDEX('Daily Sale entry '!$P$1:$P$1501,$J249-1499)&amp;""))</f>
        <v/>
      </c>
      <c r="E249">
        <f>IF($J249="","",IF($J249&lt;=1500,IF(N(INDEX('Daily Sale entry '!$AB$1:$AB$1501,$J249+1))=0,"",INDEX('Daily Sale entry '!$AB$1:$AB$1501,$J249+1)),1))</f>
        <v/>
      </c>
      <c r="F249" s="6">
        <f>IF($J249="","",IF($J249&lt;=1500,N(INDEX('Daily Sale entry '!$AC$1:$AC$1501,$J249+1))-IF(AND('Opening Balance'!$B$15=1,INDEX('Daily Sale entry '!$Z$1:$Z$1501,$J249+1)="Online collection 网上收款",INDEX('Daily Sale entry '!$AA$1:$AA$1501,$J249+1)&lt;&gt;""),N(INDEX('Daily Sale entry '!$AC$1:$AC$1501,$J249+1))-TRUNC(N(INDEX('Daily Sale entry '!$AC$1:$AC$1501,$J249+1))),0),N(INDEX('Daily Sale entry '!$S$1:$S$1501,$J249-1499))-'Opening Balance'!$B$15*(N(INDEX('Daily Sale entry '!$S$1:$S$1501,$J249-1499))-TRUNC(N(INDEX('Daily Sale entry '!$S$1:$S$1501,$J249-1499))))))</f>
        <v/>
      </c>
      <c r="G249" s="6">
        <f>IF($J249="","",IF($J249&lt;=1500,N(INDEX('Daily Sale entry '!$AD$1:$AD$1501,$J249+1)),0))</f>
        <v/>
      </c>
      <c r="H249" s="6">
        <f>IF($J249="","",ROUND('Opening Balance'!$B$4+SUM($F$2:F249)-SUM($G$2:G249),2))</f>
        <v/>
      </c>
      <c r="J249" s="21">
        <f>IFERROR(MATCH(ROW()-1,$L$2:$L$3001,0),"")</f>
        <v/>
      </c>
      <c r="K249" s="34">
        <f>IF(AND('Daily Sale entry '!X249&lt;&gt;"",OR('Daily Sale entry '!AC249&lt;&gt;"",'Daily Sale entry '!AD249&lt;&gt;"")),'Daily Sale entry '!X249+ROW()/10000000,"")</f>
        <v/>
      </c>
      <c r="L249" s="21">
        <f>IF(K249="","",COUNTIF($K$2:$K$3001,"&lt;"&amp;K249)+1)</f>
        <v/>
      </c>
    </row>
    <row r="250">
      <c r="A250" s="5">
        <f>IF($J250="","",IF($J250&lt;=1500,INDEX('Daily Sale entry '!$X$1:$X$1501,$J250+1),INDEX('Daily Sale entry '!$V$1:$V$1501,$J250-1499)))</f>
        <v/>
      </c>
      <c r="B250">
        <f>IF($J250="","",IF($J250&lt;=1500,INDEX('Daily Sale entry '!$Y$1:$Y$1501,$J250+1)&amp;"","Buyer cheque banked 买家支票存入"&amp;IF(INDEX('Daily Sale entry '!$U$1:$U$1501,$J250-1499)="","", " - "&amp;INDEX('Daily Sale entry '!$U$1:$U$1501,$J250-1499))))</f>
        <v/>
      </c>
      <c r="C250">
        <f>IF($J250="","",IF($J250&lt;=1500,INDEX('Daily Sale entry '!$Z$1:$Z$1501,$J250+1)&amp;"","Cheque deposit 支票存入 (buyer 买家)"))</f>
        <v/>
      </c>
      <c r="D250">
        <f>IF($J250="","",IF($J250&lt;=1500,INDEX('Daily Sale entry '!$AA$1:$AA$1501,$J250+1)&amp;"",INDEX('Daily Sale entry '!$P$1:$P$1501,$J250-1499)&amp;""))</f>
        <v/>
      </c>
      <c r="E250">
        <f>IF($J250="","",IF($J250&lt;=1500,IF(N(INDEX('Daily Sale entry '!$AB$1:$AB$1501,$J250+1))=0,"",INDEX('Daily Sale entry '!$AB$1:$AB$1501,$J250+1)),1))</f>
        <v/>
      </c>
      <c r="F250" s="6">
        <f>IF($J250="","",IF($J250&lt;=1500,N(INDEX('Daily Sale entry '!$AC$1:$AC$1501,$J250+1))-IF(AND('Opening Balance'!$B$15=1,INDEX('Daily Sale entry '!$Z$1:$Z$1501,$J250+1)="Online collection 网上收款",INDEX('Daily Sale entry '!$AA$1:$AA$1501,$J250+1)&lt;&gt;""),N(INDEX('Daily Sale entry '!$AC$1:$AC$1501,$J250+1))-TRUNC(N(INDEX('Daily Sale entry '!$AC$1:$AC$1501,$J250+1))),0),N(INDEX('Daily Sale entry '!$S$1:$S$1501,$J250-1499))-'Opening Balance'!$B$15*(N(INDEX('Daily Sale entry '!$S$1:$S$1501,$J250-1499))-TRUNC(N(INDEX('Daily Sale entry '!$S$1:$S$1501,$J250-1499))))))</f>
        <v/>
      </c>
      <c r="G250" s="6">
        <f>IF($J250="","",IF($J250&lt;=1500,N(INDEX('Daily Sale entry '!$AD$1:$AD$1501,$J250+1)),0))</f>
        <v/>
      </c>
      <c r="H250" s="6">
        <f>IF($J250="","",ROUND('Opening Balance'!$B$4+SUM($F$2:F250)-SUM($G$2:G250),2))</f>
        <v/>
      </c>
      <c r="J250" s="21">
        <f>IFERROR(MATCH(ROW()-1,$L$2:$L$3001,0),"")</f>
        <v/>
      </c>
      <c r="K250" s="34">
        <f>IF(AND('Daily Sale entry '!X250&lt;&gt;"",OR('Daily Sale entry '!AC250&lt;&gt;"",'Daily Sale entry '!AD250&lt;&gt;"")),'Daily Sale entry '!X250+ROW()/10000000,"")</f>
        <v/>
      </c>
      <c r="L250" s="21">
        <f>IF(K250="","",COUNTIF($K$2:$K$3001,"&lt;"&amp;K250)+1)</f>
        <v/>
      </c>
    </row>
    <row r="251">
      <c r="A251" s="5">
        <f>IF($J251="","",IF($J251&lt;=1500,INDEX('Daily Sale entry '!$X$1:$X$1501,$J251+1),INDEX('Daily Sale entry '!$V$1:$V$1501,$J251-1499)))</f>
        <v/>
      </c>
      <c r="B251">
        <f>IF($J251="","",IF($J251&lt;=1500,INDEX('Daily Sale entry '!$Y$1:$Y$1501,$J251+1)&amp;"","Buyer cheque banked 买家支票存入"&amp;IF(INDEX('Daily Sale entry '!$U$1:$U$1501,$J251-1499)="","", " - "&amp;INDEX('Daily Sale entry '!$U$1:$U$1501,$J251-1499))))</f>
        <v/>
      </c>
      <c r="C251">
        <f>IF($J251="","",IF($J251&lt;=1500,INDEX('Daily Sale entry '!$Z$1:$Z$1501,$J251+1)&amp;"","Cheque deposit 支票存入 (buyer 买家)"))</f>
        <v/>
      </c>
      <c r="D251">
        <f>IF($J251="","",IF($J251&lt;=1500,INDEX('Daily Sale entry '!$AA$1:$AA$1501,$J251+1)&amp;"",INDEX('Daily Sale entry '!$P$1:$P$1501,$J251-1499)&amp;""))</f>
        <v/>
      </c>
      <c r="E251">
        <f>IF($J251="","",IF($J251&lt;=1500,IF(N(INDEX('Daily Sale entry '!$AB$1:$AB$1501,$J251+1))=0,"",INDEX('Daily Sale entry '!$AB$1:$AB$1501,$J251+1)),1))</f>
        <v/>
      </c>
      <c r="F251" s="6">
        <f>IF($J251="","",IF($J251&lt;=1500,N(INDEX('Daily Sale entry '!$AC$1:$AC$1501,$J251+1))-IF(AND('Opening Balance'!$B$15=1,INDEX('Daily Sale entry '!$Z$1:$Z$1501,$J251+1)="Online collection 网上收款",INDEX('Daily Sale entry '!$AA$1:$AA$1501,$J251+1)&lt;&gt;""),N(INDEX('Daily Sale entry '!$AC$1:$AC$1501,$J251+1))-TRUNC(N(INDEX('Daily Sale entry '!$AC$1:$AC$1501,$J251+1))),0),N(INDEX('Daily Sale entry '!$S$1:$S$1501,$J251-1499))-'Opening Balance'!$B$15*(N(INDEX('Daily Sale entry '!$S$1:$S$1501,$J251-1499))-TRUNC(N(INDEX('Daily Sale entry '!$S$1:$S$1501,$J251-1499))))))</f>
        <v/>
      </c>
      <c r="G251" s="6">
        <f>IF($J251="","",IF($J251&lt;=1500,N(INDEX('Daily Sale entry '!$AD$1:$AD$1501,$J251+1)),0))</f>
        <v/>
      </c>
      <c r="H251" s="6">
        <f>IF($J251="","",ROUND('Opening Balance'!$B$4+SUM($F$2:F251)-SUM($G$2:G251),2))</f>
        <v/>
      </c>
      <c r="J251" s="21">
        <f>IFERROR(MATCH(ROW()-1,$L$2:$L$3001,0),"")</f>
        <v/>
      </c>
      <c r="K251" s="34">
        <f>IF(AND('Daily Sale entry '!X251&lt;&gt;"",OR('Daily Sale entry '!AC251&lt;&gt;"",'Daily Sale entry '!AD251&lt;&gt;"")),'Daily Sale entry '!X251+ROW()/10000000,"")</f>
        <v/>
      </c>
      <c r="L251" s="21">
        <f>IF(K251="","",COUNTIF($K$2:$K$3001,"&lt;"&amp;K251)+1)</f>
        <v/>
      </c>
    </row>
    <row r="252">
      <c r="A252" s="5">
        <f>IF($J252="","",IF($J252&lt;=1500,INDEX('Daily Sale entry '!$X$1:$X$1501,$J252+1),INDEX('Daily Sale entry '!$V$1:$V$1501,$J252-1499)))</f>
        <v/>
      </c>
      <c r="B252">
        <f>IF($J252="","",IF($J252&lt;=1500,INDEX('Daily Sale entry '!$Y$1:$Y$1501,$J252+1)&amp;"","Buyer cheque banked 买家支票存入"&amp;IF(INDEX('Daily Sale entry '!$U$1:$U$1501,$J252-1499)="","", " - "&amp;INDEX('Daily Sale entry '!$U$1:$U$1501,$J252-1499))))</f>
        <v/>
      </c>
      <c r="C252">
        <f>IF($J252="","",IF($J252&lt;=1500,INDEX('Daily Sale entry '!$Z$1:$Z$1501,$J252+1)&amp;"","Cheque deposit 支票存入 (buyer 买家)"))</f>
        <v/>
      </c>
      <c r="D252">
        <f>IF($J252="","",IF($J252&lt;=1500,INDEX('Daily Sale entry '!$AA$1:$AA$1501,$J252+1)&amp;"",INDEX('Daily Sale entry '!$P$1:$P$1501,$J252-1499)&amp;""))</f>
        <v/>
      </c>
      <c r="E252">
        <f>IF($J252="","",IF($J252&lt;=1500,IF(N(INDEX('Daily Sale entry '!$AB$1:$AB$1501,$J252+1))=0,"",INDEX('Daily Sale entry '!$AB$1:$AB$1501,$J252+1)),1))</f>
        <v/>
      </c>
      <c r="F252" s="6">
        <f>IF($J252="","",IF($J252&lt;=1500,N(INDEX('Daily Sale entry '!$AC$1:$AC$1501,$J252+1))-IF(AND('Opening Balance'!$B$15=1,INDEX('Daily Sale entry '!$Z$1:$Z$1501,$J252+1)="Online collection 网上收款",INDEX('Daily Sale entry '!$AA$1:$AA$1501,$J252+1)&lt;&gt;""),N(INDEX('Daily Sale entry '!$AC$1:$AC$1501,$J252+1))-TRUNC(N(INDEX('Daily Sale entry '!$AC$1:$AC$1501,$J252+1))),0),N(INDEX('Daily Sale entry '!$S$1:$S$1501,$J252-1499))-'Opening Balance'!$B$15*(N(INDEX('Daily Sale entry '!$S$1:$S$1501,$J252-1499))-TRUNC(N(INDEX('Daily Sale entry '!$S$1:$S$1501,$J252-1499))))))</f>
        <v/>
      </c>
      <c r="G252" s="6">
        <f>IF($J252="","",IF($J252&lt;=1500,N(INDEX('Daily Sale entry '!$AD$1:$AD$1501,$J252+1)),0))</f>
        <v/>
      </c>
      <c r="H252" s="6">
        <f>IF($J252="","",ROUND('Opening Balance'!$B$4+SUM($F$2:F252)-SUM($G$2:G252),2))</f>
        <v/>
      </c>
      <c r="J252" s="21">
        <f>IFERROR(MATCH(ROW()-1,$L$2:$L$3001,0),"")</f>
        <v/>
      </c>
      <c r="K252" s="34">
        <f>IF(AND('Daily Sale entry '!X252&lt;&gt;"",OR('Daily Sale entry '!AC252&lt;&gt;"",'Daily Sale entry '!AD252&lt;&gt;"")),'Daily Sale entry '!X252+ROW()/10000000,"")</f>
        <v/>
      </c>
      <c r="L252" s="21">
        <f>IF(K252="","",COUNTIF($K$2:$K$3001,"&lt;"&amp;K252)+1)</f>
        <v/>
      </c>
    </row>
    <row r="253">
      <c r="A253" s="5">
        <f>IF($J253="","",IF($J253&lt;=1500,INDEX('Daily Sale entry '!$X$1:$X$1501,$J253+1),INDEX('Daily Sale entry '!$V$1:$V$1501,$J253-1499)))</f>
        <v/>
      </c>
      <c r="B253">
        <f>IF($J253="","",IF($J253&lt;=1500,INDEX('Daily Sale entry '!$Y$1:$Y$1501,$J253+1)&amp;"","Buyer cheque banked 买家支票存入"&amp;IF(INDEX('Daily Sale entry '!$U$1:$U$1501,$J253-1499)="","", " - "&amp;INDEX('Daily Sale entry '!$U$1:$U$1501,$J253-1499))))</f>
        <v/>
      </c>
      <c r="C253">
        <f>IF($J253="","",IF($J253&lt;=1500,INDEX('Daily Sale entry '!$Z$1:$Z$1501,$J253+1)&amp;"","Cheque deposit 支票存入 (buyer 买家)"))</f>
        <v/>
      </c>
      <c r="D253">
        <f>IF($J253="","",IF($J253&lt;=1500,INDEX('Daily Sale entry '!$AA$1:$AA$1501,$J253+1)&amp;"",INDEX('Daily Sale entry '!$P$1:$P$1501,$J253-1499)&amp;""))</f>
        <v/>
      </c>
      <c r="E253">
        <f>IF($J253="","",IF($J253&lt;=1500,IF(N(INDEX('Daily Sale entry '!$AB$1:$AB$1501,$J253+1))=0,"",INDEX('Daily Sale entry '!$AB$1:$AB$1501,$J253+1)),1))</f>
        <v/>
      </c>
      <c r="F253" s="6">
        <f>IF($J253="","",IF($J253&lt;=1500,N(INDEX('Daily Sale entry '!$AC$1:$AC$1501,$J253+1))-IF(AND('Opening Balance'!$B$15=1,INDEX('Daily Sale entry '!$Z$1:$Z$1501,$J253+1)="Online collection 网上收款",INDEX('Daily Sale entry '!$AA$1:$AA$1501,$J253+1)&lt;&gt;""),N(INDEX('Daily Sale entry '!$AC$1:$AC$1501,$J253+1))-TRUNC(N(INDEX('Daily Sale entry '!$AC$1:$AC$1501,$J253+1))),0),N(INDEX('Daily Sale entry '!$S$1:$S$1501,$J253-1499))-'Opening Balance'!$B$15*(N(INDEX('Daily Sale entry '!$S$1:$S$1501,$J253-1499))-TRUNC(N(INDEX('Daily Sale entry '!$S$1:$S$1501,$J253-1499))))))</f>
        <v/>
      </c>
      <c r="G253" s="6">
        <f>IF($J253="","",IF($J253&lt;=1500,N(INDEX('Daily Sale entry '!$AD$1:$AD$1501,$J253+1)),0))</f>
        <v/>
      </c>
      <c r="H253" s="6">
        <f>IF($J253="","",ROUND('Opening Balance'!$B$4+SUM($F$2:F253)-SUM($G$2:G253),2))</f>
        <v/>
      </c>
      <c r="J253" s="21">
        <f>IFERROR(MATCH(ROW()-1,$L$2:$L$3001,0),"")</f>
        <v/>
      </c>
      <c r="K253" s="34">
        <f>IF(AND('Daily Sale entry '!X253&lt;&gt;"",OR('Daily Sale entry '!AC253&lt;&gt;"",'Daily Sale entry '!AD253&lt;&gt;"")),'Daily Sale entry '!X253+ROW()/10000000,"")</f>
        <v/>
      </c>
      <c r="L253" s="21">
        <f>IF(K253="","",COUNTIF($K$2:$K$3001,"&lt;"&amp;K253)+1)</f>
        <v/>
      </c>
    </row>
    <row r="254">
      <c r="A254" s="5">
        <f>IF($J254="","",IF($J254&lt;=1500,INDEX('Daily Sale entry '!$X$1:$X$1501,$J254+1),INDEX('Daily Sale entry '!$V$1:$V$1501,$J254-1499)))</f>
        <v/>
      </c>
      <c r="B254">
        <f>IF($J254="","",IF($J254&lt;=1500,INDEX('Daily Sale entry '!$Y$1:$Y$1501,$J254+1)&amp;"","Buyer cheque banked 买家支票存入"&amp;IF(INDEX('Daily Sale entry '!$U$1:$U$1501,$J254-1499)="","", " - "&amp;INDEX('Daily Sale entry '!$U$1:$U$1501,$J254-1499))))</f>
        <v/>
      </c>
      <c r="C254">
        <f>IF($J254="","",IF($J254&lt;=1500,INDEX('Daily Sale entry '!$Z$1:$Z$1501,$J254+1)&amp;"","Cheque deposit 支票存入 (buyer 买家)"))</f>
        <v/>
      </c>
      <c r="D254">
        <f>IF($J254="","",IF($J254&lt;=1500,INDEX('Daily Sale entry '!$AA$1:$AA$1501,$J254+1)&amp;"",INDEX('Daily Sale entry '!$P$1:$P$1501,$J254-1499)&amp;""))</f>
        <v/>
      </c>
      <c r="E254">
        <f>IF($J254="","",IF($J254&lt;=1500,IF(N(INDEX('Daily Sale entry '!$AB$1:$AB$1501,$J254+1))=0,"",INDEX('Daily Sale entry '!$AB$1:$AB$1501,$J254+1)),1))</f>
        <v/>
      </c>
      <c r="F254" s="6">
        <f>IF($J254="","",IF($J254&lt;=1500,N(INDEX('Daily Sale entry '!$AC$1:$AC$1501,$J254+1))-IF(AND('Opening Balance'!$B$15=1,INDEX('Daily Sale entry '!$Z$1:$Z$1501,$J254+1)="Online collection 网上收款",INDEX('Daily Sale entry '!$AA$1:$AA$1501,$J254+1)&lt;&gt;""),N(INDEX('Daily Sale entry '!$AC$1:$AC$1501,$J254+1))-TRUNC(N(INDEX('Daily Sale entry '!$AC$1:$AC$1501,$J254+1))),0),N(INDEX('Daily Sale entry '!$S$1:$S$1501,$J254-1499))-'Opening Balance'!$B$15*(N(INDEX('Daily Sale entry '!$S$1:$S$1501,$J254-1499))-TRUNC(N(INDEX('Daily Sale entry '!$S$1:$S$1501,$J254-1499))))))</f>
        <v/>
      </c>
      <c r="G254" s="6">
        <f>IF($J254="","",IF($J254&lt;=1500,N(INDEX('Daily Sale entry '!$AD$1:$AD$1501,$J254+1)),0))</f>
        <v/>
      </c>
      <c r="H254" s="6">
        <f>IF($J254="","",ROUND('Opening Balance'!$B$4+SUM($F$2:F254)-SUM($G$2:G254),2))</f>
        <v/>
      </c>
      <c r="J254" s="21">
        <f>IFERROR(MATCH(ROW()-1,$L$2:$L$3001,0),"")</f>
        <v/>
      </c>
      <c r="K254" s="34">
        <f>IF(AND('Daily Sale entry '!X254&lt;&gt;"",OR('Daily Sale entry '!AC254&lt;&gt;"",'Daily Sale entry '!AD254&lt;&gt;"")),'Daily Sale entry '!X254+ROW()/10000000,"")</f>
        <v/>
      </c>
      <c r="L254" s="21">
        <f>IF(K254="","",COUNTIF($K$2:$K$3001,"&lt;"&amp;K254)+1)</f>
        <v/>
      </c>
    </row>
    <row r="255">
      <c r="A255" s="5">
        <f>IF($J255="","",IF($J255&lt;=1500,INDEX('Daily Sale entry '!$X$1:$X$1501,$J255+1),INDEX('Daily Sale entry '!$V$1:$V$1501,$J255-1499)))</f>
        <v/>
      </c>
      <c r="B255">
        <f>IF($J255="","",IF($J255&lt;=1500,INDEX('Daily Sale entry '!$Y$1:$Y$1501,$J255+1)&amp;"","Buyer cheque banked 买家支票存入"&amp;IF(INDEX('Daily Sale entry '!$U$1:$U$1501,$J255-1499)="","", " - "&amp;INDEX('Daily Sale entry '!$U$1:$U$1501,$J255-1499))))</f>
        <v/>
      </c>
      <c r="C255">
        <f>IF($J255="","",IF($J255&lt;=1500,INDEX('Daily Sale entry '!$Z$1:$Z$1501,$J255+1)&amp;"","Cheque deposit 支票存入 (buyer 买家)"))</f>
        <v/>
      </c>
      <c r="D255">
        <f>IF($J255="","",IF($J255&lt;=1500,INDEX('Daily Sale entry '!$AA$1:$AA$1501,$J255+1)&amp;"",INDEX('Daily Sale entry '!$P$1:$P$1501,$J255-1499)&amp;""))</f>
        <v/>
      </c>
      <c r="E255">
        <f>IF($J255="","",IF($J255&lt;=1500,IF(N(INDEX('Daily Sale entry '!$AB$1:$AB$1501,$J255+1))=0,"",INDEX('Daily Sale entry '!$AB$1:$AB$1501,$J255+1)),1))</f>
        <v/>
      </c>
      <c r="F255" s="6">
        <f>IF($J255="","",IF($J255&lt;=1500,N(INDEX('Daily Sale entry '!$AC$1:$AC$1501,$J255+1))-IF(AND('Opening Balance'!$B$15=1,INDEX('Daily Sale entry '!$Z$1:$Z$1501,$J255+1)="Online collection 网上收款",INDEX('Daily Sale entry '!$AA$1:$AA$1501,$J255+1)&lt;&gt;""),N(INDEX('Daily Sale entry '!$AC$1:$AC$1501,$J255+1))-TRUNC(N(INDEX('Daily Sale entry '!$AC$1:$AC$1501,$J255+1))),0),N(INDEX('Daily Sale entry '!$S$1:$S$1501,$J255-1499))-'Opening Balance'!$B$15*(N(INDEX('Daily Sale entry '!$S$1:$S$1501,$J255-1499))-TRUNC(N(INDEX('Daily Sale entry '!$S$1:$S$1501,$J255-1499))))))</f>
        <v/>
      </c>
      <c r="G255" s="6">
        <f>IF($J255="","",IF($J255&lt;=1500,N(INDEX('Daily Sale entry '!$AD$1:$AD$1501,$J255+1)),0))</f>
        <v/>
      </c>
      <c r="H255" s="6">
        <f>IF($J255="","",ROUND('Opening Balance'!$B$4+SUM($F$2:F255)-SUM($G$2:G255),2))</f>
        <v/>
      </c>
      <c r="J255" s="21">
        <f>IFERROR(MATCH(ROW()-1,$L$2:$L$3001,0),"")</f>
        <v/>
      </c>
      <c r="K255" s="34">
        <f>IF(AND('Daily Sale entry '!X255&lt;&gt;"",OR('Daily Sale entry '!AC255&lt;&gt;"",'Daily Sale entry '!AD255&lt;&gt;"")),'Daily Sale entry '!X255+ROW()/10000000,"")</f>
        <v/>
      </c>
      <c r="L255" s="21">
        <f>IF(K255="","",COUNTIF($K$2:$K$3001,"&lt;"&amp;K255)+1)</f>
        <v/>
      </c>
    </row>
    <row r="256">
      <c r="A256" s="5">
        <f>IF($J256="","",IF($J256&lt;=1500,INDEX('Daily Sale entry '!$X$1:$X$1501,$J256+1),INDEX('Daily Sale entry '!$V$1:$V$1501,$J256-1499)))</f>
        <v/>
      </c>
      <c r="B256">
        <f>IF($J256="","",IF($J256&lt;=1500,INDEX('Daily Sale entry '!$Y$1:$Y$1501,$J256+1)&amp;"","Buyer cheque banked 买家支票存入"&amp;IF(INDEX('Daily Sale entry '!$U$1:$U$1501,$J256-1499)="","", " - "&amp;INDEX('Daily Sale entry '!$U$1:$U$1501,$J256-1499))))</f>
        <v/>
      </c>
      <c r="C256">
        <f>IF($J256="","",IF($J256&lt;=1500,INDEX('Daily Sale entry '!$Z$1:$Z$1501,$J256+1)&amp;"","Cheque deposit 支票存入 (buyer 买家)"))</f>
        <v/>
      </c>
      <c r="D256">
        <f>IF($J256="","",IF($J256&lt;=1500,INDEX('Daily Sale entry '!$AA$1:$AA$1501,$J256+1)&amp;"",INDEX('Daily Sale entry '!$P$1:$P$1501,$J256-1499)&amp;""))</f>
        <v/>
      </c>
      <c r="E256">
        <f>IF($J256="","",IF($J256&lt;=1500,IF(N(INDEX('Daily Sale entry '!$AB$1:$AB$1501,$J256+1))=0,"",INDEX('Daily Sale entry '!$AB$1:$AB$1501,$J256+1)),1))</f>
        <v/>
      </c>
      <c r="F256" s="6">
        <f>IF($J256="","",IF($J256&lt;=1500,N(INDEX('Daily Sale entry '!$AC$1:$AC$1501,$J256+1))-IF(AND('Opening Balance'!$B$15=1,INDEX('Daily Sale entry '!$Z$1:$Z$1501,$J256+1)="Online collection 网上收款",INDEX('Daily Sale entry '!$AA$1:$AA$1501,$J256+1)&lt;&gt;""),N(INDEX('Daily Sale entry '!$AC$1:$AC$1501,$J256+1))-TRUNC(N(INDEX('Daily Sale entry '!$AC$1:$AC$1501,$J256+1))),0),N(INDEX('Daily Sale entry '!$S$1:$S$1501,$J256-1499))-'Opening Balance'!$B$15*(N(INDEX('Daily Sale entry '!$S$1:$S$1501,$J256-1499))-TRUNC(N(INDEX('Daily Sale entry '!$S$1:$S$1501,$J256-1499))))))</f>
        <v/>
      </c>
      <c r="G256" s="6">
        <f>IF($J256="","",IF($J256&lt;=1500,N(INDEX('Daily Sale entry '!$AD$1:$AD$1501,$J256+1)),0))</f>
        <v/>
      </c>
      <c r="H256" s="6">
        <f>IF($J256="","",ROUND('Opening Balance'!$B$4+SUM($F$2:F256)-SUM($G$2:G256),2))</f>
        <v/>
      </c>
      <c r="J256" s="21">
        <f>IFERROR(MATCH(ROW()-1,$L$2:$L$3001,0),"")</f>
        <v/>
      </c>
      <c r="K256" s="34">
        <f>IF(AND('Daily Sale entry '!X256&lt;&gt;"",OR('Daily Sale entry '!AC256&lt;&gt;"",'Daily Sale entry '!AD256&lt;&gt;"")),'Daily Sale entry '!X256+ROW()/10000000,"")</f>
        <v/>
      </c>
      <c r="L256" s="21">
        <f>IF(K256="","",COUNTIF($K$2:$K$3001,"&lt;"&amp;K256)+1)</f>
        <v/>
      </c>
    </row>
    <row r="257">
      <c r="A257" s="5">
        <f>IF($J257="","",IF($J257&lt;=1500,INDEX('Daily Sale entry '!$X$1:$X$1501,$J257+1),INDEX('Daily Sale entry '!$V$1:$V$1501,$J257-1499)))</f>
        <v/>
      </c>
      <c r="B257">
        <f>IF($J257="","",IF($J257&lt;=1500,INDEX('Daily Sale entry '!$Y$1:$Y$1501,$J257+1)&amp;"","Buyer cheque banked 买家支票存入"&amp;IF(INDEX('Daily Sale entry '!$U$1:$U$1501,$J257-1499)="","", " - "&amp;INDEX('Daily Sale entry '!$U$1:$U$1501,$J257-1499))))</f>
        <v/>
      </c>
      <c r="C257">
        <f>IF($J257="","",IF($J257&lt;=1500,INDEX('Daily Sale entry '!$Z$1:$Z$1501,$J257+1)&amp;"","Cheque deposit 支票存入 (buyer 买家)"))</f>
        <v/>
      </c>
      <c r="D257">
        <f>IF($J257="","",IF($J257&lt;=1500,INDEX('Daily Sale entry '!$AA$1:$AA$1501,$J257+1)&amp;"",INDEX('Daily Sale entry '!$P$1:$P$1501,$J257-1499)&amp;""))</f>
        <v/>
      </c>
      <c r="E257">
        <f>IF($J257="","",IF($J257&lt;=1500,IF(N(INDEX('Daily Sale entry '!$AB$1:$AB$1501,$J257+1))=0,"",INDEX('Daily Sale entry '!$AB$1:$AB$1501,$J257+1)),1))</f>
        <v/>
      </c>
      <c r="F257" s="6">
        <f>IF($J257="","",IF($J257&lt;=1500,N(INDEX('Daily Sale entry '!$AC$1:$AC$1501,$J257+1))-IF(AND('Opening Balance'!$B$15=1,INDEX('Daily Sale entry '!$Z$1:$Z$1501,$J257+1)="Online collection 网上收款",INDEX('Daily Sale entry '!$AA$1:$AA$1501,$J257+1)&lt;&gt;""),N(INDEX('Daily Sale entry '!$AC$1:$AC$1501,$J257+1))-TRUNC(N(INDEX('Daily Sale entry '!$AC$1:$AC$1501,$J257+1))),0),N(INDEX('Daily Sale entry '!$S$1:$S$1501,$J257-1499))-'Opening Balance'!$B$15*(N(INDEX('Daily Sale entry '!$S$1:$S$1501,$J257-1499))-TRUNC(N(INDEX('Daily Sale entry '!$S$1:$S$1501,$J257-1499))))))</f>
        <v/>
      </c>
      <c r="G257" s="6">
        <f>IF($J257="","",IF($J257&lt;=1500,N(INDEX('Daily Sale entry '!$AD$1:$AD$1501,$J257+1)),0))</f>
        <v/>
      </c>
      <c r="H257" s="6">
        <f>IF($J257="","",ROUND('Opening Balance'!$B$4+SUM($F$2:F257)-SUM($G$2:G257),2))</f>
        <v/>
      </c>
      <c r="J257" s="21">
        <f>IFERROR(MATCH(ROW()-1,$L$2:$L$3001,0),"")</f>
        <v/>
      </c>
      <c r="K257" s="34">
        <f>IF(AND('Daily Sale entry '!X257&lt;&gt;"",OR('Daily Sale entry '!AC257&lt;&gt;"",'Daily Sale entry '!AD257&lt;&gt;"")),'Daily Sale entry '!X257+ROW()/10000000,"")</f>
        <v/>
      </c>
      <c r="L257" s="21">
        <f>IF(K257="","",COUNTIF($K$2:$K$3001,"&lt;"&amp;K257)+1)</f>
        <v/>
      </c>
    </row>
    <row r="258">
      <c r="A258" s="5">
        <f>IF($J258="","",IF($J258&lt;=1500,INDEX('Daily Sale entry '!$X$1:$X$1501,$J258+1),INDEX('Daily Sale entry '!$V$1:$V$1501,$J258-1499)))</f>
        <v/>
      </c>
      <c r="B258">
        <f>IF($J258="","",IF($J258&lt;=1500,INDEX('Daily Sale entry '!$Y$1:$Y$1501,$J258+1)&amp;"","Buyer cheque banked 买家支票存入"&amp;IF(INDEX('Daily Sale entry '!$U$1:$U$1501,$J258-1499)="","", " - "&amp;INDEX('Daily Sale entry '!$U$1:$U$1501,$J258-1499))))</f>
        <v/>
      </c>
      <c r="C258">
        <f>IF($J258="","",IF($J258&lt;=1500,INDEX('Daily Sale entry '!$Z$1:$Z$1501,$J258+1)&amp;"","Cheque deposit 支票存入 (buyer 买家)"))</f>
        <v/>
      </c>
      <c r="D258">
        <f>IF($J258="","",IF($J258&lt;=1500,INDEX('Daily Sale entry '!$AA$1:$AA$1501,$J258+1)&amp;"",INDEX('Daily Sale entry '!$P$1:$P$1501,$J258-1499)&amp;""))</f>
        <v/>
      </c>
      <c r="E258">
        <f>IF($J258="","",IF($J258&lt;=1500,IF(N(INDEX('Daily Sale entry '!$AB$1:$AB$1501,$J258+1))=0,"",INDEX('Daily Sale entry '!$AB$1:$AB$1501,$J258+1)),1))</f>
        <v/>
      </c>
      <c r="F258" s="6">
        <f>IF($J258="","",IF($J258&lt;=1500,N(INDEX('Daily Sale entry '!$AC$1:$AC$1501,$J258+1))-IF(AND('Opening Balance'!$B$15=1,INDEX('Daily Sale entry '!$Z$1:$Z$1501,$J258+1)="Online collection 网上收款",INDEX('Daily Sale entry '!$AA$1:$AA$1501,$J258+1)&lt;&gt;""),N(INDEX('Daily Sale entry '!$AC$1:$AC$1501,$J258+1))-TRUNC(N(INDEX('Daily Sale entry '!$AC$1:$AC$1501,$J258+1))),0),N(INDEX('Daily Sale entry '!$S$1:$S$1501,$J258-1499))-'Opening Balance'!$B$15*(N(INDEX('Daily Sale entry '!$S$1:$S$1501,$J258-1499))-TRUNC(N(INDEX('Daily Sale entry '!$S$1:$S$1501,$J258-1499))))))</f>
        <v/>
      </c>
      <c r="G258" s="6">
        <f>IF($J258="","",IF($J258&lt;=1500,N(INDEX('Daily Sale entry '!$AD$1:$AD$1501,$J258+1)),0))</f>
        <v/>
      </c>
      <c r="H258" s="6">
        <f>IF($J258="","",ROUND('Opening Balance'!$B$4+SUM($F$2:F258)-SUM($G$2:G258),2))</f>
        <v/>
      </c>
      <c r="J258" s="21">
        <f>IFERROR(MATCH(ROW()-1,$L$2:$L$3001,0),"")</f>
        <v/>
      </c>
      <c r="K258" s="34">
        <f>IF(AND('Daily Sale entry '!X258&lt;&gt;"",OR('Daily Sale entry '!AC258&lt;&gt;"",'Daily Sale entry '!AD258&lt;&gt;"")),'Daily Sale entry '!X258+ROW()/10000000,"")</f>
        <v/>
      </c>
      <c r="L258" s="21">
        <f>IF(K258="","",COUNTIF($K$2:$K$3001,"&lt;"&amp;K258)+1)</f>
        <v/>
      </c>
    </row>
    <row r="259">
      <c r="A259" s="5">
        <f>IF($J259="","",IF($J259&lt;=1500,INDEX('Daily Sale entry '!$X$1:$X$1501,$J259+1),INDEX('Daily Sale entry '!$V$1:$V$1501,$J259-1499)))</f>
        <v/>
      </c>
      <c r="B259">
        <f>IF($J259="","",IF($J259&lt;=1500,INDEX('Daily Sale entry '!$Y$1:$Y$1501,$J259+1)&amp;"","Buyer cheque banked 买家支票存入"&amp;IF(INDEX('Daily Sale entry '!$U$1:$U$1501,$J259-1499)="","", " - "&amp;INDEX('Daily Sale entry '!$U$1:$U$1501,$J259-1499))))</f>
        <v/>
      </c>
      <c r="C259">
        <f>IF($J259="","",IF($J259&lt;=1500,INDEX('Daily Sale entry '!$Z$1:$Z$1501,$J259+1)&amp;"","Cheque deposit 支票存入 (buyer 买家)"))</f>
        <v/>
      </c>
      <c r="D259">
        <f>IF($J259="","",IF($J259&lt;=1500,INDEX('Daily Sale entry '!$AA$1:$AA$1501,$J259+1)&amp;"",INDEX('Daily Sale entry '!$P$1:$P$1501,$J259-1499)&amp;""))</f>
        <v/>
      </c>
      <c r="E259">
        <f>IF($J259="","",IF($J259&lt;=1500,IF(N(INDEX('Daily Sale entry '!$AB$1:$AB$1501,$J259+1))=0,"",INDEX('Daily Sale entry '!$AB$1:$AB$1501,$J259+1)),1))</f>
        <v/>
      </c>
      <c r="F259" s="6">
        <f>IF($J259="","",IF($J259&lt;=1500,N(INDEX('Daily Sale entry '!$AC$1:$AC$1501,$J259+1))-IF(AND('Opening Balance'!$B$15=1,INDEX('Daily Sale entry '!$Z$1:$Z$1501,$J259+1)="Online collection 网上收款",INDEX('Daily Sale entry '!$AA$1:$AA$1501,$J259+1)&lt;&gt;""),N(INDEX('Daily Sale entry '!$AC$1:$AC$1501,$J259+1))-TRUNC(N(INDEX('Daily Sale entry '!$AC$1:$AC$1501,$J259+1))),0),N(INDEX('Daily Sale entry '!$S$1:$S$1501,$J259-1499))-'Opening Balance'!$B$15*(N(INDEX('Daily Sale entry '!$S$1:$S$1501,$J259-1499))-TRUNC(N(INDEX('Daily Sale entry '!$S$1:$S$1501,$J259-1499))))))</f>
        <v/>
      </c>
      <c r="G259" s="6">
        <f>IF($J259="","",IF($J259&lt;=1500,N(INDEX('Daily Sale entry '!$AD$1:$AD$1501,$J259+1)),0))</f>
        <v/>
      </c>
      <c r="H259" s="6">
        <f>IF($J259="","",ROUND('Opening Balance'!$B$4+SUM($F$2:F259)-SUM($G$2:G259),2))</f>
        <v/>
      </c>
      <c r="J259" s="21">
        <f>IFERROR(MATCH(ROW()-1,$L$2:$L$3001,0),"")</f>
        <v/>
      </c>
      <c r="K259" s="34">
        <f>IF(AND('Daily Sale entry '!X259&lt;&gt;"",OR('Daily Sale entry '!AC259&lt;&gt;"",'Daily Sale entry '!AD259&lt;&gt;"")),'Daily Sale entry '!X259+ROW()/10000000,"")</f>
        <v/>
      </c>
      <c r="L259" s="21">
        <f>IF(K259="","",COUNTIF($K$2:$K$3001,"&lt;"&amp;K259)+1)</f>
        <v/>
      </c>
    </row>
    <row r="260">
      <c r="A260" s="5">
        <f>IF($J260="","",IF($J260&lt;=1500,INDEX('Daily Sale entry '!$X$1:$X$1501,$J260+1),INDEX('Daily Sale entry '!$V$1:$V$1501,$J260-1499)))</f>
        <v/>
      </c>
      <c r="B260">
        <f>IF($J260="","",IF($J260&lt;=1500,INDEX('Daily Sale entry '!$Y$1:$Y$1501,$J260+1)&amp;"","Buyer cheque banked 买家支票存入"&amp;IF(INDEX('Daily Sale entry '!$U$1:$U$1501,$J260-1499)="","", " - "&amp;INDEX('Daily Sale entry '!$U$1:$U$1501,$J260-1499))))</f>
        <v/>
      </c>
      <c r="C260">
        <f>IF($J260="","",IF($J260&lt;=1500,INDEX('Daily Sale entry '!$Z$1:$Z$1501,$J260+1)&amp;"","Cheque deposit 支票存入 (buyer 买家)"))</f>
        <v/>
      </c>
      <c r="D260">
        <f>IF($J260="","",IF($J260&lt;=1500,INDEX('Daily Sale entry '!$AA$1:$AA$1501,$J260+1)&amp;"",INDEX('Daily Sale entry '!$P$1:$P$1501,$J260-1499)&amp;""))</f>
        <v/>
      </c>
      <c r="E260">
        <f>IF($J260="","",IF($J260&lt;=1500,IF(N(INDEX('Daily Sale entry '!$AB$1:$AB$1501,$J260+1))=0,"",INDEX('Daily Sale entry '!$AB$1:$AB$1501,$J260+1)),1))</f>
        <v/>
      </c>
      <c r="F260" s="6">
        <f>IF($J260="","",IF($J260&lt;=1500,N(INDEX('Daily Sale entry '!$AC$1:$AC$1501,$J260+1))-IF(AND('Opening Balance'!$B$15=1,INDEX('Daily Sale entry '!$Z$1:$Z$1501,$J260+1)="Online collection 网上收款",INDEX('Daily Sale entry '!$AA$1:$AA$1501,$J260+1)&lt;&gt;""),N(INDEX('Daily Sale entry '!$AC$1:$AC$1501,$J260+1))-TRUNC(N(INDEX('Daily Sale entry '!$AC$1:$AC$1501,$J260+1))),0),N(INDEX('Daily Sale entry '!$S$1:$S$1501,$J260-1499))-'Opening Balance'!$B$15*(N(INDEX('Daily Sale entry '!$S$1:$S$1501,$J260-1499))-TRUNC(N(INDEX('Daily Sale entry '!$S$1:$S$1501,$J260-1499))))))</f>
        <v/>
      </c>
      <c r="G260" s="6">
        <f>IF($J260="","",IF($J260&lt;=1500,N(INDEX('Daily Sale entry '!$AD$1:$AD$1501,$J260+1)),0))</f>
        <v/>
      </c>
      <c r="H260" s="6">
        <f>IF($J260="","",ROUND('Opening Balance'!$B$4+SUM($F$2:F260)-SUM($G$2:G260),2))</f>
        <v/>
      </c>
      <c r="J260" s="21">
        <f>IFERROR(MATCH(ROW()-1,$L$2:$L$3001,0),"")</f>
        <v/>
      </c>
      <c r="K260" s="34">
        <f>IF(AND('Daily Sale entry '!X260&lt;&gt;"",OR('Daily Sale entry '!AC260&lt;&gt;"",'Daily Sale entry '!AD260&lt;&gt;"")),'Daily Sale entry '!X260+ROW()/10000000,"")</f>
        <v/>
      </c>
      <c r="L260" s="21">
        <f>IF(K260="","",COUNTIF($K$2:$K$3001,"&lt;"&amp;K260)+1)</f>
        <v/>
      </c>
    </row>
    <row r="261">
      <c r="A261" s="5">
        <f>IF($J261="","",IF($J261&lt;=1500,INDEX('Daily Sale entry '!$X$1:$X$1501,$J261+1),INDEX('Daily Sale entry '!$V$1:$V$1501,$J261-1499)))</f>
        <v/>
      </c>
      <c r="B261">
        <f>IF($J261="","",IF($J261&lt;=1500,INDEX('Daily Sale entry '!$Y$1:$Y$1501,$J261+1)&amp;"","Buyer cheque banked 买家支票存入"&amp;IF(INDEX('Daily Sale entry '!$U$1:$U$1501,$J261-1499)="","", " - "&amp;INDEX('Daily Sale entry '!$U$1:$U$1501,$J261-1499))))</f>
        <v/>
      </c>
      <c r="C261">
        <f>IF($J261="","",IF($J261&lt;=1500,INDEX('Daily Sale entry '!$Z$1:$Z$1501,$J261+1)&amp;"","Cheque deposit 支票存入 (buyer 买家)"))</f>
        <v/>
      </c>
      <c r="D261">
        <f>IF($J261="","",IF($J261&lt;=1500,INDEX('Daily Sale entry '!$AA$1:$AA$1501,$J261+1)&amp;"",INDEX('Daily Sale entry '!$P$1:$P$1501,$J261-1499)&amp;""))</f>
        <v/>
      </c>
      <c r="E261">
        <f>IF($J261="","",IF($J261&lt;=1500,IF(N(INDEX('Daily Sale entry '!$AB$1:$AB$1501,$J261+1))=0,"",INDEX('Daily Sale entry '!$AB$1:$AB$1501,$J261+1)),1))</f>
        <v/>
      </c>
      <c r="F261" s="6">
        <f>IF($J261="","",IF($J261&lt;=1500,N(INDEX('Daily Sale entry '!$AC$1:$AC$1501,$J261+1))-IF(AND('Opening Balance'!$B$15=1,INDEX('Daily Sale entry '!$Z$1:$Z$1501,$J261+1)="Online collection 网上收款",INDEX('Daily Sale entry '!$AA$1:$AA$1501,$J261+1)&lt;&gt;""),N(INDEX('Daily Sale entry '!$AC$1:$AC$1501,$J261+1))-TRUNC(N(INDEX('Daily Sale entry '!$AC$1:$AC$1501,$J261+1))),0),N(INDEX('Daily Sale entry '!$S$1:$S$1501,$J261-1499))-'Opening Balance'!$B$15*(N(INDEX('Daily Sale entry '!$S$1:$S$1501,$J261-1499))-TRUNC(N(INDEX('Daily Sale entry '!$S$1:$S$1501,$J261-1499))))))</f>
        <v/>
      </c>
      <c r="G261" s="6">
        <f>IF($J261="","",IF($J261&lt;=1500,N(INDEX('Daily Sale entry '!$AD$1:$AD$1501,$J261+1)),0))</f>
        <v/>
      </c>
      <c r="H261" s="6">
        <f>IF($J261="","",ROUND('Opening Balance'!$B$4+SUM($F$2:F261)-SUM($G$2:G261),2))</f>
        <v/>
      </c>
      <c r="J261" s="21">
        <f>IFERROR(MATCH(ROW()-1,$L$2:$L$3001,0),"")</f>
        <v/>
      </c>
      <c r="K261" s="34">
        <f>IF(AND('Daily Sale entry '!X261&lt;&gt;"",OR('Daily Sale entry '!AC261&lt;&gt;"",'Daily Sale entry '!AD261&lt;&gt;"")),'Daily Sale entry '!X261+ROW()/10000000,"")</f>
        <v/>
      </c>
      <c r="L261" s="21">
        <f>IF(K261="","",COUNTIF($K$2:$K$3001,"&lt;"&amp;K261)+1)</f>
        <v/>
      </c>
    </row>
    <row r="262">
      <c r="A262" s="5">
        <f>IF($J262="","",IF($J262&lt;=1500,INDEX('Daily Sale entry '!$X$1:$X$1501,$J262+1),INDEX('Daily Sale entry '!$V$1:$V$1501,$J262-1499)))</f>
        <v/>
      </c>
      <c r="B262">
        <f>IF($J262="","",IF($J262&lt;=1500,INDEX('Daily Sale entry '!$Y$1:$Y$1501,$J262+1)&amp;"","Buyer cheque banked 买家支票存入"&amp;IF(INDEX('Daily Sale entry '!$U$1:$U$1501,$J262-1499)="","", " - "&amp;INDEX('Daily Sale entry '!$U$1:$U$1501,$J262-1499))))</f>
        <v/>
      </c>
      <c r="C262">
        <f>IF($J262="","",IF($J262&lt;=1500,INDEX('Daily Sale entry '!$Z$1:$Z$1501,$J262+1)&amp;"","Cheque deposit 支票存入 (buyer 买家)"))</f>
        <v/>
      </c>
      <c r="D262">
        <f>IF($J262="","",IF($J262&lt;=1500,INDEX('Daily Sale entry '!$AA$1:$AA$1501,$J262+1)&amp;"",INDEX('Daily Sale entry '!$P$1:$P$1501,$J262-1499)&amp;""))</f>
        <v/>
      </c>
      <c r="E262">
        <f>IF($J262="","",IF($J262&lt;=1500,IF(N(INDEX('Daily Sale entry '!$AB$1:$AB$1501,$J262+1))=0,"",INDEX('Daily Sale entry '!$AB$1:$AB$1501,$J262+1)),1))</f>
        <v/>
      </c>
      <c r="F262" s="6">
        <f>IF($J262="","",IF($J262&lt;=1500,N(INDEX('Daily Sale entry '!$AC$1:$AC$1501,$J262+1))-IF(AND('Opening Balance'!$B$15=1,INDEX('Daily Sale entry '!$Z$1:$Z$1501,$J262+1)="Online collection 网上收款",INDEX('Daily Sale entry '!$AA$1:$AA$1501,$J262+1)&lt;&gt;""),N(INDEX('Daily Sale entry '!$AC$1:$AC$1501,$J262+1))-TRUNC(N(INDEX('Daily Sale entry '!$AC$1:$AC$1501,$J262+1))),0),N(INDEX('Daily Sale entry '!$S$1:$S$1501,$J262-1499))-'Opening Balance'!$B$15*(N(INDEX('Daily Sale entry '!$S$1:$S$1501,$J262-1499))-TRUNC(N(INDEX('Daily Sale entry '!$S$1:$S$1501,$J262-1499))))))</f>
        <v/>
      </c>
      <c r="G262" s="6">
        <f>IF($J262="","",IF($J262&lt;=1500,N(INDEX('Daily Sale entry '!$AD$1:$AD$1501,$J262+1)),0))</f>
        <v/>
      </c>
      <c r="H262" s="6">
        <f>IF($J262="","",ROUND('Opening Balance'!$B$4+SUM($F$2:F262)-SUM($G$2:G262),2))</f>
        <v/>
      </c>
      <c r="J262" s="21">
        <f>IFERROR(MATCH(ROW()-1,$L$2:$L$3001,0),"")</f>
        <v/>
      </c>
      <c r="K262" s="34">
        <f>IF(AND('Daily Sale entry '!X262&lt;&gt;"",OR('Daily Sale entry '!AC262&lt;&gt;"",'Daily Sale entry '!AD262&lt;&gt;"")),'Daily Sale entry '!X262+ROW()/10000000,"")</f>
        <v/>
      </c>
      <c r="L262" s="21">
        <f>IF(K262="","",COUNTIF($K$2:$K$3001,"&lt;"&amp;K262)+1)</f>
        <v/>
      </c>
    </row>
    <row r="263">
      <c r="A263" s="5">
        <f>IF($J263="","",IF($J263&lt;=1500,INDEX('Daily Sale entry '!$X$1:$X$1501,$J263+1),INDEX('Daily Sale entry '!$V$1:$V$1501,$J263-1499)))</f>
        <v/>
      </c>
      <c r="B263">
        <f>IF($J263="","",IF($J263&lt;=1500,INDEX('Daily Sale entry '!$Y$1:$Y$1501,$J263+1)&amp;"","Buyer cheque banked 买家支票存入"&amp;IF(INDEX('Daily Sale entry '!$U$1:$U$1501,$J263-1499)="","", " - "&amp;INDEX('Daily Sale entry '!$U$1:$U$1501,$J263-1499))))</f>
        <v/>
      </c>
      <c r="C263">
        <f>IF($J263="","",IF($J263&lt;=1500,INDEX('Daily Sale entry '!$Z$1:$Z$1501,$J263+1)&amp;"","Cheque deposit 支票存入 (buyer 买家)"))</f>
        <v/>
      </c>
      <c r="D263">
        <f>IF($J263="","",IF($J263&lt;=1500,INDEX('Daily Sale entry '!$AA$1:$AA$1501,$J263+1)&amp;"",INDEX('Daily Sale entry '!$P$1:$P$1501,$J263-1499)&amp;""))</f>
        <v/>
      </c>
      <c r="E263">
        <f>IF($J263="","",IF($J263&lt;=1500,IF(N(INDEX('Daily Sale entry '!$AB$1:$AB$1501,$J263+1))=0,"",INDEX('Daily Sale entry '!$AB$1:$AB$1501,$J263+1)),1))</f>
        <v/>
      </c>
      <c r="F263" s="6">
        <f>IF($J263="","",IF($J263&lt;=1500,N(INDEX('Daily Sale entry '!$AC$1:$AC$1501,$J263+1))-IF(AND('Opening Balance'!$B$15=1,INDEX('Daily Sale entry '!$Z$1:$Z$1501,$J263+1)="Online collection 网上收款",INDEX('Daily Sale entry '!$AA$1:$AA$1501,$J263+1)&lt;&gt;""),N(INDEX('Daily Sale entry '!$AC$1:$AC$1501,$J263+1))-TRUNC(N(INDEX('Daily Sale entry '!$AC$1:$AC$1501,$J263+1))),0),N(INDEX('Daily Sale entry '!$S$1:$S$1501,$J263-1499))-'Opening Balance'!$B$15*(N(INDEX('Daily Sale entry '!$S$1:$S$1501,$J263-1499))-TRUNC(N(INDEX('Daily Sale entry '!$S$1:$S$1501,$J263-1499))))))</f>
        <v/>
      </c>
      <c r="G263" s="6">
        <f>IF($J263="","",IF($J263&lt;=1500,N(INDEX('Daily Sale entry '!$AD$1:$AD$1501,$J263+1)),0))</f>
        <v/>
      </c>
      <c r="H263" s="6">
        <f>IF($J263="","",ROUND('Opening Balance'!$B$4+SUM($F$2:F263)-SUM($G$2:G263),2))</f>
        <v/>
      </c>
      <c r="J263" s="21">
        <f>IFERROR(MATCH(ROW()-1,$L$2:$L$3001,0),"")</f>
        <v/>
      </c>
      <c r="K263" s="34">
        <f>IF(AND('Daily Sale entry '!X263&lt;&gt;"",OR('Daily Sale entry '!AC263&lt;&gt;"",'Daily Sale entry '!AD263&lt;&gt;"")),'Daily Sale entry '!X263+ROW()/10000000,"")</f>
        <v/>
      </c>
      <c r="L263" s="21">
        <f>IF(K263="","",COUNTIF($K$2:$K$3001,"&lt;"&amp;K263)+1)</f>
        <v/>
      </c>
    </row>
    <row r="264">
      <c r="A264" s="5">
        <f>IF($J264="","",IF($J264&lt;=1500,INDEX('Daily Sale entry '!$X$1:$X$1501,$J264+1),INDEX('Daily Sale entry '!$V$1:$V$1501,$J264-1499)))</f>
        <v/>
      </c>
      <c r="B264">
        <f>IF($J264="","",IF($J264&lt;=1500,INDEX('Daily Sale entry '!$Y$1:$Y$1501,$J264+1)&amp;"","Buyer cheque banked 买家支票存入"&amp;IF(INDEX('Daily Sale entry '!$U$1:$U$1501,$J264-1499)="","", " - "&amp;INDEX('Daily Sale entry '!$U$1:$U$1501,$J264-1499))))</f>
        <v/>
      </c>
      <c r="C264">
        <f>IF($J264="","",IF($J264&lt;=1500,INDEX('Daily Sale entry '!$Z$1:$Z$1501,$J264+1)&amp;"","Cheque deposit 支票存入 (buyer 买家)"))</f>
        <v/>
      </c>
      <c r="D264">
        <f>IF($J264="","",IF($J264&lt;=1500,INDEX('Daily Sale entry '!$AA$1:$AA$1501,$J264+1)&amp;"",INDEX('Daily Sale entry '!$P$1:$P$1501,$J264-1499)&amp;""))</f>
        <v/>
      </c>
      <c r="E264">
        <f>IF($J264="","",IF($J264&lt;=1500,IF(N(INDEX('Daily Sale entry '!$AB$1:$AB$1501,$J264+1))=0,"",INDEX('Daily Sale entry '!$AB$1:$AB$1501,$J264+1)),1))</f>
        <v/>
      </c>
      <c r="F264" s="6">
        <f>IF($J264="","",IF($J264&lt;=1500,N(INDEX('Daily Sale entry '!$AC$1:$AC$1501,$J264+1))-IF(AND('Opening Balance'!$B$15=1,INDEX('Daily Sale entry '!$Z$1:$Z$1501,$J264+1)="Online collection 网上收款",INDEX('Daily Sale entry '!$AA$1:$AA$1501,$J264+1)&lt;&gt;""),N(INDEX('Daily Sale entry '!$AC$1:$AC$1501,$J264+1))-TRUNC(N(INDEX('Daily Sale entry '!$AC$1:$AC$1501,$J264+1))),0),N(INDEX('Daily Sale entry '!$S$1:$S$1501,$J264-1499))-'Opening Balance'!$B$15*(N(INDEX('Daily Sale entry '!$S$1:$S$1501,$J264-1499))-TRUNC(N(INDEX('Daily Sale entry '!$S$1:$S$1501,$J264-1499))))))</f>
        <v/>
      </c>
      <c r="G264" s="6">
        <f>IF($J264="","",IF($J264&lt;=1500,N(INDEX('Daily Sale entry '!$AD$1:$AD$1501,$J264+1)),0))</f>
        <v/>
      </c>
      <c r="H264" s="6">
        <f>IF($J264="","",ROUND('Opening Balance'!$B$4+SUM($F$2:F264)-SUM($G$2:G264),2))</f>
        <v/>
      </c>
      <c r="J264" s="21">
        <f>IFERROR(MATCH(ROW()-1,$L$2:$L$3001,0),"")</f>
        <v/>
      </c>
      <c r="K264" s="34">
        <f>IF(AND('Daily Sale entry '!X264&lt;&gt;"",OR('Daily Sale entry '!AC264&lt;&gt;"",'Daily Sale entry '!AD264&lt;&gt;"")),'Daily Sale entry '!X264+ROW()/10000000,"")</f>
        <v/>
      </c>
      <c r="L264" s="21">
        <f>IF(K264="","",COUNTIF($K$2:$K$3001,"&lt;"&amp;K264)+1)</f>
        <v/>
      </c>
    </row>
    <row r="265">
      <c r="A265" s="5">
        <f>IF($J265="","",IF($J265&lt;=1500,INDEX('Daily Sale entry '!$X$1:$X$1501,$J265+1),INDEX('Daily Sale entry '!$V$1:$V$1501,$J265-1499)))</f>
        <v/>
      </c>
      <c r="B265">
        <f>IF($J265="","",IF($J265&lt;=1500,INDEX('Daily Sale entry '!$Y$1:$Y$1501,$J265+1)&amp;"","Buyer cheque banked 买家支票存入"&amp;IF(INDEX('Daily Sale entry '!$U$1:$U$1501,$J265-1499)="","", " - "&amp;INDEX('Daily Sale entry '!$U$1:$U$1501,$J265-1499))))</f>
        <v/>
      </c>
      <c r="C265">
        <f>IF($J265="","",IF($J265&lt;=1500,INDEX('Daily Sale entry '!$Z$1:$Z$1501,$J265+1)&amp;"","Cheque deposit 支票存入 (buyer 买家)"))</f>
        <v/>
      </c>
      <c r="D265">
        <f>IF($J265="","",IF($J265&lt;=1500,INDEX('Daily Sale entry '!$AA$1:$AA$1501,$J265+1)&amp;"",INDEX('Daily Sale entry '!$P$1:$P$1501,$J265-1499)&amp;""))</f>
        <v/>
      </c>
      <c r="E265">
        <f>IF($J265="","",IF($J265&lt;=1500,IF(N(INDEX('Daily Sale entry '!$AB$1:$AB$1501,$J265+1))=0,"",INDEX('Daily Sale entry '!$AB$1:$AB$1501,$J265+1)),1))</f>
        <v/>
      </c>
      <c r="F265" s="6">
        <f>IF($J265="","",IF($J265&lt;=1500,N(INDEX('Daily Sale entry '!$AC$1:$AC$1501,$J265+1))-IF(AND('Opening Balance'!$B$15=1,INDEX('Daily Sale entry '!$Z$1:$Z$1501,$J265+1)="Online collection 网上收款",INDEX('Daily Sale entry '!$AA$1:$AA$1501,$J265+1)&lt;&gt;""),N(INDEX('Daily Sale entry '!$AC$1:$AC$1501,$J265+1))-TRUNC(N(INDEX('Daily Sale entry '!$AC$1:$AC$1501,$J265+1))),0),N(INDEX('Daily Sale entry '!$S$1:$S$1501,$J265-1499))-'Opening Balance'!$B$15*(N(INDEX('Daily Sale entry '!$S$1:$S$1501,$J265-1499))-TRUNC(N(INDEX('Daily Sale entry '!$S$1:$S$1501,$J265-1499))))))</f>
        <v/>
      </c>
      <c r="G265" s="6">
        <f>IF($J265="","",IF($J265&lt;=1500,N(INDEX('Daily Sale entry '!$AD$1:$AD$1501,$J265+1)),0))</f>
        <v/>
      </c>
      <c r="H265" s="6">
        <f>IF($J265="","",ROUND('Opening Balance'!$B$4+SUM($F$2:F265)-SUM($G$2:G265),2))</f>
        <v/>
      </c>
      <c r="J265" s="21">
        <f>IFERROR(MATCH(ROW()-1,$L$2:$L$3001,0),"")</f>
        <v/>
      </c>
      <c r="K265" s="34">
        <f>IF(AND('Daily Sale entry '!X265&lt;&gt;"",OR('Daily Sale entry '!AC265&lt;&gt;"",'Daily Sale entry '!AD265&lt;&gt;"")),'Daily Sale entry '!X265+ROW()/10000000,"")</f>
        <v/>
      </c>
      <c r="L265" s="21">
        <f>IF(K265="","",COUNTIF($K$2:$K$3001,"&lt;"&amp;K265)+1)</f>
        <v/>
      </c>
    </row>
    <row r="266">
      <c r="A266" s="5">
        <f>IF($J266="","",IF($J266&lt;=1500,INDEX('Daily Sale entry '!$X$1:$X$1501,$J266+1),INDEX('Daily Sale entry '!$V$1:$V$1501,$J266-1499)))</f>
        <v/>
      </c>
      <c r="B266">
        <f>IF($J266="","",IF($J266&lt;=1500,INDEX('Daily Sale entry '!$Y$1:$Y$1501,$J266+1)&amp;"","Buyer cheque banked 买家支票存入"&amp;IF(INDEX('Daily Sale entry '!$U$1:$U$1501,$J266-1499)="","", " - "&amp;INDEX('Daily Sale entry '!$U$1:$U$1501,$J266-1499))))</f>
        <v/>
      </c>
      <c r="C266">
        <f>IF($J266="","",IF($J266&lt;=1500,INDEX('Daily Sale entry '!$Z$1:$Z$1501,$J266+1)&amp;"","Cheque deposit 支票存入 (buyer 买家)"))</f>
        <v/>
      </c>
      <c r="D266">
        <f>IF($J266="","",IF($J266&lt;=1500,INDEX('Daily Sale entry '!$AA$1:$AA$1501,$J266+1)&amp;"",INDEX('Daily Sale entry '!$P$1:$P$1501,$J266-1499)&amp;""))</f>
        <v/>
      </c>
      <c r="E266">
        <f>IF($J266="","",IF($J266&lt;=1500,IF(N(INDEX('Daily Sale entry '!$AB$1:$AB$1501,$J266+1))=0,"",INDEX('Daily Sale entry '!$AB$1:$AB$1501,$J266+1)),1))</f>
        <v/>
      </c>
      <c r="F266" s="6">
        <f>IF($J266="","",IF($J266&lt;=1500,N(INDEX('Daily Sale entry '!$AC$1:$AC$1501,$J266+1))-IF(AND('Opening Balance'!$B$15=1,INDEX('Daily Sale entry '!$Z$1:$Z$1501,$J266+1)="Online collection 网上收款",INDEX('Daily Sale entry '!$AA$1:$AA$1501,$J266+1)&lt;&gt;""),N(INDEX('Daily Sale entry '!$AC$1:$AC$1501,$J266+1))-TRUNC(N(INDEX('Daily Sale entry '!$AC$1:$AC$1501,$J266+1))),0),N(INDEX('Daily Sale entry '!$S$1:$S$1501,$J266-1499))-'Opening Balance'!$B$15*(N(INDEX('Daily Sale entry '!$S$1:$S$1501,$J266-1499))-TRUNC(N(INDEX('Daily Sale entry '!$S$1:$S$1501,$J266-1499))))))</f>
        <v/>
      </c>
      <c r="G266" s="6">
        <f>IF($J266="","",IF($J266&lt;=1500,N(INDEX('Daily Sale entry '!$AD$1:$AD$1501,$J266+1)),0))</f>
        <v/>
      </c>
      <c r="H266" s="6">
        <f>IF($J266="","",ROUND('Opening Balance'!$B$4+SUM($F$2:F266)-SUM($G$2:G266),2))</f>
        <v/>
      </c>
      <c r="J266" s="21">
        <f>IFERROR(MATCH(ROW()-1,$L$2:$L$3001,0),"")</f>
        <v/>
      </c>
      <c r="K266" s="34">
        <f>IF(AND('Daily Sale entry '!X266&lt;&gt;"",OR('Daily Sale entry '!AC266&lt;&gt;"",'Daily Sale entry '!AD266&lt;&gt;"")),'Daily Sale entry '!X266+ROW()/10000000,"")</f>
        <v/>
      </c>
      <c r="L266" s="21">
        <f>IF(K266="","",COUNTIF($K$2:$K$3001,"&lt;"&amp;K266)+1)</f>
        <v/>
      </c>
    </row>
    <row r="267">
      <c r="A267" s="5">
        <f>IF($J267="","",IF($J267&lt;=1500,INDEX('Daily Sale entry '!$X$1:$X$1501,$J267+1),INDEX('Daily Sale entry '!$V$1:$V$1501,$J267-1499)))</f>
        <v/>
      </c>
      <c r="B267">
        <f>IF($J267="","",IF($J267&lt;=1500,INDEX('Daily Sale entry '!$Y$1:$Y$1501,$J267+1)&amp;"","Buyer cheque banked 买家支票存入"&amp;IF(INDEX('Daily Sale entry '!$U$1:$U$1501,$J267-1499)="","", " - "&amp;INDEX('Daily Sale entry '!$U$1:$U$1501,$J267-1499))))</f>
        <v/>
      </c>
      <c r="C267">
        <f>IF($J267="","",IF($J267&lt;=1500,INDEX('Daily Sale entry '!$Z$1:$Z$1501,$J267+1)&amp;"","Cheque deposit 支票存入 (buyer 买家)"))</f>
        <v/>
      </c>
      <c r="D267">
        <f>IF($J267="","",IF($J267&lt;=1500,INDEX('Daily Sale entry '!$AA$1:$AA$1501,$J267+1)&amp;"",INDEX('Daily Sale entry '!$P$1:$P$1501,$J267-1499)&amp;""))</f>
        <v/>
      </c>
      <c r="E267">
        <f>IF($J267="","",IF($J267&lt;=1500,IF(N(INDEX('Daily Sale entry '!$AB$1:$AB$1501,$J267+1))=0,"",INDEX('Daily Sale entry '!$AB$1:$AB$1501,$J267+1)),1))</f>
        <v/>
      </c>
      <c r="F267" s="6">
        <f>IF($J267="","",IF($J267&lt;=1500,N(INDEX('Daily Sale entry '!$AC$1:$AC$1501,$J267+1))-IF(AND('Opening Balance'!$B$15=1,INDEX('Daily Sale entry '!$Z$1:$Z$1501,$J267+1)="Online collection 网上收款",INDEX('Daily Sale entry '!$AA$1:$AA$1501,$J267+1)&lt;&gt;""),N(INDEX('Daily Sale entry '!$AC$1:$AC$1501,$J267+1))-TRUNC(N(INDEX('Daily Sale entry '!$AC$1:$AC$1501,$J267+1))),0),N(INDEX('Daily Sale entry '!$S$1:$S$1501,$J267-1499))-'Opening Balance'!$B$15*(N(INDEX('Daily Sale entry '!$S$1:$S$1501,$J267-1499))-TRUNC(N(INDEX('Daily Sale entry '!$S$1:$S$1501,$J267-1499))))))</f>
        <v/>
      </c>
      <c r="G267" s="6">
        <f>IF($J267="","",IF($J267&lt;=1500,N(INDEX('Daily Sale entry '!$AD$1:$AD$1501,$J267+1)),0))</f>
        <v/>
      </c>
      <c r="H267" s="6">
        <f>IF($J267="","",ROUND('Opening Balance'!$B$4+SUM($F$2:F267)-SUM($G$2:G267),2))</f>
        <v/>
      </c>
      <c r="J267" s="21">
        <f>IFERROR(MATCH(ROW()-1,$L$2:$L$3001,0),"")</f>
        <v/>
      </c>
      <c r="K267" s="34">
        <f>IF(AND('Daily Sale entry '!X267&lt;&gt;"",OR('Daily Sale entry '!AC267&lt;&gt;"",'Daily Sale entry '!AD267&lt;&gt;"")),'Daily Sale entry '!X267+ROW()/10000000,"")</f>
        <v/>
      </c>
      <c r="L267" s="21">
        <f>IF(K267="","",COUNTIF($K$2:$K$3001,"&lt;"&amp;K267)+1)</f>
        <v/>
      </c>
    </row>
    <row r="268">
      <c r="A268" s="5">
        <f>IF($J268="","",IF($J268&lt;=1500,INDEX('Daily Sale entry '!$X$1:$X$1501,$J268+1),INDEX('Daily Sale entry '!$V$1:$V$1501,$J268-1499)))</f>
        <v/>
      </c>
      <c r="B268">
        <f>IF($J268="","",IF($J268&lt;=1500,INDEX('Daily Sale entry '!$Y$1:$Y$1501,$J268+1)&amp;"","Buyer cheque banked 买家支票存入"&amp;IF(INDEX('Daily Sale entry '!$U$1:$U$1501,$J268-1499)="","", " - "&amp;INDEX('Daily Sale entry '!$U$1:$U$1501,$J268-1499))))</f>
        <v/>
      </c>
      <c r="C268">
        <f>IF($J268="","",IF($J268&lt;=1500,INDEX('Daily Sale entry '!$Z$1:$Z$1501,$J268+1)&amp;"","Cheque deposit 支票存入 (buyer 买家)"))</f>
        <v/>
      </c>
      <c r="D268">
        <f>IF($J268="","",IF($J268&lt;=1500,INDEX('Daily Sale entry '!$AA$1:$AA$1501,$J268+1)&amp;"",INDEX('Daily Sale entry '!$P$1:$P$1501,$J268-1499)&amp;""))</f>
        <v/>
      </c>
      <c r="E268">
        <f>IF($J268="","",IF($J268&lt;=1500,IF(N(INDEX('Daily Sale entry '!$AB$1:$AB$1501,$J268+1))=0,"",INDEX('Daily Sale entry '!$AB$1:$AB$1501,$J268+1)),1))</f>
        <v/>
      </c>
      <c r="F268" s="6">
        <f>IF($J268="","",IF($J268&lt;=1500,N(INDEX('Daily Sale entry '!$AC$1:$AC$1501,$J268+1))-IF(AND('Opening Balance'!$B$15=1,INDEX('Daily Sale entry '!$Z$1:$Z$1501,$J268+1)="Online collection 网上收款",INDEX('Daily Sale entry '!$AA$1:$AA$1501,$J268+1)&lt;&gt;""),N(INDEX('Daily Sale entry '!$AC$1:$AC$1501,$J268+1))-TRUNC(N(INDEX('Daily Sale entry '!$AC$1:$AC$1501,$J268+1))),0),N(INDEX('Daily Sale entry '!$S$1:$S$1501,$J268-1499))-'Opening Balance'!$B$15*(N(INDEX('Daily Sale entry '!$S$1:$S$1501,$J268-1499))-TRUNC(N(INDEX('Daily Sale entry '!$S$1:$S$1501,$J268-1499))))))</f>
        <v/>
      </c>
      <c r="G268" s="6">
        <f>IF($J268="","",IF($J268&lt;=1500,N(INDEX('Daily Sale entry '!$AD$1:$AD$1501,$J268+1)),0))</f>
        <v/>
      </c>
      <c r="H268" s="6">
        <f>IF($J268="","",ROUND('Opening Balance'!$B$4+SUM($F$2:F268)-SUM($G$2:G268),2))</f>
        <v/>
      </c>
      <c r="J268" s="21">
        <f>IFERROR(MATCH(ROW()-1,$L$2:$L$3001,0),"")</f>
        <v/>
      </c>
      <c r="K268" s="34">
        <f>IF(AND('Daily Sale entry '!X268&lt;&gt;"",OR('Daily Sale entry '!AC268&lt;&gt;"",'Daily Sale entry '!AD268&lt;&gt;"")),'Daily Sale entry '!X268+ROW()/10000000,"")</f>
        <v/>
      </c>
      <c r="L268" s="21">
        <f>IF(K268="","",COUNTIF($K$2:$K$3001,"&lt;"&amp;K268)+1)</f>
        <v/>
      </c>
    </row>
    <row r="269">
      <c r="A269" s="5">
        <f>IF($J269="","",IF($J269&lt;=1500,INDEX('Daily Sale entry '!$X$1:$X$1501,$J269+1),INDEX('Daily Sale entry '!$V$1:$V$1501,$J269-1499)))</f>
        <v/>
      </c>
      <c r="B269">
        <f>IF($J269="","",IF($J269&lt;=1500,INDEX('Daily Sale entry '!$Y$1:$Y$1501,$J269+1)&amp;"","Buyer cheque banked 买家支票存入"&amp;IF(INDEX('Daily Sale entry '!$U$1:$U$1501,$J269-1499)="","", " - "&amp;INDEX('Daily Sale entry '!$U$1:$U$1501,$J269-1499))))</f>
        <v/>
      </c>
      <c r="C269">
        <f>IF($J269="","",IF($J269&lt;=1500,INDEX('Daily Sale entry '!$Z$1:$Z$1501,$J269+1)&amp;"","Cheque deposit 支票存入 (buyer 买家)"))</f>
        <v/>
      </c>
      <c r="D269">
        <f>IF($J269="","",IF($J269&lt;=1500,INDEX('Daily Sale entry '!$AA$1:$AA$1501,$J269+1)&amp;"",INDEX('Daily Sale entry '!$P$1:$P$1501,$J269-1499)&amp;""))</f>
        <v/>
      </c>
      <c r="E269">
        <f>IF($J269="","",IF($J269&lt;=1500,IF(N(INDEX('Daily Sale entry '!$AB$1:$AB$1501,$J269+1))=0,"",INDEX('Daily Sale entry '!$AB$1:$AB$1501,$J269+1)),1))</f>
        <v/>
      </c>
      <c r="F269" s="6">
        <f>IF($J269="","",IF($J269&lt;=1500,N(INDEX('Daily Sale entry '!$AC$1:$AC$1501,$J269+1))-IF(AND('Opening Balance'!$B$15=1,INDEX('Daily Sale entry '!$Z$1:$Z$1501,$J269+1)="Online collection 网上收款",INDEX('Daily Sale entry '!$AA$1:$AA$1501,$J269+1)&lt;&gt;""),N(INDEX('Daily Sale entry '!$AC$1:$AC$1501,$J269+1))-TRUNC(N(INDEX('Daily Sale entry '!$AC$1:$AC$1501,$J269+1))),0),N(INDEX('Daily Sale entry '!$S$1:$S$1501,$J269-1499))-'Opening Balance'!$B$15*(N(INDEX('Daily Sale entry '!$S$1:$S$1501,$J269-1499))-TRUNC(N(INDEX('Daily Sale entry '!$S$1:$S$1501,$J269-1499))))))</f>
        <v/>
      </c>
      <c r="G269" s="6">
        <f>IF($J269="","",IF($J269&lt;=1500,N(INDEX('Daily Sale entry '!$AD$1:$AD$1501,$J269+1)),0))</f>
        <v/>
      </c>
      <c r="H269" s="6">
        <f>IF($J269="","",ROUND('Opening Balance'!$B$4+SUM($F$2:F269)-SUM($G$2:G269),2))</f>
        <v/>
      </c>
      <c r="J269" s="21">
        <f>IFERROR(MATCH(ROW()-1,$L$2:$L$3001,0),"")</f>
        <v/>
      </c>
      <c r="K269" s="34">
        <f>IF(AND('Daily Sale entry '!X269&lt;&gt;"",OR('Daily Sale entry '!AC269&lt;&gt;"",'Daily Sale entry '!AD269&lt;&gt;"")),'Daily Sale entry '!X269+ROW()/10000000,"")</f>
        <v/>
      </c>
      <c r="L269" s="21">
        <f>IF(K269="","",COUNTIF($K$2:$K$3001,"&lt;"&amp;K269)+1)</f>
        <v/>
      </c>
    </row>
    <row r="270">
      <c r="A270" s="5">
        <f>IF($J270="","",IF($J270&lt;=1500,INDEX('Daily Sale entry '!$X$1:$X$1501,$J270+1),INDEX('Daily Sale entry '!$V$1:$V$1501,$J270-1499)))</f>
        <v/>
      </c>
      <c r="B270">
        <f>IF($J270="","",IF($J270&lt;=1500,INDEX('Daily Sale entry '!$Y$1:$Y$1501,$J270+1)&amp;"","Buyer cheque banked 买家支票存入"&amp;IF(INDEX('Daily Sale entry '!$U$1:$U$1501,$J270-1499)="","", " - "&amp;INDEX('Daily Sale entry '!$U$1:$U$1501,$J270-1499))))</f>
        <v/>
      </c>
      <c r="C270">
        <f>IF($J270="","",IF($J270&lt;=1500,INDEX('Daily Sale entry '!$Z$1:$Z$1501,$J270+1)&amp;"","Cheque deposit 支票存入 (buyer 买家)"))</f>
        <v/>
      </c>
      <c r="D270">
        <f>IF($J270="","",IF($J270&lt;=1500,INDEX('Daily Sale entry '!$AA$1:$AA$1501,$J270+1)&amp;"",INDEX('Daily Sale entry '!$P$1:$P$1501,$J270-1499)&amp;""))</f>
        <v/>
      </c>
      <c r="E270">
        <f>IF($J270="","",IF($J270&lt;=1500,IF(N(INDEX('Daily Sale entry '!$AB$1:$AB$1501,$J270+1))=0,"",INDEX('Daily Sale entry '!$AB$1:$AB$1501,$J270+1)),1))</f>
        <v/>
      </c>
      <c r="F270" s="6">
        <f>IF($J270="","",IF($J270&lt;=1500,N(INDEX('Daily Sale entry '!$AC$1:$AC$1501,$J270+1))-IF(AND('Opening Balance'!$B$15=1,INDEX('Daily Sale entry '!$Z$1:$Z$1501,$J270+1)="Online collection 网上收款",INDEX('Daily Sale entry '!$AA$1:$AA$1501,$J270+1)&lt;&gt;""),N(INDEX('Daily Sale entry '!$AC$1:$AC$1501,$J270+1))-TRUNC(N(INDEX('Daily Sale entry '!$AC$1:$AC$1501,$J270+1))),0),N(INDEX('Daily Sale entry '!$S$1:$S$1501,$J270-1499))-'Opening Balance'!$B$15*(N(INDEX('Daily Sale entry '!$S$1:$S$1501,$J270-1499))-TRUNC(N(INDEX('Daily Sale entry '!$S$1:$S$1501,$J270-1499))))))</f>
        <v/>
      </c>
      <c r="G270" s="6">
        <f>IF($J270="","",IF($J270&lt;=1500,N(INDEX('Daily Sale entry '!$AD$1:$AD$1501,$J270+1)),0))</f>
        <v/>
      </c>
      <c r="H270" s="6">
        <f>IF($J270="","",ROUND('Opening Balance'!$B$4+SUM($F$2:F270)-SUM($G$2:G270),2))</f>
        <v/>
      </c>
      <c r="J270" s="21">
        <f>IFERROR(MATCH(ROW()-1,$L$2:$L$3001,0),"")</f>
        <v/>
      </c>
      <c r="K270" s="34">
        <f>IF(AND('Daily Sale entry '!X270&lt;&gt;"",OR('Daily Sale entry '!AC270&lt;&gt;"",'Daily Sale entry '!AD270&lt;&gt;"")),'Daily Sale entry '!X270+ROW()/10000000,"")</f>
        <v/>
      </c>
      <c r="L270" s="21">
        <f>IF(K270="","",COUNTIF($K$2:$K$3001,"&lt;"&amp;K270)+1)</f>
        <v/>
      </c>
    </row>
    <row r="271">
      <c r="A271" s="5">
        <f>IF($J271="","",IF($J271&lt;=1500,INDEX('Daily Sale entry '!$X$1:$X$1501,$J271+1),INDEX('Daily Sale entry '!$V$1:$V$1501,$J271-1499)))</f>
        <v/>
      </c>
      <c r="B271">
        <f>IF($J271="","",IF($J271&lt;=1500,INDEX('Daily Sale entry '!$Y$1:$Y$1501,$J271+1)&amp;"","Buyer cheque banked 买家支票存入"&amp;IF(INDEX('Daily Sale entry '!$U$1:$U$1501,$J271-1499)="","", " - "&amp;INDEX('Daily Sale entry '!$U$1:$U$1501,$J271-1499))))</f>
        <v/>
      </c>
      <c r="C271">
        <f>IF($J271="","",IF($J271&lt;=1500,INDEX('Daily Sale entry '!$Z$1:$Z$1501,$J271+1)&amp;"","Cheque deposit 支票存入 (buyer 买家)"))</f>
        <v/>
      </c>
      <c r="D271">
        <f>IF($J271="","",IF($J271&lt;=1500,INDEX('Daily Sale entry '!$AA$1:$AA$1501,$J271+1)&amp;"",INDEX('Daily Sale entry '!$P$1:$P$1501,$J271-1499)&amp;""))</f>
        <v/>
      </c>
      <c r="E271">
        <f>IF($J271="","",IF($J271&lt;=1500,IF(N(INDEX('Daily Sale entry '!$AB$1:$AB$1501,$J271+1))=0,"",INDEX('Daily Sale entry '!$AB$1:$AB$1501,$J271+1)),1))</f>
        <v/>
      </c>
      <c r="F271" s="6">
        <f>IF($J271="","",IF($J271&lt;=1500,N(INDEX('Daily Sale entry '!$AC$1:$AC$1501,$J271+1))-IF(AND('Opening Balance'!$B$15=1,INDEX('Daily Sale entry '!$Z$1:$Z$1501,$J271+1)="Online collection 网上收款",INDEX('Daily Sale entry '!$AA$1:$AA$1501,$J271+1)&lt;&gt;""),N(INDEX('Daily Sale entry '!$AC$1:$AC$1501,$J271+1))-TRUNC(N(INDEX('Daily Sale entry '!$AC$1:$AC$1501,$J271+1))),0),N(INDEX('Daily Sale entry '!$S$1:$S$1501,$J271-1499))-'Opening Balance'!$B$15*(N(INDEX('Daily Sale entry '!$S$1:$S$1501,$J271-1499))-TRUNC(N(INDEX('Daily Sale entry '!$S$1:$S$1501,$J271-1499))))))</f>
        <v/>
      </c>
      <c r="G271" s="6">
        <f>IF($J271="","",IF($J271&lt;=1500,N(INDEX('Daily Sale entry '!$AD$1:$AD$1501,$J271+1)),0))</f>
        <v/>
      </c>
      <c r="H271" s="6">
        <f>IF($J271="","",ROUND('Opening Balance'!$B$4+SUM($F$2:F271)-SUM($G$2:G271),2))</f>
        <v/>
      </c>
      <c r="J271" s="21">
        <f>IFERROR(MATCH(ROW()-1,$L$2:$L$3001,0),"")</f>
        <v/>
      </c>
      <c r="K271" s="34">
        <f>IF(AND('Daily Sale entry '!X271&lt;&gt;"",OR('Daily Sale entry '!AC271&lt;&gt;"",'Daily Sale entry '!AD271&lt;&gt;"")),'Daily Sale entry '!X271+ROW()/10000000,"")</f>
        <v/>
      </c>
      <c r="L271" s="21">
        <f>IF(K271="","",COUNTIF($K$2:$K$3001,"&lt;"&amp;K271)+1)</f>
        <v/>
      </c>
    </row>
    <row r="272">
      <c r="A272" s="5">
        <f>IF($J272="","",IF($J272&lt;=1500,INDEX('Daily Sale entry '!$X$1:$X$1501,$J272+1),INDEX('Daily Sale entry '!$V$1:$V$1501,$J272-1499)))</f>
        <v/>
      </c>
      <c r="B272">
        <f>IF($J272="","",IF($J272&lt;=1500,INDEX('Daily Sale entry '!$Y$1:$Y$1501,$J272+1)&amp;"","Buyer cheque banked 买家支票存入"&amp;IF(INDEX('Daily Sale entry '!$U$1:$U$1501,$J272-1499)="","", " - "&amp;INDEX('Daily Sale entry '!$U$1:$U$1501,$J272-1499))))</f>
        <v/>
      </c>
      <c r="C272">
        <f>IF($J272="","",IF($J272&lt;=1500,INDEX('Daily Sale entry '!$Z$1:$Z$1501,$J272+1)&amp;"","Cheque deposit 支票存入 (buyer 买家)"))</f>
        <v/>
      </c>
      <c r="D272">
        <f>IF($J272="","",IF($J272&lt;=1500,INDEX('Daily Sale entry '!$AA$1:$AA$1501,$J272+1)&amp;"",INDEX('Daily Sale entry '!$P$1:$P$1501,$J272-1499)&amp;""))</f>
        <v/>
      </c>
      <c r="E272">
        <f>IF($J272="","",IF($J272&lt;=1500,IF(N(INDEX('Daily Sale entry '!$AB$1:$AB$1501,$J272+1))=0,"",INDEX('Daily Sale entry '!$AB$1:$AB$1501,$J272+1)),1))</f>
        <v/>
      </c>
      <c r="F272" s="6">
        <f>IF($J272="","",IF($J272&lt;=1500,N(INDEX('Daily Sale entry '!$AC$1:$AC$1501,$J272+1))-IF(AND('Opening Balance'!$B$15=1,INDEX('Daily Sale entry '!$Z$1:$Z$1501,$J272+1)="Online collection 网上收款",INDEX('Daily Sale entry '!$AA$1:$AA$1501,$J272+1)&lt;&gt;""),N(INDEX('Daily Sale entry '!$AC$1:$AC$1501,$J272+1))-TRUNC(N(INDEX('Daily Sale entry '!$AC$1:$AC$1501,$J272+1))),0),N(INDEX('Daily Sale entry '!$S$1:$S$1501,$J272-1499))-'Opening Balance'!$B$15*(N(INDEX('Daily Sale entry '!$S$1:$S$1501,$J272-1499))-TRUNC(N(INDEX('Daily Sale entry '!$S$1:$S$1501,$J272-1499))))))</f>
        <v/>
      </c>
      <c r="G272" s="6">
        <f>IF($J272="","",IF($J272&lt;=1500,N(INDEX('Daily Sale entry '!$AD$1:$AD$1501,$J272+1)),0))</f>
        <v/>
      </c>
      <c r="H272" s="6">
        <f>IF($J272="","",ROUND('Opening Balance'!$B$4+SUM($F$2:F272)-SUM($G$2:G272),2))</f>
        <v/>
      </c>
      <c r="J272" s="21">
        <f>IFERROR(MATCH(ROW()-1,$L$2:$L$3001,0),"")</f>
        <v/>
      </c>
      <c r="K272" s="34">
        <f>IF(AND('Daily Sale entry '!X272&lt;&gt;"",OR('Daily Sale entry '!AC272&lt;&gt;"",'Daily Sale entry '!AD272&lt;&gt;"")),'Daily Sale entry '!X272+ROW()/10000000,"")</f>
        <v/>
      </c>
      <c r="L272" s="21">
        <f>IF(K272="","",COUNTIF($K$2:$K$3001,"&lt;"&amp;K272)+1)</f>
        <v/>
      </c>
    </row>
    <row r="273">
      <c r="A273" s="5">
        <f>IF($J273="","",IF($J273&lt;=1500,INDEX('Daily Sale entry '!$X$1:$X$1501,$J273+1),INDEX('Daily Sale entry '!$V$1:$V$1501,$J273-1499)))</f>
        <v/>
      </c>
      <c r="B273">
        <f>IF($J273="","",IF($J273&lt;=1500,INDEX('Daily Sale entry '!$Y$1:$Y$1501,$J273+1)&amp;"","Buyer cheque banked 买家支票存入"&amp;IF(INDEX('Daily Sale entry '!$U$1:$U$1501,$J273-1499)="","", " - "&amp;INDEX('Daily Sale entry '!$U$1:$U$1501,$J273-1499))))</f>
        <v/>
      </c>
      <c r="C273">
        <f>IF($J273="","",IF($J273&lt;=1500,INDEX('Daily Sale entry '!$Z$1:$Z$1501,$J273+1)&amp;"","Cheque deposit 支票存入 (buyer 买家)"))</f>
        <v/>
      </c>
      <c r="D273">
        <f>IF($J273="","",IF($J273&lt;=1500,INDEX('Daily Sale entry '!$AA$1:$AA$1501,$J273+1)&amp;"",INDEX('Daily Sale entry '!$P$1:$P$1501,$J273-1499)&amp;""))</f>
        <v/>
      </c>
      <c r="E273">
        <f>IF($J273="","",IF($J273&lt;=1500,IF(N(INDEX('Daily Sale entry '!$AB$1:$AB$1501,$J273+1))=0,"",INDEX('Daily Sale entry '!$AB$1:$AB$1501,$J273+1)),1))</f>
        <v/>
      </c>
      <c r="F273" s="6">
        <f>IF($J273="","",IF($J273&lt;=1500,N(INDEX('Daily Sale entry '!$AC$1:$AC$1501,$J273+1))-IF(AND('Opening Balance'!$B$15=1,INDEX('Daily Sale entry '!$Z$1:$Z$1501,$J273+1)="Online collection 网上收款",INDEX('Daily Sale entry '!$AA$1:$AA$1501,$J273+1)&lt;&gt;""),N(INDEX('Daily Sale entry '!$AC$1:$AC$1501,$J273+1))-TRUNC(N(INDEX('Daily Sale entry '!$AC$1:$AC$1501,$J273+1))),0),N(INDEX('Daily Sale entry '!$S$1:$S$1501,$J273-1499))-'Opening Balance'!$B$15*(N(INDEX('Daily Sale entry '!$S$1:$S$1501,$J273-1499))-TRUNC(N(INDEX('Daily Sale entry '!$S$1:$S$1501,$J273-1499))))))</f>
        <v/>
      </c>
      <c r="G273" s="6">
        <f>IF($J273="","",IF($J273&lt;=1500,N(INDEX('Daily Sale entry '!$AD$1:$AD$1501,$J273+1)),0))</f>
        <v/>
      </c>
      <c r="H273" s="6">
        <f>IF($J273="","",ROUND('Opening Balance'!$B$4+SUM($F$2:F273)-SUM($G$2:G273),2))</f>
        <v/>
      </c>
      <c r="J273" s="21">
        <f>IFERROR(MATCH(ROW()-1,$L$2:$L$3001,0),"")</f>
        <v/>
      </c>
      <c r="K273" s="34">
        <f>IF(AND('Daily Sale entry '!X273&lt;&gt;"",OR('Daily Sale entry '!AC273&lt;&gt;"",'Daily Sale entry '!AD273&lt;&gt;"")),'Daily Sale entry '!X273+ROW()/10000000,"")</f>
        <v/>
      </c>
      <c r="L273" s="21">
        <f>IF(K273="","",COUNTIF($K$2:$K$3001,"&lt;"&amp;K273)+1)</f>
        <v/>
      </c>
    </row>
    <row r="274">
      <c r="A274" s="5">
        <f>IF($J274="","",IF($J274&lt;=1500,INDEX('Daily Sale entry '!$X$1:$X$1501,$J274+1),INDEX('Daily Sale entry '!$V$1:$V$1501,$J274-1499)))</f>
        <v/>
      </c>
      <c r="B274">
        <f>IF($J274="","",IF($J274&lt;=1500,INDEX('Daily Sale entry '!$Y$1:$Y$1501,$J274+1)&amp;"","Buyer cheque banked 买家支票存入"&amp;IF(INDEX('Daily Sale entry '!$U$1:$U$1501,$J274-1499)="","", " - "&amp;INDEX('Daily Sale entry '!$U$1:$U$1501,$J274-1499))))</f>
        <v/>
      </c>
      <c r="C274">
        <f>IF($J274="","",IF($J274&lt;=1500,INDEX('Daily Sale entry '!$Z$1:$Z$1501,$J274+1)&amp;"","Cheque deposit 支票存入 (buyer 买家)"))</f>
        <v/>
      </c>
      <c r="D274">
        <f>IF($J274="","",IF($J274&lt;=1500,INDEX('Daily Sale entry '!$AA$1:$AA$1501,$J274+1)&amp;"",INDEX('Daily Sale entry '!$P$1:$P$1501,$J274-1499)&amp;""))</f>
        <v/>
      </c>
      <c r="E274">
        <f>IF($J274="","",IF($J274&lt;=1500,IF(N(INDEX('Daily Sale entry '!$AB$1:$AB$1501,$J274+1))=0,"",INDEX('Daily Sale entry '!$AB$1:$AB$1501,$J274+1)),1))</f>
        <v/>
      </c>
      <c r="F274" s="6">
        <f>IF($J274="","",IF($J274&lt;=1500,N(INDEX('Daily Sale entry '!$AC$1:$AC$1501,$J274+1))-IF(AND('Opening Balance'!$B$15=1,INDEX('Daily Sale entry '!$Z$1:$Z$1501,$J274+1)="Online collection 网上收款",INDEX('Daily Sale entry '!$AA$1:$AA$1501,$J274+1)&lt;&gt;""),N(INDEX('Daily Sale entry '!$AC$1:$AC$1501,$J274+1))-TRUNC(N(INDEX('Daily Sale entry '!$AC$1:$AC$1501,$J274+1))),0),N(INDEX('Daily Sale entry '!$S$1:$S$1501,$J274-1499))-'Opening Balance'!$B$15*(N(INDEX('Daily Sale entry '!$S$1:$S$1501,$J274-1499))-TRUNC(N(INDEX('Daily Sale entry '!$S$1:$S$1501,$J274-1499))))))</f>
        <v/>
      </c>
      <c r="G274" s="6">
        <f>IF($J274="","",IF($J274&lt;=1500,N(INDEX('Daily Sale entry '!$AD$1:$AD$1501,$J274+1)),0))</f>
        <v/>
      </c>
      <c r="H274" s="6">
        <f>IF($J274="","",ROUND('Opening Balance'!$B$4+SUM($F$2:F274)-SUM($G$2:G274),2))</f>
        <v/>
      </c>
      <c r="J274" s="21">
        <f>IFERROR(MATCH(ROW()-1,$L$2:$L$3001,0),"")</f>
        <v/>
      </c>
      <c r="K274" s="34">
        <f>IF(AND('Daily Sale entry '!X274&lt;&gt;"",OR('Daily Sale entry '!AC274&lt;&gt;"",'Daily Sale entry '!AD274&lt;&gt;"")),'Daily Sale entry '!X274+ROW()/10000000,"")</f>
        <v/>
      </c>
      <c r="L274" s="21">
        <f>IF(K274="","",COUNTIF($K$2:$K$3001,"&lt;"&amp;K274)+1)</f>
        <v/>
      </c>
    </row>
    <row r="275">
      <c r="A275" s="5">
        <f>IF($J275="","",IF($J275&lt;=1500,INDEX('Daily Sale entry '!$X$1:$X$1501,$J275+1),INDEX('Daily Sale entry '!$V$1:$V$1501,$J275-1499)))</f>
        <v/>
      </c>
      <c r="B275">
        <f>IF($J275="","",IF($J275&lt;=1500,INDEX('Daily Sale entry '!$Y$1:$Y$1501,$J275+1)&amp;"","Buyer cheque banked 买家支票存入"&amp;IF(INDEX('Daily Sale entry '!$U$1:$U$1501,$J275-1499)="","", " - "&amp;INDEX('Daily Sale entry '!$U$1:$U$1501,$J275-1499))))</f>
        <v/>
      </c>
      <c r="C275">
        <f>IF($J275="","",IF($J275&lt;=1500,INDEX('Daily Sale entry '!$Z$1:$Z$1501,$J275+1)&amp;"","Cheque deposit 支票存入 (buyer 买家)"))</f>
        <v/>
      </c>
      <c r="D275">
        <f>IF($J275="","",IF($J275&lt;=1500,INDEX('Daily Sale entry '!$AA$1:$AA$1501,$J275+1)&amp;"",INDEX('Daily Sale entry '!$P$1:$P$1501,$J275-1499)&amp;""))</f>
        <v/>
      </c>
      <c r="E275">
        <f>IF($J275="","",IF($J275&lt;=1500,IF(N(INDEX('Daily Sale entry '!$AB$1:$AB$1501,$J275+1))=0,"",INDEX('Daily Sale entry '!$AB$1:$AB$1501,$J275+1)),1))</f>
        <v/>
      </c>
      <c r="F275" s="6">
        <f>IF($J275="","",IF($J275&lt;=1500,N(INDEX('Daily Sale entry '!$AC$1:$AC$1501,$J275+1))-IF(AND('Opening Balance'!$B$15=1,INDEX('Daily Sale entry '!$Z$1:$Z$1501,$J275+1)="Online collection 网上收款",INDEX('Daily Sale entry '!$AA$1:$AA$1501,$J275+1)&lt;&gt;""),N(INDEX('Daily Sale entry '!$AC$1:$AC$1501,$J275+1))-TRUNC(N(INDEX('Daily Sale entry '!$AC$1:$AC$1501,$J275+1))),0),N(INDEX('Daily Sale entry '!$S$1:$S$1501,$J275-1499))-'Opening Balance'!$B$15*(N(INDEX('Daily Sale entry '!$S$1:$S$1501,$J275-1499))-TRUNC(N(INDEX('Daily Sale entry '!$S$1:$S$1501,$J275-1499))))))</f>
        <v/>
      </c>
      <c r="G275" s="6">
        <f>IF($J275="","",IF($J275&lt;=1500,N(INDEX('Daily Sale entry '!$AD$1:$AD$1501,$J275+1)),0))</f>
        <v/>
      </c>
      <c r="H275" s="6">
        <f>IF($J275="","",ROUND('Opening Balance'!$B$4+SUM($F$2:F275)-SUM($G$2:G275),2))</f>
        <v/>
      </c>
      <c r="J275" s="21">
        <f>IFERROR(MATCH(ROW()-1,$L$2:$L$3001,0),"")</f>
        <v/>
      </c>
      <c r="K275" s="34">
        <f>IF(AND('Daily Sale entry '!X275&lt;&gt;"",OR('Daily Sale entry '!AC275&lt;&gt;"",'Daily Sale entry '!AD275&lt;&gt;"")),'Daily Sale entry '!X275+ROW()/10000000,"")</f>
        <v/>
      </c>
      <c r="L275" s="21">
        <f>IF(K275="","",COUNTIF($K$2:$K$3001,"&lt;"&amp;K275)+1)</f>
        <v/>
      </c>
    </row>
    <row r="276">
      <c r="A276" s="5">
        <f>IF($J276="","",IF($J276&lt;=1500,INDEX('Daily Sale entry '!$X$1:$X$1501,$J276+1),INDEX('Daily Sale entry '!$V$1:$V$1501,$J276-1499)))</f>
        <v/>
      </c>
      <c r="B276">
        <f>IF($J276="","",IF($J276&lt;=1500,INDEX('Daily Sale entry '!$Y$1:$Y$1501,$J276+1)&amp;"","Buyer cheque banked 买家支票存入"&amp;IF(INDEX('Daily Sale entry '!$U$1:$U$1501,$J276-1499)="","", " - "&amp;INDEX('Daily Sale entry '!$U$1:$U$1501,$J276-1499))))</f>
        <v/>
      </c>
      <c r="C276">
        <f>IF($J276="","",IF($J276&lt;=1500,INDEX('Daily Sale entry '!$Z$1:$Z$1501,$J276+1)&amp;"","Cheque deposit 支票存入 (buyer 买家)"))</f>
        <v/>
      </c>
      <c r="D276">
        <f>IF($J276="","",IF($J276&lt;=1500,INDEX('Daily Sale entry '!$AA$1:$AA$1501,$J276+1)&amp;"",INDEX('Daily Sale entry '!$P$1:$P$1501,$J276-1499)&amp;""))</f>
        <v/>
      </c>
      <c r="E276">
        <f>IF($J276="","",IF($J276&lt;=1500,IF(N(INDEX('Daily Sale entry '!$AB$1:$AB$1501,$J276+1))=0,"",INDEX('Daily Sale entry '!$AB$1:$AB$1501,$J276+1)),1))</f>
        <v/>
      </c>
      <c r="F276" s="6">
        <f>IF($J276="","",IF($J276&lt;=1500,N(INDEX('Daily Sale entry '!$AC$1:$AC$1501,$J276+1))-IF(AND('Opening Balance'!$B$15=1,INDEX('Daily Sale entry '!$Z$1:$Z$1501,$J276+1)="Online collection 网上收款",INDEX('Daily Sale entry '!$AA$1:$AA$1501,$J276+1)&lt;&gt;""),N(INDEX('Daily Sale entry '!$AC$1:$AC$1501,$J276+1))-TRUNC(N(INDEX('Daily Sale entry '!$AC$1:$AC$1501,$J276+1))),0),N(INDEX('Daily Sale entry '!$S$1:$S$1501,$J276-1499))-'Opening Balance'!$B$15*(N(INDEX('Daily Sale entry '!$S$1:$S$1501,$J276-1499))-TRUNC(N(INDEX('Daily Sale entry '!$S$1:$S$1501,$J276-1499))))))</f>
        <v/>
      </c>
      <c r="G276" s="6">
        <f>IF($J276="","",IF($J276&lt;=1500,N(INDEX('Daily Sale entry '!$AD$1:$AD$1501,$J276+1)),0))</f>
        <v/>
      </c>
      <c r="H276" s="6">
        <f>IF($J276="","",ROUND('Opening Balance'!$B$4+SUM($F$2:F276)-SUM($G$2:G276),2))</f>
        <v/>
      </c>
      <c r="J276" s="21">
        <f>IFERROR(MATCH(ROW()-1,$L$2:$L$3001,0),"")</f>
        <v/>
      </c>
      <c r="K276" s="34">
        <f>IF(AND('Daily Sale entry '!X276&lt;&gt;"",OR('Daily Sale entry '!AC276&lt;&gt;"",'Daily Sale entry '!AD276&lt;&gt;"")),'Daily Sale entry '!X276+ROW()/10000000,"")</f>
        <v/>
      </c>
      <c r="L276" s="21">
        <f>IF(K276="","",COUNTIF($K$2:$K$3001,"&lt;"&amp;K276)+1)</f>
        <v/>
      </c>
    </row>
    <row r="277">
      <c r="A277" s="5">
        <f>IF($J277="","",IF($J277&lt;=1500,INDEX('Daily Sale entry '!$X$1:$X$1501,$J277+1),INDEX('Daily Sale entry '!$V$1:$V$1501,$J277-1499)))</f>
        <v/>
      </c>
      <c r="B277">
        <f>IF($J277="","",IF($J277&lt;=1500,INDEX('Daily Sale entry '!$Y$1:$Y$1501,$J277+1)&amp;"","Buyer cheque banked 买家支票存入"&amp;IF(INDEX('Daily Sale entry '!$U$1:$U$1501,$J277-1499)="","", " - "&amp;INDEX('Daily Sale entry '!$U$1:$U$1501,$J277-1499))))</f>
        <v/>
      </c>
      <c r="C277">
        <f>IF($J277="","",IF($J277&lt;=1500,INDEX('Daily Sale entry '!$Z$1:$Z$1501,$J277+1)&amp;"","Cheque deposit 支票存入 (buyer 买家)"))</f>
        <v/>
      </c>
      <c r="D277">
        <f>IF($J277="","",IF($J277&lt;=1500,INDEX('Daily Sale entry '!$AA$1:$AA$1501,$J277+1)&amp;"",INDEX('Daily Sale entry '!$P$1:$P$1501,$J277-1499)&amp;""))</f>
        <v/>
      </c>
      <c r="E277">
        <f>IF($J277="","",IF($J277&lt;=1500,IF(N(INDEX('Daily Sale entry '!$AB$1:$AB$1501,$J277+1))=0,"",INDEX('Daily Sale entry '!$AB$1:$AB$1501,$J277+1)),1))</f>
        <v/>
      </c>
      <c r="F277" s="6">
        <f>IF($J277="","",IF($J277&lt;=1500,N(INDEX('Daily Sale entry '!$AC$1:$AC$1501,$J277+1))-IF(AND('Opening Balance'!$B$15=1,INDEX('Daily Sale entry '!$Z$1:$Z$1501,$J277+1)="Online collection 网上收款",INDEX('Daily Sale entry '!$AA$1:$AA$1501,$J277+1)&lt;&gt;""),N(INDEX('Daily Sale entry '!$AC$1:$AC$1501,$J277+1))-TRUNC(N(INDEX('Daily Sale entry '!$AC$1:$AC$1501,$J277+1))),0),N(INDEX('Daily Sale entry '!$S$1:$S$1501,$J277-1499))-'Opening Balance'!$B$15*(N(INDEX('Daily Sale entry '!$S$1:$S$1501,$J277-1499))-TRUNC(N(INDEX('Daily Sale entry '!$S$1:$S$1501,$J277-1499))))))</f>
        <v/>
      </c>
      <c r="G277" s="6">
        <f>IF($J277="","",IF($J277&lt;=1500,N(INDEX('Daily Sale entry '!$AD$1:$AD$1501,$J277+1)),0))</f>
        <v/>
      </c>
      <c r="H277" s="6">
        <f>IF($J277="","",ROUND('Opening Balance'!$B$4+SUM($F$2:F277)-SUM($G$2:G277),2))</f>
        <v/>
      </c>
      <c r="J277" s="21">
        <f>IFERROR(MATCH(ROW()-1,$L$2:$L$3001,0),"")</f>
        <v/>
      </c>
      <c r="K277" s="34">
        <f>IF(AND('Daily Sale entry '!X277&lt;&gt;"",OR('Daily Sale entry '!AC277&lt;&gt;"",'Daily Sale entry '!AD277&lt;&gt;"")),'Daily Sale entry '!X277+ROW()/10000000,"")</f>
        <v/>
      </c>
      <c r="L277" s="21">
        <f>IF(K277="","",COUNTIF($K$2:$K$3001,"&lt;"&amp;K277)+1)</f>
        <v/>
      </c>
    </row>
    <row r="278">
      <c r="A278" s="5">
        <f>IF($J278="","",IF($J278&lt;=1500,INDEX('Daily Sale entry '!$X$1:$X$1501,$J278+1),INDEX('Daily Sale entry '!$V$1:$V$1501,$J278-1499)))</f>
        <v/>
      </c>
      <c r="B278">
        <f>IF($J278="","",IF($J278&lt;=1500,INDEX('Daily Sale entry '!$Y$1:$Y$1501,$J278+1)&amp;"","Buyer cheque banked 买家支票存入"&amp;IF(INDEX('Daily Sale entry '!$U$1:$U$1501,$J278-1499)="","", " - "&amp;INDEX('Daily Sale entry '!$U$1:$U$1501,$J278-1499))))</f>
        <v/>
      </c>
      <c r="C278">
        <f>IF($J278="","",IF($J278&lt;=1500,INDEX('Daily Sale entry '!$Z$1:$Z$1501,$J278+1)&amp;"","Cheque deposit 支票存入 (buyer 买家)"))</f>
        <v/>
      </c>
      <c r="D278">
        <f>IF($J278="","",IF($J278&lt;=1500,INDEX('Daily Sale entry '!$AA$1:$AA$1501,$J278+1)&amp;"",INDEX('Daily Sale entry '!$P$1:$P$1501,$J278-1499)&amp;""))</f>
        <v/>
      </c>
      <c r="E278">
        <f>IF($J278="","",IF($J278&lt;=1500,IF(N(INDEX('Daily Sale entry '!$AB$1:$AB$1501,$J278+1))=0,"",INDEX('Daily Sale entry '!$AB$1:$AB$1501,$J278+1)),1))</f>
        <v/>
      </c>
      <c r="F278" s="6">
        <f>IF($J278="","",IF($J278&lt;=1500,N(INDEX('Daily Sale entry '!$AC$1:$AC$1501,$J278+1))-IF(AND('Opening Balance'!$B$15=1,INDEX('Daily Sale entry '!$Z$1:$Z$1501,$J278+1)="Online collection 网上收款",INDEX('Daily Sale entry '!$AA$1:$AA$1501,$J278+1)&lt;&gt;""),N(INDEX('Daily Sale entry '!$AC$1:$AC$1501,$J278+1))-TRUNC(N(INDEX('Daily Sale entry '!$AC$1:$AC$1501,$J278+1))),0),N(INDEX('Daily Sale entry '!$S$1:$S$1501,$J278-1499))-'Opening Balance'!$B$15*(N(INDEX('Daily Sale entry '!$S$1:$S$1501,$J278-1499))-TRUNC(N(INDEX('Daily Sale entry '!$S$1:$S$1501,$J278-1499))))))</f>
        <v/>
      </c>
      <c r="G278" s="6">
        <f>IF($J278="","",IF($J278&lt;=1500,N(INDEX('Daily Sale entry '!$AD$1:$AD$1501,$J278+1)),0))</f>
        <v/>
      </c>
      <c r="H278" s="6">
        <f>IF($J278="","",ROUND('Opening Balance'!$B$4+SUM($F$2:F278)-SUM($G$2:G278),2))</f>
        <v/>
      </c>
      <c r="J278" s="21">
        <f>IFERROR(MATCH(ROW()-1,$L$2:$L$3001,0),"")</f>
        <v/>
      </c>
      <c r="K278" s="34">
        <f>IF(AND('Daily Sale entry '!X278&lt;&gt;"",OR('Daily Sale entry '!AC278&lt;&gt;"",'Daily Sale entry '!AD278&lt;&gt;"")),'Daily Sale entry '!X278+ROW()/10000000,"")</f>
        <v/>
      </c>
      <c r="L278" s="21">
        <f>IF(K278="","",COUNTIF($K$2:$K$3001,"&lt;"&amp;K278)+1)</f>
        <v/>
      </c>
    </row>
    <row r="279">
      <c r="A279" s="5">
        <f>IF($J279="","",IF($J279&lt;=1500,INDEX('Daily Sale entry '!$X$1:$X$1501,$J279+1),INDEX('Daily Sale entry '!$V$1:$V$1501,$J279-1499)))</f>
        <v/>
      </c>
      <c r="B279">
        <f>IF($J279="","",IF($J279&lt;=1500,INDEX('Daily Sale entry '!$Y$1:$Y$1501,$J279+1)&amp;"","Buyer cheque banked 买家支票存入"&amp;IF(INDEX('Daily Sale entry '!$U$1:$U$1501,$J279-1499)="","", " - "&amp;INDEX('Daily Sale entry '!$U$1:$U$1501,$J279-1499))))</f>
        <v/>
      </c>
      <c r="C279">
        <f>IF($J279="","",IF($J279&lt;=1500,INDEX('Daily Sale entry '!$Z$1:$Z$1501,$J279+1)&amp;"","Cheque deposit 支票存入 (buyer 买家)"))</f>
        <v/>
      </c>
      <c r="D279">
        <f>IF($J279="","",IF($J279&lt;=1500,INDEX('Daily Sale entry '!$AA$1:$AA$1501,$J279+1)&amp;"",INDEX('Daily Sale entry '!$P$1:$P$1501,$J279-1499)&amp;""))</f>
        <v/>
      </c>
      <c r="E279">
        <f>IF($J279="","",IF($J279&lt;=1500,IF(N(INDEX('Daily Sale entry '!$AB$1:$AB$1501,$J279+1))=0,"",INDEX('Daily Sale entry '!$AB$1:$AB$1501,$J279+1)),1))</f>
        <v/>
      </c>
      <c r="F279" s="6">
        <f>IF($J279="","",IF($J279&lt;=1500,N(INDEX('Daily Sale entry '!$AC$1:$AC$1501,$J279+1))-IF(AND('Opening Balance'!$B$15=1,INDEX('Daily Sale entry '!$Z$1:$Z$1501,$J279+1)="Online collection 网上收款",INDEX('Daily Sale entry '!$AA$1:$AA$1501,$J279+1)&lt;&gt;""),N(INDEX('Daily Sale entry '!$AC$1:$AC$1501,$J279+1))-TRUNC(N(INDEX('Daily Sale entry '!$AC$1:$AC$1501,$J279+1))),0),N(INDEX('Daily Sale entry '!$S$1:$S$1501,$J279-1499))-'Opening Balance'!$B$15*(N(INDEX('Daily Sale entry '!$S$1:$S$1501,$J279-1499))-TRUNC(N(INDEX('Daily Sale entry '!$S$1:$S$1501,$J279-1499))))))</f>
        <v/>
      </c>
      <c r="G279" s="6">
        <f>IF($J279="","",IF($J279&lt;=1500,N(INDEX('Daily Sale entry '!$AD$1:$AD$1501,$J279+1)),0))</f>
        <v/>
      </c>
      <c r="H279" s="6">
        <f>IF($J279="","",ROUND('Opening Balance'!$B$4+SUM($F$2:F279)-SUM($G$2:G279),2))</f>
        <v/>
      </c>
      <c r="J279" s="21">
        <f>IFERROR(MATCH(ROW()-1,$L$2:$L$3001,0),"")</f>
        <v/>
      </c>
      <c r="K279" s="34">
        <f>IF(AND('Daily Sale entry '!X279&lt;&gt;"",OR('Daily Sale entry '!AC279&lt;&gt;"",'Daily Sale entry '!AD279&lt;&gt;"")),'Daily Sale entry '!X279+ROW()/10000000,"")</f>
        <v/>
      </c>
      <c r="L279" s="21">
        <f>IF(K279="","",COUNTIF($K$2:$K$3001,"&lt;"&amp;K279)+1)</f>
        <v/>
      </c>
    </row>
    <row r="280">
      <c r="A280" s="5">
        <f>IF($J280="","",IF($J280&lt;=1500,INDEX('Daily Sale entry '!$X$1:$X$1501,$J280+1),INDEX('Daily Sale entry '!$V$1:$V$1501,$J280-1499)))</f>
        <v/>
      </c>
      <c r="B280">
        <f>IF($J280="","",IF($J280&lt;=1500,INDEX('Daily Sale entry '!$Y$1:$Y$1501,$J280+1)&amp;"","Buyer cheque banked 买家支票存入"&amp;IF(INDEX('Daily Sale entry '!$U$1:$U$1501,$J280-1499)="","", " - "&amp;INDEX('Daily Sale entry '!$U$1:$U$1501,$J280-1499))))</f>
        <v/>
      </c>
      <c r="C280">
        <f>IF($J280="","",IF($J280&lt;=1500,INDEX('Daily Sale entry '!$Z$1:$Z$1501,$J280+1)&amp;"","Cheque deposit 支票存入 (buyer 买家)"))</f>
        <v/>
      </c>
      <c r="D280">
        <f>IF($J280="","",IF($J280&lt;=1500,INDEX('Daily Sale entry '!$AA$1:$AA$1501,$J280+1)&amp;"",INDEX('Daily Sale entry '!$P$1:$P$1501,$J280-1499)&amp;""))</f>
        <v/>
      </c>
      <c r="E280">
        <f>IF($J280="","",IF($J280&lt;=1500,IF(N(INDEX('Daily Sale entry '!$AB$1:$AB$1501,$J280+1))=0,"",INDEX('Daily Sale entry '!$AB$1:$AB$1501,$J280+1)),1))</f>
        <v/>
      </c>
      <c r="F280" s="6">
        <f>IF($J280="","",IF($J280&lt;=1500,N(INDEX('Daily Sale entry '!$AC$1:$AC$1501,$J280+1))-IF(AND('Opening Balance'!$B$15=1,INDEX('Daily Sale entry '!$Z$1:$Z$1501,$J280+1)="Online collection 网上收款",INDEX('Daily Sale entry '!$AA$1:$AA$1501,$J280+1)&lt;&gt;""),N(INDEX('Daily Sale entry '!$AC$1:$AC$1501,$J280+1))-TRUNC(N(INDEX('Daily Sale entry '!$AC$1:$AC$1501,$J280+1))),0),N(INDEX('Daily Sale entry '!$S$1:$S$1501,$J280-1499))-'Opening Balance'!$B$15*(N(INDEX('Daily Sale entry '!$S$1:$S$1501,$J280-1499))-TRUNC(N(INDEX('Daily Sale entry '!$S$1:$S$1501,$J280-1499))))))</f>
        <v/>
      </c>
      <c r="G280" s="6">
        <f>IF($J280="","",IF($J280&lt;=1500,N(INDEX('Daily Sale entry '!$AD$1:$AD$1501,$J280+1)),0))</f>
        <v/>
      </c>
      <c r="H280" s="6">
        <f>IF($J280="","",ROUND('Opening Balance'!$B$4+SUM($F$2:F280)-SUM($G$2:G280),2))</f>
        <v/>
      </c>
      <c r="J280" s="21">
        <f>IFERROR(MATCH(ROW()-1,$L$2:$L$3001,0),"")</f>
        <v/>
      </c>
      <c r="K280" s="34">
        <f>IF(AND('Daily Sale entry '!X280&lt;&gt;"",OR('Daily Sale entry '!AC280&lt;&gt;"",'Daily Sale entry '!AD280&lt;&gt;"")),'Daily Sale entry '!X280+ROW()/10000000,"")</f>
        <v/>
      </c>
      <c r="L280" s="21">
        <f>IF(K280="","",COUNTIF($K$2:$K$3001,"&lt;"&amp;K280)+1)</f>
        <v/>
      </c>
    </row>
    <row r="281">
      <c r="A281" s="5">
        <f>IF($J281="","",IF($J281&lt;=1500,INDEX('Daily Sale entry '!$X$1:$X$1501,$J281+1),INDEX('Daily Sale entry '!$V$1:$V$1501,$J281-1499)))</f>
        <v/>
      </c>
      <c r="B281">
        <f>IF($J281="","",IF($J281&lt;=1500,INDEX('Daily Sale entry '!$Y$1:$Y$1501,$J281+1)&amp;"","Buyer cheque banked 买家支票存入"&amp;IF(INDEX('Daily Sale entry '!$U$1:$U$1501,$J281-1499)="","", " - "&amp;INDEX('Daily Sale entry '!$U$1:$U$1501,$J281-1499))))</f>
        <v/>
      </c>
      <c r="C281">
        <f>IF($J281="","",IF($J281&lt;=1500,INDEX('Daily Sale entry '!$Z$1:$Z$1501,$J281+1)&amp;"","Cheque deposit 支票存入 (buyer 买家)"))</f>
        <v/>
      </c>
      <c r="D281">
        <f>IF($J281="","",IF($J281&lt;=1500,INDEX('Daily Sale entry '!$AA$1:$AA$1501,$J281+1)&amp;"",INDEX('Daily Sale entry '!$P$1:$P$1501,$J281-1499)&amp;""))</f>
        <v/>
      </c>
      <c r="E281">
        <f>IF($J281="","",IF($J281&lt;=1500,IF(N(INDEX('Daily Sale entry '!$AB$1:$AB$1501,$J281+1))=0,"",INDEX('Daily Sale entry '!$AB$1:$AB$1501,$J281+1)),1))</f>
        <v/>
      </c>
      <c r="F281" s="6">
        <f>IF($J281="","",IF($J281&lt;=1500,N(INDEX('Daily Sale entry '!$AC$1:$AC$1501,$J281+1))-IF(AND('Opening Balance'!$B$15=1,INDEX('Daily Sale entry '!$Z$1:$Z$1501,$J281+1)="Online collection 网上收款",INDEX('Daily Sale entry '!$AA$1:$AA$1501,$J281+1)&lt;&gt;""),N(INDEX('Daily Sale entry '!$AC$1:$AC$1501,$J281+1))-TRUNC(N(INDEX('Daily Sale entry '!$AC$1:$AC$1501,$J281+1))),0),N(INDEX('Daily Sale entry '!$S$1:$S$1501,$J281-1499))-'Opening Balance'!$B$15*(N(INDEX('Daily Sale entry '!$S$1:$S$1501,$J281-1499))-TRUNC(N(INDEX('Daily Sale entry '!$S$1:$S$1501,$J281-1499))))))</f>
        <v/>
      </c>
      <c r="G281" s="6">
        <f>IF($J281="","",IF($J281&lt;=1500,N(INDEX('Daily Sale entry '!$AD$1:$AD$1501,$J281+1)),0))</f>
        <v/>
      </c>
      <c r="H281" s="6">
        <f>IF($J281="","",ROUND('Opening Balance'!$B$4+SUM($F$2:F281)-SUM($G$2:G281),2))</f>
        <v/>
      </c>
      <c r="J281" s="21">
        <f>IFERROR(MATCH(ROW()-1,$L$2:$L$3001,0),"")</f>
        <v/>
      </c>
      <c r="K281" s="34">
        <f>IF(AND('Daily Sale entry '!X281&lt;&gt;"",OR('Daily Sale entry '!AC281&lt;&gt;"",'Daily Sale entry '!AD281&lt;&gt;"")),'Daily Sale entry '!X281+ROW()/10000000,"")</f>
        <v/>
      </c>
      <c r="L281" s="21">
        <f>IF(K281="","",COUNTIF($K$2:$K$3001,"&lt;"&amp;K281)+1)</f>
        <v/>
      </c>
    </row>
    <row r="282">
      <c r="A282" s="5">
        <f>IF($J282="","",IF($J282&lt;=1500,INDEX('Daily Sale entry '!$X$1:$X$1501,$J282+1),INDEX('Daily Sale entry '!$V$1:$V$1501,$J282-1499)))</f>
        <v/>
      </c>
      <c r="B282">
        <f>IF($J282="","",IF($J282&lt;=1500,INDEX('Daily Sale entry '!$Y$1:$Y$1501,$J282+1)&amp;"","Buyer cheque banked 买家支票存入"&amp;IF(INDEX('Daily Sale entry '!$U$1:$U$1501,$J282-1499)="","", " - "&amp;INDEX('Daily Sale entry '!$U$1:$U$1501,$J282-1499))))</f>
        <v/>
      </c>
      <c r="C282">
        <f>IF($J282="","",IF($J282&lt;=1500,INDEX('Daily Sale entry '!$Z$1:$Z$1501,$J282+1)&amp;"","Cheque deposit 支票存入 (buyer 买家)"))</f>
        <v/>
      </c>
      <c r="D282">
        <f>IF($J282="","",IF($J282&lt;=1500,INDEX('Daily Sale entry '!$AA$1:$AA$1501,$J282+1)&amp;"",INDEX('Daily Sale entry '!$P$1:$P$1501,$J282-1499)&amp;""))</f>
        <v/>
      </c>
      <c r="E282">
        <f>IF($J282="","",IF($J282&lt;=1500,IF(N(INDEX('Daily Sale entry '!$AB$1:$AB$1501,$J282+1))=0,"",INDEX('Daily Sale entry '!$AB$1:$AB$1501,$J282+1)),1))</f>
        <v/>
      </c>
      <c r="F282" s="6">
        <f>IF($J282="","",IF($J282&lt;=1500,N(INDEX('Daily Sale entry '!$AC$1:$AC$1501,$J282+1))-IF(AND('Opening Balance'!$B$15=1,INDEX('Daily Sale entry '!$Z$1:$Z$1501,$J282+1)="Online collection 网上收款",INDEX('Daily Sale entry '!$AA$1:$AA$1501,$J282+1)&lt;&gt;""),N(INDEX('Daily Sale entry '!$AC$1:$AC$1501,$J282+1))-TRUNC(N(INDEX('Daily Sale entry '!$AC$1:$AC$1501,$J282+1))),0),N(INDEX('Daily Sale entry '!$S$1:$S$1501,$J282-1499))-'Opening Balance'!$B$15*(N(INDEX('Daily Sale entry '!$S$1:$S$1501,$J282-1499))-TRUNC(N(INDEX('Daily Sale entry '!$S$1:$S$1501,$J282-1499))))))</f>
        <v/>
      </c>
      <c r="G282" s="6">
        <f>IF($J282="","",IF($J282&lt;=1500,N(INDEX('Daily Sale entry '!$AD$1:$AD$1501,$J282+1)),0))</f>
        <v/>
      </c>
      <c r="H282" s="6">
        <f>IF($J282="","",ROUND('Opening Balance'!$B$4+SUM($F$2:F282)-SUM($G$2:G282),2))</f>
        <v/>
      </c>
      <c r="J282" s="21">
        <f>IFERROR(MATCH(ROW()-1,$L$2:$L$3001,0),"")</f>
        <v/>
      </c>
      <c r="K282" s="34">
        <f>IF(AND('Daily Sale entry '!X282&lt;&gt;"",OR('Daily Sale entry '!AC282&lt;&gt;"",'Daily Sale entry '!AD282&lt;&gt;"")),'Daily Sale entry '!X282+ROW()/10000000,"")</f>
        <v/>
      </c>
      <c r="L282" s="21">
        <f>IF(K282="","",COUNTIF($K$2:$K$3001,"&lt;"&amp;K282)+1)</f>
        <v/>
      </c>
    </row>
    <row r="283">
      <c r="A283" s="5">
        <f>IF($J283="","",IF($J283&lt;=1500,INDEX('Daily Sale entry '!$X$1:$X$1501,$J283+1),INDEX('Daily Sale entry '!$V$1:$V$1501,$J283-1499)))</f>
        <v/>
      </c>
      <c r="B283">
        <f>IF($J283="","",IF($J283&lt;=1500,INDEX('Daily Sale entry '!$Y$1:$Y$1501,$J283+1)&amp;"","Buyer cheque banked 买家支票存入"&amp;IF(INDEX('Daily Sale entry '!$U$1:$U$1501,$J283-1499)="","", " - "&amp;INDEX('Daily Sale entry '!$U$1:$U$1501,$J283-1499))))</f>
        <v/>
      </c>
      <c r="C283">
        <f>IF($J283="","",IF($J283&lt;=1500,INDEX('Daily Sale entry '!$Z$1:$Z$1501,$J283+1)&amp;"","Cheque deposit 支票存入 (buyer 买家)"))</f>
        <v/>
      </c>
      <c r="D283">
        <f>IF($J283="","",IF($J283&lt;=1500,INDEX('Daily Sale entry '!$AA$1:$AA$1501,$J283+1)&amp;"",INDEX('Daily Sale entry '!$P$1:$P$1501,$J283-1499)&amp;""))</f>
        <v/>
      </c>
      <c r="E283">
        <f>IF($J283="","",IF($J283&lt;=1500,IF(N(INDEX('Daily Sale entry '!$AB$1:$AB$1501,$J283+1))=0,"",INDEX('Daily Sale entry '!$AB$1:$AB$1501,$J283+1)),1))</f>
        <v/>
      </c>
      <c r="F283" s="6">
        <f>IF($J283="","",IF($J283&lt;=1500,N(INDEX('Daily Sale entry '!$AC$1:$AC$1501,$J283+1))-IF(AND('Opening Balance'!$B$15=1,INDEX('Daily Sale entry '!$Z$1:$Z$1501,$J283+1)="Online collection 网上收款",INDEX('Daily Sale entry '!$AA$1:$AA$1501,$J283+1)&lt;&gt;""),N(INDEX('Daily Sale entry '!$AC$1:$AC$1501,$J283+1))-TRUNC(N(INDEX('Daily Sale entry '!$AC$1:$AC$1501,$J283+1))),0),N(INDEX('Daily Sale entry '!$S$1:$S$1501,$J283-1499))-'Opening Balance'!$B$15*(N(INDEX('Daily Sale entry '!$S$1:$S$1501,$J283-1499))-TRUNC(N(INDEX('Daily Sale entry '!$S$1:$S$1501,$J283-1499))))))</f>
        <v/>
      </c>
      <c r="G283" s="6">
        <f>IF($J283="","",IF($J283&lt;=1500,N(INDEX('Daily Sale entry '!$AD$1:$AD$1501,$J283+1)),0))</f>
        <v/>
      </c>
      <c r="H283" s="6">
        <f>IF($J283="","",ROUND('Opening Balance'!$B$4+SUM($F$2:F283)-SUM($G$2:G283),2))</f>
        <v/>
      </c>
      <c r="J283" s="21">
        <f>IFERROR(MATCH(ROW()-1,$L$2:$L$3001,0),"")</f>
        <v/>
      </c>
      <c r="K283" s="34">
        <f>IF(AND('Daily Sale entry '!X283&lt;&gt;"",OR('Daily Sale entry '!AC283&lt;&gt;"",'Daily Sale entry '!AD283&lt;&gt;"")),'Daily Sale entry '!X283+ROW()/10000000,"")</f>
        <v/>
      </c>
      <c r="L283" s="21">
        <f>IF(K283="","",COUNTIF($K$2:$K$3001,"&lt;"&amp;K283)+1)</f>
        <v/>
      </c>
    </row>
    <row r="284">
      <c r="A284" s="5">
        <f>IF($J284="","",IF($J284&lt;=1500,INDEX('Daily Sale entry '!$X$1:$X$1501,$J284+1),INDEX('Daily Sale entry '!$V$1:$V$1501,$J284-1499)))</f>
        <v/>
      </c>
      <c r="B284">
        <f>IF($J284="","",IF($J284&lt;=1500,INDEX('Daily Sale entry '!$Y$1:$Y$1501,$J284+1)&amp;"","Buyer cheque banked 买家支票存入"&amp;IF(INDEX('Daily Sale entry '!$U$1:$U$1501,$J284-1499)="","", " - "&amp;INDEX('Daily Sale entry '!$U$1:$U$1501,$J284-1499))))</f>
        <v/>
      </c>
      <c r="C284">
        <f>IF($J284="","",IF($J284&lt;=1500,INDEX('Daily Sale entry '!$Z$1:$Z$1501,$J284+1)&amp;"","Cheque deposit 支票存入 (buyer 买家)"))</f>
        <v/>
      </c>
      <c r="D284">
        <f>IF($J284="","",IF($J284&lt;=1500,INDEX('Daily Sale entry '!$AA$1:$AA$1501,$J284+1)&amp;"",INDEX('Daily Sale entry '!$P$1:$P$1501,$J284-1499)&amp;""))</f>
        <v/>
      </c>
      <c r="E284">
        <f>IF($J284="","",IF($J284&lt;=1500,IF(N(INDEX('Daily Sale entry '!$AB$1:$AB$1501,$J284+1))=0,"",INDEX('Daily Sale entry '!$AB$1:$AB$1501,$J284+1)),1))</f>
        <v/>
      </c>
      <c r="F284" s="6">
        <f>IF($J284="","",IF($J284&lt;=1500,N(INDEX('Daily Sale entry '!$AC$1:$AC$1501,$J284+1))-IF(AND('Opening Balance'!$B$15=1,INDEX('Daily Sale entry '!$Z$1:$Z$1501,$J284+1)="Online collection 网上收款",INDEX('Daily Sale entry '!$AA$1:$AA$1501,$J284+1)&lt;&gt;""),N(INDEX('Daily Sale entry '!$AC$1:$AC$1501,$J284+1))-TRUNC(N(INDEX('Daily Sale entry '!$AC$1:$AC$1501,$J284+1))),0),N(INDEX('Daily Sale entry '!$S$1:$S$1501,$J284-1499))-'Opening Balance'!$B$15*(N(INDEX('Daily Sale entry '!$S$1:$S$1501,$J284-1499))-TRUNC(N(INDEX('Daily Sale entry '!$S$1:$S$1501,$J284-1499))))))</f>
        <v/>
      </c>
      <c r="G284" s="6">
        <f>IF($J284="","",IF($J284&lt;=1500,N(INDEX('Daily Sale entry '!$AD$1:$AD$1501,$J284+1)),0))</f>
        <v/>
      </c>
      <c r="H284" s="6">
        <f>IF($J284="","",ROUND('Opening Balance'!$B$4+SUM($F$2:F284)-SUM($G$2:G284),2))</f>
        <v/>
      </c>
      <c r="J284" s="21">
        <f>IFERROR(MATCH(ROW()-1,$L$2:$L$3001,0),"")</f>
        <v/>
      </c>
      <c r="K284" s="34">
        <f>IF(AND('Daily Sale entry '!X284&lt;&gt;"",OR('Daily Sale entry '!AC284&lt;&gt;"",'Daily Sale entry '!AD284&lt;&gt;"")),'Daily Sale entry '!X284+ROW()/10000000,"")</f>
        <v/>
      </c>
      <c r="L284" s="21">
        <f>IF(K284="","",COUNTIF($K$2:$K$3001,"&lt;"&amp;K284)+1)</f>
        <v/>
      </c>
    </row>
    <row r="285">
      <c r="A285" s="5">
        <f>IF($J285="","",IF($J285&lt;=1500,INDEX('Daily Sale entry '!$X$1:$X$1501,$J285+1),INDEX('Daily Sale entry '!$V$1:$V$1501,$J285-1499)))</f>
        <v/>
      </c>
      <c r="B285">
        <f>IF($J285="","",IF($J285&lt;=1500,INDEX('Daily Sale entry '!$Y$1:$Y$1501,$J285+1)&amp;"","Buyer cheque banked 买家支票存入"&amp;IF(INDEX('Daily Sale entry '!$U$1:$U$1501,$J285-1499)="","", " - "&amp;INDEX('Daily Sale entry '!$U$1:$U$1501,$J285-1499))))</f>
        <v/>
      </c>
      <c r="C285">
        <f>IF($J285="","",IF($J285&lt;=1500,INDEX('Daily Sale entry '!$Z$1:$Z$1501,$J285+1)&amp;"","Cheque deposit 支票存入 (buyer 买家)"))</f>
        <v/>
      </c>
      <c r="D285">
        <f>IF($J285="","",IF($J285&lt;=1500,INDEX('Daily Sale entry '!$AA$1:$AA$1501,$J285+1)&amp;"",INDEX('Daily Sale entry '!$P$1:$P$1501,$J285-1499)&amp;""))</f>
        <v/>
      </c>
      <c r="E285">
        <f>IF($J285="","",IF($J285&lt;=1500,IF(N(INDEX('Daily Sale entry '!$AB$1:$AB$1501,$J285+1))=0,"",INDEX('Daily Sale entry '!$AB$1:$AB$1501,$J285+1)),1))</f>
        <v/>
      </c>
      <c r="F285" s="6">
        <f>IF($J285="","",IF($J285&lt;=1500,N(INDEX('Daily Sale entry '!$AC$1:$AC$1501,$J285+1))-IF(AND('Opening Balance'!$B$15=1,INDEX('Daily Sale entry '!$Z$1:$Z$1501,$J285+1)="Online collection 网上收款",INDEX('Daily Sale entry '!$AA$1:$AA$1501,$J285+1)&lt;&gt;""),N(INDEX('Daily Sale entry '!$AC$1:$AC$1501,$J285+1))-TRUNC(N(INDEX('Daily Sale entry '!$AC$1:$AC$1501,$J285+1))),0),N(INDEX('Daily Sale entry '!$S$1:$S$1501,$J285-1499))-'Opening Balance'!$B$15*(N(INDEX('Daily Sale entry '!$S$1:$S$1501,$J285-1499))-TRUNC(N(INDEX('Daily Sale entry '!$S$1:$S$1501,$J285-1499))))))</f>
        <v/>
      </c>
      <c r="G285" s="6">
        <f>IF($J285="","",IF($J285&lt;=1500,N(INDEX('Daily Sale entry '!$AD$1:$AD$1501,$J285+1)),0))</f>
        <v/>
      </c>
      <c r="H285" s="6">
        <f>IF($J285="","",ROUND('Opening Balance'!$B$4+SUM($F$2:F285)-SUM($G$2:G285),2))</f>
        <v/>
      </c>
      <c r="J285" s="21">
        <f>IFERROR(MATCH(ROW()-1,$L$2:$L$3001,0),"")</f>
        <v/>
      </c>
      <c r="K285" s="34">
        <f>IF(AND('Daily Sale entry '!X285&lt;&gt;"",OR('Daily Sale entry '!AC285&lt;&gt;"",'Daily Sale entry '!AD285&lt;&gt;"")),'Daily Sale entry '!X285+ROW()/10000000,"")</f>
        <v/>
      </c>
      <c r="L285" s="21">
        <f>IF(K285="","",COUNTIF($K$2:$K$3001,"&lt;"&amp;K285)+1)</f>
        <v/>
      </c>
    </row>
    <row r="286">
      <c r="A286" s="5">
        <f>IF($J286="","",IF($J286&lt;=1500,INDEX('Daily Sale entry '!$X$1:$X$1501,$J286+1),INDEX('Daily Sale entry '!$V$1:$V$1501,$J286-1499)))</f>
        <v/>
      </c>
      <c r="B286">
        <f>IF($J286="","",IF($J286&lt;=1500,INDEX('Daily Sale entry '!$Y$1:$Y$1501,$J286+1)&amp;"","Buyer cheque banked 买家支票存入"&amp;IF(INDEX('Daily Sale entry '!$U$1:$U$1501,$J286-1499)="","", " - "&amp;INDEX('Daily Sale entry '!$U$1:$U$1501,$J286-1499))))</f>
        <v/>
      </c>
      <c r="C286">
        <f>IF($J286="","",IF($J286&lt;=1500,INDEX('Daily Sale entry '!$Z$1:$Z$1501,$J286+1)&amp;"","Cheque deposit 支票存入 (buyer 买家)"))</f>
        <v/>
      </c>
      <c r="D286">
        <f>IF($J286="","",IF($J286&lt;=1500,INDEX('Daily Sale entry '!$AA$1:$AA$1501,$J286+1)&amp;"",INDEX('Daily Sale entry '!$P$1:$P$1501,$J286-1499)&amp;""))</f>
        <v/>
      </c>
      <c r="E286">
        <f>IF($J286="","",IF($J286&lt;=1500,IF(N(INDEX('Daily Sale entry '!$AB$1:$AB$1501,$J286+1))=0,"",INDEX('Daily Sale entry '!$AB$1:$AB$1501,$J286+1)),1))</f>
        <v/>
      </c>
      <c r="F286" s="6">
        <f>IF($J286="","",IF($J286&lt;=1500,N(INDEX('Daily Sale entry '!$AC$1:$AC$1501,$J286+1))-IF(AND('Opening Balance'!$B$15=1,INDEX('Daily Sale entry '!$Z$1:$Z$1501,$J286+1)="Online collection 网上收款",INDEX('Daily Sale entry '!$AA$1:$AA$1501,$J286+1)&lt;&gt;""),N(INDEX('Daily Sale entry '!$AC$1:$AC$1501,$J286+1))-TRUNC(N(INDEX('Daily Sale entry '!$AC$1:$AC$1501,$J286+1))),0),N(INDEX('Daily Sale entry '!$S$1:$S$1501,$J286-1499))-'Opening Balance'!$B$15*(N(INDEX('Daily Sale entry '!$S$1:$S$1501,$J286-1499))-TRUNC(N(INDEX('Daily Sale entry '!$S$1:$S$1501,$J286-1499))))))</f>
        <v/>
      </c>
      <c r="G286" s="6">
        <f>IF($J286="","",IF($J286&lt;=1500,N(INDEX('Daily Sale entry '!$AD$1:$AD$1501,$J286+1)),0))</f>
        <v/>
      </c>
      <c r="H286" s="6">
        <f>IF($J286="","",ROUND('Opening Balance'!$B$4+SUM($F$2:F286)-SUM($G$2:G286),2))</f>
        <v/>
      </c>
      <c r="J286" s="21">
        <f>IFERROR(MATCH(ROW()-1,$L$2:$L$3001,0),"")</f>
        <v/>
      </c>
      <c r="K286" s="34">
        <f>IF(AND('Daily Sale entry '!X286&lt;&gt;"",OR('Daily Sale entry '!AC286&lt;&gt;"",'Daily Sale entry '!AD286&lt;&gt;"")),'Daily Sale entry '!X286+ROW()/10000000,"")</f>
        <v/>
      </c>
      <c r="L286" s="21">
        <f>IF(K286="","",COUNTIF($K$2:$K$3001,"&lt;"&amp;K286)+1)</f>
        <v/>
      </c>
    </row>
    <row r="287">
      <c r="A287" s="5">
        <f>IF($J287="","",IF($J287&lt;=1500,INDEX('Daily Sale entry '!$X$1:$X$1501,$J287+1),INDEX('Daily Sale entry '!$V$1:$V$1501,$J287-1499)))</f>
        <v/>
      </c>
      <c r="B287">
        <f>IF($J287="","",IF($J287&lt;=1500,INDEX('Daily Sale entry '!$Y$1:$Y$1501,$J287+1)&amp;"","Buyer cheque banked 买家支票存入"&amp;IF(INDEX('Daily Sale entry '!$U$1:$U$1501,$J287-1499)="","", " - "&amp;INDEX('Daily Sale entry '!$U$1:$U$1501,$J287-1499))))</f>
        <v/>
      </c>
      <c r="C287">
        <f>IF($J287="","",IF($J287&lt;=1500,INDEX('Daily Sale entry '!$Z$1:$Z$1501,$J287+1)&amp;"","Cheque deposit 支票存入 (buyer 买家)"))</f>
        <v/>
      </c>
      <c r="D287">
        <f>IF($J287="","",IF($J287&lt;=1500,INDEX('Daily Sale entry '!$AA$1:$AA$1501,$J287+1)&amp;"",INDEX('Daily Sale entry '!$P$1:$P$1501,$J287-1499)&amp;""))</f>
        <v/>
      </c>
      <c r="E287">
        <f>IF($J287="","",IF($J287&lt;=1500,IF(N(INDEX('Daily Sale entry '!$AB$1:$AB$1501,$J287+1))=0,"",INDEX('Daily Sale entry '!$AB$1:$AB$1501,$J287+1)),1))</f>
        <v/>
      </c>
      <c r="F287" s="6">
        <f>IF($J287="","",IF($J287&lt;=1500,N(INDEX('Daily Sale entry '!$AC$1:$AC$1501,$J287+1))-IF(AND('Opening Balance'!$B$15=1,INDEX('Daily Sale entry '!$Z$1:$Z$1501,$J287+1)="Online collection 网上收款",INDEX('Daily Sale entry '!$AA$1:$AA$1501,$J287+1)&lt;&gt;""),N(INDEX('Daily Sale entry '!$AC$1:$AC$1501,$J287+1))-TRUNC(N(INDEX('Daily Sale entry '!$AC$1:$AC$1501,$J287+1))),0),N(INDEX('Daily Sale entry '!$S$1:$S$1501,$J287-1499))-'Opening Balance'!$B$15*(N(INDEX('Daily Sale entry '!$S$1:$S$1501,$J287-1499))-TRUNC(N(INDEX('Daily Sale entry '!$S$1:$S$1501,$J287-1499))))))</f>
        <v/>
      </c>
      <c r="G287" s="6">
        <f>IF($J287="","",IF($J287&lt;=1500,N(INDEX('Daily Sale entry '!$AD$1:$AD$1501,$J287+1)),0))</f>
        <v/>
      </c>
      <c r="H287" s="6">
        <f>IF($J287="","",ROUND('Opening Balance'!$B$4+SUM($F$2:F287)-SUM($G$2:G287),2))</f>
        <v/>
      </c>
      <c r="J287" s="21">
        <f>IFERROR(MATCH(ROW()-1,$L$2:$L$3001,0),"")</f>
        <v/>
      </c>
      <c r="K287" s="34">
        <f>IF(AND('Daily Sale entry '!X287&lt;&gt;"",OR('Daily Sale entry '!AC287&lt;&gt;"",'Daily Sale entry '!AD287&lt;&gt;"")),'Daily Sale entry '!X287+ROW()/10000000,"")</f>
        <v/>
      </c>
      <c r="L287" s="21">
        <f>IF(K287="","",COUNTIF($K$2:$K$3001,"&lt;"&amp;K287)+1)</f>
        <v/>
      </c>
    </row>
    <row r="288">
      <c r="A288" s="5">
        <f>IF($J288="","",IF($J288&lt;=1500,INDEX('Daily Sale entry '!$X$1:$X$1501,$J288+1),INDEX('Daily Sale entry '!$V$1:$V$1501,$J288-1499)))</f>
        <v/>
      </c>
      <c r="B288">
        <f>IF($J288="","",IF($J288&lt;=1500,INDEX('Daily Sale entry '!$Y$1:$Y$1501,$J288+1)&amp;"","Buyer cheque banked 买家支票存入"&amp;IF(INDEX('Daily Sale entry '!$U$1:$U$1501,$J288-1499)="","", " - "&amp;INDEX('Daily Sale entry '!$U$1:$U$1501,$J288-1499))))</f>
        <v/>
      </c>
      <c r="C288">
        <f>IF($J288="","",IF($J288&lt;=1500,INDEX('Daily Sale entry '!$Z$1:$Z$1501,$J288+1)&amp;"","Cheque deposit 支票存入 (buyer 买家)"))</f>
        <v/>
      </c>
      <c r="D288">
        <f>IF($J288="","",IF($J288&lt;=1500,INDEX('Daily Sale entry '!$AA$1:$AA$1501,$J288+1)&amp;"",INDEX('Daily Sale entry '!$P$1:$P$1501,$J288-1499)&amp;""))</f>
        <v/>
      </c>
      <c r="E288">
        <f>IF($J288="","",IF($J288&lt;=1500,IF(N(INDEX('Daily Sale entry '!$AB$1:$AB$1501,$J288+1))=0,"",INDEX('Daily Sale entry '!$AB$1:$AB$1501,$J288+1)),1))</f>
        <v/>
      </c>
      <c r="F288" s="6">
        <f>IF($J288="","",IF($J288&lt;=1500,N(INDEX('Daily Sale entry '!$AC$1:$AC$1501,$J288+1))-IF(AND('Opening Balance'!$B$15=1,INDEX('Daily Sale entry '!$Z$1:$Z$1501,$J288+1)="Online collection 网上收款",INDEX('Daily Sale entry '!$AA$1:$AA$1501,$J288+1)&lt;&gt;""),N(INDEX('Daily Sale entry '!$AC$1:$AC$1501,$J288+1))-TRUNC(N(INDEX('Daily Sale entry '!$AC$1:$AC$1501,$J288+1))),0),N(INDEX('Daily Sale entry '!$S$1:$S$1501,$J288-1499))-'Opening Balance'!$B$15*(N(INDEX('Daily Sale entry '!$S$1:$S$1501,$J288-1499))-TRUNC(N(INDEX('Daily Sale entry '!$S$1:$S$1501,$J288-1499))))))</f>
        <v/>
      </c>
      <c r="G288" s="6">
        <f>IF($J288="","",IF($J288&lt;=1500,N(INDEX('Daily Sale entry '!$AD$1:$AD$1501,$J288+1)),0))</f>
        <v/>
      </c>
      <c r="H288" s="6">
        <f>IF($J288="","",ROUND('Opening Balance'!$B$4+SUM($F$2:F288)-SUM($G$2:G288),2))</f>
        <v/>
      </c>
      <c r="J288" s="21">
        <f>IFERROR(MATCH(ROW()-1,$L$2:$L$3001,0),"")</f>
        <v/>
      </c>
      <c r="K288" s="34">
        <f>IF(AND('Daily Sale entry '!X288&lt;&gt;"",OR('Daily Sale entry '!AC288&lt;&gt;"",'Daily Sale entry '!AD288&lt;&gt;"")),'Daily Sale entry '!X288+ROW()/10000000,"")</f>
        <v/>
      </c>
      <c r="L288" s="21">
        <f>IF(K288="","",COUNTIF($K$2:$K$3001,"&lt;"&amp;K288)+1)</f>
        <v/>
      </c>
    </row>
    <row r="289">
      <c r="A289" s="5">
        <f>IF($J289="","",IF($J289&lt;=1500,INDEX('Daily Sale entry '!$X$1:$X$1501,$J289+1),INDEX('Daily Sale entry '!$V$1:$V$1501,$J289-1499)))</f>
        <v/>
      </c>
      <c r="B289">
        <f>IF($J289="","",IF($J289&lt;=1500,INDEX('Daily Sale entry '!$Y$1:$Y$1501,$J289+1)&amp;"","Buyer cheque banked 买家支票存入"&amp;IF(INDEX('Daily Sale entry '!$U$1:$U$1501,$J289-1499)="","", " - "&amp;INDEX('Daily Sale entry '!$U$1:$U$1501,$J289-1499))))</f>
        <v/>
      </c>
      <c r="C289">
        <f>IF($J289="","",IF($J289&lt;=1500,INDEX('Daily Sale entry '!$Z$1:$Z$1501,$J289+1)&amp;"","Cheque deposit 支票存入 (buyer 买家)"))</f>
        <v/>
      </c>
      <c r="D289">
        <f>IF($J289="","",IF($J289&lt;=1500,INDEX('Daily Sale entry '!$AA$1:$AA$1501,$J289+1)&amp;"",INDEX('Daily Sale entry '!$P$1:$P$1501,$J289-1499)&amp;""))</f>
        <v/>
      </c>
      <c r="E289">
        <f>IF($J289="","",IF($J289&lt;=1500,IF(N(INDEX('Daily Sale entry '!$AB$1:$AB$1501,$J289+1))=0,"",INDEX('Daily Sale entry '!$AB$1:$AB$1501,$J289+1)),1))</f>
        <v/>
      </c>
      <c r="F289" s="6">
        <f>IF($J289="","",IF($J289&lt;=1500,N(INDEX('Daily Sale entry '!$AC$1:$AC$1501,$J289+1))-IF(AND('Opening Balance'!$B$15=1,INDEX('Daily Sale entry '!$Z$1:$Z$1501,$J289+1)="Online collection 网上收款",INDEX('Daily Sale entry '!$AA$1:$AA$1501,$J289+1)&lt;&gt;""),N(INDEX('Daily Sale entry '!$AC$1:$AC$1501,$J289+1))-TRUNC(N(INDEX('Daily Sale entry '!$AC$1:$AC$1501,$J289+1))),0),N(INDEX('Daily Sale entry '!$S$1:$S$1501,$J289-1499))-'Opening Balance'!$B$15*(N(INDEX('Daily Sale entry '!$S$1:$S$1501,$J289-1499))-TRUNC(N(INDEX('Daily Sale entry '!$S$1:$S$1501,$J289-1499))))))</f>
        <v/>
      </c>
      <c r="G289" s="6">
        <f>IF($J289="","",IF($J289&lt;=1500,N(INDEX('Daily Sale entry '!$AD$1:$AD$1501,$J289+1)),0))</f>
        <v/>
      </c>
      <c r="H289" s="6">
        <f>IF($J289="","",ROUND('Opening Balance'!$B$4+SUM($F$2:F289)-SUM($G$2:G289),2))</f>
        <v/>
      </c>
      <c r="J289" s="21">
        <f>IFERROR(MATCH(ROW()-1,$L$2:$L$3001,0),"")</f>
        <v/>
      </c>
      <c r="K289" s="34">
        <f>IF(AND('Daily Sale entry '!X289&lt;&gt;"",OR('Daily Sale entry '!AC289&lt;&gt;"",'Daily Sale entry '!AD289&lt;&gt;"")),'Daily Sale entry '!X289+ROW()/10000000,"")</f>
        <v/>
      </c>
      <c r="L289" s="21">
        <f>IF(K289="","",COUNTIF($K$2:$K$3001,"&lt;"&amp;K289)+1)</f>
        <v/>
      </c>
    </row>
    <row r="290">
      <c r="A290" s="5">
        <f>IF($J290="","",IF($J290&lt;=1500,INDEX('Daily Sale entry '!$X$1:$X$1501,$J290+1),INDEX('Daily Sale entry '!$V$1:$V$1501,$J290-1499)))</f>
        <v/>
      </c>
      <c r="B290">
        <f>IF($J290="","",IF($J290&lt;=1500,INDEX('Daily Sale entry '!$Y$1:$Y$1501,$J290+1)&amp;"","Buyer cheque banked 买家支票存入"&amp;IF(INDEX('Daily Sale entry '!$U$1:$U$1501,$J290-1499)="","", " - "&amp;INDEX('Daily Sale entry '!$U$1:$U$1501,$J290-1499))))</f>
        <v/>
      </c>
      <c r="C290">
        <f>IF($J290="","",IF($J290&lt;=1500,INDEX('Daily Sale entry '!$Z$1:$Z$1501,$J290+1)&amp;"","Cheque deposit 支票存入 (buyer 买家)"))</f>
        <v/>
      </c>
      <c r="D290">
        <f>IF($J290="","",IF($J290&lt;=1500,INDEX('Daily Sale entry '!$AA$1:$AA$1501,$J290+1)&amp;"",INDEX('Daily Sale entry '!$P$1:$P$1501,$J290-1499)&amp;""))</f>
        <v/>
      </c>
      <c r="E290">
        <f>IF($J290="","",IF($J290&lt;=1500,IF(N(INDEX('Daily Sale entry '!$AB$1:$AB$1501,$J290+1))=0,"",INDEX('Daily Sale entry '!$AB$1:$AB$1501,$J290+1)),1))</f>
        <v/>
      </c>
      <c r="F290" s="6">
        <f>IF($J290="","",IF($J290&lt;=1500,N(INDEX('Daily Sale entry '!$AC$1:$AC$1501,$J290+1))-IF(AND('Opening Balance'!$B$15=1,INDEX('Daily Sale entry '!$Z$1:$Z$1501,$J290+1)="Online collection 网上收款",INDEX('Daily Sale entry '!$AA$1:$AA$1501,$J290+1)&lt;&gt;""),N(INDEX('Daily Sale entry '!$AC$1:$AC$1501,$J290+1))-TRUNC(N(INDEX('Daily Sale entry '!$AC$1:$AC$1501,$J290+1))),0),N(INDEX('Daily Sale entry '!$S$1:$S$1501,$J290-1499))-'Opening Balance'!$B$15*(N(INDEX('Daily Sale entry '!$S$1:$S$1501,$J290-1499))-TRUNC(N(INDEX('Daily Sale entry '!$S$1:$S$1501,$J290-1499))))))</f>
        <v/>
      </c>
      <c r="G290" s="6">
        <f>IF($J290="","",IF($J290&lt;=1500,N(INDEX('Daily Sale entry '!$AD$1:$AD$1501,$J290+1)),0))</f>
        <v/>
      </c>
      <c r="H290" s="6">
        <f>IF($J290="","",ROUND('Opening Balance'!$B$4+SUM($F$2:F290)-SUM($G$2:G290),2))</f>
        <v/>
      </c>
      <c r="J290" s="21">
        <f>IFERROR(MATCH(ROW()-1,$L$2:$L$3001,0),"")</f>
        <v/>
      </c>
      <c r="K290" s="34">
        <f>IF(AND('Daily Sale entry '!X290&lt;&gt;"",OR('Daily Sale entry '!AC290&lt;&gt;"",'Daily Sale entry '!AD290&lt;&gt;"")),'Daily Sale entry '!X290+ROW()/10000000,"")</f>
        <v/>
      </c>
      <c r="L290" s="21">
        <f>IF(K290="","",COUNTIF($K$2:$K$3001,"&lt;"&amp;K290)+1)</f>
        <v/>
      </c>
    </row>
    <row r="291">
      <c r="A291" s="5">
        <f>IF($J291="","",IF($J291&lt;=1500,INDEX('Daily Sale entry '!$X$1:$X$1501,$J291+1),INDEX('Daily Sale entry '!$V$1:$V$1501,$J291-1499)))</f>
        <v/>
      </c>
      <c r="B291">
        <f>IF($J291="","",IF($J291&lt;=1500,INDEX('Daily Sale entry '!$Y$1:$Y$1501,$J291+1)&amp;"","Buyer cheque banked 买家支票存入"&amp;IF(INDEX('Daily Sale entry '!$U$1:$U$1501,$J291-1499)="","", " - "&amp;INDEX('Daily Sale entry '!$U$1:$U$1501,$J291-1499))))</f>
        <v/>
      </c>
      <c r="C291">
        <f>IF($J291="","",IF($J291&lt;=1500,INDEX('Daily Sale entry '!$Z$1:$Z$1501,$J291+1)&amp;"","Cheque deposit 支票存入 (buyer 买家)"))</f>
        <v/>
      </c>
      <c r="D291">
        <f>IF($J291="","",IF($J291&lt;=1500,INDEX('Daily Sale entry '!$AA$1:$AA$1501,$J291+1)&amp;"",INDEX('Daily Sale entry '!$P$1:$P$1501,$J291-1499)&amp;""))</f>
        <v/>
      </c>
      <c r="E291">
        <f>IF($J291="","",IF($J291&lt;=1500,IF(N(INDEX('Daily Sale entry '!$AB$1:$AB$1501,$J291+1))=0,"",INDEX('Daily Sale entry '!$AB$1:$AB$1501,$J291+1)),1))</f>
        <v/>
      </c>
      <c r="F291" s="6">
        <f>IF($J291="","",IF($J291&lt;=1500,N(INDEX('Daily Sale entry '!$AC$1:$AC$1501,$J291+1))-IF(AND('Opening Balance'!$B$15=1,INDEX('Daily Sale entry '!$Z$1:$Z$1501,$J291+1)="Online collection 网上收款",INDEX('Daily Sale entry '!$AA$1:$AA$1501,$J291+1)&lt;&gt;""),N(INDEX('Daily Sale entry '!$AC$1:$AC$1501,$J291+1))-TRUNC(N(INDEX('Daily Sale entry '!$AC$1:$AC$1501,$J291+1))),0),N(INDEX('Daily Sale entry '!$S$1:$S$1501,$J291-1499))-'Opening Balance'!$B$15*(N(INDEX('Daily Sale entry '!$S$1:$S$1501,$J291-1499))-TRUNC(N(INDEX('Daily Sale entry '!$S$1:$S$1501,$J291-1499))))))</f>
        <v/>
      </c>
      <c r="G291" s="6">
        <f>IF($J291="","",IF($J291&lt;=1500,N(INDEX('Daily Sale entry '!$AD$1:$AD$1501,$J291+1)),0))</f>
        <v/>
      </c>
      <c r="H291" s="6">
        <f>IF($J291="","",ROUND('Opening Balance'!$B$4+SUM($F$2:F291)-SUM($G$2:G291),2))</f>
        <v/>
      </c>
      <c r="J291" s="21">
        <f>IFERROR(MATCH(ROW()-1,$L$2:$L$3001,0),"")</f>
        <v/>
      </c>
      <c r="K291" s="34">
        <f>IF(AND('Daily Sale entry '!X291&lt;&gt;"",OR('Daily Sale entry '!AC291&lt;&gt;"",'Daily Sale entry '!AD291&lt;&gt;"")),'Daily Sale entry '!X291+ROW()/10000000,"")</f>
        <v/>
      </c>
      <c r="L291" s="21">
        <f>IF(K291="","",COUNTIF($K$2:$K$3001,"&lt;"&amp;K291)+1)</f>
        <v/>
      </c>
    </row>
    <row r="292">
      <c r="A292" s="5">
        <f>IF($J292="","",IF($J292&lt;=1500,INDEX('Daily Sale entry '!$X$1:$X$1501,$J292+1),INDEX('Daily Sale entry '!$V$1:$V$1501,$J292-1499)))</f>
        <v/>
      </c>
      <c r="B292">
        <f>IF($J292="","",IF($J292&lt;=1500,INDEX('Daily Sale entry '!$Y$1:$Y$1501,$J292+1)&amp;"","Buyer cheque banked 买家支票存入"&amp;IF(INDEX('Daily Sale entry '!$U$1:$U$1501,$J292-1499)="","", " - "&amp;INDEX('Daily Sale entry '!$U$1:$U$1501,$J292-1499))))</f>
        <v/>
      </c>
      <c r="C292">
        <f>IF($J292="","",IF($J292&lt;=1500,INDEX('Daily Sale entry '!$Z$1:$Z$1501,$J292+1)&amp;"","Cheque deposit 支票存入 (buyer 买家)"))</f>
        <v/>
      </c>
      <c r="D292">
        <f>IF($J292="","",IF($J292&lt;=1500,INDEX('Daily Sale entry '!$AA$1:$AA$1501,$J292+1)&amp;"",INDEX('Daily Sale entry '!$P$1:$P$1501,$J292-1499)&amp;""))</f>
        <v/>
      </c>
      <c r="E292">
        <f>IF($J292="","",IF($J292&lt;=1500,IF(N(INDEX('Daily Sale entry '!$AB$1:$AB$1501,$J292+1))=0,"",INDEX('Daily Sale entry '!$AB$1:$AB$1501,$J292+1)),1))</f>
        <v/>
      </c>
      <c r="F292" s="6">
        <f>IF($J292="","",IF($J292&lt;=1500,N(INDEX('Daily Sale entry '!$AC$1:$AC$1501,$J292+1))-IF(AND('Opening Balance'!$B$15=1,INDEX('Daily Sale entry '!$Z$1:$Z$1501,$J292+1)="Online collection 网上收款",INDEX('Daily Sale entry '!$AA$1:$AA$1501,$J292+1)&lt;&gt;""),N(INDEX('Daily Sale entry '!$AC$1:$AC$1501,$J292+1))-TRUNC(N(INDEX('Daily Sale entry '!$AC$1:$AC$1501,$J292+1))),0),N(INDEX('Daily Sale entry '!$S$1:$S$1501,$J292-1499))-'Opening Balance'!$B$15*(N(INDEX('Daily Sale entry '!$S$1:$S$1501,$J292-1499))-TRUNC(N(INDEX('Daily Sale entry '!$S$1:$S$1501,$J292-1499))))))</f>
        <v/>
      </c>
      <c r="G292" s="6">
        <f>IF($J292="","",IF($J292&lt;=1500,N(INDEX('Daily Sale entry '!$AD$1:$AD$1501,$J292+1)),0))</f>
        <v/>
      </c>
      <c r="H292" s="6">
        <f>IF($J292="","",ROUND('Opening Balance'!$B$4+SUM($F$2:F292)-SUM($G$2:G292),2))</f>
        <v/>
      </c>
      <c r="J292" s="21">
        <f>IFERROR(MATCH(ROW()-1,$L$2:$L$3001,0),"")</f>
        <v/>
      </c>
      <c r="K292" s="34">
        <f>IF(AND('Daily Sale entry '!X292&lt;&gt;"",OR('Daily Sale entry '!AC292&lt;&gt;"",'Daily Sale entry '!AD292&lt;&gt;"")),'Daily Sale entry '!X292+ROW()/10000000,"")</f>
        <v/>
      </c>
      <c r="L292" s="21">
        <f>IF(K292="","",COUNTIF($K$2:$K$3001,"&lt;"&amp;K292)+1)</f>
        <v/>
      </c>
    </row>
    <row r="293">
      <c r="A293" s="5">
        <f>IF($J293="","",IF($J293&lt;=1500,INDEX('Daily Sale entry '!$X$1:$X$1501,$J293+1),INDEX('Daily Sale entry '!$V$1:$V$1501,$J293-1499)))</f>
        <v/>
      </c>
      <c r="B293">
        <f>IF($J293="","",IF($J293&lt;=1500,INDEX('Daily Sale entry '!$Y$1:$Y$1501,$J293+1)&amp;"","Buyer cheque banked 买家支票存入"&amp;IF(INDEX('Daily Sale entry '!$U$1:$U$1501,$J293-1499)="","", " - "&amp;INDEX('Daily Sale entry '!$U$1:$U$1501,$J293-1499))))</f>
        <v/>
      </c>
      <c r="C293">
        <f>IF($J293="","",IF($J293&lt;=1500,INDEX('Daily Sale entry '!$Z$1:$Z$1501,$J293+1)&amp;"","Cheque deposit 支票存入 (buyer 买家)"))</f>
        <v/>
      </c>
      <c r="D293">
        <f>IF($J293="","",IF($J293&lt;=1500,INDEX('Daily Sale entry '!$AA$1:$AA$1501,$J293+1)&amp;"",INDEX('Daily Sale entry '!$P$1:$P$1501,$J293-1499)&amp;""))</f>
        <v/>
      </c>
      <c r="E293">
        <f>IF($J293="","",IF($J293&lt;=1500,IF(N(INDEX('Daily Sale entry '!$AB$1:$AB$1501,$J293+1))=0,"",INDEX('Daily Sale entry '!$AB$1:$AB$1501,$J293+1)),1))</f>
        <v/>
      </c>
      <c r="F293" s="6">
        <f>IF($J293="","",IF($J293&lt;=1500,N(INDEX('Daily Sale entry '!$AC$1:$AC$1501,$J293+1))-IF(AND('Opening Balance'!$B$15=1,INDEX('Daily Sale entry '!$Z$1:$Z$1501,$J293+1)="Online collection 网上收款",INDEX('Daily Sale entry '!$AA$1:$AA$1501,$J293+1)&lt;&gt;""),N(INDEX('Daily Sale entry '!$AC$1:$AC$1501,$J293+1))-TRUNC(N(INDEX('Daily Sale entry '!$AC$1:$AC$1501,$J293+1))),0),N(INDEX('Daily Sale entry '!$S$1:$S$1501,$J293-1499))-'Opening Balance'!$B$15*(N(INDEX('Daily Sale entry '!$S$1:$S$1501,$J293-1499))-TRUNC(N(INDEX('Daily Sale entry '!$S$1:$S$1501,$J293-1499))))))</f>
        <v/>
      </c>
      <c r="G293" s="6">
        <f>IF($J293="","",IF($J293&lt;=1500,N(INDEX('Daily Sale entry '!$AD$1:$AD$1501,$J293+1)),0))</f>
        <v/>
      </c>
      <c r="H293" s="6">
        <f>IF($J293="","",ROUND('Opening Balance'!$B$4+SUM($F$2:F293)-SUM($G$2:G293),2))</f>
        <v/>
      </c>
      <c r="J293" s="21">
        <f>IFERROR(MATCH(ROW()-1,$L$2:$L$3001,0),"")</f>
        <v/>
      </c>
      <c r="K293" s="34">
        <f>IF(AND('Daily Sale entry '!X293&lt;&gt;"",OR('Daily Sale entry '!AC293&lt;&gt;"",'Daily Sale entry '!AD293&lt;&gt;"")),'Daily Sale entry '!X293+ROW()/10000000,"")</f>
        <v/>
      </c>
      <c r="L293" s="21">
        <f>IF(K293="","",COUNTIF($K$2:$K$3001,"&lt;"&amp;K293)+1)</f>
        <v/>
      </c>
    </row>
    <row r="294">
      <c r="A294" s="5">
        <f>IF($J294="","",IF($J294&lt;=1500,INDEX('Daily Sale entry '!$X$1:$X$1501,$J294+1),INDEX('Daily Sale entry '!$V$1:$V$1501,$J294-1499)))</f>
        <v/>
      </c>
      <c r="B294">
        <f>IF($J294="","",IF($J294&lt;=1500,INDEX('Daily Sale entry '!$Y$1:$Y$1501,$J294+1)&amp;"","Buyer cheque banked 买家支票存入"&amp;IF(INDEX('Daily Sale entry '!$U$1:$U$1501,$J294-1499)="","", " - "&amp;INDEX('Daily Sale entry '!$U$1:$U$1501,$J294-1499))))</f>
        <v/>
      </c>
      <c r="C294">
        <f>IF($J294="","",IF($J294&lt;=1500,INDEX('Daily Sale entry '!$Z$1:$Z$1501,$J294+1)&amp;"","Cheque deposit 支票存入 (buyer 买家)"))</f>
        <v/>
      </c>
      <c r="D294">
        <f>IF($J294="","",IF($J294&lt;=1500,INDEX('Daily Sale entry '!$AA$1:$AA$1501,$J294+1)&amp;"",INDEX('Daily Sale entry '!$P$1:$P$1501,$J294-1499)&amp;""))</f>
        <v/>
      </c>
      <c r="E294">
        <f>IF($J294="","",IF($J294&lt;=1500,IF(N(INDEX('Daily Sale entry '!$AB$1:$AB$1501,$J294+1))=0,"",INDEX('Daily Sale entry '!$AB$1:$AB$1501,$J294+1)),1))</f>
        <v/>
      </c>
      <c r="F294" s="6">
        <f>IF($J294="","",IF($J294&lt;=1500,N(INDEX('Daily Sale entry '!$AC$1:$AC$1501,$J294+1))-IF(AND('Opening Balance'!$B$15=1,INDEX('Daily Sale entry '!$Z$1:$Z$1501,$J294+1)="Online collection 网上收款",INDEX('Daily Sale entry '!$AA$1:$AA$1501,$J294+1)&lt;&gt;""),N(INDEX('Daily Sale entry '!$AC$1:$AC$1501,$J294+1))-TRUNC(N(INDEX('Daily Sale entry '!$AC$1:$AC$1501,$J294+1))),0),N(INDEX('Daily Sale entry '!$S$1:$S$1501,$J294-1499))-'Opening Balance'!$B$15*(N(INDEX('Daily Sale entry '!$S$1:$S$1501,$J294-1499))-TRUNC(N(INDEX('Daily Sale entry '!$S$1:$S$1501,$J294-1499))))))</f>
        <v/>
      </c>
      <c r="G294" s="6">
        <f>IF($J294="","",IF($J294&lt;=1500,N(INDEX('Daily Sale entry '!$AD$1:$AD$1501,$J294+1)),0))</f>
        <v/>
      </c>
      <c r="H294" s="6">
        <f>IF($J294="","",ROUND('Opening Balance'!$B$4+SUM($F$2:F294)-SUM($G$2:G294),2))</f>
        <v/>
      </c>
      <c r="J294" s="21">
        <f>IFERROR(MATCH(ROW()-1,$L$2:$L$3001,0),"")</f>
        <v/>
      </c>
      <c r="K294" s="34">
        <f>IF(AND('Daily Sale entry '!X294&lt;&gt;"",OR('Daily Sale entry '!AC294&lt;&gt;"",'Daily Sale entry '!AD294&lt;&gt;"")),'Daily Sale entry '!X294+ROW()/10000000,"")</f>
        <v/>
      </c>
      <c r="L294" s="21">
        <f>IF(K294="","",COUNTIF($K$2:$K$3001,"&lt;"&amp;K294)+1)</f>
        <v/>
      </c>
    </row>
    <row r="295">
      <c r="A295" s="5">
        <f>IF($J295="","",IF($J295&lt;=1500,INDEX('Daily Sale entry '!$X$1:$X$1501,$J295+1),INDEX('Daily Sale entry '!$V$1:$V$1501,$J295-1499)))</f>
        <v/>
      </c>
      <c r="B295">
        <f>IF($J295="","",IF($J295&lt;=1500,INDEX('Daily Sale entry '!$Y$1:$Y$1501,$J295+1)&amp;"","Buyer cheque banked 买家支票存入"&amp;IF(INDEX('Daily Sale entry '!$U$1:$U$1501,$J295-1499)="","", " - "&amp;INDEX('Daily Sale entry '!$U$1:$U$1501,$J295-1499))))</f>
        <v/>
      </c>
      <c r="C295">
        <f>IF($J295="","",IF($J295&lt;=1500,INDEX('Daily Sale entry '!$Z$1:$Z$1501,$J295+1)&amp;"","Cheque deposit 支票存入 (buyer 买家)"))</f>
        <v/>
      </c>
      <c r="D295">
        <f>IF($J295="","",IF($J295&lt;=1500,INDEX('Daily Sale entry '!$AA$1:$AA$1501,$J295+1)&amp;"",INDEX('Daily Sale entry '!$P$1:$P$1501,$J295-1499)&amp;""))</f>
        <v/>
      </c>
      <c r="E295">
        <f>IF($J295="","",IF($J295&lt;=1500,IF(N(INDEX('Daily Sale entry '!$AB$1:$AB$1501,$J295+1))=0,"",INDEX('Daily Sale entry '!$AB$1:$AB$1501,$J295+1)),1))</f>
        <v/>
      </c>
      <c r="F295" s="6">
        <f>IF($J295="","",IF($J295&lt;=1500,N(INDEX('Daily Sale entry '!$AC$1:$AC$1501,$J295+1))-IF(AND('Opening Balance'!$B$15=1,INDEX('Daily Sale entry '!$Z$1:$Z$1501,$J295+1)="Online collection 网上收款",INDEX('Daily Sale entry '!$AA$1:$AA$1501,$J295+1)&lt;&gt;""),N(INDEX('Daily Sale entry '!$AC$1:$AC$1501,$J295+1))-TRUNC(N(INDEX('Daily Sale entry '!$AC$1:$AC$1501,$J295+1))),0),N(INDEX('Daily Sale entry '!$S$1:$S$1501,$J295-1499))-'Opening Balance'!$B$15*(N(INDEX('Daily Sale entry '!$S$1:$S$1501,$J295-1499))-TRUNC(N(INDEX('Daily Sale entry '!$S$1:$S$1501,$J295-1499))))))</f>
        <v/>
      </c>
      <c r="G295" s="6">
        <f>IF($J295="","",IF($J295&lt;=1500,N(INDEX('Daily Sale entry '!$AD$1:$AD$1501,$J295+1)),0))</f>
        <v/>
      </c>
      <c r="H295" s="6">
        <f>IF($J295="","",ROUND('Opening Balance'!$B$4+SUM($F$2:F295)-SUM($G$2:G295),2))</f>
        <v/>
      </c>
      <c r="J295" s="21">
        <f>IFERROR(MATCH(ROW()-1,$L$2:$L$3001,0),"")</f>
        <v/>
      </c>
      <c r="K295" s="34">
        <f>IF(AND('Daily Sale entry '!X295&lt;&gt;"",OR('Daily Sale entry '!AC295&lt;&gt;"",'Daily Sale entry '!AD295&lt;&gt;"")),'Daily Sale entry '!X295+ROW()/10000000,"")</f>
        <v/>
      </c>
      <c r="L295" s="21">
        <f>IF(K295="","",COUNTIF($K$2:$K$3001,"&lt;"&amp;K295)+1)</f>
        <v/>
      </c>
    </row>
    <row r="296">
      <c r="A296" s="5">
        <f>IF($J296="","",IF($J296&lt;=1500,INDEX('Daily Sale entry '!$X$1:$X$1501,$J296+1),INDEX('Daily Sale entry '!$V$1:$V$1501,$J296-1499)))</f>
        <v/>
      </c>
      <c r="B296">
        <f>IF($J296="","",IF($J296&lt;=1500,INDEX('Daily Sale entry '!$Y$1:$Y$1501,$J296+1)&amp;"","Buyer cheque banked 买家支票存入"&amp;IF(INDEX('Daily Sale entry '!$U$1:$U$1501,$J296-1499)="","", " - "&amp;INDEX('Daily Sale entry '!$U$1:$U$1501,$J296-1499))))</f>
        <v/>
      </c>
      <c r="C296">
        <f>IF($J296="","",IF($J296&lt;=1500,INDEX('Daily Sale entry '!$Z$1:$Z$1501,$J296+1)&amp;"","Cheque deposit 支票存入 (buyer 买家)"))</f>
        <v/>
      </c>
      <c r="D296">
        <f>IF($J296="","",IF($J296&lt;=1500,INDEX('Daily Sale entry '!$AA$1:$AA$1501,$J296+1)&amp;"",INDEX('Daily Sale entry '!$P$1:$P$1501,$J296-1499)&amp;""))</f>
        <v/>
      </c>
      <c r="E296">
        <f>IF($J296="","",IF($J296&lt;=1500,IF(N(INDEX('Daily Sale entry '!$AB$1:$AB$1501,$J296+1))=0,"",INDEX('Daily Sale entry '!$AB$1:$AB$1501,$J296+1)),1))</f>
        <v/>
      </c>
      <c r="F296" s="6">
        <f>IF($J296="","",IF($J296&lt;=1500,N(INDEX('Daily Sale entry '!$AC$1:$AC$1501,$J296+1))-IF(AND('Opening Balance'!$B$15=1,INDEX('Daily Sale entry '!$Z$1:$Z$1501,$J296+1)="Online collection 网上收款",INDEX('Daily Sale entry '!$AA$1:$AA$1501,$J296+1)&lt;&gt;""),N(INDEX('Daily Sale entry '!$AC$1:$AC$1501,$J296+1))-TRUNC(N(INDEX('Daily Sale entry '!$AC$1:$AC$1501,$J296+1))),0),N(INDEX('Daily Sale entry '!$S$1:$S$1501,$J296-1499))-'Opening Balance'!$B$15*(N(INDEX('Daily Sale entry '!$S$1:$S$1501,$J296-1499))-TRUNC(N(INDEX('Daily Sale entry '!$S$1:$S$1501,$J296-1499))))))</f>
        <v/>
      </c>
      <c r="G296" s="6">
        <f>IF($J296="","",IF($J296&lt;=1500,N(INDEX('Daily Sale entry '!$AD$1:$AD$1501,$J296+1)),0))</f>
        <v/>
      </c>
      <c r="H296" s="6">
        <f>IF($J296="","",ROUND('Opening Balance'!$B$4+SUM($F$2:F296)-SUM($G$2:G296),2))</f>
        <v/>
      </c>
      <c r="J296" s="21">
        <f>IFERROR(MATCH(ROW()-1,$L$2:$L$3001,0),"")</f>
        <v/>
      </c>
      <c r="K296" s="34">
        <f>IF(AND('Daily Sale entry '!X296&lt;&gt;"",OR('Daily Sale entry '!AC296&lt;&gt;"",'Daily Sale entry '!AD296&lt;&gt;"")),'Daily Sale entry '!X296+ROW()/10000000,"")</f>
        <v/>
      </c>
      <c r="L296" s="21">
        <f>IF(K296="","",COUNTIF($K$2:$K$3001,"&lt;"&amp;K296)+1)</f>
        <v/>
      </c>
    </row>
    <row r="297">
      <c r="A297" s="5">
        <f>IF($J297="","",IF($J297&lt;=1500,INDEX('Daily Sale entry '!$X$1:$X$1501,$J297+1),INDEX('Daily Sale entry '!$V$1:$V$1501,$J297-1499)))</f>
        <v/>
      </c>
      <c r="B297">
        <f>IF($J297="","",IF($J297&lt;=1500,INDEX('Daily Sale entry '!$Y$1:$Y$1501,$J297+1)&amp;"","Buyer cheque banked 买家支票存入"&amp;IF(INDEX('Daily Sale entry '!$U$1:$U$1501,$J297-1499)="","", " - "&amp;INDEX('Daily Sale entry '!$U$1:$U$1501,$J297-1499))))</f>
        <v/>
      </c>
      <c r="C297">
        <f>IF($J297="","",IF($J297&lt;=1500,INDEX('Daily Sale entry '!$Z$1:$Z$1501,$J297+1)&amp;"","Cheque deposit 支票存入 (buyer 买家)"))</f>
        <v/>
      </c>
      <c r="D297">
        <f>IF($J297="","",IF($J297&lt;=1500,INDEX('Daily Sale entry '!$AA$1:$AA$1501,$J297+1)&amp;"",INDEX('Daily Sale entry '!$P$1:$P$1501,$J297-1499)&amp;""))</f>
        <v/>
      </c>
      <c r="E297">
        <f>IF($J297="","",IF($J297&lt;=1500,IF(N(INDEX('Daily Sale entry '!$AB$1:$AB$1501,$J297+1))=0,"",INDEX('Daily Sale entry '!$AB$1:$AB$1501,$J297+1)),1))</f>
        <v/>
      </c>
      <c r="F297" s="6">
        <f>IF($J297="","",IF($J297&lt;=1500,N(INDEX('Daily Sale entry '!$AC$1:$AC$1501,$J297+1))-IF(AND('Opening Balance'!$B$15=1,INDEX('Daily Sale entry '!$Z$1:$Z$1501,$J297+1)="Online collection 网上收款",INDEX('Daily Sale entry '!$AA$1:$AA$1501,$J297+1)&lt;&gt;""),N(INDEX('Daily Sale entry '!$AC$1:$AC$1501,$J297+1))-TRUNC(N(INDEX('Daily Sale entry '!$AC$1:$AC$1501,$J297+1))),0),N(INDEX('Daily Sale entry '!$S$1:$S$1501,$J297-1499))-'Opening Balance'!$B$15*(N(INDEX('Daily Sale entry '!$S$1:$S$1501,$J297-1499))-TRUNC(N(INDEX('Daily Sale entry '!$S$1:$S$1501,$J297-1499))))))</f>
        <v/>
      </c>
      <c r="G297" s="6">
        <f>IF($J297="","",IF($J297&lt;=1500,N(INDEX('Daily Sale entry '!$AD$1:$AD$1501,$J297+1)),0))</f>
        <v/>
      </c>
      <c r="H297" s="6">
        <f>IF($J297="","",ROUND('Opening Balance'!$B$4+SUM($F$2:F297)-SUM($G$2:G297),2))</f>
        <v/>
      </c>
      <c r="J297" s="21">
        <f>IFERROR(MATCH(ROW()-1,$L$2:$L$3001,0),"")</f>
        <v/>
      </c>
      <c r="K297" s="34">
        <f>IF(AND('Daily Sale entry '!X297&lt;&gt;"",OR('Daily Sale entry '!AC297&lt;&gt;"",'Daily Sale entry '!AD297&lt;&gt;"")),'Daily Sale entry '!X297+ROW()/10000000,"")</f>
        <v/>
      </c>
      <c r="L297" s="21">
        <f>IF(K297="","",COUNTIF($K$2:$K$3001,"&lt;"&amp;K297)+1)</f>
        <v/>
      </c>
    </row>
    <row r="298">
      <c r="A298" s="5">
        <f>IF($J298="","",IF($J298&lt;=1500,INDEX('Daily Sale entry '!$X$1:$X$1501,$J298+1),INDEX('Daily Sale entry '!$V$1:$V$1501,$J298-1499)))</f>
        <v/>
      </c>
      <c r="B298">
        <f>IF($J298="","",IF($J298&lt;=1500,INDEX('Daily Sale entry '!$Y$1:$Y$1501,$J298+1)&amp;"","Buyer cheque banked 买家支票存入"&amp;IF(INDEX('Daily Sale entry '!$U$1:$U$1501,$J298-1499)="","", " - "&amp;INDEX('Daily Sale entry '!$U$1:$U$1501,$J298-1499))))</f>
        <v/>
      </c>
      <c r="C298">
        <f>IF($J298="","",IF($J298&lt;=1500,INDEX('Daily Sale entry '!$Z$1:$Z$1501,$J298+1)&amp;"","Cheque deposit 支票存入 (buyer 买家)"))</f>
        <v/>
      </c>
      <c r="D298">
        <f>IF($J298="","",IF($J298&lt;=1500,INDEX('Daily Sale entry '!$AA$1:$AA$1501,$J298+1)&amp;"",INDEX('Daily Sale entry '!$P$1:$P$1501,$J298-1499)&amp;""))</f>
        <v/>
      </c>
      <c r="E298">
        <f>IF($J298="","",IF($J298&lt;=1500,IF(N(INDEX('Daily Sale entry '!$AB$1:$AB$1501,$J298+1))=0,"",INDEX('Daily Sale entry '!$AB$1:$AB$1501,$J298+1)),1))</f>
        <v/>
      </c>
      <c r="F298" s="6">
        <f>IF($J298="","",IF($J298&lt;=1500,N(INDEX('Daily Sale entry '!$AC$1:$AC$1501,$J298+1))-IF(AND('Opening Balance'!$B$15=1,INDEX('Daily Sale entry '!$Z$1:$Z$1501,$J298+1)="Online collection 网上收款",INDEX('Daily Sale entry '!$AA$1:$AA$1501,$J298+1)&lt;&gt;""),N(INDEX('Daily Sale entry '!$AC$1:$AC$1501,$J298+1))-TRUNC(N(INDEX('Daily Sale entry '!$AC$1:$AC$1501,$J298+1))),0),N(INDEX('Daily Sale entry '!$S$1:$S$1501,$J298-1499))-'Opening Balance'!$B$15*(N(INDEX('Daily Sale entry '!$S$1:$S$1501,$J298-1499))-TRUNC(N(INDEX('Daily Sale entry '!$S$1:$S$1501,$J298-1499))))))</f>
        <v/>
      </c>
      <c r="G298" s="6">
        <f>IF($J298="","",IF($J298&lt;=1500,N(INDEX('Daily Sale entry '!$AD$1:$AD$1501,$J298+1)),0))</f>
        <v/>
      </c>
      <c r="H298" s="6">
        <f>IF($J298="","",ROUND('Opening Balance'!$B$4+SUM($F$2:F298)-SUM($G$2:G298),2))</f>
        <v/>
      </c>
      <c r="J298" s="21">
        <f>IFERROR(MATCH(ROW()-1,$L$2:$L$3001,0),"")</f>
        <v/>
      </c>
      <c r="K298" s="34">
        <f>IF(AND('Daily Sale entry '!X298&lt;&gt;"",OR('Daily Sale entry '!AC298&lt;&gt;"",'Daily Sale entry '!AD298&lt;&gt;"")),'Daily Sale entry '!X298+ROW()/10000000,"")</f>
        <v/>
      </c>
      <c r="L298" s="21">
        <f>IF(K298="","",COUNTIF($K$2:$K$3001,"&lt;"&amp;K298)+1)</f>
        <v/>
      </c>
    </row>
    <row r="299">
      <c r="A299" s="5">
        <f>IF($J299="","",IF($J299&lt;=1500,INDEX('Daily Sale entry '!$X$1:$X$1501,$J299+1),INDEX('Daily Sale entry '!$V$1:$V$1501,$J299-1499)))</f>
        <v/>
      </c>
      <c r="B299">
        <f>IF($J299="","",IF($J299&lt;=1500,INDEX('Daily Sale entry '!$Y$1:$Y$1501,$J299+1)&amp;"","Buyer cheque banked 买家支票存入"&amp;IF(INDEX('Daily Sale entry '!$U$1:$U$1501,$J299-1499)="","", " - "&amp;INDEX('Daily Sale entry '!$U$1:$U$1501,$J299-1499))))</f>
        <v/>
      </c>
      <c r="C299">
        <f>IF($J299="","",IF($J299&lt;=1500,INDEX('Daily Sale entry '!$Z$1:$Z$1501,$J299+1)&amp;"","Cheque deposit 支票存入 (buyer 买家)"))</f>
        <v/>
      </c>
      <c r="D299">
        <f>IF($J299="","",IF($J299&lt;=1500,INDEX('Daily Sale entry '!$AA$1:$AA$1501,$J299+1)&amp;"",INDEX('Daily Sale entry '!$P$1:$P$1501,$J299-1499)&amp;""))</f>
        <v/>
      </c>
      <c r="E299">
        <f>IF($J299="","",IF($J299&lt;=1500,IF(N(INDEX('Daily Sale entry '!$AB$1:$AB$1501,$J299+1))=0,"",INDEX('Daily Sale entry '!$AB$1:$AB$1501,$J299+1)),1))</f>
        <v/>
      </c>
      <c r="F299" s="6">
        <f>IF($J299="","",IF($J299&lt;=1500,N(INDEX('Daily Sale entry '!$AC$1:$AC$1501,$J299+1))-IF(AND('Opening Balance'!$B$15=1,INDEX('Daily Sale entry '!$Z$1:$Z$1501,$J299+1)="Online collection 网上收款",INDEX('Daily Sale entry '!$AA$1:$AA$1501,$J299+1)&lt;&gt;""),N(INDEX('Daily Sale entry '!$AC$1:$AC$1501,$J299+1))-TRUNC(N(INDEX('Daily Sale entry '!$AC$1:$AC$1501,$J299+1))),0),N(INDEX('Daily Sale entry '!$S$1:$S$1501,$J299-1499))-'Opening Balance'!$B$15*(N(INDEX('Daily Sale entry '!$S$1:$S$1501,$J299-1499))-TRUNC(N(INDEX('Daily Sale entry '!$S$1:$S$1501,$J299-1499))))))</f>
        <v/>
      </c>
      <c r="G299" s="6">
        <f>IF($J299="","",IF($J299&lt;=1500,N(INDEX('Daily Sale entry '!$AD$1:$AD$1501,$J299+1)),0))</f>
        <v/>
      </c>
      <c r="H299" s="6">
        <f>IF($J299="","",ROUND('Opening Balance'!$B$4+SUM($F$2:F299)-SUM($G$2:G299),2))</f>
        <v/>
      </c>
      <c r="J299" s="21">
        <f>IFERROR(MATCH(ROW()-1,$L$2:$L$3001,0),"")</f>
        <v/>
      </c>
      <c r="K299" s="34">
        <f>IF(AND('Daily Sale entry '!X299&lt;&gt;"",OR('Daily Sale entry '!AC299&lt;&gt;"",'Daily Sale entry '!AD299&lt;&gt;"")),'Daily Sale entry '!X299+ROW()/10000000,"")</f>
        <v/>
      </c>
      <c r="L299" s="21">
        <f>IF(K299="","",COUNTIF($K$2:$K$3001,"&lt;"&amp;K299)+1)</f>
        <v/>
      </c>
    </row>
    <row r="300">
      <c r="A300" s="5">
        <f>IF($J300="","",IF($J300&lt;=1500,INDEX('Daily Sale entry '!$X$1:$X$1501,$J300+1),INDEX('Daily Sale entry '!$V$1:$V$1501,$J300-1499)))</f>
        <v/>
      </c>
      <c r="B300">
        <f>IF($J300="","",IF($J300&lt;=1500,INDEX('Daily Sale entry '!$Y$1:$Y$1501,$J300+1)&amp;"","Buyer cheque banked 买家支票存入"&amp;IF(INDEX('Daily Sale entry '!$U$1:$U$1501,$J300-1499)="","", " - "&amp;INDEX('Daily Sale entry '!$U$1:$U$1501,$J300-1499))))</f>
        <v/>
      </c>
      <c r="C300">
        <f>IF($J300="","",IF($J300&lt;=1500,INDEX('Daily Sale entry '!$Z$1:$Z$1501,$J300+1)&amp;"","Cheque deposit 支票存入 (buyer 买家)"))</f>
        <v/>
      </c>
      <c r="D300">
        <f>IF($J300="","",IF($J300&lt;=1500,INDEX('Daily Sale entry '!$AA$1:$AA$1501,$J300+1)&amp;"",INDEX('Daily Sale entry '!$P$1:$P$1501,$J300-1499)&amp;""))</f>
        <v/>
      </c>
      <c r="E300">
        <f>IF($J300="","",IF($J300&lt;=1500,IF(N(INDEX('Daily Sale entry '!$AB$1:$AB$1501,$J300+1))=0,"",INDEX('Daily Sale entry '!$AB$1:$AB$1501,$J300+1)),1))</f>
        <v/>
      </c>
      <c r="F300" s="6">
        <f>IF($J300="","",IF($J300&lt;=1500,N(INDEX('Daily Sale entry '!$AC$1:$AC$1501,$J300+1))-IF(AND('Opening Balance'!$B$15=1,INDEX('Daily Sale entry '!$Z$1:$Z$1501,$J300+1)="Online collection 网上收款",INDEX('Daily Sale entry '!$AA$1:$AA$1501,$J300+1)&lt;&gt;""),N(INDEX('Daily Sale entry '!$AC$1:$AC$1501,$J300+1))-TRUNC(N(INDEX('Daily Sale entry '!$AC$1:$AC$1501,$J300+1))),0),N(INDEX('Daily Sale entry '!$S$1:$S$1501,$J300-1499))-'Opening Balance'!$B$15*(N(INDEX('Daily Sale entry '!$S$1:$S$1501,$J300-1499))-TRUNC(N(INDEX('Daily Sale entry '!$S$1:$S$1501,$J300-1499))))))</f>
        <v/>
      </c>
      <c r="G300" s="6">
        <f>IF($J300="","",IF($J300&lt;=1500,N(INDEX('Daily Sale entry '!$AD$1:$AD$1501,$J300+1)),0))</f>
        <v/>
      </c>
      <c r="H300" s="6">
        <f>IF($J300="","",ROUND('Opening Balance'!$B$4+SUM($F$2:F300)-SUM($G$2:G300),2))</f>
        <v/>
      </c>
      <c r="J300" s="21">
        <f>IFERROR(MATCH(ROW()-1,$L$2:$L$3001,0),"")</f>
        <v/>
      </c>
      <c r="K300" s="34">
        <f>IF(AND('Daily Sale entry '!X300&lt;&gt;"",OR('Daily Sale entry '!AC300&lt;&gt;"",'Daily Sale entry '!AD300&lt;&gt;"")),'Daily Sale entry '!X300+ROW()/10000000,"")</f>
        <v/>
      </c>
      <c r="L300" s="21">
        <f>IF(K300="","",COUNTIF($K$2:$K$3001,"&lt;"&amp;K300)+1)</f>
        <v/>
      </c>
    </row>
    <row r="301">
      <c r="A301" s="5">
        <f>IF($J301="","",IF($J301&lt;=1500,INDEX('Daily Sale entry '!$X$1:$X$1501,$J301+1),INDEX('Daily Sale entry '!$V$1:$V$1501,$J301-1499)))</f>
        <v/>
      </c>
      <c r="B301">
        <f>IF($J301="","",IF($J301&lt;=1500,INDEX('Daily Sale entry '!$Y$1:$Y$1501,$J301+1)&amp;"","Buyer cheque banked 买家支票存入"&amp;IF(INDEX('Daily Sale entry '!$U$1:$U$1501,$J301-1499)="","", " - "&amp;INDEX('Daily Sale entry '!$U$1:$U$1501,$J301-1499))))</f>
        <v/>
      </c>
      <c r="C301">
        <f>IF($J301="","",IF($J301&lt;=1500,INDEX('Daily Sale entry '!$Z$1:$Z$1501,$J301+1)&amp;"","Cheque deposit 支票存入 (buyer 买家)"))</f>
        <v/>
      </c>
      <c r="D301">
        <f>IF($J301="","",IF($J301&lt;=1500,INDEX('Daily Sale entry '!$AA$1:$AA$1501,$J301+1)&amp;"",INDEX('Daily Sale entry '!$P$1:$P$1501,$J301-1499)&amp;""))</f>
        <v/>
      </c>
      <c r="E301">
        <f>IF($J301="","",IF($J301&lt;=1500,IF(N(INDEX('Daily Sale entry '!$AB$1:$AB$1501,$J301+1))=0,"",INDEX('Daily Sale entry '!$AB$1:$AB$1501,$J301+1)),1))</f>
        <v/>
      </c>
      <c r="F301" s="6">
        <f>IF($J301="","",IF($J301&lt;=1500,N(INDEX('Daily Sale entry '!$AC$1:$AC$1501,$J301+1))-IF(AND('Opening Balance'!$B$15=1,INDEX('Daily Sale entry '!$Z$1:$Z$1501,$J301+1)="Online collection 网上收款",INDEX('Daily Sale entry '!$AA$1:$AA$1501,$J301+1)&lt;&gt;""),N(INDEX('Daily Sale entry '!$AC$1:$AC$1501,$J301+1))-TRUNC(N(INDEX('Daily Sale entry '!$AC$1:$AC$1501,$J301+1))),0),N(INDEX('Daily Sale entry '!$S$1:$S$1501,$J301-1499))-'Opening Balance'!$B$15*(N(INDEX('Daily Sale entry '!$S$1:$S$1501,$J301-1499))-TRUNC(N(INDEX('Daily Sale entry '!$S$1:$S$1501,$J301-1499))))))</f>
        <v/>
      </c>
      <c r="G301" s="6">
        <f>IF($J301="","",IF($J301&lt;=1500,N(INDEX('Daily Sale entry '!$AD$1:$AD$1501,$J301+1)),0))</f>
        <v/>
      </c>
      <c r="H301" s="6">
        <f>IF($J301="","",ROUND('Opening Balance'!$B$4+SUM($F$2:F301)-SUM($G$2:G301),2))</f>
        <v/>
      </c>
      <c r="J301" s="21">
        <f>IFERROR(MATCH(ROW()-1,$L$2:$L$3001,0),"")</f>
        <v/>
      </c>
      <c r="K301" s="34">
        <f>IF(AND('Daily Sale entry '!X301&lt;&gt;"",OR('Daily Sale entry '!AC301&lt;&gt;"",'Daily Sale entry '!AD301&lt;&gt;"")),'Daily Sale entry '!X301+ROW()/10000000,"")</f>
        <v/>
      </c>
      <c r="L301" s="21">
        <f>IF(K301="","",COUNTIF($K$2:$K$3001,"&lt;"&amp;K301)+1)</f>
        <v/>
      </c>
    </row>
    <row r="302">
      <c r="A302" s="5">
        <f>IF($J302="","",IF($J302&lt;=1500,INDEX('Daily Sale entry '!$X$1:$X$1501,$J302+1),INDEX('Daily Sale entry '!$V$1:$V$1501,$J302-1499)))</f>
        <v/>
      </c>
      <c r="B302">
        <f>IF($J302="","",IF($J302&lt;=1500,INDEX('Daily Sale entry '!$Y$1:$Y$1501,$J302+1)&amp;"","Buyer cheque banked 买家支票存入"&amp;IF(INDEX('Daily Sale entry '!$U$1:$U$1501,$J302-1499)="","", " - "&amp;INDEX('Daily Sale entry '!$U$1:$U$1501,$J302-1499))))</f>
        <v/>
      </c>
      <c r="C302">
        <f>IF($J302="","",IF($J302&lt;=1500,INDEX('Daily Sale entry '!$Z$1:$Z$1501,$J302+1)&amp;"","Cheque deposit 支票存入 (buyer 买家)"))</f>
        <v/>
      </c>
      <c r="D302">
        <f>IF($J302="","",IF($J302&lt;=1500,INDEX('Daily Sale entry '!$AA$1:$AA$1501,$J302+1)&amp;"",INDEX('Daily Sale entry '!$P$1:$P$1501,$J302-1499)&amp;""))</f>
        <v/>
      </c>
      <c r="E302">
        <f>IF($J302="","",IF($J302&lt;=1500,IF(N(INDEX('Daily Sale entry '!$AB$1:$AB$1501,$J302+1))=0,"",INDEX('Daily Sale entry '!$AB$1:$AB$1501,$J302+1)),1))</f>
        <v/>
      </c>
      <c r="F302" s="6">
        <f>IF($J302="","",IF($J302&lt;=1500,N(INDEX('Daily Sale entry '!$AC$1:$AC$1501,$J302+1))-IF(AND('Opening Balance'!$B$15=1,INDEX('Daily Sale entry '!$Z$1:$Z$1501,$J302+1)="Online collection 网上收款",INDEX('Daily Sale entry '!$AA$1:$AA$1501,$J302+1)&lt;&gt;""),N(INDEX('Daily Sale entry '!$AC$1:$AC$1501,$J302+1))-TRUNC(N(INDEX('Daily Sale entry '!$AC$1:$AC$1501,$J302+1))),0),N(INDEX('Daily Sale entry '!$S$1:$S$1501,$J302-1499))-'Opening Balance'!$B$15*(N(INDEX('Daily Sale entry '!$S$1:$S$1501,$J302-1499))-TRUNC(N(INDEX('Daily Sale entry '!$S$1:$S$1501,$J302-1499))))))</f>
        <v/>
      </c>
      <c r="G302" s="6">
        <f>IF($J302="","",IF($J302&lt;=1500,N(INDEX('Daily Sale entry '!$AD$1:$AD$1501,$J302+1)),0))</f>
        <v/>
      </c>
      <c r="H302" s="6">
        <f>IF($J302="","",ROUND('Opening Balance'!$B$4+SUM($F$2:F302)-SUM($G$2:G302),2))</f>
        <v/>
      </c>
      <c r="J302" s="21">
        <f>IFERROR(MATCH(ROW()-1,$L$2:$L$3001,0),"")</f>
        <v/>
      </c>
      <c r="K302" s="34">
        <f>IF(AND('Daily Sale entry '!X302&lt;&gt;"",OR('Daily Sale entry '!AC302&lt;&gt;"",'Daily Sale entry '!AD302&lt;&gt;"")),'Daily Sale entry '!X302+ROW()/10000000,"")</f>
        <v/>
      </c>
      <c r="L302" s="21">
        <f>IF(K302="","",COUNTIF($K$2:$K$3001,"&lt;"&amp;K302)+1)</f>
        <v/>
      </c>
    </row>
    <row r="303">
      <c r="A303" s="5">
        <f>IF($J303="","",IF($J303&lt;=1500,INDEX('Daily Sale entry '!$X$1:$X$1501,$J303+1),INDEX('Daily Sale entry '!$V$1:$V$1501,$J303-1499)))</f>
        <v/>
      </c>
      <c r="B303">
        <f>IF($J303="","",IF($J303&lt;=1500,INDEX('Daily Sale entry '!$Y$1:$Y$1501,$J303+1)&amp;"","Buyer cheque banked 买家支票存入"&amp;IF(INDEX('Daily Sale entry '!$U$1:$U$1501,$J303-1499)="","", " - "&amp;INDEX('Daily Sale entry '!$U$1:$U$1501,$J303-1499))))</f>
        <v/>
      </c>
      <c r="C303">
        <f>IF($J303="","",IF($J303&lt;=1500,INDEX('Daily Sale entry '!$Z$1:$Z$1501,$J303+1)&amp;"","Cheque deposit 支票存入 (buyer 买家)"))</f>
        <v/>
      </c>
      <c r="D303">
        <f>IF($J303="","",IF($J303&lt;=1500,INDEX('Daily Sale entry '!$AA$1:$AA$1501,$J303+1)&amp;"",INDEX('Daily Sale entry '!$P$1:$P$1501,$J303-1499)&amp;""))</f>
        <v/>
      </c>
      <c r="E303">
        <f>IF($J303="","",IF($J303&lt;=1500,IF(N(INDEX('Daily Sale entry '!$AB$1:$AB$1501,$J303+1))=0,"",INDEX('Daily Sale entry '!$AB$1:$AB$1501,$J303+1)),1))</f>
        <v/>
      </c>
      <c r="F303" s="6">
        <f>IF($J303="","",IF($J303&lt;=1500,N(INDEX('Daily Sale entry '!$AC$1:$AC$1501,$J303+1))-IF(AND('Opening Balance'!$B$15=1,INDEX('Daily Sale entry '!$Z$1:$Z$1501,$J303+1)="Online collection 网上收款",INDEX('Daily Sale entry '!$AA$1:$AA$1501,$J303+1)&lt;&gt;""),N(INDEX('Daily Sale entry '!$AC$1:$AC$1501,$J303+1))-TRUNC(N(INDEX('Daily Sale entry '!$AC$1:$AC$1501,$J303+1))),0),N(INDEX('Daily Sale entry '!$S$1:$S$1501,$J303-1499))-'Opening Balance'!$B$15*(N(INDEX('Daily Sale entry '!$S$1:$S$1501,$J303-1499))-TRUNC(N(INDEX('Daily Sale entry '!$S$1:$S$1501,$J303-1499))))))</f>
        <v/>
      </c>
      <c r="G303" s="6">
        <f>IF($J303="","",IF($J303&lt;=1500,N(INDEX('Daily Sale entry '!$AD$1:$AD$1501,$J303+1)),0))</f>
        <v/>
      </c>
      <c r="H303" s="6">
        <f>IF($J303="","",ROUND('Opening Balance'!$B$4+SUM($F$2:F303)-SUM($G$2:G303),2))</f>
        <v/>
      </c>
      <c r="J303" s="21">
        <f>IFERROR(MATCH(ROW()-1,$L$2:$L$3001,0),"")</f>
        <v/>
      </c>
      <c r="K303" s="34">
        <f>IF(AND('Daily Sale entry '!X303&lt;&gt;"",OR('Daily Sale entry '!AC303&lt;&gt;"",'Daily Sale entry '!AD303&lt;&gt;"")),'Daily Sale entry '!X303+ROW()/10000000,"")</f>
        <v/>
      </c>
      <c r="L303" s="21">
        <f>IF(K303="","",COUNTIF($K$2:$K$3001,"&lt;"&amp;K303)+1)</f>
        <v/>
      </c>
    </row>
    <row r="304">
      <c r="A304" s="5">
        <f>IF($J304="","",IF($J304&lt;=1500,INDEX('Daily Sale entry '!$X$1:$X$1501,$J304+1),INDEX('Daily Sale entry '!$V$1:$V$1501,$J304-1499)))</f>
        <v/>
      </c>
      <c r="B304">
        <f>IF($J304="","",IF($J304&lt;=1500,INDEX('Daily Sale entry '!$Y$1:$Y$1501,$J304+1)&amp;"","Buyer cheque banked 买家支票存入"&amp;IF(INDEX('Daily Sale entry '!$U$1:$U$1501,$J304-1499)="","", " - "&amp;INDEX('Daily Sale entry '!$U$1:$U$1501,$J304-1499))))</f>
        <v/>
      </c>
      <c r="C304">
        <f>IF($J304="","",IF($J304&lt;=1500,INDEX('Daily Sale entry '!$Z$1:$Z$1501,$J304+1)&amp;"","Cheque deposit 支票存入 (buyer 买家)"))</f>
        <v/>
      </c>
      <c r="D304">
        <f>IF($J304="","",IF($J304&lt;=1500,INDEX('Daily Sale entry '!$AA$1:$AA$1501,$J304+1)&amp;"",INDEX('Daily Sale entry '!$P$1:$P$1501,$J304-1499)&amp;""))</f>
        <v/>
      </c>
      <c r="E304">
        <f>IF($J304="","",IF($J304&lt;=1500,IF(N(INDEX('Daily Sale entry '!$AB$1:$AB$1501,$J304+1))=0,"",INDEX('Daily Sale entry '!$AB$1:$AB$1501,$J304+1)),1))</f>
        <v/>
      </c>
      <c r="F304" s="6">
        <f>IF($J304="","",IF($J304&lt;=1500,N(INDEX('Daily Sale entry '!$AC$1:$AC$1501,$J304+1))-IF(AND('Opening Balance'!$B$15=1,INDEX('Daily Sale entry '!$Z$1:$Z$1501,$J304+1)="Online collection 网上收款",INDEX('Daily Sale entry '!$AA$1:$AA$1501,$J304+1)&lt;&gt;""),N(INDEX('Daily Sale entry '!$AC$1:$AC$1501,$J304+1))-TRUNC(N(INDEX('Daily Sale entry '!$AC$1:$AC$1501,$J304+1))),0),N(INDEX('Daily Sale entry '!$S$1:$S$1501,$J304-1499))-'Opening Balance'!$B$15*(N(INDEX('Daily Sale entry '!$S$1:$S$1501,$J304-1499))-TRUNC(N(INDEX('Daily Sale entry '!$S$1:$S$1501,$J304-1499))))))</f>
        <v/>
      </c>
      <c r="G304" s="6">
        <f>IF($J304="","",IF($J304&lt;=1500,N(INDEX('Daily Sale entry '!$AD$1:$AD$1501,$J304+1)),0))</f>
        <v/>
      </c>
      <c r="H304" s="6">
        <f>IF($J304="","",ROUND('Opening Balance'!$B$4+SUM($F$2:F304)-SUM($G$2:G304),2))</f>
        <v/>
      </c>
      <c r="J304" s="21">
        <f>IFERROR(MATCH(ROW()-1,$L$2:$L$3001,0),"")</f>
        <v/>
      </c>
      <c r="K304" s="34">
        <f>IF(AND('Daily Sale entry '!X304&lt;&gt;"",OR('Daily Sale entry '!AC304&lt;&gt;"",'Daily Sale entry '!AD304&lt;&gt;"")),'Daily Sale entry '!X304+ROW()/10000000,"")</f>
        <v/>
      </c>
      <c r="L304" s="21">
        <f>IF(K304="","",COUNTIF($K$2:$K$3001,"&lt;"&amp;K304)+1)</f>
        <v/>
      </c>
    </row>
    <row r="305">
      <c r="A305" s="5">
        <f>IF($J305="","",IF($J305&lt;=1500,INDEX('Daily Sale entry '!$X$1:$X$1501,$J305+1),INDEX('Daily Sale entry '!$V$1:$V$1501,$J305-1499)))</f>
        <v/>
      </c>
      <c r="B305">
        <f>IF($J305="","",IF($J305&lt;=1500,INDEX('Daily Sale entry '!$Y$1:$Y$1501,$J305+1)&amp;"","Buyer cheque banked 买家支票存入"&amp;IF(INDEX('Daily Sale entry '!$U$1:$U$1501,$J305-1499)="","", " - "&amp;INDEX('Daily Sale entry '!$U$1:$U$1501,$J305-1499))))</f>
        <v/>
      </c>
      <c r="C305">
        <f>IF($J305="","",IF($J305&lt;=1500,INDEX('Daily Sale entry '!$Z$1:$Z$1501,$J305+1)&amp;"","Cheque deposit 支票存入 (buyer 买家)"))</f>
        <v/>
      </c>
      <c r="D305">
        <f>IF($J305="","",IF($J305&lt;=1500,INDEX('Daily Sale entry '!$AA$1:$AA$1501,$J305+1)&amp;"",INDEX('Daily Sale entry '!$P$1:$P$1501,$J305-1499)&amp;""))</f>
        <v/>
      </c>
      <c r="E305">
        <f>IF($J305="","",IF($J305&lt;=1500,IF(N(INDEX('Daily Sale entry '!$AB$1:$AB$1501,$J305+1))=0,"",INDEX('Daily Sale entry '!$AB$1:$AB$1501,$J305+1)),1))</f>
        <v/>
      </c>
      <c r="F305" s="6">
        <f>IF($J305="","",IF($J305&lt;=1500,N(INDEX('Daily Sale entry '!$AC$1:$AC$1501,$J305+1))-IF(AND('Opening Balance'!$B$15=1,INDEX('Daily Sale entry '!$Z$1:$Z$1501,$J305+1)="Online collection 网上收款",INDEX('Daily Sale entry '!$AA$1:$AA$1501,$J305+1)&lt;&gt;""),N(INDEX('Daily Sale entry '!$AC$1:$AC$1501,$J305+1))-TRUNC(N(INDEX('Daily Sale entry '!$AC$1:$AC$1501,$J305+1))),0),N(INDEX('Daily Sale entry '!$S$1:$S$1501,$J305-1499))-'Opening Balance'!$B$15*(N(INDEX('Daily Sale entry '!$S$1:$S$1501,$J305-1499))-TRUNC(N(INDEX('Daily Sale entry '!$S$1:$S$1501,$J305-1499))))))</f>
        <v/>
      </c>
      <c r="G305" s="6">
        <f>IF($J305="","",IF($J305&lt;=1500,N(INDEX('Daily Sale entry '!$AD$1:$AD$1501,$J305+1)),0))</f>
        <v/>
      </c>
      <c r="H305" s="6">
        <f>IF($J305="","",ROUND('Opening Balance'!$B$4+SUM($F$2:F305)-SUM($G$2:G305),2))</f>
        <v/>
      </c>
      <c r="J305" s="21">
        <f>IFERROR(MATCH(ROW()-1,$L$2:$L$3001,0),"")</f>
        <v/>
      </c>
      <c r="K305" s="34">
        <f>IF(AND('Daily Sale entry '!X305&lt;&gt;"",OR('Daily Sale entry '!AC305&lt;&gt;"",'Daily Sale entry '!AD305&lt;&gt;"")),'Daily Sale entry '!X305+ROW()/10000000,"")</f>
        <v/>
      </c>
      <c r="L305" s="21">
        <f>IF(K305="","",COUNTIF($K$2:$K$3001,"&lt;"&amp;K305)+1)</f>
        <v/>
      </c>
    </row>
    <row r="306">
      <c r="A306" s="5">
        <f>IF($J306="","",IF($J306&lt;=1500,INDEX('Daily Sale entry '!$X$1:$X$1501,$J306+1),INDEX('Daily Sale entry '!$V$1:$V$1501,$J306-1499)))</f>
        <v/>
      </c>
      <c r="B306">
        <f>IF($J306="","",IF($J306&lt;=1500,INDEX('Daily Sale entry '!$Y$1:$Y$1501,$J306+1)&amp;"","Buyer cheque banked 买家支票存入"&amp;IF(INDEX('Daily Sale entry '!$U$1:$U$1501,$J306-1499)="","", " - "&amp;INDEX('Daily Sale entry '!$U$1:$U$1501,$J306-1499))))</f>
        <v/>
      </c>
      <c r="C306">
        <f>IF($J306="","",IF($J306&lt;=1500,INDEX('Daily Sale entry '!$Z$1:$Z$1501,$J306+1)&amp;"","Cheque deposit 支票存入 (buyer 买家)"))</f>
        <v/>
      </c>
      <c r="D306">
        <f>IF($J306="","",IF($J306&lt;=1500,INDEX('Daily Sale entry '!$AA$1:$AA$1501,$J306+1)&amp;"",INDEX('Daily Sale entry '!$P$1:$P$1501,$J306-1499)&amp;""))</f>
        <v/>
      </c>
      <c r="E306">
        <f>IF($J306="","",IF($J306&lt;=1500,IF(N(INDEX('Daily Sale entry '!$AB$1:$AB$1501,$J306+1))=0,"",INDEX('Daily Sale entry '!$AB$1:$AB$1501,$J306+1)),1))</f>
        <v/>
      </c>
      <c r="F306" s="6">
        <f>IF($J306="","",IF($J306&lt;=1500,N(INDEX('Daily Sale entry '!$AC$1:$AC$1501,$J306+1))-IF(AND('Opening Balance'!$B$15=1,INDEX('Daily Sale entry '!$Z$1:$Z$1501,$J306+1)="Online collection 网上收款",INDEX('Daily Sale entry '!$AA$1:$AA$1501,$J306+1)&lt;&gt;""),N(INDEX('Daily Sale entry '!$AC$1:$AC$1501,$J306+1))-TRUNC(N(INDEX('Daily Sale entry '!$AC$1:$AC$1501,$J306+1))),0),N(INDEX('Daily Sale entry '!$S$1:$S$1501,$J306-1499))-'Opening Balance'!$B$15*(N(INDEX('Daily Sale entry '!$S$1:$S$1501,$J306-1499))-TRUNC(N(INDEX('Daily Sale entry '!$S$1:$S$1501,$J306-1499))))))</f>
        <v/>
      </c>
      <c r="G306" s="6">
        <f>IF($J306="","",IF($J306&lt;=1500,N(INDEX('Daily Sale entry '!$AD$1:$AD$1501,$J306+1)),0))</f>
        <v/>
      </c>
      <c r="H306" s="6">
        <f>IF($J306="","",ROUND('Opening Balance'!$B$4+SUM($F$2:F306)-SUM($G$2:G306),2))</f>
        <v/>
      </c>
      <c r="J306" s="21">
        <f>IFERROR(MATCH(ROW()-1,$L$2:$L$3001,0),"")</f>
        <v/>
      </c>
      <c r="K306" s="34">
        <f>IF(AND('Daily Sale entry '!X306&lt;&gt;"",OR('Daily Sale entry '!AC306&lt;&gt;"",'Daily Sale entry '!AD306&lt;&gt;"")),'Daily Sale entry '!X306+ROW()/10000000,"")</f>
        <v/>
      </c>
      <c r="L306" s="21">
        <f>IF(K306="","",COUNTIF($K$2:$K$3001,"&lt;"&amp;K306)+1)</f>
        <v/>
      </c>
    </row>
    <row r="307">
      <c r="A307" s="5">
        <f>IF($J307="","",IF($J307&lt;=1500,INDEX('Daily Sale entry '!$X$1:$X$1501,$J307+1),INDEX('Daily Sale entry '!$V$1:$V$1501,$J307-1499)))</f>
        <v/>
      </c>
      <c r="B307">
        <f>IF($J307="","",IF($J307&lt;=1500,INDEX('Daily Sale entry '!$Y$1:$Y$1501,$J307+1)&amp;"","Buyer cheque banked 买家支票存入"&amp;IF(INDEX('Daily Sale entry '!$U$1:$U$1501,$J307-1499)="","", " - "&amp;INDEX('Daily Sale entry '!$U$1:$U$1501,$J307-1499))))</f>
        <v/>
      </c>
      <c r="C307">
        <f>IF($J307="","",IF($J307&lt;=1500,INDEX('Daily Sale entry '!$Z$1:$Z$1501,$J307+1)&amp;"","Cheque deposit 支票存入 (buyer 买家)"))</f>
        <v/>
      </c>
      <c r="D307">
        <f>IF($J307="","",IF($J307&lt;=1500,INDEX('Daily Sale entry '!$AA$1:$AA$1501,$J307+1)&amp;"",INDEX('Daily Sale entry '!$P$1:$P$1501,$J307-1499)&amp;""))</f>
        <v/>
      </c>
      <c r="E307">
        <f>IF($J307="","",IF($J307&lt;=1500,IF(N(INDEX('Daily Sale entry '!$AB$1:$AB$1501,$J307+1))=0,"",INDEX('Daily Sale entry '!$AB$1:$AB$1501,$J307+1)),1))</f>
        <v/>
      </c>
      <c r="F307" s="6">
        <f>IF($J307="","",IF($J307&lt;=1500,N(INDEX('Daily Sale entry '!$AC$1:$AC$1501,$J307+1))-IF(AND('Opening Balance'!$B$15=1,INDEX('Daily Sale entry '!$Z$1:$Z$1501,$J307+1)="Online collection 网上收款",INDEX('Daily Sale entry '!$AA$1:$AA$1501,$J307+1)&lt;&gt;""),N(INDEX('Daily Sale entry '!$AC$1:$AC$1501,$J307+1))-TRUNC(N(INDEX('Daily Sale entry '!$AC$1:$AC$1501,$J307+1))),0),N(INDEX('Daily Sale entry '!$S$1:$S$1501,$J307-1499))-'Opening Balance'!$B$15*(N(INDEX('Daily Sale entry '!$S$1:$S$1501,$J307-1499))-TRUNC(N(INDEX('Daily Sale entry '!$S$1:$S$1501,$J307-1499))))))</f>
        <v/>
      </c>
      <c r="G307" s="6">
        <f>IF($J307="","",IF($J307&lt;=1500,N(INDEX('Daily Sale entry '!$AD$1:$AD$1501,$J307+1)),0))</f>
        <v/>
      </c>
      <c r="H307" s="6">
        <f>IF($J307="","",ROUND('Opening Balance'!$B$4+SUM($F$2:F307)-SUM($G$2:G307),2))</f>
        <v/>
      </c>
      <c r="J307" s="21">
        <f>IFERROR(MATCH(ROW()-1,$L$2:$L$3001,0),"")</f>
        <v/>
      </c>
      <c r="K307" s="34">
        <f>IF(AND('Daily Sale entry '!X307&lt;&gt;"",OR('Daily Sale entry '!AC307&lt;&gt;"",'Daily Sale entry '!AD307&lt;&gt;"")),'Daily Sale entry '!X307+ROW()/10000000,"")</f>
        <v/>
      </c>
      <c r="L307" s="21">
        <f>IF(K307="","",COUNTIF($K$2:$K$3001,"&lt;"&amp;K307)+1)</f>
        <v/>
      </c>
    </row>
    <row r="308">
      <c r="A308" s="5">
        <f>IF($J308="","",IF($J308&lt;=1500,INDEX('Daily Sale entry '!$X$1:$X$1501,$J308+1),INDEX('Daily Sale entry '!$V$1:$V$1501,$J308-1499)))</f>
        <v/>
      </c>
      <c r="B308">
        <f>IF($J308="","",IF($J308&lt;=1500,INDEX('Daily Sale entry '!$Y$1:$Y$1501,$J308+1)&amp;"","Buyer cheque banked 买家支票存入"&amp;IF(INDEX('Daily Sale entry '!$U$1:$U$1501,$J308-1499)="","", " - "&amp;INDEX('Daily Sale entry '!$U$1:$U$1501,$J308-1499))))</f>
        <v/>
      </c>
      <c r="C308">
        <f>IF($J308="","",IF($J308&lt;=1500,INDEX('Daily Sale entry '!$Z$1:$Z$1501,$J308+1)&amp;"","Cheque deposit 支票存入 (buyer 买家)"))</f>
        <v/>
      </c>
      <c r="D308">
        <f>IF($J308="","",IF($J308&lt;=1500,INDEX('Daily Sale entry '!$AA$1:$AA$1501,$J308+1)&amp;"",INDEX('Daily Sale entry '!$P$1:$P$1501,$J308-1499)&amp;""))</f>
        <v/>
      </c>
      <c r="E308">
        <f>IF($J308="","",IF($J308&lt;=1500,IF(N(INDEX('Daily Sale entry '!$AB$1:$AB$1501,$J308+1))=0,"",INDEX('Daily Sale entry '!$AB$1:$AB$1501,$J308+1)),1))</f>
        <v/>
      </c>
      <c r="F308" s="6">
        <f>IF($J308="","",IF($J308&lt;=1500,N(INDEX('Daily Sale entry '!$AC$1:$AC$1501,$J308+1))-IF(AND('Opening Balance'!$B$15=1,INDEX('Daily Sale entry '!$Z$1:$Z$1501,$J308+1)="Online collection 网上收款",INDEX('Daily Sale entry '!$AA$1:$AA$1501,$J308+1)&lt;&gt;""),N(INDEX('Daily Sale entry '!$AC$1:$AC$1501,$J308+1))-TRUNC(N(INDEX('Daily Sale entry '!$AC$1:$AC$1501,$J308+1))),0),N(INDEX('Daily Sale entry '!$S$1:$S$1501,$J308-1499))-'Opening Balance'!$B$15*(N(INDEX('Daily Sale entry '!$S$1:$S$1501,$J308-1499))-TRUNC(N(INDEX('Daily Sale entry '!$S$1:$S$1501,$J308-1499))))))</f>
        <v/>
      </c>
      <c r="G308" s="6">
        <f>IF($J308="","",IF($J308&lt;=1500,N(INDEX('Daily Sale entry '!$AD$1:$AD$1501,$J308+1)),0))</f>
        <v/>
      </c>
      <c r="H308" s="6">
        <f>IF($J308="","",ROUND('Opening Balance'!$B$4+SUM($F$2:F308)-SUM($G$2:G308),2))</f>
        <v/>
      </c>
      <c r="J308" s="21">
        <f>IFERROR(MATCH(ROW()-1,$L$2:$L$3001,0),"")</f>
        <v/>
      </c>
      <c r="K308" s="34">
        <f>IF(AND('Daily Sale entry '!X308&lt;&gt;"",OR('Daily Sale entry '!AC308&lt;&gt;"",'Daily Sale entry '!AD308&lt;&gt;"")),'Daily Sale entry '!X308+ROW()/10000000,"")</f>
        <v/>
      </c>
      <c r="L308" s="21">
        <f>IF(K308="","",COUNTIF($K$2:$K$3001,"&lt;"&amp;K308)+1)</f>
        <v/>
      </c>
    </row>
    <row r="309">
      <c r="A309" s="5">
        <f>IF($J309="","",IF($J309&lt;=1500,INDEX('Daily Sale entry '!$X$1:$X$1501,$J309+1),INDEX('Daily Sale entry '!$V$1:$V$1501,$J309-1499)))</f>
        <v/>
      </c>
      <c r="B309">
        <f>IF($J309="","",IF($J309&lt;=1500,INDEX('Daily Sale entry '!$Y$1:$Y$1501,$J309+1)&amp;"","Buyer cheque banked 买家支票存入"&amp;IF(INDEX('Daily Sale entry '!$U$1:$U$1501,$J309-1499)="","", " - "&amp;INDEX('Daily Sale entry '!$U$1:$U$1501,$J309-1499))))</f>
        <v/>
      </c>
      <c r="C309">
        <f>IF($J309="","",IF($J309&lt;=1500,INDEX('Daily Sale entry '!$Z$1:$Z$1501,$J309+1)&amp;"","Cheque deposit 支票存入 (buyer 买家)"))</f>
        <v/>
      </c>
      <c r="D309">
        <f>IF($J309="","",IF($J309&lt;=1500,INDEX('Daily Sale entry '!$AA$1:$AA$1501,$J309+1)&amp;"",INDEX('Daily Sale entry '!$P$1:$P$1501,$J309-1499)&amp;""))</f>
        <v/>
      </c>
      <c r="E309">
        <f>IF($J309="","",IF($J309&lt;=1500,IF(N(INDEX('Daily Sale entry '!$AB$1:$AB$1501,$J309+1))=0,"",INDEX('Daily Sale entry '!$AB$1:$AB$1501,$J309+1)),1))</f>
        <v/>
      </c>
      <c r="F309" s="6">
        <f>IF($J309="","",IF($J309&lt;=1500,N(INDEX('Daily Sale entry '!$AC$1:$AC$1501,$J309+1))-IF(AND('Opening Balance'!$B$15=1,INDEX('Daily Sale entry '!$Z$1:$Z$1501,$J309+1)="Online collection 网上收款",INDEX('Daily Sale entry '!$AA$1:$AA$1501,$J309+1)&lt;&gt;""),N(INDEX('Daily Sale entry '!$AC$1:$AC$1501,$J309+1))-TRUNC(N(INDEX('Daily Sale entry '!$AC$1:$AC$1501,$J309+1))),0),N(INDEX('Daily Sale entry '!$S$1:$S$1501,$J309-1499))-'Opening Balance'!$B$15*(N(INDEX('Daily Sale entry '!$S$1:$S$1501,$J309-1499))-TRUNC(N(INDEX('Daily Sale entry '!$S$1:$S$1501,$J309-1499))))))</f>
        <v/>
      </c>
      <c r="G309" s="6">
        <f>IF($J309="","",IF($J309&lt;=1500,N(INDEX('Daily Sale entry '!$AD$1:$AD$1501,$J309+1)),0))</f>
        <v/>
      </c>
      <c r="H309" s="6">
        <f>IF($J309="","",ROUND('Opening Balance'!$B$4+SUM($F$2:F309)-SUM($G$2:G309),2))</f>
        <v/>
      </c>
      <c r="J309" s="21">
        <f>IFERROR(MATCH(ROW()-1,$L$2:$L$3001,0),"")</f>
        <v/>
      </c>
      <c r="K309" s="34">
        <f>IF(AND('Daily Sale entry '!X309&lt;&gt;"",OR('Daily Sale entry '!AC309&lt;&gt;"",'Daily Sale entry '!AD309&lt;&gt;"")),'Daily Sale entry '!X309+ROW()/10000000,"")</f>
        <v/>
      </c>
      <c r="L309" s="21">
        <f>IF(K309="","",COUNTIF($K$2:$K$3001,"&lt;"&amp;K309)+1)</f>
        <v/>
      </c>
    </row>
    <row r="310">
      <c r="A310" s="5">
        <f>IF($J310="","",IF($J310&lt;=1500,INDEX('Daily Sale entry '!$X$1:$X$1501,$J310+1),INDEX('Daily Sale entry '!$V$1:$V$1501,$J310-1499)))</f>
        <v/>
      </c>
      <c r="B310">
        <f>IF($J310="","",IF($J310&lt;=1500,INDEX('Daily Sale entry '!$Y$1:$Y$1501,$J310+1)&amp;"","Buyer cheque banked 买家支票存入"&amp;IF(INDEX('Daily Sale entry '!$U$1:$U$1501,$J310-1499)="","", " - "&amp;INDEX('Daily Sale entry '!$U$1:$U$1501,$J310-1499))))</f>
        <v/>
      </c>
      <c r="C310">
        <f>IF($J310="","",IF($J310&lt;=1500,INDEX('Daily Sale entry '!$Z$1:$Z$1501,$J310+1)&amp;"","Cheque deposit 支票存入 (buyer 买家)"))</f>
        <v/>
      </c>
      <c r="D310">
        <f>IF($J310="","",IF($J310&lt;=1500,INDEX('Daily Sale entry '!$AA$1:$AA$1501,$J310+1)&amp;"",INDEX('Daily Sale entry '!$P$1:$P$1501,$J310-1499)&amp;""))</f>
        <v/>
      </c>
      <c r="E310">
        <f>IF($J310="","",IF($J310&lt;=1500,IF(N(INDEX('Daily Sale entry '!$AB$1:$AB$1501,$J310+1))=0,"",INDEX('Daily Sale entry '!$AB$1:$AB$1501,$J310+1)),1))</f>
        <v/>
      </c>
      <c r="F310" s="6">
        <f>IF($J310="","",IF($J310&lt;=1500,N(INDEX('Daily Sale entry '!$AC$1:$AC$1501,$J310+1))-IF(AND('Opening Balance'!$B$15=1,INDEX('Daily Sale entry '!$Z$1:$Z$1501,$J310+1)="Online collection 网上收款",INDEX('Daily Sale entry '!$AA$1:$AA$1501,$J310+1)&lt;&gt;""),N(INDEX('Daily Sale entry '!$AC$1:$AC$1501,$J310+1))-TRUNC(N(INDEX('Daily Sale entry '!$AC$1:$AC$1501,$J310+1))),0),N(INDEX('Daily Sale entry '!$S$1:$S$1501,$J310-1499))-'Opening Balance'!$B$15*(N(INDEX('Daily Sale entry '!$S$1:$S$1501,$J310-1499))-TRUNC(N(INDEX('Daily Sale entry '!$S$1:$S$1501,$J310-1499))))))</f>
        <v/>
      </c>
      <c r="G310" s="6">
        <f>IF($J310="","",IF($J310&lt;=1500,N(INDEX('Daily Sale entry '!$AD$1:$AD$1501,$J310+1)),0))</f>
        <v/>
      </c>
      <c r="H310" s="6">
        <f>IF($J310="","",ROUND('Opening Balance'!$B$4+SUM($F$2:F310)-SUM($G$2:G310),2))</f>
        <v/>
      </c>
      <c r="J310" s="21">
        <f>IFERROR(MATCH(ROW()-1,$L$2:$L$3001,0),"")</f>
        <v/>
      </c>
      <c r="K310" s="34">
        <f>IF(AND('Daily Sale entry '!X310&lt;&gt;"",OR('Daily Sale entry '!AC310&lt;&gt;"",'Daily Sale entry '!AD310&lt;&gt;"")),'Daily Sale entry '!X310+ROW()/10000000,"")</f>
        <v/>
      </c>
      <c r="L310" s="21">
        <f>IF(K310="","",COUNTIF($K$2:$K$3001,"&lt;"&amp;K310)+1)</f>
        <v/>
      </c>
    </row>
    <row r="311">
      <c r="A311" s="5">
        <f>IF($J311="","",IF($J311&lt;=1500,INDEX('Daily Sale entry '!$X$1:$X$1501,$J311+1),INDEX('Daily Sale entry '!$V$1:$V$1501,$J311-1499)))</f>
        <v/>
      </c>
      <c r="B311">
        <f>IF($J311="","",IF($J311&lt;=1500,INDEX('Daily Sale entry '!$Y$1:$Y$1501,$J311+1)&amp;"","Buyer cheque banked 买家支票存入"&amp;IF(INDEX('Daily Sale entry '!$U$1:$U$1501,$J311-1499)="","", " - "&amp;INDEX('Daily Sale entry '!$U$1:$U$1501,$J311-1499))))</f>
        <v/>
      </c>
      <c r="C311">
        <f>IF($J311="","",IF($J311&lt;=1500,INDEX('Daily Sale entry '!$Z$1:$Z$1501,$J311+1)&amp;"","Cheque deposit 支票存入 (buyer 买家)"))</f>
        <v/>
      </c>
      <c r="D311">
        <f>IF($J311="","",IF($J311&lt;=1500,INDEX('Daily Sale entry '!$AA$1:$AA$1501,$J311+1)&amp;"",INDEX('Daily Sale entry '!$P$1:$P$1501,$J311-1499)&amp;""))</f>
        <v/>
      </c>
      <c r="E311">
        <f>IF($J311="","",IF($J311&lt;=1500,IF(N(INDEX('Daily Sale entry '!$AB$1:$AB$1501,$J311+1))=0,"",INDEX('Daily Sale entry '!$AB$1:$AB$1501,$J311+1)),1))</f>
        <v/>
      </c>
      <c r="F311" s="6">
        <f>IF($J311="","",IF($J311&lt;=1500,N(INDEX('Daily Sale entry '!$AC$1:$AC$1501,$J311+1))-IF(AND('Opening Balance'!$B$15=1,INDEX('Daily Sale entry '!$Z$1:$Z$1501,$J311+1)="Online collection 网上收款",INDEX('Daily Sale entry '!$AA$1:$AA$1501,$J311+1)&lt;&gt;""),N(INDEX('Daily Sale entry '!$AC$1:$AC$1501,$J311+1))-TRUNC(N(INDEX('Daily Sale entry '!$AC$1:$AC$1501,$J311+1))),0),N(INDEX('Daily Sale entry '!$S$1:$S$1501,$J311-1499))-'Opening Balance'!$B$15*(N(INDEX('Daily Sale entry '!$S$1:$S$1501,$J311-1499))-TRUNC(N(INDEX('Daily Sale entry '!$S$1:$S$1501,$J311-1499))))))</f>
        <v/>
      </c>
      <c r="G311" s="6">
        <f>IF($J311="","",IF($J311&lt;=1500,N(INDEX('Daily Sale entry '!$AD$1:$AD$1501,$J311+1)),0))</f>
        <v/>
      </c>
      <c r="H311" s="6">
        <f>IF($J311="","",ROUND('Opening Balance'!$B$4+SUM($F$2:F311)-SUM($G$2:G311),2))</f>
        <v/>
      </c>
      <c r="J311" s="21">
        <f>IFERROR(MATCH(ROW()-1,$L$2:$L$3001,0),"")</f>
        <v/>
      </c>
      <c r="K311" s="34">
        <f>IF(AND('Daily Sale entry '!X311&lt;&gt;"",OR('Daily Sale entry '!AC311&lt;&gt;"",'Daily Sale entry '!AD311&lt;&gt;"")),'Daily Sale entry '!X311+ROW()/10000000,"")</f>
        <v/>
      </c>
      <c r="L311" s="21">
        <f>IF(K311="","",COUNTIF($K$2:$K$3001,"&lt;"&amp;K311)+1)</f>
        <v/>
      </c>
    </row>
    <row r="312">
      <c r="A312" s="5">
        <f>IF($J312="","",IF($J312&lt;=1500,INDEX('Daily Sale entry '!$X$1:$X$1501,$J312+1),INDEX('Daily Sale entry '!$V$1:$V$1501,$J312-1499)))</f>
        <v/>
      </c>
      <c r="B312">
        <f>IF($J312="","",IF($J312&lt;=1500,INDEX('Daily Sale entry '!$Y$1:$Y$1501,$J312+1)&amp;"","Buyer cheque banked 买家支票存入"&amp;IF(INDEX('Daily Sale entry '!$U$1:$U$1501,$J312-1499)="","", " - "&amp;INDEX('Daily Sale entry '!$U$1:$U$1501,$J312-1499))))</f>
        <v/>
      </c>
      <c r="C312">
        <f>IF($J312="","",IF($J312&lt;=1500,INDEX('Daily Sale entry '!$Z$1:$Z$1501,$J312+1)&amp;"","Cheque deposit 支票存入 (buyer 买家)"))</f>
        <v/>
      </c>
      <c r="D312">
        <f>IF($J312="","",IF($J312&lt;=1500,INDEX('Daily Sale entry '!$AA$1:$AA$1501,$J312+1)&amp;"",INDEX('Daily Sale entry '!$P$1:$P$1501,$J312-1499)&amp;""))</f>
        <v/>
      </c>
      <c r="E312">
        <f>IF($J312="","",IF($J312&lt;=1500,IF(N(INDEX('Daily Sale entry '!$AB$1:$AB$1501,$J312+1))=0,"",INDEX('Daily Sale entry '!$AB$1:$AB$1501,$J312+1)),1))</f>
        <v/>
      </c>
      <c r="F312" s="6">
        <f>IF($J312="","",IF($J312&lt;=1500,N(INDEX('Daily Sale entry '!$AC$1:$AC$1501,$J312+1))-IF(AND('Opening Balance'!$B$15=1,INDEX('Daily Sale entry '!$Z$1:$Z$1501,$J312+1)="Online collection 网上收款",INDEX('Daily Sale entry '!$AA$1:$AA$1501,$J312+1)&lt;&gt;""),N(INDEX('Daily Sale entry '!$AC$1:$AC$1501,$J312+1))-TRUNC(N(INDEX('Daily Sale entry '!$AC$1:$AC$1501,$J312+1))),0),N(INDEX('Daily Sale entry '!$S$1:$S$1501,$J312-1499))-'Opening Balance'!$B$15*(N(INDEX('Daily Sale entry '!$S$1:$S$1501,$J312-1499))-TRUNC(N(INDEX('Daily Sale entry '!$S$1:$S$1501,$J312-1499))))))</f>
        <v/>
      </c>
      <c r="G312" s="6">
        <f>IF($J312="","",IF($J312&lt;=1500,N(INDEX('Daily Sale entry '!$AD$1:$AD$1501,$J312+1)),0))</f>
        <v/>
      </c>
      <c r="H312" s="6">
        <f>IF($J312="","",ROUND('Opening Balance'!$B$4+SUM($F$2:F312)-SUM($G$2:G312),2))</f>
        <v/>
      </c>
      <c r="J312" s="21">
        <f>IFERROR(MATCH(ROW()-1,$L$2:$L$3001,0),"")</f>
        <v/>
      </c>
      <c r="K312" s="34">
        <f>IF(AND('Daily Sale entry '!X312&lt;&gt;"",OR('Daily Sale entry '!AC312&lt;&gt;"",'Daily Sale entry '!AD312&lt;&gt;"")),'Daily Sale entry '!X312+ROW()/10000000,"")</f>
        <v/>
      </c>
      <c r="L312" s="21">
        <f>IF(K312="","",COUNTIF($K$2:$K$3001,"&lt;"&amp;K312)+1)</f>
        <v/>
      </c>
    </row>
    <row r="313">
      <c r="A313" s="5">
        <f>IF($J313="","",IF($J313&lt;=1500,INDEX('Daily Sale entry '!$X$1:$X$1501,$J313+1),INDEX('Daily Sale entry '!$V$1:$V$1501,$J313-1499)))</f>
        <v/>
      </c>
      <c r="B313">
        <f>IF($J313="","",IF($J313&lt;=1500,INDEX('Daily Sale entry '!$Y$1:$Y$1501,$J313+1)&amp;"","Buyer cheque banked 买家支票存入"&amp;IF(INDEX('Daily Sale entry '!$U$1:$U$1501,$J313-1499)="","", " - "&amp;INDEX('Daily Sale entry '!$U$1:$U$1501,$J313-1499))))</f>
        <v/>
      </c>
      <c r="C313">
        <f>IF($J313="","",IF($J313&lt;=1500,INDEX('Daily Sale entry '!$Z$1:$Z$1501,$J313+1)&amp;"","Cheque deposit 支票存入 (buyer 买家)"))</f>
        <v/>
      </c>
      <c r="D313">
        <f>IF($J313="","",IF($J313&lt;=1500,INDEX('Daily Sale entry '!$AA$1:$AA$1501,$J313+1)&amp;"",INDEX('Daily Sale entry '!$P$1:$P$1501,$J313-1499)&amp;""))</f>
        <v/>
      </c>
      <c r="E313">
        <f>IF($J313="","",IF($J313&lt;=1500,IF(N(INDEX('Daily Sale entry '!$AB$1:$AB$1501,$J313+1))=0,"",INDEX('Daily Sale entry '!$AB$1:$AB$1501,$J313+1)),1))</f>
        <v/>
      </c>
      <c r="F313" s="6">
        <f>IF($J313="","",IF($J313&lt;=1500,N(INDEX('Daily Sale entry '!$AC$1:$AC$1501,$J313+1))-IF(AND('Opening Balance'!$B$15=1,INDEX('Daily Sale entry '!$Z$1:$Z$1501,$J313+1)="Online collection 网上收款",INDEX('Daily Sale entry '!$AA$1:$AA$1501,$J313+1)&lt;&gt;""),N(INDEX('Daily Sale entry '!$AC$1:$AC$1501,$J313+1))-TRUNC(N(INDEX('Daily Sale entry '!$AC$1:$AC$1501,$J313+1))),0),N(INDEX('Daily Sale entry '!$S$1:$S$1501,$J313-1499))-'Opening Balance'!$B$15*(N(INDEX('Daily Sale entry '!$S$1:$S$1501,$J313-1499))-TRUNC(N(INDEX('Daily Sale entry '!$S$1:$S$1501,$J313-1499))))))</f>
        <v/>
      </c>
      <c r="G313" s="6">
        <f>IF($J313="","",IF($J313&lt;=1500,N(INDEX('Daily Sale entry '!$AD$1:$AD$1501,$J313+1)),0))</f>
        <v/>
      </c>
      <c r="H313" s="6">
        <f>IF($J313="","",ROUND('Opening Balance'!$B$4+SUM($F$2:F313)-SUM($G$2:G313),2))</f>
        <v/>
      </c>
      <c r="J313" s="21">
        <f>IFERROR(MATCH(ROW()-1,$L$2:$L$3001,0),"")</f>
        <v/>
      </c>
      <c r="K313" s="34">
        <f>IF(AND('Daily Sale entry '!X313&lt;&gt;"",OR('Daily Sale entry '!AC313&lt;&gt;"",'Daily Sale entry '!AD313&lt;&gt;"")),'Daily Sale entry '!X313+ROW()/10000000,"")</f>
        <v/>
      </c>
      <c r="L313" s="21">
        <f>IF(K313="","",COUNTIF($K$2:$K$3001,"&lt;"&amp;K313)+1)</f>
        <v/>
      </c>
    </row>
    <row r="314">
      <c r="A314" s="5">
        <f>IF($J314="","",IF($J314&lt;=1500,INDEX('Daily Sale entry '!$X$1:$X$1501,$J314+1),INDEX('Daily Sale entry '!$V$1:$V$1501,$J314-1499)))</f>
        <v/>
      </c>
      <c r="B314">
        <f>IF($J314="","",IF($J314&lt;=1500,INDEX('Daily Sale entry '!$Y$1:$Y$1501,$J314+1)&amp;"","Buyer cheque banked 买家支票存入"&amp;IF(INDEX('Daily Sale entry '!$U$1:$U$1501,$J314-1499)="","", " - "&amp;INDEX('Daily Sale entry '!$U$1:$U$1501,$J314-1499))))</f>
        <v/>
      </c>
      <c r="C314">
        <f>IF($J314="","",IF($J314&lt;=1500,INDEX('Daily Sale entry '!$Z$1:$Z$1501,$J314+1)&amp;"","Cheque deposit 支票存入 (buyer 买家)"))</f>
        <v/>
      </c>
      <c r="D314">
        <f>IF($J314="","",IF($J314&lt;=1500,INDEX('Daily Sale entry '!$AA$1:$AA$1501,$J314+1)&amp;"",INDEX('Daily Sale entry '!$P$1:$P$1501,$J314-1499)&amp;""))</f>
        <v/>
      </c>
      <c r="E314">
        <f>IF($J314="","",IF($J314&lt;=1500,IF(N(INDEX('Daily Sale entry '!$AB$1:$AB$1501,$J314+1))=0,"",INDEX('Daily Sale entry '!$AB$1:$AB$1501,$J314+1)),1))</f>
        <v/>
      </c>
      <c r="F314" s="6">
        <f>IF($J314="","",IF($J314&lt;=1500,N(INDEX('Daily Sale entry '!$AC$1:$AC$1501,$J314+1))-IF(AND('Opening Balance'!$B$15=1,INDEX('Daily Sale entry '!$Z$1:$Z$1501,$J314+1)="Online collection 网上收款",INDEX('Daily Sale entry '!$AA$1:$AA$1501,$J314+1)&lt;&gt;""),N(INDEX('Daily Sale entry '!$AC$1:$AC$1501,$J314+1))-TRUNC(N(INDEX('Daily Sale entry '!$AC$1:$AC$1501,$J314+1))),0),N(INDEX('Daily Sale entry '!$S$1:$S$1501,$J314-1499))-'Opening Balance'!$B$15*(N(INDEX('Daily Sale entry '!$S$1:$S$1501,$J314-1499))-TRUNC(N(INDEX('Daily Sale entry '!$S$1:$S$1501,$J314-1499))))))</f>
        <v/>
      </c>
      <c r="G314" s="6">
        <f>IF($J314="","",IF($J314&lt;=1500,N(INDEX('Daily Sale entry '!$AD$1:$AD$1501,$J314+1)),0))</f>
        <v/>
      </c>
      <c r="H314" s="6">
        <f>IF($J314="","",ROUND('Opening Balance'!$B$4+SUM($F$2:F314)-SUM($G$2:G314),2))</f>
        <v/>
      </c>
      <c r="J314" s="21">
        <f>IFERROR(MATCH(ROW()-1,$L$2:$L$3001,0),"")</f>
        <v/>
      </c>
      <c r="K314" s="34">
        <f>IF(AND('Daily Sale entry '!X314&lt;&gt;"",OR('Daily Sale entry '!AC314&lt;&gt;"",'Daily Sale entry '!AD314&lt;&gt;"")),'Daily Sale entry '!X314+ROW()/10000000,"")</f>
        <v/>
      </c>
      <c r="L314" s="21">
        <f>IF(K314="","",COUNTIF($K$2:$K$3001,"&lt;"&amp;K314)+1)</f>
        <v/>
      </c>
    </row>
    <row r="315">
      <c r="A315" s="5">
        <f>IF($J315="","",IF($J315&lt;=1500,INDEX('Daily Sale entry '!$X$1:$X$1501,$J315+1),INDEX('Daily Sale entry '!$V$1:$V$1501,$J315-1499)))</f>
        <v/>
      </c>
      <c r="B315">
        <f>IF($J315="","",IF($J315&lt;=1500,INDEX('Daily Sale entry '!$Y$1:$Y$1501,$J315+1)&amp;"","Buyer cheque banked 买家支票存入"&amp;IF(INDEX('Daily Sale entry '!$U$1:$U$1501,$J315-1499)="","", " - "&amp;INDEX('Daily Sale entry '!$U$1:$U$1501,$J315-1499))))</f>
        <v/>
      </c>
      <c r="C315">
        <f>IF($J315="","",IF($J315&lt;=1500,INDEX('Daily Sale entry '!$Z$1:$Z$1501,$J315+1)&amp;"","Cheque deposit 支票存入 (buyer 买家)"))</f>
        <v/>
      </c>
      <c r="D315">
        <f>IF($J315="","",IF($J315&lt;=1500,INDEX('Daily Sale entry '!$AA$1:$AA$1501,$J315+1)&amp;"",INDEX('Daily Sale entry '!$P$1:$P$1501,$J315-1499)&amp;""))</f>
        <v/>
      </c>
      <c r="E315">
        <f>IF($J315="","",IF($J315&lt;=1500,IF(N(INDEX('Daily Sale entry '!$AB$1:$AB$1501,$J315+1))=0,"",INDEX('Daily Sale entry '!$AB$1:$AB$1501,$J315+1)),1))</f>
        <v/>
      </c>
      <c r="F315" s="6">
        <f>IF($J315="","",IF($J315&lt;=1500,N(INDEX('Daily Sale entry '!$AC$1:$AC$1501,$J315+1))-IF(AND('Opening Balance'!$B$15=1,INDEX('Daily Sale entry '!$Z$1:$Z$1501,$J315+1)="Online collection 网上收款",INDEX('Daily Sale entry '!$AA$1:$AA$1501,$J315+1)&lt;&gt;""),N(INDEX('Daily Sale entry '!$AC$1:$AC$1501,$J315+1))-TRUNC(N(INDEX('Daily Sale entry '!$AC$1:$AC$1501,$J315+1))),0),N(INDEX('Daily Sale entry '!$S$1:$S$1501,$J315-1499))-'Opening Balance'!$B$15*(N(INDEX('Daily Sale entry '!$S$1:$S$1501,$J315-1499))-TRUNC(N(INDEX('Daily Sale entry '!$S$1:$S$1501,$J315-1499))))))</f>
        <v/>
      </c>
      <c r="G315" s="6">
        <f>IF($J315="","",IF($J315&lt;=1500,N(INDEX('Daily Sale entry '!$AD$1:$AD$1501,$J315+1)),0))</f>
        <v/>
      </c>
      <c r="H315" s="6">
        <f>IF($J315="","",ROUND('Opening Balance'!$B$4+SUM($F$2:F315)-SUM($G$2:G315),2))</f>
        <v/>
      </c>
      <c r="J315" s="21">
        <f>IFERROR(MATCH(ROW()-1,$L$2:$L$3001,0),"")</f>
        <v/>
      </c>
      <c r="K315" s="34">
        <f>IF(AND('Daily Sale entry '!X315&lt;&gt;"",OR('Daily Sale entry '!AC315&lt;&gt;"",'Daily Sale entry '!AD315&lt;&gt;"")),'Daily Sale entry '!X315+ROW()/10000000,"")</f>
        <v/>
      </c>
      <c r="L315" s="21">
        <f>IF(K315="","",COUNTIF($K$2:$K$3001,"&lt;"&amp;K315)+1)</f>
        <v/>
      </c>
    </row>
    <row r="316">
      <c r="A316" s="5">
        <f>IF($J316="","",IF($J316&lt;=1500,INDEX('Daily Sale entry '!$X$1:$X$1501,$J316+1),INDEX('Daily Sale entry '!$V$1:$V$1501,$J316-1499)))</f>
        <v/>
      </c>
      <c r="B316">
        <f>IF($J316="","",IF($J316&lt;=1500,INDEX('Daily Sale entry '!$Y$1:$Y$1501,$J316+1)&amp;"","Buyer cheque banked 买家支票存入"&amp;IF(INDEX('Daily Sale entry '!$U$1:$U$1501,$J316-1499)="","", " - "&amp;INDEX('Daily Sale entry '!$U$1:$U$1501,$J316-1499))))</f>
        <v/>
      </c>
      <c r="C316">
        <f>IF($J316="","",IF($J316&lt;=1500,INDEX('Daily Sale entry '!$Z$1:$Z$1501,$J316+1)&amp;"","Cheque deposit 支票存入 (buyer 买家)"))</f>
        <v/>
      </c>
      <c r="D316">
        <f>IF($J316="","",IF($J316&lt;=1500,INDEX('Daily Sale entry '!$AA$1:$AA$1501,$J316+1)&amp;"",INDEX('Daily Sale entry '!$P$1:$P$1501,$J316-1499)&amp;""))</f>
        <v/>
      </c>
      <c r="E316">
        <f>IF($J316="","",IF($J316&lt;=1500,IF(N(INDEX('Daily Sale entry '!$AB$1:$AB$1501,$J316+1))=0,"",INDEX('Daily Sale entry '!$AB$1:$AB$1501,$J316+1)),1))</f>
        <v/>
      </c>
      <c r="F316" s="6">
        <f>IF($J316="","",IF($J316&lt;=1500,N(INDEX('Daily Sale entry '!$AC$1:$AC$1501,$J316+1))-IF(AND('Opening Balance'!$B$15=1,INDEX('Daily Sale entry '!$Z$1:$Z$1501,$J316+1)="Online collection 网上收款",INDEX('Daily Sale entry '!$AA$1:$AA$1501,$J316+1)&lt;&gt;""),N(INDEX('Daily Sale entry '!$AC$1:$AC$1501,$J316+1))-TRUNC(N(INDEX('Daily Sale entry '!$AC$1:$AC$1501,$J316+1))),0),N(INDEX('Daily Sale entry '!$S$1:$S$1501,$J316-1499))-'Opening Balance'!$B$15*(N(INDEX('Daily Sale entry '!$S$1:$S$1501,$J316-1499))-TRUNC(N(INDEX('Daily Sale entry '!$S$1:$S$1501,$J316-1499))))))</f>
        <v/>
      </c>
      <c r="G316" s="6">
        <f>IF($J316="","",IF($J316&lt;=1500,N(INDEX('Daily Sale entry '!$AD$1:$AD$1501,$J316+1)),0))</f>
        <v/>
      </c>
      <c r="H316" s="6">
        <f>IF($J316="","",ROUND('Opening Balance'!$B$4+SUM($F$2:F316)-SUM($G$2:G316),2))</f>
        <v/>
      </c>
      <c r="J316" s="21">
        <f>IFERROR(MATCH(ROW()-1,$L$2:$L$3001,0),"")</f>
        <v/>
      </c>
      <c r="K316" s="34">
        <f>IF(AND('Daily Sale entry '!X316&lt;&gt;"",OR('Daily Sale entry '!AC316&lt;&gt;"",'Daily Sale entry '!AD316&lt;&gt;"")),'Daily Sale entry '!X316+ROW()/10000000,"")</f>
        <v/>
      </c>
      <c r="L316" s="21">
        <f>IF(K316="","",COUNTIF($K$2:$K$3001,"&lt;"&amp;K316)+1)</f>
        <v/>
      </c>
    </row>
    <row r="317">
      <c r="A317" s="5">
        <f>IF($J317="","",IF($J317&lt;=1500,INDEX('Daily Sale entry '!$X$1:$X$1501,$J317+1),INDEX('Daily Sale entry '!$V$1:$V$1501,$J317-1499)))</f>
        <v/>
      </c>
      <c r="B317">
        <f>IF($J317="","",IF($J317&lt;=1500,INDEX('Daily Sale entry '!$Y$1:$Y$1501,$J317+1)&amp;"","Buyer cheque banked 买家支票存入"&amp;IF(INDEX('Daily Sale entry '!$U$1:$U$1501,$J317-1499)="","", " - "&amp;INDEX('Daily Sale entry '!$U$1:$U$1501,$J317-1499))))</f>
        <v/>
      </c>
      <c r="C317">
        <f>IF($J317="","",IF($J317&lt;=1500,INDEX('Daily Sale entry '!$Z$1:$Z$1501,$J317+1)&amp;"","Cheque deposit 支票存入 (buyer 买家)"))</f>
        <v/>
      </c>
      <c r="D317">
        <f>IF($J317="","",IF($J317&lt;=1500,INDEX('Daily Sale entry '!$AA$1:$AA$1501,$J317+1)&amp;"",INDEX('Daily Sale entry '!$P$1:$P$1501,$J317-1499)&amp;""))</f>
        <v/>
      </c>
      <c r="E317">
        <f>IF($J317="","",IF($J317&lt;=1500,IF(N(INDEX('Daily Sale entry '!$AB$1:$AB$1501,$J317+1))=0,"",INDEX('Daily Sale entry '!$AB$1:$AB$1501,$J317+1)),1))</f>
        <v/>
      </c>
      <c r="F317" s="6">
        <f>IF($J317="","",IF($J317&lt;=1500,N(INDEX('Daily Sale entry '!$AC$1:$AC$1501,$J317+1))-IF(AND('Opening Balance'!$B$15=1,INDEX('Daily Sale entry '!$Z$1:$Z$1501,$J317+1)="Online collection 网上收款",INDEX('Daily Sale entry '!$AA$1:$AA$1501,$J317+1)&lt;&gt;""),N(INDEX('Daily Sale entry '!$AC$1:$AC$1501,$J317+1))-TRUNC(N(INDEX('Daily Sale entry '!$AC$1:$AC$1501,$J317+1))),0),N(INDEX('Daily Sale entry '!$S$1:$S$1501,$J317-1499))-'Opening Balance'!$B$15*(N(INDEX('Daily Sale entry '!$S$1:$S$1501,$J317-1499))-TRUNC(N(INDEX('Daily Sale entry '!$S$1:$S$1501,$J317-1499))))))</f>
        <v/>
      </c>
      <c r="G317" s="6">
        <f>IF($J317="","",IF($J317&lt;=1500,N(INDEX('Daily Sale entry '!$AD$1:$AD$1501,$J317+1)),0))</f>
        <v/>
      </c>
      <c r="H317" s="6">
        <f>IF($J317="","",ROUND('Opening Balance'!$B$4+SUM($F$2:F317)-SUM($G$2:G317),2))</f>
        <v/>
      </c>
      <c r="J317" s="21">
        <f>IFERROR(MATCH(ROW()-1,$L$2:$L$3001,0),"")</f>
        <v/>
      </c>
      <c r="K317" s="34">
        <f>IF(AND('Daily Sale entry '!X317&lt;&gt;"",OR('Daily Sale entry '!AC317&lt;&gt;"",'Daily Sale entry '!AD317&lt;&gt;"")),'Daily Sale entry '!X317+ROW()/10000000,"")</f>
        <v/>
      </c>
      <c r="L317" s="21">
        <f>IF(K317="","",COUNTIF($K$2:$K$3001,"&lt;"&amp;K317)+1)</f>
        <v/>
      </c>
    </row>
    <row r="318">
      <c r="A318" s="5">
        <f>IF($J318="","",IF($J318&lt;=1500,INDEX('Daily Sale entry '!$X$1:$X$1501,$J318+1),INDEX('Daily Sale entry '!$V$1:$V$1501,$J318-1499)))</f>
        <v/>
      </c>
      <c r="B318">
        <f>IF($J318="","",IF($J318&lt;=1500,INDEX('Daily Sale entry '!$Y$1:$Y$1501,$J318+1)&amp;"","Buyer cheque banked 买家支票存入"&amp;IF(INDEX('Daily Sale entry '!$U$1:$U$1501,$J318-1499)="","", " - "&amp;INDEX('Daily Sale entry '!$U$1:$U$1501,$J318-1499))))</f>
        <v/>
      </c>
      <c r="C318">
        <f>IF($J318="","",IF($J318&lt;=1500,INDEX('Daily Sale entry '!$Z$1:$Z$1501,$J318+1)&amp;"","Cheque deposit 支票存入 (buyer 买家)"))</f>
        <v/>
      </c>
      <c r="D318">
        <f>IF($J318="","",IF($J318&lt;=1500,INDEX('Daily Sale entry '!$AA$1:$AA$1501,$J318+1)&amp;"",INDEX('Daily Sale entry '!$P$1:$P$1501,$J318-1499)&amp;""))</f>
        <v/>
      </c>
      <c r="E318">
        <f>IF($J318="","",IF($J318&lt;=1500,IF(N(INDEX('Daily Sale entry '!$AB$1:$AB$1501,$J318+1))=0,"",INDEX('Daily Sale entry '!$AB$1:$AB$1501,$J318+1)),1))</f>
        <v/>
      </c>
      <c r="F318" s="6">
        <f>IF($J318="","",IF($J318&lt;=1500,N(INDEX('Daily Sale entry '!$AC$1:$AC$1501,$J318+1))-IF(AND('Opening Balance'!$B$15=1,INDEX('Daily Sale entry '!$Z$1:$Z$1501,$J318+1)="Online collection 网上收款",INDEX('Daily Sale entry '!$AA$1:$AA$1501,$J318+1)&lt;&gt;""),N(INDEX('Daily Sale entry '!$AC$1:$AC$1501,$J318+1))-TRUNC(N(INDEX('Daily Sale entry '!$AC$1:$AC$1501,$J318+1))),0),N(INDEX('Daily Sale entry '!$S$1:$S$1501,$J318-1499))-'Opening Balance'!$B$15*(N(INDEX('Daily Sale entry '!$S$1:$S$1501,$J318-1499))-TRUNC(N(INDEX('Daily Sale entry '!$S$1:$S$1501,$J318-1499))))))</f>
        <v/>
      </c>
      <c r="G318" s="6">
        <f>IF($J318="","",IF($J318&lt;=1500,N(INDEX('Daily Sale entry '!$AD$1:$AD$1501,$J318+1)),0))</f>
        <v/>
      </c>
      <c r="H318" s="6">
        <f>IF($J318="","",ROUND('Opening Balance'!$B$4+SUM($F$2:F318)-SUM($G$2:G318),2))</f>
        <v/>
      </c>
      <c r="J318" s="21">
        <f>IFERROR(MATCH(ROW()-1,$L$2:$L$3001,0),"")</f>
        <v/>
      </c>
      <c r="K318" s="34">
        <f>IF(AND('Daily Sale entry '!X318&lt;&gt;"",OR('Daily Sale entry '!AC318&lt;&gt;"",'Daily Sale entry '!AD318&lt;&gt;"")),'Daily Sale entry '!X318+ROW()/10000000,"")</f>
        <v/>
      </c>
      <c r="L318" s="21">
        <f>IF(K318="","",COUNTIF($K$2:$K$3001,"&lt;"&amp;K318)+1)</f>
        <v/>
      </c>
    </row>
    <row r="319">
      <c r="A319" s="5">
        <f>IF($J319="","",IF($J319&lt;=1500,INDEX('Daily Sale entry '!$X$1:$X$1501,$J319+1),INDEX('Daily Sale entry '!$V$1:$V$1501,$J319-1499)))</f>
        <v/>
      </c>
      <c r="B319">
        <f>IF($J319="","",IF($J319&lt;=1500,INDEX('Daily Sale entry '!$Y$1:$Y$1501,$J319+1)&amp;"","Buyer cheque banked 买家支票存入"&amp;IF(INDEX('Daily Sale entry '!$U$1:$U$1501,$J319-1499)="","", " - "&amp;INDEX('Daily Sale entry '!$U$1:$U$1501,$J319-1499))))</f>
        <v/>
      </c>
      <c r="C319">
        <f>IF($J319="","",IF($J319&lt;=1500,INDEX('Daily Sale entry '!$Z$1:$Z$1501,$J319+1)&amp;"","Cheque deposit 支票存入 (buyer 买家)"))</f>
        <v/>
      </c>
      <c r="D319">
        <f>IF($J319="","",IF($J319&lt;=1500,INDEX('Daily Sale entry '!$AA$1:$AA$1501,$J319+1)&amp;"",INDEX('Daily Sale entry '!$P$1:$P$1501,$J319-1499)&amp;""))</f>
        <v/>
      </c>
      <c r="E319">
        <f>IF($J319="","",IF($J319&lt;=1500,IF(N(INDEX('Daily Sale entry '!$AB$1:$AB$1501,$J319+1))=0,"",INDEX('Daily Sale entry '!$AB$1:$AB$1501,$J319+1)),1))</f>
        <v/>
      </c>
      <c r="F319" s="6">
        <f>IF($J319="","",IF($J319&lt;=1500,N(INDEX('Daily Sale entry '!$AC$1:$AC$1501,$J319+1))-IF(AND('Opening Balance'!$B$15=1,INDEX('Daily Sale entry '!$Z$1:$Z$1501,$J319+1)="Online collection 网上收款",INDEX('Daily Sale entry '!$AA$1:$AA$1501,$J319+1)&lt;&gt;""),N(INDEX('Daily Sale entry '!$AC$1:$AC$1501,$J319+1))-TRUNC(N(INDEX('Daily Sale entry '!$AC$1:$AC$1501,$J319+1))),0),N(INDEX('Daily Sale entry '!$S$1:$S$1501,$J319-1499))-'Opening Balance'!$B$15*(N(INDEX('Daily Sale entry '!$S$1:$S$1501,$J319-1499))-TRUNC(N(INDEX('Daily Sale entry '!$S$1:$S$1501,$J319-1499))))))</f>
        <v/>
      </c>
      <c r="G319" s="6">
        <f>IF($J319="","",IF($J319&lt;=1500,N(INDEX('Daily Sale entry '!$AD$1:$AD$1501,$J319+1)),0))</f>
        <v/>
      </c>
      <c r="H319" s="6">
        <f>IF($J319="","",ROUND('Opening Balance'!$B$4+SUM($F$2:F319)-SUM($G$2:G319),2))</f>
        <v/>
      </c>
      <c r="J319" s="21">
        <f>IFERROR(MATCH(ROW()-1,$L$2:$L$3001,0),"")</f>
        <v/>
      </c>
      <c r="K319" s="34">
        <f>IF(AND('Daily Sale entry '!X319&lt;&gt;"",OR('Daily Sale entry '!AC319&lt;&gt;"",'Daily Sale entry '!AD319&lt;&gt;"")),'Daily Sale entry '!X319+ROW()/10000000,"")</f>
        <v/>
      </c>
      <c r="L319" s="21">
        <f>IF(K319="","",COUNTIF($K$2:$K$3001,"&lt;"&amp;K319)+1)</f>
        <v/>
      </c>
    </row>
    <row r="320">
      <c r="A320" s="5">
        <f>IF($J320="","",IF($J320&lt;=1500,INDEX('Daily Sale entry '!$X$1:$X$1501,$J320+1),INDEX('Daily Sale entry '!$V$1:$V$1501,$J320-1499)))</f>
        <v/>
      </c>
      <c r="B320">
        <f>IF($J320="","",IF($J320&lt;=1500,INDEX('Daily Sale entry '!$Y$1:$Y$1501,$J320+1)&amp;"","Buyer cheque banked 买家支票存入"&amp;IF(INDEX('Daily Sale entry '!$U$1:$U$1501,$J320-1499)="","", " - "&amp;INDEX('Daily Sale entry '!$U$1:$U$1501,$J320-1499))))</f>
        <v/>
      </c>
      <c r="C320">
        <f>IF($J320="","",IF($J320&lt;=1500,INDEX('Daily Sale entry '!$Z$1:$Z$1501,$J320+1)&amp;"","Cheque deposit 支票存入 (buyer 买家)"))</f>
        <v/>
      </c>
      <c r="D320">
        <f>IF($J320="","",IF($J320&lt;=1500,INDEX('Daily Sale entry '!$AA$1:$AA$1501,$J320+1)&amp;"",INDEX('Daily Sale entry '!$P$1:$P$1501,$J320-1499)&amp;""))</f>
        <v/>
      </c>
      <c r="E320">
        <f>IF($J320="","",IF($J320&lt;=1500,IF(N(INDEX('Daily Sale entry '!$AB$1:$AB$1501,$J320+1))=0,"",INDEX('Daily Sale entry '!$AB$1:$AB$1501,$J320+1)),1))</f>
        <v/>
      </c>
      <c r="F320" s="6">
        <f>IF($J320="","",IF($J320&lt;=1500,N(INDEX('Daily Sale entry '!$AC$1:$AC$1501,$J320+1))-IF(AND('Opening Balance'!$B$15=1,INDEX('Daily Sale entry '!$Z$1:$Z$1501,$J320+1)="Online collection 网上收款",INDEX('Daily Sale entry '!$AA$1:$AA$1501,$J320+1)&lt;&gt;""),N(INDEX('Daily Sale entry '!$AC$1:$AC$1501,$J320+1))-TRUNC(N(INDEX('Daily Sale entry '!$AC$1:$AC$1501,$J320+1))),0),N(INDEX('Daily Sale entry '!$S$1:$S$1501,$J320-1499))-'Opening Balance'!$B$15*(N(INDEX('Daily Sale entry '!$S$1:$S$1501,$J320-1499))-TRUNC(N(INDEX('Daily Sale entry '!$S$1:$S$1501,$J320-1499))))))</f>
        <v/>
      </c>
      <c r="G320" s="6">
        <f>IF($J320="","",IF($J320&lt;=1500,N(INDEX('Daily Sale entry '!$AD$1:$AD$1501,$J320+1)),0))</f>
        <v/>
      </c>
      <c r="H320" s="6">
        <f>IF($J320="","",ROUND('Opening Balance'!$B$4+SUM($F$2:F320)-SUM($G$2:G320),2))</f>
        <v/>
      </c>
      <c r="J320" s="21">
        <f>IFERROR(MATCH(ROW()-1,$L$2:$L$3001,0),"")</f>
        <v/>
      </c>
      <c r="K320" s="34">
        <f>IF(AND('Daily Sale entry '!X320&lt;&gt;"",OR('Daily Sale entry '!AC320&lt;&gt;"",'Daily Sale entry '!AD320&lt;&gt;"")),'Daily Sale entry '!X320+ROW()/10000000,"")</f>
        <v/>
      </c>
      <c r="L320" s="21">
        <f>IF(K320="","",COUNTIF($K$2:$K$3001,"&lt;"&amp;K320)+1)</f>
        <v/>
      </c>
    </row>
    <row r="321">
      <c r="A321" s="5">
        <f>IF($J321="","",IF($J321&lt;=1500,INDEX('Daily Sale entry '!$X$1:$X$1501,$J321+1),INDEX('Daily Sale entry '!$V$1:$V$1501,$J321-1499)))</f>
        <v/>
      </c>
      <c r="B321">
        <f>IF($J321="","",IF($J321&lt;=1500,INDEX('Daily Sale entry '!$Y$1:$Y$1501,$J321+1)&amp;"","Buyer cheque banked 买家支票存入"&amp;IF(INDEX('Daily Sale entry '!$U$1:$U$1501,$J321-1499)="","", " - "&amp;INDEX('Daily Sale entry '!$U$1:$U$1501,$J321-1499))))</f>
        <v/>
      </c>
      <c r="C321">
        <f>IF($J321="","",IF($J321&lt;=1500,INDEX('Daily Sale entry '!$Z$1:$Z$1501,$J321+1)&amp;"","Cheque deposit 支票存入 (buyer 买家)"))</f>
        <v/>
      </c>
      <c r="D321">
        <f>IF($J321="","",IF($J321&lt;=1500,INDEX('Daily Sale entry '!$AA$1:$AA$1501,$J321+1)&amp;"",INDEX('Daily Sale entry '!$P$1:$P$1501,$J321-1499)&amp;""))</f>
        <v/>
      </c>
      <c r="E321">
        <f>IF($J321="","",IF($J321&lt;=1500,IF(N(INDEX('Daily Sale entry '!$AB$1:$AB$1501,$J321+1))=0,"",INDEX('Daily Sale entry '!$AB$1:$AB$1501,$J321+1)),1))</f>
        <v/>
      </c>
      <c r="F321" s="6">
        <f>IF($J321="","",IF($J321&lt;=1500,N(INDEX('Daily Sale entry '!$AC$1:$AC$1501,$J321+1))-IF(AND('Opening Balance'!$B$15=1,INDEX('Daily Sale entry '!$Z$1:$Z$1501,$J321+1)="Online collection 网上收款",INDEX('Daily Sale entry '!$AA$1:$AA$1501,$J321+1)&lt;&gt;""),N(INDEX('Daily Sale entry '!$AC$1:$AC$1501,$J321+1))-TRUNC(N(INDEX('Daily Sale entry '!$AC$1:$AC$1501,$J321+1))),0),N(INDEX('Daily Sale entry '!$S$1:$S$1501,$J321-1499))-'Opening Balance'!$B$15*(N(INDEX('Daily Sale entry '!$S$1:$S$1501,$J321-1499))-TRUNC(N(INDEX('Daily Sale entry '!$S$1:$S$1501,$J321-1499))))))</f>
        <v/>
      </c>
      <c r="G321" s="6">
        <f>IF($J321="","",IF($J321&lt;=1500,N(INDEX('Daily Sale entry '!$AD$1:$AD$1501,$J321+1)),0))</f>
        <v/>
      </c>
      <c r="H321" s="6">
        <f>IF($J321="","",ROUND('Opening Balance'!$B$4+SUM($F$2:F321)-SUM($G$2:G321),2))</f>
        <v/>
      </c>
      <c r="J321" s="21">
        <f>IFERROR(MATCH(ROW()-1,$L$2:$L$3001,0),"")</f>
        <v/>
      </c>
      <c r="K321" s="34">
        <f>IF(AND('Daily Sale entry '!X321&lt;&gt;"",OR('Daily Sale entry '!AC321&lt;&gt;"",'Daily Sale entry '!AD321&lt;&gt;"")),'Daily Sale entry '!X321+ROW()/10000000,"")</f>
        <v/>
      </c>
      <c r="L321" s="21">
        <f>IF(K321="","",COUNTIF($K$2:$K$3001,"&lt;"&amp;K321)+1)</f>
        <v/>
      </c>
    </row>
    <row r="322">
      <c r="A322" s="5">
        <f>IF($J322="","",IF($J322&lt;=1500,INDEX('Daily Sale entry '!$X$1:$X$1501,$J322+1),INDEX('Daily Sale entry '!$V$1:$V$1501,$J322-1499)))</f>
        <v/>
      </c>
      <c r="B322">
        <f>IF($J322="","",IF($J322&lt;=1500,INDEX('Daily Sale entry '!$Y$1:$Y$1501,$J322+1)&amp;"","Buyer cheque banked 买家支票存入"&amp;IF(INDEX('Daily Sale entry '!$U$1:$U$1501,$J322-1499)="","", " - "&amp;INDEX('Daily Sale entry '!$U$1:$U$1501,$J322-1499))))</f>
        <v/>
      </c>
      <c r="C322">
        <f>IF($J322="","",IF($J322&lt;=1500,INDEX('Daily Sale entry '!$Z$1:$Z$1501,$J322+1)&amp;"","Cheque deposit 支票存入 (buyer 买家)"))</f>
        <v/>
      </c>
      <c r="D322">
        <f>IF($J322="","",IF($J322&lt;=1500,INDEX('Daily Sale entry '!$AA$1:$AA$1501,$J322+1)&amp;"",INDEX('Daily Sale entry '!$P$1:$P$1501,$J322-1499)&amp;""))</f>
        <v/>
      </c>
      <c r="E322">
        <f>IF($J322="","",IF($J322&lt;=1500,IF(N(INDEX('Daily Sale entry '!$AB$1:$AB$1501,$J322+1))=0,"",INDEX('Daily Sale entry '!$AB$1:$AB$1501,$J322+1)),1))</f>
        <v/>
      </c>
      <c r="F322" s="6">
        <f>IF($J322="","",IF($J322&lt;=1500,N(INDEX('Daily Sale entry '!$AC$1:$AC$1501,$J322+1))-IF(AND('Opening Balance'!$B$15=1,INDEX('Daily Sale entry '!$Z$1:$Z$1501,$J322+1)="Online collection 网上收款",INDEX('Daily Sale entry '!$AA$1:$AA$1501,$J322+1)&lt;&gt;""),N(INDEX('Daily Sale entry '!$AC$1:$AC$1501,$J322+1))-TRUNC(N(INDEX('Daily Sale entry '!$AC$1:$AC$1501,$J322+1))),0),N(INDEX('Daily Sale entry '!$S$1:$S$1501,$J322-1499))-'Opening Balance'!$B$15*(N(INDEX('Daily Sale entry '!$S$1:$S$1501,$J322-1499))-TRUNC(N(INDEX('Daily Sale entry '!$S$1:$S$1501,$J322-1499))))))</f>
        <v/>
      </c>
      <c r="G322" s="6">
        <f>IF($J322="","",IF($J322&lt;=1500,N(INDEX('Daily Sale entry '!$AD$1:$AD$1501,$J322+1)),0))</f>
        <v/>
      </c>
      <c r="H322" s="6">
        <f>IF($J322="","",ROUND('Opening Balance'!$B$4+SUM($F$2:F322)-SUM($G$2:G322),2))</f>
        <v/>
      </c>
      <c r="J322" s="21">
        <f>IFERROR(MATCH(ROW()-1,$L$2:$L$3001,0),"")</f>
        <v/>
      </c>
      <c r="K322" s="34">
        <f>IF(AND('Daily Sale entry '!X322&lt;&gt;"",OR('Daily Sale entry '!AC322&lt;&gt;"",'Daily Sale entry '!AD322&lt;&gt;"")),'Daily Sale entry '!X322+ROW()/10000000,"")</f>
        <v/>
      </c>
      <c r="L322" s="21">
        <f>IF(K322="","",COUNTIF($K$2:$K$3001,"&lt;"&amp;K322)+1)</f>
        <v/>
      </c>
    </row>
    <row r="323">
      <c r="A323" s="5">
        <f>IF($J323="","",IF($J323&lt;=1500,INDEX('Daily Sale entry '!$X$1:$X$1501,$J323+1),INDEX('Daily Sale entry '!$V$1:$V$1501,$J323-1499)))</f>
        <v/>
      </c>
      <c r="B323">
        <f>IF($J323="","",IF($J323&lt;=1500,INDEX('Daily Sale entry '!$Y$1:$Y$1501,$J323+1)&amp;"","Buyer cheque banked 买家支票存入"&amp;IF(INDEX('Daily Sale entry '!$U$1:$U$1501,$J323-1499)="","", " - "&amp;INDEX('Daily Sale entry '!$U$1:$U$1501,$J323-1499))))</f>
        <v/>
      </c>
      <c r="C323">
        <f>IF($J323="","",IF($J323&lt;=1500,INDEX('Daily Sale entry '!$Z$1:$Z$1501,$J323+1)&amp;"","Cheque deposit 支票存入 (buyer 买家)"))</f>
        <v/>
      </c>
      <c r="D323">
        <f>IF($J323="","",IF($J323&lt;=1500,INDEX('Daily Sale entry '!$AA$1:$AA$1501,$J323+1)&amp;"",INDEX('Daily Sale entry '!$P$1:$P$1501,$J323-1499)&amp;""))</f>
        <v/>
      </c>
      <c r="E323">
        <f>IF($J323="","",IF($J323&lt;=1500,IF(N(INDEX('Daily Sale entry '!$AB$1:$AB$1501,$J323+1))=0,"",INDEX('Daily Sale entry '!$AB$1:$AB$1501,$J323+1)),1))</f>
        <v/>
      </c>
      <c r="F323" s="6">
        <f>IF($J323="","",IF($J323&lt;=1500,N(INDEX('Daily Sale entry '!$AC$1:$AC$1501,$J323+1))-IF(AND('Opening Balance'!$B$15=1,INDEX('Daily Sale entry '!$Z$1:$Z$1501,$J323+1)="Online collection 网上收款",INDEX('Daily Sale entry '!$AA$1:$AA$1501,$J323+1)&lt;&gt;""),N(INDEX('Daily Sale entry '!$AC$1:$AC$1501,$J323+1))-TRUNC(N(INDEX('Daily Sale entry '!$AC$1:$AC$1501,$J323+1))),0),N(INDEX('Daily Sale entry '!$S$1:$S$1501,$J323-1499))-'Opening Balance'!$B$15*(N(INDEX('Daily Sale entry '!$S$1:$S$1501,$J323-1499))-TRUNC(N(INDEX('Daily Sale entry '!$S$1:$S$1501,$J323-1499))))))</f>
        <v/>
      </c>
      <c r="G323" s="6">
        <f>IF($J323="","",IF($J323&lt;=1500,N(INDEX('Daily Sale entry '!$AD$1:$AD$1501,$J323+1)),0))</f>
        <v/>
      </c>
      <c r="H323" s="6">
        <f>IF($J323="","",ROUND('Opening Balance'!$B$4+SUM($F$2:F323)-SUM($G$2:G323),2))</f>
        <v/>
      </c>
      <c r="J323" s="21">
        <f>IFERROR(MATCH(ROW()-1,$L$2:$L$3001,0),"")</f>
        <v/>
      </c>
      <c r="K323" s="34">
        <f>IF(AND('Daily Sale entry '!X323&lt;&gt;"",OR('Daily Sale entry '!AC323&lt;&gt;"",'Daily Sale entry '!AD323&lt;&gt;"")),'Daily Sale entry '!X323+ROW()/10000000,"")</f>
        <v/>
      </c>
      <c r="L323" s="21">
        <f>IF(K323="","",COUNTIF($K$2:$K$3001,"&lt;"&amp;K323)+1)</f>
        <v/>
      </c>
    </row>
    <row r="324">
      <c r="A324" s="5">
        <f>IF($J324="","",IF($J324&lt;=1500,INDEX('Daily Sale entry '!$X$1:$X$1501,$J324+1),INDEX('Daily Sale entry '!$V$1:$V$1501,$J324-1499)))</f>
        <v/>
      </c>
      <c r="B324">
        <f>IF($J324="","",IF($J324&lt;=1500,INDEX('Daily Sale entry '!$Y$1:$Y$1501,$J324+1)&amp;"","Buyer cheque banked 买家支票存入"&amp;IF(INDEX('Daily Sale entry '!$U$1:$U$1501,$J324-1499)="","", " - "&amp;INDEX('Daily Sale entry '!$U$1:$U$1501,$J324-1499))))</f>
        <v/>
      </c>
      <c r="C324">
        <f>IF($J324="","",IF($J324&lt;=1500,INDEX('Daily Sale entry '!$Z$1:$Z$1501,$J324+1)&amp;"","Cheque deposit 支票存入 (buyer 买家)"))</f>
        <v/>
      </c>
      <c r="D324">
        <f>IF($J324="","",IF($J324&lt;=1500,INDEX('Daily Sale entry '!$AA$1:$AA$1501,$J324+1)&amp;"",INDEX('Daily Sale entry '!$P$1:$P$1501,$J324-1499)&amp;""))</f>
        <v/>
      </c>
      <c r="E324">
        <f>IF($J324="","",IF($J324&lt;=1500,IF(N(INDEX('Daily Sale entry '!$AB$1:$AB$1501,$J324+1))=0,"",INDEX('Daily Sale entry '!$AB$1:$AB$1501,$J324+1)),1))</f>
        <v/>
      </c>
      <c r="F324" s="6">
        <f>IF($J324="","",IF($J324&lt;=1500,N(INDEX('Daily Sale entry '!$AC$1:$AC$1501,$J324+1))-IF(AND('Opening Balance'!$B$15=1,INDEX('Daily Sale entry '!$Z$1:$Z$1501,$J324+1)="Online collection 网上收款",INDEX('Daily Sale entry '!$AA$1:$AA$1501,$J324+1)&lt;&gt;""),N(INDEX('Daily Sale entry '!$AC$1:$AC$1501,$J324+1))-TRUNC(N(INDEX('Daily Sale entry '!$AC$1:$AC$1501,$J324+1))),0),N(INDEX('Daily Sale entry '!$S$1:$S$1501,$J324-1499))-'Opening Balance'!$B$15*(N(INDEX('Daily Sale entry '!$S$1:$S$1501,$J324-1499))-TRUNC(N(INDEX('Daily Sale entry '!$S$1:$S$1501,$J324-1499))))))</f>
        <v/>
      </c>
      <c r="G324" s="6">
        <f>IF($J324="","",IF($J324&lt;=1500,N(INDEX('Daily Sale entry '!$AD$1:$AD$1501,$J324+1)),0))</f>
        <v/>
      </c>
      <c r="H324" s="6">
        <f>IF($J324="","",ROUND('Opening Balance'!$B$4+SUM($F$2:F324)-SUM($G$2:G324),2))</f>
        <v/>
      </c>
      <c r="J324" s="21">
        <f>IFERROR(MATCH(ROW()-1,$L$2:$L$3001,0),"")</f>
        <v/>
      </c>
      <c r="K324" s="34">
        <f>IF(AND('Daily Sale entry '!X324&lt;&gt;"",OR('Daily Sale entry '!AC324&lt;&gt;"",'Daily Sale entry '!AD324&lt;&gt;"")),'Daily Sale entry '!X324+ROW()/10000000,"")</f>
        <v/>
      </c>
      <c r="L324" s="21">
        <f>IF(K324="","",COUNTIF($K$2:$K$3001,"&lt;"&amp;K324)+1)</f>
        <v/>
      </c>
    </row>
    <row r="325">
      <c r="A325" s="5">
        <f>IF($J325="","",IF($J325&lt;=1500,INDEX('Daily Sale entry '!$X$1:$X$1501,$J325+1),INDEX('Daily Sale entry '!$V$1:$V$1501,$J325-1499)))</f>
        <v/>
      </c>
      <c r="B325">
        <f>IF($J325="","",IF($J325&lt;=1500,INDEX('Daily Sale entry '!$Y$1:$Y$1501,$J325+1)&amp;"","Buyer cheque banked 买家支票存入"&amp;IF(INDEX('Daily Sale entry '!$U$1:$U$1501,$J325-1499)="","", " - "&amp;INDEX('Daily Sale entry '!$U$1:$U$1501,$J325-1499))))</f>
        <v/>
      </c>
      <c r="C325">
        <f>IF($J325="","",IF($J325&lt;=1500,INDEX('Daily Sale entry '!$Z$1:$Z$1501,$J325+1)&amp;"","Cheque deposit 支票存入 (buyer 买家)"))</f>
        <v/>
      </c>
      <c r="D325">
        <f>IF($J325="","",IF($J325&lt;=1500,INDEX('Daily Sale entry '!$AA$1:$AA$1501,$J325+1)&amp;"",INDEX('Daily Sale entry '!$P$1:$P$1501,$J325-1499)&amp;""))</f>
        <v/>
      </c>
      <c r="E325">
        <f>IF($J325="","",IF($J325&lt;=1500,IF(N(INDEX('Daily Sale entry '!$AB$1:$AB$1501,$J325+1))=0,"",INDEX('Daily Sale entry '!$AB$1:$AB$1501,$J325+1)),1))</f>
        <v/>
      </c>
      <c r="F325" s="6">
        <f>IF($J325="","",IF($J325&lt;=1500,N(INDEX('Daily Sale entry '!$AC$1:$AC$1501,$J325+1))-IF(AND('Opening Balance'!$B$15=1,INDEX('Daily Sale entry '!$Z$1:$Z$1501,$J325+1)="Online collection 网上收款",INDEX('Daily Sale entry '!$AA$1:$AA$1501,$J325+1)&lt;&gt;""),N(INDEX('Daily Sale entry '!$AC$1:$AC$1501,$J325+1))-TRUNC(N(INDEX('Daily Sale entry '!$AC$1:$AC$1501,$J325+1))),0),N(INDEX('Daily Sale entry '!$S$1:$S$1501,$J325-1499))-'Opening Balance'!$B$15*(N(INDEX('Daily Sale entry '!$S$1:$S$1501,$J325-1499))-TRUNC(N(INDEX('Daily Sale entry '!$S$1:$S$1501,$J325-1499))))))</f>
        <v/>
      </c>
      <c r="G325" s="6">
        <f>IF($J325="","",IF($J325&lt;=1500,N(INDEX('Daily Sale entry '!$AD$1:$AD$1501,$J325+1)),0))</f>
        <v/>
      </c>
      <c r="H325" s="6">
        <f>IF($J325="","",ROUND('Opening Balance'!$B$4+SUM($F$2:F325)-SUM($G$2:G325),2))</f>
        <v/>
      </c>
      <c r="J325" s="21">
        <f>IFERROR(MATCH(ROW()-1,$L$2:$L$3001,0),"")</f>
        <v/>
      </c>
      <c r="K325" s="34">
        <f>IF(AND('Daily Sale entry '!X325&lt;&gt;"",OR('Daily Sale entry '!AC325&lt;&gt;"",'Daily Sale entry '!AD325&lt;&gt;"")),'Daily Sale entry '!X325+ROW()/10000000,"")</f>
        <v/>
      </c>
      <c r="L325" s="21">
        <f>IF(K325="","",COUNTIF($K$2:$K$3001,"&lt;"&amp;K325)+1)</f>
        <v/>
      </c>
    </row>
    <row r="326">
      <c r="A326" s="5">
        <f>IF($J326="","",IF($J326&lt;=1500,INDEX('Daily Sale entry '!$X$1:$X$1501,$J326+1),INDEX('Daily Sale entry '!$V$1:$V$1501,$J326-1499)))</f>
        <v/>
      </c>
      <c r="B326">
        <f>IF($J326="","",IF($J326&lt;=1500,INDEX('Daily Sale entry '!$Y$1:$Y$1501,$J326+1)&amp;"","Buyer cheque banked 买家支票存入"&amp;IF(INDEX('Daily Sale entry '!$U$1:$U$1501,$J326-1499)="","", " - "&amp;INDEX('Daily Sale entry '!$U$1:$U$1501,$J326-1499))))</f>
        <v/>
      </c>
      <c r="C326">
        <f>IF($J326="","",IF($J326&lt;=1500,INDEX('Daily Sale entry '!$Z$1:$Z$1501,$J326+1)&amp;"","Cheque deposit 支票存入 (buyer 买家)"))</f>
        <v/>
      </c>
      <c r="D326">
        <f>IF($J326="","",IF($J326&lt;=1500,INDEX('Daily Sale entry '!$AA$1:$AA$1501,$J326+1)&amp;"",INDEX('Daily Sale entry '!$P$1:$P$1501,$J326-1499)&amp;""))</f>
        <v/>
      </c>
      <c r="E326">
        <f>IF($J326="","",IF($J326&lt;=1500,IF(N(INDEX('Daily Sale entry '!$AB$1:$AB$1501,$J326+1))=0,"",INDEX('Daily Sale entry '!$AB$1:$AB$1501,$J326+1)),1))</f>
        <v/>
      </c>
      <c r="F326" s="6">
        <f>IF($J326="","",IF($J326&lt;=1500,N(INDEX('Daily Sale entry '!$AC$1:$AC$1501,$J326+1))-IF(AND('Opening Balance'!$B$15=1,INDEX('Daily Sale entry '!$Z$1:$Z$1501,$J326+1)="Online collection 网上收款",INDEX('Daily Sale entry '!$AA$1:$AA$1501,$J326+1)&lt;&gt;""),N(INDEX('Daily Sale entry '!$AC$1:$AC$1501,$J326+1))-TRUNC(N(INDEX('Daily Sale entry '!$AC$1:$AC$1501,$J326+1))),0),N(INDEX('Daily Sale entry '!$S$1:$S$1501,$J326-1499))-'Opening Balance'!$B$15*(N(INDEX('Daily Sale entry '!$S$1:$S$1501,$J326-1499))-TRUNC(N(INDEX('Daily Sale entry '!$S$1:$S$1501,$J326-1499))))))</f>
        <v/>
      </c>
      <c r="G326" s="6">
        <f>IF($J326="","",IF($J326&lt;=1500,N(INDEX('Daily Sale entry '!$AD$1:$AD$1501,$J326+1)),0))</f>
        <v/>
      </c>
      <c r="H326" s="6">
        <f>IF($J326="","",ROUND('Opening Balance'!$B$4+SUM($F$2:F326)-SUM($G$2:G326),2))</f>
        <v/>
      </c>
      <c r="J326" s="21">
        <f>IFERROR(MATCH(ROW()-1,$L$2:$L$3001,0),"")</f>
        <v/>
      </c>
      <c r="K326" s="34">
        <f>IF(AND('Daily Sale entry '!X326&lt;&gt;"",OR('Daily Sale entry '!AC326&lt;&gt;"",'Daily Sale entry '!AD326&lt;&gt;"")),'Daily Sale entry '!X326+ROW()/10000000,"")</f>
        <v/>
      </c>
      <c r="L326" s="21">
        <f>IF(K326="","",COUNTIF($K$2:$K$3001,"&lt;"&amp;K326)+1)</f>
        <v/>
      </c>
    </row>
    <row r="327">
      <c r="A327" s="5">
        <f>IF($J327="","",IF($J327&lt;=1500,INDEX('Daily Sale entry '!$X$1:$X$1501,$J327+1),INDEX('Daily Sale entry '!$V$1:$V$1501,$J327-1499)))</f>
        <v/>
      </c>
      <c r="B327">
        <f>IF($J327="","",IF($J327&lt;=1500,INDEX('Daily Sale entry '!$Y$1:$Y$1501,$J327+1)&amp;"","Buyer cheque banked 买家支票存入"&amp;IF(INDEX('Daily Sale entry '!$U$1:$U$1501,$J327-1499)="","", " - "&amp;INDEX('Daily Sale entry '!$U$1:$U$1501,$J327-1499))))</f>
        <v/>
      </c>
      <c r="C327">
        <f>IF($J327="","",IF($J327&lt;=1500,INDEX('Daily Sale entry '!$Z$1:$Z$1501,$J327+1)&amp;"","Cheque deposit 支票存入 (buyer 买家)"))</f>
        <v/>
      </c>
      <c r="D327">
        <f>IF($J327="","",IF($J327&lt;=1500,INDEX('Daily Sale entry '!$AA$1:$AA$1501,$J327+1)&amp;"",INDEX('Daily Sale entry '!$P$1:$P$1501,$J327-1499)&amp;""))</f>
        <v/>
      </c>
      <c r="E327">
        <f>IF($J327="","",IF($J327&lt;=1500,IF(N(INDEX('Daily Sale entry '!$AB$1:$AB$1501,$J327+1))=0,"",INDEX('Daily Sale entry '!$AB$1:$AB$1501,$J327+1)),1))</f>
        <v/>
      </c>
      <c r="F327" s="6">
        <f>IF($J327="","",IF($J327&lt;=1500,N(INDEX('Daily Sale entry '!$AC$1:$AC$1501,$J327+1))-IF(AND('Opening Balance'!$B$15=1,INDEX('Daily Sale entry '!$Z$1:$Z$1501,$J327+1)="Online collection 网上收款",INDEX('Daily Sale entry '!$AA$1:$AA$1501,$J327+1)&lt;&gt;""),N(INDEX('Daily Sale entry '!$AC$1:$AC$1501,$J327+1))-TRUNC(N(INDEX('Daily Sale entry '!$AC$1:$AC$1501,$J327+1))),0),N(INDEX('Daily Sale entry '!$S$1:$S$1501,$J327-1499))-'Opening Balance'!$B$15*(N(INDEX('Daily Sale entry '!$S$1:$S$1501,$J327-1499))-TRUNC(N(INDEX('Daily Sale entry '!$S$1:$S$1501,$J327-1499))))))</f>
        <v/>
      </c>
      <c r="G327" s="6">
        <f>IF($J327="","",IF($J327&lt;=1500,N(INDEX('Daily Sale entry '!$AD$1:$AD$1501,$J327+1)),0))</f>
        <v/>
      </c>
      <c r="H327" s="6">
        <f>IF($J327="","",ROUND('Opening Balance'!$B$4+SUM($F$2:F327)-SUM($G$2:G327),2))</f>
        <v/>
      </c>
      <c r="J327" s="21">
        <f>IFERROR(MATCH(ROW()-1,$L$2:$L$3001,0),"")</f>
        <v/>
      </c>
      <c r="K327" s="34">
        <f>IF(AND('Daily Sale entry '!X327&lt;&gt;"",OR('Daily Sale entry '!AC327&lt;&gt;"",'Daily Sale entry '!AD327&lt;&gt;"")),'Daily Sale entry '!X327+ROW()/10000000,"")</f>
        <v/>
      </c>
      <c r="L327" s="21">
        <f>IF(K327="","",COUNTIF($K$2:$K$3001,"&lt;"&amp;K327)+1)</f>
        <v/>
      </c>
    </row>
    <row r="328">
      <c r="A328" s="5">
        <f>IF($J328="","",IF($J328&lt;=1500,INDEX('Daily Sale entry '!$X$1:$X$1501,$J328+1),INDEX('Daily Sale entry '!$V$1:$V$1501,$J328-1499)))</f>
        <v/>
      </c>
      <c r="B328">
        <f>IF($J328="","",IF($J328&lt;=1500,INDEX('Daily Sale entry '!$Y$1:$Y$1501,$J328+1)&amp;"","Buyer cheque banked 买家支票存入"&amp;IF(INDEX('Daily Sale entry '!$U$1:$U$1501,$J328-1499)="","", " - "&amp;INDEX('Daily Sale entry '!$U$1:$U$1501,$J328-1499))))</f>
        <v/>
      </c>
      <c r="C328">
        <f>IF($J328="","",IF($J328&lt;=1500,INDEX('Daily Sale entry '!$Z$1:$Z$1501,$J328+1)&amp;"","Cheque deposit 支票存入 (buyer 买家)"))</f>
        <v/>
      </c>
      <c r="D328">
        <f>IF($J328="","",IF($J328&lt;=1500,INDEX('Daily Sale entry '!$AA$1:$AA$1501,$J328+1)&amp;"",INDEX('Daily Sale entry '!$P$1:$P$1501,$J328-1499)&amp;""))</f>
        <v/>
      </c>
      <c r="E328">
        <f>IF($J328="","",IF($J328&lt;=1500,IF(N(INDEX('Daily Sale entry '!$AB$1:$AB$1501,$J328+1))=0,"",INDEX('Daily Sale entry '!$AB$1:$AB$1501,$J328+1)),1))</f>
        <v/>
      </c>
      <c r="F328" s="6">
        <f>IF($J328="","",IF($J328&lt;=1500,N(INDEX('Daily Sale entry '!$AC$1:$AC$1501,$J328+1))-IF(AND('Opening Balance'!$B$15=1,INDEX('Daily Sale entry '!$Z$1:$Z$1501,$J328+1)="Online collection 网上收款",INDEX('Daily Sale entry '!$AA$1:$AA$1501,$J328+1)&lt;&gt;""),N(INDEX('Daily Sale entry '!$AC$1:$AC$1501,$J328+1))-TRUNC(N(INDEX('Daily Sale entry '!$AC$1:$AC$1501,$J328+1))),0),N(INDEX('Daily Sale entry '!$S$1:$S$1501,$J328-1499))-'Opening Balance'!$B$15*(N(INDEX('Daily Sale entry '!$S$1:$S$1501,$J328-1499))-TRUNC(N(INDEX('Daily Sale entry '!$S$1:$S$1501,$J328-1499))))))</f>
        <v/>
      </c>
      <c r="G328" s="6">
        <f>IF($J328="","",IF($J328&lt;=1500,N(INDEX('Daily Sale entry '!$AD$1:$AD$1501,$J328+1)),0))</f>
        <v/>
      </c>
      <c r="H328" s="6">
        <f>IF($J328="","",ROUND('Opening Balance'!$B$4+SUM($F$2:F328)-SUM($G$2:G328),2))</f>
        <v/>
      </c>
      <c r="J328" s="21">
        <f>IFERROR(MATCH(ROW()-1,$L$2:$L$3001,0),"")</f>
        <v/>
      </c>
      <c r="K328" s="34">
        <f>IF(AND('Daily Sale entry '!X328&lt;&gt;"",OR('Daily Sale entry '!AC328&lt;&gt;"",'Daily Sale entry '!AD328&lt;&gt;"")),'Daily Sale entry '!X328+ROW()/10000000,"")</f>
        <v/>
      </c>
      <c r="L328" s="21">
        <f>IF(K328="","",COUNTIF($K$2:$K$3001,"&lt;"&amp;K328)+1)</f>
        <v/>
      </c>
    </row>
    <row r="329">
      <c r="A329" s="5">
        <f>IF($J329="","",IF($J329&lt;=1500,INDEX('Daily Sale entry '!$X$1:$X$1501,$J329+1),INDEX('Daily Sale entry '!$V$1:$V$1501,$J329-1499)))</f>
        <v/>
      </c>
      <c r="B329">
        <f>IF($J329="","",IF($J329&lt;=1500,INDEX('Daily Sale entry '!$Y$1:$Y$1501,$J329+1)&amp;"","Buyer cheque banked 买家支票存入"&amp;IF(INDEX('Daily Sale entry '!$U$1:$U$1501,$J329-1499)="","", " - "&amp;INDEX('Daily Sale entry '!$U$1:$U$1501,$J329-1499))))</f>
        <v/>
      </c>
      <c r="C329">
        <f>IF($J329="","",IF($J329&lt;=1500,INDEX('Daily Sale entry '!$Z$1:$Z$1501,$J329+1)&amp;"","Cheque deposit 支票存入 (buyer 买家)"))</f>
        <v/>
      </c>
      <c r="D329">
        <f>IF($J329="","",IF($J329&lt;=1500,INDEX('Daily Sale entry '!$AA$1:$AA$1501,$J329+1)&amp;"",INDEX('Daily Sale entry '!$P$1:$P$1501,$J329-1499)&amp;""))</f>
        <v/>
      </c>
      <c r="E329">
        <f>IF($J329="","",IF($J329&lt;=1500,IF(N(INDEX('Daily Sale entry '!$AB$1:$AB$1501,$J329+1))=0,"",INDEX('Daily Sale entry '!$AB$1:$AB$1501,$J329+1)),1))</f>
        <v/>
      </c>
      <c r="F329" s="6">
        <f>IF($J329="","",IF($J329&lt;=1500,N(INDEX('Daily Sale entry '!$AC$1:$AC$1501,$J329+1))-IF(AND('Opening Balance'!$B$15=1,INDEX('Daily Sale entry '!$Z$1:$Z$1501,$J329+1)="Online collection 网上收款",INDEX('Daily Sale entry '!$AA$1:$AA$1501,$J329+1)&lt;&gt;""),N(INDEX('Daily Sale entry '!$AC$1:$AC$1501,$J329+1))-TRUNC(N(INDEX('Daily Sale entry '!$AC$1:$AC$1501,$J329+1))),0),N(INDEX('Daily Sale entry '!$S$1:$S$1501,$J329-1499))-'Opening Balance'!$B$15*(N(INDEX('Daily Sale entry '!$S$1:$S$1501,$J329-1499))-TRUNC(N(INDEX('Daily Sale entry '!$S$1:$S$1501,$J329-1499))))))</f>
        <v/>
      </c>
      <c r="G329" s="6">
        <f>IF($J329="","",IF($J329&lt;=1500,N(INDEX('Daily Sale entry '!$AD$1:$AD$1501,$J329+1)),0))</f>
        <v/>
      </c>
      <c r="H329" s="6">
        <f>IF($J329="","",ROUND('Opening Balance'!$B$4+SUM($F$2:F329)-SUM($G$2:G329),2))</f>
        <v/>
      </c>
      <c r="J329" s="21">
        <f>IFERROR(MATCH(ROW()-1,$L$2:$L$3001,0),"")</f>
        <v/>
      </c>
      <c r="K329" s="34">
        <f>IF(AND('Daily Sale entry '!X329&lt;&gt;"",OR('Daily Sale entry '!AC329&lt;&gt;"",'Daily Sale entry '!AD329&lt;&gt;"")),'Daily Sale entry '!X329+ROW()/10000000,"")</f>
        <v/>
      </c>
      <c r="L329" s="21">
        <f>IF(K329="","",COUNTIF($K$2:$K$3001,"&lt;"&amp;K329)+1)</f>
        <v/>
      </c>
    </row>
    <row r="330">
      <c r="A330" s="5">
        <f>IF($J330="","",IF($J330&lt;=1500,INDEX('Daily Sale entry '!$X$1:$X$1501,$J330+1),INDEX('Daily Sale entry '!$V$1:$V$1501,$J330-1499)))</f>
        <v/>
      </c>
      <c r="B330">
        <f>IF($J330="","",IF($J330&lt;=1500,INDEX('Daily Sale entry '!$Y$1:$Y$1501,$J330+1)&amp;"","Buyer cheque banked 买家支票存入"&amp;IF(INDEX('Daily Sale entry '!$U$1:$U$1501,$J330-1499)="","", " - "&amp;INDEX('Daily Sale entry '!$U$1:$U$1501,$J330-1499))))</f>
        <v/>
      </c>
      <c r="C330">
        <f>IF($J330="","",IF($J330&lt;=1500,INDEX('Daily Sale entry '!$Z$1:$Z$1501,$J330+1)&amp;"","Cheque deposit 支票存入 (buyer 买家)"))</f>
        <v/>
      </c>
      <c r="D330">
        <f>IF($J330="","",IF($J330&lt;=1500,INDEX('Daily Sale entry '!$AA$1:$AA$1501,$J330+1)&amp;"",INDEX('Daily Sale entry '!$P$1:$P$1501,$J330-1499)&amp;""))</f>
        <v/>
      </c>
      <c r="E330">
        <f>IF($J330="","",IF($J330&lt;=1500,IF(N(INDEX('Daily Sale entry '!$AB$1:$AB$1501,$J330+1))=0,"",INDEX('Daily Sale entry '!$AB$1:$AB$1501,$J330+1)),1))</f>
        <v/>
      </c>
      <c r="F330" s="6">
        <f>IF($J330="","",IF($J330&lt;=1500,N(INDEX('Daily Sale entry '!$AC$1:$AC$1501,$J330+1))-IF(AND('Opening Balance'!$B$15=1,INDEX('Daily Sale entry '!$Z$1:$Z$1501,$J330+1)="Online collection 网上收款",INDEX('Daily Sale entry '!$AA$1:$AA$1501,$J330+1)&lt;&gt;""),N(INDEX('Daily Sale entry '!$AC$1:$AC$1501,$J330+1))-TRUNC(N(INDEX('Daily Sale entry '!$AC$1:$AC$1501,$J330+1))),0),N(INDEX('Daily Sale entry '!$S$1:$S$1501,$J330-1499))-'Opening Balance'!$B$15*(N(INDEX('Daily Sale entry '!$S$1:$S$1501,$J330-1499))-TRUNC(N(INDEX('Daily Sale entry '!$S$1:$S$1501,$J330-1499))))))</f>
        <v/>
      </c>
      <c r="G330" s="6">
        <f>IF($J330="","",IF($J330&lt;=1500,N(INDEX('Daily Sale entry '!$AD$1:$AD$1501,$J330+1)),0))</f>
        <v/>
      </c>
      <c r="H330" s="6">
        <f>IF($J330="","",ROUND('Opening Balance'!$B$4+SUM($F$2:F330)-SUM($G$2:G330),2))</f>
        <v/>
      </c>
      <c r="J330" s="21">
        <f>IFERROR(MATCH(ROW()-1,$L$2:$L$3001,0),"")</f>
        <v/>
      </c>
      <c r="K330" s="34">
        <f>IF(AND('Daily Sale entry '!X330&lt;&gt;"",OR('Daily Sale entry '!AC330&lt;&gt;"",'Daily Sale entry '!AD330&lt;&gt;"")),'Daily Sale entry '!X330+ROW()/10000000,"")</f>
        <v/>
      </c>
      <c r="L330" s="21">
        <f>IF(K330="","",COUNTIF($K$2:$K$3001,"&lt;"&amp;K330)+1)</f>
        <v/>
      </c>
    </row>
    <row r="331">
      <c r="A331" s="5">
        <f>IF($J331="","",IF($J331&lt;=1500,INDEX('Daily Sale entry '!$X$1:$X$1501,$J331+1),INDEX('Daily Sale entry '!$V$1:$V$1501,$J331-1499)))</f>
        <v/>
      </c>
      <c r="B331">
        <f>IF($J331="","",IF($J331&lt;=1500,INDEX('Daily Sale entry '!$Y$1:$Y$1501,$J331+1)&amp;"","Buyer cheque banked 买家支票存入"&amp;IF(INDEX('Daily Sale entry '!$U$1:$U$1501,$J331-1499)="","", " - "&amp;INDEX('Daily Sale entry '!$U$1:$U$1501,$J331-1499))))</f>
        <v/>
      </c>
      <c r="C331">
        <f>IF($J331="","",IF($J331&lt;=1500,INDEX('Daily Sale entry '!$Z$1:$Z$1501,$J331+1)&amp;"","Cheque deposit 支票存入 (buyer 买家)"))</f>
        <v/>
      </c>
      <c r="D331">
        <f>IF($J331="","",IF($J331&lt;=1500,INDEX('Daily Sale entry '!$AA$1:$AA$1501,$J331+1)&amp;"",INDEX('Daily Sale entry '!$P$1:$P$1501,$J331-1499)&amp;""))</f>
        <v/>
      </c>
      <c r="E331">
        <f>IF($J331="","",IF($J331&lt;=1500,IF(N(INDEX('Daily Sale entry '!$AB$1:$AB$1501,$J331+1))=0,"",INDEX('Daily Sale entry '!$AB$1:$AB$1501,$J331+1)),1))</f>
        <v/>
      </c>
      <c r="F331" s="6">
        <f>IF($J331="","",IF($J331&lt;=1500,N(INDEX('Daily Sale entry '!$AC$1:$AC$1501,$J331+1))-IF(AND('Opening Balance'!$B$15=1,INDEX('Daily Sale entry '!$Z$1:$Z$1501,$J331+1)="Online collection 网上收款",INDEX('Daily Sale entry '!$AA$1:$AA$1501,$J331+1)&lt;&gt;""),N(INDEX('Daily Sale entry '!$AC$1:$AC$1501,$J331+1))-TRUNC(N(INDEX('Daily Sale entry '!$AC$1:$AC$1501,$J331+1))),0),N(INDEX('Daily Sale entry '!$S$1:$S$1501,$J331-1499))-'Opening Balance'!$B$15*(N(INDEX('Daily Sale entry '!$S$1:$S$1501,$J331-1499))-TRUNC(N(INDEX('Daily Sale entry '!$S$1:$S$1501,$J331-1499))))))</f>
        <v/>
      </c>
      <c r="G331" s="6">
        <f>IF($J331="","",IF($J331&lt;=1500,N(INDEX('Daily Sale entry '!$AD$1:$AD$1501,$J331+1)),0))</f>
        <v/>
      </c>
      <c r="H331" s="6">
        <f>IF($J331="","",ROUND('Opening Balance'!$B$4+SUM($F$2:F331)-SUM($G$2:G331),2))</f>
        <v/>
      </c>
      <c r="J331" s="21">
        <f>IFERROR(MATCH(ROW()-1,$L$2:$L$3001,0),"")</f>
        <v/>
      </c>
      <c r="K331" s="34">
        <f>IF(AND('Daily Sale entry '!X331&lt;&gt;"",OR('Daily Sale entry '!AC331&lt;&gt;"",'Daily Sale entry '!AD331&lt;&gt;"")),'Daily Sale entry '!X331+ROW()/10000000,"")</f>
        <v/>
      </c>
      <c r="L331" s="21">
        <f>IF(K331="","",COUNTIF($K$2:$K$3001,"&lt;"&amp;K331)+1)</f>
        <v/>
      </c>
    </row>
    <row r="332">
      <c r="A332" s="5">
        <f>IF($J332="","",IF($J332&lt;=1500,INDEX('Daily Sale entry '!$X$1:$X$1501,$J332+1),INDEX('Daily Sale entry '!$V$1:$V$1501,$J332-1499)))</f>
        <v/>
      </c>
      <c r="B332">
        <f>IF($J332="","",IF($J332&lt;=1500,INDEX('Daily Sale entry '!$Y$1:$Y$1501,$J332+1)&amp;"","Buyer cheque banked 买家支票存入"&amp;IF(INDEX('Daily Sale entry '!$U$1:$U$1501,$J332-1499)="","", " - "&amp;INDEX('Daily Sale entry '!$U$1:$U$1501,$J332-1499))))</f>
        <v/>
      </c>
      <c r="C332">
        <f>IF($J332="","",IF($J332&lt;=1500,INDEX('Daily Sale entry '!$Z$1:$Z$1501,$J332+1)&amp;"","Cheque deposit 支票存入 (buyer 买家)"))</f>
        <v/>
      </c>
      <c r="D332">
        <f>IF($J332="","",IF($J332&lt;=1500,INDEX('Daily Sale entry '!$AA$1:$AA$1501,$J332+1)&amp;"",INDEX('Daily Sale entry '!$P$1:$P$1501,$J332-1499)&amp;""))</f>
        <v/>
      </c>
      <c r="E332">
        <f>IF($J332="","",IF($J332&lt;=1500,IF(N(INDEX('Daily Sale entry '!$AB$1:$AB$1501,$J332+1))=0,"",INDEX('Daily Sale entry '!$AB$1:$AB$1501,$J332+1)),1))</f>
        <v/>
      </c>
      <c r="F332" s="6">
        <f>IF($J332="","",IF($J332&lt;=1500,N(INDEX('Daily Sale entry '!$AC$1:$AC$1501,$J332+1))-IF(AND('Opening Balance'!$B$15=1,INDEX('Daily Sale entry '!$Z$1:$Z$1501,$J332+1)="Online collection 网上收款",INDEX('Daily Sale entry '!$AA$1:$AA$1501,$J332+1)&lt;&gt;""),N(INDEX('Daily Sale entry '!$AC$1:$AC$1501,$J332+1))-TRUNC(N(INDEX('Daily Sale entry '!$AC$1:$AC$1501,$J332+1))),0),N(INDEX('Daily Sale entry '!$S$1:$S$1501,$J332-1499))-'Opening Balance'!$B$15*(N(INDEX('Daily Sale entry '!$S$1:$S$1501,$J332-1499))-TRUNC(N(INDEX('Daily Sale entry '!$S$1:$S$1501,$J332-1499))))))</f>
        <v/>
      </c>
      <c r="G332" s="6">
        <f>IF($J332="","",IF($J332&lt;=1500,N(INDEX('Daily Sale entry '!$AD$1:$AD$1501,$J332+1)),0))</f>
        <v/>
      </c>
      <c r="H332" s="6">
        <f>IF($J332="","",ROUND('Opening Balance'!$B$4+SUM($F$2:F332)-SUM($G$2:G332),2))</f>
        <v/>
      </c>
      <c r="J332" s="21">
        <f>IFERROR(MATCH(ROW()-1,$L$2:$L$3001,0),"")</f>
        <v/>
      </c>
      <c r="K332" s="34">
        <f>IF(AND('Daily Sale entry '!X332&lt;&gt;"",OR('Daily Sale entry '!AC332&lt;&gt;"",'Daily Sale entry '!AD332&lt;&gt;"")),'Daily Sale entry '!X332+ROW()/10000000,"")</f>
        <v/>
      </c>
      <c r="L332" s="21">
        <f>IF(K332="","",COUNTIF($K$2:$K$3001,"&lt;"&amp;K332)+1)</f>
        <v/>
      </c>
    </row>
    <row r="333">
      <c r="A333" s="5">
        <f>IF($J333="","",IF($J333&lt;=1500,INDEX('Daily Sale entry '!$X$1:$X$1501,$J333+1),INDEX('Daily Sale entry '!$V$1:$V$1501,$J333-1499)))</f>
        <v/>
      </c>
      <c r="B333">
        <f>IF($J333="","",IF($J333&lt;=1500,INDEX('Daily Sale entry '!$Y$1:$Y$1501,$J333+1)&amp;"","Buyer cheque banked 买家支票存入"&amp;IF(INDEX('Daily Sale entry '!$U$1:$U$1501,$J333-1499)="","", " - "&amp;INDEX('Daily Sale entry '!$U$1:$U$1501,$J333-1499))))</f>
        <v/>
      </c>
      <c r="C333">
        <f>IF($J333="","",IF($J333&lt;=1500,INDEX('Daily Sale entry '!$Z$1:$Z$1501,$J333+1)&amp;"","Cheque deposit 支票存入 (buyer 买家)"))</f>
        <v/>
      </c>
      <c r="D333">
        <f>IF($J333="","",IF($J333&lt;=1500,INDEX('Daily Sale entry '!$AA$1:$AA$1501,$J333+1)&amp;"",INDEX('Daily Sale entry '!$P$1:$P$1501,$J333-1499)&amp;""))</f>
        <v/>
      </c>
      <c r="E333">
        <f>IF($J333="","",IF($J333&lt;=1500,IF(N(INDEX('Daily Sale entry '!$AB$1:$AB$1501,$J333+1))=0,"",INDEX('Daily Sale entry '!$AB$1:$AB$1501,$J333+1)),1))</f>
        <v/>
      </c>
      <c r="F333" s="6">
        <f>IF($J333="","",IF($J333&lt;=1500,N(INDEX('Daily Sale entry '!$AC$1:$AC$1501,$J333+1))-IF(AND('Opening Balance'!$B$15=1,INDEX('Daily Sale entry '!$Z$1:$Z$1501,$J333+1)="Online collection 网上收款",INDEX('Daily Sale entry '!$AA$1:$AA$1501,$J333+1)&lt;&gt;""),N(INDEX('Daily Sale entry '!$AC$1:$AC$1501,$J333+1))-TRUNC(N(INDEX('Daily Sale entry '!$AC$1:$AC$1501,$J333+1))),0),N(INDEX('Daily Sale entry '!$S$1:$S$1501,$J333-1499))-'Opening Balance'!$B$15*(N(INDEX('Daily Sale entry '!$S$1:$S$1501,$J333-1499))-TRUNC(N(INDEX('Daily Sale entry '!$S$1:$S$1501,$J333-1499))))))</f>
        <v/>
      </c>
      <c r="G333" s="6">
        <f>IF($J333="","",IF($J333&lt;=1500,N(INDEX('Daily Sale entry '!$AD$1:$AD$1501,$J333+1)),0))</f>
        <v/>
      </c>
      <c r="H333" s="6">
        <f>IF($J333="","",ROUND('Opening Balance'!$B$4+SUM($F$2:F333)-SUM($G$2:G333),2))</f>
        <v/>
      </c>
      <c r="J333" s="21">
        <f>IFERROR(MATCH(ROW()-1,$L$2:$L$3001,0),"")</f>
        <v/>
      </c>
      <c r="K333" s="34">
        <f>IF(AND('Daily Sale entry '!X333&lt;&gt;"",OR('Daily Sale entry '!AC333&lt;&gt;"",'Daily Sale entry '!AD333&lt;&gt;"")),'Daily Sale entry '!X333+ROW()/10000000,"")</f>
        <v/>
      </c>
      <c r="L333" s="21">
        <f>IF(K333="","",COUNTIF($K$2:$K$3001,"&lt;"&amp;K333)+1)</f>
        <v/>
      </c>
    </row>
    <row r="334">
      <c r="A334" s="5">
        <f>IF($J334="","",IF($J334&lt;=1500,INDEX('Daily Sale entry '!$X$1:$X$1501,$J334+1),INDEX('Daily Sale entry '!$V$1:$V$1501,$J334-1499)))</f>
        <v/>
      </c>
      <c r="B334">
        <f>IF($J334="","",IF($J334&lt;=1500,INDEX('Daily Sale entry '!$Y$1:$Y$1501,$J334+1)&amp;"","Buyer cheque banked 买家支票存入"&amp;IF(INDEX('Daily Sale entry '!$U$1:$U$1501,$J334-1499)="","", " - "&amp;INDEX('Daily Sale entry '!$U$1:$U$1501,$J334-1499))))</f>
        <v/>
      </c>
      <c r="C334">
        <f>IF($J334="","",IF($J334&lt;=1500,INDEX('Daily Sale entry '!$Z$1:$Z$1501,$J334+1)&amp;"","Cheque deposit 支票存入 (buyer 买家)"))</f>
        <v/>
      </c>
      <c r="D334">
        <f>IF($J334="","",IF($J334&lt;=1500,INDEX('Daily Sale entry '!$AA$1:$AA$1501,$J334+1)&amp;"",INDEX('Daily Sale entry '!$P$1:$P$1501,$J334-1499)&amp;""))</f>
        <v/>
      </c>
      <c r="E334">
        <f>IF($J334="","",IF($J334&lt;=1500,IF(N(INDEX('Daily Sale entry '!$AB$1:$AB$1501,$J334+1))=0,"",INDEX('Daily Sale entry '!$AB$1:$AB$1501,$J334+1)),1))</f>
        <v/>
      </c>
      <c r="F334" s="6">
        <f>IF($J334="","",IF($J334&lt;=1500,N(INDEX('Daily Sale entry '!$AC$1:$AC$1501,$J334+1))-IF(AND('Opening Balance'!$B$15=1,INDEX('Daily Sale entry '!$Z$1:$Z$1501,$J334+1)="Online collection 网上收款",INDEX('Daily Sale entry '!$AA$1:$AA$1501,$J334+1)&lt;&gt;""),N(INDEX('Daily Sale entry '!$AC$1:$AC$1501,$J334+1))-TRUNC(N(INDEX('Daily Sale entry '!$AC$1:$AC$1501,$J334+1))),0),N(INDEX('Daily Sale entry '!$S$1:$S$1501,$J334-1499))-'Opening Balance'!$B$15*(N(INDEX('Daily Sale entry '!$S$1:$S$1501,$J334-1499))-TRUNC(N(INDEX('Daily Sale entry '!$S$1:$S$1501,$J334-1499))))))</f>
        <v/>
      </c>
      <c r="G334" s="6">
        <f>IF($J334="","",IF($J334&lt;=1500,N(INDEX('Daily Sale entry '!$AD$1:$AD$1501,$J334+1)),0))</f>
        <v/>
      </c>
      <c r="H334" s="6">
        <f>IF($J334="","",ROUND('Opening Balance'!$B$4+SUM($F$2:F334)-SUM($G$2:G334),2))</f>
        <v/>
      </c>
      <c r="J334" s="21">
        <f>IFERROR(MATCH(ROW()-1,$L$2:$L$3001,0),"")</f>
        <v/>
      </c>
      <c r="K334" s="34">
        <f>IF(AND('Daily Sale entry '!X334&lt;&gt;"",OR('Daily Sale entry '!AC334&lt;&gt;"",'Daily Sale entry '!AD334&lt;&gt;"")),'Daily Sale entry '!X334+ROW()/10000000,"")</f>
        <v/>
      </c>
      <c r="L334" s="21">
        <f>IF(K334="","",COUNTIF($K$2:$K$3001,"&lt;"&amp;K334)+1)</f>
        <v/>
      </c>
    </row>
    <row r="335">
      <c r="A335" s="5">
        <f>IF($J335="","",IF($J335&lt;=1500,INDEX('Daily Sale entry '!$X$1:$X$1501,$J335+1),INDEX('Daily Sale entry '!$V$1:$V$1501,$J335-1499)))</f>
        <v/>
      </c>
      <c r="B335">
        <f>IF($J335="","",IF($J335&lt;=1500,INDEX('Daily Sale entry '!$Y$1:$Y$1501,$J335+1)&amp;"","Buyer cheque banked 买家支票存入"&amp;IF(INDEX('Daily Sale entry '!$U$1:$U$1501,$J335-1499)="","", " - "&amp;INDEX('Daily Sale entry '!$U$1:$U$1501,$J335-1499))))</f>
        <v/>
      </c>
      <c r="C335">
        <f>IF($J335="","",IF($J335&lt;=1500,INDEX('Daily Sale entry '!$Z$1:$Z$1501,$J335+1)&amp;"","Cheque deposit 支票存入 (buyer 买家)"))</f>
        <v/>
      </c>
      <c r="D335">
        <f>IF($J335="","",IF($J335&lt;=1500,INDEX('Daily Sale entry '!$AA$1:$AA$1501,$J335+1)&amp;"",INDEX('Daily Sale entry '!$P$1:$P$1501,$J335-1499)&amp;""))</f>
        <v/>
      </c>
      <c r="E335">
        <f>IF($J335="","",IF($J335&lt;=1500,IF(N(INDEX('Daily Sale entry '!$AB$1:$AB$1501,$J335+1))=0,"",INDEX('Daily Sale entry '!$AB$1:$AB$1501,$J335+1)),1))</f>
        <v/>
      </c>
      <c r="F335" s="6">
        <f>IF($J335="","",IF($J335&lt;=1500,N(INDEX('Daily Sale entry '!$AC$1:$AC$1501,$J335+1))-IF(AND('Opening Balance'!$B$15=1,INDEX('Daily Sale entry '!$Z$1:$Z$1501,$J335+1)="Online collection 网上收款",INDEX('Daily Sale entry '!$AA$1:$AA$1501,$J335+1)&lt;&gt;""),N(INDEX('Daily Sale entry '!$AC$1:$AC$1501,$J335+1))-TRUNC(N(INDEX('Daily Sale entry '!$AC$1:$AC$1501,$J335+1))),0),N(INDEX('Daily Sale entry '!$S$1:$S$1501,$J335-1499))-'Opening Balance'!$B$15*(N(INDEX('Daily Sale entry '!$S$1:$S$1501,$J335-1499))-TRUNC(N(INDEX('Daily Sale entry '!$S$1:$S$1501,$J335-1499))))))</f>
        <v/>
      </c>
      <c r="G335" s="6">
        <f>IF($J335="","",IF($J335&lt;=1500,N(INDEX('Daily Sale entry '!$AD$1:$AD$1501,$J335+1)),0))</f>
        <v/>
      </c>
      <c r="H335" s="6">
        <f>IF($J335="","",ROUND('Opening Balance'!$B$4+SUM($F$2:F335)-SUM($G$2:G335),2))</f>
        <v/>
      </c>
      <c r="J335" s="21">
        <f>IFERROR(MATCH(ROW()-1,$L$2:$L$3001,0),"")</f>
        <v/>
      </c>
      <c r="K335" s="34">
        <f>IF(AND('Daily Sale entry '!X335&lt;&gt;"",OR('Daily Sale entry '!AC335&lt;&gt;"",'Daily Sale entry '!AD335&lt;&gt;"")),'Daily Sale entry '!X335+ROW()/10000000,"")</f>
        <v/>
      </c>
      <c r="L335" s="21">
        <f>IF(K335="","",COUNTIF($K$2:$K$3001,"&lt;"&amp;K335)+1)</f>
        <v/>
      </c>
    </row>
    <row r="336">
      <c r="A336" s="5">
        <f>IF($J336="","",IF($J336&lt;=1500,INDEX('Daily Sale entry '!$X$1:$X$1501,$J336+1),INDEX('Daily Sale entry '!$V$1:$V$1501,$J336-1499)))</f>
        <v/>
      </c>
      <c r="B336">
        <f>IF($J336="","",IF($J336&lt;=1500,INDEX('Daily Sale entry '!$Y$1:$Y$1501,$J336+1)&amp;"","Buyer cheque banked 买家支票存入"&amp;IF(INDEX('Daily Sale entry '!$U$1:$U$1501,$J336-1499)="","", " - "&amp;INDEX('Daily Sale entry '!$U$1:$U$1501,$J336-1499))))</f>
        <v/>
      </c>
      <c r="C336">
        <f>IF($J336="","",IF($J336&lt;=1500,INDEX('Daily Sale entry '!$Z$1:$Z$1501,$J336+1)&amp;"","Cheque deposit 支票存入 (buyer 买家)"))</f>
        <v/>
      </c>
      <c r="D336">
        <f>IF($J336="","",IF($J336&lt;=1500,INDEX('Daily Sale entry '!$AA$1:$AA$1501,$J336+1)&amp;"",INDEX('Daily Sale entry '!$P$1:$P$1501,$J336-1499)&amp;""))</f>
        <v/>
      </c>
      <c r="E336">
        <f>IF($J336="","",IF($J336&lt;=1500,IF(N(INDEX('Daily Sale entry '!$AB$1:$AB$1501,$J336+1))=0,"",INDEX('Daily Sale entry '!$AB$1:$AB$1501,$J336+1)),1))</f>
        <v/>
      </c>
      <c r="F336" s="6">
        <f>IF($J336="","",IF($J336&lt;=1500,N(INDEX('Daily Sale entry '!$AC$1:$AC$1501,$J336+1))-IF(AND('Opening Balance'!$B$15=1,INDEX('Daily Sale entry '!$Z$1:$Z$1501,$J336+1)="Online collection 网上收款",INDEX('Daily Sale entry '!$AA$1:$AA$1501,$J336+1)&lt;&gt;""),N(INDEX('Daily Sale entry '!$AC$1:$AC$1501,$J336+1))-TRUNC(N(INDEX('Daily Sale entry '!$AC$1:$AC$1501,$J336+1))),0),N(INDEX('Daily Sale entry '!$S$1:$S$1501,$J336-1499))-'Opening Balance'!$B$15*(N(INDEX('Daily Sale entry '!$S$1:$S$1501,$J336-1499))-TRUNC(N(INDEX('Daily Sale entry '!$S$1:$S$1501,$J336-1499))))))</f>
        <v/>
      </c>
      <c r="G336" s="6">
        <f>IF($J336="","",IF($J336&lt;=1500,N(INDEX('Daily Sale entry '!$AD$1:$AD$1501,$J336+1)),0))</f>
        <v/>
      </c>
      <c r="H336" s="6">
        <f>IF($J336="","",ROUND('Opening Balance'!$B$4+SUM($F$2:F336)-SUM($G$2:G336),2))</f>
        <v/>
      </c>
      <c r="J336" s="21">
        <f>IFERROR(MATCH(ROW()-1,$L$2:$L$3001,0),"")</f>
        <v/>
      </c>
      <c r="K336" s="34">
        <f>IF(AND('Daily Sale entry '!X336&lt;&gt;"",OR('Daily Sale entry '!AC336&lt;&gt;"",'Daily Sale entry '!AD336&lt;&gt;"")),'Daily Sale entry '!X336+ROW()/10000000,"")</f>
        <v/>
      </c>
      <c r="L336" s="21">
        <f>IF(K336="","",COUNTIF($K$2:$K$3001,"&lt;"&amp;K336)+1)</f>
        <v/>
      </c>
    </row>
    <row r="337">
      <c r="A337" s="5">
        <f>IF($J337="","",IF($J337&lt;=1500,INDEX('Daily Sale entry '!$X$1:$X$1501,$J337+1),INDEX('Daily Sale entry '!$V$1:$V$1501,$J337-1499)))</f>
        <v/>
      </c>
      <c r="B337">
        <f>IF($J337="","",IF($J337&lt;=1500,INDEX('Daily Sale entry '!$Y$1:$Y$1501,$J337+1)&amp;"","Buyer cheque banked 买家支票存入"&amp;IF(INDEX('Daily Sale entry '!$U$1:$U$1501,$J337-1499)="","", " - "&amp;INDEX('Daily Sale entry '!$U$1:$U$1501,$J337-1499))))</f>
        <v/>
      </c>
      <c r="C337">
        <f>IF($J337="","",IF($J337&lt;=1500,INDEX('Daily Sale entry '!$Z$1:$Z$1501,$J337+1)&amp;"","Cheque deposit 支票存入 (buyer 买家)"))</f>
        <v/>
      </c>
      <c r="D337">
        <f>IF($J337="","",IF($J337&lt;=1500,INDEX('Daily Sale entry '!$AA$1:$AA$1501,$J337+1)&amp;"",INDEX('Daily Sale entry '!$P$1:$P$1501,$J337-1499)&amp;""))</f>
        <v/>
      </c>
      <c r="E337">
        <f>IF($J337="","",IF($J337&lt;=1500,IF(N(INDEX('Daily Sale entry '!$AB$1:$AB$1501,$J337+1))=0,"",INDEX('Daily Sale entry '!$AB$1:$AB$1501,$J337+1)),1))</f>
        <v/>
      </c>
      <c r="F337" s="6">
        <f>IF($J337="","",IF($J337&lt;=1500,N(INDEX('Daily Sale entry '!$AC$1:$AC$1501,$J337+1))-IF(AND('Opening Balance'!$B$15=1,INDEX('Daily Sale entry '!$Z$1:$Z$1501,$J337+1)="Online collection 网上收款",INDEX('Daily Sale entry '!$AA$1:$AA$1501,$J337+1)&lt;&gt;""),N(INDEX('Daily Sale entry '!$AC$1:$AC$1501,$J337+1))-TRUNC(N(INDEX('Daily Sale entry '!$AC$1:$AC$1501,$J337+1))),0),N(INDEX('Daily Sale entry '!$S$1:$S$1501,$J337-1499))-'Opening Balance'!$B$15*(N(INDEX('Daily Sale entry '!$S$1:$S$1501,$J337-1499))-TRUNC(N(INDEX('Daily Sale entry '!$S$1:$S$1501,$J337-1499))))))</f>
        <v/>
      </c>
      <c r="G337" s="6">
        <f>IF($J337="","",IF($J337&lt;=1500,N(INDEX('Daily Sale entry '!$AD$1:$AD$1501,$J337+1)),0))</f>
        <v/>
      </c>
      <c r="H337" s="6">
        <f>IF($J337="","",ROUND('Opening Balance'!$B$4+SUM($F$2:F337)-SUM($G$2:G337),2))</f>
        <v/>
      </c>
      <c r="J337" s="21">
        <f>IFERROR(MATCH(ROW()-1,$L$2:$L$3001,0),"")</f>
        <v/>
      </c>
      <c r="K337" s="34">
        <f>IF(AND('Daily Sale entry '!X337&lt;&gt;"",OR('Daily Sale entry '!AC337&lt;&gt;"",'Daily Sale entry '!AD337&lt;&gt;"")),'Daily Sale entry '!X337+ROW()/10000000,"")</f>
        <v/>
      </c>
      <c r="L337" s="21">
        <f>IF(K337="","",COUNTIF($K$2:$K$3001,"&lt;"&amp;K337)+1)</f>
        <v/>
      </c>
    </row>
    <row r="338">
      <c r="A338" s="5">
        <f>IF($J338="","",IF($J338&lt;=1500,INDEX('Daily Sale entry '!$X$1:$X$1501,$J338+1),INDEX('Daily Sale entry '!$V$1:$V$1501,$J338-1499)))</f>
        <v/>
      </c>
      <c r="B338">
        <f>IF($J338="","",IF($J338&lt;=1500,INDEX('Daily Sale entry '!$Y$1:$Y$1501,$J338+1)&amp;"","Buyer cheque banked 买家支票存入"&amp;IF(INDEX('Daily Sale entry '!$U$1:$U$1501,$J338-1499)="","", " - "&amp;INDEX('Daily Sale entry '!$U$1:$U$1501,$J338-1499))))</f>
        <v/>
      </c>
      <c r="C338">
        <f>IF($J338="","",IF($J338&lt;=1500,INDEX('Daily Sale entry '!$Z$1:$Z$1501,$J338+1)&amp;"","Cheque deposit 支票存入 (buyer 买家)"))</f>
        <v/>
      </c>
      <c r="D338">
        <f>IF($J338="","",IF($J338&lt;=1500,INDEX('Daily Sale entry '!$AA$1:$AA$1501,$J338+1)&amp;"",INDEX('Daily Sale entry '!$P$1:$P$1501,$J338-1499)&amp;""))</f>
        <v/>
      </c>
      <c r="E338">
        <f>IF($J338="","",IF($J338&lt;=1500,IF(N(INDEX('Daily Sale entry '!$AB$1:$AB$1501,$J338+1))=0,"",INDEX('Daily Sale entry '!$AB$1:$AB$1501,$J338+1)),1))</f>
        <v/>
      </c>
      <c r="F338" s="6">
        <f>IF($J338="","",IF($J338&lt;=1500,N(INDEX('Daily Sale entry '!$AC$1:$AC$1501,$J338+1))-IF(AND('Opening Balance'!$B$15=1,INDEX('Daily Sale entry '!$Z$1:$Z$1501,$J338+1)="Online collection 网上收款",INDEX('Daily Sale entry '!$AA$1:$AA$1501,$J338+1)&lt;&gt;""),N(INDEX('Daily Sale entry '!$AC$1:$AC$1501,$J338+1))-TRUNC(N(INDEX('Daily Sale entry '!$AC$1:$AC$1501,$J338+1))),0),N(INDEX('Daily Sale entry '!$S$1:$S$1501,$J338-1499))-'Opening Balance'!$B$15*(N(INDEX('Daily Sale entry '!$S$1:$S$1501,$J338-1499))-TRUNC(N(INDEX('Daily Sale entry '!$S$1:$S$1501,$J338-1499))))))</f>
        <v/>
      </c>
      <c r="G338" s="6">
        <f>IF($J338="","",IF($J338&lt;=1500,N(INDEX('Daily Sale entry '!$AD$1:$AD$1501,$J338+1)),0))</f>
        <v/>
      </c>
      <c r="H338" s="6">
        <f>IF($J338="","",ROUND('Opening Balance'!$B$4+SUM($F$2:F338)-SUM($G$2:G338),2))</f>
        <v/>
      </c>
      <c r="J338" s="21">
        <f>IFERROR(MATCH(ROW()-1,$L$2:$L$3001,0),"")</f>
        <v/>
      </c>
      <c r="K338" s="34">
        <f>IF(AND('Daily Sale entry '!X338&lt;&gt;"",OR('Daily Sale entry '!AC338&lt;&gt;"",'Daily Sale entry '!AD338&lt;&gt;"")),'Daily Sale entry '!X338+ROW()/10000000,"")</f>
        <v/>
      </c>
      <c r="L338" s="21">
        <f>IF(K338="","",COUNTIF($K$2:$K$3001,"&lt;"&amp;K338)+1)</f>
        <v/>
      </c>
    </row>
    <row r="339">
      <c r="A339" s="5">
        <f>IF($J339="","",IF($J339&lt;=1500,INDEX('Daily Sale entry '!$X$1:$X$1501,$J339+1),INDEX('Daily Sale entry '!$V$1:$V$1501,$J339-1499)))</f>
        <v/>
      </c>
      <c r="B339">
        <f>IF($J339="","",IF($J339&lt;=1500,INDEX('Daily Sale entry '!$Y$1:$Y$1501,$J339+1)&amp;"","Buyer cheque banked 买家支票存入"&amp;IF(INDEX('Daily Sale entry '!$U$1:$U$1501,$J339-1499)="","", " - "&amp;INDEX('Daily Sale entry '!$U$1:$U$1501,$J339-1499))))</f>
        <v/>
      </c>
      <c r="C339">
        <f>IF($J339="","",IF($J339&lt;=1500,INDEX('Daily Sale entry '!$Z$1:$Z$1501,$J339+1)&amp;"","Cheque deposit 支票存入 (buyer 买家)"))</f>
        <v/>
      </c>
      <c r="D339">
        <f>IF($J339="","",IF($J339&lt;=1500,INDEX('Daily Sale entry '!$AA$1:$AA$1501,$J339+1)&amp;"",INDEX('Daily Sale entry '!$P$1:$P$1501,$J339-1499)&amp;""))</f>
        <v/>
      </c>
      <c r="E339">
        <f>IF($J339="","",IF($J339&lt;=1500,IF(N(INDEX('Daily Sale entry '!$AB$1:$AB$1501,$J339+1))=0,"",INDEX('Daily Sale entry '!$AB$1:$AB$1501,$J339+1)),1))</f>
        <v/>
      </c>
      <c r="F339" s="6">
        <f>IF($J339="","",IF($J339&lt;=1500,N(INDEX('Daily Sale entry '!$AC$1:$AC$1501,$J339+1))-IF(AND('Opening Balance'!$B$15=1,INDEX('Daily Sale entry '!$Z$1:$Z$1501,$J339+1)="Online collection 网上收款",INDEX('Daily Sale entry '!$AA$1:$AA$1501,$J339+1)&lt;&gt;""),N(INDEX('Daily Sale entry '!$AC$1:$AC$1501,$J339+1))-TRUNC(N(INDEX('Daily Sale entry '!$AC$1:$AC$1501,$J339+1))),0),N(INDEX('Daily Sale entry '!$S$1:$S$1501,$J339-1499))-'Opening Balance'!$B$15*(N(INDEX('Daily Sale entry '!$S$1:$S$1501,$J339-1499))-TRUNC(N(INDEX('Daily Sale entry '!$S$1:$S$1501,$J339-1499))))))</f>
        <v/>
      </c>
      <c r="G339" s="6">
        <f>IF($J339="","",IF($J339&lt;=1500,N(INDEX('Daily Sale entry '!$AD$1:$AD$1501,$J339+1)),0))</f>
        <v/>
      </c>
      <c r="H339" s="6">
        <f>IF($J339="","",ROUND('Opening Balance'!$B$4+SUM($F$2:F339)-SUM($G$2:G339),2))</f>
        <v/>
      </c>
      <c r="J339" s="21">
        <f>IFERROR(MATCH(ROW()-1,$L$2:$L$3001,0),"")</f>
        <v/>
      </c>
      <c r="K339" s="34">
        <f>IF(AND('Daily Sale entry '!X339&lt;&gt;"",OR('Daily Sale entry '!AC339&lt;&gt;"",'Daily Sale entry '!AD339&lt;&gt;"")),'Daily Sale entry '!X339+ROW()/10000000,"")</f>
        <v/>
      </c>
      <c r="L339" s="21">
        <f>IF(K339="","",COUNTIF($K$2:$K$3001,"&lt;"&amp;K339)+1)</f>
        <v/>
      </c>
    </row>
    <row r="340">
      <c r="A340" s="5">
        <f>IF($J340="","",IF($J340&lt;=1500,INDEX('Daily Sale entry '!$X$1:$X$1501,$J340+1),INDEX('Daily Sale entry '!$V$1:$V$1501,$J340-1499)))</f>
        <v/>
      </c>
      <c r="B340">
        <f>IF($J340="","",IF($J340&lt;=1500,INDEX('Daily Sale entry '!$Y$1:$Y$1501,$J340+1)&amp;"","Buyer cheque banked 买家支票存入"&amp;IF(INDEX('Daily Sale entry '!$U$1:$U$1501,$J340-1499)="","", " - "&amp;INDEX('Daily Sale entry '!$U$1:$U$1501,$J340-1499))))</f>
        <v/>
      </c>
      <c r="C340">
        <f>IF($J340="","",IF($J340&lt;=1500,INDEX('Daily Sale entry '!$Z$1:$Z$1501,$J340+1)&amp;"","Cheque deposit 支票存入 (buyer 买家)"))</f>
        <v/>
      </c>
      <c r="D340">
        <f>IF($J340="","",IF($J340&lt;=1500,INDEX('Daily Sale entry '!$AA$1:$AA$1501,$J340+1)&amp;"",INDEX('Daily Sale entry '!$P$1:$P$1501,$J340-1499)&amp;""))</f>
        <v/>
      </c>
      <c r="E340">
        <f>IF($J340="","",IF($J340&lt;=1500,IF(N(INDEX('Daily Sale entry '!$AB$1:$AB$1501,$J340+1))=0,"",INDEX('Daily Sale entry '!$AB$1:$AB$1501,$J340+1)),1))</f>
        <v/>
      </c>
      <c r="F340" s="6">
        <f>IF($J340="","",IF($J340&lt;=1500,N(INDEX('Daily Sale entry '!$AC$1:$AC$1501,$J340+1))-IF(AND('Opening Balance'!$B$15=1,INDEX('Daily Sale entry '!$Z$1:$Z$1501,$J340+1)="Online collection 网上收款",INDEX('Daily Sale entry '!$AA$1:$AA$1501,$J340+1)&lt;&gt;""),N(INDEX('Daily Sale entry '!$AC$1:$AC$1501,$J340+1))-TRUNC(N(INDEX('Daily Sale entry '!$AC$1:$AC$1501,$J340+1))),0),N(INDEX('Daily Sale entry '!$S$1:$S$1501,$J340-1499))-'Opening Balance'!$B$15*(N(INDEX('Daily Sale entry '!$S$1:$S$1501,$J340-1499))-TRUNC(N(INDEX('Daily Sale entry '!$S$1:$S$1501,$J340-1499))))))</f>
        <v/>
      </c>
      <c r="G340" s="6">
        <f>IF($J340="","",IF($J340&lt;=1500,N(INDEX('Daily Sale entry '!$AD$1:$AD$1501,$J340+1)),0))</f>
        <v/>
      </c>
      <c r="H340" s="6">
        <f>IF($J340="","",ROUND('Opening Balance'!$B$4+SUM($F$2:F340)-SUM($G$2:G340),2))</f>
        <v/>
      </c>
      <c r="J340" s="21">
        <f>IFERROR(MATCH(ROW()-1,$L$2:$L$3001,0),"")</f>
        <v/>
      </c>
      <c r="K340" s="34">
        <f>IF(AND('Daily Sale entry '!X340&lt;&gt;"",OR('Daily Sale entry '!AC340&lt;&gt;"",'Daily Sale entry '!AD340&lt;&gt;"")),'Daily Sale entry '!X340+ROW()/10000000,"")</f>
        <v/>
      </c>
      <c r="L340" s="21">
        <f>IF(K340="","",COUNTIF($K$2:$K$3001,"&lt;"&amp;K340)+1)</f>
        <v/>
      </c>
    </row>
    <row r="341">
      <c r="A341" s="5">
        <f>IF($J341="","",IF($J341&lt;=1500,INDEX('Daily Sale entry '!$X$1:$X$1501,$J341+1),INDEX('Daily Sale entry '!$V$1:$V$1501,$J341-1499)))</f>
        <v/>
      </c>
      <c r="B341">
        <f>IF($J341="","",IF($J341&lt;=1500,INDEX('Daily Sale entry '!$Y$1:$Y$1501,$J341+1)&amp;"","Buyer cheque banked 买家支票存入"&amp;IF(INDEX('Daily Sale entry '!$U$1:$U$1501,$J341-1499)="","", " - "&amp;INDEX('Daily Sale entry '!$U$1:$U$1501,$J341-1499))))</f>
        <v/>
      </c>
      <c r="C341">
        <f>IF($J341="","",IF($J341&lt;=1500,INDEX('Daily Sale entry '!$Z$1:$Z$1501,$J341+1)&amp;"","Cheque deposit 支票存入 (buyer 买家)"))</f>
        <v/>
      </c>
      <c r="D341">
        <f>IF($J341="","",IF($J341&lt;=1500,INDEX('Daily Sale entry '!$AA$1:$AA$1501,$J341+1)&amp;"",INDEX('Daily Sale entry '!$P$1:$P$1501,$J341-1499)&amp;""))</f>
        <v/>
      </c>
      <c r="E341">
        <f>IF($J341="","",IF($J341&lt;=1500,IF(N(INDEX('Daily Sale entry '!$AB$1:$AB$1501,$J341+1))=0,"",INDEX('Daily Sale entry '!$AB$1:$AB$1501,$J341+1)),1))</f>
        <v/>
      </c>
      <c r="F341" s="6">
        <f>IF($J341="","",IF($J341&lt;=1500,N(INDEX('Daily Sale entry '!$AC$1:$AC$1501,$J341+1))-IF(AND('Opening Balance'!$B$15=1,INDEX('Daily Sale entry '!$Z$1:$Z$1501,$J341+1)="Online collection 网上收款",INDEX('Daily Sale entry '!$AA$1:$AA$1501,$J341+1)&lt;&gt;""),N(INDEX('Daily Sale entry '!$AC$1:$AC$1501,$J341+1))-TRUNC(N(INDEX('Daily Sale entry '!$AC$1:$AC$1501,$J341+1))),0),N(INDEX('Daily Sale entry '!$S$1:$S$1501,$J341-1499))-'Opening Balance'!$B$15*(N(INDEX('Daily Sale entry '!$S$1:$S$1501,$J341-1499))-TRUNC(N(INDEX('Daily Sale entry '!$S$1:$S$1501,$J341-1499))))))</f>
        <v/>
      </c>
      <c r="G341" s="6">
        <f>IF($J341="","",IF($J341&lt;=1500,N(INDEX('Daily Sale entry '!$AD$1:$AD$1501,$J341+1)),0))</f>
        <v/>
      </c>
      <c r="H341" s="6">
        <f>IF($J341="","",ROUND('Opening Balance'!$B$4+SUM($F$2:F341)-SUM($G$2:G341),2))</f>
        <v/>
      </c>
      <c r="J341" s="21">
        <f>IFERROR(MATCH(ROW()-1,$L$2:$L$3001,0),"")</f>
        <v/>
      </c>
      <c r="K341" s="34">
        <f>IF(AND('Daily Sale entry '!X341&lt;&gt;"",OR('Daily Sale entry '!AC341&lt;&gt;"",'Daily Sale entry '!AD341&lt;&gt;"")),'Daily Sale entry '!X341+ROW()/10000000,"")</f>
        <v/>
      </c>
      <c r="L341" s="21">
        <f>IF(K341="","",COUNTIF($K$2:$K$3001,"&lt;"&amp;K341)+1)</f>
        <v/>
      </c>
    </row>
    <row r="342">
      <c r="A342" s="5">
        <f>IF($J342="","",IF($J342&lt;=1500,INDEX('Daily Sale entry '!$X$1:$X$1501,$J342+1),INDEX('Daily Sale entry '!$V$1:$V$1501,$J342-1499)))</f>
        <v/>
      </c>
      <c r="B342">
        <f>IF($J342="","",IF($J342&lt;=1500,INDEX('Daily Sale entry '!$Y$1:$Y$1501,$J342+1)&amp;"","Buyer cheque banked 买家支票存入"&amp;IF(INDEX('Daily Sale entry '!$U$1:$U$1501,$J342-1499)="","", " - "&amp;INDEX('Daily Sale entry '!$U$1:$U$1501,$J342-1499))))</f>
        <v/>
      </c>
      <c r="C342">
        <f>IF($J342="","",IF($J342&lt;=1500,INDEX('Daily Sale entry '!$Z$1:$Z$1501,$J342+1)&amp;"","Cheque deposit 支票存入 (buyer 买家)"))</f>
        <v/>
      </c>
      <c r="D342">
        <f>IF($J342="","",IF($J342&lt;=1500,INDEX('Daily Sale entry '!$AA$1:$AA$1501,$J342+1)&amp;"",INDEX('Daily Sale entry '!$P$1:$P$1501,$J342-1499)&amp;""))</f>
        <v/>
      </c>
      <c r="E342">
        <f>IF($J342="","",IF($J342&lt;=1500,IF(N(INDEX('Daily Sale entry '!$AB$1:$AB$1501,$J342+1))=0,"",INDEX('Daily Sale entry '!$AB$1:$AB$1501,$J342+1)),1))</f>
        <v/>
      </c>
      <c r="F342" s="6">
        <f>IF($J342="","",IF($J342&lt;=1500,N(INDEX('Daily Sale entry '!$AC$1:$AC$1501,$J342+1))-IF(AND('Opening Balance'!$B$15=1,INDEX('Daily Sale entry '!$Z$1:$Z$1501,$J342+1)="Online collection 网上收款",INDEX('Daily Sale entry '!$AA$1:$AA$1501,$J342+1)&lt;&gt;""),N(INDEX('Daily Sale entry '!$AC$1:$AC$1501,$J342+1))-TRUNC(N(INDEX('Daily Sale entry '!$AC$1:$AC$1501,$J342+1))),0),N(INDEX('Daily Sale entry '!$S$1:$S$1501,$J342-1499))-'Opening Balance'!$B$15*(N(INDEX('Daily Sale entry '!$S$1:$S$1501,$J342-1499))-TRUNC(N(INDEX('Daily Sale entry '!$S$1:$S$1501,$J342-1499))))))</f>
        <v/>
      </c>
      <c r="G342" s="6">
        <f>IF($J342="","",IF($J342&lt;=1500,N(INDEX('Daily Sale entry '!$AD$1:$AD$1501,$J342+1)),0))</f>
        <v/>
      </c>
      <c r="H342" s="6">
        <f>IF($J342="","",ROUND('Opening Balance'!$B$4+SUM($F$2:F342)-SUM($G$2:G342),2))</f>
        <v/>
      </c>
      <c r="J342" s="21">
        <f>IFERROR(MATCH(ROW()-1,$L$2:$L$3001,0),"")</f>
        <v/>
      </c>
      <c r="K342" s="34">
        <f>IF(AND('Daily Sale entry '!X342&lt;&gt;"",OR('Daily Sale entry '!AC342&lt;&gt;"",'Daily Sale entry '!AD342&lt;&gt;"")),'Daily Sale entry '!X342+ROW()/10000000,"")</f>
        <v/>
      </c>
      <c r="L342" s="21">
        <f>IF(K342="","",COUNTIF($K$2:$K$3001,"&lt;"&amp;K342)+1)</f>
        <v/>
      </c>
    </row>
    <row r="343">
      <c r="A343" s="5">
        <f>IF($J343="","",IF($J343&lt;=1500,INDEX('Daily Sale entry '!$X$1:$X$1501,$J343+1),INDEX('Daily Sale entry '!$V$1:$V$1501,$J343-1499)))</f>
        <v/>
      </c>
      <c r="B343">
        <f>IF($J343="","",IF($J343&lt;=1500,INDEX('Daily Sale entry '!$Y$1:$Y$1501,$J343+1)&amp;"","Buyer cheque banked 买家支票存入"&amp;IF(INDEX('Daily Sale entry '!$U$1:$U$1501,$J343-1499)="","", " - "&amp;INDEX('Daily Sale entry '!$U$1:$U$1501,$J343-1499))))</f>
        <v/>
      </c>
      <c r="C343">
        <f>IF($J343="","",IF($J343&lt;=1500,INDEX('Daily Sale entry '!$Z$1:$Z$1501,$J343+1)&amp;"","Cheque deposit 支票存入 (buyer 买家)"))</f>
        <v/>
      </c>
      <c r="D343">
        <f>IF($J343="","",IF($J343&lt;=1500,INDEX('Daily Sale entry '!$AA$1:$AA$1501,$J343+1)&amp;"",INDEX('Daily Sale entry '!$P$1:$P$1501,$J343-1499)&amp;""))</f>
        <v/>
      </c>
      <c r="E343">
        <f>IF($J343="","",IF($J343&lt;=1500,IF(N(INDEX('Daily Sale entry '!$AB$1:$AB$1501,$J343+1))=0,"",INDEX('Daily Sale entry '!$AB$1:$AB$1501,$J343+1)),1))</f>
        <v/>
      </c>
      <c r="F343" s="6">
        <f>IF($J343="","",IF($J343&lt;=1500,N(INDEX('Daily Sale entry '!$AC$1:$AC$1501,$J343+1))-IF(AND('Opening Balance'!$B$15=1,INDEX('Daily Sale entry '!$Z$1:$Z$1501,$J343+1)="Online collection 网上收款",INDEX('Daily Sale entry '!$AA$1:$AA$1501,$J343+1)&lt;&gt;""),N(INDEX('Daily Sale entry '!$AC$1:$AC$1501,$J343+1))-TRUNC(N(INDEX('Daily Sale entry '!$AC$1:$AC$1501,$J343+1))),0),N(INDEX('Daily Sale entry '!$S$1:$S$1501,$J343-1499))-'Opening Balance'!$B$15*(N(INDEX('Daily Sale entry '!$S$1:$S$1501,$J343-1499))-TRUNC(N(INDEX('Daily Sale entry '!$S$1:$S$1501,$J343-1499))))))</f>
        <v/>
      </c>
      <c r="G343" s="6">
        <f>IF($J343="","",IF($J343&lt;=1500,N(INDEX('Daily Sale entry '!$AD$1:$AD$1501,$J343+1)),0))</f>
        <v/>
      </c>
      <c r="H343" s="6">
        <f>IF($J343="","",ROUND('Opening Balance'!$B$4+SUM($F$2:F343)-SUM($G$2:G343),2))</f>
        <v/>
      </c>
      <c r="J343" s="21">
        <f>IFERROR(MATCH(ROW()-1,$L$2:$L$3001,0),"")</f>
        <v/>
      </c>
      <c r="K343" s="34">
        <f>IF(AND('Daily Sale entry '!X343&lt;&gt;"",OR('Daily Sale entry '!AC343&lt;&gt;"",'Daily Sale entry '!AD343&lt;&gt;"")),'Daily Sale entry '!X343+ROW()/10000000,"")</f>
        <v/>
      </c>
      <c r="L343" s="21">
        <f>IF(K343="","",COUNTIF($K$2:$K$3001,"&lt;"&amp;K343)+1)</f>
        <v/>
      </c>
    </row>
    <row r="344">
      <c r="A344" s="5">
        <f>IF($J344="","",IF($J344&lt;=1500,INDEX('Daily Sale entry '!$X$1:$X$1501,$J344+1),INDEX('Daily Sale entry '!$V$1:$V$1501,$J344-1499)))</f>
        <v/>
      </c>
      <c r="B344">
        <f>IF($J344="","",IF($J344&lt;=1500,INDEX('Daily Sale entry '!$Y$1:$Y$1501,$J344+1)&amp;"","Buyer cheque banked 买家支票存入"&amp;IF(INDEX('Daily Sale entry '!$U$1:$U$1501,$J344-1499)="","", " - "&amp;INDEX('Daily Sale entry '!$U$1:$U$1501,$J344-1499))))</f>
        <v/>
      </c>
      <c r="C344">
        <f>IF($J344="","",IF($J344&lt;=1500,INDEX('Daily Sale entry '!$Z$1:$Z$1501,$J344+1)&amp;"","Cheque deposit 支票存入 (buyer 买家)"))</f>
        <v/>
      </c>
      <c r="D344">
        <f>IF($J344="","",IF($J344&lt;=1500,INDEX('Daily Sale entry '!$AA$1:$AA$1501,$J344+1)&amp;"",INDEX('Daily Sale entry '!$P$1:$P$1501,$J344-1499)&amp;""))</f>
        <v/>
      </c>
      <c r="E344">
        <f>IF($J344="","",IF($J344&lt;=1500,IF(N(INDEX('Daily Sale entry '!$AB$1:$AB$1501,$J344+1))=0,"",INDEX('Daily Sale entry '!$AB$1:$AB$1501,$J344+1)),1))</f>
        <v/>
      </c>
      <c r="F344" s="6">
        <f>IF($J344="","",IF($J344&lt;=1500,N(INDEX('Daily Sale entry '!$AC$1:$AC$1501,$J344+1))-IF(AND('Opening Balance'!$B$15=1,INDEX('Daily Sale entry '!$Z$1:$Z$1501,$J344+1)="Online collection 网上收款",INDEX('Daily Sale entry '!$AA$1:$AA$1501,$J344+1)&lt;&gt;""),N(INDEX('Daily Sale entry '!$AC$1:$AC$1501,$J344+1))-TRUNC(N(INDEX('Daily Sale entry '!$AC$1:$AC$1501,$J344+1))),0),N(INDEX('Daily Sale entry '!$S$1:$S$1501,$J344-1499))-'Opening Balance'!$B$15*(N(INDEX('Daily Sale entry '!$S$1:$S$1501,$J344-1499))-TRUNC(N(INDEX('Daily Sale entry '!$S$1:$S$1501,$J344-1499))))))</f>
        <v/>
      </c>
      <c r="G344" s="6">
        <f>IF($J344="","",IF($J344&lt;=1500,N(INDEX('Daily Sale entry '!$AD$1:$AD$1501,$J344+1)),0))</f>
        <v/>
      </c>
      <c r="H344" s="6">
        <f>IF($J344="","",ROUND('Opening Balance'!$B$4+SUM($F$2:F344)-SUM($G$2:G344),2))</f>
        <v/>
      </c>
      <c r="J344" s="21">
        <f>IFERROR(MATCH(ROW()-1,$L$2:$L$3001,0),"")</f>
        <v/>
      </c>
      <c r="K344" s="34">
        <f>IF(AND('Daily Sale entry '!X344&lt;&gt;"",OR('Daily Sale entry '!AC344&lt;&gt;"",'Daily Sale entry '!AD344&lt;&gt;"")),'Daily Sale entry '!X344+ROW()/10000000,"")</f>
        <v/>
      </c>
      <c r="L344" s="21">
        <f>IF(K344="","",COUNTIF($K$2:$K$3001,"&lt;"&amp;K344)+1)</f>
        <v/>
      </c>
    </row>
    <row r="345">
      <c r="A345" s="5">
        <f>IF($J345="","",IF($J345&lt;=1500,INDEX('Daily Sale entry '!$X$1:$X$1501,$J345+1),INDEX('Daily Sale entry '!$V$1:$V$1501,$J345-1499)))</f>
        <v/>
      </c>
      <c r="B345">
        <f>IF($J345="","",IF($J345&lt;=1500,INDEX('Daily Sale entry '!$Y$1:$Y$1501,$J345+1)&amp;"","Buyer cheque banked 买家支票存入"&amp;IF(INDEX('Daily Sale entry '!$U$1:$U$1501,$J345-1499)="","", " - "&amp;INDEX('Daily Sale entry '!$U$1:$U$1501,$J345-1499))))</f>
        <v/>
      </c>
      <c r="C345">
        <f>IF($J345="","",IF($J345&lt;=1500,INDEX('Daily Sale entry '!$Z$1:$Z$1501,$J345+1)&amp;"","Cheque deposit 支票存入 (buyer 买家)"))</f>
        <v/>
      </c>
      <c r="D345">
        <f>IF($J345="","",IF($J345&lt;=1500,INDEX('Daily Sale entry '!$AA$1:$AA$1501,$J345+1)&amp;"",INDEX('Daily Sale entry '!$P$1:$P$1501,$J345-1499)&amp;""))</f>
        <v/>
      </c>
      <c r="E345">
        <f>IF($J345="","",IF($J345&lt;=1500,IF(N(INDEX('Daily Sale entry '!$AB$1:$AB$1501,$J345+1))=0,"",INDEX('Daily Sale entry '!$AB$1:$AB$1501,$J345+1)),1))</f>
        <v/>
      </c>
      <c r="F345" s="6">
        <f>IF($J345="","",IF($J345&lt;=1500,N(INDEX('Daily Sale entry '!$AC$1:$AC$1501,$J345+1))-IF(AND('Opening Balance'!$B$15=1,INDEX('Daily Sale entry '!$Z$1:$Z$1501,$J345+1)="Online collection 网上收款",INDEX('Daily Sale entry '!$AA$1:$AA$1501,$J345+1)&lt;&gt;""),N(INDEX('Daily Sale entry '!$AC$1:$AC$1501,$J345+1))-TRUNC(N(INDEX('Daily Sale entry '!$AC$1:$AC$1501,$J345+1))),0),N(INDEX('Daily Sale entry '!$S$1:$S$1501,$J345-1499))-'Opening Balance'!$B$15*(N(INDEX('Daily Sale entry '!$S$1:$S$1501,$J345-1499))-TRUNC(N(INDEX('Daily Sale entry '!$S$1:$S$1501,$J345-1499))))))</f>
        <v/>
      </c>
      <c r="G345" s="6">
        <f>IF($J345="","",IF($J345&lt;=1500,N(INDEX('Daily Sale entry '!$AD$1:$AD$1501,$J345+1)),0))</f>
        <v/>
      </c>
      <c r="H345" s="6">
        <f>IF($J345="","",ROUND('Opening Balance'!$B$4+SUM($F$2:F345)-SUM($G$2:G345),2))</f>
        <v/>
      </c>
      <c r="J345" s="21">
        <f>IFERROR(MATCH(ROW()-1,$L$2:$L$3001,0),"")</f>
        <v/>
      </c>
      <c r="K345" s="34">
        <f>IF(AND('Daily Sale entry '!X345&lt;&gt;"",OR('Daily Sale entry '!AC345&lt;&gt;"",'Daily Sale entry '!AD345&lt;&gt;"")),'Daily Sale entry '!X345+ROW()/10000000,"")</f>
        <v/>
      </c>
      <c r="L345" s="21">
        <f>IF(K345="","",COUNTIF($K$2:$K$3001,"&lt;"&amp;K345)+1)</f>
        <v/>
      </c>
    </row>
    <row r="346">
      <c r="A346" s="5">
        <f>IF($J346="","",IF($J346&lt;=1500,INDEX('Daily Sale entry '!$X$1:$X$1501,$J346+1),INDEX('Daily Sale entry '!$V$1:$V$1501,$J346-1499)))</f>
        <v/>
      </c>
      <c r="B346">
        <f>IF($J346="","",IF($J346&lt;=1500,INDEX('Daily Sale entry '!$Y$1:$Y$1501,$J346+1)&amp;"","Buyer cheque banked 买家支票存入"&amp;IF(INDEX('Daily Sale entry '!$U$1:$U$1501,$J346-1499)="","", " - "&amp;INDEX('Daily Sale entry '!$U$1:$U$1501,$J346-1499))))</f>
        <v/>
      </c>
      <c r="C346">
        <f>IF($J346="","",IF($J346&lt;=1500,INDEX('Daily Sale entry '!$Z$1:$Z$1501,$J346+1)&amp;"","Cheque deposit 支票存入 (buyer 买家)"))</f>
        <v/>
      </c>
      <c r="D346">
        <f>IF($J346="","",IF($J346&lt;=1500,INDEX('Daily Sale entry '!$AA$1:$AA$1501,$J346+1)&amp;"",INDEX('Daily Sale entry '!$P$1:$P$1501,$J346-1499)&amp;""))</f>
        <v/>
      </c>
      <c r="E346">
        <f>IF($J346="","",IF($J346&lt;=1500,IF(N(INDEX('Daily Sale entry '!$AB$1:$AB$1501,$J346+1))=0,"",INDEX('Daily Sale entry '!$AB$1:$AB$1501,$J346+1)),1))</f>
        <v/>
      </c>
      <c r="F346" s="6">
        <f>IF($J346="","",IF($J346&lt;=1500,N(INDEX('Daily Sale entry '!$AC$1:$AC$1501,$J346+1))-IF(AND('Opening Balance'!$B$15=1,INDEX('Daily Sale entry '!$Z$1:$Z$1501,$J346+1)="Online collection 网上收款",INDEX('Daily Sale entry '!$AA$1:$AA$1501,$J346+1)&lt;&gt;""),N(INDEX('Daily Sale entry '!$AC$1:$AC$1501,$J346+1))-TRUNC(N(INDEX('Daily Sale entry '!$AC$1:$AC$1501,$J346+1))),0),N(INDEX('Daily Sale entry '!$S$1:$S$1501,$J346-1499))-'Opening Balance'!$B$15*(N(INDEX('Daily Sale entry '!$S$1:$S$1501,$J346-1499))-TRUNC(N(INDEX('Daily Sale entry '!$S$1:$S$1501,$J346-1499))))))</f>
        <v/>
      </c>
      <c r="G346" s="6">
        <f>IF($J346="","",IF($J346&lt;=1500,N(INDEX('Daily Sale entry '!$AD$1:$AD$1501,$J346+1)),0))</f>
        <v/>
      </c>
      <c r="H346" s="6">
        <f>IF($J346="","",ROUND('Opening Balance'!$B$4+SUM($F$2:F346)-SUM($G$2:G346),2))</f>
        <v/>
      </c>
      <c r="J346" s="21">
        <f>IFERROR(MATCH(ROW()-1,$L$2:$L$3001,0),"")</f>
        <v/>
      </c>
      <c r="K346" s="34">
        <f>IF(AND('Daily Sale entry '!X346&lt;&gt;"",OR('Daily Sale entry '!AC346&lt;&gt;"",'Daily Sale entry '!AD346&lt;&gt;"")),'Daily Sale entry '!X346+ROW()/10000000,"")</f>
        <v/>
      </c>
      <c r="L346" s="21">
        <f>IF(K346="","",COUNTIF($K$2:$K$3001,"&lt;"&amp;K346)+1)</f>
        <v/>
      </c>
    </row>
    <row r="347">
      <c r="A347" s="5">
        <f>IF($J347="","",IF($J347&lt;=1500,INDEX('Daily Sale entry '!$X$1:$X$1501,$J347+1),INDEX('Daily Sale entry '!$V$1:$V$1501,$J347-1499)))</f>
        <v/>
      </c>
      <c r="B347">
        <f>IF($J347="","",IF($J347&lt;=1500,INDEX('Daily Sale entry '!$Y$1:$Y$1501,$J347+1)&amp;"","Buyer cheque banked 买家支票存入"&amp;IF(INDEX('Daily Sale entry '!$U$1:$U$1501,$J347-1499)="","", " - "&amp;INDEX('Daily Sale entry '!$U$1:$U$1501,$J347-1499))))</f>
        <v/>
      </c>
      <c r="C347">
        <f>IF($J347="","",IF($J347&lt;=1500,INDEX('Daily Sale entry '!$Z$1:$Z$1501,$J347+1)&amp;"","Cheque deposit 支票存入 (buyer 买家)"))</f>
        <v/>
      </c>
      <c r="D347">
        <f>IF($J347="","",IF($J347&lt;=1500,INDEX('Daily Sale entry '!$AA$1:$AA$1501,$J347+1)&amp;"",INDEX('Daily Sale entry '!$P$1:$P$1501,$J347-1499)&amp;""))</f>
        <v/>
      </c>
      <c r="E347">
        <f>IF($J347="","",IF($J347&lt;=1500,IF(N(INDEX('Daily Sale entry '!$AB$1:$AB$1501,$J347+1))=0,"",INDEX('Daily Sale entry '!$AB$1:$AB$1501,$J347+1)),1))</f>
        <v/>
      </c>
      <c r="F347" s="6">
        <f>IF($J347="","",IF($J347&lt;=1500,N(INDEX('Daily Sale entry '!$AC$1:$AC$1501,$J347+1))-IF(AND('Opening Balance'!$B$15=1,INDEX('Daily Sale entry '!$Z$1:$Z$1501,$J347+1)="Online collection 网上收款",INDEX('Daily Sale entry '!$AA$1:$AA$1501,$J347+1)&lt;&gt;""),N(INDEX('Daily Sale entry '!$AC$1:$AC$1501,$J347+1))-TRUNC(N(INDEX('Daily Sale entry '!$AC$1:$AC$1501,$J347+1))),0),N(INDEX('Daily Sale entry '!$S$1:$S$1501,$J347-1499))-'Opening Balance'!$B$15*(N(INDEX('Daily Sale entry '!$S$1:$S$1501,$J347-1499))-TRUNC(N(INDEX('Daily Sale entry '!$S$1:$S$1501,$J347-1499))))))</f>
        <v/>
      </c>
      <c r="G347" s="6">
        <f>IF($J347="","",IF($J347&lt;=1500,N(INDEX('Daily Sale entry '!$AD$1:$AD$1501,$J347+1)),0))</f>
        <v/>
      </c>
      <c r="H347" s="6">
        <f>IF($J347="","",ROUND('Opening Balance'!$B$4+SUM($F$2:F347)-SUM($G$2:G347),2))</f>
        <v/>
      </c>
      <c r="J347" s="21">
        <f>IFERROR(MATCH(ROW()-1,$L$2:$L$3001,0),"")</f>
        <v/>
      </c>
      <c r="K347" s="34">
        <f>IF(AND('Daily Sale entry '!X347&lt;&gt;"",OR('Daily Sale entry '!AC347&lt;&gt;"",'Daily Sale entry '!AD347&lt;&gt;"")),'Daily Sale entry '!X347+ROW()/10000000,"")</f>
        <v/>
      </c>
      <c r="L347" s="21">
        <f>IF(K347="","",COUNTIF($K$2:$K$3001,"&lt;"&amp;K347)+1)</f>
        <v/>
      </c>
    </row>
    <row r="348">
      <c r="A348" s="5">
        <f>IF($J348="","",IF($J348&lt;=1500,INDEX('Daily Sale entry '!$X$1:$X$1501,$J348+1),INDEX('Daily Sale entry '!$V$1:$V$1501,$J348-1499)))</f>
        <v/>
      </c>
      <c r="B348">
        <f>IF($J348="","",IF($J348&lt;=1500,INDEX('Daily Sale entry '!$Y$1:$Y$1501,$J348+1)&amp;"","Buyer cheque banked 买家支票存入"&amp;IF(INDEX('Daily Sale entry '!$U$1:$U$1501,$J348-1499)="","", " - "&amp;INDEX('Daily Sale entry '!$U$1:$U$1501,$J348-1499))))</f>
        <v/>
      </c>
      <c r="C348">
        <f>IF($J348="","",IF($J348&lt;=1500,INDEX('Daily Sale entry '!$Z$1:$Z$1501,$J348+1)&amp;"","Cheque deposit 支票存入 (buyer 买家)"))</f>
        <v/>
      </c>
      <c r="D348">
        <f>IF($J348="","",IF($J348&lt;=1500,INDEX('Daily Sale entry '!$AA$1:$AA$1501,$J348+1)&amp;"",INDEX('Daily Sale entry '!$P$1:$P$1501,$J348-1499)&amp;""))</f>
        <v/>
      </c>
      <c r="E348">
        <f>IF($J348="","",IF($J348&lt;=1500,IF(N(INDEX('Daily Sale entry '!$AB$1:$AB$1501,$J348+1))=0,"",INDEX('Daily Sale entry '!$AB$1:$AB$1501,$J348+1)),1))</f>
        <v/>
      </c>
      <c r="F348" s="6">
        <f>IF($J348="","",IF($J348&lt;=1500,N(INDEX('Daily Sale entry '!$AC$1:$AC$1501,$J348+1))-IF(AND('Opening Balance'!$B$15=1,INDEX('Daily Sale entry '!$Z$1:$Z$1501,$J348+1)="Online collection 网上收款",INDEX('Daily Sale entry '!$AA$1:$AA$1501,$J348+1)&lt;&gt;""),N(INDEX('Daily Sale entry '!$AC$1:$AC$1501,$J348+1))-TRUNC(N(INDEX('Daily Sale entry '!$AC$1:$AC$1501,$J348+1))),0),N(INDEX('Daily Sale entry '!$S$1:$S$1501,$J348-1499))-'Opening Balance'!$B$15*(N(INDEX('Daily Sale entry '!$S$1:$S$1501,$J348-1499))-TRUNC(N(INDEX('Daily Sale entry '!$S$1:$S$1501,$J348-1499))))))</f>
        <v/>
      </c>
      <c r="G348" s="6">
        <f>IF($J348="","",IF($J348&lt;=1500,N(INDEX('Daily Sale entry '!$AD$1:$AD$1501,$J348+1)),0))</f>
        <v/>
      </c>
      <c r="H348" s="6">
        <f>IF($J348="","",ROUND('Opening Balance'!$B$4+SUM($F$2:F348)-SUM($G$2:G348),2))</f>
        <v/>
      </c>
      <c r="J348" s="21">
        <f>IFERROR(MATCH(ROW()-1,$L$2:$L$3001,0),"")</f>
        <v/>
      </c>
      <c r="K348" s="34">
        <f>IF(AND('Daily Sale entry '!X348&lt;&gt;"",OR('Daily Sale entry '!AC348&lt;&gt;"",'Daily Sale entry '!AD348&lt;&gt;"")),'Daily Sale entry '!X348+ROW()/10000000,"")</f>
        <v/>
      </c>
      <c r="L348" s="21">
        <f>IF(K348="","",COUNTIF($K$2:$K$3001,"&lt;"&amp;K348)+1)</f>
        <v/>
      </c>
    </row>
    <row r="349">
      <c r="A349" s="5">
        <f>IF($J349="","",IF($J349&lt;=1500,INDEX('Daily Sale entry '!$X$1:$X$1501,$J349+1),INDEX('Daily Sale entry '!$V$1:$V$1501,$J349-1499)))</f>
        <v/>
      </c>
      <c r="B349">
        <f>IF($J349="","",IF($J349&lt;=1500,INDEX('Daily Sale entry '!$Y$1:$Y$1501,$J349+1)&amp;"","Buyer cheque banked 买家支票存入"&amp;IF(INDEX('Daily Sale entry '!$U$1:$U$1501,$J349-1499)="","", " - "&amp;INDEX('Daily Sale entry '!$U$1:$U$1501,$J349-1499))))</f>
        <v/>
      </c>
      <c r="C349">
        <f>IF($J349="","",IF($J349&lt;=1500,INDEX('Daily Sale entry '!$Z$1:$Z$1501,$J349+1)&amp;"","Cheque deposit 支票存入 (buyer 买家)"))</f>
        <v/>
      </c>
      <c r="D349">
        <f>IF($J349="","",IF($J349&lt;=1500,INDEX('Daily Sale entry '!$AA$1:$AA$1501,$J349+1)&amp;"",INDEX('Daily Sale entry '!$P$1:$P$1501,$J349-1499)&amp;""))</f>
        <v/>
      </c>
      <c r="E349">
        <f>IF($J349="","",IF($J349&lt;=1500,IF(N(INDEX('Daily Sale entry '!$AB$1:$AB$1501,$J349+1))=0,"",INDEX('Daily Sale entry '!$AB$1:$AB$1501,$J349+1)),1))</f>
        <v/>
      </c>
      <c r="F349" s="6">
        <f>IF($J349="","",IF($J349&lt;=1500,N(INDEX('Daily Sale entry '!$AC$1:$AC$1501,$J349+1))-IF(AND('Opening Balance'!$B$15=1,INDEX('Daily Sale entry '!$Z$1:$Z$1501,$J349+1)="Online collection 网上收款",INDEX('Daily Sale entry '!$AA$1:$AA$1501,$J349+1)&lt;&gt;""),N(INDEX('Daily Sale entry '!$AC$1:$AC$1501,$J349+1))-TRUNC(N(INDEX('Daily Sale entry '!$AC$1:$AC$1501,$J349+1))),0),N(INDEX('Daily Sale entry '!$S$1:$S$1501,$J349-1499))-'Opening Balance'!$B$15*(N(INDEX('Daily Sale entry '!$S$1:$S$1501,$J349-1499))-TRUNC(N(INDEX('Daily Sale entry '!$S$1:$S$1501,$J349-1499))))))</f>
        <v/>
      </c>
      <c r="G349" s="6">
        <f>IF($J349="","",IF($J349&lt;=1500,N(INDEX('Daily Sale entry '!$AD$1:$AD$1501,$J349+1)),0))</f>
        <v/>
      </c>
      <c r="H349" s="6">
        <f>IF($J349="","",ROUND('Opening Balance'!$B$4+SUM($F$2:F349)-SUM($G$2:G349),2))</f>
        <v/>
      </c>
      <c r="J349" s="21">
        <f>IFERROR(MATCH(ROW()-1,$L$2:$L$3001,0),"")</f>
        <v/>
      </c>
      <c r="K349" s="34">
        <f>IF(AND('Daily Sale entry '!X349&lt;&gt;"",OR('Daily Sale entry '!AC349&lt;&gt;"",'Daily Sale entry '!AD349&lt;&gt;"")),'Daily Sale entry '!X349+ROW()/10000000,"")</f>
        <v/>
      </c>
      <c r="L349" s="21">
        <f>IF(K349="","",COUNTIF($K$2:$K$3001,"&lt;"&amp;K349)+1)</f>
        <v/>
      </c>
    </row>
    <row r="350">
      <c r="A350" s="5">
        <f>IF($J350="","",IF($J350&lt;=1500,INDEX('Daily Sale entry '!$X$1:$X$1501,$J350+1),INDEX('Daily Sale entry '!$V$1:$V$1501,$J350-1499)))</f>
        <v/>
      </c>
      <c r="B350">
        <f>IF($J350="","",IF($J350&lt;=1500,INDEX('Daily Sale entry '!$Y$1:$Y$1501,$J350+1)&amp;"","Buyer cheque banked 买家支票存入"&amp;IF(INDEX('Daily Sale entry '!$U$1:$U$1501,$J350-1499)="","", " - "&amp;INDEX('Daily Sale entry '!$U$1:$U$1501,$J350-1499))))</f>
        <v/>
      </c>
      <c r="C350">
        <f>IF($J350="","",IF($J350&lt;=1500,INDEX('Daily Sale entry '!$Z$1:$Z$1501,$J350+1)&amp;"","Cheque deposit 支票存入 (buyer 买家)"))</f>
        <v/>
      </c>
      <c r="D350">
        <f>IF($J350="","",IF($J350&lt;=1500,INDEX('Daily Sale entry '!$AA$1:$AA$1501,$J350+1)&amp;"",INDEX('Daily Sale entry '!$P$1:$P$1501,$J350-1499)&amp;""))</f>
        <v/>
      </c>
      <c r="E350">
        <f>IF($J350="","",IF($J350&lt;=1500,IF(N(INDEX('Daily Sale entry '!$AB$1:$AB$1501,$J350+1))=0,"",INDEX('Daily Sale entry '!$AB$1:$AB$1501,$J350+1)),1))</f>
        <v/>
      </c>
      <c r="F350" s="6">
        <f>IF($J350="","",IF($J350&lt;=1500,N(INDEX('Daily Sale entry '!$AC$1:$AC$1501,$J350+1))-IF(AND('Opening Balance'!$B$15=1,INDEX('Daily Sale entry '!$Z$1:$Z$1501,$J350+1)="Online collection 网上收款",INDEX('Daily Sale entry '!$AA$1:$AA$1501,$J350+1)&lt;&gt;""),N(INDEX('Daily Sale entry '!$AC$1:$AC$1501,$J350+1))-TRUNC(N(INDEX('Daily Sale entry '!$AC$1:$AC$1501,$J350+1))),0),N(INDEX('Daily Sale entry '!$S$1:$S$1501,$J350-1499))-'Opening Balance'!$B$15*(N(INDEX('Daily Sale entry '!$S$1:$S$1501,$J350-1499))-TRUNC(N(INDEX('Daily Sale entry '!$S$1:$S$1501,$J350-1499))))))</f>
        <v/>
      </c>
      <c r="G350" s="6">
        <f>IF($J350="","",IF($J350&lt;=1500,N(INDEX('Daily Sale entry '!$AD$1:$AD$1501,$J350+1)),0))</f>
        <v/>
      </c>
      <c r="H350" s="6">
        <f>IF($J350="","",ROUND('Opening Balance'!$B$4+SUM($F$2:F350)-SUM($G$2:G350),2))</f>
        <v/>
      </c>
      <c r="J350" s="21">
        <f>IFERROR(MATCH(ROW()-1,$L$2:$L$3001,0),"")</f>
        <v/>
      </c>
      <c r="K350" s="34">
        <f>IF(AND('Daily Sale entry '!X350&lt;&gt;"",OR('Daily Sale entry '!AC350&lt;&gt;"",'Daily Sale entry '!AD350&lt;&gt;"")),'Daily Sale entry '!X350+ROW()/10000000,"")</f>
        <v/>
      </c>
      <c r="L350" s="21">
        <f>IF(K350="","",COUNTIF($K$2:$K$3001,"&lt;"&amp;K350)+1)</f>
        <v/>
      </c>
    </row>
    <row r="351">
      <c r="A351" s="5">
        <f>IF($J351="","",IF($J351&lt;=1500,INDEX('Daily Sale entry '!$X$1:$X$1501,$J351+1),INDEX('Daily Sale entry '!$V$1:$V$1501,$J351-1499)))</f>
        <v/>
      </c>
      <c r="B351">
        <f>IF($J351="","",IF($J351&lt;=1500,INDEX('Daily Sale entry '!$Y$1:$Y$1501,$J351+1)&amp;"","Buyer cheque banked 买家支票存入"&amp;IF(INDEX('Daily Sale entry '!$U$1:$U$1501,$J351-1499)="","", " - "&amp;INDEX('Daily Sale entry '!$U$1:$U$1501,$J351-1499))))</f>
        <v/>
      </c>
      <c r="C351">
        <f>IF($J351="","",IF($J351&lt;=1500,INDEX('Daily Sale entry '!$Z$1:$Z$1501,$J351+1)&amp;"","Cheque deposit 支票存入 (buyer 买家)"))</f>
        <v/>
      </c>
      <c r="D351">
        <f>IF($J351="","",IF($J351&lt;=1500,INDEX('Daily Sale entry '!$AA$1:$AA$1501,$J351+1)&amp;"",INDEX('Daily Sale entry '!$P$1:$P$1501,$J351-1499)&amp;""))</f>
        <v/>
      </c>
      <c r="E351">
        <f>IF($J351="","",IF($J351&lt;=1500,IF(N(INDEX('Daily Sale entry '!$AB$1:$AB$1501,$J351+1))=0,"",INDEX('Daily Sale entry '!$AB$1:$AB$1501,$J351+1)),1))</f>
        <v/>
      </c>
      <c r="F351" s="6">
        <f>IF($J351="","",IF($J351&lt;=1500,N(INDEX('Daily Sale entry '!$AC$1:$AC$1501,$J351+1))-IF(AND('Opening Balance'!$B$15=1,INDEX('Daily Sale entry '!$Z$1:$Z$1501,$J351+1)="Online collection 网上收款",INDEX('Daily Sale entry '!$AA$1:$AA$1501,$J351+1)&lt;&gt;""),N(INDEX('Daily Sale entry '!$AC$1:$AC$1501,$J351+1))-TRUNC(N(INDEX('Daily Sale entry '!$AC$1:$AC$1501,$J351+1))),0),N(INDEX('Daily Sale entry '!$S$1:$S$1501,$J351-1499))-'Opening Balance'!$B$15*(N(INDEX('Daily Sale entry '!$S$1:$S$1501,$J351-1499))-TRUNC(N(INDEX('Daily Sale entry '!$S$1:$S$1501,$J351-1499))))))</f>
        <v/>
      </c>
      <c r="G351" s="6">
        <f>IF($J351="","",IF($J351&lt;=1500,N(INDEX('Daily Sale entry '!$AD$1:$AD$1501,$J351+1)),0))</f>
        <v/>
      </c>
      <c r="H351" s="6">
        <f>IF($J351="","",ROUND('Opening Balance'!$B$4+SUM($F$2:F351)-SUM($G$2:G351),2))</f>
        <v/>
      </c>
      <c r="J351" s="21">
        <f>IFERROR(MATCH(ROW()-1,$L$2:$L$3001,0),"")</f>
        <v/>
      </c>
      <c r="K351" s="34">
        <f>IF(AND('Daily Sale entry '!X351&lt;&gt;"",OR('Daily Sale entry '!AC351&lt;&gt;"",'Daily Sale entry '!AD351&lt;&gt;"")),'Daily Sale entry '!X351+ROW()/10000000,"")</f>
        <v/>
      </c>
      <c r="L351" s="21">
        <f>IF(K351="","",COUNTIF($K$2:$K$3001,"&lt;"&amp;K351)+1)</f>
        <v/>
      </c>
    </row>
    <row r="352">
      <c r="A352" s="5">
        <f>IF($J352="","",IF($J352&lt;=1500,INDEX('Daily Sale entry '!$X$1:$X$1501,$J352+1),INDEX('Daily Sale entry '!$V$1:$V$1501,$J352-1499)))</f>
        <v/>
      </c>
      <c r="B352">
        <f>IF($J352="","",IF($J352&lt;=1500,INDEX('Daily Sale entry '!$Y$1:$Y$1501,$J352+1)&amp;"","Buyer cheque banked 买家支票存入"&amp;IF(INDEX('Daily Sale entry '!$U$1:$U$1501,$J352-1499)="","", " - "&amp;INDEX('Daily Sale entry '!$U$1:$U$1501,$J352-1499))))</f>
        <v/>
      </c>
      <c r="C352">
        <f>IF($J352="","",IF($J352&lt;=1500,INDEX('Daily Sale entry '!$Z$1:$Z$1501,$J352+1)&amp;"","Cheque deposit 支票存入 (buyer 买家)"))</f>
        <v/>
      </c>
      <c r="D352">
        <f>IF($J352="","",IF($J352&lt;=1500,INDEX('Daily Sale entry '!$AA$1:$AA$1501,$J352+1)&amp;"",INDEX('Daily Sale entry '!$P$1:$P$1501,$J352-1499)&amp;""))</f>
        <v/>
      </c>
      <c r="E352">
        <f>IF($J352="","",IF($J352&lt;=1500,IF(N(INDEX('Daily Sale entry '!$AB$1:$AB$1501,$J352+1))=0,"",INDEX('Daily Sale entry '!$AB$1:$AB$1501,$J352+1)),1))</f>
        <v/>
      </c>
      <c r="F352" s="6">
        <f>IF($J352="","",IF($J352&lt;=1500,N(INDEX('Daily Sale entry '!$AC$1:$AC$1501,$J352+1))-IF(AND('Opening Balance'!$B$15=1,INDEX('Daily Sale entry '!$Z$1:$Z$1501,$J352+1)="Online collection 网上收款",INDEX('Daily Sale entry '!$AA$1:$AA$1501,$J352+1)&lt;&gt;""),N(INDEX('Daily Sale entry '!$AC$1:$AC$1501,$J352+1))-TRUNC(N(INDEX('Daily Sale entry '!$AC$1:$AC$1501,$J352+1))),0),N(INDEX('Daily Sale entry '!$S$1:$S$1501,$J352-1499))-'Opening Balance'!$B$15*(N(INDEX('Daily Sale entry '!$S$1:$S$1501,$J352-1499))-TRUNC(N(INDEX('Daily Sale entry '!$S$1:$S$1501,$J352-1499))))))</f>
        <v/>
      </c>
      <c r="G352" s="6">
        <f>IF($J352="","",IF($J352&lt;=1500,N(INDEX('Daily Sale entry '!$AD$1:$AD$1501,$J352+1)),0))</f>
        <v/>
      </c>
      <c r="H352" s="6">
        <f>IF($J352="","",ROUND('Opening Balance'!$B$4+SUM($F$2:F352)-SUM($G$2:G352),2))</f>
        <v/>
      </c>
      <c r="J352" s="21">
        <f>IFERROR(MATCH(ROW()-1,$L$2:$L$3001,0),"")</f>
        <v/>
      </c>
      <c r="K352" s="34">
        <f>IF(AND('Daily Sale entry '!X352&lt;&gt;"",OR('Daily Sale entry '!AC352&lt;&gt;"",'Daily Sale entry '!AD352&lt;&gt;"")),'Daily Sale entry '!X352+ROW()/10000000,"")</f>
        <v/>
      </c>
      <c r="L352" s="21">
        <f>IF(K352="","",COUNTIF($K$2:$K$3001,"&lt;"&amp;K352)+1)</f>
        <v/>
      </c>
    </row>
    <row r="353">
      <c r="A353" s="5">
        <f>IF($J353="","",IF($J353&lt;=1500,INDEX('Daily Sale entry '!$X$1:$X$1501,$J353+1),INDEX('Daily Sale entry '!$V$1:$V$1501,$J353-1499)))</f>
        <v/>
      </c>
      <c r="B353">
        <f>IF($J353="","",IF($J353&lt;=1500,INDEX('Daily Sale entry '!$Y$1:$Y$1501,$J353+1)&amp;"","Buyer cheque banked 买家支票存入"&amp;IF(INDEX('Daily Sale entry '!$U$1:$U$1501,$J353-1499)="","", " - "&amp;INDEX('Daily Sale entry '!$U$1:$U$1501,$J353-1499))))</f>
        <v/>
      </c>
      <c r="C353">
        <f>IF($J353="","",IF($J353&lt;=1500,INDEX('Daily Sale entry '!$Z$1:$Z$1501,$J353+1)&amp;"","Cheque deposit 支票存入 (buyer 买家)"))</f>
        <v/>
      </c>
      <c r="D353">
        <f>IF($J353="","",IF($J353&lt;=1500,INDEX('Daily Sale entry '!$AA$1:$AA$1501,$J353+1)&amp;"",INDEX('Daily Sale entry '!$P$1:$P$1501,$J353-1499)&amp;""))</f>
        <v/>
      </c>
      <c r="E353">
        <f>IF($J353="","",IF($J353&lt;=1500,IF(N(INDEX('Daily Sale entry '!$AB$1:$AB$1501,$J353+1))=0,"",INDEX('Daily Sale entry '!$AB$1:$AB$1501,$J353+1)),1))</f>
        <v/>
      </c>
      <c r="F353" s="6">
        <f>IF($J353="","",IF($J353&lt;=1500,N(INDEX('Daily Sale entry '!$AC$1:$AC$1501,$J353+1))-IF(AND('Opening Balance'!$B$15=1,INDEX('Daily Sale entry '!$Z$1:$Z$1501,$J353+1)="Online collection 网上收款",INDEX('Daily Sale entry '!$AA$1:$AA$1501,$J353+1)&lt;&gt;""),N(INDEX('Daily Sale entry '!$AC$1:$AC$1501,$J353+1))-TRUNC(N(INDEX('Daily Sale entry '!$AC$1:$AC$1501,$J353+1))),0),N(INDEX('Daily Sale entry '!$S$1:$S$1501,$J353-1499))-'Opening Balance'!$B$15*(N(INDEX('Daily Sale entry '!$S$1:$S$1501,$J353-1499))-TRUNC(N(INDEX('Daily Sale entry '!$S$1:$S$1501,$J353-1499))))))</f>
        <v/>
      </c>
      <c r="G353" s="6">
        <f>IF($J353="","",IF($J353&lt;=1500,N(INDEX('Daily Sale entry '!$AD$1:$AD$1501,$J353+1)),0))</f>
        <v/>
      </c>
      <c r="H353" s="6">
        <f>IF($J353="","",ROUND('Opening Balance'!$B$4+SUM($F$2:F353)-SUM($G$2:G353),2))</f>
        <v/>
      </c>
      <c r="J353" s="21">
        <f>IFERROR(MATCH(ROW()-1,$L$2:$L$3001,0),"")</f>
        <v/>
      </c>
      <c r="K353" s="34">
        <f>IF(AND('Daily Sale entry '!X353&lt;&gt;"",OR('Daily Sale entry '!AC353&lt;&gt;"",'Daily Sale entry '!AD353&lt;&gt;"")),'Daily Sale entry '!X353+ROW()/10000000,"")</f>
        <v/>
      </c>
      <c r="L353" s="21">
        <f>IF(K353="","",COUNTIF($K$2:$K$3001,"&lt;"&amp;K353)+1)</f>
        <v/>
      </c>
    </row>
    <row r="354">
      <c r="A354" s="5">
        <f>IF($J354="","",IF($J354&lt;=1500,INDEX('Daily Sale entry '!$X$1:$X$1501,$J354+1),INDEX('Daily Sale entry '!$V$1:$V$1501,$J354-1499)))</f>
        <v/>
      </c>
      <c r="B354">
        <f>IF($J354="","",IF($J354&lt;=1500,INDEX('Daily Sale entry '!$Y$1:$Y$1501,$J354+1)&amp;"","Buyer cheque banked 买家支票存入"&amp;IF(INDEX('Daily Sale entry '!$U$1:$U$1501,$J354-1499)="","", " - "&amp;INDEX('Daily Sale entry '!$U$1:$U$1501,$J354-1499))))</f>
        <v/>
      </c>
      <c r="C354">
        <f>IF($J354="","",IF($J354&lt;=1500,INDEX('Daily Sale entry '!$Z$1:$Z$1501,$J354+1)&amp;"","Cheque deposit 支票存入 (buyer 买家)"))</f>
        <v/>
      </c>
      <c r="D354">
        <f>IF($J354="","",IF($J354&lt;=1500,INDEX('Daily Sale entry '!$AA$1:$AA$1501,$J354+1)&amp;"",INDEX('Daily Sale entry '!$P$1:$P$1501,$J354-1499)&amp;""))</f>
        <v/>
      </c>
      <c r="E354">
        <f>IF($J354="","",IF($J354&lt;=1500,IF(N(INDEX('Daily Sale entry '!$AB$1:$AB$1501,$J354+1))=0,"",INDEX('Daily Sale entry '!$AB$1:$AB$1501,$J354+1)),1))</f>
        <v/>
      </c>
      <c r="F354" s="6">
        <f>IF($J354="","",IF($J354&lt;=1500,N(INDEX('Daily Sale entry '!$AC$1:$AC$1501,$J354+1))-IF(AND('Opening Balance'!$B$15=1,INDEX('Daily Sale entry '!$Z$1:$Z$1501,$J354+1)="Online collection 网上收款",INDEX('Daily Sale entry '!$AA$1:$AA$1501,$J354+1)&lt;&gt;""),N(INDEX('Daily Sale entry '!$AC$1:$AC$1501,$J354+1))-TRUNC(N(INDEX('Daily Sale entry '!$AC$1:$AC$1501,$J354+1))),0),N(INDEX('Daily Sale entry '!$S$1:$S$1501,$J354-1499))-'Opening Balance'!$B$15*(N(INDEX('Daily Sale entry '!$S$1:$S$1501,$J354-1499))-TRUNC(N(INDEX('Daily Sale entry '!$S$1:$S$1501,$J354-1499))))))</f>
        <v/>
      </c>
      <c r="G354" s="6">
        <f>IF($J354="","",IF($J354&lt;=1500,N(INDEX('Daily Sale entry '!$AD$1:$AD$1501,$J354+1)),0))</f>
        <v/>
      </c>
      <c r="H354" s="6">
        <f>IF($J354="","",ROUND('Opening Balance'!$B$4+SUM($F$2:F354)-SUM($G$2:G354),2))</f>
        <v/>
      </c>
      <c r="J354" s="21">
        <f>IFERROR(MATCH(ROW()-1,$L$2:$L$3001,0),"")</f>
        <v/>
      </c>
      <c r="K354" s="34">
        <f>IF(AND('Daily Sale entry '!X354&lt;&gt;"",OR('Daily Sale entry '!AC354&lt;&gt;"",'Daily Sale entry '!AD354&lt;&gt;"")),'Daily Sale entry '!X354+ROW()/10000000,"")</f>
        <v/>
      </c>
      <c r="L354" s="21">
        <f>IF(K354="","",COUNTIF($K$2:$K$3001,"&lt;"&amp;K354)+1)</f>
        <v/>
      </c>
    </row>
    <row r="355">
      <c r="A355" s="5">
        <f>IF($J355="","",IF($J355&lt;=1500,INDEX('Daily Sale entry '!$X$1:$X$1501,$J355+1),INDEX('Daily Sale entry '!$V$1:$V$1501,$J355-1499)))</f>
        <v/>
      </c>
      <c r="B355">
        <f>IF($J355="","",IF($J355&lt;=1500,INDEX('Daily Sale entry '!$Y$1:$Y$1501,$J355+1)&amp;"","Buyer cheque banked 买家支票存入"&amp;IF(INDEX('Daily Sale entry '!$U$1:$U$1501,$J355-1499)="","", " - "&amp;INDEX('Daily Sale entry '!$U$1:$U$1501,$J355-1499))))</f>
        <v/>
      </c>
      <c r="C355">
        <f>IF($J355="","",IF($J355&lt;=1500,INDEX('Daily Sale entry '!$Z$1:$Z$1501,$J355+1)&amp;"","Cheque deposit 支票存入 (buyer 买家)"))</f>
        <v/>
      </c>
      <c r="D355">
        <f>IF($J355="","",IF($J355&lt;=1500,INDEX('Daily Sale entry '!$AA$1:$AA$1501,$J355+1)&amp;"",INDEX('Daily Sale entry '!$P$1:$P$1501,$J355-1499)&amp;""))</f>
        <v/>
      </c>
      <c r="E355">
        <f>IF($J355="","",IF($J355&lt;=1500,IF(N(INDEX('Daily Sale entry '!$AB$1:$AB$1501,$J355+1))=0,"",INDEX('Daily Sale entry '!$AB$1:$AB$1501,$J355+1)),1))</f>
        <v/>
      </c>
      <c r="F355" s="6">
        <f>IF($J355="","",IF($J355&lt;=1500,N(INDEX('Daily Sale entry '!$AC$1:$AC$1501,$J355+1))-IF(AND('Opening Balance'!$B$15=1,INDEX('Daily Sale entry '!$Z$1:$Z$1501,$J355+1)="Online collection 网上收款",INDEX('Daily Sale entry '!$AA$1:$AA$1501,$J355+1)&lt;&gt;""),N(INDEX('Daily Sale entry '!$AC$1:$AC$1501,$J355+1))-TRUNC(N(INDEX('Daily Sale entry '!$AC$1:$AC$1501,$J355+1))),0),N(INDEX('Daily Sale entry '!$S$1:$S$1501,$J355-1499))-'Opening Balance'!$B$15*(N(INDEX('Daily Sale entry '!$S$1:$S$1501,$J355-1499))-TRUNC(N(INDEX('Daily Sale entry '!$S$1:$S$1501,$J355-1499))))))</f>
        <v/>
      </c>
      <c r="G355" s="6">
        <f>IF($J355="","",IF($J355&lt;=1500,N(INDEX('Daily Sale entry '!$AD$1:$AD$1501,$J355+1)),0))</f>
        <v/>
      </c>
      <c r="H355" s="6">
        <f>IF($J355="","",ROUND('Opening Balance'!$B$4+SUM($F$2:F355)-SUM($G$2:G355),2))</f>
        <v/>
      </c>
      <c r="J355" s="21">
        <f>IFERROR(MATCH(ROW()-1,$L$2:$L$3001,0),"")</f>
        <v/>
      </c>
      <c r="K355" s="34">
        <f>IF(AND('Daily Sale entry '!X355&lt;&gt;"",OR('Daily Sale entry '!AC355&lt;&gt;"",'Daily Sale entry '!AD355&lt;&gt;"")),'Daily Sale entry '!X355+ROW()/10000000,"")</f>
        <v/>
      </c>
      <c r="L355" s="21">
        <f>IF(K355="","",COUNTIF($K$2:$K$3001,"&lt;"&amp;K355)+1)</f>
        <v/>
      </c>
    </row>
    <row r="356">
      <c r="A356" s="5">
        <f>IF($J356="","",IF($J356&lt;=1500,INDEX('Daily Sale entry '!$X$1:$X$1501,$J356+1),INDEX('Daily Sale entry '!$V$1:$V$1501,$J356-1499)))</f>
        <v/>
      </c>
      <c r="B356">
        <f>IF($J356="","",IF($J356&lt;=1500,INDEX('Daily Sale entry '!$Y$1:$Y$1501,$J356+1)&amp;"","Buyer cheque banked 买家支票存入"&amp;IF(INDEX('Daily Sale entry '!$U$1:$U$1501,$J356-1499)="","", " - "&amp;INDEX('Daily Sale entry '!$U$1:$U$1501,$J356-1499))))</f>
        <v/>
      </c>
      <c r="C356">
        <f>IF($J356="","",IF($J356&lt;=1500,INDEX('Daily Sale entry '!$Z$1:$Z$1501,$J356+1)&amp;"","Cheque deposit 支票存入 (buyer 买家)"))</f>
        <v/>
      </c>
      <c r="D356">
        <f>IF($J356="","",IF($J356&lt;=1500,INDEX('Daily Sale entry '!$AA$1:$AA$1501,$J356+1)&amp;"",INDEX('Daily Sale entry '!$P$1:$P$1501,$J356-1499)&amp;""))</f>
        <v/>
      </c>
      <c r="E356">
        <f>IF($J356="","",IF($J356&lt;=1500,IF(N(INDEX('Daily Sale entry '!$AB$1:$AB$1501,$J356+1))=0,"",INDEX('Daily Sale entry '!$AB$1:$AB$1501,$J356+1)),1))</f>
        <v/>
      </c>
      <c r="F356" s="6">
        <f>IF($J356="","",IF($J356&lt;=1500,N(INDEX('Daily Sale entry '!$AC$1:$AC$1501,$J356+1))-IF(AND('Opening Balance'!$B$15=1,INDEX('Daily Sale entry '!$Z$1:$Z$1501,$J356+1)="Online collection 网上收款",INDEX('Daily Sale entry '!$AA$1:$AA$1501,$J356+1)&lt;&gt;""),N(INDEX('Daily Sale entry '!$AC$1:$AC$1501,$J356+1))-TRUNC(N(INDEX('Daily Sale entry '!$AC$1:$AC$1501,$J356+1))),0),N(INDEX('Daily Sale entry '!$S$1:$S$1501,$J356-1499))-'Opening Balance'!$B$15*(N(INDEX('Daily Sale entry '!$S$1:$S$1501,$J356-1499))-TRUNC(N(INDEX('Daily Sale entry '!$S$1:$S$1501,$J356-1499))))))</f>
        <v/>
      </c>
      <c r="G356" s="6">
        <f>IF($J356="","",IF($J356&lt;=1500,N(INDEX('Daily Sale entry '!$AD$1:$AD$1501,$J356+1)),0))</f>
        <v/>
      </c>
      <c r="H356" s="6">
        <f>IF($J356="","",ROUND('Opening Balance'!$B$4+SUM($F$2:F356)-SUM($G$2:G356),2))</f>
        <v/>
      </c>
      <c r="J356" s="21">
        <f>IFERROR(MATCH(ROW()-1,$L$2:$L$3001,0),"")</f>
        <v/>
      </c>
      <c r="K356" s="34">
        <f>IF(AND('Daily Sale entry '!X356&lt;&gt;"",OR('Daily Sale entry '!AC356&lt;&gt;"",'Daily Sale entry '!AD356&lt;&gt;"")),'Daily Sale entry '!X356+ROW()/10000000,"")</f>
        <v/>
      </c>
      <c r="L356" s="21">
        <f>IF(K356="","",COUNTIF($K$2:$K$3001,"&lt;"&amp;K356)+1)</f>
        <v/>
      </c>
    </row>
    <row r="357">
      <c r="A357" s="5">
        <f>IF($J357="","",IF($J357&lt;=1500,INDEX('Daily Sale entry '!$X$1:$X$1501,$J357+1),INDEX('Daily Sale entry '!$V$1:$V$1501,$J357-1499)))</f>
        <v/>
      </c>
      <c r="B357">
        <f>IF($J357="","",IF($J357&lt;=1500,INDEX('Daily Sale entry '!$Y$1:$Y$1501,$J357+1)&amp;"","Buyer cheque banked 买家支票存入"&amp;IF(INDEX('Daily Sale entry '!$U$1:$U$1501,$J357-1499)="","", " - "&amp;INDEX('Daily Sale entry '!$U$1:$U$1501,$J357-1499))))</f>
        <v/>
      </c>
      <c r="C357">
        <f>IF($J357="","",IF($J357&lt;=1500,INDEX('Daily Sale entry '!$Z$1:$Z$1501,$J357+1)&amp;"","Cheque deposit 支票存入 (buyer 买家)"))</f>
        <v/>
      </c>
      <c r="D357">
        <f>IF($J357="","",IF($J357&lt;=1500,INDEX('Daily Sale entry '!$AA$1:$AA$1501,$J357+1)&amp;"",INDEX('Daily Sale entry '!$P$1:$P$1501,$J357-1499)&amp;""))</f>
        <v/>
      </c>
      <c r="E357">
        <f>IF($J357="","",IF($J357&lt;=1500,IF(N(INDEX('Daily Sale entry '!$AB$1:$AB$1501,$J357+1))=0,"",INDEX('Daily Sale entry '!$AB$1:$AB$1501,$J357+1)),1))</f>
        <v/>
      </c>
      <c r="F357" s="6">
        <f>IF($J357="","",IF($J357&lt;=1500,N(INDEX('Daily Sale entry '!$AC$1:$AC$1501,$J357+1))-IF(AND('Opening Balance'!$B$15=1,INDEX('Daily Sale entry '!$Z$1:$Z$1501,$J357+1)="Online collection 网上收款",INDEX('Daily Sale entry '!$AA$1:$AA$1501,$J357+1)&lt;&gt;""),N(INDEX('Daily Sale entry '!$AC$1:$AC$1501,$J357+1))-TRUNC(N(INDEX('Daily Sale entry '!$AC$1:$AC$1501,$J357+1))),0),N(INDEX('Daily Sale entry '!$S$1:$S$1501,$J357-1499))-'Opening Balance'!$B$15*(N(INDEX('Daily Sale entry '!$S$1:$S$1501,$J357-1499))-TRUNC(N(INDEX('Daily Sale entry '!$S$1:$S$1501,$J357-1499))))))</f>
        <v/>
      </c>
      <c r="G357" s="6">
        <f>IF($J357="","",IF($J357&lt;=1500,N(INDEX('Daily Sale entry '!$AD$1:$AD$1501,$J357+1)),0))</f>
        <v/>
      </c>
      <c r="H357" s="6">
        <f>IF($J357="","",ROUND('Opening Balance'!$B$4+SUM($F$2:F357)-SUM($G$2:G357),2))</f>
        <v/>
      </c>
      <c r="J357" s="21">
        <f>IFERROR(MATCH(ROW()-1,$L$2:$L$3001,0),"")</f>
        <v/>
      </c>
      <c r="K357" s="34">
        <f>IF(AND('Daily Sale entry '!X357&lt;&gt;"",OR('Daily Sale entry '!AC357&lt;&gt;"",'Daily Sale entry '!AD357&lt;&gt;"")),'Daily Sale entry '!X357+ROW()/10000000,"")</f>
        <v/>
      </c>
      <c r="L357" s="21">
        <f>IF(K357="","",COUNTIF($K$2:$K$3001,"&lt;"&amp;K357)+1)</f>
        <v/>
      </c>
    </row>
    <row r="358">
      <c r="A358" s="5">
        <f>IF($J358="","",IF($J358&lt;=1500,INDEX('Daily Sale entry '!$X$1:$X$1501,$J358+1),INDEX('Daily Sale entry '!$V$1:$V$1501,$J358-1499)))</f>
        <v/>
      </c>
      <c r="B358">
        <f>IF($J358="","",IF($J358&lt;=1500,INDEX('Daily Sale entry '!$Y$1:$Y$1501,$J358+1)&amp;"","Buyer cheque banked 买家支票存入"&amp;IF(INDEX('Daily Sale entry '!$U$1:$U$1501,$J358-1499)="","", " - "&amp;INDEX('Daily Sale entry '!$U$1:$U$1501,$J358-1499))))</f>
        <v/>
      </c>
      <c r="C358">
        <f>IF($J358="","",IF($J358&lt;=1500,INDEX('Daily Sale entry '!$Z$1:$Z$1501,$J358+1)&amp;"","Cheque deposit 支票存入 (buyer 买家)"))</f>
        <v/>
      </c>
      <c r="D358">
        <f>IF($J358="","",IF($J358&lt;=1500,INDEX('Daily Sale entry '!$AA$1:$AA$1501,$J358+1)&amp;"",INDEX('Daily Sale entry '!$P$1:$P$1501,$J358-1499)&amp;""))</f>
        <v/>
      </c>
      <c r="E358">
        <f>IF($J358="","",IF($J358&lt;=1500,IF(N(INDEX('Daily Sale entry '!$AB$1:$AB$1501,$J358+1))=0,"",INDEX('Daily Sale entry '!$AB$1:$AB$1501,$J358+1)),1))</f>
        <v/>
      </c>
      <c r="F358" s="6">
        <f>IF($J358="","",IF($J358&lt;=1500,N(INDEX('Daily Sale entry '!$AC$1:$AC$1501,$J358+1))-IF(AND('Opening Balance'!$B$15=1,INDEX('Daily Sale entry '!$Z$1:$Z$1501,$J358+1)="Online collection 网上收款",INDEX('Daily Sale entry '!$AA$1:$AA$1501,$J358+1)&lt;&gt;""),N(INDEX('Daily Sale entry '!$AC$1:$AC$1501,$J358+1))-TRUNC(N(INDEX('Daily Sale entry '!$AC$1:$AC$1501,$J358+1))),0),N(INDEX('Daily Sale entry '!$S$1:$S$1501,$J358-1499))-'Opening Balance'!$B$15*(N(INDEX('Daily Sale entry '!$S$1:$S$1501,$J358-1499))-TRUNC(N(INDEX('Daily Sale entry '!$S$1:$S$1501,$J358-1499))))))</f>
        <v/>
      </c>
      <c r="G358" s="6">
        <f>IF($J358="","",IF($J358&lt;=1500,N(INDEX('Daily Sale entry '!$AD$1:$AD$1501,$J358+1)),0))</f>
        <v/>
      </c>
      <c r="H358" s="6">
        <f>IF($J358="","",ROUND('Opening Balance'!$B$4+SUM($F$2:F358)-SUM($G$2:G358),2))</f>
        <v/>
      </c>
      <c r="J358" s="21">
        <f>IFERROR(MATCH(ROW()-1,$L$2:$L$3001,0),"")</f>
        <v/>
      </c>
      <c r="K358" s="34">
        <f>IF(AND('Daily Sale entry '!X358&lt;&gt;"",OR('Daily Sale entry '!AC358&lt;&gt;"",'Daily Sale entry '!AD358&lt;&gt;"")),'Daily Sale entry '!X358+ROW()/10000000,"")</f>
        <v/>
      </c>
      <c r="L358" s="21">
        <f>IF(K358="","",COUNTIF($K$2:$K$3001,"&lt;"&amp;K358)+1)</f>
        <v/>
      </c>
    </row>
    <row r="359">
      <c r="A359" s="5">
        <f>IF($J359="","",IF($J359&lt;=1500,INDEX('Daily Sale entry '!$X$1:$X$1501,$J359+1),INDEX('Daily Sale entry '!$V$1:$V$1501,$J359-1499)))</f>
        <v/>
      </c>
      <c r="B359">
        <f>IF($J359="","",IF($J359&lt;=1500,INDEX('Daily Sale entry '!$Y$1:$Y$1501,$J359+1)&amp;"","Buyer cheque banked 买家支票存入"&amp;IF(INDEX('Daily Sale entry '!$U$1:$U$1501,$J359-1499)="","", " - "&amp;INDEX('Daily Sale entry '!$U$1:$U$1501,$J359-1499))))</f>
        <v/>
      </c>
      <c r="C359">
        <f>IF($J359="","",IF($J359&lt;=1500,INDEX('Daily Sale entry '!$Z$1:$Z$1501,$J359+1)&amp;"","Cheque deposit 支票存入 (buyer 买家)"))</f>
        <v/>
      </c>
      <c r="D359">
        <f>IF($J359="","",IF($J359&lt;=1500,INDEX('Daily Sale entry '!$AA$1:$AA$1501,$J359+1)&amp;"",INDEX('Daily Sale entry '!$P$1:$P$1501,$J359-1499)&amp;""))</f>
        <v/>
      </c>
      <c r="E359">
        <f>IF($J359="","",IF($J359&lt;=1500,IF(N(INDEX('Daily Sale entry '!$AB$1:$AB$1501,$J359+1))=0,"",INDEX('Daily Sale entry '!$AB$1:$AB$1501,$J359+1)),1))</f>
        <v/>
      </c>
      <c r="F359" s="6">
        <f>IF($J359="","",IF($J359&lt;=1500,N(INDEX('Daily Sale entry '!$AC$1:$AC$1501,$J359+1))-IF(AND('Opening Balance'!$B$15=1,INDEX('Daily Sale entry '!$Z$1:$Z$1501,$J359+1)="Online collection 网上收款",INDEX('Daily Sale entry '!$AA$1:$AA$1501,$J359+1)&lt;&gt;""),N(INDEX('Daily Sale entry '!$AC$1:$AC$1501,$J359+1))-TRUNC(N(INDEX('Daily Sale entry '!$AC$1:$AC$1501,$J359+1))),0),N(INDEX('Daily Sale entry '!$S$1:$S$1501,$J359-1499))-'Opening Balance'!$B$15*(N(INDEX('Daily Sale entry '!$S$1:$S$1501,$J359-1499))-TRUNC(N(INDEX('Daily Sale entry '!$S$1:$S$1501,$J359-1499))))))</f>
        <v/>
      </c>
      <c r="G359" s="6">
        <f>IF($J359="","",IF($J359&lt;=1500,N(INDEX('Daily Sale entry '!$AD$1:$AD$1501,$J359+1)),0))</f>
        <v/>
      </c>
      <c r="H359" s="6">
        <f>IF($J359="","",ROUND('Opening Balance'!$B$4+SUM($F$2:F359)-SUM($G$2:G359),2))</f>
        <v/>
      </c>
      <c r="J359" s="21">
        <f>IFERROR(MATCH(ROW()-1,$L$2:$L$3001,0),"")</f>
        <v/>
      </c>
      <c r="K359" s="34">
        <f>IF(AND('Daily Sale entry '!X359&lt;&gt;"",OR('Daily Sale entry '!AC359&lt;&gt;"",'Daily Sale entry '!AD359&lt;&gt;"")),'Daily Sale entry '!X359+ROW()/10000000,"")</f>
        <v/>
      </c>
      <c r="L359" s="21">
        <f>IF(K359="","",COUNTIF($K$2:$K$3001,"&lt;"&amp;K359)+1)</f>
        <v/>
      </c>
    </row>
    <row r="360">
      <c r="A360" s="5">
        <f>IF($J360="","",IF($J360&lt;=1500,INDEX('Daily Sale entry '!$X$1:$X$1501,$J360+1),INDEX('Daily Sale entry '!$V$1:$V$1501,$J360-1499)))</f>
        <v/>
      </c>
      <c r="B360">
        <f>IF($J360="","",IF($J360&lt;=1500,INDEX('Daily Sale entry '!$Y$1:$Y$1501,$J360+1)&amp;"","Buyer cheque banked 买家支票存入"&amp;IF(INDEX('Daily Sale entry '!$U$1:$U$1501,$J360-1499)="","", " - "&amp;INDEX('Daily Sale entry '!$U$1:$U$1501,$J360-1499))))</f>
        <v/>
      </c>
      <c r="C360">
        <f>IF($J360="","",IF($J360&lt;=1500,INDEX('Daily Sale entry '!$Z$1:$Z$1501,$J360+1)&amp;"","Cheque deposit 支票存入 (buyer 买家)"))</f>
        <v/>
      </c>
      <c r="D360">
        <f>IF($J360="","",IF($J360&lt;=1500,INDEX('Daily Sale entry '!$AA$1:$AA$1501,$J360+1)&amp;"",INDEX('Daily Sale entry '!$P$1:$P$1501,$J360-1499)&amp;""))</f>
        <v/>
      </c>
      <c r="E360">
        <f>IF($J360="","",IF($J360&lt;=1500,IF(N(INDEX('Daily Sale entry '!$AB$1:$AB$1501,$J360+1))=0,"",INDEX('Daily Sale entry '!$AB$1:$AB$1501,$J360+1)),1))</f>
        <v/>
      </c>
      <c r="F360" s="6">
        <f>IF($J360="","",IF($J360&lt;=1500,N(INDEX('Daily Sale entry '!$AC$1:$AC$1501,$J360+1))-IF(AND('Opening Balance'!$B$15=1,INDEX('Daily Sale entry '!$Z$1:$Z$1501,$J360+1)="Online collection 网上收款",INDEX('Daily Sale entry '!$AA$1:$AA$1501,$J360+1)&lt;&gt;""),N(INDEX('Daily Sale entry '!$AC$1:$AC$1501,$J360+1))-TRUNC(N(INDEX('Daily Sale entry '!$AC$1:$AC$1501,$J360+1))),0),N(INDEX('Daily Sale entry '!$S$1:$S$1501,$J360-1499))-'Opening Balance'!$B$15*(N(INDEX('Daily Sale entry '!$S$1:$S$1501,$J360-1499))-TRUNC(N(INDEX('Daily Sale entry '!$S$1:$S$1501,$J360-1499))))))</f>
        <v/>
      </c>
      <c r="G360" s="6">
        <f>IF($J360="","",IF($J360&lt;=1500,N(INDEX('Daily Sale entry '!$AD$1:$AD$1501,$J360+1)),0))</f>
        <v/>
      </c>
      <c r="H360" s="6">
        <f>IF($J360="","",ROUND('Opening Balance'!$B$4+SUM($F$2:F360)-SUM($G$2:G360),2))</f>
        <v/>
      </c>
      <c r="J360" s="21">
        <f>IFERROR(MATCH(ROW()-1,$L$2:$L$3001,0),"")</f>
        <v/>
      </c>
      <c r="K360" s="34">
        <f>IF(AND('Daily Sale entry '!X360&lt;&gt;"",OR('Daily Sale entry '!AC360&lt;&gt;"",'Daily Sale entry '!AD360&lt;&gt;"")),'Daily Sale entry '!X360+ROW()/10000000,"")</f>
        <v/>
      </c>
      <c r="L360" s="21">
        <f>IF(K360="","",COUNTIF($K$2:$K$3001,"&lt;"&amp;K360)+1)</f>
        <v/>
      </c>
    </row>
    <row r="361">
      <c r="A361" s="5">
        <f>IF($J361="","",IF($J361&lt;=1500,INDEX('Daily Sale entry '!$X$1:$X$1501,$J361+1),INDEX('Daily Sale entry '!$V$1:$V$1501,$J361-1499)))</f>
        <v/>
      </c>
      <c r="B361">
        <f>IF($J361="","",IF($J361&lt;=1500,INDEX('Daily Sale entry '!$Y$1:$Y$1501,$J361+1)&amp;"","Buyer cheque banked 买家支票存入"&amp;IF(INDEX('Daily Sale entry '!$U$1:$U$1501,$J361-1499)="","", " - "&amp;INDEX('Daily Sale entry '!$U$1:$U$1501,$J361-1499))))</f>
        <v/>
      </c>
      <c r="C361">
        <f>IF($J361="","",IF($J361&lt;=1500,INDEX('Daily Sale entry '!$Z$1:$Z$1501,$J361+1)&amp;"","Cheque deposit 支票存入 (buyer 买家)"))</f>
        <v/>
      </c>
      <c r="D361">
        <f>IF($J361="","",IF($J361&lt;=1500,INDEX('Daily Sale entry '!$AA$1:$AA$1501,$J361+1)&amp;"",INDEX('Daily Sale entry '!$P$1:$P$1501,$J361-1499)&amp;""))</f>
        <v/>
      </c>
      <c r="E361">
        <f>IF($J361="","",IF($J361&lt;=1500,IF(N(INDEX('Daily Sale entry '!$AB$1:$AB$1501,$J361+1))=0,"",INDEX('Daily Sale entry '!$AB$1:$AB$1501,$J361+1)),1))</f>
        <v/>
      </c>
      <c r="F361" s="6">
        <f>IF($J361="","",IF($J361&lt;=1500,N(INDEX('Daily Sale entry '!$AC$1:$AC$1501,$J361+1))-IF(AND('Opening Balance'!$B$15=1,INDEX('Daily Sale entry '!$Z$1:$Z$1501,$J361+1)="Online collection 网上收款",INDEX('Daily Sale entry '!$AA$1:$AA$1501,$J361+1)&lt;&gt;""),N(INDEX('Daily Sale entry '!$AC$1:$AC$1501,$J361+1))-TRUNC(N(INDEX('Daily Sale entry '!$AC$1:$AC$1501,$J361+1))),0),N(INDEX('Daily Sale entry '!$S$1:$S$1501,$J361-1499))-'Opening Balance'!$B$15*(N(INDEX('Daily Sale entry '!$S$1:$S$1501,$J361-1499))-TRUNC(N(INDEX('Daily Sale entry '!$S$1:$S$1501,$J361-1499))))))</f>
        <v/>
      </c>
      <c r="G361" s="6">
        <f>IF($J361="","",IF($J361&lt;=1500,N(INDEX('Daily Sale entry '!$AD$1:$AD$1501,$J361+1)),0))</f>
        <v/>
      </c>
      <c r="H361" s="6">
        <f>IF($J361="","",ROUND('Opening Balance'!$B$4+SUM($F$2:F361)-SUM($G$2:G361),2))</f>
        <v/>
      </c>
      <c r="J361" s="21">
        <f>IFERROR(MATCH(ROW()-1,$L$2:$L$3001,0),"")</f>
        <v/>
      </c>
      <c r="K361" s="34">
        <f>IF(AND('Daily Sale entry '!X361&lt;&gt;"",OR('Daily Sale entry '!AC361&lt;&gt;"",'Daily Sale entry '!AD361&lt;&gt;"")),'Daily Sale entry '!X361+ROW()/10000000,"")</f>
        <v/>
      </c>
      <c r="L361" s="21">
        <f>IF(K361="","",COUNTIF($K$2:$K$3001,"&lt;"&amp;K361)+1)</f>
        <v/>
      </c>
    </row>
    <row r="362">
      <c r="A362" s="5">
        <f>IF($J362="","",IF($J362&lt;=1500,INDEX('Daily Sale entry '!$X$1:$X$1501,$J362+1),INDEX('Daily Sale entry '!$V$1:$V$1501,$J362-1499)))</f>
        <v/>
      </c>
      <c r="B362">
        <f>IF($J362="","",IF($J362&lt;=1500,INDEX('Daily Sale entry '!$Y$1:$Y$1501,$J362+1)&amp;"","Buyer cheque banked 买家支票存入"&amp;IF(INDEX('Daily Sale entry '!$U$1:$U$1501,$J362-1499)="","", " - "&amp;INDEX('Daily Sale entry '!$U$1:$U$1501,$J362-1499))))</f>
        <v/>
      </c>
      <c r="C362">
        <f>IF($J362="","",IF($J362&lt;=1500,INDEX('Daily Sale entry '!$Z$1:$Z$1501,$J362+1)&amp;"","Cheque deposit 支票存入 (buyer 买家)"))</f>
        <v/>
      </c>
      <c r="D362">
        <f>IF($J362="","",IF($J362&lt;=1500,INDEX('Daily Sale entry '!$AA$1:$AA$1501,$J362+1)&amp;"",INDEX('Daily Sale entry '!$P$1:$P$1501,$J362-1499)&amp;""))</f>
        <v/>
      </c>
      <c r="E362">
        <f>IF($J362="","",IF($J362&lt;=1500,IF(N(INDEX('Daily Sale entry '!$AB$1:$AB$1501,$J362+1))=0,"",INDEX('Daily Sale entry '!$AB$1:$AB$1501,$J362+1)),1))</f>
        <v/>
      </c>
      <c r="F362" s="6">
        <f>IF($J362="","",IF($J362&lt;=1500,N(INDEX('Daily Sale entry '!$AC$1:$AC$1501,$J362+1))-IF(AND('Opening Balance'!$B$15=1,INDEX('Daily Sale entry '!$Z$1:$Z$1501,$J362+1)="Online collection 网上收款",INDEX('Daily Sale entry '!$AA$1:$AA$1501,$J362+1)&lt;&gt;""),N(INDEX('Daily Sale entry '!$AC$1:$AC$1501,$J362+1))-TRUNC(N(INDEX('Daily Sale entry '!$AC$1:$AC$1501,$J362+1))),0),N(INDEX('Daily Sale entry '!$S$1:$S$1501,$J362-1499))-'Opening Balance'!$B$15*(N(INDEX('Daily Sale entry '!$S$1:$S$1501,$J362-1499))-TRUNC(N(INDEX('Daily Sale entry '!$S$1:$S$1501,$J362-1499))))))</f>
        <v/>
      </c>
      <c r="G362" s="6">
        <f>IF($J362="","",IF($J362&lt;=1500,N(INDEX('Daily Sale entry '!$AD$1:$AD$1501,$J362+1)),0))</f>
        <v/>
      </c>
      <c r="H362" s="6">
        <f>IF($J362="","",ROUND('Opening Balance'!$B$4+SUM($F$2:F362)-SUM($G$2:G362),2))</f>
        <v/>
      </c>
      <c r="J362" s="21">
        <f>IFERROR(MATCH(ROW()-1,$L$2:$L$3001,0),"")</f>
        <v/>
      </c>
      <c r="K362" s="34">
        <f>IF(AND('Daily Sale entry '!X362&lt;&gt;"",OR('Daily Sale entry '!AC362&lt;&gt;"",'Daily Sale entry '!AD362&lt;&gt;"")),'Daily Sale entry '!X362+ROW()/10000000,"")</f>
        <v/>
      </c>
      <c r="L362" s="21">
        <f>IF(K362="","",COUNTIF($K$2:$K$3001,"&lt;"&amp;K362)+1)</f>
        <v/>
      </c>
    </row>
    <row r="363">
      <c r="A363" s="5">
        <f>IF($J363="","",IF($J363&lt;=1500,INDEX('Daily Sale entry '!$X$1:$X$1501,$J363+1),INDEX('Daily Sale entry '!$V$1:$V$1501,$J363-1499)))</f>
        <v/>
      </c>
      <c r="B363">
        <f>IF($J363="","",IF($J363&lt;=1500,INDEX('Daily Sale entry '!$Y$1:$Y$1501,$J363+1)&amp;"","Buyer cheque banked 买家支票存入"&amp;IF(INDEX('Daily Sale entry '!$U$1:$U$1501,$J363-1499)="","", " - "&amp;INDEX('Daily Sale entry '!$U$1:$U$1501,$J363-1499))))</f>
        <v/>
      </c>
      <c r="C363">
        <f>IF($J363="","",IF($J363&lt;=1500,INDEX('Daily Sale entry '!$Z$1:$Z$1501,$J363+1)&amp;"","Cheque deposit 支票存入 (buyer 买家)"))</f>
        <v/>
      </c>
      <c r="D363">
        <f>IF($J363="","",IF($J363&lt;=1500,INDEX('Daily Sale entry '!$AA$1:$AA$1501,$J363+1)&amp;"",INDEX('Daily Sale entry '!$P$1:$P$1501,$J363-1499)&amp;""))</f>
        <v/>
      </c>
      <c r="E363">
        <f>IF($J363="","",IF($J363&lt;=1500,IF(N(INDEX('Daily Sale entry '!$AB$1:$AB$1501,$J363+1))=0,"",INDEX('Daily Sale entry '!$AB$1:$AB$1501,$J363+1)),1))</f>
        <v/>
      </c>
      <c r="F363" s="6">
        <f>IF($J363="","",IF($J363&lt;=1500,N(INDEX('Daily Sale entry '!$AC$1:$AC$1501,$J363+1))-IF(AND('Opening Balance'!$B$15=1,INDEX('Daily Sale entry '!$Z$1:$Z$1501,$J363+1)="Online collection 网上收款",INDEX('Daily Sale entry '!$AA$1:$AA$1501,$J363+1)&lt;&gt;""),N(INDEX('Daily Sale entry '!$AC$1:$AC$1501,$J363+1))-TRUNC(N(INDEX('Daily Sale entry '!$AC$1:$AC$1501,$J363+1))),0),N(INDEX('Daily Sale entry '!$S$1:$S$1501,$J363-1499))-'Opening Balance'!$B$15*(N(INDEX('Daily Sale entry '!$S$1:$S$1501,$J363-1499))-TRUNC(N(INDEX('Daily Sale entry '!$S$1:$S$1501,$J363-1499))))))</f>
        <v/>
      </c>
      <c r="G363" s="6">
        <f>IF($J363="","",IF($J363&lt;=1500,N(INDEX('Daily Sale entry '!$AD$1:$AD$1501,$J363+1)),0))</f>
        <v/>
      </c>
      <c r="H363" s="6">
        <f>IF($J363="","",ROUND('Opening Balance'!$B$4+SUM($F$2:F363)-SUM($G$2:G363),2))</f>
        <v/>
      </c>
      <c r="J363" s="21">
        <f>IFERROR(MATCH(ROW()-1,$L$2:$L$3001,0),"")</f>
        <v/>
      </c>
      <c r="K363" s="34">
        <f>IF(AND('Daily Sale entry '!X363&lt;&gt;"",OR('Daily Sale entry '!AC363&lt;&gt;"",'Daily Sale entry '!AD363&lt;&gt;"")),'Daily Sale entry '!X363+ROW()/10000000,"")</f>
        <v/>
      </c>
      <c r="L363" s="21">
        <f>IF(K363="","",COUNTIF($K$2:$K$3001,"&lt;"&amp;K363)+1)</f>
        <v/>
      </c>
    </row>
    <row r="364">
      <c r="A364" s="5">
        <f>IF($J364="","",IF($J364&lt;=1500,INDEX('Daily Sale entry '!$X$1:$X$1501,$J364+1),INDEX('Daily Sale entry '!$V$1:$V$1501,$J364-1499)))</f>
        <v/>
      </c>
      <c r="B364">
        <f>IF($J364="","",IF($J364&lt;=1500,INDEX('Daily Sale entry '!$Y$1:$Y$1501,$J364+1)&amp;"","Buyer cheque banked 买家支票存入"&amp;IF(INDEX('Daily Sale entry '!$U$1:$U$1501,$J364-1499)="","", " - "&amp;INDEX('Daily Sale entry '!$U$1:$U$1501,$J364-1499))))</f>
        <v/>
      </c>
      <c r="C364">
        <f>IF($J364="","",IF($J364&lt;=1500,INDEX('Daily Sale entry '!$Z$1:$Z$1501,$J364+1)&amp;"","Cheque deposit 支票存入 (buyer 买家)"))</f>
        <v/>
      </c>
      <c r="D364">
        <f>IF($J364="","",IF($J364&lt;=1500,INDEX('Daily Sale entry '!$AA$1:$AA$1501,$J364+1)&amp;"",INDEX('Daily Sale entry '!$P$1:$P$1501,$J364-1499)&amp;""))</f>
        <v/>
      </c>
      <c r="E364">
        <f>IF($J364="","",IF($J364&lt;=1500,IF(N(INDEX('Daily Sale entry '!$AB$1:$AB$1501,$J364+1))=0,"",INDEX('Daily Sale entry '!$AB$1:$AB$1501,$J364+1)),1))</f>
        <v/>
      </c>
      <c r="F364" s="6">
        <f>IF($J364="","",IF($J364&lt;=1500,N(INDEX('Daily Sale entry '!$AC$1:$AC$1501,$J364+1))-IF(AND('Opening Balance'!$B$15=1,INDEX('Daily Sale entry '!$Z$1:$Z$1501,$J364+1)="Online collection 网上收款",INDEX('Daily Sale entry '!$AA$1:$AA$1501,$J364+1)&lt;&gt;""),N(INDEX('Daily Sale entry '!$AC$1:$AC$1501,$J364+1))-TRUNC(N(INDEX('Daily Sale entry '!$AC$1:$AC$1501,$J364+1))),0),N(INDEX('Daily Sale entry '!$S$1:$S$1501,$J364-1499))-'Opening Balance'!$B$15*(N(INDEX('Daily Sale entry '!$S$1:$S$1501,$J364-1499))-TRUNC(N(INDEX('Daily Sale entry '!$S$1:$S$1501,$J364-1499))))))</f>
        <v/>
      </c>
      <c r="G364" s="6">
        <f>IF($J364="","",IF($J364&lt;=1500,N(INDEX('Daily Sale entry '!$AD$1:$AD$1501,$J364+1)),0))</f>
        <v/>
      </c>
      <c r="H364" s="6">
        <f>IF($J364="","",ROUND('Opening Balance'!$B$4+SUM($F$2:F364)-SUM($G$2:G364),2))</f>
        <v/>
      </c>
      <c r="J364" s="21">
        <f>IFERROR(MATCH(ROW()-1,$L$2:$L$3001,0),"")</f>
        <v/>
      </c>
      <c r="K364" s="34">
        <f>IF(AND('Daily Sale entry '!X364&lt;&gt;"",OR('Daily Sale entry '!AC364&lt;&gt;"",'Daily Sale entry '!AD364&lt;&gt;"")),'Daily Sale entry '!X364+ROW()/10000000,"")</f>
        <v/>
      </c>
      <c r="L364" s="21">
        <f>IF(K364="","",COUNTIF($K$2:$K$3001,"&lt;"&amp;K364)+1)</f>
        <v/>
      </c>
    </row>
    <row r="365">
      <c r="A365" s="5">
        <f>IF($J365="","",IF($J365&lt;=1500,INDEX('Daily Sale entry '!$X$1:$X$1501,$J365+1),INDEX('Daily Sale entry '!$V$1:$V$1501,$J365-1499)))</f>
        <v/>
      </c>
      <c r="B365">
        <f>IF($J365="","",IF($J365&lt;=1500,INDEX('Daily Sale entry '!$Y$1:$Y$1501,$J365+1)&amp;"","Buyer cheque banked 买家支票存入"&amp;IF(INDEX('Daily Sale entry '!$U$1:$U$1501,$J365-1499)="","", " - "&amp;INDEX('Daily Sale entry '!$U$1:$U$1501,$J365-1499))))</f>
        <v/>
      </c>
      <c r="C365">
        <f>IF($J365="","",IF($J365&lt;=1500,INDEX('Daily Sale entry '!$Z$1:$Z$1501,$J365+1)&amp;"","Cheque deposit 支票存入 (buyer 买家)"))</f>
        <v/>
      </c>
      <c r="D365">
        <f>IF($J365="","",IF($J365&lt;=1500,INDEX('Daily Sale entry '!$AA$1:$AA$1501,$J365+1)&amp;"",INDEX('Daily Sale entry '!$P$1:$P$1501,$J365-1499)&amp;""))</f>
        <v/>
      </c>
      <c r="E365">
        <f>IF($J365="","",IF($J365&lt;=1500,IF(N(INDEX('Daily Sale entry '!$AB$1:$AB$1501,$J365+1))=0,"",INDEX('Daily Sale entry '!$AB$1:$AB$1501,$J365+1)),1))</f>
        <v/>
      </c>
      <c r="F365" s="6">
        <f>IF($J365="","",IF($J365&lt;=1500,N(INDEX('Daily Sale entry '!$AC$1:$AC$1501,$J365+1))-IF(AND('Opening Balance'!$B$15=1,INDEX('Daily Sale entry '!$Z$1:$Z$1501,$J365+1)="Online collection 网上收款",INDEX('Daily Sale entry '!$AA$1:$AA$1501,$J365+1)&lt;&gt;""),N(INDEX('Daily Sale entry '!$AC$1:$AC$1501,$J365+1))-TRUNC(N(INDEX('Daily Sale entry '!$AC$1:$AC$1501,$J365+1))),0),N(INDEX('Daily Sale entry '!$S$1:$S$1501,$J365-1499))-'Opening Balance'!$B$15*(N(INDEX('Daily Sale entry '!$S$1:$S$1501,$J365-1499))-TRUNC(N(INDEX('Daily Sale entry '!$S$1:$S$1501,$J365-1499))))))</f>
        <v/>
      </c>
      <c r="G365" s="6">
        <f>IF($J365="","",IF($J365&lt;=1500,N(INDEX('Daily Sale entry '!$AD$1:$AD$1501,$J365+1)),0))</f>
        <v/>
      </c>
      <c r="H365" s="6">
        <f>IF($J365="","",ROUND('Opening Balance'!$B$4+SUM($F$2:F365)-SUM($G$2:G365),2))</f>
        <v/>
      </c>
      <c r="J365" s="21">
        <f>IFERROR(MATCH(ROW()-1,$L$2:$L$3001,0),"")</f>
        <v/>
      </c>
      <c r="K365" s="34">
        <f>IF(AND('Daily Sale entry '!X365&lt;&gt;"",OR('Daily Sale entry '!AC365&lt;&gt;"",'Daily Sale entry '!AD365&lt;&gt;"")),'Daily Sale entry '!X365+ROW()/10000000,"")</f>
        <v/>
      </c>
      <c r="L365" s="21">
        <f>IF(K365="","",COUNTIF($K$2:$K$3001,"&lt;"&amp;K365)+1)</f>
        <v/>
      </c>
    </row>
    <row r="366">
      <c r="A366" s="5">
        <f>IF($J366="","",IF($J366&lt;=1500,INDEX('Daily Sale entry '!$X$1:$X$1501,$J366+1),INDEX('Daily Sale entry '!$V$1:$V$1501,$J366-1499)))</f>
        <v/>
      </c>
      <c r="B366">
        <f>IF($J366="","",IF($J366&lt;=1500,INDEX('Daily Sale entry '!$Y$1:$Y$1501,$J366+1)&amp;"","Buyer cheque banked 买家支票存入"&amp;IF(INDEX('Daily Sale entry '!$U$1:$U$1501,$J366-1499)="","", " - "&amp;INDEX('Daily Sale entry '!$U$1:$U$1501,$J366-1499))))</f>
        <v/>
      </c>
      <c r="C366">
        <f>IF($J366="","",IF($J366&lt;=1500,INDEX('Daily Sale entry '!$Z$1:$Z$1501,$J366+1)&amp;"","Cheque deposit 支票存入 (buyer 买家)"))</f>
        <v/>
      </c>
      <c r="D366">
        <f>IF($J366="","",IF($J366&lt;=1500,INDEX('Daily Sale entry '!$AA$1:$AA$1501,$J366+1)&amp;"",INDEX('Daily Sale entry '!$P$1:$P$1501,$J366-1499)&amp;""))</f>
        <v/>
      </c>
      <c r="E366">
        <f>IF($J366="","",IF($J366&lt;=1500,IF(N(INDEX('Daily Sale entry '!$AB$1:$AB$1501,$J366+1))=0,"",INDEX('Daily Sale entry '!$AB$1:$AB$1501,$J366+1)),1))</f>
        <v/>
      </c>
      <c r="F366" s="6">
        <f>IF($J366="","",IF($J366&lt;=1500,N(INDEX('Daily Sale entry '!$AC$1:$AC$1501,$J366+1))-IF(AND('Opening Balance'!$B$15=1,INDEX('Daily Sale entry '!$Z$1:$Z$1501,$J366+1)="Online collection 网上收款",INDEX('Daily Sale entry '!$AA$1:$AA$1501,$J366+1)&lt;&gt;""),N(INDEX('Daily Sale entry '!$AC$1:$AC$1501,$J366+1))-TRUNC(N(INDEX('Daily Sale entry '!$AC$1:$AC$1501,$J366+1))),0),N(INDEX('Daily Sale entry '!$S$1:$S$1501,$J366-1499))-'Opening Balance'!$B$15*(N(INDEX('Daily Sale entry '!$S$1:$S$1501,$J366-1499))-TRUNC(N(INDEX('Daily Sale entry '!$S$1:$S$1501,$J366-1499))))))</f>
        <v/>
      </c>
      <c r="G366" s="6">
        <f>IF($J366="","",IF($J366&lt;=1500,N(INDEX('Daily Sale entry '!$AD$1:$AD$1501,$J366+1)),0))</f>
        <v/>
      </c>
      <c r="H366" s="6">
        <f>IF($J366="","",ROUND('Opening Balance'!$B$4+SUM($F$2:F366)-SUM($G$2:G366),2))</f>
        <v/>
      </c>
      <c r="J366" s="21">
        <f>IFERROR(MATCH(ROW()-1,$L$2:$L$3001,0),"")</f>
        <v/>
      </c>
      <c r="K366" s="34">
        <f>IF(AND('Daily Sale entry '!X366&lt;&gt;"",OR('Daily Sale entry '!AC366&lt;&gt;"",'Daily Sale entry '!AD366&lt;&gt;"")),'Daily Sale entry '!X366+ROW()/10000000,"")</f>
        <v/>
      </c>
      <c r="L366" s="21">
        <f>IF(K366="","",COUNTIF($K$2:$K$3001,"&lt;"&amp;K366)+1)</f>
        <v/>
      </c>
    </row>
    <row r="367">
      <c r="A367" s="5">
        <f>IF($J367="","",IF($J367&lt;=1500,INDEX('Daily Sale entry '!$X$1:$X$1501,$J367+1),INDEX('Daily Sale entry '!$V$1:$V$1501,$J367-1499)))</f>
        <v/>
      </c>
      <c r="B367">
        <f>IF($J367="","",IF($J367&lt;=1500,INDEX('Daily Sale entry '!$Y$1:$Y$1501,$J367+1)&amp;"","Buyer cheque banked 买家支票存入"&amp;IF(INDEX('Daily Sale entry '!$U$1:$U$1501,$J367-1499)="","", " - "&amp;INDEX('Daily Sale entry '!$U$1:$U$1501,$J367-1499))))</f>
        <v/>
      </c>
      <c r="C367">
        <f>IF($J367="","",IF($J367&lt;=1500,INDEX('Daily Sale entry '!$Z$1:$Z$1501,$J367+1)&amp;"","Cheque deposit 支票存入 (buyer 买家)"))</f>
        <v/>
      </c>
      <c r="D367">
        <f>IF($J367="","",IF($J367&lt;=1500,INDEX('Daily Sale entry '!$AA$1:$AA$1501,$J367+1)&amp;"",INDEX('Daily Sale entry '!$P$1:$P$1501,$J367-1499)&amp;""))</f>
        <v/>
      </c>
      <c r="E367">
        <f>IF($J367="","",IF($J367&lt;=1500,IF(N(INDEX('Daily Sale entry '!$AB$1:$AB$1501,$J367+1))=0,"",INDEX('Daily Sale entry '!$AB$1:$AB$1501,$J367+1)),1))</f>
        <v/>
      </c>
      <c r="F367" s="6">
        <f>IF($J367="","",IF($J367&lt;=1500,N(INDEX('Daily Sale entry '!$AC$1:$AC$1501,$J367+1))-IF(AND('Opening Balance'!$B$15=1,INDEX('Daily Sale entry '!$Z$1:$Z$1501,$J367+1)="Online collection 网上收款",INDEX('Daily Sale entry '!$AA$1:$AA$1501,$J367+1)&lt;&gt;""),N(INDEX('Daily Sale entry '!$AC$1:$AC$1501,$J367+1))-TRUNC(N(INDEX('Daily Sale entry '!$AC$1:$AC$1501,$J367+1))),0),N(INDEX('Daily Sale entry '!$S$1:$S$1501,$J367-1499))-'Opening Balance'!$B$15*(N(INDEX('Daily Sale entry '!$S$1:$S$1501,$J367-1499))-TRUNC(N(INDEX('Daily Sale entry '!$S$1:$S$1501,$J367-1499))))))</f>
        <v/>
      </c>
      <c r="G367" s="6">
        <f>IF($J367="","",IF($J367&lt;=1500,N(INDEX('Daily Sale entry '!$AD$1:$AD$1501,$J367+1)),0))</f>
        <v/>
      </c>
      <c r="H367" s="6">
        <f>IF($J367="","",ROUND('Opening Balance'!$B$4+SUM($F$2:F367)-SUM($G$2:G367),2))</f>
        <v/>
      </c>
      <c r="J367" s="21">
        <f>IFERROR(MATCH(ROW()-1,$L$2:$L$3001,0),"")</f>
        <v/>
      </c>
      <c r="K367" s="34">
        <f>IF(AND('Daily Sale entry '!X367&lt;&gt;"",OR('Daily Sale entry '!AC367&lt;&gt;"",'Daily Sale entry '!AD367&lt;&gt;"")),'Daily Sale entry '!X367+ROW()/10000000,"")</f>
        <v/>
      </c>
      <c r="L367" s="21">
        <f>IF(K367="","",COUNTIF($K$2:$K$3001,"&lt;"&amp;K367)+1)</f>
        <v/>
      </c>
    </row>
    <row r="368">
      <c r="A368" s="5">
        <f>IF($J368="","",IF($J368&lt;=1500,INDEX('Daily Sale entry '!$X$1:$X$1501,$J368+1),INDEX('Daily Sale entry '!$V$1:$V$1501,$J368-1499)))</f>
        <v/>
      </c>
      <c r="B368">
        <f>IF($J368="","",IF($J368&lt;=1500,INDEX('Daily Sale entry '!$Y$1:$Y$1501,$J368+1)&amp;"","Buyer cheque banked 买家支票存入"&amp;IF(INDEX('Daily Sale entry '!$U$1:$U$1501,$J368-1499)="","", " - "&amp;INDEX('Daily Sale entry '!$U$1:$U$1501,$J368-1499))))</f>
        <v/>
      </c>
      <c r="C368">
        <f>IF($J368="","",IF($J368&lt;=1500,INDEX('Daily Sale entry '!$Z$1:$Z$1501,$J368+1)&amp;"","Cheque deposit 支票存入 (buyer 买家)"))</f>
        <v/>
      </c>
      <c r="D368">
        <f>IF($J368="","",IF($J368&lt;=1500,INDEX('Daily Sale entry '!$AA$1:$AA$1501,$J368+1)&amp;"",INDEX('Daily Sale entry '!$P$1:$P$1501,$J368-1499)&amp;""))</f>
        <v/>
      </c>
      <c r="E368">
        <f>IF($J368="","",IF($J368&lt;=1500,IF(N(INDEX('Daily Sale entry '!$AB$1:$AB$1501,$J368+1))=0,"",INDEX('Daily Sale entry '!$AB$1:$AB$1501,$J368+1)),1))</f>
        <v/>
      </c>
      <c r="F368" s="6">
        <f>IF($J368="","",IF($J368&lt;=1500,N(INDEX('Daily Sale entry '!$AC$1:$AC$1501,$J368+1))-IF(AND('Opening Balance'!$B$15=1,INDEX('Daily Sale entry '!$Z$1:$Z$1501,$J368+1)="Online collection 网上收款",INDEX('Daily Sale entry '!$AA$1:$AA$1501,$J368+1)&lt;&gt;""),N(INDEX('Daily Sale entry '!$AC$1:$AC$1501,$J368+1))-TRUNC(N(INDEX('Daily Sale entry '!$AC$1:$AC$1501,$J368+1))),0),N(INDEX('Daily Sale entry '!$S$1:$S$1501,$J368-1499))-'Opening Balance'!$B$15*(N(INDEX('Daily Sale entry '!$S$1:$S$1501,$J368-1499))-TRUNC(N(INDEX('Daily Sale entry '!$S$1:$S$1501,$J368-1499))))))</f>
        <v/>
      </c>
      <c r="G368" s="6">
        <f>IF($J368="","",IF($J368&lt;=1500,N(INDEX('Daily Sale entry '!$AD$1:$AD$1501,$J368+1)),0))</f>
        <v/>
      </c>
      <c r="H368" s="6">
        <f>IF($J368="","",ROUND('Opening Balance'!$B$4+SUM($F$2:F368)-SUM($G$2:G368),2))</f>
        <v/>
      </c>
      <c r="J368" s="21">
        <f>IFERROR(MATCH(ROW()-1,$L$2:$L$3001,0),"")</f>
        <v/>
      </c>
      <c r="K368" s="34">
        <f>IF(AND('Daily Sale entry '!X368&lt;&gt;"",OR('Daily Sale entry '!AC368&lt;&gt;"",'Daily Sale entry '!AD368&lt;&gt;"")),'Daily Sale entry '!X368+ROW()/10000000,"")</f>
        <v/>
      </c>
      <c r="L368" s="21">
        <f>IF(K368="","",COUNTIF($K$2:$K$3001,"&lt;"&amp;K368)+1)</f>
        <v/>
      </c>
    </row>
    <row r="369">
      <c r="A369" s="5">
        <f>IF($J369="","",IF($J369&lt;=1500,INDEX('Daily Sale entry '!$X$1:$X$1501,$J369+1),INDEX('Daily Sale entry '!$V$1:$V$1501,$J369-1499)))</f>
        <v/>
      </c>
      <c r="B369">
        <f>IF($J369="","",IF($J369&lt;=1500,INDEX('Daily Sale entry '!$Y$1:$Y$1501,$J369+1)&amp;"","Buyer cheque banked 买家支票存入"&amp;IF(INDEX('Daily Sale entry '!$U$1:$U$1501,$J369-1499)="","", " - "&amp;INDEX('Daily Sale entry '!$U$1:$U$1501,$J369-1499))))</f>
        <v/>
      </c>
      <c r="C369">
        <f>IF($J369="","",IF($J369&lt;=1500,INDEX('Daily Sale entry '!$Z$1:$Z$1501,$J369+1)&amp;"","Cheque deposit 支票存入 (buyer 买家)"))</f>
        <v/>
      </c>
      <c r="D369">
        <f>IF($J369="","",IF($J369&lt;=1500,INDEX('Daily Sale entry '!$AA$1:$AA$1501,$J369+1)&amp;"",INDEX('Daily Sale entry '!$P$1:$P$1501,$J369-1499)&amp;""))</f>
        <v/>
      </c>
      <c r="E369">
        <f>IF($J369="","",IF($J369&lt;=1500,IF(N(INDEX('Daily Sale entry '!$AB$1:$AB$1501,$J369+1))=0,"",INDEX('Daily Sale entry '!$AB$1:$AB$1501,$J369+1)),1))</f>
        <v/>
      </c>
      <c r="F369" s="6">
        <f>IF($J369="","",IF($J369&lt;=1500,N(INDEX('Daily Sale entry '!$AC$1:$AC$1501,$J369+1))-IF(AND('Opening Balance'!$B$15=1,INDEX('Daily Sale entry '!$Z$1:$Z$1501,$J369+1)="Online collection 网上收款",INDEX('Daily Sale entry '!$AA$1:$AA$1501,$J369+1)&lt;&gt;""),N(INDEX('Daily Sale entry '!$AC$1:$AC$1501,$J369+1))-TRUNC(N(INDEX('Daily Sale entry '!$AC$1:$AC$1501,$J369+1))),0),N(INDEX('Daily Sale entry '!$S$1:$S$1501,$J369-1499))-'Opening Balance'!$B$15*(N(INDEX('Daily Sale entry '!$S$1:$S$1501,$J369-1499))-TRUNC(N(INDEX('Daily Sale entry '!$S$1:$S$1501,$J369-1499))))))</f>
        <v/>
      </c>
      <c r="G369" s="6">
        <f>IF($J369="","",IF($J369&lt;=1500,N(INDEX('Daily Sale entry '!$AD$1:$AD$1501,$J369+1)),0))</f>
        <v/>
      </c>
      <c r="H369" s="6">
        <f>IF($J369="","",ROUND('Opening Balance'!$B$4+SUM($F$2:F369)-SUM($G$2:G369),2))</f>
        <v/>
      </c>
      <c r="J369" s="21">
        <f>IFERROR(MATCH(ROW()-1,$L$2:$L$3001,0),"")</f>
        <v/>
      </c>
      <c r="K369" s="34">
        <f>IF(AND('Daily Sale entry '!X369&lt;&gt;"",OR('Daily Sale entry '!AC369&lt;&gt;"",'Daily Sale entry '!AD369&lt;&gt;"")),'Daily Sale entry '!X369+ROW()/10000000,"")</f>
        <v/>
      </c>
      <c r="L369" s="21">
        <f>IF(K369="","",COUNTIF($K$2:$K$3001,"&lt;"&amp;K369)+1)</f>
        <v/>
      </c>
    </row>
    <row r="370">
      <c r="A370" s="5">
        <f>IF($J370="","",IF($J370&lt;=1500,INDEX('Daily Sale entry '!$X$1:$X$1501,$J370+1),INDEX('Daily Sale entry '!$V$1:$V$1501,$J370-1499)))</f>
        <v/>
      </c>
      <c r="B370">
        <f>IF($J370="","",IF($J370&lt;=1500,INDEX('Daily Sale entry '!$Y$1:$Y$1501,$J370+1)&amp;"","Buyer cheque banked 买家支票存入"&amp;IF(INDEX('Daily Sale entry '!$U$1:$U$1501,$J370-1499)="","", " - "&amp;INDEX('Daily Sale entry '!$U$1:$U$1501,$J370-1499))))</f>
        <v/>
      </c>
      <c r="C370">
        <f>IF($J370="","",IF($J370&lt;=1500,INDEX('Daily Sale entry '!$Z$1:$Z$1501,$J370+1)&amp;"","Cheque deposit 支票存入 (buyer 买家)"))</f>
        <v/>
      </c>
      <c r="D370">
        <f>IF($J370="","",IF($J370&lt;=1500,INDEX('Daily Sale entry '!$AA$1:$AA$1501,$J370+1)&amp;"",INDEX('Daily Sale entry '!$P$1:$P$1501,$J370-1499)&amp;""))</f>
        <v/>
      </c>
      <c r="E370">
        <f>IF($J370="","",IF($J370&lt;=1500,IF(N(INDEX('Daily Sale entry '!$AB$1:$AB$1501,$J370+1))=0,"",INDEX('Daily Sale entry '!$AB$1:$AB$1501,$J370+1)),1))</f>
        <v/>
      </c>
      <c r="F370" s="6">
        <f>IF($J370="","",IF($J370&lt;=1500,N(INDEX('Daily Sale entry '!$AC$1:$AC$1501,$J370+1))-IF(AND('Opening Balance'!$B$15=1,INDEX('Daily Sale entry '!$Z$1:$Z$1501,$J370+1)="Online collection 网上收款",INDEX('Daily Sale entry '!$AA$1:$AA$1501,$J370+1)&lt;&gt;""),N(INDEX('Daily Sale entry '!$AC$1:$AC$1501,$J370+1))-TRUNC(N(INDEX('Daily Sale entry '!$AC$1:$AC$1501,$J370+1))),0),N(INDEX('Daily Sale entry '!$S$1:$S$1501,$J370-1499))-'Opening Balance'!$B$15*(N(INDEX('Daily Sale entry '!$S$1:$S$1501,$J370-1499))-TRUNC(N(INDEX('Daily Sale entry '!$S$1:$S$1501,$J370-1499))))))</f>
        <v/>
      </c>
      <c r="G370" s="6">
        <f>IF($J370="","",IF($J370&lt;=1500,N(INDEX('Daily Sale entry '!$AD$1:$AD$1501,$J370+1)),0))</f>
        <v/>
      </c>
      <c r="H370" s="6">
        <f>IF($J370="","",ROUND('Opening Balance'!$B$4+SUM($F$2:F370)-SUM($G$2:G370),2))</f>
        <v/>
      </c>
      <c r="J370" s="21">
        <f>IFERROR(MATCH(ROW()-1,$L$2:$L$3001,0),"")</f>
        <v/>
      </c>
      <c r="K370" s="34">
        <f>IF(AND('Daily Sale entry '!X370&lt;&gt;"",OR('Daily Sale entry '!AC370&lt;&gt;"",'Daily Sale entry '!AD370&lt;&gt;"")),'Daily Sale entry '!X370+ROW()/10000000,"")</f>
        <v/>
      </c>
      <c r="L370" s="21">
        <f>IF(K370="","",COUNTIF($K$2:$K$3001,"&lt;"&amp;K370)+1)</f>
        <v/>
      </c>
    </row>
    <row r="371">
      <c r="A371" s="5">
        <f>IF($J371="","",IF($J371&lt;=1500,INDEX('Daily Sale entry '!$X$1:$X$1501,$J371+1),INDEX('Daily Sale entry '!$V$1:$V$1501,$J371-1499)))</f>
        <v/>
      </c>
      <c r="B371">
        <f>IF($J371="","",IF($J371&lt;=1500,INDEX('Daily Sale entry '!$Y$1:$Y$1501,$J371+1)&amp;"","Buyer cheque banked 买家支票存入"&amp;IF(INDEX('Daily Sale entry '!$U$1:$U$1501,$J371-1499)="","", " - "&amp;INDEX('Daily Sale entry '!$U$1:$U$1501,$J371-1499))))</f>
        <v/>
      </c>
      <c r="C371">
        <f>IF($J371="","",IF($J371&lt;=1500,INDEX('Daily Sale entry '!$Z$1:$Z$1501,$J371+1)&amp;"","Cheque deposit 支票存入 (buyer 买家)"))</f>
        <v/>
      </c>
      <c r="D371">
        <f>IF($J371="","",IF($J371&lt;=1500,INDEX('Daily Sale entry '!$AA$1:$AA$1501,$J371+1)&amp;"",INDEX('Daily Sale entry '!$P$1:$P$1501,$J371-1499)&amp;""))</f>
        <v/>
      </c>
      <c r="E371">
        <f>IF($J371="","",IF($J371&lt;=1500,IF(N(INDEX('Daily Sale entry '!$AB$1:$AB$1501,$J371+1))=0,"",INDEX('Daily Sale entry '!$AB$1:$AB$1501,$J371+1)),1))</f>
        <v/>
      </c>
      <c r="F371" s="6">
        <f>IF($J371="","",IF($J371&lt;=1500,N(INDEX('Daily Sale entry '!$AC$1:$AC$1501,$J371+1))-IF(AND('Opening Balance'!$B$15=1,INDEX('Daily Sale entry '!$Z$1:$Z$1501,$J371+1)="Online collection 网上收款",INDEX('Daily Sale entry '!$AA$1:$AA$1501,$J371+1)&lt;&gt;""),N(INDEX('Daily Sale entry '!$AC$1:$AC$1501,$J371+1))-TRUNC(N(INDEX('Daily Sale entry '!$AC$1:$AC$1501,$J371+1))),0),N(INDEX('Daily Sale entry '!$S$1:$S$1501,$J371-1499))-'Opening Balance'!$B$15*(N(INDEX('Daily Sale entry '!$S$1:$S$1501,$J371-1499))-TRUNC(N(INDEX('Daily Sale entry '!$S$1:$S$1501,$J371-1499))))))</f>
        <v/>
      </c>
      <c r="G371" s="6">
        <f>IF($J371="","",IF($J371&lt;=1500,N(INDEX('Daily Sale entry '!$AD$1:$AD$1501,$J371+1)),0))</f>
        <v/>
      </c>
      <c r="H371" s="6">
        <f>IF($J371="","",ROUND('Opening Balance'!$B$4+SUM($F$2:F371)-SUM($G$2:G371),2))</f>
        <v/>
      </c>
      <c r="J371" s="21">
        <f>IFERROR(MATCH(ROW()-1,$L$2:$L$3001,0),"")</f>
        <v/>
      </c>
      <c r="K371" s="34">
        <f>IF(AND('Daily Sale entry '!X371&lt;&gt;"",OR('Daily Sale entry '!AC371&lt;&gt;"",'Daily Sale entry '!AD371&lt;&gt;"")),'Daily Sale entry '!X371+ROW()/10000000,"")</f>
        <v/>
      </c>
      <c r="L371" s="21">
        <f>IF(K371="","",COUNTIF($K$2:$K$3001,"&lt;"&amp;K371)+1)</f>
        <v/>
      </c>
    </row>
    <row r="372">
      <c r="A372" s="5">
        <f>IF($J372="","",IF($J372&lt;=1500,INDEX('Daily Sale entry '!$X$1:$X$1501,$J372+1),INDEX('Daily Sale entry '!$V$1:$V$1501,$J372-1499)))</f>
        <v/>
      </c>
      <c r="B372">
        <f>IF($J372="","",IF($J372&lt;=1500,INDEX('Daily Sale entry '!$Y$1:$Y$1501,$J372+1)&amp;"","Buyer cheque banked 买家支票存入"&amp;IF(INDEX('Daily Sale entry '!$U$1:$U$1501,$J372-1499)="","", " - "&amp;INDEX('Daily Sale entry '!$U$1:$U$1501,$J372-1499))))</f>
        <v/>
      </c>
      <c r="C372">
        <f>IF($J372="","",IF($J372&lt;=1500,INDEX('Daily Sale entry '!$Z$1:$Z$1501,$J372+1)&amp;"","Cheque deposit 支票存入 (buyer 买家)"))</f>
        <v/>
      </c>
      <c r="D372">
        <f>IF($J372="","",IF($J372&lt;=1500,INDEX('Daily Sale entry '!$AA$1:$AA$1501,$J372+1)&amp;"",INDEX('Daily Sale entry '!$P$1:$P$1501,$J372-1499)&amp;""))</f>
        <v/>
      </c>
      <c r="E372">
        <f>IF($J372="","",IF($J372&lt;=1500,IF(N(INDEX('Daily Sale entry '!$AB$1:$AB$1501,$J372+1))=0,"",INDEX('Daily Sale entry '!$AB$1:$AB$1501,$J372+1)),1))</f>
        <v/>
      </c>
      <c r="F372" s="6">
        <f>IF($J372="","",IF($J372&lt;=1500,N(INDEX('Daily Sale entry '!$AC$1:$AC$1501,$J372+1))-IF(AND('Opening Balance'!$B$15=1,INDEX('Daily Sale entry '!$Z$1:$Z$1501,$J372+1)="Online collection 网上收款",INDEX('Daily Sale entry '!$AA$1:$AA$1501,$J372+1)&lt;&gt;""),N(INDEX('Daily Sale entry '!$AC$1:$AC$1501,$J372+1))-TRUNC(N(INDEX('Daily Sale entry '!$AC$1:$AC$1501,$J372+1))),0),N(INDEX('Daily Sale entry '!$S$1:$S$1501,$J372-1499))-'Opening Balance'!$B$15*(N(INDEX('Daily Sale entry '!$S$1:$S$1501,$J372-1499))-TRUNC(N(INDEX('Daily Sale entry '!$S$1:$S$1501,$J372-1499))))))</f>
        <v/>
      </c>
      <c r="G372" s="6">
        <f>IF($J372="","",IF($J372&lt;=1500,N(INDEX('Daily Sale entry '!$AD$1:$AD$1501,$J372+1)),0))</f>
        <v/>
      </c>
      <c r="H372" s="6">
        <f>IF($J372="","",ROUND('Opening Balance'!$B$4+SUM($F$2:F372)-SUM($G$2:G372),2))</f>
        <v/>
      </c>
      <c r="J372" s="21">
        <f>IFERROR(MATCH(ROW()-1,$L$2:$L$3001,0),"")</f>
        <v/>
      </c>
      <c r="K372" s="34">
        <f>IF(AND('Daily Sale entry '!X372&lt;&gt;"",OR('Daily Sale entry '!AC372&lt;&gt;"",'Daily Sale entry '!AD372&lt;&gt;"")),'Daily Sale entry '!X372+ROW()/10000000,"")</f>
        <v/>
      </c>
      <c r="L372" s="21">
        <f>IF(K372="","",COUNTIF($K$2:$K$3001,"&lt;"&amp;K372)+1)</f>
        <v/>
      </c>
    </row>
    <row r="373">
      <c r="A373" s="5">
        <f>IF($J373="","",IF($J373&lt;=1500,INDEX('Daily Sale entry '!$X$1:$X$1501,$J373+1),INDEX('Daily Sale entry '!$V$1:$V$1501,$J373-1499)))</f>
        <v/>
      </c>
      <c r="B373">
        <f>IF($J373="","",IF($J373&lt;=1500,INDEX('Daily Sale entry '!$Y$1:$Y$1501,$J373+1)&amp;"","Buyer cheque banked 买家支票存入"&amp;IF(INDEX('Daily Sale entry '!$U$1:$U$1501,$J373-1499)="","", " - "&amp;INDEX('Daily Sale entry '!$U$1:$U$1501,$J373-1499))))</f>
        <v/>
      </c>
      <c r="C373">
        <f>IF($J373="","",IF($J373&lt;=1500,INDEX('Daily Sale entry '!$Z$1:$Z$1501,$J373+1)&amp;"","Cheque deposit 支票存入 (buyer 买家)"))</f>
        <v/>
      </c>
      <c r="D373">
        <f>IF($J373="","",IF($J373&lt;=1500,INDEX('Daily Sale entry '!$AA$1:$AA$1501,$J373+1)&amp;"",INDEX('Daily Sale entry '!$P$1:$P$1501,$J373-1499)&amp;""))</f>
        <v/>
      </c>
      <c r="E373">
        <f>IF($J373="","",IF($J373&lt;=1500,IF(N(INDEX('Daily Sale entry '!$AB$1:$AB$1501,$J373+1))=0,"",INDEX('Daily Sale entry '!$AB$1:$AB$1501,$J373+1)),1))</f>
        <v/>
      </c>
      <c r="F373" s="6">
        <f>IF($J373="","",IF($J373&lt;=1500,N(INDEX('Daily Sale entry '!$AC$1:$AC$1501,$J373+1))-IF(AND('Opening Balance'!$B$15=1,INDEX('Daily Sale entry '!$Z$1:$Z$1501,$J373+1)="Online collection 网上收款",INDEX('Daily Sale entry '!$AA$1:$AA$1501,$J373+1)&lt;&gt;""),N(INDEX('Daily Sale entry '!$AC$1:$AC$1501,$J373+1))-TRUNC(N(INDEX('Daily Sale entry '!$AC$1:$AC$1501,$J373+1))),0),N(INDEX('Daily Sale entry '!$S$1:$S$1501,$J373-1499))-'Opening Balance'!$B$15*(N(INDEX('Daily Sale entry '!$S$1:$S$1501,$J373-1499))-TRUNC(N(INDEX('Daily Sale entry '!$S$1:$S$1501,$J373-1499))))))</f>
        <v/>
      </c>
      <c r="G373" s="6">
        <f>IF($J373="","",IF($J373&lt;=1500,N(INDEX('Daily Sale entry '!$AD$1:$AD$1501,$J373+1)),0))</f>
        <v/>
      </c>
      <c r="H373" s="6">
        <f>IF($J373="","",ROUND('Opening Balance'!$B$4+SUM($F$2:F373)-SUM($G$2:G373),2))</f>
        <v/>
      </c>
      <c r="J373" s="21">
        <f>IFERROR(MATCH(ROW()-1,$L$2:$L$3001,0),"")</f>
        <v/>
      </c>
      <c r="K373" s="34">
        <f>IF(AND('Daily Sale entry '!X373&lt;&gt;"",OR('Daily Sale entry '!AC373&lt;&gt;"",'Daily Sale entry '!AD373&lt;&gt;"")),'Daily Sale entry '!X373+ROW()/10000000,"")</f>
        <v/>
      </c>
      <c r="L373" s="21">
        <f>IF(K373="","",COUNTIF($K$2:$K$3001,"&lt;"&amp;K373)+1)</f>
        <v/>
      </c>
    </row>
    <row r="374">
      <c r="A374" s="5">
        <f>IF($J374="","",IF($J374&lt;=1500,INDEX('Daily Sale entry '!$X$1:$X$1501,$J374+1),INDEX('Daily Sale entry '!$V$1:$V$1501,$J374-1499)))</f>
        <v/>
      </c>
      <c r="B374">
        <f>IF($J374="","",IF($J374&lt;=1500,INDEX('Daily Sale entry '!$Y$1:$Y$1501,$J374+1)&amp;"","Buyer cheque banked 买家支票存入"&amp;IF(INDEX('Daily Sale entry '!$U$1:$U$1501,$J374-1499)="","", " - "&amp;INDEX('Daily Sale entry '!$U$1:$U$1501,$J374-1499))))</f>
        <v/>
      </c>
      <c r="C374">
        <f>IF($J374="","",IF($J374&lt;=1500,INDEX('Daily Sale entry '!$Z$1:$Z$1501,$J374+1)&amp;"","Cheque deposit 支票存入 (buyer 买家)"))</f>
        <v/>
      </c>
      <c r="D374">
        <f>IF($J374="","",IF($J374&lt;=1500,INDEX('Daily Sale entry '!$AA$1:$AA$1501,$J374+1)&amp;"",INDEX('Daily Sale entry '!$P$1:$P$1501,$J374-1499)&amp;""))</f>
        <v/>
      </c>
      <c r="E374">
        <f>IF($J374="","",IF($J374&lt;=1500,IF(N(INDEX('Daily Sale entry '!$AB$1:$AB$1501,$J374+1))=0,"",INDEX('Daily Sale entry '!$AB$1:$AB$1501,$J374+1)),1))</f>
        <v/>
      </c>
      <c r="F374" s="6">
        <f>IF($J374="","",IF($J374&lt;=1500,N(INDEX('Daily Sale entry '!$AC$1:$AC$1501,$J374+1))-IF(AND('Opening Balance'!$B$15=1,INDEX('Daily Sale entry '!$Z$1:$Z$1501,$J374+1)="Online collection 网上收款",INDEX('Daily Sale entry '!$AA$1:$AA$1501,$J374+1)&lt;&gt;""),N(INDEX('Daily Sale entry '!$AC$1:$AC$1501,$J374+1))-TRUNC(N(INDEX('Daily Sale entry '!$AC$1:$AC$1501,$J374+1))),0),N(INDEX('Daily Sale entry '!$S$1:$S$1501,$J374-1499))-'Opening Balance'!$B$15*(N(INDEX('Daily Sale entry '!$S$1:$S$1501,$J374-1499))-TRUNC(N(INDEX('Daily Sale entry '!$S$1:$S$1501,$J374-1499))))))</f>
        <v/>
      </c>
      <c r="G374" s="6">
        <f>IF($J374="","",IF($J374&lt;=1500,N(INDEX('Daily Sale entry '!$AD$1:$AD$1501,$J374+1)),0))</f>
        <v/>
      </c>
      <c r="H374" s="6">
        <f>IF($J374="","",ROUND('Opening Balance'!$B$4+SUM($F$2:F374)-SUM($G$2:G374),2))</f>
        <v/>
      </c>
      <c r="J374" s="21">
        <f>IFERROR(MATCH(ROW()-1,$L$2:$L$3001,0),"")</f>
        <v/>
      </c>
      <c r="K374" s="34">
        <f>IF(AND('Daily Sale entry '!X374&lt;&gt;"",OR('Daily Sale entry '!AC374&lt;&gt;"",'Daily Sale entry '!AD374&lt;&gt;"")),'Daily Sale entry '!X374+ROW()/10000000,"")</f>
        <v/>
      </c>
      <c r="L374" s="21">
        <f>IF(K374="","",COUNTIF($K$2:$K$3001,"&lt;"&amp;K374)+1)</f>
        <v/>
      </c>
    </row>
    <row r="375">
      <c r="A375" s="5">
        <f>IF($J375="","",IF($J375&lt;=1500,INDEX('Daily Sale entry '!$X$1:$X$1501,$J375+1),INDEX('Daily Sale entry '!$V$1:$V$1501,$J375-1499)))</f>
        <v/>
      </c>
      <c r="B375">
        <f>IF($J375="","",IF($J375&lt;=1500,INDEX('Daily Sale entry '!$Y$1:$Y$1501,$J375+1)&amp;"","Buyer cheque banked 买家支票存入"&amp;IF(INDEX('Daily Sale entry '!$U$1:$U$1501,$J375-1499)="","", " - "&amp;INDEX('Daily Sale entry '!$U$1:$U$1501,$J375-1499))))</f>
        <v/>
      </c>
      <c r="C375">
        <f>IF($J375="","",IF($J375&lt;=1500,INDEX('Daily Sale entry '!$Z$1:$Z$1501,$J375+1)&amp;"","Cheque deposit 支票存入 (buyer 买家)"))</f>
        <v/>
      </c>
      <c r="D375">
        <f>IF($J375="","",IF($J375&lt;=1500,INDEX('Daily Sale entry '!$AA$1:$AA$1501,$J375+1)&amp;"",INDEX('Daily Sale entry '!$P$1:$P$1501,$J375-1499)&amp;""))</f>
        <v/>
      </c>
      <c r="E375">
        <f>IF($J375="","",IF($J375&lt;=1500,IF(N(INDEX('Daily Sale entry '!$AB$1:$AB$1501,$J375+1))=0,"",INDEX('Daily Sale entry '!$AB$1:$AB$1501,$J375+1)),1))</f>
        <v/>
      </c>
      <c r="F375" s="6">
        <f>IF($J375="","",IF($J375&lt;=1500,N(INDEX('Daily Sale entry '!$AC$1:$AC$1501,$J375+1))-IF(AND('Opening Balance'!$B$15=1,INDEX('Daily Sale entry '!$Z$1:$Z$1501,$J375+1)="Online collection 网上收款",INDEX('Daily Sale entry '!$AA$1:$AA$1501,$J375+1)&lt;&gt;""),N(INDEX('Daily Sale entry '!$AC$1:$AC$1501,$J375+1))-TRUNC(N(INDEX('Daily Sale entry '!$AC$1:$AC$1501,$J375+1))),0),N(INDEX('Daily Sale entry '!$S$1:$S$1501,$J375-1499))-'Opening Balance'!$B$15*(N(INDEX('Daily Sale entry '!$S$1:$S$1501,$J375-1499))-TRUNC(N(INDEX('Daily Sale entry '!$S$1:$S$1501,$J375-1499))))))</f>
        <v/>
      </c>
      <c r="G375" s="6">
        <f>IF($J375="","",IF($J375&lt;=1500,N(INDEX('Daily Sale entry '!$AD$1:$AD$1501,$J375+1)),0))</f>
        <v/>
      </c>
      <c r="H375" s="6">
        <f>IF($J375="","",ROUND('Opening Balance'!$B$4+SUM($F$2:F375)-SUM($G$2:G375),2))</f>
        <v/>
      </c>
      <c r="J375" s="21">
        <f>IFERROR(MATCH(ROW()-1,$L$2:$L$3001,0),"")</f>
        <v/>
      </c>
      <c r="K375" s="34">
        <f>IF(AND('Daily Sale entry '!X375&lt;&gt;"",OR('Daily Sale entry '!AC375&lt;&gt;"",'Daily Sale entry '!AD375&lt;&gt;"")),'Daily Sale entry '!X375+ROW()/10000000,"")</f>
        <v/>
      </c>
      <c r="L375" s="21">
        <f>IF(K375="","",COUNTIF($K$2:$K$3001,"&lt;"&amp;K375)+1)</f>
        <v/>
      </c>
    </row>
    <row r="376">
      <c r="A376" s="5">
        <f>IF($J376="","",IF($J376&lt;=1500,INDEX('Daily Sale entry '!$X$1:$X$1501,$J376+1),INDEX('Daily Sale entry '!$V$1:$V$1501,$J376-1499)))</f>
        <v/>
      </c>
      <c r="B376">
        <f>IF($J376="","",IF($J376&lt;=1500,INDEX('Daily Sale entry '!$Y$1:$Y$1501,$J376+1)&amp;"","Buyer cheque banked 买家支票存入"&amp;IF(INDEX('Daily Sale entry '!$U$1:$U$1501,$J376-1499)="","", " - "&amp;INDEX('Daily Sale entry '!$U$1:$U$1501,$J376-1499))))</f>
        <v/>
      </c>
      <c r="C376">
        <f>IF($J376="","",IF($J376&lt;=1500,INDEX('Daily Sale entry '!$Z$1:$Z$1501,$J376+1)&amp;"","Cheque deposit 支票存入 (buyer 买家)"))</f>
        <v/>
      </c>
      <c r="D376">
        <f>IF($J376="","",IF($J376&lt;=1500,INDEX('Daily Sale entry '!$AA$1:$AA$1501,$J376+1)&amp;"",INDEX('Daily Sale entry '!$P$1:$P$1501,$J376-1499)&amp;""))</f>
        <v/>
      </c>
      <c r="E376">
        <f>IF($J376="","",IF($J376&lt;=1500,IF(N(INDEX('Daily Sale entry '!$AB$1:$AB$1501,$J376+1))=0,"",INDEX('Daily Sale entry '!$AB$1:$AB$1501,$J376+1)),1))</f>
        <v/>
      </c>
      <c r="F376" s="6">
        <f>IF($J376="","",IF($J376&lt;=1500,N(INDEX('Daily Sale entry '!$AC$1:$AC$1501,$J376+1))-IF(AND('Opening Balance'!$B$15=1,INDEX('Daily Sale entry '!$Z$1:$Z$1501,$J376+1)="Online collection 网上收款",INDEX('Daily Sale entry '!$AA$1:$AA$1501,$J376+1)&lt;&gt;""),N(INDEX('Daily Sale entry '!$AC$1:$AC$1501,$J376+1))-TRUNC(N(INDEX('Daily Sale entry '!$AC$1:$AC$1501,$J376+1))),0),N(INDEX('Daily Sale entry '!$S$1:$S$1501,$J376-1499))-'Opening Balance'!$B$15*(N(INDEX('Daily Sale entry '!$S$1:$S$1501,$J376-1499))-TRUNC(N(INDEX('Daily Sale entry '!$S$1:$S$1501,$J376-1499))))))</f>
        <v/>
      </c>
      <c r="G376" s="6">
        <f>IF($J376="","",IF($J376&lt;=1500,N(INDEX('Daily Sale entry '!$AD$1:$AD$1501,$J376+1)),0))</f>
        <v/>
      </c>
      <c r="H376" s="6">
        <f>IF($J376="","",ROUND('Opening Balance'!$B$4+SUM($F$2:F376)-SUM($G$2:G376),2))</f>
        <v/>
      </c>
      <c r="J376" s="21">
        <f>IFERROR(MATCH(ROW()-1,$L$2:$L$3001,0),"")</f>
        <v/>
      </c>
      <c r="K376" s="34">
        <f>IF(AND('Daily Sale entry '!X376&lt;&gt;"",OR('Daily Sale entry '!AC376&lt;&gt;"",'Daily Sale entry '!AD376&lt;&gt;"")),'Daily Sale entry '!X376+ROW()/10000000,"")</f>
        <v/>
      </c>
      <c r="L376" s="21">
        <f>IF(K376="","",COUNTIF($K$2:$K$3001,"&lt;"&amp;K376)+1)</f>
        <v/>
      </c>
    </row>
    <row r="377">
      <c r="A377" s="5">
        <f>IF($J377="","",IF($J377&lt;=1500,INDEX('Daily Sale entry '!$X$1:$X$1501,$J377+1),INDEX('Daily Sale entry '!$V$1:$V$1501,$J377-1499)))</f>
        <v/>
      </c>
      <c r="B377">
        <f>IF($J377="","",IF($J377&lt;=1500,INDEX('Daily Sale entry '!$Y$1:$Y$1501,$J377+1)&amp;"","Buyer cheque banked 买家支票存入"&amp;IF(INDEX('Daily Sale entry '!$U$1:$U$1501,$J377-1499)="","", " - "&amp;INDEX('Daily Sale entry '!$U$1:$U$1501,$J377-1499))))</f>
        <v/>
      </c>
      <c r="C377">
        <f>IF($J377="","",IF($J377&lt;=1500,INDEX('Daily Sale entry '!$Z$1:$Z$1501,$J377+1)&amp;"","Cheque deposit 支票存入 (buyer 买家)"))</f>
        <v/>
      </c>
      <c r="D377">
        <f>IF($J377="","",IF($J377&lt;=1500,INDEX('Daily Sale entry '!$AA$1:$AA$1501,$J377+1)&amp;"",INDEX('Daily Sale entry '!$P$1:$P$1501,$J377-1499)&amp;""))</f>
        <v/>
      </c>
      <c r="E377">
        <f>IF($J377="","",IF($J377&lt;=1500,IF(N(INDEX('Daily Sale entry '!$AB$1:$AB$1501,$J377+1))=0,"",INDEX('Daily Sale entry '!$AB$1:$AB$1501,$J377+1)),1))</f>
        <v/>
      </c>
      <c r="F377" s="6">
        <f>IF($J377="","",IF($J377&lt;=1500,N(INDEX('Daily Sale entry '!$AC$1:$AC$1501,$J377+1))-IF(AND('Opening Balance'!$B$15=1,INDEX('Daily Sale entry '!$Z$1:$Z$1501,$J377+1)="Online collection 网上收款",INDEX('Daily Sale entry '!$AA$1:$AA$1501,$J377+1)&lt;&gt;""),N(INDEX('Daily Sale entry '!$AC$1:$AC$1501,$J377+1))-TRUNC(N(INDEX('Daily Sale entry '!$AC$1:$AC$1501,$J377+1))),0),N(INDEX('Daily Sale entry '!$S$1:$S$1501,$J377-1499))-'Opening Balance'!$B$15*(N(INDEX('Daily Sale entry '!$S$1:$S$1501,$J377-1499))-TRUNC(N(INDEX('Daily Sale entry '!$S$1:$S$1501,$J377-1499))))))</f>
        <v/>
      </c>
      <c r="G377" s="6">
        <f>IF($J377="","",IF($J377&lt;=1500,N(INDEX('Daily Sale entry '!$AD$1:$AD$1501,$J377+1)),0))</f>
        <v/>
      </c>
      <c r="H377" s="6">
        <f>IF($J377="","",ROUND('Opening Balance'!$B$4+SUM($F$2:F377)-SUM($G$2:G377),2))</f>
        <v/>
      </c>
      <c r="J377" s="21">
        <f>IFERROR(MATCH(ROW()-1,$L$2:$L$3001,0),"")</f>
        <v/>
      </c>
      <c r="K377" s="34">
        <f>IF(AND('Daily Sale entry '!X377&lt;&gt;"",OR('Daily Sale entry '!AC377&lt;&gt;"",'Daily Sale entry '!AD377&lt;&gt;"")),'Daily Sale entry '!X377+ROW()/10000000,"")</f>
        <v/>
      </c>
      <c r="L377" s="21">
        <f>IF(K377="","",COUNTIF($K$2:$K$3001,"&lt;"&amp;K377)+1)</f>
        <v/>
      </c>
    </row>
    <row r="378">
      <c r="A378" s="5">
        <f>IF($J378="","",IF($J378&lt;=1500,INDEX('Daily Sale entry '!$X$1:$X$1501,$J378+1),INDEX('Daily Sale entry '!$V$1:$V$1501,$J378-1499)))</f>
        <v/>
      </c>
      <c r="B378">
        <f>IF($J378="","",IF($J378&lt;=1500,INDEX('Daily Sale entry '!$Y$1:$Y$1501,$J378+1)&amp;"","Buyer cheque banked 买家支票存入"&amp;IF(INDEX('Daily Sale entry '!$U$1:$U$1501,$J378-1499)="","", " - "&amp;INDEX('Daily Sale entry '!$U$1:$U$1501,$J378-1499))))</f>
        <v/>
      </c>
      <c r="C378">
        <f>IF($J378="","",IF($J378&lt;=1500,INDEX('Daily Sale entry '!$Z$1:$Z$1501,$J378+1)&amp;"","Cheque deposit 支票存入 (buyer 买家)"))</f>
        <v/>
      </c>
      <c r="D378">
        <f>IF($J378="","",IF($J378&lt;=1500,INDEX('Daily Sale entry '!$AA$1:$AA$1501,$J378+1)&amp;"",INDEX('Daily Sale entry '!$P$1:$P$1501,$J378-1499)&amp;""))</f>
        <v/>
      </c>
      <c r="E378">
        <f>IF($J378="","",IF($J378&lt;=1500,IF(N(INDEX('Daily Sale entry '!$AB$1:$AB$1501,$J378+1))=0,"",INDEX('Daily Sale entry '!$AB$1:$AB$1501,$J378+1)),1))</f>
        <v/>
      </c>
      <c r="F378" s="6">
        <f>IF($J378="","",IF($J378&lt;=1500,N(INDEX('Daily Sale entry '!$AC$1:$AC$1501,$J378+1))-IF(AND('Opening Balance'!$B$15=1,INDEX('Daily Sale entry '!$Z$1:$Z$1501,$J378+1)="Online collection 网上收款",INDEX('Daily Sale entry '!$AA$1:$AA$1501,$J378+1)&lt;&gt;""),N(INDEX('Daily Sale entry '!$AC$1:$AC$1501,$J378+1))-TRUNC(N(INDEX('Daily Sale entry '!$AC$1:$AC$1501,$J378+1))),0),N(INDEX('Daily Sale entry '!$S$1:$S$1501,$J378-1499))-'Opening Balance'!$B$15*(N(INDEX('Daily Sale entry '!$S$1:$S$1501,$J378-1499))-TRUNC(N(INDEX('Daily Sale entry '!$S$1:$S$1501,$J378-1499))))))</f>
        <v/>
      </c>
      <c r="G378" s="6">
        <f>IF($J378="","",IF($J378&lt;=1500,N(INDEX('Daily Sale entry '!$AD$1:$AD$1501,$J378+1)),0))</f>
        <v/>
      </c>
      <c r="H378" s="6">
        <f>IF($J378="","",ROUND('Opening Balance'!$B$4+SUM($F$2:F378)-SUM($G$2:G378),2))</f>
        <v/>
      </c>
      <c r="J378" s="21">
        <f>IFERROR(MATCH(ROW()-1,$L$2:$L$3001,0),"")</f>
        <v/>
      </c>
      <c r="K378" s="34">
        <f>IF(AND('Daily Sale entry '!X378&lt;&gt;"",OR('Daily Sale entry '!AC378&lt;&gt;"",'Daily Sale entry '!AD378&lt;&gt;"")),'Daily Sale entry '!X378+ROW()/10000000,"")</f>
        <v/>
      </c>
      <c r="L378" s="21">
        <f>IF(K378="","",COUNTIF($K$2:$K$3001,"&lt;"&amp;K378)+1)</f>
        <v/>
      </c>
    </row>
    <row r="379">
      <c r="A379" s="5">
        <f>IF($J379="","",IF($J379&lt;=1500,INDEX('Daily Sale entry '!$X$1:$X$1501,$J379+1),INDEX('Daily Sale entry '!$V$1:$V$1501,$J379-1499)))</f>
        <v/>
      </c>
      <c r="B379">
        <f>IF($J379="","",IF($J379&lt;=1500,INDEX('Daily Sale entry '!$Y$1:$Y$1501,$J379+1)&amp;"","Buyer cheque banked 买家支票存入"&amp;IF(INDEX('Daily Sale entry '!$U$1:$U$1501,$J379-1499)="","", " - "&amp;INDEX('Daily Sale entry '!$U$1:$U$1501,$J379-1499))))</f>
        <v/>
      </c>
      <c r="C379">
        <f>IF($J379="","",IF($J379&lt;=1500,INDEX('Daily Sale entry '!$Z$1:$Z$1501,$J379+1)&amp;"","Cheque deposit 支票存入 (buyer 买家)"))</f>
        <v/>
      </c>
      <c r="D379">
        <f>IF($J379="","",IF($J379&lt;=1500,INDEX('Daily Sale entry '!$AA$1:$AA$1501,$J379+1)&amp;"",INDEX('Daily Sale entry '!$P$1:$P$1501,$J379-1499)&amp;""))</f>
        <v/>
      </c>
      <c r="E379">
        <f>IF($J379="","",IF($J379&lt;=1500,IF(N(INDEX('Daily Sale entry '!$AB$1:$AB$1501,$J379+1))=0,"",INDEX('Daily Sale entry '!$AB$1:$AB$1501,$J379+1)),1))</f>
        <v/>
      </c>
      <c r="F379" s="6">
        <f>IF($J379="","",IF($J379&lt;=1500,N(INDEX('Daily Sale entry '!$AC$1:$AC$1501,$J379+1))-IF(AND('Opening Balance'!$B$15=1,INDEX('Daily Sale entry '!$Z$1:$Z$1501,$J379+1)="Online collection 网上收款",INDEX('Daily Sale entry '!$AA$1:$AA$1501,$J379+1)&lt;&gt;""),N(INDEX('Daily Sale entry '!$AC$1:$AC$1501,$J379+1))-TRUNC(N(INDEX('Daily Sale entry '!$AC$1:$AC$1501,$J379+1))),0),N(INDEX('Daily Sale entry '!$S$1:$S$1501,$J379-1499))-'Opening Balance'!$B$15*(N(INDEX('Daily Sale entry '!$S$1:$S$1501,$J379-1499))-TRUNC(N(INDEX('Daily Sale entry '!$S$1:$S$1501,$J379-1499))))))</f>
        <v/>
      </c>
      <c r="G379" s="6">
        <f>IF($J379="","",IF($J379&lt;=1500,N(INDEX('Daily Sale entry '!$AD$1:$AD$1501,$J379+1)),0))</f>
        <v/>
      </c>
      <c r="H379" s="6">
        <f>IF($J379="","",ROUND('Opening Balance'!$B$4+SUM($F$2:F379)-SUM($G$2:G379),2))</f>
        <v/>
      </c>
      <c r="J379" s="21">
        <f>IFERROR(MATCH(ROW()-1,$L$2:$L$3001,0),"")</f>
        <v/>
      </c>
      <c r="K379" s="34">
        <f>IF(AND('Daily Sale entry '!X379&lt;&gt;"",OR('Daily Sale entry '!AC379&lt;&gt;"",'Daily Sale entry '!AD379&lt;&gt;"")),'Daily Sale entry '!X379+ROW()/10000000,"")</f>
        <v/>
      </c>
      <c r="L379" s="21">
        <f>IF(K379="","",COUNTIF($K$2:$K$3001,"&lt;"&amp;K379)+1)</f>
        <v/>
      </c>
    </row>
    <row r="380">
      <c r="A380" s="5">
        <f>IF($J380="","",IF($J380&lt;=1500,INDEX('Daily Sale entry '!$X$1:$X$1501,$J380+1),INDEX('Daily Sale entry '!$V$1:$V$1501,$J380-1499)))</f>
        <v/>
      </c>
      <c r="B380">
        <f>IF($J380="","",IF($J380&lt;=1500,INDEX('Daily Sale entry '!$Y$1:$Y$1501,$J380+1)&amp;"","Buyer cheque banked 买家支票存入"&amp;IF(INDEX('Daily Sale entry '!$U$1:$U$1501,$J380-1499)="","", " - "&amp;INDEX('Daily Sale entry '!$U$1:$U$1501,$J380-1499))))</f>
        <v/>
      </c>
      <c r="C380">
        <f>IF($J380="","",IF($J380&lt;=1500,INDEX('Daily Sale entry '!$Z$1:$Z$1501,$J380+1)&amp;"","Cheque deposit 支票存入 (buyer 买家)"))</f>
        <v/>
      </c>
      <c r="D380">
        <f>IF($J380="","",IF($J380&lt;=1500,INDEX('Daily Sale entry '!$AA$1:$AA$1501,$J380+1)&amp;"",INDEX('Daily Sale entry '!$P$1:$P$1501,$J380-1499)&amp;""))</f>
        <v/>
      </c>
      <c r="E380">
        <f>IF($J380="","",IF($J380&lt;=1500,IF(N(INDEX('Daily Sale entry '!$AB$1:$AB$1501,$J380+1))=0,"",INDEX('Daily Sale entry '!$AB$1:$AB$1501,$J380+1)),1))</f>
        <v/>
      </c>
      <c r="F380" s="6">
        <f>IF($J380="","",IF($J380&lt;=1500,N(INDEX('Daily Sale entry '!$AC$1:$AC$1501,$J380+1))-IF(AND('Opening Balance'!$B$15=1,INDEX('Daily Sale entry '!$Z$1:$Z$1501,$J380+1)="Online collection 网上收款",INDEX('Daily Sale entry '!$AA$1:$AA$1501,$J380+1)&lt;&gt;""),N(INDEX('Daily Sale entry '!$AC$1:$AC$1501,$J380+1))-TRUNC(N(INDEX('Daily Sale entry '!$AC$1:$AC$1501,$J380+1))),0),N(INDEX('Daily Sale entry '!$S$1:$S$1501,$J380-1499))-'Opening Balance'!$B$15*(N(INDEX('Daily Sale entry '!$S$1:$S$1501,$J380-1499))-TRUNC(N(INDEX('Daily Sale entry '!$S$1:$S$1501,$J380-1499))))))</f>
        <v/>
      </c>
      <c r="G380" s="6">
        <f>IF($J380="","",IF($J380&lt;=1500,N(INDEX('Daily Sale entry '!$AD$1:$AD$1501,$J380+1)),0))</f>
        <v/>
      </c>
      <c r="H380" s="6">
        <f>IF($J380="","",ROUND('Opening Balance'!$B$4+SUM($F$2:F380)-SUM($G$2:G380),2))</f>
        <v/>
      </c>
      <c r="J380" s="21">
        <f>IFERROR(MATCH(ROW()-1,$L$2:$L$3001,0),"")</f>
        <v/>
      </c>
      <c r="K380" s="34">
        <f>IF(AND('Daily Sale entry '!X380&lt;&gt;"",OR('Daily Sale entry '!AC380&lt;&gt;"",'Daily Sale entry '!AD380&lt;&gt;"")),'Daily Sale entry '!X380+ROW()/10000000,"")</f>
        <v/>
      </c>
      <c r="L380" s="21">
        <f>IF(K380="","",COUNTIF($K$2:$K$3001,"&lt;"&amp;K380)+1)</f>
        <v/>
      </c>
    </row>
    <row r="381">
      <c r="A381" s="5">
        <f>IF($J381="","",IF($J381&lt;=1500,INDEX('Daily Sale entry '!$X$1:$X$1501,$J381+1),INDEX('Daily Sale entry '!$V$1:$V$1501,$J381-1499)))</f>
        <v/>
      </c>
      <c r="B381">
        <f>IF($J381="","",IF($J381&lt;=1500,INDEX('Daily Sale entry '!$Y$1:$Y$1501,$J381+1)&amp;"","Buyer cheque banked 买家支票存入"&amp;IF(INDEX('Daily Sale entry '!$U$1:$U$1501,$J381-1499)="","", " - "&amp;INDEX('Daily Sale entry '!$U$1:$U$1501,$J381-1499))))</f>
        <v/>
      </c>
      <c r="C381">
        <f>IF($J381="","",IF($J381&lt;=1500,INDEX('Daily Sale entry '!$Z$1:$Z$1501,$J381+1)&amp;"","Cheque deposit 支票存入 (buyer 买家)"))</f>
        <v/>
      </c>
      <c r="D381">
        <f>IF($J381="","",IF($J381&lt;=1500,INDEX('Daily Sale entry '!$AA$1:$AA$1501,$J381+1)&amp;"",INDEX('Daily Sale entry '!$P$1:$P$1501,$J381-1499)&amp;""))</f>
        <v/>
      </c>
      <c r="E381">
        <f>IF($J381="","",IF($J381&lt;=1500,IF(N(INDEX('Daily Sale entry '!$AB$1:$AB$1501,$J381+1))=0,"",INDEX('Daily Sale entry '!$AB$1:$AB$1501,$J381+1)),1))</f>
        <v/>
      </c>
      <c r="F381" s="6">
        <f>IF($J381="","",IF($J381&lt;=1500,N(INDEX('Daily Sale entry '!$AC$1:$AC$1501,$J381+1))-IF(AND('Opening Balance'!$B$15=1,INDEX('Daily Sale entry '!$Z$1:$Z$1501,$J381+1)="Online collection 网上收款",INDEX('Daily Sale entry '!$AA$1:$AA$1501,$J381+1)&lt;&gt;""),N(INDEX('Daily Sale entry '!$AC$1:$AC$1501,$J381+1))-TRUNC(N(INDEX('Daily Sale entry '!$AC$1:$AC$1501,$J381+1))),0),N(INDEX('Daily Sale entry '!$S$1:$S$1501,$J381-1499))-'Opening Balance'!$B$15*(N(INDEX('Daily Sale entry '!$S$1:$S$1501,$J381-1499))-TRUNC(N(INDEX('Daily Sale entry '!$S$1:$S$1501,$J381-1499))))))</f>
        <v/>
      </c>
      <c r="G381" s="6">
        <f>IF($J381="","",IF($J381&lt;=1500,N(INDEX('Daily Sale entry '!$AD$1:$AD$1501,$J381+1)),0))</f>
        <v/>
      </c>
      <c r="H381" s="6">
        <f>IF($J381="","",ROUND('Opening Balance'!$B$4+SUM($F$2:F381)-SUM($G$2:G381),2))</f>
        <v/>
      </c>
      <c r="J381" s="21">
        <f>IFERROR(MATCH(ROW()-1,$L$2:$L$3001,0),"")</f>
        <v/>
      </c>
      <c r="K381" s="34">
        <f>IF(AND('Daily Sale entry '!X381&lt;&gt;"",OR('Daily Sale entry '!AC381&lt;&gt;"",'Daily Sale entry '!AD381&lt;&gt;"")),'Daily Sale entry '!X381+ROW()/10000000,"")</f>
        <v/>
      </c>
      <c r="L381" s="21">
        <f>IF(K381="","",COUNTIF($K$2:$K$3001,"&lt;"&amp;K381)+1)</f>
        <v/>
      </c>
    </row>
    <row r="382">
      <c r="A382" s="5">
        <f>IF($J382="","",IF($J382&lt;=1500,INDEX('Daily Sale entry '!$X$1:$X$1501,$J382+1),INDEX('Daily Sale entry '!$V$1:$V$1501,$J382-1499)))</f>
        <v/>
      </c>
      <c r="B382">
        <f>IF($J382="","",IF($J382&lt;=1500,INDEX('Daily Sale entry '!$Y$1:$Y$1501,$J382+1)&amp;"","Buyer cheque banked 买家支票存入"&amp;IF(INDEX('Daily Sale entry '!$U$1:$U$1501,$J382-1499)="","", " - "&amp;INDEX('Daily Sale entry '!$U$1:$U$1501,$J382-1499))))</f>
        <v/>
      </c>
      <c r="C382">
        <f>IF($J382="","",IF($J382&lt;=1500,INDEX('Daily Sale entry '!$Z$1:$Z$1501,$J382+1)&amp;"","Cheque deposit 支票存入 (buyer 买家)"))</f>
        <v/>
      </c>
      <c r="D382">
        <f>IF($J382="","",IF($J382&lt;=1500,INDEX('Daily Sale entry '!$AA$1:$AA$1501,$J382+1)&amp;"",INDEX('Daily Sale entry '!$P$1:$P$1501,$J382-1499)&amp;""))</f>
        <v/>
      </c>
      <c r="E382">
        <f>IF($J382="","",IF($J382&lt;=1500,IF(N(INDEX('Daily Sale entry '!$AB$1:$AB$1501,$J382+1))=0,"",INDEX('Daily Sale entry '!$AB$1:$AB$1501,$J382+1)),1))</f>
        <v/>
      </c>
      <c r="F382" s="6">
        <f>IF($J382="","",IF($J382&lt;=1500,N(INDEX('Daily Sale entry '!$AC$1:$AC$1501,$J382+1))-IF(AND('Opening Balance'!$B$15=1,INDEX('Daily Sale entry '!$Z$1:$Z$1501,$J382+1)="Online collection 网上收款",INDEX('Daily Sale entry '!$AA$1:$AA$1501,$J382+1)&lt;&gt;""),N(INDEX('Daily Sale entry '!$AC$1:$AC$1501,$J382+1))-TRUNC(N(INDEX('Daily Sale entry '!$AC$1:$AC$1501,$J382+1))),0),N(INDEX('Daily Sale entry '!$S$1:$S$1501,$J382-1499))-'Opening Balance'!$B$15*(N(INDEX('Daily Sale entry '!$S$1:$S$1501,$J382-1499))-TRUNC(N(INDEX('Daily Sale entry '!$S$1:$S$1501,$J382-1499))))))</f>
        <v/>
      </c>
      <c r="G382" s="6">
        <f>IF($J382="","",IF($J382&lt;=1500,N(INDEX('Daily Sale entry '!$AD$1:$AD$1501,$J382+1)),0))</f>
        <v/>
      </c>
      <c r="H382" s="6">
        <f>IF($J382="","",ROUND('Opening Balance'!$B$4+SUM($F$2:F382)-SUM($G$2:G382),2))</f>
        <v/>
      </c>
      <c r="J382" s="21">
        <f>IFERROR(MATCH(ROW()-1,$L$2:$L$3001,0),"")</f>
        <v/>
      </c>
      <c r="K382" s="34">
        <f>IF(AND('Daily Sale entry '!X382&lt;&gt;"",OR('Daily Sale entry '!AC382&lt;&gt;"",'Daily Sale entry '!AD382&lt;&gt;"")),'Daily Sale entry '!X382+ROW()/10000000,"")</f>
        <v/>
      </c>
      <c r="L382" s="21">
        <f>IF(K382="","",COUNTIF($K$2:$K$3001,"&lt;"&amp;K382)+1)</f>
        <v/>
      </c>
    </row>
    <row r="383">
      <c r="A383" s="5">
        <f>IF($J383="","",IF($J383&lt;=1500,INDEX('Daily Sale entry '!$X$1:$X$1501,$J383+1),INDEX('Daily Sale entry '!$V$1:$V$1501,$J383-1499)))</f>
        <v/>
      </c>
      <c r="B383">
        <f>IF($J383="","",IF($J383&lt;=1500,INDEX('Daily Sale entry '!$Y$1:$Y$1501,$J383+1)&amp;"","Buyer cheque banked 买家支票存入"&amp;IF(INDEX('Daily Sale entry '!$U$1:$U$1501,$J383-1499)="","", " - "&amp;INDEX('Daily Sale entry '!$U$1:$U$1501,$J383-1499))))</f>
        <v/>
      </c>
      <c r="C383">
        <f>IF($J383="","",IF($J383&lt;=1500,INDEX('Daily Sale entry '!$Z$1:$Z$1501,$J383+1)&amp;"","Cheque deposit 支票存入 (buyer 买家)"))</f>
        <v/>
      </c>
      <c r="D383">
        <f>IF($J383="","",IF($J383&lt;=1500,INDEX('Daily Sale entry '!$AA$1:$AA$1501,$J383+1)&amp;"",INDEX('Daily Sale entry '!$P$1:$P$1501,$J383-1499)&amp;""))</f>
        <v/>
      </c>
      <c r="E383">
        <f>IF($J383="","",IF($J383&lt;=1500,IF(N(INDEX('Daily Sale entry '!$AB$1:$AB$1501,$J383+1))=0,"",INDEX('Daily Sale entry '!$AB$1:$AB$1501,$J383+1)),1))</f>
        <v/>
      </c>
      <c r="F383" s="6">
        <f>IF($J383="","",IF($J383&lt;=1500,N(INDEX('Daily Sale entry '!$AC$1:$AC$1501,$J383+1))-IF(AND('Opening Balance'!$B$15=1,INDEX('Daily Sale entry '!$Z$1:$Z$1501,$J383+1)="Online collection 网上收款",INDEX('Daily Sale entry '!$AA$1:$AA$1501,$J383+1)&lt;&gt;""),N(INDEX('Daily Sale entry '!$AC$1:$AC$1501,$J383+1))-TRUNC(N(INDEX('Daily Sale entry '!$AC$1:$AC$1501,$J383+1))),0),N(INDEX('Daily Sale entry '!$S$1:$S$1501,$J383-1499))-'Opening Balance'!$B$15*(N(INDEX('Daily Sale entry '!$S$1:$S$1501,$J383-1499))-TRUNC(N(INDEX('Daily Sale entry '!$S$1:$S$1501,$J383-1499))))))</f>
        <v/>
      </c>
      <c r="G383" s="6">
        <f>IF($J383="","",IF($J383&lt;=1500,N(INDEX('Daily Sale entry '!$AD$1:$AD$1501,$J383+1)),0))</f>
        <v/>
      </c>
      <c r="H383" s="6">
        <f>IF($J383="","",ROUND('Opening Balance'!$B$4+SUM($F$2:F383)-SUM($G$2:G383),2))</f>
        <v/>
      </c>
      <c r="J383" s="21">
        <f>IFERROR(MATCH(ROW()-1,$L$2:$L$3001,0),"")</f>
        <v/>
      </c>
      <c r="K383" s="34">
        <f>IF(AND('Daily Sale entry '!X383&lt;&gt;"",OR('Daily Sale entry '!AC383&lt;&gt;"",'Daily Sale entry '!AD383&lt;&gt;"")),'Daily Sale entry '!X383+ROW()/10000000,"")</f>
        <v/>
      </c>
      <c r="L383" s="21">
        <f>IF(K383="","",COUNTIF($K$2:$K$3001,"&lt;"&amp;K383)+1)</f>
        <v/>
      </c>
    </row>
    <row r="384">
      <c r="A384" s="5">
        <f>IF($J384="","",IF($J384&lt;=1500,INDEX('Daily Sale entry '!$X$1:$X$1501,$J384+1),INDEX('Daily Sale entry '!$V$1:$V$1501,$J384-1499)))</f>
        <v/>
      </c>
      <c r="B384">
        <f>IF($J384="","",IF($J384&lt;=1500,INDEX('Daily Sale entry '!$Y$1:$Y$1501,$J384+1)&amp;"","Buyer cheque banked 买家支票存入"&amp;IF(INDEX('Daily Sale entry '!$U$1:$U$1501,$J384-1499)="","", " - "&amp;INDEX('Daily Sale entry '!$U$1:$U$1501,$J384-1499))))</f>
        <v/>
      </c>
      <c r="C384">
        <f>IF($J384="","",IF($J384&lt;=1500,INDEX('Daily Sale entry '!$Z$1:$Z$1501,$J384+1)&amp;"","Cheque deposit 支票存入 (buyer 买家)"))</f>
        <v/>
      </c>
      <c r="D384">
        <f>IF($J384="","",IF($J384&lt;=1500,INDEX('Daily Sale entry '!$AA$1:$AA$1501,$J384+1)&amp;"",INDEX('Daily Sale entry '!$P$1:$P$1501,$J384-1499)&amp;""))</f>
        <v/>
      </c>
      <c r="E384">
        <f>IF($J384="","",IF($J384&lt;=1500,IF(N(INDEX('Daily Sale entry '!$AB$1:$AB$1501,$J384+1))=0,"",INDEX('Daily Sale entry '!$AB$1:$AB$1501,$J384+1)),1))</f>
        <v/>
      </c>
      <c r="F384" s="6">
        <f>IF($J384="","",IF($J384&lt;=1500,N(INDEX('Daily Sale entry '!$AC$1:$AC$1501,$J384+1))-IF(AND('Opening Balance'!$B$15=1,INDEX('Daily Sale entry '!$Z$1:$Z$1501,$J384+1)="Online collection 网上收款",INDEX('Daily Sale entry '!$AA$1:$AA$1501,$J384+1)&lt;&gt;""),N(INDEX('Daily Sale entry '!$AC$1:$AC$1501,$J384+1))-TRUNC(N(INDEX('Daily Sale entry '!$AC$1:$AC$1501,$J384+1))),0),N(INDEX('Daily Sale entry '!$S$1:$S$1501,$J384-1499))-'Opening Balance'!$B$15*(N(INDEX('Daily Sale entry '!$S$1:$S$1501,$J384-1499))-TRUNC(N(INDEX('Daily Sale entry '!$S$1:$S$1501,$J384-1499))))))</f>
        <v/>
      </c>
      <c r="G384" s="6">
        <f>IF($J384="","",IF($J384&lt;=1500,N(INDEX('Daily Sale entry '!$AD$1:$AD$1501,$J384+1)),0))</f>
        <v/>
      </c>
      <c r="H384" s="6">
        <f>IF($J384="","",ROUND('Opening Balance'!$B$4+SUM($F$2:F384)-SUM($G$2:G384),2))</f>
        <v/>
      </c>
      <c r="J384" s="21">
        <f>IFERROR(MATCH(ROW()-1,$L$2:$L$3001,0),"")</f>
        <v/>
      </c>
      <c r="K384" s="34">
        <f>IF(AND('Daily Sale entry '!X384&lt;&gt;"",OR('Daily Sale entry '!AC384&lt;&gt;"",'Daily Sale entry '!AD384&lt;&gt;"")),'Daily Sale entry '!X384+ROW()/10000000,"")</f>
        <v/>
      </c>
      <c r="L384" s="21">
        <f>IF(K384="","",COUNTIF($K$2:$K$3001,"&lt;"&amp;K384)+1)</f>
        <v/>
      </c>
    </row>
    <row r="385">
      <c r="A385" s="5">
        <f>IF($J385="","",IF($J385&lt;=1500,INDEX('Daily Sale entry '!$X$1:$X$1501,$J385+1),INDEX('Daily Sale entry '!$V$1:$V$1501,$J385-1499)))</f>
        <v/>
      </c>
      <c r="B385">
        <f>IF($J385="","",IF($J385&lt;=1500,INDEX('Daily Sale entry '!$Y$1:$Y$1501,$J385+1)&amp;"","Buyer cheque banked 买家支票存入"&amp;IF(INDEX('Daily Sale entry '!$U$1:$U$1501,$J385-1499)="","", " - "&amp;INDEX('Daily Sale entry '!$U$1:$U$1501,$J385-1499))))</f>
        <v/>
      </c>
      <c r="C385">
        <f>IF($J385="","",IF($J385&lt;=1500,INDEX('Daily Sale entry '!$Z$1:$Z$1501,$J385+1)&amp;"","Cheque deposit 支票存入 (buyer 买家)"))</f>
        <v/>
      </c>
      <c r="D385">
        <f>IF($J385="","",IF($J385&lt;=1500,INDEX('Daily Sale entry '!$AA$1:$AA$1501,$J385+1)&amp;"",INDEX('Daily Sale entry '!$P$1:$P$1501,$J385-1499)&amp;""))</f>
        <v/>
      </c>
      <c r="E385">
        <f>IF($J385="","",IF($J385&lt;=1500,IF(N(INDEX('Daily Sale entry '!$AB$1:$AB$1501,$J385+1))=0,"",INDEX('Daily Sale entry '!$AB$1:$AB$1501,$J385+1)),1))</f>
        <v/>
      </c>
      <c r="F385" s="6">
        <f>IF($J385="","",IF($J385&lt;=1500,N(INDEX('Daily Sale entry '!$AC$1:$AC$1501,$J385+1))-IF(AND('Opening Balance'!$B$15=1,INDEX('Daily Sale entry '!$Z$1:$Z$1501,$J385+1)="Online collection 网上收款",INDEX('Daily Sale entry '!$AA$1:$AA$1501,$J385+1)&lt;&gt;""),N(INDEX('Daily Sale entry '!$AC$1:$AC$1501,$J385+1))-TRUNC(N(INDEX('Daily Sale entry '!$AC$1:$AC$1501,$J385+1))),0),N(INDEX('Daily Sale entry '!$S$1:$S$1501,$J385-1499))-'Opening Balance'!$B$15*(N(INDEX('Daily Sale entry '!$S$1:$S$1501,$J385-1499))-TRUNC(N(INDEX('Daily Sale entry '!$S$1:$S$1501,$J385-1499))))))</f>
        <v/>
      </c>
      <c r="G385" s="6">
        <f>IF($J385="","",IF($J385&lt;=1500,N(INDEX('Daily Sale entry '!$AD$1:$AD$1501,$J385+1)),0))</f>
        <v/>
      </c>
      <c r="H385" s="6">
        <f>IF($J385="","",ROUND('Opening Balance'!$B$4+SUM($F$2:F385)-SUM($G$2:G385),2))</f>
        <v/>
      </c>
      <c r="J385" s="21">
        <f>IFERROR(MATCH(ROW()-1,$L$2:$L$3001,0),"")</f>
        <v/>
      </c>
      <c r="K385" s="34">
        <f>IF(AND('Daily Sale entry '!X385&lt;&gt;"",OR('Daily Sale entry '!AC385&lt;&gt;"",'Daily Sale entry '!AD385&lt;&gt;"")),'Daily Sale entry '!X385+ROW()/10000000,"")</f>
        <v/>
      </c>
      <c r="L385" s="21">
        <f>IF(K385="","",COUNTIF($K$2:$K$3001,"&lt;"&amp;K385)+1)</f>
        <v/>
      </c>
    </row>
    <row r="386">
      <c r="A386" s="5">
        <f>IF($J386="","",IF($J386&lt;=1500,INDEX('Daily Sale entry '!$X$1:$X$1501,$J386+1),INDEX('Daily Sale entry '!$V$1:$V$1501,$J386-1499)))</f>
        <v/>
      </c>
      <c r="B386">
        <f>IF($J386="","",IF($J386&lt;=1500,INDEX('Daily Sale entry '!$Y$1:$Y$1501,$J386+1)&amp;"","Buyer cheque banked 买家支票存入"&amp;IF(INDEX('Daily Sale entry '!$U$1:$U$1501,$J386-1499)="","", " - "&amp;INDEX('Daily Sale entry '!$U$1:$U$1501,$J386-1499))))</f>
        <v/>
      </c>
      <c r="C386">
        <f>IF($J386="","",IF($J386&lt;=1500,INDEX('Daily Sale entry '!$Z$1:$Z$1501,$J386+1)&amp;"","Cheque deposit 支票存入 (buyer 买家)"))</f>
        <v/>
      </c>
      <c r="D386">
        <f>IF($J386="","",IF($J386&lt;=1500,INDEX('Daily Sale entry '!$AA$1:$AA$1501,$J386+1)&amp;"",INDEX('Daily Sale entry '!$P$1:$P$1501,$J386-1499)&amp;""))</f>
        <v/>
      </c>
      <c r="E386">
        <f>IF($J386="","",IF($J386&lt;=1500,IF(N(INDEX('Daily Sale entry '!$AB$1:$AB$1501,$J386+1))=0,"",INDEX('Daily Sale entry '!$AB$1:$AB$1501,$J386+1)),1))</f>
        <v/>
      </c>
      <c r="F386" s="6">
        <f>IF($J386="","",IF($J386&lt;=1500,N(INDEX('Daily Sale entry '!$AC$1:$AC$1501,$J386+1))-IF(AND('Opening Balance'!$B$15=1,INDEX('Daily Sale entry '!$Z$1:$Z$1501,$J386+1)="Online collection 网上收款",INDEX('Daily Sale entry '!$AA$1:$AA$1501,$J386+1)&lt;&gt;""),N(INDEX('Daily Sale entry '!$AC$1:$AC$1501,$J386+1))-TRUNC(N(INDEX('Daily Sale entry '!$AC$1:$AC$1501,$J386+1))),0),N(INDEX('Daily Sale entry '!$S$1:$S$1501,$J386-1499))-'Opening Balance'!$B$15*(N(INDEX('Daily Sale entry '!$S$1:$S$1501,$J386-1499))-TRUNC(N(INDEX('Daily Sale entry '!$S$1:$S$1501,$J386-1499))))))</f>
        <v/>
      </c>
      <c r="G386" s="6">
        <f>IF($J386="","",IF($J386&lt;=1500,N(INDEX('Daily Sale entry '!$AD$1:$AD$1501,$J386+1)),0))</f>
        <v/>
      </c>
      <c r="H386" s="6">
        <f>IF($J386="","",ROUND('Opening Balance'!$B$4+SUM($F$2:F386)-SUM($G$2:G386),2))</f>
        <v/>
      </c>
      <c r="J386" s="21">
        <f>IFERROR(MATCH(ROW()-1,$L$2:$L$3001,0),"")</f>
        <v/>
      </c>
      <c r="K386" s="34">
        <f>IF(AND('Daily Sale entry '!X386&lt;&gt;"",OR('Daily Sale entry '!AC386&lt;&gt;"",'Daily Sale entry '!AD386&lt;&gt;"")),'Daily Sale entry '!X386+ROW()/10000000,"")</f>
        <v/>
      </c>
      <c r="L386" s="21">
        <f>IF(K386="","",COUNTIF($K$2:$K$3001,"&lt;"&amp;K386)+1)</f>
        <v/>
      </c>
    </row>
    <row r="387">
      <c r="A387" s="5">
        <f>IF($J387="","",IF($J387&lt;=1500,INDEX('Daily Sale entry '!$X$1:$X$1501,$J387+1),INDEX('Daily Sale entry '!$V$1:$V$1501,$J387-1499)))</f>
        <v/>
      </c>
      <c r="B387">
        <f>IF($J387="","",IF($J387&lt;=1500,INDEX('Daily Sale entry '!$Y$1:$Y$1501,$J387+1)&amp;"","Buyer cheque banked 买家支票存入"&amp;IF(INDEX('Daily Sale entry '!$U$1:$U$1501,$J387-1499)="","", " - "&amp;INDEX('Daily Sale entry '!$U$1:$U$1501,$J387-1499))))</f>
        <v/>
      </c>
      <c r="C387">
        <f>IF($J387="","",IF($J387&lt;=1500,INDEX('Daily Sale entry '!$Z$1:$Z$1501,$J387+1)&amp;"","Cheque deposit 支票存入 (buyer 买家)"))</f>
        <v/>
      </c>
      <c r="D387">
        <f>IF($J387="","",IF($J387&lt;=1500,INDEX('Daily Sale entry '!$AA$1:$AA$1501,$J387+1)&amp;"",INDEX('Daily Sale entry '!$P$1:$P$1501,$J387-1499)&amp;""))</f>
        <v/>
      </c>
      <c r="E387">
        <f>IF($J387="","",IF($J387&lt;=1500,IF(N(INDEX('Daily Sale entry '!$AB$1:$AB$1501,$J387+1))=0,"",INDEX('Daily Sale entry '!$AB$1:$AB$1501,$J387+1)),1))</f>
        <v/>
      </c>
      <c r="F387" s="6">
        <f>IF($J387="","",IF($J387&lt;=1500,N(INDEX('Daily Sale entry '!$AC$1:$AC$1501,$J387+1))-IF(AND('Opening Balance'!$B$15=1,INDEX('Daily Sale entry '!$Z$1:$Z$1501,$J387+1)="Online collection 网上收款",INDEX('Daily Sale entry '!$AA$1:$AA$1501,$J387+1)&lt;&gt;""),N(INDEX('Daily Sale entry '!$AC$1:$AC$1501,$J387+1))-TRUNC(N(INDEX('Daily Sale entry '!$AC$1:$AC$1501,$J387+1))),0),N(INDEX('Daily Sale entry '!$S$1:$S$1501,$J387-1499))-'Opening Balance'!$B$15*(N(INDEX('Daily Sale entry '!$S$1:$S$1501,$J387-1499))-TRUNC(N(INDEX('Daily Sale entry '!$S$1:$S$1501,$J387-1499))))))</f>
        <v/>
      </c>
      <c r="G387" s="6">
        <f>IF($J387="","",IF($J387&lt;=1500,N(INDEX('Daily Sale entry '!$AD$1:$AD$1501,$J387+1)),0))</f>
        <v/>
      </c>
      <c r="H387" s="6">
        <f>IF($J387="","",ROUND('Opening Balance'!$B$4+SUM($F$2:F387)-SUM($G$2:G387),2))</f>
        <v/>
      </c>
      <c r="J387" s="21">
        <f>IFERROR(MATCH(ROW()-1,$L$2:$L$3001,0),"")</f>
        <v/>
      </c>
      <c r="K387" s="34">
        <f>IF(AND('Daily Sale entry '!X387&lt;&gt;"",OR('Daily Sale entry '!AC387&lt;&gt;"",'Daily Sale entry '!AD387&lt;&gt;"")),'Daily Sale entry '!X387+ROW()/10000000,"")</f>
        <v/>
      </c>
      <c r="L387" s="21">
        <f>IF(K387="","",COUNTIF($K$2:$K$3001,"&lt;"&amp;K387)+1)</f>
        <v/>
      </c>
    </row>
    <row r="388">
      <c r="A388" s="5">
        <f>IF($J388="","",IF($J388&lt;=1500,INDEX('Daily Sale entry '!$X$1:$X$1501,$J388+1),INDEX('Daily Sale entry '!$V$1:$V$1501,$J388-1499)))</f>
        <v/>
      </c>
      <c r="B388">
        <f>IF($J388="","",IF($J388&lt;=1500,INDEX('Daily Sale entry '!$Y$1:$Y$1501,$J388+1)&amp;"","Buyer cheque banked 买家支票存入"&amp;IF(INDEX('Daily Sale entry '!$U$1:$U$1501,$J388-1499)="","", " - "&amp;INDEX('Daily Sale entry '!$U$1:$U$1501,$J388-1499))))</f>
        <v/>
      </c>
      <c r="C388">
        <f>IF($J388="","",IF($J388&lt;=1500,INDEX('Daily Sale entry '!$Z$1:$Z$1501,$J388+1)&amp;"","Cheque deposit 支票存入 (buyer 买家)"))</f>
        <v/>
      </c>
      <c r="D388">
        <f>IF($J388="","",IF($J388&lt;=1500,INDEX('Daily Sale entry '!$AA$1:$AA$1501,$J388+1)&amp;"",INDEX('Daily Sale entry '!$P$1:$P$1501,$J388-1499)&amp;""))</f>
        <v/>
      </c>
      <c r="E388">
        <f>IF($J388="","",IF($J388&lt;=1500,IF(N(INDEX('Daily Sale entry '!$AB$1:$AB$1501,$J388+1))=0,"",INDEX('Daily Sale entry '!$AB$1:$AB$1501,$J388+1)),1))</f>
        <v/>
      </c>
      <c r="F388" s="6">
        <f>IF($J388="","",IF($J388&lt;=1500,N(INDEX('Daily Sale entry '!$AC$1:$AC$1501,$J388+1))-IF(AND('Opening Balance'!$B$15=1,INDEX('Daily Sale entry '!$Z$1:$Z$1501,$J388+1)="Online collection 网上收款",INDEX('Daily Sale entry '!$AA$1:$AA$1501,$J388+1)&lt;&gt;""),N(INDEX('Daily Sale entry '!$AC$1:$AC$1501,$J388+1))-TRUNC(N(INDEX('Daily Sale entry '!$AC$1:$AC$1501,$J388+1))),0),N(INDEX('Daily Sale entry '!$S$1:$S$1501,$J388-1499))-'Opening Balance'!$B$15*(N(INDEX('Daily Sale entry '!$S$1:$S$1501,$J388-1499))-TRUNC(N(INDEX('Daily Sale entry '!$S$1:$S$1501,$J388-1499))))))</f>
        <v/>
      </c>
      <c r="G388" s="6">
        <f>IF($J388="","",IF($J388&lt;=1500,N(INDEX('Daily Sale entry '!$AD$1:$AD$1501,$J388+1)),0))</f>
        <v/>
      </c>
      <c r="H388" s="6">
        <f>IF($J388="","",ROUND('Opening Balance'!$B$4+SUM($F$2:F388)-SUM($G$2:G388),2))</f>
        <v/>
      </c>
      <c r="J388" s="21">
        <f>IFERROR(MATCH(ROW()-1,$L$2:$L$3001,0),"")</f>
        <v/>
      </c>
      <c r="K388" s="34">
        <f>IF(AND('Daily Sale entry '!X388&lt;&gt;"",OR('Daily Sale entry '!AC388&lt;&gt;"",'Daily Sale entry '!AD388&lt;&gt;"")),'Daily Sale entry '!X388+ROW()/10000000,"")</f>
        <v/>
      </c>
      <c r="L388" s="21">
        <f>IF(K388="","",COUNTIF($K$2:$K$3001,"&lt;"&amp;K388)+1)</f>
        <v/>
      </c>
    </row>
    <row r="389">
      <c r="A389" s="5">
        <f>IF($J389="","",IF($J389&lt;=1500,INDEX('Daily Sale entry '!$X$1:$X$1501,$J389+1),INDEX('Daily Sale entry '!$V$1:$V$1501,$J389-1499)))</f>
        <v/>
      </c>
      <c r="B389">
        <f>IF($J389="","",IF($J389&lt;=1500,INDEX('Daily Sale entry '!$Y$1:$Y$1501,$J389+1)&amp;"","Buyer cheque banked 买家支票存入"&amp;IF(INDEX('Daily Sale entry '!$U$1:$U$1501,$J389-1499)="","", " - "&amp;INDEX('Daily Sale entry '!$U$1:$U$1501,$J389-1499))))</f>
        <v/>
      </c>
      <c r="C389">
        <f>IF($J389="","",IF($J389&lt;=1500,INDEX('Daily Sale entry '!$Z$1:$Z$1501,$J389+1)&amp;"","Cheque deposit 支票存入 (buyer 买家)"))</f>
        <v/>
      </c>
      <c r="D389">
        <f>IF($J389="","",IF($J389&lt;=1500,INDEX('Daily Sale entry '!$AA$1:$AA$1501,$J389+1)&amp;"",INDEX('Daily Sale entry '!$P$1:$P$1501,$J389-1499)&amp;""))</f>
        <v/>
      </c>
      <c r="E389">
        <f>IF($J389="","",IF($J389&lt;=1500,IF(N(INDEX('Daily Sale entry '!$AB$1:$AB$1501,$J389+1))=0,"",INDEX('Daily Sale entry '!$AB$1:$AB$1501,$J389+1)),1))</f>
        <v/>
      </c>
      <c r="F389" s="6">
        <f>IF($J389="","",IF($J389&lt;=1500,N(INDEX('Daily Sale entry '!$AC$1:$AC$1501,$J389+1))-IF(AND('Opening Balance'!$B$15=1,INDEX('Daily Sale entry '!$Z$1:$Z$1501,$J389+1)="Online collection 网上收款",INDEX('Daily Sale entry '!$AA$1:$AA$1501,$J389+1)&lt;&gt;""),N(INDEX('Daily Sale entry '!$AC$1:$AC$1501,$J389+1))-TRUNC(N(INDEX('Daily Sale entry '!$AC$1:$AC$1501,$J389+1))),0),N(INDEX('Daily Sale entry '!$S$1:$S$1501,$J389-1499))-'Opening Balance'!$B$15*(N(INDEX('Daily Sale entry '!$S$1:$S$1501,$J389-1499))-TRUNC(N(INDEX('Daily Sale entry '!$S$1:$S$1501,$J389-1499))))))</f>
        <v/>
      </c>
      <c r="G389" s="6">
        <f>IF($J389="","",IF($J389&lt;=1500,N(INDEX('Daily Sale entry '!$AD$1:$AD$1501,$J389+1)),0))</f>
        <v/>
      </c>
      <c r="H389" s="6">
        <f>IF($J389="","",ROUND('Opening Balance'!$B$4+SUM($F$2:F389)-SUM($G$2:G389),2))</f>
        <v/>
      </c>
      <c r="J389" s="21">
        <f>IFERROR(MATCH(ROW()-1,$L$2:$L$3001,0),"")</f>
        <v/>
      </c>
      <c r="K389" s="34">
        <f>IF(AND('Daily Sale entry '!X389&lt;&gt;"",OR('Daily Sale entry '!AC389&lt;&gt;"",'Daily Sale entry '!AD389&lt;&gt;"")),'Daily Sale entry '!X389+ROW()/10000000,"")</f>
        <v/>
      </c>
      <c r="L389" s="21">
        <f>IF(K389="","",COUNTIF($K$2:$K$3001,"&lt;"&amp;K389)+1)</f>
        <v/>
      </c>
    </row>
    <row r="390">
      <c r="A390" s="5">
        <f>IF($J390="","",IF($J390&lt;=1500,INDEX('Daily Sale entry '!$X$1:$X$1501,$J390+1),INDEX('Daily Sale entry '!$V$1:$V$1501,$J390-1499)))</f>
        <v/>
      </c>
      <c r="B390">
        <f>IF($J390="","",IF($J390&lt;=1500,INDEX('Daily Sale entry '!$Y$1:$Y$1501,$J390+1)&amp;"","Buyer cheque banked 买家支票存入"&amp;IF(INDEX('Daily Sale entry '!$U$1:$U$1501,$J390-1499)="","", " - "&amp;INDEX('Daily Sale entry '!$U$1:$U$1501,$J390-1499))))</f>
        <v/>
      </c>
      <c r="C390">
        <f>IF($J390="","",IF($J390&lt;=1500,INDEX('Daily Sale entry '!$Z$1:$Z$1501,$J390+1)&amp;"","Cheque deposit 支票存入 (buyer 买家)"))</f>
        <v/>
      </c>
      <c r="D390">
        <f>IF($J390="","",IF($J390&lt;=1500,INDEX('Daily Sale entry '!$AA$1:$AA$1501,$J390+1)&amp;"",INDEX('Daily Sale entry '!$P$1:$P$1501,$J390-1499)&amp;""))</f>
        <v/>
      </c>
      <c r="E390">
        <f>IF($J390="","",IF($J390&lt;=1500,IF(N(INDEX('Daily Sale entry '!$AB$1:$AB$1501,$J390+1))=0,"",INDEX('Daily Sale entry '!$AB$1:$AB$1501,$J390+1)),1))</f>
        <v/>
      </c>
      <c r="F390" s="6">
        <f>IF($J390="","",IF($J390&lt;=1500,N(INDEX('Daily Sale entry '!$AC$1:$AC$1501,$J390+1))-IF(AND('Opening Balance'!$B$15=1,INDEX('Daily Sale entry '!$Z$1:$Z$1501,$J390+1)="Online collection 网上收款",INDEX('Daily Sale entry '!$AA$1:$AA$1501,$J390+1)&lt;&gt;""),N(INDEX('Daily Sale entry '!$AC$1:$AC$1501,$J390+1))-TRUNC(N(INDEX('Daily Sale entry '!$AC$1:$AC$1501,$J390+1))),0),N(INDEX('Daily Sale entry '!$S$1:$S$1501,$J390-1499))-'Opening Balance'!$B$15*(N(INDEX('Daily Sale entry '!$S$1:$S$1501,$J390-1499))-TRUNC(N(INDEX('Daily Sale entry '!$S$1:$S$1501,$J390-1499))))))</f>
        <v/>
      </c>
      <c r="G390" s="6">
        <f>IF($J390="","",IF($J390&lt;=1500,N(INDEX('Daily Sale entry '!$AD$1:$AD$1501,$J390+1)),0))</f>
        <v/>
      </c>
      <c r="H390" s="6">
        <f>IF($J390="","",ROUND('Opening Balance'!$B$4+SUM($F$2:F390)-SUM($G$2:G390),2))</f>
        <v/>
      </c>
      <c r="J390" s="21">
        <f>IFERROR(MATCH(ROW()-1,$L$2:$L$3001,0),"")</f>
        <v/>
      </c>
      <c r="K390" s="34">
        <f>IF(AND('Daily Sale entry '!X390&lt;&gt;"",OR('Daily Sale entry '!AC390&lt;&gt;"",'Daily Sale entry '!AD390&lt;&gt;"")),'Daily Sale entry '!X390+ROW()/10000000,"")</f>
        <v/>
      </c>
      <c r="L390" s="21">
        <f>IF(K390="","",COUNTIF($K$2:$K$3001,"&lt;"&amp;K390)+1)</f>
        <v/>
      </c>
    </row>
    <row r="391">
      <c r="A391" s="5">
        <f>IF($J391="","",IF($J391&lt;=1500,INDEX('Daily Sale entry '!$X$1:$X$1501,$J391+1),INDEX('Daily Sale entry '!$V$1:$V$1501,$J391-1499)))</f>
        <v/>
      </c>
      <c r="B391">
        <f>IF($J391="","",IF($J391&lt;=1500,INDEX('Daily Sale entry '!$Y$1:$Y$1501,$J391+1)&amp;"","Buyer cheque banked 买家支票存入"&amp;IF(INDEX('Daily Sale entry '!$U$1:$U$1501,$J391-1499)="","", " - "&amp;INDEX('Daily Sale entry '!$U$1:$U$1501,$J391-1499))))</f>
        <v/>
      </c>
      <c r="C391">
        <f>IF($J391="","",IF($J391&lt;=1500,INDEX('Daily Sale entry '!$Z$1:$Z$1501,$J391+1)&amp;"","Cheque deposit 支票存入 (buyer 买家)"))</f>
        <v/>
      </c>
      <c r="D391">
        <f>IF($J391="","",IF($J391&lt;=1500,INDEX('Daily Sale entry '!$AA$1:$AA$1501,$J391+1)&amp;"",INDEX('Daily Sale entry '!$P$1:$P$1501,$J391-1499)&amp;""))</f>
        <v/>
      </c>
      <c r="E391">
        <f>IF($J391="","",IF($J391&lt;=1500,IF(N(INDEX('Daily Sale entry '!$AB$1:$AB$1501,$J391+1))=0,"",INDEX('Daily Sale entry '!$AB$1:$AB$1501,$J391+1)),1))</f>
        <v/>
      </c>
      <c r="F391" s="6">
        <f>IF($J391="","",IF($J391&lt;=1500,N(INDEX('Daily Sale entry '!$AC$1:$AC$1501,$J391+1))-IF(AND('Opening Balance'!$B$15=1,INDEX('Daily Sale entry '!$Z$1:$Z$1501,$J391+1)="Online collection 网上收款",INDEX('Daily Sale entry '!$AA$1:$AA$1501,$J391+1)&lt;&gt;""),N(INDEX('Daily Sale entry '!$AC$1:$AC$1501,$J391+1))-TRUNC(N(INDEX('Daily Sale entry '!$AC$1:$AC$1501,$J391+1))),0),N(INDEX('Daily Sale entry '!$S$1:$S$1501,$J391-1499))-'Opening Balance'!$B$15*(N(INDEX('Daily Sale entry '!$S$1:$S$1501,$J391-1499))-TRUNC(N(INDEX('Daily Sale entry '!$S$1:$S$1501,$J391-1499))))))</f>
        <v/>
      </c>
      <c r="G391" s="6">
        <f>IF($J391="","",IF($J391&lt;=1500,N(INDEX('Daily Sale entry '!$AD$1:$AD$1501,$J391+1)),0))</f>
        <v/>
      </c>
      <c r="H391" s="6">
        <f>IF($J391="","",ROUND('Opening Balance'!$B$4+SUM($F$2:F391)-SUM($G$2:G391),2))</f>
        <v/>
      </c>
      <c r="J391" s="21">
        <f>IFERROR(MATCH(ROW()-1,$L$2:$L$3001,0),"")</f>
        <v/>
      </c>
      <c r="K391" s="34">
        <f>IF(AND('Daily Sale entry '!X391&lt;&gt;"",OR('Daily Sale entry '!AC391&lt;&gt;"",'Daily Sale entry '!AD391&lt;&gt;"")),'Daily Sale entry '!X391+ROW()/10000000,"")</f>
        <v/>
      </c>
      <c r="L391" s="21">
        <f>IF(K391="","",COUNTIF($K$2:$K$3001,"&lt;"&amp;K391)+1)</f>
        <v/>
      </c>
    </row>
    <row r="392">
      <c r="A392" s="5">
        <f>IF($J392="","",IF($J392&lt;=1500,INDEX('Daily Sale entry '!$X$1:$X$1501,$J392+1),INDEX('Daily Sale entry '!$V$1:$V$1501,$J392-1499)))</f>
        <v/>
      </c>
      <c r="B392">
        <f>IF($J392="","",IF($J392&lt;=1500,INDEX('Daily Sale entry '!$Y$1:$Y$1501,$J392+1)&amp;"","Buyer cheque banked 买家支票存入"&amp;IF(INDEX('Daily Sale entry '!$U$1:$U$1501,$J392-1499)="","", " - "&amp;INDEX('Daily Sale entry '!$U$1:$U$1501,$J392-1499))))</f>
        <v/>
      </c>
      <c r="C392">
        <f>IF($J392="","",IF($J392&lt;=1500,INDEX('Daily Sale entry '!$Z$1:$Z$1501,$J392+1)&amp;"","Cheque deposit 支票存入 (buyer 买家)"))</f>
        <v/>
      </c>
      <c r="D392">
        <f>IF($J392="","",IF($J392&lt;=1500,INDEX('Daily Sale entry '!$AA$1:$AA$1501,$J392+1)&amp;"",INDEX('Daily Sale entry '!$P$1:$P$1501,$J392-1499)&amp;""))</f>
        <v/>
      </c>
      <c r="E392">
        <f>IF($J392="","",IF($J392&lt;=1500,IF(N(INDEX('Daily Sale entry '!$AB$1:$AB$1501,$J392+1))=0,"",INDEX('Daily Sale entry '!$AB$1:$AB$1501,$J392+1)),1))</f>
        <v/>
      </c>
      <c r="F392" s="6">
        <f>IF($J392="","",IF($J392&lt;=1500,N(INDEX('Daily Sale entry '!$AC$1:$AC$1501,$J392+1))-IF(AND('Opening Balance'!$B$15=1,INDEX('Daily Sale entry '!$Z$1:$Z$1501,$J392+1)="Online collection 网上收款",INDEX('Daily Sale entry '!$AA$1:$AA$1501,$J392+1)&lt;&gt;""),N(INDEX('Daily Sale entry '!$AC$1:$AC$1501,$J392+1))-TRUNC(N(INDEX('Daily Sale entry '!$AC$1:$AC$1501,$J392+1))),0),N(INDEX('Daily Sale entry '!$S$1:$S$1501,$J392-1499))-'Opening Balance'!$B$15*(N(INDEX('Daily Sale entry '!$S$1:$S$1501,$J392-1499))-TRUNC(N(INDEX('Daily Sale entry '!$S$1:$S$1501,$J392-1499))))))</f>
        <v/>
      </c>
      <c r="G392" s="6">
        <f>IF($J392="","",IF($J392&lt;=1500,N(INDEX('Daily Sale entry '!$AD$1:$AD$1501,$J392+1)),0))</f>
        <v/>
      </c>
      <c r="H392" s="6">
        <f>IF($J392="","",ROUND('Opening Balance'!$B$4+SUM($F$2:F392)-SUM($G$2:G392),2))</f>
        <v/>
      </c>
      <c r="J392" s="21">
        <f>IFERROR(MATCH(ROW()-1,$L$2:$L$3001,0),"")</f>
        <v/>
      </c>
      <c r="K392" s="34">
        <f>IF(AND('Daily Sale entry '!X392&lt;&gt;"",OR('Daily Sale entry '!AC392&lt;&gt;"",'Daily Sale entry '!AD392&lt;&gt;"")),'Daily Sale entry '!X392+ROW()/10000000,"")</f>
        <v/>
      </c>
      <c r="L392" s="21">
        <f>IF(K392="","",COUNTIF($K$2:$K$3001,"&lt;"&amp;K392)+1)</f>
        <v/>
      </c>
    </row>
    <row r="393">
      <c r="A393" s="5">
        <f>IF($J393="","",IF($J393&lt;=1500,INDEX('Daily Sale entry '!$X$1:$X$1501,$J393+1),INDEX('Daily Sale entry '!$V$1:$V$1501,$J393-1499)))</f>
        <v/>
      </c>
      <c r="B393">
        <f>IF($J393="","",IF($J393&lt;=1500,INDEX('Daily Sale entry '!$Y$1:$Y$1501,$J393+1)&amp;"","Buyer cheque banked 买家支票存入"&amp;IF(INDEX('Daily Sale entry '!$U$1:$U$1501,$J393-1499)="","", " - "&amp;INDEX('Daily Sale entry '!$U$1:$U$1501,$J393-1499))))</f>
        <v/>
      </c>
      <c r="C393">
        <f>IF($J393="","",IF($J393&lt;=1500,INDEX('Daily Sale entry '!$Z$1:$Z$1501,$J393+1)&amp;"","Cheque deposit 支票存入 (buyer 买家)"))</f>
        <v/>
      </c>
      <c r="D393">
        <f>IF($J393="","",IF($J393&lt;=1500,INDEX('Daily Sale entry '!$AA$1:$AA$1501,$J393+1)&amp;"",INDEX('Daily Sale entry '!$P$1:$P$1501,$J393-1499)&amp;""))</f>
        <v/>
      </c>
      <c r="E393">
        <f>IF($J393="","",IF($J393&lt;=1500,IF(N(INDEX('Daily Sale entry '!$AB$1:$AB$1501,$J393+1))=0,"",INDEX('Daily Sale entry '!$AB$1:$AB$1501,$J393+1)),1))</f>
        <v/>
      </c>
      <c r="F393" s="6">
        <f>IF($J393="","",IF($J393&lt;=1500,N(INDEX('Daily Sale entry '!$AC$1:$AC$1501,$J393+1))-IF(AND('Opening Balance'!$B$15=1,INDEX('Daily Sale entry '!$Z$1:$Z$1501,$J393+1)="Online collection 网上收款",INDEX('Daily Sale entry '!$AA$1:$AA$1501,$J393+1)&lt;&gt;""),N(INDEX('Daily Sale entry '!$AC$1:$AC$1501,$J393+1))-TRUNC(N(INDEX('Daily Sale entry '!$AC$1:$AC$1501,$J393+1))),0),N(INDEX('Daily Sale entry '!$S$1:$S$1501,$J393-1499))-'Opening Balance'!$B$15*(N(INDEX('Daily Sale entry '!$S$1:$S$1501,$J393-1499))-TRUNC(N(INDEX('Daily Sale entry '!$S$1:$S$1501,$J393-1499))))))</f>
        <v/>
      </c>
      <c r="G393" s="6">
        <f>IF($J393="","",IF($J393&lt;=1500,N(INDEX('Daily Sale entry '!$AD$1:$AD$1501,$J393+1)),0))</f>
        <v/>
      </c>
      <c r="H393" s="6">
        <f>IF($J393="","",ROUND('Opening Balance'!$B$4+SUM($F$2:F393)-SUM($G$2:G393),2))</f>
        <v/>
      </c>
      <c r="J393" s="21">
        <f>IFERROR(MATCH(ROW()-1,$L$2:$L$3001,0),"")</f>
        <v/>
      </c>
      <c r="K393" s="34">
        <f>IF(AND('Daily Sale entry '!X393&lt;&gt;"",OR('Daily Sale entry '!AC393&lt;&gt;"",'Daily Sale entry '!AD393&lt;&gt;"")),'Daily Sale entry '!X393+ROW()/10000000,"")</f>
        <v/>
      </c>
      <c r="L393" s="21">
        <f>IF(K393="","",COUNTIF($K$2:$K$3001,"&lt;"&amp;K393)+1)</f>
        <v/>
      </c>
    </row>
    <row r="394">
      <c r="A394" s="5">
        <f>IF($J394="","",IF($J394&lt;=1500,INDEX('Daily Sale entry '!$X$1:$X$1501,$J394+1),INDEX('Daily Sale entry '!$V$1:$V$1501,$J394-1499)))</f>
        <v/>
      </c>
      <c r="B394">
        <f>IF($J394="","",IF($J394&lt;=1500,INDEX('Daily Sale entry '!$Y$1:$Y$1501,$J394+1)&amp;"","Buyer cheque banked 买家支票存入"&amp;IF(INDEX('Daily Sale entry '!$U$1:$U$1501,$J394-1499)="","", " - "&amp;INDEX('Daily Sale entry '!$U$1:$U$1501,$J394-1499))))</f>
        <v/>
      </c>
      <c r="C394">
        <f>IF($J394="","",IF($J394&lt;=1500,INDEX('Daily Sale entry '!$Z$1:$Z$1501,$J394+1)&amp;"","Cheque deposit 支票存入 (buyer 买家)"))</f>
        <v/>
      </c>
      <c r="D394">
        <f>IF($J394="","",IF($J394&lt;=1500,INDEX('Daily Sale entry '!$AA$1:$AA$1501,$J394+1)&amp;"",INDEX('Daily Sale entry '!$P$1:$P$1501,$J394-1499)&amp;""))</f>
        <v/>
      </c>
      <c r="E394">
        <f>IF($J394="","",IF($J394&lt;=1500,IF(N(INDEX('Daily Sale entry '!$AB$1:$AB$1501,$J394+1))=0,"",INDEX('Daily Sale entry '!$AB$1:$AB$1501,$J394+1)),1))</f>
        <v/>
      </c>
      <c r="F394" s="6">
        <f>IF($J394="","",IF($J394&lt;=1500,N(INDEX('Daily Sale entry '!$AC$1:$AC$1501,$J394+1))-IF(AND('Opening Balance'!$B$15=1,INDEX('Daily Sale entry '!$Z$1:$Z$1501,$J394+1)="Online collection 网上收款",INDEX('Daily Sale entry '!$AA$1:$AA$1501,$J394+1)&lt;&gt;""),N(INDEX('Daily Sale entry '!$AC$1:$AC$1501,$J394+1))-TRUNC(N(INDEX('Daily Sale entry '!$AC$1:$AC$1501,$J394+1))),0),N(INDEX('Daily Sale entry '!$S$1:$S$1501,$J394-1499))-'Opening Balance'!$B$15*(N(INDEX('Daily Sale entry '!$S$1:$S$1501,$J394-1499))-TRUNC(N(INDEX('Daily Sale entry '!$S$1:$S$1501,$J394-1499))))))</f>
        <v/>
      </c>
      <c r="G394" s="6">
        <f>IF($J394="","",IF($J394&lt;=1500,N(INDEX('Daily Sale entry '!$AD$1:$AD$1501,$J394+1)),0))</f>
        <v/>
      </c>
      <c r="H394" s="6">
        <f>IF($J394="","",ROUND('Opening Balance'!$B$4+SUM($F$2:F394)-SUM($G$2:G394),2))</f>
        <v/>
      </c>
      <c r="J394" s="21">
        <f>IFERROR(MATCH(ROW()-1,$L$2:$L$3001,0),"")</f>
        <v/>
      </c>
      <c r="K394" s="34">
        <f>IF(AND('Daily Sale entry '!X394&lt;&gt;"",OR('Daily Sale entry '!AC394&lt;&gt;"",'Daily Sale entry '!AD394&lt;&gt;"")),'Daily Sale entry '!X394+ROW()/10000000,"")</f>
        <v/>
      </c>
      <c r="L394" s="21">
        <f>IF(K394="","",COUNTIF($K$2:$K$3001,"&lt;"&amp;K394)+1)</f>
        <v/>
      </c>
    </row>
    <row r="395">
      <c r="A395" s="5">
        <f>IF($J395="","",IF($J395&lt;=1500,INDEX('Daily Sale entry '!$X$1:$X$1501,$J395+1),INDEX('Daily Sale entry '!$V$1:$V$1501,$J395-1499)))</f>
        <v/>
      </c>
      <c r="B395">
        <f>IF($J395="","",IF($J395&lt;=1500,INDEX('Daily Sale entry '!$Y$1:$Y$1501,$J395+1)&amp;"","Buyer cheque banked 买家支票存入"&amp;IF(INDEX('Daily Sale entry '!$U$1:$U$1501,$J395-1499)="","", " - "&amp;INDEX('Daily Sale entry '!$U$1:$U$1501,$J395-1499))))</f>
        <v/>
      </c>
      <c r="C395">
        <f>IF($J395="","",IF($J395&lt;=1500,INDEX('Daily Sale entry '!$Z$1:$Z$1501,$J395+1)&amp;"","Cheque deposit 支票存入 (buyer 买家)"))</f>
        <v/>
      </c>
      <c r="D395">
        <f>IF($J395="","",IF($J395&lt;=1500,INDEX('Daily Sale entry '!$AA$1:$AA$1501,$J395+1)&amp;"",INDEX('Daily Sale entry '!$P$1:$P$1501,$J395-1499)&amp;""))</f>
        <v/>
      </c>
      <c r="E395">
        <f>IF($J395="","",IF($J395&lt;=1500,IF(N(INDEX('Daily Sale entry '!$AB$1:$AB$1501,$J395+1))=0,"",INDEX('Daily Sale entry '!$AB$1:$AB$1501,$J395+1)),1))</f>
        <v/>
      </c>
      <c r="F395" s="6">
        <f>IF($J395="","",IF($J395&lt;=1500,N(INDEX('Daily Sale entry '!$AC$1:$AC$1501,$J395+1))-IF(AND('Opening Balance'!$B$15=1,INDEX('Daily Sale entry '!$Z$1:$Z$1501,$J395+1)="Online collection 网上收款",INDEX('Daily Sale entry '!$AA$1:$AA$1501,$J395+1)&lt;&gt;""),N(INDEX('Daily Sale entry '!$AC$1:$AC$1501,$J395+1))-TRUNC(N(INDEX('Daily Sale entry '!$AC$1:$AC$1501,$J395+1))),0),N(INDEX('Daily Sale entry '!$S$1:$S$1501,$J395-1499))-'Opening Balance'!$B$15*(N(INDEX('Daily Sale entry '!$S$1:$S$1501,$J395-1499))-TRUNC(N(INDEX('Daily Sale entry '!$S$1:$S$1501,$J395-1499))))))</f>
        <v/>
      </c>
      <c r="G395" s="6">
        <f>IF($J395="","",IF($J395&lt;=1500,N(INDEX('Daily Sale entry '!$AD$1:$AD$1501,$J395+1)),0))</f>
        <v/>
      </c>
      <c r="H395" s="6">
        <f>IF($J395="","",ROUND('Opening Balance'!$B$4+SUM($F$2:F395)-SUM($G$2:G395),2))</f>
        <v/>
      </c>
      <c r="J395" s="21">
        <f>IFERROR(MATCH(ROW()-1,$L$2:$L$3001,0),"")</f>
        <v/>
      </c>
      <c r="K395" s="34">
        <f>IF(AND('Daily Sale entry '!X395&lt;&gt;"",OR('Daily Sale entry '!AC395&lt;&gt;"",'Daily Sale entry '!AD395&lt;&gt;"")),'Daily Sale entry '!X395+ROW()/10000000,"")</f>
        <v/>
      </c>
      <c r="L395" s="21">
        <f>IF(K395="","",COUNTIF($K$2:$K$3001,"&lt;"&amp;K395)+1)</f>
        <v/>
      </c>
    </row>
    <row r="396">
      <c r="A396" s="5">
        <f>IF($J396="","",IF($J396&lt;=1500,INDEX('Daily Sale entry '!$X$1:$X$1501,$J396+1),INDEX('Daily Sale entry '!$V$1:$V$1501,$J396-1499)))</f>
        <v/>
      </c>
      <c r="B396">
        <f>IF($J396="","",IF($J396&lt;=1500,INDEX('Daily Sale entry '!$Y$1:$Y$1501,$J396+1)&amp;"","Buyer cheque banked 买家支票存入"&amp;IF(INDEX('Daily Sale entry '!$U$1:$U$1501,$J396-1499)="","", " - "&amp;INDEX('Daily Sale entry '!$U$1:$U$1501,$J396-1499))))</f>
        <v/>
      </c>
      <c r="C396">
        <f>IF($J396="","",IF($J396&lt;=1500,INDEX('Daily Sale entry '!$Z$1:$Z$1501,$J396+1)&amp;"","Cheque deposit 支票存入 (buyer 买家)"))</f>
        <v/>
      </c>
      <c r="D396">
        <f>IF($J396="","",IF($J396&lt;=1500,INDEX('Daily Sale entry '!$AA$1:$AA$1501,$J396+1)&amp;"",INDEX('Daily Sale entry '!$P$1:$P$1501,$J396-1499)&amp;""))</f>
        <v/>
      </c>
      <c r="E396">
        <f>IF($J396="","",IF($J396&lt;=1500,IF(N(INDEX('Daily Sale entry '!$AB$1:$AB$1501,$J396+1))=0,"",INDEX('Daily Sale entry '!$AB$1:$AB$1501,$J396+1)),1))</f>
        <v/>
      </c>
      <c r="F396" s="6">
        <f>IF($J396="","",IF($J396&lt;=1500,N(INDEX('Daily Sale entry '!$AC$1:$AC$1501,$J396+1))-IF(AND('Opening Balance'!$B$15=1,INDEX('Daily Sale entry '!$Z$1:$Z$1501,$J396+1)="Online collection 网上收款",INDEX('Daily Sale entry '!$AA$1:$AA$1501,$J396+1)&lt;&gt;""),N(INDEX('Daily Sale entry '!$AC$1:$AC$1501,$J396+1))-TRUNC(N(INDEX('Daily Sale entry '!$AC$1:$AC$1501,$J396+1))),0),N(INDEX('Daily Sale entry '!$S$1:$S$1501,$J396-1499))-'Opening Balance'!$B$15*(N(INDEX('Daily Sale entry '!$S$1:$S$1501,$J396-1499))-TRUNC(N(INDEX('Daily Sale entry '!$S$1:$S$1501,$J396-1499))))))</f>
        <v/>
      </c>
      <c r="G396" s="6">
        <f>IF($J396="","",IF($J396&lt;=1500,N(INDEX('Daily Sale entry '!$AD$1:$AD$1501,$J396+1)),0))</f>
        <v/>
      </c>
      <c r="H396" s="6">
        <f>IF($J396="","",ROUND('Opening Balance'!$B$4+SUM($F$2:F396)-SUM($G$2:G396),2))</f>
        <v/>
      </c>
      <c r="J396" s="21">
        <f>IFERROR(MATCH(ROW()-1,$L$2:$L$3001,0),"")</f>
        <v/>
      </c>
      <c r="K396" s="34">
        <f>IF(AND('Daily Sale entry '!X396&lt;&gt;"",OR('Daily Sale entry '!AC396&lt;&gt;"",'Daily Sale entry '!AD396&lt;&gt;"")),'Daily Sale entry '!X396+ROW()/10000000,"")</f>
        <v/>
      </c>
      <c r="L396" s="21">
        <f>IF(K396="","",COUNTIF($K$2:$K$3001,"&lt;"&amp;K396)+1)</f>
        <v/>
      </c>
    </row>
    <row r="397">
      <c r="A397" s="5">
        <f>IF($J397="","",IF($J397&lt;=1500,INDEX('Daily Sale entry '!$X$1:$X$1501,$J397+1),INDEX('Daily Sale entry '!$V$1:$V$1501,$J397-1499)))</f>
        <v/>
      </c>
      <c r="B397">
        <f>IF($J397="","",IF($J397&lt;=1500,INDEX('Daily Sale entry '!$Y$1:$Y$1501,$J397+1)&amp;"","Buyer cheque banked 买家支票存入"&amp;IF(INDEX('Daily Sale entry '!$U$1:$U$1501,$J397-1499)="","", " - "&amp;INDEX('Daily Sale entry '!$U$1:$U$1501,$J397-1499))))</f>
        <v/>
      </c>
      <c r="C397">
        <f>IF($J397="","",IF($J397&lt;=1500,INDEX('Daily Sale entry '!$Z$1:$Z$1501,$J397+1)&amp;"","Cheque deposit 支票存入 (buyer 买家)"))</f>
        <v/>
      </c>
      <c r="D397">
        <f>IF($J397="","",IF($J397&lt;=1500,INDEX('Daily Sale entry '!$AA$1:$AA$1501,$J397+1)&amp;"",INDEX('Daily Sale entry '!$P$1:$P$1501,$J397-1499)&amp;""))</f>
        <v/>
      </c>
      <c r="E397">
        <f>IF($J397="","",IF($J397&lt;=1500,IF(N(INDEX('Daily Sale entry '!$AB$1:$AB$1501,$J397+1))=0,"",INDEX('Daily Sale entry '!$AB$1:$AB$1501,$J397+1)),1))</f>
        <v/>
      </c>
      <c r="F397" s="6">
        <f>IF($J397="","",IF($J397&lt;=1500,N(INDEX('Daily Sale entry '!$AC$1:$AC$1501,$J397+1))-IF(AND('Opening Balance'!$B$15=1,INDEX('Daily Sale entry '!$Z$1:$Z$1501,$J397+1)="Online collection 网上收款",INDEX('Daily Sale entry '!$AA$1:$AA$1501,$J397+1)&lt;&gt;""),N(INDEX('Daily Sale entry '!$AC$1:$AC$1501,$J397+1))-TRUNC(N(INDEX('Daily Sale entry '!$AC$1:$AC$1501,$J397+1))),0),N(INDEX('Daily Sale entry '!$S$1:$S$1501,$J397-1499))-'Opening Balance'!$B$15*(N(INDEX('Daily Sale entry '!$S$1:$S$1501,$J397-1499))-TRUNC(N(INDEX('Daily Sale entry '!$S$1:$S$1501,$J397-1499))))))</f>
        <v/>
      </c>
      <c r="G397" s="6">
        <f>IF($J397="","",IF($J397&lt;=1500,N(INDEX('Daily Sale entry '!$AD$1:$AD$1501,$J397+1)),0))</f>
        <v/>
      </c>
      <c r="H397" s="6">
        <f>IF($J397="","",ROUND('Opening Balance'!$B$4+SUM($F$2:F397)-SUM($G$2:G397),2))</f>
        <v/>
      </c>
      <c r="J397" s="21">
        <f>IFERROR(MATCH(ROW()-1,$L$2:$L$3001,0),"")</f>
        <v/>
      </c>
      <c r="K397" s="34">
        <f>IF(AND('Daily Sale entry '!X397&lt;&gt;"",OR('Daily Sale entry '!AC397&lt;&gt;"",'Daily Sale entry '!AD397&lt;&gt;"")),'Daily Sale entry '!X397+ROW()/10000000,"")</f>
        <v/>
      </c>
      <c r="L397" s="21">
        <f>IF(K397="","",COUNTIF($K$2:$K$3001,"&lt;"&amp;K397)+1)</f>
        <v/>
      </c>
    </row>
    <row r="398">
      <c r="A398" s="5">
        <f>IF($J398="","",IF($J398&lt;=1500,INDEX('Daily Sale entry '!$X$1:$X$1501,$J398+1),INDEX('Daily Sale entry '!$V$1:$V$1501,$J398-1499)))</f>
        <v/>
      </c>
      <c r="B398">
        <f>IF($J398="","",IF($J398&lt;=1500,INDEX('Daily Sale entry '!$Y$1:$Y$1501,$J398+1)&amp;"","Buyer cheque banked 买家支票存入"&amp;IF(INDEX('Daily Sale entry '!$U$1:$U$1501,$J398-1499)="","", " - "&amp;INDEX('Daily Sale entry '!$U$1:$U$1501,$J398-1499))))</f>
        <v/>
      </c>
      <c r="C398">
        <f>IF($J398="","",IF($J398&lt;=1500,INDEX('Daily Sale entry '!$Z$1:$Z$1501,$J398+1)&amp;"","Cheque deposit 支票存入 (buyer 买家)"))</f>
        <v/>
      </c>
      <c r="D398">
        <f>IF($J398="","",IF($J398&lt;=1500,INDEX('Daily Sale entry '!$AA$1:$AA$1501,$J398+1)&amp;"",INDEX('Daily Sale entry '!$P$1:$P$1501,$J398-1499)&amp;""))</f>
        <v/>
      </c>
      <c r="E398">
        <f>IF($J398="","",IF($J398&lt;=1500,IF(N(INDEX('Daily Sale entry '!$AB$1:$AB$1501,$J398+1))=0,"",INDEX('Daily Sale entry '!$AB$1:$AB$1501,$J398+1)),1))</f>
        <v/>
      </c>
      <c r="F398" s="6">
        <f>IF($J398="","",IF($J398&lt;=1500,N(INDEX('Daily Sale entry '!$AC$1:$AC$1501,$J398+1))-IF(AND('Opening Balance'!$B$15=1,INDEX('Daily Sale entry '!$Z$1:$Z$1501,$J398+1)="Online collection 网上收款",INDEX('Daily Sale entry '!$AA$1:$AA$1501,$J398+1)&lt;&gt;""),N(INDEX('Daily Sale entry '!$AC$1:$AC$1501,$J398+1))-TRUNC(N(INDEX('Daily Sale entry '!$AC$1:$AC$1501,$J398+1))),0),N(INDEX('Daily Sale entry '!$S$1:$S$1501,$J398-1499))-'Opening Balance'!$B$15*(N(INDEX('Daily Sale entry '!$S$1:$S$1501,$J398-1499))-TRUNC(N(INDEX('Daily Sale entry '!$S$1:$S$1501,$J398-1499))))))</f>
        <v/>
      </c>
      <c r="G398" s="6">
        <f>IF($J398="","",IF($J398&lt;=1500,N(INDEX('Daily Sale entry '!$AD$1:$AD$1501,$J398+1)),0))</f>
        <v/>
      </c>
      <c r="H398" s="6">
        <f>IF($J398="","",ROUND('Opening Balance'!$B$4+SUM($F$2:F398)-SUM($G$2:G398),2))</f>
        <v/>
      </c>
      <c r="J398" s="21">
        <f>IFERROR(MATCH(ROW()-1,$L$2:$L$3001,0),"")</f>
        <v/>
      </c>
      <c r="K398" s="34">
        <f>IF(AND('Daily Sale entry '!X398&lt;&gt;"",OR('Daily Sale entry '!AC398&lt;&gt;"",'Daily Sale entry '!AD398&lt;&gt;"")),'Daily Sale entry '!X398+ROW()/10000000,"")</f>
        <v/>
      </c>
      <c r="L398" s="21">
        <f>IF(K398="","",COUNTIF($K$2:$K$3001,"&lt;"&amp;K398)+1)</f>
        <v/>
      </c>
    </row>
    <row r="399">
      <c r="A399" s="5">
        <f>IF($J399="","",IF($J399&lt;=1500,INDEX('Daily Sale entry '!$X$1:$X$1501,$J399+1),INDEX('Daily Sale entry '!$V$1:$V$1501,$J399-1499)))</f>
        <v/>
      </c>
      <c r="B399">
        <f>IF($J399="","",IF($J399&lt;=1500,INDEX('Daily Sale entry '!$Y$1:$Y$1501,$J399+1)&amp;"","Buyer cheque banked 买家支票存入"&amp;IF(INDEX('Daily Sale entry '!$U$1:$U$1501,$J399-1499)="","", " - "&amp;INDEX('Daily Sale entry '!$U$1:$U$1501,$J399-1499))))</f>
        <v/>
      </c>
      <c r="C399">
        <f>IF($J399="","",IF($J399&lt;=1500,INDEX('Daily Sale entry '!$Z$1:$Z$1501,$J399+1)&amp;"","Cheque deposit 支票存入 (buyer 买家)"))</f>
        <v/>
      </c>
      <c r="D399">
        <f>IF($J399="","",IF($J399&lt;=1500,INDEX('Daily Sale entry '!$AA$1:$AA$1501,$J399+1)&amp;"",INDEX('Daily Sale entry '!$P$1:$P$1501,$J399-1499)&amp;""))</f>
        <v/>
      </c>
      <c r="E399">
        <f>IF($J399="","",IF($J399&lt;=1500,IF(N(INDEX('Daily Sale entry '!$AB$1:$AB$1501,$J399+1))=0,"",INDEX('Daily Sale entry '!$AB$1:$AB$1501,$J399+1)),1))</f>
        <v/>
      </c>
      <c r="F399" s="6">
        <f>IF($J399="","",IF($J399&lt;=1500,N(INDEX('Daily Sale entry '!$AC$1:$AC$1501,$J399+1))-IF(AND('Opening Balance'!$B$15=1,INDEX('Daily Sale entry '!$Z$1:$Z$1501,$J399+1)="Online collection 网上收款",INDEX('Daily Sale entry '!$AA$1:$AA$1501,$J399+1)&lt;&gt;""),N(INDEX('Daily Sale entry '!$AC$1:$AC$1501,$J399+1))-TRUNC(N(INDEX('Daily Sale entry '!$AC$1:$AC$1501,$J399+1))),0),N(INDEX('Daily Sale entry '!$S$1:$S$1501,$J399-1499))-'Opening Balance'!$B$15*(N(INDEX('Daily Sale entry '!$S$1:$S$1501,$J399-1499))-TRUNC(N(INDEX('Daily Sale entry '!$S$1:$S$1501,$J399-1499))))))</f>
        <v/>
      </c>
      <c r="G399" s="6">
        <f>IF($J399="","",IF($J399&lt;=1500,N(INDEX('Daily Sale entry '!$AD$1:$AD$1501,$J399+1)),0))</f>
        <v/>
      </c>
      <c r="H399" s="6">
        <f>IF($J399="","",ROUND('Opening Balance'!$B$4+SUM($F$2:F399)-SUM($G$2:G399),2))</f>
        <v/>
      </c>
      <c r="J399" s="21">
        <f>IFERROR(MATCH(ROW()-1,$L$2:$L$3001,0),"")</f>
        <v/>
      </c>
      <c r="K399" s="34">
        <f>IF(AND('Daily Sale entry '!X399&lt;&gt;"",OR('Daily Sale entry '!AC399&lt;&gt;"",'Daily Sale entry '!AD399&lt;&gt;"")),'Daily Sale entry '!X399+ROW()/10000000,"")</f>
        <v/>
      </c>
      <c r="L399" s="21">
        <f>IF(K399="","",COUNTIF($K$2:$K$3001,"&lt;"&amp;K399)+1)</f>
        <v/>
      </c>
    </row>
    <row r="400">
      <c r="A400" s="5">
        <f>IF($J400="","",IF($J400&lt;=1500,INDEX('Daily Sale entry '!$X$1:$X$1501,$J400+1),INDEX('Daily Sale entry '!$V$1:$V$1501,$J400-1499)))</f>
        <v/>
      </c>
      <c r="B400">
        <f>IF($J400="","",IF($J400&lt;=1500,INDEX('Daily Sale entry '!$Y$1:$Y$1501,$J400+1)&amp;"","Buyer cheque banked 买家支票存入"&amp;IF(INDEX('Daily Sale entry '!$U$1:$U$1501,$J400-1499)="","", " - "&amp;INDEX('Daily Sale entry '!$U$1:$U$1501,$J400-1499))))</f>
        <v/>
      </c>
      <c r="C400">
        <f>IF($J400="","",IF($J400&lt;=1500,INDEX('Daily Sale entry '!$Z$1:$Z$1501,$J400+1)&amp;"","Cheque deposit 支票存入 (buyer 买家)"))</f>
        <v/>
      </c>
      <c r="D400">
        <f>IF($J400="","",IF($J400&lt;=1500,INDEX('Daily Sale entry '!$AA$1:$AA$1501,$J400+1)&amp;"",INDEX('Daily Sale entry '!$P$1:$P$1501,$J400-1499)&amp;""))</f>
        <v/>
      </c>
      <c r="E400">
        <f>IF($J400="","",IF($J400&lt;=1500,IF(N(INDEX('Daily Sale entry '!$AB$1:$AB$1501,$J400+1))=0,"",INDEX('Daily Sale entry '!$AB$1:$AB$1501,$J400+1)),1))</f>
        <v/>
      </c>
      <c r="F400" s="6">
        <f>IF($J400="","",IF($J400&lt;=1500,N(INDEX('Daily Sale entry '!$AC$1:$AC$1501,$J400+1))-IF(AND('Opening Balance'!$B$15=1,INDEX('Daily Sale entry '!$Z$1:$Z$1501,$J400+1)="Online collection 网上收款",INDEX('Daily Sale entry '!$AA$1:$AA$1501,$J400+1)&lt;&gt;""),N(INDEX('Daily Sale entry '!$AC$1:$AC$1501,$J400+1))-TRUNC(N(INDEX('Daily Sale entry '!$AC$1:$AC$1501,$J400+1))),0),N(INDEX('Daily Sale entry '!$S$1:$S$1501,$J400-1499))-'Opening Balance'!$B$15*(N(INDEX('Daily Sale entry '!$S$1:$S$1501,$J400-1499))-TRUNC(N(INDEX('Daily Sale entry '!$S$1:$S$1501,$J400-1499))))))</f>
        <v/>
      </c>
      <c r="G400" s="6">
        <f>IF($J400="","",IF($J400&lt;=1500,N(INDEX('Daily Sale entry '!$AD$1:$AD$1501,$J400+1)),0))</f>
        <v/>
      </c>
      <c r="H400" s="6">
        <f>IF($J400="","",ROUND('Opening Balance'!$B$4+SUM($F$2:F400)-SUM($G$2:G400),2))</f>
        <v/>
      </c>
      <c r="J400" s="21">
        <f>IFERROR(MATCH(ROW()-1,$L$2:$L$3001,0),"")</f>
        <v/>
      </c>
      <c r="K400" s="34">
        <f>IF(AND('Daily Sale entry '!X400&lt;&gt;"",OR('Daily Sale entry '!AC400&lt;&gt;"",'Daily Sale entry '!AD400&lt;&gt;"")),'Daily Sale entry '!X400+ROW()/10000000,"")</f>
        <v/>
      </c>
      <c r="L400" s="21">
        <f>IF(K400="","",COUNTIF($K$2:$K$3001,"&lt;"&amp;K400)+1)</f>
        <v/>
      </c>
    </row>
    <row r="401">
      <c r="A401" s="5">
        <f>IF($J401="","",IF($J401&lt;=1500,INDEX('Daily Sale entry '!$X$1:$X$1501,$J401+1),INDEX('Daily Sale entry '!$V$1:$V$1501,$J401-1499)))</f>
        <v/>
      </c>
      <c r="B401">
        <f>IF($J401="","",IF($J401&lt;=1500,INDEX('Daily Sale entry '!$Y$1:$Y$1501,$J401+1)&amp;"","Buyer cheque banked 买家支票存入"&amp;IF(INDEX('Daily Sale entry '!$U$1:$U$1501,$J401-1499)="","", " - "&amp;INDEX('Daily Sale entry '!$U$1:$U$1501,$J401-1499))))</f>
        <v/>
      </c>
      <c r="C401">
        <f>IF($J401="","",IF($J401&lt;=1500,INDEX('Daily Sale entry '!$Z$1:$Z$1501,$J401+1)&amp;"","Cheque deposit 支票存入 (buyer 买家)"))</f>
        <v/>
      </c>
      <c r="D401">
        <f>IF($J401="","",IF($J401&lt;=1500,INDEX('Daily Sale entry '!$AA$1:$AA$1501,$J401+1)&amp;"",INDEX('Daily Sale entry '!$P$1:$P$1501,$J401-1499)&amp;""))</f>
        <v/>
      </c>
      <c r="E401">
        <f>IF($J401="","",IF($J401&lt;=1500,IF(N(INDEX('Daily Sale entry '!$AB$1:$AB$1501,$J401+1))=0,"",INDEX('Daily Sale entry '!$AB$1:$AB$1501,$J401+1)),1))</f>
        <v/>
      </c>
      <c r="F401" s="6">
        <f>IF($J401="","",IF($J401&lt;=1500,N(INDEX('Daily Sale entry '!$AC$1:$AC$1501,$J401+1))-IF(AND('Opening Balance'!$B$15=1,INDEX('Daily Sale entry '!$Z$1:$Z$1501,$J401+1)="Online collection 网上收款",INDEX('Daily Sale entry '!$AA$1:$AA$1501,$J401+1)&lt;&gt;""),N(INDEX('Daily Sale entry '!$AC$1:$AC$1501,$J401+1))-TRUNC(N(INDEX('Daily Sale entry '!$AC$1:$AC$1501,$J401+1))),0),N(INDEX('Daily Sale entry '!$S$1:$S$1501,$J401-1499))-'Opening Balance'!$B$15*(N(INDEX('Daily Sale entry '!$S$1:$S$1501,$J401-1499))-TRUNC(N(INDEX('Daily Sale entry '!$S$1:$S$1501,$J401-1499))))))</f>
        <v/>
      </c>
      <c r="G401" s="6">
        <f>IF($J401="","",IF($J401&lt;=1500,N(INDEX('Daily Sale entry '!$AD$1:$AD$1501,$J401+1)),0))</f>
        <v/>
      </c>
      <c r="H401" s="6">
        <f>IF($J401="","",ROUND('Opening Balance'!$B$4+SUM($F$2:F401)-SUM($G$2:G401),2))</f>
        <v/>
      </c>
      <c r="J401" s="21">
        <f>IFERROR(MATCH(ROW()-1,$L$2:$L$3001,0),"")</f>
        <v/>
      </c>
      <c r="K401" s="34">
        <f>IF(AND('Daily Sale entry '!X401&lt;&gt;"",OR('Daily Sale entry '!AC401&lt;&gt;"",'Daily Sale entry '!AD401&lt;&gt;"")),'Daily Sale entry '!X401+ROW()/10000000,"")</f>
        <v/>
      </c>
      <c r="L401" s="21">
        <f>IF(K401="","",COUNTIF($K$2:$K$3001,"&lt;"&amp;K401)+1)</f>
        <v/>
      </c>
    </row>
    <row r="402">
      <c r="A402" s="5">
        <f>IF($J402="","",IF($J402&lt;=1500,INDEX('Daily Sale entry '!$X$1:$X$1501,$J402+1),INDEX('Daily Sale entry '!$V$1:$V$1501,$J402-1499)))</f>
        <v/>
      </c>
      <c r="B402">
        <f>IF($J402="","",IF($J402&lt;=1500,INDEX('Daily Sale entry '!$Y$1:$Y$1501,$J402+1)&amp;"","Buyer cheque banked 买家支票存入"&amp;IF(INDEX('Daily Sale entry '!$U$1:$U$1501,$J402-1499)="","", " - "&amp;INDEX('Daily Sale entry '!$U$1:$U$1501,$J402-1499))))</f>
        <v/>
      </c>
      <c r="C402">
        <f>IF($J402="","",IF($J402&lt;=1500,INDEX('Daily Sale entry '!$Z$1:$Z$1501,$J402+1)&amp;"","Cheque deposit 支票存入 (buyer 买家)"))</f>
        <v/>
      </c>
      <c r="D402">
        <f>IF($J402="","",IF($J402&lt;=1500,INDEX('Daily Sale entry '!$AA$1:$AA$1501,$J402+1)&amp;"",INDEX('Daily Sale entry '!$P$1:$P$1501,$J402-1499)&amp;""))</f>
        <v/>
      </c>
      <c r="E402">
        <f>IF($J402="","",IF($J402&lt;=1500,IF(N(INDEX('Daily Sale entry '!$AB$1:$AB$1501,$J402+1))=0,"",INDEX('Daily Sale entry '!$AB$1:$AB$1501,$J402+1)),1))</f>
        <v/>
      </c>
      <c r="F402" s="6">
        <f>IF($J402="","",IF($J402&lt;=1500,N(INDEX('Daily Sale entry '!$AC$1:$AC$1501,$J402+1))-IF(AND('Opening Balance'!$B$15=1,INDEX('Daily Sale entry '!$Z$1:$Z$1501,$J402+1)="Online collection 网上收款",INDEX('Daily Sale entry '!$AA$1:$AA$1501,$J402+1)&lt;&gt;""),N(INDEX('Daily Sale entry '!$AC$1:$AC$1501,$J402+1))-TRUNC(N(INDEX('Daily Sale entry '!$AC$1:$AC$1501,$J402+1))),0),N(INDEX('Daily Sale entry '!$S$1:$S$1501,$J402-1499))-'Opening Balance'!$B$15*(N(INDEX('Daily Sale entry '!$S$1:$S$1501,$J402-1499))-TRUNC(N(INDEX('Daily Sale entry '!$S$1:$S$1501,$J402-1499))))))</f>
        <v/>
      </c>
      <c r="G402" s="6">
        <f>IF($J402="","",IF($J402&lt;=1500,N(INDEX('Daily Sale entry '!$AD$1:$AD$1501,$J402+1)),0))</f>
        <v/>
      </c>
      <c r="H402" s="6">
        <f>IF($J402="","",ROUND('Opening Balance'!$B$4+SUM($F$2:F402)-SUM($G$2:G402),2))</f>
        <v/>
      </c>
      <c r="J402" s="21">
        <f>IFERROR(MATCH(ROW()-1,$L$2:$L$3001,0),"")</f>
        <v/>
      </c>
      <c r="K402" s="34">
        <f>IF(AND('Daily Sale entry '!X402&lt;&gt;"",OR('Daily Sale entry '!AC402&lt;&gt;"",'Daily Sale entry '!AD402&lt;&gt;"")),'Daily Sale entry '!X402+ROW()/10000000,"")</f>
        <v/>
      </c>
      <c r="L402" s="21">
        <f>IF(K402="","",COUNTIF($K$2:$K$3001,"&lt;"&amp;K402)+1)</f>
        <v/>
      </c>
    </row>
    <row r="403">
      <c r="A403" s="5">
        <f>IF($J403="","",IF($J403&lt;=1500,INDEX('Daily Sale entry '!$X$1:$X$1501,$J403+1),INDEX('Daily Sale entry '!$V$1:$V$1501,$J403-1499)))</f>
        <v/>
      </c>
      <c r="B403">
        <f>IF($J403="","",IF($J403&lt;=1500,INDEX('Daily Sale entry '!$Y$1:$Y$1501,$J403+1)&amp;"","Buyer cheque banked 买家支票存入"&amp;IF(INDEX('Daily Sale entry '!$U$1:$U$1501,$J403-1499)="","", " - "&amp;INDEX('Daily Sale entry '!$U$1:$U$1501,$J403-1499))))</f>
        <v/>
      </c>
      <c r="C403">
        <f>IF($J403="","",IF($J403&lt;=1500,INDEX('Daily Sale entry '!$Z$1:$Z$1501,$J403+1)&amp;"","Cheque deposit 支票存入 (buyer 买家)"))</f>
        <v/>
      </c>
      <c r="D403">
        <f>IF($J403="","",IF($J403&lt;=1500,INDEX('Daily Sale entry '!$AA$1:$AA$1501,$J403+1)&amp;"",INDEX('Daily Sale entry '!$P$1:$P$1501,$J403-1499)&amp;""))</f>
        <v/>
      </c>
      <c r="E403">
        <f>IF($J403="","",IF($J403&lt;=1500,IF(N(INDEX('Daily Sale entry '!$AB$1:$AB$1501,$J403+1))=0,"",INDEX('Daily Sale entry '!$AB$1:$AB$1501,$J403+1)),1))</f>
        <v/>
      </c>
      <c r="F403" s="6">
        <f>IF($J403="","",IF($J403&lt;=1500,N(INDEX('Daily Sale entry '!$AC$1:$AC$1501,$J403+1))-IF(AND('Opening Balance'!$B$15=1,INDEX('Daily Sale entry '!$Z$1:$Z$1501,$J403+1)="Online collection 网上收款",INDEX('Daily Sale entry '!$AA$1:$AA$1501,$J403+1)&lt;&gt;""),N(INDEX('Daily Sale entry '!$AC$1:$AC$1501,$J403+1))-TRUNC(N(INDEX('Daily Sale entry '!$AC$1:$AC$1501,$J403+1))),0),N(INDEX('Daily Sale entry '!$S$1:$S$1501,$J403-1499))-'Opening Balance'!$B$15*(N(INDEX('Daily Sale entry '!$S$1:$S$1501,$J403-1499))-TRUNC(N(INDEX('Daily Sale entry '!$S$1:$S$1501,$J403-1499))))))</f>
        <v/>
      </c>
      <c r="G403" s="6">
        <f>IF($J403="","",IF($J403&lt;=1500,N(INDEX('Daily Sale entry '!$AD$1:$AD$1501,$J403+1)),0))</f>
        <v/>
      </c>
      <c r="H403" s="6">
        <f>IF($J403="","",ROUND('Opening Balance'!$B$4+SUM($F$2:F403)-SUM($G$2:G403),2))</f>
        <v/>
      </c>
      <c r="J403" s="21">
        <f>IFERROR(MATCH(ROW()-1,$L$2:$L$3001,0),"")</f>
        <v/>
      </c>
      <c r="K403" s="34">
        <f>IF(AND('Daily Sale entry '!X403&lt;&gt;"",OR('Daily Sale entry '!AC403&lt;&gt;"",'Daily Sale entry '!AD403&lt;&gt;"")),'Daily Sale entry '!X403+ROW()/10000000,"")</f>
        <v/>
      </c>
      <c r="L403" s="21">
        <f>IF(K403="","",COUNTIF($K$2:$K$3001,"&lt;"&amp;K403)+1)</f>
        <v/>
      </c>
    </row>
    <row r="404">
      <c r="A404" s="5">
        <f>IF($J404="","",IF($J404&lt;=1500,INDEX('Daily Sale entry '!$X$1:$X$1501,$J404+1),INDEX('Daily Sale entry '!$V$1:$V$1501,$J404-1499)))</f>
        <v/>
      </c>
      <c r="B404">
        <f>IF($J404="","",IF($J404&lt;=1500,INDEX('Daily Sale entry '!$Y$1:$Y$1501,$J404+1)&amp;"","Buyer cheque banked 买家支票存入"&amp;IF(INDEX('Daily Sale entry '!$U$1:$U$1501,$J404-1499)="","", " - "&amp;INDEX('Daily Sale entry '!$U$1:$U$1501,$J404-1499))))</f>
        <v/>
      </c>
      <c r="C404">
        <f>IF($J404="","",IF($J404&lt;=1500,INDEX('Daily Sale entry '!$Z$1:$Z$1501,$J404+1)&amp;"","Cheque deposit 支票存入 (buyer 买家)"))</f>
        <v/>
      </c>
      <c r="D404">
        <f>IF($J404="","",IF($J404&lt;=1500,INDEX('Daily Sale entry '!$AA$1:$AA$1501,$J404+1)&amp;"",INDEX('Daily Sale entry '!$P$1:$P$1501,$J404-1499)&amp;""))</f>
        <v/>
      </c>
      <c r="E404">
        <f>IF($J404="","",IF($J404&lt;=1500,IF(N(INDEX('Daily Sale entry '!$AB$1:$AB$1501,$J404+1))=0,"",INDEX('Daily Sale entry '!$AB$1:$AB$1501,$J404+1)),1))</f>
        <v/>
      </c>
      <c r="F404" s="6">
        <f>IF($J404="","",IF($J404&lt;=1500,N(INDEX('Daily Sale entry '!$AC$1:$AC$1501,$J404+1))-IF(AND('Opening Balance'!$B$15=1,INDEX('Daily Sale entry '!$Z$1:$Z$1501,$J404+1)="Online collection 网上收款",INDEX('Daily Sale entry '!$AA$1:$AA$1501,$J404+1)&lt;&gt;""),N(INDEX('Daily Sale entry '!$AC$1:$AC$1501,$J404+1))-TRUNC(N(INDEX('Daily Sale entry '!$AC$1:$AC$1501,$J404+1))),0),N(INDEX('Daily Sale entry '!$S$1:$S$1501,$J404-1499))-'Opening Balance'!$B$15*(N(INDEX('Daily Sale entry '!$S$1:$S$1501,$J404-1499))-TRUNC(N(INDEX('Daily Sale entry '!$S$1:$S$1501,$J404-1499))))))</f>
        <v/>
      </c>
      <c r="G404" s="6">
        <f>IF($J404="","",IF($J404&lt;=1500,N(INDEX('Daily Sale entry '!$AD$1:$AD$1501,$J404+1)),0))</f>
        <v/>
      </c>
      <c r="H404" s="6">
        <f>IF($J404="","",ROUND('Opening Balance'!$B$4+SUM($F$2:F404)-SUM($G$2:G404),2))</f>
        <v/>
      </c>
      <c r="J404" s="21">
        <f>IFERROR(MATCH(ROW()-1,$L$2:$L$3001,0),"")</f>
        <v/>
      </c>
      <c r="K404" s="34">
        <f>IF(AND('Daily Sale entry '!X404&lt;&gt;"",OR('Daily Sale entry '!AC404&lt;&gt;"",'Daily Sale entry '!AD404&lt;&gt;"")),'Daily Sale entry '!X404+ROW()/10000000,"")</f>
        <v/>
      </c>
      <c r="L404" s="21">
        <f>IF(K404="","",COUNTIF($K$2:$K$3001,"&lt;"&amp;K404)+1)</f>
        <v/>
      </c>
    </row>
    <row r="405">
      <c r="A405" s="5">
        <f>IF($J405="","",IF($J405&lt;=1500,INDEX('Daily Sale entry '!$X$1:$X$1501,$J405+1),INDEX('Daily Sale entry '!$V$1:$V$1501,$J405-1499)))</f>
        <v/>
      </c>
      <c r="B405">
        <f>IF($J405="","",IF($J405&lt;=1500,INDEX('Daily Sale entry '!$Y$1:$Y$1501,$J405+1)&amp;"","Buyer cheque banked 买家支票存入"&amp;IF(INDEX('Daily Sale entry '!$U$1:$U$1501,$J405-1499)="","", " - "&amp;INDEX('Daily Sale entry '!$U$1:$U$1501,$J405-1499))))</f>
        <v/>
      </c>
      <c r="C405">
        <f>IF($J405="","",IF($J405&lt;=1500,INDEX('Daily Sale entry '!$Z$1:$Z$1501,$J405+1)&amp;"","Cheque deposit 支票存入 (buyer 买家)"))</f>
        <v/>
      </c>
      <c r="D405">
        <f>IF($J405="","",IF($J405&lt;=1500,INDEX('Daily Sale entry '!$AA$1:$AA$1501,$J405+1)&amp;"",INDEX('Daily Sale entry '!$P$1:$P$1501,$J405-1499)&amp;""))</f>
        <v/>
      </c>
      <c r="E405">
        <f>IF($J405="","",IF($J405&lt;=1500,IF(N(INDEX('Daily Sale entry '!$AB$1:$AB$1501,$J405+1))=0,"",INDEX('Daily Sale entry '!$AB$1:$AB$1501,$J405+1)),1))</f>
        <v/>
      </c>
      <c r="F405" s="6">
        <f>IF($J405="","",IF($J405&lt;=1500,N(INDEX('Daily Sale entry '!$AC$1:$AC$1501,$J405+1))-IF(AND('Opening Balance'!$B$15=1,INDEX('Daily Sale entry '!$Z$1:$Z$1501,$J405+1)="Online collection 网上收款",INDEX('Daily Sale entry '!$AA$1:$AA$1501,$J405+1)&lt;&gt;""),N(INDEX('Daily Sale entry '!$AC$1:$AC$1501,$J405+1))-TRUNC(N(INDEX('Daily Sale entry '!$AC$1:$AC$1501,$J405+1))),0),N(INDEX('Daily Sale entry '!$S$1:$S$1501,$J405-1499))-'Opening Balance'!$B$15*(N(INDEX('Daily Sale entry '!$S$1:$S$1501,$J405-1499))-TRUNC(N(INDEX('Daily Sale entry '!$S$1:$S$1501,$J405-1499))))))</f>
        <v/>
      </c>
      <c r="G405" s="6">
        <f>IF($J405="","",IF($J405&lt;=1500,N(INDEX('Daily Sale entry '!$AD$1:$AD$1501,$J405+1)),0))</f>
        <v/>
      </c>
      <c r="H405" s="6">
        <f>IF($J405="","",ROUND('Opening Balance'!$B$4+SUM($F$2:F405)-SUM($G$2:G405),2))</f>
        <v/>
      </c>
      <c r="J405" s="21">
        <f>IFERROR(MATCH(ROW()-1,$L$2:$L$3001,0),"")</f>
        <v/>
      </c>
      <c r="K405" s="34">
        <f>IF(AND('Daily Sale entry '!X405&lt;&gt;"",OR('Daily Sale entry '!AC405&lt;&gt;"",'Daily Sale entry '!AD405&lt;&gt;"")),'Daily Sale entry '!X405+ROW()/10000000,"")</f>
        <v/>
      </c>
      <c r="L405" s="21">
        <f>IF(K405="","",COUNTIF($K$2:$K$3001,"&lt;"&amp;K405)+1)</f>
        <v/>
      </c>
    </row>
    <row r="406">
      <c r="A406" s="5">
        <f>IF($J406="","",IF($J406&lt;=1500,INDEX('Daily Sale entry '!$X$1:$X$1501,$J406+1),INDEX('Daily Sale entry '!$V$1:$V$1501,$J406-1499)))</f>
        <v/>
      </c>
      <c r="B406">
        <f>IF($J406="","",IF($J406&lt;=1500,INDEX('Daily Sale entry '!$Y$1:$Y$1501,$J406+1)&amp;"","Buyer cheque banked 买家支票存入"&amp;IF(INDEX('Daily Sale entry '!$U$1:$U$1501,$J406-1499)="","", " - "&amp;INDEX('Daily Sale entry '!$U$1:$U$1501,$J406-1499))))</f>
        <v/>
      </c>
      <c r="C406">
        <f>IF($J406="","",IF($J406&lt;=1500,INDEX('Daily Sale entry '!$Z$1:$Z$1501,$J406+1)&amp;"","Cheque deposit 支票存入 (buyer 买家)"))</f>
        <v/>
      </c>
      <c r="D406">
        <f>IF($J406="","",IF($J406&lt;=1500,INDEX('Daily Sale entry '!$AA$1:$AA$1501,$J406+1)&amp;"",INDEX('Daily Sale entry '!$P$1:$P$1501,$J406-1499)&amp;""))</f>
        <v/>
      </c>
      <c r="E406">
        <f>IF($J406="","",IF($J406&lt;=1500,IF(N(INDEX('Daily Sale entry '!$AB$1:$AB$1501,$J406+1))=0,"",INDEX('Daily Sale entry '!$AB$1:$AB$1501,$J406+1)),1))</f>
        <v/>
      </c>
      <c r="F406" s="6">
        <f>IF($J406="","",IF($J406&lt;=1500,N(INDEX('Daily Sale entry '!$AC$1:$AC$1501,$J406+1))-IF(AND('Opening Balance'!$B$15=1,INDEX('Daily Sale entry '!$Z$1:$Z$1501,$J406+1)="Online collection 网上收款",INDEX('Daily Sale entry '!$AA$1:$AA$1501,$J406+1)&lt;&gt;""),N(INDEX('Daily Sale entry '!$AC$1:$AC$1501,$J406+1))-TRUNC(N(INDEX('Daily Sale entry '!$AC$1:$AC$1501,$J406+1))),0),N(INDEX('Daily Sale entry '!$S$1:$S$1501,$J406-1499))-'Opening Balance'!$B$15*(N(INDEX('Daily Sale entry '!$S$1:$S$1501,$J406-1499))-TRUNC(N(INDEX('Daily Sale entry '!$S$1:$S$1501,$J406-1499))))))</f>
        <v/>
      </c>
      <c r="G406" s="6">
        <f>IF($J406="","",IF($J406&lt;=1500,N(INDEX('Daily Sale entry '!$AD$1:$AD$1501,$J406+1)),0))</f>
        <v/>
      </c>
      <c r="H406" s="6">
        <f>IF($J406="","",ROUND('Opening Balance'!$B$4+SUM($F$2:F406)-SUM($G$2:G406),2))</f>
        <v/>
      </c>
      <c r="J406" s="21">
        <f>IFERROR(MATCH(ROW()-1,$L$2:$L$3001,0),"")</f>
        <v/>
      </c>
      <c r="K406" s="34">
        <f>IF(AND('Daily Sale entry '!X406&lt;&gt;"",OR('Daily Sale entry '!AC406&lt;&gt;"",'Daily Sale entry '!AD406&lt;&gt;"")),'Daily Sale entry '!X406+ROW()/10000000,"")</f>
        <v/>
      </c>
      <c r="L406" s="21">
        <f>IF(K406="","",COUNTIF($K$2:$K$3001,"&lt;"&amp;K406)+1)</f>
        <v/>
      </c>
    </row>
    <row r="407">
      <c r="A407" s="5">
        <f>IF($J407="","",IF($J407&lt;=1500,INDEX('Daily Sale entry '!$X$1:$X$1501,$J407+1),INDEX('Daily Sale entry '!$V$1:$V$1501,$J407-1499)))</f>
        <v/>
      </c>
      <c r="B407">
        <f>IF($J407="","",IF($J407&lt;=1500,INDEX('Daily Sale entry '!$Y$1:$Y$1501,$J407+1)&amp;"","Buyer cheque banked 买家支票存入"&amp;IF(INDEX('Daily Sale entry '!$U$1:$U$1501,$J407-1499)="","", " - "&amp;INDEX('Daily Sale entry '!$U$1:$U$1501,$J407-1499))))</f>
        <v/>
      </c>
      <c r="C407">
        <f>IF($J407="","",IF($J407&lt;=1500,INDEX('Daily Sale entry '!$Z$1:$Z$1501,$J407+1)&amp;"","Cheque deposit 支票存入 (buyer 买家)"))</f>
        <v/>
      </c>
      <c r="D407">
        <f>IF($J407="","",IF($J407&lt;=1500,INDEX('Daily Sale entry '!$AA$1:$AA$1501,$J407+1)&amp;"",INDEX('Daily Sale entry '!$P$1:$P$1501,$J407-1499)&amp;""))</f>
        <v/>
      </c>
      <c r="E407">
        <f>IF($J407="","",IF($J407&lt;=1500,IF(N(INDEX('Daily Sale entry '!$AB$1:$AB$1501,$J407+1))=0,"",INDEX('Daily Sale entry '!$AB$1:$AB$1501,$J407+1)),1))</f>
        <v/>
      </c>
      <c r="F407" s="6">
        <f>IF($J407="","",IF($J407&lt;=1500,N(INDEX('Daily Sale entry '!$AC$1:$AC$1501,$J407+1))-IF(AND('Opening Balance'!$B$15=1,INDEX('Daily Sale entry '!$Z$1:$Z$1501,$J407+1)="Online collection 网上收款",INDEX('Daily Sale entry '!$AA$1:$AA$1501,$J407+1)&lt;&gt;""),N(INDEX('Daily Sale entry '!$AC$1:$AC$1501,$J407+1))-TRUNC(N(INDEX('Daily Sale entry '!$AC$1:$AC$1501,$J407+1))),0),N(INDEX('Daily Sale entry '!$S$1:$S$1501,$J407-1499))-'Opening Balance'!$B$15*(N(INDEX('Daily Sale entry '!$S$1:$S$1501,$J407-1499))-TRUNC(N(INDEX('Daily Sale entry '!$S$1:$S$1501,$J407-1499))))))</f>
        <v/>
      </c>
      <c r="G407" s="6">
        <f>IF($J407="","",IF($J407&lt;=1500,N(INDEX('Daily Sale entry '!$AD$1:$AD$1501,$J407+1)),0))</f>
        <v/>
      </c>
      <c r="H407" s="6">
        <f>IF($J407="","",ROUND('Opening Balance'!$B$4+SUM($F$2:F407)-SUM($G$2:G407),2))</f>
        <v/>
      </c>
      <c r="J407" s="21">
        <f>IFERROR(MATCH(ROW()-1,$L$2:$L$3001,0),"")</f>
        <v/>
      </c>
      <c r="K407" s="34">
        <f>IF(AND('Daily Sale entry '!X407&lt;&gt;"",OR('Daily Sale entry '!AC407&lt;&gt;"",'Daily Sale entry '!AD407&lt;&gt;"")),'Daily Sale entry '!X407+ROW()/10000000,"")</f>
        <v/>
      </c>
      <c r="L407" s="21">
        <f>IF(K407="","",COUNTIF($K$2:$K$3001,"&lt;"&amp;K407)+1)</f>
        <v/>
      </c>
    </row>
    <row r="408">
      <c r="A408" s="5">
        <f>IF($J408="","",IF($J408&lt;=1500,INDEX('Daily Sale entry '!$X$1:$X$1501,$J408+1),INDEX('Daily Sale entry '!$V$1:$V$1501,$J408-1499)))</f>
        <v/>
      </c>
      <c r="B408">
        <f>IF($J408="","",IF($J408&lt;=1500,INDEX('Daily Sale entry '!$Y$1:$Y$1501,$J408+1)&amp;"","Buyer cheque banked 买家支票存入"&amp;IF(INDEX('Daily Sale entry '!$U$1:$U$1501,$J408-1499)="","", " - "&amp;INDEX('Daily Sale entry '!$U$1:$U$1501,$J408-1499))))</f>
        <v/>
      </c>
      <c r="C408">
        <f>IF($J408="","",IF($J408&lt;=1500,INDEX('Daily Sale entry '!$Z$1:$Z$1501,$J408+1)&amp;"","Cheque deposit 支票存入 (buyer 买家)"))</f>
        <v/>
      </c>
      <c r="D408">
        <f>IF($J408="","",IF($J408&lt;=1500,INDEX('Daily Sale entry '!$AA$1:$AA$1501,$J408+1)&amp;"",INDEX('Daily Sale entry '!$P$1:$P$1501,$J408-1499)&amp;""))</f>
        <v/>
      </c>
      <c r="E408">
        <f>IF($J408="","",IF($J408&lt;=1500,IF(N(INDEX('Daily Sale entry '!$AB$1:$AB$1501,$J408+1))=0,"",INDEX('Daily Sale entry '!$AB$1:$AB$1501,$J408+1)),1))</f>
        <v/>
      </c>
      <c r="F408" s="6">
        <f>IF($J408="","",IF($J408&lt;=1500,N(INDEX('Daily Sale entry '!$AC$1:$AC$1501,$J408+1))-IF(AND('Opening Balance'!$B$15=1,INDEX('Daily Sale entry '!$Z$1:$Z$1501,$J408+1)="Online collection 网上收款",INDEX('Daily Sale entry '!$AA$1:$AA$1501,$J408+1)&lt;&gt;""),N(INDEX('Daily Sale entry '!$AC$1:$AC$1501,$J408+1))-TRUNC(N(INDEX('Daily Sale entry '!$AC$1:$AC$1501,$J408+1))),0),N(INDEX('Daily Sale entry '!$S$1:$S$1501,$J408-1499))-'Opening Balance'!$B$15*(N(INDEX('Daily Sale entry '!$S$1:$S$1501,$J408-1499))-TRUNC(N(INDEX('Daily Sale entry '!$S$1:$S$1501,$J408-1499))))))</f>
        <v/>
      </c>
      <c r="G408" s="6">
        <f>IF($J408="","",IF($J408&lt;=1500,N(INDEX('Daily Sale entry '!$AD$1:$AD$1501,$J408+1)),0))</f>
        <v/>
      </c>
      <c r="H408" s="6">
        <f>IF($J408="","",ROUND('Opening Balance'!$B$4+SUM($F$2:F408)-SUM($G$2:G408),2))</f>
        <v/>
      </c>
      <c r="J408" s="21">
        <f>IFERROR(MATCH(ROW()-1,$L$2:$L$3001,0),"")</f>
        <v/>
      </c>
      <c r="K408" s="34">
        <f>IF(AND('Daily Sale entry '!X408&lt;&gt;"",OR('Daily Sale entry '!AC408&lt;&gt;"",'Daily Sale entry '!AD408&lt;&gt;"")),'Daily Sale entry '!X408+ROW()/10000000,"")</f>
        <v/>
      </c>
      <c r="L408" s="21">
        <f>IF(K408="","",COUNTIF($K$2:$K$3001,"&lt;"&amp;K408)+1)</f>
        <v/>
      </c>
    </row>
    <row r="409">
      <c r="A409" s="5">
        <f>IF($J409="","",IF($J409&lt;=1500,INDEX('Daily Sale entry '!$X$1:$X$1501,$J409+1),INDEX('Daily Sale entry '!$V$1:$V$1501,$J409-1499)))</f>
        <v/>
      </c>
      <c r="B409">
        <f>IF($J409="","",IF($J409&lt;=1500,INDEX('Daily Sale entry '!$Y$1:$Y$1501,$J409+1)&amp;"","Buyer cheque banked 买家支票存入"&amp;IF(INDEX('Daily Sale entry '!$U$1:$U$1501,$J409-1499)="","", " - "&amp;INDEX('Daily Sale entry '!$U$1:$U$1501,$J409-1499))))</f>
        <v/>
      </c>
      <c r="C409">
        <f>IF($J409="","",IF($J409&lt;=1500,INDEX('Daily Sale entry '!$Z$1:$Z$1501,$J409+1)&amp;"","Cheque deposit 支票存入 (buyer 买家)"))</f>
        <v/>
      </c>
      <c r="D409">
        <f>IF($J409="","",IF($J409&lt;=1500,INDEX('Daily Sale entry '!$AA$1:$AA$1501,$J409+1)&amp;"",INDEX('Daily Sale entry '!$P$1:$P$1501,$J409-1499)&amp;""))</f>
        <v/>
      </c>
      <c r="E409">
        <f>IF($J409="","",IF($J409&lt;=1500,IF(N(INDEX('Daily Sale entry '!$AB$1:$AB$1501,$J409+1))=0,"",INDEX('Daily Sale entry '!$AB$1:$AB$1501,$J409+1)),1))</f>
        <v/>
      </c>
      <c r="F409" s="6">
        <f>IF($J409="","",IF($J409&lt;=1500,N(INDEX('Daily Sale entry '!$AC$1:$AC$1501,$J409+1))-IF(AND('Opening Balance'!$B$15=1,INDEX('Daily Sale entry '!$Z$1:$Z$1501,$J409+1)="Online collection 网上收款",INDEX('Daily Sale entry '!$AA$1:$AA$1501,$J409+1)&lt;&gt;""),N(INDEX('Daily Sale entry '!$AC$1:$AC$1501,$J409+1))-TRUNC(N(INDEX('Daily Sale entry '!$AC$1:$AC$1501,$J409+1))),0),N(INDEX('Daily Sale entry '!$S$1:$S$1501,$J409-1499))-'Opening Balance'!$B$15*(N(INDEX('Daily Sale entry '!$S$1:$S$1501,$J409-1499))-TRUNC(N(INDEX('Daily Sale entry '!$S$1:$S$1501,$J409-1499))))))</f>
        <v/>
      </c>
      <c r="G409" s="6">
        <f>IF($J409="","",IF($J409&lt;=1500,N(INDEX('Daily Sale entry '!$AD$1:$AD$1501,$J409+1)),0))</f>
        <v/>
      </c>
      <c r="H409" s="6">
        <f>IF($J409="","",ROUND('Opening Balance'!$B$4+SUM($F$2:F409)-SUM($G$2:G409),2))</f>
        <v/>
      </c>
      <c r="J409" s="21">
        <f>IFERROR(MATCH(ROW()-1,$L$2:$L$3001,0),"")</f>
        <v/>
      </c>
      <c r="K409" s="34">
        <f>IF(AND('Daily Sale entry '!X409&lt;&gt;"",OR('Daily Sale entry '!AC409&lt;&gt;"",'Daily Sale entry '!AD409&lt;&gt;"")),'Daily Sale entry '!X409+ROW()/10000000,"")</f>
        <v/>
      </c>
      <c r="L409" s="21">
        <f>IF(K409="","",COUNTIF($K$2:$K$3001,"&lt;"&amp;K409)+1)</f>
        <v/>
      </c>
    </row>
    <row r="410">
      <c r="A410" s="5">
        <f>IF($J410="","",IF($J410&lt;=1500,INDEX('Daily Sale entry '!$X$1:$X$1501,$J410+1),INDEX('Daily Sale entry '!$V$1:$V$1501,$J410-1499)))</f>
        <v/>
      </c>
      <c r="B410">
        <f>IF($J410="","",IF($J410&lt;=1500,INDEX('Daily Sale entry '!$Y$1:$Y$1501,$J410+1)&amp;"","Buyer cheque banked 买家支票存入"&amp;IF(INDEX('Daily Sale entry '!$U$1:$U$1501,$J410-1499)="","", " - "&amp;INDEX('Daily Sale entry '!$U$1:$U$1501,$J410-1499))))</f>
        <v/>
      </c>
      <c r="C410">
        <f>IF($J410="","",IF($J410&lt;=1500,INDEX('Daily Sale entry '!$Z$1:$Z$1501,$J410+1)&amp;"","Cheque deposit 支票存入 (buyer 买家)"))</f>
        <v/>
      </c>
      <c r="D410">
        <f>IF($J410="","",IF($J410&lt;=1500,INDEX('Daily Sale entry '!$AA$1:$AA$1501,$J410+1)&amp;"",INDEX('Daily Sale entry '!$P$1:$P$1501,$J410-1499)&amp;""))</f>
        <v/>
      </c>
      <c r="E410">
        <f>IF($J410="","",IF($J410&lt;=1500,IF(N(INDEX('Daily Sale entry '!$AB$1:$AB$1501,$J410+1))=0,"",INDEX('Daily Sale entry '!$AB$1:$AB$1501,$J410+1)),1))</f>
        <v/>
      </c>
      <c r="F410" s="6">
        <f>IF($J410="","",IF($J410&lt;=1500,N(INDEX('Daily Sale entry '!$AC$1:$AC$1501,$J410+1))-IF(AND('Opening Balance'!$B$15=1,INDEX('Daily Sale entry '!$Z$1:$Z$1501,$J410+1)="Online collection 网上收款",INDEX('Daily Sale entry '!$AA$1:$AA$1501,$J410+1)&lt;&gt;""),N(INDEX('Daily Sale entry '!$AC$1:$AC$1501,$J410+1))-TRUNC(N(INDEX('Daily Sale entry '!$AC$1:$AC$1501,$J410+1))),0),N(INDEX('Daily Sale entry '!$S$1:$S$1501,$J410-1499))-'Opening Balance'!$B$15*(N(INDEX('Daily Sale entry '!$S$1:$S$1501,$J410-1499))-TRUNC(N(INDEX('Daily Sale entry '!$S$1:$S$1501,$J410-1499))))))</f>
        <v/>
      </c>
      <c r="G410" s="6">
        <f>IF($J410="","",IF($J410&lt;=1500,N(INDEX('Daily Sale entry '!$AD$1:$AD$1501,$J410+1)),0))</f>
        <v/>
      </c>
      <c r="H410" s="6">
        <f>IF($J410="","",ROUND('Opening Balance'!$B$4+SUM($F$2:F410)-SUM($G$2:G410),2))</f>
        <v/>
      </c>
      <c r="J410" s="21">
        <f>IFERROR(MATCH(ROW()-1,$L$2:$L$3001,0),"")</f>
        <v/>
      </c>
      <c r="K410" s="34">
        <f>IF(AND('Daily Sale entry '!X410&lt;&gt;"",OR('Daily Sale entry '!AC410&lt;&gt;"",'Daily Sale entry '!AD410&lt;&gt;"")),'Daily Sale entry '!X410+ROW()/10000000,"")</f>
        <v/>
      </c>
      <c r="L410" s="21">
        <f>IF(K410="","",COUNTIF($K$2:$K$3001,"&lt;"&amp;K410)+1)</f>
        <v/>
      </c>
    </row>
    <row r="411">
      <c r="A411" s="5">
        <f>IF($J411="","",IF($J411&lt;=1500,INDEX('Daily Sale entry '!$X$1:$X$1501,$J411+1),INDEX('Daily Sale entry '!$V$1:$V$1501,$J411-1499)))</f>
        <v/>
      </c>
      <c r="B411">
        <f>IF($J411="","",IF($J411&lt;=1500,INDEX('Daily Sale entry '!$Y$1:$Y$1501,$J411+1)&amp;"","Buyer cheque banked 买家支票存入"&amp;IF(INDEX('Daily Sale entry '!$U$1:$U$1501,$J411-1499)="","", " - "&amp;INDEX('Daily Sale entry '!$U$1:$U$1501,$J411-1499))))</f>
        <v/>
      </c>
      <c r="C411">
        <f>IF($J411="","",IF($J411&lt;=1500,INDEX('Daily Sale entry '!$Z$1:$Z$1501,$J411+1)&amp;"","Cheque deposit 支票存入 (buyer 买家)"))</f>
        <v/>
      </c>
      <c r="D411">
        <f>IF($J411="","",IF($J411&lt;=1500,INDEX('Daily Sale entry '!$AA$1:$AA$1501,$J411+1)&amp;"",INDEX('Daily Sale entry '!$P$1:$P$1501,$J411-1499)&amp;""))</f>
        <v/>
      </c>
      <c r="E411">
        <f>IF($J411="","",IF($J411&lt;=1500,IF(N(INDEX('Daily Sale entry '!$AB$1:$AB$1501,$J411+1))=0,"",INDEX('Daily Sale entry '!$AB$1:$AB$1501,$J411+1)),1))</f>
        <v/>
      </c>
      <c r="F411" s="6">
        <f>IF($J411="","",IF($J411&lt;=1500,N(INDEX('Daily Sale entry '!$AC$1:$AC$1501,$J411+1))-IF(AND('Opening Balance'!$B$15=1,INDEX('Daily Sale entry '!$Z$1:$Z$1501,$J411+1)="Online collection 网上收款",INDEX('Daily Sale entry '!$AA$1:$AA$1501,$J411+1)&lt;&gt;""),N(INDEX('Daily Sale entry '!$AC$1:$AC$1501,$J411+1))-TRUNC(N(INDEX('Daily Sale entry '!$AC$1:$AC$1501,$J411+1))),0),N(INDEX('Daily Sale entry '!$S$1:$S$1501,$J411-1499))-'Opening Balance'!$B$15*(N(INDEX('Daily Sale entry '!$S$1:$S$1501,$J411-1499))-TRUNC(N(INDEX('Daily Sale entry '!$S$1:$S$1501,$J411-1499))))))</f>
        <v/>
      </c>
      <c r="G411" s="6">
        <f>IF($J411="","",IF($J411&lt;=1500,N(INDEX('Daily Sale entry '!$AD$1:$AD$1501,$J411+1)),0))</f>
        <v/>
      </c>
      <c r="H411" s="6">
        <f>IF($J411="","",ROUND('Opening Balance'!$B$4+SUM($F$2:F411)-SUM($G$2:G411),2))</f>
        <v/>
      </c>
      <c r="J411" s="21">
        <f>IFERROR(MATCH(ROW()-1,$L$2:$L$3001,0),"")</f>
        <v/>
      </c>
      <c r="K411" s="34">
        <f>IF(AND('Daily Sale entry '!X411&lt;&gt;"",OR('Daily Sale entry '!AC411&lt;&gt;"",'Daily Sale entry '!AD411&lt;&gt;"")),'Daily Sale entry '!X411+ROW()/10000000,"")</f>
        <v/>
      </c>
      <c r="L411" s="21">
        <f>IF(K411="","",COUNTIF($K$2:$K$3001,"&lt;"&amp;K411)+1)</f>
        <v/>
      </c>
    </row>
    <row r="412">
      <c r="A412" s="5">
        <f>IF($J412="","",IF($J412&lt;=1500,INDEX('Daily Sale entry '!$X$1:$X$1501,$J412+1),INDEX('Daily Sale entry '!$V$1:$V$1501,$J412-1499)))</f>
        <v/>
      </c>
      <c r="B412">
        <f>IF($J412="","",IF($J412&lt;=1500,INDEX('Daily Sale entry '!$Y$1:$Y$1501,$J412+1)&amp;"","Buyer cheque banked 买家支票存入"&amp;IF(INDEX('Daily Sale entry '!$U$1:$U$1501,$J412-1499)="","", " - "&amp;INDEX('Daily Sale entry '!$U$1:$U$1501,$J412-1499))))</f>
        <v/>
      </c>
      <c r="C412">
        <f>IF($J412="","",IF($J412&lt;=1500,INDEX('Daily Sale entry '!$Z$1:$Z$1501,$J412+1)&amp;"","Cheque deposit 支票存入 (buyer 买家)"))</f>
        <v/>
      </c>
      <c r="D412">
        <f>IF($J412="","",IF($J412&lt;=1500,INDEX('Daily Sale entry '!$AA$1:$AA$1501,$J412+1)&amp;"",INDEX('Daily Sale entry '!$P$1:$P$1501,$J412-1499)&amp;""))</f>
        <v/>
      </c>
      <c r="E412">
        <f>IF($J412="","",IF($J412&lt;=1500,IF(N(INDEX('Daily Sale entry '!$AB$1:$AB$1501,$J412+1))=0,"",INDEX('Daily Sale entry '!$AB$1:$AB$1501,$J412+1)),1))</f>
        <v/>
      </c>
      <c r="F412" s="6">
        <f>IF($J412="","",IF($J412&lt;=1500,N(INDEX('Daily Sale entry '!$AC$1:$AC$1501,$J412+1))-IF(AND('Opening Balance'!$B$15=1,INDEX('Daily Sale entry '!$Z$1:$Z$1501,$J412+1)="Online collection 网上收款",INDEX('Daily Sale entry '!$AA$1:$AA$1501,$J412+1)&lt;&gt;""),N(INDEX('Daily Sale entry '!$AC$1:$AC$1501,$J412+1))-TRUNC(N(INDEX('Daily Sale entry '!$AC$1:$AC$1501,$J412+1))),0),N(INDEX('Daily Sale entry '!$S$1:$S$1501,$J412-1499))-'Opening Balance'!$B$15*(N(INDEX('Daily Sale entry '!$S$1:$S$1501,$J412-1499))-TRUNC(N(INDEX('Daily Sale entry '!$S$1:$S$1501,$J412-1499))))))</f>
        <v/>
      </c>
      <c r="G412" s="6">
        <f>IF($J412="","",IF($J412&lt;=1500,N(INDEX('Daily Sale entry '!$AD$1:$AD$1501,$J412+1)),0))</f>
        <v/>
      </c>
      <c r="H412" s="6">
        <f>IF($J412="","",ROUND('Opening Balance'!$B$4+SUM($F$2:F412)-SUM($G$2:G412),2))</f>
        <v/>
      </c>
      <c r="J412" s="21">
        <f>IFERROR(MATCH(ROW()-1,$L$2:$L$3001,0),"")</f>
        <v/>
      </c>
      <c r="K412" s="34">
        <f>IF(AND('Daily Sale entry '!X412&lt;&gt;"",OR('Daily Sale entry '!AC412&lt;&gt;"",'Daily Sale entry '!AD412&lt;&gt;"")),'Daily Sale entry '!X412+ROW()/10000000,"")</f>
        <v/>
      </c>
      <c r="L412" s="21">
        <f>IF(K412="","",COUNTIF($K$2:$K$3001,"&lt;"&amp;K412)+1)</f>
        <v/>
      </c>
    </row>
    <row r="413">
      <c r="A413" s="5">
        <f>IF($J413="","",IF($J413&lt;=1500,INDEX('Daily Sale entry '!$X$1:$X$1501,$J413+1),INDEX('Daily Sale entry '!$V$1:$V$1501,$J413-1499)))</f>
        <v/>
      </c>
      <c r="B413">
        <f>IF($J413="","",IF($J413&lt;=1500,INDEX('Daily Sale entry '!$Y$1:$Y$1501,$J413+1)&amp;"","Buyer cheque banked 买家支票存入"&amp;IF(INDEX('Daily Sale entry '!$U$1:$U$1501,$J413-1499)="","", " - "&amp;INDEX('Daily Sale entry '!$U$1:$U$1501,$J413-1499))))</f>
        <v/>
      </c>
      <c r="C413">
        <f>IF($J413="","",IF($J413&lt;=1500,INDEX('Daily Sale entry '!$Z$1:$Z$1501,$J413+1)&amp;"","Cheque deposit 支票存入 (buyer 买家)"))</f>
        <v/>
      </c>
      <c r="D413">
        <f>IF($J413="","",IF($J413&lt;=1500,INDEX('Daily Sale entry '!$AA$1:$AA$1501,$J413+1)&amp;"",INDEX('Daily Sale entry '!$P$1:$P$1501,$J413-1499)&amp;""))</f>
        <v/>
      </c>
      <c r="E413">
        <f>IF($J413="","",IF($J413&lt;=1500,IF(N(INDEX('Daily Sale entry '!$AB$1:$AB$1501,$J413+1))=0,"",INDEX('Daily Sale entry '!$AB$1:$AB$1501,$J413+1)),1))</f>
        <v/>
      </c>
      <c r="F413" s="6">
        <f>IF($J413="","",IF($J413&lt;=1500,N(INDEX('Daily Sale entry '!$AC$1:$AC$1501,$J413+1))-IF(AND('Opening Balance'!$B$15=1,INDEX('Daily Sale entry '!$Z$1:$Z$1501,$J413+1)="Online collection 网上收款",INDEX('Daily Sale entry '!$AA$1:$AA$1501,$J413+1)&lt;&gt;""),N(INDEX('Daily Sale entry '!$AC$1:$AC$1501,$J413+1))-TRUNC(N(INDEX('Daily Sale entry '!$AC$1:$AC$1501,$J413+1))),0),N(INDEX('Daily Sale entry '!$S$1:$S$1501,$J413-1499))-'Opening Balance'!$B$15*(N(INDEX('Daily Sale entry '!$S$1:$S$1501,$J413-1499))-TRUNC(N(INDEX('Daily Sale entry '!$S$1:$S$1501,$J413-1499))))))</f>
        <v/>
      </c>
      <c r="G413" s="6">
        <f>IF($J413="","",IF($J413&lt;=1500,N(INDEX('Daily Sale entry '!$AD$1:$AD$1501,$J413+1)),0))</f>
        <v/>
      </c>
      <c r="H413" s="6">
        <f>IF($J413="","",ROUND('Opening Balance'!$B$4+SUM($F$2:F413)-SUM($G$2:G413),2))</f>
        <v/>
      </c>
      <c r="J413" s="21">
        <f>IFERROR(MATCH(ROW()-1,$L$2:$L$3001,0),"")</f>
        <v/>
      </c>
      <c r="K413" s="34">
        <f>IF(AND('Daily Sale entry '!X413&lt;&gt;"",OR('Daily Sale entry '!AC413&lt;&gt;"",'Daily Sale entry '!AD413&lt;&gt;"")),'Daily Sale entry '!X413+ROW()/10000000,"")</f>
        <v/>
      </c>
      <c r="L413" s="21">
        <f>IF(K413="","",COUNTIF($K$2:$K$3001,"&lt;"&amp;K413)+1)</f>
        <v/>
      </c>
    </row>
    <row r="414">
      <c r="A414" s="5">
        <f>IF($J414="","",IF($J414&lt;=1500,INDEX('Daily Sale entry '!$X$1:$X$1501,$J414+1),INDEX('Daily Sale entry '!$V$1:$V$1501,$J414-1499)))</f>
        <v/>
      </c>
      <c r="B414">
        <f>IF($J414="","",IF($J414&lt;=1500,INDEX('Daily Sale entry '!$Y$1:$Y$1501,$J414+1)&amp;"","Buyer cheque banked 买家支票存入"&amp;IF(INDEX('Daily Sale entry '!$U$1:$U$1501,$J414-1499)="","", " - "&amp;INDEX('Daily Sale entry '!$U$1:$U$1501,$J414-1499))))</f>
        <v/>
      </c>
      <c r="C414">
        <f>IF($J414="","",IF($J414&lt;=1500,INDEX('Daily Sale entry '!$Z$1:$Z$1501,$J414+1)&amp;"","Cheque deposit 支票存入 (buyer 买家)"))</f>
        <v/>
      </c>
      <c r="D414">
        <f>IF($J414="","",IF($J414&lt;=1500,INDEX('Daily Sale entry '!$AA$1:$AA$1501,$J414+1)&amp;"",INDEX('Daily Sale entry '!$P$1:$P$1501,$J414-1499)&amp;""))</f>
        <v/>
      </c>
      <c r="E414">
        <f>IF($J414="","",IF($J414&lt;=1500,IF(N(INDEX('Daily Sale entry '!$AB$1:$AB$1501,$J414+1))=0,"",INDEX('Daily Sale entry '!$AB$1:$AB$1501,$J414+1)),1))</f>
        <v/>
      </c>
      <c r="F414" s="6">
        <f>IF($J414="","",IF($J414&lt;=1500,N(INDEX('Daily Sale entry '!$AC$1:$AC$1501,$J414+1))-IF(AND('Opening Balance'!$B$15=1,INDEX('Daily Sale entry '!$Z$1:$Z$1501,$J414+1)="Online collection 网上收款",INDEX('Daily Sale entry '!$AA$1:$AA$1501,$J414+1)&lt;&gt;""),N(INDEX('Daily Sale entry '!$AC$1:$AC$1501,$J414+1))-TRUNC(N(INDEX('Daily Sale entry '!$AC$1:$AC$1501,$J414+1))),0),N(INDEX('Daily Sale entry '!$S$1:$S$1501,$J414-1499))-'Opening Balance'!$B$15*(N(INDEX('Daily Sale entry '!$S$1:$S$1501,$J414-1499))-TRUNC(N(INDEX('Daily Sale entry '!$S$1:$S$1501,$J414-1499))))))</f>
        <v/>
      </c>
      <c r="G414" s="6">
        <f>IF($J414="","",IF($J414&lt;=1500,N(INDEX('Daily Sale entry '!$AD$1:$AD$1501,$J414+1)),0))</f>
        <v/>
      </c>
      <c r="H414" s="6">
        <f>IF($J414="","",ROUND('Opening Balance'!$B$4+SUM($F$2:F414)-SUM($G$2:G414),2))</f>
        <v/>
      </c>
      <c r="J414" s="21">
        <f>IFERROR(MATCH(ROW()-1,$L$2:$L$3001,0),"")</f>
        <v/>
      </c>
      <c r="K414" s="34">
        <f>IF(AND('Daily Sale entry '!X414&lt;&gt;"",OR('Daily Sale entry '!AC414&lt;&gt;"",'Daily Sale entry '!AD414&lt;&gt;"")),'Daily Sale entry '!X414+ROW()/10000000,"")</f>
        <v/>
      </c>
      <c r="L414" s="21">
        <f>IF(K414="","",COUNTIF($K$2:$K$3001,"&lt;"&amp;K414)+1)</f>
        <v/>
      </c>
    </row>
    <row r="415">
      <c r="A415" s="5">
        <f>IF($J415="","",IF($J415&lt;=1500,INDEX('Daily Sale entry '!$X$1:$X$1501,$J415+1),INDEX('Daily Sale entry '!$V$1:$V$1501,$J415-1499)))</f>
        <v/>
      </c>
      <c r="B415">
        <f>IF($J415="","",IF($J415&lt;=1500,INDEX('Daily Sale entry '!$Y$1:$Y$1501,$J415+1)&amp;"","Buyer cheque banked 买家支票存入"&amp;IF(INDEX('Daily Sale entry '!$U$1:$U$1501,$J415-1499)="","", " - "&amp;INDEX('Daily Sale entry '!$U$1:$U$1501,$J415-1499))))</f>
        <v/>
      </c>
      <c r="C415">
        <f>IF($J415="","",IF($J415&lt;=1500,INDEX('Daily Sale entry '!$Z$1:$Z$1501,$J415+1)&amp;"","Cheque deposit 支票存入 (buyer 买家)"))</f>
        <v/>
      </c>
      <c r="D415">
        <f>IF($J415="","",IF($J415&lt;=1500,INDEX('Daily Sale entry '!$AA$1:$AA$1501,$J415+1)&amp;"",INDEX('Daily Sale entry '!$P$1:$P$1501,$J415-1499)&amp;""))</f>
        <v/>
      </c>
      <c r="E415">
        <f>IF($J415="","",IF($J415&lt;=1500,IF(N(INDEX('Daily Sale entry '!$AB$1:$AB$1501,$J415+1))=0,"",INDEX('Daily Sale entry '!$AB$1:$AB$1501,$J415+1)),1))</f>
        <v/>
      </c>
      <c r="F415" s="6">
        <f>IF($J415="","",IF($J415&lt;=1500,N(INDEX('Daily Sale entry '!$AC$1:$AC$1501,$J415+1))-IF(AND('Opening Balance'!$B$15=1,INDEX('Daily Sale entry '!$Z$1:$Z$1501,$J415+1)="Online collection 网上收款",INDEX('Daily Sale entry '!$AA$1:$AA$1501,$J415+1)&lt;&gt;""),N(INDEX('Daily Sale entry '!$AC$1:$AC$1501,$J415+1))-TRUNC(N(INDEX('Daily Sale entry '!$AC$1:$AC$1501,$J415+1))),0),N(INDEX('Daily Sale entry '!$S$1:$S$1501,$J415-1499))-'Opening Balance'!$B$15*(N(INDEX('Daily Sale entry '!$S$1:$S$1501,$J415-1499))-TRUNC(N(INDEX('Daily Sale entry '!$S$1:$S$1501,$J415-1499))))))</f>
        <v/>
      </c>
      <c r="G415" s="6">
        <f>IF($J415="","",IF($J415&lt;=1500,N(INDEX('Daily Sale entry '!$AD$1:$AD$1501,$J415+1)),0))</f>
        <v/>
      </c>
      <c r="H415" s="6">
        <f>IF($J415="","",ROUND('Opening Balance'!$B$4+SUM($F$2:F415)-SUM($G$2:G415),2))</f>
        <v/>
      </c>
      <c r="J415" s="21">
        <f>IFERROR(MATCH(ROW()-1,$L$2:$L$3001,0),"")</f>
        <v/>
      </c>
      <c r="K415" s="34">
        <f>IF(AND('Daily Sale entry '!X415&lt;&gt;"",OR('Daily Sale entry '!AC415&lt;&gt;"",'Daily Sale entry '!AD415&lt;&gt;"")),'Daily Sale entry '!X415+ROW()/10000000,"")</f>
        <v/>
      </c>
      <c r="L415" s="21">
        <f>IF(K415="","",COUNTIF($K$2:$K$3001,"&lt;"&amp;K415)+1)</f>
        <v/>
      </c>
    </row>
    <row r="416">
      <c r="A416" s="5">
        <f>IF($J416="","",IF($J416&lt;=1500,INDEX('Daily Sale entry '!$X$1:$X$1501,$J416+1),INDEX('Daily Sale entry '!$V$1:$V$1501,$J416-1499)))</f>
        <v/>
      </c>
      <c r="B416">
        <f>IF($J416="","",IF($J416&lt;=1500,INDEX('Daily Sale entry '!$Y$1:$Y$1501,$J416+1)&amp;"","Buyer cheque banked 买家支票存入"&amp;IF(INDEX('Daily Sale entry '!$U$1:$U$1501,$J416-1499)="","", " - "&amp;INDEX('Daily Sale entry '!$U$1:$U$1501,$J416-1499))))</f>
        <v/>
      </c>
      <c r="C416">
        <f>IF($J416="","",IF($J416&lt;=1500,INDEX('Daily Sale entry '!$Z$1:$Z$1501,$J416+1)&amp;"","Cheque deposit 支票存入 (buyer 买家)"))</f>
        <v/>
      </c>
      <c r="D416">
        <f>IF($J416="","",IF($J416&lt;=1500,INDEX('Daily Sale entry '!$AA$1:$AA$1501,$J416+1)&amp;"",INDEX('Daily Sale entry '!$P$1:$P$1501,$J416-1499)&amp;""))</f>
        <v/>
      </c>
      <c r="E416">
        <f>IF($J416="","",IF($J416&lt;=1500,IF(N(INDEX('Daily Sale entry '!$AB$1:$AB$1501,$J416+1))=0,"",INDEX('Daily Sale entry '!$AB$1:$AB$1501,$J416+1)),1))</f>
        <v/>
      </c>
      <c r="F416" s="6">
        <f>IF($J416="","",IF($J416&lt;=1500,N(INDEX('Daily Sale entry '!$AC$1:$AC$1501,$J416+1))-IF(AND('Opening Balance'!$B$15=1,INDEX('Daily Sale entry '!$Z$1:$Z$1501,$J416+1)="Online collection 网上收款",INDEX('Daily Sale entry '!$AA$1:$AA$1501,$J416+1)&lt;&gt;""),N(INDEX('Daily Sale entry '!$AC$1:$AC$1501,$J416+1))-TRUNC(N(INDEX('Daily Sale entry '!$AC$1:$AC$1501,$J416+1))),0),N(INDEX('Daily Sale entry '!$S$1:$S$1501,$J416-1499))-'Opening Balance'!$B$15*(N(INDEX('Daily Sale entry '!$S$1:$S$1501,$J416-1499))-TRUNC(N(INDEX('Daily Sale entry '!$S$1:$S$1501,$J416-1499))))))</f>
        <v/>
      </c>
      <c r="G416" s="6">
        <f>IF($J416="","",IF($J416&lt;=1500,N(INDEX('Daily Sale entry '!$AD$1:$AD$1501,$J416+1)),0))</f>
        <v/>
      </c>
      <c r="H416" s="6">
        <f>IF($J416="","",ROUND('Opening Balance'!$B$4+SUM($F$2:F416)-SUM($G$2:G416),2))</f>
        <v/>
      </c>
      <c r="J416" s="21">
        <f>IFERROR(MATCH(ROW()-1,$L$2:$L$3001,0),"")</f>
        <v/>
      </c>
      <c r="K416" s="34">
        <f>IF(AND('Daily Sale entry '!X416&lt;&gt;"",OR('Daily Sale entry '!AC416&lt;&gt;"",'Daily Sale entry '!AD416&lt;&gt;"")),'Daily Sale entry '!X416+ROW()/10000000,"")</f>
        <v/>
      </c>
      <c r="L416" s="21">
        <f>IF(K416="","",COUNTIF($K$2:$K$3001,"&lt;"&amp;K416)+1)</f>
        <v/>
      </c>
    </row>
    <row r="417">
      <c r="A417" s="5">
        <f>IF($J417="","",IF($J417&lt;=1500,INDEX('Daily Sale entry '!$X$1:$X$1501,$J417+1),INDEX('Daily Sale entry '!$V$1:$V$1501,$J417-1499)))</f>
        <v/>
      </c>
      <c r="B417">
        <f>IF($J417="","",IF($J417&lt;=1500,INDEX('Daily Sale entry '!$Y$1:$Y$1501,$J417+1)&amp;"","Buyer cheque banked 买家支票存入"&amp;IF(INDEX('Daily Sale entry '!$U$1:$U$1501,$J417-1499)="","", " - "&amp;INDEX('Daily Sale entry '!$U$1:$U$1501,$J417-1499))))</f>
        <v/>
      </c>
      <c r="C417">
        <f>IF($J417="","",IF($J417&lt;=1500,INDEX('Daily Sale entry '!$Z$1:$Z$1501,$J417+1)&amp;"","Cheque deposit 支票存入 (buyer 买家)"))</f>
        <v/>
      </c>
      <c r="D417">
        <f>IF($J417="","",IF($J417&lt;=1500,INDEX('Daily Sale entry '!$AA$1:$AA$1501,$J417+1)&amp;"",INDEX('Daily Sale entry '!$P$1:$P$1501,$J417-1499)&amp;""))</f>
        <v/>
      </c>
      <c r="E417">
        <f>IF($J417="","",IF($J417&lt;=1500,IF(N(INDEX('Daily Sale entry '!$AB$1:$AB$1501,$J417+1))=0,"",INDEX('Daily Sale entry '!$AB$1:$AB$1501,$J417+1)),1))</f>
        <v/>
      </c>
      <c r="F417" s="6">
        <f>IF($J417="","",IF($J417&lt;=1500,N(INDEX('Daily Sale entry '!$AC$1:$AC$1501,$J417+1))-IF(AND('Opening Balance'!$B$15=1,INDEX('Daily Sale entry '!$Z$1:$Z$1501,$J417+1)="Online collection 网上收款",INDEX('Daily Sale entry '!$AA$1:$AA$1501,$J417+1)&lt;&gt;""),N(INDEX('Daily Sale entry '!$AC$1:$AC$1501,$J417+1))-TRUNC(N(INDEX('Daily Sale entry '!$AC$1:$AC$1501,$J417+1))),0),N(INDEX('Daily Sale entry '!$S$1:$S$1501,$J417-1499))-'Opening Balance'!$B$15*(N(INDEX('Daily Sale entry '!$S$1:$S$1501,$J417-1499))-TRUNC(N(INDEX('Daily Sale entry '!$S$1:$S$1501,$J417-1499))))))</f>
        <v/>
      </c>
      <c r="G417" s="6">
        <f>IF($J417="","",IF($J417&lt;=1500,N(INDEX('Daily Sale entry '!$AD$1:$AD$1501,$J417+1)),0))</f>
        <v/>
      </c>
      <c r="H417" s="6">
        <f>IF($J417="","",ROUND('Opening Balance'!$B$4+SUM($F$2:F417)-SUM($G$2:G417),2))</f>
        <v/>
      </c>
      <c r="J417" s="21">
        <f>IFERROR(MATCH(ROW()-1,$L$2:$L$3001,0),"")</f>
        <v/>
      </c>
      <c r="K417" s="34">
        <f>IF(AND('Daily Sale entry '!X417&lt;&gt;"",OR('Daily Sale entry '!AC417&lt;&gt;"",'Daily Sale entry '!AD417&lt;&gt;"")),'Daily Sale entry '!X417+ROW()/10000000,"")</f>
        <v/>
      </c>
      <c r="L417" s="21">
        <f>IF(K417="","",COUNTIF($K$2:$K$3001,"&lt;"&amp;K417)+1)</f>
        <v/>
      </c>
    </row>
    <row r="418">
      <c r="A418" s="5">
        <f>IF($J418="","",IF($J418&lt;=1500,INDEX('Daily Sale entry '!$X$1:$X$1501,$J418+1),INDEX('Daily Sale entry '!$V$1:$V$1501,$J418-1499)))</f>
        <v/>
      </c>
      <c r="B418">
        <f>IF($J418="","",IF($J418&lt;=1500,INDEX('Daily Sale entry '!$Y$1:$Y$1501,$J418+1)&amp;"","Buyer cheque banked 买家支票存入"&amp;IF(INDEX('Daily Sale entry '!$U$1:$U$1501,$J418-1499)="","", " - "&amp;INDEX('Daily Sale entry '!$U$1:$U$1501,$J418-1499))))</f>
        <v/>
      </c>
      <c r="C418">
        <f>IF($J418="","",IF($J418&lt;=1500,INDEX('Daily Sale entry '!$Z$1:$Z$1501,$J418+1)&amp;"","Cheque deposit 支票存入 (buyer 买家)"))</f>
        <v/>
      </c>
      <c r="D418">
        <f>IF($J418="","",IF($J418&lt;=1500,INDEX('Daily Sale entry '!$AA$1:$AA$1501,$J418+1)&amp;"",INDEX('Daily Sale entry '!$P$1:$P$1501,$J418-1499)&amp;""))</f>
        <v/>
      </c>
      <c r="E418">
        <f>IF($J418="","",IF($J418&lt;=1500,IF(N(INDEX('Daily Sale entry '!$AB$1:$AB$1501,$J418+1))=0,"",INDEX('Daily Sale entry '!$AB$1:$AB$1501,$J418+1)),1))</f>
        <v/>
      </c>
      <c r="F418" s="6">
        <f>IF($J418="","",IF($J418&lt;=1500,N(INDEX('Daily Sale entry '!$AC$1:$AC$1501,$J418+1))-IF(AND('Opening Balance'!$B$15=1,INDEX('Daily Sale entry '!$Z$1:$Z$1501,$J418+1)="Online collection 网上收款",INDEX('Daily Sale entry '!$AA$1:$AA$1501,$J418+1)&lt;&gt;""),N(INDEX('Daily Sale entry '!$AC$1:$AC$1501,$J418+1))-TRUNC(N(INDEX('Daily Sale entry '!$AC$1:$AC$1501,$J418+1))),0),N(INDEX('Daily Sale entry '!$S$1:$S$1501,$J418-1499))-'Opening Balance'!$B$15*(N(INDEX('Daily Sale entry '!$S$1:$S$1501,$J418-1499))-TRUNC(N(INDEX('Daily Sale entry '!$S$1:$S$1501,$J418-1499))))))</f>
        <v/>
      </c>
      <c r="G418" s="6">
        <f>IF($J418="","",IF($J418&lt;=1500,N(INDEX('Daily Sale entry '!$AD$1:$AD$1501,$J418+1)),0))</f>
        <v/>
      </c>
      <c r="H418" s="6">
        <f>IF($J418="","",ROUND('Opening Balance'!$B$4+SUM($F$2:F418)-SUM($G$2:G418),2))</f>
        <v/>
      </c>
      <c r="J418" s="21">
        <f>IFERROR(MATCH(ROW()-1,$L$2:$L$3001,0),"")</f>
        <v/>
      </c>
      <c r="K418" s="34">
        <f>IF(AND('Daily Sale entry '!X418&lt;&gt;"",OR('Daily Sale entry '!AC418&lt;&gt;"",'Daily Sale entry '!AD418&lt;&gt;"")),'Daily Sale entry '!X418+ROW()/10000000,"")</f>
        <v/>
      </c>
      <c r="L418" s="21">
        <f>IF(K418="","",COUNTIF($K$2:$K$3001,"&lt;"&amp;K418)+1)</f>
        <v/>
      </c>
    </row>
    <row r="419">
      <c r="A419" s="5">
        <f>IF($J419="","",IF($J419&lt;=1500,INDEX('Daily Sale entry '!$X$1:$X$1501,$J419+1),INDEX('Daily Sale entry '!$V$1:$V$1501,$J419-1499)))</f>
        <v/>
      </c>
      <c r="B419">
        <f>IF($J419="","",IF($J419&lt;=1500,INDEX('Daily Sale entry '!$Y$1:$Y$1501,$J419+1)&amp;"","Buyer cheque banked 买家支票存入"&amp;IF(INDEX('Daily Sale entry '!$U$1:$U$1501,$J419-1499)="","", " - "&amp;INDEX('Daily Sale entry '!$U$1:$U$1501,$J419-1499))))</f>
        <v/>
      </c>
      <c r="C419">
        <f>IF($J419="","",IF($J419&lt;=1500,INDEX('Daily Sale entry '!$Z$1:$Z$1501,$J419+1)&amp;"","Cheque deposit 支票存入 (buyer 买家)"))</f>
        <v/>
      </c>
      <c r="D419">
        <f>IF($J419="","",IF($J419&lt;=1500,INDEX('Daily Sale entry '!$AA$1:$AA$1501,$J419+1)&amp;"",INDEX('Daily Sale entry '!$P$1:$P$1501,$J419-1499)&amp;""))</f>
        <v/>
      </c>
      <c r="E419">
        <f>IF($J419="","",IF($J419&lt;=1500,IF(N(INDEX('Daily Sale entry '!$AB$1:$AB$1501,$J419+1))=0,"",INDEX('Daily Sale entry '!$AB$1:$AB$1501,$J419+1)),1))</f>
        <v/>
      </c>
      <c r="F419" s="6">
        <f>IF($J419="","",IF($J419&lt;=1500,N(INDEX('Daily Sale entry '!$AC$1:$AC$1501,$J419+1))-IF(AND('Opening Balance'!$B$15=1,INDEX('Daily Sale entry '!$Z$1:$Z$1501,$J419+1)="Online collection 网上收款",INDEX('Daily Sale entry '!$AA$1:$AA$1501,$J419+1)&lt;&gt;""),N(INDEX('Daily Sale entry '!$AC$1:$AC$1501,$J419+1))-TRUNC(N(INDEX('Daily Sale entry '!$AC$1:$AC$1501,$J419+1))),0),N(INDEX('Daily Sale entry '!$S$1:$S$1501,$J419-1499))-'Opening Balance'!$B$15*(N(INDEX('Daily Sale entry '!$S$1:$S$1501,$J419-1499))-TRUNC(N(INDEX('Daily Sale entry '!$S$1:$S$1501,$J419-1499))))))</f>
        <v/>
      </c>
      <c r="G419" s="6">
        <f>IF($J419="","",IF($J419&lt;=1500,N(INDEX('Daily Sale entry '!$AD$1:$AD$1501,$J419+1)),0))</f>
        <v/>
      </c>
      <c r="H419" s="6">
        <f>IF($J419="","",ROUND('Opening Balance'!$B$4+SUM($F$2:F419)-SUM($G$2:G419),2))</f>
        <v/>
      </c>
      <c r="J419" s="21">
        <f>IFERROR(MATCH(ROW()-1,$L$2:$L$3001,0),"")</f>
        <v/>
      </c>
      <c r="K419" s="34">
        <f>IF(AND('Daily Sale entry '!X419&lt;&gt;"",OR('Daily Sale entry '!AC419&lt;&gt;"",'Daily Sale entry '!AD419&lt;&gt;"")),'Daily Sale entry '!X419+ROW()/10000000,"")</f>
        <v/>
      </c>
      <c r="L419" s="21">
        <f>IF(K419="","",COUNTIF($K$2:$K$3001,"&lt;"&amp;K419)+1)</f>
        <v/>
      </c>
    </row>
    <row r="420">
      <c r="A420" s="5">
        <f>IF($J420="","",IF($J420&lt;=1500,INDEX('Daily Sale entry '!$X$1:$X$1501,$J420+1),INDEX('Daily Sale entry '!$V$1:$V$1501,$J420-1499)))</f>
        <v/>
      </c>
      <c r="B420">
        <f>IF($J420="","",IF($J420&lt;=1500,INDEX('Daily Sale entry '!$Y$1:$Y$1501,$J420+1)&amp;"","Buyer cheque banked 买家支票存入"&amp;IF(INDEX('Daily Sale entry '!$U$1:$U$1501,$J420-1499)="","", " - "&amp;INDEX('Daily Sale entry '!$U$1:$U$1501,$J420-1499))))</f>
        <v/>
      </c>
      <c r="C420">
        <f>IF($J420="","",IF($J420&lt;=1500,INDEX('Daily Sale entry '!$Z$1:$Z$1501,$J420+1)&amp;"","Cheque deposit 支票存入 (buyer 买家)"))</f>
        <v/>
      </c>
      <c r="D420">
        <f>IF($J420="","",IF($J420&lt;=1500,INDEX('Daily Sale entry '!$AA$1:$AA$1501,$J420+1)&amp;"",INDEX('Daily Sale entry '!$P$1:$P$1501,$J420-1499)&amp;""))</f>
        <v/>
      </c>
      <c r="E420">
        <f>IF($J420="","",IF($J420&lt;=1500,IF(N(INDEX('Daily Sale entry '!$AB$1:$AB$1501,$J420+1))=0,"",INDEX('Daily Sale entry '!$AB$1:$AB$1501,$J420+1)),1))</f>
        <v/>
      </c>
      <c r="F420" s="6">
        <f>IF($J420="","",IF($J420&lt;=1500,N(INDEX('Daily Sale entry '!$AC$1:$AC$1501,$J420+1))-IF(AND('Opening Balance'!$B$15=1,INDEX('Daily Sale entry '!$Z$1:$Z$1501,$J420+1)="Online collection 网上收款",INDEX('Daily Sale entry '!$AA$1:$AA$1501,$J420+1)&lt;&gt;""),N(INDEX('Daily Sale entry '!$AC$1:$AC$1501,$J420+1))-TRUNC(N(INDEX('Daily Sale entry '!$AC$1:$AC$1501,$J420+1))),0),N(INDEX('Daily Sale entry '!$S$1:$S$1501,$J420-1499))-'Opening Balance'!$B$15*(N(INDEX('Daily Sale entry '!$S$1:$S$1501,$J420-1499))-TRUNC(N(INDEX('Daily Sale entry '!$S$1:$S$1501,$J420-1499))))))</f>
        <v/>
      </c>
      <c r="G420" s="6">
        <f>IF($J420="","",IF($J420&lt;=1500,N(INDEX('Daily Sale entry '!$AD$1:$AD$1501,$J420+1)),0))</f>
        <v/>
      </c>
      <c r="H420" s="6">
        <f>IF($J420="","",ROUND('Opening Balance'!$B$4+SUM($F$2:F420)-SUM($G$2:G420),2))</f>
        <v/>
      </c>
      <c r="J420" s="21">
        <f>IFERROR(MATCH(ROW()-1,$L$2:$L$3001,0),"")</f>
        <v/>
      </c>
      <c r="K420" s="34">
        <f>IF(AND('Daily Sale entry '!X420&lt;&gt;"",OR('Daily Sale entry '!AC420&lt;&gt;"",'Daily Sale entry '!AD420&lt;&gt;"")),'Daily Sale entry '!X420+ROW()/10000000,"")</f>
        <v/>
      </c>
      <c r="L420" s="21">
        <f>IF(K420="","",COUNTIF($K$2:$K$3001,"&lt;"&amp;K420)+1)</f>
        <v/>
      </c>
    </row>
    <row r="421">
      <c r="A421" s="5">
        <f>IF($J421="","",IF($J421&lt;=1500,INDEX('Daily Sale entry '!$X$1:$X$1501,$J421+1),INDEX('Daily Sale entry '!$V$1:$V$1501,$J421-1499)))</f>
        <v/>
      </c>
      <c r="B421">
        <f>IF($J421="","",IF($J421&lt;=1500,INDEX('Daily Sale entry '!$Y$1:$Y$1501,$J421+1)&amp;"","Buyer cheque banked 买家支票存入"&amp;IF(INDEX('Daily Sale entry '!$U$1:$U$1501,$J421-1499)="","", " - "&amp;INDEX('Daily Sale entry '!$U$1:$U$1501,$J421-1499))))</f>
        <v/>
      </c>
      <c r="C421">
        <f>IF($J421="","",IF($J421&lt;=1500,INDEX('Daily Sale entry '!$Z$1:$Z$1501,$J421+1)&amp;"","Cheque deposit 支票存入 (buyer 买家)"))</f>
        <v/>
      </c>
      <c r="D421">
        <f>IF($J421="","",IF($J421&lt;=1500,INDEX('Daily Sale entry '!$AA$1:$AA$1501,$J421+1)&amp;"",INDEX('Daily Sale entry '!$P$1:$P$1501,$J421-1499)&amp;""))</f>
        <v/>
      </c>
      <c r="E421">
        <f>IF($J421="","",IF($J421&lt;=1500,IF(N(INDEX('Daily Sale entry '!$AB$1:$AB$1501,$J421+1))=0,"",INDEX('Daily Sale entry '!$AB$1:$AB$1501,$J421+1)),1))</f>
        <v/>
      </c>
      <c r="F421" s="6">
        <f>IF($J421="","",IF($J421&lt;=1500,N(INDEX('Daily Sale entry '!$AC$1:$AC$1501,$J421+1))-IF(AND('Opening Balance'!$B$15=1,INDEX('Daily Sale entry '!$Z$1:$Z$1501,$J421+1)="Online collection 网上收款",INDEX('Daily Sale entry '!$AA$1:$AA$1501,$J421+1)&lt;&gt;""),N(INDEX('Daily Sale entry '!$AC$1:$AC$1501,$J421+1))-TRUNC(N(INDEX('Daily Sale entry '!$AC$1:$AC$1501,$J421+1))),0),N(INDEX('Daily Sale entry '!$S$1:$S$1501,$J421-1499))-'Opening Balance'!$B$15*(N(INDEX('Daily Sale entry '!$S$1:$S$1501,$J421-1499))-TRUNC(N(INDEX('Daily Sale entry '!$S$1:$S$1501,$J421-1499))))))</f>
        <v/>
      </c>
      <c r="G421" s="6">
        <f>IF($J421="","",IF($J421&lt;=1500,N(INDEX('Daily Sale entry '!$AD$1:$AD$1501,$J421+1)),0))</f>
        <v/>
      </c>
      <c r="H421" s="6">
        <f>IF($J421="","",ROUND('Opening Balance'!$B$4+SUM($F$2:F421)-SUM($G$2:G421),2))</f>
        <v/>
      </c>
      <c r="J421" s="21">
        <f>IFERROR(MATCH(ROW()-1,$L$2:$L$3001,0),"")</f>
        <v/>
      </c>
      <c r="K421" s="34">
        <f>IF(AND('Daily Sale entry '!X421&lt;&gt;"",OR('Daily Sale entry '!AC421&lt;&gt;"",'Daily Sale entry '!AD421&lt;&gt;"")),'Daily Sale entry '!X421+ROW()/10000000,"")</f>
        <v/>
      </c>
      <c r="L421" s="21">
        <f>IF(K421="","",COUNTIF($K$2:$K$3001,"&lt;"&amp;K421)+1)</f>
        <v/>
      </c>
    </row>
    <row r="422">
      <c r="A422" s="5">
        <f>IF($J422="","",IF($J422&lt;=1500,INDEX('Daily Sale entry '!$X$1:$X$1501,$J422+1),INDEX('Daily Sale entry '!$V$1:$V$1501,$J422-1499)))</f>
        <v/>
      </c>
      <c r="B422">
        <f>IF($J422="","",IF($J422&lt;=1500,INDEX('Daily Sale entry '!$Y$1:$Y$1501,$J422+1)&amp;"","Buyer cheque banked 买家支票存入"&amp;IF(INDEX('Daily Sale entry '!$U$1:$U$1501,$J422-1499)="","", " - "&amp;INDEX('Daily Sale entry '!$U$1:$U$1501,$J422-1499))))</f>
        <v/>
      </c>
      <c r="C422">
        <f>IF($J422="","",IF($J422&lt;=1500,INDEX('Daily Sale entry '!$Z$1:$Z$1501,$J422+1)&amp;"","Cheque deposit 支票存入 (buyer 买家)"))</f>
        <v/>
      </c>
      <c r="D422">
        <f>IF($J422="","",IF($J422&lt;=1500,INDEX('Daily Sale entry '!$AA$1:$AA$1501,$J422+1)&amp;"",INDEX('Daily Sale entry '!$P$1:$P$1501,$J422-1499)&amp;""))</f>
        <v/>
      </c>
      <c r="E422">
        <f>IF($J422="","",IF($J422&lt;=1500,IF(N(INDEX('Daily Sale entry '!$AB$1:$AB$1501,$J422+1))=0,"",INDEX('Daily Sale entry '!$AB$1:$AB$1501,$J422+1)),1))</f>
        <v/>
      </c>
      <c r="F422" s="6">
        <f>IF($J422="","",IF($J422&lt;=1500,N(INDEX('Daily Sale entry '!$AC$1:$AC$1501,$J422+1))-IF(AND('Opening Balance'!$B$15=1,INDEX('Daily Sale entry '!$Z$1:$Z$1501,$J422+1)="Online collection 网上收款",INDEX('Daily Sale entry '!$AA$1:$AA$1501,$J422+1)&lt;&gt;""),N(INDEX('Daily Sale entry '!$AC$1:$AC$1501,$J422+1))-TRUNC(N(INDEX('Daily Sale entry '!$AC$1:$AC$1501,$J422+1))),0),N(INDEX('Daily Sale entry '!$S$1:$S$1501,$J422-1499))-'Opening Balance'!$B$15*(N(INDEX('Daily Sale entry '!$S$1:$S$1501,$J422-1499))-TRUNC(N(INDEX('Daily Sale entry '!$S$1:$S$1501,$J422-1499))))))</f>
        <v/>
      </c>
      <c r="G422" s="6">
        <f>IF($J422="","",IF($J422&lt;=1500,N(INDEX('Daily Sale entry '!$AD$1:$AD$1501,$J422+1)),0))</f>
        <v/>
      </c>
      <c r="H422" s="6">
        <f>IF($J422="","",ROUND('Opening Balance'!$B$4+SUM($F$2:F422)-SUM($G$2:G422),2))</f>
        <v/>
      </c>
      <c r="J422" s="21">
        <f>IFERROR(MATCH(ROW()-1,$L$2:$L$3001,0),"")</f>
        <v/>
      </c>
      <c r="K422" s="34">
        <f>IF(AND('Daily Sale entry '!X422&lt;&gt;"",OR('Daily Sale entry '!AC422&lt;&gt;"",'Daily Sale entry '!AD422&lt;&gt;"")),'Daily Sale entry '!X422+ROW()/10000000,"")</f>
        <v/>
      </c>
      <c r="L422" s="21">
        <f>IF(K422="","",COUNTIF($K$2:$K$3001,"&lt;"&amp;K422)+1)</f>
        <v/>
      </c>
    </row>
    <row r="423">
      <c r="A423" s="5">
        <f>IF($J423="","",IF($J423&lt;=1500,INDEX('Daily Sale entry '!$X$1:$X$1501,$J423+1),INDEX('Daily Sale entry '!$V$1:$V$1501,$J423-1499)))</f>
        <v/>
      </c>
      <c r="B423">
        <f>IF($J423="","",IF($J423&lt;=1500,INDEX('Daily Sale entry '!$Y$1:$Y$1501,$J423+1)&amp;"","Buyer cheque banked 买家支票存入"&amp;IF(INDEX('Daily Sale entry '!$U$1:$U$1501,$J423-1499)="","", " - "&amp;INDEX('Daily Sale entry '!$U$1:$U$1501,$J423-1499))))</f>
        <v/>
      </c>
      <c r="C423">
        <f>IF($J423="","",IF($J423&lt;=1500,INDEX('Daily Sale entry '!$Z$1:$Z$1501,$J423+1)&amp;"","Cheque deposit 支票存入 (buyer 买家)"))</f>
        <v/>
      </c>
      <c r="D423">
        <f>IF($J423="","",IF($J423&lt;=1500,INDEX('Daily Sale entry '!$AA$1:$AA$1501,$J423+1)&amp;"",INDEX('Daily Sale entry '!$P$1:$P$1501,$J423-1499)&amp;""))</f>
        <v/>
      </c>
      <c r="E423">
        <f>IF($J423="","",IF($J423&lt;=1500,IF(N(INDEX('Daily Sale entry '!$AB$1:$AB$1501,$J423+1))=0,"",INDEX('Daily Sale entry '!$AB$1:$AB$1501,$J423+1)),1))</f>
        <v/>
      </c>
      <c r="F423" s="6">
        <f>IF($J423="","",IF($J423&lt;=1500,N(INDEX('Daily Sale entry '!$AC$1:$AC$1501,$J423+1))-IF(AND('Opening Balance'!$B$15=1,INDEX('Daily Sale entry '!$Z$1:$Z$1501,$J423+1)="Online collection 网上收款",INDEX('Daily Sale entry '!$AA$1:$AA$1501,$J423+1)&lt;&gt;""),N(INDEX('Daily Sale entry '!$AC$1:$AC$1501,$J423+1))-TRUNC(N(INDEX('Daily Sale entry '!$AC$1:$AC$1501,$J423+1))),0),N(INDEX('Daily Sale entry '!$S$1:$S$1501,$J423-1499))-'Opening Balance'!$B$15*(N(INDEX('Daily Sale entry '!$S$1:$S$1501,$J423-1499))-TRUNC(N(INDEX('Daily Sale entry '!$S$1:$S$1501,$J423-1499))))))</f>
        <v/>
      </c>
      <c r="G423" s="6">
        <f>IF($J423="","",IF($J423&lt;=1500,N(INDEX('Daily Sale entry '!$AD$1:$AD$1501,$J423+1)),0))</f>
        <v/>
      </c>
      <c r="H423" s="6">
        <f>IF($J423="","",ROUND('Opening Balance'!$B$4+SUM($F$2:F423)-SUM($G$2:G423),2))</f>
        <v/>
      </c>
      <c r="J423" s="21">
        <f>IFERROR(MATCH(ROW()-1,$L$2:$L$3001,0),"")</f>
        <v/>
      </c>
      <c r="K423" s="34">
        <f>IF(AND('Daily Sale entry '!X423&lt;&gt;"",OR('Daily Sale entry '!AC423&lt;&gt;"",'Daily Sale entry '!AD423&lt;&gt;"")),'Daily Sale entry '!X423+ROW()/10000000,"")</f>
        <v/>
      </c>
      <c r="L423" s="21">
        <f>IF(K423="","",COUNTIF($K$2:$K$3001,"&lt;"&amp;K423)+1)</f>
        <v/>
      </c>
    </row>
    <row r="424">
      <c r="A424" s="5">
        <f>IF($J424="","",IF($J424&lt;=1500,INDEX('Daily Sale entry '!$X$1:$X$1501,$J424+1),INDEX('Daily Sale entry '!$V$1:$V$1501,$J424-1499)))</f>
        <v/>
      </c>
      <c r="B424">
        <f>IF($J424="","",IF($J424&lt;=1500,INDEX('Daily Sale entry '!$Y$1:$Y$1501,$J424+1)&amp;"","Buyer cheque banked 买家支票存入"&amp;IF(INDEX('Daily Sale entry '!$U$1:$U$1501,$J424-1499)="","", " - "&amp;INDEX('Daily Sale entry '!$U$1:$U$1501,$J424-1499))))</f>
        <v/>
      </c>
      <c r="C424">
        <f>IF($J424="","",IF($J424&lt;=1500,INDEX('Daily Sale entry '!$Z$1:$Z$1501,$J424+1)&amp;"","Cheque deposit 支票存入 (buyer 买家)"))</f>
        <v/>
      </c>
      <c r="D424">
        <f>IF($J424="","",IF($J424&lt;=1500,INDEX('Daily Sale entry '!$AA$1:$AA$1501,$J424+1)&amp;"",INDEX('Daily Sale entry '!$P$1:$P$1501,$J424-1499)&amp;""))</f>
        <v/>
      </c>
      <c r="E424">
        <f>IF($J424="","",IF($J424&lt;=1500,IF(N(INDEX('Daily Sale entry '!$AB$1:$AB$1501,$J424+1))=0,"",INDEX('Daily Sale entry '!$AB$1:$AB$1501,$J424+1)),1))</f>
        <v/>
      </c>
      <c r="F424" s="6">
        <f>IF($J424="","",IF($J424&lt;=1500,N(INDEX('Daily Sale entry '!$AC$1:$AC$1501,$J424+1))-IF(AND('Opening Balance'!$B$15=1,INDEX('Daily Sale entry '!$Z$1:$Z$1501,$J424+1)="Online collection 网上收款",INDEX('Daily Sale entry '!$AA$1:$AA$1501,$J424+1)&lt;&gt;""),N(INDEX('Daily Sale entry '!$AC$1:$AC$1501,$J424+1))-TRUNC(N(INDEX('Daily Sale entry '!$AC$1:$AC$1501,$J424+1))),0),N(INDEX('Daily Sale entry '!$S$1:$S$1501,$J424-1499))-'Opening Balance'!$B$15*(N(INDEX('Daily Sale entry '!$S$1:$S$1501,$J424-1499))-TRUNC(N(INDEX('Daily Sale entry '!$S$1:$S$1501,$J424-1499))))))</f>
        <v/>
      </c>
      <c r="G424" s="6">
        <f>IF($J424="","",IF($J424&lt;=1500,N(INDEX('Daily Sale entry '!$AD$1:$AD$1501,$J424+1)),0))</f>
        <v/>
      </c>
      <c r="H424" s="6">
        <f>IF($J424="","",ROUND('Opening Balance'!$B$4+SUM($F$2:F424)-SUM($G$2:G424),2))</f>
        <v/>
      </c>
      <c r="J424" s="21">
        <f>IFERROR(MATCH(ROW()-1,$L$2:$L$3001,0),"")</f>
        <v/>
      </c>
      <c r="K424" s="34">
        <f>IF(AND('Daily Sale entry '!X424&lt;&gt;"",OR('Daily Sale entry '!AC424&lt;&gt;"",'Daily Sale entry '!AD424&lt;&gt;"")),'Daily Sale entry '!X424+ROW()/10000000,"")</f>
        <v/>
      </c>
      <c r="L424" s="21">
        <f>IF(K424="","",COUNTIF($K$2:$K$3001,"&lt;"&amp;K424)+1)</f>
        <v/>
      </c>
    </row>
    <row r="425">
      <c r="A425" s="5">
        <f>IF($J425="","",IF($J425&lt;=1500,INDEX('Daily Sale entry '!$X$1:$X$1501,$J425+1),INDEX('Daily Sale entry '!$V$1:$V$1501,$J425-1499)))</f>
        <v/>
      </c>
      <c r="B425">
        <f>IF($J425="","",IF($J425&lt;=1500,INDEX('Daily Sale entry '!$Y$1:$Y$1501,$J425+1)&amp;"","Buyer cheque banked 买家支票存入"&amp;IF(INDEX('Daily Sale entry '!$U$1:$U$1501,$J425-1499)="","", " - "&amp;INDEX('Daily Sale entry '!$U$1:$U$1501,$J425-1499))))</f>
        <v/>
      </c>
      <c r="C425">
        <f>IF($J425="","",IF($J425&lt;=1500,INDEX('Daily Sale entry '!$Z$1:$Z$1501,$J425+1)&amp;"","Cheque deposit 支票存入 (buyer 买家)"))</f>
        <v/>
      </c>
      <c r="D425">
        <f>IF($J425="","",IF($J425&lt;=1500,INDEX('Daily Sale entry '!$AA$1:$AA$1501,$J425+1)&amp;"",INDEX('Daily Sale entry '!$P$1:$P$1501,$J425-1499)&amp;""))</f>
        <v/>
      </c>
      <c r="E425">
        <f>IF($J425="","",IF($J425&lt;=1500,IF(N(INDEX('Daily Sale entry '!$AB$1:$AB$1501,$J425+1))=0,"",INDEX('Daily Sale entry '!$AB$1:$AB$1501,$J425+1)),1))</f>
        <v/>
      </c>
      <c r="F425" s="6">
        <f>IF($J425="","",IF($J425&lt;=1500,N(INDEX('Daily Sale entry '!$AC$1:$AC$1501,$J425+1))-IF(AND('Opening Balance'!$B$15=1,INDEX('Daily Sale entry '!$Z$1:$Z$1501,$J425+1)="Online collection 网上收款",INDEX('Daily Sale entry '!$AA$1:$AA$1501,$J425+1)&lt;&gt;""),N(INDEX('Daily Sale entry '!$AC$1:$AC$1501,$J425+1))-TRUNC(N(INDEX('Daily Sale entry '!$AC$1:$AC$1501,$J425+1))),0),N(INDEX('Daily Sale entry '!$S$1:$S$1501,$J425-1499))-'Opening Balance'!$B$15*(N(INDEX('Daily Sale entry '!$S$1:$S$1501,$J425-1499))-TRUNC(N(INDEX('Daily Sale entry '!$S$1:$S$1501,$J425-1499))))))</f>
        <v/>
      </c>
      <c r="G425" s="6">
        <f>IF($J425="","",IF($J425&lt;=1500,N(INDEX('Daily Sale entry '!$AD$1:$AD$1501,$J425+1)),0))</f>
        <v/>
      </c>
      <c r="H425" s="6">
        <f>IF($J425="","",ROUND('Opening Balance'!$B$4+SUM($F$2:F425)-SUM($G$2:G425),2))</f>
        <v/>
      </c>
      <c r="J425" s="21">
        <f>IFERROR(MATCH(ROW()-1,$L$2:$L$3001,0),"")</f>
        <v/>
      </c>
      <c r="K425" s="34">
        <f>IF(AND('Daily Sale entry '!X425&lt;&gt;"",OR('Daily Sale entry '!AC425&lt;&gt;"",'Daily Sale entry '!AD425&lt;&gt;"")),'Daily Sale entry '!X425+ROW()/10000000,"")</f>
        <v/>
      </c>
      <c r="L425" s="21">
        <f>IF(K425="","",COUNTIF($K$2:$K$3001,"&lt;"&amp;K425)+1)</f>
        <v/>
      </c>
    </row>
    <row r="426">
      <c r="A426" s="5">
        <f>IF($J426="","",IF($J426&lt;=1500,INDEX('Daily Sale entry '!$X$1:$X$1501,$J426+1),INDEX('Daily Sale entry '!$V$1:$V$1501,$J426-1499)))</f>
        <v/>
      </c>
      <c r="B426">
        <f>IF($J426="","",IF($J426&lt;=1500,INDEX('Daily Sale entry '!$Y$1:$Y$1501,$J426+1)&amp;"","Buyer cheque banked 买家支票存入"&amp;IF(INDEX('Daily Sale entry '!$U$1:$U$1501,$J426-1499)="","", " - "&amp;INDEX('Daily Sale entry '!$U$1:$U$1501,$J426-1499))))</f>
        <v/>
      </c>
      <c r="C426">
        <f>IF($J426="","",IF($J426&lt;=1500,INDEX('Daily Sale entry '!$Z$1:$Z$1501,$J426+1)&amp;"","Cheque deposit 支票存入 (buyer 买家)"))</f>
        <v/>
      </c>
      <c r="D426">
        <f>IF($J426="","",IF($J426&lt;=1500,INDEX('Daily Sale entry '!$AA$1:$AA$1501,$J426+1)&amp;"",INDEX('Daily Sale entry '!$P$1:$P$1501,$J426-1499)&amp;""))</f>
        <v/>
      </c>
      <c r="E426">
        <f>IF($J426="","",IF($J426&lt;=1500,IF(N(INDEX('Daily Sale entry '!$AB$1:$AB$1501,$J426+1))=0,"",INDEX('Daily Sale entry '!$AB$1:$AB$1501,$J426+1)),1))</f>
        <v/>
      </c>
      <c r="F426" s="6">
        <f>IF($J426="","",IF($J426&lt;=1500,N(INDEX('Daily Sale entry '!$AC$1:$AC$1501,$J426+1))-IF(AND('Opening Balance'!$B$15=1,INDEX('Daily Sale entry '!$Z$1:$Z$1501,$J426+1)="Online collection 网上收款",INDEX('Daily Sale entry '!$AA$1:$AA$1501,$J426+1)&lt;&gt;""),N(INDEX('Daily Sale entry '!$AC$1:$AC$1501,$J426+1))-TRUNC(N(INDEX('Daily Sale entry '!$AC$1:$AC$1501,$J426+1))),0),N(INDEX('Daily Sale entry '!$S$1:$S$1501,$J426-1499))-'Opening Balance'!$B$15*(N(INDEX('Daily Sale entry '!$S$1:$S$1501,$J426-1499))-TRUNC(N(INDEX('Daily Sale entry '!$S$1:$S$1501,$J426-1499))))))</f>
        <v/>
      </c>
      <c r="G426" s="6">
        <f>IF($J426="","",IF($J426&lt;=1500,N(INDEX('Daily Sale entry '!$AD$1:$AD$1501,$J426+1)),0))</f>
        <v/>
      </c>
      <c r="H426" s="6">
        <f>IF($J426="","",ROUND('Opening Balance'!$B$4+SUM($F$2:F426)-SUM($G$2:G426),2))</f>
        <v/>
      </c>
      <c r="J426" s="21">
        <f>IFERROR(MATCH(ROW()-1,$L$2:$L$3001,0),"")</f>
        <v/>
      </c>
      <c r="K426" s="34">
        <f>IF(AND('Daily Sale entry '!X426&lt;&gt;"",OR('Daily Sale entry '!AC426&lt;&gt;"",'Daily Sale entry '!AD426&lt;&gt;"")),'Daily Sale entry '!X426+ROW()/10000000,"")</f>
        <v/>
      </c>
      <c r="L426" s="21">
        <f>IF(K426="","",COUNTIF($K$2:$K$3001,"&lt;"&amp;K426)+1)</f>
        <v/>
      </c>
    </row>
    <row r="427">
      <c r="A427" s="5">
        <f>IF($J427="","",IF($J427&lt;=1500,INDEX('Daily Sale entry '!$X$1:$X$1501,$J427+1),INDEX('Daily Sale entry '!$V$1:$V$1501,$J427-1499)))</f>
        <v/>
      </c>
      <c r="B427">
        <f>IF($J427="","",IF($J427&lt;=1500,INDEX('Daily Sale entry '!$Y$1:$Y$1501,$J427+1)&amp;"","Buyer cheque banked 买家支票存入"&amp;IF(INDEX('Daily Sale entry '!$U$1:$U$1501,$J427-1499)="","", " - "&amp;INDEX('Daily Sale entry '!$U$1:$U$1501,$J427-1499))))</f>
        <v/>
      </c>
      <c r="C427">
        <f>IF($J427="","",IF($J427&lt;=1500,INDEX('Daily Sale entry '!$Z$1:$Z$1501,$J427+1)&amp;"","Cheque deposit 支票存入 (buyer 买家)"))</f>
        <v/>
      </c>
      <c r="D427">
        <f>IF($J427="","",IF($J427&lt;=1500,INDEX('Daily Sale entry '!$AA$1:$AA$1501,$J427+1)&amp;"",INDEX('Daily Sale entry '!$P$1:$P$1501,$J427-1499)&amp;""))</f>
        <v/>
      </c>
      <c r="E427">
        <f>IF($J427="","",IF($J427&lt;=1500,IF(N(INDEX('Daily Sale entry '!$AB$1:$AB$1501,$J427+1))=0,"",INDEX('Daily Sale entry '!$AB$1:$AB$1501,$J427+1)),1))</f>
        <v/>
      </c>
      <c r="F427" s="6">
        <f>IF($J427="","",IF($J427&lt;=1500,N(INDEX('Daily Sale entry '!$AC$1:$AC$1501,$J427+1))-IF(AND('Opening Balance'!$B$15=1,INDEX('Daily Sale entry '!$Z$1:$Z$1501,$J427+1)="Online collection 网上收款",INDEX('Daily Sale entry '!$AA$1:$AA$1501,$J427+1)&lt;&gt;""),N(INDEX('Daily Sale entry '!$AC$1:$AC$1501,$J427+1))-TRUNC(N(INDEX('Daily Sale entry '!$AC$1:$AC$1501,$J427+1))),0),N(INDEX('Daily Sale entry '!$S$1:$S$1501,$J427-1499))-'Opening Balance'!$B$15*(N(INDEX('Daily Sale entry '!$S$1:$S$1501,$J427-1499))-TRUNC(N(INDEX('Daily Sale entry '!$S$1:$S$1501,$J427-1499))))))</f>
        <v/>
      </c>
      <c r="G427" s="6">
        <f>IF($J427="","",IF($J427&lt;=1500,N(INDEX('Daily Sale entry '!$AD$1:$AD$1501,$J427+1)),0))</f>
        <v/>
      </c>
      <c r="H427" s="6">
        <f>IF($J427="","",ROUND('Opening Balance'!$B$4+SUM($F$2:F427)-SUM($G$2:G427),2))</f>
        <v/>
      </c>
      <c r="J427" s="21">
        <f>IFERROR(MATCH(ROW()-1,$L$2:$L$3001,0),"")</f>
        <v/>
      </c>
      <c r="K427" s="34">
        <f>IF(AND('Daily Sale entry '!X427&lt;&gt;"",OR('Daily Sale entry '!AC427&lt;&gt;"",'Daily Sale entry '!AD427&lt;&gt;"")),'Daily Sale entry '!X427+ROW()/10000000,"")</f>
        <v/>
      </c>
      <c r="L427" s="21">
        <f>IF(K427="","",COUNTIF($K$2:$K$3001,"&lt;"&amp;K427)+1)</f>
        <v/>
      </c>
    </row>
    <row r="428">
      <c r="A428" s="5">
        <f>IF($J428="","",IF($J428&lt;=1500,INDEX('Daily Sale entry '!$X$1:$X$1501,$J428+1),INDEX('Daily Sale entry '!$V$1:$V$1501,$J428-1499)))</f>
        <v/>
      </c>
      <c r="B428">
        <f>IF($J428="","",IF($J428&lt;=1500,INDEX('Daily Sale entry '!$Y$1:$Y$1501,$J428+1)&amp;"","Buyer cheque banked 买家支票存入"&amp;IF(INDEX('Daily Sale entry '!$U$1:$U$1501,$J428-1499)="","", " - "&amp;INDEX('Daily Sale entry '!$U$1:$U$1501,$J428-1499))))</f>
        <v/>
      </c>
      <c r="C428">
        <f>IF($J428="","",IF($J428&lt;=1500,INDEX('Daily Sale entry '!$Z$1:$Z$1501,$J428+1)&amp;"","Cheque deposit 支票存入 (buyer 买家)"))</f>
        <v/>
      </c>
      <c r="D428">
        <f>IF($J428="","",IF($J428&lt;=1500,INDEX('Daily Sale entry '!$AA$1:$AA$1501,$J428+1)&amp;"",INDEX('Daily Sale entry '!$P$1:$P$1501,$J428-1499)&amp;""))</f>
        <v/>
      </c>
      <c r="E428">
        <f>IF($J428="","",IF($J428&lt;=1500,IF(N(INDEX('Daily Sale entry '!$AB$1:$AB$1501,$J428+1))=0,"",INDEX('Daily Sale entry '!$AB$1:$AB$1501,$J428+1)),1))</f>
        <v/>
      </c>
      <c r="F428" s="6">
        <f>IF($J428="","",IF($J428&lt;=1500,N(INDEX('Daily Sale entry '!$AC$1:$AC$1501,$J428+1))-IF(AND('Opening Balance'!$B$15=1,INDEX('Daily Sale entry '!$Z$1:$Z$1501,$J428+1)="Online collection 网上收款",INDEX('Daily Sale entry '!$AA$1:$AA$1501,$J428+1)&lt;&gt;""),N(INDEX('Daily Sale entry '!$AC$1:$AC$1501,$J428+1))-TRUNC(N(INDEX('Daily Sale entry '!$AC$1:$AC$1501,$J428+1))),0),N(INDEX('Daily Sale entry '!$S$1:$S$1501,$J428-1499))-'Opening Balance'!$B$15*(N(INDEX('Daily Sale entry '!$S$1:$S$1501,$J428-1499))-TRUNC(N(INDEX('Daily Sale entry '!$S$1:$S$1501,$J428-1499))))))</f>
        <v/>
      </c>
      <c r="G428" s="6">
        <f>IF($J428="","",IF($J428&lt;=1500,N(INDEX('Daily Sale entry '!$AD$1:$AD$1501,$J428+1)),0))</f>
        <v/>
      </c>
      <c r="H428" s="6">
        <f>IF($J428="","",ROUND('Opening Balance'!$B$4+SUM($F$2:F428)-SUM($G$2:G428),2))</f>
        <v/>
      </c>
      <c r="J428" s="21">
        <f>IFERROR(MATCH(ROW()-1,$L$2:$L$3001,0),"")</f>
        <v/>
      </c>
      <c r="K428" s="34">
        <f>IF(AND('Daily Sale entry '!X428&lt;&gt;"",OR('Daily Sale entry '!AC428&lt;&gt;"",'Daily Sale entry '!AD428&lt;&gt;"")),'Daily Sale entry '!X428+ROW()/10000000,"")</f>
        <v/>
      </c>
      <c r="L428" s="21">
        <f>IF(K428="","",COUNTIF($K$2:$K$3001,"&lt;"&amp;K428)+1)</f>
        <v/>
      </c>
    </row>
    <row r="429">
      <c r="A429" s="5">
        <f>IF($J429="","",IF($J429&lt;=1500,INDEX('Daily Sale entry '!$X$1:$X$1501,$J429+1),INDEX('Daily Sale entry '!$V$1:$V$1501,$J429-1499)))</f>
        <v/>
      </c>
      <c r="B429">
        <f>IF($J429="","",IF($J429&lt;=1500,INDEX('Daily Sale entry '!$Y$1:$Y$1501,$J429+1)&amp;"","Buyer cheque banked 买家支票存入"&amp;IF(INDEX('Daily Sale entry '!$U$1:$U$1501,$J429-1499)="","", " - "&amp;INDEX('Daily Sale entry '!$U$1:$U$1501,$J429-1499))))</f>
        <v/>
      </c>
      <c r="C429">
        <f>IF($J429="","",IF($J429&lt;=1500,INDEX('Daily Sale entry '!$Z$1:$Z$1501,$J429+1)&amp;"","Cheque deposit 支票存入 (buyer 买家)"))</f>
        <v/>
      </c>
      <c r="D429">
        <f>IF($J429="","",IF($J429&lt;=1500,INDEX('Daily Sale entry '!$AA$1:$AA$1501,$J429+1)&amp;"",INDEX('Daily Sale entry '!$P$1:$P$1501,$J429-1499)&amp;""))</f>
        <v/>
      </c>
      <c r="E429">
        <f>IF($J429="","",IF($J429&lt;=1500,IF(N(INDEX('Daily Sale entry '!$AB$1:$AB$1501,$J429+1))=0,"",INDEX('Daily Sale entry '!$AB$1:$AB$1501,$J429+1)),1))</f>
        <v/>
      </c>
      <c r="F429" s="6">
        <f>IF($J429="","",IF($J429&lt;=1500,N(INDEX('Daily Sale entry '!$AC$1:$AC$1501,$J429+1))-IF(AND('Opening Balance'!$B$15=1,INDEX('Daily Sale entry '!$Z$1:$Z$1501,$J429+1)="Online collection 网上收款",INDEX('Daily Sale entry '!$AA$1:$AA$1501,$J429+1)&lt;&gt;""),N(INDEX('Daily Sale entry '!$AC$1:$AC$1501,$J429+1))-TRUNC(N(INDEX('Daily Sale entry '!$AC$1:$AC$1501,$J429+1))),0),N(INDEX('Daily Sale entry '!$S$1:$S$1501,$J429-1499))-'Opening Balance'!$B$15*(N(INDEX('Daily Sale entry '!$S$1:$S$1501,$J429-1499))-TRUNC(N(INDEX('Daily Sale entry '!$S$1:$S$1501,$J429-1499))))))</f>
        <v/>
      </c>
      <c r="G429" s="6">
        <f>IF($J429="","",IF($J429&lt;=1500,N(INDEX('Daily Sale entry '!$AD$1:$AD$1501,$J429+1)),0))</f>
        <v/>
      </c>
      <c r="H429" s="6">
        <f>IF($J429="","",ROUND('Opening Balance'!$B$4+SUM($F$2:F429)-SUM($G$2:G429),2))</f>
        <v/>
      </c>
      <c r="J429" s="21">
        <f>IFERROR(MATCH(ROW()-1,$L$2:$L$3001,0),"")</f>
        <v/>
      </c>
      <c r="K429" s="34">
        <f>IF(AND('Daily Sale entry '!X429&lt;&gt;"",OR('Daily Sale entry '!AC429&lt;&gt;"",'Daily Sale entry '!AD429&lt;&gt;"")),'Daily Sale entry '!X429+ROW()/10000000,"")</f>
        <v/>
      </c>
      <c r="L429" s="21">
        <f>IF(K429="","",COUNTIF($K$2:$K$3001,"&lt;"&amp;K429)+1)</f>
        <v/>
      </c>
    </row>
    <row r="430">
      <c r="A430" s="5">
        <f>IF($J430="","",IF($J430&lt;=1500,INDEX('Daily Sale entry '!$X$1:$X$1501,$J430+1),INDEX('Daily Sale entry '!$V$1:$V$1501,$J430-1499)))</f>
        <v/>
      </c>
      <c r="B430">
        <f>IF($J430="","",IF($J430&lt;=1500,INDEX('Daily Sale entry '!$Y$1:$Y$1501,$J430+1)&amp;"","Buyer cheque banked 买家支票存入"&amp;IF(INDEX('Daily Sale entry '!$U$1:$U$1501,$J430-1499)="","", " - "&amp;INDEX('Daily Sale entry '!$U$1:$U$1501,$J430-1499))))</f>
        <v/>
      </c>
      <c r="C430">
        <f>IF($J430="","",IF($J430&lt;=1500,INDEX('Daily Sale entry '!$Z$1:$Z$1501,$J430+1)&amp;"","Cheque deposit 支票存入 (buyer 买家)"))</f>
        <v/>
      </c>
      <c r="D430">
        <f>IF($J430="","",IF($J430&lt;=1500,INDEX('Daily Sale entry '!$AA$1:$AA$1501,$J430+1)&amp;"",INDEX('Daily Sale entry '!$P$1:$P$1501,$J430-1499)&amp;""))</f>
        <v/>
      </c>
      <c r="E430">
        <f>IF($J430="","",IF($J430&lt;=1500,IF(N(INDEX('Daily Sale entry '!$AB$1:$AB$1501,$J430+1))=0,"",INDEX('Daily Sale entry '!$AB$1:$AB$1501,$J430+1)),1))</f>
        <v/>
      </c>
      <c r="F430" s="6">
        <f>IF($J430="","",IF($J430&lt;=1500,N(INDEX('Daily Sale entry '!$AC$1:$AC$1501,$J430+1))-IF(AND('Opening Balance'!$B$15=1,INDEX('Daily Sale entry '!$Z$1:$Z$1501,$J430+1)="Online collection 网上收款",INDEX('Daily Sale entry '!$AA$1:$AA$1501,$J430+1)&lt;&gt;""),N(INDEX('Daily Sale entry '!$AC$1:$AC$1501,$J430+1))-TRUNC(N(INDEX('Daily Sale entry '!$AC$1:$AC$1501,$J430+1))),0),N(INDEX('Daily Sale entry '!$S$1:$S$1501,$J430-1499))-'Opening Balance'!$B$15*(N(INDEX('Daily Sale entry '!$S$1:$S$1501,$J430-1499))-TRUNC(N(INDEX('Daily Sale entry '!$S$1:$S$1501,$J430-1499))))))</f>
        <v/>
      </c>
      <c r="G430" s="6">
        <f>IF($J430="","",IF($J430&lt;=1500,N(INDEX('Daily Sale entry '!$AD$1:$AD$1501,$J430+1)),0))</f>
        <v/>
      </c>
      <c r="H430" s="6">
        <f>IF($J430="","",ROUND('Opening Balance'!$B$4+SUM($F$2:F430)-SUM($G$2:G430),2))</f>
        <v/>
      </c>
      <c r="J430" s="21">
        <f>IFERROR(MATCH(ROW()-1,$L$2:$L$3001,0),"")</f>
        <v/>
      </c>
      <c r="K430" s="34">
        <f>IF(AND('Daily Sale entry '!X430&lt;&gt;"",OR('Daily Sale entry '!AC430&lt;&gt;"",'Daily Sale entry '!AD430&lt;&gt;"")),'Daily Sale entry '!X430+ROW()/10000000,"")</f>
        <v/>
      </c>
      <c r="L430" s="21">
        <f>IF(K430="","",COUNTIF($K$2:$K$3001,"&lt;"&amp;K430)+1)</f>
        <v/>
      </c>
    </row>
    <row r="431">
      <c r="A431" s="5">
        <f>IF($J431="","",IF($J431&lt;=1500,INDEX('Daily Sale entry '!$X$1:$X$1501,$J431+1),INDEX('Daily Sale entry '!$V$1:$V$1501,$J431-1499)))</f>
        <v/>
      </c>
      <c r="B431">
        <f>IF($J431="","",IF($J431&lt;=1500,INDEX('Daily Sale entry '!$Y$1:$Y$1501,$J431+1)&amp;"","Buyer cheque banked 买家支票存入"&amp;IF(INDEX('Daily Sale entry '!$U$1:$U$1501,$J431-1499)="","", " - "&amp;INDEX('Daily Sale entry '!$U$1:$U$1501,$J431-1499))))</f>
        <v/>
      </c>
      <c r="C431">
        <f>IF($J431="","",IF($J431&lt;=1500,INDEX('Daily Sale entry '!$Z$1:$Z$1501,$J431+1)&amp;"","Cheque deposit 支票存入 (buyer 买家)"))</f>
        <v/>
      </c>
      <c r="D431">
        <f>IF($J431="","",IF($J431&lt;=1500,INDEX('Daily Sale entry '!$AA$1:$AA$1501,$J431+1)&amp;"",INDEX('Daily Sale entry '!$P$1:$P$1501,$J431-1499)&amp;""))</f>
        <v/>
      </c>
      <c r="E431">
        <f>IF($J431="","",IF($J431&lt;=1500,IF(N(INDEX('Daily Sale entry '!$AB$1:$AB$1501,$J431+1))=0,"",INDEX('Daily Sale entry '!$AB$1:$AB$1501,$J431+1)),1))</f>
        <v/>
      </c>
      <c r="F431" s="6">
        <f>IF($J431="","",IF($J431&lt;=1500,N(INDEX('Daily Sale entry '!$AC$1:$AC$1501,$J431+1))-IF(AND('Opening Balance'!$B$15=1,INDEX('Daily Sale entry '!$Z$1:$Z$1501,$J431+1)="Online collection 网上收款",INDEX('Daily Sale entry '!$AA$1:$AA$1501,$J431+1)&lt;&gt;""),N(INDEX('Daily Sale entry '!$AC$1:$AC$1501,$J431+1))-TRUNC(N(INDEX('Daily Sale entry '!$AC$1:$AC$1501,$J431+1))),0),N(INDEX('Daily Sale entry '!$S$1:$S$1501,$J431-1499))-'Opening Balance'!$B$15*(N(INDEX('Daily Sale entry '!$S$1:$S$1501,$J431-1499))-TRUNC(N(INDEX('Daily Sale entry '!$S$1:$S$1501,$J431-1499))))))</f>
        <v/>
      </c>
      <c r="G431" s="6">
        <f>IF($J431="","",IF($J431&lt;=1500,N(INDEX('Daily Sale entry '!$AD$1:$AD$1501,$J431+1)),0))</f>
        <v/>
      </c>
      <c r="H431" s="6">
        <f>IF($J431="","",ROUND('Opening Balance'!$B$4+SUM($F$2:F431)-SUM($G$2:G431),2))</f>
        <v/>
      </c>
      <c r="J431" s="21">
        <f>IFERROR(MATCH(ROW()-1,$L$2:$L$3001,0),"")</f>
        <v/>
      </c>
      <c r="K431" s="34">
        <f>IF(AND('Daily Sale entry '!X431&lt;&gt;"",OR('Daily Sale entry '!AC431&lt;&gt;"",'Daily Sale entry '!AD431&lt;&gt;"")),'Daily Sale entry '!X431+ROW()/10000000,"")</f>
        <v/>
      </c>
      <c r="L431" s="21">
        <f>IF(K431="","",COUNTIF($K$2:$K$3001,"&lt;"&amp;K431)+1)</f>
        <v/>
      </c>
    </row>
    <row r="432">
      <c r="A432" s="5">
        <f>IF($J432="","",IF($J432&lt;=1500,INDEX('Daily Sale entry '!$X$1:$X$1501,$J432+1),INDEX('Daily Sale entry '!$V$1:$V$1501,$J432-1499)))</f>
        <v/>
      </c>
      <c r="B432">
        <f>IF($J432="","",IF($J432&lt;=1500,INDEX('Daily Sale entry '!$Y$1:$Y$1501,$J432+1)&amp;"","Buyer cheque banked 买家支票存入"&amp;IF(INDEX('Daily Sale entry '!$U$1:$U$1501,$J432-1499)="","", " - "&amp;INDEX('Daily Sale entry '!$U$1:$U$1501,$J432-1499))))</f>
        <v/>
      </c>
      <c r="C432">
        <f>IF($J432="","",IF($J432&lt;=1500,INDEX('Daily Sale entry '!$Z$1:$Z$1501,$J432+1)&amp;"","Cheque deposit 支票存入 (buyer 买家)"))</f>
        <v/>
      </c>
      <c r="D432">
        <f>IF($J432="","",IF($J432&lt;=1500,INDEX('Daily Sale entry '!$AA$1:$AA$1501,$J432+1)&amp;"",INDEX('Daily Sale entry '!$P$1:$P$1501,$J432-1499)&amp;""))</f>
        <v/>
      </c>
      <c r="E432">
        <f>IF($J432="","",IF($J432&lt;=1500,IF(N(INDEX('Daily Sale entry '!$AB$1:$AB$1501,$J432+1))=0,"",INDEX('Daily Sale entry '!$AB$1:$AB$1501,$J432+1)),1))</f>
        <v/>
      </c>
      <c r="F432" s="6">
        <f>IF($J432="","",IF($J432&lt;=1500,N(INDEX('Daily Sale entry '!$AC$1:$AC$1501,$J432+1))-IF(AND('Opening Balance'!$B$15=1,INDEX('Daily Sale entry '!$Z$1:$Z$1501,$J432+1)="Online collection 网上收款",INDEX('Daily Sale entry '!$AA$1:$AA$1501,$J432+1)&lt;&gt;""),N(INDEX('Daily Sale entry '!$AC$1:$AC$1501,$J432+1))-TRUNC(N(INDEX('Daily Sale entry '!$AC$1:$AC$1501,$J432+1))),0),N(INDEX('Daily Sale entry '!$S$1:$S$1501,$J432-1499))-'Opening Balance'!$B$15*(N(INDEX('Daily Sale entry '!$S$1:$S$1501,$J432-1499))-TRUNC(N(INDEX('Daily Sale entry '!$S$1:$S$1501,$J432-1499))))))</f>
        <v/>
      </c>
      <c r="G432" s="6">
        <f>IF($J432="","",IF($J432&lt;=1500,N(INDEX('Daily Sale entry '!$AD$1:$AD$1501,$J432+1)),0))</f>
        <v/>
      </c>
      <c r="H432" s="6">
        <f>IF($J432="","",ROUND('Opening Balance'!$B$4+SUM($F$2:F432)-SUM($G$2:G432),2))</f>
        <v/>
      </c>
      <c r="J432" s="21">
        <f>IFERROR(MATCH(ROW()-1,$L$2:$L$3001,0),"")</f>
        <v/>
      </c>
      <c r="K432" s="34">
        <f>IF(AND('Daily Sale entry '!X432&lt;&gt;"",OR('Daily Sale entry '!AC432&lt;&gt;"",'Daily Sale entry '!AD432&lt;&gt;"")),'Daily Sale entry '!X432+ROW()/10000000,"")</f>
        <v/>
      </c>
      <c r="L432" s="21">
        <f>IF(K432="","",COUNTIF($K$2:$K$3001,"&lt;"&amp;K432)+1)</f>
        <v/>
      </c>
    </row>
    <row r="433">
      <c r="A433" s="5">
        <f>IF($J433="","",IF($J433&lt;=1500,INDEX('Daily Sale entry '!$X$1:$X$1501,$J433+1),INDEX('Daily Sale entry '!$V$1:$V$1501,$J433-1499)))</f>
        <v/>
      </c>
      <c r="B433">
        <f>IF($J433="","",IF($J433&lt;=1500,INDEX('Daily Sale entry '!$Y$1:$Y$1501,$J433+1)&amp;"","Buyer cheque banked 买家支票存入"&amp;IF(INDEX('Daily Sale entry '!$U$1:$U$1501,$J433-1499)="","", " - "&amp;INDEX('Daily Sale entry '!$U$1:$U$1501,$J433-1499))))</f>
        <v/>
      </c>
      <c r="C433">
        <f>IF($J433="","",IF($J433&lt;=1500,INDEX('Daily Sale entry '!$Z$1:$Z$1501,$J433+1)&amp;"","Cheque deposit 支票存入 (buyer 买家)"))</f>
        <v/>
      </c>
      <c r="D433">
        <f>IF($J433="","",IF($J433&lt;=1500,INDEX('Daily Sale entry '!$AA$1:$AA$1501,$J433+1)&amp;"",INDEX('Daily Sale entry '!$P$1:$P$1501,$J433-1499)&amp;""))</f>
        <v/>
      </c>
      <c r="E433">
        <f>IF($J433="","",IF($J433&lt;=1500,IF(N(INDEX('Daily Sale entry '!$AB$1:$AB$1501,$J433+1))=0,"",INDEX('Daily Sale entry '!$AB$1:$AB$1501,$J433+1)),1))</f>
        <v/>
      </c>
      <c r="F433" s="6">
        <f>IF($J433="","",IF($J433&lt;=1500,N(INDEX('Daily Sale entry '!$AC$1:$AC$1501,$J433+1))-IF(AND('Opening Balance'!$B$15=1,INDEX('Daily Sale entry '!$Z$1:$Z$1501,$J433+1)="Online collection 网上收款",INDEX('Daily Sale entry '!$AA$1:$AA$1501,$J433+1)&lt;&gt;""),N(INDEX('Daily Sale entry '!$AC$1:$AC$1501,$J433+1))-TRUNC(N(INDEX('Daily Sale entry '!$AC$1:$AC$1501,$J433+1))),0),N(INDEX('Daily Sale entry '!$S$1:$S$1501,$J433-1499))-'Opening Balance'!$B$15*(N(INDEX('Daily Sale entry '!$S$1:$S$1501,$J433-1499))-TRUNC(N(INDEX('Daily Sale entry '!$S$1:$S$1501,$J433-1499))))))</f>
        <v/>
      </c>
      <c r="G433" s="6">
        <f>IF($J433="","",IF($J433&lt;=1500,N(INDEX('Daily Sale entry '!$AD$1:$AD$1501,$J433+1)),0))</f>
        <v/>
      </c>
      <c r="H433" s="6">
        <f>IF($J433="","",ROUND('Opening Balance'!$B$4+SUM($F$2:F433)-SUM($G$2:G433),2))</f>
        <v/>
      </c>
      <c r="J433" s="21">
        <f>IFERROR(MATCH(ROW()-1,$L$2:$L$3001,0),"")</f>
        <v/>
      </c>
      <c r="K433" s="34">
        <f>IF(AND('Daily Sale entry '!X433&lt;&gt;"",OR('Daily Sale entry '!AC433&lt;&gt;"",'Daily Sale entry '!AD433&lt;&gt;"")),'Daily Sale entry '!X433+ROW()/10000000,"")</f>
        <v/>
      </c>
      <c r="L433" s="21">
        <f>IF(K433="","",COUNTIF($K$2:$K$3001,"&lt;"&amp;K433)+1)</f>
        <v/>
      </c>
    </row>
    <row r="434">
      <c r="A434" s="5">
        <f>IF($J434="","",IF($J434&lt;=1500,INDEX('Daily Sale entry '!$X$1:$X$1501,$J434+1),INDEX('Daily Sale entry '!$V$1:$V$1501,$J434-1499)))</f>
        <v/>
      </c>
      <c r="B434">
        <f>IF($J434="","",IF($J434&lt;=1500,INDEX('Daily Sale entry '!$Y$1:$Y$1501,$J434+1)&amp;"","Buyer cheque banked 买家支票存入"&amp;IF(INDEX('Daily Sale entry '!$U$1:$U$1501,$J434-1499)="","", " - "&amp;INDEX('Daily Sale entry '!$U$1:$U$1501,$J434-1499))))</f>
        <v/>
      </c>
      <c r="C434">
        <f>IF($J434="","",IF($J434&lt;=1500,INDEX('Daily Sale entry '!$Z$1:$Z$1501,$J434+1)&amp;"","Cheque deposit 支票存入 (buyer 买家)"))</f>
        <v/>
      </c>
      <c r="D434">
        <f>IF($J434="","",IF($J434&lt;=1500,INDEX('Daily Sale entry '!$AA$1:$AA$1501,$J434+1)&amp;"",INDEX('Daily Sale entry '!$P$1:$P$1501,$J434-1499)&amp;""))</f>
        <v/>
      </c>
      <c r="E434">
        <f>IF($J434="","",IF($J434&lt;=1500,IF(N(INDEX('Daily Sale entry '!$AB$1:$AB$1501,$J434+1))=0,"",INDEX('Daily Sale entry '!$AB$1:$AB$1501,$J434+1)),1))</f>
        <v/>
      </c>
      <c r="F434" s="6">
        <f>IF($J434="","",IF($J434&lt;=1500,N(INDEX('Daily Sale entry '!$AC$1:$AC$1501,$J434+1))-IF(AND('Opening Balance'!$B$15=1,INDEX('Daily Sale entry '!$Z$1:$Z$1501,$J434+1)="Online collection 网上收款",INDEX('Daily Sale entry '!$AA$1:$AA$1501,$J434+1)&lt;&gt;""),N(INDEX('Daily Sale entry '!$AC$1:$AC$1501,$J434+1))-TRUNC(N(INDEX('Daily Sale entry '!$AC$1:$AC$1501,$J434+1))),0),N(INDEX('Daily Sale entry '!$S$1:$S$1501,$J434-1499))-'Opening Balance'!$B$15*(N(INDEX('Daily Sale entry '!$S$1:$S$1501,$J434-1499))-TRUNC(N(INDEX('Daily Sale entry '!$S$1:$S$1501,$J434-1499))))))</f>
        <v/>
      </c>
      <c r="G434" s="6">
        <f>IF($J434="","",IF($J434&lt;=1500,N(INDEX('Daily Sale entry '!$AD$1:$AD$1501,$J434+1)),0))</f>
        <v/>
      </c>
      <c r="H434" s="6">
        <f>IF($J434="","",ROUND('Opening Balance'!$B$4+SUM($F$2:F434)-SUM($G$2:G434),2))</f>
        <v/>
      </c>
      <c r="J434" s="21">
        <f>IFERROR(MATCH(ROW()-1,$L$2:$L$3001,0),"")</f>
        <v/>
      </c>
      <c r="K434" s="34">
        <f>IF(AND('Daily Sale entry '!X434&lt;&gt;"",OR('Daily Sale entry '!AC434&lt;&gt;"",'Daily Sale entry '!AD434&lt;&gt;"")),'Daily Sale entry '!X434+ROW()/10000000,"")</f>
        <v/>
      </c>
      <c r="L434" s="21">
        <f>IF(K434="","",COUNTIF($K$2:$K$3001,"&lt;"&amp;K434)+1)</f>
        <v/>
      </c>
    </row>
    <row r="435">
      <c r="A435" s="5">
        <f>IF($J435="","",IF($J435&lt;=1500,INDEX('Daily Sale entry '!$X$1:$X$1501,$J435+1),INDEX('Daily Sale entry '!$V$1:$V$1501,$J435-1499)))</f>
        <v/>
      </c>
      <c r="B435">
        <f>IF($J435="","",IF($J435&lt;=1500,INDEX('Daily Sale entry '!$Y$1:$Y$1501,$J435+1)&amp;"","Buyer cheque banked 买家支票存入"&amp;IF(INDEX('Daily Sale entry '!$U$1:$U$1501,$J435-1499)="","", " - "&amp;INDEX('Daily Sale entry '!$U$1:$U$1501,$J435-1499))))</f>
        <v/>
      </c>
      <c r="C435">
        <f>IF($J435="","",IF($J435&lt;=1500,INDEX('Daily Sale entry '!$Z$1:$Z$1501,$J435+1)&amp;"","Cheque deposit 支票存入 (buyer 买家)"))</f>
        <v/>
      </c>
      <c r="D435">
        <f>IF($J435="","",IF($J435&lt;=1500,INDEX('Daily Sale entry '!$AA$1:$AA$1501,$J435+1)&amp;"",INDEX('Daily Sale entry '!$P$1:$P$1501,$J435-1499)&amp;""))</f>
        <v/>
      </c>
      <c r="E435">
        <f>IF($J435="","",IF($J435&lt;=1500,IF(N(INDEX('Daily Sale entry '!$AB$1:$AB$1501,$J435+1))=0,"",INDEX('Daily Sale entry '!$AB$1:$AB$1501,$J435+1)),1))</f>
        <v/>
      </c>
      <c r="F435" s="6">
        <f>IF($J435="","",IF($J435&lt;=1500,N(INDEX('Daily Sale entry '!$AC$1:$AC$1501,$J435+1))-IF(AND('Opening Balance'!$B$15=1,INDEX('Daily Sale entry '!$Z$1:$Z$1501,$J435+1)="Online collection 网上收款",INDEX('Daily Sale entry '!$AA$1:$AA$1501,$J435+1)&lt;&gt;""),N(INDEX('Daily Sale entry '!$AC$1:$AC$1501,$J435+1))-TRUNC(N(INDEX('Daily Sale entry '!$AC$1:$AC$1501,$J435+1))),0),N(INDEX('Daily Sale entry '!$S$1:$S$1501,$J435-1499))-'Opening Balance'!$B$15*(N(INDEX('Daily Sale entry '!$S$1:$S$1501,$J435-1499))-TRUNC(N(INDEX('Daily Sale entry '!$S$1:$S$1501,$J435-1499))))))</f>
        <v/>
      </c>
      <c r="G435" s="6">
        <f>IF($J435="","",IF($J435&lt;=1500,N(INDEX('Daily Sale entry '!$AD$1:$AD$1501,$J435+1)),0))</f>
        <v/>
      </c>
      <c r="H435" s="6">
        <f>IF($J435="","",ROUND('Opening Balance'!$B$4+SUM($F$2:F435)-SUM($G$2:G435),2))</f>
        <v/>
      </c>
      <c r="J435" s="21">
        <f>IFERROR(MATCH(ROW()-1,$L$2:$L$3001,0),"")</f>
        <v/>
      </c>
      <c r="K435" s="34">
        <f>IF(AND('Daily Sale entry '!X435&lt;&gt;"",OR('Daily Sale entry '!AC435&lt;&gt;"",'Daily Sale entry '!AD435&lt;&gt;"")),'Daily Sale entry '!X435+ROW()/10000000,"")</f>
        <v/>
      </c>
      <c r="L435" s="21">
        <f>IF(K435="","",COUNTIF($K$2:$K$3001,"&lt;"&amp;K435)+1)</f>
        <v/>
      </c>
    </row>
    <row r="436">
      <c r="A436" s="5">
        <f>IF($J436="","",IF($J436&lt;=1500,INDEX('Daily Sale entry '!$X$1:$X$1501,$J436+1),INDEX('Daily Sale entry '!$V$1:$V$1501,$J436-1499)))</f>
        <v/>
      </c>
      <c r="B436">
        <f>IF($J436="","",IF($J436&lt;=1500,INDEX('Daily Sale entry '!$Y$1:$Y$1501,$J436+1)&amp;"","Buyer cheque banked 买家支票存入"&amp;IF(INDEX('Daily Sale entry '!$U$1:$U$1501,$J436-1499)="","", " - "&amp;INDEX('Daily Sale entry '!$U$1:$U$1501,$J436-1499))))</f>
        <v/>
      </c>
      <c r="C436">
        <f>IF($J436="","",IF($J436&lt;=1500,INDEX('Daily Sale entry '!$Z$1:$Z$1501,$J436+1)&amp;"","Cheque deposit 支票存入 (buyer 买家)"))</f>
        <v/>
      </c>
      <c r="D436">
        <f>IF($J436="","",IF($J436&lt;=1500,INDEX('Daily Sale entry '!$AA$1:$AA$1501,$J436+1)&amp;"",INDEX('Daily Sale entry '!$P$1:$P$1501,$J436-1499)&amp;""))</f>
        <v/>
      </c>
      <c r="E436">
        <f>IF($J436="","",IF($J436&lt;=1500,IF(N(INDEX('Daily Sale entry '!$AB$1:$AB$1501,$J436+1))=0,"",INDEX('Daily Sale entry '!$AB$1:$AB$1501,$J436+1)),1))</f>
        <v/>
      </c>
      <c r="F436" s="6">
        <f>IF($J436="","",IF($J436&lt;=1500,N(INDEX('Daily Sale entry '!$AC$1:$AC$1501,$J436+1))-IF(AND('Opening Balance'!$B$15=1,INDEX('Daily Sale entry '!$Z$1:$Z$1501,$J436+1)="Online collection 网上收款",INDEX('Daily Sale entry '!$AA$1:$AA$1501,$J436+1)&lt;&gt;""),N(INDEX('Daily Sale entry '!$AC$1:$AC$1501,$J436+1))-TRUNC(N(INDEX('Daily Sale entry '!$AC$1:$AC$1501,$J436+1))),0),N(INDEX('Daily Sale entry '!$S$1:$S$1501,$J436-1499))-'Opening Balance'!$B$15*(N(INDEX('Daily Sale entry '!$S$1:$S$1501,$J436-1499))-TRUNC(N(INDEX('Daily Sale entry '!$S$1:$S$1501,$J436-1499))))))</f>
        <v/>
      </c>
      <c r="G436" s="6">
        <f>IF($J436="","",IF($J436&lt;=1500,N(INDEX('Daily Sale entry '!$AD$1:$AD$1501,$J436+1)),0))</f>
        <v/>
      </c>
      <c r="H436" s="6">
        <f>IF($J436="","",ROUND('Opening Balance'!$B$4+SUM($F$2:F436)-SUM($G$2:G436),2))</f>
        <v/>
      </c>
      <c r="J436" s="21">
        <f>IFERROR(MATCH(ROW()-1,$L$2:$L$3001,0),"")</f>
        <v/>
      </c>
      <c r="K436" s="34">
        <f>IF(AND('Daily Sale entry '!X436&lt;&gt;"",OR('Daily Sale entry '!AC436&lt;&gt;"",'Daily Sale entry '!AD436&lt;&gt;"")),'Daily Sale entry '!X436+ROW()/10000000,"")</f>
        <v/>
      </c>
      <c r="L436" s="21">
        <f>IF(K436="","",COUNTIF($K$2:$K$3001,"&lt;"&amp;K436)+1)</f>
        <v/>
      </c>
    </row>
    <row r="437">
      <c r="A437" s="5">
        <f>IF($J437="","",IF($J437&lt;=1500,INDEX('Daily Sale entry '!$X$1:$X$1501,$J437+1),INDEX('Daily Sale entry '!$V$1:$V$1501,$J437-1499)))</f>
        <v/>
      </c>
      <c r="B437">
        <f>IF($J437="","",IF($J437&lt;=1500,INDEX('Daily Sale entry '!$Y$1:$Y$1501,$J437+1)&amp;"","Buyer cheque banked 买家支票存入"&amp;IF(INDEX('Daily Sale entry '!$U$1:$U$1501,$J437-1499)="","", " - "&amp;INDEX('Daily Sale entry '!$U$1:$U$1501,$J437-1499))))</f>
        <v/>
      </c>
      <c r="C437">
        <f>IF($J437="","",IF($J437&lt;=1500,INDEX('Daily Sale entry '!$Z$1:$Z$1501,$J437+1)&amp;"","Cheque deposit 支票存入 (buyer 买家)"))</f>
        <v/>
      </c>
      <c r="D437">
        <f>IF($J437="","",IF($J437&lt;=1500,INDEX('Daily Sale entry '!$AA$1:$AA$1501,$J437+1)&amp;"",INDEX('Daily Sale entry '!$P$1:$P$1501,$J437-1499)&amp;""))</f>
        <v/>
      </c>
      <c r="E437">
        <f>IF($J437="","",IF($J437&lt;=1500,IF(N(INDEX('Daily Sale entry '!$AB$1:$AB$1501,$J437+1))=0,"",INDEX('Daily Sale entry '!$AB$1:$AB$1501,$J437+1)),1))</f>
        <v/>
      </c>
      <c r="F437" s="6">
        <f>IF($J437="","",IF($J437&lt;=1500,N(INDEX('Daily Sale entry '!$AC$1:$AC$1501,$J437+1))-IF(AND('Opening Balance'!$B$15=1,INDEX('Daily Sale entry '!$Z$1:$Z$1501,$J437+1)="Online collection 网上收款",INDEX('Daily Sale entry '!$AA$1:$AA$1501,$J437+1)&lt;&gt;""),N(INDEX('Daily Sale entry '!$AC$1:$AC$1501,$J437+1))-TRUNC(N(INDEX('Daily Sale entry '!$AC$1:$AC$1501,$J437+1))),0),N(INDEX('Daily Sale entry '!$S$1:$S$1501,$J437-1499))-'Opening Balance'!$B$15*(N(INDEX('Daily Sale entry '!$S$1:$S$1501,$J437-1499))-TRUNC(N(INDEX('Daily Sale entry '!$S$1:$S$1501,$J437-1499))))))</f>
        <v/>
      </c>
      <c r="G437" s="6">
        <f>IF($J437="","",IF($J437&lt;=1500,N(INDEX('Daily Sale entry '!$AD$1:$AD$1501,$J437+1)),0))</f>
        <v/>
      </c>
      <c r="H437" s="6">
        <f>IF($J437="","",ROUND('Opening Balance'!$B$4+SUM($F$2:F437)-SUM($G$2:G437),2))</f>
        <v/>
      </c>
      <c r="J437" s="21">
        <f>IFERROR(MATCH(ROW()-1,$L$2:$L$3001,0),"")</f>
        <v/>
      </c>
      <c r="K437" s="34">
        <f>IF(AND('Daily Sale entry '!X437&lt;&gt;"",OR('Daily Sale entry '!AC437&lt;&gt;"",'Daily Sale entry '!AD437&lt;&gt;"")),'Daily Sale entry '!X437+ROW()/10000000,"")</f>
        <v/>
      </c>
      <c r="L437" s="21">
        <f>IF(K437="","",COUNTIF($K$2:$K$3001,"&lt;"&amp;K437)+1)</f>
        <v/>
      </c>
    </row>
    <row r="438">
      <c r="A438" s="5">
        <f>IF($J438="","",IF($J438&lt;=1500,INDEX('Daily Sale entry '!$X$1:$X$1501,$J438+1),INDEX('Daily Sale entry '!$V$1:$V$1501,$J438-1499)))</f>
        <v/>
      </c>
      <c r="B438">
        <f>IF($J438="","",IF($J438&lt;=1500,INDEX('Daily Sale entry '!$Y$1:$Y$1501,$J438+1)&amp;"","Buyer cheque banked 买家支票存入"&amp;IF(INDEX('Daily Sale entry '!$U$1:$U$1501,$J438-1499)="","", " - "&amp;INDEX('Daily Sale entry '!$U$1:$U$1501,$J438-1499))))</f>
        <v/>
      </c>
      <c r="C438">
        <f>IF($J438="","",IF($J438&lt;=1500,INDEX('Daily Sale entry '!$Z$1:$Z$1501,$J438+1)&amp;"","Cheque deposit 支票存入 (buyer 买家)"))</f>
        <v/>
      </c>
      <c r="D438">
        <f>IF($J438="","",IF($J438&lt;=1500,INDEX('Daily Sale entry '!$AA$1:$AA$1501,$J438+1)&amp;"",INDEX('Daily Sale entry '!$P$1:$P$1501,$J438-1499)&amp;""))</f>
        <v/>
      </c>
      <c r="E438">
        <f>IF($J438="","",IF($J438&lt;=1500,IF(N(INDEX('Daily Sale entry '!$AB$1:$AB$1501,$J438+1))=0,"",INDEX('Daily Sale entry '!$AB$1:$AB$1501,$J438+1)),1))</f>
        <v/>
      </c>
      <c r="F438" s="6">
        <f>IF($J438="","",IF($J438&lt;=1500,N(INDEX('Daily Sale entry '!$AC$1:$AC$1501,$J438+1))-IF(AND('Opening Balance'!$B$15=1,INDEX('Daily Sale entry '!$Z$1:$Z$1501,$J438+1)="Online collection 网上收款",INDEX('Daily Sale entry '!$AA$1:$AA$1501,$J438+1)&lt;&gt;""),N(INDEX('Daily Sale entry '!$AC$1:$AC$1501,$J438+1))-TRUNC(N(INDEX('Daily Sale entry '!$AC$1:$AC$1501,$J438+1))),0),N(INDEX('Daily Sale entry '!$S$1:$S$1501,$J438-1499))-'Opening Balance'!$B$15*(N(INDEX('Daily Sale entry '!$S$1:$S$1501,$J438-1499))-TRUNC(N(INDEX('Daily Sale entry '!$S$1:$S$1501,$J438-1499))))))</f>
        <v/>
      </c>
      <c r="G438" s="6">
        <f>IF($J438="","",IF($J438&lt;=1500,N(INDEX('Daily Sale entry '!$AD$1:$AD$1501,$J438+1)),0))</f>
        <v/>
      </c>
      <c r="H438" s="6">
        <f>IF($J438="","",ROUND('Opening Balance'!$B$4+SUM($F$2:F438)-SUM($G$2:G438),2))</f>
        <v/>
      </c>
      <c r="J438" s="21">
        <f>IFERROR(MATCH(ROW()-1,$L$2:$L$3001,0),"")</f>
        <v/>
      </c>
      <c r="K438" s="34">
        <f>IF(AND('Daily Sale entry '!X438&lt;&gt;"",OR('Daily Sale entry '!AC438&lt;&gt;"",'Daily Sale entry '!AD438&lt;&gt;"")),'Daily Sale entry '!X438+ROW()/10000000,"")</f>
        <v/>
      </c>
      <c r="L438" s="21">
        <f>IF(K438="","",COUNTIF($K$2:$K$3001,"&lt;"&amp;K438)+1)</f>
        <v/>
      </c>
    </row>
    <row r="439">
      <c r="A439" s="5">
        <f>IF($J439="","",IF($J439&lt;=1500,INDEX('Daily Sale entry '!$X$1:$X$1501,$J439+1),INDEX('Daily Sale entry '!$V$1:$V$1501,$J439-1499)))</f>
        <v/>
      </c>
      <c r="B439">
        <f>IF($J439="","",IF($J439&lt;=1500,INDEX('Daily Sale entry '!$Y$1:$Y$1501,$J439+1)&amp;"","Buyer cheque banked 买家支票存入"&amp;IF(INDEX('Daily Sale entry '!$U$1:$U$1501,$J439-1499)="","", " - "&amp;INDEX('Daily Sale entry '!$U$1:$U$1501,$J439-1499))))</f>
        <v/>
      </c>
      <c r="C439">
        <f>IF($J439="","",IF($J439&lt;=1500,INDEX('Daily Sale entry '!$Z$1:$Z$1501,$J439+1)&amp;"","Cheque deposit 支票存入 (buyer 买家)"))</f>
        <v/>
      </c>
      <c r="D439">
        <f>IF($J439="","",IF($J439&lt;=1500,INDEX('Daily Sale entry '!$AA$1:$AA$1501,$J439+1)&amp;"",INDEX('Daily Sale entry '!$P$1:$P$1501,$J439-1499)&amp;""))</f>
        <v/>
      </c>
      <c r="E439">
        <f>IF($J439="","",IF($J439&lt;=1500,IF(N(INDEX('Daily Sale entry '!$AB$1:$AB$1501,$J439+1))=0,"",INDEX('Daily Sale entry '!$AB$1:$AB$1501,$J439+1)),1))</f>
        <v/>
      </c>
      <c r="F439" s="6">
        <f>IF($J439="","",IF($J439&lt;=1500,N(INDEX('Daily Sale entry '!$AC$1:$AC$1501,$J439+1))-IF(AND('Opening Balance'!$B$15=1,INDEX('Daily Sale entry '!$Z$1:$Z$1501,$J439+1)="Online collection 网上收款",INDEX('Daily Sale entry '!$AA$1:$AA$1501,$J439+1)&lt;&gt;""),N(INDEX('Daily Sale entry '!$AC$1:$AC$1501,$J439+1))-TRUNC(N(INDEX('Daily Sale entry '!$AC$1:$AC$1501,$J439+1))),0),N(INDEX('Daily Sale entry '!$S$1:$S$1501,$J439-1499))-'Opening Balance'!$B$15*(N(INDEX('Daily Sale entry '!$S$1:$S$1501,$J439-1499))-TRUNC(N(INDEX('Daily Sale entry '!$S$1:$S$1501,$J439-1499))))))</f>
        <v/>
      </c>
      <c r="G439" s="6">
        <f>IF($J439="","",IF($J439&lt;=1500,N(INDEX('Daily Sale entry '!$AD$1:$AD$1501,$J439+1)),0))</f>
        <v/>
      </c>
      <c r="H439" s="6">
        <f>IF($J439="","",ROUND('Opening Balance'!$B$4+SUM($F$2:F439)-SUM($G$2:G439),2))</f>
        <v/>
      </c>
      <c r="J439" s="21">
        <f>IFERROR(MATCH(ROW()-1,$L$2:$L$3001,0),"")</f>
        <v/>
      </c>
      <c r="K439" s="34">
        <f>IF(AND('Daily Sale entry '!X439&lt;&gt;"",OR('Daily Sale entry '!AC439&lt;&gt;"",'Daily Sale entry '!AD439&lt;&gt;"")),'Daily Sale entry '!X439+ROW()/10000000,"")</f>
        <v/>
      </c>
      <c r="L439" s="21">
        <f>IF(K439="","",COUNTIF($K$2:$K$3001,"&lt;"&amp;K439)+1)</f>
        <v/>
      </c>
    </row>
    <row r="440">
      <c r="A440" s="5">
        <f>IF($J440="","",IF($J440&lt;=1500,INDEX('Daily Sale entry '!$X$1:$X$1501,$J440+1),INDEX('Daily Sale entry '!$V$1:$V$1501,$J440-1499)))</f>
        <v/>
      </c>
      <c r="B440">
        <f>IF($J440="","",IF($J440&lt;=1500,INDEX('Daily Sale entry '!$Y$1:$Y$1501,$J440+1)&amp;"","Buyer cheque banked 买家支票存入"&amp;IF(INDEX('Daily Sale entry '!$U$1:$U$1501,$J440-1499)="","", " - "&amp;INDEX('Daily Sale entry '!$U$1:$U$1501,$J440-1499))))</f>
        <v/>
      </c>
      <c r="C440">
        <f>IF($J440="","",IF($J440&lt;=1500,INDEX('Daily Sale entry '!$Z$1:$Z$1501,$J440+1)&amp;"","Cheque deposit 支票存入 (buyer 买家)"))</f>
        <v/>
      </c>
      <c r="D440">
        <f>IF($J440="","",IF($J440&lt;=1500,INDEX('Daily Sale entry '!$AA$1:$AA$1501,$J440+1)&amp;"",INDEX('Daily Sale entry '!$P$1:$P$1501,$J440-1499)&amp;""))</f>
        <v/>
      </c>
      <c r="E440">
        <f>IF($J440="","",IF($J440&lt;=1500,IF(N(INDEX('Daily Sale entry '!$AB$1:$AB$1501,$J440+1))=0,"",INDEX('Daily Sale entry '!$AB$1:$AB$1501,$J440+1)),1))</f>
        <v/>
      </c>
      <c r="F440" s="6">
        <f>IF($J440="","",IF($J440&lt;=1500,N(INDEX('Daily Sale entry '!$AC$1:$AC$1501,$J440+1))-IF(AND('Opening Balance'!$B$15=1,INDEX('Daily Sale entry '!$Z$1:$Z$1501,$J440+1)="Online collection 网上收款",INDEX('Daily Sale entry '!$AA$1:$AA$1501,$J440+1)&lt;&gt;""),N(INDEX('Daily Sale entry '!$AC$1:$AC$1501,$J440+1))-TRUNC(N(INDEX('Daily Sale entry '!$AC$1:$AC$1501,$J440+1))),0),N(INDEX('Daily Sale entry '!$S$1:$S$1501,$J440-1499))-'Opening Balance'!$B$15*(N(INDEX('Daily Sale entry '!$S$1:$S$1501,$J440-1499))-TRUNC(N(INDEX('Daily Sale entry '!$S$1:$S$1501,$J440-1499))))))</f>
        <v/>
      </c>
      <c r="G440" s="6">
        <f>IF($J440="","",IF($J440&lt;=1500,N(INDEX('Daily Sale entry '!$AD$1:$AD$1501,$J440+1)),0))</f>
        <v/>
      </c>
      <c r="H440" s="6">
        <f>IF($J440="","",ROUND('Opening Balance'!$B$4+SUM($F$2:F440)-SUM($G$2:G440),2))</f>
        <v/>
      </c>
      <c r="J440" s="21">
        <f>IFERROR(MATCH(ROW()-1,$L$2:$L$3001,0),"")</f>
        <v/>
      </c>
      <c r="K440" s="34">
        <f>IF(AND('Daily Sale entry '!X440&lt;&gt;"",OR('Daily Sale entry '!AC440&lt;&gt;"",'Daily Sale entry '!AD440&lt;&gt;"")),'Daily Sale entry '!X440+ROW()/10000000,"")</f>
        <v/>
      </c>
      <c r="L440" s="21">
        <f>IF(K440="","",COUNTIF($K$2:$K$3001,"&lt;"&amp;K440)+1)</f>
        <v/>
      </c>
    </row>
    <row r="441">
      <c r="A441" s="5">
        <f>IF($J441="","",IF($J441&lt;=1500,INDEX('Daily Sale entry '!$X$1:$X$1501,$J441+1),INDEX('Daily Sale entry '!$V$1:$V$1501,$J441-1499)))</f>
        <v/>
      </c>
      <c r="B441">
        <f>IF($J441="","",IF($J441&lt;=1500,INDEX('Daily Sale entry '!$Y$1:$Y$1501,$J441+1)&amp;"","Buyer cheque banked 买家支票存入"&amp;IF(INDEX('Daily Sale entry '!$U$1:$U$1501,$J441-1499)="","", " - "&amp;INDEX('Daily Sale entry '!$U$1:$U$1501,$J441-1499))))</f>
        <v/>
      </c>
      <c r="C441">
        <f>IF($J441="","",IF($J441&lt;=1500,INDEX('Daily Sale entry '!$Z$1:$Z$1501,$J441+1)&amp;"","Cheque deposit 支票存入 (buyer 买家)"))</f>
        <v/>
      </c>
      <c r="D441">
        <f>IF($J441="","",IF($J441&lt;=1500,INDEX('Daily Sale entry '!$AA$1:$AA$1501,$J441+1)&amp;"",INDEX('Daily Sale entry '!$P$1:$P$1501,$J441-1499)&amp;""))</f>
        <v/>
      </c>
      <c r="E441">
        <f>IF($J441="","",IF($J441&lt;=1500,IF(N(INDEX('Daily Sale entry '!$AB$1:$AB$1501,$J441+1))=0,"",INDEX('Daily Sale entry '!$AB$1:$AB$1501,$J441+1)),1))</f>
        <v/>
      </c>
      <c r="F441" s="6">
        <f>IF($J441="","",IF($J441&lt;=1500,N(INDEX('Daily Sale entry '!$AC$1:$AC$1501,$J441+1))-IF(AND('Opening Balance'!$B$15=1,INDEX('Daily Sale entry '!$Z$1:$Z$1501,$J441+1)="Online collection 网上收款",INDEX('Daily Sale entry '!$AA$1:$AA$1501,$J441+1)&lt;&gt;""),N(INDEX('Daily Sale entry '!$AC$1:$AC$1501,$J441+1))-TRUNC(N(INDEX('Daily Sale entry '!$AC$1:$AC$1501,$J441+1))),0),N(INDEX('Daily Sale entry '!$S$1:$S$1501,$J441-1499))-'Opening Balance'!$B$15*(N(INDEX('Daily Sale entry '!$S$1:$S$1501,$J441-1499))-TRUNC(N(INDEX('Daily Sale entry '!$S$1:$S$1501,$J441-1499))))))</f>
        <v/>
      </c>
      <c r="G441" s="6">
        <f>IF($J441="","",IF($J441&lt;=1500,N(INDEX('Daily Sale entry '!$AD$1:$AD$1501,$J441+1)),0))</f>
        <v/>
      </c>
      <c r="H441" s="6">
        <f>IF($J441="","",ROUND('Opening Balance'!$B$4+SUM($F$2:F441)-SUM($G$2:G441),2))</f>
        <v/>
      </c>
      <c r="J441" s="21">
        <f>IFERROR(MATCH(ROW()-1,$L$2:$L$3001,0),"")</f>
        <v/>
      </c>
      <c r="K441" s="34">
        <f>IF(AND('Daily Sale entry '!X441&lt;&gt;"",OR('Daily Sale entry '!AC441&lt;&gt;"",'Daily Sale entry '!AD441&lt;&gt;"")),'Daily Sale entry '!X441+ROW()/10000000,"")</f>
        <v/>
      </c>
      <c r="L441" s="21">
        <f>IF(K441="","",COUNTIF($K$2:$K$3001,"&lt;"&amp;K441)+1)</f>
        <v/>
      </c>
    </row>
    <row r="442">
      <c r="A442" s="5">
        <f>IF($J442="","",IF($J442&lt;=1500,INDEX('Daily Sale entry '!$X$1:$X$1501,$J442+1),INDEX('Daily Sale entry '!$V$1:$V$1501,$J442-1499)))</f>
        <v/>
      </c>
      <c r="B442">
        <f>IF($J442="","",IF($J442&lt;=1500,INDEX('Daily Sale entry '!$Y$1:$Y$1501,$J442+1)&amp;"","Buyer cheque banked 买家支票存入"&amp;IF(INDEX('Daily Sale entry '!$U$1:$U$1501,$J442-1499)="","", " - "&amp;INDEX('Daily Sale entry '!$U$1:$U$1501,$J442-1499))))</f>
        <v/>
      </c>
      <c r="C442">
        <f>IF($J442="","",IF($J442&lt;=1500,INDEX('Daily Sale entry '!$Z$1:$Z$1501,$J442+1)&amp;"","Cheque deposit 支票存入 (buyer 买家)"))</f>
        <v/>
      </c>
      <c r="D442">
        <f>IF($J442="","",IF($J442&lt;=1500,INDEX('Daily Sale entry '!$AA$1:$AA$1501,$J442+1)&amp;"",INDEX('Daily Sale entry '!$P$1:$P$1501,$J442-1499)&amp;""))</f>
        <v/>
      </c>
      <c r="E442">
        <f>IF($J442="","",IF($J442&lt;=1500,IF(N(INDEX('Daily Sale entry '!$AB$1:$AB$1501,$J442+1))=0,"",INDEX('Daily Sale entry '!$AB$1:$AB$1501,$J442+1)),1))</f>
        <v/>
      </c>
      <c r="F442" s="6">
        <f>IF($J442="","",IF($J442&lt;=1500,N(INDEX('Daily Sale entry '!$AC$1:$AC$1501,$J442+1))-IF(AND('Opening Balance'!$B$15=1,INDEX('Daily Sale entry '!$Z$1:$Z$1501,$J442+1)="Online collection 网上收款",INDEX('Daily Sale entry '!$AA$1:$AA$1501,$J442+1)&lt;&gt;""),N(INDEX('Daily Sale entry '!$AC$1:$AC$1501,$J442+1))-TRUNC(N(INDEX('Daily Sale entry '!$AC$1:$AC$1501,$J442+1))),0),N(INDEX('Daily Sale entry '!$S$1:$S$1501,$J442-1499))-'Opening Balance'!$B$15*(N(INDEX('Daily Sale entry '!$S$1:$S$1501,$J442-1499))-TRUNC(N(INDEX('Daily Sale entry '!$S$1:$S$1501,$J442-1499))))))</f>
        <v/>
      </c>
      <c r="G442" s="6">
        <f>IF($J442="","",IF($J442&lt;=1500,N(INDEX('Daily Sale entry '!$AD$1:$AD$1501,$J442+1)),0))</f>
        <v/>
      </c>
      <c r="H442" s="6">
        <f>IF($J442="","",ROUND('Opening Balance'!$B$4+SUM($F$2:F442)-SUM($G$2:G442),2))</f>
        <v/>
      </c>
      <c r="J442" s="21">
        <f>IFERROR(MATCH(ROW()-1,$L$2:$L$3001,0),"")</f>
        <v/>
      </c>
      <c r="K442" s="34">
        <f>IF(AND('Daily Sale entry '!X442&lt;&gt;"",OR('Daily Sale entry '!AC442&lt;&gt;"",'Daily Sale entry '!AD442&lt;&gt;"")),'Daily Sale entry '!X442+ROW()/10000000,"")</f>
        <v/>
      </c>
      <c r="L442" s="21">
        <f>IF(K442="","",COUNTIF($K$2:$K$3001,"&lt;"&amp;K442)+1)</f>
        <v/>
      </c>
    </row>
    <row r="443">
      <c r="A443" s="5">
        <f>IF($J443="","",IF($J443&lt;=1500,INDEX('Daily Sale entry '!$X$1:$X$1501,$J443+1),INDEX('Daily Sale entry '!$V$1:$V$1501,$J443-1499)))</f>
        <v/>
      </c>
      <c r="B443">
        <f>IF($J443="","",IF($J443&lt;=1500,INDEX('Daily Sale entry '!$Y$1:$Y$1501,$J443+1)&amp;"","Buyer cheque banked 买家支票存入"&amp;IF(INDEX('Daily Sale entry '!$U$1:$U$1501,$J443-1499)="","", " - "&amp;INDEX('Daily Sale entry '!$U$1:$U$1501,$J443-1499))))</f>
        <v/>
      </c>
      <c r="C443">
        <f>IF($J443="","",IF($J443&lt;=1500,INDEX('Daily Sale entry '!$Z$1:$Z$1501,$J443+1)&amp;"","Cheque deposit 支票存入 (buyer 买家)"))</f>
        <v/>
      </c>
      <c r="D443">
        <f>IF($J443="","",IF($J443&lt;=1500,INDEX('Daily Sale entry '!$AA$1:$AA$1501,$J443+1)&amp;"",INDEX('Daily Sale entry '!$P$1:$P$1501,$J443-1499)&amp;""))</f>
        <v/>
      </c>
      <c r="E443">
        <f>IF($J443="","",IF($J443&lt;=1500,IF(N(INDEX('Daily Sale entry '!$AB$1:$AB$1501,$J443+1))=0,"",INDEX('Daily Sale entry '!$AB$1:$AB$1501,$J443+1)),1))</f>
        <v/>
      </c>
      <c r="F443" s="6">
        <f>IF($J443="","",IF($J443&lt;=1500,N(INDEX('Daily Sale entry '!$AC$1:$AC$1501,$J443+1))-IF(AND('Opening Balance'!$B$15=1,INDEX('Daily Sale entry '!$Z$1:$Z$1501,$J443+1)="Online collection 网上收款",INDEX('Daily Sale entry '!$AA$1:$AA$1501,$J443+1)&lt;&gt;""),N(INDEX('Daily Sale entry '!$AC$1:$AC$1501,$J443+1))-TRUNC(N(INDEX('Daily Sale entry '!$AC$1:$AC$1501,$J443+1))),0),N(INDEX('Daily Sale entry '!$S$1:$S$1501,$J443-1499))-'Opening Balance'!$B$15*(N(INDEX('Daily Sale entry '!$S$1:$S$1501,$J443-1499))-TRUNC(N(INDEX('Daily Sale entry '!$S$1:$S$1501,$J443-1499))))))</f>
        <v/>
      </c>
      <c r="G443" s="6">
        <f>IF($J443="","",IF($J443&lt;=1500,N(INDEX('Daily Sale entry '!$AD$1:$AD$1501,$J443+1)),0))</f>
        <v/>
      </c>
      <c r="H443" s="6">
        <f>IF($J443="","",ROUND('Opening Balance'!$B$4+SUM($F$2:F443)-SUM($G$2:G443),2))</f>
        <v/>
      </c>
      <c r="J443" s="21">
        <f>IFERROR(MATCH(ROW()-1,$L$2:$L$3001,0),"")</f>
        <v/>
      </c>
      <c r="K443" s="34">
        <f>IF(AND('Daily Sale entry '!X443&lt;&gt;"",OR('Daily Sale entry '!AC443&lt;&gt;"",'Daily Sale entry '!AD443&lt;&gt;"")),'Daily Sale entry '!X443+ROW()/10000000,"")</f>
        <v/>
      </c>
      <c r="L443" s="21">
        <f>IF(K443="","",COUNTIF($K$2:$K$3001,"&lt;"&amp;K443)+1)</f>
        <v/>
      </c>
    </row>
    <row r="444">
      <c r="A444" s="5">
        <f>IF($J444="","",IF($J444&lt;=1500,INDEX('Daily Sale entry '!$X$1:$X$1501,$J444+1),INDEX('Daily Sale entry '!$V$1:$V$1501,$J444-1499)))</f>
        <v/>
      </c>
      <c r="B444">
        <f>IF($J444="","",IF($J444&lt;=1500,INDEX('Daily Sale entry '!$Y$1:$Y$1501,$J444+1)&amp;"","Buyer cheque banked 买家支票存入"&amp;IF(INDEX('Daily Sale entry '!$U$1:$U$1501,$J444-1499)="","", " - "&amp;INDEX('Daily Sale entry '!$U$1:$U$1501,$J444-1499))))</f>
        <v/>
      </c>
      <c r="C444">
        <f>IF($J444="","",IF($J444&lt;=1500,INDEX('Daily Sale entry '!$Z$1:$Z$1501,$J444+1)&amp;"","Cheque deposit 支票存入 (buyer 买家)"))</f>
        <v/>
      </c>
      <c r="D444">
        <f>IF($J444="","",IF($J444&lt;=1500,INDEX('Daily Sale entry '!$AA$1:$AA$1501,$J444+1)&amp;"",INDEX('Daily Sale entry '!$P$1:$P$1501,$J444-1499)&amp;""))</f>
        <v/>
      </c>
      <c r="E444">
        <f>IF($J444="","",IF($J444&lt;=1500,IF(N(INDEX('Daily Sale entry '!$AB$1:$AB$1501,$J444+1))=0,"",INDEX('Daily Sale entry '!$AB$1:$AB$1501,$J444+1)),1))</f>
        <v/>
      </c>
      <c r="F444" s="6">
        <f>IF($J444="","",IF($J444&lt;=1500,N(INDEX('Daily Sale entry '!$AC$1:$AC$1501,$J444+1))-IF(AND('Opening Balance'!$B$15=1,INDEX('Daily Sale entry '!$Z$1:$Z$1501,$J444+1)="Online collection 网上收款",INDEX('Daily Sale entry '!$AA$1:$AA$1501,$J444+1)&lt;&gt;""),N(INDEX('Daily Sale entry '!$AC$1:$AC$1501,$J444+1))-TRUNC(N(INDEX('Daily Sale entry '!$AC$1:$AC$1501,$J444+1))),0),N(INDEX('Daily Sale entry '!$S$1:$S$1501,$J444-1499))-'Opening Balance'!$B$15*(N(INDEX('Daily Sale entry '!$S$1:$S$1501,$J444-1499))-TRUNC(N(INDEX('Daily Sale entry '!$S$1:$S$1501,$J444-1499))))))</f>
        <v/>
      </c>
      <c r="G444" s="6">
        <f>IF($J444="","",IF($J444&lt;=1500,N(INDEX('Daily Sale entry '!$AD$1:$AD$1501,$J444+1)),0))</f>
        <v/>
      </c>
      <c r="H444" s="6">
        <f>IF($J444="","",ROUND('Opening Balance'!$B$4+SUM($F$2:F444)-SUM($G$2:G444),2))</f>
        <v/>
      </c>
      <c r="J444" s="21">
        <f>IFERROR(MATCH(ROW()-1,$L$2:$L$3001,0),"")</f>
        <v/>
      </c>
      <c r="K444" s="34">
        <f>IF(AND('Daily Sale entry '!X444&lt;&gt;"",OR('Daily Sale entry '!AC444&lt;&gt;"",'Daily Sale entry '!AD444&lt;&gt;"")),'Daily Sale entry '!X444+ROW()/10000000,"")</f>
        <v/>
      </c>
      <c r="L444" s="21">
        <f>IF(K444="","",COUNTIF($K$2:$K$3001,"&lt;"&amp;K444)+1)</f>
        <v/>
      </c>
    </row>
    <row r="445">
      <c r="A445" s="5">
        <f>IF($J445="","",IF($J445&lt;=1500,INDEX('Daily Sale entry '!$X$1:$X$1501,$J445+1),INDEX('Daily Sale entry '!$V$1:$V$1501,$J445-1499)))</f>
        <v/>
      </c>
      <c r="B445">
        <f>IF($J445="","",IF($J445&lt;=1500,INDEX('Daily Sale entry '!$Y$1:$Y$1501,$J445+1)&amp;"","Buyer cheque banked 买家支票存入"&amp;IF(INDEX('Daily Sale entry '!$U$1:$U$1501,$J445-1499)="","", " - "&amp;INDEX('Daily Sale entry '!$U$1:$U$1501,$J445-1499))))</f>
        <v/>
      </c>
      <c r="C445">
        <f>IF($J445="","",IF($J445&lt;=1500,INDEX('Daily Sale entry '!$Z$1:$Z$1501,$J445+1)&amp;"","Cheque deposit 支票存入 (buyer 买家)"))</f>
        <v/>
      </c>
      <c r="D445">
        <f>IF($J445="","",IF($J445&lt;=1500,INDEX('Daily Sale entry '!$AA$1:$AA$1501,$J445+1)&amp;"",INDEX('Daily Sale entry '!$P$1:$P$1501,$J445-1499)&amp;""))</f>
        <v/>
      </c>
      <c r="E445">
        <f>IF($J445="","",IF($J445&lt;=1500,IF(N(INDEX('Daily Sale entry '!$AB$1:$AB$1501,$J445+1))=0,"",INDEX('Daily Sale entry '!$AB$1:$AB$1501,$J445+1)),1))</f>
        <v/>
      </c>
      <c r="F445" s="6">
        <f>IF($J445="","",IF($J445&lt;=1500,N(INDEX('Daily Sale entry '!$AC$1:$AC$1501,$J445+1))-IF(AND('Opening Balance'!$B$15=1,INDEX('Daily Sale entry '!$Z$1:$Z$1501,$J445+1)="Online collection 网上收款",INDEX('Daily Sale entry '!$AA$1:$AA$1501,$J445+1)&lt;&gt;""),N(INDEX('Daily Sale entry '!$AC$1:$AC$1501,$J445+1))-TRUNC(N(INDEX('Daily Sale entry '!$AC$1:$AC$1501,$J445+1))),0),N(INDEX('Daily Sale entry '!$S$1:$S$1501,$J445-1499))-'Opening Balance'!$B$15*(N(INDEX('Daily Sale entry '!$S$1:$S$1501,$J445-1499))-TRUNC(N(INDEX('Daily Sale entry '!$S$1:$S$1501,$J445-1499))))))</f>
        <v/>
      </c>
      <c r="G445" s="6">
        <f>IF($J445="","",IF($J445&lt;=1500,N(INDEX('Daily Sale entry '!$AD$1:$AD$1501,$J445+1)),0))</f>
        <v/>
      </c>
      <c r="H445" s="6">
        <f>IF($J445="","",ROUND('Opening Balance'!$B$4+SUM($F$2:F445)-SUM($G$2:G445),2))</f>
        <v/>
      </c>
      <c r="J445" s="21">
        <f>IFERROR(MATCH(ROW()-1,$L$2:$L$3001,0),"")</f>
        <v/>
      </c>
      <c r="K445" s="34">
        <f>IF(AND('Daily Sale entry '!X445&lt;&gt;"",OR('Daily Sale entry '!AC445&lt;&gt;"",'Daily Sale entry '!AD445&lt;&gt;"")),'Daily Sale entry '!X445+ROW()/10000000,"")</f>
        <v/>
      </c>
      <c r="L445" s="21">
        <f>IF(K445="","",COUNTIF($K$2:$K$3001,"&lt;"&amp;K445)+1)</f>
        <v/>
      </c>
    </row>
    <row r="446">
      <c r="A446" s="5">
        <f>IF($J446="","",IF($J446&lt;=1500,INDEX('Daily Sale entry '!$X$1:$X$1501,$J446+1),INDEX('Daily Sale entry '!$V$1:$V$1501,$J446-1499)))</f>
        <v/>
      </c>
      <c r="B446">
        <f>IF($J446="","",IF($J446&lt;=1500,INDEX('Daily Sale entry '!$Y$1:$Y$1501,$J446+1)&amp;"","Buyer cheque banked 买家支票存入"&amp;IF(INDEX('Daily Sale entry '!$U$1:$U$1501,$J446-1499)="","", " - "&amp;INDEX('Daily Sale entry '!$U$1:$U$1501,$J446-1499))))</f>
        <v/>
      </c>
      <c r="C446">
        <f>IF($J446="","",IF($J446&lt;=1500,INDEX('Daily Sale entry '!$Z$1:$Z$1501,$J446+1)&amp;"","Cheque deposit 支票存入 (buyer 买家)"))</f>
        <v/>
      </c>
      <c r="D446">
        <f>IF($J446="","",IF($J446&lt;=1500,INDEX('Daily Sale entry '!$AA$1:$AA$1501,$J446+1)&amp;"",INDEX('Daily Sale entry '!$P$1:$P$1501,$J446-1499)&amp;""))</f>
        <v/>
      </c>
      <c r="E446">
        <f>IF($J446="","",IF($J446&lt;=1500,IF(N(INDEX('Daily Sale entry '!$AB$1:$AB$1501,$J446+1))=0,"",INDEX('Daily Sale entry '!$AB$1:$AB$1501,$J446+1)),1))</f>
        <v/>
      </c>
      <c r="F446" s="6">
        <f>IF($J446="","",IF($J446&lt;=1500,N(INDEX('Daily Sale entry '!$AC$1:$AC$1501,$J446+1))-IF(AND('Opening Balance'!$B$15=1,INDEX('Daily Sale entry '!$Z$1:$Z$1501,$J446+1)="Online collection 网上收款",INDEX('Daily Sale entry '!$AA$1:$AA$1501,$J446+1)&lt;&gt;""),N(INDEX('Daily Sale entry '!$AC$1:$AC$1501,$J446+1))-TRUNC(N(INDEX('Daily Sale entry '!$AC$1:$AC$1501,$J446+1))),0),N(INDEX('Daily Sale entry '!$S$1:$S$1501,$J446-1499))-'Opening Balance'!$B$15*(N(INDEX('Daily Sale entry '!$S$1:$S$1501,$J446-1499))-TRUNC(N(INDEX('Daily Sale entry '!$S$1:$S$1501,$J446-1499))))))</f>
        <v/>
      </c>
      <c r="G446" s="6">
        <f>IF($J446="","",IF($J446&lt;=1500,N(INDEX('Daily Sale entry '!$AD$1:$AD$1501,$J446+1)),0))</f>
        <v/>
      </c>
      <c r="H446" s="6">
        <f>IF($J446="","",ROUND('Opening Balance'!$B$4+SUM($F$2:F446)-SUM($G$2:G446),2))</f>
        <v/>
      </c>
      <c r="J446" s="21">
        <f>IFERROR(MATCH(ROW()-1,$L$2:$L$3001,0),"")</f>
        <v/>
      </c>
      <c r="K446" s="34">
        <f>IF(AND('Daily Sale entry '!X446&lt;&gt;"",OR('Daily Sale entry '!AC446&lt;&gt;"",'Daily Sale entry '!AD446&lt;&gt;"")),'Daily Sale entry '!X446+ROW()/10000000,"")</f>
        <v/>
      </c>
      <c r="L446" s="21">
        <f>IF(K446="","",COUNTIF($K$2:$K$3001,"&lt;"&amp;K446)+1)</f>
        <v/>
      </c>
    </row>
    <row r="447">
      <c r="A447" s="5">
        <f>IF($J447="","",IF($J447&lt;=1500,INDEX('Daily Sale entry '!$X$1:$X$1501,$J447+1),INDEX('Daily Sale entry '!$V$1:$V$1501,$J447-1499)))</f>
        <v/>
      </c>
      <c r="B447">
        <f>IF($J447="","",IF($J447&lt;=1500,INDEX('Daily Sale entry '!$Y$1:$Y$1501,$J447+1)&amp;"","Buyer cheque banked 买家支票存入"&amp;IF(INDEX('Daily Sale entry '!$U$1:$U$1501,$J447-1499)="","", " - "&amp;INDEX('Daily Sale entry '!$U$1:$U$1501,$J447-1499))))</f>
        <v/>
      </c>
      <c r="C447">
        <f>IF($J447="","",IF($J447&lt;=1500,INDEX('Daily Sale entry '!$Z$1:$Z$1501,$J447+1)&amp;"","Cheque deposit 支票存入 (buyer 买家)"))</f>
        <v/>
      </c>
      <c r="D447">
        <f>IF($J447="","",IF($J447&lt;=1500,INDEX('Daily Sale entry '!$AA$1:$AA$1501,$J447+1)&amp;"",INDEX('Daily Sale entry '!$P$1:$P$1501,$J447-1499)&amp;""))</f>
        <v/>
      </c>
      <c r="E447">
        <f>IF($J447="","",IF($J447&lt;=1500,IF(N(INDEX('Daily Sale entry '!$AB$1:$AB$1501,$J447+1))=0,"",INDEX('Daily Sale entry '!$AB$1:$AB$1501,$J447+1)),1))</f>
        <v/>
      </c>
      <c r="F447" s="6">
        <f>IF($J447="","",IF($J447&lt;=1500,N(INDEX('Daily Sale entry '!$AC$1:$AC$1501,$J447+1))-IF(AND('Opening Balance'!$B$15=1,INDEX('Daily Sale entry '!$Z$1:$Z$1501,$J447+1)="Online collection 网上收款",INDEX('Daily Sale entry '!$AA$1:$AA$1501,$J447+1)&lt;&gt;""),N(INDEX('Daily Sale entry '!$AC$1:$AC$1501,$J447+1))-TRUNC(N(INDEX('Daily Sale entry '!$AC$1:$AC$1501,$J447+1))),0),N(INDEX('Daily Sale entry '!$S$1:$S$1501,$J447-1499))-'Opening Balance'!$B$15*(N(INDEX('Daily Sale entry '!$S$1:$S$1501,$J447-1499))-TRUNC(N(INDEX('Daily Sale entry '!$S$1:$S$1501,$J447-1499))))))</f>
        <v/>
      </c>
      <c r="G447" s="6">
        <f>IF($J447="","",IF($J447&lt;=1500,N(INDEX('Daily Sale entry '!$AD$1:$AD$1501,$J447+1)),0))</f>
        <v/>
      </c>
      <c r="H447" s="6">
        <f>IF($J447="","",ROUND('Opening Balance'!$B$4+SUM($F$2:F447)-SUM($G$2:G447),2))</f>
        <v/>
      </c>
      <c r="J447" s="21">
        <f>IFERROR(MATCH(ROW()-1,$L$2:$L$3001,0),"")</f>
        <v/>
      </c>
      <c r="K447" s="34">
        <f>IF(AND('Daily Sale entry '!X447&lt;&gt;"",OR('Daily Sale entry '!AC447&lt;&gt;"",'Daily Sale entry '!AD447&lt;&gt;"")),'Daily Sale entry '!X447+ROW()/10000000,"")</f>
        <v/>
      </c>
      <c r="L447" s="21">
        <f>IF(K447="","",COUNTIF($K$2:$K$3001,"&lt;"&amp;K447)+1)</f>
        <v/>
      </c>
    </row>
    <row r="448">
      <c r="A448" s="5">
        <f>IF($J448="","",IF($J448&lt;=1500,INDEX('Daily Sale entry '!$X$1:$X$1501,$J448+1),INDEX('Daily Sale entry '!$V$1:$V$1501,$J448-1499)))</f>
        <v/>
      </c>
      <c r="B448">
        <f>IF($J448="","",IF($J448&lt;=1500,INDEX('Daily Sale entry '!$Y$1:$Y$1501,$J448+1)&amp;"","Buyer cheque banked 买家支票存入"&amp;IF(INDEX('Daily Sale entry '!$U$1:$U$1501,$J448-1499)="","", " - "&amp;INDEX('Daily Sale entry '!$U$1:$U$1501,$J448-1499))))</f>
        <v/>
      </c>
      <c r="C448">
        <f>IF($J448="","",IF($J448&lt;=1500,INDEX('Daily Sale entry '!$Z$1:$Z$1501,$J448+1)&amp;"","Cheque deposit 支票存入 (buyer 买家)"))</f>
        <v/>
      </c>
      <c r="D448">
        <f>IF($J448="","",IF($J448&lt;=1500,INDEX('Daily Sale entry '!$AA$1:$AA$1501,$J448+1)&amp;"",INDEX('Daily Sale entry '!$P$1:$P$1501,$J448-1499)&amp;""))</f>
        <v/>
      </c>
      <c r="E448">
        <f>IF($J448="","",IF($J448&lt;=1500,IF(N(INDEX('Daily Sale entry '!$AB$1:$AB$1501,$J448+1))=0,"",INDEX('Daily Sale entry '!$AB$1:$AB$1501,$J448+1)),1))</f>
        <v/>
      </c>
      <c r="F448" s="6">
        <f>IF($J448="","",IF($J448&lt;=1500,N(INDEX('Daily Sale entry '!$AC$1:$AC$1501,$J448+1))-IF(AND('Opening Balance'!$B$15=1,INDEX('Daily Sale entry '!$Z$1:$Z$1501,$J448+1)="Online collection 网上收款",INDEX('Daily Sale entry '!$AA$1:$AA$1501,$J448+1)&lt;&gt;""),N(INDEX('Daily Sale entry '!$AC$1:$AC$1501,$J448+1))-TRUNC(N(INDEX('Daily Sale entry '!$AC$1:$AC$1501,$J448+1))),0),N(INDEX('Daily Sale entry '!$S$1:$S$1501,$J448-1499))-'Opening Balance'!$B$15*(N(INDEX('Daily Sale entry '!$S$1:$S$1501,$J448-1499))-TRUNC(N(INDEX('Daily Sale entry '!$S$1:$S$1501,$J448-1499))))))</f>
        <v/>
      </c>
      <c r="G448" s="6">
        <f>IF($J448="","",IF($J448&lt;=1500,N(INDEX('Daily Sale entry '!$AD$1:$AD$1501,$J448+1)),0))</f>
        <v/>
      </c>
      <c r="H448" s="6">
        <f>IF($J448="","",ROUND('Opening Balance'!$B$4+SUM($F$2:F448)-SUM($G$2:G448),2))</f>
        <v/>
      </c>
      <c r="J448" s="21">
        <f>IFERROR(MATCH(ROW()-1,$L$2:$L$3001,0),"")</f>
        <v/>
      </c>
      <c r="K448" s="34">
        <f>IF(AND('Daily Sale entry '!X448&lt;&gt;"",OR('Daily Sale entry '!AC448&lt;&gt;"",'Daily Sale entry '!AD448&lt;&gt;"")),'Daily Sale entry '!X448+ROW()/10000000,"")</f>
        <v/>
      </c>
      <c r="L448" s="21">
        <f>IF(K448="","",COUNTIF($K$2:$K$3001,"&lt;"&amp;K448)+1)</f>
        <v/>
      </c>
    </row>
    <row r="449">
      <c r="A449" s="5">
        <f>IF($J449="","",IF($J449&lt;=1500,INDEX('Daily Sale entry '!$X$1:$X$1501,$J449+1),INDEX('Daily Sale entry '!$V$1:$V$1501,$J449-1499)))</f>
        <v/>
      </c>
      <c r="B449">
        <f>IF($J449="","",IF($J449&lt;=1500,INDEX('Daily Sale entry '!$Y$1:$Y$1501,$J449+1)&amp;"","Buyer cheque banked 买家支票存入"&amp;IF(INDEX('Daily Sale entry '!$U$1:$U$1501,$J449-1499)="","", " - "&amp;INDEX('Daily Sale entry '!$U$1:$U$1501,$J449-1499))))</f>
        <v/>
      </c>
      <c r="C449">
        <f>IF($J449="","",IF($J449&lt;=1500,INDEX('Daily Sale entry '!$Z$1:$Z$1501,$J449+1)&amp;"","Cheque deposit 支票存入 (buyer 买家)"))</f>
        <v/>
      </c>
      <c r="D449">
        <f>IF($J449="","",IF($J449&lt;=1500,INDEX('Daily Sale entry '!$AA$1:$AA$1501,$J449+1)&amp;"",INDEX('Daily Sale entry '!$P$1:$P$1501,$J449-1499)&amp;""))</f>
        <v/>
      </c>
      <c r="E449">
        <f>IF($J449="","",IF($J449&lt;=1500,IF(N(INDEX('Daily Sale entry '!$AB$1:$AB$1501,$J449+1))=0,"",INDEX('Daily Sale entry '!$AB$1:$AB$1501,$J449+1)),1))</f>
        <v/>
      </c>
      <c r="F449" s="6">
        <f>IF($J449="","",IF($J449&lt;=1500,N(INDEX('Daily Sale entry '!$AC$1:$AC$1501,$J449+1))-IF(AND('Opening Balance'!$B$15=1,INDEX('Daily Sale entry '!$Z$1:$Z$1501,$J449+1)="Online collection 网上收款",INDEX('Daily Sale entry '!$AA$1:$AA$1501,$J449+1)&lt;&gt;""),N(INDEX('Daily Sale entry '!$AC$1:$AC$1501,$J449+1))-TRUNC(N(INDEX('Daily Sale entry '!$AC$1:$AC$1501,$J449+1))),0),N(INDEX('Daily Sale entry '!$S$1:$S$1501,$J449-1499))-'Opening Balance'!$B$15*(N(INDEX('Daily Sale entry '!$S$1:$S$1501,$J449-1499))-TRUNC(N(INDEX('Daily Sale entry '!$S$1:$S$1501,$J449-1499))))))</f>
        <v/>
      </c>
      <c r="G449" s="6">
        <f>IF($J449="","",IF($J449&lt;=1500,N(INDEX('Daily Sale entry '!$AD$1:$AD$1501,$J449+1)),0))</f>
        <v/>
      </c>
      <c r="H449" s="6">
        <f>IF($J449="","",ROUND('Opening Balance'!$B$4+SUM($F$2:F449)-SUM($G$2:G449),2))</f>
        <v/>
      </c>
      <c r="J449" s="21">
        <f>IFERROR(MATCH(ROW()-1,$L$2:$L$3001,0),"")</f>
        <v/>
      </c>
      <c r="K449" s="34">
        <f>IF(AND('Daily Sale entry '!X449&lt;&gt;"",OR('Daily Sale entry '!AC449&lt;&gt;"",'Daily Sale entry '!AD449&lt;&gt;"")),'Daily Sale entry '!X449+ROW()/10000000,"")</f>
        <v/>
      </c>
      <c r="L449" s="21">
        <f>IF(K449="","",COUNTIF($K$2:$K$3001,"&lt;"&amp;K449)+1)</f>
        <v/>
      </c>
    </row>
    <row r="450">
      <c r="A450" s="5">
        <f>IF($J450="","",IF($J450&lt;=1500,INDEX('Daily Sale entry '!$X$1:$X$1501,$J450+1),INDEX('Daily Sale entry '!$V$1:$V$1501,$J450-1499)))</f>
        <v/>
      </c>
      <c r="B450">
        <f>IF($J450="","",IF($J450&lt;=1500,INDEX('Daily Sale entry '!$Y$1:$Y$1501,$J450+1)&amp;"","Buyer cheque banked 买家支票存入"&amp;IF(INDEX('Daily Sale entry '!$U$1:$U$1501,$J450-1499)="","", " - "&amp;INDEX('Daily Sale entry '!$U$1:$U$1501,$J450-1499))))</f>
        <v/>
      </c>
      <c r="C450">
        <f>IF($J450="","",IF($J450&lt;=1500,INDEX('Daily Sale entry '!$Z$1:$Z$1501,$J450+1)&amp;"","Cheque deposit 支票存入 (buyer 买家)"))</f>
        <v/>
      </c>
      <c r="D450">
        <f>IF($J450="","",IF($J450&lt;=1500,INDEX('Daily Sale entry '!$AA$1:$AA$1501,$J450+1)&amp;"",INDEX('Daily Sale entry '!$P$1:$P$1501,$J450-1499)&amp;""))</f>
        <v/>
      </c>
      <c r="E450">
        <f>IF($J450="","",IF($J450&lt;=1500,IF(N(INDEX('Daily Sale entry '!$AB$1:$AB$1501,$J450+1))=0,"",INDEX('Daily Sale entry '!$AB$1:$AB$1501,$J450+1)),1))</f>
        <v/>
      </c>
      <c r="F450" s="6">
        <f>IF($J450="","",IF($J450&lt;=1500,N(INDEX('Daily Sale entry '!$AC$1:$AC$1501,$J450+1))-IF(AND('Opening Balance'!$B$15=1,INDEX('Daily Sale entry '!$Z$1:$Z$1501,$J450+1)="Online collection 网上收款",INDEX('Daily Sale entry '!$AA$1:$AA$1501,$J450+1)&lt;&gt;""),N(INDEX('Daily Sale entry '!$AC$1:$AC$1501,$J450+1))-TRUNC(N(INDEX('Daily Sale entry '!$AC$1:$AC$1501,$J450+1))),0),N(INDEX('Daily Sale entry '!$S$1:$S$1501,$J450-1499))-'Opening Balance'!$B$15*(N(INDEX('Daily Sale entry '!$S$1:$S$1501,$J450-1499))-TRUNC(N(INDEX('Daily Sale entry '!$S$1:$S$1501,$J450-1499))))))</f>
        <v/>
      </c>
      <c r="G450" s="6">
        <f>IF($J450="","",IF($J450&lt;=1500,N(INDEX('Daily Sale entry '!$AD$1:$AD$1501,$J450+1)),0))</f>
        <v/>
      </c>
      <c r="H450" s="6">
        <f>IF($J450="","",ROUND('Opening Balance'!$B$4+SUM($F$2:F450)-SUM($G$2:G450),2))</f>
        <v/>
      </c>
      <c r="J450" s="21">
        <f>IFERROR(MATCH(ROW()-1,$L$2:$L$3001,0),"")</f>
        <v/>
      </c>
      <c r="K450" s="34">
        <f>IF(AND('Daily Sale entry '!X450&lt;&gt;"",OR('Daily Sale entry '!AC450&lt;&gt;"",'Daily Sale entry '!AD450&lt;&gt;"")),'Daily Sale entry '!X450+ROW()/10000000,"")</f>
        <v/>
      </c>
      <c r="L450" s="21">
        <f>IF(K450="","",COUNTIF($K$2:$K$3001,"&lt;"&amp;K450)+1)</f>
        <v/>
      </c>
    </row>
    <row r="451">
      <c r="A451" s="5">
        <f>IF($J451="","",IF($J451&lt;=1500,INDEX('Daily Sale entry '!$X$1:$X$1501,$J451+1),INDEX('Daily Sale entry '!$V$1:$V$1501,$J451-1499)))</f>
        <v/>
      </c>
      <c r="B451">
        <f>IF($J451="","",IF($J451&lt;=1500,INDEX('Daily Sale entry '!$Y$1:$Y$1501,$J451+1)&amp;"","Buyer cheque banked 买家支票存入"&amp;IF(INDEX('Daily Sale entry '!$U$1:$U$1501,$J451-1499)="","", " - "&amp;INDEX('Daily Sale entry '!$U$1:$U$1501,$J451-1499))))</f>
        <v/>
      </c>
      <c r="C451">
        <f>IF($J451="","",IF($J451&lt;=1500,INDEX('Daily Sale entry '!$Z$1:$Z$1501,$J451+1)&amp;"","Cheque deposit 支票存入 (buyer 买家)"))</f>
        <v/>
      </c>
      <c r="D451">
        <f>IF($J451="","",IF($J451&lt;=1500,INDEX('Daily Sale entry '!$AA$1:$AA$1501,$J451+1)&amp;"",INDEX('Daily Sale entry '!$P$1:$P$1501,$J451-1499)&amp;""))</f>
        <v/>
      </c>
      <c r="E451">
        <f>IF($J451="","",IF($J451&lt;=1500,IF(N(INDEX('Daily Sale entry '!$AB$1:$AB$1501,$J451+1))=0,"",INDEX('Daily Sale entry '!$AB$1:$AB$1501,$J451+1)),1))</f>
        <v/>
      </c>
      <c r="F451" s="6">
        <f>IF($J451="","",IF($J451&lt;=1500,N(INDEX('Daily Sale entry '!$AC$1:$AC$1501,$J451+1))-IF(AND('Opening Balance'!$B$15=1,INDEX('Daily Sale entry '!$Z$1:$Z$1501,$J451+1)="Online collection 网上收款",INDEX('Daily Sale entry '!$AA$1:$AA$1501,$J451+1)&lt;&gt;""),N(INDEX('Daily Sale entry '!$AC$1:$AC$1501,$J451+1))-TRUNC(N(INDEX('Daily Sale entry '!$AC$1:$AC$1501,$J451+1))),0),N(INDEX('Daily Sale entry '!$S$1:$S$1501,$J451-1499))-'Opening Balance'!$B$15*(N(INDEX('Daily Sale entry '!$S$1:$S$1501,$J451-1499))-TRUNC(N(INDEX('Daily Sale entry '!$S$1:$S$1501,$J451-1499))))))</f>
        <v/>
      </c>
      <c r="G451" s="6">
        <f>IF($J451="","",IF($J451&lt;=1500,N(INDEX('Daily Sale entry '!$AD$1:$AD$1501,$J451+1)),0))</f>
        <v/>
      </c>
      <c r="H451" s="6">
        <f>IF($J451="","",ROUND('Opening Balance'!$B$4+SUM($F$2:F451)-SUM($G$2:G451),2))</f>
        <v/>
      </c>
      <c r="J451" s="21">
        <f>IFERROR(MATCH(ROW()-1,$L$2:$L$3001,0),"")</f>
        <v/>
      </c>
      <c r="K451" s="34">
        <f>IF(AND('Daily Sale entry '!X451&lt;&gt;"",OR('Daily Sale entry '!AC451&lt;&gt;"",'Daily Sale entry '!AD451&lt;&gt;"")),'Daily Sale entry '!X451+ROW()/10000000,"")</f>
        <v/>
      </c>
      <c r="L451" s="21">
        <f>IF(K451="","",COUNTIF($K$2:$K$3001,"&lt;"&amp;K451)+1)</f>
        <v/>
      </c>
    </row>
    <row r="452">
      <c r="A452" s="5">
        <f>IF($J452="","",IF($J452&lt;=1500,INDEX('Daily Sale entry '!$X$1:$X$1501,$J452+1),INDEX('Daily Sale entry '!$V$1:$V$1501,$J452-1499)))</f>
        <v/>
      </c>
      <c r="B452">
        <f>IF($J452="","",IF($J452&lt;=1500,INDEX('Daily Sale entry '!$Y$1:$Y$1501,$J452+1)&amp;"","Buyer cheque banked 买家支票存入"&amp;IF(INDEX('Daily Sale entry '!$U$1:$U$1501,$J452-1499)="","", " - "&amp;INDEX('Daily Sale entry '!$U$1:$U$1501,$J452-1499))))</f>
        <v/>
      </c>
      <c r="C452">
        <f>IF($J452="","",IF($J452&lt;=1500,INDEX('Daily Sale entry '!$Z$1:$Z$1501,$J452+1)&amp;"","Cheque deposit 支票存入 (buyer 买家)"))</f>
        <v/>
      </c>
      <c r="D452">
        <f>IF($J452="","",IF($J452&lt;=1500,INDEX('Daily Sale entry '!$AA$1:$AA$1501,$J452+1)&amp;"",INDEX('Daily Sale entry '!$P$1:$P$1501,$J452-1499)&amp;""))</f>
        <v/>
      </c>
      <c r="E452">
        <f>IF($J452="","",IF($J452&lt;=1500,IF(N(INDEX('Daily Sale entry '!$AB$1:$AB$1501,$J452+1))=0,"",INDEX('Daily Sale entry '!$AB$1:$AB$1501,$J452+1)),1))</f>
        <v/>
      </c>
      <c r="F452" s="6">
        <f>IF($J452="","",IF($J452&lt;=1500,N(INDEX('Daily Sale entry '!$AC$1:$AC$1501,$J452+1))-IF(AND('Opening Balance'!$B$15=1,INDEX('Daily Sale entry '!$Z$1:$Z$1501,$J452+1)="Online collection 网上收款",INDEX('Daily Sale entry '!$AA$1:$AA$1501,$J452+1)&lt;&gt;""),N(INDEX('Daily Sale entry '!$AC$1:$AC$1501,$J452+1))-TRUNC(N(INDEX('Daily Sale entry '!$AC$1:$AC$1501,$J452+1))),0),N(INDEX('Daily Sale entry '!$S$1:$S$1501,$J452-1499))-'Opening Balance'!$B$15*(N(INDEX('Daily Sale entry '!$S$1:$S$1501,$J452-1499))-TRUNC(N(INDEX('Daily Sale entry '!$S$1:$S$1501,$J452-1499))))))</f>
        <v/>
      </c>
      <c r="G452" s="6">
        <f>IF($J452="","",IF($J452&lt;=1500,N(INDEX('Daily Sale entry '!$AD$1:$AD$1501,$J452+1)),0))</f>
        <v/>
      </c>
      <c r="H452" s="6">
        <f>IF($J452="","",ROUND('Opening Balance'!$B$4+SUM($F$2:F452)-SUM($G$2:G452),2))</f>
        <v/>
      </c>
      <c r="J452" s="21">
        <f>IFERROR(MATCH(ROW()-1,$L$2:$L$3001,0),"")</f>
        <v/>
      </c>
      <c r="K452" s="34">
        <f>IF(AND('Daily Sale entry '!X452&lt;&gt;"",OR('Daily Sale entry '!AC452&lt;&gt;"",'Daily Sale entry '!AD452&lt;&gt;"")),'Daily Sale entry '!X452+ROW()/10000000,"")</f>
        <v/>
      </c>
      <c r="L452" s="21">
        <f>IF(K452="","",COUNTIF($K$2:$K$3001,"&lt;"&amp;K452)+1)</f>
        <v/>
      </c>
    </row>
    <row r="453">
      <c r="A453" s="5">
        <f>IF($J453="","",IF($J453&lt;=1500,INDEX('Daily Sale entry '!$X$1:$X$1501,$J453+1),INDEX('Daily Sale entry '!$V$1:$V$1501,$J453-1499)))</f>
        <v/>
      </c>
      <c r="B453">
        <f>IF($J453="","",IF($J453&lt;=1500,INDEX('Daily Sale entry '!$Y$1:$Y$1501,$J453+1)&amp;"","Buyer cheque banked 买家支票存入"&amp;IF(INDEX('Daily Sale entry '!$U$1:$U$1501,$J453-1499)="","", " - "&amp;INDEX('Daily Sale entry '!$U$1:$U$1501,$J453-1499))))</f>
        <v/>
      </c>
      <c r="C453">
        <f>IF($J453="","",IF($J453&lt;=1500,INDEX('Daily Sale entry '!$Z$1:$Z$1501,$J453+1)&amp;"","Cheque deposit 支票存入 (buyer 买家)"))</f>
        <v/>
      </c>
      <c r="D453">
        <f>IF($J453="","",IF($J453&lt;=1500,INDEX('Daily Sale entry '!$AA$1:$AA$1501,$J453+1)&amp;"",INDEX('Daily Sale entry '!$P$1:$P$1501,$J453-1499)&amp;""))</f>
        <v/>
      </c>
      <c r="E453">
        <f>IF($J453="","",IF($J453&lt;=1500,IF(N(INDEX('Daily Sale entry '!$AB$1:$AB$1501,$J453+1))=0,"",INDEX('Daily Sale entry '!$AB$1:$AB$1501,$J453+1)),1))</f>
        <v/>
      </c>
      <c r="F453" s="6">
        <f>IF($J453="","",IF($J453&lt;=1500,N(INDEX('Daily Sale entry '!$AC$1:$AC$1501,$J453+1))-IF(AND('Opening Balance'!$B$15=1,INDEX('Daily Sale entry '!$Z$1:$Z$1501,$J453+1)="Online collection 网上收款",INDEX('Daily Sale entry '!$AA$1:$AA$1501,$J453+1)&lt;&gt;""),N(INDEX('Daily Sale entry '!$AC$1:$AC$1501,$J453+1))-TRUNC(N(INDEX('Daily Sale entry '!$AC$1:$AC$1501,$J453+1))),0),N(INDEX('Daily Sale entry '!$S$1:$S$1501,$J453-1499))-'Opening Balance'!$B$15*(N(INDEX('Daily Sale entry '!$S$1:$S$1501,$J453-1499))-TRUNC(N(INDEX('Daily Sale entry '!$S$1:$S$1501,$J453-1499))))))</f>
        <v/>
      </c>
      <c r="G453" s="6">
        <f>IF($J453="","",IF($J453&lt;=1500,N(INDEX('Daily Sale entry '!$AD$1:$AD$1501,$J453+1)),0))</f>
        <v/>
      </c>
      <c r="H453" s="6">
        <f>IF($J453="","",ROUND('Opening Balance'!$B$4+SUM($F$2:F453)-SUM($G$2:G453),2))</f>
        <v/>
      </c>
      <c r="J453" s="21">
        <f>IFERROR(MATCH(ROW()-1,$L$2:$L$3001,0),"")</f>
        <v/>
      </c>
      <c r="K453" s="34">
        <f>IF(AND('Daily Sale entry '!X453&lt;&gt;"",OR('Daily Sale entry '!AC453&lt;&gt;"",'Daily Sale entry '!AD453&lt;&gt;"")),'Daily Sale entry '!X453+ROW()/10000000,"")</f>
        <v/>
      </c>
      <c r="L453" s="21">
        <f>IF(K453="","",COUNTIF($K$2:$K$3001,"&lt;"&amp;K453)+1)</f>
        <v/>
      </c>
    </row>
    <row r="454">
      <c r="A454" s="5">
        <f>IF($J454="","",IF($J454&lt;=1500,INDEX('Daily Sale entry '!$X$1:$X$1501,$J454+1),INDEX('Daily Sale entry '!$V$1:$V$1501,$J454-1499)))</f>
        <v/>
      </c>
      <c r="B454">
        <f>IF($J454="","",IF($J454&lt;=1500,INDEX('Daily Sale entry '!$Y$1:$Y$1501,$J454+1)&amp;"","Buyer cheque banked 买家支票存入"&amp;IF(INDEX('Daily Sale entry '!$U$1:$U$1501,$J454-1499)="","", " - "&amp;INDEX('Daily Sale entry '!$U$1:$U$1501,$J454-1499))))</f>
        <v/>
      </c>
      <c r="C454">
        <f>IF($J454="","",IF($J454&lt;=1500,INDEX('Daily Sale entry '!$Z$1:$Z$1501,$J454+1)&amp;"","Cheque deposit 支票存入 (buyer 买家)"))</f>
        <v/>
      </c>
      <c r="D454">
        <f>IF($J454="","",IF($J454&lt;=1500,INDEX('Daily Sale entry '!$AA$1:$AA$1501,$J454+1)&amp;"",INDEX('Daily Sale entry '!$P$1:$P$1501,$J454-1499)&amp;""))</f>
        <v/>
      </c>
      <c r="E454">
        <f>IF($J454="","",IF($J454&lt;=1500,IF(N(INDEX('Daily Sale entry '!$AB$1:$AB$1501,$J454+1))=0,"",INDEX('Daily Sale entry '!$AB$1:$AB$1501,$J454+1)),1))</f>
        <v/>
      </c>
      <c r="F454" s="6">
        <f>IF($J454="","",IF($J454&lt;=1500,N(INDEX('Daily Sale entry '!$AC$1:$AC$1501,$J454+1))-IF(AND('Opening Balance'!$B$15=1,INDEX('Daily Sale entry '!$Z$1:$Z$1501,$J454+1)="Online collection 网上收款",INDEX('Daily Sale entry '!$AA$1:$AA$1501,$J454+1)&lt;&gt;""),N(INDEX('Daily Sale entry '!$AC$1:$AC$1501,$J454+1))-TRUNC(N(INDEX('Daily Sale entry '!$AC$1:$AC$1501,$J454+1))),0),N(INDEX('Daily Sale entry '!$S$1:$S$1501,$J454-1499))-'Opening Balance'!$B$15*(N(INDEX('Daily Sale entry '!$S$1:$S$1501,$J454-1499))-TRUNC(N(INDEX('Daily Sale entry '!$S$1:$S$1501,$J454-1499))))))</f>
        <v/>
      </c>
      <c r="G454" s="6">
        <f>IF($J454="","",IF($J454&lt;=1500,N(INDEX('Daily Sale entry '!$AD$1:$AD$1501,$J454+1)),0))</f>
        <v/>
      </c>
      <c r="H454" s="6">
        <f>IF($J454="","",ROUND('Opening Balance'!$B$4+SUM($F$2:F454)-SUM($G$2:G454),2))</f>
        <v/>
      </c>
      <c r="J454" s="21">
        <f>IFERROR(MATCH(ROW()-1,$L$2:$L$3001,0),"")</f>
        <v/>
      </c>
      <c r="K454" s="34">
        <f>IF(AND('Daily Sale entry '!X454&lt;&gt;"",OR('Daily Sale entry '!AC454&lt;&gt;"",'Daily Sale entry '!AD454&lt;&gt;"")),'Daily Sale entry '!X454+ROW()/10000000,"")</f>
        <v/>
      </c>
      <c r="L454" s="21">
        <f>IF(K454="","",COUNTIF($K$2:$K$3001,"&lt;"&amp;K454)+1)</f>
        <v/>
      </c>
    </row>
    <row r="455">
      <c r="A455" s="5">
        <f>IF($J455="","",IF($J455&lt;=1500,INDEX('Daily Sale entry '!$X$1:$X$1501,$J455+1),INDEX('Daily Sale entry '!$V$1:$V$1501,$J455-1499)))</f>
        <v/>
      </c>
      <c r="B455">
        <f>IF($J455="","",IF($J455&lt;=1500,INDEX('Daily Sale entry '!$Y$1:$Y$1501,$J455+1)&amp;"","Buyer cheque banked 买家支票存入"&amp;IF(INDEX('Daily Sale entry '!$U$1:$U$1501,$J455-1499)="","", " - "&amp;INDEX('Daily Sale entry '!$U$1:$U$1501,$J455-1499))))</f>
        <v/>
      </c>
      <c r="C455">
        <f>IF($J455="","",IF($J455&lt;=1500,INDEX('Daily Sale entry '!$Z$1:$Z$1501,$J455+1)&amp;"","Cheque deposit 支票存入 (buyer 买家)"))</f>
        <v/>
      </c>
      <c r="D455">
        <f>IF($J455="","",IF($J455&lt;=1500,INDEX('Daily Sale entry '!$AA$1:$AA$1501,$J455+1)&amp;"",INDEX('Daily Sale entry '!$P$1:$P$1501,$J455-1499)&amp;""))</f>
        <v/>
      </c>
      <c r="E455">
        <f>IF($J455="","",IF($J455&lt;=1500,IF(N(INDEX('Daily Sale entry '!$AB$1:$AB$1501,$J455+1))=0,"",INDEX('Daily Sale entry '!$AB$1:$AB$1501,$J455+1)),1))</f>
        <v/>
      </c>
      <c r="F455" s="6">
        <f>IF($J455="","",IF($J455&lt;=1500,N(INDEX('Daily Sale entry '!$AC$1:$AC$1501,$J455+1))-IF(AND('Opening Balance'!$B$15=1,INDEX('Daily Sale entry '!$Z$1:$Z$1501,$J455+1)="Online collection 网上收款",INDEX('Daily Sale entry '!$AA$1:$AA$1501,$J455+1)&lt;&gt;""),N(INDEX('Daily Sale entry '!$AC$1:$AC$1501,$J455+1))-TRUNC(N(INDEX('Daily Sale entry '!$AC$1:$AC$1501,$J455+1))),0),N(INDEX('Daily Sale entry '!$S$1:$S$1501,$J455-1499))-'Opening Balance'!$B$15*(N(INDEX('Daily Sale entry '!$S$1:$S$1501,$J455-1499))-TRUNC(N(INDEX('Daily Sale entry '!$S$1:$S$1501,$J455-1499))))))</f>
        <v/>
      </c>
      <c r="G455" s="6">
        <f>IF($J455="","",IF($J455&lt;=1500,N(INDEX('Daily Sale entry '!$AD$1:$AD$1501,$J455+1)),0))</f>
        <v/>
      </c>
      <c r="H455" s="6">
        <f>IF($J455="","",ROUND('Opening Balance'!$B$4+SUM($F$2:F455)-SUM($G$2:G455),2))</f>
        <v/>
      </c>
      <c r="J455" s="21">
        <f>IFERROR(MATCH(ROW()-1,$L$2:$L$3001,0),"")</f>
        <v/>
      </c>
      <c r="K455" s="34">
        <f>IF(AND('Daily Sale entry '!X455&lt;&gt;"",OR('Daily Sale entry '!AC455&lt;&gt;"",'Daily Sale entry '!AD455&lt;&gt;"")),'Daily Sale entry '!X455+ROW()/10000000,"")</f>
        <v/>
      </c>
      <c r="L455" s="21">
        <f>IF(K455="","",COUNTIF($K$2:$K$3001,"&lt;"&amp;K455)+1)</f>
        <v/>
      </c>
    </row>
    <row r="456">
      <c r="A456" s="5">
        <f>IF($J456="","",IF($J456&lt;=1500,INDEX('Daily Sale entry '!$X$1:$X$1501,$J456+1),INDEX('Daily Sale entry '!$V$1:$V$1501,$J456-1499)))</f>
        <v/>
      </c>
      <c r="B456">
        <f>IF($J456="","",IF($J456&lt;=1500,INDEX('Daily Sale entry '!$Y$1:$Y$1501,$J456+1)&amp;"","Buyer cheque banked 买家支票存入"&amp;IF(INDEX('Daily Sale entry '!$U$1:$U$1501,$J456-1499)="","", " - "&amp;INDEX('Daily Sale entry '!$U$1:$U$1501,$J456-1499))))</f>
        <v/>
      </c>
      <c r="C456">
        <f>IF($J456="","",IF($J456&lt;=1500,INDEX('Daily Sale entry '!$Z$1:$Z$1501,$J456+1)&amp;"","Cheque deposit 支票存入 (buyer 买家)"))</f>
        <v/>
      </c>
      <c r="D456">
        <f>IF($J456="","",IF($J456&lt;=1500,INDEX('Daily Sale entry '!$AA$1:$AA$1501,$J456+1)&amp;"",INDEX('Daily Sale entry '!$P$1:$P$1501,$J456-1499)&amp;""))</f>
        <v/>
      </c>
      <c r="E456">
        <f>IF($J456="","",IF($J456&lt;=1500,IF(N(INDEX('Daily Sale entry '!$AB$1:$AB$1501,$J456+1))=0,"",INDEX('Daily Sale entry '!$AB$1:$AB$1501,$J456+1)),1))</f>
        <v/>
      </c>
      <c r="F456" s="6">
        <f>IF($J456="","",IF($J456&lt;=1500,N(INDEX('Daily Sale entry '!$AC$1:$AC$1501,$J456+1))-IF(AND('Opening Balance'!$B$15=1,INDEX('Daily Sale entry '!$Z$1:$Z$1501,$J456+1)="Online collection 网上收款",INDEX('Daily Sale entry '!$AA$1:$AA$1501,$J456+1)&lt;&gt;""),N(INDEX('Daily Sale entry '!$AC$1:$AC$1501,$J456+1))-TRUNC(N(INDEX('Daily Sale entry '!$AC$1:$AC$1501,$J456+1))),0),N(INDEX('Daily Sale entry '!$S$1:$S$1501,$J456-1499))-'Opening Balance'!$B$15*(N(INDEX('Daily Sale entry '!$S$1:$S$1501,$J456-1499))-TRUNC(N(INDEX('Daily Sale entry '!$S$1:$S$1501,$J456-1499))))))</f>
        <v/>
      </c>
      <c r="G456" s="6">
        <f>IF($J456="","",IF($J456&lt;=1500,N(INDEX('Daily Sale entry '!$AD$1:$AD$1501,$J456+1)),0))</f>
        <v/>
      </c>
      <c r="H456" s="6">
        <f>IF($J456="","",ROUND('Opening Balance'!$B$4+SUM($F$2:F456)-SUM($G$2:G456),2))</f>
        <v/>
      </c>
      <c r="J456" s="21">
        <f>IFERROR(MATCH(ROW()-1,$L$2:$L$3001,0),"")</f>
        <v/>
      </c>
      <c r="K456" s="34">
        <f>IF(AND('Daily Sale entry '!X456&lt;&gt;"",OR('Daily Sale entry '!AC456&lt;&gt;"",'Daily Sale entry '!AD456&lt;&gt;"")),'Daily Sale entry '!X456+ROW()/10000000,"")</f>
        <v/>
      </c>
      <c r="L456" s="21">
        <f>IF(K456="","",COUNTIF($K$2:$K$3001,"&lt;"&amp;K456)+1)</f>
        <v/>
      </c>
    </row>
    <row r="457">
      <c r="A457" s="5">
        <f>IF($J457="","",IF($J457&lt;=1500,INDEX('Daily Sale entry '!$X$1:$X$1501,$J457+1),INDEX('Daily Sale entry '!$V$1:$V$1501,$J457-1499)))</f>
        <v/>
      </c>
      <c r="B457">
        <f>IF($J457="","",IF($J457&lt;=1500,INDEX('Daily Sale entry '!$Y$1:$Y$1501,$J457+1)&amp;"","Buyer cheque banked 买家支票存入"&amp;IF(INDEX('Daily Sale entry '!$U$1:$U$1501,$J457-1499)="","", " - "&amp;INDEX('Daily Sale entry '!$U$1:$U$1501,$J457-1499))))</f>
        <v/>
      </c>
      <c r="C457">
        <f>IF($J457="","",IF($J457&lt;=1500,INDEX('Daily Sale entry '!$Z$1:$Z$1501,$J457+1)&amp;"","Cheque deposit 支票存入 (buyer 买家)"))</f>
        <v/>
      </c>
      <c r="D457">
        <f>IF($J457="","",IF($J457&lt;=1500,INDEX('Daily Sale entry '!$AA$1:$AA$1501,$J457+1)&amp;"",INDEX('Daily Sale entry '!$P$1:$P$1501,$J457-1499)&amp;""))</f>
        <v/>
      </c>
      <c r="E457">
        <f>IF($J457="","",IF($J457&lt;=1500,IF(N(INDEX('Daily Sale entry '!$AB$1:$AB$1501,$J457+1))=0,"",INDEX('Daily Sale entry '!$AB$1:$AB$1501,$J457+1)),1))</f>
        <v/>
      </c>
      <c r="F457" s="6">
        <f>IF($J457="","",IF($J457&lt;=1500,N(INDEX('Daily Sale entry '!$AC$1:$AC$1501,$J457+1))-IF(AND('Opening Balance'!$B$15=1,INDEX('Daily Sale entry '!$Z$1:$Z$1501,$J457+1)="Online collection 网上收款",INDEX('Daily Sale entry '!$AA$1:$AA$1501,$J457+1)&lt;&gt;""),N(INDEX('Daily Sale entry '!$AC$1:$AC$1501,$J457+1))-TRUNC(N(INDEX('Daily Sale entry '!$AC$1:$AC$1501,$J457+1))),0),N(INDEX('Daily Sale entry '!$S$1:$S$1501,$J457-1499))-'Opening Balance'!$B$15*(N(INDEX('Daily Sale entry '!$S$1:$S$1501,$J457-1499))-TRUNC(N(INDEX('Daily Sale entry '!$S$1:$S$1501,$J457-1499))))))</f>
        <v/>
      </c>
      <c r="G457" s="6">
        <f>IF($J457="","",IF($J457&lt;=1500,N(INDEX('Daily Sale entry '!$AD$1:$AD$1501,$J457+1)),0))</f>
        <v/>
      </c>
      <c r="H457" s="6">
        <f>IF($J457="","",ROUND('Opening Balance'!$B$4+SUM($F$2:F457)-SUM($G$2:G457),2))</f>
        <v/>
      </c>
      <c r="J457" s="21">
        <f>IFERROR(MATCH(ROW()-1,$L$2:$L$3001,0),"")</f>
        <v/>
      </c>
      <c r="K457" s="34">
        <f>IF(AND('Daily Sale entry '!X457&lt;&gt;"",OR('Daily Sale entry '!AC457&lt;&gt;"",'Daily Sale entry '!AD457&lt;&gt;"")),'Daily Sale entry '!X457+ROW()/10000000,"")</f>
        <v/>
      </c>
      <c r="L457" s="21">
        <f>IF(K457="","",COUNTIF($K$2:$K$3001,"&lt;"&amp;K457)+1)</f>
        <v/>
      </c>
    </row>
    <row r="458">
      <c r="A458" s="5">
        <f>IF($J458="","",IF($J458&lt;=1500,INDEX('Daily Sale entry '!$X$1:$X$1501,$J458+1),INDEX('Daily Sale entry '!$V$1:$V$1501,$J458-1499)))</f>
        <v/>
      </c>
      <c r="B458">
        <f>IF($J458="","",IF($J458&lt;=1500,INDEX('Daily Sale entry '!$Y$1:$Y$1501,$J458+1)&amp;"","Buyer cheque banked 买家支票存入"&amp;IF(INDEX('Daily Sale entry '!$U$1:$U$1501,$J458-1499)="","", " - "&amp;INDEX('Daily Sale entry '!$U$1:$U$1501,$J458-1499))))</f>
        <v/>
      </c>
      <c r="C458">
        <f>IF($J458="","",IF($J458&lt;=1500,INDEX('Daily Sale entry '!$Z$1:$Z$1501,$J458+1)&amp;"","Cheque deposit 支票存入 (buyer 买家)"))</f>
        <v/>
      </c>
      <c r="D458">
        <f>IF($J458="","",IF($J458&lt;=1500,INDEX('Daily Sale entry '!$AA$1:$AA$1501,$J458+1)&amp;"",INDEX('Daily Sale entry '!$P$1:$P$1501,$J458-1499)&amp;""))</f>
        <v/>
      </c>
      <c r="E458">
        <f>IF($J458="","",IF($J458&lt;=1500,IF(N(INDEX('Daily Sale entry '!$AB$1:$AB$1501,$J458+1))=0,"",INDEX('Daily Sale entry '!$AB$1:$AB$1501,$J458+1)),1))</f>
        <v/>
      </c>
      <c r="F458" s="6">
        <f>IF($J458="","",IF($J458&lt;=1500,N(INDEX('Daily Sale entry '!$AC$1:$AC$1501,$J458+1))-IF(AND('Opening Balance'!$B$15=1,INDEX('Daily Sale entry '!$Z$1:$Z$1501,$J458+1)="Online collection 网上收款",INDEX('Daily Sale entry '!$AA$1:$AA$1501,$J458+1)&lt;&gt;""),N(INDEX('Daily Sale entry '!$AC$1:$AC$1501,$J458+1))-TRUNC(N(INDEX('Daily Sale entry '!$AC$1:$AC$1501,$J458+1))),0),N(INDEX('Daily Sale entry '!$S$1:$S$1501,$J458-1499))-'Opening Balance'!$B$15*(N(INDEX('Daily Sale entry '!$S$1:$S$1501,$J458-1499))-TRUNC(N(INDEX('Daily Sale entry '!$S$1:$S$1501,$J458-1499))))))</f>
        <v/>
      </c>
      <c r="G458" s="6">
        <f>IF($J458="","",IF($J458&lt;=1500,N(INDEX('Daily Sale entry '!$AD$1:$AD$1501,$J458+1)),0))</f>
        <v/>
      </c>
      <c r="H458" s="6">
        <f>IF($J458="","",ROUND('Opening Balance'!$B$4+SUM($F$2:F458)-SUM($G$2:G458),2))</f>
        <v/>
      </c>
      <c r="J458" s="21">
        <f>IFERROR(MATCH(ROW()-1,$L$2:$L$3001,0),"")</f>
        <v/>
      </c>
      <c r="K458" s="34">
        <f>IF(AND('Daily Sale entry '!X458&lt;&gt;"",OR('Daily Sale entry '!AC458&lt;&gt;"",'Daily Sale entry '!AD458&lt;&gt;"")),'Daily Sale entry '!X458+ROW()/10000000,"")</f>
        <v/>
      </c>
      <c r="L458" s="21">
        <f>IF(K458="","",COUNTIF($K$2:$K$3001,"&lt;"&amp;K458)+1)</f>
        <v/>
      </c>
    </row>
    <row r="459">
      <c r="A459" s="5">
        <f>IF($J459="","",IF($J459&lt;=1500,INDEX('Daily Sale entry '!$X$1:$X$1501,$J459+1),INDEX('Daily Sale entry '!$V$1:$V$1501,$J459-1499)))</f>
        <v/>
      </c>
      <c r="B459">
        <f>IF($J459="","",IF($J459&lt;=1500,INDEX('Daily Sale entry '!$Y$1:$Y$1501,$J459+1)&amp;"","Buyer cheque banked 买家支票存入"&amp;IF(INDEX('Daily Sale entry '!$U$1:$U$1501,$J459-1499)="","", " - "&amp;INDEX('Daily Sale entry '!$U$1:$U$1501,$J459-1499))))</f>
        <v/>
      </c>
      <c r="C459">
        <f>IF($J459="","",IF($J459&lt;=1500,INDEX('Daily Sale entry '!$Z$1:$Z$1501,$J459+1)&amp;"","Cheque deposit 支票存入 (buyer 买家)"))</f>
        <v/>
      </c>
      <c r="D459">
        <f>IF($J459="","",IF($J459&lt;=1500,INDEX('Daily Sale entry '!$AA$1:$AA$1501,$J459+1)&amp;"",INDEX('Daily Sale entry '!$P$1:$P$1501,$J459-1499)&amp;""))</f>
        <v/>
      </c>
      <c r="E459">
        <f>IF($J459="","",IF($J459&lt;=1500,IF(N(INDEX('Daily Sale entry '!$AB$1:$AB$1501,$J459+1))=0,"",INDEX('Daily Sale entry '!$AB$1:$AB$1501,$J459+1)),1))</f>
        <v/>
      </c>
      <c r="F459" s="6">
        <f>IF($J459="","",IF($J459&lt;=1500,N(INDEX('Daily Sale entry '!$AC$1:$AC$1501,$J459+1))-IF(AND('Opening Balance'!$B$15=1,INDEX('Daily Sale entry '!$Z$1:$Z$1501,$J459+1)="Online collection 网上收款",INDEX('Daily Sale entry '!$AA$1:$AA$1501,$J459+1)&lt;&gt;""),N(INDEX('Daily Sale entry '!$AC$1:$AC$1501,$J459+1))-TRUNC(N(INDEX('Daily Sale entry '!$AC$1:$AC$1501,$J459+1))),0),N(INDEX('Daily Sale entry '!$S$1:$S$1501,$J459-1499))-'Opening Balance'!$B$15*(N(INDEX('Daily Sale entry '!$S$1:$S$1501,$J459-1499))-TRUNC(N(INDEX('Daily Sale entry '!$S$1:$S$1501,$J459-1499))))))</f>
        <v/>
      </c>
      <c r="G459" s="6">
        <f>IF($J459="","",IF($J459&lt;=1500,N(INDEX('Daily Sale entry '!$AD$1:$AD$1501,$J459+1)),0))</f>
        <v/>
      </c>
      <c r="H459" s="6">
        <f>IF($J459="","",ROUND('Opening Balance'!$B$4+SUM($F$2:F459)-SUM($G$2:G459),2))</f>
        <v/>
      </c>
      <c r="J459" s="21">
        <f>IFERROR(MATCH(ROW()-1,$L$2:$L$3001,0),"")</f>
        <v/>
      </c>
      <c r="K459" s="34">
        <f>IF(AND('Daily Sale entry '!X459&lt;&gt;"",OR('Daily Sale entry '!AC459&lt;&gt;"",'Daily Sale entry '!AD459&lt;&gt;"")),'Daily Sale entry '!X459+ROW()/10000000,"")</f>
        <v/>
      </c>
      <c r="L459" s="21">
        <f>IF(K459="","",COUNTIF($K$2:$K$3001,"&lt;"&amp;K459)+1)</f>
        <v/>
      </c>
    </row>
    <row r="460">
      <c r="A460" s="5">
        <f>IF($J460="","",IF($J460&lt;=1500,INDEX('Daily Sale entry '!$X$1:$X$1501,$J460+1),INDEX('Daily Sale entry '!$V$1:$V$1501,$J460-1499)))</f>
        <v/>
      </c>
      <c r="B460">
        <f>IF($J460="","",IF($J460&lt;=1500,INDEX('Daily Sale entry '!$Y$1:$Y$1501,$J460+1)&amp;"","Buyer cheque banked 买家支票存入"&amp;IF(INDEX('Daily Sale entry '!$U$1:$U$1501,$J460-1499)="","", " - "&amp;INDEX('Daily Sale entry '!$U$1:$U$1501,$J460-1499))))</f>
        <v/>
      </c>
      <c r="C460">
        <f>IF($J460="","",IF($J460&lt;=1500,INDEX('Daily Sale entry '!$Z$1:$Z$1501,$J460+1)&amp;"","Cheque deposit 支票存入 (buyer 买家)"))</f>
        <v/>
      </c>
      <c r="D460">
        <f>IF($J460="","",IF($J460&lt;=1500,INDEX('Daily Sale entry '!$AA$1:$AA$1501,$J460+1)&amp;"",INDEX('Daily Sale entry '!$P$1:$P$1501,$J460-1499)&amp;""))</f>
        <v/>
      </c>
      <c r="E460">
        <f>IF($J460="","",IF($J460&lt;=1500,IF(N(INDEX('Daily Sale entry '!$AB$1:$AB$1501,$J460+1))=0,"",INDEX('Daily Sale entry '!$AB$1:$AB$1501,$J460+1)),1))</f>
        <v/>
      </c>
      <c r="F460" s="6">
        <f>IF($J460="","",IF($J460&lt;=1500,N(INDEX('Daily Sale entry '!$AC$1:$AC$1501,$J460+1))-IF(AND('Opening Balance'!$B$15=1,INDEX('Daily Sale entry '!$Z$1:$Z$1501,$J460+1)="Online collection 网上收款",INDEX('Daily Sale entry '!$AA$1:$AA$1501,$J460+1)&lt;&gt;""),N(INDEX('Daily Sale entry '!$AC$1:$AC$1501,$J460+1))-TRUNC(N(INDEX('Daily Sale entry '!$AC$1:$AC$1501,$J460+1))),0),N(INDEX('Daily Sale entry '!$S$1:$S$1501,$J460-1499))-'Opening Balance'!$B$15*(N(INDEX('Daily Sale entry '!$S$1:$S$1501,$J460-1499))-TRUNC(N(INDEX('Daily Sale entry '!$S$1:$S$1501,$J460-1499))))))</f>
        <v/>
      </c>
      <c r="G460" s="6">
        <f>IF($J460="","",IF($J460&lt;=1500,N(INDEX('Daily Sale entry '!$AD$1:$AD$1501,$J460+1)),0))</f>
        <v/>
      </c>
      <c r="H460" s="6">
        <f>IF($J460="","",ROUND('Opening Balance'!$B$4+SUM($F$2:F460)-SUM($G$2:G460),2))</f>
        <v/>
      </c>
      <c r="J460" s="21">
        <f>IFERROR(MATCH(ROW()-1,$L$2:$L$3001,0),"")</f>
        <v/>
      </c>
      <c r="K460" s="34">
        <f>IF(AND('Daily Sale entry '!X460&lt;&gt;"",OR('Daily Sale entry '!AC460&lt;&gt;"",'Daily Sale entry '!AD460&lt;&gt;"")),'Daily Sale entry '!X460+ROW()/10000000,"")</f>
        <v/>
      </c>
      <c r="L460" s="21">
        <f>IF(K460="","",COUNTIF($K$2:$K$3001,"&lt;"&amp;K460)+1)</f>
        <v/>
      </c>
    </row>
    <row r="461">
      <c r="A461" s="5">
        <f>IF($J461="","",IF($J461&lt;=1500,INDEX('Daily Sale entry '!$X$1:$X$1501,$J461+1),INDEX('Daily Sale entry '!$V$1:$V$1501,$J461-1499)))</f>
        <v/>
      </c>
      <c r="B461">
        <f>IF($J461="","",IF($J461&lt;=1500,INDEX('Daily Sale entry '!$Y$1:$Y$1501,$J461+1)&amp;"","Buyer cheque banked 买家支票存入"&amp;IF(INDEX('Daily Sale entry '!$U$1:$U$1501,$J461-1499)="","", " - "&amp;INDEX('Daily Sale entry '!$U$1:$U$1501,$J461-1499))))</f>
        <v/>
      </c>
      <c r="C461">
        <f>IF($J461="","",IF($J461&lt;=1500,INDEX('Daily Sale entry '!$Z$1:$Z$1501,$J461+1)&amp;"","Cheque deposit 支票存入 (buyer 买家)"))</f>
        <v/>
      </c>
      <c r="D461">
        <f>IF($J461="","",IF($J461&lt;=1500,INDEX('Daily Sale entry '!$AA$1:$AA$1501,$J461+1)&amp;"",INDEX('Daily Sale entry '!$P$1:$P$1501,$J461-1499)&amp;""))</f>
        <v/>
      </c>
      <c r="E461">
        <f>IF($J461="","",IF($J461&lt;=1500,IF(N(INDEX('Daily Sale entry '!$AB$1:$AB$1501,$J461+1))=0,"",INDEX('Daily Sale entry '!$AB$1:$AB$1501,$J461+1)),1))</f>
        <v/>
      </c>
      <c r="F461" s="6">
        <f>IF($J461="","",IF($J461&lt;=1500,N(INDEX('Daily Sale entry '!$AC$1:$AC$1501,$J461+1))-IF(AND('Opening Balance'!$B$15=1,INDEX('Daily Sale entry '!$Z$1:$Z$1501,$J461+1)="Online collection 网上收款",INDEX('Daily Sale entry '!$AA$1:$AA$1501,$J461+1)&lt;&gt;""),N(INDEX('Daily Sale entry '!$AC$1:$AC$1501,$J461+1))-TRUNC(N(INDEX('Daily Sale entry '!$AC$1:$AC$1501,$J461+1))),0),N(INDEX('Daily Sale entry '!$S$1:$S$1501,$J461-1499))-'Opening Balance'!$B$15*(N(INDEX('Daily Sale entry '!$S$1:$S$1501,$J461-1499))-TRUNC(N(INDEX('Daily Sale entry '!$S$1:$S$1501,$J461-1499))))))</f>
        <v/>
      </c>
      <c r="G461" s="6">
        <f>IF($J461="","",IF($J461&lt;=1500,N(INDEX('Daily Sale entry '!$AD$1:$AD$1501,$J461+1)),0))</f>
        <v/>
      </c>
      <c r="H461" s="6">
        <f>IF($J461="","",ROUND('Opening Balance'!$B$4+SUM($F$2:F461)-SUM($G$2:G461),2))</f>
        <v/>
      </c>
      <c r="J461" s="21">
        <f>IFERROR(MATCH(ROW()-1,$L$2:$L$3001,0),"")</f>
        <v/>
      </c>
      <c r="K461" s="34">
        <f>IF(AND('Daily Sale entry '!X461&lt;&gt;"",OR('Daily Sale entry '!AC461&lt;&gt;"",'Daily Sale entry '!AD461&lt;&gt;"")),'Daily Sale entry '!X461+ROW()/10000000,"")</f>
        <v/>
      </c>
      <c r="L461" s="21">
        <f>IF(K461="","",COUNTIF($K$2:$K$3001,"&lt;"&amp;K461)+1)</f>
        <v/>
      </c>
    </row>
    <row r="462">
      <c r="A462" s="5">
        <f>IF($J462="","",IF($J462&lt;=1500,INDEX('Daily Sale entry '!$X$1:$X$1501,$J462+1),INDEX('Daily Sale entry '!$V$1:$V$1501,$J462-1499)))</f>
        <v/>
      </c>
      <c r="B462">
        <f>IF($J462="","",IF($J462&lt;=1500,INDEX('Daily Sale entry '!$Y$1:$Y$1501,$J462+1)&amp;"","Buyer cheque banked 买家支票存入"&amp;IF(INDEX('Daily Sale entry '!$U$1:$U$1501,$J462-1499)="","", " - "&amp;INDEX('Daily Sale entry '!$U$1:$U$1501,$J462-1499))))</f>
        <v/>
      </c>
      <c r="C462">
        <f>IF($J462="","",IF($J462&lt;=1500,INDEX('Daily Sale entry '!$Z$1:$Z$1501,$J462+1)&amp;"","Cheque deposit 支票存入 (buyer 买家)"))</f>
        <v/>
      </c>
      <c r="D462">
        <f>IF($J462="","",IF($J462&lt;=1500,INDEX('Daily Sale entry '!$AA$1:$AA$1501,$J462+1)&amp;"",INDEX('Daily Sale entry '!$P$1:$P$1501,$J462-1499)&amp;""))</f>
        <v/>
      </c>
      <c r="E462">
        <f>IF($J462="","",IF($J462&lt;=1500,IF(N(INDEX('Daily Sale entry '!$AB$1:$AB$1501,$J462+1))=0,"",INDEX('Daily Sale entry '!$AB$1:$AB$1501,$J462+1)),1))</f>
        <v/>
      </c>
      <c r="F462" s="6">
        <f>IF($J462="","",IF($J462&lt;=1500,N(INDEX('Daily Sale entry '!$AC$1:$AC$1501,$J462+1))-IF(AND('Opening Balance'!$B$15=1,INDEX('Daily Sale entry '!$Z$1:$Z$1501,$J462+1)="Online collection 网上收款",INDEX('Daily Sale entry '!$AA$1:$AA$1501,$J462+1)&lt;&gt;""),N(INDEX('Daily Sale entry '!$AC$1:$AC$1501,$J462+1))-TRUNC(N(INDEX('Daily Sale entry '!$AC$1:$AC$1501,$J462+1))),0),N(INDEX('Daily Sale entry '!$S$1:$S$1501,$J462-1499))-'Opening Balance'!$B$15*(N(INDEX('Daily Sale entry '!$S$1:$S$1501,$J462-1499))-TRUNC(N(INDEX('Daily Sale entry '!$S$1:$S$1501,$J462-1499))))))</f>
        <v/>
      </c>
      <c r="G462" s="6">
        <f>IF($J462="","",IF($J462&lt;=1500,N(INDEX('Daily Sale entry '!$AD$1:$AD$1501,$J462+1)),0))</f>
        <v/>
      </c>
      <c r="H462" s="6">
        <f>IF($J462="","",ROUND('Opening Balance'!$B$4+SUM($F$2:F462)-SUM($G$2:G462),2))</f>
        <v/>
      </c>
      <c r="J462" s="21">
        <f>IFERROR(MATCH(ROW()-1,$L$2:$L$3001,0),"")</f>
        <v/>
      </c>
      <c r="K462" s="34">
        <f>IF(AND('Daily Sale entry '!X462&lt;&gt;"",OR('Daily Sale entry '!AC462&lt;&gt;"",'Daily Sale entry '!AD462&lt;&gt;"")),'Daily Sale entry '!X462+ROW()/10000000,"")</f>
        <v/>
      </c>
      <c r="L462" s="21">
        <f>IF(K462="","",COUNTIF($K$2:$K$3001,"&lt;"&amp;K462)+1)</f>
        <v/>
      </c>
    </row>
    <row r="463">
      <c r="A463" s="5">
        <f>IF($J463="","",IF($J463&lt;=1500,INDEX('Daily Sale entry '!$X$1:$X$1501,$J463+1),INDEX('Daily Sale entry '!$V$1:$V$1501,$J463-1499)))</f>
        <v/>
      </c>
      <c r="B463">
        <f>IF($J463="","",IF($J463&lt;=1500,INDEX('Daily Sale entry '!$Y$1:$Y$1501,$J463+1)&amp;"","Buyer cheque banked 买家支票存入"&amp;IF(INDEX('Daily Sale entry '!$U$1:$U$1501,$J463-1499)="","", " - "&amp;INDEX('Daily Sale entry '!$U$1:$U$1501,$J463-1499))))</f>
        <v/>
      </c>
      <c r="C463">
        <f>IF($J463="","",IF($J463&lt;=1500,INDEX('Daily Sale entry '!$Z$1:$Z$1501,$J463+1)&amp;"","Cheque deposit 支票存入 (buyer 买家)"))</f>
        <v/>
      </c>
      <c r="D463">
        <f>IF($J463="","",IF($J463&lt;=1500,INDEX('Daily Sale entry '!$AA$1:$AA$1501,$J463+1)&amp;"",INDEX('Daily Sale entry '!$P$1:$P$1501,$J463-1499)&amp;""))</f>
        <v/>
      </c>
      <c r="E463">
        <f>IF($J463="","",IF($J463&lt;=1500,IF(N(INDEX('Daily Sale entry '!$AB$1:$AB$1501,$J463+1))=0,"",INDEX('Daily Sale entry '!$AB$1:$AB$1501,$J463+1)),1))</f>
        <v/>
      </c>
      <c r="F463" s="6">
        <f>IF($J463="","",IF($J463&lt;=1500,N(INDEX('Daily Sale entry '!$AC$1:$AC$1501,$J463+1))-IF(AND('Opening Balance'!$B$15=1,INDEX('Daily Sale entry '!$Z$1:$Z$1501,$J463+1)="Online collection 网上收款",INDEX('Daily Sale entry '!$AA$1:$AA$1501,$J463+1)&lt;&gt;""),N(INDEX('Daily Sale entry '!$AC$1:$AC$1501,$J463+1))-TRUNC(N(INDEX('Daily Sale entry '!$AC$1:$AC$1501,$J463+1))),0),N(INDEX('Daily Sale entry '!$S$1:$S$1501,$J463-1499))-'Opening Balance'!$B$15*(N(INDEX('Daily Sale entry '!$S$1:$S$1501,$J463-1499))-TRUNC(N(INDEX('Daily Sale entry '!$S$1:$S$1501,$J463-1499))))))</f>
        <v/>
      </c>
      <c r="G463" s="6">
        <f>IF($J463="","",IF($J463&lt;=1500,N(INDEX('Daily Sale entry '!$AD$1:$AD$1501,$J463+1)),0))</f>
        <v/>
      </c>
      <c r="H463" s="6">
        <f>IF($J463="","",ROUND('Opening Balance'!$B$4+SUM($F$2:F463)-SUM($G$2:G463),2))</f>
        <v/>
      </c>
      <c r="J463" s="21">
        <f>IFERROR(MATCH(ROW()-1,$L$2:$L$3001,0),"")</f>
        <v/>
      </c>
      <c r="K463" s="34">
        <f>IF(AND('Daily Sale entry '!X463&lt;&gt;"",OR('Daily Sale entry '!AC463&lt;&gt;"",'Daily Sale entry '!AD463&lt;&gt;"")),'Daily Sale entry '!X463+ROW()/10000000,"")</f>
        <v/>
      </c>
      <c r="L463" s="21">
        <f>IF(K463="","",COUNTIF($K$2:$K$3001,"&lt;"&amp;K463)+1)</f>
        <v/>
      </c>
    </row>
    <row r="464">
      <c r="A464" s="5">
        <f>IF($J464="","",IF($J464&lt;=1500,INDEX('Daily Sale entry '!$X$1:$X$1501,$J464+1),INDEX('Daily Sale entry '!$V$1:$V$1501,$J464-1499)))</f>
        <v/>
      </c>
      <c r="B464">
        <f>IF($J464="","",IF($J464&lt;=1500,INDEX('Daily Sale entry '!$Y$1:$Y$1501,$J464+1)&amp;"","Buyer cheque banked 买家支票存入"&amp;IF(INDEX('Daily Sale entry '!$U$1:$U$1501,$J464-1499)="","", " - "&amp;INDEX('Daily Sale entry '!$U$1:$U$1501,$J464-1499))))</f>
        <v/>
      </c>
      <c r="C464">
        <f>IF($J464="","",IF($J464&lt;=1500,INDEX('Daily Sale entry '!$Z$1:$Z$1501,$J464+1)&amp;"","Cheque deposit 支票存入 (buyer 买家)"))</f>
        <v/>
      </c>
      <c r="D464">
        <f>IF($J464="","",IF($J464&lt;=1500,INDEX('Daily Sale entry '!$AA$1:$AA$1501,$J464+1)&amp;"",INDEX('Daily Sale entry '!$P$1:$P$1501,$J464-1499)&amp;""))</f>
        <v/>
      </c>
      <c r="E464">
        <f>IF($J464="","",IF($J464&lt;=1500,IF(N(INDEX('Daily Sale entry '!$AB$1:$AB$1501,$J464+1))=0,"",INDEX('Daily Sale entry '!$AB$1:$AB$1501,$J464+1)),1))</f>
        <v/>
      </c>
      <c r="F464" s="6">
        <f>IF($J464="","",IF($J464&lt;=1500,N(INDEX('Daily Sale entry '!$AC$1:$AC$1501,$J464+1))-IF(AND('Opening Balance'!$B$15=1,INDEX('Daily Sale entry '!$Z$1:$Z$1501,$J464+1)="Online collection 网上收款",INDEX('Daily Sale entry '!$AA$1:$AA$1501,$J464+1)&lt;&gt;""),N(INDEX('Daily Sale entry '!$AC$1:$AC$1501,$J464+1))-TRUNC(N(INDEX('Daily Sale entry '!$AC$1:$AC$1501,$J464+1))),0),N(INDEX('Daily Sale entry '!$S$1:$S$1501,$J464-1499))-'Opening Balance'!$B$15*(N(INDEX('Daily Sale entry '!$S$1:$S$1501,$J464-1499))-TRUNC(N(INDEX('Daily Sale entry '!$S$1:$S$1501,$J464-1499))))))</f>
        <v/>
      </c>
      <c r="G464" s="6">
        <f>IF($J464="","",IF($J464&lt;=1500,N(INDEX('Daily Sale entry '!$AD$1:$AD$1501,$J464+1)),0))</f>
        <v/>
      </c>
      <c r="H464" s="6">
        <f>IF($J464="","",ROUND('Opening Balance'!$B$4+SUM($F$2:F464)-SUM($G$2:G464),2))</f>
        <v/>
      </c>
      <c r="J464" s="21">
        <f>IFERROR(MATCH(ROW()-1,$L$2:$L$3001,0),"")</f>
        <v/>
      </c>
      <c r="K464" s="34">
        <f>IF(AND('Daily Sale entry '!X464&lt;&gt;"",OR('Daily Sale entry '!AC464&lt;&gt;"",'Daily Sale entry '!AD464&lt;&gt;"")),'Daily Sale entry '!X464+ROW()/10000000,"")</f>
        <v/>
      </c>
      <c r="L464" s="21">
        <f>IF(K464="","",COUNTIF($K$2:$K$3001,"&lt;"&amp;K464)+1)</f>
        <v/>
      </c>
    </row>
    <row r="465">
      <c r="A465" s="5">
        <f>IF($J465="","",IF($J465&lt;=1500,INDEX('Daily Sale entry '!$X$1:$X$1501,$J465+1),INDEX('Daily Sale entry '!$V$1:$V$1501,$J465-1499)))</f>
        <v/>
      </c>
      <c r="B465">
        <f>IF($J465="","",IF($J465&lt;=1500,INDEX('Daily Sale entry '!$Y$1:$Y$1501,$J465+1)&amp;"","Buyer cheque banked 买家支票存入"&amp;IF(INDEX('Daily Sale entry '!$U$1:$U$1501,$J465-1499)="","", " - "&amp;INDEX('Daily Sale entry '!$U$1:$U$1501,$J465-1499))))</f>
        <v/>
      </c>
      <c r="C465">
        <f>IF($J465="","",IF($J465&lt;=1500,INDEX('Daily Sale entry '!$Z$1:$Z$1501,$J465+1)&amp;"","Cheque deposit 支票存入 (buyer 买家)"))</f>
        <v/>
      </c>
      <c r="D465">
        <f>IF($J465="","",IF($J465&lt;=1500,INDEX('Daily Sale entry '!$AA$1:$AA$1501,$J465+1)&amp;"",INDEX('Daily Sale entry '!$P$1:$P$1501,$J465-1499)&amp;""))</f>
        <v/>
      </c>
      <c r="E465">
        <f>IF($J465="","",IF($J465&lt;=1500,IF(N(INDEX('Daily Sale entry '!$AB$1:$AB$1501,$J465+1))=0,"",INDEX('Daily Sale entry '!$AB$1:$AB$1501,$J465+1)),1))</f>
        <v/>
      </c>
      <c r="F465" s="6">
        <f>IF($J465="","",IF($J465&lt;=1500,N(INDEX('Daily Sale entry '!$AC$1:$AC$1501,$J465+1))-IF(AND('Opening Balance'!$B$15=1,INDEX('Daily Sale entry '!$Z$1:$Z$1501,$J465+1)="Online collection 网上收款",INDEX('Daily Sale entry '!$AA$1:$AA$1501,$J465+1)&lt;&gt;""),N(INDEX('Daily Sale entry '!$AC$1:$AC$1501,$J465+1))-TRUNC(N(INDEX('Daily Sale entry '!$AC$1:$AC$1501,$J465+1))),0),N(INDEX('Daily Sale entry '!$S$1:$S$1501,$J465-1499))-'Opening Balance'!$B$15*(N(INDEX('Daily Sale entry '!$S$1:$S$1501,$J465-1499))-TRUNC(N(INDEX('Daily Sale entry '!$S$1:$S$1501,$J465-1499))))))</f>
        <v/>
      </c>
      <c r="G465" s="6">
        <f>IF($J465="","",IF($J465&lt;=1500,N(INDEX('Daily Sale entry '!$AD$1:$AD$1501,$J465+1)),0))</f>
        <v/>
      </c>
      <c r="H465" s="6">
        <f>IF($J465="","",ROUND('Opening Balance'!$B$4+SUM($F$2:F465)-SUM($G$2:G465),2))</f>
        <v/>
      </c>
      <c r="J465" s="21">
        <f>IFERROR(MATCH(ROW()-1,$L$2:$L$3001,0),"")</f>
        <v/>
      </c>
      <c r="K465" s="34">
        <f>IF(AND('Daily Sale entry '!X465&lt;&gt;"",OR('Daily Sale entry '!AC465&lt;&gt;"",'Daily Sale entry '!AD465&lt;&gt;"")),'Daily Sale entry '!X465+ROW()/10000000,"")</f>
        <v/>
      </c>
      <c r="L465" s="21">
        <f>IF(K465="","",COUNTIF($K$2:$K$3001,"&lt;"&amp;K465)+1)</f>
        <v/>
      </c>
    </row>
    <row r="466">
      <c r="A466" s="5">
        <f>IF($J466="","",IF($J466&lt;=1500,INDEX('Daily Sale entry '!$X$1:$X$1501,$J466+1),INDEX('Daily Sale entry '!$V$1:$V$1501,$J466-1499)))</f>
        <v/>
      </c>
      <c r="B466">
        <f>IF($J466="","",IF($J466&lt;=1500,INDEX('Daily Sale entry '!$Y$1:$Y$1501,$J466+1)&amp;"","Buyer cheque banked 买家支票存入"&amp;IF(INDEX('Daily Sale entry '!$U$1:$U$1501,$J466-1499)="","", " - "&amp;INDEX('Daily Sale entry '!$U$1:$U$1501,$J466-1499))))</f>
        <v/>
      </c>
      <c r="C466">
        <f>IF($J466="","",IF($J466&lt;=1500,INDEX('Daily Sale entry '!$Z$1:$Z$1501,$J466+1)&amp;"","Cheque deposit 支票存入 (buyer 买家)"))</f>
        <v/>
      </c>
      <c r="D466">
        <f>IF($J466="","",IF($J466&lt;=1500,INDEX('Daily Sale entry '!$AA$1:$AA$1501,$J466+1)&amp;"",INDEX('Daily Sale entry '!$P$1:$P$1501,$J466-1499)&amp;""))</f>
        <v/>
      </c>
      <c r="E466">
        <f>IF($J466="","",IF($J466&lt;=1500,IF(N(INDEX('Daily Sale entry '!$AB$1:$AB$1501,$J466+1))=0,"",INDEX('Daily Sale entry '!$AB$1:$AB$1501,$J466+1)),1))</f>
        <v/>
      </c>
      <c r="F466" s="6">
        <f>IF($J466="","",IF($J466&lt;=1500,N(INDEX('Daily Sale entry '!$AC$1:$AC$1501,$J466+1))-IF(AND('Opening Balance'!$B$15=1,INDEX('Daily Sale entry '!$Z$1:$Z$1501,$J466+1)="Online collection 网上收款",INDEX('Daily Sale entry '!$AA$1:$AA$1501,$J466+1)&lt;&gt;""),N(INDEX('Daily Sale entry '!$AC$1:$AC$1501,$J466+1))-TRUNC(N(INDEX('Daily Sale entry '!$AC$1:$AC$1501,$J466+1))),0),N(INDEX('Daily Sale entry '!$S$1:$S$1501,$J466-1499))-'Opening Balance'!$B$15*(N(INDEX('Daily Sale entry '!$S$1:$S$1501,$J466-1499))-TRUNC(N(INDEX('Daily Sale entry '!$S$1:$S$1501,$J466-1499))))))</f>
        <v/>
      </c>
      <c r="G466" s="6">
        <f>IF($J466="","",IF($J466&lt;=1500,N(INDEX('Daily Sale entry '!$AD$1:$AD$1501,$J466+1)),0))</f>
        <v/>
      </c>
      <c r="H466" s="6">
        <f>IF($J466="","",ROUND('Opening Balance'!$B$4+SUM($F$2:F466)-SUM($G$2:G466),2))</f>
        <v/>
      </c>
      <c r="J466" s="21">
        <f>IFERROR(MATCH(ROW()-1,$L$2:$L$3001,0),"")</f>
        <v/>
      </c>
      <c r="K466" s="34">
        <f>IF(AND('Daily Sale entry '!X466&lt;&gt;"",OR('Daily Sale entry '!AC466&lt;&gt;"",'Daily Sale entry '!AD466&lt;&gt;"")),'Daily Sale entry '!X466+ROW()/10000000,"")</f>
        <v/>
      </c>
      <c r="L466" s="21">
        <f>IF(K466="","",COUNTIF($K$2:$K$3001,"&lt;"&amp;K466)+1)</f>
        <v/>
      </c>
    </row>
    <row r="467">
      <c r="A467" s="5">
        <f>IF($J467="","",IF($J467&lt;=1500,INDEX('Daily Sale entry '!$X$1:$X$1501,$J467+1),INDEX('Daily Sale entry '!$V$1:$V$1501,$J467-1499)))</f>
        <v/>
      </c>
      <c r="B467">
        <f>IF($J467="","",IF($J467&lt;=1500,INDEX('Daily Sale entry '!$Y$1:$Y$1501,$J467+1)&amp;"","Buyer cheque banked 买家支票存入"&amp;IF(INDEX('Daily Sale entry '!$U$1:$U$1501,$J467-1499)="","", " - "&amp;INDEX('Daily Sale entry '!$U$1:$U$1501,$J467-1499))))</f>
        <v/>
      </c>
      <c r="C467">
        <f>IF($J467="","",IF($J467&lt;=1500,INDEX('Daily Sale entry '!$Z$1:$Z$1501,$J467+1)&amp;"","Cheque deposit 支票存入 (buyer 买家)"))</f>
        <v/>
      </c>
      <c r="D467">
        <f>IF($J467="","",IF($J467&lt;=1500,INDEX('Daily Sale entry '!$AA$1:$AA$1501,$J467+1)&amp;"",INDEX('Daily Sale entry '!$P$1:$P$1501,$J467-1499)&amp;""))</f>
        <v/>
      </c>
      <c r="E467">
        <f>IF($J467="","",IF($J467&lt;=1500,IF(N(INDEX('Daily Sale entry '!$AB$1:$AB$1501,$J467+1))=0,"",INDEX('Daily Sale entry '!$AB$1:$AB$1501,$J467+1)),1))</f>
        <v/>
      </c>
      <c r="F467" s="6">
        <f>IF($J467="","",IF($J467&lt;=1500,N(INDEX('Daily Sale entry '!$AC$1:$AC$1501,$J467+1))-IF(AND('Opening Balance'!$B$15=1,INDEX('Daily Sale entry '!$Z$1:$Z$1501,$J467+1)="Online collection 网上收款",INDEX('Daily Sale entry '!$AA$1:$AA$1501,$J467+1)&lt;&gt;""),N(INDEX('Daily Sale entry '!$AC$1:$AC$1501,$J467+1))-TRUNC(N(INDEX('Daily Sale entry '!$AC$1:$AC$1501,$J467+1))),0),N(INDEX('Daily Sale entry '!$S$1:$S$1501,$J467-1499))-'Opening Balance'!$B$15*(N(INDEX('Daily Sale entry '!$S$1:$S$1501,$J467-1499))-TRUNC(N(INDEX('Daily Sale entry '!$S$1:$S$1501,$J467-1499))))))</f>
        <v/>
      </c>
      <c r="G467" s="6">
        <f>IF($J467="","",IF($J467&lt;=1500,N(INDEX('Daily Sale entry '!$AD$1:$AD$1501,$J467+1)),0))</f>
        <v/>
      </c>
      <c r="H467" s="6">
        <f>IF($J467="","",ROUND('Opening Balance'!$B$4+SUM($F$2:F467)-SUM($G$2:G467),2))</f>
        <v/>
      </c>
      <c r="J467" s="21">
        <f>IFERROR(MATCH(ROW()-1,$L$2:$L$3001,0),"")</f>
        <v/>
      </c>
      <c r="K467" s="34">
        <f>IF(AND('Daily Sale entry '!X467&lt;&gt;"",OR('Daily Sale entry '!AC467&lt;&gt;"",'Daily Sale entry '!AD467&lt;&gt;"")),'Daily Sale entry '!X467+ROW()/10000000,"")</f>
        <v/>
      </c>
      <c r="L467" s="21">
        <f>IF(K467="","",COUNTIF($K$2:$K$3001,"&lt;"&amp;K467)+1)</f>
        <v/>
      </c>
    </row>
    <row r="468">
      <c r="A468" s="5">
        <f>IF($J468="","",IF($J468&lt;=1500,INDEX('Daily Sale entry '!$X$1:$X$1501,$J468+1),INDEX('Daily Sale entry '!$V$1:$V$1501,$J468-1499)))</f>
        <v/>
      </c>
      <c r="B468">
        <f>IF($J468="","",IF($J468&lt;=1500,INDEX('Daily Sale entry '!$Y$1:$Y$1501,$J468+1)&amp;"","Buyer cheque banked 买家支票存入"&amp;IF(INDEX('Daily Sale entry '!$U$1:$U$1501,$J468-1499)="","", " - "&amp;INDEX('Daily Sale entry '!$U$1:$U$1501,$J468-1499))))</f>
        <v/>
      </c>
      <c r="C468">
        <f>IF($J468="","",IF($J468&lt;=1500,INDEX('Daily Sale entry '!$Z$1:$Z$1501,$J468+1)&amp;"","Cheque deposit 支票存入 (buyer 买家)"))</f>
        <v/>
      </c>
      <c r="D468">
        <f>IF($J468="","",IF($J468&lt;=1500,INDEX('Daily Sale entry '!$AA$1:$AA$1501,$J468+1)&amp;"",INDEX('Daily Sale entry '!$P$1:$P$1501,$J468-1499)&amp;""))</f>
        <v/>
      </c>
      <c r="E468">
        <f>IF($J468="","",IF($J468&lt;=1500,IF(N(INDEX('Daily Sale entry '!$AB$1:$AB$1501,$J468+1))=0,"",INDEX('Daily Sale entry '!$AB$1:$AB$1501,$J468+1)),1))</f>
        <v/>
      </c>
      <c r="F468" s="6">
        <f>IF($J468="","",IF($J468&lt;=1500,N(INDEX('Daily Sale entry '!$AC$1:$AC$1501,$J468+1))-IF(AND('Opening Balance'!$B$15=1,INDEX('Daily Sale entry '!$Z$1:$Z$1501,$J468+1)="Online collection 网上收款",INDEX('Daily Sale entry '!$AA$1:$AA$1501,$J468+1)&lt;&gt;""),N(INDEX('Daily Sale entry '!$AC$1:$AC$1501,$J468+1))-TRUNC(N(INDEX('Daily Sale entry '!$AC$1:$AC$1501,$J468+1))),0),N(INDEX('Daily Sale entry '!$S$1:$S$1501,$J468-1499))-'Opening Balance'!$B$15*(N(INDEX('Daily Sale entry '!$S$1:$S$1501,$J468-1499))-TRUNC(N(INDEX('Daily Sale entry '!$S$1:$S$1501,$J468-1499))))))</f>
        <v/>
      </c>
      <c r="G468" s="6">
        <f>IF($J468="","",IF($J468&lt;=1500,N(INDEX('Daily Sale entry '!$AD$1:$AD$1501,$J468+1)),0))</f>
        <v/>
      </c>
      <c r="H468" s="6">
        <f>IF($J468="","",ROUND('Opening Balance'!$B$4+SUM($F$2:F468)-SUM($G$2:G468),2))</f>
        <v/>
      </c>
      <c r="J468" s="21">
        <f>IFERROR(MATCH(ROW()-1,$L$2:$L$3001,0),"")</f>
        <v/>
      </c>
      <c r="K468" s="34">
        <f>IF(AND('Daily Sale entry '!X468&lt;&gt;"",OR('Daily Sale entry '!AC468&lt;&gt;"",'Daily Sale entry '!AD468&lt;&gt;"")),'Daily Sale entry '!X468+ROW()/10000000,"")</f>
        <v/>
      </c>
      <c r="L468" s="21">
        <f>IF(K468="","",COUNTIF($K$2:$K$3001,"&lt;"&amp;K468)+1)</f>
        <v/>
      </c>
    </row>
    <row r="469">
      <c r="A469" s="5">
        <f>IF($J469="","",IF($J469&lt;=1500,INDEX('Daily Sale entry '!$X$1:$X$1501,$J469+1),INDEX('Daily Sale entry '!$V$1:$V$1501,$J469-1499)))</f>
        <v/>
      </c>
      <c r="B469">
        <f>IF($J469="","",IF($J469&lt;=1500,INDEX('Daily Sale entry '!$Y$1:$Y$1501,$J469+1)&amp;"","Buyer cheque banked 买家支票存入"&amp;IF(INDEX('Daily Sale entry '!$U$1:$U$1501,$J469-1499)="","", " - "&amp;INDEX('Daily Sale entry '!$U$1:$U$1501,$J469-1499))))</f>
        <v/>
      </c>
      <c r="C469">
        <f>IF($J469="","",IF($J469&lt;=1500,INDEX('Daily Sale entry '!$Z$1:$Z$1501,$J469+1)&amp;"","Cheque deposit 支票存入 (buyer 买家)"))</f>
        <v/>
      </c>
      <c r="D469">
        <f>IF($J469="","",IF($J469&lt;=1500,INDEX('Daily Sale entry '!$AA$1:$AA$1501,$J469+1)&amp;"",INDEX('Daily Sale entry '!$P$1:$P$1501,$J469-1499)&amp;""))</f>
        <v/>
      </c>
      <c r="E469">
        <f>IF($J469="","",IF($J469&lt;=1500,IF(N(INDEX('Daily Sale entry '!$AB$1:$AB$1501,$J469+1))=0,"",INDEX('Daily Sale entry '!$AB$1:$AB$1501,$J469+1)),1))</f>
        <v/>
      </c>
      <c r="F469" s="6">
        <f>IF($J469="","",IF($J469&lt;=1500,N(INDEX('Daily Sale entry '!$AC$1:$AC$1501,$J469+1))-IF(AND('Opening Balance'!$B$15=1,INDEX('Daily Sale entry '!$Z$1:$Z$1501,$J469+1)="Online collection 网上收款",INDEX('Daily Sale entry '!$AA$1:$AA$1501,$J469+1)&lt;&gt;""),N(INDEX('Daily Sale entry '!$AC$1:$AC$1501,$J469+1))-TRUNC(N(INDEX('Daily Sale entry '!$AC$1:$AC$1501,$J469+1))),0),N(INDEX('Daily Sale entry '!$S$1:$S$1501,$J469-1499))-'Opening Balance'!$B$15*(N(INDEX('Daily Sale entry '!$S$1:$S$1501,$J469-1499))-TRUNC(N(INDEX('Daily Sale entry '!$S$1:$S$1501,$J469-1499))))))</f>
        <v/>
      </c>
      <c r="G469" s="6">
        <f>IF($J469="","",IF($J469&lt;=1500,N(INDEX('Daily Sale entry '!$AD$1:$AD$1501,$J469+1)),0))</f>
        <v/>
      </c>
      <c r="H469" s="6">
        <f>IF($J469="","",ROUND('Opening Balance'!$B$4+SUM($F$2:F469)-SUM($G$2:G469),2))</f>
        <v/>
      </c>
      <c r="J469" s="21">
        <f>IFERROR(MATCH(ROW()-1,$L$2:$L$3001,0),"")</f>
        <v/>
      </c>
      <c r="K469" s="34">
        <f>IF(AND('Daily Sale entry '!X469&lt;&gt;"",OR('Daily Sale entry '!AC469&lt;&gt;"",'Daily Sale entry '!AD469&lt;&gt;"")),'Daily Sale entry '!X469+ROW()/10000000,"")</f>
        <v/>
      </c>
      <c r="L469" s="21">
        <f>IF(K469="","",COUNTIF($K$2:$K$3001,"&lt;"&amp;K469)+1)</f>
        <v/>
      </c>
    </row>
    <row r="470">
      <c r="A470" s="5">
        <f>IF($J470="","",IF($J470&lt;=1500,INDEX('Daily Sale entry '!$X$1:$X$1501,$J470+1),INDEX('Daily Sale entry '!$V$1:$V$1501,$J470-1499)))</f>
        <v/>
      </c>
      <c r="B470">
        <f>IF($J470="","",IF($J470&lt;=1500,INDEX('Daily Sale entry '!$Y$1:$Y$1501,$J470+1)&amp;"","Buyer cheque banked 买家支票存入"&amp;IF(INDEX('Daily Sale entry '!$U$1:$U$1501,$J470-1499)="","", " - "&amp;INDEX('Daily Sale entry '!$U$1:$U$1501,$J470-1499))))</f>
        <v/>
      </c>
      <c r="C470">
        <f>IF($J470="","",IF($J470&lt;=1500,INDEX('Daily Sale entry '!$Z$1:$Z$1501,$J470+1)&amp;"","Cheque deposit 支票存入 (buyer 买家)"))</f>
        <v/>
      </c>
      <c r="D470">
        <f>IF($J470="","",IF($J470&lt;=1500,INDEX('Daily Sale entry '!$AA$1:$AA$1501,$J470+1)&amp;"",INDEX('Daily Sale entry '!$P$1:$P$1501,$J470-1499)&amp;""))</f>
        <v/>
      </c>
      <c r="E470">
        <f>IF($J470="","",IF($J470&lt;=1500,IF(N(INDEX('Daily Sale entry '!$AB$1:$AB$1501,$J470+1))=0,"",INDEX('Daily Sale entry '!$AB$1:$AB$1501,$J470+1)),1))</f>
        <v/>
      </c>
      <c r="F470" s="6">
        <f>IF($J470="","",IF($J470&lt;=1500,N(INDEX('Daily Sale entry '!$AC$1:$AC$1501,$J470+1))-IF(AND('Opening Balance'!$B$15=1,INDEX('Daily Sale entry '!$Z$1:$Z$1501,$J470+1)="Online collection 网上收款",INDEX('Daily Sale entry '!$AA$1:$AA$1501,$J470+1)&lt;&gt;""),N(INDEX('Daily Sale entry '!$AC$1:$AC$1501,$J470+1))-TRUNC(N(INDEX('Daily Sale entry '!$AC$1:$AC$1501,$J470+1))),0),N(INDEX('Daily Sale entry '!$S$1:$S$1501,$J470-1499))-'Opening Balance'!$B$15*(N(INDEX('Daily Sale entry '!$S$1:$S$1501,$J470-1499))-TRUNC(N(INDEX('Daily Sale entry '!$S$1:$S$1501,$J470-1499))))))</f>
        <v/>
      </c>
      <c r="G470" s="6">
        <f>IF($J470="","",IF($J470&lt;=1500,N(INDEX('Daily Sale entry '!$AD$1:$AD$1501,$J470+1)),0))</f>
        <v/>
      </c>
      <c r="H470" s="6">
        <f>IF($J470="","",ROUND('Opening Balance'!$B$4+SUM($F$2:F470)-SUM($G$2:G470),2))</f>
        <v/>
      </c>
      <c r="J470" s="21">
        <f>IFERROR(MATCH(ROW()-1,$L$2:$L$3001,0),"")</f>
        <v/>
      </c>
      <c r="K470" s="34">
        <f>IF(AND('Daily Sale entry '!X470&lt;&gt;"",OR('Daily Sale entry '!AC470&lt;&gt;"",'Daily Sale entry '!AD470&lt;&gt;"")),'Daily Sale entry '!X470+ROW()/10000000,"")</f>
        <v/>
      </c>
      <c r="L470" s="21">
        <f>IF(K470="","",COUNTIF($K$2:$K$3001,"&lt;"&amp;K470)+1)</f>
        <v/>
      </c>
    </row>
    <row r="471">
      <c r="A471" s="5">
        <f>IF($J471="","",IF($J471&lt;=1500,INDEX('Daily Sale entry '!$X$1:$X$1501,$J471+1),INDEX('Daily Sale entry '!$V$1:$V$1501,$J471-1499)))</f>
        <v/>
      </c>
      <c r="B471">
        <f>IF($J471="","",IF($J471&lt;=1500,INDEX('Daily Sale entry '!$Y$1:$Y$1501,$J471+1)&amp;"","Buyer cheque banked 买家支票存入"&amp;IF(INDEX('Daily Sale entry '!$U$1:$U$1501,$J471-1499)="","", " - "&amp;INDEX('Daily Sale entry '!$U$1:$U$1501,$J471-1499))))</f>
        <v/>
      </c>
      <c r="C471">
        <f>IF($J471="","",IF($J471&lt;=1500,INDEX('Daily Sale entry '!$Z$1:$Z$1501,$J471+1)&amp;"","Cheque deposit 支票存入 (buyer 买家)"))</f>
        <v/>
      </c>
      <c r="D471">
        <f>IF($J471="","",IF($J471&lt;=1500,INDEX('Daily Sale entry '!$AA$1:$AA$1501,$J471+1)&amp;"",INDEX('Daily Sale entry '!$P$1:$P$1501,$J471-1499)&amp;""))</f>
        <v/>
      </c>
      <c r="E471">
        <f>IF($J471="","",IF($J471&lt;=1500,IF(N(INDEX('Daily Sale entry '!$AB$1:$AB$1501,$J471+1))=0,"",INDEX('Daily Sale entry '!$AB$1:$AB$1501,$J471+1)),1))</f>
        <v/>
      </c>
      <c r="F471" s="6">
        <f>IF($J471="","",IF($J471&lt;=1500,N(INDEX('Daily Sale entry '!$AC$1:$AC$1501,$J471+1))-IF(AND('Opening Balance'!$B$15=1,INDEX('Daily Sale entry '!$Z$1:$Z$1501,$J471+1)="Online collection 网上收款",INDEX('Daily Sale entry '!$AA$1:$AA$1501,$J471+1)&lt;&gt;""),N(INDEX('Daily Sale entry '!$AC$1:$AC$1501,$J471+1))-TRUNC(N(INDEX('Daily Sale entry '!$AC$1:$AC$1501,$J471+1))),0),N(INDEX('Daily Sale entry '!$S$1:$S$1501,$J471-1499))-'Opening Balance'!$B$15*(N(INDEX('Daily Sale entry '!$S$1:$S$1501,$J471-1499))-TRUNC(N(INDEX('Daily Sale entry '!$S$1:$S$1501,$J471-1499))))))</f>
        <v/>
      </c>
      <c r="G471" s="6">
        <f>IF($J471="","",IF($J471&lt;=1500,N(INDEX('Daily Sale entry '!$AD$1:$AD$1501,$J471+1)),0))</f>
        <v/>
      </c>
      <c r="H471" s="6">
        <f>IF($J471="","",ROUND('Opening Balance'!$B$4+SUM($F$2:F471)-SUM($G$2:G471),2))</f>
        <v/>
      </c>
      <c r="J471" s="21">
        <f>IFERROR(MATCH(ROW()-1,$L$2:$L$3001,0),"")</f>
        <v/>
      </c>
      <c r="K471" s="34">
        <f>IF(AND('Daily Sale entry '!X471&lt;&gt;"",OR('Daily Sale entry '!AC471&lt;&gt;"",'Daily Sale entry '!AD471&lt;&gt;"")),'Daily Sale entry '!X471+ROW()/10000000,"")</f>
        <v/>
      </c>
      <c r="L471" s="21">
        <f>IF(K471="","",COUNTIF($K$2:$K$3001,"&lt;"&amp;K471)+1)</f>
        <v/>
      </c>
    </row>
    <row r="472">
      <c r="A472" s="5">
        <f>IF($J472="","",IF($J472&lt;=1500,INDEX('Daily Sale entry '!$X$1:$X$1501,$J472+1),INDEX('Daily Sale entry '!$V$1:$V$1501,$J472-1499)))</f>
        <v/>
      </c>
      <c r="B472">
        <f>IF($J472="","",IF($J472&lt;=1500,INDEX('Daily Sale entry '!$Y$1:$Y$1501,$J472+1)&amp;"","Buyer cheque banked 买家支票存入"&amp;IF(INDEX('Daily Sale entry '!$U$1:$U$1501,$J472-1499)="","", " - "&amp;INDEX('Daily Sale entry '!$U$1:$U$1501,$J472-1499))))</f>
        <v/>
      </c>
      <c r="C472">
        <f>IF($J472="","",IF($J472&lt;=1500,INDEX('Daily Sale entry '!$Z$1:$Z$1501,$J472+1)&amp;"","Cheque deposit 支票存入 (buyer 买家)"))</f>
        <v/>
      </c>
      <c r="D472">
        <f>IF($J472="","",IF($J472&lt;=1500,INDEX('Daily Sale entry '!$AA$1:$AA$1501,$J472+1)&amp;"",INDEX('Daily Sale entry '!$P$1:$P$1501,$J472-1499)&amp;""))</f>
        <v/>
      </c>
      <c r="E472">
        <f>IF($J472="","",IF($J472&lt;=1500,IF(N(INDEX('Daily Sale entry '!$AB$1:$AB$1501,$J472+1))=0,"",INDEX('Daily Sale entry '!$AB$1:$AB$1501,$J472+1)),1))</f>
        <v/>
      </c>
      <c r="F472" s="6">
        <f>IF($J472="","",IF($J472&lt;=1500,N(INDEX('Daily Sale entry '!$AC$1:$AC$1501,$J472+1))-IF(AND('Opening Balance'!$B$15=1,INDEX('Daily Sale entry '!$Z$1:$Z$1501,$J472+1)="Online collection 网上收款",INDEX('Daily Sale entry '!$AA$1:$AA$1501,$J472+1)&lt;&gt;""),N(INDEX('Daily Sale entry '!$AC$1:$AC$1501,$J472+1))-TRUNC(N(INDEX('Daily Sale entry '!$AC$1:$AC$1501,$J472+1))),0),N(INDEX('Daily Sale entry '!$S$1:$S$1501,$J472-1499))-'Opening Balance'!$B$15*(N(INDEX('Daily Sale entry '!$S$1:$S$1501,$J472-1499))-TRUNC(N(INDEX('Daily Sale entry '!$S$1:$S$1501,$J472-1499))))))</f>
        <v/>
      </c>
      <c r="G472" s="6">
        <f>IF($J472="","",IF($J472&lt;=1500,N(INDEX('Daily Sale entry '!$AD$1:$AD$1501,$J472+1)),0))</f>
        <v/>
      </c>
      <c r="H472" s="6">
        <f>IF($J472="","",ROUND('Opening Balance'!$B$4+SUM($F$2:F472)-SUM($G$2:G472),2))</f>
        <v/>
      </c>
      <c r="J472" s="21">
        <f>IFERROR(MATCH(ROW()-1,$L$2:$L$3001,0),"")</f>
        <v/>
      </c>
      <c r="K472" s="34">
        <f>IF(AND('Daily Sale entry '!X472&lt;&gt;"",OR('Daily Sale entry '!AC472&lt;&gt;"",'Daily Sale entry '!AD472&lt;&gt;"")),'Daily Sale entry '!X472+ROW()/10000000,"")</f>
        <v/>
      </c>
      <c r="L472" s="21">
        <f>IF(K472="","",COUNTIF($K$2:$K$3001,"&lt;"&amp;K472)+1)</f>
        <v/>
      </c>
    </row>
    <row r="473">
      <c r="A473" s="5">
        <f>IF($J473="","",IF($J473&lt;=1500,INDEX('Daily Sale entry '!$X$1:$X$1501,$J473+1),INDEX('Daily Sale entry '!$V$1:$V$1501,$J473-1499)))</f>
        <v/>
      </c>
      <c r="B473">
        <f>IF($J473="","",IF($J473&lt;=1500,INDEX('Daily Sale entry '!$Y$1:$Y$1501,$J473+1)&amp;"","Buyer cheque banked 买家支票存入"&amp;IF(INDEX('Daily Sale entry '!$U$1:$U$1501,$J473-1499)="","", " - "&amp;INDEX('Daily Sale entry '!$U$1:$U$1501,$J473-1499))))</f>
        <v/>
      </c>
      <c r="C473">
        <f>IF($J473="","",IF($J473&lt;=1500,INDEX('Daily Sale entry '!$Z$1:$Z$1501,$J473+1)&amp;"","Cheque deposit 支票存入 (buyer 买家)"))</f>
        <v/>
      </c>
      <c r="D473">
        <f>IF($J473="","",IF($J473&lt;=1500,INDEX('Daily Sale entry '!$AA$1:$AA$1501,$J473+1)&amp;"",INDEX('Daily Sale entry '!$P$1:$P$1501,$J473-1499)&amp;""))</f>
        <v/>
      </c>
      <c r="E473">
        <f>IF($J473="","",IF($J473&lt;=1500,IF(N(INDEX('Daily Sale entry '!$AB$1:$AB$1501,$J473+1))=0,"",INDEX('Daily Sale entry '!$AB$1:$AB$1501,$J473+1)),1))</f>
        <v/>
      </c>
      <c r="F473" s="6">
        <f>IF($J473="","",IF($J473&lt;=1500,N(INDEX('Daily Sale entry '!$AC$1:$AC$1501,$J473+1))-IF(AND('Opening Balance'!$B$15=1,INDEX('Daily Sale entry '!$Z$1:$Z$1501,$J473+1)="Online collection 网上收款",INDEX('Daily Sale entry '!$AA$1:$AA$1501,$J473+1)&lt;&gt;""),N(INDEX('Daily Sale entry '!$AC$1:$AC$1501,$J473+1))-TRUNC(N(INDEX('Daily Sale entry '!$AC$1:$AC$1501,$J473+1))),0),N(INDEX('Daily Sale entry '!$S$1:$S$1501,$J473-1499))-'Opening Balance'!$B$15*(N(INDEX('Daily Sale entry '!$S$1:$S$1501,$J473-1499))-TRUNC(N(INDEX('Daily Sale entry '!$S$1:$S$1501,$J473-1499))))))</f>
        <v/>
      </c>
      <c r="G473" s="6">
        <f>IF($J473="","",IF($J473&lt;=1500,N(INDEX('Daily Sale entry '!$AD$1:$AD$1501,$J473+1)),0))</f>
        <v/>
      </c>
      <c r="H473" s="6">
        <f>IF($J473="","",ROUND('Opening Balance'!$B$4+SUM($F$2:F473)-SUM($G$2:G473),2))</f>
        <v/>
      </c>
      <c r="J473" s="21">
        <f>IFERROR(MATCH(ROW()-1,$L$2:$L$3001,0),"")</f>
        <v/>
      </c>
      <c r="K473" s="34">
        <f>IF(AND('Daily Sale entry '!X473&lt;&gt;"",OR('Daily Sale entry '!AC473&lt;&gt;"",'Daily Sale entry '!AD473&lt;&gt;"")),'Daily Sale entry '!X473+ROW()/10000000,"")</f>
        <v/>
      </c>
      <c r="L473" s="21">
        <f>IF(K473="","",COUNTIF($K$2:$K$3001,"&lt;"&amp;K473)+1)</f>
        <v/>
      </c>
    </row>
    <row r="474">
      <c r="A474" s="5">
        <f>IF($J474="","",IF($J474&lt;=1500,INDEX('Daily Sale entry '!$X$1:$X$1501,$J474+1),INDEX('Daily Sale entry '!$V$1:$V$1501,$J474-1499)))</f>
        <v/>
      </c>
      <c r="B474">
        <f>IF($J474="","",IF($J474&lt;=1500,INDEX('Daily Sale entry '!$Y$1:$Y$1501,$J474+1)&amp;"","Buyer cheque banked 买家支票存入"&amp;IF(INDEX('Daily Sale entry '!$U$1:$U$1501,$J474-1499)="","", " - "&amp;INDEX('Daily Sale entry '!$U$1:$U$1501,$J474-1499))))</f>
        <v/>
      </c>
      <c r="C474">
        <f>IF($J474="","",IF($J474&lt;=1500,INDEX('Daily Sale entry '!$Z$1:$Z$1501,$J474+1)&amp;"","Cheque deposit 支票存入 (buyer 买家)"))</f>
        <v/>
      </c>
      <c r="D474">
        <f>IF($J474="","",IF($J474&lt;=1500,INDEX('Daily Sale entry '!$AA$1:$AA$1501,$J474+1)&amp;"",INDEX('Daily Sale entry '!$P$1:$P$1501,$J474-1499)&amp;""))</f>
        <v/>
      </c>
      <c r="E474">
        <f>IF($J474="","",IF($J474&lt;=1500,IF(N(INDEX('Daily Sale entry '!$AB$1:$AB$1501,$J474+1))=0,"",INDEX('Daily Sale entry '!$AB$1:$AB$1501,$J474+1)),1))</f>
        <v/>
      </c>
      <c r="F474" s="6">
        <f>IF($J474="","",IF($J474&lt;=1500,N(INDEX('Daily Sale entry '!$AC$1:$AC$1501,$J474+1))-IF(AND('Opening Balance'!$B$15=1,INDEX('Daily Sale entry '!$Z$1:$Z$1501,$J474+1)="Online collection 网上收款",INDEX('Daily Sale entry '!$AA$1:$AA$1501,$J474+1)&lt;&gt;""),N(INDEX('Daily Sale entry '!$AC$1:$AC$1501,$J474+1))-TRUNC(N(INDEX('Daily Sale entry '!$AC$1:$AC$1501,$J474+1))),0),N(INDEX('Daily Sale entry '!$S$1:$S$1501,$J474-1499))-'Opening Balance'!$B$15*(N(INDEX('Daily Sale entry '!$S$1:$S$1501,$J474-1499))-TRUNC(N(INDEX('Daily Sale entry '!$S$1:$S$1501,$J474-1499))))))</f>
        <v/>
      </c>
      <c r="G474" s="6">
        <f>IF($J474="","",IF($J474&lt;=1500,N(INDEX('Daily Sale entry '!$AD$1:$AD$1501,$J474+1)),0))</f>
        <v/>
      </c>
      <c r="H474" s="6">
        <f>IF($J474="","",ROUND('Opening Balance'!$B$4+SUM($F$2:F474)-SUM($G$2:G474),2))</f>
        <v/>
      </c>
      <c r="J474" s="21">
        <f>IFERROR(MATCH(ROW()-1,$L$2:$L$3001,0),"")</f>
        <v/>
      </c>
      <c r="K474" s="34">
        <f>IF(AND('Daily Sale entry '!X474&lt;&gt;"",OR('Daily Sale entry '!AC474&lt;&gt;"",'Daily Sale entry '!AD474&lt;&gt;"")),'Daily Sale entry '!X474+ROW()/10000000,"")</f>
        <v/>
      </c>
      <c r="L474" s="21">
        <f>IF(K474="","",COUNTIF($K$2:$K$3001,"&lt;"&amp;K474)+1)</f>
        <v/>
      </c>
    </row>
    <row r="475">
      <c r="A475" s="5">
        <f>IF($J475="","",IF($J475&lt;=1500,INDEX('Daily Sale entry '!$X$1:$X$1501,$J475+1),INDEX('Daily Sale entry '!$V$1:$V$1501,$J475-1499)))</f>
        <v/>
      </c>
      <c r="B475">
        <f>IF($J475="","",IF($J475&lt;=1500,INDEX('Daily Sale entry '!$Y$1:$Y$1501,$J475+1)&amp;"","Buyer cheque banked 买家支票存入"&amp;IF(INDEX('Daily Sale entry '!$U$1:$U$1501,$J475-1499)="","", " - "&amp;INDEX('Daily Sale entry '!$U$1:$U$1501,$J475-1499))))</f>
        <v/>
      </c>
      <c r="C475">
        <f>IF($J475="","",IF($J475&lt;=1500,INDEX('Daily Sale entry '!$Z$1:$Z$1501,$J475+1)&amp;"","Cheque deposit 支票存入 (buyer 买家)"))</f>
        <v/>
      </c>
      <c r="D475">
        <f>IF($J475="","",IF($J475&lt;=1500,INDEX('Daily Sale entry '!$AA$1:$AA$1501,$J475+1)&amp;"",INDEX('Daily Sale entry '!$P$1:$P$1501,$J475-1499)&amp;""))</f>
        <v/>
      </c>
      <c r="E475">
        <f>IF($J475="","",IF($J475&lt;=1500,IF(N(INDEX('Daily Sale entry '!$AB$1:$AB$1501,$J475+1))=0,"",INDEX('Daily Sale entry '!$AB$1:$AB$1501,$J475+1)),1))</f>
        <v/>
      </c>
      <c r="F475" s="6">
        <f>IF($J475="","",IF($J475&lt;=1500,N(INDEX('Daily Sale entry '!$AC$1:$AC$1501,$J475+1))-IF(AND('Opening Balance'!$B$15=1,INDEX('Daily Sale entry '!$Z$1:$Z$1501,$J475+1)="Online collection 网上收款",INDEX('Daily Sale entry '!$AA$1:$AA$1501,$J475+1)&lt;&gt;""),N(INDEX('Daily Sale entry '!$AC$1:$AC$1501,$J475+1))-TRUNC(N(INDEX('Daily Sale entry '!$AC$1:$AC$1501,$J475+1))),0),N(INDEX('Daily Sale entry '!$S$1:$S$1501,$J475-1499))-'Opening Balance'!$B$15*(N(INDEX('Daily Sale entry '!$S$1:$S$1501,$J475-1499))-TRUNC(N(INDEX('Daily Sale entry '!$S$1:$S$1501,$J475-1499))))))</f>
        <v/>
      </c>
      <c r="G475" s="6">
        <f>IF($J475="","",IF($J475&lt;=1500,N(INDEX('Daily Sale entry '!$AD$1:$AD$1501,$J475+1)),0))</f>
        <v/>
      </c>
      <c r="H475" s="6">
        <f>IF($J475="","",ROUND('Opening Balance'!$B$4+SUM($F$2:F475)-SUM($G$2:G475),2))</f>
        <v/>
      </c>
      <c r="J475" s="21">
        <f>IFERROR(MATCH(ROW()-1,$L$2:$L$3001,0),"")</f>
        <v/>
      </c>
      <c r="K475" s="34">
        <f>IF(AND('Daily Sale entry '!X475&lt;&gt;"",OR('Daily Sale entry '!AC475&lt;&gt;"",'Daily Sale entry '!AD475&lt;&gt;"")),'Daily Sale entry '!X475+ROW()/10000000,"")</f>
        <v/>
      </c>
      <c r="L475" s="21">
        <f>IF(K475="","",COUNTIF($K$2:$K$3001,"&lt;"&amp;K475)+1)</f>
        <v/>
      </c>
    </row>
    <row r="476">
      <c r="A476" s="5">
        <f>IF($J476="","",IF($J476&lt;=1500,INDEX('Daily Sale entry '!$X$1:$X$1501,$J476+1),INDEX('Daily Sale entry '!$V$1:$V$1501,$J476-1499)))</f>
        <v/>
      </c>
      <c r="B476">
        <f>IF($J476="","",IF($J476&lt;=1500,INDEX('Daily Sale entry '!$Y$1:$Y$1501,$J476+1)&amp;"","Buyer cheque banked 买家支票存入"&amp;IF(INDEX('Daily Sale entry '!$U$1:$U$1501,$J476-1499)="","", " - "&amp;INDEX('Daily Sale entry '!$U$1:$U$1501,$J476-1499))))</f>
        <v/>
      </c>
      <c r="C476">
        <f>IF($J476="","",IF($J476&lt;=1500,INDEX('Daily Sale entry '!$Z$1:$Z$1501,$J476+1)&amp;"","Cheque deposit 支票存入 (buyer 买家)"))</f>
        <v/>
      </c>
      <c r="D476">
        <f>IF($J476="","",IF($J476&lt;=1500,INDEX('Daily Sale entry '!$AA$1:$AA$1501,$J476+1)&amp;"",INDEX('Daily Sale entry '!$P$1:$P$1501,$J476-1499)&amp;""))</f>
        <v/>
      </c>
      <c r="E476">
        <f>IF($J476="","",IF($J476&lt;=1500,IF(N(INDEX('Daily Sale entry '!$AB$1:$AB$1501,$J476+1))=0,"",INDEX('Daily Sale entry '!$AB$1:$AB$1501,$J476+1)),1))</f>
        <v/>
      </c>
      <c r="F476" s="6">
        <f>IF($J476="","",IF($J476&lt;=1500,N(INDEX('Daily Sale entry '!$AC$1:$AC$1501,$J476+1))-IF(AND('Opening Balance'!$B$15=1,INDEX('Daily Sale entry '!$Z$1:$Z$1501,$J476+1)="Online collection 网上收款",INDEX('Daily Sale entry '!$AA$1:$AA$1501,$J476+1)&lt;&gt;""),N(INDEX('Daily Sale entry '!$AC$1:$AC$1501,$J476+1))-TRUNC(N(INDEX('Daily Sale entry '!$AC$1:$AC$1501,$J476+1))),0),N(INDEX('Daily Sale entry '!$S$1:$S$1501,$J476-1499))-'Opening Balance'!$B$15*(N(INDEX('Daily Sale entry '!$S$1:$S$1501,$J476-1499))-TRUNC(N(INDEX('Daily Sale entry '!$S$1:$S$1501,$J476-1499))))))</f>
        <v/>
      </c>
      <c r="G476" s="6">
        <f>IF($J476="","",IF($J476&lt;=1500,N(INDEX('Daily Sale entry '!$AD$1:$AD$1501,$J476+1)),0))</f>
        <v/>
      </c>
      <c r="H476" s="6">
        <f>IF($J476="","",ROUND('Opening Balance'!$B$4+SUM($F$2:F476)-SUM($G$2:G476),2))</f>
        <v/>
      </c>
      <c r="J476" s="21">
        <f>IFERROR(MATCH(ROW()-1,$L$2:$L$3001,0),"")</f>
        <v/>
      </c>
      <c r="K476" s="34">
        <f>IF(AND('Daily Sale entry '!X476&lt;&gt;"",OR('Daily Sale entry '!AC476&lt;&gt;"",'Daily Sale entry '!AD476&lt;&gt;"")),'Daily Sale entry '!X476+ROW()/10000000,"")</f>
        <v/>
      </c>
      <c r="L476" s="21">
        <f>IF(K476="","",COUNTIF($K$2:$K$3001,"&lt;"&amp;K476)+1)</f>
        <v/>
      </c>
    </row>
    <row r="477">
      <c r="A477" s="5">
        <f>IF($J477="","",IF($J477&lt;=1500,INDEX('Daily Sale entry '!$X$1:$X$1501,$J477+1),INDEX('Daily Sale entry '!$V$1:$V$1501,$J477-1499)))</f>
        <v/>
      </c>
      <c r="B477">
        <f>IF($J477="","",IF($J477&lt;=1500,INDEX('Daily Sale entry '!$Y$1:$Y$1501,$J477+1)&amp;"","Buyer cheque banked 买家支票存入"&amp;IF(INDEX('Daily Sale entry '!$U$1:$U$1501,$J477-1499)="","", " - "&amp;INDEX('Daily Sale entry '!$U$1:$U$1501,$J477-1499))))</f>
        <v/>
      </c>
      <c r="C477">
        <f>IF($J477="","",IF($J477&lt;=1500,INDEX('Daily Sale entry '!$Z$1:$Z$1501,$J477+1)&amp;"","Cheque deposit 支票存入 (buyer 买家)"))</f>
        <v/>
      </c>
      <c r="D477">
        <f>IF($J477="","",IF($J477&lt;=1500,INDEX('Daily Sale entry '!$AA$1:$AA$1501,$J477+1)&amp;"",INDEX('Daily Sale entry '!$P$1:$P$1501,$J477-1499)&amp;""))</f>
        <v/>
      </c>
      <c r="E477">
        <f>IF($J477="","",IF($J477&lt;=1500,IF(N(INDEX('Daily Sale entry '!$AB$1:$AB$1501,$J477+1))=0,"",INDEX('Daily Sale entry '!$AB$1:$AB$1501,$J477+1)),1))</f>
        <v/>
      </c>
      <c r="F477" s="6">
        <f>IF($J477="","",IF($J477&lt;=1500,N(INDEX('Daily Sale entry '!$AC$1:$AC$1501,$J477+1))-IF(AND('Opening Balance'!$B$15=1,INDEX('Daily Sale entry '!$Z$1:$Z$1501,$J477+1)="Online collection 网上收款",INDEX('Daily Sale entry '!$AA$1:$AA$1501,$J477+1)&lt;&gt;""),N(INDEX('Daily Sale entry '!$AC$1:$AC$1501,$J477+1))-TRUNC(N(INDEX('Daily Sale entry '!$AC$1:$AC$1501,$J477+1))),0),N(INDEX('Daily Sale entry '!$S$1:$S$1501,$J477-1499))-'Opening Balance'!$B$15*(N(INDEX('Daily Sale entry '!$S$1:$S$1501,$J477-1499))-TRUNC(N(INDEX('Daily Sale entry '!$S$1:$S$1501,$J477-1499))))))</f>
        <v/>
      </c>
      <c r="G477" s="6">
        <f>IF($J477="","",IF($J477&lt;=1500,N(INDEX('Daily Sale entry '!$AD$1:$AD$1501,$J477+1)),0))</f>
        <v/>
      </c>
      <c r="H477" s="6">
        <f>IF($J477="","",ROUND('Opening Balance'!$B$4+SUM($F$2:F477)-SUM($G$2:G477),2))</f>
        <v/>
      </c>
      <c r="J477" s="21">
        <f>IFERROR(MATCH(ROW()-1,$L$2:$L$3001,0),"")</f>
        <v/>
      </c>
      <c r="K477" s="34">
        <f>IF(AND('Daily Sale entry '!X477&lt;&gt;"",OR('Daily Sale entry '!AC477&lt;&gt;"",'Daily Sale entry '!AD477&lt;&gt;"")),'Daily Sale entry '!X477+ROW()/10000000,"")</f>
        <v/>
      </c>
      <c r="L477" s="21">
        <f>IF(K477="","",COUNTIF($K$2:$K$3001,"&lt;"&amp;K477)+1)</f>
        <v/>
      </c>
    </row>
    <row r="478">
      <c r="A478" s="5">
        <f>IF($J478="","",IF($J478&lt;=1500,INDEX('Daily Sale entry '!$X$1:$X$1501,$J478+1),INDEX('Daily Sale entry '!$V$1:$V$1501,$J478-1499)))</f>
        <v/>
      </c>
      <c r="B478">
        <f>IF($J478="","",IF($J478&lt;=1500,INDEX('Daily Sale entry '!$Y$1:$Y$1501,$J478+1)&amp;"","Buyer cheque banked 买家支票存入"&amp;IF(INDEX('Daily Sale entry '!$U$1:$U$1501,$J478-1499)="","", " - "&amp;INDEX('Daily Sale entry '!$U$1:$U$1501,$J478-1499))))</f>
        <v/>
      </c>
      <c r="C478">
        <f>IF($J478="","",IF($J478&lt;=1500,INDEX('Daily Sale entry '!$Z$1:$Z$1501,$J478+1)&amp;"","Cheque deposit 支票存入 (buyer 买家)"))</f>
        <v/>
      </c>
      <c r="D478">
        <f>IF($J478="","",IF($J478&lt;=1500,INDEX('Daily Sale entry '!$AA$1:$AA$1501,$J478+1)&amp;"",INDEX('Daily Sale entry '!$P$1:$P$1501,$J478-1499)&amp;""))</f>
        <v/>
      </c>
      <c r="E478">
        <f>IF($J478="","",IF($J478&lt;=1500,IF(N(INDEX('Daily Sale entry '!$AB$1:$AB$1501,$J478+1))=0,"",INDEX('Daily Sale entry '!$AB$1:$AB$1501,$J478+1)),1))</f>
        <v/>
      </c>
      <c r="F478" s="6">
        <f>IF($J478="","",IF($J478&lt;=1500,N(INDEX('Daily Sale entry '!$AC$1:$AC$1501,$J478+1))-IF(AND('Opening Balance'!$B$15=1,INDEX('Daily Sale entry '!$Z$1:$Z$1501,$J478+1)="Online collection 网上收款",INDEX('Daily Sale entry '!$AA$1:$AA$1501,$J478+1)&lt;&gt;""),N(INDEX('Daily Sale entry '!$AC$1:$AC$1501,$J478+1))-TRUNC(N(INDEX('Daily Sale entry '!$AC$1:$AC$1501,$J478+1))),0),N(INDEX('Daily Sale entry '!$S$1:$S$1501,$J478-1499))-'Opening Balance'!$B$15*(N(INDEX('Daily Sale entry '!$S$1:$S$1501,$J478-1499))-TRUNC(N(INDEX('Daily Sale entry '!$S$1:$S$1501,$J478-1499))))))</f>
        <v/>
      </c>
      <c r="G478" s="6">
        <f>IF($J478="","",IF($J478&lt;=1500,N(INDEX('Daily Sale entry '!$AD$1:$AD$1501,$J478+1)),0))</f>
        <v/>
      </c>
      <c r="H478" s="6">
        <f>IF($J478="","",ROUND('Opening Balance'!$B$4+SUM($F$2:F478)-SUM($G$2:G478),2))</f>
        <v/>
      </c>
      <c r="J478" s="21">
        <f>IFERROR(MATCH(ROW()-1,$L$2:$L$3001,0),"")</f>
        <v/>
      </c>
      <c r="K478" s="34">
        <f>IF(AND('Daily Sale entry '!X478&lt;&gt;"",OR('Daily Sale entry '!AC478&lt;&gt;"",'Daily Sale entry '!AD478&lt;&gt;"")),'Daily Sale entry '!X478+ROW()/10000000,"")</f>
        <v/>
      </c>
      <c r="L478" s="21">
        <f>IF(K478="","",COUNTIF($K$2:$K$3001,"&lt;"&amp;K478)+1)</f>
        <v/>
      </c>
    </row>
    <row r="479">
      <c r="A479" s="5">
        <f>IF($J479="","",IF($J479&lt;=1500,INDEX('Daily Sale entry '!$X$1:$X$1501,$J479+1),INDEX('Daily Sale entry '!$V$1:$V$1501,$J479-1499)))</f>
        <v/>
      </c>
      <c r="B479">
        <f>IF($J479="","",IF($J479&lt;=1500,INDEX('Daily Sale entry '!$Y$1:$Y$1501,$J479+1)&amp;"","Buyer cheque banked 买家支票存入"&amp;IF(INDEX('Daily Sale entry '!$U$1:$U$1501,$J479-1499)="","", " - "&amp;INDEX('Daily Sale entry '!$U$1:$U$1501,$J479-1499))))</f>
        <v/>
      </c>
      <c r="C479">
        <f>IF($J479="","",IF($J479&lt;=1500,INDEX('Daily Sale entry '!$Z$1:$Z$1501,$J479+1)&amp;"","Cheque deposit 支票存入 (buyer 买家)"))</f>
        <v/>
      </c>
      <c r="D479">
        <f>IF($J479="","",IF($J479&lt;=1500,INDEX('Daily Sale entry '!$AA$1:$AA$1501,$J479+1)&amp;"",INDEX('Daily Sale entry '!$P$1:$P$1501,$J479-1499)&amp;""))</f>
        <v/>
      </c>
      <c r="E479">
        <f>IF($J479="","",IF($J479&lt;=1500,IF(N(INDEX('Daily Sale entry '!$AB$1:$AB$1501,$J479+1))=0,"",INDEX('Daily Sale entry '!$AB$1:$AB$1501,$J479+1)),1))</f>
        <v/>
      </c>
      <c r="F479" s="6">
        <f>IF($J479="","",IF($J479&lt;=1500,N(INDEX('Daily Sale entry '!$AC$1:$AC$1501,$J479+1))-IF(AND('Opening Balance'!$B$15=1,INDEX('Daily Sale entry '!$Z$1:$Z$1501,$J479+1)="Online collection 网上收款",INDEX('Daily Sale entry '!$AA$1:$AA$1501,$J479+1)&lt;&gt;""),N(INDEX('Daily Sale entry '!$AC$1:$AC$1501,$J479+1))-TRUNC(N(INDEX('Daily Sale entry '!$AC$1:$AC$1501,$J479+1))),0),N(INDEX('Daily Sale entry '!$S$1:$S$1501,$J479-1499))-'Opening Balance'!$B$15*(N(INDEX('Daily Sale entry '!$S$1:$S$1501,$J479-1499))-TRUNC(N(INDEX('Daily Sale entry '!$S$1:$S$1501,$J479-1499))))))</f>
        <v/>
      </c>
      <c r="G479" s="6">
        <f>IF($J479="","",IF($J479&lt;=1500,N(INDEX('Daily Sale entry '!$AD$1:$AD$1501,$J479+1)),0))</f>
        <v/>
      </c>
      <c r="H479" s="6">
        <f>IF($J479="","",ROUND('Opening Balance'!$B$4+SUM($F$2:F479)-SUM($G$2:G479),2))</f>
        <v/>
      </c>
      <c r="J479" s="21">
        <f>IFERROR(MATCH(ROW()-1,$L$2:$L$3001,0),"")</f>
        <v/>
      </c>
      <c r="K479" s="34">
        <f>IF(AND('Daily Sale entry '!X479&lt;&gt;"",OR('Daily Sale entry '!AC479&lt;&gt;"",'Daily Sale entry '!AD479&lt;&gt;"")),'Daily Sale entry '!X479+ROW()/10000000,"")</f>
        <v/>
      </c>
      <c r="L479" s="21">
        <f>IF(K479="","",COUNTIF($K$2:$K$3001,"&lt;"&amp;K479)+1)</f>
        <v/>
      </c>
    </row>
    <row r="480">
      <c r="A480" s="5">
        <f>IF($J480="","",IF($J480&lt;=1500,INDEX('Daily Sale entry '!$X$1:$X$1501,$J480+1),INDEX('Daily Sale entry '!$V$1:$V$1501,$J480-1499)))</f>
        <v/>
      </c>
      <c r="B480">
        <f>IF($J480="","",IF($J480&lt;=1500,INDEX('Daily Sale entry '!$Y$1:$Y$1501,$J480+1)&amp;"","Buyer cheque banked 买家支票存入"&amp;IF(INDEX('Daily Sale entry '!$U$1:$U$1501,$J480-1499)="","", " - "&amp;INDEX('Daily Sale entry '!$U$1:$U$1501,$J480-1499))))</f>
        <v/>
      </c>
      <c r="C480">
        <f>IF($J480="","",IF($J480&lt;=1500,INDEX('Daily Sale entry '!$Z$1:$Z$1501,$J480+1)&amp;"","Cheque deposit 支票存入 (buyer 买家)"))</f>
        <v/>
      </c>
      <c r="D480">
        <f>IF($J480="","",IF($J480&lt;=1500,INDEX('Daily Sale entry '!$AA$1:$AA$1501,$J480+1)&amp;"",INDEX('Daily Sale entry '!$P$1:$P$1501,$J480-1499)&amp;""))</f>
        <v/>
      </c>
      <c r="E480">
        <f>IF($J480="","",IF($J480&lt;=1500,IF(N(INDEX('Daily Sale entry '!$AB$1:$AB$1501,$J480+1))=0,"",INDEX('Daily Sale entry '!$AB$1:$AB$1501,$J480+1)),1))</f>
        <v/>
      </c>
      <c r="F480" s="6">
        <f>IF($J480="","",IF($J480&lt;=1500,N(INDEX('Daily Sale entry '!$AC$1:$AC$1501,$J480+1))-IF(AND('Opening Balance'!$B$15=1,INDEX('Daily Sale entry '!$Z$1:$Z$1501,$J480+1)="Online collection 网上收款",INDEX('Daily Sale entry '!$AA$1:$AA$1501,$J480+1)&lt;&gt;""),N(INDEX('Daily Sale entry '!$AC$1:$AC$1501,$J480+1))-TRUNC(N(INDEX('Daily Sale entry '!$AC$1:$AC$1501,$J480+1))),0),N(INDEX('Daily Sale entry '!$S$1:$S$1501,$J480-1499))-'Opening Balance'!$B$15*(N(INDEX('Daily Sale entry '!$S$1:$S$1501,$J480-1499))-TRUNC(N(INDEX('Daily Sale entry '!$S$1:$S$1501,$J480-1499))))))</f>
        <v/>
      </c>
      <c r="G480" s="6">
        <f>IF($J480="","",IF($J480&lt;=1500,N(INDEX('Daily Sale entry '!$AD$1:$AD$1501,$J480+1)),0))</f>
        <v/>
      </c>
      <c r="H480" s="6">
        <f>IF($J480="","",ROUND('Opening Balance'!$B$4+SUM($F$2:F480)-SUM($G$2:G480),2))</f>
        <v/>
      </c>
      <c r="J480" s="21">
        <f>IFERROR(MATCH(ROW()-1,$L$2:$L$3001,0),"")</f>
        <v/>
      </c>
      <c r="K480" s="34">
        <f>IF(AND('Daily Sale entry '!X480&lt;&gt;"",OR('Daily Sale entry '!AC480&lt;&gt;"",'Daily Sale entry '!AD480&lt;&gt;"")),'Daily Sale entry '!X480+ROW()/10000000,"")</f>
        <v/>
      </c>
      <c r="L480" s="21">
        <f>IF(K480="","",COUNTIF($K$2:$K$3001,"&lt;"&amp;K480)+1)</f>
        <v/>
      </c>
    </row>
    <row r="481">
      <c r="A481" s="5">
        <f>IF($J481="","",IF($J481&lt;=1500,INDEX('Daily Sale entry '!$X$1:$X$1501,$J481+1),INDEX('Daily Sale entry '!$V$1:$V$1501,$J481-1499)))</f>
        <v/>
      </c>
      <c r="B481">
        <f>IF($J481="","",IF($J481&lt;=1500,INDEX('Daily Sale entry '!$Y$1:$Y$1501,$J481+1)&amp;"","Buyer cheque banked 买家支票存入"&amp;IF(INDEX('Daily Sale entry '!$U$1:$U$1501,$J481-1499)="","", " - "&amp;INDEX('Daily Sale entry '!$U$1:$U$1501,$J481-1499))))</f>
        <v/>
      </c>
      <c r="C481">
        <f>IF($J481="","",IF($J481&lt;=1500,INDEX('Daily Sale entry '!$Z$1:$Z$1501,$J481+1)&amp;"","Cheque deposit 支票存入 (buyer 买家)"))</f>
        <v/>
      </c>
      <c r="D481">
        <f>IF($J481="","",IF($J481&lt;=1500,INDEX('Daily Sale entry '!$AA$1:$AA$1501,$J481+1)&amp;"",INDEX('Daily Sale entry '!$P$1:$P$1501,$J481-1499)&amp;""))</f>
        <v/>
      </c>
      <c r="E481">
        <f>IF($J481="","",IF($J481&lt;=1500,IF(N(INDEX('Daily Sale entry '!$AB$1:$AB$1501,$J481+1))=0,"",INDEX('Daily Sale entry '!$AB$1:$AB$1501,$J481+1)),1))</f>
        <v/>
      </c>
      <c r="F481" s="6">
        <f>IF($J481="","",IF($J481&lt;=1500,N(INDEX('Daily Sale entry '!$AC$1:$AC$1501,$J481+1))-IF(AND('Opening Balance'!$B$15=1,INDEX('Daily Sale entry '!$Z$1:$Z$1501,$J481+1)="Online collection 网上收款",INDEX('Daily Sale entry '!$AA$1:$AA$1501,$J481+1)&lt;&gt;""),N(INDEX('Daily Sale entry '!$AC$1:$AC$1501,$J481+1))-TRUNC(N(INDEX('Daily Sale entry '!$AC$1:$AC$1501,$J481+1))),0),N(INDEX('Daily Sale entry '!$S$1:$S$1501,$J481-1499))-'Opening Balance'!$B$15*(N(INDEX('Daily Sale entry '!$S$1:$S$1501,$J481-1499))-TRUNC(N(INDEX('Daily Sale entry '!$S$1:$S$1501,$J481-1499))))))</f>
        <v/>
      </c>
      <c r="G481" s="6">
        <f>IF($J481="","",IF($J481&lt;=1500,N(INDEX('Daily Sale entry '!$AD$1:$AD$1501,$J481+1)),0))</f>
        <v/>
      </c>
      <c r="H481" s="6">
        <f>IF($J481="","",ROUND('Opening Balance'!$B$4+SUM($F$2:F481)-SUM($G$2:G481),2))</f>
        <v/>
      </c>
      <c r="J481" s="21">
        <f>IFERROR(MATCH(ROW()-1,$L$2:$L$3001,0),"")</f>
        <v/>
      </c>
      <c r="K481" s="34">
        <f>IF(AND('Daily Sale entry '!X481&lt;&gt;"",OR('Daily Sale entry '!AC481&lt;&gt;"",'Daily Sale entry '!AD481&lt;&gt;"")),'Daily Sale entry '!X481+ROW()/10000000,"")</f>
        <v/>
      </c>
      <c r="L481" s="21">
        <f>IF(K481="","",COUNTIF($K$2:$K$3001,"&lt;"&amp;K481)+1)</f>
        <v/>
      </c>
    </row>
    <row r="482">
      <c r="A482" s="5">
        <f>IF($J482="","",IF($J482&lt;=1500,INDEX('Daily Sale entry '!$X$1:$X$1501,$J482+1),INDEX('Daily Sale entry '!$V$1:$V$1501,$J482-1499)))</f>
        <v/>
      </c>
      <c r="B482">
        <f>IF($J482="","",IF($J482&lt;=1500,INDEX('Daily Sale entry '!$Y$1:$Y$1501,$J482+1)&amp;"","Buyer cheque banked 买家支票存入"&amp;IF(INDEX('Daily Sale entry '!$U$1:$U$1501,$J482-1499)="","", " - "&amp;INDEX('Daily Sale entry '!$U$1:$U$1501,$J482-1499))))</f>
        <v/>
      </c>
      <c r="C482">
        <f>IF($J482="","",IF($J482&lt;=1500,INDEX('Daily Sale entry '!$Z$1:$Z$1501,$J482+1)&amp;"","Cheque deposit 支票存入 (buyer 买家)"))</f>
        <v/>
      </c>
      <c r="D482">
        <f>IF($J482="","",IF($J482&lt;=1500,INDEX('Daily Sale entry '!$AA$1:$AA$1501,$J482+1)&amp;"",INDEX('Daily Sale entry '!$P$1:$P$1501,$J482-1499)&amp;""))</f>
        <v/>
      </c>
      <c r="E482">
        <f>IF($J482="","",IF($J482&lt;=1500,IF(N(INDEX('Daily Sale entry '!$AB$1:$AB$1501,$J482+1))=0,"",INDEX('Daily Sale entry '!$AB$1:$AB$1501,$J482+1)),1))</f>
        <v/>
      </c>
      <c r="F482" s="6">
        <f>IF($J482="","",IF($J482&lt;=1500,N(INDEX('Daily Sale entry '!$AC$1:$AC$1501,$J482+1))-IF(AND('Opening Balance'!$B$15=1,INDEX('Daily Sale entry '!$Z$1:$Z$1501,$J482+1)="Online collection 网上收款",INDEX('Daily Sale entry '!$AA$1:$AA$1501,$J482+1)&lt;&gt;""),N(INDEX('Daily Sale entry '!$AC$1:$AC$1501,$J482+1))-TRUNC(N(INDEX('Daily Sale entry '!$AC$1:$AC$1501,$J482+1))),0),N(INDEX('Daily Sale entry '!$S$1:$S$1501,$J482-1499))-'Opening Balance'!$B$15*(N(INDEX('Daily Sale entry '!$S$1:$S$1501,$J482-1499))-TRUNC(N(INDEX('Daily Sale entry '!$S$1:$S$1501,$J482-1499))))))</f>
        <v/>
      </c>
      <c r="G482" s="6">
        <f>IF($J482="","",IF($J482&lt;=1500,N(INDEX('Daily Sale entry '!$AD$1:$AD$1501,$J482+1)),0))</f>
        <v/>
      </c>
      <c r="H482" s="6">
        <f>IF($J482="","",ROUND('Opening Balance'!$B$4+SUM($F$2:F482)-SUM($G$2:G482),2))</f>
        <v/>
      </c>
      <c r="J482" s="21">
        <f>IFERROR(MATCH(ROW()-1,$L$2:$L$3001,0),"")</f>
        <v/>
      </c>
      <c r="K482" s="34">
        <f>IF(AND('Daily Sale entry '!X482&lt;&gt;"",OR('Daily Sale entry '!AC482&lt;&gt;"",'Daily Sale entry '!AD482&lt;&gt;"")),'Daily Sale entry '!X482+ROW()/10000000,"")</f>
        <v/>
      </c>
      <c r="L482" s="21">
        <f>IF(K482="","",COUNTIF($K$2:$K$3001,"&lt;"&amp;K482)+1)</f>
        <v/>
      </c>
    </row>
    <row r="483">
      <c r="A483" s="5">
        <f>IF($J483="","",IF($J483&lt;=1500,INDEX('Daily Sale entry '!$X$1:$X$1501,$J483+1),INDEX('Daily Sale entry '!$V$1:$V$1501,$J483-1499)))</f>
        <v/>
      </c>
      <c r="B483">
        <f>IF($J483="","",IF($J483&lt;=1500,INDEX('Daily Sale entry '!$Y$1:$Y$1501,$J483+1)&amp;"","Buyer cheque banked 买家支票存入"&amp;IF(INDEX('Daily Sale entry '!$U$1:$U$1501,$J483-1499)="","", " - "&amp;INDEX('Daily Sale entry '!$U$1:$U$1501,$J483-1499))))</f>
        <v/>
      </c>
      <c r="C483">
        <f>IF($J483="","",IF($J483&lt;=1500,INDEX('Daily Sale entry '!$Z$1:$Z$1501,$J483+1)&amp;"","Cheque deposit 支票存入 (buyer 买家)"))</f>
        <v/>
      </c>
      <c r="D483">
        <f>IF($J483="","",IF($J483&lt;=1500,INDEX('Daily Sale entry '!$AA$1:$AA$1501,$J483+1)&amp;"",INDEX('Daily Sale entry '!$P$1:$P$1501,$J483-1499)&amp;""))</f>
        <v/>
      </c>
      <c r="E483">
        <f>IF($J483="","",IF($J483&lt;=1500,IF(N(INDEX('Daily Sale entry '!$AB$1:$AB$1501,$J483+1))=0,"",INDEX('Daily Sale entry '!$AB$1:$AB$1501,$J483+1)),1))</f>
        <v/>
      </c>
      <c r="F483" s="6">
        <f>IF($J483="","",IF($J483&lt;=1500,N(INDEX('Daily Sale entry '!$AC$1:$AC$1501,$J483+1))-IF(AND('Opening Balance'!$B$15=1,INDEX('Daily Sale entry '!$Z$1:$Z$1501,$J483+1)="Online collection 网上收款",INDEX('Daily Sale entry '!$AA$1:$AA$1501,$J483+1)&lt;&gt;""),N(INDEX('Daily Sale entry '!$AC$1:$AC$1501,$J483+1))-TRUNC(N(INDEX('Daily Sale entry '!$AC$1:$AC$1501,$J483+1))),0),N(INDEX('Daily Sale entry '!$S$1:$S$1501,$J483-1499))-'Opening Balance'!$B$15*(N(INDEX('Daily Sale entry '!$S$1:$S$1501,$J483-1499))-TRUNC(N(INDEX('Daily Sale entry '!$S$1:$S$1501,$J483-1499))))))</f>
        <v/>
      </c>
      <c r="G483" s="6">
        <f>IF($J483="","",IF($J483&lt;=1500,N(INDEX('Daily Sale entry '!$AD$1:$AD$1501,$J483+1)),0))</f>
        <v/>
      </c>
      <c r="H483" s="6">
        <f>IF($J483="","",ROUND('Opening Balance'!$B$4+SUM($F$2:F483)-SUM($G$2:G483),2))</f>
        <v/>
      </c>
      <c r="J483" s="21">
        <f>IFERROR(MATCH(ROW()-1,$L$2:$L$3001,0),"")</f>
        <v/>
      </c>
      <c r="K483" s="34">
        <f>IF(AND('Daily Sale entry '!X483&lt;&gt;"",OR('Daily Sale entry '!AC483&lt;&gt;"",'Daily Sale entry '!AD483&lt;&gt;"")),'Daily Sale entry '!X483+ROW()/10000000,"")</f>
        <v/>
      </c>
      <c r="L483" s="21">
        <f>IF(K483="","",COUNTIF($K$2:$K$3001,"&lt;"&amp;K483)+1)</f>
        <v/>
      </c>
    </row>
    <row r="484">
      <c r="A484" s="5">
        <f>IF($J484="","",IF($J484&lt;=1500,INDEX('Daily Sale entry '!$X$1:$X$1501,$J484+1),INDEX('Daily Sale entry '!$V$1:$V$1501,$J484-1499)))</f>
        <v/>
      </c>
      <c r="B484">
        <f>IF($J484="","",IF($J484&lt;=1500,INDEX('Daily Sale entry '!$Y$1:$Y$1501,$J484+1)&amp;"","Buyer cheque banked 买家支票存入"&amp;IF(INDEX('Daily Sale entry '!$U$1:$U$1501,$J484-1499)="","", " - "&amp;INDEX('Daily Sale entry '!$U$1:$U$1501,$J484-1499))))</f>
        <v/>
      </c>
      <c r="C484">
        <f>IF($J484="","",IF($J484&lt;=1500,INDEX('Daily Sale entry '!$Z$1:$Z$1501,$J484+1)&amp;"","Cheque deposit 支票存入 (buyer 买家)"))</f>
        <v/>
      </c>
      <c r="D484">
        <f>IF($J484="","",IF($J484&lt;=1500,INDEX('Daily Sale entry '!$AA$1:$AA$1501,$J484+1)&amp;"",INDEX('Daily Sale entry '!$P$1:$P$1501,$J484-1499)&amp;""))</f>
        <v/>
      </c>
      <c r="E484">
        <f>IF($J484="","",IF($J484&lt;=1500,IF(N(INDEX('Daily Sale entry '!$AB$1:$AB$1501,$J484+1))=0,"",INDEX('Daily Sale entry '!$AB$1:$AB$1501,$J484+1)),1))</f>
        <v/>
      </c>
      <c r="F484" s="6">
        <f>IF($J484="","",IF($J484&lt;=1500,N(INDEX('Daily Sale entry '!$AC$1:$AC$1501,$J484+1))-IF(AND('Opening Balance'!$B$15=1,INDEX('Daily Sale entry '!$Z$1:$Z$1501,$J484+1)="Online collection 网上收款",INDEX('Daily Sale entry '!$AA$1:$AA$1501,$J484+1)&lt;&gt;""),N(INDEX('Daily Sale entry '!$AC$1:$AC$1501,$J484+1))-TRUNC(N(INDEX('Daily Sale entry '!$AC$1:$AC$1501,$J484+1))),0),N(INDEX('Daily Sale entry '!$S$1:$S$1501,$J484-1499))-'Opening Balance'!$B$15*(N(INDEX('Daily Sale entry '!$S$1:$S$1501,$J484-1499))-TRUNC(N(INDEX('Daily Sale entry '!$S$1:$S$1501,$J484-1499))))))</f>
        <v/>
      </c>
      <c r="G484" s="6">
        <f>IF($J484="","",IF($J484&lt;=1500,N(INDEX('Daily Sale entry '!$AD$1:$AD$1501,$J484+1)),0))</f>
        <v/>
      </c>
      <c r="H484" s="6">
        <f>IF($J484="","",ROUND('Opening Balance'!$B$4+SUM($F$2:F484)-SUM($G$2:G484),2))</f>
        <v/>
      </c>
      <c r="J484" s="21">
        <f>IFERROR(MATCH(ROW()-1,$L$2:$L$3001,0),"")</f>
        <v/>
      </c>
      <c r="K484" s="34">
        <f>IF(AND('Daily Sale entry '!X484&lt;&gt;"",OR('Daily Sale entry '!AC484&lt;&gt;"",'Daily Sale entry '!AD484&lt;&gt;"")),'Daily Sale entry '!X484+ROW()/10000000,"")</f>
        <v/>
      </c>
      <c r="L484" s="21">
        <f>IF(K484="","",COUNTIF($K$2:$K$3001,"&lt;"&amp;K484)+1)</f>
        <v/>
      </c>
    </row>
    <row r="485">
      <c r="A485" s="5">
        <f>IF($J485="","",IF($J485&lt;=1500,INDEX('Daily Sale entry '!$X$1:$X$1501,$J485+1),INDEX('Daily Sale entry '!$V$1:$V$1501,$J485-1499)))</f>
        <v/>
      </c>
      <c r="B485">
        <f>IF($J485="","",IF($J485&lt;=1500,INDEX('Daily Sale entry '!$Y$1:$Y$1501,$J485+1)&amp;"","Buyer cheque banked 买家支票存入"&amp;IF(INDEX('Daily Sale entry '!$U$1:$U$1501,$J485-1499)="","", " - "&amp;INDEX('Daily Sale entry '!$U$1:$U$1501,$J485-1499))))</f>
        <v/>
      </c>
      <c r="C485">
        <f>IF($J485="","",IF($J485&lt;=1500,INDEX('Daily Sale entry '!$Z$1:$Z$1501,$J485+1)&amp;"","Cheque deposit 支票存入 (buyer 买家)"))</f>
        <v/>
      </c>
      <c r="D485">
        <f>IF($J485="","",IF($J485&lt;=1500,INDEX('Daily Sale entry '!$AA$1:$AA$1501,$J485+1)&amp;"",INDEX('Daily Sale entry '!$P$1:$P$1501,$J485-1499)&amp;""))</f>
        <v/>
      </c>
      <c r="E485">
        <f>IF($J485="","",IF($J485&lt;=1500,IF(N(INDEX('Daily Sale entry '!$AB$1:$AB$1501,$J485+1))=0,"",INDEX('Daily Sale entry '!$AB$1:$AB$1501,$J485+1)),1))</f>
        <v/>
      </c>
      <c r="F485" s="6">
        <f>IF($J485="","",IF($J485&lt;=1500,N(INDEX('Daily Sale entry '!$AC$1:$AC$1501,$J485+1))-IF(AND('Opening Balance'!$B$15=1,INDEX('Daily Sale entry '!$Z$1:$Z$1501,$J485+1)="Online collection 网上收款",INDEX('Daily Sale entry '!$AA$1:$AA$1501,$J485+1)&lt;&gt;""),N(INDEX('Daily Sale entry '!$AC$1:$AC$1501,$J485+1))-TRUNC(N(INDEX('Daily Sale entry '!$AC$1:$AC$1501,$J485+1))),0),N(INDEX('Daily Sale entry '!$S$1:$S$1501,$J485-1499))-'Opening Balance'!$B$15*(N(INDEX('Daily Sale entry '!$S$1:$S$1501,$J485-1499))-TRUNC(N(INDEX('Daily Sale entry '!$S$1:$S$1501,$J485-1499))))))</f>
        <v/>
      </c>
      <c r="G485" s="6">
        <f>IF($J485="","",IF($J485&lt;=1500,N(INDEX('Daily Sale entry '!$AD$1:$AD$1501,$J485+1)),0))</f>
        <v/>
      </c>
      <c r="H485" s="6">
        <f>IF($J485="","",ROUND('Opening Balance'!$B$4+SUM($F$2:F485)-SUM($G$2:G485),2))</f>
        <v/>
      </c>
      <c r="J485" s="21">
        <f>IFERROR(MATCH(ROW()-1,$L$2:$L$3001,0),"")</f>
        <v/>
      </c>
      <c r="K485" s="34">
        <f>IF(AND('Daily Sale entry '!X485&lt;&gt;"",OR('Daily Sale entry '!AC485&lt;&gt;"",'Daily Sale entry '!AD485&lt;&gt;"")),'Daily Sale entry '!X485+ROW()/10000000,"")</f>
        <v/>
      </c>
      <c r="L485" s="21">
        <f>IF(K485="","",COUNTIF($K$2:$K$3001,"&lt;"&amp;K485)+1)</f>
        <v/>
      </c>
    </row>
    <row r="486">
      <c r="A486" s="5">
        <f>IF($J486="","",IF($J486&lt;=1500,INDEX('Daily Sale entry '!$X$1:$X$1501,$J486+1),INDEX('Daily Sale entry '!$V$1:$V$1501,$J486-1499)))</f>
        <v/>
      </c>
      <c r="B486">
        <f>IF($J486="","",IF($J486&lt;=1500,INDEX('Daily Sale entry '!$Y$1:$Y$1501,$J486+1)&amp;"","Buyer cheque banked 买家支票存入"&amp;IF(INDEX('Daily Sale entry '!$U$1:$U$1501,$J486-1499)="","", " - "&amp;INDEX('Daily Sale entry '!$U$1:$U$1501,$J486-1499))))</f>
        <v/>
      </c>
      <c r="C486">
        <f>IF($J486="","",IF($J486&lt;=1500,INDEX('Daily Sale entry '!$Z$1:$Z$1501,$J486+1)&amp;"","Cheque deposit 支票存入 (buyer 买家)"))</f>
        <v/>
      </c>
      <c r="D486">
        <f>IF($J486="","",IF($J486&lt;=1500,INDEX('Daily Sale entry '!$AA$1:$AA$1501,$J486+1)&amp;"",INDEX('Daily Sale entry '!$P$1:$P$1501,$J486-1499)&amp;""))</f>
        <v/>
      </c>
      <c r="E486">
        <f>IF($J486="","",IF($J486&lt;=1500,IF(N(INDEX('Daily Sale entry '!$AB$1:$AB$1501,$J486+1))=0,"",INDEX('Daily Sale entry '!$AB$1:$AB$1501,$J486+1)),1))</f>
        <v/>
      </c>
      <c r="F486" s="6">
        <f>IF($J486="","",IF($J486&lt;=1500,N(INDEX('Daily Sale entry '!$AC$1:$AC$1501,$J486+1))-IF(AND('Opening Balance'!$B$15=1,INDEX('Daily Sale entry '!$Z$1:$Z$1501,$J486+1)="Online collection 网上收款",INDEX('Daily Sale entry '!$AA$1:$AA$1501,$J486+1)&lt;&gt;""),N(INDEX('Daily Sale entry '!$AC$1:$AC$1501,$J486+1))-TRUNC(N(INDEX('Daily Sale entry '!$AC$1:$AC$1501,$J486+1))),0),N(INDEX('Daily Sale entry '!$S$1:$S$1501,$J486-1499))-'Opening Balance'!$B$15*(N(INDEX('Daily Sale entry '!$S$1:$S$1501,$J486-1499))-TRUNC(N(INDEX('Daily Sale entry '!$S$1:$S$1501,$J486-1499))))))</f>
        <v/>
      </c>
      <c r="G486" s="6">
        <f>IF($J486="","",IF($J486&lt;=1500,N(INDEX('Daily Sale entry '!$AD$1:$AD$1501,$J486+1)),0))</f>
        <v/>
      </c>
      <c r="H486" s="6">
        <f>IF($J486="","",ROUND('Opening Balance'!$B$4+SUM($F$2:F486)-SUM($G$2:G486),2))</f>
        <v/>
      </c>
      <c r="J486" s="21">
        <f>IFERROR(MATCH(ROW()-1,$L$2:$L$3001,0),"")</f>
        <v/>
      </c>
      <c r="K486" s="34">
        <f>IF(AND('Daily Sale entry '!X486&lt;&gt;"",OR('Daily Sale entry '!AC486&lt;&gt;"",'Daily Sale entry '!AD486&lt;&gt;"")),'Daily Sale entry '!X486+ROW()/10000000,"")</f>
        <v/>
      </c>
      <c r="L486" s="21">
        <f>IF(K486="","",COUNTIF($K$2:$K$3001,"&lt;"&amp;K486)+1)</f>
        <v/>
      </c>
    </row>
    <row r="487">
      <c r="A487" s="5">
        <f>IF($J487="","",IF($J487&lt;=1500,INDEX('Daily Sale entry '!$X$1:$X$1501,$J487+1),INDEX('Daily Sale entry '!$V$1:$V$1501,$J487-1499)))</f>
        <v/>
      </c>
      <c r="B487">
        <f>IF($J487="","",IF($J487&lt;=1500,INDEX('Daily Sale entry '!$Y$1:$Y$1501,$J487+1)&amp;"","Buyer cheque banked 买家支票存入"&amp;IF(INDEX('Daily Sale entry '!$U$1:$U$1501,$J487-1499)="","", " - "&amp;INDEX('Daily Sale entry '!$U$1:$U$1501,$J487-1499))))</f>
        <v/>
      </c>
      <c r="C487">
        <f>IF($J487="","",IF($J487&lt;=1500,INDEX('Daily Sale entry '!$Z$1:$Z$1501,$J487+1)&amp;"","Cheque deposit 支票存入 (buyer 买家)"))</f>
        <v/>
      </c>
      <c r="D487">
        <f>IF($J487="","",IF($J487&lt;=1500,INDEX('Daily Sale entry '!$AA$1:$AA$1501,$J487+1)&amp;"",INDEX('Daily Sale entry '!$P$1:$P$1501,$J487-1499)&amp;""))</f>
        <v/>
      </c>
      <c r="E487">
        <f>IF($J487="","",IF($J487&lt;=1500,IF(N(INDEX('Daily Sale entry '!$AB$1:$AB$1501,$J487+1))=0,"",INDEX('Daily Sale entry '!$AB$1:$AB$1501,$J487+1)),1))</f>
        <v/>
      </c>
      <c r="F487" s="6">
        <f>IF($J487="","",IF($J487&lt;=1500,N(INDEX('Daily Sale entry '!$AC$1:$AC$1501,$J487+1))-IF(AND('Opening Balance'!$B$15=1,INDEX('Daily Sale entry '!$Z$1:$Z$1501,$J487+1)="Online collection 网上收款",INDEX('Daily Sale entry '!$AA$1:$AA$1501,$J487+1)&lt;&gt;""),N(INDEX('Daily Sale entry '!$AC$1:$AC$1501,$J487+1))-TRUNC(N(INDEX('Daily Sale entry '!$AC$1:$AC$1501,$J487+1))),0),N(INDEX('Daily Sale entry '!$S$1:$S$1501,$J487-1499))-'Opening Balance'!$B$15*(N(INDEX('Daily Sale entry '!$S$1:$S$1501,$J487-1499))-TRUNC(N(INDEX('Daily Sale entry '!$S$1:$S$1501,$J487-1499))))))</f>
        <v/>
      </c>
      <c r="G487" s="6">
        <f>IF($J487="","",IF($J487&lt;=1500,N(INDEX('Daily Sale entry '!$AD$1:$AD$1501,$J487+1)),0))</f>
        <v/>
      </c>
      <c r="H487" s="6">
        <f>IF($J487="","",ROUND('Opening Balance'!$B$4+SUM($F$2:F487)-SUM($G$2:G487),2))</f>
        <v/>
      </c>
      <c r="J487" s="21">
        <f>IFERROR(MATCH(ROW()-1,$L$2:$L$3001,0),"")</f>
        <v/>
      </c>
      <c r="K487" s="34">
        <f>IF(AND('Daily Sale entry '!X487&lt;&gt;"",OR('Daily Sale entry '!AC487&lt;&gt;"",'Daily Sale entry '!AD487&lt;&gt;"")),'Daily Sale entry '!X487+ROW()/10000000,"")</f>
        <v/>
      </c>
      <c r="L487" s="21">
        <f>IF(K487="","",COUNTIF($K$2:$K$3001,"&lt;"&amp;K487)+1)</f>
        <v/>
      </c>
    </row>
    <row r="488">
      <c r="A488" s="5">
        <f>IF($J488="","",IF($J488&lt;=1500,INDEX('Daily Sale entry '!$X$1:$X$1501,$J488+1),INDEX('Daily Sale entry '!$V$1:$V$1501,$J488-1499)))</f>
        <v/>
      </c>
      <c r="B488">
        <f>IF($J488="","",IF($J488&lt;=1500,INDEX('Daily Sale entry '!$Y$1:$Y$1501,$J488+1)&amp;"","Buyer cheque banked 买家支票存入"&amp;IF(INDEX('Daily Sale entry '!$U$1:$U$1501,$J488-1499)="","", " - "&amp;INDEX('Daily Sale entry '!$U$1:$U$1501,$J488-1499))))</f>
        <v/>
      </c>
      <c r="C488">
        <f>IF($J488="","",IF($J488&lt;=1500,INDEX('Daily Sale entry '!$Z$1:$Z$1501,$J488+1)&amp;"","Cheque deposit 支票存入 (buyer 买家)"))</f>
        <v/>
      </c>
      <c r="D488">
        <f>IF($J488="","",IF($J488&lt;=1500,INDEX('Daily Sale entry '!$AA$1:$AA$1501,$J488+1)&amp;"",INDEX('Daily Sale entry '!$P$1:$P$1501,$J488-1499)&amp;""))</f>
        <v/>
      </c>
      <c r="E488">
        <f>IF($J488="","",IF($J488&lt;=1500,IF(N(INDEX('Daily Sale entry '!$AB$1:$AB$1501,$J488+1))=0,"",INDEX('Daily Sale entry '!$AB$1:$AB$1501,$J488+1)),1))</f>
        <v/>
      </c>
      <c r="F488" s="6">
        <f>IF($J488="","",IF($J488&lt;=1500,N(INDEX('Daily Sale entry '!$AC$1:$AC$1501,$J488+1))-IF(AND('Opening Balance'!$B$15=1,INDEX('Daily Sale entry '!$Z$1:$Z$1501,$J488+1)="Online collection 网上收款",INDEX('Daily Sale entry '!$AA$1:$AA$1501,$J488+1)&lt;&gt;""),N(INDEX('Daily Sale entry '!$AC$1:$AC$1501,$J488+1))-TRUNC(N(INDEX('Daily Sale entry '!$AC$1:$AC$1501,$J488+1))),0),N(INDEX('Daily Sale entry '!$S$1:$S$1501,$J488-1499))-'Opening Balance'!$B$15*(N(INDEX('Daily Sale entry '!$S$1:$S$1501,$J488-1499))-TRUNC(N(INDEX('Daily Sale entry '!$S$1:$S$1501,$J488-1499))))))</f>
        <v/>
      </c>
      <c r="G488" s="6">
        <f>IF($J488="","",IF($J488&lt;=1500,N(INDEX('Daily Sale entry '!$AD$1:$AD$1501,$J488+1)),0))</f>
        <v/>
      </c>
      <c r="H488" s="6">
        <f>IF($J488="","",ROUND('Opening Balance'!$B$4+SUM($F$2:F488)-SUM($G$2:G488),2))</f>
        <v/>
      </c>
      <c r="J488" s="21">
        <f>IFERROR(MATCH(ROW()-1,$L$2:$L$3001,0),"")</f>
        <v/>
      </c>
      <c r="K488" s="34">
        <f>IF(AND('Daily Sale entry '!X488&lt;&gt;"",OR('Daily Sale entry '!AC488&lt;&gt;"",'Daily Sale entry '!AD488&lt;&gt;"")),'Daily Sale entry '!X488+ROW()/10000000,"")</f>
        <v/>
      </c>
      <c r="L488" s="21">
        <f>IF(K488="","",COUNTIF($K$2:$K$3001,"&lt;"&amp;K488)+1)</f>
        <v/>
      </c>
    </row>
    <row r="489">
      <c r="A489" s="5">
        <f>IF($J489="","",IF($J489&lt;=1500,INDEX('Daily Sale entry '!$X$1:$X$1501,$J489+1),INDEX('Daily Sale entry '!$V$1:$V$1501,$J489-1499)))</f>
        <v/>
      </c>
      <c r="B489">
        <f>IF($J489="","",IF($J489&lt;=1500,INDEX('Daily Sale entry '!$Y$1:$Y$1501,$J489+1)&amp;"","Buyer cheque banked 买家支票存入"&amp;IF(INDEX('Daily Sale entry '!$U$1:$U$1501,$J489-1499)="","", " - "&amp;INDEX('Daily Sale entry '!$U$1:$U$1501,$J489-1499))))</f>
        <v/>
      </c>
      <c r="C489">
        <f>IF($J489="","",IF($J489&lt;=1500,INDEX('Daily Sale entry '!$Z$1:$Z$1501,$J489+1)&amp;"","Cheque deposit 支票存入 (buyer 买家)"))</f>
        <v/>
      </c>
      <c r="D489">
        <f>IF($J489="","",IF($J489&lt;=1500,INDEX('Daily Sale entry '!$AA$1:$AA$1501,$J489+1)&amp;"",INDEX('Daily Sale entry '!$P$1:$P$1501,$J489-1499)&amp;""))</f>
        <v/>
      </c>
      <c r="E489">
        <f>IF($J489="","",IF($J489&lt;=1500,IF(N(INDEX('Daily Sale entry '!$AB$1:$AB$1501,$J489+1))=0,"",INDEX('Daily Sale entry '!$AB$1:$AB$1501,$J489+1)),1))</f>
        <v/>
      </c>
      <c r="F489" s="6">
        <f>IF($J489="","",IF($J489&lt;=1500,N(INDEX('Daily Sale entry '!$AC$1:$AC$1501,$J489+1))-IF(AND('Opening Balance'!$B$15=1,INDEX('Daily Sale entry '!$Z$1:$Z$1501,$J489+1)="Online collection 网上收款",INDEX('Daily Sale entry '!$AA$1:$AA$1501,$J489+1)&lt;&gt;""),N(INDEX('Daily Sale entry '!$AC$1:$AC$1501,$J489+1))-TRUNC(N(INDEX('Daily Sale entry '!$AC$1:$AC$1501,$J489+1))),0),N(INDEX('Daily Sale entry '!$S$1:$S$1501,$J489-1499))-'Opening Balance'!$B$15*(N(INDEX('Daily Sale entry '!$S$1:$S$1501,$J489-1499))-TRUNC(N(INDEX('Daily Sale entry '!$S$1:$S$1501,$J489-1499))))))</f>
        <v/>
      </c>
      <c r="G489" s="6">
        <f>IF($J489="","",IF($J489&lt;=1500,N(INDEX('Daily Sale entry '!$AD$1:$AD$1501,$J489+1)),0))</f>
        <v/>
      </c>
      <c r="H489" s="6">
        <f>IF($J489="","",ROUND('Opening Balance'!$B$4+SUM($F$2:F489)-SUM($G$2:G489),2))</f>
        <v/>
      </c>
      <c r="J489" s="21">
        <f>IFERROR(MATCH(ROW()-1,$L$2:$L$3001,0),"")</f>
        <v/>
      </c>
      <c r="K489" s="34">
        <f>IF(AND('Daily Sale entry '!X489&lt;&gt;"",OR('Daily Sale entry '!AC489&lt;&gt;"",'Daily Sale entry '!AD489&lt;&gt;"")),'Daily Sale entry '!X489+ROW()/10000000,"")</f>
        <v/>
      </c>
      <c r="L489" s="21">
        <f>IF(K489="","",COUNTIF($K$2:$K$3001,"&lt;"&amp;K489)+1)</f>
        <v/>
      </c>
    </row>
    <row r="490">
      <c r="A490" s="5">
        <f>IF($J490="","",IF($J490&lt;=1500,INDEX('Daily Sale entry '!$X$1:$X$1501,$J490+1),INDEX('Daily Sale entry '!$V$1:$V$1501,$J490-1499)))</f>
        <v/>
      </c>
      <c r="B490">
        <f>IF($J490="","",IF($J490&lt;=1500,INDEX('Daily Sale entry '!$Y$1:$Y$1501,$J490+1)&amp;"","Buyer cheque banked 买家支票存入"&amp;IF(INDEX('Daily Sale entry '!$U$1:$U$1501,$J490-1499)="","", " - "&amp;INDEX('Daily Sale entry '!$U$1:$U$1501,$J490-1499))))</f>
        <v/>
      </c>
      <c r="C490">
        <f>IF($J490="","",IF($J490&lt;=1500,INDEX('Daily Sale entry '!$Z$1:$Z$1501,$J490+1)&amp;"","Cheque deposit 支票存入 (buyer 买家)"))</f>
        <v/>
      </c>
      <c r="D490">
        <f>IF($J490="","",IF($J490&lt;=1500,INDEX('Daily Sale entry '!$AA$1:$AA$1501,$J490+1)&amp;"",INDEX('Daily Sale entry '!$P$1:$P$1501,$J490-1499)&amp;""))</f>
        <v/>
      </c>
      <c r="E490">
        <f>IF($J490="","",IF($J490&lt;=1500,IF(N(INDEX('Daily Sale entry '!$AB$1:$AB$1501,$J490+1))=0,"",INDEX('Daily Sale entry '!$AB$1:$AB$1501,$J490+1)),1))</f>
        <v/>
      </c>
      <c r="F490" s="6">
        <f>IF($J490="","",IF($J490&lt;=1500,N(INDEX('Daily Sale entry '!$AC$1:$AC$1501,$J490+1))-IF(AND('Opening Balance'!$B$15=1,INDEX('Daily Sale entry '!$Z$1:$Z$1501,$J490+1)="Online collection 网上收款",INDEX('Daily Sale entry '!$AA$1:$AA$1501,$J490+1)&lt;&gt;""),N(INDEX('Daily Sale entry '!$AC$1:$AC$1501,$J490+1))-TRUNC(N(INDEX('Daily Sale entry '!$AC$1:$AC$1501,$J490+1))),0),N(INDEX('Daily Sale entry '!$S$1:$S$1501,$J490-1499))-'Opening Balance'!$B$15*(N(INDEX('Daily Sale entry '!$S$1:$S$1501,$J490-1499))-TRUNC(N(INDEX('Daily Sale entry '!$S$1:$S$1501,$J490-1499))))))</f>
        <v/>
      </c>
      <c r="G490" s="6">
        <f>IF($J490="","",IF($J490&lt;=1500,N(INDEX('Daily Sale entry '!$AD$1:$AD$1501,$J490+1)),0))</f>
        <v/>
      </c>
      <c r="H490" s="6">
        <f>IF($J490="","",ROUND('Opening Balance'!$B$4+SUM($F$2:F490)-SUM($G$2:G490),2))</f>
        <v/>
      </c>
      <c r="J490" s="21">
        <f>IFERROR(MATCH(ROW()-1,$L$2:$L$3001,0),"")</f>
        <v/>
      </c>
      <c r="K490" s="34">
        <f>IF(AND('Daily Sale entry '!X490&lt;&gt;"",OR('Daily Sale entry '!AC490&lt;&gt;"",'Daily Sale entry '!AD490&lt;&gt;"")),'Daily Sale entry '!X490+ROW()/10000000,"")</f>
        <v/>
      </c>
      <c r="L490" s="21">
        <f>IF(K490="","",COUNTIF($K$2:$K$3001,"&lt;"&amp;K490)+1)</f>
        <v/>
      </c>
    </row>
    <row r="491">
      <c r="A491" s="5">
        <f>IF($J491="","",IF($J491&lt;=1500,INDEX('Daily Sale entry '!$X$1:$X$1501,$J491+1),INDEX('Daily Sale entry '!$V$1:$V$1501,$J491-1499)))</f>
        <v/>
      </c>
      <c r="B491">
        <f>IF($J491="","",IF($J491&lt;=1500,INDEX('Daily Sale entry '!$Y$1:$Y$1501,$J491+1)&amp;"","Buyer cheque banked 买家支票存入"&amp;IF(INDEX('Daily Sale entry '!$U$1:$U$1501,$J491-1499)="","", " - "&amp;INDEX('Daily Sale entry '!$U$1:$U$1501,$J491-1499))))</f>
        <v/>
      </c>
      <c r="C491">
        <f>IF($J491="","",IF($J491&lt;=1500,INDEX('Daily Sale entry '!$Z$1:$Z$1501,$J491+1)&amp;"","Cheque deposit 支票存入 (buyer 买家)"))</f>
        <v/>
      </c>
      <c r="D491">
        <f>IF($J491="","",IF($J491&lt;=1500,INDEX('Daily Sale entry '!$AA$1:$AA$1501,$J491+1)&amp;"",INDEX('Daily Sale entry '!$P$1:$P$1501,$J491-1499)&amp;""))</f>
        <v/>
      </c>
      <c r="E491">
        <f>IF($J491="","",IF($J491&lt;=1500,IF(N(INDEX('Daily Sale entry '!$AB$1:$AB$1501,$J491+1))=0,"",INDEX('Daily Sale entry '!$AB$1:$AB$1501,$J491+1)),1))</f>
        <v/>
      </c>
      <c r="F491" s="6">
        <f>IF($J491="","",IF($J491&lt;=1500,N(INDEX('Daily Sale entry '!$AC$1:$AC$1501,$J491+1))-IF(AND('Opening Balance'!$B$15=1,INDEX('Daily Sale entry '!$Z$1:$Z$1501,$J491+1)="Online collection 网上收款",INDEX('Daily Sale entry '!$AA$1:$AA$1501,$J491+1)&lt;&gt;""),N(INDEX('Daily Sale entry '!$AC$1:$AC$1501,$J491+1))-TRUNC(N(INDEX('Daily Sale entry '!$AC$1:$AC$1501,$J491+1))),0),N(INDEX('Daily Sale entry '!$S$1:$S$1501,$J491-1499))-'Opening Balance'!$B$15*(N(INDEX('Daily Sale entry '!$S$1:$S$1501,$J491-1499))-TRUNC(N(INDEX('Daily Sale entry '!$S$1:$S$1501,$J491-1499))))))</f>
        <v/>
      </c>
      <c r="G491" s="6">
        <f>IF($J491="","",IF($J491&lt;=1500,N(INDEX('Daily Sale entry '!$AD$1:$AD$1501,$J491+1)),0))</f>
        <v/>
      </c>
      <c r="H491" s="6">
        <f>IF($J491="","",ROUND('Opening Balance'!$B$4+SUM($F$2:F491)-SUM($G$2:G491),2))</f>
        <v/>
      </c>
      <c r="J491" s="21">
        <f>IFERROR(MATCH(ROW()-1,$L$2:$L$3001,0),"")</f>
        <v/>
      </c>
      <c r="K491" s="34">
        <f>IF(AND('Daily Sale entry '!X491&lt;&gt;"",OR('Daily Sale entry '!AC491&lt;&gt;"",'Daily Sale entry '!AD491&lt;&gt;"")),'Daily Sale entry '!X491+ROW()/10000000,"")</f>
        <v/>
      </c>
      <c r="L491" s="21">
        <f>IF(K491="","",COUNTIF($K$2:$K$3001,"&lt;"&amp;K491)+1)</f>
        <v/>
      </c>
    </row>
    <row r="492">
      <c r="A492" s="5">
        <f>IF($J492="","",IF($J492&lt;=1500,INDEX('Daily Sale entry '!$X$1:$X$1501,$J492+1),INDEX('Daily Sale entry '!$V$1:$V$1501,$J492-1499)))</f>
        <v/>
      </c>
      <c r="B492">
        <f>IF($J492="","",IF($J492&lt;=1500,INDEX('Daily Sale entry '!$Y$1:$Y$1501,$J492+1)&amp;"","Buyer cheque banked 买家支票存入"&amp;IF(INDEX('Daily Sale entry '!$U$1:$U$1501,$J492-1499)="","", " - "&amp;INDEX('Daily Sale entry '!$U$1:$U$1501,$J492-1499))))</f>
        <v/>
      </c>
      <c r="C492">
        <f>IF($J492="","",IF($J492&lt;=1500,INDEX('Daily Sale entry '!$Z$1:$Z$1501,$J492+1)&amp;"","Cheque deposit 支票存入 (buyer 买家)"))</f>
        <v/>
      </c>
      <c r="D492">
        <f>IF($J492="","",IF($J492&lt;=1500,INDEX('Daily Sale entry '!$AA$1:$AA$1501,$J492+1)&amp;"",INDEX('Daily Sale entry '!$P$1:$P$1501,$J492-1499)&amp;""))</f>
        <v/>
      </c>
      <c r="E492">
        <f>IF($J492="","",IF($J492&lt;=1500,IF(N(INDEX('Daily Sale entry '!$AB$1:$AB$1501,$J492+1))=0,"",INDEX('Daily Sale entry '!$AB$1:$AB$1501,$J492+1)),1))</f>
        <v/>
      </c>
      <c r="F492" s="6">
        <f>IF($J492="","",IF($J492&lt;=1500,N(INDEX('Daily Sale entry '!$AC$1:$AC$1501,$J492+1))-IF(AND('Opening Balance'!$B$15=1,INDEX('Daily Sale entry '!$Z$1:$Z$1501,$J492+1)="Online collection 网上收款",INDEX('Daily Sale entry '!$AA$1:$AA$1501,$J492+1)&lt;&gt;""),N(INDEX('Daily Sale entry '!$AC$1:$AC$1501,$J492+1))-TRUNC(N(INDEX('Daily Sale entry '!$AC$1:$AC$1501,$J492+1))),0),N(INDEX('Daily Sale entry '!$S$1:$S$1501,$J492-1499))-'Opening Balance'!$B$15*(N(INDEX('Daily Sale entry '!$S$1:$S$1501,$J492-1499))-TRUNC(N(INDEX('Daily Sale entry '!$S$1:$S$1501,$J492-1499))))))</f>
        <v/>
      </c>
      <c r="G492" s="6">
        <f>IF($J492="","",IF($J492&lt;=1500,N(INDEX('Daily Sale entry '!$AD$1:$AD$1501,$J492+1)),0))</f>
        <v/>
      </c>
      <c r="H492" s="6">
        <f>IF($J492="","",ROUND('Opening Balance'!$B$4+SUM($F$2:F492)-SUM($G$2:G492),2))</f>
        <v/>
      </c>
      <c r="J492" s="21">
        <f>IFERROR(MATCH(ROW()-1,$L$2:$L$3001,0),"")</f>
        <v/>
      </c>
      <c r="K492" s="34">
        <f>IF(AND('Daily Sale entry '!X492&lt;&gt;"",OR('Daily Sale entry '!AC492&lt;&gt;"",'Daily Sale entry '!AD492&lt;&gt;"")),'Daily Sale entry '!X492+ROW()/10000000,"")</f>
        <v/>
      </c>
      <c r="L492" s="21">
        <f>IF(K492="","",COUNTIF($K$2:$K$3001,"&lt;"&amp;K492)+1)</f>
        <v/>
      </c>
    </row>
    <row r="493">
      <c r="A493" s="5">
        <f>IF($J493="","",IF($J493&lt;=1500,INDEX('Daily Sale entry '!$X$1:$X$1501,$J493+1),INDEX('Daily Sale entry '!$V$1:$V$1501,$J493-1499)))</f>
        <v/>
      </c>
      <c r="B493">
        <f>IF($J493="","",IF($J493&lt;=1500,INDEX('Daily Sale entry '!$Y$1:$Y$1501,$J493+1)&amp;"","Buyer cheque banked 买家支票存入"&amp;IF(INDEX('Daily Sale entry '!$U$1:$U$1501,$J493-1499)="","", " - "&amp;INDEX('Daily Sale entry '!$U$1:$U$1501,$J493-1499))))</f>
        <v/>
      </c>
      <c r="C493">
        <f>IF($J493="","",IF($J493&lt;=1500,INDEX('Daily Sale entry '!$Z$1:$Z$1501,$J493+1)&amp;"","Cheque deposit 支票存入 (buyer 买家)"))</f>
        <v/>
      </c>
      <c r="D493">
        <f>IF($J493="","",IF($J493&lt;=1500,INDEX('Daily Sale entry '!$AA$1:$AA$1501,$J493+1)&amp;"",INDEX('Daily Sale entry '!$P$1:$P$1501,$J493-1499)&amp;""))</f>
        <v/>
      </c>
      <c r="E493">
        <f>IF($J493="","",IF($J493&lt;=1500,IF(N(INDEX('Daily Sale entry '!$AB$1:$AB$1501,$J493+1))=0,"",INDEX('Daily Sale entry '!$AB$1:$AB$1501,$J493+1)),1))</f>
        <v/>
      </c>
      <c r="F493" s="6">
        <f>IF($J493="","",IF($J493&lt;=1500,N(INDEX('Daily Sale entry '!$AC$1:$AC$1501,$J493+1))-IF(AND('Opening Balance'!$B$15=1,INDEX('Daily Sale entry '!$Z$1:$Z$1501,$J493+1)="Online collection 网上收款",INDEX('Daily Sale entry '!$AA$1:$AA$1501,$J493+1)&lt;&gt;""),N(INDEX('Daily Sale entry '!$AC$1:$AC$1501,$J493+1))-TRUNC(N(INDEX('Daily Sale entry '!$AC$1:$AC$1501,$J493+1))),0),N(INDEX('Daily Sale entry '!$S$1:$S$1501,$J493-1499))-'Opening Balance'!$B$15*(N(INDEX('Daily Sale entry '!$S$1:$S$1501,$J493-1499))-TRUNC(N(INDEX('Daily Sale entry '!$S$1:$S$1501,$J493-1499))))))</f>
        <v/>
      </c>
      <c r="G493" s="6">
        <f>IF($J493="","",IF($J493&lt;=1500,N(INDEX('Daily Sale entry '!$AD$1:$AD$1501,$J493+1)),0))</f>
        <v/>
      </c>
      <c r="H493" s="6">
        <f>IF($J493="","",ROUND('Opening Balance'!$B$4+SUM($F$2:F493)-SUM($G$2:G493),2))</f>
        <v/>
      </c>
      <c r="J493" s="21">
        <f>IFERROR(MATCH(ROW()-1,$L$2:$L$3001,0),"")</f>
        <v/>
      </c>
      <c r="K493" s="34">
        <f>IF(AND('Daily Sale entry '!X493&lt;&gt;"",OR('Daily Sale entry '!AC493&lt;&gt;"",'Daily Sale entry '!AD493&lt;&gt;"")),'Daily Sale entry '!X493+ROW()/10000000,"")</f>
        <v/>
      </c>
      <c r="L493" s="21">
        <f>IF(K493="","",COUNTIF($K$2:$K$3001,"&lt;"&amp;K493)+1)</f>
        <v/>
      </c>
    </row>
    <row r="494">
      <c r="A494" s="5">
        <f>IF($J494="","",IF($J494&lt;=1500,INDEX('Daily Sale entry '!$X$1:$X$1501,$J494+1),INDEX('Daily Sale entry '!$V$1:$V$1501,$J494-1499)))</f>
        <v/>
      </c>
      <c r="B494">
        <f>IF($J494="","",IF($J494&lt;=1500,INDEX('Daily Sale entry '!$Y$1:$Y$1501,$J494+1)&amp;"","Buyer cheque banked 买家支票存入"&amp;IF(INDEX('Daily Sale entry '!$U$1:$U$1501,$J494-1499)="","", " - "&amp;INDEX('Daily Sale entry '!$U$1:$U$1501,$J494-1499))))</f>
        <v/>
      </c>
      <c r="C494">
        <f>IF($J494="","",IF($J494&lt;=1500,INDEX('Daily Sale entry '!$Z$1:$Z$1501,$J494+1)&amp;"","Cheque deposit 支票存入 (buyer 买家)"))</f>
        <v/>
      </c>
      <c r="D494">
        <f>IF($J494="","",IF($J494&lt;=1500,INDEX('Daily Sale entry '!$AA$1:$AA$1501,$J494+1)&amp;"",INDEX('Daily Sale entry '!$P$1:$P$1501,$J494-1499)&amp;""))</f>
        <v/>
      </c>
      <c r="E494">
        <f>IF($J494="","",IF($J494&lt;=1500,IF(N(INDEX('Daily Sale entry '!$AB$1:$AB$1501,$J494+1))=0,"",INDEX('Daily Sale entry '!$AB$1:$AB$1501,$J494+1)),1))</f>
        <v/>
      </c>
      <c r="F494" s="6">
        <f>IF($J494="","",IF($J494&lt;=1500,N(INDEX('Daily Sale entry '!$AC$1:$AC$1501,$J494+1))-IF(AND('Opening Balance'!$B$15=1,INDEX('Daily Sale entry '!$Z$1:$Z$1501,$J494+1)="Online collection 网上收款",INDEX('Daily Sale entry '!$AA$1:$AA$1501,$J494+1)&lt;&gt;""),N(INDEX('Daily Sale entry '!$AC$1:$AC$1501,$J494+1))-TRUNC(N(INDEX('Daily Sale entry '!$AC$1:$AC$1501,$J494+1))),0),N(INDEX('Daily Sale entry '!$S$1:$S$1501,$J494-1499))-'Opening Balance'!$B$15*(N(INDEX('Daily Sale entry '!$S$1:$S$1501,$J494-1499))-TRUNC(N(INDEX('Daily Sale entry '!$S$1:$S$1501,$J494-1499))))))</f>
        <v/>
      </c>
      <c r="G494" s="6">
        <f>IF($J494="","",IF($J494&lt;=1500,N(INDEX('Daily Sale entry '!$AD$1:$AD$1501,$J494+1)),0))</f>
        <v/>
      </c>
      <c r="H494" s="6">
        <f>IF($J494="","",ROUND('Opening Balance'!$B$4+SUM($F$2:F494)-SUM($G$2:G494),2))</f>
        <v/>
      </c>
      <c r="J494" s="21">
        <f>IFERROR(MATCH(ROW()-1,$L$2:$L$3001,0),"")</f>
        <v/>
      </c>
      <c r="K494" s="34">
        <f>IF(AND('Daily Sale entry '!X494&lt;&gt;"",OR('Daily Sale entry '!AC494&lt;&gt;"",'Daily Sale entry '!AD494&lt;&gt;"")),'Daily Sale entry '!X494+ROW()/10000000,"")</f>
        <v/>
      </c>
      <c r="L494" s="21">
        <f>IF(K494="","",COUNTIF($K$2:$K$3001,"&lt;"&amp;K494)+1)</f>
        <v/>
      </c>
    </row>
    <row r="495">
      <c r="A495" s="5">
        <f>IF($J495="","",IF($J495&lt;=1500,INDEX('Daily Sale entry '!$X$1:$X$1501,$J495+1),INDEX('Daily Sale entry '!$V$1:$V$1501,$J495-1499)))</f>
        <v/>
      </c>
      <c r="B495">
        <f>IF($J495="","",IF($J495&lt;=1500,INDEX('Daily Sale entry '!$Y$1:$Y$1501,$J495+1)&amp;"","Buyer cheque banked 买家支票存入"&amp;IF(INDEX('Daily Sale entry '!$U$1:$U$1501,$J495-1499)="","", " - "&amp;INDEX('Daily Sale entry '!$U$1:$U$1501,$J495-1499))))</f>
        <v/>
      </c>
      <c r="C495">
        <f>IF($J495="","",IF($J495&lt;=1500,INDEX('Daily Sale entry '!$Z$1:$Z$1501,$J495+1)&amp;"","Cheque deposit 支票存入 (buyer 买家)"))</f>
        <v/>
      </c>
      <c r="D495">
        <f>IF($J495="","",IF($J495&lt;=1500,INDEX('Daily Sale entry '!$AA$1:$AA$1501,$J495+1)&amp;"",INDEX('Daily Sale entry '!$P$1:$P$1501,$J495-1499)&amp;""))</f>
        <v/>
      </c>
      <c r="E495">
        <f>IF($J495="","",IF($J495&lt;=1500,IF(N(INDEX('Daily Sale entry '!$AB$1:$AB$1501,$J495+1))=0,"",INDEX('Daily Sale entry '!$AB$1:$AB$1501,$J495+1)),1))</f>
        <v/>
      </c>
      <c r="F495" s="6">
        <f>IF($J495="","",IF($J495&lt;=1500,N(INDEX('Daily Sale entry '!$AC$1:$AC$1501,$J495+1))-IF(AND('Opening Balance'!$B$15=1,INDEX('Daily Sale entry '!$Z$1:$Z$1501,$J495+1)="Online collection 网上收款",INDEX('Daily Sale entry '!$AA$1:$AA$1501,$J495+1)&lt;&gt;""),N(INDEX('Daily Sale entry '!$AC$1:$AC$1501,$J495+1))-TRUNC(N(INDEX('Daily Sale entry '!$AC$1:$AC$1501,$J495+1))),0),N(INDEX('Daily Sale entry '!$S$1:$S$1501,$J495-1499))-'Opening Balance'!$B$15*(N(INDEX('Daily Sale entry '!$S$1:$S$1501,$J495-1499))-TRUNC(N(INDEX('Daily Sale entry '!$S$1:$S$1501,$J495-1499))))))</f>
        <v/>
      </c>
      <c r="G495" s="6">
        <f>IF($J495="","",IF($J495&lt;=1500,N(INDEX('Daily Sale entry '!$AD$1:$AD$1501,$J495+1)),0))</f>
        <v/>
      </c>
      <c r="H495" s="6">
        <f>IF($J495="","",ROUND('Opening Balance'!$B$4+SUM($F$2:F495)-SUM($G$2:G495),2))</f>
        <v/>
      </c>
      <c r="J495" s="21">
        <f>IFERROR(MATCH(ROW()-1,$L$2:$L$3001,0),"")</f>
        <v/>
      </c>
      <c r="K495" s="34">
        <f>IF(AND('Daily Sale entry '!X495&lt;&gt;"",OR('Daily Sale entry '!AC495&lt;&gt;"",'Daily Sale entry '!AD495&lt;&gt;"")),'Daily Sale entry '!X495+ROW()/10000000,"")</f>
        <v/>
      </c>
      <c r="L495" s="21">
        <f>IF(K495="","",COUNTIF($K$2:$K$3001,"&lt;"&amp;K495)+1)</f>
        <v/>
      </c>
    </row>
    <row r="496">
      <c r="A496" s="5">
        <f>IF($J496="","",IF($J496&lt;=1500,INDEX('Daily Sale entry '!$X$1:$X$1501,$J496+1),INDEX('Daily Sale entry '!$V$1:$V$1501,$J496-1499)))</f>
        <v/>
      </c>
      <c r="B496">
        <f>IF($J496="","",IF($J496&lt;=1500,INDEX('Daily Sale entry '!$Y$1:$Y$1501,$J496+1)&amp;"","Buyer cheque banked 买家支票存入"&amp;IF(INDEX('Daily Sale entry '!$U$1:$U$1501,$J496-1499)="","", " - "&amp;INDEX('Daily Sale entry '!$U$1:$U$1501,$J496-1499))))</f>
        <v/>
      </c>
      <c r="C496">
        <f>IF($J496="","",IF($J496&lt;=1500,INDEX('Daily Sale entry '!$Z$1:$Z$1501,$J496+1)&amp;"","Cheque deposit 支票存入 (buyer 买家)"))</f>
        <v/>
      </c>
      <c r="D496">
        <f>IF($J496="","",IF($J496&lt;=1500,INDEX('Daily Sale entry '!$AA$1:$AA$1501,$J496+1)&amp;"",INDEX('Daily Sale entry '!$P$1:$P$1501,$J496-1499)&amp;""))</f>
        <v/>
      </c>
      <c r="E496">
        <f>IF($J496="","",IF($J496&lt;=1500,IF(N(INDEX('Daily Sale entry '!$AB$1:$AB$1501,$J496+1))=0,"",INDEX('Daily Sale entry '!$AB$1:$AB$1501,$J496+1)),1))</f>
        <v/>
      </c>
      <c r="F496" s="6">
        <f>IF($J496="","",IF($J496&lt;=1500,N(INDEX('Daily Sale entry '!$AC$1:$AC$1501,$J496+1))-IF(AND('Opening Balance'!$B$15=1,INDEX('Daily Sale entry '!$Z$1:$Z$1501,$J496+1)="Online collection 网上收款",INDEX('Daily Sale entry '!$AA$1:$AA$1501,$J496+1)&lt;&gt;""),N(INDEX('Daily Sale entry '!$AC$1:$AC$1501,$J496+1))-TRUNC(N(INDEX('Daily Sale entry '!$AC$1:$AC$1501,$J496+1))),0),N(INDEX('Daily Sale entry '!$S$1:$S$1501,$J496-1499))-'Opening Balance'!$B$15*(N(INDEX('Daily Sale entry '!$S$1:$S$1501,$J496-1499))-TRUNC(N(INDEX('Daily Sale entry '!$S$1:$S$1501,$J496-1499))))))</f>
        <v/>
      </c>
      <c r="G496" s="6">
        <f>IF($J496="","",IF($J496&lt;=1500,N(INDEX('Daily Sale entry '!$AD$1:$AD$1501,$J496+1)),0))</f>
        <v/>
      </c>
      <c r="H496" s="6">
        <f>IF($J496="","",ROUND('Opening Balance'!$B$4+SUM($F$2:F496)-SUM($G$2:G496),2))</f>
        <v/>
      </c>
      <c r="J496" s="21">
        <f>IFERROR(MATCH(ROW()-1,$L$2:$L$3001,0),"")</f>
        <v/>
      </c>
      <c r="K496" s="34">
        <f>IF(AND('Daily Sale entry '!X496&lt;&gt;"",OR('Daily Sale entry '!AC496&lt;&gt;"",'Daily Sale entry '!AD496&lt;&gt;"")),'Daily Sale entry '!X496+ROW()/10000000,"")</f>
        <v/>
      </c>
      <c r="L496" s="21">
        <f>IF(K496="","",COUNTIF($K$2:$K$3001,"&lt;"&amp;K496)+1)</f>
        <v/>
      </c>
    </row>
    <row r="497">
      <c r="A497" s="5">
        <f>IF($J497="","",IF($J497&lt;=1500,INDEX('Daily Sale entry '!$X$1:$X$1501,$J497+1),INDEX('Daily Sale entry '!$V$1:$V$1501,$J497-1499)))</f>
        <v/>
      </c>
      <c r="B497">
        <f>IF($J497="","",IF($J497&lt;=1500,INDEX('Daily Sale entry '!$Y$1:$Y$1501,$J497+1)&amp;"","Buyer cheque banked 买家支票存入"&amp;IF(INDEX('Daily Sale entry '!$U$1:$U$1501,$J497-1499)="","", " - "&amp;INDEX('Daily Sale entry '!$U$1:$U$1501,$J497-1499))))</f>
        <v/>
      </c>
      <c r="C497">
        <f>IF($J497="","",IF($J497&lt;=1500,INDEX('Daily Sale entry '!$Z$1:$Z$1501,$J497+1)&amp;"","Cheque deposit 支票存入 (buyer 买家)"))</f>
        <v/>
      </c>
      <c r="D497">
        <f>IF($J497="","",IF($J497&lt;=1500,INDEX('Daily Sale entry '!$AA$1:$AA$1501,$J497+1)&amp;"",INDEX('Daily Sale entry '!$P$1:$P$1501,$J497-1499)&amp;""))</f>
        <v/>
      </c>
      <c r="E497">
        <f>IF($J497="","",IF($J497&lt;=1500,IF(N(INDEX('Daily Sale entry '!$AB$1:$AB$1501,$J497+1))=0,"",INDEX('Daily Sale entry '!$AB$1:$AB$1501,$J497+1)),1))</f>
        <v/>
      </c>
      <c r="F497" s="6">
        <f>IF($J497="","",IF($J497&lt;=1500,N(INDEX('Daily Sale entry '!$AC$1:$AC$1501,$J497+1))-IF(AND('Opening Balance'!$B$15=1,INDEX('Daily Sale entry '!$Z$1:$Z$1501,$J497+1)="Online collection 网上收款",INDEX('Daily Sale entry '!$AA$1:$AA$1501,$J497+1)&lt;&gt;""),N(INDEX('Daily Sale entry '!$AC$1:$AC$1501,$J497+1))-TRUNC(N(INDEX('Daily Sale entry '!$AC$1:$AC$1501,$J497+1))),0),N(INDEX('Daily Sale entry '!$S$1:$S$1501,$J497-1499))-'Opening Balance'!$B$15*(N(INDEX('Daily Sale entry '!$S$1:$S$1501,$J497-1499))-TRUNC(N(INDEX('Daily Sale entry '!$S$1:$S$1501,$J497-1499))))))</f>
        <v/>
      </c>
      <c r="G497" s="6">
        <f>IF($J497="","",IF($J497&lt;=1500,N(INDEX('Daily Sale entry '!$AD$1:$AD$1501,$J497+1)),0))</f>
        <v/>
      </c>
      <c r="H497" s="6">
        <f>IF($J497="","",ROUND('Opening Balance'!$B$4+SUM($F$2:F497)-SUM($G$2:G497),2))</f>
        <v/>
      </c>
      <c r="J497" s="21">
        <f>IFERROR(MATCH(ROW()-1,$L$2:$L$3001,0),"")</f>
        <v/>
      </c>
      <c r="K497" s="34">
        <f>IF(AND('Daily Sale entry '!X497&lt;&gt;"",OR('Daily Sale entry '!AC497&lt;&gt;"",'Daily Sale entry '!AD497&lt;&gt;"")),'Daily Sale entry '!X497+ROW()/10000000,"")</f>
        <v/>
      </c>
      <c r="L497" s="21">
        <f>IF(K497="","",COUNTIF($K$2:$K$3001,"&lt;"&amp;K497)+1)</f>
        <v/>
      </c>
    </row>
    <row r="498">
      <c r="A498" s="5">
        <f>IF($J498="","",IF($J498&lt;=1500,INDEX('Daily Sale entry '!$X$1:$X$1501,$J498+1),INDEX('Daily Sale entry '!$V$1:$V$1501,$J498-1499)))</f>
        <v/>
      </c>
      <c r="B498">
        <f>IF($J498="","",IF($J498&lt;=1500,INDEX('Daily Sale entry '!$Y$1:$Y$1501,$J498+1)&amp;"","Buyer cheque banked 买家支票存入"&amp;IF(INDEX('Daily Sale entry '!$U$1:$U$1501,$J498-1499)="","", " - "&amp;INDEX('Daily Sale entry '!$U$1:$U$1501,$J498-1499))))</f>
        <v/>
      </c>
      <c r="C498">
        <f>IF($J498="","",IF($J498&lt;=1500,INDEX('Daily Sale entry '!$Z$1:$Z$1501,$J498+1)&amp;"","Cheque deposit 支票存入 (buyer 买家)"))</f>
        <v/>
      </c>
      <c r="D498">
        <f>IF($J498="","",IF($J498&lt;=1500,INDEX('Daily Sale entry '!$AA$1:$AA$1501,$J498+1)&amp;"",INDEX('Daily Sale entry '!$P$1:$P$1501,$J498-1499)&amp;""))</f>
        <v/>
      </c>
      <c r="E498">
        <f>IF($J498="","",IF($J498&lt;=1500,IF(N(INDEX('Daily Sale entry '!$AB$1:$AB$1501,$J498+1))=0,"",INDEX('Daily Sale entry '!$AB$1:$AB$1501,$J498+1)),1))</f>
        <v/>
      </c>
      <c r="F498" s="6">
        <f>IF($J498="","",IF($J498&lt;=1500,N(INDEX('Daily Sale entry '!$AC$1:$AC$1501,$J498+1))-IF(AND('Opening Balance'!$B$15=1,INDEX('Daily Sale entry '!$Z$1:$Z$1501,$J498+1)="Online collection 网上收款",INDEX('Daily Sale entry '!$AA$1:$AA$1501,$J498+1)&lt;&gt;""),N(INDEX('Daily Sale entry '!$AC$1:$AC$1501,$J498+1))-TRUNC(N(INDEX('Daily Sale entry '!$AC$1:$AC$1501,$J498+1))),0),N(INDEX('Daily Sale entry '!$S$1:$S$1501,$J498-1499))-'Opening Balance'!$B$15*(N(INDEX('Daily Sale entry '!$S$1:$S$1501,$J498-1499))-TRUNC(N(INDEX('Daily Sale entry '!$S$1:$S$1501,$J498-1499))))))</f>
        <v/>
      </c>
      <c r="G498" s="6">
        <f>IF($J498="","",IF($J498&lt;=1500,N(INDEX('Daily Sale entry '!$AD$1:$AD$1501,$J498+1)),0))</f>
        <v/>
      </c>
      <c r="H498" s="6">
        <f>IF($J498="","",ROUND('Opening Balance'!$B$4+SUM($F$2:F498)-SUM($G$2:G498),2))</f>
        <v/>
      </c>
      <c r="J498" s="21">
        <f>IFERROR(MATCH(ROW()-1,$L$2:$L$3001,0),"")</f>
        <v/>
      </c>
      <c r="K498" s="34">
        <f>IF(AND('Daily Sale entry '!X498&lt;&gt;"",OR('Daily Sale entry '!AC498&lt;&gt;"",'Daily Sale entry '!AD498&lt;&gt;"")),'Daily Sale entry '!X498+ROW()/10000000,"")</f>
        <v/>
      </c>
      <c r="L498" s="21">
        <f>IF(K498="","",COUNTIF($K$2:$K$3001,"&lt;"&amp;K498)+1)</f>
        <v/>
      </c>
    </row>
    <row r="499">
      <c r="A499" s="5">
        <f>IF($J499="","",IF($J499&lt;=1500,INDEX('Daily Sale entry '!$X$1:$X$1501,$J499+1),INDEX('Daily Sale entry '!$V$1:$V$1501,$J499-1499)))</f>
        <v/>
      </c>
      <c r="B499">
        <f>IF($J499="","",IF($J499&lt;=1500,INDEX('Daily Sale entry '!$Y$1:$Y$1501,$J499+1)&amp;"","Buyer cheque banked 买家支票存入"&amp;IF(INDEX('Daily Sale entry '!$U$1:$U$1501,$J499-1499)="","", " - "&amp;INDEX('Daily Sale entry '!$U$1:$U$1501,$J499-1499))))</f>
        <v/>
      </c>
      <c r="C499">
        <f>IF($J499="","",IF($J499&lt;=1500,INDEX('Daily Sale entry '!$Z$1:$Z$1501,$J499+1)&amp;"","Cheque deposit 支票存入 (buyer 买家)"))</f>
        <v/>
      </c>
      <c r="D499">
        <f>IF($J499="","",IF($J499&lt;=1500,INDEX('Daily Sale entry '!$AA$1:$AA$1501,$J499+1)&amp;"",INDEX('Daily Sale entry '!$P$1:$P$1501,$J499-1499)&amp;""))</f>
        <v/>
      </c>
      <c r="E499">
        <f>IF($J499="","",IF($J499&lt;=1500,IF(N(INDEX('Daily Sale entry '!$AB$1:$AB$1501,$J499+1))=0,"",INDEX('Daily Sale entry '!$AB$1:$AB$1501,$J499+1)),1))</f>
        <v/>
      </c>
      <c r="F499" s="6">
        <f>IF($J499="","",IF($J499&lt;=1500,N(INDEX('Daily Sale entry '!$AC$1:$AC$1501,$J499+1))-IF(AND('Opening Balance'!$B$15=1,INDEX('Daily Sale entry '!$Z$1:$Z$1501,$J499+1)="Online collection 网上收款",INDEX('Daily Sale entry '!$AA$1:$AA$1501,$J499+1)&lt;&gt;""),N(INDEX('Daily Sale entry '!$AC$1:$AC$1501,$J499+1))-TRUNC(N(INDEX('Daily Sale entry '!$AC$1:$AC$1501,$J499+1))),0),N(INDEX('Daily Sale entry '!$S$1:$S$1501,$J499-1499))-'Opening Balance'!$B$15*(N(INDEX('Daily Sale entry '!$S$1:$S$1501,$J499-1499))-TRUNC(N(INDEX('Daily Sale entry '!$S$1:$S$1501,$J499-1499))))))</f>
        <v/>
      </c>
      <c r="G499" s="6">
        <f>IF($J499="","",IF($J499&lt;=1500,N(INDEX('Daily Sale entry '!$AD$1:$AD$1501,$J499+1)),0))</f>
        <v/>
      </c>
      <c r="H499" s="6">
        <f>IF($J499="","",ROUND('Opening Balance'!$B$4+SUM($F$2:F499)-SUM($G$2:G499),2))</f>
        <v/>
      </c>
      <c r="J499" s="21">
        <f>IFERROR(MATCH(ROW()-1,$L$2:$L$3001,0),"")</f>
        <v/>
      </c>
      <c r="K499" s="34">
        <f>IF(AND('Daily Sale entry '!X499&lt;&gt;"",OR('Daily Sale entry '!AC499&lt;&gt;"",'Daily Sale entry '!AD499&lt;&gt;"")),'Daily Sale entry '!X499+ROW()/10000000,"")</f>
        <v/>
      </c>
      <c r="L499" s="21">
        <f>IF(K499="","",COUNTIF($K$2:$K$3001,"&lt;"&amp;K499)+1)</f>
        <v/>
      </c>
    </row>
    <row r="500">
      <c r="A500" s="5">
        <f>IF($J500="","",IF($J500&lt;=1500,INDEX('Daily Sale entry '!$X$1:$X$1501,$J500+1),INDEX('Daily Sale entry '!$V$1:$V$1501,$J500-1499)))</f>
        <v/>
      </c>
      <c r="B500">
        <f>IF($J500="","",IF($J500&lt;=1500,INDEX('Daily Sale entry '!$Y$1:$Y$1501,$J500+1)&amp;"","Buyer cheque banked 买家支票存入"&amp;IF(INDEX('Daily Sale entry '!$U$1:$U$1501,$J500-1499)="","", " - "&amp;INDEX('Daily Sale entry '!$U$1:$U$1501,$J500-1499))))</f>
        <v/>
      </c>
      <c r="C500">
        <f>IF($J500="","",IF($J500&lt;=1500,INDEX('Daily Sale entry '!$Z$1:$Z$1501,$J500+1)&amp;"","Cheque deposit 支票存入 (buyer 买家)"))</f>
        <v/>
      </c>
      <c r="D500">
        <f>IF($J500="","",IF($J500&lt;=1500,INDEX('Daily Sale entry '!$AA$1:$AA$1501,$J500+1)&amp;"",INDEX('Daily Sale entry '!$P$1:$P$1501,$J500-1499)&amp;""))</f>
        <v/>
      </c>
      <c r="E500">
        <f>IF($J500="","",IF($J500&lt;=1500,IF(N(INDEX('Daily Sale entry '!$AB$1:$AB$1501,$J500+1))=0,"",INDEX('Daily Sale entry '!$AB$1:$AB$1501,$J500+1)),1))</f>
        <v/>
      </c>
      <c r="F500" s="6">
        <f>IF($J500="","",IF($J500&lt;=1500,N(INDEX('Daily Sale entry '!$AC$1:$AC$1501,$J500+1))-IF(AND('Opening Balance'!$B$15=1,INDEX('Daily Sale entry '!$Z$1:$Z$1501,$J500+1)="Online collection 网上收款",INDEX('Daily Sale entry '!$AA$1:$AA$1501,$J500+1)&lt;&gt;""),N(INDEX('Daily Sale entry '!$AC$1:$AC$1501,$J500+1))-TRUNC(N(INDEX('Daily Sale entry '!$AC$1:$AC$1501,$J500+1))),0),N(INDEX('Daily Sale entry '!$S$1:$S$1501,$J500-1499))-'Opening Balance'!$B$15*(N(INDEX('Daily Sale entry '!$S$1:$S$1501,$J500-1499))-TRUNC(N(INDEX('Daily Sale entry '!$S$1:$S$1501,$J500-1499))))))</f>
        <v/>
      </c>
      <c r="G500" s="6">
        <f>IF($J500="","",IF($J500&lt;=1500,N(INDEX('Daily Sale entry '!$AD$1:$AD$1501,$J500+1)),0))</f>
        <v/>
      </c>
      <c r="H500" s="6">
        <f>IF($J500="","",ROUND('Opening Balance'!$B$4+SUM($F$2:F500)-SUM($G$2:G500),2))</f>
        <v/>
      </c>
      <c r="J500" s="21">
        <f>IFERROR(MATCH(ROW()-1,$L$2:$L$3001,0),"")</f>
        <v/>
      </c>
      <c r="K500" s="34">
        <f>IF(AND('Daily Sale entry '!X500&lt;&gt;"",OR('Daily Sale entry '!AC500&lt;&gt;"",'Daily Sale entry '!AD500&lt;&gt;"")),'Daily Sale entry '!X500+ROW()/10000000,"")</f>
        <v/>
      </c>
      <c r="L500" s="21">
        <f>IF(K500="","",COUNTIF($K$2:$K$3001,"&lt;"&amp;K500)+1)</f>
        <v/>
      </c>
    </row>
    <row r="501">
      <c r="A501" s="5">
        <f>IF($J501="","",IF($J501&lt;=1500,INDEX('Daily Sale entry '!$X$1:$X$1501,$J501+1),INDEX('Daily Sale entry '!$V$1:$V$1501,$J501-1499)))</f>
        <v/>
      </c>
      <c r="B501">
        <f>IF($J501="","",IF($J501&lt;=1500,INDEX('Daily Sale entry '!$Y$1:$Y$1501,$J501+1)&amp;"","Buyer cheque banked 买家支票存入"&amp;IF(INDEX('Daily Sale entry '!$U$1:$U$1501,$J501-1499)="","", " - "&amp;INDEX('Daily Sale entry '!$U$1:$U$1501,$J501-1499))))</f>
        <v/>
      </c>
      <c r="C501">
        <f>IF($J501="","",IF($J501&lt;=1500,INDEX('Daily Sale entry '!$Z$1:$Z$1501,$J501+1)&amp;"","Cheque deposit 支票存入 (buyer 买家)"))</f>
        <v/>
      </c>
      <c r="D501">
        <f>IF($J501="","",IF($J501&lt;=1500,INDEX('Daily Sale entry '!$AA$1:$AA$1501,$J501+1)&amp;"",INDEX('Daily Sale entry '!$P$1:$P$1501,$J501-1499)&amp;""))</f>
        <v/>
      </c>
      <c r="E501">
        <f>IF($J501="","",IF($J501&lt;=1500,IF(N(INDEX('Daily Sale entry '!$AB$1:$AB$1501,$J501+1))=0,"",INDEX('Daily Sale entry '!$AB$1:$AB$1501,$J501+1)),1))</f>
        <v/>
      </c>
      <c r="F501" s="6">
        <f>IF($J501="","",IF($J501&lt;=1500,N(INDEX('Daily Sale entry '!$AC$1:$AC$1501,$J501+1))-IF(AND('Opening Balance'!$B$15=1,INDEX('Daily Sale entry '!$Z$1:$Z$1501,$J501+1)="Online collection 网上收款",INDEX('Daily Sale entry '!$AA$1:$AA$1501,$J501+1)&lt;&gt;""),N(INDEX('Daily Sale entry '!$AC$1:$AC$1501,$J501+1))-TRUNC(N(INDEX('Daily Sale entry '!$AC$1:$AC$1501,$J501+1))),0),N(INDEX('Daily Sale entry '!$S$1:$S$1501,$J501-1499))-'Opening Balance'!$B$15*(N(INDEX('Daily Sale entry '!$S$1:$S$1501,$J501-1499))-TRUNC(N(INDEX('Daily Sale entry '!$S$1:$S$1501,$J501-1499))))))</f>
        <v/>
      </c>
      <c r="G501" s="6">
        <f>IF($J501="","",IF($J501&lt;=1500,N(INDEX('Daily Sale entry '!$AD$1:$AD$1501,$J501+1)),0))</f>
        <v/>
      </c>
      <c r="H501" s="6">
        <f>IF($J501="","",ROUND('Opening Balance'!$B$4+SUM($F$2:F501)-SUM($G$2:G501),2))</f>
        <v/>
      </c>
      <c r="J501" s="21">
        <f>IFERROR(MATCH(ROW()-1,$L$2:$L$3001,0),"")</f>
        <v/>
      </c>
      <c r="K501" s="34">
        <f>IF(AND('Daily Sale entry '!X501&lt;&gt;"",OR('Daily Sale entry '!AC501&lt;&gt;"",'Daily Sale entry '!AD501&lt;&gt;"")),'Daily Sale entry '!X501+ROW()/10000000,"")</f>
        <v/>
      </c>
      <c r="L501" s="21">
        <f>IF(K501="","",COUNTIF($K$2:$K$3001,"&lt;"&amp;K501)+1)</f>
        <v/>
      </c>
    </row>
    <row r="502">
      <c r="A502" s="5">
        <f>IF($J502="","",IF($J502&lt;=1500,INDEX('Daily Sale entry '!$X$1:$X$1501,$J502+1),INDEX('Daily Sale entry '!$V$1:$V$1501,$J502-1499)))</f>
        <v/>
      </c>
      <c r="B502">
        <f>IF($J502="","",IF($J502&lt;=1500,INDEX('Daily Sale entry '!$Y$1:$Y$1501,$J502+1)&amp;"","Buyer cheque banked 买家支票存入"&amp;IF(INDEX('Daily Sale entry '!$U$1:$U$1501,$J502-1499)="","", " - "&amp;INDEX('Daily Sale entry '!$U$1:$U$1501,$J502-1499))))</f>
        <v/>
      </c>
      <c r="C502">
        <f>IF($J502="","",IF($J502&lt;=1500,INDEX('Daily Sale entry '!$Z$1:$Z$1501,$J502+1)&amp;"","Cheque deposit 支票存入 (buyer 买家)"))</f>
        <v/>
      </c>
      <c r="D502">
        <f>IF($J502="","",IF($J502&lt;=1500,INDEX('Daily Sale entry '!$AA$1:$AA$1501,$J502+1)&amp;"",INDEX('Daily Sale entry '!$P$1:$P$1501,$J502-1499)&amp;""))</f>
        <v/>
      </c>
      <c r="E502">
        <f>IF($J502="","",IF($J502&lt;=1500,IF(N(INDEX('Daily Sale entry '!$AB$1:$AB$1501,$J502+1))=0,"",INDEX('Daily Sale entry '!$AB$1:$AB$1501,$J502+1)),1))</f>
        <v/>
      </c>
      <c r="F502" s="6">
        <f>IF($J502="","",IF($J502&lt;=1500,N(INDEX('Daily Sale entry '!$AC$1:$AC$1501,$J502+1))-IF(AND('Opening Balance'!$B$15=1,INDEX('Daily Sale entry '!$Z$1:$Z$1501,$J502+1)="Online collection 网上收款",INDEX('Daily Sale entry '!$AA$1:$AA$1501,$J502+1)&lt;&gt;""),N(INDEX('Daily Sale entry '!$AC$1:$AC$1501,$J502+1))-TRUNC(N(INDEX('Daily Sale entry '!$AC$1:$AC$1501,$J502+1))),0),N(INDEX('Daily Sale entry '!$S$1:$S$1501,$J502-1499))-'Opening Balance'!$B$15*(N(INDEX('Daily Sale entry '!$S$1:$S$1501,$J502-1499))-TRUNC(N(INDEX('Daily Sale entry '!$S$1:$S$1501,$J502-1499))))))</f>
        <v/>
      </c>
      <c r="G502" s="6">
        <f>IF($J502="","",IF($J502&lt;=1500,N(INDEX('Daily Sale entry '!$AD$1:$AD$1501,$J502+1)),0))</f>
        <v/>
      </c>
      <c r="H502" s="6">
        <f>IF($J502="","",ROUND('Opening Balance'!$B$4+SUM($F$2:F502)-SUM($G$2:G502),2))</f>
        <v/>
      </c>
      <c r="J502" s="21">
        <f>IFERROR(MATCH(ROW()-1,$L$2:$L$3001,0),"")</f>
        <v/>
      </c>
      <c r="K502" s="34">
        <f>IF(AND('Daily Sale entry '!X502&lt;&gt;"",OR('Daily Sale entry '!AC502&lt;&gt;"",'Daily Sale entry '!AD502&lt;&gt;"")),'Daily Sale entry '!X502+ROW()/10000000,"")</f>
        <v/>
      </c>
      <c r="L502" s="21">
        <f>IF(K502="","",COUNTIF($K$2:$K$3001,"&lt;"&amp;K502)+1)</f>
        <v/>
      </c>
    </row>
    <row r="503">
      <c r="A503" s="5">
        <f>IF($J503="","",IF($J503&lt;=1500,INDEX('Daily Sale entry '!$X$1:$X$1501,$J503+1),INDEX('Daily Sale entry '!$V$1:$V$1501,$J503-1499)))</f>
        <v/>
      </c>
      <c r="B503">
        <f>IF($J503="","",IF($J503&lt;=1500,INDEX('Daily Sale entry '!$Y$1:$Y$1501,$J503+1)&amp;"","Buyer cheque banked 买家支票存入"&amp;IF(INDEX('Daily Sale entry '!$U$1:$U$1501,$J503-1499)="","", " - "&amp;INDEX('Daily Sale entry '!$U$1:$U$1501,$J503-1499))))</f>
        <v/>
      </c>
      <c r="C503">
        <f>IF($J503="","",IF($J503&lt;=1500,INDEX('Daily Sale entry '!$Z$1:$Z$1501,$J503+1)&amp;"","Cheque deposit 支票存入 (buyer 买家)"))</f>
        <v/>
      </c>
      <c r="D503">
        <f>IF($J503="","",IF($J503&lt;=1500,INDEX('Daily Sale entry '!$AA$1:$AA$1501,$J503+1)&amp;"",INDEX('Daily Sale entry '!$P$1:$P$1501,$J503-1499)&amp;""))</f>
        <v/>
      </c>
      <c r="E503">
        <f>IF($J503="","",IF($J503&lt;=1500,IF(N(INDEX('Daily Sale entry '!$AB$1:$AB$1501,$J503+1))=0,"",INDEX('Daily Sale entry '!$AB$1:$AB$1501,$J503+1)),1))</f>
        <v/>
      </c>
      <c r="F503" s="6">
        <f>IF($J503="","",IF($J503&lt;=1500,N(INDEX('Daily Sale entry '!$AC$1:$AC$1501,$J503+1))-IF(AND('Opening Balance'!$B$15=1,INDEX('Daily Sale entry '!$Z$1:$Z$1501,$J503+1)="Online collection 网上收款",INDEX('Daily Sale entry '!$AA$1:$AA$1501,$J503+1)&lt;&gt;""),N(INDEX('Daily Sale entry '!$AC$1:$AC$1501,$J503+1))-TRUNC(N(INDEX('Daily Sale entry '!$AC$1:$AC$1501,$J503+1))),0),N(INDEX('Daily Sale entry '!$S$1:$S$1501,$J503-1499))-'Opening Balance'!$B$15*(N(INDEX('Daily Sale entry '!$S$1:$S$1501,$J503-1499))-TRUNC(N(INDEX('Daily Sale entry '!$S$1:$S$1501,$J503-1499))))))</f>
        <v/>
      </c>
      <c r="G503" s="6">
        <f>IF($J503="","",IF($J503&lt;=1500,N(INDEX('Daily Sale entry '!$AD$1:$AD$1501,$J503+1)),0))</f>
        <v/>
      </c>
      <c r="H503" s="6">
        <f>IF($J503="","",ROUND('Opening Balance'!$B$4+SUM($F$2:F503)-SUM($G$2:G503),2))</f>
        <v/>
      </c>
      <c r="J503" s="21">
        <f>IFERROR(MATCH(ROW()-1,$L$2:$L$3001,0),"")</f>
        <v/>
      </c>
      <c r="K503" s="34">
        <f>IF(AND('Daily Sale entry '!X503&lt;&gt;"",OR('Daily Sale entry '!AC503&lt;&gt;"",'Daily Sale entry '!AD503&lt;&gt;"")),'Daily Sale entry '!X503+ROW()/10000000,"")</f>
        <v/>
      </c>
      <c r="L503" s="21">
        <f>IF(K503="","",COUNTIF($K$2:$K$3001,"&lt;"&amp;K503)+1)</f>
        <v/>
      </c>
    </row>
    <row r="504">
      <c r="A504" s="5">
        <f>IF($J504="","",IF($J504&lt;=1500,INDEX('Daily Sale entry '!$X$1:$X$1501,$J504+1),INDEX('Daily Sale entry '!$V$1:$V$1501,$J504-1499)))</f>
        <v/>
      </c>
      <c r="B504">
        <f>IF($J504="","",IF($J504&lt;=1500,INDEX('Daily Sale entry '!$Y$1:$Y$1501,$J504+1)&amp;"","Buyer cheque banked 买家支票存入"&amp;IF(INDEX('Daily Sale entry '!$U$1:$U$1501,$J504-1499)="","", " - "&amp;INDEX('Daily Sale entry '!$U$1:$U$1501,$J504-1499))))</f>
        <v/>
      </c>
      <c r="C504">
        <f>IF($J504="","",IF($J504&lt;=1500,INDEX('Daily Sale entry '!$Z$1:$Z$1501,$J504+1)&amp;"","Cheque deposit 支票存入 (buyer 买家)"))</f>
        <v/>
      </c>
      <c r="D504">
        <f>IF($J504="","",IF($J504&lt;=1500,INDEX('Daily Sale entry '!$AA$1:$AA$1501,$J504+1)&amp;"",INDEX('Daily Sale entry '!$P$1:$P$1501,$J504-1499)&amp;""))</f>
        <v/>
      </c>
      <c r="E504">
        <f>IF($J504="","",IF($J504&lt;=1500,IF(N(INDEX('Daily Sale entry '!$AB$1:$AB$1501,$J504+1))=0,"",INDEX('Daily Sale entry '!$AB$1:$AB$1501,$J504+1)),1))</f>
        <v/>
      </c>
      <c r="F504" s="6">
        <f>IF($J504="","",IF($J504&lt;=1500,N(INDEX('Daily Sale entry '!$AC$1:$AC$1501,$J504+1))-IF(AND('Opening Balance'!$B$15=1,INDEX('Daily Sale entry '!$Z$1:$Z$1501,$J504+1)="Online collection 网上收款",INDEX('Daily Sale entry '!$AA$1:$AA$1501,$J504+1)&lt;&gt;""),N(INDEX('Daily Sale entry '!$AC$1:$AC$1501,$J504+1))-TRUNC(N(INDEX('Daily Sale entry '!$AC$1:$AC$1501,$J504+1))),0),N(INDEX('Daily Sale entry '!$S$1:$S$1501,$J504-1499))-'Opening Balance'!$B$15*(N(INDEX('Daily Sale entry '!$S$1:$S$1501,$J504-1499))-TRUNC(N(INDEX('Daily Sale entry '!$S$1:$S$1501,$J504-1499))))))</f>
        <v/>
      </c>
      <c r="G504" s="6">
        <f>IF($J504="","",IF($J504&lt;=1500,N(INDEX('Daily Sale entry '!$AD$1:$AD$1501,$J504+1)),0))</f>
        <v/>
      </c>
      <c r="H504" s="6">
        <f>IF($J504="","",ROUND('Opening Balance'!$B$4+SUM($F$2:F504)-SUM($G$2:G504),2))</f>
        <v/>
      </c>
      <c r="J504" s="21">
        <f>IFERROR(MATCH(ROW()-1,$L$2:$L$3001,0),"")</f>
        <v/>
      </c>
      <c r="K504" s="34">
        <f>IF(AND('Daily Sale entry '!X504&lt;&gt;"",OR('Daily Sale entry '!AC504&lt;&gt;"",'Daily Sale entry '!AD504&lt;&gt;"")),'Daily Sale entry '!X504+ROW()/10000000,"")</f>
        <v/>
      </c>
      <c r="L504" s="21">
        <f>IF(K504="","",COUNTIF($K$2:$K$3001,"&lt;"&amp;K504)+1)</f>
        <v/>
      </c>
    </row>
    <row r="505">
      <c r="A505" s="5">
        <f>IF($J505="","",IF($J505&lt;=1500,INDEX('Daily Sale entry '!$X$1:$X$1501,$J505+1),INDEX('Daily Sale entry '!$V$1:$V$1501,$J505-1499)))</f>
        <v/>
      </c>
      <c r="B505">
        <f>IF($J505="","",IF($J505&lt;=1500,INDEX('Daily Sale entry '!$Y$1:$Y$1501,$J505+1)&amp;"","Buyer cheque banked 买家支票存入"&amp;IF(INDEX('Daily Sale entry '!$U$1:$U$1501,$J505-1499)="","", " - "&amp;INDEX('Daily Sale entry '!$U$1:$U$1501,$J505-1499))))</f>
        <v/>
      </c>
      <c r="C505">
        <f>IF($J505="","",IF($J505&lt;=1500,INDEX('Daily Sale entry '!$Z$1:$Z$1501,$J505+1)&amp;"","Cheque deposit 支票存入 (buyer 买家)"))</f>
        <v/>
      </c>
      <c r="D505">
        <f>IF($J505="","",IF($J505&lt;=1500,INDEX('Daily Sale entry '!$AA$1:$AA$1501,$J505+1)&amp;"",INDEX('Daily Sale entry '!$P$1:$P$1501,$J505-1499)&amp;""))</f>
        <v/>
      </c>
      <c r="E505">
        <f>IF($J505="","",IF($J505&lt;=1500,IF(N(INDEX('Daily Sale entry '!$AB$1:$AB$1501,$J505+1))=0,"",INDEX('Daily Sale entry '!$AB$1:$AB$1501,$J505+1)),1))</f>
        <v/>
      </c>
      <c r="F505" s="6">
        <f>IF($J505="","",IF($J505&lt;=1500,N(INDEX('Daily Sale entry '!$AC$1:$AC$1501,$J505+1))-IF(AND('Opening Balance'!$B$15=1,INDEX('Daily Sale entry '!$Z$1:$Z$1501,$J505+1)="Online collection 网上收款",INDEX('Daily Sale entry '!$AA$1:$AA$1501,$J505+1)&lt;&gt;""),N(INDEX('Daily Sale entry '!$AC$1:$AC$1501,$J505+1))-TRUNC(N(INDEX('Daily Sale entry '!$AC$1:$AC$1501,$J505+1))),0),N(INDEX('Daily Sale entry '!$S$1:$S$1501,$J505-1499))-'Opening Balance'!$B$15*(N(INDEX('Daily Sale entry '!$S$1:$S$1501,$J505-1499))-TRUNC(N(INDEX('Daily Sale entry '!$S$1:$S$1501,$J505-1499))))))</f>
        <v/>
      </c>
      <c r="G505" s="6">
        <f>IF($J505="","",IF($J505&lt;=1500,N(INDEX('Daily Sale entry '!$AD$1:$AD$1501,$J505+1)),0))</f>
        <v/>
      </c>
      <c r="H505" s="6">
        <f>IF($J505="","",ROUND('Opening Balance'!$B$4+SUM($F$2:F505)-SUM($G$2:G505),2))</f>
        <v/>
      </c>
      <c r="J505" s="21">
        <f>IFERROR(MATCH(ROW()-1,$L$2:$L$3001,0),"")</f>
        <v/>
      </c>
      <c r="K505" s="34">
        <f>IF(AND('Daily Sale entry '!X505&lt;&gt;"",OR('Daily Sale entry '!AC505&lt;&gt;"",'Daily Sale entry '!AD505&lt;&gt;"")),'Daily Sale entry '!X505+ROW()/10000000,"")</f>
        <v/>
      </c>
      <c r="L505" s="21">
        <f>IF(K505="","",COUNTIF($K$2:$K$3001,"&lt;"&amp;K505)+1)</f>
        <v/>
      </c>
    </row>
    <row r="506">
      <c r="A506" s="5">
        <f>IF($J506="","",IF($J506&lt;=1500,INDEX('Daily Sale entry '!$X$1:$X$1501,$J506+1),INDEX('Daily Sale entry '!$V$1:$V$1501,$J506-1499)))</f>
        <v/>
      </c>
      <c r="B506">
        <f>IF($J506="","",IF($J506&lt;=1500,INDEX('Daily Sale entry '!$Y$1:$Y$1501,$J506+1)&amp;"","Buyer cheque banked 买家支票存入"&amp;IF(INDEX('Daily Sale entry '!$U$1:$U$1501,$J506-1499)="","", " - "&amp;INDEX('Daily Sale entry '!$U$1:$U$1501,$J506-1499))))</f>
        <v/>
      </c>
      <c r="C506">
        <f>IF($J506="","",IF($J506&lt;=1500,INDEX('Daily Sale entry '!$Z$1:$Z$1501,$J506+1)&amp;"","Cheque deposit 支票存入 (buyer 买家)"))</f>
        <v/>
      </c>
      <c r="D506">
        <f>IF($J506="","",IF($J506&lt;=1500,INDEX('Daily Sale entry '!$AA$1:$AA$1501,$J506+1)&amp;"",INDEX('Daily Sale entry '!$P$1:$P$1501,$J506-1499)&amp;""))</f>
        <v/>
      </c>
      <c r="E506">
        <f>IF($J506="","",IF($J506&lt;=1500,IF(N(INDEX('Daily Sale entry '!$AB$1:$AB$1501,$J506+1))=0,"",INDEX('Daily Sale entry '!$AB$1:$AB$1501,$J506+1)),1))</f>
        <v/>
      </c>
      <c r="F506" s="6">
        <f>IF($J506="","",IF($J506&lt;=1500,N(INDEX('Daily Sale entry '!$AC$1:$AC$1501,$J506+1))-IF(AND('Opening Balance'!$B$15=1,INDEX('Daily Sale entry '!$Z$1:$Z$1501,$J506+1)="Online collection 网上收款",INDEX('Daily Sale entry '!$AA$1:$AA$1501,$J506+1)&lt;&gt;""),N(INDEX('Daily Sale entry '!$AC$1:$AC$1501,$J506+1))-TRUNC(N(INDEX('Daily Sale entry '!$AC$1:$AC$1501,$J506+1))),0),N(INDEX('Daily Sale entry '!$S$1:$S$1501,$J506-1499))-'Opening Balance'!$B$15*(N(INDEX('Daily Sale entry '!$S$1:$S$1501,$J506-1499))-TRUNC(N(INDEX('Daily Sale entry '!$S$1:$S$1501,$J506-1499))))))</f>
        <v/>
      </c>
      <c r="G506" s="6">
        <f>IF($J506="","",IF($J506&lt;=1500,N(INDEX('Daily Sale entry '!$AD$1:$AD$1501,$J506+1)),0))</f>
        <v/>
      </c>
      <c r="H506" s="6">
        <f>IF($J506="","",ROUND('Opening Balance'!$B$4+SUM($F$2:F506)-SUM($G$2:G506),2))</f>
        <v/>
      </c>
      <c r="J506" s="21">
        <f>IFERROR(MATCH(ROW()-1,$L$2:$L$3001,0),"")</f>
        <v/>
      </c>
      <c r="K506" s="34">
        <f>IF(AND('Daily Sale entry '!X506&lt;&gt;"",OR('Daily Sale entry '!AC506&lt;&gt;"",'Daily Sale entry '!AD506&lt;&gt;"")),'Daily Sale entry '!X506+ROW()/10000000,"")</f>
        <v/>
      </c>
      <c r="L506" s="21">
        <f>IF(K506="","",COUNTIF($K$2:$K$3001,"&lt;"&amp;K506)+1)</f>
        <v/>
      </c>
    </row>
    <row r="507">
      <c r="A507" s="5">
        <f>IF($J507="","",IF($J507&lt;=1500,INDEX('Daily Sale entry '!$X$1:$X$1501,$J507+1),INDEX('Daily Sale entry '!$V$1:$V$1501,$J507-1499)))</f>
        <v/>
      </c>
      <c r="B507">
        <f>IF($J507="","",IF($J507&lt;=1500,INDEX('Daily Sale entry '!$Y$1:$Y$1501,$J507+1)&amp;"","Buyer cheque banked 买家支票存入"&amp;IF(INDEX('Daily Sale entry '!$U$1:$U$1501,$J507-1499)="","", " - "&amp;INDEX('Daily Sale entry '!$U$1:$U$1501,$J507-1499))))</f>
        <v/>
      </c>
      <c r="C507">
        <f>IF($J507="","",IF($J507&lt;=1500,INDEX('Daily Sale entry '!$Z$1:$Z$1501,$J507+1)&amp;"","Cheque deposit 支票存入 (buyer 买家)"))</f>
        <v/>
      </c>
      <c r="D507">
        <f>IF($J507="","",IF($J507&lt;=1500,INDEX('Daily Sale entry '!$AA$1:$AA$1501,$J507+1)&amp;"",INDEX('Daily Sale entry '!$P$1:$P$1501,$J507-1499)&amp;""))</f>
        <v/>
      </c>
      <c r="E507">
        <f>IF($J507="","",IF($J507&lt;=1500,IF(N(INDEX('Daily Sale entry '!$AB$1:$AB$1501,$J507+1))=0,"",INDEX('Daily Sale entry '!$AB$1:$AB$1501,$J507+1)),1))</f>
        <v/>
      </c>
      <c r="F507" s="6">
        <f>IF($J507="","",IF($J507&lt;=1500,N(INDEX('Daily Sale entry '!$AC$1:$AC$1501,$J507+1))-IF(AND('Opening Balance'!$B$15=1,INDEX('Daily Sale entry '!$Z$1:$Z$1501,$J507+1)="Online collection 网上收款",INDEX('Daily Sale entry '!$AA$1:$AA$1501,$J507+1)&lt;&gt;""),N(INDEX('Daily Sale entry '!$AC$1:$AC$1501,$J507+1))-TRUNC(N(INDEX('Daily Sale entry '!$AC$1:$AC$1501,$J507+1))),0),N(INDEX('Daily Sale entry '!$S$1:$S$1501,$J507-1499))-'Opening Balance'!$B$15*(N(INDEX('Daily Sale entry '!$S$1:$S$1501,$J507-1499))-TRUNC(N(INDEX('Daily Sale entry '!$S$1:$S$1501,$J507-1499))))))</f>
        <v/>
      </c>
      <c r="G507" s="6">
        <f>IF($J507="","",IF($J507&lt;=1500,N(INDEX('Daily Sale entry '!$AD$1:$AD$1501,$J507+1)),0))</f>
        <v/>
      </c>
      <c r="H507" s="6">
        <f>IF($J507="","",ROUND('Opening Balance'!$B$4+SUM($F$2:F507)-SUM($G$2:G507),2))</f>
        <v/>
      </c>
      <c r="J507" s="21">
        <f>IFERROR(MATCH(ROW()-1,$L$2:$L$3001,0),"")</f>
        <v/>
      </c>
      <c r="K507" s="34">
        <f>IF(AND('Daily Sale entry '!X507&lt;&gt;"",OR('Daily Sale entry '!AC507&lt;&gt;"",'Daily Sale entry '!AD507&lt;&gt;"")),'Daily Sale entry '!X507+ROW()/10000000,"")</f>
        <v/>
      </c>
      <c r="L507" s="21">
        <f>IF(K507="","",COUNTIF($K$2:$K$3001,"&lt;"&amp;K507)+1)</f>
        <v/>
      </c>
    </row>
    <row r="508">
      <c r="A508" s="5">
        <f>IF($J508="","",IF($J508&lt;=1500,INDEX('Daily Sale entry '!$X$1:$X$1501,$J508+1),INDEX('Daily Sale entry '!$V$1:$V$1501,$J508-1499)))</f>
        <v/>
      </c>
      <c r="B508">
        <f>IF($J508="","",IF($J508&lt;=1500,INDEX('Daily Sale entry '!$Y$1:$Y$1501,$J508+1)&amp;"","Buyer cheque banked 买家支票存入"&amp;IF(INDEX('Daily Sale entry '!$U$1:$U$1501,$J508-1499)="","", " - "&amp;INDEX('Daily Sale entry '!$U$1:$U$1501,$J508-1499))))</f>
        <v/>
      </c>
      <c r="C508">
        <f>IF($J508="","",IF($J508&lt;=1500,INDEX('Daily Sale entry '!$Z$1:$Z$1501,$J508+1)&amp;"","Cheque deposit 支票存入 (buyer 买家)"))</f>
        <v/>
      </c>
      <c r="D508">
        <f>IF($J508="","",IF($J508&lt;=1500,INDEX('Daily Sale entry '!$AA$1:$AA$1501,$J508+1)&amp;"",INDEX('Daily Sale entry '!$P$1:$P$1501,$J508-1499)&amp;""))</f>
        <v/>
      </c>
      <c r="E508">
        <f>IF($J508="","",IF($J508&lt;=1500,IF(N(INDEX('Daily Sale entry '!$AB$1:$AB$1501,$J508+1))=0,"",INDEX('Daily Sale entry '!$AB$1:$AB$1501,$J508+1)),1))</f>
        <v/>
      </c>
      <c r="F508" s="6">
        <f>IF($J508="","",IF($J508&lt;=1500,N(INDEX('Daily Sale entry '!$AC$1:$AC$1501,$J508+1))-IF(AND('Opening Balance'!$B$15=1,INDEX('Daily Sale entry '!$Z$1:$Z$1501,$J508+1)="Online collection 网上收款",INDEX('Daily Sale entry '!$AA$1:$AA$1501,$J508+1)&lt;&gt;""),N(INDEX('Daily Sale entry '!$AC$1:$AC$1501,$J508+1))-TRUNC(N(INDEX('Daily Sale entry '!$AC$1:$AC$1501,$J508+1))),0),N(INDEX('Daily Sale entry '!$S$1:$S$1501,$J508-1499))-'Opening Balance'!$B$15*(N(INDEX('Daily Sale entry '!$S$1:$S$1501,$J508-1499))-TRUNC(N(INDEX('Daily Sale entry '!$S$1:$S$1501,$J508-1499))))))</f>
        <v/>
      </c>
      <c r="G508" s="6">
        <f>IF($J508="","",IF($J508&lt;=1500,N(INDEX('Daily Sale entry '!$AD$1:$AD$1501,$J508+1)),0))</f>
        <v/>
      </c>
      <c r="H508" s="6">
        <f>IF($J508="","",ROUND('Opening Balance'!$B$4+SUM($F$2:F508)-SUM($G$2:G508),2))</f>
        <v/>
      </c>
      <c r="J508" s="21">
        <f>IFERROR(MATCH(ROW()-1,$L$2:$L$3001,0),"")</f>
        <v/>
      </c>
      <c r="K508" s="34">
        <f>IF(AND('Daily Sale entry '!X508&lt;&gt;"",OR('Daily Sale entry '!AC508&lt;&gt;"",'Daily Sale entry '!AD508&lt;&gt;"")),'Daily Sale entry '!X508+ROW()/10000000,"")</f>
        <v/>
      </c>
      <c r="L508" s="21">
        <f>IF(K508="","",COUNTIF($K$2:$K$3001,"&lt;"&amp;K508)+1)</f>
        <v/>
      </c>
    </row>
    <row r="509">
      <c r="A509" s="5">
        <f>IF($J509="","",IF($J509&lt;=1500,INDEX('Daily Sale entry '!$X$1:$X$1501,$J509+1),INDEX('Daily Sale entry '!$V$1:$V$1501,$J509-1499)))</f>
        <v/>
      </c>
      <c r="B509">
        <f>IF($J509="","",IF($J509&lt;=1500,INDEX('Daily Sale entry '!$Y$1:$Y$1501,$J509+1)&amp;"","Buyer cheque banked 买家支票存入"&amp;IF(INDEX('Daily Sale entry '!$U$1:$U$1501,$J509-1499)="","", " - "&amp;INDEX('Daily Sale entry '!$U$1:$U$1501,$J509-1499))))</f>
        <v/>
      </c>
      <c r="C509">
        <f>IF($J509="","",IF($J509&lt;=1500,INDEX('Daily Sale entry '!$Z$1:$Z$1501,$J509+1)&amp;"","Cheque deposit 支票存入 (buyer 买家)"))</f>
        <v/>
      </c>
      <c r="D509">
        <f>IF($J509="","",IF($J509&lt;=1500,INDEX('Daily Sale entry '!$AA$1:$AA$1501,$J509+1)&amp;"",INDEX('Daily Sale entry '!$P$1:$P$1501,$J509-1499)&amp;""))</f>
        <v/>
      </c>
      <c r="E509">
        <f>IF($J509="","",IF($J509&lt;=1500,IF(N(INDEX('Daily Sale entry '!$AB$1:$AB$1501,$J509+1))=0,"",INDEX('Daily Sale entry '!$AB$1:$AB$1501,$J509+1)),1))</f>
        <v/>
      </c>
      <c r="F509" s="6">
        <f>IF($J509="","",IF($J509&lt;=1500,N(INDEX('Daily Sale entry '!$AC$1:$AC$1501,$J509+1))-IF(AND('Opening Balance'!$B$15=1,INDEX('Daily Sale entry '!$Z$1:$Z$1501,$J509+1)="Online collection 网上收款",INDEX('Daily Sale entry '!$AA$1:$AA$1501,$J509+1)&lt;&gt;""),N(INDEX('Daily Sale entry '!$AC$1:$AC$1501,$J509+1))-TRUNC(N(INDEX('Daily Sale entry '!$AC$1:$AC$1501,$J509+1))),0),N(INDEX('Daily Sale entry '!$S$1:$S$1501,$J509-1499))-'Opening Balance'!$B$15*(N(INDEX('Daily Sale entry '!$S$1:$S$1501,$J509-1499))-TRUNC(N(INDEX('Daily Sale entry '!$S$1:$S$1501,$J509-1499))))))</f>
        <v/>
      </c>
      <c r="G509" s="6">
        <f>IF($J509="","",IF($J509&lt;=1500,N(INDEX('Daily Sale entry '!$AD$1:$AD$1501,$J509+1)),0))</f>
        <v/>
      </c>
      <c r="H509" s="6">
        <f>IF($J509="","",ROUND('Opening Balance'!$B$4+SUM($F$2:F509)-SUM($G$2:G509),2))</f>
        <v/>
      </c>
      <c r="J509" s="21">
        <f>IFERROR(MATCH(ROW()-1,$L$2:$L$3001,0),"")</f>
        <v/>
      </c>
      <c r="K509" s="34">
        <f>IF(AND('Daily Sale entry '!X509&lt;&gt;"",OR('Daily Sale entry '!AC509&lt;&gt;"",'Daily Sale entry '!AD509&lt;&gt;"")),'Daily Sale entry '!X509+ROW()/10000000,"")</f>
        <v/>
      </c>
      <c r="L509" s="21">
        <f>IF(K509="","",COUNTIF($K$2:$K$3001,"&lt;"&amp;K509)+1)</f>
        <v/>
      </c>
    </row>
    <row r="510">
      <c r="A510" s="5">
        <f>IF($J510="","",IF($J510&lt;=1500,INDEX('Daily Sale entry '!$X$1:$X$1501,$J510+1),INDEX('Daily Sale entry '!$V$1:$V$1501,$J510-1499)))</f>
        <v/>
      </c>
      <c r="B510">
        <f>IF($J510="","",IF($J510&lt;=1500,INDEX('Daily Sale entry '!$Y$1:$Y$1501,$J510+1)&amp;"","Buyer cheque banked 买家支票存入"&amp;IF(INDEX('Daily Sale entry '!$U$1:$U$1501,$J510-1499)="","", " - "&amp;INDEX('Daily Sale entry '!$U$1:$U$1501,$J510-1499))))</f>
        <v/>
      </c>
      <c r="C510">
        <f>IF($J510="","",IF($J510&lt;=1500,INDEX('Daily Sale entry '!$Z$1:$Z$1501,$J510+1)&amp;"","Cheque deposit 支票存入 (buyer 买家)"))</f>
        <v/>
      </c>
      <c r="D510">
        <f>IF($J510="","",IF($J510&lt;=1500,INDEX('Daily Sale entry '!$AA$1:$AA$1501,$J510+1)&amp;"",INDEX('Daily Sale entry '!$P$1:$P$1501,$J510-1499)&amp;""))</f>
        <v/>
      </c>
      <c r="E510">
        <f>IF($J510="","",IF($J510&lt;=1500,IF(N(INDEX('Daily Sale entry '!$AB$1:$AB$1501,$J510+1))=0,"",INDEX('Daily Sale entry '!$AB$1:$AB$1501,$J510+1)),1))</f>
        <v/>
      </c>
      <c r="F510" s="6">
        <f>IF($J510="","",IF($J510&lt;=1500,N(INDEX('Daily Sale entry '!$AC$1:$AC$1501,$J510+1))-IF(AND('Opening Balance'!$B$15=1,INDEX('Daily Sale entry '!$Z$1:$Z$1501,$J510+1)="Online collection 网上收款",INDEX('Daily Sale entry '!$AA$1:$AA$1501,$J510+1)&lt;&gt;""),N(INDEX('Daily Sale entry '!$AC$1:$AC$1501,$J510+1))-TRUNC(N(INDEX('Daily Sale entry '!$AC$1:$AC$1501,$J510+1))),0),N(INDEX('Daily Sale entry '!$S$1:$S$1501,$J510-1499))-'Opening Balance'!$B$15*(N(INDEX('Daily Sale entry '!$S$1:$S$1501,$J510-1499))-TRUNC(N(INDEX('Daily Sale entry '!$S$1:$S$1501,$J510-1499))))))</f>
        <v/>
      </c>
      <c r="G510" s="6">
        <f>IF($J510="","",IF($J510&lt;=1500,N(INDEX('Daily Sale entry '!$AD$1:$AD$1501,$J510+1)),0))</f>
        <v/>
      </c>
      <c r="H510" s="6">
        <f>IF($J510="","",ROUND('Opening Balance'!$B$4+SUM($F$2:F510)-SUM($G$2:G510),2))</f>
        <v/>
      </c>
      <c r="J510" s="21">
        <f>IFERROR(MATCH(ROW()-1,$L$2:$L$3001,0),"")</f>
        <v/>
      </c>
      <c r="K510" s="34">
        <f>IF(AND('Daily Sale entry '!X510&lt;&gt;"",OR('Daily Sale entry '!AC510&lt;&gt;"",'Daily Sale entry '!AD510&lt;&gt;"")),'Daily Sale entry '!X510+ROW()/10000000,"")</f>
        <v/>
      </c>
      <c r="L510" s="21">
        <f>IF(K510="","",COUNTIF($K$2:$K$3001,"&lt;"&amp;K510)+1)</f>
        <v/>
      </c>
    </row>
    <row r="511">
      <c r="A511" s="5">
        <f>IF($J511="","",IF($J511&lt;=1500,INDEX('Daily Sale entry '!$X$1:$X$1501,$J511+1),INDEX('Daily Sale entry '!$V$1:$V$1501,$J511-1499)))</f>
        <v/>
      </c>
      <c r="B511">
        <f>IF($J511="","",IF($J511&lt;=1500,INDEX('Daily Sale entry '!$Y$1:$Y$1501,$J511+1)&amp;"","Buyer cheque banked 买家支票存入"&amp;IF(INDEX('Daily Sale entry '!$U$1:$U$1501,$J511-1499)="","", " - "&amp;INDEX('Daily Sale entry '!$U$1:$U$1501,$J511-1499))))</f>
        <v/>
      </c>
      <c r="C511">
        <f>IF($J511="","",IF($J511&lt;=1500,INDEX('Daily Sale entry '!$Z$1:$Z$1501,$J511+1)&amp;"","Cheque deposit 支票存入 (buyer 买家)"))</f>
        <v/>
      </c>
      <c r="D511">
        <f>IF($J511="","",IF($J511&lt;=1500,INDEX('Daily Sale entry '!$AA$1:$AA$1501,$J511+1)&amp;"",INDEX('Daily Sale entry '!$P$1:$P$1501,$J511-1499)&amp;""))</f>
        <v/>
      </c>
      <c r="E511">
        <f>IF($J511="","",IF($J511&lt;=1500,IF(N(INDEX('Daily Sale entry '!$AB$1:$AB$1501,$J511+1))=0,"",INDEX('Daily Sale entry '!$AB$1:$AB$1501,$J511+1)),1))</f>
        <v/>
      </c>
      <c r="F511" s="6">
        <f>IF($J511="","",IF($J511&lt;=1500,N(INDEX('Daily Sale entry '!$AC$1:$AC$1501,$J511+1))-IF(AND('Opening Balance'!$B$15=1,INDEX('Daily Sale entry '!$Z$1:$Z$1501,$J511+1)="Online collection 网上收款",INDEX('Daily Sale entry '!$AA$1:$AA$1501,$J511+1)&lt;&gt;""),N(INDEX('Daily Sale entry '!$AC$1:$AC$1501,$J511+1))-TRUNC(N(INDEX('Daily Sale entry '!$AC$1:$AC$1501,$J511+1))),0),N(INDEX('Daily Sale entry '!$S$1:$S$1501,$J511-1499))-'Opening Balance'!$B$15*(N(INDEX('Daily Sale entry '!$S$1:$S$1501,$J511-1499))-TRUNC(N(INDEX('Daily Sale entry '!$S$1:$S$1501,$J511-1499))))))</f>
        <v/>
      </c>
      <c r="G511" s="6">
        <f>IF($J511="","",IF($J511&lt;=1500,N(INDEX('Daily Sale entry '!$AD$1:$AD$1501,$J511+1)),0))</f>
        <v/>
      </c>
      <c r="H511" s="6">
        <f>IF($J511="","",ROUND('Opening Balance'!$B$4+SUM($F$2:F511)-SUM($G$2:G511),2))</f>
        <v/>
      </c>
      <c r="J511" s="21">
        <f>IFERROR(MATCH(ROW()-1,$L$2:$L$3001,0),"")</f>
        <v/>
      </c>
      <c r="K511" s="34">
        <f>IF(AND('Daily Sale entry '!X511&lt;&gt;"",OR('Daily Sale entry '!AC511&lt;&gt;"",'Daily Sale entry '!AD511&lt;&gt;"")),'Daily Sale entry '!X511+ROW()/10000000,"")</f>
        <v/>
      </c>
      <c r="L511" s="21">
        <f>IF(K511="","",COUNTIF($K$2:$K$3001,"&lt;"&amp;K511)+1)</f>
        <v/>
      </c>
    </row>
    <row r="512">
      <c r="A512" s="5">
        <f>IF($J512="","",IF($J512&lt;=1500,INDEX('Daily Sale entry '!$X$1:$X$1501,$J512+1),INDEX('Daily Sale entry '!$V$1:$V$1501,$J512-1499)))</f>
        <v/>
      </c>
      <c r="B512">
        <f>IF($J512="","",IF($J512&lt;=1500,INDEX('Daily Sale entry '!$Y$1:$Y$1501,$J512+1)&amp;"","Buyer cheque banked 买家支票存入"&amp;IF(INDEX('Daily Sale entry '!$U$1:$U$1501,$J512-1499)="","", " - "&amp;INDEX('Daily Sale entry '!$U$1:$U$1501,$J512-1499))))</f>
        <v/>
      </c>
      <c r="C512">
        <f>IF($J512="","",IF($J512&lt;=1500,INDEX('Daily Sale entry '!$Z$1:$Z$1501,$J512+1)&amp;"","Cheque deposit 支票存入 (buyer 买家)"))</f>
        <v/>
      </c>
      <c r="D512">
        <f>IF($J512="","",IF($J512&lt;=1500,INDEX('Daily Sale entry '!$AA$1:$AA$1501,$J512+1)&amp;"",INDEX('Daily Sale entry '!$P$1:$P$1501,$J512-1499)&amp;""))</f>
        <v/>
      </c>
      <c r="E512">
        <f>IF($J512="","",IF($J512&lt;=1500,IF(N(INDEX('Daily Sale entry '!$AB$1:$AB$1501,$J512+1))=0,"",INDEX('Daily Sale entry '!$AB$1:$AB$1501,$J512+1)),1))</f>
        <v/>
      </c>
      <c r="F512" s="6">
        <f>IF($J512="","",IF($J512&lt;=1500,N(INDEX('Daily Sale entry '!$AC$1:$AC$1501,$J512+1))-IF(AND('Opening Balance'!$B$15=1,INDEX('Daily Sale entry '!$Z$1:$Z$1501,$J512+1)="Online collection 网上收款",INDEX('Daily Sale entry '!$AA$1:$AA$1501,$J512+1)&lt;&gt;""),N(INDEX('Daily Sale entry '!$AC$1:$AC$1501,$J512+1))-TRUNC(N(INDEX('Daily Sale entry '!$AC$1:$AC$1501,$J512+1))),0),N(INDEX('Daily Sale entry '!$S$1:$S$1501,$J512-1499))-'Opening Balance'!$B$15*(N(INDEX('Daily Sale entry '!$S$1:$S$1501,$J512-1499))-TRUNC(N(INDEX('Daily Sale entry '!$S$1:$S$1501,$J512-1499))))))</f>
        <v/>
      </c>
      <c r="G512" s="6">
        <f>IF($J512="","",IF($J512&lt;=1500,N(INDEX('Daily Sale entry '!$AD$1:$AD$1501,$J512+1)),0))</f>
        <v/>
      </c>
      <c r="H512" s="6">
        <f>IF($J512="","",ROUND('Opening Balance'!$B$4+SUM($F$2:F512)-SUM($G$2:G512),2))</f>
        <v/>
      </c>
      <c r="J512" s="21">
        <f>IFERROR(MATCH(ROW()-1,$L$2:$L$3001,0),"")</f>
        <v/>
      </c>
      <c r="K512" s="34">
        <f>IF(AND('Daily Sale entry '!X512&lt;&gt;"",OR('Daily Sale entry '!AC512&lt;&gt;"",'Daily Sale entry '!AD512&lt;&gt;"")),'Daily Sale entry '!X512+ROW()/10000000,"")</f>
        <v/>
      </c>
      <c r="L512" s="21">
        <f>IF(K512="","",COUNTIF($K$2:$K$3001,"&lt;"&amp;K512)+1)</f>
        <v/>
      </c>
    </row>
    <row r="513">
      <c r="A513" s="5">
        <f>IF($J513="","",IF($J513&lt;=1500,INDEX('Daily Sale entry '!$X$1:$X$1501,$J513+1),INDEX('Daily Sale entry '!$V$1:$V$1501,$J513-1499)))</f>
        <v/>
      </c>
      <c r="B513">
        <f>IF($J513="","",IF($J513&lt;=1500,INDEX('Daily Sale entry '!$Y$1:$Y$1501,$J513+1)&amp;"","Buyer cheque banked 买家支票存入"&amp;IF(INDEX('Daily Sale entry '!$U$1:$U$1501,$J513-1499)="","", " - "&amp;INDEX('Daily Sale entry '!$U$1:$U$1501,$J513-1499))))</f>
        <v/>
      </c>
      <c r="C513">
        <f>IF($J513="","",IF($J513&lt;=1500,INDEX('Daily Sale entry '!$Z$1:$Z$1501,$J513+1)&amp;"","Cheque deposit 支票存入 (buyer 买家)"))</f>
        <v/>
      </c>
      <c r="D513">
        <f>IF($J513="","",IF($J513&lt;=1500,INDEX('Daily Sale entry '!$AA$1:$AA$1501,$J513+1)&amp;"",INDEX('Daily Sale entry '!$P$1:$P$1501,$J513-1499)&amp;""))</f>
        <v/>
      </c>
      <c r="E513">
        <f>IF($J513="","",IF($J513&lt;=1500,IF(N(INDEX('Daily Sale entry '!$AB$1:$AB$1501,$J513+1))=0,"",INDEX('Daily Sale entry '!$AB$1:$AB$1501,$J513+1)),1))</f>
        <v/>
      </c>
      <c r="F513" s="6">
        <f>IF($J513="","",IF($J513&lt;=1500,N(INDEX('Daily Sale entry '!$AC$1:$AC$1501,$J513+1))-IF(AND('Opening Balance'!$B$15=1,INDEX('Daily Sale entry '!$Z$1:$Z$1501,$J513+1)="Online collection 网上收款",INDEX('Daily Sale entry '!$AA$1:$AA$1501,$J513+1)&lt;&gt;""),N(INDEX('Daily Sale entry '!$AC$1:$AC$1501,$J513+1))-TRUNC(N(INDEX('Daily Sale entry '!$AC$1:$AC$1501,$J513+1))),0),N(INDEX('Daily Sale entry '!$S$1:$S$1501,$J513-1499))-'Opening Balance'!$B$15*(N(INDEX('Daily Sale entry '!$S$1:$S$1501,$J513-1499))-TRUNC(N(INDEX('Daily Sale entry '!$S$1:$S$1501,$J513-1499))))))</f>
        <v/>
      </c>
      <c r="G513" s="6">
        <f>IF($J513="","",IF($J513&lt;=1500,N(INDEX('Daily Sale entry '!$AD$1:$AD$1501,$J513+1)),0))</f>
        <v/>
      </c>
      <c r="H513" s="6">
        <f>IF($J513="","",ROUND('Opening Balance'!$B$4+SUM($F$2:F513)-SUM($G$2:G513),2))</f>
        <v/>
      </c>
      <c r="J513" s="21">
        <f>IFERROR(MATCH(ROW()-1,$L$2:$L$3001,0),"")</f>
        <v/>
      </c>
      <c r="K513" s="34">
        <f>IF(AND('Daily Sale entry '!X513&lt;&gt;"",OR('Daily Sale entry '!AC513&lt;&gt;"",'Daily Sale entry '!AD513&lt;&gt;"")),'Daily Sale entry '!X513+ROW()/10000000,"")</f>
        <v/>
      </c>
      <c r="L513" s="21">
        <f>IF(K513="","",COUNTIF($K$2:$K$3001,"&lt;"&amp;K513)+1)</f>
        <v/>
      </c>
    </row>
    <row r="514">
      <c r="A514" s="5">
        <f>IF($J514="","",IF($J514&lt;=1500,INDEX('Daily Sale entry '!$X$1:$X$1501,$J514+1),INDEX('Daily Sale entry '!$V$1:$V$1501,$J514-1499)))</f>
        <v/>
      </c>
      <c r="B514">
        <f>IF($J514="","",IF($J514&lt;=1500,INDEX('Daily Sale entry '!$Y$1:$Y$1501,$J514+1)&amp;"","Buyer cheque banked 买家支票存入"&amp;IF(INDEX('Daily Sale entry '!$U$1:$U$1501,$J514-1499)="","", " - "&amp;INDEX('Daily Sale entry '!$U$1:$U$1501,$J514-1499))))</f>
        <v/>
      </c>
      <c r="C514">
        <f>IF($J514="","",IF($J514&lt;=1500,INDEX('Daily Sale entry '!$Z$1:$Z$1501,$J514+1)&amp;"","Cheque deposit 支票存入 (buyer 买家)"))</f>
        <v/>
      </c>
      <c r="D514">
        <f>IF($J514="","",IF($J514&lt;=1500,INDEX('Daily Sale entry '!$AA$1:$AA$1501,$J514+1)&amp;"",INDEX('Daily Sale entry '!$P$1:$P$1501,$J514-1499)&amp;""))</f>
        <v/>
      </c>
      <c r="E514">
        <f>IF($J514="","",IF($J514&lt;=1500,IF(N(INDEX('Daily Sale entry '!$AB$1:$AB$1501,$J514+1))=0,"",INDEX('Daily Sale entry '!$AB$1:$AB$1501,$J514+1)),1))</f>
        <v/>
      </c>
      <c r="F514" s="6">
        <f>IF($J514="","",IF($J514&lt;=1500,N(INDEX('Daily Sale entry '!$AC$1:$AC$1501,$J514+1))-IF(AND('Opening Balance'!$B$15=1,INDEX('Daily Sale entry '!$Z$1:$Z$1501,$J514+1)="Online collection 网上收款",INDEX('Daily Sale entry '!$AA$1:$AA$1501,$J514+1)&lt;&gt;""),N(INDEX('Daily Sale entry '!$AC$1:$AC$1501,$J514+1))-TRUNC(N(INDEX('Daily Sale entry '!$AC$1:$AC$1501,$J514+1))),0),N(INDEX('Daily Sale entry '!$S$1:$S$1501,$J514-1499))-'Opening Balance'!$B$15*(N(INDEX('Daily Sale entry '!$S$1:$S$1501,$J514-1499))-TRUNC(N(INDEX('Daily Sale entry '!$S$1:$S$1501,$J514-1499))))))</f>
        <v/>
      </c>
      <c r="G514" s="6">
        <f>IF($J514="","",IF($J514&lt;=1500,N(INDEX('Daily Sale entry '!$AD$1:$AD$1501,$J514+1)),0))</f>
        <v/>
      </c>
      <c r="H514" s="6">
        <f>IF($J514="","",ROUND('Opening Balance'!$B$4+SUM($F$2:F514)-SUM($G$2:G514),2))</f>
        <v/>
      </c>
      <c r="J514" s="21">
        <f>IFERROR(MATCH(ROW()-1,$L$2:$L$3001,0),"")</f>
        <v/>
      </c>
      <c r="K514" s="34">
        <f>IF(AND('Daily Sale entry '!X514&lt;&gt;"",OR('Daily Sale entry '!AC514&lt;&gt;"",'Daily Sale entry '!AD514&lt;&gt;"")),'Daily Sale entry '!X514+ROW()/10000000,"")</f>
        <v/>
      </c>
      <c r="L514" s="21">
        <f>IF(K514="","",COUNTIF($K$2:$K$3001,"&lt;"&amp;K514)+1)</f>
        <v/>
      </c>
    </row>
    <row r="515">
      <c r="A515" s="5">
        <f>IF($J515="","",IF($J515&lt;=1500,INDEX('Daily Sale entry '!$X$1:$X$1501,$J515+1),INDEX('Daily Sale entry '!$V$1:$V$1501,$J515-1499)))</f>
        <v/>
      </c>
      <c r="B515">
        <f>IF($J515="","",IF($J515&lt;=1500,INDEX('Daily Sale entry '!$Y$1:$Y$1501,$J515+1)&amp;"","Buyer cheque banked 买家支票存入"&amp;IF(INDEX('Daily Sale entry '!$U$1:$U$1501,$J515-1499)="","", " - "&amp;INDEX('Daily Sale entry '!$U$1:$U$1501,$J515-1499))))</f>
        <v/>
      </c>
      <c r="C515">
        <f>IF($J515="","",IF($J515&lt;=1500,INDEX('Daily Sale entry '!$Z$1:$Z$1501,$J515+1)&amp;"","Cheque deposit 支票存入 (buyer 买家)"))</f>
        <v/>
      </c>
      <c r="D515">
        <f>IF($J515="","",IF($J515&lt;=1500,INDEX('Daily Sale entry '!$AA$1:$AA$1501,$J515+1)&amp;"",INDEX('Daily Sale entry '!$P$1:$P$1501,$J515-1499)&amp;""))</f>
        <v/>
      </c>
      <c r="E515">
        <f>IF($J515="","",IF($J515&lt;=1500,IF(N(INDEX('Daily Sale entry '!$AB$1:$AB$1501,$J515+1))=0,"",INDEX('Daily Sale entry '!$AB$1:$AB$1501,$J515+1)),1))</f>
        <v/>
      </c>
      <c r="F515" s="6">
        <f>IF($J515="","",IF($J515&lt;=1500,N(INDEX('Daily Sale entry '!$AC$1:$AC$1501,$J515+1))-IF(AND('Opening Balance'!$B$15=1,INDEX('Daily Sale entry '!$Z$1:$Z$1501,$J515+1)="Online collection 网上收款",INDEX('Daily Sale entry '!$AA$1:$AA$1501,$J515+1)&lt;&gt;""),N(INDEX('Daily Sale entry '!$AC$1:$AC$1501,$J515+1))-TRUNC(N(INDEX('Daily Sale entry '!$AC$1:$AC$1501,$J515+1))),0),N(INDEX('Daily Sale entry '!$S$1:$S$1501,$J515-1499))-'Opening Balance'!$B$15*(N(INDEX('Daily Sale entry '!$S$1:$S$1501,$J515-1499))-TRUNC(N(INDEX('Daily Sale entry '!$S$1:$S$1501,$J515-1499))))))</f>
        <v/>
      </c>
      <c r="G515" s="6">
        <f>IF($J515="","",IF($J515&lt;=1500,N(INDEX('Daily Sale entry '!$AD$1:$AD$1501,$J515+1)),0))</f>
        <v/>
      </c>
      <c r="H515" s="6">
        <f>IF($J515="","",ROUND('Opening Balance'!$B$4+SUM($F$2:F515)-SUM($G$2:G515),2))</f>
        <v/>
      </c>
      <c r="J515" s="21">
        <f>IFERROR(MATCH(ROW()-1,$L$2:$L$3001,0),"")</f>
        <v/>
      </c>
      <c r="K515" s="34">
        <f>IF(AND('Daily Sale entry '!X515&lt;&gt;"",OR('Daily Sale entry '!AC515&lt;&gt;"",'Daily Sale entry '!AD515&lt;&gt;"")),'Daily Sale entry '!X515+ROW()/10000000,"")</f>
        <v/>
      </c>
      <c r="L515" s="21">
        <f>IF(K515="","",COUNTIF($K$2:$K$3001,"&lt;"&amp;K515)+1)</f>
        <v/>
      </c>
    </row>
    <row r="516">
      <c r="A516" s="5">
        <f>IF($J516="","",IF($J516&lt;=1500,INDEX('Daily Sale entry '!$X$1:$X$1501,$J516+1),INDEX('Daily Sale entry '!$V$1:$V$1501,$J516-1499)))</f>
        <v/>
      </c>
      <c r="B516">
        <f>IF($J516="","",IF($J516&lt;=1500,INDEX('Daily Sale entry '!$Y$1:$Y$1501,$J516+1)&amp;"","Buyer cheque banked 买家支票存入"&amp;IF(INDEX('Daily Sale entry '!$U$1:$U$1501,$J516-1499)="","", " - "&amp;INDEX('Daily Sale entry '!$U$1:$U$1501,$J516-1499))))</f>
        <v/>
      </c>
      <c r="C516">
        <f>IF($J516="","",IF($J516&lt;=1500,INDEX('Daily Sale entry '!$Z$1:$Z$1501,$J516+1)&amp;"","Cheque deposit 支票存入 (buyer 买家)"))</f>
        <v/>
      </c>
      <c r="D516">
        <f>IF($J516="","",IF($J516&lt;=1500,INDEX('Daily Sale entry '!$AA$1:$AA$1501,$J516+1)&amp;"",INDEX('Daily Sale entry '!$P$1:$P$1501,$J516-1499)&amp;""))</f>
        <v/>
      </c>
      <c r="E516">
        <f>IF($J516="","",IF($J516&lt;=1500,IF(N(INDEX('Daily Sale entry '!$AB$1:$AB$1501,$J516+1))=0,"",INDEX('Daily Sale entry '!$AB$1:$AB$1501,$J516+1)),1))</f>
        <v/>
      </c>
      <c r="F516" s="6">
        <f>IF($J516="","",IF($J516&lt;=1500,N(INDEX('Daily Sale entry '!$AC$1:$AC$1501,$J516+1))-IF(AND('Opening Balance'!$B$15=1,INDEX('Daily Sale entry '!$Z$1:$Z$1501,$J516+1)="Online collection 网上收款",INDEX('Daily Sale entry '!$AA$1:$AA$1501,$J516+1)&lt;&gt;""),N(INDEX('Daily Sale entry '!$AC$1:$AC$1501,$J516+1))-TRUNC(N(INDEX('Daily Sale entry '!$AC$1:$AC$1501,$J516+1))),0),N(INDEX('Daily Sale entry '!$S$1:$S$1501,$J516-1499))-'Opening Balance'!$B$15*(N(INDEX('Daily Sale entry '!$S$1:$S$1501,$J516-1499))-TRUNC(N(INDEX('Daily Sale entry '!$S$1:$S$1501,$J516-1499))))))</f>
        <v/>
      </c>
      <c r="G516" s="6">
        <f>IF($J516="","",IF($J516&lt;=1500,N(INDEX('Daily Sale entry '!$AD$1:$AD$1501,$J516+1)),0))</f>
        <v/>
      </c>
      <c r="H516" s="6">
        <f>IF($J516="","",ROUND('Opening Balance'!$B$4+SUM($F$2:F516)-SUM($G$2:G516),2))</f>
        <v/>
      </c>
      <c r="J516" s="21">
        <f>IFERROR(MATCH(ROW()-1,$L$2:$L$3001,0),"")</f>
        <v/>
      </c>
      <c r="K516" s="34">
        <f>IF(AND('Daily Sale entry '!X516&lt;&gt;"",OR('Daily Sale entry '!AC516&lt;&gt;"",'Daily Sale entry '!AD516&lt;&gt;"")),'Daily Sale entry '!X516+ROW()/10000000,"")</f>
        <v/>
      </c>
      <c r="L516" s="21">
        <f>IF(K516="","",COUNTIF($K$2:$K$3001,"&lt;"&amp;K516)+1)</f>
        <v/>
      </c>
    </row>
    <row r="517">
      <c r="A517" s="5">
        <f>IF($J517="","",IF($J517&lt;=1500,INDEX('Daily Sale entry '!$X$1:$X$1501,$J517+1),INDEX('Daily Sale entry '!$V$1:$V$1501,$J517-1499)))</f>
        <v/>
      </c>
      <c r="B517">
        <f>IF($J517="","",IF($J517&lt;=1500,INDEX('Daily Sale entry '!$Y$1:$Y$1501,$J517+1)&amp;"","Buyer cheque banked 买家支票存入"&amp;IF(INDEX('Daily Sale entry '!$U$1:$U$1501,$J517-1499)="","", " - "&amp;INDEX('Daily Sale entry '!$U$1:$U$1501,$J517-1499))))</f>
        <v/>
      </c>
      <c r="C517">
        <f>IF($J517="","",IF($J517&lt;=1500,INDEX('Daily Sale entry '!$Z$1:$Z$1501,$J517+1)&amp;"","Cheque deposit 支票存入 (buyer 买家)"))</f>
        <v/>
      </c>
      <c r="D517">
        <f>IF($J517="","",IF($J517&lt;=1500,INDEX('Daily Sale entry '!$AA$1:$AA$1501,$J517+1)&amp;"",INDEX('Daily Sale entry '!$P$1:$P$1501,$J517-1499)&amp;""))</f>
        <v/>
      </c>
      <c r="E517">
        <f>IF($J517="","",IF($J517&lt;=1500,IF(N(INDEX('Daily Sale entry '!$AB$1:$AB$1501,$J517+1))=0,"",INDEX('Daily Sale entry '!$AB$1:$AB$1501,$J517+1)),1))</f>
        <v/>
      </c>
      <c r="F517" s="6">
        <f>IF($J517="","",IF($J517&lt;=1500,N(INDEX('Daily Sale entry '!$AC$1:$AC$1501,$J517+1))-IF(AND('Opening Balance'!$B$15=1,INDEX('Daily Sale entry '!$Z$1:$Z$1501,$J517+1)="Online collection 网上收款",INDEX('Daily Sale entry '!$AA$1:$AA$1501,$J517+1)&lt;&gt;""),N(INDEX('Daily Sale entry '!$AC$1:$AC$1501,$J517+1))-TRUNC(N(INDEX('Daily Sale entry '!$AC$1:$AC$1501,$J517+1))),0),N(INDEX('Daily Sale entry '!$S$1:$S$1501,$J517-1499))-'Opening Balance'!$B$15*(N(INDEX('Daily Sale entry '!$S$1:$S$1501,$J517-1499))-TRUNC(N(INDEX('Daily Sale entry '!$S$1:$S$1501,$J517-1499))))))</f>
        <v/>
      </c>
      <c r="G517" s="6">
        <f>IF($J517="","",IF($J517&lt;=1500,N(INDEX('Daily Sale entry '!$AD$1:$AD$1501,$J517+1)),0))</f>
        <v/>
      </c>
      <c r="H517" s="6">
        <f>IF($J517="","",ROUND('Opening Balance'!$B$4+SUM($F$2:F517)-SUM($G$2:G517),2))</f>
        <v/>
      </c>
      <c r="J517" s="21">
        <f>IFERROR(MATCH(ROW()-1,$L$2:$L$3001,0),"")</f>
        <v/>
      </c>
      <c r="K517" s="34">
        <f>IF(AND('Daily Sale entry '!X517&lt;&gt;"",OR('Daily Sale entry '!AC517&lt;&gt;"",'Daily Sale entry '!AD517&lt;&gt;"")),'Daily Sale entry '!X517+ROW()/10000000,"")</f>
        <v/>
      </c>
      <c r="L517" s="21">
        <f>IF(K517="","",COUNTIF($K$2:$K$3001,"&lt;"&amp;K517)+1)</f>
        <v/>
      </c>
    </row>
    <row r="518">
      <c r="A518" s="5">
        <f>IF($J518="","",IF($J518&lt;=1500,INDEX('Daily Sale entry '!$X$1:$X$1501,$J518+1),INDEX('Daily Sale entry '!$V$1:$V$1501,$J518-1499)))</f>
        <v/>
      </c>
      <c r="B518">
        <f>IF($J518="","",IF($J518&lt;=1500,INDEX('Daily Sale entry '!$Y$1:$Y$1501,$J518+1)&amp;"","Buyer cheque banked 买家支票存入"&amp;IF(INDEX('Daily Sale entry '!$U$1:$U$1501,$J518-1499)="","", " - "&amp;INDEX('Daily Sale entry '!$U$1:$U$1501,$J518-1499))))</f>
        <v/>
      </c>
      <c r="C518">
        <f>IF($J518="","",IF($J518&lt;=1500,INDEX('Daily Sale entry '!$Z$1:$Z$1501,$J518+1)&amp;"","Cheque deposit 支票存入 (buyer 买家)"))</f>
        <v/>
      </c>
      <c r="D518">
        <f>IF($J518="","",IF($J518&lt;=1500,INDEX('Daily Sale entry '!$AA$1:$AA$1501,$J518+1)&amp;"",INDEX('Daily Sale entry '!$P$1:$P$1501,$J518-1499)&amp;""))</f>
        <v/>
      </c>
      <c r="E518">
        <f>IF($J518="","",IF($J518&lt;=1500,IF(N(INDEX('Daily Sale entry '!$AB$1:$AB$1501,$J518+1))=0,"",INDEX('Daily Sale entry '!$AB$1:$AB$1501,$J518+1)),1))</f>
        <v/>
      </c>
      <c r="F518" s="6">
        <f>IF($J518="","",IF($J518&lt;=1500,N(INDEX('Daily Sale entry '!$AC$1:$AC$1501,$J518+1))-IF(AND('Opening Balance'!$B$15=1,INDEX('Daily Sale entry '!$Z$1:$Z$1501,$J518+1)="Online collection 网上收款",INDEX('Daily Sale entry '!$AA$1:$AA$1501,$J518+1)&lt;&gt;""),N(INDEX('Daily Sale entry '!$AC$1:$AC$1501,$J518+1))-TRUNC(N(INDEX('Daily Sale entry '!$AC$1:$AC$1501,$J518+1))),0),N(INDEX('Daily Sale entry '!$S$1:$S$1501,$J518-1499))-'Opening Balance'!$B$15*(N(INDEX('Daily Sale entry '!$S$1:$S$1501,$J518-1499))-TRUNC(N(INDEX('Daily Sale entry '!$S$1:$S$1501,$J518-1499))))))</f>
        <v/>
      </c>
      <c r="G518" s="6">
        <f>IF($J518="","",IF($J518&lt;=1500,N(INDEX('Daily Sale entry '!$AD$1:$AD$1501,$J518+1)),0))</f>
        <v/>
      </c>
      <c r="H518" s="6">
        <f>IF($J518="","",ROUND('Opening Balance'!$B$4+SUM($F$2:F518)-SUM($G$2:G518),2))</f>
        <v/>
      </c>
      <c r="J518" s="21">
        <f>IFERROR(MATCH(ROW()-1,$L$2:$L$3001,0),"")</f>
        <v/>
      </c>
      <c r="K518" s="34">
        <f>IF(AND('Daily Sale entry '!X518&lt;&gt;"",OR('Daily Sale entry '!AC518&lt;&gt;"",'Daily Sale entry '!AD518&lt;&gt;"")),'Daily Sale entry '!X518+ROW()/10000000,"")</f>
        <v/>
      </c>
      <c r="L518" s="21">
        <f>IF(K518="","",COUNTIF($K$2:$K$3001,"&lt;"&amp;K518)+1)</f>
        <v/>
      </c>
    </row>
    <row r="519">
      <c r="A519" s="5">
        <f>IF($J519="","",IF($J519&lt;=1500,INDEX('Daily Sale entry '!$X$1:$X$1501,$J519+1),INDEX('Daily Sale entry '!$V$1:$V$1501,$J519-1499)))</f>
        <v/>
      </c>
      <c r="B519">
        <f>IF($J519="","",IF($J519&lt;=1500,INDEX('Daily Sale entry '!$Y$1:$Y$1501,$J519+1)&amp;"","Buyer cheque banked 买家支票存入"&amp;IF(INDEX('Daily Sale entry '!$U$1:$U$1501,$J519-1499)="","", " - "&amp;INDEX('Daily Sale entry '!$U$1:$U$1501,$J519-1499))))</f>
        <v/>
      </c>
      <c r="C519">
        <f>IF($J519="","",IF($J519&lt;=1500,INDEX('Daily Sale entry '!$Z$1:$Z$1501,$J519+1)&amp;"","Cheque deposit 支票存入 (buyer 买家)"))</f>
        <v/>
      </c>
      <c r="D519">
        <f>IF($J519="","",IF($J519&lt;=1500,INDEX('Daily Sale entry '!$AA$1:$AA$1501,$J519+1)&amp;"",INDEX('Daily Sale entry '!$P$1:$P$1501,$J519-1499)&amp;""))</f>
        <v/>
      </c>
      <c r="E519">
        <f>IF($J519="","",IF($J519&lt;=1500,IF(N(INDEX('Daily Sale entry '!$AB$1:$AB$1501,$J519+1))=0,"",INDEX('Daily Sale entry '!$AB$1:$AB$1501,$J519+1)),1))</f>
        <v/>
      </c>
      <c r="F519" s="6">
        <f>IF($J519="","",IF($J519&lt;=1500,N(INDEX('Daily Sale entry '!$AC$1:$AC$1501,$J519+1))-IF(AND('Opening Balance'!$B$15=1,INDEX('Daily Sale entry '!$Z$1:$Z$1501,$J519+1)="Online collection 网上收款",INDEX('Daily Sale entry '!$AA$1:$AA$1501,$J519+1)&lt;&gt;""),N(INDEX('Daily Sale entry '!$AC$1:$AC$1501,$J519+1))-TRUNC(N(INDEX('Daily Sale entry '!$AC$1:$AC$1501,$J519+1))),0),N(INDEX('Daily Sale entry '!$S$1:$S$1501,$J519-1499))-'Opening Balance'!$B$15*(N(INDEX('Daily Sale entry '!$S$1:$S$1501,$J519-1499))-TRUNC(N(INDEX('Daily Sale entry '!$S$1:$S$1501,$J519-1499))))))</f>
        <v/>
      </c>
      <c r="G519" s="6">
        <f>IF($J519="","",IF($J519&lt;=1500,N(INDEX('Daily Sale entry '!$AD$1:$AD$1501,$J519+1)),0))</f>
        <v/>
      </c>
      <c r="H519" s="6">
        <f>IF($J519="","",ROUND('Opening Balance'!$B$4+SUM($F$2:F519)-SUM($G$2:G519),2))</f>
        <v/>
      </c>
      <c r="J519" s="21">
        <f>IFERROR(MATCH(ROW()-1,$L$2:$L$3001,0),"")</f>
        <v/>
      </c>
      <c r="K519" s="34">
        <f>IF(AND('Daily Sale entry '!X519&lt;&gt;"",OR('Daily Sale entry '!AC519&lt;&gt;"",'Daily Sale entry '!AD519&lt;&gt;"")),'Daily Sale entry '!X519+ROW()/10000000,"")</f>
        <v/>
      </c>
      <c r="L519" s="21">
        <f>IF(K519="","",COUNTIF($K$2:$K$3001,"&lt;"&amp;K519)+1)</f>
        <v/>
      </c>
    </row>
    <row r="520">
      <c r="A520" s="5">
        <f>IF($J520="","",IF($J520&lt;=1500,INDEX('Daily Sale entry '!$X$1:$X$1501,$J520+1),INDEX('Daily Sale entry '!$V$1:$V$1501,$J520-1499)))</f>
        <v/>
      </c>
      <c r="B520">
        <f>IF($J520="","",IF($J520&lt;=1500,INDEX('Daily Sale entry '!$Y$1:$Y$1501,$J520+1)&amp;"","Buyer cheque banked 买家支票存入"&amp;IF(INDEX('Daily Sale entry '!$U$1:$U$1501,$J520-1499)="","", " - "&amp;INDEX('Daily Sale entry '!$U$1:$U$1501,$J520-1499))))</f>
        <v/>
      </c>
      <c r="C520">
        <f>IF($J520="","",IF($J520&lt;=1500,INDEX('Daily Sale entry '!$Z$1:$Z$1501,$J520+1)&amp;"","Cheque deposit 支票存入 (buyer 买家)"))</f>
        <v/>
      </c>
      <c r="D520">
        <f>IF($J520="","",IF($J520&lt;=1500,INDEX('Daily Sale entry '!$AA$1:$AA$1501,$J520+1)&amp;"",INDEX('Daily Sale entry '!$P$1:$P$1501,$J520-1499)&amp;""))</f>
        <v/>
      </c>
      <c r="E520">
        <f>IF($J520="","",IF($J520&lt;=1500,IF(N(INDEX('Daily Sale entry '!$AB$1:$AB$1501,$J520+1))=0,"",INDEX('Daily Sale entry '!$AB$1:$AB$1501,$J520+1)),1))</f>
        <v/>
      </c>
      <c r="F520" s="6">
        <f>IF($J520="","",IF($J520&lt;=1500,N(INDEX('Daily Sale entry '!$AC$1:$AC$1501,$J520+1))-IF(AND('Opening Balance'!$B$15=1,INDEX('Daily Sale entry '!$Z$1:$Z$1501,$J520+1)="Online collection 网上收款",INDEX('Daily Sale entry '!$AA$1:$AA$1501,$J520+1)&lt;&gt;""),N(INDEX('Daily Sale entry '!$AC$1:$AC$1501,$J520+1))-TRUNC(N(INDEX('Daily Sale entry '!$AC$1:$AC$1501,$J520+1))),0),N(INDEX('Daily Sale entry '!$S$1:$S$1501,$J520-1499))-'Opening Balance'!$B$15*(N(INDEX('Daily Sale entry '!$S$1:$S$1501,$J520-1499))-TRUNC(N(INDEX('Daily Sale entry '!$S$1:$S$1501,$J520-1499))))))</f>
        <v/>
      </c>
      <c r="G520" s="6">
        <f>IF($J520="","",IF($J520&lt;=1500,N(INDEX('Daily Sale entry '!$AD$1:$AD$1501,$J520+1)),0))</f>
        <v/>
      </c>
      <c r="H520" s="6">
        <f>IF($J520="","",ROUND('Opening Balance'!$B$4+SUM($F$2:F520)-SUM($G$2:G520),2))</f>
        <v/>
      </c>
      <c r="J520" s="21">
        <f>IFERROR(MATCH(ROW()-1,$L$2:$L$3001,0),"")</f>
        <v/>
      </c>
      <c r="K520" s="34">
        <f>IF(AND('Daily Sale entry '!X520&lt;&gt;"",OR('Daily Sale entry '!AC520&lt;&gt;"",'Daily Sale entry '!AD520&lt;&gt;"")),'Daily Sale entry '!X520+ROW()/10000000,"")</f>
        <v/>
      </c>
      <c r="L520" s="21">
        <f>IF(K520="","",COUNTIF($K$2:$K$3001,"&lt;"&amp;K520)+1)</f>
        <v/>
      </c>
    </row>
    <row r="521">
      <c r="A521" s="5">
        <f>IF($J521="","",IF($J521&lt;=1500,INDEX('Daily Sale entry '!$X$1:$X$1501,$J521+1),INDEX('Daily Sale entry '!$V$1:$V$1501,$J521-1499)))</f>
        <v/>
      </c>
      <c r="B521">
        <f>IF($J521="","",IF($J521&lt;=1500,INDEX('Daily Sale entry '!$Y$1:$Y$1501,$J521+1)&amp;"","Buyer cheque banked 买家支票存入"&amp;IF(INDEX('Daily Sale entry '!$U$1:$U$1501,$J521-1499)="","", " - "&amp;INDEX('Daily Sale entry '!$U$1:$U$1501,$J521-1499))))</f>
        <v/>
      </c>
      <c r="C521">
        <f>IF($J521="","",IF($J521&lt;=1500,INDEX('Daily Sale entry '!$Z$1:$Z$1501,$J521+1)&amp;"","Cheque deposit 支票存入 (buyer 买家)"))</f>
        <v/>
      </c>
      <c r="D521">
        <f>IF($J521="","",IF($J521&lt;=1500,INDEX('Daily Sale entry '!$AA$1:$AA$1501,$J521+1)&amp;"",INDEX('Daily Sale entry '!$P$1:$P$1501,$J521-1499)&amp;""))</f>
        <v/>
      </c>
      <c r="E521">
        <f>IF($J521="","",IF($J521&lt;=1500,IF(N(INDEX('Daily Sale entry '!$AB$1:$AB$1501,$J521+1))=0,"",INDEX('Daily Sale entry '!$AB$1:$AB$1501,$J521+1)),1))</f>
        <v/>
      </c>
      <c r="F521" s="6">
        <f>IF($J521="","",IF($J521&lt;=1500,N(INDEX('Daily Sale entry '!$AC$1:$AC$1501,$J521+1))-IF(AND('Opening Balance'!$B$15=1,INDEX('Daily Sale entry '!$Z$1:$Z$1501,$J521+1)="Online collection 网上收款",INDEX('Daily Sale entry '!$AA$1:$AA$1501,$J521+1)&lt;&gt;""),N(INDEX('Daily Sale entry '!$AC$1:$AC$1501,$J521+1))-TRUNC(N(INDEX('Daily Sale entry '!$AC$1:$AC$1501,$J521+1))),0),N(INDEX('Daily Sale entry '!$S$1:$S$1501,$J521-1499))-'Opening Balance'!$B$15*(N(INDEX('Daily Sale entry '!$S$1:$S$1501,$J521-1499))-TRUNC(N(INDEX('Daily Sale entry '!$S$1:$S$1501,$J521-1499))))))</f>
        <v/>
      </c>
      <c r="G521" s="6">
        <f>IF($J521="","",IF($J521&lt;=1500,N(INDEX('Daily Sale entry '!$AD$1:$AD$1501,$J521+1)),0))</f>
        <v/>
      </c>
      <c r="H521" s="6">
        <f>IF($J521="","",ROUND('Opening Balance'!$B$4+SUM($F$2:F521)-SUM($G$2:G521),2))</f>
        <v/>
      </c>
      <c r="J521" s="21">
        <f>IFERROR(MATCH(ROW()-1,$L$2:$L$3001,0),"")</f>
        <v/>
      </c>
      <c r="K521" s="34">
        <f>IF(AND('Daily Sale entry '!X521&lt;&gt;"",OR('Daily Sale entry '!AC521&lt;&gt;"",'Daily Sale entry '!AD521&lt;&gt;"")),'Daily Sale entry '!X521+ROW()/10000000,"")</f>
        <v/>
      </c>
      <c r="L521" s="21">
        <f>IF(K521="","",COUNTIF($K$2:$K$3001,"&lt;"&amp;K521)+1)</f>
        <v/>
      </c>
    </row>
    <row r="522">
      <c r="A522" s="5">
        <f>IF($J522="","",IF($J522&lt;=1500,INDEX('Daily Sale entry '!$X$1:$X$1501,$J522+1),INDEX('Daily Sale entry '!$V$1:$V$1501,$J522-1499)))</f>
        <v/>
      </c>
      <c r="B522">
        <f>IF($J522="","",IF($J522&lt;=1500,INDEX('Daily Sale entry '!$Y$1:$Y$1501,$J522+1)&amp;"","Buyer cheque banked 买家支票存入"&amp;IF(INDEX('Daily Sale entry '!$U$1:$U$1501,$J522-1499)="","", " - "&amp;INDEX('Daily Sale entry '!$U$1:$U$1501,$J522-1499))))</f>
        <v/>
      </c>
      <c r="C522">
        <f>IF($J522="","",IF($J522&lt;=1500,INDEX('Daily Sale entry '!$Z$1:$Z$1501,$J522+1)&amp;"","Cheque deposit 支票存入 (buyer 买家)"))</f>
        <v/>
      </c>
      <c r="D522">
        <f>IF($J522="","",IF($J522&lt;=1500,INDEX('Daily Sale entry '!$AA$1:$AA$1501,$J522+1)&amp;"",INDEX('Daily Sale entry '!$P$1:$P$1501,$J522-1499)&amp;""))</f>
        <v/>
      </c>
      <c r="E522">
        <f>IF($J522="","",IF($J522&lt;=1500,IF(N(INDEX('Daily Sale entry '!$AB$1:$AB$1501,$J522+1))=0,"",INDEX('Daily Sale entry '!$AB$1:$AB$1501,$J522+1)),1))</f>
        <v/>
      </c>
      <c r="F522" s="6">
        <f>IF($J522="","",IF($J522&lt;=1500,N(INDEX('Daily Sale entry '!$AC$1:$AC$1501,$J522+1))-IF(AND('Opening Balance'!$B$15=1,INDEX('Daily Sale entry '!$Z$1:$Z$1501,$J522+1)="Online collection 网上收款",INDEX('Daily Sale entry '!$AA$1:$AA$1501,$J522+1)&lt;&gt;""),N(INDEX('Daily Sale entry '!$AC$1:$AC$1501,$J522+1))-TRUNC(N(INDEX('Daily Sale entry '!$AC$1:$AC$1501,$J522+1))),0),N(INDEX('Daily Sale entry '!$S$1:$S$1501,$J522-1499))-'Opening Balance'!$B$15*(N(INDEX('Daily Sale entry '!$S$1:$S$1501,$J522-1499))-TRUNC(N(INDEX('Daily Sale entry '!$S$1:$S$1501,$J522-1499))))))</f>
        <v/>
      </c>
      <c r="G522" s="6">
        <f>IF($J522="","",IF($J522&lt;=1500,N(INDEX('Daily Sale entry '!$AD$1:$AD$1501,$J522+1)),0))</f>
        <v/>
      </c>
      <c r="H522" s="6">
        <f>IF($J522="","",ROUND('Opening Balance'!$B$4+SUM($F$2:F522)-SUM($G$2:G522),2))</f>
        <v/>
      </c>
      <c r="J522" s="21">
        <f>IFERROR(MATCH(ROW()-1,$L$2:$L$3001,0),"")</f>
        <v/>
      </c>
      <c r="K522" s="34">
        <f>IF(AND('Daily Sale entry '!X522&lt;&gt;"",OR('Daily Sale entry '!AC522&lt;&gt;"",'Daily Sale entry '!AD522&lt;&gt;"")),'Daily Sale entry '!X522+ROW()/10000000,"")</f>
        <v/>
      </c>
      <c r="L522" s="21">
        <f>IF(K522="","",COUNTIF($K$2:$K$3001,"&lt;"&amp;K522)+1)</f>
        <v/>
      </c>
    </row>
    <row r="523">
      <c r="A523" s="5">
        <f>IF($J523="","",IF($J523&lt;=1500,INDEX('Daily Sale entry '!$X$1:$X$1501,$J523+1),INDEX('Daily Sale entry '!$V$1:$V$1501,$J523-1499)))</f>
        <v/>
      </c>
      <c r="B523">
        <f>IF($J523="","",IF($J523&lt;=1500,INDEX('Daily Sale entry '!$Y$1:$Y$1501,$J523+1)&amp;"","Buyer cheque banked 买家支票存入"&amp;IF(INDEX('Daily Sale entry '!$U$1:$U$1501,$J523-1499)="","", " - "&amp;INDEX('Daily Sale entry '!$U$1:$U$1501,$J523-1499))))</f>
        <v/>
      </c>
      <c r="C523">
        <f>IF($J523="","",IF($J523&lt;=1500,INDEX('Daily Sale entry '!$Z$1:$Z$1501,$J523+1)&amp;"","Cheque deposit 支票存入 (buyer 买家)"))</f>
        <v/>
      </c>
      <c r="D523">
        <f>IF($J523="","",IF($J523&lt;=1500,INDEX('Daily Sale entry '!$AA$1:$AA$1501,$J523+1)&amp;"",INDEX('Daily Sale entry '!$P$1:$P$1501,$J523-1499)&amp;""))</f>
        <v/>
      </c>
      <c r="E523">
        <f>IF($J523="","",IF($J523&lt;=1500,IF(N(INDEX('Daily Sale entry '!$AB$1:$AB$1501,$J523+1))=0,"",INDEX('Daily Sale entry '!$AB$1:$AB$1501,$J523+1)),1))</f>
        <v/>
      </c>
      <c r="F523" s="6">
        <f>IF($J523="","",IF($J523&lt;=1500,N(INDEX('Daily Sale entry '!$AC$1:$AC$1501,$J523+1))-IF(AND('Opening Balance'!$B$15=1,INDEX('Daily Sale entry '!$Z$1:$Z$1501,$J523+1)="Online collection 网上收款",INDEX('Daily Sale entry '!$AA$1:$AA$1501,$J523+1)&lt;&gt;""),N(INDEX('Daily Sale entry '!$AC$1:$AC$1501,$J523+1))-TRUNC(N(INDEX('Daily Sale entry '!$AC$1:$AC$1501,$J523+1))),0),N(INDEX('Daily Sale entry '!$S$1:$S$1501,$J523-1499))-'Opening Balance'!$B$15*(N(INDEX('Daily Sale entry '!$S$1:$S$1501,$J523-1499))-TRUNC(N(INDEX('Daily Sale entry '!$S$1:$S$1501,$J523-1499))))))</f>
        <v/>
      </c>
      <c r="G523" s="6">
        <f>IF($J523="","",IF($J523&lt;=1500,N(INDEX('Daily Sale entry '!$AD$1:$AD$1501,$J523+1)),0))</f>
        <v/>
      </c>
      <c r="H523" s="6">
        <f>IF($J523="","",ROUND('Opening Balance'!$B$4+SUM($F$2:F523)-SUM($G$2:G523),2))</f>
        <v/>
      </c>
      <c r="J523" s="21">
        <f>IFERROR(MATCH(ROW()-1,$L$2:$L$3001,0),"")</f>
        <v/>
      </c>
      <c r="K523" s="34">
        <f>IF(AND('Daily Sale entry '!X523&lt;&gt;"",OR('Daily Sale entry '!AC523&lt;&gt;"",'Daily Sale entry '!AD523&lt;&gt;"")),'Daily Sale entry '!X523+ROW()/10000000,"")</f>
        <v/>
      </c>
      <c r="L523" s="21">
        <f>IF(K523="","",COUNTIF($K$2:$K$3001,"&lt;"&amp;K523)+1)</f>
        <v/>
      </c>
    </row>
    <row r="524">
      <c r="A524" s="5">
        <f>IF($J524="","",IF($J524&lt;=1500,INDEX('Daily Sale entry '!$X$1:$X$1501,$J524+1),INDEX('Daily Sale entry '!$V$1:$V$1501,$J524-1499)))</f>
        <v/>
      </c>
      <c r="B524">
        <f>IF($J524="","",IF($J524&lt;=1500,INDEX('Daily Sale entry '!$Y$1:$Y$1501,$J524+1)&amp;"","Buyer cheque banked 买家支票存入"&amp;IF(INDEX('Daily Sale entry '!$U$1:$U$1501,$J524-1499)="","", " - "&amp;INDEX('Daily Sale entry '!$U$1:$U$1501,$J524-1499))))</f>
        <v/>
      </c>
      <c r="C524">
        <f>IF($J524="","",IF($J524&lt;=1500,INDEX('Daily Sale entry '!$Z$1:$Z$1501,$J524+1)&amp;"","Cheque deposit 支票存入 (buyer 买家)"))</f>
        <v/>
      </c>
      <c r="D524">
        <f>IF($J524="","",IF($J524&lt;=1500,INDEX('Daily Sale entry '!$AA$1:$AA$1501,$J524+1)&amp;"",INDEX('Daily Sale entry '!$P$1:$P$1501,$J524-1499)&amp;""))</f>
        <v/>
      </c>
      <c r="E524">
        <f>IF($J524="","",IF($J524&lt;=1500,IF(N(INDEX('Daily Sale entry '!$AB$1:$AB$1501,$J524+1))=0,"",INDEX('Daily Sale entry '!$AB$1:$AB$1501,$J524+1)),1))</f>
        <v/>
      </c>
      <c r="F524" s="6">
        <f>IF($J524="","",IF($J524&lt;=1500,N(INDEX('Daily Sale entry '!$AC$1:$AC$1501,$J524+1))-IF(AND('Opening Balance'!$B$15=1,INDEX('Daily Sale entry '!$Z$1:$Z$1501,$J524+1)="Online collection 网上收款",INDEX('Daily Sale entry '!$AA$1:$AA$1501,$J524+1)&lt;&gt;""),N(INDEX('Daily Sale entry '!$AC$1:$AC$1501,$J524+1))-TRUNC(N(INDEX('Daily Sale entry '!$AC$1:$AC$1501,$J524+1))),0),N(INDEX('Daily Sale entry '!$S$1:$S$1501,$J524-1499))-'Opening Balance'!$B$15*(N(INDEX('Daily Sale entry '!$S$1:$S$1501,$J524-1499))-TRUNC(N(INDEX('Daily Sale entry '!$S$1:$S$1501,$J524-1499))))))</f>
        <v/>
      </c>
      <c r="G524" s="6">
        <f>IF($J524="","",IF($J524&lt;=1500,N(INDEX('Daily Sale entry '!$AD$1:$AD$1501,$J524+1)),0))</f>
        <v/>
      </c>
      <c r="H524" s="6">
        <f>IF($J524="","",ROUND('Opening Balance'!$B$4+SUM($F$2:F524)-SUM($G$2:G524),2))</f>
        <v/>
      </c>
      <c r="J524" s="21">
        <f>IFERROR(MATCH(ROW()-1,$L$2:$L$3001,0),"")</f>
        <v/>
      </c>
      <c r="K524" s="34">
        <f>IF(AND('Daily Sale entry '!X524&lt;&gt;"",OR('Daily Sale entry '!AC524&lt;&gt;"",'Daily Sale entry '!AD524&lt;&gt;"")),'Daily Sale entry '!X524+ROW()/10000000,"")</f>
        <v/>
      </c>
      <c r="L524" s="21">
        <f>IF(K524="","",COUNTIF($K$2:$K$3001,"&lt;"&amp;K524)+1)</f>
        <v/>
      </c>
    </row>
    <row r="525">
      <c r="A525" s="5">
        <f>IF($J525="","",IF($J525&lt;=1500,INDEX('Daily Sale entry '!$X$1:$X$1501,$J525+1),INDEX('Daily Sale entry '!$V$1:$V$1501,$J525-1499)))</f>
        <v/>
      </c>
      <c r="B525">
        <f>IF($J525="","",IF($J525&lt;=1500,INDEX('Daily Sale entry '!$Y$1:$Y$1501,$J525+1)&amp;"","Buyer cheque banked 买家支票存入"&amp;IF(INDEX('Daily Sale entry '!$U$1:$U$1501,$J525-1499)="","", " - "&amp;INDEX('Daily Sale entry '!$U$1:$U$1501,$J525-1499))))</f>
        <v/>
      </c>
      <c r="C525">
        <f>IF($J525="","",IF($J525&lt;=1500,INDEX('Daily Sale entry '!$Z$1:$Z$1501,$J525+1)&amp;"","Cheque deposit 支票存入 (buyer 买家)"))</f>
        <v/>
      </c>
      <c r="D525">
        <f>IF($J525="","",IF($J525&lt;=1500,INDEX('Daily Sale entry '!$AA$1:$AA$1501,$J525+1)&amp;"",INDEX('Daily Sale entry '!$P$1:$P$1501,$J525-1499)&amp;""))</f>
        <v/>
      </c>
      <c r="E525">
        <f>IF($J525="","",IF($J525&lt;=1500,IF(N(INDEX('Daily Sale entry '!$AB$1:$AB$1501,$J525+1))=0,"",INDEX('Daily Sale entry '!$AB$1:$AB$1501,$J525+1)),1))</f>
        <v/>
      </c>
      <c r="F525" s="6">
        <f>IF($J525="","",IF($J525&lt;=1500,N(INDEX('Daily Sale entry '!$AC$1:$AC$1501,$J525+1))-IF(AND('Opening Balance'!$B$15=1,INDEX('Daily Sale entry '!$Z$1:$Z$1501,$J525+1)="Online collection 网上收款",INDEX('Daily Sale entry '!$AA$1:$AA$1501,$J525+1)&lt;&gt;""),N(INDEX('Daily Sale entry '!$AC$1:$AC$1501,$J525+1))-TRUNC(N(INDEX('Daily Sale entry '!$AC$1:$AC$1501,$J525+1))),0),N(INDEX('Daily Sale entry '!$S$1:$S$1501,$J525-1499))-'Opening Balance'!$B$15*(N(INDEX('Daily Sale entry '!$S$1:$S$1501,$J525-1499))-TRUNC(N(INDEX('Daily Sale entry '!$S$1:$S$1501,$J525-1499))))))</f>
        <v/>
      </c>
      <c r="G525" s="6">
        <f>IF($J525="","",IF($J525&lt;=1500,N(INDEX('Daily Sale entry '!$AD$1:$AD$1501,$J525+1)),0))</f>
        <v/>
      </c>
      <c r="H525" s="6">
        <f>IF($J525="","",ROUND('Opening Balance'!$B$4+SUM($F$2:F525)-SUM($G$2:G525),2))</f>
        <v/>
      </c>
      <c r="J525" s="21">
        <f>IFERROR(MATCH(ROW()-1,$L$2:$L$3001,0),"")</f>
        <v/>
      </c>
      <c r="K525" s="34">
        <f>IF(AND('Daily Sale entry '!X525&lt;&gt;"",OR('Daily Sale entry '!AC525&lt;&gt;"",'Daily Sale entry '!AD525&lt;&gt;"")),'Daily Sale entry '!X525+ROW()/10000000,"")</f>
        <v/>
      </c>
      <c r="L525" s="21">
        <f>IF(K525="","",COUNTIF($K$2:$K$3001,"&lt;"&amp;K525)+1)</f>
        <v/>
      </c>
    </row>
    <row r="526">
      <c r="A526" s="5">
        <f>IF($J526="","",IF($J526&lt;=1500,INDEX('Daily Sale entry '!$X$1:$X$1501,$J526+1),INDEX('Daily Sale entry '!$V$1:$V$1501,$J526-1499)))</f>
        <v/>
      </c>
      <c r="B526">
        <f>IF($J526="","",IF($J526&lt;=1500,INDEX('Daily Sale entry '!$Y$1:$Y$1501,$J526+1)&amp;"","Buyer cheque banked 买家支票存入"&amp;IF(INDEX('Daily Sale entry '!$U$1:$U$1501,$J526-1499)="","", " - "&amp;INDEX('Daily Sale entry '!$U$1:$U$1501,$J526-1499))))</f>
        <v/>
      </c>
      <c r="C526">
        <f>IF($J526="","",IF($J526&lt;=1500,INDEX('Daily Sale entry '!$Z$1:$Z$1501,$J526+1)&amp;"","Cheque deposit 支票存入 (buyer 买家)"))</f>
        <v/>
      </c>
      <c r="D526">
        <f>IF($J526="","",IF($J526&lt;=1500,INDEX('Daily Sale entry '!$AA$1:$AA$1501,$J526+1)&amp;"",INDEX('Daily Sale entry '!$P$1:$P$1501,$J526-1499)&amp;""))</f>
        <v/>
      </c>
      <c r="E526">
        <f>IF($J526="","",IF($J526&lt;=1500,IF(N(INDEX('Daily Sale entry '!$AB$1:$AB$1501,$J526+1))=0,"",INDEX('Daily Sale entry '!$AB$1:$AB$1501,$J526+1)),1))</f>
        <v/>
      </c>
      <c r="F526" s="6">
        <f>IF($J526="","",IF($J526&lt;=1500,N(INDEX('Daily Sale entry '!$AC$1:$AC$1501,$J526+1))-IF(AND('Opening Balance'!$B$15=1,INDEX('Daily Sale entry '!$Z$1:$Z$1501,$J526+1)="Online collection 网上收款",INDEX('Daily Sale entry '!$AA$1:$AA$1501,$J526+1)&lt;&gt;""),N(INDEX('Daily Sale entry '!$AC$1:$AC$1501,$J526+1))-TRUNC(N(INDEX('Daily Sale entry '!$AC$1:$AC$1501,$J526+1))),0),N(INDEX('Daily Sale entry '!$S$1:$S$1501,$J526-1499))-'Opening Balance'!$B$15*(N(INDEX('Daily Sale entry '!$S$1:$S$1501,$J526-1499))-TRUNC(N(INDEX('Daily Sale entry '!$S$1:$S$1501,$J526-1499))))))</f>
        <v/>
      </c>
      <c r="G526" s="6">
        <f>IF($J526="","",IF($J526&lt;=1500,N(INDEX('Daily Sale entry '!$AD$1:$AD$1501,$J526+1)),0))</f>
        <v/>
      </c>
      <c r="H526" s="6">
        <f>IF($J526="","",ROUND('Opening Balance'!$B$4+SUM($F$2:F526)-SUM($G$2:G526),2))</f>
        <v/>
      </c>
      <c r="J526" s="21">
        <f>IFERROR(MATCH(ROW()-1,$L$2:$L$3001,0),"")</f>
        <v/>
      </c>
      <c r="K526" s="34">
        <f>IF(AND('Daily Sale entry '!X526&lt;&gt;"",OR('Daily Sale entry '!AC526&lt;&gt;"",'Daily Sale entry '!AD526&lt;&gt;"")),'Daily Sale entry '!X526+ROW()/10000000,"")</f>
        <v/>
      </c>
      <c r="L526" s="21">
        <f>IF(K526="","",COUNTIF($K$2:$K$3001,"&lt;"&amp;K526)+1)</f>
        <v/>
      </c>
    </row>
    <row r="527">
      <c r="A527" s="5">
        <f>IF($J527="","",IF($J527&lt;=1500,INDEX('Daily Sale entry '!$X$1:$X$1501,$J527+1),INDEX('Daily Sale entry '!$V$1:$V$1501,$J527-1499)))</f>
        <v/>
      </c>
      <c r="B527">
        <f>IF($J527="","",IF($J527&lt;=1500,INDEX('Daily Sale entry '!$Y$1:$Y$1501,$J527+1)&amp;"","Buyer cheque banked 买家支票存入"&amp;IF(INDEX('Daily Sale entry '!$U$1:$U$1501,$J527-1499)="","", " - "&amp;INDEX('Daily Sale entry '!$U$1:$U$1501,$J527-1499))))</f>
        <v/>
      </c>
      <c r="C527">
        <f>IF($J527="","",IF($J527&lt;=1500,INDEX('Daily Sale entry '!$Z$1:$Z$1501,$J527+1)&amp;"","Cheque deposit 支票存入 (buyer 买家)"))</f>
        <v/>
      </c>
      <c r="D527">
        <f>IF($J527="","",IF($J527&lt;=1500,INDEX('Daily Sale entry '!$AA$1:$AA$1501,$J527+1)&amp;"",INDEX('Daily Sale entry '!$P$1:$P$1501,$J527-1499)&amp;""))</f>
        <v/>
      </c>
      <c r="E527">
        <f>IF($J527="","",IF($J527&lt;=1500,IF(N(INDEX('Daily Sale entry '!$AB$1:$AB$1501,$J527+1))=0,"",INDEX('Daily Sale entry '!$AB$1:$AB$1501,$J527+1)),1))</f>
        <v/>
      </c>
      <c r="F527" s="6">
        <f>IF($J527="","",IF($J527&lt;=1500,N(INDEX('Daily Sale entry '!$AC$1:$AC$1501,$J527+1))-IF(AND('Opening Balance'!$B$15=1,INDEX('Daily Sale entry '!$Z$1:$Z$1501,$J527+1)="Online collection 网上收款",INDEX('Daily Sale entry '!$AA$1:$AA$1501,$J527+1)&lt;&gt;""),N(INDEX('Daily Sale entry '!$AC$1:$AC$1501,$J527+1))-TRUNC(N(INDEX('Daily Sale entry '!$AC$1:$AC$1501,$J527+1))),0),N(INDEX('Daily Sale entry '!$S$1:$S$1501,$J527-1499))-'Opening Balance'!$B$15*(N(INDEX('Daily Sale entry '!$S$1:$S$1501,$J527-1499))-TRUNC(N(INDEX('Daily Sale entry '!$S$1:$S$1501,$J527-1499))))))</f>
        <v/>
      </c>
      <c r="G527" s="6">
        <f>IF($J527="","",IF($J527&lt;=1500,N(INDEX('Daily Sale entry '!$AD$1:$AD$1501,$J527+1)),0))</f>
        <v/>
      </c>
      <c r="H527" s="6">
        <f>IF($J527="","",ROUND('Opening Balance'!$B$4+SUM($F$2:F527)-SUM($G$2:G527),2))</f>
        <v/>
      </c>
      <c r="J527" s="21">
        <f>IFERROR(MATCH(ROW()-1,$L$2:$L$3001,0),"")</f>
        <v/>
      </c>
      <c r="K527" s="34">
        <f>IF(AND('Daily Sale entry '!X527&lt;&gt;"",OR('Daily Sale entry '!AC527&lt;&gt;"",'Daily Sale entry '!AD527&lt;&gt;"")),'Daily Sale entry '!X527+ROW()/10000000,"")</f>
        <v/>
      </c>
      <c r="L527" s="21">
        <f>IF(K527="","",COUNTIF($K$2:$K$3001,"&lt;"&amp;K527)+1)</f>
        <v/>
      </c>
    </row>
    <row r="528">
      <c r="A528" s="5">
        <f>IF($J528="","",IF($J528&lt;=1500,INDEX('Daily Sale entry '!$X$1:$X$1501,$J528+1),INDEX('Daily Sale entry '!$V$1:$V$1501,$J528-1499)))</f>
        <v/>
      </c>
      <c r="B528">
        <f>IF($J528="","",IF($J528&lt;=1500,INDEX('Daily Sale entry '!$Y$1:$Y$1501,$J528+1)&amp;"","Buyer cheque banked 买家支票存入"&amp;IF(INDEX('Daily Sale entry '!$U$1:$U$1501,$J528-1499)="","", " - "&amp;INDEX('Daily Sale entry '!$U$1:$U$1501,$J528-1499))))</f>
        <v/>
      </c>
      <c r="C528">
        <f>IF($J528="","",IF($J528&lt;=1500,INDEX('Daily Sale entry '!$Z$1:$Z$1501,$J528+1)&amp;"","Cheque deposit 支票存入 (buyer 买家)"))</f>
        <v/>
      </c>
      <c r="D528">
        <f>IF($J528="","",IF($J528&lt;=1500,INDEX('Daily Sale entry '!$AA$1:$AA$1501,$J528+1)&amp;"",INDEX('Daily Sale entry '!$P$1:$P$1501,$J528-1499)&amp;""))</f>
        <v/>
      </c>
      <c r="E528">
        <f>IF($J528="","",IF($J528&lt;=1500,IF(N(INDEX('Daily Sale entry '!$AB$1:$AB$1501,$J528+1))=0,"",INDEX('Daily Sale entry '!$AB$1:$AB$1501,$J528+1)),1))</f>
        <v/>
      </c>
      <c r="F528" s="6">
        <f>IF($J528="","",IF($J528&lt;=1500,N(INDEX('Daily Sale entry '!$AC$1:$AC$1501,$J528+1))-IF(AND('Opening Balance'!$B$15=1,INDEX('Daily Sale entry '!$Z$1:$Z$1501,$J528+1)="Online collection 网上收款",INDEX('Daily Sale entry '!$AA$1:$AA$1501,$J528+1)&lt;&gt;""),N(INDEX('Daily Sale entry '!$AC$1:$AC$1501,$J528+1))-TRUNC(N(INDEX('Daily Sale entry '!$AC$1:$AC$1501,$J528+1))),0),N(INDEX('Daily Sale entry '!$S$1:$S$1501,$J528-1499))-'Opening Balance'!$B$15*(N(INDEX('Daily Sale entry '!$S$1:$S$1501,$J528-1499))-TRUNC(N(INDEX('Daily Sale entry '!$S$1:$S$1501,$J528-1499))))))</f>
        <v/>
      </c>
      <c r="G528" s="6">
        <f>IF($J528="","",IF($J528&lt;=1500,N(INDEX('Daily Sale entry '!$AD$1:$AD$1501,$J528+1)),0))</f>
        <v/>
      </c>
      <c r="H528" s="6">
        <f>IF($J528="","",ROUND('Opening Balance'!$B$4+SUM($F$2:F528)-SUM($G$2:G528),2))</f>
        <v/>
      </c>
      <c r="J528" s="21">
        <f>IFERROR(MATCH(ROW()-1,$L$2:$L$3001,0),"")</f>
        <v/>
      </c>
      <c r="K528" s="34">
        <f>IF(AND('Daily Sale entry '!X528&lt;&gt;"",OR('Daily Sale entry '!AC528&lt;&gt;"",'Daily Sale entry '!AD528&lt;&gt;"")),'Daily Sale entry '!X528+ROW()/10000000,"")</f>
        <v/>
      </c>
      <c r="L528" s="21">
        <f>IF(K528="","",COUNTIF($K$2:$K$3001,"&lt;"&amp;K528)+1)</f>
        <v/>
      </c>
    </row>
    <row r="529">
      <c r="A529" s="5">
        <f>IF($J529="","",IF($J529&lt;=1500,INDEX('Daily Sale entry '!$X$1:$X$1501,$J529+1),INDEX('Daily Sale entry '!$V$1:$V$1501,$J529-1499)))</f>
        <v/>
      </c>
      <c r="B529">
        <f>IF($J529="","",IF($J529&lt;=1500,INDEX('Daily Sale entry '!$Y$1:$Y$1501,$J529+1)&amp;"","Buyer cheque banked 买家支票存入"&amp;IF(INDEX('Daily Sale entry '!$U$1:$U$1501,$J529-1499)="","", " - "&amp;INDEX('Daily Sale entry '!$U$1:$U$1501,$J529-1499))))</f>
        <v/>
      </c>
      <c r="C529">
        <f>IF($J529="","",IF($J529&lt;=1500,INDEX('Daily Sale entry '!$Z$1:$Z$1501,$J529+1)&amp;"","Cheque deposit 支票存入 (buyer 买家)"))</f>
        <v/>
      </c>
      <c r="D529">
        <f>IF($J529="","",IF($J529&lt;=1500,INDEX('Daily Sale entry '!$AA$1:$AA$1501,$J529+1)&amp;"",INDEX('Daily Sale entry '!$P$1:$P$1501,$J529-1499)&amp;""))</f>
        <v/>
      </c>
      <c r="E529">
        <f>IF($J529="","",IF($J529&lt;=1500,IF(N(INDEX('Daily Sale entry '!$AB$1:$AB$1501,$J529+1))=0,"",INDEX('Daily Sale entry '!$AB$1:$AB$1501,$J529+1)),1))</f>
        <v/>
      </c>
      <c r="F529" s="6">
        <f>IF($J529="","",IF($J529&lt;=1500,N(INDEX('Daily Sale entry '!$AC$1:$AC$1501,$J529+1))-IF(AND('Opening Balance'!$B$15=1,INDEX('Daily Sale entry '!$Z$1:$Z$1501,$J529+1)="Online collection 网上收款",INDEX('Daily Sale entry '!$AA$1:$AA$1501,$J529+1)&lt;&gt;""),N(INDEX('Daily Sale entry '!$AC$1:$AC$1501,$J529+1))-TRUNC(N(INDEX('Daily Sale entry '!$AC$1:$AC$1501,$J529+1))),0),N(INDEX('Daily Sale entry '!$S$1:$S$1501,$J529-1499))-'Opening Balance'!$B$15*(N(INDEX('Daily Sale entry '!$S$1:$S$1501,$J529-1499))-TRUNC(N(INDEX('Daily Sale entry '!$S$1:$S$1501,$J529-1499))))))</f>
        <v/>
      </c>
      <c r="G529" s="6">
        <f>IF($J529="","",IF($J529&lt;=1500,N(INDEX('Daily Sale entry '!$AD$1:$AD$1501,$J529+1)),0))</f>
        <v/>
      </c>
      <c r="H529" s="6">
        <f>IF($J529="","",ROUND('Opening Balance'!$B$4+SUM($F$2:F529)-SUM($G$2:G529),2))</f>
        <v/>
      </c>
      <c r="J529" s="21">
        <f>IFERROR(MATCH(ROW()-1,$L$2:$L$3001,0),"")</f>
        <v/>
      </c>
      <c r="K529" s="34">
        <f>IF(AND('Daily Sale entry '!X529&lt;&gt;"",OR('Daily Sale entry '!AC529&lt;&gt;"",'Daily Sale entry '!AD529&lt;&gt;"")),'Daily Sale entry '!X529+ROW()/10000000,"")</f>
        <v/>
      </c>
      <c r="L529" s="21">
        <f>IF(K529="","",COUNTIF($K$2:$K$3001,"&lt;"&amp;K529)+1)</f>
        <v/>
      </c>
    </row>
    <row r="530">
      <c r="A530" s="5">
        <f>IF($J530="","",IF($J530&lt;=1500,INDEX('Daily Sale entry '!$X$1:$X$1501,$J530+1),INDEX('Daily Sale entry '!$V$1:$V$1501,$J530-1499)))</f>
        <v/>
      </c>
      <c r="B530">
        <f>IF($J530="","",IF($J530&lt;=1500,INDEX('Daily Sale entry '!$Y$1:$Y$1501,$J530+1)&amp;"","Buyer cheque banked 买家支票存入"&amp;IF(INDEX('Daily Sale entry '!$U$1:$U$1501,$J530-1499)="","", " - "&amp;INDEX('Daily Sale entry '!$U$1:$U$1501,$J530-1499))))</f>
        <v/>
      </c>
      <c r="C530">
        <f>IF($J530="","",IF($J530&lt;=1500,INDEX('Daily Sale entry '!$Z$1:$Z$1501,$J530+1)&amp;"","Cheque deposit 支票存入 (buyer 买家)"))</f>
        <v/>
      </c>
      <c r="D530">
        <f>IF($J530="","",IF($J530&lt;=1500,INDEX('Daily Sale entry '!$AA$1:$AA$1501,$J530+1)&amp;"",INDEX('Daily Sale entry '!$P$1:$P$1501,$J530-1499)&amp;""))</f>
        <v/>
      </c>
      <c r="E530">
        <f>IF($J530="","",IF($J530&lt;=1500,IF(N(INDEX('Daily Sale entry '!$AB$1:$AB$1501,$J530+1))=0,"",INDEX('Daily Sale entry '!$AB$1:$AB$1501,$J530+1)),1))</f>
        <v/>
      </c>
      <c r="F530" s="6">
        <f>IF($J530="","",IF($J530&lt;=1500,N(INDEX('Daily Sale entry '!$AC$1:$AC$1501,$J530+1))-IF(AND('Opening Balance'!$B$15=1,INDEX('Daily Sale entry '!$Z$1:$Z$1501,$J530+1)="Online collection 网上收款",INDEX('Daily Sale entry '!$AA$1:$AA$1501,$J530+1)&lt;&gt;""),N(INDEX('Daily Sale entry '!$AC$1:$AC$1501,$J530+1))-TRUNC(N(INDEX('Daily Sale entry '!$AC$1:$AC$1501,$J530+1))),0),N(INDEX('Daily Sale entry '!$S$1:$S$1501,$J530-1499))-'Opening Balance'!$B$15*(N(INDEX('Daily Sale entry '!$S$1:$S$1501,$J530-1499))-TRUNC(N(INDEX('Daily Sale entry '!$S$1:$S$1501,$J530-1499))))))</f>
        <v/>
      </c>
      <c r="G530" s="6">
        <f>IF($J530="","",IF($J530&lt;=1500,N(INDEX('Daily Sale entry '!$AD$1:$AD$1501,$J530+1)),0))</f>
        <v/>
      </c>
      <c r="H530" s="6">
        <f>IF($J530="","",ROUND('Opening Balance'!$B$4+SUM($F$2:F530)-SUM($G$2:G530),2))</f>
        <v/>
      </c>
      <c r="J530" s="21">
        <f>IFERROR(MATCH(ROW()-1,$L$2:$L$3001,0),"")</f>
        <v/>
      </c>
      <c r="K530" s="34">
        <f>IF(AND('Daily Sale entry '!X530&lt;&gt;"",OR('Daily Sale entry '!AC530&lt;&gt;"",'Daily Sale entry '!AD530&lt;&gt;"")),'Daily Sale entry '!X530+ROW()/10000000,"")</f>
        <v/>
      </c>
      <c r="L530" s="21">
        <f>IF(K530="","",COUNTIF($K$2:$K$3001,"&lt;"&amp;K530)+1)</f>
        <v/>
      </c>
    </row>
    <row r="531">
      <c r="A531" s="5">
        <f>IF($J531="","",IF($J531&lt;=1500,INDEX('Daily Sale entry '!$X$1:$X$1501,$J531+1),INDEX('Daily Sale entry '!$V$1:$V$1501,$J531-1499)))</f>
        <v/>
      </c>
      <c r="B531">
        <f>IF($J531="","",IF($J531&lt;=1500,INDEX('Daily Sale entry '!$Y$1:$Y$1501,$J531+1)&amp;"","Buyer cheque banked 买家支票存入"&amp;IF(INDEX('Daily Sale entry '!$U$1:$U$1501,$J531-1499)="","", " - "&amp;INDEX('Daily Sale entry '!$U$1:$U$1501,$J531-1499))))</f>
        <v/>
      </c>
      <c r="C531">
        <f>IF($J531="","",IF($J531&lt;=1500,INDEX('Daily Sale entry '!$Z$1:$Z$1501,$J531+1)&amp;"","Cheque deposit 支票存入 (buyer 买家)"))</f>
        <v/>
      </c>
      <c r="D531">
        <f>IF($J531="","",IF($J531&lt;=1500,INDEX('Daily Sale entry '!$AA$1:$AA$1501,$J531+1)&amp;"",INDEX('Daily Sale entry '!$P$1:$P$1501,$J531-1499)&amp;""))</f>
        <v/>
      </c>
      <c r="E531">
        <f>IF($J531="","",IF($J531&lt;=1500,IF(N(INDEX('Daily Sale entry '!$AB$1:$AB$1501,$J531+1))=0,"",INDEX('Daily Sale entry '!$AB$1:$AB$1501,$J531+1)),1))</f>
        <v/>
      </c>
      <c r="F531" s="6">
        <f>IF($J531="","",IF($J531&lt;=1500,N(INDEX('Daily Sale entry '!$AC$1:$AC$1501,$J531+1))-IF(AND('Opening Balance'!$B$15=1,INDEX('Daily Sale entry '!$Z$1:$Z$1501,$J531+1)="Online collection 网上收款",INDEX('Daily Sale entry '!$AA$1:$AA$1501,$J531+1)&lt;&gt;""),N(INDEX('Daily Sale entry '!$AC$1:$AC$1501,$J531+1))-TRUNC(N(INDEX('Daily Sale entry '!$AC$1:$AC$1501,$J531+1))),0),N(INDEX('Daily Sale entry '!$S$1:$S$1501,$J531-1499))-'Opening Balance'!$B$15*(N(INDEX('Daily Sale entry '!$S$1:$S$1501,$J531-1499))-TRUNC(N(INDEX('Daily Sale entry '!$S$1:$S$1501,$J531-1499))))))</f>
        <v/>
      </c>
      <c r="G531" s="6">
        <f>IF($J531="","",IF($J531&lt;=1500,N(INDEX('Daily Sale entry '!$AD$1:$AD$1501,$J531+1)),0))</f>
        <v/>
      </c>
      <c r="H531" s="6">
        <f>IF($J531="","",ROUND('Opening Balance'!$B$4+SUM($F$2:F531)-SUM($G$2:G531),2))</f>
        <v/>
      </c>
      <c r="J531" s="21">
        <f>IFERROR(MATCH(ROW()-1,$L$2:$L$3001,0),"")</f>
        <v/>
      </c>
      <c r="K531" s="34">
        <f>IF(AND('Daily Sale entry '!X531&lt;&gt;"",OR('Daily Sale entry '!AC531&lt;&gt;"",'Daily Sale entry '!AD531&lt;&gt;"")),'Daily Sale entry '!X531+ROW()/10000000,"")</f>
        <v/>
      </c>
      <c r="L531" s="21">
        <f>IF(K531="","",COUNTIF($K$2:$K$3001,"&lt;"&amp;K531)+1)</f>
        <v/>
      </c>
    </row>
    <row r="532">
      <c r="A532" s="5">
        <f>IF($J532="","",IF($J532&lt;=1500,INDEX('Daily Sale entry '!$X$1:$X$1501,$J532+1),INDEX('Daily Sale entry '!$V$1:$V$1501,$J532-1499)))</f>
        <v/>
      </c>
      <c r="B532">
        <f>IF($J532="","",IF($J532&lt;=1500,INDEX('Daily Sale entry '!$Y$1:$Y$1501,$J532+1)&amp;"","Buyer cheque banked 买家支票存入"&amp;IF(INDEX('Daily Sale entry '!$U$1:$U$1501,$J532-1499)="","", " - "&amp;INDEX('Daily Sale entry '!$U$1:$U$1501,$J532-1499))))</f>
        <v/>
      </c>
      <c r="C532">
        <f>IF($J532="","",IF($J532&lt;=1500,INDEX('Daily Sale entry '!$Z$1:$Z$1501,$J532+1)&amp;"","Cheque deposit 支票存入 (buyer 买家)"))</f>
        <v/>
      </c>
      <c r="D532">
        <f>IF($J532="","",IF($J532&lt;=1500,INDEX('Daily Sale entry '!$AA$1:$AA$1501,$J532+1)&amp;"",INDEX('Daily Sale entry '!$P$1:$P$1501,$J532-1499)&amp;""))</f>
        <v/>
      </c>
      <c r="E532">
        <f>IF($J532="","",IF($J532&lt;=1500,IF(N(INDEX('Daily Sale entry '!$AB$1:$AB$1501,$J532+1))=0,"",INDEX('Daily Sale entry '!$AB$1:$AB$1501,$J532+1)),1))</f>
        <v/>
      </c>
      <c r="F532" s="6">
        <f>IF($J532="","",IF($J532&lt;=1500,N(INDEX('Daily Sale entry '!$AC$1:$AC$1501,$J532+1))-IF(AND('Opening Balance'!$B$15=1,INDEX('Daily Sale entry '!$Z$1:$Z$1501,$J532+1)="Online collection 网上收款",INDEX('Daily Sale entry '!$AA$1:$AA$1501,$J532+1)&lt;&gt;""),N(INDEX('Daily Sale entry '!$AC$1:$AC$1501,$J532+1))-TRUNC(N(INDEX('Daily Sale entry '!$AC$1:$AC$1501,$J532+1))),0),N(INDEX('Daily Sale entry '!$S$1:$S$1501,$J532-1499))-'Opening Balance'!$B$15*(N(INDEX('Daily Sale entry '!$S$1:$S$1501,$J532-1499))-TRUNC(N(INDEX('Daily Sale entry '!$S$1:$S$1501,$J532-1499))))))</f>
        <v/>
      </c>
      <c r="G532" s="6">
        <f>IF($J532="","",IF($J532&lt;=1500,N(INDEX('Daily Sale entry '!$AD$1:$AD$1501,$J532+1)),0))</f>
        <v/>
      </c>
      <c r="H532" s="6">
        <f>IF($J532="","",ROUND('Opening Balance'!$B$4+SUM($F$2:F532)-SUM($G$2:G532),2))</f>
        <v/>
      </c>
      <c r="J532" s="21">
        <f>IFERROR(MATCH(ROW()-1,$L$2:$L$3001,0),"")</f>
        <v/>
      </c>
      <c r="K532" s="34">
        <f>IF(AND('Daily Sale entry '!X532&lt;&gt;"",OR('Daily Sale entry '!AC532&lt;&gt;"",'Daily Sale entry '!AD532&lt;&gt;"")),'Daily Sale entry '!X532+ROW()/10000000,"")</f>
        <v/>
      </c>
      <c r="L532" s="21">
        <f>IF(K532="","",COUNTIF($K$2:$K$3001,"&lt;"&amp;K532)+1)</f>
        <v/>
      </c>
    </row>
    <row r="533">
      <c r="A533" s="5">
        <f>IF($J533="","",IF($J533&lt;=1500,INDEX('Daily Sale entry '!$X$1:$X$1501,$J533+1),INDEX('Daily Sale entry '!$V$1:$V$1501,$J533-1499)))</f>
        <v/>
      </c>
      <c r="B533">
        <f>IF($J533="","",IF($J533&lt;=1500,INDEX('Daily Sale entry '!$Y$1:$Y$1501,$J533+1)&amp;"","Buyer cheque banked 买家支票存入"&amp;IF(INDEX('Daily Sale entry '!$U$1:$U$1501,$J533-1499)="","", " - "&amp;INDEX('Daily Sale entry '!$U$1:$U$1501,$J533-1499))))</f>
        <v/>
      </c>
      <c r="C533">
        <f>IF($J533="","",IF($J533&lt;=1500,INDEX('Daily Sale entry '!$Z$1:$Z$1501,$J533+1)&amp;"","Cheque deposit 支票存入 (buyer 买家)"))</f>
        <v/>
      </c>
      <c r="D533">
        <f>IF($J533="","",IF($J533&lt;=1500,INDEX('Daily Sale entry '!$AA$1:$AA$1501,$J533+1)&amp;"",INDEX('Daily Sale entry '!$P$1:$P$1501,$J533-1499)&amp;""))</f>
        <v/>
      </c>
      <c r="E533">
        <f>IF($J533="","",IF($J533&lt;=1500,IF(N(INDEX('Daily Sale entry '!$AB$1:$AB$1501,$J533+1))=0,"",INDEX('Daily Sale entry '!$AB$1:$AB$1501,$J533+1)),1))</f>
        <v/>
      </c>
      <c r="F533" s="6">
        <f>IF($J533="","",IF($J533&lt;=1500,N(INDEX('Daily Sale entry '!$AC$1:$AC$1501,$J533+1))-IF(AND('Opening Balance'!$B$15=1,INDEX('Daily Sale entry '!$Z$1:$Z$1501,$J533+1)="Online collection 网上收款",INDEX('Daily Sale entry '!$AA$1:$AA$1501,$J533+1)&lt;&gt;""),N(INDEX('Daily Sale entry '!$AC$1:$AC$1501,$J533+1))-TRUNC(N(INDEX('Daily Sale entry '!$AC$1:$AC$1501,$J533+1))),0),N(INDEX('Daily Sale entry '!$S$1:$S$1501,$J533-1499))-'Opening Balance'!$B$15*(N(INDEX('Daily Sale entry '!$S$1:$S$1501,$J533-1499))-TRUNC(N(INDEX('Daily Sale entry '!$S$1:$S$1501,$J533-1499))))))</f>
        <v/>
      </c>
      <c r="G533" s="6">
        <f>IF($J533="","",IF($J533&lt;=1500,N(INDEX('Daily Sale entry '!$AD$1:$AD$1501,$J533+1)),0))</f>
        <v/>
      </c>
      <c r="H533" s="6">
        <f>IF($J533="","",ROUND('Opening Balance'!$B$4+SUM($F$2:F533)-SUM($G$2:G533),2))</f>
        <v/>
      </c>
      <c r="J533" s="21">
        <f>IFERROR(MATCH(ROW()-1,$L$2:$L$3001,0),"")</f>
        <v/>
      </c>
      <c r="K533" s="34">
        <f>IF(AND('Daily Sale entry '!X533&lt;&gt;"",OR('Daily Sale entry '!AC533&lt;&gt;"",'Daily Sale entry '!AD533&lt;&gt;"")),'Daily Sale entry '!X533+ROW()/10000000,"")</f>
        <v/>
      </c>
      <c r="L533" s="21">
        <f>IF(K533="","",COUNTIF($K$2:$K$3001,"&lt;"&amp;K533)+1)</f>
        <v/>
      </c>
    </row>
    <row r="534">
      <c r="A534" s="5">
        <f>IF($J534="","",IF($J534&lt;=1500,INDEX('Daily Sale entry '!$X$1:$X$1501,$J534+1),INDEX('Daily Sale entry '!$V$1:$V$1501,$J534-1499)))</f>
        <v/>
      </c>
      <c r="B534">
        <f>IF($J534="","",IF($J534&lt;=1500,INDEX('Daily Sale entry '!$Y$1:$Y$1501,$J534+1)&amp;"","Buyer cheque banked 买家支票存入"&amp;IF(INDEX('Daily Sale entry '!$U$1:$U$1501,$J534-1499)="","", " - "&amp;INDEX('Daily Sale entry '!$U$1:$U$1501,$J534-1499))))</f>
        <v/>
      </c>
      <c r="C534">
        <f>IF($J534="","",IF($J534&lt;=1500,INDEX('Daily Sale entry '!$Z$1:$Z$1501,$J534+1)&amp;"","Cheque deposit 支票存入 (buyer 买家)"))</f>
        <v/>
      </c>
      <c r="D534">
        <f>IF($J534="","",IF($J534&lt;=1500,INDEX('Daily Sale entry '!$AA$1:$AA$1501,$J534+1)&amp;"",INDEX('Daily Sale entry '!$P$1:$P$1501,$J534-1499)&amp;""))</f>
        <v/>
      </c>
      <c r="E534">
        <f>IF($J534="","",IF($J534&lt;=1500,IF(N(INDEX('Daily Sale entry '!$AB$1:$AB$1501,$J534+1))=0,"",INDEX('Daily Sale entry '!$AB$1:$AB$1501,$J534+1)),1))</f>
        <v/>
      </c>
      <c r="F534" s="6">
        <f>IF($J534="","",IF($J534&lt;=1500,N(INDEX('Daily Sale entry '!$AC$1:$AC$1501,$J534+1))-IF(AND('Opening Balance'!$B$15=1,INDEX('Daily Sale entry '!$Z$1:$Z$1501,$J534+1)="Online collection 网上收款",INDEX('Daily Sale entry '!$AA$1:$AA$1501,$J534+1)&lt;&gt;""),N(INDEX('Daily Sale entry '!$AC$1:$AC$1501,$J534+1))-TRUNC(N(INDEX('Daily Sale entry '!$AC$1:$AC$1501,$J534+1))),0),N(INDEX('Daily Sale entry '!$S$1:$S$1501,$J534-1499))-'Opening Balance'!$B$15*(N(INDEX('Daily Sale entry '!$S$1:$S$1501,$J534-1499))-TRUNC(N(INDEX('Daily Sale entry '!$S$1:$S$1501,$J534-1499))))))</f>
        <v/>
      </c>
      <c r="G534" s="6">
        <f>IF($J534="","",IF($J534&lt;=1500,N(INDEX('Daily Sale entry '!$AD$1:$AD$1501,$J534+1)),0))</f>
        <v/>
      </c>
      <c r="H534" s="6">
        <f>IF($J534="","",ROUND('Opening Balance'!$B$4+SUM($F$2:F534)-SUM($G$2:G534),2))</f>
        <v/>
      </c>
      <c r="J534" s="21">
        <f>IFERROR(MATCH(ROW()-1,$L$2:$L$3001,0),"")</f>
        <v/>
      </c>
      <c r="K534" s="34">
        <f>IF(AND('Daily Sale entry '!X534&lt;&gt;"",OR('Daily Sale entry '!AC534&lt;&gt;"",'Daily Sale entry '!AD534&lt;&gt;"")),'Daily Sale entry '!X534+ROW()/10000000,"")</f>
        <v/>
      </c>
      <c r="L534" s="21">
        <f>IF(K534="","",COUNTIF($K$2:$K$3001,"&lt;"&amp;K534)+1)</f>
        <v/>
      </c>
    </row>
    <row r="535">
      <c r="A535" s="5">
        <f>IF($J535="","",IF($J535&lt;=1500,INDEX('Daily Sale entry '!$X$1:$X$1501,$J535+1),INDEX('Daily Sale entry '!$V$1:$V$1501,$J535-1499)))</f>
        <v/>
      </c>
      <c r="B535">
        <f>IF($J535="","",IF($J535&lt;=1500,INDEX('Daily Sale entry '!$Y$1:$Y$1501,$J535+1)&amp;"","Buyer cheque banked 买家支票存入"&amp;IF(INDEX('Daily Sale entry '!$U$1:$U$1501,$J535-1499)="","", " - "&amp;INDEX('Daily Sale entry '!$U$1:$U$1501,$J535-1499))))</f>
        <v/>
      </c>
      <c r="C535">
        <f>IF($J535="","",IF($J535&lt;=1500,INDEX('Daily Sale entry '!$Z$1:$Z$1501,$J535+1)&amp;"","Cheque deposit 支票存入 (buyer 买家)"))</f>
        <v/>
      </c>
      <c r="D535">
        <f>IF($J535="","",IF($J535&lt;=1500,INDEX('Daily Sale entry '!$AA$1:$AA$1501,$J535+1)&amp;"",INDEX('Daily Sale entry '!$P$1:$P$1501,$J535-1499)&amp;""))</f>
        <v/>
      </c>
      <c r="E535">
        <f>IF($J535="","",IF($J535&lt;=1500,IF(N(INDEX('Daily Sale entry '!$AB$1:$AB$1501,$J535+1))=0,"",INDEX('Daily Sale entry '!$AB$1:$AB$1501,$J535+1)),1))</f>
        <v/>
      </c>
      <c r="F535" s="6">
        <f>IF($J535="","",IF($J535&lt;=1500,N(INDEX('Daily Sale entry '!$AC$1:$AC$1501,$J535+1))-IF(AND('Opening Balance'!$B$15=1,INDEX('Daily Sale entry '!$Z$1:$Z$1501,$J535+1)="Online collection 网上收款",INDEX('Daily Sale entry '!$AA$1:$AA$1501,$J535+1)&lt;&gt;""),N(INDEX('Daily Sale entry '!$AC$1:$AC$1501,$J535+1))-TRUNC(N(INDEX('Daily Sale entry '!$AC$1:$AC$1501,$J535+1))),0),N(INDEX('Daily Sale entry '!$S$1:$S$1501,$J535-1499))-'Opening Balance'!$B$15*(N(INDEX('Daily Sale entry '!$S$1:$S$1501,$J535-1499))-TRUNC(N(INDEX('Daily Sale entry '!$S$1:$S$1501,$J535-1499))))))</f>
        <v/>
      </c>
      <c r="G535" s="6">
        <f>IF($J535="","",IF($J535&lt;=1500,N(INDEX('Daily Sale entry '!$AD$1:$AD$1501,$J535+1)),0))</f>
        <v/>
      </c>
      <c r="H535" s="6">
        <f>IF($J535="","",ROUND('Opening Balance'!$B$4+SUM($F$2:F535)-SUM($G$2:G535),2))</f>
        <v/>
      </c>
      <c r="J535" s="21">
        <f>IFERROR(MATCH(ROW()-1,$L$2:$L$3001,0),"")</f>
        <v/>
      </c>
      <c r="K535" s="34">
        <f>IF(AND('Daily Sale entry '!X535&lt;&gt;"",OR('Daily Sale entry '!AC535&lt;&gt;"",'Daily Sale entry '!AD535&lt;&gt;"")),'Daily Sale entry '!X535+ROW()/10000000,"")</f>
        <v/>
      </c>
      <c r="L535" s="21">
        <f>IF(K535="","",COUNTIF($K$2:$K$3001,"&lt;"&amp;K535)+1)</f>
        <v/>
      </c>
    </row>
    <row r="536">
      <c r="A536" s="5">
        <f>IF($J536="","",IF($J536&lt;=1500,INDEX('Daily Sale entry '!$X$1:$X$1501,$J536+1),INDEX('Daily Sale entry '!$V$1:$V$1501,$J536-1499)))</f>
        <v/>
      </c>
      <c r="B536">
        <f>IF($J536="","",IF($J536&lt;=1500,INDEX('Daily Sale entry '!$Y$1:$Y$1501,$J536+1)&amp;"","Buyer cheque banked 买家支票存入"&amp;IF(INDEX('Daily Sale entry '!$U$1:$U$1501,$J536-1499)="","", " - "&amp;INDEX('Daily Sale entry '!$U$1:$U$1501,$J536-1499))))</f>
        <v/>
      </c>
      <c r="C536">
        <f>IF($J536="","",IF($J536&lt;=1500,INDEX('Daily Sale entry '!$Z$1:$Z$1501,$J536+1)&amp;"","Cheque deposit 支票存入 (buyer 买家)"))</f>
        <v/>
      </c>
      <c r="D536">
        <f>IF($J536="","",IF($J536&lt;=1500,INDEX('Daily Sale entry '!$AA$1:$AA$1501,$J536+1)&amp;"",INDEX('Daily Sale entry '!$P$1:$P$1501,$J536-1499)&amp;""))</f>
        <v/>
      </c>
      <c r="E536">
        <f>IF($J536="","",IF($J536&lt;=1500,IF(N(INDEX('Daily Sale entry '!$AB$1:$AB$1501,$J536+1))=0,"",INDEX('Daily Sale entry '!$AB$1:$AB$1501,$J536+1)),1))</f>
        <v/>
      </c>
      <c r="F536" s="6">
        <f>IF($J536="","",IF($J536&lt;=1500,N(INDEX('Daily Sale entry '!$AC$1:$AC$1501,$J536+1))-IF(AND('Opening Balance'!$B$15=1,INDEX('Daily Sale entry '!$Z$1:$Z$1501,$J536+1)="Online collection 网上收款",INDEX('Daily Sale entry '!$AA$1:$AA$1501,$J536+1)&lt;&gt;""),N(INDEX('Daily Sale entry '!$AC$1:$AC$1501,$J536+1))-TRUNC(N(INDEX('Daily Sale entry '!$AC$1:$AC$1501,$J536+1))),0),N(INDEX('Daily Sale entry '!$S$1:$S$1501,$J536-1499))-'Opening Balance'!$B$15*(N(INDEX('Daily Sale entry '!$S$1:$S$1501,$J536-1499))-TRUNC(N(INDEX('Daily Sale entry '!$S$1:$S$1501,$J536-1499))))))</f>
        <v/>
      </c>
      <c r="G536" s="6">
        <f>IF($J536="","",IF($J536&lt;=1500,N(INDEX('Daily Sale entry '!$AD$1:$AD$1501,$J536+1)),0))</f>
        <v/>
      </c>
      <c r="H536" s="6">
        <f>IF($J536="","",ROUND('Opening Balance'!$B$4+SUM($F$2:F536)-SUM($G$2:G536),2))</f>
        <v/>
      </c>
      <c r="J536" s="21">
        <f>IFERROR(MATCH(ROW()-1,$L$2:$L$3001,0),"")</f>
        <v/>
      </c>
      <c r="K536" s="34">
        <f>IF(AND('Daily Sale entry '!X536&lt;&gt;"",OR('Daily Sale entry '!AC536&lt;&gt;"",'Daily Sale entry '!AD536&lt;&gt;"")),'Daily Sale entry '!X536+ROW()/10000000,"")</f>
        <v/>
      </c>
      <c r="L536" s="21">
        <f>IF(K536="","",COUNTIF($K$2:$K$3001,"&lt;"&amp;K536)+1)</f>
        <v/>
      </c>
    </row>
    <row r="537">
      <c r="A537" s="5">
        <f>IF($J537="","",IF($J537&lt;=1500,INDEX('Daily Sale entry '!$X$1:$X$1501,$J537+1),INDEX('Daily Sale entry '!$V$1:$V$1501,$J537-1499)))</f>
        <v/>
      </c>
      <c r="B537">
        <f>IF($J537="","",IF($J537&lt;=1500,INDEX('Daily Sale entry '!$Y$1:$Y$1501,$J537+1)&amp;"","Buyer cheque banked 买家支票存入"&amp;IF(INDEX('Daily Sale entry '!$U$1:$U$1501,$J537-1499)="","", " - "&amp;INDEX('Daily Sale entry '!$U$1:$U$1501,$J537-1499))))</f>
        <v/>
      </c>
      <c r="C537">
        <f>IF($J537="","",IF($J537&lt;=1500,INDEX('Daily Sale entry '!$Z$1:$Z$1501,$J537+1)&amp;"","Cheque deposit 支票存入 (buyer 买家)"))</f>
        <v/>
      </c>
      <c r="D537">
        <f>IF($J537="","",IF($J537&lt;=1500,INDEX('Daily Sale entry '!$AA$1:$AA$1501,$J537+1)&amp;"",INDEX('Daily Sale entry '!$P$1:$P$1501,$J537-1499)&amp;""))</f>
        <v/>
      </c>
      <c r="E537">
        <f>IF($J537="","",IF($J537&lt;=1500,IF(N(INDEX('Daily Sale entry '!$AB$1:$AB$1501,$J537+1))=0,"",INDEX('Daily Sale entry '!$AB$1:$AB$1501,$J537+1)),1))</f>
        <v/>
      </c>
      <c r="F537" s="6">
        <f>IF($J537="","",IF($J537&lt;=1500,N(INDEX('Daily Sale entry '!$AC$1:$AC$1501,$J537+1))-IF(AND('Opening Balance'!$B$15=1,INDEX('Daily Sale entry '!$Z$1:$Z$1501,$J537+1)="Online collection 网上收款",INDEX('Daily Sale entry '!$AA$1:$AA$1501,$J537+1)&lt;&gt;""),N(INDEX('Daily Sale entry '!$AC$1:$AC$1501,$J537+1))-TRUNC(N(INDEX('Daily Sale entry '!$AC$1:$AC$1501,$J537+1))),0),N(INDEX('Daily Sale entry '!$S$1:$S$1501,$J537-1499))-'Opening Balance'!$B$15*(N(INDEX('Daily Sale entry '!$S$1:$S$1501,$J537-1499))-TRUNC(N(INDEX('Daily Sale entry '!$S$1:$S$1501,$J537-1499))))))</f>
        <v/>
      </c>
      <c r="G537" s="6">
        <f>IF($J537="","",IF($J537&lt;=1500,N(INDEX('Daily Sale entry '!$AD$1:$AD$1501,$J537+1)),0))</f>
        <v/>
      </c>
      <c r="H537" s="6">
        <f>IF($J537="","",ROUND('Opening Balance'!$B$4+SUM($F$2:F537)-SUM($G$2:G537),2))</f>
        <v/>
      </c>
      <c r="J537" s="21">
        <f>IFERROR(MATCH(ROW()-1,$L$2:$L$3001,0),"")</f>
        <v/>
      </c>
      <c r="K537" s="34">
        <f>IF(AND('Daily Sale entry '!X537&lt;&gt;"",OR('Daily Sale entry '!AC537&lt;&gt;"",'Daily Sale entry '!AD537&lt;&gt;"")),'Daily Sale entry '!X537+ROW()/10000000,"")</f>
        <v/>
      </c>
      <c r="L537" s="21">
        <f>IF(K537="","",COUNTIF($K$2:$K$3001,"&lt;"&amp;K537)+1)</f>
        <v/>
      </c>
    </row>
    <row r="538">
      <c r="A538" s="5">
        <f>IF($J538="","",IF($J538&lt;=1500,INDEX('Daily Sale entry '!$X$1:$X$1501,$J538+1),INDEX('Daily Sale entry '!$V$1:$V$1501,$J538-1499)))</f>
        <v/>
      </c>
      <c r="B538">
        <f>IF($J538="","",IF($J538&lt;=1500,INDEX('Daily Sale entry '!$Y$1:$Y$1501,$J538+1)&amp;"","Buyer cheque banked 买家支票存入"&amp;IF(INDEX('Daily Sale entry '!$U$1:$U$1501,$J538-1499)="","", " - "&amp;INDEX('Daily Sale entry '!$U$1:$U$1501,$J538-1499))))</f>
        <v/>
      </c>
      <c r="C538">
        <f>IF($J538="","",IF($J538&lt;=1500,INDEX('Daily Sale entry '!$Z$1:$Z$1501,$J538+1)&amp;"","Cheque deposit 支票存入 (buyer 买家)"))</f>
        <v/>
      </c>
      <c r="D538">
        <f>IF($J538="","",IF($J538&lt;=1500,INDEX('Daily Sale entry '!$AA$1:$AA$1501,$J538+1)&amp;"",INDEX('Daily Sale entry '!$P$1:$P$1501,$J538-1499)&amp;""))</f>
        <v/>
      </c>
      <c r="E538">
        <f>IF($J538="","",IF($J538&lt;=1500,IF(N(INDEX('Daily Sale entry '!$AB$1:$AB$1501,$J538+1))=0,"",INDEX('Daily Sale entry '!$AB$1:$AB$1501,$J538+1)),1))</f>
        <v/>
      </c>
      <c r="F538" s="6">
        <f>IF($J538="","",IF($J538&lt;=1500,N(INDEX('Daily Sale entry '!$AC$1:$AC$1501,$J538+1))-IF(AND('Opening Balance'!$B$15=1,INDEX('Daily Sale entry '!$Z$1:$Z$1501,$J538+1)="Online collection 网上收款",INDEX('Daily Sale entry '!$AA$1:$AA$1501,$J538+1)&lt;&gt;""),N(INDEX('Daily Sale entry '!$AC$1:$AC$1501,$J538+1))-TRUNC(N(INDEX('Daily Sale entry '!$AC$1:$AC$1501,$J538+1))),0),N(INDEX('Daily Sale entry '!$S$1:$S$1501,$J538-1499))-'Opening Balance'!$B$15*(N(INDEX('Daily Sale entry '!$S$1:$S$1501,$J538-1499))-TRUNC(N(INDEX('Daily Sale entry '!$S$1:$S$1501,$J538-1499))))))</f>
        <v/>
      </c>
      <c r="G538" s="6">
        <f>IF($J538="","",IF($J538&lt;=1500,N(INDEX('Daily Sale entry '!$AD$1:$AD$1501,$J538+1)),0))</f>
        <v/>
      </c>
      <c r="H538" s="6">
        <f>IF($J538="","",ROUND('Opening Balance'!$B$4+SUM($F$2:F538)-SUM($G$2:G538),2))</f>
        <v/>
      </c>
      <c r="J538" s="21">
        <f>IFERROR(MATCH(ROW()-1,$L$2:$L$3001,0),"")</f>
        <v/>
      </c>
      <c r="K538" s="34">
        <f>IF(AND('Daily Sale entry '!X538&lt;&gt;"",OR('Daily Sale entry '!AC538&lt;&gt;"",'Daily Sale entry '!AD538&lt;&gt;"")),'Daily Sale entry '!X538+ROW()/10000000,"")</f>
        <v/>
      </c>
      <c r="L538" s="21">
        <f>IF(K538="","",COUNTIF($K$2:$K$3001,"&lt;"&amp;K538)+1)</f>
        <v/>
      </c>
    </row>
    <row r="539">
      <c r="A539" s="5">
        <f>IF($J539="","",IF($J539&lt;=1500,INDEX('Daily Sale entry '!$X$1:$X$1501,$J539+1),INDEX('Daily Sale entry '!$V$1:$V$1501,$J539-1499)))</f>
        <v/>
      </c>
      <c r="B539">
        <f>IF($J539="","",IF($J539&lt;=1500,INDEX('Daily Sale entry '!$Y$1:$Y$1501,$J539+1)&amp;"","Buyer cheque banked 买家支票存入"&amp;IF(INDEX('Daily Sale entry '!$U$1:$U$1501,$J539-1499)="","", " - "&amp;INDEX('Daily Sale entry '!$U$1:$U$1501,$J539-1499))))</f>
        <v/>
      </c>
      <c r="C539">
        <f>IF($J539="","",IF($J539&lt;=1500,INDEX('Daily Sale entry '!$Z$1:$Z$1501,$J539+1)&amp;"","Cheque deposit 支票存入 (buyer 买家)"))</f>
        <v/>
      </c>
      <c r="D539">
        <f>IF($J539="","",IF($J539&lt;=1500,INDEX('Daily Sale entry '!$AA$1:$AA$1501,$J539+1)&amp;"",INDEX('Daily Sale entry '!$P$1:$P$1501,$J539-1499)&amp;""))</f>
        <v/>
      </c>
      <c r="E539">
        <f>IF($J539="","",IF($J539&lt;=1500,IF(N(INDEX('Daily Sale entry '!$AB$1:$AB$1501,$J539+1))=0,"",INDEX('Daily Sale entry '!$AB$1:$AB$1501,$J539+1)),1))</f>
        <v/>
      </c>
      <c r="F539" s="6">
        <f>IF($J539="","",IF($J539&lt;=1500,N(INDEX('Daily Sale entry '!$AC$1:$AC$1501,$J539+1))-IF(AND('Opening Balance'!$B$15=1,INDEX('Daily Sale entry '!$Z$1:$Z$1501,$J539+1)="Online collection 网上收款",INDEX('Daily Sale entry '!$AA$1:$AA$1501,$J539+1)&lt;&gt;""),N(INDEX('Daily Sale entry '!$AC$1:$AC$1501,$J539+1))-TRUNC(N(INDEX('Daily Sale entry '!$AC$1:$AC$1501,$J539+1))),0),N(INDEX('Daily Sale entry '!$S$1:$S$1501,$J539-1499))-'Opening Balance'!$B$15*(N(INDEX('Daily Sale entry '!$S$1:$S$1501,$J539-1499))-TRUNC(N(INDEX('Daily Sale entry '!$S$1:$S$1501,$J539-1499))))))</f>
        <v/>
      </c>
      <c r="G539" s="6">
        <f>IF($J539="","",IF($J539&lt;=1500,N(INDEX('Daily Sale entry '!$AD$1:$AD$1501,$J539+1)),0))</f>
        <v/>
      </c>
      <c r="H539" s="6">
        <f>IF($J539="","",ROUND('Opening Balance'!$B$4+SUM($F$2:F539)-SUM($G$2:G539),2))</f>
        <v/>
      </c>
      <c r="J539" s="21">
        <f>IFERROR(MATCH(ROW()-1,$L$2:$L$3001,0),"")</f>
        <v/>
      </c>
      <c r="K539" s="34">
        <f>IF(AND('Daily Sale entry '!X539&lt;&gt;"",OR('Daily Sale entry '!AC539&lt;&gt;"",'Daily Sale entry '!AD539&lt;&gt;"")),'Daily Sale entry '!X539+ROW()/10000000,"")</f>
        <v/>
      </c>
      <c r="L539" s="21">
        <f>IF(K539="","",COUNTIF($K$2:$K$3001,"&lt;"&amp;K539)+1)</f>
        <v/>
      </c>
    </row>
    <row r="540">
      <c r="A540" s="5">
        <f>IF($J540="","",IF($J540&lt;=1500,INDEX('Daily Sale entry '!$X$1:$X$1501,$J540+1),INDEX('Daily Sale entry '!$V$1:$V$1501,$J540-1499)))</f>
        <v/>
      </c>
      <c r="B540">
        <f>IF($J540="","",IF($J540&lt;=1500,INDEX('Daily Sale entry '!$Y$1:$Y$1501,$J540+1)&amp;"","Buyer cheque banked 买家支票存入"&amp;IF(INDEX('Daily Sale entry '!$U$1:$U$1501,$J540-1499)="","", " - "&amp;INDEX('Daily Sale entry '!$U$1:$U$1501,$J540-1499))))</f>
        <v/>
      </c>
      <c r="C540">
        <f>IF($J540="","",IF($J540&lt;=1500,INDEX('Daily Sale entry '!$Z$1:$Z$1501,$J540+1)&amp;"","Cheque deposit 支票存入 (buyer 买家)"))</f>
        <v/>
      </c>
      <c r="D540">
        <f>IF($J540="","",IF($J540&lt;=1500,INDEX('Daily Sale entry '!$AA$1:$AA$1501,$J540+1)&amp;"",INDEX('Daily Sale entry '!$P$1:$P$1501,$J540-1499)&amp;""))</f>
        <v/>
      </c>
      <c r="E540">
        <f>IF($J540="","",IF($J540&lt;=1500,IF(N(INDEX('Daily Sale entry '!$AB$1:$AB$1501,$J540+1))=0,"",INDEX('Daily Sale entry '!$AB$1:$AB$1501,$J540+1)),1))</f>
        <v/>
      </c>
      <c r="F540" s="6">
        <f>IF($J540="","",IF($J540&lt;=1500,N(INDEX('Daily Sale entry '!$AC$1:$AC$1501,$J540+1))-IF(AND('Opening Balance'!$B$15=1,INDEX('Daily Sale entry '!$Z$1:$Z$1501,$J540+1)="Online collection 网上收款",INDEX('Daily Sale entry '!$AA$1:$AA$1501,$J540+1)&lt;&gt;""),N(INDEX('Daily Sale entry '!$AC$1:$AC$1501,$J540+1))-TRUNC(N(INDEX('Daily Sale entry '!$AC$1:$AC$1501,$J540+1))),0),N(INDEX('Daily Sale entry '!$S$1:$S$1501,$J540-1499))-'Opening Balance'!$B$15*(N(INDEX('Daily Sale entry '!$S$1:$S$1501,$J540-1499))-TRUNC(N(INDEX('Daily Sale entry '!$S$1:$S$1501,$J540-1499))))))</f>
        <v/>
      </c>
      <c r="G540" s="6">
        <f>IF($J540="","",IF($J540&lt;=1500,N(INDEX('Daily Sale entry '!$AD$1:$AD$1501,$J540+1)),0))</f>
        <v/>
      </c>
      <c r="H540" s="6">
        <f>IF($J540="","",ROUND('Opening Balance'!$B$4+SUM($F$2:F540)-SUM($G$2:G540),2))</f>
        <v/>
      </c>
      <c r="J540" s="21">
        <f>IFERROR(MATCH(ROW()-1,$L$2:$L$3001,0),"")</f>
        <v/>
      </c>
      <c r="K540" s="34">
        <f>IF(AND('Daily Sale entry '!X540&lt;&gt;"",OR('Daily Sale entry '!AC540&lt;&gt;"",'Daily Sale entry '!AD540&lt;&gt;"")),'Daily Sale entry '!X540+ROW()/10000000,"")</f>
        <v/>
      </c>
      <c r="L540" s="21">
        <f>IF(K540="","",COUNTIF($K$2:$K$3001,"&lt;"&amp;K540)+1)</f>
        <v/>
      </c>
    </row>
    <row r="541">
      <c r="A541" s="5">
        <f>IF($J541="","",IF($J541&lt;=1500,INDEX('Daily Sale entry '!$X$1:$X$1501,$J541+1),INDEX('Daily Sale entry '!$V$1:$V$1501,$J541-1499)))</f>
        <v/>
      </c>
      <c r="B541">
        <f>IF($J541="","",IF($J541&lt;=1500,INDEX('Daily Sale entry '!$Y$1:$Y$1501,$J541+1)&amp;"","Buyer cheque banked 买家支票存入"&amp;IF(INDEX('Daily Sale entry '!$U$1:$U$1501,$J541-1499)="","", " - "&amp;INDEX('Daily Sale entry '!$U$1:$U$1501,$J541-1499))))</f>
        <v/>
      </c>
      <c r="C541">
        <f>IF($J541="","",IF($J541&lt;=1500,INDEX('Daily Sale entry '!$Z$1:$Z$1501,$J541+1)&amp;"","Cheque deposit 支票存入 (buyer 买家)"))</f>
        <v/>
      </c>
      <c r="D541">
        <f>IF($J541="","",IF($J541&lt;=1500,INDEX('Daily Sale entry '!$AA$1:$AA$1501,$J541+1)&amp;"",INDEX('Daily Sale entry '!$P$1:$P$1501,$J541-1499)&amp;""))</f>
        <v/>
      </c>
      <c r="E541">
        <f>IF($J541="","",IF($J541&lt;=1500,IF(N(INDEX('Daily Sale entry '!$AB$1:$AB$1501,$J541+1))=0,"",INDEX('Daily Sale entry '!$AB$1:$AB$1501,$J541+1)),1))</f>
        <v/>
      </c>
      <c r="F541" s="6">
        <f>IF($J541="","",IF($J541&lt;=1500,N(INDEX('Daily Sale entry '!$AC$1:$AC$1501,$J541+1))-IF(AND('Opening Balance'!$B$15=1,INDEX('Daily Sale entry '!$Z$1:$Z$1501,$J541+1)="Online collection 网上收款",INDEX('Daily Sale entry '!$AA$1:$AA$1501,$J541+1)&lt;&gt;""),N(INDEX('Daily Sale entry '!$AC$1:$AC$1501,$J541+1))-TRUNC(N(INDEX('Daily Sale entry '!$AC$1:$AC$1501,$J541+1))),0),N(INDEX('Daily Sale entry '!$S$1:$S$1501,$J541-1499))-'Opening Balance'!$B$15*(N(INDEX('Daily Sale entry '!$S$1:$S$1501,$J541-1499))-TRUNC(N(INDEX('Daily Sale entry '!$S$1:$S$1501,$J541-1499))))))</f>
        <v/>
      </c>
      <c r="G541" s="6">
        <f>IF($J541="","",IF($J541&lt;=1500,N(INDEX('Daily Sale entry '!$AD$1:$AD$1501,$J541+1)),0))</f>
        <v/>
      </c>
      <c r="H541" s="6">
        <f>IF($J541="","",ROUND('Opening Balance'!$B$4+SUM($F$2:F541)-SUM($G$2:G541),2))</f>
        <v/>
      </c>
      <c r="J541" s="21">
        <f>IFERROR(MATCH(ROW()-1,$L$2:$L$3001,0),"")</f>
        <v/>
      </c>
      <c r="K541" s="34">
        <f>IF(AND('Daily Sale entry '!X541&lt;&gt;"",OR('Daily Sale entry '!AC541&lt;&gt;"",'Daily Sale entry '!AD541&lt;&gt;"")),'Daily Sale entry '!X541+ROW()/10000000,"")</f>
        <v/>
      </c>
      <c r="L541" s="21">
        <f>IF(K541="","",COUNTIF($K$2:$K$3001,"&lt;"&amp;K541)+1)</f>
        <v/>
      </c>
    </row>
    <row r="542">
      <c r="A542" s="5">
        <f>IF($J542="","",IF($J542&lt;=1500,INDEX('Daily Sale entry '!$X$1:$X$1501,$J542+1),INDEX('Daily Sale entry '!$V$1:$V$1501,$J542-1499)))</f>
        <v/>
      </c>
      <c r="B542">
        <f>IF($J542="","",IF($J542&lt;=1500,INDEX('Daily Sale entry '!$Y$1:$Y$1501,$J542+1)&amp;"","Buyer cheque banked 买家支票存入"&amp;IF(INDEX('Daily Sale entry '!$U$1:$U$1501,$J542-1499)="","", " - "&amp;INDEX('Daily Sale entry '!$U$1:$U$1501,$J542-1499))))</f>
        <v/>
      </c>
      <c r="C542">
        <f>IF($J542="","",IF($J542&lt;=1500,INDEX('Daily Sale entry '!$Z$1:$Z$1501,$J542+1)&amp;"","Cheque deposit 支票存入 (buyer 买家)"))</f>
        <v/>
      </c>
      <c r="D542">
        <f>IF($J542="","",IF($J542&lt;=1500,INDEX('Daily Sale entry '!$AA$1:$AA$1501,$J542+1)&amp;"",INDEX('Daily Sale entry '!$P$1:$P$1501,$J542-1499)&amp;""))</f>
        <v/>
      </c>
      <c r="E542">
        <f>IF($J542="","",IF($J542&lt;=1500,IF(N(INDEX('Daily Sale entry '!$AB$1:$AB$1501,$J542+1))=0,"",INDEX('Daily Sale entry '!$AB$1:$AB$1501,$J542+1)),1))</f>
        <v/>
      </c>
      <c r="F542" s="6">
        <f>IF($J542="","",IF($J542&lt;=1500,N(INDEX('Daily Sale entry '!$AC$1:$AC$1501,$J542+1))-IF(AND('Opening Balance'!$B$15=1,INDEX('Daily Sale entry '!$Z$1:$Z$1501,$J542+1)="Online collection 网上收款",INDEX('Daily Sale entry '!$AA$1:$AA$1501,$J542+1)&lt;&gt;""),N(INDEX('Daily Sale entry '!$AC$1:$AC$1501,$J542+1))-TRUNC(N(INDEX('Daily Sale entry '!$AC$1:$AC$1501,$J542+1))),0),N(INDEX('Daily Sale entry '!$S$1:$S$1501,$J542-1499))-'Opening Balance'!$B$15*(N(INDEX('Daily Sale entry '!$S$1:$S$1501,$J542-1499))-TRUNC(N(INDEX('Daily Sale entry '!$S$1:$S$1501,$J542-1499))))))</f>
        <v/>
      </c>
      <c r="G542" s="6">
        <f>IF($J542="","",IF($J542&lt;=1500,N(INDEX('Daily Sale entry '!$AD$1:$AD$1501,$J542+1)),0))</f>
        <v/>
      </c>
      <c r="H542" s="6">
        <f>IF($J542="","",ROUND('Opening Balance'!$B$4+SUM($F$2:F542)-SUM($G$2:G542),2))</f>
        <v/>
      </c>
      <c r="J542" s="21">
        <f>IFERROR(MATCH(ROW()-1,$L$2:$L$3001,0),"")</f>
        <v/>
      </c>
      <c r="K542" s="34">
        <f>IF(AND('Daily Sale entry '!X542&lt;&gt;"",OR('Daily Sale entry '!AC542&lt;&gt;"",'Daily Sale entry '!AD542&lt;&gt;"")),'Daily Sale entry '!X542+ROW()/10000000,"")</f>
        <v/>
      </c>
      <c r="L542" s="21">
        <f>IF(K542="","",COUNTIF($K$2:$K$3001,"&lt;"&amp;K542)+1)</f>
        <v/>
      </c>
    </row>
    <row r="543">
      <c r="A543" s="5">
        <f>IF($J543="","",IF($J543&lt;=1500,INDEX('Daily Sale entry '!$X$1:$X$1501,$J543+1),INDEX('Daily Sale entry '!$V$1:$V$1501,$J543-1499)))</f>
        <v/>
      </c>
      <c r="B543">
        <f>IF($J543="","",IF($J543&lt;=1500,INDEX('Daily Sale entry '!$Y$1:$Y$1501,$J543+1)&amp;"","Buyer cheque banked 买家支票存入"&amp;IF(INDEX('Daily Sale entry '!$U$1:$U$1501,$J543-1499)="","", " - "&amp;INDEX('Daily Sale entry '!$U$1:$U$1501,$J543-1499))))</f>
        <v/>
      </c>
      <c r="C543">
        <f>IF($J543="","",IF($J543&lt;=1500,INDEX('Daily Sale entry '!$Z$1:$Z$1501,$J543+1)&amp;"","Cheque deposit 支票存入 (buyer 买家)"))</f>
        <v/>
      </c>
      <c r="D543">
        <f>IF($J543="","",IF($J543&lt;=1500,INDEX('Daily Sale entry '!$AA$1:$AA$1501,$J543+1)&amp;"",INDEX('Daily Sale entry '!$P$1:$P$1501,$J543-1499)&amp;""))</f>
        <v/>
      </c>
      <c r="E543">
        <f>IF($J543="","",IF($J543&lt;=1500,IF(N(INDEX('Daily Sale entry '!$AB$1:$AB$1501,$J543+1))=0,"",INDEX('Daily Sale entry '!$AB$1:$AB$1501,$J543+1)),1))</f>
        <v/>
      </c>
      <c r="F543" s="6">
        <f>IF($J543="","",IF($J543&lt;=1500,N(INDEX('Daily Sale entry '!$AC$1:$AC$1501,$J543+1))-IF(AND('Opening Balance'!$B$15=1,INDEX('Daily Sale entry '!$Z$1:$Z$1501,$J543+1)="Online collection 网上收款",INDEX('Daily Sale entry '!$AA$1:$AA$1501,$J543+1)&lt;&gt;""),N(INDEX('Daily Sale entry '!$AC$1:$AC$1501,$J543+1))-TRUNC(N(INDEX('Daily Sale entry '!$AC$1:$AC$1501,$J543+1))),0),N(INDEX('Daily Sale entry '!$S$1:$S$1501,$J543-1499))-'Opening Balance'!$B$15*(N(INDEX('Daily Sale entry '!$S$1:$S$1501,$J543-1499))-TRUNC(N(INDEX('Daily Sale entry '!$S$1:$S$1501,$J543-1499))))))</f>
        <v/>
      </c>
      <c r="G543" s="6">
        <f>IF($J543="","",IF($J543&lt;=1500,N(INDEX('Daily Sale entry '!$AD$1:$AD$1501,$J543+1)),0))</f>
        <v/>
      </c>
      <c r="H543" s="6">
        <f>IF($J543="","",ROUND('Opening Balance'!$B$4+SUM($F$2:F543)-SUM($G$2:G543),2))</f>
        <v/>
      </c>
      <c r="J543" s="21">
        <f>IFERROR(MATCH(ROW()-1,$L$2:$L$3001,0),"")</f>
        <v/>
      </c>
      <c r="K543" s="34">
        <f>IF(AND('Daily Sale entry '!X543&lt;&gt;"",OR('Daily Sale entry '!AC543&lt;&gt;"",'Daily Sale entry '!AD543&lt;&gt;"")),'Daily Sale entry '!X543+ROW()/10000000,"")</f>
        <v/>
      </c>
      <c r="L543" s="21">
        <f>IF(K543="","",COUNTIF($K$2:$K$3001,"&lt;"&amp;K543)+1)</f>
        <v/>
      </c>
    </row>
    <row r="544">
      <c r="A544" s="5">
        <f>IF($J544="","",IF($J544&lt;=1500,INDEX('Daily Sale entry '!$X$1:$X$1501,$J544+1),INDEX('Daily Sale entry '!$V$1:$V$1501,$J544-1499)))</f>
        <v/>
      </c>
      <c r="B544">
        <f>IF($J544="","",IF($J544&lt;=1500,INDEX('Daily Sale entry '!$Y$1:$Y$1501,$J544+1)&amp;"","Buyer cheque banked 买家支票存入"&amp;IF(INDEX('Daily Sale entry '!$U$1:$U$1501,$J544-1499)="","", " - "&amp;INDEX('Daily Sale entry '!$U$1:$U$1501,$J544-1499))))</f>
        <v/>
      </c>
      <c r="C544">
        <f>IF($J544="","",IF($J544&lt;=1500,INDEX('Daily Sale entry '!$Z$1:$Z$1501,$J544+1)&amp;"","Cheque deposit 支票存入 (buyer 买家)"))</f>
        <v/>
      </c>
      <c r="D544">
        <f>IF($J544="","",IF($J544&lt;=1500,INDEX('Daily Sale entry '!$AA$1:$AA$1501,$J544+1)&amp;"",INDEX('Daily Sale entry '!$P$1:$P$1501,$J544-1499)&amp;""))</f>
        <v/>
      </c>
      <c r="E544">
        <f>IF($J544="","",IF($J544&lt;=1500,IF(N(INDEX('Daily Sale entry '!$AB$1:$AB$1501,$J544+1))=0,"",INDEX('Daily Sale entry '!$AB$1:$AB$1501,$J544+1)),1))</f>
        <v/>
      </c>
      <c r="F544" s="6">
        <f>IF($J544="","",IF($J544&lt;=1500,N(INDEX('Daily Sale entry '!$AC$1:$AC$1501,$J544+1))-IF(AND('Opening Balance'!$B$15=1,INDEX('Daily Sale entry '!$Z$1:$Z$1501,$J544+1)="Online collection 网上收款",INDEX('Daily Sale entry '!$AA$1:$AA$1501,$J544+1)&lt;&gt;""),N(INDEX('Daily Sale entry '!$AC$1:$AC$1501,$J544+1))-TRUNC(N(INDEX('Daily Sale entry '!$AC$1:$AC$1501,$J544+1))),0),N(INDEX('Daily Sale entry '!$S$1:$S$1501,$J544-1499))-'Opening Balance'!$B$15*(N(INDEX('Daily Sale entry '!$S$1:$S$1501,$J544-1499))-TRUNC(N(INDEX('Daily Sale entry '!$S$1:$S$1501,$J544-1499))))))</f>
        <v/>
      </c>
      <c r="G544" s="6">
        <f>IF($J544="","",IF($J544&lt;=1500,N(INDEX('Daily Sale entry '!$AD$1:$AD$1501,$J544+1)),0))</f>
        <v/>
      </c>
      <c r="H544" s="6">
        <f>IF($J544="","",ROUND('Opening Balance'!$B$4+SUM($F$2:F544)-SUM($G$2:G544),2))</f>
        <v/>
      </c>
      <c r="J544" s="21">
        <f>IFERROR(MATCH(ROW()-1,$L$2:$L$3001,0),"")</f>
        <v/>
      </c>
      <c r="K544" s="34">
        <f>IF(AND('Daily Sale entry '!X544&lt;&gt;"",OR('Daily Sale entry '!AC544&lt;&gt;"",'Daily Sale entry '!AD544&lt;&gt;"")),'Daily Sale entry '!X544+ROW()/10000000,"")</f>
        <v/>
      </c>
      <c r="L544" s="21">
        <f>IF(K544="","",COUNTIF($K$2:$K$3001,"&lt;"&amp;K544)+1)</f>
        <v/>
      </c>
    </row>
    <row r="545">
      <c r="A545" s="5">
        <f>IF($J545="","",IF($J545&lt;=1500,INDEX('Daily Sale entry '!$X$1:$X$1501,$J545+1),INDEX('Daily Sale entry '!$V$1:$V$1501,$J545-1499)))</f>
        <v/>
      </c>
      <c r="B545">
        <f>IF($J545="","",IF($J545&lt;=1500,INDEX('Daily Sale entry '!$Y$1:$Y$1501,$J545+1)&amp;"","Buyer cheque banked 买家支票存入"&amp;IF(INDEX('Daily Sale entry '!$U$1:$U$1501,$J545-1499)="","", " - "&amp;INDEX('Daily Sale entry '!$U$1:$U$1501,$J545-1499))))</f>
        <v/>
      </c>
      <c r="C545">
        <f>IF($J545="","",IF($J545&lt;=1500,INDEX('Daily Sale entry '!$Z$1:$Z$1501,$J545+1)&amp;"","Cheque deposit 支票存入 (buyer 买家)"))</f>
        <v/>
      </c>
      <c r="D545">
        <f>IF($J545="","",IF($J545&lt;=1500,INDEX('Daily Sale entry '!$AA$1:$AA$1501,$J545+1)&amp;"",INDEX('Daily Sale entry '!$P$1:$P$1501,$J545-1499)&amp;""))</f>
        <v/>
      </c>
      <c r="E545">
        <f>IF($J545="","",IF($J545&lt;=1500,IF(N(INDEX('Daily Sale entry '!$AB$1:$AB$1501,$J545+1))=0,"",INDEX('Daily Sale entry '!$AB$1:$AB$1501,$J545+1)),1))</f>
        <v/>
      </c>
      <c r="F545" s="6">
        <f>IF($J545="","",IF($J545&lt;=1500,N(INDEX('Daily Sale entry '!$AC$1:$AC$1501,$J545+1))-IF(AND('Opening Balance'!$B$15=1,INDEX('Daily Sale entry '!$Z$1:$Z$1501,$J545+1)="Online collection 网上收款",INDEX('Daily Sale entry '!$AA$1:$AA$1501,$J545+1)&lt;&gt;""),N(INDEX('Daily Sale entry '!$AC$1:$AC$1501,$J545+1))-TRUNC(N(INDEX('Daily Sale entry '!$AC$1:$AC$1501,$J545+1))),0),N(INDEX('Daily Sale entry '!$S$1:$S$1501,$J545-1499))-'Opening Balance'!$B$15*(N(INDEX('Daily Sale entry '!$S$1:$S$1501,$J545-1499))-TRUNC(N(INDEX('Daily Sale entry '!$S$1:$S$1501,$J545-1499))))))</f>
        <v/>
      </c>
      <c r="G545" s="6">
        <f>IF($J545="","",IF($J545&lt;=1500,N(INDEX('Daily Sale entry '!$AD$1:$AD$1501,$J545+1)),0))</f>
        <v/>
      </c>
      <c r="H545" s="6">
        <f>IF($J545="","",ROUND('Opening Balance'!$B$4+SUM($F$2:F545)-SUM($G$2:G545),2))</f>
        <v/>
      </c>
      <c r="J545" s="21">
        <f>IFERROR(MATCH(ROW()-1,$L$2:$L$3001,0),"")</f>
        <v/>
      </c>
      <c r="K545" s="34">
        <f>IF(AND('Daily Sale entry '!X545&lt;&gt;"",OR('Daily Sale entry '!AC545&lt;&gt;"",'Daily Sale entry '!AD545&lt;&gt;"")),'Daily Sale entry '!X545+ROW()/10000000,"")</f>
        <v/>
      </c>
      <c r="L545" s="21">
        <f>IF(K545="","",COUNTIF($K$2:$K$3001,"&lt;"&amp;K545)+1)</f>
        <v/>
      </c>
    </row>
    <row r="546">
      <c r="A546" s="5">
        <f>IF($J546="","",IF($J546&lt;=1500,INDEX('Daily Sale entry '!$X$1:$X$1501,$J546+1),INDEX('Daily Sale entry '!$V$1:$V$1501,$J546-1499)))</f>
        <v/>
      </c>
      <c r="B546">
        <f>IF($J546="","",IF($J546&lt;=1500,INDEX('Daily Sale entry '!$Y$1:$Y$1501,$J546+1)&amp;"","Buyer cheque banked 买家支票存入"&amp;IF(INDEX('Daily Sale entry '!$U$1:$U$1501,$J546-1499)="","", " - "&amp;INDEX('Daily Sale entry '!$U$1:$U$1501,$J546-1499))))</f>
        <v/>
      </c>
      <c r="C546">
        <f>IF($J546="","",IF($J546&lt;=1500,INDEX('Daily Sale entry '!$Z$1:$Z$1501,$J546+1)&amp;"","Cheque deposit 支票存入 (buyer 买家)"))</f>
        <v/>
      </c>
      <c r="D546">
        <f>IF($J546="","",IF($J546&lt;=1500,INDEX('Daily Sale entry '!$AA$1:$AA$1501,$J546+1)&amp;"",INDEX('Daily Sale entry '!$P$1:$P$1501,$J546-1499)&amp;""))</f>
        <v/>
      </c>
      <c r="E546">
        <f>IF($J546="","",IF($J546&lt;=1500,IF(N(INDEX('Daily Sale entry '!$AB$1:$AB$1501,$J546+1))=0,"",INDEX('Daily Sale entry '!$AB$1:$AB$1501,$J546+1)),1))</f>
        <v/>
      </c>
      <c r="F546" s="6">
        <f>IF($J546="","",IF($J546&lt;=1500,N(INDEX('Daily Sale entry '!$AC$1:$AC$1501,$J546+1))-IF(AND('Opening Balance'!$B$15=1,INDEX('Daily Sale entry '!$Z$1:$Z$1501,$J546+1)="Online collection 网上收款",INDEX('Daily Sale entry '!$AA$1:$AA$1501,$J546+1)&lt;&gt;""),N(INDEX('Daily Sale entry '!$AC$1:$AC$1501,$J546+1))-TRUNC(N(INDEX('Daily Sale entry '!$AC$1:$AC$1501,$J546+1))),0),N(INDEX('Daily Sale entry '!$S$1:$S$1501,$J546-1499))-'Opening Balance'!$B$15*(N(INDEX('Daily Sale entry '!$S$1:$S$1501,$J546-1499))-TRUNC(N(INDEX('Daily Sale entry '!$S$1:$S$1501,$J546-1499))))))</f>
        <v/>
      </c>
      <c r="G546" s="6">
        <f>IF($J546="","",IF($J546&lt;=1500,N(INDEX('Daily Sale entry '!$AD$1:$AD$1501,$J546+1)),0))</f>
        <v/>
      </c>
      <c r="H546" s="6">
        <f>IF($J546="","",ROUND('Opening Balance'!$B$4+SUM($F$2:F546)-SUM($G$2:G546),2))</f>
        <v/>
      </c>
      <c r="J546" s="21">
        <f>IFERROR(MATCH(ROW()-1,$L$2:$L$3001,0),"")</f>
        <v/>
      </c>
      <c r="K546" s="34">
        <f>IF(AND('Daily Sale entry '!X546&lt;&gt;"",OR('Daily Sale entry '!AC546&lt;&gt;"",'Daily Sale entry '!AD546&lt;&gt;"")),'Daily Sale entry '!X546+ROW()/10000000,"")</f>
        <v/>
      </c>
      <c r="L546" s="21">
        <f>IF(K546="","",COUNTIF($K$2:$K$3001,"&lt;"&amp;K546)+1)</f>
        <v/>
      </c>
    </row>
    <row r="547">
      <c r="A547" s="5">
        <f>IF($J547="","",IF($J547&lt;=1500,INDEX('Daily Sale entry '!$X$1:$X$1501,$J547+1),INDEX('Daily Sale entry '!$V$1:$V$1501,$J547-1499)))</f>
        <v/>
      </c>
      <c r="B547">
        <f>IF($J547="","",IF($J547&lt;=1500,INDEX('Daily Sale entry '!$Y$1:$Y$1501,$J547+1)&amp;"","Buyer cheque banked 买家支票存入"&amp;IF(INDEX('Daily Sale entry '!$U$1:$U$1501,$J547-1499)="","", " - "&amp;INDEX('Daily Sale entry '!$U$1:$U$1501,$J547-1499))))</f>
        <v/>
      </c>
      <c r="C547">
        <f>IF($J547="","",IF($J547&lt;=1500,INDEX('Daily Sale entry '!$Z$1:$Z$1501,$J547+1)&amp;"","Cheque deposit 支票存入 (buyer 买家)"))</f>
        <v/>
      </c>
      <c r="D547">
        <f>IF($J547="","",IF($J547&lt;=1500,INDEX('Daily Sale entry '!$AA$1:$AA$1501,$J547+1)&amp;"",INDEX('Daily Sale entry '!$P$1:$P$1501,$J547-1499)&amp;""))</f>
        <v/>
      </c>
      <c r="E547">
        <f>IF($J547="","",IF($J547&lt;=1500,IF(N(INDEX('Daily Sale entry '!$AB$1:$AB$1501,$J547+1))=0,"",INDEX('Daily Sale entry '!$AB$1:$AB$1501,$J547+1)),1))</f>
        <v/>
      </c>
      <c r="F547" s="6">
        <f>IF($J547="","",IF($J547&lt;=1500,N(INDEX('Daily Sale entry '!$AC$1:$AC$1501,$J547+1))-IF(AND('Opening Balance'!$B$15=1,INDEX('Daily Sale entry '!$Z$1:$Z$1501,$J547+1)="Online collection 网上收款",INDEX('Daily Sale entry '!$AA$1:$AA$1501,$J547+1)&lt;&gt;""),N(INDEX('Daily Sale entry '!$AC$1:$AC$1501,$J547+1))-TRUNC(N(INDEX('Daily Sale entry '!$AC$1:$AC$1501,$J547+1))),0),N(INDEX('Daily Sale entry '!$S$1:$S$1501,$J547-1499))-'Opening Balance'!$B$15*(N(INDEX('Daily Sale entry '!$S$1:$S$1501,$J547-1499))-TRUNC(N(INDEX('Daily Sale entry '!$S$1:$S$1501,$J547-1499))))))</f>
        <v/>
      </c>
      <c r="G547" s="6">
        <f>IF($J547="","",IF($J547&lt;=1500,N(INDEX('Daily Sale entry '!$AD$1:$AD$1501,$J547+1)),0))</f>
        <v/>
      </c>
      <c r="H547" s="6">
        <f>IF($J547="","",ROUND('Opening Balance'!$B$4+SUM($F$2:F547)-SUM($G$2:G547),2))</f>
        <v/>
      </c>
      <c r="J547" s="21">
        <f>IFERROR(MATCH(ROW()-1,$L$2:$L$3001,0),"")</f>
        <v/>
      </c>
      <c r="K547" s="34">
        <f>IF(AND('Daily Sale entry '!X547&lt;&gt;"",OR('Daily Sale entry '!AC547&lt;&gt;"",'Daily Sale entry '!AD547&lt;&gt;"")),'Daily Sale entry '!X547+ROW()/10000000,"")</f>
        <v/>
      </c>
      <c r="L547" s="21">
        <f>IF(K547="","",COUNTIF($K$2:$K$3001,"&lt;"&amp;K547)+1)</f>
        <v/>
      </c>
    </row>
    <row r="548">
      <c r="A548" s="5">
        <f>IF($J548="","",IF($J548&lt;=1500,INDEX('Daily Sale entry '!$X$1:$X$1501,$J548+1),INDEX('Daily Sale entry '!$V$1:$V$1501,$J548-1499)))</f>
        <v/>
      </c>
      <c r="B548">
        <f>IF($J548="","",IF($J548&lt;=1500,INDEX('Daily Sale entry '!$Y$1:$Y$1501,$J548+1)&amp;"","Buyer cheque banked 买家支票存入"&amp;IF(INDEX('Daily Sale entry '!$U$1:$U$1501,$J548-1499)="","", " - "&amp;INDEX('Daily Sale entry '!$U$1:$U$1501,$J548-1499))))</f>
        <v/>
      </c>
      <c r="C548">
        <f>IF($J548="","",IF($J548&lt;=1500,INDEX('Daily Sale entry '!$Z$1:$Z$1501,$J548+1)&amp;"","Cheque deposit 支票存入 (buyer 买家)"))</f>
        <v/>
      </c>
      <c r="D548">
        <f>IF($J548="","",IF($J548&lt;=1500,INDEX('Daily Sale entry '!$AA$1:$AA$1501,$J548+1)&amp;"",INDEX('Daily Sale entry '!$P$1:$P$1501,$J548-1499)&amp;""))</f>
        <v/>
      </c>
      <c r="E548">
        <f>IF($J548="","",IF($J548&lt;=1500,IF(N(INDEX('Daily Sale entry '!$AB$1:$AB$1501,$J548+1))=0,"",INDEX('Daily Sale entry '!$AB$1:$AB$1501,$J548+1)),1))</f>
        <v/>
      </c>
      <c r="F548" s="6">
        <f>IF($J548="","",IF($J548&lt;=1500,N(INDEX('Daily Sale entry '!$AC$1:$AC$1501,$J548+1))-IF(AND('Opening Balance'!$B$15=1,INDEX('Daily Sale entry '!$Z$1:$Z$1501,$J548+1)="Online collection 网上收款",INDEX('Daily Sale entry '!$AA$1:$AA$1501,$J548+1)&lt;&gt;""),N(INDEX('Daily Sale entry '!$AC$1:$AC$1501,$J548+1))-TRUNC(N(INDEX('Daily Sale entry '!$AC$1:$AC$1501,$J548+1))),0),N(INDEX('Daily Sale entry '!$S$1:$S$1501,$J548-1499))-'Opening Balance'!$B$15*(N(INDEX('Daily Sale entry '!$S$1:$S$1501,$J548-1499))-TRUNC(N(INDEX('Daily Sale entry '!$S$1:$S$1501,$J548-1499))))))</f>
        <v/>
      </c>
      <c r="G548" s="6">
        <f>IF($J548="","",IF($J548&lt;=1500,N(INDEX('Daily Sale entry '!$AD$1:$AD$1501,$J548+1)),0))</f>
        <v/>
      </c>
      <c r="H548" s="6">
        <f>IF($J548="","",ROUND('Opening Balance'!$B$4+SUM($F$2:F548)-SUM($G$2:G548),2))</f>
        <v/>
      </c>
      <c r="J548" s="21">
        <f>IFERROR(MATCH(ROW()-1,$L$2:$L$3001,0),"")</f>
        <v/>
      </c>
      <c r="K548" s="34">
        <f>IF(AND('Daily Sale entry '!X548&lt;&gt;"",OR('Daily Sale entry '!AC548&lt;&gt;"",'Daily Sale entry '!AD548&lt;&gt;"")),'Daily Sale entry '!X548+ROW()/10000000,"")</f>
        <v/>
      </c>
      <c r="L548" s="21">
        <f>IF(K548="","",COUNTIF($K$2:$K$3001,"&lt;"&amp;K548)+1)</f>
        <v/>
      </c>
    </row>
    <row r="549">
      <c r="A549" s="5">
        <f>IF($J549="","",IF($J549&lt;=1500,INDEX('Daily Sale entry '!$X$1:$X$1501,$J549+1),INDEX('Daily Sale entry '!$V$1:$V$1501,$J549-1499)))</f>
        <v/>
      </c>
      <c r="B549">
        <f>IF($J549="","",IF($J549&lt;=1500,INDEX('Daily Sale entry '!$Y$1:$Y$1501,$J549+1)&amp;"","Buyer cheque banked 买家支票存入"&amp;IF(INDEX('Daily Sale entry '!$U$1:$U$1501,$J549-1499)="","", " - "&amp;INDEX('Daily Sale entry '!$U$1:$U$1501,$J549-1499))))</f>
        <v/>
      </c>
      <c r="C549">
        <f>IF($J549="","",IF($J549&lt;=1500,INDEX('Daily Sale entry '!$Z$1:$Z$1501,$J549+1)&amp;"","Cheque deposit 支票存入 (buyer 买家)"))</f>
        <v/>
      </c>
      <c r="D549">
        <f>IF($J549="","",IF($J549&lt;=1500,INDEX('Daily Sale entry '!$AA$1:$AA$1501,$J549+1)&amp;"",INDEX('Daily Sale entry '!$P$1:$P$1501,$J549-1499)&amp;""))</f>
        <v/>
      </c>
      <c r="E549">
        <f>IF($J549="","",IF($J549&lt;=1500,IF(N(INDEX('Daily Sale entry '!$AB$1:$AB$1501,$J549+1))=0,"",INDEX('Daily Sale entry '!$AB$1:$AB$1501,$J549+1)),1))</f>
        <v/>
      </c>
      <c r="F549" s="6">
        <f>IF($J549="","",IF($J549&lt;=1500,N(INDEX('Daily Sale entry '!$AC$1:$AC$1501,$J549+1))-IF(AND('Opening Balance'!$B$15=1,INDEX('Daily Sale entry '!$Z$1:$Z$1501,$J549+1)="Online collection 网上收款",INDEX('Daily Sale entry '!$AA$1:$AA$1501,$J549+1)&lt;&gt;""),N(INDEX('Daily Sale entry '!$AC$1:$AC$1501,$J549+1))-TRUNC(N(INDEX('Daily Sale entry '!$AC$1:$AC$1501,$J549+1))),0),N(INDEX('Daily Sale entry '!$S$1:$S$1501,$J549-1499))-'Opening Balance'!$B$15*(N(INDEX('Daily Sale entry '!$S$1:$S$1501,$J549-1499))-TRUNC(N(INDEX('Daily Sale entry '!$S$1:$S$1501,$J549-1499))))))</f>
        <v/>
      </c>
      <c r="G549" s="6">
        <f>IF($J549="","",IF($J549&lt;=1500,N(INDEX('Daily Sale entry '!$AD$1:$AD$1501,$J549+1)),0))</f>
        <v/>
      </c>
      <c r="H549" s="6">
        <f>IF($J549="","",ROUND('Opening Balance'!$B$4+SUM($F$2:F549)-SUM($G$2:G549),2))</f>
        <v/>
      </c>
      <c r="J549" s="21">
        <f>IFERROR(MATCH(ROW()-1,$L$2:$L$3001,0),"")</f>
        <v/>
      </c>
      <c r="K549" s="34">
        <f>IF(AND('Daily Sale entry '!X549&lt;&gt;"",OR('Daily Sale entry '!AC549&lt;&gt;"",'Daily Sale entry '!AD549&lt;&gt;"")),'Daily Sale entry '!X549+ROW()/10000000,"")</f>
        <v/>
      </c>
      <c r="L549" s="21">
        <f>IF(K549="","",COUNTIF($K$2:$K$3001,"&lt;"&amp;K549)+1)</f>
        <v/>
      </c>
    </row>
    <row r="550">
      <c r="A550" s="5">
        <f>IF($J550="","",IF($J550&lt;=1500,INDEX('Daily Sale entry '!$X$1:$X$1501,$J550+1),INDEX('Daily Sale entry '!$V$1:$V$1501,$J550-1499)))</f>
        <v/>
      </c>
      <c r="B550">
        <f>IF($J550="","",IF($J550&lt;=1500,INDEX('Daily Sale entry '!$Y$1:$Y$1501,$J550+1)&amp;"","Buyer cheque banked 买家支票存入"&amp;IF(INDEX('Daily Sale entry '!$U$1:$U$1501,$J550-1499)="","", " - "&amp;INDEX('Daily Sale entry '!$U$1:$U$1501,$J550-1499))))</f>
        <v/>
      </c>
      <c r="C550">
        <f>IF($J550="","",IF($J550&lt;=1500,INDEX('Daily Sale entry '!$Z$1:$Z$1501,$J550+1)&amp;"","Cheque deposit 支票存入 (buyer 买家)"))</f>
        <v/>
      </c>
      <c r="D550">
        <f>IF($J550="","",IF($J550&lt;=1500,INDEX('Daily Sale entry '!$AA$1:$AA$1501,$J550+1)&amp;"",INDEX('Daily Sale entry '!$P$1:$P$1501,$J550-1499)&amp;""))</f>
        <v/>
      </c>
      <c r="E550">
        <f>IF($J550="","",IF($J550&lt;=1500,IF(N(INDEX('Daily Sale entry '!$AB$1:$AB$1501,$J550+1))=0,"",INDEX('Daily Sale entry '!$AB$1:$AB$1501,$J550+1)),1))</f>
        <v/>
      </c>
      <c r="F550" s="6">
        <f>IF($J550="","",IF($J550&lt;=1500,N(INDEX('Daily Sale entry '!$AC$1:$AC$1501,$J550+1))-IF(AND('Opening Balance'!$B$15=1,INDEX('Daily Sale entry '!$Z$1:$Z$1501,$J550+1)="Online collection 网上收款",INDEX('Daily Sale entry '!$AA$1:$AA$1501,$J550+1)&lt;&gt;""),N(INDEX('Daily Sale entry '!$AC$1:$AC$1501,$J550+1))-TRUNC(N(INDEX('Daily Sale entry '!$AC$1:$AC$1501,$J550+1))),0),N(INDEX('Daily Sale entry '!$S$1:$S$1501,$J550-1499))-'Opening Balance'!$B$15*(N(INDEX('Daily Sale entry '!$S$1:$S$1501,$J550-1499))-TRUNC(N(INDEX('Daily Sale entry '!$S$1:$S$1501,$J550-1499))))))</f>
        <v/>
      </c>
      <c r="G550" s="6">
        <f>IF($J550="","",IF($J550&lt;=1500,N(INDEX('Daily Sale entry '!$AD$1:$AD$1501,$J550+1)),0))</f>
        <v/>
      </c>
      <c r="H550" s="6">
        <f>IF($J550="","",ROUND('Opening Balance'!$B$4+SUM($F$2:F550)-SUM($G$2:G550),2))</f>
        <v/>
      </c>
      <c r="J550" s="21">
        <f>IFERROR(MATCH(ROW()-1,$L$2:$L$3001,0),"")</f>
        <v/>
      </c>
      <c r="K550" s="34">
        <f>IF(AND('Daily Sale entry '!X550&lt;&gt;"",OR('Daily Sale entry '!AC550&lt;&gt;"",'Daily Sale entry '!AD550&lt;&gt;"")),'Daily Sale entry '!X550+ROW()/10000000,"")</f>
        <v/>
      </c>
      <c r="L550" s="21">
        <f>IF(K550="","",COUNTIF($K$2:$K$3001,"&lt;"&amp;K550)+1)</f>
        <v/>
      </c>
    </row>
    <row r="551">
      <c r="A551" s="5">
        <f>IF($J551="","",IF($J551&lt;=1500,INDEX('Daily Sale entry '!$X$1:$X$1501,$J551+1),INDEX('Daily Sale entry '!$V$1:$V$1501,$J551-1499)))</f>
        <v/>
      </c>
      <c r="B551">
        <f>IF($J551="","",IF($J551&lt;=1500,INDEX('Daily Sale entry '!$Y$1:$Y$1501,$J551+1)&amp;"","Buyer cheque banked 买家支票存入"&amp;IF(INDEX('Daily Sale entry '!$U$1:$U$1501,$J551-1499)="","", " - "&amp;INDEX('Daily Sale entry '!$U$1:$U$1501,$J551-1499))))</f>
        <v/>
      </c>
      <c r="C551">
        <f>IF($J551="","",IF($J551&lt;=1500,INDEX('Daily Sale entry '!$Z$1:$Z$1501,$J551+1)&amp;"","Cheque deposit 支票存入 (buyer 买家)"))</f>
        <v/>
      </c>
      <c r="D551">
        <f>IF($J551="","",IF($J551&lt;=1500,INDEX('Daily Sale entry '!$AA$1:$AA$1501,$J551+1)&amp;"",INDEX('Daily Sale entry '!$P$1:$P$1501,$J551-1499)&amp;""))</f>
        <v/>
      </c>
      <c r="E551">
        <f>IF($J551="","",IF($J551&lt;=1500,IF(N(INDEX('Daily Sale entry '!$AB$1:$AB$1501,$J551+1))=0,"",INDEX('Daily Sale entry '!$AB$1:$AB$1501,$J551+1)),1))</f>
        <v/>
      </c>
      <c r="F551" s="6">
        <f>IF($J551="","",IF($J551&lt;=1500,N(INDEX('Daily Sale entry '!$AC$1:$AC$1501,$J551+1))-IF(AND('Opening Balance'!$B$15=1,INDEX('Daily Sale entry '!$Z$1:$Z$1501,$J551+1)="Online collection 网上收款",INDEX('Daily Sale entry '!$AA$1:$AA$1501,$J551+1)&lt;&gt;""),N(INDEX('Daily Sale entry '!$AC$1:$AC$1501,$J551+1))-TRUNC(N(INDEX('Daily Sale entry '!$AC$1:$AC$1501,$J551+1))),0),N(INDEX('Daily Sale entry '!$S$1:$S$1501,$J551-1499))-'Opening Balance'!$B$15*(N(INDEX('Daily Sale entry '!$S$1:$S$1501,$J551-1499))-TRUNC(N(INDEX('Daily Sale entry '!$S$1:$S$1501,$J551-1499))))))</f>
        <v/>
      </c>
      <c r="G551" s="6">
        <f>IF($J551="","",IF($J551&lt;=1500,N(INDEX('Daily Sale entry '!$AD$1:$AD$1501,$J551+1)),0))</f>
        <v/>
      </c>
      <c r="H551" s="6">
        <f>IF($J551="","",ROUND('Opening Balance'!$B$4+SUM($F$2:F551)-SUM($G$2:G551),2))</f>
        <v/>
      </c>
      <c r="J551" s="21">
        <f>IFERROR(MATCH(ROW()-1,$L$2:$L$3001,0),"")</f>
        <v/>
      </c>
      <c r="K551" s="34">
        <f>IF(AND('Daily Sale entry '!X551&lt;&gt;"",OR('Daily Sale entry '!AC551&lt;&gt;"",'Daily Sale entry '!AD551&lt;&gt;"")),'Daily Sale entry '!X551+ROW()/10000000,"")</f>
        <v/>
      </c>
      <c r="L551" s="21">
        <f>IF(K551="","",COUNTIF($K$2:$K$3001,"&lt;"&amp;K551)+1)</f>
        <v/>
      </c>
    </row>
    <row r="552">
      <c r="A552" s="5">
        <f>IF($J552="","",IF($J552&lt;=1500,INDEX('Daily Sale entry '!$X$1:$X$1501,$J552+1),INDEX('Daily Sale entry '!$V$1:$V$1501,$J552-1499)))</f>
        <v/>
      </c>
      <c r="B552">
        <f>IF($J552="","",IF($J552&lt;=1500,INDEX('Daily Sale entry '!$Y$1:$Y$1501,$J552+1)&amp;"","Buyer cheque banked 买家支票存入"&amp;IF(INDEX('Daily Sale entry '!$U$1:$U$1501,$J552-1499)="","", " - "&amp;INDEX('Daily Sale entry '!$U$1:$U$1501,$J552-1499))))</f>
        <v/>
      </c>
      <c r="C552">
        <f>IF($J552="","",IF($J552&lt;=1500,INDEX('Daily Sale entry '!$Z$1:$Z$1501,$J552+1)&amp;"","Cheque deposit 支票存入 (buyer 买家)"))</f>
        <v/>
      </c>
      <c r="D552">
        <f>IF($J552="","",IF($J552&lt;=1500,INDEX('Daily Sale entry '!$AA$1:$AA$1501,$J552+1)&amp;"",INDEX('Daily Sale entry '!$P$1:$P$1501,$J552-1499)&amp;""))</f>
        <v/>
      </c>
      <c r="E552">
        <f>IF($J552="","",IF($J552&lt;=1500,IF(N(INDEX('Daily Sale entry '!$AB$1:$AB$1501,$J552+1))=0,"",INDEX('Daily Sale entry '!$AB$1:$AB$1501,$J552+1)),1))</f>
        <v/>
      </c>
      <c r="F552" s="6">
        <f>IF($J552="","",IF($J552&lt;=1500,N(INDEX('Daily Sale entry '!$AC$1:$AC$1501,$J552+1))-IF(AND('Opening Balance'!$B$15=1,INDEX('Daily Sale entry '!$Z$1:$Z$1501,$J552+1)="Online collection 网上收款",INDEX('Daily Sale entry '!$AA$1:$AA$1501,$J552+1)&lt;&gt;""),N(INDEX('Daily Sale entry '!$AC$1:$AC$1501,$J552+1))-TRUNC(N(INDEX('Daily Sale entry '!$AC$1:$AC$1501,$J552+1))),0),N(INDEX('Daily Sale entry '!$S$1:$S$1501,$J552-1499))-'Opening Balance'!$B$15*(N(INDEX('Daily Sale entry '!$S$1:$S$1501,$J552-1499))-TRUNC(N(INDEX('Daily Sale entry '!$S$1:$S$1501,$J552-1499))))))</f>
        <v/>
      </c>
      <c r="G552" s="6">
        <f>IF($J552="","",IF($J552&lt;=1500,N(INDEX('Daily Sale entry '!$AD$1:$AD$1501,$J552+1)),0))</f>
        <v/>
      </c>
      <c r="H552" s="6">
        <f>IF($J552="","",ROUND('Opening Balance'!$B$4+SUM($F$2:F552)-SUM($G$2:G552),2))</f>
        <v/>
      </c>
      <c r="J552" s="21">
        <f>IFERROR(MATCH(ROW()-1,$L$2:$L$3001,0),"")</f>
        <v/>
      </c>
      <c r="K552" s="34">
        <f>IF(AND('Daily Sale entry '!X552&lt;&gt;"",OR('Daily Sale entry '!AC552&lt;&gt;"",'Daily Sale entry '!AD552&lt;&gt;"")),'Daily Sale entry '!X552+ROW()/10000000,"")</f>
        <v/>
      </c>
      <c r="L552" s="21">
        <f>IF(K552="","",COUNTIF($K$2:$K$3001,"&lt;"&amp;K552)+1)</f>
        <v/>
      </c>
    </row>
    <row r="553">
      <c r="A553" s="5">
        <f>IF($J553="","",IF($J553&lt;=1500,INDEX('Daily Sale entry '!$X$1:$X$1501,$J553+1),INDEX('Daily Sale entry '!$V$1:$V$1501,$J553-1499)))</f>
        <v/>
      </c>
      <c r="B553">
        <f>IF($J553="","",IF($J553&lt;=1500,INDEX('Daily Sale entry '!$Y$1:$Y$1501,$J553+1)&amp;"","Buyer cheque banked 买家支票存入"&amp;IF(INDEX('Daily Sale entry '!$U$1:$U$1501,$J553-1499)="","", " - "&amp;INDEX('Daily Sale entry '!$U$1:$U$1501,$J553-1499))))</f>
        <v/>
      </c>
      <c r="C553">
        <f>IF($J553="","",IF($J553&lt;=1500,INDEX('Daily Sale entry '!$Z$1:$Z$1501,$J553+1)&amp;"","Cheque deposit 支票存入 (buyer 买家)"))</f>
        <v/>
      </c>
      <c r="D553">
        <f>IF($J553="","",IF($J553&lt;=1500,INDEX('Daily Sale entry '!$AA$1:$AA$1501,$J553+1)&amp;"",INDEX('Daily Sale entry '!$P$1:$P$1501,$J553-1499)&amp;""))</f>
        <v/>
      </c>
      <c r="E553">
        <f>IF($J553="","",IF($J553&lt;=1500,IF(N(INDEX('Daily Sale entry '!$AB$1:$AB$1501,$J553+1))=0,"",INDEX('Daily Sale entry '!$AB$1:$AB$1501,$J553+1)),1))</f>
        <v/>
      </c>
      <c r="F553" s="6">
        <f>IF($J553="","",IF($J553&lt;=1500,N(INDEX('Daily Sale entry '!$AC$1:$AC$1501,$J553+1))-IF(AND('Opening Balance'!$B$15=1,INDEX('Daily Sale entry '!$Z$1:$Z$1501,$J553+1)="Online collection 网上收款",INDEX('Daily Sale entry '!$AA$1:$AA$1501,$J553+1)&lt;&gt;""),N(INDEX('Daily Sale entry '!$AC$1:$AC$1501,$J553+1))-TRUNC(N(INDEX('Daily Sale entry '!$AC$1:$AC$1501,$J553+1))),0),N(INDEX('Daily Sale entry '!$S$1:$S$1501,$J553-1499))-'Opening Balance'!$B$15*(N(INDEX('Daily Sale entry '!$S$1:$S$1501,$J553-1499))-TRUNC(N(INDEX('Daily Sale entry '!$S$1:$S$1501,$J553-1499))))))</f>
        <v/>
      </c>
      <c r="G553" s="6">
        <f>IF($J553="","",IF($J553&lt;=1500,N(INDEX('Daily Sale entry '!$AD$1:$AD$1501,$J553+1)),0))</f>
        <v/>
      </c>
      <c r="H553" s="6">
        <f>IF($J553="","",ROUND('Opening Balance'!$B$4+SUM($F$2:F553)-SUM($G$2:G553),2))</f>
        <v/>
      </c>
      <c r="J553" s="21">
        <f>IFERROR(MATCH(ROW()-1,$L$2:$L$3001,0),"")</f>
        <v/>
      </c>
      <c r="K553" s="34">
        <f>IF(AND('Daily Sale entry '!X553&lt;&gt;"",OR('Daily Sale entry '!AC553&lt;&gt;"",'Daily Sale entry '!AD553&lt;&gt;"")),'Daily Sale entry '!X553+ROW()/10000000,"")</f>
        <v/>
      </c>
      <c r="L553" s="21">
        <f>IF(K553="","",COUNTIF($K$2:$K$3001,"&lt;"&amp;K553)+1)</f>
        <v/>
      </c>
    </row>
    <row r="554">
      <c r="A554" s="5">
        <f>IF($J554="","",IF($J554&lt;=1500,INDEX('Daily Sale entry '!$X$1:$X$1501,$J554+1),INDEX('Daily Sale entry '!$V$1:$V$1501,$J554-1499)))</f>
        <v/>
      </c>
      <c r="B554">
        <f>IF($J554="","",IF($J554&lt;=1500,INDEX('Daily Sale entry '!$Y$1:$Y$1501,$J554+1)&amp;"","Buyer cheque banked 买家支票存入"&amp;IF(INDEX('Daily Sale entry '!$U$1:$U$1501,$J554-1499)="","", " - "&amp;INDEX('Daily Sale entry '!$U$1:$U$1501,$J554-1499))))</f>
        <v/>
      </c>
      <c r="C554">
        <f>IF($J554="","",IF($J554&lt;=1500,INDEX('Daily Sale entry '!$Z$1:$Z$1501,$J554+1)&amp;"","Cheque deposit 支票存入 (buyer 买家)"))</f>
        <v/>
      </c>
      <c r="D554">
        <f>IF($J554="","",IF($J554&lt;=1500,INDEX('Daily Sale entry '!$AA$1:$AA$1501,$J554+1)&amp;"",INDEX('Daily Sale entry '!$P$1:$P$1501,$J554-1499)&amp;""))</f>
        <v/>
      </c>
      <c r="E554">
        <f>IF($J554="","",IF($J554&lt;=1500,IF(N(INDEX('Daily Sale entry '!$AB$1:$AB$1501,$J554+1))=0,"",INDEX('Daily Sale entry '!$AB$1:$AB$1501,$J554+1)),1))</f>
        <v/>
      </c>
      <c r="F554" s="6">
        <f>IF($J554="","",IF($J554&lt;=1500,N(INDEX('Daily Sale entry '!$AC$1:$AC$1501,$J554+1))-IF(AND('Opening Balance'!$B$15=1,INDEX('Daily Sale entry '!$Z$1:$Z$1501,$J554+1)="Online collection 网上收款",INDEX('Daily Sale entry '!$AA$1:$AA$1501,$J554+1)&lt;&gt;""),N(INDEX('Daily Sale entry '!$AC$1:$AC$1501,$J554+1))-TRUNC(N(INDEX('Daily Sale entry '!$AC$1:$AC$1501,$J554+1))),0),N(INDEX('Daily Sale entry '!$S$1:$S$1501,$J554-1499))-'Opening Balance'!$B$15*(N(INDEX('Daily Sale entry '!$S$1:$S$1501,$J554-1499))-TRUNC(N(INDEX('Daily Sale entry '!$S$1:$S$1501,$J554-1499))))))</f>
        <v/>
      </c>
      <c r="G554" s="6">
        <f>IF($J554="","",IF($J554&lt;=1500,N(INDEX('Daily Sale entry '!$AD$1:$AD$1501,$J554+1)),0))</f>
        <v/>
      </c>
      <c r="H554" s="6">
        <f>IF($J554="","",ROUND('Opening Balance'!$B$4+SUM($F$2:F554)-SUM($G$2:G554),2))</f>
        <v/>
      </c>
      <c r="J554" s="21">
        <f>IFERROR(MATCH(ROW()-1,$L$2:$L$3001,0),"")</f>
        <v/>
      </c>
      <c r="K554" s="34">
        <f>IF(AND('Daily Sale entry '!X554&lt;&gt;"",OR('Daily Sale entry '!AC554&lt;&gt;"",'Daily Sale entry '!AD554&lt;&gt;"")),'Daily Sale entry '!X554+ROW()/10000000,"")</f>
        <v/>
      </c>
      <c r="L554" s="21">
        <f>IF(K554="","",COUNTIF($K$2:$K$3001,"&lt;"&amp;K554)+1)</f>
        <v/>
      </c>
    </row>
    <row r="555">
      <c r="A555" s="5">
        <f>IF($J555="","",IF($J555&lt;=1500,INDEX('Daily Sale entry '!$X$1:$X$1501,$J555+1),INDEX('Daily Sale entry '!$V$1:$V$1501,$J555-1499)))</f>
        <v/>
      </c>
      <c r="B555">
        <f>IF($J555="","",IF($J555&lt;=1500,INDEX('Daily Sale entry '!$Y$1:$Y$1501,$J555+1)&amp;"","Buyer cheque banked 买家支票存入"&amp;IF(INDEX('Daily Sale entry '!$U$1:$U$1501,$J555-1499)="","", " - "&amp;INDEX('Daily Sale entry '!$U$1:$U$1501,$J555-1499))))</f>
        <v/>
      </c>
      <c r="C555">
        <f>IF($J555="","",IF($J555&lt;=1500,INDEX('Daily Sale entry '!$Z$1:$Z$1501,$J555+1)&amp;"","Cheque deposit 支票存入 (buyer 买家)"))</f>
        <v/>
      </c>
      <c r="D555">
        <f>IF($J555="","",IF($J555&lt;=1500,INDEX('Daily Sale entry '!$AA$1:$AA$1501,$J555+1)&amp;"",INDEX('Daily Sale entry '!$P$1:$P$1501,$J555-1499)&amp;""))</f>
        <v/>
      </c>
      <c r="E555">
        <f>IF($J555="","",IF($J555&lt;=1500,IF(N(INDEX('Daily Sale entry '!$AB$1:$AB$1501,$J555+1))=0,"",INDEX('Daily Sale entry '!$AB$1:$AB$1501,$J555+1)),1))</f>
        <v/>
      </c>
      <c r="F555" s="6">
        <f>IF($J555="","",IF($J555&lt;=1500,N(INDEX('Daily Sale entry '!$AC$1:$AC$1501,$J555+1))-IF(AND('Opening Balance'!$B$15=1,INDEX('Daily Sale entry '!$Z$1:$Z$1501,$J555+1)="Online collection 网上收款",INDEX('Daily Sale entry '!$AA$1:$AA$1501,$J555+1)&lt;&gt;""),N(INDEX('Daily Sale entry '!$AC$1:$AC$1501,$J555+1))-TRUNC(N(INDEX('Daily Sale entry '!$AC$1:$AC$1501,$J555+1))),0),N(INDEX('Daily Sale entry '!$S$1:$S$1501,$J555-1499))-'Opening Balance'!$B$15*(N(INDEX('Daily Sale entry '!$S$1:$S$1501,$J555-1499))-TRUNC(N(INDEX('Daily Sale entry '!$S$1:$S$1501,$J555-1499))))))</f>
        <v/>
      </c>
      <c r="G555" s="6">
        <f>IF($J555="","",IF($J555&lt;=1500,N(INDEX('Daily Sale entry '!$AD$1:$AD$1501,$J555+1)),0))</f>
        <v/>
      </c>
      <c r="H555" s="6">
        <f>IF($J555="","",ROUND('Opening Balance'!$B$4+SUM($F$2:F555)-SUM($G$2:G555),2))</f>
        <v/>
      </c>
      <c r="J555" s="21">
        <f>IFERROR(MATCH(ROW()-1,$L$2:$L$3001,0),"")</f>
        <v/>
      </c>
      <c r="K555" s="34">
        <f>IF(AND('Daily Sale entry '!X555&lt;&gt;"",OR('Daily Sale entry '!AC555&lt;&gt;"",'Daily Sale entry '!AD555&lt;&gt;"")),'Daily Sale entry '!X555+ROW()/10000000,"")</f>
        <v/>
      </c>
      <c r="L555" s="21">
        <f>IF(K555="","",COUNTIF($K$2:$K$3001,"&lt;"&amp;K555)+1)</f>
        <v/>
      </c>
    </row>
    <row r="556">
      <c r="A556" s="5">
        <f>IF($J556="","",IF($J556&lt;=1500,INDEX('Daily Sale entry '!$X$1:$X$1501,$J556+1),INDEX('Daily Sale entry '!$V$1:$V$1501,$J556-1499)))</f>
        <v/>
      </c>
      <c r="B556">
        <f>IF($J556="","",IF($J556&lt;=1500,INDEX('Daily Sale entry '!$Y$1:$Y$1501,$J556+1)&amp;"","Buyer cheque banked 买家支票存入"&amp;IF(INDEX('Daily Sale entry '!$U$1:$U$1501,$J556-1499)="","", " - "&amp;INDEX('Daily Sale entry '!$U$1:$U$1501,$J556-1499))))</f>
        <v/>
      </c>
      <c r="C556">
        <f>IF($J556="","",IF($J556&lt;=1500,INDEX('Daily Sale entry '!$Z$1:$Z$1501,$J556+1)&amp;"","Cheque deposit 支票存入 (buyer 买家)"))</f>
        <v/>
      </c>
      <c r="D556">
        <f>IF($J556="","",IF($J556&lt;=1500,INDEX('Daily Sale entry '!$AA$1:$AA$1501,$J556+1)&amp;"",INDEX('Daily Sale entry '!$P$1:$P$1501,$J556-1499)&amp;""))</f>
        <v/>
      </c>
      <c r="E556">
        <f>IF($J556="","",IF($J556&lt;=1500,IF(N(INDEX('Daily Sale entry '!$AB$1:$AB$1501,$J556+1))=0,"",INDEX('Daily Sale entry '!$AB$1:$AB$1501,$J556+1)),1))</f>
        <v/>
      </c>
      <c r="F556" s="6">
        <f>IF($J556="","",IF($J556&lt;=1500,N(INDEX('Daily Sale entry '!$AC$1:$AC$1501,$J556+1))-IF(AND('Opening Balance'!$B$15=1,INDEX('Daily Sale entry '!$Z$1:$Z$1501,$J556+1)="Online collection 网上收款",INDEX('Daily Sale entry '!$AA$1:$AA$1501,$J556+1)&lt;&gt;""),N(INDEX('Daily Sale entry '!$AC$1:$AC$1501,$J556+1))-TRUNC(N(INDEX('Daily Sale entry '!$AC$1:$AC$1501,$J556+1))),0),N(INDEX('Daily Sale entry '!$S$1:$S$1501,$J556-1499))-'Opening Balance'!$B$15*(N(INDEX('Daily Sale entry '!$S$1:$S$1501,$J556-1499))-TRUNC(N(INDEX('Daily Sale entry '!$S$1:$S$1501,$J556-1499))))))</f>
        <v/>
      </c>
      <c r="G556" s="6">
        <f>IF($J556="","",IF($J556&lt;=1500,N(INDEX('Daily Sale entry '!$AD$1:$AD$1501,$J556+1)),0))</f>
        <v/>
      </c>
      <c r="H556" s="6">
        <f>IF($J556="","",ROUND('Opening Balance'!$B$4+SUM($F$2:F556)-SUM($G$2:G556),2))</f>
        <v/>
      </c>
      <c r="J556" s="21">
        <f>IFERROR(MATCH(ROW()-1,$L$2:$L$3001,0),"")</f>
        <v/>
      </c>
      <c r="K556" s="34">
        <f>IF(AND('Daily Sale entry '!X556&lt;&gt;"",OR('Daily Sale entry '!AC556&lt;&gt;"",'Daily Sale entry '!AD556&lt;&gt;"")),'Daily Sale entry '!X556+ROW()/10000000,"")</f>
        <v/>
      </c>
      <c r="L556" s="21">
        <f>IF(K556="","",COUNTIF($K$2:$K$3001,"&lt;"&amp;K556)+1)</f>
        <v/>
      </c>
    </row>
    <row r="557">
      <c r="A557" s="5">
        <f>IF($J557="","",IF($J557&lt;=1500,INDEX('Daily Sale entry '!$X$1:$X$1501,$J557+1),INDEX('Daily Sale entry '!$V$1:$V$1501,$J557-1499)))</f>
        <v/>
      </c>
      <c r="B557">
        <f>IF($J557="","",IF($J557&lt;=1500,INDEX('Daily Sale entry '!$Y$1:$Y$1501,$J557+1)&amp;"","Buyer cheque banked 买家支票存入"&amp;IF(INDEX('Daily Sale entry '!$U$1:$U$1501,$J557-1499)="","", " - "&amp;INDEX('Daily Sale entry '!$U$1:$U$1501,$J557-1499))))</f>
        <v/>
      </c>
      <c r="C557">
        <f>IF($J557="","",IF($J557&lt;=1500,INDEX('Daily Sale entry '!$Z$1:$Z$1501,$J557+1)&amp;"","Cheque deposit 支票存入 (buyer 买家)"))</f>
        <v/>
      </c>
      <c r="D557">
        <f>IF($J557="","",IF($J557&lt;=1500,INDEX('Daily Sale entry '!$AA$1:$AA$1501,$J557+1)&amp;"",INDEX('Daily Sale entry '!$P$1:$P$1501,$J557-1499)&amp;""))</f>
        <v/>
      </c>
      <c r="E557">
        <f>IF($J557="","",IF($J557&lt;=1500,IF(N(INDEX('Daily Sale entry '!$AB$1:$AB$1501,$J557+1))=0,"",INDEX('Daily Sale entry '!$AB$1:$AB$1501,$J557+1)),1))</f>
        <v/>
      </c>
      <c r="F557" s="6">
        <f>IF($J557="","",IF($J557&lt;=1500,N(INDEX('Daily Sale entry '!$AC$1:$AC$1501,$J557+1))-IF(AND('Opening Balance'!$B$15=1,INDEX('Daily Sale entry '!$Z$1:$Z$1501,$J557+1)="Online collection 网上收款",INDEX('Daily Sale entry '!$AA$1:$AA$1501,$J557+1)&lt;&gt;""),N(INDEX('Daily Sale entry '!$AC$1:$AC$1501,$J557+1))-TRUNC(N(INDEX('Daily Sale entry '!$AC$1:$AC$1501,$J557+1))),0),N(INDEX('Daily Sale entry '!$S$1:$S$1501,$J557-1499))-'Opening Balance'!$B$15*(N(INDEX('Daily Sale entry '!$S$1:$S$1501,$J557-1499))-TRUNC(N(INDEX('Daily Sale entry '!$S$1:$S$1501,$J557-1499))))))</f>
        <v/>
      </c>
      <c r="G557" s="6">
        <f>IF($J557="","",IF($J557&lt;=1500,N(INDEX('Daily Sale entry '!$AD$1:$AD$1501,$J557+1)),0))</f>
        <v/>
      </c>
      <c r="H557" s="6">
        <f>IF($J557="","",ROUND('Opening Balance'!$B$4+SUM($F$2:F557)-SUM($G$2:G557),2))</f>
        <v/>
      </c>
      <c r="J557" s="21">
        <f>IFERROR(MATCH(ROW()-1,$L$2:$L$3001,0),"")</f>
        <v/>
      </c>
      <c r="K557" s="34">
        <f>IF(AND('Daily Sale entry '!X557&lt;&gt;"",OR('Daily Sale entry '!AC557&lt;&gt;"",'Daily Sale entry '!AD557&lt;&gt;"")),'Daily Sale entry '!X557+ROW()/10000000,"")</f>
        <v/>
      </c>
      <c r="L557" s="21">
        <f>IF(K557="","",COUNTIF($K$2:$K$3001,"&lt;"&amp;K557)+1)</f>
        <v/>
      </c>
    </row>
    <row r="558">
      <c r="A558" s="5">
        <f>IF($J558="","",IF($J558&lt;=1500,INDEX('Daily Sale entry '!$X$1:$X$1501,$J558+1),INDEX('Daily Sale entry '!$V$1:$V$1501,$J558-1499)))</f>
        <v/>
      </c>
      <c r="B558">
        <f>IF($J558="","",IF($J558&lt;=1500,INDEX('Daily Sale entry '!$Y$1:$Y$1501,$J558+1)&amp;"","Buyer cheque banked 买家支票存入"&amp;IF(INDEX('Daily Sale entry '!$U$1:$U$1501,$J558-1499)="","", " - "&amp;INDEX('Daily Sale entry '!$U$1:$U$1501,$J558-1499))))</f>
        <v/>
      </c>
      <c r="C558">
        <f>IF($J558="","",IF($J558&lt;=1500,INDEX('Daily Sale entry '!$Z$1:$Z$1501,$J558+1)&amp;"","Cheque deposit 支票存入 (buyer 买家)"))</f>
        <v/>
      </c>
      <c r="D558">
        <f>IF($J558="","",IF($J558&lt;=1500,INDEX('Daily Sale entry '!$AA$1:$AA$1501,$J558+1)&amp;"",INDEX('Daily Sale entry '!$P$1:$P$1501,$J558-1499)&amp;""))</f>
        <v/>
      </c>
      <c r="E558">
        <f>IF($J558="","",IF($J558&lt;=1500,IF(N(INDEX('Daily Sale entry '!$AB$1:$AB$1501,$J558+1))=0,"",INDEX('Daily Sale entry '!$AB$1:$AB$1501,$J558+1)),1))</f>
        <v/>
      </c>
      <c r="F558" s="6">
        <f>IF($J558="","",IF($J558&lt;=1500,N(INDEX('Daily Sale entry '!$AC$1:$AC$1501,$J558+1))-IF(AND('Opening Balance'!$B$15=1,INDEX('Daily Sale entry '!$Z$1:$Z$1501,$J558+1)="Online collection 网上收款",INDEX('Daily Sale entry '!$AA$1:$AA$1501,$J558+1)&lt;&gt;""),N(INDEX('Daily Sale entry '!$AC$1:$AC$1501,$J558+1))-TRUNC(N(INDEX('Daily Sale entry '!$AC$1:$AC$1501,$J558+1))),0),N(INDEX('Daily Sale entry '!$S$1:$S$1501,$J558-1499))-'Opening Balance'!$B$15*(N(INDEX('Daily Sale entry '!$S$1:$S$1501,$J558-1499))-TRUNC(N(INDEX('Daily Sale entry '!$S$1:$S$1501,$J558-1499))))))</f>
        <v/>
      </c>
      <c r="G558" s="6">
        <f>IF($J558="","",IF($J558&lt;=1500,N(INDEX('Daily Sale entry '!$AD$1:$AD$1501,$J558+1)),0))</f>
        <v/>
      </c>
      <c r="H558" s="6">
        <f>IF($J558="","",ROUND('Opening Balance'!$B$4+SUM($F$2:F558)-SUM($G$2:G558),2))</f>
        <v/>
      </c>
      <c r="J558" s="21">
        <f>IFERROR(MATCH(ROW()-1,$L$2:$L$3001,0),"")</f>
        <v/>
      </c>
      <c r="K558" s="34">
        <f>IF(AND('Daily Sale entry '!X558&lt;&gt;"",OR('Daily Sale entry '!AC558&lt;&gt;"",'Daily Sale entry '!AD558&lt;&gt;"")),'Daily Sale entry '!X558+ROW()/10000000,"")</f>
        <v/>
      </c>
      <c r="L558" s="21">
        <f>IF(K558="","",COUNTIF($K$2:$K$3001,"&lt;"&amp;K558)+1)</f>
        <v/>
      </c>
    </row>
    <row r="559">
      <c r="A559" s="5">
        <f>IF($J559="","",IF($J559&lt;=1500,INDEX('Daily Sale entry '!$X$1:$X$1501,$J559+1),INDEX('Daily Sale entry '!$V$1:$V$1501,$J559-1499)))</f>
        <v/>
      </c>
      <c r="B559">
        <f>IF($J559="","",IF($J559&lt;=1500,INDEX('Daily Sale entry '!$Y$1:$Y$1501,$J559+1)&amp;"","Buyer cheque banked 买家支票存入"&amp;IF(INDEX('Daily Sale entry '!$U$1:$U$1501,$J559-1499)="","", " - "&amp;INDEX('Daily Sale entry '!$U$1:$U$1501,$J559-1499))))</f>
        <v/>
      </c>
      <c r="C559">
        <f>IF($J559="","",IF($J559&lt;=1500,INDEX('Daily Sale entry '!$Z$1:$Z$1501,$J559+1)&amp;"","Cheque deposit 支票存入 (buyer 买家)"))</f>
        <v/>
      </c>
      <c r="D559">
        <f>IF($J559="","",IF($J559&lt;=1500,INDEX('Daily Sale entry '!$AA$1:$AA$1501,$J559+1)&amp;"",INDEX('Daily Sale entry '!$P$1:$P$1501,$J559-1499)&amp;""))</f>
        <v/>
      </c>
      <c r="E559">
        <f>IF($J559="","",IF($J559&lt;=1500,IF(N(INDEX('Daily Sale entry '!$AB$1:$AB$1501,$J559+1))=0,"",INDEX('Daily Sale entry '!$AB$1:$AB$1501,$J559+1)),1))</f>
        <v/>
      </c>
      <c r="F559" s="6">
        <f>IF($J559="","",IF($J559&lt;=1500,N(INDEX('Daily Sale entry '!$AC$1:$AC$1501,$J559+1))-IF(AND('Opening Balance'!$B$15=1,INDEX('Daily Sale entry '!$Z$1:$Z$1501,$J559+1)="Online collection 网上收款",INDEX('Daily Sale entry '!$AA$1:$AA$1501,$J559+1)&lt;&gt;""),N(INDEX('Daily Sale entry '!$AC$1:$AC$1501,$J559+1))-TRUNC(N(INDEX('Daily Sale entry '!$AC$1:$AC$1501,$J559+1))),0),N(INDEX('Daily Sale entry '!$S$1:$S$1501,$J559-1499))-'Opening Balance'!$B$15*(N(INDEX('Daily Sale entry '!$S$1:$S$1501,$J559-1499))-TRUNC(N(INDEX('Daily Sale entry '!$S$1:$S$1501,$J559-1499))))))</f>
        <v/>
      </c>
      <c r="G559" s="6">
        <f>IF($J559="","",IF($J559&lt;=1500,N(INDEX('Daily Sale entry '!$AD$1:$AD$1501,$J559+1)),0))</f>
        <v/>
      </c>
      <c r="H559" s="6">
        <f>IF($J559="","",ROUND('Opening Balance'!$B$4+SUM($F$2:F559)-SUM($G$2:G559),2))</f>
        <v/>
      </c>
      <c r="J559" s="21">
        <f>IFERROR(MATCH(ROW()-1,$L$2:$L$3001,0),"")</f>
        <v/>
      </c>
      <c r="K559" s="34">
        <f>IF(AND('Daily Sale entry '!X559&lt;&gt;"",OR('Daily Sale entry '!AC559&lt;&gt;"",'Daily Sale entry '!AD559&lt;&gt;"")),'Daily Sale entry '!X559+ROW()/10000000,"")</f>
        <v/>
      </c>
      <c r="L559" s="21">
        <f>IF(K559="","",COUNTIF($K$2:$K$3001,"&lt;"&amp;K559)+1)</f>
        <v/>
      </c>
    </row>
    <row r="560">
      <c r="A560" s="5">
        <f>IF($J560="","",IF($J560&lt;=1500,INDEX('Daily Sale entry '!$X$1:$X$1501,$J560+1),INDEX('Daily Sale entry '!$V$1:$V$1501,$J560-1499)))</f>
        <v/>
      </c>
      <c r="B560">
        <f>IF($J560="","",IF($J560&lt;=1500,INDEX('Daily Sale entry '!$Y$1:$Y$1501,$J560+1)&amp;"","Buyer cheque banked 买家支票存入"&amp;IF(INDEX('Daily Sale entry '!$U$1:$U$1501,$J560-1499)="","", " - "&amp;INDEX('Daily Sale entry '!$U$1:$U$1501,$J560-1499))))</f>
        <v/>
      </c>
      <c r="C560">
        <f>IF($J560="","",IF($J560&lt;=1500,INDEX('Daily Sale entry '!$Z$1:$Z$1501,$J560+1)&amp;"","Cheque deposit 支票存入 (buyer 买家)"))</f>
        <v/>
      </c>
      <c r="D560">
        <f>IF($J560="","",IF($J560&lt;=1500,INDEX('Daily Sale entry '!$AA$1:$AA$1501,$J560+1)&amp;"",INDEX('Daily Sale entry '!$P$1:$P$1501,$J560-1499)&amp;""))</f>
        <v/>
      </c>
      <c r="E560">
        <f>IF($J560="","",IF($J560&lt;=1500,IF(N(INDEX('Daily Sale entry '!$AB$1:$AB$1501,$J560+1))=0,"",INDEX('Daily Sale entry '!$AB$1:$AB$1501,$J560+1)),1))</f>
        <v/>
      </c>
      <c r="F560" s="6">
        <f>IF($J560="","",IF($J560&lt;=1500,N(INDEX('Daily Sale entry '!$AC$1:$AC$1501,$J560+1))-IF(AND('Opening Balance'!$B$15=1,INDEX('Daily Sale entry '!$Z$1:$Z$1501,$J560+1)="Online collection 网上收款",INDEX('Daily Sale entry '!$AA$1:$AA$1501,$J560+1)&lt;&gt;""),N(INDEX('Daily Sale entry '!$AC$1:$AC$1501,$J560+1))-TRUNC(N(INDEX('Daily Sale entry '!$AC$1:$AC$1501,$J560+1))),0),N(INDEX('Daily Sale entry '!$S$1:$S$1501,$J560-1499))-'Opening Balance'!$B$15*(N(INDEX('Daily Sale entry '!$S$1:$S$1501,$J560-1499))-TRUNC(N(INDEX('Daily Sale entry '!$S$1:$S$1501,$J560-1499))))))</f>
        <v/>
      </c>
      <c r="G560" s="6">
        <f>IF($J560="","",IF($J560&lt;=1500,N(INDEX('Daily Sale entry '!$AD$1:$AD$1501,$J560+1)),0))</f>
        <v/>
      </c>
      <c r="H560" s="6">
        <f>IF($J560="","",ROUND('Opening Balance'!$B$4+SUM($F$2:F560)-SUM($G$2:G560),2))</f>
        <v/>
      </c>
      <c r="J560" s="21">
        <f>IFERROR(MATCH(ROW()-1,$L$2:$L$3001,0),"")</f>
        <v/>
      </c>
      <c r="K560" s="34">
        <f>IF(AND('Daily Sale entry '!X560&lt;&gt;"",OR('Daily Sale entry '!AC560&lt;&gt;"",'Daily Sale entry '!AD560&lt;&gt;"")),'Daily Sale entry '!X560+ROW()/10000000,"")</f>
        <v/>
      </c>
      <c r="L560" s="21">
        <f>IF(K560="","",COUNTIF($K$2:$K$3001,"&lt;"&amp;K560)+1)</f>
        <v/>
      </c>
    </row>
    <row r="561">
      <c r="A561" s="5">
        <f>IF($J561="","",IF($J561&lt;=1500,INDEX('Daily Sale entry '!$X$1:$X$1501,$J561+1),INDEX('Daily Sale entry '!$V$1:$V$1501,$J561-1499)))</f>
        <v/>
      </c>
      <c r="B561">
        <f>IF($J561="","",IF($J561&lt;=1500,INDEX('Daily Sale entry '!$Y$1:$Y$1501,$J561+1)&amp;"","Buyer cheque banked 买家支票存入"&amp;IF(INDEX('Daily Sale entry '!$U$1:$U$1501,$J561-1499)="","", " - "&amp;INDEX('Daily Sale entry '!$U$1:$U$1501,$J561-1499))))</f>
        <v/>
      </c>
      <c r="C561">
        <f>IF($J561="","",IF($J561&lt;=1500,INDEX('Daily Sale entry '!$Z$1:$Z$1501,$J561+1)&amp;"","Cheque deposit 支票存入 (buyer 买家)"))</f>
        <v/>
      </c>
      <c r="D561">
        <f>IF($J561="","",IF($J561&lt;=1500,INDEX('Daily Sale entry '!$AA$1:$AA$1501,$J561+1)&amp;"",INDEX('Daily Sale entry '!$P$1:$P$1501,$J561-1499)&amp;""))</f>
        <v/>
      </c>
      <c r="E561">
        <f>IF($J561="","",IF($J561&lt;=1500,IF(N(INDEX('Daily Sale entry '!$AB$1:$AB$1501,$J561+1))=0,"",INDEX('Daily Sale entry '!$AB$1:$AB$1501,$J561+1)),1))</f>
        <v/>
      </c>
      <c r="F561" s="6">
        <f>IF($J561="","",IF($J561&lt;=1500,N(INDEX('Daily Sale entry '!$AC$1:$AC$1501,$J561+1))-IF(AND('Opening Balance'!$B$15=1,INDEX('Daily Sale entry '!$Z$1:$Z$1501,$J561+1)="Online collection 网上收款",INDEX('Daily Sale entry '!$AA$1:$AA$1501,$J561+1)&lt;&gt;""),N(INDEX('Daily Sale entry '!$AC$1:$AC$1501,$J561+1))-TRUNC(N(INDEX('Daily Sale entry '!$AC$1:$AC$1501,$J561+1))),0),N(INDEX('Daily Sale entry '!$S$1:$S$1501,$J561-1499))-'Opening Balance'!$B$15*(N(INDEX('Daily Sale entry '!$S$1:$S$1501,$J561-1499))-TRUNC(N(INDEX('Daily Sale entry '!$S$1:$S$1501,$J561-1499))))))</f>
        <v/>
      </c>
      <c r="G561" s="6">
        <f>IF($J561="","",IF($J561&lt;=1500,N(INDEX('Daily Sale entry '!$AD$1:$AD$1501,$J561+1)),0))</f>
        <v/>
      </c>
      <c r="H561" s="6">
        <f>IF($J561="","",ROUND('Opening Balance'!$B$4+SUM($F$2:F561)-SUM($G$2:G561),2))</f>
        <v/>
      </c>
      <c r="J561" s="21">
        <f>IFERROR(MATCH(ROW()-1,$L$2:$L$3001,0),"")</f>
        <v/>
      </c>
      <c r="K561" s="34">
        <f>IF(AND('Daily Sale entry '!X561&lt;&gt;"",OR('Daily Sale entry '!AC561&lt;&gt;"",'Daily Sale entry '!AD561&lt;&gt;"")),'Daily Sale entry '!X561+ROW()/10000000,"")</f>
        <v/>
      </c>
      <c r="L561" s="21">
        <f>IF(K561="","",COUNTIF($K$2:$K$3001,"&lt;"&amp;K561)+1)</f>
        <v/>
      </c>
    </row>
    <row r="562">
      <c r="A562" s="5">
        <f>IF($J562="","",IF($J562&lt;=1500,INDEX('Daily Sale entry '!$X$1:$X$1501,$J562+1),INDEX('Daily Sale entry '!$V$1:$V$1501,$J562-1499)))</f>
        <v/>
      </c>
      <c r="B562">
        <f>IF($J562="","",IF($J562&lt;=1500,INDEX('Daily Sale entry '!$Y$1:$Y$1501,$J562+1)&amp;"","Buyer cheque banked 买家支票存入"&amp;IF(INDEX('Daily Sale entry '!$U$1:$U$1501,$J562-1499)="","", " - "&amp;INDEX('Daily Sale entry '!$U$1:$U$1501,$J562-1499))))</f>
        <v/>
      </c>
      <c r="C562">
        <f>IF($J562="","",IF($J562&lt;=1500,INDEX('Daily Sale entry '!$Z$1:$Z$1501,$J562+1)&amp;"","Cheque deposit 支票存入 (buyer 买家)"))</f>
        <v/>
      </c>
      <c r="D562">
        <f>IF($J562="","",IF($J562&lt;=1500,INDEX('Daily Sale entry '!$AA$1:$AA$1501,$J562+1)&amp;"",INDEX('Daily Sale entry '!$P$1:$P$1501,$J562-1499)&amp;""))</f>
        <v/>
      </c>
      <c r="E562">
        <f>IF($J562="","",IF($J562&lt;=1500,IF(N(INDEX('Daily Sale entry '!$AB$1:$AB$1501,$J562+1))=0,"",INDEX('Daily Sale entry '!$AB$1:$AB$1501,$J562+1)),1))</f>
        <v/>
      </c>
      <c r="F562" s="6">
        <f>IF($J562="","",IF($J562&lt;=1500,N(INDEX('Daily Sale entry '!$AC$1:$AC$1501,$J562+1))-IF(AND('Opening Balance'!$B$15=1,INDEX('Daily Sale entry '!$Z$1:$Z$1501,$J562+1)="Online collection 网上收款",INDEX('Daily Sale entry '!$AA$1:$AA$1501,$J562+1)&lt;&gt;""),N(INDEX('Daily Sale entry '!$AC$1:$AC$1501,$J562+1))-TRUNC(N(INDEX('Daily Sale entry '!$AC$1:$AC$1501,$J562+1))),0),N(INDEX('Daily Sale entry '!$S$1:$S$1501,$J562-1499))-'Opening Balance'!$B$15*(N(INDEX('Daily Sale entry '!$S$1:$S$1501,$J562-1499))-TRUNC(N(INDEX('Daily Sale entry '!$S$1:$S$1501,$J562-1499))))))</f>
        <v/>
      </c>
      <c r="G562" s="6">
        <f>IF($J562="","",IF($J562&lt;=1500,N(INDEX('Daily Sale entry '!$AD$1:$AD$1501,$J562+1)),0))</f>
        <v/>
      </c>
      <c r="H562" s="6">
        <f>IF($J562="","",ROUND('Opening Balance'!$B$4+SUM($F$2:F562)-SUM($G$2:G562),2))</f>
        <v/>
      </c>
      <c r="J562" s="21">
        <f>IFERROR(MATCH(ROW()-1,$L$2:$L$3001,0),"")</f>
        <v/>
      </c>
      <c r="K562" s="34">
        <f>IF(AND('Daily Sale entry '!X562&lt;&gt;"",OR('Daily Sale entry '!AC562&lt;&gt;"",'Daily Sale entry '!AD562&lt;&gt;"")),'Daily Sale entry '!X562+ROW()/10000000,"")</f>
        <v/>
      </c>
      <c r="L562" s="21">
        <f>IF(K562="","",COUNTIF($K$2:$K$3001,"&lt;"&amp;K562)+1)</f>
        <v/>
      </c>
    </row>
    <row r="563">
      <c r="A563" s="5">
        <f>IF($J563="","",IF($J563&lt;=1500,INDEX('Daily Sale entry '!$X$1:$X$1501,$J563+1),INDEX('Daily Sale entry '!$V$1:$V$1501,$J563-1499)))</f>
        <v/>
      </c>
      <c r="B563">
        <f>IF($J563="","",IF($J563&lt;=1500,INDEX('Daily Sale entry '!$Y$1:$Y$1501,$J563+1)&amp;"","Buyer cheque banked 买家支票存入"&amp;IF(INDEX('Daily Sale entry '!$U$1:$U$1501,$J563-1499)="","", " - "&amp;INDEX('Daily Sale entry '!$U$1:$U$1501,$J563-1499))))</f>
        <v/>
      </c>
      <c r="C563">
        <f>IF($J563="","",IF($J563&lt;=1500,INDEX('Daily Sale entry '!$Z$1:$Z$1501,$J563+1)&amp;"","Cheque deposit 支票存入 (buyer 买家)"))</f>
        <v/>
      </c>
      <c r="D563">
        <f>IF($J563="","",IF($J563&lt;=1500,INDEX('Daily Sale entry '!$AA$1:$AA$1501,$J563+1)&amp;"",INDEX('Daily Sale entry '!$P$1:$P$1501,$J563-1499)&amp;""))</f>
        <v/>
      </c>
      <c r="E563">
        <f>IF($J563="","",IF($J563&lt;=1500,IF(N(INDEX('Daily Sale entry '!$AB$1:$AB$1501,$J563+1))=0,"",INDEX('Daily Sale entry '!$AB$1:$AB$1501,$J563+1)),1))</f>
        <v/>
      </c>
      <c r="F563" s="6">
        <f>IF($J563="","",IF($J563&lt;=1500,N(INDEX('Daily Sale entry '!$AC$1:$AC$1501,$J563+1))-IF(AND('Opening Balance'!$B$15=1,INDEX('Daily Sale entry '!$Z$1:$Z$1501,$J563+1)="Online collection 网上收款",INDEX('Daily Sale entry '!$AA$1:$AA$1501,$J563+1)&lt;&gt;""),N(INDEX('Daily Sale entry '!$AC$1:$AC$1501,$J563+1))-TRUNC(N(INDEX('Daily Sale entry '!$AC$1:$AC$1501,$J563+1))),0),N(INDEX('Daily Sale entry '!$S$1:$S$1501,$J563-1499))-'Opening Balance'!$B$15*(N(INDEX('Daily Sale entry '!$S$1:$S$1501,$J563-1499))-TRUNC(N(INDEX('Daily Sale entry '!$S$1:$S$1501,$J563-1499))))))</f>
        <v/>
      </c>
      <c r="G563" s="6">
        <f>IF($J563="","",IF($J563&lt;=1500,N(INDEX('Daily Sale entry '!$AD$1:$AD$1501,$J563+1)),0))</f>
        <v/>
      </c>
      <c r="H563" s="6">
        <f>IF($J563="","",ROUND('Opening Balance'!$B$4+SUM($F$2:F563)-SUM($G$2:G563),2))</f>
        <v/>
      </c>
      <c r="J563" s="21">
        <f>IFERROR(MATCH(ROW()-1,$L$2:$L$3001,0),"")</f>
        <v/>
      </c>
      <c r="K563" s="34">
        <f>IF(AND('Daily Sale entry '!X563&lt;&gt;"",OR('Daily Sale entry '!AC563&lt;&gt;"",'Daily Sale entry '!AD563&lt;&gt;"")),'Daily Sale entry '!X563+ROW()/10000000,"")</f>
        <v/>
      </c>
      <c r="L563" s="21">
        <f>IF(K563="","",COUNTIF($K$2:$K$3001,"&lt;"&amp;K563)+1)</f>
        <v/>
      </c>
    </row>
    <row r="564">
      <c r="A564" s="5">
        <f>IF($J564="","",IF($J564&lt;=1500,INDEX('Daily Sale entry '!$X$1:$X$1501,$J564+1),INDEX('Daily Sale entry '!$V$1:$V$1501,$J564-1499)))</f>
        <v/>
      </c>
      <c r="B564">
        <f>IF($J564="","",IF($J564&lt;=1500,INDEX('Daily Sale entry '!$Y$1:$Y$1501,$J564+1)&amp;"","Buyer cheque banked 买家支票存入"&amp;IF(INDEX('Daily Sale entry '!$U$1:$U$1501,$J564-1499)="","", " - "&amp;INDEX('Daily Sale entry '!$U$1:$U$1501,$J564-1499))))</f>
        <v/>
      </c>
      <c r="C564">
        <f>IF($J564="","",IF($J564&lt;=1500,INDEX('Daily Sale entry '!$Z$1:$Z$1501,$J564+1)&amp;"","Cheque deposit 支票存入 (buyer 买家)"))</f>
        <v/>
      </c>
      <c r="D564">
        <f>IF($J564="","",IF($J564&lt;=1500,INDEX('Daily Sale entry '!$AA$1:$AA$1501,$J564+1)&amp;"",INDEX('Daily Sale entry '!$P$1:$P$1501,$J564-1499)&amp;""))</f>
        <v/>
      </c>
      <c r="E564">
        <f>IF($J564="","",IF($J564&lt;=1500,IF(N(INDEX('Daily Sale entry '!$AB$1:$AB$1501,$J564+1))=0,"",INDEX('Daily Sale entry '!$AB$1:$AB$1501,$J564+1)),1))</f>
        <v/>
      </c>
      <c r="F564" s="6">
        <f>IF($J564="","",IF($J564&lt;=1500,N(INDEX('Daily Sale entry '!$AC$1:$AC$1501,$J564+1))-IF(AND('Opening Balance'!$B$15=1,INDEX('Daily Sale entry '!$Z$1:$Z$1501,$J564+1)="Online collection 网上收款",INDEX('Daily Sale entry '!$AA$1:$AA$1501,$J564+1)&lt;&gt;""),N(INDEX('Daily Sale entry '!$AC$1:$AC$1501,$J564+1))-TRUNC(N(INDEX('Daily Sale entry '!$AC$1:$AC$1501,$J564+1))),0),N(INDEX('Daily Sale entry '!$S$1:$S$1501,$J564-1499))-'Opening Balance'!$B$15*(N(INDEX('Daily Sale entry '!$S$1:$S$1501,$J564-1499))-TRUNC(N(INDEX('Daily Sale entry '!$S$1:$S$1501,$J564-1499))))))</f>
        <v/>
      </c>
      <c r="G564" s="6">
        <f>IF($J564="","",IF($J564&lt;=1500,N(INDEX('Daily Sale entry '!$AD$1:$AD$1501,$J564+1)),0))</f>
        <v/>
      </c>
      <c r="H564" s="6">
        <f>IF($J564="","",ROUND('Opening Balance'!$B$4+SUM($F$2:F564)-SUM($G$2:G564),2))</f>
        <v/>
      </c>
      <c r="J564" s="21">
        <f>IFERROR(MATCH(ROW()-1,$L$2:$L$3001,0),"")</f>
        <v/>
      </c>
      <c r="K564" s="34">
        <f>IF(AND('Daily Sale entry '!X564&lt;&gt;"",OR('Daily Sale entry '!AC564&lt;&gt;"",'Daily Sale entry '!AD564&lt;&gt;"")),'Daily Sale entry '!X564+ROW()/10000000,"")</f>
        <v/>
      </c>
      <c r="L564" s="21">
        <f>IF(K564="","",COUNTIF($K$2:$K$3001,"&lt;"&amp;K564)+1)</f>
        <v/>
      </c>
    </row>
    <row r="565">
      <c r="A565" s="5">
        <f>IF($J565="","",IF($J565&lt;=1500,INDEX('Daily Sale entry '!$X$1:$X$1501,$J565+1),INDEX('Daily Sale entry '!$V$1:$V$1501,$J565-1499)))</f>
        <v/>
      </c>
      <c r="B565">
        <f>IF($J565="","",IF($J565&lt;=1500,INDEX('Daily Sale entry '!$Y$1:$Y$1501,$J565+1)&amp;"","Buyer cheque banked 买家支票存入"&amp;IF(INDEX('Daily Sale entry '!$U$1:$U$1501,$J565-1499)="","", " - "&amp;INDEX('Daily Sale entry '!$U$1:$U$1501,$J565-1499))))</f>
        <v/>
      </c>
      <c r="C565">
        <f>IF($J565="","",IF($J565&lt;=1500,INDEX('Daily Sale entry '!$Z$1:$Z$1501,$J565+1)&amp;"","Cheque deposit 支票存入 (buyer 买家)"))</f>
        <v/>
      </c>
      <c r="D565">
        <f>IF($J565="","",IF($J565&lt;=1500,INDEX('Daily Sale entry '!$AA$1:$AA$1501,$J565+1)&amp;"",INDEX('Daily Sale entry '!$P$1:$P$1501,$J565-1499)&amp;""))</f>
        <v/>
      </c>
      <c r="E565">
        <f>IF($J565="","",IF($J565&lt;=1500,IF(N(INDEX('Daily Sale entry '!$AB$1:$AB$1501,$J565+1))=0,"",INDEX('Daily Sale entry '!$AB$1:$AB$1501,$J565+1)),1))</f>
        <v/>
      </c>
      <c r="F565" s="6">
        <f>IF($J565="","",IF($J565&lt;=1500,N(INDEX('Daily Sale entry '!$AC$1:$AC$1501,$J565+1))-IF(AND('Opening Balance'!$B$15=1,INDEX('Daily Sale entry '!$Z$1:$Z$1501,$J565+1)="Online collection 网上收款",INDEX('Daily Sale entry '!$AA$1:$AA$1501,$J565+1)&lt;&gt;""),N(INDEX('Daily Sale entry '!$AC$1:$AC$1501,$J565+1))-TRUNC(N(INDEX('Daily Sale entry '!$AC$1:$AC$1501,$J565+1))),0),N(INDEX('Daily Sale entry '!$S$1:$S$1501,$J565-1499))-'Opening Balance'!$B$15*(N(INDEX('Daily Sale entry '!$S$1:$S$1501,$J565-1499))-TRUNC(N(INDEX('Daily Sale entry '!$S$1:$S$1501,$J565-1499))))))</f>
        <v/>
      </c>
      <c r="G565" s="6">
        <f>IF($J565="","",IF($J565&lt;=1500,N(INDEX('Daily Sale entry '!$AD$1:$AD$1501,$J565+1)),0))</f>
        <v/>
      </c>
      <c r="H565" s="6">
        <f>IF($J565="","",ROUND('Opening Balance'!$B$4+SUM($F$2:F565)-SUM($G$2:G565),2))</f>
        <v/>
      </c>
      <c r="J565" s="21">
        <f>IFERROR(MATCH(ROW()-1,$L$2:$L$3001,0),"")</f>
        <v/>
      </c>
      <c r="K565" s="34">
        <f>IF(AND('Daily Sale entry '!X565&lt;&gt;"",OR('Daily Sale entry '!AC565&lt;&gt;"",'Daily Sale entry '!AD565&lt;&gt;"")),'Daily Sale entry '!X565+ROW()/10000000,"")</f>
        <v/>
      </c>
      <c r="L565" s="21">
        <f>IF(K565="","",COUNTIF($K$2:$K$3001,"&lt;"&amp;K565)+1)</f>
        <v/>
      </c>
    </row>
    <row r="566">
      <c r="A566" s="5">
        <f>IF($J566="","",IF($J566&lt;=1500,INDEX('Daily Sale entry '!$X$1:$X$1501,$J566+1),INDEX('Daily Sale entry '!$V$1:$V$1501,$J566-1499)))</f>
        <v/>
      </c>
      <c r="B566">
        <f>IF($J566="","",IF($J566&lt;=1500,INDEX('Daily Sale entry '!$Y$1:$Y$1501,$J566+1)&amp;"","Buyer cheque banked 买家支票存入"&amp;IF(INDEX('Daily Sale entry '!$U$1:$U$1501,$J566-1499)="","", " - "&amp;INDEX('Daily Sale entry '!$U$1:$U$1501,$J566-1499))))</f>
        <v/>
      </c>
      <c r="C566">
        <f>IF($J566="","",IF($J566&lt;=1500,INDEX('Daily Sale entry '!$Z$1:$Z$1501,$J566+1)&amp;"","Cheque deposit 支票存入 (buyer 买家)"))</f>
        <v/>
      </c>
      <c r="D566">
        <f>IF($J566="","",IF($J566&lt;=1500,INDEX('Daily Sale entry '!$AA$1:$AA$1501,$J566+1)&amp;"",INDEX('Daily Sale entry '!$P$1:$P$1501,$J566-1499)&amp;""))</f>
        <v/>
      </c>
      <c r="E566">
        <f>IF($J566="","",IF($J566&lt;=1500,IF(N(INDEX('Daily Sale entry '!$AB$1:$AB$1501,$J566+1))=0,"",INDEX('Daily Sale entry '!$AB$1:$AB$1501,$J566+1)),1))</f>
        <v/>
      </c>
      <c r="F566" s="6">
        <f>IF($J566="","",IF($J566&lt;=1500,N(INDEX('Daily Sale entry '!$AC$1:$AC$1501,$J566+1))-IF(AND('Opening Balance'!$B$15=1,INDEX('Daily Sale entry '!$Z$1:$Z$1501,$J566+1)="Online collection 网上收款",INDEX('Daily Sale entry '!$AA$1:$AA$1501,$J566+1)&lt;&gt;""),N(INDEX('Daily Sale entry '!$AC$1:$AC$1501,$J566+1))-TRUNC(N(INDEX('Daily Sale entry '!$AC$1:$AC$1501,$J566+1))),0),N(INDEX('Daily Sale entry '!$S$1:$S$1501,$J566-1499))-'Opening Balance'!$B$15*(N(INDEX('Daily Sale entry '!$S$1:$S$1501,$J566-1499))-TRUNC(N(INDEX('Daily Sale entry '!$S$1:$S$1501,$J566-1499))))))</f>
        <v/>
      </c>
      <c r="G566" s="6">
        <f>IF($J566="","",IF($J566&lt;=1500,N(INDEX('Daily Sale entry '!$AD$1:$AD$1501,$J566+1)),0))</f>
        <v/>
      </c>
      <c r="H566" s="6">
        <f>IF($J566="","",ROUND('Opening Balance'!$B$4+SUM($F$2:F566)-SUM($G$2:G566),2))</f>
        <v/>
      </c>
      <c r="J566" s="21">
        <f>IFERROR(MATCH(ROW()-1,$L$2:$L$3001,0),"")</f>
        <v/>
      </c>
      <c r="K566" s="34">
        <f>IF(AND('Daily Sale entry '!X566&lt;&gt;"",OR('Daily Sale entry '!AC566&lt;&gt;"",'Daily Sale entry '!AD566&lt;&gt;"")),'Daily Sale entry '!X566+ROW()/10000000,"")</f>
        <v/>
      </c>
      <c r="L566" s="21">
        <f>IF(K566="","",COUNTIF($K$2:$K$3001,"&lt;"&amp;K566)+1)</f>
        <v/>
      </c>
    </row>
    <row r="567">
      <c r="A567" s="5">
        <f>IF($J567="","",IF($J567&lt;=1500,INDEX('Daily Sale entry '!$X$1:$X$1501,$J567+1),INDEX('Daily Sale entry '!$V$1:$V$1501,$J567-1499)))</f>
        <v/>
      </c>
      <c r="B567">
        <f>IF($J567="","",IF($J567&lt;=1500,INDEX('Daily Sale entry '!$Y$1:$Y$1501,$J567+1)&amp;"","Buyer cheque banked 买家支票存入"&amp;IF(INDEX('Daily Sale entry '!$U$1:$U$1501,$J567-1499)="","", " - "&amp;INDEX('Daily Sale entry '!$U$1:$U$1501,$J567-1499))))</f>
        <v/>
      </c>
      <c r="C567">
        <f>IF($J567="","",IF($J567&lt;=1500,INDEX('Daily Sale entry '!$Z$1:$Z$1501,$J567+1)&amp;"","Cheque deposit 支票存入 (buyer 买家)"))</f>
        <v/>
      </c>
      <c r="D567">
        <f>IF($J567="","",IF($J567&lt;=1500,INDEX('Daily Sale entry '!$AA$1:$AA$1501,$J567+1)&amp;"",INDEX('Daily Sale entry '!$P$1:$P$1501,$J567-1499)&amp;""))</f>
        <v/>
      </c>
      <c r="E567">
        <f>IF($J567="","",IF($J567&lt;=1500,IF(N(INDEX('Daily Sale entry '!$AB$1:$AB$1501,$J567+1))=0,"",INDEX('Daily Sale entry '!$AB$1:$AB$1501,$J567+1)),1))</f>
        <v/>
      </c>
      <c r="F567" s="6">
        <f>IF($J567="","",IF($J567&lt;=1500,N(INDEX('Daily Sale entry '!$AC$1:$AC$1501,$J567+1))-IF(AND('Opening Balance'!$B$15=1,INDEX('Daily Sale entry '!$Z$1:$Z$1501,$J567+1)="Online collection 网上收款",INDEX('Daily Sale entry '!$AA$1:$AA$1501,$J567+1)&lt;&gt;""),N(INDEX('Daily Sale entry '!$AC$1:$AC$1501,$J567+1))-TRUNC(N(INDEX('Daily Sale entry '!$AC$1:$AC$1501,$J567+1))),0),N(INDEX('Daily Sale entry '!$S$1:$S$1501,$J567-1499))-'Opening Balance'!$B$15*(N(INDEX('Daily Sale entry '!$S$1:$S$1501,$J567-1499))-TRUNC(N(INDEX('Daily Sale entry '!$S$1:$S$1501,$J567-1499))))))</f>
        <v/>
      </c>
      <c r="G567" s="6">
        <f>IF($J567="","",IF($J567&lt;=1500,N(INDEX('Daily Sale entry '!$AD$1:$AD$1501,$J567+1)),0))</f>
        <v/>
      </c>
      <c r="H567" s="6">
        <f>IF($J567="","",ROUND('Opening Balance'!$B$4+SUM($F$2:F567)-SUM($G$2:G567),2))</f>
        <v/>
      </c>
      <c r="J567" s="21">
        <f>IFERROR(MATCH(ROW()-1,$L$2:$L$3001,0),"")</f>
        <v/>
      </c>
      <c r="K567" s="34">
        <f>IF(AND('Daily Sale entry '!X567&lt;&gt;"",OR('Daily Sale entry '!AC567&lt;&gt;"",'Daily Sale entry '!AD567&lt;&gt;"")),'Daily Sale entry '!X567+ROW()/10000000,"")</f>
        <v/>
      </c>
      <c r="L567" s="21">
        <f>IF(K567="","",COUNTIF($K$2:$K$3001,"&lt;"&amp;K567)+1)</f>
        <v/>
      </c>
    </row>
    <row r="568">
      <c r="A568" s="5">
        <f>IF($J568="","",IF($J568&lt;=1500,INDEX('Daily Sale entry '!$X$1:$X$1501,$J568+1),INDEX('Daily Sale entry '!$V$1:$V$1501,$J568-1499)))</f>
        <v/>
      </c>
      <c r="B568">
        <f>IF($J568="","",IF($J568&lt;=1500,INDEX('Daily Sale entry '!$Y$1:$Y$1501,$J568+1)&amp;"","Buyer cheque banked 买家支票存入"&amp;IF(INDEX('Daily Sale entry '!$U$1:$U$1501,$J568-1499)="","", " - "&amp;INDEX('Daily Sale entry '!$U$1:$U$1501,$J568-1499))))</f>
        <v/>
      </c>
      <c r="C568">
        <f>IF($J568="","",IF($J568&lt;=1500,INDEX('Daily Sale entry '!$Z$1:$Z$1501,$J568+1)&amp;"","Cheque deposit 支票存入 (buyer 买家)"))</f>
        <v/>
      </c>
      <c r="D568">
        <f>IF($J568="","",IF($J568&lt;=1500,INDEX('Daily Sale entry '!$AA$1:$AA$1501,$J568+1)&amp;"",INDEX('Daily Sale entry '!$P$1:$P$1501,$J568-1499)&amp;""))</f>
        <v/>
      </c>
      <c r="E568">
        <f>IF($J568="","",IF($J568&lt;=1500,IF(N(INDEX('Daily Sale entry '!$AB$1:$AB$1501,$J568+1))=0,"",INDEX('Daily Sale entry '!$AB$1:$AB$1501,$J568+1)),1))</f>
        <v/>
      </c>
      <c r="F568" s="6">
        <f>IF($J568="","",IF($J568&lt;=1500,N(INDEX('Daily Sale entry '!$AC$1:$AC$1501,$J568+1))-IF(AND('Opening Balance'!$B$15=1,INDEX('Daily Sale entry '!$Z$1:$Z$1501,$J568+1)="Online collection 网上收款",INDEX('Daily Sale entry '!$AA$1:$AA$1501,$J568+1)&lt;&gt;""),N(INDEX('Daily Sale entry '!$AC$1:$AC$1501,$J568+1))-TRUNC(N(INDEX('Daily Sale entry '!$AC$1:$AC$1501,$J568+1))),0),N(INDEX('Daily Sale entry '!$S$1:$S$1501,$J568-1499))-'Opening Balance'!$B$15*(N(INDEX('Daily Sale entry '!$S$1:$S$1501,$J568-1499))-TRUNC(N(INDEX('Daily Sale entry '!$S$1:$S$1501,$J568-1499))))))</f>
        <v/>
      </c>
      <c r="G568" s="6">
        <f>IF($J568="","",IF($J568&lt;=1500,N(INDEX('Daily Sale entry '!$AD$1:$AD$1501,$J568+1)),0))</f>
        <v/>
      </c>
      <c r="H568" s="6">
        <f>IF($J568="","",ROUND('Opening Balance'!$B$4+SUM($F$2:F568)-SUM($G$2:G568),2))</f>
        <v/>
      </c>
      <c r="J568" s="21">
        <f>IFERROR(MATCH(ROW()-1,$L$2:$L$3001,0),"")</f>
        <v/>
      </c>
      <c r="K568" s="34">
        <f>IF(AND('Daily Sale entry '!X568&lt;&gt;"",OR('Daily Sale entry '!AC568&lt;&gt;"",'Daily Sale entry '!AD568&lt;&gt;"")),'Daily Sale entry '!X568+ROW()/10000000,"")</f>
        <v/>
      </c>
      <c r="L568" s="21">
        <f>IF(K568="","",COUNTIF($K$2:$K$3001,"&lt;"&amp;K568)+1)</f>
        <v/>
      </c>
    </row>
    <row r="569">
      <c r="A569" s="5">
        <f>IF($J569="","",IF($J569&lt;=1500,INDEX('Daily Sale entry '!$X$1:$X$1501,$J569+1),INDEX('Daily Sale entry '!$V$1:$V$1501,$J569-1499)))</f>
        <v/>
      </c>
      <c r="B569">
        <f>IF($J569="","",IF($J569&lt;=1500,INDEX('Daily Sale entry '!$Y$1:$Y$1501,$J569+1)&amp;"","Buyer cheque banked 买家支票存入"&amp;IF(INDEX('Daily Sale entry '!$U$1:$U$1501,$J569-1499)="","", " - "&amp;INDEX('Daily Sale entry '!$U$1:$U$1501,$J569-1499))))</f>
        <v/>
      </c>
      <c r="C569">
        <f>IF($J569="","",IF($J569&lt;=1500,INDEX('Daily Sale entry '!$Z$1:$Z$1501,$J569+1)&amp;"","Cheque deposit 支票存入 (buyer 买家)"))</f>
        <v/>
      </c>
      <c r="D569">
        <f>IF($J569="","",IF($J569&lt;=1500,INDEX('Daily Sale entry '!$AA$1:$AA$1501,$J569+1)&amp;"",INDEX('Daily Sale entry '!$P$1:$P$1501,$J569-1499)&amp;""))</f>
        <v/>
      </c>
      <c r="E569">
        <f>IF($J569="","",IF($J569&lt;=1500,IF(N(INDEX('Daily Sale entry '!$AB$1:$AB$1501,$J569+1))=0,"",INDEX('Daily Sale entry '!$AB$1:$AB$1501,$J569+1)),1))</f>
        <v/>
      </c>
      <c r="F569" s="6">
        <f>IF($J569="","",IF($J569&lt;=1500,N(INDEX('Daily Sale entry '!$AC$1:$AC$1501,$J569+1))-IF(AND('Opening Balance'!$B$15=1,INDEX('Daily Sale entry '!$Z$1:$Z$1501,$J569+1)="Online collection 网上收款",INDEX('Daily Sale entry '!$AA$1:$AA$1501,$J569+1)&lt;&gt;""),N(INDEX('Daily Sale entry '!$AC$1:$AC$1501,$J569+1))-TRUNC(N(INDEX('Daily Sale entry '!$AC$1:$AC$1501,$J569+1))),0),N(INDEX('Daily Sale entry '!$S$1:$S$1501,$J569-1499))-'Opening Balance'!$B$15*(N(INDEX('Daily Sale entry '!$S$1:$S$1501,$J569-1499))-TRUNC(N(INDEX('Daily Sale entry '!$S$1:$S$1501,$J569-1499))))))</f>
        <v/>
      </c>
      <c r="G569" s="6">
        <f>IF($J569="","",IF($J569&lt;=1500,N(INDEX('Daily Sale entry '!$AD$1:$AD$1501,$J569+1)),0))</f>
        <v/>
      </c>
      <c r="H569" s="6">
        <f>IF($J569="","",ROUND('Opening Balance'!$B$4+SUM($F$2:F569)-SUM($G$2:G569),2))</f>
        <v/>
      </c>
      <c r="J569" s="21">
        <f>IFERROR(MATCH(ROW()-1,$L$2:$L$3001,0),"")</f>
        <v/>
      </c>
      <c r="K569" s="34">
        <f>IF(AND('Daily Sale entry '!X569&lt;&gt;"",OR('Daily Sale entry '!AC569&lt;&gt;"",'Daily Sale entry '!AD569&lt;&gt;"")),'Daily Sale entry '!X569+ROW()/10000000,"")</f>
        <v/>
      </c>
      <c r="L569" s="21">
        <f>IF(K569="","",COUNTIF($K$2:$K$3001,"&lt;"&amp;K569)+1)</f>
        <v/>
      </c>
    </row>
    <row r="570">
      <c r="A570" s="5">
        <f>IF($J570="","",IF($J570&lt;=1500,INDEX('Daily Sale entry '!$X$1:$X$1501,$J570+1),INDEX('Daily Sale entry '!$V$1:$V$1501,$J570-1499)))</f>
        <v/>
      </c>
      <c r="B570">
        <f>IF($J570="","",IF($J570&lt;=1500,INDEX('Daily Sale entry '!$Y$1:$Y$1501,$J570+1)&amp;"","Buyer cheque banked 买家支票存入"&amp;IF(INDEX('Daily Sale entry '!$U$1:$U$1501,$J570-1499)="","", " - "&amp;INDEX('Daily Sale entry '!$U$1:$U$1501,$J570-1499))))</f>
        <v/>
      </c>
      <c r="C570">
        <f>IF($J570="","",IF($J570&lt;=1500,INDEX('Daily Sale entry '!$Z$1:$Z$1501,$J570+1)&amp;"","Cheque deposit 支票存入 (buyer 买家)"))</f>
        <v/>
      </c>
      <c r="D570">
        <f>IF($J570="","",IF($J570&lt;=1500,INDEX('Daily Sale entry '!$AA$1:$AA$1501,$J570+1)&amp;"",INDEX('Daily Sale entry '!$P$1:$P$1501,$J570-1499)&amp;""))</f>
        <v/>
      </c>
      <c r="E570">
        <f>IF($J570="","",IF($J570&lt;=1500,IF(N(INDEX('Daily Sale entry '!$AB$1:$AB$1501,$J570+1))=0,"",INDEX('Daily Sale entry '!$AB$1:$AB$1501,$J570+1)),1))</f>
        <v/>
      </c>
      <c r="F570" s="6">
        <f>IF($J570="","",IF($J570&lt;=1500,N(INDEX('Daily Sale entry '!$AC$1:$AC$1501,$J570+1))-IF(AND('Opening Balance'!$B$15=1,INDEX('Daily Sale entry '!$Z$1:$Z$1501,$J570+1)="Online collection 网上收款",INDEX('Daily Sale entry '!$AA$1:$AA$1501,$J570+1)&lt;&gt;""),N(INDEX('Daily Sale entry '!$AC$1:$AC$1501,$J570+1))-TRUNC(N(INDEX('Daily Sale entry '!$AC$1:$AC$1501,$J570+1))),0),N(INDEX('Daily Sale entry '!$S$1:$S$1501,$J570-1499))-'Opening Balance'!$B$15*(N(INDEX('Daily Sale entry '!$S$1:$S$1501,$J570-1499))-TRUNC(N(INDEX('Daily Sale entry '!$S$1:$S$1501,$J570-1499))))))</f>
        <v/>
      </c>
      <c r="G570" s="6">
        <f>IF($J570="","",IF($J570&lt;=1500,N(INDEX('Daily Sale entry '!$AD$1:$AD$1501,$J570+1)),0))</f>
        <v/>
      </c>
      <c r="H570" s="6">
        <f>IF($J570="","",ROUND('Opening Balance'!$B$4+SUM($F$2:F570)-SUM($G$2:G570),2))</f>
        <v/>
      </c>
      <c r="J570" s="21">
        <f>IFERROR(MATCH(ROW()-1,$L$2:$L$3001,0),"")</f>
        <v/>
      </c>
      <c r="K570" s="34">
        <f>IF(AND('Daily Sale entry '!X570&lt;&gt;"",OR('Daily Sale entry '!AC570&lt;&gt;"",'Daily Sale entry '!AD570&lt;&gt;"")),'Daily Sale entry '!X570+ROW()/10000000,"")</f>
        <v/>
      </c>
      <c r="L570" s="21">
        <f>IF(K570="","",COUNTIF($K$2:$K$3001,"&lt;"&amp;K570)+1)</f>
        <v/>
      </c>
    </row>
    <row r="571">
      <c r="A571" s="5">
        <f>IF($J571="","",IF($J571&lt;=1500,INDEX('Daily Sale entry '!$X$1:$X$1501,$J571+1),INDEX('Daily Sale entry '!$V$1:$V$1501,$J571-1499)))</f>
        <v/>
      </c>
      <c r="B571">
        <f>IF($J571="","",IF($J571&lt;=1500,INDEX('Daily Sale entry '!$Y$1:$Y$1501,$J571+1)&amp;"","Buyer cheque banked 买家支票存入"&amp;IF(INDEX('Daily Sale entry '!$U$1:$U$1501,$J571-1499)="","", " - "&amp;INDEX('Daily Sale entry '!$U$1:$U$1501,$J571-1499))))</f>
        <v/>
      </c>
      <c r="C571">
        <f>IF($J571="","",IF($J571&lt;=1500,INDEX('Daily Sale entry '!$Z$1:$Z$1501,$J571+1)&amp;"","Cheque deposit 支票存入 (buyer 买家)"))</f>
        <v/>
      </c>
      <c r="D571">
        <f>IF($J571="","",IF($J571&lt;=1500,INDEX('Daily Sale entry '!$AA$1:$AA$1501,$J571+1)&amp;"",INDEX('Daily Sale entry '!$P$1:$P$1501,$J571-1499)&amp;""))</f>
        <v/>
      </c>
      <c r="E571">
        <f>IF($J571="","",IF($J571&lt;=1500,IF(N(INDEX('Daily Sale entry '!$AB$1:$AB$1501,$J571+1))=0,"",INDEX('Daily Sale entry '!$AB$1:$AB$1501,$J571+1)),1))</f>
        <v/>
      </c>
      <c r="F571" s="6">
        <f>IF($J571="","",IF($J571&lt;=1500,N(INDEX('Daily Sale entry '!$AC$1:$AC$1501,$J571+1))-IF(AND('Opening Balance'!$B$15=1,INDEX('Daily Sale entry '!$Z$1:$Z$1501,$J571+1)="Online collection 网上收款",INDEX('Daily Sale entry '!$AA$1:$AA$1501,$J571+1)&lt;&gt;""),N(INDEX('Daily Sale entry '!$AC$1:$AC$1501,$J571+1))-TRUNC(N(INDEX('Daily Sale entry '!$AC$1:$AC$1501,$J571+1))),0),N(INDEX('Daily Sale entry '!$S$1:$S$1501,$J571-1499))-'Opening Balance'!$B$15*(N(INDEX('Daily Sale entry '!$S$1:$S$1501,$J571-1499))-TRUNC(N(INDEX('Daily Sale entry '!$S$1:$S$1501,$J571-1499))))))</f>
        <v/>
      </c>
      <c r="G571" s="6">
        <f>IF($J571="","",IF($J571&lt;=1500,N(INDEX('Daily Sale entry '!$AD$1:$AD$1501,$J571+1)),0))</f>
        <v/>
      </c>
      <c r="H571" s="6">
        <f>IF($J571="","",ROUND('Opening Balance'!$B$4+SUM($F$2:F571)-SUM($G$2:G571),2))</f>
        <v/>
      </c>
      <c r="J571" s="21">
        <f>IFERROR(MATCH(ROW()-1,$L$2:$L$3001,0),"")</f>
        <v/>
      </c>
      <c r="K571" s="34">
        <f>IF(AND('Daily Sale entry '!X571&lt;&gt;"",OR('Daily Sale entry '!AC571&lt;&gt;"",'Daily Sale entry '!AD571&lt;&gt;"")),'Daily Sale entry '!X571+ROW()/10000000,"")</f>
        <v/>
      </c>
      <c r="L571" s="21">
        <f>IF(K571="","",COUNTIF($K$2:$K$3001,"&lt;"&amp;K571)+1)</f>
        <v/>
      </c>
    </row>
    <row r="572">
      <c r="A572" s="5">
        <f>IF($J572="","",IF($J572&lt;=1500,INDEX('Daily Sale entry '!$X$1:$X$1501,$J572+1),INDEX('Daily Sale entry '!$V$1:$V$1501,$J572-1499)))</f>
        <v/>
      </c>
      <c r="B572">
        <f>IF($J572="","",IF($J572&lt;=1500,INDEX('Daily Sale entry '!$Y$1:$Y$1501,$J572+1)&amp;"","Buyer cheque banked 买家支票存入"&amp;IF(INDEX('Daily Sale entry '!$U$1:$U$1501,$J572-1499)="","", " - "&amp;INDEX('Daily Sale entry '!$U$1:$U$1501,$J572-1499))))</f>
        <v/>
      </c>
      <c r="C572">
        <f>IF($J572="","",IF($J572&lt;=1500,INDEX('Daily Sale entry '!$Z$1:$Z$1501,$J572+1)&amp;"","Cheque deposit 支票存入 (buyer 买家)"))</f>
        <v/>
      </c>
      <c r="D572">
        <f>IF($J572="","",IF($J572&lt;=1500,INDEX('Daily Sale entry '!$AA$1:$AA$1501,$J572+1)&amp;"",INDEX('Daily Sale entry '!$P$1:$P$1501,$J572-1499)&amp;""))</f>
        <v/>
      </c>
      <c r="E572">
        <f>IF($J572="","",IF($J572&lt;=1500,IF(N(INDEX('Daily Sale entry '!$AB$1:$AB$1501,$J572+1))=0,"",INDEX('Daily Sale entry '!$AB$1:$AB$1501,$J572+1)),1))</f>
        <v/>
      </c>
      <c r="F572" s="6">
        <f>IF($J572="","",IF($J572&lt;=1500,N(INDEX('Daily Sale entry '!$AC$1:$AC$1501,$J572+1))-IF(AND('Opening Balance'!$B$15=1,INDEX('Daily Sale entry '!$Z$1:$Z$1501,$J572+1)="Online collection 网上收款",INDEX('Daily Sale entry '!$AA$1:$AA$1501,$J572+1)&lt;&gt;""),N(INDEX('Daily Sale entry '!$AC$1:$AC$1501,$J572+1))-TRUNC(N(INDEX('Daily Sale entry '!$AC$1:$AC$1501,$J572+1))),0),N(INDEX('Daily Sale entry '!$S$1:$S$1501,$J572-1499))-'Opening Balance'!$B$15*(N(INDEX('Daily Sale entry '!$S$1:$S$1501,$J572-1499))-TRUNC(N(INDEX('Daily Sale entry '!$S$1:$S$1501,$J572-1499))))))</f>
        <v/>
      </c>
      <c r="G572" s="6">
        <f>IF($J572="","",IF($J572&lt;=1500,N(INDEX('Daily Sale entry '!$AD$1:$AD$1501,$J572+1)),0))</f>
        <v/>
      </c>
      <c r="H572" s="6">
        <f>IF($J572="","",ROUND('Opening Balance'!$B$4+SUM($F$2:F572)-SUM($G$2:G572),2))</f>
        <v/>
      </c>
      <c r="J572" s="21">
        <f>IFERROR(MATCH(ROW()-1,$L$2:$L$3001,0),"")</f>
        <v/>
      </c>
      <c r="K572" s="34">
        <f>IF(AND('Daily Sale entry '!X572&lt;&gt;"",OR('Daily Sale entry '!AC572&lt;&gt;"",'Daily Sale entry '!AD572&lt;&gt;"")),'Daily Sale entry '!X572+ROW()/10000000,"")</f>
        <v/>
      </c>
      <c r="L572" s="21">
        <f>IF(K572="","",COUNTIF($K$2:$K$3001,"&lt;"&amp;K572)+1)</f>
        <v/>
      </c>
    </row>
    <row r="573">
      <c r="A573" s="5">
        <f>IF($J573="","",IF($J573&lt;=1500,INDEX('Daily Sale entry '!$X$1:$X$1501,$J573+1),INDEX('Daily Sale entry '!$V$1:$V$1501,$J573-1499)))</f>
        <v/>
      </c>
      <c r="B573">
        <f>IF($J573="","",IF($J573&lt;=1500,INDEX('Daily Sale entry '!$Y$1:$Y$1501,$J573+1)&amp;"","Buyer cheque banked 买家支票存入"&amp;IF(INDEX('Daily Sale entry '!$U$1:$U$1501,$J573-1499)="","", " - "&amp;INDEX('Daily Sale entry '!$U$1:$U$1501,$J573-1499))))</f>
        <v/>
      </c>
      <c r="C573">
        <f>IF($J573="","",IF($J573&lt;=1500,INDEX('Daily Sale entry '!$Z$1:$Z$1501,$J573+1)&amp;"","Cheque deposit 支票存入 (buyer 买家)"))</f>
        <v/>
      </c>
      <c r="D573">
        <f>IF($J573="","",IF($J573&lt;=1500,INDEX('Daily Sale entry '!$AA$1:$AA$1501,$J573+1)&amp;"",INDEX('Daily Sale entry '!$P$1:$P$1501,$J573-1499)&amp;""))</f>
        <v/>
      </c>
      <c r="E573">
        <f>IF($J573="","",IF($J573&lt;=1500,IF(N(INDEX('Daily Sale entry '!$AB$1:$AB$1501,$J573+1))=0,"",INDEX('Daily Sale entry '!$AB$1:$AB$1501,$J573+1)),1))</f>
        <v/>
      </c>
      <c r="F573" s="6">
        <f>IF($J573="","",IF($J573&lt;=1500,N(INDEX('Daily Sale entry '!$AC$1:$AC$1501,$J573+1))-IF(AND('Opening Balance'!$B$15=1,INDEX('Daily Sale entry '!$Z$1:$Z$1501,$J573+1)="Online collection 网上收款",INDEX('Daily Sale entry '!$AA$1:$AA$1501,$J573+1)&lt;&gt;""),N(INDEX('Daily Sale entry '!$AC$1:$AC$1501,$J573+1))-TRUNC(N(INDEX('Daily Sale entry '!$AC$1:$AC$1501,$J573+1))),0),N(INDEX('Daily Sale entry '!$S$1:$S$1501,$J573-1499))-'Opening Balance'!$B$15*(N(INDEX('Daily Sale entry '!$S$1:$S$1501,$J573-1499))-TRUNC(N(INDEX('Daily Sale entry '!$S$1:$S$1501,$J573-1499))))))</f>
        <v/>
      </c>
      <c r="G573" s="6">
        <f>IF($J573="","",IF($J573&lt;=1500,N(INDEX('Daily Sale entry '!$AD$1:$AD$1501,$J573+1)),0))</f>
        <v/>
      </c>
      <c r="H573" s="6">
        <f>IF($J573="","",ROUND('Opening Balance'!$B$4+SUM($F$2:F573)-SUM($G$2:G573),2))</f>
        <v/>
      </c>
      <c r="J573" s="21">
        <f>IFERROR(MATCH(ROW()-1,$L$2:$L$3001,0),"")</f>
        <v/>
      </c>
      <c r="K573" s="34">
        <f>IF(AND('Daily Sale entry '!X573&lt;&gt;"",OR('Daily Sale entry '!AC573&lt;&gt;"",'Daily Sale entry '!AD573&lt;&gt;"")),'Daily Sale entry '!X573+ROW()/10000000,"")</f>
        <v/>
      </c>
      <c r="L573" s="21">
        <f>IF(K573="","",COUNTIF($K$2:$K$3001,"&lt;"&amp;K573)+1)</f>
        <v/>
      </c>
    </row>
    <row r="574">
      <c r="A574" s="5">
        <f>IF($J574="","",IF($J574&lt;=1500,INDEX('Daily Sale entry '!$X$1:$X$1501,$J574+1),INDEX('Daily Sale entry '!$V$1:$V$1501,$J574-1499)))</f>
        <v/>
      </c>
      <c r="B574">
        <f>IF($J574="","",IF($J574&lt;=1500,INDEX('Daily Sale entry '!$Y$1:$Y$1501,$J574+1)&amp;"","Buyer cheque banked 买家支票存入"&amp;IF(INDEX('Daily Sale entry '!$U$1:$U$1501,$J574-1499)="","", " - "&amp;INDEX('Daily Sale entry '!$U$1:$U$1501,$J574-1499))))</f>
        <v/>
      </c>
      <c r="C574">
        <f>IF($J574="","",IF($J574&lt;=1500,INDEX('Daily Sale entry '!$Z$1:$Z$1501,$J574+1)&amp;"","Cheque deposit 支票存入 (buyer 买家)"))</f>
        <v/>
      </c>
      <c r="D574">
        <f>IF($J574="","",IF($J574&lt;=1500,INDEX('Daily Sale entry '!$AA$1:$AA$1501,$J574+1)&amp;"",INDEX('Daily Sale entry '!$P$1:$P$1501,$J574-1499)&amp;""))</f>
        <v/>
      </c>
      <c r="E574">
        <f>IF($J574="","",IF($J574&lt;=1500,IF(N(INDEX('Daily Sale entry '!$AB$1:$AB$1501,$J574+1))=0,"",INDEX('Daily Sale entry '!$AB$1:$AB$1501,$J574+1)),1))</f>
        <v/>
      </c>
      <c r="F574" s="6">
        <f>IF($J574="","",IF($J574&lt;=1500,N(INDEX('Daily Sale entry '!$AC$1:$AC$1501,$J574+1))-IF(AND('Opening Balance'!$B$15=1,INDEX('Daily Sale entry '!$Z$1:$Z$1501,$J574+1)="Online collection 网上收款",INDEX('Daily Sale entry '!$AA$1:$AA$1501,$J574+1)&lt;&gt;""),N(INDEX('Daily Sale entry '!$AC$1:$AC$1501,$J574+1))-TRUNC(N(INDEX('Daily Sale entry '!$AC$1:$AC$1501,$J574+1))),0),N(INDEX('Daily Sale entry '!$S$1:$S$1501,$J574-1499))-'Opening Balance'!$B$15*(N(INDEX('Daily Sale entry '!$S$1:$S$1501,$J574-1499))-TRUNC(N(INDEX('Daily Sale entry '!$S$1:$S$1501,$J574-1499))))))</f>
        <v/>
      </c>
      <c r="G574" s="6">
        <f>IF($J574="","",IF($J574&lt;=1500,N(INDEX('Daily Sale entry '!$AD$1:$AD$1501,$J574+1)),0))</f>
        <v/>
      </c>
      <c r="H574" s="6">
        <f>IF($J574="","",ROUND('Opening Balance'!$B$4+SUM($F$2:F574)-SUM($G$2:G574),2))</f>
        <v/>
      </c>
      <c r="J574" s="21">
        <f>IFERROR(MATCH(ROW()-1,$L$2:$L$3001,0),"")</f>
        <v/>
      </c>
      <c r="K574" s="34">
        <f>IF(AND('Daily Sale entry '!X574&lt;&gt;"",OR('Daily Sale entry '!AC574&lt;&gt;"",'Daily Sale entry '!AD574&lt;&gt;"")),'Daily Sale entry '!X574+ROW()/10000000,"")</f>
        <v/>
      </c>
      <c r="L574" s="21">
        <f>IF(K574="","",COUNTIF($K$2:$K$3001,"&lt;"&amp;K574)+1)</f>
        <v/>
      </c>
    </row>
    <row r="575">
      <c r="A575" s="5">
        <f>IF($J575="","",IF($J575&lt;=1500,INDEX('Daily Sale entry '!$X$1:$X$1501,$J575+1),INDEX('Daily Sale entry '!$V$1:$V$1501,$J575-1499)))</f>
        <v/>
      </c>
      <c r="B575">
        <f>IF($J575="","",IF($J575&lt;=1500,INDEX('Daily Sale entry '!$Y$1:$Y$1501,$J575+1)&amp;"","Buyer cheque banked 买家支票存入"&amp;IF(INDEX('Daily Sale entry '!$U$1:$U$1501,$J575-1499)="","", " - "&amp;INDEX('Daily Sale entry '!$U$1:$U$1501,$J575-1499))))</f>
        <v/>
      </c>
      <c r="C575">
        <f>IF($J575="","",IF($J575&lt;=1500,INDEX('Daily Sale entry '!$Z$1:$Z$1501,$J575+1)&amp;"","Cheque deposit 支票存入 (buyer 买家)"))</f>
        <v/>
      </c>
      <c r="D575">
        <f>IF($J575="","",IF($J575&lt;=1500,INDEX('Daily Sale entry '!$AA$1:$AA$1501,$J575+1)&amp;"",INDEX('Daily Sale entry '!$P$1:$P$1501,$J575-1499)&amp;""))</f>
        <v/>
      </c>
      <c r="E575">
        <f>IF($J575="","",IF($J575&lt;=1500,IF(N(INDEX('Daily Sale entry '!$AB$1:$AB$1501,$J575+1))=0,"",INDEX('Daily Sale entry '!$AB$1:$AB$1501,$J575+1)),1))</f>
        <v/>
      </c>
      <c r="F575" s="6">
        <f>IF($J575="","",IF($J575&lt;=1500,N(INDEX('Daily Sale entry '!$AC$1:$AC$1501,$J575+1))-IF(AND('Opening Balance'!$B$15=1,INDEX('Daily Sale entry '!$Z$1:$Z$1501,$J575+1)="Online collection 网上收款",INDEX('Daily Sale entry '!$AA$1:$AA$1501,$J575+1)&lt;&gt;""),N(INDEX('Daily Sale entry '!$AC$1:$AC$1501,$J575+1))-TRUNC(N(INDEX('Daily Sale entry '!$AC$1:$AC$1501,$J575+1))),0),N(INDEX('Daily Sale entry '!$S$1:$S$1501,$J575-1499))-'Opening Balance'!$B$15*(N(INDEX('Daily Sale entry '!$S$1:$S$1501,$J575-1499))-TRUNC(N(INDEX('Daily Sale entry '!$S$1:$S$1501,$J575-1499))))))</f>
        <v/>
      </c>
      <c r="G575" s="6">
        <f>IF($J575="","",IF($J575&lt;=1500,N(INDEX('Daily Sale entry '!$AD$1:$AD$1501,$J575+1)),0))</f>
        <v/>
      </c>
      <c r="H575" s="6">
        <f>IF($J575="","",ROUND('Opening Balance'!$B$4+SUM($F$2:F575)-SUM($G$2:G575),2))</f>
        <v/>
      </c>
      <c r="J575" s="21">
        <f>IFERROR(MATCH(ROW()-1,$L$2:$L$3001,0),"")</f>
        <v/>
      </c>
      <c r="K575" s="34">
        <f>IF(AND('Daily Sale entry '!X575&lt;&gt;"",OR('Daily Sale entry '!AC575&lt;&gt;"",'Daily Sale entry '!AD575&lt;&gt;"")),'Daily Sale entry '!X575+ROW()/10000000,"")</f>
        <v/>
      </c>
      <c r="L575" s="21">
        <f>IF(K575="","",COUNTIF($K$2:$K$3001,"&lt;"&amp;K575)+1)</f>
        <v/>
      </c>
    </row>
    <row r="576">
      <c r="A576" s="5">
        <f>IF($J576="","",IF($J576&lt;=1500,INDEX('Daily Sale entry '!$X$1:$X$1501,$J576+1),INDEX('Daily Sale entry '!$V$1:$V$1501,$J576-1499)))</f>
        <v/>
      </c>
      <c r="B576">
        <f>IF($J576="","",IF($J576&lt;=1500,INDEX('Daily Sale entry '!$Y$1:$Y$1501,$J576+1)&amp;"","Buyer cheque banked 买家支票存入"&amp;IF(INDEX('Daily Sale entry '!$U$1:$U$1501,$J576-1499)="","", " - "&amp;INDEX('Daily Sale entry '!$U$1:$U$1501,$J576-1499))))</f>
        <v/>
      </c>
      <c r="C576">
        <f>IF($J576="","",IF($J576&lt;=1500,INDEX('Daily Sale entry '!$Z$1:$Z$1501,$J576+1)&amp;"","Cheque deposit 支票存入 (buyer 买家)"))</f>
        <v/>
      </c>
      <c r="D576">
        <f>IF($J576="","",IF($J576&lt;=1500,INDEX('Daily Sale entry '!$AA$1:$AA$1501,$J576+1)&amp;"",INDEX('Daily Sale entry '!$P$1:$P$1501,$J576-1499)&amp;""))</f>
        <v/>
      </c>
      <c r="E576">
        <f>IF($J576="","",IF($J576&lt;=1500,IF(N(INDEX('Daily Sale entry '!$AB$1:$AB$1501,$J576+1))=0,"",INDEX('Daily Sale entry '!$AB$1:$AB$1501,$J576+1)),1))</f>
        <v/>
      </c>
      <c r="F576" s="6">
        <f>IF($J576="","",IF($J576&lt;=1500,N(INDEX('Daily Sale entry '!$AC$1:$AC$1501,$J576+1))-IF(AND('Opening Balance'!$B$15=1,INDEX('Daily Sale entry '!$Z$1:$Z$1501,$J576+1)="Online collection 网上收款",INDEX('Daily Sale entry '!$AA$1:$AA$1501,$J576+1)&lt;&gt;""),N(INDEX('Daily Sale entry '!$AC$1:$AC$1501,$J576+1))-TRUNC(N(INDEX('Daily Sale entry '!$AC$1:$AC$1501,$J576+1))),0),N(INDEX('Daily Sale entry '!$S$1:$S$1501,$J576-1499))-'Opening Balance'!$B$15*(N(INDEX('Daily Sale entry '!$S$1:$S$1501,$J576-1499))-TRUNC(N(INDEX('Daily Sale entry '!$S$1:$S$1501,$J576-1499))))))</f>
        <v/>
      </c>
      <c r="G576" s="6">
        <f>IF($J576="","",IF($J576&lt;=1500,N(INDEX('Daily Sale entry '!$AD$1:$AD$1501,$J576+1)),0))</f>
        <v/>
      </c>
      <c r="H576" s="6">
        <f>IF($J576="","",ROUND('Opening Balance'!$B$4+SUM($F$2:F576)-SUM($G$2:G576),2))</f>
        <v/>
      </c>
      <c r="J576" s="21">
        <f>IFERROR(MATCH(ROW()-1,$L$2:$L$3001,0),"")</f>
        <v/>
      </c>
      <c r="K576" s="34">
        <f>IF(AND('Daily Sale entry '!X576&lt;&gt;"",OR('Daily Sale entry '!AC576&lt;&gt;"",'Daily Sale entry '!AD576&lt;&gt;"")),'Daily Sale entry '!X576+ROW()/10000000,"")</f>
        <v/>
      </c>
      <c r="L576" s="21">
        <f>IF(K576="","",COUNTIF($K$2:$K$3001,"&lt;"&amp;K576)+1)</f>
        <v/>
      </c>
    </row>
    <row r="577">
      <c r="A577" s="5">
        <f>IF($J577="","",IF($J577&lt;=1500,INDEX('Daily Sale entry '!$X$1:$X$1501,$J577+1),INDEX('Daily Sale entry '!$V$1:$V$1501,$J577-1499)))</f>
        <v/>
      </c>
      <c r="B577">
        <f>IF($J577="","",IF($J577&lt;=1500,INDEX('Daily Sale entry '!$Y$1:$Y$1501,$J577+1)&amp;"","Buyer cheque banked 买家支票存入"&amp;IF(INDEX('Daily Sale entry '!$U$1:$U$1501,$J577-1499)="","", " - "&amp;INDEX('Daily Sale entry '!$U$1:$U$1501,$J577-1499))))</f>
        <v/>
      </c>
      <c r="C577">
        <f>IF($J577="","",IF($J577&lt;=1500,INDEX('Daily Sale entry '!$Z$1:$Z$1501,$J577+1)&amp;"","Cheque deposit 支票存入 (buyer 买家)"))</f>
        <v/>
      </c>
      <c r="D577">
        <f>IF($J577="","",IF($J577&lt;=1500,INDEX('Daily Sale entry '!$AA$1:$AA$1501,$J577+1)&amp;"",INDEX('Daily Sale entry '!$P$1:$P$1501,$J577-1499)&amp;""))</f>
        <v/>
      </c>
      <c r="E577">
        <f>IF($J577="","",IF($J577&lt;=1500,IF(N(INDEX('Daily Sale entry '!$AB$1:$AB$1501,$J577+1))=0,"",INDEX('Daily Sale entry '!$AB$1:$AB$1501,$J577+1)),1))</f>
        <v/>
      </c>
      <c r="F577" s="6">
        <f>IF($J577="","",IF($J577&lt;=1500,N(INDEX('Daily Sale entry '!$AC$1:$AC$1501,$J577+1))-IF(AND('Opening Balance'!$B$15=1,INDEX('Daily Sale entry '!$Z$1:$Z$1501,$J577+1)="Online collection 网上收款",INDEX('Daily Sale entry '!$AA$1:$AA$1501,$J577+1)&lt;&gt;""),N(INDEX('Daily Sale entry '!$AC$1:$AC$1501,$J577+1))-TRUNC(N(INDEX('Daily Sale entry '!$AC$1:$AC$1501,$J577+1))),0),N(INDEX('Daily Sale entry '!$S$1:$S$1501,$J577-1499))-'Opening Balance'!$B$15*(N(INDEX('Daily Sale entry '!$S$1:$S$1501,$J577-1499))-TRUNC(N(INDEX('Daily Sale entry '!$S$1:$S$1501,$J577-1499))))))</f>
        <v/>
      </c>
      <c r="G577" s="6">
        <f>IF($J577="","",IF($J577&lt;=1500,N(INDEX('Daily Sale entry '!$AD$1:$AD$1501,$J577+1)),0))</f>
        <v/>
      </c>
      <c r="H577" s="6">
        <f>IF($J577="","",ROUND('Opening Balance'!$B$4+SUM($F$2:F577)-SUM($G$2:G577),2))</f>
        <v/>
      </c>
      <c r="J577" s="21">
        <f>IFERROR(MATCH(ROW()-1,$L$2:$L$3001,0),"")</f>
        <v/>
      </c>
      <c r="K577" s="34">
        <f>IF(AND('Daily Sale entry '!X577&lt;&gt;"",OR('Daily Sale entry '!AC577&lt;&gt;"",'Daily Sale entry '!AD577&lt;&gt;"")),'Daily Sale entry '!X577+ROW()/10000000,"")</f>
        <v/>
      </c>
      <c r="L577" s="21">
        <f>IF(K577="","",COUNTIF($K$2:$K$3001,"&lt;"&amp;K577)+1)</f>
        <v/>
      </c>
    </row>
    <row r="578">
      <c r="A578" s="5">
        <f>IF($J578="","",IF($J578&lt;=1500,INDEX('Daily Sale entry '!$X$1:$X$1501,$J578+1),INDEX('Daily Sale entry '!$V$1:$V$1501,$J578-1499)))</f>
        <v/>
      </c>
      <c r="B578">
        <f>IF($J578="","",IF($J578&lt;=1500,INDEX('Daily Sale entry '!$Y$1:$Y$1501,$J578+1)&amp;"","Buyer cheque banked 买家支票存入"&amp;IF(INDEX('Daily Sale entry '!$U$1:$U$1501,$J578-1499)="","", " - "&amp;INDEX('Daily Sale entry '!$U$1:$U$1501,$J578-1499))))</f>
        <v/>
      </c>
      <c r="C578">
        <f>IF($J578="","",IF($J578&lt;=1500,INDEX('Daily Sale entry '!$Z$1:$Z$1501,$J578+1)&amp;"","Cheque deposit 支票存入 (buyer 买家)"))</f>
        <v/>
      </c>
      <c r="D578">
        <f>IF($J578="","",IF($J578&lt;=1500,INDEX('Daily Sale entry '!$AA$1:$AA$1501,$J578+1)&amp;"",INDEX('Daily Sale entry '!$P$1:$P$1501,$J578-1499)&amp;""))</f>
        <v/>
      </c>
      <c r="E578">
        <f>IF($J578="","",IF($J578&lt;=1500,IF(N(INDEX('Daily Sale entry '!$AB$1:$AB$1501,$J578+1))=0,"",INDEX('Daily Sale entry '!$AB$1:$AB$1501,$J578+1)),1))</f>
        <v/>
      </c>
      <c r="F578" s="6">
        <f>IF($J578="","",IF($J578&lt;=1500,N(INDEX('Daily Sale entry '!$AC$1:$AC$1501,$J578+1))-IF(AND('Opening Balance'!$B$15=1,INDEX('Daily Sale entry '!$Z$1:$Z$1501,$J578+1)="Online collection 网上收款",INDEX('Daily Sale entry '!$AA$1:$AA$1501,$J578+1)&lt;&gt;""),N(INDEX('Daily Sale entry '!$AC$1:$AC$1501,$J578+1))-TRUNC(N(INDEX('Daily Sale entry '!$AC$1:$AC$1501,$J578+1))),0),N(INDEX('Daily Sale entry '!$S$1:$S$1501,$J578-1499))-'Opening Balance'!$B$15*(N(INDEX('Daily Sale entry '!$S$1:$S$1501,$J578-1499))-TRUNC(N(INDEX('Daily Sale entry '!$S$1:$S$1501,$J578-1499))))))</f>
        <v/>
      </c>
      <c r="G578" s="6">
        <f>IF($J578="","",IF($J578&lt;=1500,N(INDEX('Daily Sale entry '!$AD$1:$AD$1501,$J578+1)),0))</f>
        <v/>
      </c>
      <c r="H578" s="6">
        <f>IF($J578="","",ROUND('Opening Balance'!$B$4+SUM($F$2:F578)-SUM($G$2:G578),2))</f>
        <v/>
      </c>
      <c r="J578" s="21">
        <f>IFERROR(MATCH(ROW()-1,$L$2:$L$3001,0),"")</f>
        <v/>
      </c>
      <c r="K578" s="34">
        <f>IF(AND('Daily Sale entry '!X578&lt;&gt;"",OR('Daily Sale entry '!AC578&lt;&gt;"",'Daily Sale entry '!AD578&lt;&gt;"")),'Daily Sale entry '!X578+ROW()/10000000,"")</f>
        <v/>
      </c>
      <c r="L578" s="21">
        <f>IF(K578="","",COUNTIF($K$2:$K$3001,"&lt;"&amp;K578)+1)</f>
        <v/>
      </c>
    </row>
    <row r="579">
      <c r="A579" s="5">
        <f>IF($J579="","",IF($J579&lt;=1500,INDEX('Daily Sale entry '!$X$1:$X$1501,$J579+1),INDEX('Daily Sale entry '!$V$1:$V$1501,$J579-1499)))</f>
        <v/>
      </c>
      <c r="B579">
        <f>IF($J579="","",IF($J579&lt;=1500,INDEX('Daily Sale entry '!$Y$1:$Y$1501,$J579+1)&amp;"","Buyer cheque banked 买家支票存入"&amp;IF(INDEX('Daily Sale entry '!$U$1:$U$1501,$J579-1499)="","", " - "&amp;INDEX('Daily Sale entry '!$U$1:$U$1501,$J579-1499))))</f>
        <v/>
      </c>
      <c r="C579">
        <f>IF($J579="","",IF($J579&lt;=1500,INDEX('Daily Sale entry '!$Z$1:$Z$1501,$J579+1)&amp;"","Cheque deposit 支票存入 (buyer 买家)"))</f>
        <v/>
      </c>
      <c r="D579">
        <f>IF($J579="","",IF($J579&lt;=1500,INDEX('Daily Sale entry '!$AA$1:$AA$1501,$J579+1)&amp;"",INDEX('Daily Sale entry '!$P$1:$P$1501,$J579-1499)&amp;""))</f>
        <v/>
      </c>
      <c r="E579">
        <f>IF($J579="","",IF($J579&lt;=1500,IF(N(INDEX('Daily Sale entry '!$AB$1:$AB$1501,$J579+1))=0,"",INDEX('Daily Sale entry '!$AB$1:$AB$1501,$J579+1)),1))</f>
        <v/>
      </c>
      <c r="F579" s="6">
        <f>IF($J579="","",IF($J579&lt;=1500,N(INDEX('Daily Sale entry '!$AC$1:$AC$1501,$J579+1))-IF(AND('Opening Balance'!$B$15=1,INDEX('Daily Sale entry '!$Z$1:$Z$1501,$J579+1)="Online collection 网上收款",INDEX('Daily Sale entry '!$AA$1:$AA$1501,$J579+1)&lt;&gt;""),N(INDEX('Daily Sale entry '!$AC$1:$AC$1501,$J579+1))-TRUNC(N(INDEX('Daily Sale entry '!$AC$1:$AC$1501,$J579+1))),0),N(INDEX('Daily Sale entry '!$S$1:$S$1501,$J579-1499))-'Opening Balance'!$B$15*(N(INDEX('Daily Sale entry '!$S$1:$S$1501,$J579-1499))-TRUNC(N(INDEX('Daily Sale entry '!$S$1:$S$1501,$J579-1499))))))</f>
        <v/>
      </c>
      <c r="G579" s="6">
        <f>IF($J579="","",IF($J579&lt;=1500,N(INDEX('Daily Sale entry '!$AD$1:$AD$1501,$J579+1)),0))</f>
        <v/>
      </c>
      <c r="H579" s="6">
        <f>IF($J579="","",ROUND('Opening Balance'!$B$4+SUM($F$2:F579)-SUM($G$2:G579),2))</f>
        <v/>
      </c>
      <c r="J579" s="21">
        <f>IFERROR(MATCH(ROW()-1,$L$2:$L$3001,0),"")</f>
        <v/>
      </c>
      <c r="K579" s="34">
        <f>IF(AND('Daily Sale entry '!X579&lt;&gt;"",OR('Daily Sale entry '!AC579&lt;&gt;"",'Daily Sale entry '!AD579&lt;&gt;"")),'Daily Sale entry '!X579+ROW()/10000000,"")</f>
        <v/>
      </c>
      <c r="L579" s="21">
        <f>IF(K579="","",COUNTIF($K$2:$K$3001,"&lt;"&amp;K579)+1)</f>
        <v/>
      </c>
    </row>
    <row r="580">
      <c r="A580" s="5">
        <f>IF($J580="","",IF($J580&lt;=1500,INDEX('Daily Sale entry '!$X$1:$X$1501,$J580+1),INDEX('Daily Sale entry '!$V$1:$V$1501,$J580-1499)))</f>
        <v/>
      </c>
      <c r="B580">
        <f>IF($J580="","",IF($J580&lt;=1500,INDEX('Daily Sale entry '!$Y$1:$Y$1501,$J580+1)&amp;"","Buyer cheque banked 买家支票存入"&amp;IF(INDEX('Daily Sale entry '!$U$1:$U$1501,$J580-1499)="","", " - "&amp;INDEX('Daily Sale entry '!$U$1:$U$1501,$J580-1499))))</f>
        <v/>
      </c>
      <c r="C580">
        <f>IF($J580="","",IF($J580&lt;=1500,INDEX('Daily Sale entry '!$Z$1:$Z$1501,$J580+1)&amp;"","Cheque deposit 支票存入 (buyer 买家)"))</f>
        <v/>
      </c>
      <c r="D580">
        <f>IF($J580="","",IF($J580&lt;=1500,INDEX('Daily Sale entry '!$AA$1:$AA$1501,$J580+1)&amp;"",INDEX('Daily Sale entry '!$P$1:$P$1501,$J580-1499)&amp;""))</f>
        <v/>
      </c>
      <c r="E580">
        <f>IF($J580="","",IF($J580&lt;=1500,IF(N(INDEX('Daily Sale entry '!$AB$1:$AB$1501,$J580+1))=0,"",INDEX('Daily Sale entry '!$AB$1:$AB$1501,$J580+1)),1))</f>
        <v/>
      </c>
      <c r="F580" s="6">
        <f>IF($J580="","",IF($J580&lt;=1500,N(INDEX('Daily Sale entry '!$AC$1:$AC$1501,$J580+1))-IF(AND('Opening Balance'!$B$15=1,INDEX('Daily Sale entry '!$Z$1:$Z$1501,$J580+1)="Online collection 网上收款",INDEX('Daily Sale entry '!$AA$1:$AA$1501,$J580+1)&lt;&gt;""),N(INDEX('Daily Sale entry '!$AC$1:$AC$1501,$J580+1))-TRUNC(N(INDEX('Daily Sale entry '!$AC$1:$AC$1501,$J580+1))),0),N(INDEX('Daily Sale entry '!$S$1:$S$1501,$J580-1499))-'Opening Balance'!$B$15*(N(INDEX('Daily Sale entry '!$S$1:$S$1501,$J580-1499))-TRUNC(N(INDEX('Daily Sale entry '!$S$1:$S$1501,$J580-1499))))))</f>
        <v/>
      </c>
      <c r="G580" s="6">
        <f>IF($J580="","",IF($J580&lt;=1500,N(INDEX('Daily Sale entry '!$AD$1:$AD$1501,$J580+1)),0))</f>
        <v/>
      </c>
      <c r="H580" s="6">
        <f>IF($J580="","",ROUND('Opening Balance'!$B$4+SUM($F$2:F580)-SUM($G$2:G580),2))</f>
        <v/>
      </c>
      <c r="J580" s="21">
        <f>IFERROR(MATCH(ROW()-1,$L$2:$L$3001,0),"")</f>
        <v/>
      </c>
      <c r="K580" s="34">
        <f>IF(AND('Daily Sale entry '!X580&lt;&gt;"",OR('Daily Sale entry '!AC580&lt;&gt;"",'Daily Sale entry '!AD580&lt;&gt;"")),'Daily Sale entry '!X580+ROW()/10000000,"")</f>
        <v/>
      </c>
      <c r="L580" s="21">
        <f>IF(K580="","",COUNTIF($K$2:$K$3001,"&lt;"&amp;K580)+1)</f>
        <v/>
      </c>
    </row>
    <row r="581">
      <c r="A581" s="5">
        <f>IF($J581="","",IF($J581&lt;=1500,INDEX('Daily Sale entry '!$X$1:$X$1501,$J581+1),INDEX('Daily Sale entry '!$V$1:$V$1501,$J581-1499)))</f>
        <v/>
      </c>
      <c r="B581">
        <f>IF($J581="","",IF($J581&lt;=1500,INDEX('Daily Sale entry '!$Y$1:$Y$1501,$J581+1)&amp;"","Buyer cheque banked 买家支票存入"&amp;IF(INDEX('Daily Sale entry '!$U$1:$U$1501,$J581-1499)="","", " - "&amp;INDEX('Daily Sale entry '!$U$1:$U$1501,$J581-1499))))</f>
        <v/>
      </c>
      <c r="C581">
        <f>IF($J581="","",IF($J581&lt;=1500,INDEX('Daily Sale entry '!$Z$1:$Z$1501,$J581+1)&amp;"","Cheque deposit 支票存入 (buyer 买家)"))</f>
        <v/>
      </c>
      <c r="D581">
        <f>IF($J581="","",IF($J581&lt;=1500,INDEX('Daily Sale entry '!$AA$1:$AA$1501,$J581+1)&amp;"",INDEX('Daily Sale entry '!$P$1:$P$1501,$J581-1499)&amp;""))</f>
        <v/>
      </c>
      <c r="E581">
        <f>IF($J581="","",IF($J581&lt;=1500,IF(N(INDEX('Daily Sale entry '!$AB$1:$AB$1501,$J581+1))=0,"",INDEX('Daily Sale entry '!$AB$1:$AB$1501,$J581+1)),1))</f>
        <v/>
      </c>
      <c r="F581" s="6">
        <f>IF($J581="","",IF($J581&lt;=1500,N(INDEX('Daily Sale entry '!$AC$1:$AC$1501,$J581+1))-IF(AND('Opening Balance'!$B$15=1,INDEX('Daily Sale entry '!$Z$1:$Z$1501,$J581+1)="Online collection 网上收款",INDEX('Daily Sale entry '!$AA$1:$AA$1501,$J581+1)&lt;&gt;""),N(INDEX('Daily Sale entry '!$AC$1:$AC$1501,$J581+1))-TRUNC(N(INDEX('Daily Sale entry '!$AC$1:$AC$1501,$J581+1))),0),N(INDEX('Daily Sale entry '!$S$1:$S$1501,$J581-1499))-'Opening Balance'!$B$15*(N(INDEX('Daily Sale entry '!$S$1:$S$1501,$J581-1499))-TRUNC(N(INDEX('Daily Sale entry '!$S$1:$S$1501,$J581-1499))))))</f>
        <v/>
      </c>
      <c r="G581" s="6">
        <f>IF($J581="","",IF($J581&lt;=1500,N(INDEX('Daily Sale entry '!$AD$1:$AD$1501,$J581+1)),0))</f>
        <v/>
      </c>
      <c r="H581" s="6">
        <f>IF($J581="","",ROUND('Opening Balance'!$B$4+SUM($F$2:F581)-SUM($G$2:G581),2))</f>
        <v/>
      </c>
      <c r="J581" s="21">
        <f>IFERROR(MATCH(ROW()-1,$L$2:$L$3001,0),"")</f>
        <v/>
      </c>
      <c r="K581" s="34">
        <f>IF(AND('Daily Sale entry '!X581&lt;&gt;"",OR('Daily Sale entry '!AC581&lt;&gt;"",'Daily Sale entry '!AD581&lt;&gt;"")),'Daily Sale entry '!X581+ROW()/10000000,"")</f>
        <v/>
      </c>
      <c r="L581" s="21">
        <f>IF(K581="","",COUNTIF($K$2:$K$3001,"&lt;"&amp;K581)+1)</f>
        <v/>
      </c>
    </row>
    <row r="582">
      <c r="A582" s="5">
        <f>IF($J582="","",IF($J582&lt;=1500,INDEX('Daily Sale entry '!$X$1:$X$1501,$J582+1),INDEX('Daily Sale entry '!$V$1:$V$1501,$J582-1499)))</f>
        <v/>
      </c>
      <c r="B582">
        <f>IF($J582="","",IF($J582&lt;=1500,INDEX('Daily Sale entry '!$Y$1:$Y$1501,$J582+1)&amp;"","Buyer cheque banked 买家支票存入"&amp;IF(INDEX('Daily Sale entry '!$U$1:$U$1501,$J582-1499)="","", " - "&amp;INDEX('Daily Sale entry '!$U$1:$U$1501,$J582-1499))))</f>
        <v/>
      </c>
      <c r="C582">
        <f>IF($J582="","",IF($J582&lt;=1500,INDEX('Daily Sale entry '!$Z$1:$Z$1501,$J582+1)&amp;"","Cheque deposit 支票存入 (buyer 买家)"))</f>
        <v/>
      </c>
      <c r="D582">
        <f>IF($J582="","",IF($J582&lt;=1500,INDEX('Daily Sale entry '!$AA$1:$AA$1501,$J582+1)&amp;"",INDEX('Daily Sale entry '!$P$1:$P$1501,$J582-1499)&amp;""))</f>
        <v/>
      </c>
      <c r="E582">
        <f>IF($J582="","",IF($J582&lt;=1500,IF(N(INDEX('Daily Sale entry '!$AB$1:$AB$1501,$J582+1))=0,"",INDEX('Daily Sale entry '!$AB$1:$AB$1501,$J582+1)),1))</f>
        <v/>
      </c>
      <c r="F582" s="6">
        <f>IF($J582="","",IF($J582&lt;=1500,N(INDEX('Daily Sale entry '!$AC$1:$AC$1501,$J582+1))-IF(AND('Opening Balance'!$B$15=1,INDEX('Daily Sale entry '!$Z$1:$Z$1501,$J582+1)="Online collection 网上收款",INDEX('Daily Sale entry '!$AA$1:$AA$1501,$J582+1)&lt;&gt;""),N(INDEX('Daily Sale entry '!$AC$1:$AC$1501,$J582+1))-TRUNC(N(INDEX('Daily Sale entry '!$AC$1:$AC$1501,$J582+1))),0),N(INDEX('Daily Sale entry '!$S$1:$S$1501,$J582-1499))-'Opening Balance'!$B$15*(N(INDEX('Daily Sale entry '!$S$1:$S$1501,$J582-1499))-TRUNC(N(INDEX('Daily Sale entry '!$S$1:$S$1501,$J582-1499))))))</f>
        <v/>
      </c>
      <c r="G582" s="6">
        <f>IF($J582="","",IF($J582&lt;=1500,N(INDEX('Daily Sale entry '!$AD$1:$AD$1501,$J582+1)),0))</f>
        <v/>
      </c>
      <c r="H582" s="6">
        <f>IF($J582="","",ROUND('Opening Balance'!$B$4+SUM($F$2:F582)-SUM($G$2:G582),2))</f>
        <v/>
      </c>
      <c r="J582" s="21">
        <f>IFERROR(MATCH(ROW()-1,$L$2:$L$3001,0),"")</f>
        <v/>
      </c>
      <c r="K582" s="34">
        <f>IF(AND('Daily Sale entry '!X582&lt;&gt;"",OR('Daily Sale entry '!AC582&lt;&gt;"",'Daily Sale entry '!AD582&lt;&gt;"")),'Daily Sale entry '!X582+ROW()/10000000,"")</f>
        <v/>
      </c>
      <c r="L582" s="21">
        <f>IF(K582="","",COUNTIF($K$2:$K$3001,"&lt;"&amp;K582)+1)</f>
        <v/>
      </c>
    </row>
    <row r="583">
      <c r="A583" s="5">
        <f>IF($J583="","",IF($J583&lt;=1500,INDEX('Daily Sale entry '!$X$1:$X$1501,$J583+1),INDEX('Daily Sale entry '!$V$1:$V$1501,$J583-1499)))</f>
        <v/>
      </c>
      <c r="B583">
        <f>IF($J583="","",IF($J583&lt;=1500,INDEX('Daily Sale entry '!$Y$1:$Y$1501,$J583+1)&amp;"","Buyer cheque banked 买家支票存入"&amp;IF(INDEX('Daily Sale entry '!$U$1:$U$1501,$J583-1499)="","", " - "&amp;INDEX('Daily Sale entry '!$U$1:$U$1501,$J583-1499))))</f>
        <v/>
      </c>
      <c r="C583">
        <f>IF($J583="","",IF($J583&lt;=1500,INDEX('Daily Sale entry '!$Z$1:$Z$1501,$J583+1)&amp;"","Cheque deposit 支票存入 (buyer 买家)"))</f>
        <v/>
      </c>
      <c r="D583">
        <f>IF($J583="","",IF($J583&lt;=1500,INDEX('Daily Sale entry '!$AA$1:$AA$1501,$J583+1)&amp;"",INDEX('Daily Sale entry '!$P$1:$P$1501,$J583-1499)&amp;""))</f>
        <v/>
      </c>
      <c r="E583">
        <f>IF($J583="","",IF($J583&lt;=1500,IF(N(INDEX('Daily Sale entry '!$AB$1:$AB$1501,$J583+1))=0,"",INDEX('Daily Sale entry '!$AB$1:$AB$1501,$J583+1)),1))</f>
        <v/>
      </c>
      <c r="F583" s="6">
        <f>IF($J583="","",IF($J583&lt;=1500,N(INDEX('Daily Sale entry '!$AC$1:$AC$1501,$J583+1))-IF(AND('Opening Balance'!$B$15=1,INDEX('Daily Sale entry '!$Z$1:$Z$1501,$J583+1)="Online collection 网上收款",INDEX('Daily Sale entry '!$AA$1:$AA$1501,$J583+1)&lt;&gt;""),N(INDEX('Daily Sale entry '!$AC$1:$AC$1501,$J583+1))-TRUNC(N(INDEX('Daily Sale entry '!$AC$1:$AC$1501,$J583+1))),0),N(INDEX('Daily Sale entry '!$S$1:$S$1501,$J583-1499))-'Opening Balance'!$B$15*(N(INDEX('Daily Sale entry '!$S$1:$S$1501,$J583-1499))-TRUNC(N(INDEX('Daily Sale entry '!$S$1:$S$1501,$J583-1499))))))</f>
        <v/>
      </c>
      <c r="G583" s="6">
        <f>IF($J583="","",IF($J583&lt;=1500,N(INDEX('Daily Sale entry '!$AD$1:$AD$1501,$J583+1)),0))</f>
        <v/>
      </c>
      <c r="H583" s="6">
        <f>IF($J583="","",ROUND('Opening Balance'!$B$4+SUM($F$2:F583)-SUM($G$2:G583),2))</f>
        <v/>
      </c>
      <c r="J583" s="21">
        <f>IFERROR(MATCH(ROW()-1,$L$2:$L$3001,0),"")</f>
        <v/>
      </c>
      <c r="K583" s="34">
        <f>IF(AND('Daily Sale entry '!X583&lt;&gt;"",OR('Daily Sale entry '!AC583&lt;&gt;"",'Daily Sale entry '!AD583&lt;&gt;"")),'Daily Sale entry '!X583+ROW()/10000000,"")</f>
        <v/>
      </c>
      <c r="L583" s="21">
        <f>IF(K583="","",COUNTIF($K$2:$K$3001,"&lt;"&amp;K583)+1)</f>
        <v/>
      </c>
    </row>
    <row r="584">
      <c r="A584" s="5">
        <f>IF($J584="","",IF($J584&lt;=1500,INDEX('Daily Sale entry '!$X$1:$X$1501,$J584+1),INDEX('Daily Sale entry '!$V$1:$V$1501,$J584-1499)))</f>
        <v/>
      </c>
      <c r="B584">
        <f>IF($J584="","",IF($J584&lt;=1500,INDEX('Daily Sale entry '!$Y$1:$Y$1501,$J584+1)&amp;"","Buyer cheque banked 买家支票存入"&amp;IF(INDEX('Daily Sale entry '!$U$1:$U$1501,$J584-1499)="","", " - "&amp;INDEX('Daily Sale entry '!$U$1:$U$1501,$J584-1499))))</f>
        <v/>
      </c>
      <c r="C584">
        <f>IF($J584="","",IF($J584&lt;=1500,INDEX('Daily Sale entry '!$Z$1:$Z$1501,$J584+1)&amp;"","Cheque deposit 支票存入 (buyer 买家)"))</f>
        <v/>
      </c>
      <c r="D584">
        <f>IF($J584="","",IF($J584&lt;=1500,INDEX('Daily Sale entry '!$AA$1:$AA$1501,$J584+1)&amp;"",INDEX('Daily Sale entry '!$P$1:$P$1501,$J584-1499)&amp;""))</f>
        <v/>
      </c>
      <c r="E584">
        <f>IF($J584="","",IF($J584&lt;=1500,IF(N(INDEX('Daily Sale entry '!$AB$1:$AB$1501,$J584+1))=0,"",INDEX('Daily Sale entry '!$AB$1:$AB$1501,$J584+1)),1))</f>
        <v/>
      </c>
      <c r="F584" s="6">
        <f>IF($J584="","",IF($J584&lt;=1500,N(INDEX('Daily Sale entry '!$AC$1:$AC$1501,$J584+1))-IF(AND('Opening Balance'!$B$15=1,INDEX('Daily Sale entry '!$Z$1:$Z$1501,$J584+1)="Online collection 网上收款",INDEX('Daily Sale entry '!$AA$1:$AA$1501,$J584+1)&lt;&gt;""),N(INDEX('Daily Sale entry '!$AC$1:$AC$1501,$J584+1))-TRUNC(N(INDEX('Daily Sale entry '!$AC$1:$AC$1501,$J584+1))),0),N(INDEX('Daily Sale entry '!$S$1:$S$1501,$J584-1499))-'Opening Balance'!$B$15*(N(INDEX('Daily Sale entry '!$S$1:$S$1501,$J584-1499))-TRUNC(N(INDEX('Daily Sale entry '!$S$1:$S$1501,$J584-1499))))))</f>
        <v/>
      </c>
      <c r="G584" s="6">
        <f>IF($J584="","",IF($J584&lt;=1500,N(INDEX('Daily Sale entry '!$AD$1:$AD$1501,$J584+1)),0))</f>
        <v/>
      </c>
      <c r="H584" s="6">
        <f>IF($J584="","",ROUND('Opening Balance'!$B$4+SUM($F$2:F584)-SUM($G$2:G584),2))</f>
        <v/>
      </c>
      <c r="J584" s="21">
        <f>IFERROR(MATCH(ROW()-1,$L$2:$L$3001,0),"")</f>
        <v/>
      </c>
      <c r="K584" s="34">
        <f>IF(AND('Daily Sale entry '!X584&lt;&gt;"",OR('Daily Sale entry '!AC584&lt;&gt;"",'Daily Sale entry '!AD584&lt;&gt;"")),'Daily Sale entry '!X584+ROW()/10000000,"")</f>
        <v/>
      </c>
      <c r="L584" s="21">
        <f>IF(K584="","",COUNTIF($K$2:$K$3001,"&lt;"&amp;K584)+1)</f>
        <v/>
      </c>
    </row>
    <row r="585">
      <c r="A585" s="5">
        <f>IF($J585="","",IF($J585&lt;=1500,INDEX('Daily Sale entry '!$X$1:$X$1501,$J585+1),INDEX('Daily Sale entry '!$V$1:$V$1501,$J585-1499)))</f>
        <v/>
      </c>
      <c r="B585">
        <f>IF($J585="","",IF($J585&lt;=1500,INDEX('Daily Sale entry '!$Y$1:$Y$1501,$J585+1)&amp;"","Buyer cheque banked 买家支票存入"&amp;IF(INDEX('Daily Sale entry '!$U$1:$U$1501,$J585-1499)="","", " - "&amp;INDEX('Daily Sale entry '!$U$1:$U$1501,$J585-1499))))</f>
        <v/>
      </c>
      <c r="C585">
        <f>IF($J585="","",IF($J585&lt;=1500,INDEX('Daily Sale entry '!$Z$1:$Z$1501,$J585+1)&amp;"","Cheque deposit 支票存入 (buyer 买家)"))</f>
        <v/>
      </c>
      <c r="D585">
        <f>IF($J585="","",IF($J585&lt;=1500,INDEX('Daily Sale entry '!$AA$1:$AA$1501,$J585+1)&amp;"",INDEX('Daily Sale entry '!$P$1:$P$1501,$J585-1499)&amp;""))</f>
        <v/>
      </c>
      <c r="E585">
        <f>IF($J585="","",IF($J585&lt;=1500,IF(N(INDEX('Daily Sale entry '!$AB$1:$AB$1501,$J585+1))=0,"",INDEX('Daily Sale entry '!$AB$1:$AB$1501,$J585+1)),1))</f>
        <v/>
      </c>
      <c r="F585" s="6">
        <f>IF($J585="","",IF($J585&lt;=1500,N(INDEX('Daily Sale entry '!$AC$1:$AC$1501,$J585+1))-IF(AND('Opening Balance'!$B$15=1,INDEX('Daily Sale entry '!$Z$1:$Z$1501,$J585+1)="Online collection 网上收款",INDEX('Daily Sale entry '!$AA$1:$AA$1501,$J585+1)&lt;&gt;""),N(INDEX('Daily Sale entry '!$AC$1:$AC$1501,$J585+1))-TRUNC(N(INDEX('Daily Sale entry '!$AC$1:$AC$1501,$J585+1))),0),N(INDEX('Daily Sale entry '!$S$1:$S$1501,$J585-1499))-'Opening Balance'!$B$15*(N(INDEX('Daily Sale entry '!$S$1:$S$1501,$J585-1499))-TRUNC(N(INDEX('Daily Sale entry '!$S$1:$S$1501,$J585-1499))))))</f>
        <v/>
      </c>
      <c r="G585" s="6">
        <f>IF($J585="","",IF($J585&lt;=1500,N(INDEX('Daily Sale entry '!$AD$1:$AD$1501,$J585+1)),0))</f>
        <v/>
      </c>
      <c r="H585" s="6">
        <f>IF($J585="","",ROUND('Opening Balance'!$B$4+SUM($F$2:F585)-SUM($G$2:G585),2))</f>
        <v/>
      </c>
      <c r="J585" s="21">
        <f>IFERROR(MATCH(ROW()-1,$L$2:$L$3001,0),"")</f>
        <v/>
      </c>
      <c r="K585" s="34">
        <f>IF(AND('Daily Sale entry '!X585&lt;&gt;"",OR('Daily Sale entry '!AC585&lt;&gt;"",'Daily Sale entry '!AD585&lt;&gt;"")),'Daily Sale entry '!X585+ROW()/10000000,"")</f>
        <v/>
      </c>
      <c r="L585" s="21">
        <f>IF(K585="","",COUNTIF($K$2:$K$3001,"&lt;"&amp;K585)+1)</f>
        <v/>
      </c>
    </row>
    <row r="586">
      <c r="A586" s="5">
        <f>IF($J586="","",IF($J586&lt;=1500,INDEX('Daily Sale entry '!$X$1:$X$1501,$J586+1),INDEX('Daily Sale entry '!$V$1:$V$1501,$J586-1499)))</f>
        <v/>
      </c>
      <c r="B586">
        <f>IF($J586="","",IF($J586&lt;=1500,INDEX('Daily Sale entry '!$Y$1:$Y$1501,$J586+1)&amp;"","Buyer cheque banked 买家支票存入"&amp;IF(INDEX('Daily Sale entry '!$U$1:$U$1501,$J586-1499)="","", " - "&amp;INDEX('Daily Sale entry '!$U$1:$U$1501,$J586-1499))))</f>
        <v/>
      </c>
      <c r="C586">
        <f>IF($J586="","",IF($J586&lt;=1500,INDEX('Daily Sale entry '!$Z$1:$Z$1501,$J586+1)&amp;"","Cheque deposit 支票存入 (buyer 买家)"))</f>
        <v/>
      </c>
      <c r="D586">
        <f>IF($J586="","",IF($J586&lt;=1500,INDEX('Daily Sale entry '!$AA$1:$AA$1501,$J586+1)&amp;"",INDEX('Daily Sale entry '!$P$1:$P$1501,$J586-1499)&amp;""))</f>
        <v/>
      </c>
      <c r="E586">
        <f>IF($J586="","",IF($J586&lt;=1500,IF(N(INDEX('Daily Sale entry '!$AB$1:$AB$1501,$J586+1))=0,"",INDEX('Daily Sale entry '!$AB$1:$AB$1501,$J586+1)),1))</f>
        <v/>
      </c>
      <c r="F586" s="6">
        <f>IF($J586="","",IF($J586&lt;=1500,N(INDEX('Daily Sale entry '!$AC$1:$AC$1501,$J586+1))-IF(AND('Opening Balance'!$B$15=1,INDEX('Daily Sale entry '!$Z$1:$Z$1501,$J586+1)="Online collection 网上收款",INDEX('Daily Sale entry '!$AA$1:$AA$1501,$J586+1)&lt;&gt;""),N(INDEX('Daily Sale entry '!$AC$1:$AC$1501,$J586+1))-TRUNC(N(INDEX('Daily Sale entry '!$AC$1:$AC$1501,$J586+1))),0),N(INDEX('Daily Sale entry '!$S$1:$S$1501,$J586-1499))-'Opening Balance'!$B$15*(N(INDEX('Daily Sale entry '!$S$1:$S$1501,$J586-1499))-TRUNC(N(INDEX('Daily Sale entry '!$S$1:$S$1501,$J586-1499))))))</f>
        <v/>
      </c>
      <c r="G586" s="6">
        <f>IF($J586="","",IF($J586&lt;=1500,N(INDEX('Daily Sale entry '!$AD$1:$AD$1501,$J586+1)),0))</f>
        <v/>
      </c>
      <c r="H586" s="6">
        <f>IF($J586="","",ROUND('Opening Balance'!$B$4+SUM($F$2:F586)-SUM($G$2:G586),2))</f>
        <v/>
      </c>
      <c r="J586" s="21">
        <f>IFERROR(MATCH(ROW()-1,$L$2:$L$3001,0),"")</f>
        <v/>
      </c>
      <c r="K586" s="34">
        <f>IF(AND('Daily Sale entry '!X586&lt;&gt;"",OR('Daily Sale entry '!AC586&lt;&gt;"",'Daily Sale entry '!AD586&lt;&gt;"")),'Daily Sale entry '!X586+ROW()/10000000,"")</f>
        <v/>
      </c>
      <c r="L586" s="21">
        <f>IF(K586="","",COUNTIF($K$2:$K$3001,"&lt;"&amp;K586)+1)</f>
        <v/>
      </c>
    </row>
    <row r="587">
      <c r="A587" s="5">
        <f>IF($J587="","",IF($J587&lt;=1500,INDEX('Daily Sale entry '!$X$1:$X$1501,$J587+1),INDEX('Daily Sale entry '!$V$1:$V$1501,$J587-1499)))</f>
        <v/>
      </c>
      <c r="B587">
        <f>IF($J587="","",IF($J587&lt;=1500,INDEX('Daily Sale entry '!$Y$1:$Y$1501,$J587+1)&amp;"","Buyer cheque banked 买家支票存入"&amp;IF(INDEX('Daily Sale entry '!$U$1:$U$1501,$J587-1499)="","", " - "&amp;INDEX('Daily Sale entry '!$U$1:$U$1501,$J587-1499))))</f>
        <v/>
      </c>
      <c r="C587">
        <f>IF($J587="","",IF($J587&lt;=1500,INDEX('Daily Sale entry '!$Z$1:$Z$1501,$J587+1)&amp;"","Cheque deposit 支票存入 (buyer 买家)"))</f>
        <v/>
      </c>
      <c r="D587">
        <f>IF($J587="","",IF($J587&lt;=1500,INDEX('Daily Sale entry '!$AA$1:$AA$1501,$J587+1)&amp;"",INDEX('Daily Sale entry '!$P$1:$P$1501,$J587-1499)&amp;""))</f>
        <v/>
      </c>
      <c r="E587">
        <f>IF($J587="","",IF($J587&lt;=1500,IF(N(INDEX('Daily Sale entry '!$AB$1:$AB$1501,$J587+1))=0,"",INDEX('Daily Sale entry '!$AB$1:$AB$1501,$J587+1)),1))</f>
        <v/>
      </c>
      <c r="F587" s="6">
        <f>IF($J587="","",IF($J587&lt;=1500,N(INDEX('Daily Sale entry '!$AC$1:$AC$1501,$J587+1))-IF(AND('Opening Balance'!$B$15=1,INDEX('Daily Sale entry '!$Z$1:$Z$1501,$J587+1)="Online collection 网上收款",INDEX('Daily Sale entry '!$AA$1:$AA$1501,$J587+1)&lt;&gt;""),N(INDEX('Daily Sale entry '!$AC$1:$AC$1501,$J587+1))-TRUNC(N(INDEX('Daily Sale entry '!$AC$1:$AC$1501,$J587+1))),0),N(INDEX('Daily Sale entry '!$S$1:$S$1501,$J587-1499))-'Opening Balance'!$B$15*(N(INDEX('Daily Sale entry '!$S$1:$S$1501,$J587-1499))-TRUNC(N(INDEX('Daily Sale entry '!$S$1:$S$1501,$J587-1499))))))</f>
        <v/>
      </c>
      <c r="G587" s="6">
        <f>IF($J587="","",IF($J587&lt;=1500,N(INDEX('Daily Sale entry '!$AD$1:$AD$1501,$J587+1)),0))</f>
        <v/>
      </c>
      <c r="H587" s="6">
        <f>IF($J587="","",ROUND('Opening Balance'!$B$4+SUM($F$2:F587)-SUM($G$2:G587),2))</f>
        <v/>
      </c>
      <c r="J587" s="21">
        <f>IFERROR(MATCH(ROW()-1,$L$2:$L$3001,0),"")</f>
        <v/>
      </c>
      <c r="K587" s="34">
        <f>IF(AND('Daily Sale entry '!X587&lt;&gt;"",OR('Daily Sale entry '!AC587&lt;&gt;"",'Daily Sale entry '!AD587&lt;&gt;"")),'Daily Sale entry '!X587+ROW()/10000000,"")</f>
        <v/>
      </c>
      <c r="L587" s="21">
        <f>IF(K587="","",COUNTIF($K$2:$K$3001,"&lt;"&amp;K587)+1)</f>
        <v/>
      </c>
    </row>
    <row r="588">
      <c r="A588" s="5">
        <f>IF($J588="","",IF($J588&lt;=1500,INDEX('Daily Sale entry '!$X$1:$X$1501,$J588+1),INDEX('Daily Sale entry '!$V$1:$V$1501,$J588-1499)))</f>
        <v/>
      </c>
      <c r="B588">
        <f>IF($J588="","",IF($J588&lt;=1500,INDEX('Daily Sale entry '!$Y$1:$Y$1501,$J588+1)&amp;"","Buyer cheque banked 买家支票存入"&amp;IF(INDEX('Daily Sale entry '!$U$1:$U$1501,$J588-1499)="","", " - "&amp;INDEX('Daily Sale entry '!$U$1:$U$1501,$J588-1499))))</f>
        <v/>
      </c>
      <c r="C588">
        <f>IF($J588="","",IF($J588&lt;=1500,INDEX('Daily Sale entry '!$Z$1:$Z$1501,$J588+1)&amp;"","Cheque deposit 支票存入 (buyer 买家)"))</f>
        <v/>
      </c>
      <c r="D588">
        <f>IF($J588="","",IF($J588&lt;=1500,INDEX('Daily Sale entry '!$AA$1:$AA$1501,$J588+1)&amp;"",INDEX('Daily Sale entry '!$P$1:$P$1501,$J588-1499)&amp;""))</f>
        <v/>
      </c>
      <c r="E588">
        <f>IF($J588="","",IF($J588&lt;=1500,IF(N(INDEX('Daily Sale entry '!$AB$1:$AB$1501,$J588+1))=0,"",INDEX('Daily Sale entry '!$AB$1:$AB$1501,$J588+1)),1))</f>
        <v/>
      </c>
      <c r="F588" s="6">
        <f>IF($J588="","",IF($J588&lt;=1500,N(INDEX('Daily Sale entry '!$AC$1:$AC$1501,$J588+1))-IF(AND('Opening Balance'!$B$15=1,INDEX('Daily Sale entry '!$Z$1:$Z$1501,$J588+1)="Online collection 网上收款",INDEX('Daily Sale entry '!$AA$1:$AA$1501,$J588+1)&lt;&gt;""),N(INDEX('Daily Sale entry '!$AC$1:$AC$1501,$J588+1))-TRUNC(N(INDEX('Daily Sale entry '!$AC$1:$AC$1501,$J588+1))),0),N(INDEX('Daily Sale entry '!$S$1:$S$1501,$J588-1499))-'Opening Balance'!$B$15*(N(INDEX('Daily Sale entry '!$S$1:$S$1501,$J588-1499))-TRUNC(N(INDEX('Daily Sale entry '!$S$1:$S$1501,$J588-1499))))))</f>
        <v/>
      </c>
      <c r="G588" s="6">
        <f>IF($J588="","",IF($J588&lt;=1500,N(INDEX('Daily Sale entry '!$AD$1:$AD$1501,$J588+1)),0))</f>
        <v/>
      </c>
      <c r="H588" s="6">
        <f>IF($J588="","",ROUND('Opening Balance'!$B$4+SUM($F$2:F588)-SUM($G$2:G588),2))</f>
        <v/>
      </c>
      <c r="J588" s="21">
        <f>IFERROR(MATCH(ROW()-1,$L$2:$L$3001,0),"")</f>
        <v/>
      </c>
      <c r="K588" s="34">
        <f>IF(AND('Daily Sale entry '!X588&lt;&gt;"",OR('Daily Sale entry '!AC588&lt;&gt;"",'Daily Sale entry '!AD588&lt;&gt;"")),'Daily Sale entry '!X588+ROW()/10000000,"")</f>
        <v/>
      </c>
      <c r="L588" s="21">
        <f>IF(K588="","",COUNTIF($K$2:$K$3001,"&lt;"&amp;K588)+1)</f>
        <v/>
      </c>
    </row>
    <row r="589">
      <c r="A589" s="5">
        <f>IF($J589="","",IF($J589&lt;=1500,INDEX('Daily Sale entry '!$X$1:$X$1501,$J589+1),INDEX('Daily Sale entry '!$V$1:$V$1501,$J589-1499)))</f>
        <v/>
      </c>
      <c r="B589">
        <f>IF($J589="","",IF($J589&lt;=1500,INDEX('Daily Sale entry '!$Y$1:$Y$1501,$J589+1)&amp;"","Buyer cheque banked 买家支票存入"&amp;IF(INDEX('Daily Sale entry '!$U$1:$U$1501,$J589-1499)="","", " - "&amp;INDEX('Daily Sale entry '!$U$1:$U$1501,$J589-1499))))</f>
        <v/>
      </c>
      <c r="C589">
        <f>IF($J589="","",IF($J589&lt;=1500,INDEX('Daily Sale entry '!$Z$1:$Z$1501,$J589+1)&amp;"","Cheque deposit 支票存入 (buyer 买家)"))</f>
        <v/>
      </c>
      <c r="D589">
        <f>IF($J589="","",IF($J589&lt;=1500,INDEX('Daily Sale entry '!$AA$1:$AA$1501,$J589+1)&amp;"",INDEX('Daily Sale entry '!$P$1:$P$1501,$J589-1499)&amp;""))</f>
        <v/>
      </c>
      <c r="E589">
        <f>IF($J589="","",IF($J589&lt;=1500,IF(N(INDEX('Daily Sale entry '!$AB$1:$AB$1501,$J589+1))=0,"",INDEX('Daily Sale entry '!$AB$1:$AB$1501,$J589+1)),1))</f>
        <v/>
      </c>
      <c r="F589" s="6">
        <f>IF($J589="","",IF($J589&lt;=1500,N(INDEX('Daily Sale entry '!$AC$1:$AC$1501,$J589+1))-IF(AND('Opening Balance'!$B$15=1,INDEX('Daily Sale entry '!$Z$1:$Z$1501,$J589+1)="Online collection 网上收款",INDEX('Daily Sale entry '!$AA$1:$AA$1501,$J589+1)&lt;&gt;""),N(INDEX('Daily Sale entry '!$AC$1:$AC$1501,$J589+1))-TRUNC(N(INDEX('Daily Sale entry '!$AC$1:$AC$1501,$J589+1))),0),N(INDEX('Daily Sale entry '!$S$1:$S$1501,$J589-1499))-'Opening Balance'!$B$15*(N(INDEX('Daily Sale entry '!$S$1:$S$1501,$J589-1499))-TRUNC(N(INDEX('Daily Sale entry '!$S$1:$S$1501,$J589-1499))))))</f>
        <v/>
      </c>
      <c r="G589" s="6">
        <f>IF($J589="","",IF($J589&lt;=1500,N(INDEX('Daily Sale entry '!$AD$1:$AD$1501,$J589+1)),0))</f>
        <v/>
      </c>
      <c r="H589" s="6">
        <f>IF($J589="","",ROUND('Opening Balance'!$B$4+SUM($F$2:F589)-SUM($G$2:G589),2))</f>
        <v/>
      </c>
      <c r="J589" s="21">
        <f>IFERROR(MATCH(ROW()-1,$L$2:$L$3001,0),"")</f>
        <v/>
      </c>
      <c r="K589" s="34">
        <f>IF(AND('Daily Sale entry '!X589&lt;&gt;"",OR('Daily Sale entry '!AC589&lt;&gt;"",'Daily Sale entry '!AD589&lt;&gt;"")),'Daily Sale entry '!X589+ROW()/10000000,"")</f>
        <v/>
      </c>
      <c r="L589" s="21">
        <f>IF(K589="","",COUNTIF($K$2:$K$3001,"&lt;"&amp;K589)+1)</f>
        <v/>
      </c>
    </row>
    <row r="590">
      <c r="A590" s="5">
        <f>IF($J590="","",IF($J590&lt;=1500,INDEX('Daily Sale entry '!$X$1:$X$1501,$J590+1),INDEX('Daily Sale entry '!$V$1:$V$1501,$J590-1499)))</f>
        <v/>
      </c>
      <c r="B590">
        <f>IF($J590="","",IF($J590&lt;=1500,INDEX('Daily Sale entry '!$Y$1:$Y$1501,$J590+1)&amp;"","Buyer cheque banked 买家支票存入"&amp;IF(INDEX('Daily Sale entry '!$U$1:$U$1501,$J590-1499)="","", " - "&amp;INDEX('Daily Sale entry '!$U$1:$U$1501,$J590-1499))))</f>
        <v/>
      </c>
      <c r="C590">
        <f>IF($J590="","",IF($J590&lt;=1500,INDEX('Daily Sale entry '!$Z$1:$Z$1501,$J590+1)&amp;"","Cheque deposit 支票存入 (buyer 买家)"))</f>
        <v/>
      </c>
      <c r="D590">
        <f>IF($J590="","",IF($J590&lt;=1500,INDEX('Daily Sale entry '!$AA$1:$AA$1501,$J590+1)&amp;"",INDEX('Daily Sale entry '!$P$1:$P$1501,$J590-1499)&amp;""))</f>
        <v/>
      </c>
      <c r="E590">
        <f>IF($J590="","",IF($J590&lt;=1500,IF(N(INDEX('Daily Sale entry '!$AB$1:$AB$1501,$J590+1))=0,"",INDEX('Daily Sale entry '!$AB$1:$AB$1501,$J590+1)),1))</f>
        <v/>
      </c>
      <c r="F590" s="6">
        <f>IF($J590="","",IF($J590&lt;=1500,N(INDEX('Daily Sale entry '!$AC$1:$AC$1501,$J590+1))-IF(AND('Opening Balance'!$B$15=1,INDEX('Daily Sale entry '!$Z$1:$Z$1501,$J590+1)="Online collection 网上收款",INDEX('Daily Sale entry '!$AA$1:$AA$1501,$J590+1)&lt;&gt;""),N(INDEX('Daily Sale entry '!$AC$1:$AC$1501,$J590+1))-TRUNC(N(INDEX('Daily Sale entry '!$AC$1:$AC$1501,$J590+1))),0),N(INDEX('Daily Sale entry '!$S$1:$S$1501,$J590-1499))-'Opening Balance'!$B$15*(N(INDEX('Daily Sale entry '!$S$1:$S$1501,$J590-1499))-TRUNC(N(INDEX('Daily Sale entry '!$S$1:$S$1501,$J590-1499))))))</f>
        <v/>
      </c>
      <c r="G590" s="6">
        <f>IF($J590="","",IF($J590&lt;=1500,N(INDEX('Daily Sale entry '!$AD$1:$AD$1501,$J590+1)),0))</f>
        <v/>
      </c>
      <c r="H590" s="6">
        <f>IF($J590="","",ROUND('Opening Balance'!$B$4+SUM($F$2:F590)-SUM($G$2:G590),2))</f>
        <v/>
      </c>
      <c r="J590" s="21">
        <f>IFERROR(MATCH(ROW()-1,$L$2:$L$3001,0),"")</f>
        <v/>
      </c>
      <c r="K590" s="34">
        <f>IF(AND('Daily Sale entry '!X590&lt;&gt;"",OR('Daily Sale entry '!AC590&lt;&gt;"",'Daily Sale entry '!AD590&lt;&gt;"")),'Daily Sale entry '!X590+ROW()/10000000,"")</f>
        <v/>
      </c>
      <c r="L590" s="21">
        <f>IF(K590="","",COUNTIF($K$2:$K$3001,"&lt;"&amp;K590)+1)</f>
        <v/>
      </c>
    </row>
    <row r="591">
      <c r="A591" s="5">
        <f>IF($J591="","",IF($J591&lt;=1500,INDEX('Daily Sale entry '!$X$1:$X$1501,$J591+1),INDEX('Daily Sale entry '!$V$1:$V$1501,$J591-1499)))</f>
        <v/>
      </c>
      <c r="B591">
        <f>IF($J591="","",IF($J591&lt;=1500,INDEX('Daily Sale entry '!$Y$1:$Y$1501,$J591+1)&amp;"","Buyer cheque banked 买家支票存入"&amp;IF(INDEX('Daily Sale entry '!$U$1:$U$1501,$J591-1499)="","", " - "&amp;INDEX('Daily Sale entry '!$U$1:$U$1501,$J591-1499))))</f>
        <v/>
      </c>
      <c r="C591">
        <f>IF($J591="","",IF($J591&lt;=1500,INDEX('Daily Sale entry '!$Z$1:$Z$1501,$J591+1)&amp;"","Cheque deposit 支票存入 (buyer 买家)"))</f>
        <v/>
      </c>
      <c r="D591">
        <f>IF($J591="","",IF($J591&lt;=1500,INDEX('Daily Sale entry '!$AA$1:$AA$1501,$J591+1)&amp;"",INDEX('Daily Sale entry '!$P$1:$P$1501,$J591-1499)&amp;""))</f>
        <v/>
      </c>
      <c r="E591">
        <f>IF($J591="","",IF($J591&lt;=1500,IF(N(INDEX('Daily Sale entry '!$AB$1:$AB$1501,$J591+1))=0,"",INDEX('Daily Sale entry '!$AB$1:$AB$1501,$J591+1)),1))</f>
        <v/>
      </c>
      <c r="F591" s="6">
        <f>IF($J591="","",IF($J591&lt;=1500,N(INDEX('Daily Sale entry '!$AC$1:$AC$1501,$J591+1))-IF(AND('Opening Balance'!$B$15=1,INDEX('Daily Sale entry '!$Z$1:$Z$1501,$J591+1)="Online collection 网上收款",INDEX('Daily Sale entry '!$AA$1:$AA$1501,$J591+1)&lt;&gt;""),N(INDEX('Daily Sale entry '!$AC$1:$AC$1501,$J591+1))-TRUNC(N(INDEX('Daily Sale entry '!$AC$1:$AC$1501,$J591+1))),0),N(INDEX('Daily Sale entry '!$S$1:$S$1501,$J591-1499))-'Opening Balance'!$B$15*(N(INDEX('Daily Sale entry '!$S$1:$S$1501,$J591-1499))-TRUNC(N(INDEX('Daily Sale entry '!$S$1:$S$1501,$J591-1499))))))</f>
        <v/>
      </c>
      <c r="G591" s="6">
        <f>IF($J591="","",IF($J591&lt;=1500,N(INDEX('Daily Sale entry '!$AD$1:$AD$1501,$J591+1)),0))</f>
        <v/>
      </c>
      <c r="H591" s="6">
        <f>IF($J591="","",ROUND('Opening Balance'!$B$4+SUM($F$2:F591)-SUM($G$2:G591),2))</f>
        <v/>
      </c>
      <c r="J591" s="21">
        <f>IFERROR(MATCH(ROW()-1,$L$2:$L$3001,0),"")</f>
        <v/>
      </c>
      <c r="K591" s="34">
        <f>IF(AND('Daily Sale entry '!X591&lt;&gt;"",OR('Daily Sale entry '!AC591&lt;&gt;"",'Daily Sale entry '!AD591&lt;&gt;"")),'Daily Sale entry '!X591+ROW()/10000000,"")</f>
        <v/>
      </c>
      <c r="L591" s="21">
        <f>IF(K591="","",COUNTIF($K$2:$K$3001,"&lt;"&amp;K591)+1)</f>
        <v/>
      </c>
    </row>
    <row r="592">
      <c r="A592" s="5">
        <f>IF($J592="","",IF($J592&lt;=1500,INDEX('Daily Sale entry '!$X$1:$X$1501,$J592+1),INDEX('Daily Sale entry '!$V$1:$V$1501,$J592-1499)))</f>
        <v/>
      </c>
      <c r="B592">
        <f>IF($J592="","",IF($J592&lt;=1500,INDEX('Daily Sale entry '!$Y$1:$Y$1501,$J592+1)&amp;"","Buyer cheque banked 买家支票存入"&amp;IF(INDEX('Daily Sale entry '!$U$1:$U$1501,$J592-1499)="","", " - "&amp;INDEX('Daily Sale entry '!$U$1:$U$1501,$J592-1499))))</f>
        <v/>
      </c>
      <c r="C592">
        <f>IF($J592="","",IF($J592&lt;=1500,INDEX('Daily Sale entry '!$Z$1:$Z$1501,$J592+1)&amp;"","Cheque deposit 支票存入 (buyer 买家)"))</f>
        <v/>
      </c>
      <c r="D592">
        <f>IF($J592="","",IF($J592&lt;=1500,INDEX('Daily Sale entry '!$AA$1:$AA$1501,$J592+1)&amp;"",INDEX('Daily Sale entry '!$P$1:$P$1501,$J592-1499)&amp;""))</f>
        <v/>
      </c>
      <c r="E592">
        <f>IF($J592="","",IF($J592&lt;=1500,IF(N(INDEX('Daily Sale entry '!$AB$1:$AB$1501,$J592+1))=0,"",INDEX('Daily Sale entry '!$AB$1:$AB$1501,$J592+1)),1))</f>
        <v/>
      </c>
      <c r="F592" s="6">
        <f>IF($J592="","",IF($J592&lt;=1500,N(INDEX('Daily Sale entry '!$AC$1:$AC$1501,$J592+1))-IF(AND('Opening Balance'!$B$15=1,INDEX('Daily Sale entry '!$Z$1:$Z$1501,$J592+1)="Online collection 网上收款",INDEX('Daily Sale entry '!$AA$1:$AA$1501,$J592+1)&lt;&gt;""),N(INDEX('Daily Sale entry '!$AC$1:$AC$1501,$J592+1))-TRUNC(N(INDEX('Daily Sale entry '!$AC$1:$AC$1501,$J592+1))),0),N(INDEX('Daily Sale entry '!$S$1:$S$1501,$J592-1499))-'Opening Balance'!$B$15*(N(INDEX('Daily Sale entry '!$S$1:$S$1501,$J592-1499))-TRUNC(N(INDEX('Daily Sale entry '!$S$1:$S$1501,$J592-1499))))))</f>
        <v/>
      </c>
      <c r="G592" s="6">
        <f>IF($J592="","",IF($J592&lt;=1500,N(INDEX('Daily Sale entry '!$AD$1:$AD$1501,$J592+1)),0))</f>
        <v/>
      </c>
      <c r="H592" s="6">
        <f>IF($J592="","",ROUND('Opening Balance'!$B$4+SUM($F$2:F592)-SUM($G$2:G592),2))</f>
        <v/>
      </c>
      <c r="J592" s="21">
        <f>IFERROR(MATCH(ROW()-1,$L$2:$L$3001,0),"")</f>
        <v/>
      </c>
      <c r="K592" s="34">
        <f>IF(AND('Daily Sale entry '!X592&lt;&gt;"",OR('Daily Sale entry '!AC592&lt;&gt;"",'Daily Sale entry '!AD592&lt;&gt;"")),'Daily Sale entry '!X592+ROW()/10000000,"")</f>
        <v/>
      </c>
      <c r="L592" s="21">
        <f>IF(K592="","",COUNTIF($K$2:$K$3001,"&lt;"&amp;K592)+1)</f>
        <v/>
      </c>
    </row>
    <row r="593">
      <c r="A593" s="5">
        <f>IF($J593="","",IF($J593&lt;=1500,INDEX('Daily Sale entry '!$X$1:$X$1501,$J593+1),INDEX('Daily Sale entry '!$V$1:$V$1501,$J593-1499)))</f>
        <v/>
      </c>
      <c r="B593">
        <f>IF($J593="","",IF($J593&lt;=1500,INDEX('Daily Sale entry '!$Y$1:$Y$1501,$J593+1)&amp;"","Buyer cheque banked 买家支票存入"&amp;IF(INDEX('Daily Sale entry '!$U$1:$U$1501,$J593-1499)="","", " - "&amp;INDEX('Daily Sale entry '!$U$1:$U$1501,$J593-1499))))</f>
        <v/>
      </c>
      <c r="C593">
        <f>IF($J593="","",IF($J593&lt;=1500,INDEX('Daily Sale entry '!$Z$1:$Z$1501,$J593+1)&amp;"","Cheque deposit 支票存入 (buyer 买家)"))</f>
        <v/>
      </c>
      <c r="D593">
        <f>IF($J593="","",IF($J593&lt;=1500,INDEX('Daily Sale entry '!$AA$1:$AA$1501,$J593+1)&amp;"",INDEX('Daily Sale entry '!$P$1:$P$1501,$J593-1499)&amp;""))</f>
        <v/>
      </c>
      <c r="E593">
        <f>IF($J593="","",IF($J593&lt;=1500,IF(N(INDEX('Daily Sale entry '!$AB$1:$AB$1501,$J593+1))=0,"",INDEX('Daily Sale entry '!$AB$1:$AB$1501,$J593+1)),1))</f>
        <v/>
      </c>
      <c r="F593" s="6">
        <f>IF($J593="","",IF($J593&lt;=1500,N(INDEX('Daily Sale entry '!$AC$1:$AC$1501,$J593+1))-IF(AND('Opening Balance'!$B$15=1,INDEX('Daily Sale entry '!$Z$1:$Z$1501,$J593+1)="Online collection 网上收款",INDEX('Daily Sale entry '!$AA$1:$AA$1501,$J593+1)&lt;&gt;""),N(INDEX('Daily Sale entry '!$AC$1:$AC$1501,$J593+1))-TRUNC(N(INDEX('Daily Sale entry '!$AC$1:$AC$1501,$J593+1))),0),N(INDEX('Daily Sale entry '!$S$1:$S$1501,$J593-1499))-'Opening Balance'!$B$15*(N(INDEX('Daily Sale entry '!$S$1:$S$1501,$J593-1499))-TRUNC(N(INDEX('Daily Sale entry '!$S$1:$S$1501,$J593-1499))))))</f>
        <v/>
      </c>
      <c r="G593" s="6">
        <f>IF($J593="","",IF($J593&lt;=1500,N(INDEX('Daily Sale entry '!$AD$1:$AD$1501,$J593+1)),0))</f>
        <v/>
      </c>
      <c r="H593" s="6">
        <f>IF($J593="","",ROUND('Opening Balance'!$B$4+SUM($F$2:F593)-SUM($G$2:G593),2))</f>
        <v/>
      </c>
      <c r="J593" s="21">
        <f>IFERROR(MATCH(ROW()-1,$L$2:$L$3001,0),"")</f>
        <v/>
      </c>
      <c r="K593" s="34">
        <f>IF(AND('Daily Sale entry '!X593&lt;&gt;"",OR('Daily Sale entry '!AC593&lt;&gt;"",'Daily Sale entry '!AD593&lt;&gt;"")),'Daily Sale entry '!X593+ROW()/10000000,"")</f>
        <v/>
      </c>
      <c r="L593" s="21">
        <f>IF(K593="","",COUNTIF($K$2:$K$3001,"&lt;"&amp;K593)+1)</f>
        <v/>
      </c>
    </row>
    <row r="594">
      <c r="A594" s="5">
        <f>IF($J594="","",IF($J594&lt;=1500,INDEX('Daily Sale entry '!$X$1:$X$1501,$J594+1),INDEX('Daily Sale entry '!$V$1:$V$1501,$J594-1499)))</f>
        <v/>
      </c>
      <c r="B594">
        <f>IF($J594="","",IF($J594&lt;=1500,INDEX('Daily Sale entry '!$Y$1:$Y$1501,$J594+1)&amp;"","Buyer cheque banked 买家支票存入"&amp;IF(INDEX('Daily Sale entry '!$U$1:$U$1501,$J594-1499)="","", " - "&amp;INDEX('Daily Sale entry '!$U$1:$U$1501,$J594-1499))))</f>
        <v/>
      </c>
      <c r="C594">
        <f>IF($J594="","",IF($J594&lt;=1500,INDEX('Daily Sale entry '!$Z$1:$Z$1501,$J594+1)&amp;"","Cheque deposit 支票存入 (buyer 买家)"))</f>
        <v/>
      </c>
      <c r="D594">
        <f>IF($J594="","",IF($J594&lt;=1500,INDEX('Daily Sale entry '!$AA$1:$AA$1501,$J594+1)&amp;"",INDEX('Daily Sale entry '!$P$1:$P$1501,$J594-1499)&amp;""))</f>
        <v/>
      </c>
      <c r="E594">
        <f>IF($J594="","",IF($J594&lt;=1500,IF(N(INDEX('Daily Sale entry '!$AB$1:$AB$1501,$J594+1))=0,"",INDEX('Daily Sale entry '!$AB$1:$AB$1501,$J594+1)),1))</f>
        <v/>
      </c>
      <c r="F594" s="6">
        <f>IF($J594="","",IF($J594&lt;=1500,N(INDEX('Daily Sale entry '!$AC$1:$AC$1501,$J594+1))-IF(AND('Opening Balance'!$B$15=1,INDEX('Daily Sale entry '!$Z$1:$Z$1501,$J594+1)="Online collection 网上收款",INDEX('Daily Sale entry '!$AA$1:$AA$1501,$J594+1)&lt;&gt;""),N(INDEX('Daily Sale entry '!$AC$1:$AC$1501,$J594+1))-TRUNC(N(INDEX('Daily Sale entry '!$AC$1:$AC$1501,$J594+1))),0),N(INDEX('Daily Sale entry '!$S$1:$S$1501,$J594-1499))-'Opening Balance'!$B$15*(N(INDEX('Daily Sale entry '!$S$1:$S$1501,$J594-1499))-TRUNC(N(INDEX('Daily Sale entry '!$S$1:$S$1501,$J594-1499))))))</f>
        <v/>
      </c>
      <c r="G594" s="6">
        <f>IF($J594="","",IF($J594&lt;=1500,N(INDEX('Daily Sale entry '!$AD$1:$AD$1501,$J594+1)),0))</f>
        <v/>
      </c>
      <c r="H594" s="6">
        <f>IF($J594="","",ROUND('Opening Balance'!$B$4+SUM($F$2:F594)-SUM($G$2:G594),2))</f>
        <v/>
      </c>
      <c r="J594" s="21">
        <f>IFERROR(MATCH(ROW()-1,$L$2:$L$3001,0),"")</f>
        <v/>
      </c>
      <c r="K594" s="34">
        <f>IF(AND('Daily Sale entry '!X594&lt;&gt;"",OR('Daily Sale entry '!AC594&lt;&gt;"",'Daily Sale entry '!AD594&lt;&gt;"")),'Daily Sale entry '!X594+ROW()/10000000,"")</f>
        <v/>
      </c>
      <c r="L594" s="21">
        <f>IF(K594="","",COUNTIF($K$2:$K$3001,"&lt;"&amp;K594)+1)</f>
        <v/>
      </c>
    </row>
    <row r="595">
      <c r="A595" s="5">
        <f>IF($J595="","",IF($J595&lt;=1500,INDEX('Daily Sale entry '!$X$1:$X$1501,$J595+1),INDEX('Daily Sale entry '!$V$1:$V$1501,$J595-1499)))</f>
        <v/>
      </c>
      <c r="B595">
        <f>IF($J595="","",IF($J595&lt;=1500,INDEX('Daily Sale entry '!$Y$1:$Y$1501,$J595+1)&amp;"","Buyer cheque banked 买家支票存入"&amp;IF(INDEX('Daily Sale entry '!$U$1:$U$1501,$J595-1499)="","", " - "&amp;INDEX('Daily Sale entry '!$U$1:$U$1501,$J595-1499))))</f>
        <v/>
      </c>
      <c r="C595">
        <f>IF($J595="","",IF($J595&lt;=1500,INDEX('Daily Sale entry '!$Z$1:$Z$1501,$J595+1)&amp;"","Cheque deposit 支票存入 (buyer 买家)"))</f>
        <v/>
      </c>
      <c r="D595">
        <f>IF($J595="","",IF($J595&lt;=1500,INDEX('Daily Sale entry '!$AA$1:$AA$1501,$J595+1)&amp;"",INDEX('Daily Sale entry '!$P$1:$P$1501,$J595-1499)&amp;""))</f>
        <v/>
      </c>
      <c r="E595">
        <f>IF($J595="","",IF($J595&lt;=1500,IF(N(INDEX('Daily Sale entry '!$AB$1:$AB$1501,$J595+1))=0,"",INDEX('Daily Sale entry '!$AB$1:$AB$1501,$J595+1)),1))</f>
        <v/>
      </c>
      <c r="F595" s="6">
        <f>IF($J595="","",IF($J595&lt;=1500,N(INDEX('Daily Sale entry '!$AC$1:$AC$1501,$J595+1))-IF(AND('Opening Balance'!$B$15=1,INDEX('Daily Sale entry '!$Z$1:$Z$1501,$J595+1)="Online collection 网上收款",INDEX('Daily Sale entry '!$AA$1:$AA$1501,$J595+1)&lt;&gt;""),N(INDEX('Daily Sale entry '!$AC$1:$AC$1501,$J595+1))-TRUNC(N(INDEX('Daily Sale entry '!$AC$1:$AC$1501,$J595+1))),0),N(INDEX('Daily Sale entry '!$S$1:$S$1501,$J595-1499))-'Opening Balance'!$B$15*(N(INDEX('Daily Sale entry '!$S$1:$S$1501,$J595-1499))-TRUNC(N(INDEX('Daily Sale entry '!$S$1:$S$1501,$J595-1499))))))</f>
        <v/>
      </c>
      <c r="G595" s="6">
        <f>IF($J595="","",IF($J595&lt;=1500,N(INDEX('Daily Sale entry '!$AD$1:$AD$1501,$J595+1)),0))</f>
        <v/>
      </c>
      <c r="H595" s="6">
        <f>IF($J595="","",ROUND('Opening Balance'!$B$4+SUM($F$2:F595)-SUM($G$2:G595),2))</f>
        <v/>
      </c>
      <c r="J595" s="21">
        <f>IFERROR(MATCH(ROW()-1,$L$2:$L$3001,0),"")</f>
        <v/>
      </c>
      <c r="K595" s="34">
        <f>IF(AND('Daily Sale entry '!X595&lt;&gt;"",OR('Daily Sale entry '!AC595&lt;&gt;"",'Daily Sale entry '!AD595&lt;&gt;"")),'Daily Sale entry '!X595+ROW()/10000000,"")</f>
        <v/>
      </c>
      <c r="L595" s="21">
        <f>IF(K595="","",COUNTIF($K$2:$K$3001,"&lt;"&amp;K595)+1)</f>
        <v/>
      </c>
    </row>
    <row r="596">
      <c r="A596" s="5">
        <f>IF($J596="","",IF($J596&lt;=1500,INDEX('Daily Sale entry '!$X$1:$X$1501,$J596+1),INDEX('Daily Sale entry '!$V$1:$V$1501,$J596-1499)))</f>
        <v/>
      </c>
      <c r="B596">
        <f>IF($J596="","",IF($J596&lt;=1500,INDEX('Daily Sale entry '!$Y$1:$Y$1501,$J596+1)&amp;"","Buyer cheque banked 买家支票存入"&amp;IF(INDEX('Daily Sale entry '!$U$1:$U$1501,$J596-1499)="","", " - "&amp;INDEX('Daily Sale entry '!$U$1:$U$1501,$J596-1499))))</f>
        <v/>
      </c>
      <c r="C596">
        <f>IF($J596="","",IF($J596&lt;=1500,INDEX('Daily Sale entry '!$Z$1:$Z$1501,$J596+1)&amp;"","Cheque deposit 支票存入 (buyer 买家)"))</f>
        <v/>
      </c>
      <c r="D596">
        <f>IF($J596="","",IF($J596&lt;=1500,INDEX('Daily Sale entry '!$AA$1:$AA$1501,$J596+1)&amp;"",INDEX('Daily Sale entry '!$P$1:$P$1501,$J596-1499)&amp;""))</f>
        <v/>
      </c>
      <c r="E596">
        <f>IF($J596="","",IF($J596&lt;=1500,IF(N(INDEX('Daily Sale entry '!$AB$1:$AB$1501,$J596+1))=0,"",INDEX('Daily Sale entry '!$AB$1:$AB$1501,$J596+1)),1))</f>
        <v/>
      </c>
      <c r="F596" s="6">
        <f>IF($J596="","",IF($J596&lt;=1500,N(INDEX('Daily Sale entry '!$AC$1:$AC$1501,$J596+1))-IF(AND('Opening Balance'!$B$15=1,INDEX('Daily Sale entry '!$Z$1:$Z$1501,$J596+1)="Online collection 网上收款",INDEX('Daily Sale entry '!$AA$1:$AA$1501,$J596+1)&lt;&gt;""),N(INDEX('Daily Sale entry '!$AC$1:$AC$1501,$J596+1))-TRUNC(N(INDEX('Daily Sale entry '!$AC$1:$AC$1501,$J596+1))),0),N(INDEX('Daily Sale entry '!$S$1:$S$1501,$J596-1499))-'Opening Balance'!$B$15*(N(INDEX('Daily Sale entry '!$S$1:$S$1501,$J596-1499))-TRUNC(N(INDEX('Daily Sale entry '!$S$1:$S$1501,$J596-1499))))))</f>
        <v/>
      </c>
      <c r="G596" s="6">
        <f>IF($J596="","",IF($J596&lt;=1500,N(INDEX('Daily Sale entry '!$AD$1:$AD$1501,$J596+1)),0))</f>
        <v/>
      </c>
      <c r="H596" s="6">
        <f>IF($J596="","",ROUND('Opening Balance'!$B$4+SUM($F$2:F596)-SUM($G$2:G596),2))</f>
        <v/>
      </c>
      <c r="J596" s="21">
        <f>IFERROR(MATCH(ROW()-1,$L$2:$L$3001,0),"")</f>
        <v/>
      </c>
      <c r="K596" s="34">
        <f>IF(AND('Daily Sale entry '!X596&lt;&gt;"",OR('Daily Sale entry '!AC596&lt;&gt;"",'Daily Sale entry '!AD596&lt;&gt;"")),'Daily Sale entry '!X596+ROW()/10000000,"")</f>
        <v/>
      </c>
      <c r="L596" s="21">
        <f>IF(K596="","",COUNTIF($K$2:$K$3001,"&lt;"&amp;K596)+1)</f>
        <v/>
      </c>
    </row>
    <row r="597">
      <c r="A597" s="5">
        <f>IF($J597="","",IF($J597&lt;=1500,INDEX('Daily Sale entry '!$X$1:$X$1501,$J597+1),INDEX('Daily Sale entry '!$V$1:$V$1501,$J597-1499)))</f>
        <v/>
      </c>
      <c r="B597">
        <f>IF($J597="","",IF($J597&lt;=1500,INDEX('Daily Sale entry '!$Y$1:$Y$1501,$J597+1)&amp;"","Buyer cheque banked 买家支票存入"&amp;IF(INDEX('Daily Sale entry '!$U$1:$U$1501,$J597-1499)="","", " - "&amp;INDEX('Daily Sale entry '!$U$1:$U$1501,$J597-1499))))</f>
        <v/>
      </c>
      <c r="C597">
        <f>IF($J597="","",IF($J597&lt;=1500,INDEX('Daily Sale entry '!$Z$1:$Z$1501,$J597+1)&amp;"","Cheque deposit 支票存入 (buyer 买家)"))</f>
        <v/>
      </c>
      <c r="D597">
        <f>IF($J597="","",IF($J597&lt;=1500,INDEX('Daily Sale entry '!$AA$1:$AA$1501,$J597+1)&amp;"",INDEX('Daily Sale entry '!$P$1:$P$1501,$J597-1499)&amp;""))</f>
        <v/>
      </c>
      <c r="E597">
        <f>IF($J597="","",IF($J597&lt;=1500,IF(N(INDEX('Daily Sale entry '!$AB$1:$AB$1501,$J597+1))=0,"",INDEX('Daily Sale entry '!$AB$1:$AB$1501,$J597+1)),1))</f>
        <v/>
      </c>
      <c r="F597" s="6">
        <f>IF($J597="","",IF($J597&lt;=1500,N(INDEX('Daily Sale entry '!$AC$1:$AC$1501,$J597+1))-IF(AND('Opening Balance'!$B$15=1,INDEX('Daily Sale entry '!$Z$1:$Z$1501,$J597+1)="Online collection 网上收款",INDEX('Daily Sale entry '!$AA$1:$AA$1501,$J597+1)&lt;&gt;""),N(INDEX('Daily Sale entry '!$AC$1:$AC$1501,$J597+1))-TRUNC(N(INDEX('Daily Sale entry '!$AC$1:$AC$1501,$J597+1))),0),N(INDEX('Daily Sale entry '!$S$1:$S$1501,$J597-1499))-'Opening Balance'!$B$15*(N(INDEX('Daily Sale entry '!$S$1:$S$1501,$J597-1499))-TRUNC(N(INDEX('Daily Sale entry '!$S$1:$S$1501,$J597-1499))))))</f>
        <v/>
      </c>
      <c r="G597" s="6">
        <f>IF($J597="","",IF($J597&lt;=1500,N(INDEX('Daily Sale entry '!$AD$1:$AD$1501,$J597+1)),0))</f>
        <v/>
      </c>
      <c r="H597" s="6">
        <f>IF($J597="","",ROUND('Opening Balance'!$B$4+SUM($F$2:F597)-SUM($G$2:G597),2))</f>
        <v/>
      </c>
      <c r="J597" s="21">
        <f>IFERROR(MATCH(ROW()-1,$L$2:$L$3001,0),"")</f>
        <v/>
      </c>
      <c r="K597" s="34">
        <f>IF(AND('Daily Sale entry '!X597&lt;&gt;"",OR('Daily Sale entry '!AC597&lt;&gt;"",'Daily Sale entry '!AD597&lt;&gt;"")),'Daily Sale entry '!X597+ROW()/10000000,"")</f>
        <v/>
      </c>
      <c r="L597" s="21">
        <f>IF(K597="","",COUNTIF($K$2:$K$3001,"&lt;"&amp;K597)+1)</f>
        <v/>
      </c>
    </row>
    <row r="598">
      <c r="A598" s="5">
        <f>IF($J598="","",IF($J598&lt;=1500,INDEX('Daily Sale entry '!$X$1:$X$1501,$J598+1),INDEX('Daily Sale entry '!$V$1:$V$1501,$J598-1499)))</f>
        <v/>
      </c>
      <c r="B598">
        <f>IF($J598="","",IF($J598&lt;=1500,INDEX('Daily Sale entry '!$Y$1:$Y$1501,$J598+1)&amp;"","Buyer cheque banked 买家支票存入"&amp;IF(INDEX('Daily Sale entry '!$U$1:$U$1501,$J598-1499)="","", " - "&amp;INDEX('Daily Sale entry '!$U$1:$U$1501,$J598-1499))))</f>
        <v/>
      </c>
      <c r="C598">
        <f>IF($J598="","",IF($J598&lt;=1500,INDEX('Daily Sale entry '!$Z$1:$Z$1501,$J598+1)&amp;"","Cheque deposit 支票存入 (buyer 买家)"))</f>
        <v/>
      </c>
      <c r="D598">
        <f>IF($J598="","",IF($J598&lt;=1500,INDEX('Daily Sale entry '!$AA$1:$AA$1501,$J598+1)&amp;"",INDEX('Daily Sale entry '!$P$1:$P$1501,$J598-1499)&amp;""))</f>
        <v/>
      </c>
      <c r="E598">
        <f>IF($J598="","",IF($J598&lt;=1500,IF(N(INDEX('Daily Sale entry '!$AB$1:$AB$1501,$J598+1))=0,"",INDEX('Daily Sale entry '!$AB$1:$AB$1501,$J598+1)),1))</f>
        <v/>
      </c>
      <c r="F598" s="6">
        <f>IF($J598="","",IF($J598&lt;=1500,N(INDEX('Daily Sale entry '!$AC$1:$AC$1501,$J598+1))-IF(AND('Opening Balance'!$B$15=1,INDEX('Daily Sale entry '!$Z$1:$Z$1501,$J598+1)="Online collection 网上收款",INDEX('Daily Sale entry '!$AA$1:$AA$1501,$J598+1)&lt;&gt;""),N(INDEX('Daily Sale entry '!$AC$1:$AC$1501,$J598+1))-TRUNC(N(INDEX('Daily Sale entry '!$AC$1:$AC$1501,$J598+1))),0),N(INDEX('Daily Sale entry '!$S$1:$S$1501,$J598-1499))-'Opening Balance'!$B$15*(N(INDEX('Daily Sale entry '!$S$1:$S$1501,$J598-1499))-TRUNC(N(INDEX('Daily Sale entry '!$S$1:$S$1501,$J598-1499))))))</f>
        <v/>
      </c>
      <c r="G598" s="6">
        <f>IF($J598="","",IF($J598&lt;=1500,N(INDEX('Daily Sale entry '!$AD$1:$AD$1501,$J598+1)),0))</f>
        <v/>
      </c>
      <c r="H598" s="6">
        <f>IF($J598="","",ROUND('Opening Balance'!$B$4+SUM($F$2:F598)-SUM($G$2:G598),2))</f>
        <v/>
      </c>
      <c r="J598" s="21">
        <f>IFERROR(MATCH(ROW()-1,$L$2:$L$3001,0),"")</f>
        <v/>
      </c>
      <c r="K598" s="34">
        <f>IF(AND('Daily Sale entry '!X598&lt;&gt;"",OR('Daily Sale entry '!AC598&lt;&gt;"",'Daily Sale entry '!AD598&lt;&gt;"")),'Daily Sale entry '!X598+ROW()/10000000,"")</f>
        <v/>
      </c>
      <c r="L598" s="21">
        <f>IF(K598="","",COUNTIF($K$2:$K$3001,"&lt;"&amp;K598)+1)</f>
        <v/>
      </c>
    </row>
    <row r="599">
      <c r="A599" s="5">
        <f>IF($J599="","",IF($J599&lt;=1500,INDEX('Daily Sale entry '!$X$1:$X$1501,$J599+1),INDEX('Daily Sale entry '!$V$1:$V$1501,$J599-1499)))</f>
        <v/>
      </c>
      <c r="B599">
        <f>IF($J599="","",IF($J599&lt;=1500,INDEX('Daily Sale entry '!$Y$1:$Y$1501,$J599+1)&amp;"","Buyer cheque banked 买家支票存入"&amp;IF(INDEX('Daily Sale entry '!$U$1:$U$1501,$J599-1499)="","", " - "&amp;INDEX('Daily Sale entry '!$U$1:$U$1501,$J599-1499))))</f>
        <v/>
      </c>
      <c r="C599">
        <f>IF($J599="","",IF($J599&lt;=1500,INDEX('Daily Sale entry '!$Z$1:$Z$1501,$J599+1)&amp;"","Cheque deposit 支票存入 (buyer 买家)"))</f>
        <v/>
      </c>
      <c r="D599">
        <f>IF($J599="","",IF($J599&lt;=1500,INDEX('Daily Sale entry '!$AA$1:$AA$1501,$J599+1)&amp;"",INDEX('Daily Sale entry '!$P$1:$P$1501,$J599-1499)&amp;""))</f>
        <v/>
      </c>
      <c r="E599">
        <f>IF($J599="","",IF($J599&lt;=1500,IF(N(INDEX('Daily Sale entry '!$AB$1:$AB$1501,$J599+1))=0,"",INDEX('Daily Sale entry '!$AB$1:$AB$1501,$J599+1)),1))</f>
        <v/>
      </c>
      <c r="F599" s="6">
        <f>IF($J599="","",IF($J599&lt;=1500,N(INDEX('Daily Sale entry '!$AC$1:$AC$1501,$J599+1))-IF(AND('Opening Balance'!$B$15=1,INDEX('Daily Sale entry '!$Z$1:$Z$1501,$J599+1)="Online collection 网上收款",INDEX('Daily Sale entry '!$AA$1:$AA$1501,$J599+1)&lt;&gt;""),N(INDEX('Daily Sale entry '!$AC$1:$AC$1501,$J599+1))-TRUNC(N(INDEX('Daily Sale entry '!$AC$1:$AC$1501,$J599+1))),0),N(INDEX('Daily Sale entry '!$S$1:$S$1501,$J599-1499))-'Opening Balance'!$B$15*(N(INDEX('Daily Sale entry '!$S$1:$S$1501,$J599-1499))-TRUNC(N(INDEX('Daily Sale entry '!$S$1:$S$1501,$J599-1499))))))</f>
        <v/>
      </c>
      <c r="G599" s="6">
        <f>IF($J599="","",IF($J599&lt;=1500,N(INDEX('Daily Sale entry '!$AD$1:$AD$1501,$J599+1)),0))</f>
        <v/>
      </c>
      <c r="H599" s="6">
        <f>IF($J599="","",ROUND('Opening Balance'!$B$4+SUM($F$2:F599)-SUM($G$2:G599),2))</f>
        <v/>
      </c>
      <c r="J599" s="21">
        <f>IFERROR(MATCH(ROW()-1,$L$2:$L$3001,0),"")</f>
        <v/>
      </c>
      <c r="K599" s="34">
        <f>IF(AND('Daily Sale entry '!X599&lt;&gt;"",OR('Daily Sale entry '!AC599&lt;&gt;"",'Daily Sale entry '!AD599&lt;&gt;"")),'Daily Sale entry '!X599+ROW()/10000000,"")</f>
        <v/>
      </c>
      <c r="L599" s="21">
        <f>IF(K599="","",COUNTIF($K$2:$K$3001,"&lt;"&amp;K599)+1)</f>
        <v/>
      </c>
    </row>
    <row r="600">
      <c r="A600" s="5">
        <f>IF($J600="","",IF($J600&lt;=1500,INDEX('Daily Sale entry '!$X$1:$X$1501,$J600+1),INDEX('Daily Sale entry '!$V$1:$V$1501,$J600-1499)))</f>
        <v/>
      </c>
      <c r="B600">
        <f>IF($J600="","",IF($J600&lt;=1500,INDEX('Daily Sale entry '!$Y$1:$Y$1501,$J600+1)&amp;"","Buyer cheque banked 买家支票存入"&amp;IF(INDEX('Daily Sale entry '!$U$1:$U$1501,$J600-1499)="","", " - "&amp;INDEX('Daily Sale entry '!$U$1:$U$1501,$J600-1499))))</f>
        <v/>
      </c>
      <c r="C600">
        <f>IF($J600="","",IF($J600&lt;=1500,INDEX('Daily Sale entry '!$Z$1:$Z$1501,$J600+1)&amp;"","Cheque deposit 支票存入 (buyer 买家)"))</f>
        <v/>
      </c>
      <c r="D600">
        <f>IF($J600="","",IF($J600&lt;=1500,INDEX('Daily Sale entry '!$AA$1:$AA$1501,$J600+1)&amp;"",INDEX('Daily Sale entry '!$P$1:$P$1501,$J600-1499)&amp;""))</f>
        <v/>
      </c>
      <c r="E600">
        <f>IF($J600="","",IF($J600&lt;=1500,IF(N(INDEX('Daily Sale entry '!$AB$1:$AB$1501,$J600+1))=0,"",INDEX('Daily Sale entry '!$AB$1:$AB$1501,$J600+1)),1))</f>
        <v/>
      </c>
      <c r="F600" s="6">
        <f>IF($J600="","",IF($J600&lt;=1500,N(INDEX('Daily Sale entry '!$AC$1:$AC$1501,$J600+1))-IF(AND('Opening Balance'!$B$15=1,INDEX('Daily Sale entry '!$Z$1:$Z$1501,$J600+1)="Online collection 网上收款",INDEX('Daily Sale entry '!$AA$1:$AA$1501,$J600+1)&lt;&gt;""),N(INDEX('Daily Sale entry '!$AC$1:$AC$1501,$J600+1))-TRUNC(N(INDEX('Daily Sale entry '!$AC$1:$AC$1501,$J600+1))),0),N(INDEX('Daily Sale entry '!$S$1:$S$1501,$J600-1499))-'Opening Balance'!$B$15*(N(INDEX('Daily Sale entry '!$S$1:$S$1501,$J600-1499))-TRUNC(N(INDEX('Daily Sale entry '!$S$1:$S$1501,$J600-1499))))))</f>
        <v/>
      </c>
      <c r="G600" s="6">
        <f>IF($J600="","",IF($J600&lt;=1500,N(INDEX('Daily Sale entry '!$AD$1:$AD$1501,$J600+1)),0))</f>
        <v/>
      </c>
      <c r="H600" s="6">
        <f>IF($J600="","",ROUND('Opening Balance'!$B$4+SUM($F$2:F600)-SUM($G$2:G600),2))</f>
        <v/>
      </c>
      <c r="J600" s="21">
        <f>IFERROR(MATCH(ROW()-1,$L$2:$L$3001,0),"")</f>
        <v/>
      </c>
      <c r="K600" s="34">
        <f>IF(AND('Daily Sale entry '!X600&lt;&gt;"",OR('Daily Sale entry '!AC600&lt;&gt;"",'Daily Sale entry '!AD600&lt;&gt;"")),'Daily Sale entry '!X600+ROW()/10000000,"")</f>
        <v/>
      </c>
      <c r="L600" s="21">
        <f>IF(K600="","",COUNTIF($K$2:$K$3001,"&lt;"&amp;K600)+1)</f>
        <v/>
      </c>
    </row>
    <row r="601">
      <c r="A601" s="5">
        <f>IF($J601="","",IF($J601&lt;=1500,INDEX('Daily Sale entry '!$X$1:$X$1501,$J601+1),INDEX('Daily Sale entry '!$V$1:$V$1501,$J601-1499)))</f>
        <v/>
      </c>
      <c r="B601">
        <f>IF($J601="","",IF($J601&lt;=1500,INDEX('Daily Sale entry '!$Y$1:$Y$1501,$J601+1)&amp;"","Buyer cheque banked 买家支票存入"&amp;IF(INDEX('Daily Sale entry '!$U$1:$U$1501,$J601-1499)="","", " - "&amp;INDEX('Daily Sale entry '!$U$1:$U$1501,$J601-1499))))</f>
        <v/>
      </c>
      <c r="C601">
        <f>IF($J601="","",IF($J601&lt;=1500,INDEX('Daily Sale entry '!$Z$1:$Z$1501,$J601+1)&amp;"","Cheque deposit 支票存入 (buyer 买家)"))</f>
        <v/>
      </c>
      <c r="D601">
        <f>IF($J601="","",IF($J601&lt;=1500,INDEX('Daily Sale entry '!$AA$1:$AA$1501,$J601+1)&amp;"",INDEX('Daily Sale entry '!$P$1:$P$1501,$J601-1499)&amp;""))</f>
        <v/>
      </c>
      <c r="E601">
        <f>IF($J601="","",IF($J601&lt;=1500,IF(N(INDEX('Daily Sale entry '!$AB$1:$AB$1501,$J601+1))=0,"",INDEX('Daily Sale entry '!$AB$1:$AB$1501,$J601+1)),1))</f>
        <v/>
      </c>
      <c r="F601" s="6">
        <f>IF($J601="","",IF($J601&lt;=1500,N(INDEX('Daily Sale entry '!$AC$1:$AC$1501,$J601+1))-IF(AND('Opening Balance'!$B$15=1,INDEX('Daily Sale entry '!$Z$1:$Z$1501,$J601+1)="Online collection 网上收款",INDEX('Daily Sale entry '!$AA$1:$AA$1501,$J601+1)&lt;&gt;""),N(INDEX('Daily Sale entry '!$AC$1:$AC$1501,$J601+1))-TRUNC(N(INDEX('Daily Sale entry '!$AC$1:$AC$1501,$J601+1))),0),N(INDEX('Daily Sale entry '!$S$1:$S$1501,$J601-1499))-'Opening Balance'!$B$15*(N(INDEX('Daily Sale entry '!$S$1:$S$1501,$J601-1499))-TRUNC(N(INDEX('Daily Sale entry '!$S$1:$S$1501,$J601-1499))))))</f>
        <v/>
      </c>
      <c r="G601" s="6">
        <f>IF($J601="","",IF($J601&lt;=1500,N(INDEX('Daily Sale entry '!$AD$1:$AD$1501,$J601+1)),0))</f>
        <v/>
      </c>
      <c r="H601" s="6">
        <f>IF($J601="","",ROUND('Opening Balance'!$B$4+SUM($F$2:F601)-SUM($G$2:G601),2))</f>
        <v/>
      </c>
      <c r="J601" s="21">
        <f>IFERROR(MATCH(ROW()-1,$L$2:$L$3001,0),"")</f>
        <v/>
      </c>
      <c r="K601" s="34">
        <f>IF(AND('Daily Sale entry '!X601&lt;&gt;"",OR('Daily Sale entry '!AC601&lt;&gt;"",'Daily Sale entry '!AD601&lt;&gt;"")),'Daily Sale entry '!X601+ROW()/10000000,"")</f>
        <v/>
      </c>
      <c r="L601" s="21">
        <f>IF(K601="","",COUNTIF($K$2:$K$3001,"&lt;"&amp;K601)+1)</f>
        <v/>
      </c>
    </row>
    <row r="602">
      <c r="A602" s="5">
        <f>IF($J602="","",IF($J602&lt;=1500,INDEX('Daily Sale entry '!$X$1:$X$1501,$J602+1),INDEX('Daily Sale entry '!$V$1:$V$1501,$J602-1499)))</f>
        <v/>
      </c>
      <c r="B602">
        <f>IF($J602="","",IF($J602&lt;=1500,INDEX('Daily Sale entry '!$Y$1:$Y$1501,$J602+1)&amp;"","Buyer cheque banked 买家支票存入"&amp;IF(INDEX('Daily Sale entry '!$U$1:$U$1501,$J602-1499)="","", " - "&amp;INDEX('Daily Sale entry '!$U$1:$U$1501,$J602-1499))))</f>
        <v/>
      </c>
      <c r="C602">
        <f>IF($J602="","",IF($J602&lt;=1500,INDEX('Daily Sale entry '!$Z$1:$Z$1501,$J602+1)&amp;"","Cheque deposit 支票存入 (buyer 买家)"))</f>
        <v/>
      </c>
      <c r="D602">
        <f>IF($J602="","",IF($J602&lt;=1500,INDEX('Daily Sale entry '!$AA$1:$AA$1501,$J602+1)&amp;"",INDEX('Daily Sale entry '!$P$1:$P$1501,$J602-1499)&amp;""))</f>
        <v/>
      </c>
      <c r="E602">
        <f>IF($J602="","",IF($J602&lt;=1500,IF(N(INDEX('Daily Sale entry '!$AB$1:$AB$1501,$J602+1))=0,"",INDEX('Daily Sale entry '!$AB$1:$AB$1501,$J602+1)),1))</f>
        <v/>
      </c>
      <c r="F602" s="6">
        <f>IF($J602="","",IF($J602&lt;=1500,N(INDEX('Daily Sale entry '!$AC$1:$AC$1501,$J602+1))-IF(AND('Opening Balance'!$B$15=1,INDEX('Daily Sale entry '!$Z$1:$Z$1501,$J602+1)="Online collection 网上收款",INDEX('Daily Sale entry '!$AA$1:$AA$1501,$J602+1)&lt;&gt;""),N(INDEX('Daily Sale entry '!$AC$1:$AC$1501,$J602+1))-TRUNC(N(INDEX('Daily Sale entry '!$AC$1:$AC$1501,$J602+1))),0),N(INDEX('Daily Sale entry '!$S$1:$S$1501,$J602-1499))-'Opening Balance'!$B$15*(N(INDEX('Daily Sale entry '!$S$1:$S$1501,$J602-1499))-TRUNC(N(INDEX('Daily Sale entry '!$S$1:$S$1501,$J602-1499))))))</f>
        <v/>
      </c>
      <c r="G602" s="6">
        <f>IF($J602="","",IF($J602&lt;=1500,N(INDEX('Daily Sale entry '!$AD$1:$AD$1501,$J602+1)),0))</f>
        <v/>
      </c>
      <c r="H602" s="6">
        <f>IF($J602="","",ROUND('Opening Balance'!$B$4+SUM($F$2:F602)-SUM($G$2:G602),2))</f>
        <v/>
      </c>
      <c r="J602" s="21">
        <f>IFERROR(MATCH(ROW()-1,$L$2:$L$3001,0),"")</f>
        <v/>
      </c>
      <c r="K602" s="34">
        <f>IF(AND('Daily Sale entry '!X602&lt;&gt;"",OR('Daily Sale entry '!AC602&lt;&gt;"",'Daily Sale entry '!AD602&lt;&gt;"")),'Daily Sale entry '!X602+ROW()/10000000,"")</f>
        <v/>
      </c>
      <c r="L602" s="21">
        <f>IF(K602="","",COUNTIF($K$2:$K$3001,"&lt;"&amp;K602)+1)</f>
        <v/>
      </c>
    </row>
    <row r="603">
      <c r="A603" s="5">
        <f>IF($J603="","",IF($J603&lt;=1500,INDEX('Daily Sale entry '!$X$1:$X$1501,$J603+1),INDEX('Daily Sale entry '!$V$1:$V$1501,$J603-1499)))</f>
        <v/>
      </c>
      <c r="B603">
        <f>IF($J603="","",IF($J603&lt;=1500,INDEX('Daily Sale entry '!$Y$1:$Y$1501,$J603+1)&amp;"","Buyer cheque banked 买家支票存入"&amp;IF(INDEX('Daily Sale entry '!$U$1:$U$1501,$J603-1499)="","", " - "&amp;INDEX('Daily Sale entry '!$U$1:$U$1501,$J603-1499))))</f>
        <v/>
      </c>
      <c r="C603">
        <f>IF($J603="","",IF($J603&lt;=1500,INDEX('Daily Sale entry '!$Z$1:$Z$1501,$J603+1)&amp;"","Cheque deposit 支票存入 (buyer 买家)"))</f>
        <v/>
      </c>
      <c r="D603">
        <f>IF($J603="","",IF($J603&lt;=1500,INDEX('Daily Sale entry '!$AA$1:$AA$1501,$J603+1)&amp;"",INDEX('Daily Sale entry '!$P$1:$P$1501,$J603-1499)&amp;""))</f>
        <v/>
      </c>
      <c r="E603">
        <f>IF($J603="","",IF($J603&lt;=1500,IF(N(INDEX('Daily Sale entry '!$AB$1:$AB$1501,$J603+1))=0,"",INDEX('Daily Sale entry '!$AB$1:$AB$1501,$J603+1)),1))</f>
        <v/>
      </c>
      <c r="F603" s="6">
        <f>IF($J603="","",IF($J603&lt;=1500,N(INDEX('Daily Sale entry '!$AC$1:$AC$1501,$J603+1))-IF(AND('Opening Balance'!$B$15=1,INDEX('Daily Sale entry '!$Z$1:$Z$1501,$J603+1)="Online collection 网上收款",INDEX('Daily Sale entry '!$AA$1:$AA$1501,$J603+1)&lt;&gt;""),N(INDEX('Daily Sale entry '!$AC$1:$AC$1501,$J603+1))-TRUNC(N(INDEX('Daily Sale entry '!$AC$1:$AC$1501,$J603+1))),0),N(INDEX('Daily Sale entry '!$S$1:$S$1501,$J603-1499))-'Opening Balance'!$B$15*(N(INDEX('Daily Sale entry '!$S$1:$S$1501,$J603-1499))-TRUNC(N(INDEX('Daily Sale entry '!$S$1:$S$1501,$J603-1499))))))</f>
        <v/>
      </c>
      <c r="G603" s="6">
        <f>IF($J603="","",IF($J603&lt;=1500,N(INDEX('Daily Sale entry '!$AD$1:$AD$1501,$J603+1)),0))</f>
        <v/>
      </c>
      <c r="H603" s="6">
        <f>IF($J603="","",ROUND('Opening Balance'!$B$4+SUM($F$2:F603)-SUM($G$2:G603),2))</f>
        <v/>
      </c>
      <c r="J603" s="21">
        <f>IFERROR(MATCH(ROW()-1,$L$2:$L$3001,0),"")</f>
        <v/>
      </c>
      <c r="K603" s="34">
        <f>IF(AND('Daily Sale entry '!X603&lt;&gt;"",OR('Daily Sale entry '!AC603&lt;&gt;"",'Daily Sale entry '!AD603&lt;&gt;"")),'Daily Sale entry '!X603+ROW()/10000000,"")</f>
        <v/>
      </c>
      <c r="L603" s="21">
        <f>IF(K603="","",COUNTIF($K$2:$K$3001,"&lt;"&amp;K603)+1)</f>
        <v/>
      </c>
    </row>
    <row r="604">
      <c r="A604" s="5">
        <f>IF($J604="","",IF($J604&lt;=1500,INDEX('Daily Sale entry '!$X$1:$X$1501,$J604+1),INDEX('Daily Sale entry '!$V$1:$V$1501,$J604-1499)))</f>
        <v/>
      </c>
      <c r="B604">
        <f>IF($J604="","",IF($J604&lt;=1500,INDEX('Daily Sale entry '!$Y$1:$Y$1501,$J604+1)&amp;"","Buyer cheque banked 买家支票存入"&amp;IF(INDEX('Daily Sale entry '!$U$1:$U$1501,$J604-1499)="","", " - "&amp;INDEX('Daily Sale entry '!$U$1:$U$1501,$J604-1499))))</f>
        <v/>
      </c>
      <c r="C604">
        <f>IF($J604="","",IF($J604&lt;=1500,INDEX('Daily Sale entry '!$Z$1:$Z$1501,$J604+1)&amp;"","Cheque deposit 支票存入 (buyer 买家)"))</f>
        <v/>
      </c>
      <c r="D604">
        <f>IF($J604="","",IF($J604&lt;=1500,INDEX('Daily Sale entry '!$AA$1:$AA$1501,$J604+1)&amp;"",INDEX('Daily Sale entry '!$P$1:$P$1501,$J604-1499)&amp;""))</f>
        <v/>
      </c>
      <c r="E604">
        <f>IF($J604="","",IF($J604&lt;=1500,IF(N(INDEX('Daily Sale entry '!$AB$1:$AB$1501,$J604+1))=0,"",INDEX('Daily Sale entry '!$AB$1:$AB$1501,$J604+1)),1))</f>
        <v/>
      </c>
      <c r="F604" s="6">
        <f>IF($J604="","",IF($J604&lt;=1500,N(INDEX('Daily Sale entry '!$AC$1:$AC$1501,$J604+1))-IF(AND('Opening Balance'!$B$15=1,INDEX('Daily Sale entry '!$Z$1:$Z$1501,$J604+1)="Online collection 网上收款",INDEX('Daily Sale entry '!$AA$1:$AA$1501,$J604+1)&lt;&gt;""),N(INDEX('Daily Sale entry '!$AC$1:$AC$1501,$J604+1))-TRUNC(N(INDEX('Daily Sale entry '!$AC$1:$AC$1501,$J604+1))),0),N(INDEX('Daily Sale entry '!$S$1:$S$1501,$J604-1499))-'Opening Balance'!$B$15*(N(INDEX('Daily Sale entry '!$S$1:$S$1501,$J604-1499))-TRUNC(N(INDEX('Daily Sale entry '!$S$1:$S$1501,$J604-1499))))))</f>
        <v/>
      </c>
      <c r="G604" s="6">
        <f>IF($J604="","",IF($J604&lt;=1500,N(INDEX('Daily Sale entry '!$AD$1:$AD$1501,$J604+1)),0))</f>
        <v/>
      </c>
      <c r="H604" s="6">
        <f>IF($J604="","",ROUND('Opening Balance'!$B$4+SUM($F$2:F604)-SUM($G$2:G604),2))</f>
        <v/>
      </c>
      <c r="J604" s="21">
        <f>IFERROR(MATCH(ROW()-1,$L$2:$L$3001,0),"")</f>
        <v/>
      </c>
      <c r="K604" s="34">
        <f>IF(AND('Daily Sale entry '!X604&lt;&gt;"",OR('Daily Sale entry '!AC604&lt;&gt;"",'Daily Sale entry '!AD604&lt;&gt;"")),'Daily Sale entry '!X604+ROW()/10000000,"")</f>
        <v/>
      </c>
      <c r="L604" s="21">
        <f>IF(K604="","",COUNTIF($K$2:$K$3001,"&lt;"&amp;K604)+1)</f>
        <v/>
      </c>
    </row>
    <row r="605">
      <c r="A605" s="5">
        <f>IF($J605="","",IF($J605&lt;=1500,INDEX('Daily Sale entry '!$X$1:$X$1501,$J605+1),INDEX('Daily Sale entry '!$V$1:$V$1501,$J605-1499)))</f>
        <v/>
      </c>
      <c r="B605">
        <f>IF($J605="","",IF($J605&lt;=1500,INDEX('Daily Sale entry '!$Y$1:$Y$1501,$J605+1)&amp;"","Buyer cheque banked 买家支票存入"&amp;IF(INDEX('Daily Sale entry '!$U$1:$U$1501,$J605-1499)="","", " - "&amp;INDEX('Daily Sale entry '!$U$1:$U$1501,$J605-1499))))</f>
        <v/>
      </c>
      <c r="C605">
        <f>IF($J605="","",IF($J605&lt;=1500,INDEX('Daily Sale entry '!$Z$1:$Z$1501,$J605+1)&amp;"","Cheque deposit 支票存入 (buyer 买家)"))</f>
        <v/>
      </c>
      <c r="D605">
        <f>IF($J605="","",IF($J605&lt;=1500,INDEX('Daily Sale entry '!$AA$1:$AA$1501,$J605+1)&amp;"",INDEX('Daily Sale entry '!$P$1:$P$1501,$J605-1499)&amp;""))</f>
        <v/>
      </c>
      <c r="E605">
        <f>IF($J605="","",IF($J605&lt;=1500,IF(N(INDEX('Daily Sale entry '!$AB$1:$AB$1501,$J605+1))=0,"",INDEX('Daily Sale entry '!$AB$1:$AB$1501,$J605+1)),1))</f>
        <v/>
      </c>
      <c r="F605" s="6">
        <f>IF($J605="","",IF($J605&lt;=1500,N(INDEX('Daily Sale entry '!$AC$1:$AC$1501,$J605+1))-IF(AND('Opening Balance'!$B$15=1,INDEX('Daily Sale entry '!$Z$1:$Z$1501,$J605+1)="Online collection 网上收款",INDEX('Daily Sale entry '!$AA$1:$AA$1501,$J605+1)&lt;&gt;""),N(INDEX('Daily Sale entry '!$AC$1:$AC$1501,$J605+1))-TRUNC(N(INDEX('Daily Sale entry '!$AC$1:$AC$1501,$J605+1))),0),N(INDEX('Daily Sale entry '!$S$1:$S$1501,$J605-1499))-'Opening Balance'!$B$15*(N(INDEX('Daily Sale entry '!$S$1:$S$1501,$J605-1499))-TRUNC(N(INDEX('Daily Sale entry '!$S$1:$S$1501,$J605-1499))))))</f>
        <v/>
      </c>
      <c r="G605" s="6">
        <f>IF($J605="","",IF($J605&lt;=1500,N(INDEX('Daily Sale entry '!$AD$1:$AD$1501,$J605+1)),0))</f>
        <v/>
      </c>
      <c r="H605" s="6">
        <f>IF($J605="","",ROUND('Opening Balance'!$B$4+SUM($F$2:F605)-SUM($G$2:G605),2))</f>
        <v/>
      </c>
      <c r="J605" s="21">
        <f>IFERROR(MATCH(ROW()-1,$L$2:$L$3001,0),"")</f>
        <v/>
      </c>
      <c r="K605" s="34">
        <f>IF(AND('Daily Sale entry '!X605&lt;&gt;"",OR('Daily Sale entry '!AC605&lt;&gt;"",'Daily Sale entry '!AD605&lt;&gt;"")),'Daily Sale entry '!X605+ROW()/10000000,"")</f>
        <v/>
      </c>
      <c r="L605" s="21">
        <f>IF(K605="","",COUNTIF($K$2:$K$3001,"&lt;"&amp;K605)+1)</f>
        <v/>
      </c>
    </row>
    <row r="606">
      <c r="A606" s="5">
        <f>IF($J606="","",IF($J606&lt;=1500,INDEX('Daily Sale entry '!$X$1:$X$1501,$J606+1),INDEX('Daily Sale entry '!$V$1:$V$1501,$J606-1499)))</f>
        <v/>
      </c>
      <c r="B606">
        <f>IF($J606="","",IF($J606&lt;=1500,INDEX('Daily Sale entry '!$Y$1:$Y$1501,$J606+1)&amp;"","Buyer cheque banked 买家支票存入"&amp;IF(INDEX('Daily Sale entry '!$U$1:$U$1501,$J606-1499)="","", " - "&amp;INDEX('Daily Sale entry '!$U$1:$U$1501,$J606-1499))))</f>
        <v/>
      </c>
      <c r="C606">
        <f>IF($J606="","",IF($J606&lt;=1500,INDEX('Daily Sale entry '!$Z$1:$Z$1501,$J606+1)&amp;"","Cheque deposit 支票存入 (buyer 买家)"))</f>
        <v/>
      </c>
      <c r="D606">
        <f>IF($J606="","",IF($J606&lt;=1500,INDEX('Daily Sale entry '!$AA$1:$AA$1501,$J606+1)&amp;"",INDEX('Daily Sale entry '!$P$1:$P$1501,$J606-1499)&amp;""))</f>
        <v/>
      </c>
      <c r="E606">
        <f>IF($J606="","",IF($J606&lt;=1500,IF(N(INDEX('Daily Sale entry '!$AB$1:$AB$1501,$J606+1))=0,"",INDEX('Daily Sale entry '!$AB$1:$AB$1501,$J606+1)),1))</f>
        <v/>
      </c>
      <c r="F606" s="6">
        <f>IF($J606="","",IF($J606&lt;=1500,N(INDEX('Daily Sale entry '!$AC$1:$AC$1501,$J606+1))-IF(AND('Opening Balance'!$B$15=1,INDEX('Daily Sale entry '!$Z$1:$Z$1501,$J606+1)="Online collection 网上收款",INDEX('Daily Sale entry '!$AA$1:$AA$1501,$J606+1)&lt;&gt;""),N(INDEX('Daily Sale entry '!$AC$1:$AC$1501,$J606+1))-TRUNC(N(INDEX('Daily Sale entry '!$AC$1:$AC$1501,$J606+1))),0),N(INDEX('Daily Sale entry '!$S$1:$S$1501,$J606-1499))-'Opening Balance'!$B$15*(N(INDEX('Daily Sale entry '!$S$1:$S$1501,$J606-1499))-TRUNC(N(INDEX('Daily Sale entry '!$S$1:$S$1501,$J606-1499))))))</f>
        <v/>
      </c>
      <c r="G606" s="6">
        <f>IF($J606="","",IF($J606&lt;=1500,N(INDEX('Daily Sale entry '!$AD$1:$AD$1501,$J606+1)),0))</f>
        <v/>
      </c>
      <c r="H606" s="6">
        <f>IF($J606="","",ROUND('Opening Balance'!$B$4+SUM($F$2:F606)-SUM($G$2:G606),2))</f>
        <v/>
      </c>
      <c r="J606" s="21">
        <f>IFERROR(MATCH(ROW()-1,$L$2:$L$3001,0),"")</f>
        <v/>
      </c>
      <c r="K606" s="34">
        <f>IF(AND('Daily Sale entry '!X606&lt;&gt;"",OR('Daily Sale entry '!AC606&lt;&gt;"",'Daily Sale entry '!AD606&lt;&gt;"")),'Daily Sale entry '!X606+ROW()/10000000,"")</f>
        <v/>
      </c>
      <c r="L606" s="21">
        <f>IF(K606="","",COUNTIF($K$2:$K$3001,"&lt;"&amp;K606)+1)</f>
        <v/>
      </c>
    </row>
    <row r="607">
      <c r="A607" s="5">
        <f>IF($J607="","",IF($J607&lt;=1500,INDEX('Daily Sale entry '!$X$1:$X$1501,$J607+1),INDEX('Daily Sale entry '!$V$1:$V$1501,$J607-1499)))</f>
        <v/>
      </c>
      <c r="B607">
        <f>IF($J607="","",IF($J607&lt;=1500,INDEX('Daily Sale entry '!$Y$1:$Y$1501,$J607+1)&amp;"","Buyer cheque banked 买家支票存入"&amp;IF(INDEX('Daily Sale entry '!$U$1:$U$1501,$J607-1499)="","", " - "&amp;INDEX('Daily Sale entry '!$U$1:$U$1501,$J607-1499))))</f>
        <v/>
      </c>
      <c r="C607">
        <f>IF($J607="","",IF($J607&lt;=1500,INDEX('Daily Sale entry '!$Z$1:$Z$1501,$J607+1)&amp;"","Cheque deposit 支票存入 (buyer 买家)"))</f>
        <v/>
      </c>
      <c r="D607">
        <f>IF($J607="","",IF($J607&lt;=1500,INDEX('Daily Sale entry '!$AA$1:$AA$1501,$J607+1)&amp;"",INDEX('Daily Sale entry '!$P$1:$P$1501,$J607-1499)&amp;""))</f>
        <v/>
      </c>
      <c r="E607">
        <f>IF($J607="","",IF($J607&lt;=1500,IF(N(INDEX('Daily Sale entry '!$AB$1:$AB$1501,$J607+1))=0,"",INDEX('Daily Sale entry '!$AB$1:$AB$1501,$J607+1)),1))</f>
        <v/>
      </c>
      <c r="F607" s="6">
        <f>IF($J607="","",IF($J607&lt;=1500,N(INDEX('Daily Sale entry '!$AC$1:$AC$1501,$J607+1))-IF(AND('Opening Balance'!$B$15=1,INDEX('Daily Sale entry '!$Z$1:$Z$1501,$J607+1)="Online collection 网上收款",INDEX('Daily Sale entry '!$AA$1:$AA$1501,$J607+1)&lt;&gt;""),N(INDEX('Daily Sale entry '!$AC$1:$AC$1501,$J607+1))-TRUNC(N(INDEX('Daily Sale entry '!$AC$1:$AC$1501,$J607+1))),0),N(INDEX('Daily Sale entry '!$S$1:$S$1501,$J607-1499))-'Opening Balance'!$B$15*(N(INDEX('Daily Sale entry '!$S$1:$S$1501,$J607-1499))-TRUNC(N(INDEX('Daily Sale entry '!$S$1:$S$1501,$J607-1499))))))</f>
        <v/>
      </c>
      <c r="G607" s="6">
        <f>IF($J607="","",IF($J607&lt;=1500,N(INDEX('Daily Sale entry '!$AD$1:$AD$1501,$J607+1)),0))</f>
        <v/>
      </c>
      <c r="H607" s="6">
        <f>IF($J607="","",ROUND('Opening Balance'!$B$4+SUM($F$2:F607)-SUM($G$2:G607),2))</f>
        <v/>
      </c>
      <c r="J607" s="21">
        <f>IFERROR(MATCH(ROW()-1,$L$2:$L$3001,0),"")</f>
        <v/>
      </c>
      <c r="K607" s="34">
        <f>IF(AND('Daily Sale entry '!X607&lt;&gt;"",OR('Daily Sale entry '!AC607&lt;&gt;"",'Daily Sale entry '!AD607&lt;&gt;"")),'Daily Sale entry '!X607+ROW()/10000000,"")</f>
        <v/>
      </c>
      <c r="L607" s="21">
        <f>IF(K607="","",COUNTIF($K$2:$K$3001,"&lt;"&amp;K607)+1)</f>
        <v/>
      </c>
    </row>
    <row r="608">
      <c r="A608" s="5">
        <f>IF($J608="","",IF($J608&lt;=1500,INDEX('Daily Sale entry '!$X$1:$X$1501,$J608+1),INDEX('Daily Sale entry '!$V$1:$V$1501,$J608-1499)))</f>
        <v/>
      </c>
      <c r="B608">
        <f>IF($J608="","",IF($J608&lt;=1500,INDEX('Daily Sale entry '!$Y$1:$Y$1501,$J608+1)&amp;"","Buyer cheque banked 买家支票存入"&amp;IF(INDEX('Daily Sale entry '!$U$1:$U$1501,$J608-1499)="","", " - "&amp;INDEX('Daily Sale entry '!$U$1:$U$1501,$J608-1499))))</f>
        <v/>
      </c>
      <c r="C608">
        <f>IF($J608="","",IF($J608&lt;=1500,INDEX('Daily Sale entry '!$Z$1:$Z$1501,$J608+1)&amp;"","Cheque deposit 支票存入 (buyer 买家)"))</f>
        <v/>
      </c>
      <c r="D608">
        <f>IF($J608="","",IF($J608&lt;=1500,INDEX('Daily Sale entry '!$AA$1:$AA$1501,$J608+1)&amp;"",INDEX('Daily Sale entry '!$P$1:$P$1501,$J608-1499)&amp;""))</f>
        <v/>
      </c>
      <c r="E608">
        <f>IF($J608="","",IF($J608&lt;=1500,IF(N(INDEX('Daily Sale entry '!$AB$1:$AB$1501,$J608+1))=0,"",INDEX('Daily Sale entry '!$AB$1:$AB$1501,$J608+1)),1))</f>
        <v/>
      </c>
      <c r="F608" s="6">
        <f>IF($J608="","",IF($J608&lt;=1500,N(INDEX('Daily Sale entry '!$AC$1:$AC$1501,$J608+1))-IF(AND('Opening Balance'!$B$15=1,INDEX('Daily Sale entry '!$Z$1:$Z$1501,$J608+1)="Online collection 网上收款",INDEX('Daily Sale entry '!$AA$1:$AA$1501,$J608+1)&lt;&gt;""),N(INDEX('Daily Sale entry '!$AC$1:$AC$1501,$J608+1))-TRUNC(N(INDEX('Daily Sale entry '!$AC$1:$AC$1501,$J608+1))),0),N(INDEX('Daily Sale entry '!$S$1:$S$1501,$J608-1499))-'Opening Balance'!$B$15*(N(INDEX('Daily Sale entry '!$S$1:$S$1501,$J608-1499))-TRUNC(N(INDEX('Daily Sale entry '!$S$1:$S$1501,$J608-1499))))))</f>
        <v/>
      </c>
      <c r="G608" s="6">
        <f>IF($J608="","",IF($J608&lt;=1500,N(INDEX('Daily Sale entry '!$AD$1:$AD$1501,$J608+1)),0))</f>
        <v/>
      </c>
      <c r="H608" s="6">
        <f>IF($J608="","",ROUND('Opening Balance'!$B$4+SUM($F$2:F608)-SUM($G$2:G608),2))</f>
        <v/>
      </c>
      <c r="J608" s="21">
        <f>IFERROR(MATCH(ROW()-1,$L$2:$L$3001,0),"")</f>
        <v/>
      </c>
      <c r="K608" s="34">
        <f>IF(AND('Daily Sale entry '!X608&lt;&gt;"",OR('Daily Sale entry '!AC608&lt;&gt;"",'Daily Sale entry '!AD608&lt;&gt;"")),'Daily Sale entry '!X608+ROW()/10000000,"")</f>
        <v/>
      </c>
      <c r="L608" s="21">
        <f>IF(K608="","",COUNTIF($K$2:$K$3001,"&lt;"&amp;K608)+1)</f>
        <v/>
      </c>
    </row>
    <row r="609">
      <c r="A609" s="5">
        <f>IF($J609="","",IF($J609&lt;=1500,INDEX('Daily Sale entry '!$X$1:$X$1501,$J609+1),INDEX('Daily Sale entry '!$V$1:$V$1501,$J609-1499)))</f>
        <v/>
      </c>
      <c r="B609">
        <f>IF($J609="","",IF($J609&lt;=1500,INDEX('Daily Sale entry '!$Y$1:$Y$1501,$J609+1)&amp;"","Buyer cheque banked 买家支票存入"&amp;IF(INDEX('Daily Sale entry '!$U$1:$U$1501,$J609-1499)="","", " - "&amp;INDEX('Daily Sale entry '!$U$1:$U$1501,$J609-1499))))</f>
        <v/>
      </c>
      <c r="C609">
        <f>IF($J609="","",IF($J609&lt;=1500,INDEX('Daily Sale entry '!$Z$1:$Z$1501,$J609+1)&amp;"","Cheque deposit 支票存入 (buyer 买家)"))</f>
        <v/>
      </c>
      <c r="D609">
        <f>IF($J609="","",IF($J609&lt;=1500,INDEX('Daily Sale entry '!$AA$1:$AA$1501,$J609+1)&amp;"",INDEX('Daily Sale entry '!$P$1:$P$1501,$J609-1499)&amp;""))</f>
        <v/>
      </c>
      <c r="E609">
        <f>IF($J609="","",IF($J609&lt;=1500,IF(N(INDEX('Daily Sale entry '!$AB$1:$AB$1501,$J609+1))=0,"",INDEX('Daily Sale entry '!$AB$1:$AB$1501,$J609+1)),1))</f>
        <v/>
      </c>
      <c r="F609" s="6">
        <f>IF($J609="","",IF($J609&lt;=1500,N(INDEX('Daily Sale entry '!$AC$1:$AC$1501,$J609+1))-IF(AND('Opening Balance'!$B$15=1,INDEX('Daily Sale entry '!$Z$1:$Z$1501,$J609+1)="Online collection 网上收款",INDEX('Daily Sale entry '!$AA$1:$AA$1501,$J609+1)&lt;&gt;""),N(INDEX('Daily Sale entry '!$AC$1:$AC$1501,$J609+1))-TRUNC(N(INDEX('Daily Sale entry '!$AC$1:$AC$1501,$J609+1))),0),N(INDEX('Daily Sale entry '!$S$1:$S$1501,$J609-1499))-'Opening Balance'!$B$15*(N(INDEX('Daily Sale entry '!$S$1:$S$1501,$J609-1499))-TRUNC(N(INDEX('Daily Sale entry '!$S$1:$S$1501,$J609-1499))))))</f>
        <v/>
      </c>
      <c r="G609" s="6">
        <f>IF($J609="","",IF($J609&lt;=1500,N(INDEX('Daily Sale entry '!$AD$1:$AD$1501,$J609+1)),0))</f>
        <v/>
      </c>
      <c r="H609" s="6">
        <f>IF($J609="","",ROUND('Opening Balance'!$B$4+SUM($F$2:F609)-SUM($G$2:G609),2))</f>
        <v/>
      </c>
      <c r="J609" s="21">
        <f>IFERROR(MATCH(ROW()-1,$L$2:$L$3001,0),"")</f>
        <v/>
      </c>
      <c r="K609" s="34">
        <f>IF(AND('Daily Sale entry '!X609&lt;&gt;"",OR('Daily Sale entry '!AC609&lt;&gt;"",'Daily Sale entry '!AD609&lt;&gt;"")),'Daily Sale entry '!X609+ROW()/10000000,"")</f>
        <v/>
      </c>
      <c r="L609" s="21">
        <f>IF(K609="","",COUNTIF($K$2:$K$3001,"&lt;"&amp;K609)+1)</f>
        <v/>
      </c>
    </row>
    <row r="610">
      <c r="A610" s="5">
        <f>IF($J610="","",IF($J610&lt;=1500,INDEX('Daily Sale entry '!$X$1:$X$1501,$J610+1),INDEX('Daily Sale entry '!$V$1:$V$1501,$J610-1499)))</f>
        <v/>
      </c>
      <c r="B610">
        <f>IF($J610="","",IF($J610&lt;=1500,INDEX('Daily Sale entry '!$Y$1:$Y$1501,$J610+1)&amp;"","Buyer cheque banked 买家支票存入"&amp;IF(INDEX('Daily Sale entry '!$U$1:$U$1501,$J610-1499)="","", " - "&amp;INDEX('Daily Sale entry '!$U$1:$U$1501,$J610-1499))))</f>
        <v/>
      </c>
      <c r="C610">
        <f>IF($J610="","",IF($J610&lt;=1500,INDEX('Daily Sale entry '!$Z$1:$Z$1501,$J610+1)&amp;"","Cheque deposit 支票存入 (buyer 买家)"))</f>
        <v/>
      </c>
      <c r="D610">
        <f>IF($J610="","",IF($J610&lt;=1500,INDEX('Daily Sale entry '!$AA$1:$AA$1501,$J610+1)&amp;"",INDEX('Daily Sale entry '!$P$1:$P$1501,$J610-1499)&amp;""))</f>
        <v/>
      </c>
      <c r="E610">
        <f>IF($J610="","",IF($J610&lt;=1500,IF(N(INDEX('Daily Sale entry '!$AB$1:$AB$1501,$J610+1))=0,"",INDEX('Daily Sale entry '!$AB$1:$AB$1501,$J610+1)),1))</f>
        <v/>
      </c>
      <c r="F610" s="6">
        <f>IF($J610="","",IF($J610&lt;=1500,N(INDEX('Daily Sale entry '!$AC$1:$AC$1501,$J610+1))-IF(AND('Opening Balance'!$B$15=1,INDEX('Daily Sale entry '!$Z$1:$Z$1501,$J610+1)="Online collection 网上收款",INDEX('Daily Sale entry '!$AA$1:$AA$1501,$J610+1)&lt;&gt;""),N(INDEX('Daily Sale entry '!$AC$1:$AC$1501,$J610+1))-TRUNC(N(INDEX('Daily Sale entry '!$AC$1:$AC$1501,$J610+1))),0),N(INDEX('Daily Sale entry '!$S$1:$S$1501,$J610-1499))-'Opening Balance'!$B$15*(N(INDEX('Daily Sale entry '!$S$1:$S$1501,$J610-1499))-TRUNC(N(INDEX('Daily Sale entry '!$S$1:$S$1501,$J610-1499))))))</f>
        <v/>
      </c>
      <c r="G610" s="6">
        <f>IF($J610="","",IF($J610&lt;=1500,N(INDEX('Daily Sale entry '!$AD$1:$AD$1501,$J610+1)),0))</f>
        <v/>
      </c>
      <c r="H610" s="6">
        <f>IF($J610="","",ROUND('Opening Balance'!$B$4+SUM($F$2:F610)-SUM($G$2:G610),2))</f>
        <v/>
      </c>
      <c r="J610" s="21">
        <f>IFERROR(MATCH(ROW()-1,$L$2:$L$3001,0),"")</f>
        <v/>
      </c>
      <c r="K610" s="34">
        <f>IF(AND('Daily Sale entry '!X610&lt;&gt;"",OR('Daily Sale entry '!AC610&lt;&gt;"",'Daily Sale entry '!AD610&lt;&gt;"")),'Daily Sale entry '!X610+ROW()/10000000,"")</f>
        <v/>
      </c>
      <c r="L610" s="21">
        <f>IF(K610="","",COUNTIF($K$2:$K$3001,"&lt;"&amp;K610)+1)</f>
        <v/>
      </c>
    </row>
    <row r="611">
      <c r="A611" s="5">
        <f>IF($J611="","",IF($J611&lt;=1500,INDEX('Daily Sale entry '!$X$1:$X$1501,$J611+1),INDEX('Daily Sale entry '!$V$1:$V$1501,$J611-1499)))</f>
        <v/>
      </c>
      <c r="B611">
        <f>IF($J611="","",IF($J611&lt;=1500,INDEX('Daily Sale entry '!$Y$1:$Y$1501,$J611+1)&amp;"","Buyer cheque banked 买家支票存入"&amp;IF(INDEX('Daily Sale entry '!$U$1:$U$1501,$J611-1499)="","", " - "&amp;INDEX('Daily Sale entry '!$U$1:$U$1501,$J611-1499))))</f>
        <v/>
      </c>
      <c r="C611">
        <f>IF($J611="","",IF($J611&lt;=1500,INDEX('Daily Sale entry '!$Z$1:$Z$1501,$J611+1)&amp;"","Cheque deposit 支票存入 (buyer 买家)"))</f>
        <v/>
      </c>
      <c r="D611">
        <f>IF($J611="","",IF($J611&lt;=1500,INDEX('Daily Sale entry '!$AA$1:$AA$1501,$J611+1)&amp;"",INDEX('Daily Sale entry '!$P$1:$P$1501,$J611-1499)&amp;""))</f>
        <v/>
      </c>
      <c r="E611">
        <f>IF($J611="","",IF($J611&lt;=1500,IF(N(INDEX('Daily Sale entry '!$AB$1:$AB$1501,$J611+1))=0,"",INDEX('Daily Sale entry '!$AB$1:$AB$1501,$J611+1)),1))</f>
        <v/>
      </c>
      <c r="F611" s="6">
        <f>IF($J611="","",IF($J611&lt;=1500,N(INDEX('Daily Sale entry '!$AC$1:$AC$1501,$J611+1))-IF(AND('Opening Balance'!$B$15=1,INDEX('Daily Sale entry '!$Z$1:$Z$1501,$J611+1)="Online collection 网上收款",INDEX('Daily Sale entry '!$AA$1:$AA$1501,$J611+1)&lt;&gt;""),N(INDEX('Daily Sale entry '!$AC$1:$AC$1501,$J611+1))-TRUNC(N(INDEX('Daily Sale entry '!$AC$1:$AC$1501,$J611+1))),0),N(INDEX('Daily Sale entry '!$S$1:$S$1501,$J611-1499))-'Opening Balance'!$B$15*(N(INDEX('Daily Sale entry '!$S$1:$S$1501,$J611-1499))-TRUNC(N(INDEX('Daily Sale entry '!$S$1:$S$1501,$J611-1499))))))</f>
        <v/>
      </c>
      <c r="G611" s="6">
        <f>IF($J611="","",IF($J611&lt;=1500,N(INDEX('Daily Sale entry '!$AD$1:$AD$1501,$J611+1)),0))</f>
        <v/>
      </c>
      <c r="H611" s="6">
        <f>IF($J611="","",ROUND('Opening Balance'!$B$4+SUM($F$2:F611)-SUM($G$2:G611),2))</f>
        <v/>
      </c>
      <c r="J611" s="21">
        <f>IFERROR(MATCH(ROW()-1,$L$2:$L$3001,0),"")</f>
        <v/>
      </c>
      <c r="K611" s="34">
        <f>IF(AND('Daily Sale entry '!X611&lt;&gt;"",OR('Daily Sale entry '!AC611&lt;&gt;"",'Daily Sale entry '!AD611&lt;&gt;"")),'Daily Sale entry '!X611+ROW()/10000000,"")</f>
        <v/>
      </c>
      <c r="L611" s="21">
        <f>IF(K611="","",COUNTIF($K$2:$K$3001,"&lt;"&amp;K611)+1)</f>
        <v/>
      </c>
    </row>
    <row r="612">
      <c r="A612" s="5">
        <f>IF($J612="","",IF($J612&lt;=1500,INDEX('Daily Sale entry '!$X$1:$X$1501,$J612+1),INDEX('Daily Sale entry '!$V$1:$V$1501,$J612-1499)))</f>
        <v/>
      </c>
      <c r="B612">
        <f>IF($J612="","",IF($J612&lt;=1500,INDEX('Daily Sale entry '!$Y$1:$Y$1501,$J612+1)&amp;"","Buyer cheque banked 买家支票存入"&amp;IF(INDEX('Daily Sale entry '!$U$1:$U$1501,$J612-1499)="","", " - "&amp;INDEX('Daily Sale entry '!$U$1:$U$1501,$J612-1499))))</f>
        <v/>
      </c>
      <c r="C612">
        <f>IF($J612="","",IF($J612&lt;=1500,INDEX('Daily Sale entry '!$Z$1:$Z$1501,$J612+1)&amp;"","Cheque deposit 支票存入 (buyer 买家)"))</f>
        <v/>
      </c>
      <c r="D612">
        <f>IF($J612="","",IF($J612&lt;=1500,INDEX('Daily Sale entry '!$AA$1:$AA$1501,$J612+1)&amp;"",INDEX('Daily Sale entry '!$P$1:$P$1501,$J612-1499)&amp;""))</f>
        <v/>
      </c>
      <c r="E612">
        <f>IF($J612="","",IF($J612&lt;=1500,IF(N(INDEX('Daily Sale entry '!$AB$1:$AB$1501,$J612+1))=0,"",INDEX('Daily Sale entry '!$AB$1:$AB$1501,$J612+1)),1))</f>
        <v/>
      </c>
      <c r="F612" s="6">
        <f>IF($J612="","",IF($J612&lt;=1500,N(INDEX('Daily Sale entry '!$AC$1:$AC$1501,$J612+1))-IF(AND('Opening Balance'!$B$15=1,INDEX('Daily Sale entry '!$Z$1:$Z$1501,$J612+1)="Online collection 网上收款",INDEX('Daily Sale entry '!$AA$1:$AA$1501,$J612+1)&lt;&gt;""),N(INDEX('Daily Sale entry '!$AC$1:$AC$1501,$J612+1))-TRUNC(N(INDEX('Daily Sale entry '!$AC$1:$AC$1501,$J612+1))),0),N(INDEX('Daily Sale entry '!$S$1:$S$1501,$J612-1499))-'Opening Balance'!$B$15*(N(INDEX('Daily Sale entry '!$S$1:$S$1501,$J612-1499))-TRUNC(N(INDEX('Daily Sale entry '!$S$1:$S$1501,$J612-1499))))))</f>
        <v/>
      </c>
      <c r="G612" s="6">
        <f>IF($J612="","",IF($J612&lt;=1500,N(INDEX('Daily Sale entry '!$AD$1:$AD$1501,$J612+1)),0))</f>
        <v/>
      </c>
      <c r="H612" s="6">
        <f>IF($J612="","",ROUND('Opening Balance'!$B$4+SUM($F$2:F612)-SUM($G$2:G612),2))</f>
        <v/>
      </c>
      <c r="J612" s="21">
        <f>IFERROR(MATCH(ROW()-1,$L$2:$L$3001,0),"")</f>
        <v/>
      </c>
      <c r="K612" s="34">
        <f>IF(AND('Daily Sale entry '!X612&lt;&gt;"",OR('Daily Sale entry '!AC612&lt;&gt;"",'Daily Sale entry '!AD612&lt;&gt;"")),'Daily Sale entry '!X612+ROW()/10000000,"")</f>
        <v/>
      </c>
      <c r="L612" s="21">
        <f>IF(K612="","",COUNTIF($K$2:$K$3001,"&lt;"&amp;K612)+1)</f>
        <v/>
      </c>
    </row>
    <row r="613">
      <c r="A613" s="5">
        <f>IF($J613="","",IF($J613&lt;=1500,INDEX('Daily Sale entry '!$X$1:$X$1501,$J613+1),INDEX('Daily Sale entry '!$V$1:$V$1501,$J613-1499)))</f>
        <v/>
      </c>
      <c r="B613">
        <f>IF($J613="","",IF($J613&lt;=1500,INDEX('Daily Sale entry '!$Y$1:$Y$1501,$J613+1)&amp;"","Buyer cheque banked 买家支票存入"&amp;IF(INDEX('Daily Sale entry '!$U$1:$U$1501,$J613-1499)="","", " - "&amp;INDEX('Daily Sale entry '!$U$1:$U$1501,$J613-1499))))</f>
        <v/>
      </c>
      <c r="C613">
        <f>IF($J613="","",IF($J613&lt;=1500,INDEX('Daily Sale entry '!$Z$1:$Z$1501,$J613+1)&amp;"","Cheque deposit 支票存入 (buyer 买家)"))</f>
        <v/>
      </c>
      <c r="D613">
        <f>IF($J613="","",IF($J613&lt;=1500,INDEX('Daily Sale entry '!$AA$1:$AA$1501,$J613+1)&amp;"",INDEX('Daily Sale entry '!$P$1:$P$1501,$J613-1499)&amp;""))</f>
        <v/>
      </c>
      <c r="E613">
        <f>IF($J613="","",IF($J613&lt;=1500,IF(N(INDEX('Daily Sale entry '!$AB$1:$AB$1501,$J613+1))=0,"",INDEX('Daily Sale entry '!$AB$1:$AB$1501,$J613+1)),1))</f>
        <v/>
      </c>
      <c r="F613" s="6">
        <f>IF($J613="","",IF($J613&lt;=1500,N(INDEX('Daily Sale entry '!$AC$1:$AC$1501,$J613+1))-IF(AND('Opening Balance'!$B$15=1,INDEX('Daily Sale entry '!$Z$1:$Z$1501,$J613+1)="Online collection 网上收款",INDEX('Daily Sale entry '!$AA$1:$AA$1501,$J613+1)&lt;&gt;""),N(INDEX('Daily Sale entry '!$AC$1:$AC$1501,$J613+1))-TRUNC(N(INDEX('Daily Sale entry '!$AC$1:$AC$1501,$J613+1))),0),N(INDEX('Daily Sale entry '!$S$1:$S$1501,$J613-1499))-'Opening Balance'!$B$15*(N(INDEX('Daily Sale entry '!$S$1:$S$1501,$J613-1499))-TRUNC(N(INDEX('Daily Sale entry '!$S$1:$S$1501,$J613-1499))))))</f>
        <v/>
      </c>
      <c r="G613" s="6">
        <f>IF($J613="","",IF($J613&lt;=1500,N(INDEX('Daily Sale entry '!$AD$1:$AD$1501,$J613+1)),0))</f>
        <v/>
      </c>
      <c r="H613" s="6">
        <f>IF($J613="","",ROUND('Opening Balance'!$B$4+SUM($F$2:F613)-SUM($G$2:G613),2))</f>
        <v/>
      </c>
      <c r="J613" s="21">
        <f>IFERROR(MATCH(ROW()-1,$L$2:$L$3001,0),"")</f>
        <v/>
      </c>
      <c r="K613" s="34">
        <f>IF(AND('Daily Sale entry '!X613&lt;&gt;"",OR('Daily Sale entry '!AC613&lt;&gt;"",'Daily Sale entry '!AD613&lt;&gt;"")),'Daily Sale entry '!X613+ROW()/10000000,"")</f>
        <v/>
      </c>
      <c r="L613" s="21">
        <f>IF(K613="","",COUNTIF($K$2:$K$3001,"&lt;"&amp;K613)+1)</f>
        <v/>
      </c>
    </row>
    <row r="614">
      <c r="A614" s="5">
        <f>IF($J614="","",IF($J614&lt;=1500,INDEX('Daily Sale entry '!$X$1:$X$1501,$J614+1),INDEX('Daily Sale entry '!$V$1:$V$1501,$J614-1499)))</f>
        <v/>
      </c>
      <c r="B614">
        <f>IF($J614="","",IF($J614&lt;=1500,INDEX('Daily Sale entry '!$Y$1:$Y$1501,$J614+1)&amp;"","Buyer cheque banked 买家支票存入"&amp;IF(INDEX('Daily Sale entry '!$U$1:$U$1501,$J614-1499)="","", " - "&amp;INDEX('Daily Sale entry '!$U$1:$U$1501,$J614-1499))))</f>
        <v/>
      </c>
      <c r="C614">
        <f>IF($J614="","",IF($J614&lt;=1500,INDEX('Daily Sale entry '!$Z$1:$Z$1501,$J614+1)&amp;"","Cheque deposit 支票存入 (buyer 买家)"))</f>
        <v/>
      </c>
      <c r="D614">
        <f>IF($J614="","",IF($J614&lt;=1500,INDEX('Daily Sale entry '!$AA$1:$AA$1501,$J614+1)&amp;"",INDEX('Daily Sale entry '!$P$1:$P$1501,$J614-1499)&amp;""))</f>
        <v/>
      </c>
      <c r="E614">
        <f>IF($J614="","",IF($J614&lt;=1500,IF(N(INDEX('Daily Sale entry '!$AB$1:$AB$1501,$J614+1))=0,"",INDEX('Daily Sale entry '!$AB$1:$AB$1501,$J614+1)),1))</f>
        <v/>
      </c>
      <c r="F614" s="6">
        <f>IF($J614="","",IF($J614&lt;=1500,N(INDEX('Daily Sale entry '!$AC$1:$AC$1501,$J614+1))-IF(AND('Opening Balance'!$B$15=1,INDEX('Daily Sale entry '!$Z$1:$Z$1501,$J614+1)="Online collection 网上收款",INDEX('Daily Sale entry '!$AA$1:$AA$1501,$J614+1)&lt;&gt;""),N(INDEX('Daily Sale entry '!$AC$1:$AC$1501,$J614+1))-TRUNC(N(INDEX('Daily Sale entry '!$AC$1:$AC$1501,$J614+1))),0),N(INDEX('Daily Sale entry '!$S$1:$S$1501,$J614-1499))-'Opening Balance'!$B$15*(N(INDEX('Daily Sale entry '!$S$1:$S$1501,$J614-1499))-TRUNC(N(INDEX('Daily Sale entry '!$S$1:$S$1501,$J614-1499))))))</f>
        <v/>
      </c>
      <c r="G614" s="6">
        <f>IF($J614="","",IF($J614&lt;=1500,N(INDEX('Daily Sale entry '!$AD$1:$AD$1501,$J614+1)),0))</f>
        <v/>
      </c>
      <c r="H614" s="6">
        <f>IF($J614="","",ROUND('Opening Balance'!$B$4+SUM($F$2:F614)-SUM($G$2:G614),2))</f>
        <v/>
      </c>
      <c r="J614" s="21">
        <f>IFERROR(MATCH(ROW()-1,$L$2:$L$3001,0),"")</f>
        <v/>
      </c>
      <c r="K614" s="34">
        <f>IF(AND('Daily Sale entry '!X614&lt;&gt;"",OR('Daily Sale entry '!AC614&lt;&gt;"",'Daily Sale entry '!AD614&lt;&gt;"")),'Daily Sale entry '!X614+ROW()/10000000,"")</f>
        <v/>
      </c>
      <c r="L614" s="21">
        <f>IF(K614="","",COUNTIF($K$2:$K$3001,"&lt;"&amp;K614)+1)</f>
        <v/>
      </c>
    </row>
    <row r="615">
      <c r="A615" s="5">
        <f>IF($J615="","",IF($J615&lt;=1500,INDEX('Daily Sale entry '!$X$1:$X$1501,$J615+1),INDEX('Daily Sale entry '!$V$1:$V$1501,$J615-1499)))</f>
        <v/>
      </c>
      <c r="B615">
        <f>IF($J615="","",IF($J615&lt;=1500,INDEX('Daily Sale entry '!$Y$1:$Y$1501,$J615+1)&amp;"","Buyer cheque banked 买家支票存入"&amp;IF(INDEX('Daily Sale entry '!$U$1:$U$1501,$J615-1499)="","", " - "&amp;INDEX('Daily Sale entry '!$U$1:$U$1501,$J615-1499))))</f>
        <v/>
      </c>
      <c r="C615">
        <f>IF($J615="","",IF($J615&lt;=1500,INDEX('Daily Sale entry '!$Z$1:$Z$1501,$J615+1)&amp;"","Cheque deposit 支票存入 (buyer 买家)"))</f>
        <v/>
      </c>
      <c r="D615">
        <f>IF($J615="","",IF($J615&lt;=1500,INDEX('Daily Sale entry '!$AA$1:$AA$1501,$J615+1)&amp;"",INDEX('Daily Sale entry '!$P$1:$P$1501,$J615-1499)&amp;""))</f>
        <v/>
      </c>
      <c r="E615">
        <f>IF($J615="","",IF($J615&lt;=1500,IF(N(INDEX('Daily Sale entry '!$AB$1:$AB$1501,$J615+1))=0,"",INDEX('Daily Sale entry '!$AB$1:$AB$1501,$J615+1)),1))</f>
        <v/>
      </c>
      <c r="F615" s="6">
        <f>IF($J615="","",IF($J615&lt;=1500,N(INDEX('Daily Sale entry '!$AC$1:$AC$1501,$J615+1))-IF(AND('Opening Balance'!$B$15=1,INDEX('Daily Sale entry '!$Z$1:$Z$1501,$J615+1)="Online collection 网上收款",INDEX('Daily Sale entry '!$AA$1:$AA$1501,$J615+1)&lt;&gt;""),N(INDEX('Daily Sale entry '!$AC$1:$AC$1501,$J615+1))-TRUNC(N(INDEX('Daily Sale entry '!$AC$1:$AC$1501,$J615+1))),0),N(INDEX('Daily Sale entry '!$S$1:$S$1501,$J615-1499))-'Opening Balance'!$B$15*(N(INDEX('Daily Sale entry '!$S$1:$S$1501,$J615-1499))-TRUNC(N(INDEX('Daily Sale entry '!$S$1:$S$1501,$J615-1499))))))</f>
        <v/>
      </c>
      <c r="G615" s="6">
        <f>IF($J615="","",IF($J615&lt;=1500,N(INDEX('Daily Sale entry '!$AD$1:$AD$1501,$J615+1)),0))</f>
        <v/>
      </c>
      <c r="H615" s="6">
        <f>IF($J615="","",ROUND('Opening Balance'!$B$4+SUM($F$2:F615)-SUM($G$2:G615),2))</f>
        <v/>
      </c>
      <c r="J615" s="21">
        <f>IFERROR(MATCH(ROW()-1,$L$2:$L$3001,0),"")</f>
        <v/>
      </c>
      <c r="K615" s="34">
        <f>IF(AND('Daily Sale entry '!X615&lt;&gt;"",OR('Daily Sale entry '!AC615&lt;&gt;"",'Daily Sale entry '!AD615&lt;&gt;"")),'Daily Sale entry '!X615+ROW()/10000000,"")</f>
        <v/>
      </c>
      <c r="L615" s="21">
        <f>IF(K615="","",COUNTIF($K$2:$K$3001,"&lt;"&amp;K615)+1)</f>
        <v/>
      </c>
    </row>
    <row r="616">
      <c r="A616" s="5">
        <f>IF($J616="","",IF($J616&lt;=1500,INDEX('Daily Sale entry '!$X$1:$X$1501,$J616+1),INDEX('Daily Sale entry '!$V$1:$V$1501,$J616-1499)))</f>
        <v/>
      </c>
      <c r="B616">
        <f>IF($J616="","",IF($J616&lt;=1500,INDEX('Daily Sale entry '!$Y$1:$Y$1501,$J616+1)&amp;"","Buyer cheque banked 买家支票存入"&amp;IF(INDEX('Daily Sale entry '!$U$1:$U$1501,$J616-1499)="","", " - "&amp;INDEX('Daily Sale entry '!$U$1:$U$1501,$J616-1499))))</f>
        <v/>
      </c>
      <c r="C616">
        <f>IF($J616="","",IF($J616&lt;=1500,INDEX('Daily Sale entry '!$Z$1:$Z$1501,$J616+1)&amp;"","Cheque deposit 支票存入 (buyer 买家)"))</f>
        <v/>
      </c>
      <c r="D616">
        <f>IF($J616="","",IF($J616&lt;=1500,INDEX('Daily Sale entry '!$AA$1:$AA$1501,$J616+1)&amp;"",INDEX('Daily Sale entry '!$P$1:$P$1501,$J616-1499)&amp;""))</f>
        <v/>
      </c>
      <c r="E616">
        <f>IF($J616="","",IF($J616&lt;=1500,IF(N(INDEX('Daily Sale entry '!$AB$1:$AB$1501,$J616+1))=0,"",INDEX('Daily Sale entry '!$AB$1:$AB$1501,$J616+1)),1))</f>
        <v/>
      </c>
      <c r="F616" s="6">
        <f>IF($J616="","",IF($J616&lt;=1500,N(INDEX('Daily Sale entry '!$AC$1:$AC$1501,$J616+1))-IF(AND('Opening Balance'!$B$15=1,INDEX('Daily Sale entry '!$Z$1:$Z$1501,$J616+1)="Online collection 网上收款",INDEX('Daily Sale entry '!$AA$1:$AA$1501,$J616+1)&lt;&gt;""),N(INDEX('Daily Sale entry '!$AC$1:$AC$1501,$J616+1))-TRUNC(N(INDEX('Daily Sale entry '!$AC$1:$AC$1501,$J616+1))),0),N(INDEX('Daily Sale entry '!$S$1:$S$1501,$J616-1499))-'Opening Balance'!$B$15*(N(INDEX('Daily Sale entry '!$S$1:$S$1501,$J616-1499))-TRUNC(N(INDEX('Daily Sale entry '!$S$1:$S$1501,$J616-1499))))))</f>
        <v/>
      </c>
      <c r="G616" s="6">
        <f>IF($J616="","",IF($J616&lt;=1500,N(INDEX('Daily Sale entry '!$AD$1:$AD$1501,$J616+1)),0))</f>
        <v/>
      </c>
      <c r="H616" s="6">
        <f>IF($J616="","",ROUND('Opening Balance'!$B$4+SUM($F$2:F616)-SUM($G$2:G616),2))</f>
        <v/>
      </c>
      <c r="J616" s="21">
        <f>IFERROR(MATCH(ROW()-1,$L$2:$L$3001,0),"")</f>
        <v/>
      </c>
      <c r="K616" s="34">
        <f>IF(AND('Daily Sale entry '!X616&lt;&gt;"",OR('Daily Sale entry '!AC616&lt;&gt;"",'Daily Sale entry '!AD616&lt;&gt;"")),'Daily Sale entry '!X616+ROW()/10000000,"")</f>
        <v/>
      </c>
      <c r="L616" s="21">
        <f>IF(K616="","",COUNTIF($K$2:$K$3001,"&lt;"&amp;K616)+1)</f>
        <v/>
      </c>
    </row>
    <row r="617">
      <c r="A617" s="5">
        <f>IF($J617="","",IF($J617&lt;=1500,INDEX('Daily Sale entry '!$X$1:$X$1501,$J617+1),INDEX('Daily Sale entry '!$V$1:$V$1501,$J617-1499)))</f>
        <v/>
      </c>
      <c r="B617">
        <f>IF($J617="","",IF($J617&lt;=1500,INDEX('Daily Sale entry '!$Y$1:$Y$1501,$J617+1)&amp;"","Buyer cheque banked 买家支票存入"&amp;IF(INDEX('Daily Sale entry '!$U$1:$U$1501,$J617-1499)="","", " - "&amp;INDEX('Daily Sale entry '!$U$1:$U$1501,$J617-1499))))</f>
        <v/>
      </c>
      <c r="C617">
        <f>IF($J617="","",IF($J617&lt;=1500,INDEX('Daily Sale entry '!$Z$1:$Z$1501,$J617+1)&amp;"","Cheque deposit 支票存入 (buyer 买家)"))</f>
        <v/>
      </c>
      <c r="D617">
        <f>IF($J617="","",IF($J617&lt;=1500,INDEX('Daily Sale entry '!$AA$1:$AA$1501,$J617+1)&amp;"",INDEX('Daily Sale entry '!$P$1:$P$1501,$J617-1499)&amp;""))</f>
        <v/>
      </c>
      <c r="E617">
        <f>IF($J617="","",IF($J617&lt;=1500,IF(N(INDEX('Daily Sale entry '!$AB$1:$AB$1501,$J617+1))=0,"",INDEX('Daily Sale entry '!$AB$1:$AB$1501,$J617+1)),1))</f>
        <v/>
      </c>
      <c r="F617" s="6">
        <f>IF($J617="","",IF($J617&lt;=1500,N(INDEX('Daily Sale entry '!$AC$1:$AC$1501,$J617+1))-IF(AND('Opening Balance'!$B$15=1,INDEX('Daily Sale entry '!$Z$1:$Z$1501,$J617+1)="Online collection 网上收款",INDEX('Daily Sale entry '!$AA$1:$AA$1501,$J617+1)&lt;&gt;""),N(INDEX('Daily Sale entry '!$AC$1:$AC$1501,$J617+1))-TRUNC(N(INDEX('Daily Sale entry '!$AC$1:$AC$1501,$J617+1))),0),N(INDEX('Daily Sale entry '!$S$1:$S$1501,$J617-1499))-'Opening Balance'!$B$15*(N(INDEX('Daily Sale entry '!$S$1:$S$1501,$J617-1499))-TRUNC(N(INDEX('Daily Sale entry '!$S$1:$S$1501,$J617-1499))))))</f>
        <v/>
      </c>
      <c r="G617" s="6">
        <f>IF($J617="","",IF($J617&lt;=1500,N(INDEX('Daily Sale entry '!$AD$1:$AD$1501,$J617+1)),0))</f>
        <v/>
      </c>
      <c r="H617" s="6">
        <f>IF($J617="","",ROUND('Opening Balance'!$B$4+SUM($F$2:F617)-SUM($G$2:G617),2))</f>
        <v/>
      </c>
      <c r="J617" s="21">
        <f>IFERROR(MATCH(ROW()-1,$L$2:$L$3001,0),"")</f>
        <v/>
      </c>
      <c r="K617" s="34">
        <f>IF(AND('Daily Sale entry '!X617&lt;&gt;"",OR('Daily Sale entry '!AC617&lt;&gt;"",'Daily Sale entry '!AD617&lt;&gt;"")),'Daily Sale entry '!X617+ROW()/10000000,"")</f>
        <v/>
      </c>
      <c r="L617" s="21">
        <f>IF(K617="","",COUNTIF($K$2:$K$3001,"&lt;"&amp;K617)+1)</f>
        <v/>
      </c>
    </row>
    <row r="618">
      <c r="A618" s="5">
        <f>IF($J618="","",IF($J618&lt;=1500,INDEX('Daily Sale entry '!$X$1:$X$1501,$J618+1),INDEX('Daily Sale entry '!$V$1:$V$1501,$J618-1499)))</f>
        <v/>
      </c>
      <c r="B618">
        <f>IF($J618="","",IF($J618&lt;=1500,INDEX('Daily Sale entry '!$Y$1:$Y$1501,$J618+1)&amp;"","Buyer cheque banked 买家支票存入"&amp;IF(INDEX('Daily Sale entry '!$U$1:$U$1501,$J618-1499)="","", " - "&amp;INDEX('Daily Sale entry '!$U$1:$U$1501,$J618-1499))))</f>
        <v/>
      </c>
      <c r="C618">
        <f>IF($J618="","",IF($J618&lt;=1500,INDEX('Daily Sale entry '!$Z$1:$Z$1501,$J618+1)&amp;"","Cheque deposit 支票存入 (buyer 买家)"))</f>
        <v/>
      </c>
      <c r="D618">
        <f>IF($J618="","",IF($J618&lt;=1500,INDEX('Daily Sale entry '!$AA$1:$AA$1501,$J618+1)&amp;"",INDEX('Daily Sale entry '!$P$1:$P$1501,$J618-1499)&amp;""))</f>
        <v/>
      </c>
      <c r="E618">
        <f>IF($J618="","",IF($J618&lt;=1500,IF(N(INDEX('Daily Sale entry '!$AB$1:$AB$1501,$J618+1))=0,"",INDEX('Daily Sale entry '!$AB$1:$AB$1501,$J618+1)),1))</f>
        <v/>
      </c>
      <c r="F618" s="6">
        <f>IF($J618="","",IF($J618&lt;=1500,N(INDEX('Daily Sale entry '!$AC$1:$AC$1501,$J618+1))-IF(AND('Opening Balance'!$B$15=1,INDEX('Daily Sale entry '!$Z$1:$Z$1501,$J618+1)="Online collection 网上收款",INDEX('Daily Sale entry '!$AA$1:$AA$1501,$J618+1)&lt;&gt;""),N(INDEX('Daily Sale entry '!$AC$1:$AC$1501,$J618+1))-TRUNC(N(INDEX('Daily Sale entry '!$AC$1:$AC$1501,$J618+1))),0),N(INDEX('Daily Sale entry '!$S$1:$S$1501,$J618-1499))-'Opening Balance'!$B$15*(N(INDEX('Daily Sale entry '!$S$1:$S$1501,$J618-1499))-TRUNC(N(INDEX('Daily Sale entry '!$S$1:$S$1501,$J618-1499))))))</f>
        <v/>
      </c>
      <c r="G618" s="6">
        <f>IF($J618="","",IF($J618&lt;=1500,N(INDEX('Daily Sale entry '!$AD$1:$AD$1501,$J618+1)),0))</f>
        <v/>
      </c>
      <c r="H618" s="6">
        <f>IF($J618="","",ROUND('Opening Balance'!$B$4+SUM($F$2:F618)-SUM($G$2:G618),2))</f>
        <v/>
      </c>
      <c r="J618" s="21">
        <f>IFERROR(MATCH(ROW()-1,$L$2:$L$3001,0),"")</f>
        <v/>
      </c>
      <c r="K618" s="34">
        <f>IF(AND('Daily Sale entry '!X618&lt;&gt;"",OR('Daily Sale entry '!AC618&lt;&gt;"",'Daily Sale entry '!AD618&lt;&gt;"")),'Daily Sale entry '!X618+ROW()/10000000,"")</f>
        <v/>
      </c>
      <c r="L618" s="21">
        <f>IF(K618="","",COUNTIF($K$2:$K$3001,"&lt;"&amp;K618)+1)</f>
        <v/>
      </c>
    </row>
    <row r="619">
      <c r="A619" s="5">
        <f>IF($J619="","",IF($J619&lt;=1500,INDEX('Daily Sale entry '!$X$1:$X$1501,$J619+1),INDEX('Daily Sale entry '!$V$1:$V$1501,$J619-1499)))</f>
        <v/>
      </c>
      <c r="B619">
        <f>IF($J619="","",IF($J619&lt;=1500,INDEX('Daily Sale entry '!$Y$1:$Y$1501,$J619+1)&amp;"","Buyer cheque banked 买家支票存入"&amp;IF(INDEX('Daily Sale entry '!$U$1:$U$1501,$J619-1499)="","", " - "&amp;INDEX('Daily Sale entry '!$U$1:$U$1501,$J619-1499))))</f>
        <v/>
      </c>
      <c r="C619">
        <f>IF($J619="","",IF($J619&lt;=1500,INDEX('Daily Sale entry '!$Z$1:$Z$1501,$J619+1)&amp;"","Cheque deposit 支票存入 (buyer 买家)"))</f>
        <v/>
      </c>
      <c r="D619">
        <f>IF($J619="","",IF($J619&lt;=1500,INDEX('Daily Sale entry '!$AA$1:$AA$1501,$J619+1)&amp;"",INDEX('Daily Sale entry '!$P$1:$P$1501,$J619-1499)&amp;""))</f>
        <v/>
      </c>
      <c r="E619">
        <f>IF($J619="","",IF($J619&lt;=1500,IF(N(INDEX('Daily Sale entry '!$AB$1:$AB$1501,$J619+1))=0,"",INDEX('Daily Sale entry '!$AB$1:$AB$1501,$J619+1)),1))</f>
        <v/>
      </c>
      <c r="F619" s="6">
        <f>IF($J619="","",IF($J619&lt;=1500,N(INDEX('Daily Sale entry '!$AC$1:$AC$1501,$J619+1))-IF(AND('Opening Balance'!$B$15=1,INDEX('Daily Sale entry '!$Z$1:$Z$1501,$J619+1)="Online collection 网上收款",INDEX('Daily Sale entry '!$AA$1:$AA$1501,$J619+1)&lt;&gt;""),N(INDEX('Daily Sale entry '!$AC$1:$AC$1501,$J619+1))-TRUNC(N(INDEX('Daily Sale entry '!$AC$1:$AC$1501,$J619+1))),0),N(INDEX('Daily Sale entry '!$S$1:$S$1501,$J619-1499))-'Opening Balance'!$B$15*(N(INDEX('Daily Sale entry '!$S$1:$S$1501,$J619-1499))-TRUNC(N(INDEX('Daily Sale entry '!$S$1:$S$1501,$J619-1499))))))</f>
        <v/>
      </c>
      <c r="G619" s="6">
        <f>IF($J619="","",IF($J619&lt;=1500,N(INDEX('Daily Sale entry '!$AD$1:$AD$1501,$J619+1)),0))</f>
        <v/>
      </c>
      <c r="H619" s="6">
        <f>IF($J619="","",ROUND('Opening Balance'!$B$4+SUM($F$2:F619)-SUM($G$2:G619),2))</f>
        <v/>
      </c>
      <c r="J619" s="21">
        <f>IFERROR(MATCH(ROW()-1,$L$2:$L$3001,0),"")</f>
        <v/>
      </c>
      <c r="K619" s="34">
        <f>IF(AND('Daily Sale entry '!X619&lt;&gt;"",OR('Daily Sale entry '!AC619&lt;&gt;"",'Daily Sale entry '!AD619&lt;&gt;"")),'Daily Sale entry '!X619+ROW()/10000000,"")</f>
        <v/>
      </c>
      <c r="L619" s="21">
        <f>IF(K619="","",COUNTIF($K$2:$K$3001,"&lt;"&amp;K619)+1)</f>
        <v/>
      </c>
    </row>
    <row r="620">
      <c r="A620" s="5">
        <f>IF($J620="","",IF($J620&lt;=1500,INDEX('Daily Sale entry '!$X$1:$X$1501,$J620+1),INDEX('Daily Sale entry '!$V$1:$V$1501,$J620-1499)))</f>
        <v/>
      </c>
      <c r="B620">
        <f>IF($J620="","",IF($J620&lt;=1500,INDEX('Daily Sale entry '!$Y$1:$Y$1501,$J620+1)&amp;"","Buyer cheque banked 买家支票存入"&amp;IF(INDEX('Daily Sale entry '!$U$1:$U$1501,$J620-1499)="","", " - "&amp;INDEX('Daily Sale entry '!$U$1:$U$1501,$J620-1499))))</f>
        <v/>
      </c>
      <c r="C620">
        <f>IF($J620="","",IF($J620&lt;=1500,INDEX('Daily Sale entry '!$Z$1:$Z$1501,$J620+1)&amp;"","Cheque deposit 支票存入 (buyer 买家)"))</f>
        <v/>
      </c>
      <c r="D620">
        <f>IF($J620="","",IF($J620&lt;=1500,INDEX('Daily Sale entry '!$AA$1:$AA$1501,$J620+1)&amp;"",INDEX('Daily Sale entry '!$P$1:$P$1501,$J620-1499)&amp;""))</f>
        <v/>
      </c>
      <c r="E620">
        <f>IF($J620="","",IF($J620&lt;=1500,IF(N(INDEX('Daily Sale entry '!$AB$1:$AB$1501,$J620+1))=0,"",INDEX('Daily Sale entry '!$AB$1:$AB$1501,$J620+1)),1))</f>
        <v/>
      </c>
      <c r="F620" s="6">
        <f>IF($J620="","",IF($J620&lt;=1500,N(INDEX('Daily Sale entry '!$AC$1:$AC$1501,$J620+1))-IF(AND('Opening Balance'!$B$15=1,INDEX('Daily Sale entry '!$Z$1:$Z$1501,$J620+1)="Online collection 网上收款",INDEX('Daily Sale entry '!$AA$1:$AA$1501,$J620+1)&lt;&gt;""),N(INDEX('Daily Sale entry '!$AC$1:$AC$1501,$J620+1))-TRUNC(N(INDEX('Daily Sale entry '!$AC$1:$AC$1501,$J620+1))),0),N(INDEX('Daily Sale entry '!$S$1:$S$1501,$J620-1499))-'Opening Balance'!$B$15*(N(INDEX('Daily Sale entry '!$S$1:$S$1501,$J620-1499))-TRUNC(N(INDEX('Daily Sale entry '!$S$1:$S$1501,$J620-1499))))))</f>
        <v/>
      </c>
      <c r="G620" s="6">
        <f>IF($J620="","",IF($J620&lt;=1500,N(INDEX('Daily Sale entry '!$AD$1:$AD$1501,$J620+1)),0))</f>
        <v/>
      </c>
      <c r="H620" s="6">
        <f>IF($J620="","",ROUND('Opening Balance'!$B$4+SUM($F$2:F620)-SUM($G$2:G620),2))</f>
        <v/>
      </c>
      <c r="J620" s="21">
        <f>IFERROR(MATCH(ROW()-1,$L$2:$L$3001,0),"")</f>
        <v/>
      </c>
      <c r="K620" s="34">
        <f>IF(AND('Daily Sale entry '!X620&lt;&gt;"",OR('Daily Sale entry '!AC620&lt;&gt;"",'Daily Sale entry '!AD620&lt;&gt;"")),'Daily Sale entry '!X620+ROW()/10000000,"")</f>
        <v/>
      </c>
      <c r="L620" s="21">
        <f>IF(K620="","",COUNTIF($K$2:$K$3001,"&lt;"&amp;K620)+1)</f>
        <v/>
      </c>
    </row>
    <row r="621">
      <c r="A621" s="5">
        <f>IF($J621="","",IF($J621&lt;=1500,INDEX('Daily Sale entry '!$X$1:$X$1501,$J621+1),INDEX('Daily Sale entry '!$V$1:$V$1501,$J621-1499)))</f>
        <v/>
      </c>
      <c r="B621">
        <f>IF($J621="","",IF($J621&lt;=1500,INDEX('Daily Sale entry '!$Y$1:$Y$1501,$J621+1)&amp;"","Buyer cheque banked 买家支票存入"&amp;IF(INDEX('Daily Sale entry '!$U$1:$U$1501,$J621-1499)="","", " - "&amp;INDEX('Daily Sale entry '!$U$1:$U$1501,$J621-1499))))</f>
        <v/>
      </c>
      <c r="C621">
        <f>IF($J621="","",IF($J621&lt;=1500,INDEX('Daily Sale entry '!$Z$1:$Z$1501,$J621+1)&amp;"","Cheque deposit 支票存入 (buyer 买家)"))</f>
        <v/>
      </c>
      <c r="D621">
        <f>IF($J621="","",IF($J621&lt;=1500,INDEX('Daily Sale entry '!$AA$1:$AA$1501,$J621+1)&amp;"",INDEX('Daily Sale entry '!$P$1:$P$1501,$J621-1499)&amp;""))</f>
        <v/>
      </c>
      <c r="E621">
        <f>IF($J621="","",IF($J621&lt;=1500,IF(N(INDEX('Daily Sale entry '!$AB$1:$AB$1501,$J621+1))=0,"",INDEX('Daily Sale entry '!$AB$1:$AB$1501,$J621+1)),1))</f>
        <v/>
      </c>
      <c r="F621" s="6">
        <f>IF($J621="","",IF($J621&lt;=1500,N(INDEX('Daily Sale entry '!$AC$1:$AC$1501,$J621+1))-IF(AND('Opening Balance'!$B$15=1,INDEX('Daily Sale entry '!$Z$1:$Z$1501,$J621+1)="Online collection 网上收款",INDEX('Daily Sale entry '!$AA$1:$AA$1501,$J621+1)&lt;&gt;""),N(INDEX('Daily Sale entry '!$AC$1:$AC$1501,$J621+1))-TRUNC(N(INDEX('Daily Sale entry '!$AC$1:$AC$1501,$J621+1))),0),N(INDEX('Daily Sale entry '!$S$1:$S$1501,$J621-1499))-'Opening Balance'!$B$15*(N(INDEX('Daily Sale entry '!$S$1:$S$1501,$J621-1499))-TRUNC(N(INDEX('Daily Sale entry '!$S$1:$S$1501,$J621-1499))))))</f>
        <v/>
      </c>
      <c r="G621" s="6">
        <f>IF($J621="","",IF($J621&lt;=1500,N(INDEX('Daily Sale entry '!$AD$1:$AD$1501,$J621+1)),0))</f>
        <v/>
      </c>
      <c r="H621" s="6">
        <f>IF($J621="","",ROUND('Opening Balance'!$B$4+SUM($F$2:F621)-SUM($G$2:G621),2))</f>
        <v/>
      </c>
      <c r="J621" s="21">
        <f>IFERROR(MATCH(ROW()-1,$L$2:$L$3001,0),"")</f>
        <v/>
      </c>
      <c r="K621" s="34">
        <f>IF(AND('Daily Sale entry '!X621&lt;&gt;"",OR('Daily Sale entry '!AC621&lt;&gt;"",'Daily Sale entry '!AD621&lt;&gt;"")),'Daily Sale entry '!X621+ROW()/10000000,"")</f>
        <v/>
      </c>
      <c r="L621" s="21">
        <f>IF(K621="","",COUNTIF($K$2:$K$3001,"&lt;"&amp;K621)+1)</f>
        <v/>
      </c>
    </row>
    <row r="622">
      <c r="A622" s="5">
        <f>IF($J622="","",IF($J622&lt;=1500,INDEX('Daily Sale entry '!$X$1:$X$1501,$J622+1),INDEX('Daily Sale entry '!$V$1:$V$1501,$J622-1499)))</f>
        <v/>
      </c>
      <c r="B622">
        <f>IF($J622="","",IF($J622&lt;=1500,INDEX('Daily Sale entry '!$Y$1:$Y$1501,$J622+1)&amp;"","Buyer cheque banked 买家支票存入"&amp;IF(INDEX('Daily Sale entry '!$U$1:$U$1501,$J622-1499)="","", " - "&amp;INDEX('Daily Sale entry '!$U$1:$U$1501,$J622-1499))))</f>
        <v/>
      </c>
      <c r="C622">
        <f>IF($J622="","",IF($J622&lt;=1500,INDEX('Daily Sale entry '!$Z$1:$Z$1501,$J622+1)&amp;"","Cheque deposit 支票存入 (buyer 买家)"))</f>
        <v/>
      </c>
      <c r="D622">
        <f>IF($J622="","",IF($J622&lt;=1500,INDEX('Daily Sale entry '!$AA$1:$AA$1501,$J622+1)&amp;"",INDEX('Daily Sale entry '!$P$1:$P$1501,$J622-1499)&amp;""))</f>
        <v/>
      </c>
      <c r="E622">
        <f>IF($J622="","",IF($J622&lt;=1500,IF(N(INDEX('Daily Sale entry '!$AB$1:$AB$1501,$J622+1))=0,"",INDEX('Daily Sale entry '!$AB$1:$AB$1501,$J622+1)),1))</f>
        <v/>
      </c>
      <c r="F622" s="6">
        <f>IF($J622="","",IF($J622&lt;=1500,N(INDEX('Daily Sale entry '!$AC$1:$AC$1501,$J622+1))-IF(AND('Opening Balance'!$B$15=1,INDEX('Daily Sale entry '!$Z$1:$Z$1501,$J622+1)="Online collection 网上收款",INDEX('Daily Sale entry '!$AA$1:$AA$1501,$J622+1)&lt;&gt;""),N(INDEX('Daily Sale entry '!$AC$1:$AC$1501,$J622+1))-TRUNC(N(INDEX('Daily Sale entry '!$AC$1:$AC$1501,$J622+1))),0),N(INDEX('Daily Sale entry '!$S$1:$S$1501,$J622-1499))-'Opening Balance'!$B$15*(N(INDEX('Daily Sale entry '!$S$1:$S$1501,$J622-1499))-TRUNC(N(INDEX('Daily Sale entry '!$S$1:$S$1501,$J622-1499))))))</f>
        <v/>
      </c>
      <c r="G622" s="6">
        <f>IF($J622="","",IF($J622&lt;=1500,N(INDEX('Daily Sale entry '!$AD$1:$AD$1501,$J622+1)),0))</f>
        <v/>
      </c>
      <c r="H622" s="6">
        <f>IF($J622="","",ROUND('Opening Balance'!$B$4+SUM($F$2:F622)-SUM($G$2:G622),2))</f>
        <v/>
      </c>
      <c r="J622" s="21">
        <f>IFERROR(MATCH(ROW()-1,$L$2:$L$3001,0),"")</f>
        <v/>
      </c>
      <c r="K622" s="34">
        <f>IF(AND('Daily Sale entry '!X622&lt;&gt;"",OR('Daily Sale entry '!AC622&lt;&gt;"",'Daily Sale entry '!AD622&lt;&gt;"")),'Daily Sale entry '!X622+ROW()/10000000,"")</f>
        <v/>
      </c>
      <c r="L622" s="21">
        <f>IF(K622="","",COUNTIF($K$2:$K$3001,"&lt;"&amp;K622)+1)</f>
        <v/>
      </c>
    </row>
    <row r="623">
      <c r="A623" s="5">
        <f>IF($J623="","",IF($J623&lt;=1500,INDEX('Daily Sale entry '!$X$1:$X$1501,$J623+1),INDEX('Daily Sale entry '!$V$1:$V$1501,$J623-1499)))</f>
        <v/>
      </c>
      <c r="B623">
        <f>IF($J623="","",IF($J623&lt;=1500,INDEX('Daily Sale entry '!$Y$1:$Y$1501,$J623+1)&amp;"","Buyer cheque banked 买家支票存入"&amp;IF(INDEX('Daily Sale entry '!$U$1:$U$1501,$J623-1499)="","", " - "&amp;INDEX('Daily Sale entry '!$U$1:$U$1501,$J623-1499))))</f>
        <v/>
      </c>
      <c r="C623">
        <f>IF($J623="","",IF($J623&lt;=1500,INDEX('Daily Sale entry '!$Z$1:$Z$1501,$J623+1)&amp;"","Cheque deposit 支票存入 (buyer 买家)"))</f>
        <v/>
      </c>
      <c r="D623">
        <f>IF($J623="","",IF($J623&lt;=1500,INDEX('Daily Sale entry '!$AA$1:$AA$1501,$J623+1)&amp;"",INDEX('Daily Sale entry '!$P$1:$P$1501,$J623-1499)&amp;""))</f>
        <v/>
      </c>
      <c r="E623">
        <f>IF($J623="","",IF($J623&lt;=1500,IF(N(INDEX('Daily Sale entry '!$AB$1:$AB$1501,$J623+1))=0,"",INDEX('Daily Sale entry '!$AB$1:$AB$1501,$J623+1)),1))</f>
        <v/>
      </c>
      <c r="F623" s="6">
        <f>IF($J623="","",IF($J623&lt;=1500,N(INDEX('Daily Sale entry '!$AC$1:$AC$1501,$J623+1))-IF(AND('Opening Balance'!$B$15=1,INDEX('Daily Sale entry '!$Z$1:$Z$1501,$J623+1)="Online collection 网上收款",INDEX('Daily Sale entry '!$AA$1:$AA$1501,$J623+1)&lt;&gt;""),N(INDEX('Daily Sale entry '!$AC$1:$AC$1501,$J623+1))-TRUNC(N(INDEX('Daily Sale entry '!$AC$1:$AC$1501,$J623+1))),0),N(INDEX('Daily Sale entry '!$S$1:$S$1501,$J623-1499))-'Opening Balance'!$B$15*(N(INDEX('Daily Sale entry '!$S$1:$S$1501,$J623-1499))-TRUNC(N(INDEX('Daily Sale entry '!$S$1:$S$1501,$J623-1499))))))</f>
        <v/>
      </c>
      <c r="G623" s="6">
        <f>IF($J623="","",IF($J623&lt;=1500,N(INDEX('Daily Sale entry '!$AD$1:$AD$1501,$J623+1)),0))</f>
        <v/>
      </c>
      <c r="H623" s="6">
        <f>IF($J623="","",ROUND('Opening Balance'!$B$4+SUM($F$2:F623)-SUM($G$2:G623),2))</f>
        <v/>
      </c>
      <c r="J623" s="21">
        <f>IFERROR(MATCH(ROW()-1,$L$2:$L$3001,0),"")</f>
        <v/>
      </c>
      <c r="K623" s="34">
        <f>IF(AND('Daily Sale entry '!X623&lt;&gt;"",OR('Daily Sale entry '!AC623&lt;&gt;"",'Daily Sale entry '!AD623&lt;&gt;"")),'Daily Sale entry '!X623+ROW()/10000000,"")</f>
        <v/>
      </c>
      <c r="L623" s="21">
        <f>IF(K623="","",COUNTIF($K$2:$K$3001,"&lt;"&amp;K623)+1)</f>
        <v/>
      </c>
    </row>
    <row r="624">
      <c r="A624" s="5">
        <f>IF($J624="","",IF($J624&lt;=1500,INDEX('Daily Sale entry '!$X$1:$X$1501,$J624+1),INDEX('Daily Sale entry '!$V$1:$V$1501,$J624-1499)))</f>
        <v/>
      </c>
      <c r="B624">
        <f>IF($J624="","",IF($J624&lt;=1500,INDEX('Daily Sale entry '!$Y$1:$Y$1501,$J624+1)&amp;"","Buyer cheque banked 买家支票存入"&amp;IF(INDEX('Daily Sale entry '!$U$1:$U$1501,$J624-1499)="","", " - "&amp;INDEX('Daily Sale entry '!$U$1:$U$1501,$J624-1499))))</f>
        <v/>
      </c>
      <c r="C624">
        <f>IF($J624="","",IF($J624&lt;=1500,INDEX('Daily Sale entry '!$Z$1:$Z$1501,$J624+1)&amp;"","Cheque deposit 支票存入 (buyer 买家)"))</f>
        <v/>
      </c>
      <c r="D624">
        <f>IF($J624="","",IF($J624&lt;=1500,INDEX('Daily Sale entry '!$AA$1:$AA$1501,$J624+1)&amp;"",INDEX('Daily Sale entry '!$P$1:$P$1501,$J624-1499)&amp;""))</f>
        <v/>
      </c>
      <c r="E624">
        <f>IF($J624="","",IF($J624&lt;=1500,IF(N(INDEX('Daily Sale entry '!$AB$1:$AB$1501,$J624+1))=0,"",INDEX('Daily Sale entry '!$AB$1:$AB$1501,$J624+1)),1))</f>
        <v/>
      </c>
      <c r="F624" s="6">
        <f>IF($J624="","",IF($J624&lt;=1500,N(INDEX('Daily Sale entry '!$AC$1:$AC$1501,$J624+1))-IF(AND('Opening Balance'!$B$15=1,INDEX('Daily Sale entry '!$Z$1:$Z$1501,$J624+1)="Online collection 网上收款",INDEX('Daily Sale entry '!$AA$1:$AA$1501,$J624+1)&lt;&gt;""),N(INDEX('Daily Sale entry '!$AC$1:$AC$1501,$J624+1))-TRUNC(N(INDEX('Daily Sale entry '!$AC$1:$AC$1501,$J624+1))),0),N(INDEX('Daily Sale entry '!$S$1:$S$1501,$J624-1499))-'Opening Balance'!$B$15*(N(INDEX('Daily Sale entry '!$S$1:$S$1501,$J624-1499))-TRUNC(N(INDEX('Daily Sale entry '!$S$1:$S$1501,$J624-1499))))))</f>
        <v/>
      </c>
      <c r="G624" s="6">
        <f>IF($J624="","",IF($J624&lt;=1500,N(INDEX('Daily Sale entry '!$AD$1:$AD$1501,$J624+1)),0))</f>
        <v/>
      </c>
      <c r="H624" s="6">
        <f>IF($J624="","",ROUND('Opening Balance'!$B$4+SUM($F$2:F624)-SUM($G$2:G624),2))</f>
        <v/>
      </c>
      <c r="J624" s="21">
        <f>IFERROR(MATCH(ROW()-1,$L$2:$L$3001,0),"")</f>
        <v/>
      </c>
      <c r="K624" s="34">
        <f>IF(AND('Daily Sale entry '!X624&lt;&gt;"",OR('Daily Sale entry '!AC624&lt;&gt;"",'Daily Sale entry '!AD624&lt;&gt;"")),'Daily Sale entry '!X624+ROW()/10000000,"")</f>
        <v/>
      </c>
      <c r="L624" s="21">
        <f>IF(K624="","",COUNTIF($K$2:$K$3001,"&lt;"&amp;K624)+1)</f>
        <v/>
      </c>
    </row>
    <row r="625">
      <c r="A625" s="5">
        <f>IF($J625="","",IF($J625&lt;=1500,INDEX('Daily Sale entry '!$X$1:$X$1501,$J625+1),INDEX('Daily Sale entry '!$V$1:$V$1501,$J625-1499)))</f>
        <v/>
      </c>
      <c r="B625">
        <f>IF($J625="","",IF($J625&lt;=1500,INDEX('Daily Sale entry '!$Y$1:$Y$1501,$J625+1)&amp;"","Buyer cheque banked 买家支票存入"&amp;IF(INDEX('Daily Sale entry '!$U$1:$U$1501,$J625-1499)="","", " - "&amp;INDEX('Daily Sale entry '!$U$1:$U$1501,$J625-1499))))</f>
        <v/>
      </c>
      <c r="C625">
        <f>IF($J625="","",IF($J625&lt;=1500,INDEX('Daily Sale entry '!$Z$1:$Z$1501,$J625+1)&amp;"","Cheque deposit 支票存入 (buyer 买家)"))</f>
        <v/>
      </c>
      <c r="D625">
        <f>IF($J625="","",IF($J625&lt;=1500,INDEX('Daily Sale entry '!$AA$1:$AA$1501,$J625+1)&amp;"",INDEX('Daily Sale entry '!$P$1:$P$1501,$J625-1499)&amp;""))</f>
        <v/>
      </c>
      <c r="E625">
        <f>IF($J625="","",IF($J625&lt;=1500,IF(N(INDEX('Daily Sale entry '!$AB$1:$AB$1501,$J625+1))=0,"",INDEX('Daily Sale entry '!$AB$1:$AB$1501,$J625+1)),1))</f>
        <v/>
      </c>
      <c r="F625" s="6">
        <f>IF($J625="","",IF($J625&lt;=1500,N(INDEX('Daily Sale entry '!$AC$1:$AC$1501,$J625+1))-IF(AND('Opening Balance'!$B$15=1,INDEX('Daily Sale entry '!$Z$1:$Z$1501,$J625+1)="Online collection 网上收款",INDEX('Daily Sale entry '!$AA$1:$AA$1501,$J625+1)&lt;&gt;""),N(INDEX('Daily Sale entry '!$AC$1:$AC$1501,$J625+1))-TRUNC(N(INDEX('Daily Sale entry '!$AC$1:$AC$1501,$J625+1))),0),N(INDEX('Daily Sale entry '!$S$1:$S$1501,$J625-1499))-'Opening Balance'!$B$15*(N(INDEX('Daily Sale entry '!$S$1:$S$1501,$J625-1499))-TRUNC(N(INDEX('Daily Sale entry '!$S$1:$S$1501,$J625-1499))))))</f>
        <v/>
      </c>
      <c r="G625" s="6">
        <f>IF($J625="","",IF($J625&lt;=1500,N(INDEX('Daily Sale entry '!$AD$1:$AD$1501,$J625+1)),0))</f>
        <v/>
      </c>
      <c r="H625" s="6">
        <f>IF($J625="","",ROUND('Opening Balance'!$B$4+SUM($F$2:F625)-SUM($G$2:G625),2))</f>
        <v/>
      </c>
      <c r="J625" s="21">
        <f>IFERROR(MATCH(ROW()-1,$L$2:$L$3001,0),"")</f>
        <v/>
      </c>
      <c r="K625" s="34">
        <f>IF(AND('Daily Sale entry '!X625&lt;&gt;"",OR('Daily Sale entry '!AC625&lt;&gt;"",'Daily Sale entry '!AD625&lt;&gt;"")),'Daily Sale entry '!X625+ROW()/10000000,"")</f>
        <v/>
      </c>
      <c r="L625" s="21">
        <f>IF(K625="","",COUNTIF($K$2:$K$3001,"&lt;"&amp;K625)+1)</f>
        <v/>
      </c>
    </row>
    <row r="626">
      <c r="A626" s="5">
        <f>IF($J626="","",IF($J626&lt;=1500,INDEX('Daily Sale entry '!$X$1:$X$1501,$J626+1),INDEX('Daily Sale entry '!$V$1:$V$1501,$J626-1499)))</f>
        <v/>
      </c>
      <c r="B626">
        <f>IF($J626="","",IF($J626&lt;=1500,INDEX('Daily Sale entry '!$Y$1:$Y$1501,$J626+1)&amp;"","Buyer cheque banked 买家支票存入"&amp;IF(INDEX('Daily Sale entry '!$U$1:$U$1501,$J626-1499)="","", " - "&amp;INDEX('Daily Sale entry '!$U$1:$U$1501,$J626-1499))))</f>
        <v/>
      </c>
      <c r="C626">
        <f>IF($J626="","",IF($J626&lt;=1500,INDEX('Daily Sale entry '!$Z$1:$Z$1501,$J626+1)&amp;"","Cheque deposit 支票存入 (buyer 买家)"))</f>
        <v/>
      </c>
      <c r="D626">
        <f>IF($J626="","",IF($J626&lt;=1500,INDEX('Daily Sale entry '!$AA$1:$AA$1501,$J626+1)&amp;"",INDEX('Daily Sale entry '!$P$1:$P$1501,$J626-1499)&amp;""))</f>
        <v/>
      </c>
      <c r="E626">
        <f>IF($J626="","",IF($J626&lt;=1500,IF(N(INDEX('Daily Sale entry '!$AB$1:$AB$1501,$J626+1))=0,"",INDEX('Daily Sale entry '!$AB$1:$AB$1501,$J626+1)),1))</f>
        <v/>
      </c>
      <c r="F626" s="6">
        <f>IF($J626="","",IF($J626&lt;=1500,N(INDEX('Daily Sale entry '!$AC$1:$AC$1501,$J626+1))-IF(AND('Opening Balance'!$B$15=1,INDEX('Daily Sale entry '!$Z$1:$Z$1501,$J626+1)="Online collection 网上收款",INDEX('Daily Sale entry '!$AA$1:$AA$1501,$J626+1)&lt;&gt;""),N(INDEX('Daily Sale entry '!$AC$1:$AC$1501,$J626+1))-TRUNC(N(INDEX('Daily Sale entry '!$AC$1:$AC$1501,$J626+1))),0),N(INDEX('Daily Sale entry '!$S$1:$S$1501,$J626-1499))-'Opening Balance'!$B$15*(N(INDEX('Daily Sale entry '!$S$1:$S$1501,$J626-1499))-TRUNC(N(INDEX('Daily Sale entry '!$S$1:$S$1501,$J626-1499))))))</f>
        <v/>
      </c>
      <c r="G626" s="6">
        <f>IF($J626="","",IF($J626&lt;=1500,N(INDEX('Daily Sale entry '!$AD$1:$AD$1501,$J626+1)),0))</f>
        <v/>
      </c>
      <c r="H626" s="6">
        <f>IF($J626="","",ROUND('Opening Balance'!$B$4+SUM($F$2:F626)-SUM($G$2:G626),2))</f>
        <v/>
      </c>
      <c r="J626" s="21">
        <f>IFERROR(MATCH(ROW()-1,$L$2:$L$3001,0),"")</f>
        <v/>
      </c>
      <c r="K626" s="34">
        <f>IF(AND('Daily Sale entry '!X626&lt;&gt;"",OR('Daily Sale entry '!AC626&lt;&gt;"",'Daily Sale entry '!AD626&lt;&gt;"")),'Daily Sale entry '!X626+ROW()/10000000,"")</f>
        <v/>
      </c>
      <c r="L626" s="21">
        <f>IF(K626="","",COUNTIF($K$2:$K$3001,"&lt;"&amp;K626)+1)</f>
        <v/>
      </c>
    </row>
    <row r="627">
      <c r="A627" s="5">
        <f>IF($J627="","",IF($J627&lt;=1500,INDEX('Daily Sale entry '!$X$1:$X$1501,$J627+1),INDEX('Daily Sale entry '!$V$1:$V$1501,$J627-1499)))</f>
        <v/>
      </c>
      <c r="B627">
        <f>IF($J627="","",IF($J627&lt;=1500,INDEX('Daily Sale entry '!$Y$1:$Y$1501,$J627+1)&amp;"","Buyer cheque banked 买家支票存入"&amp;IF(INDEX('Daily Sale entry '!$U$1:$U$1501,$J627-1499)="","", " - "&amp;INDEX('Daily Sale entry '!$U$1:$U$1501,$J627-1499))))</f>
        <v/>
      </c>
      <c r="C627">
        <f>IF($J627="","",IF($J627&lt;=1500,INDEX('Daily Sale entry '!$Z$1:$Z$1501,$J627+1)&amp;"","Cheque deposit 支票存入 (buyer 买家)"))</f>
        <v/>
      </c>
      <c r="D627">
        <f>IF($J627="","",IF($J627&lt;=1500,INDEX('Daily Sale entry '!$AA$1:$AA$1501,$J627+1)&amp;"",INDEX('Daily Sale entry '!$P$1:$P$1501,$J627-1499)&amp;""))</f>
        <v/>
      </c>
      <c r="E627">
        <f>IF($J627="","",IF($J627&lt;=1500,IF(N(INDEX('Daily Sale entry '!$AB$1:$AB$1501,$J627+1))=0,"",INDEX('Daily Sale entry '!$AB$1:$AB$1501,$J627+1)),1))</f>
        <v/>
      </c>
      <c r="F627" s="6">
        <f>IF($J627="","",IF($J627&lt;=1500,N(INDEX('Daily Sale entry '!$AC$1:$AC$1501,$J627+1))-IF(AND('Opening Balance'!$B$15=1,INDEX('Daily Sale entry '!$Z$1:$Z$1501,$J627+1)="Online collection 网上收款",INDEX('Daily Sale entry '!$AA$1:$AA$1501,$J627+1)&lt;&gt;""),N(INDEX('Daily Sale entry '!$AC$1:$AC$1501,$J627+1))-TRUNC(N(INDEX('Daily Sale entry '!$AC$1:$AC$1501,$J627+1))),0),N(INDEX('Daily Sale entry '!$S$1:$S$1501,$J627-1499))-'Opening Balance'!$B$15*(N(INDEX('Daily Sale entry '!$S$1:$S$1501,$J627-1499))-TRUNC(N(INDEX('Daily Sale entry '!$S$1:$S$1501,$J627-1499))))))</f>
        <v/>
      </c>
      <c r="G627" s="6">
        <f>IF($J627="","",IF($J627&lt;=1500,N(INDEX('Daily Sale entry '!$AD$1:$AD$1501,$J627+1)),0))</f>
        <v/>
      </c>
      <c r="H627" s="6">
        <f>IF($J627="","",ROUND('Opening Balance'!$B$4+SUM($F$2:F627)-SUM($G$2:G627),2))</f>
        <v/>
      </c>
      <c r="J627" s="21">
        <f>IFERROR(MATCH(ROW()-1,$L$2:$L$3001,0),"")</f>
        <v/>
      </c>
      <c r="K627" s="34">
        <f>IF(AND('Daily Sale entry '!X627&lt;&gt;"",OR('Daily Sale entry '!AC627&lt;&gt;"",'Daily Sale entry '!AD627&lt;&gt;"")),'Daily Sale entry '!X627+ROW()/10000000,"")</f>
        <v/>
      </c>
      <c r="L627" s="21">
        <f>IF(K627="","",COUNTIF($K$2:$K$3001,"&lt;"&amp;K627)+1)</f>
        <v/>
      </c>
    </row>
    <row r="628">
      <c r="A628" s="5">
        <f>IF($J628="","",IF($J628&lt;=1500,INDEX('Daily Sale entry '!$X$1:$X$1501,$J628+1),INDEX('Daily Sale entry '!$V$1:$V$1501,$J628-1499)))</f>
        <v/>
      </c>
      <c r="B628">
        <f>IF($J628="","",IF($J628&lt;=1500,INDEX('Daily Sale entry '!$Y$1:$Y$1501,$J628+1)&amp;"","Buyer cheque banked 买家支票存入"&amp;IF(INDEX('Daily Sale entry '!$U$1:$U$1501,$J628-1499)="","", " - "&amp;INDEX('Daily Sale entry '!$U$1:$U$1501,$J628-1499))))</f>
        <v/>
      </c>
      <c r="C628">
        <f>IF($J628="","",IF($J628&lt;=1500,INDEX('Daily Sale entry '!$Z$1:$Z$1501,$J628+1)&amp;"","Cheque deposit 支票存入 (buyer 买家)"))</f>
        <v/>
      </c>
      <c r="D628">
        <f>IF($J628="","",IF($J628&lt;=1500,INDEX('Daily Sale entry '!$AA$1:$AA$1501,$J628+1)&amp;"",INDEX('Daily Sale entry '!$P$1:$P$1501,$J628-1499)&amp;""))</f>
        <v/>
      </c>
      <c r="E628">
        <f>IF($J628="","",IF($J628&lt;=1500,IF(N(INDEX('Daily Sale entry '!$AB$1:$AB$1501,$J628+1))=0,"",INDEX('Daily Sale entry '!$AB$1:$AB$1501,$J628+1)),1))</f>
        <v/>
      </c>
      <c r="F628" s="6">
        <f>IF($J628="","",IF($J628&lt;=1500,N(INDEX('Daily Sale entry '!$AC$1:$AC$1501,$J628+1))-IF(AND('Opening Balance'!$B$15=1,INDEX('Daily Sale entry '!$Z$1:$Z$1501,$J628+1)="Online collection 网上收款",INDEX('Daily Sale entry '!$AA$1:$AA$1501,$J628+1)&lt;&gt;""),N(INDEX('Daily Sale entry '!$AC$1:$AC$1501,$J628+1))-TRUNC(N(INDEX('Daily Sale entry '!$AC$1:$AC$1501,$J628+1))),0),N(INDEX('Daily Sale entry '!$S$1:$S$1501,$J628-1499))-'Opening Balance'!$B$15*(N(INDEX('Daily Sale entry '!$S$1:$S$1501,$J628-1499))-TRUNC(N(INDEX('Daily Sale entry '!$S$1:$S$1501,$J628-1499))))))</f>
        <v/>
      </c>
      <c r="G628" s="6">
        <f>IF($J628="","",IF($J628&lt;=1500,N(INDEX('Daily Sale entry '!$AD$1:$AD$1501,$J628+1)),0))</f>
        <v/>
      </c>
      <c r="H628" s="6">
        <f>IF($J628="","",ROUND('Opening Balance'!$B$4+SUM($F$2:F628)-SUM($G$2:G628),2))</f>
        <v/>
      </c>
      <c r="J628" s="21">
        <f>IFERROR(MATCH(ROW()-1,$L$2:$L$3001,0),"")</f>
        <v/>
      </c>
      <c r="K628" s="34">
        <f>IF(AND('Daily Sale entry '!X628&lt;&gt;"",OR('Daily Sale entry '!AC628&lt;&gt;"",'Daily Sale entry '!AD628&lt;&gt;"")),'Daily Sale entry '!X628+ROW()/10000000,"")</f>
        <v/>
      </c>
      <c r="L628" s="21">
        <f>IF(K628="","",COUNTIF($K$2:$K$3001,"&lt;"&amp;K628)+1)</f>
        <v/>
      </c>
    </row>
    <row r="629">
      <c r="A629" s="5">
        <f>IF($J629="","",IF($J629&lt;=1500,INDEX('Daily Sale entry '!$X$1:$X$1501,$J629+1),INDEX('Daily Sale entry '!$V$1:$V$1501,$J629-1499)))</f>
        <v/>
      </c>
      <c r="B629">
        <f>IF($J629="","",IF($J629&lt;=1500,INDEX('Daily Sale entry '!$Y$1:$Y$1501,$J629+1)&amp;"","Buyer cheque banked 买家支票存入"&amp;IF(INDEX('Daily Sale entry '!$U$1:$U$1501,$J629-1499)="","", " - "&amp;INDEX('Daily Sale entry '!$U$1:$U$1501,$J629-1499))))</f>
        <v/>
      </c>
      <c r="C629">
        <f>IF($J629="","",IF($J629&lt;=1500,INDEX('Daily Sale entry '!$Z$1:$Z$1501,$J629+1)&amp;"","Cheque deposit 支票存入 (buyer 买家)"))</f>
        <v/>
      </c>
      <c r="D629">
        <f>IF($J629="","",IF($J629&lt;=1500,INDEX('Daily Sale entry '!$AA$1:$AA$1501,$J629+1)&amp;"",INDEX('Daily Sale entry '!$P$1:$P$1501,$J629-1499)&amp;""))</f>
        <v/>
      </c>
      <c r="E629">
        <f>IF($J629="","",IF($J629&lt;=1500,IF(N(INDEX('Daily Sale entry '!$AB$1:$AB$1501,$J629+1))=0,"",INDEX('Daily Sale entry '!$AB$1:$AB$1501,$J629+1)),1))</f>
        <v/>
      </c>
      <c r="F629" s="6">
        <f>IF($J629="","",IF($J629&lt;=1500,N(INDEX('Daily Sale entry '!$AC$1:$AC$1501,$J629+1))-IF(AND('Opening Balance'!$B$15=1,INDEX('Daily Sale entry '!$Z$1:$Z$1501,$J629+1)="Online collection 网上收款",INDEX('Daily Sale entry '!$AA$1:$AA$1501,$J629+1)&lt;&gt;""),N(INDEX('Daily Sale entry '!$AC$1:$AC$1501,$J629+1))-TRUNC(N(INDEX('Daily Sale entry '!$AC$1:$AC$1501,$J629+1))),0),N(INDEX('Daily Sale entry '!$S$1:$S$1501,$J629-1499))-'Opening Balance'!$B$15*(N(INDEX('Daily Sale entry '!$S$1:$S$1501,$J629-1499))-TRUNC(N(INDEX('Daily Sale entry '!$S$1:$S$1501,$J629-1499))))))</f>
        <v/>
      </c>
      <c r="G629" s="6">
        <f>IF($J629="","",IF($J629&lt;=1500,N(INDEX('Daily Sale entry '!$AD$1:$AD$1501,$J629+1)),0))</f>
        <v/>
      </c>
      <c r="H629" s="6">
        <f>IF($J629="","",ROUND('Opening Balance'!$B$4+SUM($F$2:F629)-SUM($G$2:G629),2))</f>
        <v/>
      </c>
      <c r="J629" s="21">
        <f>IFERROR(MATCH(ROW()-1,$L$2:$L$3001,0),"")</f>
        <v/>
      </c>
      <c r="K629" s="34">
        <f>IF(AND('Daily Sale entry '!X629&lt;&gt;"",OR('Daily Sale entry '!AC629&lt;&gt;"",'Daily Sale entry '!AD629&lt;&gt;"")),'Daily Sale entry '!X629+ROW()/10000000,"")</f>
        <v/>
      </c>
      <c r="L629" s="21">
        <f>IF(K629="","",COUNTIF($K$2:$K$3001,"&lt;"&amp;K629)+1)</f>
        <v/>
      </c>
    </row>
    <row r="630">
      <c r="A630" s="5">
        <f>IF($J630="","",IF($J630&lt;=1500,INDEX('Daily Sale entry '!$X$1:$X$1501,$J630+1),INDEX('Daily Sale entry '!$V$1:$V$1501,$J630-1499)))</f>
        <v/>
      </c>
      <c r="B630">
        <f>IF($J630="","",IF($J630&lt;=1500,INDEX('Daily Sale entry '!$Y$1:$Y$1501,$J630+1)&amp;"","Buyer cheque banked 买家支票存入"&amp;IF(INDEX('Daily Sale entry '!$U$1:$U$1501,$J630-1499)="","", " - "&amp;INDEX('Daily Sale entry '!$U$1:$U$1501,$J630-1499))))</f>
        <v/>
      </c>
      <c r="C630">
        <f>IF($J630="","",IF($J630&lt;=1500,INDEX('Daily Sale entry '!$Z$1:$Z$1501,$J630+1)&amp;"","Cheque deposit 支票存入 (buyer 买家)"))</f>
        <v/>
      </c>
      <c r="D630">
        <f>IF($J630="","",IF($J630&lt;=1500,INDEX('Daily Sale entry '!$AA$1:$AA$1501,$J630+1)&amp;"",INDEX('Daily Sale entry '!$P$1:$P$1501,$J630-1499)&amp;""))</f>
        <v/>
      </c>
      <c r="E630">
        <f>IF($J630="","",IF($J630&lt;=1500,IF(N(INDEX('Daily Sale entry '!$AB$1:$AB$1501,$J630+1))=0,"",INDEX('Daily Sale entry '!$AB$1:$AB$1501,$J630+1)),1))</f>
        <v/>
      </c>
      <c r="F630" s="6">
        <f>IF($J630="","",IF($J630&lt;=1500,N(INDEX('Daily Sale entry '!$AC$1:$AC$1501,$J630+1))-IF(AND('Opening Balance'!$B$15=1,INDEX('Daily Sale entry '!$Z$1:$Z$1501,$J630+1)="Online collection 网上收款",INDEX('Daily Sale entry '!$AA$1:$AA$1501,$J630+1)&lt;&gt;""),N(INDEX('Daily Sale entry '!$AC$1:$AC$1501,$J630+1))-TRUNC(N(INDEX('Daily Sale entry '!$AC$1:$AC$1501,$J630+1))),0),N(INDEX('Daily Sale entry '!$S$1:$S$1501,$J630-1499))-'Opening Balance'!$B$15*(N(INDEX('Daily Sale entry '!$S$1:$S$1501,$J630-1499))-TRUNC(N(INDEX('Daily Sale entry '!$S$1:$S$1501,$J630-1499))))))</f>
        <v/>
      </c>
      <c r="G630" s="6">
        <f>IF($J630="","",IF($J630&lt;=1500,N(INDEX('Daily Sale entry '!$AD$1:$AD$1501,$J630+1)),0))</f>
        <v/>
      </c>
      <c r="H630" s="6">
        <f>IF($J630="","",ROUND('Opening Balance'!$B$4+SUM($F$2:F630)-SUM($G$2:G630),2))</f>
        <v/>
      </c>
      <c r="J630" s="21">
        <f>IFERROR(MATCH(ROW()-1,$L$2:$L$3001,0),"")</f>
        <v/>
      </c>
      <c r="K630" s="34">
        <f>IF(AND('Daily Sale entry '!X630&lt;&gt;"",OR('Daily Sale entry '!AC630&lt;&gt;"",'Daily Sale entry '!AD630&lt;&gt;"")),'Daily Sale entry '!X630+ROW()/10000000,"")</f>
        <v/>
      </c>
      <c r="L630" s="21">
        <f>IF(K630="","",COUNTIF($K$2:$K$3001,"&lt;"&amp;K630)+1)</f>
        <v/>
      </c>
    </row>
    <row r="631">
      <c r="A631" s="5">
        <f>IF($J631="","",IF($J631&lt;=1500,INDEX('Daily Sale entry '!$X$1:$X$1501,$J631+1),INDEX('Daily Sale entry '!$V$1:$V$1501,$J631-1499)))</f>
        <v/>
      </c>
      <c r="B631">
        <f>IF($J631="","",IF($J631&lt;=1500,INDEX('Daily Sale entry '!$Y$1:$Y$1501,$J631+1)&amp;"","Buyer cheque banked 买家支票存入"&amp;IF(INDEX('Daily Sale entry '!$U$1:$U$1501,$J631-1499)="","", " - "&amp;INDEX('Daily Sale entry '!$U$1:$U$1501,$J631-1499))))</f>
        <v/>
      </c>
      <c r="C631">
        <f>IF($J631="","",IF($J631&lt;=1500,INDEX('Daily Sale entry '!$Z$1:$Z$1501,$J631+1)&amp;"","Cheque deposit 支票存入 (buyer 买家)"))</f>
        <v/>
      </c>
      <c r="D631">
        <f>IF($J631="","",IF($J631&lt;=1500,INDEX('Daily Sale entry '!$AA$1:$AA$1501,$J631+1)&amp;"",INDEX('Daily Sale entry '!$P$1:$P$1501,$J631-1499)&amp;""))</f>
        <v/>
      </c>
      <c r="E631">
        <f>IF($J631="","",IF($J631&lt;=1500,IF(N(INDEX('Daily Sale entry '!$AB$1:$AB$1501,$J631+1))=0,"",INDEX('Daily Sale entry '!$AB$1:$AB$1501,$J631+1)),1))</f>
        <v/>
      </c>
      <c r="F631" s="6">
        <f>IF($J631="","",IF($J631&lt;=1500,N(INDEX('Daily Sale entry '!$AC$1:$AC$1501,$J631+1))-IF(AND('Opening Balance'!$B$15=1,INDEX('Daily Sale entry '!$Z$1:$Z$1501,$J631+1)="Online collection 网上收款",INDEX('Daily Sale entry '!$AA$1:$AA$1501,$J631+1)&lt;&gt;""),N(INDEX('Daily Sale entry '!$AC$1:$AC$1501,$J631+1))-TRUNC(N(INDEX('Daily Sale entry '!$AC$1:$AC$1501,$J631+1))),0),N(INDEX('Daily Sale entry '!$S$1:$S$1501,$J631-1499))-'Opening Balance'!$B$15*(N(INDEX('Daily Sale entry '!$S$1:$S$1501,$J631-1499))-TRUNC(N(INDEX('Daily Sale entry '!$S$1:$S$1501,$J631-1499))))))</f>
        <v/>
      </c>
      <c r="G631" s="6">
        <f>IF($J631="","",IF($J631&lt;=1500,N(INDEX('Daily Sale entry '!$AD$1:$AD$1501,$J631+1)),0))</f>
        <v/>
      </c>
      <c r="H631" s="6">
        <f>IF($J631="","",ROUND('Opening Balance'!$B$4+SUM($F$2:F631)-SUM($G$2:G631),2))</f>
        <v/>
      </c>
      <c r="J631" s="21">
        <f>IFERROR(MATCH(ROW()-1,$L$2:$L$3001,0),"")</f>
        <v/>
      </c>
      <c r="K631" s="34">
        <f>IF(AND('Daily Sale entry '!X631&lt;&gt;"",OR('Daily Sale entry '!AC631&lt;&gt;"",'Daily Sale entry '!AD631&lt;&gt;"")),'Daily Sale entry '!X631+ROW()/10000000,"")</f>
        <v/>
      </c>
      <c r="L631" s="21">
        <f>IF(K631="","",COUNTIF($K$2:$K$3001,"&lt;"&amp;K631)+1)</f>
        <v/>
      </c>
    </row>
    <row r="632">
      <c r="A632" s="5">
        <f>IF($J632="","",IF($J632&lt;=1500,INDEX('Daily Sale entry '!$X$1:$X$1501,$J632+1),INDEX('Daily Sale entry '!$V$1:$V$1501,$J632-1499)))</f>
        <v/>
      </c>
      <c r="B632">
        <f>IF($J632="","",IF($J632&lt;=1500,INDEX('Daily Sale entry '!$Y$1:$Y$1501,$J632+1)&amp;"","Buyer cheque banked 买家支票存入"&amp;IF(INDEX('Daily Sale entry '!$U$1:$U$1501,$J632-1499)="","", " - "&amp;INDEX('Daily Sale entry '!$U$1:$U$1501,$J632-1499))))</f>
        <v/>
      </c>
      <c r="C632">
        <f>IF($J632="","",IF($J632&lt;=1500,INDEX('Daily Sale entry '!$Z$1:$Z$1501,$J632+1)&amp;"","Cheque deposit 支票存入 (buyer 买家)"))</f>
        <v/>
      </c>
      <c r="D632">
        <f>IF($J632="","",IF($J632&lt;=1500,INDEX('Daily Sale entry '!$AA$1:$AA$1501,$J632+1)&amp;"",INDEX('Daily Sale entry '!$P$1:$P$1501,$J632-1499)&amp;""))</f>
        <v/>
      </c>
      <c r="E632">
        <f>IF($J632="","",IF($J632&lt;=1500,IF(N(INDEX('Daily Sale entry '!$AB$1:$AB$1501,$J632+1))=0,"",INDEX('Daily Sale entry '!$AB$1:$AB$1501,$J632+1)),1))</f>
        <v/>
      </c>
      <c r="F632" s="6">
        <f>IF($J632="","",IF($J632&lt;=1500,N(INDEX('Daily Sale entry '!$AC$1:$AC$1501,$J632+1))-IF(AND('Opening Balance'!$B$15=1,INDEX('Daily Sale entry '!$Z$1:$Z$1501,$J632+1)="Online collection 网上收款",INDEX('Daily Sale entry '!$AA$1:$AA$1501,$J632+1)&lt;&gt;""),N(INDEX('Daily Sale entry '!$AC$1:$AC$1501,$J632+1))-TRUNC(N(INDEX('Daily Sale entry '!$AC$1:$AC$1501,$J632+1))),0),N(INDEX('Daily Sale entry '!$S$1:$S$1501,$J632-1499))-'Opening Balance'!$B$15*(N(INDEX('Daily Sale entry '!$S$1:$S$1501,$J632-1499))-TRUNC(N(INDEX('Daily Sale entry '!$S$1:$S$1501,$J632-1499))))))</f>
        <v/>
      </c>
      <c r="G632" s="6">
        <f>IF($J632="","",IF($J632&lt;=1500,N(INDEX('Daily Sale entry '!$AD$1:$AD$1501,$J632+1)),0))</f>
        <v/>
      </c>
      <c r="H632" s="6">
        <f>IF($J632="","",ROUND('Opening Balance'!$B$4+SUM($F$2:F632)-SUM($G$2:G632),2))</f>
        <v/>
      </c>
      <c r="J632" s="21">
        <f>IFERROR(MATCH(ROW()-1,$L$2:$L$3001,0),"")</f>
        <v/>
      </c>
      <c r="K632" s="34">
        <f>IF(AND('Daily Sale entry '!X632&lt;&gt;"",OR('Daily Sale entry '!AC632&lt;&gt;"",'Daily Sale entry '!AD632&lt;&gt;"")),'Daily Sale entry '!X632+ROW()/10000000,"")</f>
        <v/>
      </c>
      <c r="L632" s="21">
        <f>IF(K632="","",COUNTIF($K$2:$K$3001,"&lt;"&amp;K632)+1)</f>
        <v/>
      </c>
    </row>
    <row r="633">
      <c r="A633" s="5">
        <f>IF($J633="","",IF($J633&lt;=1500,INDEX('Daily Sale entry '!$X$1:$X$1501,$J633+1),INDEX('Daily Sale entry '!$V$1:$V$1501,$J633-1499)))</f>
        <v/>
      </c>
      <c r="B633">
        <f>IF($J633="","",IF($J633&lt;=1500,INDEX('Daily Sale entry '!$Y$1:$Y$1501,$J633+1)&amp;"","Buyer cheque banked 买家支票存入"&amp;IF(INDEX('Daily Sale entry '!$U$1:$U$1501,$J633-1499)="","", " - "&amp;INDEX('Daily Sale entry '!$U$1:$U$1501,$J633-1499))))</f>
        <v/>
      </c>
      <c r="C633">
        <f>IF($J633="","",IF($J633&lt;=1500,INDEX('Daily Sale entry '!$Z$1:$Z$1501,$J633+1)&amp;"","Cheque deposit 支票存入 (buyer 买家)"))</f>
        <v/>
      </c>
      <c r="D633">
        <f>IF($J633="","",IF($J633&lt;=1500,INDEX('Daily Sale entry '!$AA$1:$AA$1501,$J633+1)&amp;"",INDEX('Daily Sale entry '!$P$1:$P$1501,$J633-1499)&amp;""))</f>
        <v/>
      </c>
      <c r="E633">
        <f>IF($J633="","",IF($J633&lt;=1500,IF(N(INDEX('Daily Sale entry '!$AB$1:$AB$1501,$J633+1))=0,"",INDEX('Daily Sale entry '!$AB$1:$AB$1501,$J633+1)),1))</f>
        <v/>
      </c>
      <c r="F633" s="6">
        <f>IF($J633="","",IF($J633&lt;=1500,N(INDEX('Daily Sale entry '!$AC$1:$AC$1501,$J633+1))-IF(AND('Opening Balance'!$B$15=1,INDEX('Daily Sale entry '!$Z$1:$Z$1501,$J633+1)="Online collection 网上收款",INDEX('Daily Sale entry '!$AA$1:$AA$1501,$J633+1)&lt;&gt;""),N(INDEX('Daily Sale entry '!$AC$1:$AC$1501,$J633+1))-TRUNC(N(INDEX('Daily Sale entry '!$AC$1:$AC$1501,$J633+1))),0),N(INDEX('Daily Sale entry '!$S$1:$S$1501,$J633-1499))-'Opening Balance'!$B$15*(N(INDEX('Daily Sale entry '!$S$1:$S$1501,$J633-1499))-TRUNC(N(INDEX('Daily Sale entry '!$S$1:$S$1501,$J633-1499))))))</f>
        <v/>
      </c>
      <c r="G633" s="6">
        <f>IF($J633="","",IF($J633&lt;=1500,N(INDEX('Daily Sale entry '!$AD$1:$AD$1501,$J633+1)),0))</f>
        <v/>
      </c>
      <c r="H633" s="6">
        <f>IF($J633="","",ROUND('Opening Balance'!$B$4+SUM($F$2:F633)-SUM($G$2:G633),2))</f>
        <v/>
      </c>
      <c r="J633" s="21">
        <f>IFERROR(MATCH(ROW()-1,$L$2:$L$3001,0),"")</f>
        <v/>
      </c>
      <c r="K633" s="34">
        <f>IF(AND('Daily Sale entry '!X633&lt;&gt;"",OR('Daily Sale entry '!AC633&lt;&gt;"",'Daily Sale entry '!AD633&lt;&gt;"")),'Daily Sale entry '!X633+ROW()/10000000,"")</f>
        <v/>
      </c>
      <c r="L633" s="21">
        <f>IF(K633="","",COUNTIF($K$2:$K$3001,"&lt;"&amp;K633)+1)</f>
        <v/>
      </c>
    </row>
    <row r="634">
      <c r="A634" s="5">
        <f>IF($J634="","",IF($J634&lt;=1500,INDEX('Daily Sale entry '!$X$1:$X$1501,$J634+1),INDEX('Daily Sale entry '!$V$1:$V$1501,$J634-1499)))</f>
        <v/>
      </c>
      <c r="B634">
        <f>IF($J634="","",IF($J634&lt;=1500,INDEX('Daily Sale entry '!$Y$1:$Y$1501,$J634+1)&amp;"","Buyer cheque banked 买家支票存入"&amp;IF(INDEX('Daily Sale entry '!$U$1:$U$1501,$J634-1499)="","", " - "&amp;INDEX('Daily Sale entry '!$U$1:$U$1501,$J634-1499))))</f>
        <v/>
      </c>
      <c r="C634">
        <f>IF($J634="","",IF($J634&lt;=1500,INDEX('Daily Sale entry '!$Z$1:$Z$1501,$J634+1)&amp;"","Cheque deposit 支票存入 (buyer 买家)"))</f>
        <v/>
      </c>
      <c r="D634">
        <f>IF($J634="","",IF($J634&lt;=1500,INDEX('Daily Sale entry '!$AA$1:$AA$1501,$J634+1)&amp;"",INDEX('Daily Sale entry '!$P$1:$P$1501,$J634-1499)&amp;""))</f>
        <v/>
      </c>
      <c r="E634">
        <f>IF($J634="","",IF($J634&lt;=1500,IF(N(INDEX('Daily Sale entry '!$AB$1:$AB$1501,$J634+1))=0,"",INDEX('Daily Sale entry '!$AB$1:$AB$1501,$J634+1)),1))</f>
        <v/>
      </c>
      <c r="F634" s="6">
        <f>IF($J634="","",IF($J634&lt;=1500,N(INDEX('Daily Sale entry '!$AC$1:$AC$1501,$J634+1))-IF(AND('Opening Balance'!$B$15=1,INDEX('Daily Sale entry '!$Z$1:$Z$1501,$J634+1)="Online collection 网上收款",INDEX('Daily Sale entry '!$AA$1:$AA$1501,$J634+1)&lt;&gt;""),N(INDEX('Daily Sale entry '!$AC$1:$AC$1501,$J634+1))-TRUNC(N(INDEX('Daily Sale entry '!$AC$1:$AC$1501,$J634+1))),0),N(INDEX('Daily Sale entry '!$S$1:$S$1501,$J634-1499))-'Opening Balance'!$B$15*(N(INDEX('Daily Sale entry '!$S$1:$S$1501,$J634-1499))-TRUNC(N(INDEX('Daily Sale entry '!$S$1:$S$1501,$J634-1499))))))</f>
        <v/>
      </c>
      <c r="G634" s="6">
        <f>IF($J634="","",IF($J634&lt;=1500,N(INDEX('Daily Sale entry '!$AD$1:$AD$1501,$J634+1)),0))</f>
        <v/>
      </c>
      <c r="H634" s="6">
        <f>IF($J634="","",ROUND('Opening Balance'!$B$4+SUM($F$2:F634)-SUM($G$2:G634),2))</f>
        <v/>
      </c>
      <c r="J634" s="21">
        <f>IFERROR(MATCH(ROW()-1,$L$2:$L$3001,0),"")</f>
        <v/>
      </c>
      <c r="K634" s="34">
        <f>IF(AND('Daily Sale entry '!X634&lt;&gt;"",OR('Daily Sale entry '!AC634&lt;&gt;"",'Daily Sale entry '!AD634&lt;&gt;"")),'Daily Sale entry '!X634+ROW()/10000000,"")</f>
        <v/>
      </c>
      <c r="L634" s="21">
        <f>IF(K634="","",COUNTIF($K$2:$K$3001,"&lt;"&amp;K634)+1)</f>
        <v/>
      </c>
    </row>
    <row r="635">
      <c r="A635" s="5">
        <f>IF($J635="","",IF($J635&lt;=1500,INDEX('Daily Sale entry '!$X$1:$X$1501,$J635+1),INDEX('Daily Sale entry '!$V$1:$V$1501,$J635-1499)))</f>
        <v/>
      </c>
      <c r="B635">
        <f>IF($J635="","",IF($J635&lt;=1500,INDEX('Daily Sale entry '!$Y$1:$Y$1501,$J635+1)&amp;"","Buyer cheque banked 买家支票存入"&amp;IF(INDEX('Daily Sale entry '!$U$1:$U$1501,$J635-1499)="","", " - "&amp;INDEX('Daily Sale entry '!$U$1:$U$1501,$J635-1499))))</f>
        <v/>
      </c>
      <c r="C635">
        <f>IF($J635="","",IF($J635&lt;=1500,INDEX('Daily Sale entry '!$Z$1:$Z$1501,$J635+1)&amp;"","Cheque deposit 支票存入 (buyer 买家)"))</f>
        <v/>
      </c>
      <c r="D635">
        <f>IF($J635="","",IF($J635&lt;=1500,INDEX('Daily Sale entry '!$AA$1:$AA$1501,$J635+1)&amp;"",INDEX('Daily Sale entry '!$P$1:$P$1501,$J635-1499)&amp;""))</f>
        <v/>
      </c>
      <c r="E635">
        <f>IF($J635="","",IF($J635&lt;=1500,IF(N(INDEX('Daily Sale entry '!$AB$1:$AB$1501,$J635+1))=0,"",INDEX('Daily Sale entry '!$AB$1:$AB$1501,$J635+1)),1))</f>
        <v/>
      </c>
      <c r="F635" s="6">
        <f>IF($J635="","",IF($J635&lt;=1500,N(INDEX('Daily Sale entry '!$AC$1:$AC$1501,$J635+1))-IF(AND('Opening Balance'!$B$15=1,INDEX('Daily Sale entry '!$Z$1:$Z$1501,$J635+1)="Online collection 网上收款",INDEX('Daily Sale entry '!$AA$1:$AA$1501,$J635+1)&lt;&gt;""),N(INDEX('Daily Sale entry '!$AC$1:$AC$1501,$J635+1))-TRUNC(N(INDEX('Daily Sale entry '!$AC$1:$AC$1501,$J635+1))),0),N(INDEX('Daily Sale entry '!$S$1:$S$1501,$J635-1499))-'Opening Balance'!$B$15*(N(INDEX('Daily Sale entry '!$S$1:$S$1501,$J635-1499))-TRUNC(N(INDEX('Daily Sale entry '!$S$1:$S$1501,$J635-1499))))))</f>
        <v/>
      </c>
      <c r="G635" s="6">
        <f>IF($J635="","",IF($J635&lt;=1500,N(INDEX('Daily Sale entry '!$AD$1:$AD$1501,$J635+1)),0))</f>
        <v/>
      </c>
      <c r="H635" s="6">
        <f>IF($J635="","",ROUND('Opening Balance'!$B$4+SUM($F$2:F635)-SUM($G$2:G635),2))</f>
        <v/>
      </c>
      <c r="J635" s="21">
        <f>IFERROR(MATCH(ROW()-1,$L$2:$L$3001,0),"")</f>
        <v/>
      </c>
      <c r="K635" s="34">
        <f>IF(AND('Daily Sale entry '!X635&lt;&gt;"",OR('Daily Sale entry '!AC635&lt;&gt;"",'Daily Sale entry '!AD635&lt;&gt;"")),'Daily Sale entry '!X635+ROW()/10000000,"")</f>
        <v/>
      </c>
      <c r="L635" s="21">
        <f>IF(K635="","",COUNTIF($K$2:$K$3001,"&lt;"&amp;K635)+1)</f>
        <v/>
      </c>
    </row>
    <row r="636">
      <c r="A636" s="5">
        <f>IF($J636="","",IF($J636&lt;=1500,INDEX('Daily Sale entry '!$X$1:$X$1501,$J636+1),INDEX('Daily Sale entry '!$V$1:$V$1501,$J636-1499)))</f>
        <v/>
      </c>
      <c r="B636">
        <f>IF($J636="","",IF($J636&lt;=1500,INDEX('Daily Sale entry '!$Y$1:$Y$1501,$J636+1)&amp;"","Buyer cheque banked 买家支票存入"&amp;IF(INDEX('Daily Sale entry '!$U$1:$U$1501,$J636-1499)="","", " - "&amp;INDEX('Daily Sale entry '!$U$1:$U$1501,$J636-1499))))</f>
        <v/>
      </c>
      <c r="C636">
        <f>IF($J636="","",IF($J636&lt;=1500,INDEX('Daily Sale entry '!$Z$1:$Z$1501,$J636+1)&amp;"","Cheque deposit 支票存入 (buyer 买家)"))</f>
        <v/>
      </c>
      <c r="D636">
        <f>IF($J636="","",IF($J636&lt;=1500,INDEX('Daily Sale entry '!$AA$1:$AA$1501,$J636+1)&amp;"",INDEX('Daily Sale entry '!$P$1:$P$1501,$J636-1499)&amp;""))</f>
        <v/>
      </c>
      <c r="E636">
        <f>IF($J636="","",IF($J636&lt;=1500,IF(N(INDEX('Daily Sale entry '!$AB$1:$AB$1501,$J636+1))=0,"",INDEX('Daily Sale entry '!$AB$1:$AB$1501,$J636+1)),1))</f>
        <v/>
      </c>
      <c r="F636" s="6">
        <f>IF($J636="","",IF($J636&lt;=1500,N(INDEX('Daily Sale entry '!$AC$1:$AC$1501,$J636+1))-IF(AND('Opening Balance'!$B$15=1,INDEX('Daily Sale entry '!$Z$1:$Z$1501,$J636+1)="Online collection 网上收款",INDEX('Daily Sale entry '!$AA$1:$AA$1501,$J636+1)&lt;&gt;""),N(INDEX('Daily Sale entry '!$AC$1:$AC$1501,$J636+1))-TRUNC(N(INDEX('Daily Sale entry '!$AC$1:$AC$1501,$J636+1))),0),N(INDEX('Daily Sale entry '!$S$1:$S$1501,$J636-1499))-'Opening Balance'!$B$15*(N(INDEX('Daily Sale entry '!$S$1:$S$1501,$J636-1499))-TRUNC(N(INDEX('Daily Sale entry '!$S$1:$S$1501,$J636-1499))))))</f>
        <v/>
      </c>
      <c r="G636" s="6">
        <f>IF($J636="","",IF($J636&lt;=1500,N(INDEX('Daily Sale entry '!$AD$1:$AD$1501,$J636+1)),0))</f>
        <v/>
      </c>
      <c r="H636" s="6">
        <f>IF($J636="","",ROUND('Opening Balance'!$B$4+SUM($F$2:F636)-SUM($G$2:G636),2))</f>
        <v/>
      </c>
      <c r="J636" s="21">
        <f>IFERROR(MATCH(ROW()-1,$L$2:$L$3001,0),"")</f>
        <v/>
      </c>
      <c r="K636" s="34">
        <f>IF(AND('Daily Sale entry '!X636&lt;&gt;"",OR('Daily Sale entry '!AC636&lt;&gt;"",'Daily Sale entry '!AD636&lt;&gt;"")),'Daily Sale entry '!X636+ROW()/10000000,"")</f>
        <v/>
      </c>
      <c r="L636" s="21">
        <f>IF(K636="","",COUNTIF($K$2:$K$3001,"&lt;"&amp;K636)+1)</f>
        <v/>
      </c>
    </row>
    <row r="637">
      <c r="A637" s="5">
        <f>IF($J637="","",IF($J637&lt;=1500,INDEX('Daily Sale entry '!$X$1:$X$1501,$J637+1),INDEX('Daily Sale entry '!$V$1:$V$1501,$J637-1499)))</f>
        <v/>
      </c>
      <c r="B637">
        <f>IF($J637="","",IF($J637&lt;=1500,INDEX('Daily Sale entry '!$Y$1:$Y$1501,$J637+1)&amp;"","Buyer cheque banked 买家支票存入"&amp;IF(INDEX('Daily Sale entry '!$U$1:$U$1501,$J637-1499)="","", " - "&amp;INDEX('Daily Sale entry '!$U$1:$U$1501,$J637-1499))))</f>
        <v/>
      </c>
      <c r="C637">
        <f>IF($J637="","",IF($J637&lt;=1500,INDEX('Daily Sale entry '!$Z$1:$Z$1501,$J637+1)&amp;"","Cheque deposit 支票存入 (buyer 买家)"))</f>
        <v/>
      </c>
      <c r="D637">
        <f>IF($J637="","",IF($J637&lt;=1500,INDEX('Daily Sale entry '!$AA$1:$AA$1501,$J637+1)&amp;"",INDEX('Daily Sale entry '!$P$1:$P$1501,$J637-1499)&amp;""))</f>
        <v/>
      </c>
      <c r="E637">
        <f>IF($J637="","",IF($J637&lt;=1500,IF(N(INDEX('Daily Sale entry '!$AB$1:$AB$1501,$J637+1))=0,"",INDEX('Daily Sale entry '!$AB$1:$AB$1501,$J637+1)),1))</f>
        <v/>
      </c>
      <c r="F637" s="6">
        <f>IF($J637="","",IF($J637&lt;=1500,N(INDEX('Daily Sale entry '!$AC$1:$AC$1501,$J637+1))-IF(AND('Opening Balance'!$B$15=1,INDEX('Daily Sale entry '!$Z$1:$Z$1501,$J637+1)="Online collection 网上收款",INDEX('Daily Sale entry '!$AA$1:$AA$1501,$J637+1)&lt;&gt;""),N(INDEX('Daily Sale entry '!$AC$1:$AC$1501,$J637+1))-TRUNC(N(INDEX('Daily Sale entry '!$AC$1:$AC$1501,$J637+1))),0),N(INDEX('Daily Sale entry '!$S$1:$S$1501,$J637-1499))-'Opening Balance'!$B$15*(N(INDEX('Daily Sale entry '!$S$1:$S$1501,$J637-1499))-TRUNC(N(INDEX('Daily Sale entry '!$S$1:$S$1501,$J637-1499))))))</f>
        <v/>
      </c>
      <c r="G637" s="6">
        <f>IF($J637="","",IF($J637&lt;=1500,N(INDEX('Daily Sale entry '!$AD$1:$AD$1501,$J637+1)),0))</f>
        <v/>
      </c>
      <c r="H637" s="6">
        <f>IF($J637="","",ROUND('Opening Balance'!$B$4+SUM($F$2:F637)-SUM($G$2:G637),2))</f>
        <v/>
      </c>
      <c r="J637" s="21">
        <f>IFERROR(MATCH(ROW()-1,$L$2:$L$3001,0),"")</f>
        <v/>
      </c>
      <c r="K637" s="34">
        <f>IF(AND('Daily Sale entry '!X637&lt;&gt;"",OR('Daily Sale entry '!AC637&lt;&gt;"",'Daily Sale entry '!AD637&lt;&gt;"")),'Daily Sale entry '!X637+ROW()/10000000,"")</f>
        <v/>
      </c>
      <c r="L637" s="21">
        <f>IF(K637="","",COUNTIF($K$2:$K$3001,"&lt;"&amp;K637)+1)</f>
        <v/>
      </c>
    </row>
    <row r="638">
      <c r="A638" s="5">
        <f>IF($J638="","",IF($J638&lt;=1500,INDEX('Daily Sale entry '!$X$1:$X$1501,$J638+1),INDEX('Daily Sale entry '!$V$1:$V$1501,$J638-1499)))</f>
        <v/>
      </c>
      <c r="B638">
        <f>IF($J638="","",IF($J638&lt;=1500,INDEX('Daily Sale entry '!$Y$1:$Y$1501,$J638+1)&amp;"","Buyer cheque banked 买家支票存入"&amp;IF(INDEX('Daily Sale entry '!$U$1:$U$1501,$J638-1499)="","", " - "&amp;INDEX('Daily Sale entry '!$U$1:$U$1501,$J638-1499))))</f>
        <v/>
      </c>
      <c r="C638">
        <f>IF($J638="","",IF($J638&lt;=1500,INDEX('Daily Sale entry '!$Z$1:$Z$1501,$J638+1)&amp;"","Cheque deposit 支票存入 (buyer 买家)"))</f>
        <v/>
      </c>
      <c r="D638">
        <f>IF($J638="","",IF($J638&lt;=1500,INDEX('Daily Sale entry '!$AA$1:$AA$1501,$J638+1)&amp;"",INDEX('Daily Sale entry '!$P$1:$P$1501,$J638-1499)&amp;""))</f>
        <v/>
      </c>
      <c r="E638">
        <f>IF($J638="","",IF($J638&lt;=1500,IF(N(INDEX('Daily Sale entry '!$AB$1:$AB$1501,$J638+1))=0,"",INDEX('Daily Sale entry '!$AB$1:$AB$1501,$J638+1)),1))</f>
        <v/>
      </c>
      <c r="F638" s="6">
        <f>IF($J638="","",IF($J638&lt;=1500,N(INDEX('Daily Sale entry '!$AC$1:$AC$1501,$J638+1))-IF(AND('Opening Balance'!$B$15=1,INDEX('Daily Sale entry '!$Z$1:$Z$1501,$J638+1)="Online collection 网上收款",INDEX('Daily Sale entry '!$AA$1:$AA$1501,$J638+1)&lt;&gt;""),N(INDEX('Daily Sale entry '!$AC$1:$AC$1501,$J638+1))-TRUNC(N(INDEX('Daily Sale entry '!$AC$1:$AC$1501,$J638+1))),0),N(INDEX('Daily Sale entry '!$S$1:$S$1501,$J638-1499))-'Opening Balance'!$B$15*(N(INDEX('Daily Sale entry '!$S$1:$S$1501,$J638-1499))-TRUNC(N(INDEX('Daily Sale entry '!$S$1:$S$1501,$J638-1499))))))</f>
        <v/>
      </c>
      <c r="G638" s="6">
        <f>IF($J638="","",IF($J638&lt;=1500,N(INDEX('Daily Sale entry '!$AD$1:$AD$1501,$J638+1)),0))</f>
        <v/>
      </c>
      <c r="H638" s="6">
        <f>IF($J638="","",ROUND('Opening Balance'!$B$4+SUM($F$2:F638)-SUM($G$2:G638),2))</f>
        <v/>
      </c>
      <c r="J638" s="21">
        <f>IFERROR(MATCH(ROW()-1,$L$2:$L$3001,0),"")</f>
        <v/>
      </c>
      <c r="K638" s="34">
        <f>IF(AND('Daily Sale entry '!X638&lt;&gt;"",OR('Daily Sale entry '!AC638&lt;&gt;"",'Daily Sale entry '!AD638&lt;&gt;"")),'Daily Sale entry '!X638+ROW()/10000000,"")</f>
        <v/>
      </c>
      <c r="L638" s="21">
        <f>IF(K638="","",COUNTIF($K$2:$K$3001,"&lt;"&amp;K638)+1)</f>
        <v/>
      </c>
    </row>
    <row r="639">
      <c r="A639" s="5">
        <f>IF($J639="","",IF($J639&lt;=1500,INDEX('Daily Sale entry '!$X$1:$X$1501,$J639+1),INDEX('Daily Sale entry '!$V$1:$V$1501,$J639-1499)))</f>
        <v/>
      </c>
      <c r="B639">
        <f>IF($J639="","",IF($J639&lt;=1500,INDEX('Daily Sale entry '!$Y$1:$Y$1501,$J639+1)&amp;"","Buyer cheque banked 买家支票存入"&amp;IF(INDEX('Daily Sale entry '!$U$1:$U$1501,$J639-1499)="","", " - "&amp;INDEX('Daily Sale entry '!$U$1:$U$1501,$J639-1499))))</f>
        <v/>
      </c>
      <c r="C639">
        <f>IF($J639="","",IF($J639&lt;=1500,INDEX('Daily Sale entry '!$Z$1:$Z$1501,$J639+1)&amp;"","Cheque deposit 支票存入 (buyer 买家)"))</f>
        <v/>
      </c>
      <c r="D639">
        <f>IF($J639="","",IF($J639&lt;=1500,INDEX('Daily Sale entry '!$AA$1:$AA$1501,$J639+1)&amp;"",INDEX('Daily Sale entry '!$P$1:$P$1501,$J639-1499)&amp;""))</f>
        <v/>
      </c>
      <c r="E639">
        <f>IF($J639="","",IF($J639&lt;=1500,IF(N(INDEX('Daily Sale entry '!$AB$1:$AB$1501,$J639+1))=0,"",INDEX('Daily Sale entry '!$AB$1:$AB$1501,$J639+1)),1))</f>
        <v/>
      </c>
      <c r="F639" s="6">
        <f>IF($J639="","",IF($J639&lt;=1500,N(INDEX('Daily Sale entry '!$AC$1:$AC$1501,$J639+1))-IF(AND('Opening Balance'!$B$15=1,INDEX('Daily Sale entry '!$Z$1:$Z$1501,$J639+1)="Online collection 网上收款",INDEX('Daily Sale entry '!$AA$1:$AA$1501,$J639+1)&lt;&gt;""),N(INDEX('Daily Sale entry '!$AC$1:$AC$1501,$J639+1))-TRUNC(N(INDEX('Daily Sale entry '!$AC$1:$AC$1501,$J639+1))),0),N(INDEX('Daily Sale entry '!$S$1:$S$1501,$J639-1499))-'Opening Balance'!$B$15*(N(INDEX('Daily Sale entry '!$S$1:$S$1501,$J639-1499))-TRUNC(N(INDEX('Daily Sale entry '!$S$1:$S$1501,$J639-1499))))))</f>
        <v/>
      </c>
      <c r="G639" s="6">
        <f>IF($J639="","",IF($J639&lt;=1500,N(INDEX('Daily Sale entry '!$AD$1:$AD$1501,$J639+1)),0))</f>
        <v/>
      </c>
      <c r="H639" s="6">
        <f>IF($J639="","",ROUND('Opening Balance'!$B$4+SUM($F$2:F639)-SUM($G$2:G639),2))</f>
        <v/>
      </c>
      <c r="J639" s="21">
        <f>IFERROR(MATCH(ROW()-1,$L$2:$L$3001,0),"")</f>
        <v/>
      </c>
      <c r="K639" s="34">
        <f>IF(AND('Daily Sale entry '!X639&lt;&gt;"",OR('Daily Sale entry '!AC639&lt;&gt;"",'Daily Sale entry '!AD639&lt;&gt;"")),'Daily Sale entry '!X639+ROW()/10000000,"")</f>
        <v/>
      </c>
      <c r="L639" s="21">
        <f>IF(K639="","",COUNTIF($K$2:$K$3001,"&lt;"&amp;K639)+1)</f>
        <v/>
      </c>
    </row>
    <row r="640">
      <c r="A640" s="5">
        <f>IF($J640="","",IF($J640&lt;=1500,INDEX('Daily Sale entry '!$X$1:$X$1501,$J640+1),INDEX('Daily Sale entry '!$V$1:$V$1501,$J640-1499)))</f>
        <v/>
      </c>
      <c r="B640">
        <f>IF($J640="","",IF($J640&lt;=1500,INDEX('Daily Sale entry '!$Y$1:$Y$1501,$J640+1)&amp;"","Buyer cheque banked 买家支票存入"&amp;IF(INDEX('Daily Sale entry '!$U$1:$U$1501,$J640-1499)="","", " - "&amp;INDEX('Daily Sale entry '!$U$1:$U$1501,$J640-1499))))</f>
        <v/>
      </c>
      <c r="C640">
        <f>IF($J640="","",IF($J640&lt;=1500,INDEX('Daily Sale entry '!$Z$1:$Z$1501,$J640+1)&amp;"","Cheque deposit 支票存入 (buyer 买家)"))</f>
        <v/>
      </c>
      <c r="D640">
        <f>IF($J640="","",IF($J640&lt;=1500,INDEX('Daily Sale entry '!$AA$1:$AA$1501,$J640+1)&amp;"",INDEX('Daily Sale entry '!$P$1:$P$1501,$J640-1499)&amp;""))</f>
        <v/>
      </c>
      <c r="E640">
        <f>IF($J640="","",IF($J640&lt;=1500,IF(N(INDEX('Daily Sale entry '!$AB$1:$AB$1501,$J640+1))=0,"",INDEX('Daily Sale entry '!$AB$1:$AB$1501,$J640+1)),1))</f>
        <v/>
      </c>
      <c r="F640" s="6">
        <f>IF($J640="","",IF($J640&lt;=1500,N(INDEX('Daily Sale entry '!$AC$1:$AC$1501,$J640+1))-IF(AND('Opening Balance'!$B$15=1,INDEX('Daily Sale entry '!$Z$1:$Z$1501,$J640+1)="Online collection 网上收款",INDEX('Daily Sale entry '!$AA$1:$AA$1501,$J640+1)&lt;&gt;""),N(INDEX('Daily Sale entry '!$AC$1:$AC$1501,$J640+1))-TRUNC(N(INDEX('Daily Sale entry '!$AC$1:$AC$1501,$J640+1))),0),N(INDEX('Daily Sale entry '!$S$1:$S$1501,$J640-1499))-'Opening Balance'!$B$15*(N(INDEX('Daily Sale entry '!$S$1:$S$1501,$J640-1499))-TRUNC(N(INDEX('Daily Sale entry '!$S$1:$S$1501,$J640-1499))))))</f>
        <v/>
      </c>
      <c r="G640" s="6">
        <f>IF($J640="","",IF($J640&lt;=1500,N(INDEX('Daily Sale entry '!$AD$1:$AD$1501,$J640+1)),0))</f>
        <v/>
      </c>
      <c r="H640" s="6">
        <f>IF($J640="","",ROUND('Opening Balance'!$B$4+SUM($F$2:F640)-SUM($G$2:G640),2))</f>
        <v/>
      </c>
      <c r="J640" s="21">
        <f>IFERROR(MATCH(ROW()-1,$L$2:$L$3001,0),"")</f>
        <v/>
      </c>
      <c r="K640" s="34">
        <f>IF(AND('Daily Sale entry '!X640&lt;&gt;"",OR('Daily Sale entry '!AC640&lt;&gt;"",'Daily Sale entry '!AD640&lt;&gt;"")),'Daily Sale entry '!X640+ROW()/10000000,"")</f>
        <v/>
      </c>
      <c r="L640" s="21">
        <f>IF(K640="","",COUNTIF($K$2:$K$3001,"&lt;"&amp;K640)+1)</f>
        <v/>
      </c>
    </row>
    <row r="641">
      <c r="A641" s="5">
        <f>IF($J641="","",IF($J641&lt;=1500,INDEX('Daily Sale entry '!$X$1:$X$1501,$J641+1),INDEX('Daily Sale entry '!$V$1:$V$1501,$J641-1499)))</f>
        <v/>
      </c>
      <c r="B641">
        <f>IF($J641="","",IF($J641&lt;=1500,INDEX('Daily Sale entry '!$Y$1:$Y$1501,$J641+1)&amp;"","Buyer cheque banked 买家支票存入"&amp;IF(INDEX('Daily Sale entry '!$U$1:$U$1501,$J641-1499)="","", " - "&amp;INDEX('Daily Sale entry '!$U$1:$U$1501,$J641-1499))))</f>
        <v/>
      </c>
      <c r="C641">
        <f>IF($J641="","",IF($J641&lt;=1500,INDEX('Daily Sale entry '!$Z$1:$Z$1501,$J641+1)&amp;"","Cheque deposit 支票存入 (buyer 买家)"))</f>
        <v/>
      </c>
      <c r="D641">
        <f>IF($J641="","",IF($J641&lt;=1500,INDEX('Daily Sale entry '!$AA$1:$AA$1501,$J641+1)&amp;"",INDEX('Daily Sale entry '!$P$1:$P$1501,$J641-1499)&amp;""))</f>
        <v/>
      </c>
      <c r="E641">
        <f>IF($J641="","",IF($J641&lt;=1500,IF(N(INDEX('Daily Sale entry '!$AB$1:$AB$1501,$J641+1))=0,"",INDEX('Daily Sale entry '!$AB$1:$AB$1501,$J641+1)),1))</f>
        <v/>
      </c>
      <c r="F641" s="6">
        <f>IF($J641="","",IF($J641&lt;=1500,N(INDEX('Daily Sale entry '!$AC$1:$AC$1501,$J641+1))-IF(AND('Opening Balance'!$B$15=1,INDEX('Daily Sale entry '!$Z$1:$Z$1501,$J641+1)="Online collection 网上收款",INDEX('Daily Sale entry '!$AA$1:$AA$1501,$J641+1)&lt;&gt;""),N(INDEX('Daily Sale entry '!$AC$1:$AC$1501,$J641+1))-TRUNC(N(INDEX('Daily Sale entry '!$AC$1:$AC$1501,$J641+1))),0),N(INDEX('Daily Sale entry '!$S$1:$S$1501,$J641-1499))-'Opening Balance'!$B$15*(N(INDEX('Daily Sale entry '!$S$1:$S$1501,$J641-1499))-TRUNC(N(INDEX('Daily Sale entry '!$S$1:$S$1501,$J641-1499))))))</f>
        <v/>
      </c>
      <c r="G641" s="6">
        <f>IF($J641="","",IF($J641&lt;=1500,N(INDEX('Daily Sale entry '!$AD$1:$AD$1501,$J641+1)),0))</f>
        <v/>
      </c>
      <c r="H641" s="6">
        <f>IF($J641="","",ROUND('Opening Balance'!$B$4+SUM($F$2:F641)-SUM($G$2:G641),2))</f>
        <v/>
      </c>
      <c r="J641" s="21">
        <f>IFERROR(MATCH(ROW()-1,$L$2:$L$3001,0),"")</f>
        <v/>
      </c>
      <c r="K641" s="34">
        <f>IF(AND('Daily Sale entry '!X641&lt;&gt;"",OR('Daily Sale entry '!AC641&lt;&gt;"",'Daily Sale entry '!AD641&lt;&gt;"")),'Daily Sale entry '!X641+ROW()/10000000,"")</f>
        <v/>
      </c>
      <c r="L641" s="21">
        <f>IF(K641="","",COUNTIF($K$2:$K$3001,"&lt;"&amp;K641)+1)</f>
        <v/>
      </c>
    </row>
    <row r="642">
      <c r="A642" s="5">
        <f>IF($J642="","",IF($J642&lt;=1500,INDEX('Daily Sale entry '!$X$1:$X$1501,$J642+1),INDEX('Daily Sale entry '!$V$1:$V$1501,$J642-1499)))</f>
        <v/>
      </c>
      <c r="B642">
        <f>IF($J642="","",IF($J642&lt;=1500,INDEX('Daily Sale entry '!$Y$1:$Y$1501,$J642+1)&amp;"","Buyer cheque banked 买家支票存入"&amp;IF(INDEX('Daily Sale entry '!$U$1:$U$1501,$J642-1499)="","", " - "&amp;INDEX('Daily Sale entry '!$U$1:$U$1501,$J642-1499))))</f>
        <v/>
      </c>
      <c r="C642">
        <f>IF($J642="","",IF($J642&lt;=1500,INDEX('Daily Sale entry '!$Z$1:$Z$1501,$J642+1)&amp;"","Cheque deposit 支票存入 (buyer 买家)"))</f>
        <v/>
      </c>
      <c r="D642">
        <f>IF($J642="","",IF($J642&lt;=1500,INDEX('Daily Sale entry '!$AA$1:$AA$1501,$J642+1)&amp;"",INDEX('Daily Sale entry '!$P$1:$P$1501,$J642-1499)&amp;""))</f>
        <v/>
      </c>
      <c r="E642">
        <f>IF($J642="","",IF($J642&lt;=1500,IF(N(INDEX('Daily Sale entry '!$AB$1:$AB$1501,$J642+1))=0,"",INDEX('Daily Sale entry '!$AB$1:$AB$1501,$J642+1)),1))</f>
        <v/>
      </c>
      <c r="F642" s="6">
        <f>IF($J642="","",IF($J642&lt;=1500,N(INDEX('Daily Sale entry '!$AC$1:$AC$1501,$J642+1))-IF(AND('Opening Balance'!$B$15=1,INDEX('Daily Sale entry '!$Z$1:$Z$1501,$J642+1)="Online collection 网上收款",INDEX('Daily Sale entry '!$AA$1:$AA$1501,$J642+1)&lt;&gt;""),N(INDEX('Daily Sale entry '!$AC$1:$AC$1501,$J642+1))-TRUNC(N(INDEX('Daily Sale entry '!$AC$1:$AC$1501,$J642+1))),0),N(INDEX('Daily Sale entry '!$S$1:$S$1501,$J642-1499))-'Opening Balance'!$B$15*(N(INDEX('Daily Sale entry '!$S$1:$S$1501,$J642-1499))-TRUNC(N(INDEX('Daily Sale entry '!$S$1:$S$1501,$J642-1499))))))</f>
        <v/>
      </c>
      <c r="G642" s="6">
        <f>IF($J642="","",IF($J642&lt;=1500,N(INDEX('Daily Sale entry '!$AD$1:$AD$1501,$J642+1)),0))</f>
        <v/>
      </c>
      <c r="H642" s="6">
        <f>IF($J642="","",ROUND('Opening Balance'!$B$4+SUM($F$2:F642)-SUM($G$2:G642),2))</f>
        <v/>
      </c>
      <c r="J642" s="21">
        <f>IFERROR(MATCH(ROW()-1,$L$2:$L$3001,0),"")</f>
        <v/>
      </c>
      <c r="K642" s="34">
        <f>IF(AND('Daily Sale entry '!X642&lt;&gt;"",OR('Daily Sale entry '!AC642&lt;&gt;"",'Daily Sale entry '!AD642&lt;&gt;"")),'Daily Sale entry '!X642+ROW()/10000000,"")</f>
        <v/>
      </c>
      <c r="L642" s="21">
        <f>IF(K642="","",COUNTIF($K$2:$K$3001,"&lt;"&amp;K642)+1)</f>
        <v/>
      </c>
    </row>
    <row r="643">
      <c r="A643" s="5">
        <f>IF($J643="","",IF($J643&lt;=1500,INDEX('Daily Sale entry '!$X$1:$X$1501,$J643+1),INDEX('Daily Sale entry '!$V$1:$V$1501,$J643-1499)))</f>
        <v/>
      </c>
      <c r="B643">
        <f>IF($J643="","",IF($J643&lt;=1500,INDEX('Daily Sale entry '!$Y$1:$Y$1501,$J643+1)&amp;"","Buyer cheque banked 买家支票存入"&amp;IF(INDEX('Daily Sale entry '!$U$1:$U$1501,$J643-1499)="","", " - "&amp;INDEX('Daily Sale entry '!$U$1:$U$1501,$J643-1499))))</f>
        <v/>
      </c>
      <c r="C643">
        <f>IF($J643="","",IF($J643&lt;=1500,INDEX('Daily Sale entry '!$Z$1:$Z$1501,$J643+1)&amp;"","Cheque deposit 支票存入 (buyer 买家)"))</f>
        <v/>
      </c>
      <c r="D643">
        <f>IF($J643="","",IF($J643&lt;=1500,INDEX('Daily Sale entry '!$AA$1:$AA$1501,$J643+1)&amp;"",INDEX('Daily Sale entry '!$P$1:$P$1501,$J643-1499)&amp;""))</f>
        <v/>
      </c>
      <c r="E643">
        <f>IF($J643="","",IF($J643&lt;=1500,IF(N(INDEX('Daily Sale entry '!$AB$1:$AB$1501,$J643+1))=0,"",INDEX('Daily Sale entry '!$AB$1:$AB$1501,$J643+1)),1))</f>
        <v/>
      </c>
      <c r="F643" s="6">
        <f>IF($J643="","",IF($J643&lt;=1500,N(INDEX('Daily Sale entry '!$AC$1:$AC$1501,$J643+1))-IF(AND('Opening Balance'!$B$15=1,INDEX('Daily Sale entry '!$Z$1:$Z$1501,$J643+1)="Online collection 网上收款",INDEX('Daily Sale entry '!$AA$1:$AA$1501,$J643+1)&lt;&gt;""),N(INDEX('Daily Sale entry '!$AC$1:$AC$1501,$J643+1))-TRUNC(N(INDEX('Daily Sale entry '!$AC$1:$AC$1501,$J643+1))),0),N(INDEX('Daily Sale entry '!$S$1:$S$1501,$J643-1499))-'Opening Balance'!$B$15*(N(INDEX('Daily Sale entry '!$S$1:$S$1501,$J643-1499))-TRUNC(N(INDEX('Daily Sale entry '!$S$1:$S$1501,$J643-1499))))))</f>
        <v/>
      </c>
      <c r="G643" s="6">
        <f>IF($J643="","",IF($J643&lt;=1500,N(INDEX('Daily Sale entry '!$AD$1:$AD$1501,$J643+1)),0))</f>
        <v/>
      </c>
      <c r="H643" s="6">
        <f>IF($J643="","",ROUND('Opening Balance'!$B$4+SUM($F$2:F643)-SUM($G$2:G643),2))</f>
        <v/>
      </c>
      <c r="J643" s="21">
        <f>IFERROR(MATCH(ROW()-1,$L$2:$L$3001,0),"")</f>
        <v/>
      </c>
      <c r="K643" s="34">
        <f>IF(AND('Daily Sale entry '!X643&lt;&gt;"",OR('Daily Sale entry '!AC643&lt;&gt;"",'Daily Sale entry '!AD643&lt;&gt;"")),'Daily Sale entry '!X643+ROW()/10000000,"")</f>
        <v/>
      </c>
      <c r="L643" s="21">
        <f>IF(K643="","",COUNTIF($K$2:$K$3001,"&lt;"&amp;K643)+1)</f>
        <v/>
      </c>
    </row>
    <row r="644">
      <c r="A644" s="5">
        <f>IF($J644="","",IF($J644&lt;=1500,INDEX('Daily Sale entry '!$X$1:$X$1501,$J644+1),INDEX('Daily Sale entry '!$V$1:$V$1501,$J644-1499)))</f>
        <v/>
      </c>
      <c r="B644">
        <f>IF($J644="","",IF($J644&lt;=1500,INDEX('Daily Sale entry '!$Y$1:$Y$1501,$J644+1)&amp;"","Buyer cheque banked 买家支票存入"&amp;IF(INDEX('Daily Sale entry '!$U$1:$U$1501,$J644-1499)="","", " - "&amp;INDEX('Daily Sale entry '!$U$1:$U$1501,$J644-1499))))</f>
        <v/>
      </c>
      <c r="C644">
        <f>IF($J644="","",IF($J644&lt;=1500,INDEX('Daily Sale entry '!$Z$1:$Z$1501,$J644+1)&amp;"","Cheque deposit 支票存入 (buyer 买家)"))</f>
        <v/>
      </c>
      <c r="D644">
        <f>IF($J644="","",IF($J644&lt;=1500,INDEX('Daily Sale entry '!$AA$1:$AA$1501,$J644+1)&amp;"",INDEX('Daily Sale entry '!$P$1:$P$1501,$J644-1499)&amp;""))</f>
        <v/>
      </c>
      <c r="E644">
        <f>IF($J644="","",IF($J644&lt;=1500,IF(N(INDEX('Daily Sale entry '!$AB$1:$AB$1501,$J644+1))=0,"",INDEX('Daily Sale entry '!$AB$1:$AB$1501,$J644+1)),1))</f>
        <v/>
      </c>
      <c r="F644" s="6">
        <f>IF($J644="","",IF($J644&lt;=1500,N(INDEX('Daily Sale entry '!$AC$1:$AC$1501,$J644+1))-IF(AND('Opening Balance'!$B$15=1,INDEX('Daily Sale entry '!$Z$1:$Z$1501,$J644+1)="Online collection 网上收款",INDEX('Daily Sale entry '!$AA$1:$AA$1501,$J644+1)&lt;&gt;""),N(INDEX('Daily Sale entry '!$AC$1:$AC$1501,$J644+1))-TRUNC(N(INDEX('Daily Sale entry '!$AC$1:$AC$1501,$J644+1))),0),N(INDEX('Daily Sale entry '!$S$1:$S$1501,$J644-1499))-'Opening Balance'!$B$15*(N(INDEX('Daily Sale entry '!$S$1:$S$1501,$J644-1499))-TRUNC(N(INDEX('Daily Sale entry '!$S$1:$S$1501,$J644-1499))))))</f>
        <v/>
      </c>
      <c r="G644" s="6">
        <f>IF($J644="","",IF($J644&lt;=1500,N(INDEX('Daily Sale entry '!$AD$1:$AD$1501,$J644+1)),0))</f>
        <v/>
      </c>
      <c r="H644" s="6">
        <f>IF($J644="","",ROUND('Opening Balance'!$B$4+SUM($F$2:F644)-SUM($G$2:G644),2))</f>
        <v/>
      </c>
      <c r="J644" s="21">
        <f>IFERROR(MATCH(ROW()-1,$L$2:$L$3001,0),"")</f>
        <v/>
      </c>
      <c r="K644" s="34">
        <f>IF(AND('Daily Sale entry '!X644&lt;&gt;"",OR('Daily Sale entry '!AC644&lt;&gt;"",'Daily Sale entry '!AD644&lt;&gt;"")),'Daily Sale entry '!X644+ROW()/10000000,"")</f>
        <v/>
      </c>
      <c r="L644" s="21">
        <f>IF(K644="","",COUNTIF($K$2:$K$3001,"&lt;"&amp;K644)+1)</f>
        <v/>
      </c>
    </row>
    <row r="645">
      <c r="A645" s="5">
        <f>IF($J645="","",IF($J645&lt;=1500,INDEX('Daily Sale entry '!$X$1:$X$1501,$J645+1),INDEX('Daily Sale entry '!$V$1:$V$1501,$J645-1499)))</f>
        <v/>
      </c>
      <c r="B645">
        <f>IF($J645="","",IF($J645&lt;=1500,INDEX('Daily Sale entry '!$Y$1:$Y$1501,$J645+1)&amp;"","Buyer cheque banked 买家支票存入"&amp;IF(INDEX('Daily Sale entry '!$U$1:$U$1501,$J645-1499)="","", " - "&amp;INDEX('Daily Sale entry '!$U$1:$U$1501,$J645-1499))))</f>
        <v/>
      </c>
      <c r="C645">
        <f>IF($J645="","",IF($J645&lt;=1500,INDEX('Daily Sale entry '!$Z$1:$Z$1501,$J645+1)&amp;"","Cheque deposit 支票存入 (buyer 买家)"))</f>
        <v/>
      </c>
      <c r="D645">
        <f>IF($J645="","",IF($J645&lt;=1500,INDEX('Daily Sale entry '!$AA$1:$AA$1501,$J645+1)&amp;"",INDEX('Daily Sale entry '!$P$1:$P$1501,$J645-1499)&amp;""))</f>
        <v/>
      </c>
      <c r="E645">
        <f>IF($J645="","",IF($J645&lt;=1500,IF(N(INDEX('Daily Sale entry '!$AB$1:$AB$1501,$J645+1))=0,"",INDEX('Daily Sale entry '!$AB$1:$AB$1501,$J645+1)),1))</f>
        <v/>
      </c>
      <c r="F645" s="6">
        <f>IF($J645="","",IF($J645&lt;=1500,N(INDEX('Daily Sale entry '!$AC$1:$AC$1501,$J645+1))-IF(AND('Opening Balance'!$B$15=1,INDEX('Daily Sale entry '!$Z$1:$Z$1501,$J645+1)="Online collection 网上收款",INDEX('Daily Sale entry '!$AA$1:$AA$1501,$J645+1)&lt;&gt;""),N(INDEX('Daily Sale entry '!$AC$1:$AC$1501,$J645+1))-TRUNC(N(INDEX('Daily Sale entry '!$AC$1:$AC$1501,$J645+1))),0),N(INDEX('Daily Sale entry '!$S$1:$S$1501,$J645-1499))-'Opening Balance'!$B$15*(N(INDEX('Daily Sale entry '!$S$1:$S$1501,$J645-1499))-TRUNC(N(INDEX('Daily Sale entry '!$S$1:$S$1501,$J645-1499))))))</f>
        <v/>
      </c>
      <c r="G645" s="6">
        <f>IF($J645="","",IF($J645&lt;=1500,N(INDEX('Daily Sale entry '!$AD$1:$AD$1501,$J645+1)),0))</f>
        <v/>
      </c>
      <c r="H645" s="6">
        <f>IF($J645="","",ROUND('Opening Balance'!$B$4+SUM($F$2:F645)-SUM($G$2:G645),2))</f>
        <v/>
      </c>
      <c r="J645" s="21">
        <f>IFERROR(MATCH(ROW()-1,$L$2:$L$3001,0),"")</f>
        <v/>
      </c>
      <c r="K645" s="34">
        <f>IF(AND('Daily Sale entry '!X645&lt;&gt;"",OR('Daily Sale entry '!AC645&lt;&gt;"",'Daily Sale entry '!AD645&lt;&gt;"")),'Daily Sale entry '!X645+ROW()/10000000,"")</f>
        <v/>
      </c>
      <c r="L645" s="21">
        <f>IF(K645="","",COUNTIF($K$2:$K$3001,"&lt;"&amp;K645)+1)</f>
        <v/>
      </c>
    </row>
    <row r="646">
      <c r="A646" s="5">
        <f>IF($J646="","",IF($J646&lt;=1500,INDEX('Daily Sale entry '!$X$1:$X$1501,$J646+1),INDEX('Daily Sale entry '!$V$1:$V$1501,$J646-1499)))</f>
        <v/>
      </c>
      <c r="B646">
        <f>IF($J646="","",IF($J646&lt;=1500,INDEX('Daily Sale entry '!$Y$1:$Y$1501,$J646+1)&amp;"","Buyer cheque banked 买家支票存入"&amp;IF(INDEX('Daily Sale entry '!$U$1:$U$1501,$J646-1499)="","", " - "&amp;INDEX('Daily Sale entry '!$U$1:$U$1501,$J646-1499))))</f>
        <v/>
      </c>
      <c r="C646">
        <f>IF($J646="","",IF($J646&lt;=1500,INDEX('Daily Sale entry '!$Z$1:$Z$1501,$J646+1)&amp;"","Cheque deposit 支票存入 (buyer 买家)"))</f>
        <v/>
      </c>
      <c r="D646">
        <f>IF($J646="","",IF($J646&lt;=1500,INDEX('Daily Sale entry '!$AA$1:$AA$1501,$J646+1)&amp;"",INDEX('Daily Sale entry '!$P$1:$P$1501,$J646-1499)&amp;""))</f>
        <v/>
      </c>
      <c r="E646">
        <f>IF($J646="","",IF($J646&lt;=1500,IF(N(INDEX('Daily Sale entry '!$AB$1:$AB$1501,$J646+1))=0,"",INDEX('Daily Sale entry '!$AB$1:$AB$1501,$J646+1)),1))</f>
        <v/>
      </c>
      <c r="F646" s="6">
        <f>IF($J646="","",IF($J646&lt;=1500,N(INDEX('Daily Sale entry '!$AC$1:$AC$1501,$J646+1))-IF(AND('Opening Balance'!$B$15=1,INDEX('Daily Sale entry '!$Z$1:$Z$1501,$J646+1)="Online collection 网上收款",INDEX('Daily Sale entry '!$AA$1:$AA$1501,$J646+1)&lt;&gt;""),N(INDEX('Daily Sale entry '!$AC$1:$AC$1501,$J646+1))-TRUNC(N(INDEX('Daily Sale entry '!$AC$1:$AC$1501,$J646+1))),0),N(INDEX('Daily Sale entry '!$S$1:$S$1501,$J646-1499))-'Opening Balance'!$B$15*(N(INDEX('Daily Sale entry '!$S$1:$S$1501,$J646-1499))-TRUNC(N(INDEX('Daily Sale entry '!$S$1:$S$1501,$J646-1499))))))</f>
        <v/>
      </c>
      <c r="G646" s="6">
        <f>IF($J646="","",IF($J646&lt;=1500,N(INDEX('Daily Sale entry '!$AD$1:$AD$1501,$J646+1)),0))</f>
        <v/>
      </c>
      <c r="H646" s="6">
        <f>IF($J646="","",ROUND('Opening Balance'!$B$4+SUM($F$2:F646)-SUM($G$2:G646),2))</f>
        <v/>
      </c>
      <c r="J646" s="21">
        <f>IFERROR(MATCH(ROW()-1,$L$2:$L$3001,0),"")</f>
        <v/>
      </c>
      <c r="K646" s="34">
        <f>IF(AND('Daily Sale entry '!X646&lt;&gt;"",OR('Daily Sale entry '!AC646&lt;&gt;"",'Daily Sale entry '!AD646&lt;&gt;"")),'Daily Sale entry '!X646+ROW()/10000000,"")</f>
        <v/>
      </c>
      <c r="L646" s="21">
        <f>IF(K646="","",COUNTIF($K$2:$K$3001,"&lt;"&amp;K646)+1)</f>
        <v/>
      </c>
    </row>
    <row r="647">
      <c r="A647" s="5">
        <f>IF($J647="","",IF($J647&lt;=1500,INDEX('Daily Sale entry '!$X$1:$X$1501,$J647+1),INDEX('Daily Sale entry '!$V$1:$V$1501,$J647-1499)))</f>
        <v/>
      </c>
      <c r="B647">
        <f>IF($J647="","",IF($J647&lt;=1500,INDEX('Daily Sale entry '!$Y$1:$Y$1501,$J647+1)&amp;"","Buyer cheque banked 买家支票存入"&amp;IF(INDEX('Daily Sale entry '!$U$1:$U$1501,$J647-1499)="","", " - "&amp;INDEX('Daily Sale entry '!$U$1:$U$1501,$J647-1499))))</f>
        <v/>
      </c>
      <c r="C647">
        <f>IF($J647="","",IF($J647&lt;=1500,INDEX('Daily Sale entry '!$Z$1:$Z$1501,$J647+1)&amp;"","Cheque deposit 支票存入 (buyer 买家)"))</f>
        <v/>
      </c>
      <c r="D647">
        <f>IF($J647="","",IF($J647&lt;=1500,INDEX('Daily Sale entry '!$AA$1:$AA$1501,$J647+1)&amp;"",INDEX('Daily Sale entry '!$P$1:$P$1501,$J647-1499)&amp;""))</f>
        <v/>
      </c>
      <c r="E647">
        <f>IF($J647="","",IF($J647&lt;=1500,IF(N(INDEX('Daily Sale entry '!$AB$1:$AB$1501,$J647+1))=0,"",INDEX('Daily Sale entry '!$AB$1:$AB$1501,$J647+1)),1))</f>
        <v/>
      </c>
      <c r="F647" s="6">
        <f>IF($J647="","",IF($J647&lt;=1500,N(INDEX('Daily Sale entry '!$AC$1:$AC$1501,$J647+1))-IF(AND('Opening Balance'!$B$15=1,INDEX('Daily Sale entry '!$Z$1:$Z$1501,$J647+1)="Online collection 网上收款",INDEX('Daily Sale entry '!$AA$1:$AA$1501,$J647+1)&lt;&gt;""),N(INDEX('Daily Sale entry '!$AC$1:$AC$1501,$J647+1))-TRUNC(N(INDEX('Daily Sale entry '!$AC$1:$AC$1501,$J647+1))),0),N(INDEX('Daily Sale entry '!$S$1:$S$1501,$J647-1499))-'Opening Balance'!$B$15*(N(INDEX('Daily Sale entry '!$S$1:$S$1501,$J647-1499))-TRUNC(N(INDEX('Daily Sale entry '!$S$1:$S$1501,$J647-1499))))))</f>
        <v/>
      </c>
      <c r="G647" s="6">
        <f>IF($J647="","",IF($J647&lt;=1500,N(INDEX('Daily Sale entry '!$AD$1:$AD$1501,$J647+1)),0))</f>
        <v/>
      </c>
      <c r="H647" s="6">
        <f>IF($J647="","",ROUND('Opening Balance'!$B$4+SUM($F$2:F647)-SUM($G$2:G647),2))</f>
        <v/>
      </c>
      <c r="J647" s="21">
        <f>IFERROR(MATCH(ROW()-1,$L$2:$L$3001,0),"")</f>
        <v/>
      </c>
      <c r="K647" s="34">
        <f>IF(AND('Daily Sale entry '!X647&lt;&gt;"",OR('Daily Sale entry '!AC647&lt;&gt;"",'Daily Sale entry '!AD647&lt;&gt;"")),'Daily Sale entry '!X647+ROW()/10000000,"")</f>
        <v/>
      </c>
      <c r="L647" s="21">
        <f>IF(K647="","",COUNTIF($K$2:$K$3001,"&lt;"&amp;K647)+1)</f>
        <v/>
      </c>
    </row>
    <row r="648">
      <c r="A648" s="5">
        <f>IF($J648="","",IF($J648&lt;=1500,INDEX('Daily Sale entry '!$X$1:$X$1501,$J648+1),INDEX('Daily Sale entry '!$V$1:$V$1501,$J648-1499)))</f>
        <v/>
      </c>
      <c r="B648">
        <f>IF($J648="","",IF($J648&lt;=1500,INDEX('Daily Sale entry '!$Y$1:$Y$1501,$J648+1)&amp;"","Buyer cheque banked 买家支票存入"&amp;IF(INDEX('Daily Sale entry '!$U$1:$U$1501,$J648-1499)="","", " - "&amp;INDEX('Daily Sale entry '!$U$1:$U$1501,$J648-1499))))</f>
        <v/>
      </c>
      <c r="C648">
        <f>IF($J648="","",IF($J648&lt;=1500,INDEX('Daily Sale entry '!$Z$1:$Z$1501,$J648+1)&amp;"","Cheque deposit 支票存入 (buyer 买家)"))</f>
        <v/>
      </c>
      <c r="D648">
        <f>IF($J648="","",IF($J648&lt;=1500,INDEX('Daily Sale entry '!$AA$1:$AA$1501,$J648+1)&amp;"",INDEX('Daily Sale entry '!$P$1:$P$1501,$J648-1499)&amp;""))</f>
        <v/>
      </c>
      <c r="E648">
        <f>IF($J648="","",IF($J648&lt;=1500,IF(N(INDEX('Daily Sale entry '!$AB$1:$AB$1501,$J648+1))=0,"",INDEX('Daily Sale entry '!$AB$1:$AB$1501,$J648+1)),1))</f>
        <v/>
      </c>
      <c r="F648" s="6">
        <f>IF($J648="","",IF($J648&lt;=1500,N(INDEX('Daily Sale entry '!$AC$1:$AC$1501,$J648+1))-IF(AND('Opening Balance'!$B$15=1,INDEX('Daily Sale entry '!$Z$1:$Z$1501,$J648+1)="Online collection 网上收款",INDEX('Daily Sale entry '!$AA$1:$AA$1501,$J648+1)&lt;&gt;""),N(INDEX('Daily Sale entry '!$AC$1:$AC$1501,$J648+1))-TRUNC(N(INDEX('Daily Sale entry '!$AC$1:$AC$1501,$J648+1))),0),N(INDEX('Daily Sale entry '!$S$1:$S$1501,$J648-1499))-'Opening Balance'!$B$15*(N(INDEX('Daily Sale entry '!$S$1:$S$1501,$J648-1499))-TRUNC(N(INDEX('Daily Sale entry '!$S$1:$S$1501,$J648-1499))))))</f>
        <v/>
      </c>
      <c r="G648" s="6">
        <f>IF($J648="","",IF($J648&lt;=1500,N(INDEX('Daily Sale entry '!$AD$1:$AD$1501,$J648+1)),0))</f>
        <v/>
      </c>
      <c r="H648" s="6">
        <f>IF($J648="","",ROUND('Opening Balance'!$B$4+SUM($F$2:F648)-SUM($G$2:G648),2))</f>
        <v/>
      </c>
      <c r="J648" s="21">
        <f>IFERROR(MATCH(ROW()-1,$L$2:$L$3001,0),"")</f>
        <v/>
      </c>
      <c r="K648" s="34">
        <f>IF(AND('Daily Sale entry '!X648&lt;&gt;"",OR('Daily Sale entry '!AC648&lt;&gt;"",'Daily Sale entry '!AD648&lt;&gt;"")),'Daily Sale entry '!X648+ROW()/10000000,"")</f>
        <v/>
      </c>
      <c r="L648" s="21">
        <f>IF(K648="","",COUNTIF($K$2:$K$3001,"&lt;"&amp;K648)+1)</f>
        <v/>
      </c>
    </row>
    <row r="649">
      <c r="A649" s="5">
        <f>IF($J649="","",IF($J649&lt;=1500,INDEX('Daily Sale entry '!$X$1:$X$1501,$J649+1),INDEX('Daily Sale entry '!$V$1:$V$1501,$J649-1499)))</f>
        <v/>
      </c>
      <c r="B649">
        <f>IF($J649="","",IF($J649&lt;=1500,INDEX('Daily Sale entry '!$Y$1:$Y$1501,$J649+1)&amp;"","Buyer cheque banked 买家支票存入"&amp;IF(INDEX('Daily Sale entry '!$U$1:$U$1501,$J649-1499)="","", " - "&amp;INDEX('Daily Sale entry '!$U$1:$U$1501,$J649-1499))))</f>
        <v/>
      </c>
      <c r="C649">
        <f>IF($J649="","",IF($J649&lt;=1500,INDEX('Daily Sale entry '!$Z$1:$Z$1501,$J649+1)&amp;"","Cheque deposit 支票存入 (buyer 买家)"))</f>
        <v/>
      </c>
      <c r="D649">
        <f>IF($J649="","",IF($J649&lt;=1500,INDEX('Daily Sale entry '!$AA$1:$AA$1501,$J649+1)&amp;"",INDEX('Daily Sale entry '!$P$1:$P$1501,$J649-1499)&amp;""))</f>
        <v/>
      </c>
      <c r="E649">
        <f>IF($J649="","",IF($J649&lt;=1500,IF(N(INDEX('Daily Sale entry '!$AB$1:$AB$1501,$J649+1))=0,"",INDEX('Daily Sale entry '!$AB$1:$AB$1501,$J649+1)),1))</f>
        <v/>
      </c>
      <c r="F649" s="6">
        <f>IF($J649="","",IF($J649&lt;=1500,N(INDEX('Daily Sale entry '!$AC$1:$AC$1501,$J649+1))-IF(AND('Opening Balance'!$B$15=1,INDEX('Daily Sale entry '!$Z$1:$Z$1501,$J649+1)="Online collection 网上收款",INDEX('Daily Sale entry '!$AA$1:$AA$1501,$J649+1)&lt;&gt;""),N(INDEX('Daily Sale entry '!$AC$1:$AC$1501,$J649+1))-TRUNC(N(INDEX('Daily Sale entry '!$AC$1:$AC$1501,$J649+1))),0),N(INDEX('Daily Sale entry '!$S$1:$S$1501,$J649-1499))-'Opening Balance'!$B$15*(N(INDEX('Daily Sale entry '!$S$1:$S$1501,$J649-1499))-TRUNC(N(INDEX('Daily Sale entry '!$S$1:$S$1501,$J649-1499))))))</f>
        <v/>
      </c>
      <c r="G649" s="6">
        <f>IF($J649="","",IF($J649&lt;=1500,N(INDEX('Daily Sale entry '!$AD$1:$AD$1501,$J649+1)),0))</f>
        <v/>
      </c>
      <c r="H649" s="6">
        <f>IF($J649="","",ROUND('Opening Balance'!$B$4+SUM($F$2:F649)-SUM($G$2:G649),2))</f>
        <v/>
      </c>
      <c r="J649" s="21">
        <f>IFERROR(MATCH(ROW()-1,$L$2:$L$3001,0),"")</f>
        <v/>
      </c>
      <c r="K649" s="34">
        <f>IF(AND('Daily Sale entry '!X649&lt;&gt;"",OR('Daily Sale entry '!AC649&lt;&gt;"",'Daily Sale entry '!AD649&lt;&gt;"")),'Daily Sale entry '!X649+ROW()/10000000,"")</f>
        <v/>
      </c>
      <c r="L649" s="21">
        <f>IF(K649="","",COUNTIF($K$2:$K$3001,"&lt;"&amp;K649)+1)</f>
        <v/>
      </c>
    </row>
    <row r="650">
      <c r="A650" s="5">
        <f>IF($J650="","",IF($J650&lt;=1500,INDEX('Daily Sale entry '!$X$1:$X$1501,$J650+1),INDEX('Daily Sale entry '!$V$1:$V$1501,$J650-1499)))</f>
        <v/>
      </c>
      <c r="B650">
        <f>IF($J650="","",IF($J650&lt;=1500,INDEX('Daily Sale entry '!$Y$1:$Y$1501,$J650+1)&amp;"","Buyer cheque banked 买家支票存入"&amp;IF(INDEX('Daily Sale entry '!$U$1:$U$1501,$J650-1499)="","", " - "&amp;INDEX('Daily Sale entry '!$U$1:$U$1501,$J650-1499))))</f>
        <v/>
      </c>
      <c r="C650">
        <f>IF($J650="","",IF($J650&lt;=1500,INDEX('Daily Sale entry '!$Z$1:$Z$1501,$J650+1)&amp;"","Cheque deposit 支票存入 (buyer 买家)"))</f>
        <v/>
      </c>
      <c r="D650">
        <f>IF($J650="","",IF($J650&lt;=1500,INDEX('Daily Sale entry '!$AA$1:$AA$1501,$J650+1)&amp;"",INDEX('Daily Sale entry '!$P$1:$P$1501,$J650-1499)&amp;""))</f>
        <v/>
      </c>
      <c r="E650">
        <f>IF($J650="","",IF($J650&lt;=1500,IF(N(INDEX('Daily Sale entry '!$AB$1:$AB$1501,$J650+1))=0,"",INDEX('Daily Sale entry '!$AB$1:$AB$1501,$J650+1)),1))</f>
        <v/>
      </c>
      <c r="F650" s="6">
        <f>IF($J650="","",IF($J650&lt;=1500,N(INDEX('Daily Sale entry '!$AC$1:$AC$1501,$J650+1))-IF(AND('Opening Balance'!$B$15=1,INDEX('Daily Sale entry '!$Z$1:$Z$1501,$J650+1)="Online collection 网上收款",INDEX('Daily Sale entry '!$AA$1:$AA$1501,$J650+1)&lt;&gt;""),N(INDEX('Daily Sale entry '!$AC$1:$AC$1501,$J650+1))-TRUNC(N(INDEX('Daily Sale entry '!$AC$1:$AC$1501,$J650+1))),0),N(INDEX('Daily Sale entry '!$S$1:$S$1501,$J650-1499))-'Opening Balance'!$B$15*(N(INDEX('Daily Sale entry '!$S$1:$S$1501,$J650-1499))-TRUNC(N(INDEX('Daily Sale entry '!$S$1:$S$1501,$J650-1499))))))</f>
        <v/>
      </c>
      <c r="G650" s="6">
        <f>IF($J650="","",IF($J650&lt;=1500,N(INDEX('Daily Sale entry '!$AD$1:$AD$1501,$J650+1)),0))</f>
        <v/>
      </c>
      <c r="H650" s="6">
        <f>IF($J650="","",ROUND('Opening Balance'!$B$4+SUM($F$2:F650)-SUM($G$2:G650),2))</f>
        <v/>
      </c>
      <c r="J650" s="21">
        <f>IFERROR(MATCH(ROW()-1,$L$2:$L$3001,0),"")</f>
        <v/>
      </c>
      <c r="K650" s="34">
        <f>IF(AND('Daily Sale entry '!X650&lt;&gt;"",OR('Daily Sale entry '!AC650&lt;&gt;"",'Daily Sale entry '!AD650&lt;&gt;"")),'Daily Sale entry '!X650+ROW()/10000000,"")</f>
        <v/>
      </c>
      <c r="L650" s="21">
        <f>IF(K650="","",COUNTIF($K$2:$K$3001,"&lt;"&amp;K650)+1)</f>
        <v/>
      </c>
    </row>
    <row r="651">
      <c r="A651" s="5">
        <f>IF($J651="","",IF($J651&lt;=1500,INDEX('Daily Sale entry '!$X$1:$X$1501,$J651+1),INDEX('Daily Sale entry '!$V$1:$V$1501,$J651-1499)))</f>
        <v/>
      </c>
      <c r="B651">
        <f>IF($J651="","",IF($J651&lt;=1500,INDEX('Daily Sale entry '!$Y$1:$Y$1501,$J651+1)&amp;"","Buyer cheque banked 买家支票存入"&amp;IF(INDEX('Daily Sale entry '!$U$1:$U$1501,$J651-1499)="","", " - "&amp;INDEX('Daily Sale entry '!$U$1:$U$1501,$J651-1499))))</f>
        <v/>
      </c>
      <c r="C651">
        <f>IF($J651="","",IF($J651&lt;=1500,INDEX('Daily Sale entry '!$Z$1:$Z$1501,$J651+1)&amp;"","Cheque deposit 支票存入 (buyer 买家)"))</f>
        <v/>
      </c>
      <c r="D651">
        <f>IF($J651="","",IF($J651&lt;=1500,INDEX('Daily Sale entry '!$AA$1:$AA$1501,$J651+1)&amp;"",INDEX('Daily Sale entry '!$P$1:$P$1501,$J651-1499)&amp;""))</f>
        <v/>
      </c>
      <c r="E651">
        <f>IF($J651="","",IF($J651&lt;=1500,IF(N(INDEX('Daily Sale entry '!$AB$1:$AB$1501,$J651+1))=0,"",INDEX('Daily Sale entry '!$AB$1:$AB$1501,$J651+1)),1))</f>
        <v/>
      </c>
      <c r="F651" s="6">
        <f>IF($J651="","",IF($J651&lt;=1500,N(INDEX('Daily Sale entry '!$AC$1:$AC$1501,$J651+1))-IF(AND('Opening Balance'!$B$15=1,INDEX('Daily Sale entry '!$Z$1:$Z$1501,$J651+1)="Online collection 网上收款",INDEX('Daily Sale entry '!$AA$1:$AA$1501,$J651+1)&lt;&gt;""),N(INDEX('Daily Sale entry '!$AC$1:$AC$1501,$J651+1))-TRUNC(N(INDEX('Daily Sale entry '!$AC$1:$AC$1501,$J651+1))),0),N(INDEX('Daily Sale entry '!$S$1:$S$1501,$J651-1499))-'Opening Balance'!$B$15*(N(INDEX('Daily Sale entry '!$S$1:$S$1501,$J651-1499))-TRUNC(N(INDEX('Daily Sale entry '!$S$1:$S$1501,$J651-1499))))))</f>
        <v/>
      </c>
      <c r="G651" s="6">
        <f>IF($J651="","",IF($J651&lt;=1500,N(INDEX('Daily Sale entry '!$AD$1:$AD$1501,$J651+1)),0))</f>
        <v/>
      </c>
      <c r="H651" s="6">
        <f>IF($J651="","",ROUND('Opening Balance'!$B$4+SUM($F$2:F651)-SUM($G$2:G651),2))</f>
        <v/>
      </c>
      <c r="J651" s="21">
        <f>IFERROR(MATCH(ROW()-1,$L$2:$L$3001,0),"")</f>
        <v/>
      </c>
      <c r="K651" s="34">
        <f>IF(AND('Daily Sale entry '!X651&lt;&gt;"",OR('Daily Sale entry '!AC651&lt;&gt;"",'Daily Sale entry '!AD651&lt;&gt;"")),'Daily Sale entry '!X651+ROW()/10000000,"")</f>
        <v/>
      </c>
      <c r="L651" s="21">
        <f>IF(K651="","",COUNTIF($K$2:$K$3001,"&lt;"&amp;K651)+1)</f>
        <v/>
      </c>
    </row>
    <row r="652">
      <c r="A652" s="5">
        <f>IF($J652="","",IF($J652&lt;=1500,INDEX('Daily Sale entry '!$X$1:$X$1501,$J652+1),INDEX('Daily Sale entry '!$V$1:$V$1501,$J652-1499)))</f>
        <v/>
      </c>
      <c r="B652">
        <f>IF($J652="","",IF($J652&lt;=1500,INDEX('Daily Sale entry '!$Y$1:$Y$1501,$J652+1)&amp;"","Buyer cheque banked 买家支票存入"&amp;IF(INDEX('Daily Sale entry '!$U$1:$U$1501,$J652-1499)="","", " - "&amp;INDEX('Daily Sale entry '!$U$1:$U$1501,$J652-1499))))</f>
        <v/>
      </c>
      <c r="C652">
        <f>IF($J652="","",IF($J652&lt;=1500,INDEX('Daily Sale entry '!$Z$1:$Z$1501,$J652+1)&amp;"","Cheque deposit 支票存入 (buyer 买家)"))</f>
        <v/>
      </c>
      <c r="D652">
        <f>IF($J652="","",IF($J652&lt;=1500,INDEX('Daily Sale entry '!$AA$1:$AA$1501,$J652+1)&amp;"",INDEX('Daily Sale entry '!$P$1:$P$1501,$J652-1499)&amp;""))</f>
        <v/>
      </c>
      <c r="E652">
        <f>IF($J652="","",IF($J652&lt;=1500,IF(N(INDEX('Daily Sale entry '!$AB$1:$AB$1501,$J652+1))=0,"",INDEX('Daily Sale entry '!$AB$1:$AB$1501,$J652+1)),1))</f>
        <v/>
      </c>
      <c r="F652" s="6">
        <f>IF($J652="","",IF($J652&lt;=1500,N(INDEX('Daily Sale entry '!$AC$1:$AC$1501,$J652+1))-IF(AND('Opening Balance'!$B$15=1,INDEX('Daily Sale entry '!$Z$1:$Z$1501,$J652+1)="Online collection 网上收款",INDEX('Daily Sale entry '!$AA$1:$AA$1501,$J652+1)&lt;&gt;""),N(INDEX('Daily Sale entry '!$AC$1:$AC$1501,$J652+1))-TRUNC(N(INDEX('Daily Sale entry '!$AC$1:$AC$1501,$J652+1))),0),N(INDEX('Daily Sale entry '!$S$1:$S$1501,$J652-1499))-'Opening Balance'!$B$15*(N(INDEX('Daily Sale entry '!$S$1:$S$1501,$J652-1499))-TRUNC(N(INDEX('Daily Sale entry '!$S$1:$S$1501,$J652-1499))))))</f>
        <v/>
      </c>
      <c r="G652" s="6">
        <f>IF($J652="","",IF($J652&lt;=1500,N(INDEX('Daily Sale entry '!$AD$1:$AD$1501,$J652+1)),0))</f>
        <v/>
      </c>
      <c r="H652" s="6">
        <f>IF($J652="","",ROUND('Opening Balance'!$B$4+SUM($F$2:F652)-SUM($G$2:G652),2))</f>
        <v/>
      </c>
      <c r="J652" s="21">
        <f>IFERROR(MATCH(ROW()-1,$L$2:$L$3001,0),"")</f>
        <v/>
      </c>
      <c r="K652" s="34">
        <f>IF(AND('Daily Sale entry '!X652&lt;&gt;"",OR('Daily Sale entry '!AC652&lt;&gt;"",'Daily Sale entry '!AD652&lt;&gt;"")),'Daily Sale entry '!X652+ROW()/10000000,"")</f>
        <v/>
      </c>
      <c r="L652" s="21">
        <f>IF(K652="","",COUNTIF($K$2:$K$3001,"&lt;"&amp;K652)+1)</f>
        <v/>
      </c>
    </row>
    <row r="653">
      <c r="A653" s="5">
        <f>IF($J653="","",IF($J653&lt;=1500,INDEX('Daily Sale entry '!$X$1:$X$1501,$J653+1),INDEX('Daily Sale entry '!$V$1:$V$1501,$J653-1499)))</f>
        <v/>
      </c>
      <c r="B653">
        <f>IF($J653="","",IF($J653&lt;=1500,INDEX('Daily Sale entry '!$Y$1:$Y$1501,$J653+1)&amp;"","Buyer cheque banked 买家支票存入"&amp;IF(INDEX('Daily Sale entry '!$U$1:$U$1501,$J653-1499)="","", " - "&amp;INDEX('Daily Sale entry '!$U$1:$U$1501,$J653-1499))))</f>
        <v/>
      </c>
      <c r="C653">
        <f>IF($J653="","",IF($J653&lt;=1500,INDEX('Daily Sale entry '!$Z$1:$Z$1501,$J653+1)&amp;"","Cheque deposit 支票存入 (buyer 买家)"))</f>
        <v/>
      </c>
      <c r="D653">
        <f>IF($J653="","",IF($J653&lt;=1500,INDEX('Daily Sale entry '!$AA$1:$AA$1501,$J653+1)&amp;"",INDEX('Daily Sale entry '!$P$1:$P$1501,$J653-1499)&amp;""))</f>
        <v/>
      </c>
      <c r="E653">
        <f>IF($J653="","",IF($J653&lt;=1500,IF(N(INDEX('Daily Sale entry '!$AB$1:$AB$1501,$J653+1))=0,"",INDEX('Daily Sale entry '!$AB$1:$AB$1501,$J653+1)),1))</f>
        <v/>
      </c>
      <c r="F653" s="6">
        <f>IF($J653="","",IF($J653&lt;=1500,N(INDEX('Daily Sale entry '!$AC$1:$AC$1501,$J653+1))-IF(AND('Opening Balance'!$B$15=1,INDEX('Daily Sale entry '!$Z$1:$Z$1501,$J653+1)="Online collection 网上收款",INDEX('Daily Sale entry '!$AA$1:$AA$1501,$J653+1)&lt;&gt;""),N(INDEX('Daily Sale entry '!$AC$1:$AC$1501,$J653+1))-TRUNC(N(INDEX('Daily Sale entry '!$AC$1:$AC$1501,$J653+1))),0),N(INDEX('Daily Sale entry '!$S$1:$S$1501,$J653-1499))-'Opening Balance'!$B$15*(N(INDEX('Daily Sale entry '!$S$1:$S$1501,$J653-1499))-TRUNC(N(INDEX('Daily Sale entry '!$S$1:$S$1501,$J653-1499))))))</f>
        <v/>
      </c>
      <c r="G653" s="6">
        <f>IF($J653="","",IF($J653&lt;=1500,N(INDEX('Daily Sale entry '!$AD$1:$AD$1501,$J653+1)),0))</f>
        <v/>
      </c>
      <c r="H653" s="6">
        <f>IF($J653="","",ROUND('Opening Balance'!$B$4+SUM($F$2:F653)-SUM($G$2:G653),2))</f>
        <v/>
      </c>
      <c r="J653" s="21">
        <f>IFERROR(MATCH(ROW()-1,$L$2:$L$3001,0),"")</f>
        <v/>
      </c>
      <c r="K653" s="34">
        <f>IF(AND('Daily Sale entry '!X653&lt;&gt;"",OR('Daily Sale entry '!AC653&lt;&gt;"",'Daily Sale entry '!AD653&lt;&gt;"")),'Daily Sale entry '!X653+ROW()/10000000,"")</f>
        <v/>
      </c>
      <c r="L653" s="21">
        <f>IF(K653="","",COUNTIF($K$2:$K$3001,"&lt;"&amp;K653)+1)</f>
        <v/>
      </c>
    </row>
    <row r="654">
      <c r="A654" s="5">
        <f>IF($J654="","",IF($J654&lt;=1500,INDEX('Daily Sale entry '!$X$1:$X$1501,$J654+1),INDEX('Daily Sale entry '!$V$1:$V$1501,$J654-1499)))</f>
        <v/>
      </c>
      <c r="B654">
        <f>IF($J654="","",IF($J654&lt;=1500,INDEX('Daily Sale entry '!$Y$1:$Y$1501,$J654+1)&amp;"","Buyer cheque banked 买家支票存入"&amp;IF(INDEX('Daily Sale entry '!$U$1:$U$1501,$J654-1499)="","", " - "&amp;INDEX('Daily Sale entry '!$U$1:$U$1501,$J654-1499))))</f>
        <v/>
      </c>
      <c r="C654">
        <f>IF($J654="","",IF($J654&lt;=1500,INDEX('Daily Sale entry '!$Z$1:$Z$1501,$J654+1)&amp;"","Cheque deposit 支票存入 (buyer 买家)"))</f>
        <v/>
      </c>
      <c r="D654">
        <f>IF($J654="","",IF($J654&lt;=1500,INDEX('Daily Sale entry '!$AA$1:$AA$1501,$J654+1)&amp;"",INDEX('Daily Sale entry '!$P$1:$P$1501,$J654-1499)&amp;""))</f>
        <v/>
      </c>
      <c r="E654">
        <f>IF($J654="","",IF($J654&lt;=1500,IF(N(INDEX('Daily Sale entry '!$AB$1:$AB$1501,$J654+1))=0,"",INDEX('Daily Sale entry '!$AB$1:$AB$1501,$J654+1)),1))</f>
        <v/>
      </c>
      <c r="F654" s="6">
        <f>IF($J654="","",IF($J654&lt;=1500,N(INDEX('Daily Sale entry '!$AC$1:$AC$1501,$J654+1))-IF(AND('Opening Balance'!$B$15=1,INDEX('Daily Sale entry '!$Z$1:$Z$1501,$J654+1)="Online collection 网上收款",INDEX('Daily Sale entry '!$AA$1:$AA$1501,$J654+1)&lt;&gt;""),N(INDEX('Daily Sale entry '!$AC$1:$AC$1501,$J654+1))-TRUNC(N(INDEX('Daily Sale entry '!$AC$1:$AC$1501,$J654+1))),0),N(INDEX('Daily Sale entry '!$S$1:$S$1501,$J654-1499))-'Opening Balance'!$B$15*(N(INDEX('Daily Sale entry '!$S$1:$S$1501,$J654-1499))-TRUNC(N(INDEX('Daily Sale entry '!$S$1:$S$1501,$J654-1499))))))</f>
        <v/>
      </c>
      <c r="G654" s="6">
        <f>IF($J654="","",IF($J654&lt;=1500,N(INDEX('Daily Sale entry '!$AD$1:$AD$1501,$J654+1)),0))</f>
        <v/>
      </c>
      <c r="H654" s="6">
        <f>IF($J654="","",ROUND('Opening Balance'!$B$4+SUM($F$2:F654)-SUM($G$2:G654),2))</f>
        <v/>
      </c>
      <c r="J654" s="21">
        <f>IFERROR(MATCH(ROW()-1,$L$2:$L$3001,0),"")</f>
        <v/>
      </c>
      <c r="K654" s="34">
        <f>IF(AND('Daily Sale entry '!X654&lt;&gt;"",OR('Daily Sale entry '!AC654&lt;&gt;"",'Daily Sale entry '!AD654&lt;&gt;"")),'Daily Sale entry '!X654+ROW()/10000000,"")</f>
        <v/>
      </c>
      <c r="L654" s="21">
        <f>IF(K654="","",COUNTIF($K$2:$K$3001,"&lt;"&amp;K654)+1)</f>
        <v/>
      </c>
    </row>
    <row r="655">
      <c r="A655" s="5">
        <f>IF($J655="","",IF($J655&lt;=1500,INDEX('Daily Sale entry '!$X$1:$X$1501,$J655+1),INDEX('Daily Sale entry '!$V$1:$V$1501,$J655-1499)))</f>
        <v/>
      </c>
      <c r="B655">
        <f>IF($J655="","",IF($J655&lt;=1500,INDEX('Daily Sale entry '!$Y$1:$Y$1501,$J655+1)&amp;"","Buyer cheque banked 买家支票存入"&amp;IF(INDEX('Daily Sale entry '!$U$1:$U$1501,$J655-1499)="","", " - "&amp;INDEX('Daily Sale entry '!$U$1:$U$1501,$J655-1499))))</f>
        <v/>
      </c>
      <c r="C655">
        <f>IF($J655="","",IF($J655&lt;=1500,INDEX('Daily Sale entry '!$Z$1:$Z$1501,$J655+1)&amp;"","Cheque deposit 支票存入 (buyer 买家)"))</f>
        <v/>
      </c>
      <c r="D655">
        <f>IF($J655="","",IF($J655&lt;=1500,INDEX('Daily Sale entry '!$AA$1:$AA$1501,$J655+1)&amp;"",INDEX('Daily Sale entry '!$P$1:$P$1501,$J655-1499)&amp;""))</f>
        <v/>
      </c>
      <c r="E655">
        <f>IF($J655="","",IF($J655&lt;=1500,IF(N(INDEX('Daily Sale entry '!$AB$1:$AB$1501,$J655+1))=0,"",INDEX('Daily Sale entry '!$AB$1:$AB$1501,$J655+1)),1))</f>
        <v/>
      </c>
      <c r="F655" s="6">
        <f>IF($J655="","",IF($J655&lt;=1500,N(INDEX('Daily Sale entry '!$AC$1:$AC$1501,$J655+1))-IF(AND('Opening Balance'!$B$15=1,INDEX('Daily Sale entry '!$Z$1:$Z$1501,$J655+1)="Online collection 网上收款",INDEX('Daily Sale entry '!$AA$1:$AA$1501,$J655+1)&lt;&gt;""),N(INDEX('Daily Sale entry '!$AC$1:$AC$1501,$J655+1))-TRUNC(N(INDEX('Daily Sale entry '!$AC$1:$AC$1501,$J655+1))),0),N(INDEX('Daily Sale entry '!$S$1:$S$1501,$J655-1499))-'Opening Balance'!$B$15*(N(INDEX('Daily Sale entry '!$S$1:$S$1501,$J655-1499))-TRUNC(N(INDEX('Daily Sale entry '!$S$1:$S$1501,$J655-1499))))))</f>
        <v/>
      </c>
      <c r="G655" s="6">
        <f>IF($J655="","",IF($J655&lt;=1500,N(INDEX('Daily Sale entry '!$AD$1:$AD$1501,$J655+1)),0))</f>
        <v/>
      </c>
      <c r="H655" s="6">
        <f>IF($J655="","",ROUND('Opening Balance'!$B$4+SUM($F$2:F655)-SUM($G$2:G655),2))</f>
        <v/>
      </c>
      <c r="J655" s="21">
        <f>IFERROR(MATCH(ROW()-1,$L$2:$L$3001,0),"")</f>
        <v/>
      </c>
      <c r="K655" s="34">
        <f>IF(AND('Daily Sale entry '!X655&lt;&gt;"",OR('Daily Sale entry '!AC655&lt;&gt;"",'Daily Sale entry '!AD655&lt;&gt;"")),'Daily Sale entry '!X655+ROW()/10000000,"")</f>
        <v/>
      </c>
      <c r="L655" s="21">
        <f>IF(K655="","",COUNTIF($K$2:$K$3001,"&lt;"&amp;K655)+1)</f>
        <v/>
      </c>
    </row>
    <row r="656">
      <c r="A656" s="5">
        <f>IF($J656="","",IF($J656&lt;=1500,INDEX('Daily Sale entry '!$X$1:$X$1501,$J656+1),INDEX('Daily Sale entry '!$V$1:$V$1501,$J656-1499)))</f>
        <v/>
      </c>
      <c r="B656">
        <f>IF($J656="","",IF($J656&lt;=1500,INDEX('Daily Sale entry '!$Y$1:$Y$1501,$J656+1)&amp;"","Buyer cheque banked 买家支票存入"&amp;IF(INDEX('Daily Sale entry '!$U$1:$U$1501,$J656-1499)="","", " - "&amp;INDEX('Daily Sale entry '!$U$1:$U$1501,$J656-1499))))</f>
        <v/>
      </c>
      <c r="C656">
        <f>IF($J656="","",IF($J656&lt;=1500,INDEX('Daily Sale entry '!$Z$1:$Z$1501,$J656+1)&amp;"","Cheque deposit 支票存入 (buyer 买家)"))</f>
        <v/>
      </c>
      <c r="D656">
        <f>IF($J656="","",IF($J656&lt;=1500,INDEX('Daily Sale entry '!$AA$1:$AA$1501,$J656+1)&amp;"",INDEX('Daily Sale entry '!$P$1:$P$1501,$J656-1499)&amp;""))</f>
        <v/>
      </c>
      <c r="E656">
        <f>IF($J656="","",IF($J656&lt;=1500,IF(N(INDEX('Daily Sale entry '!$AB$1:$AB$1501,$J656+1))=0,"",INDEX('Daily Sale entry '!$AB$1:$AB$1501,$J656+1)),1))</f>
        <v/>
      </c>
      <c r="F656" s="6">
        <f>IF($J656="","",IF($J656&lt;=1500,N(INDEX('Daily Sale entry '!$AC$1:$AC$1501,$J656+1))-IF(AND('Opening Balance'!$B$15=1,INDEX('Daily Sale entry '!$Z$1:$Z$1501,$J656+1)="Online collection 网上收款",INDEX('Daily Sale entry '!$AA$1:$AA$1501,$J656+1)&lt;&gt;""),N(INDEX('Daily Sale entry '!$AC$1:$AC$1501,$J656+1))-TRUNC(N(INDEX('Daily Sale entry '!$AC$1:$AC$1501,$J656+1))),0),N(INDEX('Daily Sale entry '!$S$1:$S$1501,$J656-1499))-'Opening Balance'!$B$15*(N(INDEX('Daily Sale entry '!$S$1:$S$1501,$J656-1499))-TRUNC(N(INDEX('Daily Sale entry '!$S$1:$S$1501,$J656-1499))))))</f>
        <v/>
      </c>
      <c r="G656" s="6">
        <f>IF($J656="","",IF($J656&lt;=1500,N(INDEX('Daily Sale entry '!$AD$1:$AD$1501,$J656+1)),0))</f>
        <v/>
      </c>
      <c r="H656" s="6">
        <f>IF($J656="","",ROUND('Opening Balance'!$B$4+SUM($F$2:F656)-SUM($G$2:G656),2))</f>
        <v/>
      </c>
      <c r="J656" s="21">
        <f>IFERROR(MATCH(ROW()-1,$L$2:$L$3001,0),"")</f>
        <v/>
      </c>
      <c r="K656" s="34">
        <f>IF(AND('Daily Sale entry '!X656&lt;&gt;"",OR('Daily Sale entry '!AC656&lt;&gt;"",'Daily Sale entry '!AD656&lt;&gt;"")),'Daily Sale entry '!X656+ROW()/10000000,"")</f>
        <v/>
      </c>
      <c r="L656" s="21">
        <f>IF(K656="","",COUNTIF($K$2:$K$3001,"&lt;"&amp;K656)+1)</f>
        <v/>
      </c>
    </row>
    <row r="657">
      <c r="A657" s="5">
        <f>IF($J657="","",IF($J657&lt;=1500,INDEX('Daily Sale entry '!$X$1:$X$1501,$J657+1),INDEX('Daily Sale entry '!$V$1:$V$1501,$J657-1499)))</f>
        <v/>
      </c>
      <c r="B657">
        <f>IF($J657="","",IF($J657&lt;=1500,INDEX('Daily Sale entry '!$Y$1:$Y$1501,$J657+1)&amp;"","Buyer cheque banked 买家支票存入"&amp;IF(INDEX('Daily Sale entry '!$U$1:$U$1501,$J657-1499)="","", " - "&amp;INDEX('Daily Sale entry '!$U$1:$U$1501,$J657-1499))))</f>
        <v/>
      </c>
      <c r="C657">
        <f>IF($J657="","",IF($J657&lt;=1500,INDEX('Daily Sale entry '!$Z$1:$Z$1501,$J657+1)&amp;"","Cheque deposit 支票存入 (buyer 买家)"))</f>
        <v/>
      </c>
      <c r="D657">
        <f>IF($J657="","",IF($J657&lt;=1500,INDEX('Daily Sale entry '!$AA$1:$AA$1501,$J657+1)&amp;"",INDEX('Daily Sale entry '!$P$1:$P$1501,$J657-1499)&amp;""))</f>
        <v/>
      </c>
      <c r="E657">
        <f>IF($J657="","",IF($J657&lt;=1500,IF(N(INDEX('Daily Sale entry '!$AB$1:$AB$1501,$J657+1))=0,"",INDEX('Daily Sale entry '!$AB$1:$AB$1501,$J657+1)),1))</f>
        <v/>
      </c>
      <c r="F657" s="6">
        <f>IF($J657="","",IF($J657&lt;=1500,N(INDEX('Daily Sale entry '!$AC$1:$AC$1501,$J657+1))-IF(AND('Opening Balance'!$B$15=1,INDEX('Daily Sale entry '!$Z$1:$Z$1501,$J657+1)="Online collection 网上收款",INDEX('Daily Sale entry '!$AA$1:$AA$1501,$J657+1)&lt;&gt;""),N(INDEX('Daily Sale entry '!$AC$1:$AC$1501,$J657+1))-TRUNC(N(INDEX('Daily Sale entry '!$AC$1:$AC$1501,$J657+1))),0),N(INDEX('Daily Sale entry '!$S$1:$S$1501,$J657-1499))-'Opening Balance'!$B$15*(N(INDEX('Daily Sale entry '!$S$1:$S$1501,$J657-1499))-TRUNC(N(INDEX('Daily Sale entry '!$S$1:$S$1501,$J657-1499))))))</f>
        <v/>
      </c>
      <c r="G657" s="6">
        <f>IF($J657="","",IF($J657&lt;=1500,N(INDEX('Daily Sale entry '!$AD$1:$AD$1501,$J657+1)),0))</f>
        <v/>
      </c>
      <c r="H657" s="6">
        <f>IF($J657="","",ROUND('Opening Balance'!$B$4+SUM($F$2:F657)-SUM($G$2:G657),2))</f>
        <v/>
      </c>
      <c r="J657" s="21">
        <f>IFERROR(MATCH(ROW()-1,$L$2:$L$3001,0),"")</f>
        <v/>
      </c>
      <c r="K657" s="34">
        <f>IF(AND('Daily Sale entry '!X657&lt;&gt;"",OR('Daily Sale entry '!AC657&lt;&gt;"",'Daily Sale entry '!AD657&lt;&gt;"")),'Daily Sale entry '!X657+ROW()/10000000,"")</f>
        <v/>
      </c>
      <c r="L657" s="21">
        <f>IF(K657="","",COUNTIF($K$2:$K$3001,"&lt;"&amp;K657)+1)</f>
        <v/>
      </c>
    </row>
    <row r="658">
      <c r="A658" s="5">
        <f>IF($J658="","",IF($J658&lt;=1500,INDEX('Daily Sale entry '!$X$1:$X$1501,$J658+1),INDEX('Daily Sale entry '!$V$1:$V$1501,$J658-1499)))</f>
        <v/>
      </c>
      <c r="B658">
        <f>IF($J658="","",IF($J658&lt;=1500,INDEX('Daily Sale entry '!$Y$1:$Y$1501,$J658+1)&amp;"","Buyer cheque banked 买家支票存入"&amp;IF(INDEX('Daily Sale entry '!$U$1:$U$1501,$J658-1499)="","", " - "&amp;INDEX('Daily Sale entry '!$U$1:$U$1501,$J658-1499))))</f>
        <v/>
      </c>
      <c r="C658">
        <f>IF($J658="","",IF($J658&lt;=1500,INDEX('Daily Sale entry '!$Z$1:$Z$1501,$J658+1)&amp;"","Cheque deposit 支票存入 (buyer 买家)"))</f>
        <v/>
      </c>
      <c r="D658">
        <f>IF($J658="","",IF($J658&lt;=1500,INDEX('Daily Sale entry '!$AA$1:$AA$1501,$J658+1)&amp;"",INDEX('Daily Sale entry '!$P$1:$P$1501,$J658-1499)&amp;""))</f>
        <v/>
      </c>
      <c r="E658">
        <f>IF($J658="","",IF($J658&lt;=1500,IF(N(INDEX('Daily Sale entry '!$AB$1:$AB$1501,$J658+1))=0,"",INDEX('Daily Sale entry '!$AB$1:$AB$1501,$J658+1)),1))</f>
        <v/>
      </c>
      <c r="F658" s="6">
        <f>IF($J658="","",IF($J658&lt;=1500,N(INDEX('Daily Sale entry '!$AC$1:$AC$1501,$J658+1))-IF(AND('Opening Balance'!$B$15=1,INDEX('Daily Sale entry '!$Z$1:$Z$1501,$J658+1)="Online collection 网上收款",INDEX('Daily Sale entry '!$AA$1:$AA$1501,$J658+1)&lt;&gt;""),N(INDEX('Daily Sale entry '!$AC$1:$AC$1501,$J658+1))-TRUNC(N(INDEX('Daily Sale entry '!$AC$1:$AC$1501,$J658+1))),0),N(INDEX('Daily Sale entry '!$S$1:$S$1501,$J658-1499))-'Opening Balance'!$B$15*(N(INDEX('Daily Sale entry '!$S$1:$S$1501,$J658-1499))-TRUNC(N(INDEX('Daily Sale entry '!$S$1:$S$1501,$J658-1499))))))</f>
        <v/>
      </c>
      <c r="G658" s="6">
        <f>IF($J658="","",IF($J658&lt;=1500,N(INDEX('Daily Sale entry '!$AD$1:$AD$1501,$J658+1)),0))</f>
        <v/>
      </c>
      <c r="H658" s="6">
        <f>IF($J658="","",ROUND('Opening Balance'!$B$4+SUM($F$2:F658)-SUM($G$2:G658),2))</f>
        <v/>
      </c>
      <c r="J658" s="21">
        <f>IFERROR(MATCH(ROW()-1,$L$2:$L$3001,0),"")</f>
        <v/>
      </c>
      <c r="K658" s="34">
        <f>IF(AND('Daily Sale entry '!X658&lt;&gt;"",OR('Daily Sale entry '!AC658&lt;&gt;"",'Daily Sale entry '!AD658&lt;&gt;"")),'Daily Sale entry '!X658+ROW()/10000000,"")</f>
        <v/>
      </c>
      <c r="L658" s="21">
        <f>IF(K658="","",COUNTIF($K$2:$K$3001,"&lt;"&amp;K658)+1)</f>
        <v/>
      </c>
    </row>
    <row r="659">
      <c r="A659" s="5">
        <f>IF($J659="","",IF($J659&lt;=1500,INDEX('Daily Sale entry '!$X$1:$X$1501,$J659+1),INDEX('Daily Sale entry '!$V$1:$V$1501,$J659-1499)))</f>
        <v/>
      </c>
      <c r="B659">
        <f>IF($J659="","",IF($J659&lt;=1500,INDEX('Daily Sale entry '!$Y$1:$Y$1501,$J659+1)&amp;"","Buyer cheque banked 买家支票存入"&amp;IF(INDEX('Daily Sale entry '!$U$1:$U$1501,$J659-1499)="","", " - "&amp;INDEX('Daily Sale entry '!$U$1:$U$1501,$J659-1499))))</f>
        <v/>
      </c>
      <c r="C659">
        <f>IF($J659="","",IF($J659&lt;=1500,INDEX('Daily Sale entry '!$Z$1:$Z$1501,$J659+1)&amp;"","Cheque deposit 支票存入 (buyer 买家)"))</f>
        <v/>
      </c>
      <c r="D659">
        <f>IF($J659="","",IF($J659&lt;=1500,INDEX('Daily Sale entry '!$AA$1:$AA$1501,$J659+1)&amp;"",INDEX('Daily Sale entry '!$P$1:$P$1501,$J659-1499)&amp;""))</f>
        <v/>
      </c>
      <c r="E659">
        <f>IF($J659="","",IF($J659&lt;=1500,IF(N(INDEX('Daily Sale entry '!$AB$1:$AB$1501,$J659+1))=0,"",INDEX('Daily Sale entry '!$AB$1:$AB$1501,$J659+1)),1))</f>
        <v/>
      </c>
      <c r="F659" s="6">
        <f>IF($J659="","",IF($J659&lt;=1500,N(INDEX('Daily Sale entry '!$AC$1:$AC$1501,$J659+1))-IF(AND('Opening Balance'!$B$15=1,INDEX('Daily Sale entry '!$Z$1:$Z$1501,$J659+1)="Online collection 网上收款",INDEX('Daily Sale entry '!$AA$1:$AA$1501,$J659+1)&lt;&gt;""),N(INDEX('Daily Sale entry '!$AC$1:$AC$1501,$J659+1))-TRUNC(N(INDEX('Daily Sale entry '!$AC$1:$AC$1501,$J659+1))),0),N(INDEX('Daily Sale entry '!$S$1:$S$1501,$J659-1499))-'Opening Balance'!$B$15*(N(INDEX('Daily Sale entry '!$S$1:$S$1501,$J659-1499))-TRUNC(N(INDEX('Daily Sale entry '!$S$1:$S$1501,$J659-1499))))))</f>
        <v/>
      </c>
      <c r="G659" s="6">
        <f>IF($J659="","",IF($J659&lt;=1500,N(INDEX('Daily Sale entry '!$AD$1:$AD$1501,$J659+1)),0))</f>
        <v/>
      </c>
      <c r="H659" s="6">
        <f>IF($J659="","",ROUND('Opening Balance'!$B$4+SUM($F$2:F659)-SUM($G$2:G659),2))</f>
        <v/>
      </c>
      <c r="J659" s="21">
        <f>IFERROR(MATCH(ROW()-1,$L$2:$L$3001,0),"")</f>
        <v/>
      </c>
      <c r="K659" s="34">
        <f>IF(AND('Daily Sale entry '!X659&lt;&gt;"",OR('Daily Sale entry '!AC659&lt;&gt;"",'Daily Sale entry '!AD659&lt;&gt;"")),'Daily Sale entry '!X659+ROW()/10000000,"")</f>
        <v/>
      </c>
      <c r="L659" s="21">
        <f>IF(K659="","",COUNTIF($K$2:$K$3001,"&lt;"&amp;K659)+1)</f>
        <v/>
      </c>
    </row>
    <row r="660">
      <c r="A660" s="5">
        <f>IF($J660="","",IF($J660&lt;=1500,INDEX('Daily Sale entry '!$X$1:$X$1501,$J660+1),INDEX('Daily Sale entry '!$V$1:$V$1501,$J660-1499)))</f>
        <v/>
      </c>
      <c r="B660">
        <f>IF($J660="","",IF($J660&lt;=1500,INDEX('Daily Sale entry '!$Y$1:$Y$1501,$J660+1)&amp;"","Buyer cheque banked 买家支票存入"&amp;IF(INDEX('Daily Sale entry '!$U$1:$U$1501,$J660-1499)="","", " - "&amp;INDEX('Daily Sale entry '!$U$1:$U$1501,$J660-1499))))</f>
        <v/>
      </c>
      <c r="C660">
        <f>IF($J660="","",IF($J660&lt;=1500,INDEX('Daily Sale entry '!$Z$1:$Z$1501,$J660+1)&amp;"","Cheque deposit 支票存入 (buyer 买家)"))</f>
        <v/>
      </c>
      <c r="D660">
        <f>IF($J660="","",IF($J660&lt;=1500,INDEX('Daily Sale entry '!$AA$1:$AA$1501,$J660+1)&amp;"",INDEX('Daily Sale entry '!$P$1:$P$1501,$J660-1499)&amp;""))</f>
        <v/>
      </c>
      <c r="E660">
        <f>IF($J660="","",IF($J660&lt;=1500,IF(N(INDEX('Daily Sale entry '!$AB$1:$AB$1501,$J660+1))=0,"",INDEX('Daily Sale entry '!$AB$1:$AB$1501,$J660+1)),1))</f>
        <v/>
      </c>
      <c r="F660" s="6">
        <f>IF($J660="","",IF($J660&lt;=1500,N(INDEX('Daily Sale entry '!$AC$1:$AC$1501,$J660+1))-IF(AND('Opening Balance'!$B$15=1,INDEX('Daily Sale entry '!$Z$1:$Z$1501,$J660+1)="Online collection 网上收款",INDEX('Daily Sale entry '!$AA$1:$AA$1501,$J660+1)&lt;&gt;""),N(INDEX('Daily Sale entry '!$AC$1:$AC$1501,$J660+1))-TRUNC(N(INDEX('Daily Sale entry '!$AC$1:$AC$1501,$J660+1))),0),N(INDEX('Daily Sale entry '!$S$1:$S$1501,$J660-1499))-'Opening Balance'!$B$15*(N(INDEX('Daily Sale entry '!$S$1:$S$1501,$J660-1499))-TRUNC(N(INDEX('Daily Sale entry '!$S$1:$S$1501,$J660-1499))))))</f>
        <v/>
      </c>
      <c r="G660" s="6">
        <f>IF($J660="","",IF($J660&lt;=1500,N(INDEX('Daily Sale entry '!$AD$1:$AD$1501,$J660+1)),0))</f>
        <v/>
      </c>
      <c r="H660" s="6">
        <f>IF($J660="","",ROUND('Opening Balance'!$B$4+SUM($F$2:F660)-SUM($G$2:G660),2))</f>
        <v/>
      </c>
      <c r="J660" s="21">
        <f>IFERROR(MATCH(ROW()-1,$L$2:$L$3001,0),"")</f>
        <v/>
      </c>
      <c r="K660" s="34">
        <f>IF(AND('Daily Sale entry '!X660&lt;&gt;"",OR('Daily Sale entry '!AC660&lt;&gt;"",'Daily Sale entry '!AD660&lt;&gt;"")),'Daily Sale entry '!X660+ROW()/10000000,"")</f>
        <v/>
      </c>
      <c r="L660" s="21">
        <f>IF(K660="","",COUNTIF($K$2:$K$3001,"&lt;"&amp;K660)+1)</f>
        <v/>
      </c>
    </row>
    <row r="661">
      <c r="A661" s="5">
        <f>IF($J661="","",IF($J661&lt;=1500,INDEX('Daily Sale entry '!$X$1:$X$1501,$J661+1),INDEX('Daily Sale entry '!$V$1:$V$1501,$J661-1499)))</f>
        <v/>
      </c>
      <c r="B661">
        <f>IF($J661="","",IF($J661&lt;=1500,INDEX('Daily Sale entry '!$Y$1:$Y$1501,$J661+1)&amp;"","Buyer cheque banked 买家支票存入"&amp;IF(INDEX('Daily Sale entry '!$U$1:$U$1501,$J661-1499)="","", " - "&amp;INDEX('Daily Sale entry '!$U$1:$U$1501,$J661-1499))))</f>
        <v/>
      </c>
      <c r="C661">
        <f>IF($J661="","",IF($J661&lt;=1500,INDEX('Daily Sale entry '!$Z$1:$Z$1501,$J661+1)&amp;"","Cheque deposit 支票存入 (buyer 买家)"))</f>
        <v/>
      </c>
      <c r="D661">
        <f>IF($J661="","",IF($J661&lt;=1500,INDEX('Daily Sale entry '!$AA$1:$AA$1501,$J661+1)&amp;"",INDEX('Daily Sale entry '!$P$1:$P$1501,$J661-1499)&amp;""))</f>
        <v/>
      </c>
      <c r="E661">
        <f>IF($J661="","",IF($J661&lt;=1500,IF(N(INDEX('Daily Sale entry '!$AB$1:$AB$1501,$J661+1))=0,"",INDEX('Daily Sale entry '!$AB$1:$AB$1501,$J661+1)),1))</f>
        <v/>
      </c>
      <c r="F661" s="6">
        <f>IF($J661="","",IF($J661&lt;=1500,N(INDEX('Daily Sale entry '!$AC$1:$AC$1501,$J661+1))-IF(AND('Opening Balance'!$B$15=1,INDEX('Daily Sale entry '!$Z$1:$Z$1501,$J661+1)="Online collection 网上收款",INDEX('Daily Sale entry '!$AA$1:$AA$1501,$J661+1)&lt;&gt;""),N(INDEX('Daily Sale entry '!$AC$1:$AC$1501,$J661+1))-TRUNC(N(INDEX('Daily Sale entry '!$AC$1:$AC$1501,$J661+1))),0),N(INDEX('Daily Sale entry '!$S$1:$S$1501,$J661-1499))-'Opening Balance'!$B$15*(N(INDEX('Daily Sale entry '!$S$1:$S$1501,$J661-1499))-TRUNC(N(INDEX('Daily Sale entry '!$S$1:$S$1501,$J661-1499))))))</f>
        <v/>
      </c>
      <c r="G661" s="6">
        <f>IF($J661="","",IF($J661&lt;=1500,N(INDEX('Daily Sale entry '!$AD$1:$AD$1501,$J661+1)),0))</f>
        <v/>
      </c>
      <c r="H661" s="6">
        <f>IF($J661="","",ROUND('Opening Balance'!$B$4+SUM($F$2:F661)-SUM($G$2:G661),2))</f>
        <v/>
      </c>
      <c r="J661" s="21">
        <f>IFERROR(MATCH(ROW()-1,$L$2:$L$3001,0),"")</f>
        <v/>
      </c>
      <c r="K661" s="34">
        <f>IF(AND('Daily Sale entry '!X661&lt;&gt;"",OR('Daily Sale entry '!AC661&lt;&gt;"",'Daily Sale entry '!AD661&lt;&gt;"")),'Daily Sale entry '!X661+ROW()/10000000,"")</f>
        <v/>
      </c>
      <c r="L661" s="21">
        <f>IF(K661="","",COUNTIF($K$2:$K$3001,"&lt;"&amp;K661)+1)</f>
        <v/>
      </c>
    </row>
    <row r="662">
      <c r="A662" s="5">
        <f>IF($J662="","",IF($J662&lt;=1500,INDEX('Daily Sale entry '!$X$1:$X$1501,$J662+1),INDEX('Daily Sale entry '!$V$1:$V$1501,$J662-1499)))</f>
        <v/>
      </c>
      <c r="B662">
        <f>IF($J662="","",IF($J662&lt;=1500,INDEX('Daily Sale entry '!$Y$1:$Y$1501,$J662+1)&amp;"","Buyer cheque banked 买家支票存入"&amp;IF(INDEX('Daily Sale entry '!$U$1:$U$1501,$J662-1499)="","", " - "&amp;INDEX('Daily Sale entry '!$U$1:$U$1501,$J662-1499))))</f>
        <v/>
      </c>
      <c r="C662">
        <f>IF($J662="","",IF($J662&lt;=1500,INDEX('Daily Sale entry '!$Z$1:$Z$1501,$J662+1)&amp;"","Cheque deposit 支票存入 (buyer 买家)"))</f>
        <v/>
      </c>
      <c r="D662">
        <f>IF($J662="","",IF($J662&lt;=1500,INDEX('Daily Sale entry '!$AA$1:$AA$1501,$J662+1)&amp;"",INDEX('Daily Sale entry '!$P$1:$P$1501,$J662-1499)&amp;""))</f>
        <v/>
      </c>
      <c r="E662">
        <f>IF($J662="","",IF($J662&lt;=1500,IF(N(INDEX('Daily Sale entry '!$AB$1:$AB$1501,$J662+1))=0,"",INDEX('Daily Sale entry '!$AB$1:$AB$1501,$J662+1)),1))</f>
        <v/>
      </c>
      <c r="F662" s="6">
        <f>IF($J662="","",IF($J662&lt;=1500,N(INDEX('Daily Sale entry '!$AC$1:$AC$1501,$J662+1))-IF(AND('Opening Balance'!$B$15=1,INDEX('Daily Sale entry '!$Z$1:$Z$1501,$J662+1)="Online collection 网上收款",INDEX('Daily Sale entry '!$AA$1:$AA$1501,$J662+1)&lt;&gt;""),N(INDEX('Daily Sale entry '!$AC$1:$AC$1501,$J662+1))-TRUNC(N(INDEX('Daily Sale entry '!$AC$1:$AC$1501,$J662+1))),0),N(INDEX('Daily Sale entry '!$S$1:$S$1501,$J662-1499))-'Opening Balance'!$B$15*(N(INDEX('Daily Sale entry '!$S$1:$S$1501,$J662-1499))-TRUNC(N(INDEX('Daily Sale entry '!$S$1:$S$1501,$J662-1499))))))</f>
        <v/>
      </c>
      <c r="G662" s="6">
        <f>IF($J662="","",IF($J662&lt;=1500,N(INDEX('Daily Sale entry '!$AD$1:$AD$1501,$J662+1)),0))</f>
        <v/>
      </c>
      <c r="H662" s="6">
        <f>IF($J662="","",ROUND('Opening Balance'!$B$4+SUM($F$2:F662)-SUM($G$2:G662),2))</f>
        <v/>
      </c>
      <c r="J662" s="21">
        <f>IFERROR(MATCH(ROW()-1,$L$2:$L$3001,0),"")</f>
        <v/>
      </c>
      <c r="K662" s="34">
        <f>IF(AND('Daily Sale entry '!X662&lt;&gt;"",OR('Daily Sale entry '!AC662&lt;&gt;"",'Daily Sale entry '!AD662&lt;&gt;"")),'Daily Sale entry '!X662+ROW()/10000000,"")</f>
        <v/>
      </c>
      <c r="L662" s="21">
        <f>IF(K662="","",COUNTIF($K$2:$K$3001,"&lt;"&amp;K662)+1)</f>
        <v/>
      </c>
    </row>
    <row r="663">
      <c r="A663" s="5">
        <f>IF($J663="","",IF($J663&lt;=1500,INDEX('Daily Sale entry '!$X$1:$X$1501,$J663+1),INDEX('Daily Sale entry '!$V$1:$V$1501,$J663-1499)))</f>
        <v/>
      </c>
      <c r="B663">
        <f>IF($J663="","",IF($J663&lt;=1500,INDEX('Daily Sale entry '!$Y$1:$Y$1501,$J663+1)&amp;"","Buyer cheque banked 买家支票存入"&amp;IF(INDEX('Daily Sale entry '!$U$1:$U$1501,$J663-1499)="","", " - "&amp;INDEX('Daily Sale entry '!$U$1:$U$1501,$J663-1499))))</f>
        <v/>
      </c>
      <c r="C663">
        <f>IF($J663="","",IF($J663&lt;=1500,INDEX('Daily Sale entry '!$Z$1:$Z$1501,$J663+1)&amp;"","Cheque deposit 支票存入 (buyer 买家)"))</f>
        <v/>
      </c>
      <c r="D663">
        <f>IF($J663="","",IF($J663&lt;=1500,INDEX('Daily Sale entry '!$AA$1:$AA$1501,$J663+1)&amp;"",INDEX('Daily Sale entry '!$P$1:$P$1501,$J663-1499)&amp;""))</f>
        <v/>
      </c>
      <c r="E663">
        <f>IF($J663="","",IF($J663&lt;=1500,IF(N(INDEX('Daily Sale entry '!$AB$1:$AB$1501,$J663+1))=0,"",INDEX('Daily Sale entry '!$AB$1:$AB$1501,$J663+1)),1))</f>
        <v/>
      </c>
      <c r="F663" s="6">
        <f>IF($J663="","",IF($J663&lt;=1500,N(INDEX('Daily Sale entry '!$AC$1:$AC$1501,$J663+1))-IF(AND('Opening Balance'!$B$15=1,INDEX('Daily Sale entry '!$Z$1:$Z$1501,$J663+1)="Online collection 网上收款",INDEX('Daily Sale entry '!$AA$1:$AA$1501,$J663+1)&lt;&gt;""),N(INDEX('Daily Sale entry '!$AC$1:$AC$1501,$J663+1))-TRUNC(N(INDEX('Daily Sale entry '!$AC$1:$AC$1501,$J663+1))),0),N(INDEX('Daily Sale entry '!$S$1:$S$1501,$J663-1499))-'Opening Balance'!$B$15*(N(INDEX('Daily Sale entry '!$S$1:$S$1501,$J663-1499))-TRUNC(N(INDEX('Daily Sale entry '!$S$1:$S$1501,$J663-1499))))))</f>
        <v/>
      </c>
      <c r="G663" s="6">
        <f>IF($J663="","",IF($J663&lt;=1500,N(INDEX('Daily Sale entry '!$AD$1:$AD$1501,$J663+1)),0))</f>
        <v/>
      </c>
      <c r="H663" s="6">
        <f>IF($J663="","",ROUND('Opening Balance'!$B$4+SUM($F$2:F663)-SUM($G$2:G663),2))</f>
        <v/>
      </c>
      <c r="J663" s="21">
        <f>IFERROR(MATCH(ROW()-1,$L$2:$L$3001,0),"")</f>
        <v/>
      </c>
      <c r="K663" s="34">
        <f>IF(AND('Daily Sale entry '!X663&lt;&gt;"",OR('Daily Sale entry '!AC663&lt;&gt;"",'Daily Sale entry '!AD663&lt;&gt;"")),'Daily Sale entry '!X663+ROW()/10000000,"")</f>
        <v/>
      </c>
      <c r="L663" s="21">
        <f>IF(K663="","",COUNTIF($K$2:$K$3001,"&lt;"&amp;K663)+1)</f>
        <v/>
      </c>
    </row>
    <row r="664">
      <c r="A664" s="5">
        <f>IF($J664="","",IF($J664&lt;=1500,INDEX('Daily Sale entry '!$X$1:$X$1501,$J664+1),INDEX('Daily Sale entry '!$V$1:$V$1501,$J664-1499)))</f>
        <v/>
      </c>
      <c r="B664">
        <f>IF($J664="","",IF($J664&lt;=1500,INDEX('Daily Sale entry '!$Y$1:$Y$1501,$J664+1)&amp;"","Buyer cheque banked 买家支票存入"&amp;IF(INDEX('Daily Sale entry '!$U$1:$U$1501,$J664-1499)="","", " - "&amp;INDEX('Daily Sale entry '!$U$1:$U$1501,$J664-1499))))</f>
        <v/>
      </c>
      <c r="C664">
        <f>IF($J664="","",IF($J664&lt;=1500,INDEX('Daily Sale entry '!$Z$1:$Z$1501,$J664+1)&amp;"","Cheque deposit 支票存入 (buyer 买家)"))</f>
        <v/>
      </c>
      <c r="D664">
        <f>IF($J664="","",IF($J664&lt;=1500,INDEX('Daily Sale entry '!$AA$1:$AA$1501,$J664+1)&amp;"",INDEX('Daily Sale entry '!$P$1:$P$1501,$J664-1499)&amp;""))</f>
        <v/>
      </c>
      <c r="E664">
        <f>IF($J664="","",IF($J664&lt;=1500,IF(N(INDEX('Daily Sale entry '!$AB$1:$AB$1501,$J664+1))=0,"",INDEX('Daily Sale entry '!$AB$1:$AB$1501,$J664+1)),1))</f>
        <v/>
      </c>
      <c r="F664" s="6">
        <f>IF($J664="","",IF($J664&lt;=1500,N(INDEX('Daily Sale entry '!$AC$1:$AC$1501,$J664+1))-IF(AND('Opening Balance'!$B$15=1,INDEX('Daily Sale entry '!$Z$1:$Z$1501,$J664+1)="Online collection 网上收款",INDEX('Daily Sale entry '!$AA$1:$AA$1501,$J664+1)&lt;&gt;""),N(INDEX('Daily Sale entry '!$AC$1:$AC$1501,$J664+1))-TRUNC(N(INDEX('Daily Sale entry '!$AC$1:$AC$1501,$J664+1))),0),N(INDEX('Daily Sale entry '!$S$1:$S$1501,$J664-1499))-'Opening Balance'!$B$15*(N(INDEX('Daily Sale entry '!$S$1:$S$1501,$J664-1499))-TRUNC(N(INDEX('Daily Sale entry '!$S$1:$S$1501,$J664-1499))))))</f>
        <v/>
      </c>
      <c r="G664" s="6">
        <f>IF($J664="","",IF($J664&lt;=1500,N(INDEX('Daily Sale entry '!$AD$1:$AD$1501,$J664+1)),0))</f>
        <v/>
      </c>
      <c r="H664" s="6">
        <f>IF($J664="","",ROUND('Opening Balance'!$B$4+SUM($F$2:F664)-SUM($G$2:G664),2))</f>
        <v/>
      </c>
      <c r="J664" s="21">
        <f>IFERROR(MATCH(ROW()-1,$L$2:$L$3001,0),"")</f>
        <v/>
      </c>
      <c r="K664" s="34">
        <f>IF(AND('Daily Sale entry '!X664&lt;&gt;"",OR('Daily Sale entry '!AC664&lt;&gt;"",'Daily Sale entry '!AD664&lt;&gt;"")),'Daily Sale entry '!X664+ROW()/10000000,"")</f>
        <v/>
      </c>
      <c r="L664" s="21">
        <f>IF(K664="","",COUNTIF($K$2:$K$3001,"&lt;"&amp;K664)+1)</f>
        <v/>
      </c>
    </row>
    <row r="665">
      <c r="A665" s="5">
        <f>IF($J665="","",IF($J665&lt;=1500,INDEX('Daily Sale entry '!$X$1:$X$1501,$J665+1),INDEX('Daily Sale entry '!$V$1:$V$1501,$J665-1499)))</f>
        <v/>
      </c>
      <c r="B665">
        <f>IF($J665="","",IF($J665&lt;=1500,INDEX('Daily Sale entry '!$Y$1:$Y$1501,$J665+1)&amp;"","Buyer cheque banked 买家支票存入"&amp;IF(INDEX('Daily Sale entry '!$U$1:$U$1501,$J665-1499)="","", " - "&amp;INDEX('Daily Sale entry '!$U$1:$U$1501,$J665-1499))))</f>
        <v/>
      </c>
      <c r="C665">
        <f>IF($J665="","",IF($J665&lt;=1500,INDEX('Daily Sale entry '!$Z$1:$Z$1501,$J665+1)&amp;"","Cheque deposit 支票存入 (buyer 买家)"))</f>
        <v/>
      </c>
      <c r="D665">
        <f>IF($J665="","",IF($J665&lt;=1500,INDEX('Daily Sale entry '!$AA$1:$AA$1501,$J665+1)&amp;"",INDEX('Daily Sale entry '!$P$1:$P$1501,$J665-1499)&amp;""))</f>
        <v/>
      </c>
      <c r="E665">
        <f>IF($J665="","",IF($J665&lt;=1500,IF(N(INDEX('Daily Sale entry '!$AB$1:$AB$1501,$J665+1))=0,"",INDEX('Daily Sale entry '!$AB$1:$AB$1501,$J665+1)),1))</f>
        <v/>
      </c>
      <c r="F665" s="6">
        <f>IF($J665="","",IF($J665&lt;=1500,N(INDEX('Daily Sale entry '!$AC$1:$AC$1501,$J665+1))-IF(AND('Opening Balance'!$B$15=1,INDEX('Daily Sale entry '!$Z$1:$Z$1501,$J665+1)="Online collection 网上收款",INDEX('Daily Sale entry '!$AA$1:$AA$1501,$J665+1)&lt;&gt;""),N(INDEX('Daily Sale entry '!$AC$1:$AC$1501,$J665+1))-TRUNC(N(INDEX('Daily Sale entry '!$AC$1:$AC$1501,$J665+1))),0),N(INDEX('Daily Sale entry '!$S$1:$S$1501,$J665-1499))-'Opening Balance'!$B$15*(N(INDEX('Daily Sale entry '!$S$1:$S$1501,$J665-1499))-TRUNC(N(INDEX('Daily Sale entry '!$S$1:$S$1501,$J665-1499))))))</f>
        <v/>
      </c>
      <c r="G665" s="6">
        <f>IF($J665="","",IF($J665&lt;=1500,N(INDEX('Daily Sale entry '!$AD$1:$AD$1501,$J665+1)),0))</f>
        <v/>
      </c>
      <c r="H665" s="6">
        <f>IF($J665="","",ROUND('Opening Balance'!$B$4+SUM($F$2:F665)-SUM($G$2:G665),2))</f>
        <v/>
      </c>
      <c r="J665" s="21">
        <f>IFERROR(MATCH(ROW()-1,$L$2:$L$3001,0),"")</f>
        <v/>
      </c>
      <c r="K665" s="34">
        <f>IF(AND('Daily Sale entry '!X665&lt;&gt;"",OR('Daily Sale entry '!AC665&lt;&gt;"",'Daily Sale entry '!AD665&lt;&gt;"")),'Daily Sale entry '!X665+ROW()/10000000,"")</f>
        <v/>
      </c>
      <c r="L665" s="21">
        <f>IF(K665="","",COUNTIF($K$2:$K$3001,"&lt;"&amp;K665)+1)</f>
        <v/>
      </c>
    </row>
    <row r="666">
      <c r="A666" s="5">
        <f>IF($J666="","",IF($J666&lt;=1500,INDEX('Daily Sale entry '!$X$1:$X$1501,$J666+1),INDEX('Daily Sale entry '!$V$1:$V$1501,$J666-1499)))</f>
        <v/>
      </c>
      <c r="B666">
        <f>IF($J666="","",IF($J666&lt;=1500,INDEX('Daily Sale entry '!$Y$1:$Y$1501,$J666+1)&amp;"","Buyer cheque banked 买家支票存入"&amp;IF(INDEX('Daily Sale entry '!$U$1:$U$1501,$J666-1499)="","", " - "&amp;INDEX('Daily Sale entry '!$U$1:$U$1501,$J666-1499))))</f>
        <v/>
      </c>
      <c r="C666">
        <f>IF($J666="","",IF($J666&lt;=1500,INDEX('Daily Sale entry '!$Z$1:$Z$1501,$J666+1)&amp;"","Cheque deposit 支票存入 (buyer 买家)"))</f>
        <v/>
      </c>
      <c r="D666">
        <f>IF($J666="","",IF($J666&lt;=1500,INDEX('Daily Sale entry '!$AA$1:$AA$1501,$J666+1)&amp;"",INDEX('Daily Sale entry '!$P$1:$P$1501,$J666-1499)&amp;""))</f>
        <v/>
      </c>
      <c r="E666">
        <f>IF($J666="","",IF($J666&lt;=1500,IF(N(INDEX('Daily Sale entry '!$AB$1:$AB$1501,$J666+1))=0,"",INDEX('Daily Sale entry '!$AB$1:$AB$1501,$J666+1)),1))</f>
        <v/>
      </c>
      <c r="F666" s="6">
        <f>IF($J666="","",IF($J666&lt;=1500,N(INDEX('Daily Sale entry '!$AC$1:$AC$1501,$J666+1))-IF(AND('Opening Balance'!$B$15=1,INDEX('Daily Sale entry '!$Z$1:$Z$1501,$J666+1)="Online collection 网上收款",INDEX('Daily Sale entry '!$AA$1:$AA$1501,$J666+1)&lt;&gt;""),N(INDEX('Daily Sale entry '!$AC$1:$AC$1501,$J666+1))-TRUNC(N(INDEX('Daily Sale entry '!$AC$1:$AC$1501,$J666+1))),0),N(INDEX('Daily Sale entry '!$S$1:$S$1501,$J666-1499))-'Opening Balance'!$B$15*(N(INDEX('Daily Sale entry '!$S$1:$S$1501,$J666-1499))-TRUNC(N(INDEX('Daily Sale entry '!$S$1:$S$1501,$J666-1499))))))</f>
        <v/>
      </c>
      <c r="G666" s="6">
        <f>IF($J666="","",IF($J666&lt;=1500,N(INDEX('Daily Sale entry '!$AD$1:$AD$1501,$J666+1)),0))</f>
        <v/>
      </c>
      <c r="H666" s="6">
        <f>IF($J666="","",ROUND('Opening Balance'!$B$4+SUM($F$2:F666)-SUM($G$2:G666),2))</f>
        <v/>
      </c>
      <c r="J666" s="21">
        <f>IFERROR(MATCH(ROW()-1,$L$2:$L$3001,0),"")</f>
        <v/>
      </c>
      <c r="K666" s="34">
        <f>IF(AND('Daily Sale entry '!X666&lt;&gt;"",OR('Daily Sale entry '!AC666&lt;&gt;"",'Daily Sale entry '!AD666&lt;&gt;"")),'Daily Sale entry '!X666+ROW()/10000000,"")</f>
        <v/>
      </c>
      <c r="L666" s="21">
        <f>IF(K666="","",COUNTIF($K$2:$K$3001,"&lt;"&amp;K666)+1)</f>
        <v/>
      </c>
    </row>
    <row r="667">
      <c r="A667" s="5">
        <f>IF($J667="","",IF($J667&lt;=1500,INDEX('Daily Sale entry '!$X$1:$X$1501,$J667+1),INDEX('Daily Sale entry '!$V$1:$V$1501,$J667-1499)))</f>
        <v/>
      </c>
      <c r="B667">
        <f>IF($J667="","",IF($J667&lt;=1500,INDEX('Daily Sale entry '!$Y$1:$Y$1501,$J667+1)&amp;"","Buyer cheque banked 买家支票存入"&amp;IF(INDEX('Daily Sale entry '!$U$1:$U$1501,$J667-1499)="","", " - "&amp;INDEX('Daily Sale entry '!$U$1:$U$1501,$J667-1499))))</f>
        <v/>
      </c>
      <c r="C667">
        <f>IF($J667="","",IF($J667&lt;=1500,INDEX('Daily Sale entry '!$Z$1:$Z$1501,$J667+1)&amp;"","Cheque deposit 支票存入 (buyer 买家)"))</f>
        <v/>
      </c>
      <c r="D667">
        <f>IF($J667="","",IF($J667&lt;=1500,INDEX('Daily Sale entry '!$AA$1:$AA$1501,$J667+1)&amp;"",INDEX('Daily Sale entry '!$P$1:$P$1501,$J667-1499)&amp;""))</f>
        <v/>
      </c>
      <c r="E667">
        <f>IF($J667="","",IF($J667&lt;=1500,IF(N(INDEX('Daily Sale entry '!$AB$1:$AB$1501,$J667+1))=0,"",INDEX('Daily Sale entry '!$AB$1:$AB$1501,$J667+1)),1))</f>
        <v/>
      </c>
      <c r="F667" s="6">
        <f>IF($J667="","",IF($J667&lt;=1500,N(INDEX('Daily Sale entry '!$AC$1:$AC$1501,$J667+1))-IF(AND('Opening Balance'!$B$15=1,INDEX('Daily Sale entry '!$Z$1:$Z$1501,$J667+1)="Online collection 网上收款",INDEX('Daily Sale entry '!$AA$1:$AA$1501,$J667+1)&lt;&gt;""),N(INDEX('Daily Sale entry '!$AC$1:$AC$1501,$J667+1))-TRUNC(N(INDEX('Daily Sale entry '!$AC$1:$AC$1501,$J667+1))),0),N(INDEX('Daily Sale entry '!$S$1:$S$1501,$J667-1499))-'Opening Balance'!$B$15*(N(INDEX('Daily Sale entry '!$S$1:$S$1501,$J667-1499))-TRUNC(N(INDEX('Daily Sale entry '!$S$1:$S$1501,$J667-1499))))))</f>
        <v/>
      </c>
      <c r="G667" s="6">
        <f>IF($J667="","",IF($J667&lt;=1500,N(INDEX('Daily Sale entry '!$AD$1:$AD$1501,$J667+1)),0))</f>
        <v/>
      </c>
      <c r="H667" s="6">
        <f>IF($J667="","",ROUND('Opening Balance'!$B$4+SUM($F$2:F667)-SUM($G$2:G667),2))</f>
        <v/>
      </c>
      <c r="J667" s="21">
        <f>IFERROR(MATCH(ROW()-1,$L$2:$L$3001,0),"")</f>
        <v/>
      </c>
      <c r="K667" s="34">
        <f>IF(AND('Daily Sale entry '!X667&lt;&gt;"",OR('Daily Sale entry '!AC667&lt;&gt;"",'Daily Sale entry '!AD667&lt;&gt;"")),'Daily Sale entry '!X667+ROW()/10000000,"")</f>
        <v/>
      </c>
      <c r="L667" s="21">
        <f>IF(K667="","",COUNTIF($K$2:$K$3001,"&lt;"&amp;K667)+1)</f>
        <v/>
      </c>
    </row>
    <row r="668">
      <c r="A668" s="5">
        <f>IF($J668="","",IF($J668&lt;=1500,INDEX('Daily Sale entry '!$X$1:$X$1501,$J668+1),INDEX('Daily Sale entry '!$V$1:$V$1501,$J668-1499)))</f>
        <v/>
      </c>
      <c r="B668">
        <f>IF($J668="","",IF($J668&lt;=1500,INDEX('Daily Sale entry '!$Y$1:$Y$1501,$J668+1)&amp;"","Buyer cheque banked 买家支票存入"&amp;IF(INDEX('Daily Sale entry '!$U$1:$U$1501,$J668-1499)="","", " - "&amp;INDEX('Daily Sale entry '!$U$1:$U$1501,$J668-1499))))</f>
        <v/>
      </c>
      <c r="C668">
        <f>IF($J668="","",IF($J668&lt;=1500,INDEX('Daily Sale entry '!$Z$1:$Z$1501,$J668+1)&amp;"","Cheque deposit 支票存入 (buyer 买家)"))</f>
        <v/>
      </c>
      <c r="D668">
        <f>IF($J668="","",IF($J668&lt;=1500,INDEX('Daily Sale entry '!$AA$1:$AA$1501,$J668+1)&amp;"",INDEX('Daily Sale entry '!$P$1:$P$1501,$J668-1499)&amp;""))</f>
        <v/>
      </c>
      <c r="E668">
        <f>IF($J668="","",IF($J668&lt;=1500,IF(N(INDEX('Daily Sale entry '!$AB$1:$AB$1501,$J668+1))=0,"",INDEX('Daily Sale entry '!$AB$1:$AB$1501,$J668+1)),1))</f>
        <v/>
      </c>
      <c r="F668" s="6">
        <f>IF($J668="","",IF($J668&lt;=1500,N(INDEX('Daily Sale entry '!$AC$1:$AC$1501,$J668+1))-IF(AND('Opening Balance'!$B$15=1,INDEX('Daily Sale entry '!$Z$1:$Z$1501,$J668+1)="Online collection 网上收款",INDEX('Daily Sale entry '!$AA$1:$AA$1501,$J668+1)&lt;&gt;""),N(INDEX('Daily Sale entry '!$AC$1:$AC$1501,$J668+1))-TRUNC(N(INDEX('Daily Sale entry '!$AC$1:$AC$1501,$J668+1))),0),N(INDEX('Daily Sale entry '!$S$1:$S$1501,$J668-1499))-'Opening Balance'!$B$15*(N(INDEX('Daily Sale entry '!$S$1:$S$1501,$J668-1499))-TRUNC(N(INDEX('Daily Sale entry '!$S$1:$S$1501,$J668-1499))))))</f>
        <v/>
      </c>
      <c r="G668" s="6">
        <f>IF($J668="","",IF($J668&lt;=1500,N(INDEX('Daily Sale entry '!$AD$1:$AD$1501,$J668+1)),0))</f>
        <v/>
      </c>
      <c r="H668" s="6">
        <f>IF($J668="","",ROUND('Opening Balance'!$B$4+SUM($F$2:F668)-SUM($G$2:G668),2))</f>
        <v/>
      </c>
      <c r="J668" s="21">
        <f>IFERROR(MATCH(ROW()-1,$L$2:$L$3001,0),"")</f>
        <v/>
      </c>
      <c r="K668" s="34">
        <f>IF(AND('Daily Sale entry '!X668&lt;&gt;"",OR('Daily Sale entry '!AC668&lt;&gt;"",'Daily Sale entry '!AD668&lt;&gt;"")),'Daily Sale entry '!X668+ROW()/10000000,"")</f>
        <v/>
      </c>
      <c r="L668" s="21">
        <f>IF(K668="","",COUNTIF($K$2:$K$3001,"&lt;"&amp;K668)+1)</f>
        <v/>
      </c>
    </row>
    <row r="669">
      <c r="A669" s="5">
        <f>IF($J669="","",IF($J669&lt;=1500,INDEX('Daily Sale entry '!$X$1:$X$1501,$J669+1),INDEX('Daily Sale entry '!$V$1:$V$1501,$J669-1499)))</f>
        <v/>
      </c>
      <c r="B669">
        <f>IF($J669="","",IF($J669&lt;=1500,INDEX('Daily Sale entry '!$Y$1:$Y$1501,$J669+1)&amp;"","Buyer cheque banked 买家支票存入"&amp;IF(INDEX('Daily Sale entry '!$U$1:$U$1501,$J669-1499)="","", " - "&amp;INDEX('Daily Sale entry '!$U$1:$U$1501,$J669-1499))))</f>
        <v/>
      </c>
      <c r="C669">
        <f>IF($J669="","",IF($J669&lt;=1500,INDEX('Daily Sale entry '!$Z$1:$Z$1501,$J669+1)&amp;"","Cheque deposit 支票存入 (buyer 买家)"))</f>
        <v/>
      </c>
      <c r="D669">
        <f>IF($J669="","",IF($J669&lt;=1500,INDEX('Daily Sale entry '!$AA$1:$AA$1501,$J669+1)&amp;"",INDEX('Daily Sale entry '!$P$1:$P$1501,$J669-1499)&amp;""))</f>
        <v/>
      </c>
      <c r="E669">
        <f>IF($J669="","",IF($J669&lt;=1500,IF(N(INDEX('Daily Sale entry '!$AB$1:$AB$1501,$J669+1))=0,"",INDEX('Daily Sale entry '!$AB$1:$AB$1501,$J669+1)),1))</f>
        <v/>
      </c>
      <c r="F669" s="6">
        <f>IF($J669="","",IF($J669&lt;=1500,N(INDEX('Daily Sale entry '!$AC$1:$AC$1501,$J669+1))-IF(AND('Opening Balance'!$B$15=1,INDEX('Daily Sale entry '!$Z$1:$Z$1501,$J669+1)="Online collection 网上收款",INDEX('Daily Sale entry '!$AA$1:$AA$1501,$J669+1)&lt;&gt;""),N(INDEX('Daily Sale entry '!$AC$1:$AC$1501,$J669+1))-TRUNC(N(INDEX('Daily Sale entry '!$AC$1:$AC$1501,$J669+1))),0),N(INDEX('Daily Sale entry '!$S$1:$S$1501,$J669-1499))-'Opening Balance'!$B$15*(N(INDEX('Daily Sale entry '!$S$1:$S$1501,$J669-1499))-TRUNC(N(INDEX('Daily Sale entry '!$S$1:$S$1501,$J669-1499))))))</f>
        <v/>
      </c>
      <c r="G669" s="6">
        <f>IF($J669="","",IF($J669&lt;=1500,N(INDEX('Daily Sale entry '!$AD$1:$AD$1501,$J669+1)),0))</f>
        <v/>
      </c>
      <c r="H669" s="6">
        <f>IF($J669="","",ROUND('Opening Balance'!$B$4+SUM($F$2:F669)-SUM($G$2:G669),2))</f>
        <v/>
      </c>
      <c r="J669" s="21">
        <f>IFERROR(MATCH(ROW()-1,$L$2:$L$3001,0),"")</f>
        <v/>
      </c>
      <c r="K669" s="34">
        <f>IF(AND('Daily Sale entry '!X669&lt;&gt;"",OR('Daily Sale entry '!AC669&lt;&gt;"",'Daily Sale entry '!AD669&lt;&gt;"")),'Daily Sale entry '!X669+ROW()/10000000,"")</f>
        <v/>
      </c>
      <c r="L669" s="21">
        <f>IF(K669="","",COUNTIF($K$2:$K$3001,"&lt;"&amp;K669)+1)</f>
        <v/>
      </c>
    </row>
    <row r="670">
      <c r="A670" s="5">
        <f>IF($J670="","",IF($J670&lt;=1500,INDEX('Daily Sale entry '!$X$1:$X$1501,$J670+1),INDEX('Daily Sale entry '!$V$1:$V$1501,$J670-1499)))</f>
        <v/>
      </c>
      <c r="B670">
        <f>IF($J670="","",IF($J670&lt;=1500,INDEX('Daily Sale entry '!$Y$1:$Y$1501,$J670+1)&amp;"","Buyer cheque banked 买家支票存入"&amp;IF(INDEX('Daily Sale entry '!$U$1:$U$1501,$J670-1499)="","", " - "&amp;INDEX('Daily Sale entry '!$U$1:$U$1501,$J670-1499))))</f>
        <v/>
      </c>
      <c r="C670">
        <f>IF($J670="","",IF($J670&lt;=1500,INDEX('Daily Sale entry '!$Z$1:$Z$1501,$J670+1)&amp;"","Cheque deposit 支票存入 (buyer 买家)"))</f>
        <v/>
      </c>
      <c r="D670">
        <f>IF($J670="","",IF($J670&lt;=1500,INDEX('Daily Sale entry '!$AA$1:$AA$1501,$J670+1)&amp;"",INDEX('Daily Sale entry '!$P$1:$P$1501,$J670-1499)&amp;""))</f>
        <v/>
      </c>
      <c r="E670">
        <f>IF($J670="","",IF($J670&lt;=1500,IF(N(INDEX('Daily Sale entry '!$AB$1:$AB$1501,$J670+1))=0,"",INDEX('Daily Sale entry '!$AB$1:$AB$1501,$J670+1)),1))</f>
        <v/>
      </c>
      <c r="F670" s="6">
        <f>IF($J670="","",IF($J670&lt;=1500,N(INDEX('Daily Sale entry '!$AC$1:$AC$1501,$J670+1))-IF(AND('Opening Balance'!$B$15=1,INDEX('Daily Sale entry '!$Z$1:$Z$1501,$J670+1)="Online collection 网上收款",INDEX('Daily Sale entry '!$AA$1:$AA$1501,$J670+1)&lt;&gt;""),N(INDEX('Daily Sale entry '!$AC$1:$AC$1501,$J670+1))-TRUNC(N(INDEX('Daily Sale entry '!$AC$1:$AC$1501,$J670+1))),0),N(INDEX('Daily Sale entry '!$S$1:$S$1501,$J670-1499))-'Opening Balance'!$B$15*(N(INDEX('Daily Sale entry '!$S$1:$S$1501,$J670-1499))-TRUNC(N(INDEX('Daily Sale entry '!$S$1:$S$1501,$J670-1499))))))</f>
        <v/>
      </c>
      <c r="G670" s="6">
        <f>IF($J670="","",IF($J670&lt;=1500,N(INDEX('Daily Sale entry '!$AD$1:$AD$1501,$J670+1)),0))</f>
        <v/>
      </c>
      <c r="H670" s="6">
        <f>IF($J670="","",ROUND('Opening Balance'!$B$4+SUM($F$2:F670)-SUM($G$2:G670),2))</f>
        <v/>
      </c>
      <c r="J670" s="21">
        <f>IFERROR(MATCH(ROW()-1,$L$2:$L$3001,0),"")</f>
        <v/>
      </c>
      <c r="K670" s="34">
        <f>IF(AND('Daily Sale entry '!X670&lt;&gt;"",OR('Daily Sale entry '!AC670&lt;&gt;"",'Daily Sale entry '!AD670&lt;&gt;"")),'Daily Sale entry '!X670+ROW()/10000000,"")</f>
        <v/>
      </c>
      <c r="L670" s="21">
        <f>IF(K670="","",COUNTIF($K$2:$K$3001,"&lt;"&amp;K670)+1)</f>
        <v/>
      </c>
    </row>
    <row r="671">
      <c r="A671" s="5">
        <f>IF($J671="","",IF($J671&lt;=1500,INDEX('Daily Sale entry '!$X$1:$X$1501,$J671+1),INDEX('Daily Sale entry '!$V$1:$V$1501,$J671-1499)))</f>
        <v/>
      </c>
      <c r="B671">
        <f>IF($J671="","",IF($J671&lt;=1500,INDEX('Daily Sale entry '!$Y$1:$Y$1501,$J671+1)&amp;"","Buyer cheque banked 买家支票存入"&amp;IF(INDEX('Daily Sale entry '!$U$1:$U$1501,$J671-1499)="","", " - "&amp;INDEX('Daily Sale entry '!$U$1:$U$1501,$J671-1499))))</f>
        <v/>
      </c>
      <c r="C671">
        <f>IF($J671="","",IF($J671&lt;=1500,INDEX('Daily Sale entry '!$Z$1:$Z$1501,$J671+1)&amp;"","Cheque deposit 支票存入 (buyer 买家)"))</f>
        <v/>
      </c>
      <c r="D671">
        <f>IF($J671="","",IF($J671&lt;=1500,INDEX('Daily Sale entry '!$AA$1:$AA$1501,$J671+1)&amp;"",INDEX('Daily Sale entry '!$P$1:$P$1501,$J671-1499)&amp;""))</f>
        <v/>
      </c>
      <c r="E671">
        <f>IF($J671="","",IF($J671&lt;=1500,IF(N(INDEX('Daily Sale entry '!$AB$1:$AB$1501,$J671+1))=0,"",INDEX('Daily Sale entry '!$AB$1:$AB$1501,$J671+1)),1))</f>
        <v/>
      </c>
      <c r="F671" s="6">
        <f>IF($J671="","",IF($J671&lt;=1500,N(INDEX('Daily Sale entry '!$AC$1:$AC$1501,$J671+1))-IF(AND('Opening Balance'!$B$15=1,INDEX('Daily Sale entry '!$Z$1:$Z$1501,$J671+1)="Online collection 网上收款",INDEX('Daily Sale entry '!$AA$1:$AA$1501,$J671+1)&lt;&gt;""),N(INDEX('Daily Sale entry '!$AC$1:$AC$1501,$J671+1))-TRUNC(N(INDEX('Daily Sale entry '!$AC$1:$AC$1501,$J671+1))),0),N(INDEX('Daily Sale entry '!$S$1:$S$1501,$J671-1499))-'Opening Balance'!$B$15*(N(INDEX('Daily Sale entry '!$S$1:$S$1501,$J671-1499))-TRUNC(N(INDEX('Daily Sale entry '!$S$1:$S$1501,$J671-1499))))))</f>
        <v/>
      </c>
      <c r="G671" s="6">
        <f>IF($J671="","",IF($J671&lt;=1500,N(INDEX('Daily Sale entry '!$AD$1:$AD$1501,$J671+1)),0))</f>
        <v/>
      </c>
      <c r="H671" s="6">
        <f>IF($J671="","",ROUND('Opening Balance'!$B$4+SUM($F$2:F671)-SUM($G$2:G671),2))</f>
        <v/>
      </c>
      <c r="J671" s="21">
        <f>IFERROR(MATCH(ROW()-1,$L$2:$L$3001,0),"")</f>
        <v/>
      </c>
      <c r="K671" s="34">
        <f>IF(AND('Daily Sale entry '!X671&lt;&gt;"",OR('Daily Sale entry '!AC671&lt;&gt;"",'Daily Sale entry '!AD671&lt;&gt;"")),'Daily Sale entry '!X671+ROW()/10000000,"")</f>
        <v/>
      </c>
      <c r="L671" s="21">
        <f>IF(K671="","",COUNTIF($K$2:$K$3001,"&lt;"&amp;K671)+1)</f>
        <v/>
      </c>
    </row>
    <row r="672">
      <c r="A672" s="5">
        <f>IF($J672="","",IF($J672&lt;=1500,INDEX('Daily Sale entry '!$X$1:$X$1501,$J672+1),INDEX('Daily Sale entry '!$V$1:$V$1501,$J672-1499)))</f>
        <v/>
      </c>
      <c r="B672">
        <f>IF($J672="","",IF($J672&lt;=1500,INDEX('Daily Sale entry '!$Y$1:$Y$1501,$J672+1)&amp;"","Buyer cheque banked 买家支票存入"&amp;IF(INDEX('Daily Sale entry '!$U$1:$U$1501,$J672-1499)="","", " - "&amp;INDEX('Daily Sale entry '!$U$1:$U$1501,$J672-1499))))</f>
        <v/>
      </c>
      <c r="C672">
        <f>IF($J672="","",IF($J672&lt;=1500,INDEX('Daily Sale entry '!$Z$1:$Z$1501,$J672+1)&amp;"","Cheque deposit 支票存入 (buyer 买家)"))</f>
        <v/>
      </c>
      <c r="D672">
        <f>IF($J672="","",IF($J672&lt;=1500,INDEX('Daily Sale entry '!$AA$1:$AA$1501,$J672+1)&amp;"",INDEX('Daily Sale entry '!$P$1:$P$1501,$J672-1499)&amp;""))</f>
        <v/>
      </c>
      <c r="E672">
        <f>IF($J672="","",IF($J672&lt;=1500,IF(N(INDEX('Daily Sale entry '!$AB$1:$AB$1501,$J672+1))=0,"",INDEX('Daily Sale entry '!$AB$1:$AB$1501,$J672+1)),1))</f>
        <v/>
      </c>
      <c r="F672" s="6">
        <f>IF($J672="","",IF($J672&lt;=1500,N(INDEX('Daily Sale entry '!$AC$1:$AC$1501,$J672+1))-IF(AND('Opening Balance'!$B$15=1,INDEX('Daily Sale entry '!$Z$1:$Z$1501,$J672+1)="Online collection 网上收款",INDEX('Daily Sale entry '!$AA$1:$AA$1501,$J672+1)&lt;&gt;""),N(INDEX('Daily Sale entry '!$AC$1:$AC$1501,$J672+1))-TRUNC(N(INDEX('Daily Sale entry '!$AC$1:$AC$1501,$J672+1))),0),N(INDEX('Daily Sale entry '!$S$1:$S$1501,$J672-1499))-'Opening Balance'!$B$15*(N(INDEX('Daily Sale entry '!$S$1:$S$1501,$J672-1499))-TRUNC(N(INDEX('Daily Sale entry '!$S$1:$S$1501,$J672-1499))))))</f>
        <v/>
      </c>
      <c r="G672" s="6">
        <f>IF($J672="","",IF($J672&lt;=1500,N(INDEX('Daily Sale entry '!$AD$1:$AD$1501,$J672+1)),0))</f>
        <v/>
      </c>
      <c r="H672" s="6">
        <f>IF($J672="","",ROUND('Opening Balance'!$B$4+SUM($F$2:F672)-SUM($G$2:G672),2))</f>
        <v/>
      </c>
      <c r="J672" s="21">
        <f>IFERROR(MATCH(ROW()-1,$L$2:$L$3001,0),"")</f>
        <v/>
      </c>
      <c r="K672" s="34">
        <f>IF(AND('Daily Sale entry '!X672&lt;&gt;"",OR('Daily Sale entry '!AC672&lt;&gt;"",'Daily Sale entry '!AD672&lt;&gt;"")),'Daily Sale entry '!X672+ROW()/10000000,"")</f>
        <v/>
      </c>
      <c r="L672" s="21">
        <f>IF(K672="","",COUNTIF($K$2:$K$3001,"&lt;"&amp;K672)+1)</f>
        <v/>
      </c>
    </row>
    <row r="673">
      <c r="A673" s="5">
        <f>IF($J673="","",IF($J673&lt;=1500,INDEX('Daily Sale entry '!$X$1:$X$1501,$J673+1),INDEX('Daily Sale entry '!$V$1:$V$1501,$J673-1499)))</f>
        <v/>
      </c>
      <c r="B673">
        <f>IF($J673="","",IF($J673&lt;=1500,INDEX('Daily Sale entry '!$Y$1:$Y$1501,$J673+1)&amp;"","Buyer cheque banked 买家支票存入"&amp;IF(INDEX('Daily Sale entry '!$U$1:$U$1501,$J673-1499)="","", " - "&amp;INDEX('Daily Sale entry '!$U$1:$U$1501,$J673-1499))))</f>
        <v/>
      </c>
      <c r="C673">
        <f>IF($J673="","",IF($J673&lt;=1500,INDEX('Daily Sale entry '!$Z$1:$Z$1501,$J673+1)&amp;"","Cheque deposit 支票存入 (buyer 买家)"))</f>
        <v/>
      </c>
      <c r="D673">
        <f>IF($J673="","",IF($J673&lt;=1500,INDEX('Daily Sale entry '!$AA$1:$AA$1501,$J673+1)&amp;"",INDEX('Daily Sale entry '!$P$1:$P$1501,$J673-1499)&amp;""))</f>
        <v/>
      </c>
      <c r="E673">
        <f>IF($J673="","",IF($J673&lt;=1500,IF(N(INDEX('Daily Sale entry '!$AB$1:$AB$1501,$J673+1))=0,"",INDEX('Daily Sale entry '!$AB$1:$AB$1501,$J673+1)),1))</f>
        <v/>
      </c>
      <c r="F673" s="6">
        <f>IF($J673="","",IF($J673&lt;=1500,N(INDEX('Daily Sale entry '!$AC$1:$AC$1501,$J673+1))-IF(AND('Opening Balance'!$B$15=1,INDEX('Daily Sale entry '!$Z$1:$Z$1501,$J673+1)="Online collection 网上收款",INDEX('Daily Sale entry '!$AA$1:$AA$1501,$J673+1)&lt;&gt;""),N(INDEX('Daily Sale entry '!$AC$1:$AC$1501,$J673+1))-TRUNC(N(INDEX('Daily Sale entry '!$AC$1:$AC$1501,$J673+1))),0),N(INDEX('Daily Sale entry '!$S$1:$S$1501,$J673-1499))-'Opening Balance'!$B$15*(N(INDEX('Daily Sale entry '!$S$1:$S$1501,$J673-1499))-TRUNC(N(INDEX('Daily Sale entry '!$S$1:$S$1501,$J673-1499))))))</f>
        <v/>
      </c>
      <c r="G673" s="6">
        <f>IF($J673="","",IF($J673&lt;=1500,N(INDEX('Daily Sale entry '!$AD$1:$AD$1501,$J673+1)),0))</f>
        <v/>
      </c>
      <c r="H673" s="6">
        <f>IF($J673="","",ROUND('Opening Balance'!$B$4+SUM($F$2:F673)-SUM($G$2:G673),2))</f>
        <v/>
      </c>
      <c r="J673" s="21">
        <f>IFERROR(MATCH(ROW()-1,$L$2:$L$3001,0),"")</f>
        <v/>
      </c>
      <c r="K673" s="34">
        <f>IF(AND('Daily Sale entry '!X673&lt;&gt;"",OR('Daily Sale entry '!AC673&lt;&gt;"",'Daily Sale entry '!AD673&lt;&gt;"")),'Daily Sale entry '!X673+ROW()/10000000,"")</f>
        <v/>
      </c>
      <c r="L673" s="21">
        <f>IF(K673="","",COUNTIF($K$2:$K$3001,"&lt;"&amp;K673)+1)</f>
        <v/>
      </c>
    </row>
    <row r="674">
      <c r="A674" s="5">
        <f>IF($J674="","",IF($J674&lt;=1500,INDEX('Daily Sale entry '!$X$1:$X$1501,$J674+1),INDEX('Daily Sale entry '!$V$1:$V$1501,$J674-1499)))</f>
        <v/>
      </c>
      <c r="B674">
        <f>IF($J674="","",IF($J674&lt;=1500,INDEX('Daily Sale entry '!$Y$1:$Y$1501,$J674+1)&amp;"","Buyer cheque banked 买家支票存入"&amp;IF(INDEX('Daily Sale entry '!$U$1:$U$1501,$J674-1499)="","", " - "&amp;INDEX('Daily Sale entry '!$U$1:$U$1501,$J674-1499))))</f>
        <v/>
      </c>
      <c r="C674">
        <f>IF($J674="","",IF($J674&lt;=1500,INDEX('Daily Sale entry '!$Z$1:$Z$1501,$J674+1)&amp;"","Cheque deposit 支票存入 (buyer 买家)"))</f>
        <v/>
      </c>
      <c r="D674">
        <f>IF($J674="","",IF($J674&lt;=1500,INDEX('Daily Sale entry '!$AA$1:$AA$1501,$J674+1)&amp;"",INDEX('Daily Sale entry '!$P$1:$P$1501,$J674-1499)&amp;""))</f>
        <v/>
      </c>
      <c r="E674">
        <f>IF($J674="","",IF($J674&lt;=1500,IF(N(INDEX('Daily Sale entry '!$AB$1:$AB$1501,$J674+1))=0,"",INDEX('Daily Sale entry '!$AB$1:$AB$1501,$J674+1)),1))</f>
        <v/>
      </c>
      <c r="F674" s="6">
        <f>IF($J674="","",IF($J674&lt;=1500,N(INDEX('Daily Sale entry '!$AC$1:$AC$1501,$J674+1))-IF(AND('Opening Balance'!$B$15=1,INDEX('Daily Sale entry '!$Z$1:$Z$1501,$J674+1)="Online collection 网上收款",INDEX('Daily Sale entry '!$AA$1:$AA$1501,$J674+1)&lt;&gt;""),N(INDEX('Daily Sale entry '!$AC$1:$AC$1501,$J674+1))-TRUNC(N(INDEX('Daily Sale entry '!$AC$1:$AC$1501,$J674+1))),0),N(INDEX('Daily Sale entry '!$S$1:$S$1501,$J674-1499))-'Opening Balance'!$B$15*(N(INDEX('Daily Sale entry '!$S$1:$S$1501,$J674-1499))-TRUNC(N(INDEX('Daily Sale entry '!$S$1:$S$1501,$J674-1499))))))</f>
        <v/>
      </c>
      <c r="G674" s="6">
        <f>IF($J674="","",IF($J674&lt;=1500,N(INDEX('Daily Sale entry '!$AD$1:$AD$1501,$J674+1)),0))</f>
        <v/>
      </c>
      <c r="H674" s="6">
        <f>IF($J674="","",ROUND('Opening Balance'!$B$4+SUM($F$2:F674)-SUM($G$2:G674),2))</f>
        <v/>
      </c>
      <c r="J674" s="21">
        <f>IFERROR(MATCH(ROW()-1,$L$2:$L$3001,0),"")</f>
        <v/>
      </c>
      <c r="K674" s="34">
        <f>IF(AND('Daily Sale entry '!X674&lt;&gt;"",OR('Daily Sale entry '!AC674&lt;&gt;"",'Daily Sale entry '!AD674&lt;&gt;"")),'Daily Sale entry '!X674+ROW()/10000000,"")</f>
        <v/>
      </c>
      <c r="L674" s="21">
        <f>IF(K674="","",COUNTIF($K$2:$K$3001,"&lt;"&amp;K674)+1)</f>
        <v/>
      </c>
    </row>
    <row r="675">
      <c r="A675" s="5">
        <f>IF($J675="","",IF($J675&lt;=1500,INDEX('Daily Sale entry '!$X$1:$X$1501,$J675+1),INDEX('Daily Sale entry '!$V$1:$V$1501,$J675-1499)))</f>
        <v/>
      </c>
      <c r="B675">
        <f>IF($J675="","",IF($J675&lt;=1500,INDEX('Daily Sale entry '!$Y$1:$Y$1501,$J675+1)&amp;"","Buyer cheque banked 买家支票存入"&amp;IF(INDEX('Daily Sale entry '!$U$1:$U$1501,$J675-1499)="","", " - "&amp;INDEX('Daily Sale entry '!$U$1:$U$1501,$J675-1499))))</f>
        <v/>
      </c>
      <c r="C675">
        <f>IF($J675="","",IF($J675&lt;=1500,INDEX('Daily Sale entry '!$Z$1:$Z$1501,$J675+1)&amp;"","Cheque deposit 支票存入 (buyer 买家)"))</f>
        <v/>
      </c>
      <c r="D675">
        <f>IF($J675="","",IF($J675&lt;=1500,INDEX('Daily Sale entry '!$AA$1:$AA$1501,$J675+1)&amp;"",INDEX('Daily Sale entry '!$P$1:$P$1501,$J675-1499)&amp;""))</f>
        <v/>
      </c>
      <c r="E675">
        <f>IF($J675="","",IF($J675&lt;=1500,IF(N(INDEX('Daily Sale entry '!$AB$1:$AB$1501,$J675+1))=0,"",INDEX('Daily Sale entry '!$AB$1:$AB$1501,$J675+1)),1))</f>
        <v/>
      </c>
      <c r="F675" s="6">
        <f>IF($J675="","",IF($J675&lt;=1500,N(INDEX('Daily Sale entry '!$AC$1:$AC$1501,$J675+1))-IF(AND('Opening Balance'!$B$15=1,INDEX('Daily Sale entry '!$Z$1:$Z$1501,$J675+1)="Online collection 网上收款",INDEX('Daily Sale entry '!$AA$1:$AA$1501,$J675+1)&lt;&gt;""),N(INDEX('Daily Sale entry '!$AC$1:$AC$1501,$J675+1))-TRUNC(N(INDEX('Daily Sale entry '!$AC$1:$AC$1501,$J675+1))),0),N(INDEX('Daily Sale entry '!$S$1:$S$1501,$J675-1499))-'Opening Balance'!$B$15*(N(INDEX('Daily Sale entry '!$S$1:$S$1501,$J675-1499))-TRUNC(N(INDEX('Daily Sale entry '!$S$1:$S$1501,$J675-1499))))))</f>
        <v/>
      </c>
      <c r="G675" s="6">
        <f>IF($J675="","",IF($J675&lt;=1500,N(INDEX('Daily Sale entry '!$AD$1:$AD$1501,$J675+1)),0))</f>
        <v/>
      </c>
      <c r="H675" s="6">
        <f>IF($J675="","",ROUND('Opening Balance'!$B$4+SUM($F$2:F675)-SUM($G$2:G675),2))</f>
        <v/>
      </c>
      <c r="J675" s="21">
        <f>IFERROR(MATCH(ROW()-1,$L$2:$L$3001,0),"")</f>
        <v/>
      </c>
      <c r="K675" s="34">
        <f>IF(AND('Daily Sale entry '!X675&lt;&gt;"",OR('Daily Sale entry '!AC675&lt;&gt;"",'Daily Sale entry '!AD675&lt;&gt;"")),'Daily Sale entry '!X675+ROW()/10000000,"")</f>
        <v/>
      </c>
      <c r="L675" s="21">
        <f>IF(K675="","",COUNTIF($K$2:$K$3001,"&lt;"&amp;K675)+1)</f>
        <v/>
      </c>
    </row>
    <row r="676">
      <c r="A676" s="5">
        <f>IF($J676="","",IF($J676&lt;=1500,INDEX('Daily Sale entry '!$X$1:$X$1501,$J676+1),INDEX('Daily Sale entry '!$V$1:$V$1501,$J676-1499)))</f>
        <v/>
      </c>
      <c r="B676">
        <f>IF($J676="","",IF($J676&lt;=1500,INDEX('Daily Sale entry '!$Y$1:$Y$1501,$J676+1)&amp;"","Buyer cheque banked 买家支票存入"&amp;IF(INDEX('Daily Sale entry '!$U$1:$U$1501,$J676-1499)="","", " - "&amp;INDEX('Daily Sale entry '!$U$1:$U$1501,$J676-1499))))</f>
        <v/>
      </c>
      <c r="C676">
        <f>IF($J676="","",IF($J676&lt;=1500,INDEX('Daily Sale entry '!$Z$1:$Z$1501,$J676+1)&amp;"","Cheque deposit 支票存入 (buyer 买家)"))</f>
        <v/>
      </c>
      <c r="D676">
        <f>IF($J676="","",IF($J676&lt;=1500,INDEX('Daily Sale entry '!$AA$1:$AA$1501,$J676+1)&amp;"",INDEX('Daily Sale entry '!$P$1:$P$1501,$J676-1499)&amp;""))</f>
        <v/>
      </c>
      <c r="E676">
        <f>IF($J676="","",IF($J676&lt;=1500,IF(N(INDEX('Daily Sale entry '!$AB$1:$AB$1501,$J676+1))=0,"",INDEX('Daily Sale entry '!$AB$1:$AB$1501,$J676+1)),1))</f>
        <v/>
      </c>
      <c r="F676" s="6">
        <f>IF($J676="","",IF($J676&lt;=1500,N(INDEX('Daily Sale entry '!$AC$1:$AC$1501,$J676+1))-IF(AND('Opening Balance'!$B$15=1,INDEX('Daily Sale entry '!$Z$1:$Z$1501,$J676+1)="Online collection 网上收款",INDEX('Daily Sale entry '!$AA$1:$AA$1501,$J676+1)&lt;&gt;""),N(INDEX('Daily Sale entry '!$AC$1:$AC$1501,$J676+1))-TRUNC(N(INDEX('Daily Sale entry '!$AC$1:$AC$1501,$J676+1))),0),N(INDEX('Daily Sale entry '!$S$1:$S$1501,$J676-1499))-'Opening Balance'!$B$15*(N(INDEX('Daily Sale entry '!$S$1:$S$1501,$J676-1499))-TRUNC(N(INDEX('Daily Sale entry '!$S$1:$S$1501,$J676-1499))))))</f>
        <v/>
      </c>
      <c r="G676" s="6">
        <f>IF($J676="","",IF($J676&lt;=1500,N(INDEX('Daily Sale entry '!$AD$1:$AD$1501,$J676+1)),0))</f>
        <v/>
      </c>
      <c r="H676" s="6">
        <f>IF($J676="","",ROUND('Opening Balance'!$B$4+SUM($F$2:F676)-SUM($G$2:G676),2))</f>
        <v/>
      </c>
      <c r="J676" s="21">
        <f>IFERROR(MATCH(ROW()-1,$L$2:$L$3001,0),"")</f>
        <v/>
      </c>
      <c r="K676" s="34">
        <f>IF(AND('Daily Sale entry '!X676&lt;&gt;"",OR('Daily Sale entry '!AC676&lt;&gt;"",'Daily Sale entry '!AD676&lt;&gt;"")),'Daily Sale entry '!X676+ROW()/10000000,"")</f>
        <v/>
      </c>
      <c r="L676" s="21">
        <f>IF(K676="","",COUNTIF($K$2:$K$3001,"&lt;"&amp;K676)+1)</f>
        <v/>
      </c>
    </row>
    <row r="677">
      <c r="A677" s="5">
        <f>IF($J677="","",IF($J677&lt;=1500,INDEX('Daily Sale entry '!$X$1:$X$1501,$J677+1),INDEX('Daily Sale entry '!$V$1:$V$1501,$J677-1499)))</f>
        <v/>
      </c>
      <c r="B677">
        <f>IF($J677="","",IF($J677&lt;=1500,INDEX('Daily Sale entry '!$Y$1:$Y$1501,$J677+1)&amp;"","Buyer cheque banked 买家支票存入"&amp;IF(INDEX('Daily Sale entry '!$U$1:$U$1501,$J677-1499)="","", " - "&amp;INDEX('Daily Sale entry '!$U$1:$U$1501,$J677-1499))))</f>
        <v/>
      </c>
      <c r="C677">
        <f>IF($J677="","",IF($J677&lt;=1500,INDEX('Daily Sale entry '!$Z$1:$Z$1501,$J677+1)&amp;"","Cheque deposit 支票存入 (buyer 买家)"))</f>
        <v/>
      </c>
      <c r="D677">
        <f>IF($J677="","",IF($J677&lt;=1500,INDEX('Daily Sale entry '!$AA$1:$AA$1501,$J677+1)&amp;"",INDEX('Daily Sale entry '!$P$1:$P$1501,$J677-1499)&amp;""))</f>
        <v/>
      </c>
      <c r="E677">
        <f>IF($J677="","",IF($J677&lt;=1500,IF(N(INDEX('Daily Sale entry '!$AB$1:$AB$1501,$J677+1))=0,"",INDEX('Daily Sale entry '!$AB$1:$AB$1501,$J677+1)),1))</f>
        <v/>
      </c>
      <c r="F677" s="6">
        <f>IF($J677="","",IF($J677&lt;=1500,N(INDEX('Daily Sale entry '!$AC$1:$AC$1501,$J677+1))-IF(AND('Opening Balance'!$B$15=1,INDEX('Daily Sale entry '!$Z$1:$Z$1501,$J677+1)="Online collection 网上收款",INDEX('Daily Sale entry '!$AA$1:$AA$1501,$J677+1)&lt;&gt;""),N(INDEX('Daily Sale entry '!$AC$1:$AC$1501,$J677+1))-TRUNC(N(INDEX('Daily Sale entry '!$AC$1:$AC$1501,$J677+1))),0),N(INDEX('Daily Sale entry '!$S$1:$S$1501,$J677-1499))-'Opening Balance'!$B$15*(N(INDEX('Daily Sale entry '!$S$1:$S$1501,$J677-1499))-TRUNC(N(INDEX('Daily Sale entry '!$S$1:$S$1501,$J677-1499))))))</f>
        <v/>
      </c>
      <c r="G677" s="6">
        <f>IF($J677="","",IF($J677&lt;=1500,N(INDEX('Daily Sale entry '!$AD$1:$AD$1501,$J677+1)),0))</f>
        <v/>
      </c>
      <c r="H677" s="6">
        <f>IF($J677="","",ROUND('Opening Balance'!$B$4+SUM($F$2:F677)-SUM($G$2:G677),2))</f>
        <v/>
      </c>
      <c r="J677" s="21">
        <f>IFERROR(MATCH(ROW()-1,$L$2:$L$3001,0),"")</f>
        <v/>
      </c>
      <c r="K677" s="34">
        <f>IF(AND('Daily Sale entry '!X677&lt;&gt;"",OR('Daily Sale entry '!AC677&lt;&gt;"",'Daily Sale entry '!AD677&lt;&gt;"")),'Daily Sale entry '!X677+ROW()/10000000,"")</f>
        <v/>
      </c>
      <c r="L677" s="21">
        <f>IF(K677="","",COUNTIF($K$2:$K$3001,"&lt;"&amp;K677)+1)</f>
        <v/>
      </c>
    </row>
    <row r="678">
      <c r="A678" s="5">
        <f>IF($J678="","",IF($J678&lt;=1500,INDEX('Daily Sale entry '!$X$1:$X$1501,$J678+1),INDEX('Daily Sale entry '!$V$1:$V$1501,$J678-1499)))</f>
        <v/>
      </c>
      <c r="B678">
        <f>IF($J678="","",IF($J678&lt;=1500,INDEX('Daily Sale entry '!$Y$1:$Y$1501,$J678+1)&amp;"","Buyer cheque banked 买家支票存入"&amp;IF(INDEX('Daily Sale entry '!$U$1:$U$1501,$J678-1499)="","", " - "&amp;INDEX('Daily Sale entry '!$U$1:$U$1501,$J678-1499))))</f>
        <v/>
      </c>
      <c r="C678">
        <f>IF($J678="","",IF($J678&lt;=1500,INDEX('Daily Sale entry '!$Z$1:$Z$1501,$J678+1)&amp;"","Cheque deposit 支票存入 (buyer 买家)"))</f>
        <v/>
      </c>
      <c r="D678">
        <f>IF($J678="","",IF($J678&lt;=1500,INDEX('Daily Sale entry '!$AA$1:$AA$1501,$J678+1)&amp;"",INDEX('Daily Sale entry '!$P$1:$P$1501,$J678-1499)&amp;""))</f>
        <v/>
      </c>
      <c r="E678">
        <f>IF($J678="","",IF($J678&lt;=1500,IF(N(INDEX('Daily Sale entry '!$AB$1:$AB$1501,$J678+1))=0,"",INDEX('Daily Sale entry '!$AB$1:$AB$1501,$J678+1)),1))</f>
        <v/>
      </c>
      <c r="F678" s="6">
        <f>IF($J678="","",IF($J678&lt;=1500,N(INDEX('Daily Sale entry '!$AC$1:$AC$1501,$J678+1))-IF(AND('Opening Balance'!$B$15=1,INDEX('Daily Sale entry '!$Z$1:$Z$1501,$J678+1)="Online collection 网上收款",INDEX('Daily Sale entry '!$AA$1:$AA$1501,$J678+1)&lt;&gt;""),N(INDEX('Daily Sale entry '!$AC$1:$AC$1501,$J678+1))-TRUNC(N(INDEX('Daily Sale entry '!$AC$1:$AC$1501,$J678+1))),0),N(INDEX('Daily Sale entry '!$S$1:$S$1501,$J678-1499))-'Opening Balance'!$B$15*(N(INDEX('Daily Sale entry '!$S$1:$S$1501,$J678-1499))-TRUNC(N(INDEX('Daily Sale entry '!$S$1:$S$1501,$J678-1499))))))</f>
        <v/>
      </c>
      <c r="G678" s="6">
        <f>IF($J678="","",IF($J678&lt;=1500,N(INDEX('Daily Sale entry '!$AD$1:$AD$1501,$J678+1)),0))</f>
        <v/>
      </c>
      <c r="H678" s="6">
        <f>IF($J678="","",ROUND('Opening Balance'!$B$4+SUM($F$2:F678)-SUM($G$2:G678),2))</f>
        <v/>
      </c>
      <c r="J678" s="21">
        <f>IFERROR(MATCH(ROW()-1,$L$2:$L$3001,0),"")</f>
        <v/>
      </c>
      <c r="K678" s="34">
        <f>IF(AND('Daily Sale entry '!X678&lt;&gt;"",OR('Daily Sale entry '!AC678&lt;&gt;"",'Daily Sale entry '!AD678&lt;&gt;"")),'Daily Sale entry '!X678+ROW()/10000000,"")</f>
        <v/>
      </c>
      <c r="L678" s="21">
        <f>IF(K678="","",COUNTIF($K$2:$K$3001,"&lt;"&amp;K678)+1)</f>
        <v/>
      </c>
    </row>
    <row r="679">
      <c r="A679" s="5">
        <f>IF($J679="","",IF($J679&lt;=1500,INDEX('Daily Sale entry '!$X$1:$X$1501,$J679+1),INDEX('Daily Sale entry '!$V$1:$V$1501,$J679-1499)))</f>
        <v/>
      </c>
      <c r="B679">
        <f>IF($J679="","",IF($J679&lt;=1500,INDEX('Daily Sale entry '!$Y$1:$Y$1501,$J679+1)&amp;"","Buyer cheque banked 买家支票存入"&amp;IF(INDEX('Daily Sale entry '!$U$1:$U$1501,$J679-1499)="","", " - "&amp;INDEX('Daily Sale entry '!$U$1:$U$1501,$J679-1499))))</f>
        <v/>
      </c>
      <c r="C679">
        <f>IF($J679="","",IF($J679&lt;=1500,INDEX('Daily Sale entry '!$Z$1:$Z$1501,$J679+1)&amp;"","Cheque deposit 支票存入 (buyer 买家)"))</f>
        <v/>
      </c>
      <c r="D679">
        <f>IF($J679="","",IF($J679&lt;=1500,INDEX('Daily Sale entry '!$AA$1:$AA$1501,$J679+1)&amp;"",INDEX('Daily Sale entry '!$P$1:$P$1501,$J679-1499)&amp;""))</f>
        <v/>
      </c>
      <c r="E679">
        <f>IF($J679="","",IF($J679&lt;=1500,IF(N(INDEX('Daily Sale entry '!$AB$1:$AB$1501,$J679+1))=0,"",INDEX('Daily Sale entry '!$AB$1:$AB$1501,$J679+1)),1))</f>
        <v/>
      </c>
      <c r="F679" s="6">
        <f>IF($J679="","",IF($J679&lt;=1500,N(INDEX('Daily Sale entry '!$AC$1:$AC$1501,$J679+1))-IF(AND('Opening Balance'!$B$15=1,INDEX('Daily Sale entry '!$Z$1:$Z$1501,$J679+1)="Online collection 网上收款",INDEX('Daily Sale entry '!$AA$1:$AA$1501,$J679+1)&lt;&gt;""),N(INDEX('Daily Sale entry '!$AC$1:$AC$1501,$J679+1))-TRUNC(N(INDEX('Daily Sale entry '!$AC$1:$AC$1501,$J679+1))),0),N(INDEX('Daily Sale entry '!$S$1:$S$1501,$J679-1499))-'Opening Balance'!$B$15*(N(INDEX('Daily Sale entry '!$S$1:$S$1501,$J679-1499))-TRUNC(N(INDEX('Daily Sale entry '!$S$1:$S$1501,$J679-1499))))))</f>
        <v/>
      </c>
      <c r="G679" s="6">
        <f>IF($J679="","",IF($J679&lt;=1500,N(INDEX('Daily Sale entry '!$AD$1:$AD$1501,$J679+1)),0))</f>
        <v/>
      </c>
      <c r="H679" s="6">
        <f>IF($J679="","",ROUND('Opening Balance'!$B$4+SUM($F$2:F679)-SUM($G$2:G679),2))</f>
        <v/>
      </c>
      <c r="J679" s="21">
        <f>IFERROR(MATCH(ROW()-1,$L$2:$L$3001,0),"")</f>
        <v/>
      </c>
      <c r="K679" s="34">
        <f>IF(AND('Daily Sale entry '!X679&lt;&gt;"",OR('Daily Sale entry '!AC679&lt;&gt;"",'Daily Sale entry '!AD679&lt;&gt;"")),'Daily Sale entry '!X679+ROW()/10000000,"")</f>
        <v/>
      </c>
      <c r="L679" s="21">
        <f>IF(K679="","",COUNTIF($K$2:$K$3001,"&lt;"&amp;K679)+1)</f>
        <v/>
      </c>
    </row>
    <row r="680">
      <c r="A680" s="5">
        <f>IF($J680="","",IF($J680&lt;=1500,INDEX('Daily Sale entry '!$X$1:$X$1501,$J680+1),INDEX('Daily Sale entry '!$V$1:$V$1501,$J680-1499)))</f>
        <v/>
      </c>
      <c r="B680">
        <f>IF($J680="","",IF($J680&lt;=1500,INDEX('Daily Sale entry '!$Y$1:$Y$1501,$J680+1)&amp;"","Buyer cheque banked 买家支票存入"&amp;IF(INDEX('Daily Sale entry '!$U$1:$U$1501,$J680-1499)="","", " - "&amp;INDEX('Daily Sale entry '!$U$1:$U$1501,$J680-1499))))</f>
        <v/>
      </c>
      <c r="C680">
        <f>IF($J680="","",IF($J680&lt;=1500,INDEX('Daily Sale entry '!$Z$1:$Z$1501,$J680+1)&amp;"","Cheque deposit 支票存入 (buyer 买家)"))</f>
        <v/>
      </c>
      <c r="D680">
        <f>IF($J680="","",IF($J680&lt;=1500,INDEX('Daily Sale entry '!$AA$1:$AA$1501,$J680+1)&amp;"",INDEX('Daily Sale entry '!$P$1:$P$1501,$J680-1499)&amp;""))</f>
        <v/>
      </c>
      <c r="E680">
        <f>IF($J680="","",IF($J680&lt;=1500,IF(N(INDEX('Daily Sale entry '!$AB$1:$AB$1501,$J680+1))=0,"",INDEX('Daily Sale entry '!$AB$1:$AB$1501,$J680+1)),1))</f>
        <v/>
      </c>
      <c r="F680" s="6">
        <f>IF($J680="","",IF($J680&lt;=1500,N(INDEX('Daily Sale entry '!$AC$1:$AC$1501,$J680+1))-IF(AND('Opening Balance'!$B$15=1,INDEX('Daily Sale entry '!$Z$1:$Z$1501,$J680+1)="Online collection 网上收款",INDEX('Daily Sale entry '!$AA$1:$AA$1501,$J680+1)&lt;&gt;""),N(INDEX('Daily Sale entry '!$AC$1:$AC$1501,$J680+1))-TRUNC(N(INDEX('Daily Sale entry '!$AC$1:$AC$1501,$J680+1))),0),N(INDEX('Daily Sale entry '!$S$1:$S$1501,$J680-1499))-'Opening Balance'!$B$15*(N(INDEX('Daily Sale entry '!$S$1:$S$1501,$J680-1499))-TRUNC(N(INDEX('Daily Sale entry '!$S$1:$S$1501,$J680-1499))))))</f>
        <v/>
      </c>
      <c r="G680" s="6">
        <f>IF($J680="","",IF($J680&lt;=1500,N(INDEX('Daily Sale entry '!$AD$1:$AD$1501,$J680+1)),0))</f>
        <v/>
      </c>
      <c r="H680" s="6">
        <f>IF($J680="","",ROUND('Opening Balance'!$B$4+SUM($F$2:F680)-SUM($G$2:G680),2))</f>
        <v/>
      </c>
      <c r="J680" s="21">
        <f>IFERROR(MATCH(ROW()-1,$L$2:$L$3001,0),"")</f>
        <v/>
      </c>
      <c r="K680" s="34">
        <f>IF(AND('Daily Sale entry '!X680&lt;&gt;"",OR('Daily Sale entry '!AC680&lt;&gt;"",'Daily Sale entry '!AD680&lt;&gt;"")),'Daily Sale entry '!X680+ROW()/10000000,"")</f>
        <v/>
      </c>
      <c r="L680" s="21">
        <f>IF(K680="","",COUNTIF($K$2:$K$3001,"&lt;"&amp;K680)+1)</f>
        <v/>
      </c>
    </row>
    <row r="681">
      <c r="A681" s="5">
        <f>IF($J681="","",IF($J681&lt;=1500,INDEX('Daily Sale entry '!$X$1:$X$1501,$J681+1),INDEX('Daily Sale entry '!$V$1:$V$1501,$J681-1499)))</f>
        <v/>
      </c>
      <c r="B681">
        <f>IF($J681="","",IF($J681&lt;=1500,INDEX('Daily Sale entry '!$Y$1:$Y$1501,$J681+1)&amp;"","Buyer cheque banked 买家支票存入"&amp;IF(INDEX('Daily Sale entry '!$U$1:$U$1501,$J681-1499)="","", " - "&amp;INDEX('Daily Sale entry '!$U$1:$U$1501,$J681-1499))))</f>
        <v/>
      </c>
      <c r="C681">
        <f>IF($J681="","",IF($J681&lt;=1500,INDEX('Daily Sale entry '!$Z$1:$Z$1501,$J681+1)&amp;"","Cheque deposit 支票存入 (buyer 买家)"))</f>
        <v/>
      </c>
      <c r="D681">
        <f>IF($J681="","",IF($J681&lt;=1500,INDEX('Daily Sale entry '!$AA$1:$AA$1501,$J681+1)&amp;"",INDEX('Daily Sale entry '!$P$1:$P$1501,$J681-1499)&amp;""))</f>
        <v/>
      </c>
      <c r="E681">
        <f>IF($J681="","",IF($J681&lt;=1500,IF(N(INDEX('Daily Sale entry '!$AB$1:$AB$1501,$J681+1))=0,"",INDEX('Daily Sale entry '!$AB$1:$AB$1501,$J681+1)),1))</f>
        <v/>
      </c>
      <c r="F681" s="6">
        <f>IF($J681="","",IF($J681&lt;=1500,N(INDEX('Daily Sale entry '!$AC$1:$AC$1501,$J681+1))-IF(AND('Opening Balance'!$B$15=1,INDEX('Daily Sale entry '!$Z$1:$Z$1501,$J681+1)="Online collection 网上收款",INDEX('Daily Sale entry '!$AA$1:$AA$1501,$J681+1)&lt;&gt;""),N(INDEX('Daily Sale entry '!$AC$1:$AC$1501,$J681+1))-TRUNC(N(INDEX('Daily Sale entry '!$AC$1:$AC$1501,$J681+1))),0),N(INDEX('Daily Sale entry '!$S$1:$S$1501,$J681-1499))-'Opening Balance'!$B$15*(N(INDEX('Daily Sale entry '!$S$1:$S$1501,$J681-1499))-TRUNC(N(INDEX('Daily Sale entry '!$S$1:$S$1501,$J681-1499))))))</f>
        <v/>
      </c>
      <c r="G681" s="6">
        <f>IF($J681="","",IF($J681&lt;=1500,N(INDEX('Daily Sale entry '!$AD$1:$AD$1501,$J681+1)),0))</f>
        <v/>
      </c>
      <c r="H681" s="6">
        <f>IF($J681="","",ROUND('Opening Balance'!$B$4+SUM($F$2:F681)-SUM($G$2:G681),2))</f>
        <v/>
      </c>
      <c r="J681" s="21">
        <f>IFERROR(MATCH(ROW()-1,$L$2:$L$3001,0),"")</f>
        <v/>
      </c>
      <c r="K681" s="34">
        <f>IF(AND('Daily Sale entry '!X681&lt;&gt;"",OR('Daily Sale entry '!AC681&lt;&gt;"",'Daily Sale entry '!AD681&lt;&gt;"")),'Daily Sale entry '!X681+ROW()/10000000,"")</f>
        <v/>
      </c>
      <c r="L681" s="21">
        <f>IF(K681="","",COUNTIF($K$2:$K$3001,"&lt;"&amp;K681)+1)</f>
        <v/>
      </c>
    </row>
    <row r="682">
      <c r="A682" s="5">
        <f>IF($J682="","",IF($J682&lt;=1500,INDEX('Daily Sale entry '!$X$1:$X$1501,$J682+1),INDEX('Daily Sale entry '!$V$1:$V$1501,$J682-1499)))</f>
        <v/>
      </c>
      <c r="B682">
        <f>IF($J682="","",IF($J682&lt;=1500,INDEX('Daily Sale entry '!$Y$1:$Y$1501,$J682+1)&amp;"","Buyer cheque banked 买家支票存入"&amp;IF(INDEX('Daily Sale entry '!$U$1:$U$1501,$J682-1499)="","", " - "&amp;INDEX('Daily Sale entry '!$U$1:$U$1501,$J682-1499))))</f>
        <v/>
      </c>
      <c r="C682">
        <f>IF($J682="","",IF($J682&lt;=1500,INDEX('Daily Sale entry '!$Z$1:$Z$1501,$J682+1)&amp;"","Cheque deposit 支票存入 (buyer 买家)"))</f>
        <v/>
      </c>
      <c r="D682">
        <f>IF($J682="","",IF($J682&lt;=1500,INDEX('Daily Sale entry '!$AA$1:$AA$1501,$J682+1)&amp;"",INDEX('Daily Sale entry '!$P$1:$P$1501,$J682-1499)&amp;""))</f>
        <v/>
      </c>
      <c r="E682">
        <f>IF($J682="","",IF($J682&lt;=1500,IF(N(INDEX('Daily Sale entry '!$AB$1:$AB$1501,$J682+1))=0,"",INDEX('Daily Sale entry '!$AB$1:$AB$1501,$J682+1)),1))</f>
        <v/>
      </c>
      <c r="F682" s="6">
        <f>IF($J682="","",IF($J682&lt;=1500,N(INDEX('Daily Sale entry '!$AC$1:$AC$1501,$J682+1))-IF(AND('Opening Balance'!$B$15=1,INDEX('Daily Sale entry '!$Z$1:$Z$1501,$J682+1)="Online collection 网上收款",INDEX('Daily Sale entry '!$AA$1:$AA$1501,$J682+1)&lt;&gt;""),N(INDEX('Daily Sale entry '!$AC$1:$AC$1501,$J682+1))-TRUNC(N(INDEX('Daily Sale entry '!$AC$1:$AC$1501,$J682+1))),0),N(INDEX('Daily Sale entry '!$S$1:$S$1501,$J682-1499))-'Opening Balance'!$B$15*(N(INDEX('Daily Sale entry '!$S$1:$S$1501,$J682-1499))-TRUNC(N(INDEX('Daily Sale entry '!$S$1:$S$1501,$J682-1499))))))</f>
        <v/>
      </c>
      <c r="G682" s="6">
        <f>IF($J682="","",IF($J682&lt;=1500,N(INDEX('Daily Sale entry '!$AD$1:$AD$1501,$J682+1)),0))</f>
        <v/>
      </c>
      <c r="H682" s="6">
        <f>IF($J682="","",ROUND('Opening Balance'!$B$4+SUM($F$2:F682)-SUM($G$2:G682),2))</f>
        <v/>
      </c>
      <c r="J682" s="21">
        <f>IFERROR(MATCH(ROW()-1,$L$2:$L$3001,0),"")</f>
        <v/>
      </c>
      <c r="K682" s="34">
        <f>IF(AND('Daily Sale entry '!X682&lt;&gt;"",OR('Daily Sale entry '!AC682&lt;&gt;"",'Daily Sale entry '!AD682&lt;&gt;"")),'Daily Sale entry '!X682+ROW()/10000000,"")</f>
        <v/>
      </c>
      <c r="L682" s="21">
        <f>IF(K682="","",COUNTIF($K$2:$K$3001,"&lt;"&amp;K682)+1)</f>
        <v/>
      </c>
    </row>
    <row r="683">
      <c r="A683" s="5">
        <f>IF($J683="","",IF($J683&lt;=1500,INDEX('Daily Sale entry '!$X$1:$X$1501,$J683+1),INDEX('Daily Sale entry '!$V$1:$V$1501,$J683-1499)))</f>
        <v/>
      </c>
      <c r="B683">
        <f>IF($J683="","",IF($J683&lt;=1500,INDEX('Daily Sale entry '!$Y$1:$Y$1501,$J683+1)&amp;"","Buyer cheque banked 买家支票存入"&amp;IF(INDEX('Daily Sale entry '!$U$1:$U$1501,$J683-1499)="","", " - "&amp;INDEX('Daily Sale entry '!$U$1:$U$1501,$J683-1499))))</f>
        <v/>
      </c>
      <c r="C683">
        <f>IF($J683="","",IF($J683&lt;=1500,INDEX('Daily Sale entry '!$Z$1:$Z$1501,$J683+1)&amp;"","Cheque deposit 支票存入 (buyer 买家)"))</f>
        <v/>
      </c>
      <c r="D683">
        <f>IF($J683="","",IF($J683&lt;=1500,INDEX('Daily Sale entry '!$AA$1:$AA$1501,$J683+1)&amp;"",INDEX('Daily Sale entry '!$P$1:$P$1501,$J683-1499)&amp;""))</f>
        <v/>
      </c>
      <c r="E683">
        <f>IF($J683="","",IF($J683&lt;=1500,IF(N(INDEX('Daily Sale entry '!$AB$1:$AB$1501,$J683+1))=0,"",INDEX('Daily Sale entry '!$AB$1:$AB$1501,$J683+1)),1))</f>
        <v/>
      </c>
      <c r="F683" s="6">
        <f>IF($J683="","",IF($J683&lt;=1500,N(INDEX('Daily Sale entry '!$AC$1:$AC$1501,$J683+1))-IF(AND('Opening Balance'!$B$15=1,INDEX('Daily Sale entry '!$Z$1:$Z$1501,$J683+1)="Online collection 网上收款",INDEX('Daily Sale entry '!$AA$1:$AA$1501,$J683+1)&lt;&gt;""),N(INDEX('Daily Sale entry '!$AC$1:$AC$1501,$J683+1))-TRUNC(N(INDEX('Daily Sale entry '!$AC$1:$AC$1501,$J683+1))),0),N(INDEX('Daily Sale entry '!$S$1:$S$1501,$J683-1499))-'Opening Balance'!$B$15*(N(INDEX('Daily Sale entry '!$S$1:$S$1501,$J683-1499))-TRUNC(N(INDEX('Daily Sale entry '!$S$1:$S$1501,$J683-1499))))))</f>
        <v/>
      </c>
      <c r="G683" s="6">
        <f>IF($J683="","",IF($J683&lt;=1500,N(INDEX('Daily Sale entry '!$AD$1:$AD$1501,$J683+1)),0))</f>
        <v/>
      </c>
      <c r="H683" s="6">
        <f>IF($J683="","",ROUND('Opening Balance'!$B$4+SUM($F$2:F683)-SUM($G$2:G683),2))</f>
        <v/>
      </c>
      <c r="J683" s="21">
        <f>IFERROR(MATCH(ROW()-1,$L$2:$L$3001,0),"")</f>
        <v/>
      </c>
      <c r="K683" s="34">
        <f>IF(AND('Daily Sale entry '!X683&lt;&gt;"",OR('Daily Sale entry '!AC683&lt;&gt;"",'Daily Sale entry '!AD683&lt;&gt;"")),'Daily Sale entry '!X683+ROW()/10000000,"")</f>
        <v/>
      </c>
      <c r="L683" s="21">
        <f>IF(K683="","",COUNTIF($K$2:$K$3001,"&lt;"&amp;K683)+1)</f>
        <v/>
      </c>
    </row>
    <row r="684">
      <c r="A684" s="5">
        <f>IF($J684="","",IF($J684&lt;=1500,INDEX('Daily Sale entry '!$X$1:$X$1501,$J684+1),INDEX('Daily Sale entry '!$V$1:$V$1501,$J684-1499)))</f>
        <v/>
      </c>
      <c r="B684">
        <f>IF($J684="","",IF($J684&lt;=1500,INDEX('Daily Sale entry '!$Y$1:$Y$1501,$J684+1)&amp;"","Buyer cheque banked 买家支票存入"&amp;IF(INDEX('Daily Sale entry '!$U$1:$U$1501,$J684-1499)="","", " - "&amp;INDEX('Daily Sale entry '!$U$1:$U$1501,$J684-1499))))</f>
        <v/>
      </c>
      <c r="C684">
        <f>IF($J684="","",IF($J684&lt;=1500,INDEX('Daily Sale entry '!$Z$1:$Z$1501,$J684+1)&amp;"","Cheque deposit 支票存入 (buyer 买家)"))</f>
        <v/>
      </c>
      <c r="D684">
        <f>IF($J684="","",IF($J684&lt;=1500,INDEX('Daily Sale entry '!$AA$1:$AA$1501,$J684+1)&amp;"",INDEX('Daily Sale entry '!$P$1:$P$1501,$J684-1499)&amp;""))</f>
        <v/>
      </c>
      <c r="E684">
        <f>IF($J684="","",IF($J684&lt;=1500,IF(N(INDEX('Daily Sale entry '!$AB$1:$AB$1501,$J684+1))=0,"",INDEX('Daily Sale entry '!$AB$1:$AB$1501,$J684+1)),1))</f>
        <v/>
      </c>
      <c r="F684" s="6">
        <f>IF($J684="","",IF($J684&lt;=1500,N(INDEX('Daily Sale entry '!$AC$1:$AC$1501,$J684+1))-IF(AND('Opening Balance'!$B$15=1,INDEX('Daily Sale entry '!$Z$1:$Z$1501,$J684+1)="Online collection 网上收款",INDEX('Daily Sale entry '!$AA$1:$AA$1501,$J684+1)&lt;&gt;""),N(INDEX('Daily Sale entry '!$AC$1:$AC$1501,$J684+1))-TRUNC(N(INDEX('Daily Sale entry '!$AC$1:$AC$1501,$J684+1))),0),N(INDEX('Daily Sale entry '!$S$1:$S$1501,$J684-1499))-'Opening Balance'!$B$15*(N(INDEX('Daily Sale entry '!$S$1:$S$1501,$J684-1499))-TRUNC(N(INDEX('Daily Sale entry '!$S$1:$S$1501,$J684-1499))))))</f>
        <v/>
      </c>
      <c r="G684" s="6">
        <f>IF($J684="","",IF($J684&lt;=1500,N(INDEX('Daily Sale entry '!$AD$1:$AD$1501,$J684+1)),0))</f>
        <v/>
      </c>
      <c r="H684" s="6">
        <f>IF($J684="","",ROUND('Opening Balance'!$B$4+SUM($F$2:F684)-SUM($G$2:G684),2))</f>
        <v/>
      </c>
      <c r="J684" s="21">
        <f>IFERROR(MATCH(ROW()-1,$L$2:$L$3001,0),"")</f>
        <v/>
      </c>
      <c r="K684" s="34">
        <f>IF(AND('Daily Sale entry '!X684&lt;&gt;"",OR('Daily Sale entry '!AC684&lt;&gt;"",'Daily Sale entry '!AD684&lt;&gt;"")),'Daily Sale entry '!X684+ROW()/10000000,"")</f>
        <v/>
      </c>
      <c r="L684" s="21">
        <f>IF(K684="","",COUNTIF($K$2:$K$3001,"&lt;"&amp;K684)+1)</f>
        <v/>
      </c>
    </row>
    <row r="685">
      <c r="A685" s="5">
        <f>IF($J685="","",IF($J685&lt;=1500,INDEX('Daily Sale entry '!$X$1:$X$1501,$J685+1),INDEX('Daily Sale entry '!$V$1:$V$1501,$J685-1499)))</f>
        <v/>
      </c>
      <c r="B685">
        <f>IF($J685="","",IF($J685&lt;=1500,INDEX('Daily Sale entry '!$Y$1:$Y$1501,$J685+1)&amp;"","Buyer cheque banked 买家支票存入"&amp;IF(INDEX('Daily Sale entry '!$U$1:$U$1501,$J685-1499)="","", " - "&amp;INDEX('Daily Sale entry '!$U$1:$U$1501,$J685-1499))))</f>
        <v/>
      </c>
      <c r="C685">
        <f>IF($J685="","",IF($J685&lt;=1500,INDEX('Daily Sale entry '!$Z$1:$Z$1501,$J685+1)&amp;"","Cheque deposit 支票存入 (buyer 买家)"))</f>
        <v/>
      </c>
      <c r="D685">
        <f>IF($J685="","",IF($J685&lt;=1500,INDEX('Daily Sale entry '!$AA$1:$AA$1501,$J685+1)&amp;"",INDEX('Daily Sale entry '!$P$1:$P$1501,$J685-1499)&amp;""))</f>
        <v/>
      </c>
      <c r="E685">
        <f>IF($J685="","",IF($J685&lt;=1500,IF(N(INDEX('Daily Sale entry '!$AB$1:$AB$1501,$J685+1))=0,"",INDEX('Daily Sale entry '!$AB$1:$AB$1501,$J685+1)),1))</f>
        <v/>
      </c>
      <c r="F685" s="6">
        <f>IF($J685="","",IF($J685&lt;=1500,N(INDEX('Daily Sale entry '!$AC$1:$AC$1501,$J685+1))-IF(AND('Opening Balance'!$B$15=1,INDEX('Daily Sale entry '!$Z$1:$Z$1501,$J685+1)="Online collection 网上收款",INDEX('Daily Sale entry '!$AA$1:$AA$1501,$J685+1)&lt;&gt;""),N(INDEX('Daily Sale entry '!$AC$1:$AC$1501,$J685+1))-TRUNC(N(INDEX('Daily Sale entry '!$AC$1:$AC$1501,$J685+1))),0),N(INDEX('Daily Sale entry '!$S$1:$S$1501,$J685-1499))-'Opening Balance'!$B$15*(N(INDEX('Daily Sale entry '!$S$1:$S$1501,$J685-1499))-TRUNC(N(INDEX('Daily Sale entry '!$S$1:$S$1501,$J685-1499))))))</f>
        <v/>
      </c>
      <c r="G685" s="6">
        <f>IF($J685="","",IF($J685&lt;=1500,N(INDEX('Daily Sale entry '!$AD$1:$AD$1501,$J685+1)),0))</f>
        <v/>
      </c>
      <c r="H685" s="6">
        <f>IF($J685="","",ROUND('Opening Balance'!$B$4+SUM($F$2:F685)-SUM($G$2:G685),2))</f>
        <v/>
      </c>
      <c r="J685" s="21">
        <f>IFERROR(MATCH(ROW()-1,$L$2:$L$3001,0),"")</f>
        <v/>
      </c>
      <c r="K685" s="34">
        <f>IF(AND('Daily Sale entry '!X685&lt;&gt;"",OR('Daily Sale entry '!AC685&lt;&gt;"",'Daily Sale entry '!AD685&lt;&gt;"")),'Daily Sale entry '!X685+ROW()/10000000,"")</f>
        <v/>
      </c>
      <c r="L685" s="21">
        <f>IF(K685="","",COUNTIF($K$2:$K$3001,"&lt;"&amp;K685)+1)</f>
        <v/>
      </c>
    </row>
    <row r="686">
      <c r="A686" s="5">
        <f>IF($J686="","",IF($J686&lt;=1500,INDEX('Daily Sale entry '!$X$1:$X$1501,$J686+1),INDEX('Daily Sale entry '!$V$1:$V$1501,$J686-1499)))</f>
        <v/>
      </c>
      <c r="B686">
        <f>IF($J686="","",IF($J686&lt;=1500,INDEX('Daily Sale entry '!$Y$1:$Y$1501,$J686+1)&amp;"","Buyer cheque banked 买家支票存入"&amp;IF(INDEX('Daily Sale entry '!$U$1:$U$1501,$J686-1499)="","", " - "&amp;INDEX('Daily Sale entry '!$U$1:$U$1501,$J686-1499))))</f>
        <v/>
      </c>
      <c r="C686">
        <f>IF($J686="","",IF($J686&lt;=1500,INDEX('Daily Sale entry '!$Z$1:$Z$1501,$J686+1)&amp;"","Cheque deposit 支票存入 (buyer 买家)"))</f>
        <v/>
      </c>
      <c r="D686">
        <f>IF($J686="","",IF($J686&lt;=1500,INDEX('Daily Sale entry '!$AA$1:$AA$1501,$J686+1)&amp;"",INDEX('Daily Sale entry '!$P$1:$P$1501,$J686-1499)&amp;""))</f>
        <v/>
      </c>
      <c r="E686">
        <f>IF($J686="","",IF($J686&lt;=1500,IF(N(INDEX('Daily Sale entry '!$AB$1:$AB$1501,$J686+1))=0,"",INDEX('Daily Sale entry '!$AB$1:$AB$1501,$J686+1)),1))</f>
        <v/>
      </c>
      <c r="F686" s="6">
        <f>IF($J686="","",IF($J686&lt;=1500,N(INDEX('Daily Sale entry '!$AC$1:$AC$1501,$J686+1))-IF(AND('Opening Balance'!$B$15=1,INDEX('Daily Sale entry '!$Z$1:$Z$1501,$J686+1)="Online collection 网上收款",INDEX('Daily Sale entry '!$AA$1:$AA$1501,$J686+1)&lt;&gt;""),N(INDEX('Daily Sale entry '!$AC$1:$AC$1501,$J686+1))-TRUNC(N(INDEX('Daily Sale entry '!$AC$1:$AC$1501,$J686+1))),0),N(INDEX('Daily Sale entry '!$S$1:$S$1501,$J686-1499))-'Opening Balance'!$B$15*(N(INDEX('Daily Sale entry '!$S$1:$S$1501,$J686-1499))-TRUNC(N(INDEX('Daily Sale entry '!$S$1:$S$1501,$J686-1499))))))</f>
        <v/>
      </c>
      <c r="G686" s="6">
        <f>IF($J686="","",IF($J686&lt;=1500,N(INDEX('Daily Sale entry '!$AD$1:$AD$1501,$J686+1)),0))</f>
        <v/>
      </c>
      <c r="H686" s="6">
        <f>IF($J686="","",ROUND('Opening Balance'!$B$4+SUM($F$2:F686)-SUM($G$2:G686),2))</f>
        <v/>
      </c>
      <c r="J686" s="21">
        <f>IFERROR(MATCH(ROW()-1,$L$2:$L$3001,0),"")</f>
        <v/>
      </c>
      <c r="K686" s="34">
        <f>IF(AND('Daily Sale entry '!X686&lt;&gt;"",OR('Daily Sale entry '!AC686&lt;&gt;"",'Daily Sale entry '!AD686&lt;&gt;"")),'Daily Sale entry '!X686+ROW()/10000000,"")</f>
        <v/>
      </c>
      <c r="L686" s="21">
        <f>IF(K686="","",COUNTIF($K$2:$K$3001,"&lt;"&amp;K686)+1)</f>
        <v/>
      </c>
    </row>
    <row r="687">
      <c r="A687" s="5">
        <f>IF($J687="","",IF($J687&lt;=1500,INDEX('Daily Sale entry '!$X$1:$X$1501,$J687+1),INDEX('Daily Sale entry '!$V$1:$V$1501,$J687-1499)))</f>
        <v/>
      </c>
      <c r="B687">
        <f>IF($J687="","",IF($J687&lt;=1500,INDEX('Daily Sale entry '!$Y$1:$Y$1501,$J687+1)&amp;"","Buyer cheque banked 买家支票存入"&amp;IF(INDEX('Daily Sale entry '!$U$1:$U$1501,$J687-1499)="","", " - "&amp;INDEX('Daily Sale entry '!$U$1:$U$1501,$J687-1499))))</f>
        <v/>
      </c>
      <c r="C687">
        <f>IF($J687="","",IF($J687&lt;=1500,INDEX('Daily Sale entry '!$Z$1:$Z$1501,$J687+1)&amp;"","Cheque deposit 支票存入 (buyer 买家)"))</f>
        <v/>
      </c>
      <c r="D687">
        <f>IF($J687="","",IF($J687&lt;=1500,INDEX('Daily Sale entry '!$AA$1:$AA$1501,$J687+1)&amp;"",INDEX('Daily Sale entry '!$P$1:$P$1501,$J687-1499)&amp;""))</f>
        <v/>
      </c>
      <c r="E687">
        <f>IF($J687="","",IF($J687&lt;=1500,IF(N(INDEX('Daily Sale entry '!$AB$1:$AB$1501,$J687+1))=0,"",INDEX('Daily Sale entry '!$AB$1:$AB$1501,$J687+1)),1))</f>
        <v/>
      </c>
      <c r="F687" s="6">
        <f>IF($J687="","",IF($J687&lt;=1500,N(INDEX('Daily Sale entry '!$AC$1:$AC$1501,$J687+1))-IF(AND('Opening Balance'!$B$15=1,INDEX('Daily Sale entry '!$Z$1:$Z$1501,$J687+1)="Online collection 网上收款",INDEX('Daily Sale entry '!$AA$1:$AA$1501,$J687+1)&lt;&gt;""),N(INDEX('Daily Sale entry '!$AC$1:$AC$1501,$J687+1))-TRUNC(N(INDEX('Daily Sale entry '!$AC$1:$AC$1501,$J687+1))),0),N(INDEX('Daily Sale entry '!$S$1:$S$1501,$J687-1499))-'Opening Balance'!$B$15*(N(INDEX('Daily Sale entry '!$S$1:$S$1501,$J687-1499))-TRUNC(N(INDEX('Daily Sale entry '!$S$1:$S$1501,$J687-1499))))))</f>
        <v/>
      </c>
      <c r="G687" s="6">
        <f>IF($J687="","",IF($J687&lt;=1500,N(INDEX('Daily Sale entry '!$AD$1:$AD$1501,$J687+1)),0))</f>
        <v/>
      </c>
      <c r="H687" s="6">
        <f>IF($J687="","",ROUND('Opening Balance'!$B$4+SUM($F$2:F687)-SUM($G$2:G687),2))</f>
        <v/>
      </c>
      <c r="J687" s="21">
        <f>IFERROR(MATCH(ROW()-1,$L$2:$L$3001,0),"")</f>
        <v/>
      </c>
      <c r="K687" s="34">
        <f>IF(AND('Daily Sale entry '!X687&lt;&gt;"",OR('Daily Sale entry '!AC687&lt;&gt;"",'Daily Sale entry '!AD687&lt;&gt;"")),'Daily Sale entry '!X687+ROW()/10000000,"")</f>
        <v/>
      </c>
      <c r="L687" s="21">
        <f>IF(K687="","",COUNTIF($K$2:$K$3001,"&lt;"&amp;K687)+1)</f>
        <v/>
      </c>
    </row>
    <row r="688">
      <c r="A688" s="5">
        <f>IF($J688="","",IF($J688&lt;=1500,INDEX('Daily Sale entry '!$X$1:$X$1501,$J688+1),INDEX('Daily Sale entry '!$V$1:$V$1501,$J688-1499)))</f>
        <v/>
      </c>
      <c r="B688">
        <f>IF($J688="","",IF($J688&lt;=1500,INDEX('Daily Sale entry '!$Y$1:$Y$1501,$J688+1)&amp;"","Buyer cheque banked 买家支票存入"&amp;IF(INDEX('Daily Sale entry '!$U$1:$U$1501,$J688-1499)="","", " - "&amp;INDEX('Daily Sale entry '!$U$1:$U$1501,$J688-1499))))</f>
        <v/>
      </c>
      <c r="C688">
        <f>IF($J688="","",IF($J688&lt;=1500,INDEX('Daily Sale entry '!$Z$1:$Z$1501,$J688+1)&amp;"","Cheque deposit 支票存入 (buyer 买家)"))</f>
        <v/>
      </c>
      <c r="D688">
        <f>IF($J688="","",IF($J688&lt;=1500,INDEX('Daily Sale entry '!$AA$1:$AA$1501,$J688+1)&amp;"",INDEX('Daily Sale entry '!$P$1:$P$1501,$J688-1499)&amp;""))</f>
        <v/>
      </c>
      <c r="E688">
        <f>IF($J688="","",IF($J688&lt;=1500,IF(N(INDEX('Daily Sale entry '!$AB$1:$AB$1501,$J688+1))=0,"",INDEX('Daily Sale entry '!$AB$1:$AB$1501,$J688+1)),1))</f>
        <v/>
      </c>
      <c r="F688" s="6">
        <f>IF($J688="","",IF($J688&lt;=1500,N(INDEX('Daily Sale entry '!$AC$1:$AC$1501,$J688+1))-IF(AND('Opening Balance'!$B$15=1,INDEX('Daily Sale entry '!$Z$1:$Z$1501,$J688+1)="Online collection 网上收款",INDEX('Daily Sale entry '!$AA$1:$AA$1501,$J688+1)&lt;&gt;""),N(INDEX('Daily Sale entry '!$AC$1:$AC$1501,$J688+1))-TRUNC(N(INDEX('Daily Sale entry '!$AC$1:$AC$1501,$J688+1))),0),N(INDEX('Daily Sale entry '!$S$1:$S$1501,$J688-1499))-'Opening Balance'!$B$15*(N(INDEX('Daily Sale entry '!$S$1:$S$1501,$J688-1499))-TRUNC(N(INDEX('Daily Sale entry '!$S$1:$S$1501,$J688-1499))))))</f>
        <v/>
      </c>
      <c r="G688" s="6">
        <f>IF($J688="","",IF($J688&lt;=1500,N(INDEX('Daily Sale entry '!$AD$1:$AD$1501,$J688+1)),0))</f>
        <v/>
      </c>
      <c r="H688" s="6">
        <f>IF($J688="","",ROUND('Opening Balance'!$B$4+SUM($F$2:F688)-SUM($G$2:G688),2))</f>
        <v/>
      </c>
      <c r="J688" s="21">
        <f>IFERROR(MATCH(ROW()-1,$L$2:$L$3001,0),"")</f>
        <v/>
      </c>
      <c r="K688" s="34">
        <f>IF(AND('Daily Sale entry '!X688&lt;&gt;"",OR('Daily Sale entry '!AC688&lt;&gt;"",'Daily Sale entry '!AD688&lt;&gt;"")),'Daily Sale entry '!X688+ROW()/10000000,"")</f>
        <v/>
      </c>
      <c r="L688" s="21">
        <f>IF(K688="","",COUNTIF($K$2:$K$3001,"&lt;"&amp;K688)+1)</f>
        <v/>
      </c>
    </row>
    <row r="689">
      <c r="A689" s="5">
        <f>IF($J689="","",IF($J689&lt;=1500,INDEX('Daily Sale entry '!$X$1:$X$1501,$J689+1),INDEX('Daily Sale entry '!$V$1:$V$1501,$J689-1499)))</f>
        <v/>
      </c>
      <c r="B689">
        <f>IF($J689="","",IF($J689&lt;=1500,INDEX('Daily Sale entry '!$Y$1:$Y$1501,$J689+1)&amp;"","Buyer cheque banked 买家支票存入"&amp;IF(INDEX('Daily Sale entry '!$U$1:$U$1501,$J689-1499)="","", " - "&amp;INDEX('Daily Sale entry '!$U$1:$U$1501,$J689-1499))))</f>
        <v/>
      </c>
      <c r="C689">
        <f>IF($J689="","",IF($J689&lt;=1500,INDEX('Daily Sale entry '!$Z$1:$Z$1501,$J689+1)&amp;"","Cheque deposit 支票存入 (buyer 买家)"))</f>
        <v/>
      </c>
      <c r="D689">
        <f>IF($J689="","",IF($J689&lt;=1500,INDEX('Daily Sale entry '!$AA$1:$AA$1501,$J689+1)&amp;"",INDEX('Daily Sale entry '!$P$1:$P$1501,$J689-1499)&amp;""))</f>
        <v/>
      </c>
      <c r="E689">
        <f>IF($J689="","",IF($J689&lt;=1500,IF(N(INDEX('Daily Sale entry '!$AB$1:$AB$1501,$J689+1))=0,"",INDEX('Daily Sale entry '!$AB$1:$AB$1501,$J689+1)),1))</f>
        <v/>
      </c>
      <c r="F689" s="6">
        <f>IF($J689="","",IF($J689&lt;=1500,N(INDEX('Daily Sale entry '!$AC$1:$AC$1501,$J689+1))-IF(AND('Opening Balance'!$B$15=1,INDEX('Daily Sale entry '!$Z$1:$Z$1501,$J689+1)="Online collection 网上收款",INDEX('Daily Sale entry '!$AA$1:$AA$1501,$J689+1)&lt;&gt;""),N(INDEX('Daily Sale entry '!$AC$1:$AC$1501,$J689+1))-TRUNC(N(INDEX('Daily Sale entry '!$AC$1:$AC$1501,$J689+1))),0),N(INDEX('Daily Sale entry '!$S$1:$S$1501,$J689-1499))-'Opening Balance'!$B$15*(N(INDEX('Daily Sale entry '!$S$1:$S$1501,$J689-1499))-TRUNC(N(INDEX('Daily Sale entry '!$S$1:$S$1501,$J689-1499))))))</f>
        <v/>
      </c>
      <c r="G689" s="6">
        <f>IF($J689="","",IF($J689&lt;=1500,N(INDEX('Daily Sale entry '!$AD$1:$AD$1501,$J689+1)),0))</f>
        <v/>
      </c>
      <c r="H689" s="6">
        <f>IF($J689="","",ROUND('Opening Balance'!$B$4+SUM($F$2:F689)-SUM($G$2:G689),2))</f>
        <v/>
      </c>
      <c r="J689" s="21">
        <f>IFERROR(MATCH(ROW()-1,$L$2:$L$3001,0),"")</f>
        <v/>
      </c>
      <c r="K689" s="34">
        <f>IF(AND('Daily Sale entry '!X689&lt;&gt;"",OR('Daily Sale entry '!AC689&lt;&gt;"",'Daily Sale entry '!AD689&lt;&gt;"")),'Daily Sale entry '!X689+ROW()/10000000,"")</f>
        <v/>
      </c>
      <c r="L689" s="21">
        <f>IF(K689="","",COUNTIF($K$2:$K$3001,"&lt;"&amp;K689)+1)</f>
        <v/>
      </c>
    </row>
    <row r="690">
      <c r="A690" s="5">
        <f>IF($J690="","",IF($J690&lt;=1500,INDEX('Daily Sale entry '!$X$1:$X$1501,$J690+1),INDEX('Daily Sale entry '!$V$1:$V$1501,$J690-1499)))</f>
        <v/>
      </c>
      <c r="B690">
        <f>IF($J690="","",IF($J690&lt;=1500,INDEX('Daily Sale entry '!$Y$1:$Y$1501,$J690+1)&amp;"","Buyer cheque banked 买家支票存入"&amp;IF(INDEX('Daily Sale entry '!$U$1:$U$1501,$J690-1499)="","", " - "&amp;INDEX('Daily Sale entry '!$U$1:$U$1501,$J690-1499))))</f>
        <v/>
      </c>
      <c r="C690">
        <f>IF($J690="","",IF($J690&lt;=1500,INDEX('Daily Sale entry '!$Z$1:$Z$1501,$J690+1)&amp;"","Cheque deposit 支票存入 (buyer 买家)"))</f>
        <v/>
      </c>
      <c r="D690">
        <f>IF($J690="","",IF($J690&lt;=1500,INDEX('Daily Sale entry '!$AA$1:$AA$1501,$J690+1)&amp;"",INDEX('Daily Sale entry '!$P$1:$P$1501,$J690-1499)&amp;""))</f>
        <v/>
      </c>
      <c r="E690">
        <f>IF($J690="","",IF($J690&lt;=1500,IF(N(INDEX('Daily Sale entry '!$AB$1:$AB$1501,$J690+1))=0,"",INDEX('Daily Sale entry '!$AB$1:$AB$1501,$J690+1)),1))</f>
        <v/>
      </c>
      <c r="F690" s="6">
        <f>IF($J690="","",IF($J690&lt;=1500,N(INDEX('Daily Sale entry '!$AC$1:$AC$1501,$J690+1))-IF(AND('Opening Balance'!$B$15=1,INDEX('Daily Sale entry '!$Z$1:$Z$1501,$J690+1)="Online collection 网上收款",INDEX('Daily Sale entry '!$AA$1:$AA$1501,$J690+1)&lt;&gt;""),N(INDEX('Daily Sale entry '!$AC$1:$AC$1501,$J690+1))-TRUNC(N(INDEX('Daily Sale entry '!$AC$1:$AC$1501,$J690+1))),0),N(INDEX('Daily Sale entry '!$S$1:$S$1501,$J690-1499))-'Opening Balance'!$B$15*(N(INDEX('Daily Sale entry '!$S$1:$S$1501,$J690-1499))-TRUNC(N(INDEX('Daily Sale entry '!$S$1:$S$1501,$J690-1499))))))</f>
        <v/>
      </c>
      <c r="G690" s="6">
        <f>IF($J690="","",IF($J690&lt;=1500,N(INDEX('Daily Sale entry '!$AD$1:$AD$1501,$J690+1)),0))</f>
        <v/>
      </c>
      <c r="H690" s="6">
        <f>IF($J690="","",ROUND('Opening Balance'!$B$4+SUM($F$2:F690)-SUM($G$2:G690),2))</f>
        <v/>
      </c>
      <c r="J690" s="21">
        <f>IFERROR(MATCH(ROW()-1,$L$2:$L$3001,0),"")</f>
        <v/>
      </c>
      <c r="K690" s="34">
        <f>IF(AND('Daily Sale entry '!X690&lt;&gt;"",OR('Daily Sale entry '!AC690&lt;&gt;"",'Daily Sale entry '!AD690&lt;&gt;"")),'Daily Sale entry '!X690+ROW()/10000000,"")</f>
        <v/>
      </c>
      <c r="L690" s="21">
        <f>IF(K690="","",COUNTIF($K$2:$K$3001,"&lt;"&amp;K690)+1)</f>
        <v/>
      </c>
    </row>
    <row r="691">
      <c r="A691" s="5">
        <f>IF($J691="","",IF($J691&lt;=1500,INDEX('Daily Sale entry '!$X$1:$X$1501,$J691+1),INDEX('Daily Sale entry '!$V$1:$V$1501,$J691-1499)))</f>
        <v/>
      </c>
      <c r="B691">
        <f>IF($J691="","",IF($J691&lt;=1500,INDEX('Daily Sale entry '!$Y$1:$Y$1501,$J691+1)&amp;"","Buyer cheque banked 买家支票存入"&amp;IF(INDEX('Daily Sale entry '!$U$1:$U$1501,$J691-1499)="","", " - "&amp;INDEX('Daily Sale entry '!$U$1:$U$1501,$J691-1499))))</f>
        <v/>
      </c>
      <c r="C691">
        <f>IF($J691="","",IF($J691&lt;=1500,INDEX('Daily Sale entry '!$Z$1:$Z$1501,$J691+1)&amp;"","Cheque deposit 支票存入 (buyer 买家)"))</f>
        <v/>
      </c>
      <c r="D691">
        <f>IF($J691="","",IF($J691&lt;=1500,INDEX('Daily Sale entry '!$AA$1:$AA$1501,$J691+1)&amp;"",INDEX('Daily Sale entry '!$P$1:$P$1501,$J691-1499)&amp;""))</f>
        <v/>
      </c>
      <c r="E691">
        <f>IF($J691="","",IF($J691&lt;=1500,IF(N(INDEX('Daily Sale entry '!$AB$1:$AB$1501,$J691+1))=0,"",INDEX('Daily Sale entry '!$AB$1:$AB$1501,$J691+1)),1))</f>
        <v/>
      </c>
      <c r="F691" s="6">
        <f>IF($J691="","",IF($J691&lt;=1500,N(INDEX('Daily Sale entry '!$AC$1:$AC$1501,$J691+1))-IF(AND('Opening Balance'!$B$15=1,INDEX('Daily Sale entry '!$Z$1:$Z$1501,$J691+1)="Online collection 网上收款",INDEX('Daily Sale entry '!$AA$1:$AA$1501,$J691+1)&lt;&gt;""),N(INDEX('Daily Sale entry '!$AC$1:$AC$1501,$J691+1))-TRUNC(N(INDEX('Daily Sale entry '!$AC$1:$AC$1501,$J691+1))),0),N(INDEX('Daily Sale entry '!$S$1:$S$1501,$J691-1499))-'Opening Balance'!$B$15*(N(INDEX('Daily Sale entry '!$S$1:$S$1501,$J691-1499))-TRUNC(N(INDEX('Daily Sale entry '!$S$1:$S$1501,$J691-1499))))))</f>
        <v/>
      </c>
      <c r="G691" s="6">
        <f>IF($J691="","",IF($J691&lt;=1500,N(INDEX('Daily Sale entry '!$AD$1:$AD$1501,$J691+1)),0))</f>
        <v/>
      </c>
      <c r="H691" s="6">
        <f>IF($J691="","",ROUND('Opening Balance'!$B$4+SUM($F$2:F691)-SUM($G$2:G691),2))</f>
        <v/>
      </c>
      <c r="J691" s="21">
        <f>IFERROR(MATCH(ROW()-1,$L$2:$L$3001,0),"")</f>
        <v/>
      </c>
      <c r="K691" s="34">
        <f>IF(AND('Daily Sale entry '!X691&lt;&gt;"",OR('Daily Sale entry '!AC691&lt;&gt;"",'Daily Sale entry '!AD691&lt;&gt;"")),'Daily Sale entry '!X691+ROW()/10000000,"")</f>
        <v/>
      </c>
      <c r="L691" s="21">
        <f>IF(K691="","",COUNTIF($K$2:$K$3001,"&lt;"&amp;K691)+1)</f>
        <v/>
      </c>
    </row>
    <row r="692">
      <c r="A692" s="5">
        <f>IF($J692="","",IF($J692&lt;=1500,INDEX('Daily Sale entry '!$X$1:$X$1501,$J692+1),INDEX('Daily Sale entry '!$V$1:$V$1501,$J692-1499)))</f>
        <v/>
      </c>
      <c r="B692">
        <f>IF($J692="","",IF($J692&lt;=1500,INDEX('Daily Sale entry '!$Y$1:$Y$1501,$J692+1)&amp;"","Buyer cheque banked 买家支票存入"&amp;IF(INDEX('Daily Sale entry '!$U$1:$U$1501,$J692-1499)="","", " - "&amp;INDEX('Daily Sale entry '!$U$1:$U$1501,$J692-1499))))</f>
        <v/>
      </c>
      <c r="C692">
        <f>IF($J692="","",IF($J692&lt;=1500,INDEX('Daily Sale entry '!$Z$1:$Z$1501,$J692+1)&amp;"","Cheque deposit 支票存入 (buyer 买家)"))</f>
        <v/>
      </c>
      <c r="D692">
        <f>IF($J692="","",IF($J692&lt;=1500,INDEX('Daily Sale entry '!$AA$1:$AA$1501,$J692+1)&amp;"",INDEX('Daily Sale entry '!$P$1:$P$1501,$J692-1499)&amp;""))</f>
        <v/>
      </c>
      <c r="E692">
        <f>IF($J692="","",IF($J692&lt;=1500,IF(N(INDEX('Daily Sale entry '!$AB$1:$AB$1501,$J692+1))=0,"",INDEX('Daily Sale entry '!$AB$1:$AB$1501,$J692+1)),1))</f>
        <v/>
      </c>
      <c r="F692" s="6">
        <f>IF($J692="","",IF($J692&lt;=1500,N(INDEX('Daily Sale entry '!$AC$1:$AC$1501,$J692+1))-IF(AND('Opening Balance'!$B$15=1,INDEX('Daily Sale entry '!$Z$1:$Z$1501,$J692+1)="Online collection 网上收款",INDEX('Daily Sale entry '!$AA$1:$AA$1501,$J692+1)&lt;&gt;""),N(INDEX('Daily Sale entry '!$AC$1:$AC$1501,$J692+1))-TRUNC(N(INDEX('Daily Sale entry '!$AC$1:$AC$1501,$J692+1))),0),N(INDEX('Daily Sale entry '!$S$1:$S$1501,$J692-1499))-'Opening Balance'!$B$15*(N(INDEX('Daily Sale entry '!$S$1:$S$1501,$J692-1499))-TRUNC(N(INDEX('Daily Sale entry '!$S$1:$S$1501,$J692-1499))))))</f>
        <v/>
      </c>
      <c r="G692" s="6">
        <f>IF($J692="","",IF($J692&lt;=1500,N(INDEX('Daily Sale entry '!$AD$1:$AD$1501,$J692+1)),0))</f>
        <v/>
      </c>
      <c r="H692" s="6">
        <f>IF($J692="","",ROUND('Opening Balance'!$B$4+SUM($F$2:F692)-SUM($G$2:G692),2))</f>
        <v/>
      </c>
      <c r="J692" s="21">
        <f>IFERROR(MATCH(ROW()-1,$L$2:$L$3001,0),"")</f>
        <v/>
      </c>
      <c r="K692" s="34">
        <f>IF(AND('Daily Sale entry '!X692&lt;&gt;"",OR('Daily Sale entry '!AC692&lt;&gt;"",'Daily Sale entry '!AD692&lt;&gt;"")),'Daily Sale entry '!X692+ROW()/10000000,"")</f>
        <v/>
      </c>
      <c r="L692" s="21">
        <f>IF(K692="","",COUNTIF($K$2:$K$3001,"&lt;"&amp;K692)+1)</f>
        <v/>
      </c>
    </row>
    <row r="693">
      <c r="A693" s="5">
        <f>IF($J693="","",IF($J693&lt;=1500,INDEX('Daily Sale entry '!$X$1:$X$1501,$J693+1),INDEX('Daily Sale entry '!$V$1:$V$1501,$J693-1499)))</f>
        <v/>
      </c>
      <c r="B693">
        <f>IF($J693="","",IF($J693&lt;=1500,INDEX('Daily Sale entry '!$Y$1:$Y$1501,$J693+1)&amp;"","Buyer cheque banked 买家支票存入"&amp;IF(INDEX('Daily Sale entry '!$U$1:$U$1501,$J693-1499)="","", " - "&amp;INDEX('Daily Sale entry '!$U$1:$U$1501,$J693-1499))))</f>
        <v/>
      </c>
      <c r="C693">
        <f>IF($J693="","",IF($J693&lt;=1500,INDEX('Daily Sale entry '!$Z$1:$Z$1501,$J693+1)&amp;"","Cheque deposit 支票存入 (buyer 买家)"))</f>
        <v/>
      </c>
      <c r="D693">
        <f>IF($J693="","",IF($J693&lt;=1500,INDEX('Daily Sale entry '!$AA$1:$AA$1501,$J693+1)&amp;"",INDEX('Daily Sale entry '!$P$1:$P$1501,$J693-1499)&amp;""))</f>
        <v/>
      </c>
      <c r="E693">
        <f>IF($J693="","",IF($J693&lt;=1500,IF(N(INDEX('Daily Sale entry '!$AB$1:$AB$1501,$J693+1))=0,"",INDEX('Daily Sale entry '!$AB$1:$AB$1501,$J693+1)),1))</f>
        <v/>
      </c>
      <c r="F693" s="6">
        <f>IF($J693="","",IF($J693&lt;=1500,N(INDEX('Daily Sale entry '!$AC$1:$AC$1501,$J693+1))-IF(AND('Opening Balance'!$B$15=1,INDEX('Daily Sale entry '!$Z$1:$Z$1501,$J693+1)="Online collection 网上收款",INDEX('Daily Sale entry '!$AA$1:$AA$1501,$J693+1)&lt;&gt;""),N(INDEX('Daily Sale entry '!$AC$1:$AC$1501,$J693+1))-TRUNC(N(INDEX('Daily Sale entry '!$AC$1:$AC$1501,$J693+1))),0),N(INDEX('Daily Sale entry '!$S$1:$S$1501,$J693-1499))-'Opening Balance'!$B$15*(N(INDEX('Daily Sale entry '!$S$1:$S$1501,$J693-1499))-TRUNC(N(INDEX('Daily Sale entry '!$S$1:$S$1501,$J693-1499))))))</f>
        <v/>
      </c>
      <c r="G693" s="6">
        <f>IF($J693="","",IF($J693&lt;=1500,N(INDEX('Daily Sale entry '!$AD$1:$AD$1501,$J693+1)),0))</f>
        <v/>
      </c>
      <c r="H693" s="6">
        <f>IF($J693="","",ROUND('Opening Balance'!$B$4+SUM($F$2:F693)-SUM($G$2:G693),2))</f>
        <v/>
      </c>
      <c r="J693" s="21">
        <f>IFERROR(MATCH(ROW()-1,$L$2:$L$3001,0),"")</f>
        <v/>
      </c>
      <c r="K693" s="34">
        <f>IF(AND('Daily Sale entry '!X693&lt;&gt;"",OR('Daily Sale entry '!AC693&lt;&gt;"",'Daily Sale entry '!AD693&lt;&gt;"")),'Daily Sale entry '!X693+ROW()/10000000,"")</f>
        <v/>
      </c>
      <c r="L693" s="21">
        <f>IF(K693="","",COUNTIF($K$2:$K$3001,"&lt;"&amp;K693)+1)</f>
        <v/>
      </c>
    </row>
    <row r="694">
      <c r="A694" s="5">
        <f>IF($J694="","",IF($J694&lt;=1500,INDEX('Daily Sale entry '!$X$1:$X$1501,$J694+1),INDEX('Daily Sale entry '!$V$1:$V$1501,$J694-1499)))</f>
        <v/>
      </c>
      <c r="B694">
        <f>IF($J694="","",IF($J694&lt;=1500,INDEX('Daily Sale entry '!$Y$1:$Y$1501,$J694+1)&amp;"","Buyer cheque banked 买家支票存入"&amp;IF(INDEX('Daily Sale entry '!$U$1:$U$1501,$J694-1499)="","", " - "&amp;INDEX('Daily Sale entry '!$U$1:$U$1501,$J694-1499))))</f>
        <v/>
      </c>
      <c r="C694">
        <f>IF($J694="","",IF($J694&lt;=1500,INDEX('Daily Sale entry '!$Z$1:$Z$1501,$J694+1)&amp;"","Cheque deposit 支票存入 (buyer 买家)"))</f>
        <v/>
      </c>
      <c r="D694">
        <f>IF($J694="","",IF($J694&lt;=1500,INDEX('Daily Sale entry '!$AA$1:$AA$1501,$J694+1)&amp;"",INDEX('Daily Sale entry '!$P$1:$P$1501,$J694-1499)&amp;""))</f>
        <v/>
      </c>
      <c r="E694">
        <f>IF($J694="","",IF($J694&lt;=1500,IF(N(INDEX('Daily Sale entry '!$AB$1:$AB$1501,$J694+1))=0,"",INDEX('Daily Sale entry '!$AB$1:$AB$1501,$J694+1)),1))</f>
        <v/>
      </c>
      <c r="F694" s="6">
        <f>IF($J694="","",IF($J694&lt;=1500,N(INDEX('Daily Sale entry '!$AC$1:$AC$1501,$J694+1))-IF(AND('Opening Balance'!$B$15=1,INDEX('Daily Sale entry '!$Z$1:$Z$1501,$J694+1)="Online collection 网上收款",INDEX('Daily Sale entry '!$AA$1:$AA$1501,$J694+1)&lt;&gt;""),N(INDEX('Daily Sale entry '!$AC$1:$AC$1501,$J694+1))-TRUNC(N(INDEX('Daily Sale entry '!$AC$1:$AC$1501,$J694+1))),0),N(INDEX('Daily Sale entry '!$S$1:$S$1501,$J694-1499))-'Opening Balance'!$B$15*(N(INDEX('Daily Sale entry '!$S$1:$S$1501,$J694-1499))-TRUNC(N(INDEX('Daily Sale entry '!$S$1:$S$1501,$J694-1499))))))</f>
        <v/>
      </c>
      <c r="G694" s="6">
        <f>IF($J694="","",IF($J694&lt;=1500,N(INDEX('Daily Sale entry '!$AD$1:$AD$1501,$J694+1)),0))</f>
        <v/>
      </c>
      <c r="H694" s="6">
        <f>IF($J694="","",ROUND('Opening Balance'!$B$4+SUM($F$2:F694)-SUM($G$2:G694),2))</f>
        <v/>
      </c>
      <c r="J694" s="21">
        <f>IFERROR(MATCH(ROW()-1,$L$2:$L$3001,0),"")</f>
        <v/>
      </c>
      <c r="K694" s="34">
        <f>IF(AND('Daily Sale entry '!X694&lt;&gt;"",OR('Daily Sale entry '!AC694&lt;&gt;"",'Daily Sale entry '!AD694&lt;&gt;"")),'Daily Sale entry '!X694+ROW()/10000000,"")</f>
        <v/>
      </c>
      <c r="L694" s="21">
        <f>IF(K694="","",COUNTIF($K$2:$K$3001,"&lt;"&amp;K694)+1)</f>
        <v/>
      </c>
    </row>
    <row r="695">
      <c r="A695" s="5">
        <f>IF($J695="","",IF($J695&lt;=1500,INDEX('Daily Sale entry '!$X$1:$X$1501,$J695+1),INDEX('Daily Sale entry '!$V$1:$V$1501,$J695-1499)))</f>
        <v/>
      </c>
      <c r="B695">
        <f>IF($J695="","",IF($J695&lt;=1500,INDEX('Daily Sale entry '!$Y$1:$Y$1501,$J695+1)&amp;"","Buyer cheque banked 买家支票存入"&amp;IF(INDEX('Daily Sale entry '!$U$1:$U$1501,$J695-1499)="","", " - "&amp;INDEX('Daily Sale entry '!$U$1:$U$1501,$J695-1499))))</f>
        <v/>
      </c>
      <c r="C695">
        <f>IF($J695="","",IF($J695&lt;=1500,INDEX('Daily Sale entry '!$Z$1:$Z$1501,$J695+1)&amp;"","Cheque deposit 支票存入 (buyer 买家)"))</f>
        <v/>
      </c>
      <c r="D695">
        <f>IF($J695="","",IF($J695&lt;=1500,INDEX('Daily Sale entry '!$AA$1:$AA$1501,$J695+1)&amp;"",INDEX('Daily Sale entry '!$P$1:$P$1501,$J695-1499)&amp;""))</f>
        <v/>
      </c>
      <c r="E695">
        <f>IF($J695="","",IF($J695&lt;=1500,IF(N(INDEX('Daily Sale entry '!$AB$1:$AB$1501,$J695+1))=0,"",INDEX('Daily Sale entry '!$AB$1:$AB$1501,$J695+1)),1))</f>
        <v/>
      </c>
      <c r="F695" s="6">
        <f>IF($J695="","",IF($J695&lt;=1500,N(INDEX('Daily Sale entry '!$AC$1:$AC$1501,$J695+1))-IF(AND('Opening Balance'!$B$15=1,INDEX('Daily Sale entry '!$Z$1:$Z$1501,$J695+1)="Online collection 网上收款",INDEX('Daily Sale entry '!$AA$1:$AA$1501,$J695+1)&lt;&gt;""),N(INDEX('Daily Sale entry '!$AC$1:$AC$1501,$J695+1))-TRUNC(N(INDEX('Daily Sale entry '!$AC$1:$AC$1501,$J695+1))),0),N(INDEX('Daily Sale entry '!$S$1:$S$1501,$J695-1499))-'Opening Balance'!$B$15*(N(INDEX('Daily Sale entry '!$S$1:$S$1501,$J695-1499))-TRUNC(N(INDEX('Daily Sale entry '!$S$1:$S$1501,$J695-1499))))))</f>
        <v/>
      </c>
      <c r="G695" s="6">
        <f>IF($J695="","",IF($J695&lt;=1500,N(INDEX('Daily Sale entry '!$AD$1:$AD$1501,$J695+1)),0))</f>
        <v/>
      </c>
      <c r="H695" s="6">
        <f>IF($J695="","",ROUND('Opening Balance'!$B$4+SUM($F$2:F695)-SUM($G$2:G695),2))</f>
        <v/>
      </c>
      <c r="J695" s="21">
        <f>IFERROR(MATCH(ROW()-1,$L$2:$L$3001,0),"")</f>
        <v/>
      </c>
      <c r="K695" s="34">
        <f>IF(AND('Daily Sale entry '!X695&lt;&gt;"",OR('Daily Sale entry '!AC695&lt;&gt;"",'Daily Sale entry '!AD695&lt;&gt;"")),'Daily Sale entry '!X695+ROW()/10000000,"")</f>
        <v/>
      </c>
      <c r="L695" s="21">
        <f>IF(K695="","",COUNTIF($K$2:$K$3001,"&lt;"&amp;K695)+1)</f>
        <v/>
      </c>
    </row>
    <row r="696">
      <c r="A696" s="5">
        <f>IF($J696="","",IF($J696&lt;=1500,INDEX('Daily Sale entry '!$X$1:$X$1501,$J696+1),INDEX('Daily Sale entry '!$V$1:$V$1501,$J696-1499)))</f>
        <v/>
      </c>
      <c r="B696">
        <f>IF($J696="","",IF($J696&lt;=1500,INDEX('Daily Sale entry '!$Y$1:$Y$1501,$J696+1)&amp;"","Buyer cheque banked 买家支票存入"&amp;IF(INDEX('Daily Sale entry '!$U$1:$U$1501,$J696-1499)="","", " - "&amp;INDEX('Daily Sale entry '!$U$1:$U$1501,$J696-1499))))</f>
        <v/>
      </c>
      <c r="C696">
        <f>IF($J696="","",IF($J696&lt;=1500,INDEX('Daily Sale entry '!$Z$1:$Z$1501,$J696+1)&amp;"","Cheque deposit 支票存入 (buyer 买家)"))</f>
        <v/>
      </c>
      <c r="D696">
        <f>IF($J696="","",IF($J696&lt;=1500,INDEX('Daily Sale entry '!$AA$1:$AA$1501,$J696+1)&amp;"",INDEX('Daily Sale entry '!$P$1:$P$1501,$J696-1499)&amp;""))</f>
        <v/>
      </c>
      <c r="E696">
        <f>IF($J696="","",IF($J696&lt;=1500,IF(N(INDEX('Daily Sale entry '!$AB$1:$AB$1501,$J696+1))=0,"",INDEX('Daily Sale entry '!$AB$1:$AB$1501,$J696+1)),1))</f>
        <v/>
      </c>
      <c r="F696" s="6">
        <f>IF($J696="","",IF($J696&lt;=1500,N(INDEX('Daily Sale entry '!$AC$1:$AC$1501,$J696+1))-IF(AND('Opening Balance'!$B$15=1,INDEX('Daily Sale entry '!$Z$1:$Z$1501,$J696+1)="Online collection 网上收款",INDEX('Daily Sale entry '!$AA$1:$AA$1501,$J696+1)&lt;&gt;""),N(INDEX('Daily Sale entry '!$AC$1:$AC$1501,$J696+1))-TRUNC(N(INDEX('Daily Sale entry '!$AC$1:$AC$1501,$J696+1))),0),N(INDEX('Daily Sale entry '!$S$1:$S$1501,$J696-1499))-'Opening Balance'!$B$15*(N(INDEX('Daily Sale entry '!$S$1:$S$1501,$J696-1499))-TRUNC(N(INDEX('Daily Sale entry '!$S$1:$S$1501,$J696-1499))))))</f>
        <v/>
      </c>
      <c r="G696" s="6">
        <f>IF($J696="","",IF($J696&lt;=1500,N(INDEX('Daily Sale entry '!$AD$1:$AD$1501,$J696+1)),0))</f>
        <v/>
      </c>
      <c r="H696" s="6">
        <f>IF($J696="","",ROUND('Opening Balance'!$B$4+SUM($F$2:F696)-SUM($G$2:G696),2))</f>
        <v/>
      </c>
      <c r="J696" s="21">
        <f>IFERROR(MATCH(ROW()-1,$L$2:$L$3001,0),"")</f>
        <v/>
      </c>
      <c r="K696" s="34">
        <f>IF(AND('Daily Sale entry '!X696&lt;&gt;"",OR('Daily Sale entry '!AC696&lt;&gt;"",'Daily Sale entry '!AD696&lt;&gt;"")),'Daily Sale entry '!X696+ROW()/10000000,"")</f>
        <v/>
      </c>
      <c r="L696" s="21">
        <f>IF(K696="","",COUNTIF($K$2:$K$3001,"&lt;"&amp;K696)+1)</f>
        <v/>
      </c>
    </row>
    <row r="697">
      <c r="A697" s="5">
        <f>IF($J697="","",IF($J697&lt;=1500,INDEX('Daily Sale entry '!$X$1:$X$1501,$J697+1),INDEX('Daily Sale entry '!$V$1:$V$1501,$J697-1499)))</f>
        <v/>
      </c>
      <c r="B697">
        <f>IF($J697="","",IF($J697&lt;=1500,INDEX('Daily Sale entry '!$Y$1:$Y$1501,$J697+1)&amp;"","Buyer cheque banked 买家支票存入"&amp;IF(INDEX('Daily Sale entry '!$U$1:$U$1501,$J697-1499)="","", " - "&amp;INDEX('Daily Sale entry '!$U$1:$U$1501,$J697-1499))))</f>
        <v/>
      </c>
      <c r="C697">
        <f>IF($J697="","",IF($J697&lt;=1500,INDEX('Daily Sale entry '!$Z$1:$Z$1501,$J697+1)&amp;"","Cheque deposit 支票存入 (buyer 买家)"))</f>
        <v/>
      </c>
      <c r="D697">
        <f>IF($J697="","",IF($J697&lt;=1500,INDEX('Daily Sale entry '!$AA$1:$AA$1501,$J697+1)&amp;"",INDEX('Daily Sale entry '!$P$1:$P$1501,$J697-1499)&amp;""))</f>
        <v/>
      </c>
      <c r="E697">
        <f>IF($J697="","",IF($J697&lt;=1500,IF(N(INDEX('Daily Sale entry '!$AB$1:$AB$1501,$J697+1))=0,"",INDEX('Daily Sale entry '!$AB$1:$AB$1501,$J697+1)),1))</f>
        <v/>
      </c>
      <c r="F697" s="6">
        <f>IF($J697="","",IF($J697&lt;=1500,N(INDEX('Daily Sale entry '!$AC$1:$AC$1501,$J697+1))-IF(AND('Opening Balance'!$B$15=1,INDEX('Daily Sale entry '!$Z$1:$Z$1501,$J697+1)="Online collection 网上收款",INDEX('Daily Sale entry '!$AA$1:$AA$1501,$J697+1)&lt;&gt;""),N(INDEX('Daily Sale entry '!$AC$1:$AC$1501,$J697+1))-TRUNC(N(INDEX('Daily Sale entry '!$AC$1:$AC$1501,$J697+1))),0),N(INDEX('Daily Sale entry '!$S$1:$S$1501,$J697-1499))-'Opening Balance'!$B$15*(N(INDEX('Daily Sale entry '!$S$1:$S$1501,$J697-1499))-TRUNC(N(INDEX('Daily Sale entry '!$S$1:$S$1501,$J697-1499))))))</f>
        <v/>
      </c>
      <c r="G697" s="6">
        <f>IF($J697="","",IF($J697&lt;=1500,N(INDEX('Daily Sale entry '!$AD$1:$AD$1501,$J697+1)),0))</f>
        <v/>
      </c>
      <c r="H697" s="6">
        <f>IF($J697="","",ROUND('Opening Balance'!$B$4+SUM($F$2:F697)-SUM($G$2:G697),2))</f>
        <v/>
      </c>
      <c r="J697" s="21">
        <f>IFERROR(MATCH(ROW()-1,$L$2:$L$3001,0),"")</f>
        <v/>
      </c>
      <c r="K697" s="34">
        <f>IF(AND('Daily Sale entry '!X697&lt;&gt;"",OR('Daily Sale entry '!AC697&lt;&gt;"",'Daily Sale entry '!AD697&lt;&gt;"")),'Daily Sale entry '!X697+ROW()/10000000,"")</f>
        <v/>
      </c>
      <c r="L697" s="21">
        <f>IF(K697="","",COUNTIF($K$2:$K$3001,"&lt;"&amp;K697)+1)</f>
        <v/>
      </c>
    </row>
    <row r="698">
      <c r="A698" s="5">
        <f>IF($J698="","",IF($J698&lt;=1500,INDEX('Daily Sale entry '!$X$1:$X$1501,$J698+1),INDEX('Daily Sale entry '!$V$1:$V$1501,$J698-1499)))</f>
        <v/>
      </c>
      <c r="B698">
        <f>IF($J698="","",IF($J698&lt;=1500,INDEX('Daily Sale entry '!$Y$1:$Y$1501,$J698+1)&amp;"","Buyer cheque banked 买家支票存入"&amp;IF(INDEX('Daily Sale entry '!$U$1:$U$1501,$J698-1499)="","", " - "&amp;INDEX('Daily Sale entry '!$U$1:$U$1501,$J698-1499))))</f>
        <v/>
      </c>
      <c r="C698">
        <f>IF($J698="","",IF($J698&lt;=1500,INDEX('Daily Sale entry '!$Z$1:$Z$1501,$J698+1)&amp;"","Cheque deposit 支票存入 (buyer 买家)"))</f>
        <v/>
      </c>
      <c r="D698">
        <f>IF($J698="","",IF($J698&lt;=1500,INDEX('Daily Sale entry '!$AA$1:$AA$1501,$J698+1)&amp;"",INDEX('Daily Sale entry '!$P$1:$P$1501,$J698-1499)&amp;""))</f>
        <v/>
      </c>
      <c r="E698">
        <f>IF($J698="","",IF($J698&lt;=1500,IF(N(INDEX('Daily Sale entry '!$AB$1:$AB$1501,$J698+1))=0,"",INDEX('Daily Sale entry '!$AB$1:$AB$1501,$J698+1)),1))</f>
        <v/>
      </c>
      <c r="F698" s="6">
        <f>IF($J698="","",IF($J698&lt;=1500,N(INDEX('Daily Sale entry '!$AC$1:$AC$1501,$J698+1))-IF(AND('Opening Balance'!$B$15=1,INDEX('Daily Sale entry '!$Z$1:$Z$1501,$J698+1)="Online collection 网上收款",INDEX('Daily Sale entry '!$AA$1:$AA$1501,$J698+1)&lt;&gt;""),N(INDEX('Daily Sale entry '!$AC$1:$AC$1501,$J698+1))-TRUNC(N(INDEX('Daily Sale entry '!$AC$1:$AC$1501,$J698+1))),0),N(INDEX('Daily Sale entry '!$S$1:$S$1501,$J698-1499))-'Opening Balance'!$B$15*(N(INDEX('Daily Sale entry '!$S$1:$S$1501,$J698-1499))-TRUNC(N(INDEX('Daily Sale entry '!$S$1:$S$1501,$J698-1499))))))</f>
        <v/>
      </c>
      <c r="G698" s="6">
        <f>IF($J698="","",IF($J698&lt;=1500,N(INDEX('Daily Sale entry '!$AD$1:$AD$1501,$J698+1)),0))</f>
        <v/>
      </c>
      <c r="H698" s="6">
        <f>IF($J698="","",ROUND('Opening Balance'!$B$4+SUM($F$2:F698)-SUM($G$2:G698),2))</f>
        <v/>
      </c>
      <c r="J698" s="21">
        <f>IFERROR(MATCH(ROW()-1,$L$2:$L$3001,0),"")</f>
        <v/>
      </c>
      <c r="K698" s="34">
        <f>IF(AND('Daily Sale entry '!X698&lt;&gt;"",OR('Daily Sale entry '!AC698&lt;&gt;"",'Daily Sale entry '!AD698&lt;&gt;"")),'Daily Sale entry '!X698+ROW()/10000000,"")</f>
        <v/>
      </c>
      <c r="L698" s="21">
        <f>IF(K698="","",COUNTIF($K$2:$K$3001,"&lt;"&amp;K698)+1)</f>
        <v/>
      </c>
    </row>
    <row r="699">
      <c r="A699" s="5">
        <f>IF($J699="","",IF($J699&lt;=1500,INDEX('Daily Sale entry '!$X$1:$X$1501,$J699+1),INDEX('Daily Sale entry '!$V$1:$V$1501,$J699-1499)))</f>
        <v/>
      </c>
      <c r="B699">
        <f>IF($J699="","",IF($J699&lt;=1500,INDEX('Daily Sale entry '!$Y$1:$Y$1501,$J699+1)&amp;"","Buyer cheque banked 买家支票存入"&amp;IF(INDEX('Daily Sale entry '!$U$1:$U$1501,$J699-1499)="","", " - "&amp;INDEX('Daily Sale entry '!$U$1:$U$1501,$J699-1499))))</f>
        <v/>
      </c>
      <c r="C699">
        <f>IF($J699="","",IF($J699&lt;=1500,INDEX('Daily Sale entry '!$Z$1:$Z$1501,$J699+1)&amp;"","Cheque deposit 支票存入 (buyer 买家)"))</f>
        <v/>
      </c>
      <c r="D699">
        <f>IF($J699="","",IF($J699&lt;=1500,INDEX('Daily Sale entry '!$AA$1:$AA$1501,$J699+1)&amp;"",INDEX('Daily Sale entry '!$P$1:$P$1501,$J699-1499)&amp;""))</f>
        <v/>
      </c>
      <c r="E699">
        <f>IF($J699="","",IF($J699&lt;=1500,IF(N(INDEX('Daily Sale entry '!$AB$1:$AB$1501,$J699+1))=0,"",INDEX('Daily Sale entry '!$AB$1:$AB$1501,$J699+1)),1))</f>
        <v/>
      </c>
      <c r="F699" s="6">
        <f>IF($J699="","",IF($J699&lt;=1500,N(INDEX('Daily Sale entry '!$AC$1:$AC$1501,$J699+1))-IF(AND('Opening Balance'!$B$15=1,INDEX('Daily Sale entry '!$Z$1:$Z$1501,$J699+1)="Online collection 网上收款",INDEX('Daily Sale entry '!$AA$1:$AA$1501,$J699+1)&lt;&gt;""),N(INDEX('Daily Sale entry '!$AC$1:$AC$1501,$J699+1))-TRUNC(N(INDEX('Daily Sale entry '!$AC$1:$AC$1501,$J699+1))),0),N(INDEX('Daily Sale entry '!$S$1:$S$1501,$J699-1499))-'Opening Balance'!$B$15*(N(INDEX('Daily Sale entry '!$S$1:$S$1501,$J699-1499))-TRUNC(N(INDEX('Daily Sale entry '!$S$1:$S$1501,$J699-1499))))))</f>
        <v/>
      </c>
      <c r="G699" s="6">
        <f>IF($J699="","",IF($J699&lt;=1500,N(INDEX('Daily Sale entry '!$AD$1:$AD$1501,$J699+1)),0))</f>
        <v/>
      </c>
      <c r="H699" s="6">
        <f>IF($J699="","",ROUND('Opening Balance'!$B$4+SUM($F$2:F699)-SUM($G$2:G699),2))</f>
        <v/>
      </c>
      <c r="J699" s="21">
        <f>IFERROR(MATCH(ROW()-1,$L$2:$L$3001,0),"")</f>
        <v/>
      </c>
      <c r="K699" s="34">
        <f>IF(AND('Daily Sale entry '!X699&lt;&gt;"",OR('Daily Sale entry '!AC699&lt;&gt;"",'Daily Sale entry '!AD699&lt;&gt;"")),'Daily Sale entry '!X699+ROW()/10000000,"")</f>
        <v/>
      </c>
      <c r="L699" s="21">
        <f>IF(K699="","",COUNTIF($K$2:$K$3001,"&lt;"&amp;K699)+1)</f>
        <v/>
      </c>
    </row>
    <row r="700">
      <c r="A700" s="5">
        <f>IF($J700="","",IF($J700&lt;=1500,INDEX('Daily Sale entry '!$X$1:$X$1501,$J700+1),INDEX('Daily Sale entry '!$V$1:$V$1501,$J700-1499)))</f>
        <v/>
      </c>
      <c r="B700">
        <f>IF($J700="","",IF($J700&lt;=1500,INDEX('Daily Sale entry '!$Y$1:$Y$1501,$J700+1)&amp;"","Buyer cheque banked 买家支票存入"&amp;IF(INDEX('Daily Sale entry '!$U$1:$U$1501,$J700-1499)="","", " - "&amp;INDEX('Daily Sale entry '!$U$1:$U$1501,$J700-1499))))</f>
        <v/>
      </c>
      <c r="C700">
        <f>IF($J700="","",IF($J700&lt;=1500,INDEX('Daily Sale entry '!$Z$1:$Z$1501,$J700+1)&amp;"","Cheque deposit 支票存入 (buyer 买家)"))</f>
        <v/>
      </c>
      <c r="D700">
        <f>IF($J700="","",IF($J700&lt;=1500,INDEX('Daily Sale entry '!$AA$1:$AA$1501,$J700+1)&amp;"",INDEX('Daily Sale entry '!$P$1:$P$1501,$J700-1499)&amp;""))</f>
        <v/>
      </c>
      <c r="E700">
        <f>IF($J700="","",IF($J700&lt;=1500,IF(N(INDEX('Daily Sale entry '!$AB$1:$AB$1501,$J700+1))=0,"",INDEX('Daily Sale entry '!$AB$1:$AB$1501,$J700+1)),1))</f>
        <v/>
      </c>
      <c r="F700" s="6">
        <f>IF($J700="","",IF($J700&lt;=1500,N(INDEX('Daily Sale entry '!$AC$1:$AC$1501,$J700+1))-IF(AND('Opening Balance'!$B$15=1,INDEX('Daily Sale entry '!$Z$1:$Z$1501,$J700+1)="Online collection 网上收款",INDEX('Daily Sale entry '!$AA$1:$AA$1501,$J700+1)&lt;&gt;""),N(INDEX('Daily Sale entry '!$AC$1:$AC$1501,$J700+1))-TRUNC(N(INDEX('Daily Sale entry '!$AC$1:$AC$1501,$J700+1))),0),N(INDEX('Daily Sale entry '!$S$1:$S$1501,$J700-1499))-'Opening Balance'!$B$15*(N(INDEX('Daily Sale entry '!$S$1:$S$1501,$J700-1499))-TRUNC(N(INDEX('Daily Sale entry '!$S$1:$S$1501,$J700-1499))))))</f>
        <v/>
      </c>
      <c r="G700" s="6">
        <f>IF($J700="","",IF($J700&lt;=1500,N(INDEX('Daily Sale entry '!$AD$1:$AD$1501,$J700+1)),0))</f>
        <v/>
      </c>
      <c r="H700" s="6">
        <f>IF($J700="","",ROUND('Opening Balance'!$B$4+SUM($F$2:F700)-SUM($G$2:G700),2))</f>
        <v/>
      </c>
      <c r="J700" s="21">
        <f>IFERROR(MATCH(ROW()-1,$L$2:$L$3001,0),"")</f>
        <v/>
      </c>
      <c r="K700" s="34">
        <f>IF(AND('Daily Sale entry '!X700&lt;&gt;"",OR('Daily Sale entry '!AC700&lt;&gt;"",'Daily Sale entry '!AD700&lt;&gt;"")),'Daily Sale entry '!X700+ROW()/10000000,"")</f>
        <v/>
      </c>
      <c r="L700" s="21">
        <f>IF(K700="","",COUNTIF($K$2:$K$3001,"&lt;"&amp;K700)+1)</f>
        <v/>
      </c>
    </row>
    <row r="701">
      <c r="A701" s="5">
        <f>IF($J701="","",IF($J701&lt;=1500,INDEX('Daily Sale entry '!$X$1:$X$1501,$J701+1),INDEX('Daily Sale entry '!$V$1:$V$1501,$J701-1499)))</f>
        <v/>
      </c>
      <c r="B701">
        <f>IF($J701="","",IF($J701&lt;=1500,INDEX('Daily Sale entry '!$Y$1:$Y$1501,$J701+1)&amp;"","Buyer cheque banked 买家支票存入"&amp;IF(INDEX('Daily Sale entry '!$U$1:$U$1501,$J701-1499)="","", " - "&amp;INDEX('Daily Sale entry '!$U$1:$U$1501,$J701-1499))))</f>
        <v/>
      </c>
      <c r="C701">
        <f>IF($J701="","",IF($J701&lt;=1500,INDEX('Daily Sale entry '!$Z$1:$Z$1501,$J701+1)&amp;"","Cheque deposit 支票存入 (buyer 买家)"))</f>
        <v/>
      </c>
      <c r="D701">
        <f>IF($J701="","",IF($J701&lt;=1500,INDEX('Daily Sale entry '!$AA$1:$AA$1501,$J701+1)&amp;"",INDEX('Daily Sale entry '!$P$1:$P$1501,$J701-1499)&amp;""))</f>
        <v/>
      </c>
      <c r="E701">
        <f>IF($J701="","",IF($J701&lt;=1500,IF(N(INDEX('Daily Sale entry '!$AB$1:$AB$1501,$J701+1))=0,"",INDEX('Daily Sale entry '!$AB$1:$AB$1501,$J701+1)),1))</f>
        <v/>
      </c>
      <c r="F701" s="6">
        <f>IF($J701="","",IF($J701&lt;=1500,N(INDEX('Daily Sale entry '!$AC$1:$AC$1501,$J701+1))-IF(AND('Opening Balance'!$B$15=1,INDEX('Daily Sale entry '!$Z$1:$Z$1501,$J701+1)="Online collection 网上收款",INDEX('Daily Sale entry '!$AA$1:$AA$1501,$J701+1)&lt;&gt;""),N(INDEX('Daily Sale entry '!$AC$1:$AC$1501,$J701+1))-TRUNC(N(INDEX('Daily Sale entry '!$AC$1:$AC$1501,$J701+1))),0),N(INDEX('Daily Sale entry '!$S$1:$S$1501,$J701-1499))-'Opening Balance'!$B$15*(N(INDEX('Daily Sale entry '!$S$1:$S$1501,$J701-1499))-TRUNC(N(INDEX('Daily Sale entry '!$S$1:$S$1501,$J701-1499))))))</f>
        <v/>
      </c>
      <c r="G701" s="6">
        <f>IF($J701="","",IF($J701&lt;=1500,N(INDEX('Daily Sale entry '!$AD$1:$AD$1501,$J701+1)),0))</f>
        <v/>
      </c>
      <c r="H701" s="6">
        <f>IF($J701="","",ROUND('Opening Balance'!$B$4+SUM($F$2:F701)-SUM($G$2:G701),2))</f>
        <v/>
      </c>
      <c r="J701" s="21">
        <f>IFERROR(MATCH(ROW()-1,$L$2:$L$3001,0),"")</f>
        <v/>
      </c>
      <c r="K701" s="34">
        <f>IF(AND('Daily Sale entry '!X701&lt;&gt;"",OR('Daily Sale entry '!AC701&lt;&gt;"",'Daily Sale entry '!AD701&lt;&gt;"")),'Daily Sale entry '!X701+ROW()/10000000,"")</f>
        <v/>
      </c>
      <c r="L701" s="21">
        <f>IF(K701="","",COUNTIF($K$2:$K$3001,"&lt;"&amp;K701)+1)</f>
        <v/>
      </c>
    </row>
    <row r="702">
      <c r="A702" s="5">
        <f>IF($J702="","",IF($J702&lt;=1500,INDEX('Daily Sale entry '!$X$1:$X$1501,$J702+1),INDEX('Daily Sale entry '!$V$1:$V$1501,$J702-1499)))</f>
        <v/>
      </c>
      <c r="B702">
        <f>IF($J702="","",IF($J702&lt;=1500,INDEX('Daily Sale entry '!$Y$1:$Y$1501,$J702+1)&amp;"","Buyer cheque banked 买家支票存入"&amp;IF(INDEX('Daily Sale entry '!$U$1:$U$1501,$J702-1499)="","", " - "&amp;INDEX('Daily Sale entry '!$U$1:$U$1501,$J702-1499))))</f>
        <v/>
      </c>
      <c r="C702">
        <f>IF($J702="","",IF($J702&lt;=1500,INDEX('Daily Sale entry '!$Z$1:$Z$1501,$J702+1)&amp;"","Cheque deposit 支票存入 (buyer 买家)"))</f>
        <v/>
      </c>
      <c r="D702">
        <f>IF($J702="","",IF($J702&lt;=1500,INDEX('Daily Sale entry '!$AA$1:$AA$1501,$J702+1)&amp;"",INDEX('Daily Sale entry '!$P$1:$P$1501,$J702-1499)&amp;""))</f>
        <v/>
      </c>
      <c r="E702">
        <f>IF($J702="","",IF($J702&lt;=1500,IF(N(INDEX('Daily Sale entry '!$AB$1:$AB$1501,$J702+1))=0,"",INDEX('Daily Sale entry '!$AB$1:$AB$1501,$J702+1)),1))</f>
        <v/>
      </c>
      <c r="F702" s="6">
        <f>IF($J702="","",IF($J702&lt;=1500,N(INDEX('Daily Sale entry '!$AC$1:$AC$1501,$J702+1))-IF(AND('Opening Balance'!$B$15=1,INDEX('Daily Sale entry '!$Z$1:$Z$1501,$J702+1)="Online collection 网上收款",INDEX('Daily Sale entry '!$AA$1:$AA$1501,$J702+1)&lt;&gt;""),N(INDEX('Daily Sale entry '!$AC$1:$AC$1501,$J702+1))-TRUNC(N(INDEX('Daily Sale entry '!$AC$1:$AC$1501,$J702+1))),0),N(INDEX('Daily Sale entry '!$S$1:$S$1501,$J702-1499))-'Opening Balance'!$B$15*(N(INDEX('Daily Sale entry '!$S$1:$S$1501,$J702-1499))-TRUNC(N(INDEX('Daily Sale entry '!$S$1:$S$1501,$J702-1499))))))</f>
        <v/>
      </c>
      <c r="G702" s="6">
        <f>IF($J702="","",IF($J702&lt;=1500,N(INDEX('Daily Sale entry '!$AD$1:$AD$1501,$J702+1)),0))</f>
        <v/>
      </c>
      <c r="H702" s="6">
        <f>IF($J702="","",ROUND('Opening Balance'!$B$4+SUM($F$2:F702)-SUM($G$2:G702),2))</f>
        <v/>
      </c>
      <c r="J702" s="21">
        <f>IFERROR(MATCH(ROW()-1,$L$2:$L$3001,0),"")</f>
        <v/>
      </c>
      <c r="K702" s="34">
        <f>IF(AND('Daily Sale entry '!X702&lt;&gt;"",OR('Daily Sale entry '!AC702&lt;&gt;"",'Daily Sale entry '!AD702&lt;&gt;"")),'Daily Sale entry '!X702+ROW()/10000000,"")</f>
        <v/>
      </c>
      <c r="L702" s="21">
        <f>IF(K702="","",COUNTIF($K$2:$K$3001,"&lt;"&amp;K702)+1)</f>
        <v/>
      </c>
    </row>
    <row r="703">
      <c r="A703" s="5">
        <f>IF($J703="","",IF($J703&lt;=1500,INDEX('Daily Sale entry '!$X$1:$X$1501,$J703+1),INDEX('Daily Sale entry '!$V$1:$V$1501,$J703-1499)))</f>
        <v/>
      </c>
      <c r="B703">
        <f>IF($J703="","",IF($J703&lt;=1500,INDEX('Daily Sale entry '!$Y$1:$Y$1501,$J703+1)&amp;"","Buyer cheque banked 买家支票存入"&amp;IF(INDEX('Daily Sale entry '!$U$1:$U$1501,$J703-1499)="","", " - "&amp;INDEX('Daily Sale entry '!$U$1:$U$1501,$J703-1499))))</f>
        <v/>
      </c>
      <c r="C703">
        <f>IF($J703="","",IF($J703&lt;=1500,INDEX('Daily Sale entry '!$Z$1:$Z$1501,$J703+1)&amp;"","Cheque deposit 支票存入 (buyer 买家)"))</f>
        <v/>
      </c>
      <c r="D703">
        <f>IF($J703="","",IF($J703&lt;=1500,INDEX('Daily Sale entry '!$AA$1:$AA$1501,$J703+1)&amp;"",INDEX('Daily Sale entry '!$P$1:$P$1501,$J703-1499)&amp;""))</f>
        <v/>
      </c>
      <c r="E703">
        <f>IF($J703="","",IF($J703&lt;=1500,IF(N(INDEX('Daily Sale entry '!$AB$1:$AB$1501,$J703+1))=0,"",INDEX('Daily Sale entry '!$AB$1:$AB$1501,$J703+1)),1))</f>
        <v/>
      </c>
      <c r="F703" s="6">
        <f>IF($J703="","",IF($J703&lt;=1500,N(INDEX('Daily Sale entry '!$AC$1:$AC$1501,$J703+1))-IF(AND('Opening Balance'!$B$15=1,INDEX('Daily Sale entry '!$Z$1:$Z$1501,$J703+1)="Online collection 网上收款",INDEX('Daily Sale entry '!$AA$1:$AA$1501,$J703+1)&lt;&gt;""),N(INDEX('Daily Sale entry '!$AC$1:$AC$1501,$J703+1))-TRUNC(N(INDEX('Daily Sale entry '!$AC$1:$AC$1501,$J703+1))),0),N(INDEX('Daily Sale entry '!$S$1:$S$1501,$J703-1499))-'Opening Balance'!$B$15*(N(INDEX('Daily Sale entry '!$S$1:$S$1501,$J703-1499))-TRUNC(N(INDEX('Daily Sale entry '!$S$1:$S$1501,$J703-1499))))))</f>
        <v/>
      </c>
      <c r="G703" s="6">
        <f>IF($J703="","",IF($J703&lt;=1500,N(INDEX('Daily Sale entry '!$AD$1:$AD$1501,$J703+1)),0))</f>
        <v/>
      </c>
      <c r="H703" s="6">
        <f>IF($J703="","",ROUND('Opening Balance'!$B$4+SUM($F$2:F703)-SUM($G$2:G703),2))</f>
        <v/>
      </c>
      <c r="J703" s="21">
        <f>IFERROR(MATCH(ROW()-1,$L$2:$L$3001,0),"")</f>
        <v/>
      </c>
      <c r="K703" s="34">
        <f>IF(AND('Daily Sale entry '!X703&lt;&gt;"",OR('Daily Sale entry '!AC703&lt;&gt;"",'Daily Sale entry '!AD703&lt;&gt;"")),'Daily Sale entry '!X703+ROW()/10000000,"")</f>
        <v/>
      </c>
      <c r="L703" s="21">
        <f>IF(K703="","",COUNTIF($K$2:$K$3001,"&lt;"&amp;K703)+1)</f>
        <v/>
      </c>
    </row>
    <row r="704">
      <c r="A704" s="5">
        <f>IF($J704="","",IF($J704&lt;=1500,INDEX('Daily Sale entry '!$X$1:$X$1501,$J704+1),INDEX('Daily Sale entry '!$V$1:$V$1501,$J704-1499)))</f>
        <v/>
      </c>
      <c r="B704">
        <f>IF($J704="","",IF($J704&lt;=1500,INDEX('Daily Sale entry '!$Y$1:$Y$1501,$J704+1)&amp;"","Buyer cheque banked 买家支票存入"&amp;IF(INDEX('Daily Sale entry '!$U$1:$U$1501,$J704-1499)="","", " - "&amp;INDEX('Daily Sale entry '!$U$1:$U$1501,$J704-1499))))</f>
        <v/>
      </c>
      <c r="C704">
        <f>IF($J704="","",IF($J704&lt;=1500,INDEX('Daily Sale entry '!$Z$1:$Z$1501,$J704+1)&amp;"","Cheque deposit 支票存入 (buyer 买家)"))</f>
        <v/>
      </c>
      <c r="D704">
        <f>IF($J704="","",IF($J704&lt;=1500,INDEX('Daily Sale entry '!$AA$1:$AA$1501,$J704+1)&amp;"",INDEX('Daily Sale entry '!$P$1:$P$1501,$J704-1499)&amp;""))</f>
        <v/>
      </c>
      <c r="E704">
        <f>IF($J704="","",IF($J704&lt;=1500,IF(N(INDEX('Daily Sale entry '!$AB$1:$AB$1501,$J704+1))=0,"",INDEX('Daily Sale entry '!$AB$1:$AB$1501,$J704+1)),1))</f>
        <v/>
      </c>
      <c r="F704" s="6">
        <f>IF($J704="","",IF($J704&lt;=1500,N(INDEX('Daily Sale entry '!$AC$1:$AC$1501,$J704+1))-IF(AND('Opening Balance'!$B$15=1,INDEX('Daily Sale entry '!$Z$1:$Z$1501,$J704+1)="Online collection 网上收款",INDEX('Daily Sale entry '!$AA$1:$AA$1501,$J704+1)&lt;&gt;""),N(INDEX('Daily Sale entry '!$AC$1:$AC$1501,$J704+1))-TRUNC(N(INDEX('Daily Sale entry '!$AC$1:$AC$1501,$J704+1))),0),N(INDEX('Daily Sale entry '!$S$1:$S$1501,$J704-1499))-'Opening Balance'!$B$15*(N(INDEX('Daily Sale entry '!$S$1:$S$1501,$J704-1499))-TRUNC(N(INDEX('Daily Sale entry '!$S$1:$S$1501,$J704-1499))))))</f>
        <v/>
      </c>
      <c r="G704" s="6">
        <f>IF($J704="","",IF($J704&lt;=1500,N(INDEX('Daily Sale entry '!$AD$1:$AD$1501,$J704+1)),0))</f>
        <v/>
      </c>
      <c r="H704" s="6">
        <f>IF($J704="","",ROUND('Opening Balance'!$B$4+SUM($F$2:F704)-SUM($G$2:G704),2))</f>
        <v/>
      </c>
      <c r="J704" s="21">
        <f>IFERROR(MATCH(ROW()-1,$L$2:$L$3001,0),"")</f>
        <v/>
      </c>
      <c r="K704" s="34">
        <f>IF(AND('Daily Sale entry '!X704&lt;&gt;"",OR('Daily Sale entry '!AC704&lt;&gt;"",'Daily Sale entry '!AD704&lt;&gt;"")),'Daily Sale entry '!X704+ROW()/10000000,"")</f>
        <v/>
      </c>
      <c r="L704" s="21">
        <f>IF(K704="","",COUNTIF($K$2:$K$3001,"&lt;"&amp;K704)+1)</f>
        <v/>
      </c>
    </row>
    <row r="705">
      <c r="A705" s="5">
        <f>IF($J705="","",IF($J705&lt;=1500,INDEX('Daily Sale entry '!$X$1:$X$1501,$J705+1),INDEX('Daily Sale entry '!$V$1:$V$1501,$J705-1499)))</f>
        <v/>
      </c>
      <c r="B705">
        <f>IF($J705="","",IF($J705&lt;=1500,INDEX('Daily Sale entry '!$Y$1:$Y$1501,$J705+1)&amp;"","Buyer cheque banked 买家支票存入"&amp;IF(INDEX('Daily Sale entry '!$U$1:$U$1501,$J705-1499)="","", " - "&amp;INDEX('Daily Sale entry '!$U$1:$U$1501,$J705-1499))))</f>
        <v/>
      </c>
      <c r="C705">
        <f>IF($J705="","",IF($J705&lt;=1500,INDEX('Daily Sale entry '!$Z$1:$Z$1501,$J705+1)&amp;"","Cheque deposit 支票存入 (buyer 买家)"))</f>
        <v/>
      </c>
      <c r="D705">
        <f>IF($J705="","",IF($J705&lt;=1500,INDEX('Daily Sale entry '!$AA$1:$AA$1501,$J705+1)&amp;"",INDEX('Daily Sale entry '!$P$1:$P$1501,$J705-1499)&amp;""))</f>
        <v/>
      </c>
      <c r="E705">
        <f>IF($J705="","",IF($J705&lt;=1500,IF(N(INDEX('Daily Sale entry '!$AB$1:$AB$1501,$J705+1))=0,"",INDEX('Daily Sale entry '!$AB$1:$AB$1501,$J705+1)),1))</f>
        <v/>
      </c>
      <c r="F705" s="6">
        <f>IF($J705="","",IF($J705&lt;=1500,N(INDEX('Daily Sale entry '!$AC$1:$AC$1501,$J705+1))-IF(AND('Opening Balance'!$B$15=1,INDEX('Daily Sale entry '!$Z$1:$Z$1501,$J705+1)="Online collection 网上收款",INDEX('Daily Sale entry '!$AA$1:$AA$1501,$J705+1)&lt;&gt;""),N(INDEX('Daily Sale entry '!$AC$1:$AC$1501,$J705+1))-TRUNC(N(INDEX('Daily Sale entry '!$AC$1:$AC$1501,$J705+1))),0),N(INDEX('Daily Sale entry '!$S$1:$S$1501,$J705-1499))-'Opening Balance'!$B$15*(N(INDEX('Daily Sale entry '!$S$1:$S$1501,$J705-1499))-TRUNC(N(INDEX('Daily Sale entry '!$S$1:$S$1501,$J705-1499))))))</f>
        <v/>
      </c>
      <c r="G705" s="6">
        <f>IF($J705="","",IF($J705&lt;=1500,N(INDEX('Daily Sale entry '!$AD$1:$AD$1501,$J705+1)),0))</f>
        <v/>
      </c>
      <c r="H705" s="6">
        <f>IF($J705="","",ROUND('Opening Balance'!$B$4+SUM($F$2:F705)-SUM($G$2:G705),2))</f>
        <v/>
      </c>
      <c r="J705" s="21">
        <f>IFERROR(MATCH(ROW()-1,$L$2:$L$3001,0),"")</f>
        <v/>
      </c>
      <c r="K705" s="34">
        <f>IF(AND('Daily Sale entry '!X705&lt;&gt;"",OR('Daily Sale entry '!AC705&lt;&gt;"",'Daily Sale entry '!AD705&lt;&gt;"")),'Daily Sale entry '!X705+ROW()/10000000,"")</f>
        <v/>
      </c>
      <c r="L705" s="21">
        <f>IF(K705="","",COUNTIF($K$2:$K$3001,"&lt;"&amp;K705)+1)</f>
        <v/>
      </c>
    </row>
    <row r="706">
      <c r="A706" s="5">
        <f>IF($J706="","",IF($J706&lt;=1500,INDEX('Daily Sale entry '!$X$1:$X$1501,$J706+1),INDEX('Daily Sale entry '!$V$1:$V$1501,$J706-1499)))</f>
        <v/>
      </c>
      <c r="B706">
        <f>IF($J706="","",IF($J706&lt;=1500,INDEX('Daily Sale entry '!$Y$1:$Y$1501,$J706+1)&amp;"","Buyer cheque banked 买家支票存入"&amp;IF(INDEX('Daily Sale entry '!$U$1:$U$1501,$J706-1499)="","", " - "&amp;INDEX('Daily Sale entry '!$U$1:$U$1501,$J706-1499))))</f>
        <v/>
      </c>
      <c r="C706">
        <f>IF($J706="","",IF($J706&lt;=1500,INDEX('Daily Sale entry '!$Z$1:$Z$1501,$J706+1)&amp;"","Cheque deposit 支票存入 (buyer 买家)"))</f>
        <v/>
      </c>
      <c r="D706">
        <f>IF($J706="","",IF($J706&lt;=1500,INDEX('Daily Sale entry '!$AA$1:$AA$1501,$J706+1)&amp;"",INDEX('Daily Sale entry '!$P$1:$P$1501,$J706-1499)&amp;""))</f>
        <v/>
      </c>
      <c r="E706">
        <f>IF($J706="","",IF($J706&lt;=1500,IF(N(INDEX('Daily Sale entry '!$AB$1:$AB$1501,$J706+1))=0,"",INDEX('Daily Sale entry '!$AB$1:$AB$1501,$J706+1)),1))</f>
        <v/>
      </c>
      <c r="F706" s="6">
        <f>IF($J706="","",IF($J706&lt;=1500,N(INDEX('Daily Sale entry '!$AC$1:$AC$1501,$J706+1))-IF(AND('Opening Balance'!$B$15=1,INDEX('Daily Sale entry '!$Z$1:$Z$1501,$J706+1)="Online collection 网上收款",INDEX('Daily Sale entry '!$AA$1:$AA$1501,$J706+1)&lt;&gt;""),N(INDEX('Daily Sale entry '!$AC$1:$AC$1501,$J706+1))-TRUNC(N(INDEX('Daily Sale entry '!$AC$1:$AC$1501,$J706+1))),0),N(INDEX('Daily Sale entry '!$S$1:$S$1501,$J706-1499))-'Opening Balance'!$B$15*(N(INDEX('Daily Sale entry '!$S$1:$S$1501,$J706-1499))-TRUNC(N(INDEX('Daily Sale entry '!$S$1:$S$1501,$J706-1499))))))</f>
        <v/>
      </c>
      <c r="G706" s="6">
        <f>IF($J706="","",IF($J706&lt;=1500,N(INDEX('Daily Sale entry '!$AD$1:$AD$1501,$J706+1)),0))</f>
        <v/>
      </c>
      <c r="H706" s="6">
        <f>IF($J706="","",ROUND('Opening Balance'!$B$4+SUM($F$2:F706)-SUM($G$2:G706),2))</f>
        <v/>
      </c>
      <c r="J706" s="21">
        <f>IFERROR(MATCH(ROW()-1,$L$2:$L$3001,0),"")</f>
        <v/>
      </c>
      <c r="K706" s="34">
        <f>IF(AND('Daily Sale entry '!X706&lt;&gt;"",OR('Daily Sale entry '!AC706&lt;&gt;"",'Daily Sale entry '!AD706&lt;&gt;"")),'Daily Sale entry '!X706+ROW()/10000000,"")</f>
        <v/>
      </c>
      <c r="L706" s="21">
        <f>IF(K706="","",COUNTIF($K$2:$K$3001,"&lt;"&amp;K706)+1)</f>
        <v/>
      </c>
    </row>
    <row r="707">
      <c r="A707" s="5">
        <f>IF($J707="","",IF($J707&lt;=1500,INDEX('Daily Sale entry '!$X$1:$X$1501,$J707+1),INDEX('Daily Sale entry '!$V$1:$V$1501,$J707-1499)))</f>
        <v/>
      </c>
      <c r="B707">
        <f>IF($J707="","",IF($J707&lt;=1500,INDEX('Daily Sale entry '!$Y$1:$Y$1501,$J707+1)&amp;"","Buyer cheque banked 买家支票存入"&amp;IF(INDEX('Daily Sale entry '!$U$1:$U$1501,$J707-1499)="","", " - "&amp;INDEX('Daily Sale entry '!$U$1:$U$1501,$J707-1499))))</f>
        <v/>
      </c>
      <c r="C707">
        <f>IF($J707="","",IF($J707&lt;=1500,INDEX('Daily Sale entry '!$Z$1:$Z$1501,$J707+1)&amp;"","Cheque deposit 支票存入 (buyer 买家)"))</f>
        <v/>
      </c>
      <c r="D707">
        <f>IF($J707="","",IF($J707&lt;=1500,INDEX('Daily Sale entry '!$AA$1:$AA$1501,$J707+1)&amp;"",INDEX('Daily Sale entry '!$P$1:$P$1501,$J707-1499)&amp;""))</f>
        <v/>
      </c>
      <c r="E707">
        <f>IF($J707="","",IF($J707&lt;=1500,IF(N(INDEX('Daily Sale entry '!$AB$1:$AB$1501,$J707+1))=0,"",INDEX('Daily Sale entry '!$AB$1:$AB$1501,$J707+1)),1))</f>
        <v/>
      </c>
      <c r="F707" s="6">
        <f>IF($J707="","",IF($J707&lt;=1500,N(INDEX('Daily Sale entry '!$AC$1:$AC$1501,$J707+1))-IF(AND('Opening Balance'!$B$15=1,INDEX('Daily Sale entry '!$Z$1:$Z$1501,$J707+1)="Online collection 网上收款",INDEX('Daily Sale entry '!$AA$1:$AA$1501,$J707+1)&lt;&gt;""),N(INDEX('Daily Sale entry '!$AC$1:$AC$1501,$J707+1))-TRUNC(N(INDEX('Daily Sale entry '!$AC$1:$AC$1501,$J707+1))),0),N(INDEX('Daily Sale entry '!$S$1:$S$1501,$J707-1499))-'Opening Balance'!$B$15*(N(INDEX('Daily Sale entry '!$S$1:$S$1501,$J707-1499))-TRUNC(N(INDEX('Daily Sale entry '!$S$1:$S$1501,$J707-1499))))))</f>
        <v/>
      </c>
      <c r="G707" s="6">
        <f>IF($J707="","",IF($J707&lt;=1500,N(INDEX('Daily Sale entry '!$AD$1:$AD$1501,$J707+1)),0))</f>
        <v/>
      </c>
      <c r="H707" s="6">
        <f>IF($J707="","",ROUND('Opening Balance'!$B$4+SUM($F$2:F707)-SUM($G$2:G707),2))</f>
        <v/>
      </c>
      <c r="J707" s="21">
        <f>IFERROR(MATCH(ROW()-1,$L$2:$L$3001,0),"")</f>
        <v/>
      </c>
      <c r="K707" s="34">
        <f>IF(AND('Daily Sale entry '!X707&lt;&gt;"",OR('Daily Sale entry '!AC707&lt;&gt;"",'Daily Sale entry '!AD707&lt;&gt;"")),'Daily Sale entry '!X707+ROW()/10000000,"")</f>
        <v/>
      </c>
      <c r="L707" s="21">
        <f>IF(K707="","",COUNTIF($K$2:$K$3001,"&lt;"&amp;K707)+1)</f>
        <v/>
      </c>
    </row>
    <row r="708">
      <c r="A708" s="5">
        <f>IF($J708="","",IF($J708&lt;=1500,INDEX('Daily Sale entry '!$X$1:$X$1501,$J708+1),INDEX('Daily Sale entry '!$V$1:$V$1501,$J708-1499)))</f>
        <v/>
      </c>
      <c r="B708">
        <f>IF($J708="","",IF($J708&lt;=1500,INDEX('Daily Sale entry '!$Y$1:$Y$1501,$J708+1)&amp;"","Buyer cheque banked 买家支票存入"&amp;IF(INDEX('Daily Sale entry '!$U$1:$U$1501,$J708-1499)="","", " - "&amp;INDEX('Daily Sale entry '!$U$1:$U$1501,$J708-1499))))</f>
        <v/>
      </c>
      <c r="C708">
        <f>IF($J708="","",IF($J708&lt;=1500,INDEX('Daily Sale entry '!$Z$1:$Z$1501,$J708+1)&amp;"","Cheque deposit 支票存入 (buyer 买家)"))</f>
        <v/>
      </c>
      <c r="D708">
        <f>IF($J708="","",IF($J708&lt;=1500,INDEX('Daily Sale entry '!$AA$1:$AA$1501,$J708+1)&amp;"",INDEX('Daily Sale entry '!$P$1:$P$1501,$J708-1499)&amp;""))</f>
        <v/>
      </c>
      <c r="E708">
        <f>IF($J708="","",IF($J708&lt;=1500,IF(N(INDEX('Daily Sale entry '!$AB$1:$AB$1501,$J708+1))=0,"",INDEX('Daily Sale entry '!$AB$1:$AB$1501,$J708+1)),1))</f>
        <v/>
      </c>
      <c r="F708" s="6">
        <f>IF($J708="","",IF($J708&lt;=1500,N(INDEX('Daily Sale entry '!$AC$1:$AC$1501,$J708+1))-IF(AND('Opening Balance'!$B$15=1,INDEX('Daily Sale entry '!$Z$1:$Z$1501,$J708+1)="Online collection 网上收款",INDEX('Daily Sale entry '!$AA$1:$AA$1501,$J708+1)&lt;&gt;""),N(INDEX('Daily Sale entry '!$AC$1:$AC$1501,$J708+1))-TRUNC(N(INDEX('Daily Sale entry '!$AC$1:$AC$1501,$J708+1))),0),N(INDEX('Daily Sale entry '!$S$1:$S$1501,$J708-1499))-'Opening Balance'!$B$15*(N(INDEX('Daily Sale entry '!$S$1:$S$1501,$J708-1499))-TRUNC(N(INDEX('Daily Sale entry '!$S$1:$S$1501,$J708-1499))))))</f>
        <v/>
      </c>
      <c r="G708" s="6">
        <f>IF($J708="","",IF($J708&lt;=1500,N(INDEX('Daily Sale entry '!$AD$1:$AD$1501,$J708+1)),0))</f>
        <v/>
      </c>
      <c r="H708" s="6">
        <f>IF($J708="","",ROUND('Opening Balance'!$B$4+SUM($F$2:F708)-SUM($G$2:G708),2))</f>
        <v/>
      </c>
      <c r="J708" s="21">
        <f>IFERROR(MATCH(ROW()-1,$L$2:$L$3001,0),"")</f>
        <v/>
      </c>
      <c r="K708" s="34">
        <f>IF(AND('Daily Sale entry '!X708&lt;&gt;"",OR('Daily Sale entry '!AC708&lt;&gt;"",'Daily Sale entry '!AD708&lt;&gt;"")),'Daily Sale entry '!X708+ROW()/10000000,"")</f>
        <v/>
      </c>
      <c r="L708" s="21">
        <f>IF(K708="","",COUNTIF($K$2:$K$3001,"&lt;"&amp;K708)+1)</f>
        <v/>
      </c>
    </row>
    <row r="709">
      <c r="A709" s="5">
        <f>IF($J709="","",IF($J709&lt;=1500,INDEX('Daily Sale entry '!$X$1:$X$1501,$J709+1),INDEX('Daily Sale entry '!$V$1:$V$1501,$J709-1499)))</f>
        <v/>
      </c>
      <c r="B709">
        <f>IF($J709="","",IF($J709&lt;=1500,INDEX('Daily Sale entry '!$Y$1:$Y$1501,$J709+1)&amp;"","Buyer cheque banked 买家支票存入"&amp;IF(INDEX('Daily Sale entry '!$U$1:$U$1501,$J709-1499)="","", " - "&amp;INDEX('Daily Sale entry '!$U$1:$U$1501,$J709-1499))))</f>
        <v/>
      </c>
      <c r="C709">
        <f>IF($J709="","",IF($J709&lt;=1500,INDEX('Daily Sale entry '!$Z$1:$Z$1501,$J709+1)&amp;"","Cheque deposit 支票存入 (buyer 买家)"))</f>
        <v/>
      </c>
      <c r="D709">
        <f>IF($J709="","",IF($J709&lt;=1500,INDEX('Daily Sale entry '!$AA$1:$AA$1501,$J709+1)&amp;"",INDEX('Daily Sale entry '!$P$1:$P$1501,$J709-1499)&amp;""))</f>
        <v/>
      </c>
      <c r="E709">
        <f>IF($J709="","",IF($J709&lt;=1500,IF(N(INDEX('Daily Sale entry '!$AB$1:$AB$1501,$J709+1))=0,"",INDEX('Daily Sale entry '!$AB$1:$AB$1501,$J709+1)),1))</f>
        <v/>
      </c>
      <c r="F709" s="6">
        <f>IF($J709="","",IF($J709&lt;=1500,N(INDEX('Daily Sale entry '!$AC$1:$AC$1501,$J709+1))-IF(AND('Opening Balance'!$B$15=1,INDEX('Daily Sale entry '!$Z$1:$Z$1501,$J709+1)="Online collection 网上收款",INDEX('Daily Sale entry '!$AA$1:$AA$1501,$J709+1)&lt;&gt;""),N(INDEX('Daily Sale entry '!$AC$1:$AC$1501,$J709+1))-TRUNC(N(INDEX('Daily Sale entry '!$AC$1:$AC$1501,$J709+1))),0),N(INDEX('Daily Sale entry '!$S$1:$S$1501,$J709-1499))-'Opening Balance'!$B$15*(N(INDEX('Daily Sale entry '!$S$1:$S$1501,$J709-1499))-TRUNC(N(INDEX('Daily Sale entry '!$S$1:$S$1501,$J709-1499))))))</f>
        <v/>
      </c>
      <c r="G709" s="6">
        <f>IF($J709="","",IF($J709&lt;=1500,N(INDEX('Daily Sale entry '!$AD$1:$AD$1501,$J709+1)),0))</f>
        <v/>
      </c>
      <c r="H709" s="6">
        <f>IF($J709="","",ROUND('Opening Balance'!$B$4+SUM($F$2:F709)-SUM($G$2:G709),2))</f>
        <v/>
      </c>
      <c r="J709" s="21">
        <f>IFERROR(MATCH(ROW()-1,$L$2:$L$3001,0),"")</f>
        <v/>
      </c>
      <c r="K709" s="34">
        <f>IF(AND('Daily Sale entry '!X709&lt;&gt;"",OR('Daily Sale entry '!AC709&lt;&gt;"",'Daily Sale entry '!AD709&lt;&gt;"")),'Daily Sale entry '!X709+ROW()/10000000,"")</f>
        <v/>
      </c>
      <c r="L709" s="21">
        <f>IF(K709="","",COUNTIF($K$2:$K$3001,"&lt;"&amp;K709)+1)</f>
        <v/>
      </c>
    </row>
    <row r="710">
      <c r="A710" s="5">
        <f>IF($J710="","",IF($J710&lt;=1500,INDEX('Daily Sale entry '!$X$1:$X$1501,$J710+1),INDEX('Daily Sale entry '!$V$1:$V$1501,$J710-1499)))</f>
        <v/>
      </c>
      <c r="B710">
        <f>IF($J710="","",IF($J710&lt;=1500,INDEX('Daily Sale entry '!$Y$1:$Y$1501,$J710+1)&amp;"","Buyer cheque banked 买家支票存入"&amp;IF(INDEX('Daily Sale entry '!$U$1:$U$1501,$J710-1499)="","", " - "&amp;INDEX('Daily Sale entry '!$U$1:$U$1501,$J710-1499))))</f>
        <v/>
      </c>
      <c r="C710">
        <f>IF($J710="","",IF($J710&lt;=1500,INDEX('Daily Sale entry '!$Z$1:$Z$1501,$J710+1)&amp;"","Cheque deposit 支票存入 (buyer 买家)"))</f>
        <v/>
      </c>
      <c r="D710">
        <f>IF($J710="","",IF($J710&lt;=1500,INDEX('Daily Sale entry '!$AA$1:$AA$1501,$J710+1)&amp;"",INDEX('Daily Sale entry '!$P$1:$P$1501,$J710-1499)&amp;""))</f>
        <v/>
      </c>
      <c r="E710">
        <f>IF($J710="","",IF($J710&lt;=1500,IF(N(INDEX('Daily Sale entry '!$AB$1:$AB$1501,$J710+1))=0,"",INDEX('Daily Sale entry '!$AB$1:$AB$1501,$J710+1)),1))</f>
        <v/>
      </c>
      <c r="F710" s="6">
        <f>IF($J710="","",IF($J710&lt;=1500,N(INDEX('Daily Sale entry '!$AC$1:$AC$1501,$J710+1))-IF(AND('Opening Balance'!$B$15=1,INDEX('Daily Sale entry '!$Z$1:$Z$1501,$J710+1)="Online collection 网上收款",INDEX('Daily Sale entry '!$AA$1:$AA$1501,$J710+1)&lt;&gt;""),N(INDEX('Daily Sale entry '!$AC$1:$AC$1501,$J710+1))-TRUNC(N(INDEX('Daily Sale entry '!$AC$1:$AC$1501,$J710+1))),0),N(INDEX('Daily Sale entry '!$S$1:$S$1501,$J710-1499))-'Opening Balance'!$B$15*(N(INDEX('Daily Sale entry '!$S$1:$S$1501,$J710-1499))-TRUNC(N(INDEX('Daily Sale entry '!$S$1:$S$1501,$J710-1499))))))</f>
        <v/>
      </c>
      <c r="G710" s="6">
        <f>IF($J710="","",IF($J710&lt;=1500,N(INDEX('Daily Sale entry '!$AD$1:$AD$1501,$J710+1)),0))</f>
        <v/>
      </c>
      <c r="H710" s="6">
        <f>IF($J710="","",ROUND('Opening Balance'!$B$4+SUM($F$2:F710)-SUM($G$2:G710),2))</f>
        <v/>
      </c>
      <c r="J710" s="21">
        <f>IFERROR(MATCH(ROW()-1,$L$2:$L$3001,0),"")</f>
        <v/>
      </c>
      <c r="K710" s="34">
        <f>IF(AND('Daily Sale entry '!X710&lt;&gt;"",OR('Daily Sale entry '!AC710&lt;&gt;"",'Daily Sale entry '!AD710&lt;&gt;"")),'Daily Sale entry '!X710+ROW()/10000000,"")</f>
        <v/>
      </c>
      <c r="L710" s="21">
        <f>IF(K710="","",COUNTIF($K$2:$K$3001,"&lt;"&amp;K710)+1)</f>
        <v/>
      </c>
    </row>
    <row r="711">
      <c r="A711" s="5">
        <f>IF($J711="","",IF($J711&lt;=1500,INDEX('Daily Sale entry '!$X$1:$X$1501,$J711+1),INDEX('Daily Sale entry '!$V$1:$V$1501,$J711-1499)))</f>
        <v/>
      </c>
      <c r="B711">
        <f>IF($J711="","",IF($J711&lt;=1500,INDEX('Daily Sale entry '!$Y$1:$Y$1501,$J711+1)&amp;"","Buyer cheque banked 买家支票存入"&amp;IF(INDEX('Daily Sale entry '!$U$1:$U$1501,$J711-1499)="","", " - "&amp;INDEX('Daily Sale entry '!$U$1:$U$1501,$J711-1499))))</f>
        <v/>
      </c>
      <c r="C711">
        <f>IF($J711="","",IF($J711&lt;=1500,INDEX('Daily Sale entry '!$Z$1:$Z$1501,$J711+1)&amp;"","Cheque deposit 支票存入 (buyer 买家)"))</f>
        <v/>
      </c>
      <c r="D711">
        <f>IF($J711="","",IF($J711&lt;=1500,INDEX('Daily Sale entry '!$AA$1:$AA$1501,$J711+1)&amp;"",INDEX('Daily Sale entry '!$P$1:$P$1501,$J711-1499)&amp;""))</f>
        <v/>
      </c>
      <c r="E711">
        <f>IF($J711="","",IF($J711&lt;=1500,IF(N(INDEX('Daily Sale entry '!$AB$1:$AB$1501,$J711+1))=0,"",INDEX('Daily Sale entry '!$AB$1:$AB$1501,$J711+1)),1))</f>
        <v/>
      </c>
      <c r="F711" s="6">
        <f>IF($J711="","",IF($J711&lt;=1500,N(INDEX('Daily Sale entry '!$AC$1:$AC$1501,$J711+1))-IF(AND('Opening Balance'!$B$15=1,INDEX('Daily Sale entry '!$Z$1:$Z$1501,$J711+1)="Online collection 网上收款",INDEX('Daily Sale entry '!$AA$1:$AA$1501,$J711+1)&lt;&gt;""),N(INDEX('Daily Sale entry '!$AC$1:$AC$1501,$J711+1))-TRUNC(N(INDEX('Daily Sale entry '!$AC$1:$AC$1501,$J711+1))),0),N(INDEX('Daily Sale entry '!$S$1:$S$1501,$J711-1499))-'Opening Balance'!$B$15*(N(INDEX('Daily Sale entry '!$S$1:$S$1501,$J711-1499))-TRUNC(N(INDEX('Daily Sale entry '!$S$1:$S$1501,$J711-1499))))))</f>
        <v/>
      </c>
      <c r="G711" s="6">
        <f>IF($J711="","",IF($J711&lt;=1500,N(INDEX('Daily Sale entry '!$AD$1:$AD$1501,$J711+1)),0))</f>
        <v/>
      </c>
      <c r="H711" s="6">
        <f>IF($J711="","",ROUND('Opening Balance'!$B$4+SUM($F$2:F711)-SUM($G$2:G711),2))</f>
        <v/>
      </c>
      <c r="J711" s="21">
        <f>IFERROR(MATCH(ROW()-1,$L$2:$L$3001,0),"")</f>
        <v/>
      </c>
      <c r="K711" s="34">
        <f>IF(AND('Daily Sale entry '!X711&lt;&gt;"",OR('Daily Sale entry '!AC711&lt;&gt;"",'Daily Sale entry '!AD711&lt;&gt;"")),'Daily Sale entry '!X711+ROW()/10000000,"")</f>
        <v/>
      </c>
      <c r="L711" s="21">
        <f>IF(K711="","",COUNTIF($K$2:$K$3001,"&lt;"&amp;K711)+1)</f>
        <v/>
      </c>
    </row>
    <row r="712">
      <c r="A712" s="5">
        <f>IF($J712="","",IF($J712&lt;=1500,INDEX('Daily Sale entry '!$X$1:$X$1501,$J712+1),INDEX('Daily Sale entry '!$V$1:$V$1501,$J712-1499)))</f>
        <v/>
      </c>
      <c r="B712">
        <f>IF($J712="","",IF($J712&lt;=1500,INDEX('Daily Sale entry '!$Y$1:$Y$1501,$J712+1)&amp;"","Buyer cheque banked 买家支票存入"&amp;IF(INDEX('Daily Sale entry '!$U$1:$U$1501,$J712-1499)="","", " - "&amp;INDEX('Daily Sale entry '!$U$1:$U$1501,$J712-1499))))</f>
        <v/>
      </c>
      <c r="C712">
        <f>IF($J712="","",IF($J712&lt;=1500,INDEX('Daily Sale entry '!$Z$1:$Z$1501,$J712+1)&amp;"","Cheque deposit 支票存入 (buyer 买家)"))</f>
        <v/>
      </c>
      <c r="D712">
        <f>IF($J712="","",IF($J712&lt;=1500,INDEX('Daily Sale entry '!$AA$1:$AA$1501,$J712+1)&amp;"",INDEX('Daily Sale entry '!$P$1:$P$1501,$J712-1499)&amp;""))</f>
        <v/>
      </c>
      <c r="E712">
        <f>IF($J712="","",IF($J712&lt;=1500,IF(N(INDEX('Daily Sale entry '!$AB$1:$AB$1501,$J712+1))=0,"",INDEX('Daily Sale entry '!$AB$1:$AB$1501,$J712+1)),1))</f>
        <v/>
      </c>
      <c r="F712" s="6">
        <f>IF($J712="","",IF($J712&lt;=1500,N(INDEX('Daily Sale entry '!$AC$1:$AC$1501,$J712+1))-IF(AND('Opening Balance'!$B$15=1,INDEX('Daily Sale entry '!$Z$1:$Z$1501,$J712+1)="Online collection 网上收款",INDEX('Daily Sale entry '!$AA$1:$AA$1501,$J712+1)&lt;&gt;""),N(INDEX('Daily Sale entry '!$AC$1:$AC$1501,$J712+1))-TRUNC(N(INDEX('Daily Sale entry '!$AC$1:$AC$1501,$J712+1))),0),N(INDEX('Daily Sale entry '!$S$1:$S$1501,$J712-1499))-'Opening Balance'!$B$15*(N(INDEX('Daily Sale entry '!$S$1:$S$1501,$J712-1499))-TRUNC(N(INDEX('Daily Sale entry '!$S$1:$S$1501,$J712-1499))))))</f>
        <v/>
      </c>
      <c r="G712" s="6">
        <f>IF($J712="","",IF($J712&lt;=1500,N(INDEX('Daily Sale entry '!$AD$1:$AD$1501,$J712+1)),0))</f>
        <v/>
      </c>
      <c r="H712" s="6">
        <f>IF($J712="","",ROUND('Opening Balance'!$B$4+SUM($F$2:F712)-SUM($G$2:G712),2))</f>
        <v/>
      </c>
      <c r="J712" s="21">
        <f>IFERROR(MATCH(ROW()-1,$L$2:$L$3001,0),"")</f>
        <v/>
      </c>
      <c r="K712" s="34">
        <f>IF(AND('Daily Sale entry '!X712&lt;&gt;"",OR('Daily Sale entry '!AC712&lt;&gt;"",'Daily Sale entry '!AD712&lt;&gt;"")),'Daily Sale entry '!X712+ROW()/10000000,"")</f>
        <v/>
      </c>
      <c r="L712" s="21">
        <f>IF(K712="","",COUNTIF($K$2:$K$3001,"&lt;"&amp;K712)+1)</f>
        <v/>
      </c>
    </row>
    <row r="713">
      <c r="A713" s="5">
        <f>IF($J713="","",IF($J713&lt;=1500,INDEX('Daily Sale entry '!$X$1:$X$1501,$J713+1),INDEX('Daily Sale entry '!$V$1:$V$1501,$J713-1499)))</f>
        <v/>
      </c>
      <c r="B713">
        <f>IF($J713="","",IF($J713&lt;=1500,INDEX('Daily Sale entry '!$Y$1:$Y$1501,$J713+1)&amp;"","Buyer cheque banked 买家支票存入"&amp;IF(INDEX('Daily Sale entry '!$U$1:$U$1501,$J713-1499)="","", " - "&amp;INDEX('Daily Sale entry '!$U$1:$U$1501,$J713-1499))))</f>
        <v/>
      </c>
      <c r="C713">
        <f>IF($J713="","",IF($J713&lt;=1500,INDEX('Daily Sale entry '!$Z$1:$Z$1501,$J713+1)&amp;"","Cheque deposit 支票存入 (buyer 买家)"))</f>
        <v/>
      </c>
      <c r="D713">
        <f>IF($J713="","",IF($J713&lt;=1500,INDEX('Daily Sale entry '!$AA$1:$AA$1501,$J713+1)&amp;"",INDEX('Daily Sale entry '!$P$1:$P$1501,$J713-1499)&amp;""))</f>
        <v/>
      </c>
      <c r="E713">
        <f>IF($J713="","",IF($J713&lt;=1500,IF(N(INDEX('Daily Sale entry '!$AB$1:$AB$1501,$J713+1))=0,"",INDEX('Daily Sale entry '!$AB$1:$AB$1501,$J713+1)),1))</f>
        <v/>
      </c>
      <c r="F713" s="6">
        <f>IF($J713="","",IF($J713&lt;=1500,N(INDEX('Daily Sale entry '!$AC$1:$AC$1501,$J713+1))-IF(AND('Opening Balance'!$B$15=1,INDEX('Daily Sale entry '!$Z$1:$Z$1501,$J713+1)="Online collection 网上收款",INDEX('Daily Sale entry '!$AA$1:$AA$1501,$J713+1)&lt;&gt;""),N(INDEX('Daily Sale entry '!$AC$1:$AC$1501,$J713+1))-TRUNC(N(INDEX('Daily Sale entry '!$AC$1:$AC$1501,$J713+1))),0),N(INDEX('Daily Sale entry '!$S$1:$S$1501,$J713-1499))-'Opening Balance'!$B$15*(N(INDEX('Daily Sale entry '!$S$1:$S$1501,$J713-1499))-TRUNC(N(INDEX('Daily Sale entry '!$S$1:$S$1501,$J713-1499))))))</f>
        <v/>
      </c>
      <c r="G713" s="6">
        <f>IF($J713="","",IF($J713&lt;=1500,N(INDEX('Daily Sale entry '!$AD$1:$AD$1501,$J713+1)),0))</f>
        <v/>
      </c>
      <c r="H713" s="6">
        <f>IF($J713="","",ROUND('Opening Balance'!$B$4+SUM($F$2:F713)-SUM($G$2:G713),2))</f>
        <v/>
      </c>
      <c r="J713" s="21">
        <f>IFERROR(MATCH(ROW()-1,$L$2:$L$3001,0),"")</f>
        <v/>
      </c>
      <c r="K713" s="34">
        <f>IF(AND('Daily Sale entry '!X713&lt;&gt;"",OR('Daily Sale entry '!AC713&lt;&gt;"",'Daily Sale entry '!AD713&lt;&gt;"")),'Daily Sale entry '!X713+ROW()/10000000,"")</f>
        <v/>
      </c>
      <c r="L713" s="21">
        <f>IF(K713="","",COUNTIF($K$2:$K$3001,"&lt;"&amp;K713)+1)</f>
        <v/>
      </c>
    </row>
    <row r="714">
      <c r="A714" s="5">
        <f>IF($J714="","",IF($J714&lt;=1500,INDEX('Daily Sale entry '!$X$1:$X$1501,$J714+1),INDEX('Daily Sale entry '!$V$1:$V$1501,$J714-1499)))</f>
        <v/>
      </c>
      <c r="B714">
        <f>IF($J714="","",IF($J714&lt;=1500,INDEX('Daily Sale entry '!$Y$1:$Y$1501,$J714+1)&amp;"","Buyer cheque banked 买家支票存入"&amp;IF(INDEX('Daily Sale entry '!$U$1:$U$1501,$J714-1499)="","", " - "&amp;INDEX('Daily Sale entry '!$U$1:$U$1501,$J714-1499))))</f>
        <v/>
      </c>
      <c r="C714">
        <f>IF($J714="","",IF($J714&lt;=1500,INDEX('Daily Sale entry '!$Z$1:$Z$1501,$J714+1)&amp;"","Cheque deposit 支票存入 (buyer 买家)"))</f>
        <v/>
      </c>
      <c r="D714">
        <f>IF($J714="","",IF($J714&lt;=1500,INDEX('Daily Sale entry '!$AA$1:$AA$1501,$J714+1)&amp;"",INDEX('Daily Sale entry '!$P$1:$P$1501,$J714-1499)&amp;""))</f>
        <v/>
      </c>
      <c r="E714">
        <f>IF($J714="","",IF($J714&lt;=1500,IF(N(INDEX('Daily Sale entry '!$AB$1:$AB$1501,$J714+1))=0,"",INDEX('Daily Sale entry '!$AB$1:$AB$1501,$J714+1)),1))</f>
        <v/>
      </c>
      <c r="F714" s="6">
        <f>IF($J714="","",IF($J714&lt;=1500,N(INDEX('Daily Sale entry '!$AC$1:$AC$1501,$J714+1))-IF(AND('Opening Balance'!$B$15=1,INDEX('Daily Sale entry '!$Z$1:$Z$1501,$J714+1)="Online collection 网上收款",INDEX('Daily Sale entry '!$AA$1:$AA$1501,$J714+1)&lt;&gt;""),N(INDEX('Daily Sale entry '!$AC$1:$AC$1501,$J714+1))-TRUNC(N(INDEX('Daily Sale entry '!$AC$1:$AC$1501,$J714+1))),0),N(INDEX('Daily Sale entry '!$S$1:$S$1501,$J714-1499))-'Opening Balance'!$B$15*(N(INDEX('Daily Sale entry '!$S$1:$S$1501,$J714-1499))-TRUNC(N(INDEX('Daily Sale entry '!$S$1:$S$1501,$J714-1499))))))</f>
        <v/>
      </c>
      <c r="G714" s="6">
        <f>IF($J714="","",IF($J714&lt;=1500,N(INDEX('Daily Sale entry '!$AD$1:$AD$1501,$J714+1)),0))</f>
        <v/>
      </c>
      <c r="H714" s="6">
        <f>IF($J714="","",ROUND('Opening Balance'!$B$4+SUM($F$2:F714)-SUM($G$2:G714),2))</f>
        <v/>
      </c>
      <c r="J714" s="21">
        <f>IFERROR(MATCH(ROW()-1,$L$2:$L$3001,0),"")</f>
        <v/>
      </c>
      <c r="K714" s="34">
        <f>IF(AND('Daily Sale entry '!X714&lt;&gt;"",OR('Daily Sale entry '!AC714&lt;&gt;"",'Daily Sale entry '!AD714&lt;&gt;"")),'Daily Sale entry '!X714+ROW()/10000000,"")</f>
        <v/>
      </c>
      <c r="L714" s="21">
        <f>IF(K714="","",COUNTIF($K$2:$K$3001,"&lt;"&amp;K714)+1)</f>
        <v/>
      </c>
    </row>
    <row r="715">
      <c r="A715" s="5">
        <f>IF($J715="","",IF($J715&lt;=1500,INDEX('Daily Sale entry '!$X$1:$X$1501,$J715+1),INDEX('Daily Sale entry '!$V$1:$V$1501,$J715-1499)))</f>
        <v/>
      </c>
      <c r="B715">
        <f>IF($J715="","",IF($J715&lt;=1500,INDEX('Daily Sale entry '!$Y$1:$Y$1501,$J715+1)&amp;"","Buyer cheque banked 买家支票存入"&amp;IF(INDEX('Daily Sale entry '!$U$1:$U$1501,$J715-1499)="","", " - "&amp;INDEX('Daily Sale entry '!$U$1:$U$1501,$J715-1499))))</f>
        <v/>
      </c>
      <c r="C715">
        <f>IF($J715="","",IF($J715&lt;=1500,INDEX('Daily Sale entry '!$Z$1:$Z$1501,$J715+1)&amp;"","Cheque deposit 支票存入 (buyer 买家)"))</f>
        <v/>
      </c>
      <c r="D715">
        <f>IF($J715="","",IF($J715&lt;=1500,INDEX('Daily Sale entry '!$AA$1:$AA$1501,$J715+1)&amp;"",INDEX('Daily Sale entry '!$P$1:$P$1501,$J715-1499)&amp;""))</f>
        <v/>
      </c>
      <c r="E715">
        <f>IF($J715="","",IF($J715&lt;=1500,IF(N(INDEX('Daily Sale entry '!$AB$1:$AB$1501,$J715+1))=0,"",INDEX('Daily Sale entry '!$AB$1:$AB$1501,$J715+1)),1))</f>
        <v/>
      </c>
      <c r="F715" s="6">
        <f>IF($J715="","",IF($J715&lt;=1500,N(INDEX('Daily Sale entry '!$AC$1:$AC$1501,$J715+1))-IF(AND('Opening Balance'!$B$15=1,INDEX('Daily Sale entry '!$Z$1:$Z$1501,$J715+1)="Online collection 网上收款",INDEX('Daily Sale entry '!$AA$1:$AA$1501,$J715+1)&lt;&gt;""),N(INDEX('Daily Sale entry '!$AC$1:$AC$1501,$J715+1))-TRUNC(N(INDEX('Daily Sale entry '!$AC$1:$AC$1501,$J715+1))),0),N(INDEX('Daily Sale entry '!$S$1:$S$1501,$J715-1499))-'Opening Balance'!$B$15*(N(INDEX('Daily Sale entry '!$S$1:$S$1501,$J715-1499))-TRUNC(N(INDEX('Daily Sale entry '!$S$1:$S$1501,$J715-1499))))))</f>
        <v/>
      </c>
      <c r="G715" s="6">
        <f>IF($J715="","",IF($J715&lt;=1500,N(INDEX('Daily Sale entry '!$AD$1:$AD$1501,$J715+1)),0))</f>
        <v/>
      </c>
      <c r="H715" s="6">
        <f>IF($J715="","",ROUND('Opening Balance'!$B$4+SUM($F$2:F715)-SUM($G$2:G715),2))</f>
        <v/>
      </c>
      <c r="J715" s="21">
        <f>IFERROR(MATCH(ROW()-1,$L$2:$L$3001,0),"")</f>
        <v/>
      </c>
      <c r="K715" s="34">
        <f>IF(AND('Daily Sale entry '!X715&lt;&gt;"",OR('Daily Sale entry '!AC715&lt;&gt;"",'Daily Sale entry '!AD715&lt;&gt;"")),'Daily Sale entry '!X715+ROW()/10000000,"")</f>
        <v/>
      </c>
      <c r="L715" s="21">
        <f>IF(K715="","",COUNTIF($K$2:$K$3001,"&lt;"&amp;K715)+1)</f>
        <v/>
      </c>
    </row>
    <row r="716">
      <c r="A716" s="5">
        <f>IF($J716="","",IF($J716&lt;=1500,INDEX('Daily Sale entry '!$X$1:$X$1501,$J716+1),INDEX('Daily Sale entry '!$V$1:$V$1501,$J716-1499)))</f>
        <v/>
      </c>
      <c r="B716">
        <f>IF($J716="","",IF($J716&lt;=1500,INDEX('Daily Sale entry '!$Y$1:$Y$1501,$J716+1)&amp;"","Buyer cheque banked 买家支票存入"&amp;IF(INDEX('Daily Sale entry '!$U$1:$U$1501,$J716-1499)="","", " - "&amp;INDEX('Daily Sale entry '!$U$1:$U$1501,$J716-1499))))</f>
        <v/>
      </c>
      <c r="C716">
        <f>IF($J716="","",IF($J716&lt;=1500,INDEX('Daily Sale entry '!$Z$1:$Z$1501,$J716+1)&amp;"","Cheque deposit 支票存入 (buyer 买家)"))</f>
        <v/>
      </c>
      <c r="D716">
        <f>IF($J716="","",IF($J716&lt;=1500,INDEX('Daily Sale entry '!$AA$1:$AA$1501,$J716+1)&amp;"",INDEX('Daily Sale entry '!$P$1:$P$1501,$J716-1499)&amp;""))</f>
        <v/>
      </c>
      <c r="E716">
        <f>IF($J716="","",IF($J716&lt;=1500,IF(N(INDEX('Daily Sale entry '!$AB$1:$AB$1501,$J716+1))=0,"",INDEX('Daily Sale entry '!$AB$1:$AB$1501,$J716+1)),1))</f>
        <v/>
      </c>
      <c r="F716" s="6">
        <f>IF($J716="","",IF($J716&lt;=1500,N(INDEX('Daily Sale entry '!$AC$1:$AC$1501,$J716+1))-IF(AND('Opening Balance'!$B$15=1,INDEX('Daily Sale entry '!$Z$1:$Z$1501,$J716+1)="Online collection 网上收款",INDEX('Daily Sale entry '!$AA$1:$AA$1501,$J716+1)&lt;&gt;""),N(INDEX('Daily Sale entry '!$AC$1:$AC$1501,$J716+1))-TRUNC(N(INDEX('Daily Sale entry '!$AC$1:$AC$1501,$J716+1))),0),N(INDEX('Daily Sale entry '!$S$1:$S$1501,$J716-1499))-'Opening Balance'!$B$15*(N(INDEX('Daily Sale entry '!$S$1:$S$1501,$J716-1499))-TRUNC(N(INDEX('Daily Sale entry '!$S$1:$S$1501,$J716-1499))))))</f>
        <v/>
      </c>
      <c r="G716" s="6">
        <f>IF($J716="","",IF($J716&lt;=1500,N(INDEX('Daily Sale entry '!$AD$1:$AD$1501,$J716+1)),0))</f>
        <v/>
      </c>
      <c r="H716" s="6">
        <f>IF($J716="","",ROUND('Opening Balance'!$B$4+SUM($F$2:F716)-SUM($G$2:G716),2))</f>
        <v/>
      </c>
      <c r="J716" s="21">
        <f>IFERROR(MATCH(ROW()-1,$L$2:$L$3001,0),"")</f>
        <v/>
      </c>
      <c r="K716" s="34">
        <f>IF(AND('Daily Sale entry '!X716&lt;&gt;"",OR('Daily Sale entry '!AC716&lt;&gt;"",'Daily Sale entry '!AD716&lt;&gt;"")),'Daily Sale entry '!X716+ROW()/10000000,"")</f>
        <v/>
      </c>
      <c r="L716" s="21">
        <f>IF(K716="","",COUNTIF($K$2:$K$3001,"&lt;"&amp;K716)+1)</f>
        <v/>
      </c>
    </row>
    <row r="717">
      <c r="A717" s="5">
        <f>IF($J717="","",IF($J717&lt;=1500,INDEX('Daily Sale entry '!$X$1:$X$1501,$J717+1),INDEX('Daily Sale entry '!$V$1:$V$1501,$J717-1499)))</f>
        <v/>
      </c>
      <c r="B717">
        <f>IF($J717="","",IF($J717&lt;=1500,INDEX('Daily Sale entry '!$Y$1:$Y$1501,$J717+1)&amp;"","Buyer cheque banked 买家支票存入"&amp;IF(INDEX('Daily Sale entry '!$U$1:$U$1501,$J717-1499)="","", " - "&amp;INDEX('Daily Sale entry '!$U$1:$U$1501,$J717-1499))))</f>
        <v/>
      </c>
      <c r="C717">
        <f>IF($J717="","",IF($J717&lt;=1500,INDEX('Daily Sale entry '!$Z$1:$Z$1501,$J717+1)&amp;"","Cheque deposit 支票存入 (buyer 买家)"))</f>
        <v/>
      </c>
      <c r="D717">
        <f>IF($J717="","",IF($J717&lt;=1500,INDEX('Daily Sale entry '!$AA$1:$AA$1501,$J717+1)&amp;"",INDEX('Daily Sale entry '!$P$1:$P$1501,$J717-1499)&amp;""))</f>
        <v/>
      </c>
      <c r="E717">
        <f>IF($J717="","",IF($J717&lt;=1500,IF(N(INDEX('Daily Sale entry '!$AB$1:$AB$1501,$J717+1))=0,"",INDEX('Daily Sale entry '!$AB$1:$AB$1501,$J717+1)),1))</f>
        <v/>
      </c>
      <c r="F717" s="6">
        <f>IF($J717="","",IF($J717&lt;=1500,N(INDEX('Daily Sale entry '!$AC$1:$AC$1501,$J717+1))-IF(AND('Opening Balance'!$B$15=1,INDEX('Daily Sale entry '!$Z$1:$Z$1501,$J717+1)="Online collection 网上收款",INDEX('Daily Sale entry '!$AA$1:$AA$1501,$J717+1)&lt;&gt;""),N(INDEX('Daily Sale entry '!$AC$1:$AC$1501,$J717+1))-TRUNC(N(INDEX('Daily Sale entry '!$AC$1:$AC$1501,$J717+1))),0),N(INDEX('Daily Sale entry '!$S$1:$S$1501,$J717-1499))-'Opening Balance'!$B$15*(N(INDEX('Daily Sale entry '!$S$1:$S$1501,$J717-1499))-TRUNC(N(INDEX('Daily Sale entry '!$S$1:$S$1501,$J717-1499))))))</f>
        <v/>
      </c>
      <c r="G717" s="6">
        <f>IF($J717="","",IF($J717&lt;=1500,N(INDEX('Daily Sale entry '!$AD$1:$AD$1501,$J717+1)),0))</f>
        <v/>
      </c>
      <c r="H717" s="6">
        <f>IF($J717="","",ROUND('Opening Balance'!$B$4+SUM($F$2:F717)-SUM($G$2:G717),2))</f>
        <v/>
      </c>
      <c r="J717" s="21">
        <f>IFERROR(MATCH(ROW()-1,$L$2:$L$3001,0),"")</f>
        <v/>
      </c>
      <c r="K717" s="34">
        <f>IF(AND('Daily Sale entry '!X717&lt;&gt;"",OR('Daily Sale entry '!AC717&lt;&gt;"",'Daily Sale entry '!AD717&lt;&gt;"")),'Daily Sale entry '!X717+ROW()/10000000,"")</f>
        <v/>
      </c>
      <c r="L717" s="21">
        <f>IF(K717="","",COUNTIF($K$2:$K$3001,"&lt;"&amp;K717)+1)</f>
        <v/>
      </c>
    </row>
    <row r="718">
      <c r="A718" s="5">
        <f>IF($J718="","",IF($J718&lt;=1500,INDEX('Daily Sale entry '!$X$1:$X$1501,$J718+1),INDEX('Daily Sale entry '!$V$1:$V$1501,$J718-1499)))</f>
        <v/>
      </c>
      <c r="B718">
        <f>IF($J718="","",IF($J718&lt;=1500,INDEX('Daily Sale entry '!$Y$1:$Y$1501,$J718+1)&amp;"","Buyer cheque banked 买家支票存入"&amp;IF(INDEX('Daily Sale entry '!$U$1:$U$1501,$J718-1499)="","", " - "&amp;INDEX('Daily Sale entry '!$U$1:$U$1501,$J718-1499))))</f>
        <v/>
      </c>
      <c r="C718">
        <f>IF($J718="","",IF($J718&lt;=1500,INDEX('Daily Sale entry '!$Z$1:$Z$1501,$J718+1)&amp;"","Cheque deposit 支票存入 (buyer 买家)"))</f>
        <v/>
      </c>
      <c r="D718">
        <f>IF($J718="","",IF($J718&lt;=1500,INDEX('Daily Sale entry '!$AA$1:$AA$1501,$J718+1)&amp;"",INDEX('Daily Sale entry '!$P$1:$P$1501,$J718-1499)&amp;""))</f>
        <v/>
      </c>
      <c r="E718">
        <f>IF($J718="","",IF($J718&lt;=1500,IF(N(INDEX('Daily Sale entry '!$AB$1:$AB$1501,$J718+1))=0,"",INDEX('Daily Sale entry '!$AB$1:$AB$1501,$J718+1)),1))</f>
        <v/>
      </c>
      <c r="F718" s="6">
        <f>IF($J718="","",IF($J718&lt;=1500,N(INDEX('Daily Sale entry '!$AC$1:$AC$1501,$J718+1))-IF(AND('Opening Balance'!$B$15=1,INDEX('Daily Sale entry '!$Z$1:$Z$1501,$J718+1)="Online collection 网上收款",INDEX('Daily Sale entry '!$AA$1:$AA$1501,$J718+1)&lt;&gt;""),N(INDEX('Daily Sale entry '!$AC$1:$AC$1501,$J718+1))-TRUNC(N(INDEX('Daily Sale entry '!$AC$1:$AC$1501,$J718+1))),0),N(INDEX('Daily Sale entry '!$S$1:$S$1501,$J718-1499))-'Opening Balance'!$B$15*(N(INDEX('Daily Sale entry '!$S$1:$S$1501,$J718-1499))-TRUNC(N(INDEX('Daily Sale entry '!$S$1:$S$1501,$J718-1499))))))</f>
        <v/>
      </c>
      <c r="G718" s="6">
        <f>IF($J718="","",IF($J718&lt;=1500,N(INDEX('Daily Sale entry '!$AD$1:$AD$1501,$J718+1)),0))</f>
        <v/>
      </c>
      <c r="H718" s="6">
        <f>IF($J718="","",ROUND('Opening Balance'!$B$4+SUM($F$2:F718)-SUM($G$2:G718),2))</f>
        <v/>
      </c>
      <c r="J718" s="21">
        <f>IFERROR(MATCH(ROW()-1,$L$2:$L$3001,0),"")</f>
        <v/>
      </c>
      <c r="K718" s="34">
        <f>IF(AND('Daily Sale entry '!X718&lt;&gt;"",OR('Daily Sale entry '!AC718&lt;&gt;"",'Daily Sale entry '!AD718&lt;&gt;"")),'Daily Sale entry '!X718+ROW()/10000000,"")</f>
        <v/>
      </c>
      <c r="L718" s="21">
        <f>IF(K718="","",COUNTIF($K$2:$K$3001,"&lt;"&amp;K718)+1)</f>
        <v/>
      </c>
    </row>
    <row r="719">
      <c r="A719" s="5">
        <f>IF($J719="","",IF($J719&lt;=1500,INDEX('Daily Sale entry '!$X$1:$X$1501,$J719+1),INDEX('Daily Sale entry '!$V$1:$V$1501,$J719-1499)))</f>
        <v/>
      </c>
      <c r="B719">
        <f>IF($J719="","",IF($J719&lt;=1500,INDEX('Daily Sale entry '!$Y$1:$Y$1501,$J719+1)&amp;"","Buyer cheque banked 买家支票存入"&amp;IF(INDEX('Daily Sale entry '!$U$1:$U$1501,$J719-1499)="","", " - "&amp;INDEX('Daily Sale entry '!$U$1:$U$1501,$J719-1499))))</f>
        <v/>
      </c>
      <c r="C719">
        <f>IF($J719="","",IF($J719&lt;=1500,INDEX('Daily Sale entry '!$Z$1:$Z$1501,$J719+1)&amp;"","Cheque deposit 支票存入 (buyer 买家)"))</f>
        <v/>
      </c>
      <c r="D719">
        <f>IF($J719="","",IF($J719&lt;=1500,INDEX('Daily Sale entry '!$AA$1:$AA$1501,$J719+1)&amp;"",INDEX('Daily Sale entry '!$P$1:$P$1501,$J719-1499)&amp;""))</f>
        <v/>
      </c>
      <c r="E719">
        <f>IF($J719="","",IF($J719&lt;=1500,IF(N(INDEX('Daily Sale entry '!$AB$1:$AB$1501,$J719+1))=0,"",INDEX('Daily Sale entry '!$AB$1:$AB$1501,$J719+1)),1))</f>
        <v/>
      </c>
      <c r="F719" s="6">
        <f>IF($J719="","",IF($J719&lt;=1500,N(INDEX('Daily Sale entry '!$AC$1:$AC$1501,$J719+1))-IF(AND('Opening Balance'!$B$15=1,INDEX('Daily Sale entry '!$Z$1:$Z$1501,$J719+1)="Online collection 网上收款",INDEX('Daily Sale entry '!$AA$1:$AA$1501,$J719+1)&lt;&gt;""),N(INDEX('Daily Sale entry '!$AC$1:$AC$1501,$J719+1))-TRUNC(N(INDEX('Daily Sale entry '!$AC$1:$AC$1501,$J719+1))),0),N(INDEX('Daily Sale entry '!$S$1:$S$1501,$J719-1499))-'Opening Balance'!$B$15*(N(INDEX('Daily Sale entry '!$S$1:$S$1501,$J719-1499))-TRUNC(N(INDEX('Daily Sale entry '!$S$1:$S$1501,$J719-1499))))))</f>
        <v/>
      </c>
      <c r="G719" s="6">
        <f>IF($J719="","",IF($J719&lt;=1500,N(INDEX('Daily Sale entry '!$AD$1:$AD$1501,$J719+1)),0))</f>
        <v/>
      </c>
      <c r="H719" s="6">
        <f>IF($J719="","",ROUND('Opening Balance'!$B$4+SUM($F$2:F719)-SUM($G$2:G719),2))</f>
        <v/>
      </c>
      <c r="J719" s="21">
        <f>IFERROR(MATCH(ROW()-1,$L$2:$L$3001,0),"")</f>
        <v/>
      </c>
      <c r="K719" s="34">
        <f>IF(AND('Daily Sale entry '!X719&lt;&gt;"",OR('Daily Sale entry '!AC719&lt;&gt;"",'Daily Sale entry '!AD719&lt;&gt;"")),'Daily Sale entry '!X719+ROW()/10000000,"")</f>
        <v/>
      </c>
      <c r="L719" s="21">
        <f>IF(K719="","",COUNTIF($K$2:$K$3001,"&lt;"&amp;K719)+1)</f>
        <v/>
      </c>
    </row>
    <row r="720">
      <c r="A720" s="5">
        <f>IF($J720="","",IF($J720&lt;=1500,INDEX('Daily Sale entry '!$X$1:$X$1501,$J720+1),INDEX('Daily Sale entry '!$V$1:$V$1501,$J720-1499)))</f>
        <v/>
      </c>
      <c r="B720">
        <f>IF($J720="","",IF($J720&lt;=1500,INDEX('Daily Sale entry '!$Y$1:$Y$1501,$J720+1)&amp;"","Buyer cheque banked 买家支票存入"&amp;IF(INDEX('Daily Sale entry '!$U$1:$U$1501,$J720-1499)="","", " - "&amp;INDEX('Daily Sale entry '!$U$1:$U$1501,$J720-1499))))</f>
        <v/>
      </c>
      <c r="C720">
        <f>IF($J720="","",IF($J720&lt;=1500,INDEX('Daily Sale entry '!$Z$1:$Z$1501,$J720+1)&amp;"","Cheque deposit 支票存入 (buyer 买家)"))</f>
        <v/>
      </c>
      <c r="D720">
        <f>IF($J720="","",IF($J720&lt;=1500,INDEX('Daily Sale entry '!$AA$1:$AA$1501,$J720+1)&amp;"",INDEX('Daily Sale entry '!$P$1:$P$1501,$J720-1499)&amp;""))</f>
        <v/>
      </c>
      <c r="E720">
        <f>IF($J720="","",IF($J720&lt;=1500,IF(N(INDEX('Daily Sale entry '!$AB$1:$AB$1501,$J720+1))=0,"",INDEX('Daily Sale entry '!$AB$1:$AB$1501,$J720+1)),1))</f>
        <v/>
      </c>
      <c r="F720" s="6">
        <f>IF($J720="","",IF($J720&lt;=1500,N(INDEX('Daily Sale entry '!$AC$1:$AC$1501,$J720+1))-IF(AND('Opening Balance'!$B$15=1,INDEX('Daily Sale entry '!$Z$1:$Z$1501,$J720+1)="Online collection 网上收款",INDEX('Daily Sale entry '!$AA$1:$AA$1501,$J720+1)&lt;&gt;""),N(INDEX('Daily Sale entry '!$AC$1:$AC$1501,$J720+1))-TRUNC(N(INDEX('Daily Sale entry '!$AC$1:$AC$1501,$J720+1))),0),N(INDEX('Daily Sale entry '!$S$1:$S$1501,$J720-1499))-'Opening Balance'!$B$15*(N(INDEX('Daily Sale entry '!$S$1:$S$1501,$J720-1499))-TRUNC(N(INDEX('Daily Sale entry '!$S$1:$S$1501,$J720-1499))))))</f>
        <v/>
      </c>
      <c r="G720" s="6">
        <f>IF($J720="","",IF($J720&lt;=1500,N(INDEX('Daily Sale entry '!$AD$1:$AD$1501,$J720+1)),0))</f>
        <v/>
      </c>
      <c r="H720" s="6">
        <f>IF($J720="","",ROUND('Opening Balance'!$B$4+SUM($F$2:F720)-SUM($G$2:G720),2))</f>
        <v/>
      </c>
      <c r="J720" s="21">
        <f>IFERROR(MATCH(ROW()-1,$L$2:$L$3001,0),"")</f>
        <v/>
      </c>
      <c r="K720" s="34">
        <f>IF(AND('Daily Sale entry '!X720&lt;&gt;"",OR('Daily Sale entry '!AC720&lt;&gt;"",'Daily Sale entry '!AD720&lt;&gt;"")),'Daily Sale entry '!X720+ROW()/10000000,"")</f>
        <v/>
      </c>
      <c r="L720" s="21">
        <f>IF(K720="","",COUNTIF($K$2:$K$3001,"&lt;"&amp;K720)+1)</f>
        <v/>
      </c>
    </row>
    <row r="721">
      <c r="A721" s="5">
        <f>IF($J721="","",IF($J721&lt;=1500,INDEX('Daily Sale entry '!$X$1:$X$1501,$J721+1),INDEX('Daily Sale entry '!$V$1:$V$1501,$J721-1499)))</f>
        <v/>
      </c>
      <c r="B721">
        <f>IF($J721="","",IF($J721&lt;=1500,INDEX('Daily Sale entry '!$Y$1:$Y$1501,$J721+1)&amp;"","Buyer cheque banked 买家支票存入"&amp;IF(INDEX('Daily Sale entry '!$U$1:$U$1501,$J721-1499)="","", " - "&amp;INDEX('Daily Sale entry '!$U$1:$U$1501,$J721-1499))))</f>
        <v/>
      </c>
      <c r="C721">
        <f>IF($J721="","",IF($J721&lt;=1500,INDEX('Daily Sale entry '!$Z$1:$Z$1501,$J721+1)&amp;"","Cheque deposit 支票存入 (buyer 买家)"))</f>
        <v/>
      </c>
      <c r="D721">
        <f>IF($J721="","",IF($J721&lt;=1500,INDEX('Daily Sale entry '!$AA$1:$AA$1501,$J721+1)&amp;"",INDEX('Daily Sale entry '!$P$1:$P$1501,$J721-1499)&amp;""))</f>
        <v/>
      </c>
      <c r="E721">
        <f>IF($J721="","",IF($J721&lt;=1500,IF(N(INDEX('Daily Sale entry '!$AB$1:$AB$1501,$J721+1))=0,"",INDEX('Daily Sale entry '!$AB$1:$AB$1501,$J721+1)),1))</f>
        <v/>
      </c>
      <c r="F721" s="6">
        <f>IF($J721="","",IF($J721&lt;=1500,N(INDEX('Daily Sale entry '!$AC$1:$AC$1501,$J721+1))-IF(AND('Opening Balance'!$B$15=1,INDEX('Daily Sale entry '!$Z$1:$Z$1501,$J721+1)="Online collection 网上收款",INDEX('Daily Sale entry '!$AA$1:$AA$1501,$J721+1)&lt;&gt;""),N(INDEX('Daily Sale entry '!$AC$1:$AC$1501,$J721+1))-TRUNC(N(INDEX('Daily Sale entry '!$AC$1:$AC$1501,$J721+1))),0),N(INDEX('Daily Sale entry '!$S$1:$S$1501,$J721-1499))-'Opening Balance'!$B$15*(N(INDEX('Daily Sale entry '!$S$1:$S$1501,$J721-1499))-TRUNC(N(INDEX('Daily Sale entry '!$S$1:$S$1501,$J721-1499))))))</f>
        <v/>
      </c>
      <c r="G721" s="6">
        <f>IF($J721="","",IF($J721&lt;=1500,N(INDEX('Daily Sale entry '!$AD$1:$AD$1501,$J721+1)),0))</f>
        <v/>
      </c>
      <c r="H721" s="6">
        <f>IF($J721="","",ROUND('Opening Balance'!$B$4+SUM($F$2:F721)-SUM($G$2:G721),2))</f>
        <v/>
      </c>
      <c r="J721" s="21">
        <f>IFERROR(MATCH(ROW()-1,$L$2:$L$3001,0),"")</f>
        <v/>
      </c>
      <c r="K721" s="34">
        <f>IF(AND('Daily Sale entry '!X721&lt;&gt;"",OR('Daily Sale entry '!AC721&lt;&gt;"",'Daily Sale entry '!AD721&lt;&gt;"")),'Daily Sale entry '!X721+ROW()/10000000,"")</f>
        <v/>
      </c>
      <c r="L721" s="21">
        <f>IF(K721="","",COUNTIF($K$2:$K$3001,"&lt;"&amp;K721)+1)</f>
        <v/>
      </c>
    </row>
    <row r="722">
      <c r="A722" s="5">
        <f>IF($J722="","",IF($J722&lt;=1500,INDEX('Daily Sale entry '!$X$1:$X$1501,$J722+1),INDEX('Daily Sale entry '!$V$1:$V$1501,$J722-1499)))</f>
        <v/>
      </c>
      <c r="B722">
        <f>IF($J722="","",IF($J722&lt;=1500,INDEX('Daily Sale entry '!$Y$1:$Y$1501,$J722+1)&amp;"","Buyer cheque banked 买家支票存入"&amp;IF(INDEX('Daily Sale entry '!$U$1:$U$1501,$J722-1499)="","", " - "&amp;INDEX('Daily Sale entry '!$U$1:$U$1501,$J722-1499))))</f>
        <v/>
      </c>
      <c r="C722">
        <f>IF($J722="","",IF($J722&lt;=1500,INDEX('Daily Sale entry '!$Z$1:$Z$1501,$J722+1)&amp;"","Cheque deposit 支票存入 (buyer 买家)"))</f>
        <v/>
      </c>
      <c r="D722">
        <f>IF($J722="","",IF($J722&lt;=1500,INDEX('Daily Sale entry '!$AA$1:$AA$1501,$J722+1)&amp;"",INDEX('Daily Sale entry '!$P$1:$P$1501,$J722-1499)&amp;""))</f>
        <v/>
      </c>
      <c r="E722">
        <f>IF($J722="","",IF($J722&lt;=1500,IF(N(INDEX('Daily Sale entry '!$AB$1:$AB$1501,$J722+1))=0,"",INDEX('Daily Sale entry '!$AB$1:$AB$1501,$J722+1)),1))</f>
        <v/>
      </c>
      <c r="F722" s="6">
        <f>IF($J722="","",IF($J722&lt;=1500,N(INDEX('Daily Sale entry '!$AC$1:$AC$1501,$J722+1))-IF(AND('Opening Balance'!$B$15=1,INDEX('Daily Sale entry '!$Z$1:$Z$1501,$J722+1)="Online collection 网上收款",INDEX('Daily Sale entry '!$AA$1:$AA$1501,$J722+1)&lt;&gt;""),N(INDEX('Daily Sale entry '!$AC$1:$AC$1501,$J722+1))-TRUNC(N(INDEX('Daily Sale entry '!$AC$1:$AC$1501,$J722+1))),0),N(INDEX('Daily Sale entry '!$S$1:$S$1501,$J722-1499))-'Opening Balance'!$B$15*(N(INDEX('Daily Sale entry '!$S$1:$S$1501,$J722-1499))-TRUNC(N(INDEX('Daily Sale entry '!$S$1:$S$1501,$J722-1499))))))</f>
        <v/>
      </c>
      <c r="G722" s="6">
        <f>IF($J722="","",IF($J722&lt;=1500,N(INDEX('Daily Sale entry '!$AD$1:$AD$1501,$J722+1)),0))</f>
        <v/>
      </c>
      <c r="H722" s="6">
        <f>IF($J722="","",ROUND('Opening Balance'!$B$4+SUM($F$2:F722)-SUM($G$2:G722),2))</f>
        <v/>
      </c>
      <c r="J722" s="21">
        <f>IFERROR(MATCH(ROW()-1,$L$2:$L$3001,0),"")</f>
        <v/>
      </c>
      <c r="K722" s="34">
        <f>IF(AND('Daily Sale entry '!X722&lt;&gt;"",OR('Daily Sale entry '!AC722&lt;&gt;"",'Daily Sale entry '!AD722&lt;&gt;"")),'Daily Sale entry '!X722+ROW()/10000000,"")</f>
        <v/>
      </c>
      <c r="L722" s="21">
        <f>IF(K722="","",COUNTIF($K$2:$K$3001,"&lt;"&amp;K722)+1)</f>
        <v/>
      </c>
    </row>
    <row r="723">
      <c r="A723" s="5">
        <f>IF($J723="","",IF($J723&lt;=1500,INDEX('Daily Sale entry '!$X$1:$X$1501,$J723+1),INDEX('Daily Sale entry '!$V$1:$V$1501,$J723-1499)))</f>
        <v/>
      </c>
      <c r="B723">
        <f>IF($J723="","",IF($J723&lt;=1500,INDEX('Daily Sale entry '!$Y$1:$Y$1501,$J723+1)&amp;"","Buyer cheque banked 买家支票存入"&amp;IF(INDEX('Daily Sale entry '!$U$1:$U$1501,$J723-1499)="","", " - "&amp;INDEX('Daily Sale entry '!$U$1:$U$1501,$J723-1499))))</f>
        <v/>
      </c>
      <c r="C723">
        <f>IF($J723="","",IF($J723&lt;=1500,INDEX('Daily Sale entry '!$Z$1:$Z$1501,$J723+1)&amp;"","Cheque deposit 支票存入 (buyer 买家)"))</f>
        <v/>
      </c>
      <c r="D723">
        <f>IF($J723="","",IF($J723&lt;=1500,INDEX('Daily Sale entry '!$AA$1:$AA$1501,$J723+1)&amp;"",INDEX('Daily Sale entry '!$P$1:$P$1501,$J723-1499)&amp;""))</f>
        <v/>
      </c>
      <c r="E723">
        <f>IF($J723="","",IF($J723&lt;=1500,IF(N(INDEX('Daily Sale entry '!$AB$1:$AB$1501,$J723+1))=0,"",INDEX('Daily Sale entry '!$AB$1:$AB$1501,$J723+1)),1))</f>
        <v/>
      </c>
      <c r="F723" s="6">
        <f>IF($J723="","",IF($J723&lt;=1500,N(INDEX('Daily Sale entry '!$AC$1:$AC$1501,$J723+1))-IF(AND('Opening Balance'!$B$15=1,INDEX('Daily Sale entry '!$Z$1:$Z$1501,$J723+1)="Online collection 网上收款",INDEX('Daily Sale entry '!$AA$1:$AA$1501,$J723+1)&lt;&gt;""),N(INDEX('Daily Sale entry '!$AC$1:$AC$1501,$J723+1))-TRUNC(N(INDEX('Daily Sale entry '!$AC$1:$AC$1501,$J723+1))),0),N(INDEX('Daily Sale entry '!$S$1:$S$1501,$J723-1499))-'Opening Balance'!$B$15*(N(INDEX('Daily Sale entry '!$S$1:$S$1501,$J723-1499))-TRUNC(N(INDEX('Daily Sale entry '!$S$1:$S$1501,$J723-1499))))))</f>
        <v/>
      </c>
      <c r="G723" s="6">
        <f>IF($J723="","",IF($J723&lt;=1500,N(INDEX('Daily Sale entry '!$AD$1:$AD$1501,$J723+1)),0))</f>
        <v/>
      </c>
      <c r="H723" s="6">
        <f>IF($J723="","",ROUND('Opening Balance'!$B$4+SUM($F$2:F723)-SUM($G$2:G723),2))</f>
        <v/>
      </c>
      <c r="J723" s="21">
        <f>IFERROR(MATCH(ROW()-1,$L$2:$L$3001,0),"")</f>
        <v/>
      </c>
      <c r="K723" s="34">
        <f>IF(AND('Daily Sale entry '!X723&lt;&gt;"",OR('Daily Sale entry '!AC723&lt;&gt;"",'Daily Sale entry '!AD723&lt;&gt;"")),'Daily Sale entry '!X723+ROW()/10000000,"")</f>
        <v/>
      </c>
      <c r="L723" s="21">
        <f>IF(K723="","",COUNTIF($K$2:$K$3001,"&lt;"&amp;K723)+1)</f>
        <v/>
      </c>
    </row>
    <row r="724">
      <c r="A724" s="5">
        <f>IF($J724="","",IF($J724&lt;=1500,INDEX('Daily Sale entry '!$X$1:$X$1501,$J724+1),INDEX('Daily Sale entry '!$V$1:$V$1501,$J724-1499)))</f>
        <v/>
      </c>
      <c r="B724">
        <f>IF($J724="","",IF($J724&lt;=1500,INDEX('Daily Sale entry '!$Y$1:$Y$1501,$J724+1)&amp;"","Buyer cheque banked 买家支票存入"&amp;IF(INDEX('Daily Sale entry '!$U$1:$U$1501,$J724-1499)="","", " - "&amp;INDEX('Daily Sale entry '!$U$1:$U$1501,$J724-1499))))</f>
        <v/>
      </c>
      <c r="C724">
        <f>IF($J724="","",IF($J724&lt;=1500,INDEX('Daily Sale entry '!$Z$1:$Z$1501,$J724+1)&amp;"","Cheque deposit 支票存入 (buyer 买家)"))</f>
        <v/>
      </c>
      <c r="D724">
        <f>IF($J724="","",IF($J724&lt;=1500,INDEX('Daily Sale entry '!$AA$1:$AA$1501,$J724+1)&amp;"",INDEX('Daily Sale entry '!$P$1:$P$1501,$J724-1499)&amp;""))</f>
        <v/>
      </c>
      <c r="E724">
        <f>IF($J724="","",IF($J724&lt;=1500,IF(N(INDEX('Daily Sale entry '!$AB$1:$AB$1501,$J724+1))=0,"",INDEX('Daily Sale entry '!$AB$1:$AB$1501,$J724+1)),1))</f>
        <v/>
      </c>
      <c r="F724" s="6">
        <f>IF($J724="","",IF($J724&lt;=1500,N(INDEX('Daily Sale entry '!$AC$1:$AC$1501,$J724+1))-IF(AND('Opening Balance'!$B$15=1,INDEX('Daily Sale entry '!$Z$1:$Z$1501,$J724+1)="Online collection 网上收款",INDEX('Daily Sale entry '!$AA$1:$AA$1501,$J724+1)&lt;&gt;""),N(INDEX('Daily Sale entry '!$AC$1:$AC$1501,$J724+1))-TRUNC(N(INDEX('Daily Sale entry '!$AC$1:$AC$1501,$J724+1))),0),N(INDEX('Daily Sale entry '!$S$1:$S$1501,$J724-1499))-'Opening Balance'!$B$15*(N(INDEX('Daily Sale entry '!$S$1:$S$1501,$J724-1499))-TRUNC(N(INDEX('Daily Sale entry '!$S$1:$S$1501,$J724-1499))))))</f>
        <v/>
      </c>
      <c r="G724" s="6">
        <f>IF($J724="","",IF($J724&lt;=1500,N(INDEX('Daily Sale entry '!$AD$1:$AD$1501,$J724+1)),0))</f>
        <v/>
      </c>
      <c r="H724" s="6">
        <f>IF($J724="","",ROUND('Opening Balance'!$B$4+SUM($F$2:F724)-SUM($G$2:G724),2))</f>
        <v/>
      </c>
      <c r="J724" s="21">
        <f>IFERROR(MATCH(ROW()-1,$L$2:$L$3001,0),"")</f>
        <v/>
      </c>
      <c r="K724" s="34">
        <f>IF(AND('Daily Sale entry '!X724&lt;&gt;"",OR('Daily Sale entry '!AC724&lt;&gt;"",'Daily Sale entry '!AD724&lt;&gt;"")),'Daily Sale entry '!X724+ROW()/10000000,"")</f>
        <v/>
      </c>
      <c r="L724" s="21">
        <f>IF(K724="","",COUNTIF($K$2:$K$3001,"&lt;"&amp;K724)+1)</f>
        <v/>
      </c>
    </row>
    <row r="725">
      <c r="A725" s="5">
        <f>IF($J725="","",IF($J725&lt;=1500,INDEX('Daily Sale entry '!$X$1:$X$1501,$J725+1),INDEX('Daily Sale entry '!$V$1:$V$1501,$J725-1499)))</f>
        <v/>
      </c>
      <c r="B725">
        <f>IF($J725="","",IF($J725&lt;=1500,INDEX('Daily Sale entry '!$Y$1:$Y$1501,$J725+1)&amp;"","Buyer cheque banked 买家支票存入"&amp;IF(INDEX('Daily Sale entry '!$U$1:$U$1501,$J725-1499)="","", " - "&amp;INDEX('Daily Sale entry '!$U$1:$U$1501,$J725-1499))))</f>
        <v/>
      </c>
      <c r="C725">
        <f>IF($J725="","",IF($J725&lt;=1500,INDEX('Daily Sale entry '!$Z$1:$Z$1501,$J725+1)&amp;"","Cheque deposit 支票存入 (buyer 买家)"))</f>
        <v/>
      </c>
      <c r="D725">
        <f>IF($J725="","",IF($J725&lt;=1500,INDEX('Daily Sale entry '!$AA$1:$AA$1501,$J725+1)&amp;"",INDEX('Daily Sale entry '!$P$1:$P$1501,$J725-1499)&amp;""))</f>
        <v/>
      </c>
      <c r="E725">
        <f>IF($J725="","",IF($J725&lt;=1500,IF(N(INDEX('Daily Sale entry '!$AB$1:$AB$1501,$J725+1))=0,"",INDEX('Daily Sale entry '!$AB$1:$AB$1501,$J725+1)),1))</f>
        <v/>
      </c>
      <c r="F725" s="6">
        <f>IF($J725="","",IF($J725&lt;=1500,N(INDEX('Daily Sale entry '!$AC$1:$AC$1501,$J725+1))-IF(AND('Opening Balance'!$B$15=1,INDEX('Daily Sale entry '!$Z$1:$Z$1501,$J725+1)="Online collection 网上收款",INDEX('Daily Sale entry '!$AA$1:$AA$1501,$J725+1)&lt;&gt;""),N(INDEX('Daily Sale entry '!$AC$1:$AC$1501,$J725+1))-TRUNC(N(INDEX('Daily Sale entry '!$AC$1:$AC$1501,$J725+1))),0),N(INDEX('Daily Sale entry '!$S$1:$S$1501,$J725-1499))-'Opening Balance'!$B$15*(N(INDEX('Daily Sale entry '!$S$1:$S$1501,$J725-1499))-TRUNC(N(INDEX('Daily Sale entry '!$S$1:$S$1501,$J725-1499))))))</f>
        <v/>
      </c>
      <c r="G725" s="6">
        <f>IF($J725="","",IF($J725&lt;=1500,N(INDEX('Daily Sale entry '!$AD$1:$AD$1501,$J725+1)),0))</f>
        <v/>
      </c>
      <c r="H725" s="6">
        <f>IF($J725="","",ROUND('Opening Balance'!$B$4+SUM($F$2:F725)-SUM($G$2:G725),2))</f>
        <v/>
      </c>
      <c r="J725" s="21">
        <f>IFERROR(MATCH(ROW()-1,$L$2:$L$3001,0),"")</f>
        <v/>
      </c>
      <c r="K725" s="34">
        <f>IF(AND('Daily Sale entry '!X725&lt;&gt;"",OR('Daily Sale entry '!AC725&lt;&gt;"",'Daily Sale entry '!AD725&lt;&gt;"")),'Daily Sale entry '!X725+ROW()/10000000,"")</f>
        <v/>
      </c>
      <c r="L725" s="21">
        <f>IF(K725="","",COUNTIF($K$2:$K$3001,"&lt;"&amp;K725)+1)</f>
        <v/>
      </c>
    </row>
    <row r="726">
      <c r="A726" s="5">
        <f>IF($J726="","",IF($J726&lt;=1500,INDEX('Daily Sale entry '!$X$1:$X$1501,$J726+1),INDEX('Daily Sale entry '!$V$1:$V$1501,$J726-1499)))</f>
        <v/>
      </c>
      <c r="B726">
        <f>IF($J726="","",IF($J726&lt;=1500,INDEX('Daily Sale entry '!$Y$1:$Y$1501,$J726+1)&amp;"","Buyer cheque banked 买家支票存入"&amp;IF(INDEX('Daily Sale entry '!$U$1:$U$1501,$J726-1499)="","", " - "&amp;INDEX('Daily Sale entry '!$U$1:$U$1501,$J726-1499))))</f>
        <v/>
      </c>
      <c r="C726">
        <f>IF($J726="","",IF($J726&lt;=1500,INDEX('Daily Sale entry '!$Z$1:$Z$1501,$J726+1)&amp;"","Cheque deposit 支票存入 (buyer 买家)"))</f>
        <v/>
      </c>
      <c r="D726">
        <f>IF($J726="","",IF($J726&lt;=1500,INDEX('Daily Sale entry '!$AA$1:$AA$1501,$J726+1)&amp;"",INDEX('Daily Sale entry '!$P$1:$P$1501,$J726-1499)&amp;""))</f>
        <v/>
      </c>
      <c r="E726">
        <f>IF($J726="","",IF($J726&lt;=1500,IF(N(INDEX('Daily Sale entry '!$AB$1:$AB$1501,$J726+1))=0,"",INDEX('Daily Sale entry '!$AB$1:$AB$1501,$J726+1)),1))</f>
        <v/>
      </c>
      <c r="F726" s="6">
        <f>IF($J726="","",IF($J726&lt;=1500,N(INDEX('Daily Sale entry '!$AC$1:$AC$1501,$J726+1))-IF(AND('Opening Balance'!$B$15=1,INDEX('Daily Sale entry '!$Z$1:$Z$1501,$J726+1)="Online collection 网上收款",INDEX('Daily Sale entry '!$AA$1:$AA$1501,$J726+1)&lt;&gt;""),N(INDEX('Daily Sale entry '!$AC$1:$AC$1501,$J726+1))-TRUNC(N(INDEX('Daily Sale entry '!$AC$1:$AC$1501,$J726+1))),0),N(INDEX('Daily Sale entry '!$S$1:$S$1501,$J726-1499))-'Opening Balance'!$B$15*(N(INDEX('Daily Sale entry '!$S$1:$S$1501,$J726-1499))-TRUNC(N(INDEX('Daily Sale entry '!$S$1:$S$1501,$J726-1499))))))</f>
        <v/>
      </c>
      <c r="G726" s="6">
        <f>IF($J726="","",IF($J726&lt;=1500,N(INDEX('Daily Sale entry '!$AD$1:$AD$1501,$J726+1)),0))</f>
        <v/>
      </c>
      <c r="H726" s="6">
        <f>IF($J726="","",ROUND('Opening Balance'!$B$4+SUM($F$2:F726)-SUM($G$2:G726),2))</f>
        <v/>
      </c>
      <c r="J726" s="21">
        <f>IFERROR(MATCH(ROW()-1,$L$2:$L$3001,0),"")</f>
        <v/>
      </c>
      <c r="K726" s="34">
        <f>IF(AND('Daily Sale entry '!X726&lt;&gt;"",OR('Daily Sale entry '!AC726&lt;&gt;"",'Daily Sale entry '!AD726&lt;&gt;"")),'Daily Sale entry '!X726+ROW()/10000000,"")</f>
        <v/>
      </c>
      <c r="L726" s="21">
        <f>IF(K726="","",COUNTIF($K$2:$K$3001,"&lt;"&amp;K726)+1)</f>
        <v/>
      </c>
    </row>
    <row r="727">
      <c r="A727" s="5">
        <f>IF($J727="","",IF($J727&lt;=1500,INDEX('Daily Sale entry '!$X$1:$X$1501,$J727+1),INDEX('Daily Sale entry '!$V$1:$V$1501,$J727-1499)))</f>
        <v/>
      </c>
      <c r="B727">
        <f>IF($J727="","",IF($J727&lt;=1500,INDEX('Daily Sale entry '!$Y$1:$Y$1501,$J727+1)&amp;"","Buyer cheque banked 买家支票存入"&amp;IF(INDEX('Daily Sale entry '!$U$1:$U$1501,$J727-1499)="","", " - "&amp;INDEX('Daily Sale entry '!$U$1:$U$1501,$J727-1499))))</f>
        <v/>
      </c>
      <c r="C727">
        <f>IF($J727="","",IF($J727&lt;=1500,INDEX('Daily Sale entry '!$Z$1:$Z$1501,$J727+1)&amp;"","Cheque deposit 支票存入 (buyer 买家)"))</f>
        <v/>
      </c>
      <c r="D727">
        <f>IF($J727="","",IF($J727&lt;=1500,INDEX('Daily Sale entry '!$AA$1:$AA$1501,$J727+1)&amp;"",INDEX('Daily Sale entry '!$P$1:$P$1501,$J727-1499)&amp;""))</f>
        <v/>
      </c>
      <c r="E727">
        <f>IF($J727="","",IF($J727&lt;=1500,IF(N(INDEX('Daily Sale entry '!$AB$1:$AB$1501,$J727+1))=0,"",INDEX('Daily Sale entry '!$AB$1:$AB$1501,$J727+1)),1))</f>
        <v/>
      </c>
      <c r="F727" s="6">
        <f>IF($J727="","",IF($J727&lt;=1500,N(INDEX('Daily Sale entry '!$AC$1:$AC$1501,$J727+1))-IF(AND('Opening Balance'!$B$15=1,INDEX('Daily Sale entry '!$Z$1:$Z$1501,$J727+1)="Online collection 网上收款",INDEX('Daily Sale entry '!$AA$1:$AA$1501,$J727+1)&lt;&gt;""),N(INDEX('Daily Sale entry '!$AC$1:$AC$1501,$J727+1))-TRUNC(N(INDEX('Daily Sale entry '!$AC$1:$AC$1501,$J727+1))),0),N(INDEX('Daily Sale entry '!$S$1:$S$1501,$J727-1499))-'Opening Balance'!$B$15*(N(INDEX('Daily Sale entry '!$S$1:$S$1501,$J727-1499))-TRUNC(N(INDEX('Daily Sale entry '!$S$1:$S$1501,$J727-1499))))))</f>
        <v/>
      </c>
      <c r="G727" s="6">
        <f>IF($J727="","",IF($J727&lt;=1500,N(INDEX('Daily Sale entry '!$AD$1:$AD$1501,$J727+1)),0))</f>
        <v/>
      </c>
      <c r="H727" s="6">
        <f>IF($J727="","",ROUND('Opening Balance'!$B$4+SUM($F$2:F727)-SUM($G$2:G727),2))</f>
        <v/>
      </c>
      <c r="J727" s="21">
        <f>IFERROR(MATCH(ROW()-1,$L$2:$L$3001,0),"")</f>
        <v/>
      </c>
      <c r="K727" s="34">
        <f>IF(AND('Daily Sale entry '!X727&lt;&gt;"",OR('Daily Sale entry '!AC727&lt;&gt;"",'Daily Sale entry '!AD727&lt;&gt;"")),'Daily Sale entry '!X727+ROW()/10000000,"")</f>
        <v/>
      </c>
      <c r="L727" s="21">
        <f>IF(K727="","",COUNTIF($K$2:$K$3001,"&lt;"&amp;K727)+1)</f>
        <v/>
      </c>
    </row>
    <row r="728">
      <c r="A728" s="5">
        <f>IF($J728="","",IF($J728&lt;=1500,INDEX('Daily Sale entry '!$X$1:$X$1501,$J728+1),INDEX('Daily Sale entry '!$V$1:$V$1501,$J728-1499)))</f>
        <v/>
      </c>
      <c r="B728">
        <f>IF($J728="","",IF($J728&lt;=1500,INDEX('Daily Sale entry '!$Y$1:$Y$1501,$J728+1)&amp;"","Buyer cheque banked 买家支票存入"&amp;IF(INDEX('Daily Sale entry '!$U$1:$U$1501,$J728-1499)="","", " - "&amp;INDEX('Daily Sale entry '!$U$1:$U$1501,$J728-1499))))</f>
        <v/>
      </c>
      <c r="C728">
        <f>IF($J728="","",IF($J728&lt;=1500,INDEX('Daily Sale entry '!$Z$1:$Z$1501,$J728+1)&amp;"","Cheque deposit 支票存入 (buyer 买家)"))</f>
        <v/>
      </c>
      <c r="D728">
        <f>IF($J728="","",IF($J728&lt;=1500,INDEX('Daily Sale entry '!$AA$1:$AA$1501,$J728+1)&amp;"",INDEX('Daily Sale entry '!$P$1:$P$1501,$J728-1499)&amp;""))</f>
        <v/>
      </c>
      <c r="E728">
        <f>IF($J728="","",IF($J728&lt;=1500,IF(N(INDEX('Daily Sale entry '!$AB$1:$AB$1501,$J728+1))=0,"",INDEX('Daily Sale entry '!$AB$1:$AB$1501,$J728+1)),1))</f>
        <v/>
      </c>
      <c r="F728" s="6">
        <f>IF($J728="","",IF($J728&lt;=1500,N(INDEX('Daily Sale entry '!$AC$1:$AC$1501,$J728+1))-IF(AND('Opening Balance'!$B$15=1,INDEX('Daily Sale entry '!$Z$1:$Z$1501,$J728+1)="Online collection 网上收款",INDEX('Daily Sale entry '!$AA$1:$AA$1501,$J728+1)&lt;&gt;""),N(INDEX('Daily Sale entry '!$AC$1:$AC$1501,$J728+1))-TRUNC(N(INDEX('Daily Sale entry '!$AC$1:$AC$1501,$J728+1))),0),N(INDEX('Daily Sale entry '!$S$1:$S$1501,$J728-1499))-'Opening Balance'!$B$15*(N(INDEX('Daily Sale entry '!$S$1:$S$1501,$J728-1499))-TRUNC(N(INDEX('Daily Sale entry '!$S$1:$S$1501,$J728-1499))))))</f>
        <v/>
      </c>
      <c r="G728" s="6">
        <f>IF($J728="","",IF($J728&lt;=1500,N(INDEX('Daily Sale entry '!$AD$1:$AD$1501,$J728+1)),0))</f>
        <v/>
      </c>
      <c r="H728" s="6">
        <f>IF($J728="","",ROUND('Opening Balance'!$B$4+SUM($F$2:F728)-SUM($G$2:G728),2))</f>
        <v/>
      </c>
      <c r="J728" s="21">
        <f>IFERROR(MATCH(ROW()-1,$L$2:$L$3001,0),"")</f>
        <v/>
      </c>
      <c r="K728" s="34">
        <f>IF(AND('Daily Sale entry '!X728&lt;&gt;"",OR('Daily Sale entry '!AC728&lt;&gt;"",'Daily Sale entry '!AD728&lt;&gt;"")),'Daily Sale entry '!X728+ROW()/10000000,"")</f>
        <v/>
      </c>
      <c r="L728" s="21">
        <f>IF(K728="","",COUNTIF($K$2:$K$3001,"&lt;"&amp;K728)+1)</f>
        <v/>
      </c>
    </row>
    <row r="729">
      <c r="A729" s="5">
        <f>IF($J729="","",IF($J729&lt;=1500,INDEX('Daily Sale entry '!$X$1:$X$1501,$J729+1),INDEX('Daily Sale entry '!$V$1:$V$1501,$J729-1499)))</f>
        <v/>
      </c>
      <c r="B729">
        <f>IF($J729="","",IF($J729&lt;=1500,INDEX('Daily Sale entry '!$Y$1:$Y$1501,$J729+1)&amp;"","Buyer cheque banked 买家支票存入"&amp;IF(INDEX('Daily Sale entry '!$U$1:$U$1501,$J729-1499)="","", " - "&amp;INDEX('Daily Sale entry '!$U$1:$U$1501,$J729-1499))))</f>
        <v/>
      </c>
      <c r="C729">
        <f>IF($J729="","",IF($J729&lt;=1500,INDEX('Daily Sale entry '!$Z$1:$Z$1501,$J729+1)&amp;"","Cheque deposit 支票存入 (buyer 买家)"))</f>
        <v/>
      </c>
      <c r="D729">
        <f>IF($J729="","",IF($J729&lt;=1500,INDEX('Daily Sale entry '!$AA$1:$AA$1501,$J729+1)&amp;"",INDEX('Daily Sale entry '!$P$1:$P$1501,$J729-1499)&amp;""))</f>
        <v/>
      </c>
      <c r="E729">
        <f>IF($J729="","",IF($J729&lt;=1500,IF(N(INDEX('Daily Sale entry '!$AB$1:$AB$1501,$J729+1))=0,"",INDEX('Daily Sale entry '!$AB$1:$AB$1501,$J729+1)),1))</f>
        <v/>
      </c>
      <c r="F729" s="6">
        <f>IF($J729="","",IF($J729&lt;=1500,N(INDEX('Daily Sale entry '!$AC$1:$AC$1501,$J729+1))-IF(AND('Opening Balance'!$B$15=1,INDEX('Daily Sale entry '!$Z$1:$Z$1501,$J729+1)="Online collection 网上收款",INDEX('Daily Sale entry '!$AA$1:$AA$1501,$J729+1)&lt;&gt;""),N(INDEX('Daily Sale entry '!$AC$1:$AC$1501,$J729+1))-TRUNC(N(INDEX('Daily Sale entry '!$AC$1:$AC$1501,$J729+1))),0),N(INDEX('Daily Sale entry '!$S$1:$S$1501,$J729-1499))-'Opening Balance'!$B$15*(N(INDEX('Daily Sale entry '!$S$1:$S$1501,$J729-1499))-TRUNC(N(INDEX('Daily Sale entry '!$S$1:$S$1501,$J729-1499))))))</f>
        <v/>
      </c>
      <c r="G729" s="6">
        <f>IF($J729="","",IF($J729&lt;=1500,N(INDEX('Daily Sale entry '!$AD$1:$AD$1501,$J729+1)),0))</f>
        <v/>
      </c>
      <c r="H729" s="6">
        <f>IF($J729="","",ROUND('Opening Balance'!$B$4+SUM($F$2:F729)-SUM($G$2:G729),2))</f>
        <v/>
      </c>
      <c r="J729" s="21">
        <f>IFERROR(MATCH(ROW()-1,$L$2:$L$3001,0),"")</f>
        <v/>
      </c>
      <c r="K729" s="34">
        <f>IF(AND('Daily Sale entry '!X729&lt;&gt;"",OR('Daily Sale entry '!AC729&lt;&gt;"",'Daily Sale entry '!AD729&lt;&gt;"")),'Daily Sale entry '!X729+ROW()/10000000,"")</f>
        <v/>
      </c>
      <c r="L729" s="21">
        <f>IF(K729="","",COUNTIF($K$2:$K$3001,"&lt;"&amp;K729)+1)</f>
        <v/>
      </c>
    </row>
    <row r="730">
      <c r="A730" s="5">
        <f>IF($J730="","",IF($J730&lt;=1500,INDEX('Daily Sale entry '!$X$1:$X$1501,$J730+1),INDEX('Daily Sale entry '!$V$1:$V$1501,$J730-1499)))</f>
        <v/>
      </c>
      <c r="B730">
        <f>IF($J730="","",IF($J730&lt;=1500,INDEX('Daily Sale entry '!$Y$1:$Y$1501,$J730+1)&amp;"","Buyer cheque banked 买家支票存入"&amp;IF(INDEX('Daily Sale entry '!$U$1:$U$1501,$J730-1499)="","", " - "&amp;INDEX('Daily Sale entry '!$U$1:$U$1501,$J730-1499))))</f>
        <v/>
      </c>
      <c r="C730">
        <f>IF($J730="","",IF($J730&lt;=1500,INDEX('Daily Sale entry '!$Z$1:$Z$1501,$J730+1)&amp;"","Cheque deposit 支票存入 (buyer 买家)"))</f>
        <v/>
      </c>
      <c r="D730">
        <f>IF($J730="","",IF($J730&lt;=1500,INDEX('Daily Sale entry '!$AA$1:$AA$1501,$J730+1)&amp;"",INDEX('Daily Sale entry '!$P$1:$P$1501,$J730-1499)&amp;""))</f>
        <v/>
      </c>
      <c r="E730">
        <f>IF($J730="","",IF($J730&lt;=1500,IF(N(INDEX('Daily Sale entry '!$AB$1:$AB$1501,$J730+1))=0,"",INDEX('Daily Sale entry '!$AB$1:$AB$1501,$J730+1)),1))</f>
        <v/>
      </c>
      <c r="F730" s="6">
        <f>IF($J730="","",IF($J730&lt;=1500,N(INDEX('Daily Sale entry '!$AC$1:$AC$1501,$J730+1))-IF(AND('Opening Balance'!$B$15=1,INDEX('Daily Sale entry '!$Z$1:$Z$1501,$J730+1)="Online collection 网上收款",INDEX('Daily Sale entry '!$AA$1:$AA$1501,$J730+1)&lt;&gt;""),N(INDEX('Daily Sale entry '!$AC$1:$AC$1501,$J730+1))-TRUNC(N(INDEX('Daily Sale entry '!$AC$1:$AC$1501,$J730+1))),0),N(INDEX('Daily Sale entry '!$S$1:$S$1501,$J730-1499))-'Opening Balance'!$B$15*(N(INDEX('Daily Sale entry '!$S$1:$S$1501,$J730-1499))-TRUNC(N(INDEX('Daily Sale entry '!$S$1:$S$1501,$J730-1499))))))</f>
        <v/>
      </c>
      <c r="G730" s="6">
        <f>IF($J730="","",IF($J730&lt;=1500,N(INDEX('Daily Sale entry '!$AD$1:$AD$1501,$J730+1)),0))</f>
        <v/>
      </c>
      <c r="H730" s="6">
        <f>IF($J730="","",ROUND('Opening Balance'!$B$4+SUM($F$2:F730)-SUM($G$2:G730),2))</f>
        <v/>
      </c>
      <c r="J730" s="21">
        <f>IFERROR(MATCH(ROW()-1,$L$2:$L$3001,0),"")</f>
        <v/>
      </c>
      <c r="K730" s="34">
        <f>IF(AND('Daily Sale entry '!X730&lt;&gt;"",OR('Daily Sale entry '!AC730&lt;&gt;"",'Daily Sale entry '!AD730&lt;&gt;"")),'Daily Sale entry '!X730+ROW()/10000000,"")</f>
        <v/>
      </c>
      <c r="L730" s="21">
        <f>IF(K730="","",COUNTIF($K$2:$K$3001,"&lt;"&amp;K730)+1)</f>
        <v/>
      </c>
    </row>
    <row r="731">
      <c r="A731" s="5">
        <f>IF($J731="","",IF($J731&lt;=1500,INDEX('Daily Sale entry '!$X$1:$X$1501,$J731+1),INDEX('Daily Sale entry '!$V$1:$V$1501,$J731-1499)))</f>
        <v/>
      </c>
      <c r="B731">
        <f>IF($J731="","",IF($J731&lt;=1500,INDEX('Daily Sale entry '!$Y$1:$Y$1501,$J731+1)&amp;"","Buyer cheque banked 买家支票存入"&amp;IF(INDEX('Daily Sale entry '!$U$1:$U$1501,$J731-1499)="","", " - "&amp;INDEX('Daily Sale entry '!$U$1:$U$1501,$J731-1499))))</f>
        <v/>
      </c>
      <c r="C731">
        <f>IF($J731="","",IF($J731&lt;=1500,INDEX('Daily Sale entry '!$Z$1:$Z$1501,$J731+1)&amp;"","Cheque deposit 支票存入 (buyer 买家)"))</f>
        <v/>
      </c>
      <c r="D731">
        <f>IF($J731="","",IF($J731&lt;=1500,INDEX('Daily Sale entry '!$AA$1:$AA$1501,$J731+1)&amp;"",INDEX('Daily Sale entry '!$P$1:$P$1501,$J731-1499)&amp;""))</f>
        <v/>
      </c>
      <c r="E731">
        <f>IF($J731="","",IF($J731&lt;=1500,IF(N(INDEX('Daily Sale entry '!$AB$1:$AB$1501,$J731+1))=0,"",INDEX('Daily Sale entry '!$AB$1:$AB$1501,$J731+1)),1))</f>
        <v/>
      </c>
      <c r="F731" s="6">
        <f>IF($J731="","",IF($J731&lt;=1500,N(INDEX('Daily Sale entry '!$AC$1:$AC$1501,$J731+1))-IF(AND('Opening Balance'!$B$15=1,INDEX('Daily Sale entry '!$Z$1:$Z$1501,$J731+1)="Online collection 网上收款",INDEX('Daily Sale entry '!$AA$1:$AA$1501,$J731+1)&lt;&gt;""),N(INDEX('Daily Sale entry '!$AC$1:$AC$1501,$J731+1))-TRUNC(N(INDEX('Daily Sale entry '!$AC$1:$AC$1501,$J731+1))),0),N(INDEX('Daily Sale entry '!$S$1:$S$1501,$J731-1499))-'Opening Balance'!$B$15*(N(INDEX('Daily Sale entry '!$S$1:$S$1501,$J731-1499))-TRUNC(N(INDEX('Daily Sale entry '!$S$1:$S$1501,$J731-1499))))))</f>
        <v/>
      </c>
      <c r="G731" s="6">
        <f>IF($J731="","",IF($J731&lt;=1500,N(INDEX('Daily Sale entry '!$AD$1:$AD$1501,$J731+1)),0))</f>
        <v/>
      </c>
      <c r="H731" s="6">
        <f>IF($J731="","",ROUND('Opening Balance'!$B$4+SUM($F$2:F731)-SUM($G$2:G731),2))</f>
        <v/>
      </c>
      <c r="J731" s="21">
        <f>IFERROR(MATCH(ROW()-1,$L$2:$L$3001,0),"")</f>
        <v/>
      </c>
      <c r="K731" s="34">
        <f>IF(AND('Daily Sale entry '!X731&lt;&gt;"",OR('Daily Sale entry '!AC731&lt;&gt;"",'Daily Sale entry '!AD731&lt;&gt;"")),'Daily Sale entry '!X731+ROW()/10000000,"")</f>
        <v/>
      </c>
      <c r="L731" s="21">
        <f>IF(K731="","",COUNTIF($K$2:$K$3001,"&lt;"&amp;K731)+1)</f>
        <v/>
      </c>
    </row>
    <row r="732">
      <c r="A732" s="5">
        <f>IF($J732="","",IF($J732&lt;=1500,INDEX('Daily Sale entry '!$X$1:$X$1501,$J732+1),INDEX('Daily Sale entry '!$V$1:$V$1501,$J732-1499)))</f>
        <v/>
      </c>
      <c r="B732">
        <f>IF($J732="","",IF($J732&lt;=1500,INDEX('Daily Sale entry '!$Y$1:$Y$1501,$J732+1)&amp;"","Buyer cheque banked 买家支票存入"&amp;IF(INDEX('Daily Sale entry '!$U$1:$U$1501,$J732-1499)="","", " - "&amp;INDEX('Daily Sale entry '!$U$1:$U$1501,$J732-1499))))</f>
        <v/>
      </c>
      <c r="C732">
        <f>IF($J732="","",IF($J732&lt;=1500,INDEX('Daily Sale entry '!$Z$1:$Z$1501,$J732+1)&amp;"","Cheque deposit 支票存入 (buyer 买家)"))</f>
        <v/>
      </c>
      <c r="D732">
        <f>IF($J732="","",IF($J732&lt;=1500,INDEX('Daily Sale entry '!$AA$1:$AA$1501,$J732+1)&amp;"",INDEX('Daily Sale entry '!$P$1:$P$1501,$J732-1499)&amp;""))</f>
        <v/>
      </c>
      <c r="E732">
        <f>IF($J732="","",IF($J732&lt;=1500,IF(N(INDEX('Daily Sale entry '!$AB$1:$AB$1501,$J732+1))=0,"",INDEX('Daily Sale entry '!$AB$1:$AB$1501,$J732+1)),1))</f>
        <v/>
      </c>
      <c r="F732" s="6">
        <f>IF($J732="","",IF($J732&lt;=1500,N(INDEX('Daily Sale entry '!$AC$1:$AC$1501,$J732+1))-IF(AND('Opening Balance'!$B$15=1,INDEX('Daily Sale entry '!$Z$1:$Z$1501,$J732+1)="Online collection 网上收款",INDEX('Daily Sale entry '!$AA$1:$AA$1501,$J732+1)&lt;&gt;""),N(INDEX('Daily Sale entry '!$AC$1:$AC$1501,$J732+1))-TRUNC(N(INDEX('Daily Sale entry '!$AC$1:$AC$1501,$J732+1))),0),N(INDEX('Daily Sale entry '!$S$1:$S$1501,$J732-1499))-'Opening Balance'!$B$15*(N(INDEX('Daily Sale entry '!$S$1:$S$1501,$J732-1499))-TRUNC(N(INDEX('Daily Sale entry '!$S$1:$S$1501,$J732-1499))))))</f>
        <v/>
      </c>
      <c r="G732" s="6">
        <f>IF($J732="","",IF($J732&lt;=1500,N(INDEX('Daily Sale entry '!$AD$1:$AD$1501,$J732+1)),0))</f>
        <v/>
      </c>
      <c r="H732" s="6">
        <f>IF($J732="","",ROUND('Opening Balance'!$B$4+SUM($F$2:F732)-SUM($G$2:G732),2))</f>
        <v/>
      </c>
      <c r="J732" s="21">
        <f>IFERROR(MATCH(ROW()-1,$L$2:$L$3001,0),"")</f>
        <v/>
      </c>
      <c r="K732" s="34">
        <f>IF(AND('Daily Sale entry '!X732&lt;&gt;"",OR('Daily Sale entry '!AC732&lt;&gt;"",'Daily Sale entry '!AD732&lt;&gt;"")),'Daily Sale entry '!X732+ROW()/10000000,"")</f>
        <v/>
      </c>
      <c r="L732" s="21">
        <f>IF(K732="","",COUNTIF($K$2:$K$3001,"&lt;"&amp;K732)+1)</f>
        <v/>
      </c>
    </row>
    <row r="733">
      <c r="A733" s="5">
        <f>IF($J733="","",IF($J733&lt;=1500,INDEX('Daily Sale entry '!$X$1:$X$1501,$J733+1),INDEX('Daily Sale entry '!$V$1:$V$1501,$J733-1499)))</f>
        <v/>
      </c>
      <c r="B733">
        <f>IF($J733="","",IF($J733&lt;=1500,INDEX('Daily Sale entry '!$Y$1:$Y$1501,$J733+1)&amp;"","Buyer cheque banked 买家支票存入"&amp;IF(INDEX('Daily Sale entry '!$U$1:$U$1501,$J733-1499)="","", " - "&amp;INDEX('Daily Sale entry '!$U$1:$U$1501,$J733-1499))))</f>
        <v/>
      </c>
      <c r="C733">
        <f>IF($J733="","",IF($J733&lt;=1500,INDEX('Daily Sale entry '!$Z$1:$Z$1501,$J733+1)&amp;"","Cheque deposit 支票存入 (buyer 买家)"))</f>
        <v/>
      </c>
      <c r="D733">
        <f>IF($J733="","",IF($J733&lt;=1500,INDEX('Daily Sale entry '!$AA$1:$AA$1501,$J733+1)&amp;"",INDEX('Daily Sale entry '!$P$1:$P$1501,$J733-1499)&amp;""))</f>
        <v/>
      </c>
      <c r="E733">
        <f>IF($J733="","",IF($J733&lt;=1500,IF(N(INDEX('Daily Sale entry '!$AB$1:$AB$1501,$J733+1))=0,"",INDEX('Daily Sale entry '!$AB$1:$AB$1501,$J733+1)),1))</f>
        <v/>
      </c>
      <c r="F733" s="6">
        <f>IF($J733="","",IF($J733&lt;=1500,N(INDEX('Daily Sale entry '!$AC$1:$AC$1501,$J733+1))-IF(AND('Opening Balance'!$B$15=1,INDEX('Daily Sale entry '!$Z$1:$Z$1501,$J733+1)="Online collection 网上收款",INDEX('Daily Sale entry '!$AA$1:$AA$1501,$J733+1)&lt;&gt;""),N(INDEX('Daily Sale entry '!$AC$1:$AC$1501,$J733+1))-TRUNC(N(INDEX('Daily Sale entry '!$AC$1:$AC$1501,$J733+1))),0),N(INDEX('Daily Sale entry '!$S$1:$S$1501,$J733-1499))-'Opening Balance'!$B$15*(N(INDEX('Daily Sale entry '!$S$1:$S$1501,$J733-1499))-TRUNC(N(INDEX('Daily Sale entry '!$S$1:$S$1501,$J733-1499))))))</f>
        <v/>
      </c>
      <c r="G733" s="6">
        <f>IF($J733="","",IF($J733&lt;=1500,N(INDEX('Daily Sale entry '!$AD$1:$AD$1501,$J733+1)),0))</f>
        <v/>
      </c>
      <c r="H733" s="6">
        <f>IF($J733="","",ROUND('Opening Balance'!$B$4+SUM($F$2:F733)-SUM($G$2:G733),2))</f>
        <v/>
      </c>
      <c r="J733" s="21">
        <f>IFERROR(MATCH(ROW()-1,$L$2:$L$3001,0),"")</f>
        <v/>
      </c>
      <c r="K733" s="34">
        <f>IF(AND('Daily Sale entry '!X733&lt;&gt;"",OR('Daily Sale entry '!AC733&lt;&gt;"",'Daily Sale entry '!AD733&lt;&gt;"")),'Daily Sale entry '!X733+ROW()/10000000,"")</f>
        <v/>
      </c>
      <c r="L733" s="21">
        <f>IF(K733="","",COUNTIF($K$2:$K$3001,"&lt;"&amp;K733)+1)</f>
        <v/>
      </c>
    </row>
    <row r="734">
      <c r="A734" s="5">
        <f>IF($J734="","",IF($J734&lt;=1500,INDEX('Daily Sale entry '!$X$1:$X$1501,$J734+1),INDEX('Daily Sale entry '!$V$1:$V$1501,$J734-1499)))</f>
        <v/>
      </c>
      <c r="B734">
        <f>IF($J734="","",IF($J734&lt;=1500,INDEX('Daily Sale entry '!$Y$1:$Y$1501,$J734+1)&amp;"","Buyer cheque banked 买家支票存入"&amp;IF(INDEX('Daily Sale entry '!$U$1:$U$1501,$J734-1499)="","", " - "&amp;INDEX('Daily Sale entry '!$U$1:$U$1501,$J734-1499))))</f>
        <v/>
      </c>
      <c r="C734">
        <f>IF($J734="","",IF($J734&lt;=1500,INDEX('Daily Sale entry '!$Z$1:$Z$1501,$J734+1)&amp;"","Cheque deposit 支票存入 (buyer 买家)"))</f>
        <v/>
      </c>
      <c r="D734">
        <f>IF($J734="","",IF($J734&lt;=1500,INDEX('Daily Sale entry '!$AA$1:$AA$1501,$J734+1)&amp;"",INDEX('Daily Sale entry '!$P$1:$P$1501,$J734-1499)&amp;""))</f>
        <v/>
      </c>
      <c r="E734">
        <f>IF($J734="","",IF($J734&lt;=1500,IF(N(INDEX('Daily Sale entry '!$AB$1:$AB$1501,$J734+1))=0,"",INDEX('Daily Sale entry '!$AB$1:$AB$1501,$J734+1)),1))</f>
        <v/>
      </c>
      <c r="F734" s="6">
        <f>IF($J734="","",IF($J734&lt;=1500,N(INDEX('Daily Sale entry '!$AC$1:$AC$1501,$J734+1))-IF(AND('Opening Balance'!$B$15=1,INDEX('Daily Sale entry '!$Z$1:$Z$1501,$J734+1)="Online collection 网上收款",INDEX('Daily Sale entry '!$AA$1:$AA$1501,$J734+1)&lt;&gt;""),N(INDEX('Daily Sale entry '!$AC$1:$AC$1501,$J734+1))-TRUNC(N(INDEX('Daily Sale entry '!$AC$1:$AC$1501,$J734+1))),0),N(INDEX('Daily Sale entry '!$S$1:$S$1501,$J734-1499))-'Opening Balance'!$B$15*(N(INDEX('Daily Sale entry '!$S$1:$S$1501,$J734-1499))-TRUNC(N(INDEX('Daily Sale entry '!$S$1:$S$1501,$J734-1499))))))</f>
        <v/>
      </c>
      <c r="G734" s="6">
        <f>IF($J734="","",IF($J734&lt;=1500,N(INDEX('Daily Sale entry '!$AD$1:$AD$1501,$J734+1)),0))</f>
        <v/>
      </c>
      <c r="H734" s="6">
        <f>IF($J734="","",ROUND('Opening Balance'!$B$4+SUM($F$2:F734)-SUM($G$2:G734),2))</f>
        <v/>
      </c>
      <c r="J734" s="21">
        <f>IFERROR(MATCH(ROW()-1,$L$2:$L$3001,0),"")</f>
        <v/>
      </c>
      <c r="K734" s="34">
        <f>IF(AND('Daily Sale entry '!X734&lt;&gt;"",OR('Daily Sale entry '!AC734&lt;&gt;"",'Daily Sale entry '!AD734&lt;&gt;"")),'Daily Sale entry '!X734+ROW()/10000000,"")</f>
        <v/>
      </c>
      <c r="L734" s="21">
        <f>IF(K734="","",COUNTIF($K$2:$K$3001,"&lt;"&amp;K734)+1)</f>
        <v/>
      </c>
    </row>
    <row r="735">
      <c r="A735" s="5">
        <f>IF($J735="","",IF($J735&lt;=1500,INDEX('Daily Sale entry '!$X$1:$X$1501,$J735+1),INDEX('Daily Sale entry '!$V$1:$V$1501,$J735-1499)))</f>
        <v/>
      </c>
      <c r="B735">
        <f>IF($J735="","",IF($J735&lt;=1500,INDEX('Daily Sale entry '!$Y$1:$Y$1501,$J735+1)&amp;"","Buyer cheque banked 买家支票存入"&amp;IF(INDEX('Daily Sale entry '!$U$1:$U$1501,$J735-1499)="","", " - "&amp;INDEX('Daily Sale entry '!$U$1:$U$1501,$J735-1499))))</f>
        <v/>
      </c>
      <c r="C735">
        <f>IF($J735="","",IF($J735&lt;=1500,INDEX('Daily Sale entry '!$Z$1:$Z$1501,$J735+1)&amp;"","Cheque deposit 支票存入 (buyer 买家)"))</f>
        <v/>
      </c>
      <c r="D735">
        <f>IF($J735="","",IF($J735&lt;=1500,INDEX('Daily Sale entry '!$AA$1:$AA$1501,$J735+1)&amp;"",INDEX('Daily Sale entry '!$P$1:$P$1501,$J735-1499)&amp;""))</f>
        <v/>
      </c>
      <c r="E735">
        <f>IF($J735="","",IF($J735&lt;=1500,IF(N(INDEX('Daily Sale entry '!$AB$1:$AB$1501,$J735+1))=0,"",INDEX('Daily Sale entry '!$AB$1:$AB$1501,$J735+1)),1))</f>
        <v/>
      </c>
      <c r="F735" s="6">
        <f>IF($J735="","",IF($J735&lt;=1500,N(INDEX('Daily Sale entry '!$AC$1:$AC$1501,$J735+1))-IF(AND('Opening Balance'!$B$15=1,INDEX('Daily Sale entry '!$Z$1:$Z$1501,$J735+1)="Online collection 网上收款",INDEX('Daily Sale entry '!$AA$1:$AA$1501,$J735+1)&lt;&gt;""),N(INDEX('Daily Sale entry '!$AC$1:$AC$1501,$J735+1))-TRUNC(N(INDEX('Daily Sale entry '!$AC$1:$AC$1501,$J735+1))),0),N(INDEX('Daily Sale entry '!$S$1:$S$1501,$J735-1499))-'Opening Balance'!$B$15*(N(INDEX('Daily Sale entry '!$S$1:$S$1501,$J735-1499))-TRUNC(N(INDEX('Daily Sale entry '!$S$1:$S$1501,$J735-1499))))))</f>
        <v/>
      </c>
      <c r="G735" s="6">
        <f>IF($J735="","",IF($J735&lt;=1500,N(INDEX('Daily Sale entry '!$AD$1:$AD$1501,$J735+1)),0))</f>
        <v/>
      </c>
      <c r="H735" s="6">
        <f>IF($J735="","",ROUND('Opening Balance'!$B$4+SUM($F$2:F735)-SUM($G$2:G735),2))</f>
        <v/>
      </c>
      <c r="J735" s="21">
        <f>IFERROR(MATCH(ROW()-1,$L$2:$L$3001,0),"")</f>
        <v/>
      </c>
      <c r="K735" s="34">
        <f>IF(AND('Daily Sale entry '!X735&lt;&gt;"",OR('Daily Sale entry '!AC735&lt;&gt;"",'Daily Sale entry '!AD735&lt;&gt;"")),'Daily Sale entry '!X735+ROW()/10000000,"")</f>
        <v/>
      </c>
      <c r="L735" s="21">
        <f>IF(K735="","",COUNTIF($K$2:$K$3001,"&lt;"&amp;K735)+1)</f>
        <v/>
      </c>
    </row>
    <row r="736">
      <c r="A736" s="5">
        <f>IF($J736="","",IF($J736&lt;=1500,INDEX('Daily Sale entry '!$X$1:$X$1501,$J736+1),INDEX('Daily Sale entry '!$V$1:$V$1501,$J736-1499)))</f>
        <v/>
      </c>
      <c r="B736">
        <f>IF($J736="","",IF($J736&lt;=1500,INDEX('Daily Sale entry '!$Y$1:$Y$1501,$J736+1)&amp;"","Buyer cheque banked 买家支票存入"&amp;IF(INDEX('Daily Sale entry '!$U$1:$U$1501,$J736-1499)="","", " - "&amp;INDEX('Daily Sale entry '!$U$1:$U$1501,$J736-1499))))</f>
        <v/>
      </c>
      <c r="C736">
        <f>IF($J736="","",IF($J736&lt;=1500,INDEX('Daily Sale entry '!$Z$1:$Z$1501,$J736+1)&amp;"","Cheque deposit 支票存入 (buyer 买家)"))</f>
        <v/>
      </c>
      <c r="D736">
        <f>IF($J736="","",IF($J736&lt;=1500,INDEX('Daily Sale entry '!$AA$1:$AA$1501,$J736+1)&amp;"",INDEX('Daily Sale entry '!$P$1:$P$1501,$J736-1499)&amp;""))</f>
        <v/>
      </c>
      <c r="E736">
        <f>IF($J736="","",IF($J736&lt;=1500,IF(N(INDEX('Daily Sale entry '!$AB$1:$AB$1501,$J736+1))=0,"",INDEX('Daily Sale entry '!$AB$1:$AB$1501,$J736+1)),1))</f>
        <v/>
      </c>
      <c r="F736" s="6">
        <f>IF($J736="","",IF($J736&lt;=1500,N(INDEX('Daily Sale entry '!$AC$1:$AC$1501,$J736+1))-IF(AND('Opening Balance'!$B$15=1,INDEX('Daily Sale entry '!$Z$1:$Z$1501,$J736+1)="Online collection 网上收款",INDEX('Daily Sale entry '!$AA$1:$AA$1501,$J736+1)&lt;&gt;""),N(INDEX('Daily Sale entry '!$AC$1:$AC$1501,$J736+1))-TRUNC(N(INDEX('Daily Sale entry '!$AC$1:$AC$1501,$J736+1))),0),N(INDEX('Daily Sale entry '!$S$1:$S$1501,$J736-1499))-'Opening Balance'!$B$15*(N(INDEX('Daily Sale entry '!$S$1:$S$1501,$J736-1499))-TRUNC(N(INDEX('Daily Sale entry '!$S$1:$S$1501,$J736-1499))))))</f>
        <v/>
      </c>
      <c r="G736" s="6">
        <f>IF($J736="","",IF($J736&lt;=1500,N(INDEX('Daily Sale entry '!$AD$1:$AD$1501,$J736+1)),0))</f>
        <v/>
      </c>
      <c r="H736" s="6">
        <f>IF($J736="","",ROUND('Opening Balance'!$B$4+SUM($F$2:F736)-SUM($G$2:G736),2))</f>
        <v/>
      </c>
      <c r="J736" s="21">
        <f>IFERROR(MATCH(ROW()-1,$L$2:$L$3001,0),"")</f>
        <v/>
      </c>
      <c r="K736" s="34">
        <f>IF(AND('Daily Sale entry '!X736&lt;&gt;"",OR('Daily Sale entry '!AC736&lt;&gt;"",'Daily Sale entry '!AD736&lt;&gt;"")),'Daily Sale entry '!X736+ROW()/10000000,"")</f>
        <v/>
      </c>
      <c r="L736" s="21">
        <f>IF(K736="","",COUNTIF($K$2:$K$3001,"&lt;"&amp;K736)+1)</f>
        <v/>
      </c>
    </row>
    <row r="737">
      <c r="A737" s="5">
        <f>IF($J737="","",IF($J737&lt;=1500,INDEX('Daily Sale entry '!$X$1:$X$1501,$J737+1),INDEX('Daily Sale entry '!$V$1:$V$1501,$J737-1499)))</f>
        <v/>
      </c>
      <c r="B737">
        <f>IF($J737="","",IF($J737&lt;=1500,INDEX('Daily Sale entry '!$Y$1:$Y$1501,$J737+1)&amp;"","Buyer cheque banked 买家支票存入"&amp;IF(INDEX('Daily Sale entry '!$U$1:$U$1501,$J737-1499)="","", " - "&amp;INDEX('Daily Sale entry '!$U$1:$U$1501,$J737-1499))))</f>
        <v/>
      </c>
      <c r="C737">
        <f>IF($J737="","",IF($J737&lt;=1500,INDEX('Daily Sale entry '!$Z$1:$Z$1501,$J737+1)&amp;"","Cheque deposit 支票存入 (buyer 买家)"))</f>
        <v/>
      </c>
      <c r="D737">
        <f>IF($J737="","",IF($J737&lt;=1500,INDEX('Daily Sale entry '!$AA$1:$AA$1501,$J737+1)&amp;"",INDEX('Daily Sale entry '!$P$1:$P$1501,$J737-1499)&amp;""))</f>
        <v/>
      </c>
      <c r="E737">
        <f>IF($J737="","",IF($J737&lt;=1500,IF(N(INDEX('Daily Sale entry '!$AB$1:$AB$1501,$J737+1))=0,"",INDEX('Daily Sale entry '!$AB$1:$AB$1501,$J737+1)),1))</f>
        <v/>
      </c>
      <c r="F737" s="6">
        <f>IF($J737="","",IF($J737&lt;=1500,N(INDEX('Daily Sale entry '!$AC$1:$AC$1501,$J737+1))-IF(AND('Opening Balance'!$B$15=1,INDEX('Daily Sale entry '!$Z$1:$Z$1501,$J737+1)="Online collection 网上收款",INDEX('Daily Sale entry '!$AA$1:$AA$1501,$J737+1)&lt;&gt;""),N(INDEX('Daily Sale entry '!$AC$1:$AC$1501,$J737+1))-TRUNC(N(INDEX('Daily Sale entry '!$AC$1:$AC$1501,$J737+1))),0),N(INDEX('Daily Sale entry '!$S$1:$S$1501,$J737-1499))-'Opening Balance'!$B$15*(N(INDEX('Daily Sale entry '!$S$1:$S$1501,$J737-1499))-TRUNC(N(INDEX('Daily Sale entry '!$S$1:$S$1501,$J737-1499))))))</f>
        <v/>
      </c>
      <c r="G737" s="6">
        <f>IF($J737="","",IF($J737&lt;=1500,N(INDEX('Daily Sale entry '!$AD$1:$AD$1501,$J737+1)),0))</f>
        <v/>
      </c>
      <c r="H737" s="6">
        <f>IF($J737="","",ROUND('Opening Balance'!$B$4+SUM($F$2:F737)-SUM($G$2:G737),2))</f>
        <v/>
      </c>
      <c r="J737" s="21">
        <f>IFERROR(MATCH(ROW()-1,$L$2:$L$3001,0),"")</f>
        <v/>
      </c>
      <c r="K737" s="34">
        <f>IF(AND('Daily Sale entry '!X737&lt;&gt;"",OR('Daily Sale entry '!AC737&lt;&gt;"",'Daily Sale entry '!AD737&lt;&gt;"")),'Daily Sale entry '!X737+ROW()/10000000,"")</f>
        <v/>
      </c>
      <c r="L737" s="21">
        <f>IF(K737="","",COUNTIF($K$2:$K$3001,"&lt;"&amp;K737)+1)</f>
        <v/>
      </c>
    </row>
    <row r="738">
      <c r="A738" s="5">
        <f>IF($J738="","",IF($J738&lt;=1500,INDEX('Daily Sale entry '!$X$1:$X$1501,$J738+1),INDEX('Daily Sale entry '!$V$1:$V$1501,$J738-1499)))</f>
        <v/>
      </c>
      <c r="B738">
        <f>IF($J738="","",IF($J738&lt;=1500,INDEX('Daily Sale entry '!$Y$1:$Y$1501,$J738+1)&amp;"","Buyer cheque banked 买家支票存入"&amp;IF(INDEX('Daily Sale entry '!$U$1:$U$1501,$J738-1499)="","", " - "&amp;INDEX('Daily Sale entry '!$U$1:$U$1501,$J738-1499))))</f>
        <v/>
      </c>
      <c r="C738">
        <f>IF($J738="","",IF($J738&lt;=1500,INDEX('Daily Sale entry '!$Z$1:$Z$1501,$J738+1)&amp;"","Cheque deposit 支票存入 (buyer 买家)"))</f>
        <v/>
      </c>
      <c r="D738">
        <f>IF($J738="","",IF($J738&lt;=1500,INDEX('Daily Sale entry '!$AA$1:$AA$1501,$J738+1)&amp;"",INDEX('Daily Sale entry '!$P$1:$P$1501,$J738-1499)&amp;""))</f>
        <v/>
      </c>
      <c r="E738">
        <f>IF($J738="","",IF($J738&lt;=1500,IF(N(INDEX('Daily Sale entry '!$AB$1:$AB$1501,$J738+1))=0,"",INDEX('Daily Sale entry '!$AB$1:$AB$1501,$J738+1)),1))</f>
        <v/>
      </c>
      <c r="F738" s="6">
        <f>IF($J738="","",IF($J738&lt;=1500,N(INDEX('Daily Sale entry '!$AC$1:$AC$1501,$J738+1))-IF(AND('Opening Balance'!$B$15=1,INDEX('Daily Sale entry '!$Z$1:$Z$1501,$J738+1)="Online collection 网上收款",INDEX('Daily Sale entry '!$AA$1:$AA$1501,$J738+1)&lt;&gt;""),N(INDEX('Daily Sale entry '!$AC$1:$AC$1501,$J738+1))-TRUNC(N(INDEX('Daily Sale entry '!$AC$1:$AC$1501,$J738+1))),0),N(INDEX('Daily Sale entry '!$S$1:$S$1501,$J738-1499))-'Opening Balance'!$B$15*(N(INDEX('Daily Sale entry '!$S$1:$S$1501,$J738-1499))-TRUNC(N(INDEX('Daily Sale entry '!$S$1:$S$1501,$J738-1499))))))</f>
        <v/>
      </c>
      <c r="G738" s="6">
        <f>IF($J738="","",IF($J738&lt;=1500,N(INDEX('Daily Sale entry '!$AD$1:$AD$1501,$J738+1)),0))</f>
        <v/>
      </c>
      <c r="H738" s="6">
        <f>IF($J738="","",ROUND('Opening Balance'!$B$4+SUM($F$2:F738)-SUM($G$2:G738),2))</f>
        <v/>
      </c>
      <c r="J738" s="21">
        <f>IFERROR(MATCH(ROW()-1,$L$2:$L$3001,0),"")</f>
        <v/>
      </c>
      <c r="K738" s="34">
        <f>IF(AND('Daily Sale entry '!X738&lt;&gt;"",OR('Daily Sale entry '!AC738&lt;&gt;"",'Daily Sale entry '!AD738&lt;&gt;"")),'Daily Sale entry '!X738+ROW()/10000000,"")</f>
        <v/>
      </c>
      <c r="L738" s="21">
        <f>IF(K738="","",COUNTIF($K$2:$K$3001,"&lt;"&amp;K738)+1)</f>
        <v/>
      </c>
    </row>
    <row r="739">
      <c r="A739" s="5">
        <f>IF($J739="","",IF($J739&lt;=1500,INDEX('Daily Sale entry '!$X$1:$X$1501,$J739+1),INDEX('Daily Sale entry '!$V$1:$V$1501,$J739-1499)))</f>
        <v/>
      </c>
      <c r="B739">
        <f>IF($J739="","",IF($J739&lt;=1500,INDEX('Daily Sale entry '!$Y$1:$Y$1501,$J739+1)&amp;"","Buyer cheque banked 买家支票存入"&amp;IF(INDEX('Daily Sale entry '!$U$1:$U$1501,$J739-1499)="","", " - "&amp;INDEX('Daily Sale entry '!$U$1:$U$1501,$J739-1499))))</f>
        <v/>
      </c>
      <c r="C739">
        <f>IF($J739="","",IF($J739&lt;=1500,INDEX('Daily Sale entry '!$Z$1:$Z$1501,$J739+1)&amp;"","Cheque deposit 支票存入 (buyer 买家)"))</f>
        <v/>
      </c>
      <c r="D739">
        <f>IF($J739="","",IF($J739&lt;=1500,INDEX('Daily Sale entry '!$AA$1:$AA$1501,$J739+1)&amp;"",INDEX('Daily Sale entry '!$P$1:$P$1501,$J739-1499)&amp;""))</f>
        <v/>
      </c>
      <c r="E739">
        <f>IF($J739="","",IF($J739&lt;=1500,IF(N(INDEX('Daily Sale entry '!$AB$1:$AB$1501,$J739+1))=0,"",INDEX('Daily Sale entry '!$AB$1:$AB$1501,$J739+1)),1))</f>
        <v/>
      </c>
      <c r="F739" s="6">
        <f>IF($J739="","",IF($J739&lt;=1500,N(INDEX('Daily Sale entry '!$AC$1:$AC$1501,$J739+1))-IF(AND('Opening Balance'!$B$15=1,INDEX('Daily Sale entry '!$Z$1:$Z$1501,$J739+1)="Online collection 网上收款",INDEX('Daily Sale entry '!$AA$1:$AA$1501,$J739+1)&lt;&gt;""),N(INDEX('Daily Sale entry '!$AC$1:$AC$1501,$J739+1))-TRUNC(N(INDEX('Daily Sale entry '!$AC$1:$AC$1501,$J739+1))),0),N(INDEX('Daily Sale entry '!$S$1:$S$1501,$J739-1499))-'Opening Balance'!$B$15*(N(INDEX('Daily Sale entry '!$S$1:$S$1501,$J739-1499))-TRUNC(N(INDEX('Daily Sale entry '!$S$1:$S$1501,$J739-1499))))))</f>
        <v/>
      </c>
      <c r="G739" s="6">
        <f>IF($J739="","",IF($J739&lt;=1500,N(INDEX('Daily Sale entry '!$AD$1:$AD$1501,$J739+1)),0))</f>
        <v/>
      </c>
      <c r="H739" s="6">
        <f>IF($J739="","",ROUND('Opening Balance'!$B$4+SUM($F$2:F739)-SUM($G$2:G739),2))</f>
        <v/>
      </c>
      <c r="J739" s="21">
        <f>IFERROR(MATCH(ROW()-1,$L$2:$L$3001,0),"")</f>
        <v/>
      </c>
      <c r="K739" s="34">
        <f>IF(AND('Daily Sale entry '!X739&lt;&gt;"",OR('Daily Sale entry '!AC739&lt;&gt;"",'Daily Sale entry '!AD739&lt;&gt;"")),'Daily Sale entry '!X739+ROW()/10000000,"")</f>
        <v/>
      </c>
      <c r="L739" s="21">
        <f>IF(K739="","",COUNTIF($K$2:$K$3001,"&lt;"&amp;K739)+1)</f>
        <v/>
      </c>
    </row>
    <row r="740">
      <c r="A740" s="5">
        <f>IF($J740="","",IF($J740&lt;=1500,INDEX('Daily Sale entry '!$X$1:$X$1501,$J740+1),INDEX('Daily Sale entry '!$V$1:$V$1501,$J740-1499)))</f>
        <v/>
      </c>
      <c r="B740">
        <f>IF($J740="","",IF($J740&lt;=1500,INDEX('Daily Sale entry '!$Y$1:$Y$1501,$J740+1)&amp;"","Buyer cheque banked 买家支票存入"&amp;IF(INDEX('Daily Sale entry '!$U$1:$U$1501,$J740-1499)="","", " - "&amp;INDEX('Daily Sale entry '!$U$1:$U$1501,$J740-1499))))</f>
        <v/>
      </c>
      <c r="C740">
        <f>IF($J740="","",IF($J740&lt;=1500,INDEX('Daily Sale entry '!$Z$1:$Z$1501,$J740+1)&amp;"","Cheque deposit 支票存入 (buyer 买家)"))</f>
        <v/>
      </c>
      <c r="D740">
        <f>IF($J740="","",IF($J740&lt;=1500,INDEX('Daily Sale entry '!$AA$1:$AA$1501,$J740+1)&amp;"",INDEX('Daily Sale entry '!$P$1:$P$1501,$J740-1499)&amp;""))</f>
        <v/>
      </c>
      <c r="E740">
        <f>IF($J740="","",IF($J740&lt;=1500,IF(N(INDEX('Daily Sale entry '!$AB$1:$AB$1501,$J740+1))=0,"",INDEX('Daily Sale entry '!$AB$1:$AB$1501,$J740+1)),1))</f>
        <v/>
      </c>
      <c r="F740" s="6">
        <f>IF($J740="","",IF($J740&lt;=1500,N(INDEX('Daily Sale entry '!$AC$1:$AC$1501,$J740+1))-IF(AND('Opening Balance'!$B$15=1,INDEX('Daily Sale entry '!$Z$1:$Z$1501,$J740+1)="Online collection 网上收款",INDEX('Daily Sale entry '!$AA$1:$AA$1501,$J740+1)&lt;&gt;""),N(INDEX('Daily Sale entry '!$AC$1:$AC$1501,$J740+1))-TRUNC(N(INDEX('Daily Sale entry '!$AC$1:$AC$1501,$J740+1))),0),N(INDEX('Daily Sale entry '!$S$1:$S$1501,$J740-1499))-'Opening Balance'!$B$15*(N(INDEX('Daily Sale entry '!$S$1:$S$1501,$J740-1499))-TRUNC(N(INDEX('Daily Sale entry '!$S$1:$S$1501,$J740-1499))))))</f>
        <v/>
      </c>
      <c r="G740" s="6">
        <f>IF($J740="","",IF($J740&lt;=1500,N(INDEX('Daily Sale entry '!$AD$1:$AD$1501,$J740+1)),0))</f>
        <v/>
      </c>
      <c r="H740" s="6">
        <f>IF($J740="","",ROUND('Opening Balance'!$B$4+SUM($F$2:F740)-SUM($G$2:G740),2))</f>
        <v/>
      </c>
      <c r="J740" s="21">
        <f>IFERROR(MATCH(ROW()-1,$L$2:$L$3001,0),"")</f>
        <v/>
      </c>
      <c r="K740" s="34">
        <f>IF(AND('Daily Sale entry '!X740&lt;&gt;"",OR('Daily Sale entry '!AC740&lt;&gt;"",'Daily Sale entry '!AD740&lt;&gt;"")),'Daily Sale entry '!X740+ROW()/10000000,"")</f>
        <v/>
      </c>
      <c r="L740" s="21">
        <f>IF(K740="","",COUNTIF($K$2:$K$3001,"&lt;"&amp;K740)+1)</f>
        <v/>
      </c>
    </row>
    <row r="741">
      <c r="A741" s="5">
        <f>IF($J741="","",IF($J741&lt;=1500,INDEX('Daily Sale entry '!$X$1:$X$1501,$J741+1),INDEX('Daily Sale entry '!$V$1:$V$1501,$J741-1499)))</f>
        <v/>
      </c>
      <c r="B741">
        <f>IF($J741="","",IF($J741&lt;=1500,INDEX('Daily Sale entry '!$Y$1:$Y$1501,$J741+1)&amp;"","Buyer cheque banked 买家支票存入"&amp;IF(INDEX('Daily Sale entry '!$U$1:$U$1501,$J741-1499)="","", " - "&amp;INDEX('Daily Sale entry '!$U$1:$U$1501,$J741-1499))))</f>
        <v/>
      </c>
      <c r="C741">
        <f>IF($J741="","",IF($J741&lt;=1500,INDEX('Daily Sale entry '!$Z$1:$Z$1501,$J741+1)&amp;"","Cheque deposit 支票存入 (buyer 买家)"))</f>
        <v/>
      </c>
      <c r="D741">
        <f>IF($J741="","",IF($J741&lt;=1500,INDEX('Daily Sale entry '!$AA$1:$AA$1501,$J741+1)&amp;"",INDEX('Daily Sale entry '!$P$1:$P$1501,$J741-1499)&amp;""))</f>
        <v/>
      </c>
      <c r="E741">
        <f>IF($J741="","",IF($J741&lt;=1500,IF(N(INDEX('Daily Sale entry '!$AB$1:$AB$1501,$J741+1))=0,"",INDEX('Daily Sale entry '!$AB$1:$AB$1501,$J741+1)),1))</f>
        <v/>
      </c>
      <c r="F741" s="6">
        <f>IF($J741="","",IF($J741&lt;=1500,N(INDEX('Daily Sale entry '!$AC$1:$AC$1501,$J741+1))-IF(AND('Opening Balance'!$B$15=1,INDEX('Daily Sale entry '!$Z$1:$Z$1501,$J741+1)="Online collection 网上收款",INDEX('Daily Sale entry '!$AA$1:$AA$1501,$J741+1)&lt;&gt;""),N(INDEX('Daily Sale entry '!$AC$1:$AC$1501,$J741+1))-TRUNC(N(INDEX('Daily Sale entry '!$AC$1:$AC$1501,$J741+1))),0),N(INDEX('Daily Sale entry '!$S$1:$S$1501,$J741-1499))-'Opening Balance'!$B$15*(N(INDEX('Daily Sale entry '!$S$1:$S$1501,$J741-1499))-TRUNC(N(INDEX('Daily Sale entry '!$S$1:$S$1501,$J741-1499))))))</f>
        <v/>
      </c>
      <c r="G741" s="6">
        <f>IF($J741="","",IF($J741&lt;=1500,N(INDEX('Daily Sale entry '!$AD$1:$AD$1501,$J741+1)),0))</f>
        <v/>
      </c>
      <c r="H741" s="6">
        <f>IF($J741="","",ROUND('Opening Balance'!$B$4+SUM($F$2:F741)-SUM($G$2:G741),2))</f>
        <v/>
      </c>
      <c r="J741" s="21">
        <f>IFERROR(MATCH(ROW()-1,$L$2:$L$3001,0),"")</f>
        <v/>
      </c>
      <c r="K741" s="34">
        <f>IF(AND('Daily Sale entry '!X741&lt;&gt;"",OR('Daily Sale entry '!AC741&lt;&gt;"",'Daily Sale entry '!AD741&lt;&gt;"")),'Daily Sale entry '!X741+ROW()/10000000,"")</f>
        <v/>
      </c>
      <c r="L741" s="21">
        <f>IF(K741="","",COUNTIF($K$2:$K$3001,"&lt;"&amp;K741)+1)</f>
        <v/>
      </c>
    </row>
    <row r="742">
      <c r="A742" s="5">
        <f>IF($J742="","",IF($J742&lt;=1500,INDEX('Daily Sale entry '!$X$1:$X$1501,$J742+1),INDEX('Daily Sale entry '!$V$1:$V$1501,$J742-1499)))</f>
        <v/>
      </c>
      <c r="B742">
        <f>IF($J742="","",IF($J742&lt;=1500,INDEX('Daily Sale entry '!$Y$1:$Y$1501,$J742+1)&amp;"","Buyer cheque banked 买家支票存入"&amp;IF(INDEX('Daily Sale entry '!$U$1:$U$1501,$J742-1499)="","", " - "&amp;INDEX('Daily Sale entry '!$U$1:$U$1501,$J742-1499))))</f>
        <v/>
      </c>
      <c r="C742">
        <f>IF($J742="","",IF($J742&lt;=1500,INDEX('Daily Sale entry '!$Z$1:$Z$1501,$J742+1)&amp;"","Cheque deposit 支票存入 (buyer 买家)"))</f>
        <v/>
      </c>
      <c r="D742">
        <f>IF($J742="","",IF($J742&lt;=1500,INDEX('Daily Sale entry '!$AA$1:$AA$1501,$J742+1)&amp;"",INDEX('Daily Sale entry '!$P$1:$P$1501,$J742-1499)&amp;""))</f>
        <v/>
      </c>
      <c r="E742">
        <f>IF($J742="","",IF($J742&lt;=1500,IF(N(INDEX('Daily Sale entry '!$AB$1:$AB$1501,$J742+1))=0,"",INDEX('Daily Sale entry '!$AB$1:$AB$1501,$J742+1)),1))</f>
        <v/>
      </c>
      <c r="F742" s="6">
        <f>IF($J742="","",IF($J742&lt;=1500,N(INDEX('Daily Sale entry '!$AC$1:$AC$1501,$J742+1))-IF(AND('Opening Balance'!$B$15=1,INDEX('Daily Sale entry '!$Z$1:$Z$1501,$J742+1)="Online collection 网上收款",INDEX('Daily Sale entry '!$AA$1:$AA$1501,$J742+1)&lt;&gt;""),N(INDEX('Daily Sale entry '!$AC$1:$AC$1501,$J742+1))-TRUNC(N(INDEX('Daily Sale entry '!$AC$1:$AC$1501,$J742+1))),0),N(INDEX('Daily Sale entry '!$S$1:$S$1501,$J742-1499))-'Opening Balance'!$B$15*(N(INDEX('Daily Sale entry '!$S$1:$S$1501,$J742-1499))-TRUNC(N(INDEX('Daily Sale entry '!$S$1:$S$1501,$J742-1499))))))</f>
        <v/>
      </c>
      <c r="G742" s="6">
        <f>IF($J742="","",IF($J742&lt;=1500,N(INDEX('Daily Sale entry '!$AD$1:$AD$1501,$J742+1)),0))</f>
        <v/>
      </c>
      <c r="H742" s="6">
        <f>IF($J742="","",ROUND('Opening Balance'!$B$4+SUM($F$2:F742)-SUM($G$2:G742),2))</f>
        <v/>
      </c>
      <c r="J742" s="21">
        <f>IFERROR(MATCH(ROW()-1,$L$2:$L$3001,0),"")</f>
        <v/>
      </c>
      <c r="K742" s="34">
        <f>IF(AND('Daily Sale entry '!X742&lt;&gt;"",OR('Daily Sale entry '!AC742&lt;&gt;"",'Daily Sale entry '!AD742&lt;&gt;"")),'Daily Sale entry '!X742+ROW()/10000000,"")</f>
        <v/>
      </c>
      <c r="L742" s="21">
        <f>IF(K742="","",COUNTIF($K$2:$K$3001,"&lt;"&amp;K742)+1)</f>
        <v/>
      </c>
    </row>
    <row r="743">
      <c r="A743" s="5">
        <f>IF($J743="","",IF($J743&lt;=1500,INDEX('Daily Sale entry '!$X$1:$X$1501,$J743+1),INDEX('Daily Sale entry '!$V$1:$V$1501,$J743-1499)))</f>
        <v/>
      </c>
      <c r="B743">
        <f>IF($J743="","",IF($J743&lt;=1500,INDEX('Daily Sale entry '!$Y$1:$Y$1501,$J743+1)&amp;"","Buyer cheque banked 买家支票存入"&amp;IF(INDEX('Daily Sale entry '!$U$1:$U$1501,$J743-1499)="","", " - "&amp;INDEX('Daily Sale entry '!$U$1:$U$1501,$J743-1499))))</f>
        <v/>
      </c>
      <c r="C743">
        <f>IF($J743="","",IF($J743&lt;=1500,INDEX('Daily Sale entry '!$Z$1:$Z$1501,$J743+1)&amp;"","Cheque deposit 支票存入 (buyer 买家)"))</f>
        <v/>
      </c>
      <c r="D743">
        <f>IF($J743="","",IF($J743&lt;=1500,INDEX('Daily Sale entry '!$AA$1:$AA$1501,$J743+1)&amp;"",INDEX('Daily Sale entry '!$P$1:$P$1501,$J743-1499)&amp;""))</f>
        <v/>
      </c>
      <c r="E743">
        <f>IF($J743="","",IF($J743&lt;=1500,IF(N(INDEX('Daily Sale entry '!$AB$1:$AB$1501,$J743+1))=0,"",INDEX('Daily Sale entry '!$AB$1:$AB$1501,$J743+1)),1))</f>
        <v/>
      </c>
      <c r="F743" s="6">
        <f>IF($J743="","",IF($J743&lt;=1500,N(INDEX('Daily Sale entry '!$AC$1:$AC$1501,$J743+1))-IF(AND('Opening Balance'!$B$15=1,INDEX('Daily Sale entry '!$Z$1:$Z$1501,$J743+1)="Online collection 网上收款",INDEX('Daily Sale entry '!$AA$1:$AA$1501,$J743+1)&lt;&gt;""),N(INDEX('Daily Sale entry '!$AC$1:$AC$1501,$J743+1))-TRUNC(N(INDEX('Daily Sale entry '!$AC$1:$AC$1501,$J743+1))),0),N(INDEX('Daily Sale entry '!$S$1:$S$1501,$J743-1499))-'Opening Balance'!$B$15*(N(INDEX('Daily Sale entry '!$S$1:$S$1501,$J743-1499))-TRUNC(N(INDEX('Daily Sale entry '!$S$1:$S$1501,$J743-1499))))))</f>
        <v/>
      </c>
      <c r="G743" s="6">
        <f>IF($J743="","",IF($J743&lt;=1500,N(INDEX('Daily Sale entry '!$AD$1:$AD$1501,$J743+1)),0))</f>
        <v/>
      </c>
      <c r="H743" s="6">
        <f>IF($J743="","",ROUND('Opening Balance'!$B$4+SUM($F$2:F743)-SUM($G$2:G743),2))</f>
        <v/>
      </c>
      <c r="J743" s="21">
        <f>IFERROR(MATCH(ROW()-1,$L$2:$L$3001,0),"")</f>
        <v/>
      </c>
      <c r="K743" s="34">
        <f>IF(AND('Daily Sale entry '!X743&lt;&gt;"",OR('Daily Sale entry '!AC743&lt;&gt;"",'Daily Sale entry '!AD743&lt;&gt;"")),'Daily Sale entry '!X743+ROW()/10000000,"")</f>
        <v/>
      </c>
      <c r="L743" s="21">
        <f>IF(K743="","",COUNTIF($K$2:$K$3001,"&lt;"&amp;K743)+1)</f>
        <v/>
      </c>
    </row>
    <row r="744">
      <c r="A744" s="5">
        <f>IF($J744="","",IF($J744&lt;=1500,INDEX('Daily Sale entry '!$X$1:$X$1501,$J744+1),INDEX('Daily Sale entry '!$V$1:$V$1501,$J744-1499)))</f>
        <v/>
      </c>
      <c r="B744">
        <f>IF($J744="","",IF($J744&lt;=1500,INDEX('Daily Sale entry '!$Y$1:$Y$1501,$J744+1)&amp;"","Buyer cheque banked 买家支票存入"&amp;IF(INDEX('Daily Sale entry '!$U$1:$U$1501,$J744-1499)="","", " - "&amp;INDEX('Daily Sale entry '!$U$1:$U$1501,$J744-1499))))</f>
        <v/>
      </c>
      <c r="C744">
        <f>IF($J744="","",IF($J744&lt;=1500,INDEX('Daily Sale entry '!$Z$1:$Z$1501,$J744+1)&amp;"","Cheque deposit 支票存入 (buyer 买家)"))</f>
        <v/>
      </c>
      <c r="D744">
        <f>IF($J744="","",IF($J744&lt;=1500,INDEX('Daily Sale entry '!$AA$1:$AA$1501,$J744+1)&amp;"",INDEX('Daily Sale entry '!$P$1:$P$1501,$J744-1499)&amp;""))</f>
        <v/>
      </c>
      <c r="E744">
        <f>IF($J744="","",IF($J744&lt;=1500,IF(N(INDEX('Daily Sale entry '!$AB$1:$AB$1501,$J744+1))=0,"",INDEX('Daily Sale entry '!$AB$1:$AB$1501,$J744+1)),1))</f>
        <v/>
      </c>
      <c r="F744" s="6">
        <f>IF($J744="","",IF($J744&lt;=1500,N(INDEX('Daily Sale entry '!$AC$1:$AC$1501,$J744+1))-IF(AND('Opening Balance'!$B$15=1,INDEX('Daily Sale entry '!$Z$1:$Z$1501,$J744+1)="Online collection 网上收款",INDEX('Daily Sale entry '!$AA$1:$AA$1501,$J744+1)&lt;&gt;""),N(INDEX('Daily Sale entry '!$AC$1:$AC$1501,$J744+1))-TRUNC(N(INDEX('Daily Sale entry '!$AC$1:$AC$1501,$J744+1))),0),N(INDEX('Daily Sale entry '!$S$1:$S$1501,$J744-1499))-'Opening Balance'!$B$15*(N(INDEX('Daily Sale entry '!$S$1:$S$1501,$J744-1499))-TRUNC(N(INDEX('Daily Sale entry '!$S$1:$S$1501,$J744-1499))))))</f>
        <v/>
      </c>
      <c r="G744" s="6">
        <f>IF($J744="","",IF($J744&lt;=1500,N(INDEX('Daily Sale entry '!$AD$1:$AD$1501,$J744+1)),0))</f>
        <v/>
      </c>
      <c r="H744" s="6">
        <f>IF($J744="","",ROUND('Opening Balance'!$B$4+SUM($F$2:F744)-SUM($G$2:G744),2))</f>
        <v/>
      </c>
      <c r="J744" s="21">
        <f>IFERROR(MATCH(ROW()-1,$L$2:$L$3001,0),"")</f>
        <v/>
      </c>
      <c r="K744" s="34">
        <f>IF(AND('Daily Sale entry '!X744&lt;&gt;"",OR('Daily Sale entry '!AC744&lt;&gt;"",'Daily Sale entry '!AD744&lt;&gt;"")),'Daily Sale entry '!X744+ROW()/10000000,"")</f>
        <v/>
      </c>
      <c r="L744" s="21">
        <f>IF(K744="","",COUNTIF($K$2:$K$3001,"&lt;"&amp;K744)+1)</f>
        <v/>
      </c>
    </row>
    <row r="745">
      <c r="A745" s="5">
        <f>IF($J745="","",IF($J745&lt;=1500,INDEX('Daily Sale entry '!$X$1:$X$1501,$J745+1),INDEX('Daily Sale entry '!$V$1:$V$1501,$J745-1499)))</f>
        <v/>
      </c>
      <c r="B745">
        <f>IF($J745="","",IF($J745&lt;=1500,INDEX('Daily Sale entry '!$Y$1:$Y$1501,$J745+1)&amp;"","Buyer cheque banked 买家支票存入"&amp;IF(INDEX('Daily Sale entry '!$U$1:$U$1501,$J745-1499)="","", " - "&amp;INDEX('Daily Sale entry '!$U$1:$U$1501,$J745-1499))))</f>
        <v/>
      </c>
      <c r="C745">
        <f>IF($J745="","",IF($J745&lt;=1500,INDEX('Daily Sale entry '!$Z$1:$Z$1501,$J745+1)&amp;"","Cheque deposit 支票存入 (buyer 买家)"))</f>
        <v/>
      </c>
      <c r="D745">
        <f>IF($J745="","",IF($J745&lt;=1500,INDEX('Daily Sale entry '!$AA$1:$AA$1501,$J745+1)&amp;"",INDEX('Daily Sale entry '!$P$1:$P$1501,$J745-1499)&amp;""))</f>
        <v/>
      </c>
      <c r="E745">
        <f>IF($J745="","",IF($J745&lt;=1500,IF(N(INDEX('Daily Sale entry '!$AB$1:$AB$1501,$J745+1))=0,"",INDEX('Daily Sale entry '!$AB$1:$AB$1501,$J745+1)),1))</f>
        <v/>
      </c>
      <c r="F745" s="6">
        <f>IF($J745="","",IF($J745&lt;=1500,N(INDEX('Daily Sale entry '!$AC$1:$AC$1501,$J745+1))-IF(AND('Opening Balance'!$B$15=1,INDEX('Daily Sale entry '!$Z$1:$Z$1501,$J745+1)="Online collection 网上收款",INDEX('Daily Sale entry '!$AA$1:$AA$1501,$J745+1)&lt;&gt;""),N(INDEX('Daily Sale entry '!$AC$1:$AC$1501,$J745+1))-TRUNC(N(INDEX('Daily Sale entry '!$AC$1:$AC$1501,$J745+1))),0),N(INDEX('Daily Sale entry '!$S$1:$S$1501,$J745-1499))-'Opening Balance'!$B$15*(N(INDEX('Daily Sale entry '!$S$1:$S$1501,$J745-1499))-TRUNC(N(INDEX('Daily Sale entry '!$S$1:$S$1501,$J745-1499))))))</f>
        <v/>
      </c>
      <c r="G745" s="6">
        <f>IF($J745="","",IF($J745&lt;=1500,N(INDEX('Daily Sale entry '!$AD$1:$AD$1501,$J745+1)),0))</f>
        <v/>
      </c>
      <c r="H745" s="6">
        <f>IF($J745="","",ROUND('Opening Balance'!$B$4+SUM($F$2:F745)-SUM($G$2:G745),2))</f>
        <v/>
      </c>
      <c r="J745" s="21">
        <f>IFERROR(MATCH(ROW()-1,$L$2:$L$3001,0),"")</f>
        <v/>
      </c>
      <c r="K745" s="34">
        <f>IF(AND('Daily Sale entry '!X745&lt;&gt;"",OR('Daily Sale entry '!AC745&lt;&gt;"",'Daily Sale entry '!AD745&lt;&gt;"")),'Daily Sale entry '!X745+ROW()/10000000,"")</f>
        <v/>
      </c>
      <c r="L745" s="21">
        <f>IF(K745="","",COUNTIF($K$2:$K$3001,"&lt;"&amp;K745)+1)</f>
        <v/>
      </c>
    </row>
    <row r="746">
      <c r="A746" s="5">
        <f>IF($J746="","",IF($J746&lt;=1500,INDEX('Daily Sale entry '!$X$1:$X$1501,$J746+1),INDEX('Daily Sale entry '!$V$1:$V$1501,$J746-1499)))</f>
        <v/>
      </c>
      <c r="B746">
        <f>IF($J746="","",IF($J746&lt;=1500,INDEX('Daily Sale entry '!$Y$1:$Y$1501,$J746+1)&amp;"","Buyer cheque banked 买家支票存入"&amp;IF(INDEX('Daily Sale entry '!$U$1:$U$1501,$J746-1499)="","", " - "&amp;INDEX('Daily Sale entry '!$U$1:$U$1501,$J746-1499))))</f>
        <v/>
      </c>
      <c r="C746">
        <f>IF($J746="","",IF($J746&lt;=1500,INDEX('Daily Sale entry '!$Z$1:$Z$1501,$J746+1)&amp;"","Cheque deposit 支票存入 (buyer 买家)"))</f>
        <v/>
      </c>
      <c r="D746">
        <f>IF($J746="","",IF($J746&lt;=1500,INDEX('Daily Sale entry '!$AA$1:$AA$1501,$J746+1)&amp;"",INDEX('Daily Sale entry '!$P$1:$P$1501,$J746-1499)&amp;""))</f>
        <v/>
      </c>
      <c r="E746">
        <f>IF($J746="","",IF($J746&lt;=1500,IF(N(INDEX('Daily Sale entry '!$AB$1:$AB$1501,$J746+1))=0,"",INDEX('Daily Sale entry '!$AB$1:$AB$1501,$J746+1)),1))</f>
        <v/>
      </c>
      <c r="F746" s="6">
        <f>IF($J746="","",IF($J746&lt;=1500,N(INDEX('Daily Sale entry '!$AC$1:$AC$1501,$J746+1))-IF(AND('Opening Balance'!$B$15=1,INDEX('Daily Sale entry '!$Z$1:$Z$1501,$J746+1)="Online collection 网上收款",INDEX('Daily Sale entry '!$AA$1:$AA$1501,$J746+1)&lt;&gt;""),N(INDEX('Daily Sale entry '!$AC$1:$AC$1501,$J746+1))-TRUNC(N(INDEX('Daily Sale entry '!$AC$1:$AC$1501,$J746+1))),0),N(INDEX('Daily Sale entry '!$S$1:$S$1501,$J746-1499))-'Opening Balance'!$B$15*(N(INDEX('Daily Sale entry '!$S$1:$S$1501,$J746-1499))-TRUNC(N(INDEX('Daily Sale entry '!$S$1:$S$1501,$J746-1499))))))</f>
        <v/>
      </c>
      <c r="G746" s="6">
        <f>IF($J746="","",IF($J746&lt;=1500,N(INDEX('Daily Sale entry '!$AD$1:$AD$1501,$J746+1)),0))</f>
        <v/>
      </c>
      <c r="H746" s="6">
        <f>IF($J746="","",ROUND('Opening Balance'!$B$4+SUM($F$2:F746)-SUM($G$2:G746),2))</f>
        <v/>
      </c>
      <c r="J746" s="21">
        <f>IFERROR(MATCH(ROW()-1,$L$2:$L$3001,0),"")</f>
        <v/>
      </c>
      <c r="K746" s="34">
        <f>IF(AND('Daily Sale entry '!X746&lt;&gt;"",OR('Daily Sale entry '!AC746&lt;&gt;"",'Daily Sale entry '!AD746&lt;&gt;"")),'Daily Sale entry '!X746+ROW()/10000000,"")</f>
        <v/>
      </c>
      <c r="L746" s="21">
        <f>IF(K746="","",COUNTIF($K$2:$K$3001,"&lt;"&amp;K746)+1)</f>
        <v/>
      </c>
    </row>
    <row r="747">
      <c r="A747" s="5">
        <f>IF($J747="","",IF($J747&lt;=1500,INDEX('Daily Sale entry '!$X$1:$X$1501,$J747+1),INDEX('Daily Sale entry '!$V$1:$V$1501,$J747-1499)))</f>
        <v/>
      </c>
      <c r="B747">
        <f>IF($J747="","",IF($J747&lt;=1500,INDEX('Daily Sale entry '!$Y$1:$Y$1501,$J747+1)&amp;"","Buyer cheque banked 买家支票存入"&amp;IF(INDEX('Daily Sale entry '!$U$1:$U$1501,$J747-1499)="","", " - "&amp;INDEX('Daily Sale entry '!$U$1:$U$1501,$J747-1499))))</f>
        <v/>
      </c>
      <c r="C747">
        <f>IF($J747="","",IF($J747&lt;=1500,INDEX('Daily Sale entry '!$Z$1:$Z$1501,$J747+1)&amp;"","Cheque deposit 支票存入 (buyer 买家)"))</f>
        <v/>
      </c>
      <c r="D747">
        <f>IF($J747="","",IF($J747&lt;=1500,INDEX('Daily Sale entry '!$AA$1:$AA$1501,$J747+1)&amp;"",INDEX('Daily Sale entry '!$P$1:$P$1501,$J747-1499)&amp;""))</f>
        <v/>
      </c>
      <c r="E747">
        <f>IF($J747="","",IF($J747&lt;=1500,IF(N(INDEX('Daily Sale entry '!$AB$1:$AB$1501,$J747+1))=0,"",INDEX('Daily Sale entry '!$AB$1:$AB$1501,$J747+1)),1))</f>
        <v/>
      </c>
      <c r="F747" s="6">
        <f>IF($J747="","",IF($J747&lt;=1500,N(INDEX('Daily Sale entry '!$AC$1:$AC$1501,$J747+1))-IF(AND('Opening Balance'!$B$15=1,INDEX('Daily Sale entry '!$Z$1:$Z$1501,$J747+1)="Online collection 网上收款",INDEX('Daily Sale entry '!$AA$1:$AA$1501,$J747+1)&lt;&gt;""),N(INDEX('Daily Sale entry '!$AC$1:$AC$1501,$J747+1))-TRUNC(N(INDEX('Daily Sale entry '!$AC$1:$AC$1501,$J747+1))),0),N(INDEX('Daily Sale entry '!$S$1:$S$1501,$J747-1499))-'Opening Balance'!$B$15*(N(INDEX('Daily Sale entry '!$S$1:$S$1501,$J747-1499))-TRUNC(N(INDEX('Daily Sale entry '!$S$1:$S$1501,$J747-1499))))))</f>
        <v/>
      </c>
      <c r="G747" s="6">
        <f>IF($J747="","",IF($J747&lt;=1500,N(INDEX('Daily Sale entry '!$AD$1:$AD$1501,$J747+1)),0))</f>
        <v/>
      </c>
      <c r="H747" s="6">
        <f>IF($J747="","",ROUND('Opening Balance'!$B$4+SUM($F$2:F747)-SUM($G$2:G747),2))</f>
        <v/>
      </c>
      <c r="J747" s="21">
        <f>IFERROR(MATCH(ROW()-1,$L$2:$L$3001,0),"")</f>
        <v/>
      </c>
      <c r="K747" s="34">
        <f>IF(AND('Daily Sale entry '!X747&lt;&gt;"",OR('Daily Sale entry '!AC747&lt;&gt;"",'Daily Sale entry '!AD747&lt;&gt;"")),'Daily Sale entry '!X747+ROW()/10000000,"")</f>
        <v/>
      </c>
      <c r="L747" s="21">
        <f>IF(K747="","",COUNTIF($K$2:$K$3001,"&lt;"&amp;K747)+1)</f>
        <v/>
      </c>
    </row>
    <row r="748">
      <c r="A748" s="5">
        <f>IF($J748="","",IF($J748&lt;=1500,INDEX('Daily Sale entry '!$X$1:$X$1501,$J748+1),INDEX('Daily Sale entry '!$V$1:$V$1501,$J748-1499)))</f>
        <v/>
      </c>
      <c r="B748">
        <f>IF($J748="","",IF($J748&lt;=1500,INDEX('Daily Sale entry '!$Y$1:$Y$1501,$J748+1)&amp;"","Buyer cheque banked 买家支票存入"&amp;IF(INDEX('Daily Sale entry '!$U$1:$U$1501,$J748-1499)="","", " - "&amp;INDEX('Daily Sale entry '!$U$1:$U$1501,$J748-1499))))</f>
        <v/>
      </c>
      <c r="C748">
        <f>IF($J748="","",IF($J748&lt;=1500,INDEX('Daily Sale entry '!$Z$1:$Z$1501,$J748+1)&amp;"","Cheque deposit 支票存入 (buyer 买家)"))</f>
        <v/>
      </c>
      <c r="D748">
        <f>IF($J748="","",IF($J748&lt;=1500,INDEX('Daily Sale entry '!$AA$1:$AA$1501,$J748+1)&amp;"",INDEX('Daily Sale entry '!$P$1:$P$1501,$J748-1499)&amp;""))</f>
        <v/>
      </c>
      <c r="E748">
        <f>IF($J748="","",IF($J748&lt;=1500,IF(N(INDEX('Daily Sale entry '!$AB$1:$AB$1501,$J748+1))=0,"",INDEX('Daily Sale entry '!$AB$1:$AB$1501,$J748+1)),1))</f>
        <v/>
      </c>
      <c r="F748" s="6">
        <f>IF($J748="","",IF($J748&lt;=1500,N(INDEX('Daily Sale entry '!$AC$1:$AC$1501,$J748+1))-IF(AND('Opening Balance'!$B$15=1,INDEX('Daily Sale entry '!$Z$1:$Z$1501,$J748+1)="Online collection 网上收款",INDEX('Daily Sale entry '!$AA$1:$AA$1501,$J748+1)&lt;&gt;""),N(INDEX('Daily Sale entry '!$AC$1:$AC$1501,$J748+1))-TRUNC(N(INDEX('Daily Sale entry '!$AC$1:$AC$1501,$J748+1))),0),N(INDEX('Daily Sale entry '!$S$1:$S$1501,$J748-1499))-'Opening Balance'!$B$15*(N(INDEX('Daily Sale entry '!$S$1:$S$1501,$J748-1499))-TRUNC(N(INDEX('Daily Sale entry '!$S$1:$S$1501,$J748-1499))))))</f>
        <v/>
      </c>
      <c r="G748" s="6">
        <f>IF($J748="","",IF($J748&lt;=1500,N(INDEX('Daily Sale entry '!$AD$1:$AD$1501,$J748+1)),0))</f>
        <v/>
      </c>
      <c r="H748" s="6">
        <f>IF($J748="","",ROUND('Opening Balance'!$B$4+SUM($F$2:F748)-SUM($G$2:G748),2))</f>
        <v/>
      </c>
      <c r="J748" s="21">
        <f>IFERROR(MATCH(ROW()-1,$L$2:$L$3001,0),"")</f>
        <v/>
      </c>
      <c r="K748" s="34">
        <f>IF(AND('Daily Sale entry '!X748&lt;&gt;"",OR('Daily Sale entry '!AC748&lt;&gt;"",'Daily Sale entry '!AD748&lt;&gt;"")),'Daily Sale entry '!X748+ROW()/10000000,"")</f>
        <v/>
      </c>
      <c r="L748" s="21">
        <f>IF(K748="","",COUNTIF($K$2:$K$3001,"&lt;"&amp;K748)+1)</f>
        <v/>
      </c>
    </row>
    <row r="749">
      <c r="A749" s="5">
        <f>IF($J749="","",IF($J749&lt;=1500,INDEX('Daily Sale entry '!$X$1:$X$1501,$J749+1),INDEX('Daily Sale entry '!$V$1:$V$1501,$J749-1499)))</f>
        <v/>
      </c>
      <c r="B749">
        <f>IF($J749="","",IF($J749&lt;=1500,INDEX('Daily Sale entry '!$Y$1:$Y$1501,$J749+1)&amp;"","Buyer cheque banked 买家支票存入"&amp;IF(INDEX('Daily Sale entry '!$U$1:$U$1501,$J749-1499)="","", " - "&amp;INDEX('Daily Sale entry '!$U$1:$U$1501,$J749-1499))))</f>
        <v/>
      </c>
      <c r="C749">
        <f>IF($J749="","",IF($J749&lt;=1500,INDEX('Daily Sale entry '!$Z$1:$Z$1501,$J749+1)&amp;"","Cheque deposit 支票存入 (buyer 买家)"))</f>
        <v/>
      </c>
      <c r="D749">
        <f>IF($J749="","",IF($J749&lt;=1500,INDEX('Daily Sale entry '!$AA$1:$AA$1501,$J749+1)&amp;"",INDEX('Daily Sale entry '!$P$1:$P$1501,$J749-1499)&amp;""))</f>
        <v/>
      </c>
      <c r="E749">
        <f>IF($J749="","",IF($J749&lt;=1500,IF(N(INDEX('Daily Sale entry '!$AB$1:$AB$1501,$J749+1))=0,"",INDEX('Daily Sale entry '!$AB$1:$AB$1501,$J749+1)),1))</f>
        <v/>
      </c>
      <c r="F749" s="6">
        <f>IF($J749="","",IF($J749&lt;=1500,N(INDEX('Daily Sale entry '!$AC$1:$AC$1501,$J749+1))-IF(AND('Opening Balance'!$B$15=1,INDEX('Daily Sale entry '!$Z$1:$Z$1501,$J749+1)="Online collection 网上收款",INDEX('Daily Sale entry '!$AA$1:$AA$1501,$J749+1)&lt;&gt;""),N(INDEX('Daily Sale entry '!$AC$1:$AC$1501,$J749+1))-TRUNC(N(INDEX('Daily Sale entry '!$AC$1:$AC$1501,$J749+1))),0),N(INDEX('Daily Sale entry '!$S$1:$S$1501,$J749-1499))-'Opening Balance'!$B$15*(N(INDEX('Daily Sale entry '!$S$1:$S$1501,$J749-1499))-TRUNC(N(INDEX('Daily Sale entry '!$S$1:$S$1501,$J749-1499))))))</f>
        <v/>
      </c>
      <c r="G749" s="6">
        <f>IF($J749="","",IF($J749&lt;=1500,N(INDEX('Daily Sale entry '!$AD$1:$AD$1501,$J749+1)),0))</f>
        <v/>
      </c>
      <c r="H749" s="6">
        <f>IF($J749="","",ROUND('Opening Balance'!$B$4+SUM($F$2:F749)-SUM($G$2:G749),2))</f>
        <v/>
      </c>
      <c r="J749" s="21">
        <f>IFERROR(MATCH(ROW()-1,$L$2:$L$3001,0),"")</f>
        <v/>
      </c>
      <c r="K749" s="34">
        <f>IF(AND('Daily Sale entry '!X749&lt;&gt;"",OR('Daily Sale entry '!AC749&lt;&gt;"",'Daily Sale entry '!AD749&lt;&gt;"")),'Daily Sale entry '!X749+ROW()/10000000,"")</f>
        <v/>
      </c>
      <c r="L749" s="21">
        <f>IF(K749="","",COUNTIF($K$2:$K$3001,"&lt;"&amp;K749)+1)</f>
        <v/>
      </c>
    </row>
    <row r="750">
      <c r="A750" s="5">
        <f>IF($J750="","",IF($J750&lt;=1500,INDEX('Daily Sale entry '!$X$1:$X$1501,$J750+1),INDEX('Daily Sale entry '!$V$1:$V$1501,$J750-1499)))</f>
        <v/>
      </c>
      <c r="B750">
        <f>IF($J750="","",IF($J750&lt;=1500,INDEX('Daily Sale entry '!$Y$1:$Y$1501,$J750+1)&amp;"","Buyer cheque banked 买家支票存入"&amp;IF(INDEX('Daily Sale entry '!$U$1:$U$1501,$J750-1499)="","", " - "&amp;INDEX('Daily Sale entry '!$U$1:$U$1501,$J750-1499))))</f>
        <v/>
      </c>
      <c r="C750">
        <f>IF($J750="","",IF($J750&lt;=1500,INDEX('Daily Sale entry '!$Z$1:$Z$1501,$J750+1)&amp;"","Cheque deposit 支票存入 (buyer 买家)"))</f>
        <v/>
      </c>
      <c r="D750">
        <f>IF($J750="","",IF($J750&lt;=1500,INDEX('Daily Sale entry '!$AA$1:$AA$1501,$J750+1)&amp;"",INDEX('Daily Sale entry '!$P$1:$P$1501,$J750-1499)&amp;""))</f>
        <v/>
      </c>
      <c r="E750">
        <f>IF($J750="","",IF($J750&lt;=1500,IF(N(INDEX('Daily Sale entry '!$AB$1:$AB$1501,$J750+1))=0,"",INDEX('Daily Sale entry '!$AB$1:$AB$1501,$J750+1)),1))</f>
        <v/>
      </c>
      <c r="F750" s="6">
        <f>IF($J750="","",IF($J750&lt;=1500,N(INDEX('Daily Sale entry '!$AC$1:$AC$1501,$J750+1))-IF(AND('Opening Balance'!$B$15=1,INDEX('Daily Sale entry '!$Z$1:$Z$1501,$J750+1)="Online collection 网上收款",INDEX('Daily Sale entry '!$AA$1:$AA$1501,$J750+1)&lt;&gt;""),N(INDEX('Daily Sale entry '!$AC$1:$AC$1501,$J750+1))-TRUNC(N(INDEX('Daily Sale entry '!$AC$1:$AC$1501,$J750+1))),0),N(INDEX('Daily Sale entry '!$S$1:$S$1501,$J750-1499))-'Opening Balance'!$B$15*(N(INDEX('Daily Sale entry '!$S$1:$S$1501,$J750-1499))-TRUNC(N(INDEX('Daily Sale entry '!$S$1:$S$1501,$J750-1499))))))</f>
        <v/>
      </c>
      <c r="G750" s="6">
        <f>IF($J750="","",IF($J750&lt;=1500,N(INDEX('Daily Sale entry '!$AD$1:$AD$1501,$J750+1)),0))</f>
        <v/>
      </c>
      <c r="H750" s="6">
        <f>IF($J750="","",ROUND('Opening Balance'!$B$4+SUM($F$2:F750)-SUM($G$2:G750),2))</f>
        <v/>
      </c>
      <c r="J750" s="21">
        <f>IFERROR(MATCH(ROW()-1,$L$2:$L$3001,0),"")</f>
        <v/>
      </c>
      <c r="K750" s="34">
        <f>IF(AND('Daily Sale entry '!X750&lt;&gt;"",OR('Daily Sale entry '!AC750&lt;&gt;"",'Daily Sale entry '!AD750&lt;&gt;"")),'Daily Sale entry '!X750+ROW()/10000000,"")</f>
        <v/>
      </c>
      <c r="L750" s="21">
        <f>IF(K750="","",COUNTIF($K$2:$K$3001,"&lt;"&amp;K750)+1)</f>
        <v/>
      </c>
    </row>
    <row r="751">
      <c r="A751" s="5">
        <f>IF($J751="","",IF($J751&lt;=1500,INDEX('Daily Sale entry '!$X$1:$X$1501,$J751+1),INDEX('Daily Sale entry '!$V$1:$V$1501,$J751-1499)))</f>
        <v/>
      </c>
      <c r="B751">
        <f>IF($J751="","",IF($J751&lt;=1500,INDEX('Daily Sale entry '!$Y$1:$Y$1501,$J751+1)&amp;"","Buyer cheque banked 买家支票存入"&amp;IF(INDEX('Daily Sale entry '!$U$1:$U$1501,$J751-1499)="","", " - "&amp;INDEX('Daily Sale entry '!$U$1:$U$1501,$J751-1499))))</f>
        <v/>
      </c>
      <c r="C751">
        <f>IF($J751="","",IF($J751&lt;=1500,INDEX('Daily Sale entry '!$Z$1:$Z$1501,$J751+1)&amp;"","Cheque deposit 支票存入 (buyer 买家)"))</f>
        <v/>
      </c>
      <c r="D751">
        <f>IF($J751="","",IF($J751&lt;=1500,INDEX('Daily Sale entry '!$AA$1:$AA$1501,$J751+1)&amp;"",INDEX('Daily Sale entry '!$P$1:$P$1501,$J751-1499)&amp;""))</f>
        <v/>
      </c>
      <c r="E751">
        <f>IF($J751="","",IF($J751&lt;=1500,IF(N(INDEX('Daily Sale entry '!$AB$1:$AB$1501,$J751+1))=0,"",INDEX('Daily Sale entry '!$AB$1:$AB$1501,$J751+1)),1))</f>
        <v/>
      </c>
      <c r="F751" s="6">
        <f>IF($J751="","",IF($J751&lt;=1500,N(INDEX('Daily Sale entry '!$AC$1:$AC$1501,$J751+1))-IF(AND('Opening Balance'!$B$15=1,INDEX('Daily Sale entry '!$Z$1:$Z$1501,$J751+1)="Online collection 网上收款",INDEX('Daily Sale entry '!$AA$1:$AA$1501,$J751+1)&lt;&gt;""),N(INDEX('Daily Sale entry '!$AC$1:$AC$1501,$J751+1))-TRUNC(N(INDEX('Daily Sale entry '!$AC$1:$AC$1501,$J751+1))),0),N(INDEX('Daily Sale entry '!$S$1:$S$1501,$J751-1499))-'Opening Balance'!$B$15*(N(INDEX('Daily Sale entry '!$S$1:$S$1501,$J751-1499))-TRUNC(N(INDEX('Daily Sale entry '!$S$1:$S$1501,$J751-1499))))))</f>
        <v/>
      </c>
      <c r="G751" s="6">
        <f>IF($J751="","",IF($J751&lt;=1500,N(INDEX('Daily Sale entry '!$AD$1:$AD$1501,$J751+1)),0))</f>
        <v/>
      </c>
      <c r="H751" s="6">
        <f>IF($J751="","",ROUND('Opening Balance'!$B$4+SUM($F$2:F751)-SUM($G$2:G751),2))</f>
        <v/>
      </c>
      <c r="J751" s="21">
        <f>IFERROR(MATCH(ROW()-1,$L$2:$L$3001,0),"")</f>
        <v/>
      </c>
      <c r="K751" s="34">
        <f>IF(AND('Daily Sale entry '!X751&lt;&gt;"",OR('Daily Sale entry '!AC751&lt;&gt;"",'Daily Sale entry '!AD751&lt;&gt;"")),'Daily Sale entry '!X751+ROW()/10000000,"")</f>
        <v/>
      </c>
      <c r="L751" s="21">
        <f>IF(K751="","",COUNTIF($K$2:$K$3001,"&lt;"&amp;K751)+1)</f>
        <v/>
      </c>
    </row>
    <row r="752">
      <c r="A752" s="5">
        <f>IF($J752="","",IF($J752&lt;=1500,INDEX('Daily Sale entry '!$X$1:$X$1501,$J752+1),INDEX('Daily Sale entry '!$V$1:$V$1501,$J752-1499)))</f>
        <v/>
      </c>
      <c r="B752">
        <f>IF($J752="","",IF($J752&lt;=1500,INDEX('Daily Sale entry '!$Y$1:$Y$1501,$J752+1)&amp;"","Buyer cheque banked 买家支票存入"&amp;IF(INDEX('Daily Sale entry '!$U$1:$U$1501,$J752-1499)="","", " - "&amp;INDEX('Daily Sale entry '!$U$1:$U$1501,$J752-1499))))</f>
        <v/>
      </c>
      <c r="C752">
        <f>IF($J752="","",IF($J752&lt;=1500,INDEX('Daily Sale entry '!$Z$1:$Z$1501,$J752+1)&amp;"","Cheque deposit 支票存入 (buyer 买家)"))</f>
        <v/>
      </c>
      <c r="D752">
        <f>IF($J752="","",IF($J752&lt;=1500,INDEX('Daily Sale entry '!$AA$1:$AA$1501,$J752+1)&amp;"",INDEX('Daily Sale entry '!$P$1:$P$1501,$J752-1499)&amp;""))</f>
        <v/>
      </c>
      <c r="E752">
        <f>IF($J752="","",IF($J752&lt;=1500,IF(N(INDEX('Daily Sale entry '!$AB$1:$AB$1501,$J752+1))=0,"",INDEX('Daily Sale entry '!$AB$1:$AB$1501,$J752+1)),1))</f>
        <v/>
      </c>
      <c r="F752" s="6">
        <f>IF($J752="","",IF($J752&lt;=1500,N(INDEX('Daily Sale entry '!$AC$1:$AC$1501,$J752+1))-IF(AND('Opening Balance'!$B$15=1,INDEX('Daily Sale entry '!$Z$1:$Z$1501,$J752+1)="Online collection 网上收款",INDEX('Daily Sale entry '!$AA$1:$AA$1501,$J752+1)&lt;&gt;""),N(INDEX('Daily Sale entry '!$AC$1:$AC$1501,$J752+1))-TRUNC(N(INDEX('Daily Sale entry '!$AC$1:$AC$1501,$J752+1))),0),N(INDEX('Daily Sale entry '!$S$1:$S$1501,$J752-1499))-'Opening Balance'!$B$15*(N(INDEX('Daily Sale entry '!$S$1:$S$1501,$J752-1499))-TRUNC(N(INDEX('Daily Sale entry '!$S$1:$S$1501,$J752-1499))))))</f>
        <v/>
      </c>
      <c r="G752" s="6">
        <f>IF($J752="","",IF($J752&lt;=1500,N(INDEX('Daily Sale entry '!$AD$1:$AD$1501,$J752+1)),0))</f>
        <v/>
      </c>
      <c r="H752" s="6">
        <f>IF($J752="","",ROUND('Opening Balance'!$B$4+SUM($F$2:F752)-SUM($G$2:G752),2))</f>
        <v/>
      </c>
      <c r="J752" s="21">
        <f>IFERROR(MATCH(ROW()-1,$L$2:$L$3001,0),"")</f>
        <v/>
      </c>
      <c r="K752" s="34">
        <f>IF(AND('Daily Sale entry '!X752&lt;&gt;"",OR('Daily Sale entry '!AC752&lt;&gt;"",'Daily Sale entry '!AD752&lt;&gt;"")),'Daily Sale entry '!X752+ROW()/10000000,"")</f>
        <v/>
      </c>
      <c r="L752" s="21">
        <f>IF(K752="","",COUNTIF($K$2:$K$3001,"&lt;"&amp;K752)+1)</f>
        <v/>
      </c>
    </row>
    <row r="753">
      <c r="A753" s="5">
        <f>IF($J753="","",IF($J753&lt;=1500,INDEX('Daily Sale entry '!$X$1:$X$1501,$J753+1),INDEX('Daily Sale entry '!$V$1:$V$1501,$J753-1499)))</f>
        <v/>
      </c>
      <c r="B753">
        <f>IF($J753="","",IF($J753&lt;=1500,INDEX('Daily Sale entry '!$Y$1:$Y$1501,$J753+1)&amp;"","Buyer cheque banked 买家支票存入"&amp;IF(INDEX('Daily Sale entry '!$U$1:$U$1501,$J753-1499)="","", " - "&amp;INDEX('Daily Sale entry '!$U$1:$U$1501,$J753-1499))))</f>
        <v/>
      </c>
      <c r="C753">
        <f>IF($J753="","",IF($J753&lt;=1500,INDEX('Daily Sale entry '!$Z$1:$Z$1501,$J753+1)&amp;"","Cheque deposit 支票存入 (buyer 买家)"))</f>
        <v/>
      </c>
      <c r="D753">
        <f>IF($J753="","",IF($J753&lt;=1500,INDEX('Daily Sale entry '!$AA$1:$AA$1501,$J753+1)&amp;"",INDEX('Daily Sale entry '!$P$1:$P$1501,$J753-1499)&amp;""))</f>
        <v/>
      </c>
      <c r="E753">
        <f>IF($J753="","",IF($J753&lt;=1500,IF(N(INDEX('Daily Sale entry '!$AB$1:$AB$1501,$J753+1))=0,"",INDEX('Daily Sale entry '!$AB$1:$AB$1501,$J753+1)),1))</f>
        <v/>
      </c>
      <c r="F753" s="6">
        <f>IF($J753="","",IF($J753&lt;=1500,N(INDEX('Daily Sale entry '!$AC$1:$AC$1501,$J753+1))-IF(AND('Opening Balance'!$B$15=1,INDEX('Daily Sale entry '!$Z$1:$Z$1501,$J753+1)="Online collection 网上收款",INDEX('Daily Sale entry '!$AA$1:$AA$1501,$J753+1)&lt;&gt;""),N(INDEX('Daily Sale entry '!$AC$1:$AC$1501,$J753+1))-TRUNC(N(INDEX('Daily Sale entry '!$AC$1:$AC$1501,$J753+1))),0),N(INDEX('Daily Sale entry '!$S$1:$S$1501,$J753-1499))-'Opening Balance'!$B$15*(N(INDEX('Daily Sale entry '!$S$1:$S$1501,$J753-1499))-TRUNC(N(INDEX('Daily Sale entry '!$S$1:$S$1501,$J753-1499))))))</f>
        <v/>
      </c>
      <c r="G753" s="6">
        <f>IF($J753="","",IF($J753&lt;=1500,N(INDEX('Daily Sale entry '!$AD$1:$AD$1501,$J753+1)),0))</f>
        <v/>
      </c>
      <c r="H753" s="6">
        <f>IF($J753="","",ROUND('Opening Balance'!$B$4+SUM($F$2:F753)-SUM($G$2:G753),2))</f>
        <v/>
      </c>
      <c r="J753" s="21">
        <f>IFERROR(MATCH(ROW()-1,$L$2:$L$3001,0),"")</f>
        <v/>
      </c>
      <c r="K753" s="34">
        <f>IF(AND('Daily Sale entry '!X753&lt;&gt;"",OR('Daily Sale entry '!AC753&lt;&gt;"",'Daily Sale entry '!AD753&lt;&gt;"")),'Daily Sale entry '!X753+ROW()/10000000,"")</f>
        <v/>
      </c>
      <c r="L753" s="21">
        <f>IF(K753="","",COUNTIF($K$2:$K$3001,"&lt;"&amp;K753)+1)</f>
        <v/>
      </c>
    </row>
    <row r="754">
      <c r="A754" s="5">
        <f>IF($J754="","",IF($J754&lt;=1500,INDEX('Daily Sale entry '!$X$1:$X$1501,$J754+1),INDEX('Daily Sale entry '!$V$1:$V$1501,$J754-1499)))</f>
        <v/>
      </c>
      <c r="B754">
        <f>IF($J754="","",IF($J754&lt;=1500,INDEX('Daily Sale entry '!$Y$1:$Y$1501,$J754+1)&amp;"","Buyer cheque banked 买家支票存入"&amp;IF(INDEX('Daily Sale entry '!$U$1:$U$1501,$J754-1499)="","", " - "&amp;INDEX('Daily Sale entry '!$U$1:$U$1501,$J754-1499))))</f>
        <v/>
      </c>
      <c r="C754">
        <f>IF($J754="","",IF($J754&lt;=1500,INDEX('Daily Sale entry '!$Z$1:$Z$1501,$J754+1)&amp;"","Cheque deposit 支票存入 (buyer 买家)"))</f>
        <v/>
      </c>
      <c r="D754">
        <f>IF($J754="","",IF($J754&lt;=1500,INDEX('Daily Sale entry '!$AA$1:$AA$1501,$J754+1)&amp;"",INDEX('Daily Sale entry '!$P$1:$P$1501,$J754-1499)&amp;""))</f>
        <v/>
      </c>
      <c r="E754">
        <f>IF($J754="","",IF($J754&lt;=1500,IF(N(INDEX('Daily Sale entry '!$AB$1:$AB$1501,$J754+1))=0,"",INDEX('Daily Sale entry '!$AB$1:$AB$1501,$J754+1)),1))</f>
        <v/>
      </c>
      <c r="F754" s="6">
        <f>IF($J754="","",IF($J754&lt;=1500,N(INDEX('Daily Sale entry '!$AC$1:$AC$1501,$J754+1))-IF(AND('Opening Balance'!$B$15=1,INDEX('Daily Sale entry '!$Z$1:$Z$1501,$J754+1)="Online collection 网上收款",INDEX('Daily Sale entry '!$AA$1:$AA$1501,$J754+1)&lt;&gt;""),N(INDEX('Daily Sale entry '!$AC$1:$AC$1501,$J754+1))-TRUNC(N(INDEX('Daily Sale entry '!$AC$1:$AC$1501,$J754+1))),0),N(INDEX('Daily Sale entry '!$S$1:$S$1501,$J754-1499))-'Opening Balance'!$B$15*(N(INDEX('Daily Sale entry '!$S$1:$S$1501,$J754-1499))-TRUNC(N(INDEX('Daily Sale entry '!$S$1:$S$1501,$J754-1499))))))</f>
        <v/>
      </c>
      <c r="G754" s="6">
        <f>IF($J754="","",IF($J754&lt;=1500,N(INDEX('Daily Sale entry '!$AD$1:$AD$1501,$J754+1)),0))</f>
        <v/>
      </c>
      <c r="H754" s="6">
        <f>IF($J754="","",ROUND('Opening Balance'!$B$4+SUM($F$2:F754)-SUM($G$2:G754),2))</f>
        <v/>
      </c>
      <c r="J754" s="21">
        <f>IFERROR(MATCH(ROW()-1,$L$2:$L$3001,0),"")</f>
        <v/>
      </c>
      <c r="K754" s="34">
        <f>IF(AND('Daily Sale entry '!X754&lt;&gt;"",OR('Daily Sale entry '!AC754&lt;&gt;"",'Daily Sale entry '!AD754&lt;&gt;"")),'Daily Sale entry '!X754+ROW()/10000000,"")</f>
        <v/>
      </c>
      <c r="L754" s="21">
        <f>IF(K754="","",COUNTIF($K$2:$K$3001,"&lt;"&amp;K754)+1)</f>
        <v/>
      </c>
    </row>
    <row r="755">
      <c r="A755" s="5">
        <f>IF($J755="","",IF($J755&lt;=1500,INDEX('Daily Sale entry '!$X$1:$X$1501,$J755+1),INDEX('Daily Sale entry '!$V$1:$V$1501,$J755-1499)))</f>
        <v/>
      </c>
      <c r="B755">
        <f>IF($J755="","",IF($J755&lt;=1500,INDEX('Daily Sale entry '!$Y$1:$Y$1501,$J755+1)&amp;"","Buyer cheque banked 买家支票存入"&amp;IF(INDEX('Daily Sale entry '!$U$1:$U$1501,$J755-1499)="","", " - "&amp;INDEX('Daily Sale entry '!$U$1:$U$1501,$J755-1499))))</f>
        <v/>
      </c>
      <c r="C755">
        <f>IF($J755="","",IF($J755&lt;=1500,INDEX('Daily Sale entry '!$Z$1:$Z$1501,$J755+1)&amp;"","Cheque deposit 支票存入 (buyer 买家)"))</f>
        <v/>
      </c>
      <c r="D755">
        <f>IF($J755="","",IF($J755&lt;=1500,INDEX('Daily Sale entry '!$AA$1:$AA$1501,$J755+1)&amp;"",INDEX('Daily Sale entry '!$P$1:$P$1501,$J755-1499)&amp;""))</f>
        <v/>
      </c>
      <c r="E755">
        <f>IF($J755="","",IF($J755&lt;=1500,IF(N(INDEX('Daily Sale entry '!$AB$1:$AB$1501,$J755+1))=0,"",INDEX('Daily Sale entry '!$AB$1:$AB$1501,$J755+1)),1))</f>
        <v/>
      </c>
      <c r="F755" s="6">
        <f>IF($J755="","",IF($J755&lt;=1500,N(INDEX('Daily Sale entry '!$AC$1:$AC$1501,$J755+1))-IF(AND('Opening Balance'!$B$15=1,INDEX('Daily Sale entry '!$Z$1:$Z$1501,$J755+1)="Online collection 网上收款",INDEX('Daily Sale entry '!$AA$1:$AA$1501,$J755+1)&lt;&gt;""),N(INDEX('Daily Sale entry '!$AC$1:$AC$1501,$J755+1))-TRUNC(N(INDEX('Daily Sale entry '!$AC$1:$AC$1501,$J755+1))),0),N(INDEX('Daily Sale entry '!$S$1:$S$1501,$J755-1499))-'Opening Balance'!$B$15*(N(INDEX('Daily Sale entry '!$S$1:$S$1501,$J755-1499))-TRUNC(N(INDEX('Daily Sale entry '!$S$1:$S$1501,$J755-1499))))))</f>
        <v/>
      </c>
      <c r="G755" s="6">
        <f>IF($J755="","",IF($J755&lt;=1500,N(INDEX('Daily Sale entry '!$AD$1:$AD$1501,$J755+1)),0))</f>
        <v/>
      </c>
      <c r="H755" s="6">
        <f>IF($J755="","",ROUND('Opening Balance'!$B$4+SUM($F$2:F755)-SUM($G$2:G755),2))</f>
        <v/>
      </c>
      <c r="J755" s="21">
        <f>IFERROR(MATCH(ROW()-1,$L$2:$L$3001,0),"")</f>
        <v/>
      </c>
      <c r="K755" s="34">
        <f>IF(AND('Daily Sale entry '!X755&lt;&gt;"",OR('Daily Sale entry '!AC755&lt;&gt;"",'Daily Sale entry '!AD755&lt;&gt;"")),'Daily Sale entry '!X755+ROW()/10000000,"")</f>
        <v/>
      </c>
      <c r="L755" s="21">
        <f>IF(K755="","",COUNTIF($K$2:$K$3001,"&lt;"&amp;K755)+1)</f>
        <v/>
      </c>
    </row>
    <row r="756">
      <c r="A756" s="5">
        <f>IF($J756="","",IF($J756&lt;=1500,INDEX('Daily Sale entry '!$X$1:$X$1501,$J756+1),INDEX('Daily Sale entry '!$V$1:$V$1501,$J756-1499)))</f>
        <v/>
      </c>
      <c r="B756">
        <f>IF($J756="","",IF($J756&lt;=1500,INDEX('Daily Sale entry '!$Y$1:$Y$1501,$J756+1)&amp;"","Buyer cheque banked 买家支票存入"&amp;IF(INDEX('Daily Sale entry '!$U$1:$U$1501,$J756-1499)="","", " - "&amp;INDEX('Daily Sale entry '!$U$1:$U$1501,$J756-1499))))</f>
        <v/>
      </c>
      <c r="C756">
        <f>IF($J756="","",IF($J756&lt;=1500,INDEX('Daily Sale entry '!$Z$1:$Z$1501,$J756+1)&amp;"","Cheque deposit 支票存入 (buyer 买家)"))</f>
        <v/>
      </c>
      <c r="D756">
        <f>IF($J756="","",IF($J756&lt;=1500,INDEX('Daily Sale entry '!$AA$1:$AA$1501,$J756+1)&amp;"",INDEX('Daily Sale entry '!$P$1:$P$1501,$J756-1499)&amp;""))</f>
        <v/>
      </c>
      <c r="E756">
        <f>IF($J756="","",IF($J756&lt;=1500,IF(N(INDEX('Daily Sale entry '!$AB$1:$AB$1501,$J756+1))=0,"",INDEX('Daily Sale entry '!$AB$1:$AB$1501,$J756+1)),1))</f>
        <v/>
      </c>
      <c r="F756" s="6">
        <f>IF($J756="","",IF($J756&lt;=1500,N(INDEX('Daily Sale entry '!$AC$1:$AC$1501,$J756+1))-IF(AND('Opening Balance'!$B$15=1,INDEX('Daily Sale entry '!$Z$1:$Z$1501,$J756+1)="Online collection 网上收款",INDEX('Daily Sale entry '!$AA$1:$AA$1501,$J756+1)&lt;&gt;""),N(INDEX('Daily Sale entry '!$AC$1:$AC$1501,$J756+1))-TRUNC(N(INDEX('Daily Sale entry '!$AC$1:$AC$1501,$J756+1))),0),N(INDEX('Daily Sale entry '!$S$1:$S$1501,$J756-1499))-'Opening Balance'!$B$15*(N(INDEX('Daily Sale entry '!$S$1:$S$1501,$J756-1499))-TRUNC(N(INDEX('Daily Sale entry '!$S$1:$S$1501,$J756-1499))))))</f>
        <v/>
      </c>
      <c r="G756" s="6">
        <f>IF($J756="","",IF($J756&lt;=1500,N(INDEX('Daily Sale entry '!$AD$1:$AD$1501,$J756+1)),0))</f>
        <v/>
      </c>
      <c r="H756" s="6">
        <f>IF($J756="","",ROUND('Opening Balance'!$B$4+SUM($F$2:F756)-SUM($G$2:G756),2))</f>
        <v/>
      </c>
      <c r="J756" s="21">
        <f>IFERROR(MATCH(ROW()-1,$L$2:$L$3001,0),"")</f>
        <v/>
      </c>
      <c r="K756" s="34">
        <f>IF(AND('Daily Sale entry '!X756&lt;&gt;"",OR('Daily Sale entry '!AC756&lt;&gt;"",'Daily Sale entry '!AD756&lt;&gt;"")),'Daily Sale entry '!X756+ROW()/10000000,"")</f>
        <v/>
      </c>
      <c r="L756" s="21">
        <f>IF(K756="","",COUNTIF($K$2:$K$3001,"&lt;"&amp;K756)+1)</f>
        <v/>
      </c>
    </row>
    <row r="757">
      <c r="A757" s="5">
        <f>IF($J757="","",IF($J757&lt;=1500,INDEX('Daily Sale entry '!$X$1:$X$1501,$J757+1),INDEX('Daily Sale entry '!$V$1:$V$1501,$J757-1499)))</f>
        <v/>
      </c>
      <c r="B757">
        <f>IF($J757="","",IF($J757&lt;=1500,INDEX('Daily Sale entry '!$Y$1:$Y$1501,$J757+1)&amp;"","Buyer cheque banked 买家支票存入"&amp;IF(INDEX('Daily Sale entry '!$U$1:$U$1501,$J757-1499)="","", " - "&amp;INDEX('Daily Sale entry '!$U$1:$U$1501,$J757-1499))))</f>
        <v/>
      </c>
      <c r="C757">
        <f>IF($J757="","",IF($J757&lt;=1500,INDEX('Daily Sale entry '!$Z$1:$Z$1501,$J757+1)&amp;"","Cheque deposit 支票存入 (buyer 买家)"))</f>
        <v/>
      </c>
      <c r="D757">
        <f>IF($J757="","",IF($J757&lt;=1500,INDEX('Daily Sale entry '!$AA$1:$AA$1501,$J757+1)&amp;"",INDEX('Daily Sale entry '!$P$1:$P$1501,$J757-1499)&amp;""))</f>
        <v/>
      </c>
      <c r="E757">
        <f>IF($J757="","",IF($J757&lt;=1500,IF(N(INDEX('Daily Sale entry '!$AB$1:$AB$1501,$J757+1))=0,"",INDEX('Daily Sale entry '!$AB$1:$AB$1501,$J757+1)),1))</f>
        <v/>
      </c>
      <c r="F757" s="6">
        <f>IF($J757="","",IF($J757&lt;=1500,N(INDEX('Daily Sale entry '!$AC$1:$AC$1501,$J757+1))-IF(AND('Opening Balance'!$B$15=1,INDEX('Daily Sale entry '!$Z$1:$Z$1501,$J757+1)="Online collection 网上收款",INDEX('Daily Sale entry '!$AA$1:$AA$1501,$J757+1)&lt;&gt;""),N(INDEX('Daily Sale entry '!$AC$1:$AC$1501,$J757+1))-TRUNC(N(INDEX('Daily Sale entry '!$AC$1:$AC$1501,$J757+1))),0),N(INDEX('Daily Sale entry '!$S$1:$S$1501,$J757-1499))-'Opening Balance'!$B$15*(N(INDEX('Daily Sale entry '!$S$1:$S$1501,$J757-1499))-TRUNC(N(INDEX('Daily Sale entry '!$S$1:$S$1501,$J757-1499))))))</f>
        <v/>
      </c>
      <c r="G757" s="6">
        <f>IF($J757="","",IF($J757&lt;=1500,N(INDEX('Daily Sale entry '!$AD$1:$AD$1501,$J757+1)),0))</f>
        <v/>
      </c>
      <c r="H757" s="6">
        <f>IF($J757="","",ROUND('Opening Balance'!$B$4+SUM($F$2:F757)-SUM($G$2:G757),2))</f>
        <v/>
      </c>
      <c r="J757" s="21">
        <f>IFERROR(MATCH(ROW()-1,$L$2:$L$3001,0),"")</f>
        <v/>
      </c>
      <c r="K757" s="34">
        <f>IF(AND('Daily Sale entry '!X757&lt;&gt;"",OR('Daily Sale entry '!AC757&lt;&gt;"",'Daily Sale entry '!AD757&lt;&gt;"")),'Daily Sale entry '!X757+ROW()/10000000,"")</f>
        <v/>
      </c>
      <c r="L757" s="21">
        <f>IF(K757="","",COUNTIF($K$2:$K$3001,"&lt;"&amp;K757)+1)</f>
        <v/>
      </c>
    </row>
    <row r="758">
      <c r="A758" s="5">
        <f>IF($J758="","",IF($J758&lt;=1500,INDEX('Daily Sale entry '!$X$1:$X$1501,$J758+1),INDEX('Daily Sale entry '!$V$1:$V$1501,$J758-1499)))</f>
        <v/>
      </c>
      <c r="B758">
        <f>IF($J758="","",IF($J758&lt;=1500,INDEX('Daily Sale entry '!$Y$1:$Y$1501,$J758+1)&amp;"","Buyer cheque banked 买家支票存入"&amp;IF(INDEX('Daily Sale entry '!$U$1:$U$1501,$J758-1499)="","", " - "&amp;INDEX('Daily Sale entry '!$U$1:$U$1501,$J758-1499))))</f>
        <v/>
      </c>
      <c r="C758">
        <f>IF($J758="","",IF($J758&lt;=1500,INDEX('Daily Sale entry '!$Z$1:$Z$1501,$J758+1)&amp;"","Cheque deposit 支票存入 (buyer 买家)"))</f>
        <v/>
      </c>
      <c r="D758">
        <f>IF($J758="","",IF($J758&lt;=1500,INDEX('Daily Sale entry '!$AA$1:$AA$1501,$J758+1)&amp;"",INDEX('Daily Sale entry '!$P$1:$P$1501,$J758-1499)&amp;""))</f>
        <v/>
      </c>
      <c r="E758">
        <f>IF($J758="","",IF($J758&lt;=1500,IF(N(INDEX('Daily Sale entry '!$AB$1:$AB$1501,$J758+1))=0,"",INDEX('Daily Sale entry '!$AB$1:$AB$1501,$J758+1)),1))</f>
        <v/>
      </c>
      <c r="F758" s="6">
        <f>IF($J758="","",IF($J758&lt;=1500,N(INDEX('Daily Sale entry '!$AC$1:$AC$1501,$J758+1))-IF(AND('Opening Balance'!$B$15=1,INDEX('Daily Sale entry '!$Z$1:$Z$1501,$J758+1)="Online collection 网上收款",INDEX('Daily Sale entry '!$AA$1:$AA$1501,$J758+1)&lt;&gt;""),N(INDEX('Daily Sale entry '!$AC$1:$AC$1501,$J758+1))-TRUNC(N(INDEX('Daily Sale entry '!$AC$1:$AC$1501,$J758+1))),0),N(INDEX('Daily Sale entry '!$S$1:$S$1501,$J758-1499))-'Opening Balance'!$B$15*(N(INDEX('Daily Sale entry '!$S$1:$S$1501,$J758-1499))-TRUNC(N(INDEX('Daily Sale entry '!$S$1:$S$1501,$J758-1499))))))</f>
        <v/>
      </c>
      <c r="G758" s="6">
        <f>IF($J758="","",IF($J758&lt;=1500,N(INDEX('Daily Sale entry '!$AD$1:$AD$1501,$J758+1)),0))</f>
        <v/>
      </c>
      <c r="H758" s="6">
        <f>IF($J758="","",ROUND('Opening Balance'!$B$4+SUM($F$2:F758)-SUM($G$2:G758),2))</f>
        <v/>
      </c>
      <c r="J758" s="21">
        <f>IFERROR(MATCH(ROW()-1,$L$2:$L$3001,0),"")</f>
        <v/>
      </c>
      <c r="K758" s="34">
        <f>IF(AND('Daily Sale entry '!X758&lt;&gt;"",OR('Daily Sale entry '!AC758&lt;&gt;"",'Daily Sale entry '!AD758&lt;&gt;"")),'Daily Sale entry '!X758+ROW()/10000000,"")</f>
        <v/>
      </c>
      <c r="L758" s="21">
        <f>IF(K758="","",COUNTIF($K$2:$K$3001,"&lt;"&amp;K758)+1)</f>
        <v/>
      </c>
    </row>
    <row r="759">
      <c r="A759" s="5">
        <f>IF($J759="","",IF($J759&lt;=1500,INDEX('Daily Sale entry '!$X$1:$X$1501,$J759+1),INDEX('Daily Sale entry '!$V$1:$V$1501,$J759-1499)))</f>
        <v/>
      </c>
      <c r="B759">
        <f>IF($J759="","",IF($J759&lt;=1500,INDEX('Daily Sale entry '!$Y$1:$Y$1501,$J759+1)&amp;"","Buyer cheque banked 买家支票存入"&amp;IF(INDEX('Daily Sale entry '!$U$1:$U$1501,$J759-1499)="","", " - "&amp;INDEX('Daily Sale entry '!$U$1:$U$1501,$J759-1499))))</f>
        <v/>
      </c>
      <c r="C759">
        <f>IF($J759="","",IF($J759&lt;=1500,INDEX('Daily Sale entry '!$Z$1:$Z$1501,$J759+1)&amp;"","Cheque deposit 支票存入 (buyer 买家)"))</f>
        <v/>
      </c>
      <c r="D759">
        <f>IF($J759="","",IF($J759&lt;=1500,INDEX('Daily Sale entry '!$AA$1:$AA$1501,$J759+1)&amp;"",INDEX('Daily Sale entry '!$P$1:$P$1501,$J759-1499)&amp;""))</f>
        <v/>
      </c>
      <c r="E759">
        <f>IF($J759="","",IF($J759&lt;=1500,IF(N(INDEX('Daily Sale entry '!$AB$1:$AB$1501,$J759+1))=0,"",INDEX('Daily Sale entry '!$AB$1:$AB$1501,$J759+1)),1))</f>
        <v/>
      </c>
      <c r="F759" s="6">
        <f>IF($J759="","",IF($J759&lt;=1500,N(INDEX('Daily Sale entry '!$AC$1:$AC$1501,$J759+1))-IF(AND('Opening Balance'!$B$15=1,INDEX('Daily Sale entry '!$Z$1:$Z$1501,$J759+1)="Online collection 网上收款",INDEX('Daily Sale entry '!$AA$1:$AA$1501,$J759+1)&lt;&gt;""),N(INDEX('Daily Sale entry '!$AC$1:$AC$1501,$J759+1))-TRUNC(N(INDEX('Daily Sale entry '!$AC$1:$AC$1501,$J759+1))),0),N(INDEX('Daily Sale entry '!$S$1:$S$1501,$J759-1499))-'Opening Balance'!$B$15*(N(INDEX('Daily Sale entry '!$S$1:$S$1501,$J759-1499))-TRUNC(N(INDEX('Daily Sale entry '!$S$1:$S$1501,$J759-1499))))))</f>
        <v/>
      </c>
      <c r="G759" s="6">
        <f>IF($J759="","",IF($J759&lt;=1500,N(INDEX('Daily Sale entry '!$AD$1:$AD$1501,$J759+1)),0))</f>
        <v/>
      </c>
      <c r="H759" s="6">
        <f>IF($J759="","",ROUND('Opening Balance'!$B$4+SUM($F$2:F759)-SUM($G$2:G759),2))</f>
        <v/>
      </c>
      <c r="J759" s="21">
        <f>IFERROR(MATCH(ROW()-1,$L$2:$L$3001,0),"")</f>
        <v/>
      </c>
      <c r="K759" s="34">
        <f>IF(AND('Daily Sale entry '!X759&lt;&gt;"",OR('Daily Sale entry '!AC759&lt;&gt;"",'Daily Sale entry '!AD759&lt;&gt;"")),'Daily Sale entry '!X759+ROW()/10000000,"")</f>
        <v/>
      </c>
      <c r="L759" s="21">
        <f>IF(K759="","",COUNTIF($K$2:$K$3001,"&lt;"&amp;K759)+1)</f>
        <v/>
      </c>
    </row>
    <row r="760">
      <c r="A760" s="5">
        <f>IF($J760="","",IF($J760&lt;=1500,INDEX('Daily Sale entry '!$X$1:$X$1501,$J760+1),INDEX('Daily Sale entry '!$V$1:$V$1501,$J760-1499)))</f>
        <v/>
      </c>
      <c r="B760">
        <f>IF($J760="","",IF($J760&lt;=1500,INDEX('Daily Sale entry '!$Y$1:$Y$1501,$J760+1)&amp;"","Buyer cheque banked 买家支票存入"&amp;IF(INDEX('Daily Sale entry '!$U$1:$U$1501,$J760-1499)="","", " - "&amp;INDEX('Daily Sale entry '!$U$1:$U$1501,$J760-1499))))</f>
        <v/>
      </c>
      <c r="C760">
        <f>IF($J760="","",IF($J760&lt;=1500,INDEX('Daily Sale entry '!$Z$1:$Z$1501,$J760+1)&amp;"","Cheque deposit 支票存入 (buyer 买家)"))</f>
        <v/>
      </c>
      <c r="D760">
        <f>IF($J760="","",IF($J760&lt;=1500,INDEX('Daily Sale entry '!$AA$1:$AA$1501,$J760+1)&amp;"",INDEX('Daily Sale entry '!$P$1:$P$1501,$J760-1499)&amp;""))</f>
        <v/>
      </c>
      <c r="E760">
        <f>IF($J760="","",IF($J760&lt;=1500,IF(N(INDEX('Daily Sale entry '!$AB$1:$AB$1501,$J760+1))=0,"",INDEX('Daily Sale entry '!$AB$1:$AB$1501,$J760+1)),1))</f>
        <v/>
      </c>
      <c r="F760" s="6">
        <f>IF($J760="","",IF($J760&lt;=1500,N(INDEX('Daily Sale entry '!$AC$1:$AC$1501,$J760+1))-IF(AND('Opening Balance'!$B$15=1,INDEX('Daily Sale entry '!$Z$1:$Z$1501,$J760+1)="Online collection 网上收款",INDEX('Daily Sale entry '!$AA$1:$AA$1501,$J760+1)&lt;&gt;""),N(INDEX('Daily Sale entry '!$AC$1:$AC$1501,$J760+1))-TRUNC(N(INDEX('Daily Sale entry '!$AC$1:$AC$1501,$J760+1))),0),N(INDEX('Daily Sale entry '!$S$1:$S$1501,$J760-1499))-'Opening Balance'!$B$15*(N(INDEX('Daily Sale entry '!$S$1:$S$1501,$J760-1499))-TRUNC(N(INDEX('Daily Sale entry '!$S$1:$S$1501,$J760-1499))))))</f>
        <v/>
      </c>
      <c r="G760" s="6">
        <f>IF($J760="","",IF($J760&lt;=1500,N(INDEX('Daily Sale entry '!$AD$1:$AD$1501,$J760+1)),0))</f>
        <v/>
      </c>
      <c r="H760" s="6">
        <f>IF($J760="","",ROUND('Opening Balance'!$B$4+SUM($F$2:F760)-SUM($G$2:G760),2))</f>
        <v/>
      </c>
      <c r="J760" s="21">
        <f>IFERROR(MATCH(ROW()-1,$L$2:$L$3001,0),"")</f>
        <v/>
      </c>
      <c r="K760" s="34">
        <f>IF(AND('Daily Sale entry '!X760&lt;&gt;"",OR('Daily Sale entry '!AC760&lt;&gt;"",'Daily Sale entry '!AD760&lt;&gt;"")),'Daily Sale entry '!X760+ROW()/10000000,"")</f>
        <v/>
      </c>
      <c r="L760" s="21">
        <f>IF(K760="","",COUNTIF($K$2:$K$3001,"&lt;"&amp;K760)+1)</f>
        <v/>
      </c>
    </row>
    <row r="761">
      <c r="A761" s="5">
        <f>IF($J761="","",IF($J761&lt;=1500,INDEX('Daily Sale entry '!$X$1:$X$1501,$J761+1),INDEX('Daily Sale entry '!$V$1:$V$1501,$J761-1499)))</f>
        <v/>
      </c>
      <c r="B761">
        <f>IF($J761="","",IF($J761&lt;=1500,INDEX('Daily Sale entry '!$Y$1:$Y$1501,$J761+1)&amp;"","Buyer cheque banked 买家支票存入"&amp;IF(INDEX('Daily Sale entry '!$U$1:$U$1501,$J761-1499)="","", " - "&amp;INDEX('Daily Sale entry '!$U$1:$U$1501,$J761-1499))))</f>
        <v/>
      </c>
      <c r="C761">
        <f>IF($J761="","",IF($J761&lt;=1500,INDEX('Daily Sale entry '!$Z$1:$Z$1501,$J761+1)&amp;"","Cheque deposit 支票存入 (buyer 买家)"))</f>
        <v/>
      </c>
      <c r="D761">
        <f>IF($J761="","",IF($J761&lt;=1500,INDEX('Daily Sale entry '!$AA$1:$AA$1501,$J761+1)&amp;"",INDEX('Daily Sale entry '!$P$1:$P$1501,$J761-1499)&amp;""))</f>
        <v/>
      </c>
      <c r="E761">
        <f>IF($J761="","",IF($J761&lt;=1500,IF(N(INDEX('Daily Sale entry '!$AB$1:$AB$1501,$J761+1))=0,"",INDEX('Daily Sale entry '!$AB$1:$AB$1501,$J761+1)),1))</f>
        <v/>
      </c>
      <c r="F761" s="6">
        <f>IF($J761="","",IF($J761&lt;=1500,N(INDEX('Daily Sale entry '!$AC$1:$AC$1501,$J761+1))-IF(AND('Opening Balance'!$B$15=1,INDEX('Daily Sale entry '!$Z$1:$Z$1501,$J761+1)="Online collection 网上收款",INDEX('Daily Sale entry '!$AA$1:$AA$1501,$J761+1)&lt;&gt;""),N(INDEX('Daily Sale entry '!$AC$1:$AC$1501,$J761+1))-TRUNC(N(INDEX('Daily Sale entry '!$AC$1:$AC$1501,$J761+1))),0),N(INDEX('Daily Sale entry '!$S$1:$S$1501,$J761-1499))-'Opening Balance'!$B$15*(N(INDEX('Daily Sale entry '!$S$1:$S$1501,$J761-1499))-TRUNC(N(INDEX('Daily Sale entry '!$S$1:$S$1501,$J761-1499))))))</f>
        <v/>
      </c>
      <c r="G761" s="6">
        <f>IF($J761="","",IF($J761&lt;=1500,N(INDEX('Daily Sale entry '!$AD$1:$AD$1501,$J761+1)),0))</f>
        <v/>
      </c>
      <c r="H761" s="6">
        <f>IF($J761="","",ROUND('Opening Balance'!$B$4+SUM($F$2:F761)-SUM($G$2:G761),2))</f>
        <v/>
      </c>
      <c r="J761" s="21">
        <f>IFERROR(MATCH(ROW()-1,$L$2:$L$3001,0),"")</f>
        <v/>
      </c>
      <c r="K761" s="34">
        <f>IF(AND('Daily Sale entry '!X761&lt;&gt;"",OR('Daily Sale entry '!AC761&lt;&gt;"",'Daily Sale entry '!AD761&lt;&gt;"")),'Daily Sale entry '!X761+ROW()/10000000,"")</f>
        <v/>
      </c>
      <c r="L761" s="21">
        <f>IF(K761="","",COUNTIF($K$2:$K$3001,"&lt;"&amp;K761)+1)</f>
        <v/>
      </c>
    </row>
    <row r="762">
      <c r="A762" s="5">
        <f>IF($J762="","",IF($J762&lt;=1500,INDEX('Daily Sale entry '!$X$1:$X$1501,$J762+1),INDEX('Daily Sale entry '!$V$1:$V$1501,$J762-1499)))</f>
        <v/>
      </c>
      <c r="B762">
        <f>IF($J762="","",IF($J762&lt;=1500,INDEX('Daily Sale entry '!$Y$1:$Y$1501,$J762+1)&amp;"","Buyer cheque banked 买家支票存入"&amp;IF(INDEX('Daily Sale entry '!$U$1:$U$1501,$J762-1499)="","", " - "&amp;INDEX('Daily Sale entry '!$U$1:$U$1501,$J762-1499))))</f>
        <v/>
      </c>
      <c r="C762">
        <f>IF($J762="","",IF($J762&lt;=1500,INDEX('Daily Sale entry '!$Z$1:$Z$1501,$J762+1)&amp;"","Cheque deposit 支票存入 (buyer 买家)"))</f>
        <v/>
      </c>
      <c r="D762">
        <f>IF($J762="","",IF($J762&lt;=1500,INDEX('Daily Sale entry '!$AA$1:$AA$1501,$J762+1)&amp;"",INDEX('Daily Sale entry '!$P$1:$P$1501,$J762-1499)&amp;""))</f>
        <v/>
      </c>
      <c r="E762">
        <f>IF($J762="","",IF($J762&lt;=1500,IF(N(INDEX('Daily Sale entry '!$AB$1:$AB$1501,$J762+1))=0,"",INDEX('Daily Sale entry '!$AB$1:$AB$1501,$J762+1)),1))</f>
        <v/>
      </c>
      <c r="F762" s="6">
        <f>IF($J762="","",IF($J762&lt;=1500,N(INDEX('Daily Sale entry '!$AC$1:$AC$1501,$J762+1))-IF(AND('Opening Balance'!$B$15=1,INDEX('Daily Sale entry '!$Z$1:$Z$1501,$J762+1)="Online collection 网上收款",INDEX('Daily Sale entry '!$AA$1:$AA$1501,$J762+1)&lt;&gt;""),N(INDEX('Daily Sale entry '!$AC$1:$AC$1501,$J762+1))-TRUNC(N(INDEX('Daily Sale entry '!$AC$1:$AC$1501,$J762+1))),0),N(INDEX('Daily Sale entry '!$S$1:$S$1501,$J762-1499))-'Opening Balance'!$B$15*(N(INDEX('Daily Sale entry '!$S$1:$S$1501,$J762-1499))-TRUNC(N(INDEX('Daily Sale entry '!$S$1:$S$1501,$J762-1499))))))</f>
        <v/>
      </c>
      <c r="G762" s="6">
        <f>IF($J762="","",IF($J762&lt;=1500,N(INDEX('Daily Sale entry '!$AD$1:$AD$1501,$J762+1)),0))</f>
        <v/>
      </c>
      <c r="H762" s="6">
        <f>IF($J762="","",ROUND('Opening Balance'!$B$4+SUM($F$2:F762)-SUM($G$2:G762),2))</f>
        <v/>
      </c>
      <c r="J762" s="21">
        <f>IFERROR(MATCH(ROW()-1,$L$2:$L$3001,0),"")</f>
        <v/>
      </c>
      <c r="K762" s="34">
        <f>IF(AND('Daily Sale entry '!X762&lt;&gt;"",OR('Daily Sale entry '!AC762&lt;&gt;"",'Daily Sale entry '!AD762&lt;&gt;"")),'Daily Sale entry '!X762+ROW()/10000000,"")</f>
        <v/>
      </c>
      <c r="L762" s="21">
        <f>IF(K762="","",COUNTIF($K$2:$K$3001,"&lt;"&amp;K762)+1)</f>
        <v/>
      </c>
    </row>
    <row r="763">
      <c r="A763" s="5">
        <f>IF($J763="","",IF($J763&lt;=1500,INDEX('Daily Sale entry '!$X$1:$X$1501,$J763+1),INDEX('Daily Sale entry '!$V$1:$V$1501,$J763-1499)))</f>
        <v/>
      </c>
      <c r="B763">
        <f>IF($J763="","",IF($J763&lt;=1500,INDEX('Daily Sale entry '!$Y$1:$Y$1501,$J763+1)&amp;"","Buyer cheque banked 买家支票存入"&amp;IF(INDEX('Daily Sale entry '!$U$1:$U$1501,$J763-1499)="","", " - "&amp;INDEX('Daily Sale entry '!$U$1:$U$1501,$J763-1499))))</f>
        <v/>
      </c>
      <c r="C763">
        <f>IF($J763="","",IF($J763&lt;=1500,INDEX('Daily Sale entry '!$Z$1:$Z$1501,$J763+1)&amp;"","Cheque deposit 支票存入 (buyer 买家)"))</f>
        <v/>
      </c>
      <c r="D763">
        <f>IF($J763="","",IF($J763&lt;=1500,INDEX('Daily Sale entry '!$AA$1:$AA$1501,$J763+1)&amp;"",INDEX('Daily Sale entry '!$P$1:$P$1501,$J763-1499)&amp;""))</f>
        <v/>
      </c>
      <c r="E763">
        <f>IF($J763="","",IF($J763&lt;=1500,IF(N(INDEX('Daily Sale entry '!$AB$1:$AB$1501,$J763+1))=0,"",INDEX('Daily Sale entry '!$AB$1:$AB$1501,$J763+1)),1))</f>
        <v/>
      </c>
      <c r="F763" s="6">
        <f>IF($J763="","",IF($J763&lt;=1500,N(INDEX('Daily Sale entry '!$AC$1:$AC$1501,$J763+1))-IF(AND('Opening Balance'!$B$15=1,INDEX('Daily Sale entry '!$Z$1:$Z$1501,$J763+1)="Online collection 网上收款",INDEX('Daily Sale entry '!$AA$1:$AA$1501,$J763+1)&lt;&gt;""),N(INDEX('Daily Sale entry '!$AC$1:$AC$1501,$J763+1))-TRUNC(N(INDEX('Daily Sale entry '!$AC$1:$AC$1501,$J763+1))),0),N(INDEX('Daily Sale entry '!$S$1:$S$1501,$J763-1499))-'Opening Balance'!$B$15*(N(INDEX('Daily Sale entry '!$S$1:$S$1501,$J763-1499))-TRUNC(N(INDEX('Daily Sale entry '!$S$1:$S$1501,$J763-1499))))))</f>
        <v/>
      </c>
      <c r="G763" s="6">
        <f>IF($J763="","",IF($J763&lt;=1500,N(INDEX('Daily Sale entry '!$AD$1:$AD$1501,$J763+1)),0))</f>
        <v/>
      </c>
      <c r="H763" s="6">
        <f>IF($J763="","",ROUND('Opening Balance'!$B$4+SUM($F$2:F763)-SUM($G$2:G763),2))</f>
        <v/>
      </c>
      <c r="J763" s="21">
        <f>IFERROR(MATCH(ROW()-1,$L$2:$L$3001,0),"")</f>
        <v/>
      </c>
      <c r="K763" s="34">
        <f>IF(AND('Daily Sale entry '!X763&lt;&gt;"",OR('Daily Sale entry '!AC763&lt;&gt;"",'Daily Sale entry '!AD763&lt;&gt;"")),'Daily Sale entry '!X763+ROW()/10000000,"")</f>
        <v/>
      </c>
      <c r="L763" s="21">
        <f>IF(K763="","",COUNTIF($K$2:$K$3001,"&lt;"&amp;K763)+1)</f>
        <v/>
      </c>
    </row>
    <row r="764">
      <c r="A764" s="5">
        <f>IF($J764="","",IF($J764&lt;=1500,INDEX('Daily Sale entry '!$X$1:$X$1501,$J764+1),INDEX('Daily Sale entry '!$V$1:$V$1501,$J764-1499)))</f>
        <v/>
      </c>
      <c r="B764">
        <f>IF($J764="","",IF($J764&lt;=1500,INDEX('Daily Sale entry '!$Y$1:$Y$1501,$J764+1)&amp;"","Buyer cheque banked 买家支票存入"&amp;IF(INDEX('Daily Sale entry '!$U$1:$U$1501,$J764-1499)="","", " - "&amp;INDEX('Daily Sale entry '!$U$1:$U$1501,$J764-1499))))</f>
        <v/>
      </c>
      <c r="C764">
        <f>IF($J764="","",IF($J764&lt;=1500,INDEX('Daily Sale entry '!$Z$1:$Z$1501,$J764+1)&amp;"","Cheque deposit 支票存入 (buyer 买家)"))</f>
        <v/>
      </c>
      <c r="D764">
        <f>IF($J764="","",IF($J764&lt;=1500,INDEX('Daily Sale entry '!$AA$1:$AA$1501,$J764+1)&amp;"",INDEX('Daily Sale entry '!$P$1:$P$1501,$J764-1499)&amp;""))</f>
        <v/>
      </c>
      <c r="E764">
        <f>IF($J764="","",IF($J764&lt;=1500,IF(N(INDEX('Daily Sale entry '!$AB$1:$AB$1501,$J764+1))=0,"",INDEX('Daily Sale entry '!$AB$1:$AB$1501,$J764+1)),1))</f>
        <v/>
      </c>
      <c r="F764" s="6">
        <f>IF($J764="","",IF($J764&lt;=1500,N(INDEX('Daily Sale entry '!$AC$1:$AC$1501,$J764+1))-IF(AND('Opening Balance'!$B$15=1,INDEX('Daily Sale entry '!$Z$1:$Z$1501,$J764+1)="Online collection 网上收款",INDEX('Daily Sale entry '!$AA$1:$AA$1501,$J764+1)&lt;&gt;""),N(INDEX('Daily Sale entry '!$AC$1:$AC$1501,$J764+1))-TRUNC(N(INDEX('Daily Sale entry '!$AC$1:$AC$1501,$J764+1))),0),N(INDEX('Daily Sale entry '!$S$1:$S$1501,$J764-1499))-'Opening Balance'!$B$15*(N(INDEX('Daily Sale entry '!$S$1:$S$1501,$J764-1499))-TRUNC(N(INDEX('Daily Sale entry '!$S$1:$S$1501,$J764-1499))))))</f>
        <v/>
      </c>
      <c r="G764" s="6">
        <f>IF($J764="","",IF($J764&lt;=1500,N(INDEX('Daily Sale entry '!$AD$1:$AD$1501,$J764+1)),0))</f>
        <v/>
      </c>
      <c r="H764" s="6">
        <f>IF($J764="","",ROUND('Opening Balance'!$B$4+SUM($F$2:F764)-SUM($G$2:G764),2))</f>
        <v/>
      </c>
      <c r="J764" s="21">
        <f>IFERROR(MATCH(ROW()-1,$L$2:$L$3001,0),"")</f>
        <v/>
      </c>
      <c r="K764" s="34">
        <f>IF(AND('Daily Sale entry '!X764&lt;&gt;"",OR('Daily Sale entry '!AC764&lt;&gt;"",'Daily Sale entry '!AD764&lt;&gt;"")),'Daily Sale entry '!X764+ROW()/10000000,"")</f>
        <v/>
      </c>
      <c r="L764" s="21">
        <f>IF(K764="","",COUNTIF($K$2:$K$3001,"&lt;"&amp;K764)+1)</f>
        <v/>
      </c>
    </row>
    <row r="765">
      <c r="A765" s="5">
        <f>IF($J765="","",IF($J765&lt;=1500,INDEX('Daily Sale entry '!$X$1:$X$1501,$J765+1),INDEX('Daily Sale entry '!$V$1:$V$1501,$J765-1499)))</f>
        <v/>
      </c>
      <c r="B765">
        <f>IF($J765="","",IF($J765&lt;=1500,INDEX('Daily Sale entry '!$Y$1:$Y$1501,$J765+1)&amp;"","Buyer cheque banked 买家支票存入"&amp;IF(INDEX('Daily Sale entry '!$U$1:$U$1501,$J765-1499)="","", " - "&amp;INDEX('Daily Sale entry '!$U$1:$U$1501,$J765-1499))))</f>
        <v/>
      </c>
      <c r="C765">
        <f>IF($J765="","",IF($J765&lt;=1500,INDEX('Daily Sale entry '!$Z$1:$Z$1501,$J765+1)&amp;"","Cheque deposit 支票存入 (buyer 买家)"))</f>
        <v/>
      </c>
      <c r="D765">
        <f>IF($J765="","",IF($J765&lt;=1500,INDEX('Daily Sale entry '!$AA$1:$AA$1501,$J765+1)&amp;"",INDEX('Daily Sale entry '!$P$1:$P$1501,$J765-1499)&amp;""))</f>
        <v/>
      </c>
      <c r="E765">
        <f>IF($J765="","",IF($J765&lt;=1500,IF(N(INDEX('Daily Sale entry '!$AB$1:$AB$1501,$J765+1))=0,"",INDEX('Daily Sale entry '!$AB$1:$AB$1501,$J765+1)),1))</f>
        <v/>
      </c>
      <c r="F765" s="6">
        <f>IF($J765="","",IF($J765&lt;=1500,N(INDEX('Daily Sale entry '!$AC$1:$AC$1501,$J765+1))-IF(AND('Opening Balance'!$B$15=1,INDEX('Daily Sale entry '!$Z$1:$Z$1501,$J765+1)="Online collection 网上收款",INDEX('Daily Sale entry '!$AA$1:$AA$1501,$J765+1)&lt;&gt;""),N(INDEX('Daily Sale entry '!$AC$1:$AC$1501,$J765+1))-TRUNC(N(INDEX('Daily Sale entry '!$AC$1:$AC$1501,$J765+1))),0),N(INDEX('Daily Sale entry '!$S$1:$S$1501,$J765-1499))-'Opening Balance'!$B$15*(N(INDEX('Daily Sale entry '!$S$1:$S$1501,$J765-1499))-TRUNC(N(INDEX('Daily Sale entry '!$S$1:$S$1501,$J765-1499))))))</f>
        <v/>
      </c>
      <c r="G765" s="6">
        <f>IF($J765="","",IF($J765&lt;=1500,N(INDEX('Daily Sale entry '!$AD$1:$AD$1501,$J765+1)),0))</f>
        <v/>
      </c>
      <c r="H765" s="6">
        <f>IF($J765="","",ROUND('Opening Balance'!$B$4+SUM($F$2:F765)-SUM($G$2:G765),2))</f>
        <v/>
      </c>
      <c r="J765" s="21">
        <f>IFERROR(MATCH(ROW()-1,$L$2:$L$3001,0),"")</f>
        <v/>
      </c>
      <c r="K765" s="34">
        <f>IF(AND('Daily Sale entry '!X765&lt;&gt;"",OR('Daily Sale entry '!AC765&lt;&gt;"",'Daily Sale entry '!AD765&lt;&gt;"")),'Daily Sale entry '!X765+ROW()/10000000,"")</f>
        <v/>
      </c>
      <c r="L765" s="21">
        <f>IF(K765="","",COUNTIF($K$2:$K$3001,"&lt;"&amp;K765)+1)</f>
        <v/>
      </c>
    </row>
    <row r="766">
      <c r="A766" s="5">
        <f>IF($J766="","",IF($J766&lt;=1500,INDEX('Daily Sale entry '!$X$1:$X$1501,$J766+1),INDEX('Daily Sale entry '!$V$1:$V$1501,$J766-1499)))</f>
        <v/>
      </c>
      <c r="B766">
        <f>IF($J766="","",IF($J766&lt;=1500,INDEX('Daily Sale entry '!$Y$1:$Y$1501,$J766+1)&amp;"","Buyer cheque banked 买家支票存入"&amp;IF(INDEX('Daily Sale entry '!$U$1:$U$1501,$J766-1499)="","", " - "&amp;INDEX('Daily Sale entry '!$U$1:$U$1501,$J766-1499))))</f>
        <v/>
      </c>
      <c r="C766">
        <f>IF($J766="","",IF($J766&lt;=1500,INDEX('Daily Sale entry '!$Z$1:$Z$1501,$J766+1)&amp;"","Cheque deposit 支票存入 (buyer 买家)"))</f>
        <v/>
      </c>
      <c r="D766">
        <f>IF($J766="","",IF($J766&lt;=1500,INDEX('Daily Sale entry '!$AA$1:$AA$1501,$J766+1)&amp;"",INDEX('Daily Sale entry '!$P$1:$P$1501,$J766-1499)&amp;""))</f>
        <v/>
      </c>
      <c r="E766">
        <f>IF($J766="","",IF($J766&lt;=1500,IF(N(INDEX('Daily Sale entry '!$AB$1:$AB$1501,$J766+1))=0,"",INDEX('Daily Sale entry '!$AB$1:$AB$1501,$J766+1)),1))</f>
        <v/>
      </c>
      <c r="F766" s="6">
        <f>IF($J766="","",IF($J766&lt;=1500,N(INDEX('Daily Sale entry '!$AC$1:$AC$1501,$J766+1))-IF(AND('Opening Balance'!$B$15=1,INDEX('Daily Sale entry '!$Z$1:$Z$1501,$J766+1)="Online collection 网上收款",INDEX('Daily Sale entry '!$AA$1:$AA$1501,$J766+1)&lt;&gt;""),N(INDEX('Daily Sale entry '!$AC$1:$AC$1501,$J766+1))-TRUNC(N(INDEX('Daily Sale entry '!$AC$1:$AC$1501,$J766+1))),0),N(INDEX('Daily Sale entry '!$S$1:$S$1501,$J766-1499))-'Opening Balance'!$B$15*(N(INDEX('Daily Sale entry '!$S$1:$S$1501,$J766-1499))-TRUNC(N(INDEX('Daily Sale entry '!$S$1:$S$1501,$J766-1499))))))</f>
        <v/>
      </c>
      <c r="G766" s="6">
        <f>IF($J766="","",IF($J766&lt;=1500,N(INDEX('Daily Sale entry '!$AD$1:$AD$1501,$J766+1)),0))</f>
        <v/>
      </c>
      <c r="H766" s="6">
        <f>IF($J766="","",ROUND('Opening Balance'!$B$4+SUM($F$2:F766)-SUM($G$2:G766),2))</f>
        <v/>
      </c>
      <c r="J766" s="21">
        <f>IFERROR(MATCH(ROW()-1,$L$2:$L$3001,0),"")</f>
        <v/>
      </c>
      <c r="K766" s="34">
        <f>IF(AND('Daily Sale entry '!X766&lt;&gt;"",OR('Daily Sale entry '!AC766&lt;&gt;"",'Daily Sale entry '!AD766&lt;&gt;"")),'Daily Sale entry '!X766+ROW()/10000000,"")</f>
        <v/>
      </c>
      <c r="L766" s="21">
        <f>IF(K766="","",COUNTIF($K$2:$K$3001,"&lt;"&amp;K766)+1)</f>
        <v/>
      </c>
    </row>
    <row r="767">
      <c r="A767" s="5">
        <f>IF($J767="","",IF($J767&lt;=1500,INDEX('Daily Sale entry '!$X$1:$X$1501,$J767+1),INDEX('Daily Sale entry '!$V$1:$V$1501,$J767-1499)))</f>
        <v/>
      </c>
      <c r="B767">
        <f>IF($J767="","",IF($J767&lt;=1500,INDEX('Daily Sale entry '!$Y$1:$Y$1501,$J767+1)&amp;"","Buyer cheque banked 买家支票存入"&amp;IF(INDEX('Daily Sale entry '!$U$1:$U$1501,$J767-1499)="","", " - "&amp;INDEX('Daily Sale entry '!$U$1:$U$1501,$J767-1499))))</f>
        <v/>
      </c>
      <c r="C767">
        <f>IF($J767="","",IF($J767&lt;=1500,INDEX('Daily Sale entry '!$Z$1:$Z$1501,$J767+1)&amp;"","Cheque deposit 支票存入 (buyer 买家)"))</f>
        <v/>
      </c>
      <c r="D767">
        <f>IF($J767="","",IF($J767&lt;=1500,INDEX('Daily Sale entry '!$AA$1:$AA$1501,$J767+1)&amp;"",INDEX('Daily Sale entry '!$P$1:$P$1501,$J767-1499)&amp;""))</f>
        <v/>
      </c>
      <c r="E767">
        <f>IF($J767="","",IF($J767&lt;=1500,IF(N(INDEX('Daily Sale entry '!$AB$1:$AB$1501,$J767+1))=0,"",INDEX('Daily Sale entry '!$AB$1:$AB$1501,$J767+1)),1))</f>
        <v/>
      </c>
      <c r="F767" s="6">
        <f>IF($J767="","",IF($J767&lt;=1500,N(INDEX('Daily Sale entry '!$AC$1:$AC$1501,$J767+1))-IF(AND('Opening Balance'!$B$15=1,INDEX('Daily Sale entry '!$Z$1:$Z$1501,$J767+1)="Online collection 网上收款",INDEX('Daily Sale entry '!$AA$1:$AA$1501,$J767+1)&lt;&gt;""),N(INDEX('Daily Sale entry '!$AC$1:$AC$1501,$J767+1))-TRUNC(N(INDEX('Daily Sale entry '!$AC$1:$AC$1501,$J767+1))),0),N(INDEX('Daily Sale entry '!$S$1:$S$1501,$J767-1499))-'Opening Balance'!$B$15*(N(INDEX('Daily Sale entry '!$S$1:$S$1501,$J767-1499))-TRUNC(N(INDEX('Daily Sale entry '!$S$1:$S$1501,$J767-1499))))))</f>
        <v/>
      </c>
      <c r="G767" s="6">
        <f>IF($J767="","",IF($J767&lt;=1500,N(INDEX('Daily Sale entry '!$AD$1:$AD$1501,$J767+1)),0))</f>
        <v/>
      </c>
      <c r="H767" s="6">
        <f>IF($J767="","",ROUND('Opening Balance'!$B$4+SUM($F$2:F767)-SUM($G$2:G767),2))</f>
        <v/>
      </c>
      <c r="J767" s="21">
        <f>IFERROR(MATCH(ROW()-1,$L$2:$L$3001,0),"")</f>
        <v/>
      </c>
      <c r="K767" s="34">
        <f>IF(AND('Daily Sale entry '!X767&lt;&gt;"",OR('Daily Sale entry '!AC767&lt;&gt;"",'Daily Sale entry '!AD767&lt;&gt;"")),'Daily Sale entry '!X767+ROW()/10000000,"")</f>
        <v/>
      </c>
      <c r="L767" s="21">
        <f>IF(K767="","",COUNTIF($K$2:$K$3001,"&lt;"&amp;K767)+1)</f>
        <v/>
      </c>
    </row>
    <row r="768">
      <c r="A768" s="5">
        <f>IF($J768="","",IF($J768&lt;=1500,INDEX('Daily Sale entry '!$X$1:$X$1501,$J768+1),INDEX('Daily Sale entry '!$V$1:$V$1501,$J768-1499)))</f>
        <v/>
      </c>
      <c r="B768">
        <f>IF($J768="","",IF($J768&lt;=1500,INDEX('Daily Sale entry '!$Y$1:$Y$1501,$J768+1)&amp;"","Buyer cheque banked 买家支票存入"&amp;IF(INDEX('Daily Sale entry '!$U$1:$U$1501,$J768-1499)="","", " - "&amp;INDEX('Daily Sale entry '!$U$1:$U$1501,$J768-1499))))</f>
        <v/>
      </c>
      <c r="C768">
        <f>IF($J768="","",IF($J768&lt;=1500,INDEX('Daily Sale entry '!$Z$1:$Z$1501,$J768+1)&amp;"","Cheque deposit 支票存入 (buyer 买家)"))</f>
        <v/>
      </c>
      <c r="D768">
        <f>IF($J768="","",IF($J768&lt;=1500,INDEX('Daily Sale entry '!$AA$1:$AA$1501,$J768+1)&amp;"",INDEX('Daily Sale entry '!$P$1:$P$1501,$J768-1499)&amp;""))</f>
        <v/>
      </c>
      <c r="E768">
        <f>IF($J768="","",IF($J768&lt;=1500,IF(N(INDEX('Daily Sale entry '!$AB$1:$AB$1501,$J768+1))=0,"",INDEX('Daily Sale entry '!$AB$1:$AB$1501,$J768+1)),1))</f>
        <v/>
      </c>
      <c r="F768" s="6">
        <f>IF($J768="","",IF($J768&lt;=1500,N(INDEX('Daily Sale entry '!$AC$1:$AC$1501,$J768+1))-IF(AND('Opening Balance'!$B$15=1,INDEX('Daily Sale entry '!$Z$1:$Z$1501,$J768+1)="Online collection 网上收款",INDEX('Daily Sale entry '!$AA$1:$AA$1501,$J768+1)&lt;&gt;""),N(INDEX('Daily Sale entry '!$AC$1:$AC$1501,$J768+1))-TRUNC(N(INDEX('Daily Sale entry '!$AC$1:$AC$1501,$J768+1))),0),N(INDEX('Daily Sale entry '!$S$1:$S$1501,$J768-1499))-'Opening Balance'!$B$15*(N(INDEX('Daily Sale entry '!$S$1:$S$1501,$J768-1499))-TRUNC(N(INDEX('Daily Sale entry '!$S$1:$S$1501,$J768-1499))))))</f>
        <v/>
      </c>
      <c r="G768" s="6">
        <f>IF($J768="","",IF($J768&lt;=1500,N(INDEX('Daily Sale entry '!$AD$1:$AD$1501,$J768+1)),0))</f>
        <v/>
      </c>
      <c r="H768" s="6">
        <f>IF($J768="","",ROUND('Opening Balance'!$B$4+SUM($F$2:F768)-SUM($G$2:G768),2))</f>
        <v/>
      </c>
      <c r="J768" s="21">
        <f>IFERROR(MATCH(ROW()-1,$L$2:$L$3001,0),"")</f>
        <v/>
      </c>
      <c r="K768" s="34">
        <f>IF(AND('Daily Sale entry '!X768&lt;&gt;"",OR('Daily Sale entry '!AC768&lt;&gt;"",'Daily Sale entry '!AD768&lt;&gt;"")),'Daily Sale entry '!X768+ROW()/10000000,"")</f>
        <v/>
      </c>
      <c r="L768" s="21">
        <f>IF(K768="","",COUNTIF($K$2:$K$3001,"&lt;"&amp;K768)+1)</f>
        <v/>
      </c>
    </row>
    <row r="769">
      <c r="A769" s="5">
        <f>IF($J769="","",IF($J769&lt;=1500,INDEX('Daily Sale entry '!$X$1:$X$1501,$J769+1),INDEX('Daily Sale entry '!$V$1:$V$1501,$J769-1499)))</f>
        <v/>
      </c>
      <c r="B769">
        <f>IF($J769="","",IF($J769&lt;=1500,INDEX('Daily Sale entry '!$Y$1:$Y$1501,$J769+1)&amp;"","Buyer cheque banked 买家支票存入"&amp;IF(INDEX('Daily Sale entry '!$U$1:$U$1501,$J769-1499)="","", " - "&amp;INDEX('Daily Sale entry '!$U$1:$U$1501,$J769-1499))))</f>
        <v/>
      </c>
      <c r="C769">
        <f>IF($J769="","",IF($J769&lt;=1500,INDEX('Daily Sale entry '!$Z$1:$Z$1501,$J769+1)&amp;"","Cheque deposit 支票存入 (buyer 买家)"))</f>
        <v/>
      </c>
      <c r="D769">
        <f>IF($J769="","",IF($J769&lt;=1500,INDEX('Daily Sale entry '!$AA$1:$AA$1501,$J769+1)&amp;"",INDEX('Daily Sale entry '!$P$1:$P$1501,$J769-1499)&amp;""))</f>
        <v/>
      </c>
      <c r="E769">
        <f>IF($J769="","",IF($J769&lt;=1500,IF(N(INDEX('Daily Sale entry '!$AB$1:$AB$1501,$J769+1))=0,"",INDEX('Daily Sale entry '!$AB$1:$AB$1501,$J769+1)),1))</f>
        <v/>
      </c>
      <c r="F769" s="6">
        <f>IF($J769="","",IF($J769&lt;=1500,N(INDEX('Daily Sale entry '!$AC$1:$AC$1501,$J769+1))-IF(AND('Opening Balance'!$B$15=1,INDEX('Daily Sale entry '!$Z$1:$Z$1501,$J769+1)="Online collection 网上收款",INDEX('Daily Sale entry '!$AA$1:$AA$1501,$J769+1)&lt;&gt;""),N(INDEX('Daily Sale entry '!$AC$1:$AC$1501,$J769+1))-TRUNC(N(INDEX('Daily Sale entry '!$AC$1:$AC$1501,$J769+1))),0),N(INDEX('Daily Sale entry '!$S$1:$S$1501,$J769-1499))-'Opening Balance'!$B$15*(N(INDEX('Daily Sale entry '!$S$1:$S$1501,$J769-1499))-TRUNC(N(INDEX('Daily Sale entry '!$S$1:$S$1501,$J769-1499))))))</f>
        <v/>
      </c>
      <c r="G769" s="6">
        <f>IF($J769="","",IF($J769&lt;=1500,N(INDEX('Daily Sale entry '!$AD$1:$AD$1501,$J769+1)),0))</f>
        <v/>
      </c>
      <c r="H769" s="6">
        <f>IF($J769="","",ROUND('Opening Balance'!$B$4+SUM($F$2:F769)-SUM($G$2:G769),2))</f>
        <v/>
      </c>
      <c r="J769" s="21">
        <f>IFERROR(MATCH(ROW()-1,$L$2:$L$3001,0),"")</f>
        <v/>
      </c>
      <c r="K769" s="34">
        <f>IF(AND('Daily Sale entry '!X769&lt;&gt;"",OR('Daily Sale entry '!AC769&lt;&gt;"",'Daily Sale entry '!AD769&lt;&gt;"")),'Daily Sale entry '!X769+ROW()/10000000,"")</f>
        <v/>
      </c>
      <c r="L769" s="21">
        <f>IF(K769="","",COUNTIF($K$2:$K$3001,"&lt;"&amp;K769)+1)</f>
        <v/>
      </c>
    </row>
    <row r="770">
      <c r="A770" s="5">
        <f>IF($J770="","",IF($J770&lt;=1500,INDEX('Daily Sale entry '!$X$1:$X$1501,$J770+1),INDEX('Daily Sale entry '!$V$1:$V$1501,$J770-1499)))</f>
        <v/>
      </c>
      <c r="B770">
        <f>IF($J770="","",IF($J770&lt;=1500,INDEX('Daily Sale entry '!$Y$1:$Y$1501,$J770+1)&amp;"","Buyer cheque banked 买家支票存入"&amp;IF(INDEX('Daily Sale entry '!$U$1:$U$1501,$J770-1499)="","", " - "&amp;INDEX('Daily Sale entry '!$U$1:$U$1501,$J770-1499))))</f>
        <v/>
      </c>
      <c r="C770">
        <f>IF($J770="","",IF($J770&lt;=1500,INDEX('Daily Sale entry '!$Z$1:$Z$1501,$J770+1)&amp;"","Cheque deposit 支票存入 (buyer 买家)"))</f>
        <v/>
      </c>
      <c r="D770">
        <f>IF($J770="","",IF($J770&lt;=1500,INDEX('Daily Sale entry '!$AA$1:$AA$1501,$J770+1)&amp;"",INDEX('Daily Sale entry '!$P$1:$P$1501,$J770-1499)&amp;""))</f>
        <v/>
      </c>
      <c r="E770">
        <f>IF($J770="","",IF($J770&lt;=1500,IF(N(INDEX('Daily Sale entry '!$AB$1:$AB$1501,$J770+1))=0,"",INDEX('Daily Sale entry '!$AB$1:$AB$1501,$J770+1)),1))</f>
        <v/>
      </c>
      <c r="F770" s="6">
        <f>IF($J770="","",IF($J770&lt;=1500,N(INDEX('Daily Sale entry '!$AC$1:$AC$1501,$J770+1))-IF(AND('Opening Balance'!$B$15=1,INDEX('Daily Sale entry '!$Z$1:$Z$1501,$J770+1)="Online collection 网上收款",INDEX('Daily Sale entry '!$AA$1:$AA$1501,$J770+1)&lt;&gt;""),N(INDEX('Daily Sale entry '!$AC$1:$AC$1501,$J770+1))-TRUNC(N(INDEX('Daily Sale entry '!$AC$1:$AC$1501,$J770+1))),0),N(INDEX('Daily Sale entry '!$S$1:$S$1501,$J770-1499))-'Opening Balance'!$B$15*(N(INDEX('Daily Sale entry '!$S$1:$S$1501,$J770-1499))-TRUNC(N(INDEX('Daily Sale entry '!$S$1:$S$1501,$J770-1499))))))</f>
        <v/>
      </c>
      <c r="G770" s="6">
        <f>IF($J770="","",IF($J770&lt;=1500,N(INDEX('Daily Sale entry '!$AD$1:$AD$1501,$J770+1)),0))</f>
        <v/>
      </c>
      <c r="H770" s="6">
        <f>IF($J770="","",ROUND('Opening Balance'!$B$4+SUM($F$2:F770)-SUM($G$2:G770),2))</f>
        <v/>
      </c>
      <c r="J770" s="21">
        <f>IFERROR(MATCH(ROW()-1,$L$2:$L$3001,0),"")</f>
        <v/>
      </c>
      <c r="K770" s="34">
        <f>IF(AND('Daily Sale entry '!X770&lt;&gt;"",OR('Daily Sale entry '!AC770&lt;&gt;"",'Daily Sale entry '!AD770&lt;&gt;"")),'Daily Sale entry '!X770+ROW()/10000000,"")</f>
        <v/>
      </c>
      <c r="L770" s="21">
        <f>IF(K770="","",COUNTIF($K$2:$K$3001,"&lt;"&amp;K770)+1)</f>
        <v/>
      </c>
    </row>
    <row r="771">
      <c r="A771" s="5">
        <f>IF($J771="","",IF($J771&lt;=1500,INDEX('Daily Sale entry '!$X$1:$X$1501,$J771+1),INDEX('Daily Sale entry '!$V$1:$V$1501,$J771-1499)))</f>
        <v/>
      </c>
      <c r="B771">
        <f>IF($J771="","",IF($J771&lt;=1500,INDEX('Daily Sale entry '!$Y$1:$Y$1501,$J771+1)&amp;"","Buyer cheque banked 买家支票存入"&amp;IF(INDEX('Daily Sale entry '!$U$1:$U$1501,$J771-1499)="","", " - "&amp;INDEX('Daily Sale entry '!$U$1:$U$1501,$J771-1499))))</f>
        <v/>
      </c>
      <c r="C771">
        <f>IF($J771="","",IF($J771&lt;=1500,INDEX('Daily Sale entry '!$Z$1:$Z$1501,$J771+1)&amp;"","Cheque deposit 支票存入 (buyer 买家)"))</f>
        <v/>
      </c>
      <c r="D771">
        <f>IF($J771="","",IF($J771&lt;=1500,INDEX('Daily Sale entry '!$AA$1:$AA$1501,$J771+1)&amp;"",INDEX('Daily Sale entry '!$P$1:$P$1501,$J771-1499)&amp;""))</f>
        <v/>
      </c>
      <c r="E771">
        <f>IF($J771="","",IF($J771&lt;=1500,IF(N(INDEX('Daily Sale entry '!$AB$1:$AB$1501,$J771+1))=0,"",INDEX('Daily Sale entry '!$AB$1:$AB$1501,$J771+1)),1))</f>
        <v/>
      </c>
      <c r="F771" s="6">
        <f>IF($J771="","",IF($J771&lt;=1500,N(INDEX('Daily Sale entry '!$AC$1:$AC$1501,$J771+1))-IF(AND('Opening Balance'!$B$15=1,INDEX('Daily Sale entry '!$Z$1:$Z$1501,$J771+1)="Online collection 网上收款",INDEX('Daily Sale entry '!$AA$1:$AA$1501,$J771+1)&lt;&gt;""),N(INDEX('Daily Sale entry '!$AC$1:$AC$1501,$J771+1))-TRUNC(N(INDEX('Daily Sale entry '!$AC$1:$AC$1501,$J771+1))),0),N(INDEX('Daily Sale entry '!$S$1:$S$1501,$J771-1499))-'Opening Balance'!$B$15*(N(INDEX('Daily Sale entry '!$S$1:$S$1501,$J771-1499))-TRUNC(N(INDEX('Daily Sale entry '!$S$1:$S$1501,$J771-1499))))))</f>
        <v/>
      </c>
      <c r="G771" s="6">
        <f>IF($J771="","",IF($J771&lt;=1500,N(INDEX('Daily Sale entry '!$AD$1:$AD$1501,$J771+1)),0))</f>
        <v/>
      </c>
      <c r="H771" s="6">
        <f>IF($J771="","",ROUND('Opening Balance'!$B$4+SUM($F$2:F771)-SUM($G$2:G771),2))</f>
        <v/>
      </c>
      <c r="J771" s="21">
        <f>IFERROR(MATCH(ROW()-1,$L$2:$L$3001,0),"")</f>
        <v/>
      </c>
      <c r="K771" s="34">
        <f>IF(AND('Daily Sale entry '!X771&lt;&gt;"",OR('Daily Sale entry '!AC771&lt;&gt;"",'Daily Sale entry '!AD771&lt;&gt;"")),'Daily Sale entry '!X771+ROW()/10000000,"")</f>
        <v/>
      </c>
      <c r="L771" s="21">
        <f>IF(K771="","",COUNTIF($K$2:$K$3001,"&lt;"&amp;K771)+1)</f>
        <v/>
      </c>
    </row>
    <row r="772">
      <c r="A772" s="5">
        <f>IF($J772="","",IF($J772&lt;=1500,INDEX('Daily Sale entry '!$X$1:$X$1501,$J772+1),INDEX('Daily Sale entry '!$V$1:$V$1501,$J772-1499)))</f>
        <v/>
      </c>
      <c r="B772">
        <f>IF($J772="","",IF($J772&lt;=1500,INDEX('Daily Sale entry '!$Y$1:$Y$1501,$J772+1)&amp;"","Buyer cheque banked 买家支票存入"&amp;IF(INDEX('Daily Sale entry '!$U$1:$U$1501,$J772-1499)="","", " - "&amp;INDEX('Daily Sale entry '!$U$1:$U$1501,$J772-1499))))</f>
        <v/>
      </c>
      <c r="C772">
        <f>IF($J772="","",IF($J772&lt;=1500,INDEX('Daily Sale entry '!$Z$1:$Z$1501,$J772+1)&amp;"","Cheque deposit 支票存入 (buyer 买家)"))</f>
        <v/>
      </c>
      <c r="D772">
        <f>IF($J772="","",IF($J772&lt;=1500,INDEX('Daily Sale entry '!$AA$1:$AA$1501,$J772+1)&amp;"",INDEX('Daily Sale entry '!$P$1:$P$1501,$J772-1499)&amp;""))</f>
        <v/>
      </c>
      <c r="E772">
        <f>IF($J772="","",IF($J772&lt;=1500,IF(N(INDEX('Daily Sale entry '!$AB$1:$AB$1501,$J772+1))=0,"",INDEX('Daily Sale entry '!$AB$1:$AB$1501,$J772+1)),1))</f>
        <v/>
      </c>
      <c r="F772" s="6">
        <f>IF($J772="","",IF($J772&lt;=1500,N(INDEX('Daily Sale entry '!$AC$1:$AC$1501,$J772+1))-IF(AND('Opening Balance'!$B$15=1,INDEX('Daily Sale entry '!$Z$1:$Z$1501,$J772+1)="Online collection 网上收款",INDEX('Daily Sale entry '!$AA$1:$AA$1501,$J772+1)&lt;&gt;""),N(INDEX('Daily Sale entry '!$AC$1:$AC$1501,$J772+1))-TRUNC(N(INDEX('Daily Sale entry '!$AC$1:$AC$1501,$J772+1))),0),N(INDEX('Daily Sale entry '!$S$1:$S$1501,$J772-1499))-'Opening Balance'!$B$15*(N(INDEX('Daily Sale entry '!$S$1:$S$1501,$J772-1499))-TRUNC(N(INDEX('Daily Sale entry '!$S$1:$S$1501,$J772-1499))))))</f>
        <v/>
      </c>
      <c r="G772" s="6">
        <f>IF($J772="","",IF($J772&lt;=1500,N(INDEX('Daily Sale entry '!$AD$1:$AD$1501,$J772+1)),0))</f>
        <v/>
      </c>
      <c r="H772" s="6">
        <f>IF($J772="","",ROUND('Opening Balance'!$B$4+SUM($F$2:F772)-SUM($G$2:G772),2))</f>
        <v/>
      </c>
      <c r="J772" s="21">
        <f>IFERROR(MATCH(ROW()-1,$L$2:$L$3001,0),"")</f>
        <v/>
      </c>
      <c r="K772" s="34">
        <f>IF(AND('Daily Sale entry '!X772&lt;&gt;"",OR('Daily Sale entry '!AC772&lt;&gt;"",'Daily Sale entry '!AD772&lt;&gt;"")),'Daily Sale entry '!X772+ROW()/10000000,"")</f>
        <v/>
      </c>
      <c r="L772" s="21">
        <f>IF(K772="","",COUNTIF($K$2:$K$3001,"&lt;"&amp;K772)+1)</f>
        <v/>
      </c>
    </row>
    <row r="773">
      <c r="A773" s="5">
        <f>IF($J773="","",IF($J773&lt;=1500,INDEX('Daily Sale entry '!$X$1:$X$1501,$J773+1),INDEX('Daily Sale entry '!$V$1:$V$1501,$J773-1499)))</f>
        <v/>
      </c>
      <c r="B773">
        <f>IF($J773="","",IF($J773&lt;=1500,INDEX('Daily Sale entry '!$Y$1:$Y$1501,$J773+1)&amp;"","Buyer cheque banked 买家支票存入"&amp;IF(INDEX('Daily Sale entry '!$U$1:$U$1501,$J773-1499)="","", " - "&amp;INDEX('Daily Sale entry '!$U$1:$U$1501,$J773-1499))))</f>
        <v/>
      </c>
      <c r="C773">
        <f>IF($J773="","",IF($J773&lt;=1500,INDEX('Daily Sale entry '!$Z$1:$Z$1501,$J773+1)&amp;"","Cheque deposit 支票存入 (buyer 买家)"))</f>
        <v/>
      </c>
      <c r="D773">
        <f>IF($J773="","",IF($J773&lt;=1500,INDEX('Daily Sale entry '!$AA$1:$AA$1501,$J773+1)&amp;"",INDEX('Daily Sale entry '!$P$1:$P$1501,$J773-1499)&amp;""))</f>
        <v/>
      </c>
      <c r="E773">
        <f>IF($J773="","",IF($J773&lt;=1500,IF(N(INDEX('Daily Sale entry '!$AB$1:$AB$1501,$J773+1))=0,"",INDEX('Daily Sale entry '!$AB$1:$AB$1501,$J773+1)),1))</f>
        <v/>
      </c>
      <c r="F773" s="6">
        <f>IF($J773="","",IF($J773&lt;=1500,N(INDEX('Daily Sale entry '!$AC$1:$AC$1501,$J773+1))-IF(AND('Opening Balance'!$B$15=1,INDEX('Daily Sale entry '!$Z$1:$Z$1501,$J773+1)="Online collection 网上收款",INDEX('Daily Sale entry '!$AA$1:$AA$1501,$J773+1)&lt;&gt;""),N(INDEX('Daily Sale entry '!$AC$1:$AC$1501,$J773+1))-TRUNC(N(INDEX('Daily Sale entry '!$AC$1:$AC$1501,$J773+1))),0),N(INDEX('Daily Sale entry '!$S$1:$S$1501,$J773-1499))-'Opening Balance'!$B$15*(N(INDEX('Daily Sale entry '!$S$1:$S$1501,$J773-1499))-TRUNC(N(INDEX('Daily Sale entry '!$S$1:$S$1501,$J773-1499))))))</f>
        <v/>
      </c>
      <c r="G773" s="6">
        <f>IF($J773="","",IF($J773&lt;=1500,N(INDEX('Daily Sale entry '!$AD$1:$AD$1501,$J773+1)),0))</f>
        <v/>
      </c>
      <c r="H773" s="6">
        <f>IF($J773="","",ROUND('Opening Balance'!$B$4+SUM($F$2:F773)-SUM($G$2:G773),2))</f>
        <v/>
      </c>
      <c r="J773" s="21">
        <f>IFERROR(MATCH(ROW()-1,$L$2:$L$3001,0),"")</f>
        <v/>
      </c>
      <c r="K773" s="34">
        <f>IF(AND('Daily Sale entry '!X773&lt;&gt;"",OR('Daily Sale entry '!AC773&lt;&gt;"",'Daily Sale entry '!AD773&lt;&gt;"")),'Daily Sale entry '!X773+ROW()/10000000,"")</f>
        <v/>
      </c>
      <c r="L773" s="21">
        <f>IF(K773="","",COUNTIF($K$2:$K$3001,"&lt;"&amp;K773)+1)</f>
        <v/>
      </c>
    </row>
    <row r="774">
      <c r="A774" s="5">
        <f>IF($J774="","",IF($J774&lt;=1500,INDEX('Daily Sale entry '!$X$1:$X$1501,$J774+1),INDEX('Daily Sale entry '!$V$1:$V$1501,$J774-1499)))</f>
        <v/>
      </c>
      <c r="B774">
        <f>IF($J774="","",IF($J774&lt;=1500,INDEX('Daily Sale entry '!$Y$1:$Y$1501,$J774+1)&amp;"","Buyer cheque banked 买家支票存入"&amp;IF(INDEX('Daily Sale entry '!$U$1:$U$1501,$J774-1499)="","", " - "&amp;INDEX('Daily Sale entry '!$U$1:$U$1501,$J774-1499))))</f>
        <v/>
      </c>
      <c r="C774">
        <f>IF($J774="","",IF($J774&lt;=1500,INDEX('Daily Sale entry '!$Z$1:$Z$1501,$J774+1)&amp;"","Cheque deposit 支票存入 (buyer 买家)"))</f>
        <v/>
      </c>
      <c r="D774">
        <f>IF($J774="","",IF($J774&lt;=1500,INDEX('Daily Sale entry '!$AA$1:$AA$1501,$J774+1)&amp;"",INDEX('Daily Sale entry '!$P$1:$P$1501,$J774-1499)&amp;""))</f>
        <v/>
      </c>
      <c r="E774">
        <f>IF($J774="","",IF($J774&lt;=1500,IF(N(INDEX('Daily Sale entry '!$AB$1:$AB$1501,$J774+1))=0,"",INDEX('Daily Sale entry '!$AB$1:$AB$1501,$J774+1)),1))</f>
        <v/>
      </c>
      <c r="F774" s="6">
        <f>IF($J774="","",IF($J774&lt;=1500,N(INDEX('Daily Sale entry '!$AC$1:$AC$1501,$J774+1))-IF(AND('Opening Balance'!$B$15=1,INDEX('Daily Sale entry '!$Z$1:$Z$1501,$J774+1)="Online collection 网上收款",INDEX('Daily Sale entry '!$AA$1:$AA$1501,$J774+1)&lt;&gt;""),N(INDEX('Daily Sale entry '!$AC$1:$AC$1501,$J774+1))-TRUNC(N(INDEX('Daily Sale entry '!$AC$1:$AC$1501,$J774+1))),0),N(INDEX('Daily Sale entry '!$S$1:$S$1501,$J774-1499))-'Opening Balance'!$B$15*(N(INDEX('Daily Sale entry '!$S$1:$S$1501,$J774-1499))-TRUNC(N(INDEX('Daily Sale entry '!$S$1:$S$1501,$J774-1499))))))</f>
        <v/>
      </c>
      <c r="G774" s="6">
        <f>IF($J774="","",IF($J774&lt;=1500,N(INDEX('Daily Sale entry '!$AD$1:$AD$1501,$J774+1)),0))</f>
        <v/>
      </c>
      <c r="H774" s="6">
        <f>IF($J774="","",ROUND('Opening Balance'!$B$4+SUM($F$2:F774)-SUM($G$2:G774),2))</f>
        <v/>
      </c>
      <c r="J774" s="21">
        <f>IFERROR(MATCH(ROW()-1,$L$2:$L$3001,0),"")</f>
        <v/>
      </c>
      <c r="K774" s="34">
        <f>IF(AND('Daily Sale entry '!X774&lt;&gt;"",OR('Daily Sale entry '!AC774&lt;&gt;"",'Daily Sale entry '!AD774&lt;&gt;"")),'Daily Sale entry '!X774+ROW()/10000000,"")</f>
        <v/>
      </c>
      <c r="L774" s="21">
        <f>IF(K774="","",COUNTIF($K$2:$K$3001,"&lt;"&amp;K774)+1)</f>
        <v/>
      </c>
    </row>
    <row r="775">
      <c r="A775" s="5">
        <f>IF($J775="","",IF($J775&lt;=1500,INDEX('Daily Sale entry '!$X$1:$X$1501,$J775+1),INDEX('Daily Sale entry '!$V$1:$V$1501,$J775-1499)))</f>
        <v/>
      </c>
      <c r="B775">
        <f>IF($J775="","",IF($J775&lt;=1500,INDEX('Daily Sale entry '!$Y$1:$Y$1501,$J775+1)&amp;"","Buyer cheque banked 买家支票存入"&amp;IF(INDEX('Daily Sale entry '!$U$1:$U$1501,$J775-1499)="","", " - "&amp;INDEX('Daily Sale entry '!$U$1:$U$1501,$J775-1499))))</f>
        <v/>
      </c>
      <c r="C775">
        <f>IF($J775="","",IF($J775&lt;=1500,INDEX('Daily Sale entry '!$Z$1:$Z$1501,$J775+1)&amp;"","Cheque deposit 支票存入 (buyer 买家)"))</f>
        <v/>
      </c>
      <c r="D775">
        <f>IF($J775="","",IF($J775&lt;=1500,INDEX('Daily Sale entry '!$AA$1:$AA$1501,$J775+1)&amp;"",INDEX('Daily Sale entry '!$P$1:$P$1501,$J775-1499)&amp;""))</f>
        <v/>
      </c>
      <c r="E775">
        <f>IF($J775="","",IF($J775&lt;=1500,IF(N(INDEX('Daily Sale entry '!$AB$1:$AB$1501,$J775+1))=0,"",INDEX('Daily Sale entry '!$AB$1:$AB$1501,$J775+1)),1))</f>
        <v/>
      </c>
      <c r="F775" s="6">
        <f>IF($J775="","",IF($J775&lt;=1500,N(INDEX('Daily Sale entry '!$AC$1:$AC$1501,$J775+1))-IF(AND('Opening Balance'!$B$15=1,INDEX('Daily Sale entry '!$Z$1:$Z$1501,$J775+1)="Online collection 网上收款",INDEX('Daily Sale entry '!$AA$1:$AA$1501,$J775+1)&lt;&gt;""),N(INDEX('Daily Sale entry '!$AC$1:$AC$1501,$J775+1))-TRUNC(N(INDEX('Daily Sale entry '!$AC$1:$AC$1501,$J775+1))),0),N(INDEX('Daily Sale entry '!$S$1:$S$1501,$J775-1499))-'Opening Balance'!$B$15*(N(INDEX('Daily Sale entry '!$S$1:$S$1501,$J775-1499))-TRUNC(N(INDEX('Daily Sale entry '!$S$1:$S$1501,$J775-1499))))))</f>
        <v/>
      </c>
      <c r="G775" s="6">
        <f>IF($J775="","",IF($J775&lt;=1500,N(INDEX('Daily Sale entry '!$AD$1:$AD$1501,$J775+1)),0))</f>
        <v/>
      </c>
      <c r="H775" s="6">
        <f>IF($J775="","",ROUND('Opening Balance'!$B$4+SUM($F$2:F775)-SUM($G$2:G775),2))</f>
        <v/>
      </c>
      <c r="J775" s="21">
        <f>IFERROR(MATCH(ROW()-1,$L$2:$L$3001,0),"")</f>
        <v/>
      </c>
      <c r="K775" s="34">
        <f>IF(AND('Daily Sale entry '!X775&lt;&gt;"",OR('Daily Sale entry '!AC775&lt;&gt;"",'Daily Sale entry '!AD775&lt;&gt;"")),'Daily Sale entry '!X775+ROW()/10000000,"")</f>
        <v/>
      </c>
      <c r="L775" s="21">
        <f>IF(K775="","",COUNTIF($K$2:$K$3001,"&lt;"&amp;K775)+1)</f>
        <v/>
      </c>
    </row>
    <row r="776">
      <c r="A776" s="5">
        <f>IF($J776="","",IF($J776&lt;=1500,INDEX('Daily Sale entry '!$X$1:$X$1501,$J776+1),INDEX('Daily Sale entry '!$V$1:$V$1501,$J776-1499)))</f>
        <v/>
      </c>
      <c r="B776">
        <f>IF($J776="","",IF($J776&lt;=1500,INDEX('Daily Sale entry '!$Y$1:$Y$1501,$J776+1)&amp;"","Buyer cheque banked 买家支票存入"&amp;IF(INDEX('Daily Sale entry '!$U$1:$U$1501,$J776-1499)="","", " - "&amp;INDEX('Daily Sale entry '!$U$1:$U$1501,$J776-1499))))</f>
        <v/>
      </c>
      <c r="C776">
        <f>IF($J776="","",IF($J776&lt;=1500,INDEX('Daily Sale entry '!$Z$1:$Z$1501,$J776+1)&amp;"","Cheque deposit 支票存入 (buyer 买家)"))</f>
        <v/>
      </c>
      <c r="D776">
        <f>IF($J776="","",IF($J776&lt;=1500,INDEX('Daily Sale entry '!$AA$1:$AA$1501,$J776+1)&amp;"",INDEX('Daily Sale entry '!$P$1:$P$1501,$J776-1499)&amp;""))</f>
        <v/>
      </c>
      <c r="E776">
        <f>IF($J776="","",IF($J776&lt;=1500,IF(N(INDEX('Daily Sale entry '!$AB$1:$AB$1501,$J776+1))=0,"",INDEX('Daily Sale entry '!$AB$1:$AB$1501,$J776+1)),1))</f>
        <v/>
      </c>
      <c r="F776" s="6">
        <f>IF($J776="","",IF($J776&lt;=1500,N(INDEX('Daily Sale entry '!$AC$1:$AC$1501,$J776+1))-IF(AND('Opening Balance'!$B$15=1,INDEX('Daily Sale entry '!$Z$1:$Z$1501,$J776+1)="Online collection 网上收款",INDEX('Daily Sale entry '!$AA$1:$AA$1501,$J776+1)&lt;&gt;""),N(INDEX('Daily Sale entry '!$AC$1:$AC$1501,$J776+1))-TRUNC(N(INDEX('Daily Sale entry '!$AC$1:$AC$1501,$J776+1))),0),N(INDEX('Daily Sale entry '!$S$1:$S$1501,$J776-1499))-'Opening Balance'!$B$15*(N(INDEX('Daily Sale entry '!$S$1:$S$1501,$J776-1499))-TRUNC(N(INDEX('Daily Sale entry '!$S$1:$S$1501,$J776-1499))))))</f>
        <v/>
      </c>
      <c r="G776" s="6">
        <f>IF($J776="","",IF($J776&lt;=1500,N(INDEX('Daily Sale entry '!$AD$1:$AD$1501,$J776+1)),0))</f>
        <v/>
      </c>
      <c r="H776" s="6">
        <f>IF($J776="","",ROUND('Opening Balance'!$B$4+SUM($F$2:F776)-SUM($G$2:G776),2))</f>
        <v/>
      </c>
      <c r="J776" s="21">
        <f>IFERROR(MATCH(ROW()-1,$L$2:$L$3001,0),"")</f>
        <v/>
      </c>
      <c r="K776" s="34">
        <f>IF(AND('Daily Sale entry '!X776&lt;&gt;"",OR('Daily Sale entry '!AC776&lt;&gt;"",'Daily Sale entry '!AD776&lt;&gt;"")),'Daily Sale entry '!X776+ROW()/10000000,"")</f>
        <v/>
      </c>
      <c r="L776" s="21">
        <f>IF(K776="","",COUNTIF($K$2:$K$3001,"&lt;"&amp;K776)+1)</f>
        <v/>
      </c>
    </row>
    <row r="777">
      <c r="A777" s="5">
        <f>IF($J777="","",IF($J777&lt;=1500,INDEX('Daily Sale entry '!$X$1:$X$1501,$J777+1),INDEX('Daily Sale entry '!$V$1:$V$1501,$J777-1499)))</f>
        <v/>
      </c>
      <c r="B777">
        <f>IF($J777="","",IF($J777&lt;=1500,INDEX('Daily Sale entry '!$Y$1:$Y$1501,$J777+1)&amp;"","Buyer cheque banked 买家支票存入"&amp;IF(INDEX('Daily Sale entry '!$U$1:$U$1501,$J777-1499)="","", " - "&amp;INDEX('Daily Sale entry '!$U$1:$U$1501,$J777-1499))))</f>
        <v/>
      </c>
      <c r="C777">
        <f>IF($J777="","",IF($J777&lt;=1500,INDEX('Daily Sale entry '!$Z$1:$Z$1501,$J777+1)&amp;"","Cheque deposit 支票存入 (buyer 买家)"))</f>
        <v/>
      </c>
      <c r="D777">
        <f>IF($J777="","",IF($J777&lt;=1500,INDEX('Daily Sale entry '!$AA$1:$AA$1501,$J777+1)&amp;"",INDEX('Daily Sale entry '!$P$1:$P$1501,$J777-1499)&amp;""))</f>
        <v/>
      </c>
      <c r="E777">
        <f>IF($J777="","",IF($J777&lt;=1500,IF(N(INDEX('Daily Sale entry '!$AB$1:$AB$1501,$J777+1))=0,"",INDEX('Daily Sale entry '!$AB$1:$AB$1501,$J777+1)),1))</f>
        <v/>
      </c>
      <c r="F777" s="6">
        <f>IF($J777="","",IF($J777&lt;=1500,N(INDEX('Daily Sale entry '!$AC$1:$AC$1501,$J777+1))-IF(AND('Opening Balance'!$B$15=1,INDEX('Daily Sale entry '!$Z$1:$Z$1501,$J777+1)="Online collection 网上收款",INDEX('Daily Sale entry '!$AA$1:$AA$1501,$J777+1)&lt;&gt;""),N(INDEX('Daily Sale entry '!$AC$1:$AC$1501,$J777+1))-TRUNC(N(INDEX('Daily Sale entry '!$AC$1:$AC$1501,$J777+1))),0),N(INDEX('Daily Sale entry '!$S$1:$S$1501,$J777-1499))-'Opening Balance'!$B$15*(N(INDEX('Daily Sale entry '!$S$1:$S$1501,$J777-1499))-TRUNC(N(INDEX('Daily Sale entry '!$S$1:$S$1501,$J777-1499))))))</f>
        <v/>
      </c>
      <c r="G777" s="6">
        <f>IF($J777="","",IF($J777&lt;=1500,N(INDEX('Daily Sale entry '!$AD$1:$AD$1501,$J777+1)),0))</f>
        <v/>
      </c>
      <c r="H777" s="6">
        <f>IF($J777="","",ROUND('Opening Balance'!$B$4+SUM($F$2:F777)-SUM($G$2:G777),2))</f>
        <v/>
      </c>
      <c r="J777" s="21">
        <f>IFERROR(MATCH(ROW()-1,$L$2:$L$3001,0),"")</f>
        <v/>
      </c>
      <c r="K777" s="34">
        <f>IF(AND('Daily Sale entry '!X777&lt;&gt;"",OR('Daily Sale entry '!AC777&lt;&gt;"",'Daily Sale entry '!AD777&lt;&gt;"")),'Daily Sale entry '!X777+ROW()/10000000,"")</f>
        <v/>
      </c>
      <c r="L777" s="21">
        <f>IF(K777="","",COUNTIF($K$2:$K$3001,"&lt;"&amp;K777)+1)</f>
        <v/>
      </c>
    </row>
    <row r="778">
      <c r="A778" s="5">
        <f>IF($J778="","",IF($J778&lt;=1500,INDEX('Daily Sale entry '!$X$1:$X$1501,$J778+1),INDEX('Daily Sale entry '!$V$1:$V$1501,$J778-1499)))</f>
        <v/>
      </c>
      <c r="B778">
        <f>IF($J778="","",IF($J778&lt;=1500,INDEX('Daily Sale entry '!$Y$1:$Y$1501,$J778+1)&amp;"","Buyer cheque banked 买家支票存入"&amp;IF(INDEX('Daily Sale entry '!$U$1:$U$1501,$J778-1499)="","", " - "&amp;INDEX('Daily Sale entry '!$U$1:$U$1501,$J778-1499))))</f>
        <v/>
      </c>
      <c r="C778">
        <f>IF($J778="","",IF($J778&lt;=1500,INDEX('Daily Sale entry '!$Z$1:$Z$1501,$J778+1)&amp;"","Cheque deposit 支票存入 (buyer 买家)"))</f>
        <v/>
      </c>
      <c r="D778">
        <f>IF($J778="","",IF($J778&lt;=1500,INDEX('Daily Sale entry '!$AA$1:$AA$1501,$J778+1)&amp;"",INDEX('Daily Sale entry '!$P$1:$P$1501,$J778-1499)&amp;""))</f>
        <v/>
      </c>
      <c r="E778">
        <f>IF($J778="","",IF($J778&lt;=1500,IF(N(INDEX('Daily Sale entry '!$AB$1:$AB$1501,$J778+1))=0,"",INDEX('Daily Sale entry '!$AB$1:$AB$1501,$J778+1)),1))</f>
        <v/>
      </c>
      <c r="F778" s="6">
        <f>IF($J778="","",IF($J778&lt;=1500,N(INDEX('Daily Sale entry '!$AC$1:$AC$1501,$J778+1))-IF(AND('Opening Balance'!$B$15=1,INDEX('Daily Sale entry '!$Z$1:$Z$1501,$J778+1)="Online collection 网上收款",INDEX('Daily Sale entry '!$AA$1:$AA$1501,$J778+1)&lt;&gt;""),N(INDEX('Daily Sale entry '!$AC$1:$AC$1501,$J778+1))-TRUNC(N(INDEX('Daily Sale entry '!$AC$1:$AC$1501,$J778+1))),0),N(INDEX('Daily Sale entry '!$S$1:$S$1501,$J778-1499))-'Opening Balance'!$B$15*(N(INDEX('Daily Sale entry '!$S$1:$S$1501,$J778-1499))-TRUNC(N(INDEX('Daily Sale entry '!$S$1:$S$1501,$J778-1499))))))</f>
        <v/>
      </c>
      <c r="G778" s="6">
        <f>IF($J778="","",IF($J778&lt;=1500,N(INDEX('Daily Sale entry '!$AD$1:$AD$1501,$J778+1)),0))</f>
        <v/>
      </c>
      <c r="H778" s="6">
        <f>IF($J778="","",ROUND('Opening Balance'!$B$4+SUM($F$2:F778)-SUM($G$2:G778),2))</f>
        <v/>
      </c>
      <c r="J778" s="21">
        <f>IFERROR(MATCH(ROW()-1,$L$2:$L$3001,0),"")</f>
        <v/>
      </c>
      <c r="K778" s="34">
        <f>IF(AND('Daily Sale entry '!X778&lt;&gt;"",OR('Daily Sale entry '!AC778&lt;&gt;"",'Daily Sale entry '!AD778&lt;&gt;"")),'Daily Sale entry '!X778+ROW()/10000000,"")</f>
        <v/>
      </c>
      <c r="L778" s="21">
        <f>IF(K778="","",COUNTIF($K$2:$K$3001,"&lt;"&amp;K778)+1)</f>
        <v/>
      </c>
    </row>
    <row r="779">
      <c r="A779" s="5">
        <f>IF($J779="","",IF($J779&lt;=1500,INDEX('Daily Sale entry '!$X$1:$X$1501,$J779+1),INDEX('Daily Sale entry '!$V$1:$V$1501,$J779-1499)))</f>
        <v/>
      </c>
      <c r="B779">
        <f>IF($J779="","",IF($J779&lt;=1500,INDEX('Daily Sale entry '!$Y$1:$Y$1501,$J779+1)&amp;"","Buyer cheque banked 买家支票存入"&amp;IF(INDEX('Daily Sale entry '!$U$1:$U$1501,$J779-1499)="","", " - "&amp;INDEX('Daily Sale entry '!$U$1:$U$1501,$J779-1499))))</f>
        <v/>
      </c>
      <c r="C779">
        <f>IF($J779="","",IF($J779&lt;=1500,INDEX('Daily Sale entry '!$Z$1:$Z$1501,$J779+1)&amp;"","Cheque deposit 支票存入 (buyer 买家)"))</f>
        <v/>
      </c>
      <c r="D779">
        <f>IF($J779="","",IF($J779&lt;=1500,INDEX('Daily Sale entry '!$AA$1:$AA$1501,$J779+1)&amp;"",INDEX('Daily Sale entry '!$P$1:$P$1501,$J779-1499)&amp;""))</f>
        <v/>
      </c>
      <c r="E779">
        <f>IF($J779="","",IF($J779&lt;=1500,IF(N(INDEX('Daily Sale entry '!$AB$1:$AB$1501,$J779+1))=0,"",INDEX('Daily Sale entry '!$AB$1:$AB$1501,$J779+1)),1))</f>
        <v/>
      </c>
      <c r="F779" s="6">
        <f>IF($J779="","",IF($J779&lt;=1500,N(INDEX('Daily Sale entry '!$AC$1:$AC$1501,$J779+1))-IF(AND('Opening Balance'!$B$15=1,INDEX('Daily Sale entry '!$Z$1:$Z$1501,$J779+1)="Online collection 网上收款",INDEX('Daily Sale entry '!$AA$1:$AA$1501,$J779+1)&lt;&gt;""),N(INDEX('Daily Sale entry '!$AC$1:$AC$1501,$J779+1))-TRUNC(N(INDEX('Daily Sale entry '!$AC$1:$AC$1501,$J779+1))),0),N(INDEX('Daily Sale entry '!$S$1:$S$1501,$J779-1499))-'Opening Balance'!$B$15*(N(INDEX('Daily Sale entry '!$S$1:$S$1501,$J779-1499))-TRUNC(N(INDEX('Daily Sale entry '!$S$1:$S$1501,$J779-1499))))))</f>
        <v/>
      </c>
      <c r="G779" s="6">
        <f>IF($J779="","",IF($J779&lt;=1500,N(INDEX('Daily Sale entry '!$AD$1:$AD$1501,$J779+1)),0))</f>
        <v/>
      </c>
      <c r="H779" s="6">
        <f>IF($J779="","",ROUND('Opening Balance'!$B$4+SUM($F$2:F779)-SUM($G$2:G779),2))</f>
        <v/>
      </c>
      <c r="J779" s="21">
        <f>IFERROR(MATCH(ROW()-1,$L$2:$L$3001,0),"")</f>
        <v/>
      </c>
      <c r="K779" s="34">
        <f>IF(AND('Daily Sale entry '!X779&lt;&gt;"",OR('Daily Sale entry '!AC779&lt;&gt;"",'Daily Sale entry '!AD779&lt;&gt;"")),'Daily Sale entry '!X779+ROW()/10000000,"")</f>
        <v/>
      </c>
      <c r="L779" s="21">
        <f>IF(K779="","",COUNTIF($K$2:$K$3001,"&lt;"&amp;K779)+1)</f>
        <v/>
      </c>
    </row>
    <row r="780">
      <c r="A780" s="5">
        <f>IF($J780="","",IF($J780&lt;=1500,INDEX('Daily Sale entry '!$X$1:$X$1501,$J780+1),INDEX('Daily Sale entry '!$V$1:$V$1501,$J780-1499)))</f>
        <v/>
      </c>
      <c r="B780">
        <f>IF($J780="","",IF($J780&lt;=1500,INDEX('Daily Sale entry '!$Y$1:$Y$1501,$J780+1)&amp;"","Buyer cheque banked 买家支票存入"&amp;IF(INDEX('Daily Sale entry '!$U$1:$U$1501,$J780-1499)="","", " - "&amp;INDEX('Daily Sale entry '!$U$1:$U$1501,$J780-1499))))</f>
        <v/>
      </c>
      <c r="C780">
        <f>IF($J780="","",IF($J780&lt;=1500,INDEX('Daily Sale entry '!$Z$1:$Z$1501,$J780+1)&amp;"","Cheque deposit 支票存入 (buyer 买家)"))</f>
        <v/>
      </c>
      <c r="D780">
        <f>IF($J780="","",IF($J780&lt;=1500,INDEX('Daily Sale entry '!$AA$1:$AA$1501,$J780+1)&amp;"",INDEX('Daily Sale entry '!$P$1:$P$1501,$J780-1499)&amp;""))</f>
        <v/>
      </c>
      <c r="E780">
        <f>IF($J780="","",IF($J780&lt;=1500,IF(N(INDEX('Daily Sale entry '!$AB$1:$AB$1501,$J780+1))=0,"",INDEX('Daily Sale entry '!$AB$1:$AB$1501,$J780+1)),1))</f>
        <v/>
      </c>
      <c r="F780" s="6">
        <f>IF($J780="","",IF($J780&lt;=1500,N(INDEX('Daily Sale entry '!$AC$1:$AC$1501,$J780+1))-IF(AND('Opening Balance'!$B$15=1,INDEX('Daily Sale entry '!$Z$1:$Z$1501,$J780+1)="Online collection 网上收款",INDEX('Daily Sale entry '!$AA$1:$AA$1501,$J780+1)&lt;&gt;""),N(INDEX('Daily Sale entry '!$AC$1:$AC$1501,$J780+1))-TRUNC(N(INDEX('Daily Sale entry '!$AC$1:$AC$1501,$J780+1))),0),N(INDEX('Daily Sale entry '!$S$1:$S$1501,$J780-1499))-'Opening Balance'!$B$15*(N(INDEX('Daily Sale entry '!$S$1:$S$1501,$J780-1499))-TRUNC(N(INDEX('Daily Sale entry '!$S$1:$S$1501,$J780-1499))))))</f>
        <v/>
      </c>
      <c r="G780" s="6">
        <f>IF($J780="","",IF($J780&lt;=1500,N(INDEX('Daily Sale entry '!$AD$1:$AD$1501,$J780+1)),0))</f>
        <v/>
      </c>
      <c r="H780" s="6">
        <f>IF($J780="","",ROUND('Opening Balance'!$B$4+SUM($F$2:F780)-SUM($G$2:G780),2))</f>
        <v/>
      </c>
      <c r="J780" s="21">
        <f>IFERROR(MATCH(ROW()-1,$L$2:$L$3001,0),"")</f>
        <v/>
      </c>
      <c r="K780" s="34">
        <f>IF(AND('Daily Sale entry '!X780&lt;&gt;"",OR('Daily Sale entry '!AC780&lt;&gt;"",'Daily Sale entry '!AD780&lt;&gt;"")),'Daily Sale entry '!X780+ROW()/10000000,"")</f>
        <v/>
      </c>
      <c r="L780" s="21">
        <f>IF(K780="","",COUNTIF($K$2:$K$3001,"&lt;"&amp;K780)+1)</f>
        <v/>
      </c>
    </row>
    <row r="781">
      <c r="A781" s="5">
        <f>IF($J781="","",IF($J781&lt;=1500,INDEX('Daily Sale entry '!$X$1:$X$1501,$J781+1),INDEX('Daily Sale entry '!$V$1:$V$1501,$J781-1499)))</f>
        <v/>
      </c>
      <c r="B781">
        <f>IF($J781="","",IF($J781&lt;=1500,INDEX('Daily Sale entry '!$Y$1:$Y$1501,$J781+1)&amp;"","Buyer cheque banked 买家支票存入"&amp;IF(INDEX('Daily Sale entry '!$U$1:$U$1501,$J781-1499)="","", " - "&amp;INDEX('Daily Sale entry '!$U$1:$U$1501,$J781-1499))))</f>
        <v/>
      </c>
      <c r="C781">
        <f>IF($J781="","",IF($J781&lt;=1500,INDEX('Daily Sale entry '!$Z$1:$Z$1501,$J781+1)&amp;"","Cheque deposit 支票存入 (buyer 买家)"))</f>
        <v/>
      </c>
      <c r="D781">
        <f>IF($J781="","",IF($J781&lt;=1500,INDEX('Daily Sale entry '!$AA$1:$AA$1501,$J781+1)&amp;"",INDEX('Daily Sale entry '!$P$1:$P$1501,$J781-1499)&amp;""))</f>
        <v/>
      </c>
      <c r="E781">
        <f>IF($J781="","",IF($J781&lt;=1500,IF(N(INDEX('Daily Sale entry '!$AB$1:$AB$1501,$J781+1))=0,"",INDEX('Daily Sale entry '!$AB$1:$AB$1501,$J781+1)),1))</f>
        <v/>
      </c>
      <c r="F781" s="6">
        <f>IF($J781="","",IF($J781&lt;=1500,N(INDEX('Daily Sale entry '!$AC$1:$AC$1501,$J781+1))-IF(AND('Opening Balance'!$B$15=1,INDEX('Daily Sale entry '!$Z$1:$Z$1501,$J781+1)="Online collection 网上收款",INDEX('Daily Sale entry '!$AA$1:$AA$1501,$J781+1)&lt;&gt;""),N(INDEX('Daily Sale entry '!$AC$1:$AC$1501,$J781+1))-TRUNC(N(INDEX('Daily Sale entry '!$AC$1:$AC$1501,$J781+1))),0),N(INDEX('Daily Sale entry '!$S$1:$S$1501,$J781-1499))-'Opening Balance'!$B$15*(N(INDEX('Daily Sale entry '!$S$1:$S$1501,$J781-1499))-TRUNC(N(INDEX('Daily Sale entry '!$S$1:$S$1501,$J781-1499))))))</f>
        <v/>
      </c>
      <c r="G781" s="6">
        <f>IF($J781="","",IF($J781&lt;=1500,N(INDEX('Daily Sale entry '!$AD$1:$AD$1501,$J781+1)),0))</f>
        <v/>
      </c>
      <c r="H781" s="6">
        <f>IF($J781="","",ROUND('Opening Balance'!$B$4+SUM($F$2:F781)-SUM($G$2:G781),2))</f>
        <v/>
      </c>
      <c r="J781" s="21">
        <f>IFERROR(MATCH(ROW()-1,$L$2:$L$3001,0),"")</f>
        <v/>
      </c>
      <c r="K781" s="34">
        <f>IF(AND('Daily Sale entry '!X781&lt;&gt;"",OR('Daily Sale entry '!AC781&lt;&gt;"",'Daily Sale entry '!AD781&lt;&gt;"")),'Daily Sale entry '!X781+ROW()/10000000,"")</f>
        <v/>
      </c>
      <c r="L781" s="21">
        <f>IF(K781="","",COUNTIF($K$2:$K$3001,"&lt;"&amp;K781)+1)</f>
        <v/>
      </c>
    </row>
    <row r="782">
      <c r="A782" s="5">
        <f>IF($J782="","",IF($J782&lt;=1500,INDEX('Daily Sale entry '!$X$1:$X$1501,$J782+1),INDEX('Daily Sale entry '!$V$1:$V$1501,$J782-1499)))</f>
        <v/>
      </c>
      <c r="B782">
        <f>IF($J782="","",IF($J782&lt;=1500,INDEX('Daily Sale entry '!$Y$1:$Y$1501,$J782+1)&amp;"","Buyer cheque banked 买家支票存入"&amp;IF(INDEX('Daily Sale entry '!$U$1:$U$1501,$J782-1499)="","", " - "&amp;INDEX('Daily Sale entry '!$U$1:$U$1501,$J782-1499))))</f>
        <v/>
      </c>
      <c r="C782">
        <f>IF($J782="","",IF($J782&lt;=1500,INDEX('Daily Sale entry '!$Z$1:$Z$1501,$J782+1)&amp;"","Cheque deposit 支票存入 (buyer 买家)"))</f>
        <v/>
      </c>
      <c r="D782">
        <f>IF($J782="","",IF($J782&lt;=1500,INDEX('Daily Sale entry '!$AA$1:$AA$1501,$J782+1)&amp;"",INDEX('Daily Sale entry '!$P$1:$P$1501,$J782-1499)&amp;""))</f>
        <v/>
      </c>
      <c r="E782">
        <f>IF($J782="","",IF($J782&lt;=1500,IF(N(INDEX('Daily Sale entry '!$AB$1:$AB$1501,$J782+1))=0,"",INDEX('Daily Sale entry '!$AB$1:$AB$1501,$J782+1)),1))</f>
        <v/>
      </c>
      <c r="F782" s="6">
        <f>IF($J782="","",IF($J782&lt;=1500,N(INDEX('Daily Sale entry '!$AC$1:$AC$1501,$J782+1))-IF(AND('Opening Balance'!$B$15=1,INDEX('Daily Sale entry '!$Z$1:$Z$1501,$J782+1)="Online collection 网上收款",INDEX('Daily Sale entry '!$AA$1:$AA$1501,$J782+1)&lt;&gt;""),N(INDEX('Daily Sale entry '!$AC$1:$AC$1501,$J782+1))-TRUNC(N(INDEX('Daily Sale entry '!$AC$1:$AC$1501,$J782+1))),0),N(INDEX('Daily Sale entry '!$S$1:$S$1501,$J782-1499))-'Opening Balance'!$B$15*(N(INDEX('Daily Sale entry '!$S$1:$S$1501,$J782-1499))-TRUNC(N(INDEX('Daily Sale entry '!$S$1:$S$1501,$J782-1499))))))</f>
        <v/>
      </c>
      <c r="G782" s="6">
        <f>IF($J782="","",IF($J782&lt;=1500,N(INDEX('Daily Sale entry '!$AD$1:$AD$1501,$J782+1)),0))</f>
        <v/>
      </c>
      <c r="H782" s="6">
        <f>IF($J782="","",ROUND('Opening Balance'!$B$4+SUM($F$2:F782)-SUM($G$2:G782),2))</f>
        <v/>
      </c>
      <c r="J782" s="21">
        <f>IFERROR(MATCH(ROW()-1,$L$2:$L$3001,0),"")</f>
        <v/>
      </c>
      <c r="K782" s="34">
        <f>IF(AND('Daily Sale entry '!X782&lt;&gt;"",OR('Daily Sale entry '!AC782&lt;&gt;"",'Daily Sale entry '!AD782&lt;&gt;"")),'Daily Sale entry '!X782+ROW()/10000000,"")</f>
        <v/>
      </c>
      <c r="L782" s="21">
        <f>IF(K782="","",COUNTIF($K$2:$K$3001,"&lt;"&amp;K782)+1)</f>
        <v/>
      </c>
    </row>
    <row r="783">
      <c r="A783" s="5">
        <f>IF($J783="","",IF($J783&lt;=1500,INDEX('Daily Sale entry '!$X$1:$X$1501,$J783+1),INDEX('Daily Sale entry '!$V$1:$V$1501,$J783-1499)))</f>
        <v/>
      </c>
      <c r="B783">
        <f>IF($J783="","",IF($J783&lt;=1500,INDEX('Daily Sale entry '!$Y$1:$Y$1501,$J783+1)&amp;"","Buyer cheque banked 买家支票存入"&amp;IF(INDEX('Daily Sale entry '!$U$1:$U$1501,$J783-1499)="","", " - "&amp;INDEX('Daily Sale entry '!$U$1:$U$1501,$J783-1499))))</f>
        <v/>
      </c>
      <c r="C783">
        <f>IF($J783="","",IF($J783&lt;=1500,INDEX('Daily Sale entry '!$Z$1:$Z$1501,$J783+1)&amp;"","Cheque deposit 支票存入 (buyer 买家)"))</f>
        <v/>
      </c>
      <c r="D783">
        <f>IF($J783="","",IF($J783&lt;=1500,INDEX('Daily Sale entry '!$AA$1:$AA$1501,$J783+1)&amp;"",INDEX('Daily Sale entry '!$P$1:$P$1501,$J783-1499)&amp;""))</f>
        <v/>
      </c>
      <c r="E783">
        <f>IF($J783="","",IF($J783&lt;=1500,IF(N(INDEX('Daily Sale entry '!$AB$1:$AB$1501,$J783+1))=0,"",INDEX('Daily Sale entry '!$AB$1:$AB$1501,$J783+1)),1))</f>
        <v/>
      </c>
      <c r="F783" s="6">
        <f>IF($J783="","",IF($J783&lt;=1500,N(INDEX('Daily Sale entry '!$AC$1:$AC$1501,$J783+1))-IF(AND('Opening Balance'!$B$15=1,INDEX('Daily Sale entry '!$Z$1:$Z$1501,$J783+1)="Online collection 网上收款",INDEX('Daily Sale entry '!$AA$1:$AA$1501,$J783+1)&lt;&gt;""),N(INDEX('Daily Sale entry '!$AC$1:$AC$1501,$J783+1))-TRUNC(N(INDEX('Daily Sale entry '!$AC$1:$AC$1501,$J783+1))),0),N(INDEX('Daily Sale entry '!$S$1:$S$1501,$J783-1499))-'Opening Balance'!$B$15*(N(INDEX('Daily Sale entry '!$S$1:$S$1501,$J783-1499))-TRUNC(N(INDEX('Daily Sale entry '!$S$1:$S$1501,$J783-1499))))))</f>
        <v/>
      </c>
      <c r="G783" s="6">
        <f>IF($J783="","",IF($J783&lt;=1500,N(INDEX('Daily Sale entry '!$AD$1:$AD$1501,$J783+1)),0))</f>
        <v/>
      </c>
      <c r="H783" s="6">
        <f>IF($J783="","",ROUND('Opening Balance'!$B$4+SUM($F$2:F783)-SUM($G$2:G783),2))</f>
        <v/>
      </c>
      <c r="J783" s="21">
        <f>IFERROR(MATCH(ROW()-1,$L$2:$L$3001,0),"")</f>
        <v/>
      </c>
      <c r="K783" s="34">
        <f>IF(AND('Daily Sale entry '!X783&lt;&gt;"",OR('Daily Sale entry '!AC783&lt;&gt;"",'Daily Sale entry '!AD783&lt;&gt;"")),'Daily Sale entry '!X783+ROW()/10000000,"")</f>
        <v/>
      </c>
      <c r="L783" s="21">
        <f>IF(K783="","",COUNTIF($K$2:$K$3001,"&lt;"&amp;K783)+1)</f>
        <v/>
      </c>
    </row>
    <row r="784">
      <c r="A784" s="5">
        <f>IF($J784="","",IF($J784&lt;=1500,INDEX('Daily Sale entry '!$X$1:$X$1501,$J784+1),INDEX('Daily Sale entry '!$V$1:$V$1501,$J784-1499)))</f>
        <v/>
      </c>
      <c r="B784">
        <f>IF($J784="","",IF($J784&lt;=1500,INDEX('Daily Sale entry '!$Y$1:$Y$1501,$J784+1)&amp;"","Buyer cheque banked 买家支票存入"&amp;IF(INDEX('Daily Sale entry '!$U$1:$U$1501,$J784-1499)="","", " - "&amp;INDEX('Daily Sale entry '!$U$1:$U$1501,$J784-1499))))</f>
        <v/>
      </c>
      <c r="C784">
        <f>IF($J784="","",IF($J784&lt;=1500,INDEX('Daily Sale entry '!$Z$1:$Z$1501,$J784+1)&amp;"","Cheque deposit 支票存入 (buyer 买家)"))</f>
        <v/>
      </c>
      <c r="D784">
        <f>IF($J784="","",IF($J784&lt;=1500,INDEX('Daily Sale entry '!$AA$1:$AA$1501,$J784+1)&amp;"",INDEX('Daily Sale entry '!$P$1:$P$1501,$J784-1499)&amp;""))</f>
        <v/>
      </c>
      <c r="E784">
        <f>IF($J784="","",IF($J784&lt;=1500,IF(N(INDEX('Daily Sale entry '!$AB$1:$AB$1501,$J784+1))=0,"",INDEX('Daily Sale entry '!$AB$1:$AB$1501,$J784+1)),1))</f>
        <v/>
      </c>
      <c r="F784" s="6">
        <f>IF($J784="","",IF($J784&lt;=1500,N(INDEX('Daily Sale entry '!$AC$1:$AC$1501,$J784+1))-IF(AND('Opening Balance'!$B$15=1,INDEX('Daily Sale entry '!$Z$1:$Z$1501,$J784+1)="Online collection 网上收款",INDEX('Daily Sale entry '!$AA$1:$AA$1501,$J784+1)&lt;&gt;""),N(INDEX('Daily Sale entry '!$AC$1:$AC$1501,$J784+1))-TRUNC(N(INDEX('Daily Sale entry '!$AC$1:$AC$1501,$J784+1))),0),N(INDEX('Daily Sale entry '!$S$1:$S$1501,$J784-1499))-'Opening Balance'!$B$15*(N(INDEX('Daily Sale entry '!$S$1:$S$1501,$J784-1499))-TRUNC(N(INDEX('Daily Sale entry '!$S$1:$S$1501,$J784-1499))))))</f>
        <v/>
      </c>
      <c r="G784" s="6">
        <f>IF($J784="","",IF($J784&lt;=1500,N(INDEX('Daily Sale entry '!$AD$1:$AD$1501,$J784+1)),0))</f>
        <v/>
      </c>
      <c r="H784" s="6">
        <f>IF($J784="","",ROUND('Opening Balance'!$B$4+SUM($F$2:F784)-SUM($G$2:G784),2))</f>
        <v/>
      </c>
      <c r="J784" s="21">
        <f>IFERROR(MATCH(ROW()-1,$L$2:$L$3001,0),"")</f>
        <v/>
      </c>
      <c r="K784" s="34">
        <f>IF(AND('Daily Sale entry '!X784&lt;&gt;"",OR('Daily Sale entry '!AC784&lt;&gt;"",'Daily Sale entry '!AD784&lt;&gt;"")),'Daily Sale entry '!X784+ROW()/10000000,"")</f>
        <v/>
      </c>
      <c r="L784" s="21">
        <f>IF(K784="","",COUNTIF($K$2:$K$3001,"&lt;"&amp;K784)+1)</f>
        <v/>
      </c>
    </row>
    <row r="785">
      <c r="A785" s="5">
        <f>IF($J785="","",IF($J785&lt;=1500,INDEX('Daily Sale entry '!$X$1:$X$1501,$J785+1),INDEX('Daily Sale entry '!$V$1:$V$1501,$J785-1499)))</f>
        <v/>
      </c>
      <c r="B785">
        <f>IF($J785="","",IF($J785&lt;=1500,INDEX('Daily Sale entry '!$Y$1:$Y$1501,$J785+1)&amp;"","Buyer cheque banked 买家支票存入"&amp;IF(INDEX('Daily Sale entry '!$U$1:$U$1501,$J785-1499)="","", " - "&amp;INDEX('Daily Sale entry '!$U$1:$U$1501,$J785-1499))))</f>
        <v/>
      </c>
      <c r="C785">
        <f>IF($J785="","",IF($J785&lt;=1500,INDEX('Daily Sale entry '!$Z$1:$Z$1501,$J785+1)&amp;"","Cheque deposit 支票存入 (buyer 买家)"))</f>
        <v/>
      </c>
      <c r="D785">
        <f>IF($J785="","",IF($J785&lt;=1500,INDEX('Daily Sale entry '!$AA$1:$AA$1501,$J785+1)&amp;"",INDEX('Daily Sale entry '!$P$1:$P$1501,$J785-1499)&amp;""))</f>
        <v/>
      </c>
      <c r="E785">
        <f>IF($J785="","",IF($J785&lt;=1500,IF(N(INDEX('Daily Sale entry '!$AB$1:$AB$1501,$J785+1))=0,"",INDEX('Daily Sale entry '!$AB$1:$AB$1501,$J785+1)),1))</f>
        <v/>
      </c>
      <c r="F785" s="6">
        <f>IF($J785="","",IF($J785&lt;=1500,N(INDEX('Daily Sale entry '!$AC$1:$AC$1501,$J785+1))-IF(AND('Opening Balance'!$B$15=1,INDEX('Daily Sale entry '!$Z$1:$Z$1501,$J785+1)="Online collection 网上收款",INDEX('Daily Sale entry '!$AA$1:$AA$1501,$J785+1)&lt;&gt;""),N(INDEX('Daily Sale entry '!$AC$1:$AC$1501,$J785+1))-TRUNC(N(INDEX('Daily Sale entry '!$AC$1:$AC$1501,$J785+1))),0),N(INDEX('Daily Sale entry '!$S$1:$S$1501,$J785-1499))-'Opening Balance'!$B$15*(N(INDEX('Daily Sale entry '!$S$1:$S$1501,$J785-1499))-TRUNC(N(INDEX('Daily Sale entry '!$S$1:$S$1501,$J785-1499))))))</f>
        <v/>
      </c>
      <c r="G785" s="6">
        <f>IF($J785="","",IF($J785&lt;=1500,N(INDEX('Daily Sale entry '!$AD$1:$AD$1501,$J785+1)),0))</f>
        <v/>
      </c>
      <c r="H785" s="6">
        <f>IF($J785="","",ROUND('Opening Balance'!$B$4+SUM($F$2:F785)-SUM($G$2:G785),2))</f>
        <v/>
      </c>
      <c r="J785" s="21">
        <f>IFERROR(MATCH(ROW()-1,$L$2:$L$3001,0),"")</f>
        <v/>
      </c>
      <c r="K785" s="34">
        <f>IF(AND('Daily Sale entry '!X785&lt;&gt;"",OR('Daily Sale entry '!AC785&lt;&gt;"",'Daily Sale entry '!AD785&lt;&gt;"")),'Daily Sale entry '!X785+ROW()/10000000,"")</f>
        <v/>
      </c>
      <c r="L785" s="21">
        <f>IF(K785="","",COUNTIF($K$2:$K$3001,"&lt;"&amp;K785)+1)</f>
        <v/>
      </c>
    </row>
    <row r="786">
      <c r="A786" s="5">
        <f>IF($J786="","",IF($J786&lt;=1500,INDEX('Daily Sale entry '!$X$1:$X$1501,$J786+1),INDEX('Daily Sale entry '!$V$1:$V$1501,$J786-1499)))</f>
        <v/>
      </c>
      <c r="B786">
        <f>IF($J786="","",IF($J786&lt;=1500,INDEX('Daily Sale entry '!$Y$1:$Y$1501,$J786+1)&amp;"","Buyer cheque banked 买家支票存入"&amp;IF(INDEX('Daily Sale entry '!$U$1:$U$1501,$J786-1499)="","", " - "&amp;INDEX('Daily Sale entry '!$U$1:$U$1501,$J786-1499))))</f>
        <v/>
      </c>
      <c r="C786">
        <f>IF($J786="","",IF($J786&lt;=1500,INDEX('Daily Sale entry '!$Z$1:$Z$1501,$J786+1)&amp;"","Cheque deposit 支票存入 (buyer 买家)"))</f>
        <v/>
      </c>
      <c r="D786">
        <f>IF($J786="","",IF($J786&lt;=1500,INDEX('Daily Sale entry '!$AA$1:$AA$1501,$J786+1)&amp;"",INDEX('Daily Sale entry '!$P$1:$P$1501,$J786-1499)&amp;""))</f>
        <v/>
      </c>
      <c r="E786">
        <f>IF($J786="","",IF($J786&lt;=1500,IF(N(INDEX('Daily Sale entry '!$AB$1:$AB$1501,$J786+1))=0,"",INDEX('Daily Sale entry '!$AB$1:$AB$1501,$J786+1)),1))</f>
        <v/>
      </c>
      <c r="F786" s="6">
        <f>IF($J786="","",IF($J786&lt;=1500,N(INDEX('Daily Sale entry '!$AC$1:$AC$1501,$J786+1))-IF(AND('Opening Balance'!$B$15=1,INDEX('Daily Sale entry '!$Z$1:$Z$1501,$J786+1)="Online collection 网上收款",INDEX('Daily Sale entry '!$AA$1:$AA$1501,$J786+1)&lt;&gt;""),N(INDEX('Daily Sale entry '!$AC$1:$AC$1501,$J786+1))-TRUNC(N(INDEX('Daily Sale entry '!$AC$1:$AC$1501,$J786+1))),0),N(INDEX('Daily Sale entry '!$S$1:$S$1501,$J786-1499))-'Opening Balance'!$B$15*(N(INDEX('Daily Sale entry '!$S$1:$S$1501,$J786-1499))-TRUNC(N(INDEX('Daily Sale entry '!$S$1:$S$1501,$J786-1499))))))</f>
        <v/>
      </c>
      <c r="G786" s="6">
        <f>IF($J786="","",IF($J786&lt;=1500,N(INDEX('Daily Sale entry '!$AD$1:$AD$1501,$J786+1)),0))</f>
        <v/>
      </c>
      <c r="H786" s="6">
        <f>IF($J786="","",ROUND('Opening Balance'!$B$4+SUM($F$2:F786)-SUM($G$2:G786),2))</f>
        <v/>
      </c>
      <c r="J786" s="21">
        <f>IFERROR(MATCH(ROW()-1,$L$2:$L$3001,0),"")</f>
        <v/>
      </c>
      <c r="K786" s="34">
        <f>IF(AND('Daily Sale entry '!X786&lt;&gt;"",OR('Daily Sale entry '!AC786&lt;&gt;"",'Daily Sale entry '!AD786&lt;&gt;"")),'Daily Sale entry '!X786+ROW()/10000000,"")</f>
        <v/>
      </c>
      <c r="L786" s="21">
        <f>IF(K786="","",COUNTIF($K$2:$K$3001,"&lt;"&amp;K786)+1)</f>
        <v/>
      </c>
    </row>
    <row r="787">
      <c r="A787" s="5">
        <f>IF($J787="","",IF($J787&lt;=1500,INDEX('Daily Sale entry '!$X$1:$X$1501,$J787+1),INDEX('Daily Sale entry '!$V$1:$V$1501,$J787-1499)))</f>
        <v/>
      </c>
      <c r="B787">
        <f>IF($J787="","",IF($J787&lt;=1500,INDEX('Daily Sale entry '!$Y$1:$Y$1501,$J787+1)&amp;"","Buyer cheque banked 买家支票存入"&amp;IF(INDEX('Daily Sale entry '!$U$1:$U$1501,$J787-1499)="","", " - "&amp;INDEX('Daily Sale entry '!$U$1:$U$1501,$J787-1499))))</f>
        <v/>
      </c>
      <c r="C787">
        <f>IF($J787="","",IF($J787&lt;=1500,INDEX('Daily Sale entry '!$Z$1:$Z$1501,$J787+1)&amp;"","Cheque deposit 支票存入 (buyer 买家)"))</f>
        <v/>
      </c>
      <c r="D787">
        <f>IF($J787="","",IF($J787&lt;=1500,INDEX('Daily Sale entry '!$AA$1:$AA$1501,$J787+1)&amp;"",INDEX('Daily Sale entry '!$P$1:$P$1501,$J787-1499)&amp;""))</f>
        <v/>
      </c>
      <c r="E787">
        <f>IF($J787="","",IF($J787&lt;=1500,IF(N(INDEX('Daily Sale entry '!$AB$1:$AB$1501,$J787+1))=0,"",INDEX('Daily Sale entry '!$AB$1:$AB$1501,$J787+1)),1))</f>
        <v/>
      </c>
      <c r="F787" s="6">
        <f>IF($J787="","",IF($J787&lt;=1500,N(INDEX('Daily Sale entry '!$AC$1:$AC$1501,$J787+1))-IF(AND('Opening Balance'!$B$15=1,INDEX('Daily Sale entry '!$Z$1:$Z$1501,$J787+1)="Online collection 网上收款",INDEX('Daily Sale entry '!$AA$1:$AA$1501,$J787+1)&lt;&gt;""),N(INDEX('Daily Sale entry '!$AC$1:$AC$1501,$J787+1))-TRUNC(N(INDEX('Daily Sale entry '!$AC$1:$AC$1501,$J787+1))),0),N(INDEX('Daily Sale entry '!$S$1:$S$1501,$J787-1499))-'Opening Balance'!$B$15*(N(INDEX('Daily Sale entry '!$S$1:$S$1501,$J787-1499))-TRUNC(N(INDEX('Daily Sale entry '!$S$1:$S$1501,$J787-1499))))))</f>
        <v/>
      </c>
      <c r="G787" s="6">
        <f>IF($J787="","",IF($J787&lt;=1500,N(INDEX('Daily Sale entry '!$AD$1:$AD$1501,$J787+1)),0))</f>
        <v/>
      </c>
      <c r="H787" s="6">
        <f>IF($J787="","",ROUND('Opening Balance'!$B$4+SUM($F$2:F787)-SUM($G$2:G787),2))</f>
        <v/>
      </c>
      <c r="J787" s="21">
        <f>IFERROR(MATCH(ROW()-1,$L$2:$L$3001,0),"")</f>
        <v/>
      </c>
      <c r="K787" s="34">
        <f>IF(AND('Daily Sale entry '!X787&lt;&gt;"",OR('Daily Sale entry '!AC787&lt;&gt;"",'Daily Sale entry '!AD787&lt;&gt;"")),'Daily Sale entry '!X787+ROW()/10000000,"")</f>
        <v/>
      </c>
      <c r="L787" s="21">
        <f>IF(K787="","",COUNTIF($K$2:$K$3001,"&lt;"&amp;K787)+1)</f>
        <v/>
      </c>
    </row>
    <row r="788">
      <c r="A788" s="5">
        <f>IF($J788="","",IF($J788&lt;=1500,INDEX('Daily Sale entry '!$X$1:$X$1501,$J788+1),INDEX('Daily Sale entry '!$V$1:$V$1501,$J788-1499)))</f>
        <v/>
      </c>
      <c r="B788">
        <f>IF($J788="","",IF($J788&lt;=1500,INDEX('Daily Sale entry '!$Y$1:$Y$1501,$J788+1)&amp;"","Buyer cheque banked 买家支票存入"&amp;IF(INDEX('Daily Sale entry '!$U$1:$U$1501,$J788-1499)="","", " - "&amp;INDEX('Daily Sale entry '!$U$1:$U$1501,$J788-1499))))</f>
        <v/>
      </c>
      <c r="C788">
        <f>IF($J788="","",IF($J788&lt;=1500,INDEX('Daily Sale entry '!$Z$1:$Z$1501,$J788+1)&amp;"","Cheque deposit 支票存入 (buyer 买家)"))</f>
        <v/>
      </c>
      <c r="D788">
        <f>IF($J788="","",IF($J788&lt;=1500,INDEX('Daily Sale entry '!$AA$1:$AA$1501,$J788+1)&amp;"",INDEX('Daily Sale entry '!$P$1:$P$1501,$J788-1499)&amp;""))</f>
        <v/>
      </c>
      <c r="E788">
        <f>IF($J788="","",IF($J788&lt;=1500,IF(N(INDEX('Daily Sale entry '!$AB$1:$AB$1501,$J788+1))=0,"",INDEX('Daily Sale entry '!$AB$1:$AB$1501,$J788+1)),1))</f>
        <v/>
      </c>
      <c r="F788" s="6">
        <f>IF($J788="","",IF($J788&lt;=1500,N(INDEX('Daily Sale entry '!$AC$1:$AC$1501,$J788+1))-IF(AND('Opening Balance'!$B$15=1,INDEX('Daily Sale entry '!$Z$1:$Z$1501,$J788+1)="Online collection 网上收款",INDEX('Daily Sale entry '!$AA$1:$AA$1501,$J788+1)&lt;&gt;""),N(INDEX('Daily Sale entry '!$AC$1:$AC$1501,$J788+1))-TRUNC(N(INDEX('Daily Sale entry '!$AC$1:$AC$1501,$J788+1))),0),N(INDEX('Daily Sale entry '!$S$1:$S$1501,$J788-1499))-'Opening Balance'!$B$15*(N(INDEX('Daily Sale entry '!$S$1:$S$1501,$J788-1499))-TRUNC(N(INDEX('Daily Sale entry '!$S$1:$S$1501,$J788-1499))))))</f>
        <v/>
      </c>
      <c r="G788" s="6">
        <f>IF($J788="","",IF($J788&lt;=1500,N(INDEX('Daily Sale entry '!$AD$1:$AD$1501,$J788+1)),0))</f>
        <v/>
      </c>
      <c r="H788" s="6">
        <f>IF($J788="","",ROUND('Opening Balance'!$B$4+SUM($F$2:F788)-SUM($G$2:G788),2))</f>
        <v/>
      </c>
      <c r="J788" s="21">
        <f>IFERROR(MATCH(ROW()-1,$L$2:$L$3001,0),"")</f>
        <v/>
      </c>
      <c r="K788" s="34">
        <f>IF(AND('Daily Sale entry '!X788&lt;&gt;"",OR('Daily Sale entry '!AC788&lt;&gt;"",'Daily Sale entry '!AD788&lt;&gt;"")),'Daily Sale entry '!X788+ROW()/10000000,"")</f>
        <v/>
      </c>
      <c r="L788" s="21">
        <f>IF(K788="","",COUNTIF($K$2:$K$3001,"&lt;"&amp;K788)+1)</f>
        <v/>
      </c>
    </row>
    <row r="789">
      <c r="A789" s="5">
        <f>IF($J789="","",IF($J789&lt;=1500,INDEX('Daily Sale entry '!$X$1:$X$1501,$J789+1),INDEX('Daily Sale entry '!$V$1:$V$1501,$J789-1499)))</f>
        <v/>
      </c>
      <c r="B789">
        <f>IF($J789="","",IF($J789&lt;=1500,INDEX('Daily Sale entry '!$Y$1:$Y$1501,$J789+1)&amp;"","Buyer cheque banked 买家支票存入"&amp;IF(INDEX('Daily Sale entry '!$U$1:$U$1501,$J789-1499)="","", " - "&amp;INDEX('Daily Sale entry '!$U$1:$U$1501,$J789-1499))))</f>
        <v/>
      </c>
      <c r="C789">
        <f>IF($J789="","",IF($J789&lt;=1500,INDEX('Daily Sale entry '!$Z$1:$Z$1501,$J789+1)&amp;"","Cheque deposit 支票存入 (buyer 买家)"))</f>
        <v/>
      </c>
      <c r="D789">
        <f>IF($J789="","",IF($J789&lt;=1500,INDEX('Daily Sale entry '!$AA$1:$AA$1501,$J789+1)&amp;"",INDEX('Daily Sale entry '!$P$1:$P$1501,$J789-1499)&amp;""))</f>
        <v/>
      </c>
      <c r="E789">
        <f>IF($J789="","",IF($J789&lt;=1500,IF(N(INDEX('Daily Sale entry '!$AB$1:$AB$1501,$J789+1))=0,"",INDEX('Daily Sale entry '!$AB$1:$AB$1501,$J789+1)),1))</f>
        <v/>
      </c>
      <c r="F789" s="6">
        <f>IF($J789="","",IF($J789&lt;=1500,N(INDEX('Daily Sale entry '!$AC$1:$AC$1501,$J789+1))-IF(AND('Opening Balance'!$B$15=1,INDEX('Daily Sale entry '!$Z$1:$Z$1501,$J789+1)="Online collection 网上收款",INDEX('Daily Sale entry '!$AA$1:$AA$1501,$J789+1)&lt;&gt;""),N(INDEX('Daily Sale entry '!$AC$1:$AC$1501,$J789+1))-TRUNC(N(INDEX('Daily Sale entry '!$AC$1:$AC$1501,$J789+1))),0),N(INDEX('Daily Sale entry '!$S$1:$S$1501,$J789-1499))-'Opening Balance'!$B$15*(N(INDEX('Daily Sale entry '!$S$1:$S$1501,$J789-1499))-TRUNC(N(INDEX('Daily Sale entry '!$S$1:$S$1501,$J789-1499))))))</f>
        <v/>
      </c>
      <c r="G789" s="6">
        <f>IF($J789="","",IF($J789&lt;=1500,N(INDEX('Daily Sale entry '!$AD$1:$AD$1501,$J789+1)),0))</f>
        <v/>
      </c>
      <c r="H789" s="6">
        <f>IF($J789="","",ROUND('Opening Balance'!$B$4+SUM($F$2:F789)-SUM($G$2:G789),2))</f>
        <v/>
      </c>
      <c r="J789" s="21">
        <f>IFERROR(MATCH(ROW()-1,$L$2:$L$3001,0),"")</f>
        <v/>
      </c>
      <c r="K789" s="34">
        <f>IF(AND('Daily Sale entry '!X789&lt;&gt;"",OR('Daily Sale entry '!AC789&lt;&gt;"",'Daily Sale entry '!AD789&lt;&gt;"")),'Daily Sale entry '!X789+ROW()/10000000,"")</f>
        <v/>
      </c>
      <c r="L789" s="21">
        <f>IF(K789="","",COUNTIF($K$2:$K$3001,"&lt;"&amp;K789)+1)</f>
        <v/>
      </c>
    </row>
    <row r="790">
      <c r="A790" s="5">
        <f>IF($J790="","",IF($J790&lt;=1500,INDEX('Daily Sale entry '!$X$1:$X$1501,$J790+1),INDEX('Daily Sale entry '!$V$1:$V$1501,$J790-1499)))</f>
        <v/>
      </c>
      <c r="B790">
        <f>IF($J790="","",IF($J790&lt;=1500,INDEX('Daily Sale entry '!$Y$1:$Y$1501,$J790+1)&amp;"","Buyer cheque banked 买家支票存入"&amp;IF(INDEX('Daily Sale entry '!$U$1:$U$1501,$J790-1499)="","", " - "&amp;INDEX('Daily Sale entry '!$U$1:$U$1501,$J790-1499))))</f>
        <v/>
      </c>
      <c r="C790">
        <f>IF($J790="","",IF($J790&lt;=1500,INDEX('Daily Sale entry '!$Z$1:$Z$1501,$J790+1)&amp;"","Cheque deposit 支票存入 (buyer 买家)"))</f>
        <v/>
      </c>
      <c r="D790">
        <f>IF($J790="","",IF($J790&lt;=1500,INDEX('Daily Sale entry '!$AA$1:$AA$1501,$J790+1)&amp;"",INDEX('Daily Sale entry '!$P$1:$P$1501,$J790-1499)&amp;""))</f>
        <v/>
      </c>
      <c r="E790">
        <f>IF($J790="","",IF($J790&lt;=1500,IF(N(INDEX('Daily Sale entry '!$AB$1:$AB$1501,$J790+1))=0,"",INDEX('Daily Sale entry '!$AB$1:$AB$1501,$J790+1)),1))</f>
        <v/>
      </c>
      <c r="F790" s="6">
        <f>IF($J790="","",IF($J790&lt;=1500,N(INDEX('Daily Sale entry '!$AC$1:$AC$1501,$J790+1))-IF(AND('Opening Balance'!$B$15=1,INDEX('Daily Sale entry '!$Z$1:$Z$1501,$J790+1)="Online collection 网上收款",INDEX('Daily Sale entry '!$AA$1:$AA$1501,$J790+1)&lt;&gt;""),N(INDEX('Daily Sale entry '!$AC$1:$AC$1501,$J790+1))-TRUNC(N(INDEX('Daily Sale entry '!$AC$1:$AC$1501,$J790+1))),0),N(INDEX('Daily Sale entry '!$S$1:$S$1501,$J790-1499))-'Opening Balance'!$B$15*(N(INDEX('Daily Sale entry '!$S$1:$S$1501,$J790-1499))-TRUNC(N(INDEX('Daily Sale entry '!$S$1:$S$1501,$J790-1499))))))</f>
        <v/>
      </c>
      <c r="G790" s="6">
        <f>IF($J790="","",IF($J790&lt;=1500,N(INDEX('Daily Sale entry '!$AD$1:$AD$1501,$J790+1)),0))</f>
        <v/>
      </c>
      <c r="H790" s="6">
        <f>IF($J790="","",ROUND('Opening Balance'!$B$4+SUM($F$2:F790)-SUM($G$2:G790),2))</f>
        <v/>
      </c>
      <c r="J790" s="21">
        <f>IFERROR(MATCH(ROW()-1,$L$2:$L$3001,0),"")</f>
        <v/>
      </c>
      <c r="K790" s="34">
        <f>IF(AND('Daily Sale entry '!X790&lt;&gt;"",OR('Daily Sale entry '!AC790&lt;&gt;"",'Daily Sale entry '!AD790&lt;&gt;"")),'Daily Sale entry '!X790+ROW()/10000000,"")</f>
        <v/>
      </c>
      <c r="L790" s="21">
        <f>IF(K790="","",COUNTIF($K$2:$K$3001,"&lt;"&amp;K790)+1)</f>
        <v/>
      </c>
    </row>
    <row r="791">
      <c r="A791" s="5">
        <f>IF($J791="","",IF($J791&lt;=1500,INDEX('Daily Sale entry '!$X$1:$X$1501,$J791+1),INDEX('Daily Sale entry '!$V$1:$V$1501,$J791-1499)))</f>
        <v/>
      </c>
      <c r="B791">
        <f>IF($J791="","",IF($J791&lt;=1500,INDEX('Daily Sale entry '!$Y$1:$Y$1501,$J791+1)&amp;"","Buyer cheque banked 买家支票存入"&amp;IF(INDEX('Daily Sale entry '!$U$1:$U$1501,$J791-1499)="","", " - "&amp;INDEX('Daily Sale entry '!$U$1:$U$1501,$J791-1499))))</f>
        <v/>
      </c>
      <c r="C791">
        <f>IF($J791="","",IF($J791&lt;=1500,INDEX('Daily Sale entry '!$Z$1:$Z$1501,$J791+1)&amp;"","Cheque deposit 支票存入 (buyer 买家)"))</f>
        <v/>
      </c>
      <c r="D791">
        <f>IF($J791="","",IF($J791&lt;=1500,INDEX('Daily Sale entry '!$AA$1:$AA$1501,$J791+1)&amp;"",INDEX('Daily Sale entry '!$P$1:$P$1501,$J791-1499)&amp;""))</f>
        <v/>
      </c>
      <c r="E791">
        <f>IF($J791="","",IF($J791&lt;=1500,IF(N(INDEX('Daily Sale entry '!$AB$1:$AB$1501,$J791+1))=0,"",INDEX('Daily Sale entry '!$AB$1:$AB$1501,$J791+1)),1))</f>
        <v/>
      </c>
      <c r="F791" s="6">
        <f>IF($J791="","",IF($J791&lt;=1500,N(INDEX('Daily Sale entry '!$AC$1:$AC$1501,$J791+1))-IF(AND('Opening Balance'!$B$15=1,INDEX('Daily Sale entry '!$Z$1:$Z$1501,$J791+1)="Online collection 网上收款",INDEX('Daily Sale entry '!$AA$1:$AA$1501,$J791+1)&lt;&gt;""),N(INDEX('Daily Sale entry '!$AC$1:$AC$1501,$J791+1))-TRUNC(N(INDEX('Daily Sale entry '!$AC$1:$AC$1501,$J791+1))),0),N(INDEX('Daily Sale entry '!$S$1:$S$1501,$J791-1499))-'Opening Balance'!$B$15*(N(INDEX('Daily Sale entry '!$S$1:$S$1501,$J791-1499))-TRUNC(N(INDEX('Daily Sale entry '!$S$1:$S$1501,$J791-1499))))))</f>
        <v/>
      </c>
      <c r="G791" s="6">
        <f>IF($J791="","",IF($J791&lt;=1500,N(INDEX('Daily Sale entry '!$AD$1:$AD$1501,$J791+1)),0))</f>
        <v/>
      </c>
      <c r="H791" s="6">
        <f>IF($J791="","",ROUND('Opening Balance'!$B$4+SUM($F$2:F791)-SUM($G$2:G791),2))</f>
        <v/>
      </c>
      <c r="J791" s="21">
        <f>IFERROR(MATCH(ROW()-1,$L$2:$L$3001,0),"")</f>
        <v/>
      </c>
      <c r="K791" s="34">
        <f>IF(AND('Daily Sale entry '!X791&lt;&gt;"",OR('Daily Sale entry '!AC791&lt;&gt;"",'Daily Sale entry '!AD791&lt;&gt;"")),'Daily Sale entry '!X791+ROW()/10000000,"")</f>
        <v/>
      </c>
      <c r="L791" s="21">
        <f>IF(K791="","",COUNTIF($K$2:$K$3001,"&lt;"&amp;K791)+1)</f>
        <v/>
      </c>
    </row>
    <row r="792">
      <c r="A792" s="5">
        <f>IF($J792="","",IF($J792&lt;=1500,INDEX('Daily Sale entry '!$X$1:$X$1501,$J792+1),INDEX('Daily Sale entry '!$V$1:$V$1501,$J792-1499)))</f>
        <v/>
      </c>
      <c r="B792">
        <f>IF($J792="","",IF($J792&lt;=1500,INDEX('Daily Sale entry '!$Y$1:$Y$1501,$J792+1)&amp;"","Buyer cheque banked 买家支票存入"&amp;IF(INDEX('Daily Sale entry '!$U$1:$U$1501,$J792-1499)="","", " - "&amp;INDEX('Daily Sale entry '!$U$1:$U$1501,$J792-1499))))</f>
        <v/>
      </c>
      <c r="C792">
        <f>IF($J792="","",IF($J792&lt;=1500,INDEX('Daily Sale entry '!$Z$1:$Z$1501,$J792+1)&amp;"","Cheque deposit 支票存入 (buyer 买家)"))</f>
        <v/>
      </c>
      <c r="D792">
        <f>IF($J792="","",IF($J792&lt;=1500,INDEX('Daily Sale entry '!$AA$1:$AA$1501,$J792+1)&amp;"",INDEX('Daily Sale entry '!$P$1:$P$1501,$J792-1499)&amp;""))</f>
        <v/>
      </c>
      <c r="E792">
        <f>IF($J792="","",IF($J792&lt;=1500,IF(N(INDEX('Daily Sale entry '!$AB$1:$AB$1501,$J792+1))=0,"",INDEX('Daily Sale entry '!$AB$1:$AB$1501,$J792+1)),1))</f>
        <v/>
      </c>
      <c r="F792" s="6">
        <f>IF($J792="","",IF($J792&lt;=1500,N(INDEX('Daily Sale entry '!$AC$1:$AC$1501,$J792+1))-IF(AND('Opening Balance'!$B$15=1,INDEX('Daily Sale entry '!$Z$1:$Z$1501,$J792+1)="Online collection 网上收款",INDEX('Daily Sale entry '!$AA$1:$AA$1501,$J792+1)&lt;&gt;""),N(INDEX('Daily Sale entry '!$AC$1:$AC$1501,$J792+1))-TRUNC(N(INDEX('Daily Sale entry '!$AC$1:$AC$1501,$J792+1))),0),N(INDEX('Daily Sale entry '!$S$1:$S$1501,$J792-1499))-'Opening Balance'!$B$15*(N(INDEX('Daily Sale entry '!$S$1:$S$1501,$J792-1499))-TRUNC(N(INDEX('Daily Sale entry '!$S$1:$S$1501,$J792-1499))))))</f>
        <v/>
      </c>
      <c r="G792" s="6">
        <f>IF($J792="","",IF($J792&lt;=1500,N(INDEX('Daily Sale entry '!$AD$1:$AD$1501,$J792+1)),0))</f>
        <v/>
      </c>
      <c r="H792" s="6">
        <f>IF($J792="","",ROUND('Opening Balance'!$B$4+SUM($F$2:F792)-SUM($G$2:G792),2))</f>
        <v/>
      </c>
      <c r="J792" s="21">
        <f>IFERROR(MATCH(ROW()-1,$L$2:$L$3001,0),"")</f>
        <v/>
      </c>
      <c r="K792" s="34">
        <f>IF(AND('Daily Sale entry '!X792&lt;&gt;"",OR('Daily Sale entry '!AC792&lt;&gt;"",'Daily Sale entry '!AD792&lt;&gt;"")),'Daily Sale entry '!X792+ROW()/10000000,"")</f>
        <v/>
      </c>
      <c r="L792" s="21">
        <f>IF(K792="","",COUNTIF($K$2:$K$3001,"&lt;"&amp;K792)+1)</f>
        <v/>
      </c>
    </row>
    <row r="793">
      <c r="A793" s="5">
        <f>IF($J793="","",IF($J793&lt;=1500,INDEX('Daily Sale entry '!$X$1:$X$1501,$J793+1),INDEX('Daily Sale entry '!$V$1:$V$1501,$J793-1499)))</f>
        <v/>
      </c>
      <c r="B793">
        <f>IF($J793="","",IF($J793&lt;=1500,INDEX('Daily Sale entry '!$Y$1:$Y$1501,$J793+1)&amp;"","Buyer cheque banked 买家支票存入"&amp;IF(INDEX('Daily Sale entry '!$U$1:$U$1501,$J793-1499)="","", " - "&amp;INDEX('Daily Sale entry '!$U$1:$U$1501,$J793-1499))))</f>
        <v/>
      </c>
      <c r="C793">
        <f>IF($J793="","",IF($J793&lt;=1500,INDEX('Daily Sale entry '!$Z$1:$Z$1501,$J793+1)&amp;"","Cheque deposit 支票存入 (buyer 买家)"))</f>
        <v/>
      </c>
      <c r="D793">
        <f>IF($J793="","",IF($J793&lt;=1500,INDEX('Daily Sale entry '!$AA$1:$AA$1501,$J793+1)&amp;"",INDEX('Daily Sale entry '!$P$1:$P$1501,$J793-1499)&amp;""))</f>
        <v/>
      </c>
      <c r="E793">
        <f>IF($J793="","",IF($J793&lt;=1500,IF(N(INDEX('Daily Sale entry '!$AB$1:$AB$1501,$J793+1))=0,"",INDEX('Daily Sale entry '!$AB$1:$AB$1501,$J793+1)),1))</f>
        <v/>
      </c>
      <c r="F793" s="6">
        <f>IF($J793="","",IF($J793&lt;=1500,N(INDEX('Daily Sale entry '!$AC$1:$AC$1501,$J793+1))-IF(AND('Opening Balance'!$B$15=1,INDEX('Daily Sale entry '!$Z$1:$Z$1501,$J793+1)="Online collection 网上收款",INDEX('Daily Sale entry '!$AA$1:$AA$1501,$J793+1)&lt;&gt;""),N(INDEX('Daily Sale entry '!$AC$1:$AC$1501,$J793+1))-TRUNC(N(INDEX('Daily Sale entry '!$AC$1:$AC$1501,$J793+1))),0),N(INDEX('Daily Sale entry '!$S$1:$S$1501,$J793-1499))-'Opening Balance'!$B$15*(N(INDEX('Daily Sale entry '!$S$1:$S$1501,$J793-1499))-TRUNC(N(INDEX('Daily Sale entry '!$S$1:$S$1501,$J793-1499))))))</f>
        <v/>
      </c>
      <c r="G793" s="6">
        <f>IF($J793="","",IF($J793&lt;=1500,N(INDEX('Daily Sale entry '!$AD$1:$AD$1501,$J793+1)),0))</f>
        <v/>
      </c>
      <c r="H793" s="6">
        <f>IF($J793="","",ROUND('Opening Balance'!$B$4+SUM($F$2:F793)-SUM($G$2:G793),2))</f>
        <v/>
      </c>
      <c r="J793" s="21">
        <f>IFERROR(MATCH(ROW()-1,$L$2:$L$3001,0),"")</f>
        <v/>
      </c>
      <c r="K793" s="34">
        <f>IF(AND('Daily Sale entry '!X793&lt;&gt;"",OR('Daily Sale entry '!AC793&lt;&gt;"",'Daily Sale entry '!AD793&lt;&gt;"")),'Daily Sale entry '!X793+ROW()/10000000,"")</f>
        <v/>
      </c>
      <c r="L793" s="21">
        <f>IF(K793="","",COUNTIF($K$2:$K$3001,"&lt;"&amp;K793)+1)</f>
        <v/>
      </c>
    </row>
    <row r="794">
      <c r="A794" s="5">
        <f>IF($J794="","",IF($J794&lt;=1500,INDEX('Daily Sale entry '!$X$1:$X$1501,$J794+1),INDEX('Daily Sale entry '!$V$1:$V$1501,$J794-1499)))</f>
        <v/>
      </c>
      <c r="B794">
        <f>IF($J794="","",IF($J794&lt;=1500,INDEX('Daily Sale entry '!$Y$1:$Y$1501,$J794+1)&amp;"","Buyer cheque banked 买家支票存入"&amp;IF(INDEX('Daily Sale entry '!$U$1:$U$1501,$J794-1499)="","", " - "&amp;INDEX('Daily Sale entry '!$U$1:$U$1501,$J794-1499))))</f>
        <v/>
      </c>
      <c r="C794">
        <f>IF($J794="","",IF($J794&lt;=1500,INDEX('Daily Sale entry '!$Z$1:$Z$1501,$J794+1)&amp;"","Cheque deposit 支票存入 (buyer 买家)"))</f>
        <v/>
      </c>
      <c r="D794">
        <f>IF($J794="","",IF($J794&lt;=1500,INDEX('Daily Sale entry '!$AA$1:$AA$1501,$J794+1)&amp;"",INDEX('Daily Sale entry '!$P$1:$P$1501,$J794-1499)&amp;""))</f>
        <v/>
      </c>
      <c r="E794">
        <f>IF($J794="","",IF($J794&lt;=1500,IF(N(INDEX('Daily Sale entry '!$AB$1:$AB$1501,$J794+1))=0,"",INDEX('Daily Sale entry '!$AB$1:$AB$1501,$J794+1)),1))</f>
        <v/>
      </c>
      <c r="F794" s="6">
        <f>IF($J794="","",IF($J794&lt;=1500,N(INDEX('Daily Sale entry '!$AC$1:$AC$1501,$J794+1))-IF(AND('Opening Balance'!$B$15=1,INDEX('Daily Sale entry '!$Z$1:$Z$1501,$J794+1)="Online collection 网上收款",INDEX('Daily Sale entry '!$AA$1:$AA$1501,$J794+1)&lt;&gt;""),N(INDEX('Daily Sale entry '!$AC$1:$AC$1501,$J794+1))-TRUNC(N(INDEX('Daily Sale entry '!$AC$1:$AC$1501,$J794+1))),0),N(INDEX('Daily Sale entry '!$S$1:$S$1501,$J794-1499))-'Opening Balance'!$B$15*(N(INDEX('Daily Sale entry '!$S$1:$S$1501,$J794-1499))-TRUNC(N(INDEX('Daily Sale entry '!$S$1:$S$1501,$J794-1499))))))</f>
        <v/>
      </c>
      <c r="G794" s="6">
        <f>IF($J794="","",IF($J794&lt;=1500,N(INDEX('Daily Sale entry '!$AD$1:$AD$1501,$J794+1)),0))</f>
        <v/>
      </c>
      <c r="H794" s="6">
        <f>IF($J794="","",ROUND('Opening Balance'!$B$4+SUM($F$2:F794)-SUM($G$2:G794),2))</f>
        <v/>
      </c>
      <c r="J794" s="21">
        <f>IFERROR(MATCH(ROW()-1,$L$2:$L$3001,0),"")</f>
        <v/>
      </c>
      <c r="K794" s="34">
        <f>IF(AND('Daily Sale entry '!X794&lt;&gt;"",OR('Daily Sale entry '!AC794&lt;&gt;"",'Daily Sale entry '!AD794&lt;&gt;"")),'Daily Sale entry '!X794+ROW()/10000000,"")</f>
        <v/>
      </c>
      <c r="L794" s="21">
        <f>IF(K794="","",COUNTIF($K$2:$K$3001,"&lt;"&amp;K794)+1)</f>
        <v/>
      </c>
    </row>
    <row r="795">
      <c r="A795" s="5">
        <f>IF($J795="","",IF($J795&lt;=1500,INDEX('Daily Sale entry '!$X$1:$X$1501,$J795+1),INDEX('Daily Sale entry '!$V$1:$V$1501,$J795-1499)))</f>
        <v/>
      </c>
      <c r="B795">
        <f>IF($J795="","",IF($J795&lt;=1500,INDEX('Daily Sale entry '!$Y$1:$Y$1501,$J795+1)&amp;"","Buyer cheque banked 买家支票存入"&amp;IF(INDEX('Daily Sale entry '!$U$1:$U$1501,$J795-1499)="","", " - "&amp;INDEX('Daily Sale entry '!$U$1:$U$1501,$J795-1499))))</f>
        <v/>
      </c>
      <c r="C795">
        <f>IF($J795="","",IF($J795&lt;=1500,INDEX('Daily Sale entry '!$Z$1:$Z$1501,$J795+1)&amp;"","Cheque deposit 支票存入 (buyer 买家)"))</f>
        <v/>
      </c>
      <c r="D795">
        <f>IF($J795="","",IF($J795&lt;=1500,INDEX('Daily Sale entry '!$AA$1:$AA$1501,$J795+1)&amp;"",INDEX('Daily Sale entry '!$P$1:$P$1501,$J795-1499)&amp;""))</f>
        <v/>
      </c>
      <c r="E795">
        <f>IF($J795="","",IF($J795&lt;=1500,IF(N(INDEX('Daily Sale entry '!$AB$1:$AB$1501,$J795+1))=0,"",INDEX('Daily Sale entry '!$AB$1:$AB$1501,$J795+1)),1))</f>
        <v/>
      </c>
      <c r="F795" s="6">
        <f>IF($J795="","",IF($J795&lt;=1500,N(INDEX('Daily Sale entry '!$AC$1:$AC$1501,$J795+1))-IF(AND('Opening Balance'!$B$15=1,INDEX('Daily Sale entry '!$Z$1:$Z$1501,$J795+1)="Online collection 网上收款",INDEX('Daily Sale entry '!$AA$1:$AA$1501,$J795+1)&lt;&gt;""),N(INDEX('Daily Sale entry '!$AC$1:$AC$1501,$J795+1))-TRUNC(N(INDEX('Daily Sale entry '!$AC$1:$AC$1501,$J795+1))),0),N(INDEX('Daily Sale entry '!$S$1:$S$1501,$J795-1499))-'Opening Balance'!$B$15*(N(INDEX('Daily Sale entry '!$S$1:$S$1501,$J795-1499))-TRUNC(N(INDEX('Daily Sale entry '!$S$1:$S$1501,$J795-1499))))))</f>
        <v/>
      </c>
      <c r="G795" s="6">
        <f>IF($J795="","",IF($J795&lt;=1500,N(INDEX('Daily Sale entry '!$AD$1:$AD$1501,$J795+1)),0))</f>
        <v/>
      </c>
      <c r="H795" s="6">
        <f>IF($J795="","",ROUND('Opening Balance'!$B$4+SUM($F$2:F795)-SUM($G$2:G795),2))</f>
        <v/>
      </c>
      <c r="J795" s="21">
        <f>IFERROR(MATCH(ROW()-1,$L$2:$L$3001,0),"")</f>
        <v/>
      </c>
      <c r="K795" s="34">
        <f>IF(AND('Daily Sale entry '!X795&lt;&gt;"",OR('Daily Sale entry '!AC795&lt;&gt;"",'Daily Sale entry '!AD795&lt;&gt;"")),'Daily Sale entry '!X795+ROW()/10000000,"")</f>
        <v/>
      </c>
      <c r="L795" s="21">
        <f>IF(K795="","",COUNTIF($K$2:$K$3001,"&lt;"&amp;K795)+1)</f>
        <v/>
      </c>
    </row>
    <row r="796">
      <c r="A796" s="5">
        <f>IF($J796="","",IF($J796&lt;=1500,INDEX('Daily Sale entry '!$X$1:$X$1501,$J796+1),INDEX('Daily Sale entry '!$V$1:$V$1501,$J796-1499)))</f>
        <v/>
      </c>
      <c r="B796">
        <f>IF($J796="","",IF($J796&lt;=1500,INDEX('Daily Sale entry '!$Y$1:$Y$1501,$J796+1)&amp;"","Buyer cheque banked 买家支票存入"&amp;IF(INDEX('Daily Sale entry '!$U$1:$U$1501,$J796-1499)="","", " - "&amp;INDEX('Daily Sale entry '!$U$1:$U$1501,$J796-1499))))</f>
        <v/>
      </c>
      <c r="C796">
        <f>IF($J796="","",IF($J796&lt;=1500,INDEX('Daily Sale entry '!$Z$1:$Z$1501,$J796+1)&amp;"","Cheque deposit 支票存入 (buyer 买家)"))</f>
        <v/>
      </c>
      <c r="D796">
        <f>IF($J796="","",IF($J796&lt;=1500,INDEX('Daily Sale entry '!$AA$1:$AA$1501,$J796+1)&amp;"",INDEX('Daily Sale entry '!$P$1:$P$1501,$J796-1499)&amp;""))</f>
        <v/>
      </c>
      <c r="E796">
        <f>IF($J796="","",IF($J796&lt;=1500,IF(N(INDEX('Daily Sale entry '!$AB$1:$AB$1501,$J796+1))=0,"",INDEX('Daily Sale entry '!$AB$1:$AB$1501,$J796+1)),1))</f>
        <v/>
      </c>
      <c r="F796" s="6">
        <f>IF($J796="","",IF($J796&lt;=1500,N(INDEX('Daily Sale entry '!$AC$1:$AC$1501,$J796+1))-IF(AND('Opening Balance'!$B$15=1,INDEX('Daily Sale entry '!$Z$1:$Z$1501,$J796+1)="Online collection 网上收款",INDEX('Daily Sale entry '!$AA$1:$AA$1501,$J796+1)&lt;&gt;""),N(INDEX('Daily Sale entry '!$AC$1:$AC$1501,$J796+1))-TRUNC(N(INDEX('Daily Sale entry '!$AC$1:$AC$1501,$J796+1))),0),N(INDEX('Daily Sale entry '!$S$1:$S$1501,$J796-1499))-'Opening Balance'!$B$15*(N(INDEX('Daily Sale entry '!$S$1:$S$1501,$J796-1499))-TRUNC(N(INDEX('Daily Sale entry '!$S$1:$S$1501,$J796-1499))))))</f>
        <v/>
      </c>
      <c r="G796" s="6">
        <f>IF($J796="","",IF($J796&lt;=1500,N(INDEX('Daily Sale entry '!$AD$1:$AD$1501,$J796+1)),0))</f>
        <v/>
      </c>
      <c r="H796" s="6">
        <f>IF($J796="","",ROUND('Opening Balance'!$B$4+SUM($F$2:F796)-SUM($G$2:G796),2))</f>
        <v/>
      </c>
      <c r="J796" s="21">
        <f>IFERROR(MATCH(ROW()-1,$L$2:$L$3001,0),"")</f>
        <v/>
      </c>
      <c r="K796" s="34">
        <f>IF(AND('Daily Sale entry '!X796&lt;&gt;"",OR('Daily Sale entry '!AC796&lt;&gt;"",'Daily Sale entry '!AD796&lt;&gt;"")),'Daily Sale entry '!X796+ROW()/10000000,"")</f>
        <v/>
      </c>
      <c r="L796" s="21">
        <f>IF(K796="","",COUNTIF($K$2:$K$3001,"&lt;"&amp;K796)+1)</f>
        <v/>
      </c>
    </row>
    <row r="797">
      <c r="A797" s="5">
        <f>IF($J797="","",IF($J797&lt;=1500,INDEX('Daily Sale entry '!$X$1:$X$1501,$J797+1),INDEX('Daily Sale entry '!$V$1:$V$1501,$J797-1499)))</f>
        <v/>
      </c>
      <c r="B797">
        <f>IF($J797="","",IF($J797&lt;=1500,INDEX('Daily Sale entry '!$Y$1:$Y$1501,$J797+1)&amp;"","Buyer cheque banked 买家支票存入"&amp;IF(INDEX('Daily Sale entry '!$U$1:$U$1501,$J797-1499)="","", " - "&amp;INDEX('Daily Sale entry '!$U$1:$U$1501,$J797-1499))))</f>
        <v/>
      </c>
      <c r="C797">
        <f>IF($J797="","",IF($J797&lt;=1500,INDEX('Daily Sale entry '!$Z$1:$Z$1501,$J797+1)&amp;"","Cheque deposit 支票存入 (buyer 买家)"))</f>
        <v/>
      </c>
      <c r="D797">
        <f>IF($J797="","",IF($J797&lt;=1500,INDEX('Daily Sale entry '!$AA$1:$AA$1501,$J797+1)&amp;"",INDEX('Daily Sale entry '!$P$1:$P$1501,$J797-1499)&amp;""))</f>
        <v/>
      </c>
      <c r="E797">
        <f>IF($J797="","",IF($J797&lt;=1500,IF(N(INDEX('Daily Sale entry '!$AB$1:$AB$1501,$J797+1))=0,"",INDEX('Daily Sale entry '!$AB$1:$AB$1501,$J797+1)),1))</f>
        <v/>
      </c>
      <c r="F797" s="6">
        <f>IF($J797="","",IF($J797&lt;=1500,N(INDEX('Daily Sale entry '!$AC$1:$AC$1501,$J797+1))-IF(AND('Opening Balance'!$B$15=1,INDEX('Daily Sale entry '!$Z$1:$Z$1501,$J797+1)="Online collection 网上收款",INDEX('Daily Sale entry '!$AA$1:$AA$1501,$J797+1)&lt;&gt;""),N(INDEX('Daily Sale entry '!$AC$1:$AC$1501,$J797+1))-TRUNC(N(INDEX('Daily Sale entry '!$AC$1:$AC$1501,$J797+1))),0),N(INDEX('Daily Sale entry '!$S$1:$S$1501,$J797-1499))-'Opening Balance'!$B$15*(N(INDEX('Daily Sale entry '!$S$1:$S$1501,$J797-1499))-TRUNC(N(INDEX('Daily Sale entry '!$S$1:$S$1501,$J797-1499))))))</f>
        <v/>
      </c>
      <c r="G797" s="6">
        <f>IF($J797="","",IF($J797&lt;=1500,N(INDEX('Daily Sale entry '!$AD$1:$AD$1501,$J797+1)),0))</f>
        <v/>
      </c>
      <c r="H797" s="6">
        <f>IF($J797="","",ROUND('Opening Balance'!$B$4+SUM($F$2:F797)-SUM($G$2:G797),2))</f>
        <v/>
      </c>
      <c r="J797" s="21">
        <f>IFERROR(MATCH(ROW()-1,$L$2:$L$3001,0),"")</f>
        <v/>
      </c>
      <c r="K797" s="34">
        <f>IF(AND('Daily Sale entry '!X797&lt;&gt;"",OR('Daily Sale entry '!AC797&lt;&gt;"",'Daily Sale entry '!AD797&lt;&gt;"")),'Daily Sale entry '!X797+ROW()/10000000,"")</f>
        <v/>
      </c>
      <c r="L797" s="21">
        <f>IF(K797="","",COUNTIF($K$2:$K$3001,"&lt;"&amp;K797)+1)</f>
        <v/>
      </c>
    </row>
    <row r="798">
      <c r="A798" s="5">
        <f>IF($J798="","",IF($J798&lt;=1500,INDEX('Daily Sale entry '!$X$1:$X$1501,$J798+1),INDEX('Daily Sale entry '!$V$1:$V$1501,$J798-1499)))</f>
        <v/>
      </c>
      <c r="B798">
        <f>IF($J798="","",IF($J798&lt;=1500,INDEX('Daily Sale entry '!$Y$1:$Y$1501,$J798+1)&amp;"","Buyer cheque banked 买家支票存入"&amp;IF(INDEX('Daily Sale entry '!$U$1:$U$1501,$J798-1499)="","", " - "&amp;INDEX('Daily Sale entry '!$U$1:$U$1501,$J798-1499))))</f>
        <v/>
      </c>
      <c r="C798">
        <f>IF($J798="","",IF($J798&lt;=1500,INDEX('Daily Sale entry '!$Z$1:$Z$1501,$J798+1)&amp;"","Cheque deposit 支票存入 (buyer 买家)"))</f>
        <v/>
      </c>
      <c r="D798">
        <f>IF($J798="","",IF($J798&lt;=1500,INDEX('Daily Sale entry '!$AA$1:$AA$1501,$J798+1)&amp;"",INDEX('Daily Sale entry '!$P$1:$P$1501,$J798-1499)&amp;""))</f>
        <v/>
      </c>
      <c r="E798">
        <f>IF($J798="","",IF($J798&lt;=1500,IF(N(INDEX('Daily Sale entry '!$AB$1:$AB$1501,$J798+1))=0,"",INDEX('Daily Sale entry '!$AB$1:$AB$1501,$J798+1)),1))</f>
        <v/>
      </c>
      <c r="F798" s="6">
        <f>IF($J798="","",IF($J798&lt;=1500,N(INDEX('Daily Sale entry '!$AC$1:$AC$1501,$J798+1))-IF(AND('Opening Balance'!$B$15=1,INDEX('Daily Sale entry '!$Z$1:$Z$1501,$J798+1)="Online collection 网上收款",INDEX('Daily Sale entry '!$AA$1:$AA$1501,$J798+1)&lt;&gt;""),N(INDEX('Daily Sale entry '!$AC$1:$AC$1501,$J798+1))-TRUNC(N(INDEX('Daily Sale entry '!$AC$1:$AC$1501,$J798+1))),0),N(INDEX('Daily Sale entry '!$S$1:$S$1501,$J798-1499))-'Opening Balance'!$B$15*(N(INDEX('Daily Sale entry '!$S$1:$S$1501,$J798-1499))-TRUNC(N(INDEX('Daily Sale entry '!$S$1:$S$1501,$J798-1499))))))</f>
        <v/>
      </c>
      <c r="G798" s="6">
        <f>IF($J798="","",IF($J798&lt;=1500,N(INDEX('Daily Sale entry '!$AD$1:$AD$1501,$J798+1)),0))</f>
        <v/>
      </c>
      <c r="H798" s="6">
        <f>IF($J798="","",ROUND('Opening Balance'!$B$4+SUM($F$2:F798)-SUM($G$2:G798),2))</f>
        <v/>
      </c>
      <c r="J798" s="21">
        <f>IFERROR(MATCH(ROW()-1,$L$2:$L$3001,0),"")</f>
        <v/>
      </c>
      <c r="K798" s="34">
        <f>IF(AND('Daily Sale entry '!X798&lt;&gt;"",OR('Daily Sale entry '!AC798&lt;&gt;"",'Daily Sale entry '!AD798&lt;&gt;"")),'Daily Sale entry '!X798+ROW()/10000000,"")</f>
        <v/>
      </c>
      <c r="L798" s="21">
        <f>IF(K798="","",COUNTIF($K$2:$K$3001,"&lt;"&amp;K798)+1)</f>
        <v/>
      </c>
    </row>
    <row r="799">
      <c r="A799" s="5">
        <f>IF($J799="","",IF($J799&lt;=1500,INDEX('Daily Sale entry '!$X$1:$X$1501,$J799+1),INDEX('Daily Sale entry '!$V$1:$V$1501,$J799-1499)))</f>
        <v/>
      </c>
      <c r="B799">
        <f>IF($J799="","",IF($J799&lt;=1500,INDEX('Daily Sale entry '!$Y$1:$Y$1501,$J799+1)&amp;"","Buyer cheque banked 买家支票存入"&amp;IF(INDEX('Daily Sale entry '!$U$1:$U$1501,$J799-1499)="","", " - "&amp;INDEX('Daily Sale entry '!$U$1:$U$1501,$J799-1499))))</f>
        <v/>
      </c>
      <c r="C799">
        <f>IF($J799="","",IF($J799&lt;=1500,INDEX('Daily Sale entry '!$Z$1:$Z$1501,$J799+1)&amp;"","Cheque deposit 支票存入 (buyer 买家)"))</f>
        <v/>
      </c>
      <c r="D799">
        <f>IF($J799="","",IF($J799&lt;=1500,INDEX('Daily Sale entry '!$AA$1:$AA$1501,$J799+1)&amp;"",INDEX('Daily Sale entry '!$P$1:$P$1501,$J799-1499)&amp;""))</f>
        <v/>
      </c>
      <c r="E799">
        <f>IF($J799="","",IF($J799&lt;=1500,IF(N(INDEX('Daily Sale entry '!$AB$1:$AB$1501,$J799+1))=0,"",INDEX('Daily Sale entry '!$AB$1:$AB$1501,$J799+1)),1))</f>
        <v/>
      </c>
      <c r="F799" s="6">
        <f>IF($J799="","",IF($J799&lt;=1500,N(INDEX('Daily Sale entry '!$AC$1:$AC$1501,$J799+1))-IF(AND('Opening Balance'!$B$15=1,INDEX('Daily Sale entry '!$Z$1:$Z$1501,$J799+1)="Online collection 网上收款",INDEX('Daily Sale entry '!$AA$1:$AA$1501,$J799+1)&lt;&gt;""),N(INDEX('Daily Sale entry '!$AC$1:$AC$1501,$J799+1))-TRUNC(N(INDEX('Daily Sale entry '!$AC$1:$AC$1501,$J799+1))),0),N(INDEX('Daily Sale entry '!$S$1:$S$1501,$J799-1499))-'Opening Balance'!$B$15*(N(INDEX('Daily Sale entry '!$S$1:$S$1501,$J799-1499))-TRUNC(N(INDEX('Daily Sale entry '!$S$1:$S$1501,$J799-1499))))))</f>
        <v/>
      </c>
      <c r="G799" s="6">
        <f>IF($J799="","",IF($J799&lt;=1500,N(INDEX('Daily Sale entry '!$AD$1:$AD$1501,$J799+1)),0))</f>
        <v/>
      </c>
      <c r="H799" s="6">
        <f>IF($J799="","",ROUND('Opening Balance'!$B$4+SUM($F$2:F799)-SUM($G$2:G799),2))</f>
        <v/>
      </c>
      <c r="J799" s="21">
        <f>IFERROR(MATCH(ROW()-1,$L$2:$L$3001,0),"")</f>
        <v/>
      </c>
      <c r="K799" s="34">
        <f>IF(AND('Daily Sale entry '!X799&lt;&gt;"",OR('Daily Sale entry '!AC799&lt;&gt;"",'Daily Sale entry '!AD799&lt;&gt;"")),'Daily Sale entry '!X799+ROW()/10000000,"")</f>
        <v/>
      </c>
      <c r="L799" s="21">
        <f>IF(K799="","",COUNTIF($K$2:$K$3001,"&lt;"&amp;K799)+1)</f>
        <v/>
      </c>
    </row>
    <row r="800">
      <c r="A800" s="5">
        <f>IF($J800="","",IF($J800&lt;=1500,INDEX('Daily Sale entry '!$X$1:$X$1501,$J800+1),INDEX('Daily Sale entry '!$V$1:$V$1501,$J800-1499)))</f>
        <v/>
      </c>
      <c r="B800">
        <f>IF($J800="","",IF($J800&lt;=1500,INDEX('Daily Sale entry '!$Y$1:$Y$1501,$J800+1)&amp;"","Buyer cheque banked 买家支票存入"&amp;IF(INDEX('Daily Sale entry '!$U$1:$U$1501,$J800-1499)="","", " - "&amp;INDEX('Daily Sale entry '!$U$1:$U$1501,$J800-1499))))</f>
        <v/>
      </c>
      <c r="C800">
        <f>IF($J800="","",IF($J800&lt;=1500,INDEX('Daily Sale entry '!$Z$1:$Z$1501,$J800+1)&amp;"","Cheque deposit 支票存入 (buyer 买家)"))</f>
        <v/>
      </c>
      <c r="D800">
        <f>IF($J800="","",IF($J800&lt;=1500,INDEX('Daily Sale entry '!$AA$1:$AA$1501,$J800+1)&amp;"",INDEX('Daily Sale entry '!$P$1:$P$1501,$J800-1499)&amp;""))</f>
        <v/>
      </c>
      <c r="E800">
        <f>IF($J800="","",IF($J800&lt;=1500,IF(N(INDEX('Daily Sale entry '!$AB$1:$AB$1501,$J800+1))=0,"",INDEX('Daily Sale entry '!$AB$1:$AB$1501,$J800+1)),1))</f>
        <v/>
      </c>
      <c r="F800" s="6">
        <f>IF($J800="","",IF($J800&lt;=1500,N(INDEX('Daily Sale entry '!$AC$1:$AC$1501,$J800+1))-IF(AND('Opening Balance'!$B$15=1,INDEX('Daily Sale entry '!$Z$1:$Z$1501,$J800+1)="Online collection 网上收款",INDEX('Daily Sale entry '!$AA$1:$AA$1501,$J800+1)&lt;&gt;""),N(INDEX('Daily Sale entry '!$AC$1:$AC$1501,$J800+1))-TRUNC(N(INDEX('Daily Sale entry '!$AC$1:$AC$1501,$J800+1))),0),N(INDEX('Daily Sale entry '!$S$1:$S$1501,$J800-1499))-'Opening Balance'!$B$15*(N(INDEX('Daily Sale entry '!$S$1:$S$1501,$J800-1499))-TRUNC(N(INDEX('Daily Sale entry '!$S$1:$S$1501,$J800-1499))))))</f>
        <v/>
      </c>
      <c r="G800" s="6">
        <f>IF($J800="","",IF($J800&lt;=1500,N(INDEX('Daily Sale entry '!$AD$1:$AD$1501,$J800+1)),0))</f>
        <v/>
      </c>
      <c r="H800" s="6">
        <f>IF($J800="","",ROUND('Opening Balance'!$B$4+SUM($F$2:F800)-SUM($G$2:G800),2))</f>
        <v/>
      </c>
      <c r="J800" s="21">
        <f>IFERROR(MATCH(ROW()-1,$L$2:$L$3001,0),"")</f>
        <v/>
      </c>
      <c r="K800" s="34">
        <f>IF(AND('Daily Sale entry '!X800&lt;&gt;"",OR('Daily Sale entry '!AC800&lt;&gt;"",'Daily Sale entry '!AD800&lt;&gt;"")),'Daily Sale entry '!X800+ROW()/10000000,"")</f>
        <v/>
      </c>
      <c r="L800" s="21">
        <f>IF(K800="","",COUNTIF($K$2:$K$3001,"&lt;"&amp;K800)+1)</f>
        <v/>
      </c>
    </row>
    <row r="801">
      <c r="A801" s="5">
        <f>IF($J801="","",IF($J801&lt;=1500,INDEX('Daily Sale entry '!$X$1:$X$1501,$J801+1),INDEX('Daily Sale entry '!$V$1:$V$1501,$J801-1499)))</f>
        <v/>
      </c>
      <c r="B801">
        <f>IF($J801="","",IF($J801&lt;=1500,INDEX('Daily Sale entry '!$Y$1:$Y$1501,$J801+1)&amp;"","Buyer cheque banked 买家支票存入"&amp;IF(INDEX('Daily Sale entry '!$U$1:$U$1501,$J801-1499)="","", " - "&amp;INDEX('Daily Sale entry '!$U$1:$U$1501,$J801-1499))))</f>
        <v/>
      </c>
      <c r="C801">
        <f>IF($J801="","",IF($J801&lt;=1500,INDEX('Daily Sale entry '!$Z$1:$Z$1501,$J801+1)&amp;"","Cheque deposit 支票存入 (buyer 买家)"))</f>
        <v/>
      </c>
      <c r="D801">
        <f>IF($J801="","",IF($J801&lt;=1500,INDEX('Daily Sale entry '!$AA$1:$AA$1501,$J801+1)&amp;"",INDEX('Daily Sale entry '!$P$1:$P$1501,$J801-1499)&amp;""))</f>
        <v/>
      </c>
      <c r="E801">
        <f>IF($J801="","",IF($J801&lt;=1500,IF(N(INDEX('Daily Sale entry '!$AB$1:$AB$1501,$J801+1))=0,"",INDEX('Daily Sale entry '!$AB$1:$AB$1501,$J801+1)),1))</f>
        <v/>
      </c>
      <c r="F801" s="6">
        <f>IF($J801="","",IF($J801&lt;=1500,N(INDEX('Daily Sale entry '!$AC$1:$AC$1501,$J801+1))-IF(AND('Opening Balance'!$B$15=1,INDEX('Daily Sale entry '!$Z$1:$Z$1501,$J801+1)="Online collection 网上收款",INDEX('Daily Sale entry '!$AA$1:$AA$1501,$J801+1)&lt;&gt;""),N(INDEX('Daily Sale entry '!$AC$1:$AC$1501,$J801+1))-TRUNC(N(INDEX('Daily Sale entry '!$AC$1:$AC$1501,$J801+1))),0),N(INDEX('Daily Sale entry '!$S$1:$S$1501,$J801-1499))-'Opening Balance'!$B$15*(N(INDEX('Daily Sale entry '!$S$1:$S$1501,$J801-1499))-TRUNC(N(INDEX('Daily Sale entry '!$S$1:$S$1501,$J801-1499))))))</f>
        <v/>
      </c>
      <c r="G801" s="6">
        <f>IF($J801="","",IF($J801&lt;=1500,N(INDEX('Daily Sale entry '!$AD$1:$AD$1501,$J801+1)),0))</f>
        <v/>
      </c>
      <c r="H801" s="6">
        <f>IF($J801="","",ROUND('Opening Balance'!$B$4+SUM($F$2:F801)-SUM($G$2:G801),2))</f>
        <v/>
      </c>
      <c r="J801" s="21">
        <f>IFERROR(MATCH(ROW()-1,$L$2:$L$3001,0),"")</f>
        <v/>
      </c>
      <c r="K801" s="34">
        <f>IF(AND('Daily Sale entry '!X801&lt;&gt;"",OR('Daily Sale entry '!AC801&lt;&gt;"",'Daily Sale entry '!AD801&lt;&gt;"")),'Daily Sale entry '!X801+ROW()/10000000,"")</f>
        <v/>
      </c>
      <c r="L801" s="21">
        <f>IF(K801="","",COUNTIF($K$2:$K$3001,"&lt;"&amp;K801)+1)</f>
        <v/>
      </c>
    </row>
    <row r="802">
      <c r="A802" s="5">
        <f>IF($J802="","",IF($J802&lt;=1500,INDEX('Daily Sale entry '!$X$1:$X$1501,$J802+1),INDEX('Daily Sale entry '!$V$1:$V$1501,$J802-1499)))</f>
        <v/>
      </c>
      <c r="B802">
        <f>IF($J802="","",IF($J802&lt;=1500,INDEX('Daily Sale entry '!$Y$1:$Y$1501,$J802+1)&amp;"","Buyer cheque banked 买家支票存入"&amp;IF(INDEX('Daily Sale entry '!$U$1:$U$1501,$J802-1499)="","", " - "&amp;INDEX('Daily Sale entry '!$U$1:$U$1501,$J802-1499))))</f>
        <v/>
      </c>
      <c r="C802">
        <f>IF($J802="","",IF($J802&lt;=1500,INDEX('Daily Sale entry '!$Z$1:$Z$1501,$J802+1)&amp;"","Cheque deposit 支票存入 (buyer 买家)"))</f>
        <v/>
      </c>
      <c r="D802">
        <f>IF($J802="","",IF($J802&lt;=1500,INDEX('Daily Sale entry '!$AA$1:$AA$1501,$J802+1)&amp;"",INDEX('Daily Sale entry '!$P$1:$P$1501,$J802-1499)&amp;""))</f>
        <v/>
      </c>
      <c r="E802">
        <f>IF($J802="","",IF($J802&lt;=1500,IF(N(INDEX('Daily Sale entry '!$AB$1:$AB$1501,$J802+1))=0,"",INDEX('Daily Sale entry '!$AB$1:$AB$1501,$J802+1)),1))</f>
        <v/>
      </c>
      <c r="F802" s="6">
        <f>IF($J802="","",IF($J802&lt;=1500,N(INDEX('Daily Sale entry '!$AC$1:$AC$1501,$J802+1))-IF(AND('Opening Balance'!$B$15=1,INDEX('Daily Sale entry '!$Z$1:$Z$1501,$J802+1)="Online collection 网上收款",INDEX('Daily Sale entry '!$AA$1:$AA$1501,$J802+1)&lt;&gt;""),N(INDEX('Daily Sale entry '!$AC$1:$AC$1501,$J802+1))-TRUNC(N(INDEX('Daily Sale entry '!$AC$1:$AC$1501,$J802+1))),0),N(INDEX('Daily Sale entry '!$S$1:$S$1501,$J802-1499))-'Opening Balance'!$B$15*(N(INDEX('Daily Sale entry '!$S$1:$S$1501,$J802-1499))-TRUNC(N(INDEX('Daily Sale entry '!$S$1:$S$1501,$J802-1499))))))</f>
        <v/>
      </c>
      <c r="G802" s="6">
        <f>IF($J802="","",IF($J802&lt;=1500,N(INDEX('Daily Sale entry '!$AD$1:$AD$1501,$J802+1)),0))</f>
        <v/>
      </c>
      <c r="H802" s="6">
        <f>IF($J802="","",ROUND('Opening Balance'!$B$4+SUM($F$2:F802)-SUM($G$2:G802),2))</f>
        <v/>
      </c>
      <c r="J802" s="21">
        <f>IFERROR(MATCH(ROW()-1,$L$2:$L$3001,0),"")</f>
        <v/>
      </c>
      <c r="K802" s="34">
        <f>IF(AND('Daily Sale entry '!X802&lt;&gt;"",OR('Daily Sale entry '!AC802&lt;&gt;"",'Daily Sale entry '!AD802&lt;&gt;"")),'Daily Sale entry '!X802+ROW()/10000000,"")</f>
        <v/>
      </c>
      <c r="L802" s="21">
        <f>IF(K802="","",COUNTIF($K$2:$K$3001,"&lt;"&amp;K802)+1)</f>
        <v/>
      </c>
    </row>
    <row r="803">
      <c r="A803" s="5">
        <f>IF($J803="","",IF($J803&lt;=1500,INDEX('Daily Sale entry '!$X$1:$X$1501,$J803+1),INDEX('Daily Sale entry '!$V$1:$V$1501,$J803-1499)))</f>
        <v/>
      </c>
      <c r="B803">
        <f>IF($J803="","",IF($J803&lt;=1500,INDEX('Daily Sale entry '!$Y$1:$Y$1501,$J803+1)&amp;"","Buyer cheque banked 买家支票存入"&amp;IF(INDEX('Daily Sale entry '!$U$1:$U$1501,$J803-1499)="","", " - "&amp;INDEX('Daily Sale entry '!$U$1:$U$1501,$J803-1499))))</f>
        <v/>
      </c>
      <c r="C803">
        <f>IF($J803="","",IF($J803&lt;=1500,INDEX('Daily Sale entry '!$Z$1:$Z$1501,$J803+1)&amp;"","Cheque deposit 支票存入 (buyer 买家)"))</f>
        <v/>
      </c>
      <c r="D803">
        <f>IF($J803="","",IF($J803&lt;=1500,INDEX('Daily Sale entry '!$AA$1:$AA$1501,$J803+1)&amp;"",INDEX('Daily Sale entry '!$P$1:$P$1501,$J803-1499)&amp;""))</f>
        <v/>
      </c>
      <c r="E803">
        <f>IF($J803="","",IF($J803&lt;=1500,IF(N(INDEX('Daily Sale entry '!$AB$1:$AB$1501,$J803+1))=0,"",INDEX('Daily Sale entry '!$AB$1:$AB$1501,$J803+1)),1))</f>
        <v/>
      </c>
      <c r="F803" s="6">
        <f>IF($J803="","",IF($J803&lt;=1500,N(INDEX('Daily Sale entry '!$AC$1:$AC$1501,$J803+1))-IF(AND('Opening Balance'!$B$15=1,INDEX('Daily Sale entry '!$Z$1:$Z$1501,$J803+1)="Online collection 网上收款",INDEX('Daily Sale entry '!$AA$1:$AA$1501,$J803+1)&lt;&gt;""),N(INDEX('Daily Sale entry '!$AC$1:$AC$1501,$J803+1))-TRUNC(N(INDEX('Daily Sale entry '!$AC$1:$AC$1501,$J803+1))),0),N(INDEX('Daily Sale entry '!$S$1:$S$1501,$J803-1499))-'Opening Balance'!$B$15*(N(INDEX('Daily Sale entry '!$S$1:$S$1501,$J803-1499))-TRUNC(N(INDEX('Daily Sale entry '!$S$1:$S$1501,$J803-1499))))))</f>
        <v/>
      </c>
      <c r="G803" s="6">
        <f>IF($J803="","",IF($J803&lt;=1500,N(INDEX('Daily Sale entry '!$AD$1:$AD$1501,$J803+1)),0))</f>
        <v/>
      </c>
      <c r="H803" s="6">
        <f>IF($J803="","",ROUND('Opening Balance'!$B$4+SUM($F$2:F803)-SUM($G$2:G803),2))</f>
        <v/>
      </c>
      <c r="J803" s="21">
        <f>IFERROR(MATCH(ROW()-1,$L$2:$L$3001,0),"")</f>
        <v/>
      </c>
      <c r="K803" s="34">
        <f>IF(AND('Daily Sale entry '!X803&lt;&gt;"",OR('Daily Sale entry '!AC803&lt;&gt;"",'Daily Sale entry '!AD803&lt;&gt;"")),'Daily Sale entry '!X803+ROW()/10000000,"")</f>
        <v/>
      </c>
      <c r="L803" s="21">
        <f>IF(K803="","",COUNTIF($K$2:$K$3001,"&lt;"&amp;K803)+1)</f>
        <v/>
      </c>
    </row>
    <row r="804">
      <c r="A804" s="5">
        <f>IF($J804="","",IF($J804&lt;=1500,INDEX('Daily Sale entry '!$X$1:$X$1501,$J804+1),INDEX('Daily Sale entry '!$V$1:$V$1501,$J804-1499)))</f>
        <v/>
      </c>
      <c r="B804">
        <f>IF($J804="","",IF($J804&lt;=1500,INDEX('Daily Sale entry '!$Y$1:$Y$1501,$J804+1)&amp;"","Buyer cheque banked 买家支票存入"&amp;IF(INDEX('Daily Sale entry '!$U$1:$U$1501,$J804-1499)="","", " - "&amp;INDEX('Daily Sale entry '!$U$1:$U$1501,$J804-1499))))</f>
        <v/>
      </c>
      <c r="C804">
        <f>IF($J804="","",IF($J804&lt;=1500,INDEX('Daily Sale entry '!$Z$1:$Z$1501,$J804+1)&amp;"","Cheque deposit 支票存入 (buyer 买家)"))</f>
        <v/>
      </c>
      <c r="D804">
        <f>IF($J804="","",IF($J804&lt;=1500,INDEX('Daily Sale entry '!$AA$1:$AA$1501,$J804+1)&amp;"",INDEX('Daily Sale entry '!$P$1:$P$1501,$J804-1499)&amp;""))</f>
        <v/>
      </c>
      <c r="E804">
        <f>IF($J804="","",IF($J804&lt;=1500,IF(N(INDEX('Daily Sale entry '!$AB$1:$AB$1501,$J804+1))=0,"",INDEX('Daily Sale entry '!$AB$1:$AB$1501,$J804+1)),1))</f>
        <v/>
      </c>
      <c r="F804" s="6">
        <f>IF($J804="","",IF($J804&lt;=1500,N(INDEX('Daily Sale entry '!$AC$1:$AC$1501,$J804+1))-IF(AND('Opening Balance'!$B$15=1,INDEX('Daily Sale entry '!$Z$1:$Z$1501,$J804+1)="Online collection 网上收款",INDEX('Daily Sale entry '!$AA$1:$AA$1501,$J804+1)&lt;&gt;""),N(INDEX('Daily Sale entry '!$AC$1:$AC$1501,$J804+1))-TRUNC(N(INDEX('Daily Sale entry '!$AC$1:$AC$1501,$J804+1))),0),N(INDEX('Daily Sale entry '!$S$1:$S$1501,$J804-1499))-'Opening Balance'!$B$15*(N(INDEX('Daily Sale entry '!$S$1:$S$1501,$J804-1499))-TRUNC(N(INDEX('Daily Sale entry '!$S$1:$S$1501,$J804-1499))))))</f>
        <v/>
      </c>
      <c r="G804" s="6">
        <f>IF($J804="","",IF($J804&lt;=1500,N(INDEX('Daily Sale entry '!$AD$1:$AD$1501,$J804+1)),0))</f>
        <v/>
      </c>
      <c r="H804" s="6">
        <f>IF($J804="","",ROUND('Opening Balance'!$B$4+SUM($F$2:F804)-SUM($G$2:G804),2))</f>
        <v/>
      </c>
      <c r="J804" s="21">
        <f>IFERROR(MATCH(ROW()-1,$L$2:$L$3001,0),"")</f>
        <v/>
      </c>
      <c r="K804" s="34">
        <f>IF(AND('Daily Sale entry '!X804&lt;&gt;"",OR('Daily Sale entry '!AC804&lt;&gt;"",'Daily Sale entry '!AD804&lt;&gt;"")),'Daily Sale entry '!X804+ROW()/10000000,"")</f>
        <v/>
      </c>
      <c r="L804" s="21">
        <f>IF(K804="","",COUNTIF($K$2:$K$3001,"&lt;"&amp;K804)+1)</f>
        <v/>
      </c>
    </row>
    <row r="805">
      <c r="A805" s="5">
        <f>IF($J805="","",IF($J805&lt;=1500,INDEX('Daily Sale entry '!$X$1:$X$1501,$J805+1),INDEX('Daily Sale entry '!$V$1:$V$1501,$J805-1499)))</f>
        <v/>
      </c>
      <c r="B805">
        <f>IF($J805="","",IF($J805&lt;=1500,INDEX('Daily Sale entry '!$Y$1:$Y$1501,$J805+1)&amp;"","Buyer cheque banked 买家支票存入"&amp;IF(INDEX('Daily Sale entry '!$U$1:$U$1501,$J805-1499)="","", " - "&amp;INDEX('Daily Sale entry '!$U$1:$U$1501,$J805-1499))))</f>
        <v/>
      </c>
      <c r="C805">
        <f>IF($J805="","",IF($J805&lt;=1500,INDEX('Daily Sale entry '!$Z$1:$Z$1501,$J805+1)&amp;"","Cheque deposit 支票存入 (buyer 买家)"))</f>
        <v/>
      </c>
      <c r="D805">
        <f>IF($J805="","",IF($J805&lt;=1500,INDEX('Daily Sale entry '!$AA$1:$AA$1501,$J805+1)&amp;"",INDEX('Daily Sale entry '!$P$1:$P$1501,$J805-1499)&amp;""))</f>
        <v/>
      </c>
      <c r="E805">
        <f>IF($J805="","",IF($J805&lt;=1500,IF(N(INDEX('Daily Sale entry '!$AB$1:$AB$1501,$J805+1))=0,"",INDEX('Daily Sale entry '!$AB$1:$AB$1501,$J805+1)),1))</f>
        <v/>
      </c>
      <c r="F805" s="6">
        <f>IF($J805="","",IF($J805&lt;=1500,N(INDEX('Daily Sale entry '!$AC$1:$AC$1501,$J805+1))-IF(AND('Opening Balance'!$B$15=1,INDEX('Daily Sale entry '!$Z$1:$Z$1501,$J805+1)="Online collection 网上收款",INDEX('Daily Sale entry '!$AA$1:$AA$1501,$J805+1)&lt;&gt;""),N(INDEX('Daily Sale entry '!$AC$1:$AC$1501,$J805+1))-TRUNC(N(INDEX('Daily Sale entry '!$AC$1:$AC$1501,$J805+1))),0),N(INDEX('Daily Sale entry '!$S$1:$S$1501,$J805-1499))-'Opening Balance'!$B$15*(N(INDEX('Daily Sale entry '!$S$1:$S$1501,$J805-1499))-TRUNC(N(INDEX('Daily Sale entry '!$S$1:$S$1501,$J805-1499))))))</f>
        <v/>
      </c>
      <c r="G805" s="6">
        <f>IF($J805="","",IF($J805&lt;=1500,N(INDEX('Daily Sale entry '!$AD$1:$AD$1501,$J805+1)),0))</f>
        <v/>
      </c>
      <c r="H805" s="6">
        <f>IF($J805="","",ROUND('Opening Balance'!$B$4+SUM($F$2:F805)-SUM($G$2:G805),2))</f>
        <v/>
      </c>
      <c r="J805" s="21">
        <f>IFERROR(MATCH(ROW()-1,$L$2:$L$3001,0),"")</f>
        <v/>
      </c>
      <c r="K805" s="34">
        <f>IF(AND('Daily Sale entry '!X805&lt;&gt;"",OR('Daily Sale entry '!AC805&lt;&gt;"",'Daily Sale entry '!AD805&lt;&gt;"")),'Daily Sale entry '!X805+ROW()/10000000,"")</f>
        <v/>
      </c>
      <c r="L805" s="21">
        <f>IF(K805="","",COUNTIF($K$2:$K$3001,"&lt;"&amp;K805)+1)</f>
        <v/>
      </c>
    </row>
    <row r="806">
      <c r="A806" s="5">
        <f>IF($J806="","",IF($J806&lt;=1500,INDEX('Daily Sale entry '!$X$1:$X$1501,$J806+1),INDEX('Daily Sale entry '!$V$1:$V$1501,$J806-1499)))</f>
        <v/>
      </c>
      <c r="B806">
        <f>IF($J806="","",IF($J806&lt;=1500,INDEX('Daily Sale entry '!$Y$1:$Y$1501,$J806+1)&amp;"","Buyer cheque banked 买家支票存入"&amp;IF(INDEX('Daily Sale entry '!$U$1:$U$1501,$J806-1499)="","", " - "&amp;INDEX('Daily Sale entry '!$U$1:$U$1501,$J806-1499))))</f>
        <v/>
      </c>
      <c r="C806">
        <f>IF($J806="","",IF($J806&lt;=1500,INDEX('Daily Sale entry '!$Z$1:$Z$1501,$J806+1)&amp;"","Cheque deposit 支票存入 (buyer 买家)"))</f>
        <v/>
      </c>
      <c r="D806">
        <f>IF($J806="","",IF($J806&lt;=1500,INDEX('Daily Sale entry '!$AA$1:$AA$1501,$J806+1)&amp;"",INDEX('Daily Sale entry '!$P$1:$P$1501,$J806-1499)&amp;""))</f>
        <v/>
      </c>
      <c r="E806">
        <f>IF($J806="","",IF($J806&lt;=1500,IF(N(INDEX('Daily Sale entry '!$AB$1:$AB$1501,$J806+1))=0,"",INDEX('Daily Sale entry '!$AB$1:$AB$1501,$J806+1)),1))</f>
        <v/>
      </c>
      <c r="F806" s="6">
        <f>IF($J806="","",IF($J806&lt;=1500,N(INDEX('Daily Sale entry '!$AC$1:$AC$1501,$J806+1))-IF(AND('Opening Balance'!$B$15=1,INDEX('Daily Sale entry '!$Z$1:$Z$1501,$J806+1)="Online collection 网上收款",INDEX('Daily Sale entry '!$AA$1:$AA$1501,$J806+1)&lt;&gt;""),N(INDEX('Daily Sale entry '!$AC$1:$AC$1501,$J806+1))-TRUNC(N(INDEX('Daily Sale entry '!$AC$1:$AC$1501,$J806+1))),0),N(INDEX('Daily Sale entry '!$S$1:$S$1501,$J806-1499))-'Opening Balance'!$B$15*(N(INDEX('Daily Sale entry '!$S$1:$S$1501,$J806-1499))-TRUNC(N(INDEX('Daily Sale entry '!$S$1:$S$1501,$J806-1499))))))</f>
        <v/>
      </c>
      <c r="G806" s="6">
        <f>IF($J806="","",IF($J806&lt;=1500,N(INDEX('Daily Sale entry '!$AD$1:$AD$1501,$J806+1)),0))</f>
        <v/>
      </c>
      <c r="H806" s="6">
        <f>IF($J806="","",ROUND('Opening Balance'!$B$4+SUM($F$2:F806)-SUM($G$2:G806),2))</f>
        <v/>
      </c>
      <c r="J806" s="21">
        <f>IFERROR(MATCH(ROW()-1,$L$2:$L$3001,0),"")</f>
        <v/>
      </c>
      <c r="K806" s="34">
        <f>IF(AND('Daily Sale entry '!X806&lt;&gt;"",OR('Daily Sale entry '!AC806&lt;&gt;"",'Daily Sale entry '!AD806&lt;&gt;"")),'Daily Sale entry '!X806+ROW()/10000000,"")</f>
        <v/>
      </c>
      <c r="L806" s="21">
        <f>IF(K806="","",COUNTIF($K$2:$K$3001,"&lt;"&amp;K806)+1)</f>
        <v/>
      </c>
    </row>
    <row r="807">
      <c r="A807" s="5">
        <f>IF($J807="","",IF($J807&lt;=1500,INDEX('Daily Sale entry '!$X$1:$X$1501,$J807+1),INDEX('Daily Sale entry '!$V$1:$V$1501,$J807-1499)))</f>
        <v/>
      </c>
      <c r="B807">
        <f>IF($J807="","",IF($J807&lt;=1500,INDEX('Daily Sale entry '!$Y$1:$Y$1501,$J807+1)&amp;"","Buyer cheque banked 买家支票存入"&amp;IF(INDEX('Daily Sale entry '!$U$1:$U$1501,$J807-1499)="","", " - "&amp;INDEX('Daily Sale entry '!$U$1:$U$1501,$J807-1499))))</f>
        <v/>
      </c>
      <c r="C807">
        <f>IF($J807="","",IF($J807&lt;=1500,INDEX('Daily Sale entry '!$Z$1:$Z$1501,$J807+1)&amp;"","Cheque deposit 支票存入 (buyer 买家)"))</f>
        <v/>
      </c>
      <c r="D807">
        <f>IF($J807="","",IF($J807&lt;=1500,INDEX('Daily Sale entry '!$AA$1:$AA$1501,$J807+1)&amp;"",INDEX('Daily Sale entry '!$P$1:$P$1501,$J807-1499)&amp;""))</f>
        <v/>
      </c>
      <c r="E807">
        <f>IF($J807="","",IF($J807&lt;=1500,IF(N(INDEX('Daily Sale entry '!$AB$1:$AB$1501,$J807+1))=0,"",INDEX('Daily Sale entry '!$AB$1:$AB$1501,$J807+1)),1))</f>
        <v/>
      </c>
      <c r="F807" s="6">
        <f>IF($J807="","",IF($J807&lt;=1500,N(INDEX('Daily Sale entry '!$AC$1:$AC$1501,$J807+1))-IF(AND('Opening Balance'!$B$15=1,INDEX('Daily Sale entry '!$Z$1:$Z$1501,$J807+1)="Online collection 网上收款",INDEX('Daily Sale entry '!$AA$1:$AA$1501,$J807+1)&lt;&gt;""),N(INDEX('Daily Sale entry '!$AC$1:$AC$1501,$J807+1))-TRUNC(N(INDEX('Daily Sale entry '!$AC$1:$AC$1501,$J807+1))),0),N(INDEX('Daily Sale entry '!$S$1:$S$1501,$J807-1499))-'Opening Balance'!$B$15*(N(INDEX('Daily Sale entry '!$S$1:$S$1501,$J807-1499))-TRUNC(N(INDEX('Daily Sale entry '!$S$1:$S$1501,$J807-1499))))))</f>
        <v/>
      </c>
      <c r="G807" s="6">
        <f>IF($J807="","",IF($J807&lt;=1500,N(INDEX('Daily Sale entry '!$AD$1:$AD$1501,$J807+1)),0))</f>
        <v/>
      </c>
      <c r="H807" s="6">
        <f>IF($J807="","",ROUND('Opening Balance'!$B$4+SUM($F$2:F807)-SUM($G$2:G807),2))</f>
        <v/>
      </c>
      <c r="J807" s="21">
        <f>IFERROR(MATCH(ROW()-1,$L$2:$L$3001,0),"")</f>
        <v/>
      </c>
      <c r="K807" s="34">
        <f>IF(AND('Daily Sale entry '!X807&lt;&gt;"",OR('Daily Sale entry '!AC807&lt;&gt;"",'Daily Sale entry '!AD807&lt;&gt;"")),'Daily Sale entry '!X807+ROW()/10000000,"")</f>
        <v/>
      </c>
      <c r="L807" s="21">
        <f>IF(K807="","",COUNTIF($K$2:$K$3001,"&lt;"&amp;K807)+1)</f>
        <v/>
      </c>
    </row>
    <row r="808">
      <c r="A808" s="5">
        <f>IF($J808="","",IF($J808&lt;=1500,INDEX('Daily Sale entry '!$X$1:$X$1501,$J808+1),INDEX('Daily Sale entry '!$V$1:$V$1501,$J808-1499)))</f>
        <v/>
      </c>
      <c r="B808">
        <f>IF($J808="","",IF($J808&lt;=1500,INDEX('Daily Sale entry '!$Y$1:$Y$1501,$J808+1)&amp;"","Buyer cheque banked 买家支票存入"&amp;IF(INDEX('Daily Sale entry '!$U$1:$U$1501,$J808-1499)="","", " - "&amp;INDEX('Daily Sale entry '!$U$1:$U$1501,$J808-1499))))</f>
        <v/>
      </c>
      <c r="C808">
        <f>IF($J808="","",IF($J808&lt;=1500,INDEX('Daily Sale entry '!$Z$1:$Z$1501,$J808+1)&amp;"","Cheque deposit 支票存入 (buyer 买家)"))</f>
        <v/>
      </c>
      <c r="D808">
        <f>IF($J808="","",IF($J808&lt;=1500,INDEX('Daily Sale entry '!$AA$1:$AA$1501,$J808+1)&amp;"",INDEX('Daily Sale entry '!$P$1:$P$1501,$J808-1499)&amp;""))</f>
        <v/>
      </c>
      <c r="E808">
        <f>IF($J808="","",IF($J808&lt;=1500,IF(N(INDEX('Daily Sale entry '!$AB$1:$AB$1501,$J808+1))=0,"",INDEX('Daily Sale entry '!$AB$1:$AB$1501,$J808+1)),1))</f>
        <v/>
      </c>
      <c r="F808" s="6">
        <f>IF($J808="","",IF($J808&lt;=1500,N(INDEX('Daily Sale entry '!$AC$1:$AC$1501,$J808+1))-IF(AND('Opening Balance'!$B$15=1,INDEX('Daily Sale entry '!$Z$1:$Z$1501,$J808+1)="Online collection 网上收款",INDEX('Daily Sale entry '!$AA$1:$AA$1501,$J808+1)&lt;&gt;""),N(INDEX('Daily Sale entry '!$AC$1:$AC$1501,$J808+1))-TRUNC(N(INDEX('Daily Sale entry '!$AC$1:$AC$1501,$J808+1))),0),N(INDEX('Daily Sale entry '!$S$1:$S$1501,$J808-1499))-'Opening Balance'!$B$15*(N(INDEX('Daily Sale entry '!$S$1:$S$1501,$J808-1499))-TRUNC(N(INDEX('Daily Sale entry '!$S$1:$S$1501,$J808-1499))))))</f>
        <v/>
      </c>
      <c r="G808" s="6">
        <f>IF($J808="","",IF($J808&lt;=1500,N(INDEX('Daily Sale entry '!$AD$1:$AD$1501,$J808+1)),0))</f>
        <v/>
      </c>
      <c r="H808" s="6">
        <f>IF($J808="","",ROUND('Opening Balance'!$B$4+SUM($F$2:F808)-SUM($G$2:G808),2))</f>
        <v/>
      </c>
      <c r="J808" s="21">
        <f>IFERROR(MATCH(ROW()-1,$L$2:$L$3001,0),"")</f>
        <v/>
      </c>
      <c r="K808" s="34">
        <f>IF(AND('Daily Sale entry '!X808&lt;&gt;"",OR('Daily Sale entry '!AC808&lt;&gt;"",'Daily Sale entry '!AD808&lt;&gt;"")),'Daily Sale entry '!X808+ROW()/10000000,"")</f>
        <v/>
      </c>
      <c r="L808" s="21">
        <f>IF(K808="","",COUNTIF($K$2:$K$3001,"&lt;"&amp;K808)+1)</f>
        <v/>
      </c>
    </row>
    <row r="809">
      <c r="A809" s="5">
        <f>IF($J809="","",IF($J809&lt;=1500,INDEX('Daily Sale entry '!$X$1:$X$1501,$J809+1),INDEX('Daily Sale entry '!$V$1:$V$1501,$J809-1499)))</f>
        <v/>
      </c>
      <c r="B809">
        <f>IF($J809="","",IF($J809&lt;=1500,INDEX('Daily Sale entry '!$Y$1:$Y$1501,$J809+1)&amp;"","Buyer cheque banked 买家支票存入"&amp;IF(INDEX('Daily Sale entry '!$U$1:$U$1501,$J809-1499)="","", " - "&amp;INDEX('Daily Sale entry '!$U$1:$U$1501,$J809-1499))))</f>
        <v/>
      </c>
      <c r="C809">
        <f>IF($J809="","",IF($J809&lt;=1500,INDEX('Daily Sale entry '!$Z$1:$Z$1501,$J809+1)&amp;"","Cheque deposit 支票存入 (buyer 买家)"))</f>
        <v/>
      </c>
      <c r="D809">
        <f>IF($J809="","",IF($J809&lt;=1500,INDEX('Daily Sale entry '!$AA$1:$AA$1501,$J809+1)&amp;"",INDEX('Daily Sale entry '!$P$1:$P$1501,$J809-1499)&amp;""))</f>
        <v/>
      </c>
      <c r="E809">
        <f>IF($J809="","",IF($J809&lt;=1500,IF(N(INDEX('Daily Sale entry '!$AB$1:$AB$1501,$J809+1))=0,"",INDEX('Daily Sale entry '!$AB$1:$AB$1501,$J809+1)),1))</f>
        <v/>
      </c>
      <c r="F809" s="6">
        <f>IF($J809="","",IF($J809&lt;=1500,N(INDEX('Daily Sale entry '!$AC$1:$AC$1501,$J809+1))-IF(AND('Opening Balance'!$B$15=1,INDEX('Daily Sale entry '!$Z$1:$Z$1501,$J809+1)="Online collection 网上收款",INDEX('Daily Sale entry '!$AA$1:$AA$1501,$J809+1)&lt;&gt;""),N(INDEX('Daily Sale entry '!$AC$1:$AC$1501,$J809+1))-TRUNC(N(INDEX('Daily Sale entry '!$AC$1:$AC$1501,$J809+1))),0),N(INDEX('Daily Sale entry '!$S$1:$S$1501,$J809-1499))-'Opening Balance'!$B$15*(N(INDEX('Daily Sale entry '!$S$1:$S$1501,$J809-1499))-TRUNC(N(INDEX('Daily Sale entry '!$S$1:$S$1501,$J809-1499))))))</f>
        <v/>
      </c>
      <c r="G809" s="6">
        <f>IF($J809="","",IF($J809&lt;=1500,N(INDEX('Daily Sale entry '!$AD$1:$AD$1501,$J809+1)),0))</f>
        <v/>
      </c>
      <c r="H809" s="6">
        <f>IF($J809="","",ROUND('Opening Balance'!$B$4+SUM($F$2:F809)-SUM($G$2:G809),2))</f>
        <v/>
      </c>
      <c r="J809" s="21">
        <f>IFERROR(MATCH(ROW()-1,$L$2:$L$3001,0),"")</f>
        <v/>
      </c>
      <c r="K809" s="34">
        <f>IF(AND('Daily Sale entry '!X809&lt;&gt;"",OR('Daily Sale entry '!AC809&lt;&gt;"",'Daily Sale entry '!AD809&lt;&gt;"")),'Daily Sale entry '!X809+ROW()/10000000,"")</f>
        <v/>
      </c>
      <c r="L809" s="21">
        <f>IF(K809="","",COUNTIF($K$2:$K$3001,"&lt;"&amp;K809)+1)</f>
        <v/>
      </c>
    </row>
    <row r="810">
      <c r="A810" s="5">
        <f>IF($J810="","",IF($J810&lt;=1500,INDEX('Daily Sale entry '!$X$1:$X$1501,$J810+1),INDEX('Daily Sale entry '!$V$1:$V$1501,$J810-1499)))</f>
        <v/>
      </c>
      <c r="B810">
        <f>IF($J810="","",IF($J810&lt;=1500,INDEX('Daily Sale entry '!$Y$1:$Y$1501,$J810+1)&amp;"","Buyer cheque banked 买家支票存入"&amp;IF(INDEX('Daily Sale entry '!$U$1:$U$1501,$J810-1499)="","", " - "&amp;INDEX('Daily Sale entry '!$U$1:$U$1501,$J810-1499))))</f>
        <v/>
      </c>
      <c r="C810">
        <f>IF($J810="","",IF($J810&lt;=1500,INDEX('Daily Sale entry '!$Z$1:$Z$1501,$J810+1)&amp;"","Cheque deposit 支票存入 (buyer 买家)"))</f>
        <v/>
      </c>
      <c r="D810">
        <f>IF($J810="","",IF($J810&lt;=1500,INDEX('Daily Sale entry '!$AA$1:$AA$1501,$J810+1)&amp;"",INDEX('Daily Sale entry '!$P$1:$P$1501,$J810-1499)&amp;""))</f>
        <v/>
      </c>
      <c r="E810">
        <f>IF($J810="","",IF($J810&lt;=1500,IF(N(INDEX('Daily Sale entry '!$AB$1:$AB$1501,$J810+1))=0,"",INDEX('Daily Sale entry '!$AB$1:$AB$1501,$J810+1)),1))</f>
        <v/>
      </c>
      <c r="F810" s="6">
        <f>IF($J810="","",IF($J810&lt;=1500,N(INDEX('Daily Sale entry '!$AC$1:$AC$1501,$J810+1))-IF(AND('Opening Balance'!$B$15=1,INDEX('Daily Sale entry '!$Z$1:$Z$1501,$J810+1)="Online collection 网上收款",INDEX('Daily Sale entry '!$AA$1:$AA$1501,$J810+1)&lt;&gt;""),N(INDEX('Daily Sale entry '!$AC$1:$AC$1501,$J810+1))-TRUNC(N(INDEX('Daily Sale entry '!$AC$1:$AC$1501,$J810+1))),0),N(INDEX('Daily Sale entry '!$S$1:$S$1501,$J810-1499))-'Opening Balance'!$B$15*(N(INDEX('Daily Sale entry '!$S$1:$S$1501,$J810-1499))-TRUNC(N(INDEX('Daily Sale entry '!$S$1:$S$1501,$J810-1499))))))</f>
        <v/>
      </c>
      <c r="G810" s="6">
        <f>IF($J810="","",IF($J810&lt;=1500,N(INDEX('Daily Sale entry '!$AD$1:$AD$1501,$J810+1)),0))</f>
        <v/>
      </c>
      <c r="H810" s="6">
        <f>IF($J810="","",ROUND('Opening Balance'!$B$4+SUM($F$2:F810)-SUM($G$2:G810),2))</f>
        <v/>
      </c>
      <c r="J810" s="21">
        <f>IFERROR(MATCH(ROW()-1,$L$2:$L$3001,0),"")</f>
        <v/>
      </c>
      <c r="K810" s="34">
        <f>IF(AND('Daily Sale entry '!X810&lt;&gt;"",OR('Daily Sale entry '!AC810&lt;&gt;"",'Daily Sale entry '!AD810&lt;&gt;"")),'Daily Sale entry '!X810+ROW()/10000000,"")</f>
        <v/>
      </c>
      <c r="L810" s="21">
        <f>IF(K810="","",COUNTIF($K$2:$K$3001,"&lt;"&amp;K810)+1)</f>
        <v/>
      </c>
    </row>
    <row r="811">
      <c r="A811" s="5">
        <f>IF($J811="","",IF($J811&lt;=1500,INDEX('Daily Sale entry '!$X$1:$X$1501,$J811+1),INDEX('Daily Sale entry '!$V$1:$V$1501,$J811-1499)))</f>
        <v/>
      </c>
      <c r="B811">
        <f>IF($J811="","",IF($J811&lt;=1500,INDEX('Daily Sale entry '!$Y$1:$Y$1501,$J811+1)&amp;"","Buyer cheque banked 买家支票存入"&amp;IF(INDEX('Daily Sale entry '!$U$1:$U$1501,$J811-1499)="","", " - "&amp;INDEX('Daily Sale entry '!$U$1:$U$1501,$J811-1499))))</f>
        <v/>
      </c>
      <c r="C811">
        <f>IF($J811="","",IF($J811&lt;=1500,INDEX('Daily Sale entry '!$Z$1:$Z$1501,$J811+1)&amp;"","Cheque deposit 支票存入 (buyer 买家)"))</f>
        <v/>
      </c>
      <c r="D811">
        <f>IF($J811="","",IF($J811&lt;=1500,INDEX('Daily Sale entry '!$AA$1:$AA$1501,$J811+1)&amp;"",INDEX('Daily Sale entry '!$P$1:$P$1501,$J811-1499)&amp;""))</f>
        <v/>
      </c>
      <c r="E811">
        <f>IF($J811="","",IF($J811&lt;=1500,IF(N(INDEX('Daily Sale entry '!$AB$1:$AB$1501,$J811+1))=0,"",INDEX('Daily Sale entry '!$AB$1:$AB$1501,$J811+1)),1))</f>
        <v/>
      </c>
      <c r="F811" s="6">
        <f>IF($J811="","",IF($J811&lt;=1500,N(INDEX('Daily Sale entry '!$AC$1:$AC$1501,$J811+1))-IF(AND('Opening Balance'!$B$15=1,INDEX('Daily Sale entry '!$Z$1:$Z$1501,$J811+1)="Online collection 网上收款",INDEX('Daily Sale entry '!$AA$1:$AA$1501,$J811+1)&lt;&gt;""),N(INDEX('Daily Sale entry '!$AC$1:$AC$1501,$J811+1))-TRUNC(N(INDEX('Daily Sale entry '!$AC$1:$AC$1501,$J811+1))),0),N(INDEX('Daily Sale entry '!$S$1:$S$1501,$J811-1499))-'Opening Balance'!$B$15*(N(INDEX('Daily Sale entry '!$S$1:$S$1501,$J811-1499))-TRUNC(N(INDEX('Daily Sale entry '!$S$1:$S$1501,$J811-1499))))))</f>
        <v/>
      </c>
      <c r="G811" s="6">
        <f>IF($J811="","",IF($J811&lt;=1500,N(INDEX('Daily Sale entry '!$AD$1:$AD$1501,$J811+1)),0))</f>
        <v/>
      </c>
      <c r="H811" s="6">
        <f>IF($J811="","",ROUND('Opening Balance'!$B$4+SUM($F$2:F811)-SUM($G$2:G811),2))</f>
        <v/>
      </c>
      <c r="J811" s="21">
        <f>IFERROR(MATCH(ROW()-1,$L$2:$L$3001,0),"")</f>
        <v/>
      </c>
      <c r="K811" s="34">
        <f>IF(AND('Daily Sale entry '!X811&lt;&gt;"",OR('Daily Sale entry '!AC811&lt;&gt;"",'Daily Sale entry '!AD811&lt;&gt;"")),'Daily Sale entry '!X811+ROW()/10000000,"")</f>
        <v/>
      </c>
      <c r="L811" s="21">
        <f>IF(K811="","",COUNTIF($K$2:$K$3001,"&lt;"&amp;K811)+1)</f>
        <v/>
      </c>
    </row>
    <row r="812">
      <c r="A812" s="5">
        <f>IF($J812="","",IF($J812&lt;=1500,INDEX('Daily Sale entry '!$X$1:$X$1501,$J812+1),INDEX('Daily Sale entry '!$V$1:$V$1501,$J812-1499)))</f>
        <v/>
      </c>
      <c r="B812">
        <f>IF($J812="","",IF($J812&lt;=1500,INDEX('Daily Sale entry '!$Y$1:$Y$1501,$J812+1)&amp;"","Buyer cheque banked 买家支票存入"&amp;IF(INDEX('Daily Sale entry '!$U$1:$U$1501,$J812-1499)="","", " - "&amp;INDEX('Daily Sale entry '!$U$1:$U$1501,$J812-1499))))</f>
        <v/>
      </c>
      <c r="C812">
        <f>IF($J812="","",IF($J812&lt;=1500,INDEX('Daily Sale entry '!$Z$1:$Z$1501,$J812+1)&amp;"","Cheque deposit 支票存入 (buyer 买家)"))</f>
        <v/>
      </c>
      <c r="D812">
        <f>IF($J812="","",IF($J812&lt;=1500,INDEX('Daily Sale entry '!$AA$1:$AA$1501,$J812+1)&amp;"",INDEX('Daily Sale entry '!$P$1:$P$1501,$J812-1499)&amp;""))</f>
        <v/>
      </c>
      <c r="E812">
        <f>IF($J812="","",IF($J812&lt;=1500,IF(N(INDEX('Daily Sale entry '!$AB$1:$AB$1501,$J812+1))=0,"",INDEX('Daily Sale entry '!$AB$1:$AB$1501,$J812+1)),1))</f>
        <v/>
      </c>
      <c r="F812" s="6">
        <f>IF($J812="","",IF($J812&lt;=1500,N(INDEX('Daily Sale entry '!$AC$1:$AC$1501,$J812+1))-IF(AND('Opening Balance'!$B$15=1,INDEX('Daily Sale entry '!$Z$1:$Z$1501,$J812+1)="Online collection 网上收款",INDEX('Daily Sale entry '!$AA$1:$AA$1501,$J812+1)&lt;&gt;""),N(INDEX('Daily Sale entry '!$AC$1:$AC$1501,$J812+1))-TRUNC(N(INDEX('Daily Sale entry '!$AC$1:$AC$1501,$J812+1))),0),N(INDEX('Daily Sale entry '!$S$1:$S$1501,$J812-1499))-'Opening Balance'!$B$15*(N(INDEX('Daily Sale entry '!$S$1:$S$1501,$J812-1499))-TRUNC(N(INDEX('Daily Sale entry '!$S$1:$S$1501,$J812-1499))))))</f>
        <v/>
      </c>
      <c r="G812" s="6">
        <f>IF($J812="","",IF($J812&lt;=1500,N(INDEX('Daily Sale entry '!$AD$1:$AD$1501,$J812+1)),0))</f>
        <v/>
      </c>
      <c r="H812" s="6">
        <f>IF($J812="","",ROUND('Opening Balance'!$B$4+SUM($F$2:F812)-SUM($G$2:G812),2))</f>
        <v/>
      </c>
      <c r="J812" s="21">
        <f>IFERROR(MATCH(ROW()-1,$L$2:$L$3001,0),"")</f>
        <v/>
      </c>
      <c r="K812" s="34">
        <f>IF(AND('Daily Sale entry '!X812&lt;&gt;"",OR('Daily Sale entry '!AC812&lt;&gt;"",'Daily Sale entry '!AD812&lt;&gt;"")),'Daily Sale entry '!X812+ROW()/10000000,"")</f>
        <v/>
      </c>
      <c r="L812" s="21">
        <f>IF(K812="","",COUNTIF($K$2:$K$3001,"&lt;"&amp;K812)+1)</f>
        <v/>
      </c>
    </row>
    <row r="813">
      <c r="A813" s="5">
        <f>IF($J813="","",IF($J813&lt;=1500,INDEX('Daily Sale entry '!$X$1:$X$1501,$J813+1),INDEX('Daily Sale entry '!$V$1:$V$1501,$J813-1499)))</f>
        <v/>
      </c>
      <c r="B813">
        <f>IF($J813="","",IF($J813&lt;=1500,INDEX('Daily Sale entry '!$Y$1:$Y$1501,$J813+1)&amp;"","Buyer cheque banked 买家支票存入"&amp;IF(INDEX('Daily Sale entry '!$U$1:$U$1501,$J813-1499)="","", " - "&amp;INDEX('Daily Sale entry '!$U$1:$U$1501,$J813-1499))))</f>
        <v/>
      </c>
      <c r="C813">
        <f>IF($J813="","",IF($J813&lt;=1500,INDEX('Daily Sale entry '!$Z$1:$Z$1501,$J813+1)&amp;"","Cheque deposit 支票存入 (buyer 买家)"))</f>
        <v/>
      </c>
      <c r="D813">
        <f>IF($J813="","",IF($J813&lt;=1500,INDEX('Daily Sale entry '!$AA$1:$AA$1501,$J813+1)&amp;"",INDEX('Daily Sale entry '!$P$1:$P$1501,$J813-1499)&amp;""))</f>
        <v/>
      </c>
      <c r="E813">
        <f>IF($J813="","",IF($J813&lt;=1500,IF(N(INDEX('Daily Sale entry '!$AB$1:$AB$1501,$J813+1))=0,"",INDEX('Daily Sale entry '!$AB$1:$AB$1501,$J813+1)),1))</f>
        <v/>
      </c>
      <c r="F813" s="6">
        <f>IF($J813="","",IF($J813&lt;=1500,N(INDEX('Daily Sale entry '!$AC$1:$AC$1501,$J813+1))-IF(AND('Opening Balance'!$B$15=1,INDEX('Daily Sale entry '!$Z$1:$Z$1501,$J813+1)="Online collection 网上收款",INDEX('Daily Sale entry '!$AA$1:$AA$1501,$J813+1)&lt;&gt;""),N(INDEX('Daily Sale entry '!$AC$1:$AC$1501,$J813+1))-TRUNC(N(INDEX('Daily Sale entry '!$AC$1:$AC$1501,$J813+1))),0),N(INDEX('Daily Sale entry '!$S$1:$S$1501,$J813-1499))-'Opening Balance'!$B$15*(N(INDEX('Daily Sale entry '!$S$1:$S$1501,$J813-1499))-TRUNC(N(INDEX('Daily Sale entry '!$S$1:$S$1501,$J813-1499))))))</f>
        <v/>
      </c>
      <c r="G813" s="6">
        <f>IF($J813="","",IF($J813&lt;=1500,N(INDEX('Daily Sale entry '!$AD$1:$AD$1501,$J813+1)),0))</f>
        <v/>
      </c>
      <c r="H813" s="6">
        <f>IF($J813="","",ROUND('Opening Balance'!$B$4+SUM($F$2:F813)-SUM($G$2:G813),2))</f>
        <v/>
      </c>
      <c r="J813" s="21">
        <f>IFERROR(MATCH(ROW()-1,$L$2:$L$3001,0),"")</f>
        <v/>
      </c>
      <c r="K813" s="34">
        <f>IF(AND('Daily Sale entry '!X813&lt;&gt;"",OR('Daily Sale entry '!AC813&lt;&gt;"",'Daily Sale entry '!AD813&lt;&gt;"")),'Daily Sale entry '!X813+ROW()/10000000,"")</f>
        <v/>
      </c>
      <c r="L813" s="21">
        <f>IF(K813="","",COUNTIF($K$2:$K$3001,"&lt;"&amp;K813)+1)</f>
        <v/>
      </c>
    </row>
    <row r="814">
      <c r="A814" s="5">
        <f>IF($J814="","",IF($J814&lt;=1500,INDEX('Daily Sale entry '!$X$1:$X$1501,$J814+1),INDEX('Daily Sale entry '!$V$1:$V$1501,$J814-1499)))</f>
        <v/>
      </c>
      <c r="B814">
        <f>IF($J814="","",IF($J814&lt;=1500,INDEX('Daily Sale entry '!$Y$1:$Y$1501,$J814+1)&amp;"","Buyer cheque banked 买家支票存入"&amp;IF(INDEX('Daily Sale entry '!$U$1:$U$1501,$J814-1499)="","", " - "&amp;INDEX('Daily Sale entry '!$U$1:$U$1501,$J814-1499))))</f>
        <v/>
      </c>
      <c r="C814">
        <f>IF($J814="","",IF($J814&lt;=1500,INDEX('Daily Sale entry '!$Z$1:$Z$1501,$J814+1)&amp;"","Cheque deposit 支票存入 (buyer 买家)"))</f>
        <v/>
      </c>
      <c r="D814">
        <f>IF($J814="","",IF($J814&lt;=1500,INDEX('Daily Sale entry '!$AA$1:$AA$1501,$J814+1)&amp;"",INDEX('Daily Sale entry '!$P$1:$P$1501,$J814-1499)&amp;""))</f>
        <v/>
      </c>
      <c r="E814">
        <f>IF($J814="","",IF($J814&lt;=1500,IF(N(INDEX('Daily Sale entry '!$AB$1:$AB$1501,$J814+1))=0,"",INDEX('Daily Sale entry '!$AB$1:$AB$1501,$J814+1)),1))</f>
        <v/>
      </c>
      <c r="F814" s="6">
        <f>IF($J814="","",IF($J814&lt;=1500,N(INDEX('Daily Sale entry '!$AC$1:$AC$1501,$J814+1))-IF(AND('Opening Balance'!$B$15=1,INDEX('Daily Sale entry '!$Z$1:$Z$1501,$J814+1)="Online collection 网上收款",INDEX('Daily Sale entry '!$AA$1:$AA$1501,$J814+1)&lt;&gt;""),N(INDEX('Daily Sale entry '!$AC$1:$AC$1501,$J814+1))-TRUNC(N(INDEX('Daily Sale entry '!$AC$1:$AC$1501,$J814+1))),0),N(INDEX('Daily Sale entry '!$S$1:$S$1501,$J814-1499))-'Opening Balance'!$B$15*(N(INDEX('Daily Sale entry '!$S$1:$S$1501,$J814-1499))-TRUNC(N(INDEX('Daily Sale entry '!$S$1:$S$1501,$J814-1499))))))</f>
        <v/>
      </c>
      <c r="G814" s="6">
        <f>IF($J814="","",IF($J814&lt;=1500,N(INDEX('Daily Sale entry '!$AD$1:$AD$1501,$J814+1)),0))</f>
        <v/>
      </c>
      <c r="H814" s="6">
        <f>IF($J814="","",ROUND('Opening Balance'!$B$4+SUM($F$2:F814)-SUM($G$2:G814),2))</f>
        <v/>
      </c>
      <c r="J814" s="21">
        <f>IFERROR(MATCH(ROW()-1,$L$2:$L$3001,0),"")</f>
        <v/>
      </c>
      <c r="K814" s="34">
        <f>IF(AND('Daily Sale entry '!X814&lt;&gt;"",OR('Daily Sale entry '!AC814&lt;&gt;"",'Daily Sale entry '!AD814&lt;&gt;"")),'Daily Sale entry '!X814+ROW()/10000000,"")</f>
        <v/>
      </c>
      <c r="L814" s="21">
        <f>IF(K814="","",COUNTIF($K$2:$K$3001,"&lt;"&amp;K814)+1)</f>
        <v/>
      </c>
    </row>
    <row r="815">
      <c r="A815" s="5">
        <f>IF($J815="","",IF($J815&lt;=1500,INDEX('Daily Sale entry '!$X$1:$X$1501,$J815+1),INDEX('Daily Sale entry '!$V$1:$V$1501,$J815-1499)))</f>
        <v/>
      </c>
      <c r="B815">
        <f>IF($J815="","",IF($J815&lt;=1500,INDEX('Daily Sale entry '!$Y$1:$Y$1501,$J815+1)&amp;"","Buyer cheque banked 买家支票存入"&amp;IF(INDEX('Daily Sale entry '!$U$1:$U$1501,$J815-1499)="","", " - "&amp;INDEX('Daily Sale entry '!$U$1:$U$1501,$J815-1499))))</f>
        <v/>
      </c>
      <c r="C815">
        <f>IF($J815="","",IF($J815&lt;=1500,INDEX('Daily Sale entry '!$Z$1:$Z$1501,$J815+1)&amp;"","Cheque deposit 支票存入 (buyer 买家)"))</f>
        <v/>
      </c>
      <c r="D815">
        <f>IF($J815="","",IF($J815&lt;=1500,INDEX('Daily Sale entry '!$AA$1:$AA$1501,$J815+1)&amp;"",INDEX('Daily Sale entry '!$P$1:$P$1501,$J815-1499)&amp;""))</f>
        <v/>
      </c>
      <c r="E815">
        <f>IF($J815="","",IF($J815&lt;=1500,IF(N(INDEX('Daily Sale entry '!$AB$1:$AB$1501,$J815+1))=0,"",INDEX('Daily Sale entry '!$AB$1:$AB$1501,$J815+1)),1))</f>
        <v/>
      </c>
      <c r="F815" s="6">
        <f>IF($J815="","",IF($J815&lt;=1500,N(INDEX('Daily Sale entry '!$AC$1:$AC$1501,$J815+1))-IF(AND('Opening Balance'!$B$15=1,INDEX('Daily Sale entry '!$Z$1:$Z$1501,$J815+1)="Online collection 网上收款",INDEX('Daily Sale entry '!$AA$1:$AA$1501,$J815+1)&lt;&gt;""),N(INDEX('Daily Sale entry '!$AC$1:$AC$1501,$J815+1))-TRUNC(N(INDEX('Daily Sale entry '!$AC$1:$AC$1501,$J815+1))),0),N(INDEX('Daily Sale entry '!$S$1:$S$1501,$J815-1499))-'Opening Balance'!$B$15*(N(INDEX('Daily Sale entry '!$S$1:$S$1501,$J815-1499))-TRUNC(N(INDEX('Daily Sale entry '!$S$1:$S$1501,$J815-1499))))))</f>
        <v/>
      </c>
      <c r="G815" s="6">
        <f>IF($J815="","",IF($J815&lt;=1500,N(INDEX('Daily Sale entry '!$AD$1:$AD$1501,$J815+1)),0))</f>
        <v/>
      </c>
      <c r="H815" s="6">
        <f>IF($J815="","",ROUND('Opening Balance'!$B$4+SUM($F$2:F815)-SUM($G$2:G815),2))</f>
        <v/>
      </c>
      <c r="J815" s="21">
        <f>IFERROR(MATCH(ROW()-1,$L$2:$L$3001,0),"")</f>
        <v/>
      </c>
      <c r="K815" s="34">
        <f>IF(AND('Daily Sale entry '!X815&lt;&gt;"",OR('Daily Sale entry '!AC815&lt;&gt;"",'Daily Sale entry '!AD815&lt;&gt;"")),'Daily Sale entry '!X815+ROW()/10000000,"")</f>
        <v/>
      </c>
      <c r="L815" s="21">
        <f>IF(K815="","",COUNTIF($K$2:$K$3001,"&lt;"&amp;K815)+1)</f>
        <v/>
      </c>
    </row>
    <row r="816">
      <c r="A816" s="5">
        <f>IF($J816="","",IF($J816&lt;=1500,INDEX('Daily Sale entry '!$X$1:$X$1501,$J816+1),INDEX('Daily Sale entry '!$V$1:$V$1501,$J816-1499)))</f>
        <v/>
      </c>
      <c r="B816">
        <f>IF($J816="","",IF($J816&lt;=1500,INDEX('Daily Sale entry '!$Y$1:$Y$1501,$J816+1)&amp;"","Buyer cheque banked 买家支票存入"&amp;IF(INDEX('Daily Sale entry '!$U$1:$U$1501,$J816-1499)="","", " - "&amp;INDEX('Daily Sale entry '!$U$1:$U$1501,$J816-1499))))</f>
        <v/>
      </c>
      <c r="C816">
        <f>IF($J816="","",IF($J816&lt;=1500,INDEX('Daily Sale entry '!$Z$1:$Z$1501,$J816+1)&amp;"","Cheque deposit 支票存入 (buyer 买家)"))</f>
        <v/>
      </c>
      <c r="D816">
        <f>IF($J816="","",IF($J816&lt;=1500,INDEX('Daily Sale entry '!$AA$1:$AA$1501,$J816+1)&amp;"",INDEX('Daily Sale entry '!$P$1:$P$1501,$J816-1499)&amp;""))</f>
        <v/>
      </c>
      <c r="E816">
        <f>IF($J816="","",IF($J816&lt;=1500,IF(N(INDEX('Daily Sale entry '!$AB$1:$AB$1501,$J816+1))=0,"",INDEX('Daily Sale entry '!$AB$1:$AB$1501,$J816+1)),1))</f>
        <v/>
      </c>
      <c r="F816" s="6">
        <f>IF($J816="","",IF($J816&lt;=1500,N(INDEX('Daily Sale entry '!$AC$1:$AC$1501,$J816+1))-IF(AND('Opening Balance'!$B$15=1,INDEX('Daily Sale entry '!$Z$1:$Z$1501,$J816+1)="Online collection 网上收款",INDEX('Daily Sale entry '!$AA$1:$AA$1501,$J816+1)&lt;&gt;""),N(INDEX('Daily Sale entry '!$AC$1:$AC$1501,$J816+1))-TRUNC(N(INDEX('Daily Sale entry '!$AC$1:$AC$1501,$J816+1))),0),N(INDEX('Daily Sale entry '!$S$1:$S$1501,$J816-1499))-'Opening Balance'!$B$15*(N(INDEX('Daily Sale entry '!$S$1:$S$1501,$J816-1499))-TRUNC(N(INDEX('Daily Sale entry '!$S$1:$S$1501,$J816-1499))))))</f>
        <v/>
      </c>
      <c r="G816" s="6">
        <f>IF($J816="","",IF($J816&lt;=1500,N(INDEX('Daily Sale entry '!$AD$1:$AD$1501,$J816+1)),0))</f>
        <v/>
      </c>
      <c r="H816" s="6">
        <f>IF($J816="","",ROUND('Opening Balance'!$B$4+SUM($F$2:F816)-SUM($G$2:G816),2))</f>
        <v/>
      </c>
      <c r="J816" s="21">
        <f>IFERROR(MATCH(ROW()-1,$L$2:$L$3001,0),"")</f>
        <v/>
      </c>
      <c r="K816" s="34">
        <f>IF(AND('Daily Sale entry '!X816&lt;&gt;"",OR('Daily Sale entry '!AC816&lt;&gt;"",'Daily Sale entry '!AD816&lt;&gt;"")),'Daily Sale entry '!X816+ROW()/10000000,"")</f>
        <v/>
      </c>
      <c r="L816" s="21">
        <f>IF(K816="","",COUNTIF($K$2:$K$3001,"&lt;"&amp;K816)+1)</f>
        <v/>
      </c>
    </row>
    <row r="817">
      <c r="A817" s="5">
        <f>IF($J817="","",IF($J817&lt;=1500,INDEX('Daily Sale entry '!$X$1:$X$1501,$J817+1),INDEX('Daily Sale entry '!$V$1:$V$1501,$J817-1499)))</f>
        <v/>
      </c>
      <c r="B817">
        <f>IF($J817="","",IF($J817&lt;=1500,INDEX('Daily Sale entry '!$Y$1:$Y$1501,$J817+1)&amp;"","Buyer cheque banked 买家支票存入"&amp;IF(INDEX('Daily Sale entry '!$U$1:$U$1501,$J817-1499)="","", " - "&amp;INDEX('Daily Sale entry '!$U$1:$U$1501,$J817-1499))))</f>
        <v/>
      </c>
      <c r="C817">
        <f>IF($J817="","",IF($J817&lt;=1500,INDEX('Daily Sale entry '!$Z$1:$Z$1501,$J817+1)&amp;"","Cheque deposit 支票存入 (buyer 买家)"))</f>
        <v/>
      </c>
      <c r="D817">
        <f>IF($J817="","",IF($J817&lt;=1500,INDEX('Daily Sale entry '!$AA$1:$AA$1501,$J817+1)&amp;"",INDEX('Daily Sale entry '!$P$1:$P$1501,$J817-1499)&amp;""))</f>
        <v/>
      </c>
      <c r="E817">
        <f>IF($J817="","",IF($J817&lt;=1500,IF(N(INDEX('Daily Sale entry '!$AB$1:$AB$1501,$J817+1))=0,"",INDEX('Daily Sale entry '!$AB$1:$AB$1501,$J817+1)),1))</f>
        <v/>
      </c>
      <c r="F817" s="6">
        <f>IF($J817="","",IF($J817&lt;=1500,N(INDEX('Daily Sale entry '!$AC$1:$AC$1501,$J817+1))-IF(AND('Opening Balance'!$B$15=1,INDEX('Daily Sale entry '!$Z$1:$Z$1501,$J817+1)="Online collection 网上收款",INDEX('Daily Sale entry '!$AA$1:$AA$1501,$J817+1)&lt;&gt;""),N(INDEX('Daily Sale entry '!$AC$1:$AC$1501,$J817+1))-TRUNC(N(INDEX('Daily Sale entry '!$AC$1:$AC$1501,$J817+1))),0),N(INDEX('Daily Sale entry '!$S$1:$S$1501,$J817-1499))-'Opening Balance'!$B$15*(N(INDEX('Daily Sale entry '!$S$1:$S$1501,$J817-1499))-TRUNC(N(INDEX('Daily Sale entry '!$S$1:$S$1501,$J817-1499))))))</f>
        <v/>
      </c>
      <c r="G817" s="6">
        <f>IF($J817="","",IF($J817&lt;=1500,N(INDEX('Daily Sale entry '!$AD$1:$AD$1501,$J817+1)),0))</f>
        <v/>
      </c>
      <c r="H817" s="6">
        <f>IF($J817="","",ROUND('Opening Balance'!$B$4+SUM($F$2:F817)-SUM($G$2:G817),2))</f>
        <v/>
      </c>
      <c r="J817" s="21">
        <f>IFERROR(MATCH(ROW()-1,$L$2:$L$3001,0),"")</f>
        <v/>
      </c>
      <c r="K817" s="34">
        <f>IF(AND('Daily Sale entry '!X817&lt;&gt;"",OR('Daily Sale entry '!AC817&lt;&gt;"",'Daily Sale entry '!AD817&lt;&gt;"")),'Daily Sale entry '!X817+ROW()/10000000,"")</f>
        <v/>
      </c>
      <c r="L817" s="21">
        <f>IF(K817="","",COUNTIF($K$2:$K$3001,"&lt;"&amp;K817)+1)</f>
        <v/>
      </c>
    </row>
    <row r="818">
      <c r="A818" s="5">
        <f>IF($J818="","",IF($J818&lt;=1500,INDEX('Daily Sale entry '!$X$1:$X$1501,$J818+1),INDEX('Daily Sale entry '!$V$1:$V$1501,$J818-1499)))</f>
        <v/>
      </c>
      <c r="B818">
        <f>IF($J818="","",IF($J818&lt;=1500,INDEX('Daily Sale entry '!$Y$1:$Y$1501,$J818+1)&amp;"","Buyer cheque banked 买家支票存入"&amp;IF(INDEX('Daily Sale entry '!$U$1:$U$1501,$J818-1499)="","", " - "&amp;INDEX('Daily Sale entry '!$U$1:$U$1501,$J818-1499))))</f>
        <v/>
      </c>
      <c r="C818">
        <f>IF($J818="","",IF($J818&lt;=1500,INDEX('Daily Sale entry '!$Z$1:$Z$1501,$J818+1)&amp;"","Cheque deposit 支票存入 (buyer 买家)"))</f>
        <v/>
      </c>
      <c r="D818">
        <f>IF($J818="","",IF($J818&lt;=1500,INDEX('Daily Sale entry '!$AA$1:$AA$1501,$J818+1)&amp;"",INDEX('Daily Sale entry '!$P$1:$P$1501,$J818-1499)&amp;""))</f>
        <v/>
      </c>
      <c r="E818">
        <f>IF($J818="","",IF($J818&lt;=1500,IF(N(INDEX('Daily Sale entry '!$AB$1:$AB$1501,$J818+1))=0,"",INDEX('Daily Sale entry '!$AB$1:$AB$1501,$J818+1)),1))</f>
        <v/>
      </c>
      <c r="F818" s="6">
        <f>IF($J818="","",IF($J818&lt;=1500,N(INDEX('Daily Sale entry '!$AC$1:$AC$1501,$J818+1))-IF(AND('Opening Balance'!$B$15=1,INDEX('Daily Sale entry '!$Z$1:$Z$1501,$J818+1)="Online collection 网上收款",INDEX('Daily Sale entry '!$AA$1:$AA$1501,$J818+1)&lt;&gt;""),N(INDEX('Daily Sale entry '!$AC$1:$AC$1501,$J818+1))-TRUNC(N(INDEX('Daily Sale entry '!$AC$1:$AC$1501,$J818+1))),0),N(INDEX('Daily Sale entry '!$S$1:$S$1501,$J818-1499))-'Opening Balance'!$B$15*(N(INDEX('Daily Sale entry '!$S$1:$S$1501,$J818-1499))-TRUNC(N(INDEX('Daily Sale entry '!$S$1:$S$1501,$J818-1499))))))</f>
        <v/>
      </c>
      <c r="G818" s="6">
        <f>IF($J818="","",IF($J818&lt;=1500,N(INDEX('Daily Sale entry '!$AD$1:$AD$1501,$J818+1)),0))</f>
        <v/>
      </c>
      <c r="H818" s="6">
        <f>IF($J818="","",ROUND('Opening Balance'!$B$4+SUM($F$2:F818)-SUM($G$2:G818),2))</f>
        <v/>
      </c>
      <c r="J818" s="21">
        <f>IFERROR(MATCH(ROW()-1,$L$2:$L$3001,0),"")</f>
        <v/>
      </c>
      <c r="K818" s="34">
        <f>IF(AND('Daily Sale entry '!X818&lt;&gt;"",OR('Daily Sale entry '!AC818&lt;&gt;"",'Daily Sale entry '!AD818&lt;&gt;"")),'Daily Sale entry '!X818+ROW()/10000000,"")</f>
        <v/>
      </c>
      <c r="L818" s="21">
        <f>IF(K818="","",COUNTIF($K$2:$K$3001,"&lt;"&amp;K818)+1)</f>
        <v/>
      </c>
    </row>
    <row r="819">
      <c r="A819" s="5">
        <f>IF($J819="","",IF($J819&lt;=1500,INDEX('Daily Sale entry '!$X$1:$X$1501,$J819+1),INDEX('Daily Sale entry '!$V$1:$V$1501,$J819-1499)))</f>
        <v/>
      </c>
      <c r="B819">
        <f>IF($J819="","",IF($J819&lt;=1500,INDEX('Daily Sale entry '!$Y$1:$Y$1501,$J819+1)&amp;"","Buyer cheque banked 买家支票存入"&amp;IF(INDEX('Daily Sale entry '!$U$1:$U$1501,$J819-1499)="","", " - "&amp;INDEX('Daily Sale entry '!$U$1:$U$1501,$J819-1499))))</f>
        <v/>
      </c>
      <c r="C819">
        <f>IF($J819="","",IF($J819&lt;=1500,INDEX('Daily Sale entry '!$Z$1:$Z$1501,$J819+1)&amp;"","Cheque deposit 支票存入 (buyer 买家)"))</f>
        <v/>
      </c>
      <c r="D819">
        <f>IF($J819="","",IF($J819&lt;=1500,INDEX('Daily Sale entry '!$AA$1:$AA$1501,$J819+1)&amp;"",INDEX('Daily Sale entry '!$P$1:$P$1501,$J819-1499)&amp;""))</f>
        <v/>
      </c>
      <c r="E819">
        <f>IF($J819="","",IF($J819&lt;=1500,IF(N(INDEX('Daily Sale entry '!$AB$1:$AB$1501,$J819+1))=0,"",INDEX('Daily Sale entry '!$AB$1:$AB$1501,$J819+1)),1))</f>
        <v/>
      </c>
      <c r="F819" s="6">
        <f>IF($J819="","",IF($J819&lt;=1500,N(INDEX('Daily Sale entry '!$AC$1:$AC$1501,$J819+1))-IF(AND('Opening Balance'!$B$15=1,INDEX('Daily Sale entry '!$Z$1:$Z$1501,$J819+1)="Online collection 网上收款",INDEX('Daily Sale entry '!$AA$1:$AA$1501,$J819+1)&lt;&gt;""),N(INDEX('Daily Sale entry '!$AC$1:$AC$1501,$J819+1))-TRUNC(N(INDEX('Daily Sale entry '!$AC$1:$AC$1501,$J819+1))),0),N(INDEX('Daily Sale entry '!$S$1:$S$1501,$J819-1499))-'Opening Balance'!$B$15*(N(INDEX('Daily Sale entry '!$S$1:$S$1501,$J819-1499))-TRUNC(N(INDEX('Daily Sale entry '!$S$1:$S$1501,$J819-1499))))))</f>
        <v/>
      </c>
      <c r="G819" s="6">
        <f>IF($J819="","",IF($J819&lt;=1500,N(INDEX('Daily Sale entry '!$AD$1:$AD$1501,$J819+1)),0))</f>
        <v/>
      </c>
      <c r="H819" s="6">
        <f>IF($J819="","",ROUND('Opening Balance'!$B$4+SUM($F$2:F819)-SUM($G$2:G819),2))</f>
        <v/>
      </c>
      <c r="J819" s="21">
        <f>IFERROR(MATCH(ROW()-1,$L$2:$L$3001,0),"")</f>
        <v/>
      </c>
      <c r="K819" s="34">
        <f>IF(AND('Daily Sale entry '!X819&lt;&gt;"",OR('Daily Sale entry '!AC819&lt;&gt;"",'Daily Sale entry '!AD819&lt;&gt;"")),'Daily Sale entry '!X819+ROW()/10000000,"")</f>
        <v/>
      </c>
      <c r="L819" s="21">
        <f>IF(K819="","",COUNTIF($K$2:$K$3001,"&lt;"&amp;K819)+1)</f>
        <v/>
      </c>
    </row>
    <row r="820">
      <c r="A820" s="5">
        <f>IF($J820="","",IF($J820&lt;=1500,INDEX('Daily Sale entry '!$X$1:$X$1501,$J820+1),INDEX('Daily Sale entry '!$V$1:$V$1501,$J820-1499)))</f>
        <v/>
      </c>
      <c r="B820">
        <f>IF($J820="","",IF($J820&lt;=1500,INDEX('Daily Sale entry '!$Y$1:$Y$1501,$J820+1)&amp;"","Buyer cheque banked 买家支票存入"&amp;IF(INDEX('Daily Sale entry '!$U$1:$U$1501,$J820-1499)="","", " - "&amp;INDEX('Daily Sale entry '!$U$1:$U$1501,$J820-1499))))</f>
        <v/>
      </c>
      <c r="C820">
        <f>IF($J820="","",IF($J820&lt;=1500,INDEX('Daily Sale entry '!$Z$1:$Z$1501,$J820+1)&amp;"","Cheque deposit 支票存入 (buyer 买家)"))</f>
        <v/>
      </c>
      <c r="D820">
        <f>IF($J820="","",IF($J820&lt;=1500,INDEX('Daily Sale entry '!$AA$1:$AA$1501,$J820+1)&amp;"",INDEX('Daily Sale entry '!$P$1:$P$1501,$J820-1499)&amp;""))</f>
        <v/>
      </c>
      <c r="E820">
        <f>IF($J820="","",IF($J820&lt;=1500,IF(N(INDEX('Daily Sale entry '!$AB$1:$AB$1501,$J820+1))=0,"",INDEX('Daily Sale entry '!$AB$1:$AB$1501,$J820+1)),1))</f>
        <v/>
      </c>
      <c r="F820" s="6">
        <f>IF($J820="","",IF($J820&lt;=1500,N(INDEX('Daily Sale entry '!$AC$1:$AC$1501,$J820+1))-IF(AND('Opening Balance'!$B$15=1,INDEX('Daily Sale entry '!$Z$1:$Z$1501,$J820+1)="Online collection 网上收款",INDEX('Daily Sale entry '!$AA$1:$AA$1501,$J820+1)&lt;&gt;""),N(INDEX('Daily Sale entry '!$AC$1:$AC$1501,$J820+1))-TRUNC(N(INDEX('Daily Sale entry '!$AC$1:$AC$1501,$J820+1))),0),N(INDEX('Daily Sale entry '!$S$1:$S$1501,$J820-1499))-'Opening Balance'!$B$15*(N(INDEX('Daily Sale entry '!$S$1:$S$1501,$J820-1499))-TRUNC(N(INDEX('Daily Sale entry '!$S$1:$S$1501,$J820-1499))))))</f>
        <v/>
      </c>
      <c r="G820" s="6">
        <f>IF($J820="","",IF($J820&lt;=1500,N(INDEX('Daily Sale entry '!$AD$1:$AD$1501,$J820+1)),0))</f>
        <v/>
      </c>
      <c r="H820" s="6">
        <f>IF($J820="","",ROUND('Opening Balance'!$B$4+SUM($F$2:F820)-SUM($G$2:G820),2))</f>
        <v/>
      </c>
      <c r="J820" s="21">
        <f>IFERROR(MATCH(ROW()-1,$L$2:$L$3001,0),"")</f>
        <v/>
      </c>
      <c r="K820" s="34">
        <f>IF(AND('Daily Sale entry '!X820&lt;&gt;"",OR('Daily Sale entry '!AC820&lt;&gt;"",'Daily Sale entry '!AD820&lt;&gt;"")),'Daily Sale entry '!X820+ROW()/10000000,"")</f>
        <v/>
      </c>
      <c r="L820" s="21">
        <f>IF(K820="","",COUNTIF($K$2:$K$3001,"&lt;"&amp;K820)+1)</f>
        <v/>
      </c>
    </row>
    <row r="821">
      <c r="A821" s="5">
        <f>IF($J821="","",IF($J821&lt;=1500,INDEX('Daily Sale entry '!$X$1:$X$1501,$J821+1),INDEX('Daily Sale entry '!$V$1:$V$1501,$J821-1499)))</f>
        <v/>
      </c>
      <c r="B821">
        <f>IF($J821="","",IF($J821&lt;=1500,INDEX('Daily Sale entry '!$Y$1:$Y$1501,$J821+1)&amp;"","Buyer cheque banked 买家支票存入"&amp;IF(INDEX('Daily Sale entry '!$U$1:$U$1501,$J821-1499)="","", " - "&amp;INDEX('Daily Sale entry '!$U$1:$U$1501,$J821-1499))))</f>
        <v/>
      </c>
      <c r="C821">
        <f>IF($J821="","",IF($J821&lt;=1500,INDEX('Daily Sale entry '!$Z$1:$Z$1501,$J821+1)&amp;"","Cheque deposit 支票存入 (buyer 买家)"))</f>
        <v/>
      </c>
      <c r="D821">
        <f>IF($J821="","",IF($J821&lt;=1500,INDEX('Daily Sale entry '!$AA$1:$AA$1501,$J821+1)&amp;"",INDEX('Daily Sale entry '!$P$1:$P$1501,$J821-1499)&amp;""))</f>
        <v/>
      </c>
      <c r="E821">
        <f>IF($J821="","",IF($J821&lt;=1500,IF(N(INDEX('Daily Sale entry '!$AB$1:$AB$1501,$J821+1))=0,"",INDEX('Daily Sale entry '!$AB$1:$AB$1501,$J821+1)),1))</f>
        <v/>
      </c>
      <c r="F821" s="6">
        <f>IF($J821="","",IF($J821&lt;=1500,N(INDEX('Daily Sale entry '!$AC$1:$AC$1501,$J821+1))-IF(AND('Opening Balance'!$B$15=1,INDEX('Daily Sale entry '!$Z$1:$Z$1501,$J821+1)="Online collection 网上收款",INDEX('Daily Sale entry '!$AA$1:$AA$1501,$J821+1)&lt;&gt;""),N(INDEX('Daily Sale entry '!$AC$1:$AC$1501,$J821+1))-TRUNC(N(INDEX('Daily Sale entry '!$AC$1:$AC$1501,$J821+1))),0),N(INDEX('Daily Sale entry '!$S$1:$S$1501,$J821-1499))-'Opening Balance'!$B$15*(N(INDEX('Daily Sale entry '!$S$1:$S$1501,$J821-1499))-TRUNC(N(INDEX('Daily Sale entry '!$S$1:$S$1501,$J821-1499))))))</f>
        <v/>
      </c>
      <c r="G821" s="6">
        <f>IF($J821="","",IF($J821&lt;=1500,N(INDEX('Daily Sale entry '!$AD$1:$AD$1501,$J821+1)),0))</f>
        <v/>
      </c>
      <c r="H821" s="6">
        <f>IF($J821="","",ROUND('Opening Balance'!$B$4+SUM($F$2:F821)-SUM($G$2:G821),2))</f>
        <v/>
      </c>
      <c r="J821" s="21">
        <f>IFERROR(MATCH(ROW()-1,$L$2:$L$3001,0),"")</f>
        <v/>
      </c>
      <c r="K821" s="34">
        <f>IF(AND('Daily Sale entry '!X821&lt;&gt;"",OR('Daily Sale entry '!AC821&lt;&gt;"",'Daily Sale entry '!AD821&lt;&gt;"")),'Daily Sale entry '!X821+ROW()/10000000,"")</f>
        <v/>
      </c>
      <c r="L821" s="21">
        <f>IF(K821="","",COUNTIF($K$2:$K$3001,"&lt;"&amp;K821)+1)</f>
        <v/>
      </c>
    </row>
    <row r="822">
      <c r="A822" s="5">
        <f>IF($J822="","",IF($J822&lt;=1500,INDEX('Daily Sale entry '!$X$1:$X$1501,$J822+1),INDEX('Daily Sale entry '!$V$1:$V$1501,$J822-1499)))</f>
        <v/>
      </c>
      <c r="B822">
        <f>IF($J822="","",IF($J822&lt;=1500,INDEX('Daily Sale entry '!$Y$1:$Y$1501,$J822+1)&amp;"","Buyer cheque banked 买家支票存入"&amp;IF(INDEX('Daily Sale entry '!$U$1:$U$1501,$J822-1499)="","", " - "&amp;INDEX('Daily Sale entry '!$U$1:$U$1501,$J822-1499))))</f>
        <v/>
      </c>
      <c r="C822">
        <f>IF($J822="","",IF($J822&lt;=1500,INDEX('Daily Sale entry '!$Z$1:$Z$1501,$J822+1)&amp;"","Cheque deposit 支票存入 (buyer 买家)"))</f>
        <v/>
      </c>
      <c r="D822">
        <f>IF($J822="","",IF($J822&lt;=1500,INDEX('Daily Sale entry '!$AA$1:$AA$1501,$J822+1)&amp;"",INDEX('Daily Sale entry '!$P$1:$P$1501,$J822-1499)&amp;""))</f>
        <v/>
      </c>
      <c r="E822">
        <f>IF($J822="","",IF($J822&lt;=1500,IF(N(INDEX('Daily Sale entry '!$AB$1:$AB$1501,$J822+1))=0,"",INDEX('Daily Sale entry '!$AB$1:$AB$1501,$J822+1)),1))</f>
        <v/>
      </c>
      <c r="F822" s="6">
        <f>IF($J822="","",IF($J822&lt;=1500,N(INDEX('Daily Sale entry '!$AC$1:$AC$1501,$J822+1))-IF(AND('Opening Balance'!$B$15=1,INDEX('Daily Sale entry '!$Z$1:$Z$1501,$J822+1)="Online collection 网上收款",INDEX('Daily Sale entry '!$AA$1:$AA$1501,$J822+1)&lt;&gt;""),N(INDEX('Daily Sale entry '!$AC$1:$AC$1501,$J822+1))-TRUNC(N(INDEX('Daily Sale entry '!$AC$1:$AC$1501,$J822+1))),0),N(INDEX('Daily Sale entry '!$S$1:$S$1501,$J822-1499))-'Opening Balance'!$B$15*(N(INDEX('Daily Sale entry '!$S$1:$S$1501,$J822-1499))-TRUNC(N(INDEX('Daily Sale entry '!$S$1:$S$1501,$J822-1499))))))</f>
        <v/>
      </c>
      <c r="G822" s="6">
        <f>IF($J822="","",IF($J822&lt;=1500,N(INDEX('Daily Sale entry '!$AD$1:$AD$1501,$J822+1)),0))</f>
        <v/>
      </c>
      <c r="H822" s="6">
        <f>IF($J822="","",ROUND('Opening Balance'!$B$4+SUM($F$2:F822)-SUM($G$2:G822),2))</f>
        <v/>
      </c>
      <c r="J822" s="21">
        <f>IFERROR(MATCH(ROW()-1,$L$2:$L$3001,0),"")</f>
        <v/>
      </c>
      <c r="K822" s="34">
        <f>IF(AND('Daily Sale entry '!X822&lt;&gt;"",OR('Daily Sale entry '!AC822&lt;&gt;"",'Daily Sale entry '!AD822&lt;&gt;"")),'Daily Sale entry '!X822+ROW()/10000000,"")</f>
        <v/>
      </c>
      <c r="L822" s="21">
        <f>IF(K822="","",COUNTIF($K$2:$K$3001,"&lt;"&amp;K822)+1)</f>
        <v/>
      </c>
    </row>
    <row r="823">
      <c r="A823" s="5">
        <f>IF($J823="","",IF($J823&lt;=1500,INDEX('Daily Sale entry '!$X$1:$X$1501,$J823+1),INDEX('Daily Sale entry '!$V$1:$V$1501,$J823-1499)))</f>
        <v/>
      </c>
      <c r="B823">
        <f>IF($J823="","",IF($J823&lt;=1500,INDEX('Daily Sale entry '!$Y$1:$Y$1501,$J823+1)&amp;"","Buyer cheque banked 买家支票存入"&amp;IF(INDEX('Daily Sale entry '!$U$1:$U$1501,$J823-1499)="","", " - "&amp;INDEX('Daily Sale entry '!$U$1:$U$1501,$J823-1499))))</f>
        <v/>
      </c>
      <c r="C823">
        <f>IF($J823="","",IF($J823&lt;=1500,INDEX('Daily Sale entry '!$Z$1:$Z$1501,$J823+1)&amp;"","Cheque deposit 支票存入 (buyer 买家)"))</f>
        <v/>
      </c>
      <c r="D823">
        <f>IF($J823="","",IF($J823&lt;=1500,INDEX('Daily Sale entry '!$AA$1:$AA$1501,$J823+1)&amp;"",INDEX('Daily Sale entry '!$P$1:$P$1501,$J823-1499)&amp;""))</f>
        <v/>
      </c>
      <c r="E823">
        <f>IF($J823="","",IF($J823&lt;=1500,IF(N(INDEX('Daily Sale entry '!$AB$1:$AB$1501,$J823+1))=0,"",INDEX('Daily Sale entry '!$AB$1:$AB$1501,$J823+1)),1))</f>
        <v/>
      </c>
      <c r="F823" s="6">
        <f>IF($J823="","",IF($J823&lt;=1500,N(INDEX('Daily Sale entry '!$AC$1:$AC$1501,$J823+1))-IF(AND('Opening Balance'!$B$15=1,INDEX('Daily Sale entry '!$Z$1:$Z$1501,$J823+1)="Online collection 网上收款",INDEX('Daily Sale entry '!$AA$1:$AA$1501,$J823+1)&lt;&gt;""),N(INDEX('Daily Sale entry '!$AC$1:$AC$1501,$J823+1))-TRUNC(N(INDEX('Daily Sale entry '!$AC$1:$AC$1501,$J823+1))),0),N(INDEX('Daily Sale entry '!$S$1:$S$1501,$J823-1499))-'Opening Balance'!$B$15*(N(INDEX('Daily Sale entry '!$S$1:$S$1501,$J823-1499))-TRUNC(N(INDEX('Daily Sale entry '!$S$1:$S$1501,$J823-1499))))))</f>
        <v/>
      </c>
      <c r="G823" s="6">
        <f>IF($J823="","",IF($J823&lt;=1500,N(INDEX('Daily Sale entry '!$AD$1:$AD$1501,$J823+1)),0))</f>
        <v/>
      </c>
      <c r="H823" s="6">
        <f>IF($J823="","",ROUND('Opening Balance'!$B$4+SUM($F$2:F823)-SUM($G$2:G823),2))</f>
        <v/>
      </c>
      <c r="J823" s="21">
        <f>IFERROR(MATCH(ROW()-1,$L$2:$L$3001,0),"")</f>
        <v/>
      </c>
      <c r="K823" s="34">
        <f>IF(AND('Daily Sale entry '!X823&lt;&gt;"",OR('Daily Sale entry '!AC823&lt;&gt;"",'Daily Sale entry '!AD823&lt;&gt;"")),'Daily Sale entry '!X823+ROW()/10000000,"")</f>
        <v/>
      </c>
      <c r="L823" s="21">
        <f>IF(K823="","",COUNTIF($K$2:$K$3001,"&lt;"&amp;K823)+1)</f>
        <v/>
      </c>
    </row>
    <row r="824">
      <c r="A824" s="5">
        <f>IF($J824="","",IF($J824&lt;=1500,INDEX('Daily Sale entry '!$X$1:$X$1501,$J824+1),INDEX('Daily Sale entry '!$V$1:$V$1501,$J824-1499)))</f>
        <v/>
      </c>
      <c r="B824">
        <f>IF($J824="","",IF($J824&lt;=1500,INDEX('Daily Sale entry '!$Y$1:$Y$1501,$J824+1)&amp;"","Buyer cheque banked 买家支票存入"&amp;IF(INDEX('Daily Sale entry '!$U$1:$U$1501,$J824-1499)="","", " - "&amp;INDEX('Daily Sale entry '!$U$1:$U$1501,$J824-1499))))</f>
        <v/>
      </c>
      <c r="C824">
        <f>IF($J824="","",IF($J824&lt;=1500,INDEX('Daily Sale entry '!$Z$1:$Z$1501,$J824+1)&amp;"","Cheque deposit 支票存入 (buyer 买家)"))</f>
        <v/>
      </c>
      <c r="D824">
        <f>IF($J824="","",IF($J824&lt;=1500,INDEX('Daily Sale entry '!$AA$1:$AA$1501,$J824+1)&amp;"",INDEX('Daily Sale entry '!$P$1:$P$1501,$J824-1499)&amp;""))</f>
        <v/>
      </c>
      <c r="E824">
        <f>IF($J824="","",IF($J824&lt;=1500,IF(N(INDEX('Daily Sale entry '!$AB$1:$AB$1501,$J824+1))=0,"",INDEX('Daily Sale entry '!$AB$1:$AB$1501,$J824+1)),1))</f>
        <v/>
      </c>
      <c r="F824" s="6">
        <f>IF($J824="","",IF($J824&lt;=1500,N(INDEX('Daily Sale entry '!$AC$1:$AC$1501,$J824+1))-IF(AND('Opening Balance'!$B$15=1,INDEX('Daily Sale entry '!$Z$1:$Z$1501,$J824+1)="Online collection 网上收款",INDEX('Daily Sale entry '!$AA$1:$AA$1501,$J824+1)&lt;&gt;""),N(INDEX('Daily Sale entry '!$AC$1:$AC$1501,$J824+1))-TRUNC(N(INDEX('Daily Sale entry '!$AC$1:$AC$1501,$J824+1))),0),N(INDEX('Daily Sale entry '!$S$1:$S$1501,$J824-1499))-'Opening Balance'!$B$15*(N(INDEX('Daily Sale entry '!$S$1:$S$1501,$J824-1499))-TRUNC(N(INDEX('Daily Sale entry '!$S$1:$S$1501,$J824-1499))))))</f>
        <v/>
      </c>
      <c r="G824" s="6">
        <f>IF($J824="","",IF($J824&lt;=1500,N(INDEX('Daily Sale entry '!$AD$1:$AD$1501,$J824+1)),0))</f>
        <v/>
      </c>
      <c r="H824" s="6">
        <f>IF($J824="","",ROUND('Opening Balance'!$B$4+SUM($F$2:F824)-SUM($G$2:G824),2))</f>
        <v/>
      </c>
      <c r="J824" s="21">
        <f>IFERROR(MATCH(ROW()-1,$L$2:$L$3001,0),"")</f>
        <v/>
      </c>
      <c r="K824" s="34">
        <f>IF(AND('Daily Sale entry '!X824&lt;&gt;"",OR('Daily Sale entry '!AC824&lt;&gt;"",'Daily Sale entry '!AD824&lt;&gt;"")),'Daily Sale entry '!X824+ROW()/10000000,"")</f>
        <v/>
      </c>
      <c r="L824" s="21">
        <f>IF(K824="","",COUNTIF($K$2:$K$3001,"&lt;"&amp;K824)+1)</f>
        <v/>
      </c>
    </row>
    <row r="825">
      <c r="A825" s="5">
        <f>IF($J825="","",IF($J825&lt;=1500,INDEX('Daily Sale entry '!$X$1:$X$1501,$J825+1),INDEX('Daily Sale entry '!$V$1:$V$1501,$J825-1499)))</f>
        <v/>
      </c>
      <c r="B825">
        <f>IF($J825="","",IF($J825&lt;=1500,INDEX('Daily Sale entry '!$Y$1:$Y$1501,$J825+1)&amp;"","Buyer cheque banked 买家支票存入"&amp;IF(INDEX('Daily Sale entry '!$U$1:$U$1501,$J825-1499)="","", " - "&amp;INDEX('Daily Sale entry '!$U$1:$U$1501,$J825-1499))))</f>
        <v/>
      </c>
      <c r="C825">
        <f>IF($J825="","",IF($J825&lt;=1500,INDEX('Daily Sale entry '!$Z$1:$Z$1501,$J825+1)&amp;"","Cheque deposit 支票存入 (buyer 买家)"))</f>
        <v/>
      </c>
      <c r="D825">
        <f>IF($J825="","",IF($J825&lt;=1500,INDEX('Daily Sale entry '!$AA$1:$AA$1501,$J825+1)&amp;"",INDEX('Daily Sale entry '!$P$1:$P$1501,$J825-1499)&amp;""))</f>
        <v/>
      </c>
      <c r="E825">
        <f>IF($J825="","",IF($J825&lt;=1500,IF(N(INDEX('Daily Sale entry '!$AB$1:$AB$1501,$J825+1))=0,"",INDEX('Daily Sale entry '!$AB$1:$AB$1501,$J825+1)),1))</f>
        <v/>
      </c>
      <c r="F825" s="6">
        <f>IF($J825="","",IF($J825&lt;=1500,N(INDEX('Daily Sale entry '!$AC$1:$AC$1501,$J825+1))-IF(AND('Opening Balance'!$B$15=1,INDEX('Daily Sale entry '!$Z$1:$Z$1501,$J825+1)="Online collection 网上收款",INDEX('Daily Sale entry '!$AA$1:$AA$1501,$J825+1)&lt;&gt;""),N(INDEX('Daily Sale entry '!$AC$1:$AC$1501,$J825+1))-TRUNC(N(INDEX('Daily Sale entry '!$AC$1:$AC$1501,$J825+1))),0),N(INDEX('Daily Sale entry '!$S$1:$S$1501,$J825-1499))-'Opening Balance'!$B$15*(N(INDEX('Daily Sale entry '!$S$1:$S$1501,$J825-1499))-TRUNC(N(INDEX('Daily Sale entry '!$S$1:$S$1501,$J825-1499))))))</f>
        <v/>
      </c>
      <c r="G825" s="6">
        <f>IF($J825="","",IF($J825&lt;=1500,N(INDEX('Daily Sale entry '!$AD$1:$AD$1501,$J825+1)),0))</f>
        <v/>
      </c>
      <c r="H825" s="6">
        <f>IF($J825="","",ROUND('Opening Balance'!$B$4+SUM($F$2:F825)-SUM($G$2:G825),2))</f>
        <v/>
      </c>
      <c r="J825" s="21">
        <f>IFERROR(MATCH(ROW()-1,$L$2:$L$3001,0),"")</f>
        <v/>
      </c>
      <c r="K825" s="34">
        <f>IF(AND('Daily Sale entry '!X825&lt;&gt;"",OR('Daily Sale entry '!AC825&lt;&gt;"",'Daily Sale entry '!AD825&lt;&gt;"")),'Daily Sale entry '!X825+ROW()/10000000,"")</f>
        <v/>
      </c>
      <c r="L825" s="21">
        <f>IF(K825="","",COUNTIF($K$2:$K$3001,"&lt;"&amp;K825)+1)</f>
        <v/>
      </c>
    </row>
    <row r="826">
      <c r="A826" s="5">
        <f>IF($J826="","",IF($J826&lt;=1500,INDEX('Daily Sale entry '!$X$1:$X$1501,$J826+1),INDEX('Daily Sale entry '!$V$1:$V$1501,$J826-1499)))</f>
        <v/>
      </c>
      <c r="B826">
        <f>IF($J826="","",IF($J826&lt;=1500,INDEX('Daily Sale entry '!$Y$1:$Y$1501,$J826+1)&amp;"","Buyer cheque banked 买家支票存入"&amp;IF(INDEX('Daily Sale entry '!$U$1:$U$1501,$J826-1499)="","", " - "&amp;INDEX('Daily Sale entry '!$U$1:$U$1501,$J826-1499))))</f>
        <v/>
      </c>
      <c r="C826">
        <f>IF($J826="","",IF($J826&lt;=1500,INDEX('Daily Sale entry '!$Z$1:$Z$1501,$J826+1)&amp;"","Cheque deposit 支票存入 (buyer 买家)"))</f>
        <v/>
      </c>
      <c r="D826">
        <f>IF($J826="","",IF($J826&lt;=1500,INDEX('Daily Sale entry '!$AA$1:$AA$1501,$J826+1)&amp;"",INDEX('Daily Sale entry '!$P$1:$P$1501,$J826-1499)&amp;""))</f>
        <v/>
      </c>
      <c r="E826">
        <f>IF($J826="","",IF($J826&lt;=1500,IF(N(INDEX('Daily Sale entry '!$AB$1:$AB$1501,$J826+1))=0,"",INDEX('Daily Sale entry '!$AB$1:$AB$1501,$J826+1)),1))</f>
        <v/>
      </c>
      <c r="F826" s="6">
        <f>IF($J826="","",IF($J826&lt;=1500,N(INDEX('Daily Sale entry '!$AC$1:$AC$1501,$J826+1))-IF(AND('Opening Balance'!$B$15=1,INDEX('Daily Sale entry '!$Z$1:$Z$1501,$J826+1)="Online collection 网上收款",INDEX('Daily Sale entry '!$AA$1:$AA$1501,$J826+1)&lt;&gt;""),N(INDEX('Daily Sale entry '!$AC$1:$AC$1501,$J826+1))-TRUNC(N(INDEX('Daily Sale entry '!$AC$1:$AC$1501,$J826+1))),0),N(INDEX('Daily Sale entry '!$S$1:$S$1501,$J826-1499))-'Opening Balance'!$B$15*(N(INDEX('Daily Sale entry '!$S$1:$S$1501,$J826-1499))-TRUNC(N(INDEX('Daily Sale entry '!$S$1:$S$1501,$J826-1499))))))</f>
        <v/>
      </c>
      <c r="G826" s="6">
        <f>IF($J826="","",IF($J826&lt;=1500,N(INDEX('Daily Sale entry '!$AD$1:$AD$1501,$J826+1)),0))</f>
        <v/>
      </c>
      <c r="H826" s="6">
        <f>IF($J826="","",ROUND('Opening Balance'!$B$4+SUM($F$2:F826)-SUM($G$2:G826),2))</f>
        <v/>
      </c>
      <c r="J826" s="21">
        <f>IFERROR(MATCH(ROW()-1,$L$2:$L$3001,0),"")</f>
        <v/>
      </c>
      <c r="K826" s="34">
        <f>IF(AND('Daily Sale entry '!X826&lt;&gt;"",OR('Daily Sale entry '!AC826&lt;&gt;"",'Daily Sale entry '!AD826&lt;&gt;"")),'Daily Sale entry '!X826+ROW()/10000000,"")</f>
        <v/>
      </c>
      <c r="L826" s="21">
        <f>IF(K826="","",COUNTIF($K$2:$K$3001,"&lt;"&amp;K826)+1)</f>
        <v/>
      </c>
    </row>
    <row r="827">
      <c r="A827" s="5">
        <f>IF($J827="","",IF($J827&lt;=1500,INDEX('Daily Sale entry '!$X$1:$X$1501,$J827+1),INDEX('Daily Sale entry '!$V$1:$V$1501,$J827-1499)))</f>
        <v/>
      </c>
      <c r="B827">
        <f>IF($J827="","",IF($J827&lt;=1500,INDEX('Daily Sale entry '!$Y$1:$Y$1501,$J827+1)&amp;"","Buyer cheque banked 买家支票存入"&amp;IF(INDEX('Daily Sale entry '!$U$1:$U$1501,$J827-1499)="","", " - "&amp;INDEX('Daily Sale entry '!$U$1:$U$1501,$J827-1499))))</f>
        <v/>
      </c>
      <c r="C827">
        <f>IF($J827="","",IF($J827&lt;=1500,INDEX('Daily Sale entry '!$Z$1:$Z$1501,$J827+1)&amp;"","Cheque deposit 支票存入 (buyer 买家)"))</f>
        <v/>
      </c>
      <c r="D827">
        <f>IF($J827="","",IF($J827&lt;=1500,INDEX('Daily Sale entry '!$AA$1:$AA$1501,$J827+1)&amp;"",INDEX('Daily Sale entry '!$P$1:$P$1501,$J827-1499)&amp;""))</f>
        <v/>
      </c>
      <c r="E827">
        <f>IF($J827="","",IF($J827&lt;=1500,IF(N(INDEX('Daily Sale entry '!$AB$1:$AB$1501,$J827+1))=0,"",INDEX('Daily Sale entry '!$AB$1:$AB$1501,$J827+1)),1))</f>
        <v/>
      </c>
      <c r="F827" s="6">
        <f>IF($J827="","",IF($J827&lt;=1500,N(INDEX('Daily Sale entry '!$AC$1:$AC$1501,$J827+1))-IF(AND('Opening Balance'!$B$15=1,INDEX('Daily Sale entry '!$Z$1:$Z$1501,$J827+1)="Online collection 网上收款",INDEX('Daily Sale entry '!$AA$1:$AA$1501,$J827+1)&lt;&gt;""),N(INDEX('Daily Sale entry '!$AC$1:$AC$1501,$J827+1))-TRUNC(N(INDEX('Daily Sale entry '!$AC$1:$AC$1501,$J827+1))),0),N(INDEX('Daily Sale entry '!$S$1:$S$1501,$J827-1499))-'Opening Balance'!$B$15*(N(INDEX('Daily Sale entry '!$S$1:$S$1501,$J827-1499))-TRUNC(N(INDEX('Daily Sale entry '!$S$1:$S$1501,$J827-1499))))))</f>
        <v/>
      </c>
      <c r="G827" s="6">
        <f>IF($J827="","",IF($J827&lt;=1500,N(INDEX('Daily Sale entry '!$AD$1:$AD$1501,$J827+1)),0))</f>
        <v/>
      </c>
      <c r="H827" s="6">
        <f>IF($J827="","",ROUND('Opening Balance'!$B$4+SUM($F$2:F827)-SUM($G$2:G827),2))</f>
        <v/>
      </c>
      <c r="J827" s="21">
        <f>IFERROR(MATCH(ROW()-1,$L$2:$L$3001,0),"")</f>
        <v/>
      </c>
      <c r="K827" s="34">
        <f>IF(AND('Daily Sale entry '!X827&lt;&gt;"",OR('Daily Sale entry '!AC827&lt;&gt;"",'Daily Sale entry '!AD827&lt;&gt;"")),'Daily Sale entry '!X827+ROW()/10000000,"")</f>
        <v/>
      </c>
      <c r="L827" s="21">
        <f>IF(K827="","",COUNTIF($K$2:$K$3001,"&lt;"&amp;K827)+1)</f>
        <v/>
      </c>
    </row>
    <row r="828">
      <c r="A828" s="5">
        <f>IF($J828="","",IF($J828&lt;=1500,INDEX('Daily Sale entry '!$X$1:$X$1501,$J828+1),INDEX('Daily Sale entry '!$V$1:$V$1501,$J828-1499)))</f>
        <v/>
      </c>
      <c r="B828">
        <f>IF($J828="","",IF($J828&lt;=1500,INDEX('Daily Sale entry '!$Y$1:$Y$1501,$J828+1)&amp;"","Buyer cheque banked 买家支票存入"&amp;IF(INDEX('Daily Sale entry '!$U$1:$U$1501,$J828-1499)="","", " - "&amp;INDEX('Daily Sale entry '!$U$1:$U$1501,$J828-1499))))</f>
        <v/>
      </c>
      <c r="C828">
        <f>IF($J828="","",IF($J828&lt;=1500,INDEX('Daily Sale entry '!$Z$1:$Z$1501,$J828+1)&amp;"","Cheque deposit 支票存入 (buyer 买家)"))</f>
        <v/>
      </c>
      <c r="D828">
        <f>IF($J828="","",IF($J828&lt;=1500,INDEX('Daily Sale entry '!$AA$1:$AA$1501,$J828+1)&amp;"",INDEX('Daily Sale entry '!$P$1:$P$1501,$J828-1499)&amp;""))</f>
        <v/>
      </c>
      <c r="E828">
        <f>IF($J828="","",IF($J828&lt;=1500,IF(N(INDEX('Daily Sale entry '!$AB$1:$AB$1501,$J828+1))=0,"",INDEX('Daily Sale entry '!$AB$1:$AB$1501,$J828+1)),1))</f>
        <v/>
      </c>
      <c r="F828" s="6">
        <f>IF($J828="","",IF($J828&lt;=1500,N(INDEX('Daily Sale entry '!$AC$1:$AC$1501,$J828+1))-IF(AND('Opening Balance'!$B$15=1,INDEX('Daily Sale entry '!$Z$1:$Z$1501,$J828+1)="Online collection 网上收款",INDEX('Daily Sale entry '!$AA$1:$AA$1501,$J828+1)&lt;&gt;""),N(INDEX('Daily Sale entry '!$AC$1:$AC$1501,$J828+1))-TRUNC(N(INDEX('Daily Sale entry '!$AC$1:$AC$1501,$J828+1))),0),N(INDEX('Daily Sale entry '!$S$1:$S$1501,$J828-1499))-'Opening Balance'!$B$15*(N(INDEX('Daily Sale entry '!$S$1:$S$1501,$J828-1499))-TRUNC(N(INDEX('Daily Sale entry '!$S$1:$S$1501,$J828-1499))))))</f>
        <v/>
      </c>
      <c r="G828" s="6">
        <f>IF($J828="","",IF($J828&lt;=1500,N(INDEX('Daily Sale entry '!$AD$1:$AD$1501,$J828+1)),0))</f>
        <v/>
      </c>
      <c r="H828" s="6">
        <f>IF($J828="","",ROUND('Opening Balance'!$B$4+SUM($F$2:F828)-SUM($G$2:G828),2))</f>
        <v/>
      </c>
      <c r="J828" s="21">
        <f>IFERROR(MATCH(ROW()-1,$L$2:$L$3001,0),"")</f>
        <v/>
      </c>
      <c r="K828" s="34">
        <f>IF(AND('Daily Sale entry '!X828&lt;&gt;"",OR('Daily Sale entry '!AC828&lt;&gt;"",'Daily Sale entry '!AD828&lt;&gt;"")),'Daily Sale entry '!X828+ROW()/10000000,"")</f>
        <v/>
      </c>
      <c r="L828" s="21">
        <f>IF(K828="","",COUNTIF($K$2:$K$3001,"&lt;"&amp;K828)+1)</f>
        <v/>
      </c>
    </row>
    <row r="829">
      <c r="A829" s="5">
        <f>IF($J829="","",IF($J829&lt;=1500,INDEX('Daily Sale entry '!$X$1:$X$1501,$J829+1),INDEX('Daily Sale entry '!$V$1:$V$1501,$J829-1499)))</f>
        <v/>
      </c>
      <c r="B829">
        <f>IF($J829="","",IF($J829&lt;=1500,INDEX('Daily Sale entry '!$Y$1:$Y$1501,$J829+1)&amp;"","Buyer cheque banked 买家支票存入"&amp;IF(INDEX('Daily Sale entry '!$U$1:$U$1501,$J829-1499)="","", " - "&amp;INDEX('Daily Sale entry '!$U$1:$U$1501,$J829-1499))))</f>
        <v/>
      </c>
      <c r="C829">
        <f>IF($J829="","",IF($J829&lt;=1500,INDEX('Daily Sale entry '!$Z$1:$Z$1501,$J829+1)&amp;"","Cheque deposit 支票存入 (buyer 买家)"))</f>
        <v/>
      </c>
      <c r="D829">
        <f>IF($J829="","",IF($J829&lt;=1500,INDEX('Daily Sale entry '!$AA$1:$AA$1501,$J829+1)&amp;"",INDEX('Daily Sale entry '!$P$1:$P$1501,$J829-1499)&amp;""))</f>
        <v/>
      </c>
      <c r="E829">
        <f>IF($J829="","",IF($J829&lt;=1500,IF(N(INDEX('Daily Sale entry '!$AB$1:$AB$1501,$J829+1))=0,"",INDEX('Daily Sale entry '!$AB$1:$AB$1501,$J829+1)),1))</f>
        <v/>
      </c>
      <c r="F829" s="6">
        <f>IF($J829="","",IF($J829&lt;=1500,N(INDEX('Daily Sale entry '!$AC$1:$AC$1501,$J829+1))-IF(AND('Opening Balance'!$B$15=1,INDEX('Daily Sale entry '!$Z$1:$Z$1501,$J829+1)="Online collection 网上收款",INDEX('Daily Sale entry '!$AA$1:$AA$1501,$J829+1)&lt;&gt;""),N(INDEX('Daily Sale entry '!$AC$1:$AC$1501,$J829+1))-TRUNC(N(INDEX('Daily Sale entry '!$AC$1:$AC$1501,$J829+1))),0),N(INDEX('Daily Sale entry '!$S$1:$S$1501,$J829-1499))-'Opening Balance'!$B$15*(N(INDEX('Daily Sale entry '!$S$1:$S$1501,$J829-1499))-TRUNC(N(INDEX('Daily Sale entry '!$S$1:$S$1501,$J829-1499))))))</f>
        <v/>
      </c>
      <c r="G829" s="6">
        <f>IF($J829="","",IF($J829&lt;=1500,N(INDEX('Daily Sale entry '!$AD$1:$AD$1501,$J829+1)),0))</f>
        <v/>
      </c>
      <c r="H829" s="6">
        <f>IF($J829="","",ROUND('Opening Balance'!$B$4+SUM($F$2:F829)-SUM($G$2:G829),2))</f>
        <v/>
      </c>
      <c r="J829" s="21">
        <f>IFERROR(MATCH(ROW()-1,$L$2:$L$3001,0),"")</f>
        <v/>
      </c>
      <c r="K829" s="34">
        <f>IF(AND('Daily Sale entry '!X829&lt;&gt;"",OR('Daily Sale entry '!AC829&lt;&gt;"",'Daily Sale entry '!AD829&lt;&gt;"")),'Daily Sale entry '!X829+ROW()/10000000,"")</f>
        <v/>
      </c>
      <c r="L829" s="21">
        <f>IF(K829="","",COUNTIF($K$2:$K$3001,"&lt;"&amp;K829)+1)</f>
        <v/>
      </c>
    </row>
    <row r="830">
      <c r="A830" s="5">
        <f>IF($J830="","",IF($J830&lt;=1500,INDEX('Daily Sale entry '!$X$1:$X$1501,$J830+1),INDEX('Daily Sale entry '!$V$1:$V$1501,$J830-1499)))</f>
        <v/>
      </c>
      <c r="B830">
        <f>IF($J830="","",IF($J830&lt;=1500,INDEX('Daily Sale entry '!$Y$1:$Y$1501,$J830+1)&amp;"","Buyer cheque banked 买家支票存入"&amp;IF(INDEX('Daily Sale entry '!$U$1:$U$1501,$J830-1499)="","", " - "&amp;INDEX('Daily Sale entry '!$U$1:$U$1501,$J830-1499))))</f>
        <v/>
      </c>
      <c r="C830">
        <f>IF($J830="","",IF($J830&lt;=1500,INDEX('Daily Sale entry '!$Z$1:$Z$1501,$J830+1)&amp;"","Cheque deposit 支票存入 (buyer 买家)"))</f>
        <v/>
      </c>
      <c r="D830">
        <f>IF($J830="","",IF($J830&lt;=1500,INDEX('Daily Sale entry '!$AA$1:$AA$1501,$J830+1)&amp;"",INDEX('Daily Sale entry '!$P$1:$P$1501,$J830-1499)&amp;""))</f>
        <v/>
      </c>
      <c r="E830">
        <f>IF($J830="","",IF($J830&lt;=1500,IF(N(INDEX('Daily Sale entry '!$AB$1:$AB$1501,$J830+1))=0,"",INDEX('Daily Sale entry '!$AB$1:$AB$1501,$J830+1)),1))</f>
        <v/>
      </c>
      <c r="F830" s="6">
        <f>IF($J830="","",IF($J830&lt;=1500,N(INDEX('Daily Sale entry '!$AC$1:$AC$1501,$J830+1))-IF(AND('Opening Balance'!$B$15=1,INDEX('Daily Sale entry '!$Z$1:$Z$1501,$J830+1)="Online collection 网上收款",INDEX('Daily Sale entry '!$AA$1:$AA$1501,$J830+1)&lt;&gt;""),N(INDEX('Daily Sale entry '!$AC$1:$AC$1501,$J830+1))-TRUNC(N(INDEX('Daily Sale entry '!$AC$1:$AC$1501,$J830+1))),0),N(INDEX('Daily Sale entry '!$S$1:$S$1501,$J830-1499))-'Opening Balance'!$B$15*(N(INDEX('Daily Sale entry '!$S$1:$S$1501,$J830-1499))-TRUNC(N(INDEX('Daily Sale entry '!$S$1:$S$1501,$J830-1499))))))</f>
        <v/>
      </c>
      <c r="G830" s="6">
        <f>IF($J830="","",IF($J830&lt;=1500,N(INDEX('Daily Sale entry '!$AD$1:$AD$1501,$J830+1)),0))</f>
        <v/>
      </c>
      <c r="H830" s="6">
        <f>IF($J830="","",ROUND('Opening Balance'!$B$4+SUM($F$2:F830)-SUM($G$2:G830),2))</f>
        <v/>
      </c>
      <c r="J830" s="21">
        <f>IFERROR(MATCH(ROW()-1,$L$2:$L$3001,0),"")</f>
        <v/>
      </c>
      <c r="K830" s="34">
        <f>IF(AND('Daily Sale entry '!X830&lt;&gt;"",OR('Daily Sale entry '!AC830&lt;&gt;"",'Daily Sale entry '!AD830&lt;&gt;"")),'Daily Sale entry '!X830+ROW()/10000000,"")</f>
        <v/>
      </c>
      <c r="L830" s="21">
        <f>IF(K830="","",COUNTIF($K$2:$K$3001,"&lt;"&amp;K830)+1)</f>
        <v/>
      </c>
    </row>
    <row r="831">
      <c r="A831" s="5">
        <f>IF($J831="","",IF($J831&lt;=1500,INDEX('Daily Sale entry '!$X$1:$X$1501,$J831+1),INDEX('Daily Sale entry '!$V$1:$V$1501,$J831-1499)))</f>
        <v/>
      </c>
      <c r="B831">
        <f>IF($J831="","",IF($J831&lt;=1500,INDEX('Daily Sale entry '!$Y$1:$Y$1501,$J831+1)&amp;"","Buyer cheque banked 买家支票存入"&amp;IF(INDEX('Daily Sale entry '!$U$1:$U$1501,$J831-1499)="","", " - "&amp;INDEX('Daily Sale entry '!$U$1:$U$1501,$J831-1499))))</f>
        <v/>
      </c>
      <c r="C831">
        <f>IF($J831="","",IF($J831&lt;=1500,INDEX('Daily Sale entry '!$Z$1:$Z$1501,$J831+1)&amp;"","Cheque deposit 支票存入 (buyer 买家)"))</f>
        <v/>
      </c>
      <c r="D831">
        <f>IF($J831="","",IF($J831&lt;=1500,INDEX('Daily Sale entry '!$AA$1:$AA$1501,$J831+1)&amp;"",INDEX('Daily Sale entry '!$P$1:$P$1501,$J831-1499)&amp;""))</f>
        <v/>
      </c>
      <c r="E831">
        <f>IF($J831="","",IF($J831&lt;=1500,IF(N(INDEX('Daily Sale entry '!$AB$1:$AB$1501,$J831+1))=0,"",INDEX('Daily Sale entry '!$AB$1:$AB$1501,$J831+1)),1))</f>
        <v/>
      </c>
      <c r="F831" s="6">
        <f>IF($J831="","",IF($J831&lt;=1500,N(INDEX('Daily Sale entry '!$AC$1:$AC$1501,$J831+1))-IF(AND('Opening Balance'!$B$15=1,INDEX('Daily Sale entry '!$Z$1:$Z$1501,$J831+1)="Online collection 网上收款",INDEX('Daily Sale entry '!$AA$1:$AA$1501,$J831+1)&lt;&gt;""),N(INDEX('Daily Sale entry '!$AC$1:$AC$1501,$J831+1))-TRUNC(N(INDEX('Daily Sale entry '!$AC$1:$AC$1501,$J831+1))),0),N(INDEX('Daily Sale entry '!$S$1:$S$1501,$J831-1499))-'Opening Balance'!$B$15*(N(INDEX('Daily Sale entry '!$S$1:$S$1501,$J831-1499))-TRUNC(N(INDEX('Daily Sale entry '!$S$1:$S$1501,$J831-1499))))))</f>
        <v/>
      </c>
      <c r="G831" s="6">
        <f>IF($J831="","",IF($J831&lt;=1500,N(INDEX('Daily Sale entry '!$AD$1:$AD$1501,$J831+1)),0))</f>
        <v/>
      </c>
      <c r="H831" s="6">
        <f>IF($J831="","",ROUND('Opening Balance'!$B$4+SUM($F$2:F831)-SUM($G$2:G831),2))</f>
        <v/>
      </c>
      <c r="J831" s="21">
        <f>IFERROR(MATCH(ROW()-1,$L$2:$L$3001,0),"")</f>
        <v/>
      </c>
      <c r="K831" s="34">
        <f>IF(AND('Daily Sale entry '!X831&lt;&gt;"",OR('Daily Sale entry '!AC831&lt;&gt;"",'Daily Sale entry '!AD831&lt;&gt;"")),'Daily Sale entry '!X831+ROW()/10000000,"")</f>
        <v/>
      </c>
      <c r="L831" s="21">
        <f>IF(K831="","",COUNTIF($K$2:$K$3001,"&lt;"&amp;K831)+1)</f>
        <v/>
      </c>
    </row>
    <row r="832">
      <c r="A832" s="5">
        <f>IF($J832="","",IF($J832&lt;=1500,INDEX('Daily Sale entry '!$X$1:$X$1501,$J832+1),INDEX('Daily Sale entry '!$V$1:$V$1501,$J832-1499)))</f>
        <v/>
      </c>
      <c r="B832">
        <f>IF($J832="","",IF($J832&lt;=1500,INDEX('Daily Sale entry '!$Y$1:$Y$1501,$J832+1)&amp;"","Buyer cheque banked 买家支票存入"&amp;IF(INDEX('Daily Sale entry '!$U$1:$U$1501,$J832-1499)="","", " - "&amp;INDEX('Daily Sale entry '!$U$1:$U$1501,$J832-1499))))</f>
        <v/>
      </c>
      <c r="C832">
        <f>IF($J832="","",IF($J832&lt;=1500,INDEX('Daily Sale entry '!$Z$1:$Z$1501,$J832+1)&amp;"","Cheque deposit 支票存入 (buyer 买家)"))</f>
        <v/>
      </c>
      <c r="D832">
        <f>IF($J832="","",IF($J832&lt;=1500,INDEX('Daily Sale entry '!$AA$1:$AA$1501,$J832+1)&amp;"",INDEX('Daily Sale entry '!$P$1:$P$1501,$J832-1499)&amp;""))</f>
        <v/>
      </c>
      <c r="E832">
        <f>IF($J832="","",IF($J832&lt;=1500,IF(N(INDEX('Daily Sale entry '!$AB$1:$AB$1501,$J832+1))=0,"",INDEX('Daily Sale entry '!$AB$1:$AB$1501,$J832+1)),1))</f>
        <v/>
      </c>
      <c r="F832" s="6">
        <f>IF($J832="","",IF($J832&lt;=1500,N(INDEX('Daily Sale entry '!$AC$1:$AC$1501,$J832+1))-IF(AND('Opening Balance'!$B$15=1,INDEX('Daily Sale entry '!$Z$1:$Z$1501,$J832+1)="Online collection 网上收款",INDEX('Daily Sale entry '!$AA$1:$AA$1501,$J832+1)&lt;&gt;""),N(INDEX('Daily Sale entry '!$AC$1:$AC$1501,$J832+1))-TRUNC(N(INDEX('Daily Sale entry '!$AC$1:$AC$1501,$J832+1))),0),N(INDEX('Daily Sale entry '!$S$1:$S$1501,$J832-1499))-'Opening Balance'!$B$15*(N(INDEX('Daily Sale entry '!$S$1:$S$1501,$J832-1499))-TRUNC(N(INDEX('Daily Sale entry '!$S$1:$S$1501,$J832-1499))))))</f>
        <v/>
      </c>
      <c r="G832" s="6">
        <f>IF($J832="","",IF($J832&lt;=1500,N(INDEX('Daily Sale entry '!$AD$1:$AD$1501,$J832+1)),0))</f>
        <v/>
      </c>
      <c r="H832" s="6">
        <f>IF($J832="","",ROUND('Opening Balance'!$B$4+SUM($F$2:F832)-SUM($G$2:G832),2))</f>
        <v/>
      </c>
      <c r="J832" s="21">
        <f>IFERROR(MATCH(ROW()-1,$L$2:$L$3001,0),"")</f>
        <v/>
      </c>
      <c r="K832" s="34">
        <f>IF(AND('Daily Sale entry '!X832&lt;&gt;"",OR('Daily Sale entry '!AC832&lt;&gt;"",'Daily Sale entry '!AD832&lt;&gt;"")),'Daily Sale entry '!X832+ROW()/10000000,"")</f>
        <v/>
      </c>
      <c r="L832" s="21">
        <f>IF(K832="","",COUNTIF($K$2:$K$3001,"&lt;"&amp;K832)+1)</f>
        <v/>
      </c>
    </row>
    <row r="833">
      <c r="A833" s="5">
        <f>IF($J833="","",IF($J833&lt;=1500,INDEX('Daily Sale entry '!$X$1:$X$1501,$J833+1),INDEX('Daily Sale entry '!$V$1:$V$1501,$J833-1499)))</f>
        <v/>
      </c>
      <c r="B833">
        <f>IF($J833="","",IF($J833&lt;=1500,INDEX('Daily Sale entry '!$Y$1:$Y$1501,$J833+1)&amp;"","Buyer cheque banked 买家支票存入"&amp;IF(INDEX('Daily Sale entry '!$U$1:$U$1501,$J833-1499)="","", " - "&amp;INDEX('Daily Sale entry '!$U$1:$U$1501,$J833-1499))))</f>
        <v/>
      </c>
      <c r="C833">
        <f>IF($J833="","",IF($J833&lt;=1500,INDEX('Daily Sale entry '!$Z$1:$Z$1501,$J833+1)&amp;"","Cheque deposit 支票存入 (buyer 买家)"))</f>
        <v/>
      </c>
      <c r="D833">
        <f>IF($J833="","",IF($J833&lt;=1500,INDEX('Daily Sale entry '!$AA$1:$AA$1501,$J833+1)&amp;"",INDEX('Daily Sale entry '!$P$1:$P$1501,$J833-1499)&amp;""))</f>
        <v/>
      </c>
      <c r="E833">
        <f>IF($J833="","",IF($J833&lt;=1500,IF(N(INDEX('Daily Sale entry '!$AB$1:$AB$1501,$J833+1))=0,"",INDEX('Daily Sale entry '!$AB$1:$AB$1501,$J833+1)),1))</f>
        <v/>
      </c>
      <c r="F833" s="6">
        <f>IF($J833="","",IF($J833&lt;=1500,N(INDEX('Daily Sale entry '!$AC$1:$AC$1501,$J833+1))-IF(AND('Opening Balance'!$B$15=1,INDEX('Daily Sale entry '!$Z$1:$Z$1501,$J833+1)="Online collection 网上收款",INDEX('Daily Sale entry '!$AA$1:$AA$1501,$J833+1)&lt;&gt;""),N(INDEX('Daily Sale entry '!$AC$1:$AC$1501,$J833+1))-TRUNC(N(INDEX('Daily Sale entry '!$AC$1:$AC$1501,$J833+1))),0),N(INDEX('Daily Sale entry '!$S$1:$S$1501,$J833-1499))-'Opening Balance'!$B$15*(N(INDEX('Daily Sale entry '!$S$1:$S$1501,$J833-1499))-TRUNC(N(INDEX('Daily Sale entry '!$S$1:$S$1501,$J833-1499))))))</f>
        <v/>
      </c>
      <c r="G833" s="6">
        <f>IF($J833="","",IF($J833&lt;=1500,N(INDEX('Daily Sale entry '!$AD$1:$AD$1501,$J833+1)),0))</f>
        <v/>
      </c>
      <c r="H833" s="6">
        <f>IF($J833="","",ROUND('Opening Balance'!$B$4+SUM($F$2:F833)-SUM($G$2:G833),2))</f>
        <v/>
      </c>
      <c r="J833" s="21">
        <f>IFERROR(MATCH(ROW()-1,$L$2:$L$3001,0),"")</f>
        <v/>
      </c>
      <c r="K833" s="34">
        <f>IF(AND('Daily Sale entry '!X833&lt;&gt;"",OR('Daily Sale entry '!AC833&lt;&gt;"",'Daily Sale entry '!AD833&lt;&gt;"")),'Daily Sale entry '!X833+ROW()/10000000,"")</f>
        <v/>
      </c>
      <c r="L833" s="21">
        <f>IF(K833="","",COUNTIF($K$2:$K$3001,"&lt;"&amp;K833)+1)</f>
        <v/>
      </c>
    </row>
    <row r="834">
      <c r="A834" s="5">
        <f>IF($J834="","",IF($J834&lt;=1500,INDEX('Daily Sale entry '!$X$1:$X$1501,$J834+1),INDEX('Daily Sale entry '!$V$1:$V$1501,$J834-1499)))</f>
        <v/>
      </c>
      <c r="B834">
        <f>IF($J834="","",IF($J834&lt;=1500,INDEX('Daily Sale entry '!$Y$1:$Y$1501,$J834+1)&amp;"","Buyer cheque banked 买家支票存入"&amp;IF(INDEX('Daily Sale entry '!$U$1:$U$1501,$J834-1499)="","", " - "&amp;INDEX('Daily Sale entry '!$U$1:$U$1501,$J834-1499))))</f>
        <v/>
      </c>
      <c r="C834">
        <f>IF($J834="","",IF($J834&lt;=1500,INDEX('Daily Sale entry '!$Z$1:$Z$1501,$J834+1)&amp;"","Cheque deposit 支票存入 (buyer 买家)"))</f>
        <v/>
      </c>
      <c r="D834">
        <f>IF($J834="","",IF($J834&lt;=1500,INDEX('Daily Sale entry '!$AA$1:$AA$1501,$J834+1)&amp;"",INDEX('Daily Sale entry '!$P$1:$P$1501,$J834-1499)&amp;""))</f>
        <v/>
      </c>
      <c r="E834">
        <f>IF($J834="","",IF($J834&lt;=1500,IF(N(INDEX('Daily Sale entry '!$AB$1:$AB$1501,$J834+1))=0,"",INDEX('Daily Sale entry '!$AB$1:$AB$1501,$J834+1)),1))</f>
        <v/>
      </c>
      <c r="F834" s="6">
        <f>IF($J834="","",IF($J834&lt;=1500,N(INDEX('Daily Sale entry '!$AC$1:$AC$1501,$J834+1))-IF(AND('Opening Balance'!$B$15=1,INDEX('Daily Sale entry '!$Z$1:$Z$1501,$J834+1)="Online collection 网上收款",INDEX('Daily Sale entry '!$AA$1:$AA$1501,$J834+1)&lt;&gt;""),N(INDEX('Daily Sale entry '!$AC$1:$AC$1501,$J834+1))-TRUNC(N(INDEX('Daily Sale entry '!$AC$1:$AC$1501,$J834+1))),0),N(INDEX('Daily Sale entry '!$S$1:$S$1501,$J834-1499))-'Opening Balance'!$B$15*(N(INDEX('Daily Sale entry '!$S$1:$S$1501,$J834-1499))-TRUNC(N(INDEX('Daily Sale entry '!$S$1:$S$1501,$J834-1499))))))</f>
        <v/>
      </c>
      <c r="G834" s="6">
        <f>IF($J834="","",IF($J834&lt;=1500,N(INDEX('Daily Sale entry '!$AD$1:$AD$1501,$J834+1)),0))</f>
        <v/>
      </c>
      <c r="H834" s="6">
        <f>IF($J834="","",ROUND('Opening Balance'!$B$4+SUM($F$2:F834)-SUM($G$2:G834),2))</f>
        <v/>
      </c>
      <c r="J834" s="21">
        <f>IFERROR(MATCH(ROW()-1,$L$2:$L$3001,0),"")</f>
        <v/>
      </c>
      <c r="K834" s="34">
        <f>IF(AND('Daily Sale entry '!X834&lt;&gt;"",OR('Daily Sale entry '!AC834&lt;&gt;"",'Daily Sale entry '!AD834&lt;&gt;"")),'Daily Sale entry '!X834+ROW()/10000000,"")</f>
        <v/>
      </c>
      <c r="L834" s="21">
        <f>IF(K834="","",COUNTIF($K$2:$K$3001,"&lt;"&amp;K834)+1)</f>
        <v/>
      </c>
    </row>
    <row r="835">
      <c r="A835" s="5">
        <f>IF($J835="","",IF($J835&lt;=1500,INDEX('Daily Sale entry '!$X$1:$X$1501,$J835+1),INDEX('Daily Sale entry '!$V$1:$V$1501,$J835-1499)))</f>
        <v/>
      </c>
      <c r="B835">
        <f>IF($J835="","",IF($J835&lt;=1500,INDEX('Daily Sale entry '!$Y$1:$Y$1501,$J835+1)&amp;"","Buyer cheque banked 买家支票存入"&amp;IF(INDEX('Daily Sale entry '!$U$1:$U$1501,$J835-1499)="","", " - "&amp;INDEX('Daily Sale entry '!$U$1:$U$1501,$J835-1499))))</f>
        <v/>
      </c>
      <c r="C835">
        <f>IF($J835="","",IF($J835&lt;=1500,INDEX('Daily Sale entry '!$Z$1:$Z$1501,$J835+1)&amp;"","Cheque deposit 支票存入 (buyer 买家)"))</f>
        <v/>
      </c>
      <c r="D835">
        <f>IF($J835="","",IF($J835&lt;=1500,INDEX('Daily Sale entry '!$AA$1:$AA$1501,$J835+1)&amp;"",INDEX('Daily Sale entry '!$P$1:$P$1501,$J835-1499)&amp;""))</f>
        <v/>
      </c>
      <c r="E835">
        <f>IF($J835="","",IF($J835&lt;=1500,IF(N(INDEX('Daily Sale entry '!$AB$1:$AB$1501,$J835+1))=0,"",INDEX('Daily Sale entry '!$AB$1:$AB$1501,$J835+1)),1))</f>
        <v/>
      </c>
      <c r="F835" s="6">
        <f>IF($J835="","",IF($J835&lt;=1500,N(INDEX('Daily Sale entry '!$AC$1:$AC$1501,$J835+1))-IF(AND('Opening Balance'!$B$15=1,INDEX('Daily Sale entry '!$Z$1:$Z$1501,$J835+1)="Online collection 网上收款",INDEX('Daily Sale entry '!$AA$1:$AA$1501,$J835+1)&lt;&gt;""),N(INDEX('Daily Sale entry '!$AC$1:$AC$1501,$J835+1))-TRUNC(N(INDEX('Daily Sale entry '!$AC$1:$AC$1501,$J835+1))),0),N(INDEX('Daily Sale entry '!$S$1:$S$1501,$J835-1499))-'Opening Balance'!$B$15*(N(INDEX('Daily Sale entry '!$S$1:$S$1501,$J835-1499))-TRUNC(N(INDEX('Daily Sale entry '!$S$1:$S$1501,$J835-1499))))))</f>
        <v/>
      </c>
      <c r="G835" s="6">
        <f>IF($J835="","",IF($J835&lt;=1500,N(INDEX('Daily Sale entry '!$AD$1:$AD$1501,$J835+1)),0))</f>
        <v/>
      </c>
      <c r="H835" s="6">
        <f>IF($J835="","",ROUND('Opening Balance'!$B$4+SUM($F$2:F835)-SUM($G$2:G835),2))</f>
        <v/>
      </c>
      <c r="J835" s="21">
        <f>IFERROR(MATCH(ROW()-1,$L$2:$L$3001,0),"")</f>
        <v/>
      </c>
      <c r="K835" s="34">
        <f>IF(AND('Daily Sale entry '!X835&lt;&gt;"",OR('Daily Sale entry '!AC835&lt;&gt;"",'Daily Sale entry '!AD835&lt;&gt;"")),'Daily Sale entry '!X835+ROW()/10000000,"")</f>
        <v/>
      </c>
      <c r="L835" s="21">
        <f>IF(K835="","",COUNTIF($K$2:$K$3001,"&lt;"&amp;K835)+1)</f>
        <v/>
      </c>
    </row>
    <row r="836">
      <c r="A836" s="5">
        <f>IF($J836="","",IF($J836&lt;=1500,INDEX('Daily Sale entry '!$X$1:$X$1501,$J836+1),INDEX('Daily Sale entry '!$V$1:$V$1501,$J836-1499)))</f>
        <v/>
      </c>
      <c r="B836">
        <f>IF($J836="","",IF($J836&lt;=1500,INDEX('Daily Sale entry '!$Y$1:$Y$1501,$J836+1)&amp;"","Buyer cheque banked 买家支票存入"&amp;IF(INDEX('Daily Sale entry '!$U$1:$U$1501,$J836-1499)="","", " - "&amp;INDEX('Daily Sale entry '!$U$1:$U$1501,$J836-1499))))</f>
        <v/>
      </c>
      <c r="C836">
        <f>IF($J836="","",IF($J836&lt;=1500,INDEX('Daily Sale entry '!$Z$1:$Z$1501,$J836+1)&amp;"","Cheque deposit 支票存入 (buyer 买家)"))</f>
        <v/>
      </c>
      <c r="D836">
        <f>IF($J836="","",IF($J836&lt;=1500,INDEX('Daily Sale entry '!$AA$1:$AA$1501,$J836+1)&amp;"",INDEX('Daily Sale entry '!$P$1:$P$1501,$J836-1499)&amp;""))</f>
        <v/>
      </c>
      <c r="E836">
        <f>IF($J836="","",IF($J836&lt;=1500,IF(N(INDEX('Daily Sale entry '!$AB$1:$AB$1501,$J836+1))=0,"",INDEX('Daily Sale entry '!$AB$1:$AB$1501,$J836+1)),1))</f>
        <v/>
      </c>
      <c r="F836" s="6">
        <f>IF($J836="","",IF($J836&lt;=1500,N(INDEX('Daily Sale entry '!$AC$1:$AC$1501,$J836+1))-IF(AND('Opening Balance'!$B$15=1,INDEX('Daily Sale entry '!$Z$1:$Z$1501,$J836+1)="Online collection 网上收款",INDEX('Daily Sale entry '!$AA$1:$AA$1501,$J836+1)&lt;&gt;""),N(INDEX('Daily Sale entry '!$AC$1:$AC$1501,$J836+1))-TRUNC(N(INDEX('Daily Sale entry '!$AC$1:$AC$1501,$J836+1))),0),N(INDEX('Daily Sale entry '!$S$1:$S$1501,$J836-1499))-'Opening Balance'!$B$15*(N(INDEX('Daily Sale entry '!$S$1:$S$1501,$J836-1499))-TRUNC(N(INDEX('Daily Sale entry '!$S$1:$S$1501,$J836-1499))))))</f>
        <v/>
      </c>
      <c r="G836" s="6">
        <f>IF($J836="","",IF($J836&lt;=1500,N(INDEX('Daily Sale entry '!$AD$1:$AD$1501,$J836+1)),0))</f>
        <v/>
      </c>
      <c r="H836" s="6">
        <f>IF($J836="","",ROUND('Opening Balance'!$B$4+SUM($F$2:F836)-SUM($G$2:G836),2))</f>
        <v/>
      </c>
      <c r="J836" s="21">
        <f>IFERROR(MATCH(ROW()-1,$L$2:$L$3001,0),"")</f>
        <v/>
      </c>
      <c r="K836" s="34">
        <f>IF(AND('Daily Sale entry '!X836&lt;&gt;"",OR('Daily Sale entry '!AC836&lt;&gt;"",'Daily Sale entry '!AD836&lt;&gt;"")),'Daily Sale entry '!X836+ROW()/10000000,"")</f>
        <v/>
      </c>
      <c r="L836" s="21">
        <f>IF(K836="","",COUNTIF($K$2:$K$3001,"&lt;"&amp;K836)+1)</f>
        <v/>
      </c>
    </row>
    <row r="837">
      <c r="A837" s="5">
        <f>IF($J837="","",IF($J837&lt;=1500,INDEX('Daily Sale entry '!$X$1:$X$1501,$J837+1),INDEX('Daily Sale entry '!$V$1:$V$1501,$J837-1499)))</f>
        <v/>
      </c>
      <c r="B837">
        <f>IF($J837="","",IF($J837&lt;=1500,INDEX('Daily Sale entry '!$Y$1:$Y$1501,$J837+1)&amp;"","Buyer cheque banked 买家支票存入"&amp;IF(INDEX('Daily Sale entry '!$U$1:$U$1501,$J837-1499)="","", " - "&amp;INDEX('Daily Sale entry '!$U$1:$U$1501,$J837-1499))))</f>
        <v/>
      </c>
      <c r="C837">
        <f>IF($J837="","",IF($J837&lt;=1500,INDEX('Daily Sale entry '!$Z$1:$Z$1501,$J837+1)&amp;"","Cheque deposit 支票存入 (buyer 买家)"))</f>
        <v/>
      </c>
      <c r="D837">
        <f>IF($J837="","",IF($J837&lt;=1500,INDEX('Daily Sale entry '!$AA$1:$AA$1501,$J837+1)&amp;"",INDEX('Daily Sale entry '!$P$1:$P$1501,$J837-1499)&amp;""))</f>
        <v/>
      </c>
      <c r="E837">
        <f>IF($J837="","",IF($J837&lt;=1500,IF(N(INDEX('Daily Sale entry '!$AB$1:$AB$1501,$J837+1))=0,"",INDEX('Daily Sale entry '!$AB$1:$AB$1501,$J837+1)),1))</f>
        <v/>
      </c>
      <c r="F837" s="6">
        <f>IF($J837="","",IF($J837&lt;=1500,N(INDEX('Daily Sale entry '!$AC$1:$AC$1501,$J837+1))-IF(AND('Opening Balance'!$B$15=1,INDEX('Daily Sale entry '!$Z$1:$Z$1501,$J837+1)="Online collection 网上收款",INDEX('Daily Sale entry '!$AA$1:$AA$1501,$J837+1)&lt;&gt;""),N(INDEX('Daily Sale entry '!$AC$1:$AC$1501,$J837+1))-TRUNC(N(INDEX('Daily Sale entry '!$AC$1:$AC$1501,$J837+1))),0),N(INDEX('Daily Sale entry '!$S$1:$S$1501,$J837-1499))-'Opening Balance'!$B$15*(N(INDEX('Daily Sale entry '!$S$1:$S$1501,$J837-1499))-TRUNC(N(INDEX('Daily Sale entry '!$S$1:$S$1501,$J837-1499))))))</f>
        <v/>
      </c>
      <c r="G837" s="6">
        <f>IF($J837="","",IF($J837&lt;=1500,N(INDEX('Daily Sale entry '!$AD$1:$AD$1501,$J837+1)),0))</f>
        <v/>
      </c>
      <c r="H837" s="6">
        <f>IF($J837="","",ROUND('Opening Balance'!$B$4+SUM($F$2:F837)-SUM($G$2:G837),2))</f>
        <v/>
      </c>
      <c r="J837" s="21">
        <f>IFERROR(MATCH(ROW()-1,$L$2:$L$3001,0),"")</f>
        <v/>
      </c>
      <c r="K837" s="34">
        <f>IF(AND('Daily Sale entry '!X837&lt;&gt;"",OR('Daily Sale entry '!AC837&lt;&gt;"",'Daily Sale entry '!AD837&lt;&gt;"")),'Daily Sale entry '!X837+ROW()/10000000,"")</f>
        <v/>
      </c>
      <c r="L837" s="21">
        <f>IF(K837="","",COUNTIF($K$2:$K$3001,"&lt;"&amp;K837)+1)</f>
        <v/>
      </c>
    </row>
    <row r="838">
      <c r="A838" s="5">
        <f>IF($J838="","",IF($J838&lt;=1500,INDEX('Daily Sale entry '!$X$1:$X$1501,$J838+1),INDEX('Daily Sale entry '!$V$1:$V$1501,$J838-1499)))</f>
        <v/>
      </c>
      <c r="B838">
        <f>IF($J838="","",IF($J838&lt;=1500,INDEX('Daily Sale entry '!$Y$1:$Y$1501,$J838+1)&amp;"","Buyer cheque banked 买家支票存入"&amp;IF(INDEX('Daily Sale entry '!$U$1:$U$1501,$J838-1499)="","", " - "&amp;INDEX('Daily Sale entry '!$U$1:$U$1501,$J838-1499))))</f>
        <v/>
      </c>
      <c r="C838">
        <f>IF($J838="","",IF($J838&lt;=1500,INDEX('Daily Sale entry '!$Z$1:$Z$1501,$J838+1)&amp;"","Cheque deposit 支票存入 (buyer 买家)"))</f>
        <v/>
      </c>
      <c r="D838">
        <f>IF($J838="","",IF($J838&lt;=1500,INDEX('Daily Sale entry '!$AA$1:$AA$1501,$J838+1)&amp;"",INDEX('Daily Sale entry '!$P$1:$P$1501,$J838-1499)&amp;""))</f>
        <v/>
      </c>
      <c r="E838">
        <f>IF($J838="","",IF($J838&lt;=1500,IF(N(INDEX('Daily Sale entry '!$AB$1:$AB$1501,$J838+1))=0,"",INDEX('Daily Sale entry '!$AB$1:$AB$1501,$J838+1)),1))</f>
        <v/>
      </c>
      <c r="F838" s="6">
        <f>IF($J838="","",IF($J838&lt;=1500,N(INDEX('Daily Sale entry '!$AC$1:$AC$1501,$J838+1))-IF(AND('Opening Balance'!$B$15=1,INDEX('Daily Sale entry '!$Z$1:$Z$1501,$J838+1)="Online collection 网上收款",INDEX('Daily Sale entry '!$AA$1:$AA$1501,$J838+1)&lt;&gt;""),N(INDEX('Daily Sale entry '!$AC$1:$AC$1501,$J838+1))-TRUNC(N(INDEX('Daily Sale entry '!$AC$1:$AC$1501,$J838+1))),0),N(INDEX('Daily Sale entry '!$S$1:$S$1501,$J838-1499))-'Opening Balance'!$B$15*(N(INDEX('Daily Sale entry '!$S$1:$S$1501,$J838-1499))-TRUNC(N(INDEX('Daily Sale entry '!$S$1:$S$1501,$J838-1499))))))</f>
        <v/>
      </c>
      <c r="G838" s="6">
        <f>IF($J838="","",IF($J838&lt;=1500,N(INDEX('Daily Sale entry '!$AD$1:$AD$1501,$J838+1)),0))</f>
        <v/>
      </c>
      <c r="H838" s="6">
        <f>IF($J838="","",ROUND('Opening Balance'!$B$4+SUM($F$2:F838)-SUM($G$2:G838),2))</f>
        <v/>
      </c>
      <c r="J838" s="21">
        <f>IFERROR(MATCH(ROW()-1,$L$2:$L$3001,0),"")</f>
        <v/>
      </c>
      <c r="K838" s="34">
        <f>IF(AND('Daily Sale entry '!X838&lt;&gt;"",OR('Daily Sale entry '!AC838&lt;&gt;"",'Daily Sale entry '!AD838&lt;&gt;"")),'Daily Sale entry '!X838+ROW()/10000000,"")</f>
        <v/>
      </c>
      <c r="L838" s="21">
        <f>IF(K838="","",COUNTIF($K$2:$K$3001,"&lt;"&amp;K838)+1)</f>
        <v/>
      </c>
    </row>
    <row r="839">
      <c r="A839" s="5">
        <f>IF($J839="","",IF($J839&lt;=1500,INDEX('Daily Sale entry '!$X$1:$X$1501,$J839+1),INDEX('Daily Sale entry '!$V$1:$V$1501,$J839-1499)))</f>
        <v/>
      </c>
      <c r="B839">
        <f>IF($J839="","",IF($J839&lt;=1500,INDEX('Daily Sale entry '!$Y$1:$Y$1501,$J839+1)&amp;"","Buyer cheque banked 买家支票存入"&amp;IF(INDEX('Daily Sale entry '!$U$1:$U$1501,$J839-1499)="","", " - "&amp;INDEX('Daily Sale entry '!$U$1:$U$1501,$J839-1499))))</f>
        <v/>
      </c>
      <c r="C839">
        <f>IF($J839="","",IF($J839&lt;=1500,INDEX('Daily Sale entry '!$Z$1:$Z$1501,$J839+1)&amp;"","Cheque deposit 支票存入 (buyer 买家)"))</f>
        <v/>
      </c>
      <c r="D839">
        <f>IF($J839="","",IF($J839&lt;=1500,INDEX('Daily Sale entry '!$AA$1:$AA$1501,$J839+1)&amp;"",INDEX('Daily Sale entry '!$P$1:$P$1501,$J839-1499)&amp;""))</f>
        <v/>
      </c>
      <c r="E839">
        <f>IF($J839="","",IF($J839&lt;=1500,IF(N(INDEX('Daily Sale entry '!$AB$1:$AB$1501,$J839+1))=0,"",INDEX('Daily Sale entry '!$AB$1:$AB$1501,$J839+1)),1))</f>
        <v/>
      </c>
      <c r="F839" s="6">
        <f>IF($J839="","",IF($J839&lt;=1500,N(INDEX('Daily Sale entry '!$AC$1:$AC$1501,$J839+1))-IF(AND('Opening Balance'!$B$15=1,INDEX('Daily Sale entry '!$Z$1:$Z$1501,$J839+1)="Online collection 网上收款",INDEX('Daily Sale entry '!$AA$1:$AA$1501,$J839+1)&lt;&gt;""),N(INDEX('Daily Sale entry '!$AC$1:$AC$1501,$J839+1))-TRUNC(N(INDEX('Daily Sale entry '!$AC$1:$AC$1501,$J839+1))),0),N(INDEX('Daily Sale entry '!$S$1:$S$1501,$J839-1499))-'Opening Balance'!$B$15*(N(INDEX('Daily Sale entry '!$S$1:$S$1501,$J839-1499))-TRUNC(N(INDEX('Daily Sale entry '!$S$1:$S$1501,$J839-1499))))))</f>
        <v/>
      </c>
      <c r="G839" s="6">
        <f>IF($J839="","",IF($J839&lt;=1500,N(INDEX('Daily Sale entry '!$AD$1:$AD$1501,$J839+1)),0))</f>
        <v/>
      </c>
      <c r="H839" s="6">
        <f>IF($J839="","",ROUND('Opening Balance'!$B$4+SUM($F$2:F839)-SUM($G$2:G839),2))</f>
        <v/>
      </c>
      <c r="J839" s="21">
        <f>IFERROR(MATCH(ROW()-1,$L$2:$L$3001,0),"")</f>
        <v/>
      </c>
      <c r="K839" s="34">
        <f>IF(AND('Daily Sale entry '!X839&lt;&gt;"",OR('Daily Sale entry '!AC839&lt;&gt;"",'Daily Sale entry '!AD839&lt;&gt;"")),'Daily Sale entry '!X839+ROW()/10000000,"")</f>
        <v/>
      </c>
      <c r="L839" s="21">
        <f>IF(K839="","",COUNTIF($K$2:$K$3001,"&lt;"&amp;K839)+1)</f>
        <v/>
      </c>
    </row>
    <row r="840">
      <c r="A840" s="5">
        <f>IF($J840="","",IF($J840&lt;=1500,INDEX('Daily Sale entry '!$X$1:$X$1501,$J840+1),INDEX('Daily Sale entry '!$V$1:$V$1501,$J840-1499)))</f>
        <v/>
      </c>
      <c r="B840">
        <f>IF($J840="","",IF($J840&lt;=1500,INDEX('Daily Sale entry '!$Y$1:$Y$1501,$J840+1)&amp;"","Buyer cheque banked 买家支票存入"&amp;IF(INDEX('Daily Sale entry '!$U$1:$U$1501,$J840-1499)="","", " - "&amp;INDEX('Daily Sale entry '!$U$1:$U$1501,$J840-1499))))</f>
        <v/>
      </c>
      <c r="C840">
        <f>IF($J840="","",IF($J840&lt;=1500,INDEX('Daily Sale entry '!$Z$1:$Z$1501,$J840+1)&amp;"","Cheque deposit 支票存入 (buyer 买家)"))</f>
        <v/>
      </c>
      <c r="D840">
        <f>IF($J840="","",IF($J840&lt;=1500,INDEX('Daily Sale entry '!$AA$1:$AA$1501,$J840+1)&amp;"",INDEX('Daily Sale entry '!$P$1:$P$1501,$J840-1499)&amp;""))</f>
        <v/>
      </c>
      <c r="E840">
        <f>IF($J840="","",IF($J840&lt;=1500,IF(N(INDEX('Daily Sale entry '!$AB$1:$AB$1501,$J840+1))=0,"",INDEX('Daily Sale entry '!$AB$1:$AB$1501,$J840+1)),1))</f>
        <v/>
      </c>
      <c r="F840" s="6">
        <f>IF($J840="","",IF($J840&lt;=1500,N(INDEX('Daily Sale entry '!$AC$1:$AC$1501,$J840+1))-IF(AND('Opening Balance'!$B$15=1,INDEX('Daily Sale entry '!$Z$1:$Z$1501,$J840+1)="Online collection 网上收款",INDEX('Daily Sale entry '!$AA$1:$AA$1501,$J840+1)&lt;&gt;""),N(INDEX('Daily Sale entry '!$AC$1:$AC$1501,$J840+1))-TRUNC(N(INDEX('Daily Sale entry '!$AC$1:$AC$1501,$J840+1))),0),N(INDEX('Daily Sale entry '!$S$1:$S$1501,$J840-1499))-'Opening Balance'!$B$15*(N(INDEX('Daily Sale entry '!$S$1:$S$1501,$J840-1499))-TRUNC(N(INDEX('Daily Sale entry '!$S$1:$S$1501,$J840-1499))))))</f>
        <v/>
      </c>
      <c r="G840" s="6">
        <f>IF($J840="","",IF($J840&lt;=1500,N(INDEX('Daily Sale entry '!$AD$1:$AD$1501,$J840+1)),0))</f>
        <v/>
      </c>
      <c r="H840" s="6">
        <f>IF($J840="","",ROUND('Opening Balance'!$B$4+SUM($F$2:F840)-SUM($G$2:G840),2))</f>
        <v/>
      </c>
      <c r="J840" s="21">
        <f>IFERROR(MATCH(ROW()-1,$L$2:$L$3001,0),"")</f>
        <v/>
      </c>
      <c r="K840" s="34">
        <f>IF(AND('Daily Sale entry '!X840&lt;&gt;"",OR('Daily Sale entry '!AC840&lt;&gt;"",'Daily Sale entry '!AD840&lt;&gt;"")),'Daily Sale entry '!X840+ROW()/10000000,"")</f>
        <v/>
      </c>
      <c r="L840" s="21">
        <f>IF(K840="","",COUNTIF($K$2:$K$3001,"&lt;"&amp;K840)+1)</f>
        <v/>
      </c>
    </row>
    <row r="841">
      <c r="A841" s="5">
        <f>IF($J841="","",IF($J841&lt;=1500,INDEX('Daily Sale entry '!$X$1:$X$1501,$J841+1),INDEX('Daily Sale entry '!$V$1:$V$1501,$J841-1499)))</f>
        <v/>
      </c>
      <c r="B841">
        <f>IF($J841="","",IF($J841&lt;=1500,INDEX('Daily Sale entry '!$Y$1:$Y$1501,$J841+1)&amp;"","Buyer cheque banked 买家支票存入"&amp;IF(INDEX('Daily Sale entry '!$U$1:$U$1501,$J841-1499)="","", " - "&amp;INDEX('Daily Sale entry '!$U$1:$U$1501,$J841-1499))))</f>
        <v/>
      </c>
      <c r="C841">
        <f>IF($J841="","",IF($J841&lt;=1500,INDEX('Daily Sale entry '!$Z$1:$Z$1501,$J841+1)&amp;"","Cheque deposit 支票存入 (buyer 买家)"))</f>
        <v/>
      </c>
      <c r="D841">
        <f>IF($J841="","",IF($J841&lt;=1500,INDEX('Daily Sale entry '!$AA$1:$AA$1501,$J841+1)&amp;"",INDEX('Daily Sale entry '!$P$1:$P$1501,$J841-1499)&amp;""))</f>
        <v/>
      </c>
      <c r="E841">
        <f>IF($J841="","",IF($J841&lt;=1500,IF(N(INDEX('Daily Sale entry '!$AB$1:$AB$1501,$J841+1))=0,"",INDEX('Daily Sale entry '!$AB$1:$AB$1501,$J841+1)),1))</f>
        <v/>
      </c>
      <c r="F841" s="6">
        <f>IF($J841="","",IF($J841&lt;=1500,N(INDEX('Daily Sale entry '!$AC$1:$AC$1501,$J841+1))-IF(AND('Opening Balance'!$B$15=1,INDEX('Daily Sale entry '!$Z$1:$Z$1501,$J841+1)="Online collection 网上收款",INDEX('Daily Sale entry '!$AA$1:$AA$1501,$J841+1)&lt;&gt;""),N(INDEX('Daily Sale entry '!$AC$1:$AC$1501,$J841+1))-TRUNC(N(INDEX('Daily Sale entry '!$AC$1:$AC$1501,$J841+1))),0),N(INDEX('Daily Sale entry '!$S$1:$S$1501,$J841-1499))-'Opening Balance'!$B$15*(N(INDEX('Daily Sale entry '!$S$1:$S$1501,$J841-1499))-TRUNC(N(INDEX('Daily Sale entry '!$S$1:$S$1501,$J841-1499))))))</f>
        <v/>
      </c>
      <c r="G841" s="6">
        <f>IF($J841="","",IF($J841&lt;=1500,N(INDEX('Daily Sale entry '!$AD$1:$AD$1501,$J841+1)),0))</f>
        <v/>
      </c>
      <c r="H841" s="6">
        <f>IF($J841="","",ROUND('Opening Balance'!$B$4+SUM($F$2:F841)-SUM($G$2:G841),2))</f>
        <v/>
      </c>
      <c r="J841" s="21">
        <f>IFERROR(MATCH(ROW()-1,$L$2:$L$3001,0),"")</f>
        <v/>
      </c>
      <c r="K841" s="34">
        <f>IF(AND('Daily Sale entry '!X841&lt;&gt;"",OR('Daily Sale entry '!AC841&lt;&gt;"",'Daily Sale entry '!AD841&lt;&gt;"")),'Daily Sale entry '!X841+ROW()/10000000,"")</f>
        <v/>
      </c>
      <c r="L841" s="21">
        <f>IF(K841="","",COUNTIF($K$2:$K$3001,"&lt;"&amp;K841)+1)</f>
        <v/>
      </c>
    </row>
    <row r="842">
      <c r="A842" s="5">
        <f>IF($J842="","",IF($J842&lt;=1500,INDEX('Daily Sale entry '!$X$1:$X$1501,$J842+1),INDEX('Daily Sale entry '!$V$1:$V$1501,$J842-1499)))</f>
        <v/>
      </c>
      <c r="B842">
        <f>IF($J842="","",IF($J842&lt;=1500,INDEX('Daily Sale entry '!$Y$1:$Y$1501,$J842+1)&amp;"","Buyer cheque banked 买家支票存入"&amp;IF(INDEX('Daily Sale entry '!$U$1:$U$1501,$J842-1499)="","", " - "&amp;INDEX('Daily Sale entry '!$U$1:$U$1501,$J842-1499))))</f>
        <v/>
      </c>
      <c r="C842">
        <f>IF($J842="","",IF($J842&lt;=1500,INDEX('Daily Sale entry '!$Z$1:$Z$1501,$J842+1)&amp;"","Cheque deposit 支票存入 (buyer 买家)"))</f>
        <v/>
      </c>
      <c r="D842">
        <f>IF($J842="","",IF($J842&lt;=1500,INDEX('Daily Sale entry '!$AA$1:$AA$1501,$J842+1)&amp;"",INDEX('Daily Sale entry '!$P$1:$P$1501,$J842-1499)&amp;""))</f>
        <v/>
      </c>
      <c r="E842">
        <f>IF($J842="","",IF($J842&lt;=1500,IF(N(INDEX('Daily Sale entry '!$AB$1:$AB$1501,$J842+1))=0,"",INDEX('Daily Sale entry '!$AB$1:$AB$1501,$J842+1)),1))</f>
        <v/>
      </c>
      <c r="F842" s="6">
        <f>IF($J842="","",IF($J842&lt;=1500,N(INDEX('Daily Sale entry '!$AC$1:$AC$1501,$J842+1))-IF(AND('Opening Balance'!$B$15=1,INDEX('Daily Sale entry '!$Z$1:$Z$1501,$J842+1)="Online collection 网上收款",INDEX('Daily Sale entry '!$AA$1:$AA$1501,$J842+1)&lt;&gt;""),N(INDEX('Daily Sale entry '!$AC$1:$AC$1501,$J842+1))-TRUNC(N(INDEX('Daily Sale entry '!$AC$1:$AC$1501,$J842+1))),0),N(INDEX('Daily Sale entry '!$S$1:$S$1501,$J842-1499))-'Opening Balance'!$B$15*(N(INDEX('Daily Sale entry '!$S$1:$S$1501,$J842-1499))-TRUNC(N(INDEX('Daily Sale entry '!$S$1:$S$1501,$J842-1499))))))</f>
        <v/>
      </c>
      <c r="G842" s="6">
        <f>IF($J842="","",IF($J842&lt;=1500,N(INDEX('Daily Sale entry '!$AD$1:$AD$1501,$J842+1)),0))</f>
        <v/>
      </c>
      <c r="H842" s="6">
        <f>IF($J842="","",ROUND('Opening Balance'!$B$4+SUM($F$2:F842)-SUM($G$2:G842),2))</f>
        <v/>
      </c>
      <c r="J842" s="21">
        <f>IFERROR(MATCH(ROW()-1,$L$2:$L$3001,0),"")</f>
        <v/>
      </c>
      <c r="K842" s="34">
        <f>IF(AND('Daily Sale entry '!X842&lt;&gt;"",OR('Daily Sale entry '!AC842&lt;&gt;"",'Daily Sale entry '!AD842&lt;&gt;"")),'Daily Sale entry '!X842+ROW()/10000000,"")</f>
        <v/>
      </c>
      <c r="L842" s="21">
        <f>IF(K842="","",COUNTIF($K$2:$K$3001,"&lt;"&amp;K842)+1)</f>
        <v/>
      </c>
    </row>
    <row r="843">
      <c r="A843" s="5">
        <f>IF($J843="","",IF($J843&lt;=1500,INDEX('Daily Sale entry '!$X$1:$X$1501,$J843+1),INDEX('Daily Sale entry '!$V$1:$V$1501,$J843-1499)))</f>
        <v/>
      </c>
      <c r="B843">
        <f>IF($J843="","",IF($J843&lt;=1500,INDEX('Daily Sale entry '!$Y$1:$Y$1501,$J843+1)&amp;"","Buyer cheque banked 买家支票存入"&amp;IF(INDEX('Daily Sale entry '!$U$1:$U$1501,$J843-1499)="","", " - "&amp;INDEX('Daily Sale entry '!$U$1:$U$1501,$J843-1499))))</f>
        <v/>
      </c>
      <c r="C843">
        <f>IF($J843="","",IF($J843&lt;=1500,INDEX('Daily Sale entry '!$Z$1:$Z$1501,$J843+1)&amp;"","Cheque deposit 支票存入 (buyer 买家)"))</f>
        <v/>
      </c>
      <c r="D843">
        <f>IF($J843="","",IF($J843&lt;=1500,INDEX('Daily Sale entry '!$AA$1:$AA$1501,$J843+1)&amp;"",INDEX('Daily Sale entry '!$P$1:$P$1501,$J843-1499)&amp;""))</f>
        <v/>
      </c>
      <c r="E843">
        <f>IF($J843="","",IF($J843&lt;=1500,IF(N(INDEX('Daily Sale entry '!$AB$1:$AB$1501,$J843+1))=0,"",INDEX('Daily Sale entry '!$AB$1:$AB$1501,$J843+1)),1))</f>
        <v/>
      </c>
      <c r="F843" s="6">
        <f>IF($J843="","",IF($J843&lt;=1500,N(INDEX('Daily Sale entry '!$AC$1:$AC$1501,$J843+1))-IF(AND('Opening Balance'!$B$15=1,INDEX('Daily Sale entry '!$Z$1:$Z$1501,$J843+1)="Online collection 网上收款",INDEX('Daily Sale entry '!$AA$1:$AA$1501,$J843+1)&lt;&gt;""),N(INDEX('Daily Sale entry '!$AC$1:$AC$1501,$J843+1))-TRUNC(N(INDEX('Daily Sale entry '!$AC$1:$AC$1501,$J843+1))),0),N(INDEX('Daily Sale entry '!$S$1:$S$1501,$J843-1499))-'Opening Balance'!$B$15*(N(INDEX('Daily Sale entry '!$S$1:$S$1501,$J843-1499))-TRUNC(N(INDEX('Daily Sale entry '!$S$1:$S$1501,$J843-1499))))))</f>
        <v/>
      </c>
      <c r="G843" s="6">
        <f>IF($J843="","",IF($J843&lt;=1500,N(INDEX('Daily Sale entry '!$AD$1:$AD$1501,$J843+1)),0))</f>
        <v/>
      </c>
      <c r="H843" s="6">
        <f>IF($J843="","",ROUND('Opening Balance'!$B$4+SUM($F$2:F843)-SUM($G$2:G843),2))</f>
        <v/>
      </c>
      <c r="J843" s="21">
        <f>IFERROR(MATCH(ROW()-1,$L$2:$L$3001,0),"")</f>
        <v/>
      </c>
      <c r="K843" s="34">
        <f>IF(AND('Daily Sale entry '!X843&lt;&gt;"",OR('Daily Sale entry '!AC843&lt;&gt;"",'Daily Sale entry '!AD843&lt;&gt;"")),'Daily Sale entry '!X843+ROW()/10000000,"")</f>
        <v/>
      </c>
      <c r="L843" s="21">
        <f>IF(K843="","",COUNTIF($K$2:$K$3001,"&lt;"&amp;K843)+1)</f>
        <v/>
      </c>
    </row>
    <row r="844">
      <c r="A844" s="5">
        <f>IF($J844="","",IF($J844&lt;=1500,INDEX('Daily Sale entry '!$X$1:$X$1501,$J844+1),INDEX('Daily Sale entry '!$V$1:$V$1501,$J844-1499)))</f>
        <v/>
      </c>
      <c r="B844">
        <f>IF($J844="","",IF($J844&lt;=1500,INDEX('Daily Sale entry '!$Y$1:$Y$1501,$J844+1)&amp;"","Buyer cheque banked 买家支票存入"&amp;IF(INDEX('Daily Sale entry '!$U$1:$U$1501,$J844-1499)="","", " - "&amp;INDEX('Daily Sale entry '!$U$1:$U$1501,$J844-1499))))</f>
        <v/>
      </c>
      <c r="C844">
        <f>IF($J844="","",IF($J844&lt;=1500,INDEX('Daily Sale entry '!$Z$1:$Z$1501,$J844+1)&amp;"","Cheque deposit 支票存入 (buyer 买家)"))</f>
        <v/>
      </c>
      <c r="D844">
        <f>IF($J844="","",IF($J844&lt;=1500,INDEX('Daily Sale entry '!$AA$1:$AA$1501,$J844+1)&amp;"",INDEX('Daily Sale entry '!$P$1:$P$1501,$J844-1499)&amp;""))</f>
        <v/>
      </c>
      <c r="E844">
        <f>IF($J844="","",IF($J844&lt;=1500,IF(N(INDEX('Daily Sale entry '!$AB$1:$AB$1501,$J844+1))=0,"",INDEX('Daily Sale entry '!$AB$1:$AB$1501,$J844+1)),1))</f>
        <v/>
      </c>
      <c r="F844" s="6">
        <f>IF($J844="","",IF($J844&lt;=1500,N(INDEX('Daily Sale entry '!$AC$1:$AC$1501,$J844+1))-IF(AND('Opening Balance'!$B$15=1,INDEX('Daily Sale entry '!$Z$1:$Z$1501,$J844+1)="Online collection 网上收款",INDEX('Daily Sale entry '!$AA$1:$AA$1501,$J844+1)&lt;&gt;""),N(INDEX('Daily Sale entry '!$AC$1:$AC$1501,$J844+1))-TRUNC(N(INDEX('Daily Sale entry '!$AC$1:$AC$1501,$J844+1))),0),N(INDEX('Daily Sale entry '!$S$1:$S$1501,$J844-1499))-'Opening Balance'!$B$15*(N(INDEX('Daily Sale entry '!$S$1:$S$1501,$J844-1499))-TRUNC(N(INDEX('Daily Sale entry '!$S$1:$S$1501,$J844-1499))))))</f>
        <v/>
      </c>
      <c r="G844" s="6">
        <f>IF($J844="","",IF($J844&lt;=1500,N(INDEX('Daily Sale entry '!$AD$1:$AD$1501,$J844+1)),0))</f>
        <v/>
      </c>
      <c r="H844" s="6">
        <f>IF($J844="","",ROUND('Opening Balance'!$B$4+SUM($F$2:F844)-SUM($G$2:G844),2))</f>
        <v/>
      </c>
      <c r="J844" s="21">
        <f>IFERROR(MATCH(ROW()-1,$L$2:$L$3001,0),"")</f>
        <v/>
      </c>
      <c r="K844" s="34">
        <f>IF(AND('Daily Sale entry '!X844&lt;&gt;"",OR('Daily Sale entry '!AC844&lt;&gt;"",'Daily Sale entry '!AD844&lt;&gt;"")),'Daily Sale entry '!X844+ROW()/10000000,"")</f>
        <v/>
      </c>
      <c r="L844" s="21">
        <f>IF(K844="","",COUNTIF($K$2:$K$3001,"&lt;"&amp;K844)+1)</f>
        <v/>
      </c>
    </row>
    <row r="845">
      <c r="A845" s="5">
        <f>IF($J845="","",IF($J845&lt;=1500,INDEX('Daily Sale entry '!$X$1:$X$1501,$J845+1),INDEX('Daily Sale entry '!$V$1:$V$1501,$J845-1499)))</f>
        <v/>
      </c>
      <c r="B845">
        <f>IF($J845="","",IF($J845&lt;=1500,INDEX('Daily Sale entry '!$Y$1:$Y$1501,$J845+1)&amp;"","Buyer cheque banked 买家支票存入"&amp;IF(INDEX('Daily Sale entry '!$U$1:$U$1501,$J845-1499)="","", " - "&amp;INDEX('Daily Sale entry '!$U$1:$U$1501,$J845-1499))))</f>
        <v/>
      </c>
      <c r="C845">
        <f>IF($J845="","",IF($J845&lt;=1500,INDEX('Daily Sale entry '!$Z$1:$Z$1501,$J845+1)&amp;"","Cheque deposit 支票存入 (buyer 买家)"))</f>
        <v/>
      </c>
      <c r="D845">
        <f>IF($J845="","",IF($J845&lt;=1500,INDEX('Daily Sale entry '!$AA$1:$AA$1501,$J845+1)&amp;"",INDEX('Daily Sale entry '!$P$1:$P$1501,$J845-1499)&amp;""))</f>
        <v/>
      </c>
      <c r="E845">
        <f>IF($J845="","",IF($J845&lt;=1500,IF(N(INDEX('Daily Sale entry '!$AB$1:$AB$1501,$J845+1))=0,"",INDEX('Daily Sale entry '!$AB$1:$AB$1501,$J845+1)),1))</f>
        <v/>
      </c>
      <c r="F845" s="6">
        <f>IF($J845="","",IF($J845&lt;=1500,N(INDEX('Daily Sale entry '!$AC$1:$AC$1501,$J845+1))-IF(AND('Opening Balance'!$B$15=1,INDEX('Daily Sale entry '!$Z$1:$Z$1501,$J845+1)="Online collection 网上收款",INDEX('Daily Sale entry '!$AA$1:$AA$1501,$J845+1)&lt;&gt;""),N(INDEX('Daily Sale entry '!$AC$1:$AC$1501,$J845+1))-TRUNC(N(INDEX('Daily Sale entry '!$AC$1:$AC$1501,$J845+1))),0),N(INDEX('Daily Sale entry '!$S$1:$S$1501,$J845-1499))-'Opening Balance'!$B$15*(N(INDEX('Daily Sale entry '!$S$1:$S$1501,$J845-1499))-TRUNC(N(INDEX('Daily Sale entry '!$S$1:$S$1501,$J845-1499))))))</f>
        <v/>
      </c>
      <c r="G845" s="6">
        <f>IF($J845="","",IF($J845&lt;=1500,N(INDEX('Daily Sale entry '!$AD$1:$AD$1501,$J845+1)),0))</f>
        <v/>
      </c>
      <c r="H845" s="6">
        <f>IF($J845="","",ROUND('Opening Balance'!$B$4+SUM($F$2:F845)-SUM($G$2:G845),2))</f>
        <v/>
      </c>
      <c r="J845" s="21">
        <f>IFERROR(MATCH(ROW()-1,$L$2:$L$3001,0),"")</f>
        <v/>
      </c>
      <c r="K845" s="34">
        <f>IF(AND('Daily Sale entry '!X845&lt;&gt;"",OR('Daily Sale entry '!AC845&lt;&gt;"",'Daily Sale entry '!AD845&lt;&gt;"")),'Daily Sale entry '!X845+ROW()/10000000,"")</f>
        <v/>
      </c>
      <c r="L845" s="21">
        <f>IF(K845="","",COUNTIF($K$2:$K$3001,"&lt;"&amp;K845)+1)</f>
        <v/>
      </c>
    </row>
    <row r="846">
      <c r="A846" s="5">
        <f>IF($J846="","",IF($J846&lt;=1500,INDEX('Daily Sale entry '!$X$1:$X$1501,$J846+1),INDEX('Daily Sale entry '!$V$1:$V$1501,$J846-1499)))</f>
        <v/>
      </c>
      <c r="B846">
        <f>IF($J846="","",IF($J846&lt;=1500,INDEX('Daily Sale entry '!$Y$1:$Y$1501,$J846+1)&amp;"","Buyer cheque banked 买家支票存入"&amp;IF(INDEX('Daily Sale entry '!$U$1:$U$1501,$J846-1499)="","", " - "&amp;INDEX('Daily Sale entry '!$U$1:$U$1501,$J846-1499))))</f>
        <v/>
      </c>
      <c r="C846">
        <f>IF($J846="","",IF($J846&lt;=1500,INDEX('Daily Sale entry '!$Z$1:$Z$1501,$J846+1)&amp;"","Cheque deposit 支票存入 (buyer 买家)"))</f>
        <v/>
      </c>
      <c r="D846">
        <f>IF($J846="","",IF($J846&lt;=1500,INDEX('Daily Sale entry '!$AA$1:$AA$1501,$J846+1)&amp;"",INDEX('Daily Sale entry '!$P$1:$P$1501,$J846-1499)&amp;""))</f>
        <v/>
      </c>
      <c r="E846">
        <f>IF($J846="","",IF($J846&lt;=1500,IF(N(INDEX('Daily Sale entry '!$AB$1:$AB$1501,$J846+1))=0,"",INDEX('Daily Sale entry '!$AB$1:$AB$1501,$J846+1)),1))</f>
        <v/>
      </c>
      <c r="F846" s="6">
        <f>IF($J846="","",IF($J846&lt;=1500,N(INDEX('Daily Sale entry '!$AC$1:$AC$1501,$J846+1))-IF(AND('Opening Balance'!$B$15=1,INDEX('Daily Sale entry '!$Z$1:$Z$1501,$J846+1)="Online collection 网上收款",INDEX('Daily Sale entry '!$AA$1:$AA$1501,$J846+1)&lt;&gt;""),N(INDEX('Daily Sale entry '!$AC$1:$AC$1501,$J846+1))-TRUNC(N(INDEX('Daily Sale entry '!$AC$1:$AC$1501,$J846+1))),0),N(INDEX('Daily Sale entry '!$S$1:$S$1501,$J846-1499))-'Opening Balance'!$B$15*(N(INDEX('Daily Sale entry '!$S$1:$S$1501,$J846-1499))-TRUNC(N(INDEX('Daily Sale entry '!$S$1:$S$1501,$J846-1499))))))</f>
        <v/>
      </c>
      <c r="G846" s="6">
        <f>IF($J846="","",IF($J846&lt;=1500,N(INDEX('Daily Sale entry '!$AD$1:$AD$1501,$J846+1)),0))</f>
        <v/>
      </c>
      <c r="H846" s="6">
        <f>IF($J846="","",ROUND('Opening Balance'!$B$4+SUM($F$2:F846)-SUM($G$2:G846),2))</f>
        <v/>
      </c>
      <c r="J846" s="21">
        <f>IFERROR(MATCH(ROW()-1,$L$2:$L$3001,0),"")</f>
        <v/>
      </c>
      <c r="K846" s="34">
        <f>IF(AND('Daily Sale entry '!X846&lt;&gt;"",OR('Daily Sale entry '!AC846&lt;&gt;"",'Daily Sale entry '!AD846&lt;&gt;"")),'Daily Sale entry '!X846+ROW()/10000000,"")</f>
        <v/>
      </c>
      <c r="L846" s="21">
        <f>IF(K846="","",COUNTIF($K$2:$K$3001,"&lt;"&amp;K846)+1)</f>
        <v/>
      </c>
    </row>
    <row r="847">
      <c r="A847" s="5">
        <f>IF($J847="","",IF($J847&lt;=1500,INDEX('Daily Sale entry '!$X$1:$X$1501,$J847+1),INDEX('Daily Sale entry '!$V$1:$V$1501,$J847-1499)))</f>
        <v/>
      </c>
      <c r="B847">
        <f>IF($J847="","",IF($J847&lt;=1500,INDEX('Daily Sale entry '!$Y$1:$Y$1501,$J847+1)&amp;"","Buyer cheque banked 买家支票存入"&amp;IF(INDEX('Daily Sale entry '!$U$1:$U$1501,$J847-1499)="","", " - "&amp;INDEX('Daily Sale entry '!$U$1:$U$1501,$J847-1499))))</f>
        <v/>
      </c>
      <c r="C847">
        <f>IF($J847="","",IF($J847&lt;=1500,INDEX('Daily Sale entry '!$Z$1:$Z$1501,$J847+1)&amp;"","Cheque deposit 支票存入 (buyer 买家)"))</f>
        <v/>
      </c>
      <c r="D847">
        <f>IF($J847="","",IF($J847&lt;=1500,INDEX('Daily Sale entry '!$AA$1:$AA$1501,$J847+1)&amp;"",INDEX('Daily Sale entry '!$P$1:$P$1501,$J847-1499)&amp;""))</f>
        <v/>
      </c>
      <c r="E847">
        <f>IF($J847="","",IF($J847&lt;=1500,IF(N(INDEX('Daily Sale entry '!$AB$1:$AB$1501,$J847+1))=0,"",INDEX('Daily Sale entry '!$AB$1:$AB$1501,$J847+1)),1))</f>
        <v/>
      </c>
      <c r="F847" s="6">
        <f>IF($J847="","",IF($J847&lt;=1500,N(INDEX('Daily Sale entry '!$AC$1:$AC$1501,$J847+1))-IF(AND('Opening Balance'!$B$15=1,INDEX('Daily Sale entry '!$Z$1:$Z$1501,$J847+1)="Online collection 网上收款",INDEX('Daily Sale entry '!$AA$1:$AA$1501,$J847+1)&lt;&gt;""),N(INDEX('Daily Sale entry '!$AC$1:$AC$1501,$J847+1))-TRUNC(N(INDEX('Daily Sale entry '!$AC$1:$AC$1501,$J847+1))),0),N(INDEX('Daily Sale entry '!$S$1:$S$1501,$J847-1499))-'Opening Balance'!$B$15*(N(INDEX('Daily Sale entry '!$S$1:$S$1501,$J847-1499))-TRUNC(N(INDEX('Daily Sale entry '!$S$1:$S$1501,$J847-1499))))))</f>
        <v/>
      </c>
      <c r="G847" s="6">
        <f>IF($J847="","",IF($J847&lt;=1500,N(INDEX('Daily Sale entry '!$AD$1:$AD$1501,$J847+1)),0))</f>
        <v/>
      </c>
      <c r="H847" s="6">
        <f>IF($J847="","",ROUND('Opening Balance'!$B$4+SUM($F$2:F847)-SUM($G$2:G847),2))</f>
        <v/>
      </c>
      <c r="J847" s="21">
        <f>IFERROR(MATCH(ROW()-1,$L$2:$L$3001,0),"")</f>
        <v/>
      </c>
      <c r="K847" s="34">
        <f>IF(AND('Daily Sale entry '!X847&lt;&gt;"",OR('Daily Sale entry '!AC847&lt;&gt;"",'Daily Sale entry '!AD847&lt;&gt;"")),'Daily Sale entry '!X847+ROW()/10000000,"")</f>
        <v/>
      </c>
      <c r="L847" s="21">
        <f>IF(K847="","",COUNTIF($K$2:$K$3001,"&lt;"&amp;K847)+1)</f>
        <v/>
      </c>
    </row>
    <row r="848">
      <c r="A848" s="5">
        <f>IF($J848="","",IF($J848&lt;=1500,INDEX('Daily Sale entry '!$X$1:$X$1501,$J848+1),INDEX('Daily Sale entry '!$V$1:$V$1501,$J848-1499)))</f>
        <v/>
      </c>
      <c r="B848">
        <f>IF($J848="","",IF($J848&lt;=1500,INDEX('Daily Sale entry '!$Y$1:$Y$1501,$J848+1)&amp;"","Buyer cheque banked 买家支票存入"&amp;IF(INDEX('Daily Sale entry '!$U$1:$U$1501,$J848-1499)="","", " - "&amp;INDEX('Daily Sale entry '!$U$1:$U$1501,$J848-1499))))</f>
        <v/>
      </c>
      <c r="C848">
        <f>IF($J848="","",IF($J848&lt;=1500,INDEX('Daily Sale entry '!$Z$1:$Z$1501,$J848+1)&amp;"","Cheque deposit 支票存入 (buyer 买家)"))</f>
        <v/>
      </c>
      <c r="D848">
        <f>IF($J848="","",IF($J848&lt;=1500,INDEX('Daily Sale entry '!$AA$1:$AA$1501,$J848+1)&amp;"",INDEX('Daily Sale entry '!$P$1:$P$1501,$J848-1499)&amp;""))</f>
        <v/>
      </c>
      <c r="E848">
        <f>IF($J848="","",IF($J848&lt;=1500,IF(N(INDEX('Daily Sale entry '!$AB$1:$AB$1501,$J848+1))=0,"",INDEX('Daily Sale entry '!$AB$1:$AB$1501,$J848+1)),1))</f>
        <v/>
      </c>
      <c r="F848" s="6">
        <f>IF($J848="","",IF($J848&lt;=1500,N(INDEX('Daily Sale entry '!$AC$1:$AC$1501,$J848+1))-IF(AND('Opening Balance'!$B$15=1,INDEX('Daily Sale entry '!$Z$1:$Z$1501,$J848+1)="Online collection 网上收款",INDEX('Daily Sale entry '!$AA$1:$AA$1501,$J848+1)&lt;&gt;""),N(INDEX('Daily Sale entry '!$AC$1:$AC$1501,$J848+1))-TRUNC(N(INDEX('Daily Sale entry '!$AC$1:$AC$1501,$J848+1))),0),N(INDEX('Daily Sale entry '!$S$1:$S$1501,$J848-1499))-'Opening Balance'!$B$15*(N(INDEX('Daily Sale entry '!$S$1:$S$1501,$J848-1499))-TRUNC(N(INDEX('Daily Sale entry '!$S$1:$S$1501,$J848-1499))))))</f>
        <v/>
      </c>
      <c r="G848" s="6">
        <f>IF($J848="","",IF($J848&lt;=1500,N(INDEX('Daily Sale entry '!$AD$1:$AD$1501,$J848+1)),0))</f>
        <v/>
      </c>
      <c r="H848" s="6">
        <f>IF($J848="","",ROUND('Opening Balance'!$B$4+SUM($F$2:F848)-SUM($G$2:G848),2))</f>
        <v/>
      </c>
      <c r="J848" s="21">
        <f>IFERROR(MATCH(ROW()-1,$L$2:$L$3001,0),"")</f>
        <v/>
      </c>
      <c r="K848" s="34">
        <f>IF(AND('Daily Sale entry '!X848&lt;&gt;"",OR('Daily Sale entry '!AC848&lt;&gt;"",'Daily Sale entry '!AD848&lt;&gt;"")),'Daily Sale entry '!X848+ROW()/10000000,"")</f>
        <v/>
      </c>
      <c r="L848" s="21">
        <f>IF(K848="","",COUNTIF($K$2:$K$3001,"&lt;"&amp;K848)+1)</f>
        <v/>
      </c>
    </row>
    <row r="849">
      <c r="A849" s="5">
        <f>IF($J849="","",IF($J849&lt;=1500,INDEX('Daily Sale entry '!$X$1:$X$1501,$J849+1),INDEX('Daily Sale entry '!$V$1:$V$1501,$J849-1499)))</f>
        <v/>
      </c>
      <c r="B849">
        <f>IF($J849="","",IF($J849&lt;=1500,INDEX('Daily Sale entry '!$Y$1:$Y$1501,$J849+1)&amp;"","Buyer cheque banked 买家支票存入"&amp;IF(INDEX('Daily Sale entry '!$U$1:$U$1501,$J849-1499)="","", " - "&amp;INDEX('Daily Sale entry '!$U$1:$U$1501,$J849-1499))))</f>
        <v/>
      </c>
      <c r="C849">
        <f>IF($J849="","",IF($J849&lt;=1500,INDEX('Daily Sale entry '!$Z$1:$Z$1501,$J849+1)&amp;"","Cheque deposit 支票存入 (buyer 买家)"))</f>
        <v/>
      </c>
      <c r="D849">
        <f>IF($J849="","",IF($J849&lt;=1500,INDEX('Daily Sale entry '!$AA$1:$AA$1501,$J849+1)&amp;"",INDEX('Daily Sale entry '!$P$1:$P$1501,$J849-1499)&amp;""))</f>
        <v/>
      </c>
      <c r="E849">
        <f>IF($J849="","",IF($J849&lt;=1500,IF(N(INDEX('Daily Sale entry '!$AB$1:$AB$1501,$J849+1))=0,"",INDEX('Daily Sale entry '!$AB$1:$AB$1501,$J849+1)),1))</f>
        <v/>
      </c>
      <c r="F849" s="6">
        <f>IF($J849="","",IF($J849&lt;=1500,N(INDEX('Daily Sale entry '!$AC$1:$AC$1501,$J849+1))-IF(AND('Opening Balance'!$B$15=1,INDEX('Daily Sale entry '!$Z$1:$Z$1501,$J849+1)="Online collection 网上收款",INDEX('Daily Sale entry '!$AA$1:$AA$1501,$J849+1)&lt;&gt;""),N(INDEX('Daily Sale entry '!$AC$1:$AC$1501,$J849+1))-TRUNC(N(INDEX('Daily Sale entry '!$AC$1:$AC$1501,$J849+1))),0),N(INDEX('Daily Sale entry '!$S$1:$S$1501,$J849-1499))-'Opening Balance'!$B$15*(N(INDEX('Daily Sale entry '!$S$1:$S$1501,$J849-1499))-TRUNC(N(INDEX('Daily Sale entry '!$S$1:$S$1501,$J849-1499))))))</f>
        <v/>
      </c>
      <c r="G849" s="6">
        <f>IF($J849="","",IF($J849&lt;=1500,N(INDEX('Daily Sale entry '!$AD$1:$AD$1501,$J849+1)),0))</f>
        <v/>
      </c>
      <c r="H849" s="6">
        <f>IF($J849="","",ROUND('Opening Balance'!$B$4+SUM($F$2:F849)-SUM($G$2:G849),2))</f>
        <v/>
      </c>
      <c r="J849" s="21">
        <f>IFERROR(MATCH(ROW()-1,$L$2:$L$3001,0),"")</f>
        <v/>
      </c>
      <c r="K849" s="34">
        <f>IF(AND('Daily Sale entry '!X849&lt;&gt;"",OR('Daily Sale entry '!AC849&lt;&gt;"",'Daily Sale entry '!AD849&lt;&gt;"")),'Daily Sale entry '!X849+ROW()/10000000,"")</f>
        <v/>
      </c>
      <c r="L849" s="21">
        <f>IF(K849="","",COUNTIF($K$2:$K$3001,"&lt;"&amp;K849)+1)</f>
        <v/>
      </c>
    </row>
    <row r="850">
      <c r="A850" s="5">
        <f>IF($J850="","",IF($J850&lt;=1500,INDEX('Daily Sale entry '!$X$1:$X$1501,$J850+1),INDEX('Daily Sale entry '!$V$1:$V$1501,$J850-1499)))</f>
        <v/>
      </c>
      <c r="B850">
        <f>IF($J850="","",IF($J850&lt;=1500,INDEX('Daily Sale entry '!$Y$1:$Y$1501,$J850+1)&amp;"","Buyer cheque banked 买家支票存入"&amp;IF(INDEX('Daily Sale entry '!$U$1:$U$1501,$J850-1499)="","", " - "&amp;INDEX('Daily Sale entry '!$U$1:$U$1501,$J850-1499))))</f>
        <v/>
      </c>
      <c r="C850">
        <f>IF($J850="","",IF($J850&lt;=1500,INDEX('Daily Sale entry '!$Z$1:$Z$1501,$J850+1)&amp;"","Cheque deposit 支票存入 (buyer 买家)"))</f>
        <v/>
      </c>
      <c r="D850">
        <f>IF($J850="","",IF($J850&lt;=1500,INDEX('Daily Sale entry '!$AA$1:$AA$1501,$J850+1)&amp;"",INDEX('Daily Sale entry '!$P$1:$P$1501,$J850-1499)&amp;""))</f>
        <v/>
      </c>
      <c r="E850">
        <f>IF($J850="","",IF($J850&lt;=1500,IF(N(INDEX('Daily Sale entry '!$AB$1:$AB$1501,$J850+1))=0,"",INDEX('Daily Sale entry '!$AB$1:$AB$1501,$J850+1)),1))</f>
        <v/>
      </c>
      <c r="F850" s="6">
        <f>IF($J850="","",IF($J850&lt;=1500,N(INDEX('Daily Sale entry '!$AC$1:$AC$1501,$J850+1))-IF(AND('Opening Balance'!$B$15=1,INDEX('Daily Sale entry '!$Z$1:$Z$1501,$J850+1)="Online collection 网上收款",INDEX('Daily Sale entry '!$AA$1:$AA$1501,$J850+1)&lt;&gt;""),N(INDEX('Daily Sale entry '!$AC$1:$AC$1501,$J850+1))-TRUNC(N(INDEX('Daily Sale entry '!$AC$1:$AC$1501,$J850+1))),0),N(INDEX('Daily Sale entry '!$S$1:$S$1501,$J850-1499))-'Opening Balance'!$B$15*(N(INDEX('Daily Sale entry '!$S$1:$S$1501,$J850-1499))-TRUNC(N(INDEX('Daily Sale entry '!$S$1:$S$1501,$J850-1499))))))</f>
        <v/>
      </c>
      <c r="G850" s="6">
        <f>IF($J850="","",IF($J850&lt;=1500,N(INDEX('Daily Sale entry '!$AD$1:$AD$1501,$J850+1)),0))</f>
        <v/>
      </c>
      <c r="H850" s="6">
        <f>IF($J850="","",ROUND('Opening Balance'!$B$4+SUM($F$2:F850)-SUM($G$2:G850),2))</f>
        <v/>
      </c>
      <c r="J850" s="21">
        <f>IFERROR(MATCH(ROW()-1,$L$2:$L$3001,0),"")</f>
        <v/>
      </c>
      <c r="K850" s="34">
        <f>IF(AND('Daily Sale entry '!X850&lt;&gt;"",OR('Daily Sale entry '!AC850&lt;&gt;"",'Daily Sale entry '!AD850&lt;&gt;"")),'Daily Sale entry '!X850+ROW()/10000000,"")</f>
        <v/>
      </c>
      <c r="L850" s="21">
        <f>IF(K850="","",COUNTIF($K$2:$K$3001,"&lt;"&amp;K850)+1)</f>
        <v/>
      </c>
    </row>
    <row r="851">
      <c r="A851" s="5">
        <f>IF($J851="","",IF($J851&lt;=1500,INDEX('Daily Sale entry '!$X$1:$X$1501,$J851+1),INDEX('Daily Sale entry '!$V$1:$V$1501,$J851-1499)))</f>
        <v/>
      </c>
      <c r="B851">
        <f>IF($J851="","",IF($J851&lt;=1500,INDEX('Daily Sale entry '!$Y$1:$Y$1501,$J851+1)&amp;"","Buyer cheque banked 买家支票存入"&amp;IF(INDEX('Daily Sale entry '!$U$1:$U$1501,$J851-1499)="","", " - "&amp;INDEX('Daily Sale entry '!$U$1:$U$1501,$J851-1499))))</f>
        <v/>
      </c>
      <c r="C851">
        <f>IF($J851="","",IF($J851&lt;=1500,INDEX('Daily Sale entry '!$Z$1:$Z$1501,$J851+1)&amp;"","Cheque deposit 支票存入 (buyer 买家)"))</f>
        <v/>
      </c>
      <c r="D851">
        <f>IF($J851="","",IF($J851&lt;=1500,INDEX('Daily Sale entry '!$AA$1:$AA$1501,$J851+1)&amp;"",INDEX('Daily Sale entry '!$P$1:$P$1501,$J851-1499)&amp;""))</f>
        <v/>
      </c>
      <c r="E851">
        <f>IF($J851="","",IF($J851&lt;=1500,IF(N(INDEX('Daily Sale entry '!$AB$1:$AB$1501,$J851+1))=0,"",INDEX('Daily Sale entry '!$AB$1:$AB$1501,$J851+1)),1))</f>
        <v/>
      </c>
      <c r="F851" s="6">
        <f>IF($J851="","",IF($J851&lt;=1500,N(INDEX('Daily Sale entry '!$AC$1:$AC$1501,$J851+1))-IF(AND('Opening Balance'!$B$15=1,INDEX('Daily Sale entry '!$Z$1:$Z$1501,$J851+1)="Online collection 网上收款",INDEX('Daily Sale entry '!$AA$1:$AA$1501,$J851+1)&lt;&gt;""),N(INDEX('Daily Sale entry '!$AC$1:$AC$1501,$J851+1))-TRUNC(N(INDEX('Daily Sale entry '!$AC$1:$AC$1501,$J851+1))),0),N(INDEX('Daily Sale entry '!$S$1:$S$1501,$J851-1499))-'Opening Balance'!$B$15*(N(INDEX('Daily Sale entry '!$S$1:$S$1501,$J851-1499))-TRUNC(N(INDEX('Daily Sale entry '!$S$1:$S$1501,$J851-1499))))))</f>
        <v/>
      </c>
      <c r="G851" s="6">
        <f>IF($J851="","",IF($J851&lt;=1500,N(INDEX('Daily Sale entry '!$AD$1:$AD$1501,$J851+1)),0))</f>
        <v/>
      </c>
      <c r="H851" s="6">
        <f>IF($J851="","",ROUND('Opening Balance'!$B$4+SUM($F$2:F851)-SUM($G$2:G851),2))</f>
        <v/>
      </c>
      <c r="J851" s="21">
        <f>IFERROR(MATCH(ROW()-1,$L$2:$L$3001,0),"")</f>
        <v/>
      </c>
      <c r="K851" s="34">
        <f>IF(AND('Daily Sale entry '!X851&lt;&gt;"",OR('Daily Sale entry '!AC851&lt;&gt;"",'Daily Sale entry '!AD851&lt;&gt;"")),'Daily Sale entry '!X851+ROW()/10000000,"")</f>
        <v/>
      </c>
      <c r="L851" s="21">
        <f>IF(K851="","",COUNTIF($K$2:$K$3001,"&lt;"&amp;K851)+1)</f>
        <v/>
      </c>
    </row>
    <row r="852">
      <c r="A852" s="5">
        <f>IF($J852="","",IF($J852&lt;=1500,INDEX('Daily Sale entry '!$X$1:$X$1501,$J852+1),INDEX('Daily Sale entry '!$V$1:$V$1501,$J852-1499)))</f>
        <v/>
      </c>
      <c r="B852">
        <f>IF($J852="","",IF($J852&lt;=1500,INDEX('Daily Sale entry '!$Y$1:$Y$1501,$J852+1)&amp;"","Buyer cheque banked 买家支票存入"&amp;IF(INDEX('Daily Sale entry '!$U$1:$U$1501,$J852-1499)="","", " - "&amp;INDEX('Daily Sale entry '!$U$1:$U$1501,$J852-1499))))</f>
        <v/>
      </c>
      <c r="C852">
        <f>IF($J852="","",IF($J852&lt;=1500,INDEX('Daily Sale entry '!$Z$1:$Z$1501,$J852+1)&amp;"","Cheque deposit 支票存入 (buyer 买家)"))</f>
        <v/>
      </c>
      <c r="D852">
        <f>IF($J852="","",IF($J852&lt;=1500,INDEX('Daily Sale entry '!$AA$1:$AA$1501,$J852+1)&amp;"",INDEX('Daily Sale entry '!$P$1:$P$1501,$J852-1499)&amp;""))</f>
        <v/>
      </c>
      <c r="E852">
        <f>IF($J852="","",IF($J852&lt;=1500,IF(N(INDEX('Daily Sale entry '!$AB$1:$AB$1501,$J852+1))=0,"",INDEX('Daily Sale entry '!$AB$1:$AB$1501,$J852+1)),1))</f>
        <v/>
      </c>
      <c r="F852" s="6">
        <f>IF($J852="","",IF($J852&lt;=1500,N(INDEX('Daily Sale entry '!$AC$1:$AC$1501,$J852+1))-IF(AND('Opening Balance'!$B$15=1,INDEX('Daily Sale entry '!$Z$1:$Z$1501,$J852+1)="Online collection 网上收款",INDEX('Daily Sale entry '!$AA$1:$AA$1501,$J852+1)&lt;&gt;""),N(INDEX('Daily Sale entry '!$AC$1:$AC$1501,$J852+1))-TRUNC(N(INDEX('Daily Sale entry '!$AC$1:$AC$1501,$J852+1))),0),N(INDEX('Daily Sale entry '!$S$1:$S$1501,$J852-1499))-'Opening Balance'!$B$15*(N(INDEX('Daily Sale entry '!$S$1:$S$1501,$J852-1499))-TRUNC(N(INDEX('Daily Sale entry '!$S$1:$S$1501,$J852-1499))))))</f>
        <v/>
      </c>
      <c r="G852" s="6">
        <f>IF($J852="","",IF($J852&lt;=1500,N(INDEX('Daily Sale entry '!$AD$1:$AD$1501,$J852+1)),0))</f>
        <v/>
      </c>
      <c r="H852" s="6">
        <f>IF($J852="","",ROUND('Opening Balance'!$B$4+SUM($F$2:F852)-SUM($G$2:G852),2))</f>
        <v/>
      </c>
      <c r="J852" s="21">
        <f>IFERROR(MATCH(ROW()-1,$L$2:$L$3001,0),"")</f>
        <v/>
      </c>
      <c r="K852" s="34">
        <f>IF(AND('Daily Sale entry '!X852&lt;&gt;"",OR('Daily Sale entry '!AC852&lt;&gt;"",'Daily Sale entry '!AD852&lt;&gt;"")),'Daily Sale entry '!X852+ROW()/10000000,"")</f>
        <v/>
      </c>
      <c r="L852" s="21">
        <f>IF(K852="","",COUNTIF($K$2:$K$3001,"&lt;"&amp;K852)+1)</f>
        <v/>
      </c>
    </row>
    <row r="853">
      <c r="A853" s="5">
        <f>IF($J853="","",IF($J853&lt;=1500,INDEX('Daily Sale entry '!$X$1:$X$1501,$J853+1),INDEX('Daily Sale entry '!$V$1:$V$1501,$J853-1499)))</f>
        <v/>
      </c>
      <c r="B853">
        <f>IF($J853="","",IF($J853&lt;=1500,INDEX('Daily Sale entry '!$Y$1:$Y$1501,$J853+1)&amp;"","Buyer cheque banked 买家支票存入"&amp;IF(INDEX('Daily Sale entry '!$U$1:$U$1501,$J853-1499)="","", " - "&amp;INDEX('Daily Sale entry '!$U$1:$U$1501,$J853-1499))))</f>
        <v/>
      </c>
      <c r="C853">
        <f>IF($J853="","",IF($J853&lt;=1500,INDEX('Daily Sale entry '!$Z$1:$Z$1501,$J853+1)&amp;"","Cheque deposit 支票存入 (buyer 买家)"))</f>
        <v/>
      </c>
      <c r="D853">
        <f>IF($J853="","",IF($J853&lt;=1500,INDEX('Daily Sale entry '!$AA$1:$AA$1501,$J853+1)&amp;"",INDEX('Daily Sale entry '!$P$1:$P$1501,$J853-1499)&amp;""))</f>
        <v/>
      </c>
      <c r="E853">
        <f>IF($J853="","",IF($J853&lt;=1500,IF(N(INDEX('Daily Sale entry '!$AB$1:$AB$1501,$J853+1))=0,"",INDEX('Daily Sale entry '!$AB$1:$AB$1501,$J853+1)),1))</f>
        <v/>
      </c>
      <c r="F853" s="6">
        <f>IF($J853="","",IF($J853&lt;=1500,N(INDEX('Daily Sale entry '!$AC$1:$AC$1501,$J853+1))-IF(AND('Opening Balance'!$B$15=1,INDEX('Daily Sale entry '!$Z$1:$Z$1501,$J853+1)="Online collection 网上收款",INDEX('Daily Sale entry '!$AA$1:$AA$1501,$J853+1)&lt;&gt;""),N(INDEX('Daily Sale entry '!$AC$1:$AC$1501,$J853+1))-TRUNC(N(INDEX('Daily Sale entry '!$AC$1:$AC$1501,$J853+1))),0),N(INDEX('Daily Sale entry '!$S$1:$S$1501,$J853-1499))-'Opening Balance'!$B$15*(N(INDEX('Daily Sale entry '!$S$1:$S$1501,$J853-1499))-TRUNC(N(INDEX('Daily Sale entry '!$S$1:$S$1501,$J853-1499))))))</f>
        <v/>
      </c>
      <c r="G853" s="6">
        <f>IF($J853="","",IF($J853&lt;=1500,N(INDEX('Daily Sale entry '!$AD$1:$AD$1501,$J853+1)),0))</f>
        <v/>
      </c>
      <c r="H853" s="6">
        <f>IF($J853="","",ROUND('Opening Balance'!$B$4+SUM($F$2:F853)-SUM($G$2:G853),2))</f>
        <v/>
      </c>
      <c r="J853" s="21">
        <f>IFERROR(MATCH(ROW()-1,$L$2:$L$3001,0),"")</f>
        <v/>
      </c>
      <c r="K853" s="34">
        <f>IF(AND('Daily Sale entry '!X853&lt;&gt;"",OR('Daily Sale entry '!AC853&lt;&gt;"",'Daily Sale entry '!AD853&lt;&gt;"")),'Daily Sale entry '!X853+ROW()/10000000,"")</f>
        <v/>
      </c>
      <c r="L853" s="21">
        <f>IF(K853="","",COUNTIF($K$2:$K$3001,"&lt;"&amp;K853)+1)</f>
        <v/>
      </c>
    </row>
    <row r="854">
      <c r="A854" s="5">
        <f>IF($J854="","",IF($J854&lt;=1500,INDEX('Daily Sale entry '!$X$1:$X$1501,$J854+1),INDEX('Daily Sale entry '!$V$1:$V$1501,$J854-1499)))</f>
        <v/>
      </c>
      <c r="B854">
        <f>IF($J854="","",IF($J854&lt;=1500,INDEX('Daily Sale entry '!$Y$1:$Y$1501,$J854+1)&amp;"","Buyer cheque banked 买家支票存入"&amp;IF(INDEX('Daily Sale entry '!$U$1:$U$1501,$J854-1499)="","", " - "&amp;INDEX('Daily Sale entry '!$U$1:$U$1501,$J854-1499))))</f>
        <v/>
      </c>
      <c r="C854">
        <f>IF($J854="","",IF($J854&lt;=1500,INDEX('Daily Sale entry '!$Z$1:$Z$1501,$J854+1)&amp;"","Cheque deposit 支票存入 (buyer 买家)"))</f>
        <v/>
      </c>
      <c r="D854">
        <f>IF($J854="","",IF($J854&lt;=1500,INDEX('Daily Sale entry '!$AA$1:$AA$1501,$J854+1)&amp;"",INDEX('Daily Sale entry '!$P$1:$P$1501,$J854-1499)&amp;""))</f>
        <v/>
      </c>
      <c r="E854">
        <f>IF($J854="","",IF($J854&lt;=1500,IF(N(INDEX('Daily Sale entry '!$AB$1:$AB$1501,$J854+1))=0,"",INDEX('Daily Sale entry '!$AB$1:$AB$1501,$J854+1)),1))</f>
        <v/>
      </c>
      <c r="F854" s="6">
        <f>IF($J854="","",IF($J854&lt;=1500,N(INDEX('Daily Sale entry '!$AC$1:$AC$1501,$J854+1))-IF(AND('Opening Balance'!$B$15=1,INDEX('Daily Sale entry '!$Z$1:$Z$1501,$J854+1)="Online collection 网上收款",INDEX('Daily Sale entry '!$AA$1:$AA$1501,$J854+1)&lt;&gt;""),N(INDEX('Daily Sale entry '!$AC$1:$AC$1501,$J854+1))-TRUNC(N(INDEX('Daily Sale entry '!$AC$1:$AC$1501,$J854+1))),0),N(INDEX('Daily Sale entry '!$S$1:$S$1501,$J854-1499))-'Opening Balance'!$B$15*(N(INDEX('Daily Sale entry '!$S$1:$S$1501,$J854-1499))-TRUNC(N(INDEX('Daily Sale entry '!$S$1:$S$1501,$J854-1499))))))</f>
        <v/>
      </c>
      <c r="G854" s="6">
        <f>IF($J854="","",IF($J854&lt;=1500,N(INDEX('Daily Sale entry '!$AD$1:$AD$1501,$J854+1)),0))</f>
        <v/>
      </c>
      <c r="H854" s="6">
        <f>IF($J854="","",ROUND('Opening Balance'!$B$4+SUM($F$2:F854)-SUM($G$2:G854),2))</f>
        <v/>
      </c>
      <c r="J854" s="21">
        <f>IFERROR(MATCH(ROW()-1,$L$2:$L$3001,0),"")</f>
        <v/>
      </c>
      <c r="K854" s="34">
        <f>IF(AND('Daily Sale entry '!X854&lt;&gt;"",OR('Daily Sale entry '!AC854&lt;&gt;"",'Daily Sale entry '!AD854&lt;&gt;"")),'Daily Sale entry '!X854+ROW()/10000000,"")</f>
        <v/>
      </c>
      <c r="L854" s="21">
        <f>IF(K854="","",COUNTIF($K$2:$K$3001,"&lt;"&amp;K854)+1)</f>
        <v/>
      </c>
    </row>
    <row r="855">
      <c r="A855" s="5">
        <f>IF($J855="","",IF($J855&lt;=1500,INDEX('Daily Sale entry '!$X$1:$X$1501,$J855+1),INDEX('Daily Sale entry '!$V$1:$V$1501,$J855-1499)))</f>
        <v/>
      </c>
      <c r="B855">
        <f>IF($J855="","",IF($J855&lt;=1500,INDEX('Daily Sale entry '!$Y$1:$Y$1501,$J855+1)&amp;"","Buyer cheque banked 买家支票存入"&amp;IF(INDEX('Daily Sale entry '!$U$1:$U$1501,$J855-1499)="","", " - "&amp;INDEX('Daily Sale entry '!$U$1:$U$1501,$J855-1499))))</f>
        <v/>
      </c>
      <c r="C855">
        <f>IF($J855="","",IF($J855&lt;=1500,INDEX('Daily Sale entry '!$Z$1:$Z$1501,$J855+1)&amp;"","Cheque deposit 支票存入 (buyer 买家)"))</f>
        <v/>
      </c>
      <c r="D855">
        <f>IF($J855="","",IF($J855&lt;=1500,INDEX('Daily Sale entry '!$AA$1:$AA$1501,$J855+1)&amp;"",INDEX('Daily Sale entry '!$P$1:$P$1501,$J855-1499)&amp;""))</f>
        <v/>
      </c>
      <c r="E855">
        <f>IF($J855="","",IF($J855&lt;=1500,IF(N(INDEX('Daily Sale entry '!$AB$1:$AB$1501,$J855+1))=0,"",INDEX('Daily Sale entry '!$AB$1:$AB$1501,$J855+1)),1))</f>
        <v/>
      </c>
      <c r="F855" s="6">
        <f>IF($J855="","",IF($J855&lt;=1500,N(INDEX('Daily Sale entry '!$AC$1:$AC$1501,$J855+1))-IF(AND('Opening Balance'!$B$15=1,INDEX('Daily Sale entry '!$Z$1:$Z$1501,$J855+1)="Online collection 网上收款",INDEX('Daily Sale entry '!$AA$1:$AA$1501,$J855+1)&lt;&gt;""),N(INDEX('Daily Sale entry '!$AC$1:$AC$1501,$J855+1))-TRUNC(N(INDEX('Daily Sale entry '!$AC$1:$AC$1501,$J855+1))),0),N(INDEX('Daily Sale entry '!$S$1:$S$1501,$J855-1499))-'Opening Balance'!$B$15*(N(INDEX('Daily Sale entry '!$S$1:$S$1501,$J855-1499))-TRUNC(N(INDEX('Daily Sale entry '!$S$1:$S$1501,$J855-1499))))))</f>
        <v/>
      </c>
      <c r="G855" s="6">
        <f>IF($J855="","",IF($J855&lt;=1500,N(INDEX('Daily Sale entry '!$AD$1:$AD$1501,$J855+1)),0))</f>
        <v/>
      </c>
      <c r="H855" s="6">
        <f>IF($J855="","",ROUND('Opening Balance'!$B$4+SUM($F$2:F855)-SUM($G$2:G855),2))</f>
        <v/>
      </c>
      <c r="J855" s="21">
        <f>IFERROR(MATCH(ROW()-1,$L$2:$L$3001,0),"")</f>
        <v/>
      </c>
      <c r="K855" s="34">
        <f>IF(AND('Daily Sale entry '!X855&lt;&gt;"",OR('Daily Sale entry '!AC855&lt;&gt;"",'Daily Sale entry '!AD855&lt;&gt;"")),'Daily Sale entry '!X855+ROW()/10000000,"")</f>
        <v/>
      </c>
      <c r="L855" s="21">
        <f>IF(K855="","",COUNTIF($K$2:$K$3001,"&lt;"&amp;K855)+1)</f>
        <v/>
      </c>
    </row>
    <row r="856">
      <c r="A856" s="5">
        <f>IF($J856="","",IF($J856&lt;=1500,INDEX('Daily Sale entry '!$X$1:$X$1501,$J856+1),INDEX('Daily Sale entry '!$V$1:$V$1501,$J856-1499)))</f>
        <v/>
      </c>
      <c r="B856">
        <f>IF($J856="","",IF($J856&lt;=1500,INDEX('Daily Sale entry '!$Y$1:$Y$1501,$J856+1)&amp;"","Buyer cheque banked 买家支票存入"&amp;IF(INDEX('Daily Sale entry '!$U$1:$U$1501,$J856-1499)="","", " - "&amp;INDEX('Daily Sale entry '!$U$1:$U$1501,$J856-1499))))</f>
        <v/>
      </c>
      <c r="C856">
        <f>IF($J856="","",IF($J856&lt;=1500,INDEX('Daily Sale entry '!$Z$1:$Z$1501,$J856+1)&amp;"","Cheque deposit 支票存入 (buyer 买家)"))</f>
        <v/>
      </c>
      <c r="D856">
        <f>IF($J856="","",IF($J856&lt;=1500,INDEX('Daily Sale entry '!$AA$1:$AA$1501,$J856+1)&amp;"",INDEX('Daily Sale entry '!$P$1:$P$1501,$J856-1499)&amp;""))</f>
        <v/>
      </c>
      <c r="E856">
        <f>IF($J856="","",IF($J856&lt;=1500,IF(N(INDEX('Daily Sale entry '!$AB$1:$AB$1501,$J856+1))=0,"",INDEX('Daily Sale entry '!$AB$1:$AB$1501,$J856+1)),1))</f>
        <v/>
      </c>
      <c r="F856" s="6">
        <f>IF($J856="","",IF($J856&lt;=1500,N(INDEX('Daily Sale entry '!$AC$1:$AC$1501,$J856+1))-IF(AND('Opening Balance'!$B$15=1,INDEX('Daily Sale entry '!$Z$1:$Z$1501,$J856+1)="Online collection 网上收款",INDEX('Daily Sale entry '!$AA$1:$AA$1501,$J856+1)&lt;&gt;""),N(INDEX('Daily Sale entry '!$AC$1:$AC$1501,$J856+1))-TRUNC(N(INDEX('Daily Sale entry '!$AC$1:$AC$1501,$J856+1))),0),N(INDEX('Daily Sale entry '!$S$1:$S$1501,$J856-1499))-'Opening Balance'!$B$15*(N(INDEX('Daily Sale entry '!$S$1:$S$1501,$J856-1499))-TRUNC(N(INDEX('Daily Sale entry '!$S$1:$S$1501,$J856-1499))))))</f>
        <v/>
      </c>
      <c r="G856" s="6">
        <f>IF($J856="","",IF($J856&lt;=1500,N(INDEX('Daily Sale entry '!$AD$1:$AD$1501,$J856+1)),0))</f>
        <v/>
      </c>
      <c r="H856" s="6">
        <f>IF($J856="","",ROUND('Opening Balance'!$B$4+SUM($F$2:F856)-SUM($G$2:G856),2))</f>
        <v/>
      </c>
      <c r="J856" s="21">
        <f>IFERROR(MATCH(ROW()-1,$L$2:$L$3001,0),"")</f>
        <v/>
      </c>
      <c r="K856" s="34">
        <f>IF(AND('Daily Sale entry '!X856&lt;&gt;"",OR('Daily Sale entry '!AC856&lt;&gt;"",'Daily Sale entry '!AD856&lt;&gt;"")),'Daily Sale entry '!X856+ROW()/10000000,"")</f>
        <v/>
      </c>
      <c r="L856" s="21">
        <f>IF(K856="","",COUNTIF($K$2:$K$3001,"&lt;"&amp;K856)+1)</f>
        <v/>
      </c>
    </row>
    <row r="857">
      <c r="A857" s="5">
        <f>IF($J857="","",IF($J857&lt;=1500,INDEX('Daily Sale entry '!$X$1:$X$1501,$J857+1),INDEX('Daily Sale entry '!$V$1:$V$1501,$J857-1499)))</f>
        <v/>
      </c>
      <c r="B857">
        <f>IF($J857="","",IF($J857&lt;=1500,INDEX('Daily Sale entry '!$Y$1:$Y$1501,$J857+1)&amp;"","Buyer cheque banked 买家支票存入"&amp;IF(INDEX('Daily Sale entry '!$U$1:$U$1501,$J857-1499)="","", " - "&amp;INDEX('Daily Sale entry '!$U$1:$U$1501,$J857-1499))))</f>
        <v/>
      </c>
      <c r="C857">
        <f>IF($J857="","",IF($J857&lt;=1500,INDEX('Daily Sale entry '!$Z$1:$Z$1501,$J857+1)&amp;"","Cheque deposit 支票存入 (buyer 买家)"))</f>
        <v/>
      </c>
      <c r="D857">
        <f>IF($J857="","",IF($J857&lt;=1500,INDEX('Daily Sale entry '!$AA$1:$AA$1501,$J857+1)&amp;"",INDEX('Daily Sale entry '!$P$1:$P$1501,$J857-1499)&amp;""))</f>
        <v/>
      </c>
      <c r="E857">
        <f>IF($J857="","",IF($J857&lt;=1500,IF(N(INDEX('Daily Sale entry '!$AB$1:$AB$1501,$J857+1))=0,"",INDEX('Daily Sale entry '!$AB$1:$AB$1501,$J857+1)),1))</f>
        <v/>
      </c>
      <c r="F857" s="6">
        <f>IF($J857="","",IF($J857&lt;=1500,N(INDEX('Daily Sale entry '!$AC$1:$AC$1501,$J857+1))-IF(AND('Opening Balance'!$B$15=1,INDEX('Daily Sale entry '!$Z$1:$Z$1501,$J857+1)="Online collection 网上收款",INDEX('Daily Sale entry '!$AA$1:$AA$1501,$J857+1)&lt;&gt;""),N(INDEX('Daily Sale entry '!$AC$1:$AC$1501,$J857+1))-TRUNC(N(INDEX('Daily Sale entry '!$AC$1:$AC$1501,$J857+1))),0),N(INDEX('Daily Sale entry '!$S$1:$S$1501,$J857-1499))-'Opening Balance'!$B$15*(N(INDEX('Daily Sale entry '!$S$1:$S$1501,$J857-1499))-TRUNC(N(INDEX('Daily Sale entry '!$S$1:$S$1501,$J857-1499))))))</f>
        <v/>
      </c>
      <c r="G857" s="6">
        <f>IF($J857="","",IF($J857&lt;=1500,N(INDEX('Daily Sale entry '!$AD$1:$AD$1501,$J857+1)),0))</f>
        <v/>
      </c>
      <c r="H857" s="6">
        <f>IF($J857="","",ROUND('Opening Balance'!$B$4+SUM($F$2:F857)-SUM($G$2:G857),2))</f>
        <v/>
      </c>
      <c r="J857" s="21">
        <f>IFERROR(MATCH(ROW()-1,$L$2:$L$3001,0),"")</f>
        <v/>
      </c>
      <c r="K857" s="34">
        <f>IF(AND('Daily Sale entry '!X857&lt;&gt;"",OR('Daily Sale entry '!AC857&lt;&gt;"",'Daily Sale entry '!AD857&lt;&gt;"")),'Daily Sale entry '!X857+ROW()/10000000,"")</f>
        <v/>
      </c>
      <c r="L857" s="21">
        <f>IF(K857="","",COUNTIF($K$2:$K$3001,"&lt;"&amp;K857)+1)</f>
        <v/>
      </c>
    </row>
    <row r="858">
      <c r="A858" s="5">
        <f>IF($J858="","",IF($J858&lt;=1500,INDEX('Daily Sale entry '!$X$1:$X$1501,$J858+1),INDEX('Daily Sale entry '!$V$1:$V$1501,$J858-1499)))</f>
        <v/>
      </c>
      <c r="B858">
        <f>IF($J858="","",IF($J858&lt;=1500,INDEX('Daily Sale entry '!$Y$1:$Y$1501,$J858+1)&amp;"","Buyer cheque banked 买家支票存入"&amp;IF(INDEX('Daily Sale entry '!$U$1:$U$1501,$J858-1499)="","", " - "&amp;INDEX('Daily Sale entry '!$U$1:$U$1501,$J858-1499))))</f>
        <v/>
      </c>
      <c r="C858">
        <f>IF($J858="","",IF($J858&lt;=1500,INDEX('Daily Sale entry '!$Z$1:$Z$1501,$J858+1)&amp;"","Cheque deposit 支票存入 (buyer 买家)"))</f>
        <v/>
      </c>
      <c r="D858">
        <f>IF($J858="","",IF($J858&lt;=1500,INDEX('Daily Sale entry '!$AA$1:$AA$1501,$J858+1)&amp;"",INDEX('Daily Sale entry '!$P$1:$P$1501,$J858-1499)&amp;""))</f>
        <v/>
      </c>
      <c r="E858">
        <f>IF($J858="","",IF($J858&lt;=1500,IF(N(INDEX('Daily Sale entry '!$AB$1:$AB$1501,$J858+1))=0,"",INDEX('Daily Sale entry '!$AB$1:$AB$1501,$J858+1)),1))</f>
        <v/>
      </c>
      <c r="F858" s="6">
        <f>IF($J858="","",IF($J858&lt;=1500,N(INDEX('Daily Sale entry '!$AC$1:$AC$1501,$J858+1))-IF(AND('Opening Balance'!$B$15=1,INDEX('Daily Sale entry '!$Z$1:$Z$1501,$J858+1)="Online collection 网上收款",INDEX('Daily Sale entry '!$AA$1:$AA$1501,$J858+1)&lt;&gt;""),N(INDEX('Daily Sale entry '!$AC$1:$AC$1501,$J858+1))-TRUNC(N(INDEX('Daily Sale entry '!$AC$1:$AC$1501,$J858+1))),0),N(INDEX('Daily Sale entry '!$S$1:$S$1501,$J858-1499))-'Opening Balance'!$B$15*(N(INDEX('Daily Sale entry '!$S$1:$S$1501,$J858-1499))-TRUNC(N(INDEX('Daily Sale entry '!$S$1:$S$1501,$J858-1499))))))</f>
        <v/>
      </c>
      <c r="G858" s="6">
        <f>IF($J858="","",IF($J858&lt;=1500,N(INDEX('Daily Sale entry '!$AD$1:$AD$1501,$J858+1)),0))</f>
        <v/>
      </c>
      <c r="H858" s="6">
        <f>IF($J858="","",ROUND('Opening Balance'!$B$4+SUM($F$2:F858)-SUM($G$2:G858),2))</f>
        <v/>
      </c>
      <c r="J858" s="21">
        <f>IFERROR(MATCH(ROW()-1,$L$2:$L$3001,0),"")</f>
        <v/>
      </c>
      <c r="K858" s="34">
        <f>IF(AND('Daily Sale entry '!X858&lt;&gt;"",OR('Daily Sale entry '!AC858&lt;&gt;"",'Daily Sale entry '!AD858&lt;&gt;"")),'Daily Sale entry '!X858+ROW()/10000000,"")</f>
        <v/>
      </c>
      <c r="L858" s="21">
        <f>IF(K858="","",COUNTIF($K$2:$K$3001,"&lt;"&amp;K858)+1)</f>
        <v/>
      </c>
    </row>
    <row r="859">
      <c r="A859" s="5">
        <f>IF($J859="","",IF($J859&lt;=1500,INDEX('Daily Sale entry '!$X$1:$X$1501,$J859+1),INDEX('Daily Sale entry '!$V$1:$V$1501,$J859-1499)))</f>
        <v/>
      </c>
      <c r="B859">
        <f>IF($J859="","",IF($J859&lt;=1500,INDEX('Daily Sale entry '!$Y$1:$Y$1501,$J859+1)&amp;"","Buyer cheque banked 买家支票存入"&amp;IF(INDEX('Daily Sale entry '!$U$1:$U$1501,$J859-1499)="","", " - "&amp;INDEX('Daily Sale entry '!$U$1:$U$1501,$J859-1499))))</f>
        <v/>
      </c>
      <c r="C859">
        <f>IF($J859="","",IF($J859&lt;=1500,INDEX('Daily Sale entry '!$Z$1:$Z$1501,$J859+1)&amp;"","Cheque deposit 支票存入 (buyer 买家)"))</f>
        <v/>
      </c>
      <c r="D859">
        <f>IF($J859="","",IF($J859&lt;=1500,INDEX('Daily Sale entry '!$AA$1:$AA$1501,$J859+1)&amp;"",INDEX('Daily Sale entry '!$P$1:$P$1501,$J859-1499)&amp;""))</f>
        <v/>
      </c>
      <c r="E859">
        <f>IF($J859="","",IF($J859&lt;=1500,IF(N(INDEX('Daily Sale entry '!$AB$1:$AB$1501,$J859+1))=0,"",INDEX('Daily Sale entry '!$AB$1:$AB$1501,$J859+1)),1))</f>
        <v/>
      </c>
      <c r="F859" s="6">
        <f>IF($J859="","",IF($J859&lt;=1500,N(INDEX('Daily Sale entry '!$AC$1:$AC$1501,$J859+1))-IF(AND('Opening Balance'!$B$15=1,INDEX('Daily Sale entry '!$Z$1:$Z$1501,$J859+1)="Online collection 网上收款",INDEX('Daily Sale entry '!$AA$1:$AA$1501,$J859+1)&lt;&gt;""),N(INDEX('Daily Sale entry '!$AC$1:$AC$1501,$J859+1))-TRUNC(N(INDEX('Daily Sale entry '!$AC$1:$AC$1501,$J859+1))),0),N(INDEX('Daily Sale entry '!$S$1:$S$1501,$J859-1499))-'Opening Balance'!$B$15*(N(INDEX('Daily Sale entry '!$S$1:$S$1501,$J859-1499))-TRUNC(N(INDEX('Daily Sale entry '!$S$1:$S$1501,$J859-1499))))))</f>
        <v/>
      </c>
      <c r="G859" s="6">
        <f>IF($J859="","",IF($J859&lt;=1500,N(INDEX('Daily Sale entry '!$AD$1:$AD$1501,$J859+1)),0))</f>
        <v/>
      </c>
      <c r="H859" s="6">
        <f>IF($J859="","",ROUND('Opening Balance'!$B$4+SUM($F$2:F859)-SUM($G$2:G859),2))</f>
        <v/>
      </c>
      <c r="J859" s="21">
        <f>IFERROR(MATCH(ROW()-1,$L$2:$L$3001,0),"")</f>
        <v/>
      </c>
      <c r="K859" s="34">
        <f>IF(AND('Daily Sale entry '!X859&lt;&gt;"",OR('Daily Sale entry '!AC859&lt;&gt;"",'Daily Sale entry '!AD859&lt;&gt;"")),'Daily Sale entry '!X859+ROW()/10000000,"")</f>
        <v/>
      </c>
      <c r="L859" s="21">
        <f>IF(K859="","",COUNTIF($K$2:$K$3001,"&lt;"&amp;K859)+1)</f>
        <v/>
      </c>
    </row>
    <row r="860">
      <c r="A860" s="5">
        <f>IF($J860="","",IF($J860&lt;=1500,INDEX('Daily Sale entry '!$X$1:$X$1501,$J860+1),INDEX('Daily Sale entry '!$V$1:$V$1501,$J860-1499)))</f>
        <v/>
      </c>
      <c r="B860">
        <f>IF($J860="","",IF($J860&lt;=1500,INDEX('Daily Sale entry '!$Y$1:$Y$1501,$J860+1)&amp;"","Buyer cheque banked 买家支票存入"&amp;IF(INDEX('Daily Sale entry '!$U$1:$U$1501,$J860-1499)="","", " - "&amp;INDEX('Daily Sale entry '!$U$1:$U$1501,$J860-1499))))</f>
        <v/>
      </c>
      <c r="C860">
        <f>IF($J860="","",IF($J860&lt;=1500,INDEX('Daily Sale entry '!$Z$1:$Z$1501,$J860+1)&amp;"","Cheque deposit 支票存入 (buyer 买家)"))</f>
        <v/>
      </c>
      <c r="D860">
        <f>IF($J860="","",IF($J860&lt;=1500,INDEX('Daily Sale entry '!$AA$1:$AA$1501,$J860+1)&amp;"",INDEX('Daily Sale entry '!$P$1:$P$1501,$J860-1499)&amp;""))</f>
        <v/>
      </c>
      <c r="E860">
        <f>IF($J860="","",IF($J860&lt;=1500,IF(N(INDEX('Daily Sale entry '!$AB$1:$AB$1501,$J860+1))=0,"",INDEX('Daily Sale entry '!$AB$1:$AB$1501,$J860+1)),1))</f>
        <v/>
      </c>
      <c r="F860" s="6">
        <f>IF($J860="","",IF($J860&lt;=1500,N(INDEX('Daily Sale entry '!$AC$1:$AC$1501,$J860+1))-IF(AND('Opening Balance'!$B$15=1,INDEX('Daily Sale entry '!$Z$1:$Z$1501,$J860+1)="Online collection 网上收款",INDEX('Daily Sale entry '!$AA$1:$AA$1501,$J860+1)&lt;&gt;""),N(INDEX('Daily Sale entry '!$AC$1:$AC$1501,$J860+1))-TRUNC(N(INDEX('Daily Sale entry '!$AC$1:$AC$1501,$J860+1))),0),N(INDEX('Daily Sale entry '!$S$1:$S$1501,$J860-1499))-'Opening Balance'!$B$15*(N(INDEX('Daily Sale entry '!$S$1:$S$1501,$J860-1499))-TRUNC(N(INDEX('Daily Sale entry '!$S$1:$S$1501,$J860-1499))))))</f>
        <v/>
      </c>
      <c r="G860" s="6">
        <f>IF($J860="","",IF($J860&lt;=1500,N(INDEX('Daily Sale entry '!$AD$1:$AD$1501,$J860+1)),0))</f>
        <v/>
      </c>
      <c r="H860" s="6">
        <f>IF($J860="","",ROUND('Opening Balance'!$B$4+SUM($F$2:F860)-SUM($G$2:G860),2))</f>
        <v/>
      </c>
      <c r="J860" s="21">
        <f>IFERROR(MATCH(ROW()-1,$L$2:$L$3001,0),"")</f>
        <v/>
      </c>
      <c r="K860" s="34">
        <f>IF(AND('Daily Sale entry '!X860&lt;&gt;"",OR('Daily Sale entry '!AC860&lt;&gt;"",'Daily Sale entry '!AD860&lt;&gt;"")),'Daily Sale entry '!X860+ROW()/10000000,"")</f>
        <v/>
      </c>
      <c r="L860" s="21">
        <f>IF(K860="","",COUNTIF($K$2:$K$3001,"&lt;"&amp;K860)+1)</f>
        <v/>
      </c>
    </row>
    <row r="861">
      <c r="A861" s="5">
        <f>IF($J861="","",IF($J861&lt;=1500,INDEX('Daily Sale entry '!$X$1:$X$1501,$J861+1),INDEX('Daily Sale entry '!$V$1:$V$1501,$J861-1499)))</f>
        <v/>
      </c>
      <c r="B861">
        <f>IF($J861="","",IF($J861&lt;=1500,INDEX('Daily Sale entry '!$Y$1:$Y$1501,$J861+1)&amp;"","Buyer cheque banked 买家支票存入"&amp;IF(INDEX('Daily Sale entry '!$U$1:$U$1501,$J861-1499)="","", " - "&amp;INDEX('Daily Sale entry '!$U$1:$U$1501,$J861-1499))))</f>
        <v/>
      </c>
      <c r="C861">
        <f>IF($J861="","",IF($J861&lt;=1500,INDEX('Daily Sale entry '!$Z$1:$Z$1501,$J861+1)&amp;"","Cheque deposit 支票存入 (buyer 买家)"))</f>
        <v/>
      </c>
      <c r="D861">
        <f>IF($J861="","",IF($J861&lt;=1500,INDEX('Daily Sale entry '!$AA$1:$AA$1501,$J861+1)&amp;"",INDEX('Daily Sale entry '!$P$1:$P$1501,$J861-1499)&amp;""))</f>
        <v/>
      </c>
      <c r="E861">
        <f>IF($J861="","",IF($J861&lt;=1500,IF(N(INDEX('Daily Sale entry '!$AB$1:$AB$1501,$J861+1))=0,"",INDEX('Daily Sale entry '!$AB$1:$AB$1501,$J861+1)),1))</f>
        <v/>
      </c>
      <c r="F861" s="6">
        <f>IF($J861="","",IF($J861&lt;=1500,N(INDEX('Daily Sale entry '!$AC$1:$AC$1501,$J861+1))-IF(AND('Opening Balance'!$B$15=1,INDEX('Daily Sale entry '!$Z$1:$Z$1501,$J861+1)="Online collection 网上收款",INDEX('Daily Sale entry '!$AA$1:$AA$1501,$J861+1)&lt;&gt;""),N(INDEX('Daily Sale entry '!$AC$1:$AC$1501,$J861+1))-TRUNC(N(INDEX('Daily Sale entry '!$AC$1:$AC$1501,$J861+1))),0),N(INDEX('Daily Sale entry '!$S$1:$S$1501,$J861-1499))-'Opening Balance'!$B$15*(N(INDEX('Daily Sale entry '!$S$1:$S$1501,$J861-1499))-TRUNC(N(INDEX('Daily Sale entry '!$S$1:$S$1501,$J861-1499))))))</f>
        <v/>
      </c>
      <c r="G861" s="6">
        <f>IF($J861="","",IF($J861&lt;=1500,N(INDEX('Daily Sale entry '!$AD$1:$AD$1501,$J861+1)),0))</f>
        <v/>
      </c>
      <c r="H861" s="6">
        <f>IF($J861="","",ROUND('Opening Balance'!$B$4+SUM($F$2:F861)-SUM($G$2:G861),2))</f>
        <v/>
      </c>
      <c r="J861" s="21">
        <f>IFERROR(MATCH(ROW()-1,$L$2:$L$3001,0),"")</f>
        <v/>
      </c>
      <c r="K861" s="34">
        <f>IF(AND('Daily Sale entry '!X861&lt;&gt;"",OR('Daily Sale entry '!AC861&lt;&gt;"",'Daily Sale entry '!AD861&lt;&gt;"")),'Daily Sale entry '!X861+ROW()/10000000,"")</f>
        <v/>
      </c>
      <c r="L861" s="21">
        <f>IF(K861="","",COUNTIF($K$2:$K$3001,"&lt;"&amp;K861)+1)</f>
        <v/>
      </c>
    </row>
    <row r="862">
      <c r="A862" s="5">
        <f>IF($J862="","",IF($J862&lt;=1500,INDEX('Daily Sale entry '!$X$1:$X$1501,$J862+1),INDEX('Daily Sale entry '!$V$1:$V$1501,$J862-1499)))</f>
        <v/>
      </c>
      <c r="B862">
        <f>IF($J862="","",IF($J862&lt;=1500,INDEX('Daily Sale entry '!$Y$1:$Y$1501,$J862+1)&amp;"","Buyer cheque banked 买家支票存入"&amp;IF(INDEX('Daily Sale entry '!$U$1:$U$1501,$J862-1499)="","", " - "&amp;INDEX('Daily Sale entry '!$U$1:$U$1501,$J862-1499))))</f>
        <v/>
      </c>
      <c r="C862">
        <f>IF($J862="","",IF($J862&lt;=1500,INDEX('Daily Sale entry '!$Z$1:$Z$1501,$J862+1)&amp;"","Cheque deposit 支票存入 (buyer 买家)"))</f>
        <v/>
      </c>
      <c r="D862">
        <f>IF($J862="","",IF($J862&lt;=1500,INDEX('Daily Sale entry '!$AA$1:$AA$1501,$J862+1)&amp;"",INDEX('Daily Sale entry '!$P$1:$P$1501,$J862-1499)&amp;""))</f>
        <v/>
      </c>
      <c r="E862">
        <f>IF($J862="","",IF($J862&lt;=1500,IF(N(INDEX('Daily Sale entry '!$AB$1:$AB$1501,$J862+1))=0,"",INDEX('Daily Sale entry '!$AB$1:$AB$1501,$J862+1)),1))</f>
        <v/>
      </c>
      <c r="F862" s="6">
        <f>IF($J862="","",IF($J862&lt;=1500,N(INDEX('Daily Sale entry '!$AC$1:$AC$1501,$J862+1))-IF(AND('Opening Balance'!$B$15=1,INDEX('Daily Sale entry '!$Z$1:$Z$1501,$J862+1)="Online collection 网上收款",INDEX('Daily Sale entry '!$AA$1:$AA$1501,$J862+1)&lt;&gt;""),N(INDEX('Daily Sale entry '!$AC$1:$AC$1501,$J862+1))-TRUNC(N(INDEX('Daily Sale entry '!$AC$1:$AC$1501,$J862+1))),0),N(INDEX('Daily Sale entry '!$S$1:$S$1501,$J862-1499))-'Opening Balance'!$B$15*(N(INDEX('Daily Sale entry '!$S$1:$S$1501,$J862-1499))-TRUNC(N(INDEX('Daily Sale entry '!$S$1:$S$1501,$J862-1499))))))</f>
        <v/>
      </c>
      <c r="G862" s="6">
        <f>IF($J862="","",IF($J862&lt;=1500,N(INDEX('Daily Sale entry '!$AD$1:$AD$1501,$J862+1)),0))</f>
        <v/>
      </c>
      <c r="H862" s="6">
        <f>IF($J862="","",ROUND('Opening Balance'!$B$4+SUM($F$2:F862)-SUM($G$2:G862),2))</f>
        <v/>
      </c>
      <c r="J862" s="21">
        <f>IFERROR(MATCH(ROW()-1,$L$2:$L$3001,0),"")</f>
        <v/>
      </c>
      <c r="K862" s="34">
        <f>IF(AND('Daily Sale entry '!X862&lt;&gt;"",OR('Daily Sale entry '!AC862&lt;&gt;"",'Daily Sale entry '!AD862&lt;&gt;"")),'Daily Sale entry '!X862+ROW()/10000000,"")</f>
        <v/>
      </c>
      <c r="L862" s="21">
        <f>IF(K862="","",COUNTIF($K$2:$K$3001,"&lt;"&amp;K862)+1)</f>
        <v/>
      </c>
    </row>
    <row r="863">
      <c r="A863" s="5">
        <f>IF($J863="","",IF($J863&lt;=1500,INDEX('Daily Sale entry '!$X$1:$X$1501,$J863+1),INDEX('Daily Sale entry '!$V$1:$V$1501,$J863-1499)))</f>
        <v/>
      </c>
      <c r="B863">
        <f>IF($J863="","",IF($J863&lt;=1500,INDEX('Daily Sale entry '!$Y$1:$Y$1501,$J863+1)&amp;"","Buyer cheque banked 买家支票存入"&amp;IF(INDEX('Daily Sale entry '!$U$1:$U$1501,$J863-1499)="","", " - "&amp;INDEX('Daily Sale entry '!$U$1:$U$1501,$J863-1499))))</f>
        <v/>
      </c>
      <c r="C863">
        <f>IF($J863="","",IF($J863&lt;=1500,INDEX('Daily Sale entry '!$Z$1:$Z$1501,$J863+1)&amp;"","Cheque deposit 支票存入 (buyer 买家)"))</f>
        <v/>
      </c>
      <c r="D863">
        <f>IF($J863="","",IF($J863&lt;=1500,INDEX('Daily Sale entry '!$AA$1:$AA$1501,$J863+1)&amp;"",INDEX('Daily Sale entry '!$P$1:$P$1501,$J863-1499)&amp;""))</f>
        <v/>
      </c>
      <c r="E863">
        <f>IF($J863="","",IF($J863&lt;=1500,IF(N(INDEX('Daily Sale entry '!$AB$1:$AB$1501,$J863+1))=0,"",INDEX('Daily Sale entry '!$AB$1:$AB$1501,$J863+1)),1))</f>
        <v/>
      </c>
      <c r="F863" s="6">
        <f>IF($J863="","",IF($J863&lt;=1500,N(INDEX('Daily Sale entry '!$AC$1:$AC$1501,$J863+1))-IF(AND('Opening Balance'!$B$15=1,INDEX('Daily Sale entry '!$Z$1:$Z$1501,$J863+1)="Online collection 网上收款",INDEX('Daily Sale entry '!$AA$1:$AA$1501,$J863+1)&lt;&gt;""),N(INDEX('Daily Sale entry '!$AC$1:$AC$1501,$J863+1))-TRUNC(N(INDEX('Daily Sale entry '!$AC$1:$AC$1501,$J863+1))),0),N(INDEX('Daily Sale entry '!$S$1:$S$1501,$J863-1499))-'Opening Balance'!$B$15*(N(INDEX('Daily Sale entry '!$S$1:$S$1501,$J863-1499))-TRUNC(N(INDEX('Daily Sale entry '!$S$1:$S$1501,$J863-1499))))))</f>
        <v/>
      </c>
      <c r="G863" s="6">
        <f>IF($J863="","",IF($J863&lt;=1500,N(INDEX('Daily Sale entry '!$AD$1:$AD$1501,$J863+1)),0))</f>
        <v/>
      </c>
      <c r="H863" s="6">
        <f>IF($J863="","",ROUND('Opening Balance'!$B$4+SUM($F$2:F863)-SUM($G$2:G863),2))</f>
        <v/>
      </c>
      <c r="J863" s="21">
        <f>IFERROR(MATCH(ROW()-1,$L$2:$L$3001,0),"")</f>
        <v/>
      </c>
      <c r="K863" s="34">
        <f>IF(AND('Daily Sale entry '!X863&lt;&gt;"",OR('Daily Sale entry '!AC863&lt;&gt;"",'Daily Sale entry '!AD863&lt;&gt;"")),'Daily Sale entry '!X863+ROW()/10000000,"")</f>
        <v/>
      </c>
      <c r="L863" s="21">
        <f>IF(K863="","",COUNTIF($K$2:$K$3001,"&lt;"&amp;K863)+1)</f>
        <v/>
      </c>
    </row>
    <row r="864">
      <c r="A864" s="5">
        <f>IF($J864="","",IF($J864&lt;=1500,INDEX('Daily Sale entry '!$X$1:$X$1501,$J864+1),INDEX('Daily Sale entry '!$V$1:$V$1501,$J864-1499)))</f>
        <v/>
      </c>
      <c r="B864">
        <f>IF($J864="","",IF($J864&lt;=1500,INDEX('Daily Sale entry '!$Y$1:$Y$1501,$J864+1)&amp;"","Buyer cheque banked 买家支票存入"&amp;IF(INDEX('Daily Sale entry '!$U$1:$U$1501,$J864-1499)="","", " - "&amp;INDEX('Daily Sale entry '!$U$1:$U$1501,$J864-1499))))</f>
        <v/>
      </c>
      <c r="C864">
        <f>IF($J864="","",IF($J864&lt;=1500,INDEX('Daily Sale entry '!$Z$1:$Z$1501,$J864+1)&amp;"","Cheque deposit 支票存入 (buyer 买家)"))</f>
        <v/>
      </c>
      <c r="D864">
        <f>IF($J864="","",IF($J864&lt;=1500,INDEX('Daily Sale entry '!$AA$1:$AA$1501,$J864+1)&amp;"",INDEX('Daily Sale entry '!$P$1:$P$1501,$J864-1499)&amp;""))</f>
        <v/>
      </c>
      <c r="E864">
        <f>IF($J864="","",IF($J864&lt;=1500,IF(N(INDEX('Daily Sale entry '!$AB$1:$AB$1501,$J864+1))=0,"",INDEX('Daily Sale entry '!$AB$1:$AB$1501,$J864+1)),1))</f>
        <v/>
      </c>
      <c r="F864" s="6">
        <f>IF($J864="","",IF($J864&lt;=1500,N(INDEX('Daily Sale entry '!$AC$1:$AC$1501,$J864+1))-IF(AND('Opening Balance'!$B$15=1,INDEX('Daily Sale entry '!$Z$1:$Z$1501,$J864+1)="Online collection 网上收款",INDEX('Daily Sale entry '!$AA$1:$AA$1501,$J864+1)&lt;&gt;""),N(INDEX('Daily Sale entry '!$AC$1:$AC$1501,$J864+1))-TRUNC(N(INDEX('Daily Sale entry '!$AC$1:$AC$1501,$J864+1))),0),N(INDEX('Daily Sale entry '!$S$1:$S$1501,$J864-1499))-'Opening Balance'!$B$15*(N(INDEX('Daily Sale entry '!$S$1:$S$1501,$J864-1499))-TRUNC(N(INDEX('Daily Sale entry '!$S$1:$S$1501,$J864-1499))))))</f>
        <v/>
      </c>
      <c r="G864" s="6">
        <f>IF($J864="","",IF($J864&lt;=1500,N(INDEX('Daily Sale entry '!$AD$1:$AD$1501,$J864+1)),0))</f>
        <v/>
      </c>
      <c r="H864" s="6">
        <f>IF($J864="","",ROUND('Opening Balance'!$B$4+SUM($F$2:F864)-SUM($G$2:G864),2))</f>
        <v/>
      </c>
      <c r="J864" s="21">
        <f>IFERROR(MATCH(ROW()-1,$L$2:$L$3001,0),"")</f>
        <v/>
      </c>
      <c r="K864" s="34">
        <f>IF(AND('Daily Sale entry '!X864&lt;&gt;"",OR('Daily Sale entry '!AC864&lt;&gt;"",'Daily Sale entry '!AD864&lt;&gt;"")),'Daily Sale entry '!X864+ROW()/10000000,"")</f>
        <v/>
      </c>
      <c r="L864" s="21">
        <f>IF(K864="","",COUNTIF($K$2:$K$3001,"&lt;"&amp;K864)+1)</f>
        <v/>
      </c>
    </row>
    <row r="865">
      <c r="A865" s="5">
        <f>IF($J865="","",IF($J865&lt;=1500,INDEX('Daily Sale entry '!$X$1:$X$1501,$J865+1),INDEX('Daily Sale entry '!$V$1:$V$1501,$J865-1499)))</f>
        <v/>
      </c>
      <c r="B865">
        <f>IF($J865="","",IF($J865&lt;=1500,INDEX('Daily Sale entry '!$Y$1:$Y$1501,$J865+1)&amp;"","Buyer cheque banked 买家支票存入"&amp;IF(INDEX('Daily Sale entry '!$U$1:$U$1501,$J865-1499)="","", " - "&amp;INDEX('Daily Sale entry '!$U$1:$U$1501,$J865-1499))))</f>
        <v/>
      </c>
      <c r="C865">
        <f>IF($J865="","",IF($J865&lt;=1500,INDEX('Daily Sale entry '!$Z$1:$Z$1501,$J865+1)&amp;"","Cheque deposit 支票存入 (buyer 买家)"))</f>
        <v/>
      </c>
      <c r="D865">
        <f>IF($J865="","",IF($J865&lt;=1500,INDEX('Daily Sale entry '!$AA$1:$AA$1501,$J865+1)&amp;"",INDEX('Daily Sale entry '!$P$1:$P$1501,$J865-1499)&amp;""))</f>
        <v/>
      </c>
      <c r="E865">
        <f>IF($J865="","",IF($J865&lt;=1500,IF(N(INDEX('Daily Sale entry '!$AB$1:$AB$1501,$J865+1))=0,"",INDEX('Daily Sale entry '!$AB$1:$AB$1501,$J865+1)),1))</f>
        <v/>
      </c>
      <c r="F865" s="6">
        <f>IF($J865="","",IF($J865&lt;=1500,N(INDEX('Daily Sale entry '!$AC$1:$AC$1501,$J865+1))-IF(AND('Opening Balance'!$B$15=1,INDEX('Daily Sale entry '!$Z$1:$Z$1501,$J865+1)="Online collection 网上收款",INDEX('Daily Sale entry '!$AA$1:$AA$1501,$J865+1)&lt;&gt;""),N(INDEX('Daily Sale entry '!$AC$1:$AC$1501,$J865+1))-TRUNC(N(INDEX('Daily Sale entry '!$AC$1:$AC$1501,$J865+1))),0),N(INDEX('Daily Sale entry '!$S$1:$S$1501,$J865-1499))-'Opening Balance'!$B$15*(N(INDEX('Daily Sale entry '!$S$1:$S$1501,$J865-1499))-TRUNC(N(INDEX('Daily Sale entry '!$S$1:$S$1501,$J865-1499))))))</f>
        <v/>
      </c>
      <c r="G865" s="6">
        <f>IF($J865="","",IF($J865&lt;=1500,N(INDEX('Daily Sale entry '!$AD$1:$AD$1501,$J865+1)),0))</f>
        <v/>
      </c>
      <c r="H865" s="6">
        <f>IF($J865="","",ROUND('Opening Balance'!$B$4+SUM($F$2:F865)-SUM($G$2:G865),2))</f>
        <v/>
      </c>
      <c r="J865" s="21">
        <f>IFERROR(MATCH(ROW()-1,$L$2:$L$3001,0),"")</f>
        <v/>
      </c>
      <c r="K865" s="34">
        <f>IF(AND('Daily Sale entry '!X865&lt;&gt;"",OR('Daily Sale entry '!AC865&lt;&gt;"",'Daily Sale entry '!AD865&lt;&gt;"")),'Daily Sale entry '!X865+ROW()/10000000,"")</f>
        <v/>
      </c>
      <c r="L865" s="21">
        <f>IF(K865="","",COUNTIF($K$2:$K$3001,"&lt;"&amp;K865)+1)</f>
        <v/>
      </c>
    </row>
    <row r="866">
      <c r="A866" s="5">
        <f>IF($J866="","",IF($J866&lt;=1500,INDEX('Daily Sale entry '!$X$1:$X$1501,$J866+1),INDEX('Daily Sale entry '!$V$1:$V$1501,$J866-1499)))</f>
        <v/>
      </c>
      <c r="B866">
        <f>IF($J866="","",IF($J866&lt;=1500,INDEX('Daily Sale entry '!$Y$1:$Y$1501,$J866+1)&amp;"","Buyer cheque banked 买家支票存入"&amp;IF(INDEX('Daily Sale entry '!$U$1:$U$1501,$J866-1499)="","", " - "&amp;INDEX('Daily Sale entry '!$U$1:$U$1501,$J866-1499))))</f>
        <v/>
      </c>
      <c r="C866">
        <f>IF($J866="","",IF($J866&lt;=1500,INDEX('Daily Sale entry '!$Z$1:$Z$1501,$J866+1)&amp;"","Cheque deposit 支票存入 (buyer 买家)"))</f>
        <v/>
      </c>
      <c r="D866">
        <f>IF($J866="","",IF($J866&lt;=1500,INDEX('Daily Sale entry '!$AA$1:$AA$1501,$J866+1)&amp;"",INDEX('Daily Sale entry '!$P$1:$P$1501,$J866-1499)&amp;""))</f>
        <v/>
      </c>
      <c r="E866">
        <f>IF($J866="","",IF($J866&lt;=1500,IF(N(INDEX('Daily Sale entry '!$AB$1:$AB$1501,$J866+1))=0,"",INDEX('Daily Sale entry '!$AB$1:$AB$1501,$J866+1)),1))</f>
        <v/>
      </c>
      <c r="F866" s="6">
        <f>IF($J866="","",IF($J866&lt;=1500,N(INDEX('Daily Sale entry '!$AC$1:$AC$1501,$J866+1))-IF(AND('Opening Balance'!$B$15=1,INDEX('Daily Sale entry '!$Z$1:$Z$1501,$J866+1)="Online collection 网上收款",INDEX('Daily Sale entry '!$AA$1:$AA$1501,$J866+1)&lt;&gt;""),N(INDEX('Daily Sale entry '!$AC$1:$AC$1501,$J866+1))-TRUNC(N(INDEX('Daily Sale entry '!$AC$1:$AC$1501,$J866+1))),0),N(INDEX('Daily Sale entry '!$S$1:$S$1501,$J866-1499))-'Opening Balance'!$B$15*(N(INDEX('Daily Sale entry '!$S$1:$S$1501,$J866-1499))-TRUNC(N(INDEX('Daily Sale entry '!$S$1:$S$1501,$J866-1499))))))</f>
        <v/>
      </c>
      <c r="G866" s="6">
        <f>IF($J866="","",IF($J866&lt;=1500,N(INDEX('Daily Sale entry '!$AD$1:$AD$1501,$J866+1)),0))</f>
        <v/>
      </c>
      <c r="H866" s="6">
        <f>IF($J866="","",ROUND('Opening Balance'!$B$4+SUM($F$2:F866)-SUM($G$2:G866),2))</f>
        <v/>
      </c>
      <c r="J866" s="21">
        <f>IFERROR(MATCH(ROW()-1,$L$2:$L$3001,0),"")</f>
        <v/>
      </c>
      <c r="K866" s="34">
        <f>IF(AND('Daily Sale entry '!X866&lt;&gt;"",OR('Daily Sale entry '!AC866&lt;&gt;"",'Daily Sale entry '!AD866&lt;&gt;"")),'Daily Sale entry '!X866+ROW()/10000000,"")</f>
        <v/>
      </c>
      <c r="L866" s="21">
        <f>IF(K866="","",COUNTIF($K$2:$K$3001,"&lt;"&amp;K866)+1)</f>
        <v/>
      </c>
    </row>
    <row r="867">
      <c r="A867" s="5">
        <f>IF($J867="","",IF($J867&lt;=1500,INDEX('Daily Sale entry '!$X$1:$X$1501,$J867+1),INDEX('Daily Sale entry '!$V$1:$V$1501,$J867-1499)))</f>
        <v/>
      </c>
      <c r="B867">
        <f>IF($J867="","",IF($J867&lt;=1500,INDEX('Daily Sale entry '!$Y$1:$Y$1501,$J867+1)&amp;"","Buyer cheque banked 买家支票存入"&amp;IF(INDEX('Daily Sale entry '!$U$1:$U$1501,$J867-1499)="","", " - "&amp;INDEX('Daily Sale entry '!$U$1:$U$1501,$J867-1499))))</f>
        <v/>
      </c>
      <c r="C867">
        <f>IF($J867="","",IF($J867&lt;=1500,INDEX('Daily Sale entry '!$Z$1:$Z$1501,$J867+1)&amp;"","Cheque deposit 支票存入 (buyer 买家)"))</f>
        <v/>
      </c>
      <c r="D867">
        <f>IF($J867="","",IF($J867&lt;=1500,INDEX('Daily Sale entry '!$AA$1:$AA$1501,$J867+1)&amp;"",INDEX('Daily Sale entry '!$P$1:$P$1501,$J867-1499)&amp;""))</f>
        <v/>
      </c>
      <c r="E867">
        <f>IF($J867="","",IF($J867&lt;=1500,IF(N(INDEX('Daily Sale entry '!$AB$1:$AB$1501,$J867+1))=0,"",INDEX('Daily Sale entry '!$AB$1:$AB$1501,$J867+1)),1))</f>
        <v/>
      </c>
      <c r="F867" s="6">
        <f>IF($J867="","",IF($J867&lt;=1500,N(INDEX('Daily Sale entry '!$AC$1:$AC$1501,$J867+1))-IF(AND('Opening Balance'!$B$15=1,INDEX('Daily Sale entry '!$Z$1:$Z$1501,$J867+1)="Online collection 网上收款",INDEX('Daily Sale entry '!$AA$1:$AA$1501,$J867+1)&lt;&gt;""),N(INDEX('Daily Sale entry '!$AC$1:$AC$1501,$J867+1))-TRUNC(N(INDEX('Daily Sale entry '!$AC$1:$AC$1501,$J867+1))),0),N(INDEX('Daily Sale entry '!$S$1:$S$1501,$J867-1499))-'Opening Balance'!$B$15*(N(INDEX('Daily Sale entry '!$S$1:$S$1501,$J867-1499))-TRUNC(N(INDEX('Daily Sale entry '!$S$1:$S$1501,$J867-1499))))))</f>
        <v/>
      </c>
      <c r="G867" s="6">
        <f>IF($J867="","",IF($J867&lt;=1500,N(INDEX('Daily Sale entry '!$AD$1:$AD$1501,$J867+1)),0))</f>
        <v/>
      </c>
      <c r="H867" s="6">
        <f>IF($J867="","",ROUND('Opening Balance'!$B$4+SUM($F$2:F867)-SUM($G$2:G867),2))</f>
        <v/>
      </c>
      <c r="J867" s="21">
        <f>IFERROR(MATCH(ROW()-1,$L$2:$L$3001,0),"")</f>
        <v/>
      </c>
      <c r="K867" s="34">
        <f>IF(AND('Daily Sale entry '!X867&lt;&gt;"",OR('Daily Sale entry '!AC867&lt;&gt;"",'Daily Sale entry '!AD867&lt;&gt;"")),'Daily Sale entry '!X867+ROW()/10000000,"")</f>
        <v/>
      </c>
      <c r="L867" s="21">
        <f>IF(K867="","",COUNTIF($K$2:$K$3001,"&lt;"&amp;K867)+1)</f>
        <v/>
      </c>
    </row>
    <row r="868">
      <c r="A868" s="5">
        <f>IF($J868="","",IF($J868&lt;=1500,INDEX('Daily Sale entry '!$X$1:$X$1501,$J868+1),INDEX('Daily Sale entry '!$V$1:$V$1501,$J868-1499)))</f>
        <v/>
      </c>
      <c r="B868">
        <f>IF($J868="","",IF($J868&lt;=1500,INDEX('Daily Sale entry '!$Y$1:$Y$1501,$J868+1)&amp;"","Buyer cheque banked 买家支票存入"&amp;IF(INDEX('Daily Sale entry '!$U$1:$U$1501,$J868-1499)="","", " - "&amp;INDEX('Daily Sale entry '!$U$1:$U$1501,$J868-1499))))</f>
        <v/>
      </c>
      <c r="C868">
        <f>IF($J868="","",IF($J868&lt;=1500,INDEX('Daily Sale entry '!$Z$1:$Z$1501,$J868+1)&amp;"","Cheque deposit 支票存入 (buyer 买家)"))</f>
        <v/>
      </c>
      <c r="D868">
        <f>IF($J868="","",IF($J868&lt;=1500,INDEX('Daily Sale entry '!$AA$1:$AA$1501,$J868+1)&amp;"",INDEX('Daily Sale entry '!$P$1:$P$1501,$J868-1499)&amp;""))</f>
        <v/>
      </c>
      <c r="E868">
        <f>IF($J868="","",IF($J868&lt;=1500,IF(N(INDEX('Daily Sale entry '!$AB$1:$AB$1501,$J868+1))=0,"",INDEX('Daily Sale entry '!$AB$1:$AB$1501,$J868+1)),1))</f>
        <v/>
      </c>
      <c r="F868" s="6">
        <f>IF($J868="","",IF($J868&lt;=1500,N(INDEX('Daily Sale entry '!$AC$1:$AC$1501,$J868+1))-IF(AND('Opening Balance'!$B$15=1,INDEX('Daily Sale entry '!$Z$1:$Z$1501,$J868+1)="Online collection 网上收款",INDEX('Daily Sale entry '!$AA$1:$AA$1501,$J868+1)&lt;&gt;""),N(INDEX('Daily Sale entry '!$AC$1:$AC$1501,$J868+1))-TRUNC(N(INDEX('Daily Sale entry '!$AC$1:$AC$1501,$J868+1))),0),N(INDEX('Daily Sale entry '!$S$1:$S$1501,$J868-1499))-'Opening Balance'!$B$15*(N(INDEX('Daily Sale entry '!$S$1:$S$1501,$J868-1499))-TRUNC(N(INDEX('Daily Sale entry '!$S$1:$S$1501,$J868-1499))))))</f>
        <v/>
      </c>
      <c r="G868" s="6">
        <f>IF($J868="","",IF($J868&lt;=1500,N(INDEX('Daily Sale entry '!$AD$1:$AD$1501,$J868+1)),0))</f>
        <v/>
      </c>
      <c r="H868" s="6">
        <f>IF($J868="","",ROUND('Opening Balance'!$B$4+SUM($F$2:F868)-SUM($G$2:G868),2))</f>
        <v/>
      </c>
      <c r="J868" s="21">
        <f>IFERROR(MATCH(ROW()-1,$L$2:$L$3001,0),"")</f>
        <v/>
      </c>
      <c r="K868" s="34">
        <f>IF(AND('Daily Sale entry '!X868&lt;&gt;"",OR('Daily Sale entry '!AC868&lt;&gt;"",'Daily Sale entry '!AD868&lt;&gt;"")),'Daily Sale entry '!X868+ROW()/10000000,"")</f>
        <v/>
      </c>
      <c r="L868" s="21">
        <f>IF(K868="","",COUNTIF($K$2:$K$3001,"&lt;"&amp;K868)+1)</f>
        <v/>
      </c>
    </row>
    <row r="869">
      <c r="A869" s="5">
        <f>IF($J869="","",IF($J869&lt;=1500,INDEX('Daily Sale entry '!$X$1:$X$1501,$J869+1),INDEX('Daily Sale entry '!$V$1:$V$1501,$J869-1499)))</f>
        <v/>
      </c>
      <c r="B869">
        <f>IF($J869="","",IF($J869&lt;=1500,INDEX('Daily Sale entry '!$Y$1:$Y$1501,$J869+1)&amp;"","Buyer cheque banked 买家支票存入"&amp;IF(INDEX('Daily Sale entry '!$U$1:$U$1501,$J869-1499)="","", " - "&amp;INDEX('Daily Sale entry '!$U$1:$U$1501,$J869-1499))))</f>
        <v/>
      </c>
      <c r="C869">
        <f>IF($J869="","",IF($J869&lt;=1500,INDEX('Daily Sale entry '!$Z$1:$Z$1501,$J869+1)&amp;"","Cheque deposit 支票存入 (buyer 买家)"))</f>
        <v/>
      </c>
      <c r="D869">
        <f>IF($J869="","",IF($J869&lt;=1500,INDEX('Daily Sale entry '!$AA$1:$AA$1501,$J869+1)&amp;"",INDEX('Daily Sale entry '!$P$1:$P$1501,$J869-1499)&amp;""))</f>
        <v/>
      </c>
      <c r="E869">
        <f>IF($J869="","",IF($J869&lt;=1500,IF(N(INDEX('Daily Sale entry '!$AB$1:$AB$1501,$J869+1))=0,"",INDEX('Daily Sale entry '!$AB$1:$AB$1501,$J869+1)),1))</f>
        <v/>
      </c>
      <c r="F869" s="6">
        <f>IF($J869="","",IF($J869&lt;=1500,N(INDEX('Daily Sale entry '!$AC$1:$AC$1501,$J869+1))-IF(AND('Opening Balance'!$B$15=1,INDEX('Daily Sale entry '!$Z$1:$Z$1501,$J869+1)="Online collection 网上收款",INDEX('Daily Sale entry '!$AA$1:$AA$1501,$J869+1)&lt;&gt;""),N(INDEX('Daily Sale entry '!$AC$1:$AC$1501,$J869+1))-TRUNC(N(INDEX('Daily Sale entry '!$AC$1:$AC$1501,$J869+1))),0),N(INDEX('Daily Sale entry '!$S$1:$S$1501,$J869-1499))-'Opening Balance'!$B$15*(N(INDEX('Daily Sale entry '!$S$1:$S$1501,$J869-1499))-TRUNC(N(INDEX('Daily Sale entry '!$S$1:$S$1501,$J869-1499))))))</f>
        <v/>
      </c>
      <c r="G869" s="6">
        <f>IF($J869="","",IF($J869&lt;=1500,N(INDEX('Daily Sale entry '!$AD$1:$AD$1501,$J869+1)),0))</f>
        <v/>
      </c>
      <c r="H869" s="6">
        <f>IF($J869="","",ROUND('Opening Balance'!$B$4+SUM($F$2:F869)-SUM($G$2:G869),2))</f>
        <v/>
      </c>
      <c r="J869" s="21">
        <f>IFERROR(MATCH(ROW()-1,$L$2:$L$3001,0),"")</f>
        <v/>
      </c>
      <c r="K869" s="34">
        <f>IF(AND('Daily Sale entry '!X869&lt;&gt;"",OR('Daily Sale entry '!AC869&lt;&gt;"",'Daily Sale entry '!AD869&lt;&gt;"")),'Daily Sale entry '!X869+ROW()/10000000,"")</f>
        <v/>
      </c>
      <c r="L869" s="21">
        <f>IF(K869="","",COUNTIF($K$2:$K$3001,"&lt;"&amp;K869)+1)</f>
        <v/>
      </c>
    </row>
    <row r="870">
      <c r="A870" s="5">
        <f>IF($J870="","",IF($J870&lt;=1500,INDEX('Daily Sale entry '!$X$1:$X$1501,$J870+1),INDEX('Daily Sale entry '!$V$1:$V$1501,$J870-1499)))</f>
        <v/>
      </c>
      <c r="B870">
        <f>IF($J870="","",IF($J870&lt;=1500,INDEX('Daily Sale entry '!$Y$1:$Y$1501,$J870+1)&amp;"","Buyer cheque banked 买家支票存入"&amp;IF(INDEX('Daily Sale entry '!$U$1:$U$1501,$J870-1499)="","", " - "&amp;INDEX('Daily Sale entry '!$U$1:$U$1501,$J870-1499))))</f>
        <v/>
      </c>
      <c r="C870">
        <f>IF($J870="","",IF($J870&lt;=1500,INDEX('Daily Sale entry '!$Z$1:$Z$1501,$J870+1)&amp;"","Cheque deposit 支票存入 (buyer 买家)"))</f>
        <v/>
      </c>
      <c r="D870">
        <f>IF($J870="","",IF($J870&lt;=1500,INDEX('Daily Sale entry '!$AA$1:$AA$1501,$J870+1)&amp;"",INDEX('Daily Sale entry '!$P$1:$P$1501,$J870-1499)&amp;""))</f>
        <v/>
      </c>
      <c r="E870">
        <f>IF($J870="","",IF($J870&lt;=1500,IF(N(INDEX('Daily Sale entry '!$AB$1:$AB$1501,$J870+1))=0,"",INDEX('Daily Sale entry '!$AB$1:$AB$1501,$J870+1)),1))</f>
        <v/>
      </c>
      <c r="F870" s="6">
        <f>IF($J870="","",IF($J870&lt;=1500,N(INDEX('Daily Sale entry '!$AC$1:$AC$1501,$J870+1))-IF(AND('Opening Balance'!$B$15=1,INDEX('Daily Sale entry '!$Z$1:$Z$1501,$J870+1)="Online collection 网上收款",INDEX('Daily Sale entry '!$AA$1:$AA$1501,$J870+1)&lt;&gt;""),N(INDEX('Daily Sale entry '!$AC$1:$AC$1501,$J870+1))-TRUNC(N(INDEX('Daily Sale entry '!$AC$1:$AC$1501,$J870+1))),0),N(INDEX('Daily Sale entry '!$S$1:$S$1501,$J870-1499))-'Opening Balance'!$B$15*(N(INDEX('Daily Sale entry '!$S$1:$S$1501,$J870-1499))-TRUNC(N(INDEX('Daily Sale entry '!$S$1:$S$1501,$J870-1499))))))</f>
        <v/>
      </c>
      <c r="G870" s="6">
        <f>IF($J870="","",IF($J870&lt;=1500,N(INDEX('Daily Sale entry '!$AD$1:$AD$1501,$J870+1)),0))</f>
        <v/>
      </c>
      <c r="H870" s="6">
        <f>IF($J870="","",ROUND('Opening Balance'!$B$4+SUM($F$2:F870)-SUM($G$2:G870),2))</f>
        <v/>
      </c>
      <c r="J870" s="21">
        <f>IFERROR(MATCH(ROW()-1,$L$2:$L$3001,0),"")</f>
        <v/>
      </c>
      <c r="K870" s="34">
        <f>IF(AND('Daily Sale entry '!X870&lt;&gt;"",OR('Daily Sale entry '!AC870&lt;&gt;"",'Daily Sale entry '!AD870&lt;&gt;"")),'Daily Sale entry '!X870+ROW()/10000000,"")</f>
        <v/>
      </c>
      <c r="L870" s="21">
        <f>IF(K870="","",COUNTIF($K$2:$K$3001,"&lt;"&amp;K870)+1)</f>
        <v/>
      </c>
    </row>
    <row r="871">
      <c r="A871" s="5">
        <f>IF($J871="","",IF($J871&lt;=1500,INDEX('Daily Sale entry '!$X$1:$X$1501,$J871+1),INDEX('Daily Sale entry '!$V$1:$V$1501,$J871-1499)))</f>
        <v/>
      </c>
      <c r="B871">
        <f>IF($J871="","",IF($J871&lt;=1500,INDEX('Daily Sale entry '!$Y$1:$Y$1501,$J871+1)&amp;"","Buyer cheque banked 买家支票存入"&amp;IF(INDEX('Daily Sale entry '!$U$1:$U$1501,$J871-1499)="","", " - "&amp;INDEX('Daily Sale entry '!$U$1:$U$1501,$J871-1499))))</f>
        <v/>
      </c>
      <c r="C871">
        <f>IF($J871="","",IF($J871&lt;=1500,INDEX('Daily Sale entry '!$Z$1:$Z$1501,$J871+1)&amp;"","Cheque deposit 支票存入 (buyer 买家)"))</f>
        <v/>
      </c>
      <c r="D871">
        <f>IF($J871="","",IF($J871&lt;=1500,INDEX('Daily Sale entry '!$AA$1:$AA$1501,$J871+1)&amp;"",INDEX('Daily Sale entry '!$P$1:$P$1501,$J871-1499)&amp;""))</f>
        <v/>
      </c>
      <c r="E871">
        <f>IF($J871="","",IF($J871&lt;=1500,IF(N(INDEX('Daily Sale entry '!$AB$1:$AB$1501,$J871+1))=0,"",INDEX('Daily Sale entry '!$AB$1:$AB$1501,$J871+1)),1))</f>
        <v/>
      </c>
      <c r="F871" s="6">
        <f>IF($J871="","",IF($J871&lt;=1500,N(INDEX('Daily Sale entry '!$AC$1:$AC$1501,$J871+1))-IF(AND('Opening Balance'!$B$15=1,INDEX('Daily Sale entry '!$Z$1:$Z$1501,$J871+1)="Online collection 网上收款",INDEX('Daily Sale entry '!$AA$1:$AA$1501,$J871+1)&lt;&gt;""),N(INDEX('Daily Sale entry '!$AC$1:$AC$1501,$J871+1))-TRUNC(N(INDEX('Daily Sale entry '!$AC$1:$AC$1501,$J871+1))),0),N(INDEX('Daily Sale entry '!$S$1:$S$1501,$J871-1499))-'Opening Balance'!$B$15*(N(INDEX('Daily Sale entry '!$S$1:$S$1501,$J871-1499))-TRUNC(N(INDEX('Daily Sale entry '!$S$1:$S$1501,$J871-1499))))))</f>
        <v/>
      </c>
      <c r="G871" s="6">
        <f>IF($J871="","",IF($J871&lt;=1500,N(INDEX('Daily Sale entry '!$AD$1:$AD$1501,$J871+1)),0))</f>
        <v/>
      </c>
      <c r="H871" s="6">
        <f>IF($J871="","",ROUND('Opening Balance'!$B$4+SUM($F$2:F871)-SUM($G$2:G871),2))</f>
        <v/>
      </c>
      <c r="J871" s="21">
        <f>IFERROR(MATCH(ROW()-1,$L$2:$L$3001,0),"")</f>
        <v/>
      </c>
      <c r="K871" s="34">
        <f>IF(AND('Daily Sale entry '!X871&lt;&gt;"",OR('Daily Sale entry '!AC871&lt;&gt;"",'Daily Sale entry '!AD871&lt;&gt;"")),'Daily Sale entry '!X871+ROW()/10000000,"")</f>
        <v/>
      </c>
      <c r="L871" s="21">
        <f>IF(K871="","",COUNTIF($K$2:$K$3001,"&lt;"&amp;K871)+1)</f>
        <v/>
      </c>
    </row>
    <row r="872">
      <c r="A872" s="5">
        <f>IF($J872="","",IF($J872&lt;=1500,INDEX('Daily Sale entry '!$X$1:$X$1501,$J872+1),INDEX('Daily Sale entry '!$V$1:$V$1501,$J872-1499)))</f>
        <v/>
      </c>
      <c r="B872">
        <f>IF($J872="","",IF($J872&lt;=1500,INDEX('Daily Sale entry '!$Y$1:$Y$1501,$J872+1)&amp;"","Buyer cheque banked 买家支票存入"&amp;IF(INDEX('Daily Sale entry '!$U$1:$U$1501,$J872-1499)="","", " - "&amp;INDEX('Daily Sale entry '!$U$1:$U$1501,$J872-1499))))</f>
        <v/>
      </c>
      <c r="C872">
        <f>IF($J872="","",IF($J872&lt;=1500,INDEX('Daily Sale entry '!$Z$1:$Z$1501,$J872+1)&amp;"","Cheque deposit 支票存入 (buyer 买家)"))</f>
        <v/>
      </c>
      <c r="D872">
        <f>IF($J872="","",IF($J872&lt;=1500,INDEX('Daily Sale entry '!$AA$1:$AA$1501,$J872+1)&amp;"",INDEX('Daily Sale entry '!$P$1:$P$1501,$J872-1499)&amp;""))</f>
        <v/>
      </c>
      <c r="E872">
        <f>IF($J872="","",IF($J872&lt;=1500,IF(N(INDEX('Daily Sale entry '!$AB$1:$AB$1501,$J872+1))=0,"",INDEX('Daily Sale entry '!$AB$1:$AB$1501,$J872+1)),1))</f>
        <v/>
      </c>
      <c r="F872" s="6">
        <f>IF($J872="","",IF($J872&lt;=1500,N(INDEX('Daily Sale entry '!$AC$1:$AC$1501,$J872+1))-IF(AND('Opening Balance'!$B$15=1,INDEX('Daily Sale entry '!$Z$1:$Z$1501,$J872+1)="Online collection 网上收款",INDEX('Daily Sale entry '!$AA$1:$AA$1501,$J872+1)&lt;&gt;""),N(INDEX('Daily Sale entry '!$AC$1:$AC$1501,$J872+1))-TRUNC(N(INDEX('Daily Sale entry '!$AC$1:$AC$1501,$J872+1))),0),N(INDEX('Daily Sale entry '!$S$1:$S$1501,$J872-1499))-'Opening Balance'!$B$15*(N(INDEX('Daily Sale entry '!$S$1:$S$1501,$J872-1499))-TRUNC(N(INDEX('Daily Sale entry '!$S$1:$S$1501,$J872-1499))))))</f>
        <v/>
      </c>
      <c r="G872" s="6">
        <f>IF($J872="","",IF($J872&lt;=1500,N(INDEX('Daily Sale entry '!$AD$1:$AD$1501,$J872+1)),0))</f>
        <v/>
      </c>
      <c r="H872" s="6">
        <f>IF($J872="","",ROUND('Opening Balance'!$B$4+SUM($F$2:F872)-SUM($G$2:G872),2))</f>
        <v/>
      </c>
      <c r="J872" s="21">
        <f>IFERROR(MATCH(ROW()-1,$L$2:$L$3001,0),"")</f>
        <v/>
      </c>
      <c r="K872" s="34">
        <f>IF(AND('Daily Sale entry '!X872&lt;&gt;"",OR('Daily Sale entry '!AC872&lt;&gt;"",'Daily Sale entry '!AD872&lt;&gt;"")),'Daily Sale entry '!X872+ROW()/10000000,"")</f>
        <v/>
      </c>
      <c r="L872" s="21">
        <f>IF(K872="","",COUNTIF($K$2:$K$3001,"&lt;"&amp;K872)+1)</f>
        <v/>
      </c>
    </row>
    <row r="873">
      <c r="A873" s="5">
        <f>IF($J873="","",IF($J873&lt;=1500,INDEX('Daily Sale entry '!$X$1:$X$1501,$J873+1),INDEX('Daily Sale entry '!$V$1:$V$1501,$J873-1499)))</f>
        <v/>
      </c>
      <c r="B873">
        <f>IF($J873="","",IF($J873&lt;=1500,INDEX('Daily Sale entry '!$Y$1:$Y$1501,$J873+1)&amp;"","Buyer cheque banked 买家支票存入"&amp;IF(INDEX('Daily Sale entry '!$U$1:$U$1501,$J873-1499)="","", " - "&amp;INDEX('Daily Sale entry '!$U$1:$U$1501,$J873-1499))))</f>
        <v/>
      </c>
      <c r="C873">
        <f>IF($J873="","",IF($J873&lt;=1500,INDEX('Daily Sale entry '!$Z$1:$Z$1501,$J873+1)&amp;"","Cheque deposit 支票存入 (buyer 买家)"))</f>
        <v/>
      </c>
      <c r="D873">
        <f>IF($J873="","",IF($J873&lt;=1500,INDEX('Daily Sale entry '!$AA$1:$AA$1501,$J873+1)&amp;"",INDEX('Daily Sale entry '!$P$1:$P$1501,$J873-1499)&amp;""))</f>
        <v/>
      </c>
      <c r="E873">
        <f>IF($J873="","",IF($J873&lt;=1500,IF(N(INDEX('Daily Sale entry '!$AB$1:$AB$1501,$J873+1))=0,"",INDEX('Daily Sale entry '!$AB$1:$AB$1501,$J873+1)),1))</f>
        <v/>
      </c>
      <c r="F873" s="6">
        <f>IF($J873="","",IF($J873&lt;=1500,N(INDEX('Daily Sale entry '!$AC$1:$AC$1501,$J873+1))-IF(AND('Opening Balance'!$B$15=1,INDEX('Daily Sale entry '!$Z$1:$Z$1501,$J873+1)="Online collection 网上收款",INDEX('Daily Sale entry '!$AA$1:$AA$1501,$J873+1)&lt;&gt;""),N(INDEX('Daily Sale entry '!$AC$1:$AC$1501,$J873+1))-TRUNC(N(INDEX('Daily Sale entry '!$AC$1:$AC$1501,$J873+1))),0),N(INDEX('Daily Sale entry '!$S$1:$S$1501,$J873-1499))-'Opening Balance'!$B$15*(N(INDEX('Daily Sale entry '!$S$1:$S$1501,$J873-1499))-TRUNC(N(INDEX('Daily Sale entry '!$S$1:$S$1501,$J873-1499))))))</f>
        <v/>
      </c>
      <c r="G873" s="6">
        <f>IF($J873="","",IF($J873&lt;=1500,N(INDEX('Daily Sale entry '!$AD$1:$AD$1501,$J873+1)),0))</f>
        <v/>
      </c>
      <c r="H873" s="6">
        <f>IF($J873="","",ROUND('Opening Balance'!$B$4+SUM($F$2:F873)-SUM($G$2:G873),2))</f>
        <v/>
      </c>
      <c r="J873" s="21">
        <f>IFERROR(MATCH(ROW()-1,$L$2:$L$3001,0),"")</f>
        <v/>
      </c>
      <c r="K873" s="34">
        <f>IF(AND('Daily Sale entry '!X873&lt;&gt;"",OR('Daily Sale entry '!AC873&lt;&gt;"",'Daily Sale entry '!AD873&lt;&gt;"")),'Daily Sale entry '!X873+ROW()/10000000,"")</f>
        <v/>
      </c>
      <c r="L873" s="21">
        <f>IF(K873="","",COUNTIF($K$2:$K$3001,"&lt;"&amp;K873)+1)</f>
        <v/>
      </c>
    </row>
    <row r="874">
      <c r="A874" s="5">
        <f>IF($J874="","",IF($J874&lt;=1500,INDEX('Daily Sale entry '!$X$1:$X$1501,$J874+1),INDEX('Daily Sale entry '!$V$1:$V$1501,$J874-1499)))</f>
        <v/>
      </c>
      <c r="B874">
        <f>IF($J874="","",IF($J874&lt;=1500,INDEX('Daily Sale entry '!$Y$1:$Y$1501,$J874+1)&amp;"","Buyer cheque banked 买家支票存入"&amp;IF(INDEX('Daily Sale entry '!$U$1:$U$1501,$J874-1499)="","", " - "&amp;INDEX('Daily Sale entry '!$U$1:$U$1501,$J874-1499))))</f>
        <v/>
      </c>
      <c r="C874">
        <f>IF($J874="","",IF($J874&lt;=1500,INDEX('Daily Sale entry '!$Z$1:$Z$1501,$J874+1)&amp;"","Cheque deposit 支票存入 (buyer 买家)"))</f>
        <v/>
      </c>
      <c r="D874">
        <f>IF($J874="","",IF($J874&lt;=1500,INDEX('Daily Sale entry '!$AA$1:$AA$1501,$J874+1)&amp;"",INDEX('Daily Sale entry '!$P$1:$P$1501,$J874-1499)&amp;""))</f>
        <v/>
      </c>
      <c r="E874">
        <f>IF($J874="","",IF($J874&lt;=1500,IF(N(INDEX('Daily Sale entry '!$AB$1:$AB$1501,$J874+1))=0,"",INDEX('Daily Sale entry '!$AB$1:$AB$1501,$J874+1)),1))</f>
        <v/>
      </c>
      <c r="F874" s="6">
        <f>IF($J874="","",IF($J874&lt;=1500,N(INDEX('Daily Sale entry '!$AC$1:$AC$1501,$J874+1))-IF(AND('Opening Balance'!$B$15=1,INDEX('Daily Sale entry '!$Z$1:$Z$1501,$J874+1)="Online collection 网上收款",INDEX('Daily Sale entry '!$AA$1:$AA$1501,$J874+1)&lt;&gt;""),N(INDEX('Daily Sale entry '!$AC$1:$AC$1501,$J874+1))-TRUNC(N(INDEX('Daily Sale entry '!$AC$1:$AC$1501,$J874+1))),0),N(INDEX('Daily Sale entry '!$S$1:$S$1501,$J874-1499))-'Opening Balance'!$B$15*(N(INDEX('Daily Sale entry '!$S$1:$S$1501,$J874-1499))-TRUNC(N(INDEX('Daily Sale entry '!$S$1:$S$1501,$J874-1499))))))</f>
        <v/>
      </c>
      <c r="G874" s="6">
        <f>IF($J874="","",IF($J874&lt;=1500,N(INDEX('Daily Sale entry '!$AD$1:$AD$1501,$J874+1)),0))</f>
        <v/>
      </c>
      <c r="H874" s="6">
        <f>IF($J874="","",ROUND('Opening Balance'!$B$4+SUM($F$2:F874)-SUM($G$2:G874),2))</f>
        <v/>
      </c>
      <c r="J874" s="21">
        <f>IFERROR(MATCH(ROW()-1,$L$2:$L$3001,0),"")</f>
        <v/>
      </c>
      <c r="K874" s="34">
        <f>IF(AND('Daily Sale entry '!X874&lt;&gt;"",OR('Daily Sale entry '!AC874&lt;&gt;"",'Daily Sale entry '!AD874&lt;&gt;"")),'Daily Sale entry '!X874+ROW()/10000000,"")</f>
        <v/>
      </c>
      <c r="L874" s="21">
        <f>IF(K874="","",COUNTIF($K$2:$K$3001,"&lt;"&amp;K874)+1)</f>
        <v/>
      </c>
    </row>
    <row r="875">
      <c r="A875" s="5">
        <f>IF($J875="","",IF($J875&lt;=1500,INDEX('Daily Sale entry '!$X$1:$X$1501,$J875+1),INDEX('Daily Sale entry '!$V$1:$V$1501,$J875-1499)))</f>
        <v/>
      </c>
      <c r="B875">
        <f>IF($J875="","",IF($J875&lt;=1500,INDEX('Daily Sale entry '!$Y$1:$Y$1501,$J875+1)&amp;"","Buyer cheque banked 买家支票存入"&amp;IF(INDEX('Daily Sale entry '!$U$1:$U$1501,$J875-1499)="","", " - "&amp;INDEX('Daily Sale entry '!$U$1:$U$1501,$J875-1499))))</f>
        <v/>
      </c>
      <c r="C875">
        <f>IF($J875="","",IF($J875&lt;=1500,INDEX('Daily Sale entry '!$Z$1:$Z$1501,$J875+1)&amp;"","Cheque deposit 支票存入 (buyer 买家)"))</f>
        <v/>
      </c>
      <c r="D875">
        <f>IF($J875="","",IF($J875&lt;=1500,INDEX('Daily Sale entry '!$AA$1:$AA$1501,$J875+1)&amp;"",INDEX('Daily Sale entry '!$P$1:$P$1501,$J875-1499)&amp;""))</f>
        <v/>
      </c>
      <c r="E875">
        <f>IF($J875="","",IF($J875&lt;=1500,IF(N(INDEX('Daily Sale entry '!$AB$1:$AB$1501,$J875+1))=0,"",INDEX('Daily Sale entry '!$AB$1:$AB$1501,$J875+1)),1))</f>
        <v/>
      </c>
      <c r="F875" s="6">
        <f>IF($J875="","",IF($J875&lt;=1500,N(INDEX('Daily Sale entry '!$AC$1:$AC$1501,$J875+1))-IF(AND('Opening Balance'!$B$15=1,INDEX('Daily Sale entry '!$Z$1:$Z$1501,$J875+1)="Online collection 网上收款",INDEX('Daily Sale entry '!$AA$1:$AA$1501,$J875+1)&lt;&gt;""),N(INDEX('Daily Sale entry '!$AC$1:$AC$1501,$J875+1))-TRUNC(N(INDEX('Daily Sale entry '!$AC$1:$AC$1501,$J875+1))),0),N(INDEX('Daily Sale entry '!$S$1:$S$1501,$J875-1499))-'Opening Balance'!$B$15*(N(INDEX('Daily Sale entry '!$S$1:$S$1501,$J875-1499))-TRUNC(N(INDEX('Daily Sale entry '!$S$1:$S$1501,$J875-1499))))))</f>
        <v/>
      </c>
      <c r="G875" s="6">
        <f>IF($J875="","",IF($J875&lt;=1500,N(INDEX('Daily Sale entry '!$AD$1:$AD$1501,$J875+1)),0))</f>
        <v/>
      </c>
      <c r="H875" s="6">
        <f>IF($J875="","",ROUND('Opening Balance'!$B$4+SUM($F$2:F875)-SUM($G$2:G875),2))</f>
        <v/>
      </c>
      <c r="J875" s="21">
        <f>IFERROR(MATCH(ROW()-1,$L$2:$L$3001,0),"")</f>
        <v/>
      </c>
      <c r="K875" s="34">
        <f>IF(AND('Daily Sale entry '!X875&lt;&gt;"",OR('Daily Sale entry '!AC875&lt;&gt;"",'Daily Sale entry '!AD875&lt;&gt;"")),'Daily Sale entry '!X875+ROW()/10000000,"")</f>
        <v/>
      </c>
      <c r="L875" s="21">
        <f>IF(K875="","",COUNTIF($K$2:$K$3001,"&lt;"&amp;K875)+1)</f>
        <v/>
      </c>
    </row>
    <row r="876">
      <c r="A876" s="5">
        <f>IF($J876="","",IF($J876&lt;=1500,INDEX('Daily Sale entry '!$X$1:$X$1501,$J876+1),INDEX('Daily Sale entry '!$V$1:$V$1501,$J876-1499)))</f>
        <v/>
      </c>
      <c r="B876">
        <f>IF($J876="","",IF($J876&lt;=1500,INDEX('Daily Sale entry '!$Y$1:$Y$1501,$J876+1)&amp;"","Buyer cheque banked 买家支票存入"&amp;IF(INDEX('Daily Sale entry '!$U$1:$U$1501,$J876-1499)="","", " - "&amp;INDEX('Daily Sale entry '!$U$1:$U$1501,$J876-1499))))</f>
        <v/>
      </c>
      <c r="C876">
        <f>IF($J876="","",IF($J876&lt;=1500,INDEX('Daily Sale entry '!$Z$1:$Z$1501,$J876+1)&amp;"","Cheque deposit 支票存入 (buyer 买家)"))</f>
        <v/>
      </c>
      <c r="D876">
        <f>IF($J876="","",IF($J876&lt;=1500,INDEX('Daily Sale entry '!$AA$1:$AA$1501,$J876+1)&amp;"",INDEX('Daily Sale entry '!$P$1:$P$1501,$J876-1499)&amp;""))</f>
        <v/>
      </c>
      <c r="E876">
        <f>IF($J876="","",IF($J876&lt;=1500,IF(N(INDEX('Daily Sale entry '!$AB$1:$AB$1501,$J876+1))=0,"",INDEX('Daily Sale entry '!$AB$1:$AB$1501,$J876+1)),1))</f>
        <v/>
      </c>
      <c r="F876" s="6">
        <f>IF($J876="","",IF($J876&lt;=1500,N(INDEX('Daily Sale entry '!$AC$1:$AC$1501,$J876+1))-IF(AND('Opening Balance'!$B$15=1,INDEX('Daily Sale entry '!$Z$1:$Z$1501,$J876+1)="Online collection 网上收款",INDEX('Daily Sale entry '!$AA$1:$AA$1501,$J876+1)&lt;&gt;""),N(INDEX('Daily Sale entry '!$AC$1:$AC$1501,$J876+1))-TRUNC(N(INDEX('Daily Sale entry '!$AC$1:$AC$1501,$J876+1))),0),N(INDEX('Daily Sale entry '!$S$1:$S$1501,$J876-1499))-'Opening Balance'!$B$15*(N(INDEX('Daily Sale entry '!$S$1:$S$1501,$J876-1499))-TRUNC(N(INDEX('Daily Sale entry '!$S$1:$S$1501,$J876-1499))))))</f>
        <v/>
      </c>
      <c r="G876" s="6">
        <f>IF($J876="","",IF($J876&lt;=1500,N(INDEX('Daily Sale entry '!$AD$1:$AD$1501,$J876+1)),0))</f>
        <v/>
      </c>
      <c r="H876" s="6">
        <f>IF($J876="","",ROUND('Opening Balance'!$B$4+SUM($F$2:F876)-SUM($G$2:G876),2))</f>
        <v/>
      </c>
      <c r="J876" s="21">
        <f>IFERROR(MATCH(ROW()-1,$L$2:$L$3001,0),"")</f>
        <v/>
      </c>
      <c r="K876" s="34">
        <f>IF(AND('Daily Sale entry '!X876&lt;&gt;"",OR('Daily Sale entry '!AC876&lt;&gt;"",'Daily Sale entry '!AD876&lt;&gt;"")),'Daily Sale entry '!X876+ROW()/10000000,"")</f>
        <v/>
      </c>
      <c r="L876" s="21">
        <f>IF(K876="","",COUNTIF($K$2:$K$3001,"&lt;"&amp;K876)+1)</f>
        <v/>
      </c>
    </row>
    <row r="877">
      <c r="A877" s="5">
        <f>IF($J877="","",IF($J877&lt;=1500,INDEX('Daily Sale entry '!$X$1:$X$1501,$J877+1),INDEX('Daily Sale entry '!$V$1:$V$1501,$J877-1499)))</f>
        <v/>
      </c>
      <c r="B877">
        <f>IF($J877="","",IF($J877&lt;=1500,INDEX('Daily Sale entry '!$Y$1:$Y$1501,$J877+1)&amp;"","Buyer cheque banked 买家支票存入"&amp;IF(INDEX('Daily Sale entry '!$U$1:$U$1501,$J877-1499)="","", " - "&amp;INDEX('Daily Sale entry '!$U$1:$U$1501,$J877-1499))))</f>
        <v/>
      </c>
      <c r="C877">
        <f>IF($J877="","",IF($J877&lt;=1500,INDEX('Daily Sale entry '!$Z$1:$Z$1501,$J877+1)&amp;"","Cheque deposit 支票存入 (buyer 买家)"))</f>
        <v/>
      </c>
      <c r="D877">
        <f>IF($J877="","",IF($J877&lt;=1500,INDEX('Daily Sale entry '!$AA$1:$AA$1501,$J877+1)&amp;"",INDEX('Daily Sale entry '!$P$1:$P$1501,$J877-1499)&amp;""))</f>
        <v/>
      </c>
      <c r="E877">
        <f>IF($J877="","",IF($J877&lt;=1500,IF(N(INDEX('Daily Sale entry '!$AB$1:$AB$1501,$J877+1))=0,"",INDEX('Daily Sale entry '!$AB$1:$AB$1501,$J877+1)),1))</f>
        <v/>
      </c>
      <c r="F877" s="6">
        <f>IF($J877="","",IF($J877&lt;=1500,N(INDEX('Daily Sale entry '!$AC$1:$AC$1501,$J877+1))-IF(AND('Opening Balance'!$B$15=1,INDEX('Daily Sale entry '!$Z$1:$Z$1501,$J877+1)="Online collection 网上收款",INDEX('Daily Sale entry '!$AA$1:$AA$1501,$J877+1)&lt;&gt;""),N(INDEX('Daily Sale entry '!$AC$1:$AC$1501,$J877+1))-TRUNC(N(INDEX('Daily Sale entry '!$AC$1:$AC$1501,$J877+1))),0),N(INDEX('Daily Sale entry '!$S$1:$S$1501,$J877-1499))-'Opening Balance'!$B$15*(N(INDEX('Daily Sale entry '!$S$1:$S$1501,$J877-1499))-TRUNC(N(INDEX('Daily Sale entry '!$S$1:$S$1501,$J877-1499))))))</f>
        <v/>
      </c>
      <c r="G877" s="6">
        <f>IF($J877="","",IF($J877&lt;=1500,N(INDEX('Daily Sale entry '!$AD$1:$AD$1501,$J877+1)),0))</f>
        <v/>
      </c>
      <c r="H877" s="6">
        <f>IF($J877="","",ROUND('Opening Balance'!$B$4+SUM($F$2:F877)-SUM($G$2:G877),2))</f>
        <v/>
      </c>
      <c r="J877" s="21">
        <f>IFERROR(MATCH(ROW()-1,$L$2:$L$3001,0),"")</f>
        <v/>
      </c>
      <c r="K877" s="34">
        <f>IF(AND('Daily Sale entry '!X877&lt;&gt;"",OR('Daily Sale entry '!AC877&lt;&gt;"",'Daily Sale entry '!AD877&lt;&gt;"")),'Daily Sale entry '!X877+ROW()/10000000,"")</f>
        <v/>
      </c>
      <c r="L877" s="21">
        <f>IF(K877="","",COUNTIF($K$2:$K$3001,"&lt;"&amp;K877)+1)</f>
        <v/>
      </c>
    </row>
    <row r="878">
      <c r="A878" s="5">
        <f>IF($J878="","",IF($J878&lt;=1500,INDEX('Daily Sale entry '!$X$1:$X$1501,$J878+1),INDEX('Daily Sale entry '!$V$1:$V$1501,$J878-1499)))</f>
        <v/>
      </c>
      <c r="B878">
        <f>IF($J878="","",IF($J878&lt;=1500,INDEX('Daily Sale entry '!$Y$1:$Y$1501,$J878+1)&amp;"","Buyer cheque banked 买家支票存入"&amp;IF(INDEX('Daily Sale entry '!$U$1:$U$1501,$J878-1499)="","", " - "&amp;INDEX('Daily Sale entry '!$U$1:$U$1501,$J878-1499))))</f>
        <v/>
      </c>
      <c r="C878">
        <f>IF($J878="","",IF($J878&lt;=1500,INDEX('Daily Sale entry '!$Z$1:$Z$1501,$J878+1)&amp;"","Cheque deposit 支票存入 (buyer 买家)"))</f>
        <v/>
      </c>
      <c r="D878">
        <f>IF($J878="","",IF($J878&lt;=1500,INDEX('Daily Sale entry '!$AA$1:$AA$1501,$J878+1)&amp;"",INDEX('Daily Sale entry '!$P$1:$P$1501,$J878-1499)&amp;""))</f>
        <v/>
      </c>
      <c r="E878">
        <f>IF($J878="","",IF($J878&lt;=1500,IF(N(INDEX('Daily Sale entry '!$AB$1:$AB$1501,$J878+1))=0,"",INDEX('Daily Sale entry '!$AB$1:$AB$1501,$J878+1)),1))</f>
        <v/>
      </c>
      <c r="F878" s="6">
        <f>IF($J878="","",IF($J878&lt;=1500,N(INDEX('Daily Sale entry '!$AC$1:$AC$1501,$J878+1))-IF(AND('Opening Balance'!$B$15=1,INDEX('Daily Sale entry '!$Z$1:$Z$1501,$J878+1)="Online collection 网上收款",INDEX('Daily Sale entry '!$AA$1:$AA$1501,$J878+1)&lt;&gt;""),N(INDEX('Daily Sale entry '!$AC$1:$AC$1501,$J878+1))-TRUNC(N(INDEX('Daily Sale entry '!$AC$1:$AC$1501,$J878+1))),0),N(INDEX('Daily Sale entry '!$S$1:$S$1501,$J878-1499))-'Opening Balance'!$B$15*(N(INDEX('Daily Sale entry '!$S$1:$S$1501,$J878-1499))-TRUNC(N(INDEX('Daily Sale entry '!$S$1:$S$1501,$J878-1499))))))</f>
        <v/>
      </c>
      <c r="G878" s="6">
        <f>IF($J878="","",IF($J878&lt;=1500,N(INDEX('Daily Sale entry '!$AD$1:$AD$1501,$J878+1)),0))</f>
        <v/>
      </c>
      <c r="H878" s="6">
        <f>IF($J878="","",ROUND('Opening Balance'!$B$4+SUM($F$2:F878)-SUM($G$2:G878),2))</f>
        <v/>
      </c>
      <c r="J878" s="21">
        <f>IFERROR(MATCH(ROW()-1,$L$2:$L$3001,0),"")</f>
        <v/>
      </c>
      <c r="K878" s="34">
        <f>IF(AND('Daily Sale entry '!X878&lt;&gt;"",OR('Daily Sale entry '!AC878&lt;&gt;"",'Daily Sale entry '!AD878&lt;&gt;"")),'Daily Sale entry '!X878+ROW()/10000000,"")</f>
        <v/>
      </c>
      <c r="L878" s="21">
        <f>IF(K878="","",COUNTIF($K$2:$K$3001,"&lt;"&amp;K878)+1)</f>
        <v/>
      </c>
    </row>
    <row r="879">
      <c r="A879" s="5">
        <f>IF($J879="","",IF($J879&lt;=1500,INDEX('Daily Sale entry '!$X$1:$X$1501,$J879+1),INDEX('Daily Sale entry '!$V$1:$V$1501,$J879-1499)))</f>
        <v/>
      </c>
      <c r="B879">
        <f>IF($J879="","",IF($J879&lt;=1500,INDEX('Daily Sale entry '!$Y$1:$Y$1501,$J879+1)&amp;"","Buyer cheque banked 买家支票存入"&amp;IF(INDEX('Daily Sale entry '!$U$1:$U$1501,$J879-1499)="","", " - "&amp;INDEX('Daily Sale entry '!$U$1:$U$1501,$J879-1499))))</f>
        <v/>
      </c>
      <c r="C879">
        <f>IF($J879="","",IF($J879&lt;=1500,INDEX('Daily Sale entry '!$Z$1:$Z$1501,$J879+1)&amp;"","Cheque deposit 支票存入 (buyer 买家)"))</f>
        <v/>
      </c>
      <c r="D879">
        <f>IF($J879="","",IF($J879&lt;=1500,INDEX('Daily Sale entry '!$AA$1:$AA$1501,$J879+1)&amp;"",INDEX('Daily Sale entry '!$P$1:$P$1501,$J879-1499)&amp;""))</f>
        <v/>
      </c>
      <c r="E879">
        <f>IF($J879="","",IF($J879&lt;=1500,IF(N(INDEX('Daily Sale entry '!$AB$1:$AB$1501,$J879+1))=0,"",INDEX('Daily Sale entry '!$AB$1:$AB$1501,$J879+1)),1))</f>
        <v/>
      </c>
      <c r="F879" s="6">
        <f>IF($J879="","",IF($J879&lt;=1500,N(INDEX('Daily Sale entry '!$AC$1:$AC$1501,$J879+1))-IF(AND('Opening Balance'!$B$15=1,INDEX('Daily Sale entry '!$Z$1:$Z$1501,$J879+1)="Online collection 网上收款",INDEX('Daily Sale entry '!$AA$1:$AA$1501,$J879+1)&lt;&gt;""),N(INDEX('Daily Sale entry '!$AC$1:$AC$1501,$J879+1))-TRUNC(N(INDEX('Daily Sale entry '!$AC$1:$AC$1501,$J879+1))),0),N(INDEX('Daily Sale entry '!$S$1:$S$1501,$J879-1499))-'Opening Balance'!$B$15*(N(INDEX('Daily Sale entry '!$S$1:$S$1501,$J879-1499))-TRUNC(N(INDEX('Daily Sale entry '!$S$1:$S$1501,$J879-1499))))))</f>
        <v/>
      </c>
      <c r="G879" s="6">
        <f>IF($J879="","",IF($J879&lt;=1500,N(INDEX('Daily Sale entry '!$AD$1:$AD$1501,$J879+1)),0))</f>
        <v/>
      </c>
      <c r="H879" s="6">
        <f>IF($J879="","",ROUND('Opening Balance'!$B$4+SUM($F$2:F879)-SUM($G$2:G879),2))</f>
        <v/>
      </c>
      <c r="J879" s="21">
        <f>IFERROR(MATCH(ROW()-1,$L$2:$L$3001,0),"")</f>
        <v/>
      </c>
      <c r="K879" s="34">
        <f>IF(AND('Daily Sale entry '!X879&lt;&gt;"",OR('Daily Sale entry '!AC879&lt;&gt;"",'Daily Sale entry '!AD879&lt;&gt;"")),'Daily Sale entry '!X879+ROW()/10000000,"")</f>
        <v/>
      </c>
      <c r="L879" s="21">
        <f>IF(K879="","",COUNTIF($K$2:$K$3001,"&lt;"&amp;K879)+1)</f>
        <v/>
      </c>
    </row>
    <row r="880">
      <c r="A880" s="5">
        <f>IF($J880="","",IF($J880&lt;=1500,INDEX('Daily Sale entry '!$X$1:$X$1501,$J880+1),INDEX('Daily Sale entry '!$V$1:$V$1501,$J880-1499)))</f>
        <v/>
      </c>
      <c r="B880">
        <f>IF($J880="","",IF($J880&lt;=1500,INDEX('Daily Sale entry '!$Y$1:$Y$1501,$J880+1)&amp;"","Buyer cheque banked 买家支票存入"&amp;IF(INDEX('Daily Sale entry '!$U$1:$U$1501,$J880-1499)="","", " - "&amp;INDEX('Daily Sale entry '!$U$1:$U$1501,$J880-1499))))</f>
        <v/>
      </c>
      <c r="C880">
        <f>IF($J880="","",IF($J880&lt;=1500,INDEX('Daily Sale entry '!$Z$1:$Z$1501,$J880+1)&amp;"","Cheque deposit 支票存入 (buyer 买家)"))</f>
        <v/>
      </c>
      <c r="D880">
        <f>IF($J880="","",IF($J880&lt;=1500,INDEX('Daily Sale entry '!$AA$1:$AA$1501,$J880+1)&amp;"",INDEX('Daily Sale entry '!$P$1:$P$1501,$J880-1499)&amp;""))</f>
        <v/>
      </c>
      <c r="E880">
        <f>IF($J880="","",IF($J880&lt;=1500,IF(N(INDEX('Daily Sale entry '!$AB$1:$AB$1501,$J880+1))=0,"",INDEX('Daily Sale entry '!$AB$1:$AB$1501,$J880+1)),1))</f>
        <v/>
      </c>
      <c r="F880" s="6">
        <f>IF($J880="","",IF($J880&lt;=1500,N(INDEX('Daily Sale entry '!$AC$1:$AC$1501,$J880+1))-IF(AND('Opening Balance'!$B$15=1,INDEX('Daily Sale entry '!$Z$1:$Z$1501,$J880+1)="Online collection 网上收款",INDEX('Daily Sale entry '!$AA$1:$AA$1501,$J880+1)&lt;&gt;""),N(INDEX('Daily Sale entry '!$AC$1:$AC$1501,$J880+1))-TRUNC(N(INDEX('Daily Sale entry '!$AC$1:$AC$1501,$J880+1))),0),N(INDEX('Daily Sale entry '!$S$1:$S$1501,$J880-1499))-'Opening Balance'!$B$15*(N(INDEX('Daily Sale entry '!$S$1:$S$1501,$J880-1499))-TRUNC(N(INDEX('Daily Sale entry '!$S$1:$S$1501,$J880-1499))))))</f>
        <v/>
      </c>
      <c r="G880" s="6">
        <f>IF($J880="","",IF($J880&lt;=1500,N(INDEX('Daily Sale entry '!$AD$1:$AD$1501,$J880+1)),0))</f>
        <v/>
      </c>
      <c r="H880" s="6">
        <f>IF($J880="","",ROUND('Opening Balance'!$B$4+SUM($F$2:F880)-SUM($G$2:G880),2))</f>
        <v/>
      </c>
      <c r="J880" s="21">
        <f>IFERROR(MATCH(ROW()-1,$L$2:$L$3001,0),"")</f>
        <v/>
      </c>
      <c r="K880" s="34">
        <f>IF(AND('Daily Sale entry '!X880&lt;&gt;"",OR('Daily Sale entry '!AC880&lt;&gt;"",'Daily Sale entry '!AD880&lt;&gt;"")),'Daily Sale entry '!X880+ROW()/10000000,"")</f>
        <v/>
      </c>
      <c r="L880" s="21">
        <f>IF(K880="","",COUNTIF($K$2:$K$3001,"&lt;"&amp;K880)+1)</f>
        <v/>
      </c>
    </row>
    <row r="881">
      <c r="A881" s="5">
        <f>IF($J881="","",IF($J881&lt;=1500,INDEX('Daily Sale entry '!$X$1:$X$1501,$J881+1),INDEX('Daily Sale entry '!$V$1:$V$1501,$J881-1499)))</f>
        <v/>
      </c>
      <c r="B881">
        <f>IF($J881="","",IF($J881&lt;=1500,INDEX('Daily Sale entry '!$Y$1:$Y$1501,$J881+1)&amp;"","Buyer cheque banked 买家支票存入"&amp;IF(INDEX('Daily Sale entry '!$U$1:$U$1501,$J881-1499)="","", " - "&amp;INDEX('Daily Sale entry '!$U$1:$U$1501,$J881-1499))))</f>
        <v/>
      </c>
      <c r="C881">
        <f>IF($J881="","",IF($J881&lt;=1500,INDEX('Daily Sale entry '!$Z$1:$Z$1501,$J881+1)&amp;"","Cheque deposit 支票存入 (buyer 买家)"))</f>
        <v/>
      </c>
      <c r="D881">
        <f>IF($J881="","",IF($J881&lt;=1500,INDEX('Daily Sale entry '!$AA$1:$AA$1501,$J881+1)&amp;"",INDEX('Daily Sale entry '!$P$1:$P$1501,$J881-1499)&amp;""))</f>
        <v/>
      </c>
      <c r="E881">
        <f>IF($J881="","",IF($J881&lt;=1500,IF(N(INDEX('Daily Sale entry '!$AB$1:$AB$1501,$J881+1))=0,"",INDEX('Daily Sale entry '!$AB$1:$AB$1501,$J881+1)),1))</f>
        <v/>
      </c>
      <c r="F881" s="6">
        <f>IF($J881="","",IF($J881&lt;=1500,N(INDEX('Daily Sale entry '!$AC$1:$AC$1501,$J881+1))-IF(AND('Opening Balance'!$B$15=1,INDEX('Daily Sale entry '!$Z$1:$Z$1501,$J881+1)="Online collection 网上收款",INDEX('Daily Sale entry '!$AA$1:$AA$1501,$J881+1)&lt;&gt;""),N(INDEX('Daily Sale entry '!$AC$1:$AC$1501,$J881+1))-TRUNC(N(INDEX('Daily Sale entry '!$AC$1:$AC$1501,$J881+1))),0),N(INDEX('Daily Sale entry '!$S$1:$S$1501,$J881-1499))-'Opening Balance'!$B$15*(N(INDEX('Daily Sale entry '!$S$1:$S$1501,$J881-1499))-TRUNC(N(INDEX('Daily Sale entry '!$S$1:$S$1501,$J881-1499))))))</f>
        <v/>
      </c>
      <c r="G881" s="6">
        <f>IF($J881="","",IF($J881&lt;=1500,N(INDEX('Daily Sale entry '!$AD$1:$AD$1501,$J881+1)),0))</f>
        <v/>
      </c>
      <c r="H881" s="6">
        <f>IF($J881="","",ROUND('Opening Balance'!$B$4+SUM($F$2:F881)-SUM($G$2:G881),2))</f>
        <v/>
      </c>
      <c r="J881" s="21">
        <f>IFERROR(MATCH(ROW()-1,$L$2:$L$3001,0),"")</f>
        <v/>
      </c>
      <c r="K881" s="34">
        <f>IF(AND('Daily Sale entry '!X881&lt;&gt;"",OR('Daily Sale entry '!AC881&lt;&gt;"",'Daily Sale entry '!AD881&lt;&gt;"")),'Daily Sale entry '!X881+ROW()/10000000,"")</f>
        <v/>
      </c>
      <c r="L881" s="21">
        <f>IF(K881="","",COUNTIF($K$2:$K$3001,"&lt;"&amp;K881)+1)</f>
        <v/>
      </c>
    </row>
    <row r="882">
      <c r="A882" s="5">
        <f>IF($J882="","",IF($J882&lt;=1500,INDEX('Daily Sale entry '!$X$1:$X$1501,$J882+1),INDEX('Daily Sale entry '!$V$1:$V$1501,$J882-1499)))</f>
        <v/>
      </c>
      <c r="B882">
        <f>IF($J882="","",IF($J882&lt;=1500,INDEX('Daily Sale entry '!$Y$1:$Y$1501,$J882+1)&amp;"","Buyer cheque banked 买家支票存入"&amp;IF(INDEX('Daily Sale entry '!$U$1:$U$1501,$J882-1499)="","", " - "&amp;INDEX('Daily Sale entry '!$U$1:$U$1501,$J882-1499))))</f>
        <v/>
      </c>
      <c r="C882">
        <f>IF($J882="","",IF($J882&lt;=1500,INDEX('Daily Sale entry '!$Z$1:$Z$1501,$J882+1)&amp;"","Cheque deposit 支票存入 (buyer 买家)"))</f>
        <v/>
      </c>
      <c r="D882">
        <f>IF($J882="","",IF($J882&lt;=1500,INDEX('Daily Sale entry '!$AA$1:$AA$1501,$J882+1)&amp;"",INDEX('Daily Sale entry '!$P$1:$P$1501,$J882-1499)&amp;""))</f>
        <v/>
      </c>
      <c r="E882">
        <f>IF($J882="","",IF($J882&lt;=1500,IF(N(INDEX('Daily Sale entry '!$AB$1:$AB$1501,$J882+1))=0,"",INDEX('Daily Sale entry '!$AB$1:$AB$1501,$J882+1)),1))</f>
        <v/>
      </c>
      <c r="F882" s="6">
        <f>IF($J882="","",IF($J882&lt;=1500,N(INDEX('Daily Sale entry '!$AC$1:$AC$1501,$J882+1))-IF(AND('Opening Balance'!$B$15=1,INDEX('Daily Sale entry '!$Z$1:$Z$1501,$J882+1)="Online collection 网上收款",INDEX('Daily Sale entry '!$AA$1:$AA$1501,$J882+1)&lt;&gt;""),N(INDEX('Daily Sale entry '!$AC$1:$AC$1501,$J882+1))-TRUNC(N(INDEX('Daily Sale entry '!$AC$1:$AC$1501,$J882+1))),0),N(INDEX('Daily Sale entry '!$S$1:$S$1501,$J882-1499))-'Opening Balance'!$B$15*(N(INDEX('Daily Sale entry '!$S$1:$S$1501,$J882-1499))-TRUNC(N(INDEX('Daily Sale entry '!$S$1:$S$1501,$J882-1499))))))</f>
        <v/>
      </c>
      <c r="G882" s="6">
        <f>IF($J882="","",IF($J882&lt;=1500,N(INDEX('Daily Sale entry '!$AD$1:$AD$1501,$J882+1)),0))</f>
        <v/>
      </c>
      <c r="H882" s="6">
        <f>IF($J882="","",ROUND('Opening Balance'!$B$4+SUM($F$2:F882)-SUM($G$2:G882),2))</f>
        <v/>
      </c>
      <c r="J882" s="21">
        <f>IFERROR(MATCH(ROW()-1,$L$2:$L$3001,0),"")</f>
        <v/>
      </c>
      <c r="K882" s="34">
        <f>IF(AND('Daily Sale entry '!X882&lt;&gt;"",OR('Daily Sale entry '!AC882&lt;&gt;"",'Daily Sale entry '!AD882&lt;&gt;"")),'Daily Sale entry '!X882+ROW()/10000000,"")</f>
        <v/>
      </c>
      <c r="L882" s="21">
        <f>IF(K882="","",COUNTIF($K$2:$K$3001,"&lt;"&amp;K882)+1)</f>
        <v/>
      </c>
    </row>
    <row r="883">
      <c r="A883" s="5">
        <f>IF($J883="","",IF($J883&lt;=1500,INDEX('Daily Sale entry '!$X$1:$X$1501,$J883+1),INDEX('Daily Sale entry '!$V$1:$V$1501,$J883-1499)))</f>
        <v/>
      </c>
      <c r="B883">
        <f>IF($J883="","",IF($J883&lt;=1500,INDEX('Daily Sale entry '!$Y$1:$Y$1501,$J883+1)&amp;"","Buyer cheque banked 买家支票存入"&amp;IF(INDEX('Daily Sale entry '!$U$1:$U$1501,$J883-1499)="","", " - "&amp;INDEX('Daily Sale entry '!$U$1:$U$1501,$J883-1499))))</f>
        <v/>
      </c>
      <c r="C883">
        <f>IF($J883="","",IF($J883&lt;=1500,INDEX('Daily Sale entry '!$Z$1:$Z$1501,$J883+1)&amp;"","Cheque deposit 支票存入 (buyer 买家)"))</f>
        <v/>
      </c>
      <c r="D883">
        <f>IF($J883="","",IF($J883&lt;=1500,INDEX('Daily Sale entry '!$AA$1:$AA$1501,$J883+1)&amp;"",INDEX('Daily Sale entry '!$P$1:$P$1501,$J883-1499)&amp;""))</f>
        <v/>
      </c>
      <c r="E883">
        <f>IF($J883="","",IF($J883&lt;=1500,IF(N(INDEX('Daily Sale entry '!$AB$1:$AB$1501,$J883+1))=0,"",INDEX('Daily Sale entry '!$AB$1:$AB$1501,$J883+1)),1))</f>
        <v/>
      </c>
      <c r="F883" s="6">
        <f>IF($J883="","",IF($J883&lt;=1500,N(INDEX('Daily Sale entry '!$AC$1:$AC$1501,$J883+1))-IF(AND('Opening Balance'!$B$15=1,INDEX('Daily Sale entry '!$Z$1:$Z$1501,$J883+1)="Online collection 网上收款",INDEX('Daily Sale entry '!$AA$1:$AA$1501,$J883+1)&lt;&gt;""),N(INDEX('Daily Sale entry '!$AC$1:$AC$1501,$J883+1))-TRUNC(N(INDEX('Daily Sale entry '!$AC$1:$AC$1501,$J883+1))),0),N(INDEX('Daily Sale entry '!$S$1:$S$1501,$J883-1499))-'Opening Balance'!$B$15*(N(INDEX('Daily Sale entry '!$S$1:$S$1501,$J883-1499))-TRUNC(N(INDEX('Daily Sale entry '!$S$1:$S$1501,$J883-1499))))))</f>
        <v/>
      </c>
      <c r="G883" s="6">
        <f>IF($J883="","",IF($J883&lt;=1500,N(INDEX('Daily Sale entry '!$AD$1:$AD$1501,$J883+1)),0))</f>
        <v/>
      </c>
      <c r="H883" s="6">
        <f>IF($J883="","",ROUND('Opening Balance'!$B$4+SUM($F$2:F883)-SUM($G$2:G883),2))</f>
        <v/>
      </c>
      <c r="J883" s="21">
        <f>IFERROR(MATCH(ROW()-1,$L$2:$L$3001,0),"")</f>
        <v/>
      </c>
      <c r="K883" s="34">
        <f>IF(AND('Daily Sale entry '!X883&lt;&gt;"",OR('Daily Sale entry '!AC883&lt;&gt;"",'Daily Sale entry '!AD883&lt;&gt;"")),'Daily Sale entry '!X883+ROW()/10000000,"")</f>
        <v/>
      </c>
      <c r="L883" s="21">
        <f>IF(K883="","",COUNTIF($K$2:$K$3001,"&lt;"&amp;K883)+1)</f>
        <v/>
      </c>
    </row>
    <row r="884">
      <c r="A884" s="5">
        <f>IF($J884="","",IF($J884&lt;=1500,INDEX('Daily Sale entry '!$X$1:$X$1501,$J884+1),INDEX('Daily Sale entry '!$V$1:$V$1501,$J884-1499)))</f>
        <v/>
      </c>
      <c r="B884">
        <f>IF($J884="","",IF($J884&lt;=1500,INDEX('Daily Sale entry '!$Y$1:$Y$1501,$J884+1)&amp;"","Buyer cheque banked 买家支票存入"&amp;IF(INDEX('Daily Sale entry '!$U$1:$U$1501,$J884-1499)="","", " - "&amp;INDEX('Daily Sale entry '!$U$1:$U$1501,$J884-1499))))</f>
        <v/>
      </c>
      <c r="C884">
        <f>IF($J884="","",IF($J884&lt;=1500,INDEX('Daily Sale entry '!$Z$1:$Z$1501,$J884+1)&amp;"","Cheque deposit 支票存入 (buyer 买家)"))</f>
        <v/>
      </c>
      <c r="D884">
        <f>IF($J884="","",IF($J884&lt;=1500,INDEX('Daily Sale entry '!$AA$1:$AA$1501,$J884+1)&amp;"",INDEX('Daily Sale entry '!$P$1:$P$1501,$J884-1499)&amp;""))</f>
        <v/>
      </c>
      <c r="E884">
        <f>IF($J884="","",IF($J884&lt;=1500,IF(N(INDEX('Daily Sale entry '!$AB$1:$AB$1501,$J884+1))=0,"",INDEX('Daily Sale entry '!$AB$1:$AB$1501,$J884+1)),1))</f>
        <v/>
      </c>
      <c r="F884" s="6">
        <f>IF($J884="","",IF($J884&lt;=1500,N(INDEX('Daily Sale entry '!$AC$1:$AC$1501,$J884+1))-IF(AND('Opening Balance'!$B$15=1,INDEX('Daily Sale entry '!$Z$1:$Z$1501,$J884+1)="Online collection 网上收款",INDEX('Daily Sale entry '!$AA$1:$AA$1501,$J884+1)&lt;&gt;""),N(INDEX('Daily Sale entry '!$AC$1:$AC$1501,$J884+1))-TRUNC(N(INDEX('Daily Sale entry '!$AC$1:$AC$1501,$J884+1))),0),N(INDEX('Daily Sale entry '!$S$1:$S$1501,$J884-1499))-'Opening Balance'!$B$15*(N(INDEX('Daily Sale entry '!$S$1:$S$1501,$J884-1499))-TRUNC(N(INDEX('Daily Sale entry '!$S$1:$S$1501,$J884-1499))))))</f>
        <v/>
      </c>
      <c r="G884" s="6">
        <f>IF($J884="","",IF($J884&lt;=1500,N(INDEX('Daily Sale entry '!$AD$1:$AD$1501,$J884+1)),0))</f>
        <v/>
      </c>
      <c r="H884" s="6">
        <f>IF($J884="","",ROUND('Opening Balance'!$B$4+SUM($F$2:F884)-SUM($G$2:G884),2))</f>
        <v/>
      </c>
      <c r="J884" s="21">
        <f>IFERROR(MATCH(ROW()-1,$L$2:$L$3001,0),"")</f>
        <v/>
      </c>
      <c r="K884" s="34">
        <f>IF(AND('Daily Sale entry '!X884&lt;&gt;"",OR('Daily Sale entry '!AC884&lt;&gt;"",'Daily Sale entry '!AD884&lt;&gt;"")),'Daily Sale entry '!X884+ROW()/10000000,"")</f>
        <v/>
      </c>
      <c r="L884" s="21">
        <f>IF(K884="","",COUNTIF($K$2:$K$3001,"&lt;"&amp;K884)+1)</f>
        <v/>
      </c>
    </row>
    <row r="885">
      <c r="A885" s="5">
        <f>IF($J885="","",IF($J885&lt;=1500,INDEX('Daily Sale entry '!$X$1:$X$1501,$J885+1),INDEX('Daily Sale entry '!$V$1:$V$1501,$J885-1499)))</f>
        <v/>
      </c>
      <c r="B885">
        <f>IF($J885="","",IF($J885&lt;=1500,INDEX('Daily Sale entry '!$Y$1:$Y$1501,$J885+1)&amp;"","Buyer cheque banked 买家支票存入"&amp;IF(INDEX('Daily Sale entry '!$U$1:$U$1501,$J885-1499)="","", " - "&amp;INDEX('Daily Sale entry '!$U$1:$U$1501,$J885-1499))))</f>
        <v/>
      </c>
      <c r="C885">
        <f>IF($J885="","",IF($J885&lt;=1500,INDEX('Daily Sale entry '!$Z$1:$Z$1501,$J885+1)&amp;"","Cheque deposit 支票存入 (buyer 买家)"))</f>
        <v/>
      </c>
      <c r="D885">
        <f>IF($J885="","",IF($J885&lt;=1500,INDEX('Daily Sale entry '!$AA$1:$AA$1501,$J885+1)&amp;"",INDEX('Daily Sale entry '!$P$1:$P$1501,$J885-1499)&amp;""))</f>
        <v/>
      </c>
      <c r="E885">
        <f>IF($J885="","",IF($J885&lt;=1500,IF(N(INDEX('Daily Sale entry '!$AB$1:$AB$1501,$J885+1))=0,"",INDEX('Daily Sale entry '!$AB$1:$AB$1501,$J885+1)),1))</f>
        <v/>
      </c>
      <c r="F885" s="6">
        <f>IF($J885="","",IF($J885&lt;=1500,N(INDEX('Daily Sale entry '!$AC$1:$AC$1501,$J885+1))-IF(AND('Opening Balance'!$B$15=1,INDEX('Daily Sale entry '!$Z$1:$Z$1501,$J885+1)="Online collection 网上收款",INDEX('Daily Sale entry '!$AA$1:$AA$1501,$J885+1)&lt;&gt;""),N(INDEX('Daily Sale entry '!$AC$1:$AC$1501,$J885+1))-TRUNC(N(INDEX('Daily Sale entry '!$AC$1:$AC$1501,$J885+1))),0),N(INDEX('Daily Sale entry '!$S$1:$S$1501,$J885-1499))-'Opening Balance'!$B$15*(N(INDEX('Daily Sale entry '!$S$1:$S$1501,$J885-1499))-TRUNC(N(INDEX('Daily Sale entry '!$S$1:$S$1501,$J885-1499))))))</f>
        <v/>
      </c>
      <c r="G885" s="6">
        <f>IF($J885="","",IF($J885&lt;=1500,N(INDEX('Daily Sale entry '!$AD$1:$AD$1501,$J885+1)),0))</f>
        <v/>
      </c>
      <c r="H885" s="6">
        <f>IF($J885="","",ROUND('Opening Balance'!$B$4+SUM($F$2:F885)-SUM($G$2:G885),2))</f>
        <v/>
      </c>
      <c r="J885" s="21">
        <f>IFERROR(MATCH(ROW()-1,$L$2:$L$3001,0),"")</f>
        <v/>
      </c>
      <c r="K885" s="34">
        <f>IF(AND('Daily Sale entry '!X885&lt;&gt;"",OR('Daily Sale entry '!AC885&lt;&gt;"",'Daily Sale entry '!AD885&lt;&gt;"")),'Daily Sale entry '!X885+ROW()/10000000,"")</f>
        <v/>
      </c>
      <c r="L885" s="21">
        <f>IF(K885="","",COUNTIF($K$2:$K$3001,"&lt;"&amp;K885)+1)</f>
        <v/>
      </c>
    </row>
    <row r="886">
      <c r="A886" s="5">
        <f>IF($J886="","",IF($J886&lt;=1500,INDEX('Daily Sale entry '!$X$1:$X$1501,$J886+1),INDEX('Daily Sale entry '!$V$1:$V$1501,$J886-1499)))</f>
        <v/>
      </c>
      <c r="B886">
        <f>IF($J886="","",IF($J886&lt;=1500,INDEX('Daily Sale entry '!$Y$1:$Y$1501,$J886+1)&amp;"","Buyer cheque banked 买家支票存入"&amp;IF(INDEX('Daily Sale entry '!$U$1:$U$1501,$J886-1499)="","", " - "&amp;INDEX('Daily Sale entry '!$U$1:$U$1501,$J886-1499))))</f>
        <v/>
      </c>
      <c r="C886">
        <f>IF($J886="","",IF($J886&lt;=1500,INDEX('Daily Sale entry '!$Z$1:$Z$1501,$J886+1)&amp;"","Cheque deposit 支票存入 (buyer 买家)"))</f>
        <v/>
      </c>
      <c r="D886">
        <f>IF($J886="","",IF($J886&lt;=1500,INDEX('Daily Sale entry '!$AA$1:$AA$1501,$J886+1)&amp;"",INDEX('Daily Sale entry '!$P$1:$P$1501,$J886-1499)&amp;""))</f>
        <v/>
      </c>
      <c r="E886">
        <f>IF($J886="","",IF($J886&lt;=1500,IF(N(INDEX('Daily Sale entry '!$AB$1:$AB$1501,$J886+1))=0,"",INDEX('Daily Sale entry '!$AB$1:$AB$1501,$J886+1)),1))</f>
        <v/>
      </c>
      <c r="F886" s="6">
        <f>IF($J886="","",IF($J886&lt;=1500,N(INDEX('Daily Sale entry '!$AC$1:$AC$1501,$J886+1))-IF(AND('Opening Balance'!$B$15=1,INDEX('Daily Sale entry '!$Z$1:$Z$1501,$J886+1)="Online collection 网上收款",INDEX('Daily Sale entry '!$AA$1:$AA$1501,$J886+1)&lt;&gt;""),N(INDEX('Daily Sale entry '!$AC$1:$AC$1501,$J886+1))-TRUNC(N(INDEX('Daily Sale entry '!$AC$1:$AC$1501,$J886+1))),0),N(INDEX('Daily Sale entry '!$S$1:$S$1501,$J886-1499))-'Opening Balance'!$B$15*(N(INDEX('Daily Sale entry '!$S$1:$S$1501,$J886-1499))-TRUNC(N(INDEX('Daily Sale entry '!$S$1:$S$1501,$J886-1499))))))</f>
        <v/>
      </c>
      <c r="G886" s="6">
        <f>IF($J886="","",IF($J886&lt;=1500,N(INDEX('Daily Sale entry '!$AD$1:$AD$1501,$J886+1)),0))</f>
        <v/>
      </c>
      <c r="H886" s="6">
        <f>IF($J886="","",ROUND('Opening Balance'!$B$4+SUM($F$2:F886)-SUM($G$2:G886),2))</f>
        <v/>
      </c>
      <c r="J886" s="21">
        <f>IFERROR(MATCH(ROW()-1,$L$2:$L$3001,0),"")</f>
        <v/>
      </c>
      <c r="K886" s="34">
        <f>IF(AND('Daily Sale entry '!X886&lt;&gt;"",OR('Daily Sale entry '!AC886&lt;&gt;"",'Daily Sale entry '!AD886&lt;&gt;"")),'Daily Sale entry '!X886+ROW()/10000000,"")</f>
        <v/>
      </c>
      <c r="L886" s="21">
        <f>IF(K886="","",COUNTIF($K$2:$K$3001,"&lt;"&amp;K886)+1)</f>
        <v/>
      </c>
    </row>
    <row r="887">
      <c r="A887" s="5">
        <f>IF($J887="","",IF($J887&lt;=1500,INDEX('Daily Sale entry '!$X$1:$X$1501,$J887+1),INDEX('Daily Sale entry '!$V$1:$V$1501,$J887-1499)))</f>
        <v/>
      </c>
      <c r="B887">
        <f>IF($J887="","",IF($J887&lt;=1500,INDEX('Daily Sale entry '!$Y$1:$Y$1501,$J887+1)&amp;"","Buyer cheque banked 买家支票存入"&amp;IF(INDEX('Daily Sale entry '!$U$1:$U$1501,$J887-1499)="","", " - "&amp;INDEX('Daily Sale entry '!$U$1:$U$1501,$J887-1499))))</f>
        <v/>
      </c>
      <c r="C887">
        <f>IF($J887="","",IF($J887&lt;=1500,INDEX('Daily Sale entry '!$Z$1:$Z$1501,$J887+1)&amp;"","Cheque deposit 支票存入 (buyer 买家)"))</f>
        <v/>
      </c>
      <c r="D887">
        <f>IF($J887="","",IF($J887&lt;=1500,INDEX('Daily Sale entry '!$AA$1:$AA$1501,$J887+1)&amp;"",INDEX('Daily Sale entry '!$P$1:$P$1501,$J887-1499)&amp;""))</f>
        <v/>
      </c>
      <c r="E887">
        <f>IF($J887="","",IF($J887&lt;=1500,IF(N(INDEX('Daily Sale entry '!$AB$1:$AB$1501,$J887+1))=0,"",INDEX('Daily Sale entry '!$AB$1:$AB$1501,$J887+1)),1))</f>
        <v/>
      </c>
      <c r="F887" s="6">
        <f>IF($J887="","",IF($J887&lt;=1500,N(INDEX('Daily Sale entry '!$AC$1:$AC$1501,$J887+1))-IF(AND('Opening Balance'!$B$15=1,INDEX('Daily Sale entry '!$Z$1:$Z$1501,$J887+1)="Online collection 网上收款",INDEX('Daily Sale entry '!$AA$1:$AA$1501,$J887+1)&lt;&gt;""),N(INDEX('Daily Sale entry '!$AC$1:$AC$1501,$J887+1))-TRUNC(N(INDEX('Daily Sale entry '!$AC$1:$AC$1501,$J887+1))),0),N(INDEX('Daily Sale entry '!$S$1:$S$1501,$J887-1499))-'Opening Balance'!$B$15*(N(INDEX('Daily Sale entry '!$S$1:$S$1501,$J887-1499))-TRUNC(N(INDEX('Daily Sale entry '!$S$1:$S$1501,$J887-1499))))))</f>
        <v/>
      </c>
      <c r="G887" s="6">
        <f>IF($J887="","",IF($J887&lt;=1500,N(INDEX('Daily Sale entry '!$AD$1:$AD$1501,$J887+1)),0))</f>
        <v/>
      </c>
      <c r="H887" s="6">
        <f>IF($J887="","",ROUND('Opening Balance'!$B$4+SUM($F$2:F887)-SUM($G$2:G887),2))</f>
        <v/>
      </c>
      <c r="J887" s="21">
        <f>IFERROR(MATCH(ROW()-1,$L$2:$L$3001,0),"")</f>
        <v/>
      </c>
      <c r="K887" s="34">
        <f>IF(AND('Daily Sale entry '!X887&lt;&gt;"",OR('Daily Sale entry '!AC887&lt;&gt;"",'Daily Sale entry '!AD887&lt;&gt;"")),'Daily Sale entry '!X887+ROW()/10000000,"")</f>
        <v/>
      </c>
      <c r="L887" s="21">
        <f>IF(K887="","",COUNTIF($K$2:$K$3001,"&lt;"&amp;K887)+1)</f>
        <v/>
      </c>
    </row>
    <row r="888">
      <c r="A888" s="5">
        <f>IF($J888="","",IF($J888&lt;=1500,INDEX('Daily Sale entry '!$X$1:$X$1501,$J888+1),INDEX('Daily Sale entry '!$V$1:$V$1501,$J888-1499)))</f>
        <v/>
      </c>
      <c r="B888">
        <f>IF($J888="","",IF($J888&lt;=1500,INDEX('Daily Sale entry '!$Y$1:$Y$1501,$J888+1)&amp;"","Buyer cheque banked 买家支票存入"&amp;IF(INDEX('Daily Sale entry '!$U$1:$U$1501,$J888-1499)="","", " - "&amp;INDEX('Daily Sale entry '!$U$1:$U$1501,$J888-1499))))</f>
        <v/>
      </c>
      <c r="C888">
        <f>IF($J888="","",IF($J888&lt;=1500,INDEX('Daily Sale entry '!$Z$1:$Z$1501,$J888+1)&amp;"","Cheque deposit 支票存入 (buyer 买家)"))</f>
        <v/>
      </c>
      <c r="D888">
        <f>IF($J888="","",IF($J888&lt;=1500,INDEX('Daily Sale entry '!$AA$1:$AA$1501,$J888+1)&amp;"",INDEX('Daily Sale entry '!$P$1:$P$1501,$J888-1499)&amp;""))</f>
        <v/>
      </c>
      <c r="E888">
        <f>IF($J888="","",IF($J888&lt;=1500,IF(N(INDEX('Daily Sale entry '!$AB$1:$AB$1501,$J888+1))=0,"",INDEX('Daily Sale entry '!$AB$1:$AB$1501,$J888+1)),1))</f>
        <v/>
      </c>
      <c r="F888" s="6">
        <f>IF($J888="","",IF($J888&lt;=1500,N(INDEX('Daily Sale entry '!$AC$1:$AC$1501,$J888+1))-IF(AND('Opening Balance'!$B$15=1,INDEX('Daily Sale entry '!$Z$1:$Z$1501,$J888+1)="Online collection 网上收款",INDEX('Daily Sale entry '!$AA$1:$AA$1501,$J888+1)&lt;&gt;""),N(INDEX('Daily Sale entry '!$AC$1:$AC$1501,$J888+1))-TRUNC(N(INDEX('Daily Sale entry '!$AC$1:$AC$1501,$J888+1))),0),N(INDEX('Daily Sale entry '!$S$1:$S$1501,$J888-1499))-'Opening Balance'!$B$15*(N(INDEX('Daily Sale entry '!$S$1:$S$1501,$J888-1499))-TRUNC(N(INDEX('Daily Sale entry '!$S$1:$S$1501,$J888-1499))))))</f>
        <v/>
      </c>
      <c r="G888" s="6">
        <f>IF($J888="","",IF($J888&lt;=1500,N(INDEX('Daily Sale entry '!$AD$1:$AD$1501,$J888+1)),0))</f>
        <v/>
      </c>
      <c r="H888" s="6">
        <f>IF($J888="","",ROUND('Opening Balance'!$B$4+SUM($F$2:F888)-SUM($G$2:G888),2))</f>
        <v/>
      </c>
      <c r="J888" s="21">
        <f>IFERROR(MATCH(ROW()-1,$L$2:$L$3001,0),"")</f>
        <v/>
      </c>
      <c r="K888" s="34">
        <f>IF(AND('Daily Sale entry '!X888&lt;&gt;"",OR('Daily Sale entry '!AC888&lt;&gt;"",'Daily Sale entry '!AD888&lt;&gt;"")),'Daily Sale entry '!X888+ROW()/10000000,"")</f>
        <v/>
      </c>
      <c r="L888" s="21">
        <f>IF(K888="","",COUNTIF($K$2:$K$3001,"&lt;"&amp;K888)+1)</f>
        <v/>
      </c>
    </row>
    <row r="889">
      <c r="A889" s="5">
        <f>IF($J889="","",IF($J889&lt;=1500,INDEX('Daily Sale entry '!$X$1:$X$1501,$J889+1),INDEX('Daily Sale entry '!$V$1:$V$1501,$J889-1499)))</f>
        <v/>
      </c>
      <c r="B889">
        <f>IF($J889="","",IF($J889&lt;=1500,INDEX('Daily Sale entry '!$Y$1:$Y$1501,$J889+1)&amp;"","Buyer cheque banked 买家支票存入"&amp;IF(INDEX('Daily Sale entry '!$U$1:$U$1501,$J889-1499)="","", " - "&amp;INDEX('Daily Sale entry '!$U$1:$U$1501,$J889-1499))))</f>
        <v/>
      </c>
      <c r="C889">
        <f>IF($J889="","",IF($J889&lt;=1500,INDEX('Daily Sale entry '!$Z$1:$Z$1501,$J889+1)&amp;"","Cheque deposit 支票存入 (buyer 买家)"))</f>
        <v/>
      </c>
      <c r="D889">
        <f>IF($J889="","",IF($J889&lt;=1500,INDEX('Daily Sale entry '!$AA$1:$AA$1501,$J889+1)&amp;"",INDEX('Daily Sale entry '!$P$1:$P$1501,$J889-1499)&amp;""))</f>
        <v/>
      </c>
      <c r="E889">
        <f>IF($J889="","",IF($J889&lt;=1500,IF(N(INDEX('Daily Sale entry '!$AB$1:$AB$1501,$J889+1))=0,"",INDEX('Daily Sale entry '!$AB$1:$AB$1501,$J889+1)),1))</f>
        <v/>
      </c>
      <c r="F889" s="6">
        <f>IF($J889="","",IF($J889&lt;=1500,N(INDEX('Daily Sale entry '!$AC$1:$AC$1501,$J889+1))-IF(AND('Opening Balance'!$B$15=1,INDEX('Daily Sale entry '!$Z$1:$Z$1501,$J889+1)="Online collection 网上收款",INDEX('Daily Sale entry '!$AA$1:$AA$1501,$J889+1)&lt;&gt;""),N(INDEX('Daily Sale entry '!$AC$1:$AC$1501,$J889+1))-TRUNC(N(INDEX('Daily Sale entry '!$AC$1:$AC$1501,$J889+1))),0),N(INDEX('Daily Sale entry '!$S$1:$S$1501,$J889-1499))-'Opening Balance'!$B$15*(N(INDEX('Daily Sale entry '!$S$1:$S$1501,$J889-1499))-TRUNC(N(INDEX('Daily Sale entry '!$S$1:$S$1501,$J889-1499))))))</f>
        <v/>
      </c>
      <c r="G889" s="6">
        <f>IF($J889="","",IF($J889&lt;=1500,N(INDEX('Daily Sale entry '!$AD$1:$AD$1501,$J889+1)),0))</f>
        <v/>
      </c>
      <c r="H889" s="6">
        <f>IF($J889="","",ROUND('Opening Balance'!$B$4+SUM($F$2:F889)-SUM($G$2:G889),2))</f>
        <v/>
      </c>
      <c r="J889" s="21">
        <f>IFERROR(MATCH(ROW()-1,$L$2:$L$3001,0),"")</f>
        <v/>
      </c>
      <c r="K889" s="34">
        <f>IF(AND('Daily Sale entry '!X889&lt;&gt;"",OR('Daily Sale entry '!AC889&lt;&gt;"",'Daily Sale entry '!AD889&lt;&gt;"")),'Daily Sale entry '!X889+ROW()/10000000,"")</f>
        <v/>
      </c>
      <c r="L889" s="21">
        <f>IF(K889="","",COUNTIF($K$2:$K$3001,"&lt;"&amp;K889)+1)</f>
        <v/>
      </c>
    </row>
    <row r="890">
      <c r="A890" s="5">
        <f>IF($J890="","",IF($J890&lt;=1500,INDEX('Daily Sale entry '!$X$1:$X$1501,$J890+1),INDEX('Daily Sale entry '!$V$1:$V$1501,$J890-1499)))</f>
        <v/>
      </c>
      <c r="B890">
        <f>IF($J890="","",IF($J890&lt;=1500,INDEX('Daily Sale entry '!$Y$1:$Y$1501,$J890+1)&amp;"","Buyer cheque banked 买家支票存入"&amp;IF(INDEX('Daily Sale entry '!$U$1:$U$1501,$J890-1499)="","", " - "&amp;INDEX('Daily Sale entry '!$U$1:$U$1501,$J890-1499))))</f>
        <v/>
      </c>
      <c r="C890">
        <f>IF($J890="","",IF($J890&lt;=1500,INDEX('Daily Sale entry '!$Z$1:$Z$1501,$J890+1)&amp;"","Cheque deposit 支票存入 (buyer 买家)"))</f>
        <v/>
      </c>
      <c r="D890">
        <f>IF($J890="","",IF($J890&lt;=1500,INDEX('Daily Sale entry '!$AA$1:$AA$1501,$J890+1)&amp;"",INDEX('Daily Sale entry '!$P$1:$P$1501,$J890-1499)&amp;""))</f>
        <v/>
      </c>
      <c r="E890">
        <f>IF($J890="","",IF($J890&lt;=1500,IF(N(INDEX('Daily Sale entry '!$AB$1:$AB$1501,$J890+1))=0,"",INDEX('Daily Sale entry '!$AB$1:$AB$1501,$J890+1)),1))</f>
        <v/>
      </c>
      <c r="F890" s="6">
        <f>IF($J890="","",IF($J890&lt;=1500,N(INDEX('Daily Sale entry '!$AC$1:$AC$1501,$J890+1))-IF(AND('Opening Balance'!$B$15=1,INDEX('Daily Sale entry '!$Z$1:$Z$1501,$J890+1)="Online collection 网上收款",INDEX('Daily Sale entry '!$AA$1:$AA$1501,$J890+1)&lt;&gt;""),N(INDEX('Daily Sale entry '!$AC$1:$AC$1501,$J890+1))-TRUNC(N(INDEX('Daily Sale entry '!$AC$1:$AC$1501,$J890+1))),0),N(INDEX('Daily Sale entry '!$S$1:$S$1501,$J890-1499))-'Opening Balance'!$B$15*(N(INDEX('Daily Sale entry '!$S$1:$S$1501,$J890-1499))-TRUNC(N(INDEX('Daily Sale entry '!$S$1:$S$1501,$J890-1499))))))</f>
        <v/>
      </c>
      <c r="G890" s="6">
        <f>IF($J890="","",IF($J890&lt;=1500,N(INDEX('Daily Sale entry '!$AD$1:$AD$1501,$J890+1)),0))</f>
        <v/>
      </c>
      <c r="H890" s="6">
        <f>IF($J890="","",ROUND('Opening Balance'!$B$4+SUM($F$2:F890)-SUM($G$2:G890),2))</f>
        <v/>
      </c>
      <c r="J890" s="21">
        <f>IFERROR(MATCH(ROW()-1,$L$2:$L$3001,0),"")</f>
        <v/>
      </c>
      <c r="K890" s="34">
        <f>IF(AND('Daily Sale entry '!X890&lt;&gt;"",OR('Daily Sale entry '!AC890&lt;&gt;"",'Daily Sale entry '!AD890&lt;&gt;"")),'Daily Sale entry '!X890+ROW()/10000000,"")</f>
        <v/>
      </c>
      <c r="L890" s="21">
        <f>IF(K890="","",COUNTIF($K$2:$K$3001,"&lt;"&amp;K890)+1)</f>
        <v/>
      </c>
    </row>
    <row r="891">
      <c r="A891" s="5">
        <f>IF($J891="","",IF($J891&lt;=1500,INDEX('Daily Sale entry '!$X$1:$X$1501,$J891+1),INDEX('Daily Sale entry '!$V$1:$V$1501,$J891-1499)))</f>
        <v/>
      </c>
      <c r="B891">
        <f>IF($J891="","",IF($J891&lt;=1500,INDEX('Daily Sale entry '!$Y$1:$Y$1501,$J891+1)&amp;"","Buyer cheque banked 买家支票存入"&amp;IF(INDEX('Daily Sale entry '!$U$1:$U$1501,$J891-1499)="","", " - "&amp;INDEX('Daily Sale entry '!$U$1:$U$1501,$J891-1499))))</f>
        <v/>
      </c>
      <c r="C891">
        <f>IF($J891="","",IF($J891&lt;=1500,INDEX('Daily Sale entry '!$Z$1:$Z$1501,$J891+1)&amp;"","Cheque deposit 支票存入 (buyer 买家)"))</f>
        <v/>
      </c>
      <c r="D891">
        <f>IF($J891="","",IF($J891&lt;=1500,INDEX('Daily Sale entry '!$AA$1:$AA$1501,$J891+1)&amp;"",INDEX('Daily Sale entry '!$P$1:$P$1501,$J891-1499)&amp;""))</f>
        <v/>
      </c>
      <c r="E891">
        <f>IF($J891="","",IF($J891&lt;=1500,IF(N(INDEX('Daily Sale entry '!$AB$1:$AB$1501,$J891+1))=0,"",INDEX('Daily Sale entry '!$AB$1:$AB$1501,$J891+1)),1))</f>
        <v/>
      </c>
      <c r="F891" s="6">
        <f>IF($J891="","",IF($J891&lt;=1500,N(INDEX('Daily Sale entry '!$AC$1:$AC$1501,$J891+1))-IF(AND('Opening Balance'!$B$15=1,INDEX('Daily Sale entry '!$Z$1:$Z$1501,$J891+1)="Online collection 网上收款",INDEX('Daily Sale entry '!$AA$1:$AA$1501,$J891+1)&lt;&gt;""),N(INDEX('Daily Sale entry '!$AC$1:$AC$1501,$J891+1))-TRUNC(N(INDEX('Daily Sale entry '!$AC$1:$AC$1501,$J891+1))),0),N(INDEX('Daily Sale entry '!$S$1:$S$1501,$J891-1499))-'Opening Balance'!$B$15*(N(INDEX('Daily Sale entry '!$S$1:$S$1501,$J891-1499))-TRUNC(N(INDEX('Daily Sale entry '!$S$1:$S$1501,$J891-1499))))))</f>
        <v/>
      </c>
      <c r="G891" s="6">
        <f>IF($J891="","",IF($J891&lt;=1500,N(INDEX('Daily Sale entry '!$AD$1:$AD$1501,$J891+1)),0))</f>
        <v/>
      </c>
      <c r="H891" s="6">
        <f>IF($J891="","",ROUND('Opening Balance'!$B$4+SUM($F$2:F891)-SUM($G$2:G891),2))</f>
        <v/>
      </c>
      <c r="J891" s="21">
        <f>IFERROR(MATCH(ROW()-1,$L$2:$L$3001,0),"")</f>
        <v/>
      </c>
      <c r="K891" s="34">
        <f>IF(AND('Daily Sale entry '!X891&lt;&gt;"",OR('Daily Sale entry '!AC891&lt;&gt;"",'Daily Sale entry '!AD891&lt;&gt;"")),'Daily Sale entry '!X891+ROW()/10000000,"")</f>
        <v/>
      </c>
      <c r="L891" s="21">
        <f>IF(K891="","",COUNTIF($K$2:$K$3001,"&lt;"&amp;K891)+1)</f>
        <v/>
      </c>
    </row>
    <row r="892">
      <c r="A892" s="5">
        <f>IF($J892="","",IF($J892&lt;=1500,INDEX('Daily Sale entry '!$X$1:$X$1501,$J892+1),INDEX('Daily Sale entry '!$V$1:$V$1501,$J892-1499)))</f>
        <v/>
      </c>
      <c r="B892">
        <f>IF($J892="","",IF($J892&lt;=1500,INDEX('Daily Sale entry '!$Y$1:$Y$1501,$J892+1)&amp;"","Buyer cheque banked 买家支票存入"&amp;IF(INDEX('Daily Sale entry '!$U$1:$U$1501,$J892-1499)="","", " - "&amp;INDEX('Daily Sale entry '!$U$1:$U$1501,$J892-1499))))</f>
        <v/>
      </c>
      <c r="C892">
        <f>IF($J892="","",IF($J892&lt;=1500,INDEX('Daily Sale entry '!$Z$1:$Z$1501,$J892+1)&amp;"","Cheque deposit 支票存入 (buyer 买家)"))</f>
        <v/>
      </c>
      <c r="D892">
        <f>IF($J892="","",IF($J892&lt;=1500,INDEX('Daily Sale entry '!$AA$1:$AA$1501,$J892+1)&amp;"",INDEX('Daily Sale entry '!$P$1:$P$1501,$J892-1499)&amp;""))</f>
        <v/>
      </c>
      <c r="E892">
        <f>IF($J892="","",IF($J892&lt;=1500,IF(N(INDEX('Daily Sale entry '!$AB$1:$AB$1501,$J892+1))=0,"",INDEX('Daily Sale entry '!$AB$1:$AB$1501,$J892+1)),1))</f>
        <v/>
      </c>
      <c r="F892" s="6">
        <f>IF($J892="","",IF($J892&lt;=1500,N(INDEX('Daily Sale entry '!$AC$1:$AC$1501,$J892+1))-IF(AND('Opening Balance'!$B$15=1,INDEX('Daily Sale entry '!$Z$1:$Z$1501,$J892+1)="Online collection 网上收款",INDEX('Daily Sale entry '!$AA$1:$AA$1501,$J892+1)&lt;&gt;""),N(INDEX('Daily Sale entry '!$AC$1:$AC$1501,$J892+1))-TRUNC(N(INDEX('Daily Sale entry '!$AC$1:$AC$1501,$J892+1))),0),N(INDEX('Daily Sale entry '!$S$1:$S$1501,$J892-1499))-'Opening Balance'!$B$15*(N(INDEX('Daily Sale entry '!$S$1:$S$1501,$J892-1499))-TRUNC(N(INDEX('Daily Sale entry '!$S$1:$S$1501,$J892-1499))))))</f>
        <v/>
      </c>
      <c r="G892" s="6">
        <f>IF($J892="","",IF($J892&lt;=1500,N(INDEX('Daily Sale entry '!$AD$1:$AD$1501,$J892+1)),0))</f>
        <v/>
      </c>
      <c r="H892" s="6">
        <f>IF($J892="","",ROUND('Opening Balance'!$B$4+SUM($F$2:F892)-SUM($G$2:G892),2))</f>
        <v/>
      </c>
      <c r="J892" s="21">
        <f>IFERROR(MATCH(ROW()-1,$L$2:$L$3001,0),"")</f>
        <v/>
      </c>
      <c r="K892" s="34">
        <f>IF(AND('Daily Sale entry '!X892&lt;&gt;"",OR('Daily Sale entry '!AC892&lt;&gt;"",'Daily Sale entry '!AD892&lt;&gt;"")),'Daily Sale entry '!X892+ROW()/10000000,"")</f>
        <v/>
      </c>
      <c r="L892" s="21">
        <f>IF(K892="","",COUNTIF($K$2:$K$3001,"&lt;"&amp;K892)+1)</f>
        <v/>
      </c>
    </row>
    <row r="893">
      <c r="A893" s="5">
        <f>IF($J893="","",IF($J893&lt;=1500,INDEX('Daily Sale entry '!$X$1:$X$1501,$J893+1),INDEX('Daily Sale entry '!$V$1:$V$1501,$J893-1499)))</f>
        <v/>
      </c>
      <c r="B893">
        <f>IF($J893="","",IF($J893&lt;=1500,INDEX('Daily Sale entry '!$Y$1:$Y$1501,$J893+1)&amp;"","Buyer cheque banked 买家支票存入"&amp;IF(INDEX('Daily Sale entry '!$U$1:$U$1501,$J893-1499)="","", " - "&amp;INDEX('Daily Sale entry '!$U$1:$U$1501,$J893-1499))))</f>
        <v/>
      </c>
      <c r="C893">
        <f>IF($J893="","",IF($J893&lt;=1500,INDEX('Daily Sale entry '!$Z$1:$Z$1501,$J893+1)&amp;"","Cheque deposit 支票存入 (buyer 买家)"))</f>
        <v/>
      </c>
      <c r="D893">
        <f>IF($J893="","",IF($J893&lt;=1500,INDEX('Daily Sale entry '!$AA$1:$AA$1501,$J893+1)&amp;"",INDEX('Daily Sale entry '!$P$1:$P$1501,$J893-1499)&amp;""))</f>
        <v/>
      </c>
      <c r="E893">
        <f>IF($J893="","",IF($J893&lt;=1500,IF(N(INDEX('Daily Sale entry '!$AB$1:$AB$1501,$J893+1))=0,"",INDEX('Daily Sale entry '!$AB$1:$AB$1501,$J893+1)),1))</f>
        <v/>
      </c>
      <c r="F893" s="6">
        <f>IF($J893="","",IF($J893&lt;=1500,N(INDEX('Daily Sale entry '!$AC$1:$AC$1501,$J893+1))-IF(AND('Opening Balance'!$B$15=1,INDEX('Daily Sale entry '!$Z$1:$Z$1501,$J893+1)="Online collection 网上收款",INDEX('Daily Sale entry '!$AA$1:$AA$1501,$J893+1)&lt;&gt;""),N(INDEX('Daily Sale entry '!$AC$1:$AC$1501,$J893+1))-TRUNC(N(INDEX('Daily Sale entry '!$AC$1:$AC$1501,$J893+1))),0),N(INDEX('Daily Sale entry '!$S$1:$S$1501,$J893-1499))-'Opening Balance'!$B$15*(N(INDEX('Daily Sale entry '!$S$1:$S$1501,$J893-1499))-TRUNC(N(INDEX('Daily Sale entry '!$S$1:$S$1501,$J893-1499))))))</f>
        <v/>
      </c>
      <c r="G893" s="6">
        <f>IF($J893="","",IF($J893&lt;=1500,N(INDEX('Daily Sale entry '!$AD$1:$AD$1501,$J893+1)),0))</f>
        <v/>
      </c>
      <c r="H893" s="6">
        <f>IF($J893="","",ROUND('Opening Balance'!$B$4+SUM($F$2:F893)-SUM($G$2:G893),2))</f>
        <v/>
      </c>
      <c r="J893" s="21">
        <f>IFERROR(MATCH(ROW()-1,$L$2:$L$3001,0),"")</f>
        <v/>
      </c>
      <c r="K893" s="34">
        <f>IF(AND('Daily Sale entry '!X893&lt;&gt;"",OR('Daily Sale entry '!AC893&lt;&gt;"",'Daily Sale entry '!AD893&lt;&gt;"")),'Daily Sale entry '!X893+ROW()/10000000,"")</f>
        <v/>
      </c>
      <c r="L893" s="21">
        <f>IF(K893="","",COUNTIF($K$2:$K$3001,"&lt;"&amp;K893)+1)</f>
        <v/>
      </c>
    </row>
    <row r="894">
      <c r="A894" s="5">
        <f>IF($J894="","",IF($J894&lt;=1500,INDEX('Daily Sale entry '!$X$1:$X$1501,$J894+1),INDEX('Daily Sale entry '!$V$1:$V$1501,$J894-1499)))</f>
        <v/>
      </c>
      <c r="B894">
        <f>IF($J894="","",IF($J894&lt;=1500,INDEX('Daily Sale entry '!$Y$1:$Y$1501,$J894+1)&amp;"","Buyer cheque banked 买家支票存入"&amp;IF(INDEX('Daily Sale entry '!$U$1:$U$1501,$J894-1499)="","", " - "&amp;INDEX('Daily Sale entry '!$U$1:$U$1501,$J894-1499))))</f>
        <v/>
      </c>
      <c r="C894">
        <f>IF($J894="","",IF($J894&lt;=1500,INDEX('Daily Sale entry '!$Z$1:$Z$1501,$J894+1)&amp;"","Cheque deposit 支票存入 (buyer 买家)"))</f>
        <v/>
      </c>
      <c r="D894">
        <f>IF($J894="","",IF($J894&lt;=1500,INDEX('Daily Sale entry '!$AA$1:$AA$1501,$J894+1)&amp;"",INDEX('Daily Sale entry '!$P$1:$P$1501,$J894-1499)&amp;""))</f>
        <v/>
      </c>
      <c r="E894">
        <f>IF($J894="","",IF($J894&lt;=1500,IF(N(INDEX('Daily Sale entry '!$AB$1:$AB$1501,$J894+1))=0,"",INDEX('Daily Sale entry '!$AB$1:$AB$1501,$J894+1)),1))</f>
        <v/>
      </c>
      <c r="F894" s="6">
        <f>IF($J894="","",IF($J894&lt;=1500,N(INDEX('Daily Sale entry '!$AC$1:$AC$1501,$J894+1))-IF(AND('Opening Balance'!$B$15=1,INDEX('Daily Sale entry '!$Z$1:$Z$1501,$J894+1)="Online collection 网上收款",INDEX('Daily Sale entry '!$AA$1:$AA$1501,$J894+1)&lt;&gt;""),N(INDEX('Daily Sale entry '!$AC$1:$AC$1501,$J894+1))-TRUNC(N(INDEX('Daily Sale entry '!$AC$1:$AC$1501,$J894+1))),0),N(INDEX('Daily Sale entry '!$S$1:$S$1501,$J894-1499))-'Opening Balance'!$B$15*(N(INDEX('Daily Sale entry '!$S$1:$S$1501,$J894-1499))-TRUNC(N(INDEX('Daily Sale entry '!$S$1:$S$1501,$J894-1499))))))</f>
        <v/>
      </c>
      <c r="G894" s="6">
        <f>IF($J894="","",IF($J894&lt;=1500,N(INDEX('Daily Sale entry '!$AD$1:$AD$1501,$J894+1)),0))</f>
        <v/>
      </c>
      <c r="H894" s="6">
        <f>IF($J894="","",ROUND('Opening Balance'!$B$4+SUM($F$2:F894)-SUM($G$2:G894),2))</f>
        <v/>
      </c>
      <c r="J894" s="21">
        <f>IFERROR(MATCH(ROW()-1,$L$2:$L$3001,0),"")</f>
        <v/>
      </c>
      <c r="K894" s="34">
        <f>IF(AND('Daily Sale entry '!X894&lt;&gt;"",OR('Daily Sale entry '!AC894&lt;&gt;"",'Daily Sale entry '!AD894&lt;&gt;"")),'Daily Sale entry '!X894+ROW()/10000000,"")</f>
        <v/>
      </c>
      <c r="L894" s="21">
        <f>IF(K894="","",COUNTIF($K$2:$K$3001,"&lt;"&amp;K894)+1)</f>
        <v/>
      </c>
    </row>
    <row r="895">
      <c r="A895" s="5">
        <f>IF($J895="","",IF($J895&lt;=1500,INDEX('Daily Sale entry '!$X$1:$X$1501,$J895+1),INDEX('Daily Sale entry '!$V$1:$V$1501,$J895-1499)))</f>
        <v/>
      </c>
      <c r="B895">
        <f>IF($J895="","",IF($J895&lt;=1500,INDEX('Daily Sale entry '!$Y$1:$Y$1501,$J895+1)&amp;"","Buyer cheque banked 买家支票存入"&amp;IF(INDEX('Daily Sale entry '!$U$1:$U$1501,$J895-1499)="","", " - "&amp;INDEX('Daily Sale entry '!$U$1:$U$1501,$J895-1499))))</f>
        <v/>
      </c>
      <c r="C895">
        <f>IF($J895="","",IF($J895&lt;=1500,INDEX('Daily Sale entry '!$Z$1:$Z$1501,$J895+1)&amp;"","Cheque deposit 支票存入 (buyer 买家)"))</f>
        <v/>
      </c>
      <c r="D895">
        <f>IF($J895="","",IF($J895&lt;=1500,INDEX('Daily Sale entry '!$AA$1:$AA$1501,$J895+1)&amp;"",INDEX('Daily Sale entry '!$P$1:$P$1501,$J895-1499)&amp;""))</f>
        <v/>
      </c>
      <c r="E895">
        <f>IF($J895="","",IF($J895&lt;=1500,IF(N(INDEX('Daily Sale entry '!$AB$1:$AB$1501,$J895+1))=0,"",INDEX('Daily Sale entry '!$AB$1:$AB$1501,$J895+1)),1))</f>
        <v/>
      </c>
      <c r="F895" s="6">
        <f>IF($J895="","",IF($J895&lt;=1500,N(INDEX('Daily Sale entry '!$AC$1:$AC$1501,$J895+1))-IF(AND('Opening Balance'!$B$15=1,INDEX('Daily Sale entry '!$Z$1:$Z$1501,$J895+1)="Online collection 网上收款",INDEX('Daily Sale entry '!$AA$1:$AA$1501,$J895+1)&lt;&gt;""),N(INDEX('Daily Sale entry '!$AC$1:$AC$1501,$J895+1))-TRUNC(N(INDEX('Daily Sale entry '!$AC$1:$AC$1501,$J895+1))),0),N(INDEX('Daily Sale entry '!$S$1:$S$1501,$J895-1499))-'Opening Balance'!$B$15*(N(INDEX('Daily Sale entry '!$S$1:$S$1501,$J895-1499))-TRUNC(N(INDEX('Daily Sale entry '!$S$1:$S$1501,$J895-1499))))))</f>
        <v/>
      </c>
      <c r="G895" s="6">
        <f>IF($J895="","",IF($J895&lt;=1500,N(INDEX('Daily Sale entry '!$AD$1:$AD$1501,$J895+1)),0))</f>
        <v/>
      </c>
      <c r="H895" s="6">
        <f>IF($J895="","",ROUND('Opening Balance'!$B$4+SUM($F$2:F895)-SUM($G$2:G895),2))</f>
        <v/>
      </c>
      <c r="J895" s="21">
        <f>IFERROR(MATCH(ROW()-1,$L$2:$L$3001,0),"")</f>
        <v/>
      </c>
      <c r="K895" s="34">
        <f>IF(AND('Daily Sale entry '!X895&lt;&gt;"",OR('Daily Sale entry '!AC895&lt;&gt;"",'Daily Sale entry '!AD895&lt;&gt;"")),'Daily Sale entry '!X895+ROW()/10000000,"")</f>
        <v/>
      </c>
      <c r="L895" s="21">
        <f>IF(K895="","",COUNTIF($K$2:$K$3001,"&lt;"&amp;K895)+1)</f>
        <v/>
      </c>
    </row>
    <row r="896">
      <c r="A896" s="5">
        <f>IF($J896="","",IF($J896&lt;=1500,INDEX('Daily Sale entry '!$X$1:$X$1501,$J896+1),INDEX('Daily Sale entry '!$V$1:$V$1501,$J896-1499)))</f>
        <v/>
      </c>
      <c r="B896">
        <f>IF($J896="","",IF($J896&lt;=1500,INDEX('Daily Sale entry '!$Y$1:$Y$1501,$J896+1)&amp;"","Buyer cheque banked 买家支票存入"&amp;IF(INDEX('Daily Sale entry '!$U$1:$U$1501,$J896-1499)="","", " - "&amp;INDEX('Daily Sale entry '!$U$1:$U$1501,$J896-1499))))</f>
        <v/>
      </c>
      <c r="C896">
        <f>IF($J896="","",IF($J896&lt;=1500,INDEX('Daily Sale entry '!$Z$1:$Z$1501,$J896+1)&amp;"","Cheque deposit 支票存入 (buyer 买家)"))</f>
        <v/>
      </c>
      <c r="D896">
        <f>IF($J896="","",IF($J896&lt;=1500,INDEX('Daily Sale entry '!$AA$1:$AA$1501,$J896+1)&amp;"",INDEX('Daily Sale entry '!$P$1:$P$1501,$J896-1499)&amp;""))</f>
        <v/>
      </c>
      <c r="E896">
        <f>IF($J896="","",IF($J896&lt;=1500,IF(N(INDEX('Daily Sale entry '!$AB$1:$AB$1501,$J896+1))=0,"",INDEX('Daily Sale entry '!$AB$1:$AB$1501,$J896+1)),1))</f>
        <v/>
      </c>
      <c r="F896" s="6">
        <f>IF($J896="","",IF($J896&lt;=1500,N(INDEX('Daily Sale entry '!$AC$1:$AC$1501,$J896+1))-IF(AND('Opening Balance'!$B$15=1,INDEX('Daily Sale entry '!$Z$1:$Z$1501,$J896+1)="Online collection 网上收款",INDEX('Daily Sale entry '!$AA$1:$AA$1501,$J896+1)&lt;&gt;""),N(INDEX('Daily Sale entry '!$AC$1:$AC$1501,$J896+1))-TRUNC(N(INDEX('Daily Sale entry '!$AC$1:$AC$1501,$J896+1))),0),N(INDEX('Daily Sale entry '!$S$1:$S$1501,$J896-1499))-'Opening Balance'!$B$15*(N(INDEX('Daily Sale entry '!$S$1:$S$1501,$J896-1499))-TRUNC(N(INDEX('Daily Sale entry '!$S$1:$S$1501,$J896-1499))))))</f>
        <v/>
      </c>
      <c r="G896" s="6">
        <f>IF($J896="","",IF($J896&lt;=1500,N(INDEX('Daily Sale entry '!$AD$1:$AD$1501,$J896+1)),0))</f>
        <v/>
      </c>
      <c r="H896" s="6">
        <f>IF($J896="","",ROUND('Opening Balance'!$B$4+SUM($F$2:F896)-SUM($G$2:G896),2))</f>
        <v/>
      </c>
      <c r="J896" s="21">
        <f>IFERROR(MATCH(ROW()-1,$L$2:$L$3001,0),"")</f>
        <v/>
      </c>
      <c r="K896" s="34">
        <f>IF(AND('Daily Sale entry '!X896&lt;&gt;"",OR('Daily Sale entry '!AC896&lt;&gt;"",'Daily Sale entry '!AD896&lt;&gt;"")),'Daily Sale entry '!X896+ROW()/10000000,"")</f>
        <v/>
      </c>
      <c r="L896" s="21">
        <f>IF(K896="","",COUNTIF($K$2:$K$3001,"&lt;"&amp;K896)+1)</f>
        <v/>
      </c>
    </row>
    <row r="897">
      <c r="A897" s="5">
        <f>IF($J897="","",IF($J897&lt;=1500,INDEX('Daily Sale entry '!$X$1:$X$1501,$J897+1),INDEX('Daily Sale entry '!$V$1:$V$1501,$J897-1499)))</f>
        <v/>
      </c>
      <c r="B897">
        <f>IF($J897="","",IF($J897&lt;=1500,INDEX('Daily Sale entry '!$Y$1:$Y$1501,$J897+1)&amp;"","Buyer cheque banked 买家支票存入"&amp;IF(INDEX('Daily Sale entry '!$U$1:$U$1501,$J897-1499)="","", " - "&amp;INDEX('Daily Sale entry '!$U$1:$U$1501,$J897-1499))))</f>
        <v/>
      </c>
      <c r="C897">
        <f>IF($J897="","",IF($J897&lt;=1500,INDEX('Daily Sale entry '!$Z$1:$Z$1501,$J897+1)&amp;"","Cheque deposit 支票存入 (buyer 买家)"))</f>
        <v/>
      </c>
      <c r="D897">
        <f>IF($J897="","",IF($J897&lt;=1500,INDEX('Daily Sale entry '!$AA$1:$AA$1501,$J897+1)&amp;"",INDEX('Daily Sale entry '!$P$1:$P$1501,$J897-1499)&amp;""))</f>
        <v/>
      </c>
      <c r="E897">
        <f>IF($J897="","",IF($J897&lt;=1500,IF(N(INDEX('Daily Sale entry '!$AB$1:$AB$1501,$J897+1))=0,"",INDEX('Daily Sale entry '!$AB$1:$AB$1501,$J897+1)),1))</f>
        <v/>
      </c>
      <c r="F897" s="6">
        <f>IF($J897="","",IF($J897&lt;=1500,N(INDEX('Daily Sale entry '!$AC$1:$AC$1501,$J897+1))-IF(AND('Opening Balance'!$B$15=1,INDEX('Daily Sale entry '!$Z$1:$Z$1501,$J897+1)="Online collection 网上收款",INDEX('Daily Sale entry '!$AA$1:$AA$1501,$J897+1)&lt;&gt;""),N(INDEX('Daily Sale entry '!$AC$1:$AC$1501,$J897+1))-TRUNC(N(INDEX('Daily Sale entry '!$AC$1:$AC$1501,$J897+1))),0),N(INDEX('Daily Sale entry '!$S$1:$S$1501,$J897-1499))-'Opening Balance'!$B$15*(N(INDEX('Daily Sale entry '!$S$1:$S$1501,$J897-1499))-TRUNC(N(INDEX('Daily Sale entry '!$S$1:$S$1501,$J897-1499))))))</f>
        <v/>
      </c>
      <c r="G897" s="6">
        <f>IF($J897="","",IF($J897&lt;=1500,N(INDEX('Daily Sale entry '!$AD$1:$AD$1501,$J897+1)),0))</f>
        <v/>
      </c>
      <c r="H897" s="6">
        <f>IF($J897="","",ROUND('Opening Balance'!$B$4+SUM($F$2:F897)-SUM($G$2:G897),2))</f>
        <v/>
      </c>
      <c r="J897" s="21">
        <f>IFERROR(MATCH(ROW()-1,$L$2:$L$3001,0),"")</f>
        <v/>
      </c>
      <c r="K897" s="34">
        <f>IF(AND('Daily Sale entry '!X897&lt;&gt;"",OR('Daily Sale entry '!AC897&lt;&gt;"",'Daily Sale entry '!AD897&lt;&gt;"")),'Daily Sale entry '!X897+ROW()/10000000,"")</f>
        <v/>
      </c>
      <c r="L897" s="21">
        <f>IF(K897="","",COUNTIF($K$2:$K$3001,"&lt;"&amp;K897)+1)</f>
        <v/>
      </c>
    </row>
    <row r="898">
      <c r="A898" s="5">
        <f>IF($J898="","",IF($J898&lt;=1500,INDEX('Daily Sale entry '!$X$1:$X$1501,$J898+1),INDEX('Daily Sale entry '!$V$1:$V$1501,$J898-1499)))</f>
        <v/>
      </c>
      <c r="B898">
        <f>IF($J898="","",IF($J898&lt;=1500,INDEX('Daily Sale entry '!$Y$1:$Y$1501,$J898+1)&amp;"","Buyer cheque banked 买家支票存入"&amp;IF(INDEX('Daily Sale entry '!$U$1:$U$1501,$J898-1499)="","", " - "&amp;INDEX('Daily Sale entry '!$U$1:$U$1501,$J898-1499))))</f>
        <v/>
      </c>
      <c r="C898">
        <f>IF($J898="","",IF($J898&lt;=1500,INDEX('Daily Sale entry '!$Z$1:$Z$1501,$J898+1)&amp;"","Cheque deposit 支票存入 (buyer 买家)"))</f>
        <v/>
      </c>
      <c r="D898">
        <f>IF($J898="","",IF($J898&lt;=1500,INDEX('Daily Sale entry '!$AA$1:$AA$1501,$J898+1)&amp;"",INDEX('Daily Sale entry '!$P$1:$P$1501,$J898-1499)&amp;""))</f>
        <v/>
      </c>
      <c r="E898">
        <f>IF($J898="","",IF($J898&lt;=1500,IF(N(INDEX('Daily Sale entry '!$AB$1:$AB$1501,$J898+1))=0,"",INDEX('Daily Sale entry '!$AB$1:$AB$1501,$J898+1)),1))</f>
        <v/>
      </c>
      <c r="F898" s="6">
        <f>IF($J898="","",IF($J898&lt;=1500,N(INDEX('Daily Sale entry '!$AC$1:$AC$1501,$J898+1))-IF(AND('Opening Balance'!$B$15=1,INDEX('Daily Sale entry '!$Z$1:$Z$1501,$J898+1)="Online collection 网上收款",INDEX('Daily Sale entry '!$AA$1:$AA$1501,$J898+1)&lt;&gt;""),N(INDEX('Daily Sale entry '!$AC$1:$AC$1501,$J898+1))-TRUNC(N(INDEX('Daily Sale entry '!$AC$1:$AC$1501,$J898+1))),0),N(INDEX('Daily Sale entry '!$S$1:$S$1501,$J898-1499))-'Opening Balance'!$B$15*(N(INDEX('Daily Sale entry '!$S$1:$S$1501,$J898-1499))-TRUNC(N(INDEX('Daily Sale entry '!$S$1:$S$1501,$J898-1499))))))</f>
        <v/>
      </c>
      <c r="G898" s="6">
        <f>IF($J898="","",IF($J898&lt;=1500,N(INDEX('Daily Sale entry '!$AD$1:$AD$1501,$J898+1)),0))</f>
        <v/>
      </c>
      <c r="H898" s="6">
        <f>IF($J898="","",ROUND('Opening Balance'!$B$4+SUM($F$2:F898)-SUM($G$2:G898),2))</f>
        <v/>
      </c>
      <c r="J898" s="21">
        <f>IFERROR(MATCH(ROW()-1,$L$2:$L$3001,0),"")</f>
        <v/>
      </c>
      <c r="K898" s="34">
        <f>IF(AND('Daily Sale entry '!X898&lt;&gt;"",OR('Daily Sale entry '!AC898&lt;&gt;"",'Daily Sale entry '!AD898&lt;&gt;"")),'Daily Sale entry '!X898+ROW()/10000000,"")</f>
        <v/>
      </c>
      <c r="L898" s="21">
        <f>IF(K898="","",COUNTIF($K$2:$K$3001,"&lt;"&amp;K898)+1)</f>
        <v/>
      </c>
    </row>
    <row r="899">
      <c r="A899" s="5">
        <f>IF($J899="","",IF($J899&lt;=1500,INDEX('Daily Sale entry '!$X$1:$X$1501,$J899+1),INDEX('Daily Sale entry '!$V$1:$V$1501,$J899-1499)))</f>
        <v/>
      </c>
      <c r="B899">
        <f>IF($J899="","",IF($J899&lt;=1500,INDEX('Daily Sale entry '!$Y$1:$Y$1501,$J899+1)&amp;"","Buyer cheque banked 买家支票存入"&amp;IF(INDEX('Daily Sale entry '!$U$1:$U$1501,$J899-1499)="","", " - "&amp;INDEX('Daily Sale entry '!$U$1:$U$1501,$J899-1499))))</f>
        <v/>
      </c>
      <c r="C899">
        <f>IF($J899="","",IF($J899&lt;=1500,INDEX('Daily Sale entry '!$Z$1:$Z$1501,$J899+1)&amp;"","Cheque deposit 支票存入 (buyer 买家)"))</f>
        <v/>
      </c>
      <c r="D899">
        <f>IF($J899="","",IF($J899&lt;=1500,INDEX('Daily Sale entry '!$AA$1:$AA$1501,$J899+1)&amp;"",INDEX('Daily Sale entry '!$P$1:$P$1501,$J899-1499)&amp;""))</f>
        <v/>
      </c>
      <c r="E899">
        <f>IF($J899="","",IF($J899&lt;=1500,IF(N(INDEX('Daily Sale entry '!$AB$1:$AB$1501,$J899+1))=0,"",INDEX('Daily Sale entry '!$AB$1:$AB$1501,$J899+1)),1))</f>
        <v/>
      </c>
      <c r="F899" s="6">
        <f>IF($J899="","",IF($J899&lt;=1500,N(INDEX('Daily Sale entry '!$AC$1:$AC$1501,$J899+1))-IF(AND('Opening Balance'!$B$15=1,INDEX('Daily Sale entry '!$Z$1:$Z$1501,$J899+1)="Online collection 网上收款",INDEX('Daily Sale entry '!$AA$1:$AA$1501,$J899+1)&lt;&gt;""),N(INDEX('Daily Sale entry '!$AC$1:$AC$1501,$J899+1))-TRUNC(N(INDEX('Daily Sale entry '!$AC$1:$AC$1501,$J899+1))),0),N(INDEX('Daily Sale entry '!$S$1:$S$1501,$J899-1499))-'Opening Balance'!$B$15*(N(INDEX('Daily Sale entry '!$S$1:$S$1501,$J899-1499))-TRUNC(N(INDEX('Daily Sale entry '!$S$1:$S$1501,$J899-1499))))))</f>
        <v/>
      </c>
      <c r="G899" s="6">
        <f>IF($J899="","",IF($J899&lt;=1500,N(INDEX('Daily Sale entry '!$AD$1:$AD$1501,$J899+1)),0))</f>
        <v/>
      </c>
      <c r="H899" s="6">
        <f>IF($J899="","",ROUND('Opening Balance'!$B$4+SUM($F$2:F899)-SUM($G$2:G899),2))</f>
        <v/>
      </c>
      <c r="J899" s="21">
        <f>IFERROR(MATCH(ROW()-1,$L$2:$L$3001,0),"")</f>
        <v/>
      </c>
      <c r="K899" s="34">
        <f>IF(AND('Daily Sale entry '!X899&lt;&gt;"",OR('Daily Sale entry '!AC899&lt;&gt;"",'Daily Sale entry '!AD899&lt;&gt;"")),'Daily Sale entry '!X899+ROW()/10000000,"")</f>
        <v/>
      </c>
      <c r="L899" s="21">
        <f>IF(K899="","",COUNTIF($K$2:$K$3001,"&lt;"&amp;K899)+1)</f>
        <v/>
      </c>
    </row>
    <row r="900">
      <c r="A900" s="5">
        <f>IF($J900="","",IF($J900&lt;=1500,INDEX('Daily Sale entry '!$X$1:$X$1501,$J900+1),INDEX('Daily Sale entry '!$V$1:$V$1501,$J900-1499)))</f>
        <v/>
      </c>
      <c r="B900">
        <f>IF($J900="","",IF($J900&lt;=1500,INDEX('Daily Sale entry '!$Y$1:$Y$1501,$J900+1)&amp;"","Buyer cheque banked 买家支票存入"&amp;IF(INDEX('Daily Sale entry '!$U$1:$U$1501,$J900-1499)="","", " - "&amp;INDEX('Daily Sale entry '!$U$1:$U$1501,$J900-1499))))</f>
        <v/>
      </c>
      <c r="C900">
        <f>IF($J900="","",IF($J900&lt;=1500,INDEX('Daily Sale entry '!$Z$1:$Z$1501,$J900+1)&amp;"","Cheque deposit 支票存入 (buyer 买家)"))</f>
        <v/>
      </c>
      <c r="D900">
        <f>IF($J900="","",IF($J900&lt;=1500,INDEX('Daily Sale entry '!$AA$1:$AA$1501,$J900+1)&amp;"",INDEX('Daily Sale entry '!$P$1:$P$1501,$J900-1499)&amp;""))</f>
        <v/>
      </c>
      <c r="E900">
        <f>IF($J900="","",IF($J900&lt;=1500,IF(N(INDEX('Daily Sale entry '!$AB$1:$AB$1501,$J900+1))=0,"",INDEX('Daily Sale entry '!$AB$1:$AB$1501,$J900+1)),1))</f>
        <v/>
      </c>
      <c r="F900" s="6">
        <f>IF($J900="","",IF($J900&lt;=1500,N(INDEX('Daily Sale entry '!$AC$1:$AC$1501,$J900+1))-IF(AND('Opening Balance'!$B$15=1,INDEX('Daily Sale entry '!$Z$1:$Z$1501,$J900+1)="Online collection 网上收款",INDEX('Daily Sale entry '!$AA$1:$AA$1501,$J900+1)&lt;&gt;""),N(INDEX('Daily Sale entry '!$AC$1:$AC$1501,$J900+1))-TRUNC(N(INDEX('Daily Sale entry '!$AC$1:$AC$1501,$J900+1))),0),N(INDEX('Daily Sale entry '!$S$1:$S$1501,$J900-1499))-'Opening Balance'!$B$15*(N(INDEX('Daily Sale entry '!$S$1:$S$1501,$J900-1499))-TRUNC(N(INDEX('Daily Sale entry '!$S$1:$S$1501,$J900-1499))))))</f>
        <v/>
      </c>
      <c r="G900" s="6">
        <f>IF($J900="","",IF($J900&lt;=1500,N(INDEX('Daily Sale entry '!$AD$1:$AD$1501,$J900+1)),0))</f>
        <v/>
      </c>
      <c r="H900" s="6">
        <f>IF($J900="","",ROUND('Opening Balance'!$B$4+SUM($F$2:F900)-SUM($G$2:G900),2))</f>
        <v/>
      </c>
      <c r="J900" s="21">
        <f>IFERROR(MATCH(ROW()-1,$L$2:$L$3001,0),"")</f>
        <v/>
      </c>
      <c r="K900" s="34">
        <f>IF(AND('Daily Sale entry '!X900&lt;&gt;"",OR('Daily Sale entry '!AC900&lt;&gt;"",'Daily Sale entry '!AD900&lt;&gt;"")),'Daily Sale entry '!X900+ROW()/10000000,"")</f>
        <v/>
      </c>
      <c r="L900" s="21">
        <f>IF(K900="","",COUNTIF($K$2:$K$3001,"&lt;"&amp;K900)+1)</f>
        <v/>
      </c>
    </row>
    <row r="901">
      <c r="A901" s="5">
        <f>IF($J901="","",IF($J901&lt;=1500,INDEX('Daily Sale entry '!$X$1:$X$1501,$J901+1),INDEX('Daily Sale entry '!$V$1:$V$1501,$J901-1499)))</f>
        <v/>
      </c>
      <c r="B901">
        <f>IF($J901="","",IF($J901&lt;=1500,INDEX('Daily Sale entry '!$Y$1:$Y$1501,$J901+1)&amp;"","Buyer cheque banked 买家支票存入"&amp;IF(INDEX('Daily Sale entry '!$U$1:$U$1501,$J901-1499)="","", " - "&amp;INDEX('Daily Sale entry '!$U$1:$U$1501,$J901-1499))))</f>
        <v/>
      </c>
      <c r="C901">
        <f>IF($J901="","",IF($J901&lt;=1500,INDEX('Daily Sale entry '!$Z$1:$Z$1501,$J901+1)&amp;"","Cheque deposit 支票存入 (buyer 买家)"))</f>
        <v/>
      </c>
      <c r="D901">
        <f>IF($J901="","",IF($J901&lt;=1500,INDEX('Daily Sale entry '!$AA$1:$AA$1501,$J901+1)&amp;"",INDEX('Daily Sale entry '!$P$1:$P$1501,$J901-1499)&amp;""))</f>
        <v/>
      </c>
      <c r="E901">
        <f>IF($J901="","",IF($J901&lt;=1500,IF(N(INDEX('Daily Sale entry '!$AB$1:$AB$1501,$J901+1))=0,"",INDEX('Daily Sale entry '!$AB$1:$AB$1501,$J901+1)),1))</f>
        <v/>
      </c>
      <c r="F901" s="6">
        <f>IF($J901="","",IF($J901&lt;=1500,N(INDEX('Daily Sale entry '!$AC$1:$AC$1501,$J901+1))-IF(AND('Opening Balance'!$B$15=1,INDEX('Daily Sale entry '!$Z$1:$Z$1501,$J901+1)="Online collection 网上收款",INDEX('Daily Sale entry '!$AA$1:$AA$1501,$J901+1)&lt;&gt;""),N(INDEX('Daily Sale entry '!$AC$1:$AC$1501,$J901+1))-TRUNC(N(INDEX('Daily Sale entry '!$AC$1:$AC$1501,$J901+1))),0),N(INDEX('Daily Sale entry '!$S$1:$S$1501,$J901-1499))-'Opening Balance'!$B$15*(N(INDEX('Daily Sale entry '!$S$1:$S$1501,$J901-1499))-TRUNC(N(INDEX('Daily Sale entry '!$S$1:$S$1501,$J901-1499))))))</f>
        <v/>
      </c>
      <c r="G901" s="6">
        <f>IF($J901="","",IF($J901&lt;=1500,N(INDEX('Daily Sale entry '!$AD$1:$AD$1501,$J901+1)),0))</f>
        <v/>
      </c>
      <c r="H901" s="6">
        <f>IF($J901="","",ROUND('Opening Balance'!$B$4+SUM($F$2:F901)-SUM($G$2:G901),2))</f>
        <v/>
      </c>
      <c r="J901" s="21">
        <f>IFERROR(MATCH(ROW()-1,$L$2:$L$3001,0),"")</f>
        <v/>
      </c>
      <c r="K901" s="34">
        <f>IF(AND('Daily Sale entry '!X901&lt;&gt;"",OR('Daily Sale entry '!AC901&lt;&gt;"",'Daily Sale entry '!AD901&lt;&gt;"")),'Daily Sale entry '!X901+ROW()/10000000,"")</f>
        <v/>
      </c>
      <c r="L901" s="21">
        <f>IF(K901="","",COUNTIF($K$2:$K$3001,"&lt;"&amp;K901)+1)</f>
        <v/>
      </c>
    </row>
    <row r="902">
      <c r="A902" s="5">
        <f>IF($J902="","",IF($J902&lt;=1500,INDEX('Daily Sale entry '!$X$1:$X$1501,$J902+1),INDEX('Daily Sale entry '!$V$1:$V$1501,$J902-1499)))</f>
        <v/>
      </c>
      <c r="B902">
        <f>IF($J902="","",IF($J902&lt;=1500,INDEX('Daily Sale entry '!$Y$1:$Y$1501,$J902+1)&amp;"","Buyer cheque banked 买家支票存入"&amp;IF(INDEX('Daily Sale entry '!$U$1:$U$1501,$J902-1499)="","", " - "&amp;INDEX('Daily Sale entry '!$U$1:$U$1501,$J902-1499))))</f>
        <v/>
      </c>
      <c r="C902">
        <f>IF($J902="","",IF($J902&lt;=1500,INDEX('Daily Sale entry '!$Z$1:$Z$1501,$J902+1)&amp;"","Cheque deposit 支票存入 (buyer 买家)"))</f>
        <v/>
      </c>
      <c r="D902">
        <f>IF($J902="","",IF($J902&lt;=1500,INDEX('Daily Sale entry '!$AA$1:$AA$1501,$J902+1)&amp;"",INDEX('Daily Sale entry '!$P$1:$P$1501,$J902-1499)&amp;""))</f>
        <v/>
      </c>
      <c r="E902">
        <f>IF($J902="","",IF($J902&lt;=1500,IF(N(INDEX('Daily Sale entry '!$AB$1:$AB$1501,$J902+1))=0,"",INDEX('Daily Sale entry '!$AB$1:$AB$1501,$J902+1)),1))</f>
        <v/>
      </c>
      <c r="F902" s="6">
        <f>IF($J902="","",IF($J902&lt;=1500,N(INDEX('Daily Sale entry '!$AC$1:$AC$1501,$J902+1))-IF(AND('Opening Balance'!$B$15=1,INDEX('Daily Sale entry '!$Z$1:$Z$1501,$J902+1)="Online collection 网上收款",INDEX('Daily Sale entry '!$AA$1:$AA$1501,$J902+1)&lt;&gt;""),N(INDEX('Daily Sale entry '!$AC$1:$AC$1501,$J902+1))-TRUNC(N(INDEX('Daily Sale entry '!$AC$1:$AC$1501,$J902+1))),0),N(INDEX('Daily Sale entry '!$S$1:$S$1501,$J902-1499))-'Opening Balance'!$B$15*(N(INDEX('Daily Sale entry '!$S$1:$S$1501,$J902-1499))-TRUNC(N(INDEX('Daily Sale entry '!$S$1:$S$1501,$J902-1499))))))</f>
        <v/>
      </c>
      <c r="G902" s="6">
        <f>IF($J902="","",IF($J902&lt;=1500,N(INDEX('Daily Sale entry '!$AD$1:$AD$1501,$J902+1)),0))</f>
        <v/>
      </c>
      <c r="H902" s="6">
        <f>IF($J902="","",ROUND('Opening Balance'!$B$4+SUM($F$2:F902)-SUM($G$2:G902),2))</f>
        <v/>
      </c>
      <c r="J902" s="21">
        <f>IFERROR(MATCH(ROW()-1,$L$2:$L$3001,0),"")</f>
        <v/>
      </c>
      <c r="K902" s="34">
        <f>IF(AND('Daily Sale entry '!X902&lt;&gt;"",OR('Daily Sale entry '!AC902&lt;&gt;"",'Daily Sale entry '!AD902&lt;&gt;"")),'Daily Sale entry '!X902+ROW()/10000000,"")</f>
        <v/>
      </c>
      <c r="L902" s="21">
        <f>IF(K902="","",COUNTIF($K$2:$K$3001,"&lt;"&amp;K902)+1)</f>
        <v/>
      </c>
    </row>
    <row r="903">
      <c r="A903" s="5">
        <f>IF($J903="","",IF($J903&lt;=1500,INDEX('Daily Sale entry '!$X$1:$X$1501,$J903+1),INDEX('Daily Sale entry '!$V$1:$V$1501,$J903-1499)))</f>
        <v/>
      </c>
      <c r="B903">
        <f>IF($J903="","",IF($J903&lt;=1500,INDEX('Daily Sale entry '!$Y$1:$Y$1501,$J903+1)&amp;"","Buyer cheque banked 买家支票存入"&amp;IF(INDEX('Daily Sale entry '!$U$1:$U$1501,$J903-1499)="","", " - "&amp;INDEX('Daily Sale entry '!$U$1:$U$1501,$J903-1499))))</f>
        <v/>
      </c>
      <c r="C903">
        <f>IF($J903="","",IF($J903&lt;=1500,INDEX('Daily Sale entry '!$Z$1:$Z$1501,$J903+1)&amp;"","Cheque deposit 支票存入 (buyer 买家)"))</f>
        <v/>
      </c>
      <c r="D903">
        <f>IF($J903="","",IF($J903&lt;=1500,INDEX('Daily Sale entry '!$AA$1:$AA$1501,$J903+1)&amp;"",INDEX('Daily Sale entry '!$P$1:$P$1501,$J903-1499)&amp;""))</f>
        <v/>
      </c>
      <c r="E903">
        <f>IF($J903="","",IF($J903&lt;=1500,IF(N(INDEX('Daily Sale entry '!$AB$1:$AB$1501,$J903+1))=0,"",INDEX('Daily Sale entry '!$AB$1:$AB$1501,$J903+1)),1))</f>
        <v/>
      </c>
      <c r="F903" s="6">
        <f>IF($J903="","",IF($J903&lt;=1500,N(INDEX('Daily Sale entry '!$AC$1:$AC$1501,$J903+1))-IF(AND('Opening Balance'!$B$15=1,INDEX('Daily Sale entry '!$Z$1:$Z$1501,$J903+1)="Online collection 网上收款",INDEX('Daily Sale entry '!$AA$1:$AA$1501,$J903+1)&lt;&gt;""),N(INDEX('Daily Sale entry '!$AC$1:$AC$1501,$J903+1))-TRUNC(N(INDEX('Daily Sale entry '!$AC$1:$AC$1501,$J903+1))),0),N(INDEX('Daily Sale entry '!$S$1:$S$1501,$J903-1499))-'Opening Balance'!$B$15*(N(INDEX('Daily Sale entry '!$S$1:$S$1501,$J903-1499))-TRUNC(N(INDEX('Daily Sale entry '!$S$1:$S$1501,$J903-1499))))))</f>
        <v/>
      </c>
      <c r="G903" s="6">
        <f>IF($J903="","",IF($J903&lt;=1500,N(INDEX('Daily Sale entry '!$AD$1:$AD$1501,$J903+1)),0))</f>
        <v/>
      </c>
      <c r="H903" s="6">
        <f>IF($J903="","",ROUND('Opening Balance'!$B$4+SUM($F$2:F903)-SUM($G$2:G903),2))</f>
        <v/>
      </c>
      <c r="J903" s="21">
        <f>IFERROR(MATCH(ROW()-1,$L$2:$L$3001,0),"")</f>
        <v/>
      </c>
      <c r="K903" s="34">
        <f>IF(AND('Daily Sale entry '!X903&lt;&gt;"",OR('Daily Sale entry '!AC903&lt;&gt;"",'Daily Sale entry '!AD903&lt;&gt;"")),'Daily Sale entry '!X903+ROW()/10000000,"")</f>
        <v/>
      </c>
      <c r="L903" s="21">
        <f>IF(K903="","",COUNTIF($K$2:$K$3001,"&lt;"&amp;K903)+1)</f>
        <v/>
      </c>
    </row>
    <row r="904">
      <c r="A904" s="5">
        <f>IF($J904="","",IF($J904&lt;=1500,INDEX('Daily Sale entry '!$X$1:$X$1501,$J904+1),INDEX('Daily Sale entry '!$V$1:$V$1501,$J904-1499)))</f>
        <v/>
      </c>
      <c r="B904">
        <f>IF($J904="","",IF($J904&lt;=1500,INDEX('Daily Sale entry '!$Y$1:$Y$1501,$J904+1)&amp;"","Buyer cheque banked 买家支票存入"&amp;IF(INDEX('Daily Sale entry '!$U$1:$U$1501,$J904-1499)="","", " - "&amp;INDEX('Daily Sale entry '!$U$1:$U$1501,$J904-1499))))</f>
        <v/>
      </c>
      <c r="C904">
        <f>IF($J904="","",IF($J904&lt;=1500,INDEX('Daily Sale entry '!$Z$1:$Z$1501,$J904+1)&amp;"","Cheque deposit 支票存入 (buyer 买家)"))</f>
        <v/>
      </c>
      <c r="D904">
        <f>IF($J904="","",IF($J904&lt;=1500,INDEX('Daily Sale entry '!$AA$1:$AA$1501,$J904+1)&amp;"",INDEX('Daily Sale entry '!$P$1:$P$1501,$J904-1499)&amp;""))</f>
        <v/>
      </c>
      <c r="E904">
        <f>IF($J904="","",IF($J904&lt;=1500,IF(N(INDEX('Daily Sale entry '!$AB$1:$AB$1501,$J904+1))=0,"",INDEX('Daily Sale entry '!$AB$1:$AB$1501,$J904+1)),1))</f>
        <v/>
      </c>
      <c r="F904" s="6">
        <f>IF($J904="","",IF($J904&lt;=1500,N(INDEX('Daily Sale entry '!$AC$1:$AC$1501,$J904+1))-IF(AND('Opening Balance'!$B$15=1,INDEX('Daily Sale entry '!$Z$1:$Z$1501,$J904+1)="Online collection 网上收款",INDEX('Daily Sale entry '!$AA$1:$AA$1501,$J904+1)&lt;&gt;""),N(INDEX('Daily Sale entry '!$AC$1:$AC$1501,$J904+1))-TRUNC(N(INDEX('Daily Sale entry '!$AC$1:$AC$1501,$J904+1))),0),N(INDEX('Daily Sale entry '!$S$1:$S$1501,$J904-1499))-'Opening Balance'!$B$15*(N(INDEX('Daily Sale entry '!$S$1:$S$1501,$J904-1499))-TRUNC(N(INDEX('Daily Sale entry '!$S$1:$S$1501,$J904-1499))))))</f>
        <v/>
      </c>
      <c r="G904" s="6">
        <f>IF($J904="","",IF($J904&lt;=1500,N(INDEX('Daily Sale entry '!$AD$1:$AD$1501,$J904+1)),0))</f>
        <v/>
      </c>
      <c r="H904" s="6">
        <f>IF($J904="","",ROUND('Opening Balance'!$B$4+SUM($F$2:F904)-SUM($G$2:G904),2))</f>
        <v/>
      </c>
      <c r="J904" s="21">
        <f>IFERROR(MATCH(ROW()-1,$L$2:$L$3001,0),"")</f>
        <v/>
      </c>
      <c r="K904" s="34">
        <f>IF(AND('Daily Sale entry '!X904&lt;&gt;"",OR('Daily Sale entry '!AC904&lt;&gt;"",'Daily Sale entry '!AD904&lt;&gt;"")),'Daily Sale entry '!X904+ROW()/10000000,"")</f>
        <v/>
      </c>
      <c r="L904" s="21">
        <f>IF(K904="","",COUNTIF($K$2:$K$3001,"&lt;"&amp;K904)+1)</f>
        <v/>
      </c>
    </row>
    <row r="905">
      <c r="A905" s="5">
        <f>IF($J905="","",IF($J905&lt;=1500,INDEX('Daily Sale entry '!$X$1:$X$1501,$J905+1),INDEX('Daily Sale entry '!$V$1:$V$1501,$J905-1499)))</f>
        <v/>
      </c>
      <c r="B905">
        <f>IF($J905="","",IF($J905&lt;=1500,INDEX('Daily Sale entry '!$Y$1:$Y$1501,$J905+1)&amp;"","Buyer cheque banked 买家支票存入"&amp;IF(INDEX('Daily Sale entry '!$U$1:$U$1501,$J905-1499)="","", " - "&amp;INDEX('Daily Sale entry '!$U$1:$U$1501,$J905-1499))))</f>
        <v/>
      </c>
      <c r="C905">
        <f>IF($J905="","",IF($J905&lt;=1500,INDEX('Daily Sale entry '!$Z$1:$Z$1501,$J905+1)&amp;"","Cheque deposit 支票存入 (buyer 买家)"))</f>
        <v/>
      </c>
      <c r="D905">
        <f>IF($J905="","",IF($J905&lt;=1500,INDEX('Daily Sale entry '!$AA$1:$AA$1501,$J905+1)&amp;"",INDEX('Daily Sale entry '!$P$1:$P$1501,$J905-1499)&amp;""))</f>
        <v/>
      </c>
      <c r="E905">
        <f>IF($J905="","",IF($J905&lt;=1500,IF(N(INDEX('Daily Sale entry '!$AB$1:$AB$1501,$J905+1))=0,"",INDEX('Daily Sale entry '!$AB$1:$AB$1501,$J905+1)),1))</f>
        <v/>
      </c>
      <c r="F905" s="6">
        <f>IF($J905="","",IF($J905&lt;=1500,N(INDEX('Daily Sale entry '!$AC$1:$AC$1501,$J905+1))-IF(AND('Opening Balance'!$B$15=1,INDEX('Daily Sale entry '!$Z$1:$Z$1501,$J905+1)="Online collection 网上收款",INDEX('Daily Sale entry '!$AA$1:$AA$1501,$J905+1)&lt;&gt;""),N(INDEX('Daily Sale entry '!$AC$1:$AC$1501,$J905+1))-TRUNC(N(INDEX('Daily Sale entry '!$AC$1:$AC$1501,$J905+1))),0),N(INDEX('Daily Sale entry '!$S$1:$S$1501,$J905-1499))-'Opening Balance'!$B$15*(N(INDEX('Daily Sale entry '!$S$1:$S$1501,$J905-1499))-TRUNC(N(INDEX('Daily Sale entry '!$S$1:$S$1501,$J905-1499))))))</f>
        <v/>
      </c>
      <c r="G905" s="6">
        <f>IF($J905="","",IF($J905&lt;=1500,N(INDEX('Daily Sale entry '!$AD$1:$AD$1501,$J905+1)),0))</f>
        <v/>
      </c>
      <c r="H905" s="6">
        <f>IF($J905="","",ROUND('Opening Balance'!$B$4+SUM($F$2:F905)-SUM($G$2:G905),2))</f>
        <v/>
      </c>
      <c r="J905" s="21">
        <f>IFERROR(MATCH(ROW()-1,$L$2:$L$3001,0),"")</f>
        <v/>
      </c>
      <c r="K905" s="34">
        <f>IF(AND('Daily Sale entry '!X905&lt;&gt;"",OR('Daily Sale entry '!AC905&lt;&gt;"",'Daily Sale entry '!AD905&lt;&gt;"")),'Daily Sale entry '!X905+ROW()/10000000,"")</f>
        <v/>
      </c>
      <c r="L905" s="21">
        <f>IF(K905="","",COUNTIF($K$2:$K$3001,"&lt;"&amp;K905)+1)</f>
        <v/>
      </c>
    </row>
    <row r="906">
      <c r="A906" s="5">
        <f>IF($J906="","",IF($J906&lt;=1500,INDEX('Daily Sale entry '!$X$1:$X$1501,$J906+1),INDEX('Daily Sale entry '!$V$1:$V$1501,$J906-1499)))</f>
        <v/>
      </c>
      <c r="B906">
        <f>IF($J906="","",IF($J906&lt;=1500,INDEX('Daily Sale entry '!$Y$1:$Y$1501,$J906+1)&amp;"","Buyer cheque banked 买家支票存入"&amp;IF(INDEX('Daily Sale entry '!$U$1:$U$1501,$J906-1499)="","", " - "&amp;INDEX('Daily Sale entry '!$U$1:$U$1501,$J906-1499))))</f>
        <v/>
      </c>
      <c r="C906">
        <f>IF($J906="","",IF($J906&lt;=1500,INDEX('Daily Sale entry '!$Z$1:$Z$1501,$J906+1)&amp;"","Cheque deposit 支票存入 (buyer 买家)"))</f>
        <v/>
      </c>
      <c r="D906">
        <f>IF($J906="","",IF($J906&lt;=1500,INDEX('Daily Sale entry '!$AA$1:$AA$1501,$J906+1)&amp;"",INDEX('Daily Sale entry '!$P$1:$P$1501,$J906-1499)&amp;""))</f>
        <v/>
      </c>
      <c r="E906">
        <f>IF($J906="","",IF($J906&lt;=1500,IF(N(INDEX('Daily Sale entry '!$AB$1:$AB$1501,$J906+1))=0,"",INDEX('Daily Sale entry '!$AB$1:$AB$1501,$J906+1)),1))</f>
        <v/>
      </c>
      <c r="F906" s="6">
        <f>IF($J906="","",IF($J906&lt;=1500,N(INDEX('Daily Sale entry '!$AC$1:$AC$1501,$J906+1))-IF(AND('Opening Balance'!$B$15=1,INDEX('Daily Sale entry '!$Z$1:$Z$1501,$J906+1)="Online collection 网上收款",INDEX('Daily Sale entry '!$AA$1:$AA$1501,$J906+1)&lt;&gt;""),N(INDEX('Daily Sale entry '!$AC$1:$AC$1501,$J906+1))-TRUNC(N(INDEX('Daily Sale entry '!$AC$1:$AC$1501,$J906+1))),0),N(INDEX('Daily Sale entry '!$S$1:$S$1501,$J906-1499))-'Opening Balance'!$B$15*(N(INDEX('Daily Sale entry '!$S$1:$S$1501,$J906-1499))-TRUNC(N(INDEX('Daily Sale entry '!$S$1:$S$1501,$J906-1499))))))</f>
        <v/>
      </c>
      <c r="G906" s="6">
        <f>IF($J906="","",IF($J906&lt;=1500,N(INDEX('Daily Sale entry '!$AD$1:$AD$1501,$J906+1)),0))</f>
        <v/>
      </c>
      <c r="H906" s="6">
        <f>IF($J906="","",ROUND('Opening Balance'!$B$4+SUM($F$2:F906)-SUM($G$2:G906),2))</f>
        <v/>
      </c>
      <c r="J906" s="21">
        <f>IFERROR(MATCH(ROW()-1,$L$2:$L$3001,0),"")</f>
        <v/>
      </c>
      <c r="K906" s="34">
        <f>IF(AND('Daily Sale entry '!X906&lt;&gt;"",OR('Daily Sale entry '!AC906&lt;&gt;"",'Daily Sale entry '!AD906&lt;&gt;"")),'Daily Sale entry '!X906+ROW()/10000000,"")</f>
        <v/>
      </c>
      <c r="L906" s="21">
        <f>IF(K906="","",COUNTIF($K$2:$K$3001,"&lt;"&amp;K906)+1)</f>
        <v/>
      </c>
    </row>
    <row r="907">
      <c r="A907" s="5">
        <f>IF($J907="","",IF($J907&lt;=1500,INDEX('Daily Sale entry '!$X$1:$X$1501,$J907+1),INDEX('Daily Sale entry '!$V$1:$V$1501,$J907-1499)))</f>
        <v/>
      </c>
      <c r="B907">
        <f>IF($J907="","",IF($J907&lt;=1500,INDEX('Daily Sale entry '!$Y$1:$Y$1501,$J907+1)&amp;"","Buyer cheque banked 买家支票存入"&amp;IF(INDEX('Daily Sale entry '!$U$1:$U$1501,$J907-1499)="","", " - "&amp;INDEX('Daily Sale entry '!$U$1:$U$1501,$J907-1499))))</f>
        <v/>
      </c>
      <c r="C907">
        <f>IF($J907="","",IF($J907&lt;=1500,INDEX('Daily Sale entry '!$Z$1:$Z$1501,$J907+1)&amp;"","Cheque deposit 支票存入 (buyer 买家)"))</f>
        <v/>
      </c>
      <c r="D907">
        <f>IF($J907="","",IF($J907&lt;=1500,INDEX('Daily Sale entry '!$AA$1:$AA$1501,$J907+1)&amp;"",INDEX('Daily Sale entry '!$P$1:$P$1501,$J907-1499)&amp;""))</f>
        <v/>
      </c>
      <c r="E907">
        <f>IF($J907="","",IF($J907&lt;=1500,IF(N(INDEX('Daily Sale entry '!$AB$1:$AB$1501,$J907+1))=0,"",INDEX('Daily Sale entry '!$AB$1:$AB$1501,$J907+1)),1))</f>
        <v/>
      </c>
      <c r="F907" s="6">
        <f>IF($J907="","",IF($J907&lt;=1500,N(INDEX('Daily Sale entry '!$AC$1:$AC$1501,$J907+1))-IF(AND('Opening Balance'!$B$15=1,INDEX('Daily Sale entry '!$Z$1:$Z$1501,$J907+1)="Online collection 网上收款",INDEX('Daily Sale entry '!$AA$1:$AA$1501,$J907+1)&lt;&gt;""),N(INDEX('Daily Sale entry '!$AC$1:$AC$1501,$J907+1))-TRUNC(N(INDEX('Daily Sale entry '!$AC$1:$AC$1501,$J907+1))),0),N(INDEX('Daily Sale entry '!$S$1:$S$1501,$J907-1499))-'Opening Balance'!$B$15*(N(INDEX('Daily Sale entry '!$S$1:$S$1501,$J907-1499))-TRUNC(N(INDEX('Daily Sale entry '!$S$1:$S$1501,$J907-1499))))))</f>
        <v/>
      </c>
      <c r="G907" s="6">
        <f>IF($J907="","",IF($J907&lt;=1500,N(INDEX('Daily Sale entry '!$AD$1:$AD$1501,$J907+1)),0))</f>
        <v/>
      </c>
      <c r="H907" s="6">
        <f>IF($J907="","",ROUND('Opening Balance'!$B$4+SUM($F$2:F907)-SUM($G$2:G907),2))</f>
        <v/>
      </c>
      <c r="J907" s="21">
        <f>IFERROR(MATCH(ROW()-1,$L$2:$L$3001,0),"")</f>
        <v/>
      </c>
      <c r="K907" s="34">
        <f>IF(AND('Daily Sale entry '!X907&lt;&gt;"",OR('Daily Sale entry '!AC907&lt;&gt;"",'Daily Sale entry '!AD907&lt;&gt;"")),'Daily Sale entry '!X907+ROW()/10000000,"")</f>
        <v/>
      </c>
      <c r="L907" s="21">
        <f>IF(K907="","",COUNTIF($K$2:$K$3001,"&lt;"&amp;K907)+1)</f>
        <v/>
      </c>
    </row>
    <row r="908">
      <c r="A908" s="5">
        <f>IF($J908="","",IF($J908&lt;=1500,INDEX('Daily Sale entry '!$X$1:$X$1501,$J908+1),INDEX('Daily Sale entry '!$V$1:$V$1501,$J908-1499)))</f>
        <v/>
      </c>
      <c r="B908">
        <f>IF($J908="","",IF($J908&lt;=1500,INDEX('Daily Sale entry '!$Y$1:$Y$1501,$J908+1)&amp;"","Buyer cheque banked 买家支票存入"&amp;IF(INDEX('Daily Sale entry '!$U$1:$U$1501,$J908-1499)="","", " - "&amp;INDEX('Daily Sale entry '!$U$1:$U$1501,$J908-1499))))</f>
        <v/>
      </c>
      <c r="C908">
        <f>IF($J908="","",IF($J908&lt;=1500,INDEX('Daily Sale entry '!$Z$1:$Z$1501,$J908+1)&amp;"","Cheque deposit 支票存入 (buyer 买家)"))</f>
        <v/>
      </c>
      <c r="D908">
        <f>IF($J908="","",IF($J908&lt;=1500,INDEX('Daily Sale entry '!$AA$1:$AA$1501,$J908+1)&amp;"",INDEX('Daily Sale entry '!$P$1:$P$1501,$J908-1499)&amp;""))</f>
        <v/>
      </c>
      <c r="E908">
        <f>IF($J908="","",IF($J908&lt;=1500,IF(N(INDEX('Daily Sale entry '!$AB$1:$AB$1501,$J908+1))=0,"",INDEX('Daily Sale entry '!$AB$1:$AB$1501,$J908+1)),1))</f>
        <v/>
      </c>
      <c r="F908" s="6">
        <f>IF($J908="","",IF($J908&lt;=1500,N(INDEX('Daily Sale entry '!$AC$1:$AC$1501,$J908+1))-IF(AND('Opening Balance'!$B$15=1,INDEX('Daily Sale entry '!$Z$1:$Z$1501,$J908+1)="Online collection 网上收款",INDEX('Daily Sale entry '!$AA$1:$AA$1501,$J908+1)&lt;&gt;""),N(INDEX('Daily Sale entry '!$AC$1:$AC$1501,$J908+1))-TRUNC(N(INDEX('Daily Sale entry '!$AC$1:$AC$1501,$J908+1))),0),N(INDEX('Daily Sale entry '!$S$1:$S$1501,$J908-1499))-'Opening Balance'!$B$15*(N(INDEX('Daily Sale entry '!$S$1:$S$1501,$J908-1499))-TRUNC(N(INDEX('Daily Sale entry '!$S$1:$S$1501,$J908-1499))))))</f>
        <v/>
      </c>
      <c r="G908" s="6">
        <f>IF($J908="","",IF($J908&lt;=1500,N(INDEX('Daily Sale entry '!$AD$1:$AD$1501,$J908+1)),0))</f>
        <v/>
      </c>
      <c r="H908" s="6">
        <f>IF($J908="","",ROUND('Opening Balance'!$B$4+SUM($F$2:F908)-SUM($G$2:G908),2))</f>
        <v/>
      </c>
      <c r="J908" s="21">
        <f>IFERROR(MATCH(ROW()-1,$L$2:$L$3001,0),"")</f>
        <v/>
      </c>
      <c r="K908" s="34">
        <f>IF(AND('Daily Sale entry '!X908&lt;&gt;"",OR('Daily Sale entry '!AC908&lt;&gt;"",'Daily Sale entry '!AD908&lt;&gt;"")),'Daily Sale entry '!X908+ROW()/10000000,"")</f>
        <v/>
      </c>
      <c r="L908" s="21">
        <f>IF(K908="","",COUNTIF($K$2:$K$3001,"&lt;"&amp;K908)+1)</f>
        <v/>
      </c>
    </row>
    <row r="909">
      <c r="A909" s="5">
        <f>IF($J909="","",IF($J909&lt;=1500,INDEX('Daily Sale entry '!$X$1:$X$1501,$J909+1),INDEX('Daily Sale entry '!$V$1:$V$1501,$J909-1499)))</f>
        <v/>
      </c>
      <c r="B909">
        <f>IF($J909="","",IF($J909&lt;=1500,INDEX('Daily Sale entry '!$Y$1:$Y$1501,$J909+1)&amp;"","Buyer cheque banked 买家支票存入"&amp;IF(INDEX('Daily Sale entry '!$U$1:$U$1501,$J909-1499)="","", " - "&amp;INDEX('Daily Sale entry '!$U$1:$U$1501,$J909-1499))))</f>
        <v/>
      </c>
      <c r="C909">
        <f>IF($J909="","",IF($J909&lt;=1500,INDEX('Daily Sale entry '!$Z$1:$Z$1501,$J909+1)&amp;"","Cheque deposit 支票存入 (buyer 买家)"))</f>
        <v/>
      </c>
      <c r="D909">
        <f>IF($J909="","",IF($J909&lt;=1500,INDEX('Daily Sale entry '!$AA$1:$AA$1501,$J909+1)&amp;"",INDEX('Daily Sale entry '!$P$1:$P$1501,$J909-1499)&amp;""))</f>
        <v/>
      </c>
      <c r="E909">
        <f>IF($J909="","",IF($J909&lt;=1500,IF(N(INDEX('Daily Sale entry '!$AB$1:$AB$1501,$J909+1))=0,"",INDEX('Daily Sale entry '!$AB$1:$AB$1501,$J909+1)),1))</f>
        <v/>
      </c>
      <c r="F909" s="6">
        <f>IF($J909="","",IF($J909&lt;=1500,N(INDEX('Daily Sale entry '!$AC$1:$AC$1501,$J909+1))-IF(AND('Opening Balance'!$B$15=1,INDEX('Daily Sale entry '!$Z$1:$Z$1501,$J909+1)="Online collection 网上收款",INDEX('Daily Sale entry '!$AA$1:$AA$1501,$J909+1)&lt;&gt;""),N(INDEX('Daily Sale entry '!$AC$1:$AC$1501,$J909+1))-TRUNC(N(INDEX('Daily Sale entry '!$AC$1:$AC$1501,$J909+1))),0),N(INDEX('Daily Sale entry '!$S$1:$S$1501,$J909-1499))-'Opening Balance'!$B$15*(N(INDEX('Daily Sale entry '!$S$1:$S$1501,$J909-1499))-TRUNC(N(INDEX('Daily Sale entry '!$S$1:$S$1501,$J909-1499))))))</f>
        <v/>
      </c>
      <c r="G909" s="6">
        <f>IF($J909="","",IF($J909&lt;=1500,N(INDEX('Daily Sale entry '!$AD$1:$AD$1501,$J909+1)),0))</f>
        <v/>
      </c>
      <c r="H909" s="6">
        <f>IF($J909="","",ROUND('Opening Balance'!$B$4+SUM($F$2:F909)-SUM($G$2:G909),2))</f>
        <v/>
      </c>
      <c r="J909" s="21">
        <f>IFERROR(MATCH(ROW()-1,$L$2:$L$3001,0),"")</f>
        <v/>
      </c>
      <c r="K909" s="34">
        <f>IF(AND('Daily Sale entry '!X909&lt;&gt;"",OR('Daily Sale entry '!AC909&lt;&gt;"",'Daily Sale entry '!AD909&lt;&gt;"")),'Daily Sale entry '!X909+ROW()/10000000,"")</f>
        <v/>
      </c>
      <c r="L909" s="21">
        <f>IF(K909="","",COUNTIF($K$2:$K$3001,"&lt;"&amp;K909)+1)</f>
        <v/>
      </c>
    </row>
    <row r="910">
      <c r="A910" s="5">
        <f>IF($J910="","",IF($J910&lt;=1500,INDEX('Daily Sale entry '!$X$1:$X$1501,$J910+1),INDEX('Daily Sale entry '!$V$1:$V$1501,$J910-1499)))</f>
        <v/>
      </c>
      <c r="B910">
        <f>IF($J910="","",IF($J910&lt;=1500,INDEX('Daily Sale entry '!$Y$1:$Y$1501,$J910+1)&amp;"","Buyer cheque banked 买家支票存入"&amp;IF(INDEX('Daily Sale entry '!$U$1:$U$1501,$J910-1499)="","", " - "&amp;INDEX('Daily Sale entry '!$U$1:$U$1501,$J910-1499))))</f>
        <v/>
      </c>
      <c r="C910">
        <f>IF($J910="","",IF($J910&lt;=1500,INDEX('Daily Sale entry '!$Z$1:$Z$1501,$J910+1)&amp;"","Cheque deposit 支票存入 (buyer 买家)"))</f>
        <v/>
      </c>
      <c r="D910">
        <f>IF($J910="","",IF($J910&lt;=1500,INDEX('Daily Sale entry '!$AA$1:$AA$1501,$J910+1)&amp;"",INDEX('Daily Sale entry '!$P$1:$P$1501,$J910-1499)&amp;""))</f>
        <v/>
      </c>
      <c r="E910">
        <f>IF($J910="","",IF($J910&lt;=1500,IF(N(INDEX('Daily Sale entry '!$AB$1:$AB$1501,$J910+1))=0,"",INDEX('Daily Sale entry '!$AB$1:$AB$1501,$J910+1)),1))</f>
        <v/>
      </c>
      <c r="F910" s="6">
        <f>IF($J910="","",IF($J910&lt;=1500,N(INDEX('Daily Sale entry '!$AC$1:$AC$1501,$J910+1))-IF(AND('Opening Balance'!$B$15=1,INDEX('Daily Sale entry '!$Z$1:$Z$1501,$J910+1)="Online collection 网上收款",INDEX('Daily Sale entry '!$AA$1:$AA$1501,$J910+1)&lt;&gt;""),N(INDEX('Daily Sale entry '!$AC$1:$AC$1501,$J910+1))-TRUNC(N(INDEX('Daily Sale entry '!$AC$1:$AC$1501,$J910+1))),0),N(INDEX('Daily Sale entry '!$S$1:$S$1501,$J910-1499))-'Opening Balance'!$B$15*(N(INDEX('Daily Sale entry '!$S$1:$S$1501,$J910-1499))-TRUNC(N(INDEX('Daily Sale entry '!$S$1:$S$1501,$J910-1499))))))</f>
        <v/>
      </c>
      <c r="G910" s="6">
        <f>IF($J910="","",IF($J910&lt;=1500,N(INDEX('Daily Sale entry '!$AD$1:$AD$1501,$J910+1)),0))</f>
        <v/>
      </c>
      <c r="H910" s="6">
        <f>IF($J910="","",ROUND('Opening Balance'!$B$4+SUM($F$2:F910)-SUM($G$2:G910),2))</f>
        <v/>
      </c>
      <c r="J910" s="21">
        <f>IFERROR(MATCH(ROW()-1,$L$2:$L$3001,0),"")</f>
        <v/>
      </c>
      <c r="K910" s="34">
        <f>IF(AND('Daily Sale entry '!X910&lt;&gt;"",OR('Daily Sale entry '!AC910&lt;&gt;"",'Daily Sale entry '!AD910&lt;&gt;"")),'Daily Sale entry '!X910+ROW()/10000000,"")</f>
        <v/>
      </c>
      <c r="L910" s="21">
        <f>IF(K910="","",COUNTIF($K$2:$K$3001,"&lt;"&amp;K910)+1)</f>
        <v/>
      </c>
    </row>
    <row r="911">
      <c r="A911" s="5">
        <f>IF($J911="","",IF($J911&lt;=1500,INDEX('Daily Sale entry '!$X$1:$X$1501,$J911+1),INDEX('Daily Sale entry '!$V$1:$V$1501,$J911-1499)))</f>
        <v/>
      </c>
      <c r="B911">
        <f>IF($J911="","",IF($J911&lt;=1500,INDEX('Daily Sale entry '!$Y$1:$Y$1501,$J911+1)&amp;"","Buyer cheque banked 买家支票存入"&amp;IF(INDEX('Daily Sale entry '!$U$1:$U$1501,$J911-1499)="","", " - "&amp;INDEX('Daily Sale entry '!$U$1:$U$1501,$J911-1499))))</f>
        <v/>
      </c>
      <c r="C911">
        <f>IF($J911="","",IF($J911&lt;=1500,INDEX('Daily Sale entry '!$Z$1:$Z$1501,$J911+1)&amp;"","Cheque deposit 支票存入 (buyer 买家)"))</f>
        <v/>
      </c>
      <c r="D911">
        <f>IF($J911="","",IF($J911&lt;=1500,INDEX('Daily Sale entry '!$AA$1:$AA$1501,$J911+1)&amp;"",INDEX('Daily Sale entry '!$P$1:$P$1501,$J911-1499)&amp;""))</f>
        <v/>
      </c>
      <c r="E911">
        <f>IF($J911="","",IF($J911&lt;=1500,IF(N(INDEX('Daily Sale entry '!$AB$1:$AB$1501,$J911+1))=0,"",INDEX('Daily Sale entry '!$AB$1:$AB$1501,$J911+1)),1))</f>
        <v/>
      </c>
      <c r="F911" s="6">
        <f>IF($J911="","",IF($J911&lt;=1500,N(INDEX('Daily Sale entry '!$AC$1:$AC$1501,$J911+1))-IF(AND('Opening Balance'!$B$15=1,INDEX('Daily Sale entry '!$Z$1:$Z$1501,$J911+1)="Online collection 网上收款",INDEX('Daily Sale entry '!$AA$1:$AA$1501,$J911+1)&lt;&gt;""),N(INDEX('Daily Sale entry '!$AC$1:$AC$1501,$J911+1))-TRUNC(N(INDEX('Daily Sale entry '!$AC$1:$AC$1501,$J911+1))),0),N(INDEX('Daily Sale entry '!$S$1:$S$1501,$J911-1499))-'Opening Balance'!$B$15*(N(INDEX('Daily Sale entry '!$S$1:$S$1501,$J911-1499))-TRUNC(N(INDEX('Daily Sale entry '!$S$1:$S$1501,$J911-1499))))))</f>
        <v/>
      </c>
      <c r="G911" s="6">
        <f>IF($J911="","",IF($J911&lt;=1500,N(INDEX('Daily Sale entry '!$AD$1:$AD$1501,$J911+1)),0))</f>
        <v/>
      </c>
      <c r="H911" s="6">
        <f>IF($J911="","",ROUND('Opening Balance'!$B$4+SUM($F$2:F911)-SUM($G$2:G911),2))</f>
        <v/>
      </c>
      <c r="J911" s="21">
        <f>IFERROR(MATCH(ROW()-1,$L$2:$L$3001,0),"")</f>
        <v/>
      </c>
      <c r="K911" s="34">
        <f>IF(AND('Daily Sale entry '!X911&lt;&gt;"",OR('Daily Sale entry '!AC911&lt;&gt;"",'Daily Sale entry '!AD911&lt;&gt;"")),'Daily Sale entry '!X911+ROW()/10000000,"")</f>
        <v/>
      </c>
      <c r="L911" s="21">
        <f>IF(K911="","",COUNTIF($K$2:$K$3001,"&lt;"&amp;K911)+1)</f>
        <v/>
      </c>
    </row>
    <row r="912">
      <c r="A912" s="5">
        <f>IF($J912="","",IF($J912&lt;=1500,INDEX('Daily Sale entry '!$X$1:$X$1501,$J912+1),INDEX('Daily Sale entry '!$V$1:$V$1501,$J912-1499)))</f>
        <v/>
      </c>
      <c r="B912">
        <f>IF($J912="","",IF($J912&lt;=1500,INDEX('Daily Sale entry '!$Y$1:$Y$1501,$J912+1)&amp;"","Buyer cheque banked 买家支票存入"&amp;IF(INDEX('Daily Sale entry '!$U$1:$U$1501,$J912-1499)="","", " - "&amp;INDEX('Daily Sale entry '!$U$1:$U$1501,$J912-1499))))</f>
        <v/>
      </c>
      <c r="C912">
        <f>IF($J912="","",IF($J912&lt;=1500,INDEX('Daily Sale entry '!$Z$1:$Z$1501,$J912+1)&amp;"","Cheque deposit 支票存入 (buyer 买家)"))</f>
        <v/>
      </c>
      <c r="D912">
        <f>IF($J912="","",IF($J912&lt;=1500,INDEX('Daily Sale entry '!$AA$1:$AA$1501,$J912+1)&amp;"",INDEX('Daily Sale entry '!$P$1:$P$1501,$J912-1499)&amp;""))</f>
        <v/>
      </c>
      <c r="E912">
        <f>IF($J912="","",IF($J912&lt;=1500,IF(N(INDEX('Daily Sale entry '!$AB$1:$AB$1501,$J912+1))=0,"",INDEX('Daily Sale entry '!$AB$1:$AB$1501,$J912+1)),1))</f>
        <v/>
      </c>
      <c r="F912" s="6">
        <f>IF($J912="","",IF($J912&lt;=1500,N(INDEX('Daily Sale entry '!$AC$1:$AC$1501,$J912+1))-IF(AND('Opening Balance'!$B$15=1,INDEX('Daily Sale entry '!$Z$1:$Z$1501,$J912+1)="Online collection 网上收款",INDEX('Daily Sale entry '!$AA$1:$AA$1501,$J912+1)&lt;&gt;""),N(INDEX('Daily Sale entry '!$AC$1:$AC$1501,$J912+1))-TRUNC(N(INDEX('Daily Sale entry '!$AC$1:$AC$1501,$J912+1))),0),N(INDEX('Daily Sale entry '!$S$1:$S$1501,$J912-1499))-'Opening Balance'!$B$15*(N(INDEX('Daily Sale entry '!$S$1:$S$1501,$J912-1499))-TRUNC(N(INDEX('Daily Sale entry '!$S$1:$S$1501,$J912-1499))))))</f>
        <v/>
      </c>
      <c r="G912" s="6">
        <f>IF($J912="","",IF($J912&lt;=1500,N(INDEX('Daily Sale entry '!$AD$1:$AD$1501,$J912+1)),0))</f>
        <v/>
      </c>
      <c r="H912" s="6">
        <f>IF($J912="","",ROUND('Opening Balance'!$B$4+SUM($F$2:F912)-SUM($G$2:G912),2))</f>
        <v/>
      </c>
      <c r="J912" s="21">
        <f>IFERROR(MATCH(ROW()-1,$L$2:$L$3001,0),"")</f>
        <v/>
      </c>
      <c r="K912" s="34">
        <f>IF(AND('Daily Sale entry '!X912&lt;&gt;"",OR('Daily Sale entry '!AC912&lt;&gt;"",'Daily Sale entry '!AD912&lt;&gt;"")),'Daily Sale entry '!X912+ROW()/10000000,"")</f>
        <v/>
      </c>
      <c r="L912" s="21">
        <f>IF(K912="","",COUNTIF($K$2:$K$3001,"&lt;"&amp;K912)+1)</f>
        <v/>
      </c>
    </row>
    <row r="913">
      <c r="A913" s="5">
        <f>IF($J913="","",IF($J913&lt;=1500,INDEX('Daily Sale entry '!$X$1:$X$1501,$J913+1),INDEX('Daily Sale entry '!$V$1:$V$1501,$J913-1499)))</f>
        <v/>
      </c>
      <c r="B913">
        <f>IF($J913="","",IF($J913&lt;=1500,INDEX('Daily Sale entry '!$Y$1:$Y$1501,$J913+1)&amp;"","Buyer cheque banked 买家支票存入"&amp;IF(INDEX('Daily Sale entry '!$U$1:$U$1501,$J913-1499)="","", " - "&amp;INDEX('Daily Sale entry '!$U$1:$U$1501,$J913-1499))))</f>
        <v/>
      </c>
      <c r="C913">
        <f>IF($J913="","",IF($J913&lt;=1500,INDEX('Daily Sale entry '!$Z$1:$Z$1501,$J913+1)&amp;"","Cheque deposit 支票存入 (buyer 买家)"))</f>
        <v/>
      </c>
      <c r="D913">
        <f>IF($J913="","",IF($J913&lt;=1500,INDEX('Daily Sale entry '!$AA$1:$AA$1501,$J913+1)&amp;"",INDEX('Daily Sale entry '!$P$1:$P$1501,$J913-1499)&amp;""))</f>
        <v/>
      </c>
      <c r="E913">
        <f>IF($J913="","",IF($J913&lt;=1500,IF(N(INDEX('Daily Sale entry '!$AB$1:$AB$1501,$J913+1))=0,"",INDEX('Daily Sale entry '!$AB$1:$AB$1501,$J913+1)),1))</f>
        <v/>
      </c>
      <c r="F913" s="6">
        <f>IF($J913="","",IF($J913&lt;=1500,N(INDEX('Daily Sale entry '!$AC$1:$AC$1501,$J913+1))-IF(AND('Opening Balance'!$B$15=1,INDEX('Daily Sale entry '!$Z$1:$Z$1501,$J913+1)="Online collection 网上收款",INDEX('Daily Sale entry '!$AA$1:$AA$1501,$J913+1)&lt;&gt;""),N(INDEX('Daily Sale entry '!$AC$1:$AC$1501,$J913+1))-TRUNC(N(INDEX('Daily Sale entry '!$AC$1:$AC$1501,$J913+1))),0),N(INDEX('Daily Sale entry '!$S$1:$S$1501,$J913-1499))-'Opening Balance'!$B$15*(N(INDEX('Daily Sale entry '!$S$1:$S$1501,$J913-1499))-TRUNC(N(INDEX('Daily Sale entry '!$S$1:$S$1501,$J913-1499))))))</f>
        <v/>
      </c>
      <c r="G913" s="6">
        <f>IF($J913="","",IF($J913&lt;=1500,N(INDEX('Daily Sale entry '!$AD$1:$AD$1501,$J913+1)),0))</f>
        <v/>
      </c>
      <c r="H913" s="6">
        <f>IF($J913="","",ROUND('Opening Balance'!$B$4+SUM($F$2:F913)-SUM($G$2:G913),2))</f>
        <v/>
      </c>
      <c r="J913" s="21">
        <f>IFERROR(MATCH(ROW()-1,$L$2:$L$3001,0),"")</f>
        <v/>
      </c>
      <c r="K913" s="34">
        <f>IF(AND('Daily Sale entry '!X913&lt;&gt;"",OR('Daily Sale entry '!AC913&lt;&gt;"",'Daily Sale entry '!AD913&lt;&gt;"")),'Daily Sale entry '!X913+ROW()/10000000,"")</f>
        <v/>
      </c>
      <c r="L913" s="21">
        <f>IF(K913="","",COUNTIF($K$2:$K$3001,"&lt;"&amp;K913)+1)</f>
        <v/>
      </c>
    </row>
    <row r="914">
      <c r="A914" s="5">
        <f>IF($J914="","",IF($J914&lt;=1500,INDEX('Daily Sale entry '!$X$1:$X$1501,$J914+1),INDEX('Daily Sale entry '!$V$1:$V$1501,$J914-1499)))</f>
        <v/>
      </c>
      <c r="B914">
        <f>IF($J914="","",IF($J914&lt;=1500,INDEX('Daily Sale entry '!$Y$1:$Y$1501,$J914+1)&amp;"","Buyer cheque banked 买家支票存入"&amp;IF(INDEX('Daily Sale entry '!$U$1:$U$1501,$J914-1499)="","", " - "&amp;INDEX('Daily Sale entry '!$U$1:$U$1501,$J914-1499))))</f>
        <v/>
      </c>
      <c r="C914">
        <f>IF($J914="","",IF($J914&lt;=1500,INDEX('Daily Sale entry '!$Z$1:$Z$1501,$J914+1)&amp;"","Cheque deposit 支票存入 (buyer 买家)"))</f>
        <v/>
      </c>
      <c r="D914">
        <f>IF($J914="","",IF($J914&lt;=1500,INDEX('Daily Sale entry '!$AA$1:$AA$1501,$J914+1)&amp;"",INDEX('Daily Sale entry '!$P$1:$P$1501,$J914-1499)&amp;""))</f>
        <v/>
      </c>
      <c r="E914">
        <f>IF($J914="","",IF($J914&lt;=1500,IF(N(INDEX('Daily Sale entry '!$AB$1:$AB$1501,$J914+1))=0,"",INDEX('Daily Sale entry '!$AB$1:$AB$1501,$J914+1)),1))</f>
        <v/>
      </c>
      <c r="F914" s="6">
        <f>IF($J914="","",IF($J914&lt;=1500,N(INDEX('Daily Sale entry '!$AC$1:$AC$1501,$J914+1))-IF(AND('Opening Balance'!$B$15=1,INDEX('Daily Sale entry '!$Z$1:$Z$1501,$J914+1)="Online collection 网上收款",INDEX('Daily Sale entry '!$AA$1:$AA$1501,$J914+1)&lt;&gt;""),N(INDEX('Daily Sale entry '!$AC$1:$AC$1501,$J914+1))-TRUNC(N(INDEX('Daily Sale entry '!$AC$1:$AC$1501,$J914+1))),0),N(INDEX('Daily Sale entry '!$S$1:$S$1501,$J914-1499))-'Opening Balance'!$B$15*(N(INDEX('Daily Sale entry '!$S$1:$S$1501,$J914-1499))-TRUNC(N(INDEX('Daily Sale entry '!$S$1:$S$1501,$J914-1499))))))</f>
        <v/>
      </c>
      <c r="G914" s="6">
        <f>IF($J914="","",IF($J914&lt;=1500,N(INDEX('Daily Sale entry '!$AD$1:$AD$1501,$J914+1)),0))</f>
        <v/>
      </c>
      <c r="H914" s="6">
        <f>IF($J914="","",ROUND('Opening Balance'!$B$4+SUM($F$2:F914)-SUM($G$2:G914),2))</f>
        <v/>
      </c>
      <c r="J914" s="21">
        <f>IFERROR(MATCH(ROW()-1,$L$2:$L$3001,0),"")</f>
        <v/>
      </c>
      <c r="K914" s="34">
        <f>IF(AND('Daily Sale entry '!X914&lt;&gt;"",OR('Daily Sale entry '!AC914&lt;&gt;"",'Daily Sale entry '!AD914&lt;&gt;"")),'Daily Sale entry '!X914+ROW()/10000000,"")</f>
        <v/>
      </c>
      <c r="L914" s="21">
        <f>IF(K914="","",COUNTIF($K$2:$K$3001,"&lt;"&amp;K914)+1)</f>
        <v/>
      </c>
    </row>
    <row r="915">
      <c r="A915" s="5">
        <f>IF($J915="","",IF($J915&lt;=1500,INDEX('Daily Sale entry '!$X$1:$X$1501,$J915+1),INDEX('Daily Sale entry '!$V$1:$V$1501,$J915-1499)))</f>
        <v/>
      </c>
      <c r="B915">
        <f>IF($J915="","",IF($J915&lt;=1500,INDEX('Daily Sale entry '!$Y$1:$Y$1501,$J915+1)&amp;"","Buyer cheque banked 买家支票存入"&amp;IF(INDEX('Daily Sale entry '!$U$1:$U$1501,$J915-1499)="","", " - "&amp;INDEX('Daily Sale entry '!$U$1:$U$1501,$J915-1499))))</f>
        <v/>
      </c>
      <c r="C915">
        <f>IF($J915="","",IF($J915&lt;=1500,INDEX('Daily Sale entry '!$Z$1:$Z$1501,$J915+1)&amp;"","Cheque deposit 支票存入 (buyer 买家)"))</f>
        <v/>
      </c>
      <c r="D915">
        <f>IF($J915="","",IF($J915&lt;=1500,INDEX('Daily Sale entry '!$AA$1:$AA$1501,$J915+1)&amp;"",INDEX('Daily Sale entry '!$P$1:$P$1501,$J915-1499)&amp;""))</f>
        <v/>
      </c>
      <c r="E915">
        <f>IF($J915="","",IF($J915&lt;=1500,IF(N(INDEX('Daily Sale entry '!$AB$1:$AB$1501,$J915+1))=0,"",INDEX('Daily Sale entry '!$AB$1:$AB$1501,$J915+1)),1))</f>
        <v/>
      </c>
      <c r="F915" s="6">
        <f>IF($J915="","",IF($J915&lt;=1500,N(INDEX('Daily Sale entry '!$AC$1:$AC$1501,$J915+1))-IF(AND('Opening Balance'!$B$15=1,INDEX('Daily Sale entry '!$Z$1:$Z$1501,$J915+1)="Online collection 网上收款",INDEX('Daily Sale entry '!$AA$1:$AA$1501,$J915+1)&lt;&gt;""),N(INDEX('Daily Sale entry '!$AC$1:$AC$1501,$J915+1))-TRUNC(N(INDEX('Daily Sale entry '!$AC$1:$AC$1501,$J915+1))),0),N(INDEX('Daily Sale entry '!$S$1:$S$1501,$J915-1499))-'Opening Balance'!$B$15*(N(INDEX('Daily Sale entry '!$S$1:$S$1501,$J915-1499))-TRUNC(N(INDEX('Daily Sale entry '!$S$1:$S$1501,$J915-1499))))))</f>
        <v/>
      </c>
      <c r="G915" s="6">
        <f>IF($J915="","",IF($J915&lt;=1500,N(INDEX('Daily Sale entry '!$AD$1:$AD$1501,$J915+1)),0))</f>
        <v/>
      </c>
      <c r="H915" s="6">
        <f>IF($J915="","",ROUND('Opening Balance'!$B$4+SUM($F$2:F915)-SUM($G$2:G915),2))</f>
        <v/>
      </c>
      <c r="J915" s="21">
        <f>IFERROR(MATCH(ROW()-1,$L$2:$L$3001,0),"")</f>
        <v/>
      </c>
      <c r="K915" s="34">
        <f>IF(AND('Daily Sale entry '!X915&lt;&gt;"",OR('Daily Sale entry '!AC915&lt;&gt;"",'Daily Sale entry '!AD915&lt;&gt;"")),'Daily Sale entry '!X915+ROW()/10000000,"")</f>
        <v/>
      </c>
      <c r="L915" s="21">
        <f>IF(K915="","",COUNTIF($K$2:$K$3001,"&lt;"&amp;K915)+1)</f>
        <v/>
      </c>
    </row>
    <row r="916">
      <c r="A916" s="5">
        <f>IF($J916="","",IF($J916&lt;=1500,INDEX('Daily Sale entry '!$X$1:$X$1501,$J916+1),INDEX('Daily Sale entry '!$V$1:$V$1501,$J916-1499)))</f>
        <v/>
      </c>
      <c r="B916">
        <f>IF($J916="","",IF($J916&lt;=1500,INDEX('Daily Sale entry '!$Y$1:$Y$1501,$J916+1)&amp;"","Buyer cheque banked 买家支票存入"&amp;IF(INDEX('Daily Sale entry '!$U$1:$U$1501,$J916-1499)="","", " - "&amp;INDEX('Daily Sale entry '!$U$1:$U$1501,$J916-1499))))</f>
        <v/>
      </c>
      <c r="C916">
        <f>IF($J916="","",IF($J916&lt;=1500,INDEX('Daily Sale entry '!$Z$1:$Z$1501,$J916+1)&amp;"","Cheque deposit 支票存入 (buyer 买家)"))</f>
        <v/>
      </c>
      <c r="D916">
        <f>IF($J916="","",IF($J916&lt;=1500,INDEX('Daily Sale entry '!$AA$1:$AA$1501,$J916+1)&amp;"",INDEX('Daily Sale entry '!$P$1:$P$1501,$J916-1499)&amp;""))</f>
        <v/>
      </c>
      <c r="E916">
        <f>IF($J916="","",IF($J916&lt;=1500,IF(N(INDEX('Daily Sale entry '!$AB$1:$AB$1501,$J916+1))=0,"",INDEX('Daily Sale entry '!$AB$1:$AB$1501,$J916+1)),1))</f>
        <v/>
      </c>
      <c r="F916" s="6">
        <f>IF($J916="","",IF($J916&lt;=1500,N(INDEX('Daily Sale entry '!$AC$1:$AC$1501,$J916+1))-IF(AND('Opening Balance'!$B$15=1,INDEX('Daily Sale entry '!$Z$1:$Z$1501,$J916+1)="Online collection 网上收款",INDEX('Daily Sale entry '!$AA$1:$AA$1501,$J916+1)&lt;&gt;""),N(INDEX('Daily Sale entry '!$AC$1:$AC$1501,$J916+1))-TRUNC(N(INDEX('Daily Sale entry '!$AC$1:$AC$1501,$J916+1))),0),N(INDEX('Daily Sale entry '!$S$1:$S$1501,$J916-1499))-'Opening Balance'!$B$15*(N(INDEX('Daily Sale entry '!$S$1:$S$1501,$J916-1499))-TRUNC(N(INDEX('Daily Sale entry '!$S$1:$S$1501,$J916-1499))))))</f>
        <v/>
      </c>
      <c r="G916" s="6">
        <f>IF($J916="","",IF($J916&lt;=1500,N(INDEX('Daily Sale entry '!$AD$1:$AD$1501,$J916+1)),0))</f>
        <v/>
      </c>
      <c r="H916" s="6">
        <f>IF($J916="","",ROUND('Opening Balance'!$B$4+SUM($F$2:F916)-SUM($G$2:G916),2))</f>
        <v/>
      </c>
      <c r="J916" s="21">
        <f>IFERROR(MATCH(ROW()-1,$L$2:$L$3001,0),"")</f>
        <v/>
      </c>
      <c r="K916" s="34">
        <f>IF(AND('Daily Sale entry '!X916&lt;&gt;"",OR('Daily Sale entry '!AC916&lt;&gt;"",'Daily Sale entry '!AD916&lt;&gt;"")),'Daily Sale entry '!X916+ROW()/10000000,"")</f>
        <v/>
      </c>
      <c r="L916" s="21">
        <f>IF(K916="","",COUNTIF($K$2:$K$3001,"&lt;"&amp;K916)+1)</f>
        <v/>
      </c>
    </row>
    <row r="917">
      <c r="A917" s="5">
        <f>IF($J917="","",IF($J917&lt;=1500,INDEX('Daily Sale entry '!$X$1:$X$1501,$J917+1),INDEX('Daily Sale entry '!$V$1:$V$1501,$J917-1499)))</f>
        <v/>
      </c>
      <c r="B917">
        <f>IF($J917="","",IF($J917&lt;=1500,INDEX('Daily Sale entry '!$Y$1:$Y$1501,$J917+1)&amp;"","Buyer cheque banked 买家支票存入"&amp;IF(INDEX('Daily Sale entry '!$U$1:$U$1501,$J917-1499)="","", " - "&amp;INDEX('Daily Sale entry '!$U$1:$U$1501,$J917-1499))))</f>
        <v/>
      </c>
      <c r="C917">
        <f>IF($J917="","",IF($J917&lt;=1500,INDEX('Daily Sale entry '!$Z$1:$Z$1501,$J917+1)&amp;"","Cheque deposit 支票存入 (buyer 买家)"))</f>
        <v/>
      </c>
      <c r="D917">
        <f>IF($J917="","",IF($J917&lt;=1500,INDEX('Daily Sale entry '!$AA$1:$AA$1501,$J917+1)&amp;"",INDEX('Daily Sale entry '!$P$1:$P$1501,$J917-1499)&amp;""))</f>
        <v/>
      </c>
      <c r="E917">
        <f>IF($J917="","",IF($J917&lt;=1500,IF(N(INDEX('Daily Sale entry '!$AB$1:$AB$1501,$J917+1))=0,"",INDEX('Daily Sale entry '!$AB$1:$AB$1501,$J917+1)),1))</f>
        <v/>
      </c>
      <c r="F917" s="6">
        <f>IF($J917="","",IF($J917&lt;=1500,N(INDEX('Daily Sale entry '!$AC$1:$AC$1501,$J917+1))-IF(AND('Opening Balance'!$B$15=1,INDEX('Daily Sale entry '!$Z$1:$Z$1501,$J917+1)="Online collection 网上收款",INDEX('Daily Sale entry '!$AA$1:$AA$1501,$J917+1)&lt;&gt;""),N(INDEX('Daily Sale entry '!$AC$1:$AC$1501,$J917+1))-TRUNC(N(INDEX('Daily Sale entry '!$AC$1:$AC$1501,$J917+1))),0),N(INDEX('Daily Sale entry '!$S$1:$S$1501,$J917-1499))-'Opening Balance'!$B$15*(N(INDEX('Daily Sale entry '!$S$1:$S$1501,$J917-1499))-TRUNC(N(INDEX('Daily Sale entry '!$S$1:$S$1501,$J917-1499))))))</f>
        <v/>
      </c>
      <c r="G917" s="6">
        <f>IF($J917="","",IF($J917&lt;=1500,N(INDEX('Daily Sale entry '!$AD$1:$AD$1501,$J917+1)),0))</f>
        <v/>
      </c>
      <c r="H917" s="6">
        <f>IF($J917="","",ROUND('Opening Balance'!$B$4+SUM($F$2:F917)-SUM($G$2:G917),2))</f>
        <v/>
      </c>
      <c r="J917" s="21">
        <f>IFERROR(MATCH(ROW()-1,$L$2:$L$3001,0),"")</f>
        <v/>
      </c>
      <c r="K917" s="34">
        <f>IF(AND('Daily Sale entry '!X917&lt;&gt;"",OR('Daily Sale entry '!AC917&lt;&gt;"",'Daily Sale entry '!AD917&lt;&gt;"")),'Daily Sale entry '!X917+ROW()/10000000,"")</f>
        <v/>
      </c>
      <c r="L917" s="21">
        <f>IF(K917="","",COUNTIF($K$2:$K$3001,"&lt;"&amp;K917)+1)</f>
        <v/>
      </c>
    </row>
    <row r="918">
      <c r="A918" s="5">
        <f>IF($J918="","",IF($J918&lt;=1500,INDEX('Daily Sale entry '!$X$1:$X$1501,$J918+1),INDEX('Daily Sale entry '!$V$1:$V$1501,$J918-1499)))</f>
        <v/>
      </c>
      <c r="B918">
        <f>IF($J918="","",IF($J918&lt;=1500,INDEX('Daily Sale entry '!$Y$1:$Y$1501,$J918+1)&amp;"","Buyer cheque banked 买家支票存入"&amp;IF(INDEX('Daily Sale entry '!$U$1:$U$1501,$J918-1499)="","", " - "&amp;INDEX('Daily Sale entry '!$U$1:$U$1501,$J918-1499))))</f>
        <v/>
      </c>
      <c r="C918">
        <f>IF($J918="","",IF($J918&lt;=1500,INDEX('Daily Sale entry '!$Z$1:$Z$1501,$J918+1)&amp;"","Cheque deposit 支票存入 (buyer 买家)"))</f>
        <v/>
      </c>
      <c r="D918">
        <f>IF($J918="","",IF($J918&lt;=1500,INDEX('Daily Sale entry '!$AA$1:$AA$1501,$J918+1)&amp;"",INDEX('Daily Sale entry '!$P$1:$P$1501,$J918-1499)&amp;""))</f>
        <v/>
      </c>
      <c r="E918">
        <f>IF($J918="","",IF($J918&lt;=1500,IF(N(INDEX('Daily Sale entry '!$AB$1:$AB$1501,$J918+1))=0,"",INDEX('Daily Sale entry '!$AB$1:$AB$1501,$J918+1)),1))</f>
        <v/>
      </c>
      <c r="F918" s="6">
        <f>IF($J918="","",IF($J918&lt;=1500,N(INDEX('Daily Sale entry '!$AC$1:$AC$1501,$J918+1))-IF(AND('Opening Balance'!$B$15=1,INDEX('Daily Sale entry '!$Z$1:$Z$1501,$J918+1)="Online collection 网上收款",INDEX('Daily Sale entry '!$AA$1:$AA$1501,$J918+1)&lt;&gt;""),N(INDEX('Daily Sale entry '!$AC$1:$AC$1501,$J918+1))-TRUNC(N(INDEX('Daily Sale entry '!$AC$1:$AC$1501,$J918+1))),0),N(INDEX('Daily Sale entry '!$S$1:$S$1501,$J918-1499))-'Opening Balance'!$B$15*(N(INDEX('Daily Sale entry '!$S$1:$S$1501,$J918-1499))-TRUNC(N(INDEX('Daily Sale entry '!$S$1:$S$1501,$J918-1499))))))</f>
        <v/>
      </c>
      <c r="G918" s="6">
        <f>IF($J918="","",IF($J918&lt;=1500,N(INDEX('Daily Sale entry '!$AD$1:$AD$1501,$J918+1)),0))</f>
        <v/>
      </c>
      <c r="H918" s="6">
        <f>IF($J918="","",ROUND('Opening Balance'!$B$4+SUM($F$2:F918)-SUM($G$2:G918),2))</f>
        <v/>
      </c>
      <c r="J918" s="21">
        <f>IFERROR(MATCH(ROW()-1,$L$2:$L$3001,0),"")</f>
        <v/>
      </c>
      <c r="K918" s="34">
        <f>IF(AND('Daily Sale entry '!X918&lt;&gt;"",OR('Daily Sale entry '!AC918&lt;&gt;"",'Daily Sale entry '!AD918&lt;&gt;"")),'Daily Sale entry '!X918+ROW()/10000000,"")</f>
        <v/>
      </c>
      <c r="L918" s="21">
        <f>IF(K918="","",COUNTIF($K$2:$K$3001,"&lt;"&amp;K918)+1)</f>
        <v/>
      </c>
    </row>
    <row r="919">
      <c r="A919" s="5">
        <f>IF($J919="","",IF($J919&lt;=1500,INDEX('Daily Sale entry '!$X$1:$X$1501,$J919+1),INDEX('Daily Sale entry '!$V$1:$V$1501,$J919-1499)))</f>
        <v/>
      </c>
      <c r="B919">
        <f>IF($J919="","",IF($J919&lt;=1500,INDEX('Daily Sale entry '!$Y$1:$Y$1501,$J919+1)&amp;"","Buyer cheque banked 买家支票存入"&amp;IF(INDEX('Daily Sale entry '!$U$1:$U$1501,$J919-1499)="","", " - "&amp;INDEX('Daily Sale entry '!$U$1:$U$1501,$J919-1499))))</f>
        <v/>
      </c>
      <c r="C919">
        <f>IF($J919="","",IF($J919&lt;=1500,INDEX('Daily Sale entry '!$Z$1:$Z$1501,$J919+1)&amp;"","Cheque deposit 支票存入 (buyer 买家)"))</f>
        <v/>
      </c>
      <c r="D919">
        <f>IF($J919="","",IF($J919&lt;=1500,INDEX('Daily Sale entry '!$AA$1:$AA$1501,$J919+1)&amp;"",INDEX('Daily Sale entry '!$P$1:$P$1501,$J919-1499)&amp;""))</f>
        <v/>
      </c>
      <c r="E919">
        <f>IF($J919="","",IF($J919&lt;=1500,IF(N(INDEX('Daily Sale entry '!$AB$1:$AB$1501,$J919+1))=0,"",INDEX('Daily Sale entry '!$AB$1:$AB$1501,$J919+1)),1))</f>
        <v/>
      </c>
      <c r="F919" s="6">
        <f>IF($J919="","",IF($J919&lt;=1500,N(INDEX('Daily Sale entry '!$AC$1:$AC$1501,$J919+1))-IF(AND('Opening Balance'!$B$15=1,INDEX('Daily Sale entry '!$Z$1:$Z$1501,$J919+1)="Online collection 网上收款",INDEX('Daily Sale entry '!$AA$1:$AA$1501,$J919+1)&lt;&gt;""),N(INDEX('Daily Sale entry '!$AC$1:$AC$1501,$J919+1))-TRUNC(N(INDEX('Daily Sale entry '!$AC$1:$AC$1501,$J919+1))),0),N(INDEX('Daily Sale entry '!$S$1:$S$1501,$J919-1499))-'Opening Balance'!$B$15*(N(INDEX('Daily Sale entry '!$S$1:$S$1501,$J919-1499))-TRUNC(N(INDEX('Daily Sale entry '!$S$1:$S$1501,$J919-1499))))))</f>
        <v/>
      </c>
      <c r="G919" s="6">
        <f>IF($J919="","",IF($J919&lt;=1500,N(INDEX('Daily Sale entry '!$AD$1:$AD$1501,$J919+1)),0))</f>
        <v/>
      </c>
      <c r="H919" s="6">
        <f>IF($J919="","",ROUND('Opening Balance'!$B$4+SUM($F$2:F919)-SUM($G$2:G919),2))</f>
        <v/>
      </c>
      <c r="J919" s="21">
        <f>IFERROR(MATCH(ROW()-1,$L$2:$L$3001,0),"")</f>
        <v/>
      </c>
      <c r="K919" s="34">
        <f>IF(AND('Daily Sale entry '!X919&lt;&gt;"",OR('Daily Sale entry '!AC919&lt;&gt;"",'Daily Sale entry '!AD919&lt;&gt;"")),'Daily Sale entry '!X919+ROW()/10000000,"")</f>
        <v/>
      </c>
      <c r="L919" s="21">
        <f>IF(K919="","",COUNTIF($K$2:$K$3001,"&lt;"&amp;K919)+1)</f>
        <v/>
      </c>
    </row>
    <row r="920">
      <c r="A920" s="5">
        <f>IF($J920="","",IF($J920&lt;=1500,INDEX('Daily Sale entry '!$X$1:$X$1501,$J920+1),INDEX('Daily Sale entry '!$V$1:$V$1501,$J920-1499)))</f>
        <v/>
      </c>
      <c r="B920">
        <f>IF($J920="","",IF($J920&lt;=1500,INDEX('Daily Sale entry '!$Y$1:$Y$1501,$J920+1)&amp;"","Buyer cheque banked 买家支票存入"&amp;IF(INDEX('Daily Sale entry '!$U$1:$U$1501,$J920-1499)="","", " - "&amp;INDEX('Daily Sale entry '!$U$1:$U$1501,$J920-1499))))</f>
        <v/>
      </c>
      <c r="C920">
        <f>IF($J920="","",IF($J920&lt;=1500,INDEX('Daily Sale entry '!$Z$1:$Z$1501,$J920+1)&amp;"","Cheque deposit 支票存入 (buyer 买家)"))</f>
        <v/>
      </c>
      <c r="D920">
        <f>IF($J920="","",IF($J920&lt;=1500,INDEX('Daily Sale entry '!$AA$1:$AA$1501,$J920+1)&amp;"",INDEX('Daily Sale entry '!$P$1:$P$1501,$J920-1499)&amp;""))</f>
        <v/>
      </c>
      <c r="E920">
        <f>IF($J920="","",IF($J920&lt;=1500,IF(N(INDEX('Daily Sale entry '!$AB$1:$AB$1501,$J920+1))=0,"",INDEX('Daily Sale entry '!$AB$1:$AB$1501,$J920+1)),1))</f>
        <v/>
      </c>
      <c r="F920" s="6">
        <f>IF($J920="","",IF($J920&lt;=1500,N(INDEX('Daily Sale entry '!$AC$1:$AC$1501,$J920+1))-IF(AND('Opening Balance'!$B$15=1,INDEX('Daily Sale entry '!$Z$1:$Z$1501,$J920+1)="Online collection 网上收款",INDEX('Daily Sale entry '!$AA$1:$AA$1501,$J920+1)&lt;&gt;""),N(INDEX('Daily Sale entry '!$AC$1:$AC$1501,$J920+1))-TRUNC(N(INDEX('Daily Sale entry '!$AC$1:$AC$1501,$J920+1))),0),N(INDEX('Daily Sale entry '!$S$1:$S$1501,$J920-1499))-'Opening Balance'!$B$15*(N(INDEX('Daily Sale entry '!$S$1:$S$1501,$J920-1499))-TRUNC(N(INDEX('Daily Sale entry '!$S$1:$S$1501,$J920-1499))))))</f>
        <v/>
      </c>
      <c r="G920" s="6">
        <f>IF($J920="","",IF($J920&lt;=1500,N(INDEX('Daily Sale entry '!$AD$1:$AD$1501,$J920+1)),0))</f>
        <v/>
      </c>
      <c r="H920" s="6">
        <f>IF($J920="","",ROUND('Opening Balance'!$B$4+SUM($F$2:F920)-SUM($G$2:G920),2))</f>
        <v/>
      </c>
      <c r="J920" s="21">
        <f>IFERROR(MATCH(ROW()-1,$L$2:$L$3001,0),"")</f>
        <v/>
      </c>
      <c r="K920" s="34">
        <f>IF(AND('Daily Sale entry '!X920&lt;&gt;"",OR('Daily Sale entry '!AC920&lt;&gt;"",'Daily Sale entry '!AD920&lt;&gt;"")),'Daily Sale entry '!X920+ROW()/10000000,"")</f>
        <v/>
      </c>
      <c r="L920" s="21">
        <f>IF(K920="","",COUNTIF($K$2:$K$3001,"&lt;"&amp;K920)+1)</f>
        <v/>
      </c>
    </row>
    <row r="921">
      <c r="A921" s="5">
        <f>IF($J921="","",IF($J921&lt;=1500,INDEX('Daily Sale entry '!$X$1:$X$1501,$J921+1),INDEX('Daily Sale entry '!$V$1:$V$1501,$J921-1499)))</f>
        <v/>
      </c>
      <c r="B921">
        <f>IF($J921="","",IF($J921&lt;=1500,INDEX('Daily Sale entry '!$Y$1:$Y$1501,$J921+1)&amp;"","Buyer cheque banked 买家支票存入"&amp;IF(INDEX('Daily Sale entry '!$U$1:$U$1501,$J921-1499)="","", " - "&amp;INDEX('Daily Sale entry '!$U$1:$U$1501,$J921-1499))))</f>
        <v/>
      </c>
      <c r="C921">
        <f>IF($J921="","",IF($J921&lt;=1500,INDEX('Daily Sale entry '!$Z$1:$Z$1501,$J921+1)&amp;"","Cheque deposit 支票存入 (buyer 买家)"))</f>
        <v/>
      </c>
      <c r="D921">
        <f>IF($J921="","",IF($J921&lt;=1500,INDEX('Daily Sale entry '!$AA$1:$AA$1501,$J921+1)&amp;"",INDEX('Daily Sale entry '!$P$1:$P$1501,$J921-1499)&amp;""))</f>
        <v/>
      </c>
      <c r="E921">
        <f>IF($J921="","",IF($J921&lt;=1500,IF(N(INDEX('Daily Sale entry '!$AB$1:$AB$1501,$J921+1))=0,"",INDEX('Daily Sale entry '!$AB$1:$AB$1501,$J921+1)),1))</f>
        <v/>
      </c>
      <c r="F921" s="6">
        <f>IF($J921="","",IF($J921&lt;=1500,N(INDEX('Daily Sale entry '!$AC$1:$AC$1501,$J921+1))-IF(AND('Opening Balance'!$B$15=1,INDEX('Daily Sale entry '!$Z$1:$Z$1501,$J921+1)="Online collection 网上收款",INDEX('Daily Sale entry '!$AA$1:$AA$1501,$J921+1)&lt;&gt;""),N(INDEX('Daily Sale entry '!$AC$1:$AC$1501,$J921+1))-TRUNC(N(INDEX('Daily Sale entry '!$AC$1:$AC$1501,$J921+1))),0),N(INDEX('Daily Sale entry '!$S$1:$S$1501,$J921-1499))-'Opening Balance'!$B$15*(N(INDEX('Daily Sale entry '!$S$1:$S$1501,$J921-1499))-TRUNC(N(INDEX('Daily Sale entry '!$S$1:$S$1501,$J921-1499))))))</f>
        <v/>
      </c>
      <c r="G921" s="6">
        <f>IF($J921="","",IF($J921&lt;=1500,N(INDEX('Daily Sale entry '!$AD$1:$AD$1501,$J921+1)),0))</f>
        <v/>
      </c>
      <c r="H921" s="6">
        <f>IF($J921="","",ROUND('Opening Balance'!$B$4+SUM($F$2:F921)-SUM($G$2:G921),2))</f>
        <v/>
      </c>
      <c r="J921" s="21">
        <f>IFERROR(MATCH(ROW()-1,$L$2:$L$3001,0),"")</f>
        <v/>
      </c>
      <c r="K921" s="34">
        <f>IF(AND('Daily Sale entry '!X921&lt;&gt;"",OR('Daily Sale entry '!AC921&lt;&gt;"",'Daily Sale entry '!AD921&lt;&gt;"")),'Daily Sale entry '!X921+ROW()/10000000,"")</f>
        <v/>
      </c>
      <c r="L921" s="21">
        <f>IF(K921="","",COUNTIF($K$2:$K$3001,"&lt;"&amp;K921)+1)</f>
        <v/>
      </c>
    </row>
    <row r="922">
      <c r="A922" s="5">
        <f>IF($J922="","",IF($J922&lt;=1500,INDEX('Daily Sale entry '!$X$1:$X$1501,$J922+1),INDEX('Daily Sale entry '!$V$1:$V$1501,$J922-1499)))</f>
        <v/>
      </c>
      <c r="B922">
        <f>IF($J922="","",IF($J922&lt;=1500,INDEX('Daily Sale entry '!$Y$1:$Y$1501,$J922+1)&amp;"","Buyer cheque banked 买家支票存入"&amp;IF(INDEX('Daily Sale entry '!$U$1:$U$1501,$J922-1499)="","", " - "&amp;INDEX('Daily Sale entry '!$U$1:$U$1501,$J922-1499))))</f>
        <v/>
      </c>
      <c r="C922">
        <f>IF($J922="","",IF($J922&lt;=1500,INDEX('Daily Sale entry '!$Z$1:$Z$1501,$J922+1)&amp;"","Cheque deposit 支票存入 (buyer 买家)"))</f>
        <v/>
      </c>
      <c r="D922">
        <f>IF($J922="","",IF($J922&lt;=1500,INDEX('Daily Sale entry '!$AA$1:$AA$1501,$J922+1)&amp;"",INDEX('Daily Sale entry '!$P$1:$P$1501,$J922-1499)&amp;""))</f>
        <v/>
      </c>
      <c r="E922">
        <f>IF($J922="","",IF($J922&lt;=1500,IF(N(INDEX('Daily Sale entry '!$AB$1:$AB$1501,$J922+1))=0,"",INDEX('Daily Sale entry '!$AB$1:$AB$1501,$J922+1)),1))</f>
        <v/>
      </c>
      <c r="F922" s="6">
        <f>IF($J922="","",IF($J922&lt;=1500,N(INDEX('Daily Sale entry '!$AC$1:$AC$1501,$J922+1))-IF(AND('Opening Balance'!$B$15=1,INDEX('Daily Sale entry '!$Z$1:$Z$1501,$J922+1)="Online collection 网上收款",INDEX('Daily Sale entry '!$AA$1:$AA$1501,$J922+1)&lt;&gt;""),N(INDEX('Daily Sale entry '!$AC$1:$AC$1501,$J922+1))-TRUNC(N(INDEX('Daily Sale entry '!$AC$1:$AC$1501,$J922+1))),0),N(INDEX('Daily Sale entry '!$S$1:$S$1501,$J922-1499))-'Opening Balance'!$B$15*(N(INDEX('Daily Sale entry '!$S$1:$S$1501,$J922-1499))-TRUNC(N(INDEX('Daily Sale entry '!$S$1:$S$1501,$J922-1499))))))</f>
        <v/>
      </c>
      <c r="G922" s="6">
        <f>IF($J922="","",IF($J922&lt;=1500,N(INDEX('Daily Sale entry '!$AD$1:$AD$1501,$J922+1)),0))</f>
        <v/>
      </c>
      <c r="H922" s="6">
        <f>IF($J922="","",ROUND('Opening Balance'!$B$4+SUM($F$2:F922)-SUM($G$2:G922),2))</f>
        <v/>
      </c>
      <c r="J922" s="21">
        <f>IFERROR(MATCH(ROW()-1,$L$2:$L$3001,0),"")</f>
        <v/>
      </c>
      <c r="K922" s="34">
        <f>IF(AND('Daily Sale entry '!X922&lt;&gt;"",OR('Daily Sale entry '!AC922&lt;&gt;"",'Daily Sale entry '!AD922&lt;&gt;"")),'Daily Sale entry '!X922+ROW()/10000000,"")</f>
        <v/>
      </c>
      <c r="L922" s="21">
        <f>IF(K922="","",COUNTIF($K$2:$K$3001,"&lt;"&amp;K922)+1)</f>
        <v/>
      </c>
    </row>
    <row r="923">
      <c r="A923" s="5">
        <f>IF($J923="","",IF($J923&lt;=1500,INDEX('Daily Sale entry '!$X$1:$X$1501,$J923+1),INDEX('Daily Sale entry '!$V$1:$V$1501,$J923-1499)))</f>
        <v/>
      </c>
      <c r="B923">
        <f>IF($J923="","",IF($J923&lt;=1500,INDEX('Daily Sale entry '!$Y$1:$Y$1501,$J923+1)&amp;"","Buyer cheque banked 买家支票存入"&amp;IF(INDEX('Daily Sale entry '!$U$1:$U$1501,$J923-1499)="","", " - "&amp;INDEX('Daily Sale entry '!$U$1:$U$1501,$J923-1499))))</f>
        <v/>
      </c>
      <c r="C923">
        <f>IF($J923="","",IF($J923&lt;=1500,INDEX('Daily Sale entry '!$Z$1:$Z$1501,$J923+1)&amp;"","Cheque deposit 支票存入 (buyer 买家)"))</f>
        <v/>
      </c>
      <c r="D923">
        <f>IF($J923="","",IF($J923&lt;=1500,INDEX('Daily Sale entry '!$AA$1:$AA$1501,$J923+1)&amp;"",INDEX('Daily Sale entry '!$P$1:$P$1501,$J923-1499)&amp;""))</f>
        <v/>
      </c>
      <c r="E923">
        <f>IF($J923="","",IF($J923&lt;=1500,IF(N(INDEX('Daily Sale entry '!$AB$1:$AB$1501,$J923+1))=0,"",INDEX('Daily Sale entry '!$AB$1:$AB$1501,$J923+1)),1))</f>
        <v/>
      </c>
      <c r="F923" s="6">
        <f>IF($J923="","",IF($J923&lt;=1500,N(INDEX('Daily Sale entry '!$AC$1:$AC$1501,$J923+1))-IF(AND('Opening Balance'!$B$15=1,INDEX('Daily Sale entry '!$Z$1:$Z$1501,$J923+1)="Online collection 网上收款",INDEX('Daily Sale entry '!$AA$1:$AA$1501,$J923+1)&lt;&gt;""),N(INDEX('Daily Sale entry '!$AC$1:$AC$1501,$J923+1))-TRUNC(N(INDEX('Daily Sale entry '!$AC$1:$AC$1501,$J923+1))),0),N(INDEX('Daily Sale entry '!$S$1:$S$1501,$J923-1499))-'Opening Balance'!$B$15*(N(INDEX('Daily Sale entry '!$S$1:$S$1501,$J923-1499))-TRUNC(N(INDEX('Daily Sale entry '!$S$1:$S$1501,$J923-1499))))))</f>
        <v/>
      </c>
      <c r="G923" s="6">
        <f>IF($J923="","",IF($J923&lt;=1500,N(INDEX('Daily Sale entry '!$AD$1:$AD$1501,$J923+1)),0))</f>
        <v/>
      </c>
      <c r="H923" s="6">
        <f>IF($J923="","",ROUND('Opening Balance'!$B$4+SUM($F$2:F923)-SUM($G$2:G923),2))</f>
        <v/>
      </c>
      <c r="J923" s="21">
        <f>IFERROR(MATCH(ROW()-1,$L$2:$L$3001,0),"")</f>
        <v/>
      </c>
      <c r="K923" s="34">
        <f>IF(AND('Daily Sale entry '!X923&lt;&gt;"",OR('Daily Sale entry '!AC923&lt;&gt;"",'Daily Sale entry '!AD923&lt;&gt;"")),'Daily Sale entry '!X923+ROW()/10000000,"")</f>
        <v/>
      </c>
      <c r="L923" s="21">
        <f>IF(K923="","",COUNTIF($K$2:$K$3001,"&lt;"&amp;K923)+1)</f>
        <v/>
      </c>
    </row>
    <row r="924">
      <c r="A924" s="5">
        <f>IF($J924="","",IF($J924&lt;=1500,INDEX('Daily Sale entry '!$X$1:$X$1501,$J924+1),INDEX('Daily Sale entry '!$V$1:$V$1501,$J924-1499)))</f>
        <v/>
      </c>
      <c r="B924">
        <f>IF($J924="","",IF($J924&lt;=1500,INDEX('Daily Sale entry '!$Y$1:$Y$1501,$J924+1)&amp;"","Buyer cheque banked 买家支票存入"&amp;IF(INDEX('Daily Sale entry '!$U$1:$U$1501,$J924-1499)="","", " - "&amp;INDEX('Daily Sale entry '!$U$1:$U$1501,$J924-1499))))</f>
        <v/>
      </c>
      <c r="C924">
        <f>IF($J924="","",IF($J924&lt;=1500,INDEX('Daily Sale entry '!$Z$1:$Z$1501,$J924+1)&amp;"","Cheque deposit 支票存入 (buyer 买家)"))</f>
        <v/>
      </c>
      <c r="D924">
        <f>IF($J924="","",IF($J924&lt;=1500,INDEX('Daily Sale entry '!$AA$1:$AA$1501,$J924+1)&amp;"",INDEX('Daily Sale entry '!$P$1:$P$1501,$J924-1499)&amp;""))</f>
        <v/>
      </c>
      <c r="E924">
        <f>IF($J924="","",IF($J924&lt;=1500,IF(N(INDEX('Daily Sale entry '!$AB$1:$AB$1501,$J924+1))=0,"",INDEX('Daily Sale entry '!$AB$1:$AB$1501,$J924+1)),1))</f>
        <v/>
      </c>
      <c r="F924" s="6">
        <f>IF($J924="","",IF($J924&lt;=1500,N(INDEX('Daily Sale entry '!$AC$1:$AC$1501,$J924+1))-IF(AND('Opening Balance'!$B$15=1,INDEX('Daily Sale entry '!$Z$1:$Z$1501,$J924+1)="Online collection 网上收款",INDEX('Daily Sale entry '!$AA$1:$AA$1501,$J924+1)&lt;&gt;""),N(INDEX('Daily Sale entry '!$AC$1:$AC$1501,$J924+1))-TRUNC(N(INDEX('Daily Sale entry '!$AC$1:$AC$1501,$J924+1))),0),N(INDEX('Daily Sale entry '!$S$1:$S$1501,$J924-1499))-'Opening Balance'!$B$15*(N(INDEX('Daily Sale entry '!$S$1:$S$1501,$J924-1499))-TRUNC(N(INDEX('Daily Sale entry '!$S$1:$S$1501,$J924-1499))))))</f>
        <v/>
      </c>
      <c r="G924" s="6">
        <f>IF($J924="","",IF($J924&lt;=1500,N(INDEX('Daily Sale entry '!$AD$1:$AD$1501,$J924+1)),0))</f>
        <v/>
      </c>
      <c r="H924" s="6">
        <f>IF($J924="","",ROUND('Opening Balance'!$B$4+SUM($F$2:F924)-SUM($G$2:G924),2))</f>
        <v/>
      </c>
      <c r="J924" s="21">
        <f>IFERROR(MATCH(ROW()-1,$L$2:$L$3001,0),"")</f>
        <v/>
      </c>
      <c r="K924" s="34">
        <f>IF(AND('Daily Sale entry '!X924&lt;&gt;"",OR('Daily Sale entry '!AC924&lt;&gt;"",'Daily Sale entry '!AD924&lt;&gt;"")),'Daily Sale entry '!X924+ROW()/10000000,"")</f>
        <v/>
      </c>
      <c r="L924" s="21">
        <f>IF(K924="","",COUNTIF($K$2:$K$3001,"&lt;"&amp;K924)+1)</f>
        <v/>
      </c>
    </row>
    <row r="925">
      <c r="A925" s="5">
        <f>IF($J925="","",IF($J925&lt;=1500,INDEX('Daily Sale entry '!$X$1:$X$1501,$J925+1),INDEX('Daily Sale entry '!$V$1:$V$1501,$J925-1499)))</f>
        <v/>
      </c>
      <c r="B925">
        <f>IF($J925="","",IF($J925&lt;=1500,INDEX('Daily Sale entry '!$Y$1:$Y$1501,$J925+1)&amp;"","Buyer cheque banked 买家支票存入"&amp;IF(INDEX('Daily Sale entry '!$U$1:$U$1501,$J925-1499)="","", " - "&amp;INDEX('Daily Sale entry '!$U$1:$U$1501,$J925-1499))))</f>
        <v/>
      </c>
      <c r="C925">
        <f>IF($J925="","",IF($J925&lt;=1500,INDEX('Daily Sale entry '!$Z$1:$Z$1501,$J925+1)&amp;"","Cheque deposit 支票存入 (buyer 买家)"))</f>
        <v/>
      </c>
      <c r="D925">
        <f>IF($J925="","",IF($J925&lt;=1500,INDEX('Daily Sale entry '!$AA$1:$AA$1501,$J925+1)&amp;"",INDEX('Daily Sale entry '!$P$1:$P$1501,$J925-1499)&amp;""))</f>
        <v/>
      </c>
      <c r="E925">
        <f>IF($J925="","",IF($J925&lt;=1500,IF(N(INDEX('Daily Sale entry '!$AB$1:$AB$1501,$J925+1))=0,"",INDEX('Daily Sale entry '!$AB$1:$AB$1501,$J925+1)),1))</f>
        <v/>
      </c>
      <c r="F925" s="6">
        <f>IF($J925="","",IF($J925&lt;=1500,N(INDEX('Daily Sale entry '!$AC$1:$AC$1501,$J925+1))-IF(AND('Opening Balance'!$B$15=1,INDEX('Daily Sale entry '!$Z$1:$Z$1501,$J925+1)="Online collection 网上收款",INDEX('Daily Sale entry '!$AA$1:$AA$1501,$J925+1)&lt;&gt;""),N(INDEX('Daily Sale entry '!$AC$1:$AC$1501,$J925+1))-TRUNC(N(INDEX('Daily Sale entry '!$AC$1:$AC$1501,$J925+1))),0),N(INDEX('Daily Sale entry '!$S$1:$S$1501,$J925-1499))-'Opening Balance'!$B$15*(N(INDEX('Daily Sale entry '!$S$1:$S$1501,$J925-1499))-TRUNC(N(INDEX('Daily Sale entry '!$S$1:$S$1501,$J925-1499))))))</f>
        <v/>
      </c>
      <c r="G925" s="6">
        <f>IF($J925="","",IF($J925&lt;=1500,N(INDEX('Daily Sale entry '!$AD$1:$AD$1501,$J925+1)),0))</f>
        <v/>
      </c>
      <c r="H925" s="6">
        <f>IF($J925="","",ROUND('Opening Balance'!$B$4+SUM($F$2:F925)-SUM($G$2:G925),2))</f>
        <v/>
      </c>
      <c r="J925" s="21">
        <f>IFERROR(MATCH(ROW()-1,$L$2:$L$3001,0),"")</f>
        <v/>
      </c>
      <c r="K925" s="34">
        <f>IF(AND('Daily Sale entry '!X925&lt;&gt;"",OR('Daily Sale entry '!AC925&lt;&gt;"",'Daily Sale entry '!AD925&lt;&gt;"")),'Daily Sale entry '!X925+ROW()/10000000,"")</f>
        <v/>
      </c>
      <c r="L925" s="21">
        <f>IF(K925="","",COUNTIF($K$2:$K$3001,"&lt;"&amp;K925)+1)</f>
        <v/>
      </c>
    </row>
    <row r="926">
      <c r="A926" s="5">
        <f>IF($J926="","",IF($J926&lt;=1500,INDEX('Daily Sale entry '!$X$1:$X$1501,$J926+1),INDEX('Daily Sale entry '!$V$1:$V$1501,$J926-1499)))</f>
        <v/>
      </c>
      <c r="B926">
        <f>IF($J926="","",IF($J926&lt;=1500,INDEX('Daily Sale entry '!$Y$1:$Y$1501,$J926+1)&amp;"","Buyer cheque banked 买家支票存入"&amp;IF(INDEX('Daily Sale entry '!$U$1:$U$1501,$J926-1499)="","", " - "&amp;INDEX('Daily Sale entry '!$U$1:$U$1501,$J926-1499))))</f>
        <v/>
      </c>
      <c r="C926">
        <f>IF($J926="","",IF($J926&lt;=1500,INDEX('Daily Sale entry '!$Z$1:$Z$1501,$J926+1)&amp;"","Cheque deposit 支票存入 (buyer 买家)"))</f>
        <v/>
      </c>
      <c r="D926">
        <f>IF($J926="","",IF($J926&lt;=1500,INDEX('Daily Sale entry '!$AA$1:$AA$1501,$J926+1)&amp;"",INDEX('Daily Sale entry '!$P$1:$P$1501,$J926-1499)&amp;""))</f>
        <v/>
      </c>
      <c r="E926">
        <f>IF($J926="","",IF($J926&lt;=1500,IF(N(INDEX('Daily Sale entry '!$AB$1:$AB$1501,$J926+1))=0,"",INDEX('Daily Sale entry '!$AB$1:$AB$1501,$J926+1)),1))</f>
        <v/>
      </c>
      <c r="F926" s="6">
        <f>IF($J926="","",IF($J926&lt;=1500,N(INDEX('Daily Sale entry '!$AC$1:$AC$1501,$J926+1))-IF(AND('Opening Balance'!$B$15=1,INDEX('Daily Sale entry '!$Z$1:$Z$1501,$J926+1)="Online collection 网上收款",INDEX('Daily Sale entry '!$AA$1:$AA$1501,$J926+1)&lt;&gt;""),N(INDEX('Daily Sale entry '!$AC$1:$AC$1501,$J926+1))-TRUNC(N(INDEX('Daily Sale entry '!$AC$1:$AC$1501,$J926+1))),0),N(INDEX('Daily Sale entry '!$S$1:$S$1501,$J926-1499))-'Opening Balance'!$B$15*(N(INDEX('Daily Sale entry '!$S$1:$S$1501,$J926-1499))-TRUNC(N(INDEX('Daily Sale entry '!$S$1:$S$1501,$J926-1499))))))</f>
        <v/>
      </c>
      <c r="G926" s="6">
        <f>IF($J926="","",IF($J926&lt;=1500,N(INDEX('Daily Sale entry '!$AD$1:$AD$1501,$J926+1)),0))</f>
        <v/>
      </c>
      <c r="H926" s="6">
        <f>IF($J926="","",ROUND('Opening Balance'!$B$4+SUM($F$2:F926)-SUM($G$2:G926),2))</f>
        <v/>
      </c>
      <c r="J926" s="21">
        <f>IFERROR(MATCH(ROW()-1,$L$2:$L$3001,0),"")</f>
        <v/>
      </c>
      <c r="K926" s="34">
        <f>IF(AND('Daily Sale entry '!X926&lt;&gt;"",OR('Daily Sale entry '!AC926&lt;&gt;"",'Daily Sale entry '!AD926&lt;&gt;"")),'Daily Sale entry '!X926+ROW()/10000000,"")</f>
        <v/>
      </c>
      <c r="L926" s="21">
        <f>IF(K926="","",COUNTIF($K$2:$K$3001,"&lt;"&amp;K926)+1)</f>
        <v/>
      </c>
    </row>
    <row r="927">
      <c r="A927" s="5">
        <f>IF($J927="","",IF($J927&lt;=1500,INDEX('Daily Sale entry '!$X$1:$X$1501,$J927+1),INDEX('Daily Sale entry '!$V$1:$V$1501,$J927-1499)))</f>
        <v/>
      </c>
      <c r="B927">
        <f>IF($J927="","",IF($J927&lt;=1500,INDEX('Daily Sale entry '!$Y$1:$Y$1501,$J927+1)&amp;"","Buyer cheque banked 买家支票存入"&amp;IF(INDEX('Daily Sale entry '!$U$1:$U$1501,$J927-1499)="","", " - "&amp;INDEX('Daily Sale entry '!$U$1:$U$1501,$J927-1499))))</f>
        <v/>
      </c>
      <c r="C927">
        <f>IF($J927="","",IF($J927&lt;=1500,INDEX('Daily Sale entry '!$Z$1:$Z$1501,$J927+1)&amp;"","Cheque deposit 支票存入 (buyer 买家)"))</f>
        <v/>
      </c>
      <c r="D927">
        <f>IF($J927="","",IF($J927&lt;=1500,INDEX('Daily Sale entry '!$AA$1:$AA$1501,$J927+1)&amp;"",INDEX('Daily Sale entry '!$P$1:$P$1501,$J927-1499)&amp;""))</f>
        <v/>
      </c>
      <c r="E927">
        <f>IF($J927="","",IF($J927&lt;=1500,IF(N(INDEX('Daily Sale entry '!$AB$1:$AB$1501,$J927+1))=0,"",INDEX('Daily Sale entry '!$AB$1:$AB$1501,$J927+1)),1))</f>
        <v/>
      </c>
      <c r="F927" s="6">
        <f>IF($J927="","",IF($J927&lt;=1500,N(INDEX('Daily Sale entry '!$AC$1:$AC$1501,$J927+1))-IF(AND('Opening Balance'!$B$15=1,INDEX('Daily Sale entry '!$Z$1:$Z$1501,$J927+1)="Online collection 网上收款",INDEX('Daily Sale entry '!$AA$1:$AA$1501,$J927+1)&lt;&gt;""),N(INDEX('Daily Sale entry '!$AC$1:$AC$1501,$J927+1))-TRUNC(N(INDEX('Daily Sale entry '!$AC$1:$AC$1501,$J927+1))),0),N(INDEX('Daily Sale entry '!$S$1:$S$1501,$J927-1499))-'Opening Balance'!$B$15*(N(INDEX('Daily Sale entry '!$S$1:$S$1501,$J927-1499))-TRUNC(N(INDEX('Daily Sale entry '!$S$1:$S$1501,$J927-1499))))))</f>
        <v/>
      </c>
      <c r="G927" s="6">
        <f>IF($J927="","",IF($J927&lt;=1500,N(INDEX('Daily Sale entry '!$AD$1:$AD$1501,$J927+1)),0))</f>
        <v/>
      </c>
      <c r="H927" s="6">
        <f>IF($J927="","",ROUND('Opening Balance'!$B$4+SUM($F$2:F927)-SUM($G$2:G927),2))</f>
        <v/>
      </c>
      <c r="J927" s="21">
        <f>IFERROR(MATCH(ROW()-1,$L$2:$L$3001,0),"")</f>
        <v/>
      </c>
      <c r="K927" s="34">
        <f>IF(AND('Daily Sale entry '!X927&lt;&gt;"",OR('Daily Sale entry '!AC927&lt;&gt;"",'Daily Sale entry '!AD927&lt;&gt;"")),'Daily Sale entry '!X927+ROW()/10000000,"")</f>
        <v/>
      </c>
      <c r="L927" s="21">
        <f>IF(K927="","",COUNTIF($K$2:$K$3001,"&lt;"&amp;K927)+1)</f>
        <v/>
      </c>
    </row>
    <row r="928">
      <c r="A928" s="5">
        <f>IF($J928="","",IF($J928&lt;=1500,INDEX('Daily Sale entry '!$X$1:$X$1501,$J928+1),INDEX('Daily Sale entry '!$V$1:$V$1501,$J928-1499)))</f>
        <v/>
      </c>
      <c r="B928">
        <f>IF($J928="","",IF($J928&lt;=1500,INDEX('Daily Sale entry '!$Y$1:$Y$1501,$J928+1)&amp;"","Buyer cheque banked 买家支票存入"&amp;IF(INDEX('Daily Sale entry '!$U$1:$U$1501,$J928-1499)="","", " - "&amp;INDEX('Daily Sale entry '!$U$1:$U$1501,$J928-1499))))</f>
        <v/>
      </c>
      <c r="C928">
        <f>IF($J928="","",IF($J928&lt;=1500,INDEX('Daily Sale entry '!$Z$1:$Z$1501,$J928+1)&amp;"","Cheque deposit 支票存入 (buyer 买家)"))</f>
        <v/>
      </c>
      <c r="D928">
        <f>IF($J928="","",IF($J928&lt;=1500,INDEX('Daily Sale entry '!$AA$1:$AA$1501,$J928+1)&amp;"",INDEX('Daily Sale entry '!$P$1:$P$1501,$J928-1499)&amp;""))</f>
        <v/>
      </c>
      <c r="E928">
        <f>IF($J928="","",IF($J928&lt;=1500,IF(N(INDEX('Daily Sale entry '!$AB$1:$AB$1501,$J928+1))=0,"",INDEX('Daily Sale entry '!$AB$1:$AB$1501,$J928+1)),1))</f>
        <v/>
      </c>
      <c r="F928" s="6">
        <f>IF($J928="","",IF($J928&lt;=1500,N(INDEX('Daily Sale entry '!$AC$1:$AC$1501,$J928+1))-IF(AND('Opening Balance'!$B$15=1,INDEX('Daily Sale entry '!$Z$1:$Z$1501,$J928+1)="Online collection 网上收款",INDEX('Daily Sale entry '!$AA$1:$AA$1501,$J928+1)&lt;&gt;""),N(INDEX('Daily Sale entry '!$AC$1:$AC$1501,$J928+1))-TRUNC(N(INDEX('Daily Sale entry '!$AC$1:$AC$1501,$J928+1))),0),N(INDEX('Daily Sale entry '!$S$1:$S$1501,$J928-1499))-'Opening Balance'!$B$15*(N(INDEX('Daily Sale entry '!$S$1:$S$1501,$J928-1499))-TRUNC(N(INDEX('Daily Sale entry '!$S$1:$S$1501,$J928-1499))))))</f>
        <v/>
      </c>
      <c r="G928" s="6">
        <f>IF($J928="","",IF($J928&lt;=1500,N(INDEX('Daily Sale entry '!$AD$1:$AD$1501,$J928+1)),0))</f>
        <v/>
      </c>
      <c r="H928" s="6">
        <f>IF($J928="","",ROUND('Opening Balance'!$B$4+SUM($F$2:F928)-SUM($G$2:G928),2))</f>
        <v/>
      </c>
      <c r="J928" s="21">
        <f>IFERROR(MATCH(ROW()-1,$L$2:$L$3001,0),"")</f>
        <v/>
      </c>
      <c r="K928" s="34">
        <f>IF(AND('Daily Sale entry '!X928&lt;&gt;"",OR('Daily Sale entry '!AC928&lt;&gt;"",'Daily Sale entry '!AD928&lt;&gt;"")),'Daily Sale entry '!X928+ROW()/10000000,"")</f>
        <v/>
      </c>
      <c r="L928" s="21">
        <f>IF(K928="","",COUNTIF($K$2:$K$3001,"&lt;"&amp;K928)+1)</f>
        <v/>
      </c>
    </row>
    <row r="929">
      <c r="A929" s="5">
        <f>IF($J929="","",IF($J929&lt;=1500,INDEX('Daily Sale entry '!$X$1:$X$1501,$J929+1),INDEX('Daily Sale entry '!$V$1:$V$1501,$J929-1499)))</f>
        <v/>
      </c>
      <c r="B929">
        <f>IF($J929="","",IF($J929&lt;=1500,INDEX('Daily Sale entry '!$Y$1:$Y$1501,$J929+1)&amp;"","Buyer cheque banked 买家支票存入"&amp;IF(INDEX('Daily Sale entry '!$U$1:$U$1501,$J929-1499)="","", " - "&amp;INDEX('Daily Sale entry '!$U$1:$U$1501,$J929-1499))))</f>
        <v/>
      </c>
      <c r="C929">
        <f>IF($J929="","",IF($J929&lt;=1500,INDEX('Daily Sale entry '!$Z$1:$Z$1501,$J929+1)&amp;"","Cheque deposit 支票存入 (buyer 买家)"))</f>
        <v/>
      </c>
      <c r="D929">
        <f>IF($J929="","",IF($J929&lt;=1500,INDEX('Daily Sale entry '!$AA$1:$AA$1501,$J929+1)&amp;"",INDEX('Daily Sale entry '!$P$1:$P$1501,$J929-1499)&amp;""))</f>
        <v/>
      </c>
      <c r="E929">
        <f>IF($J929="","",IF($J929&lt;=1500,IF(N(INDEX('Daily Sale entry '!$AB$1:$AB$1501,$J929+1))=0,"",INDEX('Daily Sale entry '!$AB$1:$AB$1501,$J929+1)),1))</f>
        <v/>
      </c>
      <c r="F929" s="6">
        <f>IF($J929="","",IF($J929&lt;=1500,N(INDEX('Daily Sale entry '!$AC$1:$AC$1501,$J929+1))-IF(AND('Opening Balance'!$B$15=1,INDEX('Daily Sale entry '!$Z$1:$Z$1501,$J929+1)="Online collection 网上收款",INDEX('Daily Sale entry '!$AA$1:$AA$1501,$J929+1)&lt;&gt;""),N(INDEX('Daily Sale entry '!$AC$1:$AC$1501,$J929+1))-TRUNC(N(INDEX('Daily Sale entry '!$AC$1:$AC$1501,$J929+1))),0),N(INDEX('Daily Sale entry '!$S$1:$S$1501,$J929-1499))-'Opening Balance'!$B$15*(N(INDEX('Daily Sale entry '!$S$1:$S$1501,$J929-1499))-TRUNC(N(INDEX('Daily Sale entry '!$S$1:$S$1501,$J929-1499))))))</f>
        <v/>
      </c>
      <c r="G929" s="6">
        <f>IF($J929="","",IF($J929&lt;=1500,N(INDEX('Daily Sale entry '!$AD$1:$AD$1501,$J929+1)),0))</f>
        <v/>
      </c>
      <c r="H929" s="6">
        <f>IF($J929="","",ROUND('Opening Balance'!$B$4+SUM($F$2:F929)-SUM($G$2:G929),2))</f>
        <v/>
      </c>
      <c r="J929" s="21">
        <f>IFERROR(MATCH(ROW()-1,$L$2:$L$3001,0),"")</f>
        <v/>
      </c>
      <c r="K929" s="34">
        <f>IF(AND('Daily Sale entry '!X929&lt;&gt;"",OR('Daily Sale entry '!AC929&lt;&gt;"",'Daily Sale entry '!AD929&lt;&gt;"")),'Daily Sale entry '!X929+ROW()/10000000,"")</f>
        <v/>
      </c>
      <c r="L929" s="21">
        <f>IF(K929="","",COUNTIF($K$2:$K$3001,"&lt;"&amp;K929)+1)</f>
        <v/>
      </c>
    </row>
    <row r="930">
      <c r="A930" s="5">
        <f>IF($J930="","",IF($J930&lt;=1500,INDEX('Daily Sale entry '!$X$1:$X$1501,$J930+1),INDEX('Daily Sale entry '!$V$1:$V$1501,$J930-1499)))</f>
        <v/>
      </c>
      <c r="B930">
        <f>IF($J930="","",IF($J930&lt;=1500,INDEX('Daily Sale entry '!$Y$1:$Y$1501,$J930+1)&amp;"","Buyer cheque banked 买家支票存入"&amp;IF(INDEX('Daily Sale entry '!$U$1:$U$1501,$J930-1499)="","", " - "&amp;INDEX('Daily Sale entry '!$U$1:$U$1501,$J930-1499))))</f>
        <v/>
      </c>
      <c r="C930">
        <f>IF($J930="","",IF($J930&lt;=1500,INDEX('Daily Sale entry '!$Z$1:$Z$1501,$J930+1)&amp;"","Cheque deposit 支票存入 (buyer 买家)"))</f>
        <v/>
      </c>
      <c r="D930">
        <f>IF($J930="","",IF($J930&lt;=1500,INDEX('Daily Sale entry '!$AA$1:$AA$1501,$J930+1)&amp;"",INDEX('Daily Sale entry '!$P$1:$P$1501,$J930-1499)&amp;""))</f>
        <v/>
      </c>
      <c r="E930">
        <f>IF($J930="","",IF($J930&lt;=1500,IF(N(INDEX('Daily Sale entry '!$AB$1:$AB$1501,$J930+1))=0,"",INDEX('Daily Sale entry '!$AB$1:$AB$1501,$J930+1)),1))</f>
        <v/>
      </c>
      <c r="F930" s="6">
        <f>IF($J930="","",IF($J930&lt;=1500,N(INDEX('Daily Sale entry '!$AC$1:$AC$1501,$J930+1))-IF(AND('Opening Balance'!$B$15=1,INDEX('Daily Sale entry '!$Z$1:$Z$1501,$J930+1)="Online collection 网上收款",INDEX('Daily Sale entry '!$AA$1:$AA$1501,$J930+1)&lt;&gt;""),N(INDEX('Daily Sale entry '!$AC$1:$AC$1501,$J930+1))-TRUNC(N(INDEX('Daily Sale entry '!$AC$1:$AC$1501,$J930+1))),0),N(INDEX('Daily Sale entry '!$S$1:$S$1501,$J930-1499))-'Opening Balance'!$B$15*(N(INDEX('Daily Sale entry '!$S$1:$S$1501,$J930-1499))-TRUNC(N(INDEX('Daily Sale entry '!$S$1:$S$1501,$J930-1499))))))</f>
        <v/>
      </c>
      <c r="G930" s="6">
        <f>IF($J930="","",IF($J930&lt;=1500,N(INDEX('Daily Sale entry '!$AD$1:$AD$1501,$J930+1)),0))</f>
        <v/>
      </c>
      <c r="H930" s="6">
        <f>IF($J930="","",ROUND('Opening Balance'!$B$4+SUM($F$2:F930)-SUM($G$2:G930),2))</f>
        <v/>
      </c>
      <c r="J930" s="21">
        <f>IFERROR(MATCH(ROW()-1,$L$2:$L$3001,0),"")</f>
        <v/>
      </c>
      <c r="K930" s="34">
        <f>IF(AND('Daily Sale entry '!X930&lt;&gt;"",OR('Daily Sale entry '!AC930&lt;&gt;"",'Daily Sale entry '!AD930&lt;&gt;"")),'Daily Sale entry '!X930+ROW()/10000000,"")</f>
        <v/>
      </c>
      <c r="L930" s="21">
        <f>IF(K930="","",COUNTIF($K$2:$K$3001,"&lt;"&amp;K930)+1)</f>
        <v/>
      </c>
    </row>
    <row r="931">
      <c r="A931" s="5">
        <f>IF($J931="","",IF($J931&lt;=1500,INDEX('Daily Sale entry '!$X$1:$X$1501,$J931+1),INDEX('Daily Sale entry '!$V$1:$V$1501,$J931-1499)))</f>
        <v/>
      </c>
      <c r="B931">
        <f>IF($J931="","",IF($J931&lt;=1500,INDEX('Daily Sale entry '!$Y$1:$Y$1501,$J931+1)&amp;"","Buyer cheque banked 买家支票存入"&amp;IF(INDEX('Daily Sale entry '!$U$1:$U$1501,$J931-1499)="","", " - "&amp;INDEX('Daily Sale entry '!$U$1:$U$1501,$J931-1499))))</f>
        <v/>
      </c>
      <c r="C931">
        <f>IF($J931="","",IF($J931&lt;=1500,INDEX('Daily Sale entry '!$Z$1:$Z$1501,$J931+1)&amp;"","Cheque deposit 支票存入 (buyer 买家)"))</f>
        <v/>
      </c>
      <c r="D931">
        <f>IF($J931="","",IF($J931&lt;=1500,INDEX('Daily Sale entry '!$AA$1:$AA$1501,$J931+1)&amp;"",INDEX('Daily Sale entry '!$P$1:$P$1501,$J931-1499)&amp;""))</f>
        <v/>
      </c>
      <c r="E931">
        <f>IF($J931="","",IF($J931&lt;=1500,IF(N(INDEX('Daily Sale entry '!$AB$1:$AB$1501,$J931+1))=0,"",INDEX('Daily Sale entry '!$AB$1:$AB$1501,$J931+1)),1))</f>
        <v/>
      </c>
      <c r="F931" s="6">
        <f>IF($J931="","",IF($J931&lt;=1500,N(INDEX('Daily Sale entry '!$AC$1:$AC$1501,$J931+1))-IF(AND('Opening Balance'!$B$15=1,INDEX('Daily Sale entry '!$Z$1:$Z$1501,$J931+1)="Online collection 网上收款",INDEX('Daily Sale entry '!$AA$1:$AA$1501,$J931+1)&lt;&gt;""),N(INDEX('Daily Sale entry '!$AC$1:$AC$1501,$J931+1))-TRUNC(N(INDEX('Daily Sale entry '!$AC$1:$AC$1501,$J931+1))),0),N(INDEX('Daily Sale entry '!$S$1:$S$1501,$J931-1499))-'Opening Balance'!$B$15*(N(INDEX('Daily Sale entry '!$S$1:$S$1501,$J931-1499))-TRUNC(N(INDEX('Daily Sale entry '!$S$1:$S$1501,$J931-1499))))))</f>
        <v/>
      </c>
      <c r="G931" s="6">
        <f>IF($J931="","",IF($J931&lt;=1500,N(INDEX('Daily Sale entry '!$AD$1:$AD$1501,$J931+1)),0))</f>
        <v/>
      </c>
      <c r="H931" s="6">
        <f>IF($J931="","",ROUND('Opening Balance'!$B$4+SUM($F$2:F931)-SUM($G$2:G931),2))</f>
        <v/>
      </c>
      <c r="J931" s="21">
        <f>IFERROR(MATCH(ROW()-1,$L$2:$L$3001,0),"")</f>
        <v/>
      </c>
      <c r="K931" s="34">
        <f>IF(AND('Daily Sale entry '!X931&lt;&gt;"",OR('Daily Sale entry '!AC931&lt;&gt;"",'Daily Sale entry '!AD931&lt;&gt;"")),'Daily Sale entry '!X931+ROW()/10000000,"")</f>
        <v/>
      </c>
      <c r="L931" s="21">
        <f>IF(K931="","",COUNTIF($K$2:$K$3001,"&lt;"&amp;K931)+1)</f>
        <v/>
      </c>
    </row>
    <row r="932">
      <c r="A932" s="5">
        <f>IF($J932="","",IF($J932&lt;=1500,INDEX('Daily Sale entry '!$X$1:$X$1501,$J932+1),INDEX('Daily Sale entry '!$V$1:$V$1501,$J932-1499)))</f>
        <v/>
      </c>
      <c r="B932">
        <f>IF($J932="","",IF($J932&lt;=1500,INDEX('Daily Sale entry '!$Y$1:$Y$1501,$J932+1)&amp;"","Buyer cheque banked 买家支票存入"&amp;IF(INDEX('Daily Sale entry '!$U$1:$U$1501,$J932-1499)="","", " - "&amp;INDEX('Daily Sale entry '!$U$1:$U$1501,$J932-1499))))</f>
        <v/>
      </c>
      <c r="C932">
        <f>IF($J932="","",IF($J932&lt;=1500,INDEX('Daily Sale entry '!$Z$1:$Z$1501,$J932+1)&amp;"","Cheque deposit 支票存入 (buyer 买家)"))</f>
        <v/>
      </c>
      <c r="D932">
        <f>IF($J932="","",IF($J932&lt;=1500,INDEX('Daily Sale entry '!$AA$1:$AA$1501,$J932+1)&amp;"",INDEX('Daily Sale entry '!$P$1:$P$1501,$J932-1499)&amp;""))</f>
        <v/>
      </c>
      <c r="E932">
        <f>IF($J932="","",IF($J932&lt;=1500,IF(N(INDEX('Daily Sale entry '!$AB$1:$AB$1501,$J932+1))=0,"",INDEX('Daily Sale entry '!$AB$1:$AB$1501,$J932+1)),1))</f>
        <v/>
      </c>
      <c r="F932" s="6">
        <f>IF($J932="","",IF($J932&lt;=1500,N(INDEX('Daily Sale entry '!$AC$1:$AC$1501,$J932+1))-IF(AND('Opening Balance'!$B$15=1,INDEX('Daily Sale entry '!$Z$1:$Z$1501,$J932+1)="Online collection 网上收款",INDEX('Daily Sale entry '!$AA$1:$AA$1501,$J932+1)&lt;&gt;""),N(INDEX('Daily Sale entry '!$AC$1:$AC$1501,$J932+1))-TRUNC(N(INDEX('Daily Sale entry '!$AC$1:$AC$1501,$J932+1))),0),N(INDEX('Daily Sale entry '!$S$1:$S$1501,$J932-1499))-'Opening Balance'!$B$15*(N(INDEX('Daily Sale entry '!$S$1:$S$1501,$J932-1499))-TRUNC(N(INDEX('Daily Sale entry '!$S$1:$S$1501,$J932-1499))))))</f>
        <v/>
      </c>
      <c r="G932" s="6">
        <f>IF($J932="","",IF($J932&lt;=1500,N(INDEX('Daily Sale entry '!$AD$1:$AD$1501,$J932+1)),0))</f>
        <v/>
      </c>
      <c r="H932" s="6">
        <f>IF($J932="","",ROUND('Opening Balance'!$B$4+SUM($F$2:F932)-SUM($G$2:G932),2))</f>
        <v/>
      </c>
      <c r="J932" s="21">
        <f>IFERROR(MATCH(ROW()-1,$L$2:$L$3001,0),"")</f>
        <v/>
      </c>
      <c r="K932" s="34">
        <f>IF(AND('Daily Sale entry '!X932&lt;&gt;"",OR('Daily Sale entry '!AC932&lt;&gt;"",'Daily Sale entry '!AD932&lt;&gt;"")),'Daily Sale entry '!X932+ROW()/10000000,"")</f>
        <v/>
      </c>
      <c r="L932" s="21">
        <f>IF(K932="","",COUNTIF($K$2:$K$3001,"&lt;"&amp;K932)+1)</f>
        <v/>
      </c>
    </row>
    <row r="933">
      <c r="A933" s="5">
        <f>IF($J933="","",IF($J933&lt;=1500,INDEX('Daily Sale entry '!$X$1:$X$1501,$J933+1),INDEX('Daily Sale entry '!$V$1:$V$1501,$J933-1499)))</f>
        <v/>
      </c>
      <c r="B933">
        <f>IF($J933="","",IF($J933&lt;=1500,INDEX('Daily Sale entry '!$Y$1:$Y$1501,$J933+1)&amp;"","Buyer cheque banked 买家支票存入"&amp;IF(INDEX('Daily Sale entry '!$U$1:$U$1501,$J933-1499)="","", " - "&amp;INDEX('Daily Sale entry '!$U$1:$U$1501,$J933-1499))))</f>
        <v/>
      </c>
      <c r="C933">
        <f>IF($J933="","",IF($J933&lt;=1500,INDEX('Daily Sale entry '!$Z$1:$Z$1501,$J933+1)&amp;"","Cheque deposit 支票存入 (buyer 买家)"))</f>
        <v/>
      </c>
      <c r="D933">
        <f>IF($J933="","",IF($J933&lt;=1500,INDEX('Daily Sale entry '!$AA$1:$AA$1501,$J933+1)&amp;"",INDEX('Daily Sale entry '!$P$1:$P$1501,$J933-1499)&amp;""))</f>
        <v/>
      </c>
      <c r="E933">
        <f>IF($J933="","",IF($J933&lt;=1500,IF(N(INDEX('Daily Sale entry '!$AB$1:$AB$1501,$J933+1))=0,"",INDEX('Daily Sale entry '!$AB$1:$AB$1501,$J933+1)),1))</f>
        <v/>
      </c>
      <c r="F933" s="6">
        <f>IF($J933="","",IF($J933&lt;=1500,N(INDEX('Daily Sale entry '!$AC$1:$AC$1501,$J933+1))-IF(AND('Opening Balance'!$B$15=1,INDEX('Daily Sale entry '!$Z$1:$Z$1501,$J933+1)="Online collection 网上收款",INDEX('Daily Sale entry '!$AA$1:$AA$1501,$J933+1)&lt;&gt;""),N(INDEX('Daily Sale entry '!$AC$1:$AC$1501,$J933+1))-TRUNC(N(INDEX('Daily Sale entry '!$AC$1:$AC$1501,$J933+1))),0),N(INDEX('Daily Sale entry '!$S$1:$S$1501,$J933-1499))-'Opening Balance'!$B$15*(N(INDEX('Daily Sale entry '!$S$1:$S$1501,$J933-1499))-TRUNC(N(INDEX('Daily Sale entry '!$S$1:$S$1501,$J933-1499))))))</f>
        <v/>
      </c>
      <c r="G933" s="6">
        <f>IF($J933="","",IF($J933&lt;=1500,N(INDEX('Daily Sale entry '!$AD$1:$AD$1501,$J933+1)),0))</f>
        <v/>
      </c>
      <c r="H933" s="6">
        <f>IF($J933="","",ROUND('Opening Balance'!$B$4+SUM($F$2:F933)-SUM($G$2:G933),2))</f>
        <v/>
      </c>
      <c r="J933" s="21">
        <f>IFERROR(MATCH(ROW()-1,$L$2:$L$3001,0),"")</f>
        <v/>
      </c>
      <c r="K933" s="34">
        <f>IF(AND('Daily Sale entry '!X933&lt;&gt;"",OR('Daily Sale entry '!AC933&lt;&gt;"",'Daily Sale entry '!AD933&lt;&gt;"")),'Daily Sale entry '!X933+ROW()/10000000,"")</f>
        <v/>
      </c>
      <c r="L933" s="21">
        <f>IF(K933="","",COUNTIF($K$2:$K$3001,"&lt;"&amp;K933)+1)</f>
        <v/>
      </c>
    </row>
    <row r="934">
      <c r="A934" s="5">
        <f>IF($J934="","",IF($J934&lt;=1500,INDEX('Daily Sale entry '!$X$1:$X$1501,$J934+1),INDEX('Daily Sale entry '!$V$1:$V$1501,$J934-1499)))</f>
        <v/>
      </c>
      <c r="B934">
        <f>IF($J934="","",IF($J934&lt;=1500,INDEX('Daily Sale entry '!$Y$1:$Y$1501,$J934+1)&amp;"","Buyer cheque banked 买家支票存入"&amp;IF(INDEX('Daily Sale entry '!$U$1:$U$1501,$J934-1499)="","", " - "&amp;INDEX('Daily Sale entry '!$U$1:$U$1501,$J934-1499))))</f>
        <v/>
      </c>
      <c r="C934">
        <f>IF($J934="","",IF($J934&lt;=1500,INDEX('Daily Sale entry '!$Z$1:$Z$1501,$J934+1)&amp;"","Cheque deposit 支票存入 (buyer 买家)"))</f>
        <v/>
      </c>
      <c r="D934">
        <f>IF($J934="","",IF($J934&lt;=1500,INDEX('Daily Sale entry '!$AA$1:$AA$1501,$J934+1)&amp;"",INDEX('Daily Sale entry '!$P$1:$P$1501,$J934-1499)&amp;""))</f>
        <v/>
      </c>
      <c r="E934">
        <f>IF($J934="","",IF($J934&lt;=1500,IF(N(INDEX('Daily Sale entry '!$AB$1:$AB$1501,$J934+1))=0,"",INDEX('Daily Sale entry '!$AB$1:$AB$1501,$J934+1)),1))</f>
        <v/>
      </c>
      <c r="F934" s="6">
        <f>IF($J934="","",IF($J934&lt;=1500,N(INDEX('Daily Sale entry '!$AC$1:$AC$1501,$J934+1))-IF(AND('Opening Balance'!$B$15=1,INDEX('Daily Sale entry '!$Z$1:$Z$1501,$J934+1)="Online collection 网上收款",INDEX('Daily Sale entry '!$AA$1:$AA$1501,$J934+1)&lt;&gt;""),N(INDEX('Daily Sale entry '!$AC$1:$AC$1501,$J934+1))-TRUNC(N(INDEX('Daily Sale entry '!$AC$1:$AC$1501,$J934+1))),0),N(INDEX('Daily Sale entry '!$S$1:$S$1501,$J934-1499))-'Opening Balance'!$B$15*(N(INDEX('Daily Sale entry '!$S$1:$S$1501,$J934-1499))-TRUNC(N(INDEX('Daily Sale entry '!$S$1:$S$1501,$J934-1499))))))</f>
        <v/>
      </c>
      <c r="G934" s="6">
        <f>IF($J934="","",IF($J934&lt;=1500,N(INDEX('Daily Sale entry '!$AD$1:$AD$1501,$J934+1)),0))</f>
        <v/>
      </c>
      <c r="H934" s="6">
        <f>IF($J934="","",ROUND('Opening Balance'!$B$4+SUM($F$2:F934)-SUM($G$2:G934),2))</f>
        <v/>
      </c>
      <c r="J934" s="21">
        <f>IFERROR(MATCH(ROW()-1,$L$2:$L$3001,0),"")</f>
        <v/>
      </c>
      <c r="K934" s="34">
        <f>IF(AND('Daily Sale entry '!X934&lt;&gt;"",OR('Daily Sale entry '!AC934&lt;&gt;"",'Daily Sale entry '!AD934&lt;&gt;"")),'Daily Sale entry '!X934+ROW()/10000000,"")</f>
        <v/>
      </c>
      <c r="L934" s="21">
        <f>IF(K934="","",COUNTIF($K$2:$K$3001,"&lt;"&amp;K934)+1)</f>
        <v/>
      </c>
    </row>
    <row r="935">
      <c r="A935" s="5">
        <f>IF($J935="","",IF($J935&lt;=1500,INDEX('Daily Sale entry '!$X$1:$X$1501,$J935+1),INDEX('Daily Sale entry '!$V$1:$V$1501,$J935-1499)))</f>
        <v/>
      </c>
      <c r="B935">
        <f>IF($J935="","",IF($J935&lt;=1500,INDEX('Daily Sale entry '!$Y$1:$Y$1501,$J935+1)&amp;"","Buyer cheque banked 买家支票存入"&amp;IF(INDEX('Daily Sale entry '!$U$1:$U$1501,$J935-1499)="","", " - "&amp;INDEX('Daily Sale entry '!$U$1:$U$1501,$J935-1499))))</f>
        <v/>
      </c>
      <c r="C935">
        <f>IF($J935="","",IF($J935&lt;=1500,INDEX('Daily Sale entry '!$Z$1:$Z$1501,$J935+1)&amp;"","Cheque deposit 支票存入 (buyer 买家)"))</f>
        <v/>
      </c>
      <c r="D935">
        <f>IF($J935="","",IF($J935&lt;=1500,INDEX('Daily Sale entry '!$AA$1:$AA$1501,$J935+1)&amp;"",INDEX('Daily Sale entry '!$P$1:$P$1501,$J935-1499)&amp;""))</f>
        <v/>
      </c>
      <c r="E935">
        <f>IF($J935="","",IF($J935&lt;=1500,IF(N(INDEX('Daily Sale entry '!$AB$1:$AB$1501,$J935+1))=0,"",INDEX('Daily Sale entry '!$AB$1:$AB$1501,$J935+1)),1))</f>
        <v/>
      </c>
      <c r="F935" s="6">
        <f>IF($J935="","",IF($J935&lt;=1500,N(INDEX('Daily Sale entry '!$AC$1:$AC$1501,$J935+1))-IF(AND('Opening Balance'!$B$15=1,INDEX('Daily Sale entry '!$Z$1:$Z$1501,$J935+1)="Online collection 网上收款",INDEX('Daily Sale entry '!$AA$1:$AA$1501,$J935+1)&lt;&gt;""),N(INDEX('Daily Sale entry '!$AC$1:$AC$1501,$J935+1))-TRUNC(N(INDEX('Daily Sale entry '!$AC$1:$AC$1501,$J935+1))),0),N(INDEX('Daily Sale entry '!$S$1:$S$1501,$J935-1499))-'Opening Balance'!$B$15*(N(INDEX('Daily Sale entry '!$S$1:$S$1501,$J935-1499))-TRUNC(N(INDEX('Daily Sale entry '!$S$1:$S$1501,$J935-1499))))))</f>
        <v/>
      </c>
      <c r="G935" s="6">
        <f>IF($J935="","",IF($J935&lt;=1500,N(INDEX('Daily Sale entry '!$AD$1:$AD$1501,$J935+1)),0))</f>
        <v/>
      </c>
      <c r="H935" s="6">
        <f>IF($J935="","",ROUND('Opening Balance'!$B$4+SUM($F$2:F935)-SUM($G$2:G935),2))</f>
        <v/>
      </c>
      <c r="J935" s="21">
        <f>IFERROR(MATCH(ROW()-1,$L$2:$L$3001,0),"")</f>
        <v/>
      </c>
      <c r="K935" s="34">
        <f>IF(AND('Daily Sale entry '!X935&lt;&gt;"",OR('Daily Sale entry '!AC935&lt;&gt;"",'Daily Sale entry '!AD935&lt;&gt;"")),'Daily Sale entry '!X935+ROW()/10000000,"")</f>
        <v/>
      </c>
      <c r="L935" s="21">
        <f>IF(K935="","",COUNTIF($K$2:$K$3001,"&lt;"&amp;K935)+1)</f>
        <v/>
      </c>
    </row>
    <row r="936">
      <c r="A936" s="5">
        <f>IF($J936="","",IF($J936&lt;=1500,INDEX('Daily Sale entry '!$X$1:$X$1501,$J936+1),INDEX('Daily Sale entry '!$V$1:$V$1501,$J936-1499)))</f>
        <v/>
      </c>
      <c r="B936">
        <f>IF($J936="","",IF($J936&lt;=1500,INDEX('Daily Sale entry '!$Y$1:$Y$1501,$J936+1)&amp;"","Buyer cheque banked 买家支票存入"&amp;IF(INDEX('Daily Sale entry '!$U$1:$U$1501,$J936-1499)="","", " - "&amp;INDEX('Daily Sale entry '!$U$1:$U$1501,$J936-1499))))</f>
        <v/>
      </c>
      <c r="C936">
        <f>IF($J936="","",IF($J936&lt;=1500,INDEX('Daily Sale entry '!$Z$1:$Z$1501,$J936+1)&amp;"","Cheque deposit 支票存入 (buyer 买家)"))</f>
        <v/>
      </c>
      <c r="D936">
        <f>IF($J936="","",IF($J936&lt;=1500,INDEX('Daily Sale entry '!$AA$1:$AA$1501,$J936+1)&amp;"",INDEX('Daily Sale entry '!$P$1:$P$1501,$J936-1499)&amp;""))</f>
        <v/>
      </c>
      <c r="E936">
        <f>IF($J936="","",IF($J936&lt;=1500,IF(N(INDEX('Daily Sale entry '!$AB$1:$AB$1501,$J936+1))=0,"",INDEX('Daily Sale entry '!$AB$1:$AB$1501,$J936+1)),1))</f>
        <v/>
      </c>
      <c r="F936" s="6">
        <f>IF($J936="","",IF($J936&lt;=1500,N(INDEX('Daily Sale entry '!$AC$1:$AC$1501,$J936+1))-IF(AND('Opening Balance'!$B$15=1,INDEX('Daily Sale entry '!$Z$1:$Z$1501,$J936+1)="Online collection 网上收款",INDEX('Daily Sale entry '!$AA$1:$AA$1501,$J936+1)&lt;&gt;""),N(INDEX('Daily Sale entry '!$AC$1:$AC$1501,$J936+1))-TRUNC(N(INDEX('Daily Sale entry '!$AC$1:$AC$1501,$J936+1))),0),N(INDEX('Daily Sale entry '!$S$1:$S$1501,$J936-1499))-'Opening Balance'!$B$15*(N(INDEX('Daily Sale entry '!$S$1:$S$1501,$J936-1499))-TRUNC(N(INDEX('Daily Sale entry '!$S$1:$S$1501,$J936-1499))))))</f>
        <v/>
      </c>
      <c r="G936" s="6">
        <f>IF($J936="","",IF($J936&lt;=1500,N(INDEX('Daily Sale entry '!$AD$1:$AD$1501,$J936+1)),0))</f>
        <v/>
      </c>
      <c r="H936" s="6">
        <f>IF($J936="","",ROUND('Opening Balance'!$B$4+SUM($F$2:F936)-SUM($G$2:G936),2))</f>
        <v/>
      </c>
      <c r="J936" s="21">
        <f>IFERROR(MATCH(ROW()-1,$L$2:$L$3001,0),"")</f>
        <v/>
      </c>
      <c r="K936" s="34">
        <f>IF(AND('Daily Sale entry '!X936&lt;&gt;"",OR('Daily Sale entry '!AC936&lt;&gt;"",'Daily Sale entry '!AD936&lt;&gt;"")),'Daily Sale entry '!X936+ROW()/10000000,"")</f>
        <v/>
      </c>
      <c r="L936" s="21">
        <f>IF(K936="","",COUNTIF($K$2:$K$3001,"&lt;"&amp;K936)+1)</f>
        <v/>
      </c>
    </row>
    <row r="937">
      <c r="A937" s="5">
        <f>IF($J937="","",IF($J937&lt;=1500,INDEX('Daily Sale entry '!$X$1:$X$1501,$J937+1),INDEX('Daily Sale entry '!$V$1:$V$1501,$J937-1499)))</f>
        <v/>
      </c>
      <c r="B937">
        <f>IF($J937="","",IF($J937&lt;=1500,INDEX('Daily Sale entry '!$Y$1:$Y$1501,$J937+1)&amp;"","Buyer cheque banked 买家支票存入"&amp;IF(INDEX('Daily Sale entry '!$U$1:$U$1501,$J937-1499)="","", " - "&amp;INDEX('Daily Sale entry '!$U$1:$U$1501,$J937-1499))))</f>
        <v/>
      </c>
      <c r="C937">
        <f>IF($J937="","",IF($J937&lt;=1500,INDEX('Daily Sale entry '!$Z$1:$Z$1501,$J937+1)&amp;"","Cheque deposit 支票存入 (buyer 买家)"))</f>
        <v/>
      </c>
      <c r="D937">
        <f>IF($J937="","",IF($J937&lt;=1500,INDEX('Daily Sale entry '!$AA$1:$AA$1501,$J937+1)&amp;"",INDEX('Daily Sale entry '!$P$1:$P$1501,$J937-1499)&amp;""))</f>
        <v/>
      </c>
      <c r="E937">
        <f>IF($J937="","",IF($J937&lt;=1500,IF(N(INDEX('Daily Sale entry '!$AB$1:$AB$1501,$J937+1))=0,"",INDEX('Daily Sale entry '!$AB$1:$AB$1501,$J937+1)),1))</f>
        <v/>
      </c>
      <c r="F937" s="6">
        <f>IF($J937="","",IF($J937&lt;=1500,N(INDEX('Daily Sale entry '!$AC$1:$AC$1501,$J937+1))-IF(AND('Opening Balance'!$B$15=1,INDEX('Daily Sale entry '!$Z$1:$Z$1501,$J937+1)="Online collection 网上收款",INDEX('Daily Sale entry '!$AA$1:$AA$1501,$J937+1)&lt;&gt;""),N(INDEX('Daily Sale entry '!$AC$1:$AC$1501,$J937+1))-TRUNC(N(INDEX('Daily Sale entry '!$AC$1:$AC$1501,$J937+1))),0),N(INDEX('Daily Sale entry '!$S$1:$S$1501,$J937-1499))-'Opening Balance'!$B$15*(N(INDEX('Daily Sale entry '!$S$1:$S$1501,$J937-1499))-TRUNC(N(INDEX('Daily Sale entry '!$S$1:$S$1501,$J937-1499))))))</f>
        <v/>
      </c>
      <c r="G937" s="6">
        <f>IF($J937="","",IF($J937&lt;=1500,N(INDEX('Daily Sale entry '!$AD$1:$AD$1501,$J937+1)),0))</f>
        <v/>
      </c>
      <c r="H937" s="6">
        <f>IF($J937="","",ROUND('Opening Balance'!$B$4+SUM($F$2:F937)-SUM($G$2:G937),2))</f>
        <v/>
      </c>
      <c r="J937" s="21">
        <f>IFERROR(MATCH(ROW()-1,$L$2:$L$3001,0),"")</f>
        <v/>
      </c>
      <c r="K937" s="34">
        <f>IF(AND('Daily Sale entry '!X937&lt;&gt;"",OR('Daily Sale entry '!AC937&lt;&gt;"",'Daily Sale entry '!AD937&lt;&gt;"")),'Daily Sale entry '!X937+ROW()/10000000,"")</f>
        <v/>
      </c>
      <c r="L937" s="21">
        <f>IF(K937="","",COUNTIF($K$2:$K$3001,"&lt;"&amp;K937)+1)</f>
        <v/>
      </c>
    </row>
    <row r="938">
      <c r="A938" s="5">
        <f>IF($J938="","",IF($J938&lt;=1500,INDEX('Daily Sale entry '!$X$1:$X$1501,$J938+1),INDEX('Daily Sale entry '!$V$1:$V$1501,$J938-1499)))</f>
        <v/>
      </c>
      <c r="B938">
        <f>IF($J938="","",IF($J938&lt;=1500,INDEX('Daily Sale entry '!$Y$1:$Y$1501,$J938+1)&amp;"","Buyer cheque banked 买家支票存入"&amp;IF(INDEX('Daily Sale entry '!$U$1:$U$1501,$J938-1499)="","", " - "&amp;INDEX('Daily Sale entry '!$U$1:$U$1501,$J938-1499))))</f>
        <v/>
      </c>
      <c r="C938">
        <f>IF($J938="","",IF($J938&lt;=1500,INDEX('Daily Sale entry '!$Z$1:$Z$1501,$J938+1)&amp;"","Cheque deposit 支票存入 (buyer 买家)"))</f>
        <v/>
      </c>
      <c r="D938">
        <f>IF($J938="","",IF($J938&lt;=1500,INDEX('Daily Sale entry '!$AA$1:$AA$1501,$J938+1)&amp;"",INDEX('Daily Sale entry '!$P$1:$P$1501,$J938-1499)&amp;""))</f>
        <v/>
      </c>
      <c r="E938">
        <f>IF($J938="","",IF($J938&lt;=1500,IF(N(INDEX('Daily Sale entry '!$AB$1:$AB$1501,$J938+1))=0,"",INDEX('Daily Sale entry '!$AB$1:$AB$1501,$J938+1)),1))</f>
        <v/>
      </c>
      <c r="F938" s="6">
        <f>IF($J938="","",IF($J938&lt;=1500,N(INDEX('Daily Sale entry '!$AC$1:$AC$1501,$J938+1))-IF(AND('Opening Balance'!$B$15=1,INDEX('Daily Sale entry '!$Z$1:$Z$1501,$J938+1)="Online collection 网上收款",INDEX('Daily Sale entry '!$AA$1:$AA$1501,$J938+1)&lt;&gt;""),N(INDEX('Daily Sale entry '!$AC$1:$AC$1501,$J938+1))-TRUNC(N(INDEX('Daily Sale entry '!$AC$1:$AC$1501,$J938+1))),0),N(INDEX('Daily Sale entry '!$S$1:$S$1501,$J938-1499))-'Opening Balance'!$B$15*(N(INDEX('Daily Sale entry '!$S$1:$S$1501,$J938-1499))-TRUNC(N(INDEX('Daily Sale entry '!$S$1:$S$1501,$J938-1499))))))</f>
        <v/>
      </c>
      <c r="G938" s="6">
        <f>IF($J938="","",IF($J938&lt;=1500,N(INDEX('Daily Sale entry '!$AD$1:$AD$1501,$J938+1)),0))</f>
        <v/>
      </c>
      <c r="H938" s="6">
        <f>IF($J938="","",ROUND('Opening Balance'!$B$4+SUM($F$2:F938)-SUM($G$2:G938),2))</f>
        <v/>
      </c>
      <c r="J938" s="21">
        <f>IFERROR(MATCH(ROW()-1,$L$2:$L$3001,0),"")</f>
        <v/>
      </c>
      <c r="K938" s="34">
        <f>IF(AND('Daily Sale entry '!X938&lt;&gt;"",OR('Daily Sale entry '!AC938&lt;&gt;"",'Daily Sale entry '!AD938&lt;&gt;"")),'Daily Sale entry '!X938+ROW()/10000000,"")</f>
        <v/>
      </c>
      <c r="L938" s="21">
        <f>IF(K938="","",COUNTIF($K$2:$K$3001,"&lt;"&amp;K938)+1)</f>
        <v/>
      </c>
    </row>
    <row r="939">
      <c r="A939" s="5">
        <f>IF($J939="","",IF($J939&lt;=1500,INDEX('Daily Sale entry '!$X$1:$X$1501,$J939+1),INDEX('Daily Sale entry '!$V$1:$V$1501,$J939-1499)))</f>
        <v/>
      </c>
      <c r="B939">
        <f>IF($J939="","",IF($J939&lt;=1500,INDEX('Daily Sale entry '!$Y$1:$Y$1501,$J939+1)&amp;"","Buyer cheque banked 买家支票存入"&amp;IF(INDEX('Daily Sale entry '!$U$1:$U$1501,$J939-1499)="","", " - "&amp;INDEX('Daily Sale entry '!$U$1:$U$1501,$J939-1499))))</f>
        <v/>
      </c>
      <c r="C939">
        <f>IF($J939="","",IF($J939&lt;=1500,INDEX('Daily Sale entry '!$Z$1:$Z$1501,$J939+1)&amp;"","Cheque deposit 支票存入 (buyer 买家)"))</f>
        <v/>
      </c>
      <c r="D939">
        <f>IF($J939="","",IF($J939&lt;=1500,INDEX('Daily Sale entry '!$AA$1:$AA$1501,$J939+1)&amp;"",INDEX('Daily Sale entry '!$P$1:$P$1501,$J939-1499)&amp;""))</f>
        <v/>
      </c>
      <c r="E939">
        <f>IF($J939="","",IF($J939&lt;=1500,IF(N(INDEX('Daily Sale entry '!$AB$1:$AB$1501,$J939+1))=0,"",INDEX('Daily Sale entry '!$AB$1:$AB$1501,$J939+1)),1))</f>
        <v/>
      </c>
      <c r="F939" s="6">
        <f>IF($J939="","",IF($J939&lt;=1500,N(INDEX('Daily Sale entry '!$AC$1:$AC$1501,$J939+1))-IF(AND('Opening Balance'!$B$15=1,INDEX('Daily Sale entry '!$Z$1:$Z$1501,$J939+1)="Online collection 网上收款",INDEX('Daily Sale entry '!$AA$1:$AA$1501,$J939+1)&lt;&gt;""),N(INDEX('Daily Sale entry '!$AC$1:$AC$1501,$J939+1))-TRUNC(N(INDEX('Daily Sale entry '!$AC$1:$AC$1501,$J939+1))),0),N(INDEX('Daily Sale entry '!$S$1:$S$1501,$J939-1499))-'Opening Balance'!$B$15*(N(INDEX('Daily Sale entry '!$S$1:$S$1501,$J939-1499))-TRUNC(N(INDEX('Daily Sale entry '!$S$1:$S$1501,$J939-1499))))))</f>
        <v/>
      </c>
      <c r="G939" s="6">
        <f>IF($J939="","",IF($J939&lt;=1500,N(INDEX('Daily Sale entry '!$AD$1:$AD$1501,$J939+1)),0))</f>
        <v/>
      </c>
      <c r="H939" s="6">
        <f>IF($J939="","",ROUND('Opening Balance'!$B$4+SUM($F$2:F939)-SUM($G$2:G939),2))</f>
        <v/>
      </c>
      <c r="J939" s="21">
        <f>IFERROR(MATCH(ROW()-1,$L$2:$L$3001,0),"")</f>
        <v/>
      </c>
      <c r="K939" s="34">
        <f>IF(AND('Daily Sale entry '!X939&lt;&gt;"",OR('Daily Sale entry '!AC939&lt;&gt;"",'Daily Sale entry '!AD939&lt;&gt;"")),'Daily Sale entry '!X939+ROW()/10000000,"")</f>
        <v/>
      </c>
      <c r="L939" s="21">
        <f>IF(K939="","",COUNTIF($K$2:$K$3001,"&lt;"&amp;K939)+1)</f>
        <v/>
      </c>
    </row>
    <row r="940">
      <c r="A940" s="5">
        <f>IF($J940="","",IF($J940&lt;=1500,INDEX('Daily Sale entry '!$X$1:$X$1501,$J940+1),INDEX('Daily Sale entry '!$V$1:$V$1501,$J940-1499)))</f>
        <v/>
      </c>
      <c r="B940">
        <f>IF($J940="","",IF($J940&lt;=1500,INDEX('Daily Sale entry '!$Y$1:$Y$1501,$J940+1)&amp;"","Buyer cheque banked 买家支票存入"&amp;IF(INDEX('Daily Sale entry '!$U$1:$U$1501,$J940-1499)="","", " - "&amp;INDEX('Daily Sale entry '!$U$1:$U$1501,$J940-1499))))</f>
        <v/>
      </c>
      <c r="C940">
        <f>IF($J940="","",IF($J940&lt;=1500,INDEX('Daily Sale entry '!$Z$1:$Z$1501,$J940+1)&amp;"","Cheque deposit 支票存入 (buyer 买家)"))</f>
        <v/>
      </c>
      <c r="D940">
        <f>IF($J940="","",IF($J940&lt;=1500,INDEX('Daily Sale entry '!$AA$1:$AA$1501,$J940+1)&amp;"",INDEX('Daily Sale entry '!$P$1:$P$1501,$J940-1499)&amp;""))</f>
        <v/>
      </c>
      <c r="E940">
        <f>IF($J940="","",IF($J940&lt;=1500,IF(N(INDEX('Daily Sale entry '!$AB$1:$AB$1501,$J940+1))=0,"",INDEX('Daily Sale entry '!$AB$1:$AB$1501,$J940+1)),1))</f>
        <v/>
      </c>
      <c r="F940" s="6">
        <f>IF($J940="","",IF($J940&lt;=1500,N(INDEX('Daily Sale entry '!$AC$1:$AC$1501,$J940+1))-IF(AND('Opening Balance'!$B$15=1,INDEX('Daily Sale entry '!$Z$1:$Z$1501,$J940+1)="Online collection 网上收款",INDEX('Daily Sale entry '!$AA$1:$AA$1501,$J940+1)&lt;&gt;""),N(INDEX('Daily Sale entry '!$AC$1:$AC$1501,$J940+1))-TRUNC(N(INDEX('Daily Sale entry '!$AC$1:$AC$1501,$J940+1))),0),N(INDEX('Daily Sale entry '!$S$1:$S$1501,$J940-1499))-'Opening Balance'!$B$15*(N(INDEX('Daily Sale entry '!$S$1:$S$1501,$J940-1499))-TRUNC(N(INDEX('Daily Sale entry '!$S$1:$S$1501,$J940-1499))))))</f>
        <v/>
      </c>
      <c r="G940" s="6">
        <f>IF($J940="","",IF($J940&lt;=1500,N(INDEX('Daily Sale entry '!$AD$1:$AD$1501,$J940+1)),0))</f>
        <v/>
      </c>
      <c r="H940" s="6">
        <f>IF($J940="","",ROUND('Opening Balance'!$B$4+SUM($F$2:F940)-SUM($G$2:G940),2))</f>
        <v/>
      </c>
      <c r="J940" s="21">
        <f>IFERROR(MATCH(ROW()-1,$L$2:$L$3001,0),"")</f>
        <v/>
      </c>
      <c r="K940" s="34">
        <f>IF(AND('Daily Sale entry '!X940&lt;&gt;"",OR('Daily Sale entry '!AC940&lt;&gt;"",'Daily Sale entry '!AD940&lt;&gt;"")),'Daily Sale entry '!X940+ROW()/10000000,"")</f>
        <v/>
      </c>
      <c r="L940" s="21">
        <f>IF(K940="","",COUNTIF($K$2:$K$3001,"&lt;"&amp;K940)+1)</f>
        <v/>
      </c>
    </row>
    <row r="941">
      <c r="A941" s="5">
        <f>IF($J941="","",IF($J941&lt;=1500,INDEX('Daily Sale entry '!$X$1:$X$1501,$J941+1),INDEX('Daily Sale entry '!$V$1:$V$1501,$J941-1499)))</f>
        <v/>
      </c>
      <c r="B941">
        <f>IF($J941="","",IF($J941&lt;=1500,INDEX('Daily Sale entry '!$Y$1:$Y$1501,$J941+1)&amp;"","Buyer cheque banked 买家支票存入"&amp;IF(INDEX('Daily Sale entry '!$U$1:$U$1501,$J941-1499)="","", " - "&amp;INDEX('Daily Sale entry '!$U$1:$U$1501,$J941-1499))))</f>
        <v/>
      </c>
      <c r="C941">
        <f>IF($J941="","",IF($J941&lt;=1500,INDEX('Daily Sale entry '!$Z$1:$Z$1501,$J941+1)&amp;"","Cheque deposit 支票存入 (buyer 买家)"))</f>
        <v/>
      </c>
      <c r="D941">
        <f>IF($J941="","",IF($J941&lt;=1500,INDEX('Daily Sale entry '!$AA$1:$AA$1501,$J941+1)&amp;"",INDEX('Daily Sale entry '!$P$1:$P$1501,$J941-1499)&amp;""))</f>
        <v/>
      </c>
      <c r="E941">
        <f>IF($J941="","",IF($J941&lt;=1500,IF(N(INDEX('Daily Sale entry '!$AB$1:$AB$1501,$J941+1))=0,"",INDEX('Daily Sale entry '!$AB$1:$AB$1501,$J941+1)),1))</f>
        <v/>
      </c>
      <c r="F941" s="6">
        <f>IF($J941="","",IF($J941&lt;=1500,N(INDEX('Daily Sale entry '!$AC$1:$AC$1501,$J941+1))-IF(AND('Opening Balance'!$B$15=1,INDEX('Daily Sale entry '!$Z$1:$Z$1501,$J941+1)="Online collection 网上收款",INDEX('Daily Sale entry '!$AA$1:$AA$1501,$J941+1)&lt;&gt;""),N(INDEX('Daily Sale entry '!$AC$1:$AC$1501,$J941+1))-TRUNC(N(INDEX('Daily Sale entry '!$AC$1:$AC$1501,$J941+1))),0),N(INDEX('Daily Sale entry '!$S$1:$S$1501,$J941-1499))-'Opening Balance'!$B$15*(N(INDEX('Daily Sale entry '!$S$1:$S$1501,$J941-1499))-TRUNC(N(INDEX('Daily Sale entry '!$S$1:$S$1501,$J941-1499))))))</f>
        <v/>
      </c>
      <c r="G941" s="6">
        <f>IF($J941="","",IF($J941&lt;=1500,N(INDEX('Daily Sale entry '!$AD$1:$AD$1501,$J941+1)),0))</f>
        <v/>
      </c>
      <c r="H941" s="6">
        <f>IF($J941="","",ROUND('Opening Balance'!$B$4+SUM($F$2:F941)-SUM($G$2:G941),2))</f>
        <v/>
      </c>
      <c r="J941" s="21">
        <f>IFERROR(MATCH(ROW()-1,$L$2:$L$3001,0),"")</f>
        <v/>
      </c>
      <c r="K941" s="34">
        <f>IF(AND('Daily Sale entry '!X941&lt;&gt;"",OR('Daily Sale entry '!AC941&lt;&gt;"",'Daily Sale entry '!AD941&lt;&gt;"")),'Daily Sale entry '!X941+ROW()/10000000,"")</f>
        <v/>
      </c>
      <c r="L941" s="21">
        <f>IF(K941="","",COUNTIF($K$2:$K$3001,"&lt;"&amp;K941)+1)</f>
        <v/>
      </c>
    </row>
    <row r="942">
      <c r="A942" s="5">
        <f>IF($J942="","",IF($J942&lt;=1500,INDEX('Daily Sale entry '!$X$1:$X$1501,$J942+1),INDEX('Daily Sale entry '!$V$1:$V$1501,$J942-1499)))</f>
        <v/>
      </c>
      <c r="B942">
        <f>IF($J942="","",IF($J942&lt;=1500,INDEX('Daily Sale entry '!$Y$1:$Y$1501,$J942+1)&amp;"","Buyer cheque banked 买家支票存入"&amp;IF(INDEX('Daily Sale entry '!$U$1:$U$1501,$J942-1499)="","", " - "&amp;INDEX('Daily Sale entry '!$U$1:$U$1501,$J942-1499))))</f>
        <v/>
      </c>
      <c r="C942">
        <f>IF($J942="","",IF($J942&lt;=1500,INDEX('Daily Sale entry '!$Z$1:$Z$1501,$J942+1)&amp;"","Cheque deposit 支票存入 (buyer 买家)"))</f>
        <v/>
      </c>
      <c r="D942">
        <f>IF($J942="","",IF($J942&lt;=1500,INDEX('Daily Sale entry '!$AA$1:$AA$1501,$J942+1)&amp;"",INDEX('Daily Sale entry '!$P$1:$P$1501,$J942-1499)&amp;""))</f>
        <v/>
      </c>
      <c r="E942">
        <f>IF($J942="","",IF($J942&lt;=1500,IF(N(INDEX('Daily Sale entry '!$AB$1:$AB$1501,$J942+1))=0,"",INDEX('Daily Sale entry '!$AB$1:$AB$1501,$J942+1)),1))</f>
        <v/>
      </c>
      <c r="F942" s="6">
        <f>IF($J942="","",IF($J942&lt;=1500,N(INDEX('Daily Sale entry '!$AC$1:$AC$1501,$J942+1))-IF(AND('Opening Balance'!$B$15=1,INDEX('Daily Sale entry '!$Z$1:$Z$1501,$J942+1)="Online collection 网上收款",INDEX('Daily Sale entry '!$AA$1:$AA$1501,$J942+1)&lt;&gt;""),N(INDEX('Daily Sale entry '!$AC$1:$AC$1501,$J942+1))-TRUNC(N(INDEX('Daily Sale entry '!$AC$1:$AC$1501,$J942+1))),0),N(INDEX('Daily Sale entry '!$S$1:$S$1501,$J942-1499))-'Opening Balance'!$B$15*(N(INDEX('Daily Sale entry '!$S$1:$S$1501,$J942-1499))-TRUNC(N(INDEX('Daily Sale entry '!$S$1:$S$1501,$J942-1499))))))</f>
        <v/>
      </c>
      <c r="G942" s="6">
        <f>IF($J942="","",IF($J942&lt;=1500,N(INDEX('Daily Sale entry '!$AD$1:$AD$1501,$J942+1)),0))</f>
        <v/>
      </c>
      <c r="H942" s="6">
        <f>IF($J942="","",ROUND('Opening Balance'!$B$4+SUM($F$2:F942)-SUM($G$2:G942),2))</f>
        <v/>
      </c>
      <c r="J942" s="21">
        <f>IFERROR(MATCH(ROW()-1,$L$2:$L$3001,0),"")</f>
        <v/>
      </c>
      <c r="K942" s="34">
        <f>IF(AND('Daily Sale entry '!X942&lt;&gt;"",OR('Daily Sale entry '!AC942&lt;&gt;"",'Daily Sale entry '!AD942&lt;&gt;"")),'Daily Sale entry '!X942+ROW()/10000000,"")</f>
        <v/>
      </c>
      <c r="L942" s="21">
        <f>IF(K942="","",COUNTIF($K$2:$K$3001,"&lt;"&amp;K942)+1)</f>
        <v/>
      </c>
    </row>
    <row r="943">
      <c r="A943" s="5">
        <f>IF($J943="","",IF($J943&lt;=1500,INDEX('Daily Sale entry '!$X$1:$X$1501,$J943+1),INDEX('Daily Sale entry '!$V$1:$V$1501,$J943-1499)))</f>
        <v/>
      </c>
      <c r="B943">
        <f>IF($J943="","",IF($J943&lt;=1500,INDEX('Daily Sale entry '!$Y$1:$Y$1501,$J943+1)&amp;"","Buyer cheque banked 买家支票存入"&amp;IF(INDEX('Daily Sale entry '!$U$1:$U$1501,$J943-1499)="","", " - "&amp;INDEX('Daily Sale entry '!$U$1:$U$1501,$J943-1499))))</f>
        <v/>
      </c>
      <c r="C943">
        <f>IF($J943="","",IF($J943&lt;=1500,INDEX('Daily Sale entry '!$Z$1:$Z$1501,$J943+1)&amp;"","Cheque deposit 支票存入 (buyer 买家)"))</f>
        <v/>
      </c>
      <c r="D943">
        <f>IF($J943="","",IF($J943&lt;=1500,INDEX('Daily Sale entry '!$AA$1:$AA$1501,$J943+1)&amp;"",INDEX('Daily Sale entry '!$P$1:$P$1501,$J943-1499)&amp;""))</f>
        <v/>
      </c>
      <c r="E943">
        <f>IF($J943="","",IF($J943&lt;=1500,IF(N(INDEX('Daily Sale entry '!$AB$1:$AB$1501,$J943+1))=0,"",INDEX('Daily Sale entry '!$AB$1:$AB$1501,$J943+1)),1))</f>
        <v/>
      </c>
      <c r="F943" s="6">
        <f>IF($J943="","",IF($J943&lt;=1500,N(INDEX('Daily Sale entry '!$AC$1:$AC$1501,$J943+1))-IF(AND('Opening Balance'!$B$15=1,INDEX('Daily Sale entry '!$Z$1:$Z$1501,$J943+1)="Online collection 网上收款",INDEX('Daily Sale entry '!$AA$1:$AA$1501,$J943+1)&lt;&gt;""),N(INDEX('Daily Sale entry '!$AC$1:$AC$1501,$J943+1))-TRUNC(N(INDEX('Daily Sale entry '!$AC$1:$AC$1501,$J943+1))),0),N(INDEX('Daily Sale entry '!$S$1:$S$1501,$J943-1499))-'Opening Balance'!$B$15*(N(INDEX('Daily Sale entry '!$S$1:$S$1501,$J943-1499))-TRUNC(N(INDEX('Daily Sale entry '!$S$1:$S$1501,$J943-1499))))))</f>
        <v/>
      </c>
      <c r="G943" s="6">
        <f>IF($J943="","",IF($J943&lt;=1500,N(INDEX('Daily Sale entry '!$AD$1:$AD$1501,$J943+1)),0))</f>
        <v/>
      </c>
      <c r="H943" s="6">
        <f>IF($J943="","",ROUND('Opening Balance'!$B$4+SUM($F$2:F943)-SUM($G$2:G943),2))</f>
        <v/>
      </c>
      <c r="J943" s="21">
        <f>IFERROR(MATCH(ROW()-1,$L$2:$L$3001,0),"")</f>
        <v/>
      </c>
      <c r="K943" s="34">
        <f>IF(AND('Daily Sale entry '!X943&lt;&gt;"",OR('Daily Sale entry '!AC943&lt;&gt;"",'Daily Sale entry '!AD943&lt;&gt;"")),'Daily Sale entry '!X943+ROW()/10000000,"")</f>
        <v/>
      </c>
      <c r="L943" s="21">
        <f>IF(K943="","",COUNTIF($K$2:$K$3001,"&lt;"&amp;K943)+1)</f>
        <v/>
      </c>
    </row>
    <row r="944">
      <c r="A944" s="5">
        <f>IF($J944="","",IF($J944&lt;=1500,INDEX('Daily Sale entry '!$X$1:$X$1501,$J944+1),INDEX('Daily Sale entry '!$V$1:$V$1501,$J944-1499)))</f>
        <v/>
      </c>
      <c r="B944">
        <f>IF($J944="","",IF($J944&lt;=1500,INDEX('Daily Sale entry '!$Y$1:$Y$1501,$J944+1)&amp;"","Buyer cheque banked 买家支票存入"&amp;IF(INDEX('Daily Sale entry '!$U$1:$U$1501,$J944-1499)="","", " - "&amp;INDEX('Daily Sale entry '!$U$1:$U$1501,$J944-1499))))</f>
        <v/>
      </c>
      <c r="C944">
        <f>IF($J944="","",IF($J944&lt;=1500,INDEX('Daily Sale entry '!$Z$1:$Z$1501,$J944+1)&amp;"","Cheque deposit 支票存入 (buyer 买家)"))</f>
        <v/>
      </c>
      <c r="D944">
        <f>IF($J944="","",IF($J944&lt;=1500,INDEX('Daily Sale entry '!$AA$1:$AA$1501,$J944+1)&amp;"",INDEX('Daily Sale entry '!$P$1:$P$1501,$J944-1499)&amp;""))</f>
        <v/>
      </c>
      <c r="E944">
        <f>IF($J944="","",IF($J944&lt;=1500,IF(N(INDEX('Daily Sale entry '!$AB$1:$AB$1501,$J944+1))=0,"",INDEX('Daily Sale entry '!$AB$1:$AB$1501,$J944+1)),1))</f>
        <v/>
      </c>
      <c r="F944" s="6">
        <f>IF($J944="","",IF($J944&lt;=1500,N(INDEX('Daily Sale entry '!$AC$1:$AC$1501,$J944+1))-IF(AND('Opening Balance'!$B$15=1,INDEX('Daily Sale entry '!$Z$1:$Z$1501,$J944+1)="Online collection 网上收款",INDEX('Daily Sale entry '!$AA$1:$AA$1501,$J944+1)&lt;&gt;""),N(INDEX('Daily Sale entry '!$AC$1:$AC$1501,$J944+1))-TRUNC(N(INDEX('Daily Sale entry '!$AC$1:$AC$1501,$J944+1))),0),N(INDEX('Daily Sale entry '!$S$1:$S$1501,$J944-1499))-'Opening Balance'!$B$15*(N(INDEX('Daily Sale entry '!$S$1:$S$1501,$J944-1499))-TRUNC(N(INDEX('Daily Sale entry '!$S$1:$S$1501,$J944-1499))))))</f>
        <v/>
      </c>
      <c r="G944" s="6">
        <f>IF($J944="","",IF($J944&lt;=1500,N(INDEX('Daily Sale entry '!$AD$1:$AD$1501,$J944+1)),0))</f>
        <v/>
      </c>
      <c r="H944" s="6">
        <f>IF($J944="","",ROUND('Opening Balance'!$B$4+SUM($F$2:F944)-SUM($G$2:G944),2))</f>
        <v/>
      </c>
      <c r="J944" s="21">
        <f>IFERROR(MATCH(ROW()-1,$L$2:$L$3001,0),"")</f>
        <v/>
      </c>
      <c r="K944" s="34">
        <f>IF(AND('Daily Sale entry '!X944&lt;&gt;"",OR('Daily Sale entry '!AC944&lt;&gt;"",'Daily Sale entry '!AD944&lt;&gt;"")),'Daily Sale entry '!X944+ROW()/10000000,"")</f>
        <v/>
      </c>
      <c r="L944" s="21">
        <f>IF(K944="","",COUNTIF($K$2:$K$3001,"&lt;"&amp;K944)+1)</f>
        <v/>
      </c>
    </row>
    <row r="945">
      <c r="A945" s="5">
        <f>IF($J945="","",IF($J945&lt;=1500,INDEX('Daily Sale entry '!$X$1:$X$1501,$J945+1),INDEX('Daily Sale entry '!$V$1:$V$1501,$J945-1499)))</f>
        <v/>
      </c>
      <c r="B945">
        <f>IF($J945="","",IF($J945&lt;=1500,INDEX('Daily Sale entry '!$Y$1:$Y$1501,$J945+1)&amp;"","Buyer cheque banked 买家支票存入"&amp;IF(INDEX('Daily Sale entry '!$U$1:$U$1501,$J945-1499)="","", " - "&amp;INDEX('Daily Sale entry '!$U$1:$U$1501,$J945-1499))))</f>
        <v/>
      </c>
      <c r="C945">
        <f>IF($J945="","",IF($J945&lt;=1500,INDEX('Daily Sale entry '!$Z$1:$Z$1501,$J945+1)&amp;"","Cheque deposit 支票存入 (buyer 买家)"))</f>
        <v/>
      </c>
      <c r="D945">
        <f>IF($J945="","",IF($J945&lt;=1500,INDEX('Daily Sale entry '!$AA$1:$AA$1501,$J945+1)&amp;"",INDEX('Daily Sale entry '!$P$1:$P$1501,$J945-1499)&amp;""))</f>
        <v/>
      </c>
      <c r="E945">
        <f>IF($J945="","",IF($J945&lt;=1500,IF(N(INDEX('Daily Sale entry '!$AB$1:$AB$1501,$J945+1))=0,"",INDEX('Daily Sale entry '!$AB$1:$AB$1501,$J945+1)),1))</f>
        <v/>
      </c>
      <c r="F945" s="6">
        <f>IF($J945="","",IF($J945&lt;=1500,N(INDEX('Daily Sale entry '!$AC$1:$AC$1501,$J945+1))-IF(AND('Opening Balance'!$B$15=1,INDEX('Daily Sale entry '!$Z$1:$Z$1501,$J945+1)="Online collection 网上收款",INDEX('Daily Sale entry '!$AA$1:$AA$1501,$J945+1)&lt;&gt;""),N(INDEX('Daily Sale entry '!$AC$1:$AC$1501,$J945+1))-TRUNC(N(INDEX('Daily Sale entry '!$AC$1:$AC$1501,$J945+1))),0),N(INDEX('Daily Sale entry '!$S$1:$S$1501,$J945-1499))-'Opening Balance'!$B$15*(N(INDEX('Daily Sale entry '!$S$1:$S$1501,$J945-1499))-TRUNC(N(INDEX('Daily Sale entry '!$S$1:$S$1501,$J945-1499))))))</f>
        <v/>
      </c>
      <c r="G945" s="6">
        <f>IF($J945="","",IF($J945&lt;=1500,N(INDEX('Daily Sale entry '!$AD$1:$AD$1501,$J945+1)),0))</f>
        <v/>
      </c>
      <c r="H945" s="6">
        <f>IF($J945="","",ROUND('Opening Balance'!$B$4+SUM($F$2:F945)-SUM($G$2:G945),2))</f>
        <v/>
      </c>
      <c r="J945" s="21">
        <f>IFERROR(MATCH(ROW()-1,$L$2:$L$3001,0),"")</f>
        <v/>
      </c>
      <c r="K945" s="34">
        <f>IF(AND('Daily Sale entry '!X945&lt;&gt;"",OR('Daily Sale entry '!AC945&lt;&gt;"",'Daily Sale entry '!AD945&lt;&gt;"")),'Daily Sale entry '!X945+ROW()/10000000,"")</f>
        <v/>
      </c>
      <c r="L945" s="21">
        <f>IF(K945="","",COUNTIF($K$2:$K$3001,"&lt;"&amp;K945)+1)</f>
        <v/>
      </c>
    </row>
    <row r="946">
      <c r="A946" s="5">
        <f>IF($J946="","",IF($J946&lt;=1500,INDEX('Daily Sale entry '!$X$1:$X$1501,$J946+1),INDEX('Daily Sale entry '!$V$1:$V$1501,$J946-1499)))</f>
        <v/>
      </c>
      <c r="B946">
        <f>IF($J946="","",IF($J946&lt;=1500,INDEX('Daily Sale entry '!$Y$1:$Y$1501,$J946+1)&amp;"","Buyer cheque banked 买家支票存入"&amp;IF(INDEX('Daily Sale entry '!$U$1:$U$1501,$J946-1499)="","", " - "&amp;INDEX('Daily Sale entry '!$U$1:$U$1501,$J946-1499))))</f>
        <v/>
      </c>
      <c r="C946">
        <f>IF($J946="","",IF($J946&lt;=1500,INDEX('Daily Sale entry '!$Z$1:$Z$1501,$J946+1)&amp;"","Cheque deposit 支票存入 (buyer 买家)"))</f>
        <v/>
      </c>
      <c r="D946">
        <f>IF($J946="","",IF($J946&lt;=1500,INDEX('Daily Sale entry '!$AA$1:$AA$1501,$J946+1)&amp;"",INDEX('Daily Sale entry '!$P$1:$P$1501,$J946-1499)&amp;""))</f>
        <v/>
      </c>
      <c r="E946">
        <f>IF($J946="","",IF($J946&lt;=1500,IF(N(INDEX('Daily Sale entry '!$AB$1:$AB$1501,$J946+1))=0,"",INDEX('Daily Sale entry '!$AB$1:$AB$1501,$J946+1)),1))</f>
        <v/>
      </c>
      <c r="F946" s="6">
        <f>IF($J946="","",IF($J946&lt;=1500,N(INDEX('Daily Sale entry '!$AC$1:$AC$1501,$J946+1))-IF(AND('Opening Balance'!$B$15=1,INDEX('Daily Sale entry '!$Z$1:$Z$1501,$J946+1)="Online collection 网上收款",INDEX('Daily Sale entry '!$AA$1:$AA$1501,$J946+1)&lt;&gt;""),N(INDEX('Daily Sale entry '!$AC$1:$AC$1501,$J946+1))-TRUNC(N(INDEX('Daily Sale entry '!$AC$1:$AC$1501,$J946+1))),0),N(INDEX('Daily Sale entry '!$S$1:$S$1501,$J946-1499))-'Opening Balance'!$B$15*(N(INDEX('Daily Sale entry '!$S$1:$S$1501,$J946-1499))-TRUNC(N(INDEX('Daily Sale entry '!$S$1:$S$1501,$J946-1499))))))</f>
        <v/>
      </c>
      <c r="G946" s="6">
        <f>IF($J946="","",IF($J946&lt;=1500,N(INDEX('Daily Sale entry '!$AD$1:$AD$1501,$J946+1)),0))</f>
        <v/>
      </c>
      <c r="H946" s="6">
        <f>IF($J946="","",ROUND('Opening Balance'!$B$4+SUM($F$2:F946)-SUM($G$2:G946),2))</f>
        <v/>
      </c>
      <c r="J946" s="21">
        <f>IFERROR(MATCH(ROW()-1,$L$2:$L$3001,0),"")</f>
        <v/>
      </c>
      <c r="K946" s="34">
        <f>IF(AND('Daily Sale entry '!X946&lt;&gt;"",OR('Daily Sale entry '!AC946&lt;&gt;"",'Daily Sale entry '!AD946&lt;&gt;"")),'Daily Sale entry '!X946+ROW()/10000000,"")</f>
        <v/>
      </c>
      <c r="L946" s="21">
        <f>IF(K946="","",COUNTIF($K$2:$K$3001,"&lt;"&amp;K946)+1)</f>
        <v/>
      </c>
    </row>
    <row r="947">
      <c r="A947" s="5">
        <f>IF($J947="","",IF($J947&lt;=1500,INDEX('Daily Sale entry '!$X$1:$X$1501,$J947+1),INDEX('Daily Sale entry '!$V$1:$V$1501,$J947-1499)))</f>
        <v/>
      </c>
      <c r="B947">
        <f>IF($J947="","",IF($J947&lt;=1500,INDEX('Daily Sale entry '!$Y$1:$Y$1501,$J947+1)&amp;"","Buyer cheque banked 买家支票存入"&amp;IF(INDEX('Daily Sale entry '!$U$1:$U$1501,$J947-1499)="","", " - "&amp;INDEX('Daily Sale entry '!$U$1:$U$1501,$J947-1499))))</f>
        <v/>
      </c>
      <c r="C947">
        <f>IF($J947="","",IF($J947&lt;=1500,INDEX('Daily Sale entry '!$Z$1:$Z$1501,$J947+1)&amp;"","Cheque deposit 支票存入 (buyer 买家)"))</f>
        <v/>
      </c>
      <c r="D947">
        <f>IF($J947="","",IF($J947&lt;=1500,INDEX('Daily Sale entry '!$AA$1:$AA$1501,$J947+1)&amp;"",INDEX('Daily Sale entry '!$P$1:$P$1501,$J947-1499)&amp;""))</f>
        <v/>
      </c>
      <c r="E947">
        <f>IF($J947="","",IF($J947&lt;=1500,IF(N(INDEX('Daily Sale entry '!$AB$1:$AB$1501,$J947+1))=0,"",INDEX('Daily Sale entry '!$AB$1:$AB$1501,$J947+1)),1))</f>
        <v/>
      </c>
      <c r="F947" s="6">
        <f>IF($J947="","",IF($J947&lt;=1500,N(INDEX('Daily Sale entry '!$AC$1:$AC$1501,$J947+1))-IF(AND('Opening Balance'!$B$15=1,INDEX('Daily Sale entry '!$Z$1:$Z$1501,$J947+1)="Online collection 网上收款",INDEX('Daily Sale entry '!$AA$1:$AA$1501,$J947+1)&lt;&gt;""),N(INDEX('Daily Sale entry '!$AC$1:$AC$1501,$J947+1))-TRUNC(N(INDEX('Daily Sale entry '!$AC$1:$AC$1501,$J947+1))),0),N(INDEX('Daily Sale entry '!$S$1:$S$1501,$J947-1499))-'Opening Balance'!$B$15*(N(INDEX('Daily Sale entry '!$S$1:$S$1501,$J947-1499))-TRUNC(N(INDEX('Daily Sale entry '!$S$1:$S$1501,$J947-1499))))))</f>
        <v/>
      </c>
      <c r="G947" s="6">
        <f>IF($J947="","",IF($J947&lt;=1500,N(INDEX('Daily Sale entry '!$AD$1:$AD$1501,$J947+1)),0))</f>
        <v/>
      </c>
      <c r="H947" s="6">
        <f>IF($J947="","",ROUND('Opening Balance'!$B$4+SUM($F$2:F947)-SUM($G$2:G947),2))</f>
        <v/>
      </c>
      <c r="J947" s="21">
        <f>IFERROR(MATCH(ROW()-1,$L$2:$L$3001,0),"")</f>
        <v/>
      </c>
      <c r="K947" s="34">
        <f>IF(AND('Daily Sale entry '!X947&lt;&gt;"",OR('Daily Sale entry '!AC947&lt;&gt;"",'Daily Sale entry '!AD947&lt;&gt;"")),'Daily Sale entry '!X947+ROW()/10000000,"")</f>
        <v/>
      </c>
      <c r="L947" s="21">
        <f>IF(K947="","",COUNTIF($K$2:$K$3001,"&lt;"&amp;K947)+1)</f>
        <v/>
      </c>
    </row>
    <row r="948">
      <c r="A948" s="5">
        <f>IF($J948="","",IF($J948&lt;=1500,INDEX('Daily Sale entry '!$X$1:$X$1501,$J948+1),INDEX('Daily Sale entry '!$V$1:$V$1501,$J948-1499)))</f>
        <v/>
      </c>
      <c r="B948">
        <f>IF($J948="","",IF($J948&lt;=1500,INDEX('Daily Sale entry '!$Y$1:$Y$1501,$J948+1)&amp;"","Buyer cheque banked 买家支票存入"&amp;IF(INDEX('Daily Sale entry '!$U$1:$U$1501,$J948-1499)="","", " - "&amp;INDEX('Daily Sale entry '!$U$1:$U$1501,$J948-1499))))</f>
        <v/>
      </c>
      <c r="C948">
        <f>IF($J948="","",IF($J948&lt;=1500,INDEX('Daily Sale entry '!$Z$1:$Z$1501,$J948+1)&amp;"","Cheque deposit 支票存入 (buyer 买家)"))</f>
        <v/>
      </c>
      <c r="D948">
        <f>IF($J948="","",IF($J948&lt;=1500,INDEX('Daily Sale entry '!$AA$1:$AA$1501,$J948+1)&amp;"",INDEX('Daily Sale entry '!$P$1:$P$1501,$J948-1499)&amp;""))</f>
        <v/>
      </c>
      <c r="E948">
        <f>IF($J948="","",IF($J948&lt;=1500,IF(N(INDEX('Daily Sale entry '!$AB$1:$AB$1501,$J948+1))=0,"",INDEX('Daily Sale entry '!$AB$1:$AB$1501,$J948+1)),1))</f>
        <v/>
      </c>
      <c r="F948" s="6">
        <f>IF($J948="","",IF($J948&lt;=1500,N(INDEX('Daily Sale entry '!$AC$1:$AC$1501,$J948+1))-IF(AND('Opening Balance'!$B$15=1,INDEX('Daily Sale entry '!$Z$1:$Z$1501,$J948+1)="Online collection 网上收款",INDEX('Daily Sale entry '!$AA$1:$AA$1501,$J948+1)&lt;&gt;""),N(INDEX('Daily Sale entry '!$AC$1:$AC$1501,$J948+1))-TRUNC(N(INDEX('Daily Sale entry '!$AC$1:$AC$1501,$J948+1))),0),N(INDEX('Daily Sale entry '!$S$1:$S$1501,$J948-1499))-'Opening Balance'!$B$15*(N(INDEX('Daily Sale entry '!$S$1:$S$1501,$J948-1499))-TRUNC(N(INDEX('Daily Sale entry '!$S$1:$S$1501,$J948-1499))))))</f>
        <v/>
      </c>
      <c r="G948" s="6">
        <f>IF($J948="","",IF($J948&lt;=1500,N(INDEX('Daily Sale entry '!$AD$1:$AD$1501,$J948+1)),0))</f>
        <v/>
      </c>
      <c r="H948" s="6">
        <f>IF($J948="","",ROUND('Opening Balance'!$B$4+SUM($F$2:F948)-SUM($G$2:G948),2))</f>
        <v/>
      </c>
      <c r="J948" s="21">
        <f>IFERROR(MATCH(ROW()-1,$L$2:$L$3001,0),"")</f>
        <v/>
      </c>
      <c r="K948" s="34">
        <f>IF(AND('Daily Sale entry '!X948&lt;&gt;"",OR('Daily Sale entry '!AC948&lt;&gt;"",'Daily Sale entry '!AD948&lt;&gt;"")),'Daily Sale entry '!X948+ROW()/10000000,"")</f>
        <v/>
      </c>
      <c r="L948" s="21">
        <f>IF(K948="","",COUNTIF($K$2:$K$3001,"&lt;"&amp;K948)+1)</f>
        <v/>
      </c>
    </row>
    <row r="949">
      <c r="A949" s="5">
        <f>IF($J949="","",IF($J949&lt;=1500,INDEX('Daily Sale entry '!$X$1:$X$1501,$J949+1),INDEX('Daily Sale entry '!$V$1:$V$1501,$J949-1499)))</f>
        <v/>
      </c>
      <c r="B949">
        <f>IF($J949="","",IF($J949&lt;=1500,INDEX('Daily Sale entry '!$Y$1:$Y$1501,$J949+1)&amp;"","Buyer cheque banked 买家支票存入"&amp;IF(INDEX('Daily Sale entry '!$U$1:$U$1501,$J949-1499)="","", " - "&amp;INDEX('Daily Sale entry '!$U$1:$U$1501,$J949-1499))))</f>
        <v/>
      </c>
      <c r="C949">
        <f>IF($J949="","",IF($J949&lt;=1500,INDEX('Daily Sale entry '!$Z$1:$Z$1501,$J949+1)&amp;"","Cheque deposit 支票存入 (buyer 买家)"))</f>
        <v/>
      </c>
      <c r="D949">
        <f>IF($J949="","",IF($J949&lt;=1500,INDEX('Daily Sale entry '!$AA$1:$AA$1501,$J949+1)&amp;"",INDEX('Daily Sale entry '!$P$1:$P$1501,$J949-1499)&amp;""))</f>
        <v/>
      </c>
      <c r="E949">
        <f>IF($J949="","",IF($J949&lt;=1500,IF(N(INDEX('Daily Sale entry '!$AB$1:$AB$1501,$J949+1))=0,"",INDEX('Daily Sale entry '!$AB$1:$AB$1501,$J949+1)),1))</f>
        <v/>
      </c>
      <c r="F949" s="6">
        <f>IF($J949="","",IF($J949&lt;=1500,N(INDEX('Daily Sale entry '!$AC$1:$AC$1501,$J949+1))-IF(AND('Opening Balance'!$B$15=1,INDEX('Daily Sale entry '!$Z$1:$Z$1501,$J949+1)="Online collection 网上收款",INDEX('Daily Sale entry '!$AA$1:$AA$1501,$J949+1)&lt;&gt;""),N(INDEX('Daily Sale entry '!$AC$1:$AC$1501,$J949+1))-TRUNC(N(INDEX('Daily Sale entry '!$AC$1:$AC$1501,$J949+1))),0),N(INDEX('Daily Sale entry '!$S$1:$S$1501,$J949-1499))-'Opening Balance'!$B$15*(N(INDEX('Daily Sale entry '!$S$1:$S$1501,$J949-1499))-TRUNC(N(INDEX('Daily Sale entry '!$S$1:$S$1501,$J949-1499))))))</f>
        <v/>
      </c>
      <c r="G949" s="6">
        <f>IF($J949="","",IF($J949&lt;=1500,N(INDEX('Daily Sale entry '!$AD$1:$AD$1501,$J949+1)),0))</f>
        <v/>
      </c>
      <c r="H949" s="6">
        <f>IF($J949="","",ROUND('Opening Balance'!$B$4+SUM($F$2:F949)-SUM($G$2:G949),2))</f>
        <v/>
      </c>
      <c r="J949" s="21">
        <f>IFERROR(MATCH(ROW()-1,$L$2:$L$3001,0),"")</f>
        <v/>
      </c>
      <c r="K949" s="34">
        <f>IF(AND('Daily Sale entry '!X949&lt;&gt;"",OR('Daily Sale entry '!AC949&lt;&gt;"",'Daily Sale entry '!AD949&lt;&gt;"")),'Daily Sale entry '!X949+ROW()/10000000,"")</f>
        <v/>
      </c>
      <c r="L949" s="21">
        <f>IF(K949="","",COUNTIF($K$2:$K$3001,"&lt;"&amp;K949)+1)</f>
        <v/>
      </c>
    </row>
    <row r="950">
      <c r="A950" s="5">
        <f>IF($J950="","",IF($J950&lt;=1500,INDEX('Daily Sale entry '!$X$1:$X$1501,$J950+1),INDEX('Daily Sale entry '!$V$1:$V$1501,$J950-1499)))</f>
        <v/>
      </c>
      <c r="B950">
        <f>IF($J950="","",IF($J950&lt;=1500,INDEX('Daily Sale entry '!$Y$1:$Y$1501,$J950+1)&amp;"","Buyer cheque banked 买家支票存入"&amp;IF(INDEX('Daily Sale entry '!$U$1:$U$1501,$J950-1499)="","", " - "&amp;INDEX('Daily Sale entry '!$U$1:$U$1501,$J950-1499))))</f>
        <v/>
      </c>
      <c r="C950">
        <f>IF($J950="","",IF($J950&lt;=1500,INDEX('Daily Sale entry '!$Z$1:$Z$1501,$J950+1)&amp;"","Cheque deposit 支票存入 (buyer 买家)"))</f>
        <v/>
      </c>
      <c r="D950">
        <f>IF($J950="","",IF($J950&lt;=1500,INDEX('Daily Sale entry '!$AA$1:$AA$1501,$J950+1)&amp;"",INDEX('Daily Sale entry '!$P$1:$P$1501,$J950-1499)&amp;""))</f>
        <v/>
      </c>
      <c r="E950">
        <f>IF($J950="","",IF($J950&lt;=1500,IF(N(INDEX('Daily Sale entry '!$AB$1:$AB$1501,$J950+1))=0,"",INDEX('Daily Sale entry '!$AB$1:$AB$1501,$J950+1)),1))</f>
        <v/>
      </c>
      <c r="F950" s="6">
        <f>IF($J950="","",IF($J950&lt;=1500,N(INDEX('Daily Sale entry '!$AC$1:$AC$1501,$J950+1))-IF(AND('Opening Balance'!$B$15=1,INDEX('Daily Sale entry '!$Z$1:$Z$1501,$J950+1)="Online collection 网上收款",INDEX('Daily Sale entry '!$AA$1:$AA$1501,$J950+1)&lt;&gt;""),N(INDEX('Daily Sale entry '!$AC$1:$AC$1501,$J950+1))-TRUNC(N(INDEX('Daily Sale entry '!$AC$1:$AC$1501,$J950+1))),0),N(INDEX('Daily Sale entry '!$S$1:$S$1501,$J950-1499))-'Opening Balance'!$B$15*(N(INDEX('Daily Sale entry '!$S$1:$S$1501,$J950-1499))-TRUNC(N(INDEX('Daily Sale entry '!$S$1:$S$1501,$J950-1499))))))</f>
        <v/>
      </c>
      <c r="G950" s="6">
        <f>IF($J950="","",IF($J950&lt;=1500,N(INDEX('Daily Sale entry '!$AD$1:$AD$1501,$J950+1)),0))</f>
        <v/>
      </c>
      <c r="H950" s="6">
        <f>IF($J950="","",ROUND('Opening Balance'!$B$4+SUM($F$2:F950)-SUM($G$2:G950),2))</f>
        <v/>
      </c>
      <c r="J950" s="21">
        <f>IFERROR(MATCH(ROW()-1,$L$2:$L$3001,0),"")</f>
        <v/>
      </c>
      <c r="K950" s="34">
        <f>IF(AND('Daily Sale entry '!X950&lt;&gt;"",OR('Daily Sale entry '!AC950&lt;&gt;"",'Daily Sale entry '!AD950&lt;&gt;"")),'Daily Sale entry '!X950+ROW()/10000000,"")</f>
        <v/>
      </c>
      <c r="L950" s="21">
        <f>IF(K950="","",COUNTIF($K$2:$K$3001,"&lt;"&amp;K950)+1)</f>
        <v/>
      </c>
    </row>
    <row r="951">
      <c r="A951" s="5">
        <f>IF($J951="","",IF($J951&lt;=1500,INDEX('Daily Sale entry '!$X$1:$X$1501,$J951+1),INDEX('Daily Sale entry '!$V$1:$V$1501,$J951-1499)))</f>
        <v/>
      </c>
      <c r="B951">
        <f>IF($J951="","",IF($J951&lt;=1500,INDEX('Daily Sale entry '!$Y$1:$Y$1501,$J951+1)&amp;"","Buyer cheque banked 买家支票存入"&amp;IF(INDEX('Daily Sale entry '!$U$1:$U$1501,$J951-1499)="","", " - "&amp;INDEX('Daily Sale entry '!$U$1:$U$1501,$J951-1499))))</f>
        <v/>
      </c>
      <c r="C951">
        <f>IF($J951="","",IF($J951&lt;=1500,INDEX('Daily Sale entry '!$Z$1:$Z$1501,$J951+1)&amp;"","Cheque deposit 支票存入 (buyer 买家)"))</f>
        <v/>
      </c>
      <c r="D951">
        <f>IF($J951="","",IF($J951&lt;=1500,INDEX('Daily Sale entry '!$AA$1:$AA$1501,$J951+1)&amp;"",INDEX('Daily Sale entry '!$P$1:$P$1501,$J951-1499)&amp;""))</f>
        <v/>
      </c>
      <c r="E951">
        <f>IF($J951="","",IF($J951&lt;=1500,IF(N(INDEX('Daily Sale entry '!$AB$1:$AB$1501,$J951+1))=0,"",INDEX('Daily Sale entry '!$AB$1:$AB$1501,$J951+1)),1))</f>
        <v/>
      </c>
      <c r="F951" s="6">
        <f>IF($J951="","",IF($J951&lt;=1500,N(INDEX('Daily Sale entry '!$AC$1:$AC$1501,$J951+1))-IF(AND('Opening Balance'!$B$15=1,INDEX('Daily Sale entry '!$Z$1:$Z$1501,$J951+1)="Online collection 网上收款",INDEX('Daily Sale entry '!$AA$1:$AA$1501,$J951+1)&lt;&gt;""),N(INDEX('Daily Sale entry '!$AC$1:$AC$1501,$J951+1))-TRUNC(N(INDEX('Daily Sale entry '!$AC$1:$AC$1501,$J951+1))),0),N(INDEX('Daily Sale entry '!$S$1:$S$1501,$J951-1499))-'Opening Balance'!$B$15*(N(INDEX('Daily Sale entry '!$S$1:$S$1501,$J951-1499))-TRUNC(N(INDEX('Daily Sale entry '!$S$1:$S$1501,$J951-1499))))))</f>
        <v/>
      </c>
      <c r="G951" s="6">
        <f>IF($J951="","",IF($J951&lt;=1500,N(INDEX('Daily Sale entry '!$AD$1:$AD$1501,$J951+1)),0))</f>
        <v/>
      </c>
      <c r="H951" s="6">
        <f>IF($J951="","",ROUND('Opening Balance'!$B$4+SUM($F$2:F951)-SUM($G$2:G951),2))</f>
        <v/>
      </c>
      <c r="J951" s="21">
        <f>IFERROR(MATCH(ROW()-1,$L$2:$L$3001,0),"")</f>
        <v/>
      </c>
      <c r="K951" s="34">
        <f>IF(AND('Daily Sale entry '!X951&lt;&gt;"",OR('Daily Sale entry '!AC951&lt;&gt;"",'Daily Sale entry '!AD951&lt;&gt;"")),'Daily Sale entry '!X951+ROW()/10000000,"")</f>
        <v/>
      </c>
      <c r="L951" s="21">
        <f>IF(K951="","",COUNTIF($K$2:$K$3001,"&lt;"&amp;K951)+1)</f>
        <v/>
      </c>
    </row>
    <row r="952">
      <c r="A952" s="5">
        <f>IF($J952="","",IF($J952&lt;=1500,INDEX('Daily Sale entry '!$X$1:$X$1501,$J952+1),INDEX('Daily Sale entry '!$V$1:$V$1501,$J952-1499)))</f>
        <v/>
      </c>
      <c r="B952">
        <f>IF($J952="","",IF($J952&lt;=1500,INDEX('Daily Sale entry '!$Y$1:$Y$1501,$J952+1)&amp;"","Buyer cheque banked 买家支票存入"&amp;IF(INDEX('Daily Sale entry '!$U$1:$U$1501,$J952-1499)="","", " - "&amp;INDEX('Daily Sale entry '!$U$1:$U$1501,$J952-1499))))</f>
        <v/>
      </c>
      <c r="C952">
        <f>IF($J952="","",IF($J952&lt;=1500,INDEX('Daily Sale entry '!$Z$1:$Z$1501,$J952+1)&amp;"","Cheque deposit 支票存入 (buyer 买家)"))</f>
        <v/>
      </c>
      <c r="D952">
        <f>IF($J952="","",IF($J952&lt;=1500,INDEX('Daily Sale entry '!$AA$1:$AA$1501,$J952+1)&amp;"",INDEX('Daily Sale entry '!$P$1:$P$1501,$J952-1499)&amp;""))</f>
        <v/>
      </c>
      <c r="E952">
        <f>IF($J952="","",IF($J952&lt;=1500,IF(N(INDEX('Daily Sale entry '!$AB$1:$AB$1501,$J952+1))=0,"",INDEX('Daily Sale entry '!$AB$1:$AB$1501,$J952+1)),1))</f>
        <v/>
      </c>
      <c r="F952" s="6">
        <f>IF($J952="","",IF($J952&lt;=1500,N(INDEX('Daily Sale entry '!$AC$1:$AC$1501,$J952+1))-IF(AND('Opening Balance'!$B$15=1,INDEX('Daily Sale entry '!$Z$1:$Z$1501,$J952+1)="Online collection 网上收款",INDEX('Daily Sale entry '!$AA$1:$AA$1501,$J952+1)&lt;&gt;""),N(INDEX('Daily Sale entry '!$AC$1:$AC$1501,$J952+1))-TRUNC(N(INDEX('Daily Sale entry '!$AC$1:$AC$1501,$J952+1))),0),N(INDEX('Daily Sale entry '!$S$1:$S$1501,$J952-1499))-'Opening Balance'!$B$15*(N(INDEX('Daily Sale entry '!$S$1:$S$1501,$J952-1499))-TRUNC(N(INDEX('Daily Sale entry '!$S$1:$S$1501,$J952-1499))))))</f>
        <v/>
      </c>
      <c r="G952" s="6">
        <f>IF($J952="","",IF($J952&lt;=1500,N(INDEX('Daily Sale entry '!$AD$1:$AD$1501,$J952+1)),0))</f>
        <v/>
      </c>
      <c r="H952" s="6">
        <f>IF($J952="","",ROUND('Opening Balance'!$B$4+SUM($F$2:F952)-SUM($G$2:G952),2))</f>
        <v/>
      </c>
      <c r="J952" s="21">
        <f>IFERROR(MATCH(ROW()-1,$L$2:$L$3001,0),"")</f>
        <v/>
      </c>
      <c r="K952" s="34">
        <f>IF(AND('Daily Sale entry '!X952&lt;&gt;"",OR('Daily Sale entry '!AC952&lt;&gt;"",'Daily Sale entry '!AD952&lt;&gt;"")),'Daily Sale entry '!X952+ROW()/10000000,"")</f>
        <v/>
      </c>
      <c r="L952" s="21">
        <f>IF(K952="","",COUNTIF($K$2:$K$3001,"&lt;"&amp;K952)+1)</f>
        <v/>
      </c>
    </row>
    <row r="953">
      <c r="A953" s="5">
        <f>IF($J953="","",IF($J953&lt;=1500,INDEX('Daily Sale entry '!$X$1:$X$1501,$J953+1),INDEX('Daily Sale entry '!$V$1:$V$1501,$J953-1499)))</f>
        <v/>
      </c>
      <c r="B953">
        <f>IF($J953="","",IF($J953&lt;=1500,INDEX('Daily Sale entry '!$Y$1:$Y$1501,$J953+1)&amp;"","Buyer cheque banked 买家支票存入"&amp;IF(INDEX('Daily Sale entry '!$U$1:$U$1501,$J953-1499)="","", " - "&amp;INDEX('Daily Sale entry '!$U$1:$U$1501,$J953-1499))))</f>
        <v/>
      </c>
      <c r="C953">
        <f>IF($J953="","",IF($J953&lt;=1500,INDEX('Daily Sale entry '!$Z$1:$Z$1501,$J953+1)&amp;"","Cheque deposit 支票存入 (buyer 买家)"))</f>
        <v/>
      </c>
      <c r="D953">
        <f>IF($J953="","",IF($J953&lt;=1500,INDEX('Daily Sale entry '!$AA$1:$AA$1501,$J953+1)&amp;"",INDEX('Daily Sale entry '!$P$1:$P$1501,$J953-1499)&amp;""))</f>
        <v/>
      </c>
      <c r="E953">
        <f>IF($J953="","",IF($J953&lt;=1500,IF(N(INDEX('Daily Sale entry '!$AB$1:$AB$1501,$J953+1))=0,"",INDEX('Daily Sale entry '!$AB$1:$AB$1501,$J953+1)),1))</f>
        <v/>
      </c>
      <c r="F953" s="6">
        <f>IF($J953="","",IF($J953&lt;=1500,N(INDEX('Daily Sale entry '!$AC$1:$AC$1501,$J953+1))-IF(AND('Opening Balance'!$B$15=1,INDEX('Daily Sale entry '!$Z$1:$Z$1501,$J953+1)="Online collection 网上收款",INDEX('Daily Sale entry '!$AA$1:$AA$1501,$J953+1)&lt;&gt;""),N(INDEX('Daily Sale entry '!$AC$1:$AC$1501,$J953+1))-TRUNC(N(INDEX('Daily Sale entry '!$AC$1:$AC$1501,$J953+1))),0),N(INDEX('Daily Sale entry '!$S$1:$S$1501,$J953-1499))-'Opening Balance'!$B$15*(N(INDEX('Daily Sale entry '!$S$1:$S$1501,$J953-1499))-TRUNC(N(INDEX('Daily Sale entry '!$S$1:$S$1501,$J953-1499))))))</f>
        <v/>
      </c>
      <c r="G953" s="6">
        <f>IF($J953="","",IF($J953&lt;=1500,N(INDEX('Daily Sale entry '!$AD$1:$AD$1501,$J953+1)),0))</f>
        <v/>
      </c>
      <c r="H953" s="6">
        <f>IF($J953="","",ROUND('Opening Balance'!$B$4+SUM($F$2:F953)-SUM($G$2:G953),2))</f>
        <v/>
      </c>
      <c r="J953" s="21">
        <f>IFERROR(MATCH(ROW()-1,$L$2:$L$3001,0),"")</f>
        <v/>
      </c>
      <c r="K953" s="34">
        <f>IF(AND('Daily Sale entry '!X953&lt;&gt;"",OR('Daily Sale entry '!AC953&lt;&gt;"",'Daily Sale entry '!AD953&lt;&gt;"")),'Daily Sale entry '!X953+ROW()/10000000,"")</f>
        <v/>
      </c>
      <c r="L953" s="21">
        <f>IF(K953="","",COUNTIF($K$2:$K$3001,"&lt;"&amp;K953)+1)</f>
        <v/>
      </c>
    </row>
    <row r="954">
      <c r="A954" s="5">
        <f>IF($J954="","",IF($J954&lt;=1500,INDEX('Daily Sale entry '!$X$1:$X$1501,$J954+1),INDEX('Daily Sale entry '!$V$1:$V$1501,$J954-1499)))</f>
        <v/>
      </c>
      <c r="B954">
        <f>IF($J954="","",IF($J954&lt;=1500,INDEX('Daily Sale entry '!$Y$1:$Y$1501,$J954+1)&amp;"","Buyer cheque banked 买家支票存入"&amp;IF(INDEX('Daily Sale entry '!$U$1:$U$1501,$J954-1499)="","", " - "&amp;INDEX('Daily Sale entry '!$U$1:$U$1501,$J954-1499))))</f>
        <v/>
      </c>
      <c r="C954">
        <f>IF($J954="","",IF($J954&lt;=1500,INDEX('Daily Sale entry '!$Z$1:$Z$1501,$J954+1)&amp;"","Cheque deposit 支票存入 (buyer 买家)"))</f>
        <v/>
      </c>
      <c r="D954">
        <f>IF($J954="","",IF($J954&lt;=1500,INDEX('Daily Sale entry '!$AA$1:$AA$1501,$J954+1)&amp;"",INDEX('Daily Sale entry '!$P$1:$P$1501,$J954-1499)&amp;""))</f>
        <v/>
      </c>
      <c r="E954">
        <f>IF($J954="","",IF($J954&lt;=1500,IF(N(INDEX('Daily Sale entry '!$AB$1:$AB$1501,$J954+1))=0,"",INDEX('Daily Sale entry '!$AB$1:$AB$1501,$J954+1)),1))</f>
        <v/>
      </c>
      <c r="F954" s="6">
        <f>IF($J954="","",IF($J954&lt;=1500,N(INDEX('Daily Sale entry '!$AC$1:$AC$1501,$J954+1))-IF(AND('Opening Balance'!$B$15=1,INDEX('Daily Sale entry '!$Z$1:$Z$1501,$J954+1)="Online collection 网上收款",INDEX('Daily Sale entry '!$AA$1:$AA$1501,$J954+1)&lt;&gt;""),N(INDEX('Daily Sale entry '!$AC$1:$AC$1501,$J954+1))-TRUNC(N(INDEX('Daily Sale entry '!$AC$1:$AC$1501,$J954+1))),0),N(INDEX('Daily Sale entry '!$S$1:$S$1501,$J954-1499))-'Opening Balance'!$B$15*(N(INDEX('Daily Sale entry '!$S$1:$S$1501,$J954-1499))-TRUNC(N(INDEX('Daily Sale entry '!$S$1:$S$1501,$J954-1499))))))</f>
        <v/>
      </c>
      <c r="G954" s="6">
        <f>IF($J954="","",IF($J954&lt;=1500,N(INDEX('Daily Sale entry '!$AD$1:$AD$1501,$J954+1)),0))</f>
        <v/>
      </c>
      <c r="H954" s="6">
        <f>IF($J954="","",ROUND('Opening Balance'!$B$4+SUM($F$2:F954)-SUM($G$2:G954),2))</f>
        <v/>
      </c>
      <c r="J954" s="21">
        <f>IFERROR(MATCH(ROW()-1,$L$2:$L$3001,0),"")</f>
        <v/>
      </c>
      <c r="K954" s="34">
        <f>IF(AND('Daily Sale entry '!X954&lt;&gt;"",OR('Daily Sale entry '!AC954&lt;&gt;"",'Daily Sale entry '!AD954&lt;&gt;"")),'Daily Sale entry '!X954+ROW()/10000000,"")</f>
        <v/>
      </c>
      <c r="L954" s="21">
        <f>IF(K954="","",COUNTIF($K$2:$K$3001,"&lt;"&amp;K954)+1)</f>
        <v/>
      </c>
    </row>
    <row r="955">
      <c r="A955" s="5">
        <f>IF($J955="","",IF($J955&lt;=1500,INDEX('Daily Sale entry '!$X$1:$X$1501,$J955+1),INDEX('Daily Sale entry '!$V$1:$V$1501,$J955-1499)))</f>
        <v/>
      </c>
      <c r="B955">
        <f>IF($J955="","",IF($J955&lt;=1500,INDEX('Daily Sale entry '!$Y$1:$Y$1501,$J955+1)&amp;"","Buyer cheque banked 买家支票存入"&amp;IF(INDEX('Daily Sale entry '!$U$1:$U$1501,$J955-1499)="","", " - "&amp;INDEX('Daily Sale entry '!$U$1:$U$1501,$J955-1499))))</f>
        <v/>
      </c>
      <c r="C955">
        <f>IF($J955="","",IF($J955&lt;=1500,INDEX('Daily Sale entry '!$Z$1:$Z$1501,$J955+1)&amp;"","Cheque deposit 支票存入 (buyer 买家)"))</f>
        <v/>
      </c>
      <c r="D955">
        <f>IF($J955="","",IF($J955&lt;=1500,INDEX('Daily Sale entry '!$AA$1:$AA$1501,$J955+1)&amp;"",INDEX('Daily Sale entry '!$P$1:$P$1501,$J955-1499)&amp;""))</f>
        <v/>
      </c>
      <c r="E955">
        <f>IF($J955="","",IF($J955&lt;=1500,IF(N(INDEX('Daily Sale entry '!$AB$1:$AB$1501,$J955+1))=0,"",INDEX('Daily Sale entry '!$AB$1:$AB$1501,$J955+1)),1))</f>
        <v/>
      </c>
      <c r="F955" s="6">
        <f>IF($J955="","",IF($J955&lt;=1500,N(INDEX('Daily Sale entry '!$AC$1:$AC$1501,$J955+1))-IF(AND('Opening Balance'!$B$15=1,INDEX('Daily Sale entry '!$Z$1:$Z$1501,$J955+1)="Online collection 网上收款",INDEX('Daily Sale entry '!$AA$1:$AA$1501,$J955+1)&lt;&gt;""),N(INDEX('Daily Sale entry '!$AC$1:$AC$1501,$J955+1))-TRUNC(N(INDEX('Daily Sale entry '!$AC$1:$AC$1501,$J955+1))),0),N(INDEX('Daily Sale entry '!$S$1:$S$1501,$J955-1499))-'Opening Balance'!$B$15*(N(INDEX('Daily Sale entry '!$S$1:$S$1501,$J955-1499))-TRUNC(N(INDEX('Daily Sale entry '!$S$1:$S$1501,$J955-1499))))))</f>
        <v/>
      </c>
      <c r="G955" s="6">
        <f>IF($J955="","",IF($J955&lt;=1500,N(INDEX('Daily Sale entry '!$AD$1:$AD$1501,$J955+1)),0))</f>
        <v/>
      </c>
      <c r="H955" s="6">
        <f>IF($J955="","",ROUND('Opening Balance'!$B$4+SUM($F$2:F955)-SUM($G$2:G955),2))</f>
        <v/>
      </c>
      <c r="J955" s="21">
        <f>IFERROR(MATCH(ROW()-1,$L$2:$L$3001,0),"")</f>
        <v/>
      </c>
      <c r="K955" s="34">
        <f>IF(AND('Daily Sale entry '!X955&lt;&gt;"",OR('Daily Sale entry '!AC955&lt;&gt;"",'Daily Sale entry '!AD955&lt;&gt;"")),'Daily Sale entry '!X955+ROW()/10000000,"")</f>
        <v/>
      </c>
      <c r="L955" s="21">
        <f>IF(K955="","",COUNTIF($K$2:$K$3001,"&lt;"&amp;K955)+1)</f>
        <v/>
      </c>
    </row>
    <row r="956">
      <c r="A956" s="5">
        <f>IF($J956="","",IF($J956&lt;=1500,INDEX('Daily Sale entry '!$X$1:$X$1501,$J956+1),INDEX('Daily Sale entry '!$V$1:$V$1501,$J956-1499)))</f>
        <v/>
      </c>
      <c r="B956">
        <f>IF($J956="","",IF($J956&lt;=1500,INDEX('Daily Sale entry '!$Y$1:$Y$1501,$J956+1)&amp;"","Buyer cheque banked 买家支票存入"&amp;IF(INDEX('Daily Sale entry '!$U$1:$U$1501,$J956-1499)="","", " - "&amp;INDEX('Daily Sale entry '!$U$1:$U$1501,$J956-1499))))</f>
        <v/>
      </c>
      <c r="C956">
        <f>IF($J956="","",IF($J956&lt;=1500,INDEX('Daily Sale entry '!$Z$1:$Z$1501,$J956+1)&amp;"","Cheque deposit 支票存入 (buyer 买家)"))</f>
        <v/>
      </c>
      <c r="D956">
        <f>IF($J956="","",IF($J956&lt;=1500,INDEX('Daily Sale entry '!$AA$1:$AA$1501,$J956+1)&amp;"",INDEX('Daily Sale entry '!$P$1:$P$1501,$J956-1499)&amp;""))</f>
        <v/>
      </c>
      <c r="E956">
        <f>IF($J956="","",IF($J956&lt;=1500,IF(N(INDEX('Daily Sale entry '!$AB$1:$AB$1501,$J956+1))=0,"",INDEX('Daily Sale entry '!$AB$1:$AB$1501,$J956+1)),1))</f>
        <v/>
      </c>
      <c r="F956" s="6">
        <f>IF($J956="","",IF($J956&lt;=1500,N(INDEX('Daily Sale entry '!$AC$1:$AC$1501,$J956+1))-IF(AND('Opening Balance'!$B$15=1,INDEX('Daily Sale entry '!$Z$1:$Z$1501,$J956+1)="Online collection 网上收款",INDEX('Daily Sale entry '!$AA$1:$AA$1501,$J956+1)&lt;&gt;""),N(INDEX('Daily Sale entry '!$AC$1:$AC$1501,$J956+1))-TRUNC(N(INDEX('Daily Sale entry '!$AC$1:$AC$1501,$J956+1))),0),N(INDEX('Daily Sale entry '!$S$1:$S$1501,$J956-1499))-'Opening Balance'!$B$15*(N(INDEX('Daily Sale entry '!$S$1:$S$1501,$J956-1499))-TRUNC(N(INDEX('Daily Sale entry '!$S$1:$S$1501,$J956-1499))))))</f>
        <v/>
      </c>
      <c r="G956" s="6">
        <f>IF($J956="","",IF($J956&lt;=1500,N(INDEX('Daily Sale entry '!$AD$1:$AD$1501,$J956+1)),0))</f>
        <v/>
      </c>
      <c r="H956" s="6">
        <f>IF($J956="","",ROUND('Opening Balance'!$B$4+SUM($F$2:F956)-SUM($G$2:G956),2))</f>
        <v/>
      </c>
      <c r="J956" s="21">
        <f>IFERROR(MATCH(ROW()-1,$L$2:$L$3001,0),"")</f>
        <v/>
      </c>
      <c r="K956" s="34">
        <f>IF(AND('Daily Sale entry '!X956&lt;&gt;"",OR('Daily Sale entry '!AC956&lt;&gt;"",'Daily Sale entry '!AD956&lt;&gt;"")),'Daily Sale entry '!X956+ROW()/10000000,"")</f>
        <v/>
      </c>
      <c r="L956" s="21">
        <f>IF(K956="","",COUNTIF($K$2:$K$3001,"&lt;"&amp;K956)+1)</f>
        <v/>
      </c>
    </row>
    <row r="957">
      <c r="A957" s="5">
        <f>IF($J957="","",IF($J957&lt;=1500,INDEX('Daily Sale entry '!$X$1:$X$1501,$J957+1),INDEX('Daily Sale entry '!$V$1:$V$1501,$J957-1499)))</f>
        <v/>
      </c>
      <c r="B957">
        <f>IF($J957="","",IF($J957&lt;=1500,INDEX('Daily Sale entry '!$Y$1:$Y$1501,$J957+1)&amp;"","Buyer cheque banked 买家支票存入"&amp;IF(INDEX('Daily Sale entry '!$U$1:$U$1501,$J957-1499)="","", " - "&amp;INDEX('Daily Sale entry '!$U$1:$U$1501,$J957-1499))))</f>
        <v/>
      </c>
      <c r="C957">
        <f>IF($J957="","",IF($J957&lt;=1500,INDEX('Daily Sale entry '!$Z$1:$Z$1501,$J957+1)&amp;"","Cheque deposit 支票存入 (buyer 买家)"))</f>
        <v/>
      </c>
      <c r="D957">
        <f>IF($J957="","",IF($J957&lt;=1500,INDEX('Daily Sale entry '!$AA$1:$AA$1501,$J957+1)&amp;"",INDEX('Daily Sale entry '!$P$1:$P$1501,$J957-1499)&amp;""))</f>
        <v/>
      </c>
      <c r="E957">
        <f>IF($J957="","",IF($J957&lt;=1500,IF(N(INDEX('Daily Sale entry '!$AB$1:$AB$1501,$J957+1))=0,"",INDEX('Daily Sale entry '!$AB$1:$AB$1501,$J957+1)),1))</f>
        <v/>
      </c>
      <c r="F957" s="6">
        <f>IF($J957="","",IF($J957&lt;=1500,N(INDEX('Daily Sale entry '!$AC$1:$AC$1501,$J957+1))-IF(AND('Opening Balance'!$B$15=1,INDEX('Daily Sale entry '!$Z$1:$Z$1501,$J957+1)="Online collection 网上收款",INDEX('Daily Sale entry '!$AA$1:$AA$1501,$J957+1)&lt;&gt;""),N(INDEX('Daily Sale entry '!$AC$1:$AC$1501,$J957+1))-TRUNC(N(INDEX('Daily Sale entry '!$AC$1:$AC$1501,$J957+1))),0),N(INDEX('Daily Sale entry '!$S$1:$S$1501,$J957-1499))-'Opening Balance'!$B$15*(N(INDEX('Daily Sale entry '!$S$1:$S$1501,$J957-1499))-TRUNC(N(INDEX('Daily Sale entry '!$S$1:$S$1501,$J957-1499))))))</f>
        <v/>
      </c>
      <c r="G957" s="6">
        <f>IF($J957="","",IF($J957&lt;=1500,N(INDEX('Daily Sale entry '!$AD$1:$AD$1501,$J957+1)),0))</f>
        <v/>
      </c>
      <c r="H957" s="6">
        <f>IF($J957="","",ROUND('Opening Balance'!$B$4+SUM($F$2:F957)-SUM($G$2:G957),2))</f>
        <v/>
      </c>
      <c r="J957" s="21">
        <f>IFERROR(MATCH(ROW()-1,$L$2:$L$3001,0),"")</f>
        <v/>
      </c>
      <c r="K957" s="34">
        <f>IF(AND('Daily Sale entry '!X957&lt;&gt;"",OR('Daily Sale entry '!AC957&lt;&gt;"",'Daily Sale entry '!AD957&lt;&gt;"")),'Daily Sale entry '!X957+ROW()/10000000,"")</f>
        <v/>
      </c>
      <c r="L957" s="21">
        <f>IF(K957="","",COUNTIF($K$2:$K$3001,"&lt;"&amp;K957)+1)</f>
        <v/>
      </c>
    </row>
    <row r="958">
      <c r="A958" s="5">
        <f>IF($J958="","",IF($J958&lt;=1500,INDEX('Daily Sale entry '!$X$1:$X$1501,$J958+1),INDEX('Daily Sale entry '!$V$1:$V$1501,$J958-1499)))</f>
        <v/>
      </c>
      <c r="B958">
        <f>IF($J958="","",IF($J958&lt;=1500,INDEX('Daily Sale entry '!$Y$1:$Y$1501,$J958+1)&amp;"","Buyer cheque banked 买家支票存入"&amp;IF(INDEX('Daily Sale entry '!$U$1:$U$1501,$J958-1499)="","", " - "&amp;INDEX('Daily Sale entry '!$U$1:$U$1501,$J958-1499))))</f>
        <v/>
      </c>
      <c r="C958">
        <f>IF($J958="","",IF($J958&lt;=1500,INDEX('Daily Sale entry '!$Z$1:$Z$1501,$J958+1)&amp;"","Cheque deposit 支票存入 (buyer 买家)"))</f>
        <v/>
      </c>
      <c r="D958">
        <f>IF($J958="","",IF($J958&lt;=1500,INDEX('Daily Sale entry '!$AA$1:$AA$1501,$J958+1)&amp;"",INDEX('Daily Sale entry '!$P$1:$P$1501,$J958-1499)&amp;""))</f>
        <v/>
      </c>
      <c r="E958">
        <f>IF($J958="","",IF($J958&lt;=1500,IF(N(INDEX('Daily Sale entry '!$AB$1:$AB$1501,$J958+1))=0,"",INDEX('Daily Sale entry '!$AB$1:$AB$1501,$J958+1)),1))</f>
        <v/>
      </c>
      <c r="F958" s="6">
        <f>IF($J958="","",IF($J958&lt;=1500,N(INDEX('Daily Sale entry '!$AC$1:$AC$1501,$J958+1))-IF(AND('Opening Balance'!$B$15=1,INDEX('Daily Sale entry '!$Z$1:$Z$1501,$J958+1)="Online collection 网上收款",INDEX('Daily Sale entry '!$AA$1:$AA$1501,$J958+1)&lt;&gt;""),N(INDEX('Daily Sale entry '!$AC$1:$AC$1501,$J958+1))-TRUNC(N(INDEX('Daily Sale entry '!$AC$1:$AC$1501,$J958+1))),0),N(INDEX('Daily Sale entry '!$S$1:$S$1501,$J958-1499))-'Opening Balance'!$B$15*(N(INDEX('Daily Sale entry '!$S$1:$S$1501,$J958-1499))-TRUNC(N(INDEX('Daily Sale entry '!$S$1:$S$1501,$J958-1499))))))</f>
        <v/>
      </c>
      <c r="G958" s="6">
        <f>IF($J958="","",IF($J958&lt;=1500,N(INDEX('Daily Sale entry '!$AD$1:$AD$1501,$J958+1)),0))</f>
        <v/>
      </c>
      <c r="H958" s="6">
        <f>IF($J958="","",ROUND('Opening Balance'!$B$4+SUM($F$2:F958)-SUM($G$2:G958),2))</f>
        <v/>
      </c>
      <c r="J958" s="21">
        <f>IFERROR(MATCH(ROW()-1,$L$2:$L$3001,0),"")</f>
        <v/>
      </c>
      <c r="K958" s="34">
        <f>IF(AND('Daily Sale entry '!X958&lt;&gt;"",OR('Daily Sale entry '!AC958&lt;&gt;"",'Daily Sale entry '!AD958&lt;&gt;"")),'Daily Sale entry '!X958+ROW()/10000000,"")</f>
        <v/>
      </c>
      <c r="L958" s="21">
        <f>IF(K958="","",COUNTIF($K$2:$K$3001,"&lt;"&amp;K958)+1)</f>
        <v/>
      </c>
    </row>
    <row r="959">
      <c r="A959" s="5">
        <f>IF($J959="","",IF($J959&lt;=1500,INDEX('Daily Sale entry '!$X$1:$X$1501,$J959+1),INDEX('Daily Sale entry '!$V$1:$V$1501,$J959-1499)))</f>
        <v/>
      </c>
      <c r="B959">
        <f>IF($J959="","",IF($J959&lt;=1500,INDEX('Daily Sale entry '!$Y$1:$Y$1501,$J959+1)&amp;"","Buyer cheque banked 买家支票存入"&amp;IF(INDEX('Daily Sale entry '!$U$1:$U$1501,$J959-1499)="","", " - "&amp;INDEX('Daily Sale entry '!$U$1:$U$1501,$J959-1499))))</f>
        <v/>
      </c>
      <c r="C959">
        <f>IF($J959="","",IF($J959&lt;=1500,INDEX('Daily Sale entry '!$Z$1:$Z$1501,$J959+1)&amp;"","Cheque deposit 支票存入 (buyer 买家)"))</f>
        <v/>
      </c>
      <c r="D959">
        <f>IF($J959="","",IF($J959&lt;=1500,INDEX('Daily Sale entry '!$AA$1:$AA$1501,$J959+1)&amp;"",INDEX('Daily Sale entry '!$P$1:$P$1501,$J959-1499)&amp;""))</f>
        <v/>
      </c>
      <c r="E959">
        <f>IF($J959="","",IF($J959&lt;=1500,IF(N(INDEX('Daily Sale entry '!$AB$1:$AB$1501,$J959+1))=0,"",INDEX('Daily Sale entry '!$AB$1:$AB$1501,$J959+1)),1))</f>
        <v/>
      </c>
      <c r="F959" s="6">
        <f>IF($J959="","",IF($J959&lt;=1500,N(INDEX('Daily Sale entry '!$AC$1:$AC$1501,$J959+1))-IF(AND('Opening Balance'!$B$15=1,INDEX('Daily Sale entry '!$Z$1:$Z$1501,$J959+1)="Online collection 网上收款",INDEX('Daily Sale entry '!$AA$1:$AA$1501,$J959+1)&lt;&gt;""),N(INDEX('Daily Sale entry '!$AC$1:$AC$1501,$J959+1))-TRUNC(N(INDEX('Daily Sale entry '!$AC$1:$AC$1501,$J959+1))),0),N(INDEX('Daily Sale entry '!$S$1:$S$1501,$J959-1499))-'Opening Balance'!$B$15*(N(INDEX('Daily Sale entry '!$S$1:$S$1501,$J959-1499))-TRUNC(N(INDEX('Daily Sale entry '!$S$1:$S$1501,$J959-1499))))))</f>
        <v/>
      </c>
      <c r="G959" s="6">
        <f>IF($J959="","",IF($J959&lt;=1500,N(INDEX('Daily Sale entry '!$AD$1:$AD$1501,$J959+1)),0))</f>
        <v/>
      </c>
      <c r="H959" s="6">
        <f>IF($J959="","",ROUND('Opening Balance'!$B$4+SUM($F$2:F959)-SUM($G$2:G959),2))</f>
        <v/>
      </c>
      <c r="J959" s="21">
        <f>IFERROR(MATCH(ROW()-1,$L$2:$L$3001,0),"")</f>
        <v/>
      </c>
      <c r="K959" s="34">
        <f>IF(AND('Daily Sale entry '!X959&lt;&gt;"",OR('Daily Sale entry '!AC959&lt;&gt;"",'Daily Sale entry '!AD959&lt;&gt;"")),'Daily Sale entry '!X959+ROW()/10000000,"")</f>
        <v/>
      </c>
      <c r="L959" s="21">
        <f>IF(K959="","",COUNTIF($K$2:$K$3001,"&lt;"&amp;K959)+1)</f>
        <v/>
      </c>
    </row>
    <row r="960">
      <c r="A960" s="5">
        <f>IF($J960="","",IF($J960&lt;=1500,INDEX('Daily Sale entry '!$X$1:$X$1501,$J960+1),INDEX('Daily Sale entry '!$V$1:$V$1501,$J960-1499)))</f>
        <v/>
      </c>
      <c r="B960">
        <f>IF($J960="","",IF($J960&lt;=1500,INDEX('Daily Sale entry '!$Y$1:$Y$1501,$J960+1)&amp;"","Buyer cheque banked 买家支票存入"&amp;IF(INDEX('Daily Sale entry '!$U$1:$U$1501,$J960-1499)="","", " - "&amp;INDEX('Daily Sale entry '!$U$1:$U$1501,$J960-1499))))</f>
        <v/>
      </c>
      <c r="C960">
        <f>IF($J960="","",IF($J960&lt;=1500,INDEX('Daily Sale entry '!$Z$1:$Z$1501,$J960+1)&amp;"","Cheque deposit 支票存入 (buyer 买家)"))</f>
        <v/>
      </c>
      <c r="D960">
        <f>IF($J960="","",IF($J960&lt;=1500,INDEX('Daily Sale entry '!$AA$1:$AA$1501,$J960+1)&amp;"",INDEX('Daily Sale entry '!$P$1:$P$1501,$J960-1499)&amp;""))</f>
        <v/>
      </c>
      <c r="E960">
        <f>IF($J960="","",IF($J960&lt;=1500,IF(N(INDEX('Daily Sale entry '!$AB$1:$AB$1501,$J960+1))=0,"",INDEX('Daily Sale entry '!$AB$1:$AB$1501,$J960+1)),1))</f>
        <v/>
      </c>
      <c r="F960" s="6">
        <f>IF($J960="","",IF($J960&lt;=1500,N(INDEX('Daily Sale entry '!$AC$1:$AC$1501,$J960+1))-IF(AND('Opening Balance'!$B$15=1,INDEX('Daily Sale entry '!$Z$1:$Z$1501,$J960+1)="Online collection 网上收款",INDEX('Daily Sale entry '!$AA$1:$AA$1501,$J960+1)&lt;&gt;""),N(INDEX('Daily Sale entry '!$AC$1:$AC$1501,$J960+1))-TRUNC(N(INDEX('Daily Sale entry '!$AC$1:$AC$1501,$J960+1))),0),N(INDEX('Daily Sale entry '!$S$1:$S$1501,$J960-1499))-'Opening Balance'!$B$15*(N(INDEX('Daily Sale entry '!$S$1:$S$1501,$J960-1499))-TRUNC(N(INDEX('Daily Sale entry '!$S$1:$S$1501,$J960-1499))))))</f>
        <v/>
      </c>
      <c r="G960" s="6">
        <f>IF($J960="","",IF($J960&lt;=1500,N(INDEX('Daily Sale entry '!$AD$1:$AD$1501,$J960+1)),0))</f>
        <v/>
      </c>
      <c r="H960" s="6">
        <f>IF($J960="","",ROUND('Opening Balance'!$B$4+SUM($F$2:F960)-SUM($G$2:G960),2))</f>
        <v/>
      </c>
      <c r="J960" s="21">
        <f>IFERROR(MATCH(ROW()-1,$L$2:$L$3001,0),"")</f>
        <v/>
      </c>
      <c r="K960" s="34">
        <f>IF(AND('Daily Sale entry '!X960&lt;&gt;"",OR('Daily Sale entry '!AC960&lt;&gt;"",'Daily Sale entry '!AD960&lt;&gt;"")),'Daily Sale entry '!X960+ROW()/10000000,"")</f>
        <v/>
      </c>
      <c r="L960" s="21">
        <f>IF(K960="","",COUNTIF($K$2:$K$3001,"&lt;"&amp;K960)+1)</f>
        <v/>
      </c>
    </row>
    <row r="961">
      <c r="A961" s="5">
        <f>IF($J961="","",IF($J961&lt;=1500,INDEX('Daily Sale entry '!$X$1:$X$1501,$J961+1),INDEX('Daily Sale entry '!$V$1:$V$1501,$J961-1499)))</f>
        <v/>
      </c>
      <c r="B961">
        <f>IF($J961="","",IF($J961&lt;=1500,INDEX('Daily Sale entry '!$Y$1:$Y$1501,$J961+1)&amp;"","Buyer cheque banked 买家支票存入"&amp;IF(INDEX('Daily Sale entry '!$U$1:$U$1501,$J961-1499)="","", " - "&amp;INDEX('Daily Sale entry '!$U$1:$U$1501,$J961-1499))))</f>
        <v/>
      </c>
      <c r="C961">
        <f>IF($J961="","",IF($J961&lt;=1500,INDEX('Daily Sale entry '!$Z$1:$Z$1501,$J961+1)&amp;"","Cheque deposit 支票存入 (buyer 买家)"))</f>
        <v/>
      </c>
      <c r="D961">
        <f>IF($J961="","",IF($J961&lt;=1500,INDEX('Daily Sale entry '!$AA$1:$AA$1501,$J961+1)&amp;"",INDEX('Daily Sale entry '!$P$1:$P$1501,$J961-1499)&amp;""))</f>
        <v/>
      </c>
      <c r="E961">
        <f>IF($J961="","",IF($J961&lt;=1500,IF(N(INDEX('Daily Sale entry '!$AB$1:$AB$1501,$J961+1))=0,"",INDEX('Daily Sale entry '!$AB$1:$AB$1501,$J961+1)),1))</f>
        <v/>
      </c>
      <c r="F961" s="6">
        <f>IF($J961="","",IF($J961&lt;=1500,N(INDEX('Daily Sale entry '!$AC$1:$AC$1501,$J961+1))-IF(AND('Opening Balance'!$B$15=1,INDEX('Daily Sale entry '!$Z$1:$Z$1501,$J961+1)="Online collection 网上收款",INDEX('Daily Sale entry '!$AA$1:$AA$1501,$J961+1)&lt;&gt;""),N(INDEX('Daily Sale entry '!$AC$1:$AC$1501,$J961+1))-TRUNC(N(INDEX('Daily Sale entry '!$AC$1:$AC$1501,$J961+1))),0),N(INDEX('Daily Sale entry '!$S$1:$S$1501,$J961-1499))-'Opening Balance'!$B$15*(N(INDEX('Daily Sale entry '!$S$1:$S$1501,$J961-1499))-TRUNC(N(INDEX('Daily Sale entry '!$S$1:$S$1501,$J961-1499))))))</f>
        <v/>
      </c>
      <c r="G961" s="6">
        <f>IF($J961="","",IF($J961&lt;=1500,N(INDEX('Daily Sale entry '!$AD$1:$AD$1501,$J961+1)),0))</f>
        <v/>
      </c>
      <c r="H961" s="6">
        <f>IF($J961="","",ROUND('Opening Balance'!$B$4+SUM($F$2:F961)-SUM($G$2:G961),2))</f>
        <v/>
      </c>
      <c r="J961" s="21">
        <f>IFERROR(MATCH(ROW()-1,$L$2:$L$3001,0),"")</f>
        <v/>
      </c>
      <c r="K961" s="34">
        <f>IF(AND('Daily Sale entry '!X961&lt;&gt;"",OR('Daily Sale entry '!AC961&lt;&gt;"",'Daily Sale entry '!AD961&lt;&gt;"")),'Daily Sale entry '!X961+ROW()/10000000,"")</f>
        <v/>
      </c>
      <c r="L961" s="21">
        <f>IF(K961="","",COUNTIF($K$2:$K$3001,"&lt;"&amp;K961)+1)</f>
        <v/>
      </c>
    </row>
    <row r="962">
      <c r="A962" s="5">
        <f>IF($J962="","",IF($J962&lt;=1500,INDEX('Daily Sale entry '!$X$1:$X$1501,$J962+1),INDEX('Daily Sale entry '!$V$1:$V$1501,$J962-1499)))</f>
        <v/>
      </c>
      <c r="B962">
        <f>IF($J962="","",IF($J962&lt;=1500,INDEX('Daily Sale entry '!$Y$1:$Y$1501,$J962+1)&amp;"","Buyer cheque banked 买家支票存入"&amp;IF(INDEX('Daily Sale entry '!$U$1:$U$1501,$J962-1499)="","", " - "&amp;INDEX('Daily Sale entry '!$U$1:$U$1501,$J962-1499))))</f>
        <v/>
      </c>
      <c r="C962">
        <f>IF($J962="","",IF($J962&lt;=1500,INDEX('Daily Sale entry '!$Z$1:$Z$1501,$J962+1)&amp;"","Cheque deposit 支票存入 (buyer 买家)"))</f>
        <v/>
      </c>
      <c r="D962">
        <f>IF($J962="","",IF($J962&lt;=1500,INDEX('Daily Sale entry '!$AA$1:$AA$1501,$J962+1)&amp;"",INDEX('Daily Sale entry '!$P$1:$P$1501,$J962-1499)&amp;""))</f>
        <v/>
      </c>
      <c r="E962">
        <f>IF($J962="","",IF($J962&lt;=1500,IF(N(INDEX('Daily Sale entry '!$AB$1:$AB$1501,$J962+1))=0,"",INDEX('Daily Sale entry '!$AB$1:$AB$1501,$J962+1)),1))</f>
        <v/>
      </c>
      <c r="F962" s="6">
        <f>IF($J962="","",IF($J962&lt;=1500,N(INDEX('Daily Sale entry '!$AC$1:$AC$1501,$J962+1))-IF(AND('Opening Balance'!$B$15=1,INDEX('Daily Sale entry '!$Z$1:$Z$1501,$J962+1)="Online collection 网上收款",INDEX('Daily Sale entry '!$AA$1:$AA$1501,$J962+1)&lt;&gt;""),N(INDEX('Daily Sale entry '!$AC$1:$AC$1501,$J962+1))-TRUNC(N(INDEX('Daily Sale entry '!$AC$1:$AC$1501,$J962+1))),0),N(INDEX('Daily Sale entry '!$S$1:$S$1501,$J962-1499))-'Opening Balance'!$B$15*(N(INDEX('Daily Sale entry '!$S$1:$S$1501,$J962-1499))-TRUNC(N(INDEX('Daily Sale entry '!$S$1:$S$1501,$J962-1499))))))</f>
        <v/>
      </c>
      <c r="G962" s="6">
        <f>IF($J962="","",IF($J962&lt;=1500,N(INDEX('Daily Sale entry '!$AD$1:$AD$1501,$J962+1)),0))</f>
        <v/>
      </c>
      <c r="H962" s="6">
        <f>IF($J962="","",ROUND('Opening Balance'!$B$4+SUM($F$2:F962)-SUM($G$2:G962),2))</f>
        <v/>
      </c>
      <c r="J962" s="21">
        <f>IFERROR(MATCH(ROW()-1,$L$2:$L$3001,0),"")</f>
        <v/>
      </c>
      <c r="K962" s="34">
        <f>IF(AND('Daily Sale entry '!X962&lt;&gt;"",OR('Daily Sale entry '!AC962&lt;&gt;"",'Daily Sale entry '!AD962&lt;&gt;"")),'Daily Sale entry '!X962+ROW()/10000000,"")</f>
        <v/>
      </c>
      <c r="L962" s="21">
        <f>IF(K962="","",COUNTIF($K$2:$K$3001,"&lt;"&amp;K962)+1)</f>
        <v/>
      </c>
    </row>
    <row r="963">
      <c r="A963" s="5">
        <f>IF($J963="","",IF($J963&lt;=1500,INDEX('Daily Sale entry '!$X$1:$X$1501,$J963+1),INDEX('Daily Sale entry '!$V$1:$V$1501,$J963-1499)))</f>
        <v/>
      </c>
      <c r="B963">
        <f>IF($J963="","",IF($J963&lt;=1500,INDEX('Daily Sale entry '!$Y$1:$Y$1501,$J963+1)&amp;"","Buyer cheque banked 买家支票存入"&amp;IF(INDEX('Daily Sale entry '!$U$1:$U$1501,$J963-1499)="","", " - "&amp;INDEX('Daily Sale entry '!$U$1:$U$1501,$J963-1499))))</f>
        <v/>
      </c>
      <c r="C963">
        <f>IF($J963="","",IF($J963&lt;=1500,INDEX('Daily Sale entry '!$Z$1:$Z$1501,$J963+1)&amp;"","Cheque deposit 支票存入 (buyer 买家)"))</f>
        <v/>
      </c>
      <c r="D963">
        <f>IF($J963="","",IF($J963&lt;=1500,INDEX('Daily Sale entry '!$AA$1:$AA$1501,$J963+1)&amp;"",INDEX('Daily Sale entry '!$P$1:$P$1501,$J963-1499)&amp;""))</f>
        <v/>
      </c>
      <c r="E963">
        <f>IF($J963="","",IF($J963&lt;=1500,IF(N(INDEX('Daily Sale entry '!$AB$1:$AB$1501,$J963+1))=0,"",INDEX('Daily Sale entry '!$AB$1:$AB$1501,$J963+1)),1))</f>
        <v/>
      </c>
      <c r="F963" s="6">
        <f>IF($J963="","",IF($J963&lt;=1500,N(INDEX('Daily Sale entry '!$AC$1:$AC$1501,$J963+1))-IF(AND('Opening Balance'!$B$15=1,INDEX('Daily Sale entry '!$Z$1:$Z$1501,$J963+1)="Online collection 网上收款",INDEX('Daily Sale entry '!$AA$1:$AA$1501,$J963+1)&lt;&gt;""),N(INDEX('Daily Sale entry '!$AC$1:$AC$1501,$J963+1))-TRUNC(N(INDEX('Daily Sale entry '!$AC$1:$AC$1501,$J963+1))),0),N(INDEX('Daily Sale entry '!$S$1:$S$1501,$J963-1499))-'Opening Balance'!$B$15*(N(INDEX('Daily Sale entry '!$S$1:$S$1501,$J963-1499))-TRUNC(N(INDEX('Daily Sale entry '!$S$1:$S$1501,$J963-1499))))))</f>
        <v/>
      </c>
      <c r="G963" s="6">
        <f>IF($J963="","",IF($J963&lt;=1500,N(INDEX('Daily Sale entry '!$AD$1:$AD$1501,$J963+1)),0))</f>
        <v/>
      </c>
      <c r="H963" s="6">
        <f>IF($J963="","",ROUND('Opening Balance'!$B$4+SUM($F$2:F963)-SUM($G$2:G963),2))</f>
        <v/>
      </c>
      <c r="J963" s="21">
        <f>IFERROR(MATCH(ROW()-1,$L$2:$L$3001,0),"")</f>
        <v/>
      </c>
      <c r="K963" s="34">
        <f>IF(AND('Daily Sale entry '!X963&lt;&gt;"",OR('Daily Sale entry '!AC963&lt;&gt;"",'Daily Sale entry '!AD963&lt;&gt;"")),'Daily Sale entry '!X963+ROW()/10000000,"")</f>
        <v/>
      </c>
      <c r="L963" s="21">
        <f>IF(K963="","",COUNTIF($K$2:$K$3001,"&lt;"&amp;K963)+1)</f>
        <v/>
      </c>
    </row>
    <row r="964">
      <c r="A964" s="5">
        <f>IF($J964="","",IF($J964&lt;=1500,INDEX('Daily Sale entry '!$X$1:$X$1501,$J964+1),INDEX('Daily Sale entry '!$V$1:$V$1501,$J964-1499)))</f>
        <v/>
      </c>
      <c r="B964">
        <f>IF($J964="","",IF($J964&lt;=1500,INDEX('Daily Sale entry '!$Y$1:$Y$1501,$J964+1)&amp;"","Buyer cheque banked 买家支票存入"&amp;IF(INDEX('Daily Sale entry '!$U$1:$U$1501,$J964-1499)="","", " - "&amp;INDEX('Daily Sale entry '!$U$1:$U$1501,$J964-1499))))</f>
        <v/>
      </c>
      <c r="C964">
        <f>IF($J964="","",IF($J964&lt;=1500,INDEX('Daily Sale entry '!$Z$1:$Z$1501,$J964+1)&amp;"","Cheque deposit 支票存入 (buyer 买家)"))</f>
        <v/>
      </c>
      <c r="D964">
        <f>IF($J964="","",IF($J964&lt;=1500,INDEX('Daily Sale entry '!$AA$1:$AA$1501,$J964+1)&amp;"",INDEX('Daily Sale entry '!$P$1:$P$1501,$J964-1499)&amp;""))</f>
        <v/>
      </c>
      <c r="E964">
        <f>IF($J964="","",IF($J964&lt;=1500,IF(N(INDEX('Daily Sale entry '!$AB$1:$AB$1501,$J964+1))=0,"",INDEX('Daily Sale entry '!$AB$1:$AB$1501,$J964+1)),1))</f>
        <v/>
      </c>
      <c r="F964" s="6">
        <f>IF($J964="","",IF($J964&lt;=1500,N(INDEX('Daily Sale entry '!$AC$1:$AC$1501,$J964+1))-IF(AND('Opening Balance'!$B$15=1,INDEX('Daily Sale entry '!$Z$1:$Z$1501,$J964+1)="Online collection 网上收款",INDEX('Daily Sale entry '!$AA$1:$AA$1501,$J964+1)&lt;&gt;""),N(INDEX('Daily Sale entry '!$AC$1:$AC$1501,$J964+1))-TRUNC(N(INDEX('Daily Sale entry '!$AC$1:$AC$1501,$J964+1))),0),N(INDEX('Daily Sale entry '!$S$1:$S$1501,$J964-1499))-'Opening Balance'!$B$15*(N(INDEX('Daily Sale entry '!$S$1:$S$1501,$J964-1499))-TRUNC(N(INDEX('Daily Sale entry '!$S$1:$S$1501,$J964-1499))))))</f>
        <v/>
      </c>
      <c r="G964" s="6">
        <f>IF($J964="","",IF($J964&lt;=1500,N(INDEX('Daily Sale entry '!$AD$1:$AD$1501,$J964+1)),0))</f>
        <v/>
      </c>
      <c r="H964" s="6">
        <f>IF($J964="","",ROUND('Opening Balance'!$B$4+SUM($F$2:F964)-SUM($G$2:G964),2))</f>
        <v/>
      </c>
      <c r="J964" s="21">
        <f>IFERROR(MATCH(ROW()-1,$L$2:$L$3001,0),"")</f>
        <v/>
      </c>
      <c r="K964" s="34">
        <f>IF(AND('Daily Sale entry '!X964&lt;&gt;"",OR('Daily Sale entry '!AC964&lt;&gt;"",'Daily Sale entry '!AD964&lt;&gt;"")),'Daily Sale entry '!X964+ROW()/10000000,"")</f>
        <v/>
      </c>
      <c r="L964" s="21">
        <f>IF(K964="","",COUNTIF($K$2:$K$3001,"&lt;"&amp;K964)+1)</f>
        <v/>
      </c>
    </row>
    <row r="965">
      <c r="A965" s="5">
        <f>IF($J965="","",IF($J965&lt;=1500,INDEX('Daily Sale entry '!$X$1:$X$1501,$J965+1),INDEX('Daily Sale entry '!$V$1:$V$1501,$J965-1499)))</f>
        <v/>
      </c>
      <c r="B965">
        <f>IF($J965="","",IF($J965&lt;=1500,INDEX('Daily Sale entry '!$Y$1:$Y$1501,$J965+1)&amp;"","Buyer cheque banked 买家支票存入"&amp;IF(INDEX('Daily Sale entry '!$U$1:$U$1501,$J965-1499)="","", " - "&amp;INDEX('Daily Sale entry '!$U$1:$U$1501,$J965-1499))))</f>
        <v/>
      </c>
      <c r="C965">
        <f>IF($J965="","",IF($J965&lt;=1500,INDEX('Daily Sale entry '!$Z$1:$Z$1501,$J965+1)&amp;"","Cheque deposit 支票存入 (buyer 买家)"))</f>
        <v/>
      </c>
      <c r="D965">
        <f>IF($J965="","",IF($J965&lt;=1500,INDEX('Daily Sale entry '!$AA$1:$AA$1501,$J965+1)&amp;"",INDEX('Daily Sale entry '!$P$1:$P$1501,$J965-1499)&amp;""))</f>
        <v/>
      </c>
      <c r="E965">
        <f>IF($J965="","",IF($J965&lt;=1500,IF(N(INDEX('Daily Sale entry '!$AB$1:$AB$1501,$J965+1))=0,"",INDEX('Daily Sale entry '!$AB$1:$AB$1501,$J965+1)),1))</f>
        <v/>
      </c>
      <c r="F965" s="6">
        <f>IF($J965="","",IF($J965&lt;=1500,N(INDEX('Daily Sale entry '!$AC$1:$AC$1501,$J965+1))-IF(AND('Opening Balance'!$B$15=1,INDEX('Daily Sale entry '!$Z$1:$Z$1501,$J965+1)="Online collection 网上收款",INDEX('Daily Sale entry '!$AA$1:$AA$1501,$J965+1)&lt;&gt;""),N(INDEX('Daily Sale entry '!$AC$1:$AC$1501,$J965+1))-TRUNC(N(INDEX('Daily Sale entry '!$AC$1:$AC$1501,$J965+1))),0),N(INDEX('Daily Sale entry '!$S$1:$S$1501,$J965-1499))-'Opening Balance'!$B$15*(N(INDEX('Daily Sale entry '!$S$1:$S$1501,$J965-1499))-TRUNC(N(INDEX('Daily Sale entry '!$S$1:$S$1501,$J965-1499))))))</f>
        <v/>
      </c>
      <c r="G965" s="6">
        <f>IF($J965="","",IF($J965&lt;=1500,N(INDEX('Daily Sale entry '!$AD$1:$AD$1501,$J965+1)),0))</f>
        <v/>
      </c>
      <c r="H965" s="6">
        <f>IF($J965="","",ROUND('Opening Balance'!$B$4+SUM($F$2:F965)-SUM($G$2:G965),2))</f>
        <v/>
      </c>
      <c r="J965" s="21">
        <f>IFERROR(MATCH(ROW()-1,$L$2:$L$3001,0),"")</f>
        <v/>
      </c>
      <c r="K965" s="34">
        <f>IF(AND('Daily Sale entry '!X965&lt;&gt;"",OR('Daily Sale entry '!AC965&lt;&gt;"",'Daily Sale entry '!AD965&lt;&gt;"")),'Daily Sale entry '!X965+ROW()/10000000,"")</f>
        <v/>
      </c>
      <c r="L965" s="21">
        <f>IF(K965="","",COUNTIF($K$2:$K$3001,"&lt;"&amp;K965)+1)</f>
        <v/>
      </c>
    </row>
    <row r="966">
      <c r="A966" s="5">
        <f>IF($J966="","",IF($J966&lt;=1500,INDEX('Daily Sale entry '!$X$1:$X$1501,$J966+1),INDEX('Daily Sale entry '!$V$1:$V$1501,$J966-1499)))</f>
        <v/>
      </c>
      <c r="B966">
        <f>IF($J966="","",IF($J966&lt;=1500,INDEX('Daily Sale entry '!$Y$1:$Y$1501,$J966+1)&amp;"","Buyer cheque banked 买家支票存入"&amp;IF(INDEX('Daily Sale entry '!$U$1:$U$1501,$J966-1499)="","", " - "&amp;INDEX('Daily Sale entry '!$U$1:$U$1501,$J966-1499))))</f>
        <v/>
      </c>
      <c r="C966">
        <f>IF($J966="","",IF($J966&lt;=1500,INDEX('Daily Sale entry '!$Z$1:$Z$1501,$J966+1)&amp;"","Cheque deposit 支票存入 (buyer 买家)"))</f>
        <v/>
      </c>
      <c r="D966">
        <f>IF($J966="","",IF($J966&lt;=1500,INDEX('Daily Sale entry '!$AA$1:$AA$1501,$J966+1)&amp;"",INDEX('Daily Sale entry '!$P$1:$P$1501,$J966-1499)&amp;""))</f>
        <v/>
      </c>
      <c r="E966">
        <f>IF($J966="","",IF($J966&lt;=1500,IF(N(INDEX('Daily Sale entry '!$AB$1:$AB$1501,$J966+1))=0,"",INDEX('Daily Sale entry '!$AB$1:$AB$1501,$J966+1)),1))</f>
        <v/>
      </c>
      <c r="F966" s="6">
        <f>IF($J966="","",IF($J966&lt;=1500,N(INDEX('Daily Sale entry '!$AC$1:$AC$1501,$J966+1))-IF(AND('Opening Balance'!$B$15=1,INDEX('Daily Sale entry '!$Z$1:$Z$1501,$J966+1)="Online collection 网上收款",INDEX('Daily Sale entry '!$AA$1:$AA$1501,$J966+1)&lt;&gt;""),N(INDEX('Daily Sale entry '!$AC$1:$AC$1501,$J966+1))-TRUNC(N(INDEX('Daily Sale entry '!$AC$1:$AC$1501,$J966+1))),0),N(INDEX('Daily Sale entry '!$S$1:$S$1501,$J966-1499))-'Opening Balance'!$B$15*(N(INDEX('Daily Sale entry '!$S$1:$S$1501,$J966-1499))-TRUNC(N(INDEX('Daily Sale entry '!$S$1:$S$1501,$J966-1499))))))</f>
        <v/>
      </c>
      <c r="G966" s="6">
        <f>IF($J966="","",IF($J966&lt;=1500,N(INDEX('Daily Sale entry '!$AD$1:$AD$1501,$J966+1)),0))</f>
        <v/>
      </c>
      <c r="H966" s="6">
        <f>IF($J966="","",ROUND('Opening Balance'!$B$4+SUM($F$2:F966)-SUM($G$2:G966),2))</f>
        <v/>
      </c>
      <c r="J966" s="21">
        <f>IFERROR(MATCH(ROW()-1,$L$2:$L$3001,0),"")</f>
        <v/>
      </c>
      <c r="K966" s="34">
        <f>IF(AND('Daily Sale entry '!X966&lt;&gt;"",OR('Daily Sale entry '!AC966&lt;&gt;"",'Daily Sale entry '!AD966&lt;&gt;"")),'Daily Sale entry '!X966+ROW()/10000000,"")</f>
        <v/>
      </c>
      <c r="L966" s="21">
        <f>IF(K966="","",COUNTIF($K$2:$K$3001,"&lt;"&amp;K966)+1)</f>
        <v/>
      </c>
    </row>
    <row r="967">
      <c r="A967" s="5">
        <f>IF($J967="","",IF($J967&lt;=1500,INDEX('Daily Sale entry '!$X$1:$X$1501,$J967+1),INDEX('Daily Sale entry '!$V$1:$V$1501,$J967-1499)))</f>
        <v/>
      </c>
      <c r="B967">
        <f>IF($J967="","",IF($J967&lt;=1500,INDEX('Daily Sale entry '!$Y$1:$Y$1501,$J967+1)&amp;"","Buyer cheque banked 买家支票存入"&amp;IF(INDEX('Daily Sale entry '!$U$1:$U$1501,$J967-1499)="","", " - "&amp;INDEX('Daily Sale entry '!$U$1:$U$1501,$J967-1499))))</f>
        <v/>
      </c>
      <c r="C967">
        <f>IF($J967="","",IF($J967&lt;=1500,INDEX('Daily Sale entry '!$Z$1:$Z$1501,$J967+1)&amp;"","Cheque deposit 支票存入 (buyer 买家)"))</f>
        <v/>
      </c>
      <c r="D967">
        <f>IF($J967="","",IF($J967&lt;=1500,INDEX('Daily Sale entry '!$AA$1:$AA$1501,$J967+1)&amp;"",INDEX('Daily Sale entry '!$P$1:$P$1501,$J967-1499)&amp;""))</f>
        <v/>
      </c>
      <c r="E967">
        <f>IF($J967="","",IF($J967&lt;=1500,IF(N(INDEX('Daily Sale entry '!$AB$1:$AB$1501,$J967+1))=0,"",INDEX('Daily Sale entry '!$AB$1:$AB$1501,$J967+1)),1))</f>
        <v/>
      </c>
      <c r="F967" s="6">
        <f>IF($J967="","",IF($J967&lt;=1500,N(INDEX('Daily Sale entry '!$AC$1:$AC$1501,$J967+1))-IF(AND('Opening Balance'!$B$15=1,INDEX('Daily Sale entry '!$Z$1:$Z$1501,$J967+1)="Online collection 网上收款",INDEX('Daily Sale entry '!$AA$1:$AA$1501,$J967+1)&lt;&gt;""),N(INDEX('Daily Sale entry '!$AC$1:$AC$1501,$J967+1))-TRUNC(N(INDEX('Daily Sale entry '!$AC$1:$AC$1501,$J967+1))),0),N(INDEX('Daily Sale entry '!$S$1:$S$1501,$J967-1499))-'Opening Balance'!$B$15*(N(INDEX('Daily Sale entry '!$S$1:$S$1501,$J967-1499))-TRUNC(N(INDEX('Daily Sale entry '!$S$1:$S$1501,$J967-1499))))))</f>
        <v/>
      </c>
      <c r="G967" s="6">
        <f>IF($J967="","",IF($J967&lt;=1500,N(INDEX('Daily Sale entry '!$AD$1:$AD$1501,$J967+1)),0))</f>
        <v/>
      </c>
      <c r="H967" s="6">
        <f>IF($J967="","",ROUND('Opening Balance'!$B$4+SUM($F$2:F967)-SUM($G$2:G967),2))</f>
        <v/>
      </c>
      <c r="J967" s="21">
        <f>IFERROR(MATCH(ROW()-1,$L$2:$L$3001,0),"")</f>
        <v/>
      </c>
      <c r="K967" s="34">
        <f>IF(AND('Daily Sale entry '!X967&lt;&gt;"",OR('Daily Sale entry '!AC967&lt;&gt;"",'Daily Sale entry '!AD967&lt;&gt;"")),'Daily Sale entry '!X967+ROW()/10000000,"")</f>
        <v/>
      </c>
      <c r="L967" s="21">
        <f>IF(K967="","",COUNTIF($K$2:$K$3001,"&lt;"&amp;K967)+1)</f>
        <v/>
      </c>
    </row>
    <row r="968">
      <c r="A968" s="5">
        <f>IF($J968="","",IF($J968&lt;=1500,INDEX('Daily Sale entry '!$X$1:$X$1501,$J968+1),INDEX('Daily Sale entry '!$V$1:$V$1501,$J968-1499)))</f>
        <v/>
      </c>
      <c r="B968">
        <f>IF($J968="","",IF($J968&lt;=1500,INDEX('Daily Sale entry '!$Y$1:$Y$1501,$J968+1)&amp;"","Buyer cheque banked 买家支票存入"&amp;IF(INDEX('Daily Sale entry '!$U$1:$U$1501,$J968-1499)="","", " - "&amp;INDEX('Daily Sale entry '!$U$1:$U$1501,$J968-1499))))</f>
        <v/>
      </c>
      <c r="C968">
        <f>IF($J968="","",IF($J968&lt;=1500,INDEX('Daily Sale entry '!$Z$1:$Z$1501,$J968+1)&amp;"","Cheque deposit 支票存入 (buyer 买家)"))</f>
        <v/>
      </c>
      <c r="D968">
        <f>IF($J968="","",IF($J968&lt;=1500,INDEX('Daily Sale entry '!$AA$1:$AA$1501,$J968+1)&amp;"",INDEX('Daily Sale entry '!$P$1:$P$1501,$J968-1499)&amp;""))</f>
        <v/>
      </c>
      <c r="E968">
        <f>IF($J968="","",IF($J968&lt;=1500,IF(N(INDEX('Daily Sale entry '!$AB$1:$AB$1501,$J968+1))=0,"",INDEX('Daily Sale entry '!$AB$1:$AB$1501,$J968+1)),1))</f>
        <v/>
      </c>
      <c r="F968" s="6">
        <f>IF($J968="","",IF($J968&lt;=1500,N(INDEX('Daily Sale entry '!$AC$1:$AC$1501,$J968+1))-IF(AND('Opening Balance'!$B$15=1,INDEX('Daily Sale entry '!$Z$1:$Z$1501,$J968+1)="Online collection 网上收款",INDEX('Daily Sale entry '!$AA$1:$AA$1501,$J968+1)&lt;&gt;""),N(INDEX('Daily Sale entry '!$AC$1:$AC$1501,$J968+1))-TRUNC(N(INDEX('Daily Sale entry '!$AC$1:$AC$1501,$J968+1))),0),N(INDEX('Daily Sale entry '!$S$1:$S$1501,$J968-1499))-'Opening Balance'!$B$15*(N(INDEX('Daily Sale entry '!$S$1:$S$1501,$J968-1499))-TRUNC(N(INDEX('Daily Sale entry '!$S$1:$S$1501,$J968-1499))))))</f>
        <v/>
      </c>
      <c r="G968" s="6">
        <f>IF($J968="","",IF($J968&lt;=1500,N(INDEX('Daily Sale entry '!$AD$1:$AD$1501,$J968+1)),0))</f>
        <v/>
      </c>
      <c r="H968" s="6">
        <f>IF($J968="","",ROUND('Opening Balance'!$B$4+SUM($F$2:F968)-SUM($G$2:G968),2))</f>
        <v/>
      </c>
      <c r="J968" s="21">
        <f>IFERROR(MATCH(ROW()-1,$L$2:$L$3001,0),"")</f>
        <v/>
      </c>
      <c r="K968" s="34">
        <f>IF(AND('Daily Sale entry '!X968&lt;&gt;"",OR('Daily Sale entry '!AC968&lt;&gt;"",'Daily Sale entry '!AD968&lt;&gt;"")),'Daily Sale entry '!X968+ROW()/10000000,"")</f>
        <v/>
      </c>
      <c r="L968" s="21">
        <f>IF(K968="","",COUNTIF($K$2:$K$3001,"&lt;"&amp;K968)+1)</f>
        <v/>
      </c>
    </row>
    <row r="969">
      <c r="A969" s="5">
        <f>IF($J969="","",IF($J969&lt;=1500,INDEX('Daily Sale entry '!$X$1:$X$1501,$J969+1),INDEX('Daily Sale entry '!$V$1:$V$1501,$J969-1499)))</f>
        <v/>
      </c>
      <c r="B969">
        <f>IF($J969="","",IF($J969&lt;=1500,INDEX('Daily Sale entry '!$Y$1:$Y$1501,$J969+1)&amp;"","Buyer cheque banked 买家支票存入"&amp;IF(INDEX('Daily Sale entry '!$U$1:$U$1501,$J969-1499)="","", " - "&amp;INDEX('Daily Sale entry '!$U$1:$U$1501,$J969-1499))))</f>
        <v/>
      </c>
      <c r="C969">
        <f>IF($J969="","",IF($J969&lt;=1500,INDEX('Daily Sale entry '!$Z$1:$Z$1501,$J969+1)&amp;"","Cheque deposit 支票存入 (buyer 买家)"))</f>
        <v/>
      </c>
      <c r="D969">
        <f>IF($J969="","",IF($J969&lt;=1500,INDEX('Daily Sale entry '!$AA$1:$AA$1501,$J969+1)&amp;"",INDEX('Daily Sale entry '!$P$1:$P$1501,$J969-1499)&amp;""))</f>
        <v/>
      </c>
      <c r="E969">
        <f>IF($J969="","",IF($J969&lt;=1500,IF(N(INDEX('Daily Sale entry '!$AB$1:$AB$1501,$J969+1))=0,"",INDEX('Daily Sale entry '!$AB$1:$AB$1501,$J969+1)),1))</f>
        <v/>
      </c>
      <c r="F969" s="6">
        <f>IF($J969="","",IF($J969&lt;=1500,N(INDEX('Daily Sale entry '!$AC$1:$AC$1501,$J969+1))-IF(AND('Opening Balance'!$B$15=1,INDEX('Daily Sale entry '!$Z$1:$Z$1501,$J969+1)="Online collection 网上收款",INDEX('Daily Sale entry '!$AA$1:$AA$1501,$J969+1)&lt;&gt;""),N(INDEX('Daily Sale entry '!$AC$1:$AC$1501,$J969+1))-TRUNC(N(INDEX('Daily Sale entry '!$AC$1:$AC$1501,$J969+1))),0),N(INDEX('Daily Sale entry '!$S$1:$S$1501,$J969-1499))-'Opening Balance'!$B$15*(N(INDEX('Daily Sale entry '!$S$1:$S$1501,$J969-1499))-TRUNC(N(INDEX('Daily Sale entry '!$S$1:$S$1501,$J969-1499))))))</f>
        <v/>
      </c>
      <c r="G969" s="6">
        <f>IF($J969="","",IF($J969&lt;=1500,N(INDEX('Daily Sale entry '!$AD$1:$AD$1501,$J969+1)),0))</f>
        <v/>
      </c>
      <c r="H969" s="6">
        <f>IF($J969="","",ROUND('Opening Balance'!$B$4+SUM($F$2:F969)-SUM($G$2:G969),2))</f>
        <v/>
      </c>
      <c r="J969" s="21">
        <f>IFERROR(MATCH(ROW()-1,$L$2:$L$3001,0),"")</f>
        <v/>
      </c>
      <c r="K969" s="34">
        <f>IF(AND('Daily Sale entry '!X969&lt;&gt;"",OR('Daily Sale entry '!AC969&lt;&gt;"",'Daily Sale entry '!AD969&lt;&gt;"")),'Daily Sale entry '!X969+ROW()/10000000,"")</f>
        <v/>
      </c>
      <c r="L969" s="21">
        <f>IF(K969="","",COUNTIF($K$2:$K$3001,"&lt;"&amp;K969)+1)</f>
        <v/>
      </c>
    </row>
    <row r="970">
      <c r="A970" s="5">
        <f>IF($J970="","",IF($J970&lt;=1500,INDEX('Daily Sale entry '!$X$1:$X$1501,$J970+1),INDEX('Daily Sale entry '!$V$1:$V$1501,$J970-1499)))</f>
        <v/>
      </c>
      <c r="B970">
        <f>IF($J970="","",IF($J970&lt;=1500,INDEX('Daily Sale entry '!$Y$1:$Y$1501,$J970+1)&amp;"","Buyer cheque banked 买家支票存入"&amp;IF(INDEX('Daily Sale entry '!$U$1:$U$1501,$J970-1499)="","", " - "&amp;INDEX('Daily Sale entry '!$U$1:$U$1501,$J970-1499))))</f>
        <v/>
      </c>
      <c r="C970">
        <f>IF($J970="","",IF($J970&lt;=1500,INDEX('Daily Sale entry '!$Z$1:$Z$1501,$J970+1)&amp;"","Cheque deposit 支票存入 (buyer 买家)"))</f>
        <v/>
      </c>
      <c r="D970">
        <f>IF($J970="","",IF($J970&lt;=1500,INDEX('Daily Sale entry '!$AA$1:$AA$1501,$J970+1)&amp;"",INDEX('Daily Sale entry '!$P$1:$P$1501,$J970-1499)&amp;""))</f>
        <v/>
      </c>
      <c r="E970">
        <f>IF($J970="","",IF($J970&lt;=1500,IF(N(INDEX('Daily Sale entry '!$AB$1:$AB$1501,$J970+1))=0,"",INDEX('Daily Sale entry '!$AB$1:$AB$1501,$J970+1)),1))</f>
        <v/>
      </c>
      <c r="F970" s="6">
        <f>IF($J970="","",IF($J970&lt;=1500,N(INDEX('Daily Sale entry '!$AC$1:$AC$1501,$J970+1))-IF(AND('Opening Balance'!$B$15=1,INDEX('Daily Sale entry '!$Z$1:$Z$1501,$J970+1)="Online collection 网上收款",INDEX('Daily Sale entry '!$AA$1:$AA$1501,$J970+1)&lt;&gt;""),N(INDEX('Daily Sale entry '!$AC$1:$AC$1501,$J970+1))-TRUNC(N(INDEX('Daily Sale entry '!$AC$1:$AC$1501,$J970+1))),0),N(INDEX('Daily Sale entry '!$S$1:$S$1501,$J970-1499))-'Opening Balance'!$B$15*(N(INDEX('Daily Sale entry '!$S$1:$S$1501,$J970-1499))-TRUNC(N(INDEX('Daily Sale entry '!$S$1:$S$1501,$J970-1499))))))</f>
        <v/>
      </c>
      <c r="G970" s="6">
        <f>IF($J970="","",IF($J970&lt;=1500,N(INDEX('Daily Sale entry '!$AD$1:$AD$1501,$J970+1)),0))</f>
        <v/>
      </c>
      <c r="H970" s="6">
        <f>IF($J970="","",ROUND('Opening Balance'!$B$4+SUM($F$2:F970)-SUM($G$2:G970),2))</f>
        <v/>
      </c>
      <c r="J970" s="21">
        <f>IFERROR(MATCH(ROW()-1,$L$2:$L$3001,0),"")</f>
        <v/>
      </c>
      <c r="K970" s="34">
        <f>IF(AND('Daily Sale entry '!X970&lt;&gt;"",OR('Daily Sale entry '!AC970&lt;&gt;"",'Daily Sale entry '!AD970&lt;&gt;"")),'Daily Sale entry '!X970+ROW()/10000000,"")</f>
        <v/>
      </c>
      <c r="L970" s="21">
        <f>IF(K970="","",COUNTIF($K$2:$K$3001,"&lt;"&amp;K970)+1)</f>
        <v/>
      </c>
    </row>
    <row r="971">
      <c r="A971" s="5">
        <f>IF($J971="","",IF($J971&lt;=1500,INDEX('Daily Sale entry '!$X$1:$X$1501,$J971+1),INDEX('Daily Sale entry '!$V$1:$V$1501,$J971-1499)))</f>
        <v/>
      </c>
      <c r="B971">
        <f>IF($J971="","",IF($J971&lt;=1500,INDEX('Daily Sale entry '!$Y$1:$Y$1501,$J971+1)&amp;"","Buyer cheque banked 买家支票存入"&amp;IF(INDEX('Daily Sale entry '!$U$1:$U$1501,$J971-1499)="","", " - "&amp;INDEX('Daily Sale entry '!$U$1:$U$1501,$J971-1499))))</f>
        <v/>
      </c>
      <c r="C971">
        <f>IF($J971="","",IF($J971&lt;=1500,INDEX('Daily Sale entry '!$Z$1:$Z$1501,$J971+1)&amp;"","Cheque deposit 支票存入 (buyer 买家)"))</f>
        <v/>
      </c>
      <c r="D971">
        <f>IF($J971="","",IF($J971&lt;=1500,INDEX('Daily Sale entry '!$AA$1:$AA$1501,$J971+1)&amp;"",INDEX('Daily Sale entry '!$P$1:$P$1501,$J971-1499)&amp;""))</f>
        <v/>
      </c>
      <c r="E971">
        <f>IF($J971="","",IF($J971&lt;=1500,IF(N(INDEX('Daily Sale entry '!$AB$1:$AB$1501,$J971+1))=0,"",INDEX('Daily Sale entry '!$AB$1:$AB$1501,$J971+1)),1))</f>
        <v/>
      </c>
      <c r="F971" s="6">
        <f>IF($J971="","",IF($J971&lt;=1500,N(INDEX('Daily Sale entry '!$AC$1:$AC$1501,$J971+1))-IF(AND('Opening Balance'!$B$15=1,INDEX('Daily Sale entry '!$Z$1:$Z$1501,$J971+1)="Online collection 网上收款",INDEX('Daily Sale entry '!$AA$1:$AA$1501,$J971+1)&lt;&gt;""),N(INDEX('Daily Sale entry '!$AC$1:$AC$1501,$J971+1))-TRUNC(N(INDEX('Daily Sale entry '!$AC$1:$AC$1501,$J971+1))),0),N(INDEX('Daily Sale entry '!$S$1:$S$1501,$J971-1499))-'Opening Balance'!$B$15*(N(INDEX('Daily Sale entry '!$S$1:$S$1501,$J971-1499))-TRUNC(N(INDEX('Daily Sale entry '!$S$1:$S$1501,$J971-1499))))))</f>
        <v/>
      </c>
      <c r="G971" s="6">
        <f>IF($J971="","",IF($J971&lt;=1500,N(INDEX('Daily Sale entry '!$AD$1:$AD$1501,$J971+1)),0))</f>
        <v/>
      </c>
      <c r="H971" s="6">
        <f>IF($J971="","",ROUND('Opening Balance'!$B$4+SUM($F$2:F971)-SUM($G$2:G971),2))</f>
        <v/>
      </c>
      <c r="J971" s="21">
        <f>IFERROR(MATCH(ROW()-1,$L$2:$L$3001,0),"")</f>
        <v/>
      </c>
      <c r="K971" s="34">
        <f>IF(AND('Daily Sale entry '!X971&lt;&gt;"",OR('Daily Sale entry '!AC971&lt;&gt;"",'Daily Sale entry '!AD971&lt;&gt;"")),'Daily Sale entry '!X971+ROW()/10000000,"")</f>
        <v/>
      </c>
      <c r="L971" s="21">
        <f>IF(K971="","",COUNTIF($K$2:$K$3001,"&lt;"&amp;K971)+1)</f>
        <v/>
      </c>
    </row>
    <row r="972">
      <c r="A972" s="5">
        <f>IF($J972="","",IF($J972&lt;=1500,INDEX('Daily Sale entry '!$X$1:$X$1501,$J972+1),INDEX('Daily Sale entry '!$V$1:$V$1501,$J972-1499)))</f>
        <v/>
      </c>
      <c r="B972">
        <f>IF($J972="","",IF($J972&lt;=1500,INDEX('Daily Sale entry '!$Y$1:$Y$1501,$J972+1)&amp;"","Buyer cheque banked 买家支票存入"&amp;IF(INDEX('Daily Sale entry '!$U$1:$U$1501,$J972-1499)="","", " - "&amp;INDEX('Daily Sale entry '!$U$1:$U$1501,$J972-1499))))</f>
        <v/>
      </c>
      <c r="C972">
        <f>IF($J972="","",IF($J972&lt;=1500,INDEX('Daily Sale entry '!$Z$1:$Z$1501,$J972+1)&amp;"","Cheque deposit 支票存入 (buyer 买家)"))</f>
        <v/>
      </c>
      <c r="D972">
        <f>IF($J972="","",IF($J972&lt;=1500,INDEX('Daily Sale entry '!$AA$1:$AA$1501,$J972+1)&amp;"",INDEX('Daily Sale entry '!$P$1:$P$1501,$J972-1499)&amp;""))</f>
        <v/>
      </c>
      <c r="E972">
        <f>IF($J972="","",IF($J972&lt;=1500,IF(N(INDEX('Daily Sale entry '!$AB$1:$AB$1501,$J972+1))=0,"",INDEX('Daily Sale entry '!$AB$1:$AB$1501,$J972+1)),1))</f>
        <v/>
      </c>
      <c r="F972" s="6">
        <f>IF($J972="","",IF($J972&lt;=1500,N(INDEX('Daily Sale entry '!$AC$1:$AC$1501,$J972+1))-IF(AND('Opening Balance'!$B$15=1,INDEX('Daily Sale entry '!$Z$1:$Z$1501,$J972+1)="Online collection 网上收款",INDEX('Daily Sale entry '!$AA$1:$AA$1501,$J972+1)&lt;&gt;""),N(INDEX('Daily Sale entry '!$AC$1:$AC$1501,$J972+1))-TRUNC(N(INDEX('Daily Sale entry '!$AC$1:$AC$1501,$J972+1))),0),N(INDEX('Daily Sale entry '!$S$1:$S$1501,$J972-1499))-'Opening Balance'!$B$15*(N(INDEX('Daily Sale entry '!$S$1:$S$1501,$J972-1499))-TRUNC(N(INDEX('Daily Sale entry '!$S$1:$S$1501,$J972-1499))))))</f>
        <v/>
      </c>
      <c r="G972" s="6">
        <f>IF($J972="","",IF($J972&lt;=1500,N(INDEX('Daily Sale entry '!$AD$1:$AD$1501,$J972+1)),0))</f>
        <v/>
      </c>
      <c r="H972" s="6">
        <f>IF($J972="","",ROUND('Opening Balance'!$B$4+SUM($F$2:F972)-SUM($G$2:G972),2))</f>
        <v/>
      </c>
      <c r="J972" s="21">
        <f>IFERROR(MATCH(ROW()-1,$L$2:$L$3001,0),"")</f>
        <v/>
      </c>
      <c r="K972" s="34">
        <f>IF(AND('Daily Sale entry '!X972&lt;&gt;"",OR('Daily Sale entry '!AC972&lt;&gt;"",'Daily Sale entry '!AD972&lt;&gt;"")),'Daily Sale entry '!X972+ROW()/10000000,"")</f>
        <v/>
      </c>
      <c r="L972" s="21">
        <f>IF(K972="","",COUNTIF($K$2:$K$3001,"&lt;"&amp;K972)+1)</f>
        <v/>
      </c>
    </row>
    <row r="973">
      <c r="A973" s="5">
        <f>IF($J973="","",IF($J973&lt;=1500,INDEX('Daily Sale entry '!$X$1:$X$1501,$J973+1),INDEX('Daily Sale entry '!$V$1:$V$1501,$J973-1499)))</f>
        <v/>
      </c>
      <c r="B973">
        <f>IF($J973="","",IF($J973&lt;=1500,INDEX('Daily Sale entry '!$Y$1:$Y$1501,$J973+1)&amp;"","Buyer cheque banked 买家支票存入"&amp;IF(INDEX('Daily Sale entry '!$U$1:$U$1501,$J973-1499)="","", " - "&amp;INDEX('Daily Sale entry '!$U$1:$U$1501,$J973-1499))))</f>
        <v/>
      </c>
      <c r="C973">
        <f>IF($J973="","",IF($J973&lt;=1500,INDEX('Daily Sale entry '!$Z$1:$Z$1501,$J973+1)&amp;"","Cheque deposit 支票存入 (buyer 买家)"))</f>
        <v/>
      </c>
      <c r="D973">
        <f>IF($J973="","",IF($J973&lt;=1500,INDEX('Daily Sale entry '!$AA$1:$AA$1501,$J973+1)&amp;"",INDEX('Daily Sale entry '!$P$1:$P$1501,$J973-1499)&amp;""))</f>
        <v/>
      </c>
      <c r="E973">
        <f>IF($J973="","",IF($J973&lt;=1500,IF(N(INDEX('Daily Sale entry '!$AB$1:$AB$1501,$J973+1))=0,"",INDEX('Daily Sale entry '!$AB$1:$AB$1501,$J973+1)),1))</f>
        <v/>
      </c>
      <c r="F973" s="6">
        <f>IF($J973="","",IF($J973&lt;=1500,N(INDEX('Daily Sale entry '!$AC$1:$AC$1501,$J973+1))-IF(AND('Opening Balance'!$B$15=1,INDEX('Daily Sale entry '!$Z$1:$Z$1501,$J973+1)="Online collection 网上收款",INDEX('Daily Sale entry '!$AA$1:$AA$1501,$J973+1)&lt;&gt;""),N(INDEX('Daily Sale entry '!$AC$1:$AC$1501,$J973+1))-TRUNC(N(INDEX('Daily Sale entry '!$AC$1:$AC$1501,$J973+1))),0),N(INDEX('Daily Sale entry '!$S$1:$S$1501,$J973-1499))-'Opening Balance'!$B$15*(N(INDEX('Daily Sale entry '!$S$1:$S$1501,$J973-1499))-TRUNC(N(INDEX('Daily Sale entry '!$S$1:$S$1501,$J973-1499))))))</f>
        <v/>
      </c>
      <c r="G973" s="6">
        <f>IF($J973="","",IF($J973&lt;=1500,N(INDEX('Daily Sale entry '!$AD$1:$AD$1501,$J973+1)),0))</f>
        <v/>
      </c>
      <c r="H973" s="6">
        <f>IF($J973="","",ROUND('Opening Balance'!$B$4+SUM($F$2:F973)-SUM($G$2:G973),2))</f>
        <v/>
      </c>
      <c r="J973" s="21">
        <f>IFERROR(MATCH(ROW()-1,$L$2:$L$3001,0),"")</f>
        <v/>
      </c>
      <c r="K973" s="34">
        <f>IF(AND('Daily Sale entry '!X973&lt;&gt;"",OR('Daily Sale entry '!AC973&lt;&gt;"",'Daily Sale entry '!AD973&lt;&gt;"")),'Daily Sale entry '!X973+ROW()/10000000,"")</f>
        <v/>
      </c>
      <c r="L973" s="21">
        <f>IF(K973="","",COUNTIF($K$2:$K$3001,"&lt;"&amp;K973)+1)</f>
        <v/>
      </c>
    </row>
    <row r="974">
      <c r="A974" s="5">
        <f>IF($J974="","",IF($J974&lt;=1500,INDEX('Daily Sale entry '!$X$1:$X$1501,$J974+1),INDEX('Daily Sale entry '!$V$1:$V$1501,$J974-1499)))</f>
        <v/>
      </c>
      <c r="B974">
        <f>IF($J974="","",IF($J974&lt;=1500,INDEX('Daily Sale entry '!$Y$1:$Y$1501,$J974+1)&amp;"","Buyer cheque banked 买家支票存入"&amp;IF(INDEX('Daily Sale entry '!$U$1:$U$1501,$J974-1499)="","", " - "&amp;INDEX('Daily Sale entry '!$U$1:$U$1501,$J974-1499))))</f>
        <v/>
      </c>
      <c r="C974">
        <f>IF($J974="","",IF($J974&lt;=1500,INDEX('Daily Sale entry '!$Z$1:$Z$1501,$J974+1)&amp;"","Cheque deposit 支票存入 (buyer 买家)"))</f>
        <v/>
      </c>
      <c r="D974">
        <f>IF($J974="","",IF($J974&lt;=1500,INDEX('Daily Sale entry '!$AA$1:$AA$1501,$J974+1)&amp;"",INDEX('Daily Sale entry '!$P$1:$P$1501,$J974-1499)&amp;""))</f>
        <v/>
      </c>
      <c r="E974">
        <f>IF($J974="","",IF($J974&lt;=1500,IF(N(INDEX('Daily Sale entry '!$AB$1:$AB$1501,$J974+1))=0,"",INDEX('Daily Sale entry '!$AB$1:$AB$1501,$J974+1)),1))</f>
        <v/>
      </c>
      <c r="F974" s="6">
        <f>IF($J974="","",IF($J974&lt;=1500,N(INDEX('Daily Sale entry '!$AC$1:$AC$1501,$J974+1))-IF(AND('Opening Balance'!$B$15=1,INDEX('Daily Sale entry '!$Z$1:$Z$1501,$J974+1)="Online collection 网上收款",INDEX('Daily Sale entry '!$AA$1:$AA$1501,$J974+1)&lt;&gt;""),N(INDEX('Daily Sale entry '!$AC$1:$AC$1501,$J974+1))-TRUNC(N(INDEX('Daily Sale entry '!$AC$1:$AC$1501,$J974+1))),0),N(INDEX('Daily Sale entry '!$S$1:$S$1501,$J974-1499))-'Opening Balance'!$B$15*(N(INDEX('Daily Sale entry '!$S$1:$S$1501,$J974-1499))-TRUNC(N(INDEX('Daily Sale entry '!$S$1:$S$1501,$J974-1499))))))</f>
        <v/>
      </c>
      <c r="G974" s="6">
        <f>IF($J974="","",IF($J974&lt;=1500,N(INDEX('Daily Sale entry '!$AD$1:$AD$1501,$J974+1)),0))</f>
        <v/>
      </c>
      <c r="H974" s="6">
        <f>IF($J974="","",ROUND('Opening Balance'!$B$4+SUM($F$2:F974)-SUM($G$2:G974),2))</f>
        <v/>
      </c>
      <c r="J974" s="21">
        <f>IFERROR(MATCH(ROW()-1,$L$2:$L$3001,0),"")</f>
        <v/>
      </c>
      <c r="K974" s="34">
        <f>IF(AND('Daily Sale entry '!X974&lt;&gt;"",OR('Daily Sale entry '!AC974&lt;&gt;"",'Daily Sale entry '!AD974&lt;&gt;"")),'Daily Sale entry '!X974+ROW()/10000000,"")</f>
        <v/>
      </c>
      <c r="L974" s="21">
        <f>IF(K974="","",COUNTIF($K$2:$K$3001,"&lt;"&amp;K974)+1)</f>
        <v/>
      </c>
    </row>
    <row r="975">
      <c r="A975" s="5">
        <f>IF($J975="","",IF($J975&lt;=1500,INDEX('Daily Sale entry '!$X$1:$X$1501,$J975+1),INDEX('Daily Sale entry '!$V$1:$V$1501,$J975-1499)))</f>
        <v/>
      </c>
      <c r="B975">
        <f>IF($J975="","",IF($J975&lt;=1500,INDEX('Daily Sale entry '!$Y$1:$Y$1501,$J975+1)&amp;"","Buyer cheque banked 买家支票存入"&amp;IF(INDEX('Daily Sale entry '!$U$1:$U$1501,$J975-1499)="","", " - "&amp;INDEX('Daily Sale entry '!$U$1:$U$1501,$J975-1499))))</f>
        <v/>
      </c>
      <c r="C975">
        <f>IF($J975="","",IF($J975&lt;=1500,INDEX('Daily Sale entry '!$Z$1:$Z$1501,$J975+1)&amp;"","Cheque deposit 支票存入 (buyer 买家)"))</f>
        <v/>
      </c>
      <c r="D975">
        <f>IF($J975="","",IF($J975&lt;=1500,INDEX('Daily Sale entry '!$AA$1:$AA$1501,$J975+1)&amp;"",INDEX('Daily Sale entry '!$P$1:$P$1501,$J975-1499)&amp;""))</f>
        <v/>
      </c>
      <c r="E975">
        <f>IF($J975="","",IF($J975&lt;=1500,IF(N(INDEX('Daily Sale entry '!$AB$1:$AB$1501,$J975+1))=0,"",INDEX('Daily Sale entry '!$AB$1:$AB$1501,$J975+1)),1))</f>
        <v/>
      </c>
      <c r="F975" s="6">
        <f>IF($J975="","",IF($J975&lt;=1500,N(INDEX('Daily Sale entry '!$AC$1:$AC$1501,$J975+1))-IF(AND('Opening Balance'!$B$15=1,INDEX('Daily Sale entry '!$Z$1:$Z$1501,$J975+1)="Online collection 网上收款",INDEX('Daily Sale entry '!$AA$1:$AA$1501,$J975+1)&lt;&gt;""),N(INDEX('Daily Sale entry '!$AC$1:$AC$1501,$J975+1))-TRUNC(N(INDEX('Daily Sale entry '!$AC$1:$AC$1501,$J975+1))),0),N(INDEX('Daily Sale entry '!$S$1:$S$1501,$J975-1499))-'Opening Balance'!$B$15*(N(INDEX('Daily Sale entry '!$S$1:$S$1501,$J975-1499))-TRUNC(N(INDEX('Daily Sale entry '!$S$1:$S$1501,$J975-1499))))))</f>
        <v/>
      </c>
      <c r="G975" s="6">
        <f>IF($J975="","",IF($J975&lt;=1500,N(INDEX('Daily Sale entry '!$AD$1:$AD$1501,$J975+1)),0))</f>
        <v/>
      </c>
      <c r="H975" s="6">
        <f>IF($J975="","",ROUND('Opening Balance'!$B$4+SUM($F$2:F975)-SUM($G$2:G975),2))</f>
        <v/>
      </c>
      <c r="J975" s="21">
        <f>IFERROR(MATCH(ROW()-1,$L$2:$L$3001,0),"")</f>
        <v/>
      </c>
      <c r="K975" s="34">
        <f>IF(AND('Daily Sale entry '!X975&lt;&gt;"",OR('Daily Sale entry '!AC975&lt;&gt;"",'Daily Sale entry '!AD975&lt;&gt;"")),'Daily Sale entry '!X975+ROW()/10000000,"")</f>
        <v/>
      </c>
      <c r="L975" s="21">
        <f>IF(K975="","",COUNTIF($K$2:$K$3001,"&lt;"&amp;K975)+1)</f>
        <v/>
      </c>
    </row>
    <row r="976">
      <c r="A976" s="5">
        <f>IF($J976="","",IF($J976&lt;=1500,INDEX('Daily Sale entry '!$X$1:$X$1501,$J976+1),INDEX('Daily Sale entry '!$V$1:$V$1501,$J976-1499)))</f>
        <v/>
      </c>
      <c r="B976">
        <f>IF($J976="","",IF($J976&lt;=1500,INDEX('Daily Sale entry '!$Y$1:$Y$1501,$J976+1)&amp;"","Buyer cheque banked 买家支票存入"&amp;IF(INDEX('Daily Sale entry '!$U$1:$U$1501,$J976-1499)="","", " - "&amp;INDEX('Daily Sale entry '!$U$1:$U$1501,$J976-1499))))</f>
        <v/>
      </c>
      <c r="C976">
        <f>IF($J976="","",IF($J976&lt;=1500,INDEX('Daily Sale entry '!$Z$1:$Z$1501,$J976+1)&amp;"","Cheque deposit 支票存入 (buyer 买家)"))</f>
        <v/>
      </c>
      <c r="D976">
        <f>IF($J976="","",IF($J976&lt;=1500,INDEX('Daily Sale entry '!$AA$1:$AA$1501,$J976+1)&amp;"",INDEX('Daily Sale entry '!$P$1:$P$1501,$J976-1499)&amp;""))</f>
        <v/>
      </c>
      <c r="E976">
        <f>IF($J976="","",IF($J976&lt;=1500,IF(N(INDEX('Daily Sale entry '!$AB$1:$AB$1501,$J976+1))=0,"",INDEX('Daily Sale entry '!$AB$1:$AB$1501,$J976+1)),1))</f>
        <v/>
      </c>
      <c r="F976" s="6">
        <f>IF($J976="","",IF($J976&lt;=1500,N(INDEX('Daily Sale entry '!$AC$1:$AC$1501,$J976+1))-IF(AND('Opening Balance'!$B$15=1,INDEX('Daily Sale entry '!$Z$1:$Z$1501,$J976+1)="Online collection 网上收款",INDEX('Daily Sale entry '!$AA$1:$AA$1501,$J976+1)&lt;&gt;""),N(INDEX('Daily Sale entry '!$AC$1:$AC$1501,$J976+1))-TRUNC(N(INDEX('Daily Sale entry '!$AC$1:$AC$1501,$J976+1))),0),N(INDEX('Daily Sale entry '!$S$1:$S$1501,$J976-1499))-'Opening Balance'!$B$15*(N(INDEX('Daily Sale entry '!$S$1:$S$1501,$J976-1499))-TRUNC(N(INDEX('Daily Sale entry '!$S$1:$S$1501,$J976-1499))))))</f>
        <v/>
      </c>
      <c r="G976" s="6">
        <f>IF($J976="","",IF($J976&lt;=1500,N(INDEX('Daily Sale entry '!$AD$1:$AD$1501,$J976+1)),0))</f>
        <v/>
      </c>
      <c r="H976" s="6">
        <f>IF($J976="","",ROUND('Opening Balance'!$B$4+SUM($F$2:F976)-SUM($G$2:G976),2))</f>
        <v/>
      </c>
      <c r="J976" s="21">
        <f>IFERROR(MATCH(ROW()-1,$L$2:$L$3001,0),"")</f>
        <v/>
      </c>
      <c r="K976" s="34">
        <f>IF(AND('Daily Sale entry '!X976&lt;&gt;"",OR('Daily Sale entry '!AC976&lt;&gt;"",'Daily Sale entry '!AD976&lt;&gt;"")),'Daily Sale entry '!X976+ROW()/10000000,"")</f>
        <v/>
      </c>
      <c r="L976" s="21">
        <f>IF(K976="","",COUNTIF($K$2:$K$3001,"&lt;"&amp;K976)+1)</f>
        <v/>
      </c>
    </row>
    <row r="977">
      <c r="A977" s="5">
        <f>IF($J977="","",IF($J977&lt;=1500,INDEX('Daily Sale entry '!$X$1:$X$1501,$J977+1),INDEX('Daily Sale entry '!$V$1:$V$1501,$J977-1499)))</f>
        <v/>
      </c>
      <c r="B977">
        <f>IF($J977="","",IF($J977&lt;=1500,INDEX('Daily Sale entry '!$Y$1:$Y$1501,$J977+1)&amp;"","Buyer cheque banked 买家支票存入"&amp;IF(INDEX('Daily Sale entry '!$U$1:$U$1501,$J977-1499)="","", " - "&amp;INDEX('Daily Sale entry '!$U$1:$U$1501,$J977-1499))))</f>
        <v/>
      </c>
      <c r="C977">
        <f>IF($J977="","",IF($J977&lt;=1500,INDEX('Daily Sale entry '!$Z$1:$Z$1501,$J977+1)&amp;"","Cheque deposit 支票存入 (buyer 买家)"))</f>
        <v/>
      </c>
      <c r="D977">
        <f>IF($J977="","",IF($J977&lt;=1500,INDEX('Daily Sale entry '!$AA$1:$AA$1501,$J977+1)&amp;"",INDEX('Daily Sale entry '!$P$1:$P$1501,$J977-1499)&amp;""))</f>
        <v/>
      </c>
      <c r="E977">
        <f>IF($J977="","",IF($J977&lt;=1500,IF(N(INDEX('Daily Sale entry '!$AB$1:$AB$1501,$J977+1))=0,"",INDEX('Daily Sale entry '!$AB$1:$AB$1501,$J977+1)),1))</f>
        <v/>
      </c>
      <c r="F977" s="6">
        <f>IF($J977="","",IF($J977&lt;=1500,N(INDEX('Daily Sale entry '!$AC$1:$AC$1501,$J977+1))-IF(AND('Opening Balance'!$B$15=1,INDEX('Daily Sale entry '!$Z$1:$Z$1501,$J977+1)="Online collection 网上收款",INDEX('Daily Sale entry '!$AA$1:$AA$1501,$J977+1)&lt;&gt;""),N(INDEX('Daily Sale entry '!$AC$1:$AC$1501,$J977+1))-TRUNC(N(INDEX('Daily Sale entry '!$AC$1:$AC$1501,$J977+1))),0),N(INDEX('Daily Sale entry '!$S$1:$S$1501,$J977-1499))-'Opening Balance'!$B$15*(N(INDEX('Daily Sale entry '!$S$1:$S$1501,$J977-1499))-TRUNC(N(INDEX('Daily Sale entry '!$S$1:$S$1501,$J977-1499))))))</f>
        <v/>
      </c>
      <c r="G977" s="6">
        <f>IF($J977="","",IF($J977&lt;=1500,N(INDEX('Daily Sale entry '!$AD$1:$AD$1501,$J977+1)),0))</f>
        <v/>
      </c>
      <c r="H977" s="6">
        <f>IF($J977="","",ROUND('Opening Balance'!$B$4+SUM($F$2:F977)-SUM($G$2:G977),2))</f>
        <v/>
      </c>
      <c r="J977" s="21">
        <f>IFERROR(MATCH(ROW()-1,$L$2:$L$3001,0),"")</f>
        <v/>
      </c>
      <c r="K977" s="34">
        <f>IF(AND('Daily Sale entry '!X977&lt;&gt;"",OR('Daily Sale entry '!AC977&lt;&gt;"",'Daily Sale entry '!AD977&lt;&gt;"")),'Daily Sale entry '!X977+ROW()/10000000,"")</f>
        <v/>
      </c>
      <c r="L977" s="21">
        <f>IF(K977="","",COUNTIF($K$2:$K$3001,"&lt;"&amp;K977)+1)</f>
        <v/>
      </c>
    </row>
    <row r="978">
      <c r="A978" s="5">
        <f>IF($J978="","",IF($J978&lt;=1500,INDEX('Daily Sale entry '!$X$1:$X$1501,$J978+1),INDEX('Daily Sale entry '!$V$1:$V$1501,$J978-1499)))</f>
        <v/>
      </c>
      <c r="B978">
        <f>IF($J978="","",IF($J978&lt;=1500,INDEX('Daily Sale entry '!$Y$1:$Y$1501,$J978+1)&amp;"","Buyer cheque banked 买家支票存入"&amp;IF(INDEX('Daily Sale entry '!$U$1:$U$1501,$J978-1499)="","", " - "&amp;INDEX('Daily Sale entry '!$U$1:$U$1501,$J978-1499))))</f>
        <v/>
      </c>
      <c r="C978">
        <f>IF($J978="","",IF($J978&lt;=1500,INDEX('Daily Sale entry '!$Z$1:$Z$1501,$J978+1)&amp;"","Cheque deposit 支票存入 (buyer 买家)"))</f>
        <v/>
      </c>
      <c r="D978">
        <f>IF($J978="","",IF($J978&lt;=1500,INDEX('Daily Sale entry '!$AA$1:$AA$1501,$J978+1)&amp;"",INDEX('Daily Sale entry '!$P$1:$P$1501,$J978-1499)&amp;""))</f>
        <v/>
      </c>
      <c r="E978">
        <f>IF($J978="","",IF($J978&lt;=1500,IF(N(INDEX('Daily Sale entry '!$AB$1:$AB$1501,$J978+1))=0,"",INDEX('Daily Sale entry '!$AB$1:$AB$1501,$J978+1)),1))</f>
        <v/>
      </c>
      <c r="F978" s="6">
        <f>IF($J978="","",IF($J978&lt;=1500,N(INDEX('Daily Sale entry '!$AC$1:$AC$1501,$J978+1))-IF(AND('Opening Balance'!$B$15=1,INDEX('Daily Sale entry '!$Z$1:$Z$1501,$J978+1)="Online collection 网上收款",INDEX('Daily Sale entry '!$AA$1:$AA$1501,$J978+1)&lt;&gt;""),N(INDEX('Daily Sale entry '!$AC$1:$AC$1501,$J978+1))-TRUNC(N(INDEX('Daily Sale entry '!$AC$1:$AC$1501,$J978+1))),0),N(INDEX('Daily Sale entry '!$S$1:$S$1501,$J978-1499))-'Opening Balance'!$B$15*(N(INDEX('Daily Sale entry '!$S$1:$S$1501,$J978-1499))-TRUNC(N(INDEX('Daily Sale entry '!$S$1:$S$1501,$J978-1499))))))</f>
        <v/>
      </c>
      <c r="G978" s="6">
        <f>IF($J978="","",IF($J978&lt;=1500,N(INDEX('Daily Sale entry '!$AD$1:$AD$1501,$J978+1)),0))</f>
        <v/>
      </c>
      <c r="H978" s="6">
        <f>IF($J978="","",ROUND('Opening Balance'!$B$4+SUM($F$2:F978)-SUM($G$2:G978),2))</f>
        <v/>
      </c>
      <c r="J978" s="21">
        <f>IFERROR(MATCH(ROW()-1,$L$2:$L$3001,0),"")</f>
        <v/>
      </c>
      <c r="K978" s="34">
        <f>IF(AND('Daily Sale entry '!X978&lt;&gt;"",OR('Daily Sale entry '!AC978&lt;&gt;"",'Daily Sale entry '!AD978&lt;&gt;"")),'Daily Sale entry '!X978+ROW()/10000000,"")</f>
        <v/>
      </c>
      <c r="L978" s="21">
        <f>IF(K978="","",COUNTIF($K$2:$K$3001,"&lt;"&amp;K978)+1)</f>
        <v/>
      </c>
    </row>
    <row r="979">
      <c r="A979" s="5">
        <f>IF($J979="","",IF($J979&lt;=1500,INDEX('Daily Sale entry '!$X$1:$X$1501,$J979+1),INDEX('Daily Sale entry '!$V$1:$V$1501,$J979-1499)))</f>
        <v/>
      </c>
      <c r="B979">
        <f>IF($J979="","",IF($J979&lt;=1500,INDEX('Daily Sale entry '!$Y$1:$Y$1501,$J979+1)&amp;"","Buyer cheque banked 买家支票存入"&amp;IF(INDEX('Daily Sale entry '!$U$1:$U$1501,$J979-1499)="","", " - "&amp;INDEX('Daily Sale entry '!$U$1:$U$1501,$J979-1499))))</f>
        <v/>
      </c>
      <c r="C979">
        <f>IF($J979="","",IF($J979&lt;=1500,INDEX('Daily Sale entry '!$Z$1:$Z$1501,$J979+1)&amp;"","Cheque deposit 支票存入 (buyer 买家)"))</f>
        <v/>
      </c>
      <c r="D979">
        <f>IF($J979="","",IF($J979&lt;=1500,INDEX('Daily Sale entry '!$AA$1:$AA$1501,$J979+1)&amp;"",INDEX('Daily Sale entry '!$P$1:$P$1501,$J979-1499)&amp;""))</f>
        <v/>
      </c>
      <c r="E979">
        <f>IF($J979="","",IF($J979&lt;=1500,IF(N(INDEX('Daily Sale entry '!$AB$1:$AB$1501,$J979+1))=0,"",INDEX('Daily Sale entry '!$AB$1:$AB$1501,$J979+1)),1))</f>
        <v/>
      </c>
      <c r="F979" s="6">
        <f>IF($J979="","",IF($J979&lt;=1500,N(INDEX('Daily Sale entry '!$AC$1:$AC$1501,$J979+1))-IF(AND('Opening Balance'!$B$15=1,INDEX('Daily Sale entry '!$Z$1:$Z$1501,$J979+1)="Online collection 网上收款",INDEX('Daily Sale entry '!$AA$1:$AA$1501,$J979+1)&lt;&gt;""),N(INDEX('Daily Sale entry '!$AC$1:$AC$1501,$J979+1))-TRUNC(N(INDEX('Daily Sale entry '!$AC$1:$AC$1501,$J979+1))),0),N(INDEX('Daily Sale entry '!$S$1:$S$1501,$J979-1499))-'Opening Balance'!$B$15*(N(INDEX('Daily Sale entry '!$S$1:$S$1501,$J979-1499))-TRUNC(N(INDEX('Daily Sale entry '!$S$1:$S$1501,$J979-1499))))))</f>
        <v/>
      </c>
      <c r="G979" s="6">
        <f>IF($J979="","",IF($J979&lt;=1500,N(INDEX('Daily Sale entry '!$AD$1:$AD$1501,$J979+1)),0))</f>
        <v/>
      </c>
      <c r="H979" s="6">
        <f>IF($J979="","",ROUND('Opening Balance'!$B$4+SUM($F$2:F979)-SUM($G$2:G979),2))</f>
        <v/>
      </c>
      <c r="J979" s="21">
        <f>IFERROR(MATCH(ROW()-1,$L$2:$L$3001,0),"")</f>
        <v/>
      </c>
      <c r="K979" s="34">
        <f>IF(AND('Daily Sale entry '!X979&lt;&gt;"",OR('Daily Sale entry '!AC979&lt;&gt;"",'Daily Sale entry '!AD979&lt;&gt;"")),'Daily Sale entry '!X979+ROW()/10000000,"")</f>
        <v/>
      </c>
      <c r="L979" s="21">
        <f>IF(K979="","",COUNTIF($K$2:$K$3001,"&lt;"&amp;K979)+1)</f>
        <v/>
      </c>
    </row>
    <row r="980">
      <c r="A980" s="5">
        <f>IF($J980="","",IF($J980&lt;=1500,INDEX('Daily Sale entry '!$X$1:$X$1501,$J980+1),INDEX('Daily Sale entry '!$V$1:$V$1501,$J980-1499)))</f>
        <v/>
      </c>
      <c r="B980">
        <f>IF($J980="","",IF($J980&lt;=1500,INDEX('Daily Sale entry '!$Y$1:$Y$1501,$J980+1)&amp;"","Buyer cheque banked 买家支票存入"&amp;IF(INDEX('Daily Sale entry '!$U$1:$U$1501,$J980-1499)="","", " - "&amp;INDEX('Daily Sale entry '!$U$1:$U$1501,$J980-1499))))</f>
        <v/>
      </c>
      <c r="C980">
        <f>IF($J980="","",IF($J980&lt;=1500,INDEX('Daily Sale entry '!$Z$1:$Z$1501,$J980+1)&amp;"","Cheque deposit 支票存入 (buyer 买家)"))</f>
        <v/>
      </c>
      <c r="D980">
        <f>IF($J980="","",IF($J980&lt;=1500,INDEX('Daily Sale entry '!$AA$1:$AA$1501,$J980+1)&amp;"",INDEX('Daily Sale entry '!$P$1:$P$1501,$J980-1499)&amp;""))</f>
        <v/>
      </c>
      <c r="E980">
        <f>IF($J980="","",IF($J980&lt;=1500,IF(N(INDEX('Daily Sale entry '!$AB$1:$AB$1501,$J980+1))=0,"",INDEX('Daily Sale entry '!$AB$1:$AB$1501,$J980+1)),1))</f>
        <v/>
      </c>
      <c r="F980" s="6">
        <f>IF($J980="","",IF($J980&lt;=1500,N(INDEX('Daily Sale entry '!$AC$1:$AC$1501,$J980+1))-IF(AND('Opening Balance'!$B$15=1,INDEX('Daily Sale entry '!$Z$1:$Z$1501,$J980+1)="Online collection 网上收款",INDEX('Daily Sale entry '!$AA$1:$AA$1501,$J980+1)&lt;&gt;""),N(INDEX('Daily Sale entry '!$AC$1:$AC$1501,$J980+1))-TRUNC(N(INDEX('Daily Sale entry '!$AC$1:$AC$1501,$J980+1))),0),N(INDEX('Daily Sale entry '!$S$1:$S$1501,$J980-1499))-'Opening Balance'!$B$15*(N(INDEX('Daily Sale entry '!$S$1:$S$1501,$J980-1499))-TRUNC(N(INDEX('Daily Sale entry '!$S$1:$S$1501,$J980-1499))))))</f>
        <v/>
      </c>
      <c r="G980" s="6">
        <f>IF($J980="","",IF($J980&lt;=1500,N(INDEX('Daily Sale entry '!$AD$1:$AD$1501,$J980+1)),0))</f>
        <v/>
      </c>
      <c r="H980" s="6">
        <f>IF($J980="","",ROUND('Opening Balance'!$B$4+SUM($F$2:F980)-SUM($G$2:G980),2))</f>
        <v/>
      </c>
      <c r="J980" s="21">
        <f>IFERROR(MATCH(ROW()-1,$L$2:$L$3001,0),"")</f>
        <v/>
      </c>
      <c r="K980" s="34">
        <f>IF(AND('Daily Sale entry '!X980&lt;&gt;"",OR('Daily Sale entry '!AC980&lt;&gt;"",'Daily Sale entry '!AD980&lt;&gt;"")),'Daily Sale entry '!X980+ROW()/10000000,"")</f>
        <v/>
      </c>
      <c r="L980" s="21">
        <f>IF(K980="","",COUNTIF($K$2:$K$3001,"&lt;"&amp;K980)+1)</f>
        <v/>
      </c>
    </row>
    <row r="981">
      <c r="A981" s="5">
        <f>IF($J981="","",IF($J981&lt;=1500,INDEX('Daily Sale entry '!$X$1:$X$1501,$J981+1),INDEX('Daily Sale entry '!$V$1:$V$1501,$J981-1499)))</f>
        <v/>
      </c>
      <c r="B981">
        <f>IF($J981="","",IF($J981&lt;=1500,INDEX('Daily Sale entry '!$Y$1:$Y$1501,$J981+1)&amp;"","Buyer cheque banked 买家支票存入"&amp;IF(INDEX('Daily Sale entry '!$U$1:$U$1501,$J981-1499)="","", " - "&amp;INDEX('Daily Sale entry '!$U$1:$U$1501,$J981-1499))))</f>
        <v/>
      </c>
      <c r="C981">
        <f>IF($J981="","",IF($J981&lt;=1500,INDEX('Daily Sale entry '!$Z$1:$Z$1501,$J981+1)&amp;"","Cheque deposit 支票存入 (buyer 买家)"))</f>
        <v/>
      </c>
      <c r="D981">
        <f>IF($J981="","",IF($J981&lt;=1500,INDEX('Daily Sale entry '!$AA$1:$AA$1501,$J981+1)&amp;"",INDEX('Daily Sale entry '!$P$1:$P$1501,$J981-1499)&amp;""))</f>
        <v/>
      </c>
      <c r="E981">
        <f>IF($J981="","",IF($J981&lt;=1500,IF(N(INDEX('Daily Sale entry '!$AB$1:$AB$1501,$J981+1))=0,"",INDEX('Daily Sale entry '!$AB$1:$AB$1501,$J981+1)),1))</f>
        <v/>
      </c>
      <c r="F981" s="6">
        <f>IF($J981="","",IF($J981&lt;=1500,N(INDEX('Daily Sale entry '!$AC$1:$AC$1501,$J981+1))-IF(AND('Opening Balance'!$B$15=1,INDEX('Daily Sale entry '!$Z$1:$Z$1501,$J981+1)="Online collection 网上收款",INDEX('Daily Sale entry '!$AA$1:$AA$1501,$J981+1)&lt;&gt;""),N(INDEX('Daily Sale entry '!$AC$1:$AC$1501,$J981+1))-TRUNC(N(INDEX('Daily Sale entry '!$AC$1:$AC$1501,$J981+1))),0),N(INDEX('Daily Sale entry '!$S$1:$S$1501,$J981-1499))-'Opening Balance'!$B$15*(N(INDEX('Daily Sale entry '!$S$1:$S$1501,$J981-1499))-TRUNC(N(INDEX('Daily Sale entry '!$S$1:$S$1501,$J981-1499))))))</f>
        <v/>
      </c>
      <c r="G981" s="6">
        <f>IF($J981="","",IF($J981&lt;=1500,N(INDEX('Daily Sale entry '!$AD$1:$AD$1501,$J981+1)),0))</f>
        <v/>
      </c>
      <c r="H981" s="6">
        <f>IF($J981="","",ROUND('Opening Balance'!$B$4+SUM($F$2:F981)-SUM($G$2:G981),2))</f>
        <v/>
      </c>
      <c r="J981" s="21">
        <f>IFERROR(MATCH(ROW()-1,$L$2:$L$3001,0),"")</f>
        <v/>
      </c>
      <c r="K981" s="34">
        <f>IF(AND('Daily Sale entry '!X981&lt;&gt;"",OR('Daily Sale entry '!AC981&lt;&gt;"",'Daily Sale entry '!AD981&lt;&gt;"")),'Daily Sale entry '!X981+ROW()/10000000,"")</f>
        <v/>
      </c>
      <c r="L981" s="21">
        <f>IF(K981="","",COUNTIF($K$2:$K$3001,"&lt;"&amp;K981)+1)</f>
        <v/>
      </c>
    </row>
    <row r="982">
      <c r="A982" s="5">
        <f>IF($J982="","",IF($J982&lt;=1500,INDEX('Daily Sale entry '!$X$1:$X$1501,$J982+1),INDEX('Daily Sale entry '!$V$1:$V$1501,$J982-1499)))</f>
        <v/>
      </c>
      <c r="B982">
        <f>IF($J982="","",IF($J982&lt;=1500,INDEX('Daily Sale entry '!$Y$1:$Y$1501,$J982+1)&amp;"","Buyer cheque banked 买家支票存入"&amp;IF(INDEX('Daily Sale entry '!$U$1:$U$1501,$J982-1499)="","", " - "&amp;INDEX('Daily Sale entry '!$U$1:$U$1501,$J982-1499))))</f>
        <v/>
      </c>
      <c r="C982">
        <f>IF($J982="","",IF($J982&lt;=1500,INDEX('Daily Sale entry '!$Z$1:$Z$1501,$J982+1)&amp;"","Cheque deposit 支票存入 (buyer 买家)"))</f>
        <v/>
      </c>
      <c r="D982">
        <f>IF($J982="","",IF($J982&lt;=1500,INDEX('Daily Sale entry '!$AA$1:$AA$1501,$J982+1)&amp;"",INDEX('Daily Sale entry '!$P$1:$P$1501,$J982-1499)&amp;""))</f>
        <v/>
      </c>
      <c r="E982">
        <f>IF($J982="","",IF($J982&lt;=1500,IF(N(INDEX('Daily Sale entry '!$AB$1:$AB$1501,$J982+1))=0,"",INDEX('Daily Sale entry '!$AB$1:$AB$1501,$J982+1)),1))</f>
        <v/>
      </c>
      <c r="F982" s="6">
        <f>IF($J982="","",IF($J982&lt;=1500,N(INDEX('Daily Sale entry '!$AC$1:$AC$1501,$J982+1))-IF(AND('Opening Balance'!$B$15=1,INDEX('Daily Sale entry '!$Z$1:$Z$1501,$J982+1)="Online collection 网上收款",INDEX('Daily Sale entry '!$AA$1:$AA$1501,$J982+1)&lt;&gt;""),N(INDEX('Daily Sale entry '!$AC$1:$AC$1501,$J982+1))-TRUNC(N(INDEX('Daily Sale entry '!$AC$1:$AC$1501,$J982+1))),0),N(INDEX('Daily Sale entry '!$S$1:$S$1501,$J982-1499))-'Opening Balance'!$B$15*(N(INDEX('Daily Sale entry '!$S$1:$S$1501,$J982-1499))-TRUNC(N(INDEX('Daily Sale entry '!$S$1:$S$1501,$J982-1499))))))</f>
        <v/>
      </c>
      <c r="G982" s="6">
        <f>IF($J982="","",IF($J982&lt;=1500,N(INDEX('Daily Sale entry '!$AD$1:$AD$1501,$J982+1)),0))</f>
        <v/>
      </c>
      <c r="H982" s="6">
        <f>IF($J982="","",ROUND('Opening Balance'!$B$4+SUM($F$2:F982)-SUM($G$2:G982),2))</f>
        <v/>
      </c>
      <c r="J982" s="21">
        <f>IFERROR(MATCH(ROW()-1,$L$2:$L$3001,0),"")</f>
        <v/>
      </c>
      <c r="K982" s="34">
        <f>IF(AND('Daily Sale entry '!X982&lt;&gt;"",OR('Daily Sale entry '!AC982&lt;&gt;"",'Daily Sale entry '!AD982&lt;&gt;"")),'Daily Sale entry '!X982+ROW()/10000000,"")</f>
        <v/>
      </c>
      <c r="L982" s="21">
        <f>IF(K982="","",COUNTIF($K$2:$K$3001,"&lt;"&amp;K982)+1)</f>
        <v/>
      </c>
    </row>
    <row r="983">
      <c r="A983" s="5">
        <f>IF($J983="","",IF($J983&lt;=1500,INDEX('Daily Sale entry '!$X$1:$X$1501,$J983+1),INDEX('Daily Sale entry '!$V$1:$V$1501,$J983-1499)))</f>
        <v/>
      </c>
      <c r="B983">
        <f>IF($J983="","",IF($J983&lt;=1500,INDEX('Daily Sale entry '!$Y$1:$Y$1501,$J983+1)&amp;"","Buyer cheque banked 买家支票存入"&amp;IF(INDEX('Daily Sale entry '!$U$1:$U$1501,$J983-1499)="","", " - "&amp;INDEX('Daily Sale entry '!$U$1:$U$1501,$J983-1499))))</f>
        <v/>
      </c>
      <c r="C983">
        <f>IF($J983="","",IF($J983&lt;=1500,INDEX('Daily Sale entry '!$Z$1:$Z$1501,$J983+1)&amp;"","Cheque deposit 支票存入 (buyer 买家)"))</f>
        <v/>
      </c>
      <c r="D983">
        <f>IF($J983="","",IF($J983&lt;=1500,INDEX('Daily Sale entry '!$AA$1:$AA$1501,$J983+1)&amp;"",INDEX('Daily Sale entry '!$P$1:$P$1501,$J983-1499)&amp;""))</f>
        <v/>
      </c>
      <c r="E983">
        <f>IF($J983="","",IF($J983&lt;=1500,IF(N(INDEX('Daily Sale entry '!$AB$1:$AB$1501,$J983+1))=0,"",INDEX('Daily Sale entry '!$AB$1:$AB$1501,$J983+1)),1))</f>
        <v/>
      </c>
      <c r="F983" s="6">
        <f>IF($J983="","",IF($J983&lt;=1500,N(INDEX('Daily Sale entry '!$AC$1:$AC$1501,$J983+1))-IF(AND('Opening Balance'!$B$15=1,INDEX('Daily Sale entry '!$Z$1:$Z$1501,$J983+1)="Online collection 网上收款",INDEX('Daily Sale entry '!$AA$1:$AA$1501,$J983+1)&lt;&gt;""),N(INDEX('Daily Sale entry '!$AC$1:$AC$1501,$J983+1))-TRUNC(N(INDEX('Daily Sale entry '!$AC$1:$AC$1501,$J983+1))),0),N(INDEX('Daily Sale entry '!$S$1:$S$1501,$J983-1499))-'Opening Balance'!$B$15*(N(INDEX('Daily Sale entry '!$S$1:$S$1501,$J983-1499))-TRUNC(N(INDEX('Daily Sale entry '!$S$1:$S$1501,$J983-1499))))))</f>
        <v/>
      </c>
      <c r="G983" s="6">
        <f>IF($J983="","",IF($J983&lt;=1500,N(INDEX('Daily Sale entry '!$AD$1:$AD$1501,$J983+1)),0))</f>
        <v/>
      </c>
      <c r="H983" s="6">
        <f>IF($J983="","",ROUND('Opening Balance'!$B$4+SUM($F$2:F983)-SUM($G$2:G983),2))</f>
        <v/>
      </c>
      <c r="J983" s="21">
        <f>IFERROR(MATCH(ROW()-1,$L$2:$L$3001,0),"")</f>
        <v/>
      </c>
      <c r="K983" s="34">
        <f>IF(AND('Daily Sale entry '!X983&lt;&gt;"",OR('Daily Sale entry '!AC983&lt;&gt;"",'Daily Sale entry '!AD983&lt;&gt;"")),'Daily Sale entry '!X983+ROW()/10000000,"")</f>
        <v/>
      </c>
      <c r="L983" s="21">
        <f>IF(K983="","",COUNTIF($K$2:$K$3001,"&lt;"&amp;K983)+1)</f>
        <v/>
      </c>
    </row>
    <row r="984">
      <c r="A984" s="5">
        <f>IF($J984="","",IF($J984&lt;=1500,INDEX('Daily Sale entry '!$X$1:$X$1501,$J984+1),INDEX('Daily Sale entry '!$V$1:$V$1501,$J984-1499)))</f>
        <v/>
      </c>
      <c r="B984">
        <f>IF($J984="","",IF($J984&lt;=1500,INDEX('Daily Sale entry '!$Y$1:$Y$1501,$J984+1)&amp;"","Buyer cheque banked 买家支票存入"&amp;IF(INDEX('Daily Sale entry '!$U$1:$U$1501,$J984-1499)="","", " - "&amp;INDEX('Daily Sale entry '!$U$1:$U$1501,$J984-1499))))</f>
        <v/>
      </c>
      <c r="C984">
        <f>IF($J984="","",IF($J984&lt;=1500,INDEX('Daily Sale entry '!$Z$1:$Z$1501,$J984+1)&amp;"","Cheque deposit 支票存入 (buyer 买家)"))</f>
        <v/>
      </c>
      <c r="D984">
        <f>IF($J984="","",IF($J984&lt;=1500,INDEX('Daily Sale entry '!$AA$1:$AA$1501,$J984+1)&amp;"",INDEX('Daily Sale entry '!$P$1:$P$1501,$J984-1499)&amp;""))</f>
        <v/>
      </c>
      <c r="E984">
        <f>IF($J984="","",IF($J984&lt;=1500,IF(N(INDEX('Daily Sale entry '!$AB$1:$AB$1501,$J984+1))=0,"",INDEX('Daily Sale entry '!$AB$1:$AB$1501,$J984+1)),1))</f>
        <v/>
      </c>
      <c r="F984" s="6">
        <f>IF($J984="","",IF($J984&lt;=1500,N(INDEX('Daily Sale entry '!$AC$1:$AC$1501,$J984+1))-IF(AND('Opening Balance'!$B$15=1,INDEX('Daily Sale entry '!$Z$1:$Z$1501,$J984+1)="Online collection 网上收款",INDEX('Daily Sale entry '!$AA$1:$AA$1501,$J984+1)&lt;&gt;""),N(INDEX('Daily Sale entry '!$AC$1:$AC$1501,$J984+1))-TRUNC(N(INDEX('Daily Sale entry '!$AC$1:$AC$1501,$J984+1))),0),N(INDEX('Daily Sale entry '!$S$1:$S$1501,$J984-1499))-'Opening Balance'!$B$15*(N(INDEX('Daily Sale entry '!$S$1:$S$1501,$J984-1499))-TRUNC(N(INDEX('Daily Sale entry '!$S$1:$S$1501,$J984-1499))))))</f>
        <v/>
      </c>
      <c r="G984" s="6">
        <f>IF($J984="","",IF($J984&lt;=1500,N(INDEX('Daily Sale entry '!$AD$1:$AD$1501,$J984+1)),0))</f>
        <v/>
      </c>
      <c r="H984" s="6">
        <f>IF($J984="","",ROUND('Opening Balance'!$B$4+SUM($F$2:F984)-SUM($G$2:G984),2))</f>
        <v/>
      </c>
      <c r="J984" s="21">
        <f>IFERROR(MATCH(ROW()-1,$L$2:$L$3001,0),"")</f>
        <v/>
      </c>
      <c r="K984" s="34">
        <f>IF(AND('Daily Sale entry '!X984&lt;&gt;"",OR('Daily Sale entry '!AC984&lt;&gt;"",'Daily Sale entry '!AD984&lt;&gt;"")),'Daily Sale entry '!X984+ROW()/10000000,"")</f>
        <v/>
      </c>
      <c r="L984" s="21">
        <f>IF(K984="","",COUNTIF($K$2:$K$3001,"&lt;"&amp;K984)+1)</f>
        <v/>
      </c>
    </row>
    <row r="985">
      <c r="A985" s="5">
        <f>IF($J985="","",IF($J985&lt;=1500,INDEX('Daily Sale entry '!$X$1:$X$1501,$J985+1),INDEX('Daily Sale entry '!$V$1:$V$1501,$J985-1499)))</f>
        <v/>
      </c>
      <c r="B985">
        <f>IF($J985="","",IF($J985&lt;=1500,INDEX('Daily Sale entry '!$Y$1:$Y$1501,$J985+1)&amp;"","Buyer cheque banked 买家支票存入"&amp;IF(INDEX('Daily Sale entry '!$U$1:$U$1501,$J985-1499)="","", " - "&amp;INDEX('Daily Sale entry '!$U$1:$U$1501,$J985-1499))))</f>
        <v/>
      </c>
      <c r="C985">
        <f>IF($J985="","",IF($J985&lt;=1500,INDEX('Daily Sale entry '!$Z$1:$Z$1501,$J985+1)&amp;"","Cheque deposit 支票存入 (buyer 买家)"))</f>
        <v/>
      </c>
      <c r="D985">
        <f>IF($J985="","",IF($J985&lt;=1500,INDEX('Daily Sale entry '!$AA$1:$AA$1501,$J985+1)&amp;"",INDEX('Daily Sale entry '!$P$1:$P$1501,$J985-1499)&amp;""))</f>
        <v/>
      </c>
      <c r="E985">
        <f>IF($J985="","",IF($J985&lt;=1500,IF(N(INDEX('Daily Sale entry '!$AB$1:$AB$1501,$J985+1))=0,"",INDEX('Daily Sale entry '!$AB$1:$AB$1501,$J985+1)),1))</f>
        <v/>
      </c>
      <c r="F985" s="6">
        <f>IF($J985="","",IF($J985&lt;=1500,N(INDEX('Daily Sale entry '!$AC$1:$AC$1501,$J985+1))-IF(AND('Opening Balance'!$B$15=1,INDEX('Daily Sale entry '!$Z$1:$Z$1501,$J985+1)="Online collection 网上收款",INDEX('Daily Sale entry '!$AA$1:$AA$1501,$J985+1)&lt;&gt;""),N(INDEX('Daily Sale entry '!$AC$1:$AC$1501,$J985+1))-TRUNC(N(INDEX('Daily Sale entry '!$AC$1:$AC$1501,$J985+1))),0),N(INDEX('Daily Sale entry '!$S$1:$S$1501,$J985-1499))-'Opening Balance'!$B$15*(N(INDEX('Daily Sale entry '!$S$1:$S$1501,$J985-1499))-TRUNC(N(INDEX('Daily Sale entry '!$S$1:$S$1501,$J985-1499))))))</f>
        <v/>
      </c>
      <c r="G985" s="6">
        <f>IF($J985="","",IF($J985&lt;=1500,N(INDEX('Daily Sale entry '!$AD$1:$AD$1501,$J985+1)),0))</f>
        <v/>
      </c>
      <c r="H985" s="6">
        <f>IF($J985="","",ROUND('Opening Balance'!$B$4+SUM($F$2:F985)-SUM($G$2:G985),2))</f>
        <v/>
      </c>
      <c r="J985" s="21">
        <f>IFERROR(MATCH(ROW()-1,$L$2:$L$3001,0),"")</f>
        <v/>
      </c>
      <c r="K985" s="34">
        <f>IF(AND('Daily Sale entry '!X985&lt;&gt;"",OR('Daily Sale entry '!AC985&lt;&gt;"",'Daily Sale entry '!AD985&lt;&gt;"")),'Daily Sale entry '!X985+ROW()/10000000,"")</f>
        <v/>
      </c>
      <c r="L985" s="21">
        <f>IF(K985="","",COUNTIF($K$2:$K$3001,"&lt;"&amp;K985)+1)</f>
        <v/>
      </c>
    </row>
    <row r="986">
      <c r="A986" s="5">
        <f>IF($J986="","",IF($J986&lt;=1500,INDEX('Daily Sale entry '!$X$1:$X$1501,$J986+1),INDEX('Daily Sale entry '!$V$1:$V$1501,$J986-1499)))</f>
        <v/>
      </c>
      <c r="B986">
        <f>IF($J986="","",IF($J986&lt;=1500,INDEX('Daily Sale entry '!$Y$1:$Y$1501,$J986+1)&amp;"","Buyer cheque banked 买家支票存入"&amp;IF(INDEX('Daily Sale entry '!$U$1:$U$1501,$J986-1499)="","", " - "&amp;INDEX('Daily Sale entry '!$U$1:$U$1501,$J986-1499))))</f>
        <v/>
      </c>
      <c r="C986">
        <f>IF($J986="","",IF($J986&lt;=1500,INDEX('Daily Sale entry '!$Z$1:$Z$1501,$J986+1)&amp;"","Cheque deposit 支票存入 (buyer 买家)"))</f>
        <v/>
      </c>
      <c r="D986">
        <f>IF($J986="","",IF($J986&lt;=1500,INDEX('Daily Sale entry '!$AA$1:$AA$1501,$J986+1)&amp;"",INDEX('Daily Sale entry '!$P$1:$P$1501,$J986-1499)&amp;""))</f>
        <v/>
      </c>
      <c r="E986">
        <f>IF($J986="","",IF($J986&lt;=1500,IF(N(INDEX('Daily Sale entry '!$AB$1:$AB$1501,$J986+1))=0,"",INDEX('Daily Sale entry '!$AB$1:$AB$1501,$J986+1)),1))</f>
        <v/>
      </c>
      <c r="F986" s="6">
        <f>IF($J986="","",IF($J986&lt;=1500,N(INDEX('Daily Sale entry '!$AC$1:$AC$1501,$J986+1))-IF(AND('Opening Balance'!$B$15=1,INDEX('Daily Sale entry '!$Z$1:$Z$1501,$J986+1)="Online collection 网上收款",INDEX('Daily Sale entry '!$AA$1:$AA$1501,$J986+1)&lt;&gt;""),N(INDEX('Daily Sale entry '!$AC$1:$AC$1501,$J986+1))-TRUNC(N(INDEX('Daily Sale entry '!$AC$1:$AC$1501,$J986+1))),0),N(INDEX('Daily Sale entry '!$S$1:$S$1501,$J986-1499))-'Opening Balance'!$B$15*(N(INDEX('Daily Sale entry '!$S$1:$S$1501,$J986-1499))-TRUNC(N(INDEX('Daily Sale entry '!$S$1:$S$1501,$J986-1499))))))</f>
        <v/>
      </c>
      <c r="G986" s="6">
        <f>IF($J986="","",IF($J986&lt;=1500,N(INDEX('Daily Sale entry '!$AD$1:$AD$1501,$J986+1)),0))</f>
        <v/>
      </c>
      <c r="H986" s="6">
        <f>IF($J986="","",ROUND('Opening Balance'!$B$4+SUM($F$2:F986)-SUM($G$2:G986),2))</f>
        <v/>
      </c>
      <c r="J986" s="21">
        <f>IFERROR(MATCH(ROW()-1,$L$2:$L$3001,0),"")</f>
        <v/>
      </c>
      <c r="K986" s="34">
        <f>IF(AND('Daily Sale entry '!X986&lt;&gt;"",OR('Daily Sale entry '!AC986&lt;&gt;"",'Daily Sale entry '!AD986&lt;&gt;"")),'Daily Sale entry '!X986+ROW()/10000000,"")</f>
        <v/>
      </c>
      <c r="L986" s="21">
        <f>IF(K986="","",COUNTIF($K$2:$K$3001,"&lt;"&amp;K986)+1)</f>
        <v/>
      </c>
    </row>
    <row r="987">
      <c r="A987" s="5">
        <f>IF($J987="","",IF($J987&lt;=1500,INDEX('Daily Sale entry '!$X$1:$X$1501,$J987+1),INDEX('Daily Sale entry '!$V$1:$V$1501,$J987-1499)))</f>
        <v/>
      </c>
      <c r="B987">
        <f>IF($J987="","",IF($J987&lt;=1500,INDEX('Daily Sale entry '!$Y$1:$Y$1501,$J987+1)&amp;"","Buyer cheque banked 买家支票存入"&amp;IF(INDEX('Daily Sale entry '!$U$1:$U$1501,$J987-1499)="","", " - "&amp;INDEX('Daily Sale entry '!$U$1:$U$1501,$J987-1499))))</f>
        <v/>
      </c>
      <c r="C987">
        <f>IF($J987="","",IF($J987&lt;=1500,INDEX('Daily Sale entry '!$Z$1:$Z$1501,$J987+1)&amp;"","Cheque deposit 支票存入 (buyer 买家)"))</f>
        <v/>
      </c>
      <c r="D987">
        <f>IF($J987="","",IF($J987&lt;=1500,INDEX('Daily Sale entry '!$AA$1:$AA$1501,$J987+1)&amp;"",INDEX('Daily Sale entry '!$P$1:$P$1501,$J987-1499)&amp;""))</f>
        <v/>
      </c>
      <c r="E987">
        <f>IF($J987="","",IF($J987&lt;=1500,IF(N(INDEX('Daily Sale entry '!$AB$1:$AB$1501,$J987+1))=0,"",INDEX('Daily Sale entry '!$AB$1:$AB$1501,$J987+1)),1))</f>
        <v/>
      </c>
      <c r="F987" s="6">
        <f>IF($J987="","",IF($J987&lt;=1500,N(INDEX('Daily Sale entry '!$AC$1:$AC$1501,$J987+1))-IF(AND('Opening Balance'!$B$15=1,INDEX('Daily Sale entry '!$Z$1:$Z$1501,$J987+1)="Online collection 网上收款",INDEX('Daily Sale entry '!$AA$1:$AA$1501,$J987+1)&lt;&gt;""),N(INDEX('Daily Sale entry '!$AC$1:$AC$1501,$J987+1))-TRUNC(N(INDEX('Daily Sale entry '!$AC$1:$AC$1501,$J987+1))),0),N(INDEX('Daily Sale entry '!$S$1:$S$1501,$J987-1499))-'Opening Balance'!$B$15*(N(INDEX('Daily Sale entry '!$S$1:$S$1501,$J987-1499))-TRUNC(N(INDEX('Daily Sale entry '!$S$1:$S$1501,$J987-1499))))))</f>
        <v/>
      </c>
      <c r="G987" s="6">
        <f>IF($J987="","",IF($J987&lt;=1500,N(INDEX('Daily Sale entry '!$AD$1:$AD$1501,$J987+1)),0))</f>
        <v/>
      </c>
      <c r="H987" s="6">
        <f>IF($J987="","",ROUND('Opening Balance'!$B$4+SUM($F$2:F987)-SUM($G$2:G987),2))</f>
        <v/>
      </c>
      <c r="J987" s="21">
        <f>IFERROR(MATCH(ROW()-1,$L$2:$L$3001,0),"")</f>
        <v/>
      </c>
      <c r="K987" s="34">
        <f>IF(AND('Daily Sale entry '!X987&lt;&gt;"",OR('Daily Sale entry '!AC987&lt;&gt;"",'Daily Sale entry '!AD987&lt;&gt;"")),'Daily Sale entry '!X987+ROW()/10000000,"")</f>
        <v/>
      </c>
      <c r="L987" s="21">
        <f>IF(K987="","",COUNTIF($K$2:$K$3001,"&lt;"&amp;K987)+1)</f>
        <v/>
      </c>
    </row>
    <row r="988">
      <c r="A988" s="5">
        <f>IF($J988="","",IF($J988&lt;=1500,INDEX('Daily Sale entry '!$X$1:$X$1501,$J988+1),INDEX('Daily Sale entry '!$V$1:$V$1501,$J988-1499)))</f>
        <v/>
      </c>
      <c r="B988">
        <f>IF($J988="","",IF($J988&lt;=1500,INDEX('Daily Sale entry '!$Y$1:$Y$1501,$J988+1)&amp;"","Buyer cheque banked 买家支票存入"&amp;IF(INDEX('Daily Sale entry '!$U$1:$U$1501,$J988-1499)="","", " - "&amp;INDEX('Daily Sale entry '!$U$1:$U$1501,$J988-1499))))</f>
        <v/>
      </c>
      <c r="C988">
        <f>IF($J988="","",IF($J988&lt;=1500,INDEX('Daily Sale entry '!$Z$1:$Z$1501,$J988+1)&amp;"","Cheque deposit 支票存入 (buyer 买家)"))</f>
        <v/>
      </c>
      <c r="D988">
        <f>IF($J988="","",IF($J988&lt;=1500,INDEX('Daily Sale entry '!$AA$1:$AA$1501,$J988+1)&amp;"",INDEX('Daily Sale entry '!$P$1:$P$1501,$J988-1499)&amp;""))</f>
        <v/>
      </c>
      <c r="E988">
        <f>IF($J988="","",IF($J988&lt;=1500,IF(N(INDEX('Daily Sale entry '!$AB$1:$AB$1501,$J988+1))=0,"",INDEX('Daily Sale entry '!$AB$1:$AB$1501,$J988+1)),1))</f>
        <v/>
      </c>
      <c r="F988" s="6">
        <f>IF($J988="","",IF($J988&lt;=1500,N(INDEX('Daily Sale entry '!$AC$1:$AC$1501,$J988+1))-IF(AND('Opening Balance'!$B$15=1,INDEX('Daily Sale entry '!$Z$1:$Z$1501,$J988+1)="Online collection 网上收款",INDEX('Daily Sale entry '!$AA$1:$AA$1501,$J988+1)&lt;&gt;""),N(INDEX('Daily Sale entry '!$AC$1:$AC$1501,$J988+1))-TRUNC(N(INDEX('Daily Sale entry '!$AC$1:$AC$1501,$J988+1))),0),N(INDEX('Daily Sale entry '!$S$1:$S$1501,$J988-1499))-'Opening Balance'!$B$15*(N(INDEX('Daily Sale entry '!$S$1:$S$1501,$J988-1499))-TRUNC(N(INDEX('Daily Sale entry '!$S$1:$S$1501,$J988-1499))))))</f>
        <v/>
      </c>
      <c r="G988" s="6">
        <f>IF($J988="","",IF($J988&lt;=1500,N(INDEX('Daily Sale entry '!$AD$1:$AD$1501,$J988+1)),0))</f>
        <v/>
      </c>
      <c r="H988" s="6">
        <f>IF($J988="","",ROUND('Opening Balance'!$B$4+SUM($F$2:F988)-SUM($G$2:G988),2))</f>
        <v/>
      </c>
      <c r="J988" s="21">
        <f>IFERROR(MATCH(ROW()-1,$L$2:$L$3001,0),"")</f>
        <v/>
      </c>
      <c r="K988" s="34">
        <f>IF(AND('Daily Sale entry '!X988&lt;&gt;"",OR('Daily Sale entry '!AC988&lt;&gt;"",'Daily Sale entry '!AD988&lt;&gt;"")),'Daily Sale entry '!X988+ROW()/10000000,"")</f>
        <v/>
      </c>
      <c r="L988" s="21">
        <f>IF(K988="","",COUNTIF($K$2:$K$3001,"&lt;"&amp;K988)+1)</f>
        <v/>
      </c>
    </row>
    <row r="989">
      <c r="A989" s="5">
        <f>IF($J989="","",IF($J989&lt;=1500,INDEX('Daily Sale entry '!$X$1:$X$1501,$J989+1),INDEX('Daily Sale entry '!$V$1:$V$1501,$J989-1499)))</f>
        <v/>
      </c>
      <c r="B989">
        <f>IF($J989="","",IF($J989&lt;=1500,INDEX('Daily Sale entry '!$Y$1:$Y$1501,$J989+1)&amp;"","Buyer cheque banked 买家支票存入"&amp;IF(INDEX('Daily Sale entry '!$U$1:$U$1501,$J989-1499)="","", " - "&amp;INDEX('Daily Sale entry '!$U$1:$U$1501,$J989-1499))))</f>
        <v/>
      </c>
      <c r="C989">
        <f>IF($J989="","",IF($J989&lt;=1500,INDEX('Daily Sale entry '!$Z$1:$Z$1501,$J989+1)&amp;"","Cheque deposit 支票存入 (buyer 买家)"))</f>
        <v/>
      </c>
      <c r="D989">
        <f>IF($J989="","",IF($J989&lt;=1500,INDEX('Daily Sale entry '!$AA$1:$AA$1501,$J989+1)&amp;"",INDEX('Daily Sale entry '!$P$1:$P$1501,$J989-1499)&amp;""))</f>
        <v/>
      </c>
      <c r="E989">
        <f>IF($J989="","",IF($J989&lt;=1500,IF(N(INDEX('Daily Sale entry '!$AB$1:$AB$1501,$J989+1))=0,"",INDEX('Daily Sale entry '!$AB$1:$AB$1501,$J989+1)),1))</f>
        <v/>
      </c>
      <c r="F989" s="6">
        <f>IF($J989="","",IF($J989&lt;=1500,N(INDEX('Daily Sale entry '!$AC$1:$AC$1501,$J989+1))-IF(AND('Opening Balance'!$B$15=1,INDEX('Daily Sale entry '!$Z$1:$Z$1501,$J989+1)="Online collection 网上收款",INDEX('Daily Sale entry '!$AA$1:$AA$1501,$J989+1)&lt;&gt;""),N(INDEX('Daily Sale entry '!$AC$1:$AC$1501,$J989+1))-TRUNC(N(INDEX('Daily Sale entry '!$AC$1:$AC$1501,$J989+1))),0),N(INDEX('Daily Sale entry '!$S$1:$S$1501,$J989-1499))-'Opening Balance'!$B$15*(N(INDEX('Daily Sale entry '!$S$1:$S$1501,$J989-1499))-TRUNC(N(INDEX('Daily Sale entry '!$S$1:$S$1501,$J989-1499))))))</f>
        <v/>
      </c>
      <c r="G989" s="6">
        <f>IF($J989="","",IF($J989&lt;=1500,N(INDEX('Daily Sale entry '!$AD$1:$AD$1501,$J989+1)),0))</f>
        <v/>
      </c>
      <c r="H989" s="6">
        <f>IF($J989="","",ROUND('Opening Balance'!$B$4+SUM($F$2:F989)-SUM($G$2:G989),2))</f>
        <v/>
      </c>
      <c r="J989" s="21">
        <f>IFERROR(MATCH(ROW()-1,$L$2:$L$3001,0),"")</f>
        <v/>
      </c>
      <c r="K989" s="34">
        <f>IF(AND('Daily Sale entry '!X989&lt;&gt;"",OR('Daily Sale entry '!AC989&lt;&gt;"",'Daily Sale entry '!AD989&lt;&gt;"")),'Daily Sale entry '!X989+ROW()/10000000,"")</f>
        <v/>
      </c>
      <c r="L989" s="21">
        <f>IF(K989="","",COUNTIF($K$2:$K$3001,"&lt;"&amp;K989)+1)</f>
        <v/>
      </c>
    </row>
    <row r="990">
      <c r="A990" s="5">
        <f>IF($J990="","",IF($J990&lt;=1500,INDEX('Daily Sale entry '!$X$1:$X$1501,$J990+1),INDEX('Daily Sale entry '!$V$1:$V$1501,$J990-1499)))</f>
        <v/>
      </c>
      <c r="B990">
        <f>IF($J990="","",IF($J990&lt;=1500,INDEX('Daily Sale entry '!$Y$1:$Y$1501,$J990+1)&amp;"","Buyer cheque banked 买家支票存入"&amp;IF(INDEX('Daily Sale entry '!$U$1:$U$1501,$J990-1499)="","", " - "&amp;INDEX('Daily Sale entry '!$U$1:$U$1501,$J990-1499))))</f>
        <v/>
      </c>
      <c r="C990">
        <f>IF($J990="","",IF($J990&lt;=1500,INDEX('Daily Sale entry '!$Z$1:$Z$1501,$J990+1)&amp;"","Cheque deposit 支票存入 (buyer 买家)"))</f>
        <v/>
      </c>
      <c r="D990">
        <f>IF($J990="","",IF($J990&lt;=1500,INDEX('Daily Sale entry '!$AA$1:$AA$1501,$J990+1)&amp;"",INDEX('Daily Sale entry '!$P$1:$P$1501,$J990-1499)&amp;""))</f>
        <v/>
      </c>
      <c r="E990">
        <f>IF($J990="","",IF($J990&lt;=1500,IF(N(INDEX('Daily Sale entry '!$AB$1:$AB$1501,$J990+1))=0,"",INDEX('Daily Sale entry '!$AB$1:$AB$1501,$J990+1)),1))</f>
        <v/>
      </c>
      <c r="F990" s="6">
        <f>IF($J990="","",IF($J990&lt;=1500,N(INDEX('Daily Sale entry '!$AC$1:$AC$1501,$J990+1))-IF(AND('Opening Balance'!$B$15=1,INDEX('Daily Sale entry '!$Z$1:$Z$1501,$J990+1)="Online collection 网上收款",INDEX('Daily Sale entry '!$AA$1:$AA$1501,$J990+1)&lt;&gt;""),N(INDEX('Daily Sale entry '!$AC$1:$AC$1501,$J990+1))-TRUNC(N(INDEX('Daily Sale entry '!$AC$1:$AC$1501,$J990+1))),0),N(INDEX('Daily Sale entry '!$S$1:$S$1501,$J990-1499))-'Opening Balance'!$B$15*(N(INDEX('Daily Sale entry '!$S$1:$S$1501,$J990-1499))-TRUNC(N(INDEX('Daily Sale entry '!$S$1:$S$1501,$J990-1499))))))</f>
        <v/>
      </c>
      <c r="G990" s="6">
        <f>IF($J990="","",IF($J990&lt;=1500,N(INDEX('Daily Sale entry '!$AD$1:$AD$1501,$J990+1)),0))</f>
        <v/>
      </c>
      <c r="H990" s="6">
        <f>IF($J990="","",ROUND('Opening Balance'!$B$4+SUM($F$2:F990)-SUM($G$2:G990),2))</f>
        <v/>
      </c>
      <c r="J990" s="21">
        <f>IFERROR(MATCH(ROW()-1,$L$2:$L$3001,0),"")</f>
        <v/>
      </c>
      <c r="K990" s="34">
        <f>IF(AND('Daily Sale entry '!X990&lt;&gt;"",OR('Daily Sale entry '!AC990&lt;&gt;"",'Daily Sale entry '!AD990&lt;&gt;"")),'Daily Sale entry '!X990+ROW()/10000000,"")</f>
        <v/>
      </c>
      <c r="L990" s="21">
        <f>IF(K990="","",COUNTIF($K$2:$K$3001,"&lt;"&amp;K990)+1)</f>
        <v/>
      </c>
    </row>
    <row r="991">
      <c r="A991" s="5">
        <f>IF($J991="","",IF($J991&lt;=1500,INDEX('Daily Sale entry '!$X$1:$X$1501,$J991+1),INDEX('Daily Sale entry '!$V$1:$V$1501,$J991-1499)))</f>
        <v/>
      </c>
      <c r="B991">
        <f>IF($J991="","",IF($J991&lt;=1500,INDEX('Daily Sale entry '!$Y$1:$Y$1501,$J991+1)&amp;"","Buyer cheque banked 买家支票存入"&amp;IF(INDEX('Daily Sale entry '!$U$1:$U$1501,$J991-1499)="","", " - "&amp;INDEX('Daily Sale entry '!$U$1:$U$1501,$J991-1499))))</f>
        <v/>
      </c>
      <c r="C991">
        <f>IF($J991="","",IF($J991&lt;=1500,INDEX('Daily Sale entry '!$Z$1:$Z$1501,$J991+1)&amp;"","Cheque deposit 支票存入 (buyer 买家)"))</f>
        <v/>
      </c>
      <c r="D991">
        <f>IF($J991="","",IF($J991&lt;=1500,INDEX('Daily Sale entry '!$AA$1:$AA$1501,$J991+1)&amp;"",INDEX('Daily Sale entry '!$P$1:$P$1501,$J991-1499)&amp;""))</f>
        <v/>
      </c>
      <c r="E991">
        <f>IF($J991="","",IF($J991&lt;=1500,IF(N(INDEX('Daily Sale entry '!$AB$1:$AB$1501,$J991+1))=0,"",INDEX('Daily Sale entry '!$AB$1:$AB$1501,$J991+1)),1))</f>
        <v/>
      </c>
      <c r="F991" s="6">
        <f>IF($J991="","",IF($J991&lt;=1500,N(INDEX('Daily Sale entry '!$AC$1:$AC$1501,$J991+1))-IF(AND('Opening Balance'!$B$15=1,INDEX('Daily Sale entry '!$Z$1:$Z$1501,$J991+1)="Online collection 网上收款",INDEX('Daily Sale entry '!$AA$1:$AA$1501,$J991+1)&lt;&gt;""),N(INDEX('Daily Sale entry '!$AC$1:$AC$1501,$J991+1))-TRUNC(N(INDEX('Daily Sale entry '!$AC$1:$AC$1501,$J991+1))),0),N(INDEX('Daily Sale entry '!$S$1:$S$1501,$J991-1499))-'Opening Balance'!$B$15*(N(INDEX('Daily Sale entry '!$S$1:$S$1501,$J991-1499))-TRUNC(N(INDEX('Daily Sale entry '!$S$1:$S$1501,$J991-1499))))))</f>
        <v/>
      </c>
      <c r="G991" s="6">
        <f>IF($J991="","",IF($J991&lt;=1500,N(INDEX('Daily Sale entry '!$AD$1:$AD$1501,$J991+1)),0))</f>
        <v/>
      </c>
      <c r="H991" s="6">
        <f>IF($J991="","",ROUND('Opening Balance'!$B$4+SUM($F$2:F991)-SUM($G$2:G991),2))</f>
        <v/>
      </c>
      <c r="J991" s="21">
        <f>IFERROR(MATCH(ROW()-1,$L$2:$L$3001,0),"")</f>
        <v/>
      </c>
      <c r="K991" s="34">
        <f>IF(AND('Daily Sale entry '!X991&lt;&gt;"",OR('Daily Sale entry '!AC991&lt;&gt;"",'Daily Sale entry '!AD991&lt;&gt;"")),'Daily Sale entry '!X991+ROW()/10000000,"")</f>
        <v/>
      </c>
      <c r="L991" s="21">
        <f>IF(K991="","",COUNTIF($K$2:$K$3001,"&lt;"&amp;K991)+1)</f>
        <v/>
      </c>
    </row>
    <row r="992">
      <c r="A992" s="5">
        <f>IF($J992="","",IF($J992&lt;=1500,INDEX('Daily Sale entry '!$X$1:$X$1501,$J992+1),INDEX('Daily Sale entry '!$V$1:$V$1501,$J992-1499)))</f>
        <v/>
      </c>
      <c r="B992">
        <f>IF($J992="","",IF($J992&lt;=1500,INDEX('Daily Sale entry '!$Y$1:$Y$1501,$J992+1)&amp;"","Buyer cheque banked 买家支票存入"&amp;IF(INDEX('Daily Sale entry '!$U$1:$U$1501,$J992-1499)="","", " - "&amp;INDEX('Daily Sale entry '!$U$1:$U$1501,$J992-1499))))</f>
        <v/>
      </c>
      <c r="C992">
        <f>IF($J992="","",IF($J992&lt;=1500,INDEX('Daily Sale entry '!$Z$1:$Z$1501,$J992+1)&amp;"","Cheque deposit 支票存入 (buyer 买家)"))</f>
        <v/>
      </c>
      <c r="D992">
        <f>IF($J992="","",IF($J992&lt;=1500,INDEX('Daily Sale entry '!$AA$1:$AA$1501,$J992+1)&amp;"",INDEX('Daily Sale entry '!$P$1:$P$1501,$J992-1499)&amp;""))</f>
        <v/>
      </c>
      <c r="E992">
        <f>IF($J992="","",IF($J992&lt;=1500,IF(N(INDEX('Daily Sale entry '!$AB$1:$AB$1501,$J992+1))=0,"",INDEX('Daily Sale entry '!$AB$1:$AB$1501,$J992+1)),1))</f>
        <v/>
      </c>
      <c r="F992" s="6">
        <f>IF($J992="","",IF($J992&lt;=1500,N(INDEX('Daily Sale entry '!$AC$1:$AC$1501,$J992+1))-IF(AND('Opening Balance'!$B$15=1,INDEX('Daily Sale entry '!$Z$1:$Z$1501,$J992+1)="Online collection 网上收款",INDEX('Daily Sale entry '!$AA$1:$AA$1501,$J992+1)&lt;&gt;""),N(INDEX('Daily Sale entry '!$AC$1:$AC$1501,$J992+1))-TRUNC(N(INDEX('Daily Sale entry '!$AC$1:$AC$1501,$J992+1))),0),N(INDEX('Daily Sale entry '!$S$1:$S$1501,$J992-1499))-'Opening Balance'!$B$15*(N(INDEX('Daily Sale entry '!$S$1:$S$1501,$J992-1499))-TRUNC(N(INDEX('Daily Sale entry '!$S$1:$S$1501,$J992-1499))))))</f>
        <v/>
      </c>
      <c r="G992" s="6">
        <f>IF($J992="","",IF($J992&lt;=1500,N(INDEX('Daily Sale entry '!$AD$1:$AD$1501,$J992+1)),0))</f>
        <v/>
      </c>
      <c r="H992" s="6">
        <f>IF($J992="","",ROUND('Opening Balance'!$B$4+SUM($F$2:F992)-SUM($G$2:G992),2))</f>
        <v/>
      </c>
      <c r="J992" s="21">
        <f>IFERROR(MATCH(ROW()-1,$L$2:$L$3001,0),"")</f>
        <v/>
      </c>
      <c r="K992" s="34">
        <f>IF(AND('Daily Sale entry '!X992&lt;&gt;"",OR('Daily Sale entry '!AC992&lt;&gt;"",'Daily Sale entry '!AD992&lt;&gt;"")),'Daily Sale entry '!X992+ROW()/10000000,"")</f>
        <v/>
      </c>
      <c r="L992" s="21">
        <f>IF(K992="","",COUNTIF($K$2:$K$3001,"&lt;"&amp;K992)+1)</f>
        <v/>
      </c>
    </row>
    <row r="993">
      <c r="A993" s="5">
        <f>IF($J993="","",IF($J993&lt;=1500,INDEX('Daily Sale entry '!$X$1:$X$1501,$J993+1),INDEX('Daily Sale entry '!$V$1:$V$1501,$J993-1499)))</f>
        <v/>
      </c>
      <c r="B993">
        <f>IF($J993="","",IF($J993&lt;=1500,INDEX('Daily Sale entry '!$Y$1:$Y$1501,$J993+1)&amp;"","Buyer cheque banked 买家支票存入"&amp;IF(INDEX('Daily Sale entry '!$U$1:$U$1501,$J993-1499)="","", " - "&amp;INDEX('Daily Sale entry '!$U$1:$U$1501,$J993-1499))))</f>
        <v/>
      </c>
      <c r="C993">
        <f>IF($J993="","",IF($J993&lt;=1500,INDEX('Daily Sale entry '!$Z$1:$Z$1501,$J993+1)&amp;"","Cheque deposit 支票存入 (buyer 买家)"))</f>
        <v/>
      </c>
      <c r="D993">
        <f>IF($J993="","",IF($J993&lt;=1500,INDEX('Daily Sale entry '!$AA$1:$AA$1501,$J993+1)&amp;"",INDEX('Daily Sale entry '!$P$1:$P$1501,$J993-1499)&amp;""))</f>
        <v/>
      </c>
      <c r="E993">
        <f>IF($J993="","",IF($J993&lt;=1500,IF(N(INDEX('Daily Sale entry '!$AB$1:$AB$1501,$J993+1))=0,"",INDEX('Daily Sale entry '!$AB$1:$AB$1501,$J993+1)),1))</f>
        <v/>
      </c>
      <c r="F993" s="6">
        <f>IF($J993="","",IF($J993&lt;=1500,N(INDEX('Daily Sale entry '!$AC$1:$AC$1501,$J993+1))-IF(AND('Opening Balance'!$B$15=1,INDEX('Daily Sale entry '!$Z$1:$Z$1501,$J993+1)="Online collection 网上收款",INDEX('Daily Sale entry '!$AA$1:$AA$1501,$J993+1)&lt;&gt;""),N(INDEX('Daily Sale entry '!$AC$1:$AC$1501,$J993+1))-TRUNC(N(INDEX('Daily Sale entry '!$AC$1:$AC$1501,$J993+1))),0),N(INDEX('Daily Sale entry '!$S$1:$S$1501,$J993-1499))-'Opening Balance'!$B$15*(N(INDEX('Daily Sale entry '!$S$1:$S$1501,$J993-1499))-TRUNC(N(INDEX('Daily Sale entry '!$S$1:$S$1501,$J993-1499))))))</f>
        <v/>
      </c>
      <c r="G993" s="6">
        <f>IF($J993="","",IF($J993&lt;=1500,N(INDEX('Daily Sale entry '!$AD$1:$AD$1501,$J993+1)),0))</f>
        <v/>
      </c>
      <c r="H993" s="6">
        <f>IF($J993="","",ROUND('Opening Balance'!$B$4+SUM($F$2:F993)-SUM($G$2:G993),2))</f>
        <v/>
      </c>
      <c r="J993" s="21">
        <f>IFERROR(MATCH(ROW()-1,$L$2:$L$3001,0),"")</f>
        <v/>
      </c>
      <c r="K993" s="34">
        <f>IF(AND('Daily Sale entry '!X993&lt;&gt;"",OR('Daily Sale entry '!AC993&lt;&gt;"",'Daily Sale entry '!AD993&lt;&gt;"")),'Daily Sale entry '!X993+ROW()/10000000,"")</f>
        <v/>
      </c>
      <c r="L993" s="21">
        <f>IF(K993="","",COUNTIF($K$2:$K$3001,"&lt;"&amp;K993)+1)</f>
        <v/>
      </c>
    </row>
    <row r="994">
      <c r="A994" s="5">
        <f>IF($J994="","",IF($J994&lt;=1500,INDEX('Daily Sale entry '!$X$1:$X$1501,$J994+1),INDEX('Daily Sale entry '!$V$1:$V$1501,$J994-1499)))</f>
        <v/>
      </c>
      <c r="B994">
        <f>IF($J994="","",IF($J994&lt;=1500,INDEX('Daily Sale entry '!$Y$1:$Y$1501,$J994+1)&amp;"","Buyer cheque banked 买家支票存入"&amp;IF(INDEX('Daily Sale entry '!$U$1:$U$1501,$J994-1499)="","", " - "&amp;INDEX('Daily Sale entry '!$U$1:$U$1501,$J994-1499))))</f>
        <v/>
      </c>
      <c r="C994">
        <f>IF($J994="","",IF($J994&lt;=1500,INDEX('Daily Sale entry '!$Z$1:$Z$1501,$J994+1)&amp;"","Cheque deposit 支票存入 (buyer 买家)"))</f>
        <v/>
      </c>
      <c r="D994">
        <f>IF($J994="","",IF($J994&lt;=1500,INDEX('Daily Sale entry '!$AA$1:$AA$1501,$J994+1)&amp;"",INDEX('Daily Sale entry '!$P$1:$P$1501,$J994-1499)&amp;""))</f>
        <v/>
      </c>
      <c r="E994">
        <f>IF($J994="","",IF($J994&lt;=1500,IF(N(INDEX('Daily Sale entry '!$AB$1:$AB$1501,$J994+1))=0,"",INDEX('Daily Sale entry '!$AB$1:$AB$1501,$J994+1)),1))</f>
        <v/>
      </c>
      <c r="F994" s="6">
        <f>IF($J994="","",IF($J994&lt;=1500,N(INDEX('Daily Sale entry '!$AC$1:$AC$1501,$J994+1))-IF(AND('Opening Balance'!$B$15=1,INDEX('Daily Sale entry '!$Z$1:$Z$1501,$J994+1)="Online collection 网上收款",INDEX('Daily Sale entry '!$AA$1:$AA$1501,$J994+1)&lt;&gt;""),N(INDEX('Daily Sale entry '!$AC$1:$AC$1501,$J994+1))-TRUNC(N(INDEX('Daily Sale entry '!$AC$1:$AC$1501,$J994+1))),0),N(INDEX('Daily Sale entry '!$S$1:$S$1501,$J994-1499))-'Opening Balance'!$B$15*(N(INDEX('Daily Sale entry '!$S$1:$S$1501,$J994-1499))-TRUNC(N(INDEX('Daily Sale entry '!$S$1:$S$1501,$J994-1499))))))</f>
        <v/>
      </c>
      <c r="G994" s="6">
        <f>IF($J994="","",IF($J994&lt;=1500,N(INDEX('Daily Sale entry '!$AD$1:$AD$1501,$J994+1)),0))</f>
        <v/>
      </c>
      <c r="H994" s="6">
        <f>IF($J994="","",ROUND('Opening Balance'!$B$4+SUM($F$2:F994)-SUM($G$2:G994),2))</f>
        <v/>
      </c>
      <c r="J994" s="21">
        <f>IFERROR(MATCH(ROW()-1,$L$2:$L$3001,0),"")</f>
        <v/>
      </c>
      <c r="K994" s="34">
        <f>IF(AND('Daily Sale entry '!X994&lt;&gt;"",OR('Daily Sale entry '!AC994&lt;&gt;"",'Daily Sale entry '!AD994&lt;&gt;"")),'Daily Sale entry '!X994+ROW()/10000000,"")</f>
        <v/>
      </c>
      <c r="L994" s="21">
        <f>IF(K994="","",COUNTIF($K$2:$K$3001,"&lt;"&amp;K994)+1)</f>
        <v/>
      </c>
    </row>
    <row r="995">
      <c r="A995" s="5">
        <f>IF($J995="","",IF($J995&lt;=1500,INDEX('Daily Sale entry '!$X$1:$X$1501,$J995+1),INDEX('Daily Sale entry '!$V$1:$V$1501,$J995-1499)))</f>
        <v/>
      </c>
      <c r="B995">
        <f>IF($J995="","",IF($J995&lt;=1500,INDEX('Daily Sale entry '!$Y$1:$Y$1501,$J995+1)&amp;"","Buyer cheque banked 买家支票存入"&amp;IF(INDEX('Daily Sale entry '!$U$1:$U$1501,$J995-1499)="","", " - "&amp;INDEX('Daily Sale entry '!$U$1:$U$1501,$J995-1499))))</f>
        <v/>
      </c>
      <c r="C995">
        <f>IF($J995="","",IF($J995&lt;=1500,INDEX('Daily Sale entry '!$Z$1:$Z$1501,$J995+1)&amp;"","Cheque deposit 支票存入 (buyer 买家)"))</f>
        <v/>
      </c>
      <c r="D995">
        <f>IF($J995="","",IF($J995&lt;=1500,INDEX('Daily Sale entry '!$AA$1:$AA$1501,$J995+1)&amp;"",INDEX('Daily Sale entry '!$P$1:$P$1501,$J995-1499)&amp;""))</f>
        <v/>
      </c>
      <c r="E995">
        <f>IF($J995="","",IF($J995&lt;=1500,IF(N(INDEX('Daily Sale entry '!$AB$1:$AB$1501,$J995+1))=0,"",INDEX('Daily Sale entry '!$AB$1:$AB$1501,$J995+1)),1))</f>
        <v/>
      </c>
      <c r="F995" s="6">
        <f>IF($J995="","",IF($J995&lt;=1500,N(INDEX('Daily Sale entry '!$AC$1:$AC$1501,$J995+1))-IF(AND('Opening Balance'!$B$15=1,INDEX('Daily Sale entry '!$Z$1:$Z$1501,$J995+1)="Online collection 网上收款",INDEX('Daily Sale entry '!$AA$1:$AA$1501,$J995+1)&lt;&gt;""),N(INDEX('Daily Sale entry '!$AC$1:$AC$1501,$J995+1))-TRUNC(N(INDEX('Daily Sale entry '!$AC$1:$AC$1501,$J995+1))),0),N(INDEX('Daily Sale entry '!$S$1:$S$1501,$J995-1499))-'Opening Balance'!$B$15*(N(INDEX('Daily Sale entry '!$S$1:$S$1501,$J995-1499))-TRUNC(N(INDEX('Daily Sale entry '!$S$1:$S$1501,$J995-1499))))))</f>
        <v/>
      </c>
      <c r="G995" s="6">
        <f>IF($J995="","",IF($J995&lt;=1500,N(INDEX('Daily Sale entry '!$AD$1:$AD$1501,$J995+1)),0))</f>
        <v/>
      </c>
      <c r="H995" s="6">
        <f>IF($J995="","",ROUND('Opening Balance'!$B$4+SUM($F$2:F995)-SUM($G$2:G995),2))</f>
        <v/>
      </c>
      <c r="J995" s="21">
        <f>IFERROR(MATCH(ROW()-1,$L$2:$L$3001,0),"")</f>
        <v/>
      </c>
      <c r="K995" s="34">
        <f>IF(AND('Daily Sale entry '!X995&lt;&gt;"",OR('Daily Sale entry '!AC995&lt;&gt;"",'Daily Sale entry '!AD995&lt;&gt;"")),'Daily Sale entry '!X995+ROW()/10000000,"")</f>
        <v/>
      </c>
      <c r="L995" s="21">
        <f>IF(K995="","",COUNTIF($K$2:$K$3001,"&lt;"&amp;K995)+1)</f>
        <v/>
      </c>
    </row>
    <row r="996">
      <c r="A996" s="5">
        <f>IF($J996="","",IF($J996&lt;=1500,INDEX('Daily Sale entry '!$X$1:$X$1501,$J996+1),INDEX('Daily Sale entry '!$V$1:$V$1501,$J996-1499)))</f>
        <v/>
      </c>
      <c r="B996">
        <f>IF($J996="","",IF($J996&lt;=1500,INDEX('Daily Sale entry '!$Y$1:$Y$1501,$J996+1)&amp;"","Buyer cheque banked 买家支票存入"&amp;IF(INDEX('Daily Sale entry '!$U$1:$U$1501,$J996-1499)="","", " - "&amp;INDEX('Daily Sale entry '!$U$1:$U$1501,$J996-1499))))</f>
        <v/>
      </c>
      <c r="C996">
        <f>IF($J996="","",IF($J996&lt;=1500,INDEX('Daily Sale entry '!$Z$1:$Z$1501,$J996+1)&amp;"","Cheque deposit 支票存入 (buyer 买家)"))</f>
        <v/>
      </c>
      <c r="D996">
        <f>IF($J996="","",IF($J996&lt;=1500,INDEX('Daily Sale entry '!$AA$1:$AA$1501,$J996+1)&amp;"",INDEX('Daily Sale entry '!$P$1:$P$1501,$J996-1499)&amp;""))</f>
        <v/>
      </c>
      <c r="E996">
        <f>IF($J996="","",IF($J996&lt;=1500,IF(N(INDEX('Daily Sale entry '!$AB$1:$AB$1501,$J996+1))=0,"",INDEX('Daily Sale entry '!$AB$1:$AB$1501,$J996+1)),1))</f>
        <v/>
      </c>
      <c r="F996" s="6">
        <f>IF($J996="","",IF($J996&lt;=1500,N(INDEX('Daily Sale entry '!$AC$1:$AC$1501,$J996+1))-IF(AND('Opening Balance'!$B$15=1,INDEX('Daily Sale entry '!$Z$1:$Z$1501,$J996+1)="Online collection 网上收款",INDEX('Daily Sale entry '!$AA$1:$AA$1501,$J996+1)&lt;&gt;""),N(INDEX('Daily Sale entry '!$AC$1:$AC$1501,$J996+1))-TRUNC(N(INDEX('Daily Sale entry '!$AC$1:$AC$1501,$J996+1))),0),N(INDEX('Daily Sale entry '!$S$1:$S$1501,$J996-1499))-'Opening Balance'!$B$15*(N(INDEX('Daily Sale entry '!$S$1:$S$1501,$J996-1499))-TRUNC(N(INDEX('Daily Sale entry '!$S$1:$S$1501,$J996-1499))))))</f>
        <v/>
      </c>
      <c r="G996" s="6">
        <f>IF($J996="","",IF($J996&lt;=1500,N(INDEX('Daily Sale entry '!$AD$1:$AD$1501,$J996+1)),0))</f>
        <v/>
      </c>
      <c r="H996" s="6">
        <f>IF($J996="","",ROUND('Opening Balance'!$B$4+SUM($F$2:F996)-SUM($G$2:G996),2))</f>
        <v/>
      </c>
      <c r="J996" s="21">
        <f>IFERROR(MATCH(ROW()-1,$L$2:$L$3001,0),"")</f>
        <v/>
      </c>
      <c r="K996" s="34">
        <f>IF(AND('Daily Sale entry '!X996&lt;&gt;"",OR('Daily Sale entry '!AC996&lt;&gt;"",'Daily Sale entry '!AD996&lt;&gt;"")),'Daily Sale entry '!X996+ROW()/10000000,"")</f>
        <v/>
      </c>
      <c r="L996" s="21">
        <f>IF(K996="","",COUNTIF($K$2:$K$3001,"&lt;"&amp;K996)+1)</f>
        <v/>
      </c>
    </row>
    <row r="997">
      <c r="A997" s="5">
        <f>IF($J997="","",IF($J997&lt;=1500,INDEX('Daily Sale entry '!$X$1:$X$1501,$J997+1),INDEX('Daily Sale entry '!$V$1:$V$1501,$J997-1499)))</f>
        <v/>
      </c>
      <c r="B997">
        <f>IF($J997="","",IF($J997&lt;=1500,INDEX('Daily Sale entry '!$Y$1:$Y$1501,$J997+1)&amp;"","Buyer cheque banked 买家支票存入"&amp;IF(INDEX('Daily Sale entry '!$U$1:$U$1501,$J997-1499)="","", " - "&amp;INDEX('Daily Sale entry '!$U$1:$U$1501,$J997-1499))))</f>
        <v/>
      </c>
      <c r="C997">
        <f>IF($J997="","",IF($J997&lt;=1500,INDEX('Daily Sale entry '!$Z$1:$Z$1501,$J997+1)&amp;"","Cheque deposit 支票存入 (buyer 买家)"))</f>
        <v/>
      </c>
      <c r="D997">
        <f>IF($J997="","",IF($J997&lt;=1500,INDEX('Daily Sale entry '!$AA$1:$AA$1501,$J997+1)&amp;"",INDEX('Daily Sale entry '!$P$1:$P$1501,$J997-1499)&amp;""))</f>
        <v/>
      </c>
      <c r="E997">
        <f>IF($J997="","",IF($J997&lt;=1500,IF(N(INDEX('Daily Sale entry '!$AB$1:$AB$1501,$J997+1))=0,"",INDEX('Daily Sale entry '!$AB$1:$AB$1501,$J997+1)),1))</f>
        <v/>
      </c>
      <c r="F997" s="6">
        <f>IF($J997="","",IF($J997&lt;=1500,N(INDEX('Daily Sale entry '!$AC$1:$AC$1501,$J997+1))-IF(AND('Opening Balance'!$B$15=1,INDEX('Daily Sale entry '!$Z$1:$Z$1501,$J997+1)="Online collection 网上收款",INDEX('Daily Sale entry '!$AA$1:$AA$1501,$J997+1)&lt;&gt;""),N(INDEX('Daily Sale entry '!$AC$1:$AC$1501,$J997+1))-TRUNC(N(INDEX('Daily Sale entry '!$AC$1:$AC$1501,$J997+1))),0),N(INDEX('Daily Sale entry '!$S$1:$S$1501,$J997-1499))-'Opening Balance'!$B$15*(N(INDEX('Daily Sale entry '!$S$1:$S$1501,$J997-1499))-TRUNC(N(INDEX('Daily Sale entry '!$S$1:$S$1501,$J997-1499))))))</f>
        <v/>
      </c>
      <c r="G997" s="6">
        <f>IF($J997="","",IF($J997&lt;=1500,N(INDEX('Daily Sale entry '!$AD$1:$AD$1501,$J997+1)),0))</f>
        <v/>
      </c>
      <c r="H997" s="6">
        <f>IF($J997="","",ROUND('Opening Balance'!$B$4+SUM($F$2:F997)-SUM($G$2:G997),2))</f>
        <v/>
      </c>
      <c r="J997" s="21">
        <f>IFERROR(MATCH(ROW()-1,$L$2:$L$3001,0),"")</f>
        <v/>
      </c>
      <c r="K997" s="34">
        <f>IF(AND('Daily Sale entry '!X997&lt;&gt;"",OR('Daily Sale entry '!AC997&lt;&gt;"",'Daily Sale entry '!AD997&lt;&gt;"")),'Daily Sale entry '!X997+ROW()/10000000,"")</f>
        <v/>
      </c>
      <c r="L997" s="21">
        <f>IF(K997="","",COUNTIF($K$2:$K$3001,"&lt;"&amp;K997)+1)</f>
        <v/>
      </c>
    </row>
    <row r="998">
      <c r="A998" s="5">
        <f>IF($J998="","",IF($J998&lt;=1500,INDEX('Daily Sale entry '!$X$1:$X$1501,$J998+1),INDEX('Daily Sale entry '!$V$1:$V$1501,$J998-1499)))</f>
        <v/>
      </c>
      <c r="B998">
        <f>IF($J998="","",IF($J998&lt;=1500,INDEX('Daily Sale entry '!$Y$1:$Y$1501,$J998+1)&amp;"","Buyer cheque banked 买家支票存入"&amp;IF(INDEX('Daily Sale entry '!$U$1:$U$1501,$J998-1499)="","", " - "&amp;INDEX('Daily Sale entry '!$U$1:$U$1501,$J998-1499))))</f>
        <v/>
      </c>
      <c r="C998">
        <f>IF($J998="","",IF($J998&lt;=1500,INDEX('Daily Sale entry '!$Z$1:$Z$1501,$J998+1)&amp;"","Cheque deposit 支票存入 (buyer 买家)"))</f>
        <v/>
      </c>
      <c r="D998">
        <f>IF($J998="","",IF($J998&lt;=1500,INDEX('Daily Sale entry '!$AA$1:$AA$1501,$J998+1)&amp;"",INDEX('Daily Sale entry '!$P$1:$P$1501,$J998-1499)&amp;""))</f>
        <v/>
      </c>
      <c r="E998">
        <f>IF($J998="","",IF($J998&lt;=1500,IF(N(INDEX('Daily Sale entry '!$AB$1:$AB$1501,$J998+1))=0,"",INDEX('Daily Sale entry '!$AB$1:$AB$1501,$J998+1)),1))</f>
        <v/>
      </c>
      <c r="F998" s="6">
        <f>IF($J998="","",IF($J998&lt;=1500,N(INDEX('Daily Sale entry '!$AC$1:$AC$1501,$J998+1))-IF(AND('Opening Balance'!$B$15=1,INDEX('Daily Sale entry '!$Z$1:$Z$1501,$J998+1)="Online collection 网上收款",INDEX('Daily Sale entry '!$AA$1:$AA$1501,$J998+1)&lt;&gt;""),N(INDEX('Daily Sale entry '!$AC$1:$AC$1501,$J998+1))-TRUNC(N(INDEX('Daily Sale entry '!$AC$1:$AC$1501,$J998+1))),0),N(INDEX('Daily Sale entry '!$S$1:$S$1501,$J998-1499))-'Opening Balance'!$B$15*(N(INDEX('Daily Sale entry '!$S$1:$S$1501,$J998-1499))-TRUNC(N(INDEX('Daily Sale entry '!$S$1:$S$1501,$J998-1499))))))</f>
        <v/>
      </c>
      <c r="G998" s="6">
        <f>IF($J998="","",IF($J998&lt;=1500,N(INDEX('Daily Sale entry '!$AD$1:$AD$1501,$J998+1)),0))</f>
        <v/>
      </c>
      <c r="H998" s="6">
        <f>IF($J998="","",ROUND('Opening Balance'!$B$4+SUM($F$2:F998)-SUM($G$2:G998),2))</f>
        <v/>
      </c>
      <c r="J998" s="21">
        <f>IFERROR(MATCH(ROW()-1,$L$2:$L$3001,0),"")</f>
        <v/>
      </c>
      <c r="K998" s="34">
        <f>IF(AND('Daily Sale entry '!X998&lt;&gt;"",OR('Daily Sale entry '!AC998&lt;&gt;"",'Daily Sale entry '!AD998&lt;&gt;"")),'Daily Sale entry '!X998+ROW()/10000000,"")</f>
        <v/>
      </c>
      <c r="L998" s="21">
        <f>IF(K998="","",COUNTIF($K$2:$K$3001,"&lt;"&amp;K998)+1)</f>
        <v/>
      </c>
    </row>
    <row r="999">
      <c r="A999" s="5">
        <f>IF($J999="","",IF($J999&lt;=1500,INDEX('Daily Sale entry '!$X$1:$X$1501,$J999+1),INDEX('Daily Sale entry '!$V$1:$V$1501,$J999-1499)))</f>
        <v/>
      </c>
      <c r="B999">
        <f>IF($J999="","",IF($J999&lt;=1500,INDEX('Daily Sale entry '!$Y$1:$Y$1501,$J999+1)&amp;"","Buyer cheque banked 买家支票存入"&amp;IF(INDEX('Daily Sale entry '!$U$1:$U$1501,$J999-1499)="","", " - "&amp;INDEX('Daily Sale entry '!$U$1:$U$1501,$J999-1499))))</f>
        <v/>
      </c>
      <c r="C999">
        <f>IF($J999="","",IF($J999&lt;=1500,INDEX('Daily Sale entry '!$Z$1:$Z$1501,$J999+1)&amp;"","Cheque deposit 支票存入 (buyer 买家)"))</f>
        <v/>
      </c>
      <c r="D999">
        <f>IF($J999="","",IF($J999&lt;=1500,INDEX('Daily Sale entry '!$AA$1:$AA$1501,$J999+1)&amp;"",INDEX('Daily Sale entry '!$P$1:$P$1501,$J999-1499)&amp;""))</f>
        <v/>
      </c>
      <c r="E999">
        <f>IF($J999="","",IF($J999&lt;=1500,IF(N(INDEX('Daily Sale entry '!$AB$1:$AB$1501,$J999+1))=0,"",INDEX('Daily Sale entry '!$AB$1:$AB$1501,$J999+1)),1))</f>
        <v/>
      </c>
      <c r="F999" s="6">
        <f>IF($J999="","",IF($J999&lt;=1500,N(INDEX('Daily Sale entry '!$AC$1:$AC$1501,$J999+1))-IF(AND('Opening Balance'!$B$15=1,INDEX('Daily Sale entry '!$Z$1:$Z$1501,$J999+1)="Online collection 网上收款",INDEX('Daily Sale entry '!$AA$1:$AA$1501,$J999+1)&lt;&gt;""),N(INDEX('Daily Sale entry '!$AC$1:$AC$1501,$J999+1))-TRUNC(N(INDEX('Daily Sale entry '!$AC$1:$AC$1501,$J999+1))),0),N(INDEX('Daily Sale entry '!$S$1:$S$1501,$J999-1499))-'Opening Balance'!$B$15*(N(INDEX('Daily Sale entry '!$S$1:$S$1501,$J999-1499))-TRUNC(N(INDEX('Daily Sale entry '!$S$1:$S$1501,$J999-1499))))))</f>
        <v/>
      </c>
      <c r="G999" s="6">
        <f>IF($J999="","",IF($J999&lt;=1500,N(INDEX('Daily Sale entry '!$AD$1:$AD$1501,$J999+1)),0))</f>
        <v/>
      </c>
      <c r="H999" s="6">
        <f>IF($J999="","",ROUND('Opening Balance'!$B$4+SUM($F$2:F999)-SUM($G$2:G999),2))</f>
        <v/>
      </c>
      <c r="J999" s="21">
        <f>IFERROR(MATCH(ROW()-1,$L$2:$L$3001,0),"")</f>
        <v/>
      </c>
      <c r="K999" s="34">
        <f>IF(AND('Daily Sale entry '!X999&lt;&gt;"",OR('Daily Sale entry '!AC999&lt;&gt;"",'Daily Sale entry '!AD999&lt;&gt;"")),'Daily Sale entry '!X999+ROW()/10000000,"")</f>
        <v/>
      </c>
      <c r="L999" s="21">
        <f>IF(K999="","",COUNTIF($K$2:$K$3001,"&lt;"&amp;K999)+1)</f>
        <v/>
      </c>
    </row>
    <row r="1000">
      <c r="A1000" s="5">
        <f>IF($J1000="","",IF($J1000&lt;=1500,INDEX('Daily Sale entry '!$X$1:$X$1501,$J1000+1),INDEX('Daily Sale entry '!$V$1:$V$1501,$J1000-1499)))</f>
        <v/>
      </c>
      <c r="B1000">
        <f>IF($J1000="","",IF($J1000&lt;=1500,INDEX('Daily Sale entry '!$Y$1:$Y$1501,$J1000+1)&amp;"","Buyer cheque banked 买家支票存入"&amp;IF(INDEX('Daily Sale entry '!$U$1:$U$1501,$J1000-1499)="","", " - "&amp;INDEX('Daily Sale entry '!$U$1:$U$1501,$J1000-1499))))</f>
        <v/>
      </c>
      <c r="C1000">
        <f>IF($J1000="","",IF($J1000&lt;=1500,INDEX('Daily Sale entry '!$Z$1:$Z$1501,$J1000+1)&amp;"","Cheque deposit 支票存入 (buyer 买家)"))</f>
        <v/>
      </c>
      <c r="D1000">
        <f>IF($J1000="","",IF($J1000&lt;=1500,INDEX('Daily Sale entry '!$AA$1:$AA$1501,$J1000+1)&amp;"",INDEX('Daily Sale entry '!$P$1:$P$1501,$J1000-1499)&amp;""))</f>
        <v/>
      </c>
      <c r="E1000">
        <f>IF($J1000="","",IF($J1000&lt;=1500,IF(N(INDEX('Daily Sale entry '!$AB$1:$AB$1501,$J1000+1))=0,"",INDEX('Daily Sale entry '!$AB$1:$AB$1501,$J1000+1)),1))</f>
        <v/>
      </c>
      <c r="F1000" s="6">
        <f>IF($J1000="","",IF($J1000&lt;=1500,N(INDEX('Daily Sale entry '!$AC$1:$AC$1501,$J1000+1))-IF(AND('Opening Balance'!$B$15=1,INDEX('Daily Sale entry '!$Z$1:$Z$1501,$J1000+1)="Online collection 网上收款",INDEX('Daily Sale entry '!$AA$1:$AA$1501,$J1000+1)&lt;&gt;""),N(INDEX('Daily Sale entry '!$AC$1:$AC$1501,$J1000+1))-TRUNC(N(INDEX('Daily Sale entry '!$AC$1:$AC$1501,$J1000+1))),0),N(INDEX('Daily Sale entry '!$S$1:$S$1501,$J1000-1499))-'Opening Balance'!$B$15*(N(INDEX('Daily Sale entry '!$S$1:$S$1501,$J1000-1499))-TRUNC(N(INDEX('Daily Sale entry '!$S$1:$S$1501,$J1000-1499))))))</f>
        <v/>
      </c>
      <c r="G1000" s="6">
        <f>IF($J1000="","",IF($J1000&lt;=1500,N(INDEX('Daily Sale entry '!$AD$1:$AD$1501,$J1000+1)),0))</f>
        <v/>
      </c>
      <c r="H1000" s="6">
        <f>IF($J1000="","",ROUND('Opening Balance'!$B$4+SUM($F$2:F1000)-SUM($G$2:G1000),2))</f>
        <v/>
      </c>
      <c r="J1000" s="21">
        <f>IFERROR(MATCH(ROW()-1,$L$2:$L$3001,0),"")</f>
        <v/>
      </c>
      <c r="K1000" s="34">
        <f>IF(AND('Daily Sale entry '!X1000&lt;&gt;"",OR('Daily Sale entry '!AC1000&lt;&gt;"",'Daily Sale entry '!AD1000&lt;&gt;"")),'Daily Sale entry '!X1000+ROW()/10000000,"")</f>
        <v/>
      </c>
      <c r="L1000" s="21">
        <f>IF(K1000="","",COUNTIF($K$2:$K$3001,"&lt;"&amp;K1000)+1)</f>
        <v/>
      </c>
    </row>
    <row r="1001">
      <c r="A1001" s="5">
        <f>IF($J1001="","",IF($J1001&lt;=1500,INDEX('Daily Sale entry '!$X$1:$X$1501,$J1001+1),INDEX('Daily Sale entry '!$V$1:$V$1501,$J1001-1499)))</f>
        <v/>
      </c>
      <c r="B1001">
        <f>IF($J1001="","",IF($J1001&lt;=1500,INDEX('Daily Sale entry '!$Y$1:$Y$1501,$J1001+1)&amp;"","Buyer cheque banked 买家支票存入"&amp;IF(INDEX('Daily Sale entry '!$U$1:$U$1501,$J1001-1499)="","", " - "&amp;INDEX('Daily Sale entry '!$U$1:$U$1501,$J1001-1499))))</f>
        <v/>
      </c>
      <c r="C1001">
        <f>IF($J1001="","",IF($J1001&lt;=1500,INDEX('Daily Sale entry '!$Z$1:$Z$1501,$J1001+1)&amp;"","Cheque deposit 支票存入 (buyer 买家)"))</f>
        <v/>
      </c>
      <c r="D1001">
        <f>IF($J1001="","",IF($J1001&lt;=1500,INDEX('Daily Sale entry '!$AA$1:$AA$1501,$J1001+1)&amp;"",INDEX('Daily Sale entry '!$P$1:$P$1501,$J1001-1499)&amp;""))</f>
        <v/>
      </c>
      <c r="E1001">
        <f>IF($J1001="","",IF($J1001&lt;=1500,IF(N(INDEX('Daily Sale entry '!$AB$1:$AB$1501,$J1001+1))=0,"",INDEX('Daily Sale entry '!$AB$1:$AB$1501,$J1001+1)),1))</f>
        <v/>
      </c>
      <c r="F1001" s="6">
        <f>IF($J1001="","",IF($J1001&lt;=1500,N(INDEX('Daily Sale entry '!$AC$1:$AC$1501,$J1001+1))-IF(AND('Opening Balance'!$B$15=1,INDEX('Daily Sale entry '!$Z$1:$Z$1501,$J1001+1)="Online collection 网上收款",INDEX('Daily Sale entry '!$AA$1:$AA$1501,$J1001+1)&lt;&gt;""),N(INDEX('Daily Sale entry '!$AC$1:$AC$1501,$J1001+1))-TRUNC(N(INDEX('Daily Sale entry '!$AC$1:$AC$1501,$J1001+1))),0),N(INDEX('Daily Sale entry '!$S$1:$S$1501,$J1001-1499))-'Opening Balance'!$B$15*(N(INDEX('Daily Sale entry '!$S$1:$S$1501,$J1001-1499))-TRUNC(N(INDEX('Daily Sale entry '!$S$1:$S$1501,$J1001-1499))))))</f>
        <v/>
      </c>
      <c r="G1001" s="6">
        <f>IF($J1001="","",IF($J1001&lt;=1500,N(INDEX('Daily Sale entry '!$AD$1:$AD$1501,$J1001+1)),0))</f>
        <v/>
      </c>
      <c r="H1001" s="6">
        <f>IF($J1001="","",ROUND('Opening Balance'!$B$4+SUM($F$2:F1001)-SUM($G$2:G1001),2))</f>
        <v/>
      </c>
      <c r="J1001" s="21">
        <f>IFERROR(MATCH(ROW()-1,$L$2:$L$3001,0),"")</f>
        <v/>
      </c>
      <c r="K1001" s="34">
        <f>IF(AND('Daily Sale entry '!X1001&lt;&gt;"",OR('Daily Sale entry '!AC1001&lt;&gt;"",'Daily Sale entry '!AD1001&lt;&gt;"")),'Daily Sale entry '!X1001+ROW()/10000000,"")</f>
        <v/>
      </c>
      <c r="L1001" s="21">
        <f>IF(K1001="","",COUNTIF($K$2:$K$3001,"&lt;"&amp;K1001)+1)</f>
        <v/>
      </c>
    </row>
    <row r="1002">
      <c r="A1002" s="5">
        <f>IF($J1002="","",IF($J1002&lt;=1500,INDEX('Daily Sale entry '!$X$1:$X$1501,$J1002+1),INDEX('Daily Sale entry '!$V$1:$V$1501,$J1002-1499)))</f>
        <v/>
      </c>
      <c r="B1002">
        <f>IF($J1002="","",IF($J1002&lt;=1500,INDEX('Daily Sale entry '!$Y$1:$Y$1501,$J1002+1)&amp;"","Buyer cheque banked 买家支票存入"&amp;IF(INDEX('Daily Sale entry '!$U$1:$U$1501,$J1002-1499)="","", " - "&amp;INDEX('Daily Sale entry '!$U$1:$U$1501,$J1002-1499))))</f>
        <v/>
      </c>
      <c r="C1002">
        <f>IF($J1002="","",IF($J1002&lt;=1500,INDEX('Daily Sale entry '!$Z$1:$Z$1501,$J1002+1)&amp;"","Cheque deposit 支票存入 (buyer 买家)"))</f>
        <v/>
      </c>
      <c r="D1002">
        <f>IF($J1002="","",IF($J1002&lt;=1500,INDEX('Daily Sale entry '!$AA$1:$AA$1501,$J1002+1)&amp;"",INDEX('Daily Sale entry '!$P$1:$P$1501,$J1002-1499)&amp;""))</f>
        <v/>
      </c>
      <c r="E1002">
        <f>IF($J1002="","",IF($J1002&lt;=1500,IF(N(INDEX('Daily Sale entry '!$AB$1:$AB$1501,$J1002+1))=0,"",INDEX('Daily Sale entry '!$AB$1:$AB$1501,$J1002+1)),1))</f>
        <v/>
      </c>
      <c r="F1002" s="6">
        <f>IF($J1002="","",IF($J1002&lt;=1500,N(INDEX('Daily Sale entry '!$AC$1:$AC$1501,$J1002+1))-IF(AND('Opening Balance'!$B$15=1,INDEX('Daily Sale entry '!$Z$1:$Z$1501,$J1002+1)="Online collection 网上收款",INDEX('Daily Sale entry '!$AA$1:$AA$1501,$J1002+1)&lt;&gt;""),N(INDEX('Daily Sale entry '!$AC$1:$AC$1501,$J1002+1))-TRUNC(N(INDEX('Daily Sale entry '!$AC$1:$AC$1501,$J1002+1))),0),N(INDEX('Daily Sale entry '!$S$1:$S$1501,$J1002-1499))-'Opening Balance'!$B$15*(N(INDEX('Daily Sale entry '!$S$1:$S$1501,$J1002-1499))-TRUNC(N(INDEX('Daily Sale entry '!$S$1:$S$1501,$J1002-1499))))))</f>
        <v/>
      </c>
      <c r="G1002" s="6">
        <f>IF($J1002="","",IF($J1002&lt;=1500,N(INDEX('Daily Sale entry '!$AD$1:$AD$1501,$J1002+1)),0))</f>
        <v/>
      </c>
      <c r="H1002" s="6">
        <f>IF($J1002="","",ROUND('Opening Balance'!$B$4+SUM($F$2:F1002)-SUM($G$2:G1002),2))</f>
        <v/>
      </c>
      <c r="J1002" s="21">
        <f>IFERROR(MATCH(ROW()-1,$L$2:$L$3001,0),"")</f>
        <v/>
      </c>
      <c r="K1002" s="34">
        <f>IF(AND('Daily Sale entry '!X1002&lt;&gt;"",OR('Daily Sale entry '!AC1002&lt;&gt;"",'Daily Sale entry '!AD1002&lt;&gt;"")),'Daily Sale entry '!X1002+ROW()/10000000,"")</f>
        <v/>
      </c>
      <c r="L1002" s="21">
        <f>IF(K1002="","",COUNTIF($K$2:$K$3001,"&lt;"&amp;K1002)+1)</f>
        <v/>
      </c>
    </row>
    <row r="1003">
      <c r="A1003" s="5">
        <f>IF($J1003="","",IF($J1003&lt;=1500,INDEX('Daily Sale entry '!$X$1:$X$1501,$J1003+1),INDEX('Daily Sale entry '!$V$1:$V$1501,$J1003-1499)))</f>
        <v/>
      </c>
      <c r="B1003">
        <f>IF($J1003="","",IF($J1003&lt;=1500,INDEX('Daily Sale entry '!$Y$1:$Y$1501,$J1003+1)&amp;"","Buyer cheque banked 买家支票存入"&amp;IF(INDEX('Daily Sale entry '!$U$1:$U$1501,$J1003-1499)="","", " - "&amp;INDEX('Daily Sale entry '!$U$1:$U$1501,$J1003-1499))))</f>
        <v/>
      </c>
      <c r="C1003">
        <f>IF($J1003="","",IF($J1003&lt;=1500,INDEX('Daily Sale entry '!$Z$1:$Z$1501,$J1003+1)&amp;"","Cheque deposit 支票存入 (buyer 买家)"))</f>
        <v/>
      </c>
      <c r="D1003">
        <f>IF($J1003="","",IF($J1003&lt;=1500,INDEX('Daily Sale entry '!$AA$1:$AA$1501,$J1003+1)&amp;"",INDEX('Daily Sale entry '!$P$1:$P$1501,$J1003-1499)&amp;""))</f>
        <v/>
      </c>
      <c r="E1003">
        <f>IF($J1003="","",IF($J1003&lt;=1500,IF(N(INDEX('Daily Sale entry '!$AB$1:$AB$1501,$J1003+1))=0,"",INDEX('Daily Sale entry '!$AB$1:$AB$1501,$J1003+1)),1))</f>
        <v/>
      </c>
      <c r="F1003" s="6">
        <f>IF($J1003="","",IF($J1003&lt;=1500,N(INDEX('Daily Sale entry '!$AC$1:$AC$1501,$J1003+1))-IF(AND('Opening Balance'!$B$15=1,INDEX('Daily Sale entry '!$Z$1:$Z$1501,$J1003+1)="Online collection 网上收款",INDEX('Daily Sale entry '!$AA$1:$AA$1501,$J1003+1)&lt;&gt;""),N(INDEX('Daily Sale entry '!$AC$1:$AC$1501,$J1003+1))-TRUNC(N(INDEX('Daily Sale entry '!$AC$1:$AC$1501,$J1003+1))),0),N(INDEX('Daily Sale entry '!$S$1:$S$1501,$J1003-1499))-'Opening Balance'!$B$15*(N(INDEX('Daily Sale entry '!$S$1:$S$1501,$J1003-1499))-TRUNC(N(INDEX('Daily Sale entry '!$S$1:$S$1501,$J1003-1499))))))</f>
        <v/>
      </c>
      <c r="G1003" s="6">
        <f>IF($J1003="","",IF($J1003&lt;=1500,N(INDEX('Daily Sale entry '!$AD$1:$AD$1501,$J1003+1)),0))</f>
        <v/>
      </c>
      <c r="H1003" s="6">
        <f>IF($J1003="","",ROUND('Opening Balance'!$B$4+SUM($F$2:F1003)-SUM($G$2:G1003),2))</f>
        <v/>
      </c>
      <c r="J1003" s="21">
        <f>IFERROR(MATCH(ROW()-1,$L$2:$L$3001,0),"")</f>
        <v/>
      </c>
      <c r="K1003" s="34">
        <f>IF(AND('Daily Sale entry '!X1003&lt;&gt;"",OR('Daily Sale entry '!AC1003&lt;&gt;"",'Daily Sale entry '!AD1003&lt;&gt;"")),'Daily Sale entry '!X1003+ROW()/10000000,"")</f>
        <v/>
      </c>
      <c r="L1003" s="21">
        <f>IF(K1003="","",COUNTIF($K$2:$K$3001,"&lt;"&amp;K1003)+1)</f>
        <v/>
      </c>
    </row>
    <row r="1004">
      <c r="A1004" s="5">
        <f>IF($J1004="","",IF($J1004&lt;=1500,INDEX('Daily Sale entry '!$X$1:$X$1501,$J1004+1),INDEX('Daily Sale entry '!$V$1:$V$1501,$J1004-1499)))</f>
        <v/>
      </c>
      <c r="B1004">
        <f>IF($J1004="","",IF($J1004&lt;=1500,INDEX('Daily Sale entry '!$Y$1:$Y$1501,$J1004+1)&amp;"","Buyer cheque banked 买家支票存入"&amp;IF(INDEX('Daily Sale entry '!$U$1:$U$1501,$J1004-1499)="","", " - "&amp;INDEX('Daily Sale entry '!$U$1:$U$1501,$J1004-1499))))</f>
        <v/>
      </c>
      <c r="C1004">
        <f>IF($J1004="","",IF($J1004&lt;=1500,INDEX('Daily Sale entry '!$Z$1:$Z$1501,$J1004+1)&amp;"","Cheque deposit 支票存入 (buyer 买家)"))</f>
        <v/>
      </c>
      <c r="D1004">
        <f>IF($J1004="","",IF($J1004&lt;=1500,INDEX('Daily Sale entry '!$AA$1:$AA$1501,$J1004+1)&amp;"",INDEX('Daily Sale entry '!$P$1:$P$1501,$J1004-1499)&amp;""))</f>
        <v/>
      </c>
      <c r="E1004">
        <f>IF($J1004="","",IF($J1004&lt;=1500,IF(N(INDEX('Daily Sale entry '!$AB$1:$AB$1501,$J1004+1))=0,"",INDEX('Daily Sale entry '!$AB$1:$AB$1501,$J1004+1)),1))</f>
        <v/>
      </c>
      <c r="F1004" s="6">
        <f>IF($J1004="","",IF($J1004&lt;=1500,N(INDEX('Daily Sale entry '!$AC$1:$AC$1501,$J1004+1))-IF(AND('Opening Balance'!$B$15=1,INDEX('Daily Sale entry '!$Z$1:$Z$1501,$J1004+1)="Online collection 网上收款",INDEX('Daily Sale entry '!$AA$1:$AA$1501,$J1004+1)&lt;&gt;""),N(INDEX('Daily Sale entry '!$AC$1:$AC$1501,$J1004+1))-TRUNC(N(INDEX('Daily Sale entry '!$AC$1:$AC$1501,$J1004+1))),0),N(INDEX('Daily Sale entry '!$S$1:$S$1501,$J1004-1499))-'Opening Balance'!$B$15*(N(INDEX('Daily Sale entry '!$S$1:$S$1501,$J1004-1499))-TRUNC(N(INDEX('Daily Sale entry '!$S$1:$S$1501,$J1004-1499))))))</f>
        <v/>
      </c>
      <c r="G1004" s="6">
        <f>IF($J1004="","",IF($J1004&lt;=1500,N(INDEX('Daily Sale entry '!$AD$1:$AD$1501,$J1004+1)),0))</f>
        <v/>
      </c>
      <c r="H1004" s="6">
        <f>IF($J1004="","",ROUND('Opening Balance'!$B$4+SUM($F$2:F1004)-SUM($G$2:G1004),2))</f>
        <v/>
      </c>
      <c r="J1004" s="21">
        <f>IFERROR(MATCH(ROW()-1,$L$2:$L$3001,0),"")</f>
        <v/>
      </c>
      <c r="K1004" s="34">
        <f>IF(AND('Daily Sale entry '!X1004&lt;&gt;"",OR('Daily Sale entry '!AC1004&lt;&gt;"",'Daily Sale entry '!AD1004&lt;&gt;"")),'Daily Sale entry '!X1004+ROW()/10000000,"")</f>
        <v/>
      </c>
      <c r="L1004" s="21">
        <f>IF(K1004="","",COUNTIF($K$2:$K$3001,"&lt;"&amp;K1004)+1)</f>
        <v/>
      </c>
    </row>
    <row r="1005">
      <c r="A1005" s="5">
        <f>IF($J1005="","",IF($J1005&lt;=1500,INDEX('Daily Sale entry '!$X$1:$X$1501,$J1005+1),INDEX('Daily Sale entry '!$V$1:$V$1501,$J1005-1499)))</f>
        <v/>
      </c>
      <c r="B1005">
        <f>IF($J1005="","",IF($J1005&lt;=1500,INDEX('Daily Sale entry '!$Y$1:$Y$1501,$J1005+1)&amp;"","Buyer cheque banked 买家支票存入"&amp;IF(INDEX('Daily Sale entry '!$U$1:$U$1501,$J1005-1499)="","", " - "&amp;INDEX('Daily Sale entry '!$U$1:$U$1501,$J1005-1499))))</f>
        <v/>
      </c>
      <c r="C1005">
        <f>IF($J1005="","",IF($J1005&lt;=1500,INDEX('Daily Sale entry '!$Z$1:$Z$1501,$J1005+1)&amp;"","Cheque deposit 支票存入 (buyer 买家)"))</f>
        <v/>
      </c>
      <c r="D1005">
        <f>IF($J1005="","",IF($J1005&lt;=1500,INDEX('Daily Sale entry '!$AA$1:$AA$1501,$J1005+1)&amp;"",INDEX('Daily Sale entry '!$P$1:$P$1501,$J1005-1499)&amp;""))</f>
        <v/>
      </c>
      <c r="E1005">
        <f>IF($J1005="","",IF($J1005&lt;=1500,IF(N(INDEX('Daily Sale entry '!$AB$1:$AB$1501,$J1005+1))=0,"",INDEX('Daily Sale entry '!$AB$1:$AB$1501,$J1005+1)),1))</f>
        <v/>
      </c>
      <c r="F1005" s="6">
        <f>IF($J1005="","",IF($J1005&lt;=1500,N(INDEX('Daily Sale entry '!$AC$1:$AC$1501,$J1005+1))-IF(AND('Opening Balance'!$B$15=1,INDEX('Daily Sale entry '!$Z$1:$Z$1501,$J1005+1)="Online collection 网上收款",INDEX('Daily Sale entry '!$AA$1:$AA$1501,$J1005+1)&lt;&gt;""),N(INDEX('Daily Sale entry '!$AC$1:$AC$1501,$J1005+1))-TRUNC(N(INDEX('Daily Sale entry '!$AC$1:$AC$1501,$J1005+1))),0),N(INDEX('Daily Sale entry '!$S$1:$S$1501,$J1005-1499))-'Opening Balance'!$B$15*(N(INDEX('Daily Sale entry '!$S$1:$S$1501,$J1005-1499))-TRUNC(N(INDEX('Daily Sale entry '!$S$1:$S$1501,$J1005-1499))))))</f>
        <v/>
      </c>
      <c r="G1005" s="6">
        <f>IF($J1005="","",IF($J1005&lt;=1500,N(INDEX('Daily Sale entry '!$AD$1:$AD$1501,$J1005+1)),0))</f>
        <v/>
      </c>
      <c r="H1005" s="6">
        <f>IF($J1005="","",ROUND('Opening Balance'!$B$4+SUM($F$2:F1005)-SUM($G$2:G1005),2))</f>
        <v/>
      </c>
      <c r="J1005" s="21">
        <f>IFERROR(MATCH(ROW()-1,$L$2:$L$3001,0),"")</f>
        <v/>
      </c>
      <c r="K1005" s="34">
        <f>IF(AND('Daily Sale entry '!X1005&lt;&gt;"",OR('Daily Sale entry '!AC1005&lt;&gt;"",'Daily Sale entry '!AD1005&lt;&gt;"")),'Daily Sale entry '!X1005+ROW()/10000000,"")</f>
        <v/>
      </c>
      <c r="L1005" s="21">
        <f>IF(K1005="","",COUNTIF($K$2:$K$3001,"&lt;"&amp;K1005)+1)</f>
        <v/>
      </c>
    </row>
    <row r="1006">
      <c r="A1006" s="5">
        <f>IF($J1006="","",IF($J1006&lt;=1500,INDEX('Daily Sale entry '!$X$1:$X$1501,$J1006+1),INDEX('Daily Sale entry '!$V$1:$V$1501,$J1006-1499)))</f>
        <v/>
      </c>
      <c r="B1006">
        <f>IF($J1006="","",IF($J1006&lt;=1500,INDEX('Daily Sale entry '!$Y$1:$Y$1501,$J1006+1)&amp;"","Buyer cheque banked 买家支票存入"&amp;IF(INDEX('Daily Sale entry '!$U$1:$U$1501,$J1006-1499)="","", " - "&amp;INDEX('Daily Sale entry '!$U$1:$U$1501,$J1006-1499))))</f>
        <v/>
      </c>
      <c r="C1006">
        <f>IF($J1006="","",IF($J1006&lt;=1500,INDEX('Daily Sale entry '!$Z$1:$Z$1501,$J1006+1)&amp;"","Cheque deposit 支票存入 (buyer 买家)"))</f>
        <v/>
      </c>
      <c r="D1006">
        <f>IF($J1006="","",IF($J1006&lt;=1500,INDEX('Daily Sale entry '!$AA$1:$AA$1501,$J1006+1)&amp;"",INDEX('Daily Sale entry '!$P$1:$P$1501,$J1006-1499)&amp;""))</f>
        <v/>
      </c>
      <c r="E1006">
        <f>IF($J1006="","",IF($J1006&lt;=1500,IF(N(INDEX('Daily Sale entry '!$AB$1:$AB$1501,$J1006+1))=0,"",INDEX('Daily Sale entry '!$AB$1:$AB$1501,$J1006+1)),1))</f>
        <v/>
      </c>
      <c r="F1006" s="6">
        <f>IF($J1006="","",IF($J1006&lt;=1500,N(INDEX('Daily Sale entry '!$AC$1:$AC$1501,$J1006+1))-IF(AND('Opening Balance'!$B$15=1,INDEX('Daily Sale entry '!$Z$1:$Z$1501,$J1006+1)="Online collection 网上收款",INDEX('Daily Sale entry '!$AA$1:$AA$1501,$J1006+1)&lt;&gt;""),N(INDEX('Daily Sale entry '!$AC$1:$AC$1501,$J1006+1))-TRUNC(N(INDEX('Daily Sale entry '!$AC$1:$AC$1501,$J1006+1))),0),N(INDEX('Daily Sale entry '!$S$1:$S$1501,$J1006-1499))-'Opening Balance'!$B$15*(N(INDEX('Daily Sale entry '!$S$1:$S$1501,$J1006-1499))-TRUNC(N(INDEX('Daily Sale entry '!$S$1:$S$1501,$J1006-1499))))))</f>
        <v/>
      </c>
      <c r="G1006" s="6">
        <f>IF($J1006="","",IF($J1006&lt;=1500,N(INDEX('Daily Sale entry '!$AD$1:$AD$1501,$J1006+1)),0))</f>
        <v/>
      </c>
      <c r="H1006" s="6">
        <f>IF($J1006="","",ROUND('Opening Balance'!$B$4+SUM($F$2:F1006)-SUM($G$2:G1006),2))</f>
        <v/>
      </c>
      <c r="J1006" s="21">
        <f>IFERROR(MATCH(ROW()-1,$L$2:$L$3001,0),"")</f>
        <v/>
      </c>
      <c r="K1006" s="34">
        <f>IF(AND('Daily Sale entry '!X1006&lt;&gt;"",OR('Daily Sale entry '!AC1006&lt;&gt;"",'Daily Sale entry '!AD1006&lt;&gt;"")),'Daily Sale entry '!X1006+ROW()/10000000,"")</f>
        <v/>
      </c>
      <c r="L1006" s="21">
        <f>IF(K1006="","",COUNTIF($K$2:$K$3001,"&lt;"&amp;K1006)+1)</f>
        <v/>
      </c>
    </row>
    <row r="1007">
      <c r="A1007" s="5">
        <f>IF($J1007="","",IF($J1007&lt;=1500,INDEX('Daily Sale entry '!$X$1:$X$1501,$J1007+1),INDEX('Daily Sale entry '!$V$1:$V$1501,$J1007-1499)))</f>
        <v/>
      </c>
      <c r="B1007">
        <f>IF($J1007="","",IF($J1007&lt;=1500,INDEX('Daily Sale entry '!$Y$1:$Y$1501,$J1007+1)&amp;"","Buyer cheque banked 买家支票存入"&amp;IF(INDEX('Daily Sale entry '!$U$1:$U$1501,$J1007-1499)="","", " - "&amp;INDEX('Daily Sale entry '!$U$1:$U$1501,$J1007-1499))))</f>
        <v/>
      </c>
      <c r="C1007">
        <f>IF($J1007="","",IF($J1007&lt;=1500,INDEX('Daily Sale entry '!$Z$1:$Z$1501,$J1007+1)&amp;"","Cheque deposit 支票存入 (buyer 买家)"))</f>
        <v/>
      </c>
      <c r="D1007">
        <f>IF($J1007="","",IF($J1007&lt;=1500,INDEX('Daily Sale entry '!$AA$1:$AA$1501,$J1007+1)&amp;"",INDEX('Daily Sale entry '!$P$1:$P$1501,$J1007-1499)&amp;""))</f>
        <v/>
      </c>
      <c r="E1007">
        <f>IF($J1007="","",IF($J1007&lt;=1500,IF(N(INDEX('Daily Sale entry '!$AB$1:$AB$1501,$J1007+1))=0,"",INDEX('Daily Sale entry '!$AB$1:$AB$1501,$J1007+1)),1))</f>
        <v/>
      </c>
      <c r="F1007" s="6">
        <f>IF($J1007="","",IF($J1007&lt;=1500,N(INDEX('Daily Sale entry '!$AC$1:$AC$1501,$J1007+1))-IF(AND('Opening Balance'!$B$15=1,INDEX('Daily Sale entry '!$Z$1:$Z$1501,$J1007+1)="Online collection 网上收款",INDEX('Daily Sale entry '!$AA$1:$AA$1501,$J1007+1)&lt;&gt;""),N(INDEX('Daily Sale entry '!$AC$1:$AC$1501,$J1007+1))-TRUNC(N(INDEX('Daily Sale entry '!$AC$1:$AC$1501,$J1007+1))),0),N(INDEX('Daily Sale entry '!$S$1:$S$1501,$J1007-1499))-'Opening Balance'!$B$15*(N(INDEX('Daily Sale entry '!$S$1:$S$1501,$J1007-1499))-TRUNC(N(INDEX('Daily Sale entry '!$S$1:$S$1501,$J1007-1499))))))</f>
        <v/>
      </c>
      <c r="G1007" s="6">
        <f>IF($J1007="","",IF($J1007&lt;=1500,N(INDEX('Daily Sale entry '!$AD$1:$AD$1501,$J1007+1)),0))</f>
        <v/>
      </c>
      <c r="H1007" s="6">
        <f>IF($J1007="","",ROUND('Opening Balance'!$B$4+SUM($F$2:F1007)-SUM($G$2:G1007),2))</f>
        <v/>
      </c>
      <c r="J1007" s="21">
        <f>IFERROR(MATCH(ROW()-1,$L$2:$L$3001,0),"")</f>
        <v/>
      </c>
      <c r="K1007" s="34">
        <f>IF(AND('Daily Sale entry '!X1007&lt;&gt;"",OR('Daily Sale entry '!AC1007&lt;&gt;"",'Daily Sale entry '!AD1007&lt;&gt;"")),'Daily Sale entry '!X1007+ROW()/10000000,"")</f>
        <v/>
      </c>
      <c r="L1007" s="21">
        <f>IF(K1007="","",COUNTIF($K$2:$K$3001,"&lt;"&amp;K1007)+1)</f>
        <v/>
      </c>
    </row>
    <row r="1008">
      <c r="A1008" s="5">
        <f>IF($J1008="","",IF($J1008&lt;=1500,INDEX('Daily Sale entry '!$X$1:$X$1501,$J1008+1),INDEX('Daily Sale entry '!$V$1:$V$1501,$J1008-1499)))</f>
        <v/>
      </c>
      <c r="B1008">
        <f>IF($J1008="","",IF($J1008&lt;=1500,INDEX('Daily Sale entry '!$Y$1:$Y$1501,$J1008+1)&amp;"","Buyer cheque banked 买家支票存入"&amp;IF(INDEX('Daily Sale entry '!$U$1:$U$1501,$J1008-1499)="","", " - "&amp;INDEX('Daily Sale entry '!$U$1:$U$1501,$J1008-1499))))</f>
        <v/>
      </c>
      <c r="C1008">
        <f>IF($J1008="","",IF($J1008&lt;=1500,INDEX('Daily Sale entry '!$Z$1:$Z$1501,$J1008+1)&amp;"","Cheque deposit 支票存入 (buyer 买家)"))</f>
        <v/>
      </c>
      <c r="D1008">
        <f>IF($J1008="","",IF($J1008&lt;=1500,INDEX('Daily Sale entry '!$AA$1:$AA$1501,$J1008+1)&amp;"",INDEX('Daily Sale entry '!$P$1:$P$1501,$J1008-1499)&amp;""))</f>
        <v/>
      </c>
      <c r="E1008">
        <f>IF($J1008="","",IF($J1008&lt;=1500,IF(N(INDEX('Daily Sale entry '!$AB$1:$AB$1501,$J1008+1))=0,"",INDEX('Daily Sale entry '!$AB$1:$AB$1501,$J1008+1)),1))</f>
        <v/>
      </c>
      <c r="F1008" s="6">
        <f>IF($J1008="","",IF($J1008&lt;=1500,N(INDEX('Daily Sale entry '!$AC$1:$AC$1501,$J1008+1))-IF(AND('Opening Balance'!$B$15=1,INDEX('Daily Sale entry '!$Z$1:$Z$1501,$J1008+1)="Online collection 网上收款",INDEX('Daily Sale entry '!$AA$1:$AA$1501,$J1008+1)&lt;&gt;""),N(INDEX('Daily Sale entry '!$AC$1:$AC$1501,$J1008+1))-TRUNC(N(INDEX('Daily Sale entry '!$AC$1:$AC$1501,$J1008+1))),0),N(INDEX('Daily Sale entry '!$S$1:$S$1501,$J1008-1499))-'Opening Balance'!$B$15*(N(INDEX('Daily Sale entry '!$S$1:$S$1501,$J1008-1499))-TRUNC(N(INDEX('Daily Sale entry '!$S$1:$S$1501,$J1008-1499))))))</f>
        <v/>
      </c>
      <c r="G1008" s="6">
        <f>IF($J1008="","",IF($J1008&lt;=1500,N(INDEX('Daily Sale entry '!$AD$1:$AD$1501,$J1008+1)),0))</f>
        <v/>
      </c>
      <c r="H1008" s="6">
        <f>IF($J1008="","",ROUND('Opening Balance'!$B$4+SUM($F$2:F1008)-SUM($G$2:G1008),2))</f>
        <v/>
      </c>
      <c r="J1008" s="21">
        <f>IFERROR(MATCH(ROW()-1,$L$2:$L$3001,0),"")</f>
        <v/>
      </c>
      <c r="K1008" s="34">
        <f>IF(AND('Daily Sale entry '!X1008&lt;&gt;"",OR('Daily Sale entry '!AC1008&lt;&gt;"",'Daily Sale entry '!AD1008&lt;&gt;"")),'Daily Sale entry '!X1008+ROW()/10000000,"")</f>
        <v/>
      </c>
      <c r="L1008" s="21">
        <f>IF(K1008="","",COUNTIF($K$2:$K$3001,"&lt;"&amp;K1008)+1)</f>
        <v/>
      </c>
    </row>
    <row r="1009">
      <c r="A1009" s="5">
        <f>IF($J1009="","",IF($J1009&lt;=1500,INDEX('Daily Sale entry '!$X$1:$X$1501,$J1009+1),INDEX('Daily Sale entry '!$V$1:$V$1501,$J1009-1499)))</f>
        <v/>
      </c>
      <c r="B1009">
        <f>IF($J1009="","",IF($J1009&lt;=1500,INDEX('Daily Sale entry '!$Y$1:$Y$1501,$J1009+1)&amp;"","Buyer cheque banked 买家支票存入"&amp;IF(INDEX('Daily Sale entry '!$U$1:$U$1501,$J1009-1499)="","", " - "&amp;INDEX('Daily Sale entry '!$U$1:$U$1501,$J1009-1499))))</f>
        <v/>
      </c>
      <c r="C1009">
        <f>IF($J1009="","",IF($J1009&lt;=1500,INDEX('Daily Sale entry '!$Z$1:$Z$1501,$J1009+1)&amp;"","Cheque deposit 支票存入 (buyer 买家)"))</f>
        <v/>
      </c>
      <c r="D1009">
        <f>IF($J1009="","",IF($J1009&lt;=1500,INDEX('Daily Sale entry '!$AA$1:$AA$1501,$J1009+1)&amp;"",INDEX('Daily Sale entry '!$P$1:$P$1501,$J1009-1499)&amp;""))</f>
        <v/>
      </c>
      <c r="E1009">
        <f>IF($J1009="","",IF($J1009&lt;=1500,IF(N(INDEX('Daily Sale entry '!$AB$1:$AB$1501,$J1009+1))=0,"",INDEX('Daily Sale entry '!$AB$1:$AB$1501,$J1009+1)),1))</f>
        <v/>
      </c>
      <c r="F1009" s="6">
        <f>IF($J1009="","",IF($J1009&lt;=1500,N(INDEX('Daily Sale entry '!$AC$1:$AC$1501,$J1009+1))-IF(AND('Opening Balance'!$B$15=1,INDEX('Daily Sale entry '!$Z$1:$Z$1501,$J1009+1)="Online collection 网上收款",INDEX('Daily Sale entry '!$AA$1:$AA$1501,$J1009+1)&lt;&gt;""),N(INDEX('Daily Sale entry '!$AC$1:$AC$1501,$J1009+1))-TRUNC(N(INDEX('Daily Sale entry '!$AC$1:$AC$1501,$J1009+1))),0),N(INDEX('Daily Sale entry '!$S$1:$S$1501,$J1009-1499))-'Opening Balance'!$B$15*(N(INDEX('Daily Sale entry '!$S$1:$S$1501,$J1009-1499))-TRUNC(N(INDEX('Daily Sale entry '!$S$1:$S$1501,$J1009-1499))))))</f>
        <v/>
      </c>
      <c r="G1009" s="6">
        <f>IF($J1009="","",IF($J1009&lt;=1500,N(INDEX('Daily Sale entry '!$AD$1:$AD$1501,$J1009+1)),0))</f>
        <v/>
      </c>
      <c r="H1009" s="6">
        <f>IF($J1009="","",ROUND('Opening Balance'!$B$4+SUM($F$2:F1009)-SUM($G$2:G1009),2))</f>
        <v/>
      </c>
      <c r="J1009" s="21">
        <f>IFERROR(MATCH(ROW()-1,$L$2:$L$3001,0),"")</f>
        <v/>
      </c>
      <c r="K1009" s="34">
        <f>IF(AND('Daily Sale entry '!X1009&lt;&gt;"",OR('Daily Sale entry '!AC1009&lt;&gt;"",'Daily Sale entry '!AD1009&lt;&gt;"")),'Daily Sale entry '!X1009+ROW()/10000000,"")</f>
        <v/>
      </c>
      <c r="L1009" s="21">
        <f>IF(K1009="","",COUNTIF($K$2:$K$3001,"&lt;"&amp;K1009)+1)</f>
        <v/>
      </c>
    </row>
    <row r="1010">
      <c r="A1010" s="5">
        <f>IF($J1010="","",IF($J1010&lt;=1500,INDEX('Daily Sale entry '!$X$1:$X$1501,$J1010+1),INDEX('Daily Sale entry '!$V$1:$V$1501,$J1010-1499)))</f>
        <v/>
      </c>
      <c r="B1010">
        <f>IF($J1010="","",IF($J1010&lt;=1500,INDEX('Daily Sale entry '!$Y$1:$Y$1501,$J1010+1)&amp;"","Buyer cheque banked 买家支票存入"&amp;IF(INDEX('Daily Sale entry '!$U$1:$U$1501,$J1010-1499)="","", " - "&amp;INDEX('Daily Sale entry '!$U$1:$U$1501,$J1010-1499))))</f>
        <v/>
      </c>
      <c r="C1010">
        <f>IF($J1010="","",IF($J1010&lt;=1500,INDEX('Daily Sale entry '!$Z$1:$Z$1501,$J1010+1)&amp;"","Cheque deposit 支票存入 (buyer 买家)"))</f>
        <v/>
      </c>
      <c r="D1010">
        <f>IF($J1010="","",IF($J1010&lt;=1500,INDEX('Daily Sale entry '!$AA$1:$AA$1501,$J1010+1)&amp;"",INDEX('Daily Sale entry '!$P$1:$P$1501,$J1010-1499)&amp;""))</f>
        <v/>
      </c>
      <c r="E1010">
        <f>IF($J1010="","",IF($J1010&lt;=1500,IF(N(INDEX('Daily Sale entry '!$AB$1:$AB$1501,$J1010+1))=0,"",INDEX('Daily Sale entry '!$AB$1:$AB$1501,$J1010+1)),1))</f>
        <v/>
      </c>
      <c r="F1010" s="6">
        <f>IF($J1010="","",IF($J1010&lt;=1500,N(INDEX('Daily Sale entry '!$AC$1:$AC$1501,$J1010+1))-IF(AND('Opening Balance'!$B$15=1,INDEX('Daily Sale entry '!$Z$1:$Z$1501,$J1010+1)="Online collection 网上收款",INDEX('Daily Sale entry '!$AA$1:$AA$1501,$J1010+1)&lt;&gt;""),N(INDEX('Daily Sale entry '!$AC$1:$AC$1501,$J1010+1))-TRUNC(N(INDEX('Daily Sale entry '!$AC$1:$AC$1501,$J1010+1))),0),N(INDEX('Daily Sale entry '!$S$1:$S$1501,$J1010-1499))-'Opening Balance'!$B$15*(N(INDEX('Daily Sale entry '!$S$1:$S$1501,$J1010-1499))-TRUNC(N(INDEX('Daily Sale entry '!$S$1:$S$1501,$J1010-1499))))))</f>
        <v/>
      </c>
      <c r="G1010" s="6">
        <f>IF($J1010="","",IF($J1010&lt;=1500,N(INDEX('Daily Sale entry '!$AD$1:$AD$1501,$J1010+1)),0))</f>
        <v/>
      </c>
      <c r="H1010" s="6">
        <f>IF($J1010="","",ROUND('Opening Balance'!$B$4+SUM($F$2:F1010)-SUM($G$2:G1010),2))</f>
        <v/>
      </c>
      <c r="J1010" s="21">
        <f>IFERROR(MATCH(ROW()-1,$L$2:$L$3001,0),"")</f>
        <v/>
      </c>
      <c r="K1010" s="34">
        <f>IF(AND('Daily Sale entry '!X1010&lt;&gt;"",OR('Daily Sale entry '!AC1010&lt;&gt;"",'Daily Sale entry '!AD1010&lt;&gt;"")),'Daily Sale entry '!X1010+ROW()/10000000,"")</f>
        <v/>
      </c>
      <c r="L1010" s="21">
        <f>IF(K1010="","",COUNTIF($K$2:$K$3001,"&lt;"&amp;K1010)+1)</f>
        <v/>
      </c>
    </row>
    <row r="1011">
      <c r="A1011" s="5">
        <f>IF($J1011="","",IF($J1011&lt;=1500,INDEX('Daily Sale entry '!$X$1:$X$1501,$J1011+1),INDEX('Daily Sale entry '!$V$1:$V$1501,$J1011-1499)))</f>
        <v/>
      </c>
      <c r="B1011">
        <f>IF($J1011="","",IF($J1011&lt;=1500,INDEX('Daily Sale entry '!$Y$1:$Y$1501,$J1011+1)&amp;"","Buyer cheque banked 买家支票存入"&amp;IF(INDEX('Daily Sale entry '!$U$1:$U$1501,$J1011-1499)="","", " - "&amp;INDEX('Daily Sale entry '!$U$1:$U$1501,$J1011-1499))))</f>
        <v/>
      </c>
      <c r="C1011">
        <f>IF($J1011="","",IF($J1011&lt;=1500,INDEX('Daily Sale entry '!$Z$1:$Z$1501,$J1011+1)&amp;"","Cheque deposit 支票存入 (buyer 买家)"))</f>
        <v/>
      </c>
      <c r="D1011">
        <f>IF($J1011="","",IF($J1011&lt;=1500,INDEX('Daily Sale entry '!$AA$1:$AA$1501,$J1011+1)&amp;"",INDEX('Daily Sale entry '!$P$1:$P$1501,$J1011-1499)&amp;""))</f>
        <v/>
      </c>
      <c r="E1011">
        <f>IF($J1011="","",IF($J1011&lt;=1500,IF(N(INDEX('Daily Sale entry '!$AB$1:$AB$1501,$J1011+1))=0,"",INDEX('Daily Sale entry '!$AB$1:$AB$1501,$J1011+1)),1))</f>
        <v/>
      </c>
      <c r="F1011" s="6">
        <f>IF($J1011="","",IF($J1011&lt;=1500,N(INDEX('Daily Sale entry '!$AC$1:$AC$1501,$J1011+1))-IF(AND('Opening Balance'!$B$15=1,INDEX('Daily Sale entry '!$Z$1:$Z$1501,$J1011+1)="Online collection 网上收款",INDEX('Daily Sale entry '!$AA$1:$AA$1501,$J1011+1)&lt;&gt;""),N(INDEX('Daily Sale entry '!$AC$1:$AC$1501,$J1011+1))-TRUNC(N(INDEX('Daily Sale entry '!$AC$1:$AC$1501,$J1011+1))),0),N(INDEX('Daily Sale entry '!$S$1:$S$1501,$J1011-1499))-'Opening Balance'!$B$15*(N(INDEX('Daily Sale entry '!$S$1:$S$1501,$J1011-1499))-TRUNC(N(INDEX('Daily Sale entry '!$S$1:$S$1501,$J1011-1499))))))</f>
        <v/>
      </c>
      <c r="G1011" s="6">
        <f>IF($J1011="","",IF($J1011&lt;=1500,N(INDEX('Daily Sale entry '!$AD$1:$AD$1501,$J1011+1)),0))</f>
        <v/>
      </c>
      <c r="H1011" s="6">
        <f>IF($J1011="","",ROUND('Opening Balance'!$B$4+SUM($F$2:F1011)-SUM($G$2:G1011),2))</f>
        <v/>
      </c>
      <c r="J1011" s="21">
        <f>IFERROR(MATCH(ROW()-1,$L$2:$L$3001,0),"")</f>
        <v/>
      </c>
      <c r="K1011" s="34">
        <f>IF(AND('Daily Sale entry '!X1011&lt;&gt;"",OR('Daily Sale entry '!AC1011&lt;&gt;"",'Daily Sale entry '!AD1011&lt;&gt;"")),'Daily Sale entry '!X1011+ROW()/10000000,"")</f>
        <v/>
      </c>
      <c r="L1011" s="21">
        <f>IF(K1011="","",COUNTIF($K$2:$K$3001,"&lt;"&amp;K1011)+1)</f>
        <v/>
      </c>
    </row>
    <row r="1012">
      <c r="A1012" s="5">
        <f>IF($J1012="","",IF($J1012&lt;=1500,INDEX('Daily Sale entry '!$X$1:$X$1501,$J1012+1),INDEX('Daily Sale entry '!$V$1:$V$1501,$J1012-1499)))</f>
        <v/>
      </c>
      <c r="B1012">
        <f>IF($J1012="","",IF($J1012&lt;=1500,INDEX('Daily Sale entry '!$Y$1:$Y$1501,$J1012+1)&amp;"","Buyer cheque banked 买家支票存入"&amp;IF(INDEX('Daily Sale entry '!$U$1:$U$1501,$J1012-1499)="","", " - "&amp;INDEX('Daily Sale entry '!$U$1:$U$1501,$J1012-1499))))</f>
        <v/>
      </c>
      <c r="C1012">
        <f>IF($J1012="","",IF($J1012&lt;=1500,INDEX('Daily Sale entry '!$Z$1:$Z$1501,$J1012+1)&amp;"","Cheque deposit 支票存入 (buyer 买家)"))</f>
        <v/>
      </c>
      <c r="D1012">
        <f>IF($J1012="","",IF($J1012&lt;=1500,INDEX('Daily Sale entry '!$AA$1:$AA$1501,$J1012+1)&amp;"",INDEX('Daily Sale entry '!$P$1:$P$1501,$J1012-1499)&amp;""))</f>
        <v/>
      </c>
      <c r="E1012">
        <f>IF($J1012="","",IF($J1012&lt;=1500,IF(N(INDEX('Daily Sale entry '!$AB$1:$AB$1501,$J1012+1))=0,"",INDEX('Daily Sale entry '!$AB$1:$AB$1501,$J1012+1)),1))</f>
        <v/>
      </c>
      <c r="F1012" s="6">
        <f>IF($J1012="","",IF($J1012&lt;=1500,N(INDEX('Daily Sale entry '!$AC$1:$AC$1501,$J1012+1))-IF(AND('Opening Balance'!$B$15=1,INDEX('Daily Sale entry '!$Z$1:$Z$1501,$J1012+1)="Online collection 网上收款",INDEX('Daily Sale entry '!$AA$1:$AA$1501,$J1012+1)&lt;&gt;""),N(INDEX('Daily Sale entry '!$AC$1:$AC$1501,$J1012+1))-TRUNC(N(INDEX('Daily Sale entry '!$AC$1:$AC$1501,$J1012+1))),0),N(INDEX('Daily Sale entry '!$S$1:$S$1501,$J1012-1499))-'Opening Balance'!$B$15*(N(INDEX('Daily Sale entry '!$S$1:$S$1501,$J1012-1499))-TRUNC(N(INDEX('Daily Sale entry '!$S$1:$S$1501,$J1012-1499))))))</f>
        <v/>
      </c>
      <c r="G1012" s="6">
        <f>IF($J1012="","",IF($J1012&lt;=1500,N(INDEX('Daily Sale entry '!$AD$1:$AD$1501,$J1012+1)),0))</f>
        <v/>
      </c>
      <c r="H1012" s="6">
        <f>IF($J1012="","",ROUND('Opening Balance'!$B$4+SUM($F$2:F1012)-SUM($G$2:G1012),2))</f>
        <v/>
      </c>
      <c r="J1012" s="21">
        <f>IFERROR(MATCH(ROW()-1,$L$2:$L$3001,0),"")</f>
        <v/>
      </c>
      <c r="K1012" s="34">
        <f>IF(AND('Daily Sale entry '!X1012&lt;&gt;"",OR('Daily Sale entry '!AC1012&lt;&gt;"",'Daily Sale entry '!AD1012&lt;&gt;"")),'Daily Sale entry '!X1012+ROW()/10000000,"")</f>
        <v/>
      </c>
      <c r="L1012" s="21">
        <f>IF(K1012="","",COUNTIF($K$2:$K$3001,"&lt;"&amp;K1012)+1)</f>
        <v/>
      </c>
    </row>
    <row r="1013">
      <c r="A1013" s="5">
        <f>IF($J1013="","",IF($J1013&lt;=1500,INDEX('Daily Sale entry '!$X$1:$X$1501,$J1013+1),INDEX('Daily Sale entry '!$V$1:$V$1501,$J1013-1499)))</f>
        <v/>
      </c>
      <c r="B1013">
        <f>IF($J1013="","",IF($J1013&lt;=1500,INDEX('Daily Sale entry '!$Y$1:$Y$1501,$J1013+1)&amp;"","Buyer cheque banked 买家支票存入"&amp;IF(INDEX('Daily Sale entry '!$U$1:$U$1501,$J1013-1499)="","", " - "&amp;INDEX('Daily Sale entry '!$U$1:$U$1501,$J1013-1499))))</f>
        <v/>
      </c>
      <c r="C1013">
        <f>IF($J1013="","",IF($J1013&lt;=1500,INDEX('Daily Sale entry '!$Z$1:$Z$1501,$J1013+1)&amp;"","Cheque deposit 支票存入 (buyer 买家)"))</f>
        <v/>
      </c>
      <c r="D1013">
        <f>IF($J1013="","",IF($J1013&lt;=1500,INDEX('Daily Sale entry '!$AA$1:$AA$1501,$J1013+1)&amp;"",INDEX('Daily Sale entry '!$P$1:$P$1501,$J1013-1499)&amp;""))</f>
        <v/>
      </c>
      <c r="E1013">
        <f>IF($J1013="","",IF($J1013&lt;=1500,IF(N(INDEX('Daily Sale entry '!$AB$1:$AB$1501,$J1013+1))=0,"",INDEX('Daily Sale entry '!$AB$1:$AB$1501,$J1013+1)),1))</f>
        <v/>
      </c>
      <c r="F1013" s="6">
        <f>IF($J1013="","",IF($J1013&lt;=1500,N(INDEX('Daily Sale entry '!$AC$1:$AC$1501,$J1013+1))-IF(AND('Opening Balance'!$B$15=1,INDEX('Daily Sale entry '!$Z$1:$Z$1501,$J1013+1)="Online collection 网上收款",INDEX('Daily Sale entry '!$AA$1:$AA$1501,$J1013+1)&lt;&gt;""),N(INDEX('Daily Sale entry '!$AC$1:$AC$1501,$J1013+1))-TRUNC(N(INDEX('Daily Sale entry '!$AC$1:$AC$1501,$J1013+1))),0),N(INDEX('Daily Sale entry '!$S$1:$S$1501,$J1013-1499))-'Opening Balance'!$B$15*(N(INDEX('Daily Sale entry '!$S$1:$S$1501,$J1013-1499))-TRUNC(N(INDEX('Daily Sale entry '!$S$1:$S$1501,$J1013-1499))))))</f>
        <v/>
      </c>
      <c r="G1013" s="6">
        <f>IF($J1013="","",IF($J1013&lt;=1500,N(INDEX('Daily Sale entry '!$AD$1:$AD$1501,$J1013+1)),0))</f>
        <v/>
      </c>
      <c r="H1013" s="6">
        <f>IF($J1013="","",ROUND('Opening Balance'!$B$4+SUM($F$2:F1013)-SUM($G$2:G1013),2))</f>
        <v/>
      </c>
      <c r="J1013" s="21">
        <f>IFERROR(MATCH(ROW()-1,$L$2:$L$3001,0),"")</f>
        <v/>
      </c>
      <c r="K1013" s="34">
        <f>IF(AND('Daily Sale entry '!X1013&lt;&gt;"",OR('Daily Sale entry '!AC1013&lt;&gt;"",'Daily Sale entry '!AD1013&lt;&gt;"")),'Daily Sale entry '!X1013+ROW()/10000000,"")</f>
        <v/>
      </c>
      <c r="L1013" s="21">
        <f>IF(K1013="","",COUNTIF($K$2:$K$3001,"&lt;"&amp;K1013)+1)</f>
        <v/>
      </c>
    </row>
    <row r="1014">
      <c r="A1014" s="5">
        <f>IF($J1014="","",IF($J1014&lt;=1500,INDEX('Daily Sale entry '!$X$1:$X$1501,$J1014+1),INDEX('Daily Sale entry '!$V$1:$V$1501,$J1014-1499)))</f>
        <v/>
      </c>
      <c r="B1014">
        <f>IF($J1014="","",IF($J1014&lt;=1500,INDEX('Daily Sale entry '!$Y$1:$Y$1501,$J1014+1)&amp;"","Buyer cheque banked 买家支票存入"&amp;IF(INDEX('Daily Sale entry '!$U$1:$U$1501,$J1014-1499)="","", " - "&amp;INDEX('Daily Sale entry '!$U$1:$U$1501,$J1014-1499))))</f>
        <v/>
      </c>
      <c r="C1014">
        <f>IF($J1014="","",IF($J1014&lt;=1500,INDEX('Daily Sale entry '!$Z$1:$Z$1501,$J1014+1)&amp;"","Cheque deposit 支票存入 (buyer 买家)"))</f>
        <v/>
      </c>
      <c r="D1014">
        <f>IF($J1014="","",IF($J1014&lt;=1500,INDEX('Daily Sale entry '!$AA$1:$AA$1501,$J1014+1)&amp;"",INDEX('Daily Sale entry '!$P$1:$P$1501,$J1014-1499)&amp;""))</f>
        <v/>
      </c>
      <c r="E1014">
        <f>IF($J1014="","",IF($J1014&lt;=1500,IF(N(INDEX('Daily Sale entry '!$AB$1:$AB$1501,$J1014+1))=0,"",INDEX('Daily Sale entry '!$AB$1:$AB$1501,$J1014+1)),1))</f>
        <v/>
      </c>
      <c r="F1014" s="6">
        <f>IF($J1014="","",IF($J1014&lt;=1500,N(INDEX('Daily Sale entry '!$AC$1:$AC$1501,$J1014+1))-IF(AND('Opening Balance'!$B$15=1,INDEX('Daily Sale entry '!$Z$1:$Z$1501,$J1014+1)="Online collection 网上收款",INDEX('Daily Sale entry '!$AA$1:$AA$1501,$J1014+1)&lt;&gt;""),N(INDEX('Daily Sale entry '!$AC$1:$AC$1501,$J1014+1))-TRUNC(N(INDEX('Daily Sale entry '!$AC$1:$AC$1501,$J1014+1))),0),N(INDEX('Daily Sale entry '!$S$1:$S$1501,$J1014-1499))-'Opening Balance'!$B$15*(N(INDEX('Daily Sale entry '!$S$1:$S$1501,$J1014-1499))-TRUNC(N(INDEX('Daily Sale entry '!$S$1:$S$1501,$J1014-1499))))))</f>
        <v/>
      </c>
      <c r="G1014" s="6">
        <f>IF($J1014="","",IF($J1014&lt;=1500,N(INDEX('Daily Sale entry '!$AD$1:$AD$1501,$J1014+1)),0))</f>
        <v/>
      </c>
      <c r="H1014" s="6">
        <f>IF($J1014="","",ROUND('Opening Balance'!$B$4+SUM($F$2:F1014)-SUM($G$2:G1014),2))</f>
        <v/>
      </c>
      <c r="J1014" s="21">
        <f>IFERROR(MATCH(ROW()-1,$L$2:$L$3001,0),"")</f>
        <v/>
      </c>
      <c r="K1014" s="34">
        <f>IF(AND('Daily Sale entry '!X1014&lt;&gt;"",OR('Daily Sale entry '!AC1014&lt;&gt;"",'Daily Sale entry '!AD1014&lt;&gt;"")),'Daily Sale entry '!X1014+ROW()/10000000,"")</f>
        <v/>
      </c>
      <c r="L1014" s="21">
        <f>IF(K1014="","",COUNTIF($K$2:$K$3001,"&lt;"&amp;K1014)+1)</f>
        <v/>
      </c>
    </row>
    <row r="1015">
      <c r="A1015" s="5">
        <f>IF($J1015="","",IF($J1015&lt;=1500,INDEX('Daily Sale entry '!$X$1:$X$1501,$J1015+1),INDEX('Daily Sale entry '!$V$1:$V$1501,$J1015-1499)))</f>
        <v/>
      </c>
      <c r="B1015">
        <f>IF($J1015="","",IF($J1015&lt;=1500,INDEX('Daily Sale entry '!$Y$1:$Y$1501,$J1015+1)&amp;"","Buyer cheque banked 买家支票存入"&amp;IF(INDEX('Daily Sale entry '!$U$1:$U$1501,$J1015-1499)="","", " - "&amp;INDEX('Daily Sale entry '!$U$1:$U$1501,$J1015-1499))))</f>
        <v/>
      </c>
      <c r="C1015">
        <f>IF($J1015="","",IF($J1015&lt;=1500,INDEX('Daily Sale entry '!$Z$1:$Z$1501,$J1015+1)&amp;"","Cheque deposit 支票存入 (buyer 买家)"))</f>
        <v/>
      </c>
      <c r="D1015">
        <f>IF($J1015="","",IF($J1015&lt;=1500,INDEX('Daily Sale entry '!$AA$1:$AA$1501,$J1015+1)&amp;"",INDEX('Daily Sale entry '!$P$1:$P$1501,$J1015-1499)&amp;""))</f>
        <v/>
      </c>
      <c r="E1015">
        <f>IF($J1015="","",IF($J1015&lt;=1500,IF(N(INDEX('Daily Sale entry '!$AB$1:$AB$1501,$J1015+1))=0,"",INDEX('Daily Sale entry '!$AB$1:$AB$1501,$J1015+1)),1))</f>
        <v/>
      </c>
      <c r="F1015" s="6">
        <f>IF($J1015="","",IF($J1015&lt;=1500,N(INDEX('Daily Sale entry '!$AC$1:$AC$1501,$J1015+1))-IF(AND('Opening Balance'!$B$15=1,INDEX('Daily Sale entry '!$Z$1:$Z$1501,$J1015+1)="Online collection 网上收款",INDEX('Daily Sale entry '!$AA$1:$AA$1501,$J1015+1)&lt;&gt;""),N(INDEX('Daily Sale entry '!$AC$1:$AC$1501,$J1015+1))-TRUNC(N(INDEX('Daily Sale entry '!$AC$1:$AC$1501,$J1015+1))),0),N(INDEX('Daily Sale entry '!$S$1:$S$1501,$J1015-1499))-'Opening Balance'!$B$15*(N(INDEX('Daily Sale entry '!$S$1:$S$1501,$J1015-1499))-TRUNC(N(INDEX('Daily Sale entry '!$S$1:$S$1501,$J1015-1499))))))</f>
        <v/>
      </c>
      <c r="G1015" s="6">
        <f>IF($J1015="","",IF($J1015&lt;=1500,N(INDEX('Daily Sale entry '!$AD$1:$AD$1501,$J1015+1)),0))</f>
        <v/>
      </c>
      <c r="H1015" s="6">
        <f>IF($J1015="","",ROUND('Opening Balance'!$B$4+SUM($F$2:F1015)-SUM($G$2:G1015),2))</f>
        <v/>
      </c>
      <c r="J1015" s="21">
        <f>IFERROR(MATCH(ROW()-1,$L$2:$L$3001,0),"")</f>
        <v/>
      </c>
      <c r="K1015" s="34">
        <f>IF(AND('Daily Sale entry '!X1015&lt;&gt;"",OR('Daily Sale entry '!AC1015&lt;&gt;"",'Daily Sale entry '!AD1015&lt;&gt;"")),'Daily Sale entry '!X1015+ROW()/10000000,"")</f>
        <v/>
      </c>
      <c r="L1015" s="21">
        <f>IF(K1015="","",COUNTIF($K$2:$K$3001,"&lt;"&amp;K1015)+1)</f>
        <v/>
      </c>
    </row>
    <row r="1016">
      <c r="A1016" s="5">
        <f>IF($J1016="","",IF($J1016&lt;=1500,INDEX('Daily Sale entry '!$X$1:$X$1501,$J1016+1),INDEX('Daily Sale entry '!$V$1:$V$1501,$J1016-1499)))</f>
        <v/>
      </c>
      <c r="B1016">
        <f>IF($J1016="","",IF($J1016&lt;=1500,INDEX('Daily Sale entry '!$Y$1:$Y$1501,$J1016+1)&amp;"","Buyer cheque banked 买家支票存入"&amp;IF(INDEX('Daily Sale entry '!$U$1:$U$1501,$J1016-1499)="","", " - "&amp;INDEX('Daily Sale entry '!$U$1:$U$1501,$J1016-1499))))</f>
        <v/>
      </c>
      <c r="C1016">
        <f>IF($J1016="","",IF($J1016&lt;=1500,INDEX('Daily Sale entry '!$Z$1:$Z$1501,$J1016+1)&amp;"","Cheque deposit 支票存入 (buyer 买家)"))</f>
        <v/>
      </c>
      <c r="D1016">
        <f>IF($J1016="","",IF($J1016&lt;=1500,INDEX('Daily Sale entry '!$AA$1:$AA$1501,$J1016+1)&amp;"",INDEX('Daily Sale entry '!$P$1:$P$1501,$J1016-1499)&amp;""))</f>
        <v/>
      </c>
      <c r="E1016">
        <f>IF($J1016="","",IF($J1016&lt;=1500,IF(N(INDEX('Daily Sale entry '!$AB$1:$AB$1501,$J1016+1))=0,"",INDEX('Daily Sale entry '!$AB$1:$AB$1501,$J1016+1)),1))</f>
        <v/>
      </c>
      <c r="F1016" s="6">
        <f>IF($J1016="","",IF($J1016&lt;=1500,N(INDEX('Daily Sale entry '!$AC$1:$AC$1501,$J1016+1))-IF(AND('Opening Balance'!$B$15=1,INDEX('Daily Sale entry '!$Z$1:$Z$1501,$J1016+1)="Online collection 网上收款",INDEX('Daily Sale entry '!$AA$1:$AA$1501,$J1016+1)&lt;&gt;""),N(INDEX('Daily Sale entry '!$AC$1:$AC$1501,$J1016+1))-TRUNC(N(INDEX('Daily Sale entry '!$AC$1:$AC$1501,$J1016+1))),0),N(INDEX('Daily Sale entry '!$S$1:$S$1501,$J1016-1499))-'Opening Balance'!$B$15*(N(INDEX('Daily Sale entry '!$S$1:$S$1501,$J1016-1499))-TRUNC(N(INDEX('Daily Sale entry '!$S$1:$S$1501,$J1016-1499))))))</f>
        <v/>
      </c>
      <c r="G1016" s="6">
        <f>IF($J1016="","",IF($J1016&lt;=1500,N(INDEX('Daily Sale entry '!$AD$1:$AD$1501,$J1016+1)),0))</f>
        <v/>
      </c>
      <c r="H1016" s="6">
        <f>IF($J1016="","",ROUND('Opening Balance'!$B$4+SUM($F$2:F1016)-SUM($G$2:G1016),2))</f>
        <v/>
      </c>
      <c r="J1016" s="21">
        <f>IFERROR(MATCH(ROW()-1,$L$2:$L$3001,0),"")</f>
        <v/>
      </c>
      <c r="K1016" s="34">
        <f>IF(AND('Daily Sale entry '!X1016&lt;&gt;"",OR('Daily Sale entry '!AC1016&lt;&gt;"",'Daily Sale entry '!AD1016&lt;&gt;"")),'Daily Sale entry '!X1016+ROW()/10000000,"")</f>
        <v/>
      </c>
      <c r="L1016" s="21">
        <f>IF(K1016="","",COUNTIF($K$2:$K$3001,"&lt;"&amp;K1016)+1)</f>
        <v/>
      </c>
    </row>
    <row r="1017">
      <c r="A1017" s="5">
        <f>IF($J1017="","",IF($J1017&lt;=1500,INDEX('Daily Sale entry '!$X$1:$X$1501,$J1017+1),INDEX('Daily Sale entry '!$V$1:$V$1501,$J1017-1499)))</f>
        <v/>
      </c>
      <c r="B1017">
        <f>IF($J1017="","",IF($J1017&lt;=1500,INDEX('Daily Sale entry '!$Y$1:$Y$1501,$J1017+1)&amp;"","Buyer cheque banked 买家支票存入"&amp;IF(INDEX('Daily Sale entry '!$U$1:$U$1501,$J1017-1499)="","", " - "&amp;INDEX('Daily Sale entry '!$U$1:$U$1501,$J1017-1499))))</f>
        <v/>
      </c>
      <c r="C1017">
        <f>IF($J1017="","",IF($J1017&lt;=1500,INDEX('Daily Sale entry '!$Z$1:$Z$1501,$J1017+1)&amp;"","Cheque deposit 支票存入 (buyer 买家)"))</f>
        <v/>
      </c>
      <c r="D1017">
        <f>IF($J1017="","",IF($J1017&lt;=1500,INDEX('Daily Sale entry '!$AA$1:$AA$1501,$J1017+1)&amp;"",INDEX('Daily Sale entry '!$P$1:$P$1501,$J1017-1499)&amp;""))</f>
        <v/>
      </c>
      <c r="E1017">
        <f>IF($J1017="","",IF($J1017&lt;=1500,IF(N(INDEX('Daily Sale entry '!$AB$1:$AB$1501,$J1017+1))=0,"",INDEX('Daily Sale entry '!$AB$1:$AB$1501,$J1017+1)),1))</f>
        <v/>
      </c>
      <c r="F1017" s="6">
        <f>IF($J1017="","",IF($J1017&lt;=1500,N(INDEX('Daily Sale entry '!$AC$1:$AC$1501,$J1017+1))-IF(AND('Opening Balance'!$B$15=1,INDEX('Daily Sale entry '!$Z$1:$Z$1501,$J1017+1)="Online collection 网上收款",INDEX('Daily Sale entry '!$AA$1:$AA$1501,$J1017+1)&lt;&gt;""),N(INDEX('Daily Sale entry '!$AC$1:$AC$1501,$J1017+1))-TRUNC(N(INDEX('Daily Sale entry '!$AC$1:$AC$1501,$J1017+1))),0),N(INDEX('Daily Sale entry '!$S$1:$S$1501,$J1017-1499))-'Opening Balance'!$B$15*(N(INDEX('Daily Sale entry '!$S$1:$S$1501,$J1017-1499))-TRUNC(N(INDEX('Daily Sale entry '!$S$1:$S$1501,$J1017-1499))))))</f>
        <v/>
      </c>
      <c r="G1017" s="6">
        <f>IF($J1017="","",IF($J1017&lt;=1500,N(INDEX('Daily Sale entry '!$AD$1:$AD$1501,$J1017+1)),0))</f>
        <v/>
      </c>
      <c r="H1017" s="6">
        <f>IF($J1017="","",ROUND('Opening Balance'!$B$4+SUM($F$2:F1017)-SUM($G$2:G1017),2))</f>
        <v/>
      </c>
      <c r="J1017" s="21">
        <f>IFERROR(MATCH(ROW()-1,$L$2:$L$3001,0),"")</f>
        <v/>
      </c>
      <c r="K1017" s="34">
        <f>IF(AND('Daily Sale entry '!X1017&lt;&gt;"",OR('Daily Sale entry '!AC1017&lt;&gt;"",'Daily Sale entry '!AD1017&lt;&gt;"")),'Daily Sale entry '!X1017+ROW()/10000000,"")</f>
        <v/>
      </c>
      <c r="L1017" s="21">
        <f>IF(K1017="","",COUNTIF($K$2:$K$3001,"&lt;"&amp;K1017)+1)</f>
        <v/>
      </c>
    </row>
    <row r="1018">
      <c r="A1018" s="5">
        <f>IF($J1018="","",IF($J1018&lt;=1500,INDEX('Daily Sale entry '!$X$1:$X$1501,$J1018+1),INDEX('Daily Sale entry '!$V$1:$V$1501,$J1018-1499)))</f>
        <v/>
      </c>
      <c r="B1018">
        <f>IF($J1018="","",IF($J1018&lt;=1500,INDEX('Daily Sale entry '!$Y$1:$Y$1501,$J1018+1)&amp;"","Buyer cheque banked 买家支票存入"&amp;IF(INDEX('Daily Sale entry '!$U$1:$U$1501,$J1018-1499)="","", " - "&amp;INDEX('Daily Sale entry '!$U$1:$U$1501,$J1018-1499))))</f>
        <v/>
      </c>
      <c r="C1018">
        <f>IF($J1018="","",IF($J1018&lt;=1500,INDEX('Daily Sale entry '!$Z$1:$Z$1501,$J1018+1)&amp;"","Cheque deposit 支票存入 (buyer 买家)"))</f>
        <v/>
      </c>
      <c r="D1018">
        <f>IF($J1018="","",IF($J1018&lt;=1500,INDEX('Daily Sale entry '!$AA$1:$AA$1501,$J1018+1)&amp;"",INDEX('Daily Sale entry '!$P$1:$P$1501,$J1018-1499)&amp;""))</f>
        <v/>
      </c>
      <c r="E1018">
        <f>IF($J1018="","",IF($J1018&lt;=1500,IF(N(INDEX('Daily Sale entry '!$AB$1:$AB$1501,$J1018+1))=0,"",INDEX('Daily Sale entry '!$AB$1:$AB$1501,$J1018+1)),1))</f>
        <v/>
      </c>
      <c r="F1018" s="6">
        <f>IF($J1018="","",IF($J1018&lt;=1500,N(INDEX('Daily Sale entry '!$AC$1:$AC$1501,$J1018+1))-IF(AND('Opening Balance'!$B$15=1,INDEX('Daily Sale entry '!$Z$1:$Z$1501,$J1018+1)="Online collection 网上收款",INDEX('Daily Sale entry '!$AA$1:$AA$1501,$J1018+1)&lt;&gt;""),N(INDEX('Daily Sale entry '!$AC$1:$AC$1501,$J1018+1))-TRUNC(N(INDEX('Daily Sale entry '!$AC$1:$AC$1501,$J1018+1))),0),N(INDEX('Daily Sale entry '!$S$1:$S$1501,$J1018-1499))-'Opening Balance'!$B$15*(N(INDEX('Daily Sale entry '!$S$1:$S$1501,$J1018-1499))-TRUNC(N(INDEX('Daily Sale entry '!$S$1:$S$1501,$J1018-1499))))))</f>
        <v/>
      </c>
      <c r="G1018" s="6">
        <f>IF($J1018="","",IF($J1018&lt;=1500,N(INDEX('Daily Sale entry '!$AD$1:$AD$1501,$J1018+1)),0))</f>
        <v/>
      </c>
      <c r="H1018" s="6">
        <f>IF($J1018="","",ROUND('Opening Balance'!$B$4+SUM($F$2:F1018)-SUM($G$2:G1018),2))</f>
        <v/>
      </c>
      <c r="J1018" s="21">
        <f>IFERROR(MATCH(ROW()-1,$L$2:$L$3001,0),"")</f>
        <v/>
      </c>
      <c r="K1018" s="34">
        <f>IF(AND('Daily Sale entry '!X1018&lt;&gt;"",OR('Daily Sale entry '!AC1018&lt;&gt;"",'Daily Sale entry '!AD1018&lt;&gt;"")),'Daily Sale entry '!X1018+ROW()/10000000,"")</f>
        <v/>
      </c>
      <c r="L1018" s="21">
        <f>IF(K1018="","",COUNTIF($K$2:$K$3001,"&lt;"&amp;K1018)+1)</f>
        <v/>
      </c>
    </row>
    <row r="1019">
      <c r="A1019" s="5">
        <f>IF($J1019="","",IF($J1019&lt;=1500,INDEX('Daily Sale entry '!$X$1:$X$1501,$J1019+1),INDEX('Daily Sale entry '!$V$1:$V$1501,$J1019-1499)))</f>
        <v/>
      </c>
      <c r="B1019">
        <f>IF($J1019="","",IF($J1019&lt;=1500,INDEX('Daily Sale entry '!$Y$1:$Y$1501,$J1019+1)&amp;"","Buyer cheque banked 买家支票存入"&amp;IF(INDEX('Daily Sale entry '!$U$1:$U$1501,$J1019-1499)="","", " - "&amp;INDEX('Daily Sale entry '!$U$1:$U$1501,$J1019-1499))))</f>
        <v/>
      </c>
      <c r="C1019">
        <f>IF($J1019="","",IF($J1019&lt;=1500,INDEX('Daily Sale entry '!$Z$1:$Z$1501,$J1019+1)&amp;"","Cheque deposit 支票存入 (buyer 买家)"))</f>
        <v/>
      </c>
      <c r="D1019">
        <f>IF($J1019="","",IF($J1019&lt;=1500,INDEX('Daily Sale entry '!$AA$1:$AA$1501,$J1019+1)&amp;"",INDEX('Daily Sale entry '!$P$1:$P$1501,$J1019-1499)&amp;""))</f>
        <v/>
      </c>
      <c r="E1019">
        <f>IF($J1019="","",IF($J1019&lt;=1500,IF(N(INDEX('Daily Sale entry '!$AB$1:$AB$1501,$J1019+1))=0,"",INDEX('Daily Sale entry '!$AB$1:$AB$1501,$J1019+1)),1))</f>
        <v/>
      </c>
      <c r="F1019" s="6">
        <f>IF($J1019="","",IF($J1019&lt;=1500,N(INDEX('Daily Sale entry '!$AC$1:$AC$1501,$J1019+1))-IF(AND('Opening Balance'!$B$15=1,INDEX('Daily Sale entry '!$Z$1:$Z$1501,$J1019+1)="Online collection 网上收款",INDEX('Daily Sale entry '!$AA$1:$AA$1501,$J1019+1)&lt;&gt;""),N(INDEX('Daily Sale entry '!$AC$1:$AC$1501,$J1019+1))-TRUNC(N(INDEX('Daily Sale entry '!$AC$1:$AC$1501,$J1019+1))),0),N(INDEX('Daily Sale entry '!$S$1:$S$1501,$J1019-1499))-'Opening Balance'!$B$15*(N(INDEX('Daily Sale entry '!$S$1:$S$1501,$J1019-1499))-TRUNC(N(INDEX('Daily Sale entry '!$S$1:$S$1501,$J1019-1499))))))</f>
        <v/>
      </c>
      <c r="G1019" s="6">
        <f>IF($J1019="","",IF($J1019&lt;=1500,N(INDEX('Daily Sale entry '!$AD$1:$AD$1501,$J1019+1)),0))</f>
        <v/>
      </c>
      <c r="H1019" s="6">
        <f>IF($J1019="","",ROUND('Opening Balance'!$B$4+SUM($F$2:F1019)-SUM($G$2:G1019),2))</f>
        <v/>
      </c>
      <c r="J1019" s="21">
        <f>IFERROR(MATCH(ROW()-1,$L$2:$L$3001,0),"")</f>
        <v/>
      </c>
      <c r="K1019" s="34">
        <f>IF(AND('Daily Sale entry '!X1019&lt;&gt;"",OR('Daily Sale entry '!AC1019&lt;&gt;"",'Daily Sale entry '!AD1019&lt;&gt;"")),'Daily Sale entry '!X1019+ROW()/10000000,"")</f>
        <v/>
      </c>
      <c r="L1019" s="21">
        <f>IF(K1019="","",COUNTIF($K$2:$K$3001,"&lt;"&amp;K1019)+1)</f>
        <v/>
      </c>
    </row>
    <row r="1020">
      <c r="A1020" s="5">
        <f>IF($J1020="","",IF($J1020&lt;=1500,INDEX('Daily Sale entry '!$X$1:$X$1501,$J1020+1),INDEX('Daily Sale entry '!$V$1:$V$1501,$J1020-1499)))</f>
        <v/>
      </c>
      <c r="B1020">
        <f>IF($J1020="","",IF($J1020&lt;=1500,INDEX('Daily Sale entry '!$Y$1:$Y$1501,$J1020+1)&amp;"","Buyer cheque banked 买家支票存入"&amp;IF(INDEX('Daily Sale entry '!$U$1:$U$1501,$J1020-1499)="","", " - "&amp;INDEX('Daily Sale entry '!$U$1:$U$1501,$J1020-1499))))</f>
        <v/>
      </c>
      <c r="C1020">
        <f>IF($J1020="","",IF($J1020&lt;=1500,INDEX('Daily Sale entry '!$Z$1:$Z$1501,$J1020+1)&amp;"","Cheque deposit 支票存入 (buyer 买家)"))</f>
        <v/>
      </c>
      <c r="D1020">
        <f>IF($J1020="","",IF($J1020&lt;=1500,INDEX('Daily Sale entry '!$AA$1:$AA$1501,$J1020+1)&amp;"",INDEX('Daily Sale entry '!$P$1:$P$1501,$J1020-1499)&amp;""))</f>
        <v/>
      </c>
      <c r="E1020">
        <f>IF($J1020="","",IF($J1020&lt;=1500,IF(N(INDEX('Daily Sale entry '!$AB$1:$AB$1501,$J1020+1))=0,"",INDEX('Daily Sale entry '!$AB$1:$AB$1501,$J1020+1)),1))</f>
        <v/>
      </c>
      <c r="F1020" s="6">
        <f>IF($J1020="","",IF($J1020&lt;=1500,N(INDEX('Daily Sale entry '!$AC$1:$AC$1501,$J1020+1))-IF(AND('Opening Balance'!$B$15=1,INDEX('Daily Sale entry '!$Z$1:$Z$1501,$J1020+1)="Online collection 网上收款",INDEX('Daily Sale entry '!$AA$1:$AA$1501,$J1020+1)&lt;&gt;""),N(INDEX('Daily Sale entry '!$AC$1:$AC$1501,$J1020+1))-TRUNC(N(INDEX('Daily Sale entry '!$AC$1:$AC$1501,$J1020+1))),0),N(INDEX('Daily Sale entry '!$S$1:$S$1501,$J1020-1499))-'Opening Balance'!$B$15*(N(INDEX('Daily Sale entry '!$S$1:$S$1501,$J1020-1499))-TRUNC(N(INDEX('Daily Sale entry '!$S$1:$S$1501,$J1020-1499))))))</f>
        <v/>
      </c>
      <c r="G1020" s="6">
        <f>IF($J1020="","",IF($J1020&lt;=1500,N(INDEX('Daily Sale entry '!$AD$1:$AD$1501,$J1020+1)),0))</f>
        <v/>
      </c>
      <c r="H1020" s="6">
        <f>IF($J1020="","",ROUND('Opening Balance'!$B$4+SUM($F$2:F1020)-SUM($G$2:G1020),2))</f>
        <v/>
      </c>
      <c r="J1020" s="21">
        <f>IFERROR(MATCH(ROW()-1,$L$2:$L$3001,0),"")</f>
        <v/>
      </c>
      <c r="K1020" s="34">
        <f>IF(AND('Daily Sale entry '!X1020&lt;&gt;"",OR('Daily Sale entry '!AC1020&lt;&gt;"",'Daily Sale entry '!AD1020&lt;&gt;"")),'Daily Sale entry '!X1020+ROW()/10000000,"")</f>
        <v/>
      </c>
      <c r="L1020" s="21">
        <f>IF(K1020="","",COUNTIF($K$2:$K$3001,"&lt;"&amp;K1020)+1)</f>
        <v/>
      </c>
    </row>
    <row r="1021">
      <c r="A1021" s="5">
        <f>IF($J1021="","",IF($J1021&lt;=1500,INDEX('Daily Sale entry '!$X$1:$X$1501,$J1021+1),INDEX('Daily Sale entry '!$V$1:$V$1501,$J1021-1499)))</f>
        <v/>
      </c>
      <c r="B1021">
        <f>IF($J1021="","",IF($J1021&lt;=1500,INDEX('Daily Sale entry '!$Y$1:$Y$1501,$J1021+1)&amp;"","Buyer cheque banked 买家支票存入"&amp;IF(INDEX('Daily Sale entry '!$U$1:$U$1501,$J1021-1499)="","", " - "&amp;INDEX('Daily Sale entry '!$U$1:$U$1501,$J1021-1499))))</f>
        <v/>
      </c>
      <c r="C1021">
        <f>IF($J1021="","",IF($J1021&lt;=1500,INDEX('Daily Sale entry '!$Z$1:$Z$1501,$J1021+1)&amp;"","Cheque deposit 支票存入 (buyer 买家)"))</f>
        <v/>
      </c>
      <c r="D1021">
        <f>IF($J1021="","",IF($J1021&lt;=1500,INDEX('Daily Sale entry '!$AA$1:$AA$1501,$J1021+1)&amp;"",INDEX('Daily Sale entry '!$P$1:$P$1501,$J1021-1499)&amp;""))</f>
        <v/>
      </c>
      <c r="E1021">
        <f>IF($J1021="","",IF($J1021&lt;=1500,IF(N(INDEX('Daily Sale entry '!$AB$1:$AB$1501,$J1021+1))=0,"",INDEX('Daily Sale entry '!$AB$1:$AB$1501,$J1021+1)),1))</f>
        <v/>
      </c>
      <c r="F1021" s="6">
        <f>IF($J1021="","",IF($J1021&lt;=1500,N(INDEX('Daily Sale entry '!$AC$1:$AC$1501,$J1021+1))-IF(AND('Opening Balance'!$B$15=1,INDEX('Daily Sale entry '!$Z$1:$Z$1501,$J1021+1)="Online collection 网上收款",INDEX('Daily Sale entry '!$AA$1:$AA$1501,$J1021+1)&lt;&gt;""),N(INDEX('Daily Sale entry '!$AC$1:$AC$1501,$J1021+1))-TRUNC(N(INDEX('Daily Sale entry '!$AC$1:$AC$1501,$J1021+1))),0),N(INDEX('Daily Sale entry '!$S$1:$S$1501,$J1021-1499))-'Opening Balance'!$B$15*(N(INDEX('Daily Sale entry '!$S$1:$S$1501,$J1021-1499))-TRUNC(N(INDEX('Daily Sale entry '!$S$1:$S$1501,$J1021-1499))))))</f>
        <v/>
      </c>
      <c r="G1021" s="6">
        <f>IF($J1021="","",IF($J1021&lt;=1500,N(INDEX('Daily Sale entry '!$AD$1:$AD$1501,$J1021+1)),0))</f>
        <v/>
      </c>
      <c r="H1021" s="6">
        <f>IF($J1021="","",ROUND('Opening Balance'!$B$4+SUM($F$2:F1021)-SUM($G$2:G1021),2))</f>
        <v/>
      </c>
      <c r="J1021" s="21">
        <f>IFERROR(MATCH(ROW()-1,$L$2:$L$3001,0),"")</f>
        <v/>
      </c>
      <c r="K1021" s="34">
        <f>IF(AND('Daily Sale entry '!X1021&lt;&gt;"",OR('Daily Sale entry '!AC1021&lt;&gt;"",'Daily Sale entry '!AD1021&lt;&gt;"")),'Daily Sale entry '!X1021+ROW()/10000000,"")</f>
        <v/>
      </c>
      <c r="L1021" s="21">
        <f>IF(K1021="","",COUNTIF($K$2:$K$3001,"&lt;"&amp;K1021)+1)</f>
        <v/>
      </c>
    </row>
    <row r="1022">
      <c r="A1022" s="5">
        <f>IF($J1022="","",IF($J1022&lt;=1500,INDEX('Daily Sale entry '!$X$1:$X$1501,$J1022+1),INDEX('Daily Sale entry '!$V$1:$V$1501,$J1022-1499)))</f>
        <v/>
      </c>
      <c r="B1022">
        <f>IF($J1022="","",IF($J1022&lt;=1500,INDEX('Daily Sale entry '!$Y$1:$Y$1501,$J1022+1)&amp;"","Buyer cheque banked 买家支票存入"&amp;IF(INDEX('Daily Sale entry '!$U$1:$U$1501,$J1022-1499)="","", " - "&amp;INDEX('Daily Sale entry '!$U$1:$U$1501,$J1022-1499))))</f>
        <v/>
      </c>
      <c r="C1022">
        <f>IF($J1022="","",IF($J1022&lt;=1500,INDEX('Daily Sale entry '!$Z$1:$Z$1501,$J1022+1)&amp;"","Cheque deposit 支票存入 (buyer 买家)"))</f>
        <v/>
      </c>
      <c r="D1022">
        <f>IF($J1022="","",IF($J1022&lt;=1500,INDEX('Daily Sale entry '!$AA$1:$AA$1501,$J1022+1)&amp;"",INDEX('Daily Sale entry '!$P$1:$P$1501,$J1022-1499)&amp;""))</f>
        <v/>
      </c>
      <c r="E1022">
        <f>IF($J1022="","",IF($J1022&lt;=1500,IF(N(INDEX('Daily Sale entry '!$AB$1:$AB$1501,$J1022+1))=0,"",INDEX('Daily Sale entry '!$AB$1:$AB$1501,$J1022+1)),1))</f>
        <v/>
      </c>
      <c r="F1022" s="6">
        <f>IF($J1022="","",IF($J1022&lt;=1500,N(INDEX('Daily Sale entry '!$AC$1:$AC$1501,$J1022+1))-IF(AND('Opening Balance'!$B$15=1,INDEX('Daily Sale entry '!$Z$1:$Z$1501,$J1022+1)="Online collection 网上收款",INDEX('Daily Sale entry '!$AA$1:$AA$1501,$J1022+1)&lt;&gt;""),N(INDEX('Daily Sale entry '!$AC$1:$AC$1501,$J1022+1))-TRUNC(N(INDEX('Daily Sale entry '!$AC$1:$AC$1501,$J1022+1))),0),N(INDEX('Daily Sale entry '!$S$1:$S$1501,$J1022-1499))-'Opening Balance'!$B$15*(N(INDEX('Daily Sale entry '!$S$1:$S$1501,$J1022-1499))-TRUNC(N(INDEX('Daily Sale entry '!$S$1:$S$1501,$J1022-1499))))))</f>
        <v/>
      </c>
      <c r="G1022" s="6">
        <f>IF($J1022="","",IF($J1022&lt;=1500,N(INDEX('Daily Sale entry '!$AD$1:$AD$1501,$J1022+1)),0))</f>
        <v/>
      </c>
      <c r="H1022" s="6">
        <f>IF($J1022="","",ROUND('Opening Balance'!$B$4+SUM($F$2:F1022)-SUM($G$2:G1022),2))</f>
        <v/>
      </c>
      <c r="J1022" s="21">
        <f>IFERROR(MATCH(ROW()-1,$L$2:$L$3001,0),"")</f>
        <v/>
      </c>
      <c r="K1022" s="34">
        <f>IF(AND('Daily Sale entry '!X1022&lt;&gt;"",OR('Daily Sale entry '!AC1022&lt;&gt;"",'Daily Sale entry '!AD1022&lt;&gt;"")),'Daily Sale entry '!X1022+ROW()/10000000,"")</f>
        <v/>
      </c>
      <c r="L1022" s="21">
        <f>IF(K1022="","",COUNTIF($K$2:$K$3001,"&lt;"&amp;K1022)+1)</f>
        <v/>
      </c>
    </row>
    <row r="1023">
      <c r="A1023" s="5">
        <f>IF($J1023="","",IF($J1023&lt;=1500,INDEX('Daily Sale entry '!$X$1:$X$1501,$J1023+1),INDEX('Daily Sale entry '!$V$1:$V$1501,$J1023-1499)))</f>
        <v/>
      </c>
      <c r="B1023">
        <f>IF($J1023="","",IF($J1023&lt;=1500,INDEX('Daily Sale entry '!$Y$1:$Y$1501,$J1023+1)&amp;"","Buyer cheque banked 买家支票存入"&amp;IF(INDEX('Daily Sale entry '!$U$1:$U$1501,$J1023-1499)="","", " - "&amp;INDEX('Daily Sale entry '!$U$1:$U$1501,$J1023-1499))))</f>
        <v/>
      </c>
      <c r="C1023">
        <f>IF($J1023="","",IF($J1023&lt;=1500,INDEX('Daily Sale entry '!$Z$1:$Z$1501,$J1023+1)&amp;"","Cheque deposit 支票存入 (buyer 买家)"))</f>
        <v/>
      </c>
      <c r="D1023">
        <f>IF($J1023="","",IF($J1023&lt;=1500,INDEX('Daily Sale entry '!$AA$1:$AA$1501,$J1023+1)&amp;"",INDEX('Daily Sale entry '!$P$1:$P$1501,$J1023-1499)&amp;""))</f>
        <v/>
      </c>
      <c r="E1023">
        <f>IF($J1023="","",IF($J1023&lt;=1500,IF(N(INDEX('Daily Sale entry '!$AB$1:$AB$1501,$J1023+1))=0,"",INDEX('Daily Sale entry '!$AB$1:$AB$1501,$J1023+1)),1))</f>
        <v/>
      </c>
      <c r="F1023" s="6">
        <f>IF($J1023="","",IF($J1023&lt;=1500,N(INDEX('Daily Sale entry '!$AC$1:$AC$1501,$J1023+1))-IF(AND('Opening Balance'!$B$15=1,INDEX('Daily Sale entry '!$Z$1:$Z$1501,$J1023+1)="Online collection 网上收款",INDEX('Daily Sale entry '!$AA$1:$AA$1501,$J1023+1)&lt;&gt;""),N(INDEX('Daily Sale entry '!$AC$1:$AC$1501,$J1023+1))-TRUNC(N(INDEX('Daily Sale entry '!$AC$1:$AC$1501,$J1023+1))),0),N(INDEX('Daily Sale entry '!$S$1:$S$1501,$J1023-1499))-'Opening Balance'!$B$15*(N(INDEX('Daily Sale entry '!$S$1:$S$1501,$J1023-1499))-TRUNC(N(INDEX('Daily Sale entry '!$S$1:$S$1501,$J1023-1499))))))</f>
        <v/>
      </c>
      <c r="G1023" s="6">
        <f>IF($J1023="","",IF($J1023&lt;=1500,N(INDEX('Daily Sale entry '!$AD$1:$AD$1501,$J1023+1)),0))</f>
        <v/>
      </c>
      <c r="H1023" s="6">
        <f>IF($J1023="","",ROUND('Opening Balance'!$B$4+SUM($F$2:F1023)-SUM($G$2:G1023),2))</f>
        <v/>
      </c>
      <c r="J1023" s="21">
        <f>IFERROR(MATCH(ROW()-1,$L$2:$L$3001,0),"")</f>
        <v/>
      </c>
      <c r="K1023" s="34">
        <f>IF(AND('Daily Sale entry '!X1023&lt;&gt;"",OR('Daily Sale entry '!AC1023&lt;&gt;"",'Daily Sale entry '!AD1023&lt;&gt;"")),'Daily Sale entry '!X1023+ROW()/10000000,"")</f>
        <v/>
      </c>
      <c r="L1023" s="21">
        <f>IF(K1023="","",COUNTIF($K$2:$K$3001,"&lt;"&amp;K1023)+1)</f>
        <v/>
      </c>
    </row>
    <row r="1024">
      <c r="A1024" s="5">
        <f>IF($J1024="","",IF($J1024&lt;=1500,INDEX('Daily Sale entry '!$X$1:$X$1501,$J1024+1),INDEX('Daily Sale entry '!$V$1:$V$1501,$J1024-1499)))</f>
        <v/>
      </c>
      <c r="B1024">
        <f>IF($J1024="","",IF($J1024&lt;=1500,INDEX('Daily Sale entry '!$Y$1:$Y$1501,$J1024+1)&amp;"","Buyer cheque banked 买家支票存入"&amp;IF(INDEX('Daily Sale entry '!$U$1:$U$1501,$J1024-1499)="","", " - "&amp;INDEX('Daily Sale entry '!$U$1:$U$1501,$J1024-1499))))</f>
        <v/>
      </c>
      <c r="C1024">
        <f>IF($J1024="","",IF($J1024&lt;=1500,INDEX('Daily Sale entry '!$Z$1:$Z$1501,$J1024+1)&amp;"","Cheque deposit 支票存入 (buyer 买家)"))</f>
        <v/>
      </c>
      <c r="D1024">
        <f>IF($J1024="","",IF($J1024&lt;=1500,INDEX('Daily Sale entry '!$AA$1:$AA$1501,$J1024+1)&amp;"",INDEX('Daily Sale entry '!$P$1:$P$1501,$J1024-1499)&amp;""))</f>
        <v/>
      </c>
      <c r="E1024">
        <f>IF($J1024="","",IF($J1024&lt;=1500,IF(N(INDEX('Daily Sale entry '!$AB$1:$AB$1501,$J1024+1))=0,"",INDEX('Daily Sale entry '!$AB$1:$AB$1501,$J1024+1)),1))</f>
        <v/>
      </c>
      <c r="F1024" s="6">
        <f>IF($J1024="","",IF($J1024&lt;=1500,N(INDEX('Daily Sale entry '!$AC$1:$AC$1501,$J1024+1))-IF(AND('Opening Balance'!$B$15=1,INDEX('Daily Sale entry '!$Z$1:$Z$1501,$J1024+1)="Online collection 网上收款",INDEX('Daily Sale entry '!$AA$1:$AA$1501,$J1024+1)&lt;&gt;""),N(INDEX('Daily Sale entry '!$AC$1:$AC$1501,$J1024+1))-TRUNC(N(INDEX('Daily Sale entry '!$AC$1:$AC$1501,$J1024+1))),0),N(INDEX('Daily Sale entry '!$S$1:$S$1501,$J1024-1499))-'Opening Balance'!$B$15*(N(INDEX('Daily Sale entry '!$S$1:$S$1501,$J1024-1499))-TRUNC(N(INDEX('Daily Sale entry '!$S$1:$S$1501,$J1024-1499))))))</f>
        <v/>
      </c>
      <c r="G1024" s="6">
        <f>IF($J1024="","",IF($J1024&lt;=1500,N(INDEX('Daily Sale entry '!$AD$1:$AD$1501,$J1024+1)),0))</f>
        <v/>
      </c>
      <c r="H1024" s="6">
        <f>IF($J1024="","",ROUND('Opening Balance'!$B$4+SUM($F$2:F1024)-SUM($G$2:G1024),2))</f>
        <v/>
      </c>
      <c r="J1024" s="21">
        <f>IFERROR(MATCH(ROW()-1,$L$2:$L$3001,0),"")</f>
        <v/>
      </c>
      <c r="K1024" s="34">
        <f>IF(AND('Daily Sale entry '!X1024&lt;&gt;"",OR('Daily Sale entry '!AC1024&lt;&gt;"",'Daily Sale entry '!AD1024&lt;&gt;"")),'Daily Sale entry '!X1024+ROW()/10000000,"")</f>
        <v/>
      </c>
      <c r="L1024" s="21">
        <f>IF(K1024="","",COUNTIF($K$2:$K$3001,"&lt;"&amp;K1024)+1)</f>
        <v/>
      </c>
    </row>
    <row r="1025">
      <c r="A1025" s="5">
        <f>IF($J1025="","",IF($J1025&lt;=1500,INDEX('Daily Sale entry '!$X$1:$X$1501,$J1025+1),INDEX('Daily Sale entry '!$V$1:$V$1501,$J1025-1499)))</f>
        <v/>
      </c>
      <c r="B1025">
        <f>IF($J1025="","",IF($J1025&lt;=1500,INDEX('Daily Sale entry '!$Y$1:$Y$1501,$J1025+1)&amp;"","Buyer cheque banked 买家支票存入"&amp;IF(INDEX('Daily Sale entry '!$U$1:$U$1501,$J1025-1499)="","", " - "&amp;INDEX('Daily Sale entry '!$U$1:$U$1501,$J1025-1499))))</f>
        <v/>
      </c>
      <c r="C1025">
        <f>IF($J1025="","",IF($J1025&lt;=1500,INDEX('Daily Sale entry '!$Z$1:$Z$1501,$J1025+1)&amp;"","Cheque deposit 支票存入 (buyer 买家)"))</f>
        <v/>
      </c>
      <c r="D1025">
        <f>IF($J1025="","",IF($J1025&lt;=1500,INDEX('Daily Sale entry '!$AA$1:$AA$1501,$J1025+1)&amp;"",INDEX('Daily Sale entry '!$P$1:$P$1501,$J1025-1499)&amp;""))</f>
        <v/>
      </c>
      <c r="E1025">
        <f>IF($J1025="","",IF($J1025&lt;=1500,IF(N(INDEX('Daily Sale entry '!$AB$1:$AB$1501,$J1025+1))=0,"",INDEX('Daily Sale entry '!$AB$1:$AB$1501,$J1025+1)),1))</f>
        <v/>
      </c>
      <c r="F1025" s="6">
        <f>IF($J1025="","",IF($J1025&lt;=1500,N(INDEX('Daily Sale entry '!$AC$1:$AC$1501,$J1025+1))-IF(AND('Opening Balance'!$B$15=1,INDEX('Daily Sale entry '!$Z$1:$Z$1501,$J1025+1)="Online collection 网上收款",INDEX('Daily Sale entry '!$AA$1:$AA$1501,$J1025+1)&lt;&gt;""),N(INDEX('Daily Sale entry '!$AC$1:$AC$1501,$J1025+1))-TRUNC(N(INDEX('Daily Sale entry '!$AC$1:$AC$1501,$J1025+1))),0),N(INDEX('Daily Sale entry '!$S$1:$S$1501,$J1025-1499))-'Opening Balance'!$B$15*(N(INDEX('Daily Sale entry '!$S$1:$S$1501,$J1025-1499))-TRUNC(N(INDEX('Daily Sale entry '!$S$1:$S$1501,$J1025-1499))))))</f>
        <v/>
      </c>
      <c r="G1025" s="6">
        <f>IF($J1025="","",IF($J1025&lt;=1500,N(INDEX('Daily Sale entry '!$AD$1:$AD$1501,$J1025+1)),0))</f>
        <v/>
      </c>
      <c r="H1025" s="6">
        <f>IF($J1025="","",ROUND('Opening Balance'!$B$4+SUM($F$2:F1025)-SUM($G$2:G1025),2))</f>
        <v/>
      </c>
      <c r="J1025" s="21">
        <f>IFERROR(MATCH(ROW()-1,$L$2:$L$3001,0),"")</f>
        <v/>
      </c>
      <c r="K1025" s="34">
        <f>IF(AND('Daily Sale entry '!X1025&lt;&gt;"",OR('Daily Sale entry '!AC1025&lt;&gt;"",'Daily Sale entry '!AD1025&lt;&gt;"")),'Daily Sale entry '!X1025+ROW()/10000000,"")</f>
        <v/>
      </c>
      <c r="L1025" s="21">
        <f>IF(K1025="","",COUNTIF($K$2:$K$3001,"&lt;"&amp;K1025)+1)</f>
        <v/>
      </c>
    </row>
    <row r="1026">
      <c r="A1026" s="5">
        <f>IF($J1026="","",IF($J1026&lt;=1500,INDEX('Daily Sale entry '!$X$1:$X$1501,$J1026+1),INDEX('Daily Sale entry '!$V$1:$V$1501,$J1026-1499)))</f>
        <v/>
      </c>
      <c r="B1026">
        <f>IF($J1026="","",IF($J1026&lt;=1500,INDEX('Daily Sale entry '!$Y$1:$Y$1501,$J1026+1)&amp;"","Buyer cheque banked 买家支票存入"&amp;IF(INDEX('Daily Sale entry '!$U$1:$U$1501,$J1026-1499)="","", " - "&amp;INDEX('Daily Sale entry '!$U$1:$U$1501,$J1026-1499))))</f>
        <v/>
      </c>
      <c r="C1026">
        <f>IF($J1026="","",IF($J1026&lt;=1500,INDEX('Daily Sale entry '!$Z$1:$Z$1501,$J1026+1)&amp;"","Cheque deposit 支票存入 (buyer 买家)"))</f>
        <v/>
      </c>
      <c r="D1026">
        <f>IF($J1026="","",IF($J1026&lt;=1500,INDEX('Daily Sale entry '!$AA$1:$AA$1501,$J1026+1)&amp;"",INDEX('Daily Sale entry '!$P$1:$P$1501,$J1026-1499)&amp;""))</f>
        <v/>
      </c>
      <c r="E1026">
        <f>IF($J1026="","",IF($J1026&lt;=1500,IF(N(INDEX('Daily Sale entry '!$AB$1:$AB$1501,$J1026+1))=0,"",INDEX('Daily Sale entry '!$AB$1:$AB$1501,$J1026+1)),1))</f>
        <v/>
      </c>
      <c r="F1026" s="6">
        <f>IF($J1026="","",IF($J1026&lt;=1500,N(INDEX('Daily Sale entry '!$AC$1:$AC$1501,$J1026+1))-IF(AND('Opening Balance'!$B$15=1,INDEX('Daily Sale entry '!$Z$1:$Z$1501,$J1026+1)="Online collection 网上收款",INDEX('Daily Sale entry '!$AA$1:$AA$1501,$J1026+1)&lt;&gt;""),N(INDEX('Daily Sale entry '!$AC$1:$AC$1501,$J1026+1))-TRUNC(N(INDEX('Daily Sale entry '!$AC$1:$AC$1501,$J1026+1))),0),N(INDEX('Daily Sale entry '!$S$1:$S$1501,$J1026-1499))-'Opening Balance'!$B$15*(N(INDEX('Daily Sale entry '!$S$1:$S$1501,$J1026-1499))-TRUNC(N(INDEX('Daily Sale entry '!$S$1:$S$1501,$J1026-1499))))))</f>
        <v/>
      </c>
      <c r="G1026" s="6">
        <f>IF($J1026="","",IF($J1026&lt;=1500,N(INDEX('Daily Sale entry '!$AD$1:$AD$1501,$J1026+1)),0))</f>
        <v/>
      </c>
      <c r="H1026" s="6">
        <f>IF($J1026="","",ROUND('Opening Balance'!$B$4+SUM($F$2:F1026)-SUM($G$2:G1026),2))</f>
        <v/>
      </c>
      <c r="J1026" s="21">
        <f>IFERROR(MATCH(ROW()-1,$L$2:$L$3001,0),"")</f>
        <v/>
      </c>
      <c r="K1026" s="34">
        <f>IF(AND('Daily Sale entry '!X1026&lt;&gt;"",OR('Daily Sale entry '!AC1026&lt;&gt;"",'Daily Sale entry '!AD1026&lt;&gt;"")),'Daily Sale entry '!X1026+ROW()/10000000,"")</f>
        <v/>
      </c>
      <c r="L1026" s="21">
        <f>IF(K1026="","",COUNTIF($K$2:$K$3001,"&lt;"&amp;K1026)+1)</f>
        <v/>
      </c>
    </row>
    <row r="1027">
      <c r="A1027" s="5">
        <f>IF($J1027="","",IF($J1027&lt;=1500,INDEX('Daily Sale entry '!$X$1:$X$1501,$J1027+1),INDEX('Daily Sale entry '!$V$1:$V$1501,$J1027-1499)))</f>
        <v/>
      </c>
      <c r="B1027">
        <f>IF($J1027="","",IF($J1027&lt;=1500,INDEX('Daily Sale entry '!$Y$1:$Y$1501,$J1027+1)&amp;"","Buyer cheque banked 买家支票存入"&amp;IF(INDEX('Daily Sale entry '!$U$1:$U$1501,$J1027-1499)="","", " - "&amp;INDEX('Daily Sale entry '!$U$1:$U$1501,$J1027-1499))))</f>
        <v/>
      </c>
      <c r="C1027">
        <f>IF($J1027="","",IF($J1027&lt;=1500,INDEX('Daily Sale entry '!$Z$1:$Z$1501,$J1027+1)&amp;"","Cheque deposit 支票存入 (buyer 买家)"))</f>
        <v/>
      </c>
      <c r="D1027">
        <f>IF($J1027="","",IF($J1027&lt;=1500,INDEX('Daily Sale entry '!$AA$1:$AA$1501,$J1027+1)&amp;"",INDEX('Daily Sale entry '!$P$1:$P$1501,$J1027-1499)&amp;""))</f>
        <v/>
      </c>
      <c r="E1027">
        <f>IF($J1027="","",IF($J1027&lt;=1500,IF(N(INDEX('Daily Sale entry '!$AB$1:$AB$1501,$J1027+1))=0,"",INDEX('Daily Sale entry '!$AB$1:$AB$1501,$J1027+1)),1))</f>
        <v/>
      </c>
      <c r="F1027" s="6">
        <f>IF($J1027="","",IF($J1027&lt;=1500,N(INDEX('Daily Sale entry '!$AC$1:$AC$1501,$J1027+1))-IF(AND('Opening Balance'!$B$15=1,INDEX('Daily Sale entry '!$Z$1:$Z$1501,$J1027+1)="Online collection 网上收款",INDEX('Daily Sale entry '!$AA$1:$AA$1501,$J1027+1)&lt;&gt;""),N(INDEX('Daily Sale entry '!$AC$1:$AC$1501,$J1027+1))-TRUNC(N(INDEX('Daily Sale entry '!$AC$1:$AC$1501,$J1027+1))),0),N(INDEX('Daily Sale entry '!$S$1:$S$1501,$J1027-1499))-'Opening Balance'!$B$15*(N(INDEX('Daily Sale entry '!$S$1:$S$1501,$J1027-1499))-TRUNC(N(INDEX('Daily Sale entry '!$S$1:$S$1501,$J1027-1499))))))</f>
        <v/>
      </c>
      <c r="G1027" s="6">
        <f>IF($J1027="","",IF($J1027&lt;=1500,N(INDEX('Daily Sale entry '!$AD$1:$AD$1501,$J1027+1)),0))</f>
        <v/>
      </c>
      <c r="H1027" s="6">
        <f>IF($J1027="","",ROUND('Opening Balance'!$B$4+SUM($F$2:F1027)-SUM($G$2:G1027),2))</f>
        <v/>
      </c>
      <c r="J1027" s="21">
        <f>IFERROR(MATCH(ROW()-1,$L$2:$L$3001,0),"")</f>
        <v/>
      </c>
      <c r="K1027" s="34">
        <f>IF(AND('Daily Sale entry '!X1027&lt;&gt;"",OR('Daily Sale entry '!AC1027&lt;&gt;"",'Daily Sale entry '!AD1027&lt;&gt;"")),'Daily Sale entry '!X1027+ROW()/10000000,"")</f>
        <v/>
      </c>
      <c r="L1027" s="21">
        <f>IF(K1027="","",COUNTIF($K$2:$K$3001,"&lt;"&amp;K1027)+1)</f>
        <v/>
      </c>
    </row>
    <row r="1028">
      <c r="A1028" s="5">
        <f>IF($J1028="","",IF($J1028&lt;=1500,INDEX('Daily Sale entry '!$X$1:$X$1501,$J1028+1),INDEX('Daily Sale entry '!$V$1:$V$1501,$J1028-1499)))</f>
        <v/>
      </c>
      <c r="B1028">
        <f>IF($J1028="","",IF($J1028&lt;=1500,INDEX('Daily Sale entry '!$Y$1:$Y$1501,$J1028+1)&amp;"","Buyer cheque banked 买家支票存入"&amp;IF(INDEX('Daily Sale entry '!$U$1:$U$1501,$J1028-1499)="","", " - "&amp;INDEX('Daily Sale entry '!$U$1:$U$1501,$J1028-1499))))</f>
        <v/>
      </c>
      <c r="C1028">
        <f>IF($J1028="","",IF($J1028&lt;=1500,INDEX('Daily Sale entry '!$Z$1:$Z$1501,$J1028+1)&amp;"","Cheque deposit 支票存入 (buyer 买家)"))</f>
        <v/>
      </c>
      <c r="D1028">
        <f>IF($J1028="","",IF($J1028&lt;=1500,INDEX('Daily Sale entry '!$AA$1:$AA$1501,$J1028+1)&amp;"",INDEX('Daily Sale entry '!$P$1:$P$1501,$J1028-1499)&amp;""))</f>
        <v/>
      </c>
      <c r="E1028">
        <f>IF($J1028="","",IF($J1028&lt;=1500,IF(N(INDEX('Daily Sale entry '!$AB$1:$AB$1501,$J1028+1))=0,"",INDEX('Daily Sale entry '!$AB$1:$AB$1501,$J1028+1)),1))</f>
        <v/>
      </c>
      <c r="F1028" s="6">
        <f>IF($J1028="","",IF($J1028&lt;=1500,N(INDEX('Daily Sale entry '!$AC$1:$AC$1501,$J1028+1))-IF(AND('Opening Balance'!$B$15=1,INDEX('Daily Sale entry '!$Z$1:$Z$1501,$J1028+1)="Online collection 网上收款",INDEX('Daily Sale entry '!$AA$1:$AA$1501,$J1028+1)&lt;&gt;""),N(INDEX('Daily Sale entry '!$AC$1:$AC$1501,$J1028+1))-TRUNC(N(INDEX('Daily Sale entry '!$AC$1:$AC$1501,$J1028+1))),0),N(INDEX('Daily Sale entry '!$S$1:$S$1501,$J1028-1499))-'Opening Balance'!$B$15*(N(INDEX('Daily Sale entry '!$S$1:$S$1501,$J1028-1499))-TRUNC(N(INDEX('Daily Sale entry '!$S$1:$S$1501,$J1028-1499))))))</f>
        <v/>
      </c>
      <c r="G1028" s="6">
        <f>IF($J1028="","",IF($J1028&lt;=1500,N(INDEX('Daily Sale entry '!$AD$1:$AD$1501,$J1028+1)),0))</f>
        <v/>
      </c>
      <c r="H1028" s="6">
        <f>IF($J1028="","",ROUND('Opening Balance'!$B$4+SUM($F$2:F1028)-SUM($G$2:G1028),2))</f>
        <v/>
      </c>
      <c r="J1028" s="21">
        <f>IFERROR(MATCH(ROW()-1,$L$2:$L$3001,0),"")</f>
        <v/>
      </c>
      <c r="K1028" s="34">
        <f>IF(AND('Daily Sale entry '!X1028&lt;&gt;"",OR('Daily Sale entry '!AC1028&lt;&gt;"",'Daily Sale entry '!AD1028&lt;&gt;"")),'Daily Sale entry '!X1028+ROW()/10000000,"")</f>
        <v/>
      </c>
      <c r="L1028" s="21">
        <f>IF(K1028="","",COUNTIF($K$2:$K$3001,"&lt;"&amp;K1028)+1)</f>
        <v/>
      </c>
    </row>
    <row r="1029">
      <c r="A1029" s="5">
        <f>IF($J1029="","",IF($J1029&lt;=1500,INDEX('Daily Sale entry '!$X$1:$X$1501,$J1029+1),INDEX('Daily Sale entry '!$V$1:$V$1501,$J1029-1499)))</f>
        <v/>
      </c>
      <c r="B1029">
        <f>IF($J1029="","",IF($J1029&lt;=1500,INDEX('Daily Sale entry '!$Y$1:$Y$1501,$J1029+1)&amp;"","Buyer cheque banked 买家支票存入"&amp;IF(INDEX('Daily Sale entry '!$U$1:$U$1501,$J1029-1499)="","", " - "&amp;INDEX('Daily Sale entry '!$U$1:$U$1501,$J1029-1499))))</f>
        <v/>
      </c>
      <c r="C1029">
        <f>IF($J1029="","",IF($J1029&lt;=1500,INDEX('Daily Sale entry '!$Z$1:$Z$1501,$J1029+1)&amp;"","Cheque deposit 支票存入 (buyer 买家)"))</f>
        <v/>
      </c>
      <c r="D1029">
        <f>IF($J1029="","",IF($J1029&lt;=1500,INDEX('Daily Sale entry '!$AA$1:$AA$1501,$J1029+1)&amp;"",INDEX('Daily Sale entry '!$P$1:$P$1501,$J1029-1499)&amp;""))</f>
        <v/>
      </c>
      <c r="E1029">
        <f>IF($J1029="","",IF($J1029&lt;=1500,IF(N(INDEX('Daily Sale entry '!$AB$1:$AB$1501,$J1029+1))=0,"",INDEX('Daily Sale entry '!$AB$1:$AB$1501,$J1029+1)),1))</f>
        <v/>
      </c>
      <c r="F1029" s="6">
        <f>IF($J1029="","",IF($J1029&lt;=1500,N(INDEX('Daily Sale entry '!$AC$1:$AC$1501,$J1029+1))-IF(AND('Opening Balance'!$B$15=1,INDEX('Daily Sale entry '!$Z$1:$Z$1501,$J1029+1)="Online collection 网上收款",INDEX('Daily Sale entry '!$AA$1:$AA$1501,$J1029+1)&lt;&gt;""),N(INDEX('Daily Sale entry '!$AC$1:$AC$1501,$J1029+1))-TRUNC(N(INDEX('Daily Sale entry '!$AC$1:$AC$1501,$J1029+1))),0),N(INDEX('Daily Sale entry '!$S$1:$S$1501,$J1029-1499))-'Opening Balance'!$B$15*(N(INDEX('Daily Sale entry '!$S$1:$S$1501,$J1029-1499))-TRUNC(N(INDEX('Daily Sale entry '!$S$1:$S$1501,$J1029-1499))))))</f>
        <v/>
      </c>
      <c r="G1029" s="6">
        <f>IF($J1029="","",IF($J1029&lt;=1500,N(INDEX('Daily Sale entry '!$AD$1:$AD$1501,$J1029+1)),0))</f>
        <v/>
      </c>
      <c r="H1029" s="6">
        <f>IF($J1029="","",ROUND('Opening Balance'!$B$4+SUM($F$2:F1029)-SUM($G$2:G1029),2))</f>
        <v/>
      </c>
      <c r="J1029" s="21">
        <f>IFERROR(MATCH(ROW()-1,$L$2:$L$3001,0),"")</f>
        <v/>
      </c>
      <c r="K1029" s="34">
        <f>IF(AND('Daily Sale entry '!X1029&lt;&gt;"",OR('Daily Sale entry '!AC1029&lt;&gt;"",'Daily Sale entry '!AD1029&lt;&gt;"")),'Daily Sale entry '!X1029+ROW()/10000000,"")</f>
        <v/>
      </c>
      <c r="L1029" s="21">
        <f>IF(K1029="","",COUNTIF($K$2:$K$3001,"&lt;"&amp;K1029)+1)</f>
        <v/>
      </c>
    </row>
    <row r="1030">
      <c r="A1030" s="5">
        <f>IF($J1030="","",IF($J1030&lt;=1500,INDEX('Daily Sale entry '!$X$1:$X$1501,$J1030+1),INDEX('Daily Sale entry '!$V$1:$V$1501,$J1030-1499)))</f>
        <v/>
      </c>
      <c r="B1030">
        <f>IF($J1030="","",IF($J1030&lt;=1500,INDEX('Daily Sale entry '!$Y$1:$Y$1501,$J1030+1)&amp;"","Buyer cheque banked 买家支票存入"&amp;IF(INDEX('Daily Sale entry '!$U$1:$U$1501,$J1030-1499)="","", " - "&amp;INDEX('Daily Sale entry '!$U$1:$U$1501,$J1030-1499))))</f>
        <v/>
      </c>
      <c r="C1030">
        <f>IF($J1030="","",IF($J1030&lt;=1500,INDEX('Daily Sale entry '!$Z$1:$Z$1501,$J1030+1)&amp;"","Cheque deposit 支票存入 (buyer 买家)"))</f>
        <v/>
      </c>
      <c r="D1030">
        <f>IF($J1030="","",IF($J1030&lt;=1500,INDEX('Daily Sale entry '!$AA$1:$AA$1501,$J1030+1)&amp;"",INDEX('Daily Sale entry '!$P$1:$P$1501,$J1030-1499)&amp;""))</f>
        <v/>
      </c>
      <c r="E1030">
        <f>IF($J1030="","",IF($J1030&lt;=1500,IF(N(INDEX('Daily Sale entry '!$AB$1:$AB$1501,$J1030+1))=0,"",INDEX('Daily Sale entry '!$AB$1:$AB$1501,$J1030+1)),1))</f>
        <v/>
      </c>
      <c r="F1030" s="6">
        <f>IF($J1030="","",IF($J1030&lt;=1500,N(INDEX('Daily Sale entry '!$AC$1:$AC$1501,$J1030+1))-IF(AND('Opening Balance'!$B$15=1,INDEX('Daily Sale entry '!$Z$1:$Z$1501,$J1030+1)="Online collection 网上收款",INDEX('Daily Sale entry '!$AA$1:$AA$1501,$J1030+1)&lt;&gt;""),N(INDEX('Daily Sale entry '!$AC$1:$AC$1501,$J1030+1))-TRUNC(N(INDEX('Daily Sale entry '!$AC$1:$AC$1501,$J1030+1))),0),N(INDEX('Daily Sale entry '!$S$1:$S$1501,$J1030-1499))-'Opening Balance'!$B$15*(N(INDEX('Daily Sale entry '!$S$1:$S$1501,$J1030-1499))-TRUNC(N(INDEX('Daily Sale entry '!$S$1:$S$1501,$J1030-1499))))))</f>
        <v/>
      </c>
      <c r="G1030" s="6">
        <f>IF($J1030="","",IF($J1030&lt;=1500,N(INDEX('Daily Sale entry '!$AD$1:$AD$1501,$J1030+1)),0))</f>
        <v/>
      </c>
      <c r="H1030" s="6">
        <f>IF($J1030="","",ROUND('Opening Balance'!$B$4+SUM($F$2:F1030)-SUM($G$2:G1030),2))</f>
        <v/>
      </c>
      <c r="J1030" s="21">
        <f>IFERROR(MATCH(ROW()-1,$L$2:$L$3001,0),"")</f>
        <v/>
      </c>
      <c r="K1030" s="34">
        <f>IF(AND('Daily Sale entry '!X1030&lt;&gt;"",OR('Daily Sale entry '!AC1030&lt;&gt;"",'Daily Sale entry '!AD1030&lt;&gt;"")),'Daily Sale entry '!X1030+ROW()/10000000,"")</f>
        <v/>
      </c>
      <c r="L1030" s="21">
        <f>IF(K1030="","",COUNTIF($K$2:$K$3001,"&lt;"&amp;K1030)+1)</f>
        <v/>
      </c>
    </row>
    <row r="1031">
      <c r="A1031" s="5">
        <f>IF($J1031="","",IF($J1031&lt;=1500,INDEX('Daily Sale entry '!$X$1:$X$1501,$J1031+1),INDEX('Daily Sale entry '!$V$1:$V$1501,$J1031-1499)))</f>
        <v/>
      </c>
      <c r="B1031">
        <f>IF($J1031="","",IF($J1031&lt;=1500,INDEX('Daily Sale entry '!$Y$1:$Y$1501,$J1031+1)&amp;"","Buyer cheque banked 买家支票存入"&amp;IF(INDEX('Daily Sale entry '!$U$1:$U$1501,$J1031-1499)="","", " - "&amp;INDEX('Daily Sale entry '!$U$1:$U$1501,$J1031-1499))))</f>
        <v/>
      </c>
      <c r="C1031">
        <f>IF($J1031="","",IF($J1031&lt;=1500,INDEX('Daily Sale entry '!$Z$1:$Z$1501,$J1031+1)&amp;"","Cheque deposit 支票存入 (buyer 买家)"))</f>
        <v/>
      </c>
      <c r="D1031">
        <f>IF($J1031="","",IF($J1031&lt;=1500,INDEX('Daily Sale entry '!$AA$1:$AA$1501,$J1031+1)&amp;"",INDEX('Daily Sale entry '!$P$1:$P$1501,$J1031-1499)&amp;""))</f>
        <v/>
      </c>
      <c r="E1031">
        <f>IF($J1031="","",IF($J1031&lt;=1500,IF(N(INDEX('Daily Sale entry '!$AB$1:$AB$1501,$J1031+1))=0,"",INDEX('Daily Sale entry '!$AB$1:$AB$1501,$J1031+1)),1))</f>
        <v/>
      </c>
      <c r="F1031" s="6">
        <f>IF($J1031="","",IF($J1031&lt;=1500,N(INDEX('Daily Sale entry '!$AC$1:$AC$1501,$J1031+1))-IF(AND('Opening Balance'!$B$15=1,INDEX('Daily Sale entry '!$Z$1:$Z$1501,$J1031+1)="Online collection 网上收款",INDEX('Daily Sale entry '!$AA$1:$AA$1501,$J1031+1)&lt;&gt;""),N(INDEX('Daily Sale entry '!$AC$1:$AC$1501,$J1031+1))-TRUNC(N(INDEX('Daily Sale entry '!$AC$1:$AC$1501,$J1031+1))),0),N(INDEX('Daily Sale entry '!$S$1:$S$1501,$J1031-1499))-'Opening Balance'!$B$15*(N(INDEX('Daily Sale entry '!$S$1:$S$1501,$J1031-1499))-TRUNC(N(INDEX('Daily Sale entry '!$S$1:$S$1501,$J1031-1499))))))</f>
        <v/>
      </c>
      <c r="G1031" s="6">
        <f>IF($J1031="","",IF($J1031&lt;=1500,N(INDEX('Daily Sale entry '!$AD$1:$AD$1501,$J1031+1)),0))</f>
        <v/>
      </c>
      <c r="H1031" s="6">
        <f>IF($J1031="","",ROUND('Opening Balance'!$B$4+SUM($F$2:F1031)-SUM($G$2:G1031),2))</f>
        <v/>
      </c>
      <c r="J1031" s="21">
        <f>IFERROR(MATCH(ROW()-1,$L$2:$L$3001,0),"")</f>
        <v/>
      </c>
      <c r="K1031" s="34">
        <f>IF(AND('Daily Sale entry '!X1031&lt;&gt;"",OR('Daily Sale entry '!AC1031&lt;&gt;"",'Daily Sale entry '!AD1031&lt;&gt;"")),'Daily Sale entry '!X1031+ROW()/10000000,"")</f>
        <v/>
      </c>
      <c r="L1031" s="21">
        <f>IF(K1031="","",COUNTIF($K$2:$K$3001,"&lt;"&amp;K1031)+1)</f>
        <v/>
      </c>
    </row>
    <row r="1032">
      <c r="A1032" s="5">
        <f>IF($J1032="","",IF($J1032&lt;=1500,INDEX('Daily Sale entry '!$X$1:$X$1501,$J1032+1),INDEX('Daily Sale entry '!$V$1:$V$1501,$J1032-1499)))</f>
        <v/>
      </c>
      <c r="B1032">
        <f>IF($J1032="","",IF($J1032&lt;=1500,INDEX('Daily Sale entry '!$Y$1:$Y$1501,$J1032+1)&amp;"","Buyer cheque banked 买家支票存入"&amp;IF(INDEX('Daily Sale entry '!$U$1:$U$1501,$J1032-1499)="","", " - "&amp;INDEX('Daily Sale entry '!$U$1:$U$1501,$J1032-1499))))</f>
        <v/>
      </c>
      <c r="C1032">
        <f>IF($J1032="","",IF($J1032&lt;=1500,INDEX('Daily Sale entry '!$Z$1:$Z$1501,$J1032+1)&amp;"","Cheque deposit 支票存入 (buyer 买家)"))</f>
        <v/>
      </c>
      <c r="D1032">
        <f>IF($J1032="","",IF($J1032&lt;=1500,INDEX('Daily Sale entry '!$AA$1:$AA$1501,$J1032+1)&amp;"",INDEX('Daily Sale entry '!$P$1:$P$1501,$J1032-1499)&amp;""))</f>
        <v/>
      </c>
      <c r="E1032">
        <f>IF($J1032="","",IF($J1032&lt;=1500,IF(N(INDEX('Daily Sale entry '!$AB$1:$AB$1501,$J1032+1))=0,"",INDEX('Daily Sale entry '!$AB$1:$AB$1501,$J1032+1)),1))</f>
        <v/>
      </c>
      <c r="F1032" s="6">
        <f>IF($J1032="","",IF($J1032&lt;=1500,N(INDEX('Daily Sale entry '!$AC$1:$AC$1501,$J1032+1))-IF(AND('Opening Balance'!$B$15=1,INDEX('Daily Sale entry '!$Z$1:$Z$1501,$J1032+1)="Online collection 网上收款",INDEX('Daily Sale entry '!$AA$1:$AA$1501,$J1032+1)&lt;&gt;""),N(INDEX('Daily Sale entry '!$AC$1:$AC$1501,$J1032+1))-TRUNC(N(INDEX('Daily Sale entry '!$AC$1:$AC$1501,$J1032+1))),0),N(INDEX('Daily Sale entry '!$S$1:$S$1501,$J1032-1499))-'Opening Balance'!$B$15*(N(INDEX('Daily Sale entry '!$S$1:$S$1501,$J1032-1499))-TRUNC(N(INDEX('Daily Sale entry '!$S$1:$S$1501,$J1032-1499))))))</f>
        <v/>
      </c>
      <c r="G1032" s="6">
        <f>IF($J1032="","",IF($J1032&lt;=1500,N(INDEX('Daily Sale entry '!$AD$1:$AD$1501,$J1032+1)),0))</f>
        <v/>
      </c>
      <c r="H1032" s="6">
        <f>IF($J1032="","",ROUND('Opening Balance'!$B$4+SUM($F$2:F1032)-SUM($G$2:G1032),2))</f>
        <v/>
      </c>
      <c r="J1032" s="21">
        <f>IFERROR(MATCH(ROW()-1,$L$2:$L$3001,0),"")</f>
        <v/>
      </c>
      <c r="K1032" s="34">
        <f>IF(AND('Daily Sale entry '!X1032&lt;&gt;"",OR('Daily Sale entry '!AC1032&lt;&gt;"",'Daily Sale entry '!AD1032&lt;&gt;"")),'Daily Sale entry '!X1032+ROW()/10000000,"")</f>
        <v/>
      </c>
      <c r="L1032" s="21">
        <f>IF(K1032="","",COUNTIF($K$2:$K$3001,"&lt;"&amp;K1032)+1)</f>
        <v/>
      </c>
    </row>
    <row r="1033">
      <c r="A1033" s="5">
        <f>IF($J1033="","",IF($J1033&lt;=1500,INDEX('Daily Sale entry '!$X$1:$X$1501,$J1033+1),INDEX('Daily Sale entry '!$V$1:$V$1501,$J1033-1499)))</f>
        <v/>
      </c>
      <c r="B1033">
        <f>IF($J1033="","",IF($J1033&lt;=1500,INDEX('Daily Sale entry '!$Y$1:$Y$1501,$J1033+1)&amp;"","Buyer cheque banked 买家支票存入"&amp;IF(INDEX('Daily Sale entry '!$U$1:$U$1501,$J1033-1499)="","", " - "&amp;INDEX('Daily Sale entry '!$U$1:$U$1501,$J1033-1499))))</f>
        <v/>
      </c>
      <c r="C1033">
        <f>IF($J1033="","",IF($J1033&lt;=1500,INDEX('Daily Sale entry '!$Z$1:$Z$1501,$J1033+1)&amp;"","Cheque deposit 支票存入 (buyer 买家)"))</f>
        <v/>
      </c>
      <c r="D1033">
        <f>IF($J1033="","",IF($J1033&lt;=1500,INDEX('Daily Sale entry '!$AA$1:$AA$1501,$J1033+1)&amp;"",INDEX('Daily Sale entry '!$P$1:$P$1501,$J1033-1499)&amp;""))</f>
        <v/>
      </c>
      <c r="E1033">
        <f>IF($J1033="","",IF($J1033&lt;=1500,IF(N(INDEX('Daily Sale entry '!$AB$1:$AB$1501,$J1033+1))=0,"",INDEX('Daily Sale entry '!$AB$1:$AB$1501,$J1033+1)),1))</f>
        <v/>
      </c>
      <c r="F1033" s="6">
        <f>IF($J1033="","",IF($J1033&lt;=1500,N(INDEX('Daily Sale entry '!$AC$1:$AC$1501,$J1033+1))-IF(AND('Opening Balance'!$B$15=1,INDEX('Daily Sale entry '!$Z$1:$Z$1501,$J1033+1)="Online collection 网上收款",INDEX('Daily Sale entry '!$AA$1:$AA$1501,$J1033+1)&lt;&gt;""),N(INDEX('Daily Sale entry '!$AC$1:$AC$1501,$J1033+1))-TRUNC(N(INDEX('Daily Sale entry '!$AC$1:$AC$1501,$J1033+1))),0),N(INDEX('Daily Sale entry '!$S$1:$S$1501,$J1033-1499))-'Opening Balance'!$B$15*(N(INDEX('Daily Sale entry '!$S$1:$S$1501,$J1033-1499))-TRUNC(N(INDEX('Daily Sale entry '!$S$1:$S$1501,$J1033-1499))))))</f>
        <v/>
      </c>
      <c r="G1033" s="6">
        <f>IF($J1033="","",IF($J1033&lt;=1500,N(INDEX('Daily Sale entry '!$AD$1:$AD$1501,$J1033+1)),0))</f>
        <v/>
      </c>
      <c r="H1033" s="6">
        <f>IF($J1033="","",ROUND('Opening Balance'!$B$4+SUM($F$2:F1033)-SUM($G$2:G1033),2))</f>
        <v/>
      </c>
      <c r="J1033" s="21">
        <f>IFERROR(MATCH(ROW()-1,$L$2:$L$3001,0),"")</f>
        <v/>
      </c>
      <c r="K1033" s="34">
        <f>IF(AND('Daily Sale entry '!X1033&lt;&gt;"",OR('Daily Sale entry '!AC1033&lt;&gt;"",'Daily Sale entry '!AD1033&lt;&gt;"")),'Daily Sale entry '!X1033+ROW()/10000000,"")</f>
        <v/>
      </c>
      <c r="L1033" s="21">
        <f>IF(K1033="","",COUNTIF($K$2:$K$3001,"&lt;"&amp;K1033)+1)</f>
        <v/>
      </c>
    </row>
    <row r="1034">
      <c r="A1034" s="5">
        <f>IF($J1034="","",IF($J1034&lt;=1500,INDEX('Daily Sale entry '!$X$1:$X$1501,$J1034+1),INDEX('Daily Sale entry '!$V$1:$V$1501,$J1034-1499)))</f>
        <v/>
      </c>
      <c r="B1034">
        <f>IF($J1034="","",IF($J1034&lt;=1500,INDEX('Daily Sale entry '!$Y$1:$Y$1501,$J1034+1)&amp;"","Buyer cheque banked 买家支票存入"&amp;IF(INDEX('Daily Sale entry '!$U$1:$U$1501,$J1034-1499)="","", " - "&amp;INDEX('Daily Sale entry '!$U$1:$U$1501,$J1034-1499))))</f>
        <v/>
      </c>
      <c r="C1034">
        <f>IF($J1034="","",IF($J1034&lt;=1500,INDEX('Daily Sale entry '!$Z$1:$Z$1501,$J1034+1)&amp;"","Cheque deposit 支票存入 (buyer 买家)"))</f>
        <v/>
      </c>
      <c r="D1034">
        <f>IF($J1034="","",IF($J1034&lt;=1500,INDEX('Daily Sale entry '!$AA$1:$AA$1501,$J1034+1)&amp;"",INDEX('Daily Sale entry '!$P$1:$P$1501,$J1034-1499)&amp;""))</f>
        <v/>
      </c>
      <c r="E1034">
        <f>IF($J1034="","",IF($J1034&lt;=1500,IF(N(INDEX('Daily Sale entry '!$AB$1:$AB$1501,$J1034+1))=0,"",INDEX('Daily Sale entry '!$AB$1:$AB$1501,$J1034+1)),1))</f>
        <v/>
      </c>
      <c r="F1034" s="6">
        <f>IF($J1034="","",IF($J1034&lt;=1500,N(INDEX('Daily Sale entry '!$AC$1:$AC$1501,$J1034+1))-IF(AND('Opening Balance'!$B$15=1,INDEX('Daily Sale entry '!$Z$1:$Z$1501,$J1034+1)="Online collection 网上收款",INDEX('Daily Sale entry '!$AA$1:$AA$1501,$J1034+1)&lt;&gt;""),N(INDEX('Daily Sale entry '!$AC$1:$AC$1501,$J1034+1))-TRUNC(N(INDEX('Daily Sale entry '!$AC$1:$AC$1501,$J1034+1))),0),N(INDEX('Daily Sale entry '!$S$1:$S$1501,$J1034-1499))-'Opening Balance'!$B$15*(N(INDEX('Daily Sale entry '!$S$1:$S$1501,$J1034-1499))-TRUNC(N(INDEX('Daily Sale entry '!$S$1:$S$1501,$J1034-1499))))))</f>
        <v/>
      </c>
      <c r="G1034" s="6">
        <f>IF($J1034="","",IF($J1034&lt;=1500,N(INDEX('Daily Sale entry '!$AD$1:$AD$1501,$J1034+1)),0))</f>
        <v/>
      </c>
      <c r="H1034" s="6">
        <f>IF($J1034="","",ROUND('Opening Balance'!$B$4+SUM($F$2:F1034)-SUM($G$2:G1034),2))</f>
        <v/>
      </c>
      <c r="J1034" s="21">
        <f>IFERROR(MATCH(ROW()-1,$L$2:$L$3001,0),"")</f>
        <v/>
      </c>
      <c r="K1034" s="34">
        <f>IF(AND('Daily Sale entry '!X1034&lt;&gt;"",OR('Daily Sale entry '!AC1034&lt;&gt;"",'Daily Sale entry '!AD1034&lt;&gt;"")),'Daily Sale entry '!X1034+ROW()/10000000,"")</f>
        <v/>
      </c>
      <c r="L1034" s="21">
        <f>IF(K1034="","",COUNTIF($K$2:$K$3001,"&lt;"&amp;K1034)+1)</f>
        <v/>
      </c>
    </row>
    <row r="1035">
      <c r="A1035" s="5">
        <f>IF($J1035="","",IF($J1035&lt;=1500,INDEX('Daily Sale entry '!$X$1:$X$1501,$J1035+1),INDEX('Daily Sale entry '!$V$1:$V$1501,$J1035-1499)))</f>
        <v/>
      </c>
      <c r="B1035">
        <f>IF($J1035="","",IF($J1035&lt;=1500,INDEX('Daily Sale entry '!$Y$1:$Y$1501,$J1035+1)&amp;"","Buyer cheque banked 买家支票存入"&amp;IF(INDEX('Daily Sale entry '!$U$1:$U$1501,$J1035-1499)="","", " - "&amp;INDEX('Daily Sale entry '!$U$1:$U$1501,$J1035-1499))))</f>
        <v/>
      </c>
      <c r="C1035">
        <f>IF($J1035="","",IF($J1035&lt;=1500,INDEX('Daily Sale entry '!$Z$1:$Z$1501,$J1035+1)&amp;"","Cheque deposit 支票存入 (buyer 买家)"))</f>
        <v/>
      </c>
      <c r="D1035">
        <f>IF($J1035="","",IF($J1035&lt;=1500,INDEX('Daily Sale entry '!$AA$1:$AA$1501,$J1035+1)&amp;"",INDEX('Daily Sale entry '!$P$1:$P$1501,$J1035-1499)&amp;""))</f>
        <v/>
      </c>
      <c r="E1035">
        <f>IF($J1035="","",IF($J1035&lt;=1500,IF(N(INDEX('Daily Sale entry '!$AB$1:$AB$1501,$J1035+1))=0,"",INDEX('Daily Sale entry '!$AB$1:$AB$1501,$J1035+1)),1))</f>
        <v/>
      </c>
      <c r="F1035" s="6">
        <f>IF($J1035="","",IF($J1035&lt;=1500,N(INDEX('Daily Sale entry '!$AC$1:$AC$1501,$J1035+1))-IF(AND('Opening Balance'!$B$15=1,INDEX('Daily Sale entry '!$Z$1:$Z$1501,$J1035+1)="Online collection 网上收款",INDEX('Daily Sale entry '!$AA$1:$AA$1501,$J1035+1)&lt;&gt;""),N(INDEX('Daily Sale entry '!$AC$1:$AC$1501,$J1035+1))-TRUNC(N(INDEX('Daily Sale entry '!$AC$1:$AC$1501,$J1035+1))),0),N(INDEX('Daily Sale entry '!$S$1:$S$1501,$J1035-1499))-'Opening Balance'!$B$15*(N(INDEX('Daily Sale entry '!$S$1:$S$1501,$J1035-1499))-TRUNC(N(INDEX('Daily Sale entry '!$S$1:$S$1501,$J1035-1499))))))</f>
        <v/>
      </c>
      <c r="G1035" s="6">
        <f>IF($J1035="","",IF($J1035&lt;=1500,N(INDEX('Daily Sale entry '!$AD$1:$AD$1501,$J1035+1)),0))</f>
        <v/>
      </c>
      <c r="H1035" s="6">
        <f>IF($J1035="","",ROUND('Opening Balance'!$B$4+SUM($F$2:F1035)-SUM($G$2:G1035),2))</f>
        <v/>
      </c>
      <c r="J1035" s="21">
        <f>IFERROR(MATCH(ROW()-1,$L$2:$L$3001,0),"")</f>
        <v/>
      </c>
      <c r="K1035" s="34">
        <f>IF(AND('Daily Sale entry '!X1035&lt;&gt;"",OR('Daily Sale entry '!AC1035&lt;&gt;"",'Daily Sale entry '!AD1035&lt;&gt;"")),'Daily Sale entry '!X1035+ROW()/10000000,"")</f>
        <v/>
      </c>
      <c r="L1035" s="21">
        <f>IF(K1035="","",COUNTIF($K$2:$K$3001,"&lt;"&amp;K1035)+1)</f>
        <v/>
      </c>
    </row>
    <row r="1036">
      <c r="A1036" s="5">
        <f>IF($J1036="","",IF($J1036&lt;=1500,INDEX('Daily Sale entry '!$X$1:$X$1501,$J1036+1),INDEX('Daily Sale entry '!$V$1:$V$1501,$J1036-1499)))</f>
        <v/>
      </c>
      <c r="B1036">
        <f>IF($J1036="","",IF($J1036&lt;=1500,INDEX('Daily Sale entry '!$Y$1:$Y$1501,$J1036+1)&amp;"","Buyer cheque banked 买家支票存入"&amp;IF(INDEX('Daily Sale entry '!$U$1:$U$1501,$J1036-1499)="","", " - "&amp;INDEX('Daily Sale entry '!$U$1:$U$1501,$J1036-1499))))</f>
        <v/>
      </c>
      <c r="C1036">
        <f>IF($J1036="","",IF($J1036&lt;=1500,INDEX('Daily Sale entry '!$Z$1:$Z$1501,$J1036+1)&amp;"","Cheque deposit 支票存入 (buyer 买家)"))</f>
        <v/>
      </c>
      <c r="D1036">
        <f>IF($J1036="","",IF($J1036&lt;=1500,INDEX('Daily Sale entry '!$AA$1:$AA$1501,$J1036+1)&amp;"",INDEX('Daily Sale entry '!$P$1:$P$1501,$J1036-1499)&amp;""))</f>
        <v/>
      </c>
      <c r="E1036">
        <f>IF($J1036="","",IF($J1036&lt;=1500,IF(N(INDEX('Daily Sale entry '!$AB$1:$AB$1501,$J1036+1))=0,"",INDEX('Daily Sale entry '!$AB$1:$AB$1501,$J1036+1)),1))</f>
        <v/>
      </c>
      <c r="F1036" s="6">
        <f>IF($J1036="","",IF($J1036&lt;=1500,N(INDEX('Daily Sale entry '!$AC$1:$AC$1501,$J1036+1))-IF(AND('Opening Balance'!$B$15=1,INDEX('Daily Sale entry '!$Z$1:$Z$1501,$J1036+1)="Online collection 网上收款",INDEX('Daily Sale entry '!$AA$1:$AA$1501,$J1036+1)&lt;&gt;""),N(INDEX('Daily Sale entry '!$AC$1:$AC$1501,$J1036+1))-TRUNC(N(INDEX('Daily Sale entry '!$AC$1:$AC$1501,$J1036+1))),0),N(INDEX('Daily Sale entry '!$S$1:$S$1501,$J1036-1499))-'Opening Balance'!$B$15*(N(INDEX('Daily Sale entry '!$S$1:$S$1501,$J1036-1499))-TRUNC(N(INDEX('Daily Sale entry '!$S$1:$S$1501,$J1036-1499))))))</f>
        <v/>
      </c>
      <c r="G1036" s="6">
        <f>IF($J1036="","",IF($J1036&lt;=1500,N(INDEX('Daily Sale entry '!$AD$1:$AD$1501,$J1036+1)),0))</f>
        <v/>
      </c>
      <c r="H1036" s="6">
        <f>IF($J1036="","",ROUND('Opening Balance'!$B$4+SUM($F$2:F1036)-SUM($G$2:G1036),2))</f>
        <v/>
      </c>
      <c r="J1036" s="21">
        <f>IFERROR(MATCH(ROW()-1,$L$2:$L$3001,0),"")</f>
        <v/>
      </c>
      <c r="K1036" s="34">
        <f>IF(AND('Daily Sale entry '!X1036&lt;&gt;"",OR('Daily Sale entry '!AC1036&lt;&gt;"",'Daily Sale entry '!AD1036&lt;&gt;"")),'Daily Sale entry '!X1036+ROW()/10000000,"")</f>
        <v/>
      </c>
      <c r="L1036" s="21">
        <f>IF(K1036="","",COUNTIF($K$2:$K$3001,"&lt;"&amp;K1036)+1)</f>
        <v/>
      </c>
    </row>
    <row r="1037">
      <c r="A1037" s="5">
        <f>IF($J1037="","",IF($J1037&lt;=1500,INDEX('Daily Sale entry '!$X$1:$X$1501,$J1037+1),INDEX('Daily Sale entry '!$V$1:$V$1501,$J1037-1499)))</f>
        <v/>
      </c>
      <c r="B1037">
        <f>IF($J1037="","",IF($J1037&lt;=1500,INDEX('Daily Sale entry '!$Y$1:$Y$1501,$J1037+1)&amp;"","Buyer cheque banked 买家支票存入"&amp;IF(INDEX('Daily Sale entry '!$U$1:$U$1501,$J1037-1499)="","", " - "&amp;INDEX('Daily Sale entry '!$U$1:$U$1501,$J1037-1499))))</f>
        <v/>
      </c>
      <c r="C1037">
        <f>IF($J1037="","",IF($J1037&lt;=1500,INDEX('Daily Sale entry '!$Z$1:$Z$1501,$J1037+1)&amp;"","Cheque deposit 支票存入 (buyer 买家)"))</f>
        <v/>
      </c>
      <c r="D1037">
        <f>IF($J1037="","",IF($J1037&lt;=1500,INDEX('Daily Sale entry '!$AA$1:$AA$1501,$J1037+1)&amp;"",INDEX('Daily Sale entry '!$P$1:$P$1501,$J1037-1499)&amp;""))</f>
        <v/>
      </c>
      <c r="E1037">
        <f>IF($J1037="","",IF($J1037&lt;=1500,IF(N(INDEX('Daily Sale entry '!$AB$1:$AB$1501,$J1037+1))=0,"",INDEX('Daily Sale entry '!$AB$1:$AB$1501,$J1037+1)),1))</f>
        <v/>
      </c>
      <c r="F1037" s="6">
        <f>IF($J1037="","",IF($J1037&lt;=1500,N(INDEX('Daily Sale entry '!$AC$1:$AC$1501,$J1037+1))-IF(AND('Opening Balance'!$B$15=1,INDEX('Daily Sale entry '!$Z$1:$Z$1501,$J1037+1)="Online collection 网上收款",INDEX('Daily Sale entry '!$AA$1:$AA$1501,$J1037+1)&lt;&gt;""),N(INDEX('Daily Sale entry '!$AC$1:$AC$1501,$J1037+1))-TRUNC(N(INDEX('Daily Sale entry '!$AC$1:$AC$1501,$J1037+1))),0),N(INDEX('Daily Sale entry '!$S$1:$S$1501,$J1037-1499))-'Opening Balance'!$B$15*(N(INDEX('Daily Sale entry '!$S$1:$S$1501,$J1037-1499))-TRUNC(N(INDEX('Daily Sale entry '!$S$1:$S$1501,$J1037-1499))))))</f>
        <v/>
      </c>
      <c r="G1037" s="6">
        <f>IF($J1037="","",IF($J1037&lt;=1500,N(INDEX('Daily Sale entry '!$AD$1:$AD$1501,$J1037+1)),0))</f>
        <v/>
      </c>
      <c r="H1037" s="6">
        <f>IF($J1037="","",ROUND('Opening Balance'!$B$4+SUM($F$2:F1037)-SUM($G$2:G1037),2))</f>
        <v/>
      </c>
      <c r="J1037" s="21">
        <f>IFERROR(MATCH(ROW()-1,$L$2:$L$3001,0),"")</f>
        <v/>
      </c>
      <c r="K1037" s="34">
        <f>IF(AND('Daily Sale entry '!X1037&lt;&gt;"",OR('Daily Sale entry '!AC1037&lt;&gt;"",'Daily Sale entry '!AD1037&lt;&gt;"")),'Daily Sale entry '!X1037+ROW()/10000000,"")</f>
        <v/>
      </c>
      <c r="L1037" s="21">
        <f>IF(K1037="","",COUNTIF($K$2:$K$3001,"&lt;"&amp;K1037)+1)</f>
        <v/>
      </c>
    </row>
    <row r="1038">
      <c r="A1038" s="5">
        <f>IF($J1038="","",IF($J1038&lt;=1500,INDEX('Daily Sale entry '!$X$1:$X$1501,$J1038+1),INDEX('Daily Sale entry '!$V$1:$V$1501,$J1038-1499)))</f>
        <v/>
      </c>
      <c r="B1038">
        <f>IF($J1038="","",IF($J1038&lt;=1500,INDEX('Daily Sale entry '!$Y$1:$Y$1501,$J1038+1)&amp;"","Buyer cheque banked 买家支票存入"&amp;IF(INDEX('Daily Sale entry '!$U$1:$U$1501,$J1038-1499)="","", " - "&amp;INDEX('Daily Sale entry '!$U$1:$U$1501,$J1038-1499))))</f>
        <v/>
      </c>
      <c r="C1038">
        <f>IF($J1038="","",IF($J1038&lt;=1500,INDEX('Daily Sale entry '!$Z$1:$Z$1501,$J1038+1)&amp;"","Cheque deposit 支票存入 (buyer 买家)"))</f>
        <v/>
      </c>
      <c r="D1038">
        <f>IF($J1038="","",IF($J1038&lt;=1500,INDEX('Daily Sale entry '!$AA$1:$AA$1501,$J1038+1)&amp;"",INDEX('Daily Sale entry '!$P$1:$P$1501,$J1038-1499)&amp;""))</f>
        <v/>
      </c>
      <c r="E1038">
        <f>IF($J1038="","",IF($J1038&lt;=1500,IF(N(INDEX('Daily Sale entry '!$AB$1:$AB$1501,$J1038+1))=0,"",INDEX('Daily Sale entry '!$AB$1:$AB$1501,$J1038+1)),1))</f>
        <v/>
      </c>
      <c r="F1038" s="6">
        <f>IF($J1038="","",IF($J1038&lt;=1500,N(INDEX('Daily Sale entry '!$AC$1:$AC$1501,$J1038+1))-IF(AND('Opening Balance'!$B$15=1,INDEX('Daily Sale entry '!$Z$1:$Z$1501,$J1038+1)="Online collection 网上收款",INDEX('Daily Sale entry '!$AA$1:$AA$1501,$J1038+1)&lt;&gt;""),N(INDEX('Daily Sale entry '!$AC$1:$AC$1501,$J1038+1))-TRUNC(N(INDEX('Daily Sale entry '!$AC$1:$AC$1501,$J1038+1))),0),N(INDEX('Daily Sale entry '!$S$1:$S$1501,$J1038-1499))-'Opening Balance'!$B$15*(N(INDEX('Daily Sale entry '!$S$1:$S$1501,$J1038-1499))-TRUNC(N(INDEX('Daily Sale entry '!$S$1:$S$1501,$J1038-1499))))))</f>
        <v/>
      </c>
      <c r="G1038" s="6">
        <f>IF($J1038="","",IF($J1038&lt;=1500,N(INDEX('Daily Sale entry '!$AD$1:$AD$1501,$J1038+1)),0))</f>
        <v/>
      </c>
      <c r="H1038" s="6">
        <f>IF($J1038="","",ROUND('Opening Balance'!$B$4+SUM($F$2:F1038)-SUM($G$2:G1038),2))</f>
        <v/>
      </c>
      <c r="J1038" s="21">
        <f>IFERROR(MATCH(ROW()-1,$L$2:$L$3001,0),"")</f>
        <v/>
      </c>
      <c r="K1038" s="34">
        <f>IF(AND('Daily Sale entry '!X1038&lt;&gt;"",OR('Daily Sale entry '!AC1038&lt;&gt;"",'Daily Sale entry '!AD1038&lt;&gt;"")),'Daily Sale entry '!X1038+ROW()/10000000,"")</f>
        <v/>
      </c>
      <c r="L1038" s="21">
        <f>IF(K1038="","",COUNTIF($K$2:$K$3001,"&lt;"&amp;K1038)+1)</f>
        <v/>
      </c>
    </row>
    <row r="1039">
      <c r="A1039" s="5">
        <f>IF($J1039="","",IF($J1039&lt;=1500,INDEX('Daily Sale entry '!$X$1:$X$1501,$J1039+1),INDEX('Daily Sale entry '!$V$1:$V$1501,$J1039-1499)))</f>
        <v/>
      </c>
      <c r="B1039">
        <f>IF($J1039="","",IF($J1039&lt;=1500,INDEX('Daily Sale entry '!$Y$1:$Y$1501,$J1039+1)&amp;"","Buyer cheque banked 买家支票存入"&amp;IF(INDEX('Daily Sale entry '!$U$1:$U$1501,$J1039-1499)="","", " - "&amp;INDEX('Daily Sale entry '!$U$1:$U$1501,$J1039-1499))))</f>
        <v/>
      </c>
      <c r="C1039">
        <f>IF($J1039="","",IF($J1039&lt;=1500,INDEX('Daily Sale entry '!$Z$1:$Z$1501,$J1039+1)&amp;"","Cheque deposit 支票存入 (buyer 买家)"))</f>
        <v/>
      </c>
      <c r="D1039">
        <f>IF($J1039="","",IF($J1039&lt;=1500,INDEX('Daily Sale entry '!$AA$1:$AA$1501,$J1039+1)&amp;"",INDEX('Daily Sale entry '!$P$1:$P$1501,$J1039-1499)&amp;""))</f>
        <v/>
      </c>
      <c r="E1039">
        <f>IF($J1039="","",IF($J1039&lt;=1500,IF(N(INDEX('Daily Sale entry '!$AB$1:$AB$1501,$J1039+1))=0,"",INDEX('Daily Sale entry '!$AB$1:$AB$1501,$J1039+1)),1))</f>
        <v/>
      </c>
      <c r="F1039" s="6">
        <f>IF($J1039="","",IF($J1039&lt;=1500,N(INDEX('Daily Sale entry '!$AC$1:$AC$1501,$J1039+1))-IF(AND('Opening Balance'!$B$15=1,INDEX('Daily Sale entry '!$Z$1:$Z$1501,$J1039+1)="Online collection 网上收款",INDEX('Daily Sale entry '!$AA$1:$AA$1501,$J1039+1)&lt;&gt;""),N(INDEX('Daily Sale entry '!$AC$1:$AC$1501,$J1039+1))-TRUNC(N(INDEX('Daily Sale entry '!$AC$1:$AC$1501,$J1039+1))),0),N(INDEX('Daily Sale entry '!$S$1:$S$1501,$J1039-1499))-'Opening Balance'!$B$15*(N(INDEX('Daily Sale entry '!$S$1:$S$1501,$J1039-1499))-TRUNC(N(INDEX('Daily Sale entry '!$S$1:$S$1501,$J1039-1499))))))</f>
        <v/>
      </c>
      <c r="G1039" s="6">
        <f>IF($J1039="","",IF($J1039&lt;=1500,N(INDEX('Daily Sale entry '!$AD$1:$AD$1501,$J1039+1)),0))</f>
        <v/>
      </c>
      <c r="H1039" s="6">
        <f>IF($J1039="","",ROUND('Opening Balance'!$B$4+SUM($F$2:F1039)-SUM($G$2:G1039),2))</f>
        <v/>
      </c>
      <c r="J1039" s="21">
        <f>IFERROR(MATCH(ROW()-1,$L$2:$L$3001,0),"")</f>
        <v/>
      </c>
      <c r="K1039" s="34">
        <f>IF(AND('Daily Sale entry '!X1039&lt;&gt;"",OR('Daily Sale entry '!AC1039&lt;&gt;"",'Daily Sale entry '!AD1039&lt;&gt;"")),'Daily Sale entry '!X1039+ROW()/10000000,"")</f>
        <v/>
      </c>
      <c r="L1039" s="21">
        <f>IF(K1039="","",COUNTIF($K$2:$K$3001,"&lt;"&amp;K1039)+1)</f>
        <v/>
      </c>
    </row>
    <row r="1040">
      <c r="A1040" s="5">
        <f>IF($J1040="","",IF($J1040&lt;=1500,INDEX('Daily Sale entry '!$X$1:$X$1501,$J1040+1),INDEX('Daily Sale entry '!$V$1:$V$1501,$J1040-1499)))</f>
        <v/>
      </c>
      <c r="B1040">
        <f>IF($J1040="","",IF($J1040&lt;=1500,INDEX('Daily Sale entry '!$Y$1:$Y$1501,$J1040+1)&amp;"","Buyer cheque banked 买家支票存入"&amp;IF(INDEX('Daily Sale entry '!$U$1:$U$1501,$J1040-1499)="","", " - "&amp;INDEX('Daily Sale entry '!$U$1:$U$1501,$J1040-1499))))</f>
        <v/>
      </c>
      <c r="C1040">
        <f>IF($J1040="","",IF($J1040&lt;=1500,INDEX('Daily Sale entry '!$Z$1:$Z$1501,$J1040+1)&amp;"","Cheque deposit 支票存入 (buyer 买家)"))</f>
        <v/>
      </c>
      <c r="D1040">
        <f>IF($J1040="","",IF($J1040&lt;=1500,INDEX('Daily Sale entry '!$AA$1:$AA$1501,$J1040+1)&amp;"",INDEX('Daily Sale entry '!$P$1:$P$1501,$J1040-1499)&amp;""))</f>
        <v/>
      </c>
      <c r="E1040">
        <f>IF($J1040="","",IF($J1040&lt;=1500,IF(N(INDEX('Daily Sale entry '!$AB$1:$AB$1501,$J1040+1))=0,"",INDEX('Daily Sale entry '!$AB$1:$AB$1501,$J1040+1)),1))</f>
        <v/>
      </c>
      <c r="F1040" s="6">
        <f>IF($J1040="","",IF($J1040&lt;=1500,N(INDEX('Daily Sale entry '!$AC$1:$AC$1501,$J1040+1))-IF(AND('Opening Balance'!$B$15=1,INDEX('Daily Sale entry '!$Z$1:$Z$1501,$J1040+1)="Online collection 网上收款",INDEX('Daily Sale entry '!$AA$1:$AA$1501,$J1040+1)&lt;&gt;""),N(INDEX('Daily Sale entry '!$AC$1:$AC$1501,$J1040+1))-TRUNC(N(INDEX('Daily Sale entry '!$AC$1:$AC$1501,$J1040+1))),0),N(INDEX('Daily Sale entry '!$S$1:$S$1501,$J1040-1499))-'Opening Balance'!$B$15*(N(INDEX('Daily Sale entry '!$S$1:$S$1501,$J1040-1499))-TRUNC(N(INDEX('Daily Sale entry '!$S$1:$S$1501,$J1040-1499))))))</f>
        <v/>
      </c>
      <c r="G1040" s="6">
        <f>IF($J1040="","",IF($J1040&lt;=1500,N(INDEX('Daily Sale entry '!$AD$1:$AD$1501,$J1040+1)),0))</f>
        <v/>
      </c>
      <c r="H1040" s="6">
        <f>IF($J1040="","",ROUND('Opening Balance'!$B$4+SUM($F$2:F1040)-SUM($G$2:G1040),2))</f>
        <v/>
      </c>
      <c r="J1040" s="21">
        <f>IFERROR(MATCH(ROW()-1,$L$2:$L$3001,0),"")</f>
        <v/>
      </c>
      <c r="K1040" s="34">
        <f>IF(AND('Daily Sale entry '!X1040&lt;&gt;"",OR('Daily Sale entry '!AC1040&lt;&gt;"",'Daily Sale entry '!AD1040&lt;&gt;"")),'Daily Sale entry '!X1040+ROW()/10000000,"")</f>
        <v/>
      </c>
      <c r="L1040" s="21">
        <f>IF(K1040="","",COUNTIF($K$2:$K$3001,"&lt;"&amp;K1040)+1)</f>
        <v/>
      </c>
    </row>
    <row r="1041">
      <c r="A1041" s="5">
        <f>IF($J1041="","",IF($J1041&lt;=1500,INDEX('Daily Sale entry '!$X$1:$X$1501,$J1041+1),INDEX('Daily Sale entry '!$V$1:$V$1501,$J1041-1499)))</f>
        <v/>
      </c>
      <c r="B1041">
        <f>IF($J1041="","",IF($J1041&lt;=1500,INDEX('Daily Sale entry '!$Y$1:$Y$1501,$J1041+1)&amp;"","Buyer cheque banked 买家支票存入"&amp;IF(INDEX('Daily Sale entry '!$U$1:$U$1501,$J1041-1499)="","", " - "&amp;INDEX('Daily Sale entry '!$U$1:$U$1501,$J1041-1499))))</f>
        <v/>
      </c>
      <c r="C1041">
        <f>IF($J1041="","",IF($J1041&lt;=1500,INDEX('Daily Sale entry '!$Z$1:$Z$1501,$J1041+1)&amp;"","Cheque deposit 支票存入 (buyer 买家)"))</f>
        <v/>
      </c>
      <c r="D1041">
        <f>IF($J1041="","",IF($J1041&lt;=1500,INDEX('Daily Sale entry '!$AA$1:$AA$1501,$J1041+1)&amp;"",INDEX('Daily Sale entry '!$P$1:$P$1501,$J1041-1499)&amp;""))</f>
        <v/>
      </c>
      <c r="E1041">
        <f>IF($J1041="","",IF($J1041&lt;=1500,IF(N(INDEX('Daily Sale entry '!$AB$1:$AB$1501,$J1041+1))=0,"",INDEX('Daily Sale entry '!$AB$1:$AB$1501,$J1041+1)),1))</f>
        <v/>
      </c>
      <c r="F1041" s="6">
        <f>IF($J1041="","",IF($J1041&lt;=1500,N(INDEX('Daily Sale entry '!$AC$1:$AC$1501,$J1041+1))-IF(AND('Opening Balance'!$B$15=1,INDEX('Daily Sale entry '!$Z$1:$Z$1501,$J1041+1)="Online collection 网上收款",INDEX('Daily Sale entry '!$AA$1:$AA$1501,$J1041+1)&lt;&gt;""),N(INDEX('Daily Sale entry '!$AC$1:$AC$1501,$J1041+1))-TRUNC(N(INDEX('Daily Sale entry '!$AC$1:$AC$1501,$J1041+1))),0),N(INDEX('Daily Sale entry '!$S$1:$S$1501,$J1041-1499))-'Opening Balance'!$B$15*(N(INDEX('Daily Sale entry '!$S$1:$S$1501,$J1041-1499))-TRUNC(N(INDEX('Daily Sale entry '!$S$1:$S$1501,$J1041-1499))))))</f>
        <v/>
      </c>
      <c r="G1041" s="6">
        <f>IF($J1041="","",IF($J1041&lt;=1500,N(INDEX('Daily Sale entry '!$AD$1:$AD$1501,$J1041+1)),0))</f>
        <v/>
      </c>
      <c r="H1041" s="6">
        <f>IF($J1041="","",ROUND('Opening Balance'!$B$4+SUM($F$2:F1041)-SUM($G$2:G1041),2))</f>
        <v/>
      </c>
      <c r="J1041" s="21">
        <f>IFERROR(MATCH(ROW()-1,$L$2:$L$3001,0),"")</f>
        <v/>
      </c>
      <c r="K1041" s="34">
        <f>IF(AND('Daily Sale entry '!X1041&lt;&gt;"",OR('Daily Sale entry '!AC1041&lt;&gt;"",'Daily Sale entry '!AD1041&lt;&gt;"")),'Daily Sale entry '!X1041+ROW()/10000000,"")</f>
        <v/>
      </c>
      <c r="L1041" s="21">
        <f>IF(K1041="","",COUNTIF($K$2:$K$3001,"&lt;"&amp;K1041)+1)</f>
        <v/>
      </c>
    </row>
    <row r="1042">
      <c r="A1042" s="5">
        <f>IF($J1042="","",IF($J1042&lt;=1500,INDEX('Daily Sale entry '!$X$1:$X$1501,$J1042+1),INDEX('Daily Sale entry '!$V$1:$V$1501,$J1042-1499)))</f>
        <v/>
      </c>
      <c r="B1042">
        <f>IF($J1042="","",IF($J1042&lt;=1500,INDEX('Daily Sale entry '!$Y$1:$Y$1501,$J1042+1)&amp;"","Buyer cheque banked 买家支票存入"&amp;IF(INDEX('Daily Sale entry '!$U$1:$U$1501,$J1042-1499)="","", " - "&amp;INDEX('Daily Sale entry '!$U$1:$U$1501,$J1042-1499))))</f>
        <v/>
      </c>
      <c r="C1042">
        <f>IF($J1042="","",IF($J1042&lt;=1500,INDEX('Daily Sale entry '!$Z$1:$Z$1501,$J1042+1)&amp;"","Cheque deposit 支票存入 (buyer 买家)"))</f>
        <v/>
      </c>
      <c r="D1042">
        <f>IF($J1042="","",IF($J1042&lt;=1500,INDEX('Daily Sale entry '!$AA$1:$AA$1501,$J1042+1)&amp;"",INDEX('Daily Sale entry '!$P$1:$P$1501,$J1042-1499)&amp;""))</f>
        <v/>
      </c>
      <c r="E1042">
        <f>IF($J1042="","",IF($J1042&lt;=1500,IF(N(INDEX('Daily Sale entry '!$AB$1:$AB$1501,$J1042+1))=0,"",INDEX('Daily Sale entry '!$AB$1:$AB$1501,$J1042+1)),1))</f>
        <v/>
      </c>
      <c r="F1042" s="6">
        <f>IF($J1042="","",IF($J1042&lt;=1500,N(INDEX('Daily Sale entry '!$AC$1:$AC$1501,$J1042+1))-IF(AND('Opening Balance'!$B$15=1,INDEX('Daily Sale entry '!$Z$1:$Z$1501,$J1042+1)="Online collection 网上收款",INDEX('Daily Sale entry '!$AA$1:$AA$1501,$J1042+1)&lt;&gt;""),N(INDEX('Daily Sale entry '!$AC$1:$AC$1501,$J1042+1))-TRUNC(N(INDEX('Daily Sale entry '!$AC$1:$AC$1501,$J1042+1))),0),N(INDEX('Daily Sale entry '!$S$1:$S$1501,$J1042-1499))-'Opening Balance'!$B$15*(N(INDEX('Daily Sale entry '!$S$1:$S$1501,$J1042-1499))-TRUNC(N(INDEX('Daily Sale entry '!$S$1:$S$1501,$J1042-1499))))))</f>
        <v/>
      </c>
      <c r="G1042" s="6">
        <f>IF($J1042="","",IF($J1042&lt;=1500,N(INDEX('Daily Sale entry '!$AD$1:$AD$1501,$J1042+1)),0))</f>
        <v/>
      </c>
      <c r="H1042" s="6">
        <f>IF($J1042="","",ROUND('Opening Balance'!$B$4+SUM($F$2:F1042)-SUM($G$2:G1042),2))</f>
        <v/>
      </c>
      <c r="J1042" s="21">
        <f>IFERROR(MATCH(ROW()-1,$L$2:$L$3001,0),"")</f>
        <v/>
      </c>
      <c r="K1042" s="34">
        <f>IF(AND('Daily Sale entry '!X1042&lt;&gt;"",OR('Daily Sale entry '!AC1042&lt;&gt;"",'Daily Sale entry '!AD1042&lt;&gt;"")),'Daily Sale entry '!X1042+ROW()/10000000,"")</f>
        <v/>
      </c>
      <c r="L1042" s="21">
        <f>IF(K1042="","",COUNTIF($K$2:$K$3001,"&lt;"&amp;K1042)+1)</f>
        <v/>
      </c>
    </row>
    <row r="1043">
      <c r="A1043" s="5">
        <f>IF($J1043="","",IF($J1043&lt;=1500,INDEX('Daily Sale entry '!$X$1:$X$1501,$J1043+1),INDEX('Daily Sale entry '!$V$1:$V$1501,$J1043-1499)))</f>
        <v/>
      </c>
      <c r="B1043">
        <f>IF($J1043="","",IF($J1043&lt;=1500,INDEX('Daily Sale entry '!$Y$1:$Y$1501,$J1043+1)&amp;"","Buyer cheque banked 买家支票存入"&amp;IF(INDEX('Daily Sale entry '!$U$1:$U$1501,$J1043-1499)="","", " - "&amp;INDEX('Daily Sale entry '!$U$1:$U$1501,$J1043-1499))))</f>
        <v/>
      </c>
      <c r="C1043">
        <f>IF($J1043="","",IF($J1043&lt;=1500,INDEX('Daily Sale entry '!$Z$1:$Z$1501,$J1043+1)&amp;"","Cheque deposit 支票存入 (buyer 买家)"))</f>
        <v/>
      </c>
      <c r="D1043">
        <f>IF($J1043="","",IF($J1043&lt;=1500,INDEX('Daily Sale entry '!$AA$1:$AA$1501,$J1043+1)&amp;"",INDEX('Daily Sale entry '!$P$1:$P$1501,$J1043-1499)&amp;""))</f>
        <v/>
      </c>
      <c r="E1043">
        <f>IF($J1043="","",IF($J1043&lt;=1500,IF(N(INDEX('Daily Sale entry '!$AB$1:$AB$1501,$J1043+1))=0,"",INDEX('Daily Sale entry '!$AB$1:$AB$1501,$J1043+1)),1))</f>
        <v/>
      </c>
      <c r="F1043" s="6">
        <f>IF($J1043="","",IF($J1043&lt;=1500,N(INDEX('Daily Sale entry '!$AC$1:$AC$1501,$J1043+1))-IF(AND('Opening Balance'!$B$15=1,INDEX('Daily Sale entry '!$Z$1:$Z$1501,$J1043+1)="Online collection 网上收款",INDEX('Daily Sale entry '!$AA$1:$AA$1501,$J1043+1)&lt;&gt;""),N(INDEX('Daily Sale entry '!$AC$1:$AC$1501,$J1043+1))-TRUNC(N(INDEX('Daily Sale entry '!$AC$1:$AC$1501,$J1043+1))),0),N(INDEX('Daily Sale entry '!$S$1:$S$1501,$J1043-1499))-'Opening Balance'!$B$15*(N(INDEX('Daily Sale entry '!$S$1:$S$1501,$J1043-1499))-TRUNC(N(INDEX('Daily Sale entry '!$S$1:$S$1501,$J1043-1499))))))</f>
        <v/>
      </c>
      <c r="G1043" s="6">
        <f>IF($J1043="","",IF($J1043&lt;=1500,N(INDEX('Daily Sale entry '!$AD$1:$AD$1501,$J1043+1)),0))</f>
        <v/>
      </c>
      <c r="H1043" s="6">
        <f>IF($J1043="","",ROUND('Opening Balance'!$B$4+SUM($F$2:F1043)-SUM($G$2:G1043),2))</f>
        <v/>
      </c>
      <c r="J1043" s="21">
        <f>IFERROR(MATCH(ROW()-1,$L$2:$L$3001,0),"")</f>
        <v/>
      </c>
      <c r="K1043" s="34">
        <f>IF(AND('Daily Sale entry '!X1043&lt;&gt;"",OR('Daily Sale entry '!AC1043&lt;&gt;"",'Daily Sale entry '!AD1043&lt;&gt;"")),'Daily Sale entry '!X1043+ROW()/10000000,"")</f>
        <v/>
      </c>
      <c r="L1043" s="21">
        <f>IF(K1043="","",COUNTIF($K$2:$K$3001,"&lt;"&amp;K1043)+1)</f>
        <v/>
      </c>
    </row>
    <row r="1044">
      <c r="A1044" s="5">
        <f>IF($J1044="","",IF($J1044&lt;=1500,INDEX('Daily Sale entry '!$X$1:$X$1501,$J1044+1),INDEX('Daily Sale entry '!$V$1:$V$1501,$J1044-1499)))</f>
        <v/>
      </c>
      <c r="B1044">
        <f>IF($J1044="","",IF($J1044&lt;=1500,INDEX('Daily Sale entry '!$Y$1:$Y$1501,$J1044+1)&amp;"","Buyer cheque banked 买家支票存入"&amp;IF(INDEX('Daily Sale entry '!$U$1:$U$1501,$J1044-1499)="","", " - "&amp;INDEX('Daily Sale entry '!$U$1:$U$1501,$J1044-1499))))</f>
        <v/>
      </c>
      <c r="C1044">
        <f>IF($J1044="","",IF($J1044&lt;=1500,INDEX('Daily Sale entry '!$Z$1:$Z$1501,$J1044+1)&amp;"","Cheque deposit 支票存入 (buyer 买家)"))</f>
        <v/>
      </c>
      <c r="D1044">
        <f>IF($J1044="","",IF($J1044&lt;=1500,INDEX('Daily Sale entry '!$AA$1:$AA$1501,$J1044+1)&amp;"",INDEX('Daily Sale entry '!$P$1:$P$1501,$J1044-1499)&amp;""))</f>
        <v/>
      </c>
      <c r="E1044">
        <f>IF($J1044="","",IF($J1044&lt;=1500,IF(N(INDEX('Daily Sale entry '!$AB$1:$AB$1501,$J1044+1))=0,"",INDEX('Daily Sale entry '!$AB$1:$AB$1501,$J1044+1)),1))</f>
        <v/>
      </c>
      <c r="F1044" s="6">
        <f>IF($J1044="","",IF($J1044&lt;=1500,N(INDEX('Daily Sale entry '!$AC$1:$AC$1501,$J1044+1))-IF(AND('Opening Balance'!$B$15=1,INDEX('Daily Sale entry '!$Z$1:$Z$1501,$J1044+1)="Online collection 网上收款",INDEX('Daily Sale entry '!$AA$1:$AA$1501,$J1044+1)&lt;&gt;""),N(INDEX('Daily Sale entry '!$AC$1:$AC$1501,$J1044+1))-TRUNC(N(INDEX('Daily Sale entry '!$AC$1:$AC$1501,$J1044+1))),0),N(INDEX('Daily Sale entry '!$S$1:$S$1501,$J1044-1499))-'Opening Balance'!$B$15*(N(INDEX('Daily Sale entry '!$S$1:$S$1501,$J1044-1499))-TRUNC(N(INDEX('Daily Sale entry '!$S$1:$S$1501,$J1044-1499))))))</f>
        <v/>
      </c>
      <c r="G1044" s="6">
        <f>IF($J1044="","",IF($J1044&lt;=1500,N(INDEX('Daily Sale entry '!$AD$1:$AD$1501,$J1044+1)),0))</f>
        <v/>
      </c>
      <c r="H1044" s="6">
        <f>IF($J1044="","",ROUND('Opening Balance'!$B$4+SUM($F$2:F1044)-SUM($G$2:G1044),2))</f>
        <v/>
      </c>
      <c r="J1044" s="21">
        <f>IFERROR(MATCH(ROW()-1,$L$2:$L$3001,0),"")</f>
        <v/>
      </c>
      <c r="K1044" s="34">
        <f>IF(AND('Daily Sale entry '!X1044&lt;&gt;"",OR('Daily Sale entry '!AC1044&lt;&gt;"",'Daily Sale entry '!AD1044&lt;&gt;"")),'Daily Sale entry '!X1044+ROW()/10000000,"")</f>
        <v/>
      </c>
      <c r="L1044" s="21">
        <f>IF(K1044="","",COUNTIF($K$2:$K$3001,"&lt;"&amp;K1044)+1)</f>
        <v/>
      </c>
    </row>
    <row r="1045">
      <c r="A1045" s="5">
        <f>IF($J1045="","",IF($J1045&lt;=1500,INDEX('Daily Sale entry '!$X$1:$X$1501,$J1045+1),INDEX('Daily Sale entry '!$V$1:$V$1501,$J1045-1499)))</f>
        <v/>
      </c>
      <c r="B1045">
        <f>IF($J1045="","",IF($J1045&lt;=1500,INDEX('Daily Sale entry '!$Y$1:$Y$1501,$J1045+1)&amp;"","Buyer cheque banked 买家支票存入"&amp;IF(INDEX('Daily Sale entry '!$U$1:$U$1501,$J1045-1499)="","", " - "&amp;INDEX('Daily Sale entry '!$U$1:$U$1501,$J1045-1499))))</f>
        <v/>
      </c>
      <c r="C1045">
        <f>IF($J1045="","",IF($J1045&lt;=1500,INDEX('Daily Sale entry '!$Z$1:$Z$1501,$J1045+1)&amp;"","Cheque deposit 支票存入 (buyer 买家)"))</f>
        <v/>
      </c>
      <c r="D1045">
        <f>IF($J1045="","",IF($J1045&lt;=1500,INDEX('Daily Sale entry '!$AA$1:$AA$1501,$J1045+1)&amp;"",INDEX('Daily Sale entry '!$P$1:$P$1501,$J1045-1499)&amp;""))</f>
        <v/>
      </c>
      <c r="E1045">
        <f>IF($J1045="","",IF($J1045&lt;=1500,IF(N(INDEX('Daily Sale entry '!$AB$1:$AB$1501,$J1045+1))=0,"",INDEX('Daily Sale entry '!$AB$1:$AB$1501,$J1045+1)),1))</f>
        <v/>
      </c>
      <c r="F1045" s="6">
        <f>IF($J1045="","",IF($J1045&lt;=1500,N(INDEX('Daily Sale entry '!$AC$1:$AC$1501,$J1045+1))-IF(AND('Opening Balance'!$B$15=1,INDEX('Daily Sale entry '!$Z$1:$Z$1501,$J1045+1)="Online collection 网上收款",INDEX('Daily Sale entry '!$AA$1:$AA$1501,$J1045+1)&lt;&gt;""),N(INDEX('Daily Sale entry '!$AC$1:$AC$1501,$J1045+1))-TRUNC(N(INDEX('Daily Sale entry '!$AC$1:$AC$1501,$J1045+1))),0),N(INDEX('Daily Sale entry '!$S$1:$S$1501,$J1045-1499))-'Opening Balance'!$B$15*(N(INDEX('Daily Sale entry '!$S$1:$S$1501,$J1045-1499))-TRUNC(N(INDEX('Daily Sale entry '!$S$1:$S$1501,$J1045-1499))))))</f>
        <v/>
      </c>
      <c r="G1045" s="6">
        <f>IF($J1045="","",IF($J1045&lt;=1500,N(INDEX('Daily Sale entry '!$AD$1:$AD$1501,$J1045+1)),0))</f>
        <v/>
      </c>
      <c r="H1045" s="6">
        <f>IF($J1045="","",ROUND('Opening Balance'!$B$4+SUM($F$2:F1045)-SUM($G$2:G1045),2))</f>
        <v/>
      </c>
      <c r="J1045" s="21">
        <f>IFERROR(MATCH(ROW()-1,$L$2:$L$3001,0),"")</f>
        <v/>
      </c>
      <c r="K1045" s="34">
        <f>IF(AND('Daily Sale entry '!X1045&lt;&gt;"",OR('Daily Sale entry '!AC1045&lt;&gt;"",'Daily Sale entry '!AD1045&lt;&gt;"")),'Daily Sale entry '!X1045+ROW()/10000000,"")</f>
        <v/>
      </c>
      <c r="L1045" s="21">
        <f>IF(K1045="","",COUNTIF($K$2:$K$3001,"&lt;"&amp;K1045)+1)</f>
        <v/>
      </c>
    </row>
    <row r="1046">
      <c r="A1046" s="5">
        <f>IF($J1046="","",IF($J1046&lt;=1500,INDEX('Daily Sale entry '!$X$1:$X$1501,$J1046+1),INDEX('Daily Sale entry '!$V$1:$V$1501,$J1046-1499)))</f>
        <v/>
      </c>
      <c r="B1046">
        <f>IF($J1046="","",IF($J1046&lt;=1500,INDEX('Daily Sale entry '!$Y$1:$Y$1501,$J1046+1)&amp;"","Buyer cheque banked 买家支票存入"&amp;IF(INDEX('Daily Sale entry '!$U$1:$U$1501,$J1046-1499)="","", " - "&amp;INDEX('Daily Sale entry '!$U$1:$U$1501,$J1046-1499))))</f>
        <v/>
      </c>
      <c r="C1046">
        <f>IF($J1046="","",IF($J1046&lt;=1500,INDEX('Daily Sale entry '!$Z$1:$Z$1501,$J1046+1)&amp;"","Cheque deposit 支票存入 (buyer 买家)"))</f>
        <v/>
      </c>
      <c r="D1046">
        <f>IF($J1046="","",IF($J1046&lt;=1500,INDEX('Daily Sale entry '!$AA$1:$AA$1501,$J1046+1)&amp;"",INDEX('Daily Sale entry '!$P$1:$P$1501,$J1046-1499)&amp;""))</f>
        <v/>
      </c>
      <c r="E1046">
        <f>IF($J1046="","",IF($J1046&lt;=1500,IF(N(INDEX('Daily Sale entry '!$AB$1:$AB$1501,$J1046+1))=0,"",INDEX('Daily Sale entry '!$AB$1:$AB$1501,$J1046+1)),1))</f>
        <v/>
      </c>
      <c r="F1046" s="6">
        <f>IF($J1046="","",IF($J1046&lt;=1500,N(INDEX('Daily Sale entry '!$AC$1:$AC$1501,$J1046+1))-IF(AND('Opening Balance'!$B$15=1,INDEX('Daily Sale entry '!$Z$1:$Z$1501,$J1046+1)="Online collection 网上收款",INDEX('Daily Sale entry '!$AA$1:$AA$1501,$J1046+1)&lt;&gt;""),N(INDEX('Daily Sale entry '!$AC$1:$AC$1501,$J1046+1))-TRUNC(N(INDEX('Daily Sale entry '!$AC$1:$AC$1501,$J1046+1))),0),N(INDEX('Daily Sale entry '!$S$1:$S$1501,$J1046-1499))-'Opening Balance'!$B$15*(N(INDEX('Daily Sale entry '!$S$1:$S$1501,$J1046-1499))-TRUNC(N(INDEX('Daily Sale entry '!$S$1:$S$1501,$J1046-1499))))))</f>
        <v/>
      </c>
      <c r="G1046" s="6">
        <f>IF($J1046="","",IF($J1046&lt;=1500,N(INDEX('Daily Sale entry '!$AD$1:$AD$1501,$J1046+1)),0))</f>
        <v/>
      </c>
      <c r="H1046" s="6">
        <f>IF($J1046="","",ROUND('Opening Balance'!$B$4+SUM($F$2:F1046)-SUM($G$2:G1046),2))</f>
        <v/>
      </c>
      <c r="J1046" s="21">
        <f>IFERROR(MATCH(ROW()-1,$L$2:$L$3001,0),"")</f>
        <v/>
      </c>
      <c r="K1046" s="34">
        <f>IF(AND('Daily Sale entry '!X1046&lt;&gt;"",OR('Daily Sale entry '!AC1046&lt;&gt;"",'Daily Sale entry '!AD1046&lt;&gt;"")),'Daily Sale entry '!X1046+ROW()/10000000,"")</f>
        <v/>
      </c>
      <c r="L1046" s="21">
        <f>IF(K1046="","",COUNTIF($K$2:$K$3001,"&lt;"&amp;K1046)+1)</f>
        <v/>
      </c>
    </row>
    <row r="1047">
      <c r="A1047" s="5">
        <f>IF($J1047="","",IF($J1047&lt;=1500,INDEX('Daily Sale entry '!$X$1:$X$1501,$J1047+1),INDEX('Daily Sale entry '!$V$1:$V$1501,$J1047-1499)))</f>
        <v/>
      </c>
      <c r="B1047">
        <f>IF($J1047="","",IF($J1047&lt;=1500,INDEX('Daily Sale entry '!$Y$1:$Y$1501,$J1047+1)&amp;"","Buyer cheque banked 买家支票存入"&amp;IF(INDEX('Daily Sale entry '!$U$1:$U$1501,$J1047-1499)="","", " - "&amp;INDEX('Daily Sale entry '!$U$1:$U$1501,$J1047-1499))))</f>
        <v/>
      </c>
      <c r="C1047">
        <f>IF($J1047="","",IF($J1047&lt;=1500,INDEX('Daily Sale entry '!$Z$1:$Z$1501,$J1047+1)&amp;"","Cheque deposit 支票存入 (buyer 买家)"))</f>
        <v/>
      </c>
      <c r="D1047">
        <f>IF($J1047="","",IF($J1047&lt;=1500,INDEX('Daily Sale entry '!$AA$1:$AA$1501,$J1047+1)&amp;"",INDEX('Daily Sale entry '!$P$1:$P$1501,$J1047-1499)&amp;""))</f>
        <v/>
      </c>
      <c r="E1047">
        <f>IF($J1047="","",IF($J1047&lt;=1500,IF(N(INDEX('Daily Sale entry '!$AB$1:$AB$1501,$J1047+1))=0,"",INDEX('Daily Sale entry '!$AB$1:$AB$1501,$J1047+1)),1))</f>
        <v/>
      </c>
      <c r="F1047" s="6">
        <f>IF($J1047="","",IF($J1047&lt;=1500,N(INDEX('Daily Sale entry '!$AC$1:$AC$1501,$J1047+1))-IF(AND('Opening Balance'!$B$15=1,INDEX('Daily Sale entry '!$Z$1:$Z$1501,$J1047+1)="Online collection 网上收款",INDEX('Daily Sale entry '!$AA$1:$AA$1501,$J1047+1)&lt;&gt;""),N(INDEX('Daily Sale entry '!$AC$1:$AC$1501,$J1047+1))-TRUNC(N(INDEX('Daily Sale entry '!$AC$1:$AC$1501,$J1047+1))),0),N(INDEX('Daily Sale entry '!$S$1:$S$1501,$J1047-1499))-'Opening Balance'!$B$15*(N(INDEX('Daily Sale entry '!$S$1:$S$1501,$J1047-1499))-TRUNC(N(INDEX('Daily Sale entry '!$S$1:$S$1501,$J1047-1499))))))</f>
        <v/>
      </c>
      <c r="G1047" s="6">
        <f>IF($J1047="","",IF($J1047&lt;=1500,N(INDEX('Daily Sale entry '!$AD$1:$AD$1501,$J1047+1)),0))</f>
        <v/>
      </c>
      <c r="H1047" s="6">
        <f>IF($J1047="","",ROUND('Opening Balance'!$B$4+SUM($F$2:F1047)-SUM($G$2:G1047),2))</f>
        <v/>
      </c>
      <c r="J1047" s="21">
        <f>IFERROR(MATCH(ROW()-1,$L$2:$L$3001,0),"")</f>
        <v/>
      </c>
      <c r="K1047" s="34">
        <f>IF(AND('Daily Sale entry '!X1047&lt;&gt;"",OR('Daily Sale entry '!AC1047&lt;&gt;"",'Daily Sale entry '!AD1047&lt;&gt;"")),'Daily Sale entry '!X1047+ROW()/10000000,"")</f>
        <v/>
      </c>
      <c r="L1047" s="21">
        <f>IF(K1047="","",COUNTIF($K$2:$K$3001,"&lt;"&amp;K1047)+1)</f>
        <v/>
      </c>
    </row>
    <row r="1048">
      <c r="A1048" s="5">
        <f>IF($J1048="","",IF($J1048&lt;=1500,INDEX('Daily Sale entry '!$X$1:$X$1501,$J1048+1),INDEX('Daily Sale entry '!$V$1:$V$1501,$J1048-1499)))</f>
        <v/>
      </c>
      <c r="B1048">
        <f>IF($J1048="","",IF($J1048&lt;=1500,INDEX('Daily Sale entry '!$Y$1:$Y$1501,$J1048+1)&amp;"","Buyer cheque banked 买家支票存入"&amp;IF(INDEX('Daily Sale entry '!$U$1:$U$1501,$J1048-1499)="","", " - "&amp;INDEX('Daily Sale entry '!$U$1:$U$1501,$J1048-1499))))</f>
        <v/>
      </c>
      <c r="C1048">
        <f>IF($J1048="","",IF($J1048&lt;=1500,INDEX('Daily Sale entry '!$Z$1:$Z$1501,$J1048+1)&amp;"","Cheque deposit 支票存入 (buyer 买家)"))</f>
        <v/>
      </c>
      <c r="D1048">
        <f>IF($J1048="","",IF($J1048&lt;=1500,INDEX('Daily Sale entry '!$AA$1:$AA$1501,$J1048+1)&amp;"",INDEX('Daily Sale entry '!$P$1:$P$1501,$J1048-1499)&amp;""))</f>
        <v/>
      </c>
      <c r="E1048">
        <f>IF($J1048="","",IF($J1048&lt;=1500,IF(N(INDEX('Daily Sale entry '!$AB$1:$AB$1501,$J1048+1))=0,"",INDEX('Daily Sale entry '!$AB$1:$AB$1501,$J1048+1)),1))</f>
        <v/>
      </c>
      <c r="F1048" s="6">
        <f>IF($J1048="","",IF($J1048&lt;=1500,N(INDEX('Daily Sale entry '!$AC$1:$AC$1501,$J1048+1))-IF(AND('Opening Balance'!$B$15=1,INDEX('Daily Sale entry '!$Z$1:$Z$1501,$J1048+1)="Online collection 网上收款",INDEX('Daily Sale entry '!$AA$1:$AA$1501,$J1048+1)&lt;&gt;""),N(INDEX('Daily Sale entry '!$AC$1:$AC$1501,$J1048+1))-TRUNC(N(INDEX('Daily Sale entry '!$AC$1:$AC$1501,$J1048+1))),0),N(INDEX('Daily Sale entry '!$S$1:$S$1501,$J1048-1499))-'Opening Balance'!$B$15*(N(INDEX('Daily Sale entry '!$S$1:$S$1501,$J1048-1499))-TRUNC(N(INDEX('Daily Sale entry '!$S$1:$S$1501,$J1048-1499))))))</f>
        <v/>
      </c>
      <c r="G1048" s="6">
        <f>IF($J1048="","",IF($J1048&lt;=1500,N(INDEX('Daily Sale entry '!$AD$1:$AD$1501,$J1048+1)),0))</f>
        <v/>
      </c>
      <c r="H1048" s="6">
        <f>IF($J1048="","",ROUND('Opening Balance'!$B$4+SUM($F$2:F1048)-SUM($G$2:G1048),2))</f>
        <v/>
      </c>
      <c r="J1048" s="21">
        <f>IFERROR(MATCH(ROW()-1,$L$2:$L$3001,0),"")</f>
        <v/>
      </c>
      <c r="K1048" s="34">
        <f>IF(AND('Daily Sale entry '!X1048&lt;&gt;"",OR('Daily Sale entry '!AC1048&lt;&gt;"",'Daily Sale entry '!AD1048&lt;&gt;"")),'Daily Sale entry '!X1048+ROW()/10000000,"")</f>
        <v/>
      </c>
      <c r="L1048" s="21">
        <f>IF(K1048="","",COUNTIF($K$2:$K$3001,"&lt;"&amp;K1048)+1)</f>
        <v/>
      </c>
    </row>
    <row r="1049">
      <c r="A1049" s="5">
        <f>IF($J1049="","",IF($J1049&lt;=1500,INDEX('Daily Sale entry '!$X$1:$X$1501,$J1049+1),INDEX('Daily Sale entry '!$V$1:$V$1501,$J1049-1499)))</f>
        <v/>
      </c>
      <c r="B1049">
        <f>IF($J1049="","",IF($J1049&lt;=1500,INDEX('Daily Sale entry '!$Y$1:$Y$1501,$J1049+1)&amp;"","Buyer cheque banked 买家支票存入"&amp;IF(INDEX('Daily Sale entry '!$U$1:$U$1501,$J1049-1499)="","", " - "&amp;INDEX('Daily Sale entry '!$U$1:$U$1501,$J1049-1499))))</f>
        <v/>
      </c>
      <c r="C1049">
        <f>IF($J1049="","",IF($J1049&lt;=1500,INDEX('Daily Sale entry '!$Z$1:$Z$1501,$J1049+1)&amp;"","Cheque deposit 支票存入 (buyer 买家)"))</f>
        <v/>
      </c>
      <c r="D1049">
        <f>IF($J1049="","",IF($J1049&lt;=1500,INDEX('Daily Sale entry '!$AA$1:$AA$1501,$J1049+1)&amp;"",INDEX('Daily Sale entry '!$P$1:$P$1501,$J1049-1499)&amp;""))</f>
        <v/>
      </c>
      <c r="E1049">
        <f>IF($J1049="","",IF($J1049&lt;=1500,IF(N(INDEX('Daily Sale entry '!$AB$1:$AB$1501,$J1049+1))=0,"",INDEX('Daily Sale entry '!$AB$1:$AB$1501,$J1049+1)),1))</f>
        <v/>
      </c>
      <c r="F1049" s="6">
        <f>IF($J1049="","",IF($J1049&lt;=1500,N(INDEX('Daily Sale entry '!$AC$1:$AC$1501,$J1049+1))-IF(AND('Opening Balance'!$B$15=1,INDEX('Daily Sale entry '!$Z$1:$Z$1501,$J1049+1)="Online collection 网上收款",INDEX('Daily Sale entry '!$AA$1:$AA$1501,$J1049+1)&lt;&gt;""),N(INDEX('Daily Sale entry '!$AC$1:$AC$1501,$J1049+1))-TRUNC(N(INDEX('Daily Sale entry '!$AC$1:$AC$1501,$J1049+1))),0),N(INDEX('Daily Sale entry '!$S$1:$S$1501,$J1049-1499))-'Opening Balance'!$B$15*(N(INDEX('Daily Sale entry '!$S$1:$S$1501,$J1049-1499))-TRUNC(N(INDEX('Daily Sale entry '!$S$1:$S$1501,$J1049-1499))))))</f>
        <v/>
      </c>
      <c r="G1049" s="6">
        <f>IF($J1049="","",IF($J1049&lt;=1500,N(INDEX('Daily Sale entry '!$AD$1:$AD$1501,$J1049+1)),0))</f>
        <v/>
      </c>
      <c r="H1049" s="6">
        <f>IF($J1049="","",ROUND('Opening Balance'!$B$4+SUM($F$2:F1049)-SUM($G$2:G1049),2))</f>
        <v/>
      </c>
      <c r="J1049" s="21">
        <f>IFERROR(MATCH(ROW()-1,$L$2:$L$3001,0),"")</f>
        <v/>
      </c>
      <c r="K1049" s="34">
        <f>IF(AND('Daily Sale entry '!X1049&lt;&gt;"",OR('Daily Sale entry '!AC1049&lt;&gt;"",'Daily Sale entry '!AD1049&lt;&gt;"")),'Daily Sale entry '!X1049+ROW()/10000000,"")</f>
        <v/>
      </c>
      <c r="L1049" s="21">
        <f>IF(K1049="","",COUNTIF($K$2:$K$3001,"&lt;"&amp;K1049)+1)</f>
        <v/>
      </c>
    </row>
    <row r="1050">
      <c r="A1050" s="5">
        <f>IF($J1050="","",IF($J1050&lt;=1500,INDEX('Daily Sale entry '!$X$1:$X$1501,$J1050+1),INDEX('Daily Sale entry '!$V$1:$V$1501,$J1050-1499)))</f>
        <v/>
      </c>
      <c r="B1050">
        <f>IF($J1050="","",IF($J1050&lt;=1500,INDEX('Daily Sale entry '!$Y$1:$Y$1501,$J1050+1)&amp;"","Buyer cheque banked 买家支票存入"&amp;IF(INDEX('Daily Sale entry '!$U$1:$U$1501,$J1050-1499)="","", " - "&amp;INDEX('Daily Sale entry '!$U$1:$U$1501,$J1050-1499))))</f>
        <v/>
      </c>
      <c r="C1050">
        <f>IF($J1050="","",IF($J1050&lt;=1500,INDEX('Daily Sale entry '!$Z$1:$Z$1501,$J1050+1)&amp;"","Cheque deposit 支票存入 (buyer 买家)"))</f>
        <v/>
      </c>
      <c r="D1050">
        <f>IF($J1050="","",IF($J1050&lt;=1500,INDEX('Daily Sale entry '!$AA$1:$AA$1501,$J1050+1)&amp;"",INDEX('Daily Sale entry '!$P$1:$P$1501,$J1050-1499)&amp;""))</f>
        <v/>
      </c>
      <c r="E1050">
        <f>IF($J1050="","",IF($J1050&lt;=1500,IF(N(INDEX('Daily Sale entry '!$AB$1:$AB$1501,$J1050+1))=0,"",INDEX('Daily Sale entry '!$AB$1:$AB$1501,$J1050+1)),1))</f>
        <v/>
      </c>
      <c r="F1050" s="6">
        <f>IF($J1050="","",IF($J1050&lt;=1500,N(INDEX('Daily Sale entry '!$AC$1:$AC$1501,$J1050+1))-IF(AND('Opening Balance'!$B$15=1,INDEX('Daily Sale entry '!$Z$1:$Z$1501,$J1050+1)="Online collection 网上收款",INDEX('Daily Sale entry '!$AA$1:$AA$1501,$J1050+1)&lt;&gt;""),N(INDEX('Daily Sale entry '!$AC$1:$AC$1501,$J1050+1))-TRUNC(N(INDEX('Daily Sale entry '!$AC$1:$AC$1501,$J1050+1))),0),N(INDEX('Daily Sale entry '!$S$1:$S$1501,$J1050-1499))-'Opening Balance'!$B$15*(N(INDEX('Daily Sale entry '!$S$1:$S$1501,$J1050-1499))-TRUNC(N(INDEX('Daily Sale entry '!$S$1:$S$1501,$J1050-1499))))))</f>
        <v/>
      </c>
      <c r="G1050" s="6">
        <f>IF($J1050="","",IF($J1050&lt;=1500,N(INDEX('Daily Sale entry '!$AD$1:$AD$1501,$J1050+1)),0))</f>
        <v/>
      </c>
      <c r="H1050" s="6">
        <f>IF($J1050="","",ROUND('Opening Balance'!$B$4+SUM($F$2:F1050)-SUM($G$2:G1050),2))</f>
        <v/>
      </c>
      <c r="J1050" s="21">
        <f>IFERROR(MATCH(ROW()-1,$L$2:$L$3001,0),"")</f>
        <v/>
      </c>
      <c r="K1050" s="34">
        <f>IF(AND('Daily Sale entry '!X1050&lt;&gt;"",OR('Daily Sale entry '!AC1050&lt;&gt;"",'Daily Sale entry '!AD1050&lt;&gt;"")),'Daily Sale entry '!X1050+ROW()/10000000,"")</f>
        <v/>
      </c>
      <c r="L1050" s="21">
        <f>IF(K1050="","",COUNTIF($K$2:$K$3001,"&lt;"&amp;K1050)+1)</f>
        <v/>
      </c>
    </row>
    <row r="1051">
      <c r="A1051" s="5">
        <f>IF($J1051="","",IF($J1051&lt;=1500,INDEX('Daily Sale entry '!$X$1:$X$1501,$J1051+1),INDEX('Daily Sale entry '!$V$1:$V$1501,$J1051-1499)))</f>
        <v/>
      </c>
      <c r="B1051">
        <f>IF($J1051="","",IF($J1051&lt;=1500,INDEX('Daily Sale entry '!$Y$1:$Y$1501,$J1051+1)&amp;"","Buyer cheque banked 买家支票存入"&amp;IF(INDEX('Daily Sale entry '!$U$1:$U$1501,$J1051-1499)="","", " - "&amp;INDEX('Daily Sale entry '!$U$1:$U$1501,$J1051-1499))))</f>
        <v/>
      </c>
      <c r="C1051">
        <f>IF($J1051="","",IF($J1051&lt;=1500,INDEX('Daily Sale entry '!$Z$1:$Z$1501,$J1051+1)&amp;"","Cheque deposit 支票存入 (buyer 买家)"))</f>
        <v/>
      </c>
      <c r="D1051">
        <f>IF($J1051="","",IF($J1051&lt;=1500,INDEX('Daily Sale entry '!$AA$1:$AA$1501,$J1051+1)&amp;"",INDEX('Daily Sale entry '!$P$1:$P$1501,$J1051-1499)&amp;""))</f>
        <v/>
      </c>
      <c r="E1051">
        <f>IF($J1051="","",IF($J1051&lt;=1500,IF(N(INDEX('Daily Sale entry '!$AB$1:$AB$1501,$J1051+1))=0,"",INDEX('Daily Sale entry '!$AB$1:$AB$1501,$J1051+1)),1))</f>
        <v/>
      </c>
      <c r="F1051" s="6">
        <f>IF($J1051="","",IF($J1051&lt;=1500,N(INDEX('Daily Sale entry '!$AC$1:$AC$1501,$J1051+1))-IF(AND('Opening Balance'!$B$15=1,INDEX('Daily Sale entry '!$Z$1:$Z$1501,$J1051+1)="Online collection 网上收款",INDEX('Daily Sale entry '!$AA$1:$AA$1501,$J1051+1)&lt;&gt;""),N(INDEX('Daily Sale entry '!$AC$1:$AC$1501,$J1051+1))-TRUNC(N(INDEX('Daily Sale entry '!$AC$1:$AC$1501,$J1051+1))),0),N(INDEX('Daily Sale entry '!$S$1:$S$1501,$J1051-1499))-'Opening Balance'!$B$15*(N(INDEX('Daily Sale entry '!$S$1:$S$1501,$J1051-1499))-TRUNC(N(INDEX('Daily Sale entry '!$S$1:$S$1501,$J1051-1499))))))</f>
        <v/>
      </c>
      <c r="G1051" s="6">
        <f>IF($J1051="","",IF($J1051&lt;=1500,N(INDEX('Daily Sale entry '!$AD$1:$AD$1501,$J1051+1)),0))</f>
        <v/>
      </c>
      <c r="H1051" s="6">
        <f>IF($J1051="","",ROUND('Opening Balance'!$B$4+SUM($F$2:F1051)-SUM($G$2:G1051),2))</f>
        <v/>
      </c>
      <c r="J1051" s="21">
        <f>IFERROR(MATCH(ROW()-1,$L$2:$L$3001,0),"")</f>
        <v/>
      </c>
      <c r="K1051" s="34">
        <f>IF(AND('Daily Sale entry '!X1051&lt;&gt;"",OR('Daily Sale entry '!AC1051&lt;&gt;"",'Daily Sale entry '!AD1051&lt;&gt;"")),'Daily Sale entry '!X1051+ROW()/10000000,"")</f>
        <v/>
      </c>
      <c r="L1051" s="21">
        <f>IF(K1051="","",COUNTIF($K$2:$K$3001,"&lt;"&amp;K1051)+1)</f>
        <v/>
      </c>
    </row>
    <row r="1052">
      <c r="A1052" s="5">
        <f>IF($J1052="","",IF($J1052&lt;=1500,INDEX('Daily Sale entry '!$X$1:$X$1501,$J1052+1),INDEX('Daily Sale entry '!$V$1:$V$1501,$J1052-1499)))</f>
        <v/>
      </c>
      <c r="B1052">
        <f>IF($J1052="","",IF($J1052&lt;=1500,INDEX('Daily Sale entry '!$Y$1:$Y$1501,$J1052+1)&amp;"","Buyer cheque banked 买家支票存入"&amp;IF(INDEX('Daily Sale entry '!$U$1:$U$1501,$J1052-1499)="","", " - "&amp;INDEX('Daily Sale entry '!$U$1:$U$1501,$J1052-1499))))</f>
        <v/>
      </c>
      <c r="C1052">
        <f>IF($J1052="","",IF($J1052&lt;=1500,INDEX('Daily Sale entry '!$Z$1:$Z$1501,$J1052+1)&amp;"","Cheque deposit 支票存入 (buyer 买家)"))</f>
        <v/>
      </c>
      <c r="D1052">
        <f>IF($J1052="","",IF($J1052&lt;=1500,INDEX('Daily Sale entry '!$AA$1:$AA$1501,$J1052+1)&amp;"",INDEX('Daily Sale entry '!$P$1:$P$1501,$J1052-1499)&amp;""))</f>
        <v/>
      </c>
      <c r="E1052">
        <f>IF($J1052="","",IF($J1052&lt;=1500,IF(N(INDEX('Daily Sale entry '!$AB$1:$AB$1501,$J1052+1))=0,"",INDEX('Daily Sale entry '!$AB$1:$AB$1501,$J1052+1)),1))</f>
        <v/>
      </c>
      <c r="F1052" s="6">
        <f>IF($J1052="","",IF($J1052&lt;=1500,N(INDEX('Daily Sale entry '!$AC$1:$AC$1501,$J1052+1))-IF(AND('Opening Balance'!$B$15=1,INDEX('Daily Sale entry '!$Z$1:$Z$1501,$J1052+1)="Online collection 网上收款",INDEX('Daily Sale entry '!$AA$1:$AA$1501,$J1052+1)&lt;&gt;""),N(INDEX('Daily Sale entry '!$AC$1:$AC$1501,$J1052+1))-TRUNC(N(INDEX('Daily Sale entry '!$AC$1:$AC$1501,$J1052+1))),0),N(INDEX('Daily Sale entry '!$S$1:$S$1501,$J1052-1499))-'Opening Balance'!$B$15*(N(INDEX('Daily Sale entry '!$S$1:$S$1501,$J1052-1499))-TRUNC(N(INDEX('Daily Sale entry '!$S$1:$S$1501,$J1052-1499))))))</f>
        <v/>
      </c>
      <c r="G1052" s="6">
        <f>IF($J1052="","",IF($J1052&lt;=1500,N(INDEX('Daily Sale entry '!$AD$1:$AD$1501,$J1052+1)),0))</f>
        <v/>
      </c>
      <c r="H1052" s="6">
        <f>IF($J1052="","",ROUND('Opening Balance'!$B$4+SUM($F$2:F1052)-SUM($G$2:G1052),2))</f>
        <v/>
      </c>
      <c r="J1052" s="21">
        <f>IFERROR(MATCH(ROW()-1,$L$2:$L$3001,0),"")</f>
        <v/>
      </c>
      <c r="K1052" s="34">
        <f>IF(AND('Daily Sale entry '!X1052&lt;&gt;"",OR('Daily Sale entry '!AC1052&lt;&gt;"",'Daily Sale entry '!AD1052&lt;&gt;"")),'Daily Sale entry '!X1052+ROW()/10000000,"")</f>
        <v/>
      </c>
      <c r="L1052" s="21">
        <f>IF(K1052="","",COUNTIF($K$2:$K$3001,"&lt;"&amp;K1052)+1)</f>
        <v/>
      </c>
    </row>
    <row r="1053">
      <c r="A1053" s="5">
        <f>IF($J1053="","",IF($J1053&lt;=1500,INDEX('Daily Sale entry '!$X$1:$X$1501,$J1053+1),INDEX('Daily Sale entry '!$V$1:$V$1501,$J1053-1499)))</f>
        <v/>
      </c>
      <c r="B1053">
        <f>IF($J1053="","",IF($J1053&lt;=1500,INDEX('Daily Sale entry '!$Y$1:$Y$1501,$J1053+1)&amp;"","Buyer cheque banked 买家支票存入"&amp;IF(INDEX('Daily Sale entry '!$U$1:$U$1501,$J1053-1499)="","", " - "&amp;INDEX('Daily Sale entry '!$U$1:$U$1501,$J1053-1499))))</f>
        <v/>
      </c>
      <c r="C1053">
        <f>IF($J1053="","",IF($J1053&lt;=1500,INDEX('Daily Sale entry '!$Z$1:$Z$1501,$J1053+1)&amp;"","Cheque deposit 支票存入 (buyer 买家)"))</f>
        <v/>
      </c>
      <c r="D1053">
        <f>IF($J1053="","",IF($J1053&lt;=1500,INDEX('Daily Sale entry '!$AA$1:$AA$1501,$J1053+1)&amp;"",INDEX('Daily Sale entry '!$P$1:$P$1501,$J1053-1499)&amp;""))</f>
        <v/>
      </c>
      <c r="E1053">
        <f>IF($J1053="","",IF($J1053&lt;=1500,IF(N(INDEX('Daily Sale entry '!$AB$1:$AB$1501,$J1053+1))=0,"",INDEX('Daily Sale entry '!$AB$1:$AB$1501,$J1053+1)),1))</f>
        <v/>
      </c>
      <c r="F1053" s="6">
        <f>IF($J1053="","",IF($J1053&lt;=1500,N(INDEX('Daily Sale entry '!$AC$1:$AC$1501,$J1053+1))-IF(AND('Opening Balance'!$B$15=1,INDEX('Daily Sale entry '!$Z$1:$Z$1501,$J1053+1)="Online collection 网上收款",INDEX('Daily Sale entry '!$AA$1:$AA$1501,$J1053+1)&lt;&gt;""),N(INDEX('Daily Sale entry '!$AC$1:$AC$1501,$J1053+1))-TRUNC(N(INDEX('Daily Sale entry '!$AC$1:$AC$1501,$J1053+1))),0),N(INDEX('Daily Sale entry '!$S$1:$S$1501,$J1053-1499))-'Opening Balance'!$B$15*(N(INDEX('Daily Sale entry '!$S$1:$S$1501,$J1053-1499))-TRUNC(N(INDEX('Daily Sale entry '!$S$1:$S$1501,$J1053-1499))))))</f>
        <v/>
      </c>
      <c r="G1053" s="6">
        <f>IF($J1053="","",IF($J1053&lt;=1500,N(INDEX('Daily Sale entry '!$AD$1:$AD$1501,$J1053+1)),0))</f>
        <v/>
      </c>
      <c r="H1053" s="6">
        <f>IF($J1053="","",ROUND('Opening Balance'!$B$4+SUM($F$2:F1053)-SUM($G$2:G1053),2))</f>
        <v/>
      </c>
      <c r="J1053" s="21">
        <f>IFERROR(MATCH(ROW()-1,$L$2:$L$3001,0),"")</f>
        <v/>
      </c>
      <c r="K1053" s="34">
        <f>IF(AND('Daily Sale entry '!X1053&lt;&gt;"",OR('Daily Sale entry '!AC1053&lt;&gt;"",'Daily Sale entry '!AD1053&lt;&gt;"")),'Daily Sale entry '!X1053+ROW()/10000000,"")</f>
        <v/>
      </c>
      <c r="L1053" s="21">
        <f>IF(K1053="","",COUNTIF($K$2:$K$3001,"&lt;"&amp;K1053)+1)</f>
        <v/>
      </c>
    </row>
    <row r="1054">
      <c r="A1054" s="5">
        <f>IF($J1054="","",IF($J1054&lt;=1500,INDEX('Daily Sale entry '!$X$1:$X$1501,$J1054+1),INDEX('Daily Sale entry '!$V$1:$V$1501,$J1054-1499)))</f>
        <v/>
      </c>
      <c r="B1054">
        <f>IF($J1054="","",IF($J1054&lt;=1500,INDEX('Daily Sale entry '!$Y$1:$Y$1501,$J1054+1)&amp;"","Buyer cheque banked 买家支票存入"&amp;IF(INDEX('Daily Sale entry '!$U$1:$U$1501,$J1054-1499)="","", " - "&amp;INDEX('Daily Sale entry '!$U$1:$U$1501,$J1054-1499))))</f>
        <v/>
      </c>
      <c r="C1054">
        <f>IF($J1054="","",IF($J1054&lt;=1500,INDEX('Daily Sale entry '!$Z$1:$Z$1501,$J1054+1)&amp;"","Cheque deposit 支票存入 (buyer 买家)"))</f>
        <v/>
      </c>
      <c r="D1054">
        <f>IF($J1054="","",IF($J1054&lt;=1500,INDEX('Daily Sale entry '!$AA$1:$AA$1501,$J1054+1)&amp;"",INDEX('Daily Sale entry '!$P$1:$P$1501,$J1054-1499)&amp;""))</f>
        <v/>
      </c>
      <c r="E1054">
        <f>IF($J1054="","",IF($J1054&lt;=1500,IF(N(INDEX('Daily Sale entry '!$AB$1:$AB$1501,$J1054+1))=0,"",INDEX('Daily Sale entry '!$AB$1:$AB$1501,$J1054+1)),1))</f>
        <v/>
      </c>
      <c r="F1054" s="6">
        <f>IF($J1054="","",IF($J1054&lt;=1500,N(INDEX('Daily Sale entry '!$AC$1:$AC$1501,$J1054+1))-IF(AND('Opening Balance'!$B$15=1,INDEX('Daily Sale entry '!$Z$1:$Z$1501,$J1054+1)="Online collection 网上收款",INDEX('Daily Sale entry '!$AA$1:$AA$1501,$J1054+1)&lt;&gt;""),N(INDEX('Daily Sale entry '!$AC$1:$AC$1501,$J1054+1))-TRUNC(N(INDEX('Daily Sale entry '!$AC$1:$AC$1501,$J1054+1))),0),N(INDEX('Daily Sale entry '!$S$1:$S$1501,$J1054-1499))-'Opening Balance'!$B$15*(N(INDEX('Daily Sale entry '!$S$1:$S$1501,$J1054-1499))-TRUNC(N(INDEX('Daily Sale entry '!$S$1:$S$1501,$J1054-1499))))))</f>
        <v/>
      </c>
      <c r="G1054" s="6">
        <f>IF($J1054="","",IF($J1054&lt;=1500,N(INDEX('Daily Sale entry '!$AD$1:$AD$1501,$J1054+1)),0))</f>
        <v/>
      </c>
      <c r="H1054" s="6">
        <f>IF($J1054="","",ROUND('Opening Balance'!$B$4+SUM($F$2:F1054)-SUM($G$2:G1054),2))</f>
        <v/>
      </c>
      <c r="J1054" s="21">
        <f>IFERROR(MATCH(ROW()-1,$L$2:$L$3001,0),"")</f>
        <v/>
      </c>
      <c r="K1054" s="34">
        <f>IF(AND('Daily Sale entry '!X1054&lt;&gt;"",OR('Daily Sale entry '!AC1054&lt;&gt;"",'Daily Sale entry '!AD1054&lt;&gt;"")),'Daily Sale entry '!X1054+ROW()/10000000,"")</f>
        <v/>
      </c>
      <c r="L1054" s="21">
        <f>IF(K1054="","",COUNTIF($K$2:$K$3001,"&lt;"&amp;K1054)+1)</f>
        <v/>
      </c>
    </row>
    <row r="1055">
      <c r="A1055" s="5">
        <f>IF($J1055="","",IF($J1055&lt;=1500,INDEX('Daily Sale entry '!$X$1:$X$1501,$J1055+1),INDEX('Daily Sale entry '!$V$1:$V$1501,$J1055-1499)))</f>
        <v/>
      </c>
      <c r="B1055">
        <f>IF($J1055="","",IF($J1055&lt;=1500,INDEX('Daily Sale entry '!$Y$1:$Y$1501,$J1055+1)&amp;"","Buyer cheque banked 买家支票存入"&amp;IF(INDEX('Daily Sale entry '!$U$1:$U$1501,$J1055-1499)="","", " - "&amp;INDEX('Daily Sale entry '!$U$1:$U$1501,$J1055-1499))))</f>
        <v/>
      </c>
      <c r="C1055">
        <f>IF($J1055="","",IF($J1055&lt;=1500,INDEX('Daily Sale entry '!$Z$1:$Z$1501,$J1055+1)&amp;"","Cheque deposit 支票存入 (buyer 买家)"))</f>
        <v/>
      </c>
      <c r="D1055">
        <f>IF($J1055="","",IF($J1055&lt;=1500,INDEX('Daily Sale entry '!$AA$1:$AA$1501,$J1055+1)&amp;"",INDEX('Daily Sale entry '!$P$1:$P$1501,$J1055-1499)&amp;""))</f>
        <v/>
      </c>
      <c r="E1055">
        <f>IF($J1055="","",IF($J1055&lt;=1500,IF(N(INDEX('Daily Sale entry '!$AB$1:$AB$1501,$J1055+1))=0,"",INDEX('Daily Sale entry '!$AB$1:$AB$1501,$J1055+1)),1))</f>
        <v/>
      </c>
      <c r="F1055" s="6">
        <f>IF($J1055="","",IF($J1055&lt;=1500,N(INDEX('Daily Sale entry '!$AC$1:$AC$1501,$J1055+1))-IF(AND('Opening Balance'!$B$15=1,INDEX('Daily Sale entry '!$Z$1:$Z$1501,$J1055+1)="Online collection 网上收款",INDEX('Daily Sale entry '!$AA$1:$AA$1501,$J1055+1)&lt;&gt;""),N(INDEX('Daily Sale entry '!$AC$1:$AC$1501,$J1055+1))-TRUNC(N(INDEX('Daily Sale entry '!$AC$1:$AC$1501,$J1055+1))),0),N(INDEX('Daily Sale entry '!$S$1:$S$1501,$J1055-1499))-'Opening Balance'!$B$15*(N(INDEX('Daily Sale entry '!$S$1:$S$1501,$J1055-1499))-TRUNC(N(INDEX('Daily Sale entry '!$S$1:$S$1501,$J1055-1499))))))</f>
        <v/>
      </c>
      <c r="G1055" s="6">
        <f>IF($J1055="","",IF($J1055&lt;=1500,N(INDEX('Daily Sale entry '!$AD$1:$AD$1501,$J1055+1)),0))</f>
        <v/>
      </c>
      <c r="H1055" s="6">
        <f>IF($J1055="","",ROUND('Opening Balance'!$B$4+SUM($F$2:F1055)-SUM($G$2:G1055),2))</f>
        <v/>
      </c>
      <c r="J1055" s="21">
        <f>IFERROR(MATCH(ROW()-1,$L$2:$L$3001,0),"")</f>
        <v/>
      </c>
      <c r="K1055" s="34">
        <f>IF(AND('Daily Sale entry '!X1055&lt;&gt;"",OR('Daily Sale entry '!AC1055&lt;&gt;"",'Daily Sale entry '!AD1055&lt;&gt;"")),'Daily Sale entry '!X1055+ROW()/10000000,"")</f>
        <v/>
      </c>
      <c r="L1055" s="21">
        <f>IF(K1055="","",COUNTIF($K$2:$K$3001,"&lt;"&amp;K1055)+1)</f>
        <v/>
      </c>
    </row>
    <row r="1056">
      <c r="A1056" s="5">
        <f>IF($J1056="","",IF($J1056&lt;=1500,INDEX('Daily Sale entry '!$X$1:$X$1501,$J1056+1),INDEX('Daily Sale entry '!$V$1:$V$1501,$J1056-1499)))</f>
        <v/>
      </c>
      <c r="B1056">
        <f>IF($J1056="","",IF($J1056&lt;=1500,INDEX('Daily Sale entry '!$Y$1:$Y$1501,$J1056+1)&amp;"","Buyer cheque banked 买家支票存入"&amp;IF(INDEX('Daily Sale entry '!$U$1:$U$1501,$J1056-1499)="","", " - "&amp;INDEX('Daily Sale entry '!$U$1:$U$1501,$J1056-1499))))</f>
        <v/>
      </c>
      <c r="C1056">
        <f>IF($J1056="","",IF($J1056&lt;=1500,INDEX('Daily Sale entry '!$Z$1:$Z$1501,$J1056+1)&amp;"","Cheque deposit 支票存入 (buyer 买家)"))</f>
        <v/>
      </c>
      <c r="D1056">
        <f>IF($J1056="","",IF($J1056&lt;=1500,INDEX('Daily Sale entry '!$AA$1:$AA$1501,$J1056+1)&amp;"",INDEX('Daily Sale entry '!$P$1:$P$1501,$J1056-1499)&amp;""))</f>
        <v/>
      </c>
      <c r="E1056">
        <f>IF($J1056="","",IF($J1056&lt;=1500,IF(N(INDEX('Daily Sale entry '!$AB$1:$AB$1501,$J1056+1))=0,"",INDEX('Daily Sale entry '!$AB$1:$AB$1501,$J1056+1)),1))</f>
        <v/>
      </c>
      <c r="F1056" s="6">
        <f>IF($J1056="","",IF($J1056&lt;=1500,N(INDEX('Daily Sale entry '!$AC$1:$AC$1501,$J1056+1))-IF(AND('Opening Balance'!$B$15=1,INDEX('Daily Sale entry '!$Z$1:$Z$1501,$J1056+1)="Online collection 网上收款",INDEX('Daily Sale entry '!$AA$1:$AA$1501,$J1056+1)&lt;&gt;""),N(INDEX('Daily Sale entry '!$AC$1:$AC$1501,$J1056+1))-TRUNC(N(INDEX('Daily Sale entry '!$AC$1:$AC$1501,$J1056+1))),0),N(INDEX('Daily Sale entry '!$S$1:$S$1501,$J1056-1499))-'Opening Balance'!$B$15*(N(INDEX('Daily Sale entry '!$S$1:$S$1501,$J1056-1499))-TRUNC(N(INDEX('Daily Sale entry '!$S$1:$S$1501,$J1056-1499))))))</f>
        <v/>
      </c>
      <c r="G1056" s="6">
        <f>IF($J1056="","",IF($J1056&lt;=1500,N(INDEX('Daily Sale entry '!$AD$1:$AD$1501,$J1056+1)),0))</f>
        <v/>
      </c>
      <c r="H1056" s="6">
        <f>IF($J1056="","",ROUND('Opening Balance'!$B$4+SUM($F$2:F1056)-SUM($G$2:G1056),2))</f>
        <v/>
      </c>
      <c r="J1056" s="21">
        <f>IFERROR(MATCH(ROW()-1,$L$2:$L$3001,0),"")</f>
        <v/>
      </c>
      <c r="K1056" s="34">
        <f>IF(AND('Daily Sale entry '!X1056&lt;&gt;"",OR('Daily Sale entry '!AC1056&lt;&gt;"",'Daily Sale entry '!AD1056&lt;&gt;"")),'Daily Sale entry '!X1056+ROW()/10000000,"")</f>
        <v/>
      </c>
      <c r="L1056" s="21">
        <f>IF(K1056="","",COUNTIF($K$2:$K$3001,"&lt;"&amp;K1056)+1)</f>
        <v/>
      </c>
    </row>
    <row r="1057">
      <c r="A1057" s="5">
        <f>IF($J1057="","",IF($J1057&lt;=1500,INDEX('Daily Sale entry '!$X$1:$X$1501,$J1057+1),INDEX('Daily Sale entry '!$V$1:$V$1501,$J1057-1499)))</f>
        <v/>
      </c>
      <c r="B1057">
        <f>IF($J1057="","",IF($J1057&lt;=1500,INDEX('Daily Sale entry '!$Y$1:$Y$1501,$J1057+1)&amp;"","Buyer cheque banked 买家支票存入"&amp;IF(INDEX('Daily Sale entry '!$U$1:$U$1501,$J1057-1499)="","", " - "&amp;INDEX('Daily Sale entry '!$U$1:$U$1501,$J1057-1499))))</f>
        <v/>
      </c>
      <c r="C1057">
        <f>IF($J1057="","",IF($J1057&lt;=1500,INDEX('Daily Sale entry '!$Z$1:$Z$1501,$J1057+1)&amp;"","Cheque deposit 支票存入 (buyer 买家)"))</f>
        <v/>
      </c>
      <c r="D1057">
        <f>IF($J1057="","",IF($J1057&lt;=1500,INDEX('Daily Sale entry '!$AA$1:$AA$1501,$J1057+1)&amp;"",INDEX('Daily Sale entry '!$P$1:$P$1501,$J1057-1499)&amp;""))</f>
        <v/>
      </c>
      <c r="E1057">
        <f>IF($J1057="","",IF($J1057&lt;=1500,IF(N(INDEX('Daily Sale entry '!$AB$1:$AB$1501,$J1057+1))=0,"",INDEX('Daily Sale entry '!$AB$1:$AB$1501,$J1057+1)),1))</f>
        <v/>
      </c>
      <c r="F1057" s="6">
        <f>IF($J1057="","",IF($J1057&lt;=1500,N(INDEX('Daily Sale entry '!$AC$1:$AC$1501,$J1057+1))-IF(AND('Opening Balance'!$B$15=1,INDEX('Daily Sale entry '!$Z$1:$Z$1501,$J1057+1)="Online collection 网上收款",INDEX('Daily Sale entry '!$AA$1:$AA$1501,$J1057+1)&lt;&gt;""),N(INDEX('Daily Sale entry '!$AC$1:$AC$1501,$J1057+1))-TRUNC(N(INDEX('Daily Sale entry '!$AC$1:$AC$1501,$J1057+1))),0),N(INDEX('Daily Sale entry '!$S$1:$S$1501,$J1057-1499))-'Opening Balance'!$B$15*(N(INDEX('Daily Sale entry '!$S$1:$S$1501,$J1057-1499))-TRUNC(N(INDEX('Daily Sale entry '!$S$1:$S$1501,$J1057-1499))))))</f>
        <v/>
      </c>
      <c r="G1057" s="6">
        <f>IF($J1057="","",IF($J1057&lt;=1500,N(INDEX('Daily Sale entry '!$AD$1:$AD$1501,$J1057+1)),0))</f>
        <v/>
      </c>
      <c r="H1057" s="6">
        <f>IF($J1057="","",ROUND('Opening Balance'!$B$4+SUM($F$2:F1057)-SUM($G$2:G1057),2))</f>
        <v/>
      </c>
      <c r="J1057" s="21">
        <f>IFERROR(MATCH(ROW()-1,$L$2:$L$3001,0),"")</f>
        <v/>
      </c>
      <c r="K1057" s="34">
        <f>IF(AND('Daily Sale entry '!X1057&lt;&gt;"",OR('Daily Sale entry '!AC1057&lt;&gt;"",'Daily Sale entry '!AD1057&lt;&gt;"")),'Daily Sale entry '!X1057+ROW()/10000000,"")</f>
        <v/>
      </c>
      <c r="L1057" s="21">
        <f>IF(K1057="","",COUNTIF($K$2:$K$3001,"&lt;"&amp;K1057)+1)</f>
        <v/>
      </c>
    </row>
    <row r="1058">
      <c r="A1058" s="5">
        <f>IF($J1058="","",IF($J1058&lt;=1500,INDEX('Daily Sale entry '!$X$1:$X$1501,$J1058+1),INDEX('Daily Sale entry '!$V$1:$V$1501,$J1058-1499)))</f>
        <v/>
      </c>
      <c r="B1058">
        <f>IF($J1058="","",IF($J1058&lt;=1500,INDEX('Daily Sale entry '!$Y$1:$Y$1501,$J1058+1)&amp;"","Buyer cheque banked 买家支票存入"&amp;IF(INDEX('Daily Sale entry '!$U$1:$U$1501,$J1058-1499)="","", " - "&amp;INDEX('Daily Sale entry '!$U$1:$U$1501,$J1058-1499))))</f>
        <v/>
      </c>
      <c r="C1058">
        <f>IF($J1058="","",IF($J1058&lt;=1500,INDEX('Daily Sale entry '!$Z$1:$Z$1501,$J1058+1)&amp;"","Cheque deposit 支票存入 (buyer 买家)"))</f>
        <v/>
      </c>
      <c r="D1058">
        <f>IF($J1058="","",IF($J1058&lt;=1500,INDEX('Daily Sale entry '!$AA$1:$AA$1501,$J1058+1)&amp;"",INDEX('Daily Sale entry '!$P$1:$P$1501,$J1058-1499)&amp;""))</f>
        <v/>
      </c>
      <c r="E1058">
        <f>IF($J1058="","",IF($J1058&lt;=1500,IF(N(INDEX('Daily Sale entry '!$AB$1:$AB$1501,$J1058+1))=0,"",INDEX('Daily Sale entry '!$AB$1:$AB$1501,$J1058+1)),1))</f>
        <v/>
      </c>
      <c r="F1058" s="6">
        <f>IF($J1058="","",IF($J1058&lt;=1500,N(INDEX('Daily Sale entry '!$AC$1:$AC$1501,$J1058+1))-IF(AND('Opening Balance'!$B$15=1,INDEX('Daily Sale entry '!$Z$1:$Z$1501,$J1058+1)="Online collection 网上收款",INDEX('Daily Sale entry '!$AA$1:$AA$1501,$J1058+1)&lt;&gt;""),N(INDEX('Daily Sale entry '!$AC$1:$AC$1501,$J1058+1))-TRUNC(N(INDEX('Daily Sale entry '!$AC$1:$AC$1501,$J1058+1))),0),N(INDEX('Daily Sale entry '!$S$1:$S$1501,$J1058-1499))-'Opening Balance'!$B$15*(N(INDEX('Daily Sale entry '!$S$1:$S$1501,$J1058-1499))-TRUNC(N(INDEX('Daily Sale entry '!$S$1:$S$1501,$J1058-1499))))))</f>
        <v/>
      </c>
      <c r="G1058" s="6">
        <f>IF($J1058="","",IF($J1058&lt;=1500,N(INDEX('Daily Sale entry '!$AD$1:$AD$1501,$J1058+1)),0))</f>
        <v/>
      </c>
      <c r="H1058" s="6">
        <f>IF($J1058="","",ROUND('Opening Balance'!$B$4+SUM($F$2:F1058)-SUM($G$2:G1058),2))</f>
        <v/>
      </c>
      <c r="J1058" s="21">
        <f>IFERROR(MATCH(ROW()-1,$L$2:$L$3001,0),"")</f>
        <v/>
      </c>
      <c r="K1058" s="34">
        <f>IF(AND('Daily Sale entry '!X1058&lt;&gt;"",OR('Daily Sale entry '!AC1058&lt;&gt;"",'Daily Sale entry '!AD1058&lt;&gt;"")),'Daily Sale entry '!X1058+ROW()/10000000,"")</f>
        <v/>
      </c>
      <c r="L1058" s="21">
        <f>IF(K1058="","",COUNTIF($K$2:$K$3001,"&lt;"&amp;K1058)+1)</f>
        <v/>
      </c>
    </row>
    <row r="1059">
      <c r="A1059" s="5">
        <f>IF($J1059="","",IF($J1059&lt;=1500,INDEX('Daily Sale entry '!$X$1:$X$1501,$J1059+1),INDEX('Daily Sale entry '!$V$1:$V$1501,$J1059-1499)))</f>
        <v/>
      </c>
      <c r="B1059">
        <f>IF($J1059="","",IF($J1059&lt;=1500,INDEX('Daily Sale entry '!$Y$1:$Y$1501,$J1059+1)&amp;"","Buyer cheque banked 买家支票存入"&amp;IF(INDEX('Daily Sale entry '!$U$1:$U$1501,$J1059-1499)="","", " - "&amp;INDEX('Daily Sale entry '!$U$1:$U$1501,$J1059-1499))))</f>
        <v/>
      </c>
      <c r="C1059">
        <f>IF($J1059="","",IF($J1059&lt;=1500,INDEX('Daily Sale entry '!$Z$1:$Z$1501,$J1059+1)&amp;"","Cheque deposit 支票存入 (buyer 买家)"))</f>
        <v/>
      </c>
      <c r="D1059">
        <f>IF($J1059="","",IF($J1059&lt;=1500,INDEX('Daily Sale entry '!$AA$1:$AA$1501,$J1059+1)&amp;"",INDEX('Daily Sale entry '!$P$1:$P$1501,$J1059-1499)&amp;""))</f>
        <v/>
      </c>
      <c r="E1059">
        <f>IF($J1059="","",IF($J1059&lt;=1500,IF(N(INDEX('Daily Sale entry '!$AB$1:$AB$1501,$J1059+1))=0,"",INDEX('Daily Sale entry '!$AB$1:$AB$1501,$J1059+1)),1))</f>
        <v/>
      </c>
      <c r="F1059" s="6">
        <f>IF($J1059="","",IF($J1059&lt;=1500,N(INDEX('Daily Sale entry '!$AC$1:$AC$1501,$J1059+1))-IF(AND('Opening Balance'!$B$15=1,INDEX('Daily Sale entry '!$Z$1:$Z$1501,$J1059+1)="Online collection 网上收款",INDEX('Daily Sale entry '!$AA$1:$AA$1501,$J1059+1)&lt;&gt;""),N(INDEX('Daily Sale entry '!$AC$1:$AC$1501,$J1059+1))-TRUNC(N(INDEX('Daily Sale entry '!$AC$1:$AC$1501,$J1059+1))),0),N(INDEX('Daily Sale entry '!$S$1:$S$1501,$J1059-1499))-'Opening Balance'!$B$15*(N(INDEX('Daily Sale entry '!$S$1:$S$1501,$J1059-1499))-TRUNC(N(INDEX('Daily Sale entry '!$S$1:$S$1501,$J1059-1499))))))</f>
        <v/>
      </c>
      <c r="G1059" s="6">
        <f>IF($J1059="","",IF($J1059&lt;=1500,N(INDEX('Daily Sale entry '!$AD$1:$AD$1501,$J1059+1)),0))</f>
        <v/>
      </c>
      <c r="H1059" s="6">
        <f>IF($J1059="","",ROUND('Opening Balance'!$B$4+SUM($F$2:F1059)-SUM($G$2:G1059),2))</f>
        <v/>
      </c>
      <c r="J1059" s="21">
        <f>IFERROR(MATCH(ROW()-1,$L$2:$L$3001,0),"")</f>
        <v/>
      </c>
      <c r="K1059" s="34">
        <f>IF(AND('Daily Sale entry '!X1059&lt;&gt;"",OR('Daily Sale entry '!AC1059&lt;&gt;"",'Daily Sale entry '!AD1059&lt;&gt;"")),'Daily Sale entry '!X1059+ROW()/10000000,"")</f>
        <v/>
      </c>
      <c r="L1059" s="21">
        <f>IF(K1059="","",COUNTIF($K$2:$K$3001,"&lt;"&amp;K1059)+1)</f>
        <v/>
      </c>
    </row>
    <row r="1060">
      <c r="A1060" s="5">
        <f>IF($J1060="","",IF($J1060&lt;=1500,INDEX('Daily Sale entry '!$X$1:$X$1501,$J1060+1),INDEX('Daily Sale entry '!$V$1:$V$1501,$J1060-1499)))</f>
        <v/>
      </c>
      <c r="B1060">
        <f>IF($J1060="","",IF($J1060&lt;=1500,INDEX('Daily Sale entry '!$Y$1:$Y$1501,$J1060+1)&amp;"","Buyer cheque banked 买家支票存入"&amp;IF(INDEX('Daily Sale entry '!$U$1:$U$1501,$J1060-1499)="","", " - "&amp;INDEX('Daily Sale entry '!$U$1:$U$1501,$J1060-1499))))</f>
        <v/>
      </c>
      <c r="C1060">
        <f>IF($J1060="","",IF($J1060&lt;=1500,INDEX('Daily Sale entry '!$Z$1:$Z$1501,$J1060+1)&amp;"","Cheque deposit 支票存入 (buyer 买家)"))</f>
        <v/>
      </c>
      <c r="D1060">
        <f>IF($J1060="","",IF($J1060&lt;=1500,INDEX('Daily Sale entry '!$AA$1:$AA$1501,$J1060+1)&amp;"",INDEX('Daily Sale entry '!$P$1:$P$1501,$J1060-1499)&amp;""))</f>
        <v/>
      </c>
      <c r="E1060">
        <f>IF($J1060="","",IF($J1060&lt;=1500,IF(N(INDEX('Daily Sale entry '!$AB$1:$AB$1501,$J1060+1))=0,"",INDEX('Daily Sale entry '!$AB$1:$AB$1501,$J1060+1)),1))</f>
        <v/>
      </c>
      <c r="F1060" s="6">
        <f>IF($J1060="","",IF($J1060&lt;=1500,N(INDEX('Daily Sale entry '!$AC$1:$AC$1501,$J1060+1))-IF(AND('Opening Balance'!$B$15=1,INDEX('Daily Sale entry '!$Z$1:$Z$1501,$J1060+1)="Online collection 网上收款",INDEX('Daily Sale entry '!$AA$1:$AA$1501,$J1060+1)&lt;&gt;""),N(INDEX('Daily Sale entry '!$AC$1:$AC$1501,$J1060+1))-TRUNC(N(INDEX('Daily Sale entry '!$AC$1:$AC$1501,$J1060+1))),0),N(INDEX('Daily Sale entry '!$S$1:$S$1501,$J1060-1499))-'Opening Balance'!$B$15*(N(INDEX('Daily Sale entry '!$S$1:$S$1501,$J1060-1499))-TRUNC(N(INDEX('Daily Sale entry '!$S$1:$S$1501,$J1060-1499))))))</f>
        <v/>
      </c>
      <c r="G1060" s="6">
        <f>IF($J1060="","",IF($J1060&lt;=1500,N(INDEX('Daily Sale entry '!$AD$1:$AD$1501,$J1060+1)),0))</f>
        <v/>
      </c>
      <c r="H1060" s="6">
        <f>IF($J1060="","",ROUND('Opening Balance'!$B$4+SUM($F$2:F1060)-SUM($G$2:G1060),2))</f>
        <v/>
      </c>
      <c r="J1060" s="21">
        <f>IFERROR(MATCH(ROW()-1,$L$2:$L$3001,0),"")</f>
        <v/>
      </c>
      <c r="K1060" s="34">
        <f>IF(AND('Daily Sale entry '!X1060&lt;&gt;"",OR('Daily Sale entry '!AC1060&lt;&gt;"",'Daily Sale entry '!AD1060&lt;&gt;"")),'Daily Sale entry '!X1060+ROW()/10000000,"")</f>
        <v/>
      </c>
      <c r="L1060" s="21">
        <f>IF(K1060="","",COUNTIF($K$2:$K$3001,"&lt;"&amp;K1060)+1)</f>
        <v/>
      </c>
    </row>
    <row r="1061">
      <c r="A1061" s="5">
        <f>IF($J1061="","",IF($J1061&lt;=1500,INDEX('Daily Sale entry '!$X$1:$X$1501,$J1061+1),INDEX('Daily Sale entry '!$V$1:$V$1501,$J1061-1499)))</f>
        <v/>
      </c>
      <c r="B1061">
        <f>IF($J1061="","",IF($J1061&lt;=1500,INDEX('Daily Sale entry '!$Y$1:$Y$1501,$J1061+1)&amp;"","Buyer cheque banked 买家支票存入"&amp;IF(INDEX('Daily Sale entry '!$U$1:$U$1501,$J1061-1499)="","", " - "&amp;INDEX('Daily Sale entry '!$U$1:$U$1501,$J1061-1499))))</f>
        <v/>
      </c>
      <c r="C1061">
        <f>IF($J1061="","",IF($J1061&lt;=1500,INDEX('Daily Sale entry '!$Z$1:$Z$1501,$J1061+1)&amp;"","Cheque deposit 支票存入 (buyer 买家)"))</f>
        <v/>
      </c>
      <c r="D1061">
        <f>IF($J1061="","",IF($J1061&lt;=1500,INDEX('Daily Sale entry '!$AA$1:$AA$1501,$J1061+1)&amp;"",INDEX('Daily Sale entry '!$P$1:$P$1501,$J1061-1499)&amp;""))</f>
        <v/>
      </c>
      <c r="E1061">
        <f>IF($J1061="","",IF($J1061&lt;=1500,IF(N(INDEX('Daily Sale entry '!$AB$1:$AB$1501,$J1061+1))=0,"",INDEX('Daily Sale entry '!$AB$1:$AB$1501,$J1061+1)),1))</f>
        <v/>
      </c>
      <c r="F1061" s="6">
        <f>IF($J1061="","",IF($J1061&lt;=1500,N(INDEX('Daily Sale entry '!$AC$1:$AC$1501,$J1061+1))-IF(AND('Opening Balance'!$B$15=1,INDEX('Daily Sale entry '!$Z$1:$Z$1501,$J1061+1)="Online collection 网上收款",INDEX('Daily Sale entry '!$AA$1:$AA$1501,$J1061+1)&lt;&gt;""),N(INDEX('Daily Sale entry '!$AC$1:$AC$1501,$J1061+1))-TRUNC(N(INDEX('Daily Sale entry '!$AC$1:$AC$1501,$J1061+1))),0),N(INDEX('Daily Sale entry '!$S$1:$S$1501,$J1061-1499))-'Opening Balance'!$B$15*(N(INDEX('Daily Sale entry '!$S$1:$S$1501,$J1061-1499))-TRUNC(N(INDEX('Daily Sale entry '!$S$1:$S$1501,$J1061-1499))))))</f>
        <v/>
      </c>
      <c r="G1061" s="6">
        <f>IF($J1061="","",IF($J1061&lt;=1500,N(INDEX('Daily Sale entry '!$AD$1:$AD$1501,$J1061+1)),0))</f>
        <v/>
      </c>
      <c r="H1061" s="6">
        <f>IF($J1061="","",ROUND('Opening Balance'!$B$4+SUM($F$2:F1061)-SUM($G$2:G1061),2))</f>
        <v/>
      </c>
      <c r="J1061" s="21">
        <f>IFERROR(MATCH(ROW()-1,$L$2:$L$3001,0),"")</f>
        <v/>
      </c>
      <c r="K1061" s="34">
        <f>IF(AND('Daily Sale entry '!X1061&lt;&gt;"",OR('Daily Sale entry '!AC1061&lt;&gt;"",'Daily Sale entry '!AD1061&lt;&gt;"")),'Daily Sale entry '!X1061+ROW()/10000000,"")</f>
        <v/>
      </c>
      <c r="L1061" s="21">
        <f>IF(K1061="","",COUNTIF($K$2:$K$3001,"&lt;"&amp;K1061)+1)</f>
        <v/>
      </c>
    </row>
    <row r="1062">
      <c r="A1062" s="5">
        <f>IF($J1062="","",IF($J1062&lt;=1500,INDEX('Daily Sale entry '!$X$1:$X$1501,$J1062+1),INDEX('Daily Sale entry '!$V$1:$V$1501,$J1062-1499)))</f>
        <v/>
      </c>
      <c r="B1062">
        <f>IF($J1062="","",IF($J1062&lt;=1500,INDEX('Daily Sale entry '!$Y$1:$Y$1501,$J1062+1)&amp;"","Buyer cheque banked 买家支票存入"&amp;IF(INDEX('Daily Sale entry '!$U$1:$U$1501,$J1062-1499)="","", " - "&amp;INDEX('Daily Sale entry '!$U$1:$U$1501,$J1062-1499))))</f>
        <v/>
      </c>
      <c r="C1062">
        <f>IF($J1062="","",IF($J1062&lt;=1500,INDEX('Daily Sale entry '!$Z$1:$Z$1501,$J1062+1)&amp;"","Cheque deposit 支票存入 (buyer 买家)"))</f>
        <v/>
      </c>
      <c r="D1062">
        <f>IF($J1062="","",IF($J1062&lt;=1500,INDEX('Daily Sale entry '!$AA$1:$AA$1501,$J1062+1)&amp;"",INDEX('Daily Sale entry '!$P$1:$P$1501,$J1062-1499)&amp;""))</f>
        <v/>
      </c>
      <c r="E1062">
        <f>IF($J1062="","",IF($J1062&lt;=1500,IF(N(INDEX('Daily Sale entry '!$AB$1:$AB$1501,$J1062+1))=0,"",INDEX('Daily Sale entry '!$AB$1:$AB$1501,$J1062+1)),1))</f>
        <v/>
      </c>
      <c r="F1062" s="6">
        <f>IF($J1062="","",IF($J1062&lt;=1500,N(INDEX('Daily Sale entry '!$AC$1:$AC$1501,$J1062+1))-IF(AND('Opening Balance'!$B$15=1,INDEX('Daily Sale entry '!$Z$1:$Z$1501,$J1062+1)="Online collection 网上收款",INDEX('Daily Sale entry '!$AA$1:$AA$1501,$J1062+1)&lt;&gt;""),N(INDEX('Daily Sale entry '!$AC$1:$AC$1501,$J1062+1))-TRUNC(N(INDEX('Daily Sale entry '!$AC$1:$AC$1501,$J1062+1))),0),N(INDEX('Daily Sale entry '!$S$1:$S$1501,$J1062-1499))-'Opening Balance'!$B$15*(N(INDEX('Daily Sale entry '!$S$1:$S$1501,$J1062-1499))-TRUNC(N(INDEX('Daily Sale entry '!$S$1:$S$1501,$J1062-1499))))))</f>
        <v/>
      </c>
      <c r="G1062" s="6">
        <f>IF($J1062="","",IF($J1062&lt;=1500,N(INDEX('Daily Sale entry '!$AD$1:$AD$1501,$J1062+1)),0))</f>
        <v/>
      </c>
      <c r="H1062" s="6">
        <f>IF($J1062="","",ROUND('Opening Balance'!$B$4+SUM($F$2:F1062)-SUM($G$2:G1062),2))</f>
        <v/>
      </c>
      <c r="J1062" s="21">
        <f>IFERROR(MATCH(ROW()-1,$L$2:$L$3001,0),"")</f>
        <v/>
      </c>
      <c r="K1062" s="34">
        <f>IF(AND('Daily Sale entry '!X1062&lt;&gt;"",OR('Daily Sale entry '!AC1062&lt;&gt;"",'Daily Sale entry '!AD1062&lt;&gt;"")),'Daily Sale entry '!X1062+ROW()/10000000,"")</f>
        <v/>
      </c>
      <c r="L1062" s="21">
        <f>IF(K1062="","",COUNTIF($K$2:$K$3001,"&lt;"&amp;K1062)+1)</f>
        <v/>
      </c>
    </row>
    <row r="1063">
      <c r="A1063" s="5">
        <f>IF($J1063="","",IF($J1063&lt;=1500,INDEX('Daily Sale entry '!$X$1:$X$1501,$J1063+1),INDEX('Daily Sale entry '!$V$1:$V$1501,$J1063-1499)))</f>
        <v/>
      </c>
      <c r="B1063">
        <f>IF($J1063="","",IF($J1063&lt;=1500,INDEX('Daily Sale entry '!$Y$1:$Y$1501,$J1063+1)&amp;"","Buyer cheque banked 买家支票存入"&amp;IF(INDEX('Daily Sale entry '!$U$1:$U$1501,$J1063-1499)="","", " - "&amp;INDEX('Daily Sale entry '!$U$1:$U$1501,$J1063-1499))))</f>
        <v/>
      </c>
      <c r="C1063">
        <f>IF($J1063="","",IF($J1063&lt;=1500,INDEX('Daily Sale entry '!$Z$1:$Z$1501,$J1063+1)&amp;"","Cheque deposit 支票存入 (buyer 买家)"))</f>
        <v/>
      </c>
      <c r="D1063">
        <f>IF($J1063="","",IF($J1063&lt;=1500,INDEX('Daily Sale entry '!$AA$1:$AA$1501,$J1063+1)&amp;"",INDEX('Daily Sale entry '!$P$1:$P$1501,$J1063-1499)&amp;""))</f>
        <v/>
      </c>
      <c r="E1063">
        <f>IF($J1063="","",IF($J1063&lt;=1500,IF(N(INDEX('Daily Sale entry '!$AB$1:$AB$1501,$J1063+1))=0,"",INDEX('Daily Sale entry '!$AB$1:$AB$1501,$J1063+1)),1))</f>
        <v/>
      </c>
      <c r="F1063" s="6">
        <f>IF($J1063="","",IF($J1063&lt;=1500,N(INDEX('Daily Sale entry '!$AC$1:$AC$1501,$J1063+1))-IF(AND('Opening Balance'!$B$15=1,INDEX('Daily Sale entry '!$Z$1:$Z$1501,$J1063+1)="Online collection 网上收款",INDEX('Daily Sale entry '!$AA$1:$AA$1501,$J1063+1)&lt;&gt;""),N(INDEX('Daily Sale entry '!$AC$1:$AC$1501,$J1063+1))-TRUNC(N(INDEX('Daily Sale entry '!$AC$1:$AC$1501,$J1063+1))),0),N(INDEX('Daily Sale entry '!$S$1:$S$1501,$J1063-1499))-'Opening Balance'!$B$15*(N(INDEX('Daily Sale entry '!$S$1:$S$1501,$J1063-1499))-TRUNC(N(INDEX('Daily Sale entry '!$S$1:$S$1501,$J1063-1499))))))</f>
        <v/>
      </c>
      <c r="G1063" s="6">
        <f>IF($J1063="","",IF($J1063&lt;=1500,N(INDEX('Daily Sale entry '!$AD$1:$AD$1501,$J1063+1)),0))</f>
        <v/>
      </c>
      <c r="H1063" s="6">
        <f>IF($J1063="","",ROUND('Opening Balance'!$B$4+SUM($F$2:F1063)-SUM($G$2:G1063),2))</f>
        <v/>
      </c>
      <c r="J1063" s="21">
        <f>IFERROR(MATCH(ROW()-1,$L$2:$L$3001,0),"")</f>
        <v/>
      </c>
      <c r="K1063" s="34">
        <f>IF(AND('Daily Sale entry '!X1063&lt;&gt;"",OR('Daily Sale entry '!AC1063&lt;&gt;"",'Daily Sale entry '!AD1063&lt;&gt;"")),'Daily Sale entry '!X1063+ROW()/10000000,"")</f>
        <v/>
      </c>
      <c r="L1063" s="21">
        <f>IF(K1063="","",COUNTIF($K$2:$K$3001,"&lt;"&amp;K1063)+1)</f>
        <v/>
      </c>
    </row>
    <row r="1064">
      <c r="A1064" s="5">
        <f>IF($J1064="","",IF($J1064&lt;=1500,INDEX('Daily Sale entry '!$X$1:$X$1501,$J1064+1),INDEX('Daily Sale entry '!$V$1:$V$1501,$J1064-1499)))</f>
        <v/>
      </c>
      <c r="B1064">
        <f>IF($J1064="","",IF($J1064&lt;=1500,INDEX('Daily Sale entry '!$Y$1:$Y$1501,$J1064+1)&amp;"","Buyer cheque banked 买家支票存入"&amp;IF(INDEX('Daily Sale entry '!$U$1:$U$1501,$J1064-1499)="","", " - "&amp;INDEX('Daily Sale entry '!$U$1:$U$1501,$J1064-1499))))</f>
        <v/>
      </c>
      <c r="C1064">
        <f>IF($J1064="","",IF($J1064&lt;=1500,INDEX('Daily Sale entry '!$Z$1:$Z$1501,$J1064+1)&amp;"","Cheque deposit 支票存入 (buyer 买家)"))</f>
        <v/>
      </c>
      <c r="D1064">
        <f>IF($J1064="","",IF($J1064&lt;=1500,INDEX('Daily Sale entry '!$AA$1:$AA$1501,$J1064+1)&amp;"",INDEX('Daily Sale entry '!$P$1:$P$1501,$J1064-1499)&amp;""))</f>
        <v/>
      </c>
      <c r="E1064">
        <f>IF($J1064="","",IF($J1064&lt;=1500,IF(N(INDEX('Daily Sale entry '!$AB$1:$AB$1501,$J1064+1))=0,"",INDEX('Daily Sale entry '!$AB$1:$AB$1501,$J1064+1)),1))</f>
        <v/>
      </c>
      <c r="F1064" s="6">
        <f>IF($J1064="","",IF($J1064&lt;=1500,N(INDEX('Daily Sale entry '!$AC$1:$AC$1501,$J1064+1))-IF(AND('Opening Balance'!$B$15=1,INDEX('Daily Sale entry '!$Z$1:$Z$1501,$J1064+1)="Online collection 网上收款",INDEX('Daily Sale entry '!$AA$1:$AA$1501,$J1064+1)&lt;&gt;""),N(INDEX('Daily Sale entry '!$AC$1:$AC$1501,$J1064+1))-TRUNC(N(INDEX('Daily Sale entry '!$AC$1:$AC$1501,$J1064+1))),0),N(INDEX('Daily Sale entry '!$S$1:$S$1501,$J1064-1499))-'Opening Balance'!$B$15*(N(INDEX('Daily Sale entry '!$S$1:$S$1501,$J1064-1499))-TRUNC(N(INDEX('Daily Sale entry '!$S$1:$S$1501,$J1064-1499))))))</f>
        <v/>
      </c>
      <c r="G1064" s="6">
        <f>IF($J1064="","",IF($J1064&lt;=1500,N(INDEX('Daily Sale entry '!$AD$1:$AD$1501,$J1064+1)),0))</f>
        <v/>
      </c>
      <c r="H1064" s="6">
        <f>IF($J1064="","",ROUND('Opening Balance'!$B$4+SUM($F$2:F1064)-SUM($G$2:G1064),2))</f>
        <v/>
      </c>
      <c r="J1064" s="21">
        <f>IFERROR(MATCH(ROW()-1,$L$2:$L$3001,0),"")</f>
        <v/>
      </c>
      <c r="K1064" s="34">
        <f>IF(AND('Daily Sale entry '!X1064&lt;&gt;"",OR('Daily Sale entry '!AC1064&lt;&gt;"",'Daily Sale entry '!AD1064&lt;&gt;"")),'Daily Sale entry '!X1064+ROW()/10000000,"")</f>
        <v/>
      </c>
      <c r="L1064" s="21">
        <f>IF(K1064="","",COUNTIF($K$2:$K$3001,"&lt;"&amp;K1064)+1)</f>
        <v/>
      </c>
    </row>
    <row r="1065">
      <c r="A1065" s="5">
        <f>IF($J1065="","",IF($J1065&lt;=1500,INDEX('Daily Sale entry '!$X$1:$X$1501,$J1065+1),INDEX('Daily Sale entry '!$V$1:$V$1501,$J1065-1499)))</f>
        <v/>
      </c>
      <c r="B1065">
        <f>IF($J1065="","",IF($J1065&lt;=1500,INDEX('Daily Sale entry '!$Y$1:$Y$1501,$J1065+1)&amp;"","Buyer cheque banked 买家支票存入"&amp;IF(INDEX('Daily Sale entry '!$U$1:$U$1501,$J1065-1499)="","", " - "&amp;INDEX('Daily Sale entry '!$U$1:$U$1501,$J1065-1499))))</f>
        <v/>
      </c>
      <c r="C1065">
        <f>IF($J1065="","",IF($J1065&lt;=1500,INDEX('Daily Sale entry '!$Z$1:$Z$1501,$J1065+1)&amp;"","Cheque deposit 支票存入 (buyer 买家)"))</f>
        <v/>
      </c>
      <c r="D1065">
        <f>IF($J1065="","",IF($J1065&lt;=1500,INDEX('Daily Sale entry '!$AA$1:$AA$1501,$J1065+1)&amp;"",INDEX('Daily Sale entry '!$P$1:$P$1501,$J1065-1499)&amp;""))</f>
        <v/>
      </c>
      <c r="E1065">
        <f>IF($J1065="","",IF($J1065&lt;=1500,IF(N(INDEX('Daily Sale entry '!$AB$1:$AB$1501,$J1065+1))=0,"",INDEX('Daily Sale entry '!$AB$1:$AB$1501,$J1065+1)),1))</f>
        <v/>
      </c>
      <c r="F1065" s="6">
        <f>IF($J1065="","",IF($J1065&lt;=1500,N(INDEX('Daily Sale entry '!$AC$1:$AC$1501,$J1065+1))-IF(AND('Opening Balance'!$B$15=1,INDEX('Daily Sale entry '!$Z$1:$Z$1501,$J1065+1)="Online collection 网上收款",INDEX('Daily Sale entry '!$AA$1:$AA$1501,$J1065+1)&lt;&gt;""),N(INDEX('Daily Sale entry '!$AC$1:$AC$1501,$J1065+1))-TRUNC(N(INDEX('Daily Sale entry '!$AC$1:$AC$1501,$J1065+1))),0),N(INDEX('Daily Sale entry '!$S$1:$S$1501,$J1065-1499))-'Opening Balance'!$B$15*(N(INDEX('Daily Sale entry '!$S$1:$S$1501,$J1065-1499))-TRUNC(N(INDEX('Daily Sale entry '!$S$1:$S$1501,$J1065-1499))))))</f>
        <v/>
      </c>
      <c r="G1065" s="6">
        <f>IF($J1065="","",IF($J1065&lt;=1500,N(INDEX('Daily Sale entry '!$AD$1:$AD$1501,$J1065+1)),0))</f>
        <v/>
      </c>
      <c r="H1065" s="6">
        <f>IF($J1065="","",ROUND('Opening Balance'!$B$4+SUM($F$2:F1065)-SUM($G$2:G1065),2))</f>
        <v/>
      </c>
      <c r="J1065" s="21">
        <f>IFERROR(MATCH(ROW()-1,$L$2:$L$3001,0),"")</f>
        <v/>
      </c>
      <c r="K1065" s="34">
        <f>IF(AND('Daily Sale entry '!X1065&lt;&gt;"",OR('Daily Sale entry '!AC1065&lt;&gt;"",'Daily Sale entry '!AD1065&lt;&gt;"")),'Daily Sale entry '!X1065+ROW()/10000000,"")</f>
        <v/>
      </c>
      <c r="L1065" s="21">
        <f>IF(K1065="","",COUNTIF($K$2:$K$3001,"&lt;"&amp;K1065)+1)</f>
        <v/>
      </c>
    </row>
    <row r="1066">
      <c r="A1066" s="5">
        <f>IF($J1066="","",IF($J1066&lt;=1500,INDEX('Daily Sale entry '!$X$1:$X$1501,$J1066+1),INDEX('Daily Sale entry '!$V$1:$V$1501,$J1066-1499)))</f>
        <v/>
      </c>
      <c r="B1066">
        <f>IF($J1066="","",IF($J1066&lt;=1500,INDEX('Daily Sale entry '!$Y$1:$Y$1501,$J1066+1)&amp;"","Buyer cheque banked 买家支票存入"&amp;IF(INDEX('Daily Sale entry '!$U$1:$U$1501,$J1066-1499)="","", " - "&amp;INDEX('Daily Sale entry '!$U$1:$U$1501,$J1066-1499))))</f>
        <v/>
      </c>
      <c r="C1066">
        <f>IF($J1066="","",IF($J1066&lt;=1500,INDEX('Daily Sale entry '!$Z$1:$Z$1501,$J1066+1)&amp;"","Cheque deposit 支票存入 (buyer 买家)"))</f>
        <v/>
      </c>
      <c r="D1066">
        <f>IF($J1066="","",IF($J1066&lt;=1500,INDEX('Daily Sale entry '!$AA$1:$AA$1501,$J1066+1)&amp;"",INDEX('Daily Sale entry '!$P$1:$P$1501,$J1066-1499)&amp;""))</f>
        <v/>
      </c>
      <c r="E1066">
        <f>IF($J1066="","",IF($J1066&lt;=1500,IF(N(INDEX('Daily Sale entry '!$AB$1:$AB$1501,$J1066+1))=0,"",INDEX('Daily Sale entry '!$AB$1:$AB$1501,$J1066+1)),1))</f>
        <v/>
      </c>
      <c r="F1066" s="6">
        <f>IF($J1066="","",IF($J1066&lt;=1500,N(INDEX('Daily Sale entry '!$AC$1:$AC$1501,$J1066+1))-IF(AND('Opening Balance'!$B$15=1,INDEX('Daily Sale entry '!$Z$1:$Z$1501,$J1066+1)="Online collection 网上收款",INDEX('Daily Sale entry '!$AA$1:$AA$1501,$J1066+1)&lt;&gt;""),N(INDEX('Daily Sale entry '!$AC$1:$AC$1501,$J1066+1))-TRUNC(N(INDEX('Daily Sale entry '!$AC$1:$AC$1501,$J1066+1))),0),N(INDEX('Daily Sale entry '!$S$1:$S$1501,$J1066-1499))-'Opening Balance'!$B$15*(N(INDEX('Daily Sale entry '!$S$1:$S$1501,$J1066-1499))-TRUNC(N(INDEX('Daily Sale entry '!$S$1:$S$1501,$J1066-1499))))))</f>
        <v/>
      </c>
      <c r="G1066" s="6">
        <f>IF($J1066="","",IF($J1066&lt;=1500,N(INDEX('Daily Sale entry '!$AD$1:$AD$1501,$J1066+1)),0))</f>
        <v/>
      </c>
      <c r="H1066" s="6">
        <f>IF($J1066="","",ROUND('Opening Balance'!$B$4+SUM($F$2:F1066)-SUM($G$2:G1066),2))</f>
        <v/>
      </c>
      <c r="J1066" s="21">
        <f>IFERROR(MATCH(ROW()-1,$L$2:$L$3001,0),"")</f>
        <v/>
      </c>
      <c r="K1066" s="34">
        <f>IF(AND('Daily Sale entry '!X1066&lt;&gt;"",OR('Daily Sale entry '!AC1066&lt;&gt;"",'Daily Sale entry '!AD1066&lt;&gt;"")),'Daily Sale entry '!X1066+ROW()/10000000,"")</f>
        <v/>
      </c>
      <c r="L1066" s="21">
        <f>IF(K1066="","",COUNTIF($K$2:$K$3001,"&lt;"&amp;K1066)+1)</f>
        <v/>
      </c>
    </row>
    <row r="1067">
      <c r="A1067" s="5">
        <f>IF($J1067="","",IF($J1067&lt;=1500,INDEX('Daily Sale entry '!$X$1:$X$1501,$J1067+1),INDEX('Daily Sale entry '!$V$1:$V$1501,$J1067-1499)))</f>
        <v/>
      </c>
      <c r="B1067">
        <f>IF($J1067="","",IF($J1067&lt;=1500,INDEX('Daily Sale entry '!$Y$1:$Y$1501,$J1067+1)&amp;"","Buyer cheque banked 买家支票存入"&amp;IF(INDEX('Daily Sale entry '!$U$1:$U$1501,$J1067-1499)="","", " - "&amp;INDEX('Daily Sale entry '!$U$1:$U$1501,$J1067-1499))))</f>
        <v/>
      </c>
      <c r="C1067">
        <f>IF($J1067="","",IF($J1067&lt;=1500,INDEX('Daily Sale entry '!$Z$1:$Z$1501,$J1067+1)&amp;"","Cheque deposit 支票存入 (buyer 买家)"))</f>
        <v/>
      </c>
      <c r="D1067">
        <f>IF($J1067="","",IF($J1067&lt;=1500,INDEX('Daily Sale entry '!$AA$1:$AA$1501,$J1067+1)&amp;"",INDEX('Daily Sale entry '!$P$1:$P$1501,$J1067-1499)&amp;""))</f>
        <v/>
      </c>
      <c r="E1067">
        <f>IF($J1067="","",IF($J1067&lt;=1500,IF(N(INDEX('Daily Sale entry '!$AB$1:$AB$1501,$J1067+1))=0,"",INDEX('Daily Sale entry '!$AB$1:$AB$1501,$J1067+1)),1))</f>
        <v/>
      </c>
      <c r="F1067" s="6">
        <f>IF($J1067="","",IF($J1067&lt;=1500,N(INDEX('Daily Sale entry '!$AC$1:$AC$1501,$J1067+1))-IF(AND('Opening Balance'!$B$15=1,INDEX('Daily Sale entry '!$Z$1:$Z$1501,$J1067+1)="Online collection 网上收款",INDEX('Daily Sale entry '!$AA$1:$AA$1501,$J1067+1)&lt;&gt;""),N(INDEX('Daily Sale entry '!$AC$1:$AC$1501,$J1067+1))-TRUNC(N(INDEX('Daily Sale entry '!$AC$1:$AC$1501,$J1067+1))),0),N(INDEX('Daily Sale entry '!$S$1:$S$1501,$J1067-1499))-'Opening Balance'!$B$15*(N(INDEX('Daily Sale entry '!$S$1:$S$1501,$J1067-1499))-TRUNC(N(INDEX('Daily Sale entry '!$S$1:$S$1501,$J1067-1499))))))</f>
        <v/>
      </c>
      <c r="G1067" s="6">
        <f>IF($J1067="","",IF($J1067&lt;=1500,N(INDEX('Daily Sale entry '!$AD$1:$AD$1501,$J1067+1)),0))</f>
        <v/>
      </c>
      <c r="H1067" s="6">
        <f>IF($J1067="","",ROUND('Opening Balance'!$B$4+SUM($F$2:F1067)-SUM($G$2:G1067),2))</f>
        <v/>
      </c>
      <c r="J1067" s="21">
        <f>IFERROR(MATCH(ROW()-1,$L$2:$L$3001,0),"")</f>
        <v/>
      </c>
      <c r="K1067" s="34">
        <f>IF(AND('Daily Sale entry '!X1067&lt;&gt;"",OR('Daily Sale entry '!AC1067&lt;&gt;"",'Daily Sale entry '!AD1067&lt;&gt;"")),'Daily Sale entry '!X1067+ROW()/10000000,"")</f>
        <v/>
      </c>
      <c r="L1067" s="21">
        <f>IF(K1067="","",COUNTIF($K$2:$K$3001,"&lt;"&amp;K1067)+1)</f>
        <v/>
      </c>
    </row>
    <row r="1068">
      <c r="A1068" s="5">
        <f>IF($J1068="","",IF($J1068&lt;=1500,INDEX('Daily Sale entry '!$X$1:$X$1501,$J1068+1),INDEX('Daily Sale entry '!$V$1:$V$1501,$J1068-1499)))</f>
        <v/>
      </c>
      <c r="B1068">
        <f>IF($J1068="","",IF($J1068&lt;=1500,INDEX('Daily Sale entry '!$Y$1:$Y$1501,$J1068+1)&amp;"","Buyer cheque banked 买家支票存入"&amp;IF(INDEX('Daily Sale entry '!$U$1:$U$1501,$J1068-1499)="","", " - "&amp;INDEX('Daily Sale entry '!$U$1:$U$1501,$J1068-1499))))</f>
        <v/>
      </c>
      <c r="C1068">
        <f>IF($J1068="","",IF($J1068&lt;=1500,INDEX('Daily Sale entry '!$Z$1:$Z$1501,$J1068+1)&amp;"","Cheque deposit 支票存入 (buyer 买家)"))</f>
        <v/>
      </c>
      <c r="D1068">
        <f>IF($J1068="","",IF($J1068&lt;=1500,INDEX('Daily Sale entry '!$AA$1:$AA$1501,$J1068+1)&amp;"",INDEX('Daily Sale entry '!$P$1:$P$1501,$J1068-1499)&amp;""))</f>
        <v/>
      </c>
      <c r="E1068">
        <f>IF($J1068="","",IF($J1068&lt;=1500,IF(N(INDEX('Daily Sale entry '!$AB$1:$AB$1501,$J1068+1))=0,"",INDEX('Daily Sale entry '!$AB$1:$AB$1501,$J1068+1)),1))</f>
        <v/>
      </c>
      <c r="F1068" s="6">
        <f>IF($J1068="","",IF($J1068&lt;=1500,N(INDEX('Daily Sale entry '!$AC$1:$AC$1501,$J1068+1))-IF(AND('Opening Balance'!$B$15=1,INDEX('Daily Sale entry '!$Z$1:$Z$1501,$J1068+1)="Online collection 网上收款",INDEX('Daily Sale entry '!$AA$1:$AA$1501,$J1068+1)&lt;&gt;""),N(INDEX('Daily Sale entry '!$AC$1:$AC$1501,$J1068+1))-TRUNC(N(INDEX('Daily Sale entry '!$AC$1:$AC$1501,$J1068+1))),0),N(INDEX('Daily Sale entry '!$S$1:$S$1501,$J1068-1499))-'Opening Balance'!$B$15*(N(INDEX('Daily Sale entry '!$S$1:$S$1501,$J1068-1499))-TRUNC(N(INDEX('Daily Sale entry '!$S$1:$S$1501,$J1068-1499))))))</f>
        <v/>
      </c>
      <c r="G1068" s="6">
        <f>IF($J1068="","",IF($J1068&lt;=1500,N(INDEX('Daily Sale entry '!$AD$1:$AD$1501,$J1068+1)),0))</f>
        <v/>
      </c>
      <c r="H1068" s="6">
        <f>IF($J1068="","",ROUND('Opening Balance'!$B$4+SUM($F$2:F1068)-SUM($G$2:G1068),2))</f>
        <v/>
      </c>
      <c r="J1068" s="21">
        <f>IFERROR(MATCH(ROW()-1,$L$2:$L$3001,0),"")</f>
        <v/>
      </c>
      <c r="K1068" s="34">
        <f>IF(AND('Daily Sale entry '!X1068&lt;&gt;"",OR('Daily Sale entry '!AC1068&lt;&gt;"",'Daily Sale entry '!AD1068&lt;&gt;"")),'Daily Sale entry '!X1068+ROW()/10000000,"")</f>
        <v/>
      </c>
      <c r="L1068" s="21">
        <f>IF(K1068="","",COUNTIF($K$2:$K$3001,"&lt;"&amp;K1068)+1)</f>
        <v/>
      </c>
    </row>
    <row r="1069">
      <c r="A1069" s="5">
        <f>IF($J1069="","",IF($J1069&lt;=1500,INDEX('Daily Sale entry '!$X$1:$X$1501,$J1069+1),INDEX('Daily Sale entry '!$V$1:$V$1501,$J1069-1499)))</f>
        <v/>
      </c>
      <c r="B1069">
        <f>IF($J1069="","",IF($J1069&lt;=1500,INDEX('Daily Sale entry '!$Y$1:$Y$1501,$J1069+1)&amp;"","Buyer cheque banked 买家支票存入"&amp;IF(INDEX('Daily Sale entry '!$U$1:$U$1501,$J1069-1499)="","", " - "&amp;INDEX('Daily Sale entry '!$U$1:$U$1501,$J1069-1499))))</f>
        <v/>
      </c>
      <c r="C1069">
        <f>IF($J1069="","",IF($J1069&lt;=1500,INDEX('Daily Sale entry '!$Z$1:$Z$1501,$J1069+1)&amp;"","Cheque deposit 支票存入 (buyer 买家)"))</f>
        <v/>
      </c>
      <c r="D1069">
        <f>IF($J1069="","",IF($J1069&lt;=1500,INDEX('Daily Sale entry '!$AA$1:$AA$1501,$J1069+1)&amp;"",INDEX('Daily Sale entry '!$P$1:$P$1501,$J1069-1499)&amp;""))</f>
        <v/>
      </c>
      <c r="E1069">
        <f>IF($J1069="","",IF($J1069&lt;=1500,IF(N(INDEX('Daily Sale entry '!$AB$1:$AB$1501,$J1069+1))=0,"",INDEX('Daily Sale entry '!$AB$1:$AB$1501,$J1069+1)),1))</f>
        <v/>
      </c>
      <c r="F1069" s="6">
        <f>IF($J1069="","",IF($J1069&lt;=1500,N(INDEX('Daily Sale entry '!$AC$1:$AC$1501,$J1069+1))-IF(AND('Opening Balance'!$B$15=1,INDEX('Daily Sale entry '!$Z$1:$Z$1501,$J1069+1)="Online collection 网上收款",INDEX('Daily Sale entry '!$AA$1:$AA$1501,$J1069+1)&lt;&gt;""),N(INDEX('Daily Sale entry '!$AC$1:$AC$1501,$J1069+1))-TRUNC(N(INDEX('Daily Sale entry '!$AC$1:$AC$1501,$J1069+1))),0),N(INDEX('Daily Sale entry '!$S$1:$S$1501,$J1069-1499))-'Opening Balance'!$B$15*(N(INDEX('Daily Sale entry '!$S$1:$S$1501,$J1069-1499))-TRUNC(N(INDEX('Daily Sale entry '!$S$1:$S$1501,$J1069-1499))))))</f>
        <v/>
      </c>
      <c r="G1069" s="6">
        <f>IF($J1069="","",IF($J1069&lt;=1500,N(INDEX('Daily Sale entry '!$AD$1:$AD$1501,$J1069+1)),0))</f>
        <v/>
      </c>
      <c r="H1069" s="6">
        <f>IF($J1069="","",ROUND('Opening Balance'!$B$4+SUM($F$2:F1069)-SUM($G$2:G1069),2))</f>
        <v/>
      </c>
      <c r="J1069" s="21">
        <f>IFERROR(MATCH(ROW()-1,$L$2:$L$3001,0),"")</f>
        <v/>
      </c>
      <c r="K1069" s="34">
        <f>IF(AND('Daily Sale entry '!X1069&lt;&gt;"",OR('Daily Sale entry '!AC1069&lt;&gt;"",'Daily Sale entry '!AD1069&lt;&gt;"")),'Daily Sale entry '!X1069+ROW()/10000000,"")</f>
        <v/>
      </c>
      <c r="L1069" s="21">
        <f>IF(K1069="","",COUNTIF($K$2:$K$3001,"&lt;"&amp;K1069)+1)</f>
        <v/>
      </c>
    </row>
    <row r="1070">
      <c r="A1070" s="5">
        <f>IF($J1070="","",IF($J1070&lt;=1500,INDEX('Daily Sale entry '!$X$1:$X$1501,$J1070+1),INDEX('Daily Sale entry '!$V$1:$V$1501,$J1070-1499)))</f>
        <v/>
      </c>
      <c r="B1070">
        <f>IF($J1070="","",IF($J1070&lt;=1500,INDEX('Daily Sale entry '!$Y$1:$Y$1501,$J1070+1)&amp;"","Buyer cheque banked 买家支票存入"&amp;IF(INDEX('Daily Sale entry '!$U$1:$U$1501,$J1070-1499)="","", " - "&amp;INDEX('Daily Sale entry '!$U$1:$U$1501,$J1070-1499))))</f>
        <v/>
      </c>
      <c r="C1070">
        <f>IF($J1070="","",IF($J1070&lt;=1500,INDEX('Daily Sale entry '!$Z$1:$Z$1501,$J1070+1)&amp;"","Cheque deposit 支票存入 (buyer 买家)"))</f>
        <v/>
      </c>
      <c r="D1070">
        <f>IF($J1070="","",IF($J1070&lt;=1500,INDEX('Daily Sale entry '!$AA$1:$AA$1501,$J1070+1)&amp;"",INDEX('Daily Sale entry '!$P$1:$P$1501,$J1070-1499)&amp;""))</f>
        <v/>
      </c>
      <c r="E1070">
        <f>IF($J1070="","",IF($J1070&lt;=1500,IF(N(INDEX('Daily Sale entry '!$AB$1:$AB$1501,$J1070+1))=0,"",INDEX('Daily Sale entry '!$AB$1:$AB$1501,$J1070+1)),1))</f>
        <v/>
      </c>
      <c r="F1070" s="6">
        <f>IF($J1070="","",IF($J1070&lt;=1500,N(INDEX('Daily Sale entry '!$AC$1:$AC$1501,$J1070+1))-IF(AND('Opening Balance'!$B$15=1,INDEX('Daily Sale entry '!$Z$1:$Z$1501,$J1070+1)="Online collection 网上收款",INDEX('Daily Sale entry '!$AA$1:$AA$1501,$J1070+1)&lt;&gt;""),N(INDEX('Daily Sale entry '!$AC$1:$AC$1501,$J1070+1))-TRUNC(N(INDEX('Daily Sale entry '!$AC$1:$AC$1501,$J1070+1))),0),N(INDEX('Daily Sale entry '!$S$1:$S$1501,$J1070-1499))-'Opening Balance'!$B$15*(N(INDEX('Daily Sale entry '!$S$1:$S$1501,$J1070-1499))-TRUNC(N(INDEX('Daily Sale entry '!$S$1:$S$1501,$J1070-1499))))))</f>
        <v/>
      </c>
      <c r="G1070" s="6">
        <f>IF($J1070="","",IF($J1070&lt;=1500,N(INDEX('Daily Sale entry '!$AD$1:$AD$1501,$J1070+1)),0))</f>
        <v/>
      </c>
      <c r="H1070" s="6">
        <f>IF($J1070="","",ROUND('Opening Balance'!$B$4+SUM($F$2:F1070)-SUM($G$2:G1070),2))</f>
        <v/>
      </c>
      <c r="J1070" s="21">
        <f>IFERROR(MATCH(ROW()-1,$L$2:$L$3001,0),"")</f>
        <v/>
      </c>
      <c r="K1070" s="34">
        <f>IF(AND('Daily Sale entry '!X1070&lt;&gt;"",OR('Daily Sale entry '!AC1070&lt;&gt;"",'Daily Sale entry '!AD1070&lt;&gt;"")),'Daily Sale entry '!X1070+ROW()/10000000,"")</f>
        <v/>
      </c>
      <c r="L1070" s="21">
        <f>IF(K1070="","",COUNTIF($K$2:$K$3001,"&lt;"&amp;K1070)+1)</f>
        <v/>
      </c>
    </row>
    <row r="1071">
      <c r="A1071" s="5">
        <f>IF($J1071="","",IF($J1071&lt;=1500,INDEX('Daily Sale entry '!$X$1:$X$1501,$J1071+1),INDEX('Daily Sale entry '!$V$1:$V$1501,$J1071-1499)))</f>
        <v/>
      </c>
      <c r="B1071">
        <f>IF($J1071="","",IF($J1071&lt;=1500,INDEX('Daily Sale entry '!$Y$1:$Y$1501,$J1071+1)&amp;"","Buyer cheque banked 买家支票存入"&amp;IF(INDEX('Daily Sale entry '!$U$1:$U$1501,$J1071-1499)="","", " - "&amp;INDEX('Daily Sale entry '!$U$1:$U$1501,$J1071-1499))))</f>
        <v/>
      </c>
      <c r="C1071">
        <f>IF($J1071="","",IF($J1071&lt;=1500,INDEX('Daily Sale entry '!$Z$1:$Z$1501,$J1071+1)&amp;"","Cheque deposit 支票存入 (buyer 买家)"))</f>
        <v/>
      </c>
      <c r="D1071">
        <f>IF($J1071="","",IF($J1071&lt;=1500,INDEX('Daily Sale entry '!$AA$1:$AA$1501,$J1071+1)&amp;"",INDEX('Daily Sale entry '!$P$1:$P$1501,$J1071-1499)&amp;""))</f>
        <v/>
      </c>
      <c r="E1071">
        <f>IF($J1071="","",IF($J1071&lt;=1500,IF(N(INDEX('Daily Sale entry '!$AB$1:$AB$1501,$J1071+1))=0,"",INDEX('Daily Sale entry '!$AB$1:$AB$1501,$J1071+1)),1))</f>
        <v/>
      </c>
      <c r="F1071" s="6">
        <f>IF($J1071="","",IF($J1071&lt;=1500,N(INDEX('Daily Sale entry '!$AC$1:$AC$1501,$J1071+1))-IF(AND('Opening Balance'!$B$15=1,INDEX('Daily Sale entry '!$Z$1:$Z$1501,$J1071+1)="Online collection 网上收款",INDEX('Daily Sale entry '!$AA$1:$AA$1501,$J1071+1)&lt;&gt;""),N(INDEX('Daily Sale entry '!$AC$1:$AC$1501,$J1071+1))-TRUNC(N(INDEX('Daily Sale entry '!$AC$1:$AC$1501,$J1071+1))),0),N(INDEX('Daily Sale entry '!$S$1:$S$1501,$J1071-1499))-'Opening Balance'!$B$15*(N(INDEX('Daily Sale entry '!$S$1:$S$1501,$J1071-1499))-TRUNC(N(INDEX('Daily Sale entry '!$S$1:$S$1501,$J1071-1499))))))</f>
        <v/>
      </c>
      <c r="G1071" s="6">
        <f>IF($J1071="","",IF($J1071&lt;=1500,N(INDEX('Daily Sale entry '!$AD$1:$AD$1501,$J1071+1)),0))</f>
        <v/>
      </c>
      <c r="H1071" s="6">
        <f>IF($J1071="","",ROUND('Opening Balance'!$B$4+SUM($F$2:F1071)-SUM($G$2:G1071),2))</f>
        <v/>
      </c>
      <c r="J1071" s="21">
        <f>IFERROR(MATCH(ROW()-1,$L$2:$L$3001,0),"")</f>
        <v/>
      </c>
      <c r="K1071" s="34">
        <f>IF(AND('Daily Sale entry '!X1071&lt;&gt;"",OR('Daily Sale entry '!AC1071&lt;&gt;"",'Daily Sale entry '!AD1071&lt;&gt;"")),'Daily Sale entry '!X1071+ROW()/10000000,"")</f>
        <v/>
      </c>
      <c r="L1071" s="21">
        <f>IF(K1071="","",COUNTIF($K$2:$K$3001,"&lt;"&amp;K1071)+1)</f>
        <v/>
      </c>
    </row>
    <row r="1072">
      <c r="A1072" s="5">
        <f>IF($J1072="","",IF($J1072&lt;=1500,INDEX('Daily Sale entry '!$X$1:$X$1501,$J1072+1),INDEX('Daily Sale entry '!$V$1:$V$1501,$J1072-1499)))</f>
        <v/>
      </c>
      <c r="B1072">
        <f>IF($J1072="","",IF($J1072&lt;=1500,INDEX('Daily Sale entry '!$Y$1:$Y$1501,$J1072+1)&amp;"","Buyer cheque banked 买家支票存入"&amp;IF(INDEX('Daily Sale entry '!$U$1:$U$1501,$J1072-1499)="","", " - "&amp;INDEX('Daily Sale entry '!$U$1:$U$1501,$J1072-1499))))</f>
        <v/>
      </c>
      <c r="C1072">
        <f>IF($J1072="","",IF($J1072&lt;=1500,INDEX('Daily Sale entry '!$Z$1:$Z$1501,$J1072+1)&amp;"","Cheque deposit 支票存入 (buyer 买家)"))</f>
        <v/>
      </c>
      <c r="D1072">
        <f>IF($J1072="","",IF($J1072&lt;=1500,INDEX('Daily Sale entry '!$AA$1:$AA$1501,$J1072+1)&amp;"",INDEX('Daily Sale entry '!$P$1:$P$1501,$J1072-1499)&amp;""))</f>
        <v/>
      </c>
      <c r="E1072">
        <f>IF($J1072="","",IF($J1072&lt;=1500,IF(N(INDEX('Daily Sale entry '!$AB$1:$AB$1501,$J1072+1))=0,"",INDEX('Daily Sale entry '!$AB$1:$AB$1501,$J1072+1)),1))</f>
        <v/>
      </c>
      <c r="F1072" s="6">
        <f>IF($J1072="","",IF($J1072&lt;=1500,N(INDEX('Daily Sale entry '!$AC$1:$AC$1501,$J1072+1))-IF(AND('Opening Balance'!$B$15=1,INDEX('Daily Sale entry '!$Z$1:$Z$1501,$J1072+1)="Online collection 网上收款",INDEX('Daily Sale entry '!$AA$1:$AA$1501,$J1072+1)&lt;&gt;""),N(INDEX('Daily Sale entry '!$AC$1:$AC$1501,$J1072+1))-TRUNC(N(INDEX('Daily Sale entry '!$AC$1:$AC$1501,$J1072+1))),0),N(INDEX('Daily Sale entry '!$S$1:$S$1501,$J1072-1499))-'Opening Balance'!$B$15*(N(INDEX('Daily Sale entry '!$S$1:$S$1501,$J1072-1499))-TRUNC(N(INDEX('Daily Sale entry '!$S$1:$S$1501,$J1072-1499))))))</f>
        <v/>
      </c>
      <c r="G1072" s="6">
        <f>IF($J1072="","",IF($J1072&lt;=1500,N(INDEX('Daily Sale entry '!$AD$1:$AD$1501,$J1072+1)),0))</f>
        <v/>
      </c>
      <c r="H1072" s="6">
        <f>IF($J1072="","",ROUND('Opening Balance'!$B$4+SUM($F$2:F1072)-SUM($G$2:G1072),2))</f>
        <v/>
      </c>
      <c r="J1072" s="21">
        <f>IFERROR(MATCH(ROW()-1,$L$2:$L$3001,0),"")</f>
        <v/>
      </c>
      <c r="K1072" s="34">
        <f>IF(AND('Daily Sale entry '!X1072&lt;&gt;"",OR('Daily Sale entry '!AC1072&lt;&gt;"",'Daily Sale entry '!AD1072&lt;&gt;"")),'Daily Sale entry '!X1072+ROW()/10000000,"")</f>
        <v/>
      </c>
      <c r="L1072" s="21">
        <f>IF(K1072="","",COUNTIF($K$2:$K$3001,"&lt;"&amp;K1072)+1)</f>
        <v/>
      </c>
    </row>
    <row r="1073">
      <c r="A1073" s="5">
        <f>IF($J1073="","",IF($J1073&lt;=1500,INDEX('Daily Sale entry '!$X$1:$X$1501,$J1073+1),INDEX('Daily Sale entry '!$V$1:$V$1501,$J1073-1499)))</f>
        <v/>
      </c>
      <c r="B1073">
        <f>IF($J1073="","",IF($J1073&lt;=1500,INDEX('Daily Sale entry '!$Y$1:$Y$1501,$J1073+1)&amp;"","Buyer cheque banked 买家支票存入"&amp;IF(INDEX('Daily Sale entry '!$U$1:$U$1501,$J1073-1499)="","", " - "&amp;INDEX('Daily Sale entry '!$U$1:$U$1501,$J1073-1499))))</f>
        <v/>
      </c>
      <c r="C1073">
        <f>IF($J1073="","",IF($J1073&lt;=1500,INDEX('Daily Sale entry '!$Z$1:$Z$1501,$J1073+1)&amp;"","Cheque deposit 支票存入 (buyer 买家)"))</f>
        <v/>
      </c>
      <c r="D1073">
        <f>IF($J1073="","",IF($J1073&lt;=1500,INDEX('Daily Sale entry '!$AA$1:$AA$1501,$J1073+1)&amp;"",INDEX('Daily Sale entry '!$P$1:$P$1501,$J1073-1499)&amp;""))</f>
        <v/>
      </c>
      <c r="E1073">
        <f>IF($J1073="","",IF($J1073&lt;=1500,IF(N(INDEX('Daily Sale entry '!$AB$1:$AB$1501,$J1073+1))=0,"",INDEX('Daily Sale entry '!$AB$1:$AB$1501,$J1073+1)),1))</f>
        <v/>
      </c>
      <c r="F1073" s="6">
        <f>IF($J1073="","",IF($J1073&lt;=1500,N(INDEX('Daily Sale entry '!$AC$1:$AC$1501,$J1073+1))-IF(AND('Opening Balance'!$B$15=1,INDEX('Daily Sale entry '!$Z$1:$Z$1501,$J1073+1)="Online collection 网上收款",INDEX('Daily Sale entry '!$AA$1:$AA$1501,$J1073+1)&lt;&gt;""),N(INDEX('Daily Sale entry '!$AC$1:$AC$1501,$J1073+1))-TRUNC(N(INDEX('Daily Sale entry '!$AC$1:$AC$1501,$J1073+1))),0),N(INDEX('Daily Sale entry '!$S$1:$S$1501,$J1073-1499))-'Opening Balance'!$B$15*(N(INDEX('Daily Sale entry '!$S$1:$S$1501,$J1073-1499))-TRUNC(N(INDEX('Daily Sale entry '!$S$1:$S$1501,$J1073-1499))))))</f>
        <v/>
      </c>
      <c r="G1073" s="6">
        <f>IF($J1073="","",IF($J1073&lt;=1500,N(INDEX('Daily Sale entry '!$AD$1:$AD$1501,$J1073+1)),0))</f>
        <v/>
      </c>
      <c r="H1073" s="6">
        <f>IF($J1073="","",ROUND('Opening Balance'!$B$4+SUM($F$2:F1073)-SUM($G$2:G1073),2))</f>
        <v/>
      </c>
      <c r="J1073" s="21">
        <f>IFERROR(MATCH(ROW()-1,$L$2:$L$3001,0),"")</f>
        <v/>
      </c>
      <c r="K1073" s="34">
        <f>IF(AND('Daily Sale entry '!X1073&lt;&gt;"",OR('Daily Sale entry '!AC1073&lt;&gt;"",'Daily Sale entry '!AD1073&lt;&gt;"")),'Daily Sale entry '!X1073+ROW()/10000000,"")</f>
        <v/>
      </c>
      <c r="L1073" s="21">
        <f>IF(K1073="","",COUNTIF($K$2:$K$3001,"&lt;"&amp;K1073)+1)</f>
        <v/>
      </c>
    </row>
    <row r="1074">
      <c r="A1074" s="5">
        <f>IF($J1074="","",IF($J1074&lt;=1500,INDEX('Daily Sale entry '!$X$1:$X$1501,$J1074+1),INDEX('Daily Sale entry '!$V$1:$V$1501,$J1074-1499)))</f>
        <v/>
      </c>
      <c r="B1074">
        <f>IF($J1074="","",IF($J1074&lt;=1500,INDEX('Daily Sale entry '!$Y$1:$Y$1501,$J1074+1)&amp;"","Buyer cheque banked 买家支票存入"&amp;IF(INDEX('Daily Sale entry '!$U$1:$U$1501,$J1074-1499)="","", " - "&amp;INDEX('Daily Sale entry '!$U$1:$U$1501,$J1074-1499))))</f>
        <v/>
      </c>
      <c r="C1074">
        <f>IF($J1074="","",IF($J1074&lt;=1500,INDEX('Daily Sale entry '!$Z$1:$Z$1501,$J1074+1)&amp;"","Cheque deposit 支票存入 (buyer 买家)"))</f>
        <v/>
      </c>
      <c r="D1074">
        <f>IF($J1074="","",IF($J1074&lt;=1500,INDEX('Daily Sale entry '!$AA$1:$AA$1501,$J1074+1)&amp;"",INDEX('Daily Sale entry '!$P$1:$P$1501,$J1074-1499)&amp;""))</f>
        <v/>
      </c>
      <c r="E1074">
        <f>IF($J1074="","",IF($J1074&lt;=1500,IF(N(INDEX('Daily Sale entry '!$AB$1:$AB$1501,$J1074+1))=0,"",INDEX('Daily Sale entry '!$AB$1:$AB$1501,$J1074+1)),1))</f>
        <v/>
      </c>
      <c r="F1074" s="6">
        <f>IF($J1074="","",IF($J1074&lt;=1500,N(INDEX('Daily Sale entry '!$AC$1:$AC$1501,$J1074+1))-IF(AND('Opening Balance'!$B$15=1,INDEX('Daily Sale entry '!$Z$1:$Z$1501,$J1074+1)="Online collection 网上收款",INDEX('Daily Sale entry '!$AA$1:$AA$1501,$J1074+1)&lt;&gt;""),N(INDEX('Daily Sale entry '!$AC$1:$AC$1501,$J1074+1))-TRUNC(N(INDEX('Daily Sale entry '!$AC$1:$AC$1501,$J1074+1))),0),N(INDEX('Daily Sale entry '!$S$1:$S$1501,$J1074-1499))-'Opening Balance'!$B$15*(N(INDEX('Daily Sale entry '!$S$1:$S$1501,$J1074-1499))-TRUNC(N(INDEX('Daily Sale entry '!$S$1:$S$1501,$J1074-1499))))))</f>
        <v/>
      </c>
      <c r="G1074" s="6">
        <f>IF($J1074="","",IF($J1074&lt;=1500,N(INDEX('Daily Sale entry '!$AD$1:$AD$1501,$J1074+1)),0))</f>
        <v/>
      </c>
      <c r="H1074" s="6">
        <f>IF($J1074="","",ROUND('Opening Balance'!$B$4+SUM($F$2:F1074)-SUM($G$2:G1074),2))</f>
        <v/>
      </c>
      <c r="J1074" s="21">
        <f>IFERROR(MATCH(ROW()-1,$L$2:$L$3001,0),"")</f>
        <v/>
      </c>
      <c r="K1074" s="34">
        <f>IF(AND('Daily Sale entry '!X1074&lt;&gt;"",OR('Daily Sale entry '!AC1074&lt;&gt;"",'Daily Sale entry '!AD1074&lt;&gt;"")),'Daily Sale entry '!X1074+ROW()/10000000,"")</f>
        <v/>
      </c>
      <c r="L1074" s="21">
        <f>IF(K1074="","",COUNTIF($K$2:$K$3001,"&lt;"&amp;K1074)+1)</f>
        <v/>
      </c>
    </row>
    <row r="1075">
      <c r="A1075" s="5">
        <f>IF($J1075="","",IF($J1075&lt;=1500,INDEX('Daily Sale entry '!$X$1:$X$1501,$J1075+1),INDEX('Daily Sale entry '!$V$1:$V$1501,$J1075-1499)))</f>
        <v/>
      </c>
      <c r="B1075">
        <f>IF($J1075="","",IF($J1075&lt;=1500,INDEX('Daily Sale entry '!$Y$1:$Y$1501,$J1075+1)&amp;"","Buyer cheque banked 买家支票存入"&amp;IF(INDEX('Daily Sale entry '!$U$1:$U$1501,$J1075-1499)="","", " - "&amp;INDEX('Daily Sale entry '!$U$1:$U$1501,$J1075-1499))))</f>
        <v/>
      </c>
      <c r="C1075">
        <f>IF($J1075="","",IF($J1075&lt;=1500,INDEX('Daily Sale entry '!$Z$1:$Z$1501,$J1075+1)&amp;"","Cheque deposit 支票存入 (buyer 买家)"))</f>
        <v/>
      </c>
      <c r="D1075">
        <f>IF($J1075="","",IF($J1075&lt;=1500,INDEX('Daily Sale entry '!$AA$1:$AA$1501,$J1075+1)&amp;"",INDEX('Daily Sale entry '!$P$1:$P$1501,$J1075-1499)&amp;""))</f>
        <v/>
      </c>
      <c r="E1075">
        <f>IF($J1075="","",IF($J1075&lt;=1500,IF(N(INDEX('Daily Sale entry '!$AB$1:$AB$1501,$J1075+1))=0,"",INDEX('Daily Sale entry '!$AB$1:$AB$1501,$J1075+1)),1))</f>
        <v/>
      </c>
      <c r="F1075" s="6">
        <f>IF($J1075="","",IF($J1075&lt;=1500,N(INDEX('Daily Sale entry '!$AC$1:$AC$1501,$J1075+1))-IF(AND('Opening Balance'!$B$15=1,INDEX('Daily Sale entry '!$Z$1:$Z$1501,$J1075+1)="Online collection 网上收款",INDEX('Daily Sale entry '!$AA$1:$AA$1501,$J1075+1)&lt;&gt;""),N(INDEX('Daily Sale entry '!$AC$1:$AC$1501,$J1075+1))-TRUNC(N(INDEX('Daily Sale entry '!$AC$1:$AC$1501,$J1075+1))),0),N(INDEX('Daily Sale entry '!$S$1:$S$1501,$J1075-1499))-'Opening Balance'!$B$15*(N(INDEX('Daily Sale entry '!$S$1:$S$1501,$J1075-1499))-TRUNC(N(INDEX('Daily Sale entry '!$S$1:$S$1501,$J1075-1499))))))</f>
        <v/>
      </c>
      <c r="G1075" s="6">
        <f>IF($J1075="","",IF($J1075&lt;=1500,N(INDEX('Daily Sale entry '!$AD$1:$AD$1501,$J1075+1)),0))</f>
        <v/>
      </c>
      <c r="H1075" s="6">
        <f>IF($J1075="","",ROUND('Opening Balance'!$B$4+SUM($F$2:F1075)-SUM($G$2:G1075),2))</f>
        <v/>
      </c>
      <c r="J1075" s="21">
        <f>IFERROR(MATCH(ROW()-1,$L$2:$L$3001,0),"")</f>
        <v/>
      </c>
      <c r="K1075" s="34">
        <f>IF(AND('Daily Sale entry '!X1075&lt;&gt;"",OR('Daily Sale entry '!AC1075&lt;&gt;"",'Daily Sale entry '!AD1075&lt;&gt;"")),'Daily Sale entry '!X1075+ROW()/10000000,"")</f>
        <v/>
      </c>
      <c r="L1075" s="21">
        <f>IF(K1075="","",COUNTIF($K$2:$K$3001,"&lt;"&amp;K1075)+1)</f>
        <v/>
      </c>
    </row>
    <row r="1076">
      <c r="A1076" s="5">
        <f>IF($J1076="","",IF($J1076&lt;=1500,INDEX('Daily Sale entry '!$X$1:$X$1501,$J1076+1),INDEX('Daily Sale entry '!$V$1:$V$1501,$J1076-1499)))</f>
        <v/>
      </c>
      <c r="B1076">
        <f>IF($J1076="","",IF($J1076&lt;=1500,INDEX('Daily Sale entry '!$Y$1:$Y$1501,$J1076+1)&amp;"","Buyer cheque banked 买家支票存入"&amp;IF(INDEX('Daily Sale entry '!$U$1:$U$1501,$J1076-1499)="","", " - "&amp;INDEX('Daily Sale entry '!$U$1:$U$1501,$J1076-1499))))</f>
        <v/>
      </c>
      <c r="C1076">
        <f>IF($J1076="","",IF($J1076&lt;=1500,INDEX('Daily Sale entry '!$Z$1:$Z$1501,$J1076+1)&amp;"","Cheque deposit 支票存入 (buyer 买家)"))</f>
        <v/>
      </c>
      <c r="D1076">
        <f>IF($J1076="","",IF($J1076&lt;=1500,INDEX('Daily Sale entry '!$AA$1:$AA$1501,$J1076+1)&amp;"",INDEX('Daily Sale entry '!$P$1:$P$1501,$J1076-1499)&amp;""))</f>
        <v/>
      </c>
      <c r="E1076">
        <f>IF($J1076="","",IF($J1076&lt;=1500,IF(N(INDEX('Daily Sale entry '!$AB$1:$AB$1501,$J1076+1))=0,"",INDEX('Daily Sale entry '!$AB$1:$AB$1501,$J1076+1)),1))</f>
        <v/>
      </c>
      <c r="F1076" s="6">
        <f>IF($J1076="","",IF($J1076&lt;=1500,N(INDEX('Daily Sale entry '!$AC$1:$AC$1501,$J1076+1))-IF(AND('Opening Balance'!$B$15=1,INDEX('Daily Sale entry '!$Z$1:$Z$1501,$J1076+1)="Online collection 网上收款",INDEX('Daily Sale entry '!$AA$1:$AA$1501,$J1076+1)&lt;&gt;""),N(INDEX('Daily Sale entry '!$AC$1:$AC$1501,$J1076+1))-TRUNC(N(INDEX('Daily Sale entry '!$AC$1:$AC$1501,$J1076+1))),0),N(INDEX('Daily Sale entry '!$S$1:$S$1501,$J1076-1499))-'Opening Balance'!$B$15*(N(INDEX('Daily Sale entry '!$S$1:$S$1501,$J1076-1499))-TRUNC(N(INDEX('Daily Sale entry '!$S$1:$S$1501,$J1076-1499))))))</f>
        <v/>
      </c>
      <c r="G1076" s="6">
        <f>IF($J1076="","",IF($J1076&lt;=1500,N(INDEX('Daily Sale entry '!$AD$1:$AD$1501,$J1076+1)),0))</f>
        <v/>
      </c>
      <c r="H1076" s="6">
        <f>IF($J1076="","",ROUND('Opening Balance'!$B$4+SUM($F$2:F1076)-SUM($G$2:G1076),2))</f>
        <v/>
      </c>
      <c r="J1076" s="21">
        <f>IFERROR(MATCH(ROW()-1,$L$2:$L$3001,0),"")</f>
        <v/>
      </c>
      <c r="K1076" s="34">
        <f>IF(AND('Daily Sale entry '!X1076&lt;&gt;"",OR('Daily Sale entry '!AC1076&lt;&gt;"",'Daily Sale entry '!AD1076&lt;&gt;"")),'Daily Sale entry '!X1076+ROW()/10000000,"")</f>
        <v/>
      </c>
      <c r="L1076" s="21">
        <f>IF(K1076="","",COUNTIF($K$2:$K$3001,"&lt;"&amp;K1076)+1)</f>
        <v/>
      </c>
    </row>
    <row r="1077">
      <c r="A1077" s="5">
        <f>IF($J1077="","",IF($J1077&lt;=1500,INDEX('Daily Sale entry '!$X$1:$X$1501,$J1077+1),INDEX('Daily Sale entry '!$V$1:$V$1501,$J1077-1499)))</f>
        <v/>
      </c>
      <c r="B1077">
        <f>IF($J1077="","",IF($J1077&lt;=1500,INDEX('Daily Sale entry '!$Y$1:$Y$1501,$J1077+1)&amp;"","Buyer cheque banked 买家支票存入"&amp;IF(INDEX('Daily Sale entry '!$U$1:$U$1501,$J1077-1499)="","", " - "&amp;INDEX('Daily Sale entry '!$U$1:$U$1501,$J1077-1499))))</f>
        <v/>
      </c>
      <c r="C1077">
        <f>IF($J1077="","",IF($J1077&lt;=1500,INDEX('Daily Sale entry '!$Z$1:$Z$1501,$J1077+1)&amp;"","Cheque deposit 支票存入 (buyer 买家)"))</f>
        <v/>
      </c>
      <c r="D1077">
        <f>IF($J1077="","",IF($J1077&lt;=1500,INDEX('Daily Sale entry '!$AA$1:$AA$1501,$J1077+1)&amp;"",INDEX('Daily Sale entry '!$P$1:$P$1501,$J1077-1499)&amp;""))</f>
        <v/>
      </c>
      <c r="E1077">
        <f>IF($J1077="","",IF($J1077&lt;=1500,IF(N(INDEX('Daily Sale entry '!$AB$1:$AB$1501,$J1077+1))=0,"",INDEX('Daily Sale entry '!$AB$1:$AB$1501,$J1077+1)),1))</f>
        <v/>
      </c>
      <c r="F1077" s="6">
        <f>IF($J1077="","",IF($J1077&lt;=1500,N(INDEX('Daily Sale entry '!$AC$1:$AC$1501,$J1077+1))-IF(AND('Opening Balance'!$B$15=1,INDEX('Daily Sale entry '!$Z$1:$Z$1501,$J1077+1)="Online collection 网上收款",INDEX('Daily Sale entry '!$AA$1:$AA$1501,$J1077+1)&lt;&gt;""),N(INDEX('Daily Sale entry '!$AC$1:$AC$1501,$J1077+1))-TRUNC(N(INDEX('Daily Sale entry '!$AC$1:$AC$1501,$J1077+1))),0),N(INDEX('Daily Sale entry '!$S$1:$S$1501,$J1077-1499))-'Opening Balance'!$B$15*(N(INDEX('Daily Sale entry '!$S$1:$S$1501,$J1077-1499))-TRUNC(N(INDEX('Daily Sale entry '!$S$1:$S$1501,$J1077-1499))))))</f>
        <v/>
      </c>
      <c r="G1077" s="6">
        <f>IF($J1077="","",IF($J1077&lt;=1500,N(INDEX('Daily Sale entry '!$AD$1:$AD$1501,$J1077+1)),0))</f>
        <v/>
      </c>
      <c r="H1077" s="6">
        <f>IF($J1077="","",ROUND('Opening Balance'!$B$4+SUM($F$2:F1077)-SUM($G$2:G1077),2))</f>
        <v/>
      </c>
      <c r="J1077" s="21">
        <f>IFERROR(MATCH(ROW()-1,$L$2:$L$3001,0),"")</f>
        <v/>
      </c>
      <c r="K1077" s="34">
        <f>IF(AND('Daily Sale entry '!X1077&lt;&gt;"",OR('Daily Sale entry '!AC1077&lt;&gt;"",'Daily Sale entry '!AD1077&lt;&gt;"")),'Daily Sale entry '!X1077+ROW()/10000000,"")</f>
        <v/>
      </c>
      <c r="L1077" s="21">
        <f>IF(K1077="","",COUNTIF($K$2:$K$3001,"&lt;"&amp;K1077)+1)</f>
        <v/>
      </c>
    </row>
    <row r="1078">
      <c r="A1078" s="5">
        <f>IF($J1078="","",IF($J1078&lt;=1500,INDEX('Daily Sale entry '!$X$1:$X$1501,$J1078+1),INDEX('Daily Sale entry '!$V$1:$V$1501,$J1078-1499)))</f>
        <v/>
      </c>
      <c r="B1078">
        <f>IF($J1078="","",IF($J1078&lt;=1500,INDEX('Daily Sale entry '!$Y$1:$Y$1501,$J1078+1)&amp;"","Buyer cheque banked 买家支票存入"&amp;IF(INDEX('Daily Sale entry '!$U$1:$U$1501,$J1078-1499)="","", " - "&amp;INDEX('Daily Sale entry '!$U$1:$U$1501,$J1078-1499))))</f>
        <v/>
      </c>
      <c r="C1078">
        <f>IF($J1078="","",IF($J1078&lt;=1500,INDEX('Daily Sale entry '!$Z$1:$Z$1501,$J1078+1)&amp;"","Cheque deposit 支票存入 (buyer 买家)"))</f>
        <v/>
      </c>
      <c r="D1078">
        <f>IF($J1078="","",IF($J1078&lt;=1500,INDEX('Daily Sale entry '!$AA$1:$AA$1501,$J1078+1)&amp;"",INDEX('Daily Sale entry '!$P$1:$P$1501,$J1078-1499)&amp;""))</f>
        <v/>
      </c>
      <c r="E1078">
        <f>IF($J1078="","",IF($J1078&lt;=1500,IF(N(INDEX('Daily Sale entry '!$AB$1:$AB$1501,$J1078+1))=0,"",INDEX('Daily Sale entry '!$AB$1:$AB$1501,$J1078+1)),1))</f>
        <v/>
      </c>
      <c r="F1078" s="6">
        <f>IF($J1078="","",IF($J1078&lt;=1500,N(INDEX('Daily Sale entry '!$AC$1:$AC$1501,$J1078+1))-IF(AND('Opening Balance'!$B$15=1,INDEX('Daily Sale entry '!$Z$1:$Z$1501,$J1078+1)="Online collection 网上收款",INDEX('Daily Sale entry '!$AA$1:$AA$1501,$J1078+1)&lt;&gt;""),N(INDEX('Daily Sale entry '!$AC$1:$AC$1501,$J1078+1))-TRUNC(N(INDEX('Daily Sale entry '!$AC$1:$AC$1501,$J1078+1))),0),N(INDEX('Daily Sale entry '!$S$1:$S$1501,$J1078-1499))-'Opening Balance'!$B$15*(N(INDEX('Daily Sale entry '!$S$1:$S$1501,$J1078-1499))-TRUNC(N(INDEX('Daily Sale entry '!$S$1:$S$1501,$J1078-1499))))))</f>
        <v/>
      </c>
      <c r="G1078" s="6">
        <f>IF($J1078="","",IF($J1078&lt;=1500,N(INDEX('Daily Sale entry '!$AD$1:$AD$1501,$J1078+1)),0))</f>
        <v/>
      </c>
      <c r="H1078" s="6">
        <f>IF($J1078="","",ROUND('Opening Balance'!$B$4+SUM($F$2:F1078)-SUM($G$2:G1078),2))</f>
        <v/>
      </c>
      <c r="J1078" s="21">
        <f>IFERROR(MATCH(ROW()-1,$L$2:$L$3001,0),"")</f>
        <v/>
      </c>
      <c r="K1078" s="34">
        <f>IF(AND('Daily Sale entry '!X1078&lt;&gt;"",OR('Daily Sale entry '!AC1078&lt;&gt;"",'Daily Sale entry '!AD1078&lt;&gt;"")),'Daily Sale entry '!X1078+ROW()/10000000,"")</f>
        <v/>
      </c>
      <c r="L1078" s="21">
        <f>IF(K1078="","",COUNTIF($K$2:$K$3001,"&lt;"&amp;K1078)+1)</f>
        <v/>
      </c>
    </row>
    <row r="1079">
      <c r="A1079" s="5">
        <f>IF($J1079="","",IF($J1079&lt;=1500,INDEX('Daily Sale entry '!$X$1:$X$1501,$J1079+1),INDEX('Daily Sale entry '!$V$1:$V$1501,$J1079-1499)))</f>
        <v/>
      </c>
      <c r="B1079">
        <f>IF($J1079="","",IF($J1079&lt;=1500,INDEX('Daily Sale entry '!$Y$1:$Y$1501,$J1079+1)&amp;"","Buyer cheque banked 买家支票存入"&amp;IF(INDEX('Daily Sale entry '!$U$1:$U$1501,$J1079-1499)="","", " - "&amp;INDEX('Daily Sale entry '!$U$1:$U$1501,$J1079-1499))))</f>
        <v/>
      </c>
      <c r="C1079">
        <f>IF($J1079="","",IF($J1079&lt;=1500,INDEX('Daily Sale entry '!$Z$1:$Z$1501,$J1079+1)&amp;"","Cheque deposit 支票存入 (buyer 买家)"))</f>
        <v/>
      </c>
      <c r="D1079">
        <f>IF($J1079="","",IF($J1079&lt;=1500,INDEX('Daily Sale entry '!$AA$1:$AA$1501,$J1079+1)&amp;"",INDEX('Daily Sale entry '!$P$1:$P$1501,$J1079-1499)&amp;""))</f>
        <v/>
      </c>
      <c r="E1079">
        <f>IF($J1079="","",IF($J1079&lt;=1500,IF(N(INDEX('Daily Sale entry '!$AB$1:$AB$1501,$J1079+1))=0,"",INDEX('Daily Sale entry '!$AB$1:$AB$1501,$J1079+1)),1))</f>
        <v/>
      </c>
      <c r="F1079" s="6">
        <f>IF($J1079="","",IF($J1079&lt;=1500,N(INDEX('Daily Sale entry '!$AC$1:$AC$1501,$J1079+1))-IF(AND('Opening Balance'!$B$15=1,INDEX('Daily Sale entry '!$Z$1:$Z$1501,$J1079+1)="Online collection 网上收款",INDEX('Daily Sale entry '!$AA$1:$AA$1501,$J1079+1)&lt;&gt;""),N(INDEX('Daily Sale entry '!$AC$1:$AC$1501,$J1079+1))-TRUNC(N(INDEX('Daily Sale entry '!$AC$1:$AC$1501,$J1079+1))),0),N(INDEX('Daily Sale entry '!$S$1:$S$1501,$J1079-1499))-'Opening Balance'!$B$15*(N(INDEX('Daily Sale entry '!$S$1:$S$1501,$J1079-1499))-TRUNC(N(INDEX('Daily Sale entry '!$S$1:$S$1501,$J1079-1499))))))</f>
        <v/>
      </c>
      <c r="G1079" s="6">
        <f>IF($J1079="","",IF($J1079&lt;=1500,N(INDEX('Daily Sale entry '!$AD$1:$AD$1501,$J1079+1)),0))</f>
        <v/>
      </c>
      <c r="H1079" s="6">
        <f>IF($J1079="","",ROUND('Opening Balance'!$B$4+SUM($F$2:F1079)-SUM($G$2:G1079),2))</f>
        <v/>
      </c>
      <c r="J1079" s="21">
        <f>IFERROR(MATCH(ROW()-1,$L$2:$L$3001,0),"")</f>
        <v/>
      </c>
      <c r="K1079" s="34">
        <f>IF(AND('Daily Sale entry '!X1079&lt;&gt;"",OR('Daily Sale entry '!AC1079&lt;&gt;"",'Daily Sale entry '!AD1079&lt;&gt;"")),'Daily Sale entry '!X1079+ROW()/10000000,"")</f>
        <v/>
      </c>
      <c r="L1079" s="21">
        <f>IF(K1079="","",COUNTIF($K$2:$K$3001,"&lt;"&amp;K1079)+1)</f>
        <v/>
      </c>
    </row>
    <row r="1080">
      <c r="A1080" s="5">
        <f>IF($J1080="","",IF($J1080&lt;=1500,INDEX('Daily Sale entry '!$X$1:$X$1501,$J1080+1),INDEX('Daily Sale entry '!$V$1:$V$1501,$J1080-1499)))</f>
        <v/>
      </c>
      <c r="B1080">
        <f>IF($J1080="","",IF($J1080&lt;=1500,INDEX('Daily Sale entry '!$Y$1:$Y$1501,$J1080+1)&amp;"","Buyer cheque banked 买家支票存入"&amp;IF(INDEX('Daily Sale entry '!$U$1:$U$1501,$J1080-1499)="","", " - "&amp;INDEX('Daily Sale entry '!$U$1:$U$1501,$J1080-1499))))</f>
        <v/>
      </c>
      <c r="C1080">
        <f>IF($J1080="","",IF($J1080&lt;=1500,INDEX('Daily Sale entry '!$Z$1:$Z$1501,$J1080+1)&amp;"","Cheque deposit 支票存入 (buyer 买家)"))</f>
        <v/>
      </c>
      <c r="D1080">
        <f>IF($J1080="","",IF($J1080&lt;=1500,INDEX('Daily Sale entry '!$AA$1:$AA$1501,$J1080+1)&amp;"",INDEX('Daily Sale entry '!$P$1:$P$1501,$J1080-1499)&amp;""))</f>
        <v/>
      </c>
      <c r="E1080">
        <f>IF($J1080="","",IF($J1080&lt;=1500,IF(N(INDEX('Daily Sale entry '!$AB$1:$AB$1501,$J1080+1))=0,"",INDEX('Daily Sale entry '!$AB$1:$AB$1501,$J1080+1)),1))</f>
        <v/>
      </c>
      <c r="F1080" s="6">
        <f>IF($J1080="","",IF($J1080&lt;=1500,N(INDEX('Daily Sale entry '!$AC$1:$AC$1501,$J1080+1))-IF(AND('Opening Balance'!$B$15=1,INDEX('Daily Sale entry '!$Z$1:$Z$1501,$J1080+1)="Online collection 网上收款",INDEX('Daily Sale entry '!$AA$1:$AA$1501,$J1080+1)&lt;&gt;""),N(INDEX('Daily Sale entry '!$AC$1:$AC$1501,$J1080+1))-TRUNC(N(INDEX('Daily Sale entry '!$AC$1:$AC$1501,$J1080+1))),0),N(INDEX('Daily Sale entry '!$S$1:$S$1501,$J1080-1499))-'Opening Balance'!$B$15*(N(INDEX('Daily Sale entry '!$S$1:$S$1501,$J1080-1499))-TRUNC(N(INDEX('Daily Sale entry '!$S$1:$S$1501,$J1080-1499))))))</f>
        <v/>
      </c>
      <c r="G1080" s="6">
        <f>IF($J1080="","",IF($J1080&lt;=1500,N(INDEX('Daily Sale entry '!$AD$1:$AD$1501,$J1080+1)),0))</f>
        <v/>
      </c>
      <c r="H1080" s="6">
        <f>IF($J1080="","",ROUND('Opening Balance'!$B$4+SUM($F$2:F1080)-SUM($G$2:G1080),2))</f>
        <v/>
      </c>
      <c r="J1080" s="21">
        <f>IFERROR(MATCH(ROW()-1,$L$2:$L$3001,0),"")</f>
        <v/>
      </c>
      <c r="K1080" s="34">
        <f>IF(AND('Daily Sale entry '!X1080&lt;&gt;"",OR('Daily Sale entry '!AC1080&lt;&gt;"",'Daily Sale entry '!AD1080&lt;&gt;"")),'Daily Sale entry '!X1080+ROW()/10000000,"")</f>
        <v/>
      </c>
      <c r="L1080" s="21">
        <f>IF(K1080="","",COUNTIF($K$2:$K$3001,"&lt;"&amp;K1080)+1)</f>
        <v/>
      </c>
    </row>
    <row r="1081">
      <c r="A1081" s="5">
        <f>IF($J1081="","",IF($J1081&lt;=1500,INDEX('Daily Sale entry '!$X$1:$X$1501,$J1081+1),INDEX('Daily Sale entry '!$V$1:$V$1501,$J1081-1499)))</f>
        <v/>
      </c>
      <c r="B1081">
        <f>IF($J1081="","",IF($J1081&lt;=1500,INDEX('Daily Sale entry '!$Y$1:$Y$1501,$J1081+1)&amp;"","Buyer cheque banked 买家支票存入"&amp;IF(INDEX('Daily Sale entry '!$U$1:$U$1501,$J1081-1499)="","", " - "&amp;INDEX('Daily Sale entry '!$U$1:$U$1501,$J1081-1499))))</f>
        <v/>
      </c>
      <c r="C1081">
        <f>IF($J1081="","",IF($J1081&lt;=1500,INDEX('Daily Sale entry '!$Z$1:$Z$1501,$J1081+1)&amp;"","Cheque deposit 支票存入 (buyer 买家)"))</f>
        <v/>
      </c>
      <c r="D1081">
        <f>IF($J1081="","",IF($J1081&lt;=1500,INDEX('Daily Sale entry '!$AA$1:$AA$1501,$J1081+1)&amp;"",INDEX('Daily Sale entry '!$P$1:$P$1501,$J1081-1499)&amp;""))</f>
        <v/>
      </c>
      <c r="E1081">
        <f>IF($J1081="","",IF($J1081&lt;=1500,IF(N(INDEX('Daily Sale entry '!$AB$1:$AB$1501,$J1081+1))=0,"",INDEX('Daily Sale entry '!$AB$1:$AB$1501,$J1081+1)),1))</f>
        <v/>
      </c>
      <c r="F1081" s="6">
        <f>IF($J1081="","",IF($J1081&lt;=1500,N(INDEX('Daily Sale entry '!$AC$1:$AC$1501,$J1081+1))-IF(AND('Opening Balance'!$B$15=1,INDEX('Daily Sale entry '!$Z$1:$Z$1501,$J1081+1)="Online collection 网上收款",INDEX('Daily Sale entry '!$AA$1:$AA$1501,$J1081+1)&lt;&gt;""),N(INDEX('Daily Sale entry '!$AC$1:$AC$1501,$J1081+1))-TRUNC(N(INDEX('Daily Sale entry '!$AC$1:$AC$1501,$J1081+1))),0),N(INDEX('Daily Sale entry '!$S$1:$S$1501,$J1081-1499))-'Opening Balance'!$B$15*(N(INDEX('Daily Sale entry '!$S$1:$S$1501,$J1081-1499))-TRUNC(N(INDEX('Daily Sale entry '!$S$1:$S$1501,$J1081-1499))))))</f>
        <v/>
      </c>
      <c r="G1081" s="6">
        <f>IF($J1081="","",IF($J1081&lt;=1500,N(INDEX('Daily Sale entry '!$AD$1:$AD$1501,$J1081+1)),0))</f>
        <v/>
      </c>
      <c r="H1081" s="6">
        <f>IF($J1081="","",ROUND('Opening Balance'!$B$4+SUM($F$2:F1081)-SUM($G$2:G1081),2))</f>
        <v/>
      </c>
      <c r="J1081" s="21">
        <f>IFERROR(MATCH(ROW()-1,$L$2:$L$3001,0),"")</f>
        <v/>
      </c>
      <c r="K1081" s="34">
        <f>IF(AND('Daily Sale entry '!X1081&lt;&gt;"",OR('Daily Sale entry '!AC1081&lt;&gt;"",'Daily Sale entry '!AD1081&lt;&gt;"")),'Daily Sale entry '!X1081+ROW()/10000000,"")</f>
        <v/>
      </c>
      <c r="L1081" s="21">
        <f>IF(K1081="","",COUNTIF($K$2:$K$3001,"&lt;"&amp;K1081)+1)</f>
        <v/>
      </c>
    </row>
    <row r="1082">
      <c r="A1082" s="5">
        <f>IF($J1082="","",IF($J1082&lt;=1500,INDEX('Daily Sale entry '!$X$1:$X$1501,$J1082+1),INDEX('Daily Sale entry '!$V$1:$V$1501,$J1082-1499)))</f>
        <v/>
      </c>
      <c r="B1082">
        <f>IF($J1082="","",IF($J1082&lt;=1500,INDEX('Daily Sale entry '!$Y$1:$Y$1501,$J1082+1)&amp;"","Buyer cheque banked 买家支票存入"&amp;IF(INDEX('Daily Sale entry '!$U$1:$U$1501,$J1082-1499)="","", " - "&amp;INDEX('Daily Sale entry '!$U$1:$U$1501,$J1082-1499))))</f>
        <v/>
      </c>
      <c r="C1082">
        <f>IF($J1082="","",IF($J1082&lt;=1500,INDEX('Daily Sale entry '!$Z$1:$Z$1501,$J1082+1)&amp;"","Cheque deposit 支票存入 (buyer 买家)"))</f>
        <v/>
      </c>
      <c r="D1082">
        <f>IF($J1082="","",IF($J1082&lt;=1500,INDEX('Daily Sale entry '!$AA$1:$AA$1501,$J1082+1)&amp;"",INDEX('Daily Sale entry '!$P$1:$P$1501,$J1082-1499)&amp;""))</f>
        <v/>
      </c>
      <c r="E1082">
        <f>IF($J1082="","",IF($J1082&lt;=1500,IF(N(INDEX('Daily Sale entry '!$AB$1:$AB$1501,$J1082+1))=0,"",INDEX('Daily Sale entry '!$AB$1:$AB$1501,$J1082+1)),1))</f>
        <v/>
      </c>
      <c r="F1082" s="6">
        <f>IF($J1082="","",IF($J1082&lt;=1500,N(INDEX('Daily Sale entry '!$AC$1:$AC$1501,$J1082+1))-IF(AND('Opening Balance'!$B$15=1,INDEX('Daily Sale entry '!$Z$1:$Z$1501,$J1082+1)="Online collection 网上收款",INDEX('Daily Sale entry '!$AA$1:$AA$1501,$J1082+1)&lt;&gt;""),N(INDEX('Daily Sale entry '!$AC$1:$AC$1501,$J1082+1))-TRUNC(N(INDEX('Daily Sale entry '!$AC$1:$AC$1501,$J1082+1))),0),N(INDEX('Daily Sale entry '!$S$1:$S$1501,$J1082-1499))-'Opening Balance'!$B$15*(N(INDEX('Daily Sale entry '!$S$1:$S$1501,$J1082-1499))-TRUNC(N(INDEX('Daily Sale entry '!$S$1:$S$1501,$J1082-1499))))))</f>
        <v/>
      </c>
      <c r="G1082" s="6">
        <f>IF($J1082="","",IF($J1082&lt;=1500,N(INDEX('Daily Sale entry '!$AD$1:$AD$1501,$J1082+1)),0))</f>
        <v/>
      </c>
      <c r="H1082" s="6">
        <f>IF($J1082="","",ROUND('Opening Balance'!$B$4+SUM($F$2:F1082)-SUM($G$2:G1082),2))</f>
        <v/>
      </c>
      <c r="J1082" s="21">
        <f>IFERROR(MATCH(ROW()-1,$L$2:$L$3001,0),"")</f>
        <v/>
      </c>
      <c r="K1082" s="34">
        <f>IF(AND('Daily Sale entry '!X1082&lt;&gt;"",OR('Daily Sale entry '!AC1082&lt;&gt;"",'Daily Sale entry '!AD1082&lt;&gt;"")),'Daily Sale entry '!X1082+ROW()/10000000,"")</f>
        <v/>
      </c>
      <c r="L1082" s="21">
        <f>IF(K1082="","",COUNTIF($K$2:$K$3001,"&lt;"&amp;K1082)+1)</f>
        <v/>
      </c>
    </row>
    <row r="1083">
      <c r="A1083" s="5">
        <f>IF($J1083="","",IF($J1083&lt;=1500,INDEX('Daily Sale entry '!$X$1:$X$1501,$J1083+1),INDEX('Daily Sale entry '!$V$1:$V$1501,$J1083-1499)))</f>
        <v/>
      </c>
      <c r="B1083">
        <f>IF($J1083="","",IF($J1083&lt;=1500,INDEX('Daily Sale entry '!$Y$1:$Y$1501,$J1083+1)&amp;"","Buyer cheque banked 买家支票存入"&amp;IF(INDEX('Daily Sale entry '!$U$1:$U$1501,$J1083-1499)="","", " - "&amp;INDEX('Daily Sale entry '!$U$1:$U$1501,$J1083-1499))))</f>
        <v/>
      </c>
      <c r="C1083">
        <f>IF($J1083="","",IF($J1083&lt;=1500,INDEX('Daily Sale entry '!$Z$1:$Z$1501,$J1083+1)&amp;"","Cheque deposit 支票存入 (buyer 买家)"))</f>
        <v/>
      </c>
      <c r="D1083">
        <f>IF($J1083="","",IF($J1083&lt;=1500,INDEX('Daily Sale entry '!$AA$1:$AA$1501,$J1083+1)&amp;"",INDEX('Daily Sale entry '!$P$1:$P$1501,$J1083-1499)&amp;""))</f>
        <v/>
      </c>
      <c r="E1083">
        <f>IF($J1083="","",IF($J1083&lt;=1500,IF(N(INDEX('Daily Sale entry '!$AB$1:$AB$1501,$J1083+1))=0,"",INDEX('Daily Sale entry '!$AB$1:$AB$1501,$J1083+1)),1))</f>
        <v/>
      </c>
      <c r="F1083" s="6">
        <f>IF($J1083="","",IF($J1083&lt;=1500,N(INDEX('Daily Sale entry '!$AC$1:$AC$1501,$J1083+1))-IF(AND('Opening Balance'!$B$15=1,INDEX('Daily Sale entry '!$Z$1:$Z$1501,$J1083+1)="Online collection 网上收款",INDEX('Daily Sale entry '!$AA$1:$AA$1501,$J1083+1)&lt;&gt;""),N(INDEX('Daily Sale entry '!$AC$1:$AC$1501,$J1083+1))-TRUNC(N(INDEX('Daily Sale entry '!$AC$1:$AC$1501,$J1083+1))),0),N(INDEX('Daily Sale entry '!$S$1:$S$1501,$J1083-1499))-'Opening Balance'!$B$15*(N(INDEX('Daily Sale entry '!$S$1:$S$1501,$J1083-1499))-TRUNC(N(INDEX('Daily Sale entry '!$S$1:$S$1501,$J1083-1499))))))</f>
        <v/>
      </c>
      <c r="G1083" s="6">
        <f>IF($J1083="","",IF($J1083&lt;=1500,N(INDEX('Daily Sale entry '!$AD$1:$AD$1501,$J1083+1)),0))</f>
        <v/>
      </c>
      <c r="H1083" s="6">
        <f>IF($J1083="","",ROUND('Opening Balance'!$B$4+SUM($F$2:F1083)-SUM($G$2:G1083),2))</f>
        <v/>
      </c>
      <c r="J1083" s="21">
        <f>IFERROR(MATCH(ROW()-1,$L$2:$L$3001,0),"")</f>
        <v/>
      </c>
      <c r="K1083" s="34">
        <f>IF(AND('Daily Sale entry '!X1083&lt;&gt;"",OR('Daily Sale entry '!AC1083&lt;&gt;"",'Daily Sale entry '!AD1083&lt;&gt;"")),'Daily Sale entry '!X1083+ROW()/10000000,"")</f>
        <v/>
      </c>
      <c r="L1083" s="21">
        <f>IF(K1083="","",COUNTIF($K$2:$K$3001,"&lt;"&amp;K1083)+1)</f>
        <v/>
      </c>
    </row>
    <row r="1084">
      <c r="A1084" s="5">
        <f>IF($J1084="","",IF($J1084&lt;=1500,INDEX('Daily Sale entry '!$X$1:$X$1501,$J1084+1),INDEX('Daily Sale entry '!$V$1:$V$1501,$J1084-1499)))</f>
        <v/>
      </c>
      <c r="B1084">
        <f>IF($J1084="","",IF($J1084&lt;=1500,INDEX('Daily Sale entry '!$Y$1:$Y$1501,$J1084+1)&amp;"","Buyer cheque banked 买家支票存入"&amp;IF(INDEX('Daily Sale entry '!$U$1:$U$1501,$J1084-1499)="","", " - "&amp;INDEX('Daily Sale entry '!$U$1:$U$1501,$J1084-1499))))</f>
        <v/>
      </c>
      <c r="C1084">
        <f>IF($J1084="","",IF($J1084&lt;=1500,INDEX('Daily Sale entry '!$Z$1:$Z$1501,$J1084+1)&amp;"","Cheque deposit 支票存入 (buyer 买家)"))</f>
        <v/>
      </c>
      <c r="D1084">
        <f>IF($J1084="","",IF($J1084&lt;=1500,INDEX('Daily Sale entry '!$AA$1:$AA$1501,$J1084+1)&amp;"",INDEX('Daily Sale entry '!$P$1:$P$1501,$J1084-1499)&amp;""))</f>
        <v/>
      </c>
      <c r="E1084">
        <f>IF($J1084="","",IF($J1084&lt;=1500,IF(N(INDEX('Daily Sale entry '!$AB$1:$AB$1501,$J1084+1))=0,"",INDEX('Daily Sale entry '!$AB$1:$AB$1501,$J1084+1)),1))</f>
        <v/>
      </c>
      <c r="F1084" s="6">
        <f>IF($J1084="","",IF($J1084&lt;=1500,N(INDEX('Daily Sale entry '!$AC$1:$AC$1501,$J1084+1))-IF(AND('Opening Balance'!$B$15=1,INDEX('Daily Sale entry '!$Z$1:$Z$1501,$J1084+1)="Online collection 网上收款",INDEX('Daily Sale entry '!$AA$1:$AA$1501,$J1084+1)&lt;&gt;""),N(INDEX('Daily Sale entry '!$AC$1:$AC$1501,$J1084+1))-TRUNC(N(INDEX('Daily Sale entry '!$AC$1:$AC$1501,$J1084+1))),0),N(INDEX('Daily Sale entry '!$S$1:$S$1501,$J1084-1499))-'Opening Balance'!$B$15*(N(INDEX('Daily Sale entry '!$S$1:$S$1501,$J1084-1499))-TRUNC(N(INDEX('Daily Sale entry '!$S$1:$S$1501,$J1084-1499))))))</f>
        <v/>
      </c>
      <c r="G1084" s="6">
        <f>IF($J1084="","",IF($J1084&lt;=1500,N(INDEX('Daily Sale entry '!$AD$1:$AD$1501,$J1084+1)),0))</f>
        <v/>
      </c>
      <c r="H1084" s="6">
        <f>IF($J1084="","",ROUND('Opening Balance'!$B$4+SUM($F$2:F1084)-SUM($G$2:G1084),2))</f>
        <v/>
      </c>
      <c r="J1084" s="21">
        <f>IFERROR(MATCH(ROW()-1,$L$2:$L$3001,0),"")</f>
        <v/>
      </c>
      <c r="K1084" s="34">
        <f>IF(AND('Daily Sale entry '!X1084&lt;&gt;"",OR('Daily Sale entry '!AC1084&lt;&gt;"",'Daily Sale entry '!AD1084&lt;&gt;"")),'Daily Sale entry '!X1084+ROW()/10000000,"")</f>
        <v/>
      </c>
      <c r="L1084" s="21">
        <f>IF(K1084="","",COUNTIF($K$2:$K$3001,"&lt;"&amp;K1084)+1)</f>
        <v/>
      </c>
    </row>
    <row r="1085">
      <c r="A1085" s="5">
        <f>IF($J1085="","",IF($J1085&lt;=1500,INDEX('Daily Sale entry '!$X$1:$X$1501,$J1085+1),INDEX('Daily Sale entry '!$V$1:$V$1501,$J1085-1499)))</f>
        <v/>
      </c>
      <c r="B1085">
        <f>IF($J1085="","",IF($J1085&lt;=1500,INDEX('Daily Sale entry '!$Y$1:$Y$1501,$J1085+1)&amp;"","Buyer cheque banked 买家支票存入"&amp;IF(INDEX('Daily Sale entry '!$U$1:$U$1501,$J1085-1499)="","", " - "&amp;INDEX('Daily Sale entry '!$U$1:$U$1501,$J1085-1499))))</f>
        <v/>
      </c>
      <c r="C1085">
        <f>IF($J1085="","",IF($J1085&lt;=1500,INDEX('Daily Sale entry '!$Z$1:$Z$1501,$J1085+1)&amp;"","Cheque deposit 支票存入 (buyer 买家)"))</f>
        <v/>
      </c>
      <c r="D1085">
        <f>IF($J1085="","",IF($J1085&lt;=1500,INDEX('Daily Sale entry '!$AA$1:$AA$1501,$J1085+1)&amp;"",INDEX('Daily Sale entry '!$P$1:$P$1501,$J1085-1499)&amp;""))</f>
        <v/>
      </c>
      <c r="E1085">
        <f>IF($J1085="","",IF($J1085&lt;=1500,IF(N(INDEX('Daily Sale entry '!$AB$1:$AB$1501,$J1085+1))=0,"",INDEX('Daily Sale entry '!$AB$1:$AB$1501,$J1085+1)),1))</f>
        <v/>
      </c>
      <c r="F1085" s="6">
        <f>IF($J1085="","",IF($J1085&lt;=1500,N(INDEX('Daily Sale entry '!$AC$1:$AC$1501,$J1085+1))-IF(AND('Opening Balance'!$B$15=1,INDEX('Daily Sale entry '!$Z$1:$Z$1501,$J1085+1)="Online collection 网上收款",INDEX('Daily Sale entry '!$AA$1:$AA$1501,$J1085+1)&lt;&gt;""),N(INDEX('Daily Sale entry '!$AC$1:$AC$1501,$J1085+1))-TRUNC(N(INDEX('Daily Sale entry '!$AC$1:$AC$1501,$J1085+1))),0),N(INDEX('Daily Sale entry '!$S$1:$S$1501,$J1085-1499))-'Opening Balance'!$B$15*(N(INDEX('Daily Sale entry '!$S$1:$S$1501,$J1085-1499))-TRUNC(N(INDEX('Daily Sale entry '!$S$1:$S$1501,$J1085-1499))))))</f>
        <v/>
      </c>
      <c r="G1085" s="6">
        <f>IF($J1085="","",IF($J1085&lt;=1500,N(INDEX('Daily Sale entry '!$AD$1:$AD$1501,$J1085+1)),0))</f>
        <v/>
      </c>
      <c r="H1085" s="6">
        <f>IF($J1085="","",ROUND('Opening Balance'!$B$4+SUM($F$2:F1085)-SUM($G$2:G1085),2))</f>
        <v/>
      </c>
      <c r="J1085" s="21">
        <f>IFERROR(MATCH(ROW()-1,$L$2:$L$3001,0),"")</f>
        <v/>
      </c>
      <c r="K1085" s="34">
        <f>IF(AND('Daily Sale entry '!X1085&lt;&gt;"",OR('Daily Sale entry '!AC1085&lt;&gt;"",'Daily Sale entry '!AD1085&lt;&gt;"")),'Daily Sale entry '!X1085+ROW()/10000000,"")</f>
        <v/>
      </c>
      <c r="L1085" s="21">
        <f>IF(K1085="","",COUNTIF($K$2:$K$3001,"&lt;"&amp;K1085)+1)</f>
        <v/>
      </c>
    </row>
    <row r="1086">
      <c r="A1086" s="5">
        <f>IF($J1086="","",IF($J1086&lt;=1500,INDEX('Daily Sale entry '!$X$1:$X$1501,$J1086+1),INDEX('Daily Sale entry '!$V$1:$V$1501,$J1086-1499)))</f>
        <v/>
      </c>
      <c r="B1086">
        <f>IF($J1086="","",IF($J1086&lt;=1500,INDEX('Daily Sale entry '!$Y$1:$Y$1501,$J1086+1)&amp;"","Buyer cheque banked 买家支票存入"&amp;IF(INDEX('Daily Sale entry '!$U$1:$U$1501,$J1086-1499)="","", " - "&amp;INDEX('Daily Sale entry '!$U$1:$U$1501,$J1086-1499))))</f>
        <v/>
      </c>
      <c r="C1086">
        <f>IF($J1086="","",IF($J1086&lt;=1500,INDEX('Daily Sale entry '!$Z$1:$Z$1501,$J1086+1)&amp;"","Cheque deposit 支票存入 (buyer 买家)"))</f>
        <v/>
      </c>
      <c r="D1086">
        <f>IF($J1086="","",IF($J1086&lt;=1500,INDEX('Daily Sale entry '!$AA$1:$AA$1501,$J1086+1)&amp;"",INDEX('Daily Sale entry '!$P$1:$P$1501,$J1086-1499)&amp;""))</f>
        <v/>
      </c>
      <c r="E1086">
        <f>IF($J1086="","",IF($J1086&lt;=1500,IF(N(INDEX('Daily Sale entry '!$AB$1:$AB$1501,$J1086+1))=0,"",INDEX('Daily Sale entry '!$AB$1:$AB$1501,$J1086+1)),1))</f>
        <v/>
      </c>
      <c r="F1086" s="6">
        <f>IF($J1086="","",IF($J1086&lt;=1500,N(INDEX('Daily Sale entry '!$AC$1:$AC$1501,$J1086+1))-IF(AND('Opening Balance'!$B$15=1,INDEX('Daily Sale entry '!$Z$1:$Z$1501,$J1086+1)="Online collection 网上收款",INDEX('Daily Sale entry '!$AA$1:$AA$1501,$J1086+1)&lt;&gt;""),N(INDEX('Daily Sale entry '!$AC$1:$AC$1501,$J1086+1))-TRUNC(N(INDEX('Daily Sale entry '!$AC$1:$AC$1501,$J1086+1))),0),N(INDEX('Daily Sale entry '!$S$1:$S$1501,$J1086-1499))-'Opening Balance'!$B$15*(N(INDEX('Daily Sale entry '!$S$1:$S$1501,$J1086-1499))-TRUNC(N(INDEX('Daily Sale entry '!$S$1:$S$1501,$J1086-1499))))))</f>
        <v/>
      </c>
      <c r="G1086" s="6">
        <f>IF($J1086="","",IF($J1086&lt;=1500,N(INDEX('Daily Sale entry '!$AD$1:$AD$1501,$J1086+1)),0))</f>
        <v/>
      </c>
      <c r="H1086" s="6">
        <f>IF($J1086="","",ROUND('Opening Balance'!$B$4+SUM($F$2:F1086)-SUM($G$2:G1086),2))</f>
        <v/>
      </c>
      <c r="J1086" s="21">
        <f>IFERROR(MATCH(ROW()-1,$L$2:$L$3001,0),"")</f>
        <v/>
      </c>
      <c r="K1086" s="34">
        <f>IF(AND('Daily Sale entry '!X1086&lt;&gt;"",OR('Daily Sale entry '!AC1086&lt;&gt;"",'Daily Sale entry '!AD1086&lt;&gt;"")),'Daily Sale entry '!X1086+ROW()/10000000,"")</f>
        <v/>
      </c>
      <c r="L1086" s="21">
        <f>IF(K1086="","",COUNTIF($K$2:$K$3001,"&lt;"&amp;K1086)+1)</f>
        <v/>
      </c>
    </row>
    <row r="1087">
      <c r="A1087" s="5">
        <f>IF($J1087="","",IF($J1087&lt;=1500,INDEX('Daily Sale entry '!$X$1:$X$1501,$J1087+1),INDEX('Daily Sale entry '!$V$1:$V$1501,$J1087-1499)))</f>
        <v/>
      </c>
      <c r="B1087">
        <f>IF($J1087="","",IF($J1087&lt;=1500,INDEX('Daily Sale entry '!$Y$1:$Y$1501,$J1087+1)&amp;"","Buyer cheque banked 买家支票存入"&amp;IF(INDEX('Daily Sale entry '!$U$1:$U$1501,$J1087-1499)="","", " - "&amp;INDEX('Daily Sale entry '!$U$1:$U$1501,$J1087-1499))))</f>
        <v/>
      </c>
      <c r="C1087">
        <f>IF($J1087="","",IF($J1087&lt;=1500,INDEX('Daily Sale entry '!$Z$1:$Z$1501,$J1087+1)&amp;"","Cheque deposit 支票存入 (buyer 买家)"))</f>
        <v/>
      </c>
      <c r="D1087">
        <f>IF($J1087="","",IF($J1087&lt;=1500,INDEX('Daily Sale entry '!$AA$1:$AA$1501,$J1087+1)&amp;"",INDEX('Daily Sale entry '!$P$1:$P$1501,$J1087-1499)&amp;""))</f>
        <v/>
      </c>
      <c r="E1087">
        <f>IF($J1087="","",IF($J1087&lt;=1500,IF(N(INDEX('Daily Sale entry '!$AB$1:$AB$1501,$J1087+1))=0,"",INDEX('Daily Sale entry '!$AB$1:$AB$1501,$J1087+1)),1))</f>
        <v/>
      </c>
      <c r="F1087" s="6">
        <f>IF($J1087="","",IF($J1087&lt;=1500,N(INDEX('Daily Sale entry '!$AC$1:$AC$1501,$J1087+1))-IF(AND('Opening Balance'!$B$15=1,INDEX('Daily Sale entry '!$Z$1:$Z$1501,$J1087+1)="Online collection 网上收款",INDEX('Daily Sale entry '!$AA$1:$AA$1501,$J1087+1)&lt;&gt;""),N(INDEX('Daily Sale entry '!$AC$1:$AC$1501,$J1087+1))-TRUNC(N(INDEX('Daily Sale entry '!$AC$1:$AC$1501,$J1087+1))),0),N(INDEX('Daily Sale entry '!$S$1:$S$1501,$J1087-1499))-'Opening Balance'!$B$15*(N(INDEX('Daily Sale entry '!$S$1:$S$1501,$J1087-1499))-TRUNC(N(INDEX('Daily Sale entry '!$S$1:$S$1501,$J1087-1499))))))</f>
        <v/>
      </c>
      <c r="G1087" s="6">
        <f>IF($J1087="","",IF($J1087&lt;=1500,N(INDEX('Daily Sale entry '!$AD$1:$AD$1501,$J1087+1)),0))</f>
        <v/>
      </c>
      <c r="H1087" s="6">
        <f>IF($J1087="","",ROUND('Opening Balance'!$B$4+SUM($F$2:F1087)-SUM($G$2:G1087),2))</f>
        <v/>
      </c>
      <c r="J1087" s="21">
        <f>IFERROR(MATCH(ROW()-1,$L$2:$L$3001,0),"")</f>
        <v/>
      </c>
      <c r="K1087" s="34">
        <f>IF(AND('Daily Sale entry '!X1087&lt;&gt;"",OR('Daily Sale entry '!AC1087&lt;&gt;"",'Daily Sale entry '!AD1087&lt;&gt;"")),'Daily Sale entry '!X1087+ROW()/10000000,"")</f>
        <v/>
      </c>
      <c r="L1087" s="21">
        <f>IF(K1087="","",COUNTIF($K$2:$K$3001,"&lt;"&amp;K1087)+1)</f>
        <v/>
      </c>
    </row>
    <row r="1088">
      <c r="A1088" s="5">
        <f>IF($J1088="","",IF($J1088&lt;=1500,INDEX('Daily Sale entry '!$X$1:$X$1501,$J1088+1),INDEX('Daily Sale entry '!$V$1:$V$1501,$J1088-1499)))</f>
        <v/>
      </c>
      <c r="B1088">
        <f>IF($J1088="","",IF($J1088&lt;=1500,INDEX('Daily Sale entry '!$Y$1:$Y$1501,$J1088+1)&amp;"","Buyer cheque banked 买家支票存入"&amp;IF(INDEX('Daily Sale entry '!$U$1:$U$1501,$J1088-1499)="","", " - "&amp;INDEX('Daily Sale entry '!$U$1:$U$1501,$J1088-1499))))</f>
        <v/>
      </c>
      <c r="C1088">
        <f>IF($J1088="","",IF($J1088&lt;=1500,INDEX('Daily Sale entry '!$Z$1:$Z$1501,$J1088+1)&amp;"","Cheque deposit 支票存入 (buyer 买家)"))</f>
        <v/>
      </c>
      <c r="D1088">
        <f>IF($J1088="","",IF($J1088&lt;=1500,INDEX('Daily Sale entry '!$AA$1:$AA$1501,$J1088+1)&amp;"",INDEX('Daily Sale entry '!$P$1:$P$1501,$J1088-1499)&amp;""))</f>
        <v/>
      </c>
      <c r="E1088">
        <f>IF($J1088="","",IF($J1088&lt;=1500,IF(N(INDEX('Daily Sale entry '!$AB$1:$AB$1501,$J1088+1))=0,"",INDEX('Daily Sale entry '!$AB$1:$AB$1501,$J1088+1)),1))</f>
        <v/>
      </c>
      <c r="F1088" s="6">
        <f>IF($J1088="","",IF($J1088&lt;=1500,N(INDEX('Daily Sale entry '!$AC$1:$AC$1501,$J1088+1))-IF(AND('Opening Balance'!$B$15=1,INDEX('Daily Sale entry '!$Z$1:$Z$1501,$J1088+1)="Online collection 网上收款",INDEX('Daily Sale entry '!$AA$1:$AA$1501,$J1088+1)&lt;&gt;""),N(INDEX('Daily Sale entry '!$AC$1:$AC$1501,$J1088+1))-TRUNC(N(INDEX('Daily Sale entry '!$AC$1:$AC$1501,$J1088+1))),0),N(INDEX('Daily Sale entry '!$S$1:$S$1501,$J1088-1499))-'Opening Balance'!$B$15*(N(INDEX('Daily Sale entry '!$S$1:$S$1501,$J1088-1499))-TRUNC(N(INDEX('Daily Sale entry '!$S$1:$S$1501,$J1088-1499))))))</f>
        <v/>
      </c>
      <c r="G1088" s="6">
        <f>IF($J1088="","",IF($J1088&lt;=1500,N(INDEX('Daily Sale entry '!$AD$1:$AD$1501,$J1088+1)),0))</f>
        <v/>
      </c>
      <c r="H1088" s="6">
        <f>IF($J1088="","",ROUND('Opening Balance'!$B$4+SUM($F$2:F1088)-SUM($G$2:G1088),2))</f>
        <v/>
      </c>
      <c r="J1088" s="21">
        <f>IFERROR(MATCH(ROW()-1,$L$2:$L$3001,0),"")</f>
        <v/>
      </c>
      <c r="K1088" s="34">
        <f>IF(AND('Daily Sale entry '!X1088&lt;&gt;"",OR('Daily Sale entry '!AC1088&lt;&gt;"",'Daily Sale entry '!AD1088&lt;&gt;"")),'Daily Sale entry '!X1088+ROW()/10000000,"")</f>
        <v/>
      </c>
      <c r="L1088" s="21">
        <f>IF(K1088="","",COUNTIF($K$2:$K$3001,"&lt;"&amp;K1088)+1)</f>
        <v/>
      </c>
    </row>
    <row r="1089">
      <c r="A1089" s="5">
        <f>IF($J1089="","",IF($J1089&lt;=1500,INDEX('Daily Sale entry '!$X$1:$X$1501,$J1089+1),INDEX('Daily Sale entry '!$V$1:$V$1501,$J1089-1499)))</f>
        <v/>
      </c>
      <c r="B1089">
        <f>IF($J1089="","",IF($J1089&lt;=1500,INDEX('Daily Sale entry '!$Y$1:$Y$1501,$J1089+1)&amp;"","Buyer cheque banked 买家支票存入"&amp;IF(INDEX('Daily Sale entry '!$U$1:$U$1501,$J1089-1499)="","", " - "&amp;INDEX('Daily Sale entry '!$U$1:$U$1501,$J1089-1499))))</f>
        <v/>
      </c>
      <c r="C1089">
        <f>IF($J1089="","",IF($J1089&lt;=1500,INDEX('Daily Sale entry '!$Z$1:$Z$1501,$J1089+1)&amp;"","Cheque deposit 支票存入 (buyer 买家)"))</f>
        <v/>
      </c>
      <c r="D1089">
        <f>IF($J1089="","",IF($J1089&lt;=1500,INDEX('Daily Sale entry '!$AA$1:$AA$1501,$J1089+1)&amp;"",INDEX('Daily Sale entry '!$P$1:$P$1501,$J1089-1499)&amp;""))</f>
        <v/>
      </c>
      <c r="E1089">
        <f>IF($J1089="","",IF($J1089&lt;=1500,IF(N(INDEX('Daily Sale entry '!$AB$1:$AB$1501,$J1089+1))=0,"",INDEX('Daily Sale entry '!$AB$1:$AB$1501,$J1089+1)),1))</f>
        <v/>
      </c>
      <c r="F1089" s="6">
        <f>IF($J1089="","",IF($J1089&lt;=1500,N(INDEX('Daily Sale entry '!$AC$1:$AC$1501,$J1089+1))-IF(AND('Opening Balance'!$B$15=1,INDEX('Daily Sale entry '!$Z$1:$Z$1501,$J1089+1)="Online collection 网上收款",INDEX('Daily Sale entry '!$AA$1:$AA$1501,$J1089+1)&lt;&gt;""),N(INDEX('Daily Sale entry '!$AC$1:$AC$1501,$J1089+1))-TRUNC(N(INDEX('Daily Sale entry '!$AC$1:$AC$1501,$J1089+1))),0),N(INDEX('Daily Sale entry '!$S$1:$S$1501,$J1089-1499))-'Opening Balance'!$B$15*(N(INDEX('Daily Sale entry '!$S$1:$S$1501,$J1089-1499))-TRUNC(N(INDEX('Daily Sale entry '!$S$1:$S$1501,$J1089-1499))))))</f>
        <v/>
      </c>
      <c r="G1089" s="6">
        <f>IF($J1089="","",IF($J1089&lt;=1500,N(INDEX('Daily Sale entry '!$AD$1:$AD$1501,$J1089+1)),0))</f>
        <v/>
      </c>
      <c r="H1089" s="6">
        <f>IF($J1089="","",ROUND('Opening Balance'!$B$4+SUM($F$2:F1089)-SUM($G$2:G1089),2))</f>
        <v/>
      </c>
      <c r="J1089" s="21">
        <f>IFERROR(MATCH(ROW()-1,$L$2:$L$3001,0),"")</f>
        <v/>
      </c>
      <c r="K1089" s="34">
        <f>IF(AND('Daily Sale entry '!X1089&lt;&gt;"",OR('Daily Sale entry '!AC1089&lt;&gt;"",'Daily Sale entry '!AD1089&lt;&gt;"")),'Daily Sale entry '!X1089+ROW()/10000000,"")</f>
        <v/>
      </c>
      <c r="L1089" s="21">
        <f>IF(K1089="","",COUNTIF($K$2:$K$3001,"&lt;"&amp;K1089)+1)</f>
        <v/>
      </c>
    </row>
    <row r="1090">
      <c r="A1090" s="5">
        <f>IF($J1090="","",IF($J1090&lt;=1500,INDEX('Daily Sale entry '!$X$1:$X$1501,$J1090+1),INDEX('Daily Sale entry '!$V$1:$V$1501,$J1090-1499)))</f>
        <v/>
      </c>
      <c r="B1090">
        <f>IF($J1090="","",IF($J1090&lt;=1500,INDEX('Daily Sale entry '!$Y$1:$Y$1501,$J1090+1)&amp;"","Buyer cheque banked 买家支票存入"&amp;IF(INDEX('Daily Sale entry '!$U$1:$U$1501,$J1090-1499)="","", " - "&amp;INDEX('Daily Sale entry '!$U$1:$U$1501,$J1090-1499))))</f>
        <v/>
      </c>
      <c r="C1090">
        <f>IF($J1090="","",IF($J1090&lt;=1500,INDEX('Daily Sale entry '!$Z$1:$Z$1501,$J1090+1)&amp;"","Cheque deposit 支票存入 (buyer 买家)"))</f>
        <v/>
      </c>
      <c r="D1090">
        <f>IF($J1090="","",IF($J1090&lt;=1500,INDEX('Daily Sale entry '!$AA$1:$AA$1501,$J1090+1)&amp;"",INDEX('Daily Sale entry '!$P$1:$P$1501,$J1090-1499)&amp;""))</f>
        <v/>
      </c>
      <c r="E1090">
        <f>IF($J1090="","",IF($J1090&lt;=1500,IF(N(INDEX('Daily Sale entry '!$AB$1:$AB$1501,$J1090+1))=0,"",INDEX('Daily Sale entry '!$AB$1:$AB$1501,$J1090+1)),1))</f>
        <v/>
      </c>
      <c r="F1090" s="6">
        <f>IF($J1090="","",IF($J1090&lt;=1500,N(INDEX('Daily Sale entry '!$AC$1:$AC$1501,$J1090+1))-IF(AND('Opening Balance'!$B$15=1,INDEX('Daily Sale entry '!$Z$1:$Z$1501,$J1090+1)="Online collection 网上收款",INDEX('Daily Sale entry '!$AA$1:$AA$1501,$J1090+1)&lt;&gt;""),N(INDEX('Daily Sale entry '!$AC$1:$AC$1501,$J1090+1))-TRUNC(N(INDEX('Daily Sale entry '!$AC$1:$AC$1501,$J1090+1))),0),N(INDEX('Daily Sale entry '!$S$1:$S$1501,$J1090-1499))-'Opening Balance'!$B$15*(N(INDEX('Daily Sale entry '!$S$1:$S$1501,$J1090-1499))-TRUNC(N(INDEX('Daily Sale entry '!$S$1:$S$1501,$J1090-1499))))))</f>
        <v/>
      </c>
      <c r="G1090" s="6">
        <f>IF($J1090="","",IF($J1090&lt;=1500,N(INDEX('Daily Sale entry '!$AD$1:$AD$1501,$J1090+1)),0))</f>
        <v/>
      </c>
      <c r="H1090" s="6">
        <f>IF($J1090="","",ROUND('Opening Balance'!$B$4+SUM($F$2:F1090)-SUM($G$2:G1090),2))</f>
        <v/>
      </c>
      <c r="J1090" s="21">
        <f>IFERROR(MATCH(ROW()-1,$L$2:$L$3001,0),"")</f>
        <v/>
      </c>
      <c r="K1090" s="34">
        <f>IF(AND('Daily Sale entry '!X1090&lt;&gt;"",OR('Daily Sale entry '!AC1090&lt;&gt;"",'Daily Sale entry '!AD1090&lt;&gt;"")),'Daily Sale entry '!X1090+ROW()/10000000,"")</f>
        <v/>
      </c>
      <c r="L1090" s="21">
        <f>IF(K1090="","",COUNTIF($K$2:$K$3001,"&lt;"&amp;K1090)+1)</f>
        <v/>
      </c>
    </row>
    <row r="1091">
      <c r="A1091" s="5">
        <f>IF($J1091="","",IF($J1091&lt;=1500,INDEX('Daily Sale entry '!$X$1:$X$1501,$J1091+1),INDEX('Daily Sale entry '!$V$1:$V$1501,$J1091-1499)))</f>
        <v/>
      </c>
      <c r="B1091">
        <f>IF($J1091="","",IF($J1091&lt;=1500,INDEX('Daily Sale entry '!$Y$1:$Y$1501,$J1091+1)&amp;"","Buyer cheque banked 买家支票存入"&amp;IF(INDEX('Daily Sale entry '!$U$1:$U$1501,$J1091-1499)="","", " - "&amp;INDEX('Daily Sale entry '!$U$1:$U$1501,$J1091-1499))))</f>
        <v/>
      </c>
      <c r="C1091">
        <f>IF($J1091="","",IF($J1091&lt;=1500,INDEX('Daily Sale entry '!$Z$1:$Z$1501,$J1091+1)&amp;"","Cheque deposit 支票存入 (buyer 买家)"))</f>
        <v/>
      </c>
      <c r="D1091">
        <f>IF($J1091="","",IF($J1091&lt;=1500,INDEX('Daily Sale entry '!$AA$1:$AA$1501,$J1091+1)&amp;"",INDEX('Daily Sale entry '!$P$1:$P$1501,$J1091-1499)&amp;""))</f>
        <v/>
      </c>
      <c r="E1091">
        <f>IF($J1091="","",IF($J1091&lt;=1500,IF(N(INDEX('Daily Sale entry '!$AB$1:$AB$1501,$J1091+1))=0,"",INDEX('Daily Sale entry '!$AB$1:$AB$1501,$J1091+1)),1))</f>
        <v/>
      </c>
      <c r="F1091" s="6">
        <f>IF($J1091="","",IF($J1091&lt;=1500,N(INDEX('Daily Sale entry '!$AC$1:$AC$1501,$J1091+1))-IF(AND('Opening Balance'!$B$15=1,INDEX('Daily Sale entry '!$Z$1:$Z$1501,$J1091+1)="Online collection 网上收款",INDEX('Daily Sale entry '!$AA$1:$AA$1501,$J1091+1)&lt;&gt;""),N(INDEX('Daily Sale entry '!$AC$1:$AC$1501,$J1091+1))-TRUNC(N(INDEX('Daily Sale entry '!$AC$1:$AC$1501,$J1091+1))),0),N(INDEX('Daily Sale entry '!$S$1:$S$1501,$J1091-1499))-'Opening Balance'!$B$15*(N(INDEX('Daily Sale entry '!$S$1:$S$1501,$J1091-1499))-TRUNC(N(INDEX('Daily Sale entry '!$S$1:$S$1501,$J1091-1499))))))</f>
        <v/>
      </c>
      <c r="G1091" s="6">
        <f>IF($J1091="","",IF($J1091&lt;=1500,N(INDEX('Daily Sale entry '!$AD$1:$AD$1501,$J1091+1)),0))</f>
        <v/>
      </c>
      <c r="H1091" s="6">
        <f>IF($J1091="","",ROUND('Opening Balance'!$B$4+SUM($F$2:F1091)-SUM($G$2:G1091),2))</f>
        <v/>
      </c>
      <c r="J1091" s="21">
        <f>IFERROR(MATCH(ROW()-1,$L$2:$L$3001,0),"")</f>
        <v/>
      </c>
      <c r="K1091" s="34">
        <f>IF(AND('Daily Sale entry '!X1091&lt;&gt;"",OR('Daily Sale entry '!AC1091&lt;&gt;"",'Daily Sale entry '!AD1091&lt;&gt;"")),'Daily Sale entry '!X1091+ROW()/10000000,"")</f>
        <v/>
      </c>
      <c r="L1091" s="21">
        <f>IF(K1091="","",COUNTIF($K$2:$K$3001,"&lt;"&amp;K1091)+1)</f>
        <v/>
      </c>
    </row>
    <row r="1092">
      <c r="A1092" s="5">
        <f>IF($J1092="","",IF($J1092&lt;=1500,INDEX('Daily Sale entry '!$X$1:$X$1501,$J1092+1),INDEX('Daily Sale entry '!$V$1:$V$1501,$J1092-1499)))</f>
        <v/>
      </c>
      <c r="B1092">
        <f>IF($J1092="","",IF($J1092&lt;=1500,INDEX('Daily Sale entry '!$Y$1:$Y$1501,$J1092+1)&amp;"","Buyer cheque banked 买家支票存入"&amp;IF(INDEX('Daily Sale entry '!$U$1:$U$1501,$J1092-1499)="","", " - "&amp;INDEX('Daily Sale entry '!$U$1:$U$1501,$J1092-1499))))</f>
        <v/>
      </c>
      <c r="C1092">
        <f>IF($J1092="","",IF($J1092&lt;=1500,INDEX('Daily Sale entry '!$Z$1:$Z$1501,$J1092+1)&amp;"","Cheque deposit 支票存入 (buyer 买家)"))</f>
        <v/>
      </c>
      <c r="D1092">
        <f>IF($J1092="","",IF($J1092&lt;=1500,INDEX('Daily Sale entry '!$AA$1:$AA$1501,$J1092+1)&amp;"",INDEX('Daily Sale entry '!$P$1:$P$1501,$J1092-1499)&amp;""))</f>
        <v/>
      </c>
      <c r="E1092">
        <f>IF($J1092="","",IF($J1092&lt;=1500,IF(N(INDEX('Daily Sale entry '!$AB$1:$AB$1501,$J1092+1))=0,"",INDEX('Daily Sale entry '!$AB$1:$AB$1501,$J1092+1)),1))</f>
        <v/>
      </c>
      <c r="F1092" s="6">
        <f>IF($J1092="","",IF($J1092&lt;=1500,N(INDEX('Daily Sale entry '!$AC$1:$AC$1501,$J1092+1))-IF(AND('Opening Balance'!$B$15=1,INDEX('Daily Sale entry '!$Z$1:$Z$1501,$J1092+1)="Online collection 网上收款",INDEX('Daily Sale entry '!$AA$1:$AA$1501,$J1092+1)&lt;&gt;""),N(INDEX('Daily Sale entry '!$AC$1:$AC$1501,$J1092+1))-TRUNC(N(INDEX('Daily Sale entry '!$AC$1:$AC$1501,$J1092+1))),0),N(INDEX('Daily Sale entry '!$S$1:$S$1501,$J1092-1499))-'Opening Balance'!$B$15*(N(INDEX('Daily Sale entry '!$S$1:$S$1501,$J1092-1499))-TRUNC(N(INDEX('Daily Sale entry '!$S$1:$S$1501,$J1092-1499))))))</f>
        <v/>
      </c>
      <c r="G1092" s="6">
        <f>IF($J1092="","",IF($J1092&lt;=1500,N(INDEX('Daily Sale entry '!$AD$1:$AD$1501,$J1092+1)),0))</f>
        <v/>
      </c>
      <c r="H1092" s="6">
        <f>IF($J1092="","",ROUND('Opening Balance'!$B$4+SUM($F$2:F1092)-SUM($G$2:G1092),2))</f>
        <v/>
      </c>
      <c r="J1092" s="21">
        <f>IFERROR(MATCH(ROW()-1,$L$2:$L$3001,0),"")</f>
        <v/>
      </c>
      <c r="K1092" s="34">
        <f>IF(AND('Daily Sale entry '!X1092&lt;&gt;"",OR('Daily Sale entry '!AC1092&lt;&gt;"",'Daily Sale entry '!AD1092&lt;&gt;"")),'Daily Sale entry '!X1092+ROW()/10000000,"")</f>
        <v/>
      </c>
      <c r="L1092" s="21">
        <f>IF(K1092="","",COUNTIF($K$2:$K$3001,"&lt;"&amp;K1092)+1)</f>
        <v/>
      </c>
    </row>
    <row r="1093">
      <c r="A1093" s="5">
        <f>IF($J1093="","",IF($J1093&lt;=1500,INDEX('Daily Sale entry '!$X$1:$X$1501,$J1093+1),INDEX('Daily Sale entry '!$V$1:$V$1501,$J1093-1499)))</f>
        <v/>
      </c>
      <c r="B1093">
        <f>IF($J1093="","",IF($J1093&lt;=1500,INDEX('Daily Sale entry '!$Y$1:$Y$1501,$J1093+1)&amp;"","Buyer cheque banked 买家支票存入"&amp;IF(INDEX('Daily Sale entry '!$U$1:$U$1501,$J1093-1499)="","", " - "&amp;INDEX('Daily Sale entry '!$U$1:$U$1501,$J1093-1499))))</f>
        <v/>
      </c>
      <c r="C1093">
        <f>IF($J1093="","",IF($J1093&lt;=1500,INDEX('Daily Sale entry '!$Z$1:$Z$1501,$J1093+1)&amp;"","Cheque deposit 支票存入 (buyer 买家)"))</f>
        <v/>
      </c>
      <c r="D1093">
        <f>IF($J1093="","",IF($J1093&lt;=1500,INDEX('Daily Sale entry '!$AA$1:$AA$1501,$J1093+1)&amp;"",INDEX('Daily Sale entry '!$P$1:$P$1501,$J1093-1499)&amp;""))</f>
        <v/>
      </c>
      <c r="E1093">
        <f>IF($J1093="","",IF($J1093&lt;=1500,IF(N(INDEX('Daily Sale entry '!$AB$1:$AB$1501,$J1093+1))=0,"",INDEX('Daily Sale entry '!$AB$1:$AB$1501,$J1093+1)),1))</f>
        <v/>
      </c>
      <c r="F1093" s="6">
        <f>IF($J1093="","",IF($J1093&lt;=1500,N(INDEX('Daily Sale entry '!$AC$1:$AC$1501,$J1093+1))-IF(AND('Opening Balance'!$B$15=1,INDEX('Daily Sale entry '!$Z$1:$Z$1501,$J1093+1)="Online collection 网上收款",INDEX('Daily Sale entry '!$AA$1:$AA$1501,$J1093+1)&lt;&gt;""),N(INDEX('Daily Sale entry '!$AC$1:$AC$1501,$J1093+1))-TRUNC(N(INDEX('Daily Sale entry '!$AC$1:$AC$1501,$J1093+1))),0),N(INDEX('Daily Sale entry '!$S$1:$S$1501,$J1093-1499))-'Opening Balance'!$B$15*(N(INDEX('Daily Sale entry '!$S$1:$S$1501,$J1093-1499))-TRUNC(N(INDEX('Daily Sale entry '!$S$1:$S$1501,$J1093-1499))))))</f>
        <v/>
      </c>
      <c r="G1093" s="6">
        <f>IF($J1093="","",IF($J1093&lt;=1500,N(INDEX('Daily Sale entry '!$AD$1:$AD$1501,$J1093+1)),0))</f>
        <v/>
      </c>
      <c r="H1093" s="6">
        <f>IF($J1093="","",ROUND('Opening Balance'!$B$4+SUM($F$2:F1093)-SUM($G$2:G1093),2))</f>
        <v/>
      </c>
      <c r="J1093" s="21">
        <f>IFERROR(MATCH(ROW()-1,$L$2:$L$3001,0),"")</f>
        <v/>
      </c>
      <c r="K1093" s="34">
        <f>IF(AND('Daily Sale entry '!X1093&lt;&gt;"",OR('Daily Sale entry '!AC1093&lt;&gt;"",'Daily Sale entry '!AD1093&lt;&gt;"")),'Daily Sale entry '!X1093+ROW()/10000000,"")</f>
        <v/>
      </c>
      <c r="L1093" s="21">
        <f>IF(K1093="","",COUNTIF($K$2:$K$3001,"&lt;"&amp;K1093)+1)</f>
        <v/>
      </c>
    </row>
    <row r="1094">
      <c r="A1094" s="5">
        <f>IF($J1094="","",IF($J1094&lt;=1500,INDEX('Daily Sale entry '!$X$1:$X$1501,$J1094+1),INDEX('Daily Sale entry '!$V$1:$V$1501,$J1094-1499)))</f>
        <v/>
      </c>
      <c r="B1094">
        <f>IF($J1094="","",IF($J1094&lt;=1500,INDEX('Daily Sale entry '!$Y$1:$Y$1501,$J1094+1)&amp;"","Buyer cheque banked 买家支票存入"&amp;IF(INDEX('Daily Sale entry '!$U$1:$U$1501,$J1094-1499)="","", " - "&amp;INDEX('Daily Sale entry '!$U$1:$U$1501,$J1094-1499))))</f>
        <v/>
      </c>
      <c r="C1094">
        <f>IF($J1094="","",IF($J1094&lt;=1500,INDEX('Daily Sale entry '!$Z$1:$Z$1501,$J1094+1)&amp;"","Cheque deposit 支票存入 (buyer 买家)"))</f>
        <v/>
      </c>
      <c r="D1094">
        <f>IF($J1094="","",IF($J1094&lt;=1500,INDEX('Daily Sale entry '!$AA$1:$AA$1501,$J1094+1)&amp;"",INDEX('Daily Sale entry '!$P$1:$P$1501,$J1094-1499)&amp;""))</f>
        <v/>
      </c>
      <c r="E1094">
        <f>IF($J1094="","",IF($J1094&lt;=1500,IF(N(INDEX('Daily Sale entry '!$AB$1:$AB$1501,$J1094+1))=0,"",INDEX('Daily Sale entry '!$AB$1:$AB$1501,$J1094+1)),1))</f>
        <v/>
      </c>
      <c r="F1094" s="6">
        <f>IF($J1094="","",IF($J1094&lt;=1500,N(INDEX('Daily Sale entry '!$AC$1:$AC$1501,$J1094+1))-IF(AND('Opening Balance'!$B$15=1,INDEX('Daily Sale entry '!$Z$1:$Z$1501,$J1094+1)="Online collection 网上收款",INDEX('Daily Sale entry '!$AA$1:$AA$1501,$J1094+1)&lt;&gt;""),N(INDEX('Daily Sale entry '!$AC$1:$AC$1501,$J1094+1))-TRUNC(N(INDEX('Daily Sale entry '!$AC$1:$AC$1501,$J1094+1))),0),N(INDEX('Daily Sale entry '!$S$1:$S$1501,$J1094-1499))-'Opening Balance'!$B$15*(N(INDEX('Daily Sale entry '!$S$1:$S$1501,$J1094-1499))-TRUNC(N(INDEX('Daily Sale entry '!$S$1:$S$1501,$J1094-1499))))))</f>
        <v/>
      </c>
      <c r="G1094" s="6">
        <f>IF($J1094="","",IF($J1094&lt;=1500,N(INDEX('Daily Sale entry '!$AD$1:$AD$1501,$J1094+1)),0))</f>
        <v/>
      </c>
      <c r="H1094" s="6">
        <f>IF($J1094="","",ROUND('Opening Balance'!$B$4+SUM($F$2:F1094)-SUM($G$2:G1094),2))</f>
        <v/>
      </c>
      <c r="J1094" s="21">
        <f>IFERROR(MATCH(ROW()-1,$L$2:$L$3001,0),"")</f>
        <v/>
      </c>
      <c r="K1094" s="34">
        <f>IF(AND('Daily Sale entry '!X1094&lt;&gt;"",OR('Daily Sale entry '!AC1094&lt;&gt;"",'Daily Sale entry '!AD1094&lt;&gt;"")),'Daily Sale entry '!X1094+ROW()/10000000,"")</f>
        <v/>
      </c>
      <c r="L1094" s="21">
        <f>IF(K1094="","",COUNTIF($K$2:$K$3001,"&lt;"&amp;K1094)+1)</f>
        <v/>
      </c>
    </row>
    <row r="1095">
      <c r="A1095" s="5">
        <f>IF($J1095="","",IF($J1095&lt;=1500,INDEX('Daily Sale entry '!$X$1:$X$1501,$J1095+1),INDEX('Daily Sale entry '!$V$1:$V$1501,$J1095-1499)))</f>
        <v/>
      </c>
      <c r="B1095">
        <f>IF($J1095="","",IF($J1095&lt;=1500,INDEX('Daily Sale entry '!$Y$1:$Y$1501,$J1095+1)&amp;"","Buyer cheque banked 买家支票存入"&amp;IF(INDEX('Daily Sale entry '!$U$1:$U$1501,$J1095-1499)="","", " - "&amp;INDEX('Daily Sale entry '!$U$1:$U$1501,$J1095-1499))))</f>
        <v/>
      </c>
      <c r="C1095">
        <f>IF($J1095="","",IF($J1095&lt;=1500,INDEX('Daily Sale entry '!$Z$1:$Z$1501,$J1095+1)&amp;"","Cheque deposit 支票存入 (buyer 买家)"))</f>
        <v/>
      </c>
      <c r="D1095">
        <f>IF($J1095="","",IF($J1095&lt;=1500,INDEX('Daily Sale entry '!$AA$1:$AA$1501,$J1095+1)&amp;"",INDEX('Daily Sale entry '!$P$1:$P$1501,$J1095-1499)&amp;""))</f>
        <v/>
      </c>
      <c r="E1095">
        <f>IF($J1095="","",IF($J1095&lt;=1500,IF(N(INDEX('Daily Sale entry '!$AB$1:$AB$1501,$J1095+1))=0,"",INDEX('Daily Sale entry '!$AB$1:$AB$1501,$J1095+1)),1))</f>
        <v/>
      </c>
      <c r="F1095" s="6">
        <f>IF($J1095="","",IF($J1095&lt;=1500,N(INDEX('Daily Sale entry '!$AC$1:$AC$1501,$J1095+1))-IF(AND('Opening Balance'!$B$15=1,INDEX('Daily Sale entry '!$Z$1:$Z$1501,$J1095+1)="Online collection 网上收款",INDEX('Daily Sale entry '!$AA$1:$AA$1501,$J1095+1)&lt;&gt;""),N(INDEX('Daily Sale entry '!$AC$1:$AC$1501,$J1095+1))-TRUNC(N(INDEX('Daily Sale entry '!$AC$1:$AC$1501,$J1095+1))),0),N(INDEX('Daily Sale entry '!$S$1:$S$1501,$J1095-1499))-'Opening Balance'!$B$15*(N(INDEX('Daily Sale entry '!$S$1:$S$1501,$J1095-1499))-TRUNC(N(INDEX('Daily Sale entry '!$S$1:$S$1501,$J1095-1499))))))</f>
        <v/>
      </c>
      <c r="G1095" s="6">
        <f>IF($J1095="","",IF($J1095&lt;=1500,N(INDEX('Daily Sale entry '!$AD$1:$AD$1501,$J1095+1)),0))</f>
        <v/>
      </c>
      <c r="H1095" s="6">
        <f>IF($J1095="","",ROUND('Opening Balance'!$B$4+SUM($F$2:F1095)-SUM($G$2:G1095),2))</f>
        <v/>
      </c>
      <c r="J1095" s="21">
        <f>IFERROR(MATCH(ROW()-1,$L$2:$L$3001,0),"")</f>
        <v/>
      </c>
      <c r="K1095" s="34">
        <f>IF(AND('Daily Sale entry '!X1095&lt;&gt;"",OR('Daily Sale entry '!AC1095&lt;&gt;"",'Daily Sale entry '!AD1095&lt;&gt;"")),'Daily Sale entry '!X1095+ROW()/10000000,"")</f>
        <v/>
      </c>
      <c r="L1095" s="21">
        <f>IF(K1095="","",COUNTIF($K$2:$K$3001,"&lt;"&amp;K1095)+1)</f>
        <v/>
      </c>
    </row>
    <row r="1096">
      <c r="A1096" s="5">
        <f>IF($J1096="","",IF($J1096&lt;=1500,INDEX('Daily Sale entry '!$X$1:$X$1501,$J1096+1),INDEX('Daily Sale entry '!$V$1:$V$1501,$J1096-1499)))</f>
        <v/>
      </c>
      <c r="B1096">
        <f>IF($J1096="","",IF($J1096&lt;=1500,INDEX('Daily Sale entry '!$Y$1:$Y$1501,$J1096+1)&amp;"","Buyer cheque banked 买家支票存入"&amp;IF(INDEX('Daily Sale entry '!$U$1:$U$1501,$J1096-1499)="","", " - "&amp;INDEX('Daily Sale entry '!$U$1:$U$1501,$J1096-1499))))</f>
        <v/>
      </c>
      <c r="C1096">
        <f>IF($J1096="","",IF($J1096&lt;=1500,INDEX('Daily Sale entry '!$Z$1:$Z$1501,$J1096+1)&amp;"","Cheque deposit 支票存入 (buyer 买家)"))</f>
        <v/>
      </c>
      <c r="D1096">
        <f>IF($J1096="","",IF($J1096&lt;=1500,INDEX('Daily Sale entry '!$AA$1:$AA$1501,$J1096+1)&amp;"",INDEX('Daily Sale entry '!$P$1:$P$1501,$J1096-1499)&amp;""))</f>
        <v/>
      </c>
      <c r="E1096">
        <f>IF($J1096="","",IF($J1096&lt;=1500,IF(N(INDEX('Daily Sale entry '!$AB$1:$AB$1501,$J1096+1))=0,"",INDEX('Daily Sale entry '!$AB$1:$AB$1501,$J1096+1)),1))</f>
        <v/>
      </c>
      <c r="F1096" s="6">
        <f>IF($J1096="","",IF($J1096&lt;=1500,N(INDEX('Daily Sale entry '!$AC$1:$AC$1501,$J1096+1))-IF(AND('Opening Balance'!$B$15=1,INDEX('Daily Sale entry '!$Z$1:$Z$1501,$J1096+1)="Online collection 网上收款",INDEX('Daily Sale entry '!$AA$1:$AA$1501,$J1096+1)&lt;&gt;""),N(INDEX('Daily Sale entry '!$AC$1:$AC$1501,$J1096+1))-TRUNC(N(INDEX('Daily Sale entry '!$AC$1:$AC$1501,$J1096+1))),0),N(INDEX('Daily Sale entry '!$S$1:$S$1501,$J1096-1499))-'Opening Balance'!$B$15*(N(INDEX('Daily Sale entry '!$S$1:$S$1501,$J1096-1499))-TRUNC(N(INDEX('Daily Sale entry '!$S$1:$S$1501,$J1096-1499))))))</f>
        <v/>
      </c>
      <c r="G1096" s="6">
        <f>IF($J1096="","",IF($J1096&lt;=1500,N(INDEX('Daily Sale entry '!$AD$1:$AD$1501,$J1096+1)),0))</f>
        <v/>
      </c>
      <c r="H1096" s="6">
        <f>IF($J1096="","",ROUND('Opening Balance'!$B$4+SUM($F$2:F1096)-SUM($G$2:G1096),2))</f>
        <v/>
      </c>
      <c r="J1096" s="21">
        <f>IFERROR(MATCH(ROW()-1,$L$2:$L$3001,0),"")</f>
        <v/>
      </c>
      <c r="K1096" s="34">
        <f>IF(AND('Daily Sale entry '!X1096&lt;&gt;"",OR('Daily Sale entry '!AC1096&lt;&gt;"",'Daily Sale entry '!AD1096&lt;&gt;"")),'Daily Sale entry '!X1096+ROW()/10000000,"")</f>
        <v/>
      </c>
      <c r="L1096" s="21">
        <f>IF(K1096="","",COUNTIF($K$2:$K$3001,"&lt;"&amp;K1096)+1)</f>
        <v/>
      </c>
    </row>
    <row r="1097">
      <c r="A1097" s="5">
        <f>IF($J1097="","",IF($J1097&lt;=1500,INDEX('Daily Sale entry '!$X$1:$X$1501,$J1097+1),INDEX('Daily Sale entry '!$V$1:$V$1501,$J1097-1499)))</f>
        <v/>
      </c>
      <c r="B1097">
        <f>IF($J1097="","",IF($J1097&lt;=1500,INDEX('Daily Sale entry '!$Y$1:$Y$1501,$J1097+1)&amp;"","Buyer cheque banked 买家支票存入"&amp;IF(INDEX('Daily Sale entry '!$U$1:$U$1501,$J1097-1499)="","", " - "&amp;INDEX('Daily Sale entry '!$U$1:$U$1501,$J1097-1499))))</f>
        <v/>
      </c>
      <c r="C1097">
        <f>IF($J1097="","",IF($J1097&lt;=1500,INDEX('Daily Sale entry '!$Z$1:$Z$1501,$J1097+1)&amp;"","Cheque deposit 支票存入 (buyer 买家)"))</f>
        <v/>
      </c>
      <c r="D1097">
        <f>IF($J1097="","",IF($J1097&lt;=1500,INDEX('Daily Sale entry '!$AA$1:$AA$1501,$J1097+1)&amp;"",INDEX('Daily Sale entry '!$P$1:$P$1501,$J1097-1499)&amp;""))</f>
        <v/>
      </c>
      <c r="E1097">
        <f>IF($J1097="","",IF($J1097&lt;=1500,IF(N(INDEX('Daily Sale entry '!$AB$1:$AB$1501,$J1097+1))=0,"",INDEX('Daily Sale entry '!$AB$1:$AB$1501,$J1097+1)),1))</f>
        <v/>
      </c>
      <c r="F1097" s="6">
        <f>IF($J1097="","",IF($J1097&lt;=1500,N(INDEX('Daily Sale entry '!$AC$1:$AC$1501,$J1097+1))-IF(AND('Opening Balance'!$B$15=1,INDEX('Daily Sale entry '!$Z$1:$Z$1501,$J1097+1)="Online collection 网上收款",INDEX('Daily Sale entry '!$AA$1:$AA$1501,$J1097+1)&lt;&gt;""),N(INDEX('Daily Sale entry '!$AC$1:$AC$1501,$J1097+1))-TRUNC(N(INDEX('Daily Sale entry '!$AC$1:$AC$1501,$J1097+1))),0),N(INDEX('Daily Sale entry '!$S$1:$S$1501,$J1097-1499))-'Opening Balance'!$B$15*(N(INDEX('Daily Sale entry '!$S$1:$S$1501,$J1097-1499))-TRUNC(N(INDEX('Daily Sale entry '!$S$1:$S$1501,$J1097-1499))))))</f>
        <v/>
      </c>
      <c r="G1097" s="6">
        <f>IF($J1097="","",IF($J1097&lt;=1500,N(INDEX('Daily Sale entry '!$AD$1:$AD$1501,$J1097+1)),0))</f>
        <v/>
      </c>
      <c r="H1097" s="6">
        <f>IF($J1097="","",ROUND('Opening Balance'!$B$4+SUM($F$2:F1097)-SUM($G$2:G1097),2))</f>
        <v/>
      </c>
      <c r="J1097" s="21">
        <f>IFERROR(MATCH(ROW()-1,$L$2:$L$3001,0),"")</f>
        <v/>
      </c>
      <c r="K1097" s="34">
        <f>IF(AND('Daily Sale entry '!X1097&lt;&gt;"",OR('Daily Sale entry '!AC1097&lt;&gt;"",'Daily Sale entry '!AD1097&lt;&gt;"")),'Daily Sale entry '!X1097+ROW()/10000000,"")</f>
        <v/>
      </c>
      <c r="L1097" s="21">
        <f>IF(K1097="","",COUNTIF($K$2:$K$3001,"&lt;"&amp;K1097)+1)</f>
        <v/>
      </c>
    </row>
    <row r="1098">
      <c r="A1098" s="5">
        <f>IF($J1098="","",IF($J1098&lt;=1500,INDEX('Daily Sale entry '!$X$1:$X$1501,$J1098+1),INDEX('Daily Sale entry '!$V$1:$V$1501,$J1098-1499)))</f>
        <v/>
      </c>
      <c r="B1098">
        <f>IF($J1098="","",IF($J1098&lt;=1500,INDEX('Daily Sale entry '!$Y$1:$Y$1501,$J1098+1)&amp;"","Buyer cheque banked 买家支票存入"&amp;IF(INDEX('Daily Sale entry '!$U$1:$U$1501,$J1098-1499)="","", " - "&amp;INDEX('Daily Sale entry '!$U$1:$U$1501,$J1098-1499))))</f>
        <v/>
      </c>
      <c r="C1098">
        <f>IF($J1098="","",IF($J1098&lt;=1500,INDEX('Daily Sale entry '!$Z$1:$Z$1501,$J1098+1)&amp;"","Cheque deposit 支票存入 (buyer 买家)"))</f>
        <v/>
      </c>
      <c r="D1098">
        <f>IF($J1098="","",IF($J1098&lt;=1500,INDEX('Daily Sale entry '!$AA$1:$AA$1501,$J1098+1)&amp;"",INDEX('Daily Sale entry '!$P$1:$P$1501,$J1098-1499)&amp;""))</f>
        <v/>
      </c>
      <c r="E1098">
        <f>IF($J1098="","",IF($J1098&lt;=1500,IF(N(INDEX('Daily Sale entry '!$AB$1:$AB$1501,$J1098+1))=0,"",INDEX('Daily Sale entry '!$AB$1:$AB$1501,$J1098+1)),1))</f>
        <v/>
      </c>
      <c r="F1098" s="6">
        <f>IF($J1098="","",IF($J1098&lt;=1500,N(INDEX('Daily Sale entry '!$AC$1:$AC$1501,$J1098+1))-IF(AND('Opening Balance'!$B$15=1,INDEX('Daily Sale entry '!$Z$1:$Z$1501,$J1098+1)="Online collection 网上收款",INDEX('Daily Sale entry '!$AA$1:$AA$1501,$J1098+1)&lt;&gt;""),N(INDEX('Daily Sale entry '!$AC$1:$AC$1501,$J1098+1))-TRUNC(N(INDEX('Daily Sale entry '!$AC$1:$AC$1501,$J1098+1))),0),N(INDEX('Daily Sale entry '!$S$1:$S$1501,$J1098-1499))-'Opening Balance'!$B$15*(N(INDEX('Daily Sale entry '!$S$1:$S$1501,$J1098-1499))-TRUNC(N(INDEX('Daily Sale entry '!$S$1:$S$1501,$J1098-1499))))))</f>
        <v/>
      </c>
      <c r="G1098" s="6">
        <f>IF($J1098="","",IF($J1098&lt;=1500,N(INDEX('Daily Sale entry '!$AD$1:$AD$1501,$J1098+1)),0))</f>
        <v/>
      </c>
      <c r="H1098" s="6">
        <f>IF($J1098="","",ROUND('Opening Balance'!$B$4+SUM($F$2:F1098)-SUM($G$2:G1098),2))</f>
        <v/>
      </c>
      <c r="J1098" s="21">
        <f>IFERROR(MATCH(ROW()-1,$L$2:$L$3001,0),"")</f>
        <v/>
      </c>
      <c r="K1098" s="34">
        <f>IF(AND('Daily Sale entry '!X1098&lt;&gt;"",OR('Daily Sale entry '!AC1098&lt;&gt;"",'Daily Sale entry '!AD1098&lt;&gt;"")),'Daily Sale entry '!X1098+ROW()/10000000,"")</f>
        <v/>
      </c>
      <c r="L1098" s="21">
        <f>IF(K1098="","",COUNTIF($K$2:$K$3001,"&lt;"&amp;K1098)+1)</f>
        <v/>
      </c>
    </row>
    <row r="1099">
      <c r="A1099" s="5">
        <f>IF($J1099="","",IF($J1099&lt;=1500,INDEX('Daily Sale entry '!$X$1:$X$1501,$J1099+1),INDEX('Daily Sale entry '!$V$1:$V$1501,$J1099-1499)))</f>
        <v/>
      </c>
      <c r="B1099">
        <f>IF($J1099="","",IF($J1099&lt;=1500,INDEX('Daily Sale entry '!$Y$1:$Y$1501,$J1099+1)&amp;"","Buyer cheque banked 买家支票存入"&amp;IF(INDEX('Daily Sale entry '!$U$1:$U$1501,$J1099-1499)="","", " - "&amp;INDEX('Daily Sale entry '!$U$1:$U$1501,$J1099-1499))))</f>
        <v/>
      </c>
      <c r="C1099">
        <f>IF($J1099="","",IF($J1099&lt;=1500,INDEX('Daily Sale entry '!$Z$1:$Z$1501,$J1099+1)&amp;"","Cheque deposit 支票存入 (buyer 买家)"))</f>
        <v/>
      </c>
      <c r="D1099">
        <f>IF($J1099="","",IF($J1099&lt;=1500,INDEX('Daily Sale entry '!$AA$1:$AA$1501,$J1099+1)&amp;"",INDEX('Daily Sale entry '!$P$1:$P$1501,$J1099-1499)&amp;""))</f>
        <v/>
      </c>
      <c r="E1099">
        <f>IF($J1099="","",IF($J1099&lt;=1500,IF(N(INDEX('Daily Sale entry '!$AB$1:$AB$1501,$J1099+1))=0,"",INDEX('Daily Sale entry '!$AB$1:$AB$1501,$J1099+1)),1))</f>
        <v/>
      </c>
      <c r="F1099" s="6">
        <f>IF($J1099="","",IF($J1099&lt;=1500,N(INDEX('Daily Sale entry '!$AC$1:$AC$1501,$J1099+1))-IF(AND('Opening Balance'!$B$15=1,INDEX('Daily Sale entry '!$Z$1:$Z$1501,$J1099+1)="Online collection 网上收款",INDEX('Daily Sale entry '!$AA$1:$AA$1501,$J1099+1)&lt;&gt;""),N(INDEX('Daily Sale entry '!$AC$1:$AC$1501,$J1099+1))-TRUNC(N(INDEX('Daily Sale entry '!$AC$1:$AC$1501,$J1099+1))),0),N(INDEX('Daily Sale entry '!$S$1:$S$1501,$J1099-1499))-'Opening Balance'!$B$15*(N(INDEX('Daily Sale entry '!$S$1:$S$1501,$J1099-1499))-TRUNC(N(INDEX('Daily Sale entry '!$S$1:$S$1501,$J1099-1499))))))</f>
        <v/>
      </c>
      <c r="G1099" s="6">
        <f>IF($J1099="","",IF($J1099&lt;=1500,N(INDEX('Daily Sale entry '!$AD$1:$AD$1501,$J1099+1)),0))</f>
        <v/>
      </c>
      <c r="H1099" s="6">
        <f>IF($J1099="","",ROUND('Opening Balance'!$B$4+SUM($F$2:F1099)-SUM($G$2:G1099),2))</f>
        <v/>
      </c>
      <c r="J1099" s="21">
        <f>IFERROR(MATCH(ROW()-1,$L$2:$L$3001,0),"")</f>
        <v/>
      </c>
      <c r="K1099" s="34">
        <f>IF(AND('Daily Sale entry '!X1099&lt;&gt;"",OR('Daily Sale entry '!AC1099&lt;&gt;"",'Daily Sale entry '!AD1099&lt;&gt;"")),'Daily Sale entry '!X1099+ROW()/10000000,"")</f>
        <v/>
      </c>
      <c r="L1099" s="21">
        <f>IF(K1099="","",COUNTIF($K$2:$K$3001,"&lt;"&amp;K1099)+1)</f>
        <v/>
      </c>
    </row>
    <row r="1100">
      <c r="A1100" s="5">
        <f>IF($J1100="","",IF($J1100&lt;=1500,INDEX('Daily Sale entry '!$X$1:$X$1501,$J1100+1),INDEX('Daily Sale entry '!$V$1:$V$1501,$J1100-1499)))</f>
        <v/>
      </c>
      <c r="B1100">
        <f>IF($J1100="","",IF($J1100&lt;=1500,INDEX('Daily Sale entry '!$Y$1:$Y$1501,$J1100+1)&amp;"","Buyer cheque banked 买家支票存入"&amp;IF(INDEX('Daily Sale entry '!$U$1:$U$1501,$J1100-1499)="","", " - "&amp;INDEX('Daily Sale entry '!$U$1:$U$1501,$J1100-1499))))</f>
        <v/>
      </c>
      <c r="C1100">
        <f>IF($J1100="","",IF($J1100&lt;=1500,INDEX('Daily Sale entry '!$Z$1:$Z$1501,$J1100+1)&amp;"","Cheque deposit 支票存入 (buyer 买家)"))</f>
        <v/>
      </c>
      <c r="D1100">
        <f>IF($J1100="","",IF($J1100&lt;=1500,INDEX('Daily Sale entry '!$AA$1:$AA$1501,$J1100+1)&amp;"",INDEX('Daily Sale entry '!$P$1:$P$1501,$J1100-1499)&amp;""))</f>
        <v/>
      </c>
      <c r="E1100">
        <f>IF($J1100="","",IF($J1100&lt;=1500,IF(N(INDEX('Daily Sale entry '!$AB$1:$AB$1501,$J1100+1))=0,"",INDEX('Daily Sale entry '!$AB$1:$AB$1501,$J1100+1)),1))</f>
        <v/>
      </c>
      <c r="F1100" s="6">
        <f>IF($J1100="","",IF($J1100&lt;=1500,N(INDEX('Daily Sale entry '!$AC$1:$AC$1501,$J1100+1))-IF(AND('Opening Balance'!$B$15=1,INDEX('Daily Sale entry '!$Z$1:$Z$1501,$J1100+1)="Online collection 网上收款",INDEX('Daily Sale entry '!$AA$1:$AA$1501,$J1100+1)&lt;&gt;""),N(INDEX('Daily Sale entry '!$AC$1:$AC$1501,$J1100+1))-TRUNC(N(INDEX('Daily Sale entry '!$AC$1:$AC$1501,$J1100+1))),0),N(INDEX('Daily Sale entry '!$S$1:$S$1501,$J1100-1499))-'Opening Balance'!$B$15*(N(INDEX('Daily Sale entry '!$S$1:$S$1501,$J1100-1499))-TRUNC(N(INDEX('Daily Sale entry '!$S$1:$S$1501,$J1100-1499))))))</f>
        <v/>
      </c>
      <c r="G1100" s="6">
        <f>IF($J1100="","",IF($J1100&lt;=1500,N(INDEX('Daily Sale entry '!$AD$1:$AD$1501,$J1100+1)),0))</f>
        <v/>
      </c>
      <c r="H1100" s="6">
        <f>IF($J1100="","",ROUND('Opening Balance'!$B$4+SUM($F$2:F1100)-SUM($G$2:G1100),2))</f>
        <v/>
      </c>
      <c r="J1100" s="21">
        <f>IFERROR(MATCH(ROW()-1,$L$2:$L$3001,0),"")</f>
        <v/>
      </c>
      <c r="K1100" s="34">
        <f>IF(AND('Daily Sale entry '!X1100&lt;&gt;"",OR('Daily Sale entry '!AC1100&lt;&gt;"",'Daily Sale entry '!AD1100&lt;&gt;"")),'Daily Sale entry '!X1100+ROW()/10000000,"")</f>
        <v/>
      </c>
      <c r="L1100" s="21">
        <f>IF(K1100="","",COUNTIF($K$2:$K$3001,"&lt;"&amp;K1100)+1)</f>
        <v/>
      </c>
    </row>
    <row r="1101">
      <c r="A1101" s="5">
        <f>IF($J1101="","",IF($J1101&lt;=1500,INDEX('Daily Sale entry '!$X$1:$X$1501,$J1101+1),INDEX('Daily Sale entry '!$V$1:$V$1501,$J1101-1499)))</f>
        <v/>
      </c>
      <c r="B1101">
        <f>IF($J1101="","",IF($J1101&lt;=1500,INDEX('Daily Sale entry '!$Y$1:$Y$1501,$J1101+1)&amp;"","Buyer cheque banked 买家支票存入"&amp;IF(INDEX('Daily Sale entry '!$U$1:$U$1501,$J1101-1499)="","", " - "&amp;INDEX('Daily Sale entry '!$U$1:$U$1501,$J1101-1499))))</f>
        <v/>
      </c>
      <c r="C1101">
        <f>IF($J1101="","",IF($J1101&lt;=1500,INDEX('Daily Sale entry '!$Z$1:$Z$1501,$J1101+1)&amp;"","Cheque deposit 支票存入 (buyer 买家)"))</f>
        <v/>
      </c>
      <c r="D1101">
        <f>IF($J1101="","",IF($J1101&lt;=1500,INDEX('Daily Sale entry '!$AA$1:$AA$1501,$J1101+1)&amp;"",INDEX('Daily Sale entry '!$P$1:$P$1501,$J1101-1499)&amp;""))</f>
        <v/>
      </c>
      <c r="E1101">
        <f>IF($J1101="","",IF($J1101&lt;=1500,IF(N(INDEX('Daily Sale entry '!$AB$1:$AB$1501,$J1101+1))=0,"",INDEX('Daily Sale entry '!$AB$1:$AB$1501,$J1101+1)),1))</f>
        <v/>
      </c>
      <c r="F1101" s="6">
        <f>IF($J1101="","",IF($J1101&lt;=1500,N(INDEX('Daily Sale entry '!$AC$1:$AC$1501,$J1101+1))-IF(AND('Opening Balance'!$B$15=1,INDEX('Daily Sale entry '!$Z$1:$Z$1501,$J1101+1)="Online collection 网上收款",INDEX('Daily Sale entry '!$AA$1:$AA$1501,$J1101+1)&lt;&gt;""),N(INDEX('Daily Sale entry '!$AC$1:$AC$1501,$J1101+1))-TRUNC(N(INDEX('Daily Sale entry '!$AC$1:$AC$1501,$J1101+1))),0),N(INDEX('Daily Sale entry '!$S$1:$S$1501,$J1101-1499))-'Opening Balance'!$B$15*(N(INDEX('Daily Sale entry '!$S$1:$S$1501,$J1101-1499))-TRUNC(N(INDEX('Daily Sale entry '!$S$1:$S$1501,$J1101-1499))))))</f>
        <v/>
      </c>
      <c r="G1101" s="6">
        <f>IF($J1101="","",IF($J1101&lt;=1500,N(INDEX('Daily Sale entry '!$AD$1:$AD$1501,$J1101+1)),0))</f>
        <v/>
      </c>
      <c r="H1101" s="6">
        <f>IF($J1101="","",ROUND('Opening Balance'!$B$4+SUM($F$2:F1101)-SUM($G$2:G1101),2))</f>
        <v/>
      </c>
      <c r="J1101" s="21">
        <f>IFERROR(MATCH(ROW()-1,$L$2:$L$3001,0),"")</f>
        <v/>
      </c>
      <c r="K1101" s="34">
        <f>IF(AND('Daily Sale entry '!X1101&lt;&gt;"",OR('Daily Sale entry '!AC1101&lt;&gt;"",'Daily Sale entry '!AD1101&lt;&gt;"")),'Daily Sale entry '!X1101+ROW()/10000000,"")</f>
        <v/>
      </c>
      <c r="L1101" s="21">
        <f>IF(K1101="","",COUNTIF($K$2:$K$3001,"&lt;"&amp;K1101)+1)</f>
        <v/>
      </c>
    </row>
    <row r="1102">
      <c r="A1102" s="5">
        <f>IF($J1102="","",IF($J1102&lt;=1500,INDEX('Daily Sale entry '!$X$1:$X$1501,$J1102+1),INDEX('Daily Sale entry '!$V$1:$V$1501,$J1102-1499)))</f>
        <v/>
      </c>
      <c r="B1102">
        <f>IF($J1102="","",IF($J1102&lt;=1500,INDEX('Daily Sale entry '!$Y$1:$Y$1501,$J1102+1)&amp;"","Buyer cheque banked 买家支票存入"&amp;IF(INDEX('Daily Sale entry '!$U$1:$U$1501,$J1102-1499)="","", " - "&amp;INDEX('Daily Sale entry '!$U$1:$U$1501,$J1102-1499))))</f>
        <v/>
      </c>
      <c r="C1102">
        <f>IF($J1102="","",IF($J1102&lt;=1500,INDEX('Daily Sale entry '!$Z$1:$Z$1501,$J1102+1)&amp;"","Cheque deposit 支票存入 (buyer 买家)"))</f>
        <v/>
      </c>
      <c r="D1102">
        <f>IF($J1102="","",IF($J1102&lt;=1500,INDEX('Daily Sale entry '!$AA$1:$AA$1501,$J1102+1)&amp;"",INDEX('Daily Sale entry '!$P$1:$P$1501,$J1102-1499)&amp;""))</f>
        <v/>
      </c>
      <c r="E1102">
        <f>IF($J1102="","",IF($J1102&lt;=1500,IF(N(INDEX('Daily Sale entry '!$AB$1:$AB$1501,$J1102+1))=0,"",INDEX('Daily Sale entry '!$AB$1:$AB$1501,$J1102+1)),1))</f>
        <v/>
      </c>
      <c r="F1102" s="6">
        <f>IF($J1102="","",IF($J1102&lt;=1500,N(INDEX('Daily Sale entry '!$AC$1:$AC$1501,$J1102+1))-IF(AND('Opening Balance'!$B$15=1,INDEX('Daily Sale entry '!$Z$1:$Z$1501,$J1102+1)="Online collection 网上收款",INDEX('Daily Sale entry '!$AA$1:$AA$1501,$J1102+1)&lt;&gt;""),N(INDEX('Daily Sale entry '!$AC$1:$AC$1501,$J1102+1))-TRUNC(N(INDEX('Daily Sale entry '!$AC$1:$AC$1501,$J1102+1))),0),N(INDEX('Daily Sale entry '!$S$1:$S$1501,$J1102-1499))-'Opening Balance'!$B$15*(N(INDEX('Daily Sale entry '!$S$1:$S$1501,$J1102-1499))-TRUNC(N(INDEX('Daily Sale entry '!$S$1:$S$1501,$J1102-1499))))))</f>
        <v/>
      </c>
      <c r="G1102" s="6">
        <f>IF($J1102="","",IF($J1102&lt;=1500,N(INDEX('Daily Sale entry '!$AD$1:$AD$1501,$J1102+1)),0))</f>
        <v/>
      </c>
      <c r="H1102" s="6">
        <f>IF($J1102="","",ROUND('Opening Balance'!$B$4+SUM($F$2:F1102)-SUM($G$2:G1102),2))</f>
        <v/>
      </c>
      <c r="J1102" s="21">
        <f>IFERROR(MATCH(ROW()-1,$L$2:$L$3001,0),"")</f>
        <v/>
      </c>
      <c r="K1102" s="34">
        <f>IF(AND('Daily Sale entry '!X1102&lt;&gt;"",OR('Daily Sale entry '!AC1102&lt;&gt;"",'Daily Sale entry '!AD1102&lt;&gt;"")),'Daily Sale entry '!X1102+ROW()/10000000,"")</f>
        <v/>
      </c>
      <c r="L1102" s="21">
        <f>IF(K1102="","",COUNTIF($K$2:$K$3001,"&lt;"&amp;K1102)+1)</f>
        <v/>
      </c>
    </row>
    <row r="1103">
      <c r="A1103" s="5">
        <f>IF($J1103="","",IF($J1103&lt;=1500,INDEX('Daily Sale entry '!$X$1:$X$1501,$J1103+1),INDEX('Daily Sale entry '!$V$1:$V$1501,$J1103-1499)))</f>
        <v/>
      </c>
      <c r="B1103">
        <f>IF($J1103="","",IF($J1103&lt;=1500,INDEX('Daily Sale entry '!$Y$1:$Y$1501,$J1103+1)&amp;"","Buyer cheque banked 买家支票存入"&amp;IF(INDEX('Daily Sale entry '!$U$1:$U$1501,$J1103-1499)="","", " - "&amp;INDEX('Daily Sale entry '!$U$1:$U$1501,$J1103-1499))))</f>
        <v/>
      </c>
      <c r="C1103">
        <f>IF($J1103="","",IF($J1103&lt;=1500,INDEX('Daily Sale entry '!$Z$1:$Z$1501,$J1103+1)&amp;"","Cheque deposit 支票存入 (buyer 买家)"))</f>
        <v/>
      </c>
      <c r="D1103">
        <f>IF($J1103="","",IF($J1103&lt;=1500,INDEX('Daily Sale entry '!$AA$1:$AA$1501,$J1103+1)&amp;"",INDEX('Daily Sale entry '!$P$1:$P$1501,$J1103-1499)&amp;""))</f>
        <v/>
      </c>
      <c r="E1103">
        <f>IF($J1103="","",IF($J1103&lt;=1500,IF(N(INDEX('Daily Sale entry '!$AB$1:$AB$1501,$J1103+1))=0,"",INDEX('Daily Sale entry '!$AB$1:$AB$1501,$J1103+1)),1))</f>
        <v/>
      </c>
      <c r="F1103" s="6">
        <f>IF($J1103="","",IF($J1103&lt;=1500,N(INDEX('Daily Sale entry '!$AC$1:$AC$1501,$J1103+1))-IF(AND('Opening Balance'!$B$15=1,INDEX('Daily Sale entry '!$Z$1:$Z$1501,$J1103+1)="Online collection 网上收款",INDEX('Daily Sale entry '!$AA$1:$AA$1501,$J1103+1)&lt;&gt;""),N(INDEX('Daily Sale entry '!$AC$1:$AC$1501,$J1103+1))-TRUNC(N(INDEX('Daily Sale entry '!$AC$1:$AC$1501,$J1103+1))),0),N(INDEX('Daily Sale entry '!$S$1:$S$1501,$J1103-1499))-'Opening Balance'!$B$15*(N(INDEX('Daily Sale entry '!$S$1:$S$1501,$J1103-1499))-TRUNC(N(INDEX('Daily Sale entry '!$S$1:$S$1501,$J1103-1499))))))</f>
        <v/>
      </c>
      <c r="G1103" s="6">
        <f>IF($J1103="","",IF($J1103&lt;=1500,N(INDEX('Daily Sale entry '!$AD$1:$AD$1501,$J1103+1)),0))</f>
        <v/>
      </c>
      <c r="H1103" s="6">
        <f>IF($J1103="","",ROUND('Opening Balance'!$B$4+SUM($F$2:F1103)-SUM($G$2:G1103),2))</f>
        <v/>
      </c>
      <c r="J1103" s="21">
        <f>IFERROR(MATCH(ROW()-1,$L$2:$L$3001,0),"")</f>
        <v/>
      </c>
      <c r="K1103" s="34">
        <f>IF(AND('Daily Sale entry '!X1103&lt;&gt;"",OR('Daily Sale entry '!AC1103&lt;&gt;"",'Daily Sale entry '!AD1103&lt;&gt;"")),'Daily Sale entry '!X1103+ROW()/10000000,"")</f>
        <v/>
      </c>
      <c r="L1103" s="21">
        <f>IF(K1103="","",COUNTIF($K$2:$K$3001,"&lt;"&amp;K1103)+1)</f>
        <v/>
      </c>
    </row>
    <row r="1104">
      <c r="A1104" s="5">
        <f>IF($J1104="","",IF($J1104&lt;=1500,INDEX('Daily Sale entry '!$X$1:$X$1501,$J1104+1),INDEX('Daily Sale entry '!$V$1:$V$1501,$J1104-1499)))</f>
        <v/>
      </c>
      <c r="B1104">
        <f>IF($J1104="","",IF($J1104&lt;=1500,INDEX('Daily Sale entry '!$Y$1:$Y$1501,$J1104+1)&amp;"","Buyer cheque banked 买家支票存入"&amp;IF(INDEX('Daily Sale entry '!$U$1:$U$1501,$J1104-1499)="","", " - "&amp;INDEX('Daily Sale entry '!$U$1:$U$1501,$J1104-1499))))</f>
        <v/>
      </c>
      <c r="C1104">
        <f>IF($J1104="","",IF($J1104&lt;=1500,INDEX('Daily Sale entry '!$Z$1:$Z$1501,$J1104+1)&amp;"","Cheque deposit 支票存入 (buyer 买家)"))</f>
        <v/>
      </c>
      <c r="D1104">
        <f>IF($J1104="","",IF($J1104&lt;=1500,INDEX('Daily Sale entry '!$AA$1:$AA$1501,$J1104+1)&amp;"",INDEX('Daily Sale entry '!$P$1:$P$1501,$J1104-1499)&amp;""))</f>
        <v/>
      </c>
      <c r="E1104">
        <f>IF($J1104="","",IF($J1104&lt;=1500,IF(N(INDEX('Daily Sale entry '!$AB$1:$AB$1501,$J1104+1))=0,"",INDEX('Daily Sale entry '!$AB$1:$AB$1501,$J1104+1)),1))</f>
        <v/>
      </c>
      <c r="F1104" s="6">
        <f>IF($J1104="","",IF($J1104&lt;=1500,N(INDEX('Daily Sale entry '!$AC$1:$AC$1501,$J1104+1))-IF(AND('Opening Balance'!$B$15=1,INDEX('Daily Sale entry '!$Z$1:$Z$1501,$J1104+1)="Online collection 网上收款",INDEX('Daily Sale entry '!$AA$1:$AA$1501,$J1104+1)&lt;&gt;""),N(INDEX('Daily Sale entry '!$AC$1:$AC$1501,$J1104+1))-TRUNC(N(INDEX('Daily Sale entry '!$AC$1:$AC$1501,$J1104+1))),0),N(INDEX('Daily Sale entry '!$S$1:$S$1501,$J1104-1499))-'Opening Balance'!$B$15*(N(INDEX('Daily Sale entry '!$S$1:$S$1501,$J1104-1499))-TRUNC(N(INDEX('Daily Sale entry '!$S$1:$S$1501,$J1104-1499))))))</f>
        <v/>
      </c>
      <c r="G1104" s="6">
        <f>IF($J1104="","",IF($J1104&lt;=1500,N(INDEX('Daily Sale entry '!$AD$1:$AD$1501,$J1104+1)),0))</f>
        <v/>
      </c>
      <c r="H1104" s="6">
        <f>IF($J1104="","",ROUND('Opening Balance'!$B$4+SUM($F$2:F1104)-SUM($G$2:G1104),2))</f>
        <v/>
      </c>
      <c r="J1104" s="21">
        <f>IFERROR(MATCH(ROW()-1,$L$2:$L$3001,0),"")</f>
        <v/>
      </c>
      <c r="K1104" s="34">
        <f>IF(AND('Daily Sale entry '!X1104&lt;&gt;"",OR('Daily Sale entry '!AC1104&lt;&gt;"",'Daily Sale entry '!AD1104&lt;&gt;"")),'Daily Sale entry '!X1104+ROW()/10000000,"")</f>
        <v/>
      </c>
      <c r="L1104" s="21">
        <f>IF(K1104="","",COUNTIF($K$2:$K$3001,"&lt;"&amp;K1104)+1)</f>
        <v/>
      </c>
    </row>
    <row r="1105">
      <c r="A1105" s="5">
        <f>IF($J1105="","",IF($J1105&lt;=1500,INDEX('Daily Sale entry '!$X$1:$X$1501,$J1105+1),INDEX('Daily Sale entry '!$V$1:$V$1501,$J1105-1499)))</f>
        <v/>
      </c>
      <c r="B1105">
        <f>IF($J1105="","",IF($J1105&lt;=1500,INDEX('Daily Sale entry '!$Y$1:$Y$1501,$J1105+1)&amp;"","Buyer cheque banked 买家支票存入"&amp;IF(INDEX('Daily Sale entry '!$U$1:$U$1501,$J1105-1499)="","", " - "&amp;INDEX('Daily Sale entry '!$U$1:$U$1501,$J1105-1499))))</f>
        <v/>
      </c>
      <c r="C1105">
        <f>IF($J1105="","",IF($J1105&lt;=1500,INDEX('Daily Sale entry '!$Z$1:$Z$1501,$J1105+1)&amp;"","Cheque deposit 支票存入 (buyer 买家)"))</f>
        <v/>
      </c>
      <c r="D1105">
        <f>IF($J1105="","",IF($J1105&lt;=1500,INDEX('Daily Sale entry '!$AA$1:$AA$1501,$J1105+1)&amp;"",INDEX('Daily Sale entry '!$P$1:$P$1501,$J1105-1499)&amp;""))</f>
        <v/>
      </c>
      <c r="E1105">
        <f>IF($J1105="","",IF($J1105&lt;=1500,IF(N(INDEX('Daily Sale entry '!$AB$1:$AB$1501,$J1105+1))=0,"",INDEX('Daily Sale entry '!$AB$1:$AB$1501,$J1105+1)),1))</f>
        <v/>
      </c>
      <c r="F1105" s="6">
        <f>IF($J1105="","",IF($J1105&lt;=1500,N(INDEX('Daily Sale entry '!$AC$1:$AC$1501,$J1105+1))-IF(AND('Opening Balance'!$B$15=1,INDEX('Daily Sale entry '!$Z$1:$Z$1501,$J1105+1)="Online collection 网上收款",INDEX('Daily Sale entry '!$AA$1:$AA$1501,$J1105+1)&lt;&gt;""),N(INDEX('Daily Sale entry '!$AC$1:$AC$1501,$J1105+1))-TRUNC(N(INDEX('Daily Sale entry '!$AC$1:$AC$1501,$J1105+1))),0),N(INDEX('Daily Sale entry '!$S$1:$S$1501,$J1105-1499))-'Opening Balance'!$B$15*(N(INDEX('Daily Sale entry '!$S$1:$S$1501,$J1105-1499))-TRUNC(N(INDEX('Daily Sale entry '!$S$1:$S$1501,$J1105-1499))))))</f>
        <v/>
      </c>
      <c r="G1105" s="6">
        <f>IF($J1105="","",IF($J1105&lt;=1500,N(INDEX('Daily Sale entry '!$AD$1:$AD$1501,$J1105+1)),0))</f>
        <v/>
      </c>
      <c r="H1105" s="6">
        <f>IF($J1105="","",ROUND('Opening Balance'!$B$4+SUM($F$2:F1105)-SUM($G$2:G1105),2))</f>
        <v/>
      </c>
      <c r="J1105" s="21">
        <f>IFERROR(MATCH(ROW()-1,$L$2:$L$3001,0),"")</f>
        <v/>
      </c>
      <c r="K1105" s="34">
        <f>IF(AND('Daily Sale entry '!X1105&lt;&gt;"",OR('Daily Sale entry '!AC1105&lt;&gt;"",'Daily Sale entry '!AD1105&lt;&gt;"")),'Daily Sale entry '!X1105+ROW()/10000000,"")</f>
        <v/>
      </c>
      <c r="L1105" s="21">
        <f>IF(K1105="","",COUNTIF($K$2:$K$3001,"&lt;"&amp;K1105)+1)</f>
        <v/>
      </c>
    </row>
    <row r="1106">
      <c r="A1106" s="5">
        <f>IF($J1106="","",IF($J1106&lt;=1500,INDEX('Daily Sale entry '!$X$1:$X$1501,$J1106+1),INDEX('Daily Sale entry '!$V$1:$V$1501,$J1106-1499)))</f>
        <v/>
      </c>
      <c r="B1106">
        <f>IF($J1106="","",IF($J1106&lt;=1500,INDEX('Daily Sale entry '!$Y$1:$Y$1501,$J1106+1)&amp;"","Buyer cheque banked 买家支票存入"&amp;IF(INDEX('Daily Sale entry '!$U$1:$U$1501,$J1106-1499)="","", " - "&amp;INDEX('Daily Sale entry '!$U$1:$U$1501,$J1106-1499))))</f>
        <v/>
      </c>
      <c r="C1106">
        <f>IF($J1106="","",IF($J1106&lt;=1500,INDEX('Daily Sale entry '!$Z$1:$Z$1501,$J1106+1)&amp;"","Cheque deposit 支票存入 (buyer 买家)"))</f>
        <v/>
      </c>
      <c r="D1106">
        <f>IF($J1106="","",IF($J1106&lt;=1500,INDEX('Daily Sale entry '!$AA$1:$AA$1501,$J1106+1)&amp;"",INDEX('Daily Sale entry '!$P$1:$P$1501,$J1106-1499)&amp;""))</f>
        <v/>
      </c>
      <c r="E1106">
        <f>IF($J1106="","",IF($J1106&lt;=1500,IF(N(INDEX('Daily Sale entry '!$AB$1:$AB$1501,$J1106+1))=0,"",INDEX('Daily Sale entry '!$AB$1:$AB$1501,$J1106+1)),1))</f>
        <v/>
      </c>
      <c r="F1106" s="6">
        <f>IF($J1106="","",IF($J1106&lt;=1500,N(INDEX('Daily Sale entry '!$AC$1:$AC$1501,$J1106+1))-IF(AND('Opening Balance'!$B$15=1,INDEX('Daily Sale entry '!$Z$1:$Z$1501,$J1106+1)="Online collection 网上收款",INDEX('Daily Sale entry '!$AA$1:$AA$1501,$J1106+1)&lt;&gt;""),N(INDEX('Daily Sale entry '!$AC$1:$AC$1501,$J1106+1))-TRUNC(N(INDEX('Daily Sale entry '!$AC$1:$AC$1501,$J1106+1))),0),N(INDEX('Daily Sale entry '!$S$1:$S$1501,$J1106-1499))-'Opening Balance'!$B$15*(N(INDEX('Daily Sale entry '!$S$1:$S$1501,$J1106-1499))-TRUNC(N(INDEX('Daily Sale entry '!$S$1:$S$1501,$J1106-1499))))))</f>
        <v/>
      </c>
      <c r="G1106" s="6">
        <f>IF($J1106="","",IF($J1106&lt;=1500,N(INDEX('Daily Sale entry '!$AD$1:$AD$1501,$J1106+1)),0))</f>
        <v/>
      </c>
      <c r="H1106" s="6">
        <f>IF($J1106="","",ROUND('Opening Balance'!$B$4+SUM($F$2:F1106)-SUM($G$2:G1106),2))</f>
        <v/>
      </c>
      <c r="J1106" s="21">
        <f>IFERROR(MATCH(ROW()-1,$L$2:$L$3001,0),"")</f>
        <v/>
      </c>
      <c r="K1106" s="34">
        <f>IF(AND('Daily Sale entry '!X1106&lt;&gt;"",OR('Daily Sale entry '!AC1106&lt;&gt;"",'Daily Sale entry '!AD1106&lt;&gt;"")),'Daily Sale entry '!X1106+ROW()/10000000,"")</f>
        <v/>
      </c>
      <c r="L1106" s="21">
        <f>IF(K1106="","",COUNTIF($K$2:$K$3001,"&lt;"&amp;K1106)+1)</f>
        <v/>
      </c>
    </row>
    <row r="1107">
      <c r="A1107" s="5">
        <f>IF($J1107="","",IF($J1107&lt;=1500,INDEX('Daily Sale entry '!$X$1:$X$1501,$J1107+1),INDEX('Daily Sale entry '!$V$1:$V$1501,$J1107-1499)))</f>
        <v/>
      </c>
      <c r="B1107">
        <f>IF($J1107="","",IF($J1107&lt;=1500,INDEX('Daily Sale entry '!$Y$1:$Y$1501,$J1107+1)&amp;"","Buyer cheque banked 买家支票存入"&amp;IF(INDEX('Daily Sale entry '!$U$1:$U$1501,$J1107-1499)="","", " - "&amp;INDEX('Daily Sale entry '!$U$1:$U$1501,$J1107-1499))))</f>
        <v/>
      </c>
      <c r="C1107">
        <f>IF($J1107="","",IF($J1107&lt;=1500,INDEX('Daily Sale entry '!$Z$1:$Z$1501,$J1107+1)&amp;"","Cheque deposit 支票存入 (buyer 买家)"))</f>
        <v/>
      </c>
      <c r="D1107">
        <f>IF($J1107="","",IF($J1107&lt;=1500,INDEX('Daily Sale entry '!$AA$1:$AA$1501,$J1107+1)&amp;"",INDEX('Daily Sale entry '!$P$1:$P$1501,$J1107-1499)&amp;""))</f>
        <v/>
      </c>
      <c r="E1107">
        <f>IF($J1107="","",IF($J1107&lt;=1500,IF(N(INDEX('Daily Sale entry '!$AB$1:$AB$1501,$J1107+1))=0,"",INDEX('Daily Sale entry '!$AB$1:$AB$1501,$J1107+1)),1))</f>
        <v/>
      </c>
      <c r="F1107" s="6">
        <f>IF($J1107="","",IF($J1107&lt;=1500,N(INDEX('Daily Sale entry '!$AC$1:$AC$1501,$J1107+1))-IF(AND('Opening Balance'!$B$15=1,INDEX('Daily Sale entry '!$Z$1:$Z$1501,$J1107+1)="Online collection 网上收款",INDEX('Daily Sale entry '!$AA$1:$AA$1501,$J1107+1)&lt;&gt;""),N(INDEX('Daily Sale entry '!$AC$1:$AC$1501,$J1107+1))-TRUNC(N(INDEX('Daily Sale entry '!$AC$1:$AC$1501,$J1107+1))),0),N(INDEX('Daily Sale entry '!$S$1:$S$1501,$J1107-1499))-'Opening Balance'!$B$15*(N(INDEX('Daily Sale entry '!$S$1:$S$1501,$J1107-1499))-TRUNC(N(INDEX('Daily Sale entry '!$S$1:$S$1501,$J1107-1499))))))</f>
        <v/>
      </c>
      <c r="G1107" s="6">
        <f>IF($J1107="","",IF($J1107&lt;=1500,N(INDEX('Daily Sale entry '!$AD$1:$AD$1501,$J1107+1)),0))</f>
        <v/>
      </c>
      <c r="H1107" s="6">
        <f>IF($J1107="","",ROUND('Opening Balance'!$B$4+SUM($F$2:F1107)-SUM($G$2:G1107),2))</f>
        <v/>
      </c>
      <c r="J1107" s="21">
        <f>IFERROR(MATCH(ROW()-1,$L$2:$L$3001,0),"")</f>
        <v/>
      </c>
      <c r="K1107" s="34">
        <f>IF(AND('Daily Sale entry '!X1107&lt;&gt;"",OR('Daily Sale entry '!AC1107&lt;&gt;"",'Daily Sale entry '!AD1107&lt;&gt;"")),'Daily Sale entry '!X1107+ROW()/10000000,"")</f>
        <v/>
      </c>
      <c r="L1107" s="21">
        <f>IF(K1107="","",COUNTIF($K$2:$K$3001,"&lt;"&amp;K1107)+1)</f>
        <v/>
      </c>
    </row>
    <row r="1108">
      <c r="A1108" s="5">
        <f>IF($J1108="","",IF($J1108&lt;=1500,INDEX('Daily Sale entry '!$X$1:$X$1501,$J1108+1),INDEX('Daily Sale entry '!$V$1:$V$1501,$J1108-1499)))</f>
        <v/>
      </c>
      <c r="B1108">
        <f>IF($J1108="","",IF($J1108&lt;=1500,INDEX('Daily Sale entry '!$Y$1:$Y$1501,$J1108+1)&amp;"","Buyer cheque banked 买家支票存入"&amp;IF(INDEX('Daily Sale entry '!$U$1:$U$1501,$J1108-1499)="","", " - "&amp;INDEX('Daily Sale entry '!$U$1:$U$1501,$J1108-1499))))</f>
        <v/>
      </c>
      <c r="C1108">
        <f>IF($J1108="","",IF($J1108&lt;=1500,INDEX('Daily Sale entry '!$Z$1:$Z$1501,$J1108+1)&amp;"","Cheque deposit 支票存入 (buyer 买家)"))</f>
        <v/>
      </c>
      <c r="D1108">
        <f>IF($J1108="","",IF($J1108&lt;=1500,INDEX('Daily Sale entry '!$AA$1:$AA$1501,$J1108+1)&amp;"",INDEX('Daily Sale entry '!$P$1:$P$1501,$J1108-1499)&amp;""))</f>
        <v/>
      </c>
      <c r="E1108">
        <f>IF($J1108="","",IF($J1108&lt;=1500,IF(N(INDEX('Daily Sale entry '!$AB$1:$AB$1501,$J1108+1))=0,"",INDEX('Daily Sale entry '!$AB$1:$AB$1501,$J1108+1)),1))</f>
        <v/>
      </c>
      <c r="F1108" s="6">
        <f>IF($J1108="","",IF($J1108&lt;=1500,N(INDEX('Daily Sale entry '!$AC$1:$AC$1501,$J1108+1))-IF(AND('Opening Balance'!$B$15=1,INDEX('Daily Sale entry '!$Z$1:$Z$1501,$J1108+1)="Online collection 网上收款",INDEX('Daily Sale entry '!$AA$1:$AA$1501,$J1108+1)&lt;&gt;""),N(INDEX('Daily Sale entry '!$AC$1:$AC$1501,$J1108+1))-TRUNC(N(INDEX('Daily Sale entry '!$AC$1:$AC$1501,$J1108+1))),0),N(INDEX('Daily Sale entry '!$S$1:$S$1501,$J1108-1499))-'Opening Balance'!$B$15*(N(INDEX('Daily Sale entry '!$S$1:$S$1501,$J1108-1499))-TRUNC(N(INDEX('Daily Sale entry '!$S$1:$S$1501,$J1108-1499))))))</f>
        <v/>
      </c>
      <c r="G1108" s="6">
        <f>IF($J1108="","",IF($J1108&lt;=1500,N(INDEX('Daily Sale entry '!$AD$1:$AD$1501,$J1108+1)),0))</f>
        <v/>
      </c>
      <c r="H1108" s="6">
        <f>IF($J1108="","",ROUND('Opening Balance'!$B$4+SUM($F$2:F1108)-SUM($G$2:G1108),2))</f>
        <v/>
      </c>
      <c r="J1108" s="21">
        <f>IFERROR(MATCH(ROW()-1,$L$2:$L$3001,0),"")</f>
        <v/>
      </c>
      <c r="K1108" s="34">
        <f>IF(AND('Daily Sale entry '!X1108&lt;&gt;"",OR('Daily Sale entry '!AC1108&lt;&gt;"",'Daily Sale entry '!AD1108&lt;&gt;"")),'Daily Sale entry '!X1108+ROW()/10000000,"")</f>
        <v/>
      </c>
      <c r="L1108" s="21">
        <f>IF(K1108="","",COUNTIF($K$2:$K$3001,"&lt;"&amp;K1108)+1)</f>
        <v/>
      </c>
    </row>
    <row r="1109">
      <c r="A1109" s="5">
        <f>IF($J1109="","",IF($J1109&lt;=1500,INDEX('Daily Sale entry '!$X$1:$X$1501,$J1109+1),INDEX('Daily Sale entry '!$V$1:$V$1501,$J1109-1499)))</f>
        <v/>
      </c>
      <c r="B1109">
        <f>IF($J1109="","",IF($J1109&lt;=1500,INDEX('Daily Sale entry '!$Y$1:$Y$1501,$J1109+1)&amp;"","Buyer cheque banked 买家支票存入"&amp;IF(INDEX('Daily Sale entry '!$U$1:$U$1501,$J1109-1499)="","", " - "&amp;INDEX('Daily Sale entry '!$U$1:$U$1501,$J1109-1499))))</f>
        <v/>
      </c>
      <c r="C1109">
        <f>IF($J1109="","",IF($J1109&lt;=1500,INDEX('Daily Sale entry '!$Z$1:$Z$1501,$J1109+1)&amp;"","Cheque deposit 支票存入 (buyer 买家)"))</f>
        <v/>
      </c>
      <c r="D1109">
        <f>IF($J1109="","",IF($J1109&lt;=1500,INDEX('Daily Sale entry '!$AA$1:$AA$1501,$J1109+1)&amp;"",INDEX('Daily Sale entry '!$P$1:$P$1501,$J1109-1499)&amp;""))</f>
        <v/>
      </c>
      <c r="E1109">
        <f>IF($J1109="","",IF($J1109&lt;=1500,IF(N(INDEX('Daily Sale entry '!$AB$1:$AB$1501,$J1109+1))=0,"",INDEX('Daily Sale entry '!$AB$1:$AB$1501,$J1109+1)),1))</f>
        <v/>
      </c>
      <c r="F1109" s="6">
        <f>IF($J1109="","",IF($J1109&lt;=1500,N(INDEX('Daily Sale entry '!$AC$1:$AC$1501,$J1109+1))-IF(AND('Opening Balance'!$B$15=1,INDEX('Daily Sale entry '!$Z$1:$Z$1501,$J1109+1)="Online collection 网上收款",INDEX('Daily Sale entry '!$AA$1:$AA$1501,$J1109+1)&lt;&gt;""),N(INDEX('Daily Sale entry '!$AC$1:$AC$1501,$J1109+1))-TRUNC(N(INDEX('Daily Sale entry '!$AC$1:$AC$1501,$J1109+1))),0),N(INDEX('Daily Sale entry '!$S$1:$S$1501,$J1109-1499))-'Opening Balance'!$B$15*(N(INDEX('Daily Sale entry '!$S$1:$S$1501,$J1109-1499))-TRUNC(N(INDEX('Daily Sale entry '!$S$1:$S$1501,$J1109-1499))))))</f>
        <v/>
      </c>
      <c r="G1109" s="6">
        <f>IF($J1109="","",IF($J1109&lt;=1500,N(INDEX('Daily Sale entry '!$AD$1:$AD$1501,$J1109+1)),0))</f>
        <v/>
      </c>
      <c r="H1109" s="6">
        <f>IF($J1109="","",ROUND('Opening Balance'!$B$4+SUM($F$2:F1109)-SUM($G$2:G1109),2))</f>
        <v/>
      </c>
      <c r="J1109" s="21">
        <f>IFERROR(MATCH(ROW()-1,$L$2:$L$3001,0),"")</f>
        <v/>
      </c>
      <c r="K1109" s="34">
        <f>IF(AND('Daily Sale entry '!X1109&lt;&gt;"",OR('Daily Sale entry '!AC1109&lt;&gt;"",'Daily Sale entry '!AD1109&lt;&gt;"")),'Daily Sale entry '!X1109+ROW()/10000000,"")</f>
        <v/>
      </c>
      <c r="L1109" s="21">
        <f>IF(K1109="","",COUNTIF($K$2:$K$3001,"&lt;"&amp;K1109)+1)</f>
        <v/>
      </c>
    </row>
    <row r="1110">
      <c r="A1110" s="5">
        <f>IF($J1110="","",IF($J1110&lt;=1500,INDEX('Daily Sale entry '!$X$1:$X$1501,$J1110+1),INDEX('Daily Sale entry '!$V$1:$V$1501,$J1110-1499)))</f>
        <v/>
      </c>
      <c r="B1110">
        <f>IF($J1110="","",IF($J1110&lt;=1500,INDEX('Daily Sale entry '!$Y$1:$Y$1501,$J1110+1)&amp;"","Buyer cheque banked 买家支票存入"&amp;IF(INDEX('Daily Sale entry '!$U$1:$U$1501,$J1110-1499)="","", " - "&amp;INDEX('Daily Sale entry '!$U$1:$U$1501,$J1110-1499))))</f>
        <v/>
      </c>
      <c r="C1110">
        <f>IF($J1110="","",IF($J1110&lt;=1500,INDEX('Daily Sale entry '!$Z$1:$Z$1501,$J1110+1)&amp;"","Cheque deposit 支票存入 (buyer 买家)"))</f>
        <v/>
      </c>
      <c r="D1110">
        <f>IF($J1110="","",IF($J1110&lt;=1500,INDEX('Daily Sale entry '!$AA$1:$AA$1501,$J1110+1)&amp;"",INDEX('Daily Sale entry '!$P$1:$P$1501,$J1110-1499)&amp;""))</f>
        <v/>
      </c>
      <c r="E1110">
        <f>IF($J1110="","",IF($J1110&lt;=1500,IF(N(INDEX('Daily Sale entry '!$AB$1:$AB$1501,$J1110+1))=0,"",INDEX('Daily Sale entry '!$AB$1:$AB$1501,$J1110+1)),1))</f>
        <v/>
      </c>
      <c r="F1110" s="6">
        <f>IF($J1110="","",IF($J1110&lt;=1500,N(INDEX('Daily Sale entry '!$AC$1:$AC$1501,$J1110+1))-IF(AND('Opening Balance'!$B$15=1,INDEX('Daily Sale entry '!$Z$1:$Z$1501,$J1110+1)="Online collection 网上收款",INDEX('Daily Sale entry '!$AA$1:$AA$1501,$J1110+1)&lt;&gt;""),N(INDEX('Daily Sale entry '!$AC$1:$AC$1501,$J1110+1))-TRUNC(N(INDEX('Daily Sale entry '!$AC$1:$AC$1501,$J1110+1))),0),N(INDEX('Daily Sale entry '!$S$1:$S$1501,$J1110-1499))-'Opening Balance'!$B$15*(N(INDEX('Daily Sale entry '!$S$1:$S$1501,$J1110-1499))-TRUNC(N(INDEX('Daily Sale entry '!$S$1:$S$1501,$J1110-1499))))))</f>
        <v/>
      </c>
      <c r="G1110" s="6">
        <f>IF($J1110="","",IF($J1110&lt;=1500,N(INDEX('Daily Sale entry '!$AD$1:$AD$1501,$J1110+1)),0))</f>
        <v/>
      </c>
      <c r="H1110" s="6">
        <f>IF($J1110="","",ROUND('Opening Balance'!$B$4+SUM($F$2:F1110)-SUM($G$2:G1110),2))</f>
        <v/>
      </c>
      <c r="J1110" s="21">
        <f>IFERROR(MATCH(ROW()-1,$L$2:$L$3001,0),"")</f>
        <v/>
      </c>
      <c r="K1110" s="34">
        <f>IF(AND('Daily Sale entry '!X1110&lt;&gt;"",OR('Daily Sale entry '!AC1110&lt;&gt;"",'Daily Sale entry '!AD1110&lt;&gt;"")),'Daily Sale entry '!X1110+ROW()/10000000,"")</f>
        <v/>
      </c>
      <c r="L1110" s="21">
        <f>IF(K1110="","",COUNTIF($K$2:$K$3001,"&lt;"&amp;K1110)+1)</f>
        <v/>
      </c>
    </row>
    <row r="1111">
      <c r="A1111" s="5">
        <f>IF($J1111="","",IF($J1111&lt;=1500,INDEX('Daily Sale entry '!$X$1:$X$1501,$J1111+1),INDEX('Daily Sale entry '!$V$1:$V$1501,$J1111-1499)))</f>
        <v/>
      </c>
      <c r="B1111">
        <f>IF($J1111="","",IF($J1111&lt;=1500,INDEX('Daily Sale entry '!$Y$1:$Y$1501,$J1111+1)&amp;"","Buyer cheque banked 买家支票存入"&amp;IF(INDEX('Daily Sale entry '!$U$1:$U$1501,$J1111-1499)="","", " - "&amp;INDEX('Daily Sale entry '!$U$1:$U$1501,$J1111-1499))))</f>
        <v/>
      </c>
      <c r="C1111">
        <f>IF($J1111="","",IF($J1111&lt;=1500,INDEX('Daily Sale entry '!$Z$1:$Z$1501,$J1111+1)&amp;"","Cheque deposit 支票存入 (buyer 买家)"))</f>
        <v/>
      </c>
      <c r="D1111">
        <f>IF($J1111="","",IF($J1111&lt;=1500,INDEX('Daily Sale entry '!$AA$1:$AA$1501,$J1111+1)&amp;"",INDEX('Daily Sale entry '!$P$1:$P$1501,$J1111-1499)&amp;""))</f>
        <v/>
      </c>
      <c r="E1111">
        <f>IF($J1111="","",IF($J1111&lt;=1500,IF(N(INDEX('Daily Sale entry '!$AB$1:$AB$1501,$J1111+1))=0,"",INDEX('Daily Sale entry '!$AB$1:$AB$1501,$J1111+1)),1))</f>
        <v/>
      </c>
      <c r="F1111" s="6">
        <f>IF($J1111="","",IF($J1111&lt;=1500,N(INDEX('Daily Sale entry '!$AC$1:$AC$1501,$J1111+1))-IF(AND('Opening Balance'!$B$15=1,INDEX('Daily Sale entry '!$Z$1:$Z$1501,$J1111+1)="Online collection 网上收款",INDEX('Daily Sale entry '!$AA$1:$AA$1501,$J1111+1)&lt;&gt;""),N(INDEX('Daily Sale entry '!$AC$1:$AC$1501,$J1111+1))-TRUNC(N(INDEX('Daily Sale entry '!$AC$1:$AC$1501,$J1111+1))),0),N(INDEX('Daily Sale entry '!$S$1:$S$1501,$J1111-1499))-'Opening Balance'!$B$15*(N(INDEX('Daily Sale entry '!$S$1:$S$1501,$J1111-1499))-TRUNC(N(INDEX('Daily Sale entry '!$S$1:$S$1501,$J1111-1499))))))</f>
        <v/>
      </c>
      <c r="G1111" s="6">
        <f>IF($J1111="","",IF($J1111&lt;=1500,N(INDEX('Daily Sale entry '!$AD$1:$AD$1501,$J1111+1)),0))</f>
        <v/>
      </c>
      <c r="H1111" s="6">
        <f>IF($J1111="","",ROUND('Opening Balance'!$B$4+SUM($F$2:F1111)-SUM($G$2:G1111),2))</f>
        <v/>
      </c>
      <c r="J1111" s="21">
        <f>IFERROR(MATCH(ROW()-1,$L$2:$L$3001,0),"")</f>
        <v/>
      </c>
      <c r="K1111" s="34">
        <f>IF(AND('Daily Sale entry '!X1111&lt;&gt;"",OR('Daily Sale entry '!AC1111&lt;&gt;"",'Daily Sale entry '!AD1111&lt;&gt;"")),'Daily Sale entry '!X1111+ROW()/10000000,"")</f>
        <v/>
      </c>
      <c r="L1111" s="21">
        <f>IF(K1111="","",COUNTIF($K$2:$K$3001,"&lt;"&amp;K1111)+1)</f>
        <v/>
      </c>
    </row>
    <row r="1112">
      <c r="A1112" s="5">
        <f>IF($J1112="","",IF($J1112&lt;=1500,INDEX('Daily Sale entry '!$X$1:$X$1501,$J1112+1),INDEX('Daily Sale entry '!$V$1:$V$1501,$J1112-1499)))</f>
        <v/>
      </c>
      <c r="B1112">
        <f>IF($J1112="","",IF($J1112&lt;=1500,INDEX('Daily Sale entry '!$Y$1:$Y$1501,$J1112+1)&amp;"","Buyer cheque banked 买家支票存入"&amp;IF(INDEX('Daily Sale entry '!$U$1:$U$1501,$J1112-1499)="","", " - "&amp;INDEX('Daily Sale entry '!$U$1:$U$1501,$J1112-1499))))</f>
        <v/>
      </c>
      <c r="C1112">
        <f>IF($J1112="","",IF($J1112&lt;=1500,INDEX('Daily Sale entry '!$Z$1:$Z$1501,$J1112+1)&amp;"","Cheque deposit 支票存入 (buyer 买家)"))</f>
        <v/>
      </c>
      <c r="D1112">
        <f>IF($J1112="","",IF($J1112&lt;=1500,INDEX('Daily Sale entry '!$AA$1:$AA$1501,$J1112+1)&amp;"",INDEX('Daily Sale entry '!$P$1:$P$1501,$J1112-1499)&amp;""))</f>
        <v/>
      </c>
      <c r="E1112">
        <f>IF($J1112="","",IF($J1112&lt;=1500,IF(N(INDEX('Daily Sale entry '!$AB$1:$AB$1501,$J1112+1))=0,"",INDEX('Daily Sale entry '!$AB$1:$AB$1501,$J1112+1)),1))</f>
        <v/>
      </c>
      <c r="F1112" s="6">
        <f>IF($J1112="","",IF($J1112&lt;=1500,N(INDEX('Daily Sale entry '!$AC$1:$AC$1501,$J1112+1))-IF(AND('Opening Balance'!$B$15=1,INDEX('Daily Sale entry '!$Z$1:$Z$1501,$J1112+1)="Online collection 网上收款",INDEX('Daily Sale entry '!$AA$1:$AA$1501,$J1112+1)&lt;&gt;""),N(INDEX('Daily Sale entry '!$AC$1:$AC$1501,$J1112+1))-TRUNC(N(INDEX('Daily Sale entry '!$AC$1:$AC$1501,$J1112+1))),0),N(INDEX('Daily Sale entry '!$S$1:$S$1501,$J1112-1499))-'Opening Balance'!$B$15*(N(INDEX('Daily Sale entry '!$S$1:$S$1501,$J1112-1499))-TRUNC(N(INDEX('Daily Sale entry '!$S$1:$S$1501,$J1112-1499))))))</f>
        <v/>
      </c>
      <c r="G1112" s="6">
        <f>IF($J1112="","",IF($J1112&lt;=1500,N(INDEX('Daily Sale entry '!$AD$1:$AD$1501,$J1112+1)),0))</f>
        <v/>
      </c>
      <c r="H1112" s="6">
        <f>IF($J1112="","",ROUND('Opening Balance'!$B$4+SUM($F$2:F1112)-SUM($G$2:G1112),2))</f>
        <v/>
      </c>
      <c r="J1112" s="21">
        <f>IFERROR(MATCH(ROW()-1,$L$2:$L$3001,0),"")</f>
        <v/>
      </c>
      <c r="K1112" s="34">
        <f>IF(AND('Daily Sale entry '!X1112&lt;&gt;"",OR('Daily Sale entry '!AC1112&lt;&gt;"",'Daily Sale entry '!AD1112&lt;&gt;"")),'Daily Sale entry '!X1112+ROW()/10000000,"")</f>
        <v/>
      </c>
      <c r="L1112" s="21">
        <f>IF(K1112="","",COUNTIF($K$2:$K$3001,"&lt;"&amp;K1112)+1)</f>
        <v/>
      </c>
    </row>
    <row r="1113">
      <c r="A1113" s="5">
        <f>IF($J1113="","",IF($J1113&lt;=1500,INDEX('Daily Sale entry '!$X$1:$X$1501,$J1113+1),INDEX('Daily Sale entry '!$V$1:$V$1501,$J1113-1499)))</f>
        <v/>
      </c>
      <c r="B1113">
        <f>IF($J1113="","",IF($J1113&lt;=1500,INDEX('Daily Sale entry '!$Y$1:$Y$1501,$J1113+1)&amp;"","Buyer cheque banked 买家支票存入"&amp;IF(INDEX('Daily Sale entry '!$U$1:$U$1501,$J1113-1499)="","", " - "&amp;INDEX('Daily Sale entry '!$U$1:$U$1501,$J1113-1499))))</f>
        <v/>
      </c>
      <c r="C1113">
        <f>IF($J1113="","",IF($J1113&lt;=1500,INDEX('Daily Sale entry '!$Z$1:$Z$1501,$J1113+1)&amp;"","Cheque deposit 支票存入 (buyer 买家)"))</f>
        <v/>
      </c>
      <c r="D1113">
        <f>IF($J1113="","",IF($J1113&lt;=1500,INDEX('Daily Sale entry '!$AA$1:$AA$1501,$J1113+1)&amp;"",INDEX('Daily Sale entry '!$P$1:$P$1501,$J1113-1499)&amp;""))</f>
        <v/>
      </c>
      <c r="E1113">
        <f>IF($J1113="","",IF($J1113&lt;=1500,IF(N(INDEX('Daily Sale entry '!$AB$1:$AB$1501,$J1113+1))=0,"",INDEX('Daily Sale entry '!$AB$1:$AB$1501,$J1113+1)),1))</f>
        <v/>
      </c>
      <c r="F1113" s="6">
        <f>IF($J1113="","",IF($J1113&lt;=1500,N(INDEX('Daily Sale entry '!$AC$1:$AC$1501,$J1113+1))-IF(AND('Opening Balance'!$B$15=1,INDEX('Daily Sale entry '!$Z$1:$Z$1501,$J1113+1)="Online collection 网上收款",INDEX('Daily Sale entry '!$AA$1:$AA$1501,$J1113+1)&lt;&gt;""),N(INDEX('Daily Sale entry '!$AC$1:$AC$1501,$J1113+1))-TRUNC(N(INDEX('Daily Sale entry '!$AC$1:$AC$1501,$J1113+1))),0),N(INDEX('Daily Sale entry '!$S$1:$S$1501,$J1113-1499))-'Opening Balance'!$B$15*(N(INDEX('Daily Sale entry '!$S$1:$S$1501,$J1113-1499))-TRUNC(N(INDEX('Daily Sale entry '!$S$1:$S$1501,$J1113-1499))))))</f>
        <v/>
      </c>
      <c r="G1113" s="6">
        <f>IF($J1113="","",IF($J1113&lt;=1500,N(INDEX('Daily Sale entry '!$AD$1:$AD$1501,$J1113+1)),0))</f>
        <v/>
      </c>
      <c r="H1113" s="6">
        <f>IF($J1113="","",ROUND('Opening Balance'!$B$4+SUM($F$2:F1113)-SUM($G$2:G1113),2))</f>
        <v/>
      </c>
      <c r="J1113" s="21">
        <f>IFERROR(MATCH(ROW()-1,$L$2:$L$3001,0),"")</f>
        <v/>
      </c>
      <c r="K1113" s="34">
        <f>IF(AND('Daily Sale entry '!X1113&lt;&gt;"",OR('Daily Sale entry '!AC1113&lt;&gt;"",'Daily Sale entry '!AD1113&lt;&gt;"")),'Daily Sale entry '!X1113+ROW()/10000000,"")</f>
        <v/>
      </c>
      <c r="L1113" s="21">
        <f>IF(K1113="","",COUNTIF($K$2:$K$3001,"&lt;"&amp;K1113)+1)</f>
        <v/>
      </c>
    </row>
    <row r="1114">
      <c r="A1114" s="5">
        <f>IF($J1114="","",IF($J1114&lt;=1500,INDEX('Daily Sale entry '!$X$1:$X$1501,$J1114+1),INDEX('Daily Sale entry '!$V$1:$V$1501,$J1114-1499)))</f>
        <v/>
      </c>
      <c r="B1114">
        <f>IF($J1114="","",IF($J1114&lt;=1500,INDEX('Daily Sale entry '!$Y$1:$Y$1501,$J1114+1)&amp;"","Buyer cheque banked 买家支票存入"&amp;IF(INDEX('Daily Sale entry '!$U$1:$U$1501,$J1114-1499)="","", " - "&amp;INDEX('Daily Sale entry '!$U$1:$U$1501,$J1114-1499))))</f>
        <v/>
      </c>
      <c r="C1114">
        <f>IF($J1114="","",IF($J1114&lt;=1500,INDEX('Daily Sale entry '!$Z$1:$Z$1501,$J1114+1)&amp;"","Cheque deposit 支票存入 (buyer 买家)"))</f>
        <v/>
      </c>
      <c r="D1114">
        <f>IF($J1114="","",IF($J1114&lt;=1500,INDEX('Daily Sale entry '!$AA$1:$AA$1501,$J1114+1)&amp;"",INDEX('Daily Sale entry '!$P$1:$P$1501,$J1114-1499)&amp;""))</f>
        <v/>
      </c>
      <c r="E1114">
        <f>IF($J1114="","",IF($J1114&lt;=1500,IF(N(INDEX('Daily Sale entry '!$AB$1:$AB$1501,$J1114+1))=0,"",INDEX('Daily Sale entry '!$AB$1:$AB$1501,$J1114+1)),1))</f>
        <v/>
      </c>
      <c r="F1114" s="6">
        <f>IF($J1114="","",IF($J1114&lt;=1500,N(INDEX('Daily Sale entry '!$AC$1:$AC$1501,$J1114+1))-IF(AND('Opening Balance'!$B$15=1,INDEX('Daily Sale entry '!$Z$1:$Z$1501,$J1114+1)="Online collection 网上收款",INDEX('Daily Sale entry '!$AA$1:$AA$1501,$J1114+1)&lt;&gt;""),N(INDEX('Daily Sale entry '!$AC$1:$AC$1501,$J1114+1))-TRUNC(N(INDEX('Daily Sale entry '!$AC$1:$AC$1501,$J1114+1))),0),N(INDEX('Daily Sale entry '!$S$1:$S$1501,$J1114-1499))-'Opening Balance'!$B$15*(N(INDEX('Daily Sale entry '!$S$1:$S$1501,$J1114-1499))-TRUNC(N(INDEX('Daily Sale entry '!$S$1:$S$1501,$J1114-1499))))))</f>
        <v/>
      </c>
      <c r="G1114" s="6">
        <f>IF($J1114="","",IF($J1114&lt;=1500,N(INDEX('Daily Sale entry '!$AD$1:$AD$1501,$J1114+1)),0))</f>
        <v/>
      </c>
      <c r="H1114" s="6">
        <f>IF($J1114="","",ROUND('Opening Balance'!$B$4+SUM($F$2:F1114)-SUM($G$2:G1114),2))</f>
        <v/>
      </c>
      <c r="J1114" s="21">
        <f>IFERROR(MATCH(ROW()-1,$L$2:$L$3001,0),"")</f>
        <v/>
      </c>
      <c r="K1114" s="34">
        <f>IF(AND('Daily Sale entry '!X1114&lt;&gt;"",OR('Daily Sale entry '!AC1114&lt;&gt;"",'Daily Sale entry '!AD1114&lt;&gt;"")),'Daily Sale entry '!X1114+ROW()/10000000,"")</f>
        <v/>
      </c>
      <c r="L1114" s="21">
        <f>IF(K1114="","",COUNTIF($K$2:$K$3001,"&lt;"&amp;K1114)+1)</f>
        <v/>
      </c>
    </row>
    <row r="1115">
      <c r="A1115" s="5">
        <f>IF($J1115="","",IF($J1115&lt;=1500,INDEX('Daily Sale entry '!$X$1:$X$1501,$J1115+1),INDEX('Daily Sale entry '!$V$1:$V$1501,$J1115-1499)))</f>
        <v/>
      </c>
      <c r="B1115">
        <f>IF($J1115="","",IF($J1115&lt;=1500,INDEX('Daily Sale entry '!$Y$1:$Y$1501,$J1115+1)&amp;"","Buyer cheque banked 买家支票存入"&amp;IF(INDEX('Daily Sale entry '!$U$1:$U$1501,$J1115-1499)="","", " - "&amp;INDEX('Daily Sale entry '!$U$1:$U$1501,$J1115-1499))))</f>
        <v/>
      </c>
      <c r="C1115">
        <f>IF($J1115="","",IF($J1115&lt;=1500,INDEX('Daily Sale entry '!$Z$1:$Z$1501,$J1115+1)&amp;"","Cheque deposit 支票存入 (buyer 买家)"))</f>
        <v/>
      </c>
      <c r="D1115">
        <f>IF($J1115="","",IF($J1115&lt;=1500,INDEX('Daily Sale entry '!$AA$1:$AA$1501,$J1115+1)&amp;"",INDEX('Daily Sale entry '!$P$1:$P$1501,$J1115-1499)&amp;""))</f>
        <v/>
      </c>
      <c r="E1115">
        <f>IF($J1115="","",IF($J1115&lt;=1500,IF(N(INDEX('Daily Sale entry '!$AB$1:$AB$1501,$J1115+1))=0,"",INDEX('Daily Sale entry '!$AB$1:$AB$1501,$J1115+1)),1))</f>
        <v/>
      </c>
      <c r="F1115" s="6">
        <f>IF($J1115="","",IF($J1115&lt;=1500,N(INDEX('Daily Sale entry '!$AC$1:$AC$1501,$J1115+1))-IF(AND('Opening Balance'!$B$15=1,INDEX('Daily Sale entry '!$Z$1:$Z$1501,$J1115+1)="Online collection 网上收款",INDEX('Daily Sale entry '!$AA$1:$AA$1501,$J1115+1)&lt;&gt;""),N(INDEX('Daily Sale entry '!$AC$1:$AC$1501,$J1115+1))-TRUNC(N(INDEX('Daily Sale entry '!$AC$1:$AC$1501,$J1115+1))),0),N(INDEX('Daily Sale entry '!$S$1:$S$1501,$J1115-1499))-'Opening Balance'!$B$15*(N(INDEX('Daily Sale entry '!$S$1:$S$1501,$J1115-1499))-TRUNC(N(INDEX('Daily Sale entry '!$S$1:$S$1501,$J1115-1499))))))</f>
        <v/>
      </c>
      <c r="G1115" s="6">
        <f>IF($J1115="","",IF($J1115&lt;=1500,N(INDEX('Daily Sale entry '!$AD$1:$AD$1501,$J1115+1)),0))</f>
        <v/>
      </c>
      <c r="H1115" s="6">
        <f>IF($J1115="","",ROUND('Opening Balance'!$B$4+SUM($F$2:F1115)-SUM($G$2:G1115),2))</f>
        <v/>
      </c>
      <c r="J1115" s="21">
        <f>IFERROR(MATCH(ROW()-1,$L$2:$L$3001,0),"")</f>
        <v/>
      </c>
      <c r="K1115" s="34">
        <f>IF(AND('Daily Sale entry '!X1115&lt;&gt;"",OR('Daily Sale entry '!AC1115&lt;&gt;"",'Daily Sale entry '!AD1115&lt;&gt;"")),'Daily Sale entry '!X1115+ROW()/10000000,"")</f>
        <v/>
      </c>
      <c r="L1115" s="21">
        <f>IF(K1115="","",COUNTIF($K$2:$K$3001,"&lt;"&amp;K1115)+1)</f>
        <v/>
      </c>
    </row>
    <row r="1116">
      <c r="A1116" s="5">
        <f>IF($J1116="","",IF($J1116&lt;=1500,INDEX('Daily Sale entry '!$X$1:$X$1501,$J1116+1),INDEX('Daily Sale entry '!$V$1:$V$1501,$J1116-1499)))</f>
        <v/>
      </c>
      <c r="B1116">
        <f>IF($J1116="","",IF($J1116&lt;=1500,INDEX('Daily Sale entry '!$Y$1:$Y$1501,$J1116+1)&amp;"","Buyer cheque banked 买家支票存入"&amp;IF(INDEX('Daily Sale entry '!$U$1:$U$1501,$J1116-1499)="","", " - "&amp;INDEX('Daily Sale entry '!$U$1:$U$1501,$J1116-1499))))</f>
        <v/>
      </c>
      <c r="C1116">
        <f>IF($J1116="","",IF($J1116&lt;=1500,INDEX('Daily Sale entry '!$Z$1:$Z$1501,$J1116+1)&amp;"","Cheque deposit 支票存入 (buyer 买家)"))</f>
        <v/>
      </c>
      <c r="D1116">
        <f>IF($J1116="","",IF($J1116&lt;=1500,INDEX('Daily Sale entry '!$AA$1:$AA$1501,$J1116+1)&amp;"",INDEX('Daily Sale entry '!$P$1:$P$1501,$J1116-1499)&amp;""))</f>
        <v/>
      </c>
      <c r="E1116">
        <f>IF($J1116="","",IF($J1116&lt;=1500,IF(N(INDEX('Daily Sale entry '!$AB$1:$AB$1501,$J1116+1))=0,"",INDEX('Daily Sale entry '!$AB$1:$AB$1501,$J1116+1)),1))</f>
        <v/>
      </c>
      <c r="F1116" s="6">
        <f>IF($J1116="","",IF($J1116&lt;=1500,N(INDEX('Daily Sale entry '!$AC$1:$AC$1501,$J1116+1))-IF(AND('Opening Balance'!$B$15=1,INDEX('Daily Sale entry '!$Z$1:$Z$1501,$J1116+1)="Online collection 网上收款",INDEX('Daily Sale entry '!$AA$1:$AA$1501,$J1116+1)&lt;&gt;""),N(INDEX('Daily Sale entry '!$AC$1:$AC$1501,$J1116+1))-TRUNC(N(INDEX('Daily Sale entry '!$AC$1:$AC$1501,$J1116+1))),0),N(INDEX('Daily Sale entry '!$S$1:$S$1501,$J1116-1499))-'Opening Balance'!$B$15*(N(INDEX('Daily Sale entry '!$S$1:$S$1501,$J1116-1499))-TRUNC(N(INDEX('Daily Sale entry '!$S$1:$S$1501,$J1116-1499))))))</f>
        <v/>
      </c>
      <c r="G1116" s="6">
        <f>IF($J1116="","",IF($J1116&lt;=1500,N(INDEX('Daily Sale entry '!$AD$1:$AD$1501,$J1116+1)),0))</f>
        <v/>
      </c>
      <c r="H1116" s="6">
        <f>IF($J1116="","",ROUND('Opening Balance'!$B$4+SUM($F$2:F1116)-SUM($G$2:G1116),2))</f>
        <v/>
      </c>
      <c r="J1116" s="21">
        <f>IFERROR(MATCH(ROW()-1,$L$2:$L$3001,0),"")</f>
        <v/>
      </c>
      <c r="K1116" s="34">
        <f>IF(AND('Daily Sale entry '!X1116&lt;&gt;"",OR('Daily Sale entry '!AC1116&lt;&gt;"",'Daily Sale entry '!AD1116&lt;&gt;"")),'Daily Sale entry '!X1116+ROW()/10000000,"")</f>
        <v/>
      </c>
      <c r="L1116" s="21">
        <f>IF(K1116="","",COUNTIF($K$2:$K$3001,"&lt;"&amp;K1116)+1)</f>
        <v/>
      </c>
    </row>
    <row r="1117">
      <c r="A1117" s="5">
        <f>IF($J1117="","",IF($J1117&lt;=1500,INDEX('Daily Sale entry '!$X$1:$X$1501,$J1117+1),INDEX('Daily Sale entry '!$V$1:$V$1501,$J1117-1499)))</f>
        <v/>
      </c>
      <c r="B1117">
        <f>IF($J1117="","",IF($J1117&lt;=1500,INDEX('Daily Sale entry '!$Y$1:$Y$1501,$J1117+1)&amp;"","Buyer cheque banked 买家支票存入"&amp;IF(INDEX('Daily Sale entry '!$U$1:$U$1501,$J1117-1499)="","", " - "&amp;INDEX('Daily Sale entry '!$U$1:$U$1501,$J1117-1499))))</f>
        <v/>
      </c>
      <c r="C1117">
        <f>IF($J1117="","",IF($J1117&lt;=1500,INDEX('Daily Sale entry '!$Z$1:$Z$1501,$J1117+1)&amp;"","Cheque deposit 支票存入 (buyer 买家)"))</f>
        <v/>
      </c>
      <c r="D1117">
        <f>IF($J1117="","",IF($J1117&lt;=1500,INDEX('Daily Sale entry '!$AA$1:$AA$1501,$J1117+1)&amp;"",INDEX('Daily Sale entry '!$P$1:$P$1501,$J1117-1499)&amp;""))</f>
        <v/>
      </c>
      <c r="E1117">
        <f>IF($J1117="","",IF($J1117&lt;=1500,IF(N(INDEX('Daily Sale entry '!$AB$1:$AB$1501,$J1117+1))=0,"",INDEX('Daily Sale entry '!$AB$1:$AB$1501,$J1117+1)),1))</f>
        <v/>
      </c>
      <c r="F1117" s="6">
        <f>IF($J1117="","",IF($J1117&lt;=1500,N(INDEX('Daily Sale entry '!$AC$1:$AC$1501,$J1117+1))-IF(AND('Opening Balance'!$B$15=1,INDEX('Daily Sale entry '!$Z$1:$Z$1501,$J1117+1)="Online collection 网上收款",INDEX('Daily Sale entry '!$AA$1:$AA$1501,$J1117+1)&lt;&gt;""),N(INDEX('Daily Sale entry '!$AC$1:$AC$1501,$J1117+1))-TRUNC(N(INDEX('Daily Sale entry '!$AC$1:$AC$1501,$J1117+1))),0),N(INDEX('Daily Sale entry '!$S$1:$S$1501,$J1117-1499))-'Opening Balance'!$B$15*(N(INDEX('Daily Sale entry '!$S$1:$S$1501,$J1117-1499))-TRUNC(N(INDEX('Daily Sale entry '!$S$1:$S$1501,$J1117-1499))))))</f>
        <v/>
      </c>
      <c r="G1117" s="6">
        <f>IF($J1117="","",IF($J1117&lt;=1500,N(INDEX('Daily Sale entry '!$AD$1:$AD$1501,$J1117+1)),0))</f>
        <v/>
      </c>
      <c r="H1117" s="6">
        <f>IF($J1117="","",ROUND('Opening Balance'!$B$4+SUM($F$2:F1117)-SUM($G$2:G1117),2))</f>
        <v/>
      </c>
      <c r="J1117" s="21">
        <f>IFERROR(MATCH(ROW()-1,$L$2:$L$3001,0),"")</f>
        <v/>
      </c>
      <c r="K1117" s="34">
        <f>IF(AND('Daily Sale entry '!X1117&lt;&gt;"",OR('Daily Sale entry '!AC1117&lt;&gt;"",'Daily Sale entry '!AD1117&lt;&gt;"")),'Daily Sale entry '!X1117+ROW()/10000000,"")</f>
        <v/>
      </c>
      <c r="L1117" s="21">
        <f>IF(K1117="","",COUNTIF($K$2:$K$3001,"&lt;"&amp;K1117)+1)</f>
        <v/>
      </c>
    </row>
    <row r="1118">
      <c r="A1118" s="5">
        <f>IF($J1118="","",IF($J1118&lt;=1500,INDEX('Daily Sale entry '!$X$1:$X$1501,$J1118+1),INDEX('Daily Sale entry '!$V$1:$V$1501,$J1118-1499)))</f>
        <v/>
      </c>
      <c r="B1118">
        <f>IF($J1118="","",IF($J1118&lt;=1500,INDEX('Daily Sale entry '!$Y$1:$Y$1501,$J1118+1)&amp;"","Buyer cheque banked 买家支票存入"&amp;IF(INDEX('Daily Sale entry '!$U$1:$U$1501,$J1118-1499)="","", " - "&amp;INDEX('Daily Sale entry '!$U$1:$U$1501,$J1118-1499))))</f>
        <v/>
      </c>
      <c r="C1118">
        <f>IF($J1118="","",IF($J1118&lt;=1500,INDEX('Daily Sale entry '!$Z$1:$Z$1501,$J1118+1)&amp;"","Cheque deposit 支票存入 (buyer 买家)"))</f>
        <v/>
      </c>
      <c r="D1118">
        <f>IF($J1118="","",IF($J1118&lt;=1500,INDEX('Daily Sale entry '!$AA$1:$AA$1501,$J1118+1)&amp;"",INDEX('Daily Sale entry '!$P$1:$P$1501,$J1118-1499)&amp;""))</f>
        <v/>
      </c>
      <c r="E1118">
        <f>IF($J1118="","",IF($J1118&lt;=1500,IF(N(INDEX('Daily Sale entry '!$AB$1:$AB$1501,$J1118+1))=0,"",INDEX('Daily Sale entry '!$AB$1:$AB$1501,$J1118+1)),1))</f>
        <v/>
      </c>
      <c r="F1118" s="6">
        <f>IF($J1118="","",IF($J1118&lt;=1500,N(INDEX('Daily Sale entry '!$AC$1:$AC$1501,$J1118+1))-IF(AND('Opening Balance'!$B$15=1,INDEX('Daily Sale entry '!$Z$1:$Z$1501,$J1118+1)="Online collection 网上收款",INDEX('Daily Sale entry '!$AA$1:$AA$1501,$J1118+1)&lt;&gt;""),N(INDEX('Daily Sale entry '!$AC$1:$AC$1501,$J1118+1))-TRUNC(N(INDEX('Daily Sale entry '!$AC$1:$AC$1501,$J1118+1))),0),N(INDEX('Daily Sale entry '!$S$1:$S$1501,$J1118-1499))-'Opening Balance'!$B$15*(N(INDEX('Daily Sale entry '!$S$1:$S$1501,$J1118-1499))-TRUNC(N(INDEX('Daily Sale entry '!$S$1:$S$1501,$J1118-1499))))))</f>
        <v/>
      </c>
      <c r="G1118" s="6">
        <f>IF($J1118="","",IF($J1118&lt;=1500,N(INDEX('Daily Sale entry '!$AD$1:$AD$1501,$J1118+1)),0))</f>
        <v/>
      </c>
      <c r="H1118" s="6">
        <f>IF($J1118="","",ROUND('Opening Balance'!$B$4+SUM($F$2:F1118)-SUM($G$2:G1118),2))</f>
        <v/>
      </c>
      <c r="J1118" s="21">
        <f>IFERROR(MATCH(ROW()-1,$L$2:$L$3001,0),"")</f>
        <v/>
      </c>
      <c r="K1118" s="34">
        <f>IF(AND('Daily Sale entry '!X1118&lt;&gt;"",OR('Daily Sale entry '!AC1118&lt;&gt;"",'Daily Sale entry '!AD1118&lt;&gt;"")),'Daily Sale entry '!X1118+ROW()/10000000,"")</f>
        <v/>
      </c>
      <c r="L1118" s="21">
        <f>IF(K1118="","",COUNTIF($K$2:$K$3001,"&lt;"&amp;K1118)+1)</f>
        <v/>
      </c>
    </row>
    <row r="1119">
      <c r="A1119" s="5">
        <f>IF($J1119="","",IF($J1119&lt;=1500,INDEX('Daily Sale entry '!$X$1:$X$1501,$J1119+1),INDEX('Daily Sale entry '!$V$1:$V$1501,$J1119-1499)))</f>
        <v/>
      </c>
      <c r="B1119">
        <f>IF($J1119="","",IF($J1119&lt;=1500,INDEX('Daily Sale entry '!$Y$1:$Y$1501,$J1119+1)&amp;"","Buyer cheque banked 买家支票存入"&amp;IF(INDEX('Daily Sale entry '!$U$1:$U$1501,$J1119-1499)="","", " - "&amp;INDEX('Daily Sale entry '!$U$1:$U$1501,$J1119-1499))))</f>
        <v/>
      </c>
      <c r="C1119">
        <f>IF($J1119="","",IF($J1119&lt;=1500,INDEX('Daily Sale entry '!$Z$1:$Z$1501,$J1119+1)&amp;"","Cheque deposit 支票存入 (buyer 买家)"))</f>
        <v/>
      </c>
      <c r="D1119">
        <f>IF($J1119="","",IF($J1119&lt;=1500,INDEX('Daily Sale entry '!$AA$1:$AA$1501,$J1119+1)&amp;"",INDEX('Daily Sale entry '!$P$1:$P$1501,$J1119-1499)&amp;""))</f>
        <v/>
      </c>
      <c r="E1119">
        <f>IF($J1119="","",IF($J1119&lt;=1500,IF(N(INDEX('Daily Sale entry '!$AB$1:$AB$1501,$J1119+1))=0,"",INDEX('Daily Sale entry '!$AB$1:$AB$1501,$J1119+1)),1))</f>
        <v/>
      </c>
      <c r="F1119" s="6">
        <f>IF($J1119="","",IF($J1119&lt;=1500,N(INDEX('Daily Sale entry '!$AC$1:$AC$1501,$J1119+1))-IF(AND('Opening Balance'!$B$15=1,INDEX('Daily Sale entry '!$Z$1:$Z$1501,$J1119+1)="Online collection 网上收款",INDEX('Daily Sale entry '!$AA$1:$AA$1501,$J1119+1)&lt;&gt;""),N(INDEX('Daily Sale entry '!$AC$1:$AC$1501,$J1119+1))-TRUNC(N(INDEX('Daily Sale entry '!$AC$1:$AC$1501,$J1119+1))),0),N(INDEX('Daily Sale entry '!$S$1:$S$1501,$J1119-1499))-'Opening Balance'!$B$15*(N(INDEX('Daily Sale entry '!$S$1:$S$1501,$J1119-1499))-TRUNC(N(INDEX('Daily Sale entry '!$S$1:$S$1501,$J1119-1499))))))</f>
        <v/>
      </c>
      <c r="G1119" s="6">
        <f>IF($J1119="","",IF($J1119&lt;=1500,N(INDEX('Daily Sale entry '!$AD$1:$AD$1501,$J1119+1)),0))</f>
        <v/>
      </c>
      <c r="H1119" s="6">
        <f>IF($J1119="","",ROUND('Opening Balance'!$B$4+SUM($F$2:F1119)-SUM($G$2:G1119),2))</f>
        <v/>
      </c>
      <c r="J1119" s="21">
        <f>IFERROR(MATCH(ROW()-1,$L$2:$L$3001,0),"")</f>
        <v/>
      </c>
      <c r="K1119" s="34">
        <f>IF(AND('Daily Sale entry '!X1119&lt;&gt;"",OR('Daily Sale entry '!AC1119&lt;&gt;"",'Daily Sale entry '!AD1119&lt;&gt;"")),'Daily Sale entry '!X1119+ROW()/10000000,"")</f>
        <v/>
      </c>
      <c r="L1119" s="21">
        <f>IF(K1119="","",COUNTIF($K$2:$K$3001,"&lt;"&amp;K1119)+1)</f>
        <v/>
      </c>
    </row>
    <row r="1120">
      <c r="A1120" s="5">
        <f>IF($J1120="","",IF($J1120&lt;=1500,INDEX('Daily Sale entry '!$X$1:$X$1501,$J1120+1),INDEX('Daily Sale entry '!$V$1:$V$1501,$J1120-1499)))</f>
        <v/>
      </c>
      <c r="B1120">
        <f>IF($J1120="","",IF($J1120&lt;=1500,INDEX('Daily Sale entry '!$Y$1:$Y$1501,$J1120+1)&amp;"","Buyer cheque banked 买家支票存入"&amp;IF(INDEX('Daily Sale entry '!$U$1:$U$1501,$J1120-1499)="","", " - "&amp;INDEX('Daily Sale entry '!$U$1:$U$1501,$J1120-1499))))</f>
        <v/>
      </c>
      <c r="C1120">
        <f>IF($J1120="","",IF($J1120&lt;=1500,INDEX('Daily Sale entry '!$Z$1:$Z$1501,$J1120+1)&amp;"","Cheque deposit 支票存入 (buyer 买家)"))</f>
        <v/>
      </c>
      <c r="D1120">
        <f>IF($J1120="","",IF($J1120&lt;=1500,INDEX('Daily Sale entry '!$AA$1:$AA$1501,$J1120+1)&amp;"",INDEX('Daily Sale entry '!$P$1:$P$1501,$J1120-1499)&amp;""))</f>
        <v/>
      </c>
      <c r="E1120">
        <f>IF($J1120="","",IF($J1120&lt;=1500,IF(N(INDEX('Daily Sale entry '!$AB$1:$AB$1501,$J1120+1))=0,"",INDEX('Daily Sale entry '!$AB$1:$AB$1501,$J1120+1)),1))</f>
        <v/>
      </c>
      <c r="F1120" s="6">
        <f>IF($J1120="","",IF($J1120&lt;=1500,N(INDEX('Daily Sale entry '!$AC$1:$AC$1501,$J1120+1))-IF(AND('Opening Balance'!$B$15=1,INDEX('Daily Sale entry '!$Z$1:$Z$1501,$J1120+1)="Online collection 网上收款",INDEX('Daily Sale entry '!$AA$1:$AA$1501,$J1120+1)&lt;&gt;""),N(INDEX('Daily Sale entry '!$AC$1:$AC$1501,$J1120+1))-TRUNC(N(INDEX('Daily Sale entry '!$AC$1:$AC$1501,$J1120+1))),0),N(INDEX('Daily Sale entry '!$S$1:$S$1501,$J1120-1499))-'Opening Balance'!$B$15*(N(INDEX('Daily Sale entry '!$S$1:$S$1501,$J1120-1499))-TRUNC(N(INDEX('Daily Sale entry '!$S$1:$S$1501,$J1120-1499))))))</f>
        <v/>
      </c>
      <c r="G1120" s="6">
        <f>IF($J1120="","",IF($J1120&lt;=1500,N(INDEX('Daily Sale entry '!$AD$1:$AD$1501,$J1120+1)),0))</f>
        <v/>
      </c>
      <c r="H1120" s="6">
        <f>IF($J1120="","",ROUND('Opening Balance'!$B$4+SUM($F$2:F1120)-SUM($G$2:G1120),2))</f>
        <v/>
      </c>
      <c r="J1120" s="21">
        <f>IFERROR(MATCH(ROW()-1,$L$2:$L$3001,0),"")</f>
        <v/>
      </c>
      <c r="K1120" s="34">
        <f>IF(AND('Daily Sale entry '!X1120&lt;&gt;"",OR('Daily Sale entry '!AC1120&lt;&gt;"",'Daily Sale entry '!AD1120&lt;&gt;"")),'Daily Sale entry '!X1120+ROW()/10000000,"")</f>
        <v/>
      </c>
      <c r="L1120" s="21">
        <f>IF(K1120="","",COUNTIF($K$2:$K$3001,"&lt;"&amp;K1120)+1)</f>
        <v/>
      </c>
    </row>
    <row r="1121">
      <c r="A1121" s="5">
        <f>IF($J1121="","",IF($J1121&lt;=1500,INDEX('Daily Sale entry '!$X$1:$X$1501,$J1121+1),INDEX('Daily Sale entry '!$V$1:$V$1501,$J1121-1499)))</f>
        <v/>
      </c>
      <c r="B1121">
        <f>IF($J1121="","",IF($J1121&lt;=1500,INDEX('Daily Sale entry '!$Y$1:$Y$1501,$J1121+1)&amp;"","Buyer cheque banked 买家支票存入"&amp;IF(INDEX('Daily Sale entry '!$U$1:$U$1501,$J1121-1499)="","", " - "&amp;INDEX('Daily Sale entry '!$U$1:$U$1501,$J1121-1499))))</f>
        <v/>
      </c>
      <c r="C1121">
        <f>IF($J1121="","",IF($J1121&lt;=1500,INDEX('Daily Sale entry '!$Z$1:$Z$1501,$J1121+1)&amp;"","Cheque deposit 支票存入 (buyer 买家)"))</f>
        <v/>
      </c>
      <c r="D1121">
        <f>IF($J1121="","",IF($J1121&lt;=1500,INDEX('Daily Sale entry '!$AA$1:$AA$1501,$J1121+1)&amp;"",INDEX('Daily Sale entry '!$P$1:$P$1501,$J1121-1499)&amp;""))</f>
        <v/>
      </c>
      <c r="E1121">
        <f>IF($J1121="","",IF($J1121&lt;=1500,IF(N(INDEX('Daily Sale entry '!$AB$1:$AB$1501,$J1121+1))=0,"",INDEX('Daily Sale entry '!$AB$1:$AB$1501,$J1121+1)),1))</f>
        <v/>
      </c>
      <c r="F1121" s="6">
        <f>IF($J1121="","",IF($J1121&lt;=1500,N(INDEX('Daily Sale entry '!$AC$1:$AC$1501,$J1121+1))-IF(AND('Opening Balance'!$B$15=1,INDEX('Daily Sale entry '!$Z$1:$Z$1501,$J1121+1)="Online collection 网上收款",INDEX('Daily Sale entry '!$AA$1:$AA$1501,$J1121+1)&lt;&gt;""),N(INDEX('Daily Sale entry '!$AC$1:$AC$1501,$J1121+1))-TRUNC(N(INDEX('Daily Sale entry '!$AC$1:$AC$1501,$J1121+1))),0),N(INDEX('Daily Sale entry '!$S$1:$S$1501,$J1121-1499))-'Opening Balance'!$B$15*(N(INDEX('Daily Sale entry '!$S$1:$S$1501,$J1121-1499))-TRUNC(N(INDEX('Daily Sale entry '!$S$1:$S$1501,$J1121-1499))))))</f>
        <v/>
      </c>
      <c r="G1121" s="6">
        <f>IF($J1121="","",IF($J1121&lt;=1500,N(INDEX('Daily Sale entry '!$AD$1:$AD$1501,$J1121+1)),0))</f>
        <v/>
      </c>
      <c r="H1121" s="6">
        <f>IF($J1121="","",ROUND('Opening Balance'!$B$4+SUM($F$2:F1121)-SUM($G$2:G1121),2))</f>
        <v/>
      </c>
      <c r="J1121" s="21">
        <f>IFERROR(MATCH(ROW()-1,$L$2:$L$3001,0),"")</f>
        <v/>
      </c>
      <c r="K1121" s="34">
        <f>IF(AND('Daily Sale entry '!X1121&lt;&gt;"",OR('Daily Sale entry '!AC1121&lt;&gt;"",'Daily Sale entry '!AD1121&lt;&gt;"")),'Daily Sale entry '!X1121+ROW()/10000000,"")</f>
        <v/>
      </c>
      <c r="L1121" s="21">
        <f>IF(K1121="","",COUNTIF($K$2:$K$3001,"&lt;"&amp;K1121)+1)</f>
        <v/>
      </c>
    </row>
    <row r="1122">
      <c r="A1122" s="5">
        <f>IF($J1122="","",IF($J1122&lt;=1500,INDEX('Daily Sale entry '!$X$1:$X$1501,$J1122+1),INDEX('Daily Sale entry '!$V$1:$V$1501,$J1122-1499)))</f>
        <v/>
      </c>
      <c r="B1122">
        <f>IF($J1122="","",IF($J1122&lt;=1500,INDEX('Daily Sale entry '!$Y$1:$Y$1501,$J1122+1)&amp;"","Buyer cheque banked 买家支票存入"&amp;IF(INDEX('Daily Sale entry '!$U$1:$U$1501,$J1122-1499)="","", " - "&amp;INDEX('Daily Sale entry '!$U$1:$U$1501,$J1122-1499))))</f>
        <v/>
      </c>
      <c r="C1122">
        <f>IF($J1122="","",IF($J1122&lt;=1500,INDEX('Daily Sale entry '!$Z$1:$Z$1501,$J1122+1)&amp;"","Cheque deposit 支票存入 (buyer 买家)"))</f>
        <v/>
      </c>
      <c r="D1122">
        <f>IF($J1122="","",IF($J1122&lt;=1500,INDEX('Daily Sale entry '!$AA$1:$AA$1501,$J1122+1)&amp;"",INDEX('Daily Sale entry '!$P$1:$P$1501,$J1122-1499)&amp;""))</f>
        <v/>
      </c>
      <c r="E1122">
        <f>IF($J1122="","",IF($J1122&lt;=1500,IF(N(INDEX('Daily Sale entry '!$AB$1:$AB$1501,$J1122+1))=0,"",INDEX('Daily Sale entry '!$AB$1:$AB$1501,$J1122+1)),1))</f>
        <v/>
      </c>
      <c r="F1122" s="6">
        <f>IF($J1122="","",IF($J1122&lt;=1500,N(INDEX('Daily Sale entry '!$AC$1:$AC$1501,$J1122+1))-IF(AND('Opening Balance'!$B$15=1,INDEX('Daily Sale entry '!$Z$1:$Z$1501,$J1122+1)="Online collection 网上收款",INDEX('Daily Sale entry '!$AA$1:$AA$1501,$J1122+1)&lt;&gt;""),N(INDEX('Daily Sale entry '!$AC$1:$AC$1501,$J1122+1))-TRUNC(N(INDEX('Daily Sale entry '!$AC$1:$AC$1501,$J1122+1))),0),N(INDEX('Daily Sale entry '!$S$1:$S$1501,$J1122-1499))-'Opening Balance'!$B$15*(N(INDEX('Daily Sale entry '!$S$1:$S$1501,$J1122-1499))-TRUNC(N(INDEX('Daily Sale entry '!$S$1:$S$1501,$J1122-1499))))))</f>
        <v/>
      </c>
      <c r="G1122" s="6">
        <f>IF($J1122="","",IF($J1122&lt;=1500,N(INDEX('Daily Sale entry '!$AD$1:$AD$1501,$J1122+1)),0))</f>
        <v/>
      </c>
      <c r="H1122" s="6">
        <f>IF($J1122="","",ROUND('Opening Balance'!$B$4+SUM($F$2:F1122)-SUM($G$2:G1122),2))</f>
        <v/>
      </c>
      <c r="J1122" s="21">
        <f>IFERROR(MATCH(ROW()-1,$L$2:$L$3001,0),"")</f>
        <v/>
      </c>
      <c r="K1122" s="34">
        <f>IF(AND('Daily Sale entry '!X1122&lt;&gt;"",OR('Daily Sale entry '!AC1122&lt;&gt;"",'Daily Sale entry '!AD1122&lt;&gt;"")),'Daily Sale entry '!X1122+ROW()/10000000,"")</f>
        <v/>
      </c>
      <c r="L1122" s="21">
        <f>IF(K1122="","",COUNTIF($K$2:$K$3001,"&lt;"&amp;K1122)+1)</f>
        <v/>
      </c>
    </row>
    <row r="1123">
      <c r="A1123" s="5">
        <f>IF($J1123="","",IF($J1123&lt;=1500,INDEX('Daily Sale entry '!$X$1:$X$1501,$J1123+1),INDEX('Daily Sale entry '!$V$1:$V$1501,$J1123-1499)))</f>
        <v/>
      </c>
      <c r="B1123">
        <f>IF($J1123="","",IF($J1123&lt;=1500,INDEX('Daily Sale entry '!$Y$1:$Y$1501,$J1123+1)&amp;"","Buyer cheque banked 买家支票存入"&amp;IF(INDEX('Daily Sale entry '!$U$1:$U$1501,$J1123-1499)="","", " - "&amp;INDEX('Daily Sale entry '!$U$1:$U$1501,$J1123-1499))))</f>
        <v/>
      </c>
      <c r="C1123">
        <f>IF($J1123="","",IF($J1123&lt;=1500,INDEX('Daily Sale entry '!$Z$1:$Z$1501,$J1123+1)&amp;"","Cheque deposit 支票存入 (buyer 买家)"))</f>
        <v/>
      </c>
      <c r="D1123">
        <f>IF($J1123="","",IF($J1123&lt;=1500,INDEX('Daily Sale entry '!$AA$1:$AA$1501,$J1123+1)&amp;"",INDEX('Daily Sale entry '!$P$1:$P$1501,$J1123-1499)&amp;""))</f>
        <v/>
      </c>
      <c r="E1123">
        <f>IF($J1123="","",IF($J1123&lt;=1500,IF(N(INDEX('Daily Sale entry '!$AB$1:$AB$1501,$J1123+1))=0,"",INDEX('Daily Sale entry '!$AB$1:$AB$1501,$J1123+1)),1))</f>
        <v/>
      </c>
      <c r="F1123" s="6">
        <f>IF($J1123="","",IF($J1123&lt;=1500,N(INDEX('Daily Sale entry '!$AC$1:$AC$1501,$J1123+1))-IF(AND('Opening Balance'!$B$15=1,INDEX('Daily Sale entry '!$Z$1:$Z$1501,$J1123+1)="Online collection 网上收款",INDEX('Daily Sale entry '!$AA$1:$AA$1501,$J1123+1)&lt;&gt;""),N(INDEX('Daily Sale entry '!$AC$1:$AC$1501,$J1123+1))-TRUNC(N(INDEX('Daily Sale entry '!$AC$1:$AC$1501,$J1123+1))),0),N(INDEX('Daily Sale entry '!$S$1:$S$1501,$J1123-1499))-'Opening Balance'!$B$15*(N(INDEX('Daily Sale entry '!$S$1:$S$1501,$J1123-1499))-TRUNC(N(INDEX('Daily Sale entry '!$S$1:$S$1501,$J1123-1499))))))</f>
        <v/>
      </c>
      <c r="G1123" s="6">
        <f>IF($J1123="","",IF($J1123&lt;=1500,N(INDEX('Daily Sale entry '!$AD$1:$AD$1501,$J1123+1)),0))</f>
        <v/>
      </c>
      <c r="H1123" s="6">
        <f>IF($J1123="","",ROUND('Opening Balance'!$B$4+SUM($F$2:F1123)-SUM($G$2:G1123),2))</f>
        <v/>
      </c>
      <c r="J1123" s="21">
        <f>IFERROR(MATCH(ROW()-1,$L$2:$L$3001,0),"")</f>
        <v/>
      </c>
      <c r="K1123" s="34">
        <f>IF(AND('Daily Sale entry '!X1123&lt;&gt;"",OR('Daily Sale entry '!AC1123&lt;&gt;"",'Daily Sale entry '!AD1123&lt;&gt;"")),'Daily Sale entry '!X1123+ROW()/10000000,"")</f>
        <v/>
      </c>
      <c r="L1123" s="21">
        <f>IF(K1123="","",COUNTIF($K$2:$K$3001,"&lt;"&amp;K1123)+1)</f>
        <v/>
      </c>
    </row>
    <row r="1124">
      <c r="A1124" s="5">
        <f>IF($J1124="","",IF($J1124&lt;=1500,INDEX('Daily Sale entry '!$X$1:$X$1501,$J1124+1),INDEX('Daily Sale entry '!$V$1:$V$1501,$J1124-1499)))</f>
        <v/>
      </c>
      <c r="B1124">
        <f>IF($J1124="","",IF($J1124&lt;=1500,INDEX('Daily Sale entry '!$Y$1:$Y$1501,$J1124+1)&amp;"","Buyer cheque banked 买家支票存入"&amp;IF(INDEX('Daily Sale entry '!$U$1:$U$1501,$J1124-1499)="","", " - "&amp;INDEX('Daily Sale entry '!$U$1:$U$1501,$J1124-1499))))</f>
        <v/>
      </c>
      <c r="C1124">
        <f>IF($J1124="","",IF($J1124&lt;=1500,INDEX('Daily Sale entry '!$Z$1:$Z$1501,$J1124+1)&amp;"","Cheque deposit 支票存入 (buyer 买家)"))</f>
        <v/>
      </c>
      <c r="D1124">
        <f>IF($J1124="","",IF($J1124&lt;=1500,INDEX('Daily Sale entry '!$AA$1:$AA$1501,$J1124+1)&amp;"",INDEX('Daily Sale entry '!$P$1:$P$1501,$J1124-1499)&amp;""))</f>
        <v/>
      </c>
      <c r="E1124">
        <f>IF($J1124="","",IF($J1124&lt;=1500,IF(N(INDEX('Daily Sale entry '!$AB$1:$AB$1501,$J1124+1))=0,"",INDEX('Daily Sale entry '!$AB$1:$AB$1501,$J1124+1)),1))</f>
        <v/>
      </c>
      <c r="F1124" s="6">
        <f>IF($J1124="","",IF($J1124&lt;=1500,N(INDEX('Daily Sale entry '!$AC$1:$AC$1501,$J1124+1))-IF(AND('Opening Balance'!$B$15=1,INDEX('Daily Sale entry '!$Z$1:$Z$1501,$J1124+1)="Online collection 网上收款",INDEX('Daily Sale entry '!$AA$1:$AA$1501,$J1124+1)&lt;&gt;""),N(INDEX('Daily Sale entry '!$AC$1:$AC$1501,$J1124+1))-TRUNC(N(INDEX('Daily Sale entry '!$AC$1:$AC$1501,$J1124+1))),0),N(INDEX('Daily Sale entry '!$S$1:$S$1501,$J1124-1499))-'Opening Balance'!$B$15*(N(INDEX('Daily Sale entry '!$S$1:$S$1501,$J1124-1499))-TRUNC(N(INDEX('Daily Sale entry '!$S$1:$S$1501,$J1124-1499))))))</f>
        <v/>
      </c>
      <c r="G1124" s="6">
        <f>IF($J1124="","",IF($J1124&lt;=1500,N(INDEX('Daily Sale entry '!$AD$1:$AD$1501,$J1124+1)),0))</f>
        <v/>
      </c>
      <c r="H1124" s="6">
        <f>IF($J1124="","",ROUND('Opening Balance'!$B$4+SUM($F$2:F1124)-SUM($G$2:G1124),2))</f>
        <v/>
      </c>
      <c r="J1124" s="21">
        <f>IFERROR(MATCH(ROW()-1,$L$2:$L$3001,0),"")</f>
        <v/>
      </c>
      <c r="K1124" s="34">
        <f>IF(AND('Daily Sale entry '!X1124&lt;&gt;"",OR('Daily Sale entry '!AC1124&lt;&gt;"",'Daily Sale entry '!AD1124&lt;&gt;"")),'Daily Sale entry '!X1124+ROW()/10000000,"")</f>
        <v/>
      </c>
      <c r="L1124" s="21">
        <f>IF(K1124="","",COUNTIF($K$2:$K$3001,"&lt;"&amp;K1124)+1)</f>
        <v/>
      </c>
    </row>
    <row r="1125">
      <c r="A1125" s="5">
        <f>IF($J1125="","",IF($J1125&lt;=1500,INDEX('Daily Sale entry '!$X$1:$X$1501,$J1125+1),INDEX('Daily Sale entry '!$V$1:$V$1501,$J1125-1499)))</f>
        <v/>
      </c>
      <c r="B1125">
        <f>IF($J1125="","",IF($J1125&lt;=1500,INDEX('Daily Sale entry '!$Y$1:$Y$1501,$J1125+1)&amp;"","Buyer cheque banked 买家支票存入"&amp;IF(INDEX('Daily Sale entry '!$U$1:$U$1501,$J1125-1499)="","", " - "&amp;INDEX('Daily Sale entry '!$U$1:$U$1501,$J1125-1499))))</f>
        <v/>
      </c>
      <c r="C1125">
        <f>IF($J1125="","",IF($J1125&lt;=1500,INDEX('Daily Sale entry '!$Z$1:$Z$1501,$J1125+1)&amp;"","Cheque deposit 支票存入 (buyer 买家)"))</f>
        <v/>
      </c>
      <c r="D1125">
        <f>IF($J1125="","",IF($J1125&lt;=1500,INDEX('Daily Sale entry '!$AA$1:$AA$1501,$J1125+1)&amp;"",INDEX('Daily Sale entry '!$P$1:$P$1501,$J1125-1499)&amp;""))</f>
        <v/>
      </c>
      <c r="E1125">
        <f>IF($J1125="","",IF($J1125&lt;=1500,IF(N(INDEX('Daily Sale entry '!$AB$1:$AB$1501,$J1125+1))=0,"",INDEX('Daily Sale entry '!$AB$1:$AB$1501,$J1125+1)),1))</f>
        <v/>
      </c>
      <c r="F1125" s="6">
        <f>IF($J1125="","",IF($J1125&lt;=1500,N(INDEX('Daily Sale entry '!$AC$1:$AC$1501,$J1125+1))-IF(AND('Opening Balance'!$B$15=1,INDEX('Daily Sale entry '!$Z$1:$Z$1501,$J1125+1)="Online collection 网上收款",INDEX('Daily Sale entry '!$AA$1:$AA$1501,$J1125+1)&lt;&gt;""),N(INDEX('Daily Sale entry '!$AC$1:$AC$1501,$J1125+1))-TRUNC(N(INDEX('Daily Sale entry '!$AC$1:$AC$1501,$J1125+1))),0),N(INDEX('Daily Sale entry '!$S$1:$S$1501,$J1125-1499))-'Opening Balance'!$B$15*(N(INDEX('Daily Sale entry '!$S$1:$S$1501,$J1125-1499))-TRUNC(N(INDEX('Daily Sale entry '!$S$1:$S$1501,$J1125-1499))))))</f>
        <v/>
      </c>
      <c r="G1125" s="6">
        <f>IF($J1125="","",IF($J1125&lt;=1500,N(INDEX('Daily Sale entry '!$AD$1:$AD$1501,$J1125+1)),0))</f>
        <v/>
      </c>
      <c r="H1125" s="6">
        <f>IF($J1125="","",ROUND('Opening Balance'!$B$4+SUM($F$2:F1125)-SUM($G$2:G1125),2))</f>
        <v/>
      </c>
      <c r="J1125" s="21">
        <f>IFERROR(MATCH(ROW()-1,$L$2:$L$3001,0),"")</f>
        <v/>
      </c>
      <c r="K1125" s="34">
        <f>IF(AND('Daily Sale entry '!X1125&lt;&gt;"",OR('Daily Sale entry '!AC1125&lt;&gt;"",'Daily Sale entry '!AD1125&lt;&gt;"")),'Daily Sale entry '!X1125+ROW()/10000000,"")</f>
        <v/>
      </c>
      <c r="L1125" s="21">
        <f>IF(K1125="","",COUNTIF($K$2:$K$3001,"&lt;"&amp;K1125)+1)</f>
        <v/>
      </c>
    </row>
    <row r="1126">
      <c r="A1126" s="5">
        <f>IF($J1126="","",IF($J1126&lt;=1500,INDEX('Daily Sale entry '!$X$1:$X$1501,$J1126+1),INDEX('Daily Sale entry '!$V$1:$V$1501,$J1126-1499)))</f>
        <v/>
      </c>
      <c r="B1126">
        <f>IF($J1126="","",IF($J1126&lt;=1500,INDEX('Daily Sale entry '!$Y$1:$Y$1501,$J1126+1)&amp;"","Buyer cheque banked 买家支票存入"&amp;IF(INDEX('Daily Sale entry '!$U$1:$U$1501,$J1126-1499)="","", " - "&amp;INDEX('Daily Sale entry '!$U$1:$U$1501,$J1126-1499))))</f>
        <v/>
      </c>
      <c r="C1126">
        <f>IF($J1126="","",IF($J1126&lt;=1500,INDEX('Daily Sale entry '!$Z$1:$Z$1501,$J1126+1)&amp;"","Cheque deposit 支票存入 (buyer 买家)"))</f>
        <v/>
      </c>
      <c r="D1126">
        <f>IF($J1126="","",IF($J1126&lt;=1500,INDEX('Daily Sale entry '!$AA$1:$AA$1501,$J1126+1)&amp;"",INDEX('Daily Sale entry '!$P$1:$P$1501,$J1126-1499)&amp;""))</f>
        <v/>
      </c>
      <c r="E1126">
        <f>IF($J1126="","",IF($J1126&lt;=1500,IF(N(INDEX('Daily Sale entry '!$AB$1:$AB$1501,$J1126+1))=0,"",INDEX('Daily Sale entry '!$AB$1:$AB$1501,$J1126+1)),1))</f>
        <v/>
      </c>
      <c r="F1126" s="6">
        <f>IF($J1126="","",IF($J1126&lt;=1500,N(INDEX('Daily Sale entry '!$AC$1:$AC$1501,$J1126+1))-IF(AND('Opening Balance'!$B$15=1,INDEX('Daily Sale entry '!$Z$1:$Z$1501,$J1126+1)="Online collection 网上收款",INDEX('Daily Sale entry '!$AA$1:$AA$1501,$J1126+1)&lt;&gt;""),N(INDEX('Daily Sale entry '!$AC$1:$AC$1501,$J1126+1))-TRUNC(N(INDEX('Daily Sale entry '!$AC$1:$AC$1501,$J1126+1))),0),N(INDEX('Daily Sale entry '!$S$1:$S$1501,$J1126-1499))-'Opening Balance'!$B$15*(N(INDEX('Daily Sale entry '!$S$1:$S$1501,$J1126-1499))-TRUNC(N(INDEX('Daily Sale entry '!$S$1:$S$1501,$J1126-1499))))))</f>
        <v/>
      </c>
      <c r="G1126" s="6">
        <f>IF($J1126="","",IF($J1126&lt;=1500,N(INDEX('Daily Sale entry '!$AD$1:$AD$1501,$J1126+1)),0))</f>
        <v/>
      </c>
      <c r="H1126" s="6">
        <f>IF($J1126="","",ROUND('Opening Balance'!$B$4+SUM($F$2:F1126)-SUM($G$2:G1126),2))</f>
        <v/>
      </c>
      <c r="J1126" s="21">
        <f>IFERROR(MATCH(ROW()-1,$L$2:$L$3001,0),"")</f>
        <v/>
      </c>
      <c r="K1126" s="34">
        <f>IF(AND('Daily Sale entry '!X1126&lt;&gt;"",OR('Daily Sale entry '!AC1126&lt;&gt;"",'Daily Sale entry '!AD1126&lt;&gt;"")),'Daily Sale entry '!X1126+ROW()/10000000,"")</f>
        <v/>
      </c>
      <c r="L1126" s="21">
        <f>IF(K1126="","",COUNTIF($K$2:$K$3001,"&lt;"&amp;K1126)+1)</f>
        <v/>
      </c>
    </row>
    <row r="1127">
      <c r="A1127" s="5">
        <f>IF($J1127="","",IF($J1127&lt;=1500,INDEX('Daily Sale entry '!$X$1:$X$1501,$J1127+1),INDEX('Daily Sale entry '!$V$1:$V$1501,$J1127-1499)))</f>
        <v/>
      </c>
      <c r="B1127">
        <f>IF($J1127="","",IF($J1127&lt;=1500,INDEX('Daily Sale entry '!$Y$1:$Y$1501,$J1127+1)&amp;"","Buyer cheque banked 买家支票存入"&amp;IF(INDEX('Daily Sale entry '!$U$1:$U$1501,$J1127-1499)="","", " - "&amp;INDEX('Daily Sale entry '!$U$1:$U$1501,$J1127-1499))))</f>
        <v/>
      </c>
      <c r="C1127">
        <f>IF($J1127="","",IF($J1127&lt;=1500,INDEX('Daily Sale entry '!$Z$1:$Z$1501,$J1127+1)&amp;"","Cheque deposit 支票存入 (buyer 买家)"))</f>
        <v/>
      </c>
      <c r="D1127">
        <f>IF($J1127="","",IF($J1127&lt;=1500,INDEX('Daily Sale entry '!$AA$1:$AA$1501,$J1127+1)&amp;"",INDEX('Daily Sale entry '!$P$1:$P$1501,$J1127-1499)&amp;""))</f>
        <v/>
      </c>
      <c r="E1127">
        <f>IF($J1127="","",IF($J1127&lt;=1500,IF(N(INDEX('Daily Sale entry '!$AB$1:$AB$1501,$J1127+1))=0,"",INDEX('Daily Sale entry '!$AB$1:$AB$1501,$J1127+1)),1))</f>
        <v/>
      </c>
      <c r="F1127" s="6">
        <f>IF($J1127="","",IF($J1127&lt;=1500,N(INDEX('Daily Sale entry '!$AC$1:$AC$1501,$J1127+1))-IF(AND('Opening Balance'!$B$15=1,INDEX('Daily Sale entry '!$Z$1:$Z$1501,$J1127+1)="Online collection 网上收款",INDEX('Daily Sale entry '!$AA$1:$AA$1501,$J1127+1)&lt;&gt;""),N(INDEX('Daily Sale entry '!$AC$1:$AC$1501,$J1127+1))-TRUNC(N(INDEX('Daily Sale entry '!$AC$1:$AC$1501,$J1127+1))),0),N(INDEX('Daily Sale entry '!$S$1:$S$1501,$J1127-1499))-'Opening Balance'!$B$15*(N(INDEX('Daily Sale entry '!$S$1:$S$1501,$J1127-1499))-TRUNC(N(INDEX('Daily Sale entry '!$S$1:$S$1501,$J1127-1499))))))</f>
        <v/>
      </c>
      <c r="G1127" s="6">
        <f>IF($J1127="","",IF($J1127&lt;=1500,N(INDEX('Daily Sale entry '!$AD$1:$AD$1501,$J1127+1)),0))</f>
        <v/>
      </c>
      <c r="H1127" s="6">
        <f>IF($J1127="","",ROUND('Opening Balance'!$B$4+SUM($F$2:F1127)-SUM($G$2:G1127),2))</f>
        <v/>
      </c>
      <c r="J1127" s="21">
        <f>IFERROR(MATCH(ROW()-1,$L$2:$L$3001,0),"")</f>
        <v/>
      </c>
      <c r="K1127" s="34">
        <f>IF(AND('Daily Sale entry '!X1127&lt;&gt;"",OR('Daily Sale entry '!AC1127&lt;&gt;"",'Daily Sale entry '!AD1127&lt;&gt;"")),'Daily Sale entry '!X1127+ROW()/10000000,"")</f>
        <v/>
      </c>
      <c r="L1127" s="21">
        <f>IF(K1127="","",COUNTIF($K$2:$K$3001,"&lt;"&amp;K1127)+1)</f>
        <v/>
      </c>
    </row>
    <row r="1128">
      <c r="A1128" s="5">
        <f>IF($J1128="","",IF($J1128&lt;=1500,INDEX('Daily Sale entry '!$X$1:$X$1501,$J1128+1),INDEX('Daily Sale entry '!$V$1:$V$1501,$J1128-1499)))</f>
        <v/>
      </c>
      <c r="B1128">
        <f>IF($J1128="","",IF($J1128&lt;=1500,INDEX('Daily Sale entry '!$Y$1:$Y$1501,$J1128+1)&amp;"","Buyer cheque banked 买家支票存入"&amp;IF(INDEX('Daily Sale entry '!$U$1:$U$1501,$J1128-1499)="","", " - "&amp;INDEX('Daily Sale entry '!$U$1:$U$1501,$J1128-1499))))</f>
        <v/>
      </c>
      <c r="C1128">
        <f>IF($J1128="","",IF($J1128&lt;=1500,INDEX('Daily Sale entry '!$Z$1:$Z$1501,$J1128+1)&amp;"","Cheque deposit 支票存入 (buyer 买家)"))</f>
        <v/>
      </c>
      <c r="D1128">
        <f>IF($J1128="","",IF($J1128&lt;=1500,INDEX('Daily Sale entry '!$AA$1:$AA$1501,$J1128+1)&amp;"",INDEX('Daily Sale entry '!$P$1:$P$1501,$J1128-1499)&amp;""))</f>
        <v/>
      </c>
      <c r="E1128">
        <f>IF($J1128="","",IF($J1128&lt;=1500,IF(N(INDEX('Daily Sale entry '!$AB$1:$AB$1501,$J1128+1))=0,"",INDEX('Daily Sale entry '!$AB$1:$AB$1501,$J1128+1)),1))</f>
        <v/>
      </c>
      <c r="F1128" s="6">
        <f>IF($J1128="","",IF($J1128&lt;=1500,N(INDEX('Daily Sale entry '!$AC$1:$AC$1501,$J1128+1))-IF(AND('Opening Balance'!$B$15=1,INDEX('Daily Sale entry '!$Z$1:$Z$1501,$J1128+1)="Online collection 网上收款",INDEX('Daily Sale entry '!$AA$1:$AA$1501,$J1128+1)&lt;&gt;""),N(INDEX('Daily Sale entry '!$AC$1:$AC$1501,$J1128+1))-TRUNC(N(INDEX('Daily Sale entry '!$AC$1:$AC$1501,$J1128+1))),0),N(INDEX('Daily Sale entry '!$S$1:$S$1501,$J1128-1499))-'Opening Balance'!$B$15*(N(INDEX('Daily Sale entry '!$S$1:$S$1501,$J1128-1499))-TRUNC(N(INDEX('Daily Sale entry '!$S$1:$S$1501,$J1128-1499))))))</f>
        <v/>
      </c>
      <c r="G1128" s="6">
        <f>IF($J1128="","",IF($J1128&lt;=1500,N(INDEX('Daily Sale entry '!$AD$1:$AD$1501,$J1128+1)),0))</f>
        <v/>
      </c>
      <c r="H1128" s="6">
        <f>IF($J1128="","",ROUND('Opening Balance'!$B$4+SUM($F$2:F1128)-SUM($G$2:G1128),2))</f>
        <v/>
      </c>
      <c r="J1128" s="21">
        <f>IFERROR(MATCH(ROW()-1,$L$2:$L$3001,0),"")</f>
        <v/>
      </c>
      <c r="K1128" s="34">
        <f>IF(AND('Daily Sale entry '!X1128&lt;&gt;"",OR('Daily Sale entry '!AC1128&lt;&gt;"",'Daily Sale entry '!AD1128&lt;&gt;"")),'Daily Sale entry '!X1128+ROW()/10000000,"")</f>
        <v/>
      </c>
      <c r="L1128" s="21">
        <f>IF(K1128="","",COUNTIF($K$2:$K$3001,"&lt;"&amp;K1128)+1)</f>
        <v/>
      </c>
    </row>
    <row r="1129">
      <c r="A1129" s="5">
        <f>IF($J1129="","",IF($J1129&lt;=1500,INDEX('Daily Sale entry '!$X$1:$X$1501,$J1129+1),INDEX('Daily Sale entry '!$V$1:$V$1501,$J1129-1499)))</f>
        <v/>
      </c>
      <c r="B1129">
        <f>IF($J1129="","",IF($J1129&lt;=1500,INDEX('Daily Sale entry '!$Y$1:$Y$1501,$J1129+1)&amp;"","Buyer cheque banked 买家支票存入"&amp;IF(INDEX('Daily Sale entry '!$U$1:$U$1501,$J1129-1499)="","", " - "&amp;INDEX('Daily Sale entry '!$U$1:$U$1501,$J1129-1499))))</f>
        <v/>
      </c>
      <c r="C1129">
        <f>IF($J1129="","",IF($J1129&lt;=1500,INDEX('Daily Sale entry '!$Z$1:$Z$1501,$J1129+1)&amp;"","Cheque deposit 支票存入 (buyer 买家)"))</f>
        <v/>
      </c>
      <c r="D1129">
        <f>IF($J1129="","",IF($J1129&lt;=1500,INDEX('Daily Sale entry '!$AA$1:$AA$1501,$J1129+1)&amp;"",INDEX('Daily Sale entry '!$P$1:$P$1501,$J1129-1499)&amp;""))</f>
        <v/>
      </c>
      <c r="E1129">
        <f>IF($J1129="","",IF($J1129&lt;=1500,IF(N(INDEX('Daily Sale entry '!$AB$1:$AB$1501,$J1129+1))=0,"",INDEX('Daily Sale entry '!$AB$1:$AB$1501,$J1129+1)),1))</f>
        <v/>
      </c>
      <c r="F1129" s="6">
        <f>IF($J1129="","",IF($J1129&lt;=1500,N(INDEX('Daily Sale entry '!$AC$1:$AC$1501,$J1129+1))-IF(AND('Opening Balance'!$B$15=1,INDEX('Daily Sale entry '!$Z$1:$Z$1501,$J1129+1)="Online collection 网上收款",INDEX('Daily Sale entry '!$AA$1:$AA$1501,$J1129+1)&lt;&gt;""),N(INDEX('Daily Sale entry '!$AC$1:$AC$1501,$J1129+1))-TRUNC(N(INDEX('Daily Sale entry '!$AC$1:$AC$1501,$J1129+1))),0),N(INDEX('Daily Sale entry '!$S$1:$S$1501,$J1129-1499))-'Opening Balance'!$B$15*(N(INDEX('Daily Sale entry '!$S$1:$S$1501,$J1129-1499))-TRUNC(N(INDEX('Daily Sale entry '!$S$1:$S$1501,$J1129-1499))))))</f>
        <v/>
      </c>
      <c r="G1129" s="6">
        <f>IF($J1129="","",IF($J1129&lt;=1500,N(INDEX('Daily Sale entry '!$AD$1:$AD$1501,$J1129+1)),0))</f>
        <v/>
      </c>
      <c r="H1129" s="6">
        <f>IF($J1129="","",ROUND('Opening Balance'!$B$4+SUM($F$2:F1129)-SUM($G$2:G1129),2))</f>
        <v/>
      </c>
      <c r="J1129" s="21">
        <f>IFERROR(MATCH(ROW()-1,$L$2:$L$3001,0),"")</f>
        <v/>
      </c>
      <c r="K1129" s="34">
        <f>IF(AND('Daily Sale entry '!X1129&lt;&gt;"",OR('Daily Sale entry '!AC1129&lt;&gt;"",'Daily Sale entry '!AD1129&lt;&gt;"")),'Daily Sale entry '!X1129+ROW()/10000000,"")</f>
        <v/>
      </c>
      <c r="L1129" s="21">
        <f>IF(K1129="","",COUNTIF($K$2:$K$3001,"&lt;"&amp;K1129)+1)</f>
        <v/>
      </c>
    </row>
    <row r="1130">
      <c r="A1130" s="5">
        <f>IF($J1130="","",IF($J1130&lt;=1500,INDEX('Daily Sale entry '!$X$1:$X$1501,$J1130+1),INDEX('Daily Sale entry '!$V$1:$V$1501,$J1130-1499)))</f>
        <v/>
      </c>
      <c r="B1130">
        <f>IF($J1130="","",IF($J1130&lt;=1500,INDEX('Daily Sale entry '!$Y$1:$Y$1501,$J1130+1)&amp;"","Buyer cheque banked 买家支票存入"&amp;IF(INDEX('Daily Sale entry '!$U$1:$U$1501,$J1130-1499)="","", " - "&amp;INDEX('Daily Sale entry '!$U$1:$U$1501,$J1130-1499))))</f>
        <v/>
      </c>
      <c r="C1130">
        <f>IF($J1130="","",IF($J1130&lt;=1500,INDEX('Daily Sale entry '!$Z$1:$Z$1501,$J1130+1)&amp;"","Cheque deposit 支票存入 (buyer 买家)"))</f>
        <v/>
      </c>
      <c r="D1130">
        <f>IF($J1130="","",IF($J1130&lt;=1500,INDEX('Daily Sale entry '!$AA$1:$AA$1501,$J1130+1)&amp;"",INDEX('Daily Sale entry '!$P$1:$P$1501,$J1130-1499)&amp;""))</f>
        <v/>
      </c>
      <c r="E1130">
        <f>IF($J1130="","",IF($J1130&lt;=1500,IF(N(INDEX('Daily Sale entry '!$AB$1:$AB$1501,$J1130+1))=0,"",INDEX('Daily Sale entry '!$AB$1:$AB$1501,$J1130+1)),1))</f>
        <v/>
      </c>
      <c r="F1130" s="6">
        <f>IF($J1130="","",IF($J1130&lt;=1500,N(INDEX('Daily Sale entry '!$AC$1:$AC$1501,$J1130+1))-IF(AND('Opening Balance'!$B$15=1,INDEX('Daily Sale entry '!$Z$1:$Z$1501,$J1130+1)="Online collection 网上收款",INDEX('Daily Sale entry '!$AA$1:$AA$1501,$J1130+1)&lt;&gt;""),N(INDEX('Daily Sale entry '!$AC$1:$AC$1501,$J1130+1))-TRUNC(N(INDEX('Daily Sale entry '!$AC$1:$AC$1501,$J1130+1))),0),N(INDEX('Daily Sale entry '!$S$1:$S$1501,$J1130-1499))-'Opening Balance'!$B$15*(N(INDEX('Daily Sale entry '!$S$1:$S$1501,$J1130-1499))-TRUNC(N(INDEX('Daily Sale entry '!$S$1:$S$1501,$J1130-1499))))))</f>
        <v/>
      </c>
      <c r="G1130" s="6">
        <f>IF($J1130="","",IF($J1130&lt;=1500,N(INDEX('Daily Sale entry '!$AD$1:$AD$1501,$J1130+1)),0))</f>
        <v/>
      </c>
      <c r="H1130" s="6">
        <f>IF($J1130="","",ROUND('Opening Balance'!$B$4+SUM($F$2:F1130)-SUM($G$2:G1130),2))</f>
        <v/>
      </c>
      <c r="J1130" s="21">
        <f>IFERROR(MATCH(ROW()-1,$L$2:$L$3001,0),"")</f>
        <v/>
      </c>
      <c r="K1130" s="34">
        <f>IF(AND('Daily Sale entry '!X1130&lt;&gt;"",OR('Daily Sale entry '!AC1130&lt;&gt;"",'Daily Sale entry '!AD1130&lt;&gt;"")),'Daily Sale entry '!X1130+ROW()/10000000,"")</f>
        <v/>
      </c>
      <c r="L1130" s="21">
        <f>IF(K1130="","",COUNTIF($K$2:$K$3001,"&lt;"&amp;K1130)+1)</f>
        <v/>
      </c>
    </row>
    <row r="1131">
      <c r="A1131" s="5">
        <f>IF($J1131="","",IF($J1131&lt;=1500,INDEX('Daily Sale entry '!$X$1:$X$1501,$J1131+1),INDEX('Daily Sale entry '!$V$1:$V$1501,$J1131-1499)))</f>
        <v/>
      </c>
      <c r="B1131">
        <f>IF($J1131="","",IF($J1131&lt;=1500,INDEX('Daily Sale entry '!$Y$1:$Y$1501,$J1131+1)&amp;"","Buyer cheque banked 买家支票存入"&amp;IF(INDEX('Daily Sale entry '!$U$1:$U$1501,$J1131-1499)="","", " - "&amp;INDEX('Daily Sale entry '!$U$1:$U$1501,$J1131-1499))))</f>
        <v/>
      </c>
      <c r="C1131">
        <f>IF($J1131="","",IF($J1131&lt;=1500,INDEX('Daily Sale entry '!$Z$1:$Z$1501,$J1131+1)&amp;"","Cheque deposit 支票存入 (buyer 买家)"))</f>
        <v/>
      </c>
      <c r="D1131">
        <f>IF($J1131="","",IF($J1131&lt;=1500,INDEX('Daily Sale entry '!$AA$1:$AA$1501,$J1131+1)&amp;"",INDEX('Daily Sale entry '!$P$1:$P$1501,$J1131-1499)&amp;""))</f>
        <v/>
      </c>
      <c r="E1131">
        <f>IF($J1131="","",IF($J1131&lt;=1500,IF(N(INDEX('Daily Sale entry '!$AB$1:$AB$1501,$J1131+1))=0,"",INDEX('Daily Sale entry '!$AB$1:$AB$1501,$J1131+1)),1))</f>
        <v/>
      </c>
      <c r="F1131" s="6">
        <f>IF($J1131="","",IF($J1131&lt;=1500,N(INDEX('Daily Sale entry '!$AC$1:$AC$1501,$J1131+1))-IF(AND('Opening Balance'!$B$15=1,INDEX('Daily Sale entry '!$Z$1:$Z$1501,$J1131+1)="Online collection 网上收款",INDEX('Daily Sale entry '!$AA$1:$AA$1501,$J1131+1)&lt;&gt;""),N(INDEX('Daily Sale entry '!$AC$1:$AC$1501,$J1131+1))-TRUNC(N(INDEX('Daily Sale entry '!$AC$1:$AC$1501,$J1131+1))),0),N(INDEX('Daily Sale entry '!$S$1:$S$1501,$J1131-1499))-'Opening Balance'!$B$15*(N(INDEX('Daily Sale entry '!$S$1:$S$1501,$J1131-1499))-TRUNC(N(INDEX('Daily Sale entry '!$S$1:$S$1501,$J1131-1499))))))</f>
        <v/>
      </c>
      <c r="G1131" s="6">
        <f>IF($J1131="","",IF($J1131&lt;=1500,N(INDEX('Daily Sale entry '!$AD$1:$AD$1501,$J1131+1)),0))</f>
        <v/>
      </c>
      <c r="H1131" s="6">
        <f>IF($J1131="","",ROUND('Opening Balance'!$B$4+SUM($F$2:F1131)-SUM($G$2:G1131),2))</f>
        <v/>
      </c>
      <c r="J1131" s="21">
        <f>IFERROR(MATCH(ROW()-1,$L$2:$L$3001,0),"")</f>
        <v/>
      </c>
      <c r="K1131" s="34">
        <f>IF(AND('Daily Sale entry '!X1131&lt;&gt;"",OR('Daily Sale entry '!AC1131&lt;&gt;"",'Daily Sale entry '!AD1131&lt;&gt;"")),'Daily Sale entry '!X1131+ROW()/10000000,"")</f>
        <v/>
      </c>
      <c r="L1131" s="21">
        <f>IF(K1131="","",COUNTIF($K$2:$K$3001,"&lt;"&amp;K1131)+1)</f>
        <v/>
      </c>
    </row>
    <row r="1132">
      <c r="A1132" s="5">
        <f>IF($J1132="","",IF($J1132&lt;=1500,INDEX('Daily Sale entry '!$X$1:$X$1501,$J1132+1),INDEX('Daily Sale entry '!$V$1:$V$1501,$J1132-1499)))</f>
        <v/>
      </c>
      <c r="B1132">
        <f>IF($J1132="","",IF($J1132&lt;=1500,INDEX('Daily Sale entry '!$Y$1:$Y$1501,$J1132+1)&amp;"","Buyer cheque banked 买家支票存入"&amp;IF(INDEX('Daily Sale entry '!$U$1:$U$1501,$J1132-1499)="","", " - "&amp;INDEX('Daily Sale entry '!$U$1:$U$1501,$J1132-1499))))</f>
        <v/>
      </c>
      <c r="C1132">
        <f>IF($J1132="","",IF($J1132&lt;=1500,INDEX('Daily Sale entry '!$Z$1:$Z$1501,$J1132+1)&amp;"","Cheque deposit 支票存入 (buyer 买家)"))</f>
        <v/>
      </c>
      <c r="D1132">
        <f>IF($J1132="","",IF($J1132&lt;=1500,INDEX('Daily Sale entry '!$AA$1:$AA$1501,$J1132+1)&amp;"",INDEX('Daily Sale entry '!$P$1:$P$1501,$J1132-1499)&amp;""))</f>
        <v/>
      </c>
      <c r="E1132">
        <f>IF($J1132="","",IF($J1132&lt;=1500,IF(N(INDEX('Daily Sale entry '!$AB$1:$AB$1501,$J1132+1))=0,"",INDEX('Daily Sale entry '!$AB$1:$AB$1501,$J1132+1)),1))</f>
        <v/>
      </c>
      <c r="F1132" s="6">
        <f>IF($J1132="","",IF($J1132&lt;=1500,N(INDEX('Daily Sale entry '!$AC$1:$AC$1501,$J1132+1))-IF(AND('Opening Balance'!$B$15=1,INDEX('Daily Sale entry '!$Z$1:$Z$1501,$J1132+1)="Online collection 网上收款",INDEX('Daily Sale entry '!$AA$1:$AA$1501,$J1132+1)&lt;&gt;""),N(INDEX('Daily Sale entry '!$AC$1:$AC$1501,$J1132+1))-TRUNC(N(INDEX('Daily Sale entry '!$AC$1:$AC$1501,$J1132+1))),0),N(INDEX('Daily Sale entry '!$S$1:$S$1501,$J1132-1499))-'Opening Balance'!$B$15*(N(INDEX('Daily Sale entry '!$S$1:$S$1501,$J1132-1499))-TRUNC(N(INDEX('Daily Sale entry '!$S$1:$S$1501,$J1132-1499))))))</f>
        <v/>
      </c>
      <c r="G1132" s="6">
        <f>IF($J1132="","",IF($J1132&lt;=1500,N(INDEX('Daily Sale entry '!$AD$1:$AD$1501,$J1132+1)),0))</f>
        <v/>
      </c>
      <c r="H1132" s="6">
        <f>IF($J1132="","",ROUND('Opening Balance'!$B$4+SUM($F$2:F1132)-SUM($G$2:G1132),2))</f>
        <v/>
      </c>
      <c r="J1132" s="21">
        <f>IFERROR(MATCH(ROW()-1,$L$2:$L$3001,0),"")</f>
        <v/>
      </c>
      <c r="K1132" s="34">
        <f>IF(AND('Daily Sale entry '!X1132&lt;&gt;"",OR('Daily Sale entry '!AC1132&lt;&gt;"",'Daily Sale entry '!AD1132&lt;&gt;"")),'Daily Sale entry '!X1132+ROW()/10000000,"")</f>
        <v/>
      </c>
      <c r="L1132" s="21">
        <f>IF(K1132="","",COUNTIF($K$2:$K$3001,"&lt;"&amp;K1132)+1)</f>
        <v/>
      </c>
    </row>
    <row r="1133">
      <c r="A1133" s="5">
        <f>IF($J1133="","",IF($J1133&lt;=1500,INDEX('Daily Sale entry '!$X$1:$X$1501,$J1133+1),INDEX('Daily Sale entry '!$V$1:$V$1501,$J1133-1499)))</f>
        <v/>
      </c>
      <c r="B1133">
        <f>IF($J1133="","",IF($J1133&lt;=1500,INDEX('Daily Sale entry '!$Y$1:$Y$1501,$J1133+1)&amp;"","Buyer cheque banked 买家支票存入"&amp;IF(INDEX('Daily Sale entry '!$U$1:$U$1501,$J1133-1499)="","", " - "&amp;INDEX('Daily Sale entry '!$U$1:$U$1501,$J1133-1499))))</f>
        <v/>
      </c>
      <c r="C1133">
        <f>IF($J1133="","",IF($J1133&lt;=1500,INDEX('Daily Sale entry '!$Z$1:$Z$1501,$J1133+1)&amp;"","Cheque deposit 支票存入 (buyer 买家)"))</f>
        <v/>
      </c>
      <c r="D1133">
        <f>IF($J1133="","",IF($J1133&lt;=1500,INDEX('Daily Sale entry '!$AA$1:$AA$1501,$J1133+1)&amp;"",INDEX('Daily Sale entry '!$P$1:$P$1501,$J1133-1499)&amp;""))</f>
        <v/>
      </c>
      <c r="E1133">
        <f>IF($J1133="","",IF($J1133&lt;=1500,IF(N(INDEX('Daily Sale entry '!$AB$1:$AB$1501,$J1133+1))=0,"",INDEX('Daily Sale entry '!$AB$1:$AB$1501,$J1133+1)),1))</f>
        <v/>
      </c>
      <c r="F1133" s="6">
        <f>IF($J1133="","",IF($J1133&lt;=1500,N(INDEX('Daily Sale entry '!$AC$1:$AC$1501,$J1133+1))-IF(AND('Opening Balance'!$B$15=1,INDEX('Daily Sale entry '!$Z$1:$Z$1501,$J1133+1)="Online collection 网上收款",INDEX('Daily Sale entry '!$AA$1:$AA$1501,$J1133+1)&lt;&gt;""),N(INDEX('Daily Sale entry '!$AC$1:$AC$1501,$J1133+1))-TRUNC(N(INDEX('Daily Sale entry '!$AC$1:$AC$1501,$J1133+1))),0),N(INDEX('Daily Sale entry '!$S$1:$S$1501,$J1133-1499))-'Opening Balance'!$B$15*(N(INDEX('Daily Sale entry '!$S$1:$S$1501,$J1133-1499))-TRUNC(N(INDEX('Daily Sale entry '!$S$1:$S$1501,$J1133-1499))))))</f>
        <v/>
      </c>
      <c r="G1133" s="6">
        <f>IF($J1133="","",IF($J1133&lt;=1500,N(INDEX('Daily Sale entry '!$AD$1:$AD$1501,$J1133+1)),0))</f>
        <v/>
      </c>
      <c r="H1133" s="6">
        <f>IF($J1133="","",ROUND('Opening Balance'!$B$4+SUM($F$2:F1133)-SUM($G$2:G1133),2))</f>
        <v/>
      </c>
      <c r="J1133" s="21">
        <f>IFERROR(MATCH(ROW()-1,$L$2:$L$3001,0),"")</f>
        <v/>
      </c>
      <c r="K1133" s="34">
        <f>IF(AND('Daily Sale entry '!X1133&lt;&gt;"",OR('Daily Sale entry '!AC1133&lt;&gt;"",'Daily Sale entry '!AD1133&lt;&gt;"")),'Daily Sale entry '!X1133+ROW()/10000000,"")</f>
        <v/>
      </c>
      <c r="L1133" s="21">
        <f>IF(K1133="","",COUNTIF($K$2:$K$3001,"&lt;"&amp;K1133)+1)</f>
        <v/>
      </c>
    </row>
    <row r="1134">
      <c r="A1134" s="5">
        <f>IF($J1134="","",IF($J1134&lt;=1500,INDEX('Daily Sale entry '!$X$1:$X$1501,$J1134+1),INDEX('Daily Sale entry '!$V$1:$V$1501,$J1134-1499)))</f>
        <v/>
      </c>
      <c r="B1134">
        <f>IF($J1134="","",IF($J1134&lt;=1500,INDEX('Daily Sale entry '!$Y$1:$Y$1501,$J1134+1)&amp;"","Buyer cheque banked 买家支票存入"&amp;IF(INDEX('Daily Sale entry '!$U$1:$U$1501,$J1134-1499)="","", " - "&amp;INDEX('Daily Sale entry '!$U$1:$U$1501,$J1134-1499))))</f>
        <v/>
      </c>
      <c r="C1134">
        <f>IF($J1134="","",IF($J1134&lt;=1500,INDEX('Daily Sale entry '!$Z$1:$Z$1501,$J1134+1)&amp;"","Cheque deposit 支票存入 (buyer 买家)"))</f>
        <v/>
      </c>
      <c r="D1134">
        <f>IF($J1134="","",IF($J1134&lt;=1500,INDEX('Daily Sale entry '!$AA$1:$AA$1501,$J1134+1)&amp;"",INDEX('Daily Sale entry '!$P$1:$P$1501,$J1134-1499)&amp;""))</f>
        <v/>
      </c>
      <c r="E1134">
        <f>IF($J1134="","",IF($J1134&lt;=1500,IF(N(INDEX('Daily Sale entry '!$AB$1:$AB$1501,$J1134+1))=0,"",INDEX('Daily Sale entry '!$AB$1:$AB$1501,$J1134+1)),1))</f>
        <v/>
      </c>
      <c r="F1134" s="6">
        <f>IF($J1134="","",IF($J1134&lt;=1500,N(INDEX('Daily Sale entry '!$AC$1:$AC$1501,$J1134+1))-IF(AND('Opening Balance'!$B$15=1,INDEX('Daily Sale entry '!$Z$1:$Z$1501,$J1134+1)="Online collection 网上收款",INDEX('Daily Sale entry '!$AA$1:$AA$1501,$J1134+1)&lt;&gt;""),N(INDEX('Daily Sale entry '!$AC$1:$AC$1501,$J1134+1))-TRUNC(N(INDEX('Daily Sale entry '!$AC$1:$AC$1501,$J1134+1))),0),N(INDEX('Daily Sale entry '!$S$1:$S$1501,$J1134-1499))-'Opening Balance'!$B$15*(N(INDEX('Daily Sale entry '!$S$1:$S$1501,$J1134-1499))-TRUNC(N(INDEX('Daily Sale entry '!$S$1:$S$1501,$J1134-1499))))))</f>
        <v/>
      </c>
      <c r="G1134" s="6">
        <f>IF($J1134="","",IF($J1134&lt;=1500,N(INDEX('Daily Sale entry '!$AD$1:$AD$1501,$J1134+1)),0))</f>
        <v/>
      </c>
      <c r="H1134" s="6">
        <f>IF($J1134="","",ROUND('Opening Balance'!$B$4+SUM($F$2:F1134)-SUM($G$2:G1134),2))</f>
        <v/>
      </c>
      <c r="J1134" s="21">
        <f>IFERROR(MATCH(ROW()-1,$L$2:$L$3001,0),"")</f>
        <v/>
      </c>
      <c r="K1134" s="34">
        <f>IF(AND('Daily Sale entry '!X1134&lt;&gt;"",OR('Daily Sale entry '!AC1134&lt;&gt;"",'Daily Sale entry '!AD1134&lt;&gt;"")),'Daily Sale entry '!X1134+ROW()/10000000,"")</f>
        <v/>
      </c>
      <c r="L1134" s="21">
        <f>IF(K1134="","",COUNTIF($K$2:$K$3001,"&lt;"&amp;K1134)+1)</f>
        <v/>
      </c>
    </row>
    <row r="1135">
      <c r="A1135" s="5">
        <f>IF($J1135="","",IF($J1135&lt;=1500,INDEX('Daily Sale entry '!$X$1:$X$1501,$J1135+1),INDEX('Daily Sale entry '!$V$1:$V$1501,$J1135-1499)))</f>
        <v/>
      </c>
      <c r="B1135">
        <f>IF($J1135="","",IF($J1135&lt;=1500,INDEX('Daily Sale entry '!$Y$1:$Y$1501,$J1135+1)&amp;"","Buyer cheque banked 买家支票存入"&amp;IF(INDEX('Daily Sale entry '!$U$1:$U$1501,$J1135-1499)="","", " - "&amp;INDEX('Daily Sale entry '!$U$1:$U$1501,$J1135-1499))))</f>
        <v/>
      </c>
      <c r="C1135">
        <f>IF($J1135="","",IF($J1135&lt;=1500,INDEX('Daily Sale entry '!$Z$1:$Z$1501,$J1135+1)&amp;"","Cheque deposit 支票存入 (buyer 买家)"))</f>
        <v/>
      </c>
      <c r="D1135">
        <f>IF($J1135="","",IF($J1135&lt;=1500,INDEX('Daily Sale entry '!$AA$1:$AA$1501,$J1135+1)&amp;"",INDEX('Daily Sale entry '!$P$1:$P$1501,$J1135-1499)&amp;""))</f>
        <v/>
      </c>
      <c r="E1135">
        <f>IF($J1135="","",IF($J1135&lt;=1500,IF(N(INDEX('Daily Sale entry '!$AB$1:$AB$1501,$J1135+1))=0,"",INDEX('Daily Sale entry '!$AB$1:$AB$1501,$J1135+1)),1))</f>
        <v/>
      </c>
      <c r="F1135" s="6">
        <f>IF($J1135="","",IF($J1135&lt;=1500,N(INDEX('Daily Sale entry '!$AC$1:$AC$1501,$J1135+1))-IF(AND('Opening Balance'!$B$15=1,INDEX('Daily Sale entry '!$Z$1:$Z$1501,$J1135+1)="Online collection 网上收款",INDEX('Daily Sale entry '!$AA$1:$AA$1501,$J1135+1)&lt;&gt;""),N(INDEX('Daily Sale entry '!$AC$1:$AC$1501,$J1135+1))-TRUNC(N(INDEX('Daily Sale entry '!$AC$1:$AC$1501,$J1135+1))),0),N(INDEX('Daily Sale entry '!$S$1:$S$1501,$J1135-1499))-'Opening Balance'!$B$15*(N(INDEX('Daily Sale entry '!$S$1:$S$1501,$J1135-1499))-TRUNC(N(INDEX('Daily Sale entry '!$S$1:$S$1501,$J1135-1499))))))</f>
        <v/>
      </c>
      <c r="G1135" s="6">
        <f>IF($J1135="","",IF($J1135&lt;=1500,N(INDEX('Daily Sale entry '!$AD$1:$AD$1501,$J1135+1)),0))</f>
        <v/>
      </c>
      <c r="H1135" s="6">
        <f>IF($J1135="","",ROUND('Opening Balance'!$B$4+SUM($F$2:F1135)-SUM($G$2:G1135),2))</f>
        <v/>
      </c>
      <c r="J1135" s="21">
        <f>IFERROR(MATCH(ROW()-1,$L$2:$L$3001,0),"")</f>
        <v/>
      </c>
      <c r="K1135" s="34">
        <f>IF(AND('Daily Sale entry '!X1135&lt;&gt;"",OR('Daily Sale entry '!AC1135&lt;&gt;"",'Daily Sale entry '!AD1135&lt;&gt;"")),'Daily Sale entry '!X1135+ROW()/10000000,"")</f>
        <v/>
      </c>
      <c r="L1135" s="21">
        <f>IF(K1135="","",COUNTIF($K$2:$K$3001,"&lt;"&amp;K1135)+1)</f>
        <v/>
      </c>
    </row>
    <row r="1136">
      <c r="A1136" s="5">
        <f>IF($J1136="","",IF($J1136&lt;=1500,INDEX('Daily Sale entry '!$X$1:$X$1501,$J1136+1),INDEX('Daily Sale entry '!$V$1:$V$1501,$J1136-1499)))</f>
        <v/>
      </c>
      <c r="B1136">
        <f>IF($J1136="","",IF($J1136&lt;=1500,INDEX('Daily Sale entry '!$Y$1:$Y$1501,$J1136+1)&amp;"","Buyer cheque banked 买家支票存入"&amp;IF(INDEX('Daily Sale entry '!$U$1:$U$1501,$J1136-1499)="","", " - "&amp;INDEX('Daily Sale entry '!$U$1:$U$1501,$J1136-1499))))</f>
        <v/>
      </c>
      <c r="C1136">
        <f>IF($J1136="","",IF($J1136&lt;=1500,INDEX('Daily Sale entry '!$Z$1:$Z$1501,$J1136+1)&amp;"","Cheque deposit 支票存入 (buyer 买家)"))</f>
        <v/>
      </c>
      <c r="D1136">
        <f>IF($J1136="","",IF($J1136&lt;=1500,INDEX('Daily Sale entry '!$AA$1:$AA$1501,$J1136+1)&amp;"",INDEX('Daily Sale entry '!$P$1:$P$1501,$J1136-1499)&amp;""))</f>
        <v/>
      </c>
      <c r="E1136">
        <f>IF($J1136="","",IF($J1136&lt;=1500,IF(N(INDEX('Daily Sale entry '!$AB$1:$AB$1501,$J1136+1))=0,"",INDEX('Daily Sale entry '!$AB$1:$AB$1501,$J1136+1)),1))</f>
        <v/>
      </c>
      <c r="F1136" s="6">
        <f>IF($J1136="","",IF($J1136&lt;=1500,N(INDEX('Daily Sale entry '!$AC$1:$AC$1501,$J1136+1))-IF(AND('Opening Balance'!$B$15=1,INDEX('Daily Sale entry '!$Z$1:$Z$1501,$J1136+1)="Online collection 网上收款",INDEX('Daily Sale entry '!$AA$1:$AA$1501,$J1136+1)&lt;&gt;""),N(INDEX('Daily Sale entry '!$AC$1:$AC$1501,$J1136+1))-TRUNC(N(INDEX('Daily Sale entry '!$AC$1:$AC$1501,$J1136+1))),0),N(INDEX('Daily Sale entry '!$S$1:$S$1501,$J1136-1499))-'Opening Balance'!$B$15*(N(INDEX('Daily Sale entry '!$S$1:$S$1501,$J1136-1499))-TRUNC(N(INDEX('Daily Sale entry '!$S$1:$S$1501,$J1136-1499))))))</f>
        <v/>
      </c>
      <c r="G1136" s="6">
        <f>IF($J1136="","",IF($J1136&lt;=1500,N(INDEX('Daily Sale entry '!$AD$1:$AD$1501,$J1136+1)),0))</f>
        <v/>
      </c>
      <c r="H1136" s="6">
        <f>IF($J1136="","",ROUND('Opening Balance'!$B$4+SUM($F$2:F1136)-SUM($G$2:G1136),2))</f>
        <v/>
      </c>
      <c r="J1136" s="21">
        <f>IFERROR(MATCH(ROW()-1,$L$2:$L$3001,0),"")</f>
        <v/>
      </c>
      <c r="K1136" s="34">
        <f>IF(AND('Daily Sale entry '!X1136&lt;&gt;"",OR('Daily Sale entry '!AC1136&lt;&gt;"",'Daily Sale entry '!AD1136&lt;&gt;"")),'Daily Sale entry '!X1136+ROW()/10000000,"")</f>
        <v/>
      </c>
      <c r="L1136" s="21">
        <f>IF(K1136="","",COUNTIF($K$2:$K$3001,"&lt;"&amp;K1136)+1)</f>
        <v/>
      </c>
    </row>
    <row r="1137">
      <c r="A1137" s="5">
        <f>IF($J1137="","",IF($J1137&lt;=1500,INDEX('Daily Sale entry '!$X$1:$X$1501,$J1137+1),INDEX('Daily Sale entry '!$V$1:$V$1501,$J1137-1499)))</f>
        <v/>
      </c>
      <c r="B1137">
        <f>IF($J1137="","",IF($J1137&lt;=1500,INDEX('Daily Sale entry '!$Y$1:$Y$1501,$J1137+1)&amp;"","Buyer cheque banked 买家支票存入"&amp;IF(INDEX('Daily Sale entry '!$U$1:$U$1501,$J1137-1499)="","", " - "&amp;INDEX('Daily Sale entry '!$U$1:$U$1501,$J1137-1499))))</f>
        <v/>
      </c>
      <c r="C1137">
        <f>IF($J1137="","",IF($J1137&lt;=1500,INDEX('Daily Sale entry '!$Z$1:$Z$1501,$J1137+1)&amp;"","Cheque deposit 支票存入 (buyer 买家)"))</f>
        <v/>
      </c>
      <c r="D1137">
        <f>IF($J1137="","",IF($J1137&lt;=1500,INDEX('Daily Sale entry '!$AA$1:$AA$1501,$J1137+1)&amp;"",INDEX('Daily Sale entry '!$P$1:$P$1501,$J1137-1499)&amp;""))</f>
        <v/>
      </c>
      <c r="E1137">
        <f>IF($J1137="","",IF($J1137&lt;=1500,IF(N(INDEX('Daily Sale entry '!$AB$1:$AB$1501,$J1137+1))=0,"",INDEX('Daily Sale entry '!$AB$1:$AB$1501,$J1137+1)),1))</f>
        <v/>
      </c>
      <c r="F1137" s="6">
        <f>IF($J1137="","",IF($J1137&lt;=1500,N(INDEX('Daily Sale entry '!$AC$1:$AC$1501,$J1137+1))-IF(AND('Opening Balance'!$B$15=1,INDEX('Daily Sale entry '!$Z$1:$Z$1501,$J1137+1)="Online collection 网上收款",INDEX('Daily Sale entry '!$AA$1:$AA$1501,$J1137+1)&lt;&gt;""),N(INDEX('Daily Sale entry '!$AC$1:$AC$1501,$J1137+1))-TRUNC(N(INDEX('Daily Sale entry '!$AC$1:$AC$1501,$J1137+1))),0),N(INDEX('Daily Sale entry '!$S$1:$S$1501,$J1137-1499))-'Opening Balance'!$B$15*(N(INDEX('Daily Sale entry '!$S$1:$S$1501,$J1137-1499))-TRUNC(N(INDEX('Daily Sale entry '!$S$1:$S$1501,$J1137-1499))))))</f>
        <v/>
      </c>
      <c r="G1137" s="6">
        <f>IF($J1137="","",IF($J1137&lt;=1500,N(INDEX('Daily Sale entry '!$AD$1:$AD$1501,$J1137+1)),0))</f>
        <v/>
      </c>
      <c r="H1137" s="6">
        <f>IF($J1137="","",ROUND('Opening Balance'!$B$4+SUM($F$2:F1137)-SUM($G$2:G1137),2))</f>
        <v/>
      </c>
      <c r="J1137" s="21">
        <f>IFERROR(MATCH(ROW()-1,$L$2:$L$3001,0),"")</f>
        <v/>
      </c>
      <c r="K1137" s="34">
        <f>IF(AND('Daily Sale entry '!X1137&lt;&gt;"",OR('Daily Sale entry '!AC1137&lt;&gt;"",'Daily Sale entry '!AD1137&lt;&gt;"")),'Daily Sale entry '!X1137+ROW()/10000000,"")</f>
        <v/>
      </c>
      <c r="L1137" s="21">
        <f>IF(K1137="","",COUNTIF($K$2:$K$3001,"&lt;"&amp;K1137)+1)</f>
        <v/>
      </c>
    </row>
    <row r="1138">
      <c r="A1138" s="5">
        <f>IF($J1138="","",IF($J1138&lt;=1500,INDEX('Daily Sale entry '!$X$1:$X$1501,$J1138+1),INDEX('Daily Sale entry '!$V$1:$V$1501,$J1138-1499)))</f>
        <v/>
      </c>
      <c r="B1138">
        <f>IF($J1138="","",IF($J1138&lt;=1500,INDEX('Daily Sale entry '!$Y$1:$Y$1501,$J1138+1)&amp;"","Buyer cheque banked 买家支票存入"&amp;IF(INDEX('Daily Sale entry '!$U$1:$U$1501,$J1138-1499)="","", " - "&amp;INDEX('Daily Sale entry '!$U$1:$U$1501,$J1138-1499))))</f>
        <v/>
      </c>
      <c r="C1138">
        <f>IF($J1138="","",IF($J1138&lt;=1500,INDEX('Daily Sale entry '!$Z$1:$Z$1501,$J1138+1)&amp;"","Cheque deposit 支票存入 (buyer 买家)"))</f>
        <v/>
      </c>
      <c r="D1138">
        <f>IF($J1138="","",IF($J1138&lt;=1500,INDEX('Daily Sale entry '!$AA$1:$AA$1501,$J1138+1)&amp;"",INDEX('Daily Sale entry '!$P$1:$P$1501,$J1138-1499)&amp;""))</f>
        <v/>
      </c>
      <c r="E1138">
        <f>IF($J1138="","",IF($J1138&lt;=1500,IF(N(INDEX('Daily Sale entry '!$AB$1:$AB$1501,$J1138+1))=0,"",INDEX('Daily Sale entry '!$AB$1:$AB$1501,$J1138+1)),1))</f>
        <v/>
      </c>
      <c r="F1138" s="6">
        <f>IF($J1138="","",IF($J1138&lt;=1500,N(INDEX('Daily Sale entry '!$AC$1:$AC$1501,$J1138+1))-IF(AND('Opening Balance'!$B$15=1,INDEX('Daily Sale entry '!$Z$1:$Z$1501,$J1138+1)="Online collection 网上收款",INDEX('Daily Sale entry '!$AA$1:$AA$1501,$J1138+1)&lt;&gt;""),N(INDEX('Daily Sale entry '!$AC$1:$AC$1501,$J1138+1))-TRUNC(N(INDEX('Daily Sale entry '!$AC$1:$AC$1501,$J1138+1))),0),N(INDEX('Daily Sale entry '!$S$1:$S$1501,$J1138-1499))-'Opening Balance'!$B$15*(N(INDEX('Daily Sale entry '!$S$1:$S$1501,$J1138-1499))-TRUNC(N(INDEX('Daily Sale entry '!$S$1:$S$1501,$J1138-1499))))))</f>
        <v/>
      </c>
      <c r="G1138" s="6">
        <f>IF($J1138="","",IF($J1138&lt;=1500,N(INDEX('Daily Sale entry '!$AD$1:$AD$1501,$J1138+1)),0))</f>
        <v/>
      </c>
      <c r="H1138" s="6">
        <f>IF($J1138="","",ROUND('Opening Balance'!$B$4+SUM($F$2:F1138)-SUM($G$2:G1138),2))</f>
        <v/>
      </c>
      <c r="J1138" s="21">
        <f>IFERROR(MATCH(ROW()-1,$L$2:$L$3001,0),"")</f>
        <v/>
      </c>
      <c r="K1138" s="34">
        <f>IF(AND('Daily Sale entry '!X1138&lt;&gt;"",OR('Daily Sale entry '!AC1138&lt;&gt;"",'Daily Sale entry '!AD1138&lt;&gt;"")),'Daily Sale entry '!X1138+ROW()/10000000,"")</f>
        <v/>
      </c>
      <c r="L1138" s="21">
        <f>IF(K1138="","",COUNTIF($K$2:$K$3001,"&lt;"&amp;K1138)+1)</f>
        <v/>
      </c>
    </row>
    <row r="1139">
      <c r="A1139" s="5">
        <f>IF($J1139="","",IF($J1139&lt;=1500,INDEX('Daily Sale entry '!$X$1:$X$1501,$J1139+1),INDEX('Daily Sale entry '!$V$1:$V$1501,$J1139-1499)))</f>
        <v/>
      </c>
      <c r="B1139">
        <f>IF($J1139="","",IF($J1139&lt;=1500,INDEX('Daily Sale entry '!$Y$1:$Y$1501,$J1139+1)&amp;"","Buyer cheque banked 买家支票存入"&amp;IF(INDEX('Daily Sale entry '!$U$1:$U$1501,$J1139-1499)="","", " - "&amp;INDEX('Daily Sale entry '!$U$1:$U$1501,$J1139-1499))))</f>
        <v/>
      </c>
      <c r="C1139">
        <f>IF($J1139="","",IF($J1139&lt;=1500,INDEX('Daily Sale entry '!$Z$1:$Z$1501,$J1139+1)&amp;"","Cheque deposit 支票存入 (buyer 买家)"))</f>
        <v/>
      </c>
      <c r="D1139">
        <f>IF($J1139="","",IF($J1139&lt;=1500,INDEX('Daily Sale entry '!$AA$1:$AA$1501,$J1139+1)&amp;"",INDEX('Daily Sale entry '!$P$1:$P$1501,$J1139-1499)&amp;""))</f>
        <v/>
      </c>
      <c r="E1139">
        <f>IF($J1139="","",IF($J1139&lt;=1500,IF(N(INDEX('Daily Sale entry '!$AB$1:$AB$1501,$J1139+1))=0,"",INDEX('Daily Sale entry '!$AB$1:$AB$1501,$J1139+1)),1))</f>
        <v/>
      </c>
      <c r="F1139" s="6">
        <f>IF($J1139="","",IF($J1139&lt;=1500,N(INDEX('Daily Sale entry '!$AC$1:$AC$1501,$J1139+1))-IF(AND('Opening Balance'!$B$15=1,INDEX('Daily Sale entry '!$Z$1:$Z$1501,$J1139+1)="Online collection 网上收款",INDEX('Daily Sale entry '!$AA$1:$AA$1501,$J1139+1)&lt;&gt;""),N(INDEX('Daily Sale entry '!$AC$1:$AC$1501,$J1139+1))-TRUNC(N(INDEX('Daily Sale entry '!$AC$1:$AC$1501,$J1139+1))),0),N(INDEX('Daily Sale entry '!$S$1:$S$1501,$J1139-1499))-'Opening Balance'!$B$15*(N(INDEX('Daily Sale entry '!$S$1:$S$1501,$J1139-1499))-TRUNC(N(INDEX('Daily Sale entry '!$S$1:$S$1501,$J1139-1499))))))</f>
        <v/>
      </c>
      <c r="G1139" s="6">
        <f>IF($J1139="","",IF($J1139&lt;=1500,N(INDEX('Daily Sale entry '!$AD$1:$AD$1501,$J1139+1)),0))</f>
        <v/>
      </c>
      <c r="H1139" s="6">
        <f>IF($J1139="","",ROUND('Opening Balance'!$B$4+SUM($F$2:F1139)-SUM($G$2:G1139),2))</f>
        <v/>
      </c>
      <c r="J1139" s="21">
        <f>IFERROR(MATCH(ROW()-1,$L$2:$L$3001,0),"")</f>
        <v/>
      </c>
      <c r="K1139" s="34">
        <f>IF(AND('Daily Sale entry '!X1139&lt;&gt;"",OR('Daily Sale entry '!AC1139&lt;&gt;"",'Daily Sale entry '!AD1139&lt;&gt;"")),'Daily Sale entry '!X1139+ROW()/10000000,"")</f>
        <v/>
      </c>
      <c r="L1139" s="21">
        <f>IF(K1139="","",COUNTIF($K$2:$K$3001,"&lt;"&amp;K1139)+1)</f>
        <v/>
      </c>
    </row>
    <row r="1140">
      <c r="A1140" s="5">
        <f>IF($J1140="","",IF($J1140&lt;=1500,INDEX('Daily Sale entry '!$X$1:$X$1501,$J1140+1),INDEX('Daily Sale entry '!$V$1:$V$1501,$J1140-1499)))</f>
        <v/>
      </c>
      <c r="B1140">
        <f>IF($J1140="","",IF($J1140&lt;=1500,INDEX('Daily Sale entry '!$Y$1:$Y$1501,$J1140+1)&amp;"","Buyer cheque banked 买家支票存入"&amp;IF(INDEX('Daily Sale entry '!$U$1:$U$1501,$J1140-1499)="","", " - "&amp;INDEX('Daily Sale entry '!$U$1:$U$1501,$J1140-1499))))</f>
        <v/>
      </c>
      <c r="C1140">
        <f>IF($J1140="","",IF($J1140&lt;=1500,INDEX('Daily Sale entry '!$Z$1:$Z$1501,$J1140+1)&amp;"","Cheque deposit 支票存入 (buyer 买家)"))</f>
        <v/>
      </c>
      <c r="D1140">
        <f>IF($J1140="","",IF($J1140&lt;=1500,INDEX('Daily Sale entry '!$AA$1:$AA$1501,$J1140+1)&amp;"",INDEX('Daily Sale entry '!$P$1:$P$1501,$J1140-1499)&amp;""))</f>
        <v/>
      </c>
      <c r="E1140">
        <f>IF($J1140="","",IF($J1140&lt;=1500,IF(N(INDEX('Daily Sale entry '!$AB$1:$AB$1501,$J1140+1))=0,"",INDEX('Daily Sale entry '!$AB$1:$AB$1501,$J1140+1)),1))</f>
        <v/>
      </c>
      <c r="F1140" s="6">
        <f>IF($J1140="","",IF($J1140&lt;=1500,N(INDEX('Daily Sale entry '!$AC$1:$AC$1501,$J1140+1))-IF(AND('Opening Balance'!$B$15=1,INDEX('Daily Sale entry '!$Z$1:$Z$1501,$J1140+1)="Online collection 网上收款",INDEX('Daily Sale entry '!$AA$1:$AA$1501,$J1140+1)&lt;&gt;""),N(INDEX('Daily Sale entry '!$AC$1:$AC$1501,$J1140+1))-TRUNC(N(INDEX('Daily Sale entry '!$AC$1:$AC$1501,$J1140+1))),0),N(INDEX('Daily Sale entry '!$S$1:$S$1501,$J1140-1499))-'Opening Balance'!$B$15*(N(INDEX('Daily Sale entry '!$S$1:$S$1501,$J1140-1499))-TRUNC(N(INDEX('Daily Sale entry '!$S$1:$S$1501,$J1140-1499))))))</f>
        <v/>
      </c>
      <c r="G1140" s="6">
        <f>IF($J1140="","",IF($J1140&lt;=1500,N(INDEX('Daily Sale entry '!$AD$1:$AD$1501,$J1140+1)),0))</f>
        <v/>
      </c>
      <c r="H1140" s="6">
        <f>IF($J1140="","",ROUND('Opening Balance'!$B$4+SUM($F$2:F1140)-SUM($G$2:G1140),2))</f>
        <v/>
      </c>
      <c r="J1140" s="21">
        <f>IFERROR(MATCH(ROW()-1,$L$2:$L$3001,0),"")</f>
        <v/>
      </c>
      <c r="K1140" s="34">
        <f>IF(AND('Daily Sale entry '!X1140&lt;&gt;"",OR('Daily Sale entry '!AC1140&lt;&gt;"",'Daily Sale entry '!AD1140&lt;&gt;"")),'Daily Sale entry '!X1140+ROW()/10000000,"")</f>
        <v/>
      </c>
      <c r="L1140" s="21">
        <f>IF(K1140="","",COUNTIF($K$2:$K$3001,"&lt;"&amp;K1140)+1)</f>
        <v/>
      </c>
    </row>
    <row r="1141">
      <c r="A1141" s="5">
        <f>IF($J1141="","",IF($J1141&lt;=1500,INDEX('Daily Sale entry '!$X$1:$X$1501,$J1141+1),INDEX('Daily Sale entry '!$V$1:$V$1501,$J1141-1499)))</f>
        <v/>
      </c>
      <c r="B1141">
        <f>IF($J1141="","",IF($J1141&lt;=1500,INDEX('Daily Sale entry '!$Y$1:$Y$1501,$J1141+1)&amp;"","Buyer cheque banked 买家支票存入"&amp;IF(INDEX('Daily Sale entry '!$U$1:$U$1501,$J1141-1499)="","", " - "&amp;INDEX('Daily Sale entry '!$U$1:$U$1501,$J1141-1499))))</f>
        <v/>
      </c>
      <c r="C1141">
        <f>IF($J1141="","",IF($J1141&lt;=1500,INDEX('Daily Sale entry '!$Z$1:$Z$1501,$J1141+1)&amp;"","Cheque deposit 支票存入 (buyer 买家)"))</f>
        <v/>
      </c>
      <c r="D1141">
        <f>IF($J1141="","",IF($J1141&lt;=1500,INDEX('Daily Sale entry '!$AA$1:$AA$1501,$J1141+1)&amp;"",INDEX('Daily Sale entry '!$P$1:$P$1501,$J1141-1499)&amp;""))</f>
        <v/>
      </c>
      <c r="E1141">
        <f>IF($J1141="","",IF($J1141&lt;=1500,IF(N(INDEX('Daily Sale entry '!$AB$1:$AB$1501,$J1141+1))=0,"",INDEX('Daily Sale entry '!$AB$1:$AB$1501,$J1141+1)),1))</f>
        <v/>
      </c>
      <c r="F1141" s="6">
        <f>IF($J1141="","",IF($J1141&lt;=1500,N(INDEX('Daily Sale entry '!$AC$1:$AC$1501,$J1141+1))-IF(AND('Opening Balance'!$B$15=1,INDEX('Daily Sale entry '!$Z$1:$Z$1501,$J1141+1)="Online collection 网上收款",INDEX('Daily Sale entry '!$AA$1:$AA$1501,$J1141+1)&lt;&gt;""),N(INDEX('Daily Sale entry '!$AC$1:$AC$1501,$J1141+1))-TRUNC(N(INDEX('Daily Sale entry '!$AC$1:$AC$1501,$J1141+1))),0),N(INDEX('Daily Sale entry '!$S$1:$S$1501,$J1141-1499))-'Opening Balance'!$B$15*(N(INDEX('Daily Sale entry '!$S$1:$S$1501,$J1141-1499))-TRUNC(N(INDEX('Daily Sale entry '!$S$1:$S$1501,$J1141-1499))))))</f>
        <v/>
      </c>
      <c r="G1141" s="6">
        <f>IF($J1141="","",IF($J1141&lt;=1500,N(INDEX('Daily Sale entry '!$AD$1:$AD$1501,$J1141+1)),0))</f>
        <v/>
      </c>
      <c r="H1141" s="6">
        <f>IF($J1141="","",ROUND('Opening Balance'!$B$4+SUM($F$2:F1141)-SUM($G$2:G1141),2))</f>
        <v/>
      </c>
      <c r="J1141" s="21">
        <f>IFERROR(MATCH(ROW()-1,$L$2:$L$3001,0),"")</f>
        <v/>
      </c>
      <c r="K1141" s="34">
        <f>IF(AND('Daily Sale entry '!X1141&lt;&gt;"",OR('Daily Sale entry '!AC1141&lt;&gt;"",'Daily Sale entry '!AD1141&lt;&gt;"")),'Daily Sale entry '!X1141+ROW()/10000000,"")</f>
        <v/>
      </c>
      <c r="L1141" s="21">
        <f>IF(K1141="","",COUNTIF($K$2:$K$3001,"&lt;"&amp;K1141)+1)</f>
        <v/>
      </c>
    </row>
    <row r="1142">
      <c r="A1142" s="5">
        <f>IF($J1142="","",IF($J1142&lt;=1500,INDEX('Daily Sale entry '!$X$1:$X$1501,$J1142+1),INDEX('Daily Sale entry '!$V$1:$V$1501,$J1142-1499)))</f>
        <v/>
      </c>
      <c r="B1142">
        <f>IF($J1142="","",IF($J1142&lt;=1500,INDEX('Daily Sale entry '!$Y$1:$Y$1501,$J1142+1)&amp;"","Buyer cheque banked 买家支票存入"&amp;IF(INDEX('Daily Sale entry '!$U$1:$U$1501,$J1142-1499)="","", " - "&amp;INDEX('Daily Sale entry '!$U$1:$U$1501,$J1142-1499))))</f>
        <v/>
      </c>
      <c r="C1142">
        <f>IF($J1142="","",IF($J1142&lt;=1500,INDEX('Daily Sale entry '!$Z$1:$Z$1501,$J1142+1)&amp;"","Cheque deposit 支票存入 (buyer 买家)"))</f>
        <v/>
      </c>
      <c r="D1142">
        <f>IF($J1142="","",IF($J1142&lt;=1500,INDEX('Daily Sale entry '!$AA$1:$AA$1501,$J1142+1)&amp;"",INDEX('Daily Sale entry '!$P$1:$P$1501,$J1142-1499)&amp;""))</f>
        <v/>
      </c>
      <c r="E1142">
        <f>IF($J1142="","",IF($J1142&lt;=1500,IF(N(INDEX('Daily Sale entry '!$AB$1:$AB$1501,$J1142+1))=0,"",INDEX('Daily Sale entry '!$AB$1:$AB$1501,$J1142+1)),1))</f>
        <v/>
      </c>
      <c r="F1142" s="6">
        <f>IF($J1142="","",IF($J1142&lt;=1500,N(INDEX('Daily Sale entry '!$AC$1:$AC$1501,$J1142+1))-IF(AND('Opening Balance'!$B$15=1,INDEX('Daily Sale entry '!$Z$1:$Z$1501,$J1142+1)="Online collection 网上收款",INDEX('Daily Sale entry '!$AA$1:$AA$1501,$J1142+1)&lt;&gt;""),N(INDEX('Daily Sale entry '!$AC$1:$AC$1501,$J1142+1))-TRUNC(N(INDEX('Daily Sale entry '!$AC$1:$AC$1501,$J1142+1))),0),N(INDEX('Daily Sale entry '!$S$1:$S$1501,$J1142-1499))-'Opening Balance'!$B$15*(N(INDEX('Daily Sale entry '!$S$1:$S$1501,$J1142-1499))-TRUNC(N(INDEX('Daily Sale entry '!$S$1:$S$1501,$J1142-1499))))))</f>
        <v/>
      </c>
      <c r="G1142" s="6">
        <f>IF($J1142="","",IF($J1142&lt;=1500,N(INDEX('Daily Sale entry '!$AD$1:$AD$1501,$J1142+1)),0))</f>
        <v/>
      </c>
      <c r="H1142" s="6">
        <f>IF($J1142="","",ROUND('Opening Balance'!$B$4+SUM($F$2:F1142)-SUM($G$2:G1142),2))</f>
        <v/>
      </c>
      <c r="J1142" s="21">
        <f>IFERROR(MATCH(ROW()-1,$L$2:$L$3001,0),"")</f>
        <v/>
      </c>
      <c r="K1142" s="34">
        <f>IF(AND('Daily Sale entry '!X1142&lt;&gt;"",OR('Daily Sale entry '!AC1142&lt;&gt;"",'Daily Sale entry '!AD1142&lt;&gt;"")),'Daily Sale entry '!X1142+ROW()/10000000,"")</f>
        <v/>
      </c>
      <c r="L1142" s="21">
        <f>IF(K1142="","",COUNTIF($K$2:$K$3001,"&lt;"&amp;K1142)+1)</f>
        <v/>
      </c>
    </row>
    <row r="1143">
      <c r="A1143" s="5">
        <f>IF($J1143="","",IF($J1143&lt;=1500,INDEX('Daily Sale entry '!$X$1:$X$1501,$J1143+1),INDEX('Daily Sale entry '!$V$1:$V$1501,$J1143-1499)))</f>
        <v/>
      </c>
      <c r="B1143">
        <f>IF($J1143="","",IF($J1143&lt;=1500,INDEX('Daily Sale entry '!$Y$1:$Y$1501,$J1143+1)&amp;"","Buyer cheque banked 买家支票存入"&amp;IF(INDEX('Daily Sale entry '!$U$1:$U$1501,$J1143-1499)="","", " - "&amp;INDEX('Daily Sale entry '!$U$1:$U$1501,$J1143-1499))))</f>
        <v/>
      </c>
      <c r="C1143">
        <f>IF($J1143="","",IF($J1143&lt;=1500,INDEX('Daily Sale entry '!$Z$1:$Z$1501,$J1143+1)&amp;"","Cheque deposit 支票存入 (buyer 买家)"))</f>
        <v/>
      </c>
      <c r="D1143">
        <f>IF($J1143="","",IF($J1143&lt;=1500,INDEX('Daily Sale entry '!$AA$1:$AA$1501,$J1143+1)&amp;"",INDEX('Daily Sale entry '!$P$1:$P$1501,$J1143-1499)&amp;""))</f>
        <v/>
      </c>
      <c r="E1143">
        <f>IF($J1143="","",IF($J1143&lt;=1500,IF(N(INDEX('Daily Sale entry '!$AB$1:$AB$1501,$J1143+1))=0,"",INDEX('Daily Sale entry '!$AB$1:$AB$1501,$J1143+1)),1))</f>
        <v/>
      </c>
      <c r="F1143" s="6">
        <f>IF($J1143="","",IF($J1143&lt;=1500,N(INDEX('Daily Sale entry '!$AC$1:$AC$1501,$J1143+1))-IF(AND('Opening Balance'!$B$15=1,INDEX('Daily Sale entry '!$Z$1:$Z$1501,$J1143+1)="Online collection 网上收款",INDEX('Daily Sale entry '!$AA$1:$AA$1501,$J1143+1)&lt;&gt;""),N(INDEX('Daily Sale entry '!$AC$1:$AC$1501,$J1143+1))-TRUNC(N(INDEX('Daily Sale entry '!$AC$1:$AC$1501,$J1143+1))),0),N(INDEX('Daily Sale entry '!$S$1:$S$1501,$J1143-1499))-'Opening Balance'!$B$15*(N(INDEX('Daily Sale entry '!$S$1:$S$1501,$J1143-1499))-TRUNC(N(INDEX('Daily Sale entry '!$S$1:$S$1501,$J1143-1499))))))</f>
        <v/>
      </c>
      <c r="G1143" s="6">
        <f>IF($J1143="","",IF($J1143&lt;=1500,N(INDEX('Daily Sale entry '!$AD$1:$AD$1501,$J1143+1)),0))</f>
        <v/>
      </c>
      <c r="H1143" s="6">
        <f>IF($J1143="","",ROUND('Opening Balance'!$B$4+SUM($F$2:F1143)-SUM($G$2:G1143),2))</f>
        <v/>
      </c>
      <c r="J1143" s="21">
        <f>IFERROR(MATCH(ROW()-1,$L$2:$L$3001,0),"")</f>
        <v/>
      </c>
      <c r="K1143" s="34">
        <f>IF(AND('Daily Sale entry '!X1143&lt;&gt;"",OR('Daily Sale entry '!AC1143&lt;&gt;"",'Daily Sale entry '!AD1143&lt;&gt;"")),'Daily Sale entry '!X1143+ROW()/10000000,"")</f>
        <v/>
      </c>
      <c r="L1143" s="21">
        <f>IF(K1143="","",COUNTIF($K$2:$K$3001,"&lt;"&amp;K1143)+1)</f>
        <v/>
      </c>
    </row>
    <row r="1144">
      <c r="A1144" s="5">
        <f>IF($J1144="","",IF($J1144&lt;=1500,INDEX('Daily Sale entry '!$X$1:$X$1501,$J1144+1),INDEX('Daily Sale entry '!$V$1:$V$1501,$J1144-1499)))</f>
        <v/>
      </c>
      <c r="B1144">
        <f>IF($J1144="","",IF($J1144&lt;=1500,INDEX('Daily Sale entry '!$Y$1:$Y$1501,$J1144+1)&amp;"","Buyer cheque banked 买家支票存入"&amp;IF(INDEX('Daily Sale entry '!$U$1:$U$1501,$J1144-1499)="","", " - "&amp;INDEX('Daily Sale entry '!$U$1:$U$1501,$J1144-1499))))</f>
        <v/>
      </c>
      <c r="C1144">
        <f>IF($J1144="","",IF($J1144&lt;=1500,INDEX('Daily Sale entry '!$Z$1:$Z$1501,$J1144+1)&amp;"","Cheque deposit 支票存入 (buyer 买家)"))</f>
        <v/>
      </c>
      <c r="D1144">
        <f>IF($J1144="","",IF($J1144&lt;=1500,INDEX('Daily Sale entry '!$AA$1:$AA$1501,$J1144+1)&amp;"",INDEX('Daily Sale entry '!$P$1:$P$1501,$J1144-1499)&amp;""))</f>
        <v/>
      </c>
      <c r="E1144">
        <f>IF($J1144="","",IF($J1144&lt;=1500,IF(N(INDEX('Daily Sale entry '!$AB$1:$AB$1501,$J1144+1))=0,"",INDEX('Daily Sale entry '!$AB$1:$AB$1501,$J1144+1)),1))</f>
        <v/>
      </c>
      <c r="F1144" s="6">
        <f>IF($J1144="","",IF($J1144&lt;=1500,N(INDEX('Daily Sale entry '!$AC$1:$AC$1501,$J1144+1))-IF(AND('Opening Balance'!$B$15=1,INDEX('Daily Sale entry '!$Z$1:$Z$1501,$J1144+1)="Online collection 网上收款",INDEX('Daily Sale entry '!$AA$1:$AA$1501,$J1144+1)&lt;&gt;""),N(INDEX('Daily Sale entry '!$AC$1:$AC$1501,$J1144+1))-TRUNC(N(INDEX('Daily Sale entry '!$AC$1:$AC$1501,$J1144+1))),0),N(INDEX('Daily Sale entry '!$S$1:$S$1501,$J1144-1499))-'Opening Balance'!$B$15*(N(INDEX('Daily Sale entry '!$S$1:$S$1501,$J1144-1499))-TRUNC(N(INDEX('Daily Sale entry '!$S$1:$S$1501,$J1144-1499))))))</f>
        <v/>
      </c>
      <c r="G1144" s="6">
        <f>IF($J1144="","",IF($J1144&lt;=1500,N(INDEX('Daily Sale entry '!$AD$1:$AD$1501,$J1144+1)),0))</f>
        <v/>
      </c>
      <c r="H1144" s="6">
        <f>IF($J1144="","",ROUND('Opening Balance'!$B$4+SUM($F$2:F1144)-SUM($G$2:G1144),2))</f>
        <v/>
      </c>
      <c r="J1144" s="21">
        <f>IFERROR(MATCH(ROW()-1,$L$2:$L$3001,0),"")</f>
        <v/>
      </c>
      <c r="K1144" s="34">
        <f>IF(AND('Daily Sale entry '!X1144&lt;&gt;"",OR('Daily Sale entry '!AC1144&lt;&gt;"",'Daily Sale entry '!AD1144&lt;&gt;"")),'Daily Sale entry '!X1144+ROW()/10000000,"")</f>
        <v/>
      </c>
      <c r="L1144" s="21">
        <f>IF(K1144="","",COUNTIF($K$2:$K$3001,"&lt;"&amp;K1144)+1)</f>
        <v/>
      </c>
    </row>
    <row r="1145">
      <c r="A1145" s="5">
        <f>IF($J1145="","",IF($J1145&lt;=1500,INDEX('Daily Sale entry '!$X$1:$X$1501,$J1145+1),INDEX('Daily Sale entry '!$V$1:$V$1501,$J1145-1499)))</f>
        <v/>
      </c>
      <c r="B1145">
        <f>IF($J1145="","",IF($J1145&lt;=1500,INDEX('Daily Sale entry '!$Y$1:$Y$1501,$J1145+1)&amp;"","Buyer cheque banked 买家支票存入"&amp;IF(INDEX('Daily Sale entry '!$U$1:$U$1501,$J1145-1499)="","", " - "&amp;INDEX('Daily Sale entry '!$U$1:$U$1501,$J1145-1499))))</f>
        <v/>
      </c>
      <c r="C1145">
        <f>IF($J1145="","",IF($J1145&lt;=1500,INDEX('Daily Sale entry '!$Z$1:$Z$1501,$J1145+1)&amp;"","Cheque deposit 支票存入 (buyer 买家)"))</f>
        <v/>
      </c>
      <c r="D1145">
        <f>IF($J1145="","",IF($J1145&lt;=1500,INDEX('Daily Sale entry '!$AA$1:$AA$1501,$J1145+1)&amp;"",INDEX('Daily Sale entry '!$P$1:$P$1501,$J1145-1499)&amp;""))</f>
        <v/>
      </c>
      <c r="E1145">
        <f>IF($J1145="","",IF($J1145&lt;=1500,IF(N(INDEX('Daily Sale entry '!$AB$1:$AB$1501,$J1145+1))=0,"",INDEX('Daily Sale entry '!$AB$1:$AB$1501,$J1145+1)),1))</f>
        <v/>
      </c>
      <c r="F1145" s="6">
        <f>IF($J1145="","",IF($J1145&lt;=1500,N(INDEX('Daily Sale entry '!$AC$1:$AC$1501,$J1145+1))-IF(AND('Opening Balance'!$B$15=1,INDEX('Daily Sale entry '!$Z$1:$Z$1501,$J1145+1)="Online collection 网上收款",INDEX('Daily Sale entry '!$AA$1:$AA$1501,$J1145+1)&lt;&gt;""),N(INDEX('Daily Sale entry '!$AC$1:$AC$1501,$J1145+1))-TRUNC(N(INDEX('Daily Sale entry '!$AC$1:$AC$1501,$J1145+1))),0),N(INDEX('Daily Sale entry '!$S$1:$S$1501,$J1145-1499))-'Opening Balance'!$B$15*(N(INDEX('Daily Sale entry '!$S$1:$S$1501,$J1145-1499))-TRUNC(N(INDEX('Daily Sale entry '!$S$1:$S$1501,$J1145-1499))))))</f>
        <v/>
      </c>
      <c r="G1145" s="6">
        <f>IF($J1145="","",IF($J1145&lt;=1500,N(INDEX('Daily Sale entry '!$AD$1:$AD$1501,$J1145+1)),0))</f>
        <v/>
      </c>
      <c r="H1145" s="6">
        <f>IF($J1145="","",ROUND('Opening Balance'!$B$4+SUM($F$2:F1145)-SUM($G$2:G1145),2))</f>
        <v/>
      </c>
      <c r="J1145" s="21">
        <f>IFERROR(MATCH(ROW()-1,$L$2:$L$3001,0),"")</f>
        <v/>
      </c>
      <c r="K1145" s="34">
        <f>IF(AND('Daily Sale entry '!X1145&lt;&gt;"",OR('Daily Sale entry '!AC1145&lt;&gt;"",'Daily Sale entry '!AD1145&lt;&gt;"")),'Daily Sale entry '!X1145+ROW()/10000000,"")</f>
        <v/>
      </c>
      <c r="L1145" s="21">
        <f>IF(K1145="","",COUNTIF($K$2:$K$3001,"&lt;"&amp;K1145)+1)</f>
        <v/>
      </c>
    </row>
    <row r="1146">
      <c r="A1146" s="5">
        <f>IF($J1146="","",IF($J1146&lt;=1500,INDEX('Daily Sale entry '!$X$1:$X$1501,$J1146+1),INDEX('Daily Sale entry '!$V$1:$V$1501,$J1146-1499)))</f>
        <v/>
      </c>
      <c r="B1146">
        <f>IF($J1146="","",IF($J1146&lt;=1500,INDEX('Daily Sale entry '!$Y$1:$Y$1501,$J1146+1)&amp;"","Buyer cheque banked 买家支票存入"&amp;IF(INDEX('Daily Sale entry '!$U$1:$U$1501,$J1146-1499)="","", " - "&amp;INDEX('Daily Sale entry '!$U$1:$U$1501,$J1146-1499))))</f>
        <v/>
      </c>
      <c r="C1146">
        <f>IF($J1146="","",IF($J1146&lt;=1500,INDEX('Daily Sale entry '!$Z$1:$Z$1501,$J1146+1)&amp;"","Cheque deposit 支票存入 (buyer 买家)"))</f>
        <v/>
      </c>
      <c r="D1146">
        <f>IF($J1146="","",IF($J1146&lt;=1500,INDEX('Daily Sale entry '!$AA$1:$AA$1501,$J1146+1)&amp;"",INDEX('Daily Sale entry '!$P$1:$P$1501,$J1146-1499)&amp;""))</f>
        <v/>
      </c>
      <c r="E1146">
        <f>IF($J1146="","",IF($J1146&lt;=1500,IF(N(INDEX('Daily Sale entry '!$AB$1:$AB$1501,$J1146+1))=0,"",INDEX('Daily Sale entry '!$AB$1:$AB$1501,$J1146+1)),1))</f>
        <v/>
      </c>
      <c r="F1146" s="6">
        <f>IF($J1146="","",IF($J1146&lt;=1500,N(INDEX('Daily Sale entry '!$AC$1:$AC$1501,$J1146+1))-IF(AND('Opening Balance'!$B$15=1,INDEX('Daily Sale entry '!$Z$1:$Z$1501,$J1146+1)="Online collection 网上收款",INDEX('Daily Sale entry '!$AA$1:$AA$1501,$J1146+1)&lt;&gt;""),N(INDEX('Daily Sale entry '!$AC$1:$AC$1501,$J1146+1))-TRUNC(N(INDEX('Daily Sale entry '!$AC$1:$AC$1501,$J1146+1))),0),N(INDEX('Daily Sale entry '!$S$1:$S$1501,$J1146-1499))-'Opening Balance'!$B$15*(N(INDEX('Daily Sale entry '!$S$1:$S$1501,$J1146-1499))-TRUNC(N(INDEX('Daily Sale entry '!$S$1:$S$1501,$J1146-1499))))))</f>
        <v/>
      </c>
      <c r="G1146" s="6">
        <f>IF($J1146="","",IF($J1146&lt;=1500,N(INDEX('Daily Sale entry '!$AD$1:$AD$1501,$J1146+1)),0))</f>
        <v/>
      </c>
      <c r="H1146" s="6">
        <f>IF($J1146="","",ROUND('Opening Balance'!$B$4+SUM($F$2:F1146)-SUM($G$2:G1146),2))</f>
        <v/>
      </c>
      <c r="J1146" s="21">
        <f>IFERROR(MATCH(ROW()-1,$L$2:$L$3001,0),"")</f>
        <v/>
      </c>
      <c r="K1146" s="34">
        <f>IF(AND('Daily Sale entry '!X1146&lt;&gt;"",OR('Daily Sale entry '!AC1146&lt;&gt;"",'Daily Sale entry '!AD1146&lt;&gt;"")),'Daily Sale entry '!X1146+ROW()/10000000,"")</f>
        <v/>
      </c>
      <c r="L1146" s="21">
        <f>IF(K1146="","",COUNTIF($K$2:$K$3001,"&lt;"&amp;K1146)+1)</f>
        <v/>
      </c>
    </row>
    <row r="1147">
      <c r="A1147" s="5">
        <f>IF($J1147="","",IF($J1147&lt;=1500,INDEX('Daily Sale entry '!$X$1:$X$1501,$J1147+1),INDEX('Daily Sale entry '!$V$1:$V$1501,$J1147-1499)))</f>
        <v/>
      </c>
      <c r="B1147">
        <f>IF($J1147="","",IF($J1147&lt;=1500,INDEX('Daily Sale entry '!$Y$1:$Y$1501,$J1147+1)&amp;"","Buyer cheque banked 买家支票存入"&amp;IF(INDEX('Daily Sale entry '!$U$1:$U$1501,$J1147-1499)="","", " - "&amp;INDEX('Daily Sale entry '!$U$1:$U$1501,$J1147-1499))))</f>
        <v/>
      </c>
      <c r="C1147">
        <f>IF($J1147="","",IF($J1147&lt;=1500,INDEX('Daily Sale entry '!$Z$1:$Z$1501,$J1147+1)&amp;"","Cheque deposit 支票存入 (buyer 买家)"))</f>
        <v/>
      </c>
      <c r="D1147">
        <f>IF($J1147="","",IF($J1147&lt;=1500,INDEX('Daily Sale entry '!$AA$1:$AA$1501,$J1147+1)&amp;"",INDEX('Daily Sale entry '!$P$1:$P$1501,$J1147-1499)&amp;""))</f>
        <v/>
      </c>
      <c r="E1147">
        <f>IF($J1147="","",IF($J1147&lt;=1500,IF(N(INDEX('Daily Sale entry '!$AB$1:$AB$1501,$J1147+1))=0,"",INDEX('Daily Sale entry '!$AB$1:$AB$1501,$J1147+1)),1))</f>
        <v/>
      </c>
      <c r="F1147" s="6">
        <f>IF($J1147="","",IF($J1147&lt;=1500,N(INDEX('Daily Sale entry '!$AC$1:$AC$1501,$J1147+1))-IF(AND('Opening Balance'!$B$15=1,INDEX('Daily Sale entry '!$Z$1:$Z$1501,$J1147+1)="Online collection 网上收款",INDEX('Daily Sale entry '!$AA$1:$AA$1501,$J1147+1)&lt;&gt;""),N(INDEX('Daily Sale entry '!$AC$1:$AC$1501,$J1147+1))-TRUNC(N(INDEX('Daily Sale entry '!$AC$1:$AC$1501,$J1147+1))),0),N(INDEX('Daily Sale entry '!$S$1:$S$1501,$J1147-1499))-'Opening Balance'!$B$15*(N(INDEX('Daily Sale entry '!$S$1:$S$1501,$J1147-1499))-TRUNC(N(INDEX('Daily Sale entry '!$S$1:$S$1501,$J1147-1499))))))</f>
        <v/>
      </c>
      <c r="G1147" s="6">
        <f>IF($J1147="","",IF($J1147&lt;=1500,N(INDEX('Daily Sale entry '!$AD$1:$AD$1501,$J1147+1)),0))</f>
        <v/>
      </c>
      <c r="H1147" s="6">
        <f>IF($J1147="","",ROUND('Opening Balance'!$B$4+SUM($F$2:F1147)-SUM($G$2:G1147),2))</f>
        <v/>
      </c>
      <c r="J1147" s="21">
        <f>IFERROR(MATCH(ROW()-1,$L$2:$L$3001,0),"")</f>
        <v/>
      </c>
      <c r="K1147" s="34">
        <f>IF(AND('Daily Sale entry '!X1147&lt;&gt;"",OR('Daily Sale entry '!AC1147&lt;&gt;"",'Daily Sale entry '!AD1147&lt;&gt;"")),'Daily Sale entry '!X1147+ROW()/10000000,"")</f>
        <v/>
      </c>
      <c r="L1147" s="21">
        <f>IF(K1147="","",COUNTIF($K$2:$K$3001,"&lt;"&amp;K1147)+1)</f>
        <v/>
      </c>
    </row>
    <row r="1148">
      <c r="A1148" s="5">
        <f>IF($J1148="","",IF($J1148&lt;=1500,INDEX('Daily Sale entry '!$X$1:$X$1501,$J1148+1),INDEX('Daily Sale entry '!$V$1:$V$1501,$J1148-1499)))</f>
        <v/>
      </c>
      <c r="B1148">
        <f>IF($J1148="","",IF($J1148&lt;=1500,INDEX('Daily Sale entry '!$Y$1:$Y$1501,$J1148+1)&amp;"","Buyer cheque banked 买家支票存入"&amp;IF(INDEX('Daily Sale entry '!$U$1:$U$1501,$J1148-1499)="","", " - "&amp;INDEX('Daily Sale entry '!$U$1:$U$1501,$J1148-1499))))</f>
        <v/>
      </c>
      <c r="C1148">
        <f>IF($J1148="","",IF($J1148&lt;=1500,INDEX('Daily Sale entry '!$Z$1:$Z$1501,$J1148+1)&amp;"","Cheque deposit 支票存入 (buyer 买家)"))</f>
        <v/>
      </c>
      <c r="D1148">
        <f>IF($J1148="","",IF($J1148&lt;=1500,INDEX('Daily Sale entry '!$AA$1:$AA$1501,$J1148+1)&amp;"",INDEX('Daily Sale entry '!$P$1:$P$1501,$J1148-1499)&amp;""))</f>
        <v/>
      </c>
      <c r="E1148">
        <f>IF($J1148="","",IF($J1148&lt;=1500,IF(N(INDEX('Daily Sale entry '!$AB$1:$AB$1501,$J1148+1))=0,"",INDEX('Daily Sale entry '!$AB$1:$AB$1501,$J1148+1)),1))</f>
        <v/>
      </c>
      <c r="F1148" s="6">
        <f>IF($J1148="","",IF($J1148&lt;=1500,N(INDEX('Daily Sale entry '!$AC$1:$AC$1501,$J1148+1))-IF(AND('Opening Balance'!$B$15=1,INDEX('Daily Sale entry '!$Z$1:$Z$1501,$J1148+1)="Online collection 网上收款",INDEX('Daily Sale entry '!$AA$1:$AA$1501,$J1148+1)&lt;&gt;""),N(INDEX('Daily Sale entry '!$AC$1:$AC$1501,$J1148+1))-TRUNC(N(INDEX('Daily Sale entry '!$AC$1:$AC$1501,$J1148+1))),0),N(INDEX('Daily Sale entry '!$S$1:$S$1501,$J1148-1499))-'Opening Balance'!$B$15*(N(INDEX('Daily Sale entry '!$S$1:$S$1501,$J1148-1499))-TRUNC(N(INDEX('Daily Sale entry '!$S$1:$S$1501,$J1148-1499))))))</f>
        <v/>
      </c>
      <c r="G1148" s="6">
        <f>IF($J1148="","",IF($J1148&lt;=1500,N(INDEX('Daily Sale entry '!$AD$1:$AD$1501,$J1148+1)),0))</f>
        <v/>
      </c>
      <c r="H1148" s="6">
        <f>IF($J1148="","",ROUND('Opening Balance'!$B$4+SUM($F$2:F1148)-SUM($G$2:G1148),2))</f>
        <v/>
      </c>
      <c r="J1148" s="21">
        <f>IFERROR(MATCH(ROW()-1,$L$2:$L$3001,0),"")</f>
        <v/>
      </c>
      <c r="K1148" s="34">
        <f>IF(AND('Daily Sale entry '!X1148&lt;&gt;"",OR('Daily Sale entry '!AC1148&lt;&gt;"",'Daily Sale entry '!AD1148&lt;&gt;"")),'Daily Sale entry '!X1148+ROW()/10000000,"")</f>
        <v/>
      </c>
      <c r="L1148" s="21">
        <f>IF(K1148="","",COUNTIF($K$2:$K$3001,"&lt;"&amp;K1148)+1)</f>
        <v/>
      </c>
    </row>
    <row r="1149">
      <c r="A1149" s="5">
        <f>IF($J1149="","",IF($J1149&lt;=1500,INDEX('Daily Sale entry '!$X$1:$X$1501,$J1149+1),INDEX('Daily Sale entry '!$V$1:$V$1501,$J1149-1499)))</f>
        <v/>
      </c>
      <c r="B1149">
        <f>IF($J1149="","",IF($J1149&lt;=1500,INDEX('Daily Sale entry '!$Y$1:$Y$1501,$J1149+1)&amp;"","Buyer cheque banked 买家支票存入"&amp;IF(INDEX('Daily Sale entry '!$U$1:$U$1501,$J1149-1499)="","", " - "&amp;INDEX('Daily Sale entry '!$U$1:$U$1501,$J1149-1499))))</f>
        <v/>
      </c>
      <c r="C1149">
        <f>IF($J1149="","",IF($J1149&lt;=1500,INDEX('Daily Sale entry '!$Z$1:$Z$1501,$J1149+1)&amp;"","Cheque deposit 支票存入 (buyer 买家)"))</f>
        <v/>
      </c>
      <c r="D1149">
        <f>IF($J1149="","",IF($J1149&lt;=1500,INDEX('Daily Sale entry '!$AA$1:$AA$1501,$J1149+1)&amp;"",INDEX('Daily Sale entry '!$P$1:$P$1501,$J1149-1499)&amp;""))</f>
        <v/>
      </c>
      <c r="E1149">
        <f>IF($J1149="","",IF($J1149&lt;=1500,IF(N(INDEX('Daily Sale entry '!$AB$1:$AB$1501,$J1149+1))=0,"",INDEX('Daily Sale entry '!$AB$1:$AB$1501,$J1149+1)),1))</f>
        <v/>
      </c>
      <c r="F1149" s="6">
        <f>IF($J1149="","",IF($J1149&lt;=1500,N(INDEX('Daily Sale entry '!$AC$1:$AC$1501,$J1149+1))-IF(AND('Opening Balance'!$B$15=1,INDEX('Daily Sale entry '!$Z$1:$Z$1501,$J1149+1)="Online collection 网上收款",INDEX('Daily Sale entry '!$AA$1:$AA$1501,$J1149+1)&lt;&gt;""),N(INDEX('Daily Sale entry '!$AC$1:$AC$1501,$J1149+1))-TRUNC(N(INDEX('Daily Sale entry '!$AC$1:$AC$1501,$J1149+1))),0),N(INDEX('Daily Sale entry '!$S$1:$S$1501,$J1149-1499))-'Opening Balance'!$B$15*(N(INDEX('Daily Sale entry '!$S$1:$S$1501,$J1149-1499))-TRUNC(N(INDEX('Daily Sale entry '!$S$1:$S$1501,$J1149-1499))))))</f>
        <v/>
      </c>
      <c r="G1149" s="6">
        <f>IF($J1149="","",IF($J1149&lt;=1500,N(INDEX('Daily Sale entry '!$AD$1:$AD$1501,$J1149+1)),0))</f>
        <v/>
      </c>
      <c r="H1149" s="6">
        <f>IF($J1149="","",ROUND('Opening Balance'!$B$4+SUM($F$2:F1149)-SUM($G$2:G1149),2))</f>
        <v/>
      </c>
      <c r="J1149" s="21">
        <f>IFERROR(MATCH(ROW()-1,$L$2:$L$3001,0),"")</f>
        <v/>
      </c>
      <c r="K1149" s="34">
        <f>IF(AND('Daily Sale entry '!X1149&lt;&gt;"",OR('Daily Sale entry '!AC1149&lt;&gt;"",'Daily Sale entry '!AD1149&lt;&gt;"")),'Daily Sale entry '!X1149+ROW()/10000000,"")</f>
        <v/>
      </c>
      <c r="L1149" s="21">
        <f>IF(K1149="","",COUNTIF($K$2:$K$3001,"&lt;"&amp;K1149)+1)</f>
        <v/>
      </c>
    </row>
    <row r="1150">
      <c r="A1150" s="5">
        <f>IF($J1150="","",IF($J1150&lt;=1500,INDEX('Daily Sale entry '!$X$1:$X$1501,$J1150+1),INDEX('Daily Sale entry '!$V$1:$V$1501,$J1150-1499)))</f>
        <v/>
      </c>
      <c r="B1150">
        <f>IF($J1150="","",IF($J1150&lt;=1500,INDEX('Daily Sale entry '!$Y$1:$Y$1501,$J1150+1)&amp;"","Buyer cheque banked 买家支票存入"&amp;IF(INDEX('Daily Sale entry '!$U$1:$U$1501,$J1150-1499)="","", " - "&amp;INDEX('Daily Sale entry '!$U$1:$U$1501,$J1150-1499))))</f>
        <v/>
      </c>
      <c r="C1150">
        <f>IF($J1150="","",IF($J1150&lt;=1500,INDEX('Daily Sale entry '!$Z$1:$Z$1501,$J1150+1)&amp;"","Cheque deposit 支票存入 (buyer 买家)"))</f>
        <v/>
      </c>
      <c r="D1150">
        <f>IF($J1150="","",IF($J1150&lt;=1500,INDEX('Daily Sale entry '!$AA$1:$AA$1501,$J1150+1)&amp;"",INDEX('Daily Sale entry '!$P$1:$P$1501,$J1150-1499)&amp;""))</f>
        <v/>
      </c>
      <c r="E1150">
        <f>IF($J1150="","",IF($J1150&lt;=1500,IF(N(INDEX('Daily Sale entry '!$AB$1:$AB$1501,$J1150+1))=0,"",INDEX('Daily Sale entry '!$AB$1:$AB$1501,$J1150+1)),1))</f>
        <v/>
      </c>
      <c r="F1150" s="6">
        <f>IF($J1150="","",IF($J1150&lt;=1500,N(INDEX('Daily Sale entry '!$AC$1:$AC$1501,$J1150+1))-IF(AND('Opening Balance'!$B$15=1,INDEX('Daily Sale entry '!$Z$1:$Z$1501,$J1150+1)="Online collection 网上收款",INDEX('Daily Sale entry '!$AA$1:$AA$1501,$J1150+1)&lt;&gt;""),N(INDEX('Daily Sale entry '!$AC$1:$AC$1501,$J1150+1))-TRUNC(N(INDEX('Daily Sale entry '!$AC$1:$AC$1501,$J1150+1))),0),N(INDEX('Daily Sale entry '!$S$1:$S$1501,$J1150-1499))-'Opening Balance'!$B$15*(N(INDEX('Daily Sale entry '!$S$1:$S$1501,$J1150-1499))-TRUNC(N(INDEX('Daily Sale entry '!$S$1:$S$1501,$J1150-1499))))))</f>
        <v/>
      </c>
      <c r="G1150" s="6">
        <f>IF($J1150="","",IF($J1150&lt;=1500,N(INDEX('Daily Sale entry '!$AD$1:$AD$1501,$J1150+1)),0))</f>
        <v/>
      </c>
      <c r="H1150" s="6">
        <f>IF($J1150="","",ROUND('Opening Balance'!$B$4+SUM($F$2:F1150)-SUM($G$2:G1150),2))</f>
        <v/>
      </c>
      <c r="J1150" s="21">
        <f>IFERROR(MATCH(ROW()-1,$L$2:$L$3001,0),"")</f>
        <v/>
      </c>
      <c r="K1150" s="34">
        <f>IF(AND('Daily Sale entry '!X1150&lt;&gt;"",OR('Daily Sale entry '!AC1150&lt;&gt;"",'Daily Sale entry '!AD1150&lt;&gt;"")),'Daily Sale entry '!X1150+ROW()/10000000,"")</f>
        <v/>
      </c>
      <c r="L1150" s="21">
        <f>IF(K1150="","",COUNTIF($K$2:$K$3001,"&lt;"&amp;K1150)+1)</f>
        <v/>
      </c>
    </row>
    <row r="1151">
      <c r="A1151" s="5">
        <f>IF($J1151="","",IF($J1151&lt;=1500,INDEX('Daily Sale entry '!$X$1:$X$1501,$J1151+1),INDEX('Daily Sale entry '!$V$1:$V$1501,$J1151-1499)))</f>
        <v/>
      </c>
      <c r="B1151">
        <f>IF($J1151="","",IF($J1151&lt;=1500,INDEX('Daily Sale entry '!$Y$1:$Y$1501,$J1151+1)&amp;"","Buyer cheque banked 买家支票存入"&amp;IF(INDEX('Daily Sale entry '!$U$1:$U$1501,$J1151-1499)="","", " - "&amp;INDEX('Daily Sale entry '!$U$1:$U$1501,$J1151-1499))))</f>
        <v/>
      </c>
      <c r="C1151">
        <f>IF($J1151="","",IF($J1151&lt;=1500,INDEX('Daily Sale entry '!$Z$1:$Z$1501,$J1151+1)&amp;"","Cheque deposit 支票存入 (buyer 买家)"))</f>
        <v/>
      </c>
      <c r="D1151">
        <f>IF($J1151="","",IF($J1151&lt;=1500,INDEX('Daily Sale entry '!$AA$1:$AA$1501,$J1151+1)&amp;"",INDEX('Daily Sale entry '!$P$1:$P$1501,$J1151-1499)&amp;""))</f>
        <v/>
      </c>
      <c r="E1151">
        <f>IF($J1151="","",IF($J1151&lt;=1500,IF(N(INDEX('Daily Sale entry '!$AB$1:$AB$1501,$J1151+1))=0,"",INDEX('Daily Sale entry '!$AB$1:$AB$1501,$J1151+1)),1))</f>
        <v/>
      </c>
      <c r="F1151" s="6">
        <f>IF($J1151="","",IF($J1151&lt;=1500,N(INDEX('Daily Sale entry '!$AC$1:$AC$1501,$J1151+1))-IF(AND('Opening Balance'!$B$15=1,INDEX('Daily Sale entry '!$Z$1:$Z$1501,$J1151+1)="Online collection 网上收款",INDEX('Daily Sale entry '!$AA$1:$AA$1501,$J1151+1)&lt;&gt;""),N(INDEX('Daily Sale entry '!$AC$1:$AC$1501,$J1151+1))-TRUNC(N(INDEX('Daily Sale entry '!$AC$1:$AC$1501,$J1151+1))),0),N(INDEX('Daily Sale entry '!$S$1:$S$1501,$J1151-1499))-'Opening Balance'!$B$15*(N(INDEX('Daily Sale entry '!$S$1:$S$1501,$J1151-1499))-TRUNC(N(INDEX('Daily Sale entry '!$S$1:$S$1501,$J1151-1499))))))</f>
        <v/>
      </c>
      <c r="G1151" s="6">
        <f>IF($J1151="","",IF($J1151&lt;=1500,N(INDEX('Daily Sale entry '!$AD$1:$AD$1501,$J1151+1)),0))</f>
        <v/>
      </c>
      <c r="H1151" s="6">
        <f>IF($J1151="","",ROUND('Opening Balance'!$B$4+SUM($F$2:F1151)-SUM($G$2:G1151),2))</f>
        <v/>
      </c>
      <c r="J1151" s="21">
        <f>IFERROR(MATCH(ROW()-1,$L$2:$L$3001,0),"")</f>
        <v/>
      </c>
      <c r="K1151" s="34">
        <f>IF(AND('Daily Sale entry '!X1151&lt;&gt;"",OR('Daily Sale entry '!AC1151&lt;&gt;"",'Daily Sale entry '!AD1151&lt;&gt;"")),'Daily Sale entry '!X1151+ROW()/10000000,"")</f>
        <v/>
      </c>
      <c r="L1151" s="21">
        <f>IF(K1151="","",COUNTIF($K$2:$K$3001,"&lt;"&amp;K1151)+1)</f>
        <v/>
      </c>
    </row>
    <row r="1152">
      <c r="A1152" s="5">
        <f>IF($J1152="","",IF($J1152&lt;=1500,INDEX('Daily Sale entry '!$X$1:$X$1501,$J1152+1),INDEX('Daily Sale entry '!$V$1:$V$1501,$J1152-1499)))</f>
        <v/>
      </c>
      <c r="B1152">
        <f>IF($J1152="","",IF($J1152&lt;=1500,INDEX('Daily Sale entry '!$Y$1:$Y$1501,$J1152+1)&amp;"","Buyer cheque banked 买家支票存入"&amp;IF(INDEX('Daily Sale entry '!$U$1:$U$1501,$J1152-1499)="","", " - "&amp;INDEX('Daily Sale entry '!$U$1:$U$1501,$J1152-1499))))</f>
        <v/>
      </c>
      <c r="C1152">
        <f>IF($J1152="","",IF($J1152&lt;=1500,INDEX('Daily Sale entry '!$Z$1:$Z$1501,$J1152+1)&amp;"","Cheque deposit 支票存入 (buyer 买家)"))</f>
        <v/>
      </c>
      <c r="D1152">
        <f>IF($J1152="","",IF($J1152&lt;=1500,INDEX('Daily Sale entry '!$AA$1:$AA$1501,$J1152+1)&amp;"",INDEX('Daily Sale entry '!$P$1:$P$1501,$J1152-1499)&amp;""))</f>
        <v/>
      </c>
      <c r="E1152">
        <f>IF($J1152="","",IF($J1152&lt;=1500,IF(N(INDEX('Daily Sale entry '!$AB$1:$AB$1501,$J1152+1))=0,"",INDEX('Daily Sale entry '!$AB$1:$AB$1501,$J1152+1)),1))</f>
        <v/>
      </c>
      <c r="F1152" s="6">
        <f>IF($J1152="","",IF($J1152&lt;=1500,N(INDEX('Daily Sale entry '!$AC$1:$AC$1501,$J1152+1))-IF(AND('Opening Balance'!$B$15=1,INDEX('Daily Sale entry '!$Z$1:$Z$1501,$J1152+1)="Online collection 网上收款",INDEX('Daily Sale entry '!$AA$1:$AA$1501,$J1152+1)&lt;&gt;""),N(INDEX('Daily Sale entry '!$AC$1:$AC$1501,$J1152+1))-TRUNC(N(INDEX('Daily Sale entry '!$AC$1:$AC$1501,$J1152+1))),0),N(INDEX('Daily Sale entry '!$S$1:$S$1501,$J1152-1499))-'Opening Balance'!$B$15*(N(INDEX('Daily Sale entry '!$S$1:$S$1501,$J1152-1499))-TRUNC(N(INDEX('Daily Sale entry '!$S$1:$S$1501,$J1152-1499))))))</f>
        <v/>
      </c>
      <c r="G1152" s="6">
        <f>IF($J1152="","",IF($J1152&lt;=1500,N(INDEX('Daily Sale entry '!$AD$1:$AD$1501,$J1152+1)),0))</f>
        <v/>
      </c>
      <c r="H1152" s="6">
        <f>IF($J1152="","",ROUND('Opening Balance'!$B$4+SUM($F$2:F1152)-SUM($G$2:G1152),2))</f>
        <v/>
      </c>
      <c r="J1152" s="21">
        <f>IFERROR(MATCH(ROW()-1,$L$2:$L$3001,0),"")</f>
        <v/>
      </c>
      <c r="K1152" s="34">
        <f>IF(AND('Daily Sale entry '!X1152&lt;&gt;"",OR('Daily Sale entry '!AC1152&lt;&gt;"",'Daily Sale entry '!AD1152&lt;&gt;"")),'Daily Sale entry '!X1152+ROW()/10000000,"")</f>
        <v/>
      </c>
      <c r="L1152" s="21">
        <f>IF(K1152="","",COUNTIF($K$2:$K$3001,"&lt;"&amp;K1152)+1)</f>
        <v/>
      </c>
    </row>
    <row r="1153">
      <c r="A1153" s="5">
        <f>IF($J1153="","",IF($J1153&lt;=1500,INDEX('Daily Sale entry '!$X$1:$X$1501,$J1153+1),INDEX('Daily Sale entry '!$V$1:$V$1501,$J1153-1499)))</f>
        <v/>
      </c>
      <c r="B1153">
        <f>IF($J1153="","",IF($J1153&lt;=1500,INDEX('Daily Sale entry '!$Y$1:$Y$1501,$J1153+1)&amp;"","Buyer cheque banked 买家支票存入"&amp;IF(INDEX('Daily Sale entry '!$U$1:$U$1501,$J1153-1499)="","", " - "&amp;INDEX('Daily Sale entry '!$U$1:$U$1501,$J1153-1499))))</f>
        <v/>
      </c>
      <c r="C1153">
        <f>IF($J1153="","",IF($J1153&lt;=1500,INDEX('Daily Sale entry '!$Z$1:$Z$1501,$J1153+1)&amp;"","Cheque deposit 支票存入 (buyer 买家)"))</f>
        <v/>
      </c>
      <c r="D1153">
        <f>IF($J1153="","",IF($J1153&lt;=1500,INDEX('Daily Sale entry '!$AA$1:$AA$1501,$J1153+1)&amp;"",INDEX('Daily Sale entry '!$P$1:$P$1501,$J1153-1499)&amp;""))</f>
        <v/>
      </c>
      <c r="E1153">
        <f>IF($J1153="","",IF($J1153&lt;=1500,IF(N(INDEX('Daily Sale entry '!$AB$1:$AB$1501,$J1153+1))=0,"",INDEX('Daily Sale entry '!$AB$1:$AB$1501,$J1153+1)),1))</f>
        <v/>
      </c>
      <c r="F1153" s="6">
        <f>IF($J1153="","",IF($J1153&lt;=1500,N(INDEX('Daily Sale entry '!$AC$1:$AC$1501,$J1153+1))-IF(AND('Opening Balance'!$B$15=1,INDEX('Daily Sale entry '!$Z$1:$Z$1501,$J1153+1)="Online collection 网上收款",INDEX('Daily Sale entry '!$AA$1:$AA$1501,$J1153+1)&lt;&gt;""),N(INDEX('Daily Sale entry '!$AC$1:$AC$1501,$J1153+1))-TRUNC(N(INDEX('Daily Sale entry '!$AC$1:$AC$1501,$J1153+1))),0),N(INDEX('Daily Sale entry '!$S$1:$S$1501,$J1153-1499))-'Opening Balance'!$B$15*(N(INDEX('Daily Sale entry '!$S$1:$S$1501,$J1153-1499))-TRUNC(N(INDEX('Daily Sale entry '!$S$1:$S$1501,$J1153-1499))))))</f>
        <v/>
      </c>
      <c r="G1153" s="6">
        <f>IF($J1153="","",IF($J1153&lt;=1500,N(INDEX('Daily Sale entry '!$AD$1:$AD$1501,$J1153+1)),0))</f>
        <v/>
      </c>
      <c r="H1153" s="6">
        <f>IF($J1153="","",ROUND('Opening Balance'!$B$4+SUM($F$2:F1153)-SUM($G$2:G1153),2))</f>
        <v/>
      </c>
      <c r="J1153" s="21">
        <f>IFERROR(MATCH(ROW()-1,$L$2:$L$3001,0),"")</f>
        <v/>
      </c>
      <c r="K1153" s="34">
        <f>IF(AND('Daily Sale entry '!X1153&lt;&gt;"",OR('Daily Sale entry '!AC1153&lt;&gt;"",'Daily Sale entry '!AD1153&lt;&gt;"")),'Daily Sale entry '!X1153+ROW()/10000000,"")</f>
        <v/>
      </c>
      <c r="L1153" s="21">
        <f>IF(K1153="","",COUNTIF($K$2:$K$3001,"&lt;"&amp;K1153)+1)</f>
        <v/>
      </c>
    </row>
    <row r="1154">
      <c r="A1154" s="5">
        <f>IF($J1154="","",IF($J1154&lt;=1500,INDEX('Daily Sale entry '!$X$1:$X$1501,$J1154+1),INDEX('Daily Sale entry '!$V$1:$V$1501,$J1154-1499)))</f>
        <v/>
      </c>
      <c r="B1154">
        <f>IF($J1154="","",IF($J1154&lt;=1500,INDEX('Daily Sale entry '!$Y$1:$Y$1501,$J1154+1)&amp;"","Buyer cheque banked 买家支票存入"&amp;IF(INDEX('Daily Sale entry '!$U$1:$U$1501,$J1154-1499)="","", " - "&amp;INDEX('Daily Sale entry '!$U$1:$U$1501,$J1154-1499))))</f>
        <v/>
      </c>
      <c r="C1154">
        <f>IF($J1154="","",IF($J1154&lt;=1500,INDEX('Daily Sale entry '!$Z$1:$Z$1501,$J1154+1)&amp;"","Cheque deposit 支票存入 (buyer 买家)"))</f>
        <v/>
      </c>
      <c r="D1154">
        <f>IF($J1154="","",IF($J1154&lt;=1500,INDEX('Daily Sale entry '!$AA$1:$AA$1501,$J1154+1)&amp;"",INDEX('Daily Sale entry '!$P$1:$P$1501,$J1154-1499)&amp;""))</f>
        <v/>
      </c>
      <c r="E1154">
        <f>IF($J1154="","",IF($J1154&lt;=1500,IF(N(INDEX('Daily Sale entry '!$AB$1:$AB$1501,$J1154+1))=0,"",INDEX('Daily Sale entry '!$AB$1:$AB$1501,$J1154+1)),1))</f>
        <v/>
      </c>
      <c r="F1154" s="6">
        <f>IF($J1154="","",IF($J1154&lt;=1500,N(INDEX('Daily Sale entry '!$AC$1:$AC$1501,$J1154+1))-IF(AND('Opening Balance'!$B$15=1,INDEX('Daily Sale entry '!$Z$1:$Z$1501,$J1154+1)="Online collection 网上收款",INDEX('Daily Sale entry '!$AA$1:$AA$1501,$J1154+1)&lt;&gt;""),N(INDEX('Daily Sale entry '!$AC$1:$AC$1501,$J1154+1))-TRUNC(N(INDEX('Daily Sale entry '!$AC$1:$AC$1501,$J1154+1))),0),N(INDEX('Daily Sale entry '!$S$1:$S$1501,$J1154-1499))-'Opening Balance'!$B$15*(N(INDEX('Daily Sale entry '!$S$1:$S$1501,$J1154-1499))-TRUNC(N(INDEX('Daily Sale entry '!$S$1:$S$1501,$J1154-1499))))))</f>
        <v/>
      </c>
      <c r="G1154" s="6">
        <f>IF($J1154="","",IF($J1154&lt;=1500,N(INDEX('Daily Sale entry '!$AD$1:$AD$1501,$J1154+1)),0))</f>
        <v/>
      </c>
      <c r="H1154" s="6">
        <f>IF($J1154="","",ROUND('Opening Balance'!$B$4+SUM($F$2:F1154)-SUM($G$2:G1154),2))</f>
        <v/>
      </c>
      <c r="J1154" s="21">
        <f>IFERROR(MATCH(ROW()-1,$L$2:$L$3001,0),"")</f>
        <v/>
      </c>
      <c r="K1154" s="34">
        <f>IF(AND('Daily Sale entry '!X1154&lt;&gt;"",OR('Daily Sale entry '!AC1154&lt;&gt;"",'Daily Sale entry '!AD1154&lt;&gt;"")),'Daily Sale entry '!X1154+ROW()/10000000,"")</f>
        <v/>
      </c>
      <c r="L1154" s="21">
        <f>IF(K1154="","",COUNTIF($K$2:$K$3001,"&lt;"&amp;K1154)+1)</f>
        <v/>
      </c>
    </row>
    <row r="1155">
      <c r="A1155" s="5">
        <f>IF($J1155="","",IF($J1155&lt;=1500,INDEX('Daily Sale entry '!$X$1:$X$1501,$J1155+1),INDEX('Daily Sale entry '!$V$1:$V$1501,$J1155-1499)))</f>
        <v/>
      </c>
      <c r="B1155">
        <f>IF($J1155="","",IF($J1155&lt;=1500,INDEX('Daily Sale entry '!$Y$1:$Y$1501,$J1155+1)&amp;"","Buyer cheque banked 买家支票存入"&amp;IF(INDEX('Daily Sale entry '!$U$1:$U$1501,$J1155-1499)="","", " - "&amp;INDEX('Daily Sale entry '!$U$1:$U$1501,$J1155-1499))))</f>
        <v/>
      </c>
      <c r="C1155">
        <f>IF($J1155="","",IF($J1155&lt;=1500,INDEX('Daily Sale entry '!$Z$1:$Z$1501,$J1155+1)&amp;"","Cheque deposit 支票存入 (buyer 买家)"))</f>
        <v/>
      </c>
      <c r="D1155">
        <f>IF($J1155="","",IF($J1155&lt;=1500,INDEX('Daily Sale entry '!$AA$1:$AA$1501,$J1155+1)&amp;"",INDEX('Daily Sale entry '!$P$1:$P$1501,$J1155-1499)&amp;""))</f>
        <v/>
      </c>
      <c r="E1155">
        <f>IF($J1155="","",IF($J1155&lt;=1500,IF(N(INDEX('Daily Sale entry '!$AB$1:$AB$1501,$J1155+1))=0,"",INDEX('Daily Sale entry '!$AB$1:$AB$1501,$J1155+1)),1))</f>
        <v/>
      </c>
      <c r="F1155" s="6">
        <f>IF($J1155="","",IF($J1155&lt;=1500,N(INDEX('Daily Sale entry '!$AC$1:$AC$1501,$J1155+1))-IF(AND('Opening Balance'!$B$15=1,INDEX('Daily Sale entry '!$Z$1:$Z$1501,$J1155+1)="Online collection 网上收款",INDEX('Daily Sale entry '!$AA$1:$AA$1501,$J1155+1)&lt;&gt;""),N(INDEX('Daily Sale entry '!$AC$1:$AC$1501,$J1155+1))-TRUNC(N(INDEX('Daily Sale entry '!$AC$1:$AC$1501,$J1155+1))),0),N(INDEX('Daily Sale entry '!$S$1:$S$1501,$J1155-1499))-'Opening Balance'!$B$15*(N(INDEX('Daily Sale entry '!$S$1:$S$1501,$J1155-1499))-TRUNC(N(INDEX('Daily Sale entry '!$S$1:$S$1501,$J1155-1499))))))</f>
        <v/>
      </c>
      <c r="G1155" s="6">
        <f>IF($J1155="","",IF($J1155&lt;=1500,N(INDEX('Daily Sale entry '!$AD$1:$AD$1501,$J1155+1)),0))</f>
        <v/>
      </c>
      <c r="H1155" s="6">
        <f>IF($J1155="","",ROUND('Opening Balance'!$B$4+SUM($F$2:F1155)-SUM($G$2:G1155),2))</f>
        <v/>
      </c>
      <c r="J1155" s="21">
        <f>IFERROR(MATCH(ROW()-1,$L$2:$L$3001,0),"")</f>
        <v/>
      </c>
      <c r="K1155" s="34">
        <f>IF(AND('Daily Sale entry '!X1155&lt;&gt;"",OR('Daily Sale entry '!AC1155&lt;&gt;"",'Daily Sale entry '!AD1155&lt;&gt;"")),'Daily Sale entry '!X1155+ROW()/10000000,"")</f>
        <v/>
      </c>
      <c r="L1155" s="21">
        <f>IF(K1155="","",COUNTIF($K$2:$K$3001,"&lt;"&amp;K1155)+1)</f>
        <v/>
      </c>
    </row>
    <row r="1156">
      <c r="A1156" s="5">
        <f>IF($J1156="","",IF($J1156&lt;=1500,INDEX('Daily Sale entry '!$X$1:$X$1501,$J1156+1),INDEX('Daily Sale entry '!$V$1:$V$1501,$J1156-1499)))</f>
        <v/>
      </c>
      <c r="B1156">
        <f>IF($J1156="","",IF($J1156&lt;=1500,INDEX('Daily Sale entry '!$Y$1:$Y$1501,$J1156+1)&amp;"","Buyer cheque banked 买家支票存入"&amp;IF(INDEX('Daily Sale entry '!$U$1:$U$1501,$J1156-1499)="","", " - "&amp;INDEX('Daily Sale entry '!$U$1:$U$1501,$J1156-1499))))</f>
        <v/>
      </c>
      <c r="C1156">
        <f>IF($J1156="","",IF($J1156&lt;=1500,INDEX('Daily Sale entry '!$Z$1:$Z$1501,$J1156+1)&amp;"","Cheque deposit 支票存入 (buyer 买家)"))</f>
        <v/>
      </c>
      <c r="D1156">
        <f>IF($J1156="","",IF($J1156&lt;=1500,INDEX('Daily Sale entry '!$AA$1:$AA$1501,$J1156+1)&amp;"",INDEX('Daily Sale entry '!$P$1:$P$1501,$J1156-1499)&amp;""))</f>
        <v/>
      </c>
      <c r="E1156">
        <f>IF($J1156="","",IF($J1156&lt;=1500,IF(N(INDEX('Daily Sale entry '!$AB$1:$AB$1501,$J1156+1))=0,"",INDEX('Daily Sale entry '!$AB$1:$AB$1501,$J1156+1)),1))</f>
        <v/>
      </c>
      <c r="F1156" s="6">
        <f>IF($J1156="","",IF($J1156&lt;=1500,N(INDEX('Daily Sale entry '!$AC$1:$AC$1501,$J1156+1))-IF(AND('Opening Balance'!$B$15=1,INDEX('Daily Sale entry '!$Z$1:$Z$1501,$J1156+1)="Online collection 网上收款",INDEX('Daily Sale entry '!$AA$1:$AA$1501,$J1156+1)&lt;&gt;""),N(INDEX('Daily Sale entry '!$AC$1:$AC$1501,$J1156+1))-TRUNC(N(INDEX('Daily Sale entry '!$AC$1:$AC$1501,$J1156+1))),0),N(INDEX('Daily Sale entry '!$S$1:$S$1501,$J1156-1499))-'Opening Balance'!$B$15*(N(INDEX('Daily Sale entry '!$S$1:$S$1501,$J1156-1499))-TRUNC(N(INDEX('Daily Sale entry '!$S$1:$S$1501,$J1156-1499))))))</f>
        <v/>
      </c>
      <c r="G1156" s="6">
        <f>IF($J1156="","",IF($J1156&lt;=1500,N(INDEX('Daily Sale entry '!$AD$1:$AD$1501,$J1156+1)),0))</f>
        <v/>
      </c>
      <c r="H1156" s="6">
        <f>IF($J1156="","",ROUND('Opening Balance'!$B$4+SUM($F$2:F1156)-SUM($G$2:G1156),2))</f>
        <v/>
      </c>
      <c r="J1156" s="21">
        <f>IFERROR(MATCH(ROW()-1,$L$2:$L$3001,0),"")</f>
        <v/>
      </c>
      <c r="K1156" s="34">
        <f>IF(AND('Daily Sale entry '!X1156&lt;&gt;"",OR('Daily Sale entry '!AC1156&lt;&gt;"",'Daily Sale entry '!AD1156&lt;&gt;"")),'Daily Sale entry '!X1156+ROW()/10000000,"")</f>
        <v/>
      </c>
      <c r="L1156" s="21">
        <f>IF(K1156="","",COUNTIF($K$2:$K$3001,"&lt;"&amp;K1156)+1)</f>
        <v/>
      </c>
    </row>
    <row r="1157">
      <c r="A1157" s="5">
        <f>IF($J1157="","",IF($J1157&lt;=1500,INDEX('Daily Sale entry '!$X$1:$X$1501,$J1157+1),INDEX('Daily Sale entry '!$V$1:$V$1501,$J1157-1499)))</f>
        <v/>
      </c>
      <c r="B1157">
        <f>IF($J1157="","",IF($J1157&lt;=1500,INDEX('Daily Sale entry '!$Y$1:$Y$1501,$J1157+1)&amp;"","Buyer cheque banked 买家支票存入"&amp;IF(INDEX('Daily Sale entry '!$U$1:$U$1501,$J1157-1499)="","", " - "&amp;INDEX('Daily Sale entry '!$U$1:$U$1501,$J1157-1499))))</f>
        <v/>
      </c>
      <c r="C1157">
        <f>IF($J1157="","",IF($J1157&lt;=1500,INDEX('Daily Sale entry '!$Z$1:$Z$1501,$J1157+1)&amp;"","Cheque deposit 支票存入 (buyer 买家)"))</f>
        <v/>
      </c>
      <c r="D1157">
        <f>IF($J1157="","",IF($J1157&lt;=1500,INDEX('Daily Sale entry '!$AA$1:$AA$1501,$J1157+1)&amp;"",INDEX('Daily Sale entry '!$P$1:$P$1501,$J1157-1499)&amp;""))</f>
        <v/>
      </c>
      <c r="E1157">
        <f>IF($J1157="","",IF($J1157&lt;=1500,IF(N(INDEX('Daily Sale entry '!$AB$1:$AB$1501,$J1157+1))=0,"",INDEX('Daily Sale entry '!$AB$1:$AB$1501,$J1157+1)),1))</f>
        <v/>
      </c>
      <c r="F1157" s="6">
        <f>IF($J1157="","",IF($J1157&lt;=1500,N(INDEX('Daily Sale entry '!$AC$1:$AC$1501,$J1157+1))-IF(AND('Opening Balance'!$B$15=1,INDEX('Daily Sale entry '!$Z$1:$Z$1501,$J1157+1)="Online collection 网上收款",INDEX('Daily Sale entry '!$AA$1:$AA$1501,$J1157+1)&lt;&gt;""),N(INDEX('Daily Sale entry '!$AC$1:$AC$1501,$J1157+1))-TRUNC(N(INDEX('Daily Sale entry '!$AC$1:$AC$1501,$J1157+1))),0),N(INDEX('Daily Sale entry '!$S$1:$S$1501,$J1157-1499))-'Opening Balance'!$B$15*(N(INDEX('Daily Sale entry '!$S$1:$S$1501,$J1157-1499))-TRUNC(N(INDEX('Daily Sale entry '!$S$1:$S$1501,$J1157-1499))))))</f>
        <v/>
      </c>
      <c r="G1157" s="6">
        <f>IF($J1157="","",IF($J1157&lt;=1500,N(INDEX('Daily Sale entry '!$AD$1:$AD$1501,$J1157+1)),0))</f>
        <v/>
      </c>
      <c r="H1157" s="6">
        <f>IF($J1157="","",ROUND('Opening Balance'!$B$4+SUM($F$2:F1157)-SUM($G$2:G1157),2))</f>
        <v/>
      </c>
      <c r="J1157" s="21">
        <f>IFERROR(MATCH(ROW()-1,$L$2:$L$3001,0),"")</f>
        <v/>
      </c>
      <c r="K1157" s="34">
        <f>IF(AND('Daily Sale entry '!X1157&lt;&gt;"",OR('Daily Sale entry '!AC1157&lt;&gt;"",'Daily Sale entry '!AD1157&lt;&gt;"")),'Daily Sale entry '!X1157+ROW()/10000000,"")</f>
        <v/>
      </c>
      <c r="L1157" s="21">
        <f>IF(K1157="","",COUNTIF($K$2:$K$3001,"&lt;"&amp;K1157)+1)</f>
        <v/>
      </c>
    </row>
    <row r="1158">
      <c r="A1158" s="5">
        <f>IF($J1158="","",IF($J1158&lt;=1500,INDEX('Daily Sale entry '!$X$1:$X$1501,$J1158+1),INDEX('Daily Sale entry '!$V$1:$V$1501,$J1158-1499)))</f>
        <v/>
      </c>
      <c r="B1158">
        <f>IF($J1158="","",IF($J1158&lt;=1500,INDEX('Daily Sale entry '!$Y$1:$Y$1501,$J1158+1)&amp;"","Buyer cheque banked 买家支票存入"&amp;IF(INDEX('Daily Sale entry '!$U$1:$U$1501,$J1158-1499)="","", " - "&amp;INDEX('Daily Sale entry '!$U$1:$U$1501,$J1158-1499))))</f>
        <v/>
      </c>
      <c r="C1158">
        <f>IF($J1158="","",IF($J1158&lt;=1500,INDEX('Daily Sale entry '!$Z$1:$Z$1501,$J1158+1)&amp;"","Cheque deposit 支票存入 (buyer 买家)"))</f>
        <v/>
      </c>
      <c r="D1158">
        <f>IF($J1158="","",IF($J1158&lt;=1500,INDEX('Daily Sale entry '!$AA$1:$AA$1501,$J1158+1)&amp;"",INDEX('Daily Sale entry '!$P$1:$P$1501,$J1158-1499)&amp;""))</f>
        <v/>
      </c>
      <c r="E1158">
        <f>IF($J1158="","",IF($J1158&lt;=1500,IF(N(INDEX('Daily Sale entry '!$AB$1:$AB$1501,$J1158+1))=0,"",INDEX('Daily Sale entry '!$AB$1:$AB$1501,$J1158+1)),1))</f>
        <v/>
      </c>
      <c r="F1158" s="6">
        <f>IF($J1158="","",IF($J1158&lt;=1500,N(INDEX('Daily Sale entry '!$AC$1:$AC$1501,$J1158+1))-IF(AND('Opening Balance'!$B$15=1,INDEX('Daily Sale entry '!$Z$1:$Z$1501,$J1158+1)="Online collection 网上收款",INDEX('Daily Sale entry '!$AA$1:$AA$1501,$J1158+1)&lt;&gt;""),N(INDEX('Daily Sale entry '!$AC$1:$AC$1501,$J1158+1))-TRUNC(N(INDEX('Daily Sale entry '!$AC$1:$AC$1501,$J1158+1))),0),N(INDEX('Daily Sale entry '!$S$1:$S$1501,$J1158-1499))-'Opening Balance'!$B$15*(N(INDEX('Daily Sale entry '!$S$1:$S$1501,$J1158-1499))-TRUNC(N(INDEX('Daily Sale entry '!$S$1:$S$1501,$J1158-1499))))))</f>
        <v/>
      </c>
      <c r="G1158" s="6">
        <f>IF($J1158="","",IF($J1158&lt;=1500,N(INDEX('Daily Sale entry '!$AD$1:$AD$1501,$J1158+1)),0))</f>
        <v/>
      </c>
      <c r="H1158" s="6">
        <f>IF($J1158="","",ROUND('Opening Balance'!$B$4+SUM($F$2:F1158)-SUM($G$2:G1158),2))</f>
        <v/>
      </c>
      <c r="J1158" s="21">
        <f>IFERROR(MATCH(ROW()-1,$L$2:$L$3001,0),"")</f>
        <v/>
      </c>
      <c r="K1158" s="34">
        <f>IF(AND('Daily Sale entry '!X1158&lt;&gt;"",OR('Daily Sale entry '!AC1158&lt;&gt;"",'Daily Sale entry '!AD1158&lt;&gt;"")),'Daily Sale entry '!X1158+ROW()/10000000,"")</f>
        <v/>
      </c>
      <c r="L1158" s="21">
        <f>IF(K1158="","",COUNTIF($K$2:$K$3001,"&lt;"&amp;K1158)+1)</f>
        <v/>
      </c>
    </row>
    <row r="1159">
      <c r="A1159" s="5">
        <f>IF($J1159="","",IF($J1159&lt;=1500,INDEX('Daily Sale entry '!$X$1:$X$1501,$J1159+1),INDEX('Daily Sale entry '!$V$1:$V$1501,$J1159-1499)))</f>
        <v/>
      </c>
      <c r="B1159">
        <f>IF($J1159="","",IF($J1159&lt;=1500,INDEX('Daily Sale entry '!$Y$1:$Y$1501,$J1159+1)&amp;"","Buyer cheque banked 买家支票存入"&amp;IF(INDEX('Daily Sale entry '!$U$1:$U$1501,$J1159-1499)="","", " - "&amp;INDEX('Daily Sale entry '!$U$1:$U$1501,$J1159-1499))))</f>
        <v/>
      </c>
      <c r="C1159">
        <f>IF($J1159="","",IF($J1159&lt;=1500,INDEX('Daily Sale entry '!$Z$1:$Z$1501,$J1159+1)&amp;"","Cheque deposit 支票存入 (buyer 买家)"))</f>
        <v/>
      </c>
      <c r="D1159">
        <f>IF($J1159="","",IF($J1159&lt;=1500,INDEX('Daily Sale entry '!$AA$1:$AA$1501,$J1159+1)&amp;"",INDEX('Daily Sale entry '!$P$1:$P$1501,$J1159-1499)&amp;""))</f>
        <v/>
      </c>
      <c r="E1159">
        <f>IF($J1159="","",IF($J1159&lt;=1500,IF(N(INDEX('Daily Sale entry '!$AB$1:$AB$1501,$J1159+1))=0,"",INDEX('Daily Sale entry '!$AB$1:$AB$1501,$J1159+1)),1))</f>
        <v/>
      </c>
      <c r="F1159" s="6">
        <f>IF($J1159="","",IF($J1159&lt;=1500,N(INDEX('Daily Sale entry '!$AC$1:$AC$1501,$J1159+1))-IF(AND('Opening Balance'!$B$15=1,INDEX('Daily Sale entry '!$Z$1:$Z$1501,$J1159+1)="Online collection 网上收款",INDEX('Daily Sale entry '!$AA$1:$AA$1501,$J1159+1)&lt;&gt;""),N(INDEX('Daily Sale entry '!$AC$1:$AC$1501,$J1159+1))-TRUNC(N(INDEX('Daily Sale entry '!$AC$1:$AC$1501,$J1159+1))),0),N(INDEX('Daily Sale entry '!$S$1:$S$1501,$J1159-1499))-'Opening Balance'!$B$15*(N(INDEX('Daily Sale entry '!$S$1:$S$1501,$J1159-1499))-TRUNC(N(INDEX('Daily Sale entry '!$S$1:$S$1501,$J1159-1499))))))</f>
        <v/>
      </c>
      <c r="G1159" s="6">
        <f>IF($J1159="","",IF($J1159&lt;=1500,N(INDEX('Daily Sale entry '!$AD$1:$AD$1501,$J1159+1)),0))</f>
        <v/>
      </c>
      <c r="H1159" s="6">
        <f>IF($J1159="","",ROUND('Opening Balance'!$B$4+SUM($F$2:F1159)-SUM($G$2:G1159),2))</f>
        <v/>
      </c>
      <c r="J1159" s="21">
        <f>IFERROR(MATCH(ROW()-1,$L$2:$L$3001,0),"")</f>
        <v/>
      </c>
      <c r="K1159" s="34">
        <f>IF(AND('Daily Sale entry '!X1159&lt;&gt;"",OR('Daily Sale entry '!AC1159&lt;&gt;"",'Daily Sale entry '!AD1159&lt;&gt;"")),'Daily Sale entry '!X1159+ROW()/10000000,"")</f>
        <v/>
      </c>
      <c r="L1159" s="21">
        <f>IF(K1159="","",COUNTIF($K$2:$K$3001,"&lt;"&amp;K1159)+1)</f>
        <v/>
      </c>
    </row>
    <row r="1160">
      <c r="A1160" s="5">
        <f>IF($J1160="","",IF($J1160&lt;=1500,INDEX('Daily Sale entry '!$X$1:$X$1501,$J1160+1),INDEX('Daily Sale entry '!$V$1:$V$1501,$J1160-1499)))</f>
        <v/>
      </c>
      <c r="B1160">
        <f>IF($J1160="","",IF($J1160&lt;=1500,INDEX('Daily Sale entry '!$Y$1:$Y$1501,$J1160+1)&amp;"","Buyer cheque banked 买家支票存入"&amp;IF(INDEX('Daily Sale entry '!$U$1:$U$1501,$J1160-1499)="","", " - "&amp;INDEX('Daily Sale entry '!$U$1:$U$1501,$J1160-1499))))</f>
        <v/>
      </c>
      <c r="C1160">
        <f>IF($J1160="","",IF($J1160&lt;=1500,INDEX('Daily Sale entry '!$Z$1:$Z$1501,$J1160+1)&amp;"","Cheque deposit 支票存入 (buyer 买家)"))</f>
        <v/>
      </c>
      <c r="D1160">
        <f>IF($J1160="","",IF($J1160&lt;=1500,INDEX('Daily Sale entry '!$AA$1:$AA$1501,$J1160+1)&amp;"",INDEX('Daily Sale entry '!$P$1:$P$1501,$J1160-1499)&amp;""))</f>
        <v/>
      </c>
      <c r="E1160">
        <f>IF($J1160="","",IF($J1160&lt;=1500,IF(N(INDEX('Daily Sale entry '!$AB$1:$AB$1501,$J1160+1))=0,"",INDEX('Daily Sale entry '!$AB$1:$AB$1501,$J1160+1)),1))</f>
        <v/>
      </c>
      <c r="F1160" s="6">
        <f>IF($J1160="","",IF($J1160&lt;=1500,N(INDEX('Daily Sale entry '!$AC$1:$AC$1501,$J1160+1))-IF(AND('Opening Balance'!$B$15=1,INDEX('Daily Sale entry '!$Z$1:$Z$1501,$J1160+1)="Online collection 网上收款",INDEX('Daily Sale entry '!$AA$1:$AA$1501,$J1160+1)&lt;&gt;""),N(INDEX('Daily Sale entry '!$AC$1:$AC$1501,$J1160+1))-TRUNC(N(INDEX('Daily Sale entry '!$AC$1:$AC$1501,$J1160+1))),0),N(INDEX('Daily Sale entry '!$S$1:$S$1501,$J1160-1499))-'Opening Balance'!$B$15*(N(INDEX('Daily Sale entry '!$S$1:$S$1501,$J1160-1499))-TRUNC(N(INDEX('Daily Sale entry '!$S$1:$S$1501,$J1160-1499))))))</f>
        <v/>
      </c>
      <c r="G1160" s="6">
        <f>IF($J1160="","",IF($J1160&lt;=1500,N(INDEX('Daily Sale entry '!$AD$1:$AD$1501,$J1160+1)),0))</f>
        <v/>
      </c>
      <c r="H1160" s="6">
        <f>IF($J1160="","",ROUND('Opening Balance'!$B$4+SUM($F$2:F1160)-SUM($G$2:G1160),2))</f>
        <v/>
      </c>
      <c r="J1160" s="21">
        <f>IFERROR(MATCH(ROW()-1,$L$2:$L$3001,0),"")</f>
        <v/>
      </c>
      <c r="K1160" s="34">
        <f>IF(AND('Daily Sale entry '!X1160&lt;&gt;"",OR('Daily Sale entry '!AC1160&lt;&gt;"",'Daily Sale entry '!AD1160&lt;&gt;"")),'Daily Sale entry '!X1160+ROW()/10000000,"")</f>
        <v/>
      </c>
      <c r="L1160" s="21">
        <f>IF(K1160="","",COUNTIF($K$2:$K$3001,"&lt;"&amp;K1160)+1)</f>
        <v/>
      </c>
    </row>
    <row r="1161">
      <c r="A1161" s="5">
        <f>IF($J1161="","",IF($J1161&lt;=1500,INDEX('Daily Sale entry '!$X$1:$X$1501,$J1161+1),INDEX('Daily Sale entry '!$V$1:$V$1501,$J1161-1499)))</f>
        <v/>
      </c>
      <c r="B1161">
        <f>IF($J1161="","",IF($J1161&lt;=1500,INDEX('Daily Sale entry '!$Y$1:$Y$1501,$J1161+1)&amp;"","Buyer cheque banked 买家支票存入"&amp;IF(INDEX('Daily Sale entry '!$U$1:$U$1501,$J1161-1499)="","", " - "&amp;INDEX('Daily Sale entry '!$U$1:$U$1501,$J1161-1499))))</f>
        <v/>
      </c>
      <c r="C1161">
        <f>IF($J1161="","",IF($J1161&lt;=1500,INDEX('Daily Sale entry '!$Z$1:$Z$1501,$J1161+1)&amp;"","Cheque deposit 支票存入 (buyer 买家)"))</f>
        <v/>
      </c>
      <c r="D1161">
        <f>IF($J1161="","",IF($J1161&lt;=1500,INDEX('Daily Sale entry '!$AA$1:$AA$1501,$J1161+1)&amp;"",INDEX('Daily Sale entry '!$P$1:$P$1501,$J1161-1499)&amp;""))</f>
        <v/>
      </c>
      <c r="E1161">
        <f>IF($J1161="","",IF($J1161&lt;=1500,IF(N(INDEX('Daily Sale entry '!$AB$1:$AB$1501,$J1161+1))=0,"",INDEX('Daily Sale entry '!$AB$1:$AB$1501,$J1161+1)),1))</f>
        <v/>
      </c>
      <c r="F1161" s="6">
        <f>IF($J1161="","",IF($J1161&lt;=1500,N(INDEX('Daily Sale entry '!$AC$1:$AC$1501,$J1161+1))-IF(AND('Opening Balance'!$B$15=1,INDEX('Daily Sale entry '!$Z$1:$Z$1501,$J1161+1)="Online collection 网上收款",INDEX('Daily Sale entry '!$AA$1:$AA$1501,$J1161+1)&lt;&gt;""),N(INDEX('Daily Sale entry '!$AC$1:$AC$1501,$J1161+1))-TRUNC(N(INDEX('Daily Sale entry '!$AC$1:$AC$1501,$J1161+1))),0),N(INDEX('Daily Sale entry '!$S$1:$S$1501,$J1161-1499))-'Opening Balance'!$B$15*(N(INDEX('Daily Sale entry '!$S$1:$S$1501,$J1161-1499))-TRUNC(N(INDEX('Daily Sale entry '!$S$1:$S$1501,$J1161-1499))))))</f>
        <v/>
      </c>
      <c r="G1161" s="6">
        <f>IF($J1161="","",IF($J1161&lt;=1500,N(INDEX('Daily Sale entry '!$AD$1:$AD$1501,$J1161+1)),0))</f>
        <v/>
      </c>
      <c r="H1161" s="6">
        <f>IF($J1161="","",ROUND('Opening Balance'!$B$4+SUM($F$2:F1161)-SUM($G$2:G1161),2))</f>
        <v/>
      </c>
      <c r="J1161" s="21">
        <f>IFERROR(MATCH(ROW()-1,$L$2:$L$3001,0),"")</f>
        <v/>
      </c>
      <c r="K1161" s="34">
        <f>IF(AND('Daily Sale entry '!X1161&lt;&gt;"",OR('Daily Sale entry '!AC1161&lt;&gt;"",'Daily Sale entry '!AD1161&lt;&gt;"")),'Daily Sale entry '!X1161+ROW()/10000000,"")</f>
        <v/>
      </c>
      <c r="L1161" s="21">
        <f>IF(K1161="","",COUNTIF($K$2:$K$3001,"&lt;"&amp;K1161)+1)</f>
        <v/>
      </c>
    </row>
    <row r="1162">
      <c r="A1162" s="5">
        <f>IF($J1162="","",IF($J1162&lt;=1500,INDEX('Daily Sale entry '!$X$1:$X$1501,$J1162+1),INDEX('Daily Sale entry '!$V$1:$V$1501,$J1162-1499)))</f>
        <v/>
      </c>
      <c r="B1162">
        <f>IF($J1162="","",IF($J1162&lt;=1500,INDEX('Daily Sale entry '!$Y$1:$Y$1501,$J1162+1)&amp;"","Buyer cheque banked 买家支票存入"&amp;IF(INDEX('Daily Sale entry '!$U$1:$U$1501,$J1162-1499)="","", " - "&amp;INDEX('Daily Sale entry '!$U$1:$U$1501,$J1162-1499))))</f>
        <v/>
      </c>
      <c r="C1162">
        <f>IF($J1162="","",IF($J1162&lt;=1500,INDEX('Daily Sale entry '!$Z$1:$Z$1501,$J1162+1)&amp;"","Cheque deposit 支票存入 (buyer 买家)"))</f>
        <v/>
      </c>
      <c r="D1162">
        <f>IF($J1162="","",IF($J1162&lt;=1500,INDEX('Daily Sale entry '!$AA$1:$AA$1501,$J1162+1)&amp;"",INDEX('Daily Sale entry '!$P$1:$P$1501,$J1162-1499)&amp;""))</f>
        <v/>
      </c>
      <c r="E1162">
        <f>IF($J1162="","",IF($J1162&lt;=1500,IF(N(INDEX('Daily Sale entry '!$AB$1:$AB$1501,$J1162+1))=0,"",INDEX('Daily Sale entry '!$AB$1:$AB$1501,$J1162+1)),1))</f>
        <v/>
      </c>
      <c r="F1162" s="6">
        <f>IF($J1162="","",IF($J1162&lt;=1500,N(INDEX('Daily Sale entry '!$AC$1:$AC$1501,$J1162+1))-IF(AND('Opening Balance'!$B$15=1,INDEX('Daily Sale entry '!$Z$1:$Z$1501,$J1162+1)="Online collection 网上收款",INDEX('Daily Sale entry '!$AA$1:$AA$1501,$J1162+1)&lt;&gt;""),N(INDEX('Daily Sale entry '!$AC$1:$AC$1501,$J1162+1))-TRUNC(N(INDEX('Daily Sale entry '!$AC$1:$AC$1501,$J1162+1))),0),N(INDEX('Daily Sale entry '!$S$1:$S$1501,$J1162-1499))-'Opening Balance'!$B$15*(N(INDEX('Daily Sale entry '!$S$1:$S$1501,$J1162-1499))-TRUNC(N(INDEX('Daily Sale entry '!$S$1:$S$1501,$J1162-1499))))))</f>
        <v/>
      </c>
      <c r="G1162" s="6">
        <f>IF($J1162="","",IF($J1162&lt;=1500,N(INDEX('Daily Sale entry '!$AD$1:$AD$1501,$J1162+1)),0))</f>
        <v/>
      </c>
      <c r="H1162" s="6">
        <f>IF($J1162="","",ROUND('Opening Balance'!$B$4+SUM($F$2:F1162)-SUM($G$2:G1162),2))</f>
        <v/>
      </c>
      <c r="J1162" s="21">
        <f>IFERROR(MATCH(ROW()-1,$L$2:$L$3001,0),"")</f>
        <v/>
      </c>
      <c r="K1162" s="34">
        <f>IF(AND('Daily Sale entry '!X1162&lt;&gt;"",OR('Daily Sale entry '!AC1162&lt;&gt;"",'Daily Sale entry '!AD1162&lt;&gt;"")),'Daily Sale entry '!X1162+ROW()/10000000,"")</f>
        <v/>
      </c>
      <c r="L1162" s="21">
        <f>IF(K1162="","",COUNTIF($K$2:$K$3001,"&lt;"&amp;K1162)+1)</f>
        <v/>
      </c>
    </row>
    <row r="1163">
      <c r="A1163" s="5">
        <f>IF($J1163="","",IF($J1163&lt;=1500,INDEX('Daily Sale entry '!$X$1:$X$1501,$J1163+1),INDEX('Daily Sale entry '!$V$1:$V$1501,$J1163-1499)))</f>
        <v/>
      </c>
      <c r="B1163">
        <f>IF($J1163="","",IF($J1163&lt;=1500,INDEX('Daily Sale entry '!$Y$1:$Y$1501,$J1163+1)&amp;"","Buyer cheque banked 买家支票存入"&amp;IF(INDEX('Daily Sale entry '!$U$1:$U$1501,$J1163-1499)="","", " - "&amp;INDEX('Daily Sale entry '!$U$1:$U$1501,$J1163-1499))))</f>
        <v/>
      </c>
      <c r="C1163">
        <f>IF($J1163="","",IF($J1163&lt;=1500,INDEX('Daily Sale entry '!$Z$1:$Z$1501,$J1163+1)&amp;"","Cheque deposit 支票存入 (buyer 买家)"))</f>
        <v/>
      </c>
      <c r="D1163">
        <f>IF($J1163="","",IF($J1163&lt;=1500,INDEX('Daily Sale entry '!$AA$1:$AA$1501,$J1163+1)&amp;"",INDEX('Daily Sale entry '!$P$1:$P$1501,$J1163-1499)&amp;""))</f>
        <v/>
      </c>
      <c r="E1163">
        <f>IF($J1163="","",IF($J1163&lt;=1500,IF(N(INDEX('Daily Sale entry '!$AB$1:$AB$1501,$J1163+1))=0,"",INDEX('Daily Sale entry '!$AB$1:$AB$1501,$J1163+1)),1))</f>
        <v/>
      </c>
      <c r="F1163" s="6">
        <f>IF($J1163="","",IF($J1163&lt;=1500,N(INDEX('Daily Sale entry '!$AC$1:$AC$1501,$J1163+1))-IF(AND('Opening Balance'!$B$15=1,INDEX('Daily Sale entry '!$Z$1:$Z$1501,$J1163+1)="Online collection 网上收款",INDEX('Daily Sale entry '!$AA$1:$AA$1501,$J1163+1)&lt;&gt;""),N(INDEX('Daily Sale entry '!$AC$1:$AC$1501,$J1163+1))-TRUNC(N(INDEX('Daily Sale entry '!$AC$1:$AC$1501,$J1163+1))),0),N(INDEX('Daily Sale entry '!$S$1:$S$1501,$J1163-1499))-'Opening Balance'!$B$15*(N(INDEX('Daily Sale entry '!$S$1:$S$1501,$J1163-1499))-TRUNC(N(INDEX('Daily Sale entry '!$S$1:$S$1501,$J1163-1499))))))</f>
        <v/>
      </c>
      <c r="G1163" s="6">
        <f>IF($J1163="","",IF($J1163&lt;=1500,N(INDEX('Daily Sale entry '!$AD$1:$AD$1501,$J1163+1)),0))</f>
        <v/>
      </c>
      <c r="H1163" s="6">
        <f>IF($J1163="","",ROUND('Opening Balance'!$B$4+SUM($F$2:F1163)-SUM($G$2:G1163),2))</f>
        <v/>
      </c>
      <c r="J1163" s="21">
        <f>IFERROR(MATCH(ROW()-1,$L$2:$L$3001,0),"")</f>
        <v/>
      </c>
      <c r="K1163" s="34">
        <f>IF(AND('Daily Sale entry '!X1163&lt;&gt;"",OR('Daily Sale entry '!AC1163&lt;&gt;"",'Daily Sale entry '!AD1163&lt;&gt;"")),'Daily Sale entry '!X1163+ROW()/10000000,"")</f>
        <v/>
      </c>
      <c r="L1163" s="21">
        <f>IF(K1163="","",COUNTIF($K$2:$K$3001,"&lt;"&amp;K1163)+1)</f>
        <v/>
      </c>
    </row>
    <row r="1164">
      <c r="A1164" s="5">
        <f>IF($J1164="","",IF($J1164&lt;=1500,INDEX('Daily Sale entry '!$X$1:$X$1501,$J1164+1),INDEX('Daily Sale entry '!$V$1:$V$1501,$J1164-1499)))</f>
        <v/>
      </c>
      <c r="B1164">
        <f>IF($J1164="","",IF($J1164&lt;=1500,INDEX('Daily Sale entry '!$Y$1:$Y$1501,$J1164+1)&amp;"","Buyer cheque banked 买家支票存入"&amp;IF(INDEX('Daily Sale entry '!$U$1:$U$1501,$J1164-1499)="","", " - "&amp;INDEX('Daily Sale entry '!$U$1:$U$1501,$J1164-1499))))</f>
        <v/>
      </c>
      <c r="C1164">
        <f>IF($J1164="","",IF($J1164&lt;=1500,INDEX('Daily Sale entry '!$Z$1:$Z$1501,$J1164+1)&amp;"","Cheque deposit 支票存入 (buyer 买家)"))</f>
        <v/>
      </c>
      <c r="D1164">
        <f>IF($J1164="","",IF($J1164&lt;=1500,INDEX('Daily Sale entry '!$AA$1:$AA$1501,$J1164+1)&amp;"",INDEX('Daily Sale entry '!$P$1:$P$1501,$J1164-1499)&amp;""))</f>
        <v/>
      </c>
      <c r="E1164">
        <f>IF($J1164="","",IF($J1164&lt;=1500,IF(N(INDEX('Daily Sale entry '!$AB$1:$AB$1501,$J1164+1))=0,"",INDEX('Daily Sale entry '!$AB$1:$AB$1501,$J1164+1)),1))</f>
        <v/>
      </c>
      <c r="F1164" s="6">
        <f>IF($J1164="","",IF($J1164&lt;=1500,N(INDEX('Daily Sale entry '!$AC$1:$AC$1501,$J1164+1))-IF(AND('Opening Balance'!$B$15=1,INDEX('Daily Sale entry '!$Z$1:$Z$1501,$J1164+1)="Online collection 网上收款",INDEX('Daily Sale entry '!$AA$1:$AA$1501,$J1164+1)&lt;&gt;""),N(INDEX('Daily Sale entry '!$AC$1:$AC$1501,$J1164+1))-TRUNC(N(INDEX('Daily Sale entry '!$AC$1:$AC$1501,$J1164+1))),0),N(INDEX('Daily Sale entry '!$S$1:$S$1501,$J1164-1499))-'Opening Balance'!$B$15*(N(INDEX('Daily Sale entry '!$S$1:$S$1501,$J1164-1499))-TRUNC(N(INDEX('Daily Sale entry '!$S$1:$S$1501,$J1164-1499))))))</f>
        <v/>
      </c>
      <c r="G1164" s="6">
        <f>IF($J1164="","",IF($J1164&lt;=1500,N(INDEX('Daily Sale entry '!$AD$1:$AD$1501,$J1164+1)),0))</f>
        <v/>
      </c>
      <c r="H1164" s="6">
        <f>IF($J1164="","",ROUND('Opening Balance'!$B$4+SUM($F$2:F1164)-SUM($G$2:G1164),2))</f>
        <v/>
      </c>
      <c r="J1164" s="21">
        <f>IFERROR(MATCH(ROW()-1,$L$2:$L$3001,0),"")</f>
        <v/>
      </c>
      <c r="K1164" s="34">
        <f>IF(AND('Daily Sale entry '!X1164&lt;&gt;"",OR('Daily Sale entry '!AC1164&lt;&gt;"",'Daily Sale entry '!AD1164&lt;&gt;"")),'Daily Sale entry '!X1164+ROW()/10000000,"")</f>
        <v/>
      </c>
      <c r="L1164" s="21">
        <f>IF(K1164="","",COUNTIF($K$2:$K$3001,"&lt;"&amp;K1164)+1)</f>
        <v/>
      </c>
    </row>
    <row r="1165">
      <c r="A1165" s="5">
        <f>IF($J1165="","",IF($J1165&lt;=1500,INDEX('Daily Sale entry '!$X$1:$X$1501,$J1165+1),INDEX('Daily Sale entry '!$V$1:$V$1501,$J1165-1499)))</f>
        <v/>
      </c>
      <c r="B1165">
        <f>IF($J1165="","",IF($J1165&lt;=1500,INDEX('Daily Sale entry '!$Y$1:$Y$1501,$J1165+1)&amp;"","Buyer cheque banked 买家支票存入"&amp;IF(INDEX('Daily Sale entry '!$U$1:$U$1501,$J1165-1499)="","", " - "&amp;INDEX('Daily Sale entry '!$U$1:$U$1501,$J1165-1499))))</f>
        <v/>
      </c>
      <c r="C1165">
        <f>IF($J1165="","",IF($J1165&lt;=1500,INDEX('Daily Sale entry '!$Z$1:$Z$1501,$J1165+1)&amp;"","Cheque deposit 支票存入 (buyer 买家)"))</f>
        <v/>
      </c>
      <c r="D1165">
        <f>IF($J1165="","",IF($J1165&lt;=1500,INDEX('Daily Sale entry '!$AA$1:$AA$1501,$J1165+1)&amp;"",INDEX('Daily Sale entry '!$P$1:$P$1501,$J1165-1499)&amp;""))</f>
        <v/>
      </c>
      <c r="E1165">
        <f>IF($J1165="","",IF($J1165&lt;=1500,IF(N(INDEX('Daily Sale entry '!$AB$1:$AB$1501,$J1165+1))=0,"",INDEX('Daily Sale entry '!$AB$1:$AB$1501,$J1165+1)),1))</f>
        <v/>
      </c>
      <c r="F1165" s="6">
        <f>IF($J1165="","",IF($J1165&lt;=1500,N(INDEX('Daily Sale entry '!$AC$1:$AC$1501,$J1165+1))-IF(AND('Opening Balance'!$B$15=1,INDEX('Daily Sale entry '!$Z$1:$Z$1501,$J1165+1)="Online collection 网上收款",INDEX('Daily Sale entry '!$AA$1:$AA$1501,$J1165+1)&lt;&gt;""),N(INDEX('Daily Sale entry '!$AC$1:$AC$1501,$J1165+1))-TRUNC(N(INDEX('Daily Sale entry '!$AC$1:$AC$1501,$J1165+1))),0),N(INDEX('Daily Sale entry '!$S$1:$S$1501,$J1165-1499))-'Opening Balance'!$B$15*(N(INDEX('Daily Sale entry '!$S$1:$S$1501,$J1165-1499))-TRUNC(N(INDEX('Daily Sale entry '!$S$1:$S$1501,$J1165-1499))))))</f>
        <v/>
      </c>
      <c r="G1165" s="6">
        <f>IF($J1165="","",IF($J1165&lt;=1500,N(INDEX('Daily Sale entry '!$AD$1:$AD$1501,$J1165+1)),0))</f>
        <v/>
      </c>
      <c r="H1165" s="6">
        <f>IF($J1165="","",ROUND('Opening Balance'!$B$4+SUM($F$2:F1165)-SUM($G$2:G1165),2))</f>
        <v/>
      </c>
      <c r="J1165" s="21">
        <f>IFERROR(MATCH(ROW()-1,$L$2:$L$3001,0),"")</f>
        <v/>
      </c>
      <c r="K1165" s="34">
        <f>IF(AND('Daily Sale entry '!X1165&lt;&gt;"",OR('Daily Sale entry '!AC1165&lt;&gt;"",'Daily Sale entry '!AD1165&lt;&gt;"")),'Daily Sale entry '!X1165+ROW()/10000000,"")</f>
        <v/>
      </c>
      <c r="L1165" s="21">
        <f>IF(K1165="","",COUNTIF($K$2:$K$3001,"&lt;"&amp;K1165)+1)</f>
        <v/>
      </c>
    </row>
    <row r="1166">
      <c r="A1166" s="5">
        <f>IF($J1166="","",IF($J1166&lt;=1500,INDEX('Daily Sale entry '!$X$1:$X$1501,$J1166+1),INDEX('Daily Sale entry '!$V$1:$V$1501,$J1166-1499)))</f>
        <v/>
      </c>
      <c r="B1166">
        <f>IF($J1166="","",IF($J1166&lt;=1500,INDEX('Daily Sale entry '!$Y$1:$Y$1501,$J1166+1)&amp;"","Buyer cheque banked 买家支票存入"&amp;IF(INDEX('Daily Sale entry '!$U$1:$U$1501,$J1166-1499)="","", " - "&amp;INDEX('Daily Sale entry '!$U$1:$U$1501,$J1166-1499))))</f>
        <v/>
      </c>
      <c r="C1166">
        <f>IF($J1166="","",IF($J1166&lt;=1500,INDEX('Daily Sale entry '!$Z$1:$Z$1501,$J1166+1)&amp;"","Cheque deposit 支票存入 (buyer 买家)"))</f>
        <v/>
      </c>
      <c r="D1166">
        <f>IF($J1166="","",IF($J1166&lt;=1500,INDEX('Daily Sale entry '!$AA$1:$AA$1501,$J1166+1)&amp;"",INDEX('Daily Sale entry '!$P$1:$P$1501,$J1166-1499)&amp;""))</f>
        <v/>
      </c>
      <c r="E1166">
        <f>IF($J1166="","",IF($J1166&lt;=1500,IF(N(INDEX('Daily Sale entry '!$AB$1:$AB$1501,$J1166+1))=0,"",INDEX('Daily Sale entry '!$AB$1:$AB$1501,$J1166+1)),1))</f>
        <v/>
      </c>
      <c r="F1166" s="6">
        <f>IF($J1166="","",IF($J1166&lt;=1500,N(INDEX('Daily Sale entry '!$AC$1:$AC$1501,$J1166+1))-IF(AND('Opening Balance'!$B$15=1,INDEX('Daily Sale entry '!$Z$1:$Z$1501,$J1166+1)="Online collection 网上收款",INDEX('Daily Sale entry '!$AA$1:$AA$1501,$J1166+1)&lt;&gt;""),N(INDEX('Daily Sale entry '!$AC$1:$AC$1501,$J1166+1))-TRUNC(N(INDEX('Daily Sale entry '!$AC$1:$AC$1501,$J1166+1))),0),N(INDEX('Daily Sale entry '!$S$1:$S$1501,$J1166-1499))-'Opening Balance'!$B$15*(N(INDEX('Daily Sale entry '!$S$1:$S$1501,$J1166-1499))-TRUNC(N(INDEX('Daily Sale entry '!$S$1:$S$1501,$J1166-1499))))))</f>
        <v/>
      </c>
      <c r="G1166" s="6">
        <f>IF($J1166="","",IF($J1166&lt;=1500,N(INDEX('Daily Sale entry '!$AD$1:$AD$1501,$J1166+1)),0))</f>
        <v/>
      </c>
      <c r="H1166" s="6">
        <f>IF($J1166="","",ROUND('Opening Balance'!$B$4+SUM($F$2:F1166)-SUM($G$2:G1166),2))</f>
        <v/>
      </c>
      <c r="J1166" s="21">
        <f>IFERROR(MATCH(ROW()-1,$L$2:$L$3001,0),"")</f>
        <v/>
      </c>
      <c r="K1166" s="34">
        <f>IF(AND('Daily Sale entry '!X1166&lt;&gt;"",OR('Daily Sale entry '!AC1166&lt;&gt;"",'Daily Sale entry '!AD1166&lt;&gt;"")),'Daily Sale entry '!X1166+ROW()/10000000,"")</f>
        <v/>
      </c>
      <c r="L1166" s="21">
        <f>IF(K1166="","",COUNTIF($K$2:$K$3001,"&lt;"&amp;K1166)+1)</f>
        <v/>
      </c>
    </row>
    <row r="1167">
      <c r="A1167" s="5">
        <f>IF($J1167="","",IF($J1167&lt;=1500,INDEX('Daily Sale entry '!$X$1:$X$1501,$J1167+1),INDEX('Daily Sale entry '!$V$1:$V$1501,$J1167-1499)))</f>
        <v/>
      </c>
      <c r="B1167">
        <f>IF($J1167="","",IF($J1167&lt;=1500,INDEX('Daily Sale entry '!$Y$1:$Y$1501,$J1167+1)&amp;"","Buyer cheque banked 买家支票存入"&amp;IF(INDEX('Daily Sale entry '!$U$1:$U$1501,$J1167-1499)="","", " - "&amp;INDEX('Daily Sale entry '!$U$1:$U$1501,$J1167-1499))))</f>
        <v/>
      </c>
      <c r="C1167">
        <f>IF($J1167="","",IF($J1167&lt;=1500,INDEX('Daily Sale entry '!$Z$1:$Z$1501,$J1167+1)&amp;"","Cheque deposit 支票存入 (buyer 买家)"))</f>
        <v/>
      </c>
      <c r="D1167">
        <f>IF($J1167="","",IF($J1167&lt;=1500,INDEX('Daily Sale entry '!$AA$1:$AA$1501,$J1167+1)&amp;"",INDEX('Daily Sale entry '!$P$1:$P$1501,$J1167-1499)&amp;""))</f>
        <v/>
      </c>
      <c r="E1167">
        <f>IF($J1167="","",IF($J1167&lt;=1500,IF(N(INDEX('Daily Sale entry '!$AB$1:$AB$1501,$J1167+1))=0,"",INDEX('Daily Sale entry '!$AB$1:$AB$1501,$J1167+1)),1))</f>
        <v/>
      </c>
      <c r="F1167" s="6">
        <f>IF($J1167="","",IF($J1167&lt;=1500,N(INDEX('Daily Sale entry '!$AC$1:$AC$1501,$J1167+1))-IF(AND('Opening Balance'!$B$15=1,INDEX('Daily Sale entry '!$Z$1:$Z$1501,$J1167+1)="Online collection 网上收款",INDEX('Daily Sale entry '!$AA$1:$AA$1501,$J1167+1)&lt;&gt;""),N(INDEX('Daily Sale entry '!$AC$1:$AC$1501,$J1167+1))-TRUNC(N(INDEX('Daily Sale entry '!$AC$1:$AC$1501,$J1167+1))),0),N(INDEX('Daily Sale entry '!$S$1:$S$1501,$J1167-1499))-'Opening Balance'!$B$15*(N(INDEX('Daily Sale entry '!$S$1:$S$1501,$J1167-1499))-TRUNC(N(INDEX('Daily Sale entry '!$S$1:$S$1501,$J1167-1499))))))</f>
        <v/>
      </c>
      <c r="G1167" s="6">
        <f>IF($J1167="","",IF($J1167&lt;=1500,N(INDEX('Daily Sale entry '!$AD$1:$AD$1501,$J1167+1)),0))</f>
        <v/>
      </c>
      <c r="H1167" s="6">
        <f>IF($J1167="","",ROUND('Opening Balance'!$B$4+SUM($F$2:F1167)-SUM($G$2:G1167),2))</f>
        <v/>
      </c>
      <c r="J1167" s="21">
        <f>IFERROR(MATCH(ROW()-1,$L$2:$L$3001,0),"")</f>
        <v/>
      </c>
      <c r="K1167" s="34">
        <f>IF(AND('Daily Sale entry '!X1167&lt;&gt;"",OR('Daily Sale entry '!AC1167&lt;&gt;"",'Daily Sale entry '!AD1167&lt;&gt;"")),'Daily Sale entry '!X1167+ROW()/10000000,"")</f>
        <v/>
      </c>
      <c r="L1167" s="21">
        <f>IF(K1167="","",COUNTIF($K$2:$K$3001,"&lt;"&amp;K1167)+1)</f>
        <v/>
      </c>
    </row>
    <row r="1168">
      <c r="A1168" s="5">
        <f>IF($J1168="","",IF($J1168&lt;=1500,INDEX('Daily Sale entry '!$X$1:$X$1501,$J1168+1),INDEX('Daily Sale entry '!$V$1:$V$1501,$J1168-1499)))</f>
        <v/>
      </c>
      <c r="B1168">
        <f>IF($J1168="","",IF($J1168&lt;=1500,INDEX('Daily Sale entry '!$Y$1:$Y$1501,$J1168+1)&amp;"","Buyer cheque banked 买家支票存入"&amp;IF(INDEX('Daily Sale entry '!$U$1:$U$1501,$J1168-1499)="","", " - "&amp;INDEX('Daily Sale entry '!$U$1:$U$1501,$J1168-1499))))</f>
        <v/>
      </c>
      <c r="C1168">
        <f>IF($J1168="","",IF($J1168&lt;=1500,INDEX('Daily Sale entry '!$Z$1:$Z$1501,$J1168+1)&amp;"","Cheque deposit 支票存入 (buyer 买家)"))</f>
        <v/>
      </c>
      <c r="D1168">
        <f>IF($J1168="","",IF($J1168&lt;=1500,INDEX('Daily Sale entry '!$AA$1:$AA$1501,$J1168+1)&amp;"",INDEX('Daily Sale entry '!$P$1:$P$1501,$J1168-1499)&amp;""))</f>
        <v/>
      </c>
      <c r="E1168">
        <f>IF($J1168="","",IF($J1168&lt;=1500,IF(N(INDEX('Daily Sale entry '!$AB$1:$AB$1501,$J1168+1))=0,"",INDEX('Daily Sale entry '!$AB$1:$AB$1501,$J1168+1)),1))</f>
        <v/>
      </c>
      <c r="F1168" s="6">
        <f>IF($J1168="","",IF($J1168&lt;=1500,N(INDEX('Daily Sale entry '!$AC$1:$AC$1501,$J1168+1))-IF(AND('Opening Balance'!$B$15=1,INDEX('Daily Sale entry '!$Z$1:$Z$1501,$J1168+1)="Online collection 网上收款",INDEX('Daily Sale entry '!$AA$1:$AA$1501,$J1168+1)&lt;&gt;""),N(INDEX('Daily Sale entry '!$AC$1:$AC$1501,$J1168+1))-TRUNC(N(INDEX('Daily Sale entry '!$AC$1:$AC$1501,$J1168+1))),0),N(INDEX('Daily Sale entry '!$S$1:$S$1501,$J1168-1499))-'Opening Balance'!$B$15*(N(INDEX('Daily Sale entry '!$S$1:$S$1501,$J1168-1499))-TRUNC(N(INDEX('Daily Sale entry '!$S$1:$S$1501,$J1168-1499))))))</f>
        <v/>
      </c>
      <c r="G1168" s="6">
        <f>IF($J1168="","",IF($J1168&lt;=1500,N(INDEX('Daily Sale entry '!$AD$1:$AD$1501,$J1168+1)),0))</f>
        <v/>
      </c>
      <c r="H1168" s="6">
        <f>IF($J1168="","",ROUND('Opening Balance'!$B$4+SUM($F$2:F1168)-SUM($G$2:G1168),2))</f>
        <v/>
      </c>
      <c r="J1168" s="21">
        <f>IFERROR(MATCH(ROW()-1,$L$2:$L$3001,0),"")</f>
        <v/>
      </c>
      <c r="K1168" s="34">
        <f>IF(AND('Daily Sale entry '!X1168&lt;&gt;"",OR('Daily Sale entry '!AC1168&lt;&gt;"",'Daily Sale entry '!AD1168&lt;&gt;"")),'Daily Sale entry '!X1168+ROW()/10000000,"")</f>
        <v/>
      </c>
      <c r="L1168" s="21">
        <f>IF(K1168="","",COUNTIF($K$2:$K$3001,"&lt;"&amp;K1168)+1)</f>
        <v/>
      </c>
    </row>
    <row r="1169">
      <c r="A1169" s="5">
        <f>IF($J1169="","",IF($J1169&lt;=1500,INDEX('Daily Sale entry '!$X$1:$X$1501,$J1169+1),INDEX('Daily Sale entry '!$V$1:$V$1501,$J1169-1499)))</f>
        <v/>
      </c>
      <c r="B1169">
        <f>IF($J1169="","",IF($J1169&lt;=1500,INDEX('Daily Sale entry '!$Y$1:$Y$1501,$J1169+1)&amp;"","Buyer cheque banked 买家支票存入"&amp;IF(INDEX('Daily Sale entry '!$U$1:$U$1501,$J1169-1499)="","", " - "&amp;INDEX('Daily Sale entry '!$U$1:$U$1501,$J1169-1499))))</f>
        <v/>
      </c>
      <c r="C1169">
        <f>IF($J1169="","",IF($J1169&lt;=1500,INDEX('Daily Sale entry '!$Z$1:$Z$1501,$J1169+1)&amp;"","Cheque deposit 支票存入 (buyer 买家)"))</f>
        <v/>
      </c>
      <c r="D1169">
        <f>IF($J1169="","",IF($J1169&lt;=1500,INDEX('Daily Sale entry '!$AA$1:$AA$1501,$J1169+1)&amp;"",INDEX('Daily Sale entry '!$P$1:$P$1501,$J1169-1499)&amp;""))</f>
        <v/>
      </c>
      <c r="E1169">
        <f>IF($J1169="","",IF($J1169&lt;=1500,IF(N(INDEX('Daily Sale entry '!$AB$1:$AB$1501,$J1169+1))=0,"",INDEX('Daily Sale entry '!$AB$1:$AB$1501,$J1169+1)),1))</f>
        <v/>
      </c>
      <c r="F1169" s="6">
        <f>IF($J1169="","",IF($J1169&lt;=1500,N(INDEX('Daily Sale entry '!$AC$1:$AC$1501,$J1169+1))-IF(AND('Opening Balance'!$B$15=1,INDEX('Daily Sale entry '!$Z$1:$Z$1501,$J1169+1)="Online collection 网上收款",INDEX('Daily Sale entry '!$AA$1:$AA$1501,$J1169+1)&lt;&gt;""),N(INDEX('Daily Sale entry '!$AC$1:$AC$1501,$J1169+1))-TRUNC(N(INDEX('Daily Sale entry '!$AC$1:$AC$1501,$J1169+1))),0),N(INDEX('Daily Sale entry '!$S$1:$S$1501,$J1169-1499))-'Opening Balance'!$B$15*(N(INDEX('Daily Sale entry '!$S$1:$S$1501,$J1169-1499))-TRUNC(N(INDEX('Daily Sale entry '!$S$1:$S$1501,$J1169-1499))))))</f>
        <v/>
      </c>
      <c r="G1169" s="6">
        <f>IF($J1169="","",IF($J1169&lt;=1500,N(INDEX('Daily Sale entry '!$AD$1:$AD$1501,$J1169+1)),0))</f>
        <v/>
      </c>
      <c r="H1169" s="6">
        <f>IF($J1169="","",ROUND('Opening Balance'!$B$4+SUM($F$2:F1169)-SUM($G$2:G1169),2))</f>
        <v/>
      </c>
      <c r="J1169" s="21">
        <f>IFERROR(MATCH(ROW()-1,$L$2:$L$3001,0),"")</f>
        <v/>
      </c>
      <c r="K1169" s="34">
        <f>IF(AND('Daily Sale entry '!X1169&lt;&gt;"",OR('Daily Sale entry '!AC1169&lt;&gt;"",'Daily Sale entry '!AD1169&lt;&gt;"")),'Daily Sale entry '!X1169+ROW()/10000000,"")</f>
        <v/>
      </c>
      <c r="L1169" s="21">
        <f>IF(K1169="","",COUNTIF($K$2:$K$3001,"&lt;"&amp;K1169)+1)</f>
        <v/>
      </c>
    </row>
    <row r="1170">
      <c r="A1170" s="5">
        <f>IF($J1170="","",IF($J1170&lt;=1500,INDEX('Daily Sale entry '!$X$1:$X$1501,$J1170+1),INDEX('Daily Sale entry '!$V$1:$V$1501,$J1170-1499)))</f>
        <v/>
      </c>
      <c r="B1170">
        <f>IF($J1170="","",IF($J1170&lt;=1500,INDEX('Daily Sale entry '!$Y$1:$Y$1501,$J1170+1)&amp;"","Buyer cheque banked 买家支票存入"&amp;IF(INDEX('Daily Sale entry '!$U$1:$U$1501,$J1170-1499)="","", " - "&amp;INDEX('Daily Sale entry '!$U$1:$U$1501,$J1170-1499))))</f>
        <v/>
      </c>
      <c r="C1170">
        <f>IF($J1170="","",IF($J1170&lt;=1500,INDEX('Daily Sale entry '!$Z$1:$Z$1501,$J1170+1)&amp;"","Cheque deposit 支票存入 (buyer 买家)"))</f>
        <v/>
      </c>
      <c r="D1170">
        <f>IF($J1170="","",IF($J1170&lt;=1500,INDEX('Daily Sale entry '!$AA$1:$AA$1501,$J1170+1)&amp;"",INDEX('Daily Sale entry '!$P$1:$P$1501,$J1170-1499)&amp;""))</f>
        <v/>
      </c>
      <c r="E1170">
        <f>IF($J1170="","",IF($J1170&lt;=1500,IF(N(INDEX('Daily Sale entry '!$AB$1:$AB$1501,$J1170+1))=0,"",INDEX('Daily Sale entry '!$AB$1:$AB$1501,$J1170+1)),1))</f>
        <v/>
      </c>
      <c r="F1170" s="6">
        <f>IF($J1170="","",IF($J1170&lt;=1500,N(INDEX('Daily Sale entry '!$AC$1:$AC$1501,$J1170+1))-IF(AND('Opening Balance'!$B$15=1,INDEX('Daily Sale entry '!$Z$1:$Z$1501,$J1170+1)="Online collection 网上收款",INDEX('Daily Sale entry '!$AA$1:$AA$1501,$J1170+1)&lt;&gt;""),N(INDEX('Daily Sale entry '!$AC$1:$AC$1501,$J1170+1))-TRUNC(N(INDEX('Daily Sale entry '!$AC$1:$AC$1501,$J1170+1))),0),N(INDEX('Daily Sale entry '!$S$1:$S$1501,$J1170-1499))-'Opening Balance'!$B$15*(N(INDEX('Daily Sale entry '!$S$1:$S$1501,$J1170-1499))-TRUNC(N(INDEX('Daily Sale entry '!$S$1:$S$1501,$J1170-1499))))))</f>
        <v/>
      </c>
      <c r="G1170" s="6">
        <f>IF($J1170="","",IF($J1170&lt;=1500,N(INDEX('Daily Sale entry '!$AD$1:$AD$1501,$J1170+1)),0))</f>
        <v/>
      </c>
      <c r="H1170" s="6">
        <f>IF($J1170="","",ROUND('Opening Balance'!$B$4+SUM($F$2:F1170)-SUM($G$2:G1170),2))</f>
        <v/>
      </c>
      <c r="J1170" s="21">
        <f>IFERROR(MATCH(ROW()-1,$L$2:$L$3001,0),"")</f>
        <v/>
      </c>
      <c r="K1170" s="34">
        <f>IF(AND('Daily Sale entry '!X1170&lt;&gt;"",OR('Daily Sale entry '!AC1170&lt;&gt;"",'Daily Sale entry '!AD1170&lt;&gt;"")),'Daily Sale entry '!X1170+ROW()/10000000,"")</f>
        <v/>
      </c>
      <c r="L1170" s="21">
        <f>IF(K1170="","",COUNTIF($K$2:$K$3001,"&lt;"&amp;K1170)+1)</f>
        <v/>
      </c>
    </row>
    <row r="1171">
      <c r="A1171" s="5">
        <f>IF($J1171="","",IF($J1171&lt;=1500,INDEX('Daily Sale entry '!$X$1:$X$1501,$J1171+1),INDEX('Daily Sale entry '!$V$1:$V$1501,$J1171-1499)))</f>
        <v/>
      </c>
      <c r="B1171">
        <f>IF($J1171="","",IF($J1171&lt;=1500,INDEX('Daily Sale entry '!$Y$1:$Y$1501,$J1171+1)&amp;"","Buyer cheque banked 买家支票存入"&amp;IF(INDEX('Daily Sale entry '!$U$1:$U$1501,$J1171-1499)="","", " - "&amp;INDEX('Daily Sale entry '!$U$1:$U$1501,$J1171-1499))))</f>
        <v/>
      </c>
      <c r="C1171">
        <f>IF($J1171="","",IF($J1171&lt;=1500,INDEX('Daily Sale entry '!$Z$1:$Z$1501,$J1171+1)&amp;"","Cheque deposit 支票存入 (buyer 买家)"))</f>
        <v/>
      </c>
      <c r="D1171">
        <f>IF($J1171="","",IF($J1171&lt;=1500,INDEX('Daily Sale entry '!$AA$1:$AA$1501,$J1171+1)&amp;"",INDEX('Daily Sale entry '!$P$1:$P$1501,$J1171-1499)&amp;""))</f>
        <v/>
      </c>
      <c r="E1171">
        <f>IF($J1171="","",IF($J1171&lt;=1500,IF(N(INDEX('Daily Sale entry '!$AB$1:$AB$1501,$J1171+1))=0,"",INDEX('Daily Sale entry '!$AB$1:$AB$1501,$J1171+1)),1))</f>
        <v/>
      </c>
      <c r="F1171" s="6">
        <f>IF($J1171="","",IF($J1171&lt;=1500,N(INDEX('Daily Sale entry '!$AC$1:$AC$1501,$J1171+1))-IF(AND('Opening Balance'!$B$15=1,INDEX('Daily Sale entry '!$Z$1:$Z$1501,$J1171+1)="Online collection 网上收款",INDEX('Daily Sale entry '!$AA$1:$AA$1501,$J1171+1)&lt;&gt;""),N(INDEX('Daily Sale entry '!$AC$1:$AC$1501,$J1171+1))-TRUNC(N(INDEX('Daily Sale entry '!$AC$1:$AC$1501,$J1171+1))),0),N(INDEX('Daily Sale entry '!$S$1:$S$1501,$J1171-1499))-'Opening Balance'!$B$15*(N(INDEX('Daily Sale entry '!$S$1:$S$1501,$J1171-1499))-TRUNC(N(INDEX('Daily Sale entry '!$S$1:$S$1501,$J1171-1499))))))</f>
        <v/>
      </c>
      <c r="G1171" s="6">
        <f>IF($J1171="","",IF($J1171&lt;=1500,N(INDEX('Daily Sale entry '!$AD$1:$AD$1501,$J1171+1)),0))</f>
        <v/>
      </c>
      <c r="H1171" s="6">
        <f>IF($J1171="","",ROUND('Opening Balance'!$B$4+SUM($F$2:F1171)-SUM($G$2:G1171),2))</f>
        <v/>
      </c>
      <c r="J1171" s="21">
        <f>IFERROR(MATCH(ROW()-1,$L$2:$L$3001,0),"")</f>
        <v/>
      </c>
      <c r="K1171" s="34">
        <f>IF(AND('Daily Sale entry '!X1171&lt;&gt;"",OR('Daily Sale entry '!AC1171&lt;&gt;"",'Daily Sale entry '!AD1171&lt;&gt;"")),'Daily Sale entry '!X1171+ROW()/10000000,"")</f>
        <v/>
      </c>
      <c r="L1171" s="21">
        <f>IF(K1171="","",COUNTIF($K$2:$K$3001,"&lt;"&amp;K1171)+1)</f>
        <v/>
      </c>
    </row>
    <row r="1172">
      <c r="A1172" s="5">
        <f>IF($J1172="","",IF($J1172&lt;=1500,INDEX('Daily Sale entry '!$X$1:$X$1501,$J1172+1),INDEX('Daily Sale entry '!$V$1:$V$1501,$J1172-1499)))</f>
        <v/>
      </c>
      <c r="B1172">
        <f>IF($J1172="","",IF($J1172&lt;=1500,INDEX('Daily Sale entry '!$Y$1:$Y$1501,$J1172+1)&amp;"","Buyer cheque banked 买家支票存入"&amp;IF(INDEX('Daily Sale entry '!$U$1:$U$1501,$J1172-1499)="","", " - "&amp;INDEX('Daily Sale entry '!$U$1:$U$1501,$J1172-1499))))</f>
        <v/>
      </c>
      <c r="C1172">
        <f>IF($J1172="","",IF($J1172&lt;=1500,INDEX('Daily Sale entry '!$Z$1:$Z$1501,$J1172+1)&amp;"","Cheque deposit 支票存入 (buyer 买家)"))</f>
        <v/>
      </c>
      <c r="D1172">
        <f>IF($J1172="","",IF($J1172&lt;=1500,INDEX('Daily Sale entry '!$AA$1:$AA$1501,$J1172+1)&amp;"",INDEX('Daily Sale entry '!$P$1:$P$1501,$J1172-1499)&amp;""))</f>
        <v/>
      </c>
      <c r="E1172">
        <f>IF($J1172="","",IF($J1172&lt;=1500,IF(N(INDEX('Daily Sale entry '!$AB$1:$AB$1501,$J1172+1))=0,"",INDEX('Daily Sale entry '!$AB$1:$AB$1501,$J1172+1)),1))</f>
        <v/>
      </c>
      <c r="F1172" s="6">
        <f>IF($J1172="","",IF($J1172&lt;=1500,N(INDEX('Daily Sale entry '!$AC$1:$AC$1501,$J1172+1))-IF(AND('Opening Balance'!$B$15=1,INDEX('Daily Sale entry '!$Z$1:$Z$1501,$J1172+1)="Online collection 网上收款",INDEX('Daily Sale entry '!$AA$1:$AA$1501,$J1172+1)&lt;&gt;""),N(INDEX('Daily Sale entry '!$AC$1:$AC$1501,$J1172+1))-TRUNC(N(INDEX('Daily Sale entry '!$AC$1:$AC$1501,$J1172+1))),0),N(INDEX('Daily Sale entry '!$S$1:$S$1501,$J1172-1499))-'Opening Balance'!$B$15*(N(INDEX('Daily Sale entry '!$S$1:$S$1501,$J1172-1499))-TRUNC(N(INDEX('Daily Sale entry '!$S$1:$S$1501,$J1172-1499))))))</f>
        <v/>
      </c>
      <c r="G1172" s="6">
        <f>IF($J1172="","",IF($J1172&lt;=1500,N(INDEX('Daily Sale entry '!$AD$1:$AD$1501,$J1172+1)),0))</f>
        <v/>
      </c>
      <c r="H1172" s="6">
        <f>IF($J1172="","",ROUND('Opening Balance'!$B$4+SUM($F$2:F1172)-SUM($G$2:G1172),2))</f>
        <v/>
      </c>
      <c r="J1172" s="21">
        <f>IFERROR(MATCH(ROW()-1,$L$2:$L$3001,0),"")</f>
        <v/>
      </c>
      <c r="K1172" s="34">
        <f>IF(AND('Daily Sale entry '!X1172&lt;&gt;"",OR('Daily Sale entry '!AC1172&lt;&gt;"",'Daily Sale entry '!AD1172&lt;&gt;"")),'Daily Sale entry '!X1172+ROW()/10000000,"")</f>
        <v/>
      </c>
      <c r="L1172" s="21">
        <f>IF(K1172="","",COUNTIF($K$2:$K$3001,"&lt;"&amp;K1172)+1)</f>
        <v/>
      </c>
    </row>
    <row r="1173">
      <c r="A1173" s="5">
        <f>IF($J1173="","",IF($J1173&lt;=1500,INDEX('Daily Sale entry '!$X$1:$X$1501,$J1173+1),INDEX('Daily Sale entry '!$V$1:$V$1501,$J1173-1499)))</f>
        <v/>
      </c>
      <c r="B1173">
        <f>IF($J1173="","",IF($J1173&lt;=1500,INDEX('Daily Sale entry '!$Y$1:$Y$1501,$J1173+1)&amp;"","Buyer cheque banked 买家支票存入"&amp;IF(INDEX('Daily Sale entry '!$U$1:$U$1501,$J1173-1499)="","", " - "&amp;INDEX('Daily Sale entry '!$U$1:$U$1501,$J1173-1499))))</f>
        <v/>
      </c>
      <c r="C1173">
        <f>IF($J1173="","",IF($J1173&lt;=1500,INDEX('Daily Sale entry '!$Z$1:$Z$1501,$J1173+1)&amp;"","Cheque deposit 支票存入 (buyer 买家)"))</f>
        <v/>
      </c>
      <c r="D1173">
        <f>IF($J1173="","",IF($J1173&lt;=1500,INDEX('Daily Sale entry '!$AA$1:$AA$1501,$J1173+1)&amp;"",INDEX('Daily Sale entry '!$P$1:$P$1501,$J1173-1499)&amp;""))</f>
        <v/>
      </c>
      <c r="E1173">
        <f>IF($J1173="","",IF($J1173&lt;=1500,IF(N(INDEX('Daily Sale entry '!$AB$1:$AB$1501,$J1173+1))=0,"",INDEX('Daily Sale entry '!$AB$1:$AB$1501,$J1173+1)),1))</f>
        <v/>
      </c>
      <c r="F1173" s="6">
        <f>IF($J1173="","",IF($J1173&lt;=1500,N(INDEX('Daily Sale entry '!$AC$1:$AC$1501,$J1173+1))-IF(AND('Opening Balance'!$B$15=1,INDEX('Daily Sale entry '!$Z$1:$Z$1501,$J1173+1)="Online collection 网上收款",INDEX('Daily Sale entry '!$AA$1:$AA$1501,$J1173+1)&lt;&gt;""),N(INDEX('Daily Sale entry '!$AC$1:$AC$1501,$J1173+1))-TRUNC(N(INDEX('Daily Sale entry '!$AC$1:$AC$1501,$J1173+1))),0),N(INDEX('Daily Sale entry '!$S$1:$S$1501,$J1173-1499))-'Opening Balance'!$B$15*(N(INDEX('Daily Sale entry '!$S$1:$S$1501,$J1173-1499))-TRUNC(N(INDEX('Daily Sale entry '!$S$1:$S$1501,$J1173-1499))))))</f>
        <v/>
      </c>
      <c r="G1173" s="6">
        <f>IF($J1173="","",IF($J1173&lt;=1500,N(INDEX('Daily Sale entry '!$AD$1:$AD$1501,$J1173+1)),0))</f>
        <v/>
      </c>
      <c r="H1173" s="6">
        <f>IF($J1173="","",ROUND('Opening Balance'!$B$4+SUM($F$2:F1173)-SUM($G$2:G1173),2))</f>
        <v/>
      </c>
      <c r="J1173" s="21">
        <f>IFERROR(MATCH(ROW()-1,$L$2:$L$3001,0),"")</f>
        <v/>
      </c>
      <c r="K1173" s="34">
        <f>IF(AND('Daily Sale entry '!X1173&lt;&gt;"",OR('Daily Sale entry '!AC1173&lt;&gt;"",'Daily Sale entry '!AD1173&lt;&gt;"")),'Daily Sale entry '!X1173+ROW()/10000000,"")</f>
        <v/>
      </c>
      <c r="L1173" s="21">
        <f>IF(K1173="","",COUNTIF($K$2:$K$3001,"&lt;"&amp;K1173)+1)</f>
        <v/>
      </c>
    </row>
    <row r="1174">
      <c r="A1174" s="5">
        <f>IF($J1174="","",IF($J1174&lt;=1500,INDEX('Daily Sale entry '!$X$1:$X$1501,$J1174+1),INDEX('Daily Sale entry '!$V$1:$V$1501,$J1174-1499)))</f>
        <v/>
      </c>
      <c r="B1174">
        <f>IF($J1174="","",IF($J1174&lt;=1500,INDEX('Daily Sale entry '!$Y$1:$Y$1501,$J1174+1)&amp;"","Buyer cheque banked 买家支票存入"&amp;IF(INDEX('Daily Sale entry '!$U$1:$U$1501,$J1174-1499)="","", " - "&amp;INDEX('Daily Sale entry '!$U$1:$U$1501,$J1174-1499))))</f>
        <v/>
      </c>
      <c r="C1174">
        <f>IF($J1174="","",IF($J1174&lt;=1500,INDEX('Daily Sale entry '!$Z$1:$Z$1501,$J1174+1)&amp;"","Cheque deposit 支票存入 (buyer 买家)"))</f>
        <v/>
      </c>
      <c r="D1174">
        <f>IF($J1174="","",IF($J1174&lt;=1500,INDEX('Daily Sale entry '!$AA$1:$AA$1501,$J1174+1)&amp;"",INDEX('Daily Sale entry '!$P$1:$P$1501,$J1174-1499)&amp;""))</f>
        <v/>
      </c>
      <c r="E1174">
        <f>IF($J1174="","",IF($J1174&lt;=1500,IF(N(INDEX('Daily Sale entry '!$AB$1:$AB$1501,$J1174+1))=0,"",INDEX('Daily Sale entry '!$AB$1:$AB$1501,$J1174+1)),1))</f>
        <v/>
      </c>
      <c r="F1174" s="6">
        <f>IF($J1174="","",IF($J1174&lt;=1500,N(INDEX('Daily Sale entry '!$AC$1:$AC$1501,$J1174+1))-IF(AND('Opening Balance'!$B$15=1,INDEX('Daily Sale entry '!$Z$1:$Z$1501,$J1174+1)="Online collection 网上收款",INDEX('Daily Sale entry '!$AA$1:$AA$1501,$J1174+1)&lt;&gt;""),N(INDEX('Daily Sale entry '!$AC$1:$AC$1501,$J1174+1))-TRUNC(N(INDEX('Daily Sale entry '!$AC$1:$AC$1501,$J1174+1))),0),N(INDEX('Daily Sale entry '!$S$1:$S$1501,$J1174-1499))-'Opening Balance'!$B$15*(N(INDEX('Daily Sale entry '!$S$1:$S$1501,$J1174-1499))-TRUNC(N(INDEX('Daily Sale entry '!$S$1:$S$1501,$J1174-1499))))))</f>
        <v/>
      </c>
      <c r="G1174" s="6">
        <f>IF($J1174="","",IF($J1174&lt;=1500,N(INDEX('Daily Sale entry '!$AD$1:$AD$1501,$J1174+1)),0))</f>
        <v/>
      </c>
      <c r="H1174" s="6">
        <f>IF($J1174="","",ROUND('Opening Balance'!$B$4+SUM($F$2:F1174)-SUM($G$2:G1174),2))</f>
        <v/>
      </c>
      <c r="J1174" s="21">
        <f>IFERROR(MATCH(ROW()-1,$L$2:$L$3001,0),"")</f>
        <v/>
      </c>
      <c r="K1174" s="34">
        <f>IF(AND('Daily Sale entry '!X1174&lt;&gt;"",OR('Daily Sale entry '!AC1174&lt;&gt;"",'Daily Sale entry '!AD1174&lt;&gt;"")),'Daily Sale entry '!X1174+ROW()/10000000,"")</f>
        <v/>
      </c>
      <c r="L1174" s="21">
        <f>IF(K1174="","",COUNTIF($K$2:$K$3001,"&lt;"&amp;K1174)+1)</f>
        <v/>
      </c>
    </row>
    <row r="1175">
      <c r="A1175" s="5">
        <f>IF($J1175="","",IF($J1175&lt;=1500,INDEX('Daily Sale entry '!$X$1:$X$1501,$J1175+1),INDEX('Daily Sale entry '!$V$1:$V$1501,$J1175-1499)))</f>
        <v/>
      </c>
      <c r="B1175">
        <f>IF($J1175="","",IF($J1175&lt;=1500,INDEX('Daily Sale entry '!$Y$1:$Y$1501,$J1175+1)&amp;"","Buyer cheque banked 买家支票存入"&amp;IF(INDEX('Daily Sale entry '!$U$1:$U$1501,$J1175-1499)="","", " - "&amp;INDEX('Daily Sale entry '!$U$1:$U$1501,$J1175-1499))))</f>
        <v/>
      </c>
      <c r="C1175">
        <f>IF($J1175="","",IF($J1175&lt;=1500,INDEX('Daily Sale entry '!$Z$1:$Z$1501,$J1175+1)&amp;"","Cheque deposit 支票存入 (buyer 买家)"))</f>
        <v/>
      </c>
      <c r="D1175">
        <f>IF($J1175="","",IF($J1175&lt;=1500,INDEX('Daily Sale entry '!$AA$1:$AA$1501,$J1175+1)&amp;"",INDEX('Daily Sale entry '!$P$1:$P$1501,$J1175-1499)&amp;""))</f>
        <v/>
      </c>
      <c r="E1175">
        <f>IF($J1175="","",IF($J1175&lt;=1500,IF(N(INDEX('Daily Sale entry '!$AB$1:$AB$1501,$J1175+1))=0,"",INDEX('Daily Sale entry '!$AB$1:$AB$1501,$J1175+1)),1))</f>
        <v/>
      </c>
      <c r="F1175" s="6">
        <f>IF($J1175="","",IF($J1175&lt;=1500,N(INDEX('Daily Sale entry '!$AC$1:$AC$1501,$J1175+1))-IF(AND('Opening Balance'!$B$15=1,INDEX('Daily Sale entry '!$Z$1:$Z$1501,$J1175+1)="Online collection 网上收款",INDEX('Daily Sale entry '!$AA$1:$AA$1501,$J1175+1)&lt;&gt;""),N(INDEX('Daily Sale entry '!$AC$1:$AC$1501,$J1175+1))-TRUNC(N(INDEX('Daily Sale entry '!$AC$1:$AC$1501,$J1175+1))),0),N(INDEX('Daily Sale entry '!$S$1:$S$1501,$J1175-1499))-'Opening Balance'!$B$15*(N(INDEX('Daily Sale entry '!$S$1:$S$1501,$J1175-1499))-TRUNC(N(INDEX('Daily Sale entry '!$S$1:$S$1501,$J1175-1499))))))</f>
        <v/>
      </c>
      <c r="G1175" s="6">
        <f>IF($J1175="","",IF($J1175&lt;=1500,N(INDEX('Daily Sale entry '!$AD$1:$AD$1501,$J1175+1)),0))</f>
        <v/>
      </c>
      <c r="H1175" s="6">
        <f>IF($J1175="","",ROUND('Opening Balance'!$B$4+SUM($F$2:F1175)-SUM($G$2:G1175),2))</f>
        <v/>
      </c>
      <c r="J1175" s="21">
        <f>IFERROR(MATCH(ROW()-1,$L$2:$L$3001,0),"")</f>
        <v/>
      </c>
      <c r="K1175" s="34">
        <f>IF(AND('Daily Sale entry '!X1175&lt;&gt;"",OR('Daily Sale entry '!AC1175&lt;&gt;"",'Daily Sale entry '!AD1175&lt;&gt;"")),'Daily Sale entry '!X1175+ROW()/10000000,"")</f>
        <v/>
      </c>
      <c r="L1175" s="21">
        <f>IF(K1175="","",COUNTIF($K$2:$K$3001,"&lt;"&amp;K1175)+1)</f>
        <v/>
      </c>
    </row>
    <row r="1176">
      <c r="A1176" s="5">
        <f>IF($J1176="","",IF($J1176&lt;=1500,INDEX('Daily Sale entry '!$X$1:$X$1501,$J1176+1),INDEX('Daily Sale entry '!$V$1:$V$1501,$J1176-1499)))</f>
        <v/>
      </c>
      <c r="B1176">
        <f>IF($J1176="","",IF($J1176&lt;=1500,INDEX('Daily Sale entry '!$Y$1:$Y$1501,$J1176+1)&amp;"","Buyer cheque banked 买家支票存入"&amp;IF(INDEX('Daily Sale entry '!$U$1:$U$1501,$J1176-1499)="","", " - "&amp;INDEX('Daily Sale entry '!$U$1:$U$1501,$J1176-1499))))</f>
        <v/>
      </c>
      <c r="C1176">
        <f>IF($J1176="","",IF($J1176&lt;=1500,INDEX('Daily Sale entry '!$Z$1:$Z$1501,$J1176+1)&amp;"","Cheque deposit 支票存入 (buyer 买家)"))</f>
        <v/>
      </c>
      <c r="D1176">
        <f>IF($J1176="","",IF($J1176&lt;=1500,INDEX('Daily Sale entry '!$AA$1:$AA$1501,$J1176+1)&amp;"",INDEX('Daily Sale entry '!$P$1:$P$1501,$J1176-1499)&amp;""))</f>
        <v/>
      </c>
      <c r="E1176">
        <f>IF($J1176="","",IF($J1176&lt;=1500,IF(N(INDEX('Daily Sale entry '!$AB$1:$AB$1501,$J1176+1))=0,"",INDEX('Daily Sale entry '!$AB$1:$AB$1501,$J1176+1)),1))</f>
        <v/>
      </c>
      <c r="F1176" s="6">
        <f>IF($J1176="","",IF($J1176&lt;=1500,N(INDEX('Daily Sale entry '!$AC$1:$AC$1501,$J1176+1))-IF(AND('Opening Balance'!$B$15=1,INDEX('Daily Sale entry '!$Z$1:$Z$1501,$J1176+1)="Online collection 网上收款",INDEX('Daily Sale entry '!$AA$1:$AA$1501,$J1176+1)&lt;&gt;""),N(INDEX('Daily Sale entry '!$AC$1:$AC$1501,$J1176+1))-TRUNC(N(INDEX('Daily Sale entry '!$AC$1:$AC$1501,$J1176+1))),0),N(INDEX('Daily Sale entry '!$S$1:$S$1501,$J1176-1499))-'Opening Balance'!$B$15*(N(INDEX('Daily Sale entry '!$S$1:$S$1501,$J1176-1499))-TRUNC(N(INDEX('Daily Sale entry '!$S$1:$S$1501,$J1176-1499))))))</f>
        <v/>
      </c>
      <c r="G1176" s="6">
        <f>IF($J1176="","",IF($J1176&lt;=1500,N(INDEX('Daily Sale entry '!$AD$1:$AD$1501,$J1176+1)),0))</f>
        <v/>
      </c>
      <c r="H1176" s="6">
        <f>IF($J1176="","",ROUND('Opening Balance'!$B$4+SUM($F$2:F1176)-SUM($G$2:G1176),2))</f>
        <v/>
      </c>
      <c r="J1176" s="21">
        <f>IFERROR(MATCH(ROW()-1,$L$2:$L$3001,0),"")</f>
        <v/>
      </c>
      <c r="K1176" s="34">
        <f>IF(AND('Daily Sale entry '!X1176&lt;&gt;"",OR('Daily Sale entry '!AC1176&lt;&gt;"",'Daily Sale entry '!AD1176&lt;&gt;"")),'Daily Sale entry '!X1176+ROW()/10000000,"")</f>
        <v/>
      </c>
      <c r="L1176" s="21">
        <f>IF(K1176="","",COUNTIF($K$2:$K$3001,"&lt;"&amp;K1176)+1)</f>
        <v/>
      </c>
    </row>
    <row r="1177">
      <c r="A1177" s="5">
        <f>IF($J1177="","",IF($J1177&lt;=1500,INDEX('Daily Sale entry '!$X$1:$X$1501,$J1177+1),INDEX('Daily Sale entry '!$V$1:$V$1501,$J1177-1499)))</f>
        <v/>
      </c>
      <c r="B1177">
        <f>IF($J1177="","",IF($J1177&lt;=1500,INDEX('Daily Sale entry '!$Y$1:$Y$1501,$J1177+1)&amp;"","Buyer cheque banked 买家支票存入"&amp;IF(INDEX('Daily Sale entry '!$U$1:$U$1501,$J1177-1499)="","", " - "&amp;INDEX('Daily Sale entry '!$U$1:$U$1501,$J1177-1499))))</f>
        <v/>
      </c>
      <c r="C1177">
        <f>IF($J1177="","",IF($J1177&lt;=1500,INDEX('Daily Sale entry '!$Z$1:$Z$1501,$J1177+1)&amp;"","Cheque deposit 支票存入 (buyer 买家)"))</f>
        <v/>
      </c>
      <c r="D1177">
        <f>IF($J1177="","",IF($J1177&lt;=1500,INDEX('Daily Sale entry '!$AA$1:$AA$1501,$J1177+1)&amp;"",INDEX('Daily Sale entry '!$P$1:$P$1501,$J1177-1499)&amp;""))</f>
        <v/>
      </c>
      <c r="E1177">
        <f>IF($J1177="","",IF($J1177&lt;=1500,IF(N(INDEX('Daily Sale entry '!$AB$1:$AB$1501,$J1177+1))=0,"",INDEX('Daily Sale entry '!$AB$1:$AB$1501,$J1177+1)),1))</f>
        <v/>
      </c>
      <c r="F1177" s="6">
        <f>IF($J1177="","",IF($J1177&lt;=1500,N(INDEX('Daily Sale entry '!$AC$1:$AC$1501,$J1177+1))-IF(AND('Opening Balance'!$B$15=1,INDEX('Daily Sale entry '!$Z$1:$Z$1501,$J1177+1)="Online collection 网上收款",INDEX('Daily Sale entry '!$AA$1:$AA$1501,$J1177+1)&lt;&gt;""),N(INDEX('Daily Sale entry '!$AC$1:$AC$1501,$J1177+1))-TRUNC(N(INDEX('Daily Sale entry '!$AC$1:$AC$1501,$J1177+1))),0),N(INDEX('Daily Sale entry '!$S$1:$S$1501,$J1177-1499))-'Opening Balance'!$B$15*(N(INDEX('Daily Sale entry '!$S$1:$S$1501,$J1177-1499))-TRUNC(N(INDEX('Daily Sale entry '!$S$1:$S$1501,$J1177-1499))))))</f>
        <v/>
      </c>
      <c r="G1177" s="6">
        <f>IF($J1177="","",IF($J1177&lt;=1500,N(INDEX('Daily Sale entry '!$AD$1:$AD$1501,$J1177+1)),0))</f>
        <v/>
      </c>
      <c r="H1177" s="6">
        <f>IF($J1177="","",ROUND('Opening Balance'!$B$4+SUM($F$2:F1177)-SUM($G$2:G1177),2))</f>
        <v/>
      </c>
      <c r="J1177" s="21">
        <f>IFERROR(MATCH(ROW()-1,$L$2:$L$3001,0),"")</f>
        <v/>
      </c>
      <c r="K1177" s="34">
        <f>IF(AND('Daily Sale entry '!X1177&lt;&gt;"",OR('Daily Sale entry '!AC1177&lt;&gt;"",'Daily Sale entry '!AD1177&lt;&gt;"")),'Daily Sale entry '!X1177+ROW()/10000000,"")</f>
        <v/>
      </c>
      <c r="L1177" s="21">
        <f>IF(K1177="","",COUNTIF($K$2:$K$3001,"&lt;"&amp;K1177)+1)</f>
        <v/>
      </c>
    </row>
    <row r="1178">
      <c r="A1178" s="5">
        <f>IF($J1178="","",IF($J1178&lt;=1500,INDEX('Daily Sale entry '!$X$1:$X$1501,$J1178+1),INDEX('Daily Sale entry '!$V$1:$V$1501,$J1178-1499)))</f>
        <v/>
      </c>
      <c r="B1178">
        <f>IF($J1178="","",IF($J1178&lt;=1500,INDEX('Daily Sale entry '!$Y$1:$Y$1501,$J1178+1)&amp;"","Buyer cheque banked 买家支票存入"&amp;IF(INDEX('Daily Sale entry '!$U$1:$U$1501,$J1178-1499)="","", " - "&amp;INDEX('Daily Sale entry '!$U$1:$U$1501,$J1178-1499))))</f>
        <v/>
      </c>
      <c r="C1178">
        <f>IF($J1178="","",IF($J1178&lt;=1500,INDEX('Daily Sale entry '!$Z$1:$Z$1501,$J1178+1)&amp;"","Cheque deposit 支票存入 (buyer 买家)"))</f>
        <v/>
      </c>
      <c r="D1178">
        <f>IF($J1178="","",IF($J1178&lt;=1500,INDEX('Daily Sale entry '!$AA$1:$AA$1501,$J1178+1)&amp;"",INDEX('Daily Sale entry '!$P$1:$P$1501,$J1178-1499)&amp;""))</f>
        <v/>
      </c>
      <c r="E1178">
        <f>IF($J1178="","",IF($J1178&lt;=1500,IF(N(INDEX('Daily Sale entry '!$AB$1:$AB$1501,$J1178+1))=0,"",INDEX('Daily Sale entry '!$AB$1:$AB$1501,$J1178+1)),1))</f>
        <v/>
      </c>
      <c r="F1178" s="6">
        <f>IF($J1178="","",IF($J1178&lt;=1500,N(INDEX('Daily Sale entry '!$AC$1:$AC$1501,$J1178+1))-IF(AND('Opening Balance'!$B$15=1,INDEX('Daily Sale entry '!$Z$1:$Z$1501,$J1178+1)="Online collection 网上收款",INDEX('Daily Sale entry '!$AA$1:$AA$1501,$J1178+1)&lt;&gt;""),N(INDEX('Daily Sale entry '!$AC$1:$AC$1501,$J1178+1))-TRUNC(N(INDEX('Daily Sale entry '!$AC$1:$AC$1501,$J1178+1))),0),N(INDEX('Daily Sale entry '!$S$1:$S$1501,$J1178-1499))-'Opening Balance'!$B$15*(N(INDEX('Daily Sale entry '!$S$1:$S$1501,$J1178-1499))-TRUNC(N(INDEX('Daily Sale entry '!$S$1:$S$1501,$J1178-1499))))))</f>
        <v/>
      </c>
      <c r="G1178" s="6">
        <f>IF($J1178="","",IF($J1178&lt;=1500,N(INDEX('Daily Sale entry '!$AD$1:$AD$1501,$J1178+1)),0))</f>
        <v/>
      </c>
      <c r="H1178" s="6">
        <f>IF($J1178="","",ROUND('Opening Balance'!$B$4+SUM($F$2:F1178)-SUM($G$2:G1178),2))</f>
        <v/>
      </c>
      <c r="J1178" s="21">
        <f>IFERROR(MATCH(ROW()-1,$L$2:$L$3001,0),"")</f>
        <v/>
      </c>
      <c r="K1178" s="34">
        <f>IF(AND('Daily Sale entry '!X1178&lt;&gt;"",OR('Daily Sale entry '!AC1178&lt;&gt;"",'Daily Sale entry '!AD1178&lt;&gt;"")),'Daily Sale entry '!X1178+ROW()/10000000,"")</f>
        <v/>
      </c>
      <c r="L1178" s="21">
        <f>IF(K1178="","",COUNTIF($K$2:$K$3001,"&lt;"&amp;K1178)+1)</f>
        <v/>
      </c>
    </row>
    <row r="1179">
      <c r="A1179" s="5">
        <f>IF($J1179="","",IF($J1179&lt;=1500,INDEX('Daily Sale entry '!$X$1:$X$1501,$J1179+1),INDEX('Daily Sale entry '!$V$1:$V$1501,$J1179-1499)))</f>
        <v/>
      </c>
      <c r="B1179">
        <f>IF($J1179="","",IF($J1179&lt;=1500,INDEX('Daily Sale entry '!$Y$1:$Y$1501,$J1179+1)&amp;"","Buyer cheque banked 买家支票存入"&amp;IF(INDEX('Daily Sale entry '!$U$1:$U$1501,$J1179-1499)="","", " - "&amp;INDEX('Daily Sale entry '!$U$1:$U$1501,$J1179-1499))))</f>
        <v/>
      </c>
      <c r="C1179">
        <f>IF($J1179="","",IF($J1179&lt;=1500,INDEX('Daily Sale entry '!$Z$1:$Z$1501,$J1179+1)&amp;"","Cheque deposit 支票存入 (buyer 买家)"))</f>
        <v/>
      </c>
      <c r="D1179">
        <f>IF($J1179="","",IF($J1179&lt;=1500,INDEX('Daily Sale entry '!$AA$1:$AA$1501,$J1179+1)&amp;"",INDEX('Daily Sale entry '!$P$1:$P$1501,$J1179-1499)&amp;""))</f>
        <v/>
      </c>
      <c r="E1179">
        <f>IF($J1179="","",IF($J1179&lt;=1500,IF(N(INDEX('Daily Sale entry '!$AB$1:$AB$1501,$J1179+1))=0,"",INDEX('Daily Sale entry '!$AB$1:$AB$1501,$J1179+1)),1))</f>
        <v/>
      </c>
      <c r="F1179" s="6">
        <f>IF($J1179="","",IF($J1179&lt;=1500,N(INDEX('Daily Sale entry '!$AC$1:$AC$1501,$J1179+1))-IF(AND('Opening Balance'!$B$15=1,INDEX('Daily Sale entry '!$Z$1:$Z$1501,$J1179+1)="Online collection 网上收款",INDEX('Daily Sale entry '!$AA$1:$AA$1501,$J1179+1)&lt;&gt;""),N(INDEX('Daily Sale entry '!$AC$1:$AC$1501,$J1179+1))-TRUNC(N(INDEX('Daily Sale entry '!$AC$1:$AC$1501,$J1179+1))),0),N(INDEX('Daily Sale entry '!$S$1:$S$1501,$J1179-1499))-'Opening Balance'!$B$15*(N(INDEX('Daily Sale entry '!$S$1:$S$1501,$J1179-1499))-TRUNC(N(INDEX('Daily Sale entry '!$S$1:$S$1501,$J1179-1499))))))</f>
        <v/>
      </c>
      <c r="G1179" s="6">
        <f>IF($J1179="","",IF($J1179&lt;=1500,N(INDEX('Daily Sale entry '!$AD$1:$AD$1501,$J1179+1)),0))</f>
        <v/>
      </c>
      <c r="H1179" s="6">
        <f>IF($J1179="","",ROUND('Opening Balance'!$B$4+SUM($F$2:F1179)-SUM($G$2:G1179),2))</f>
        <v/>
      </c>
      <c r="J1179" s="21">
        <f>IFERROR(MATCH(ROW()-1,$L$2:$L$3001,0),"")</f>
        <v/>
      </c>
      <c r="K1179" s="34">
        <f>IF(AND('Daily Sale entry '!X1179&lt;&gt;"",OR('Daily Sale entry '!AC1179&lt;&gt;"",'Daily Sale entry '!AD1179&lt;&gt;"")),'Daily Sale entry '!X1179+ROW()/10000000,"")</f>
        <v/>
      </c>
      <c r="L1179" s="21">
        <f>IF(K1179="","",COUNTIF($K$2:$K$3001,"&lt;"&amp;K1179)+1)</f>
        <v/>
      </c>
    </row>
    <row r="1180">
      <c r="A1180" s="5">
        <f>IF($J1180="","",IF($J1180&lt;=1500,INDEX('Daily Sale entry '!$X$1:$X$1501,$J1180+1),INDEX('Daily Sale entry '!$V$1:$V$1501,$J1180-1499)))</f>
        <v/>
      </c>
      <c r="B1180">
        <f>IF($J1180="","",IF($J1180&lt;=1500,INDEX('Daily Sale entry '!$Y$1:$Y$1501,$J1180+1)&amp;"","Buyer cheque banked 买家支票存入"&amp;IF(INDEX('Daily Sale entry '!$U$1:$U$1501,$J1180-1499)="","", " - "&amp;INDEX('Daily Sale entry '!$U$1:$U$1501,$J1180-1499))))</f>
        <v/>
      </c>
      <c r="C1180">
        <f>IF($J1180="","",IF($J1180&lt;=1500,INDEX('Daily Sale entry '!$Z$1:$Z$1501,$J1180+1)&amp;"","Cheque deposit 支票存入 (buyer 买家)"))</f>
        <v/>
      </c>
      <c r="D1180">
        <f>IF($J1180="","",IF($J1180&lt;=1500,INDEX('Daily Sale entry '!$AA$1:$AA$1501,$J1180+1)&amp;"",INDEX('Daily Sale entry '!$P$1:$P$1501,$J1180-1499)&amp;""))</f>
        <v/>
      </c>
      <c r="E1180">
        <f>IF($J1180="","",IF($J1180&lt;=1500,IF(N(INDEX('Daily Sale entry '!$AB$1:$AB$1501,$J1180+1))=0,"",INDEX('Daily Sale entry '!$AB$1:$AB$1501,$J1180+1)),1))</f>
        <v/>
      </c>
      <c r="F1180" s="6">
        <f>IF($J1180="","",IF($J1180&lt;=1500,N(INDEX('Daily Sale entry '!$AC$1:$AC$1501,$J1180+1))-IF(AND('Opening Balance'!$B$15=1,INDEX('Daily Sale entry '!$Z$1:$Z$1501,$J1180+1)="Online collection 网上收款",INDEX('Daily Sale entry '!$AA$1:$AA$1501,$J1180+1)&lt;&gt;""),N(INDEX('Daily Sale entry '!$AC$1:$AC$1501,$J1180+1))-TRUNC(N(INDEX('Daily Sale entry '!$AC$1:$AC$1501,$J1180+1))),0),N(INDEX('Daily Sale entry '!$S$1:$S$1501,$J1180-1499))-'Opening Balance'!$B$15*(N(INDEX('Daily Sale entry '!$S$1:$S$1501,$J1180-1499))-TRUNC(N(INDEX('Daily Sale entry '!$S$1:$S$1501,$J1180-1499))))))</f>
        <v/>
      </c>
      <c r="G1180" s="6">
        <f>IF($J1180="","",IF($J1180&lt;=1500,N(INDEX('Daily Sale entry '!$AD$1:$AD$1501,$J1180+1)),0))</f>
        <v/>
      </c>
      <c r="H1180" s="6">
        <f>IF($J1180="","",ROUND('Opening Balance'!$B$4+SUM($F$2:F1180)-SUM($G$2:G1180),2))</f>
        <v/>
      </c>
      <c r="J1180" s="21">
        <f>IFERROR(MATCH(ROW()-1,$L$2:$L$3001,0),"")</f>
        <v/>
      </c>
      <c r="K1180" s="34">
        <f>IF(AND('Daily Sale entry '!X1180&lt;&gt;"",OR('Daily Sale entry '!AC1180&lt;&gt;"",'Daily Sale entry '!AD1180&lt;&gt;"")),'Daily Sale entry '!X1180+ROW()/10000000,"")</f>
        <v/>
      </c>
      <c r="L1180" s="21">
        <f>IF(K1180="","",COUNTIF($K$2:$K$3001,"&lt;"&amp;K1180)+1)</f>
        <v/>
      </c>
    </row>
    <row r="1181">
      <c r="A1181" s="5">
        <f>IF($J1181="","",IF($J1181&lt;=1500,INDEX('Daily Sale entry '!$X$1:$X$1501,$J1181+1),INDEX('Daily Sale entry '!$V$1:$V$1501,$J1181-1499)))</f>
        <v/>
      </c>
      <c r="B1181">
        <f>IF($J1181="","",IF($J1181&lt;=1500,INDEX('Daily Sale entry '!$Y$1:$Y$1501,$J1181+1)&amp;"","Buyer cheque banked 买家支票存入"&amp;IF(INDEX('Daily Sale entry '!$U$1:$U$1501,$J1181-1499)="","", " - "&amp;INDEX('Daily Sale entry '!$U$1:$U$1501,$J1181-1499))))</f>
        <v/>
      </c>
      <c r="C1181">
        <f>IF($J1181="","",IF($J1181&lt;=1500,INDEX('Daily Sale entry '!$Z$1:$Z$1501,$J1181+1)&amp;"","Cheque deposit 支票存入 (buyer 买家)"))</f>
        <v/>
      </c>
      <c r="D1181">
        <f>IF($J1181="","",IF($J1181&lt;=1500,INDEX('Daily Sale entry '!$AA$1:$AA$1501,$J1181+1)&amp;"",INDEX('Daily Sale entry '!$P$1:$P$1501,$J1181-1499)&amp;""))</f>
        <v/>
      </c>
      <c r="E1181">
        <f>IF($J1181="","",IF($J1181&lt;=1500,IF(N(INDEX('Daily Sale entry '!$AB$1:$AB$1501,$J1181+1))=0,"",INDEX('Daily Sale entry '!$AB$1:$AB$1501,$J1181+1)),1))</f>
        <v/>
      </c>
      <c r="F1181" s="6">
        <f>IF($J1181="","",IF($J1181&lt;=1500,N(INDEX('Daily Sale entry '!$AC$1:$AC$1501,$J1181+1))-IF(AND('Opening Balance'!$B$15=1,INDEX('Daily Sale entry '!$Z$1:$Z$1501,$J1181+1)="Online collection 网上收款",INDEX('Daily Sale entry '!$AA$1:$AA$1501,$J1181+1)&lt;&gt;""),N(INDEX('Daily Sale entry '!$AC$1:$AC$1501,$J1181+1))-TRUNC(N(INDEX('Daily Sale entry '!$AC$1:$AC$1501,$J1181+1))),0),N(INDEX('Daily Sale entry '!$S$1:$S$1501,$J1181-1499))-'Opening Balance'!$B$15*(N(INDEX('Daily Sale entry '!$S$1:$S$1501,$J1181-1499))-TRUNC(N(INDEX('Daily Sale entry '!$S$1:$S$1501,$J1181-1499))))))</f>
        <v/>
      </c>
      <c r="G1181" s="6">
        <f>IF($J1181="","",IF($J1181&lt;=1500,N(INDEX('Daily Sale entry '!$AD$1:$AD$1501,$J1181+1)),0))</f>
        <v/>
      </c>
      <c r="H1181" s="6">
        <f>IF($J1181="","",ROUND('Opening Balance'!$B$4+SUM($F$2:F1181)-SUM($G$2:G1181),2))</f>
        <v/>
      </c>
      <c r="J1181" s="21">
        <f>IFERROR(MATCH(ROW()-1,$L$2:$L$3001,0),"")</f>
        <v/>
      </c>
      <c r="K1181" s="34">
        <f>IF(AND('Daily Sale entry '!X1181&lt;&gt;"",OR('Daily Sale entry '!AC1181&lt;&gt;"",'Daily Sale entry '!AD1181&lt;&gt;"")),'Daily Sale entry '!X1181+ROW()/10000000,"")</f>
        <v/>
      </c>
      <c r="L1181" s="21">
        <f>IF(K1181="","",COUNTIF($K$2:$K$3001,"&lt;"&amp;K1181)+1)</f>
        <v/>
      </c>
    </row>
    <row r="1182">
      <c r="A1182" s="5">
        <f>IF($J1182="","",IF($J1182&lt;=1500,INDEX('Daily Sale entry '!$X$1:$X$1501,$J1182+1),INDEX('Daily Sale entry '!$V$1:$V$1501,$J1182-1499)))</f>
        <v/>
      </c>
      <c r="B1182">
        <f>IF($J1182="","",IF($J1182&lt;=1500,INDEX('Daily Sale entry '!$Y$1:$Y$1501,$J1182+1)&amp;"","Buyer cheque banked 买家支票存入"&amp;IF(INDEX('Daily Sale entry '!$U$1:$U$1501,$J1182-1499)="","", " - "&amp;INDEX('Daily Sale entry '!$U$1:$U$1501,$J1182-1499))))</f>
        <v/>
      </c>
      <c r="C1182">
        <f>IF($J1182="","",IF($J1182&lt;=1500,INDEX('Daily Sale entry '!$Z$1:$Z$1501,$J1182+1)&amp;"","Cheque deposit 支票存入 (buyer 买家)"))</f>
        <v/>
      </c>
      <c r="D1182">
        <f>IF($J1182="","",IF($J1182&lt;=1500,INDEX('Daily Sale entry '!$AA$1:$AA$1501,$J1182+1)&amp;"",INDEX('Daily Sale entry '!$P$1:$P$1501,$J1182-1499)&amp;""))</f>
        <v/>
      </c>
      <c r="E1182">
        <f>IF($J1182="","",IF($J1182&lt;=1500,IF(N(INDEX('Daily Sale entry '!$AB$1:$AB$1501,$J1182+1))=0,"",INDEX('Daily Sale entry '!$AB$1:$AB$1501,$J1182+1)),1))</f>
        <v/>
      </c>
      <c r="F1182" s="6">
        <f>IF($J1182="","",IF($J1182&lt;=1500,N(INDEX('Daily Sale entry '!$AC$1:$AC$1501,$J1182+1))-IF(AND('Opening Balance'!$B$15=1,INDEX('Daily Sale entry '!$Z$1:$Z$1501,$J1182+1)="Online collection 网上收款",INDEX('Daily Sale entry '!$AA$1:$AA$1501,$J1182+1)&lt;&gt;""),N(INDEX('Daily Sale entry '!$AC$1:$AC$1501,$J1182+1))-TRUNC(N(INDEX('Daily Sale entry '!$AC$1:$AC$1501,$J1182+1))),0),N(INDEX('Daily Sale entry '!$S$1:$S$1501,$J1182-1499))-'Opening Balance'!$B$15*(N(INDEX('Daily Sale entry '!$S$1:$S$1501,$J1182-1499))-TRUNC(N(INDEX('Daily Sale entry '!$S$1:$S$1501,$J1182-1499))))))</f>
        <v/>
      </c>
      <c r="G1182" s="6">
        <f>IF($J1182="","",IF($J1182&lt;=1500,N(INDEX('Daily Sale entry '!$AD$1:$AD$1501,$J1182+1)),0))</f>
        <v/>
      </c>
      <c r="H1182" s="6">
        <f>IF($J1182="","",ROUND('Opening Balance'!$B$4+SUM($F$2:F1182)-SUM($G$2:G1182),2))</f>
        <v/>
      </c>
      <c r="J1182" s="21">
        <f>IFERROR(MATCH(ROW()-1,$L$2:$L$3001,0),"")</f>
        <v/>
      </c>
      <c r="K1182" s="34">
        <f>IF(AND('Daily Sale entry '!X1182&lt;&gt;"",OR('Daily Sale entry '!AC1182&lt;&gt;"",'Daily Sale entry '!AD1182&lt;&gt;"")),'Daily Sale entry '!X1182+ROW()/10000000,"")</f>
        <v/>
      </c>
      <c r="L1182" s="21">
        <f>IF(K1182="","",COUNTIF($K$2:$K$3001,"&lt;"&amp;K1182)+1)</f>
        <v/>
      </c>
    </row>
    <row r="1183">
      <c r="A1183" s="5">
        <f>IF($J1183="","",IF($J1183&lt;=1500,INDEX('Daily Sale entry '!$X$1:$X$1501,$J1183+1),INDEX('Daily Sale entry '!$V$1:$V$1501,$J1183-1499)))</f>
        <v/>
      </c>
      <c r="B1183">
        <f>IF($J1183="","",IF($J1183&lt;=1500,INDEX('Daily Sale entry '!$Y$1:$Y$1501,$J1183+1)&amp;"","Buyer cheque banked 买家支票存入"&amp;IF(INDEX('Daily Sale entry '!$U$1:$U$1501,$J1183-1499)="","", " - "&amp;INDEX('Daily Sale entry '!$U$1:$U$1501,$J1183-1499))))</f>
        <v/>
      </c>
      <c r="C1183">
        <f>IF($J1183="","",IF($J1183&lt;=1500,INDEX('Daily Sale entry '!$Z$1:$Z$1501,$J1183+1)&amp;"","Cheque deposit 支票存入 (buyer 买家)"))</f>
        <v/>
      </c>
      <c r="D1183">
        <f>IF($J1183="","",IF($J1183&lt;=1500,INDEX('Daily Sale entry '!$AA$1:$AA$1501,$J1183+1)&amp;"",INDEX('Daily Sale entry '!$P$1:$P$1501,$J1183-1499)&amp;""))</f>
        <v/>
      </c>
      <c r="E1183">
        <f>IF($J1183="","",IF($J1183&lt;=1500,IF(N(INDEX('Daily Sale entry '!$AB$1:$AB$1501,$J1183+1))=0,"",INDEX('Daily Sale entry '!$AB$1:$AB$1501,$J1183+1)),1))</f>
        <v/>
      </c>
      <c r="F1183" s="6">
        <f>IF($J1183="","",IF($J1183&lt;=1500,N(INDEX('Daily Sale entry '!$AC$1:$AC$1501,$J1183+1))-IF(AND('Opening Balance'!$B$15=1,INDEX('Daily Sale entry '!$Z$1:$Z$1501,$J1183+1)="Online collection 网上收款",INDEX('Daily Sale entry '!$AA$1:$AA$1501,$J1183+1)&lt;&gt;""),N(INDEX('Daily Sale entry '!$AC$1:$AC$1501,$J1183+1))-TRUNC(N(INDEX('Daily Sale entry '!$AC$1:$AC$1501,$J1183+1))),0),N(INDEX('Daily Sale entry '!$S$1:$S$1501,$J1183-1499))-'Opening Balance'!$B$15*(N(INDEX('Daily Sale entry '!$S$1:$S$1501,$J1183-1499))-TRUNC(N(INDEX('Daily Sale entry '!$S$1:$S$1501,$J1183-1499))))))</f>
        <v/>
      </c>
      <c r="G1183" s="6">
        <f>IF($J1183="","",IF($J1183&lt;=1500,N(INDEX('Daily Sale entry '!$AD$1:$AD$1501,$J1183+1)),0))</f>
        <v/>
      </c>
      <c r="H1183" s="6">
        <f>IF($J1183="","",ROUND('Opening Balance'!$B$4+SUM($F$2:F1183)-SUM($G$2:G1183),2))</f>
        <v/>
      </c>
      <c r="J1183" s="21">
        <f>IFERROR(MATCH(ROW()-1,$L$2:$L$3001,0),"")</f>
        <v/>
      </c>
      <c r="K1183" s="34">
        <f>IF(AND('Daily Sale entry '!X1183&lt;&gt;"",OR('Daily Sale entry '!AC1183&lt;&gt;"",'Daily Sale entry '!AD1183&lt;&gt;"")),'Daily Sale entry '!X1183+ROW()/10000000,"")</f>
        <v/>
      </c>
      <c r="L1183" s="21">
        <f>IF(K1183="","",COUNTIF($K$2:$K$3001,"&lt;"&amp;K1183)+1)</f>
        <v/>
      </c>
    </row>
    <row r="1184">
      <c r="A1184" s="5">
        <f>IF($J1184="","",IF($J1184&lt;=1500,INDEX('Daily Sale entry '!$X$1:$X$1501,$J1184+1),INDEX('Daily Sale entry '!$V$1:$V$1501,$J1184-1499)))</f>
        <v/>
      </c>
      <c r="B1184">
        <f>IF($J1184="","",IF($J1184&lt;=1500,INDEX('Daily Sale entry '!$Y$1:$Y$1501,$J1184+1)&amp;"","Buyer cheque banked 买家支票存入"&amp;IF(INDEX('Daily Sale entry '!$U$1:$U$1501,$J1184-1499)="","", " - "&amp;INDEX('Daily Sale entry '!$U$1:$U$1501,$J1184-1499))))</f>
        <v/>
      </c>
      <c r="C1184">
        <f>IF($J1184="","",IF($J1184&lt;=1500,INDEX('Daily Sale entry '!$Z$1:$Z$1501,$J1184+1)&amp;"","Cheque deposit 支票存入 (buyer 买家)"))</f>
        <v/>
      </c>
      <c r="D1184">
        <f>IF($J1184="","",IF($J1184&lt;=1500,INDEX('Daily Sale entry '!$AA$1:$AA$1501,$J1184+1)&amp;"",INDEX('Daily Sale entry '!$P$1:$P$1501,$J1184-1499)&amp;""))</f>
        <v/>
      </c>
      <c r="E1184">
        <f>IF($J1184="","",IF($J1184&lt;=1500,IF(N(INDEX('Daily Sale entry '!$AB$1:$AB$1501,$J1184+1))=0,"",INDEX('Daily Sale entry '!$AB$1:$AB$1501,$J1184+1)),1))</f>
        <v/>
      </c>
      <c r="F1184" s="6">
        <f>IF($J1184="","",IF($J1184&lt;=1500,N(INDEX('Daily Sale entry '!$AC$1:$AC$1501,$J1184+1))-IF(AND('Opening Balance'!$B$15=1,INDEX('Daily Sale entry '!$Z$1:$Z$1501,$J1184+1)="Online collection 网上收款",INDEX('Daily Sale entry '!$AA$1:$AA$1501,$J1184+1)&lt;&gt;""),N(INDEX('Daily Sale entry '!$AC$1:$AC$1501,$J1184+1))-TRUNC(N(INDEX('Daily Sale entry '!$AC$1:$AC$1501,$J1184+1))),0),N(INDEX('Daily Sale entry '!$S$1:$S$1501,$J1184-1499))-'Opening Balance'!$B$15*(N(INDEX('Daily Sale entry '!$S$1:$S$1501,$J1184-1499))-TRUNC(N(INDEX('Daily Sale entry '!$S$1:$S$1501,$J1184-1499))))))</f>
        <v/>
      </c>
      <c r="G1184" s="6">
        <f>IF($J1184="","",IF($J1184&lt;=1500,N(INDEX('Daily Sale entry '!$AD$1:$AD$1501,$J1184+1)),0))</f>
        <v/>
      </c>
      <c r="H1184" s="6">
        <f>IF($J1184="","",ROUND('Opening Balance'!$B$4+SUM($F$2:F1184)-SUM($G$2:G1184),2))</f>
        <v/>
      </c>
      <c r="J1184" s="21">
        <f>IFERROR(MATCH(ROW()-1,$L$2:$L$3001,0),"")</f>
        <v/>
      </c>
      <c r="K1184" s="34">
        <f>IF(AND('Daily Sale entry '!X1184&lt;&gt;"",OR('Daily Sale entry '!AC1184&lt;&gt;"",'Daily Sale entry '!AD1184&lt;&gt;"")),'Daily Sale entry '!X1184+ROW()/10000000,"")</f>
        <v/>
      </c>
      <c r="L1184" s="21">
        <f>IF(K1184="","",COUNTIF($K$2:$K$3001,"&lt;"&amp;K1184)+1)</f>
        <v/>
      </c>
    </row>
    <row r="1185">
      <c r="A1185" s="5">
        <f>IF($J1185="","",IF($J1185&lt;=1500,INDEX('Daily Sale entry '!$X$1:$X$1501,$J1185+1),INDEX('Daily Sale entry '!$V$1:$V$1501,$J1185-1499)))</f>
        <v/>
      </c>
      <c r="B1185">
        <f>IF($J1185="","",IF($J1185&lt;=1500,INDEX('Daily Sale entry '!$Y$1:$Y$1501,$J1185+1)&amp;"","Buyer cheque banked 买家支票存入"&amp;IF(INDEX('Daily Sale entry '!$U$1:$U$1501,$J1185-1499)="","", " - "&amp;INDEX('Daily Sale entry '!$U$1:$U$1501,$J1185-1499))))</f>
        <v/>
      </c>
      <c r="C1185">
        <f>IF($J1185="","",IF($J1185&lt;=1500,INDEX('Daily Sale entry '!$Z$1:$Z$1501,$J1185+1)&amp;"","Cheque deposit 支票存入 (buyer 买家)"))</f>
        <v/>
      </c>
      <c r="D1185">
        <f>IF($J1185="","",IF($J1185&lt;=1500,INDEX('Daily Sale entry '!$AA$1:$AA$1501,$J1185+1)&amp;"",INDEX('Daily Sale entry '!$P$1:$P$1501,$J1185-1499)&amp;""))</f>
        <v/>
      </c>
      <c r="E1185">
        <f>IF($J1185="","",IF($J1185&lt;=1500,IF(N(INDEX('Daily Sale entry '!$AB$1:$AB$1501,$J1185+1))=0,"",INDEX('Daily Sale entry '!$AB$1:$AB$1501,$J1185+1)),1))</f>
        <v/>
      </c>
      <c r="F1185" s="6">
        <f>IF($J1185="","",IF($J1185&lt;=1500,N(INDEX('Daily Sale entry '!$AC$1:$AC$1501,$J1185+1))-IF(AND('Opening Balance'!$B$15=1,INDEX('Daily Sale entry '!$Z$1:$Z$1501,$J1185+1)="Online collection 网上收款",INDEX('Daily Sale entry '!$AA$1:$AA$1501,$J1185+1)&lt;&gt;""),N(INDEX('Daily Sale entry '!$AC$1:$AC$1501,$J1185+1))-TRUNC(N(INDEX('Daily Sale entry '!$AC$1:$AC$1501,$J1185+1))),0),N(INDEX('Daily Sale entry '!$S$1:$S$1501,$J1185-1499))-'Opening Balance'!$B$15*(N(INDEX('Daily Sale entry '!$S$1:$S$1501,$J1185-1499))-TRUNC(N(INDEX('Daily Sale entry '!$S$1:$S$1501,$J1185-1499))))))</f>
        <v/>
      </c>
      <c r="G1185" s="6">
        <f>IF($J1185="","",IF($J1185&lt;=1500,N(INDEX('Daily Sale entry '!$AD$1:$AD$1501,$J1185+1)),0))</f>
        <v/>
      </c>
      <c r="H1185" s="6">
        <f>IF($J1185="","",ROUND('Opening Balance'!$B$4+SUM($F$2:F1185)-SUM($G$2:G1185),2))</f>
        <v/>
      </c>
      <c r="J1185" s="21">
        <f>IFERROR(MATCH(ROW()-1,$L$2:$L$3001,0),"")</f>
        <v/>
      </c>
      <c r="K1185" s="34">
        <f>IF(AND('Daily Sale entry '!X1185&lt;&gt;"",OR('Daily Sale entry '!AC1185&lt;&gt;"",'Daily Sale entry '!AD1185&lt;&gt;"")),'Daily Sale entry '!X1185+ROW()/10000000,"")</f>
        <v/>
      </c>
      <c r="L1185" s="21">
        <f>IF(K1185="","",COUNTIF($K$2:$K$3001,"&lt;"&amp;K1185)+1)</f>
        <v/>
      </c>
    </row>
    <row r="1186">
      <c r="A1186" s="5">
        <f>IF($J1186="","",IF($J1186&lt;=1500,INDEX('Daily Sale entry '!$X$1:$X$1501,$J1186+1),INDEX('Daily Sale entry '!$V$1:$V$1501,$J1186-1499)))</f>
        <v/>
      </c>
      <c r="B1186">
        <f>IF($J1186="","",IF($J1186&lt;=1500,INDEX('Daily Sale entry '!$Y$1:$Y$1501,$J1186+1)&amp;"","Buyer cheque banked 买家支票存入"&amp;IF(INDEX('Daily Sale entry '!$U$1:$U$1501,$J1186-1499)="","", " - "&amp;INDEX('Daily Sale entry '!$U$1:$U$1501,$J1186-1499))))</f>
        <v/>
      </c>
      <c r="C1186">
        <f>IF($J1186="","",IF($J1186&lt;=1500,INDEX('Daily Sale entry '!$Z$1:$Z$1501,$J1186+1)&amp;"","Cheque deposit 支票存入 (buyer 买家)"))</f>
        <v/>
      </c>
      <c r="D1186">
        <f>IF($J1186="","",IF($J1186&lt;=1500,INDEX('Daily Sale entry '!$AA$1:$AA$1501,$J1186+1)&amp;"",INDEX('Daily Sale entry '!$P$1:$P$1501,$J1186-1499)&amp;""))</f>
        <v/>
      </c>
      <c r="E1186">
        <f>IF($J1186="","",IF($J1186&lt;=1500,IF(N(INDEX('Daily Sale entry '!$AB$1:$AB$1501,$J1186+1))=0,"",INDEX('Daily Sale entry '!$AB$1:$AB$1501,$J1186+1)),1))</f>
        <v/>
      </c>
      <c r="F1186" s="6">
        <f>IF($J1186="","",IF($J1186&lt;=1500,N(INDEX('Daily Sale entry '!$AC$1:$AC$1501,$J1186+1))-IF(AND('Opening Balance'!$B$15=1,INDEX('Daily Sale entry '!$Z$1:$Z$1501,$J1186+1)="Online collection 网上收款",INDEX('Daily Sale entry '!$AA$1:$AA$1501,$J1186+1)&lt;&gt;""),N(INDEX('Daily Sale entry '!$AC$1:$AC$1501,$J1186+1))-TRUNC(N(INDEX('Daily Sale entry '!$AC$1:$AC$1501,$J1186+1))),0),N(INDEX('Daily Sale entry '!$S$1:$S$1501,$J1186-1499))-'Opening Balance'!$B$15*(N(INDEX('Daily Sale entry '!$S$1:$S$1501,$J1186-1499))-TRUNC(N(INDEX('Daily Sale entry '!$S$1:$S$1501,$J1186-1499))))))</f>
        <v/>
      </c>
      <c r="G1186" s="6">
        <f>IF($J1186="","",IF($J1186&lt;=1500,N(INDEX('Daily Sale entry '!$AD$1:$AD$1501,$J1186+1)),0))</f>
        <v/>
      </c>
      <c r="H1186" s="6">
        <f>IF($J1186="","",ROUND('Opening Balance'!$B$4+SUM($F$2:F1186)-SUM($G$2:G1186),2))</f>
        <v/>
      </c>
      <c r="J1186" s="21">
        <f>IFERROR(MATCH(ROW()-1,$L$2:$L$3001,0),"")</f>
        <v/>
      </c>
      <c r="K1186" s="34">
        <f>IF(AND('Daily Sale entry '!X1186&lt;&gt;"",OR('Daily Sale entry '!AC1186&lt;&gt;"",'Daily Sale entry '!AD1186&lt;&gt;"")),'Daily Sale entry '!X1186+ROW()/10000000,"")</f>
        <v/>
      </c>
      <c r="L1186" s="21">
        <f>IF(K1186="","",COUNTIF($K$2:$K$3001,"&lt;"&amp;K1186)+1)</f>
        <v/>
      </c>
    </row>
    <row r="1187">
      <c r="A1187" s="5">
        <f>IF($J1187="","",IF($J1187&lt;=1500,INDEX('Daily Sale entry '!$X$1:$X$1501,$J1187+1),INDEX('Daily Sale entry '!$V$1:$V$1501,$J1187-1499)))</f>
        <v/>
      </c>
      <c r="B1187">
        <f>IF($J1187="","",IF($J1187&lt;=1500,INDEX('Daily Sale entry '!$Y$1:$Y$1501,$J1187+1)&amp;"","Buyer cheque banked 买家支票存入"&amp;IF(INDEX('Daily Sale entry '!$U$1:$U$1501,$J1187-1499)="","", " - "&amp;INDEX('Daily Sale entry '!$U$1:$U$1501,$J1187-1499))))</f>
        <v/>
      </c>
      <c r="C1187">
        <f>IF($J1187="","",IF($J1187&lt;=1500,INDEX('Daily Sale entry '!$Z$1:$Z$1501,$J1187+1)&amp;"","Cheque deposit 支票存入 (buyer 买家)"))</f>
        <v/>
      </c>
      <c r="D1187">
        <f>IF($J1187="","",IF($J1187&lt;=1500,INDEX('Daily Sale entry '!$AA$1:$AA$1501,$J1187+1)&amp;"",INDEX('Daily Sale entry '!$P$1:$P$1501,$J1187-1499)&amp;""))</f>
        <v/>
      </c>
      <c r="E1187">
        <f>IF($J1187="","",IF($J1187&lt;=1500,IF(N(INDEX('Daily Sale entry '!$AB$1:$AB$1501,$J1187+1))=0,"",INDEX('Daily Sale entry '!$AB$1:$AB$1501,$J1187+1)),1))</f>
        <v/>
      </c>
      <c r="F1187" s="6">
        <f>IF($J1187="","",IF($J1187&lt;=1500,N(INDEX('Daily Sale entry '!$AC$1:$AC$1501,$J1187+1))-IF(AND('Opening Balance'!$B$15=1,INDEX('Daily Sale entry '!$Z$1:$Z$1501,$J1187+1)="Online collection 网上收款",INDEX('Daily Sale entry '!$AA$1:$AA$1501,$J1187+1)&lt;&gt;""),N(INDEX('Daily Sale entry '!$AC$1:$AC$1501,$J1187+1))-TRUNC(N(INDEX('Daily Sale entry '!$AC$1:$AC$1501,$J1187+1))),0),N(INDEX('Daily Sale entry '!$S$1:$S$1501,$J1187-1499))-'Opening Balance'!$B$15*(N(INDEX('Daily Sale entry '!$S$1:$S$1501,$J1187-1499))-TRUNC(N(INDEX('Daily Sale entry '!$S$1:$S$1501,$J1187-1499))))))</f>
        <v/>
      </c>
      <c r="G1187" s="6">
        <f>IF($J1187="","",IF($J1187&lt;=1500,N(INDEX('Daily Sale entry '!$AD$1:$AD$1501,$J1187+1)),0))</f>
        <v/>
      </c>
      <c r="H1187" s="6">
        <f>IF($J1187="","",ROUND('Opening Balance'!$B$4+SUM($F$2:F1187)-SUM($G$2:G1187),2))</f>
        <v/>
      </c>
      <c r="J1187" s="21">
        <f>IFERROR(MATCH(ROW()-1,$L$2:$L$3001,0),"")</f>
        <v/>
      </c>
      <c r="K1187" s="34">
        <f>IF(AND('Daily Sale entry '!X1187&lt;&gt;"",OR('Daily Sale entry '!AC1187&lt;&gt;"",'Daily Sale entry '!AD1187&lt;&gt;"")),'Daily Sale entry '!X1187+ROW()/10000000,"")</f>
        <v/>
      </c>
      <c r="L1187" s="21">
        <f>IF(K1187="","",COUNTIF($K$2:$K$3001,"&lt;"&amp;K1187)+1)</f>
        <v/>
      </c>
    </row>
    <row r="1188">
      <c r="A1188" s="5">
        <f>IF($J1188="","",IF($J1188&lt;=1500,INDEX('Daily Sale entry '!$X$1:$X$1501,$J1188+1),INDEX('Daily Sale entry '!$V$1:$V$1501,$J1188-1499)))</f>
        <v/>
      </c>
      <c r="B1188">
        <f>IF($J1188="","",IF($J1188&lt;=1500,INDEX('Daily Sale entry '!$Y$1:$Y$1501,$J1188+1)&amp;"","Buyer cheque banked 买家支票存入"&amp;IF(INDEX('Daily Sale entry '!$U$1:$U$1501,$J1188-1499)="","", " - "&amp;INDEX('Daily Sale entry '!$U$1:$U$1501,$J1188-1499))))</f>
        <v/>
      </c>
      <c r="C1188">
        <f>IF($J1188="","",IF($J1188&lt;=1500,INDEX('Daily Sale entry '!$Z$1:$Z$1501,$J1188+1)&amp;"","Cheque deposit 支票存入 (buyer 买家)"))</f>
        <v/>
      </c>
      <c r="D1188">
        <f>IF($J1188="","",IF($J1188&lt;=1500,INDEX('Daily Sale entry '!$AA$1:$AA$1501,$J1188+1)&amp;"",INDEX('Daily Sale entry '!$P$1:$P$1501,$J1188-1499)&amp;""))</f>
        <v/>
      </c>
      <c r="E1188">
        <f>IF($J1188="","",IF($J1188&lt;=1500,IF(N(INDEX('Daily Sale entry '!$AB$1:$AB$1501,$J1188+1))=0,"",INDEX('Daily Sale entry '!$AB$1:$AB$1501,$J1188+1)),1))</f>
        <v/>
      </c>
      <c r="F1188" s="6">
        <f>IF($J1188="","",IF($J1188&lt;=1500,N(INDEX('Daily Sale entry '!$AC$1:$AC$1501,$J1188+1))-IF(AND('Opening Balance'!$B$15=1,INDEX('Daily Sale entry '!$Z$1:$Z$1501,$J1188+1)="Online collection 网上收款",INDEX('Daily Sale entry '!$AA$1:$AA$1501,$J1188+1)&lt;&gt;""),N(INDEX('Daily Sale entry '!$AC$1:$AC$1501,$J1188+1))-TRUNC(N(INDEX('Daily Sale entry '!$AC$1:$AC$1501,$J1188+1))),0),N(INDEX('Daily Sale entry '!$S$1:$S$1501,$J1188-1499))-'Opening Balance'!$B$15*(N(INDEX('Daily Sale entry '!$S$1:$S$1501,$J1188-1499))-TRUNC(N(INDEX('Daily Sale entry '!$S$1:$S$1501,$J1188-1499))))))</f>
        <v/>
      </c>
      <c r="G1188" s="6">
        <f>IF($J1188="","",IF($J1188&lt;=1500,N(INDEX('Daily Sale entry '!$AD$1:$AD$1501,$J1188+1)),0))</f>
        <v/>
      </c>
      <c r="H1188" s="6">
        <f>IF($J1188="","",ROUND('Opening Balance'!$B$4+SUM($F$2:F1188)-SUM($G$2:G1188),2))</f>
        <v/>
      </c>
      <c r="J1188" s="21">
        <f>IFERROR(MATCH(ROW()-1,$L$2:$L$3001,0),"")</f>
        <v/>
      </c>
      <c r="K1188" s="34">
        <f>IF(AND('Daily Sale entry '!X1188&lt;&gt;"",OR('Daily Sale entry '!AC1188&lt;&gt;"",'Daily Sale entry '!AD1188&lt;&gt;"")),'Daily Sale entry '!X1188+ROW()/10000000,"")</f>
        <v/>
      </c>
      <c r="L1188" s="21">
        <f>IF(K1188="","",COUNTIF($K$2:$K$3001,"&lt;"&amp;K1188)+1)</f>
        <v/>
      </c>
    </row>
    <row r="1189">
      <c r="A1189" s="5">
        <f>IF($J1189="","",IF($J1189&lt;=1500,INDEX('Daily Sale entry '!$X$1:$X$1501,$J1189+1),INDEX('Daily Sale entry '!$V$1:$V$1501,$J1189-1499)))</f>
        <v/>
      </c>
      <c r="B1189">
        <f>IF($J1189="","",IF($J1189&lt;=1500,INDEX('Daily Sale entry '!$Y$1:$Y$1501,$J1189+1)&amp;"","Buyer cheque banked 买家支票存入"&amp;IF(INDEX('Daily Sale entry '!$U$1:$U$1501,$J1189-1499)="","", " - "&amp;INDEX('Daily Sale entry '!$U$1:$U$1501,$J1189-1499))))</f>
        <v/>
      </c>
      <c r="C1189">
        <f>IF($J1189="","",IF($J1189&lt;=1500,INDEX('Daily Sale entry '!$Z$1:$Z$1501,$J1189+1)&amp;"","Cheque deposit 支票存入 (buyer 买家)"))</f>
        <v/>
      </c>
      <c r="D1189">
        <f>IF($J1189="","",IF($J1189&lt;=1500,INDEX('Daily Sale entry '!$AA$1:$AA$1501,$J1189+1)&amp;"",INDEX('Daily Sale entry '!$P$1:$P$1501,$J1189-1499)&amp;""))</f>
        <v/>
      </c>
      <c r="E1189">
        <f>IF($J1189="","",IF($J1189&lt;=1500,IF(N(INDEX('Daily Sale entry '!$AB$1:$AB$1501,$J1189+1))=0,"",INDEX('Daily Sale entry '!$AB$1:$AB$1501,$J1189+1)),1))</f>
        <v/>
      </c>
      <c r="F1189" s="6">
        <f>IF($J1189="","",IF($J1189&lt;=1500,N(INDEX('Daily Sale entry '!$AC$1:$AC$1501,$J1189+1))-IF(AND('Opening Balance'!$B$15=1,INDEX('Daily Sale entry '!$Z$1:$Z$1501,$J1189+1)="Online collection 网上收款",INDEX('Daily Sale entry '!$AA$1:$AA$1501,$J1189+1)&lt;&gt;""),N(INDEX('Daily Sale entry '!$AC$1:$AC$1501,$J1189+1))-TRUNC(N(INDEX('Daily Sale entry '!$AC$1:$AC$1501,$J1189+1))),0),N(INDEX('Daily Sale entry '!$S$1:$S$1501,$J1189-1499))-'Opening Balance'!$B$15*(N(INDEX('Daily Sale entry '!$S$1:$S$1501,$J1189-1499))-TRUNC(N(INDEX('Daily Sale entry '!$S$1:$S$1501,$J1189-1499))))))</f>
        <v/>
      </c>
      <c r="G1189" s="6">
        <f>IF($J1189="","",IF($J1189&lt;=1500,N(INDEX('Daily Sale entry '!$AD$1:$AD$1501,$J1189+1)),0))</f>
        <v/>
      </c>
      <c r="H1189" s="6">
        <f>IF($J1189="","",ROUND('Opening Balance'!$B$4+SUM($F$2:F1189)-SUM($G$2:G1189),2))</f>
        <v/>
      </c>
      <c r="J1189" s="21">
        <f>IFERROR(MATCH(ROW()-1,$L$2:$L$3001,0),"")</f>
        <v/>
      </c>
      <c r="K1189" s="34">
        <f>IF(AND('Daily Sale entry '!X1189&lt;&gt;"",OR('Daily Sale entry '!AC1189&lt;&gt;"",'Daily Sale entry '!AD1189&lt;&gt;"")),'Daily Sale entry '!X1189+ROW()/10000000,"")</f>
        <v/>
      </c>
      <c r="L1189" s="21">
        <f>IF(K1189="","",COUNTIF($K$2:$K$3001,"&lt;"&amp;K1189)+1)</f>
        <v/>
      </c>
    </row>
    <row r="1190">
      <c r="A1190" s="5">
        <f>IF($J1190="","",IF($J1190&lt;=1500,INDEX('Daily Sale entry '!$X$1:$X$1501,$J1190+1),INDEX('Daily Sale entry '!$V$1:$V$1501,$J1190-1499)))</f>
        <v/>
      </c>
      <c r="B1190">
        <f>IF($J1190="","",IF($J1190&lt;=1500,INDEX('Daily Sale entry '!$Y$1:$Y$1501,$J1190+1)&amp;"","Buyer cheque banked 买家支票存入"&amp;IF(INDEX('Daily Sale entry '!$U$1:$U$1501,$J1190-1499)="","", " - "&amp;INDEX('Daily Sale entry '!$U$1:$U$1501,$J1190-1499))))</f>
        <v/>
      </c>
      <c r="C1190">
        <f>IF($J1190="","",IF($J1190&lt;=1500,INDEX('Daily Sale entry '!$Z$1:$Z$1501,$J1190+1)&amp;"","Cheque deposit 支票存入 (buyer 买家)"))</f>
        <v/>
      </c>
      <c r="D1190">
        <f>IF($J1190="","",IF($J1190&lt;=1500,INDEX('Daily Sale entry '!$AA$1:$AA$1501,$J1190+1)&amp;"",INDEX('Daily Sale entry '!$P$1:$P$1501,$J1190-1499)&amp;""))</f>
        <v/>
      </c>
      <c r="E1190">
        <f>IF($J1190="","",IF($J1190&lt;=1500,IF(N(INDEX('Daily Sale entry '!$AB$1:$AB$1501,$J1190+1))=0,"",INDEX('Daily Sale entry '!$AB$1:$AB$1501,$J1190+1)),1))</f>
        <v/>
      </c>
      <c r="F1190" s="6">
        <f>IF($J1190="","",IF($J1190&lt;=1500,N(INDEX('Daily Sale entry '!$AC$1:$AC$1501,$J1190+1))-IF(AND('Opening Balance'!$B$15=1,INDEX('Daily Sale entry '!$Z$1:$Z$1501,$J1190+1)="Online collection 网上收款",INDEX('Daily Sale entry '!$AA$1:$AA$1501,$J1190+1)&lt;&gt;""),N(INDEX('Daily Sale entry '!$AC$1:$AC$1501,$J1190+1))-TRUNC(N(INDEX('Daily Sale entry '!$AC$1:$AC$1501,$J1190+1))),0),N(INDEX('Daily Sale entry '!$S$1:$S$1501,$J1190-1499))-'Opening Balance'!$B$15*(N(INDEX('Daily Sale entry '!$S$1:$S$1501,$J1190-1499))-TRUNC(N(INDEX('Daily Sale entry '!$S$1:$S$1501,$J1190-1499))))))</f>
        <v/>
      </c>
      <c r="G1190" s="6">
        <f>IF($J1190="","",IF($J1190&lt;=1500,N(INDEX('Daily Sale entry '!$AD$1:$AD$1501,$J1190+1)),0))</f>
        <v/>
      </c>
      <c r="H1190" s="6">
        <f>IF($J1190="","",ROUND('Opening Balance'!$B$4+SUM($F$2:F1190)-SUM($G$2:G1190),2))</f>
        <v/>
      </c>
      <c r="J1190" s="21">
        <f>IFERROR(MATCH(ROW()-1,$L$2:$L$3001,0),"")</f>
        <v/>
      </c>
      <c r="K1190" s="34">
        <f>IF(AND('Daily Sale entry '!X1190&lt;&gt;"",OR('Daily Sale entry '!AC1190&lt;&gt;"",'Daily Sale entry '!AD1190&lt;&gt;"")),'Daily Sale entry '!X1190+ROW()/10000000,"")</f>
        <v/>
      </c>
      <c r="L1190" s="21">
        <f>IF(K1190="","",COUNTIF($K$2:$K$3001,"&lt;"&amp;K1190)+1)</f>
        <v/>
      </c>
    </row>
    <row r="1191">
      <c r="A1191" s="5">
        <f>IF($J1191="","",IF($J1191&lt;=1500,INDEX('Daily Sale entry '!$X$1:$X$1501,$J1191+1),INDEX('Daily Sale entry '!$V$1:$V$1501,$J1191-1499)))</f>
        <v/>
      </c>
      <c r="B1191">
        <f>IF($J1191="","",IF($J1191&lt;=1500,INDEX('Daily Sale entry '!$Y$1:$Y$1501,$J1191+1)&amp;"","Buyer cheque banked 买家支票存入"&amp;IF(INDEX('Daily Sale entry '!$U$1:$U$1501,$J1191-1499)="","", " - "&amp;INDEX('Daily Sale entry '!$U$1:$U$1501,$J1191-1499))))</f>
        <v/>
      </c>
      <c r="C1191">
        <f>IF($J1191="","",IF($J1191&lt;=1500,INDEX('Daily Sale entry '!$Z$1:$Z$1501,$J1191+1)&amp;"","Cheque deposit 支票存入 (buyer 买家)"))</f>
        <v/>
      </c>
      <c r="D1191">
        <f>IF($J1191="","",IF($J1191&lt;=1500,INDEX('Daily Sale entry '!$AA$1:$AA$1501,$J1191+1)&amp;"",INDEX('Daily Sale entry '!$P$1:$P$1501,$J1191-1499)&amp;""))</f>
        <v/>
      </c>
      <c r="E1191">
        <f>IF($J1191="","",IF($J1191&lt;=1500,IF(N(INDEX('Daily Sale entry '!$AB$1:$AB$1501,$J1191+1))=0,"",INDEX('Daily Sale entry '!$AB$1:$AB$1501,$J1191+1)),1))</f>
        <v/>
      </c>
      <c r="F1191" s="6">
        <f>IF($J1191="","",IF($J1191&lt;=1500,N(INDEX('Daily Sale entry '!$AC$1:$AC$1501,$J1191+1))-IF(AND('Opening Balance'!$B$15=1,INDEX('Daily Sale entry '!$Z$1:$Z$1501,$J1191+1)="Online collection 网上收款",INDEX('Daily Sale entry '!$AA$1:$AA$1501,$J1191+1)&lt;&gt;""),N(INDEX('Daily Sale entry '!$AC$1:$AC$1501,$J1191+1))-TRUNC(N(INDEX('Daily Sale entry '!$AC$1:$AC$1501,$J1191+1))),0),N(INDEX('Daily Sale entry '!$S$1:$S$1501,$J1191-1499))-'Opening Balance'!$B$15*(N(INDEX('Daily Sale entry '!$S$1:$S$1501,$J1191-1499))-TRUNC(N(INDEX('Daily Sale entry '!$S$1:$S$1501,$J1191-1499))))))</f>
        <v/>
      </c>
      <c r="G1191" s="6">
        <f>IF($J1191="","",IF($J1191&lt;=1500,N(INDEX('Daily Sale entry '!$AD$1:$AD$1501,$J1191+1)),0))</f>
        <v/>
      </c>
      <c r="H1191" s="6">
        <f>IF($J1191="","",ROUND('Opening Balance'!$B$4+SUM($F$2:F1191)-SUM($G$2:G1191),2))</f>
        <v/>
      </c>
      <c r="J1191" s="21">
        <f>IFERROR(MATCH(ROW()-1,$L$2:$L$3001,0),"")</f>
        <v/>
      </c>
      <c r="K1191" s="34">
        <f>IF(AND('Daily Sale entry '!X1191&lt;&gt;"",OR('Daily Sale entry '!AC1191&lt;&gt;"",'Daily Sale entry '!AD1191&lt;&gt;"")),'Daily Sale entry '!X1191+ROW()/10000000,"")</f>
        <v/>
      </c>
      <c r="L1191" s="21">
        <f>IF(K1191="","",COUNTIF($K$2:$K$3001,"&lt;"&amp;K1191)+1)</f>
        <v/>
      </c>
    </row>
    <row r="1192">
      <c r="A1192" s="5">
        <f>IF($J1192="","",IF($J1192&lt;=1500,INDEX('Daily Sale entry '!$X$1:$X$1501,$J1192+1),INDEX('Daily Sale entry '!$V$1:$V$1501,$J1192-1499)))</f>
        <v/>
      </c>
      <c r="B1192">
        <f>IF($J1192="","",IF($J1192&lt;=1500,INDEX('Daily Sale entry '!$Y$1:$Y$1501,$J1192+1)&amp;"","Buyer cheque banked 买家支票存入"&amp;IF(INDEX('Daily Sale entry '!$U$1:$U$1501,$J1192-1499)="","", " - "&amp;INDEX('Daily Sale entry '!$U$1:$U$1501,$J1192-1499))))</f>
        <v/>
      </c>
      <c r="C1192">
        <f>IF($J1192="","",IF($J1192&lt;=1500,INDEX('Daily Sale entry '!$Z$1:$Z$1501,$J1192+1)&amp;"","Cheque deposit 支票存入 (buyer 买家)"))</f>
        <v/>
      </c>
      <c r="D1192">
        <f>IF($J1192="","",IF($J1192&lt;=1500,INDEX('Daily Sale entry '!$AA$1:$AA$1501,$J1192+1)&amp;"",INDEX('Daily Sale entry '!$P$1:$P$1501,$J1192-1499)&amp;""))</f>
        <v/>
      </c>
      <c r="E1192">
        <f>IF($J1192="","",IF($J1192&lt;=1500,IF(N(INDEX('Daily Sale entry '!$AB$1:$AB$1501,$J1192+1))=0,"",INDEX('Daily Sale entry '!$AB$1:$AB$1501,$J1192+1)),1))</f>
        <v/>
      </c>
      <c r="F1192" s="6">
        <f>IF($J1192="","",IF($J1192&lt;=1500,N(INDEX('Daily Sale entry '!$AC$1:$AC$1501,$J1192+1))-IF(AND('Opening Balance'!$B$15=1,INDEX('Daily Sale entry '!$Z$1:$Z$1501,$J1192+1)="Online collection 网上收款",INDEX('Daily Sale entry '!$AA$1:$AA$1501,$J1192+1)&lt;&gt;""),N(INDEX('Daily Sale entry '!$AC$1:$AC$1501,$J1192+1))-TRUNC(N(INDEX('Daily Sale entry '!$AC$1:$AC$1501,$J1192+1))),0),N(INDEX('Daily Sale entry '!$S$1:$S$1501,$J1192-1499))-'Opening Balance'!$B$15*(N(INDEX('Daily Sale entry '!$S$1:$S$1501,$J1192-1499))-TRUNC(N(INDEX('Daily Sale entry '!$S$1:$S$1501,$J1192-1499))))))</f>
        <v/>
      </c>
      <c r="G1192" s="6">
        <f>IF($J1192="","",IF($J1192&lt;=1500,N(INDEX('Daily Sale entry '!$AD$1:$AD$1501,$J1192+1)),0))</f>
        <v/>
      </c>
      <c r="H1192" s="6">
        <f>IF($J1192="","",ROUND('Opening Balance'!$B$4+SUM($F$2:F1192)-SUM($G$2:G1192),2))</f>
        <v/>
      </c>
      <c r="J1192" s="21">
        <f>IFERROR(MATCH(ROW()-1,$L$2:$L$3001,0),"")</f>
        <v/>
      </c>
      <c r="K1192" s="34">
        <f>IF(AND('Daily Sale entry '!X1192&lt;&gt;"",OR('Daily Sale entry '!AC1192&lt;&gt;"",'Daily Sale entry '!AD1192&lt;&gt;"")),'Daily Sale entry '!X1192+ROW()/10000000,"")</f>
        <v/>
      </c>
      <c r="L1192" s="21">
        <f>IF(K1192="","",COUNTIF($K$2:$K$3001,"&lt;"&amp;K1192)+1)</f>
        <v/>
      </c>
    </row>
    <row r="1193">
      <c r="A1193" s="5">
        <f>IF($J1193="","",IF($J1193&lt;=1500,INDEX('Daily Sale entry '!$X$1:$X$1501,$J1193+1),INDEX('Daily Sale entry '!$V$1:$V$1501,$J1193-1499)))</f>
        <v/>
      </c>
      <c r="B1193">
        <f>IF($J1193="","",IF($J1193&lt;=1500,INDEX('Daily Sale entry '!$Y$1:$Y$1501,$J1193+1)&amp;"","Buyer cheque banked 买家支票存入"&amp;IF(INDEX('Daily Sale entry '!$U$1:$U$1501,$J1193-1499)="","", " - "&amp;INDEX('Daily Sale entry '!$U$1:$U$1501,$J1193-1499))))</f>
        <v/>
      </c>
      <c r="C1193">
        <f>IF($J1193="","",IF($J1193&lt;=1500,INDEX('Daily Sale entry '!$Z$1:$Z$1501,$J1193+1)&amp;"","Cheque deposit 支票存入 (buyer 买家)"))</f>
        <v/>
      </c>
      <c r="D1193">
        <f>IF($J1193="","",IF($J1193&lt;=1500,INDEX('Daily Sale entry '!$AA$1:$AA$1501,$J1193+1)&amp;"",INDEX('Daily Sale entry '!$P$1:$P$1501,$J1193-1499)&amp;""))</f>
        <v/>
      </c>
      <c r="E1193">
        <f>IF($J1193="","",IF($J1193&lt;=1500,IF(N(INDEX('Daily Sale entry '!$AB$1:$AB$1501,$J1193+1))=0,"",INDEX('Daily Sale entry '!$AB$1:$AB$1501,$J1193+1)),1))</f>
        <v/>
      </c>
      <c r="F1193" s="6">
        <f>IF($J1193="","",IF($J1193&lt;=1500,N(INDEX('Daily Sale entry '!$AC$1:$AC$1501,$J1193+1))-IF(AND('Opening Balance'!$B$15=1,INDEX('Daily Sale entry '!$Z$1:$Z$1501,$J1193+1)="Online collection 网上收款",INDEX('Daily Sale entry '!$AA$1:$AA$1501,$J1193+1)&lt;&gt;""),N(INDEX('Daily Sale entry '!$AC$1:$AC$1501,$J1193+1))-TRUNC(N(INDEX('Daily Sale entry '!$AC$1:$AC$1501,$J1193+1))),0),N(INDEX('Daily Sale entry '!$S$1:$S$1501,$J1193-1499))-'Opening Balance'!$B$15*(N(INDEX('Daily Sale entry '!$S$1:$S$1501,$J1193-1499))-TRUNC(N(INDEX('Daily Sale entry '!$S$1:$S$1501,$J1193-1499))))))</f>
        <v/>
      </c>
      <c r="G1193" s="6">
        <f>IF($J1193="","",IF($J1193&lt;=1500,N(INDEX('Daily Sale entry '!$AD$1:$AD$1501,$J1193+1)),0))</f>
        <v/>
      </c>
      <c r="H1193" s="6">
        <f>IF($J1193="","",ROUND('Opening Balance'!$B$4+SUM($F$2:F1193)-SUM($G$2:G1193),2))</f>
        <v/>
      </c>
      <c r="J1193" s="21">
        <f>IFERROR(MATCH(ROW()-1,$L$2:$L$3001,0),"")</f>
        <v/>
      </c>
      <c r="K1193" s="34">
        <f>IF(AND('Daily Sale entry '!X1193&lt;&gt;"",OR('Daily Sale entry '!AC1193&lt;&gt;"",'Daily Sale entry '!AD1193&lt;&gt;"")),'Daily Sale entry '!X1193+ROW()/10000000,"")</f>
        <v/>
      </c>
      <c r="L1193" s="21">
        <f>IF(K1193="","",COUNTIF($K$2:$K$3001,"&lt;"&amp;K1193)+1)</f>
        <v/>
      </c>
    </row>
    <row r="1194">
      <c r="A1194" s="5">
        <f>IF($J1194="","",IF($J1194&lt;=1500,INDEX('Daily Sale entry '!$X$1:$X$1501,$J1194+1),INDEX('Daily Sale entry '!$V$1:$V$1501,$J1194-1499)))</f>
        <v/>
      </c>
      <c r="B1194">
        <f>IF($J1194="","",IF($J1194&lt;=1500,INDEX('Daily Sale entry '!$Y$1:$Y$1501,$J1194+1)&amp;"","Buyer cheque banked 买家支票存入"&amp;IF(INDEX('Daily Sale entry '!$U$1:$U$1501,$J1194-1499)="","", " - "&amp;INDEX('Daily Sale entry '!$U$1:$U$1501,$J1194-1499))))</f>
        <v/>
      </c>
      <c r="C1194">
        <f>IF($J1194="","",IF($J1194&lt;=1500,INDEX('Daily Sale entry '!$Z$1:$Z$1501,$J1194+1)&amp;"","Cheque deposit 支票存入 (buyer 买家)"))</f>
        <v/>
      </c>
      <c r="D1194">
        <f>IF($J1194="","",IF($J1194&lt;=1500,INDEX('Daily Sale entry '!$AA$1:$AA$1501,$J1194+1)&amp;"",INDEX('Daily Sale entry '!$P$1:$P$1501,$J1194-1499)&amp;""))</f>
        <v/>
      </c>
      <c r="E1194">
        <f>IF($J1194="","",IF($J1194&lt;=1500,IF(N(INDEX('Daily Sale entry '!$AB$1:$AB$1501,$J1194+1))=0,"",INDEX('Daily Sale entry '!$AB$1:$AB$1501,$J1194+1)),1))</f>
        <v/>
      </c>
      <c r="F1194" s="6">
        <f>IF($J1194="","",IF($J1194&lt;=1500,N(INDEX('Daily Sale entry '!$AC$1:$AC$1501,$J1194+1))-IF(AND('Opening Balance'!$B$15=1,INDEX('Daily Sale entry '!$Z$1:$Z$1501,$J1194+1)="Online collection 网上收款",INDEX('Daily Sale entry '!$AA$1:$AA$1501,$J1194+1)&lt;&gt;""),N(INDEX('Daily Sale entry '!$AC$1:$AC$1501,$J1194+1))-TRUNC(N(INDEX('Daily Sale entry '!$AC$1:$AC$1501,$J1194+1))),0),N(INDEX('Daily Sale entry '!$S$1:$S$1501,$J1194-1499))-'Opening Balance'!$B$15*(N(INDEX('Daily Sale entry '!$S$1:$S$1501,$J1194-1499))-TRUNC(N(INDEX('Daily Sale entry '!$S$1:$S$1501,$J1194-1499))))))</f>
        <v/>
      </c>
      <c r="G1194" s="6">
        <f>IF($J1194="","",IF($J1194&lt;=1500,N(INDEX('Daily Sale entry '!$AD$1:$AD$1501,$J1194+1)),0))</f>
        <v/>
      </c>
      <c r="H1194" s="6">
        <f>IF($J1194="","",ROUND('Opening Balance'!$B$4+SUM($F$2:F1194)-SUM($G$2:G1194),2))</f>
        <v/>
      </c>
      <c r="J1194" s="21">
        <f>IFERROR(MATCH(ROW()-1,$L$2:$L$3001,0),"")</f>
        <v/>
      </c>
      <c r="K1194" s="34">
        <f>IF(AND('Daily Sale entry '!X1194&lt;&gt;"",OR('Daily Sale entry '!AC1194&lt;&gt;"",'Daily Sale entry '!AD1194&lt;&gt;"")),'Daily Sale entry '!X1194+ROW()/10000000,"")</f>
        <v/>
      </c>
      <c r="L1194" s="21">
        <f>IF(K1194="","",COUNTIF($K$2:$K$3001,"&lt;"&amp;K1194)+1)</f>
        <v/>
      </c>
    </row>
    <row r="1195">
      <c r="A1195" s="5">
        <f>IF($J1195="","",IF($J1195&lt;=1500,INDEX('Daily Sale entry '!$X$1:$X$1501,$J1195+1),INDEX('Daily Sale entry '!$V$1:$V$1501,$J1195-1499)))</f>
        <v/>
      </c>
      <c r="B1195">
        <f>IF($J1195="","",IF($J1195&lt;=1500,INDEX('Daily Sale entry '!$Y$1:$Y$1501,$J1195+1)&amp;"","Buyer cheque banked 买家支票存入"&amp;IF(INDEX('Daily Sale entry '!$U$1:$U$1501,$J1195-1499)="","", " - "&amp;INDEX('Daily Sale entry '!$U$1:$U$1501,$J1195-1499))))</f>
        <v/>
      </c>
      <c r="C1195">
        <f>IF($J1195="","",IF($J1195&lt;=1500,INDEX('Daily Sale entry '!$Z$1:$Z$1501,$J1195+1)&amp;"","Cheque deposit 支票存入 (buyer 买家)"))</f>
        <v/>
      </c>
      <c r="D1195">
        <f>IF($J1195="","",IF($J1195&lt;=1500,INDEX('Daily Sale entry '!$AA$1:$AA$1501,$J1195+1)&amp;"",INDEX('Daily Sale entry '!$P$1:$P$1501,$J1195-1499)&amp;""))</f>
        <v/>
      </c>
      <c r="E1195">
        <f>IF($J1195="","",IF($J1195&lt;=1500,IF(N(INDEX('Daily Sale entry '!$AB$1:$AB$1501,$J1195+1))=0,"",INDEX('Daily Sale entry '!$AB$1:$AB$1501,$J1195+1)),1))</f>
        <v/>
      </c>
      <c r="F1195" s="6">
        <f>IF($J1195="","",IF($J1195&lt;=1500,N(INDEX('Daily Sale entry '!$AC$1:$AC$1501,$J1195+1))-IF(AND('Opening Balance'!$B$15=1,INDEX('Daily Sale entry '!$Z$1:$Z$1501,$J1195+1)="Online collection 网上收款",INDEX('Daily Sale entry '!$AA$1:$AA$1501,$J1195+1)&lt;&gt;""),N(INDEX('Daily Sale entry '!$AC$1:$AC$1501,$J1195+1))-TRUNC(N(INDEX('Daily Sale entry '!$AC$1:$AC$1501,$J1195+1))),0),N(INDEX('Daily Sale entry '!$S$1:$S$1501,$J1195-1499))-'Opening Balance'!$B$15*(N(INDEX('Daily Sale entry '!$S$1:$S$1501,$J1195-1499))-TRUNC(N(INDEX('Daily Sale entry '!$S$1:$S$1501,$J1195-1499))))))</f>
        <v/>
      </c>
      <c r="G1195" s="6">
        <f>IF($J1195="","",IF($J1195&lt;=1500,N(INDEX('Daily Sale entry '!$AD$1:$AD$1501,$J1195+1)),0))</f>
        <v/>
      </c>
      <c r="H1195" s="6">
        <f>IF($J1195="","",ROUND('Opening Balance'!$B$4+SUM($F$2:F1195)-SUM($G$2:G1195),2))</f>
        <v/>
      </c>
      <c r="J1195" s="21">
        <f>IFERROR(MATCH(ROW()-1,$L$2:$L$3001,0),"")</f>
        <v/>
      </c>
      <c r="K1195" s="34">
        <f>IF(AND('Daily Sale entry '!X1195&lt;&gt;"",OR('Daily Sale entry '!AC1195&lt;&gt;"",'Daily Sale entry '!AD1195&lt;&gt;"")),'Daily Sale entry '!X1195+ROW()/10000000,"")</f>
        <v/>
      </c>
      <c r="L1195" s="21">
        <f>IF(K1195="","",COUNTIF($K$2:$K$3001,"&lt;"&amp;K1195)+1)</f>
        <v/>
      </c>
    </row>
    <row r="1196">
      <c r="A1196" s="5">
        <f>IF($J1196="","",IF($J1196&lt;=1500,INDEX('Daily Sale entry '!$X$1:$X$1501,$J1196+1),INDEX('Daily Sale entry '!$V$1:$V$1501,$J1196-1499)))</f>
        <v/>
      </c>
      <c r="B1196">
        <f>IF($J1196="","",IF($J1196&lt;=1500,INDEX('Daily Sale entry '!$Y$1:$Y$1501,$J1196+1)&amp;"","Buyer cheque banked 买家支票存入"&amp;IF(INDEX('Daily Sale entry '!$U$1:$U$1501,$J1196-1499)="","", " - "&amp;INDEX('Daily Sale entry '!$U$1:$U$1501,$J1196-1499))))</f>
        <v/>
      </c>
      <c r="C1196">
        <f>IF($J1196="","",IF($J1196&lt;=1500,INDEX('Daily Sale entry '!$Z$1:$Z$1501,$J1196+1)&amp;"","Cheque deposit 支票存入 (buyer 买家)"))</f>
        <v/>
      </c>
      <c r="D1196">
        <f>IF($J1196="","",IF($J1196&lt;=1500,INDEX('Daily Sale entry '!$AA$1:$AA$1501,$J1196+1)&amp;"",INDEX('Daily Sale entry '!$P$1:$P$1501,$J1196-1499)&amp;""))</f>
        <v/>
      </c>
      <c r="E1196">
        <f>IF($J1196="","",IF($J1196&lt;=1500,IF(N(INDEX('Daily Sale entry '!$AB$1:$AB$1501,$J1196+1))=0,"",INDEX('Daily Sale entry '!$AB$1:$AB$1501,$J1196+1)),1))</f>
        <v/>
      </c>
      <c r="F1196" s="6">
        <f>IF($J1196="","",IF($J1196&lt;=1500,N(INDEX('Daily Sale entry '!$AC$1:$AC$1501,$J1196+1))-IF(AND('Opening Balance'!$B$15=1,INDEX('Daily Sale entry '!$Z$1:$Z$1501,$J1196+1)="Online collection 网上收款",INDEX('Daily Sale entry '!$AA$1:$AA$1501,$J1196+1)&lt;&gt;""),N(INDEX('Daily Sale entry '!$AC$1:$AC$1501,$J1196+1))-TRUNC(N(INDEX('Daily Sale entry '!$AC$1:$AC$1501,$J1196+1))),0),N(INDEX('Daily Sale entry '!$S$1:$S$1501,$J1196-1499))-'Opening Balance'!$B$15*(N(INDEX('Daily Sale entry '!$S$1:$S$1501,$J1196-1499))-TRUNC(N(INDEX('Daily Sale entry '!$S$1:$S$1501,$J1196-1499))))))</f>
        <v/>
      </c>
      <c r="G1196" s="6">
        <f>IF($J1196="","",IF($J1196&lt;=1500,N(INDEX('Daily Sale entry '!$AD$1:$AD$1501,$J1196+1)),0))</f>
        <v/>
      </c>
      <c r="H1196" s="6">
        <f>IF($J1196="","",ROUND('Opening Balance'!$B$4+SUM($F$2:F1196)-SUM($G$2:G1196),2))</f>
        <v/>
      </c>
      <c r="J1196" s="21">
        <f>IFERROR(MATCH(ROW()-1,$L$2:$L$3001,0),"")</f>
        <v/>
      </c>
      <c r="K1196" s="34">
        <f>IF(AND('Daily Sale entry '!X1196&lt;&gt;"",OR('Daily Sale entry '!AC1196&lt;&gt;"",'Daily Sale entry '!AD1196&lt;&gt;"")),'Daily Sale entry '!X1196+ROW()/10000000,"")</f>
        <v/>
      </c>
      <c r="L1196" s="21">
        <f>IF(K1196="","",COUNTIF($K$2:$K$3001,"&lt;"&amp;K1196)+1)</f>
        <v/>
      </c>
    </row>
    <row r="1197">
      <c r="A1197" s="5">
        <f>IF($J1197="","",IF($J1197&lt;=1500,INDEX('Daily Sale entry '!$X$1:$X$1501,$J1197+1),INDEX('Daily Sale entry '!$V$1:$V$1501,$J1197-1499)))</f>
        <v/>
      </c>
      <c r="B1197">
        <f>IF($J1197="","",IF($J1197&lt;=1500,INDEX('Daily Sale entry '!$Y$1:$Y$1501,$J1197+1)&amp;"","Buyer cheque banked 买家支票存入"&amp;IF(INDEX('Daily Sale entry '!$U$1:$U$1501,$J1197-1499)="","", " - "&amp;INDEX('Daily Sale entry '!$U$1:$U$1501,$J1197-1499))))</f>
        <v/>
      </c>
      <c r="C1197">
        <f>IF($J1197="","",IF($J1197&lt;=1500,INDEX('Daily Sale entry '!$Z$1:$Z$1501,$J1197+1)&amp;"","Cheque deposit 支票存入 (buyer 买家)"))</f>
        <v/>
      </c>
      <c r="D1197">
        <f>IF($J1197="","",IF($J1197&lt;=1500,INDEX('Daily Sale entry '!$AA$1:$AA$1501,$J1197+1)&amp;"",INDEX('Daily Sale entry '!$P$1:$P$1501,$J1197-1499)&amp;""))</f>
        <v/>
      </c>
      <c r="E1197">
        <f>IF($J1197="","",IF($J1197&lt;=1500,IF(N(INDEX('Daily Sale entry '!$AB$1:$AB$1501,$J1197+1))=0,"",INDEX('Daily Sale entry '!$AB$1:$AB$1501,$J1197+1)),1))</f>
        <v/>
      </c>
      <c r="F1197" s="6">
        <f>IF($J1197="","",IF($J1197&lt;=1500,N(INDEX('Daily Sale entry '!$AC$1:$AC$1501,$J1197+1))-IF(AND('Opening Balance'!$B$15=1,INDEX('Daily Sale entry '!$Z$1:$Z$1501,$J1197+1)="Online collection 网上收款",INDEX('Daily Sale entry '!$AA$1:$AA$1501,$J1197+1)&lt;&gt;""),N(INDEX('Daily Sale entry '!$AC$1:$AC$1501,$J1197+1))-TRUNC(N(INDEX('Daily Sale entry '!$AC$1:$AC$1501,$J1197+1))),0),N(INDEX('Daily Sale entry '!$S$1:$S$1501,$J1197-1499))-'Opening Balance'!$B$15*(N(INDEX('Daily Sale entry '!$S$1:$S$1501,$J1197-1499))-TRUNC(N(INDEX('Daily Sale entry '!$S$1:$S$1501,$J1197-1499))))))</f>
        <v/>
      </c>
      <c r="G1197" s="6">
        <f>IF($J1197="","",IF($J1197&lt;=1500,N(INDEX('Daily Sale entry '!$AD$1:$AD$1501,$J1197+1)),0))</f>
        <v/>
      </c>
      <c r="H1197" s="6">
        <f>IF($J1197="","",ROUND('Opening Balance'!$B$4+SUM($F$2:F1197)-SUM($G$2:G1197),2))</f>
        <v/>
      </c>
      <c r="J1197" s="21">
        <f>IFERROR(MATCH(ROW()-1,$L$2:$L$3001,0),"")</f>
        <v/>
      </c>
      <c r="K1197" s="34">
        <f>IF(AND('Daily Sale entry '!X1197&lt;&gt;"",OR('Daily Sale entry '!AC1197&lt;&gt;"",'Daily Sale entry '!AD1197&lt;&gt;"")),'Daily Sale entry '!X1197+ROW()/10000000,"")</f>
        <v/>
      </c>
      <c r="L1197" s="21">
        <f>IF(K1197="","",COUNTIF($K$2:$K$3001,"&lt;"&amp;K1197)+1)</f>
        <v/>
      </c>
    </row>
    <row r="1198">
      <c r="A1198" s="5">
        <f>IF($J1198="","",IF($J1198&lt;=1500,INDEX('Daily Sale entry '!$X$1:$X$1501,$J1198+1),INDEX('Daily Sale entry '!$V$1:$V$1501,$J1198-1499)))</f>
        <v/>
      </c>
      <c r="B1198">
        <f>IF($J1198="","",IF($J1198&lt;=1500,INDEX('Daily Sale entry '!$Y$1:$Y$1501,$J1198+1)&amp;"","Buyer cheque banked 买家支票存入"&amp;IF(INDEX('Daily Sale entry '!$U$1:$U$1501,$J1198-1499)="","", " - "&amp;INDEX('Daily Sale entry '!$U$1:$U$1501,$J1198-1499))))</f>
        <v/>
      </c>
      <c r="C1198">
        <f>IF($J1198="","",IF($J1198&lt;=1500,INDEX('Daily Sale entry '!$Z$1:$Z$1501,$J1198+1)&amp;"","Cheque deposit 支票存入 (buyer 买家)"))</f>
        <v/>
      </c>
      <c r="D1198">
        <f>IF($J1198="","",IF($J1198&lt;=1500,INDEX('Daily Sale entry '!$AA$1:$AA$1501,$J1198+1)&amp;"",INDEX('Daily Sale entry '!$P$1:$P$1501,$J1198-1499)&amp;""))</f>
        <v/>
      </c>
      <c r="E1198">
        <f>IF($J1198="","",IF($J1198&lt;=1500,IF(N(INDEX('Daily Sale entry '!$AB$1:$AB$1501,$J1198+1))=0,"",INDEX('Daily Sale entry '!$AB$1:$AB$1501,$J1198+1)),1))</f>
        <v/>
      </c>
      <c r="F1198" s="6">
        <f>IF($J1198="","",IF($J1198&lt;=1500,N(INDEX('Daily Sale entry '!$AC$1:$AC$1501,$J1198+1))-IF(AND('Opening Balance'!$B$15=1,INDEX('Daily Sale entry '!$Z$1:$Z$1501,$J1198+1)="Online collection 网上收款",INDEX('Daily Sale entry '!$AA$1:$AA$1501,$J1198+1)&lt;&gt;""),N(INDEX('Daily Sale entry '!$AC$1:$AC$1501,$J1198+1))-TRUNC(N(INDEX('Daily Sale entry '!$AC$1:$AC$1501,$J1198+1))),0),N(INDEX('Daily Sale entry '!$S$1:$S$1501,$J1198-1499))-'Opening Balance'!$B$15*(N(INDEX('Daily Sale entry '!$S$1:$S$1501,$J1198-1499))-TRUNC(N(INDEX('Daily Sale entry '!$S$1:$S$1501,$J1198-1499))))))</f>
        <v/>
      </c>
      <c r="G1198" s="6">
        <f>IF($J1198="","",IF($J1198&lt;=1500,N(INDEX('Daily Sale entry '!$AD$1:$AD$1501,$J1198+1)),0))</f>
        <v/>
      </c>
      <c r="H1198" s="6">
        <f>IF($J1198="","",ROUND('Opening Balance'!$B$4+SUM($F$2:F1198)-SUM($G$2:G1198),2))</f>
        <v/>
      </c>
      <c r="J1198" s="21">
        <f>IFERROR(MATCH(ROW()-1,$L$2:$L$3001,0),"")</f>
        <v/>
      </c>
      <c r="K1198" s="34">
        <f>IF(AND('Daily Sale entry '!X1198&lt;&gt;"",OR('Daily Sale entry '!AC1198&lt;&gt;"",'Daily Sale entry '!AD1198&lt;&gt;"")),'Daily Sale entry '!X1198+ROW()/10000000,"")</f>
        <v/>
      </c>
      <c r="L1198" s="21">
        <f>IF(K1198="","",COUNTIF($K$2:$K$3001,"&lt;"&amp;K1198)+1)</f>
        <v/>
      </c>
    </row>
    <row r="1199">
      <c r="A1199" s="5">
        <f>IF($J1199="","",IF($J1199&lt;=1500,INDEX('Daily Sale entry '!$X$1:$X$1501,$J1199+1),INDEX('Daily Sale entry '!$V$1:$V$1501,$J1199-1499)))</f>
        <v/>
      </c>
      <c r="B1199">
        <f>IF($J1199="","",IF($J1199&lt;=1500,INDEX('Daily Sale entry '!$Y$1:$Y$1501,$J1199+1)&amp;"","Buyer cheque banked 买家支票存入"&amp;IF(INDEX('Daily Sale entry '!$U$1:$U$1501,$J1199-1499)="","", " - "&amp;INDEX('Daily Sale entry '!$U$1:$U$1501,$J1199-1499))))</f>
        <v/>
      </c>
      <c r="C1199">
        <f>IF($J1199="","",IF($J1199&lt;=1500,INDEX('Daily Sale entry '!$Z$1:$Z$1501,$J1199+1)&amp;"","Cheque deposit 支票存入 (buyer 买家)"))</f>
        <v/>
      </c>
      <c r="D1199">
        <f>IF($J1199="","",IF($J1199&lt;=1500,INDEX('Daily Sale entry '!$AA$1:$AA$1501,$J1199+1)&amp;"",INDEX('Daily Sale entry '!$P$1:$P$1501,$J1199-1499)&amp;""))</f>
        <v/>
      </c>
      <c r="E1199">
        <f>IF($J1199="","",IF($J1199&lt;=1500,IF(N(INDEX('Daily Sale entry '!$AB$1:$AB$1501,$J1199+1))=0,"",INDEX('Daily Sale entry '!$AB$1:$AB$1501,$J1199+1)),1))</f>
        <v/>
      </c>
      <c r="F1199" s="6">
        <f>IF($J1199="","",IF($J1199&lt;=1500,N(INDEX('Daily Sale entry '!$AC$1:$AC$1501,$J1199+1))-IF(AND('Opening Balance'!$B$15=1,INDEX('Daily Sale entry '!$Z$1:$Z$1501,$J1199+1)="Online collection 网上收款",INDEX('Daily Sale entry '!$AA$1:$AA$1501,$J1199+1)&lt;&gt;""),N(INDEX('Daily Sale entry '!$AC$1:$AC$1501,$J1199+1))-TRUNC(N(INDEX('Daily Sale entry '!$AC$1:$AC$1501,$J1199+1))),0),N(INDEX('Daily Sale entry '!$S$1:$S$1501,$J1199-1499))-'Opening Balance'!$B$15*(N(INDEX('Daily Sale entry '!$S$1:$S$1501,$J1199-1499))-TRUNC(N(INDEX('Daily Sale entry '!$S$1:$S$1501,$J1199-1499))))))</f>
        <v/>
      </c>
      <c r="G1199" s="6">
        <f>IF($J1199="","",IF($J1199&lt;=1500,N(INDEX('Daily Sale entry '!$AD$1:$AD$1501,$J1199+1)),0))</f>
        <v/>
      </c>
      <c r="H1199" s="6">
        <f>IF($J1199="","",ROUND('Opening Balance'!$B$4+SUM($F$2:F1199)-SUM($G$2:G1199),2))</f>
        <v/>
      </c>
      <c r="J1199" s="21">
        <f>IFERROR(MATCH(ROW()-1,$L$2:$L$3001,0),"")</f>
        <v/>
      </c>
      <c r="K1199" s="34">
        <f>IF(AND('Daily Sale entry '!X1199&lt;&gt;"",OR('Daily Sale entry '!AC1199&lt;&gt;"",'Daily Sale entry '!AD1199&lt;&gt;"")),'Daily Sale entry '!X1199+ROW()/10000000,"")</f>
        <v/>
      </c>
      <c r="L1199" s="21">
        <f>IF(K1199="","",COUNTIF($K$2:$K$3001,"&lt;"&amp;K1199)+1)</f>
        <v/>
      </c>
    </row>
    <row r="1200">
      <c r="A1200" s="5">
        <f>IF($J1200="","",IF($J1200&lt;=1500,INDEX('Daily Sale entry '!$X$1:$X$1501,$J1200+1),INDEX('Daily Sale entry '!$V$1:$V$1501,$J1200-1499)))</f>
        <v/>
      </c>
      <c r="B1200">
        <f>IF($J1200="","",IF($J1200&lt;=1500,INDEX('Daily Sale entry '!$Y$1:$Y$1501,$J1200+1)&amp;"","Buyer cheque banked 买家支票存入"&amp;IF(INDEX('Daily Sale entry '!$U$1:$U$1501,$J1200-1499)="","", " - "&amp;INDEX('Daily Sale entry '!$U$1:$U$1501,$J1200-1499))))</f>
        <v/>
      </c>
      <c r="C1200">
        <f>IF($J1200="","",IF($J1200&lt;=1500,INDEX('Daily Sale entry '!$Z$1:$Z$1501,$J1200+1)&amp;"","Cheque deposit 支票存入 (buyer 买家)"))</f>
        <v/>
      </c>
      <c r="D1200">
        <f>IF($J1200="","",IF($J1200&lt;=1500,INDEX('Daily Sale entry '!$AA$1:$AA$1501,$J1200+1)&amp;"",INDEX('Daily Sale entry '!$P$1:$P$1501,$J1200-1499)&amp;""))</f>
        <v/>
      </c>
      <c r="E1200">
        <f>IF($J1200="","",IF($J1200&lt;=1500,IF(N(INDEX('Daily Sale entry '!$AB$1:$AB$1501,$J1200+1))=0,"",INDEX('Daily Sale entry '!$AB$1:$AB$1501,$J1200+1)),1))</f>
        <v/>
      </c>
      <c r="F1200" s="6">
        <f>IF($J1200="","",IF($J1200&lt;=1500,N(INDEX('Daily Sale entry '!$AC$1:$AC$1501,$J1200+1))-IF(AND('Opening Balance'!$B$15=1,INDEX('Daily Sale entry '!$Z$1:$Z$1501,$J1200+1)="Online collection 网上收款",INDEX('Daily Sale entry '!$AA$1:$AA$1501,$J1200+1)&lt;&gt;""),N(INDEX('Daily Sale entry '!$AC$1:$AC$1501,$J1200+1))-TRUNC(N(INDEX('Daily Sale entry '!$AC$1:$AC$1501,$J1200+1))),0),N(INDEX('Daily Sale entry '!$S$1:$S$1501,$J1200-1499))-'Opening Balance'!$B$15*(N(INDEX('Daily Sale entry '!$S$1:$S$1501,$J1200-1499))-TRUNC(N(INDEX('Daily Sale entry '!$S$1:$S$1501,$J1200-1499))))))</f>
        <v/>
      </c>
      <c r="G1200" s="6">
        <f>IF($J1200="","",IF($J1200&lt;=1500,N(INDEX('Daily Sale entry '!$AD$1:$AD$1501,$J1200+1)),0))</f>
        <v/>
      </c>
      <c r="H1200" s="6">
        <f>IF($J1200="","",ROUND('Opening Balance'!$B$4+SUM($F$2:F1200)-SUM($G$2:G1200),2))</f>
        <v/>
      </c>
      <c r="J1200" s="21">
        <f>IFERROR(MATCH(ROW()-1,$L$2:$L$3001,0),"")</f>
        <v/>
      </c>
      <c r="K1200" s="34">
        <f>IF(AND('Daily Sale entry '!X1200&lt;&gt;"",OR('Daily Sale entry '!AC1200&lt;&gt;"",'Daily Sale entry '!AD1200&lt;&gt;"")),'Daily Sale entry '!X1200+ROW()/10000000,"")</f>
        <v/>
      </c>
      <c r="L1200" s="21">
        <f>IF(K1200="","",COUNTIF($K$2:$K$3001,"&lt;"&amp;K1200)+1)</f>
        <v/>
      </c>
    </row>
    <row r="1201">
      <c r="A1201" s="5">
        <f>IF($J1201="","",IF($J1201&lt;=1500,INDEX('Daily Sale entry '!$X$1:$X$1501,$J1201+1),INDEX('Daily Sale entry '!$V$1:$V$1501,$J1201-1499)))</f>
        <v/>
      </c>
      <c r="B1201">
        <f>IF($J1201="","",IF($J1201&lt;=1500,INDEX('Daily Sale entry '!$Y$1:$Y$1501,$J1201+1)&amp;"","Buyer cheque banked 买家支票存入"&amp;IF(INDEX('Daily Sale entry '!$U$1:$U$1501,$J1201-1499)="","", " - "&amp;INDEX('Daily Sale entry '!$U$1:$U$1501,$J1201-1499))))</f>
        <v/>
      </c>
      <c r="C1201">
        <f>IF($J1201="","",IF($J1201&lt;=1500,INDEX('Daily Sale entry '!$Z$1:$Z$1501,$J1201+1)&amp;"","Cheque deposit 支票存入 (buyer 买家)"))</f>
        <v/>
      </c>
      <c r="D1201">
        <f>IF($J1201="","",IF($J1201&lt;=1500,INDEX('Daily Sale entry '!$AA$1:$AA$1501,$J1201+1)&amp;"",INDEX('Daily Sale entry '!$P$1:$P$1501,$J1201-1499)&amp;""))</f>
        <v/>
      </c>
      <c r="E1201">
        <f>IF($J1201="","",IF($J1201&lt;=1500,IF(N(INDEX('Daily Sale entry '!$AB$1:$AB$1501,$J1201+1))=0,"",INDEX('Daily Sale entry '!$AB$1:$AB$1501,$J1201+1)),1))</f>
        <v/>
      </c>
      <c r="F1201" s="6">
        <f>IF($J1201="","",IF($J1201&lt;=1500,N(INDEX('Daily Sale entry '!$AC$1:$AC$1501,$J1201+1))-IF(AND('Opening Balance'!$B$15=1,INDEX('Daily Sale entry '!$Z$1:$Z$1501,$J1201+1)="Online collection 网上收款",INDEX('Daily Sale entry '!$AA$1:$AA$1501,$J1201+1)&lt;&gt;""),N(INDEX('Daily Sale entry '!$AC$1:$AC$1501,$J1201+1))-TRUNC(N(INDEX('Daily Sale entry '!$AC$1:$AC$1501,$J1201+1))),0),N(INDEX('Daily Sale entry '!$S$1:$S$1501,$J1201-1499))-'Opening Balance'!$B$15*(N(INDEX('Daily Sale entry '!$S$1:$S$1501,$J1201-1499))-TRUNC(N(INDEX('Daily Sale entry '!$S$1:$S$1501,$J1201-1499))))))</f>
        <v/>
      </c>
      <c r="G1201" s="6">
        <f>IF($J1201="","",IF($J1201&lt;=1500,N(INDEX('Daily Sale entry '!$AD$1:$AD$1501,$J1201+1)),0))</f>
        <v/>
      </c>
      <c r="H1201" s="6">
        <f>IF($J1201="","",ROUND('Opening Balance'!$B$4+SUM($F$2:F1201)-SUM($G$2:G1201),2))</f>
        <v/>
      </c>
      <c r="J1201" s="21">
        <f>IFERROR(MATCH(ROW()-1,$L$2:$L$3001,0),"")</f>
        <v/>
      </c>
      <c r="K1201" s="34">
        <f>IF(AND('Daily Sale entry '!X1201&lt;&gt;"",OR('Daily Sale entry '!AC1201&lt;&gt;"",'Daily Sale entry '!AD1201&lt;&gt;"")),'Daily Sale entry '!X1201+ROW()/10000000,"")</f>
        <v/>
      </c>
      <c r="L1201" s="21">
        <f>IF(K1201="","",COUNTIF($K$2:$K$3001,"&lt;"&amp;K1201)+1)</f>
        <v/>
      </c>
    </row>
    <row r="1202">
      <c r="A1202" s="5">
        <f>IF($J1202="","",IF($J1202&lt;=1500,INDEX('Daily Sale entry '!$X$1:$X$1501,$J1202+1),INDEX('Daily Sale entry '!$V$1:$V$1501,$J1202-1499)))</f>
        <v/>
      </c>
      <c r="B1202">
        <f>IF($J1202="","",IF($J1202&lt;=1500,INDEX('Daily Sale entry '!$Y$1:$Y$1501,$J1202+1)&amp;"","Buyer cheque banked 买家支票存入"&amp;IF(INDEX('Daily Sale entry '!$U$1:$U$1501,$J1202-1499)="","", " - "&amp;INDEX('Daily Sale entry '!$U$1:$U$1501,$J1202-1499))))</f>
        <v/>
      </c>
      <c r="C1202">
        <f>IF($J1202="","",IF($J1202&lt;=1500,INDEX('Daily Sale entry '!$Z$1:$Z$1501,$J1202+1)&amp;"","Cheque deposit 支票存入 (buyer 买家)"))</f>
        <v/>
      </c>
      <c r="D1202">
        <f>IF($J1202="","",IF($J1202&lt;=1500,INDEX('Daily Sale entry '!$AA$1:$AA$1501,$J1202+1)&amp;"",INDEX('Daily Sale entry '!$P$1:$P$1501,$J1202-1499)&amp;""))</f>
        <v/>
      </c>
      <c r="E1202">
        <f>IF($J1202="","",IF($J1202&lt;=1500,IF(N(INDEX('Daily Sale entry '!$AB$1:$AB$1501,$J1202+1))=0,"",INDEX('Daily Sale entry '!$AB$1:$AB$1501,$J1202+1)),1))</f>
        <v/>
      </c>
      <c r="F1202" s="6">
        <f>IF($J1202="","",IF($J1202&lt;=1500,N(INDEX('Daily Sale entry '!$AC$1:$AC$1501,$J1202+1))-IF(AND('Opening Balance'!$B$15=1,INDEX('Daily Sale entry '!$Z$1:$Z$1501,$J1202+1)="Online collection 网上收款",INDEX('Daily Sale entry '!$AA$1:$AA$1501,$J1202+1)&lt;&gt;""),N(INDEX('Daily Sale entry '!$AC$1:$AC$1501,$J1202+1))-TRUNC(N(INDEX('Daily Sale entry '!$AC$1:$AC$1501,$J1202+1))),0),N(INDEX('Daily Sale entry '!$S$1:$S$1501,$J1202-1499))-'Opening Balance'!$B$15*(N(INDEX('Daily Sale entry '!$S$1:$S$1501,$J1202-1499))-TRUNC(N(INDEX('Daily Sale entry '!$S$1:$S$1501,$J1202-1499))))))</f>
        <v/>
      </c>
      <c r="G1202" s="6">
        <f>IF($J1202="","",IF($J1202&lt;=1500,N(INDEX('Daily Sale entry '!$AD$1:$AD$1501,$J1202+1)),0))</f>
        <v/>
      </c>
      <c r="H1202" s="6">
        <f>IF($J1202="","",ROUND('Opening Balance'!$B$4+SUM($F$2:F1202)-SUM($G$2:G1202),2))</f>
        <v/>
      </c>
      <c r="J1202" s="21">
        <f>IFERROR(MATCH(ROW()-1,$L$2:$L$3001,0),"")</f>
        <v/>
      </c>
      <c r="K1202" s="34">
        <f>IF(AND('Daily Sale entry '!X1202&lt;&gt;"",OR('Daily Sale entry '!AC1202&lt;&gt;"",'Daily Sale entry '!AD1202&lt;&gt;"")),'Daily Sale entry '!X1202+ROW()/10000000,"")</f>
        <v/>
      </c>
      <c r="L1202" s="21">
        <f>IF(K1202="","",COUNTIF($K$2:$K$3001,"&lt;"&amp;K1202)+1)</f>
        <v/>
      </c>
    </row>
    <row r="1203">
      <c r="A1203" s="5">
        <f>IF($J1203="","",IF($J1203&lt;=1500,INDEX('Daily Sale entry '!$X$1:$X$1501,$J1203+1),INDEX('Daily Sale entry '!$V$1:$V$1501,$J1203-1499)))</f>
        <v/>
      </c>
      <c r="B1203">
        <f>IF($J1203="","",IF($J1203&lt;=1500,INDEX('Daily Sale entry '!$Y$1:$Y$1501,$J1203+1)&amp;"","Buyer cheque banked 买家支票存入"&amp;IF(INDEX('Daily Sale entry '!$U$1:$U$1501,$J1203-1499)="","", " - "&amp;INDEX('Daily Sale entry '!$U$1:$U$1501,$J1203-1499))))</f>
        <v/>
      </c>
      <c r="C1203">
        <f>IF($J1203="","",IF($J1203&lt;=1500,INDEX('Daily Sale entry '!$Z$1:$Z$1501,$J1203+1)&amp;"","Cheque deposit 支票存入 (buyer 买家)"))</f>
        <v/>
      </c>
      <c r="D1203">
        <f>IF($J1203="","",IF($J1203&lt;=1500,INDEX('Daily Sale entry '!$AA$1:$AA$1501,$J1203+1)&amp;"",INDEX('Daily Sale entry '!$P$1:$P$1501,$J1203-1499)&amp;""))</f>
        <v/>
      </c>
      <c r="E1203">
        <f>IF($J1203="","",IF($J1203&lt;=1500,IF(N(INDEX('Daily Sale entry '!$AB$1:$AB$1501,$J1203+1))=0,"",INDEX('Daily Sale entry '!$AB$1:$AB$1501,$J1203+1)),1))</f>
        <v/>
      </c>
      <c r="F1203" s="6">
        <f>IF($J1203="","",IF($J1203&lt;=1500,N(INDEX('Daily Sale entry '!$AC$1:$AC$1501,$J1203+1))-IF(AND('Opening Balance'!$B$15=1,INDEX('Daily Sale entry '!$Z$1:$Z$1501,$J1203+1)="Online collection 网上收款",INDEX('Daily Sale entry '!$AA$1:$AA$1501,$J1203+1)&lt;&gt;""),N(INDEX('Daily Sale entry '!$AC$1:$AC$1501,$J1203+1))-TRUNC(N(INDEX('Daily Sale entry '!$AC$1:$AC$1501,$J1203+1))),0),N(INDEX('Daily Sale entry '!$S$1:$S$1501,$J1203-1499))-'Opening Balance'!$B$15*(N(INDEX('Daily Sale entry '!$S$1:$S$1501,$J1203-1499))-TRUNC(N(INDEX('Daily Sale entry '!$S$1:$S$1501,$J1203-1499))))))</f>
        <v/>
      </c>
      <c r="G1203" s="6">
        <f>IF($J1203="","",IF($J1203&lt;=1500,N(INDEX('Daily Sale entry '!$AD$1:$AD$1501,$J1203+1)),0))</f>
        <v/>
      </c>
      <c r="H1203" s="6">
        <f>IF($J1203="","",ROUND('Opening Balance'!$B$4+SUM($F$2:F1203)-SUM($G$2:G1203),2))</f>
        <v/>
      </c>
      <c r="J1203" s="21">
        <f>IFERROR(MATCH(ROW()-1,$L$2:$L$3001,0),"")</f>
        <v/>
      </c>
      <c r="K1203" s="34">
        <f>IF(AND('Daily Sale entry '!X1203&lt;&gt;"",OR('Daily Sale entry '!AC1203&lt;&gt;"",'Daily Sale entry '!AD1203&lt;&gt;"")),'Daily Sale entry '!X1203+ROW()/10000000,"")</f>
        <v/>
      </c>
      <c r="L1203" s="21">
        <f>IF(K1203="","",COUNTIF($K$2:$K$3001,"&lt;"&amp;K1203)+1)</f>
        <v/>
      </c>
    </row>
    <row r="1204">
      <c r="A1204" s="5">
        <f>IF($J1204="","",IF($J1204&lt;=1500,INDEX('Daily Sale entry '!$X$1:$X$1501,$J1204+1),INDEX('Daily Sale entry '!$V$1:$V$1501,$J1204-1499)))</f>
        <v/>
      </c>
      <c r="B1204">
        <f>IF($J1204="","",IF($J1204&lt;=1500,INDEX('Daily Sale entry '!$Y$1:$Y$1501,$J1204+1)&amp;"","Buyer cheque banked 买家支票存入"&amp;IF(INDEX('Daily Sale entry '!$U$1:$U$1501,$J1204-1499)="","", " - "&amp;INDEX('Daily Sale entry '!$U$1:$U$1501,$J1204-1499))))</f>
        <v/>
      </c>
      <c r="C1204">
        <f>IF($J1204="","",IF($J1204&lt;=1500,INDEX('Daily Sale entry '!$Z$1:$Z$1501,$J1204+1)&amp;"","Cheque deposit 支票存入 (buyer 买家)"))</f>
        <v/>
      </c>
      <c r="D1204">
        <f>IF($J1204="","",IF($J1204&lt;=1500,INDEX('Daily Sale entry '!$AA$1:$AA$1501,$J1204+1)&amp;"",INDEX('Daily Sale entry '!$P$1:$P$1501,$J1204-1499)&amp;""))</f>
        <v/>
      </c>
      <c r="E1204">
        <f>IF($J1204="","",IF($J1204&lt;=1500,IF(N(INDEX('Daily Sale entry '!$AB$1:$AB$1501,$J1204+1))=0,"",INDEX('Daily Sale entry '!$AB$1:$AB$1501,$J1204+1)),1))</f>
        <v/>
      </c>
      <c r="F1204" s="6">
        <f>IF($J1204="","",IF($J1204&lt;=1500,N(INDEX('Daily Sale entry '!$AC$1:$AC$1501,$J1204+1))-IF(AND('Opening Balance'!$B$15=1,INDEX('Daily Sale entry '!$Z$1:$Z$1501,$J1204+1)="Online collection 网上收款",INDEX('Daily Sale entry '!$AA$1:$AA$1501,$J1204+1)&lt;&gt;""),N(INDEX('Daily Sale entry '!$AC$1:$AC$1501,$J1204+1))-TRUNC(N(INDEX('Daily Sale entry '!$AC$1:$AC$1501,$J1204+1))),0),N(INDEX('Daily Sale entry '!$S$1:$S$1501,$J1204-1499))-'Opening Balance'!$B$15*(N(INDEX('Daily Sale entry '!$S$1:$S$1501,$J1204-1499))-TRUNC(N(INDEX('Daily Sale entry '!$S$1:$S$1501,$J1204-1499))))))</f>
        <v/>
      </c>
      <c r="G1204" s="6">
        <f>IF($J1204="","",IF($J1204&lt;=1500,N(INDEX('Daily Sale entry '!$AD$1:$AD$1501,$J1204+1)),0))</f>
        <v/>
      </c>
      <c r="H1204" s="6">
        <f>IF($J1204="","",ROUND('Opening Balance'!$B$4+SUM($F$2:F1204)-SUM($G$2:G1204),2))</f>
        <v/>
      </c>
      <c r="J1204" s="21">
        <f>IFERROR(MATCH(ROW()-1,$L$2:$L$3001,0),"")</f>
        <v/>
      </c>
      <c r="K1204" s="34">
        <f>IF(AND('Daily Sale entry '!X1204&lt;&gt;"",OR('Daily Sale entry '!AC1204&lt;&gt;"",'Daily Sale entry '!AD1204&lt;&gt;"")),'Daily Sale entry '!X1204+ROW()/10000000,"")</f>
        <v/>
      </c>
      <c r="L1204" s="21">
        <f>IF(K1204="","",COUNTIF($K$2:$K$3001,"&lt;"&amp;K1204)+1)</f>
        <v/>
      </c>
    </row>
    <row r="1205">
      <c r="A1205" s="5">
        <f>IF($J1205="","",IF($J1205&lt;=1500,INDEX('Daily Sale entry '!$X$1:$X$1501,$J1205+1),INDEX('Daily Sale entry '!$V$1:$V$1501,$J1205-1499)))</f>
        <v/>
      </c>
      <c r="B1205">
        <f>IF($J1205="","",IF($J1205&lt;=1500,INDEX('Daily Sale entry '!$Y$1:$Y$1501,$J1205+1)&amp;"","Buyer cheque banked 买家支票存入"&amp;IF(INDEX('Daily Sale entry '!$U$1:$U$1501,$J1205-1499)="","", " - "&amp;INDEX('Daily Sale entry '!$U$1:$U$1501,$J1205-1499))))</f>
        <v/>
      </c>
      <c r="C1205">
        <f>IF($J1205="","",IF($J1205&lt;=1500,INDEX('Daily Sale entry '!$Z$1:$Z$1501,$J1205+1)&amp;"","Cheque deposit 支票存入 (buyer 买家)"))</f>
        <v/>
      </c>
      <c r="D1205">
        <f>IF($J1205="","",IF($J1205&lt;=1500,INDEX('Daily Sale entry '!$AA$1:$AA$1501,$J1205+1)&amp;"",INDEX('Daily Sale entry '!$P$1:$P$1501,$J1205-1499)&amp;""))</f>
        <v/>
      </c>
      <c r="E1205">
        <f>IF($J1205="","",IF($J1205&lt;=1500,IF(N(INDEX('Daily Sale entry '!$AB$1:$AB$1501,$J1205+1))=0,"",INDEX('Daily Sale entry '!$AB$1:$AB$1501,$J1205+1)),1))</f>
        <v/>
      </c>
      <c r="F1205" s="6">
        <f>IF($J1205="","",IF($J1205&lt;=1500,N(INDEX('Daily Sale entry '!$AC$1:$AC$1501,$J1205+1))-IF(AND('Opening Balance'!$B$15=1,INDEX('Daily Sale entry '!$Z$1:$Z$1501,$J1205+1)="Online collection 网上收款",INDEX('Daily Sale entry '!$AA$1:$AA$1501,$J1205+1)&lt;&gt;""),N(INDEX('Daily Sale entry '!$AC$1:$AC$1501,$J1205+1))-TRUNC(N(INDEX('Daily Sale entry '!$AC$1:$AC$1501,$J1205+1))),0),N(INDEX('Daily Sale entry '!$S$1:$S$1501,$J1205-1499))-'Opening Balance'!$B$15*(N(INDEX('Daily Sale entry '!$S$1:$S$1501,$J1205-1499))-TRUNC(N(INDEX('Daily Sale entry '!$S$1:$S$1501,$J1205-1499))))))</f>
        <v/>
      </c>
      <c r="G1205" s="6">
        <f>IF($J1205="","",IF($J1205&lt;=1500,N(INDEX('Daily Sale entry '!$AD$1:$AD$1501,$J1205+1)),0))</f>
        <v/>
      </c>
      <c r="H1205" s="6">
        <f>IF($J1205="","",ROUND('Opening Balance'!$B$4+SUM($F$2:F1205)-SUM($G$2:G1205),2))</f>
        <v/>
      </c>
      <c r="J1205" s="21">
        <f>IFERROR(MATCH(ROW()-1,$L$2:$L$3001,0),"")</f>
        <v/>
      </c>
      <c r="K1205" s="34">
        <f>IF(AND('Daily Sale entry '!X1205&lt;&gt;"",OR('Daily Sale entry '!AC1205&lt;&gt;"",'Daily Sale entry '!AD1205&lt;&gt;"")),'Daily Sale entry '!X1205+ROW()/10000000,"")</f>
        <v/>
      </c>
      <c r="L1205" s="21">
        <f>IF(K1205="","",COUNTIF($K$2:$K$3001,"&lt;"&amp;K1205)+1)</f>
        <v/>
      </c>
    </row>
    <row r="1206">
      <c r="A1206" s="5">
        <f>IF($J1206="","",IF($J1206&lt;=1500,INDEX('Daily Sale entry '!$X$1:$X$1501,$J1206+1),INDEX('Daily Sale entry '!$V$1:$V$1501,$J1206-1499)))</f>
        <v/>
      </c>
      <c r="B1206">
        <f>IF($J1206="","",IF($J1206&lt;=1500,INDEX('Daily Sale entry '!$Y$1:$Y$1501,$J1206+1)&amp;"","Buyer cheque banked 买家支票存入"&amp;IF(INDEX('Daily Sale entry '!$U$1:$U$1501,$J1206-1499)="","", " - "&amp;INDEX('Daily Sale entry '!$U$1:$U$1501,$J1206-1499))))</f>
        <v/>
      </c>
      <c r="C1206">
        <f>IF($J1206="","",IF($J1206&lt;=1500,INDEX('Daily Sale entry '!$Z$1:$Z$1501,$J1206+1)&amp;"","Cheque deposit 支票存入 (buyer 买家)"))</f>
        <v/>
      </c>
      <c r="D1206">
        <f>IF($J1206="","",IF($J1206&lt;=1500,INDEX('Daily Sale entry '!$AA$1:$AA$1501,$J1206+1)&amp;"",INDEX('Daily Sale entry '!$P$1:$P$1501,$J1206-1499)&amp;""))</f>
        <v/>
      </c>
      <c r="E1206">
        <f>IF($J1206="","",IF($J1206&lt;=1500,IF(N(INDEX('Daily Sale entry '!$AB$1:$AB$1501,$J1206+1))=0,"",INDEX('Daily Sale entry '!$AB$1:$AB$1501,$J1206+1)),1))</f>
        <v/>
      </c>
      <c r="F1206" s="6">
        <f>IF($J1206="","",IF($J1206&lt;=1500,N(INDEX('Daily Sale entry '!$AC$1:$AC$1501,$J1206+1))-IF(AND('Opening Balance'!$B$15=1,INDEX('Daily Sale entry '!$Z$1:$Z$1501,$J1206+1)="Online collection 网上收款",INDEX('Daily Sale entry '!$AA$1:$AA$1501,$J1206+1)&lt;&gt;""),N(INDEX('Daily Sale entry '!$AC$1:$AC$1501,$J1206+1))-TRUNC(N(INDEX('Daily Sale entry '!$AC$1:$AC$1501,$J1206+1))),0),N(INDEX('Daily Sale entry '!$S$1:$S$1501,$J1206-1499))-'Opening Balance'!$B$15*(N(INDEX('Daily Sale entry '!$S$1:$S$1501,$J1206-1499))-TRUNC(N(INDEX('Daily Sale entry '!$S$1:$S$1501,$J1206-1499))))))</f>
        <v/>
      </c>
      <c r="G1206" s="6">
        <f>IF($J1206="","",IF($J1206&lt;=1500,N(INDEX('Daily Sale entry '!$AD$1:$AD$1501,$J1206+1)),0))</f>
        <v/>
      </c>
      <c r="H1206" s="6">
        <f>IF($J1206="","",ROUND('Opening Balance'!$B$4+SUM($F$2:F1206)-SUM($G$2:G1206),2))</f>
        <v/>
      </c>
      <c r="J1206" s="21">
        <f>IFERROR(MATCH(ROW()-1,$L$2:$L$3001,0),"")</f>
        <v/>
      </c>
      <c r="K1206" s="34">
        <f>IF(AND('Daily Sale entry '!X1206&lt;&gt;"",OR('Daily Sale entry '!AC1206&lt;&gt;"",'Daily Sale entry '!AD1206&lt;&gt;"")),'Daily Sale entry '!X1206+ROW()/10000000,"")</f>
        <v/>
      </c>
      <c r="L1206" s="21">
        <f>IF(K1206="","",COUNTIF($K$2:$K$3001,"&lt;"&amp;K1206)+1)</f>
        <v/>
      </c>
    </row>
    <row r="1207">
      <c r="A1207" s="5">
        <f>IF($J1207="","",IF($J1207&lt;=1500,INDEX('Daily Sale entry '!$X$1:$X$1501,$J1207+1),INDEX('Daily Sale entry '!$V$1:$V$1501,$J1207-1499)))</f>
        <v/>
      </c>
      <c r="B1207">
        <f>IF($J1207="","",IF($J1207&lt;=1500,INDEX('Daily Sale entry '!$Y$1:$Y$1501,$J1207+1)&amp;"","Buyer cheque banked 买家支票存入"&amp;IF(INDEX('Daily Sale entry '!$U$1:$U$1501,$J1207-1499)="","", " - "&amp;INDEX('Daily Sale entry '!$U$1:$U$1501,$J1207-1499))))</f>
        <v/>
      </c>
      <c r="C1207">
        <f>IF($J1207="","",IF($J1207&lt;=1500,INDEX('Daily Sale entry '!$Z$1:$Z$1501,$J1207+1)&amp;"","Cheque deposit 支票存入 (buyer 买家)"))</f>
        <v/>
      </c>
      <c r="D1207">
        <f>IF($J1207="","",IF($J1207&lt;=1500,INDEX('Daily Sale entry '!$AA$1:$AA$1501,$J1207+1)&amp;"",INDEX('Daily Sale entry '!$P$1:$P$1501,$J1207-1499)&amp;""))</f>
        <v/>
      </c>
      <c r="E1207">
        <f>IF($J1207="","",IF($J1207&lt;=1500,IF(N(INDEX('Daily Sale entry '!$AB$1:$AB$1501,$J1207+1))=0,"",INDEX('Daily Sale entry '!$AB$1:$AB$1501,$J1207+1)),1))</f>
        <v/>
      </c>
      <c r="F1207" s="6">
        <f>IF($J1207="","",IF($J1207&lt;=1500,N(INDEX('Daily Sale entry '!$AC$1:$AC$1501,$J1207+1))-IF(AND('Opening Balance'!$B$15=1,INDEX('Daily Sale entry '!$Z$1:$Z$1501,$J1207+1)="Online collection 网上收款",INDEX('Daily Sale entry '!$AA$1:$AA$1501,$J1207+1)&lt;&gt;""),N(INDEX('Daily Sale entry '!$AC$1:$AC$1501,$J1207+1))-TRUNC(N(INDEX('Daily Sale entry '!$AC$1:$AC$1501,$J1207+1))),0),N(INDEX('Daily Sale entry '!$S$1:$S$1501,$J1207-1499))-'Opening Balance'!$B$15*(N(INDEX('Daily Sale entry '!$S$1:$S$1501,$J1207-1499))-TRUNC(N(INDEX('Daily Sale entry '!$S$1:$S$1501,$J1207-1499))))))</f>
        <v/>
      </c>
      <c r="G1207" s="6">
        <f>IF($J1207="","",IF($J1207&lt;=1500,N(INDEX('Daily Sale entry '!$AD$1:$AD$1501,$J1207+1)),0))</f>
        <v/>
      </c>
      <c r="H1207" s="6">
        <f>IF($J1207="","",ROUND('Opening Balance'!$B$4+SUM($F$2:F1207)-SUM($G$2:G1207),2))</f>
        <v/>
      </c>
      <c r="J1207" s="21">
        <f>IFERROR(MATCH(ROW()-1,$L$2:$L$3001,0),"")</f>
        <v/>
      </c>
      <c r="K1207" s="34">
        <f>IF(AND('Daily Sale entry '!X1207&lt;&gt;"",OR('Daily Sale entry '!AC1207&lt;&gt;"",'Daily Sale entry '!AD1207&lt;&gt;"")),'Daily Sale entry '!X1207+ROW()/10000000,"")</f>
        <v/>
      </c>
      <c r="L1207" s="21">
        <f>IF(K1207="","",COUNTIF($K$2:$K$3001,"&lt;"&amp;K1207)+1)</f>
        <v/>
      </c>
    </row>
    <row r="1208">
      <c r="A1208" s="5">
        <f>IF($J1208="","",IF($J1208&lt;=1500,INDEX('Daily Sale entry '!$X$1:$X$1501,$J1208+1),INDEX('Daily Sale entry '!$V$1:$V$1501,$J1208-1499)))</f>
        <v/>
      </c>
      <c r="B1208">
        <f>IF($J1208="","",IF($J1208&lt;=1500,INDEX('Daily Sale entry '!$Y$1:$Y$1501,$J1208+1)&amp;"","Buyer cheque banked 买家支票存入"&amp;IF(INDEX('Daily Sale entry '!$U$1:$U$1501,$J1208-1499)="","", " - "&amp;INDEX('Daily Sale entry '!$U$1:$U$1501,$J1208-1499))))</f>
        <v/>
      </c>
      <c r="C1208">
        <f>IF($J1208="","",IF($J1208&lt;=1500,INDEX('Daily Sale entry '!$Z$1:$Z$1501,$J1208+1)&amp;"","Cheque deposit 支票存入 (buyer 买家)"))</f>
        <v/>
      </c>
      <c r="D1208">
        <f>IF($J1208="","",IF($J1208&lt;=1500,INDEX('Daily Sale entry '!$AA$1:$AA$1501,$J1208+1)&amp;"",INDEX('Daily Sale entry '!$P$1:$P$1501,$J1208-1499)&amp;""))</f>
        <v/>
      </c>
      <c r="E1208">
        <f>IF($J1208="","",IF($J1208&lt;=1500,IF(N(INDEX('Daily Sale entry '!$AB$1:$AB$1501,$J1208+1))=0,"",INDEX('Daily Sale entry '!$AB$1:$AB$1501,$J1208+1)),1))</f>
        <v/>
      </c>
      <c r="F1208" s="6">
        <f>IF($J1208="","",IF($J1208&lt;=1500,N(INDEX('Daily Sale entry '!$AC$1:$AC$1501,$J1208+1))-IF(AND('Opening Balance'!$B$15=1,INDEX('Daily Sale entry '!$Z$1:$Z$1501,$J1208+1)="Online collection 网上收款",INDEX('Daily Sale entry '!$AA$1:$AA$1501,$J1208+1)&lt;&gt;""),N(INDEX('Daily Sale entry '!$AC$1:$AC$1501,$J1208+1))-TRUNC(N(INDEX('Daily Sale entry '!$AC$1:$AC$1501,$J1208+1))),0),N(INDEX('Daily Sale entry '!$S$1:$S$1501,$J1208-1499))-'Opening Balance'!$B$15*(N(INDEX('Daily Sale entry '!$S$1:$S$1501,$J1208-1499))-TRUNC(N(INDEX('Daily Sale entry '!$S$1:$S$1501,$J1208-1499))))))</f>
        <v/>
      </c>
      <c r="G1208" s="6">
        <f>IF($J1208="","",IF($J1208&lt;=1500,N(INDEX('Daily Sale entry '!$AD$1:$AD$1501,$J1208+1)),0))</f>
        <v/>
      </c>
      <c r="H1208" s="6">
        <f>IF($J1208="","",ROUND('Opening Balance'!$B$4+SUM($F$2:F1208)-SUM($G$2:G1208),2))</f>
        <v/>
      </c>
      <c r="J1208" s="21">
        <f>IFERROR(MATCH(ROW()-1,$L$2:$L$3001,0),"")</f>
        <v/>
      </c>
      <c r="K1208" s="34">
        <f>IF(AND('Daily Sale entry '!X1208&lt;&gt;"",OR('Daily Sale entry '!AC1208&lt;&gt;"",'Daily Sale entry '!AD1208&lt;&gt;"")),'Daily Sale entry '!X1208+ROW()/10000000,"")</f>
        <v/>
      </c>
      <c r="L1208" s="21">
        <f>IF(K1208="","",COUNTIF($K$2:$K$3001,"&lt;"&amp;K1208)+1)</f>
        <v/>
      </c>
    </row>
    <row r="1209">
      <c r="A1209" s="5">
        <f>IF($J1209="","",IF($J1209&lt;=1500,INDEX('Daily Sale entry '!$X$1:$X$1501,$J1209+1),INDEX('Daily Sale entry '!$V$1:$V$1501,$J1209-1499)))</f>
        <v/>
      </c>
      <c r="B1209">
        <f>IF($J1209="","",IF($J1209&lt;=1500,INDEX('Daily Sale entry '!$Y$1:$Y$1501,$J1209+1)&amp;"","Buyer cheque banked 买家支票存入"&amp;IF(INDEX('Daily Sale entry '!$U$1:$U$1501,$J1209-1499)="","", " - "&amp;INDEX('Daily Sale entry '!$U$1:$U$1501,$J1209-1499))))</f>
        <v/>
      </c>
      <c r="C1209">
        <f>IF($J1209="","",IF($J1209&lt;=1500,INDEX('Daily Sale entry '!$Z$1:$Z$1501,$J1209+1)&amp;"","Cheque deposit 支票存入 (buyer 买家)"))</f>
        <v/>
      </c>
      <c r="D1209">
        <f>IF($J1209="","",IF($J1209&lt;=1500,INDEX('Daily Sale entry '!$AA$1:$AA$1501,$J1209+1)&amp;"",INDEX('Daily Sale entry '!$P$1:$P$1501,$J1209-1499)&amp;""))</f>
        <v/>
      </c>
      <c r="E1209">
        <f>IF($J1209="","",IF($J1209&lt;=1500,IF(N(INDEX('Daily Sale entry '!$AB$1:$AB$1501,$J1209+1))=0,"",INDEX('Daily Sale entry '!$AB$1:$AB$1501,$J1209+1)),1))</f>
        <v/>
      </c>
      <c r="F1209" s="6">
        <f>IF($J1209="","",IF($J1209&lt;=1500,N(INDEX('Daily Sale entry '!$AC$1:$AC$1501,$J1209+1))-IF(AND('Opening Balance'!$B$15=1,INDEX('Daily Sale entry '!$Z$1:$Z$1501,$J1209+1)="Online collection 网上收款",INDEX('Daily Sale entry '!$AA$1:$AA$1501,$J1209+1)&lt;&gt;""),N(INDEX('Daily Sale entry '!$AC$1:$AC$1501,$J1209+1))-TRUNC(N(INDEX('Daily Sale entry '!$AC$1:$AC$1501,$J1209+1))),0),N(INDEX('Daily Sale entry '!$S$1:$S$1501,$J1209-1499))-'Opening Balance'!$B$15*(N(INDEX('Daily Sale entry '!$S$1:$S$1501,$J1209-1499))-TRUNC(N(INDEX('Daily Sale entry '!$S$1:$S$1501,$J1209-1499))))))</f>
        <v/>
      </c>
      <c r="G1209" s="6">
        <f>IF($J1209="","",IF($J1209&lt;=1500,N(INDEX('Daily Sale entry '!$AD$1:$AD$1501,$J1209+1)),0))</f>
        <v/>
      </c>
      <c r="H1209" s="6">
        <f>IF($J1209="","",ROUND('Opening Balance'!$B$4+SUM($F$2:F1209)-SUM($G$2:G1209),2))</f>
        <v/>
      </c>
      <c r="J1209" s="21">
        <f>IFERROR(MATCH(ROW()-1,$L$2:$L$3001,0),"")</f>
        <v/>
      </c>
      <c r="K1209" s="34">
        <f>IF(AND('Daily Sale entry '!X1209&lt;&gt;"",OR('Daily Sale entry '!AC1209&lt;&gt;"",'Daily Sale entry '!AD1209&lt;&gt;"")),'Daily Sale entry '!X1209+ROW()/10000000,"")</f>
        <v/>
      </c>
      <c r="L1209" s="21">
        <f>IF(K1209="","",COUNTIF($K$2:$K$3001,"&lt;"&amp;K1209)+1)</f>
        <v/>
      </c>
    </row>
    <row r="1210">
      <c r="A1210" s="5">
        <f>IF($J1210="","",IF($J1210&lt;=1500,INDEX('Daily Sale entry '!$X$1:$X$1501,$J1210+1),INDEX('Daily Sale entry '!$V$1:$V$1501,$J1210-1499)))</f>
        <v/>
      </c>
      <c r="B1210">
        <f>IF($J1210="","",IF($J1210&lt;=1500,INDEX('Daily Sale entry '!$Y$1:$Y$1501,$J1210+1)&amp;"","Buyer cheque banked 买家支票存入"&amp;IF(INDEX('Daily Sale entry '!$U$1:$U$1501,$J1210-1499)="","", " - "&amp;INDEX('Daily Sale entry '!$U$1:$U$1501,$J1210-1499))))</f>
        <v/>
      </c>
      <c r="C1210">
        <f>IF($J1210="","",IF($J1210&lt;=1500,INDEX('Daily Sale entry '!$Z$1:$Z$1501,$J1210+1)&amp;"","Cheque deposit 支票存入 (buyer 买家)"))</f>
        <v/>
      </c>
      <c r="D1210">
        <f>IF($J1210="","",IF($J1210&lt;=1500,INDEX('Daily Sale entry '!$AA$1:$AA$1501,$J1210+1)&amp;"",INDEX('Daily Sale entry '!$P$1:$P$1501,$J1210-1499)&amp;""))</f>
        <v/>
      </c>
      <c r="E1210">
        <f>IF($J1210="","",IF($J1210&lt;=1500,IF(N(INDEX('Daily Sale entry '!$AB$1:$AB$1501,$J1210+1))=0,"",INDEX('Daily Sale entry '!$AB$1:$AB$1501,$J1210+1)),1))</f>
        <v/>
      </c>
      <c r="F1210" s="6">
        <f>IF($J1210="","",IF($J1210&lt;=1500,N(INDEX('Daily Sale entry '!$AC$1:$AC$1501,$J1210+1))-IF(AND('Opening Balance'!$B$15=1,INDEX('Daily Sale entry '!$Z$1:$Z$1501,$J1210+1)="Online collection 网上收款",INDEX('Daily Sale entry '!$AA$1:$AA$1501,$J1210+1)&lt;&gt;""),N(INDEX('Daily Sale entry '!$AC$1:$AC$1501,$J1210+1))-TRUNC(N(INDEX('Daily Sale entry '!$AC$1:$AC$1501,$J1210+1))),0),N(INDEX('Daily Sale entry '!$S$1:$S$1501,$J1210-1499))-'Opening Balance'!$B$15*(N(INDEX('Daily Sale entry '!$S$1:$S$1501,$J1210-1499))-TRUNC(N(INDEX('Daily Sale entry '!$S$1:$S$1501,$J1210-1499))))))</f>
        <v/>
      </c>
      <c r="G1210" s="6">
        <f>IF($J1210="","",IF($J1210&lt;=1500,N(INDEX('Daily Sale entry '!$AD$1:$AD$1501,$J1210+1)),0))</f>
        <v/>
      </c>
      <c r="H1210" s="6">
        <f>IF($J1210="","",ROUND('Opening Balance'!$B$4+SUM($F$2:F1210)-SUM($G$2:G1210),2))</f>
        <v/>
      </c>
      <c r="J1210" s="21">
        <f>IFERROR(MATCH(ROW()-1,$L$2:$L$3001,0),"")</f>
        <v/>
      </c>
      <c r="K1210" s="34">
        <f>IF(AND('Daily Sale entry '!X1210&lt;&gt;"",OR('Daily Sale entry '!AC1210&lt;&gt;"",'Daily Sale entry '!AD1210&lt;&gt;"")),'Daily Sale entry '!X1210+ROW()/10000000,"")</f>
        <v/>
      </c>
      <c r="L1210" s="21">
        <f>IF(K1210="","",COUNTIF($K$2:$K$3001,"&lt;"&amp;K1210)+1)</f>
        <v/>
      </c>
    </row>
    <row r="1211">
      <c r="A1211" s="5">
        <f>IF($J1211="","",IF($J1211&lt;=1500,INDEX('Daily Sale entry '!$X$1:$X$1501,$J1211+1),INDEX('Daily Sale entry '!$V$1:$V$1501,$J1211-1499)))</f>
        <v/>
      </c>
      <c r="B1211">
        <f>IF($J1211="","",IF($J1211&lt;=1500,INDEX('Daily Sale entry '!$Y$1:$Y$1501,$J1211+1)&amp;"","Buyer cheque banked 买家支票存入"&amp;IF(INDEX('Daily Sale entry '!$U$1:$U$1501,$J1211-1499)="","", " - "&amp;INDEX('Daily Sale entry '!$U$1:$U$1501,$J1211-1499))))</f>
        <v/>
      </c>
      <c r="C1211">
        <f>IF($J1211="","",IF($J1211&lt;=1500,INDEX('Daily Sale entry '!$Z$1:$Z$1501,$J1211+1)&amp;"","Cheque deposit 支票存入 (buyer 买家)"))</f>
        <v/>
      </c>
      <c r="D1211">
        <f>IF($J1211="","",IF($J1211&lt;=1500,INDEX('Daily Sale entry '!$AA$1:$AA$1501,$J1211+1)&amp;"",INDEX('Daily Sale entry '!$P$1:$P$1501,$J1211-1499)&amp;""))</f>
        <v/>
      </c>
      <c r="E1211">
        <f>IF($J1211="","",IF($J1211&lt;=1500,IF(N(INDEX('Daily Sale entry '!$AB$1:$AB$1501,$J1211+1))=0,"",INDEX('Daily Sale entry '!$AB$1:$AB$1501,$J1211+1)),1))</f>
        <v/>
      </c>
      <c r="F1211" s="6">
        <f>IF($J1211="","",IF($J1211&lt;=1500,N(INDEX('Daily Sale entry '!$AC$1:$AC$1501,$J1211+1))-IF(AND('Opening Balance'!$B$15=1,INDEX('Daily Sale entry '!$Z$1:$Z$1501,$J1211+1)="Online collection 网上收款",INDEX('Daily Sale entry '!$AA$1:$AA$1501,$J1211+1)&lt;&gt;""),N(INDEX('Daily Sale entry '!$AC$1:$AC$1501,$J1211+1))-TRUNC(N(INDEX('Daily Sale entry '!$AC$1:$AC$1501,$J1211+1))),0),N(INDEX('Daily Sale entry '!$S$1:$S$1501,$J1211-1499))-'Opening Balance'!$B$15*(N(INDEX('Daily Sale entry '!$S$1:$S$1501,$J1211-1499))-TRUNC(N(INDEX('Daily Sale entry '!$S$1:$S$1501,$J1211-1499))))))</f>
        <v/>
      </c>
      <c r="G1211" s="6">
        <f>IF($J1211="","",IF($J1211&lt;=1500,N(INDEX('Daily Sale entry '!$AD$1:$AD$1501,$J1211+1)),0))</f>
        <v/>
      </c>
      <c r="H1211" s="6">
        <f>IF($J1211="","",ROUND('Opening Balance'!$B$4+SUM($F$2:F1211)-SUM($G$2:G1211),2))</f>
        <v/>
      </c>
      <c r="J1211" s="21">
        <f>IFERROR(MATCH(ROW()-1,$L$2:$L$3001,0),"")</f>
        <v/>
      </c>
      <c r="K1211" s="34">
        <f>IF(AND('Daily Sale entry '!X1211&lt;&gt;"",OR('Daily Sale entry '!AC1211&lt;&gt;"",'Daily Sale entry '!AD1211&lt;&gt;"")),'Daily Sale entry '!X1211+ROW()/10000000,"")</f>
        <v/>
      </c>
      <c r="L1211" s="21">
        <f>IF(K1211="","",COUNTIF($K$2:$K$3001,"&lt;"&amp;K1211)+1)</f>
        <v/>
      </c>
    </row>
    <row r="1212">
      <c r="A1212" s="5">
        <f>IF($J1212="","",IF($J1212&lt;=1500,INDEX('Daily Sale entry '!$X$1:$X$1501,$J1212+1),INDEX('Daily Sale entry '!$V$1:$V$1501,$J1212-1499)))</f>
        <v/>
      </c>
      <c r="B1212">
        <f>IF($J1212="","",IF($J1212&lt;=1500,INDEX('Daily Sale entry '!$Y$1:$Y$1501,$J1212+1)&amp;"","Buyer cheque banked 买家支票存入"&amp;IF(INDEX('Daily Sale entry '!$U$1:$U$1501,$J1212-1499)="","", " - "&amp;INDEX('Daily Sale entry '!$U$1:$U$1501,$J1212-1499))))</f>
        <v/>
      </c>
      <c r="C1212">
        <f>IF($J1212="","",IF($J1212&lt;=1500,INDEX('Daily Sale entry '!$Z$1:$Z$1501,$J1212+1)&amp;"","Cheque deposit 支票存入 (buyer 买家)"))</f>
        <v/>
      </c>
      <c r="D1212">
        <f>IF($J1212="","",IF($J1212&lt;=1500,INDEX('Daily Sale entry '!$AA$1:$AA$1501,$J1212+1)&amp;"",INDEX('Daily Sale entry '!$P$1:$P$1501,$J1212-1499)&amp;""))</f>
        <v/>
      </c>
      <c r="E1212">
        <f>IF($J1212="","",IF($J1212&lt;=1500,IF(N(INDEX('Daily Sale entry '!$AB$1:$AB$1501,$J1212+1))=0,"",INDEX('Daily Sale entry '!$AB$1:$AB$1501,$J1212+1)),1))</f>
        <v/>
      </c>
      <c r="F1212" s="6">
        <f>IF($J1212="","",IF($J1212&lt;=1500,N(INDEX('Daily Sale entry '!$AC$1:$AC$1501,$J1212+1))-IF(AND('Opening Balance'!$B$15=1,INDEX('Daily Sale entry '!$Z$1:$Z$1501,$J1212+1)="Online collection 网上收款",INDEX('Daily Sale entry '!$AA$1:$AA$1501,$J1212+1)&lt;&gt;""),N(INDEX('Daily Sale entry '!$AC$1:$AC$1501,$J1212+1))-TRUNC(N(INDEX('Daily Sale entry '!$AC$1:$AC$1501,$J1212+1))),0),N(INDEX('Daily Sale entry '!$S$1:$S$1501,$J1212-1499))-'Opening Balance'!$B$15*(N(INDEX('Daily Sale entry '!$S$1:$S$1501,$J1212-1499))-TRUNC(N(INDEX('Daily Sale entry '!$S$1:$S$1501,$J1212-1499))))))</f>
        <v/>
      </c>
      <c r="G1212" s="6">
        <f>IF($J1212="","",IF($J1212&lt;=1500,N(INDEX('Daily Sale entry '!$AD$1:$AD$1501,$J1212+1)),0))</f>
        <v/>
      </c>
      <c r="H1212" s="6">
        <f>IF($J1212="","",ROUND('Opening Balance'!$B$4+SUM($F$2:F1212)-SUM($G$2:G1212),2))</f>
        <v/>
      </c>
      <c r="J1212" s="21">
        <f>IFERROR(MATCH(ROW()-1,$L$2:$L$3001,0),"")</f>
        <v/>
      </c>
      <c r="K1212" s="34">
        <f>IF(AND('Daily Sale entry '!X1212&lt;&gt;"",OR('Daily Sale entry '!AC1212&lt;&gt;"",'Daily Sale entry '!AD1212&lt;&gt;"")),'Daily Sale entry '!X1212+ROW()/10000000,"")</f>
        <v/>
      </c>
      <c r="L1212" s="21">
        <f>IF(K1212="","",COUNTIF($K$2:$K$3001,"&lt;"&amp;K1212)+1)</f>
        <v/>
      </c>
    </row>
    <row r="1213">
      <c r="A1213" s="5">
        <f>IF($J1213="","",IF($J1213&lt;=1500,INDEX('Daily Sale entry '!$X$1:$X$1501,$J1213+1),INDEX('Daily Sale entry '!$V$1:$V$1501,$J1213-1499)))</f>
        <v/>
      </c>
      <c r="B1213">
        <f>IF($J1213="","",IF($J1213&lt;=1500,INDEX('Daily Sale entry '!$Y$1:$Y$1501,$J1213+1)&amp;"","Buyer cheque banked 买家支票存入"&amp;IF(INDEX('Daily Sale entry '!$U$1:$U$1501,$J1213-1499)="","", " - "&amp;INDEX('Daily Sale entry '!$U$1:$U$1501,$J1213-1499))))</f>
        <v/>
      </c>
      <c r="C1213">
        <f>IF($J1213="","",IF($J1213&lt;=1500,INDEX('Daily Sale entry '!$Z$1:$Z$1501,$J1213+1)&amp;"","Cheque deposit 支票存入 (buyer 买家)"))</f>
        <v/>
      </c>
      <c r="D1213">
        <f>IF($J1213="","",IF($J1213&lt;=1500,INDEX('Daily Sale entry '!$AA$1:$AA$1501,$J1213+1)&amp;"",INDEX('Daily Sale entry '!$P$1:$P$1501,$J1213-1499)&amp;""))</f>
        <v/>
      </c>
      <c r="E1213">
        <f>IF($J1213="","",IF($J1213&lt;=1500,IF(N(INDEX('Daily Sale entry '!$AB$1:$AB$1501,$J1213+1))=0,"",INDEX('Daily Sale entry '!$AB$1:$AB$1501,$J1213+1)),1))</f>
        <v/>
      </c>
      <c r="F1213" s="6">
        <f>IF($J1213="","",IF($J1213&lt;=1500,N(INDEX('Daily Sale entry '!$AC$1:$AC$1501,$J1213+1))-IF(AND('Opening Balance'!$B$15=1,INDEX('Daily Sale entry '!$Z$1:$Z$1501,$J1213+1)="Online collection 网上收款",INDEX('Daily Sale entry '!$AA$1:$AA$1501,$J1213+1)&lt;&gt;""),N(INDEX('Daily Sale entry '!$AC$1:$AC$1501,$J1213+1))-TRUNC(N(INDEX('Daily Sale entry '!$AC$1:$AC$1501,$J1213+1))),0),N(INDEX('Daily Sale entry '!$S$1:$S$1501,$J1213-1499))-'Opening Balance'!$B$15*(N(INDEX('Daily Sale entry '!$S$1:$S$1501,$J1213-1499))-TRUNC(N(INDEX('Daily Sale entry '!$S$1:$S$1501,$J1213-1499))))))</f>
        <v/>
      </c>
      <c r="G1213" s="6">
        <f>IF($J1213="","",IF($J1213&lt;=1500,N(INDEX('Daily Sale entry '!$AD$1:$AD$1501,$J1213+1)),0))</f>
        <v/>
      </c>
      <c r="H1213" s="6">
        <f>IF($J1213="","",ROUND('Opening Balance'!$B$4+SUM($F$2:F1213)-SUM($G$2:G1213),2))</f>
        <v/>
      </c>
      <c r="J1213" s="21">
        <f>IFERROR(MATCH(ROW()-1,$L$2:$L$3001,0),"")</f>
        <v/>
      </c>
      <c r="K1213" s="34">
        <f>IF(AND('Daily Sale entry '!X1213&lt;&gt;"",OR('Daily Sale entry '!AC1213&lt;&gt;"",'Daily Sale entry '!AD1213&lt;&gt;"")),'Daily Sale entry '!X1213+ROW()/10000000,"")</f>
        <v/>
      </c>
      <c r="L1213" s="21">
        <f>IF(K1213="","",COUNTIF($K$2:$K$3001,"&lt;"&amp;K1213)+1)</f>
        <v/>
      </c>
    </row>
    <row r="1214">
      <c r="A1214" s="5">
        <f>IF($J1214="","",IF($J1214&lt;=1500,INDEX('Daily Sale entry '!$X$1:$X$1501,$J1214+1),INDEX('Daily Sale entry '!$V$1:$V$1501,$J1214-1499)))</f>
        <v/>
      </c>
      <c r="B1214">
        <f>IF($J1214="","",IF($J1214&lt;=1500,INDEX('Daily Sale entry '!$Y$1:$Y$1501,$J1214+1)&amp;"","Buyer cheque banked 买家支票存入"&amp;IF(INDEX('Daily Sale entry '!$U$1:$U$1501,$J1214-1499)="","", " - "&amp;INDEX('Daily Sale entry '!$U$1:$U$1501,$J1214-1499))))</f>
        <v/>
      </c>
      <c r="C1214">
        <f>IF($J1214="","",IF($J1214&lt;=1500,INDEX('Daily Sale entry '!$Z$1:$Z$1501,$J1214+1)&amp;"","Cheque deposit 支票存入 (buyer 买家)"))</f>
        <v/>
      </c>
      <c r="D1214">
        <f>IF($J1214="","",IF($J1214&lt;=1500,INDEX('Daily Sale entry '!$AA$1:$AA$1501,$J1214+1)&amp;"",INDEX('Daily Sale entry '!$P$1:$P$1501,$J1214-1499)&amp;""))</f>
        <v/>
      </c>
      <c r="E1214">
        <f>IF($J1214="","",IF($J1214&lt;=1500,IF(N(INDEX('Daily Sale entry '!$AB$1:$AB$1501,$J1214+1))=0,"",INDEX('Daily Sale entry '!$AB$1:$AB$1501,$J1214+1)),1))</f>
        <v/>
      </c>
      <c r="F1214" s="6">
        <f>IF($J1214="","",IF($J1214&lt;=1500,N(INDEX('Daily Sale entry '!$AC$1:$AC$1501,$J1214+1))-IF(AND('Opening Balance'!$B$15=1,INDEX('Daily Sale entry '!$Z$1:$Z$1501,$J1214+1)="Online collection 网上收款",INDEX('Daily Sale entry '!$AA$1:$AA$1501,$J1214+1)&lt;&gt;""),N(INDEX('Daily Sale entry '!$AC$1:$AC$1501,$J1214+1))-TRUNC(N(INDEX('Daily Sale entry '!$AC$1:$AC$1501,$J1214+1))),0),N(INDEX('Daily Sale entry '!$S$1:$S$1501,$J1214-1499))-'Opening Balance'!$B$15*(N(INDEX('Daily Sale entry '!$S$1:$S$1501,$J1214-1499))-TRUNC(N(INDEX('Daily Sale entry '!$S$1:$S$1501,$J1214-1499))))))</f>
        <v/>
      </c>
      <c r="G1214" s="6">
        <f>IF($J1214="","",IF($J1214&lt;=1500,N(INDEX('Daily Sale entry '!$AD$1:$AD$1501,$J1214+1)),0))</f>
        <v/>
      </c>
      <c r="H1214" s="6">
        <f>IF($J1214="","",ROUND('Opening Balance'!$B$4+SUM($F$2:F1214)-SUM($G$2:G1214),2))</f>
        <v/>
      </c>
      <c r="J1214" s="21">
        <f>IFERROR(MATCH(ROW()-1,$L$2:$L$3001,0),"")</f>
        <v/>
      </c>
      <c r="K1214" s="34">
        <f>IF(AND('Daily Sale entry '!X1214&lt;&gt;"",OR('Daily Sale entry '!AC1214&lt;&gt;"",'Daily Sale entry '!AD1214&lt;&gt;"")),'Daily Sale entry '!X1214+ROW()/10000000,"")</f>
        <v/>
      </c>
      <c r="L1214" s="21">
        <f>IF(K1214="","",COUNTIF($K$2:$K$3001,"&lt;"&amp;K1214)+1)</f>
        <v/>
      </c>
    </row>
    <row r="1215">
      <c r="A1215" s="5">
        <f>IF($J1215="","",IF($J1215&lt;=1500,INDEX('Daily Sale entry '!$X$1:$X$1501,$J1215+1),INDEX('Daily Sale entry '!$V$1:$V$1501,$J1215-1499)))</f>
        <v/>
      </c>
      <c r="B1215">
        <f>IF($J1215="","",IF($J1215&lt;=1500,INDEX('Daily Sale entry '!$Y$1:$Y$1501,$J1215+1)&amp;"","Buyer cheque banked 买家支票存入"&amp;IF(INDEX('Daily Sale entry '!$U$1:$U$1501,$J1215-1499)="","", " - "&amp;INDEX('Daily Sale entry '!$U$1:$U$1501,$J1215-1499))))</f>
        <v/>
      </c>
      <c r="C1215">
        <f>IF($J1215="","",IF($J1215&lt;=1500,INDEX('Daily Sale entry '!$Z$1:$Z$1501,$J1215+1)&amp;"","Cheque deposit 支票存入 (buyer 买家)"))</f>
        <v/>
      </c>
      <c r="D1215">
        <f>IF($J1215="","",IF($J1215&lt;=1500,INDEX('Daily Sale entry '!$AA$1:$AA$1501,$J1215+1)&amp;"",INDEX('Daily Sale entry '!$P$1:$P$1501,$J1215-1499)&amp;""))</f>
        <v/>
      </c>
      <c r="E1215">
        <f>IF($J1215="","",IF($J1215&lt;=1500,IF(N(INDEX('Daily Sale entry '!$AB$1:$AB$1501,$J1215+1))=0,"",INDEX('Daily Sale entry '!$AB$1:$AB$1501,$J1215+1)),1))</f>
        <v/>
      </c>
      <c r="F1215" s="6">
        <f>IF($J1215="","",IF($J1215&lt;=1500,N(INDEX('Daily Sale entry '!$AC$1:$AC$1501,$J1215+1))-IF(AND('Opening Balance'!$B$15=1,INDEX('Daily Sale entry '!$Z$1:$Z$1501,$J1215+1)="Online collection 网上收款",INDEX('Daily Sale entry '!$AA$1:$AA$1501,$J1215+1)&lt;&gt;""),N(INDEX('Daily Sale entry '!$AC$1:$AC$1501,$J1215+1))-TRUNC(N(INDEX('Daily Sale entry '!$AC$1:$AC$1501,$J1215+1))),0),N(INDEX('Daily Sale entry '!$S$1:$S$1501,$J1215-1499))-'Opening Balance'!$B$15*(N(INDEX('Daily Sale entry '!$S$1:$S$1501,$J1215-1499))-TRUNC(N(INDEX('Daily Sale entry '!$S$1:$S$1501,$J1215-1499))))))</f>
        <v/>
      </c>
      <c r="G1215" s="6">
        <f>IF($J1215="","",IF($J1215&lt;=1500,N(INDEX('Daily Sale entry '!$AD$1:$AD$1501,$J1215+1)),0))</f>
        <v/>
      </c>
      <c r="H1215" s="6">
        <f>IF($J1215="","",ROUND('Opening Balance'!$B$4+SUM($F$2:F1215)-SUM($G$2:G1215),2))</f>
        <v/>
      </c>
      <c r="J1215" s="21">
        <f>IFERROR(MATCH(ROW()-1,$L$2:$L$3001,0),"")</f>
        <v/>
      </c>
      <c r="K1215" s="34">
        <f>IF(AND('Daily Sale entry '!X1215&lt;&gt;"",OR('Daily Sale entry '!AC1215&lt;&gt;"",'Daily Sale entry '!AD1215&lt;&gt;"")),'Daily Sale entry '!X1215+ROW()/10000000,"")</f>
        <v/>
      </c>
      <c r="L1215" s="21">
        <f>IF(K1215="","",COUNTIF($K$2:$K$3001,"&lt;"&amp;K1215)+1)</f>
        <v/>
      </c>
    </row>
    <row r="1216">
      <c r="A1216" s="5">
        <f>IF($J1216="","",IF($J1216&lt;=1500,INDEX('Daily Sale entry '!$X$1:$X$1501,$J1216+1),INDEX('Daily Sale entry '!$V$1:$V$1501,$J1216-1499)))</f>
        <v/>
      </c>
      <c r="B1216">
        <f>IF($J1216="","",IF($J1216&lt;=1500,INDEX('Daily Sale entry '!$Y$1:$Y$1501,$J1216+1)&amp;"","Buyer cheque banked 买家支票存入"&amp;IF(INDEX('Daily Sale entry '!$U$1:$U$1501,$J1216-1499)="","", " - "&amp;INDEX('Daily Sale entry '!$U$1:$U$1501,$J1216-1499))))</f>
        <v/>
      </c>
      <c r="C1216">
        <f>IF($J1216="","",IF($J1216&lt;=1500,INDEX('Daily Sale entry '!$Z$1:$Z$1501,$J1216+1)&amp;"","Cheque deposit 支票存入 (buyer 买家)"))</f>
        <v/>
      </c>
      <c r="D1216">
        <f>IF($J1216="","",IF($J1216&lt;=1500,INDEX('Daily Sale entry '!$AA$1:$AA$1501,$J1216+1)&amp;"",INDEX('Daily Sale entry '!$P$1:$P$1501,$J1216-1499)&amp;""))</f>
        <v/>
      </c>
      <c r="E1216">
        <f>IF($J1216="","",IF($J1216&lt;=1500,IF(N(INDEX('Daily Sale entry '!$AB$1:$AB$1501,$J1216+1))=0,"",INDEX('Daily Sale entry '!$AB$1:$AB$1501,$J1216+1)),1))</f>
        <v/>
      </c>
      <c r="F1216" s="6">
        <f>IF($J1216="","",IF($J1216&lt;=1500,N(INDEX('Daily Sale entry '!$AC$1:$AC$1501,$J1216+1))-IF(AND('Opening Balance'!$B$15=1,INDEX('Daily Sale entry '!$Z$1:$Z$1501,$J1216+1)="Online collection 网上收款",INDEX('Daily Sale entry '!$AA$1:$AA$1501,$J1216+1)&lt;&gt;""),N(INDEX('Daily Sale entry '!$AC$1:$AC$1501,$J1216+1))-TRUNC(N(INDEX('Daily Sale entry '!$AC$1:$AC$1501,$J1216+1))),0),N(INDEX('Daily Sale entry '!$S$1:$S$1501,$J1216-1499))-'Opening Balance'!$B$15*(N(INDEX('Daily Sale entry '!$S$1:$S$1501,$J1216-1499))-TRUNC(N(INDEX('Daily Sale entry '!$S$1:$S$1501,$J1216-1499))))))</f>
        <v/>
      </c>
      <c r="G1216" s="6">
        <f>IF($J1216="","",IF($J1216&lt;=1500,N(INDEX('Daily Sale entry '!$AD$1:$AD$1501,$J1216+1)),0))</f>
        <v/>
      </c>
      <c r="H1216" s="6">
        <f>IF($J1216="","",ROUND('Opening Balance'!$B$4+SUM($F$2:F1216)-SUM($G$2:G1216),2))</f>
        <v/>
      </c>
      <c r="J1216" s="21">
        <f>IFERROR(MATCH(ROW()-1,$L$2:$L$3001,0),"")</f>
        <v/>
      </c>
      <c r="K1216" s="34">
        <f>IF(AND('Daily Sale entry '!X1216&lt;&gt;"",OR('Daily Sale entry '!AC1216&lt;&gt;"",'Daily Sale entry '!AD1216&lt;&gt;"")),'Daily Sale entry '!X1216+ROW()/10000000,"")</f>
        <v/>
      </c>
      <c r="L1216" s="21">
        <f>IF(K1216="","",COUNTIF($K$2:$K$3001,"&lt;"&amp;K1216)+1)</f>
        <v/>
      </c>
    </row>
    <row r="1217">
      <c r="A1217" s="5">
        <f>IF($J1217="","",IF($J1217&lt;=1500,INDEX('Daily Sale entry '!$X$1:$X$1501,$J1217+1),INDEX('Daily Sale entry '!$V$1:$V$1501,$J1217-1499)))</f>
        <v/>
      </c>
      <c r="B1217">
        <f>IF($J1217="","",IF($J1217&lt;=1500,INDEX('Daily Sale entry '!$Y$1:$Y$1501,$J1217+1)&amp;"","Buyer cheque banked 买家支票存入"&amp;IF(INDEX('Daily Sale entry '!$U$1:$U$1501,$J1217-1499)="","", " - "&amp;INDEX('Daily Sale entry '!$U$1:$U$1501,$J1217-1499))))</f>
        <v/>
      </c>
      <c r="C1217">
        <f>IF($J1217="","",IF($J1217&lt;=1500,INDEX('Daily Sale entry '!$Z$1:$Z$1501,$J1217+1)&amp;"","Cheque deposit 支票存入 (buyer 买家)"))</f>
        <v/>
      </c>
      <c r="D1217">
        <f>IF($J1217="","",IF($J1217&lt;=1500,INDEX('Daily Sale entry '!$AA$1:$AA$1501,$J1217+1)&amp;"",INDEX('Daily Sale entry '!$P$1:$P$1501,$J1217-1499)&amp;""))</f>
        <v/>
      </c>
      <c r="E1217">
        <f>IF($J1217="","",IF($J1217&lt;=1500,IF(N(INDEX('Daily Sale entry '!$AB$1:$AB$1501,$J1217+1))=0,"",INDEX('Daily Sale entry '!$AB$1:$AB$1501,$J1217+1)),1))</f>
        <v/>
      </c>
      <c r="F1217" s="6">
        <f>IF($J1217="","",IF($J1217&lt;=1500,N(INDEX('Daily Sale entry '!$AC$1:$AC$1501,$J1217+1))-IF(AND('Opening Balance'!$B$15=1,INDEX('Daily Sale entry '!$Z$1:$Z$1501,$J1217+1)="Online collection 网上收款",INDEX('Daily Sale entry '!$AA$1:$AA$1501,$J1217+1)&lt;&gt;""),N(INDEX('Daily Sale entry '!$AC$1:$AC$1501,$J1217+1))-TRUNC(N(INDEX('Daily Sale entry '!$AC$1:$AC$1501,$J1217+1))),0),N(INDEX('Daily Sale entry '!$S$1:$S$1501,$J1217-1499))-'Opening Balance'!$B$15*(N(INDEX('Daily Sale entry '!$S$1:$S$1501,$J1217-1499))-TRUNC(N(INDEX('Daily Sale entry '!$S$1:$S$1501,$J1217-1499))))))</f>
        <v/>
      </c>
      <c r="G1217" s="6">
        <f>IF($J1217="","",IF($J1217&lt;=1500,N(INDEX('Daily Sale entry '!$AD$1:$AD$1501,$J1217+1)),0))</f>
        <v/>
      </c>
      <c r="H1217" s="6">
        <f>IF($J1217="","",ROUND('Opening Balance'!$B$4+SUM($F$2:F1217)-SUM($G$2:G1217),2))</f>
        <v/>
      </c>
      <c r="J1217" s="21">
        <f>IFERROR(MATCH(ROW()-1,$L$2:$L$3001,0),"")</f>
        <v/>
      </c>
      <c r="K1217" s="34">
        <f>IF(AND('Daily Sale entry '!X1217&lt;&gt;"",OR('Daily Sale entry '!AC1217&lt;&gt;"",'Daily Sale entry '!AD1217&lt;&gt;"")),'Daily Sale entry '!X1217+ROW()/10000000,"")</f>
        <v/>
      </c>
      <c r="L1217" s="21">
        <f>IF(K1217="","",COUNTIF($K$2:$K$3001,"&lt;"&amp;K1217)+1)</f>
        <v/>
      </c>
    </row>
    <row r="1218">
      <c r="A1218" s="5">
        <f>IF($J1218="","",IF($J1218&lt;=1500,INDEX('Daily Sale entry '!$X$1:$X$1501,$J1218+1),INDEX('Daily Sale entry '!$V$1:$V$1501,$J1218-1499)))</f>
        <v/>
      </c>
      <c r="B1218">
        <f>IF($J1218="","",IF($J1218&lt;=1500,INDEX('Daily Sale entry '!$Y$1:$Y$1501,$J1218+1)&amp;"","Buyer cheque banked 买家支票存入"&amp;IF(INDEX('Daily Sale entry '!$U$1:$U$1501,$J1218-1499)="","", " - "&amp;INDEX('Daily Sale entry '!$U$1:$U$1501,$J1218-1499))))</f>
        <v/>
      </c>
      <c r="C1218">
        <f>IF($J1218="","",IF($J1218&lt;=1500,INDEX('Daily Sale entry '!$Z$1:$Z$1501,$J1218+1)&amp;"","Cheque deposit 支票存入 (buyer 买家)"))</f>
        <v/>
      </c>
      <c r="D1218">
        <f>IF($J1218="","",IF($J1218&lt;=1500,INDEX('Daily Sale entry '!$AA$1:$AA$1501,$J1218+1)&amp;"",INDEX('Daily Sale entry '!$P$1:$P$1501,$J1218-1499)&amp;""))</f>
        <v/>
      </c>
      <c r="E1218">
        <f>IF($J1218="","",IF($J1218&lt;=1500,IF(N(INDEX('Daily Sale entry '!$AB$1:$AB$1501,$J1218+1))=0,"",INDEX('Daily Sale entry '!$AB$1:$AB$1501,$J1218+1)),1))</f>
        <v/>
      </c>
      <c r="F1218" s="6">
        <f>IF($J1218="","",IF($J1218&lt;=1500,N(INDEX('Daily Sale entry '!$AC$1:$AC$1501,$J1218+1))-IF(AND('Opening Balance'!$B$15=1,INDEX('Daily Sale entry '!$Z$1:$Z$1501,$J1218+1)="Online collection 网上收款",INDEX('Daily Sale entry '!$AA$1:$AA$1501,$J1218+1)&lt;&gt;""),N(INDEX('Daily Sale entry '!$AC$1:$AC$1501,$J1218+1))-TRUNC(N(INDEX('Daily Sale entry '!$AC$1:$AC$1501,$J1218+1))),0),N(INDEX('Daily Sale entry '!$S$1:$S$1501,$J1218-1499))-'Opening Balance'!$B$15*(N(INDEX('Daily Sale entry '!$S$1:$S$1501,$J1218-1499))-TRUNC(N(INDEX('Daily Sale entry '!$S$1:$S$1501,$J1218-1499))))))</f>
        <v/>
      </c>
      <c r="G1218" s="6">
        <f>IF($J1218="","",IF($J1218&lt;=1500,N(INDEX('Daily Sale entry '!$AD$1:$AD$1501,$J1218+1)),0))</f>
        <v/>
      </c>
      <c r="H1218" s="6">
        <f>IF($J1218="","",ROUND('Opening Balance'!$B$4+SUM($F$2:F1218)-SUM($G$2:G1218),2))</f>
        <v/>
      </c>
      <c r="J1218" s="21">
        <f>IFERROR(MATCH(ROW()-1,$L$2:$L$3001,0),"")</f>
        <v/>
      </c>
      <c r="K1218" s="34">
        <f>IF(AND('Daily Sale entry '!X1218&lt;&gt;"",OR('Daily Sale entry '!AC1218&lt;&gt;"",'Daily Sale entry '!AD1218&lt;&gt;"")),'Daily Sale entry '!X1218+ROW()/10000000,"")</f>
        <v/>
      </c>
      <c r="L1218" s="21">
        <f>IF(K1218="","",COUNTIF($K$2:$K$3001,"&lt;"&amp;K1218)+1)</f>
        <v/>
      </c>
    </row>
    <row r="1219">
      <c r="A1219" s="5">
        <f>IF($J1219="","",IF($J1219&lt;=1500,INDEX('Daily Sale entry '!$X$1:$X$1501,$J1219+1),INDEX('Daily Sale entry '!$V$1:$V$1501,$J1219-1499)))</f>
        <v/>
      </c>
      <c r="B1219">
        <f>IF($J1219="","",IF($J1219&lt;=1500,INDEX('Daily Sale entry '!$Y$1:$Y$1501,$J1219+1)&amp;"","Buyer cheque banked 买家支票存入"&amp;IF(INDEX('Daily Sale entry '!$U$1:$U$1501,$J1219-1499)="","", " - "&amp;INDEX('Daily Sale entry '!$U$1:$U$1501,$J1219-1499))))</f>
        <v/>
      </c>
      <c r="C1219">
        <f>IF($J1219="","",IF($J1219&lt;=1500,INDEX('Daily Sale entry '!$Z$1:$Z$1501,$J1219+1)&amp;"","Cheque deposit 支票存入 (buyer 买家)"))</f>
        <v/>
      </c>
      <c r="D1219">
        <f>IF($J1219="","",IF($J1219&lt;=1500,INDEX('Daily Sale entry '!$AA$1:$AA$1501,$J1219+1)&amp;"",INDEX('Daily Sale entry '!$P$1:$P$1501,$J1219-1499)&amp;""))</f>
        <v/>
      </c>
      <c r="E1219">
        <f>IF($J1219="","",IF($J1219&lt;=1500,IF(N(INDEX('Daily Sale entry '!$AB$1:$AB$1501,$J1219+1))=0,"",INDEX('Daily Sale entry '!$AB$1:$AB$1501,$J1219+1)),1))</f>
        <v/>
      </c>
      <c r="F1219" s="6">
        <f>IF($J1219="","",IF($J1219&lt;=1500,N(INDEX('Daily Sale entry '!$AC$1:$AC$1501,$J1219+1))-IF(AND('Opening Balance'!$B$15=1,INDEX('Daily Sale entry '!$Z$1:$Z$1501,$J1219+1)="Online collection 网上收款",INDEX('Daily Sale entry '!$AA$1:$AA$1501,$J1219+1)&lt;&gt;""),N(INDEX('Daily Sale entry '!$AC$1:$AC$1501,$J1219+1))-TRUNC(N(INDEX('Daily Sale entry '!$AC$1:$AC$1501,$J1219+1))),0),N(INDEX('Daily Sale entry '!$S$1:$S$1501,$J1219-1499))-'Opening Balance'!$B$15*(N(INDEX('Daily Sale entry '!$S$1:$S$1501,$J1219-1499))-TRUNC(N(INDEX('Daily Sale entry '!$S$1:$S$1501,$J1219-1499))))))</f>
        <v/>
      </c>
      <c r="G1219" s="6">
        <f>IF($J1219="","",IF($J1219&lt;=1500,N(INDEX('Daily Sale entry '!$AD$1:$AD$1501,$J1219+1)),0))</f>
        <v/>
      </c>
      <c r="H1219" s="6">
        <f>IF($J1219="","",ROUND('Opening Balance'!$B$4+SUM($F$2:F1219)-SUM($G$2:G1219),2))</f>
        <v/>
      </c>
      <c r="J1219" s="21">
        <f>IFERROR(MATCH(ROW()-1,$L$2:$L$3001,0),"")</f>
        <v/>
      </c>
      <c r="K1219" s="34">
        <f>IF(AND('Daily Sale entry '!X1219&lt;&gt;"",OR('Daily Sale entry '!AC1219&lt;&gt;"",'Daily Sale entry '!AD1219&lt;&gt;"")),'Daily Sale entry '!X1219+ROW()/10000000,"")</f>
        <v/>
      </c>
      <c r="L1219" s="21">
        <f>IF(K1219="","",COUNTIF($K$2:$K$3001,"&lt;"&amp;K1219)+1)</f>
        <v/>
      </c>
    </row>
    <row r="1220">
      <c r="A1220" s="5">
        <f>IF($J1220="","",IF($J1220&lt;=1500,INDEX('Daily Sale entry '!$X$1:$X$1501,$J1220+1),INDEX('Daily Sale entry '!$V$1:$V$1501,$J1220-1499)))</f>
        <v/>
      </c>
      <c r="B1220">
        <f>IF($J1220="","",IF($J1220&lt;=1500,INDEX('Daily Sale entry '!$Y$1:$Y$1501,$J1220+1)&amp;"","Buyer cheque banked 买家支票存入"&amp;IF(INDEX('Daily Sale entry '!$U$1:$U$1501,$J1220-1499)="","", " - "&amp;INDEX('Daily Sale entry '!$U$1:$U$1501,$J1220-1499))))</f>
        <v/>
      </c>
      <c r="C1220">
        <f>IF($J1220="","",IF($J1220&lt;=1500,INDEX('Daily Sale entry '!$Z$1:$Z$1501,$J1220+1)&amp;"","Cheque deposit 支票存入 (buyer 买家)"))</f>
        <v/>
      </c>
      <c r="D1220">
        <f>IF($J1220="","",IF($J1220&lt;=1500,INDEX('Daily Sale entry '!$AA$1:$AA$1501,$J1220+1)&amp;"",INDEX('Daily Sale entry '!$P$1:$P$1501,$J1220-1499)&amp;""))</f>
        <v/>
      </c>
      <c r="E1220">
        <f>IF($J1220="","",IF($J1220&lt;=1500,IF(N(INDEX('Daily Sale entry '!$AB$1:$AB$1501,$J1220+1))=0,"",INDEX('Daily Sale entry '!$AB$1:$AB$1501,$J1220+1)),1))</f>
        <v/>
      </c>
      <c r="F1220" s="6">
        <f>IF($J1220="","",IF($J1220&lt;=1500,N(INDEX('Daily Sale entry '!$AC$1:$AC$1501,$J1220+1))-IF(AND('Opening Balance'!$B$15=1,INDEX('Daily Sale entry '!$Z$1:$Z$1501,$J1220+1)="Online collection 网上收款",INDEX('Daily Sale entry '!$AA$1:$AA$1501,$J1220+1)&lt;&gt;""),N(INDEX('Daily Sale entry '!$AC$1:$AC$1501,$J1220+1))-TRUNC(N(INDEX('Daily Sale entry '!$AC$1:$AC$1501,$J1220+1))),0),N(INDEX('Daily Sale entry '!$S$1:$S$1501,$J1220-1499))-'Opening Balance'!$B$15*(N(INDEX('Daily Sale entry '!$S$1:$S$1501,$J1220-1499))-TRUNC(N(INDEX('Daily Sale entry '!$S$1:$S$1501,$J1220-1499))))))</f>
        <v/>
      </c>
      <c r="G1220" s="6">
        <f>IF($J1220="","",IF($J1220&lt;=1500,N(INDEX('Daily Sale entry '!$AD$1:$AD$1501,$J1220+1)),0))</f>
        <v/>
      </c>
      <c r="H1220" s="6">
        <f>IF($J1220="","",ROUND('Opening Balance'!$B$4+SUM($F$2:F1220)-SUM($G$2:G1220),2))</f>
        <v/>
      </c>
      <c r="J1220" s="21">
        <f>IFERROR(MATCH(ROW()-1,$L$2:$L$3001,0),"")</f>
        <v/>
      </c>
      <c r="K1220" s="34">
        <f>IF(AND('Daily Sale entry '!X1220&lt;&gt;"",OR('Daily Sale entry '!AC1220&lt;&gt;"",'Daily Sale entry '!AD1220&lt;&gt;"")),'Daily Sale entry '!X1220+ROW()/10000000,"")</f>
        <v/>
      </c>
      <c r="L1220" s="21">
        <f>IF(K1220="","",COUNTIF($K$2:$K$3001,"&lt;"&amp;K1220)+1)</f>
        <v/>
      </c>
    </row>
    <row r="1221">
      <c r="A1221" s="5">
        <f>IF($J1221="","",IF($J1221&lt;=1500,INDEX('Daily Sale entry '!$X$1:$X$1501,$J1221+1),INDEX('Daily Sale entry '!$V$1:$V$1501,$J1221-1499)))</f>
        <v/>
      </c>
      <c r="B1221">
        <f>IF($J1221="","",IF($J1221&lt;=1500,INDEX('Daily Sale entry '!$Y$1:$Y$1501,$J1221+1)&amp;"","Buyer cheque banked 买家支票存入"&amp;IF(INDEX('Daily Sale entry '!$U$1:$U$1501,$J1221-1499)="","", " - "&amp;INDEX('Daily Sale entry '!$U$1:$U$1501,$J1221-1499))))</f>
        <v/>
      </c>
      <c r="C1221">
        <f>IF($J1221="","",IF($J1221&lt;=1500,INDEX('Daily Sale entry '!$Z$1:$Z$1501,$J1221+1)&amp;"","Cheque deposit 支票存入 (buyer 买家)"))</f>
        <v/>
      </c>
      <c r="D1221">
        <f>IF($J1221="","",IF($J1221&lt;=1500,INDEX('Daily Sale entry '!$AA$1:$AA$1501,$J1221+1)&amp;"",INDEX('Daily Sale entry '!$P$1:$P$1501,$J1221-1499)&amp;""))</f>
        <v/>
      </c>
      <c r="E1221">
        <f>IF($J1221="","",IF($J1221&lt;=1500,IF(N(INDEX('Daily Sale entry '!$AB$1:$AB$1501,$J1221+1))=0,"",INDEX('Daily Sale entry '!$AB$1:$AB$1501,$J1221+1)),1))</f>
        <v/>
      </c>
      <c r="F1221" s="6">
        <f>IF($J1221="","",IF($J1221&lt;=1500,N(INDEX('Daily Sale entry '!$AC$1:$AC$1501,$J1221+1))-IF(AND('Opening Balance'!$B$15=1,INDEX('Daily Sale entry '!$Z$1:$Z$1501,$J1221+1)="Online collection 网上收款",INDEX('Daily Sale entry '!$AA$1:$AA$1501,$J1221+1)&lt;&gt;""),N(INDEX('Daily Sale entry '!$AC$1:$AC$1501,$J1221+1))-TRUNC(N(INDEX('Daily Sale entry '!$AC$1:$AC$1501,$J1221+1))),0),N(INDEX('Daily Sale entry '!$S$1:$S$1501,$J1221-1499))-'Opening Balance'!$B$15*(N(INDEX('Daily Sale entry '!$S$1:$S$1501,$J1221-1499))-TRUNC(N(INDEX('Daily Sale entry '!$S$1:$S$1501,$J1221-1499))))))</f>
        <v/>
      </c>
      <c r="G1221" s="6">
        <f>IF($J1221="","",IF($J1221&lt;=1500,N(INDEX('Daily Sale entry '!$AD$1:$AD$1501,$J1221+1)),0))</f>
        <v/>
      </c>
      <c r="H1221" s="6">
        <f>IF($J1221="","",ROUND('Opening Balance'!$B$4+SUM($F$2:F1221)-SUM($G$2:G1221),2))</f>
        <v/>
      </c>
      <c r="J1221" s="21">
        <f>IFERROR(MATCH(ROW()-1,$L$2:$L$3001,0),"")</f>
        <v/>
      </c>
      <c r="K1221" s="34">
        <f>IF(AND('Daily Sale entry '!X1221&lt;&gt;"",OR('Daily Sale entry '!AC1221&lt;&gt;"",'Daily Sale entry '!AD1221&lt;&gt;"")),'Daily Sale entry '!X1221+ROW()/10000000,"")</f>
        <v/>
      </c>
      <c r="L1221" s="21">
        <f>IF(K1221="","",COUNTIF($K$2:$K$3001,"&lt;"&amp;K1221)+1)</f>
        <v/>
      </c>
    </row>
    <row r="1222">
      <c r="A1222" s="5">
        <f>IF($J1222="","",IF($J1222&lt;=1500,INDEX('Daily Sale entry '!$X$1:$X$1501,$J1222+1),INDEX('Daily Sale entry '!$V$1:$V$1501,$J1222-1499)))</f>
        <v/>
      </c>
      <c r="B1222">
        <f>IF($J1222="","",IF($J1222&lt;=1500,INDEX('Daily Sale entry '!$Y$1:$Y$1501,$J1222+1)&amp;"","Buyer cheque banked 买家支票存入"&amp;IF(INDEX('Daily Sale entry '!$U$1:$U$1501,$J1222-1499)="","", " - "&amp;INDEX('Daily Sale entry '!$U$1:$U$1501,$J1222-1499))))</f>
        <v/>
      </c>
      <c r="C1222">
        <f>IF($J1222="","",IF($J1222&lt;=1500,INDEX('Daily Sale entry '!$Z$1:$Z$1501,$J1222+1)&amp;"","Cheque deposit 支票存入 (buyer 买家)"))</f>
        <v/>
      </c>
      <c r="D1222">
        <f>IF($J1222="","",IF($J1222&lt;=1500,INDEX('Daily Sale entry '!$AA$1:$AA$1501,$J1222+1)&amp;"",INDEX('Daily Sale entry '!$P$1:$P$1501,$J1222-1499)&amp;""))</f>
        <v/>
      </c>
      <c r="E1222">
        <f>IF($J1222="","",IF($J1222&lt;=1500,IF(N(INDEX('Daily Sale entry '!$AB$1:$AB$1501,$J1222+1))=0,"",INDEX('Daily Sale entry '!$AB$1:$AB$1501,$J1222+1)),1))</f>
        <v/>
      </c>
      <c r="F1222" s="6">
        <f>IF($J1222="","",IF($J1222&lt;=1500,N(INDEX('Daily Sale entry '!$AC$1:$AC$1501,$J1222+1))-IF(AND('Opening Balance'!$B$15=1,INDEX('Daily Sale entry '!$Z$1:$Z$1501,$J1222+1)="Online collection 网上收款",INDEX('Daily Sale entry '!$AA$1:$AA$1501,$J1222+1)&lt;&gt;""),N(INDEX('Daily Sale entry '!$AC$1:$AC$1501,$J1222+1))-TRUNC(N(INDEX('Daily Sale entry '!$AC$1:$AC$1501,$J1222+1))),0),N(INDEX('Daily Sale entry '!$S$1:$S$1501,$J1222-1499))-'Opening Balance'!$B$15*(N(INDEX('Daily Sale entry '!$S$1:$S$1501,$J1222-1499))-TRUNC(N(INDEX('Daily Sale entry '!$S$1:$S$1501,$J1222-1499))))))</f>
        <v/>
      </c>
      <c r="G1222" s="6">
        <f>IF($J1222="","",IF($J1222&lt;=1500,N(INDEX('Daily Sale entry '!$AD$1:$AD$1501,$J1222+1)),0))</f>
        <v/>
      </c>
      <c r="H1222" s="6">
        <f>IF($J1222="","",ROUND('Opening Balance'!$B$4+SUM($F$2:F1222)-SUM($G$2:G1222),2))</f>
        <v/>
      </c>
      <c r="J1222" s="21">
        <f>IFERROR(MATCH(ROW()-1,$L$2:$L$3001,0),"")</f>
        <v/>
      </c>
      <c r="K1222" s="34">
        <f>IF(AND('Daily Sale entry '!X1222&lt;&gt;"",OR('Daily Sale entry '!AC1222&lt;&gt;"",'Daily Sale entry '!AD1222&lt;&gt;"")),'Daily Sale entry '!X1222+ROW()/10000000,"")</f>
        <v/>
      </c>
      <c r="L1222" s="21">
        <f>IF(K1222="","",COUNTIF($K$2:$K$3001,"&lt;"&amp;K1222)+1)</f>
        <v/>
      </c>
    </row>
    <row r="1223">
      <c r="A1223" s="5">
        <f>IF($J1223="","",IF($J1223&lt;=1500,INDEX('Daily Sale entry '!$X$1:$X$1501,$J1223+1),INDEX('Daily Sale entry '!$V$1:$V$1501,$J1223-1499)))</f>
        <v/>
      </c>
      <c r="B1223">
        <f>IF($J1223="","",IF($J1223&lt;=1500,INDEX('Daily Sale entry '!$Y$1:$Y$1501,$J1223+1)&amp;"","Buyer cheque banked 买家支票存入"&amp;IF(INDEX('Daily Sale entry '!$U$1:$U$1501,$J1223-1499)="","", " - "&amp;INDEX('Daily Sale entry '!$U$1:$U$1501,$J1223-1499))))</f>
        <v/>
      </c>
      <c r="C1223">
        <f>IF($J1223="","",IF($J1223&lt;=1500,INDEX('Daily Sale entry '!$Z$1:$Z$1501,$J1223+1)&amp;"","Cheque deposit 支票存入 (buyer 买家)"))</f>
        <v/>
      </c>
      <c r="D1223">
        <f>IF($J1223="","",IF($J1223&lt;=1500,INDEX('Daily Sale entry '!$AA$1:$AA$1501,$J1223+1)&amp;"",INDEX('Daily Sale entry '!$P$1:$P$1501,$J1223-1499)&amp;""))</f>
        <v/>
      </c>
      <c r="E1223">
        <f>IF($J1223="","",IF($J1223&lt;=1500,IF(N(INDEX('Daily Sale entry '!$AB$1:$AB$1501,$J1223+1))=0,"",INDEX('Daily Sale entry '!$AB$1:$AB$1501,$J1223+1)),1))</f>
        <v/>
      </c>
      <c r="F1223" s="6">
        <f>IF($J1223="","",IF($J1223&lt;=1500,N(INDEX('Daily Sale entry '!$AC$1:$AC$1501,$J1223+1))-IF(AND('Opening Balance'!$B$15=1,INDEX('Daily Sale entry '!$Z$1:$Z$1501,$J1223+1)="Online collection 网上收款",INDEX('Daily Sale entry '!$AA$1:$AA$1501,$J1223+1)&lt;&gt;""),N(INDEX('Daily Sale entry '!$AC$1:$AC$1501,$J1223+1))-TRUNC(N(INDEX('Daily Sale entry '!$AC$1:$AC$1501,$J1223+1))),0),N(INDEX('Daily Sale entry '!$S$1:$S$1501,$J1223-1499))-'Opening Balance'!$B$15*(N(INDEX('Daily Sale entry '!$S$1:$S$1501,$J1223-1499))-TRUNC(N(INDEX('Daily Sale entry '!$S$1:$S$1501,$J1223-1499))))))</f>
        <v/>
      </c>
      <c r="G1223" s="6">
        <f>IF($J1223="","",IF($J1223&lt;=1500,N(INDEX('Daily Sale entry '!$AD$1:$AD$1501,$J1223+1)),0))</f>
        <v/>
      </c>
      <c r="H1223" s="6">
        <f>IF($J1223="","",ROUND('Opening Balance'!$B$4+SUM($F$2:F1223)-SUM($G$2:G1223),2))</f>
        <v/>
      </c>
      <c r="J1223" s="21">
        <f>IFERROR(MATCH(ROW()-1,$L$2:$L$3001,0),"")</f>
        <v/>
      </c>
      <c r="K1223" s="34">
        <f>IF(AND('Daily Sale entry '!X1223&lt;&gt;"",OR('Daily Sale entry '!AC1223&lt;&gt;"",'Daily Sale entry '!AD1223&lt;&gt;"")),'Daily Sale entry '!X1223+ROW()/10000000,"")</f>
        <v/>
      </c>
      <c r="L1223" s="21">
        <f>IF(K1223="","",COUNTIF($K$2:$K$3001,"&lt;"&amp;K1223)+1)</f>
        <v/>
      </c>
    </row>
    <row r="1224">
      <c r="A1224" s="5">
        <f>IF($J1224="","",IF($J1224&lt;=1500,INDEX('Daily Sale entry '!$X$1:$X$1501,$J1224+1),INDEX('Daily Sale entry '!$V$1:$V$1501,$J1224-1499)))</f>
        <v/>
      </c>
      <c r="B1224">
        <f>IF($J1224="","",IF($J1224&lt;=1500,INDEX('Daily Sale entry '!$Y$1:$Y$1501,$J1224+1)&amp;"","Buyer cheque banked 买家支票存入"&amp;IF(INDEX('Daily Sale entry '!$U$1:$U$1501,$J1224-1499)="","", " - "&amp;INDEX('Daily Sale entry '!$U$1:$U$1501,$J1224-1499))))</f>
        <v/>
      </c>
      <c r="C1224">
        <f>IF($J1224="","",IF($J1224&lt;=1500,INDEX('Daily Sale entry '!$Z$1:$Z$1501,$J1224+1)&amp;"","Cheque deposit 支票存入 (buyer 买家)"))</f>
        <v/>
      </c>
      <c r="D1224">
        <f>IF($J1224="","",IF($J1224&lt;=1500,INDEX('Daily Sale entry '!$AA$1:$AA$1501,$J1224+1)&amp;"",INDEX('Daily Sale entry '!$P$1:$P$1501,$J1224-1499)&amp;""))</f>
        <v/>
      </c>
      <c r="E1224">
        <f>IF($J1224="","",IF($J1224&lt;=1500,IF(N(INDEX('Daily Sale entry '!$AB$1:$AB$1501,$J1224+1))=0,"",INDEX('Daily Sale entry '!$AB$1:$AB$1501,$J1224+1)),1))</f>
        <v/>
      </c>
      <c r="F1224" s="6">
        <f>IF($J1224="","",IF($J1224&lt;=1500,N(INDEX('Daily Sale entry '!$AC$1:$AC$1501,$J1224+1))-IF(AND('Opening Balance'!$B$15=1,INDEX('Daily Sale entry '!$Z$1:$Z$1501,$J1224+1)="Online collection 网上收款",INDEX('Daily Sale entry '!$AA$1:$AA$1501,$J1224+1)&lt;&gt;""),N(INDEX('Daily Sale entry '!$AC$1:$AC$1501,$J1224+1))-TRUNC(N(INDEX('Daily Sale entry '!$AC$1:$AC$1501,$J1224+1))),0),N(INDEX('Daily Sale entry '!$S$1:$S$1501,$J1224-1499))-'Opening Balance'!$B$15*(N(INDEX('Daily Sale entry '!$S$1:$S$1501,$J1224-1499))-TRUNC(N(INDEX('Daily Sale entry '!$S$1:$S$1501,$J1224-1499))))))</f>
        <v/>
      </c>
      <c r="G1224" s="6">
        <f>IF($J1224="","",IF($J1224&lt;=1500,N(INDEX('Daily Sale entry '!$AD$1:$AD$1501,$J1224+1)),0))</f>
        <v/>
      </c>
      <c r="H1224" s="6">
        <f>IF($J1224="","",ROUND('Opening Balance'!$B$4+SUM($F$2:F1224)-SUM($G$2:G1224),2))</f>
        <v/>
      </c>
      <c r="J1224" s="21">
        <f>IFERROR(MATCH(ROW()-1,$L$2:$L$3001,0),"")</f>
        <v/>
      </c>
      <c r="K1224" s="34">
        <f>IF(AND('Daily Sale entry '!X1224&lt;&gt;"",OR('Daily Sale entry '!AC1224&lt;&gt;"",'Daily Sale entry '!AD1224&lt;&gt;"")),'Daily Sale entry '!X1224+ROW()/10000000,"")</f>
        <v/>
      </c>
      <c r="L1224" s="21">
        <f>IF(K1224="","",COUNTIF($K$2:$K$3001,"&lt;"&amp;K1224)+1)</f>
        <v/>
      </c>
    </row>
    <row r="1225">
      <c r="A1225" s="5">
        <f>IF($J1225="","",IF($J1225&lt;=1500,INDEX('Daily Sale entry '!$X$1:$X$1501,$J1225+1),INDEX('Daily Sale entry '!$V$1:$V$1501,$J1225-1499)))</f>
        <v/>
      </c>
      <c r="B1225">
        <f>IF($J1225="","",IF($J1225&lt;=1500,INDEX('Daily Sale entry '!$Y$1:$Y$1501,$J1225+1)&amp;"","Buyer cheque banked 买家支票存入"&amp;IF(INDEX('Daily Sale entry '!$U$1:$U$1501,$J1225-1499)="","", " - "&amp;INDEX('Daily Sale entry '!$U$1:$U$1501,$J1225-1499))))</f>
        <v/>
      </c>
      <c r="C1225">
        <f>IF($J1225="","",IF($J1225&lt;=1500,INDEX('Daily Sale entry '!$Z$1:$Z$1501,$J1225+1)&amp;"","Cheque deposit 支票存入 (buyer 买家)"))</f>
        <v/>
      </c>
      <c r="D1225">
        <f>IF($J1225="","",IF($J1225&lt;=1500,INDEX('Daily Sale entry '!$AA$1:$AA$1501,$J1225+1)&amp;"",INDEX('Daily Sale entry '!$P$1:$P$1501,$J1225-1499)&amp;""))</f>
        <v/>
      </c>
      <c r="E1225">
        <f>IF($J1225="","",IF($J1225&lt;=1500,IF(N(INDEX('Daily Sale entry '!$AB$1:$AB$1501,$J1225+1))=0,"",INDEX('Daily Sale entry '!$AB$1:$AB$1501,$J1225+1)),1))</f>
        <v/>
      </c>
      <c r="F1225" s="6">
        <f>IF($J1225="","",IF($J1225&lt;=1500,N(INDEX('Daily Sale entry '!$AC$1:$AC$1501,$J1225+1))-IF(AND('Opening Balance'!$B$15=1,INDEX('Daily Sale entry '!$Z$1:$Z$1501,$J1225+1)="Online collection 网上收款",INDEX('Daily Sale entry '!$AA$1:$AA$1501,$J1225+1)&lt;&gt;""),N(INDEX('Daily Sale entry '!$AC$1:$AC$1501,$J1225+1))-TRUNC(N(INDEX('Daily Sale entry '!$AC$1:$AC$1501,$J1225+1))),0),N(INDEX('Daily Sale entry '!$S$1:$S$1501,$J1225-1499))-'Opening Balance'!$B$15*(N(INDEX('Daily Sale entry '!$S$1:$S$1501,$J1225-1499))-TRUNC(N(INDEX('Daily Sale entry '!$S$1:$S$1501,$J1225-1499))))))</f>
        <v/>
      </c>
      <c r="G1225" s="6">
        <f>IF($J1225="","",IF($J1225&lt;=1500,N(INDEX('Daily Sale entry '!$AD$1:$AD$1501,$J1225+1)),0))</f>
        <v/>
      </c>
      <c r="H1225" s="6">
        <f>IF($J1225="","",ROUND('Opening Balance'!$B$4+SUM($F$2:F1225)-SUM($G$2:G1225),2))</f>
        <v/>
      </c>
      <c r="J1225" s="21">
        <f>IFERROR(MATCH(ROW()-1,$L$2:$L$3001,0),"")</f>
        <v/>
      </c>
      <c r="K1225" s="34">
        <f>IF(AND('Daily Sale entry '!X1225&lt;&gt;"",OR('Daily Sale entry '!AC1225&lt;&gt;"",'Daily Sale entry '!AD1225&lt;&gt;"")),'Daily Sale entry '!X1225+ROW()/10000000,"")</f>
        <v/>
      </c>
      <c r="L1225" s="21">
        <f>IF(K1225="","",COUNTIF($K$2:$K$3001,"&lt;"&amp;K1225)+1)</f>
        <v/>
      </c>
    </row>
    <row r="1226">
      <c r="A1226" s="5">
        <f>IF($J1226="","",IF($J1226&lt;=1500,INDEX('Daily Sale entry '!$X$1:$X$1501,$J1226+1),INDEX('Daily Sale entry '!$V$1:$V$1501,$J1226-1499)))</f>
        <v/>
      </c>
      <c r="B1226">
        <f>IF($J1226="","",IF($J1226&lt;=1500,INDEX('Daily Sale entry '!$Y$1:$Y$1501,$J1226+1)&amp;"","Buyer cheque banked 买家支票存入"&amp;IF(INDEX('Daily Sale entry '!$U$1:$U$1501,$J1226-1499)="","", " - "&amp;INDEX('Daily Sale entry '!$U$1:$U$1501,$J1226-1499))))</f>
        <v/>
      </c>
      <c r="C1226">
        <f>IF($J1226="","",IF($J1226&lt;=1500,INDEX('Daily Sale entry '!$Z$1:$Z$1501,$J1226+1)&amp;"","Cheque deposit 支票存入 (buyer 买家)"))</f>
        <v/>
      </c>
      <c r="D1226">
        <f>IF($J1226="","",IF($J1226&lt;=1500,INDEX('Daily Sale entry '!$AA$1:$AA$1501,$J1226+1)&amp;"",INDEX('Daily Sale entry '!$P$1:$P$1501,$J1226-1499)&amp;""))</f>
        <v/>
      </c>
      <c r="E1226">
        <f>IF($J1226="","",IF($J1226&lt;=1500,IF(N(INDEX('Daily Sale entry '!$AB$1:$AB$1501,$J1226+1))=0,"",INDEX('Daily Sale entry '!$AB$1:$AB$1501,$J1226+1)),1))</f>
        <v/>
      </c>
      <c r="F1226" s="6">
        <f>IF($J1226="","",IF($J1226&lt;=1500,N(INDEX('Daily Sale entry '!$AC$1:$AC$1501,$J1226+1))-IF(AND('Opening Balance'!$B$15=1,INDEX('Daily Sale entry '!$Z$1:$Z$1501,$J1226+1)="Online collection 网上收款",INDEX('Daily Sale entry '!$AA$1:$AA$1501,$J1226+1)&lt;&gt;""),N(INDEX('Daily Sale entry '!$AC$1:$AC$1501,$J1226+1))-TRUNC(N(INDEX('Daily Sale entry '!$AC$1:$AC$1501,$J1226+1))),0),N(INDEX('Daily Sale entry '!$S$1:$S$1501,$J1226-1499))-'Opening Balance'!$B$15*(N(INDEX('Daily Sale entry '!$S$1:$S$1501,$J1226-1499))-TRUNC(N(INDEX('Daily Sale entry '!$S$1:$S$1501,$J1226-1499))))))</f>
        <v/>
      </c>
      <c r="G1226" s="6">
        <f>IF($J1226="","",IF($J1226&lt;=1500,N(INDEX('Daily Sale entry '!$AD$1:$AD$1501,$J1226+1)),0))</f>
        <v/>
      </c>
      <c r="H1226" s="6">
        <f>IF($J1226="","",ROUND('Opening Balance'!$B$4+SUM($F$2:F1226)-SUM($G$2:G1226),2))</f>
        <v/>
      </c>
      <c r="J1226" s="21">
        <f>IFERROR(MATCH(ROW()-1,$L$2:$L$3001,0),"")</f>
        <v/>
      </c>
      <c r="K1226" s="34">
        <f>IF(AND('Daily Sale entry '!X1226&lt;&gt;"",OR('Daily Sale entry '!AC1226&lt;&gt;"",'Daily Sale entry '!AD1226&lt;&gt;"")),'Daily Sale entry '!X1226+ROW()/10000000,"")</f>
        <v/>
      </c>
      <c r="L1226" s="21">
        <f>IF(K1226="","",COUNTIF($K$2:$K$3001,"&lt;"&amp;K1226)+1)</f>
        <v/>
      </c>
    </row>
    <row r="1227">
      <c r="A1227" s="5">
        <f>IF($J1227="","",IF($J1227&lt;=1500,INDEX('Daily Sale entry '!$X$1:$X$1501,$J1227+1),INDEX('Daily Sale entry '!$V$1:$V$1501,$J1227-1499)))</f>
        <v/>
      </c>
      <c r="B1227">
        <f>IF($J1227="","",IF($J1227&lt;=1500,INDEX('Daily Sale entry '!$Y$1:$Y$1501,$J1227+1)&amp;"","Buyer cheque banked 买家支票存入"&amp;IF(INDEX('Daily Sale entry '!$U$1:$U$1501,$J1227-1499)="","", " - "&amp;INDEX('Daily Sale entry '!$U$1:$U$1501,$J1227-1499))))</f>
        <v/>
      </c>
      <c r="C1227">
        <f>IF($J1227="","",IF($J1227&lt;=1500,INDEX('Daily Sale entry '!$Z$1:$Z$1501,$J1227+1)&amp;"","Cheque deposit 支票存入 (buyer 买家)"))</f>
        <v/>
      </c>
      <c r="D1227">
        <f>IF($J1227="","",IF($J1227&lt;=1500,INDEX('Daily Sale entry '!$AA$1:$AA$1501,$J1227+1)&amp;"",INDEX('Daily Sale entry '!$P$1:$P$1501,$J1227-1499)&amp;""))</f>
        <v/>
      </c>
      <c r="E1227">
        <f>IF($J1227="","",IF($J1227&lt;=1500,IF(N(INDEX('Daily Sale entry '!$AB$1:$AB$1501,$J1227+1))=0,"",INDEX('Daily Sale entry '!$AB$1:$AB$1501,$J1227+1)),1))</f>
        <v/>
      </c>
      <c r="F1227" s="6">
        <f>IF($J1227="","",IF($J1227&lt;=1500,N(INDEX('Daily Sale entry '!$AC$1:$AC$1501,$J1227+1))-IF(AND('Opening Balance'!$B$15=1,INDEX('Daily Sale entry '!$Z$1:$Z$1501,$J1227+1)="Online collection 网上收款",INDEX('Daily Sale entry '!$AA$1:$AA$1501,$J1227+1)&lt;&gt;""),N(INDEX('Daily Sale entry '!$AC$1:$AC$1501,$J1227+1))-TRUNC(N(INDEX('Daily Sale entry '!$AC$1:$AC$1501,$J1227+1))),0),N(INDEX('Daily Sale entry '!$S$1:$S$1501,$J1227-1499))-'Opening Balance'!$B$15*(N(INDEX('Daily Sale entry '!$S$1:$S$1501,$J1227-1499))-TRUNC(N(INDEX('Daily Sale entry '!$S$1:$S$1501,$J1227-1499))))))</f>
        <v/>
      </c>
      <c r="G1227" s="6">
        <f>IF($J1227="","",IF($J1227&lt;=1500,N(INDEX('Daily Sale entry '!$AD$1:$AD$1501,$J1227+1)),0))</f>
        <v/>
      </c>
      <c r="H1227" s="6">
        <f>IF($J1227="","",ROUND('Opening Balance'!$B$4+SUM($F$2:F1227)-SUM($G$2:G1227),2))</f>
        <v/>
      </c>
      <c r="J1227" s="21">
        <f>IFERROR(MATCH(ROW()-1,$L$2:$L$3001,0),"")</f>
        <v/>
      </c>
      <c r="K1227" s="34">
        <f>IF(AND('Daily Sale entry '!X1227&lt;&gt;"",OR('Daily Sale entry '!AC1227&lt;&gt;"",'Daily Sale entry '!AD1227&lt;&gt;"")),'Daily Sale entry '!X1227+ROW()/10000000,"")</f>
        <v/>
      </c>
      <c r="L1227" s="21">
        <f>IF(K1227="","",COUNTIF($K$2:$K$3001,"&lt;"&amp;K1227)+1)</f>
        <v/>
      </c>
    </row>
    <row r="1228">
      <c r="A1228" s="5">
        <f>IF($J1228="","",IF($J1228&lt;=1500,INDEX('Daily Sale entry '!$X$1:$X$1501,$J1228+1),INDEX('Daily Sale entry '!$V$1:$V$1501,$J1228-1499)))</f>
        <v/>
      </c>
      <c r="B1228">
        <f>IF($J1228="","",IF($J1228&lt;=1500,INDEX('Daily Sale entry '!$Y$1:$Y$1501,$J1228+1)&amp;"","Buyer cheque banked 买家支票存入"&amp;IF(INDEX('Daily Sale entry '!$U$1:$U$1501,$J1228-1499)="","", " - "&amp;INDEX('Daily Sale entry '!$U$1:$U$1501,$J1228-1499))))</f>
        <v/>
      </c>
      <c r="C1228">
        <f>IF($J1228="","",IF($J1228&lt;=1500,INDEX('Daily Sale entry '!$Z$1:$Z$1501,$J1228+1)&amp;"","Cheque deposit 支票存入 (buyer 买家)"))</f>
        <v/>
      </c>
      <c r="D1228">
        <f>IF($J1228="","",IF($J1228&lt;=1500,INDEX('Daily Sale entry '!$AA$1:$AA$1501,$J1228+1)&amp;"",INDEX('Daily Sale entry '!$P$1:$P$1501,$J1228-1499)&amp;""))</f>
        <v/>
      </c>
      <c r="E1228">
        <f>IF($J1228="","",IF($J1228&lt;=1500,IF(N(INDEX('Daily Sale entry '!$AB$1:$AB$1501,$J1228+1))=0,"",INDEX('Daily Sale entry '!$AB$1:$AB$1501,$J1228+1)),1))</f>
        <v/>
      </c>
      <c r="F1228" s="6">
        <f>IF($J1228="","",IF($J1228&lt;=1500,N(INDEX('Daily Sale entry '!$AC$1:$AC$1501,$J1228+1))-IF(AND('Opening Balance'!$B$15=1,INDEX('Daily Sale entry '!$Z$1:$Z$1501,$J1228+1)="Online collection 网上收款",INDEX('Daily Sale entry '!$AA$1:$AA$1501,$J1228+1)&lt;&gt;""),N(INDEX('Daily Sale entry '!$AC$1:$AC$1501,$J1228+1))-TRUNC(N(INDEX('Daily Sale entry '!$AC$1:$AC$1501,$J1228+1))),0),N(INDEX('Daily Sale entry '!$S$1:$S$1501,$J1228-1499))-'Opening Balance'!$B$15*(N(INDEX('Daily Sale entry '!$S$1:$S$1501,$J1228-1499))-TRUNC(N(INDEX('Daily Sale entry '!$S$1:$S$1501,$J1228-1499))))))</f>
        <v/>
      </c>
      <c r="G1228" s="6">
        <f>IF($J1228="","",IF($J1228&lt;=1500,N(INDEX('Daily Sale entry '!$AD$1:$AD$1501,$J1228+1)),0))</f>
        <v/>
      </c>
      <c r="H1228" s="6">
        <f>IF($J1228="","",ROUND('Opening Balance'!$B$4+SUM($F$2:F1228)-SUM($G$2:G1228),2))</f>
        <v/>
      </c>
      <c r="J1228" s="21">
        <f>IFERROR(MATCH(ROW()-1,$L$2:$L$3001,0),"")</f>
        <v/>
      </c>
      <c r="K1228" s="34">
        <f>IF(AND('Daily Sale entry '!X1228&lt;&gt;"",OR('Daily Sale entry '!AC1228&lt;&gt;"",'Daily Sale entry '!AD1228&lt;&gt;"")),'Daily Sale entry '!X1228+ROW()/10000000,"")</f>
        <v/>
      </c>
      <c r="L1228" s="21">
        <f>IF(K1228="","",COUNTIF($K$2:$K$3001,"&lt;"&amp;K1228)+1)</f>
        <v/>
      </c>
    </row>
    <row r="1229">
      <c r="A1229" s="5">
        <f>IF($J1229="","",IF($J1229&lt;=1500,INDEX('Daily Sale entry '!$X$1:$X$1501,$J1229+1),INDEX('Daily Sale entry '!$V$1:$V$1501,$J1229-1499)))</f>
        <v/>
      </c>
      <c r="B1229">
        <f>IF($J1229="","",IF($J1229&lt;=1500,INDEX('Daily Sale entry '!$Y$1:$Y$1501,$J1229+1)&amp;"","Buyer cheque banked 买家支票存入"&amp;IF(INDEX('Daily Sale entry '!$U$1:$U$1501,$J1229-1499)="","", " - "&amp;INDEX('Daily Sale entry '!$U$1:$U$1501,$J1229-1499))))</f>
        <v/>
      </c>
      <c r="C1229">
        <f>IF($J1229="","",IF($J1229&lt;=1500,INDEX('Daily Sale entry '!$Z$1:$Z$1501,$J1229+1)&amp;"","Cheque deposit 支票存入 (buyer 买家)"))</f>
        <v/>
      </c>
      <c r="D1229">
        <f>IF($J1229="","",IF($J1229&lt;=1500,INDEX('Daily Sale entry '!$AA$1:$AA$1501,$J1229+1)&amp;"",INDEX('Daily Sale entry '!$P$1:$P$1501,$J1229-1499)&amp;""))</f>
        <v/>
      </c>
      <c r="E1229">
        <f>IF($J1229="","",IF($J1229&lt;=1500,IF(N(INDEX('Daily Sale entry '!$AB$1:$AB$1501,$J1229+1))=0,"",INDEX('Daily Sale entry '!$AB$1:$AB$1501,$J1229+1)),1))</f>
        <v/>
      </c>
      <c r="F1229" s="6">
        <f>IF($J1229="","",IF($J1229&lt;=1500,N(INDEX('Daily Sale entry '!$AC$1:$AC$1501,$J1229+1))-IF(AND('Opening Balance'!$B$15=1,INDEX('Daily Sale entry '!$Z$1:$Z$1501,$J1229+1)="Online collection 网上收款",INDEX('Daily Sale entry '!$AA$1:$AA$1501,$J1229+1)&lt;&gt;""),N(INDEX('Daily Sale entry '!$AC$1:$AC$1501,$J1229+1))-TRUNC(N(INDEX('Daily Sale entry '!$AC$1:$AC$1501,$J1229+1))),0),N(INDEX('Daily Sale entry '!$S$1:$S$1501,$J1229-1499))-'Opening Balance'!$B$15*(N(INDEX('Daily Sale entry '!$S$1:$S$1501,$J1229-1499))-TRUNC(N(INDEX('Daily Sale entry '!$S$1:$S$1501,$J1229-1499))))))</f>
        <v/>
      </c>
      <c r="G1229" s="6">
        <f>IF($J1229="","",IF($J1229&lt;=1500,N(INDEX('Daily Sale entry '!$AD$1:$AD$1501,$J1229+1)),0))</f>
        <v/>
      </c>
      <c r="H1229" s="6">
        <f>IF($J1229="","",ROUND('Opening Balance'!$B$4+SUM($F$2:F1229)-SUM($G$2:G1229),2))</f>
        <v/>
      </c>
      <c r="J1229" s="21">
        <f>IFERROR(MATCH(ROW()-1,$L$2:$L$3001,0),"")</f>
        <v/>
      </c>
      <c r="K1229" s="34">
        <f>IF(AND('Daily Sale entry '!X1229&lt;&gt;"",OR('Daily Sale entry '!AC1229&lt;&gt;"",'Daily Sale entry '!AD1229&lt;&gt;"")),'Daily Sale entry '!X1229+ROW()/10000000,"")</f>
        <v/>
      </c>
      <c r="L1229" s="21">
        <f>IF(K1229="","",COUNTIF($K$2:$K$3001,"&lt;"&amp;K1229)+1)</f>
        <v/>
      </c>
    </row>
    <row r="1230">
      <c r="A1230" s="5">
        <f>IF($J1230="","",IF($J1230&lt;=1500,INDEX('Daily Sale entry '!$X$1:$X$1501,$J1230+1),INDEX('Daily Sale entry '!$V$1:$V$1501,$J1230-1499)))</f>
        <v/>
      </c>
      <c r="B1230">
        <f>IF($J1230="","",IF($J1230&lt;=1500,INDEX('Daily Sale entry '!$Y$1:$Y$1501,$J1230+1)&amp;"","Buyer cheque banked 买家支票存入"&amp;IF(INDEX('Daily Sale entry '!$U$1:$U$1501,$J1230-1499)="","", " - "&amp;INDEX('Daily Sale entry '!$U$1:$U$1501,$J1230-1499))))</f>
        <v/>
      </c>
      <c r="C1230">
        <f>IF($J1230="","",IF($J1230&lt;=1500,INDEX('Daily Sale entry '!$Z$1:$Z$1501,$J1230+1)&amp;"","Cheque deposit 支票存入 (buyer 买家)"))</f>
        <v/>
      </c>
      <c r="D1230">
        <f>IF($J1230="","",IF($J1230&lt;=1500,INDEX('Daily Sale entry '!$AA$1:$AA$1501,$J1230+1)&amp;"",INDEX('Daily Sale entry '!$P$1:$P$1501,$J1230-1499)&amp;""))</f>
        <v/>
      </c>
      <c r="E1230">
        <f>IF($J1230="","",IF($J1230&lt;=1500,IF(N(INDEX('Daily Sale entry '!$AB$1:$AB$1501,$J1230+1))=0,"",INDEX('Daily Sale entry '!$AB$1:$AB$1501,$J1230+1)),1))</f>
        <v/>
      </c>
      <c r="F1230" s="6">
        <f>IF($J1230="","",IF($J1230&lt;=1500,N(INDEX('Daily Sale entry '!$AC$1:$AC$1501,$J1230+1))-IF(AND('Opening Balance'!$B$15=1,INDEX('Daily Sale entry '!$Z$1:$Z$1501,$J1230+1)="Online collection 网上收款",INDEX('Daily Sale entry '!$AA$1:$AA$1501,$J1230+1)&lt;&gt;""),N(INDEX('Daily Sale entry '!$AC$1:$AC$1501,$J1230+1))-TRUNC(N(INDEX('Daily Sale entry '!$AC$1:$AC$1501,$J1230+1))),0),N(INDEX('Daily Sale entry '!$S$1:$S$1501,$J1230-1499))-'Opening Balance'!$B$15*(N(INDEX('Daily Sale entry '!$S$1:$S$1501,$J1230-1499))-TRUNC(N(INDEX('Daily Sale entry '!$S$1:$S$1501,$J1230-1499))))))</f>
        <v/>
      </c>
      <c r="G1230" s="6">
        <f>IF($J1230="","",IF($J1230&lt;=1500,N(INDEX('Daily Sale entry '!$AD$1:$AD$1501,$J1230+1)),0))</f>
        <v/>
      </c>
      <c r="H1230" s="6">
        <f>IF($J1230="","",ROUND('Opening Balance'!$B$4+SUM($F$2:F1230)-SUM($G$2:G1230),2))</f>
        <v/>
      </c>
      <c r="J1230" s="21">
        <f>IFERROR(MATCH(ROW()-1,$L$2:$L$3001,0),"")</f>
        <v/>
      </c>
      <c r="K1230" s="34">
        <f>IF(AND('Daily Sale entry '!X1230&lt;&gt;"",OR('Daily Sale entry '!AC1230&lt;&gt;"",'Daily Sale entry '!AD1230&lt;&gt;"")),'Daily Sale entry '!X1230+ROW()/10000000,"")</f>
        <v/>
      </c>
      <c r="L1230" s="21">
        <f>IF(K1230="","",COUNTIF($K$2:$K$3001,"&lt;"&amp;K1230)+1)</f>
        <v/>
      </c>
    </row>
    <row r="1231">
      <c r="A1231" s="5">
        <f>IF($J1231="","",IF($J1231&lt;=1500,INDEX('Daily Sale entry '!$X$1:$X$1501,$J1231+1),INDEX('Daily Sale entry '!$V$1:$V$1501,$J1231-1499)))</f>
        <v/>
      </c>
      <c r="B1231">
        <f>IF($J1231="","",IF($J1231&lt;=1500,INDEX('Daily Sale entry '!$Y$1:$Y$1501,$J1231+1)&amp;"","Buyer cheque banked 买家支票存入"&amp;IF(INDEX('Daily Sale entry '!$U$1:$U$1501,$J1231-1499)="","", " - "&amp;INDEX('Daily Sale entry '!$U$1:$U$1501,$J1231-1499))))</f>
        <v/>
      </c>
      <c r="C1231">
        <f>IF($J1231="","",IF($J1231&lt;=1500,INDEX('Daily Sale entry '!$Z$1:$Z$1501,$J1231+1)&amp;"","Cheque deposit 支票存入 (buyer 买家)"))</f>
        <v/>
      </c>
      <c r="D1231">
        <f>IF($J1231="","",IF($J1231&lt;=1500,INDEX('Daily Sale entry '!$AA$1:$AA$1501,$J1231+1)&amp;"",INDEX('Daily Sale entry '!$P$1:$P$1501,$J1231-1499)&amp;""))</f>
        <v/>
      </c>
      <c r="E1231">
        <f>IF($J1231="","",IF($J1231&lt;=1500,IF(N(INDEX('Daily Sale entry '!$AB$1:$AB$1501,$J1231+1))=0,"",INDEX('Daily Sale entry '!$AB$1:$AB$1501,$J1231+1)),1))</f>
        <v/>
      </c>
      <c r="F1231" s="6">
        <f>IF($J1231="","",IF($J1231&lt;=1500,N(INDEX('Daily Sale entry '!$AC$1:$AC$1501,$J1231+1))-IF(AND('Opening Balance'!$B$15=1,INDEX('Daily Sale entry '!$Z$1:$Z$1501,$J1231+1)="Online collection 网上收款",INDEX('Daily Sale entry '!$AA$1:$AA$1501,$J1231+1)&lt;&gt;""),N(INDEX('Daily Sale entry '!$AC$1:$AC$1501,$J1231+1))-TRUNC(N(INDEX('Daily Sale entry '!$AC$1:$AC$1501,$J1231+1))),0),N(INDEX('Daily Sale entry '!$S$1:$S$1501,$J1231-1499))-'Opening Balance'!$B$15*(N(INDEX('Daily Sale entry '!$S$1:$S$1501,$J1231-1499))-TRUNC(N(INDEX('Daily Sale entry '!$S$1:$S$1501,$J1231-1499))))))</f>
        <v/>
      </c>
      <c r="G1231" s="6">
        <f>IF($J1231="","",IF($J1231&lt;=1500,N(INDEX('Daily Sale entry '!$AD$1:$AD$1501,$J1231+1)),0))</f>
        <v/>
      </c>
      <c r="H1231" s="6">
        <f>IF($J1231="","",ROUND('Opening Balance'!$B$4+SUM($F$2:F1231)-SUM($G$2:G1231),2))</f>
        <v/>
      </c>
      <c r="J1231" s="21">
        <f>IFERROR(MATCH(ROW()-1,$L$2:$L$3001,0),"")</f>
        <v/>
      </c>
      <c r="K1231" s="34">
        <f>IF(AND('Daily Sale entry '!X1231&lt;&gt;"",OR('Daily Sale entry '!AC1231&lt;&gt;"",'Daily Sale entry '!AD1231&lt;&gt;"")),'Daily Sale entry '!X1231+ROW()/10000000,"")</f>
        <v/>
      </c>
      <c r="L1231" s="21">
        <f>IF(K1231="","",COUNTIF($K$2:$K$3001,"&lt;"&amp;K1231)+1)</f>
        <v/>
      </c>
    </row>
    <row r="1232">
      <c r="A1232" s="5">
        <f>IF($J1232="","",IF($J1232&lt;=1500,INDEX('Daily Sale entry '!$X$1:$X$1501,$J1232+1),INDEX('Daily Sale entry '!$V$1:$V$1501,$J1232-1499)))</f>
        <v/>
      </c>
      <c r="B1232">
        <f>IF($J1232="","",IF($J1232&lt;=1500,INDEX('Daily Sale entry '!$Y$1:$Y$1501,$J1232+1)&amp;"","Buyer cheque banked 买家支票存入"&amp;IF(INDEX('Daily Sale entry '!$U$1:$U$1501,$J1232-1499)="","", " - "&amp;INDEX('Daily Sale entry '!$U$1:$U$1501,$J1232-1499))))</f>
        <v/>
      </c>
      <c r="C1232">
        <f>IF($J1232="","",IF($J1232&lt;=1500,INDEX('Daily Sale entry '!$Z$1:$Z$1501,$J1232+1)&amp;"","Cheque deposit 支票存入 (buyer 买家)"))</f>
        <v/>
      </c>
      <c r="D1232">
        <f>IF($J1232="","",IF($J1232&lt;=1500,INDEX('Daily Sale entry '!$AA$1:$AA$1501,$J1232+1)&amp;"",INDEX('Daily Sale entry '!$P$1:$P$1501,$J1232-1499)&amp;""))</f>
        <v/>
      </c>
      <c r="E1232">
        <f>IF($J1232="","",IF($J1232&lt;=1500,IF(N(INDEX('Daily Sale entry '!$AB$1:$AB$1501,$J1232+1))=0,"",INDEX('Daily Sale entry '!$AB$1:$AB$1501,$J1232+1)),1))</f>
        <v/>
      </c>
      <c r="F1232" s="6">
        <f>IF($J1232="","",IF($J1232&lt;=1500,N(INDEX('Daily Sale entry '!$AC$1:$AC$1501,$J1232+1))-IF(AND('Opening Balance'!$B$15=1,INDEX('Daily Sale entry '!$Z$1:$Z$1501,$J1232+1)="Online collection 网上收款",INDEX('Daily Sale entry '!$AA$1:$AA$1501,$J1232+1)&lt;&gt;""),N(INDEX('Daily Sale entry '!$AC$1:$AC$1501,$J1232+1))-TRUNC(N(INDEX('Daily Sale entry '!$AC$1:$AC$1501,$J1232+1))),0),N(INDEX('Daily Sale entry '!$S$1:$S$1501,$J1232-1499))-'Opening Balance'!$B$15*(N(INDEX('Daily Sale entry '!$S$1:$S$1501,$J1232-1499))-TRUNC(N(INDEX('Daily Sale entry '!$S$1:$S$1501,$J1232-1499))))))</f>
        <v/>
      </c>
      <c r="G1232" s="6">
        <f>IF($J1232="","",IF($J1232&lt;=1500,N(INDEX('Daily Sale entry '!$AD$1:$AD$1501,$J1232+1)),0))</f>
        <v/>
      </c>
      <c r="H1232" s="6">
        <f>IF($J1232="","",ROUND('Opening Balance'!$B$4+SUM($F$2:F1232)-SUM($G$2:G1232),2))</f>
        <v/>
      </c>
      <c r="J1232" s="21">
        <f>IFERROR(MATCH(ROW()-1,$L$2:$L$3001,0),"")</f>
        <v/>
      </c>
      <c r="K1232" s="34">
        <f>IF(AND('Daily Sale entry '!X1232&lt;&gt;"",OR('Daily Sale entry '!AC1232&lt;&gt;"",'Daily Sale entry '!AD1232&lt;&gt;"")),'Daily Sale entry '!X1232+ROW()/10000000,"")</f>
        <v/>
      </c>
      <c r="L1232" s="21">
        <f>IF(K1232="","",COUNTIF($K$2:$K$3001,"&lt;"&amp;K1232)+1)</f>
        <v/>
      </c>
    </row>
    <row r="1233">
      <c r="A1233" s="5">
        <f>IF($J1233="","",IF($J1233&lt;=1500,INDEX('Daily Sale entry '!$X$1:$X$1501,$J1233+1),INDEX('Daily Sale entry '!$V$1:$V$1501,$J1233-1499)))</f>
        <v/>
      </c>
      <c r="B1233">
        <f>IF($J1233="","",IF($J1233&lt;=1500,INDEX('Daily Sale entry '!$Y$1:$Y$1501,$J1233+1)&amp;"","Buyer cheque banked 买家支票存入"&amp;IF(INDEX('Daily Sale entry '!$U$1:$U$1501,$J1233-1499)="","", " - "&amp;INDEX('Daily Sale entry '!$U$1:$U$1501,$J1233-1499))))</f>
        <v/>
      </c>
      <c r="C1233">
        <f>IF($J1233="","",IF($J1233&lt;=1500,INDEX('Daily Sale entry '!$Z$1:$Z$1501,$J1233+1)&amp;"","Cheque deposit 支票存入 (buyer 买家)"))</f>
        <v/>
      </c>
      <c r="D1233">
        <f>IF($J1233="","",IF($J1233&lt;=1500,INDEX('Daily Sale entry '!$AA$1:$AA$1501,$J1233+1)&amp;"",INDEX('Daily Sale entry '!$P$1:$P$1501,$J1233-1499)&amp;""))</f>
        <v/>
      </c>
      <c r="E1233">
        <f>IF($J1233="","",IF($J1233&lt;=1500,IF(N(INDEX('Daily Sale entry '!$AB$1:$AB$1501,$J1233+1))=0,"",INDEX('Daily Sale entry '!$AB$1:$AB$1501,$J1233+1)),1))</f>
        <v/>
      </c>
      <c r="F1233" s="6">
        <f>IF($J1233="","",IF($J1233&lt;=1500,N(INDEX('Daily Sale entry '!$AC$1:$AC$1501,$J1233+1))-IF(AND('Opening Balance'!$B$15=1,INDEX('Daily Sale entry '!$Z$1:$Z$1501,$J1233+1)="Online collection 网上收款",INDEX('Daily Sale entry '!$AA$1:$AA$1501,$J1233+1)&lt;&gt;""),N(INDEX('Daily Sale entry '!$AC$1:$AC$1501,$J1233+1))-TRUNC(N(INDEX('Daily Sale entry '!$AC$1:$AC$1501,$J1233+1))),0),N(INDEX('Daily Sale entry '!$S$1:$S$1501,$J1233-1499))-'Opening Balance'!$B$15*(N(INDEX('Daily Sale entry '!$S$1:$S$1501,$J1233-1499))-TRUNC(N(INDEX('Daily Sale entry '!$S$1:$S$1501,$J1233-1499))))))</f>
        <v/>
      </c>
      <c r="G1233" s="6">
        <f>IF($J1233="","",IF($J1233&lt;=1500,N(INDEX('Daily Sale entry '!$AD$1:$AD$1501,$J1233+1)),0))</f>
        <v/>
      </c>
      <c r="H1233" s="6">
        <f>IF($J1233="","",ROUND('Opening Balance'!$B$4+SUM($F$2:F1233)-SUM($G$2:G1233),2))</f>
        <v/>
      </c>
      <c r="J1233" s="21">
        <f>IFERROR(MATCH(ROW()-1,$L$2:$L$3001,0),"")</f>
        <v/>
      </c>
      <c r="K1233" s="34">
        <f>IF(AND('Daily Sale entry '!X1233&lt;&gt;"",OR('Daily Sale entry '!AC1233&lt;&gt;"",'Daily Sale entry '!AD1233&lt;&gt;"")),'Daily Sale entry '!X1233+ROW()/10000000,"")</f>
        <v/>
      </c>
      <c r="L1233" s="21">
        <f>IF(K1233="","",COUNTIF($K$2:$K$3001,"&lt;"&amp;K1233)+1)</f>
        <v/>
      </c>
    </row>
    <row r="1234">
      <c r="A1234" s="5">
        <f>IF($J1234="","",IF($J1234&lt;=1500,INDEX('Daily Sale entry '!$X$1:$X$1501,$J1234+1),INDEX('Daily Sale entry '!$V$1:$V$1501,$J1234-1499)))</f>
        <v/>
      </c>
      <c r="B1234">
        <f>IF($J1234="","",IF($J1234&lt;=1500,INDEX('Daily Sale entry '!$Y$1:$Y$1501,$J1234+1)&amp;"","Buyer cheque banked 买家支票存入"&amp;IF(INDEX('Daily Sale entry '!$U$1:$U$1501,$J1234-1499)="","", " - "&amp;INDEX('Daily Sale entry '!$U$1:$U$1501,$J1234-1499))))</f>
        <v/>
      </c>
      <c r="C1234">
        <f>IF($J1234="","",IF($J1234&lt;=1500,INDEX('Daily Sale entry '!$Z$1:$Z$1501,$J1234+1)&amp;"","Cheque deposit 支票存入 (buyer 买家)"))</f>
        <v/>
      </c>
      <c r="D1234">
        <f>IF($J1234="","",IF($J1234&lt;=1500,INDEX('Daily Sale entry '!$AA$1:$AA$1501,$J1234+1)&amp;"",INDEX('Daily Sale entry '!$P$1:$P$1501,$J1234-1499)&amp;""))</f>
        <v/>
      </c>
      <c r="E1234">
        <f>IF($J1234="","",IF($J1234&lt;=1500,IF(N(INDEX('Daily Sale entry '!$AB$1:$AB$1501,$J1234+1))=0,"",INDEX('Daily Sale entry '!$AB$1:$AB$1501,$J1234+1)),1))</f>
        <v/>
      </c>
      <c r="F1234" s="6">
        <f>IF($J1234="","",IF($J1234&lt;=1500,N(INDEX('Daily Sale entry '!$AC$1:$AC$1501,$J1234+1))-IF(AND('Opening Balance'!$B$15=1,INDEX('Daily Sale entry '!$Z$1:$Z$1501,$J1234+1)="Online collection 网上收款",INDEX('Daily Sale entry '!$AA$1:$AA$1501,$J1234+1)&lt;&gt;""),N(INDEX('Daily Sale entry '!$AC$1:$AC$1501,$J1234+1))-TRUNC(N(INDEX('Daily Sale entry '!$AC$1:$AC$1501,$J1234+1))),0),N(INDEX('Daily Sale entry '!$S$1:$S$1501,$J1234-1499))-'Opening Balance'!$B$15*(N(INDEX('Daily Sale entry '!$S$1:$S$1501,$J1234-1499))-TRUNC(N(INDEX('Daily Sale entry '!$S$1:$S$1501,$J1234-1499))))))</f>
        <v/>
      </c>
      <c r="G1234" s="6">
        <f>IF($J1234="","",IF($J1234&lt;=1500,N(INDEX('Daily Sale entry '!$AD$1:$AD$1501,$J1234+1)),0))</f>
        <v/>
      </c>
      <c r="H1234" s="6">
        <f>IF($J1234="","",ROUND('Opening Balance'!$B$4+SUM($F$2:F1234)-SUM($G$2:G1234),2))</f>
        <v/>
      </c>
      <c r="J1234" s="21">
        <f>IFERROR(MATCH(ROW()-1,$L$2:$L$3001,0),"")</f>
        <v/>
      </c>
      <c r="K1234" s="34">
        <f>IF(AND('Daily Sale entry '!X1234&lt;&gt;"",OR('Daily Sale entry '!AC1234&lt;&gt;"",'Daily Sale entry '!AD1234&lt;&gt;"")),'Daily Sale entry '!X1234+ROW()/10000000,"")</f>
        <v/>
      </c>
      <c r="L1234" s="21">
        <f>IF(K1234="","",COUNTIF($K$2:$K$3001,"&lt;"&amp;K1234)+1)</f>
        <v/>
      </c>
    </row>
    <row r="1235">
      <c r="A1235" s="5">
        <f>IF($J1235="","",IF($J1235&lt;=1500,INDEX('Daily Sale entry '!$X$1:$X$1501,$J1235+1),INDEX('Daily Sale entry '!$V$1:$V$1501,$J1235-1499)))</f>
        <v/>
      </c>
      <c r="B1235">
        <f>IF($J1235="","",IF($J1235&lt;=1500,INDEX('Daily Sale entry '!$Y$1:$Y$1501,$J1235+1)&amp;"","Buyer cheque banked 买家支票存入"&amp;IF(INDEX('Daily Sale entry '!$U$1:$U$1501,$J1235-1499)="","", " - "&amp;INDEX('Daily Sale entry '!$U$1:$U$1501,$J1235-1499))))</f>
        <v/>
      </c>
      <c r="C1235">
        <f>IF($J1235="","",IF($J1235&lt;=1500,INDEX('Daily Sale entry '!$Z$1:$Z$1501,$J1235+1)&amp;"","Cheque deposit 支票存入 (buyer 买家)"))</f>
        <v/>
      </c>
      <c r="D1235">
        <f>IF($J1235="","",IF($J1235&lt;=1500,INDEX('Daily Sale entry '!$AA$1:$AA$1501,$J1235+1)&amp;"",INDEX('Daily Sale entry '!$P$1:$P$1501,$J1235-1499)&amp;""))</f>
        <v/>
      </c>
      <c r="E1235">
        <f>IF($J1235="","",IF($J1235&lt;=1500,IF(N(INDEX('Daily Sale entry '!$AB$1:$AB$1501,$J1235+1))=0,"",INDEX('Daily Sale entry '!$AB$1:$AB$1501,$J1235+1)),1))</f>
        <v/>
      </c>
      <c r="F1235" s="6">
        <f>IF($J1235="","",IF($J1235&lt;=1500,N(INDEX('Daily Sale entry '!$AC$1:$AC$1501,$J1235+1))-IF(AND('Opening Balance'!$B$15=1,INDEX('Daily Sale entry '!$Z$1:$Z$1501,$J1235+1)="Online collection 网上收款",INDEX('Daily Sale entry '!$AA$1:$AA$1501,$J1235+1)&lt;&gt;""),N(INDEX('Daily Sale entry '!$AC$1:$AC$1501,$J1235+1))-TRUNC(N(INDEX('Daily Sale entry '!$AC$1:$AC$1501,$J1235+1))),0),N(INDEX('Daily Sale entry '!$S$1:$S$1501,$J1235-1499))-'Opening Balance'!$B$15*(N(INDEX('Daily Sale entry '!$S$1:$S$1501,$J1235-1499))-TRUNC(N(INDEX('Daily Sale entry '!$S$1:$S$1501,$J1235-1499))))))</f>
        <v/>
      </c>
      <c r="G1235" s="6">
        <f>IF($J1235="","",IF($J1235&lt;=1500,N(INDEX('Daily Sale entry '!$AD$1:$AD$1501,$J1235+1)),0))</f>
        <v/>
      </c>
      <c r="H1235" s="6">
        <f>IF($J1235="","",ROUND('Opening Balance'!$B$4+SUM($F$2:F1235)-SUM($G$2:G1235),2))</f>
        <v/>
      </c>
      <c r="J1235" s="21">
        <f>IFERROR(MATCH(ROW()-1,$L$2:$L$3001,0),"")</f>
        <v/>
      </c>
      <c r="K1235" s="34">
        <f>IF(AND('Daily Sale entry '!X1235&lt;&gt;"",OR('Daily Sale entry '!AC1235&lt;&gt;"",'Daily Sale entry '!AD1235&lt;&gt;"")),'Daily Sale entry '!X1235+ROW()/10000000,"")</f>
        <v/>
      </c>
      <c r="L1235" s="21">
        <f>IF(K1235="","",COUNTIF($K$2:$K$3001,"&lt;"&amp;K1235)+1)</f>
        <v/>
      </c>
    </row>
    <row r="1236">
      <c r="A1236" s="5">
        <f>IF($J1236="","",IF($J1236&lt;=1500,INDEX('Daily Sale entry '!$X$1:$X$1501,$J1236+1),INDEX('Daily Sale entry '!$V$1:$V$1501,$J1236-1499)))</f>
        <v/>
      </c>
      <c r="B1236">
        <f>IF($J1236="","",IF($J1236&lt;=1500,INDEX('Daily Sale entry '!$Y$1:$Y$1501,$J1236+1)&amp;"","Buyer cheque banked 买家支票存入"&amp;IF(INDEX('Daily Sale entry '!$U$1:$U$1501,$J1236-1499)="","", " - "&amp;INDEX('Daily Sale entry '!$U$1:$U$1501,$J1236-1499))))</f>
        <v/>
      </c>
      <c r="C1236">
        <f>IF($J1236="","",IF($J1236&lt;=1500,INDEX('Daily Sale entry '!$Z$1:$Z$1501,$J1236+1)&amp;"","Cheque deposit 支票存入 (buyer 买家)"))</f>
        <v/>
      </c>
      <c r="D1236">
        <f>IF($J1236="","",IF($J1236&lt;=1500,INDEX('Daily Sale entry '!$AA$1:$AA$1501,$J1236+1)&amp;"",INDEX('Daily Sale entry '!$P$1:$P$1501,$J1236-1499)&amp;""))</f>
        <v/>
      </c>
      <c r="E1236">
        <f>IF($J1236="","",IF($J1236&lt;=1500,IF(N(INDEX('Daily Sale entry '!$AB$1:$AB$1501,$J1236+1))=0,"",INDEX('Daily Sale entry '!$AB$1:$AB$1501,$J1236+1)),1))</f>
        <v/>
      </c>
      <c r="F1236" s="6">
        <f>IF($J1236="","",IF($J1236&lt;=1500,N(INDEX('Daily Sale entry '!$AC$1:$AC$1501,$J1236+1))-IF(AND('Opening Balance'!$B$15=1,INDEX('Daily Sale entry '!$Z$1:$Z$1501,$J1236+1)="Online collection 网上收款",INDEX('Daily Sale entry '!$AA$1:$AA$1501,$J1236+1)&lt;&gt;""),N(INDEX('Daily Sale entry '!$AC$1:$AC$1501,$J1236+1))-TRUNC(N(INDEX('Daily Sale entry '!$AC$1:$AC$1501,$J1236+1))),0),N(INDEX('Daily Sale entry '!$S$1:$S$1501,$J1236-1499))-'Opening Balance'!$B$15*(N(INDEX('Daily Sale entry '!$S$1:$S$1501,$J1236-1499))-TRUNC(N(INDEX('Daily Sale entry '!$S$1:$S$1501,$J1236-1499))))))</f>
        <v/>
      </c>
      <c r="G1236" s="6">
        <f>IF($J1236="","",IF($J1236&lt;=1500,N(INDEX('Daily Sale entry '!$AD$1:$AD$1501,$J1236+1)),0))</f>
        <v/>
      </c>
      <c r="H1236" s="6">
        <f>IF($J1236="","",ROUND('Opening Balance'!$B$4+SUM($F$2:F1236)-SUM($G$2:G1236),2))</f>
        <v/>
      </c>
      <c r="J1236" s="21">
        <f>IFERROR(MATCH(ROW()-1,$L$2:$L$3001,0),"")</f>
        <v/>
      </c>
      <c r="K1236" s="34">
        <f>IF(AND('Daily Sale entry '!X1236&lt;&gt;"",OR('Daily Sale entry '!AC1236&lt;&gt;"",'Daily Sale entry '!AD1236&lt;&gt;"")),'Daily Sale entry '!X1236+ROW()/10000000,"")</f>
        <v/>
      </c>
      <c r="L1236" s="21">
        <f>IF(K1236="","",COUNTIF($K$2:$K$3001,"&lt;"&amp;K1236)+1)</f>
        <v/>
      </c>
    </row>
    <row r="1237">
      <c r="A1237" s="5">
        <f>IF($J1237="","",IF($J1237&lt;=1500,INDEX('Daily Sale entry '!$X$1:$X$1501,$J1237+1),INDEX('Daily Sale entry '!$V$1:$V$1501,$J1237-1499)))</f>
        <v/>
      </c>
      <c r="B1237">
        <f>IF($J1237="","",IF($J1237&lt;=1500,INDEX('Daily Sale entry '!$Y$1:$Y$1501,$J1237+1)&amp;"","Buyer cheque banked 买家支票存入"&amp;IF(INDEX('Daily Sale entry '!$U$1:$U$1501,$J1237-1499)="","", " - "&amp;INDEX('Daily Sale entry '!$U$1:$U$1501,$J1237-1499))))</f>
        <v/>
      </c>
      <c r="C1237">
        <f>IF($J1237="","",IF($J1237&lt;=1500,INDEX('Daily Sale entry '!$Z$1:$Z$1501,$J1237+1)&amp;"","Cheque deposit 支票存入 (buyer 买家)"))</f>
        <v/>
      </c>
      <c r="D1237">
        <f>IF($J1237="","",IF($J1237&lt;=1500,INDEX('Daily Sale entry '!$AA$1:$AA$1501,$J1237+1)&amp;"",INDEX('Daily Sale entry '!$P$1:$P$1501,$J1237-1499)&amp;""))</f>
        <v/>
      </c>
      <c r="E1237">
        <f>IF($J1237="","",IF($J1237&lt;=1500,IF(N(INDEX('Daily Sale entry '!$AB$1:$AB$1501,$J1237+1))=0,"",INDEX('Daily Sale entry '!$AB$1:$AB$1501,$J1237+1)),1))</f>
        <v/>
      </c>
      <c r="F1237" s="6">
        <f>IF($J1237="","",IF($J1237&lt;=1500,N(INDEX('Daily Sale entry '!$AC$1:$AC$1501,$J1237+1))-IF(AND('Opening Balance'!$B$15=1,INDEX('Daily Sale entry '!$Z$1:$Z$1501,$J1237+1)="Online collection 网上收款",INDEX('Daily Sale entry '!$AA$1:$AA$1501,$J1237+1)&lt;&gt;""),N(INDEX('Daily Sale entry '!$AC$1:$AC$1501,$J1237+1))-TRUNC(N(INDEX('Daily Sale entry '!$AC$1:$AC$1501,$J1237+1))),0),N(INDEX('Daily Sale entry '!$S$1:$S$1501,$J1237-1499))-'Opening Balance'!$B$15*(N(INDEX('Daily Sale entry '!$S$1:$S$1501,$J1237-1499))-TRUNC(N(INDEX('Daily Sale entry '!$S$1:$S$1501,$J1237-1499))))))</f>
        <v/>
      </c>
      <c r="G1237" s="6">
        <f>IF($J1237="","",IF($J1237&lt;=1500,N(INDEX('Daily Sale entry '!$AD$1:$AD$1501,$J1237+1)),0))</f>
        <v/>
      </c>
      <c r="H1237" s="6">
        <f>IF($J1237="","",ROUND('Opening Balance'!$B$4+SUM($F$2:F1237)-SUM($G$2:G1237),2))</f>
        <v/>
      </c>
      <c r="J1237" s="21">
        <f>IFERROR(MATCH(ROW()-1,$L$2:$L$3001,0),"")</f>
        <v/>
      </c>
      <c r="K1237" s="34">
        <f>IF(AND('Daily Sale entry '!X1237&lt;&gt;"",OR('Daily Sale entry '!AC1237&lt;&gt;"",'Daily Sale entry '!AD1237&lt;&gt;"")),'Daily Sale entry '!X1237+ROW()/10000000,"")</f>
        <v/>
      </c>
      <c r="L1237" s="21">
        <f>IF(K1237="","",COUNTIF($K$2:$K$3001,"&lt;"&amp;K1237)+1)</f>
        <v/>
      </c>
    </row>
    <row r="1238">
      <c r="A1238" s="5">
        <f>IF($J1238="","",IF($J1238&lt;=1500,INDEX('Daily Sale entry '!$X$1:$X$1501,$J1238+1),INDEX('Daily Sale entry '!$V$1:$V$1501,$J1238-1499)))</f>
        <v/>
      </c>
      <c r="B1238">
        <f>IF($J1238="","",IF($J1238&lt;=1500,INDEX('Daily Sale entry '!$Y$1:$Y$1501,$J1238+1)&amp;"","Buyer cheque banked 买家支票存入"&amp;IF(INDEX('Daily Sale entry '!$U$1:$U$1501,$J1238-1499)="","", " - "&amp;INDEX('Daily Sale entry '!$U$1:$U$1501,$J1238-1499))))</f>
        <v/>
      </c>
      <c r="C1238">
        <f>IF($J1238="","",IF($J1238&lt;=1500,INDEX('Daily Sale entry '!$Z$1:$Z$1501,$J1238+1)&amp;"","Cheque deposit 支票存入 (buyer 买家)"))</f>
        <v/>
      </c>
      <c r="D1238">
        <f>IF($J1238="","",IF($J1238&lt;=1500,INDEX('Daily Sale entry '!$AA$1:$AA$1501,$J1238+1)&amp;"",INDEX('Daily Sale entry '!$P$1:$P$1501,$J1238-1499)&amp;""))</f>
        <v/>
      </c>
      <c r="E1238">
        <f>IF($J1238="","",IF($J1238&lt;=1500,IF(N(INDEX('Daily Sale entry '!$AB$1:$AB$1501,$J1238+1))=0,"",INDEX('Daily Sale entry '!$AB$1:$AB$1501,$J1238+1)),1))</f>
        <v/>
      </c>
      <c r="F1238" s="6">
        <f>IF($J1238="","",IF($J1238&lt;=1500,N(INDEX('Daily Sale entry '!$AC$1:$AC$1501,$J1238+1))-IF(AND('Opening Balance'!$B$15=1,INDEX('Daily Sale entry '!$Z$1:$Z$1501,$J1238+1)="Online collection 网上收款",INDEX('Daily Sale entry '!$AA$1:$AA$1501,$J1238+1)&lt;&gt;""),N(INDEX('Daily Sale entry '!$AC$1:$AC$1501,$J1238+1))-TRUNC(N(INDEX('Daily Sale entry '!$AC$1:$AC$1501,$J1238+1))),0),N(INDEX('Daily Sale entry '!$S$1:$S$1501,$J1238-1499))-'Opening Balance'!$B$15*(N(INDEX('Daily Sale entry '!$S$1:$S$1501,$J1238-1499))-TRUNC(N(INDEX('Daily Sale entry '!$S$1:$S$1501,$J1238-1499))))))</f>
        <v/>
      </c>
      <c r="G1238" s="6">
        <f>IF($J1238="","",IF($J1238&lt;=1500,N(INDEX('Daily Sale entry '!$AD$1:$AD$1501,$J1238+1)),0))</f>
        <v/>
      </c>
      <c r="H1238" s="6">
        <f>IF($J1238="","",ROUND('Opening Balance'!$B$4+SUM($F$2:F1238)-SUM($G$2:G1238),2))</f>
        <v/>
      </c>
      <c r="J1238" s="21">
        <f>IFERROR(MATCH(ROW()-1,$L$2:$L$3001,0),"")</f>
        <v/>
      </c>
      <c r="K1238" s="34">
        <f>IF(AND('Daily Sale entry '!X1238&lt;&gt;"",OR('Daily Sale entry '!AC1238&lt;&gt;"",'Daily Sale entry '!AD1238&lt;&gt;"")),'Daily Sale entry '!X1238+ROW()/10000000,"")</f>
        <v/>
      </c>
      <c r="L1238" s="21">
        <f>IF(K1238="","",COUNTIF($K$2:$K$3001,"&lt;"&amp;K1238)+1)</f>
        <v/>
      </c>
    </row>
    <row r="1239">
      <c r="A1239" s="5">
        <f>IF($J1239="","",IF($J1239&lt;=1500,INDEX('Daily Sale entry '!$X$1:$X$1501,$J1239+1),INDEX('Daily Sale entry '!$V$1:$V$1501,$J1239-1499)))</f>
        <v/>
      </c>
      <c r="B1239">
        <f>IF($J1239="","",IF($J1239&lt;=1500,INDEX('Daily Sale entry '!$Y$1:$Y$1501,$J1239+1)&amp;"","Buyer cheque banked 买家支票存入"&amp;IF(INDEX('Daily Sale entry '!$U$1:$U$1501,$J1239-1499)="","", " - "&amp;INDEX('Daily Sale entry '!$U$1:$U$1501,$J1239-1499))))</f>
        <v/>
      </c>
      <c r="C1239">
        <f>IF($J1239="","",IF($J1239&lt;=1500,INDEX('Daily Sale entry '!$Z$1:$Z$1501,$J1239+1)&amp;"","Cheque deposit 支票存入 (buyer 买家)"))</f>
        <v/>
      </c>
      <c r="D1239">
        <f>IF($J1239="","",IF($J1239&lt;=1500,INDEX('Daily Sale entry '!$AA$1:$AA$1501,$J1239+1)&amp;"",INDEX('Daily Sale entry '!$P$1:$P$1501,$J1239-1499)&amp;""))</f>
        <v/>
      </c>
      <c r="E1239">
        <f>IF($J1239="","",IF($J1239&lt;=1500,IF(N(INDEX('Daily Sale entry '!$AB$1:$AB$1501,$J1239+1))=0,"",INDEX('Daily Sale entry '!$AB$1:$AB$1501,$J1239+1)),1))</f>
        <v/>
      </c>
      <c r="F1239" s="6">
        <f>IF($J1239="","",IF($J1239&lt;=1500,N(INDEX('Daily Sale entry '!$AC$1:$AC$1501,$J1239+1))-IF(AND('Opening Balance'!$B$15=1,INDEX('Daily Sale entry '!$Z$1:$Z$1501,$J1239+1)="Online collection 网上收款",INDEX('Daily Sale entry '!$AA$1:$AA$1501,$J1239+1)&lt;&gt;""),N(INDEX('Daily Sale entry '!$AC$1:$AC$1501,$J1239+1))-TRUNC(N(INDEX('Daily Sale entry '!$AC$1:$AC$1501,$J1239+1))),0),N(INDEX('Daily Sale entry '!$S$1:$S$1501,$J1239-1499))-'Opening Balance'!$B$15*(N(INDEX('Daily Sale entry '!$S$1:$S$1501,$J1239-1499))-TRUNC(N(INDEX('Daily Sale entry '!$S$1:$S$1501,$J1239-1499))))))</f>
        <v/>
      </c>
      <c r="G1239" s="6">
        <f>IF($J1239="","",IF($J1239&lt;=1500,N(INDEX('Daily Sale entry '!$AD$1:$AD$1501,$J1239+1)),0))</f>
        <v/>
      </c>
      <c r="H1239" s="6">
        <f>IF($J1239="","",ROUND('Opening Balance'!$B$4+SUM($F$2:F1239)-SUM($G$2:G1239),2))</f>
        <v/>
      </c>
      <c r="J1239" s="21">
        <f>IFERROR(MATCH(ROW()-1,$L$2:$L$3001,0),"")</f>
        <v/>
      </c>
      <c r="K1239" s="34">
        <f>IF(AND('Daily Sale entry '!X1239&lt;&gt;"",OR('Daily Sale entry '!AC1239&lt;&gt;"",'Daily Sale entry '!AD1239&lt;&gt;"")),'Daily Sale entry '!X1239+ROW()/10000000,"")</f>
        <v/>
      </c>
      <c r="L1239" s="21">
        <f>IF(K1239="","",COUNTIF($K$2:$K$3001,"&lt;"&amp;K1239)+1)</f>
        <v/>
      </c>
    </row>
    <row r="1240">
      <c r="A1240" s="5">
        <f>IF($J1240="","",IF($J1240&lt;=1500,INDEX('Daily Sale entry '!$X$1:$X$1501,$J1240+1),INDEX('Daily Sale entry '!$V$1:$V$1501,$J1240-1499)))</f>
        <v/>
      </c>
      <c r="B1240">
        <f>IF($J1240="","",IF($J1240&lt;=1500,INDEX('Daily Sale entry '!$Y$1:$Y$1501,$J1240+1)&amp;"","Buyer cheque banked 买家支票存入"&amp;IF(INDEX('Daily Sale entry '!$U$1:$U$1501,$J1240-1499)="","", " - "&amp;INDEX('Daily Sale entry '!$U$1:$U$1501,$J1240-1499))))</f>
        <v/>
      </c>
      <c r="C1240">
        <f>IF($J1240="","",IF($J1240&lt;=1500,INDEX('Daily Sale entry '!$Z$1:$Z$1501,$J1240+1)&amp;"","Cheque deposit 支票存入 (buyer 买家)"))</f>
        <v/>
      </c>
      <c r="D1240">
        <f>IF($J1240="","",IF($J1240&lt;=1500,INDEX('Daily Sale entry '!$AA$1:$AA$1501,$J1240+1)&amp;"",INDEX('Daily Sale entry '!$P$1:$P$1501,$J1240-1499)&amp;""))</f>
        <v/>
      </c>
      <c r="E1240">
        <f>IF($J1240="","",IF($J1240&lt;=1500,IF(N(INDEX('Daily Sale entry '!$AB$1:$AB$1501,$J1240+1))=0,"",INDEX('Daily Sale entry '!$AB$1:$AB$1501,$J1240+1)),1))</f>
        <v/>
      </c>
      <c r="F1240" s="6">
        <f>IF($J1240="","",IF($J1240&lt;=1500,N(INDEX('Daily Sale entry '!$AC$1:$AC$1501,$J1240+1))-IF(AND('Opening Balance'!$B$15=1,INDEX('Daily Sale entry '!$Z$1:$Z$1501,$J1240+1)="Online collection 网上收款",INDEX('Daily Sale entry '!$AA$1:$AA$1501,$J1240+1)&lt;&gt;""),N(INDEX('Daily Sale entry '!$AC$1:$AC$1501,$J1240+1))-TRUNC(N(INDEX('Daily Sale entry '!$AC$1:$AC$1501,$J1240+1))),0),N(INDEX('Daily Sale entry '!$S$1:$S$1501,$J1240-1499))-'Opening Balance'!$B$15*(N(INDEX('Daily Sale entry '!$S$1:$S$1501,$J1240-1499))-TRUNC(N(INDEX('Daily Sale entry '!$S$1:$S$1501,$J1240-1499))))))</f>
        <v/>
      </c>
      <c r="G1240" s="6">
        <f>IF($J1240="","",IF($J1240&lt;=1500,N(INDEX('Daily Sale entry '!$AD$1:$AD$1501,$J1240+1)),0))</f>
        <v/>
      </c>
      <c r="H1240" s="6">
        <f>IF($J1240="","",ROUND('Opening Balance'!$B$4+SUM($F$2:F1240)-SUM($G$2:G1240),2))</f>
        <v/>
      </c>
      <c r="J1240" s="21">
        <f>IFERROR(MATCH(ROW()-1,$L$2:$L$3001,0),"")</f>
        <v/>
      </c>
      <c r="K1240" s="34">
        <f>IF(AND('Daily Sale entry '!X1240&lt;&gt;"",OR('Daily Sale entry '!AC1240&lt;&gt;"",'Daily Sale entry '!AD1240&lt;&gt;"")),'Daily Sale entry '!X1240+ROW()/10000000,"")</f>
        <v/>
      </c>
      <c r="L1240" s="21">
        <f>IF(K1240="","",COUNTIF($K$2:$K$3001,"&lt;"&amp;K1240)+1)</f>
        <v/>
      </c>
    </row>
    <row r="1241">
      <c r="A1241" s="5">
        <f>IF($J1241="","",IF($J1241&lt;=1500,INDEX('Daily Sale entry '!$X$1:$X$1501,$J1241+1),INDEX('Daily Sale entry '!$V$1:$V$1501,$J1241-1499)))</f>
        <v/>
      </c>
      <c r="B1241">
        <f>IF($J1241="","",IF($J1241&lt;=1500,INDEX('Daily Sale entry '!$Y$1:$Y$1501,$J1241+1)&amp;"","Buyer cheque banked 买家支票存入"&amp;IF(INDEX('Daily Sale entry '!$U$1:$U$1501,$J1241-1499)="","", " - "&amp;INDEX('Daily Sale entry '!$U$1:$U$1501,$J1241-1499))))</f>
        <v/>
      </c>
      <c r="C1241">
        <f>IF($J1241="","",IF($J1241&lt;=1500,INDEX('Daily Sale entry '!$Z$1:$Z$1501,$J1241+1)&amp;"","Cheque deposit 支票存入 (buyer 买家)"))</f>
        <v/>
      </c>
      <c r="D1241">
        <f>IF($J1241="","",IF($J1241&lt;=1500,INDEX('Daily Sale entry '!$AA$1:$AA$1501,$J1241+1)&amp;"",INDEX('Daily Sale entry '!$P$1:$P$1501,$J1241-1499)&amp;""))</f>
        <v/>
      </c>
      <c r="E1241">
        <f>IF($J1241="","",IF($J1241&lt;=1500,IF(N(INDEX('Daily Sale entry '!$AB$1:$AB$1501,$J1241+1))=0,"",INDEX('Daily Sale entry '!$AB$1:$AB$1501,$J1241+1)),1))</f>
        <v/>
      </c>
      <c r="F1241" s="6">
        <f>IF($J1241="","",IF($J1241&lt;=1500,N(INDEX('Daily Sale entry '!$AC$1:$AC$1501,$J1241+1))-IF(AND('Opening Balance'!$B$15=1,INDEX('Daily Sale entry '!$Z$1:$Z$1501,$J1241+1)="Online collection 网上收款",INDEX('Daily Sale entry '!$AA$1:$AA$1501,$J1241+1)&lt;&gt;""),N(INDEX('Daily Sale entry '!$AC$1:$AC$1501,$J1241+1))-TRUNC(N(INDEX('Daily Sale entry '!$AC$1:$AC$1501,$J1241+1))),0),N(INDEX('Daily Sale entry '!$S$1:$S$1501,$J1241-1499))-'Opening Balance'!$B$15*(N(INDEX('Daily Sale entry '!$S$1:$S$1501,$J1241-1499))-TRUNC(N(INDEX('Daily Sale entry '!$S$1:$S$1501,$J1241-1499))))))</f>
        <v/>
      </c>
      <c r="G1241" s="6">
        <f>IF($J1241="","",IF($J1241&lt;=1500,N(INDEX('Daily Sale entry '!$AD$1:$AD$1501,$J1241+1)),0))</f>
        <v/>
      </c>
      <c r="H1241" s="6">
        <f>IF($J1241="","",ROUND('Opening Balance'!$B$4+SUM($F$2:F1241)-SUM($G$2:G1241),2))</f>
        <v/>
      </c>
      <c r="J1241" s="21">
        <f>IFERROR(MATCH(ROW()-1,$L$2:$L$3001,0),"")</f>
        <v/>
      </c>
      <c r="K1241" s="34">
        <f>IF(AND('Daily Sale entry '!X1241&lt;&gt;"",OR('Daily Sale entry '!AC1241&lt;&gt;"",'Daily Sale entry '!AD1241&lt;&gt;"")),'Daily Sale entry '!X1241+ROW()/10000000,"")</f>
        <v/>
      </c>
      <c r="L1241" s="21">
        <f>IF(K1241="","",COUNTIF($K$2:$K$3001,"&lt;"&amp;K1241)+1)</f>
        <v/>
      </c>
    </row>
    <row r="1242">
      <c r="A1242" s="5">
        <f>IF($J1242="","",IF($J1242&lt;=1500,INDEX('Daily Sale entry '!$X$1:$X$1501,$J1242+1),INDEX('Daily Sale entry '!$V$1:$V$1501,$J1242-1499)))</f>
        <v/>
      </c>
      <c r="B1242">
        <f>IF($J1242="","",IF($J1242&lt;=1500,INDEX('Daily Sale entry '!$Y$1:$Y$1501,$J1242+1)&amp;"","Buyer cheque banked 买家支票存入"&amp;IF(INDEX('Daily Sale entry '!$U$1:$U$1501,$J1242-1499)="","", " - "&amp;INDEX('Daily Sale entry '!$U$1:$U$1501,$J1242-1499))))</f>
        <v/>
      </c>
      <c r="C1242">
        <f>IF($J1242="","",IF($J1242&lt;=1500,INDEX('Daily Sale entry '!$Z$1:$Z$1501,$J1242+1)&amp;"","Cheque deposit 支票存入 (buyer 买家)"))</f>
        <v/>
      </c>
      <c r="D1242">
        <f>IF($J1242="","",IF($J1242&lt;=1500,INDEX('Daily Sale entry '!$AA$1:$AA$1501,$J1242+1)&amp;"",INDEX('Daily Sale entry '!$P$1:$P$1501,$J1242-1499)&amp;""))</f>
        <v/>
      </c>
      <c r="E1242">
        <f>IF($J1242="","",IF($J1242&lt;=1500,IF(N(INDEX('Daily Sale entry '!$AB$1:$AB$1501,$J1242+1))=0,"",INDEX('Daily Sale entry '!$AB$1:$AB$1501,$J1242+1)),1))</f>
        <v/>
      </c>
      <c r="F1242" s="6">
        <f>IF($J1242="","",IF($J1242&lt;=1500,N(INDEX('Daily Sale entry '!$AC$1:$AC$1501,$J1242+1))-IF(AND('Opening Balance'!$B$15=1,INDEX('Daily Sale entry '!$Z$1:$Z$1501,$J1242+1)="Online collection 网上收款",INDEX('Daily Sale entry '!$AA$1:$AA$1501,$J1242+1)&lt;&gt;""),N(INDEX('Daily Sale entry '!$AC$1:$AC$1501,$J1242+1))-TRUNC(N(INDEX('Daily Sale entry '!$AC$1:$AC$1501,$J1242+1))),0),N(INDEX('Daily Sale entry '!$S$1:$S$1501,$J1242-1499))-'Opening Balance'!$B$15*(N(INDEX('Daily Sale entry '!$S$1:$S$1501,$J1242-1499))-TRUNC(N(INDEX('Daily Sale entry '!$S$1:$S$1501,$J1242-1499))))))</f>
        <v/>
      </c>
      <c r="G1242" s="6">
        <f>IF($J1242="","",IF($J1242&lt;=1500,N(INDEX('Daily Sale entry '!$AD$1:$AD$1501,$J1242+1)),0))</f>
        <v/>
      </c>
      <c r="H1242" s="6">
        <f>IF($J1242="","",ROUND('Opening Balance'!$B$4+SUM($F$2:F1242)-SUM($G$2:G1242),2))</f>
        <v/>
      </c>
      <c r="J1242" s="21">
        <f>IFERROR(MATCH(ROW()-1,$L$2:$L$3001,0),"")</f>
        <v/>
      </c>
      <c r="K1242" s="34">
        <f>IF(AND('Daily Sale entry '!X1242&lt;&gt;"",OR('Daily Sale entry '!AC1242&lt;&gt;"",'Daily Sale entry '!AD1242&lt;&gt;"")),'Daily Sale entry '!X1242+ROW()/10000000,"")</f>
        <v/>
      </c>
      <c r="L1242" s="21">
        <f>IF(K1242="","",COUNTIF($K$2:$K$3001,"&lt;"&amp;K1242)+1)</f>
        <v/>
      </c>
    </row>
    <row r="1243">
      <c r="A1243" s="5">
        <f>IF($J1243="","",IF($J1243&lt;=1500,INDEX('Daily Sale entry '!$X$1:$X$1501,$J1243+1),INDEX('Daily Sale entry '!$V$1:$V$1501,$J1243-1499)))</f>
        <v/>
      </c>
      <c r="B1243">
        <f>IF($J1243="","",IF($J1243&lt;=1500,INDEX('Daily Sale entry '!$Y$1:$Y$1501,$J1243+1)&amp;"","Buyer cheque banked 买家支票存入"&amp;IF(INDEX('Daily Sale entry '!$U$1:$U$1501,$J1243-1499)="","", " - "&amp;INDEX('Daily Sale entry '!$U$1:$U$1501,$J1243-1499))))</f>
        <v/>
      </c>
      <c r="C1243">
        <f>IF($J1243="","",IF($J1243&lt;=1500,INDEX('Daily Sale entry '!$Z$1:$Z$1501,$J1243+1)&amp;"","Cheque deposit 支票存入 (buyer 买家)"))</f>
        <v/>
      </c>
      <c r="D1243">
        <f>IF($J1243="","",IF($J1243&lt;=1500,INDEX('Daily Sale entry '!$AA$1:$AA$1501,$J1243+1)&amp;"",INDEX('Daily Sale entry '!$P$1:$P$1501,$J1243-1499)&amp;""))</f>
        <v/>
      </c>
      <c r="E1243">
        <f>IF($J1243="","",IF($J1243&lt;=1500,IF(N(INDEX('Daily Sale entry '!$AB$1:$AB$1501,$J1243+1))=0,"",INDEX('Daily Sale entry '!$AB$1:$AB$1501,$J1243+1)),1))</f>
        <v/>
      </c>
      <c r="F1243" s="6">
        <f>IF($J1243="","",IF($J1243&lt;=1500,N(INDEX('Daily Sale entry '!$AC$1:$AC$1501,$J1243+1))-IF(AND('Opening Balance'!$B$15=1,INDEX('Daily Sale entry '!$Z$1:$Z$1501,$J1243+1)="Online collection 网上收款",INDEX('Daily Sale entry '!$AA$1:$AA$1501,$J1243+1)&lt;&gt;""),N(INDEX('Daily Sale entry '!$AC$1:$AC$1501,$J1243+1))-TRUNC(N(INDEX('Daily Sale entry '!$AC$1:$AC$1501,$J1243+1))),0),N(INDEX('Daily Sale entry '!$S$1:$S$1501,$J1243-1499))-'Opening Balance'!$B$15*(N(INDEX('Daily Sale entry '!$S$1:$S$1501,$J1243-1499))-TRUNC(N(INDEX('Daily Sale entry '!$S$1:$S$1501,$J1243-1499))))))</f>
        <v/>
      </c>
      <c r="G1243" s="6">
        <f>IF($J1243="","",IF($J1243&lt;=1500,N(INDEX('Daily Sale entry '!$AD$1:$AD$1501,$J1243+1)),0))</f>
        <v/>
      </c>
      <c r="H1243" s="6">
        <f>IF($J1243="","",ROUND('Opening Balance'!$B$4+SUM($F$2:F1243)-SUM($G$2:G1243),2))</f>
        <v/>
      </c>
      <c r="J1243" s="21">
        <f>IFERROR(MATCH(ROW()-1,$L$2:$L$3001,0),"")</f>
        <v/>
      </c>
      <c r="K1243" s="34">
        <f>IF(AND('Daily Sale entry '!X1243&lt;&gt;"",OR('Daily Sale entry '!AC1243&lt;&gt;"",'Daily Sale entry '!AD1243&lt;&gt;"")),'Daily Sale entry '!X1243+ROW()/10000000,"")</f>
        <v/>
      </c>
      <c r="L1243" s="21">
        <f>IF(K1243="","",COUNTIF($K$2:$K$3001,"&lt;"&amp;K1243)+1)</f>
        <v/>
      </c>
    </row>
    <row r="1244">
      <c r="A1244" s="5">
        <f>IF($J1244="","",IF($J1244&lt;=1500,INDEX('Daily Sale entry '!$X$1:$X$1501,$J1244+1),INDEX('Daily Sale entry '!$V$1:$V$1501,$J1244-1499)))</f>
        <v/>
      </c>
      <c r="B1244">
        <f>IF($J1244="","",IF($J1244&lt;=1500,INDEX('Daily Sale entry '!$Y$1:$Y$1501,$J1244+1)&amp;"","Buyer cheque banked 买家支票存入"&amp;IF(INDEX('Daily Sale entry '!$U$1:$U$1501,$J1244-1499)="","", " - "&amp;INDEX('Daily Sale entry '!$U$1:$U$1501,$J1244-1499))))</f>
        <v/>
      </c>
      <c r="C1244">
        <f>IF($J1244="","",IF($J1244&lt;=1500,INDEX('Daily Sale entry '!$Z$1:$Z$1501,$J1244+1)&amp;"","Cheque deposit 支票存入 (buyer 买家)"))</f>
        <v/>
      </c>
      <c r="D1244">
        <f>IF($J1244="","",IF($J1244&lt;=1500,INDEX('Daily Sale entry '!$AA$1:$AA$1501,$J1244+1)&amp;"",INDEX('Daily Sale entry '!$P$1:$P$1501,$J1244-1499)&amp;""))</f>
        <v/>
      </c>
      <c r="E1244">
        <f>IF($J1244="","",IF($J1244&lt;=1500,IF(N(INDEX('Daily Sale entry '!$AB$1:$AB$1501,$J1244+1))=0,"",INDEX('Daily Sale entry '!$AB$1:$AB$1501,$J1244+1)),1))</f>
        <v/>
      </c>
      <c r="F1244" s="6">
        <f>IF($J1244="","",IF($J1244&lt;=1500,N(INDEX('Daily Sale entry '!$AC$1:$AC$1501,$J1244+1))-IF(AND('Opening Balance'!$B$15=1,INDEX('Daily Sale entry '!$Z$1:$Z$1501,$J1244+1)="Online collection 网上收款",INDEX('Daily Sale entry '!$AA$1:$AA$1501,$J1244+1)&lt;&gt;""),N(INDEX('Daily Sale entry '!$AC$1:$AC$1501,$J1244+1))-TRUNC(N(INDEX('Daily Sale entry '!$AC$1:$AC$1501,$J1244+1))),0),N(INDEX('Daily Sale entry '!$S$1:$S$1501,$J1244-1499))-'Opening Balance'!$B$15*(N(INDEX('Daily Sale entry '!$S$1:$S$1501,$J1244-1499))-TRUNC(N(INDEX('Daily Sale entry '!$S$1:$S$1501,$J1244-1499))))))</f>
        <v/>
      </c>
      <c r="G1244" s="6">
        <f>IF($J1244="","",IF($J1244&lt;=1500,N(INDEX('Daily Sale entry '!$AD$1:$AD$1501,$J1244+1)),0))</f>
        <v/>
      </c>
      <c r="H1244" s="6">
        <f>IF($J1244="","",ROUND('Opening Balance'!$B$4+SUM($F$2:F1244)-SUM($G$2:G1244),2))</f>
        <v/>
      </c>
      <c r="J1244" s="21">
        <f>IFERROR(MATCH(ROW()-1,$L$2:$L$3001,0),"")</f>
        <v/>
      </c>
      <c r="K1244" s="34">
        <f>IF(AND('Daily Sale entry '!X1244&lt;&gt;"",OR('Daily Sale entry '!AC1244&lt;&gt;"",'Daily Sale entry '!AD1244&lt;&gt;"")),'Daily Sale entry '!X1244+ROW()/10000000,"")</f>
        <v/>
      </c>
      <c r="L1244" s="21">
        <f>IF(K1244="","",COUNTIF($K$2:$K$3001,"&lt;"&amp;K1244)+1)</f>
        <v/>
      </c>
    </row>
    <row r="1245">
      <c r="A1245" s="5">
        <f>IF($J1245="","",IF($J1245&lt;=1500,INDEX('Daily Sale entry '!$X$1:$X$1501,$J1245+1),INDEX('Daily Sale entry '!$V$1:$V$1501,$J1245-1499)))</f>
        <v/>
      </c>
      <c r="B1245">
        <f>IF($J1245="","",IF($J1245&lt;=1500,INDEX('Daily Sale entry '!$Y$1:$Y$1501,$J1245+1)&amp;"","Buyer cheque banked 买家支票存入"&amp;IF(INDEX('Daily Sale entry '!$U$1:$U$1501,$J1245-1499)="","", " - "&amp;INDEX('Daily Sale entry '!$U$1:$U$1501,$J1245-1499))))</f>
        <v/>
      </c>
      <c r="C1245">
        <f>IF($J1245="","",IF($J1245&lt;=1500,INDEX('Daily Sale entry '!$Z$1:$Z$1501,$J1245+1)&amp;"","Cheque deposit 支票存入 (buyer 买家)"))</f>
        <v/>
      </c>
      <c r="D1245">
        <f>IF($J1245="","",IF($J1245&lt;=1500,INDEX('Daily Sale entry '!$AA$1:$AA$1501,$J1245+1)&amp;"",INDEX('Daily Sale entry '!$P$1:$P$1501,$J1245-1499)&amp;""))</f>
        <v/>
      </c>
      <c r="E1245">
        <f>IF($J1245="","",IF($J1245&lt;=1500,IF(N(INDEX('Daily Sale entry '!$AB$1:$AB$1501,$J1245+1))=0,"",INDEX('Daily Sale entry '!$AB$1:$AB$1501,$J1245+1)),1))</f>
        <v/>
      </c>
      <c r="F1245" s="6">
        <f>IF($J1245="","",IF($J1245&lt;=1500,N(INDEX('Daily Sale entry '!$AC$1:$AC$1501,$J1245+1))-IF(AND('Opening Balance'!$B$15=1,INDEX('Daily Sale entry '!$Z$1:$Z$1501,$J1245+1)="Online collection 网上收款",INDEX('Daily Sale entry '!$AA$1:$AA$1501,$J1245+1)&lt;&gt;""),N(INDEX('Daily Sale entry '!$AC$1:$AC$1501,$J1245+1))-TRUNC(N(INDEX('Daily Sale entry '!$AC$1:$AC$1501,$J1245+1))),0),N(INDEX('Daily Sale entry '!$S$1:$S$1501,$J1245-1499))-'Opening Balance'!$B$15*(N(INDEX('Daily Sale entry '!$S$1:$S$1501,$J1245-1499))-TRUNC(N(INDEX('Daily Sale entry '!$S$1:$S$1501,$J1245-1499))))))</f>
        <v/>
      </c>
      <c r="G1245" s="6">
        <f>IF($J1245="","",IF($J1245&lt;=1500,N(INDEX('Daily Sale entry '!$AD$1:$AD$1501,$J1245+1)),0))</f>
        <v/>
      </c>
      <c r="H1245" s="6">
        <f>IF($J1245="","",ROUND('Opening Balance'!$B$4+SUM($F$2:F1245)-SUM($G$2:G1245),2))</f>
        <v/>
      </c>
      <c r="J1245" s="21">
        <f>IFERROR(MATCH(ROW()-1,$L$2:$L$3001,0),"")</f>
        <v/>
      </c>
      <c r="K1245" s="34">
        <f>IF(AND('Daily Sale entry '!X1245&lt;&gt;"",OR('Daily Sale entry '!AC1245&lt;&gt;"",'Daily Sale entry '!AD1245&lt;&gt;"")),'Daily Sale entry '!X1245+ROW()/10000000,"")</f>
        <v/>
      </c>
      <c r="L1245" s="21">
        <f>IF(K1245="","",COUNTIF($K$2:$K$3001,"&lt;"&amp;K1245)+1)</f>
        <v/>
      </c>
    </row>
    <row r="1246">
      <c r="A1246" s="5">
        <f>IF($J1246="","",IF($J1246&lt;=1500,INDEX('Daily Sale entry '!$X$1:$X$1501,$J1246+1),INDEX('Daily Sale entry '!$V$1:$V$1501,$J1246-1499)))</f>
        <v/>
      </c>
      <c r="B1246">
        <f>IF($J1246="","",IF($J1246&lt;=1500,INDEX('Daily Sale entry '!$Y$1:$Y$1501,$J1246+1)&amp;"","Buyer cheque banked 买家支票存入"&amp;IF(INDEX('Daily Sale entry '!$U$1:$U$1501,$J1246-1499)="","", " - "&amp;INDEX('Daily Sale entry '!$U$1:$U$1501,$J1246-1499))))</f>
        <v/>
      </c>
      <c r="C1246">
        <f>IF($J1246="","",IF($J1246&lt;=1500,INDEX('Daily Sale entry '!$Z$1:$Z$1501,$J1246+1)&amp;"","Cheque deposit 支票存入 (buyer 买家)"))</f>
        <v/>
      </c>
      <c r="D1246">
        <f>IF($J1246="","",IF($J1246&lt;=1500,INDEX('Daily Sale entry '!$AA$1:$AA$1501,$J1246+1)&amp;"",INDEX('Daily Sale entry '!$P$1:$P$1501,$J1246-1499)&amp;""))</f>
        <v/>
      </c>
      <c r="E1246">
        <f>IF($J1246="","",IF($J1246&lt;=1500,IF(N(INDEX('Daily Sale entry '!$AB$1:$AB$1501,$J1246+1))=0,"",INDEX('Daily Sale entry '!$AB$1:$AB$1501,$J1246+1)),1))</f>
        <v/>
      </c>
      <c r="F1246" s="6">
        <f>IF($J1246="","",IF($J1246&lt;=1500,N(INDEX('Daily Sale entry '!$AC$1:$AC$1501,$J1246+1))-IF(AND('Opening Balance'!$B$15=1,INDEX('Daily Sale entry '!$Z$1:$Z$1501,$J1246+1)="Online collection 网上收款",INDEX('Daily Sale entry '!$AA$1:$AA$1501,$J1246+1)&lt;&gt;""),N(INDEX('Daily Sale entry '!$AC$1:$AC$1501,$J1246+1))-TRUNC(N(INDEX('Daily Sale entry '!$AC$1:$AC$1501,$J1246+1))),0),N(INDEX('Daily Sale entry '!$S$1:$S$1501,$J1246-1499))-'Opening Balance'!$B$15*(N(INDEX('Daily Sale entry '!$S$1:$S$1501,$J1246-1499))-TRUNC(N(INDEX('Daily Sale entry '!$S$1:$S$1501,$J1246-1499))))))</f>
        <v/>
      </c>
      <c r="G1246" s="6">
        <f>IF($J1246="","",IF($J1246&lt;=1500,N(INDEX('Daily Sale entry '!$AD$1:$AD$1501,$J1246+1)),0))</f>
        <v/>
      </c>
      <c r="H1246" s="6">
        <f>IF($J1246="","",ROUND('Opening Balance'!$B$4+SUM($F$2:F1246)-SUM($G$2:G1246),2))</f>
        <v/>
      </c>
      <c r="J1246" s="21">
        <f>IFERROR(MATCH(ROW()-1,$L$2:$L$3001,0),"")</f>
        <v/>
      </c>
      <c r="K1246" s="34">
        <f>IF(AND('Daily Sale entry '!X1246&lt;&gt;"",OR('Daily Sale entry '!AC1246&lt;&gt;"",'Daily Sale entry '!AD1246&lt;&gt;"")),'Daily Sale entry '!X1246+ROW()/10000000,"")</f>
        <v/>
      </c>
      <c r="L1246" s="21">
        <f>IF(K1246="","",COUNTIF($K$2:$K$3001,"&lt;"&amp;K1246)+1)</f>
        <v/>
      </c>
    </row>
    <row r="1247">
      <c r="A1247" s="5">
        <f>IF($J1247="","",IF($J1247&lt;=1500,INDEX('Daily Sale entry '!$X$1:$X$1501,$J1247+1),INDEX('Daily Sale entry '!$V$1:$V$1501,$J1247-1499)))</f>
        <v/>
      </c>
      <c r="B1247">
        <f>IF($J1247="","",IF($J1247&lt;=1500,INDEX('Daily Sale entry '!$Y$1:$Y$1501,$J1247+1)&amp;"","Buyer cheque banked 买家支票存入"&amp;IF(INDEX('Daily Sale entry '!$U$1:$U$1501,$J1247-1499)="","", " - "&amp;INDEX('Daily Sale entry '!$U$1:$U$1501,$J1247-1499))))</f>
        <v/>
      </c>
      <c r="C1247">
        <f>IF($J1247="","",IF($J1247&lt;=1500,INDEX('Daily Sale entry '!$Z$1:$Z$1501,$J1247+1)&amp;"","Cheque deposit 支票存入 (buyer 买家)"))</f>
        <v/>
      </c>
      <c r="D1247">
        <f>IF($J1247="","",IF($J1247&lt;=1500,INDEX('Daily Sale entry '!$AA$1:$AA$1501,$J1247+1)&amp;"",INDEX('Daily Sale entry '!$P$1:$P$1501,$J1247-1499)&amp;""))</f>
        <v/>
      </c>
      <c r="E1247">
        <f>IF($J1247="","",IF($J1247&lt;=1500,IF(N(INDEX('Daily Sale entry '!$AB$1:$AB$1501,$J1247+1))=0,"",INDEX('Daily Sale entry '!$AB$1:$AB$1501,$J1247+1)),1))</f>
        <v/>
      </c>
      <c r="F1247" s="6">
        <f>IF($J1247="","",IF($J1247&lt;=1500,N(INDEX('Daily Sale entry '!$AC$1:$AC$1501,$J1247+1))-IF(AND('Opening Balance'!$B$15=1,INDEX('Daily Sale entry '!$Z$1:$Z$1501,$J1247+1)="Online collection 网上收款",INDEX('Daily Sale entry '!$AA$1:$AA$1501,$J1247+1)&lt;&gt;""),N(INDEX('Daily Sale entry '!$AC$1:$AC$1501,$J1247+1))-TRUNC(N(INDEX('Daily Sale entry '!$AC$1:$AC$1501,$J1247+1))),0),N(INDEX('Daily Sale entry '!$S$1:$S$1501,$J1247-1499))-'Opening Balance'!$B$15*(N(INDEX('Daily Sale entry '!$S$1:$S$1501,$J1247-1499))-TRUNC(N(INDEX('Daily Sale entry '!$S$1:$S$1501,$J1247-1499))))))</f>
        <v/>
      </c>
      <c r="G1247" s="6">
        <f>IF($J1247="","",IF($J1247&lt;=1500,N(INDEX('Daily Sale entry '!$AD$1:$AD$1501,$J1247+1)),0))</f>
        <v/>
      </c>
      <c r="H1247" s="6">
        <f>IF($J1247="","",ROUND('Opening Balance'!$B$4+SUM($F$2:F1247)-SUM($G$2:G1247),2))</f>
        <v/>
      </c>
      <c r="J1247" s="21">
        <f>IFERROR(MATCH(ROW()-1,$L$2:$L$3001,0),"")</f>
        <v/>
      </c>
      <c r="K1247" s="34">
        <f>IF(AND('Daily Sale entry '!X1247&lt;&gt;"",OR('Daily Sale entry '!AC1247&lt;&gt;"",'Daily Sale entry '!AD1247&lt;&gt;"")),'Daily Sale entry '!X1247+ROW()/10000000,"")</f>
        <v/>
      </c>
      <c r="L1247" s="21">
        <f>IF(K1247="","",COUNTIF($K$2:$K$3001,"&lt;"&amp;K1247)+1)</f>
        <v/>
      </c>
    </row>
    <row r="1248">
      <c r="A1248" s="5">
        <f>IF($J1248="","",IF($J1248&lt;=1500,INDEX('Daily Sale entry '!$X$1:$X$1501,$J1248+1),INDEX('Daily Sale entry '!$V$1:$V$1501,$J1248-1499)))</f>
        <v/>
      </c>
      <c r="B1248">
        <f>IF($J1248="","",IF($J1248&lt;=1500,INDEX('Daily Sale entry '!$Y$1:$Y$1501,$J1248+1)&amp;"","Buyer cheque banked 买家支票存入"&amp;IF(INDEX('Daily Sale entry '!$U$1:$U$1501,$J1248-1499)="","", " - "&amp;INDEX('Daily Sale entry '!$U$1:$U$1501,$J1248-1499))))</f>
        <v/>
      </c>
      <c r="C1248">
        <f>IF($J1248="","",IF($J1248&lt;=1500,INDEX('Daily Sale entry '!$Z$1:$Z$1501,$J1248+1)&amp;"","Cheque deposit 支票存入 (buyer 买家)"))</f>
        <v/>
      </c>
      <c r="D1248">
        <f>IF($J1248="","",IF($J1248&lt;=1500,INDEX('Daily Sale entry '!$AA$1:$AA$1501,$J1248+1)&amp;"",INDEX('Daily Sale entry '!$P$1:$P$1501,$J1248-1499)&amp;""))</f>
        <v/>
      </c>
      <c r="E1248">
        <f>IF($J1248="","",IF($J1248&lt;=1500,IF(N(INDEX('Daily Sale entry '!$AB$1:$AB$1501,$J1248+1))=0,"",INDEX('Daily Sale entry '!$AB$1:$AB$1501,$J1248+1)),1))</f>
        <v/>
      </c>
      <c r="F1248" s="6">
        <f>IF($J1248="","",IF($J1248&lt;=1500,N(INDEX('Daily Sale entry '!$AC$1:$AC$1501,$J1248+1))-IF(AND('Opening Balance'!$B$15=1,INDEX('Daily Sale entry '!$Z$1:$Z$1501,$J1248+1)="Online collection 网上收款",INDEX('Daily Sale entry '!$AA$1:$AA$1501,$J1248+1)&lt;&gt;""),N(INDEX('Daily Sale entry '!$AC$1:$AC$1501,$J1248+1))-TRUNC(N(INDEX('Daily Sale entry '!$AC$1:$AC$1501,$J1248+1))),0),N(INDEX('Daily Sale entry '!$S$1:$S$1501,$J1248-1499))-'Opening Balance'!$B$15*(N(INDEX('Daily Sale entry '!$S$1:$S$1501,$J1248-1499))-TRUNC(N(INDEX('Daily Sale entry '!$S$1:$S$1501,$J1248-1499))))))</f>
        <v/>
      </c>
      <c r="G1248" s="6">
        <f>IF($J1248="","",IF($J1248&lt;=1500,N(INDEX('Daily Sale entry '!$AD$1:$AD$1501,$J1248+1)),0))</f>
        <v/>
      </c>
      <c r="H1248" s="6">
        <f>IF($J1248="","",ROUND('Opening Balance'!$B$4+SUM($F$2:F1248)-SUM($G$2:G1248),2))</f>
        <v/>
      </c>
      <c r="J1248" s="21">
        <f>IFERROR(MATCH(ROW()-1,$L$2:$L$3001,0),"")</f>
        <v/>
      </c>
      <c r="K1248" s="34">
        <f>IF(AND('Daily Sale entry '!X1248&lt;&gt;"",OR('Daily Sale entry '!AC1248&lt;&gt;"",'Daily Sale entry '!AD1248&lt;&gt;"")),'Daily Sale entry '!X1248+ROW()/10000000,"")</f>
        <v/>
      </c>
      <c r="L1248" s="21">
        <f>IF(K1248="","",COUNTIF($K$2:$K$3001,"&lt;"&amp;K1248)+1)</f>
        <v/>
      </c>
    </row>
    <row r="1249">
      <c r="A1249" s="5">
        <f>IF($J1249="","",IF($J1249&lt;=1500,INDEX('Daily Sale entry '!$X$1:$X$1501,$J1249+1),INDEX('Daily Sale entry '!$V$1:$V$1501,$J1249-1499)))</f>
        <v/>
      </c>
      <c r="B1249">
        <f>IF($J1249="","",IF($J1249&lt;=1500,INDEX('Daily Sale entry '!$Y$1:$Y$1501,$J1249+1)&amp;"","Buyer cheque banked 买家支票存入"&amp;IF(INDEX('Daily Sale entry '!$U$1:$U$1501,$J1249-1499)="","", " - "&amp;INDEX('Daily Sale entry '!$U$1:$U$1501,$J1249-1499))))</f>
        <v/>
      </c>
      <c r="C1249">
        <f>IF($J1249="","",IF($J1249&lt;=1500,INDEX('Daily Sale entry '!$Z$1:$Z$1501,$J1249+1)&amp;"","Cheque deposit 支票存入 (buyer 买家)"))</f>
        <v/>
      </c>
      <c r="D1249">
        <f>IF($J1249="","",IF($J1249&lt;=1500,INDEX('Daily Sale entry '!$AA$1:$AA$1501,$J1249+1)&amp;"",INDEX('Daily Sale entry '!$P$1:$P$1501,$J1249-1499)&amp;""))</f>
        <v/>
      </c>
      <c r="E1249">
        <f>IF($J1249="","",IF($J1249&lt;=1500,IF(N(INDEX('Daily Sale entry '!$AB$1:$AB$1501,$J1249+1))=0,"",INDEX('Daily Sale entry '!$AB$1:$AB$1501,$J1249+1)),1))</f>
        <v/>
      </c>
      <c r="F1249" s="6">
        <f>IF($J1249="","",IF($J1249&lt;=1500,N(INDEX('Daily Sale entry '!$AC$1:$AC$1501,$J1249+1))-IF(AND('Opening Balance'!$B$15=1,INDEX('Daily Sale entry '!$Z$1:$Z$1501,$J1249+1)="Online collection 网上收款",INDEX('Daily Sale entry '!$AA$1:$AA$1501,$J1249+1)&lt;&gt;""),N(INDEX('Daily Sale entry '!$AC$1:$AC$1501,$J1249+1))-TRUNC(N(INDEX('Daily Sale entry '!$AC$1:$AC$1501,$J1249+1))),0),N(INDEX('Daily Sale entry '!$S$1:$S$1501,$J1249-1499))-'Opening Balance'!$B$15*(N(INDEX('Daily Sale entry '!$S$1:$S$1501,$J1249-1499))-TRUNC(N(INDEX('Daily Sale entry '!$S$1:$S$1501,$J1249-1499))))))</f>
        <v/>
      </c>
      <c r="G1249" s="6">
        <f>IF($J1249="","",IF($J1249&lt;=1500,N(INDEX('Daily Sale entry '!$AD$1:$AD$1501,$J1249+1)),0))</f>
        <v/>
      </c>
      <c r="H1249" s="6">
        <f>IF($J1249="","",ROUND('Opening Balance'!$B$4+SUM($F$2:F1249)-SUM($G$2:G1249),2))</f>
        <v/>
      </c>
      <c r="J1249" s="21">
        <f>IFERROR(MATCH(ROW()-1,$L$2:$L$3001,0),"")</f>
        <v/>
      </c>
      <c r="K1249" s="34">
        <f>IF(AND('Daily Sale entry '!X1249&lt;&gt;"",OR('Daily Sale entry '!AC1249&lt;&gt;"",'Daily Sale entry '!AD1249&lt;&gt;"")),'Daily Sale entry '!X1249+ROW()/10000000,"")</f>
        <v/>
      </c>
      <c r="L1249" s="21">
        <f>IF(K1249="","",COUNTIF($K$2:$K$3001,"&lt;"&amp;K1249)+1)</f>
        <v/>
      </c>
    </row>
    <row r="1250">
      <c r="A1250" s="5">
        <f>IF($J1250="","",IF($J1250&lt;=1500,INDEX('Daily Sale entry '!$X$1:$X$1501,$J1250+1),INDEX('Daily Sale entry '!$V$1:$V$1501,$J1250-1499)))</f>
        <v/>
      </c>
      <c r="B1250">
        <f>IF($J1250="","",IF($J1250&lt;=1500,INDEX('Daily Sale entry '!$Y$1:$Y$1501,$J1250+1)&amp;"","Buyer cheque banked 买家支票存入"&amp;IF(INDEX('Daily Sale entry '!$U$1:$U$1501,$J1250-1499)="","", " - "&amp;INDEX('Daily Sale entry '!$U$1:$U$1501,$J1250-1499))))</f>
        <v/>
      </c>
      <c r="C1250">
        <f>IF($J1250="","",IF($J1250&lt;=1500,INDEX('Daily Sale entry '!$Z$1:$Z$1501,$J1250+1)&amp;"","Cheque deposit 支票存入 (buyer 买家)"))</f>
        <v/>
      </c>
      <c r="D1250">
        <f>IF($J1250="","",IF($J1250&lt;=1500,INDEX('Daily Sale entry '!$AA$1:$AA$1501,$J1250+1)&amp;"",INDEX('Daily Sale entry '!$P$1:$P$1501,$J1250-1499)&amp;""))</f>
        <v/>
      </c>
      <c r="E1250">
        <f>IF($J1250="","",IF($J1250&lt;=1500,IF(N(INDEX('Daily Sale entry '!$AB$1:$AB$1501,$J1250+1))=0,"",INDEX('Daily Sale entry '!$AB$1:$AB$1501,$J1250+1)),1))</f>
        <v/>
      </c>
      <c r="F1250" s="6">
        <f>IF($J1250="","",IF($J1250&lt;=1500,N(INDEX('Daily Sale entry '!$AC$1:$AC$1501,$J1250+1))-IF(AND('Opening Balance'!$B$15=1,INDEX('Daily Sale entry '!$Z$1:$Z$1501,$J1250+1)="Online collection 网上收款",INDEX('Daily Sale entry '!$AA$1:$AA$1501,$J1250+1)&lt;&gt;""),N(INDEX('Daily Sale entry '!$AC$1:$AC$1501,$J1250+1))-TRUNC(N(INDEX('Daily Sale entry '!$AC$1:$AC$1501,$J1250+1))),0),N(INDEX('Daily Sale entry '!$S$1:$S$1501,$J1250-1499))-'Opening Balance'!$B$15*(N(INDEX('Daily Sale entry '!$S$1:$S$1501,$J1250-1499))-TRUNC(N(INDEX('Daily Sale entry '!$S$1:$S$1501,$J1250-1499))))))</f>
        <v/>
      </c>
      <c r="G1250" s="6">
        <f>IF($J1250="","",IF($J1250&lt;=1500,N(INDEX('Daily Sale entry '!$AD$1:$AD$1501,$J1250+1)),0))</f>
        <v/>
      </c>
      <c r="H1250" s="6">
        <f>IF($J1250="","",ROUND('Opening Balance'!$B$4+SUM($F$2:F1250)-SUM($G$2:G1250),2))</f>
        <v/>
      </c>
      <c r="J1250" s="21">
        <f>IFERROR(MATCH(ROW()-1,$L$2:$L$3001,0),"")</f>
        <v/>
      </c>
      <c r="K1250" s="34">
        <f>IF(AND('Daily Sale entry '!X1250&lt;&gt;"",OR('Daily Sale entry '!AC1250&lt;&gt;"",'Daily Sale entry '!AD1250&lt;&gt;"")),'Daily Sale entry '!X1250+ROW()/10000000,"")</f>
        <v/>
      </c>
      <c r="L1250" s="21">
        <f>IF(K1250="","",COUNTIF($K$2:$K$3001,"&lt;"&amp;K1250)+1)</f>
        <v/>
      </c>
    </row>
    <row r="1251">
      <c r="A1251" s="5">
        <f>IF($J1251="","",IF($J1251&lt;=1500,INDEX('Daily Sale entry '!$X$1:$X$1501,$J1251+1),INDEX('Daily Sale entry '!$V$1:$V$1501,$J1251-1499)))</f>
        <v/>
      </c>
      <c r="B1251">
        <f>IF($J1251="","",IF($J1251&lt;=1500,INDEX('Daily Sale entry '!$Y$1:$Y$1501,$J1251+1)&amp;"","Buyer cheque banked 买家支票存入"&amp;IF(INDEX('Daily Sale entry '!$U$1:$U$1501,$J1251-1499)="","", " - "&amp;INDEX('Daily Sale entry '!$U$1:$U$1501,$J1251-1499))))</f>
        <v/>
      </c>
      <c r="C1251">
        <f>IF($J1251="","",IF($J1251&lt;=1500,INDEX('Daily Sale entry '!$Z$1:$Z$1501,$J1251+1)&amp;"","Cheque deposit 支票存入 (buyer 买家)"))</f>
        <v/>
      </c>
      <c r="D1251">
        <f>IF($J1251="","",IF($J1251&lt;=1500,INDEX('Daily Sale entry '!$AA$1:$AA$1501,$J1251+1)&amp;"",INDEX('Daily Sale entry '!$P$1:$P$1501,$J1251-1499)&amp;""))</f>
        <v/>
      </c>
      <c r="E1251">
        <f>IF($J1251="","",IF($J1251&lt;=1500,IF(N(INDEX('Daily Sale entry '!$AB$1:$AB$1501,$J1251+1))=0,"",INDEX('Daily Sale entry '!$AB$1:$AB$1501,$J1251+1)),1))</f>
        <v/>
      </c>
      <c r="F1251" s="6">
        <f>IF($J1251="","",IF($J1251&lt;=1500,N(INDEX('Daily Sale entry '!$AC$1:$AC$1501,$J1251+1))-IF(AND('Opening Balance'!$B$15=1,INDEX('Daily Sale entry '!$Z$1:$Z$1501,$J1251+1)="Online collection 网上收款",INDEX('Daily Sale entry '!$AA$1:$AA$1501,$J1251+1)&lt;&gt;""),N(INDEX('Daily Sale entry '!$AC$1:$AC$1501,$J1251+1))-TRUNC(N(INDEX('Daily Sale entry '!$AC$1:$AC$1501,$J1251+1))),0),N(INDEX('Daily Sale entry '!$S$1:$S$1501,$J1251-1499))-'Opening Balance'!$B$15*(N(INDEX('Daily Sale entry '!$S$1:$S$1501,$J1251-1499))-TRUNC(N(INDEX('Daily Sale entry '!$S$1:$S$1501,$J1251-1499))))))</f>
        <v/>
      </c>
      <c r="G1251" s="6">
        <f>IF($J1251="","",IF($J1251&lt;=1500,N(INDEX('Daily Sale entry '!$AD$1:$AD$1501,$J1251+1)),0))</f>
        <v/>
      </c>
      <c r="H1251" s="6">
        <f>IF($J1251="","",ROUND('Opening Balance'!$B$4+SUM($F$2:F1251)-SUM($G$2:G1251),2))</f>
        <v/>
      </c>
      <c r="J1251" s="21">
        <f>IFERROR(MATCH(ROW()-1,$L$2:$L$3001,0),"")</f>
        <v/>
      </c>
      <c r="K1251" s="34">
        <f>IF(AND('Daily Sale entry '!X1251&lt;&gt;"",OR('Daily Sale entry '!AC1251&lt;&gt;"",'Daily Sale entry '!AD1251&lt;&gt;"")),'Daily Sale entry '!X1251+ROW()/10000000,"")</f>
        <v/>
      </c>
      <c r="L1251" s="21">
        <f>IF(K1251="","",COUNTIF($K$2:$K$3001,"&lt;"&amp;K1251)+1)</f>
        <v/>
      </c>
    </row>
    <row r="1252">
      <c r="A1252" s="5">
        <f>IF($J1252="","",IF($J1252&lt;=1500,INDEX('Daily Sale entry '!$X$1:$X$1501,$J1252+1),INDEX('Daily Sale entry '!$V$1:$V$1501,$J1252-1499)))</f>
        <v/>
      </c>
      <c r="B1252">
        <f>IF($J1252="","",IF($J1252&lt;=1500,INDEX('Daily Sale entry '!$Y$1:$Y$1501,$J1252+1)&amp;"","Buyer cheque banked 买家支票存入"&amp;IF(INDEX('Daily Sale entry '!$U$1:$U$1501,$J1252-1499)="","", " - "&amp;INDEX('Daily Sale entry '!$U$1:$U$1501,$J1252-1499))))</f>
        <v/>
      </c>
      <c r="C1252">
        <f>IF($J1252="","",IF($J1252&lt;=1500,INDEX('Daily Sale entry '!$Z$1:$Z$1501,$J1252+1)&amp;"","Cheque deposit 支票存入 (buyer 买家)"))</f>
        <v/>
      </c>
      <c r="D1252">
        <f>IF($J1252="","",IF($J1252&lt;=1500,INDEX('Daily Sale entry '!$AA$1:$AA$1501,$J1252+1)&amp;"",INDEX('Daily Sale entry '!$P$1:$P$1501,$J1252-1499)&amp;""))</f>
        <v/>
      </c>
      <c r="E1252">
        <f>IF($J1252="","",IF($J1252&lt;=1500,IF(N(INDEX('Daily Sale entry '!$AB$1:$AB$1501,$J1252+1))=0,"",INDEX('Daily Sale entry '!$AB$1:$AB$1501,$J1252+1)),1))</f>
        <v/>
      </c>
      <c r="F1252" s="6">
        <f>IF($J1252="","",IF($J1252&lt;=1500,N(INDEX('Daily Sale entry '!$AC$1:$AC$1501,$J1252+1))-IF(AND('Opening Balance'!$B$15=1,INDEX('Daily Sale entry '!$Z$1:$Z$1501,$J1252+1)="Online collection 网上收款",INDEX('Daily Sale entry '!$AA$1:$AA$1501,$J1252+1)&lt;&gt;""),N(INDEX('Daily Sale entry '!$AC$1:$AC$1501,$J1252+1))-TRUNC(N(INDEX('Daily Sale entry '!$AC$1:$AC$1501,$J1252+1))),0),N(INDEX('Daily Sale entry '!$S$1:$S$1501,$J1252-1499))-'Opening Balance'!$B$15*(N(INDEX('Daily Sale entry '!$S$1:$S$1501,$J1252-1499))-TRUNC(N(INDEX('Daily Sale entry '!$S$1:$S$1501,$J1252-1499))))))</f>
        <v/>
      </c>
      <c r="G1252" s="6">
        <f>IF($J1252="","",IF($J1252&lt;=1500,N(INDEX('Daily Sale entry '!$AD$1:$AD$1501,$J1252+1)),0))</f>
        <v/>
      </c>
      <c r="H1252" s="6">
        <f>IF($J1252="","",ROUND('Opening Balance'!$B$4+SUM($F$2:F1252)-SUM($G$2:G1252),2))</f>
        <v/>
      </c>
      <c r="J1252" s="21">
        <f>IFERROR(MATCH(ROW()-1,$L$2:$L$3001,0),"")</f>
        <v/>
      </c>
      <c r="K1252" s="34">
        <f>IF(AND('Daily Sale entry '!X1252&lt;&gt;"",OR('Daily Sale entry '!AC1252&lt;&gt;"",'Daily Sale entry '!AD1252&lt;&gt;"")),'Daily Sale entry '!X1252+ROW()/10000000,"")</f>
        <v/>
      </c>
      <c r="L1252" s="21">
        <f>IF(K1252="","",COUNTIF($K$2:$K$3001,"&lt;"&amp;K1252)+1)</f>
        <v/>
      </c>
    </row>
    <row r="1253">
      <c r="A1253" s="5">
        <f>IF($J1253="","",IF($J1253&lt;=1500,INDEX('Daily Sale entry '!$X$1:$X$1501,$J1253+1),INDEX('Daily Sale entry '!$V$1:$V$1501,$J1253-1499)))</f>
        <v/>
      </c>
      <c r="B1253">
        <f>IF($J1253="","",IF($J1253&lt;=1500,INDEX('Daily Sale entry '!$Y$1:$Y$1501,$J1253+1)&amp;"","Buyer cheque banked 买家支票存入"&amp;IF(INDEX('Daily Sale entry '!$U$1:$U$1501,$J1253-1499)="","", " - "&amp;INDEX('Daily Sale entry '!$U$1:$U$1501,$J1253-1499))))</f>
        <v/>
      </c>
      <c r="C1253">
        <f>IF($J1253="","",IF($J1253&lt;=1500,INDEX('Daily Sale entry '!$Z$1:$Z$1501,$J1253+1)&amp;"","Cheque deposit 支票存入 (buyer 买家)"))</f>
        <v/>
      </c>
      <c r="D1253">
        <f>IF($J1253="","",IF($J1253&lt;=1500,INDEX('Daily Sale entry '!$AA$1:$AA$1501,$J1253+1)&amp;"",INDEX('Daily Sale entry '!$P$1:$P$1501,$J1253-1499)&amp;""))</f>
        <v/>
      </c>
      <c r="E1253">
        <f>IF($J1253="","",IF($J1253&lt;=1500,IF(N(INDEX('Daily Sale entry '!$AB$1:$AB$1501,$J1253+1))=0,"",INDEX('Daily Sale entry '!$AB$1:$AB$1501,$J1253+1)),1))</f>
        <v/>
      </c>
      <c r="F1253" s="6">
        <f>IF($J1253="","",IF($J1253&lt;=1500,N(INDEX('Daily Sale entry '!$AC$1:$AC$1501,$J1253+1))-IF(AND('Opening Balance'!$B$15=1,INDEX('Daily Sale entry '!$Z$1:$Z$1501,$J1253+1)="Online collection 网上收款",INDEX('Daily Sale entry '!$AA$1:$AA$1501,$J1253+1)&lt;&gt;""),N(INDEX('Daily Sale entry '!$AC$1:$AC$1501,$J1253+1))-TRUNC(N(INDEX('Daily Sale entry '!$AC$1:$AC$1501,$J1253+1))),0),N(INDEX('Daily Sale entry '!$S$1:$S$1501,$J1253-1499))-'Opening Balance'!$B$15*(N(INDEX('Daily Sale entry '!$S$1:$S$1501,$J1253-1499))-TRUNC(N(INDEX('Daily Sale entry '!$S$1:$S$1501,$J1253-1499))))))</f>
        <v/>
      </c>
      <c r="G1253" s="6">
        <f>IF($J1253="","",IF($J1253&lt;=1500,N(INDEX('Daily Sale entry '!$AD$1:$AD$1501,$J1253+1)),0))</f>
        <v/>
      </c>
      <c r="H1253" s="6">
        <f>IF($J1253="","",ROUND('Opening Balance'!$B$4+SUM($F$2:F1253)-SUM($G$2:G1253),2))</f>
        <v/>
      </c>
      <c r="J1253" s="21">
        <f>IFERROR(MATCH(ROW()-1,$L$2:$L$3001,0),"")</f>
        <v/>
      </c>
      <c r="K1253" s="34">
        <f>IF(AND('Daily Sale entry '!X1253&lt;&gt;"",OR('Daily Sale entry '!AC1253&lt;&gt;"",'Daily Sale entry '!AD1253&lt;&gt;"")),'Daily Sale entry '!X1253+ROW()/10000000,"")</f>
        <v/>
      </c>
      <c r="L1253" s="21">
        <f>IF(K1253="","",COUNTIF($K$2:$K$3001,"&lt;"&amp;K1253)+1)</f>
        <v/>
      </c>
    </row>
    <row r="1254">
      <c r="A1254" s="5">
        <f>IF($J1254="","",IF($J1254&lt;=1500,INDEX('Daily Sale entry '!$X$1:$X$1501,$J1254+1),INDEX('Daily Sale entry '!$V$1:$V$1501,$J1254-1499)))</f>
        <v/>
      </c>
      <c r="B1254">
        <f>IF($J1254="","",IF($J1254&lt;=1500,INDEX('Daily Sale entry '!$Y$1:$Y$1501,$J1254+1)&amp;"","Buyer cheque banked 买家支票存入"&amp;IF(INDEX('Daily Sale entry '!$U$1:$U$1501,$J1254-1499)="","", " - "&amp;INDEX('Daily Sale entry '!$U$1:$U$1501,$J1254-1499))))</f>
        <v/>
      </c>
      <c r="C1254">
        <f>IF($J1254="","",IF($J1254&lt;=1500,INDEX('Daily Sale entry '!$Z$1:$Z$1501,$J1254+1)&amp;"","Cheque deposit 支票存入 (buyer 买家)"))</f>
        <v/>
      </c>
      <c r="D1254">
        <f>IF($J1254="","",IF($J1254&lt;=1500,INDEX('Daily Sale entry '!$AA$1:$AA$1501,$J1254+1)&amp;"",INDEX('Daily Sale entry '!$P$1:$P$1501,$J1254-1499)&amp;""))</f>
        <v/>
      </c>
      <c r="E1254">
        <f>IF($J1254="","",IF($J1254&lt;=1500,IF(N(INDEX('Daily Sale entry '!$AB$1:$AB$1501,$J1254+1))=0,"",INDEX('Daily Sale entry '!$AB$1:$AB$1501,$J1254+1)),1))</f>
        <v/>
      </c>
      <c r="F1254" s="6">
        <f>IF($J1254="","",IF($J1254&lt;=1500,N(INDEX('Daily Sale entry '!$AC$1:$AC$1501,$J1254+1))-IF(AND('Opening Balance'!$B$15=1,INDEX('Daily Sale entry '!$Z$1:$Z$1501,$J1254+1)="Online collection 网上收款",INDEX('Daily Sale entry '!$AA$1:$AA$1501,$J1254+1)&lt;&gt;""),N(INDEX('Daily Sale entry '!$AC$1:$AC$1501,$J1254+1))-TRUNC(N(INDEX('Daily Sale entry '!$AC$1:$AC$1501,$J1254+1))),0),N(INDEX('Daily Sale entry '!$S$1:$S$1501,$J1254-1499))-'Opening Balance'!$B$15*(N(INDEX('Daily Sale entry '!$S$1:$S$1501,$J1254-1499))-TRUNC(N(INDEX('Daily Sale entry '!$S$1:$S$1501,$J1254-1499))))))</f>
        <v/>
      </c>
      <c r="G1254" s="6">
        <f>IF($J1254="","",IF($J1254&lt;=1500,N(INDEX('Daily Sale entry '!$AD$1:$AD$1501,$J1254+1)),0))</f>
        <v/>
      </c>
      <c r="H1254" s="6">
        <f>IF($J1254="","",ROUND('Opening Balance'!$B$4+SUM($F$2:F1254)-SUM($G$2:G1254),2))</f>
        <v/>
      </c>
      <c r="J1254" s="21">
        <f>IFERROR(MATCH(ROW()-1,$L$2:$L$3001,0),"")</f>
        <v/>
      </c>
      <c r="K1254" s="34">
        <f>IF(AND('Daily Sale entry '!X1254&lt;&gt;"",OR('Daily Sale entry '!AC1254&lt;&gt;"",'Daily Sale entry '!AD1254&lt;&gt;"")),'Daily Sale entry '!X1254+ROW()/10000000,"")</f>
        <v/>
      </c>
      <c r="L1254" s="21">
        <f>IF(K1254="","",COUNTIF($K$2:$K$3001,"&lt;"&amp;K1254)+1)</f>
        <v/>
      </c>
    </row>
    <row r="1255">
      <c r="A1255" s="5">
        <f>IF($J1255="","",IF($J1255&lt;=1500,INDEX('Daily Sale entry '!$X$1:$X$1501,$J1255+1),INDEX('Daily Sale entry '!$V$1:$V$1501,$J1255-1499)))</f>
        <v/>
      </c>
      <c r="B1255">
        <f>IF($J1255="","",IF($J1255&lt;=1500,INDEX('Daily Sale entry '!$Y$1:$Y$1501,$J1255+1)&amp;"","Buyer cheque banked 买家支票存入"&amp;IF(INDEX('Daily Sale entry '!$U$1:$U$1501,$J1255-1499)="","", " - "&amp;INDEX('Daily Sale entry '!$U$1:$U$1501,$J1255-1499))))</f>
        <v/>
      </c>
      <c r="C1255">
        <f>IF($J1255="","",IF($J1255&lt;=1500,INDEX('Daily Sale entry '!$Z$1:$Z$1501,$J1255+1)&amp;"","Cheque deposit 支票存入 (buyer 买家)"))</f>
        <v/>
      </c>
      <c r="D1255">
        <f>IF($J1255="","",IF($J1255&lt;=1500,INDEX('Daily Sale entry '!$AA$1:$AA$1501,$J1255+1)&amp;"",INDEX('Daily Sale entry '!$P$1:$P$1501,$J1255-1499)&amp;""))</f>
        <v/>
      </c>
      <c r="E1255">
        <f>IF($J1255="","",IF($J1255&lt;=1500,IF(N(INDEX('Daily Sale entry '!$AB$1:$AB$1501,$J1255+1))=0,"",INDEX('Daily Sale entry '!$AB$1:$AB$1501,$J1255+1)),1))</f>
        <v/>
      </c>
      <c r="F1255" s="6">
        <f>IF($J1255="","",IF($J1255&lt;=1500,N(INDEX('Daily Sale entry '!$AC$1:$AC$1501,$J1255+1))-IF(AND('Opening Balance'!$B$15=1,INDEX('Daily Sale entry '!$Z$1:$Z$1501,$J1255+1)="Online collection 网上收款",INDEX('Daily Sale entry '!$AA$1:$AA$1501,$J1255+1)&lt;&gt;""),N(INDEX('Daily Sale entry '!$AC$1:$AC$1501,$J1255+1))-TRUNC(N(INDEX('Daily Sale entry '!$AC$1:$AC$1501,$J1255+1))),0),N(INDEX('Daily Sale entry '!$S$1:$S$1501,$J1255-1499))-'Opening Balance'!$B$15*(N(INDEX('Daily Sale entry '!$S$1:$S$1501,$J1255-1499))-TRUNC(N(INDEX('Daily Sale entry '!$S$1:$S$1501,$J1255-1499))))))</f>
        <v/>
      </c>
      <c r="G1255" s="6">
        <f>IF($J1255="","",IF($J1255&lt;=1500,N(INDEX('Daily Sale entry '!$AD$1:$AD$1501,$J1255+1)),0))</f>
        <v/>
      </c>
      <c r="H1255" s="6">
        <f>IF($J1255="","",ROUND('Opening Balance'!$B$4+SUM($F$2:F1255)-SUM($G$2:G1255),2))</f>
        <v/>
      </c>
      <c r="J1255" s="21">
        <f>IFERROR(MATCH(ROW()-1,$L$2:$L$3001,0),"")</f>
        <v/>
      </c>
      <c r="K1255" s="34">
        <f>IF(AND('Daily Sale entry '!X1255&lt;&gt;"",OR('Daily Sale entry '!AC1255&lt;&gt;"",'Daily Sale entry '!AD1255&lt;&gt;"")),'Daily Sale entry '!X1255+ROW()/10000000,"")</f>
        <v/>
      </c>
      <c r="L1255" s="21">
        <f>IF(K1255="","",COUNTIF($K$2:$K$3001,"&lt;"&amp;K1255)+1)</f>
        <v/>
      </c>
    </row>
    <row r="1256">
      <c r="A1256" s="5">
        <f>IF($J1256="","",IF($J1256&lt;=1500,INDEX('Daily Sale entry '!$X$1:$X$1501,$J1256+1),INDEX('Daily Sale entry '!$V$1:$V$1501,$J1256-1499)))</f>
        <v/>
      </c>
      <c r="B1256">
        <f>IF($J1256="","",IF($J1256&lt;=1500,INDEX('Daily Sale entry '!$Y$1:$Y$1501,$J1256+1)&amp;"","Buyer cheque banked 买家支票存入"&amp;IF(INDEX('Daily Sale entry '!$U$1:$U$1501,$J1256-1499)="","", " - "&amp;INDEX('Daily Sale entry '!$U$1:$U$1501,$J1256-1499))))</f>
        <v/>
      </c>
      <c r="C1256">
        <f>IF($J1256="","",IF($J1256&lt;=1500,INDEX('Daily Sale entry '!$Z$1:$Z$1501,$J1256+1)&amp;"","Cheque deposit 支票存入 (buyer 买家)"))</f>
        <v/>
      </c>
      <c r="D1256">
        <f>IF($J1256="","",IF($J1256&lt;=1500,INDEX('Daily Sale entry '!$AA$1:$AA$1501,$J1256+1)&amp;"",INDEX('Daily Sale entry '!$P$1:$P$1501,$J1256-1499)&amp;""))</f>
        <v/>
      </c>
      <c r="E1256">
        <f>IF($J1256="","",IF($J1256&lt;=1500,IF(N(INDEX('Daily Sale entry '!$AB$1:$AB$1501,$J1256+1))=0,"",INDEX('Daily Sale entry '!$AB$1:$AB$1501,$J1256+1)),1))</f>
        <v/>
      </c>
      <c r="F1256" s="6">
        <f>IF($J1256="","",IF($J1256&lt;=1500,N(INDEX('Daily Sale entry '!$AC$1:$AC$1501,$J1256+1))-IF(AND('Opening Balance'!$B$15=1,INDEX('Daily Sale entry '!$Z$1:$Z$1501,$J1256+1)="Online collection 网上收款",INDEX('Daily Sale entry '!$AA$1:$AA$1501,$J1256+1)&lt;&gt;""),N(INDEX('Daily Sale entry '!$AC$1:$AC$1501,$J1256+1))-TRUNC(N(INDEX('Daily Sale entry '!$AC$1:$AC$1501,$J1256+1))),0),N(INDEX('Daily Sale entry '!$S$1:$S$1501,$J1256-1499))-'Opening Balance'!$B$15*(N(INDEX('Daily Sale entry '!$S$1:$S$1501,$J1256-1499))-TRUNC(N(INDEX('Daily Sale entry '!$S$1:$S$1501,$J1256-1499))))))</f>
        <v/>
      </c>
      <c r="G1256" s="6">
        <f>IF($J1256="","",IF($J1256&lt;=1500,N(INDEX('Daily Sale entry '!$AD$1:$AD$1501,$J1256+1)),0))</f>
        <v/>
      </c>
      <c r="H1256" s="6">
        <f>IF($J1256="","",ROUND('Opening Balance'!$B$4+SUM($F$2:F1256)-SUM($G$2:G1256),2))</f>
        <v/>
      </c>
      <c r="J1256" s="21">
        <f>IFERROR(MATCH(ROW()-1,$L$2:$L$3001,0),"")</f>
        <v/>
      </c>
      <c r="K1256" s="34">
        <f>IF(AND('Daily Sale entry '!X1256&lt;&gt;"",OR('Daily Sale entry '!AC1256&lt;&gt;"",'Daily Sale entry '!AD1256&lt;&gt;"")),'Daily Sale entry '!X1256+ROW()/10000000,"")</f>
        <v/>
      </c>
      <c r="L1256" s="21">
        <f>IF(K1256="","",COUNTIF($K$2:$K$3001,"&lt;"&amp;K1256)+1)</f>
        <v/>
      </c>
    </row>
    <row r="1257">
      <c r="A1257" s="5">
        <f>IF($J1257="","",IF($J1257&lt;=1500,INDEX('Daily Sale entry '!$X$1:$X$1501,$J1257+1),INDEX('Daily Sale entry '!$V$1:$V$1501,$J1257-1499)))</f>
        <v/>
      </c>
      <c r="B1257">
        <f>IF($J1257="","",IF($J1257&lt;=1500,INDEX('Daily Sale entry '!$Y$1:$Y$1501,$J1257+1)&amp;"","Buyer cheque banked 买家支票存入"&amp;IF(INDEX('Daily Sale entry '!$U$1:$U$1501,$J1257-1499)="","", " - "&amp;INDEX('Daily Sale entry '!$U$1:$U$1501,$J1257-1499))))</f>
        <v/>
      </c>
      <c r="C1257">
        <f>IF($J1257="","",IF($J1257&lt;=1500,INDEX('Daily Sale entry '!$Z$1:$Z$1501,$J1257+1)&amp;"","Cheque deposit 支票存入 (buyer 买家)"))</f>
        <v/>
      </c>
      <c r="D1257">
        <f>IF($J1257="","",IF($J1257&lt;=1500,INDEX('Daily Sale entry '!$AA$1:$AA$1501,$J1257+1)&amp;"",INDEX('Daily Sale entry '!$P$1:$P$1501,$J1257-1499)&amp;""))</f>
        <v/>
      </c>
      <c r="E1257">
        <f>IF($J1257="","",IF($J1257&lt;=1500,IF(N(INDEX('Daily Sale entry '!$AB$1:$AB$1501,$J1257+1))=0,"",INDEX('Daily Sale entry '!$AB$1:$AB$1501,$J1257+1)),1))</f>
        <v/>
      </c>
      <c r="F1257" s="6">
        <f>IF($J1257="","",IF($J1257&lt;=1500,N(INDEX('Daily Sale entry '!$AC$1:$AC$1501,$J1257+1))-IF(AND('Opening Balance'!$B$15=1,INDEX('Daily Sale entry '!$Z$1:$Z$1501,$J1257+1)="Online collection 网上收款",INDEX('Daily Sale entry '!$AA$1:$AA$1501,$J1257+1)&lt;&gt;""),N(INDEX('Daily Sale entry '!$AC$1:$AC$1501,$J1257+1))-TRUNC(N(INDEX('Daily Sale entry '!$AC$1:$AC$1501,$J1257+1))),0),N(INDEX('Daily Sale entry '!$S$1:$S$1501,$J1257-1499))-'Opening Balance'!$B$15*(N(INDEX('Daily Sale entry '!$S$1:$S$1501,$J1257-1499))-TRUNC(N(INDEX('Daily Sale entry '!$S$1:$S$1501,$J1257-1499))))))</f>
        <v/>
      </c>
      <c r="G1257" s="6">
        <f>IF($J1257="","",IF($J1257&lt;=1500,N(INDEX('Daily Sale entry '!$AD$1:$AD$1501,$J1257+1)),0))</f>
        <v/>
      </c>
      <c r="H1257" s="6">
        <f>IF($J1257="","",ROUND('Opening Balance'!$B$4+SUM($F$2:F1257)-SUM($G$2:G1257),2))</f>
        <v/>
      </c>
      <c r="J1257" s="21">
        <f>IFERROR(MATCH(ROW()-1,$L$2:$L$3001,0),"")</f>
        <v/>
      </c>
      <c r="K1257" s="34">
        <f>IF(AND('Daily Sale entry '!X1257&lt;&gt;"",OR('Daily Sale entry '!AC1257&lt;&gt;"",'Daily Sale entry '!AD1257&lt;&gt;"")),'Daily Sale entry '!X1257+ROW()/10000000,"")</f>
        <v/>
      </c>
      <c r="L1257" s="21">
        <f>IF(K1257="","",COUNTIF($K$2:$K$3001,"&lt;"&amp;K1257)+1)</f>
        <v/>
      </c>
    </row>
    <row r="1258">
      <c r="A1258" s="5">
        <f>IF($J1258="","",IF($J1258&lt;=1500,INDEX('Daily Sale entry '!$X$1:$X$1501,$J1258+1),INDEX('Daily Sale entry '!$V$1:$V$1501,$J1258-1499)))</f>
        <v/>
      </c>
      <c r="B1258">
        <f>IF($J1258="","",IF($J1258&lt;=1500,INDEX('Daily Sale entry '!$Y$1:$Y$1501,$J1258+1)&amp;"","Buyer cheque banked 买家支票存入"&amp;IF(INDEX('Daily Sale entry '!$U$1:$U$1501,$J1258-1499)="","", " - "&amp;INDEX('Daily Sale entry '!$U$1:$U$1501,$J1258-1499))))</f>
        <v/>
      </c>
      <c r="C1258">
        <f>IF($J1258="","",IF($J1258&lt;=1500,INDEX('Daily Sale entry '!$Z$1:$Z$1501,$J1258+1)&amp;"","Cheque deposit 支票存入 (buyer 买家)"))</f>
        <v/>
      </c>
      <c r="D1258">
        <f>IF($J1258="","",IF($J1258&lt;=1500,INDEX('Daily Sale entry '!$AA$1:$AA$1501,$J1258+1)&amp;"",INDEX('Daily Sale entry '!$P$1:$P$1501,$J1258-1499)&amp;""))</f>
        <v/>
      </c>
      <c r="E1258">
        <f>IF($J1258="","",IF($J1258&lt;=1500,IF(N(INDEX('Daily Sale entry '!$AB$1:$AB$1501,$J1258+1))=0,"",INDEX('Daily Sale entry '!$AB$1:$AB$1501,$J1258+1)),1))</f>
        <v/>
      </c>
      <c r="F1258" s="6">
        <f>IF($J1258="","",IF($J1258&lt;=1500,N(INDEX('Daily Sale entry '!$AC$1:$AC$1501,$J1258+1))-IF(AND('Opening Balance'!$B$15=1,INDEX('Daily Sale entry '!$Z$1:$Z$1501,$J1258+1)="Online collection 网上收款",INDEX('Daily Sale entry '!$AA$1:$AA$1501,$J1258+1)&lt;&gt;""),N(INDEX('Daily Sale entry '!$AC$1:$AC$1501,$J1258+1))-TRUNC(N(INDEX('Daily Sale entry '!$AC$1:$AC$1501,$J1258+1))),0),N(INDEX('Daily Sale entry '!$S$1:$S$1501,$J1258-1499))-'Opening Balance'!$B$15*(N(INDEX('Daily Sale entry '!$S$1:$S$1501,$J1258-1499))-TRUNC(N(INDEX('Daily Sale entry '!$S$1:$S$1501,$J1258-1499))))))</f>
        <v/>
      </c>
      <c r="G1258" s="6">
        <f>IF($J1258="","",IF($J1258&lt;=1500,N(INDEX('Daily Sale entry '!$AD$1:$AD$1501,$J1258+1)),0))</f>
        <v/>
      </c>
      <c r="H1258" s="6">
        <f>IF($J1258="","",ROUND('Opening Balance'!$B$4+SUM($F$2:F1258)-SUM($G$2:G1258),2))</f>
        <v/>
      </c>
      <c r="J1258" s="21">
        <f>IFERROR(MATCH(ROW()-1,$L$2:$L$3001,0),"")</f>
        <v/>
      </c>
      <c r="K1258" s="34">
        <f>IF(AND('Daily Sale entry '!X1258&lt;&gt;"",OR('Daily Sale entry '!AC1258&lt;&gt;"",'Daily Sale entry '!AD1258&lt;&gt;"")),'Daily Sale entry '!X1258+ROW()/10000000,"")</f>
        <v/>
      </c>
      <c r="L1258" s="21">
        <f>IF(K1258="","",COUNTIF($K$2:$K$3001,"&lt;"&amp;K1258)+1)</f>
        <v/>
      </c>
    </row>
    <row r="1259">
      <c r="A1259" s="5">
        <f>IF($J1259="","",IF($J1259&lt;=1500,INDEX('Daily Sale entry '!$X$1:$X$1501,$J1259+1),INDEX('Daily Sale entry '!$V$1:$V$1501,$J1259-1499)))</f>
        <v/>
      </c>
      <c r="B1259">
        <f>IF($J1259="","",IF($J1259&lt;=1500,INDEX('Daily Sale entry '!$Y$1:$Y$1501,$J1259+1)&amp;"","Buyer cheque banked 买家支票存入"&amp;IF(INDEX('Daily Sale entry '!$U$1:$U$1501,$J1259-1499)="","", " - "&amp;INDEX('Daily Sale entry '!$U$1:$U$1501,$J1259-1499))))</f>
        <v/>
      </c>
      <c r="C1259">
        <f>IF($J1259="","",IF($J1259&lt;=1500,INDEX('Daily Sale entry '!$Z$1:$Z$1501,$J1259+1)&amp;"","Cheque deposit 支票存入 (buyer 买家)"))</f>
        <v/>
      </c>
      <c r="D1259">
        <f>IF($J1259="","",IF($J1259&lt;=1500,INDEX('Daily Sale entry '!$AA$1:$AA$1501,$J1259+1)&amp;"",INDEX('Daily Sale entry '!$P$1:$P$1501,$J1259-1499)&amp;""))</f>
        <v/>
      </c>
      <c r="E1259">
        <f>IF($J1259="","",IF($J1259&lt;=1500,IF(N(INDEX('Daily Sale entry '!$AB$1:$AB$1501,$J1259+1))=0,"",INDEX('Daily Sale entry '!$AB$1:$AB$1501,$J1259+1)),1))</f>
        <v/>
      </c>
      <c r="F1259" s="6">
        <f>IF($J1259="","",IF($J1259&lt;=1500,N(INDEX('Daily Sale entry '!$AC$1:$AC$1501,$J1259+1))-IF(AND('Opening Balance'!$B$15=1,INDEX('Daily Sale entry '!$Z$1:$Z$1501,$J1259+1)="Online collection 网上收款",INDEX('Daily Sale entry '!$AA$1:$AA$1501,$J1259+1)&lt;&gt;""),N(INDEX('Daily Sale entry '!$AC$1:$AC$1501,$J1259+1))-TRUNC(N(INDEX('Daily Sale entry '!$AC$1:$AC$1501,$J1259+1))),0),N(INDEX('Daily Sale entry '!$S$1:$S$1501,$J1259-1499))-'Opening Balance'!$B$15*(N(INDEX('Daily Sale entry '!$S$1:$S$1501,$J1259-1499))-TRUNC(N(INDEX('Daily Sale entry '!$S$1:$S$1501,$J1259-1499))))))</f>
        <v/>
      </c>
      <c r="G1259" s="6">
        <f>IF($J1259="","",IF($J1259&lt;=1500,N(INDEX('Daily Sale entry '!$AD$1:$AD$1501,$J1259+1)),0))</f>
        <v/>
      </c>
      <c r="H1259" s="6">
        <f>IF($J1259="","",ROUND('Opening Balance'!$B$4+SUM($F$2:F1259)-SUM($G$2:G1259),2))</f>
        <v/>
      </c>
      <c r="J1259" s="21">
        <f>IFERROR(MATCH(ROW()-1,$L$2:$L$3001,0),"")</f>
        <v/>
      </c>
      <c r="K1259" s="34">
        <f>IF(AND('Daily Sale entry '!X1259&lt;&gt;"",OR('Daily Sale entry '!AC1259&lt;&gt;"",'Daily Sale entry '!AD1259&lt;&gt;"")),'Daily Sale entry '!X1259+ROW()/10000000,"")</f>
        <v/>
      </c>
      <c r="L1259" s="21">
        <f>IF(K1259="","",COUNTIF($K$2:$K$3001,"&lt;"&amp;K1259)+1)</f>
        <v/>
      </c>
    </row>
    <row r="1260">
      <c r="A1260" s="5">
        <f>IF($J1260="","",IF($J1260&lt;=1500,INDEX('Daily Sale entry '!$X$1:$X$1501,$J1260+1),INDEX('Daily Sale entry '!$V$1:$V$1501,$J1260-1499)))</f>
        <v/>
      </c>
      <c r="B1260">
        <f>IF($J1260="","",IF($J1260&lt;=1500,INDEX('Daily Sale entry '!$Y$1:$Y$1501,$J1260+1)&amp;"","Buyer cheque banked 买家支票存入"&amp;IF(INDEX('Daily Sale entry '!$U$1:$U$1501,$J1260-1499)="","", " - "&amp;INDEX('Daily Sale entry '!$U$1:$U$1501,$J1260-1499))))</f>
        <v/>
      </c>
      <c r="C1260">
        <f>IF($J1260="","",IF($J1260&lt;=1500,INDEX('Daily Sale entry '!$Z$1:$Z$1501,$J1260+1)&amp;"","Cheque deposit 支票存入 (buyer 买家)"))</f>
        <v/>
      </c>
      <c r="D1260">
        <f>IF($J1260="","",IF($J1260&lt;=1500,INDEX('Daily Sale entry '!$AA$1:$AA$1501,$J1260+1)&amp;"",INDEX('Daily Sale entry '!$P$1:$P$1501,$J1260-1499)&amp;""))</f>
        <v/>
      </c>
      <c r="E1260">
        <f>IF($J1260="","",IF($J1260&lt;=1500,IF(N(INDEX('Daily Sale entry '!$AB$1:$AB$1501,$J1260+1))=0,"",INDEX('Daily Sale entry '!$AB$1:$AB$1501,$J1260+1)),1))</f>
        <v/>
      </c>
      <c r="F1260" s="6">
        <f>IF($J1260="","",IF($J1260&lt;=1500,N(INDEX('Daily Sale entry '!$AC$1:$AC$1501,$J1260+1))-IF(AND('Opening Balance'!$B$15=1,INDEX('Daily Sale entry '!$Z$1:$Z$1501,$J1260+1)="Online collection 网上收款",INDEX('Daily Sale entry '!$AA$1:$AA$1501,$J1260+1)&lt;&gt;""),N(INDEX('Daily Sale entry '!$AC$1:$AC$1501,$J1260+1))-TRUNC(N(INDEX('Daily Sale entry '!$AC$1:$AC$1501,$J1260+1))),0),N(INDEX('Daily Sale entry '!$S$1:$S$1501,$J1260-1499))-'Opening Balance'!$B$15*(N(INDEX('Daily Sale entry '!$S$1:$S$1501,$J1260-1499))-TRUNC(N(INDEX('Daily Sale entry '!$S$1:$S$1501,$J1260-1499))))))</f>
        <v/>
      </c>
      <c r="G1260" s="6">
        <f>IF($J1260="","",IF($J1260&lt;=1500,N(INDEX('Daily Sale entry '!$AD$1:$AD$1501,$J1260+1)),0))</f>
        <v/>
      </c>
      <c r="H1260" s="6">
        <f>IF($J1260="","",ROUND('Opening Balance'!$B$4+SUM($F$2:F1260)-SUM($G$2:G1260),2))</f>
        <v/>
      </c>
      <c r="J1260" s="21">
        <f>IFERROR(MATCH(ROW()-1,$L$2:$L$3001,0),"")</f>
        <v/>
      </c>
      <c r="K1260" s="34">
        <f>IF(AND('Daily Sale entry '!X1260&lt;&gt;"",OR('Daily Sale entry '!AC1260&lt;&gt;"",'Daily Sale entry '!AD1260&lt;&gt;"")),'Daily Sale entry '!X1260+ROW()/10000000,"")</f>
        <v/>
      </c>
      <c r="L1260" s="21">
        <f>IF(K1260="","",COUNTIF($K$2:$K$3001,"&lt;"&amp;K1260)+1)</f>
        <v/>
      </c>
    </row>
    <row r="1261">
      <c r="A1261" s="5">
        <f>IF($J1261="","",IF($J1261&lt;=1500,INDEX('Daily Sale entry '!$X$1:$X$1501,$J1261+1),INDEX('Daily Sale entry '!$V$1:$V$1501,$J1261-1499)))</f>
        <v/>
      </c>
      <c r="B1261">
        <f>IF($J1261="","",IF($J1261&lt;=1500,INDEX('Daily Sale entry '!$Y$1:$Y$1501,$J1261+1)&amp;"","Buyer cheque banked 买家支票存入"&amp;IF(INDEX('Daily Sale entry '!$U$1:$U$1501,$J1261-1499)="","", " - "&amp;INDEX('Daily Sale entry '!$U$1:$U$1501,$J1261-1499))))</f>
        <v/>
      </c>
      <c r="C1261">
        <f>IF($J1261="","",IF($J1261&lt;=1500,INDEX('Daily Sale entry '!$Z$1:$Z$1501,$J1261+1)&amp;"","Cheque deposit 支票存入 (buyer 买家)"))</f>
        <v/>
      </c>
      <c r="D1261">
        <f>IF($J1261="","",IF($J1261&lt;=1500,INDEX('Daily Sale entry '!$AA$1:$AA$1501,$J1261+1)&amp;"",INDEX('Daily Sale entry '!$P$1:$P$1501,$J1261-1499)&amp;""))</f>
        <v/>
      </c>
      <c r="E1261">
        <f>IF($J1261="","",IF($J1261&lt;=1500,IF(N(INDEX('Daily Sale entry '!$AB$1:$AB$1501,$J1261+1))=0,"",INDEX('Daily Sale entry '!$AB$1:$AB$1501,$J1261+1)),1))</f>
        <v/>
      </c>
      <c r="F1261" s="6">
        <f>IF($J1261="","",IF($J1261&lt;=1500,N(INDEX('Daily Sale entry '!$AC$1:$AC$1501,$J1261+1))-IF(AND('Opening Balance'!$B$15=1,INDEX('Daily Sale entry '!$Z$1:$Z$1501,$J1261+1)="Online collection 网上收款",INDEX('Daily Sale entry '!$AA$1:$AA$1501,$J1261+1)&lt;&gt;""),N(INDEX('Daily Sale entry '!$AC$1:$AC$1501,$J1261+1))-TRUNC(N(INDEX('Daily Sale entry '!$AC$1:$AC$1501,$J1261+1))),0),N(INDEX('Daily Sale entry '!$S$1:$S$1501,$J1261-1499))-'Opening Balance'!$B$15*(N(INDEX('Daily Sale entry '!$S$1:$S$1501,$J1261-1499))-TRUNC(N(INDEX('Daily Sale entry '!$S$1:$S$1501,$J1261-1499))))))</f>
        <v/>
      </c>
      <c r="G1261" s="6">
        <f>IF($J1261="","",IF($J1261&lt;=1500,N(INDEX('Daily Sale entry '!$AD$1:$AD$1501,$J1261+1)),0))</f>
        <v/>
      </c>
      <c r="H1261" s="6">
        <f>IF($J1261="","",ROUND('Opening Balance'!$B$4+SUM($F$2:F1261)-SUM($G$2:G1261),2))</f>
        <v/>
      </c>
      <c r="J1261" s="21">
        <f>IFERROR(MATCH(ROW()-1,$L$2:$L$3001,0),"")</f>
        <v/>
      </c>
      <c r="K1261" s="34">
        <f>IF(AND('Daily Sale entry '!X1261&lt;&gt;"",OR('Daily Sale entry '!AC1261&lt;&gt;"",'Daily Sale entry '!AD1261&lt;&gt;"")),'Daily Sale entry '!X1261+ROW()/10000000,"")</f>
        <v/>
      </c>
      <c r="L1261" s="21">
        <f>IF(K1261="","",COUNTIF($K$2:$K$3001,"&lt;"&amp;K1261)+1)</f>
        <v/>
      </c>
    </row>
    <row r="1262">
      <c r="A1262" s="5">
        <f>IF($J1262="","",IF($J1262&lt;=1500,INDEX('Daily Sale entry '!$X$1:$X$1501,$J1262+1),INDEX('Daily Sale entry '!$V$1:$V$1501,$J1262-1499)))</f>
        <v/>
      </c>
      <c r="B1262">
        <f>IF($J1262="","",IF($J1262&lt;=1500,INDEX('Daily Sale entry '!$Y$1:$Y$1501,$J1262+1)&amp;"","Buyer cheque banked 买家支票存入"&amp;IF(INDEX('Daily Sale entry '!$U$1:$U$1501,$J1262-1499)="","", " - "&amp;INDEX('Daily Sale entry '!$U$1:$U$1501,$J1262-1499))))</f>
        <v/>
      </c>
      <c r="C1262">
        <f>IF($J1262="","",IF($J1262&lt;=1500,INDEX('Daily Sale entry '!$Z$1:$Z$1501,$J1262+1)&amp;"","Cheque deposit 支票存入 (buyer 买家)"))</f>
        <v/>
      </c>
      <c r="D1262">
        <f>IF($J1262="","",IF($J1262&lt;=1500,INDEX('Daily Sale entry '!$AA$1:$AA$1501,$J1262+1)&amp;"",INDEX('Daily Sale entry '!$P$1:$P$1501,$J1262-1499)&amp;""))</f>
        <v/>
      </c>
      <c r="E1262">
        <f>IF($J1262="","",IF($J1262&lt;=1500,IF(N(INDEX('Daily Sale entry '!$AB$1:$AB$1501,$J1262+1))=0,"",INDEX('Daily Sale entry '!$AB$1:$AB$1501,$J1262+1)),1))</f>
        <v/>
      </c>
      <c r="F1262" s="6">
        <f>IF($J1262="","",IF($J1262&lt;=1500,N(INDEX('Daily Sale entry '!$AC$1:$AC$1501,$J1262+1))-IF(AND('Opening Balance'!$B$15=1,INDEX('Daily Sale entry '!$Z$1:$Z$1501,$J1262+1)="Online collection 网上收款",INDEX('Daily Sale entry '!$AA$1:$AA$1501,$J1262+1)&lt;&gt;""),N(INDEX('Daily Sale entry '!$AC$1:$AC$1501,$J1262+1))-TRUNC(N(INDEX('Daily Sale entry '!$AC$1:$AC$1501,$J1262+1))),0),N(INDEX('Daily Sale entry '!$S$1:$S$1501,$J1262-1499))-'Opening Balance'!$B$15*(N(INDEX('Daily Sale entry '!$S$1:$S$1501,$J1262-1499))-TRUNC(N(INDEX('Daily Sale entry '!$S$1:$S$1501,$J1262-1499))))))</f>
        <v/>
      </c>
      <c r="G1262" s="6">
        <f>IF($J1262="","",IF($J1262&lt;=1500,N(INDEX('Daily Sale entry '!$AD$1:$AD$1501,$J1262+1)),0))</f>
        <v/>
      </c>
      <c r="H1262" s="6">
        <f>IF($J1262="","",ROUND('Opening Balance'!$B$4+SUM($F$2:F1262)-SUM($G$2:G1262),2))</f>
        <v/>
      </c>
      <c r="J1262" s="21">
        <f>IFERROR(MATCH(ROW()-1,$L$2:$L$3001,0),"")</f>
        <v/>
      </c>
      <c r="K1262" s="34">
        <f>IF(AND('Daily Sale entry '!X1262&lt;&gt;"",OR('Daily Sale entry '!AC1262&lt;&gt;"",'Daily Sale entry '!AD1262&lt;&gt;"")),'Daily Sale entry '!X1262+ROW()/10000000,"")</f>
        <v/>
      </c>
      <c r="L1262" s="21">
        <f>IF(K1262="","",COUNTIF($K$2:$K$3001,"&lt;"&amp;K1262)+1)</f>
        <v/>
      </c>
    </row>
    <row r="1263">
      <c r="A1263" s="5">
        <f>IF($J1263="","",IF($J1263&lt;=1500,INDEX('Daily Sale entry '!$X$1:$X$1501,$J1263+1),INDEX('Daily Sale entry '!$V$1:$V$1501,$J1263-1499)))</f>
        <v/>
      </c>
      <c r="B1263">
        <f>IF($J1263="","",IF($J1263&lt;=1500,INDEX('Daily Sale entry '!$Y$1:$Y$1501,$J1263+1)&amp;"","Buyer cheque banked 买家支票存入"&amp;IF(INDEX('Daily Sale entry '!$U$1:$U$1501,$J1263-1499)="","", " - "&amp;INDEX('Daily Sale entry '!$U$1:$U$1501,$J1263-1499))))</f>
        <v/>
      </c>
      <c r="C1263">
        <f>IF($J1263="","",IF($J1263&lt;=1500,INDEX('Daily Sale entry '!$Z$1:$Z$1501,$J1263+1)&amp;"","Cheque deposit 支票存入 (buyer 买家)"))</f>
        <v/>
      </c>
      <c r="D1263">
        <f>IF($J1263="","",IF($J1263&lt;=1500,INDEX('Daily Sale entry '!$AA$1:$AA$1501,$J1263+1)&amp;"",INDEX('Daily Sale entry '!$P$1:$P$1501,$J1263-1499)&amp;""))</f>
        <v/>
      </c>
      <c r="E1263">
        <f>IF($J1263="","",IF($J1263&lt;=1500,IF(N(INDEX('Daily Sale entry '!$AB$1:$AB$1501,$J1263+1))=0,"",INDEX('Daily Sale entry '!$AB$1:$AB$1501,$J1263+1)),1))</f>
        <v/>
      </c>
      <c r="F1263" s="6">
        <f>IF($J1263="","",IF($J1263&lt;=1500,N(INDEX('Daily Sale entry '!$AC$1:$AC$1501,$J1263+1))-IF(AND('Opening Balance'!$B$15=1,INDEX('Daily Sale entry '!$Z$1:$Z$1501,$J1263+1)="Online collection 网上收款",INDEX('Daily Sale entry '!$AA$1:$AA$1501,$J1263+1)&lt;&gt;""),N(INDEX('Daily Sale entry '!$AC$1:$AC$1501,$J1263+1))-TRUNC(N(INDEX('Daily Sale entry '!$AC$1:$AC$1501,$J1263+1))),0),N(INDEX('Daily Sale entry '!$S$1:$S$1501,$J1263-1499))-'Opening Balance'!$B$15*(N(INDEX('Daily Sale entry '!$S$1:$S$1501,$J1263-1499))-TRUNC(N(INDEX('Daily Sale entry '!$S$1:$S$1501,$J1263-1499))))))</f>
        <v/>
      </c>
      <c r="G1263" s="6">
        <f>IF($J1263="","",IF($J1263&lt;=1500,N(INDEX('Daily Sale entry '!$AD$1:$AD$1501,$J1263+1)),0))</f>
        <v/>
      </c>
      <c r="H1263" s="6">
        <f>IF($J1263="","",ROUND('Opening Balance'!$B$4+SUM($F$2:F1263)-SUM($G$2:G1263),2))</f>
        <v/>
      </c>
      <c r="J1263" s="21">
        <f>IFERROR(MATCH(ROW()-1,$L$2:$L$3001,0),"")</f>
        <v/>
      </c>
      <c r="K1263" s="34">
        <f>IF(AND('Daily Sale entry '!X1263&lt;&gt;"",OR('Daily Sale entry '!AC1263&lt;&gt;"",'Daily Sale entry '!AD1263&lt;&gt;"")),'Daily Sale entry '!X1263+ROW()/10000000,"")</f>
        <v/>
      </c>
      <c r="L1263" s="21">
        <f>IF(K1263="","",COUNTIF($K$2:$K$3001,"&lt;"&amp;K1263)+1)</f>
        <v/>
      </c>
    </row>
    <row r="1264">
      <c r="A1264" s="5">
        <f>IF($J1264="","",IF($J1264&lt;=1500,INDEX('Daily Sale entry '!$X$1:$X$1501,$J1264+1),INDEX('Daily Sale entry '!$V$1:$V$1501,$J1264-1499)))</f>
        <v/>
      </c>
      <c r="B1264">
        <f>IF($J1264="","",IF($J1264&lt;=1500,INDEX('Daily Sale entry '!$Y$1:$Y$1501,$J1264+1)&amp;"","Buyer cheque banked 买家支票存入"&amp;IF(INDEX('Daily Sale entry '!$U$1:$U$1501,$J1264-1499)="","", " - "&amp;INDEX('Daily Sale entry '!$U$1:$U$1501,$J1264-1499))))</f>
        <v/>
      </c>
      <c r="C1264">
        <f>IF($J1264="","",IF($J1264&lt;=1500,INDEX('Daily Sale entry '!$Z$1:$Z$1501,$J1264+1)&amp;"","Cheque deposit 支票存入 (buyer 买家)"))</f>
        <v/>
      </c>
      <c r="D1264">
        <f>IF($J1264="","",IF($J1264&lt;=1500,INDEX('Daily Sale entry '!$AA$1:$AA$1501,$J1264+1)&amp;"",INDEX('Daily Sale entry '!$P$1:$P$1501,$J1264-1499)&amp;""))</f>
        <v/>
      </c>
      <c r="E1264">
        <f>IF($J1264="","",IF($J1264&lt;=1500,IF(N(INDEX('Daily Sale entry '!$AB$1:$AB$1501,$J1264+1))=0,"",INDEX('Daily Sale entry '!$AB$1:$AB$1501,$J1264+1)),1))</f>
        <v/>
      </c>
      <c r="F1264" s="6">
        <f>IF($J1264="","",IF($J1264&lt;=1500,N(INDEX('Daily Sale entry '!$AC$1:$AC$1501,$J1264+1))-IF(AND('Opening Balance'!$B$15=1,INDEX('Daily Sale entry '!$Z$1:$Z$1501,$J1264+1)="Online collection 网上收款",INDEX('Daily Sale entry '!$AA$1:$AA$1501,$J1264+1)&lt;&gt;""),N(INDEX('Daily Sale entry '!$AC$1:$AC$1501,$J1264+1))-TRUNC(N(INDEX('Daily Sale entry '!$AC$1:$AC$1501,$J1264+1))),0),N(INDEX('Daily Sale entry '!$S$1:$S$1501,$J1264-1499))-'Opening Balance'!$B$15*(N(INDEX('Daily Sale entry '!$S$1:$S$1501,$J1264-1499))-TRUNC(N(INDEX('Daily Sale entry '!$S$1:$S$1501,$J1264-1499))))))</f>
        <v/>
      </c>
      <c r="G1264" s="6">
        <f>IF($J1264="","",IF($J1264&lt;=1500,N(INDEX('Daily Sale entry '!$AD$1:$AD$1501,$J1264+1)),0))</f>
        <v/>
      </c>
      <c r="H1264" s="6">
        <f>IF($J1264="","",ROUND('Opening Balance'!$B$4+SUM($F$2:F1264)-SUM($G$2:G1264),2))</f>
        <v/>
      </c>
      <c r="J1264" s="21">
        <f>IFERROR(MATCH(ROW()-1,$L$2:$L$3001,0),"")</f>
        <v/>
      </c>
      <c r="K1264" s="34">
        <f>IF(AND('Daily Sale entry '!X1264&lt;&gt;"",OR('Daily Sale entry '!AC1264&lt;&gt;"",'Daily Sale entry '!AD1264&lt;&gt;"")),'Daily Sale entry '!X1264+ROW()/10000000,"")</f>
        <v/>
      </c>
      <c r="L1264" s="21">
        <f>IF(K1264="","",COUNTIF($K$2:$K$3001,"&lt;"&amp;K1264)+1)</f>
        <v/>
      </c>
    </row>
    <row r="1265">
      <c r="A1265" s="5">
        <f>IF($J1265="","",IF($J1265&lt;=1500,INDEX('Daily Sale entry '!$X$1:$X$1501,$J1265+1),INDEX('Daily Sale entry '!$V$1:$V$1501,$J1265-1499)))</f>
        <v/>
      </c>
      <c r="B1265">
        <f>IF($J1265="","",IF($J1265&lt;=1500,INDEX('Daily Sale entry '!$Y$1:$Y$1501,$J1265+1)&amp;"","Buyer cheque banked 买家支票存入"&amp;IF(INDEX('Daily Sale entry '!$U$1:$U$1501,$J1265-1499)="","", " - "&amp;INDEX('Daily Sale entry '!$U$1:$U$1501,$J1265-1499))))</f>
        <v/>
      </c>
      <c r="C1265">
        <f>IF($J1265="","",IF($J1265&lt;=1500,INDEX('Daily Sale entry '!$Z$1:$Z$1501,$J1265+1)&amp;"","Cheque deposit 支票存入 (buyer 买家)"))</f>
        <v/>
      </c>
      <c r="D1265">
        <f>IF($J1265="","",IF($J1265&lt;=1500,INDEX('Daily Sale entry '!$AA$1:$AA$1501,$J1265+1)&amp;"",INDEX('Daily Sale entry '!$P$1:$P$1501,$J1265-1499)&amp;""))</f>
        <v/>
      </c>
      <c r="E1265">
        <f>IF($J1265="","",IF($J1265&lt;=1500,IF(N(INDEX('Daily Sale entry '!$AB$1:$AB$1501,$J1265+1))=0,"",INDEX('Daily Sale entry '!$AB$1:$AB$1501,$J1265+1)),1))</f>
        <v/>
      </c>
      <c r="F1265" s="6">
        <f>IF($J1265="","",IF($J1265&lt;=1500,N(INDEX('Daily Sale entry '!$AC$1:$AC$1501,$J1265+1))-IF(AND('Opening Balance'!$B$15=1,INDEX('Daily Sale entry '!$Z$1:$Z$1501,$J1265+1)="Online collection 网上收款",INDEX('Daily Sale entry '!$AA$1:$AA$1501,$J1265+1)&lt;&gt;""),N(INDEX('Daily Sale entry '!$AC$1:$AC$1501,$J1265+1))-TRUNC(N(INDEX('Daily Sale entry '!$AC$1:$AC$1501,$J1265+1))),0),N(INDEX('Daily Sale entry '!$S$1:$S$1501,$J1265-1499))-'Opening Balance'!$B$15*(N(INDEX('Daily Sale entry '!$S$1:$S$1501,$J1265-1499))-TRUNC(N(INDEX('Daily Sale entry '!$S$1:$S$1501,$J1265-1499))))))</f>
        <v/>
      </c>
      <c r="G1265" s="6">
        <f>IF($J1265="","",IF($J1265&lt;=1500,N(INDEX('Daily Sale entry '!$AD$1:$AD$1501,$J1265+1)),0))</f>
        <v/>
      </c>
      <c r="H1265" s="6">
        <f>IF($J1265="","",ROUND('Opening Balance'!$B$4+SUM($F$2:F1265)-SUM($G$2:G1265),2))</f>
        <v/>
      </c>
      <c r="J1265" s="21">
        <f>IFERROR(MATCH(ROW()-1,$L$2:$L$3001,0),"")</f>
        <v/>
      </c>
      <c r="K1265" s="34">
        <f>IF(AND('Daily Sale entry '!X1265&lt;&gt;"",OR('Daily Sale entry '!AC1265&lt;&gt;"",'Daily Sale entry '!AD1265&lt;&gt;"")),'Daily Sale entry '!X1265+ROW()/10000000,"")</f>
        <v/>
      </c>
      <c r="L1265" s="21">
        <f>IF(K1265="","",COUNTIF($K$2:$K$3001,"&lt;"&amp;K1265)+1)</f>
        <v/>
      </c>
    </row>
    <row r="1266">
      <c r="A1266" s="5">
        <f>IF($J1266="","",IF($J1266&lt;=1500,INDEX('Daily Sale entry '!$X$1:$X$1501,$J1266+1),INDEX('Daily Sale entry '!$V$1:$V$1501,$J1266-1499)))</f>
        <v/>
      </c>
      <c r="B1266">
        <f>IF($J1266="","",IF($J1266&lt;=1500,INDEX('Daily Sale entry '!$Y$1:$Y$1501,$J1266+1)&amp;"","Buyer cheque banked 买家支票存入"&amp;IF(INDEX('Daily Sale entry '!$U$1:$U$1501,$J1266-1499)="","", " - "&amp;INDEX('Daily Sale entry '!$U$1:$U$1501,$J1266-1499))))</f>
        <v/>
      </c>
      <c r="C1266">
        <f>IF($J1266="","",IF($J1266&lt;=1500,INDEX('Daily Sale entry '!$Z$1:$Z$1501,$J1266+1)&amp;"","Cheque deposit 支票存入 (buyer 买家)"))</f>
        <v/>
      </c>
      <c r="D1266">
        <f>IF($J1266="","",IF($J1266&lt;=1500,INDEX('Daily Sale entry '!$AA$1:$AA$1501,$J1266+1)&amp;"",INDEX('Daily Sale entry '!$P$1:$P$1501,$J1266-1499)&amp;""))</f>
        <v/>
      </c>
      <c r="E1266">
        <f>IF($J1266="","",IF($J1266&lt;=1500,IF(N(INDEX('Daily Sale entry '!$AB$1:$AB$1501,$J1266+1))=0,"",INDEX('Daily Sale entry '!$AB$1:$AB$1501,$J1266+1)),1))</f>
        <v/>
      </c>
      <c r="F1266" s="6">
        <f>IF($J1266="","",IF($J1266&lt;=1500,N(INDEX('Daily Sale entry '!$AC$1:$AC$1501,$J1266+1))-IF(AND('Opening Balance'!$B$15=1,INDEX('Daily Sale entry '!$Z$1:$Z$1501,$J1266+1)="Online collection 网上收款",INDEX('Daily Sale entry '!$AA$1:$AA$1501,$J1266+1)&lt;&gt;""),N(INDEX('Daily Sale entry '!$AC$1:$AC$1501,$J1266+1))-TRUNC(N(INDEX('Daily Sale entry '!$AC$1:$AC$1501,$J1266+1))),0),N(INDEX('Daily Sale entry '!$S$1:$S$1501,$J1266-1499))-'Opening Balance'!$B$15*(N(INDEX('Daily Sale entry '!$S$1:$S$1501,$J1266-1499))-TRUNC(N(INDEX('Daily Sale entry '!$S$1:$S$1501,$J1266-1499))))))</f>
        <v/>
      </c>
      <c r="G1266" s="6">
        <f>IF($J1266="","",IF($J1266&lt;=1500,N(INDEX('Daily Sale entry '!$AD$1:$AD$1501,$J1266+1)),0))</f>
        <v/>
      </c>
      <c r="H1266" s="6">
        <f>IF($J1266="","",ROUND('Opening Balance'!$B$4+SUM($F$2:F1266)-SUM($G$2:G1266),2))</f>
        <v/>
      </c>
      <c r="J1266" s="21">
        <f>IFERROR(MATCH(ROW()-1,$L$2:$L$3001,0),"")</f>
        <v/>
      </c>
      <c r="K1266" s="34">
        <f>IF(AND('Daily Sale entry '!X1266&lt;&gt;"",OR('Daily Sale entry '!AC1266&lt;&gt;"",'Daily Sale entry '!AD1266&lt;&gt;"")),'Daily Sale entry '!X1266+ROW()/10000000,"")</f>
        <v/>
      </c>
      <c r="L1266" s="21">
        <f>IF(K1266="","",COUNTIF($K$2:$K$3001,"&lt;"&amp;K1266)+1)</f>
        <v/>
      </c>
    </row>
    <row r="1267">
      <c r="A1267" s="5">
        <f>IF($J1267="","",IF($J1267&lt;=1500,INDEX('Daily Sale entry '!$X$1:$X$1501,$J1267+1),INDEX('Daily Sale entry '!$V$1:$V$1501,$J1267-1499)))</f>
        <v/>
      </c>
      <c r="B1267">
        <f>IF($J1267="","",IF($J1267&lt;=1500,INDEX('Daily Sale entry '!$Y$1:$Y$1501,$J1267+1)&amp;"","Buyer cheque banked 买家支票存入"&amp;IF(INDEX('Daily Sale entry '!$U$1:$U$1501,$J1267-1499)="","", " - "&amp;INDEX('Daily Sale entry '!$U$1:$U$1501,$J1267-1499))))</f>
        <v/>
      </c>
      <c r="C1267">
        <f>IF($J1267="","",IF($J1267&lt;=1500,INDEX('Daily Sale entry '!$Z$1:$Z$1501,$J1267+1)&amp;"","Cheque deposit 支票存入 (buyer 买家)"))</f>
        <v/>
      </c>
      <c r="D1267">
        <f>IF($J1267="","",IF($J1267&lt;=1500,INDEX('Daily Sale entry '!$AA$1:$AA$1501,$J1267+1)&amp;"",INDEX('Daily Sale entry '!$P$1:$P$1501,$J1267-1499)&amp;""))</f>
        <v/>
      </c>
      <c r="E1267">
        <f>IF($J1267="","",IF($J1267&lt;=1500,IF(N(INDEX('Daily Sale entry '!$AB$1:$AB$1501,$J1267+1))=0,"",INDEX('Daily Sale entry '!$AB$1:$AB$1501,$J1267+1)),1))</f>
        <v/>
      </c>
      <c r="F1267" s="6">
        <f>IF($J1267="","",IF($J1267&lt;=1500,N(INDEX('Daily Sale entry '!$AC$1:$AC$1501,$J1267+1))-IF(AND('Opening Balance'!$B$15=1,INDEX('Daily Sale entry '!$Z$1:$Z$1501,$J1267+1)="Online collection 网上收款",INDEX('Daily Sale entry '!$AA$1:$AA$1501,$J1267+1)&lt;&gt;""),N(INDEX('Daily Sale entry '!$AC$1:$AC$1501,$J1267+1))-TRUNC(N(INDEX('Daily Sale entry '!$AC$1:$AC$1501,$J1267+1))),0),N(INDEX('Daily Sale entry '!$S$1:$S$1501,$J1267-1499))-'Opening Balance'!$B$15*(N(INDEX('Daily Sale entry '!$S$1:$S$1501,$J1267-1499))-TRUNC(N(INDEX('Daily Sale entry '!$S$1:$S$1501,$J1267-1499))))))</f>
        <v/>
      </c>
      <c r="G1267" s="6">
        <f>IF($J1267="","",IF($J1267&lt;=1500,N(INDEX('Daily Sale entry '!$AD$1:$AD$1501,$J1267+1)),0))</f>
        <v/>
      </c>
      <c r="H1267" s="6">
        <f>IF($J1267="","",ROUND('Opening Balance'!$B$4+SUM($F$2:F1267)-SUM($G$2:G1267),2))</f>
        <v/>
      </c>
      <c r="J1267" s="21">
        <f>IFERROR(MATCH(ROW()-1,$L$2:$L$3001,0),"")</f>
        <v/>
      </c>
      <c r="K1267" s="34">
        <f>IF(AND('Daily Sale entry '!X1267&lt;&gt;"",OR('Daily Sale entry '!AC1267&lt;&gt;"",'Daily Sale entry '!AD1267&lt;&gt;"")),'Daily Sale entry '!X1267+ROW()/10000000,"")</f>
        <v/>
      </c>
      <c r="L1267" s="21">
        <f>IF(K1267="","",COUNTIF($K$2:$K$3001,"&lt;"&amp;K1267)+1)</f>
        <v/>
      </c>
    </row>
    <row r="1268">
      <c r="A1268" s="5">
        <f>IF($J1268="","",IF($J1268&lt;=1500,INDEX('Daily Sale entry '!$X$1:$X$1501,$J1268+1),INDEX('Daily Sale entry '!$V$1:$V$1501,$J1268-1499)))</f>
        <v/>
      </c>
      <c r="B1268">
        <f>IF($J1268="","",IF($J1268&lt;=1500,INDEX('Daily Sale entry '!$Y$1:$Y$1501,$J1268+1)&amp;"","Buyer cheque banked 买家支票存入"&amp;IF(INDEX('Daily Sale entry '!$U$1:$U$1501,$J1268-1499)="","", " - "&amp;INDEX('Daily Sale entry '!$U$1:$U$1501,$J1268-1499))))</f>
        <v/>
      </c>
      <c r="C1268">
        <f>IF($J1268="","",IF($J1268&lt;=1500,INDEX('Daily Sale entry '!$Z$1:$Z$1501,$J1268+1)&amp;"","Cheque deposit 支票存入 (buyer 买家)"))</f>
        <v/>
      </c>
      <c r="D1268">
        <f>IF($J1268="","",IF($J1268&lt;=1500,INDEX('Daily Sale entry '!$AA$1:$AA$1501,$J1268+1)&amp;"",INDEX('Daily Sale entry '!$P$1:$P$1501,$J1268-1499)&amp;""))</f>
        <v/>
      </c>
      <c r="E1268">
        <f>IF($J1268="","",IF($J1268&lt;=1500,IF(N(INDEX('Daily Sale entry '!$AB$1:$AB$1501,$J1268+1))=0,"",INDEX('Daily Sale entry '!$AB$1:$AB$1501,$J1268+1)),1))</f>
        <v/>
      </c>
      <c r="F1268" s="6">
        <f>IF($J1268="","",IF($J1268&lt;=1500,N(INDEX('Daily Sale entry '!$AC$1:$AC$1501,$J1268+1))-IF(AND('Opening Balance'!$B$15=1,INDEX('Daily Sale entry '!$Z$1:$Z$1501,$J1268+1)="Online collection 网上收款",INDEX('Daily Sale entry '!$AA$1:$AA$1501,$J1268+1)&lt;&gt;""),N(INDEX('Daily Sale entry '!$AC$1:$AC$1501,$J1268+1))-TRUNC(N(INDEX('Daily Sale entry '!$AC$1:$AC$1501,$J1268+1))),0),N(INDEX('Daily Sale entry '!$S$1:$S$1501,$J1268-1499))-'Opening Balance'!$B$15*(N(INDEX('Daily Sale entry '!$S$1:$S$1501,$J1268-1499))-TRUNC(N(INDEX('Daily Sale entry '!$S$1:$S$1501,$J1268-1499))))))</f>
        <v/>
      </c>
      <c r="G1268" s="6">
        <f>IF($J1268="","",IF($J1268&lt;=1500,N(INDEX('Daily Sale entry '!$AD$1:$AD$1501,$J1268+1)),0))</f>
        <v/>
      </c>
      <c r="H1268" s="6">
        <f>IF($J1268="","",ROUND('Opening Balance'!$B$4+SUM($F$2:F1268)-SUM($G$2:G1268),2))</f>
        <v/>
      </c>
      <c r="J1268" s="21">
        <f>IFERROR(MATCH(ROW()-1,$L$2:$L$3001,0),"")</f>
        <v/>
      </c>
      <c r="K1268" s="34">
        <f>IF(AND('Daily Sale entry '!X1268&lt;&gt;"",OR('Daily Sale entry '!AC1268&lt;&gt;"",'Daily Sale entry '!AD1268&lt;&gt;"")),'Daily Sale entry '!X1268+ROW()/10000000,"")</f>
        <v/>
      </c>
      <c r="L1268" s="21">
        <f>IF(K1268="","",COUNTIF($K$2:$K$3001,"&lt;"&amp;K1268)+1)</f>
        <v/>
      </c>
    </row>
    <row r="1269">
      <c r="A1269" s="5">
        <f>IF($J1269="","",IF($J1269&lt;=1500,INDEX('Daily Sale entry '!$X$1:$X$1501,$J1269+1),INDEX('Daily Sale entry '!$V$1:$V$1501,$J1269-1499)))</f>
        <v/>
      </c>
      <c r="B1269">
        <f>IF($J1269="","",IF($J1269&lt;=1500,INDEX('Daily Sale entry '!$Y$1:$Y$1501,$J1269+1)&amp;"","Buyer cheque banked 买家支票存入"&amp;IF(INDEX('Daily Sale entry '!$U$1:$U$1501,$J1269-1499)="","", " - "&amp;INDEX('Daily Sale entry '!$U$1:$U$1501,$J1269-1499))))</f>
        <v/>
      </c>
      <c r="C1269">
        <f>IF($J1269="","",IF($J1269&lt;=1500,INDEX('Daily Sale entry '!$Z$1:$Z$1501,$J1269+1)&amp;"","Cheque deposit 支票存入 (buyer 买家)"))</f>
        <v/>
      </c>
      <c r="D1269">
        <f>IF($J1269="","",IF($J1269&lt;=1500,INDEX('Daily Sale entry '!$AA$1:$AA$1501,$J1269+1)&amp;"",INDEX('Daily Sale entry '!$P$1:$P$1501,$J1269-1499)&amp;""))</f>
        <v/>
      </c>
      <c r="E1269">
        <f>IF($J1269="","",IF($J1269&lt;=1500,IF(N(INDEX('Daily Sale entry '!$AB$1:$AB$1501,$J1269+1))=0,"",INDEX('Daily Sale entry '!$AB$1:$AB$1501,$J1269+1)),1))</f>
        <v/>
      </c>
      <c r="F1269" s="6">
        <f>IF($J1269="","",IF($J1269&lt;=1500,N(INDEX('Daily Sale entry '!$AC$1:$AC$1501,$J1269+1))-IF(AND('Opening Balance'!$B$15=1,INDEX('Daily Sale entry '!$Z$1:$Z$1501,$J1269+1)="Online collection 网上收款",INDEX('Daily Sale entry '!$AA$1:$AA$1501,$J1269+1)&lt;&gt;""),N(INDEX('Daily Sale entry '!$AC$1:$AC$1501,$J1269+1))-TRUNC(N(INDEX('Daily Sale entry '!$AC$1:$AC$1501,$J1269+1))),0),N(INDEX('Daily Sale entry '!$S$1:$S$1501,$J1269-1499))-'Opening Balance'!$B$15*(N(INDEX('Daily Sale entry '!$S$1:$S$1501,$J1269-1499))-TRUNC(N(INDEX('Daily Sale entry '!$S$1:$S$1501,$J1269-1499))))))</f>
        <v/>
      </c>
      <c r="G1269" s="6">
        <f>IF($J1269="","",IF($J1269&lt;=1500,N(INDEX('Daily Sale entry '!$AD$1:$AD$1501,$J1269+1)),0))</f>
        <v/>
      </c>
      <c r="H1269" s="6">
        <f>IF($J1269="","",ROUND('Opening Balance'!$B$4+SUM($F$2:F1269)-SUM($G$2:G1269),2))</f>
        <v/>
      </c>
      <c r="J1269" s="21">
        <f>IFERROR(MATCH(ROW()-1,$L$2:$L$3001,0),"")</f>
        <v/>
      </c>
      <c r="K1269" s="34">
        <f>IF(AND('Daily Sale entry '!X1269&lt;&gt;"",OR('Daily Sale entry '!AC1269&lt;&gt;"",'Daily Sale entry '!AD1269&lt;&gt;"")),'Daily Sale entry '!X1269+ROW()/10000000,"")</f>
        <v/>
      </c>
      <c r="L1269" s="21">
        <f>IF(K1269="","",COUNTIF($K$2:$K$3001,"&lt;"&amp;K1269)+1)</f>
        <v/>
      </c>
    </row>
    <row r="1270">
      <c r="A1270" s="5">
        <f>IF($J1270="","",IF($J1270&lt;=1500,INDEX('Daily Sale entry '!$X$1:$X$1501,$J1270+1),INDEX('Daily Sale entry '!$V$1:$V$1501,$J1270-1499)))</f>
        <v/>
      </c>
      <c r="B1270">
        <f>IF($J1270="","",IF($J1270&lt;=1500,INDEX('Daily Sale entry '!$Y$1:$Y$1501,$J1270+1)&amp;"","Buyer cheque banked 买家支票存入"&amp;IF(INDEX('Daily Sale entry '!$U$1:$U$1501,$J1270-1499)="","", " - "&amp;INDEX('Daily Sale entry '!$U$1:$U$1501,$J1270-1499))))</f>
        <v/>
      </c>
      <c r="C1270">
        <f>IF($J1270="","",IF($J1270&lt;=1500,INDEX('Daily Sale entry '!$Z$1:$Z$1501,$J1270+1)&amp;"","Cheque deposit 支票存入 (buyer 买家)"))</f>
        <v/>
      </c>
      <c r="D1270">
        <f>IF($J1270="","",IF($J1270&lt;=1500,INDEX('Daily Sale entry '!$AA$1:$AA$1501,$J1270+1)&amp;"",INDEX('Daily Sale entry '!$P$1:$P$1501,$J1270-1499)&amp;""))</f>
        <v/>
      </c>
      <c r="E1270">
        <f>IF($J1270="","",IF($J1270&lt;=1500,IF(N(INDEX('Daily Sale entry '!$AB$1:$AB$1501,$J1270+1))=0,"",INDEX('Daily Sale entry '!$AB$1:$AB$1501,$J1270+1)),1))</f>
        <v/>
      </c>
      <c r="F1270" s="6">
        <f>IF($J1270="","",IF($J1270&lt;=1500,N(INDEX('Daily Sale entry '!$AC$1:$AC$1501,$J1270+1))-IF(AND('Opening Balance'!$B$15=1,INDEX('Daily Sale entry '!$Z$1:$Z$1501,$J1270+1)="Online collection 网上收款",INDEX('Daily Sale entry '!$AA$1:$AA$1501,$J1270+1)&lt;&gt;""),N(INDEX('Daily Sale entry '!$AC$1:$AC$1501,$J1270+1))-TRUNC(N(INDEX('Daily Sale entry '!$AC$1:$AC$1501,$J1270+1))),0),N(INDEX('Daily Sale entry '!$S$1:$S$1501,$J1270-1499))-'Opening Balance'!$B$15*(N(INDEX('Daily Sale entry '!$S$1:$S$1501,$J1270-1499))-TRUNC(N(INDEX('Daily Sale entry '!$S$1:$S$1501,$J1270-1499))))))</f>
        <v/>
      </c>
      <c r="G1270" s="6">
        <f>IF($J1270="","",IF($J1270&lt;=1500,N(INDEX('Daily Sale entry '!$AD$1:$AD$1501,$J1270+1)),0))</f>
        <v/>
      </c>
      <c r="H1270" s="6">
        <f>IF($J1270="","",ROUND('Opening Balance'!$B$4+SUM($F$2:F1270)-SUM($G$2:G1270),2))</f>
        <v/>
      </c>
      <c r="J1270" s="21">
        <f>IFERROR(MATCH(ROW()-1,$L$2:$L$3001,0),"")</f>
        <v/>
      </c>
      <c r="K1270" s="34">
        <f>IF(AND('Daily Sale entry '!X1270&lt;&gt;"",OR('Daily Sale entry '!AC1270&lt;&gt;"",'Daily Sale entry '!AD1270&lt;&gt;"")),'Daily Sale entry '!X1270+ROW()/10000000,"")</f>
        <v/>
      </c>
      <c r="L1270" s="21">
        <f>IF(K1270="","",COUNTIF($K$2:$K$3001,"&lt;"&amp;K1270)+1)</f>
        <v/>
      </c>
    </row>
    <row r="1271">
      <c r="A1271" s="5">
        <f>IF($J1271="","",IF($J1271&lt;=1500,INDEX('Daily Sale entry '!$X$1:$X$1501,$J1271+1),INDEX('Daily Sale entry '!$V$1:$V$1501,$J1271-1499)))</f>
        <v/>
      </c>
      <c r="B1271">
        <f>IF($J1271="","",IF($J1271&lt;=1500,INDEX('Daily Sale entry '!$Y$1:$Y$1501,$J1271+1)&amp;"","Buyer cheque banked 买家支票存入"&amp;IF(INDEX('Daily Sale entry '!$U$1:$U$1501,$J1271-1499)="","", " - "&amp;INDEX('Daily Sale entry '!$U$1:$U$1501,$J1271-1499))))</f>
        <v/>
      </c>
      <c r="C1271">
        <f>IF($J1271="","",IF($J1271&lt;=1500,INDEX('Daily Sale entry '!$Z$1:$Z$1501,$J1271+1)&amp;"","Cheque deposit 支票存入 (buyer 买家)"))</f>
        <v/>
      </c>
      <c r="D1271">
        <f>IF($J1271="","",IF($J1271&lt;=1500,INDEX('Daily Sale entry '!$AA$1:$AA$1501,$J1271+1)&amp;"",INDEX('Daily Sale entry '!$P$1:$P$1501,$J1271-1499)&amp;""))</f>
        <v/>
      </c>
      <c r="E1271">
        <f>IF($J1271="","",IF($J1271&lt;=1500,IF(N(INDEX('Daily Sale entry '!$AB$1:$AB$1501,$J1271+1))=0,"",INDEX('Daily Sale entry '!$AB$1:$AB$1501,$J1271+1)),1))</f>
        <v/>
      </c>
      <c r="F1271" s="6">
        <f>IF($J1271="","",IF($J1271&lt;=1500,N(INDEX('Daily Sale entry '!$AC$1:$AC$1501,$J1271+1))-IF(AND('Opening Balance'!$B$15=1,INDEX('Daily Sale entry '!$Z$1:$Z$1501,$J1271+1)="Online collection 网上收款",INDEX('Daily Sale entry '!$AA$1:$AA$1501,$J1271+1)&lt;&gt;""),N(INDEX('Daily Sale entry '!$AC$1:$AC$1501,$J1271+1))-TRUNC(N(INDEX('Daily Sale entry '!$AC$1:$AC$1501,$J1271+1))),0),N(INDEX('Daily Sale entry '!$S$1:$S$1501,$J1271-1499))-'Opening Balance'!$B$15*(N(INDEX('Daily Sale entry '!$S$1:$S$1501,$J1271-1499))-TRUNC(N(INDEX('Daily Sale entry '!$S$1:$S$1501,$J1271-1499))))))</f>
        <v/>
      </c>
      <c r="G1271" s="6">
        <f>IF($J1271="","",IF($J1271&lt;=1500,N(INDEX('Daily Sale entry '!$AD$1:$AD$1501,$J1271+1)),0))</f>
        <v/>
      </c>
      <c r="H1271" s="6">
        <f>IF($J1271="","",ROUND('Opening Balance'!$B$4+SUM($F$2:F1271)-SUM($G$2:G1271),2))</f>
        <v/>
      </c>
      <c r="J1271" s="21">
        <f>IFERROR(MATCH(ROW()-1,$L$2:$L$3001,0),"")</f>
        <v/>
      </c>
      <c r="K1271" s="34">
        <f>IF(AND('Daily Sale entry '!X1271&lt;&gt;"",OR('Daily Sale entry '!AC1271&lt;&gt;"",'Daily Sale entry '!AD1271&lt;&gt;"")),'Daily Sale entry '!X1271+ROW()/10000000,"")</f>
        <v/>
      </c>
      <c r="L1271" s="21">
        <f>IF(K1271="","",COUNTIF($K$2:$K$3001,"&lt;"&amp;K1271)+1)</f>
        <v/>
      </c>
    </row>
    <row r="1272">
      <c r="A1272" s="5">
        <f>IF($J1272="","",IF($J1272&lt;=1500,INDEX('Daily Sale entry '!$X$1:$X$1501,$J1272+1),INDEX('Daily Sale entry '!$V$1:$V$1501,$J1272-1499)))</f>
        <v/>
      </c>
      <c r="B1272">
        <f>IF($J1272="","",IF($J1272&lt;=1500,INDEX('Daily Sale entry '!$Y$1:$Y$1501,$J1272+1)&amp;"","Buyer cheque banked 买家支票存入"&amp;IF(INDEX('Daily Sale entry '!$U$1:$U$1501,$J1272-1499)="","", " - "&amp;INDEX('Daily Sale entry '!$U$1:$U$1501,$J1272-1499))))</f>
        <v/>
      </c>
      <c r="C1272">
        <f>IF($J1272="","",IF($J1272&lt;=1500,INDEX('Daily Sale entry '!$Z$1:$Z$1501,$J1272+1)&amp;"","Cheque deposit 支票存入 (buyer 买家)"))</f>
        <v/>
      </c>
      <c r="D1272">
        <f>IF($J1272="","",IF($J1272&lt;=1500,INDEX('Daily Sale entry '!$AA$1:$AA$1501,$J1272+1)&amp;"",INDEX('Daily Sale entry '!$P$1:$P$1501,$J1272-1499)&amp;""))</f>
        <v/>
      </c>
      <c r="E1272">
        <f>IF($J1272="","",IF($J1272&lt;=1500,IF(N(INDEX('Daily Sale entry '!$AB$1:$AB$1501,$J1272+1))=0,"",INDEX('Daily Sale entry '!$AB$1:$AB$1501,$J1272+1)),1))</f>
        <v/>
      </c>
      <c r="F1272" s="6">
        <f>IF($J1272="","",IF($J1272&lt;=1500,N(INDEX('Daily Sale entry '!$AC$1:$AC$1501,$J1272+1))-IF(AND('Opening Balance'!$B$15=1,INDEX('Daily Sale entry '!$Z$1:$Z$1501,$J1272+1)="Online collection 网上收款",INDEX('Daily Sale entry '!$AA$1:$AA$1501,$J1272+1)&lt;&gt;""),N(INDEX('Daily Sale entry '!$AC$1:$AC$1501,$J1272+1))-TRUNC(N(INDEX('Daily Sale entry '!$AC$1:$AC$1501,$J1272+1))),0),N(INDEX('Daily Sale entry '!$S$1:$S$1501,$J1272-1499))-'Opening Balance'!$B$15*(N(INDEX('Daily Sale entry '!$S$1:$S$1501,$J1272-1499))-TRUNC(N(INDEX('Daily Sale entry '!$S$1:$S$1501,$J1272-1499))))))</f>
        <v/>
      </c>
      <c r="G1272" s="6">
        <f>IF($J1272="","",IF($J1272&lt;=1500,N(INDEX('Daily Sale entry '!$AD$1:$AD$1501,$J1272+1)),0))</f>
        <v/>
      </c>
      <c r="H1272" s="6">
        <f>IF($J1272="","",ROUND('Opening Balance'!$B$4+SUM($F$2:F1272)-SUM($G$2:G1272),2))</f>
        <v/>
      </c>
      <c r="J1272" s="21">
        <f>IFERROR(MATCH(ROW()-1,$L$2:$L$3001,0),"")</f>
        <v/>
      </c>
      <c r="K1272" s="34">
        <f>IF(AND('Daily Sale entry '!X1272&lt;&gt;"",OR('Daily Sale entry '!AC1272&lt;&gt;"",'Daily Sale entry '!AD1272&lt;&gt;"")),'Daily Sale entry '!X1272+ROW()/10000000,"")</f>
        <v/>
      </c>
      <c r="L1272" s="21">
        <f>IF(K1272="","",COUNTIF($K$2:$K$3001,"&lt;"&amp;K1272)+1)</f>
        <v/>
      </c>
    </row>
    <row r="1273">
      <c r="A1273" s="5">
        <f>IF($J1273="","",IF($J1273&lt;=1500,INDEX('Daily Sale entry '!$X$1:$X$1501,$J1273+1),INDEX('Daily Sale entry '!$V$1:$V$1501,$J1273-1499)))</f>
        <v/>
      </c>
      <c r="B1273">
        <f>IF($J1273="","",IF($J1273&lt;=1500,INDEX('Daily Sale entry '!$Y$1:$Y$1501,$J1273+1)&amp;"","Buyer cheque banked 买家支票存入"&amp;IF(INDEX('Daily Sale entry '!$U$1:$U$1501,$J1273-1499)="","", " - "&amp;INDEX('Daily Sale entry '!$U$1:$U$1501,$J1273-1499))))</f>
        <v/>
      </c>
      <c r="C1273">
        <f>IF($J1273="","",IF($J1273&lt;=1500,INDEX('Daily Sale entry '!$Z$1:$Z$1501,$J1273+1)&amp;"","Cheque deposit 支票存入 (buyer 买家)"))</f>
        <v/>
      </c>
      <c r="D1273">
        <f>IF($J1273="","",IF($J1273&lt;=1500,INDEX('Daily Sale entry '!$AA$1:$AA$1501,$J1273+1)&amp;"",INDEX('Daily Sale entry '!$P$1:$P$1501,$J1273-1499)&amp;""))</f>
        <v/>
      </c>
      <c r="E1273">
        <f>IF($J1273="","",IF($J1273&lt;=1500,IF(N(INDEX('Daily Sale entry '!$AB$1:$AB$1501,$J1273+1))=0,"",INDEX('Daily Sale entry '!$AB$1:$AB$1501,$J1273+1)),1))</f>
        <v/>
      </c>
      <c r="F1273" s="6">
        <f>IF($J1273="","",IF($J1273&lt;=1500,N(INDEX('Daily Sale entry '!$AC$1:$AC$1501,$J1273+1))-IF(AND('Opening Balance'!$B$15=1,INDEX('Daily Sale entry '!$Z$1:$Z$1501,$J1273+1)="Online collection 网上收款",INDEX('Daily Sale entry '!$AA$1:$AA$1501,$J1273+1)&lt;&gt;""),N(INDEX('Daily Sale entry '!$AC$1:$AC$1501,$J1273+1))-TRUNC(N(INDEX('Daily Sale entry '!$AC$1:$AC$1501,$J1273+1))),0),N(INDEX('Daily Sale entry '!$S$1:$S$1501,$J1273-1499))-'Opening Balance'!$B$15*(N(INDEX('Daily Sale entry '!$S$1:$S$1501,$J1273-1499))-TRUNC(N(INDEX('Daily Sale entry '!$S$1:$S$1501,$J1273-1499))))))</f>
        <v/>
      </c>
      <c r="G1273" s="6">
        <f>IF($J1273="","",IF($J1273&lt;=1500,N(INDEX('Daily Sale entry '!$AD$1:$AD$1501,$J1273+1)),0))</f>
        <v/>
      </c>
      <c r="H1273" s="6">
        <f>IF($J1273="","",ROUND('Opening Balance'!$B$4+SUM($F$2:F1273)-SUM($G$2:G1273),2))</f>
        <v/>
      </c>
      <c r="J1273" s="21">
        <f>IFERROR(MATCH(ROW()-1,$L$2:$L$3001,0),"")</f>
        <v/>
      </c>
      <c r="K1273" s="34">
        <f>IF(AND('Daily Sale entry '!X1273&lt;&gt;"",OR('Daily Sale entry '!AC1273&lt;&gt;"",'Daily Sale entry '!AD1273&lt;&gt;"")),'Daily Sale entry '!X1273+ROW()/10000000,"")</f>
        <v/>
      </c>
      <c r="L1273" s="21">
        <f>IF(K1273="","",COUNTIF($K$2:$K$3001,"&lt;"&amp;K1273)+1)</f>
        <v/>
      </c>
    </row>
    <row r="1274">
      <c r="A1274" s="5">
        <f>IF($J1274="","",IF($J1274&lt;=1500,INDEX('Daily Sale entry '!$X$1:$X$1501,$J1274+1),INDEX('Daily Sale entry '!$V$1:$V$1501,$J1274-1499)))</f>
        <v/>
      </c>
      <c r="B1274">
        <f>IF($J1274="","",IF($J1274&lt;=1500,INDEX('Daily Sale entry '!$Y$1:$Y$1501,$J1274+1)&amp;"","Buyer cheque banked 买家支票存入"&amp;IF(INDEX('Daily Sale entry '!$U$1:$U$1501,$J1274-1499)="","", " - "&amp;INDEX('Daily Sale entry '!$U$1:$U$1501,$J1274-1499))))</f>
        <v/>
      </c>
      <c r="C1274">
        <f>IF($J1274="","",IF($J1274&lt;=1500,INDEX('Daily Sale entry '!$Z$1:$Z$1501,$J1274+1)&amp;"","Cheque deposit 支票存入 (buyer 买家)"))</f>
        <v/>
      </c>
      <c r="D1274">
        <f>IF($J1274="","",IF($J1274&lt;=1500,INDEX('Daily Sale entry '!$AA$1:$AA$1501,$J1274+1)&amp;"",INDEX('Daily Sale entry '!$P$1:$P$1501,$J1274-1499)&amp;""))</f>
        <v/>
      </c>
      <c r="E1274">
        <f>IF($J1274="","",IF($J1274&lt;=1500,IF(N(INDEX('Daily Sale entry '!$AB$1:$AB$1501,$J1274+1))=0,"",INDEX('Daily Sale entry '!$AB$1:$AB$1501,$J1274+1)),1))</f>
        <v/>
      </c>
      <c r="F1274" s="6">
        <f>IF($J1274="","",IF($J1274&lt;=1500,N(INDEX('Daily Sale entry '!$AC$1:$AC$1501,$J1274+1))-IF(AND('Opening Balance'!$B$15=1,INDEX('Daily Sale entry '!$Z$1:$Z$1501,$J1274+1)="Online collection 网上收款",INDEX('Daily Sale entry '!$AA$1:$AA$1501,$J1274+1)&lt;&gt;""),N(INDEX('Daily Sale entry '!$AC$1:$AC$1501,$J1274+1))-TRUNC(N(INDEX('Daily Sale entry '!$AC$1:$AC$1501,$J1274+1))),0),N(INDEX('Daily Sale entry '!$S$1:$S$1501,$J1274-1499))-'Opening Balance'!$B$15*(N(INDEX('Daily Sale entry '!$S$1:$S$1501,$J1274-1499))-TRUNC(N(INDEX('Daily Sale entry '!$S$1:$S$1501,$J1274-1499))))))</f>
        <v/>
      </c>
      <c r="G1274" s="6">
        <f>IF($J1274="","",IF($J1274&lt;=1500,N(INDEX('Daily Sale entry '!$AD$1:$AD$1501,$J1274+1)),0))</f>
        <v/>
      </c>
      <c r="H1274" s="6">
        <f>IF($J1274="","",ROUND('Opening Balance'!$B$4+SUM($F$2:F1274)-SUM($G$2:G1274),2))</f>
        <v/>
      </c>
      <c r="J1274" s="21">
        <f>IFERROR(MATCH(ROW()-1,$L$2:$L$3001,0),"")</f>
        <v/>
      </c>
      <c r="K1274" s="34">
        <f>IF(AND('Daily Sale entry '!X1274&lt;&gt;"",OR('Daily Sale entry '!AC1274&lt;&gt;"",'Daily Sale entry '!AD1274&lt;&gt;"")),'Daily Sale entry '!X1274+ROW()/10000000,"")</f>
        <v/>
      </c>
      <c r="L1274" s="21">
        <f>IF(K1274="","",COUNTIF($K$2:$K$3001,"&lt;"&amp;K1274)+1)</f>
        <v/>
      </c>
    </row>
    <row r="1275">
      <c r="A1275" s="5">
        <f>IF($J1275="","",IF($J1275&lt;=1500,INDEX('Daily Sale entry '!$X$1:$X$1501,$J1275+1),INDEX('Daily Sale entry '!$V$1:$V$1501,$J1275-1499)))</f>
        <v/>
      </c>
      <c r="B1275">
        <f>IF($J1275="","",IF($J1275&lt;=1500,INDEX('Daily Sale entry '!$Y$1:$Y$1501,$J1275+1)&amp;"","Buyer cheque banked 买家支票存入"&amp;IF(INDEX('Daily Sale entry '!$U$1:$U$1501,$J1275-1499)="","", " - "&amp;INDEX('Daily Sale entry '!$U$1:$U$1501,$J1275-1499))))</f>
        <v/>
      </c>
      <c r="C1275">
        <f>IF($J1275="","",IF($J1275&lt;=1500,INDEX('Daily Sale entry '!$Z$1:$Z$1501,$J1275+1)&amp;"","Cheque deposit 支票存入 (buyer 买家)"))</f>
        <v/>
      </c>
      <c r="D1275">
        <f>IF($J1275="","",IF($J1275&lt;=1500,INDEX('Daily Sale entry '!$AA$1:$AA$1501,$J1275+1)&amp;"",INDEX('Daily Sale entry '!$P$1:$P$1501,$J1275-1499)&amp;""))</f>
        <v/>
      </c>
      <c r="E1275">
        <f>IF($J1275="","",IF($J1275&lt;=1500,IF(N(INDEX('Daily Sale entry '!$AB$1:$AB$1501,$J1275+1))=0,"",INDEX('Daily Sale entry '!$AB$1:$AB$1501,$J1275+1)),1))</f>
        <v/>
      </c>
      <c r="F1275" s="6">
        <f>IF($J1275="","",IF($J1275&lt;=1500,N(INDEX('Daily Sale entry '!$AC$1:$AC$1501,$J1275+1))-IF(AND('Opening Balance'!$B$15=1,INDEX('Daily Sale entry '!$Z$1:$Z$1501,$J1275+1)="Online collection 网上收款",INDEX('Daily Sale entry '!$AA$1:$AA$1501,$J1275+1)&lt;&gt;""),N(INDEX('Daily Sale entry '!$AC$1:$AC$1501,$J1275+1))-TRUNC(N(INDEX('Daily Sale entry '!$AC$1:$AC$1501,$J1275+1))),0),N(INDEX('Daily Sale entry '!$S$1:$S$1501,$J1275-1499))-'Opening Balance'!$B$15*(N(INDEX('Daily Sale entry '!$S$1:$S$1501,$J1275-1499))-TRUNC(N(INDEX('Daily Sale entry '!$S$1:$S$1501,$J1275-1499))))))</f>
        <v/>
      </c>
      <c r="G1275" s="6">
        <f>IF($J1275="","",IF($J1275&lt;=1500,N(INDEX('Daily Sale entry '!$AD$1:$AD$1501,$J1275+1)),0))</f>
        <v/>
      </c>
      <c r="H1275" s="6">
        <f>IF($J1275="","",ROUND('Opening Balance'!$B$4+SUM($F$2:F1275)-SUM($G$2:G1275),2))</f>
        <v/>
      </c>
      <c r="J1275" s="21">
        <f>IFERROR(MATCH(ROW()-1,$L$2:$L$3001,0),"")</f>
        <v/>
      </c>
      <c r="K1275" s="34">
        <f>IF(AND('Daily Sale entry '!X1275&lt;&gt;"",OR('Daily Sale entry '!AC1275&lt;&gt;"",'Daily Sale entry '!AD1275&lt;&gt;"")),'Daily Sale entry '!X1275+ROW()/10000000,"")</f>
        <v/>
      </c>
      <c r="L1275" s="21">
        <f>IF(K1275="","",COUNTIF($K$2:$K$3001,"&lt;"&amp;K1275)+1)</f>
        <v/>
      </c>
    </row>
    <row r="1276">
      <c r="A1276" s="5">
        <f>IF($J1276="","",IF($J1276&lt;=1500,INDEX('Daily Sale entry '!$X$1:$X$1501,$J1276+1),INDEX('Daily Sale entry '!$V$1:$V$1501,$J1276-1499)))</f>
        <v/>
      </c>
      <c r="B1276">
        <f>IF($J1276="","",IF($J1276&lt;=1500,INDEX('Daily Sale entry '!$Y$1:$Y$1501,$J1276+1)&amp;"","Buyer cheque banked 买家支票存入"&amp;IF(INDEX('Daily Sale entry '!$U$1:$U$1501,$J1276-1499)="","", " - "&amp;INDEX('Daily Sale entry '!$U$1:$U$1501,$J1276-1499))))</f>
        <v/>
      </c>
      <c r="C1276">
        <f>IF($J1276="","",IF($J1276&lt;=1500,INDEX('Daily Sale entry '!$Z$1:$Z$1501,$J1276+1)&amp;"","Cheque deposit 支票存入 (buyer 买家)"))</f>
        <v/>
      </c>
      <c r="D1276">
        <f>IF($J1276="","",IF($J1276&lt;=1500,INDEX('Daily Sale entry '!$AA$1:$AA$1501,$J1276+1)&amp;"",INDEX('Daily Sale entry '!$P$1:$P$1501,$J1276-1499)&amp;""))</f>
        <v/>
      </c>
      <c r="E1276">
        <f>IF($J1276="","",IF($J1276&lt;=1500,IF(N(INDEX('Daily Sale entry '!$AB$1:$AB$1501,$J1276+1))=0,"",INDEX('Daily Sale entry '!$AB$1:$AB$1501,$J1276+1)),1))</f>
        <v/>
      </c>
      <c r="F1276" s="6">
        <f>IF($J1276="","",IF($J1276&lt;=1500,N(INDEX('Daily Sale entry '!$AC$1:$AC$1501,$J1276+1))-IF(AND('Opening Balance'!$B$15=1,INDEX('Daily Sale entry '!$Z$1:$Z$1501,$J1276+1)="Online collection 网上收款",INDEX('Daily Sale entry '!$AA$1:$AA$1501,$J1276+1)&lt;&gt;""),N(INDEX('Daily Sale entry '!$AC$1:$AC$1501,$J1276+1))-TRUNC(N(INDEX('Daily Sale entry '!$AC$1:$AC$1501,$J1276+1))),0),N(INDEX('Daily Sale entry '!$S$1:$S$1501,$J1276-1499))-'Opening Balance'!$B$15*(N(INDEX('Daily Sale entry '!$S$1:$S$1501,$J1276-1499))-TRUNC(N(INDEX('Daily Sale entry '!$S$1:$S$1501,$J1276-1499))))))</f>
        <v/>
      </c>
      <c r="G1276" s="6">
        <f>IF($J1276="","",IF($J1276&lt;=1500,N(INDEX('Daily Sale entry '!$AD$1:$AD$1501,$J1276+1)),0))</f>
        <v/>
      </c>
      <c r="H1276" s="6">
        <f>IF($J1276="","",ROUND('Opening Balance'!$B$4+SUM($F$2:F1276)-SUM($G$2:G1276),2))</f>
        <v/>
      </c>
      <c r="J1276" s="21">
        <f>IFERROR(MATCH(ROW()-1,$L$2:$L$3001,0),"")</f>
        <v/>
      </c>
      <c r="K1276" s="34">
        <f>IF(AND('Daily Sale entry '!X1276&lt;&gt;"",OR('Daily Sale entry '!AC1276&lt;&gt;"",'Daily Sale entry '!AD1276&lt;&gt;"")),'Daily Sale entry '!X1276+ROW()/10000000,"")</f>
        <v/>
      </c>
      <c r="L1276" s="21">
        <f>IF(K1276="","",COUNTIF($K$2:$K$3001,"&lt;"&amp;K1276)+1)</f>
        <v/>
      </c>
    </row>
    <row r="1277">
      <c r="A1277" s="5">
        <f>IF($J1277="","",IF($J1277&lt;=1500,INDEX('Daily Sale entry '!$X$1:$X$1501,$J1277+1),INDEX('Daily Sale entry '!$V$1:$V$1501,$J1277-1499)))</f>
        <v/>
      </c>
      <c r="B1277">
        <f>IF($J1277="","",IF($J1277&lt;=1500,INDEX('Daily Sale entry '!$Y$1:$Y$1501,$J1277+1)&amp;"","Buyer cheque banked 买家支票存入"&amp;IF(INDEX('Daily Sale entry '!$U$1:$U$1501,$J1277-1499)="","", " - "&amp;INDEX('Daily Sale entry '!$U$1:$U$1501,$J1277-1499))))</f>
        <v/>
      </c>
      <c r="C1277">
        <f>IF($J1277="","",IF($J1277&lt;=1500,INDEX('Daily Sale entry '!$Z$1:$Z$1501,$J1277+1)&amp;"","Cheque deposit 支票存入 (buyer 买家)"))</f>
        <v/>
      </c>
      <c r="D1277">
        <f>IF($J1277="","",IF($J1277&lt;=1500,INDEX('Daily Sale entry '!$AA$1:$AA$1501,$J1277+1)&amp;"",INDEX('Daily Sale entry '!$P$1:$P$1501,$J1277-1499)&amp;""))</f>
        <v/>
      </c>
      <c r="E1277">
        <f>IF($J1277="","",IF($J1277&lt;=1500,IF(N(INDEX('Daily Sale entry '!$AB$1:$AB$1501,$J1277+1))=0,"",INDEX('Daily Sale entry '!$AB$1:$AB$1501,$J1277+1)),1))</f>
        <v/>
      </c>
      <c r="F1277" s="6">
        <f>IF($J1277="","",IF($J1277&lt;=1500,N(INDEX('Daily Sale entry '!$AC$1:$AC$1501,$J1277+1))-IF(AND('Opening Balance'!$B$15=1,INDEX('Daily Sale entry '!$Z$1:$Z$1501,$J1277+1)="Online collection 网上收款",INDEX('Daily Sale entry '!$AA$1:$AA$1501,$J1277+1)&lt;&gt;""),N(INDEX('Daily Sale entry '!$AC$1:$AC$1501,$J1277+1))-TRUNC(N(INDEX('Daily Sale entry '!$AC$1:$AC$1501,$J1277+1))),0),N(INDEX('Daily Sale entry '!$S$1:$S$1501,$J1277-1499))-'Opening Balance'!$B$15*(N(INDEX('Daily Sale entry '!$S$1:$S$1501,$J1277-1499))-TRUNC(N(INDEX('Daily Sale entry '!$S$1:$S$1501,$J1277-1499))))))</f>
        <v/>
      </c>
      <c r="G1277" s="6">
        <f>IF($J1277="","",IF($J1277&lt;=1500,N(INDEX('Daily Sale entry '!$AD$1:$AD$1501,$J1277+1)),0))</f>
        <v/>
      </c>
      <c r="H1277" s="6">
        <f>IF($J1277="","",ROUND('Opening Balance'!$B$4+SUM($F$2:F1277)-SUM($G$2:G1277),2))</f>
        <v/>
      </c>
      <c r="J1277" s="21">
        <f>IFERROR(MATCH(ROW()-1,$L$2:$L$3001,0),"")</f>
        <v/>
      </c>
      <c r="K1277" s="34">
        <f>IF(AND('Daily Sale entry '!X1277&lt;&gt;"",OR('Daily Sale entry '!AC1277&lt;&gt;"",'Daily Sale entry '!AD1277&lt;&gt;"")),'Daily Sale entry '!X1277+ROW()/10000000,"")</f>
        <v/>
      </c>
      <c r="L1277" s="21">
        <f>IF(K1277="","",COUNTIF($K$2:$K$3001,"&lt;"&amp;K1277)+1)</f>
        <v/>
      </c>
    </row>
    <row r="1278">
      <c r="A1278" s="5">
        <f>IF($J1278="","",IF($J1278&lt;=1500,INDEX('Daily Sale entry '!$X$1:$X$1501,$J1278+1),INDEX('Daily Sale entry '!$V$1:$V$1501,$J1278-1499)))</f>
        <v/>
      </c>
      <c r="B1278">
        <f>IF($J1278="","",IF($J1278&lt;=1500,INDEX('Daily Sale entry '!$Y$1:$Y$1501,$J1278+1)&amp;"","Buyer cheque banked 买家支票存入"&amp;IF(INDEX('Daily Sale entry '!$U$1:$U$1501,$J1278-1499)="","", " - "&amp;INDEX('Daily Sale entry '!$U$1:$U$1501,$J1278-1499))))</f>
        <v/>
      </c>
      <c r="C1278">
        <f>IF($J1278="","",IF($J1278&lt;=1500,INDEX('Daily Sale entry '!$Z$1:$Z$1501,$J1278+1)&amp;"","Cheque deposit 支票存入 (buyer 买家)"))</f>
        <v/>
      </c>
      <c r="D1278">
        <f>IF($J1278="","",IF($J1278&lt;=1500,INDEX('Daily Sale entry '!$AA$1:$AA$1501,$J1278+1)&amp;"",INDEX('Daily Sale entry '!$P$1:$P$1501,$J1278-1499)&amp;""))</f>
        <v/>
      </c>
      <c r="E1278">
        <f>IF($J1278="","",IF($J1278&lt;=1500,IF(N(INDEX('Daily Sale entry '!$AB$1:$AB$1501,$J1278+1))=0,"",INDEX('Daily Sale entry '!$AB$1:$AB$1501,$J1278+1)),1))</f>
        <v/>
      </c>
      <c r="F1278" s="6">
        <f>IF($J1278="","",IF($J1278&lt;=1500,N(INDEX('Daily Sale entry '!$AC$1:$AC$1501,$J1278+1))-IF(AND('Opening Balance'!$B$15=1,INDEX('Daily Sale entry '!$Z$1:$Z$1501,$J1278+1)="Online collection 网上收款",INDEX('Daily Sale entry '!$AA$1:$AA$1501,$J1278+1)&lt;&gt;""),N(INDEX('Daily Sale entry '!$AC$1:$AC$1501,$J1278+1))-TRUNC(N(INDEX('Daily Sale entry '!$AC$1:$AC$1501,$J1278+1))),0),N(INDEX('Daily Sale entry '!$S$1:$S$1501,$J1278-1499))-'Opening Balance'!$B$15*(N(INDEX('Daily Sale entry '!$S$1:$S$1501,$J1278-1499))-TRUNC(N(INDEX('Daily Sale entry '!$S$1:$S$1501,$J1278-1499))))))</f>
        <v/>
      </c>
      <c r="G1278" s="6">
        <f>IF($J1278="","",IF($J1278&lt;=1500,N(INDEX('Daily Sale entry '!$AD$1:$AD$1501,$J1278+1)),0))</f>
        <v/>
      </c>
      <c r="H1278" s="6">
        <f>IF($J1278="","",ROUND('Opening Balance'!$B$4+SUM($F$2:F1278)-SUM($G$2:G1278),2))</f>
        <v/>
      </c>
      <c r="J1278" s="21">
        <f>IFERROR(MATCH(ROW()-1,$L$2:$L$3001,0),"")</f>
        <v/>
      </c>
      <c r="K1278" s="34">
        <f>IF(AND('Daily Sale entry '!X1278&lt;&gt;"",OR('Daily Sale entry '!AC1278&lt;&gt;"",'Daily Sale entry '!AD1278&lt;&gt;"")),'Daily Sale entry '!X1278+ROW()/10000000,"")</f>
        <v/>
      </c>
      <c r="L1278" s="21">
        <f>IF(K1278="","",COUNTIF($K$2:$K$3001,"&lt;"&amp;K1278)+1)</f>
        <v/>
      </c>
    </row>
    <row r="1279">
      <c r="A1279" s="5">
        <f>IF($J1279="","",IF($J1279&lt;=1500,INDEX('Daily Sale entry '!$X$1:$X$1501,$J1279+1),INDEX('Daily Sale entry '!$V$1:$V$1501,$J1279-1499)))</f>
        <v/>
      </c>
      <c r="B1279">
        <f>IF($J1279="","",IF($J1279&lt;=1500,INDEX('Daily Sale entry '!$Y$1:$Y$1501,$J1279+1)&amp;"","Buyer cheque banked 买家支票存入"&amp;IF(INDEX('Daily Sale entry '!$U$1:$U$1501,$J1279-1499)="","", " - "&amp;INDEX('Daily Sale entry '!$U$1:$U$1501,$J1279-1499))))</f>
        <v/>
      </c>
      <c r="C1279">
        <f>IF($J1279="","",IF($J1279&lt;=1500,INDEX('Daily Sale entry '!$Z$1:$Z$1501,$J1279+1)&amp;"","Cheque deposit 支票存入 (buyer 买家)"))</f>
        <v/>
      </c>
      <c r="D1279">
        <f>IF($J1279="","",IF($J1279&lt;=1500,INDEX('Daily Sale entry '!$AA$1:$AA$1501,$J1279+1)&amp;"",INDEX('Daily Sale entry '!$P$1:$P$1501,$J1279-1499)&amp;""))</f>
        <v/>
      </c>
      <c r="E1279">
        <f>IF($J1279="","",IF($J1279&lt;=1500,IF(N(INDEX('Daily Sale entry '!$AB$1:$AB$1501,$J1279+1))=0,"",INDEX('Daily Sale entry '!$AB$1:$AB$1501,$J1279+1)),1))</f>
        <v/>
      </c>
      <c r="F1279" s="6">
        <f>IF($J1279="","",IF($J1279&lt;=1500,N(INDEX('Daily Sale entry '!$AC$1:$AC$1501,$J1279+1))-IF(AND('Opening Balance'!$B$15=1,INDEX('Daily Sale entry '!$Z$1:$Z$1501,$J1279+1)="Online collection 网上收款",INDEX('Daily Sale entry '!$AA$1:$AA$1501,$J1279+1)&lt;&gt;""),N(INDEX('Daily Sale entry '!$AC$1:$AC$1501,$J1279+1))-TRUNC(N(INDEX('Daily Sale entry '!$AC$1:$AC$1501,$J1279+1))),0),N(INDEX('Daily Sale entry '!$S$1:$S$1501,$J1279-1499))-'Opening Balance'!$B$15*(N(INDEX('Daily Sale entry '!$S$1:$S$1501,$J1279-1499))-TRUNC(N(INDEX('Daily Sale entry '!$S$1:$S$1501,$J1279-1499))))))</f>
        <v/>
      </c>
      <c r="G1279" s="6">
        <f>IF($J1279="","",IF($J1279&lt;=1500,N(INDEX('Daily Sale entry '!$AD$1:$AD$1501,$J1279+1)),0))</f>
        <v/>
      </c>
      <c r="H1279" s="6">
        <f>IF($J1279="","",ROUND('Opening Balance'!$B$4+SUM($F$2:F1279)-SUM($G$2:G1279),2))</f>
        <v/>
      </c>
      <c r="J1279" s="21">
        <f>IFERROR(MATCH(ROW()-1,$L$2:$L$3001,0),"")</f>
        <v/>
      </c>
      <c r="K1279" s="34">
        <f>IF(AND('Daily Sale entry '!X1279&lt;&gt;"",OR('Daily Sale entry '!AC1279&lt;&gt;"",'Daily Sale entry '!AD1279&lt;&gt;"")),'Daily Sale entry '!X1279+ROW()/10000000,"")</f>
        <v/>
      </c>
      <c r="L1279" s="21">
        <f>IF(K1279="","",COUNTIF($K$2:$K$3001,"&lt;"&amp;K1279)+1)</f>
        <v/>
      </c>
    </row>
    <row r="1280">
      <c r="A1280" s="5">
        <f>IF($J1280="","",IF($J1280&lt;=1500,INDEX('Daily Sale entry '!$X$1:$X$1501,$J1280+1),INDEX('Daily Sale entry '!$V$1:$V$1501,$J1280-1499)))</f>
        <v/>
      </c>
      <c r="B1280">
        <f>IF($J1280="","",IF($J1280&lt;=1500,INDEX('Daily Sale entry '!$Y$1:$Y$1501,$J1280+1)&amp;"","Buyer cheque banked 买家支票存入"&amp;IF(INDEX('Daily Sale entry '!$U$1:$U$1501,$J1280-1499)="","", " - "&amp;INDEX('Daily Sale entry '!$U$1:$U$1501,$J1280-1499))))</f>
        <v/>
      </c>
      <c r="C1280">
        <f>IF($J1280="","",IF($J1280&lt;=1500,INDEX('Daily Sale entry '!$Z$1:$Z$1501,$J1280+1)&amp;"","Cheque deposit 支票存入 (buyer 买家)"))</f>
        <v/>
      </c>
      <c r="D1280">
        <f>IF($J1280="","",IF($J1280&lt;=1500,INDEX('Daily Sale entry '!$AA$1:$AA$1501,$J1280+1)&amp;"",INDEX('Daily Sale entry '!$P$1:$P$1501,$J1280-1499)&amp;""))</f>
        <v/>
      </c>
      <c r="E1280">
        <f>IF($J1280="","",IF($J1280&lt;=1500,IF(N(INDEX('Daily Sale entry '!$AB$1:$AB$1501,$J1280+1))=0,"",INDEX('Daily Sale entry '!$AB$1:$AB$1501,$J1280+1)),1))</f>
        <v/>
      </c>
      <c r="F1280" s="6">
        <f>IF($J1280="","",IF($J1280&lt;=1500,N(INDEX('Daily Sale entry '!$AC$1:$AC$1501,$J1280+1))-IF(AND('Opening Balance'!$B$15=1,INDEX('Daily Sale entry '!$Z$1:$Z$1501,$J1280+1)="Online collection 网上收款",INDEX('Daily Sale entry '!$AA$1:$AA$1501,$J1280+1)&lt;&gt;""),N(INDEX('Daily Sale entry '!$AC$1:$AC$1501,$J1280+1))-TRUNC(N(INDEX('Daily Sale entry '!$AC$1:$AC$1501,$J1280+1))),0),N(INDEX('Daily Sale entry '!$S$1:$S$1501,$J1280-1499))-'Opening Balance'!$B$15*(N(INDEX('Daily Sale entry '!$S$1:$S$1501,$J1280-1499))-TRUNC(N(INDEX('Daily Sale entry '!$S$1:$S$1501,$J1280-1499))))))</f>
        <v/>
      </c>
      <c r="G1280" s="6">
        <f>IF($J1280="","",IF($J1280&lt;=1500,N(INDEX('Daily Sale entry '!$AD$1:$AD$1501,$J1280+1)),0))</f>
        <v/>
      </c>
      <c r="H1280" s="6">
        <f>IF($J1280="","",ROUND('Opening Balance'!$B$4+SUM($F$2:F1280)-SUM($G$2:G1280),2))</f>
        <v/>
      </c>
      <c r="J1280" s="21">
        <f>IFERROR(MATCH(ROW()-1,$L$2:$L$3001,0),"")</f>
        <v/>
      </c>
      <c r="K1280" s="34">
        <f>IF(AND('Daily Sale entry '!X1280&lt;&gt;"",OR('Daily Sale entry '!AC1280&lt;&gt;"",'Daily Sale entry '!AD1280&lt;&gt;"")),'Daily Sale entry '!X1280+ROW()/10000000,"")</f>
        <v/>
      </c>
      <c r="L1280" s="21">
        <f>IF(K1280="","",COUNTIF($K$2:$K$3001,"&lt;"&amp;K1280)+1)</f>
        <v/>
      </c>
    </row>
    <row r="1281">
      <c r="A1281" s="5">
        <f>IF($J1281="","",IF($J1281&lt;=1500,INDEX('Daily Sale entry '!$X$1:$X$1501,$J1281+1),INDEX('Daily Sale entry '!$V$1:$V$1501,$J1281-1499)))</f>
        <v/>
      </c>
      <c r="B1281">
        <f>IF($J1281="","",IF($J1281&lt;=1500,INDEX('Daily Sale entry '!$Y$1:$Y$1501,$J1281+1)&amp;"","Buyer cheque banked 买家支票存入"&amp;IF(INDEX('Daily Sale entry '!$U$1:$U$1501,$J1281-1499)="","", " - "&amp;INDEX('Daily Sale entry '!$U$1:$U$1501,$J1281-1499))))</f>
        <v/>
      </c>
      <c r="C1281">
        <f>IF($J1281="","",IF($J1281&lt;=1500,INDEX('Daily Sale entry '!$Z$1:$Z$1501,$J1281+1)&amp;"","Cheque deposit 支票存入 (buyer 买家)"))</f>
        <v/>
      </c>
      <c r="D1281">
        <f>IF($J1281="","",IF($J1281&lt;=1500,INDEX('Daily Sale entry '!$AA$1:$AA$1501,$J1281+1)&amp;"",INDEX('Daily Sale entry '!$P$1:$P$1501,$J1281-1499)&amp;""))</f>
        <v/>
      </c>
      <c r="E1281">
        <f>IF($J1281="","",IF($J1281&lt;=1500,IF(N(INDEX('Daily Sale entry '!$AB$1:$AB$1501,$J1281+1))=0,"",INDEX('Daily Sale entry '!$AB$1:$AB$1501,$J1281+1)),1))</f>
        <v/>
      </c>
      <c r="F1281" s="6">
        <f>IF($J1281="","",IF($J1281&lt;=1500,N(INDEX('Daily Sale entry '!$AC$1:$AC$1501,$J1281+1))-IF(AND('Opening Balance'!$B$15=1,INDEX('Daily Sale entry '!$Z$1:$Z$1501,$J1281+1)="Online collection 网上收款",INDEX('Daily Sale entry '!$AA$1:$AA$1501,$J1281+1)&lt;&gt;""),N(INDEX('Daily Sale entry '!$AC$1:$AC$1501,$J1281+1))-TRUNC(N(INDEX('Daily Sale entry '!$AC$1:$AC$1501,$J1281+1))),0),N(INDEX('Daily Sale entry '!$S$1:$S$1501,$J1281-1499))-'Opening Balance'!$B$15*(N(INDEX('Daily Sale entry '!$S$1:$S$1501,$J1281-1499))-TRUNC(N(INDEX('Daily Sale entry '!$S$1:$S$1501,$J1281-1499))))))</f>
        <v/>
      </c>
      <c r="G1281" s="6">
        <f>IF($J1281="","",IF($J1281&lt;=1500,N(INDEX('Daily Sale entry '!$AD$1:$AD$1501,$J1281+1)),0))</f>
        <v/>
      </c>
      <c r="H1281" s="6">
        <f>IF($J1281="","",ROUND('Opening Balance'!$B$4+SUM($F$2:F1281)-SUM($G$2:G1281),2))</f>
        <v/>
      </c>
      <c r="J1281" s="21">
        <f>IFERROR(MATCH(ROW()-1,$L$2:$L$3001,0),"")</f>
        <v/>
      </c>
      <c r="K1281" s="34">
        <f>IF(AND('Daily Sale entry '!X1281&lt;&gt;"",OR('Daily Sale entry '!AC1281&lt;&gt;"",'Daily Sale entry '!AD1281&lt;&gt;"")),'Daily Sale entry '!X1281+ROW()/10000000,"")</f>
        <v/>
      </c>
      <c r="L1281" s="21">
        <f>IF(K1281="","",COUNTIF($K$2:$K$3001,"&lt;"&amp;K1281)+1)</f>
        <v/>
      </c>
    </row>
    <row r="1282">
      <c r="A1282" s="5">
        <f>IF($J1282="","",IF($J1282&lt;=1500,INDEX('Daily Sale entry '!$X$1:$X$1501,$J1282+1),INDEX('Daily Sale entry '!$V$1:$V$1501,$J1282-1499)))</f>
        <v/>
      </c>
      <c r="B1282">
        <f>IF($J1282="","",IF($J1282&lt;=1500,INDEX('Daily Sale entry '!$Y$1:$Y$1501,$J1282+1)&amp;"","Buyer cheque banked 买家支票存入"&amp;IF(INDEX('Daily Sale entry '!$U$1:$U$1501,$J1282-1499)="","", " - "&amp;INDEX('Daily Sale entry '!$U$1:$U$1501,$J1282-1499))))</f>
        <v/>
      </c>
      <c r="C1282">
        <f>IF($J1282="","",IF($J1282&lt;=1500,INDEX('Daily Sale entry '!$Z$1:$Z$1501,$J1282+1)&amp;"","Cheque deposit 支票存入 (buyer 买家)"))</f>
        <v/>
      </c>
      <c r="D1282">
        <f>IF($J1282="","",IF($J1282&lt;=1500,INDEX('Daily Sale entry '!$AA$1:$AA$1501,$J1282+1)&amp;"",INDEX('Daily Sale entry '!$P$1:$P$1501,$J1282-1499)&amp;""))</f>
        <v/>
      </c>
      <c r="E1282">
        <f>IF($J1282="","",IF($J1282&lt;=1500,IF(N(INDEX('Daily Sale entry '!$AB$1:$AB$1501,$J1282+1))=0,"",INDEX('Daily Sale entry '!$AB$1:$AB$1501,$J1282+1)),1))</f>
        <v/>
      </c>
      <c r="F1282" s="6">
        <f>IF($J1282="","",IF($J1282&lt;=1500,N(INDEX('Daily Sale entry '!$AC$1:$AC$1501,$J1282+1))-IF(AND('Opening Balance'!$B$15=1,INDEX('Daily Sale entry '!$Z$1:$Z$1501,$J1282+1)="Online collection 网上收款",INDEX('Daily Sale entry '!$AA$1:$AA$1501,$J1282+1)&lt;&gt;""),N(INDEX('Daily Sale entry '!$AC$1:$AC$1501,$J1282+1))-TRUNC(N(INDEX('Daily Sale entry '!$AC$1:$AC$1501,$J1282+1))),0),N(INDEX('Daily Sale entry '!$S$1:$S$1501,$J1282-1499))-'Opening Balance'!$B$15*(N(INDEX('Daily Sale entry '!$S$1:$S$1501,$J1282-1499))-TRUNC(N(INDEX('Daily Sale entry '!$S$1:$S$1501,$J1282-1499))))))</f>
        <v/>
      </c>
      <c r="G1282" s="6">
        <f>IF($J1282="","",IF($J1282&lt;=1500,N(INDEX('Daily Sale entry '!$AD$1:$AD$1501,$J1282+1)),0))</f>
        <v/>
      </c>
      <c r="H1282" s="6">
        <f>IF($J1282="","",ROUND('Opening Balance'!$B$4+SUM($F$2:F1282)-SUM($G$2:G1282),2))</f>
        <v/>
      </c>
      <c r="J1282" s="21">
        <f>IFERROR(MATCH(ROW()-1,$L$2:$L$3001,0),"")</f>
        <v/>
      </c>
      <c r="K1282" s="34">
        <f>IF(AND('Daily Sale entry '!X1282&lt;&gt;"",OR('Daily Sale entry '!AC1282&lt;&gt;"",'Daily Sale entry '!AD1282&lt;&gt;"")),'Daily Sale entry '!X1282+ROW()/10000000,"")</f>
        <v/>
      </c>
      <c r="L1282" s="21">
        <f>IF(K1282="","",COUNTIF($K$2:$K$3001,"&lt;"&amp;K1282)+1)</f>
        <v/>
      </c>
    </row>
    <row r="1283">
      <c r="A1283" s="5">
        <f>IF($J1283="","",IF($J1283&lt;=1500,INDEX('Daily Sale entry '!$X$1:$X$1501,$J1283+1),INDEX('Daily Sale entry '!$V$1:$V$1501,$J1283-1499)))</f>
        <v/>
      </c>
      <c r="B1283">
        <f>IF($J1283="","",IF($J1283&lt;=1500,INDEX('Daily Sale entry '!$Y$1:$Y$1501,$J1283+1)&amp;"","Buyer cheque banked 买家支票存入"&amp;IF(INDEX('Daily Sale entry '!$U$1:$U$1501,$J1283-1499)="","", " - "&amp;INDEX('Daily Sale entry '!$U$1:$U$1501,$J1283-1499))))</f>
        <v/>
      </c>
      <c r="C1283">
        <f>IF($J1283="","",IF($J1283&lt;=1500,INDEX('Daily Sale entry '!$Z$1:$Z$1501,$J1283+1)&amp;"","Cheque deposit 支票存入 (buyer 买家)"))</f>
        <v/>
      </c>
      <c r="D1283">
        <f>IF($J1283="","",IF($J1283&lt;=1500,INDEX('Daily Sale entry '!$AA$1:$AA$1501,$J1283+1)&amp;"",INDEX('Daily Sale entry '!$P$1:$P$1501,$J1283-1499)&amp;""))</f>
        <v/>
      </c>
      <c r="E1283">
        <f>IF($J1283="","",IF($J1283&lt;=1500,IF(N(INDEX('Daily Sale entry '!$AB$1:$AB$1501,$J1283+1))=0,"",INDEX('Daily Sale entry '!$AB$1:$AB$1501,$J1283+1)),1))</f>
        <v/>
      </c>
      <c r="F1283" s="6">
        <f>IF($J1283="","",IF($J1283&lt;=1500,N(INDEX('Daily Sale entry '!$AC$1:$AC$1501,$J1283+1))-IF(AND('Opening Balance'!$B$15=1,INDEX('Daily Sale entry '!$Z$1:$Z$1501,$J1283+1)="Online collection 网上收款",INDEX('Daily Sale entry '!$AA$1:$AA$1501,$J1283+1)&lt;&gt;""),N(INDEX('Daily Sale entry '!$AC$1:$AC$1501,$J1283+1))-TRUNC(N(INDEX('Daily Sale entry '!$AC$1:$AC$1501,$J1283+1))),0),N(INDEX('Daily Sale entry '!$S$1:$S$1501,$J1283-1499))-'Opening Balance'!$B$15*(N(INDEX('Daily Sale entry '!$S$1:$S$1501,$J1283-1499))-TRUNC(N(INDEX('Daily Sale entry '!$S$1:$S$1501,$J1283-1499))))))</f>
        <v/>
      </c>
      <c r="G1283" s="6">
        <f>IF($J1283="","",IF($J1283&lt;=1500,N(INDEX('Daily Sale entry '!$AD$1:$AD$1501,$J1283+1)),0))</f>
        <v/>
      </c>
      <c r="H1283" s="6">
        <f>IF($J1283="","",ROUND('Opening Balance'!$B$4+SUM($F$2:F1283)-SUM($G$2:G1283),2))</f>
        <v/>
      </c>
      <c r="J1283" s="21">
        <f>IFERROR(MATCH(ROW()-1,$L$2:$L$3001,0),"")</f>
        <v/>
      </c>
      <c r="K1283" s="34">
        <f>IF(AND('Daily Sale entry '!X1283&lt;&gt;"",OR('Daily Sale entry '!AC1283&lt;&gt;"",'Daily Sale entry '!AD1283&lt;&gt;"")),'Daily Sale entry '!X1283+ROW()/10000000,"")</f>
        <v/>
      </c>
      <c r="L1283" s="21">
        <f>IF(K1283="","",COUNTIF($K$2:$K$3001,"&lt;"&amp;K1283)+1)</f>
        <v/>
      </c>
    </row>
    <row r="1284">
      <c r="A1284" s="5">
        <f>IF($J1284="","",IF($J1284&lt;=1500,INDEX('Daily Sale entry '!$X$1:$X$1501,$J1284+1),INDEX('Daily Sale entry '!$V$1:$V$1501,$J1284-1499)))</f>
        <v/>
      </c>
      <c r="B1284">
        <f>IF($J1284="","",IF($J1284&lt;=1500,INDEX('Daily Sale entry '!$Y$1:$Y$1501,$J1284+1)&amp;"","Buyer cheque banked 买家支票存入"&amp;IF(INDEX('Daily Sale entry '!$U$1:$U$1501,$J1284-1499)="","", " - "&amp;INDEX('Daily Sale entry '!$U$1:$U$1501,$J1284-1499))))</f>
        <v/>
      </c>
      <c r="C1284">
        <f>IF($J1284="","",IF($J1284&lt;=1500,INDEX('Daily Sale entry '!$Z$1:$Z$1501,$J1284+1)&amp;"","Cheque deposit 支票存入 (buyer 买家)"))</f>
        <v/>
      </c>
      <c r="D1284">
        <f>IF($J1284="","",IF($J1284&lt;=1500,INDEX('Daily Sale entry '!$AA$1:$AA$1501,$J1284+1)&amp;"",INDEX('Daily Sale entry '!$P$1:$P$1501,$J1284-1499)&amp;""))</f>
        <v/>
      </c>
      <c r="E1284">
        <f>IF($J1284="","",IF($J1284&lt;=1500,IF(N(INDEX('Daily Sale entry '!$AB$1:$AB$1501,$J1284+1))=0,"",INDEX('Daily Sale entry '!$AB$1:$AB$1501,$J1284+1)),1))</f>
        <v/>
      </c>
      <c r="F1284" s="6">
        <f>IF($J1284="","",IF($J1284&lt;=1500,N(INDEX('Daily Sale entry '!$AC$1:$AC$1501,$J1284+1))-IF(AND('Opening Balance'!$B$15=1,INDEX('Daily Sale entry '!$Z$1:$Z$1501,$J1284+1)="Online collection 网上收款",INDEX('Daily Sale entry '!$AA$1:$AA$1501,$J1284+1)&lt;&gt;""),N(INDEX('Daily Sale entry '!$AC$1:$AC$1501,$J1284+1))-TRUNC(N(INDEX('Daily Sale entry '!$AC$1:$AC$1501,$J1284+1))),0),N(INDEX('Daily Sale entry '!$S$1:$S$1501,$J1284-1499))-'Opening Balance'!$B$15*(N(INDEX('Daily Sale entry '!$S$1:$S$1501,$J1284-1499))-TRUNC(N(INDEX('Daily Sale entry '!$S$1:$S$1501,$J1284-1499))))))</f>
        <v/>
      </c>
      <c r="G1284" s="6">
        <f>IF($J1284="","",IF($J1284&lt;=1500,N(INDEX('Daily Sale entry '!$AD$1:$AD$1501,$J1284+1)),0))</f>
        <v/>
      </c>
      <c r="H1284" s="6">
        <f>IF($J1284="","",ROUND('Opening Balance'!$B$4+SUM($F$2:F1284)-SUM($G$2:G1284),2))</f>
        <v/>
      </c>
      <c r="J1284" s="21">
        <f>IFERROR(MATCH(ROW()-1,$L$2:$L$3001,0),"")</f>
        <v/>
      </c>
      <c r="K1284" s="34">
        <f>IF(AND('Daily Sale entry '!X1284&lt;&gt;"",OR('Daily Sale entry '!AC1284&lt;&gt;"",'Daily Sale entry '!AD1284&lt;&gt;"")),'Daily Sale entry '!X1284+ROW()/10000000,"")</f>
        <v/>
      </c>
      <c r="L1284" s="21">
        <f>IF(K1284="","",COUNTIF($K$2:$K$3001,"&lt;"&amp;K1284)+1)</f>
        <v/>
      </c>
    </row>
    <row r="1285">
      <c r="A1285" s="5">
        <f>IF($J1285="","",IF($J1285&lt;=1500,INDEX('Daily Sale entry '!$X$1:$X$1501,$J1285+1),INDEX('Daily Sale entry '!$V$1:$V$1501,$J1285-1499)))</f>
        <v/>
      </c>
      <c r="B1285">
        <f>IF($J1285="","",IF($J1285&lt;=1500,INDEX('Daily Sale entry '!$Y$1:$Y$1501,$J1285+1)&amp;"","Buyer cheque banked 买家支票存入"&amp;IF(INDEX('Daily Sale entry '!$U$1:$U$1501,$J1285-1499)="","", " - "&amp;INDEX('Daily Sale entry '!$U$1:$U$1501,$J1285-1499))))</f>
        <v/>
      </c>
      <c r="C1285">
        <f>IF($J1285="","",IF($J1285&lt;=1500,INDEX('Daily Sale entry '!$Z$1:$Z$1501,$J1285+1)&amp;"","Cheque deposit 支票存入 (buyer 买家)"))</f>
        <v/>
      </c>
      <c r="D1285">
        <f>IF($J1285="","",IF($J1285&lt;=1500,INDEX('Daily Sale entry '!$AA$1:$AA$1501,$J1285+1)&amp;"",INDEX('Daily Sale entry '!$P$1:$P$1501,$J1285-1499)&amp;""))</f>
        <v/>
      </c>
      <c r="E1285">
        <f>IF($J1285="","",IF($J1285&lt;=1500,IF(N(INDEX('Daily Sale entry '!$AB$1:$AB$1501,$J1285+1))=0,"",INDEX('Daily Sale entry '!$AB$1:$AB$1501,$J1285+1)),1))</f>
        <v/>
      </c>
      <c r="F1285" s="6">
        <f>IF($J1285="","",IF($J1285&lt;=1500,N(INDEX('Daily Sale entry '!$AC$1:$AC$1501,$J1285+1))-IF(AND('Opening Balance'!$B$15=1,INDEX('Daily Sale entry '!$Z$1:$Z$1501,$J1285+1)="Online collection 网上收款",INDEX('Daily Sale entry '!$AA$1:$AA$1501,$J1285+1)&lt;&gt;""),N(INDEX('Daily Sale entry '!$AC$1:$AC$1501,$J1285+1))-TRUNC(N(INDEX('Daily Sale entry '!$AC$1:$AC$1501,$J1285+1))),0),N(INDEX('Daily Sale entry '!$S$1:$S$1501,$J1285-1499))-'Opening Balance'!$B$15*(N(INDEX('Daily Sale entry '!$S$1:$S$1501,$J1285-1499))-TRUNC(N(INDEX('Daily Sale entry '!$S$1:$S$1501,$J1285-1499))))))</f>
        <v/>
      </c>
      <c r="G1285" s="6">
        <f>IF($J1285="","",IF($J1285&lt;=1500,N(INDEX('Daily Sale entry '!$AD$1:$AD$1501,$J1285+1)),0))</f>
        <v/>
      </c>
      <c r="H1285" s="6">
        <f>IF($J1285="","",ROUND('Opening Balance'!$B$4+SUM($F$2:F1285)-SUM($G$2:G1285),2))</f>
        <v/>
      </c>
      <c r="J1285" s="21">
        <f>IFERROR(MATCH(ROW()-1,$L$2:$L$3001,0),"")</f>
        <v/>
      </c>
      <c r="K1285" s="34">
        <f>IF(AND('Daily Sale entry '!X1285&lt;&gt;"",OR('Daily Sale entry '!AC1285&lt;&gt;"",'Daily Sale entry '!AD1285&lt;&gt;"")),'Daily Sale entry '!X1285+ROW()/10000000,"")</f>
        <v/>
      </c>
      <c r="L1285" s="21">
        <f>IF(K1285="","",COUNTIF($K$2:$K$3001,"&lt;"&amp;K1285)+1)</f>
        <v/>
      </c>
    </row>
    <row r="1286">
      <c r="A1286" s="5">
        <f>IF($J1286="","",IF($J1286&lt;=1500,INDEX('Daily Sale entry '!$X$1:$X$1501,$J1286+1),INDEX('Daily Sale entry '!$V$1:$V$1501,$J1286-1499)))</f>
        <v/>
      </c>
      <c r="B1286">
        <f>IF($J1286="","",IF($J1286&lt;=1500,INDEX('Daily Sale entry '!$Y$1:$Y$1501,$J1286+1)&amp;"","Buyer cheque banked 买家支票存入"&amp;IF(INDEX('Daily Sale entry '!$U$1:$U$1501,$J1286-1499)="","", " - "&amp;INDEX('Daily Sale entry '!$U$1:$U$1501,$J1286-1499))))</f>
        <v/>
      </c>
      <c r="C1286">
        <f>IF($J1286="","",IF($J1286&lt;=1500,INDEX('Daily Sale entry '!$Z$1:$Z$1501,$J1286+1)&amp;"","Cheque deposit 支票存入 (buyer 买家)"))</f>
        <v/>
      </c>
      <c r="D1286">
        <f>IF($J1286="","",IF($J1286&lt;=1500,INDEX('Daily Sale entry '!$AA$1:$AA$1501,$J1286+1)&amp;"",INDEX('Daily Sale entry '!$P$1:$P$1501,$J1286-1499)&amp;""))</f>
        <v/>
      </c>
      <c r="E1286">
        <f>IF($J1286="","",IF($J1286&lt;=1500,IF(N(INDEX('Daily Sale entry '!$AB$1:$AB$1501,$J1286+1))=0,"",INDEX('Daily Sale entry '!$AB$1:$AB$1501,$J1286+1)),1))</f>
        <v/>
      </c>
      <c r="F1286" s="6">
        <f>IF($J1286="","",IF($J1286&lt;=1500,N(INDEX('Daily Sale entry '!$AC$1:$AC$1501,$J1286+1))-IF(AND('Opening Balance'!$B$15=1,INDEX('Daily Sale entry '!$Z$1:$Z$1501,$J1286+1)="Online collection 网上收款",INDEX('Daily Sale entry '!$AA$1:$AA$1501,$J1286+1)&lt;&gt;""),N(INDEX('Daily Sale entry '!$AC$1:$AC$1501,$J1286+1))-TRUNC(N(INDEX('Daily Sale entry '!$AC$1:$AC$1501,$J1286+1))),0),N(INDEX('Daily Sale entry '!$S$1:$S$1501,$J1286-1499))-'Opening Balance'!$B$15*(N(INDEX('Daily Sale entry '!$S$1:$S$1501,$J1286-1499))-TRUNC(N(INDEX('Daily Sale entry '!$S$1:$S$1501,$J1286-1499))))))</f>
        <v/>
      </c>
      <c r="G1286" s="6">
        <f>IF($J1286="","",IF($J1286&lt;=1500,N(INDEX('Daily Sale entry '!$AD$1:$AD$1501,$J1286+1)),0))</f>
        <v/>
      </c>
      <c r="H1286" s="6">
        <f>IF($J1286="","",ROUND('Opening Balance'!$B$4+SUM($F$2:F1286)-SUM($G$2:G1286),2))</f>
        <v/>
      </c>
      <c r="J1286" s="21">
        <f>IFERROR(MATCH(ROW()-1,$L$2:$L$3001,0),"")</f>
        <v/>
      </c>
      <c r="K1286" s="34">
        <f>IF(AND('Daily Sale entry '!X1286&lt;&gt;"",OR('Daily Sale entry '!AC1286&lt;&gt;"",'Daily Sale entry '!AD1286&lt;&gt;"")),'Daily Sale entry '!X1286+ROW()/10000000,"")</f>
        <v/>
      </c>
      <c r="L1286" s="21">
        <f>IF(K1286="","",COUNTIF($K$2:$K$3001,"&lt;"&amp;K1286)+1)</f>
        <v/>
      </c>
    </row>
    <row r="1287">
      <c r="A1287" s="5">
        <f>IF($J1287="","",IF($J1287&lt;=1500,INDEX('Daily Sale entry '!$X$1:$X$1501,$J1287+1),INDEX('Daily Sale entry '!$V$1:$V$1501,$J1287-1499)))</f>
        <v/>
      </c>
      <c r="B1287">
        <f>IF($J1287="","",IF($J1287&lt;=1500,INDEX('Daily Sale entry '!$Y$1:$Y$1501,$J1287+1)&amp;"","Buyer cheque banked 买家支票存入"&amp;IF(INDEX('Daily Sale entry '!$U$1:$U$1501,$J1287-1499)="","", " - "&amp;INDEX('Daily Sale entry '!$U$1:$U$1501,$J1287-1499))))</f>
        <v/>
      </c>
      <c r="C1287">
        <f>IF($J1287="","",IF($J1287&lt;=1500,INDEX('Daily Sale entry '!$Z$1:$Z$1501,$J1287+1)&amp;"","Cheque deposit 支票存入 (buyer 买家)"))</f>
        <v/>
      </c>
      <c r="D1287">
        <f>IF($J1287="","",IF($J1287&lt;=1500,INDEX('Daily Sale entry '!$AA$1:$AA$1501,$J1287+1)&amp;"",INDEX('Daily Sale entry '!$P$1:$P$1501,$J1287-1499)&amp;""))</f>
        <v/>
      </c>
      <c r="E1287">
        <f>IF($J1287="","",IF($J1287&lt;=1500,IF(N(INDEX('Daily Sale entry '!$AB$1:$AB$1501,$J1287+1))=0,"",INDEX('Daily Sale entry '!$AB$1:$AB$1501,$J1287+1)),1))</f>
        <v/>
      </c>
      <c r="F1287" s="6">
        <f>IF($J1287="","",IF($J1287&lt;=1500,N(INDEX('Daily Sale entry '!$AC$1:$AC$1501,$J1287+1))-IF(AND('Opening Balance'!$B$15=1,INDEX('Daily Sale entry '!$Z$1:$Z$1501,$J1287+1)="Online collection 网上收款",INDEX('Daily Sale entry '!$AA$1:$AA$1501,$J1287+1)&lt;&gt;""),N(INDEX('Daily Sale entry '!$AC$1:$AC$1501,$J1287+1))-TRUNC(N(INDEX('Daily Sale entry '!$AC$1:$AC$1501,$J1287+1))),0),N(INDEX('Daily Sale entry '!$S$1:$S$1501,$J1287-1499))-'Opening Balance'!$B$15*(N(INDEX('Daily Sale entry '!$S$1:$S$1501,$J1287-1499))-TRUNC(N(INDEX('Daily Sale entry '!$S$1:$S$1501,$J1287-1499))))))</f>
        <v/>
      </c>
      <c r="G1287" s="6">
        <f>IF($J1287="","",IF($J1287&lt;=1500,N(INDEX('Daily Sale entry '!$AD$1:$AD$1501,$J1287+1)),0))</f>
        <v/>
      </c>
      <c r="H1287" s="6">
        <f>IF($J1287="","",ROUND('Opening Balance'!$B$4+SUM($F$2:F1287)-SUM($G$2:G1287),2))</f>
        <v/>
      </c>
      <c r="J1287" s="21">
        <f>IFERROR(MATCH(ROW()-1,$L$2:$L$3001,0),"")</f>
        <v/>
      </c>
      <c r="K1287" s="34">
        <f>IF(AND('Daily Sale entry '!X1287&lt;&gt;"",OR('Daily Sale entry '!AC1287&lt;&gt;"",'Daily Sale entry '!AD1287&lt;&gt;"")),'Daily Sale entry '!X1287+ROW()/10000000,"")</f>
        <v/>
      </c>
      <c r="L1287" s="21">
        <f>IF(K1287="","",COUNTIF($K$2:$K$3001,"&lt;"&amp;K1287)+1)</f>
        <v/>
      </c>
    </row>
    <row r="1288">
      <c r="A1288" s="5">
        <f>IF($J1288="","",IF($J1288&lt;=1500,INDEX('Daily Sale entry '!$X$1:$X$1501,$J1288+1),INDEX('Daily Sale entry '!$V$1:$V$1501,$J1288-1499)))</f>
        <v/>
      </c>
      <c r="B1288">
        <f>IF($J1288="","",IF($J1288&lt;=1500,INDEX('Daily Sale entry '!$Y$1:$Y$1501,$J1288+1)&amp;"","Buyer cheque banked 买家支票存入"&amp;IF(INDEX('Daily Sale entry '!$U$1:$U$1501,$J1288-1499)="","", " - "&amp;INDEX('Daily Sale entry '!$U$1:$U$1501,$J1288-1499))))</f>
        <v/>
      </c>
      <c r="C1288">
        <f>IF($J1288="","",IF($J1288&lt;=1500,INDEX('Daily Sale entry '!$Z$1:$Z$1501,$J1288+1)&amp;"","Cheque deposit 支票存入 (buyer 买家)"))</f>
        <v/>
      </c>
      <c r="D1288">
        <f>IF($J1288="","",IF($J1288&lt;=1500,INDEX('Daily Sale entry '!$AA$1:$AA$1501,$J1288+1)&amp;"",INDEX('Daily Sale entry '!$P$1:$P$1501,$J1288-1499)&amp;""))</f>
        <v/>
      </c>
      <c r="E1288">
        <f>IF($J1288="","",IF($J1288&lt;=1500,IF(N(INDEX('Daily Sale entry '!$AB$1:$AB$1501,$J1288+1))=0,"",INDEX('Daily Sale entry '!$AB$1:$AB$1501,$J1288+1)),1))</f>
        <v/>
      </c>
      <c r="F1288" s="6">
        <f>IF($J1288="","",IF($J1288&lt;=1500,N(INDEX('Daily Sale entry '!$AC$1:$AC$1501,$J1288+1))-IF(AND('Opening Balance'!$B$15=1,INDEX('Daily Sale entry '!$Z$1:$Z$1501,$J1288+1)="Online collection 网上收款",INDEX('Daily Sale entry '!$AA$1:$AA$1501,$J1288+1)&lt;&gt;""),N(INDEX('Daily Sale entry '!$AC$1:$AC$1501,$J1288+1))-TRUNC(N(INDEX('Daily Sale entry '!$AC$1:$AC$1501,$J1288+1))),0),N(INDEX('Daily Sale entry '!$S$1:$S$1501,$J1288-1499))-'Opening Balance'!$B$15*(N(INDEX('Daily Sale entry '!$S$1:$S$1501,$J1288-1499))-TRUNC(N(INDEX('Daily Sale entry '!$S$1:$S$1501,$J1288-1499))))))</f>
        <v/>
      </c>
      <c r="G1288" s="6">
        <f>IF($J1288="","",IF($J1288&lt;=1500,N(INDEX('Daily Sale entry '!$AD$1:$AD$1501,$J1288+1)),0))</f>
        <v/>
      </c>
      <c r="H1288" s="6">
        <f>IF($J1288="","",ROUND('Opening Balance'!$B$4+SUM($F$2:F1288)-SUM($G$2:G1288),2))</f>
        <v/>
      </c>
      <c r="J1288" s="21">
        <f>IFERROR(MATCH(ROW()-1,$L$2:$L$3001,0),"")</f>
        <v/>
      </c>
      <c r="K1288" s="34">
        <f>IF(AND('Daily Sale entry '!X1288&lt;&gt;"",OR('Daily Sale entry '!AC1288&lt;&gt;"",'Daily Sale entry '!AD1288&lt;&gt;"")),'Daily Sale entry '!X1288+ROW()/10000000,"")</f>
        <v/>
      </c>
      <c r="L1288" s="21">
        <f>IF(K1288="","",COUNTIF($K$2:$K$3001,"&lt;"&amp;K1288)+1)</f>
        <v/>
      </c>
    </row>
    <row r="1289">
      <c r="A1289" s="5">
        <f>IF($J1289="","",IF($J1289&lt;=1500,INDEX('Daily Sale entry '!$X$1:$X$1501,$J1289+1),INDEX('Daily Sale entry '!$V$1:$V$1501,$J1289-1499)))</f>
        <v/>
      </c>
      <c r="B1289">
        <f>IF($J1289="","",IF($J1289&lt;=1500,INDEX('Daily Sale entry '!$Y$1:$Y$1501,$J1289+1)&amp;"","Buyer cheque banked 买家支票存入"&amp;IF(INDEX('Daily Sale entry '!$U$1:$U$1501,$J1289-1499)="","", " - "&amp;INDEX('Daily Sale entry '!$U$1:$U$1501,$J1289-1499))))</f>
        <v/>
      </c>
      <c r="C1289">
        <f>IF($J1289="","",IF($J1289&lt;=1500,INDEX('Daily Sale entry '!$Z$1:$Z$1501,$J1289+1)&amp;"","Cheque deposit 支票存入 (buyer 买家)"))</f>
        <v/>
      </c>
      <c r="D1289">
        <f>IF($J1289="","",IF($J1289&lt;=1500,INDEX('Daily Sale entry '!$AA$1:$AA$1501,$J1289+1)&amp;"",INDEX('Daily Sale entry '!$P$1:$P$1501,$J1289-1499)&amp;""))</f>
        <v/>
      </c>
      <c r="E1289">
        <f>IF($J1289="","",IF($J1289&lt;=1500,IF(N(INDEX('Daily Sale entry '!$AB$1:$AB$1501,$J1289+1))=0,"",INDEX('Daily Sale entry '!$AB$1:$AB$1501,$J1289+1)),1))</f>
        <v/>
      </c>
      <c r="F1289" s="6">
        <f>IF($J1289="","",IF($J1289&lt;=1500,N(INDEX('Daily Sale entry '!$AC$1:$AC$1501,$J1289+1))-IF(AND('Opening Balance'!$B$15=1,INDEX('Daily Sale entry '!$Z$1:$Z$1501,$J1289+1)="Online collection 网上收款",INDEX('Daily Sale entry '!$AA$1:$AA$1501,$J1289+1)&lt;&gt;""),N(INDEX('Daily Sale entry '!$AC$1:$AC$1501,$J1289+1))-TRUNC(N(INDEX('Daily Sale entry '!$AC$1:$AC$1501,$J1289+1))),0),N(INDEX('Daily Sale entry '!$S$1:$S$1501,$J1289-1499))-'Opening Balance'!$B$15*(N(INDEX('Daily Sale entry '!$S$1:$S$1501,$J1289-1499))-TRUNC(N(INDEX('Daily Sale entry '!$S$1:$S$1501,$J1289-1499))))))</f>
        <v/>
      </c>
      <c r="G1289" s="6">
        <f>IF($J1289="","",IF($J1289&lt;=1500,N(INDEX('Daily Sale entry '!$AD$1:$AD$1501,$J1289+1)),0))</f>
        <v/>
      </c>
      <c r="H1289" s="6">
        <f>IF($J1289="","",ROUND('Opening Balance'!$B$4+SUM($F$2:F1289)-SUM($G$2:G1289),2))</f>
        <v/>
      </c>
      <c r="J1289" s="21">
        <f>IFERROR(MATCH(ROW()-1,$L$2:$L$3001,0),"")</f>
        <v/>
      </c>
      <c r="K1289" s="34">
        <f>IF(AND('Daily Sale entry '!X1289&lt;&gt;"",OR('Daily Sale entry '!AC1289&lt;&gt;"",'Daily Sale entry '!AD1289&lt;&gt;"")),'Daily Sale entry '!X1289+ROW()/10000000,"")</f>
        <v/>
      </c>
      <c r="L1289" s="21">
        <f>IF(K1289="","",COUNTIF($K$2:$K$3001,"&lt;"&amp;K1289)+1)</f>
        <v/>
      </c>
    </row>
    <row r="1290">
      <c r="A1290" s="5">
        <f>IF($J1290="","",IF($J1290&lt;=1500,INDEX('Daily Sale entry '!$X$1:$X$1501,$J1290+1),INDEX('Daily Sale entry '!$V$1:$V$1501,$J1290-1499)))</f>
        <v/>
      </c>
      <c r="B1290">
        <f>IF($J1290="","",IF($J1290&lt;=1500,INDEX('Daily Sale entry '!$Y$1:$Y$1501,$J1290+1)&amp;"","Buyer cheque banked 买家支票存入"&amp;IF(INDEX('Daily Sale entry '!$U$1:$U$1501,$J1290-1499)="","", " - "&amp;INDEX('Daily Sale entry '!$U$1:$U$1501,$J1290-1499))))</f>
        <v/>
      </c>
      <c r="C1290">
        <f>IF($J1290="","",IF($J1290&lt;=1500,INDEX('Daily Sale entry '!$Z$1:$Z$1501,$J1290+1)&amp;"","Cheque deposit 支票存入 (buyer 买家)"))</f>
        <v/>
      </c>
      <c r="D1290">
        <f>IF($J1290="","",IF($J1290&lt;=1500,INDEX('Daily Sale entry '!$AA$1:$AA$1501,$J1290+1)&amp;"",INDEX('Daily Sale entry '!$P$1:$P$1501,$J1290-1499)&amp;""))</f>
        <v/>
      </c>
      <c r="E1290">
        <f>IF($J1290="","",IF($J1290&lt;=1500,IF(N(INDEX('Daily Sale entry '!$AB$1:$AB$1501,$J1290+1))=0,"",INDEX('Daily Sale entry '!$AB$1:$AB$1501,$J1290+1)),1))</f>
        <v/>
      </c>
      <c r="F1290" s="6">
        <f>IF($J1290="","",IF($J1290&lt;=1500,N(INDEX('Daily Sale entry '!$AC$1:$AC$1501,$J1290+1))-IF(AND('Opening Balance'!$B$15=1,INDEX('Daily Sale entry '!$Z$1:$Z$1501,$J1290+1)="Online collection 网上收款",INDEX('Daily Sale entry '!$AA$1:$AA$1501,$J1290+1)&lt;&gt;""),N(INDEX('Daily Sale entry '!$AC$1:$AC$1501,$J1290+1))-TRUNC(N(INDEX('Daily Sale entry '!$AC$1:$AC$1501,$J1290+1))),0),N(INDEX('Daily Sale entry '!$S$1:$S$1501,$J1290-1499))-'Opening Balance'!$B$15*(N(INDEX('Daily Sale entry '!$S$1:$S$1501,$J1290-1499))-TRUNC(N(INDEX('Daily Sale entry '!$S$1:$S$1501,$J1290-1499))))))</f>
        <v/>
      </c>
      <c r="G1290" s="6">
        <f>IF($J1290="","",IF($J1290&lt;=1500,N(INDEX('Daily Sale entry '!$AD$1:$AD$1501,$J1290+1)),0))</f>
        <v/>
      </c>
      <c r="H1290" s="6">
        <f>IF($J1290="","",ROUND('Opening Balance'!$B$4+SUM($F$2:F1290)-SUM($G$2:G1290),2))</f>
        <v/>
      </c>
      <c r="J1290" s="21">
        <f>IFERROR(MATCH(ROW()-1,$L$2:$L$3001,0),"")</f>
        <v/>
      </c>
      <c r="K1290" s="34">
        <f>IF(AND('Daily Sale entry '!X1290&lt;&gt;"",OR('Daily Sale entry '!AC1290&lt;&gt;"",'Daily Sale entry '!AD1290&lt;&gt;"")),'Daily Sale entry '!X1290+ROW()/10000000,"")</f>
        <v/>
      </c>
      <c r="L1290" s="21">
        <f>IF(K1290="","",COUNTIF($K$2:$K$3001,"&lt;"&amp;K1290)+1)</f>
        <v/>
      </c>
    </row>
    <row r="1291">
      <c r="A1291" s="5">
        <f>IF($J1291="","",IF($J1291&lt;=1500,INDEX('Daily Sale entry '!$X$1:$X$1501,$J1291+1),INDEX('Daily Sale entry '!$V$1:$V$1501,$J1291-1499)))</f>
        <v/>
      </c>
      <c r="B1291">
        <f>IF($J1291="","",IF($J1291&lt;=1500,INDEX('Daily Sale entry '!$Y$1:$Y$1501,$J1291+1)&amp;"","Buyer cheque banked 买家支票存入"&amp;IF(INDEX('Daily Sale entry '!$U$1:$U$1501,$J1291-1499)="","", " - "&amp;INDEX('Daily Sale entry '!$U$1:$U$1501,$J1291-1499))))</f>
        <v/>
      </c>
      <c r="C1291">
        <f>IF($J1291="","",IF($J1291&lt;=1500,INDEX('Daily Sale entry '!$Z$1:$Z$1501,$J1291+1)&amp;"","Cheque deposit 支票存入 (buyer 买家)"))</f>
        <v/>
      </c>
      <c r="D1291">
        <f>IF($J1291="","",IF($J1291&lt;=1500,INDEX('Daily Sale entry '!$AA$1:$AA$1501,$J1291+1)&amp;"",INDEX('Daily Sale entry '!$P$1:$P$1501,$J1291-1499)&amp;""))</f>
        <v/>
      </c>
      <c r="E1291">
        <f>IF($J1291="","",IF($J1291&lt;=1500,IF(N(INDEX('Daily Sale entry '!$AB$1:$AB$1501,$J1291+1))=0,"",INDEX('Daily Sale entry '!$AB$1:$AB$1501,$J1291+1)),1))</f>
        <v/>
      </c>
      <c r="F1291" s="6">
        <f>IF($J1291="","",IF($J1291&lt;=1500,N(INDEX('Daily Sale entry '!$AC$1:$AC$1501,$J1291+1))-IF(AND('Opening Balance'!$B$15=1,INDEX('Daily Sale entry '!$Z$1:$Z$1501,$J1291+1)="Online collection 网上收款",INDEX('Daily Sale entry '!$AA$1:$AA$1501,$J1291+1)&lt;&gt;""),N(INDEX('Daily Sale entry '!$AC$1:$AC$1501,$J1291+1))-TRUNC(N(INDEX('Daily Sale entry '!$AC$1:$AC$1501,$J1291+1))),0),N(INDEX('Daily Sale entry '!$S$1:$S$1501,$J1291-1499))-'Opening Balance'!$B$15*(N(INDEX('Daily Sale entry '!$S$1:$S$1501,$J1291-1499))-TRUNC(N(INDEX('Daily Sale entry '!$S$1:$S$1501,$J1291-1499))))))</f>
        <v/>
      </c>
      <c r="G1291" s="6">
        <f>IF($J1291="","",IF($J1291&lt;=1500,N(INDEX('Daily Sale entry '!$AD$1:$AD$1501,$J1291+1)),0))</f>
        <v/>
      </c>
      <c r="H1291" s="6">
        <f>IF($J1291="","",ROUND('Opening Balance'!$B$4+SUM($F$2:F1291)-SUM($G$2:G1291),2))</f>
        <v/>
      </c>
      <c r="J1291" s="21">
        <f>IFERROR(MATCH(ROW()-1,$L$2:$L$3001,0),"")</f>
        <v/>
      </c>
      <c r="K1291" s="34">
        <f>IF(AND('Daily Sale entry '!X1291&lt;&gt;"",OR('Daily Sale entry '!AC1291&lt;&gt;"",'Daily Sale entry '!AD1291&lt;&gt;"")),'Daily Sale entry '!X1291+ROW()/10000000,"")</f>
        <v/>
      </c>
      <c r="L1291" s="21">
        <f>IF(K1291="","",COUNTIF($K$2:$K$3001,"&lt;"&amp;K1291)+1)</f>
        <v/>
      </c>
    </row>
    <row r="1292">
      <c r="A1292" s="5">
        <f>IF($J1292="","",IF($J1292&lt;=1500,INDEX('Daily Sale entry '!$X$1:$X$1501,$J1292+1),INDEX('Daily Sale entry '!$V$1:$V$1501,$J1292-1499)))</f>
        <v/>
      </c>
      <c r="B1292">
        <f>IF($J1292="","",IF($J1292&lt;=1500,INDEX('Daily Sale entry '!$Y$1:$Y$1501,$J1292+1)&amp;"","Buyer cheque banked 买家支票存入"&amp;IF(INDEX('Daily Sale entry '!$U$1:$U$1501,$J1292-1499)="","", " - "&amp;INDEX('Daily Sale entry '!$U$1:$U$1501,$J1292-1499))))</f>
        <v/>
      </c>
      <c r="C1292">
        <f>IF($J1292="","",IF($J1292&lt;=1500,INDEX('Daily Sale entry '!$Z$1:$Z$1501,$J1292+1)&amp;"","Cheque deposit 支票存入 (buyer 买家)"))</f>
        <v/>
      </c>
      <c r="D1292">
        <f>IF($J1292="","",IF($J1292&lt;=1500,INDEX('Daily Sale entry '!$AA$1:$AA$1501,$J1292+1)&amp;"",INDEX('Daily Sale entry '!$P$1:$P$1501,$J1292-1499)&amp;""))</f>
        <v/>
      </c>
      <c r="E1292">
        <f>IF($J1292="","",IF($J1292&lt;=1500,IF(N(INDEX('Daily Sale entry '!$AB$1:$AB$1501,$J1292+1))=0,"",INDEX('Daily Sale entry '!$AB$1:$AB$1501,$J1292+1)),1))</f>
        <v/>
      </c>
      <c r="F1292" s="6">
        <f>IF($J1292="","",IF($J1292&lt;=1500,N(INDEX('Daily Sale entry '!$AC$1:$AC$1501,$J1292+1))-IF(AND('Opening Balance'!$B$15=1,INDEX('Daily Sale entry '!$Z$1:$Z$1501,$J1292+1)="Online collection 网上收款",INDEX('Daily Sale entry '!$AA$1:$AA$1501,$J1292+1)&lt;&gt;""),N(INDEX('Daily Sale entry '!$AC$1:$AC$1501,$J1292+1))-TRUNC(N(INDEX('Daily Sale entry '!$AC$1:$AC$1501,$J1292+1))),0),N(INDEX('Daily Sale entry '!$S$1:$S$1501,$J1292-1499))-'Opening Balance'!$B$15*(N(INDEX('Daily Sale entry '!$S$1:$S$1501,$J1292-1499))-TRUNC(N(INDEX('Daily Sale entry '!$S$1:$S$1501,$J1292-1499))))))</f>
        <v/>
      </c>
      <c r="G1292" s="6">
        <f>IF($J1292="","",IF($J1292&lt;=1500,N(INDEX('Daily Sale entry '!$AD$1:$AD$1501,$J1292+1)),0))</f>
        <v/>
      </c>
      <c r="H1292" s="6">
        <f>IF($J1292="","",ROUND('Opening Balance'!$B$4+SUM($F$2:F1292)-SUM($G$2:G1292),2))</f>
        <v/>
      </c>
      <c r="J1292" s="21">
        <f>IFERROR(MATCH(ROW()-1,$L$2:$L$3001,0),"")</f>
        <v/>
      </c>
      <c r="K1292" s="34">
        <f>IF(AND('Daily Sale entry '!X1292&lt;&gt;"",OR('Daily Sale entry '!AC1292&lt;&gt;"",'Daily Sale entry '!AD1292&lt;&gt;"")),'Daily Sale entry '!X1292+ROW()/10000000,"")</f>
        <v/>
      </c>
      <c r="L1292" s="21">
        <f>IF(K1292="","",COUNTIF($K$2:$K$3001,"&lt;"&amp;K1292)+1)</f>
        <v/>
      </c>
    </row>
    <row r="1293">
      <c r="A1293" s="5">
        <f>IF($J1293="","",IF($J1293&lt;=1500,INDEX('Daily Sale entry '!$X$1:$X$1501,$J1293+1),INDEX('Daily Sale entry '!$V$1:$V$1501,$J1293-1499)))</f>
        <v/>
      </c>
      <c r="B1293">
        <f>IF($J1293="","",IF($J1293&lt;=1500,INDEX('Daily Sale entry '!$Y$1:$Y$1501,$J1293+1)&amp;"","Buyer cheque banked 买家支票存入"&amp;IF(INDEX('Daily Sale entry '!$U$1:$U$1501,$J1293-1499)="","", " - "&amp;INDEX('Daily Sale entry '!$U$1:$U$1501,$J1293-1499))))</f>
        <v/>
      </c>
      <c r="C1293">
        <f>IF($J1293="","",IF($J1293&lt;=1500,INDEX('Daily Sale entry '!$Z$1:$Z$1501,$J1293+1)&amp;"","Cheque deposit 支票存入 (buyer 买家)"))</f>
        <v/>
      </c>
      <c r="D1293">
        <f>IF($J1293="","",IF($J1293&lt;=1500,INDEX('Daily Sale entry '!$AA$1:$AA$1501,$J1293+1)&amp;"",INDEX('Daily Sale entry '!$P$1:$P$1501,$J1293-1499)&amp;""))</f>
        <v/>
      </c>
      <c r="E1293">
        <f>IF($J1293="","",IF($J1293&lt;=1500,IF(N(INDEX('Daily Sale entry '!$AB$1:$AB$1501,$J1293+1))=0,"",INDEX('Daily Sale entry '!$AB$1:$AB$1501,$J1293+1)),1))</f>
        <v/>
      </c>
      <c r="F1293" s="6">
        <f>IF($J1293="","",IF($J1293&lt;=1500,N(INDEX('Daily Sale entry '!$AC$1:$AC$1501,$J1293+1))-IF(AND('Opening Balance'!$B$15=1,INDEX('Daily Sale entry '!$Z$1:$Z$1501,$J1293+1)="Online collection 网上收款",INDEX('Daily Sale entry '!$AA$1:$AA$1501,$J1293+1)&lt;&gt;""),N(INDEX('Daily Sale entry '!$AC$1:$AC$1501,$J1293+1))-TRUNC(N(INDEX('Daily Sale entry '!$AC$1:$AC$1501,$J1293+1))),0),N(INDEX('Daily Sale entry '!$S$1:$S$1501,$J1293-1499))-'Opening Balance'!$B$15*(N(INDEX('Daily Sale entry '!$S$1:$S$1501,$J1293-1499))-TRUNC(N(INDEX('Daily Sale entry '!$S$1:$S$1501,$J1293-1499))))))</f>
        <v/>
      </c>
      <c r="G1293" s="6">
        <f>IF($J1293="","",IF($J1293&lt;=1500,N(INDEX('Daily Sale entry '!$AD$1:$AD$1501,$J1293+1)),0))</f>
        <v/>
      </c>
      <c r="H1293" s="6">
        <f>IF($J1293="","",ROUND('Opening Balance'!$B$4+SUM($F$2:F1293)-SUM($G$2:G1293),2))</f>
        <v/>
      </c>
      <c r="J1293" s="21">
        <f>IFERROR(MATCH(ROW()-1,$L$2:$L$3001,0),"")</f>
        <v/>
      </c>
      <c r="K1293" s="34">
        <f>IF(AND('Daily Sale entry '!X1293&lt;&gt;"",OR('Daily Sale entry '!AC1293&lt;&gt;"",'Daily Sale entry '!AD1293&lt;&gt;"")),'Daily Sale entry '!X1293+ROW()/10000000,"")</f>
        <v/>
      </c>
      <c r="L1293" s="21">
        <f>IF(K1293="","",COUNTIF($K$2:$K$3001,"&lt;"&amp;K1293)+1)</f>
        <v/>
      </c>
    </row>
    <row r="1294">
      <c r="A1294" s="5">
        <f>IF($J1294="","",IF($J1294&lt;=1500,INDEX('Daily Sale entry '!$X$1:$X$1501,$J1294+1),INDEX('Daily Sale entry '!$V$1:$V$1501,$J1294-1499)))</f>
        <v/>
      </c>
      <c r="B1294">
        <f>IF($J1294="","",IF($J1294&lt;=1500,INDEX('Daily Sale entry '!$Y$1:$Y$1501,$J1294+1)&amp;"","Buyer cheque banked 买家支票存入"&amp;IF(INDEX('Daily Sale entry '!$U$1:$U$1501,$J1294-1499)="","", " - "&amp;INDEX('Daily Sale entry '!$U$1:$U$1501,$J1294-1499))))</f>
        <v/>
      </c>
      <c r="C1294">
        <f>IF($J1294="","",IF($J1294&lt;=1500,INDEX('Daily Sale entry '!$Z$1:$Z$1501,$J1294+1)&amp;"","Cheque deposit 支票存入 (buyer 买家)"))</f>
        <v/>
      </c>
      <c r="D1294">
        <f>IF($J1294="","",IF($J1294&lt;=1500,INDEX('Daily Sale entry '!$AA$1:$AA$1501,$J1294+1)&amp;"",INDEX('Daily Sale entry '!$P$1:$P$1501,$J1294-1499)&amp;""))</f>
        <v/>
      </c>
      <c r="E1294">
        <f>IF($J1294="","",IF($J1294&lt;=1500,IF(N(INDEX('Daily Sale entry '!$AB$1:$AB$1501,$J1294+1))=0,"",INDEX('Daily Sale entry '!$AB$1:$AB$1501,$J1294+1)),1))</f>
        <v/>
      </c>
      <c r="F1294" s="6">
        <f>IF($J1294="","",IF($J1294&lt;=1500,N(INDEX('Daily Sale entry '!$AC$1:$AC$1501,$J1294+1))-IF(AND('Opening Balance'!$B$15=1,INDEX('Daily Sale entry '!$Z$1:$Z$1501,$J1294+1)="Online collection 网上收款",INDEX('Daily Sale entry '!$AA$1:$AA$1501,$J1294+1)&lt;&gt;""),N(INDEX('Daily Sale entry '!$AC$1:$AC$1501,$J1294+1))-TRUNC(N(INDEX('Daily Sale entry '!$AC$1:$AC$1501,$J1294+1))),0),N(INDEX('Daily Sale entry '!$S$1:$S$1501,$J1294-1499))-'Opening Balance'!$B$15*(N(INDEX('Daily Sale entry '!$S$1:$S$1501,$J1294-1499))-TRUNC(N(INDEX('Daily Sale entry '!$S$1:$S$1501,$J1294-1499))))))</f>
        <v/>
      </c>
      <c r="G1294" s="6">
        <f>IF($J1294="","",IF($J1294&lt;=1500,N(INDEX('Daily Sale entry '!$AD$1:$AD$1501,$J1294+1)),0))</f>
        <v/>
      </c>
      <c r="H1294" s="6">
        <f>IF($J1294="","",ROUND('Opening Balance'!$B$4+SUM($F$2:F1294)-SUM($G$2:G1294),2))</f>
        <v/>
      </c>
      <c r="J1294" s="21">
        <f>IFERROR(MATCH(ROW()-1,$L$2:$L$3001,0),"")</f>
        <v/>
      </c>
      <c r="K1294" s="34">
        <f>IF(AND('Daily Sale entry '!X1294&lt;&gt;"",OR('Daily Sale entry '!AC1294&lt;&gt;"",'Daily Sale entry '!AD1294&lt;&gt;"")),'Daily Sale entry '!X1294+ROW()/10000000,"")</f>
        <v/>
      </c>
      <c r="L1294" s="21">
        <f>IF(K1294="","",COUNTIF($K$2:$K$3001,"&lt;"&amp;K1294)+1)</f>
        <v/>
      </c>
    </row>
    <row r="1295">
      <c r="A1295" s="5">
        <f>IF($J1295="","",IF($J1295&lt;=1500,INDEX('Daily Sale entry '!$X$1:$X$1501,$J1295+1),INDEX('Daily Sale entry '!$V$1:$V$1501,$J1295-1499)))</f>
        <v/>
      </c>
      <c r="B1295">
        <f>IF($J1295="","",IF($J1295&lt;=1500,INDEX('Daily Sale entry '!$Y$1:$Y$1501,$J1295+1)&amp;"","Buyer cheque banked 买家支票存入"&amp;IF(INDEX('Daily Sale entry '!$U$1:$U$1501,$J1295-1499)="","", " - "&amp;INDEX('Daily Sale entry '!$U$1:$U$1501,$J1295-1499))))</f>
        <v/>
      </c>
      <c r="C1295">
        <f>IF($J1295="","",IF($J1295&lt;=1500,INDEX('Daily Sale entry '!$Z$1:$Z$1501,$J1295+1)&amp;"","Cheque deposit 支票存入 (buyer 买家)"))</f>
        <v/>
      </c>
      <c r="D1295">
        <f>IF($J1295="","",IF($J1295&lt;=1500,INDEX('Daily Sale entry '!$AA$1:$AA$1501,$J1295+1)&amp;"",INDEX('Daily Sale entry '!$P$1:$P$1501,$J1295-1499)&amp;""))</f>
        <v/>
      </c>
      <c r="E1295">
        <f>IF($J1295="","",IF($J1295&lt;=1500,IF(N(INDEX('Daily Sale entry '!$AB$1:$AB$1501,$J1295+1))=0,"",INDEX('Daily Sale entry '!$AB$1:$AB$1501,$J1295+1)),1))</f>
        <v/>
      </c>
      <c r="F1295" s="6">
        <f>IF($J1295="","",IF($J1295&lt;=1500,N(INDEX('Daily Sale entry '!$AC$1:$AC$1501,$J1295+1))-IF(AND('Opening Balance'!$B$15=1,INDEX('Daily Sale entry '!$Z$1:$Z$1501,$J1295+1)="Online collection 网上收款",INDEX('Daily Sale entry '!$AA$1:$AA$1501,$J1295+1)&lt;&gt;""),N(INDEX('Daily Sale entry '!$AC$1:$AC$1501,$J1295+1))-TRUNC(N(INDEX('Daily Sale entry '!$AC$1:$AC$1501,$J1295+1))),0),N(INDEX('Daily Sale entry '!$S$1:$S$1501,$J1295-1499))-'Opening Balance'!$B$15*(N(INDEX('Daily Sale entry '!$S$1:$S$1501,$J1295-1499))-TRUNC(N(INDEX('Daily Sale entry '!$S$1:$S$1501,$J1295-1499))))))</f>
        <v/>
      </c>
      <c r="G1295" s="6">
        <f>IF($J1295="","",IF($J1295&lt;=1500,N(INDEX('Daily Sale entry '!$AD$1:$AD$1501,$J1295+1)),0))</f>
        <v/>
      </c>
      <c r="H1295" s="6">
        <f>IF($J1295="","",ROUND('Opening Balance'!$B$4+SUM($F$2:F1295)-SUM($G$2:G1295),2))</f>
        <v/>
      </c>
      <c r="J1295" s="21">
        <f>IFERROR(MATCH(ROW()-1,$L$2:$L$3001,0),"")</f>
        <v/>
      </c>
      <c r="K1295" s="34">
        <f>IF(AND('Daily Sale entry '!X1295&lt;&gt;"",OR('Daily Sale entry '!AC1295&lt;&gt;"",'Daily Sale entry '!AD1295&lt;&gt;"")),'Daily Sale entry '!X1295+ROW()/10000000,"")</f>
        <v/>
      </c>
      <c r="L1295" s="21">
        <f>IF(K1295="","",COUNTIF($K$2:$K$3001,"&lt;"&amp;K1295)+1)</f>
        <v/>
      </c>
    </row>
    <row r="1296">
      <c r="A1296" s="5">
        <f>IF($J1296="","",IF($J1296&lt;=1500,INDEX('Daily Sale entry '!$X$1:$X$1501,$J1296+1),INDEX('Daily Sale entry '!$V$1:$V$1501,$J1296-1499)))</f>
        <v/>
      </c>
      <c r="B1296">
        <f>IF($J1296="","",IF($J1296&lt;=1500,INDEX('Daily Sale entry '!$Y$1:$Y$1501,$J1296+1)&amp;"","Buyer cheque banked 买家支票存入"&amp;IF(INDEX('Daily Sale entry '!$U$1:$U$1501,$J1296-1499)="","", " - "&amp;INDEX('Daily Sale entry '!$U$1:$U$1501,$J1296-1499))))</f>
        <v/>
      </c>
      <c r="C1296">
        <f>IF($J1296="","",IF($J1296&lt;=1500,INDEX('Daily Sale entry '!$Z$1:$Z$1501,$J1296+1)&amp;"","Cheque deposit 支票存入 (buyer 买家)"))</f>
        <v/>
      </c>
      <c r="D1296">
        <f>IF($J1296="","",IF($J1296&lt;=1500,INDEX('Daily Sale entry '!$AA$1:$AA$1501,$J1296+1)&amp;"",INDEX('Daily Sale entry '!$P$1:$P$1501,$J1296-1499)&amp;""))</f>
        <v/>
      </c>
      <c r="E1296">
        <f>IF($J1296="","",IF($J1296&lt;=1500,IF(N(INDEX('Daily Sale entry '!$AB$1:$AB$1501,$J1296+1))=0,"",INDEX('Daily Sale entry '!$AB$1:$AB$1501,$J1296+1)),1))</f>
        <v/>
      </c>
      <c r="F1296" s="6">
        <f>IF($J1296="","",IF($J1296&lt;=1500,N(INDEX('Daily Sale entry '!$AC$1:$AC$1501,$J1296+1))-IF(AND('Opening Balance'!$B$15=1,INDEX('Daily Sale entry '!$Z$1:$Z$1501,$J1296+1)="Online collection 网上收款",INDEX('Daily Sale entry '!$AA$1:$AA$1501,$J1296+1)&lt;&gt;""),N(INDEX('Daily Sale entry '!$AC$1:$AC$1501,$J1296+1))-TRUNC(N(INDEX('Daily Sale entry '!$AC$1:$AC$1501,$J1296+1))),0),N(INDEX('Daily Sale entry '!$S$1:$S$1501,$J1296-1499))-'Opening Balance'!$B$15*(N(INDEX('Daily Sale entry '!$S$1:$S$1501,$J1296-1499))-TRUNC(N(INDEX('Daily Sale entry '!$S$1:$S$1501,$J1296-1499))))))</f>
        <v/>
      </c>
      <c r="G1296" s="6">
        <f>IF($J1296="","",IF($J1296&lt;=1500,N(INDEX('Daily Sale entry '!$AD$1:$AD$1501,$J1296+1)),0))</f>
        <v/>
      </c>
      <c r="H1296" s="6">
        <f>IF($J1296="","",ROUND('Opening Balance'!$B$4+SUM($F$2:F1296)-SUM($G$2:G1296),2))</f>
        <v/>
      </c>
      <c r="J1296" s="21">
        <f>IFERROR(MATCH(ROW()-1,$L$2:$L$3001,0),"")</f>
        <v/>
      </c>
      <c r="K1296" s="34">
        <f>IF(AND('Daily Sale entry '!X1296&lt;&gt;"",OR('Daily Sale entry '!AC1296&lt;&gt;"",'Daily Sale entry '!AD1296&lt;&gt;"")),'Daily Sale entry '!X1296+ROW()/10000000,"")</f>
        <v/>
      </c>
      <c r="L1296" s="21">
        <f>IF(K1296="","",COUNTIF($K$2:$K$3001,"&lt;"&amp;K1296)+1)</f>
        <v/>
      </c>
    </row>
    <row r="1297">
      <c r="A1297" s="5">
        <f>IF($J1297="","",IF($J1297&lt;=1500,INDEX('Daily Sale entry '!$X$1:$X$1501,$J1297+1),INDEX('Daily Sale entry '!$V$1:$V$1501,$J1297-1499)))</f>
        <v/>
      </c>
      <c r="B1297">
        <f>IF($J1297="","",IF($J1297&lt;=1500,INDEX('Daily Sale entry '!$Y$1:$Y$1501,$J1297+1)&amp;"","Buyer cheque banked 买家支票存入"&amp;IF(INDEX('Daily Sale entry '!$U$1:$U$1501,$J1297-1499)="","", " - "&amp;INDEX('Daily Sale entry '!$U$1:$U$1501,$J1297-1499))))</f>
        <v/>
      </c>
      <c r="C1297">
        <f>IF($J1297="","",IF($J1297&lt;=1500,INDEX('Daily Sale entry '!$Z$1:$Z$1501,$J1297+1)&amp;"","Cheque deposit 支票存入 (buyer 买家)"))</f>
        <v/>
      </c>
      <c r="D1297">
        <f>IF($J1297="","",IF($J1297&lt;=1500,INDEX('Daily Sale entry '!$AA$1:$AA$1501,$J1297+1)&amp;"",INDEX('Daily Sale entry '!$P$1:$P$1501,$J1297-1499)&amp;""))</f>
        <v/>
      </c>
      <c r="E1297">
        <f>IF($J1297="","",IF($J1297&lt;=1500,IF(N(INDEX('Daily Sale entry '!$AB$1:$AB$1501,$J1297+1))=0,"",INDEX('Daily Sale entry '!$AB$1:$AB$1501,$J1297+1)),1))</f>
        <v/>
      </c>
      <c r="F1297" s="6">
        <f>IF($J1297="","",IF($J1297&lt;=1500,N(INDEX('Daily Sale entry '!$AC$1:$AC$1501,$J1297+1))-IF(AND('Opening Balance'!$B$15=1,INDEX('Daily Sale entry '!$Z$1:$Z$1501,$J1297+1)="Online collection 网上收款",INDEX('Daily Sale entry '!$AA$1:$AA$1501,$J1297+1)&lt;&gt;""),N(INDEX('Daily Sale entry '!$AC$1:$AC$1501,$J1297+1))-TRUNC(N(INDEX('Daily Sale entry '!$AC$1:$AC$1501,$J1297+1))),0),N(INDEX('Daily Sale entry '!$S$1:$S$1501,$J1297-1499))-'Opening Balance'!$B$15*(N(INDEX('Daily Sale entry '!$S$1:$S$1501,$J1297-1499))-TRUNC(N(INDEX('Daily Sale entry '!$S$1:$S$1501,$J1297-1499))))))</f>
        <v/>
      </c>
      <c r="G1297" s="6">
        <f>IF($J1297="","",IF($J1297&lt;=1500,N(INDEX('Daily Sale entry '!$AD$1:$AD$1501,$J1297+1)),0))</f>
        <v/>
      </c>
      <c r="H1297" s="6">
        <f>IF($J1297="","",ROUND('Opening Balance'!$B$4+SUM($F$2:F1297)-SUM($G$2:G1297),2))</f>
        <v/>
      </c>
      <c r="J1297" s="21">
        <f>IFERROR(MATCH(ROW()-1,$L$2:$L$3001,0),"")</f>
        <v/>
      </c>
      <c r="K1297" s="34">
        <f>IF(AND('Daily Sale entry '!X1297&lt;&gt;"",OR('Daily Sale entry '!AC1297&lt;&gt;"",'Daily Sale entry '!AD1297&lt;&gt;"")),'Daily Sale entry '!X1297+ROW()/10000000,"")</f>
        <v/>
      </c>
      <c r="L1297" s="21">
        <f>IF(K1297="","",COUNTIF($K$2:$K$3001,"&lt;"&amp;K1297)+1)</f>
        <v/>
      </c>
    </row>
    <row r="1298">
      <c r="A1298" s="5">
        <f>IF($J1298="","",IF($J1298&lt;=1500,INDEX('Daily Sale entry '!$X$1:$X$1501,$J1298+1),INDEX('Daily Sale entry '!$V$1:$V$1501,$J1298-1499)))</f>
        <v/>
      </c>
      <c r="B1298">
        <f>IF($J1298="","",IF($J1298&lt;=1500,INDEX('Daily Sale entry '!$Y$1:$Y$1501,$J1298+1)&amp;"","Buyer cheque banked 买家支票存入"&amp;IF(INDEX('Daily Sale entry '!$U$1:$U$1501,$J1298-1499)="","", " - "&amp;INDEX('Daily Sale entry '!$U$1:$U$1501,$J1298-1499))))</f>
        <v/>
      </c>
      <c r="C1298">
        <f>IF($J1298="","",IF($J1298&lt;=1500,INDEX('Daily Sale entry '!$Z$1:$Z$1501,$J1298+1)&amp;"","Cheque deposit 支票存入 (buyer 买家)"))</f>
        <v/>
      </c>
      <c r="D1298">
        <f>IF($J1298="","",IF($J1298&lt;=1500,INDEX('Daily Sale entry '!$AA$1:$AA$1501,$J1298+1)&amp;"",INDEX('Daily Sale entry '!$P$1:$P$1501,$J1298-1499)&amp;""))</f>
        <v/>
      </c>
      <c r="E1298">
        <f>IF($J1298="","",IF($J1298&lt;=1500,IF(N(INDEX('Daily Sale entry '!$AB$1:$AB$1501,$J1298+1))=0,"",INDEX('Daily Sale entry '!$AB$1:$AB$1501,$J1298+1)),1))</f>
        <v/>
      </c>
      <c r="F1298" s="6">
        <f>IF($J1298="","",IF($J1298&lt;=1500,N(INDEX('Daily Sale entry '!$AC$1:$AC$1501,$J1298+1))-IF(AND('Opening Balance'!$B$15=1,INDEX('Daily Sale entry '!$Z$1:$Z$1501,$J1298+1)="Online collection 网上收款",INDEX('Daily Sale entry '!$AA$1:$AA$1501,$J1298+1)&lt;&gt;""),N(INDEX('Daily Sale entry '!$AC$1:$AC$1501,$J1298+1))-TRUNC(N(INDEX('Daily Sale entry '!$AC$1:$AC$1501,$J1298+1))),0),N(INDEX('Daily Sale entry '!$S$1:$S$1501,$J1298-1499))-'Opening Balance'!$B$15*(N(INDEX('Daily Sale entry '!$S$1:$S$1501,$J1298-1499))-TRUNC(N(INDEX('Daily Sale entry '!$S$1:$S$1501,$J1298-1499))))))</f>
        <v/>
      </c>
      <c r="G1298" s="6">
        <f>IF($J1298="","",IF($J1298&lt;=1500,N(INDEX('Daily Sale entry '!$AD$1:$AD$1501,$J1298+1)),0))</f>
        <v/>
      </c>
      <c r="H1298" s="6">
        <f>IF($J1298="","",ROUND('Opening Balance'!$B$4+SUM($F$2:F1298)-SUM($G$2:G1298),2))</f>
        <v/>
      </c>
      <c r="J1298" s="21">
        <f>IFERROR(MATCH(ROW()-1,$L$2:$L$3001,0),"")</f>
        <v/>
      </c>
      <c r="K1298" s="34">
        <f>IF(AND('Daily Sale entry '!X1298&lt;&gt;"",OR('Daily Sale entry '!AC1298&lt;&gt;"",'Daily Sale entry '!AD1298&lt;&gt;"")),'Daily Sale entry '!X1298+ROW()/10000000,"")</f>
        <v/>
      </c>
      <c r="L1298" s="21">
        <f>IF(K1298="","",COUNTIF($K$2:$K$3001,"&lt;"&amp;K1298)+1)</f>
        <v/>
      </c>
    </row>
    <row r="1299">
      <c r="A1299" s="5">
        <f>IF($J1299="","",IF($J1299&lt;=1500,INDEX('Daily Sale entry '!$X$1:$X$1501,$J1299+1),INDEX('Daily Sale entry '!$V$1:$V$1501,$J1299-1499)))</f>
        <v/>
      </c>
      <c r="B1299">
        <f>IF($J1299="","",IF($J1299&lt;=1500,INDEX('Daily Sale entry '!$Y$1:$Y$1501,$J1299+1)&amp;"","Buyer cheque banked 买家支票存入"&amp;IF(INDEX('Daily Sale entry '!$U$1:$U$1501,$J1299-1499)="","", " - "&amp;INDEX('Daily Sale entry '!$U$1:$U$1501,$J1299-1499))))</f>
        <v/>
      </c>
      <c r="C1299">
        <f>IF($J1299="","",IF($J1299&lt;=1500,INDEX('Daily Sale entry '!$Z$1:$Z$1501,$J1299+1)&amp;"","Cheque deposit 支票存入 (buyer 买家)"))</f>
        <v/>
      </c>
      <c r="D1299">
        <f>IF($J1299="","",IF($J1299&lt;=1500,INDEX('Daily Sale entry '!$AA$1:$AA$1501,$J1299+1)&amp;"",INDEX('Daily Sale entry '!$P$1:$P$1501,$J1299-1499)&amp;""))</f>
        <v/>
      </c>
      <c r="E1299">
        <f>IF($J1299="","",IF($J1299&lt;=1500,IF(N(INDEX('Daily Sale entry '!$AB$1:$AB$1501,$J1299+1))=0,"",INDEX('Daily Sale entry '!$AB$1:$AB$1501,$J1299+1)),1))</f>
        <v/>
      </c>
      <c r="F1299" s="6">
        <f>IF($J1299="","",IF($J1299&lt;=1500,N(INDEX('Daily Sale entry '!$AC$1:$AC$1501,$J1299+1))-IF(AND('Opening Balance'!$B$15=1,INDEX('Daily Sale entry '!$Z$1:$Z$1501,$J1299+1)="Online collection 网上收款",INDEX('Daily Sale entry '!$AA$1:$AA$1501,$J1299+1)&lt;&gt;""),N(INDEX('Daily Sale entry '!$AC$1:$AC$1501,$J1299+1))-TRUNC(N(INDEX('Daily Sale entry '!$AC$1:$AC$1501,$J1299+1))),0),N(INDEX('Daily Sale entry '!$S$1:$S$1501,$J1299-1499))-'Opening Balance'!$B$15*(N(INDEX('Daily Sale entry '!$S$1:$S$1501,$J1299-1499))-TRUNC(N(INDEX('Daily Sale entry '!$S$1:$S$1501,$J1299-1499))))))</f>
        <v/>
      </c>
      <c r="G1299" s="6">
        <f>IF($J1299="","",IF($J1299&lt;=1500,N(INDEX('Daily Sale entry '!$AD$1:$AD$1501,$J1299+1)),0))</f>
        <v/>
      </c>
      <c r="H1299" s="6">
        <f>IF($J1299="","",ROUND('Opening Balance'!$B$4+SUM($F$2:F1299)-SUM($G$2:G1299),2))</f>
        <v/>
      </c>
      <c r="J1299" s="21">
        <f>IFERROR(MATCH(ROW()-1,$L$2:$L$3001,0),"")</f>
        <v/>
      </c>
      <c r="K1299" s="34">
        <f>IF(AND('Daily Sale entry '!X1299&lt;&gt;"",OR('Daily Sale entry '!AC1299&lt;&gt;"",'Daily Sale entry '!AD1299&lt;&gt;"")),'Daily Sale entry '!X1299+ROW()/10000000,"")</f>
        <v/>
      </c>
      <c r="L1299" s="21">
        <f>IF(K1299="","",COUNTIF($K$2:$K$3001,"&lt;"&amp;K1299)+1)</f>
        <v/>
      </c>
    </row>
    <row r="1300">
      <c r="A1300" s="5">
        <f>IF($J1300="","",IF($J1300&lt;=1500,INDEX('Daily Sale entry '!$X$1:$X$1501,$J1300+1),INDEX('Daily Sale entry '!$V$1:$V$1501,$J1300-1499)))</f>
        <v/>
      </c>
      <c r="B1300">
        <f>IF($J1300="","",IF($J1300&lt;=1500,INDEX('Daily Sale entry '!$Y$1:$Y$1501,$J1300+1)&amp;"","Buyer cheque banked 买家支票存入"&amp;IF(INDEX('Daily Sale entry '!$U$1:$U$1501,$J1300-1499)="","", " - "&amp;INDEX('Daily Sale entry '!$U$1:$U$1501,$J1300-1499))))</f>
        <v/>
      </c>
      <c r="C1300">
        <f>IF($J1300="","",IF($J1300&lt;=1500,INDEX('Daily Sale entry '!$Z$1:$Z$1501,$J1300+1)&amp;"","Cheque deposit 支票存入 (buyer 买家)"))</f>
        <v/>
      </c>
      <c r="D1300">
        <f>IF($J1300="","",IF($J1300&lt;=1500,INDEX('Daily Sale entry '!$AA$1:$AA$1501,$J1300+1)&amp;"",INDEX('Daily Sale entry '!$P$1:$P$1501,$J1300-1499)&amp;""))</f>
        <v/>
      </c>
      <c r="E1300">
        <f>IF($J1300="","",IF($J1300&lt;=1500,IF(N(INDEX('Daily Sale entry '!$AB$1:$AB$1501,$J1300+1))=0,"",INDEX('Daily Sale entry '!$AB$1:$AB$1501,$J1300+1)),1))</f>
        <v/>
      </c>
      <c r="F1300" s="6">
        <f>IF($J1300="","",IF($J1300&lt;=1500,N(INDEX('Daily Sale entry '!$AC$1:$AC$1501,$J1300+1))-IF(AND('Opening Balance'!$B$15=1,INDEX('Daily Sale entry '!$Z$1:$Z$1501,$J1300+1)="Online collection 网上收款",INDEX('Daily Sale entry '!$AA$1:$AA$1501,$J1300+1)&lt;&gt;""),N(INDEX('Daily Sale entry '!$AC$1:$AC$1501,$J1300+1))-TRUNC(N(INDEX('Daily Sale entry '!$AC$1:$AC$1501,$J1300+1))),0),N(INDEX('Daily Sale entry '!$S$1:$S$1501,$J1300-1499))-'Opening Balance'!$B$15*(N(INDEX('Daily Sale entry '!$S$1:$S$1501,$J1300-1499))-TRUNC(N(INDEX('Daily Sale entry '!$S$1:$S$1501,$J1300-1499))))))</f>
        <v/>
      </c>
      <c r="G1300" s="6">
        <f>IF($J1300="","",IF($J1300&lt;=1500,N(INDEX('Daily Sale entry '!$AD$1:$AD$1501,$J1300+1)),0))</f>
        <v/>
      </c>
      <c r="H1300" s="6">
        <f>IF($J1300="","",ROUND('Opening Balance'!$B$4+SUM($F$2:F1300)-SUM($G$2:G1300),2))</f>
        <v/>
      </c>
      <c r="J1300" s="21">
        <f>IFERROR(MATCH(ROW()-1,$L$2:$L$3001,0),"")</f>
        <v/>
      </c>
      <c r="K1300" s="34">
        <f>IF(AND('Daily Sale entry '!X1300&lt;&gt;"",OR('Daily Sale entry '!AC1300&lt;&gt;"",'Daily Sale entry '!AD1300&lt;&gt;"")),'Daily Sale entry '!X1300+ROW()/10000000,"")</f>
        <v/>
      </c>
      <c r="L1300" s="21">
        <f>IF(K1300="","",COUNTIF($K$2:$K$3001,"&lt;"&amp;K1300)+1)</f>
        <v/>
      </c>
    </row>
    <row r="1301">
      <c r="A1301" s="5">
        <f>IF($J1301="","",IF($J1301&lt;=1500,INDEX('Daily Sale entry '!$X$1:$X$1501,$J1301+1),INDEX('Daily Sale entry '!$V$1:$V$1501,$J1301-1499)))</f>
        <v/>
      </c>
      <c r="B1301">
        <f>IF($J1301="","",IF($J1301&lt;=1500,INDEX('Daily Sale entry '!$Y$1:$Y$1501,$J1301+1)&amp;"","Buyer cheque banked 买家支票存入"&amp;IF(INDEX('Daily Sale entry '!$U$1:$U$1501,$J1301-1499)="","", " - "&amp;INDEX('Daily Sale entry '!$U$1:$U$1501,$J1301-1499))))</f>
        <v/>
      </c>
      <c r="C1301">
        <f>IF($J1301="","",IF($J1301&lt;=1500,INDEX('Daily Sale entry '!$Z$1:$Z$1501,$J1301+1)&amp;"","Cheque deposit 支票存入 (buyer 买家)"))</f>
        <v/>
      </c>
      <c r="D1301">
        <f>IF($J1301="","",IF($J1301&lt;=1500,INDEX('Daily Sale entry '!$AA$1:$AA$1501,$J1301+1)&amp;"",INDEX('Daily Sale entry '!$P$1:$P$1501,$J1301-1499)&amp;""))</f>
        <v/>
      </c>
      <c r="E1301">
        <f>IF($J1301="","",IF($J1301&lt;=1500,IF(N(INDEX('Daily Sale entry '!$AB$1:$AB$1501,$J1301+1))=0,"",INDEX('Daily Sale entry '!$AB$1:$AB$1501,$J1301+1)),1))</f>
        <v/>
      </c>
      <c r="F1301" s="6">
        <f>IF($J1301="","",IF($J1301&lt;=1500,N(INDEX('Daily Sale entry '!$AC$1:$AC$1501,$J1301+1))-IF(AND('Opening Balance'!$B$15=1,INDEX('Daily Sale entry '!$Z$1:$Z$1501,$J1301+1)="Online collection 网上收款",INDEX('Daily Sale entry '!$AA$1:$AA$1501,$J1301+1)&lt;&gt;""),N(INDEX('Daily Sale entry '!$AC$1:$AC$1501,$J1301+1))-TRUNC(N(INDEX('Daily Sale entry '!$AC$1:$AC$1501,$J1301+1))),0),N(INDEX('Daily Sale entry '!$S$1:$S$1501,$J1301-1499))-'Opening Balance'!$B$15*(N(INDEX('Daily Sale entry '!$S$1:$S$1501,$J1301-1499))-TRUNC(N(INDEX('Daily Sale entry '!$S$1:$S$1501,$J1301-1499))))))</f>
        <v/>
      </c>
      <c r="G1301" s="6">
        <f>IF($J1301="","",IF($J1301&lt;=1500,N(INDEX('Daily Sale entry '!$AD$1:$AD$1501,$J1301+1)),0))</f>
        <v/>
      </c>
      <c r="H1301" s="6">
        <f>IF($J1301="","",ROUND('Opening Balance'!$B$4+SUM($F$2:F1301)-SUM($G$2:G1301),2))</f>
        <v/>
      </c>
      <c r="J1301" s="21">
        <f>IFERROR(MATCH(ROW()-1,$L$2:$L$3001,0),"")</f>
        <v/>
      </c>
      <c r="K1301" s="34">
        <f>IF(AND('Daily Sale entry '!X1301&lt;&gt;"",OR('Daily Sale entry '!AC1301&lt;&gt;"",'Daily Sale entry '!AD1301&lt;&gt;"")),'Daily Sale entry '!X1301+ROW()/10000000,"")</f>
        <v/>
      </c>
      <c r="L1301" s="21">
        <f>IF(K1301="","",COUNTIF($K$2:$K$3001,"&lt;"&amp;K1301)+1)</f>
        <v/>
      </c>
    </row>
    <row r="1302">
      <c r="A1302" s="5">
        <f>IF($J1302="","",IF($J1302&lt;=1500,INDEX('Daily Sale entry '!$X$1:$X$1501,$J1302+1),INDEX('Daily Sale entry '!$V$1:$V$1501,$J1302-1499)))</f>
        <v/>
      </c>
      <c r="B1302">
        <f>IF($J1302="","",IF($J1302&lt;=1500,INDEX('Daily Sale entry '!$Y$1:$Y$1501,$J1302+1)&amp;"","Buyer cheque banked 买家支票存入"&amp;IF(INDEX('Daily Sale entry '!$U$1:$U$1501,$J1302-1499)="","", " - "&amp;INDEX('Daily Sale entry '!$U$1:$U$1501,$J1302-1499))))</f>
        <v/>
      </c>
      <c r="C1302">
        <f>IF($J1302="","",IF($J1302&lt;=1500,INDEX('Daily Sale entry '!$Z$1:$Z$1501,$J1302+1)&amp;"","Cheque deposit 支票存入 (buyer 买家)"))</f>
        <v/>
      </c>
      <c r="D1302">
        <f>IF($J1302="","",IF($J1302&lt;=1500,INDEX('Daily Sale entry '!$AA$1:$AA$1501,$J1302+1)&amp;"",INDEX('Daily Sale entry '!$P$1:$P$1501,$J1302-1499)&amp;""))</f>
        <v/>
      </c>
      <c r="E1302">
        <f>IF($J1302="","",IF($J1302&lt;=1500,IF(N(INDEX('Daily Sale entry '!$AB$1:$AB$1501,$J1302+1))=0,"",INDEX('Daily Sale entry '!$AB$1:$AB$1501,$J1302+1)),1))</f>
        <v/>
      </c>
      <c r="F1302" s="6">
        <f>IF($J1302="","",IF($J1302&lt;=1500,N(INDEX('Daily Sale entry '!$AC$1:$AC$1501,$J1302+1))-IF(AND('Opening Balance'!$B$15=1,INDEX('Daily Sale entry '!$Z$1:$Z$1501,$J1302+1)="Online collection 网上收款",INDEX('Daily Sale entry '!$AA$1:$AA$1501,$J1302+1)&lt;&gt;""),N(INDEX('Daily Sale entry '!$AC$1:$AC$1501,$J1302+1))-TRUNC(N(INDEX('Daily Sale entry '!$AC$1:$AC$1501,$J1302+1))),0),N(INDEX('Daily Sale entry '!$S$1:$S$1501,$J1302-1499))-'Opening Balance'!$B$15*(N(INDEX('Daily Sale entry '!$S$1:$S$1501,$J1302-1499))-TRUNC(N(INDEX('Daily Sale entry '!$S$1:$S$1501,$J1302-1499))))))</f>
        <v/>
      </c>
      <c r="G1302" s="6">
        <f>IF($J1302="","",IF($J1302&lt;=1500,N(INDEX('Daily Sale entry '!$AD$1:$AD$1501,$J1302+1)),0))</f>
        <v/>
      </c>
      <c r="H1302" s="6">
        <f>IF($J1302="","",ROUND('Opening Balance'!$B$4+SUM($F$2:F1302)-SUM($G$2:G1302),2))</f>
        <v/>
      </c>
      <c r="J1302" s="21">
        <f>IFERROR(MATCH(ROW()-1,$L$2:$L$3001,0),"")</f>
        <v/>
      </c>
      <c r="K1302" s="34">
        <f>IF(AND('Daily Sale entry '!X1302&lt;&gt;"",OR('Daily Sale entry '!AC1302&lt;&gt;"",'Daily Sale entry '!AD1302&lt;&gt;"")),'Daily Sale entry '!X1302+ROW()/10000000,"")</f>
        <v/>
      </c>
      <c r="L1302" s="21">
        <f>IF(K1302="","",COUNTIF($K$2:$K$3001,"&lt;"&amp;K1302)+1)</f>
        <v/>
      </c>
    </row>
    <row r="1303">
      <c r="A1303" s="5">
        <f>IF($J1303="","",IF($J1303&lt;=1500,INDEX('Daily Sale entry '!$X$1:$X$1501,$J1303+1),INDEX('Daily Sale entry '!$V$1:$V$1501,$J1303-1499)))</f>
        <v/>
      </c>
      <c r="B1303">
        <f>IF($J1303="","",IF($J1303&lt;=1500,INDEX('Daily Sale entry '!$Y$1:$Y$1501,$J1303+1)&amp;"","Buyer cheque banked 买家支票存入"&amp;IF(INDEX('Daily Sale entry '!$U$1:$U$1501,$J1303-1499)="","", " - "&amp;INDEX('Daily Sale entry '!$U$1:$U$1501,$J1303-1499))))</f>
        <v/>
      </c>
      <c r="C1303">
        <f>IF($J1303="","",IF($J1303&lt;=1500,INDEX('Daily Sale entry '!$Z$1:$Z$1501,$J1303+1)&amp;"","Cheque deposit 支票存入 (buyer 买家)"))</f>
        <v/>
      </c>
      <c r="D1303">
        <f>IF($J1303="","",IF($J1303&lt;=1500,INDEX('Daily Sale entry '!$AA$1:$AA$1501,$J1303+1)&amp;"",INDEX('Daily Sale entry '!$P$1:$P$1501,$J1303-1499)&amp;""))</f>
        <v/>
      </c>
      <c r="E1303">
        <f>IF($J1303="","",IF($J1303&lt;=1500,IF(N(INDEX('Daily Sale entry '!$AB$1:$AB$1501,$J1303+1))=0,"",INDEX('Daily Sale entry '!$AB$1:$AB$1501,$J1303+1)),1))</f>
        <v/>
      </c>
      <c r="F1303" s="6">
        <f>IF($J1303="","",IF($J1303&lt;=1500,N(INDEX('Daily Sale entry '!$AC$1:$AC$1501,$J1303+1))-IF(AND('Opening Balance'!$B$15=1,INDEX('Daily Sale entry '!$Z$1:$Z$1501,$J1303+1)="Online collection 网上收款",INDEX('Daily Sale entry '!$AA$1:$AA$1501,$J1303+1)&lt;&gt;""),N(INDEX('Daily Sale entry '!$AC$1:$AC$1501,$J1303+1))-TRUNC(N(INDEX('Daily Sale entry '!$AC$1:$AC$1501,$J1303+1))),0),N(INDEX('Daily Sale entry '!$S$1:$S$1501,$J1303-1499))-'Opening Balance'!$B$15*(N(INDEX('Daily Sale entry '!$S$1:$S$1501,$J1303-1499))-TRUNC(N(INDEX('Daily Sale entry '!$S$1:$S$1501,$J1303-1499))))))</f>
        <v/>
      </c>
      <c r="G1303" s="6">
        <f>IF($J1303="","",IF($J1303&lt;=1500,N(INDEX('Daily Sale entry '!$AD$1:$AD$1501,$J1303+1)),0))</f>
        <v/>
      </c>
      <c r="H1303" s="6">
        <f>IF($J1303="","",ROUND('Opening Balance'!$B$4+SUM($F$2:F1303)-SUM($G$2:G1303),2))</f>
        <v/>
      </c>
      <c r="J1303" s="21">
        <f>IFERROR(MATCH(ROW()-1,$L$2:$L$3001,0),"")</f>
        <v/>
      </c>
      <c r="K1303" s="34">
        <f>IF(AND('Daily Sale entry '!X1303&lt;&gt;"",OR('Daily Sale entry '!AC1303&lt;&gt;"",'Daily Sale entry '!AD1303&lt;&gt;"")),'Daily Sale entry '!X1303+ROW()/10000000,"")</f>
        <v/>
      </c>
      <c r="L1303" s="21">
        <f>IF(K1303="","",COUNTIF($K$2:$K$3001,"&lt;"&amp;K1303)+1)</f>
        <v/>
      </c>
    </row>
    <row r="1304">
      <c r="A1304" s="5">
        <f>IF($J1304="","",IF($J1304&lt;=1500,INDEX('Daily Sale entry '!$X$1:$X$1501,$J1304+1),INDEX('Daily Sale entry '!$V$1:$V$1501,$J1304-1499)))</f>
        <v/>
      </c>
      <c r="B1304">
        <f>IF($J1304="","",IF($J1304&lt;=1500,INDEX('Daily Sale entry '!$Y$1:$Y$1501,$J1304+1)&amp;"","Buyer cheque banked 买家支票存入"&amp;IF(INDEX('Daily Sale entry '!$U$1:$U$1501,$J1304-1499)="","", " - "&amp;INDEX('Daily Sale entry '!$U$1:$U$1501,$J1304-1499))))</f>
        <v/>
      </c>
      <c r="C1304">
        <f>IF($J1304="","",IF($J1304&lt;=1500,INDEX('Daily Sale entry '!$Z$1:$Z$1501,$J1304+1)&amp;"","Cheque deposit 支票存入 (buyer 买家)"))</f>
        <v/>
      </c>
      <c r="D1304">
        <f>IF($J1304="","",IF($J1304&lt;=1500,INDEX('Daily Sale entry '!$AA$1:$AA$1501,$J1304+1)&amp;"",INDEX('Daily Sale entry '!$P$1:$P$1501,$J1304-1499)&amp;""))</f>
        <v/>
      </c>
      <c r="E1304">
        <f>IF($J1304="","",IF($J1304&lt;=1500,IF(N(INDEX('Daily Sale entry '!$AB$1:$AB$1501,$J1304+1))=0,"",INDEX('Daily Sale entry '!$AB$1:$AB$1501,$J1304+1)),1))</f>
        <v/>
      </c>
      <c r="F1304" s="6">
        <f>IF($J1304="","",IF($J1304&lt;=1500,N(INDEX('Daily Sale entry '!$AC$1:$AC$1501,$J1304+1))-IF(AND('Opening Balance'!$B$15=1,INDEX('Daily Sale entry '!$Z$1:$Z$1501,$J1304+1)="Online collection 网上收款",INDEX('Daily Sale entry '!$AA$1:$AA$1501,$J1304+1)&lt;&gt;""),N(INDEX('Daily Sale entry '!$AC$1:$AC$1501,$J1304+1))-TRUNC(N(INDEX('Daily Sale entry '!$AC$1:$AC$1501,$J1304+1))),0),N(INDEX('Daily Sale entry '!$S$1:$S$1501,$J1304-1499))-'Opening Balance'!$B$15*(N(INDEX('Daily Sale entry '!$S$1:$S$1501,$J1304-1499))-TRUNC(N(INDEX('Daily Sale entry '!$S$1:$S$1501,$J1304-1499))))))</f>
        <v/>
      </c>
      <c r="G1304" s="6">
        <f>IF($J1304="","",IF($J1304&lt;=1500,N(INDEX('Daily Sale entry '!$AD$1:$AD$1501,$J1304+1)),0))</f>
        <v/>
      </c>
      <c r="H1304" s="6">
        <f>IF($J1304="","",ROUND('Opening Balance'!$B$4+SUM($F$2:F1304)-SUM($G$2:G1304),2))</f>
        <v/>
      </c>
      <c r="J1304" s="21">
        <f>IFERROR(MATCH(ROW()-1,$L$2:$L$3001,0),"")</f>
        <v/>
      </c>
      <c r="K1304" s="34">
        <f>IF(AND('Daily Sale entry '!X1304&lt;&gt;"",OR('Daily Sale entry '!AC1304&lt;&gt;"",'Daily Sale entry '!AD1304&lt;&gt;"")),'Daily Sale entry '!X1304+ROW()/10000000,"")</f>
        <v/>
      </c>
      <c r="L1304" s="21">
        <f>IF(K1304="","",COUNTIF($K$2:$K$3001,"&lt;"&amp;K1304)+1)</f>
        <v/>
      </c>
    </row>
    <row r="1305">
      <c r="A1305" s="5">
        <f>IF($J1305="","",IF($J1305&lt;=1500,INDEX('Daily Sale entry '!$X$1:$X$1501,$J1305+1),INDEX('Daily Sale entry '!$V$1:$V$1501,$J1305-1499)))</f>
        <v/>
      </c>
      <c r="B1305">
        <f>IF($J1305="","",IF($J1305&lt;=1500,INDEX('Daily Sale entry '!$Y$1:$Y$1501,$J1305+1)&amp;"","Buyer cheque banked 买家支票存入"&amp;IF(INDEX('Daily Sale entry '!$U$1:$U$1501,$J1305-1499)="","", " - "&amp;INDEX('Daily Sale entry '!$U$1:$U$1501,$J1305-1499))))</f>
        <v/>
      </c>
      <c r="C1305">
        <f>IF($J1305="","",IF($J1305&lt;=1500,INDEX('Daily Sale entry '!$Z$1:$Z$1501,$J1305+1)&amp;"","Cheque deposit 支票存入 (buyer 买家)"))</f>
        <v/>
      </c>
      <c r="D1305">
        <f>IF($J1305="","",IF($J1305&lt;=1500,INDEX('Daily Sale entry '!$AA$1:$AA$1501,$J1305+1)&amp;"",INDEX('Daily Sale entry '!$P$1:$P$1501,$J1305-1499)&amp;""))</f>
        <v/>
      </c>
      <c r="E1305">
        <f>IF($J1305="","",IF($J1305&lt;=1500,IF(N(INDEX('Daily Sale entry '!$AB$1:$AB$1501,$J1305+1))=0,"",INDEX('Daily Sale entry '!$AB$1:$AB$1501,$J1305+1)),1))</f>
        <v/>
      </c>
      <c r="F1305" s="6">
        <f>IF($J1305="","",IF($J1305&lt;=1500,N(INDEX('Daily Sale entry '!$AC$1:$AC$1501,$J1305+1))-IF(AND('Opening Balance'!$B$15=1,INDEX('Daily Sale entry '!$Z$1:$Z$1501,$J1305+1)="Online collection 网上收款",INDEX('Daily Sale entry '!$AA$1:$AA$1501,$J1305+1)&lt;&gt;""),N(INDEX('Daily Sale entry '!$AC$1:$AC$1501,$J1305+1))-TRUNC(N(INDEX('Daily Sale entry '!$AC$1:$AC$1501,$J1305+1))),0),N(INDEX('Daily Sale entry '!$S$1:$S$1501,$J1305-1499))-'Opening Balance'!$B$15*(N(INDEX('Daily Sale entry '!$S$1:$S$1501,$J1305-1499))-TRUNC(N(INDEX('Daily Sale entry '!$S$1:$S$1501,$J1305-1499))))))</f>
        <v/>
      </c>
      <c r="G1305" s="6">
        <f>IF($J1305="","",IF($J1305&lt;=1500,N(INDEX('Daily Sale entry '!$AD$1:$AD$1501,$J1305+1)),0))</f>
        <v/>
      </c>
      <c r="H1305" s="6">
        <f>IF($J1305="","",ROUND('Opening Balance'!$B$4+SUM($F$2:F1305)-SUM($G$2:G1305),2))</f>
        <v/>
      </c>
      <c r="J1305" s="21">
        <f>IFERROR(MATCH(ROW()-1,$L$2:$L$3001,0),"")</f>
        <v/>
      </c>
      <c r="K1305" s="34">
        <f>IF(AND('Daily Sale entry '!X1305&lt;&gt;"",OR('Daily Sale entry '!AC1305&lt;&gt;"",'Daily Sale entry '!AD1305&lt;&gt;"")),'Daily Sale entry '!X1305+ROW()/10000000,"")</f>
        <v/>
      </c>
      <c r="L1305" s="21">
        <f>IF(K1305="","",COUNTIF($K$2:$K$3001,"&lt;"&amp;K1305)+1)</f>
        <v/>
      </c>
    </row>
    <row r="1306">
      <c r="A1306" s="5">
        <f>IF($J1306="","",IF($J1306&lt;=1500,INDEX('Daily Sale entry '!$X$1:$X$1501,$J1306+1),INDEX('Daily Sale entry '!$V$1:$V$1501,$J1306-1499)))</f>
        <v/>
      </c>
      <c r="B1306">
        <f>IF($J1306="","",IF($J1306&lt;=1500,INDEX('Daily Sale entry '!$Y$1:$Y$1501,$J1306+1)&amp;"","Buyer cheque banked 买家支票存入"&amp;IF(INDEX('Daily Sale entry '!$U$1:$U$1501,$J1306-1499)="","", " - "&amp;INDEX('Daily Sale entry '!$U$1:$U$1501,$J1306-1499))))</f>
        <v/>
      </c>
      <c r="C1306">
        <f>IF($J1306="","",IF($J1306&lt;=1500,INDEX('Daily Sale entry '!$Z$1:$Z$1501,$J1306+1)&amp;"","Cheque deposit 支票存入 (buyer 买家)"))</f>
        <v/>
      </c>
      <c r="D1306">
        <f>IF($J1306="","",IF($J1306&lt;=1500,INDEX('Daily Sale entry '!$AA$1:$AA$1501,$J1306+1)&amp;"",INDEX('Daily Sale entry '!$P$1:$P$1501,$J1306-1499)&amp;""))</f>
        <v/>
      </c>
      <c r="E1306">
        <f>IF($J1306="","",IF($J1306&lt;=1500,IF(N(INDEX('Daily Sale entry '!$AB$1:$AB$1501,$J1306+1))=0,"",INDEX('Daily Sale entry '!$AB$1:$AB$1501,$J1306+1)),1))</f>
        <v/>
      </c>
      <c r="F1306" s="6">
        <f>IF($J1306="","",IF($J1306&lt;=1500,N(INDEX('Daily Sale entry '!$AC$1:$AC$1501,$J1306+1))-IF(AND('Opening Balance'!$B$15=1,INDEX('Daily Sale entry '!$Z$1:$Z$1501,$J1306+1)="Online collection 网上收款",INDEX('Daily Sale entry '!$AA$1:$AA$1501,$J1306+1)&lt;&gt;""),N(INDEX('Daily Sale entry '!$AC$1:$AC$1501,$J1306+1))-TRUNC(N(INDEX('Daily Sale entry '!$AC$1:$AC$1501,$J1306+1))),0),N(INDEX('Daily Sale entry '!$S$1:$S$1501,$J1306-1499))-'Opening Balance'!$B$15*(N(INDEX('Daily Sale entry '!$S$1:$S$1501,$J1306-1499))-TRUNC(N(INDEX('Daily Sale entry '!$S$1:$S$1501,$J1306-1499))))))</f>
        <v/>
      </c>
      <c r="G1306" s="6">
        <f>IF($J1306="","",IF($J1306&lt;=1500,N(INDEX('Daily Sale entry '!$AD$1:$AD$1501,$J1306+1)),0))</f>
        <v/>
      </c>
      <c r="H1306" s="6">
        <f>IF($J1306="","",ROUND('Opening Balance'!$B$4+SUM($F$2:F1306)-SUM($G$2:G1306),2))</f>
        <v/>
      </c>
      <c r="J1306" s="21">
        <f>IFERROR(MATCH(ROW()-1,$L$2:$L$3001,0),"")</f>
        <v/>
      </c>
      <c r="K1306" s="34">
        <f>IF(AND('Daily Sale entry '!X1306&lt;&gt;"",OR('Daily Sale entry '!AC1306&lt;&gt;"",'Daily Sale entry '!AD1306&lt;&gt;"")),'Daily Sale entry '!X1306+ROW()/10000000,"")</f>
        <v/>
      </c>
      <c r="L1306" s="21">
        <f>IF(K1306="","",COUNTIF($K$2:$K$3001,"&lt;"&amp;K1306)+1)</f>
        <v/>
      </c>
    </row>
    <row r="1307">
      <c r="A1307" s="5">
        <f>IF($J1307="","",IF($J1307&lt;=1500,INDEX('Daily Sale entry '!$X$1:$X$1501,$J1307+1),INDEX('Daily Sale entry '!$V$1:$V$1501,$J1307-1499)))</f>
        <v/>
      </c>
      <c r="B1307">
        <f>IF($J1307="","",IF($J1307&lt;=1500,INDEX('Daily Sale entry '!$Y$1:$Y$1501,$J1307+1)&amp;"","Buyer cheque banked 买家支票存入"&amp;IF(INDEX('Daily Sale entry '!$U$1:$U$1501,$J1307-1499)="","", " - "&amp;INDEX('Daily Sale entry '!$U$1:$U$1501,$J1307-1499))))</f>
        <v/>
      </c>
      <c r="C1307">
        <f>IF($J1307="","",IF($J1307&lt;=1500,INDEX('Daily Sale entry '!$Z$1:$Z$1501,$J1307+1)&amp;"","Cheque deposit 支票存入 (buyer 买家)"))</f>
        <v/>
      </c>
      <c r="D1307">
        <f>IF($J1307="","",IF($J1307&lt;=1500,INDEX('Daily Sale entry '!$AA$1:$AA$1501,$J1307+1)&amp;"",INDEX('Daily Sale entry '!$P$1:$P$1501,$J1307-1499)&amp;""))</f>
        <v/>
      </c>
      <c r="E1307">
        <f>IF($J1307="","",IF($J1307&lt;=1500,IF(N(INDEX('Daily Sale entry '!$AB$1:$AB$1501,$J1307+1))=0,"",INDEX('Daily Sale entry '!$AB$1:$AB$1501,$J1307+1)),1))</f>
        <v/>
      </c>
      <c r="F1307" s="6">
        <f>IF($J1307="","",IF($J1307&lt;=1500,N(INDEX('Daily Sale entry '!$AC$1:$AC$1501,$J1307+1))-IF(AND('Opening Balance'!$B$15=1,INDEX('Daily Sale entry '!$Z$1:$Z$1501,$J1307+1)="Online collection 网上收款",INDEX('Daily Sale entry '!$AA$1:$AA$1501,$J1307+1)&lt;&gt;""),N(INDEX('Daily Sale entry '!$AC$1:$AC$1501,$J1307+1))-TRUNC(N(INDEX('Daily Sale entry '!$AC$1:$AC$1501,$J1307+1))),0),N(INDEX('Daily Sale entry '!$S$1:$S$1501,$J1307-1499))-'Opening Balance'!$B$15*(N(INDEX('Daily Sale entry '!$S$1:$S$1501,$J1307-1499))-TRUNC(N(INDEX('Daily Sale entry '!$S$1:$S$1501,$J1307-1499))))))</f>
        <v/>
      </c>
      <c r="G1307" s="6">
        <f>IF($J1307="","",IF($J1307&lt;=1500,N(INDEX('Daily Sale entry '!$AD$1:$AD$1501,$J1307+1)),0))</f>
        <v/>
      </c>
      <c r="H1307" s="6">
        <f>IF($J1307="","",ROUND('Opening Balance'!$B$4+SUM($F$2:F1307)-SUM($G$2:G1307),2))</f>
        <v/>
      </c>
      <c r="J1307" s="21">
        <f>IFERROR(MATCH(ROW()-1,$L$2:$L$3001,0),"")</f>
        <v/>
      </c>
      <c r="K1307" s="34">
        <f>IF(AND('Daily Sale entry '!X1307&lt;&gt;"",OR('Daily Sale entry '!AC1307&lt;&gt;"",'Daily Sale entry '!AD1307&lt;&gt;"")),'Daily Sale entry '!X1307+ROW()/10000000,"")</f>
        <v/>
      </c>
      <c r="L1307" s="21">
        <f>IF(K1307="","",COUNTIF($K$2:$K$3001,"&lt;"&amp;K1307)+1)</f>
        <v/>
      </c>
    </row>
    <row r="1308">
      <c r="A1308" s="5">
        <f>IF($J1308="","",IF($J1308&lt;=1500,INDEX('Daily Sale entry '!$X$1:$X$1501,$J1308+1),INDEX('Daily Sale entry '!$V$1:$V$1501,$J1308-1499)))</f>
        <v/>
      </c>
      <c r="B1308">
        <f>IF($J1308="","",IF($J1308&lt;=1500,INDEX('Daily Sale entry '!$Y$1:$Y$1501,$J1308+1)&amp;"","Buyer cheque banked 买家支票存入"&amp;IF(INDEX('Daily Sale entry '!$U$1:$U$1501,$J1308-1499)="","", " - "&amp;INDEX('Daily Sale entry '!$U$1:$U$1501,$J1308-1499))))</f>
        <v/>
      </c>
      <c r="C1308">
        <f>IF($J1308="","",IF($J1308&lt;=1500,INDEX('Daily Sale entry '!$Z$1:$Z$1501,$J1308+1)&amp;"","Cheque deposit 支票存入 (buyer 买家)"))</f>
        <v/>
      </c>
      <c r="D1308">
        <f>IF($J1308="","",IF($J1308&lt;=1500,INDEX('Daily Sale entry '!$AA$1:$AA$1501,$J1308+1)&amp;"",INDEX('Daily Sale entry '!$P$1:$P$1501,$J1308-1499)&amp;""))</f>
        <v/>
      </c>
      <c r="E1308">
        <f>IF($J1308="","",IF($J1308&lt;=1500,IF(N(INDEX('Daily Sale entry '!$AB$1:$AB$1501,$J1308+1))=0,"",INDEX('Daily Sale entry '!$AB$1:$AB$1501,$J1308+1)),1))</f>
        <v/>
      </c>
      <c r="F1308" s="6">
        <f>IF($J1308="","",IF($J1308&lt;=1500,N(INDEX('Daily Sale entry '!$AC$1:$AC$1501,$J1308+1))-IF(AND('Opening Balance'!$B$15=1,INDEX('Daily Sale entry '!$Z$1:$Z$1501,$J1308+1)="Online collection 网上收款",INDEX('Daily Sale entry '!$AA$1:$AA$1501,$J1308+1)&lt;&gt;""),N(INDEX('Daily Sale entry '!$AC$1:$AC$1501,$J1308+1))-TRUNC(N(INDEX('Daily Sale entry '!$AC$1:$AC$1501,$J1308+1))),0),N(INDEX('Daily Sale entry '!$S$1:$S$1501,$J1308-1499))-'Opening Balance'!$B$15*(N(INDEX('Daily Sale entry '!$S$1:$S$1501,$J1308-1499))-TRUNC(N(INDEX('Daily Sale entry '!$S$1:$S$1501,$J1308-1499))))))</f>
        <v/>
      </c>
      <c r="G1308" s="6">
        <f>IF($J1308="","",IF($J1308&lt;=1500,N(INDEX('Daily Sale entry '!$AD$1:$AD$1501,$J1308+1)),0))</f>
        <v/>
      </c>
      <c r="H1308" s="6">
        <f>IF($J1308="","",ROUND('Opening Balance'!$B$4+SUM($F$2:F1308)-SUM($G$2:G1308),2))</f>
        <v/>
      </c>
      <c r="J1308" s="21">
        <f>IFERROR(MATCH(ROW()-1,$L$2:$L$3001,0),"")</f>
        <v/>
      </c>
      <c r="K1308" s="34">
        <f>IF(AND('Daily Sale entry '!X1308&lt;&gt;"",OR('Daily Sale entry '!AC1308&lt;&gt;"",'Daily Sale entry '!AD1308&lt;&gt;"")),'Daily Sale entry '!X1308+ROW()/10000000,"")</f>
        <v/>
      </c>
      <c r="L1308" s="21">
        <f>IF(K1308="","",COUNTIF($K$2:$K$3001,"&lt;"&amp;K1308)+1)</f>
        <v/>
      </c>
    </row>
    <row r="1309">
      <c r="A1309" s="5">
        <f>IF($J1309="","",IF($J1309&lt;=1500,INDEX('Daily Sale entry '!$X$1:$X$1501,$J1309+1),INDEX('Daily Sale entry '!$V$1:$V$1501,$J1309-1499)))</f>
        <v/>
      </c>
      <c r="B1309">
        <f>IF($J1309="","",IF($J1309&lt;=1500,INDEX('Daily Sale entry '!$Y$1:$Y$1501,$J1309+1)&amp;"","Buyer cheque banked 买家支票存入"&amp;IF(INDEX('Daily Sale entry '!$U$1:$U$1501,$J1309-1499)="","", " - "&amp;INDEX('Daily Sale entry '!$U$1:$U$1501,$J1309-1499))))</f>
        <v/>
      </c>
      <c r="C1309">
        <f>IF($J1309="","",IF($J1309&lt;=1500,INDEX('Daily Sale entry '!$Z$1:$Z$1501,$J1309+1)&amp;"","Cheque deposit 支票存入 (buyer 买家)"))</f>
        <v/>
      </c>
      <c r="D1309">
        <f>IF($J1309="","",IF($J1309&lt;=1500,INDEX('Daily Sale entry '!$AA$1:$AA$1501,$J1309+1)&amp;"",INDEX('Daily Sale entry '!$P$1:$P$1501,$J1309-1499)&amp;""))</f>
        <v/>
      </c>
      <c r="E1309">
        <f>IF($J1309="","",IF($J1309&lt;=1500,IF(N(INDEX('Daily Sale entry '!$AB$1:$AB$1501,$J1309+1))=0,"",INDEX('Daily Sale entry '!$AB$1:$AB$1501,$J1309+1)),1))</f>
        <v/>
      </c>
      <c r="F1309" s="6">
        <f>IF($J1309="","",IF($J1309&lt;=1500,N(INDEX('Daily Sale entry '!$AC$1:$AC$1501,$J1309+1))-IF(AND('Opening Balance'!$B$15=1,INDEX('Daily Sale entry '!$Z$1:$Z$1501,$J1309+1)="Online collection 网上收款",INDEX('Daily Sale entry '!$AA$1:$AA$1501,$J1309+1)&lt;&gt;""),N(INDEX('Daily Sale entry '!$AC$1:$AC$1501,$J1309+1))-TRUNC(N(INDEX('Daily Sale entry '!$AC$1:$AC$1501,$J1309+1))),0),N(INDEX('Daily Sale entry '!$S$1:$S$1501,$J1309-1499))-'Opening Balance'!$B$15*(N(INDEX('Daily Sale entry '!$S$1:$S$1501,$J1309-1499))-TRUNC(N(INDEX('Daily Sale entry '!$S$1:$S$1501,$J1309-1499))))))</f>
        <v/>
      </c>
      <c r="G1309" s="6">
        <f>IF($J1309="","",IF($J1309&lt;=1500,N(INDEX('Daily Sale entry '!$AD$1:$AD$1501,$J1309+1)),0))</f>
        <v/>
      </c>
      <c r="H1309" s="6">
        <f>IF($J1309="","",ROUND('Opening Balance'!$B$4+SUM($F$2:F1309)-SUM($G$2:G1309),2))</f>
        <v/>
      </c>
      <c r="J1309" s="21">
        <f>IFERROR(MATCH(ROW()-1,$L$2:$L$3001,0),"")</f>
        <v/>
      </c>
      <c r="K1309" s="34">
        <f>IF(AND('Daily Sale entry '!X1309&lt;&gt;"",OR('Daily Sale entry '!AC1309&lt;&gt;"",'Daily Sale entry '!AD1309&lt;&gt;"")),'Daily Sale entry '!X1309+ROW()/10000000,"")</f>
        <v/>
      </c>
      <c r="L1309" s="21">
        <f>IF(K1309="","",COUNTIF($K$2:$K$3001,"&lt;"&amp;K1309)+1)</f>
        <v/>
      </c>
    </row>
    <row r="1310">
      <c r="A1310" s="5">
        <f>IF($J1310="","",IF($J1310&lt;=1500,INDEX('Daily Sale entry '!$X$1:$X$1501,$J1310+1),INDEX('Daily Sale entry '!$V$1:$V$1501,$J1310-1499)))</f>
        <v/>
      </c>
      <c r="B1310">
        <f>IF($J1310="","",IF($J1310&lt;=1500,INDEX('Daily Sale entry '!$Y$1:$Y$1501,$J1310+1)&amp;"","Buyer cheque banked 买家支票存入"&amp;IF(INDEX('Daily Sale entry '!$U$1:$U$1501,$J1310-1499)="","", " - "&amp;INDEX('Daily Sale entry '!$U$1:$U$1501,$J1310-1499))))</f>
        <v/>
      </c>
      <c r="C1310">
        <f>IF($J1310="","",IF($J1310&lt;=1500,INDEX('Daily Sale entry '!$Z$1:$Z$1501,$J1310+1)&amp;"","Cheque deposit 支票存入 (buyer 买家)"))</f>
        <v/>
      </c>
      <c r="D1310">
        <f>IF($J1310="","",IF($J1310&lt;=1500,INDEX('Daily Sale entry '!$AA$1:$AA$1501,$J1310+1)&amp;"",INDEX('Daily Sale entry '!$P$1:$P$1501,$J1310-1499)&amp;""))</f>
        <v/>
      </c>
      <c r="E1310">
        <f>IF($J1310="","",IF($J1310&lt;=1500,IF(N(INDEX('Daily Sale entry '!$AB$1:$AB$1501,$J1310+1))=0,"",INDEX('Daily Sale entry '!$AB$1:$AB$1501,$J1310+1)),1))</f>
        <v/>
      </c>
      <c r="F1310" s="6">
        <f>IF($J1310="","",IF($J1310&lt;=1500,N(INDEX('Daily Sale entry '!$AC$1:$AC$1501,$J1310+1))-IF(AND('Opening Balance'!$B$15=1,INDEX('Daily Sale entry '!$Z$1:$Z$1501,$J1310+1)="Online collection 网上收款",INDEX('Daily Sale entry '!$AA$1:$AA$1501,$J1310+1)&lt;&gt;""),N(INDEX('Daily Sale entry '!$AC$1:$AC$1501,$J1310+1))-TRUNC(N(INDEX('Daily Sale entry '!$AC$1:$AC$1501,$J1310+1))),0),N(INDEX('Daily Sale entry '!$S$1:$S$1501,$J1310-1499))-'Opening Balance'!$B$15*(N(INDEX('Daily Sale entry '!$S$1:$S$1501,$J1310-1499))-TRUNC(N(INDEX('Daily Sale entry '!$S$1:$S$1501,$J1310-1499))))))</f>
        <v/>
      </c>
      <c r="G1310" s="6">
        <f>IF($J1310="","",IF($J1310&lt;=1500,N(INDEX('Daily Sale entry '!$AD$1:$AD$1501,$J1310+1)),0))</f>
        <v/>
      </c>
      <c r="H1310" s="6">
        <f>IF($J1310="","",ROUND('Opening Balance'!$B$4+SUM($F$2:F1310)-SUM($G$2:G1310),2))</f>
        <v/>
      </c>
      <c r="J1310" s="21">
        <f>IFERROR(MATCH(ROW()-1,$L$2:$L$3001,0),"")</f>
        <v/>
      </c>
      <c r="K1310" s="34">
        <f>IF(AND('Daily Sale entry '!X1310&lt;&gt;"",OR('Daily Sale entry '!AC1310&lt;&gt;"",'Daily Sale entry '!AD1310&lt;&gt;"")),'Daily Sale entry '!X1310+ROW()/10000000,"")</f>
        <v/>
      </c>
      <c r="L1310" s="21">
        <f>IF(K1310="","",COUNTIF($K$2:$K$3001,"&lt;"&amp;K1310)+1)</f>
        <v/>
      </c>
    </row>
    <row r="1311">
      <c r="A1311" s="5">
        <f>IF($J1311="","",IF($J1311&lt;=1500,INDEX('Daily Sale entry '!$X$1:$X$1501,$J1311+1),INDEX('Daily Sale entry '!$V$1:$V$1501,$J1311-1499)))</f>
        <v/>
      </c>
      <c r="B1311">
        <f>IF($J1311="","",IF($J1311&lt;=1500,INDEX('Daily Sale entry '!$Y$1:$Y$1501,$J1311+1)&amp;"","Buyer cheque banked 买家支票存入"&amp;IF(INDEX('Daily Sale entry '!$U$1:$U$1501,$J1311-1499)="","", " - "&amp;INDEX('Daily Sale entry '!$U$1:$U$1501,$J1311-1499))))</f>
        <v/>
      </c>
      <c r="C1311">
        <f>IF($J1311="","",IF($J1311&lt;=1500,INDEX('Daily Sale entry '!$Z$1:$Z$1501,$J1311+1)&amp;"","Cheque deposit 支票存入 (buyer 买家)"))</f>
        <v/>
      </c>
      <c r="D1311">
        <f>IF($J1311="","",IF($J1311&lt;=1500,INDEX('Daily Sale entry '!$AA$1:$AA$1501,$J1311+1)&amp;"",INDEX('Daily Sale entry '!$P$1:$P$1501,$J1311-1499)&amp;""))</f>
        <v/>
      </c>
      <c r="E1311">
        <f>IF($J1311="","",IF($J1311&lt;=1500,IF(N(INDEX('Daily Sale entry '!$AB$1:$AB$1501,$J1311+1))=0,"",INDEX('Daily Sale entry '!$AB$1:$AB$1501,$J1311+1)),1))</f>
        <v/>
      </c>
      <c r="F1311" s="6">
        <f>IF($J1311="","",IF($J1311&lt;=1500,N(INDEX('Daily Sale entry '!$AC$1:$AC$1501,$J1311+1))-IF(AND('Opening Balance'!$B$15=1,INDEX('Daily Sale entry '!$Z$1:$Z$1501,$J1311+1)="Online collection 网上收款",INDEX('Daily Sale entry '!$AA$1:$AA$1501,$J1311+1)&lt;&gt;""),N(INDEX('Daily Sale entry '!$AC$1:$AC$1501,$J1311+1))-TRUNC(N(INDEX('Daily Sale entry '!$AC$1:$AC$1501,$J1311+1))),0),N(INDEX('Daily Sale entry '!$S$1:$S$1501,$J1311-1499))-'Opening Balance'!$B$15*(N(INDEX('Daily Sale entry '!$S$1:$S$1501,$J1311-1499))-TRUNC(N(INDEX('Daily Sale entry '!$S$1:$S$1501,$J1311-1499))))))</f>
        <v/>
      </c>
      <c r="G1311" s="6">
        <f>IF($J1311="","",IF($J1311&lt;=1500,N(INDEX('Daily Sale entry '!$AD$1:$AD$1501,$J1311+1)),0))</f>
        <v/>
      </c>
      <c r="H1311" s="6">
        <f>IF($J1311="","",ROUND('Opening Balance'!$B$4+SUM($F$2:F1311)-SUM($G$2:G1311),2))</f>
        <v/>
      </c>
      <c r="J1311" s="21">
        <f>IFERROR(MATCH(ROW()-1,$L$2:$L$3001,0),"")</f>
        <v/>
      </c>
      <c r="K1311" s="34">
        <f>IF(AND('Daily Sale entry '!X1311&lt;&gt;"",OR('Daily Sale entry '!AC1311&lt;&gt;"",'Daily Sale entry '!AD1311&lt;&gt;"")),'Daily Sale entry '!X1311+ROW()/10000000,"")</f>
        <v/>
      </c>
      <c r="L1311" s="21">
        <f>IF(K1311="","",COUNTIF($K$2:$K$3001,"&lt;"&amp;K1311)+1)</f>
        <v/>
      </c>
    </row>
    <row r="1312">
      <c r="A1312" s="5">
        <f>IF($J1312="","",IF($J1312&lt;=1500,INDEX('Daily Sale entry '!$X$1:$X$1501,$J1312+1),INDEX('Daily Sale entry '!$V$1:$V$1501,$J1312-1499)))</f>
        <v/>
      </c>
      <c r="B1312">
        <f>IF($J1312="","",IF($J1312&lt;=1500,INDEX('Daily Sale entry '!$Y$1:$Y$1501,$J1312+1)&amp;"","Buyer cheque banked 买家支票存入"&amp;IF(INDEX('Daily Sale entry '!$U$1:$U$1501,$J1312-1499)="","", " - "&amp;INDEX('Daily Sale entry '!$U$1:$U$1501,$J1312-1499))))</f>
        <v/>
      </c>
      <c r="C1312">
        <f>IF($J1312="","",IF($J1312&lt;=1500,INDEX('Daily Sale entry '!$Z$1:$Z$1501,$J1312+1)&amp;"","Cheque deposit 支票存入 (buyer 买家)"))</f>
        <v/>
      </c>
      <c r="D1312">
        <f>IF($J1312="","",IF($J1312&lt;=1500,INDEX('Daily Sale entry '!$AA$1:$AA$1501,$J1312+1)&amp;"",INDEX('Daily Sale entry '!$P$1:$P$1501,$J1312-1499)&amp;""))</f>
        <v/>
      </c>
      <c r="E1312">
        <f>IF($J1312="","",IF($J1312&lt;=1500,IF(N(INDEX('Daily Sale entry '!$AB$1:$AB$1501,$J1312+1))=0,"",INDEX('Daily Sale entry '!$AB$1:$AB$1501,$J1312+1)),1))</f>
        <v/>
      </c>
      <c r="F1312" s="6">
        <f>IF($J1312="","",IF($J1312&lt;=1500,N(INDEX('Daily Sale entry '!$AC$1:$AC$1501,$J1312+1))-IF(AND('Opening Balance'!$B$15=1,INDEX('Daily Sale entry '!$Z$1:$Z$1501,$J1312+1)="Online collection 网上收款",INDEX('Daily Sale entry '!$AA$1:$AA$1501,$J1312+1)&lt;&gt;""),N(INDEX('Daily Sale entry '!$AC$1:$AC$1501,$J1312+1))-TRUNC(N(INDEX('Daily Sale entry '!$AC$1:$AC$1501,$J1312+1))),0),N(INDEX('Daily Sale entry '!$S$1:$S$1501,$J1312-1499))-'Opening Balance'!$B$15*(N(INDEX('Daily Sale entry '!$S$1:$S$1501,$J1312-1499))-TRUNC(N(INDEX('Daily Sale entry '!$S$1:$S$1501,$J1312-1499))))))</f>
        <v/>
      </c>
      <c r="G1312" s="6">
        <f>IF($J1312="","",IF($J1312&lt;=1500,N(INDEX('Daily Sale entry '!$AD$1:$AD$1501,$J1312+1)),0))</f>
        <v/>
      </c>
      <c r="H1312" s="6">
        <f>IF($J1312="","",ROUND('Opening Balance'!$B$4+SUM($F$2:F1312)-SUM($G$2:G1312),2))</f>
        <v/>
      </c>
      <c r="J1312" s="21">
        <f>IFERROR(MATCH(ROW()-1,$L$2:$L$3001,0),"")</f>
        <v/>
      </c>
      <c r="K1312" s="34">
        <f>IF(AND('Daily Sale entry '!X1312&lt;&gt;"",OR('Daily Sale entry '!AC1312&lt;&gt;"",'Daily Sale entry '!AD1312&lt;&gt;"")),'Daily Sale entry '!X1312+ROW()/10000000,"")</f>
        <v/>
      </c>
      <c r="L1312" s="21">
        <f>IF(K1312="","",COUNTIF($K$2:$K$3001,"&lt;"&amp;K1312)+1)</f>
        <v/>
      </c>
    </row>
    <row r="1313">
      <c r="A1313" s="5">
        <f>IF($J1313="","",IF($J1313&lt;=1500,INDEX('Daily Sale entry '!$X$1:$X$1501,$J1313+1),INDEX('Daily Sale entry '!$V$1:$V$1501,$J1313-1499)))</f>
        <v/>
      </c>
      <c r="B1313">
        <f>IF($J1313="","",IF($J1313&lt;=1500,INDEX('Daily Sale entry '!$Y$1:$Y$1501,$J1313+1)&amp;"","Buyer cheque banked 买家支票存入"&amp;IF(INDEX('Daily Sale entry '!$U$1:$U$1501,$J1313-1499)="","", " - "&amp;INDEX('Daily Sale entry '!$U$1:$U$1501,$J1313-1499))))</f>
        <v/>
      </c>
      <c r="C1313">
        <f>IF($J1313="","",IF($J1313&lt;=1500,INDEX('Daily Sale entry '!$Z$1:$Z$1501,$J1313+1)&amp;"","Cheque deposit 支票存入 (buyer 买家)"))</f>
        <v/>
      </c>
      <c r="D1313">
        <f>IF($J1313="","",IF($J1313&lt;=1500,INDEX('Daily Sale entry '!$AA$1:$AA$1501,$J1313+1)&amp;"",INDEX('Daily Sale entry '!$P$1:$P$1501,$J1313-1499)&amp;""))</f>
        <v/>
      </c>
      <c r="E1313">
        <f>IF($J1313="","",IF($J1313&lt;=1500,IF(N(INDEX('Daily Sale entry '!$AB$1:$AB$1501,$J1313+1))=0,"",INDEX('Daily Sale entry '!$AB$1:$AB$1501,$J1313+1)),1))</f>
        <v/>
      </c>
      <c r="F1313" s="6">
        <f>IF($J1313="","",IF($J1313&lt;=1500,N(INDEX('Daily Sale entry '!$AC$1:$AC$1501,$J1313+1))-IF(AND('Opening Balance'!$B$15=1,INDEX('Daily Sale entry '!$Z$1:$Z$1501,$J1313+1)="Online collection 网上收款",INDEX('Daily Sale entry '!$AA$1:$AA$1501,$J1313+1)&lt;&gt;""),N(INDEX('Daily Sale entry '!$AC$1:$AC$1501,$J1313+1))-TRUNC(N(INDEX('Daily Sale entry '!$AC$1:$AC$1501,$J1313+1))),0),N(INDEX('Daily Sale entry '!$S$1:$S$1501,$J1313-1499))-'Opening Balance'!$B$15*(N(INDEX('Daily Sale entry '!$S$1:$S$1501,$J1313-1499))-TRUNC(N(INDEX('Daily Sale entry '!$S$1:$S$1501,$J1313-1499))))))</f>
        <v/>
      </c>
      <c r="G1313" s="6">
        <f>IF($J1313="","",IF($J1313&lt;=1500,N(INDEX('Daily Sale entry '!$AD$1:$AD$1501,$J1313+1)),0))</f>
        <v/>
      </c>
      <c r="H1313" s="6">
        <f>IF($J1313="","",ROUND('Opening Balance'!$B$4+SUM($F$2:F1313)-SUM($G$2:G1313),2))</f>
        <v/>
      </c>
      <c r="J1313" s="21">
        <f>IFERROR(MATCH(ROW()-1,$L$2:$L$3001,0),"")</f>
        <v/>
      </c>
      <c r="K1313" s="34">
        <f>IF(AND('Daily Sale entry '!X1313&lt;&gt;"",OR('Daily Sale entry '!AC1313&lt;&gt;"",'Daily Sale entry '!AD1313&lt;&gt;"")),'Daily Sale entry '!X1313+ROW()/10000000,"")</f>
        <v/>
      </c>
      <c r="L1313" s="21">
        <f>IF(K1313="","",COUNTIF($K$2:$K$3001,"&lt;"&amp;K1313)+1)</f>
        <v/>
      </c>
    </row>
    <row r="1314">
      <c r="A1314" s="5">
        <f>IF($J1314="","",IF($J1314&lt;=1500,INDEX('Daily Sale entry '!$X$1:$X$1501,$J1314+1),INDEX('Daily Sale entry '!$V$1:$V$1501,$J1314-1499)))</f>
        <v/>
      </c>
      <c r="B1314">
        <f>IF($J1314="","",IF($J1314&lt;=1500,INDEX('Daily Sale entry '!$Y$1:$Y$1501,$J1314+1)&amp;"","Buyer cheque banked 买家支票存入"&amp;IF(INDEX('Daily Sale entry '!$U$1:$U$1501,$J1314-1499)="","", " - "&amp;INDEX('Daily Sale entry '!$U$1:$U$1501,$J1314-1499))))</f>
        <v/>
      </c>
      <c r="C1314">
        <f>IF($J1314="","",IF($J1314&lt;=1500,INDEX('Daily Sale entry '!$Z$1:$Z$1501,$J1314+1)&amp;"","Cheque deposit 支票存入 (buyer 买家)"))</f>
        <v/>
      </c>
      <c r="D1314">
        <f>IF($J1314="","",IF($J1314&lt;=1500,INDEX('Daily Sale entry '!$AA$1:$AA$1501,$J1314+1)&amp;"",INDEX('Daily Sale entry '!$P$1:$P$1501,$J1314-1499)&amp;""))</f>
        <v/>
      </c>
      <c r="E1314">
        <f>IF($J1314="","",IF($J1314&lt;=1500,IF(N(INDEX('Daily Sale entry '!$AB$1:$AB$1501,$J1314+1))=0,"",INDEX('Daily Sale entry '!$AB$1:$AB$1501,$J1314+1)),1))</f>
        <v/>
      </c>
      <c r="F1314" s="6">
        <f>IF($J1314="","",IF($J1314&lt;=1500,N(INDEX('Daily Sale entry '!$AC$1:$AC$1501,$J1314+1))-IF(AND('Opening Balance'!$B$15=1,INDEX('Daily Sale entry '!$Z$1:$Z$1501,$J1314+1)="Online collection 网上收款",INDEX('Daily Sale entry '!$AA$1:$AA$1501,$J1314+1)&lt;&gt;""),N(INDEX('Daily Sale entry '!$AC$1:$AC$1501,$J1314+1))-TRUNC(N(INDEX('Daily Sale entry '!$AC$1:$AC$1501,$J1314+1))),0),N(INDEX('Daily Sale entry '!$S$1:$S$1501,$J1314-1499))-'Opening Balance'!$B$15*(N(INDEX('Daily Sale entry '!$S$1:$S$1501,$J1314-1499))-TRUNC(N(INDEX('Daily Sale entry '!$S$1:$S$1501,$J1314-1499))))))</f>
        <v/>
      </c>
      <c r="G1314" s="6">
        <f>IF($J1314="","",IF($J1314&lt;=1500,N(INDEX('Daily Sale entry '!$AD$1:$AD$1501,$J1314+1)),0))</f>
        <v/>
      </c>
      <c r="H1314" s="6">
        <f>IF($J1314="","",ROUND('Opening Balance'!$B$4+SUM($F$2:F1314)-SUM($G$2:G1314),2))</f>
        <v/>
      </c>
      <c r="J1314" s="21">
        <f>IFERROR(MATCH(ROW()-1,$L$2:$L$3001,0),"")</f>
        <v/>
      </c>
      <c r="K1314" s="34">
        <f>IF(AND('Daily Sale entry '!X1314&lt;&gt;"",OR('Daily Sale entry '!AC1314&lt;&gt;"",'Daily Sale entry '!AD1314&lt;&gt;"")),'Daily Sale entry '!X1314+ROW()/10000000,"")</f>
        <v/>
      </c>
      <c r="L1314" s="21">
        <f>IF(K1314="","",COUNTIF($K$2:$K$3001,"&lt;"&amp;K1314)+1)</f>
        <v/>
      </c>
    </row>
    <row r="1315">
      <c r="A1315" s="5">
        <f>IF($J1315="","",IF($J1315&lt;=1500,INDEX('Daily Sale entry '!$X$1:$X$1501,$J1315+1),INDEX('Daily Sale entry '!$V$1:$V$1501,$J1315-1499)))</f>
        <v/>
      </c>
      <c r="B1315">
        <f>IF($J1315="","",IF($J1315&lt;=1500,INDEX('Daily Sale entry '!$Y$1:$Y$1501,$J1315+1)&amp;"","Buyer cheque banked 买家支票存入"&amp;IF(INDEX('Daily Sale entry '!$U$1:$U$1501,$J1315-1499)="","", " - "&amp;INDEX('Daily Sale entry '!$U$1:$U$1501,$J1315-1499))))</f>
        <v/>
      </c>
      <c r="C1315">
        <f>IF($J1315="","",IF($J1315&lt;=1500,INDEX('Daily Sale entry '!$Z$1:$Z$1501,$J1315+1)&amp;"","Cheque deposit 支票存入 (buyer 买家)"))</f>
        <v/>
      </c>
      <c r="D1315">
        <f>IF($J1315="","",IF($J1315&lt;=1500,INDEX('Daily Sale entry '!$AA$1:$AA$1501,$J1315+1)&amp;"",INDEX('Daily Sale entry '!$P$1:$P$1501,$J1315-1499)&amp;""))</f>
        <v/>
      </c>
      <c r="E1315">
        <f>IF($J1315="","",IF($J1315&lt;=1500,IF(N(INDEX('Daily Sale entry '!$AB$1:$AB$1501,$J1315+1))=0,"",INDEX('Daily Sale entry '!$AB$1:$AB$1501,$J1315+1)),1))</f>
        <v/>
      </c>
      <c r="F1315" s="6">
        <f>IF($J1315="","",IF($J1315&lt;=1500,N(INDEX('Daily Sale entry '!$AC$1:$AC$1501,$J1315+1))-IF(AND('Opening Balance'!$B$15=1,INDEX('Daily Sale entry '!$Z$1:$Z$1501,$J1315+1)="Online collection 网上收款",INDEX('Daily Sale entry '!$AA$1:$AA$1501,$J1315+1)&lt;&gt;""),N(INDEX('Daily Sale entry '!$AC$1:$AC$1501,$J1315+1))-TRUNC(N(INDEX('Daily Sale entry '!$AC$1:$AC$1501,$J1315+1))),0),N(INDEX('Daily Sale entry '!$S$1:$S$1501,$J1315-1499))-'Opening Balance'!$B$15*(N(INDEX('Daily Sale entry '!$S$1:$S$1501,$J1315-1499))-TRUNC(N(INDEX('Daily Sale entry '!$S$1:$S$1501,$J1315-1499))))))</f>
        <v/>
      </c>
      <c r="G1315" s="6">
        <f>IF($J1315="","",IF($J1315&lt;=1500,N(INDEX('Daily Sale entry '!$AD$1:$AD$1501,$J1315+1)),0))</f>
        <v/>
      </c>
      <c r="H1315" s="6">
        <f>IF($J1315="","",ROUND('Opening Balance'!$B$4+SUM($F$2:F1315)-SUM($G$2:G1315),2))</f>
        <v/>
      </c>
      <c r="J1315" s="21">
        <f>IFERROR(MATCH(ROW()-1,$L$2:$L$3001,0),"")</f>
        <v/>
      </c>
      <c r="K1315" s="34">
        <f>IF(AND('Daily Sale entry '!X1315&lt;&gt;"",OR('Daily Sale entry '!AC1315&lt;&gt;"",'Daily Sale entry '!AD1315&lt;&gt;"")),'Daily Sale entry '!X1315+ROW()/10000000,"")</f>
        <v/>
      </c>
      <c r="L1315" s="21">
        <f>IF(K1315="","",COUNTIF($K$2:$K$3001,"&lt;"&amp;K1315)+1)</f>
        <v/>
      </c>
    </row>
    <row r="1316">
      <c r="A1316" s="5">
        <f>IF($J1316="","",IF($J1316&lt;=1500,INDEX('Daily Sale entry '!$X$1:$X$1501,$J1316+1),INDEX('Daily Sale entry '!$V$1:$V$1501,$J1316-1499)))</f>
        <v/>
      </c>
      <c r="B1316">
        <f>IF($J1316="","",IF($J1316&lt;=1500,INDEX('Daily Sale entry '!$Y$1:$Y$1501,$J1316+1)&amp;"","Buyer cheque banked 买家支票存入"&amp;IF(INDEX('Daily Sale entry '!$U$1:$U$1501,$J1316-1499)="","", " - "&amp;INDEX('Daily Sale entry '!$U$1:$U$1501,$J1316-1499))))</f>
        <v/>
      </c>
      <c r="C1316">
        <f>IF($J1316="","",IF($J1316&lt;=1500,INDEX('Daily Sale entry '!$Z$1:$Z$1501,$J1316+1)&amp;"","Cheque deposit 支票存入 (buyer 买家)"))</f>
        <v/>
      </c>
      <c r="D1316">
        <f>IF($J1316="","",IF($J1316&lt;=1500,INDEX('Daily Sale entry '!$AA$1:$AA$1501,$J1316+1)&amp;"",INDEX('Daily Sale entry '!$P$1:$P$1501,$J1316-1499)&amp;""))</f>
        <v/>
      </c>
      <c r="E1316">
        <f>IF($J1316="","",IF($J1316&lt;=1500,IF(N(INDEX('Daily Sale entry '!$AB$1:$AB$1501,$J1316+1))=0,"",INDEX('Daily Sale entry '!$AB$1:$AB$1501,$J1316+1)),1))</f>
        <v/>
      </c>
      <c r="F1316" s="6">
        <f>IF($J1316="","",IF($J1316&lt;=1500,N(INDEX('Daily Sale entry '!$AC$1:$AC$1501,$J1316+1))-IF(AND('Opening Balance'!$B$15=1,INDEX('Daily Sale entry '!$Z$1:$Z$1501,$J1316+1)="Online collection 网上收款",INDEX('Daily Sale entry '!$AA$1:$AA$1501,$J1316+1)&lt;&gt;""),N(INDEX('Daily Sale entry '!$AC$1:$AC$1501,$J1316+1))-TRUNC(N(INDEX('Daily Sale entry '!$AC$1:$AC$1501,$J1316+1))),0),N(INDEX('Daily Sale entry '!$S$1:$S$1501,$J1316-1499))-'Opening Balance'!$B$15*(N(INDEX('Daily Sale entry '!$S$1:$S$1501,$J1316-1499))-TRUNC(N(INDEX('Daily Sale entry '!$S$1:$S$1501,$J1316-1499))))))</f>
        <v/>
      </c>
      <c r="G1316" s="6">
        <f>IF($J1316="","",IF($J1316&lt;=1500,N(INDEX('Daily Sale entry '!$AD$1:$AD$1501,$J1316+1)),0))</f>
        <v/>
      </c>
      <c r="H1316" s="6">
        <f>IF($J1316="","",ROUND('Opening Balance'!$B$4+SUM($F$2:F1316)-SUM($G$2:G1316),2))</f>
        <v/>
      </c>
      <c r="J1316" s="21">
        <f>IFERROR(MATCH(ROW()-1,$L$2:$L$3001,0),"")</f>
        <v/>
      </c>
      <c r="K1316" s="34">
        <f>IF(AND('Daily Sale entry '!X1316&lt;&gt;"",OR('Daily Sale entry '!AC1316&lt;&gt;"",'Daily Sale entry '!AD1316&lt;&gt;"")),'Daily Sale entry '!X1316+ROW()/10000000,"")</f>
        <v/>
      </c>
      <c r="L1316" s="21">
        <f>IF(K1316="","",COUNTIF($K$2:$K$3001,"&lt;"&amp;K1316)+1)</f>
        <v/>
      </c>
    </row>
    <row r="1317">
      <c r="A1317" s="5">
        <f>IF($J1317="","",IF($J1317&lt;=1500,INDEX('Daily Sale entry '!$X$1:$X$1501,$J1317+1),INDEX('Daily Sale entry '!$V$1:$V$1501,$J1317-1499)))</f>
        <v/>
      </c>
      <c r="B1317">
        <f>IF($J1317="","",IF($J1317&lt;=1500,INDEX('Daily Sale entry '!$Y$1:$Y$1501,$J1317+1)&amp;"","Buyer cheque banked 买家支票存入"&amp;IF(INDEX('Daily Sale entry '!$U$1:$U$1501,$J1317-1499)="","", " - "&amp;INDEX('Daily Sale entry '!$U$1:$U$1501,$J1317-1499))))</f>
        <v/>
      </c>
      <c r="C1317">
        <f>IF($J1317="","",IF($J1317&lt;=1500,INDEX('Daily Sale entry '!$Z$1:$Z$1501,$J1317+1)&amp;"","Cheque deposit 支票存入 (buyer 买家)"))</f>
        <v/>
      </c>
      <c r="D1317">
        <f>IF($J1317="","",IF($J1317&lt;=1500,INDEX('Daily Sale entry '!$AA$1:$AA$1501,$J1317+1)&amp;"",INDEX('Daily Sale entry '!$P$1:$P$1501,$J1317-1499)&amp;""))</f>
        <v/>
      </c>
      <c r="E1317">
        <f>IF($J1317="","",IF($J1317&lt;=1500,IF(N(INDEX('Daily Sale entry '!$AB$1:$AB$1501,$J1317+1))=0,"",INDEX('Daily Sale entry '!$AB$1:$AB$1501,$J1317+1)),1))</f>
        <v/>
      </c>
      <c r="F1317" s="6">
        <f>IF($J1317="","",IF($J1317&lt;=1500,N(INDEX('Daily Sale entry '!$AC$1:$AC$1501,$J1317+1))-IF(AND('Opening Balance'!$B$15=1,INDEX('Daily Sale entry '!$Z$1:$Z$1501,$J1317+1)="Online collection 网上收款",INDEX('Daily Sale entry '!$AA$1:$AA$1501,$J1317+1)&lt;&gt;""),N(INDEX('Daily Sale entry '!$AC$1:$AC$1501,$J1317+1))-TRUNC(N(INDEX('Daily Sale entry '!$AC$1:$AC$1501,$J1317+1))),0),N(INDEX('Daily Sale entry '!$S$1:$S$1501,$J1317-1499))-'Opening Balance'!$B$15*(N(INDEX('Daily Sale entry '!$S$1:$S$1501,$J1317-1499))-TRUNC(N(INDEX('Daily Sale entry '!$S$1:$S$1501,$J1317-1499))))))</f>
        <v/>
      </c>
      <c r="G1317" s="6">
        <f>IF($J1317="","",IF($J1317&lt;=1500,N(INDEX('Daily Sale entry '!$AD$1:$AD$1501,$J1317+1)),0))</f>
        <v/>
      </c>
      <c r="H1317" s="6">
        <f>IF($J1317="","",ROUND('Opening Balance'!$B$4+SUM($F$2:F1317)-SUM($G$2:G1317),2))</f>
        <v/>
      </c>
      <c r="J1317" s="21">
        <f>IFERROR(MATCH(ROW()-1,$L$2:$L$3001,0),"")</f>
        <v/>
      </c>
      <c r="K1317" s="34">
        <f>IF(AND('Daily Sale entry '!X1317&lt;&gt;"",OR('Daily Sale entry '!AC1317&lt;&gt;"",'Daily Sale entry '!AD1317&lt;&gt;"")),'Daily Sale entry '!X1317+ROW()/10000000,"")</f>
        <v/>
      </c>
      <c r="L1317" s="21">
        <f>IF(K1317="","",COUNTIF($K$2:$K$3001,"&lt;"&amp;K1317)+1)</f>
        <v/>
      </c>
    </row>
    <row r="1318">
      <c r="A1318" s="5">
        <f>IF($J1318="","",IF($J1318&lt;=1500,INDEX('Daily Sale entry '!$X$1:$X$1501,$J1318+1),INDEX('Daily Sale entry '!$V$1:$V$1501,$J1318-1499)))</f>
        <v/>
      </c>
      <c r="B1318">
        <f>IF($J1318="","",IF($J1318&lt;=1500,INDEX('Daily Sale entry '!$Y$1:$Y$1501,$J1318+1)&amp;"","Buyer cheque banked 买家支票存入"&amp;IF(INDEX('Daily Sale entry '!$U$1:$U$1501,$J1318-1499)="","", " - "&amp;INDEX('Daily Sale entry '!$U$1:$U$1501,$J1318-1499))))</f>
        <v/>
      </c>
      <c r="C1318">
        <f>IF($J1318="","",IF($J1318&lt;=1500,INDEX('Daily Sale entry '!$Z$1:$Z$1501,$J1318+1)&amp;"","Cheque deposit 支票存入 (buyer 买家)"))</f>
        <v/>
      </c>
      <c r="D1318">
        <f>IF($J1318="","",IF($J1318&lt;=1500,INDEX('Daily Sale entry '!$AA$1:$AA$1501,$J1318+1)&amp;"",INDEX('Daily Sale entry '!$P$1:$P$1501,$J1318-1499)&amp;""))</f>
        <v/>
      </c>
      <c r="E1318">
        <f>IF($J1318="","",IF($J1318&lt;=1500,IF(N(INDEX('Daily Sale entry '!$AB$1:$AB$1501,$J1318+1))=0,"",INDEX('Daily Sale entry '!$AB$1:$AB$1501,$J1318+1)),1))</f>
        <v/>
      </c>
      <c r="F1318" s="6">
        <f>IF($J1318="","",IF($J1318&lt;=1500,N(INDEX('Daily Sale entry '!$AC$1:$AC$1501,$J1318+1))-IF(AND('Opening Balance'!$B$15=1,INDEX('Daily Sale entry '!$Z$1:$Z$1501,$J1318+1)="Online collection 网上收款",INDEX('Daily Sale entry '!$AA$1:$AA$1501,$J1318+1)&lt;&gt;""),N(INDEX('Daily Sale entry '!$AC$1:$AC$1501,$J1318+1))-TRUNC(N(INDEX('Daily Sale entry '!$AC$1:$AC$1501,$J1318+1))),0),N(INDEX('Daily Sale entry '!$S$1:$S$1501,$J1318-1499))-'Opening Balance'!$B$15*(N(INDEX('Daily Sale entry '!$S$1:$S$1501,$J1318-1499))-TRUNC(N(INDEX('Daily Sale entry '!$S$1:$S$1501,$J1318-1499))))))</f>
        <v/>
      </c>
      <c r="G1318" s="6">
        <f>IF($J1318="","",IF($J1318&lt;=1500,N(INDEX('Daily Sale entry '!$AD$1:$AD$1501,$J1318+1)),0))</f>
        <v/>
      </c>
      <c r="H1318" s="6">
        <f>IF($J1318="","",ROUND('Opening Balance'!$B$4+SUM($F$2:F1318)-SUM($G$2:G1318),2))</f>
        <v/>
      </c>
      <c r="J1318" s="21">
        <f>IFERROR(MATCH(ROW()-1,$L$2:$L$3001,0),"")</f>
        <v/>
      </c>
      <c r="K1318" s="34">
        <f>IF(AND('Daily Sale entry '!X1318&lt;&gt;"",OR('Daily Sale entry '!AC1318&lt;&gt;"",'Daily Sale entry '!AD1318&lt;&gt;"")),'Daily Sale entry '!X1318+ROW()/10000000,"")</f>
        <v/>
      </c>
      <c r="L1318" s="21">
        <f>IF(K1318="","",COUNTIF($K$2:$K$3001,"&lt;"&amp;K1318)+1)</f>
        <v/>
      </c>
    </row>
    <row r="1319">
      <c r="A1319" s="5">
        <f>IF($J1319="","",IF($J1319&lt;=1500,INDEX('Daily Sale entry '!$X$1:$X$1501,$J1319+1),INDEX('Daily Sale entry '!$V$1:$V$1501,$J1319-1499)))</f>
        <v/>
      </c>
      <c r="B1319">
        <f>IF($J1319="","",IF($J1319&lt;=1500,INDEX('Daily Sale entry '!$Y$1:$Y$1501,$J1319+1)&amp;"","Buyer cheque banked 买家支票存入"&amp;IF(INDEX('Daily Sale entry '!$U$1:$U$1501,$J1319-1499)="","", " - "&amp;INDEX('Daily Sale entry '!$U$1:$U$1501,$J1319-1499))))</f>
        <v/>
      </c>
      <c r="C1319">
        <f>IF($J1319="","",IF($J1319&lt;=1500,INDEX('Daily Sale entry '!$Z$1:$Z$1501,$J1319+1)&amp;"","Cheque deposit 支票存入 (buyer 买家)"))</f>
        <v/>
      </c>
      <c r="D1319">
        <f>IF($J1319="","",IF($J1319&lt;=1500,INDEX('Daily Sale entry '!$AA$1:$AA$1501,$J1319+1)&amp;"",INDEX('Daily Sale entry '!$P$1:$P$1501,$J1319-1499)&amp;""))</f>
        <v/>
      </c>
      <c r="E1319">
        <f>IF($J1319="","",IF($J1319&lt;=1500,IF(N(INDEX('Daily Sale entry '!$AB$1:$AB$1501,$J1319+1))=0,"",INDEX('Daily Sale entry '!$AB$1:$AB$1501,$J1319+1)),1))</f>
        <v/>
      </c>
      <c r="F1319" s="6">
        <f>IF($J1319="","",IF($J1319&lt;=1500,N(INDEX('Daily Sale entry '!$AC$1:$AC$1501,$J1319+1))-IF(AND('Opening Balance'!$B$15=1,INDEX('Daily Sale entry '!$Z$1:$Z$1501,$J1319+1)="Online collection 网上收款",INDEX('Daily Sale entry '!$AA$1:$AA$1501,$J1319+1)&lt;&gt;""),N(INDEX('Daily Sale entry '!$AC$1:$AC$1501,$J1319+1))-TRUNC(N(INDEX('Daily Sale entry '!$AC$1:$AC$1501,$J1319+1))),0),N(INDEX('Daily Sale entry '!$S$1:$S$1501,$J1319-1499))-'Opening Balance'!$B$15*(N(INDEX('Daily Sale entry '!$S$1:$S$1501,$J1319-1499))-TRUNC(N(INDEX('Daily Sale entry '!$S$1:$S$1501,$J1319-1499))))))</f>
        <v/>
      </c>
      <c r="G1319" s="6">
        <f>IF($J1319="","",IF($J1319&lt;=1500,N(INDEX('Daily Sale entry '!$AD$1:$AD$1501,$J1319+1)),0))</f>
        <v/>
      </c>
      <c r="H1319" s="6">
        <f>IF($J1319="","",ROUND('Opening Balance'!$B$4+SUM($F$2:F1319)-SUM($G$2:G1319),2))</f>
        <v/>
      </c>
      <c r="J1319" s="21">
        <f>IFERROR(MATCH(ROW()-1,$L$2:$L$3001,0),"")</f>
        <v/>
      </c>
      <c r="K1319" s="34">
        <f>IF(AND('Daily Sale entry '!X1319&lt;&gt;"",OR('Daily Sale entry '!AC1319&lt;&gt;"",'Daily Sale entry '!AD1319&lt;&gt;"")),'Daily Sale entry '!X1319+ROW()/10000000,"")</f>
        <v/>
      </c>
      <c r="L1319" s="21">
        <f>IF(K1319="","",COUNTIF($K$2:$K$3001,"&lt;"&amp;K1319)+1)</f>
        <v/>
      </c>
    </row>
    <row r="1320">
      <c r="A1320" s="5">
        <f>IF($J1320="","",IF($J1320&lt;=1500,INDEX('Daily Sale entry '!$X$1:$X$1501,$J1320+1),INDEX('Daily Sale entry '!$V$1:$V$1501,$J1320-1499)))</f>
        <v/>
      </c>
      <c r="B1320">
        <f>IF($J1320="","",IF($J1320&lt;=1500,INDEX('Daily Sale entry '!$Y$1:$Y$1501,$J1320+1)&amp;"","Buyer cheque banked 买家支票存入"&amp;IF(INDEX('Daily Sale entry '!$U$1:$U$1501,$J1320-1499)="","", " - "&amp;INDEX('Daily Sale entry '!$U$1:$U$1501,$J1320-1499))))</f>
        <v/>
      </c>
      <c r="C1320">
        <f>IF($J1320="","",IF($J1320&lt;=1500,INDEX('Daily Sale entry '!$Z$1:$Z$1501,$J1320+1)&amp;"","Cheque deposit 支票存入 (buyer 买家)"))</f>
        <v/>
      </c>
      <c r="D1320">
        <f>IF($J1320="","",IF($J1320&lt;=1500,INDEX('Daily Sale entry '!$AA$1:$AA$1501,$J1320+1)&amp;"",INDEX('Daily Sale entry '!$P$1:$P$1501,$J1320-1499)&amp;""))</f>
        <v/>
      </c>
      <c r="E1320">
        <f>IF($J1320="","",IF($J1320&lt;=1500,IF(N(INDEX('Daily Sale entry '!$AB$1:$AB$1501,$J1320+1))=0,"",INDEX('Daily Sale entry '!$AB$1:$AB$1501,$J1320+1)),1))</f>
        <v/>
      </c>
      <c r="F1320" s="6">
        <f>IF($J1320="","",IF($J1320&lt;=1500,N(INDEX('Daily Sale entry '!$AC$1:$AC$1501,$J1320+1))-IF(AND('Opening Balance'!$B$15=1,INDEX('Daily Sale entry '!$Z$1:$Z$1501,$J1320+1)="Online collection 网上收款",INDEX('Daily Sale entry '!$AA$1:$AA$1501,$J1320+1)&lt;&gt;""),N(INDEX('Daily Sale entry '!$AC$1:$AC$1501,$J1320+1))-TRUNC(N(INDEX('Daily Sale entry '!$AC$1:$AC$1501,$J1320+1))),0),N(INDEX('Daily Sale entry '!$S$1:$S$1501,$J1320-1499))-'Opening Balance'!$B$15*(N(INDEX('Daily Sale entry '!$S$1:$S$1501,$J1320-1499))-TRUNC(N(INDEX('Daily Sale entry '!$S$1:$S$1501,$J1320-1499))))))</f>
        <v/>
      </c>
      <c r="G1320" s="6">
        <f>IF($J1320="","",IF($J1320&lt;=1500,N(INDEX('Daily Sale entry '!$AD$1:$AD$1501,$J1320+1)),0))</f>
        <v/>
      </c>
      <c r="H1320" s="6">
        <f>IF($J1320="","",ROUND('Opening Balance'!$B$4+SUM($F$2:F1320)-SUM($G$2:G1320),2))</f>
        <v/>
      </c>
      <c r="J1320" s="21">
        <f>IFERROR(MATCH(ROW()-1,$L$2:$L$3001,0),"")</f>
        <v/>
      </c>
      <c r="K1320" s="34">
        <f>IF(AND('Daily Sale entry '!X1320&lt;&gt;"",OR('Daily Sale entry '!AC1320&lt;&gt;"",'Daily Sale entry '!AD1320&lt;&gt;"")),'Daily Sale entry '!X1320+ROW()/10000000,"")</f>
        <v/>
      </c>
      <c r="L1320" s="21">
        <f>IF(K1320="","",COUNTIF($K$2:$K$3001,"&lt;"&amp;K1320)+1)</f>
        <v/>
      </c>
    </row>
    <row r="1321">
      <c r="A1321" s="5">
        <f>IF($J1321="","",IF($J1321&lt;=1500,INDEX('Daily Sale entry '!$X$1:$X$1501,$J1321+1),INDEX('Daily Sale entry '!$V$1:$V$1501,$J1321-1499)))</f>
        <v/>
      </c>
      <c r="B1321">
        <f>IF($J1321="","",IF($J1321&lt;=1500,INDEX('Daily Sale entry '!$Y$1:$Y$1501,$J1321+1)&amp;"","Buyer cheque banked 买家支票存入"&amp;IF(INDEX('Daily Sale entry '!$U$1:$U$1501,$J1321-1499)="","", " - "&amp;INDEX('Daily Sale entry '!$U$1:$U$1501,$J1321-1499))))</f>
        <v/>
      </c>
      <c r="C1321">
        <f>IF($J1321="","",IF($J1321&lt;=1500,INDEX('Daily Sale entry '!$Z$1:$Z$1501,$J1321+1)&amp;"","Cheque deposit 支票存入 (buyer 买家)"))</f>
        <v/>
      </c>
      <c r="D1321">
        <f>IF($J1321="","",IF($J1321&lt;=1500,INDEX('Daily Sale entry '!$AA$1:$AA$1501,$J1321+1)&amp;"",INDEX('Daily Sale entry '!$P$1:$P$1501,$J1321-1499)&amp;""))</f>
        <v/>
      </c>
      <c r="E1321">
        <f>IF($J1321="","",IF($J1321&lt;=1500,IF(N(INDEX('Daily Sale entry '!$AB$1:$AB$1501,$J1321+1))=0,"",INDEX('Daily Sale entry '!$AB$1:$AB$1501,$J1321+1)),1))</f>
        <v/>
      </c>
      <c r="F1321" s="6">
        <f>IF($J1321="","",IF($J1321&lt;=1500,N(INDEX('Daily Sale entry '!$AC$1:$AC$1501,$J1321+1))-IF(AND('Opening Balance'!$B$15=1,INDEX('Daily Sale entry '!$Z$1:$Z$1501,$J1321+1)="Online collection 网上收款",INDEX('Daily Sale entry '!$AA$1:$AA$1501,$J1321+1)&lt;&gt;""),N(INDEX('Daily Sale entry '!$AC$1:$AC$1501,$J1321+1))-TRUNC(N(INDEX('Daily Sale entry '!$AC$1:$AC$1501,$J1321+1))),0),N(INDEX('Daily Sale entry '!$S$1:$S$1501,$J1321-1499))-'Opening Balance'!$B$15*(N(INDEX('Daily Sale entry '!$S$1:$S$1501,$J1321-1499))-TRUNC(N(INDEX('Daily Sale entry '!$S$1:$S$1501,$J1321-1499))))))</f>
        <v/>
      </c>
      <c r="G1321" s="6">
        <f>IF($J1321="","",IF($J1321&lt;=1500,N(INDEX('Daily Sale entry '!$AD$1:$AD$1501,$J1321+1)),0))</f>
        <v/>
      </c>
      <c r="H1321" s="6">
        <f>IF($J1321="","",ROUND('Opening Balance'!$B$4+SUM($F$2:F1321)-SUM($G$2:G1321),2))</f>
        <v/>
      </c>
      <c r="J1321" s="21">
        <f>IFERROR(MATCH(ROW()-1,$L$2:$L$3001,0),"")</f>
        <v/>
      </c>
      <c r="K1321" s="34">
        <f>IF(AND('Daily Sale entry '!X1321&lt;&gt;"",OR('Daily Sale entry '!AC1321&lt;&gt;"",'Daily Sale entry '!AD1321&lt;&gt;"")),'Daily Sale entry '!X1321+ROW()/10000000,"")</f>
        <v/>
      </c>
      <c r="L1321" s="21">
        <f>IF(K1321="","",COUNTIF($K$2:$K$3001,"&lt;"&amp;K1321)+1)</f>
        <v/>
      </c>
    </row>
    <row r="1322">
      <c r="A1322" s="5">
        <f>IF($J1322="","",IF($J1322&lt;=1500,INDEX('Daily Sale entry '!$X$1:$X$1501,$J1322+1),INDEX('Daily Sale entry '!$V$1:$V$1501,$J1322-1499)))</f>
        <v/>
      </c>
      <c r="B1322">
        <f>IF($J1322="","",IF($J1322&lt;=1500,INDEX('Daily Sale entry '!$Y$1:$Y$1501,$J1322+1)&amp;"","Buyer cheque banked 买家支票存入"&amp;IF(INDEX('Daily Sale entry '!$U$1:$U$1501,$J1322-1499)="","", " - "&amp;INDEX('Daily Sale entry '!$U$1:$U$1501,$J1322-1499))))</f>
        <v/>
      </c>
      <c r="C1322">
        <f>IF($J1322="","",IF($J1322&lt;=1500,INDEX('Daily Sale entry '!$Z$1:$Z$1501,$J1322+1)&amp;"","Cheque deposit 支票存入 (buyer 买家)"))</f>
        <v/>
      </c>
      <c r="D1322">
        <f>IF($J1322="","",IF($J1322&lt;=1500,INDEX('Daily Sale entry '!$AA$1:$AA$1501,$J1322+1)&amp;"",INDEX('Daily Sale entry '!$P$1:$P$1501,$J1322-1499)&amp;""))</f>
        <v/>
      </c>
      <c r="E1322">
        <f>IF($J1322="","",IF($J1322&lt;=1500,IF(N(INDEX('Daily Sale entry '!$AB$1:$AB$1501,$J1322+1))=0,"",INDEX('Daily Sale entry '!$AB$1:$AB$1501,$J1322+1)),1))</f>
        <v/>
      </c>
      <c r="F1322" s="6">
        <f>IF($J1322="","",IF($J1322&lt;=1500,N(INDEX('Daily Sale entry '!$AC$1:$AC$1501,$J1322+1))-IF(AND('Opening Balance'!$B$15=1,INDEX('Daily Sale entry '!$Z$1:$Z$1501,$J1322+1)="Online collection 网上收款",INDEX('Daily Sale entry '!$AA$1:$AA$1501,$J1322+1)&lt;&gt;""),N(INDEX('Daily Sale entry '!$AC$1:$AC$1501,$J1322+1))-TRUNC(N(INDEX('Daily Sale entry '!$AC$1:$AC$1501,$J1322+1))),0),N(INDEX('Daily Sale entry '!$S$1:$S$1501,$J1322-1499))-'Opening Balance'!$B$15*(N(INDEX('Daily Sale entry '!$S$1:$S$1501,$J1322-1499))-TRUNC(N(INDEX('Daily Sale entry '!$S$1:$S$1501,$J1322-1499))))))</f>
        <v/>
      </c>
      <c r="G1322" s="6">
        <f>IF($J1322="","",IF($J1322&lt;=1500,N(INDEX('Daily Sale entry '!$AD$1:$AD$1501,$J1322+1)),0))</f>
        <v/>
      </c>
      <c r="H1322" s="6">
        <f>IF($J1322="","",ROUND('Opening Balance'!$B$4+SUM($F$2:F1322)-SUM($G$2:G1322),2))</f>
        <v/>
      </c>
      <c r="J1322" s="21">
        <f>IFERROR(MATCH(ROW()-1,$L$2:$L$3001,0),"")</f>
        <v/>
      </c>
      <c r="K1322" s="34">
        <f>IF(AND('Daily Sale entry '!X1322&lt;&gt;"",OR('Daily Sale entry '!AC1322&lt;&gt;"",'Daily Sale entry '!AD1322&lt;&gt;"")),'Daily Sale entry '!X1322+ROW()/10000000,"")</f>
        <v/>
      </c>
      <c r="L1322" s="21">
        <f>IF(K1322="","",COUNTIF($K$2:$K$3001,"&lt;"&amp;K1322)+1)</f>
        <v/>
      </c>
    </row>
    <row r="1323">
      <c r="A1323" s="5">
        <f>IF($J1323="","",IF($J1323&lt;=1500,INDEX('Daily Sale entry '!$X$1:$X$1501,$J1323+1),INDEX('Daily Sale entry '!$V$1:$V$1501,$J1323-1499)))</f>
        <v/>
      </c>
      <c r="B1323">
        <f>IF($J1323="","",IF($J1323&lt;=1500,INDEX('Daily Sale entry '!$Y$1:$Y$1501,$J1323+1)&amp;"","Buyer cheque banked 买家支票存入"&amp;IF(INDEX('Daily Sale entry '!$U$1:$U$1501,$J1323-1499)="","", " - "&amp;INDEX('Daily Sale entry '!$U$1:$U$1501,$J1323-1499))))</f>
        <v/>
      </c>
      <c r="C1323">
        <f>IF($J1323="","",IF($J1323&lt;=1500,INDEX('Daily Sale entry '!$Z$1:$Z$1501,$J1323+1)&amp;"","Cheque deposit 支票存入 (buyer 买家)"))</f>
        <v/>
      </c>
      <c r="D1323">
        <f>IF($J1323="","",IF($J1323&lt;=1500,INDEX('Daily Sale entry '!$AA$1:$AA$1501,$J1323+1)&amp;"",INDEX('Daily Sale entry '!$P$1:$P$1501,$J1323-1499)&amp;""))</f>
        <v/>
      </c>
      <c r="E1323">
        <f>IF($J1323="","",IF($J1323&lt;=1500,IF(N(INDEX('Daily Sale entry '!$AB$1:$AB$1501,$J1323+1))=0,"",INDEX('Daily Sale entry '!$AB$1:$AB$1501,$J1323+1)),1))</f>
        <v/>
      </c>
      <c r="F1323" s="6">
        <f>IF($J1323="","",IF($J1323&lt;=1500,N(INDEX('Daily Sale entry '!$AC$1:$AC$1501,$J1323+1))-IF(AND('Opening Balance'!$B$15=1,INDEX('Daily Sale entry '!$Z$1:$Z$1501,$J1323+1)="Online collection 网上收款",INDEX('Daily Sale entry '!$AA$1:$AA$1501,$J1323+1)&lt;&gt;""),N(INDEX('Daily Sale entry '!$AC$1:$AC$1501,$J1323+1))-TRUNC(N(INDEX('Daily Sale entry '!$AC$1:$AC$1501,$J1323+1))),0),N(INDEX('Daily Sale entry '!$S$1:$S$1501,$J1323-1499))-'Opening Balance'!$B$15*(N(INDEX('Daily Sale entry '!$S$1:$S$1501,$J1323-1499))-TRUNC(N(INDEX('Daily Sale entry '!$S$1:$S$1501,$J1323-1499))))))</f>
        <v/>
      </c>
      <c r="G1323" s="6">
        <f>IF($J1323="","",IF($J1323&lt;=1500,N(INDEX('Daily Sale entry '!$AD$1:$AD$1501,$J1323+1)),0))</f>
        <v/>
      </c>
      <c r="H1323" s="6">
        <f>IF($J1323="","",ROUND('Opening Balance'!$B$4+SUM($F$2:F1323)-SUM($G$2:G1323),2))</f>
        <v/>
      </c>
      <c r="J1323" s="21">
        <f>IFERROR(MATCH(ROW()-1,$L$2:$L$3001,0),"")</f>
        <v/>
      </c>
      <c r="K1323" s="34">
        <f>IF(AND('Daily Sale entry '!X1323&lt;&gt;"",OR('Daily Sale entry '!AC1323&lt;&gt;"",'Daily Sale entry '!AD1323&lt;&gt;"")),'Daily Sale entry '!X1323+ROW()/10000000,"")</f>
        <v/>
      </c>
      <c r="L1323" s="21">
        <f>IF(K1323="","",COUNTIF($K$2:$K$3001,"&lt;"&amp;K1323)+1)</f>
        <v/>
      </c>
    </row>
    <row r="1324">
      <c r="A1324" s="5">
        <f>IF($J1324="","",IF($J1324&lt;=1500,INDEX('Daily Sale entry '!$X$1:$X$1501,$J1324+1),INDEX('Daily Sale entry '!$V$1:$V$1501,$J1324-1499)))</f>
        <v/>
      </c>
      <c r="B1324">
        <f>IF($J1324="","",IF($J1324&lt;=1500,INDEX('Daily Sale entry '!$Y$1:$Y$1501,$J1324+1)&amp;"","Buyer cheque banked 买家支票存入"&amp;IF(INDEX('Daily Sale entry '!$U$1:$U$1501,$J1324-1499)="","", " - "&amp;INDEX('Daily Sale entry '!$U$1:$U$1501,$J1324-1499))))</f>
        <v/>
      </c>
      <c r="C1324">
        <f>IF($J1324="","",IF($J1324&lt;=1500,INDEX('Daily Sale entry '!$Z$1:$Z$1501,$J1324+1)&amp;"","Cheque deposit 支票存入 (buyer 买家)"))</f>
        <v/>
      </c>
      <c r="D1324">
        <f>IF($J1324="","",IF($J1324&lt;=1500,INDEX('Daily Sale entry '!$AA$1:$AA$1501,$J1324+1)&amp;"",INDEX('Daily Sale entry '!$P$1:$P$1501,$J1324-1499)&amp;""))</f>
        <v/>
      </c>
      <c r="E1324">
        <f>IF($J1324="","",IF($J1324&lt;=1500,IF(N(INDEX('Daily Sale entry '!$AB$1:$AB$1501,$J1324+1))=0,"",INDEX('Daily Sale entry '!$AB$1:$AB$1501,$J1324+1)),1))</f>
        <v/>
      </c>
      <c r="F1324" s="6">
        <f>IF($J1324="","",IF($J1324&lt;=1500,N(INDEX('Daily Sale entry '!$AC$1:$AC$1501,$J1324+1))-IF(AND('Opening Balance'!$B$15=1,INDEX('Daily Sale entry '!$Z$1:$Z$1501,$J1324+1)="Online collection 网上收款",INDEX('Daily Sale entry '!$AA$1:$AA$1501,$J1324+1)&lt;&gt;""),N(INDEX('Daily Sale entry '!$AC$1:$AC$1501,$J1324+1))-TRUNC(N(INDEX('Daily Sale entry '!$AC$1:$AC$1501,$J1324+1))),0),N(INDEX('Daily Sale entry '!$S$1:$S$1501,$J1324-1499))-'Opening Balance'!$B$15*(N(INDEX('Daily Sale entry '!$S$1:$S$1501,$J1324-1499))-TRUNC(N(INDEX('Daily Sale entry '!$S$1:$S$1501,$J1324-1499))))))</f>
        <v/>
      </c>
      <c r="G1324" s="6">
        <f>IF($J1324="","",IF($J1324&lt;=1500,N(INDEX('Daily Sale entry '!$AD$1:$AD$1501,$J1324+1)),0))</f>
        <v/>
      </c>
      <c r="H1324" s="6">
        <f>IF($J1324="","",ROUND('Opening Balance'!$B$4+SUM($F$2:F1324)-SUM($G$2:G1324),2))</f>
        <v/>
      </c>
      <c r="J1324" s="21">
        <f>IFERROR(MATCH(ROW()-1,$L$2:$L$3001,0),"")</f>
        <v/>
      </c>
      <c r="K1324" s="34">
        <f>IF(AND('Daily Sale entry '!X1324&lt;&gt;"",OR('Daily Sale entry '!AC1324&lt;&gt;"",'Daily Sale entry '!AD1324&lt;&gt;"")),'Daily Sale entry '!X1324+ROW()/10000000,"")</f>
        <v/>
      </c>
      <c r="L1324" s="21">
        <f>IF(K1324="","",COUNTIF($K$2:$K$3001,"&lt;"&amp;K1324)+1)</f>
        <v/>
      </c>
    </row>
    <row r="1325">
      <c r="A1325" s="5">
        <f>IF($J1325="","",IF($J1325&lt;=1500,INDEX('Daily Sale entry '!$X$1:$X$1501,$J1325+1),INDEX('Daily Sale entry '!$V$1:$V$1501,$J1325-1499)))</f>
        <v/>
      </c>
      <c r="B1325">
        <f>IF($J1325="","",IF($J1325&lt;=1500,INDEX('Daily Sale entry '!$Y$1:$Y$1501,$J1325+1)&amp;"","Buyer cheque banked 买家支票存入"&amp;IF(INDEX('Daily Sale entry '!$U$1:$U$1501,$J1325-1499)="","", " - "&amp;INDEX('Daily Sale entry '!$U$1:$U$1501,$J1325-1499))))</f>
        <v/>
      </c>
      <c r="C1325">
        <f>IF($J1325="","",IF($J1325&lt;=1500,INDEX('Daily Sale entry '!$Z$1:$Z$1501,$J1325+1)&amp;"","Cheque deposit 支票存入 (buyer 买家)"))</f>
        <v/>
      </c>
      <c r="D1325">
        <f>IF($J1325="","",IF($J1325&lt;=1500,INDEX('Daily Sale entry '!$AA$1:$AA$1501,$J1325+1)&amp;"",INDEX('Daily Sale entry '!$P$1:$P$1501,$J1325-1499)&amp;""))</f>
        <v/>
      </c>
      <c r="E1325">
        <f>IF($J1325="","",IF($J1325&lt;=1500,IF(N(INDEX('Daily Sale entry '!$AB$1:$AB$1501,$J1325+1))=0,"",INDEX('Daily Sale entry '!$AB$1:$AB$1501,$J1325+1)),1))</f>
        <v/>
      </c>
      <c r="F1325" s="6">
        <f>IF($J1325="","",IF($J1325&lt;=1500,N(INDEX('Daily Sale entry '!$AC$1:$AC$1501,$J1325+1))-IF(AND('Opening Balance'!$B$15=1,INDEX('Daily Sale entry '!$Z$1:$Z$1501,$J1325+1)="Online collection 网上收款",INDEX('Daily Sale entry '!$AA$1:$AA$1501,$J1325+1)&lt;&gt;""),N(INDEX('Daily Sale entry '!$AC$1:$AC$1501,$J1325+1))-TRUNC(N(INDEX('Daily Sale entry '!$AC$1:$AC$1501,$J1325+1))),0),N(INDEX('Daily Sale entry '!$S$1:$S$1501,$J1325-1499))-'Opening Balance'!$B$15*(N(INDEX('Daily Sale entry '!$S$1:$S$1501,$J1325-1499))-TRUNC(N(INDEX('Daily Sale entry '!$S$1:$S$1501,$J1325-1499))))))</f>
        <v/>
      </c>
      <c r="G1325" s="6">
        <f>IF($J1325="","",IF($J1325&lt;=1500,N(INDEX('Daily Sale entry '!$AD$1:$AD$1501,$J1325+1)),0))</f>
        <v/>
      </c>
      <c r="H1325" s="6">
        <f>IF($J1325="","",ROUND('Opening Balance'!$B$4+SUM($F$2:F1325)-SUM($G$2:G1325),2))</f>
        <v/>
      </c>
      <c r="J1325" s="21">
        <f>IFERROR(MATCH(ROW()-1,$L$2:$L$3001,0),"")</f>
        <v/>
      </c>
      <c r="K1325" s="34">
        <f>IF(AND('Daily Sale entry '!X1325&lt;&gt;"",OR('Daily Sale entry '!AC1325&lt;&gt;"",'Daily Sale entry '!AD1325&lt;&gt;"")),'Daily Sale entry '!X1325+ROW()/10000000,"")</f>
        <v/>
      </c>
      <c r="L1325" s="21">
        <f>IF(K1325="","",COUNTIF($K$2:$K$3001,"&lt;"&amp;K1325)+1)</f>
        <v/>
      </c>
    </row>
    <row r="1326">
      <c r="A1326" s="5">
        <f>IF($J1326="","",IF($J1326&lt;=1500,INDEX('Daily Sale entry '!$X$1:$X$1501,$J1326+1),INDEX('Daily Sale entry '!$V$1:$V$1501,$J1326-1499)))</f>
        <v/>
      </c>
      <c r="B1326">
        <f>IF($J1326="","",IF($J1326&lt;=1500,INDEX('Daily Sale entry '!$Y$1:$Y$1501,$J1326+1)&amp;"","Buyer cheque banked 买家支票存入"&amp;IF(INDEX('Daily Sale entry '!$U$1:$U$1501,$J1326-1499)="","", " - "&amp;INDEX('Daily Sale entry '!$U$1:$U$1501,$J1326-1499))))</f>
        <v/>
      </c>
      <c r="C1326">
        <f>IF($J1326="","",IF($J1326&lt;=1500,INDEX('Daily Sale entry '!$Z$1:$Z$1501,$J1326+1)&amp;"","Cheque deposit 支票存入 (buyer 买家)"))</f>
        <v/>
      </c>
      <c r="D1326">
        <f>IF($J1326="","",IF($J1326&lt;=1500,INDEX('Daily Sale entry '!$AA$1:$AA$1501,$J1326+1)&amp;"",INDEX('Daily Sale entry '!$P$1:$P$1501,$J1326-1499)&amp;""))</f>
        <v/>
      </c>
      <c r="E1326">
        <f>IF($J1326="","",IF($J1326&lt;=1500,IF(N(INDEX('Daily Sale entry '!$AB$1:$AB$1501,$J1326+1))=0,"",INDEX('Daily Sale entry '!$AB$1:$AB$1501,$J1326+1)),1))</f>
        <v/>
      </c>
      <c r="F1326" s="6">
        <f>IF($J1326="","",IF($J1326&lt;=1500,N(INDEX('Daily Sale entry '!$AC$1:$AC$1501,$J1326+1))-IF(AND('Opening Balance'!$B$15=1,INDEX('Daily Sale entry '!$Z$1:$Z$1501,$J1326+1)="Online collection 网上收款",INDEX('Daily Sale entry '!$AA$1:$AA$1501,$J1326+1)&lt;&gt;""),N(INDEX('Daily Sale entry '!$AC$1:$AC$1501,$J1326+1))-TRUNC(N(INDEX('Daily Sale entry '!$AC$1:$AC$1501,$J1326+1))),0),N(INDEX('Daily Sale entry '!$S$1:$S$1501,$J1326-1499))-'Opening Balance'!$B$15*(N(INDEX('Daily Sale entry '!$S$1:$S$1501,$J1326-1499))-TRUNC(N(INDEX('Daily Sale entry '!$S$1:$S$1501,$J1326-1499))))))</f>
        <v/>
      </c>
      <c r="G1326" s="6">
        <f>IF($J1326="","",IF($J1326&lt;=1500,N(INDEX('Daily Sale entry '!$AD$1:$AD$1501,$J1326+1)),0))</f>
        <v/>
      </c>
      <c r="H1326" s="6">
        <f>IF($J1326="","",ROUND('Opening Balance'!$B$4+SUM($F$2:F1326)-SUM($G$2:G1326),2))</f>
        <v/>
      </c>
      <c r="J1326" s="21">
        <f>IFERROR(MATCH(ROW()-1,$L$2:$L$3001,0),"")</f>
        <v/>
      </c>
      <c r="K1326" s="34">
        <f>IF(AND('Daily Sale entry '!X1326&lt;&gt;"",OR('Daily Sale entry '!AC1326&lt;&gt;"",'Daily Sale entry '!AD1326&lt;&gt;"")),'Daily Sale entry '!X1326+ROW()/10000000,"")</f>
        <v/>
      </c>
      <c r="L1326" s="21">
        <f>IF(K1326="","",COUNTIF($K$2:$K$3001,"&lt;"&amp;K1326)+1)</f>
        <v/>
      </c>
    </row>
    <row r="1327">
      <c r="A1327" s="5">
        <f>IF($J1327="","",IF($J1327&lt;=1500,INDEX('Daily Sale entry '!$X$1:$X$1501,$J1327+1),INDEX('Daily Sale entry '!$V$1:$V$1501,$J1327-1499)))</f>
        <v/>
      </c>
      <c r="B1327">
        <f>IF($J1327="","",IF($J1327&lt;=1500,INDEX('Daily Sale entry '!$Y$1:$Y$1501,$J1327+1)&amp;"","Buyer cheque banked 买家支票存入"&amp;IF(INDEX('Daily Sale entry '!$U$1:$U$1501,$J1327-1499)="","", " - "&amp;INDEX('Daily Sale entry '!$U$1:$U$1501,$J1327-1499))))</f>
        <v/>
      </c>
      <c r="C1327">
        <f>IF($J1327="","",IF($J1327&lt;=1500,INDEX('Daily Sale entry '!$Z$1:$Z$1501,$J1327+1)&amp;"","Cheque deposit 支票存入 (buyer 买家)"))</f>
        <v/>
      </c>
      <c r="D1327">
        <f>IF($J1327="","",IF($J1327&lt;=1500,INDEX('Daily Sale entry '!$AA$1:$AA$1501,$J1327+1)&amp;"",INDEX('Daily Sale entry '!$P$1:$P$1501,$J1327-1499)&amp;""))</f>
        <v/>
      </c>
      <c r="E1327">
        <f>IF($J1327="","",IF($J1327&lt;=1500,IF(N(INDEX('Daily Sale entry '!$AB$1:$AB$1501,$J1327+1))=0,"",INDEX('Daily Sale entry '!$AB$1:$AB$1501,$J1327+1)),1))</f>
        <v/>
      </c>
      <c r="F1327" s="6">
        <f>IF($J1327="","",IF($J1327&lt;=1500,N(INDEX('Daily Sale entry '!$AC$1:$AC$1501,$J1327+1))-IF(AND('Opening Balance'!$B$15=1,INDEX('Daily Sale entry '!$Z$1:$Z$1501,$J1327+1)="Online collection 网上收款",INDEX('Daily Sale entry '!$AA$1:$AA$1501,$J1327+1)&lt;&gt;""),N(INDEX('Daily Sale entry '!$AC$1:$AC$1501,$J1327+1))-TRUNC(N(INDEX('Daily Sale entry '!$AC$1:$AC$1501,$J1327+1))),0),N(INDEX('Daily Sale entry '!$S$1:$S$1501,$J1327-1499))-'Opening Balance'!$B$15*(N(INDEX('Daily Sale entry '!$S$1:$S$1501,$J1327-1499))-TRUNC(N(INDEX('Daily Sale entry '!$S$1:$S$1501,$J1327-1499))))))</f>
        <v/>
      </c>
      <c r="G1327" s="6">
        <f>IF($J1327="","",IF($J1327&lt;=1500,N(INDEX('Daily Sale entry '!$AD$1:$AD$1501,$J1327+1)),0))</f>
        <v/>
      </c>
      <c r="H1327" s="6">
        <f>IF($J1327="","",ROUND('Opening Balance'!$B$4+SUM($F$2:F1327)-SUM($G$2:G1327),2))</f>
        <v/>
      </c>
      <c r="J1327" s="21">
        <f>IFERROR(MATCH(ROW()-1,$L$2:$L$3001,0),"")</f>
        <v/>
      </c>
      <c r="K1327" s="34">
        <f>IF(AND('Daily Sale entry '!X1327&lt;&gt;"",OR('Daily Sale entry '!AC1327&lt;&gt;"",'Daily Sale entry '!AD1327&lt;&gt;"")),'Daily Sale entry '!X1327+ROW()/10000000,"")</f>
        <v/>
      </c>
      <c r="L1327" s="21">
        <f>IF(K1327="","",COUNTIF($K$2:$K$3001,"&lt;"&amp;K1327)+1)</f>
        <v/>
      </c>
    </row>
    <row r="1328">
      <c r="A1328" s="5">
        <f>IF($J1328="","",IF($J1328&lt;=1500,INDEX('Daily Sale entry '!$X$1:$X$1501,$J1328+1),INDEX('Daily Sale entry '!$V$1:$V$1501,$J1328-1499)))</f>
        <v/>
      </c>
      <c r="B1328">
        <f>IF($J1328="","",IF($J1328&lt;=1500,INDEX('Daily Sale entry '!$Y$1:$Y$1501,$J1328+1)&amp;"","Buyer cheque banked 买家支票存入"&amp;IF(INDEX('Daily Sale entry '!$U$1:$U$1501,$J1328-1499)="","", " - "&amp;INDEX('Daily Sale entry '!$U$1:$U$1501,$J1328-1499))))</f>
        <v/>
      </c>
      <c r="C1328">
        <f>IF($J1328="","",IF($J1328&lt;=1500,INDEX('Daily Sale entry '!$Z$1:$Z$1501,$J1328+1)&amp;"","Cheque deposit 支票存入 (buyer 买家)"))</f>
        <v/>
      </c>
      <c r="D1328">
        <f>IF($J1328="","",IF($J1328&lt;=1500,INDEX('Daily Sale entry '!$AA$1:$AA$1501,$J1328+1)&amp;"",INDEX('Daily Sale entry '!$P$1:$P$1501,$J1328-1499)&amp;""))</f>
        <v/>
      </c>
      <c r="E1328">
        <f>IF($J1328="","",IF($J1328&lt;=1500,IF(N(INDEX('Daily Sale entry '!$AB$1:$AB$1501,$J1328+1))=0,"",INDEX('Daily Sale entry '!$AB$1:$AB$1501,$J1328+1)),1))</f>
        <v/>
      </c>
      <c r="F1328" s="6">
        <f>IF($J1328="","",IF($J1328&lt;=1500,N(INDEX('Daily Sale entry '!$AC$1:$AC$1501,$J1328+1))-IF(AND('Opening Balance'!$B$15=1,INDEX('Daily Sale entry '!$Z$1:$Z$1501,$J1328+1)="Online collection 网上收款",INDEX('Daily Sale entry '!$AA$1:$AA$1501,$J1328+1)&lt;&gt;""),N(INDEX('Daily Sale entry '!$AC$1:$AC$1501,$J1328+1))-TRUNC(N(INDEX('Daily Sale entry '!$AC$1:$AC$1501,$J1328+1))),0),N(INDEX('Daily Sale entry '!$S$1:$S$1501,$J1328-1499))-'Opening Balance'!$B$15*(N(INDEX('Daily Sale entry '!$S$1:$S$1501,$J1328-1499))-TRUNC(N(INDEX('Daily Sale entry '!$S$1:$S$1501,$J1328-1499))))))</f>
        <v/>
      </c>
      <c r="G1328" s="6">
        <f>IF($J1328="","",IF($J1328&lt;=1500,N(INDEX('Daily Sale entry '!$AD$1:$AD$1501,$J1328+1)),0))</f>
        <v/>
      </c>
      <c r="H1328" s="6">
        <f>IF($J1328="","",ROUND('Opening Balance'!$B$4+SUM($F$2:F1328)-SUM($G$2:G1328),2))</f>
        <v/>
      </c>
      <c r="J1328" s="21">
        <f>IFERROR(MATCH(ROW()-1,$L$2:$L$3001,0),"")</f>
        <v/>
      </c>
      <c r="K1328" s="34">
        <f>IF(AND('Daily Sale entry '!X1328&lt;&gt;"",OR('Daily Sale entry '!AC1328&lt;&gt;"",'Daily Sale entry '!AD1328&lt;&gt;"")),'Daily Sale entry '!X1328+ROW()/10000000,"")</f>
        <v/>
      </c>
      <c r="L1328" s="21">
        <f>IF(K1328="","",COUNTIF($K$2:$K$3001,"&lt;"&amp;K1328)+1)</f>
        <v/>
      </c>
    </row>
    <row r="1329">
      <c r="A1329" s="5">
        <f>IF($J1329="","",IF($J1329&lt;=1500,INDEX('Daily Sale entry '!$X$1:$X$1501,$J1329+1),INDEX('Daily Sale entry '!$V$1:$V$1501,$J1329-1499)))</f>
        <v/>
      </c>
      <c r="B1329">
        <f>IF($J1329="","",IF($J1329&lt;=1500,INDEX('Daily Sale entry '!$Y$1:$Y$1501,$J1329+1)&amp;"","Buyer cheque banked 买家支票存入"&amp;IF(INDEX('Daily Sale entry '!$U$1:$U$1501,$J1329-1499)="","", " - "&amp;INDEX('Daily Sale entry '!$U$1:$U$1501,$J1329-1499))))</f>
        <v/>
      </c>
      <c r="C1329">
        <f>IF($J1329="","",IF($J1329&lt;=1500,INDEX('Daily Sale entry '!$Z$1:$Z$1501,$J1329+1)&amp;"","Cheque deposit 支票存入 (buyer 买家)"))</f>
        <v/>
      </c>
      <c r="D1329">
        <f>IF($J1329="","",IF($J1329&lt;=1500,INDEX('Daily Sale entry '!$AA$1:$AA$1501,$J1329+1)&amp;"",INDEX('Daily Sale entry '!$P$1:$P$1501,$J1329-1499)&amp;""))</f>
        <v/>
      </c>
      <c r="E1329">
        <f>IF($J1329="","",IF($J1329&lt;=1500,IF(N(INDEX('Daily Sale entry '!$AB$1:$AB$1501,$J1329+1))=0,"",INDEX('Daily Sale entry '!$AB$1:$AB$1501,$J1329+1)),1))</f>
        <v/>
      </c>
      <c r="F1329" s="6">
        <f>IF($J1329="","",IF($J1329&lt;=1500,N(INDEX('Daily Sale entry '!$AC$1:$AC$1501,$J1329+1))-IF(AND('Opening Balance'!$B$15=1,INDEX('Daily Sale entry '!$Z$1:$Z$1501,$J1329+1)="Online collection 网上收款",INDEX('Daily Sale entry '!$AA$1:$AA$1501,$J1329+1)&lt;&gt;""),N(INDEX('Daily Sale entry '!$AC$1:$AC$1501,$J1329+1))-TRUNC(N(INDEX('Daily Sale entry '!$AC$1:$AC$1501,$J1329+1))),0),N(INDEX('Daily Sale entry '!$S$1:$S$1501,$J1329-1499))-'Opening Balance'!$B$15*(N(INDEX('Daily Sale entry '!$S$1:$S$1501,$J1329-1499))-TRUNC(N(INDEX('Daily Sale entry '!$S$1:$S$1501,$J1329-1499))))))</f>
        <v/>
      </c>
      <c r="G1329" s="6">
        <f>IF($J1329="","",IF($J1329&lt;=1500,N(INDEX('Daily Sale entry '!$AD$1:$AD$1501,$J1329+1)),0))</f>
        <v/>
      </c>
      <c r="H1329" s="6">
        <f>IF($J1329="","",ROUND('Opening Balance'!$B$4+SUM($F$2:F1329)-SUM($G$2:G1329),2))</f>
        <v/>
      </c>
      <c r="J1329" s="21">
        <f>IFERROR(MATCH(ROW()-1,$L$2:$L$3001,0),"")</f>
        <v/>
      </c>
      <c r="K1329" s="34">
        <f>IF(AND('Daily Sale entry '!X1329&lt;&gt;"",OR('Daily Sale entry '!AC1329&lt;&gt;"",'Daily Sale entry '!AD1329&lt;&gt;"")),'Daily Sale entry '!X1329+ROW()/10000000,"")</f>
        <v/>
      </c>
      <c r="L1329" s="21">
        <f>IF(K1329="","",COUNTIF($K$2:$K$3001,"&lt;"&amp;K1329)+1)</f>
        <v/>
      </c>
    </row>
    <row r="1330">
      <c r="A1330" s="5">
        <f>IF($J1330="","",IF($J1330&lt;=1500,INDEX('Daily Sale entry '!$X$1:$X$1501,$J1330+1),INDEX('Daily Sale entry '!$V$1:$V$1501,$J1330-1499)))</f>
        <v/>
      </c>
      <c r="B1330">
        <f>IF($J1330="","",IF($J1330&lt;=1500,INDEX('Daily Sale entry '!$Y$1:$Y$1501,$J1330+1)&amp;"","Buyer cheque banked 买家支票存入"&amp;IF(INDEX('Daily Sale entry '!$U$1:$U$1501,$J1330-1499)="","", " - "&amp;INDEX('Daily Sale entry '!$U$1:$U$1501,$J1330-1499))))</f>
        <v/>
      </c>
      <c r="C1330">
        <f>IF($J1330="","",IF($J1330&lt;=1500,INDEX('Daily Sale entry '!$Z$1:$Z$1501,$J1330+1)&amp;"","Cheque deposit 支票存入 (buyer 买家)"))</f>
        <v/>
      </c>
      <c r="D1330">
        <f>IF($J1330="","",IF($J1330&lt;=1500,INDEX('Daily Sale entry '!$AA$1:$AA$1501,$J1330+1)&amp;"",INDEX('Daily Sale entry '!$P$1:$P$1501,$J1330-1499)&amp;""))</f>
        <v/>
      </c>
      <c r="E1330">
        <f>IF($J1330="","",IF($J1330&lt;=1500,IF(N(INDEX('Daily Sale entry '!$AB$1:$AB$1501,$J1330+1))=0,"",INDEX('Daily Sale entry '!$AB$1:$AB$1501,$J1330+1)),1))</f>
        <v/>
      </c>
      <c r="F1330" s="6">
        <f>IF($J1330="","",IF($J1330&lt;=1500,N(INDEX('Daily Sale entry '!$AC$1:$AC$1501,$J1330+1))-IF(AND('Opening Balance'!$B$15=1,INDEX('Daily Sale entry '!$Z$1:$Z$1501,$J1330+1)="Online collection 网上收款",INDEX('Daily Sale entry '!$AA$1:$AA$1501,$J1330+1)&lt;&gt;""),N(INDEX('Daily Sale entry '!$AC$1:$AC$1501,$J1330+1))-TRUNC(N(INDEX('Daily Sale entry '!$AC$1:$AC$1501,$J1330+1))),0),N(INDEX('Daily Sale entry '!$S$1:$S$1501,$J1330-1499))-'Opening Balance'!$B$15*(N(INDEX('Daily Sale entry '!$S$1:$S$1501,$J1330-1499))-TRUNC(N(INDEX('Daily Sale entry '!$S$1:$S$1501,$J1330-1499))))))</f>
        <v/>
      </c>
      <c r="G1330" s="6">
        <f>IF($J1330="","",IF($J1330&lt;=1500,N(INDEX('Daily Sale entry '!$AD$1:$AD$1501,$J1330+1)),0))</f>
        <v/>
      </c>
      <c r="H1330" s="6">
        <f>IF($J1330="","",ROUND('Opening Balance'!$B$4+SUM($F$2:F1330)-SUM($G$2:G1330),2))</f>
        <v/>
      </c>
      <c r="J1330" s="21">
        <f>IFERROR(MATCH(ROW()-1,$L$2:$L$3001,0),"")</f>
        <v/>
      </c>
      <c r="K1330" s="34">
        <f>IF(AND('Daily Sale entry '!X1330&lt;&gt;"",OR('Daily Sale entry '!AC1330&lt;&gt;"",'Daily Sale entry '!AD1330&lt;&gt;"")),'Daily Sale entry '!X1330+ROW()/10000000,"")</f>
        <v/>
      </c>
      <c r="L1330" s="21">
        <f>IF(K1330="","",COUNTIF($K$2:$K$3001,"&lt;"&amp;K1330)+1)</f>
        <v/>
      </c>
    </row>
    <row r="1331">
      <c r="A1331" s="5">
        <f>IF($J1331="","",IF($J1331&lt;=1500,INDEX('Daily Sale entry '!$X$1:$X$1501,$J1331+1),INDEX('Daily Sale entry '!$V$1:$V$1501,$J1331-1499)))</f>
        <v/>
      </c>
      <c r="B1331">
        <f>IF($J1331="","",IF($J1331&lt;=1500,INDEX('Daily Sale entry '!$Y$1:$Y$1501,$J1331+1)&amp;"","Buyer cheque banked 买家支票存入"&amp;IF(INDEX('Daily Sale entry '!$U$1:$U$1501,$J1331-1499)="","", " - "&amp;INDEX('Daily Sale entry '!$U$1:$U$1501,$J1331-1499))))</f>
        <v/>
      </c>
      <c r="C1331">
        <f>IF($J1331="","",IF($J1331&lt;=1500,INDEX('Daily Sale entry '!$Z$1:$Z$1501,$J1331+1)&amp;"","Cheque deposit 支票存入 (buyer 买家)"))</f>
        <v/>
      </c>
      <c r="D1331">
        <f>IF($J1331="","",IF($J1331&lt;=1500,INDEX('Daily Sale entry '!$AA$1:$AA$1501,$J1331+1)&amp;"",INDEX('Daily Sale entry '!$P$1:$P$1501,$J1331-1499)&amp;""))</f>
        <v/>
      </c>
      <c r="E1331">
        <f>IF($J1331="","",IF($J1331&lt;=1500,IF(N(INDEX('Daily Sale entry '!$AB$1:$AB$1501,$J1331+1))=0,"",INDEX('Daily Sale entry '!$AB$1:$AB$1501,$J1331+1)),1))</f>
        <v/>
      </c>
      <c r="F1331" s="6">
        <f>IF($J1331="","",IF($J1331&lt;=1500,N(INDEX('Daily Sale entry '!$AC$1:$AC$1501,$J1331+1))-IF(AND('Opening Balance'!$B$15=1,INDEX('Daily Sale entry '!$Z$1:$Z$1501,$J1331+1)="Online collection 网上收款",INDEX('Daily Sale entry '!$AA$1:$AA$1501,$J1331+1)&lt;&gt;""),N(INDEX('Daily Sale entry '!$AC$1:$AC$1501,$J1331+1))-TRUNC(N(INDEX('Daily Sale entry '!$AC$1:$AC$1501,$J1331+1))),0),N(INDEX('Daily Sale entry '!$S$1:$S$1501,$J1331-1499))-'Opening Balance'!$B$15*(N(INDEX('Daily Sale entry '!$S$1:$S$1501,$J1331-1499))-TRUNC(N(INDEX('Daily Sale entry '!$S$1:$S$1501,$J1331-1499))))))</f>
        <v/>
      </c>
      <c r="G1331" s="6">
        <f>IF($J1331="","",IF($J1331&lt;=1500,N(INDEX('Daily Sale entry '!$AD$1:$AD$1501,$J1331+1)),0))</f>
        <v/>
      </c>
      <c r="H1331" s="6">
        <f>IF($J1331="","",ROUND('Opening Balance'!$B$4+SUM($F$2:F1331)-SUM($G$2:G1331),2))</f>
        <v/>
      </c>
      <c r="J1331" s="21">
        <f>IFERROR(MATCH(ROW()-1,$L$2:$L$3001,0),"")</f>
        <v/>
      </c>
      <c r="K1331" s="34">
        <f>IF(AND('Daily Sale entry '!X1331&lt;&gt;"",OR('Daily Sale entry '!AC1331&lt;&gt;"",'Daily Sale entry '!AD1331&lt;&gt;"")),'Daily Sale entry '!X1331+ROW()/10000000,"")</f>
        <v/>
      </c>
      <c r="L1331" s="21">
        <f>IF(K1331="","",COUNTIF($K$2:$K$3001,"&lt;"&amp;K1331)+1)</f>
        <v/>
      </c>
    </row>
    <row r="1332">
      <c r="A1332" s="5">
        <f>IF($J1332="","",IF($J1332&lt;=1500,INDEX('Daily Sale entry '!$X$1:$X$1501,$J1332+1),INDEX('Daily Sale entry '!$V$1:$V$1501,$J1332-1499)))</f>
        <v/>
      </c>
      <c r="B1332">
        <f>IF($J1332="","",IF($J1332&lt;=1500,INDEX('Daily Sale entry '!$Y$1:$Y$1501,$J1332+1)&amp;"","Buyer cheque banked 买家支票存入"&amp;IF(INDEX('Daily Sale entry '!$U$1:$U$1501,$J1332-1499)="","", " - "&amp;INDEX('Daily Sale entry '!$U$1:$U$1501,$J1332-1499))))</f>
        <v/>
      </c>
      <c r="C1332">
        <f>IF($J1332="","",IF($J1332&lt;=1500,INDEX('Daily Sale entry '!$Z$1:$Z$1501,$J1332+1)&amp;"","Cheque deposit 支票存入 (buyer 买家)"))</f>
        <v/>
      </c>
      <c r="D1332">
        <f>IF($J1332="","",IF($J1332&lt;=1500,INDEX('Daily Sale entry '!$AA$1:$AA$1501,$J1332+1)&amp;"",INDEX('Daily Sale entry '!$P$1:$P$1501,$J1332-1499)&amp;""))</f>
        <v/>
      </c>
      <c r="E1332">
        <f>IF($J1332="","",IF($J1332&lt;=1500,IF(N(INDEX('Daily Sale entry '!$AB$1:$AB$1501,$J1332+1))=0,"",INDEX('Daily Sale entry '!$AB$1:$AB$1501,$J1332+1)),1))</f>
        <v/>
      </c>
      <c r="F1332" s="6">
        <f>IF($J1332="","",IF($J1332&lt;=1500,N(INDEX('Daily Sale entry '!$AC$1:$AC$1501,$J1332+1))-IF(AND('Opening Balance'!$B$15=1,INDEX('Daily Sale entry '!$Z$1:$Z$1501,$J1332+1)="Online collection 网上收款",INDEX('Daily Sale entry '!$AA$1:$AA$1501,$J1332+1)&lt;&gt;""),N(INDEX('Daily Sale entry '!$AC$1:$AC$1501,$J1332+1))-TRUNC(N(INDEX('Daily Sale entry '!$AC$1:$AC$1501,$J1332+1))),0),N(INDEX('Daily Sale entry '!$S$1:$S$1501,$J1332-1499))-'Opening Balance'!$B$15*(N(INDEX('Daily Sale entry '!$S$1:$S$1501,$J1332-1499))-TRUNC(N(INDEX('Daily Sale entry '!$S$1:$S$1501,$J1332-1499))))))</f>
        <v/>
      </c>
      <c r="G1332" s="6">
        <f>IF($J1332="","",IF($J1332&lt;=1500,N(INDEX('Daily Sale entry '!$AD$1:$AD$1501,$J1332+1)),0))</f>
        <v/>
      </c>
      <c r="H1332" s="6">
        <f>IF($J1332="","",ROUND('Opening Balance'!$B$4+SUM($F$2:F1332)-SUM($G$2:G1332),2))</f>
        <v/>
      </c>
      <c r="J1332" s="21">
        <f>IFERROR(MATCH(ROW()-1,$L$2:$L$3001,0),"")</f>
        <v/>
      </c>
      <c r="K1332" s="34">
        <f>IF(AND('Daily Sale entry '!X1332&lt;&gt;"",OR('Daily Sale entry '!AC1332&lt;&gt;"",'Daily Sale entry '!AD1332&lt;&gt;"")),'Daily Sale entry '!X1332+ROW()/10000000,"")</f>
        <v/>
      </c>
      <c r="L1332" s="21">
        <f>IF(K1332="","",COUNTIF($K$2:$K$3001,"&lt;"&amp;K1332)+1)</f>
        <v/>
      </c>
    </row>
    <row r="1333">
      <c r="A1333" s="5">
        <f>IF($J1333="","",IF($J1333&lt;=1500,INDEX('Daily Sale entry '!$X$1:$X$1501,$J1333+1),INDEX('Daily Sale entry '!$V$1:$V$1501,$J1333-1499)))</f>
        <v/>
      </c>
      <c r="B1333">
        <f>IF($J1333="","",IF($J1333&lt;=1500,INDEX('Daily Sale entry '!$Y$1:$Y$1501,$J1333+1)&amp;"","Buyer cheque banked 买家支票存入"&amp;IF(INDEX('Daily Sale entry '!$U$1:$U$1501,$J1333-1499)="","", " - "&amp;INDEX('Daily Sale entry '!$U$1:$U$1501,$J1333-1499))))</f>
        <v/>
      </c>
      <c r="C1333">
        <f>IF($J1333="","",IF($J1333&lt;=1500,INDEX('Daily Sale entry '!$Z$1:$Z$1501,$J1333+1)&amp;"","Cheque deposit 支票存入 (buyer 买家)"))</f>
        <v/>
      </c>
      <c r="D1333">
        <f>IF($J1333="","",IF($J1333&lt;=1500,INDEX('Daily Sale entry '!$AA$1:$AA$1501,$J1333+1)&amp;"",INDEX('Daily Sale entry '!$P$1:$P$1501,$J1333-1499)&amp;""))</f>
        <v/>
      </c>
      <c r="E1333">
        <f>IF($J1333="","",IF($J1333&lt;=1500,IF(N(INDEX('Daily Sale entry '!$AB$1:$AB$1501,$J1333+1))=0,"",INDEX('Daily Sale entry '!$AB$1:$AB$1501,$J1333+1)),1))</f>
        <v/>
      </c>
      <c r="F1333" s="6">
        <f>IF($J1333="","",IF($J1333&lt;=1500,N(INDEX('Daily Sale entry '!$AC$1:$AC$1501,$J1333+1))-IF(AND('Opening Balance'!$B$15=1,INDEX('Daily Sale entry '!$Z$1:$Z$1501,$J1333+1)="Online collection 网上收款",INDEX('Daily Sale entry '!$AA$1:$AA$1501,$J1333+1)&lt;&gt;""),N(INDEX('Daily Sale entry '!$AC$1:$AC$1501,$J1333+1))-TRUNC(N(INDEX('Daily Sale entry '!$AC$1:$AC$1501,$J1333+1))),0),N(INDEX('Daily Sale entry '!$S$1:$S$1501,$J1333-1499))-'Opening Balance'!$B$15*(N(INDEX('Daily Sale entry '!$S$1:$S$1501,$J1333-1499))-TRUNC(N(INDEX('Daily Sale entry '!$S$1:$S$1501,$J1333-1499))))))</f>
        <v/>
      </c>
      <c r="G1333" s="6">
        <f>IF($J1333="","",IF($J1333&lt;=1500,N(INDEX('Daily Sale entry '!$AD$1:$AD$1501,$J1333+1)),0))</f>
        <v/>
      </c>
      <c r="H1333" s="6">
        <f>IF($J1333="","",ROUND('Opening Balance'!$B$4+SUM($F$2:F1333)-SUM($G$2:G1333),2))</f>
        <v/>
      </c>
      <c r="J1333" s="21">
        <f>IFERROR(MATCH(ROW()-1,$L$2:$L$3001,0),"")</f>
        <v/>
      </c>
      <c r="K1333" s="34">
        <f>IF(AND('Daily Sale entry '!X1333&lt;&gt;"",OR('Daily Sale entry '!AC1333&lt;&gt;"",'Daily Sale entry '!AD1333&lt;&gt;"")),'Daily Sale entry '!X1333+ROW()/10000000,"")</f>
        <v/>
      </c>
      <c r="L1333" s="21">
        <f>IF(K1333="","",COUNTIF($K$2:$K$3001,"&lt;"&amp;K1333)+1)</f>
        <v/>
      </c>
    </row>
    <row r="1334">
      <c r="A1334" s="5">
        <f>IF($J1334="","",IF($J1334&lt;=1500,INDEX('Daily Sale entry '!$X$1:$X$1501,$J1334+1),INDEX('Daily Sale entry '!$V$1:$V$1501,$J1334-1499)))</f>
        <v/>
      </c>
      <c r="B1334">
        <f>IF($J1334="","",IF($J1334&lt;=1500,INDEX('Daily Sale entry '!$Y$1:$Y$1501,$J1334+1)&amp;"","Buyer cheque banked 买家支票存入"&amp;IF(INDEX('Daily Sale entry '!$U$1:$U$1501,$J1334-1499)="","", " - "&amp;INDEX('Daily Sale entry '!$U$1:$U$1501,$J1334-1499))))</f>
        <v/>
      </c>
      <c r="C1334">
        <f>IF($J1334="","",IF($J1334&lt;=1500,INDEX('Daily Sale entry '!$Z$1:$Z$1501,$J1334+1)&amp;"","Cheque deposit 支票存入 (buyer 买家)"))</f>
        <v/>
      </c>
      <c r="D1334">
        <f>IF($J1334="","",IF($J1334&lt;=1500,INDEX('Daily Sale entry '!$AA$1:$AA$1501,$J1334+1)&amp;"",INDEX('Daily Sale entry '!$P$1:$P$1501,$J1334-1499)&amp;""))</f>
        <v/>
      </c>
      <c r="E1334">
        <f>IF($J1334="","",IF($J1334&lt;=1500,IF(N(INDEX('Daily Sale entry '!$AB$1:$AB$1501,$J1334+1))=0,"",INDEX('Daily Sale entry '!$AB$1:$AB$1501,$J1334+1)),1))</f>
        <v/>
      </c>
      <c r="F1334" s="6">
        <f>IF($J1334="","",IF($J1334&lt;=1500,N(INDEX('Daily Sale entry '!$AC$1:$AC$1501,$J1334+1))-IF(AND('Opening Balance'!$B$15=1,INDEX('Daily Sale entry '!$Z$1:$Z$1501,$J1334+1)="Online collection 网上收款",INDEX('Daily Sale entry '!$AA$1:$AA$1501,$J1334+1)&lt;&gt;""),N(INDEX('Daily Sale entry '!$AC$1:$AC$1501,$J1334+1))-TRUNC(N(INDEX('Daily Sale entry '!$AC$1:$AC$1501,$J1334+1))),0),N(INDEX('Daily Sale entry '!$S$1:$S$1501,$J1334-1499))-'Opening Balance'!$B$15*(N(INDEX('Daily Sale entry '!$S$1:$S$1501,$J1334-1499))-TRUNC(N(INDEX('Daily Sale entry '!$S$1:$S$1501,$J1334-1499))))))</f>
        <v/>
      </c>
      <c r="G1334" s="6">
        <f>IF($J1334="","",IF($J1334&lt;=1500,N(INDEX('Daily Sale entry '!$AD$1:$AD$1501,$J1334+1)),0))</f>
        <v/>
      </c>
      <c r="H1334" s="6">
        <f>IF($J1334="","",ROUND('Opening Balance'!$B$4+SUM($F$2:F1334)-SUM($G$2:G1334),2))</f>
        <v/>
      </c>
      <c r="J1334" s="21">
        <f>IFERROR(MATCH(ROW()-1,$L$2:$L$3001,0),"")</f>
        <v/>
      </c>
      <c r="K1334" s="34">
        <f>IF(AND('Daily Sale entry '!X1334&lt;&gt;"",OR('Daily Sale entry '!AC1334&lt;&gt;"",'Daily Sale entry '!AD1334&lt;&gt;"")),'Daily Sale entry '!X1334+ROW()/10000000,"")</f>
        <v/>
      </c>
      <c r="L1334" s="21">
        <f>IF(K1334="","",COUNTIF($K$2:$K$3001,"&lt;"&amp;K1334)+1)</f>
        <v/>
      </c>
    </row>
    <row r="1335">
      <c r="A1335" s="5">
        <f>IF($J1335="","",IF($J1335&lt;=1500,INDEX('Daily Sale entry '!$X$1:$X$1501,$J1335+1),INDEX('Daily Sale entry '!$V$1:$V$1501,$J1335-1499)))</f>
        <v/>
      </c>
      <c r="B1335">
        <f>IF($J1335="","",IF($J1335&lt;=1500,INDEX('Daily Sale entry '!$Y$1:$Y$1501,$J1335+1)&amp;"","Buyer cheque banked 买家支票存入"&amp;IF(INDEX('Daily Sale entry '!$U$1:$U$1501,$J1335-1499)="","", " - "&amp;INDEX('Daily Sale entry '!$U$1:$U$1501,$J1335-1499))))</f>
        <v/>
      </c>
      <c r="C1335">
        <f>IF($J1335="","",IF($J1335&lt;=1500,INDEX('Daily Sale entry '!$Z$1:$Z$1501,$J1335+1)&amp;"","Cheque deposit 支票存入 (buyer 买家)"))</f>
        <v/>
      </c>
      <c r="D1335">
        <f>IF($J1335="","",IF($J1335&lt;=1500,INDEX('Daily Sale entry '!$AA$1:$AA$1501,$J1335+1)&amp;"",INDEX('Daily Sale entry '!$P$1:$P$1501,$J1335-1499)&amp;""))</f>
        <v/>
      </c>
      <c r="E1335">
        <f>IF($J1335="","",IF($J1335&lt;=1500,IF(N(INDEX('Daily Sale entry '!$AB$1:$AB$1501,$J1335+1))=0,"",INDEX('Daily Sale entry '!$AB$1:$AB$1501,$J1335+1)),1))</f>
        <v/>
      </c>
      <c r="F1335" s="6">
        <f>IF($J1335="","",IF($J1335&lt;=1500,N(INDEX('Daily Sale entry '!$AC$1:$AC$1501,$J1335+1))-IF(AND('Opening Balance'!$B$15=1,INDEX('Daily Sale entry '!$Z$1:$Z$1501,$J1335+1)="Online collection 网上收款",INDEX('Daily Sale entry '!$AA$1:$AA$1501,$J1335+1)&lt;&gt;""),N(INDEX('Daily Sale entry '!$AC$1:$AC$1501,$J1335+1))-TRUNC(N(INDEX('Daily Sale entry '!$AC$1:$AC$1501,$J1335+1))),0),N(INDEX('Daily Sale entry '!$S$1:$S$1501,$J1335-1499))-'Opening Balance'!$B$15*(N(INDEX('Daily Sale entry '!$S$1:$S$1501,$J1335-1499))-TRUNC(N(INDEX('Daily Sale entry '!$S$1:$S$1501,$J1335-1499))))))</f>
        <v/>
      </c>
      <c r="G1335" s="6">
        <f>IF($J1335="","",IF($J1335&lt;=1500,N(INDEX('Daily Sale entry '!$AD$1:$AD$1501,$J1335+1)),0))</f>
        <v/>
      </c>
      <c r="H1335" s="6">
        <f>IF($J1335="","",ROUND('Opening Balance'!$B$4+SUM($F$2:F1335)-SUM($G$2:G1335),2))</f>
        <v/>
      </c>
      <c r="J1335" s="21">
        <f>IFERROR(MATCH(ROW()-1,$L$2:$L$3001,0),"")</f>
        <v/>
      </c>
      <c r="K1335" s="34">
        <f>IF(AND('Daily Sale entry '!X1335&lt;&gt;"",OR('Daily Sale entry '!AC1335&lt;&gt;"",'Daily Sale entry '!AD1335&lt;&gt;"")),'Daily Sale entry '!X1335+ROW()/10000000,"")</f>
        <v/>
      </c>
      <c r="L1335" s="21">
        <f>IF(K1335="","",COUNTIF($K$2:$K$3001,"&lt;"&amp;K1335)+1)</f>
        <v/>
      </c>
    </row>
    <row r="1336">
      <c r="A1336" s="5">
        <f>IF($J1336="","",IF($J1336&lt;=1500,INDEX('Daily Sale entry '!$X$1:$X$1501,$J1336+1),INDEX('Daily Sale entry '!$V$1:$V$1501,$J1336-1499)))</f>
        <v/>
      </c>
      <c r="B1336">
        <f>IF($J1336="","",IF($J1336&lt;=1500,INDEX('Daily Sale entry '!$Y$1:$Y$1501,$J1336+1)&amp;"","Buyer cheque banked 买家支票存入"&amp;IF(INDEX('Daily Sale entry '!$U$1:$U$1501,$J1336-1499)="","", " - "&amp;INDEX('Daily Sale entry '!$U$1:$U$1501,$J1336-1499))))</f>
        <v/>
      </c>
      <c r="C1336">
        <f>IF($J1336="","",IF($J1336&lt;=1500,INDEX('Daily Sale entry '!$Z$1:$Z$1501,$J1336+1)&amp;"","Cheque deposit 支票存入 (buyer 买家)"))</f>
        <v/>
      </c>
      <c r="D1336">
        <f>IF($J1336="","",IF($J1336&lt;=1500,INDEX('Daily Sale entry '!$AA$1:$AA$1501,$J1336+1)&amp;"",INDEX('Daily Sale entry '!$P$1:$P$1501,$J1336-1499)&amp;""))</f>
        <v/>
      </c>
      <c r="E1336">
        <f>IF($J1336="","",IF($J1336&lt;=1500,IF(N(INDEX('Daily Sale entry '!$AB$1:$AB$1501,$J1336+1))=0,"",INDEX('Daily Sale entry '!$AB$1:$AB$1501,$J1336+1)),1))</f>
        <v/>
      </c>
      <c r="F1336" s="6">
        <f>IF($J1336="","",IF($J1336&lt;=1500,N(INDEX('Daily Sale entry '!$AC$1:$AC$1501,$J1336+1))-IF(AND('Opening Balance'!$B$15=1,INDEX('Daily Sale entry '!$Z$1:$Z$1501,$J1336+1)="Online collection 网上收款",INDEX('Daily Sale entry '!$AA$1:$AA$1501,$J1336+1)&lt;&gt;""),N(INDEX('Daily Sale entry '!$AC$1:$AC$1501,$J1336+1))-TRUNC(N(INDEX('Daily Sale entry '!$AC$1:$AC$1501,$J1336+1))),0),N(INDEX('Daily Sale entry '!$S$1:$S$1501,$J1336-1499))-'Opening Balance'!$B$15*(N(INDEX('Daily Sale entry '!$S$1:$S$1501,$J1336-1499))-TRUNC(N(INDEX('Daily Sale entry '!$S$1:$S$1501,$J1336-1499))))))</f>
        <v/>
      </c>
      <c r="G1336" s="6">
        <f>IF($J1336="","",IF($J1336&lt;=1500,N(INDEX('Daily Sale entry '!$AD$1:$AD$1501,$J1336+1)),0))</f>
        <v/>
      </c>
      <c r="H1336" s="6">
        <f>IF($J1336="","",ROUND('Opening Balance'!$B$4+SUM($F$2:F1336)-SUM($G$2:G1336),2))</f>
        <v/>
      </c>
      <c r="J1336" s="21">
        <f>IFERROR(MATCH(ROW()-1,$L$2:$L$3001,0),"")</f>
        <v/>
      </c>
      <c r="K1336" s="34">
        <f>IF(AND('Daily Sale entry '!X1336&lt;&gt;"",OR('Daily Sale entry '!AC1336&lt;&gt;"",'Daily Sale entry '!AD1336&lt;&gt;"")),'Daily Sale entry '!X1336+ROW()/10000000,"")</f>
        <v/>
      </c>
      <c r="L1336" s="21">
        <f>IF(K1336="","",COUNTIF($K$2:$K$3001,"&lt;"&amp;K1336)+1)</f>
        <v/>
      </c>
    </row>
    <row r="1337">
      <c r="A1337" s="5">
        <f>IF($J1337="","",IF($J1337&lt;=1500,INDEX('Daily Sale entry '!$X$1:$X$1501,$J1337+1),INDEX('Daily Sale entry '!$V$1:$V$1501,$J1337-1499)))</f>
        <v/>
      </c>
      <c r="B1337">
        <f>IF($J1337="","",IF($J1337&lt;=1500,INDEX('Daily Sale entry '!$Y$1:$Y$1501,$J1337+1)&amp;"","Buyer cheque banked 买家支票存入"&amp;IF(INDEX('Daily Sale entry '!$U$1:$U$1501,$J1337-1499)="","", " - "&amp;INDEX('Daily Sale entry '!$U$1:$U$1501,$J1337-1499))))</f>
        <v/>
      </c>
      <c r="C1337">
        <f>IF($J1337="","",IF($J1337&lt;=1500,INDEX('Daily Sale entry '!$Z$1:$Z$1501,$J1337+1)&amp;"","Cheque deposit 支票存入 (buyer 买家)"))</f>
        <v/>
      </c>
      <c r="D1337">
        <f>IF($J1337="","",IF($J1337&lt;=1500,INDEX('Daily Sale entry '!$AA$1:$AA$1501,$J1337+1)&amp;"",INDEX('Daily Sale entry '!$P$1:$P$1501,$J1337-1499)&amp;""))</f>
        <v/>
      </c>
      <c r="E1337">
        <f>IF($J1337="","",IF($J1337&lt;=1500,IF(N(INDEX('Daily Sale entry '!$AB$1:$AB$1501,$J1337+1))=0,"",INDEX('Daily Sale entry '!$AB$1:$AB$1501,$J1337+1)),1))</f>
        <v/>
      </c>
      <c r="F1337" s="6">
        <f>IF($J1337="","",IF($J1337&lt;=1500,N(INDEX('Daily Sale entry '!$AC$1:$AC$1501,$J1337+1))-IF(AND('Opening Balance'!$B$15=1,INDEX('Daily Sale entry '!$Z$1:$Z$1501,$J1337+1)="Online collection 网上收款",INDEX('Daily Sale entry '!$AA$1:$AA$1501,$J1337+1)&lt;&gt;""),N(INDEX('Daily Sale entry '!$AC$1:$AC$1501,$J1337+1))-TRUNC(N(INDEX('Daily Sale entry '!$AC$1:$AC$1501,$J1337+1))),0),N(INDEX('Daily Sale entry '!$S$1:$S$1501,$J1337-1499))-'Opening Balance'!$B$15*(N(INDEX('Daily Sale entry '!$S$1:$S$1501,$J1337-1499))-TRUNC(N(INDEX('Daily Sale entry '!$S$1:$S$1501,$J1337-1499))))))</f>
        <v/>
      </c>
      <c r="G1337" s="6">
        <f>IF($J1337="","",IF($J1337&lt;=1500,N(INDEX('Daily Sale entry '!$AD$1:$AD$1501,$J1337+1)),0))</f>
        <v/>
      </c>
      <c r="H1337" s="6">
        <f>IF($J1337="","",ROUND('Opening Balance'!$B$4+SUM($F$2:F1337)-SUM($G$2:G1337),2))</f>
        <v/>
      </c>
      <c r="J1337" s="21">
        <f>IFERROR(MATCH(ROW()-1,$L$2:$L$3001,0),"")</f>
        <v/>
      </c>
      <c r="K1337" s="34">
        <f>IF(AND('Daily Sale entry '!X1337&lt;&gt;"",OR('Daily Sale entry '!AC1337&lt;&gt;"",'Daily Sale entry '!AD1337&lt;&gt;"")),'Daily Sale entry '!X1337+ROW()/10000000,"")</f>
        <v/>
      </c>
      <c r="L1337" s="21">
        <f>IF(K1337="","",COUNTIF($K$2:$K$3001,"&lt;"&amp;K1337)+1)</f>
        <v/>
      </c>
    </row>
    <row r="1338">
      <c r="A1338" s="5">
        <f>IF($J1338="","",IF($J1338&lt;=1500,INDEX('Daily Sale entry '!$X$1:$X$1501,$J1338+1),INDEX('Daily Sale entry '!$V$1:$V$1501,$J1338-1499)))</f>
        <v/>
      </c>
      <c r="B1338">
        <f>IF($J1338="","",IF($J1338&lt;=1500,INDEX('Daily Sale entry '!$Y$1:$Y$1501,$J1338+1)&amp;"","Buyer cheque banked 买家支票存入"&amp;IF(INDEX('Daily Sale entry '!$U$1:$U$1501,$J1338-1499)="","", " - "&amp;INDEX('Daily Sale entry '!$U$1:$U$1501,$J1338-1499))))</f>
        <v/>
      </c>
      <c r="C1338">
        <f>IF($J1338="","",IF($J1338&lt;=1500,INDEX('Daily Sale entry '!$Z$1:$Z$1501,$J1338+1)&amp;"","Cheque deposit 支票存入 (buyer 买家)"))</f>
        <v/>
      </c>
      <c r="D1338">
        <f>IF($J1338="","",IF($J1338&lt;=1500,INDEX('Daily Sale entry '!$AA$1:$AA$1501,$J1338+1)&amp;"",INDEX('Daily Sale entry '!$P$1:$P$1501,$J1338-1499)&amp;""))</f>
        <v/>
      </c>
      <c r="E1338">
        <f>IF($J1338="","",IF($J1338&lt;=1500,IF(N(INDEX('Daily Sale entry '!$AB$1:$AB$1501,$J1338+1))=0,"",INDEX('Daily Sale entry '!$AB$1:$AB$1501,$J1338+1)),1))</f>
        <v/>
      </c>
      <c r="F1338" s="6">
        <f>IF($J1338="","",IF($J1338&lt;=1500,N(INDEX('Daily Sale entry '!$AC$1:$AC$1501,$J1338+1))-IF(AND('Opening Balance'!$B$15=1,INDEX('Daily Sale entry '!$Z$1:$Z$1501,$J1338+1)="Online collection 网上收款",INDEX('Daily Sale entry '!$AA$1:$AA$1501,$J1338+1)&lt;&gt;""),N(INDEX('Daily Sale entry '!$AC$1:$AC$1501,$J1338+1))-TRUNC(N(INDEX('Daily Sale entry '!$AC$1:$AC$1501,$J1338+1))),0),N(INDEX('Daily Sale entry '!$S$1:$S$1501,$J1338-1499))-'Opening Balance'!$B$15*(N(INDEX('Daily Sale entry '!$S$1:$S$1501,$J1338-1499))-TRUNC(N(INDEX('Daily Sale entry '!$S$1:$S$1501,$J1338-1499))))))</f>
        <v/>
      </c>
      <c r="G1338" s="6">
        <f>IF($J1338="","",IF($J1338&lt;=1500,N(INDEX('Daily Sale entry '!$AD$1:$AD$1501,$J1338+1)),0))</f>
        <v/>
      </c>
      <c r="H1338" s="6">
        <f>IF($J1338="","",ROUND('Opening Balance'!$B$4+SUM($F$2:F1338)-SUM($G$2:G1338),2))</f>
        <v/>
      </c>
      <c r="J1338" s="21">
        <f>IFERROR(MATCH(ROW()-1,$L$2:$L$3001,0),"")</f>
        <v/>
      </c>
      <c r="K1338" s="34">
        <f>IF(AND('Daily Sale entry '!X1338&lt;&gt;"",OR('Daily Sale entry '!AC1338&lt;&gt;"",'Daily Sale entry '!AD1338&lt;&gt;"")),'Daily Sale entry '!X1338+ROW()/10000000,"")</f>
        <v/>
      </c>
      <c r="L1338" s="21">
        <f>IF(K1338="","",COUNTIF($K$2:$K$3001,"&lt;"&amp;K1338)+1)</f>
        <v/>
      </c>
    </row>
    <row r="1339">
      <c r="A1339" s="5">
        <f>IF($J1339="","",IF($J1339&lt;=1500,INDEX('Daily Sale entry '!$X$1:$X$1501,$J1339+1),INDEX('Daily Sale entry '!$V$1:$V$1501,$J1339-1499)))</f>
        <v/>
      </c>
      <c r="B1339">
        <f>IF($J1339="","",IF($J1339&lt;=1500,INDEX('Daily Sale entry '!$Y$1:$Y$1501,$J1339+1)&amp;"","Buyer cheque banked 买家支票存入"&amp;IF(INDEX('Daily Sale entry '!$U$1:$U$1501,$J1339-1499)="","", " - "&amp;INDEX('Daily Sale entry '!$U$1:$U$1501,$J1339-1499))))</f>
        <v/>
      </c>
      <c r="C1339">
        <f>IF($J1339="","",IF($J1339&lt;=1500,INDEX('Daily Sale entry '!$Z$1:$Z$1501,$J1339+1)&amp;"","Cheque deposit 支票存入 (buyer 买家)"))</f>
        <v/>
      </c>
      <c r="D1339">
        <f>IF($J1339="","",IF($J1339&lt;=1500,INDEX('Daily Sale entry '!$AA$1:$AA$1501,$J1339+1)&amp;"",INDEX('Daily Sale entry '!$P$1:$P$1501,$J1339-1499)&amp;""))</f>
        <v/>
      </c>
      <c r="E1339">
        <f>IF($J1339="","",IF($J1339&lt;=1500,IF(N(INDEX('Daily Sale entry '!$AB$1:$AB$1501,$J1339+1))=0,"",INDEX('Daily Sale entry '!$AB$1:$AB$1501,$J1339+1)),1))</f>
        <v/>
      </c>
      <c r="F1339" s="6">
        <f>IF($J1339="","",IF($J1339&lt;=1500,N(INDEX('Daily Sale entry '!$AC$1:$AC$1501,$J1339+1))-IF(AND('Opening Balance'!$B$15=1,INDEX('Daily Sale entry '!$Z$1:$Z$1501,$J1339+1)="Online collection 网上收款",INDEX('Daily Sale entry '!$AA$1:$AA$1501,$J1339+1)&lt;&gt;""),N(INDEX('Daily Sale entry '!$AC$1:$AC$1501,$J1339+1))-TRUNC(N(INDEX('Daily Sale entry '!$AC$1:$AC$1501,$J1339+1))),0),N(INDEX('Daily Sale entry '!$S$1:$S$1501,$J1339-1499))-'Opening Balance'!$B$15*(N(INDEX('Daily Sale entry '!$S$1:$S$1501,$J1339-1499))-TRUNC(N(INDEX('Daily Sale entry '!$S$1:$S$1501,$J1339-1499))))))</f>
        <v/>
      </c>
      <c r="G1339" s="6">
        <f>IF($J1339="","",IF($J1339&lt;=1500,N(INDEX('Daily Sale entry '!$AD$1:$AD$1501,$J1339+1)),0))</f>
        <v/>
      </c>
      <c r="H1339" s="6">
        <f>IF($J1339="","",ROUND('Opening Balance'!$B$4+SUM($F$2:F1339)-SUM($G$2:G1339),2))</f>
        <v/>
      </c>
      <c r="J1339" s="21">
        <f>IFERROR(MATCH(ROW()-1,$L$2:$L$3001,0),"")</f>
        <v/>
      </c>
      <c r="K1339" s="34">
        <f>IF(AND('Daily Sale entry '!X1339&lt;&gt;"",OR('Daily Sale entry '!AC1339&lt;&gt;"",'Daily Sale entry '!AD1339&lt;&gt;"")),'Daily Sale entry '!X1339+ROW()/10000000,"")</f>
        <v/>
      </c>
      <c r="L1339" s="21">
        <f>IF(K1339="","",COUNTIF($K$2:$K$3001,"&lt;"&amp;K1339)+1)</f>
        <v/>
      </c>
    </row>
    <row r="1340">
      <c r="A1340" s="5">
        <f>IF($J1340="","",IF($J1340&lt;=1500,INDEX('Daily Sale entry '!$X$1:$X$1501,$J1340+1),INDEX('Daily Sale entry '!$V$1:$V$1501,$J1340-1499)))</f>
        <v/>
      </c>
      <c r="B1340">
        <f>IF($J1340="","",IF($J1340&lt;=1500,INDEX('Daily Sale entry '!$Y$1:$Y$1501,$J1340+1)&amp;"","Buyer cheque banked 买家支票存入"&amp;IF(INDEX('Daily Sale entry '!$U$1:$U$1501,$J1340-1499)="","", " - "&amp;INDEX('Daily Sale entry '!$U$1:$U$1501,$J1340-1499))))</f>
        <v/>
      </c>
      <c r="C1340">
        <f>IF($J1340="","",IF($J1340&lt;=1500,INDEX('Daily Sale entry '!$Z$1:$Z$1501,$J1340+1)&amp;"","Cheque deposit 支票存入 (buyer 买家)"))</f>
        <v/>
      </c>
      <c r="D1340">
        <f>IF($J1340="","",IF($J1340&lt;=1500,INDEX('Daily Sale entry '!$AA$1:$AA$1501,$J1340+1)&amp;"",INDEX('Daily Sale entry '!$P$1:$P$1501,$J1340-1499)&amp;""))</f>
        <v/>
      </c>
      <c r="E1340">
        <f>IF($J1340="","",IF($J1340&lt;=1500,IF(N(INDEX('Daily Sale entry '!$AB$1:$AB$1501,$J1340+1))=0,"",INDEX('Daily Sale entry '!$AB$1:$AB$1501,$J1340+1)),1))</f>
        <v/>
      </c>
      <c r="F1340" s="6">
        <f>IF($J1340="","",IF($J1340&lt;=1500,N(INDEX('Daily Sale entry '!$AC$1:$AC$1501,$J1340+1))-IF(AND('Opening Balance'!$B$15=1,INDEX('Daily Sale entry '!$Z$1:$Z$1501,$J1340+1)="Online collection 网上收款",INDEX('Daily Sale entry '!$AA$1:$AA$1501,$J1340+1)&lt;&gt;""),N(INDEX('Daily Sale entry '!$AC$1:$AC$1501,$J1340+1))-TRUNC(N(INDEX('Daily Sale entry '!$AC$1:$AC$1501,$J1340+1))),0),N(INDEX('Daily Sale entry '!$S$1:$S$1501,$J1340-1499))-'Opening Balance'!$B$15*(N(INDEX('Daily Sale entry '!$S$1:$S$1501,$J1340-1499))-TRUNC(N(INDEX('Daily Sale entry '!$S$1:$S$1501,$J1340-1499))))))</f>
        <v/>
      </c>
      <c r="G1340" s="6">
        <f>IF($J1340="","",IF($J1340&lt;=1500,N(INDEX('Daily Sale entry '!$AD$1:$AD$1501,$J1340+1)),0))</f>
        <v/>
      </c>
      <c r="H1340" s="6">
        <f>IF($J1340="","",ROUND('Opening Balance'!$B$4+SUM($F$2:F1340)-SUM($G$2:G1340),2))</f>
        <v/>
      </c>
      <c r="J1340" s="21">
        <f>IFERROR(MATCH(ROW()-1,$L$2:$L$3001,0),"")</f>
        <v/>
      </c>
      <c r="K1340" s="34">
        <f>IF(AND('Daily Sale entry '!X1340&lt;&gt;"",OR('Daily Sale entry '!AC1340&lt;&gt;"",'Daily Sale entry '!AD1340&lt;&gt;"")),'Daily Sale entry '!X1340+ROW()/10000000,"")</f>
        <v/>
      </c>
      <c r="L1340" s="21">
        <f>IF(K1340="","",COUNTIF($K$2:$K$3001,"&lt;"&amp;K1340)+1)</f>
        <v/>
      </c>
    </row>
    <row r="1341">
      <c r="A1341" s="5">
        <f>IF($J1341="","",IF($J1341&lt;=1500,INDEX('Daily Sale entry '!$X$1:$X$1501,$J1341+1),INDEX('Daily Sale entry '!$V$1:$V$1501,$J1341-1499)))</f>
        <v/>
      </c>
      <c r="B1341">
        <f>IF($J1341="","",IF($J1341&lt;=1500,INDEX('Daily Sale entry '!$Y$1:$Y$1501,$J1341+1)&amp;"","Buyer cheque banked 买家支票存入"&amp;IF(INDEX('Daily Sale entry '!$U$1:$U$1501,$J1341-1499)="","", " - "&amp;INDEX('Daily Sale entry '!$U$1:$U$1501,$J1341-1499))))</f>
        <v/>
      </c>
      <c r="C1341">
        <f>IF($J1341="","",IF($J1341&lt;=1500,INDEX('Daily Sale entry '!$Z$1:$Z$1501,$J1341+1)&amp;"","Cheque deposit 支票存入 (buyer 买家)"))</f>
        <v/>
      </c>
      <c r="D1341">
        <f>IF($J1341="","",IF($J1341&lt;=1500,INDEX('Daily Sale entry '!$AA$1:$AA$1501,$J1341+1)&amp;"",INDEX('Daily Sale entry '!$P$1:$P$1501,$J1341-1499)&amp;""))</f>
        <v/>
      </c>
      <c r="E1341">
        <f>IF($J1341="","",IF($J1341&lt;=1500,IF(N(INDEX('Daily Sale entry '!$AB$1:$AB$1501,$J1341+1))=0,"",INDEX('Daily Sale entry '!$AB$1:$AB$1501,$J1341+1)),1))</f>
        <v/>
      </c>
      <c r="F1341" s="6">
        <f>IF($J1341="","",IF($J1341&lt;=1500,N(INDEX('Daily Sale entry '!$AC$1:$AC$1501,$J1341+1))-IF(AND('Opening Balance'!$B$15=1,INDEX('Daily Sale entry '!$Z$1:$Z$1501,$J1341+1)="Online collection 网上收款",INDEX('Daily Sale entry '!$AA$1:$AA$1501,$J1341+1)&lt;&gt;""),N(INDEX('Daily Sale entry '!$AC$1:$AC$1501,$J1341+1))-TRUNC(N(INDEX('Daily Sale entry '!$AC$1:$AC$1501,$J1341+1))),0),N(INDEX('Daily Sale entry '!$S$1:$S$1501,$J1341-1499))-'Opening Balance'!$B$15*(N(INDEX('Daily Sale entry '!$S$1:$S$1501,$J1341-1499))-TRUNC(N(INDEX('Daily Sale entry '!$S$1:$S$1501,$J1341-1499))))))</f>
        <v/>
      </c>
      <c r="G1341" s="6">
        <f>IF($J1341="","",IF($J1341&lt;=1500,N(INDEX('Daily Sale entry '!$AD$1:$AD$1501,$J1341+1)),0))</f>
        <v/>
      </c>
      <c r="H1341" s="6">
        <f>IF($J1341="","",ROUND('Opening Balance'!$B$4+SUM($F$2:F1341)-SUM($G$2:G1341),2))</f>
        <v/>
      </c>
      <c r="J1341" s="21">
        <f>IFERROR(MATCH(ROW()-1,$L$2:$L$3001,0),"")</f>
        <v/>
      </c>
      <c r="K1341" s="34">
        <f>IF(AND('Daily Sale entry '!X1341&lt;&gt;"",OR('Daily Sale entry '!AC1341&lt;&gt;"",'Daily Sale entry '!AD1341&lt;&gt;"")),'Daily Sale entry '!X1341+ROW()/10000000,"")</f>
        <v/>
      </c>
      <c r="L1341" s="21">
        <f>IF(K1341="","",COUNTIF($K$2:$K$3001,"&lt;"&amp;K1341)+1)</f>
        <v/>
      </c>
    </row>
    <row r="1342">
      <c r="A1342" s="5">
        <f>IF($J1342="","",IF($J1342&lt;=1500,INDEX('Daily Sale entry '!$X$1:$X$1501,$J1342+1),INDEX('Daily Sale entry '!$V$1:$V$1501,$J1342-1499)))</f>
        <v/>
      </c>
      <c r="B1342">
        <f>IF($J1342="","",IF($J1342&lt;=1500,INDEX('Daily Sale entry '!$Y$1:$Y$1501,$J1342+1)&amp;"","Buyer cheque banked 买家支票存入"&amp;IF(INDEX('Daily Sale entry '!$U$1:$U$1501,$J1342-1499)="","", " - "&amp;INDEX('Daily Sale entry '!$U$1:$U$1501,$J1342-1499))))</f>
        <v/>
      </c>
      <c r="C1342">
        <f>IF($J1342="","",IF($J1342&lt;=1500,INDEX('Daily Sale entry '!$Z$1:$Z$1501,$J1342+1)&amp;"","Cheque deposit 支票存入 (buyer 买家)"))</f>
        <v/>
      </c>
      <c r="D1342">
        <f>IF($J1342="","",IF($J1342&lt;=1500,INDEX('Daily Sale entry '!$AA$1:$AA$1501,$J1342+1)&amp;"",INDEX('Daily Sale entry '!$P$1:$P$1501,$J1342-1499)&amp;""))</f>
        <v/>
      </c>
      <c r="E1342">
        <f>IF($J1342="","",IF($J1342&lt;=1500,IF(N(INDEX('Daily Sale entry '!$AB$1:$AB$1501,$J1342+1))=0,"",INDEX('Daily Sale entry '!$AB$1:$AB$1501,$J1342+1)),1))</f>
        <v/>
      </c>
      <c r="F1342" s="6">
        <f>IF($J1342="","",IF($J1342&lt;=1500,N(INDEX('Daily Sale entry '!$AC$1:$AC$1501,$J1342+1))-IF(AND('Opening Balance'!$B$15=1,INDEX('Daily Sale entry '!$Z$1:$Z$1501,$J1342+1)="Online collection 网上收款",INDEX('Daily Sale entry '!$AA$1:$AA$1501,$J1342+1)&lt;&gt;""),N(INDEX('Daily Sale entry '!$AC$1:$AC$1501,$J1342+1))-TRUNC(N(INDEX('Daily Sale entry '!$AC$1:$AC$1501,$J1342+1))),0),N(INDEX('Daily Sale entry '!$S$1:$S$1501,$J1342-1499))-'Opening Balance'!$B$15*(N(INDEX('Daily Sale entry '!$S$1:$S$1501,$J1342-1499))-TRUNC(N(INDEX('Daily Sale entry '!$S$1:$S$1501,$J1342-1499))))))</f>
        <v/>
      </c>
      <c r="G1342" s="6">
        <f>IF($J1342="","",IF($J1342&lt;=1500,N(INDEX('Daily Sale entry '!$AD$1:$AD$1501,$J1342+1)),0))</f>
        <v/>
      </c>
      <c r="H1342" s="6">
        <f>IF($J1342="","",ROUND('Opening Balance'!$B$4+SUM($F$2:F1342)-SUM($G$2:G1342),2))</f>
        <v/>
      </c>
      <c r="J1342" s="21">
        <f>IFERROR(MATCH(ROW()-1,$L$2:$L$3001,0),"")</f>
        <v/>
      </c>
      <c r="K1342" s="34">
        <f>IF(AND('Daily Sale entry '!X1342&lt;&gt;"",OR('Daily Sale entry '!AC1342&lt;&gt;"",'Daily Sale entry '!AD1342&lt;&gt;"")),'Daily Sale entry '!X1342+ROW()/10000000,"")</f>
        <v/>
      </c>
      <c r="L1342" s="21">
        <f>IF(K1342="","",COUNTIF($K$2:$K$3001,"&lt;"&amp;K1342)+1)</f>
        <v/>
      </c>
    </row>
    <row r="1343">
      <c r="A1343" s="5">
        <f>IF($J1343="","",IF($J1343&lt;=1500,INDEX('Daily Sale entry '!$X$1:$X$1501,$J1343+1),INDEX('Daily Sale entry '!$V$1:$V$1501,$J1343-1499)))</f>
        <v/>
      </c>
      <c r="B1343">
        <f>IF($J1343="","",IF($J1343&lt;=1500,INDEX('Daily Sale entry '!$Y$1:$Y$1501,$J1343+1)&amp;"","Buyer cheque banked 买家支票存入"&amp;IF(INDEX('Daily Sale entry '!$U$1:$U$1501,$J1343-1499)="","", " - "&amp;INDEX('Daily Sale entry '!$U$1:$U$1501,$J1343-1499))))</f>
        <v/>
      </c>
      <c r="C1343">
        <f>IF($J1343="","",IF($J1343&lt;=1500,INDEX('Daily Sale entry '!$Z$1:$Z$1501,$J1343+1)&amp;"","Cheque deposit 支票存入 (buyer 买家)"))</f>
        <v/>
      </c>
      <c r="D1343">
        <f>IF($J1343="","",IF($J1343&lt;=1500,INDEX('Daily Sale entry '!$AA$1:$AA$1501,$J1343+1)&amp;"",INDEX('Daily Sale entry '!$P$1:$P$1501,$J1343-1499)&amp;""))</f>
        <v/>
      </c>
      <c r="E1343">
        <f>IF($J1343="","",IF($J1343&lt;=1500,IF(N(INDEX('Daily Sale entry '!$AB$1:$AB$1501,$J1343+1))=0,"",INDEX('Daily Sale entry '!$AB$1:$AB$1501,$J1343+1)),1))</f>
        <v/>
      </c>
      <c r="F1343" s="6">
        <f>IF($J1343="","",IF($J1343&lt;=1500,N(INDEX('Daily Sale entry '!$AC$1:$AC$1501,$J1343+1))-IF(AND('Opening Balance'!$B$15=1,INDEX('Daily Sale entry '!$Z$1:$Z$1501,$J1343+1)="Online collection 网上收款",INDEX('Daily Sale entry '!$AA$1:$AA$1501,$J1343+1)&lt;&gt;""),N(INDEX('Daily Sale entry '!$AC$1:$AC$1501,$J1343+1))-TRUNC(N(INDEX('Daily Sale entry '!$AC$1:$AC$1501,$J1343+1))),0),N(INDEX('Daily Sale entry '!$S$1:$S$1501,$J1343-1499))-'Opening Balance'!$B$15*(N(INDEX('Daily Sale entry '!$S$1:$S$1501,$J1343-1499))-TRUNC(N(INDEX('Daily Sale entry '!$S$1:$S$1501,$J1343-1499))))))</f>
        <v/>
      </c>
      <c r="G1343" s="6">
        <f>IF($J1343="","",IF($J1343&lt;=1500,N(INDEX('Daily Sale entry '!$AD$1:$AD$1501,$J1343+1)),0))</f>
        <v/>
      </c>
      <c r="H1343" s="6">
        <f>IF($J1343="","",ROUND('Opening Balance'!$B$4+SUM($F$2:F1343)-SUM($G$2:G1343),2))</f>
        <v/>
      </c>
      <c r="J1343" s="21">
        <f>IFERROR(MATCH(ROW()-1,$L$2:$L$3001,0),"")</f>
        <v/>
      </c>
      <c r="K1343" s="34">
        <f>IF(AND('Daily Sale entry '!X1343&lt;&gt;"",OR('Daily Sale entry '!AC1343&lt;&gt;"",'Daily Sale entry '!AD1343&lt;&gt;"")),'Daily Sale entry '!X1343+ROW()/10000000,"")</f>
        <v/>
      </c>
      <c r="L1343" s="21">
        <f>IF(K1343="","",COUNTIF($K$2:$K$3001,"&lt;"&amp;K1343)+1)</f>
        <v/>
      </c>
    </row>
    <row r="1344">
      <c r="A1344" s="5">
        <f>IF($J1344="","",IF($J1344&lt;=1500,INDEX('Daily Sale entry '!$X$1:$X$1501,$J1344+1),INDEX('Daily Sale entry '!$V$1:$V$1501,$J1344-1499)))</f>
        <v/>
      </c>
      <c r="B1344">
        <f>IF($J1344="","",IF($J1344&lt;=1500,INDEX('Daily Sale entry '!$Y$1:$Y$1501,$J1344+1)&amp;"","Buyer cheque banked 买家支票存入"&amp;IF(INDEX('Daily Sale entry '!$U$1:$U$1501,$J1344-1499)="","", " - "&amp;INDEX('Daily Sale entry '!$U$1:$U$1501,$J1344-1499))))</f>
        <v/>
      </c>
      <c r="C1344">
        <f>IF($J1344="","",IF($J1344&lt;=1500,INDEX('Daily Sale entry '!$Z$1:$Z$1501,$J1344+1)&amp;"","Cheque deposit 支票存入 (buyer 买家)"))</f>
        <v/>
      </c>
      <c r="D1344">
        <f>IF($J1344="","",IF($J1344&lt;=1500,INDEX('Daily Sale entry '!$AA$1:$AA$1501,$J1344+1)&amp;"",INDEX('Daily Sale entry '!$P$1:$P$1501,$J1344-1499)&amp;""))</f>
        <v/>
      </c>
      <c r="E1344">
        <f>IF($J1344="","",IF($J1344&lt;=1500,IF(N(INDEX('Daily Sale entry '!$AB$1:$AB$1501,$J1344+1))=0,"",INDEX('Daily Sale entry '!$AB$1:$AB$1501,$J1344+1)),1))</f>
        <v/>
      </c>
      <c r="F1344" s="6">
        <f>IF($J1344="","",IF($J1344&lt;=1500,N(INDEX('Daily Sale entry '!$AC$1:$AC$1501,$J1344+1))-IF(AND('Opening Balance'!$B$15=1,INDEX('Daily Sale entry '!$Z$1:$Z$1501,$J1344+1)="Online collection 网上收款",INDEX('Daily Sale entry '!$AA$1:$AA$1501,$J1344+1)&lt;&gt;""),N(INDEX('Daily Sale entry '!$AC$1:$AC$1501,$J1344+1))-TRUNC(N(INDEX('Daily Sale entry '!$AC$1:$AC$1501,$J1344+1))),0),N(INDEX('Daily Sale entry '!$S$1:$S$1501,$J1344-1499))-'Opening Balance'!$B$15*(N(INDEX('Daily Sale entry '!$S$1:$S$1501,$J1344-1499))-TRUNC(N(INDEX('Daily Sale entry '!$S$1:$S$1501,$J1344-1499))))))</f>
        <v/>
      </c>
      <c r="G1344" s="6">
        <f>IF($J1344="","",IF($J1344&lt;=1500,N(INDEX('Daily Sale entry '!$AD$1:$AD$1501,$J1344+1)),0))</f>
        <v/>
      </c>
      <c r="H1344" s="6">
        <f>IF($J1344="","",ROUND('Opening Balance'!$B$4+SUM($F$2:F1344)-SUM($G$2:G1344),2))</f>
        <v/>
      </c>
      <c r="J1344" s="21">
        <f>IFERROR(MATCH(ROW()-1,$L$2:$L$3001,0),"")</f>
        <v/>
      </c>
      <c r="K1344" s="34">
        <f>IF(AND('Daily Sale entry '!X1344&lt;&gt;"",OR('Daily Sale entry '!AC1344&lt;&gt;"",'Daily Sale entry '!AD1344&lt;&gt;"")),'Daily Sale entry '!X1344+ROW()/10000000,"")</f>
        <v/>
      </c>
      <c r="L1344" s="21">
        <f>IF(K1344="","",COUNTIF($K$2:$K$3001,"&lt;"&amp;K1344)+1)</f>
        <v/>
      </c>
    </row>
    <row r="1345">
      <c r="A1345" s="5">
        <f>IF($J1345="","",IF($J1345&lt;=1500,INDEX('Daily Sale entry '!$X$1:$X$1501,$J1345+1),INDEX('Daily Sale entry '!$V$1:$V$1501,$J1345-1499)))</f>
        <v/>
      </c>
      <c r="B1345">
        <f>IF($J1345="","",IF($J1345&lt;=1500,INDEX('Daily Sale entry '!$Y$1:$Y$1501,$J1345+1)&amp;"","Buyer cheque banked 买家支票存入"&amp;IF(INDEX('Daily Sale entry '!$U$1:$U$1501,$J1345-1499)="","", " - "&amp;INDEX('Daily Sale entry '!$U$1:$U$1501,$J1345-1499))))</f>
        <v/>
      </c>
      <c r="C1345">
        <f>IF($J1345="","",IF($J1345&lt;=1500,INDEX('Daily Sale entry '!$Z$1:$Z$1501,$J1345+1)&amp;"","Cheque deposit 支票存入 (buyer 买家)"))</f>
        <v/>
      </c>
      <c r="D1345">
        <f>IF($J1345="","",IF($J1345&lt;=1500,INDEX('Daily Sale entry '!$AA$1:$AA$1501,$J1345+1)&amp;"",INDEX('Daily Sale entry '!$P$1:$P$1501,$J1345-1499)&amp;""))</f>
        <v/>
      </c>
      <c r="E1345">
        <f>IF($J1345="","",IF($J1345&lt;=1500,IF(N(INDEX('Daily Sale entry '!$AB$1:$AB$1501,$J1345+1))=0,"",INDEX('Daily Sale entry '!$AB$1:$AB$1501,$J1345+1)),1))</f>
        <v/>
      </c>
      <c r="F1345" s="6">
        <f>IF($J1345="","",IF($J1345&lt;=1500,N(INDEX('Daily Sale entry '!$AC$1:$AC$1501,$J1345+1))-IF(AND('Opening Balance'!$B$15=1,INDEX('Daily Sale entry '!$Z$1:$Z$1501,$J1345+1)="Online collection 网上收款",INDEX('Daily Sale entry '!$AA$1:$AA$1501,$J1345+1)&lt;&gt;""),N(INDEX('Daily Sale entry '!$AC$1:$AC$1501,$J1345+1))-TRUNC(N(INDEX('Daily Sale entry '!$AC$1:$AC$1501,$J1345+1))),0),N(INDEX('Daily Sale entry '!$S$1:$S$1501,$J1345-1499))-'Opening Balance'!$B$15*(N(INDEX('Daily Sale entry '!$S$1:$S$1501,$J1345-1499))-TRUNC(N(INDEX('Daily Sale entry '!$S$1:$S$1501,$J1345-1499))))))</f>
        <v/>
      </c>
      <c r="G1345" s="6">
        <f>IF($J1345="","",IF($J1345&lt;=1500,N(INDEX('Daily Sale entry '!$AD$1:$AD$1501,$J1345+1)),0))</f>
        <v/>
      </c>
      <c r="H1345" s="6">
        <f>IF($J1345="","",ROUND('Opening Balance'!$B$4+SUM($F$2:F1345)-SUM($G$2:G1345),2))</f>
        <v/>
      </c>
      <c r="J1345" s="21">
        <f>IFERROR(MATCH(ROW()-1,$L$2:$L$3001,0),"")</f>
        <v/>
      </c>
      <c r="K1345" s="34">
        <f>IF(AND('Daily Sale entry '!X1345&lt;&gt;"",OR('Daily Sale entry '!AC1345&lt;&gt;"",'Daily Sale entry '!AD1345&lt;&gt;"")),'Daily Sale entry '!X1345+ROW()/10000000,"")</f>
        <v/>
      </c>
      <c r="L1345" s="21">
        <f>IF(K1345="","",COUNTIF($K$2:$K$3001,"&lt;"&amp;K1345)+1)</f>
        <v/>
      </c>
    </row>
    <row r="1346">
      <c r="A1346" s="5">
        <f>IF($J1346="","",IF($J1346&lt;=1500,INDEX('Daily Sale entry '!$X$1:$X$1501,$J1346+1),INDEX('Daily Sale entry '!$V$1:$V$1501,$J1346-1499)))</f>
        <v/>
      </c>
      <c r="B1346">
        <f>IF($J1346="","",IF($J1346&lt;=1500,INDEX('Daily Sale entry '!$Y$1:$Y$1501,$J1346+1)&amp;"","Buyer cheque banked 买家支票存入"&amp;IF(INDEX('Daily Sale entry '!$U$1:$U$1501,$J1346-1499)="","", " - "&amp;INDEX('Daily Sale entry '!$U$1:$U$1501,$J1346-1499))))</f>
        <v/>
      </c>
      <c r="C1346">
        <f>IF($J1346="","",IF($J1346&lt;=1500,INDEX('Daily Sale entry '!$Z$1:$Z$1501,$J1346+1)&amp;"","Cheque deposit 支票存入 (buyer 买家)"))</f>
        <v/>
      </c>
      <c r="D1346">
        <f>IF($J1346="","",IF($J1346&lt;=1500,INDEX('Daily Sale entry '!$AA$1:$AA$1501,$J1346+1)&amp;"",INDEX('Daily Sale entry '!$P$1:$P$1501,$J1346-1499)&amp;""))</f>
        <v/>
      </c>
      <c r="E1346">
        <f>IF($J1346="","",IF($J1346&lt;=1500,IF(N(INDEX('Daily Sale entry '!$AB$1:$AB$1501,$J1346+1))=0,"",INDEX('Daily Sale entry '!$AB$1:$AB$1501,$J1346+1)),1))</f>
        <v/>
      </c>
      <c r="F1346" s="6">
        <f>IF($J1346="","",IF($J1346&lt;=1500,N(INDEX('Daily Sale entry '!$AC$1:$AC$1501,$J1346+1))-IF(AND('Opening Balance'!$B$15=1,INDEX('Daily Sale entry '!$Z$1:$Z$1501,$J1346+1)="Online collection 网上收款",INDEX('Daily Sale entry '!$AA$1:$AA$1501,$J1346+1)&lt;&gt;""),N(INDEX('Daily Sale entry '!$AC$1:$AC$1501,$J1346+1))-TRUNC(N(INDEX('Daily Sale entry '!$AC$1:$AC$1501,$J1346+1))),0),N(INDEX('Daily Sale entry '!$S$1:$S$1501,$J1346-1499))-'Opening Balance'!$B$15*(N(INDEX('Daily Sale entry '!$S$1:$S$1501,$J1346-1499))-TRUNC(N(INDEX('Daily Sale entry '!$S$1:$S$1501,$J1346-1499))))))</f>
        <v/>
      </c>
      <c r="G1346" s="6">
        <f>IF($J1346="","",IF($J1346&lt;=1500,N(INDEX('Daily Sale entry '!$AD$1:$AD$1501,$J1346+1)),0))</f>
        <v/>
      </c>
      <c r="H1346" s="6">
        <f>IF($J1346="","",ROUND('Opening Balance'!$B$4+SUM($F$2:F1346)-SUM($G$2:G1346),2))</f>
        <v/>
      </c>
      <c r="J1346" s="21">
        <f>IFERROR(MATCH(ROW()-1,$L$2:$L$3001,0),"")</f>
        <v/>
      </c>
      <c r="K1346" s="34">
        <f>IF(AND('Daily Sale entry '!X1346&lt;&gt;"",OR('Daily Sale entry '!AC1346&lt;&gt;"",'Daily Sale entry '!AD1346&lt;&gt;"")),'Daily Sale entry '!X1346+ROW()/10000000,"")</f>
        <v/>
      </c>
      <c r="L1346" s="21">
        <f>IF(K1346="","",COUNTIF($K$2:$K$3001,"&lt;"&amp;K1346)+1)</f>
        <v/>
      </c>
    </row>
    <row r="1347">
      <c r="A1347" s="5">
        <f>IF($J1347="","",IF($J1347&lt;=1500,INDEX('Daily Sale entry '!$X$1:$X$1501,$J1347+1),INDEX('Daily Sale entry '!$V$1:$V$1501,$J1347-1499)))</f>
        <v/>
      </c>
      <c r="B1347">
        <f>IF($J1347="","",IF($J1347&lt;=1500,INDEX('Daily Sale entry '!$Y$1:$Y$1501,$J1347+1)&amp;"","Buyer cheque banked 买家支票存入"&amp;IF(INDEX('Daily Sale entry '!$U$1:$U$1501,$J1347-1499)="","", " - "&amp;INDEX('Daily Sale entry '!$U$1:$U$1501,$J1347-1499))))</f>
        <v/>
      </c>
      <c r="C1347">
        <f>IF($J1347="","",IF($J1347&lt;=1500,INDEX('Daily Sale entry '!$Z$1:$Z$1501,$J1347+1)&amp;"","Cheque deposit 支票存入 (buyer 买家)"))</f>
        <v/>
      </c>
      <c r="D1347">
        <f>IF($J1347="","",IF($J1347&lt;=1500,INDEX('Daily Sale entry '!$AA$1:$AA$1501,$J1347+1)&amp;"",INDEX('Daily Sale entry '!$P$1:$P$1501,$J1347-1499)&amp;""))</f>
        <v/>
      </c>
      <c r="E1347">
        <f>IF($J1347="","",IF($J1347&lt;=1500,IF(N(INDEX('Daily Sale entry '!$AB$1:$AB$1501,$J1347+1))=0,"",INDEX('Daily Sale entry '!$AB$1:$AB$1501,$J1347+1)),1))</f>
        <v/>
      </c>
      <c r="F1347" s="6">
        <f>IF($J1347="","",IF($J1347&lt;=1500,N(INDEX('Daily Sale entry '!$AC$1:$AC$1501,$J1347+1))-IF(AND('Opening Balance'!$B$15=1,INDEX('Daily Sale entry '!$Z$1:$Z$1501,$J1347+1)="Online collection 网上收款",INDEX('Daily Sale entry '!$AA$1:$AA$1501,$J1347+1)&lt;&gt;""),N(INDEX('Daily Sale entry '!$AC$1:$AC$1501,$J1347+1))-TRUNC(N(INDEX('Daily Sale entry '!$AC$1:$AC$1501,$J1347+1))),0),N(INDEX('Daily Sale entry '!$S$1:$S$1501,$J1347-1499))-'Opening Balance'!$B$15*(N(INDEX('Daily Sale entry '!$S$1:$S$1501,$J1347-1499))-TRUNC(N(INDEX('Daily Sale entry '!$S$1:$S$1501,$J1347-1499))))))</f>
        <v/>
      </c>
      <c r="G1347" s="6">
        <f>IF($J1347="","",IF($J1347&lt;=1500,N(INDEX('Daily Sale entry '!$AD$1:$AD$1501,$J1347+1)),0))</f>
        <v/>
      </c>
      <c r="H1347" s="6">
        <f>IF($J1347="","",ROUND('Opening Balance'!$B$4+SUM($F$2:F1347)-SUM($G$2:G1347),2))</f>
        <v/>
      </c>
      <c r="J1347" s="21">
        <f>IFERROR(MATCH(ROW()-1,$L$2:$L$3001,0),"")</f>
        <v/>
      </c>
      <c r="K1347" s="34">
        <f>IF(AND('Daily Sale entry '!X1347&lt;&gt;"",OR('Daily Sale entry '!AC1347&lt;&gt;"",'Daily Sale entry '!AD1347&lt;&gt;"")),'Daily Sale entry '!X1347+ROW()/10000000,"")</f>
        <v/>
      </c>
      <c r="L1347" s="21">
        <f>IF(K1347="","",COUNTIF($K$2:$K$3001,"&lt;"&amp;K1347)+1)</f>
        <v/>
      </c>
    </row>
    <row r="1348">
      <c r="A1348" s="5">
        <f>IF($J1348="","",IF($J1348&lt;=1500,INDEX('Daily Sale entry '!$X$1:$X$1501,$J1348+1),INDEX('Daily Sale entry '!$V$1:$V$1501,$J1348-1499)))</f>
        <v/>
      </c>
      <c r="B1348">
        <f>IF($J1348="","",IF($J1348&lt;=1500,INDEX('Daily Sale entry '!$Y$1:$Y$1501,$J1348+1)&amp;"","Buyer cheque banked 买家支票存入"&amp;IF(INDEX('Daily Sale entry '!$U$1:$U$1501,$J1348-1499)="","", " - "&amp;INDEX('Daily Sale entry '!$U$1:$U$1501,$J1348-1499))))</f>
        <v/>
      </c>
      <c r="C1348">
        <f>IF($J1348="","",IF($J1348&lt;=1500,INDEX('Daily Sale entry '!$Z$1:$Z$1501,$J1348+1)&amp;"","Cheque deposit 支票存入 (buyer 买家)"))</f>
        <v/>
      </c>
      <c r="D1348">
        <f>IF($J1348="","",IF($J1348&lt;=1500,INDEX('Daily Sale entry '!$AA$1:$AA$1501,$J1348+1)&amp;"",INDEX('Daily Sale entry '!$P$1:$P$1501,$J1348-1499)&amp;""))</f>
        <v/>
      </c>
      <c r="E1348">
        <f>IF($J1348="","",IF($J1348&lt;=1500,IF(N(INDEX('Daily Sale entry '!$AB$1:$AB$1501,$J1348+1))=0,"",INDEX('Daily Sale entry '!$AB$1:$AB$1501,$J1348+1)),1))</f>
        <v/>
      </c>
      <c r="F1348" s="6">
        <f>IF($J1348="","",IF($J1348&lt;=1500,N(INDEX('Daily Sale entry '!$AC$1:$AC$1501,$J1348+1))-IF(AND('Opening Balance'!$B$15=1,INDEX('Daily Sale entry '!$Z$1:$Z$1501,$J1348+1)="Online collection 网上收款",INDEX('Daily Sale entry '!$AA$1:$AA$1501,$J1348+1)&lt;&gt;""),N(INDEX('Daily Sale entry '!$AC$1:$AC$1501,$J1348+1))-TRUNC(N(INDEX('Daily Sale entry '!$AC$1:$AC$1501,$J1348+1))),0),N(INDEX('Daily Sale entry '!$S$1:$S$1501,$J1348-1499))-'Opening Balance'!$B$15*(N(INDEX('Daily Sale entry '!$S$1:$S$1501,$J1348-1499))-TRUNC(N(INDEX('Daily Sale entry '!$S$1:$S$1501,$J1348-1499))))))</f>
        <v/>
      </c>
      <c r="G1348" s="6">
        <f>IF($J1348="","",IF($J1348&lt;=1500,N(INDEX('Daily Sale entry '!$AD$1:$AD$1501,$J1348+1)),0))</f>
        <v/>
      </c>
      <c r="H1348" s="6">
        <f>IF($J1348="","",ROUND('Opening Balance'!$B$4+SUM($F$2:F1348)-SUM($G$2:G1348),2))</f>
        <v/>
      </c>
      <c r="J1348" s="21">
        <f>IFERROR(MATCH(ROW()-1,$L$2:$L$3001,0),"")</f>
        <v/>
      </c>
      <c r="K1348" s="34">
        <f>IF(AND('Daily Sale entry '!X1348&lt;&gt;"",OR('Daily Sale entry '!AC1348&lt;&gt;"",'Daily Sale entry '!AD1348&lt;&gt;"")),'Daily Sale entry '!X1348+ROW()/10000000,"")</f>
        <v/>
      </c>
      <c r="L1348" s="21">
        <f>IF(K1348="","",COUNTIF($K$2:$K$3001,"&lt;"&amp;K1348)+1)</f>
        <v/>
      </c>
    </row>
    <row r="1349">
      <c r="A1349" s="5">
        <f>IF($J1349="","",IF($J1349&lt;=1500,INDEX('Daily Sale entry '!$X$1:$X$1501,$J1349+1),INDEX('Daily Sale entry '!$V$1:$V$1501,$J1349-1499)))</f>
        <v/>
      </c>
      <c r="B1349">
        <f>IF($J1349="","",IF($J1349&lt;=1500,INDEX('Daily Sale entry '!$Y$1:$Y$1501,$J1349+1)&amp;"","Buyer cheque banked 买家支票存入"&amp;IF(INDEX('Daily Sale entry '!$U$1:$U$1501,$J1349-1499)="","", " - "&amp;INDEX('Daily Sale entry '!$U$1:$U$1501,$J1349-1499))))</f>
        <v/>
      </c>
      <c r="C1349">
        <f>IF($J1349="","",IF($J1349&lt;=1500,INDEX('Daily Sale entry '!$Z$1:$Z$1501,$J1349+1)&amp;"","Cheque deposit 支票存入 (buyer 买家)"))</f>
        <v/>
      </c>
      <c r="D1349">
        <f>IF($J1349="","",IF($J1349&lt;=1500,INDEX('Daily Sale entry '!$AA$1:$AA$1501,$J1349+1)&amp;"",INDEX('Daily Sale entry '!$P$1:$P$1501,$J1349-1499)&amp;""))</f>
        <v/>
      </c>
      <c r="E1349">
        <f>IF($J1349="","",IF($J1349&lt;=1500,IF(N(INDEX('Daily Sale entry '!$AB$1:$AB$1501,$J1349+1))=0,"",INDEX('Daily Sale entry '!$AB$1:$AB$1501,$J1349+1)),1))</f>
        <v/>
      </c>
      <c r="F1349" s="6">
        <f>IF($J1349="","",IF($J1349&lt;=1500,N(INDEX('Daily Sale entry '!$AC$1:$AC$1501,$J1349+1))-IF(AND('Opening Balance'!$B$15=1,INDEX('Daily Sale entry '!$Z$1:$Z$1501,$J1349+1)="Online collection 网上收款",INDEX('Daily Sale entry '!$AA$1:$AA$1501,$J1349+1)&lt;&gt;""),N(INDEX('Daily Sale entry '!$AC$1:$AC$1501,$J1349+1))-TRUNC(N(INDEX('Daily Sale entry '!$AC$1:$AC$1501,$J1349+1))),0),N(INDEX('Daily Sale entry '!$S$1:$S$1501,$J1349-1499))-'Opening Balance'!$B$15*(N(INDEX('Daily Sale entry '!$S$1:$S$1501,$J1349-1499))-TRUNC(N(INDEX('Daily Sale entry '!$S$1:$S$1501,$J1349-1499))))))</f>
        <v/>
      </c>
      <c r="G1349" s="6">
        <f>IF($J1349="","",IF($J1349&lt;=1500,N(INDEX('Daily Sale entry '!$AD$1:$AD$1501,$J1349+1)),0))</f>
        <v/>
      </c>
      <c r="H1349" s="6">
        <f>IF($J1349="","",ROUND('Opening Balance'!$B$4+SUM($F$2:F1349)-SUM($G$2:G1349),2))</f>
        <v/>
      </c>
      <c r="J1349" s="21">
        <f>IFERROR(MATCH(ROW()-1,$L$2:$L$3001,0),"")</f>
        <v/>
      </c>
      <c r="K1349" s="34">
        <f>IF(AND('Daily Sale entry '!X1349&lt;&gt;"",OR('Daily Sale entry '!AC1349&lt;&gt;"",'Daily Sale entry '!AD1349&lt;&gt;"")),'Daily Sale entry '!X1349+ROW()/10000000,"")</f>
        <v/>
      </c>
      <c r="L1349" s="21">
        <f>IF(K1349="","",COUNTIF($K$2:$K$3001,"&lt;"&amp;K1349)+1)</f>
        <v/>
      </c>
    </row>
    <row r="1350">
      <c r="A1350" s="5">
        <f>IF($J1350="","",IF($J1350&lt;=1500,INDEX('Daily Sale entry '!$X$1:$X$1501,$J1350+1),INDEX('Daily Sale entry '!$V$1:$V$1501,$J1350-1499)))</f>
        <v/>
      </c>
      <c r="B1350">
        <f>IF($J1350="","",IF($J1350&lt;=1500,INDEX('Daily Sale entry '!$Y$1:$Y$1501,$J1350+1)&amp;"","Buyer cheque banked 买家支票存入"&amp;IF(INDEX('Daily Sale entry '!$U$1:$U$1501,$J1350-1499)="","", " - "&amp;INDEX('Daily Sale entry '!$U$1:$U$1501,$J1350-1499))))</f>
        <v/>
      </c>
      <c r="C1350">
        <f>IF($J1350="","",IF($J1350&lt;=1500,INDEX('Daily Sale entry '!$Z$1:$Z$1501,$J1350+1)&amp;"","Cheque deposit 支票存入 (buyer 买家)"))</f>
        <v/>
      </c>
      <c r="D1350">
        <f>IF($J1350="","",IF($J1350&lt;=1500,INDEX('Daily Sale entry '!$AA$1:$AA$1501,$J1350+1)&amp;"",INDEX('Daily Sale entry '!$P$1:$P$1501,$J1350-1499)&amp;""))</f>
        <v/>
      </c>
      <c r="E1350">
        <f>IF($J1350="","",IF($J1350&lt;=1500,IF(N(INDEX('Daily Sale entry '!$AB$1:$AB$1501,$J1350+1))=0,"",INDEX('Daily Sale entry '!$AB$1:$AB$1501,$J1350+1)),1))</f>
        <v/>
      </c>
      <c r="F1350" s="6">
        <f>IF($J1350="","",IF($J1350&lt;=1500,N(INDEX('Daily Sale entry '!$AC$1:$AC$1501,$J1350+1))-IF(AND('Opening Balance'!$B$15=1,INDEX('Daily Sale entry '!$Z$1:$Z$1501,$J1350+1)="Online collection 网上收款",INDEX('Daily Sale entry '!$AA$1:$AA$1501,$J1350+1)&lt;&gt;""),N(INDEX('Daily Sale entry '!$AC$1:$AC$1501,$J1350+1))-TRUNC(N(INDEX('Daily Sale entry '!$AC$1:$AC$1501,$J1350+1))),0),N(INDEX('Daily Sale entry '!$S$1:$S$1501,$J1350-1499))-'Opening Balance'!$B$15*(N(INDEX('Daily Sale entry '!$S$1:$S$1501,$J1350-1499))-TRUNC(N(INDEX('Daily Sale entry '!$S$1:$S$1501,$J1350-1499))))))</f>
        <v/>
      </c>
      <c r="G1350" s="6">
        <f>IF($J1350="","",IF($J1350&lt;=1500,N(INDEX('Daily Sale entry '!$AD$1:$AD$1501,$J1350+1)),0))</f>
        <v/>
      </c>
      <c r="H1350" s="6">
        <f>IF($J1350="","",ROUND('Opening Balance'!$B$4+SUM($F$2:F1350)-SUM($G$2:G1350),2))</f>
        <v/>
      </c>
      <c r="J1350" s="21">
        <f>IFERROR(MATCH(ROW()-1,$L$2:$L$3001,0),"")</f>
        <v/>
      </c>
      <c r="K1350" s="34">
        <f>IF(AND('Daily Sale entry '!X1350&lt;&gt;"",OR('Daily Sale entry '!AC1350&lt;&gt;"",'Daily Sale entry '!AD1350&lt;&gt;"")),'Daily Sale entry '!X1350+ROW()/10000000,"")</f>
        <v/>
      </c>
      <c r="L1350" s="21">
        <f>IF(K1350="","",COUNTIF($K$2:$K$3001,"&lt;"&amp;K1350)+1)</f>
        <v/>
      </c>
    </row>
    <row r="1351">
      <c r="A1351" s="5">
        <f>IF($J1351="","",IF($J1351&lt;=1500,INDEX('Daily Sale entry '!$X$1:$X$1501,$J1351+1),INDEX('Daily Sale entry '!$V$1:$V$1501,$J1351-1499)))</f>
        <v/>
      </c>
      <c r="B1351">
        <f>IF($J1351="","",IF($J1351&lt;=1500,INDEX('Daily Sale entry '!$Y$1:$Y$1501,$J1351+1)&amp;"","Buyer cheque banked 买家支票存入"&amp;IF(INDEX('Daily Sale entry '!$U$1:$U$1501,$J1351-1499)="","", " - "&amp;INDEX('Daily Sale entry '!$U$1:$U$1501,$J1351-1499))))</f>
        <v/>
      </c>
      <c r="C1351">
        <f>IF($J1351="","",IF($J1351&lt;=1500,INDEX('Daily Sale entry '!$Z$1:$Z$1501,$J1351+1)&amp;"","Cheque deposit 支票存入 (buyer 买家)"))</f>
        <v/>
      </c>
      <c r="D1351">
        <f>IF($J1351="","",IF($J1351&lt;=1500,INDEX('Daily Sale entry '!$AA$1:$AA$1501,$J1351+1)&amp;"",INDEX('Daily Sale entry '!$P$1:$P$1501,$J1351-1499)&amp;""))</f>
        <v/>
      </c>
      <c r="E1351">
        <f>IF($J1351="","",IF($J1351&lt;=1500,IF(N(INDEX('Daily Sale entry '!$AB$1:$AB$1501,$J1351+1))=0,"",INDEX('Daily Sale entry '!$AB$1:$AB$1501,$J1351+1)),1))</f>
        <v/>
      </c>
      <c r="F1351" s="6">
        <f>IF($J1351="","",IF($J1351&lt;=1500,N(INDEX('Daily Sale entry '!$AC$1:$AC$1501,$J1351+1))-IF(AND('Opening Balance'!$B$15=1,INDEX('Daily Sale entry '!$Z$1:$Z$1501,$J1351+1)="Online collection 网上收款",INDEX('Daily Sale entry '!$AA$1:$AA$1501,$J1351+1)&lt;&gt;""),N(INDEX('Daily Sale entry '!$AC$1:$AC$1501,$J1351+1))-TRUNC(N(INDEX('Daily Sale entry '!$AC$1:$AC$1501,$J1351+1))),0),N(INDEX('Daily Sale entry '!$S$1:$S$1501,$J1351-1499))-'Opening Balance'!$B$15*(N(INDEX('Daily Sale entry '!$S$1:$S$1501,$J1351-1499))-TRUNC(N(INDEX('Daily Sale entry '!$S$1:$S$1501,$J1351-1499))))))</f>
        <v/>
      </c>
      <c r="G1351" s="6">
        <f>IF($J1351="","",IF($J1351&lt;=1500,N(INDEX('Daily Sale entry '!$AD$1:$AD$1501,$J1351+1)),0))</f>
        <v/>
      </c>
      <c r="H1351" s="6">
        <f>IF($J1351="","",ROUND('Opening Balance'!$B$4+SUM($F$2:F1351)-SUM($G$2:G1351),2))</f>
        <v/>
      </c>
      <c r="J1351" s="21">
        <f>IFERROR(MATCH(ROW()-1,$L$2:$L$3001,0),"")</f>
        <v/>
      </c>
      <c r="K1351" s="34">
        <f>IF(AND('Daily Sale entry '!X1351&lt;&gt;"",OR('Daily Sale entry '!AC1351&lt;&gt;"",'Daily Sale entry '!AD1351&lt;&gt;"")),'Daily Sale entry '!X1351+ROW()/10000000,"")</f>
        <v/>
      </c>
      <c r="L1351" s="21">
        <f>IF(K1351="","",COUNTIF($K$2:$K$3001,"&lt;"&amp;K1351)+1)</f>
        <v/>
      </c>
    </row>
    <row r="1352">
      <c r="A1352" s="5">
        <f>IF($J1352="","",IF($J1352&lt;=1500,INDEX('Daily Sale entry '!$X$1:$X$1501,$J1352+1),INDEX('Daily Sale entry '!$V$1:$V$1501,$J1352-1499)))</f>
        <v/>
      </c>
      <c r="B1352">
        <f>IF($J1352="","",IF($J1352&lt;=1500,INDEX('Daily Sale entry '!$Y$1:$Y$1501,$J1352+1)&amp;"","Buyer cheque banked 买家支票存入"&amp;IF(INDEX('Daily Sale entry '!$U$1:$U$1501,$J1352-1499)="","", " - "&amp;INDEX('Daily Sale entry '!$U$1:$U$1501,$J1352-1499))))</f>
        <v/>
      </c>
      <c r="C1352">
        <f>IF($J1352="","",IF($J1352&lt;=1500,INDEX('Daily Sale entry '!$Z$1:$Z$1501,$J1352+1)&amp;"","Cheque deposit 支票存入 (buyer 买家)"))</f>
        <v/>
      </c>
      <c r="D1352">
        <f>IF($J1352="","",IF($J1352&lt;=1500,INDEX('Daily Sale entry '!$AA$1:$AA$1501,$J1352+1)&amp;"",INDEX('Daily Sale entry '!$P$1:$P$1501,$J1352-1499)&amp;""))</f>
        <v/>
      </c>
      <c r="E1352">
        <f>IF($J1352="","",IF($J1352&lt;=1500,IF(N(INDEX('Daily Sale entry '!$AB$1:$AB$1501,$J1352+1))=0,"",INDEX('Daily Sale entry '!$AB$1:$AB$1501,$J1352+1)),1))</f>
        <v/>
      </c>
      <c r="F1352" s="6">
        <f>IF($J1352="","",IF($J1352&lt;=1500,N(INDEX('Daily Sale entry '!$AC$1:$AC$1501,$J1352+1))-IF(AND('Opening Balance'!$B$15=1,INDEX('Daily Sale entry '!$Z$1:$Z$1501,$J1352+1)="Online collection 网上收款",INDEX('Daily Sale entry '!$AA$1:$AA$1501,$J1352+1)&lt;&gt;""),N(INDEX('Daily Sale entry '!$AC$1:$AC$1501,$J1352+1))-TRUNC(N(INDEX('Daily Sale entry '!$AC$1:$AC$1501,$J1352+1))),0),N(INDEX('Daily Sale entry '!$S$1:$S$1501,$J1352-1499))-'Opening Balance'!$B$15*(N(INDEX('Daily Sale entry '!$S$1:$S$1501,$J1352-1499))-TRUNC(N(INDEX('Daily Sale entry '!$S$1:$S$1501,$J1352-1499))))))</f>
        <v/>
      </c>
      <c r="G1352" s="6">
        <f>IF($J1352="","",IF($J1352&lt;=1500,N(INDEX('Daily Sale entry '!$AD$1:$AD$1501,$J1352+1)),0))</f>
        <v/>
      </c>
      <c r="H1352" s="6">
        <f>IF($J1352="","",ROUND('Opening Balance'!$B$4+SUM($F$2:F1352)-SUM($G$2:G1352),2))</f>
        <v/>
      </c>
      <c r="J1352" s="21">
        <f>IFERROR(MATCH(ROW()-1,$L$2:$L$3001,0),"")</f>
        <v/>
      </c>
      <c r="K1352" s="34">
        <f>IF(AND('Daily Sale entry '!X1352&lt;&gt;"",OR('Daily Sale entry '!AC1352&lt;&gt;"",'Daily Sale entry '!AD1352&lt;&gt;"")),'Daily Sale entry '!X1352+ROW()/10000000,"")</f>
        <v/>
      </c>
      <c r="L1352" s="21">
        <f>IF(K1352="","",COUNTIF($K$2:$K$3001,"&lt;"&amp;K1352)+1)</f>
        <v/>
      </c>
    </row>
    <row r="1353">
      <c r="A1353" s="5">
        <f>IF($J1353="","",IF($J1353&lt;=1500,INDEX('Daily Sale entry '!$X$1:$X$1501,$J1353+1),INDEX('Daily Sale entry '!$V$1:$V$1501,$J1353-1499)))</f>
        <v/>
      </c>
      <c r="B1353">
        <f>IF($J1353="","",IF($J1353&lt;=1500,INDEX('Daily Sale entry '!$Y$1:$Y$1501,$J1353+1)&amp;"","Buyer cheque banked 买家支票存入"&amp;IF(INDEX('Daily Sale entry '!$U$1:$U$1501,$J1353-1499)="","", " - "&amp;INDEX('Daily Sale entry '!$U$1:$U$1501,$J1353-1499))))</f>
        <v/>
      </c>
      <c r="C1353">
        <f>IF($J1353="","",IF($J1353&lt;=1500,INDEX('Daily Sale entry '!$Z$1:$Z$1501,$J1353+1)&amp;"","Cheque deposit 支票存入 (buyer 买家)"))</f>
        <v/>
      </c>
      <c r="D1353">
        <f>IF($J1353="","",IF($J1353&lt;=1500,INDEX('Daily Sale entry '!$AA$1:$AA$1501,$J1353+1)&amp;"",INDEX('Daily Sale entry '!$P$1:$P$1501,$J1353-1499)&amp;""))</f>
        <v/>
      </c>
      <c r="E1353">
        <f>IF($J1353="","",IF($J1353&lt;=1500,IF(N(INDEX('Daily Sale entry '!$AB$1:$AB$1501,$J1353+1))=0,"",INDEX('Daily Sale entry '!$AB$1:$AB$1501,$J1353+1)),1))</f>
        <v/>
      </c>
      <c r="F1353" s="6">
        <f>IF($J1353="","",IF($J1353&lt;=1500,N(INDEX('Daily Sale entry '!$AC$1:$AC$1501,$J1353+1))-IF(AND('Opening Balance'!$B$15=1,INDEX('Daily Sale entry '!$Z$1:$Z$1501,$J1353+1)="Online collection 网上收款",INDEX('Daily Sale entry '!$AA$1:$AA$1501,$J1353+1)&lt;&gt;""),N(INDEX('Daily Sale entry '!$AC$1:$AC$1501,$J1353+1))-TRUNC(N(INDEX('Daily Sale entry '!$AC$1:$AC$1501,$J1353+1))),0),N(INDEX('Daily Sale entry '!$S$1:$S$1501,$J1353-1499))-'Opening Balance'!$B$15*(N(INDEX('Daily Sale entry '!$S$1:$S$1501,$J1353-1499))-TRUNC(N(INDEX('Daily Sale entry '!$S$1:$S$1501,$J1353-1499))))))</f>
        <v/>
      </c>
      <c r="G1353" s="6">
        <f>IF($J1353="","",IF($J1353&lt;=1500,N(INDEX('Daily Sale entry '!$AD$1:$AD$1501,$J1353+1)),0))</f>
        <v/>
      </c>
      <c r="H1353" s="6">
        <f>IF($J1353="","",ROUND('Opening Balance'!$B$4+SUM($F$2:F1353)-SUM($G$2:G1353),2))</f>
        <v/>
      </c>
      <c r="J1353" s="21">
        <f>IFERROR(MATCH(ROW()-1,$L$2:$L$3001,0),"")</f>
        <v/>
      </c>
      <c r="K1353" s="34">
        <f>IF(AND('Daily Sale entry '!X1353&lt;&gt;"",OR('Daily Sale entry '!AC1353&lt;&gt;"",'Daily Sale entry '!AD1353&lt;&gt;"")),'Daily Sale entry '!X1353+ROW()/10000000,"")</f>
        <v/>
      </c>
      <c r="L1353" s="21">
        <f>IF(K1353="","",COUNTIF($K$2:$K$3001,"&lt;"&amp;K1353)+1)</f>
        <v/>
      </c>
    </row>
    <row r="1354">
      <c r="A1354" s="5">
        <f>IF($J1354="","",IF($J1354&lt;=1500,INDEX('Daily Sale entry '!$X$1:$X$1501,$J1354+1),INDEX('Daily Sale entry '!$V$1:$V$1501,$J1354-1499)))</f>
        <v/>
      </c>
      <c r="B1354">
        <f>IF($J1354="","",IF($J1354&lt;=1500,INDEX('Daily Sale entry '!$Y$1:$Y$1501,$J1354+1)&amp;"","Buyer cheque banked 买家支票存入"&amp;IF(INDEX('Daily Sale entry '!$U$1:$U$1501,$J1354-1499)="","", " - "&amp;INDEX('Daily Sale entry '!$U$1:$U$1501,$J1354-1499))))</f>
        <v/>
      </c>
      <c r="C1354">
        <f>IF($J1354="","",IF($J1354&lt;=1500,INDEX('Daily Sale entry '!$Z$1:$Z$1501,$J1354+1)&amp;"","Cheque deposit 支票存入 (buyer 买家)"))</f>
        <v/>
      </c>
      <c r="D1354">
        <f>IF($J1354="","",IF($J1354&lt;=1500,INDEX('Daily Sale entry '!$AA$1:$AA$1501,$J1354+1)&amp;"",INDEX('Daily Sale entry '!$P$1:$P$1501,$J1354-1499)&amp;""))</f>
        <v/>
      </c>
      <c r="E1354">
        <f>IF($J1354="","",IF($J1354&lt;=1500,IF(N(INDEX('Daily Sale entry '!$AB$1:$AB$1501,$J1354+1))=0,"",INDEX('Daily Sale entry '!$AB$1:$AB$1501,$J1354+1)),1))</f>
        <v/>
      </c>
      <c r="F1354" s="6">
        <f>IF($J1354="","",IF($J1354&lt;=1500,N(INDEX('Daily Sale entry '!$AC$1:$AC$1501,$J1354+1))-IF(AND('Opening Balance'!$B$15=1,INDEX('Daily Sale entry '!$Z$1:$Z$1501,$J1354+1)="Online collection 网上收款",INDEX('Daily Sale entry '!$AA$1:$AA$1501,$J1354+1)&lt;&gt;""),N(INDEX('Daily Sale entry '!$AC$1:$AC$1501,$J1354+1))-TRUNC(N(INDEX('Daily Sale entry '!$AC$1:$AC$1501,$J1354+1))),0),N(INDEX('Daily Sale entry '!$S$1:$S$1501,$J1354-1499))-'Opening Balance'!$B$15*(N(INDEX('Daily Sale entry '!$S$1:$S$1501,$J1354-1499))-TRUNC(N(INDEX('Daily Sale entry '!$S$1:$S$1501,$J1354-1499))))))</f>
        <v/>
      </c>
      <c r="G1354" s="6">
        <f>IF($J1354="","",IF($J1354&lt;=1500,N(INDEX('Daily Sale entry '!$AD$1:$AD$1501,$J1354+1)),0))</f>
        <v/>
      </c>
      <c r="H1354" s="6">
        <f>IF($J1354="","",ROUND('Opening Balance'!$B$4+SUM($F$2:F1354)-SUM($G$2:G1354),2))</f>
        <v/>
      </c>
      <c r="J1354" s="21">
        <f>IFERROR(MATCH(ROW()-1,$L$2:$L$3001,0),"")</f>
        <v/>
      </c>
      <c r="K1354" s="34">
        <f>IF(AND('Daily Sale entry '!X1354&lt;&gt;"",OR('Daily Sale entry '!AC1354&lt;&gt;"",'Daily Sale entry '!AD1354&lt;&gt;"")),'Daily Sale entry '!X1354+ROW()/10000000,"")</f>
        <v/>
      </c>
      <c r="L1354" s="21">
        <f>IF(K1354="","",COUNTIF($K$2:$K$3001,"&lt;"&amp;K1354)+1)</f>
        <v/>
      </c>
    </row>
    <row r="1355">
      <c r="A1355" s="5">
        <f>IF($J1355="","",IF($J1355&lt;=1500,INDEX('Daily Sale entry '!$X$1:$X$1501,$J1355+1),INDEX('Daily Sale entry '!$V$1:$V$1501,$J1355-1499)))</f>
        <v/>
      </c>
      <c r="B1355">
        <f>IF($J1355="","",IF($J1355&lt;=1500,INDEX('Daily Sale entry '!$Y$1:$Y$1501,$J1355+1)&amp;"","Buyer cheque banked 买家支票存入"&amp;IF(INDEX('Daily Sale entry '!$U$1:$U$1501,$J1355-1499)="","", " - "&amp;INDEX('Daily Sale entry '!$U$1:$U$1501,$J1355-1499))))</f>
        <v/>
      </c>
      <c r="C1355">
        <f>IF($J1355="","",IF($J1355&lt;=1500,INDEX('Daily Sale entry '!$Z$1:$Z$1501,$J1355+1)&amp;"","Cheque deposit 支票存入 (buyer 买家)"))</f>
        <v/>
      </c>
      <c r="D1355">
        <f>IF($J1355="","",IF($J1355&lt;=1500,INDEX('Daily Sale entry '!$AA$1:$AA$1501,$J1355+1)&amp;"",INDEX('Daily Sale entry '!$P$1:$P$1501,$J1355-1499)&amp;""))</f>
        <v/>
      </c>
      <c r="E1355">
        <f>IF($J1355="","",IF($J1355&lt;=1500,IF(N(INDEX('Daily Sale entry '!$AB$1:$AB$1501,$J1355+1))=0,"",INDEX('Daily Sale entry '!$AB$1:$AB$1501,$J1355+1)),1))</f>
        <v/>
      </c>
      <c r="F1355" s="6">
        <f>IF($J1355="","",IF($J1355&lt;=1500,N(INDEX('Daily Sale entry '!$AC$1:$AC$1501,$J1355+1))-IF(AND('Opening Balance'!$B$15=1,INDEX('Daily Sale entry '!$Z$1:$Z$1501,$J1355+1)="Online collection 网上收款",INDEX('Daily Sale entry '!$AA$1:$AA$1501,$J1355+1)&lt;&gt;""),N(INDEX('Daily Sale entry '!$AC$1:$AC$1501,$J1355+1))-TRUNC(N(INDEX('Daily Sale entry '!$AC$1:$AC$1501,$J1355+1))),0),N(INDEX('Daily Sale entry '!$S$1:$S$1501,$J1355-1499))-'Opening Balance'!$B$15*(N(INDEX('Daily Sale entry '!$S$1:$S$1501,$J1355-1499))-TRUNC(N(INDEX('Daily Sale entry '!$S$1:$S$1501,$J1355-1499))))))</f>
        <v/>
      </c>
      <c r="G1355" s="6">
        <f>IF($J1355="","",IF($J1355&lt;=1500,N(INDEX('Daily Sale entry '!$AD$1:$AD$1501,$J1355+1)),0))</f>
        <v/>
      </c>
      <c r="H1355" s="6">
        <f>IF($J1355="","",ROUND('Opening Balance'!$B$4+SUM($F$2:F1355)-SUM($G$2:G1355),2))</f>
        <v/>
      </c>
      <c r="J1355" s="21">
        <f>IFERROR(MATCH(ROW()-1,$L$2:$L$3001,0),"")</f>
        <v/>
      </c>
      <c r="K1355" s="34">
        <f>IF(AND('Daily Sale entry '!X1355&lt;&gt;"",OR('Daily Sale entry '!AC1355&lt;&gt;"",'Daily Sale entry '!AD1355&lt;&gt;"")),'Daily Sale entry '!X1355+ROW()/10000000,"")</f>
        <v/>
      </c>
      <c r="L1355" s="21">
        <f>IF(K1355="","",COUNTIF($K$2:$K$3001,"&lt;"&amp;K1355)+1)</f>
        <v/>
      </c>
    </row>
    <row r="1356">
      <c r="A1356" s="5">
        <f>IF($J1356="","",IF($J1356&lt;=1500,INDEX('Daily Sale entry '!$X$1:$X$1501,$J1356+1),INDEX('Daily Sale entry '!$V$1:$V$1501,$J1356-1499)))</f>
        <v/>
      </c>
      <c r="B1356">
        <f>IF($J1356="","",IF($J1356&lt;=1500,INDEX('Daily Sale entry '!$Y$1:$Y$1501,$J1356+1)&amp;"","Buyer cheque banked 买家支票存入"&amp;IF(INDEX('Daily Sale entry '!$U$1:$U$1501,$J1356-1499)="","", " - "&amp;INDEX('Daily Sale entry '!$U$1:$U$1501,$J1356-1499))))</f>
        <v/>
      </c>
      <c r="C1356">
        <f>IF($J1356="","",IF($J1356&lt;=1500,INDEX('Daily Sale entry '!$Z$1:$Z$1501,$J1356+1)&amp;"","Cheque deposit 支票存入 (buyer 买家)"))</f>
        <v/>
      </c>
      <c r="D1356">
        <f>IF($J1356="","",IF($J1356&lt;=1500,INDEX('Daily Sale entry '!$AA$1:$AA$1501,$J1356+1)&amp;"",INDEX('Daily Sale entry '!$P$1:$P$1501,$J1356-1499)&amp;""))</f>
        <v/>
      </c>
      <c r="E1356">
        <f>IF($J1356="","",IF($J1356&lt;=1500,IF(N(INDEX('Daily Sale entry '!$AB$1:$AB$1501,$J1356+1))=0,"",INDEX('Daily Sale entry '!$AB$1:$AB$1501,$J1356+1)),1))</f>
        <v/>
      </c>
      <c r="F1356" s="6">
        <f>IF($J1356="","",IF($J1356&lt;=1500,N(INDEX('Daily Sale entry '!$AC$1:$AC$1501,$J1356+1))-IF(AND('Opening Balance'!$B$15=1,INDEX('Daily Sale entry '!$Z$1:$Z$1501,$J1356+1)="Online collection 网上收款",INDEX('Daily Sale entry '!$AA$1:$AA$1501,$J1356+1)&lt;&gt;""),N(INDEX('Daily Sale entry '!$AC$1:$AC$1501,$J1356+1))-TRUNC(N(INDEX('Daily Sale entry '!$AC$1:$AC$1501,$J1356+1))),0),N(INDEX('Daily Sale entry '!$S$1:$S$1501,$J1356-1499))-'Opening Balance'!$B$15*(N(INDEX('Daily Sale entry '!$S$1:$S$1501,$J1356-1499))-TRUNC(N(INDEX('Daily Sale entry '!$S$1:$S$1501,$J1356-1499))))))</f>
        <v/>
      </c>
      <c r="G1356" s="6">
        <f>IF($J1356="","",IF($J1356&lt;=1500,N(INDEX('Daily Sale entry '!$AD$1:$AD$1501,$J1356+1)),0))</f>
        <v/>
      </c>
      <c r="H1356" s="6">
        <f>IF($J1356="","",ROUND('Opening Balance'!$B$4+SUM($F$2:F1356)-SUM($G$2:G1356),2))</f>
        <v/>
      </c>
      <c r="J1356" s="21">
        <f>IFERROR(MATCH(ROW()-1,$L$2:$L$3001,0),"")</f>
        <v/>
      </c>
      <c r="K1356" s="34">
        <f>IF(AND('Daily Sale entry '!X1356&lt;&gt;"",OR('Daily Sale entry '!AC1356&lt;&gt;"",'Daily Sale entry '!AD1356&lt;&gt;"")),'Daily Sale entry '!X1356+ROW()/10000000,"")</f>
        <v/>
      </c>
      <c r="L1356" s="21">
        <f>IF(K1356="","",COUNTIF($K$2:$K$3001,"&lt;"&amp;K1356)+1)</f>
        <v/>
      </c>
    </row>
    <row r="1357">
      <c r="A1357" s="5">
        <f>IF($J1357="","",IF($J1357&lt;=1500,INDEX('Daily Sale entry '!$X$1:$X$1501,$J1357+1),INDEX('Daily Sale entry '!$V$1:$V$1501,$J1357-1499)))</f>
        <v/>
      </c>
      <c r="B1357">
        <f>IF($J1357="","",IF($J1357&lt;=1500,INDEX('Daily Sale entry '!$Y$1:$Y$1501,$J1357+1)&amp;"","Buyer cheque banked 买家支票存入"&amp;IF(INDEX('Daily Sale entry '!$U$1:$U$1501,$J1357-1499)="","", " - "&amp;INDEX('Daily Sale entry '!$U$1:$U$1501,$J1357-1499))))</f>
        <v/>
      </c>
      <c r="C1357">
        <f>IF($J1357="","",IF($J1357&lt;=1500,INDEX('Daily Sale entry '!$Z$1:$Z$1501,$J1357+1)&amp;"","Cheque deposit 支票存入 (buyer 买家)"))</f>
        <v/>
      </c>
      <c r="D1357">
        <f>IF($J1357="","",IF($J1357&lt;=1500,INDEX('Daily Sale entry '!$AA$1:$AA$1501,$J1357+1)&amp;"",INDEX('Daily Sale entry '!$P$1:$P$1501,$J1357-1499)&amp;""))</f>
        <v/>
      </c>
      <c r="E1357">
        <f>IF($J1357="","",IF($J1357&lt;=1500,IF(N(INDEX('Daily Sale entry '!$AB$1:$AB$1501,$J1357+1))=0,"",INDEX('Daily Sale entry '!$AB$1:$AB$1501,$J1357+1)),1))</f>
        <v/>
      </c>
      <c r="F1357" s="6">
        <f>IF($J1357="","",IF($J1357&lt;=1500,N(INDEX('Daily Sale entry '!$AC$1:$AC$1501,$J1357+1))-IF(AND('Opening Balance'!$B$15=1,INDEX('Daily Sale entry '!$Z$1:$Z$1501,$J1357+1)="Online collection 网上收款",INDEX('Daily Sale entry '!$AA$1:$AA$1501,$J1357+1)&lt;&gt;""),N(INDEX('Daily Sale entry '!$AC$1:$AC$1501,$J1357+1))-TRUNC(N(INDEX('Daily Sale entry '!$AC$1:$AC$1501,$J1357+1))),0),N(INDEX('Daily Sale entry '!$S$1:$S$1501,$J1357-1499))-'Opening Balance'!$B$15*(N(INDEX('Daily Sale entry '!$S$1:$S$1501,$J1357-1499))-TRUNC(N(INDEX('Daily Sale entry '!$S$1:$S$1501,$J1357-1499))))))</f>
        <v/>
      </c>
      <c r="G1357" s="6">
        <f>IF($J1357="","",IF($J1357&lt;=1500,N(INDEX('Daily Sale entry '!$AD$1:$AD$1501,$J1357+1)),0))</f>
        <v/>
      </c>
      <c r="H1357" s="6">
        <f>IF($J1357="","",ROUND('Opening Balance'!$B$4+SUM($F$2:F1357)-SUM($G$2:G1357),2))</f>
        <v/>
      </c>
      <c r="J1357" s="21">
        <f>IFERROR(MATCH(ROW()-1,$L$2:$L$3001,0),"")</f>
        <v/>
      </c>
      <c r="K1357" s="34">
        <f>IF(AND('Daily Sale entry '!X1357&lt;&gt;"",OR('Daily Sale entry '!AC1357&lt;&gt;"",'Daily Sale entry '!AD1357&lt;&gt;"")),'Daily Sale entry '!X1357+ROW()/10000000,"")</f>
        <v/>
      </c>
      <c r="L1357" s="21">
        <f>IF(K1357="","",COUNTIF($K$2:$K$3001,"&lt;"&amp;K1357)+1)</f>
        <v/>
      </c>
    </row>
    <row r="1358">
      <c r="A1358" s="5">
        <f>IF($J1358="","",IF($J1358&lt;=1500,INDEX('Daily Sale entry '!$X$1:$X$1501,$J1358+1),INDEX('Daily Sale entry '!$V$1:$V$1501,$J1358-1499)))</f>
        <v/>
      </c>
      <c r="B1358">
        <f>IF($J1358="","",IF($J1358&lt;=1500,INDEX('Daily Sale entry '!$Y$1:$Y$1501,$J1358+1)&amp;"","Buyer cheque banked 买家支票存入"&amp;IF(INDEX('Daily Sale entry '!$U$1:$U$1501,$J1358-1499)="","", " - "&amp;INDEX('Daily Sale entry '!$U$1:$U$1501,$J1358-1499))))</f>
        <v/>
      </c>
      <c r="C1358">
        <f>IF($J1358="","",IF($J1358&lt;=1500,INDEX('Daily Sale entry '!$Z$1:$Z$1501,$J1358+1)&amp;"","Cheque deposit 支票存入 (buyer 买家)"))</f>
        <v/>
      </c>
      <c r="D1358">
        <f>IF($J1358="","",IF($J1358&lt;=1500,INDEX('Daily Sale entry '!$AA$1:$AA$1501,$J1358+1)&amp;"",INDEX('Daily Sale entry '!$P$1:$P$1501,$J1358-1499)&amp;""))</f>
        <v/>
      </c>
      <c r="E1358">
        <f>IF($J1358="","",IF($J1358&lt;=1500,IF(N(INDEX('Daily Sale entry '!$AB$1:$AB$1501,$J1358+1))=0,"",INDEX('Daily Sale entry '!$AB$1:$AB$1501,$J1358+1)),1))</f>
        <v/>
      </c>
      <c r="F1358" s="6">
        <f>IF($J1358="","",IF($J1358&lt;=1500,N(INDEX('Daily Sale entry '!$AC$1:$AC$1501,$J1358+1))-IF(AND('Opening Balance'!$B$15=1,INDEX('Daily Sale entry '!$Z$1:$Z$1501,$J1358+1)="Online collection 网上收款",INDEX('Daily Sale entry '!$AA$1:$AA$1501,$J1358+1)&lt;&gt;""),N(INDEX('Daily Sale entry '!$AC$1:$AC$1501,$J1358+1))-TRUNC(N(INDEX('Daily Sale entry '!$AC$1:$AC$1501,$J1358+1))),0),N(INDEX('Daily Sale entry '!$S$1:$S$1501,$J1358-1499))-'Opening Balance'!$B$15*(N(INDEX('Daily Sale entry '!$S$1:$S$1501,$J1358-1499))-TRUNC(N(INDEX('Daily Sale entry '!$S$1:$S$1501,$J1358-1499))))))</f>
        <v/>
      </c>
      <c r="G1358" s="6">
        <f>IF($J1358="","",IF($J1358&lt;=1500,N(INDEX('Daily Sale entry '!$AD$1:$AD$1501,$J1358+1)),0))</f>
        <v/>
      </c>
      <c r="H1358" s="6">
        <f>IF($J1358="","",ROUND('Opening Balance'!$B$4+SUM($F$2:F1358)-SUM($G$2:G1358),2))</f>
        <v/>
      </c>
      <c r="J1358" s="21">
        <f>IFERROR(MATCH(ROW()-1,$L$2:$L$3001,0),"")</f>
        <v/>
      </c>
      <c r="K1358" s="34">
        <f>IF(AND('Daily Sale entry '!X1358&lt;&gt;"",OR('Daily Sale entry '!AC1358&lt;&gt;"",'Daily Sale entry '!AD1358&lt;&gt;"")),'Daily Sale entry '!X1358+ROW()/10000000,"")</f>
        <v/>
      </c>
      <c r="L1358" s="21">
        <f>IF(K1358="","",COUNTIF($K$2:$K$3001,"&lt;"&amp;K1358)+1)</f>
        <v/>
      </c>
    </row>
    <row r="1359">
      <c r="A1359" s="5">
        <f>IF($J1359="","",IF($J1359&lt;=1500,INDEX('Daily Sale entry '!$X$1:$X$1501,$J1359+1),INDEX('Daily Sale entry '!$V$1:$V$1501,$J1359-1499)))</f>
        <v/>
      </c>
      <c r="B1359">
        <f>IF($J1359="","",IF($J1359&lt;=1500,INDEX('Daily Sale entry '!$Y$1:$Y$1501,$J1359+1)&amp;"","Buyer cheque banked 买家支票存入"&amp;IF(INDEX('Daily Sale entry '!$U$1:$U$1501,$J1359-1499)="","", " - "&amp;INDEX('Daily Sale entry '!$U$1:$U$1501,$J1359-1499))))</f>
        <v/>
      </c>
      <c r="C1359">
        <f>IF($J1359="","",IF($J1359&lt;=1500,INDEX('Daily Sale entry '!$Z$1:$Z$1501,$J1359+1)&amp;"","Cheque deposit 支票存入 (buyer 买家)"))</f>
        <v/>
      </c>
      <c r="D1359">
        <f>IF($J1359="","",IF($J1359&lt;=1500,INDEX('Daily Sale entry '!$AA$1:$AA$1501,$J1359+1)&amp;"",INDEX('Daily Sale entry '!$P$1:$P$1501,$J1359-1499)&amp;""))</f>
        <v/>
      </c>
      <c r="E1359">
        <f>IF($J1359="","",IF($J1359&lt;=1500,IF(N(INDEX('Daily Sale entry '!$AB$1:$AB$1501,$J1359+1))=0,"",INDEX('Daily Sale entry '!$AB$1:$AB$1501,$J1359+1)),1))</f>
        <v/>
      </c>
      <c r="F1359" s="6">
        <f>IF($J1359="","",IF($J1359&lt;=1500,N(INDEX('Daily Sale entry '!$AC$1:$AC$1501,$J1359+1))-IF(AND('Opening Balance'!$B$15=1,INDEX('Daily Sale entry '!$Z$1:$Z$1501,$J1359+1)="Online collection 网上收款",INDEX('Daily Sale entry '!$AA$1:$AA$1501,$J1359+1)&lt;&gt;""),N(INDEX('Daily Sale entry '!$AC$1:$AC$1501,$J1359+1))-TRUNC(N(INDEX('Daily Sale entry '!$AC$1:$AC$1501,$J1359+1))),0),N(INDEX('Daily Sale entry '!$S$1:$S$1501,$J1359-1499))-'Opening Balance'!$B$15*(N(INDEX('Daily Sale entry '!$S$1:$S$1501,$J1359-1499))-TRUNC(N(INDEX('Daily Sale entry '!$S$1:$S$1501,$J1359-1499))))))</f>
        <v/>
      </c>
      <c r="G1359" s="6">
        <f>IF($J1359="","",IF($J1359&lt;=1500,N(INDEX('Daily Sale entry '!$AD$1:$AD$1501,$J1359+1)),0))</f>
        <v/>
      </c>
      <c r="H1359" s="6">
        <f>IF($J1359="","",ROUND('Opening Balance'!$B$4+SUM($F$2:F1359)-SUM($G$2:G1359),2))</f>
        <v/>
      </c>
      <c r="J1359" s="21">
        <f>IFERROR(MATCH(ROW()-1,$L$2:$L$3001,0),"")</f>
        <v/>
      </c>
      <c r="K1359" s="34">
        <f>IF(AND('Daily Sale entry '!X1359&lt;&gt;"",OR('Daily Sale entry '!AC1359&lt;&gt;"",'Daily Sale entry '!AD1359&lt;&gt;"")),'Daily Sale entry '!X1359+ROW()/10000000,"")</f>
        <v/>
      </c>
      <c r="L1359" s="21">
        <f>IF(K1359="","",COUNTIF($K$2:$K$3001,"&lt;"&amp;K1359)+1)</f>
        <v/>
      </c>
    </row>
    <row r="1360">
      <c r="A1360" s="5">
        <f>IF($J1360="","",IF($J1360&lt;=1500,INDEX('Daily Sale entry '!$X$1:$X$1501,$J1360+1),INDEX('Daily Sale entry '!$V$1:$V$1501,$J1360-1499)))</f>
        <v/>
      </c>
      <c r="B1360">
        <f>IF($J1360="","",IF($J1360&lt;=1500,INDEX('Daily Sale entry '!$Y$1:$Y$1501,$J1360+1)&amp;"","Buyer cheque banked 买家支票存入"&amp;IF(INDEX('Daily Sale entry '!$U$1:$U$1501,$J1360-1499)="","", " - "&amp;INDEX('Daily Sale entry '!$U$1:$U$1501,$J1360-1499))))</f>
        <v/>
      </c>
      <c r="C1360">
        <f>IF($J1360="","",IF($J1360&lt;=1500,INDEX('Daily Sale entry '!$Z$1:$Z$1501,$J1360+1)&amp;"","Cheque deposit 支票存入 (buyer 买家)"))</f>
        <v/>
      </c>
      <c r="D1360">
        <f>IF($J1360="","",IF($J1360&lt;=1500,INDEX('Daily Sale entry '!$AA$1:$AA$1501,$J1360+1)&amp;"",INDEX('Daily Sale entry '!$P$1:$P$1501,$J1360-1499)&amp;""))</f>
        <v/>
      </c>
      <c r="E1360">
        <f>IF($J1360="","",IF($J1360&lt;=1500,IF(N(INDEX('Daily Sale entry '!$AB$1:$AB$1501,$J1360+1))=0,"",INDEX('Daily Sale entry '!$AB$1:$AB$1501,$J1360+1)),1))</f>
        <v/>
      </c>
      <c r="F1360" s="6">
        <f>IF($J1360="","",IF($J1360&lt;=1500,N(INDEX('Daily Sale entry '!$AC$1:$AC$1501,$J1360+1))-IF(AND('Opening Balance'!$B$15=1,INDEX('Daily Sale entry '!$Z$1:$Z$1501,$J1360+1)="Online collection 网上收款",INDEX('Daily Sale entry '!$AA$1:$AA$1501,$J1360+1)&lt;&gt;""),N(INDEX('Daily Sale entry '!$AC$1:$AC$1501,$J1360+1))-TRUNC(N(INDEX('Daily Sale entry '!$AC$1:$AC$1501,$J1360+1))),0),N(INDEX('Daily Sale entry '!$S$1:$S$1501,$J1360-1499))-'Opening Balance'!$B$15*(N(INDEX('Daily Sale entry '!$S$1:$S$1501,$J1360-1499))-TRUNC(N(INDEX('Daily Sale entry '!$S$1:$S$1501,$J1360-1499))))))</f>
        <v/>
      </c>
      <c r="G1360" s="6">
        <f>IF($J1360="","",IF($J1360&lt;=1500,N(INDEX('Daily Sale entry '!$AD$1:$AD$1501,$J1360+1)),0))</f>
        <v/>
      </c>
      <c r="H1360" s="6">
        <f>IF($J1360="","",ROUND('Opening Balance'!$B$4+SUM($F$2:F1360)-SUM($G$2:G1360),2))</f>
        <v/>
      </c>
      <c r="J1360" s="21">
        <f>IFERROR(MATCH(ROW()-1,$L$2:$L$3001,0),"")</f>
        <v/>
      </c>
      <c r="K1360" s="34">
        <f>IF(AND('Daily Sale entry '!X1360&lt;&gt;"",OR('Daily Sale entry '!AC1360&lt;&gt;"",'Daily Sale entry '!AD1360&lt;&gt;"")),'Daily Sale entry '!X1360+ROW()/10000000,"")</f>
        <v/>
      </c>
      <c r="L1360" s="21">
        <f>IF(K1360="","",COUNTIF($K$2:$K$3001,"&lt;"&amp;K1360)+1)</f>
        <v/>
      </c>
    </row>
    <row r="1361">
      <c r="A1361" s="5">
        <f>IF($J1361="","",IF($J1361&lt;=1500,INDEX('Daily Sale entry '!$X$1:$X$1501,$J1361+1),INDEX('Daily Sale entry '!$V$1:$V$1501,$J1361-1499)))</f>
        <v/>
      </c>
      <c r="B1361">
        <f>IF($J1361="","",IF($J1361&lt;=1500,INDEX('Daily Sale entry '!$Y$1:$Y$1501,$J1361+1)&amp;"","Buyer cheque banked 买家支票存入"&amp;IF(INDEX('Daily Sale entry '!$U$1:$U$1501,$J1361-1499)="","", " - "&amp;INDEX('Daily Sale entry '!$U$1:$U$1501,$J1361-1499))))</f>
        <v/>
      </c>
      <c r="C1361">
        <f>IF($J1361="","",IF($J1361&lt;=1500,INDEX('Daily Sale entry '!$Z$1:$Z$1501,$J1361+1)&amp;"","Cheque deposit 支票存入 (buyer 买家)"))</f>
        <v/>
      </c>
      <c r="D1361">
        <f>IF($J1361="","",IF($J1361&lt;=1500,INDEX('Daily Sale entry '!$AA$1:$AA$1501,$J1361+1)&amp;"",INDEX('Daily Sale entry '!$P$1:$P$1501,$J1361-1499)&amp;""))</f>
        <v/>
      </c>
      <c r="E1361">
        <f>IF($J1361="","",IF($J1361&lt;=1500,IF(N(INDEX('Daily Sale entry '!$AB$1:$AB$1501,$J1361+1))=0,"",INDEX('Daily Sale entry '!$AB$1:$AB$1501,$J1361+1)),1))</f>
        <v/>
      </c>
      <c r="F1361" s="6">
        <f>IF($J1361="","",IF($J1361&lt;=1500,N(INDEX('Daily Sale entry '!$AC$1:$AC$1501,$J1361+1))-IF(AND('Opening Balance'!$B$15=1,INDEX('Daily Sale entry '!$Z$1:$Z$1501,$J1361+1)="Online collection 网上收款",INDEX('Daily Sale entry '!$AA$1:$AA$1501,$J1361+1)&lt;&gt;""),N(INDEX('Daily Sale entry '!$AC$1:$AC$1501,$J1361+1))-TRUNC(N(INDEX('Daily Sale entry '!$AC$1:$AC$1501,$J1361+1))),0),N(INDEX('Daily Sale entry '!$S$1:$S$1501,$J1361-1499))-'Opening Balance'!$B$15*(N(INDEX('Daily Sale entry '!$S$1:$S$1501,$J1361-1499))-TRUNC(N(INDEX('Daily Sale entry '!$S$1:$S$1501,$J1361-1499))))))</f>
        <v/>
      </c>
      <c r="G1361" s="6">
        <f>IF($J1361="","",IF($J1361&lt;=1500,N(INDEX('Daily Sale entry '!$AD$1:$AD$1501,$J1361+1)),0))</f>
        <v/>
      </c>
      <c r="H1361" s="6">
        <f>IF($J1361="","",ROUND('Opening Balance'!$B$4+SUM($F$2:F1361)-SUM($G$2:G1361),2))</f>
        <v/>
      </c>
      <c r="J1361" s="21">
        <f>IFERROR(MATCH(ROW()-1,$L$2:$L$3001,0),"")</f>
        <v/>
      </c>
      <c r="K1361" s="34">
        <f>IF(AND('Daily Sale entry '!X1361&lt;&gt;"",OR('Daily Sale entry '!AC1361&lt;&gt;"",'Daily Sale entry '!AD1361&lt;&gt;"")),'Daily Sale entry '!X1361+ROW()/10000000,"")</f>
        <v/>
      </c>
      <c r="L1361" s="21">
        <f>IF(K1361="","",COUNTIF($K$2:$K$3001,"&lt;"&amp;K1361)+1)</f>
        <v/>
      </c>
    </row>
    <row r="1362">
      <c r="A1362" s="5">
        <f>IF($J1362="","",IF($J1362&lt;=1500,INDEX('Daily Sale entry '!$X$1:$X$1501,$J1362+1),INDEX('Daily Sale entry '!$V$1:$V$1501,$J1362-1499)))</f>
        <v/>
      </c>
      <c r="B1362">
        <f>IF($J1362="","",IF($J1362&lt;=1500,INDEX('Daily Sale entry '!$Y$1:$Y$1501,$J1362+1)&amp;"","Buyer cheque banked 买家支票存入"&amp;IF(INDEX('Daily Sale entry '!$U$1:$U$1501,$J1362-1499)="","", " - "&amp;INDEX('Daily Sale entry '!$U$1:$U$1501,$J1362-1499))))</f>
        <v/>
      </c>
      <c r="C1362">
        <f>IF($J1362="","",IF($J1362&lt;=1500,INDEX('Daily Sale entry '!$Z$1:$Z$1501,$J1362+1)&amp;"","Cheque deposit 支票存入 (buyer 买家)"))</f>
        <v/>
      </c>
      <c r="D1362">
        <f>IF($J1362="","",IF($J1362&lt;=1500,INDEX('Daily Sale entry '!$AA$1:$AA$1501,$J1362+1)&amp;"",INDEX('Daily Sale entry '!$P$1:$P$1501,$J1362-1499)&amp;""))</f>
        <v/>
      </c>
      <c r="E1362">
        <f>IF($J1362="","",IF($J1362&lt;=1500,IF(N(INDEX('Daily Sale entry '!$AB$1:$AB$1501,$J1362+1))=0,"",INDEX('Daily Sale entry '!$AB$1:$AB$1501,$J1362+1)),1))</f>
        <v/>
      </c>
      <c r="F1362" s="6">
        <f>IF($J1362="","",IF($J1362&lt;=1500,N(INDEX('Daily Sale entry '!$AC$1:$AC$1501,$J1362+1))-IF(AND('Opening Balance'!$B$15=1,INDEX('Daily Sale entry '!$Z$1:$Z$1501,$J1362+1)="Online collection 网上收款",INDEX('Daily Sale entry '!$AA$1:$AA$1501,$J1362+1)&lt;&gt;""),N(INDEX('Daily Sale entry '!$AC$1:$AC$1501,$J1362+1))-TRUNC(N(INDEX('Daily Sale entry '!$AC$1:$AC$1501,$J1362+1))),0),N(INDEX('Daily Sale entry '!$S$1:$S$1501,$J1362-1499))-'Opening Balance'!$B$15*(N(INDEX('Daily Sale entry '!$S$1:$S$1501,$J1362-1499))-TRUNC(N(INDEX('Daily Sale entry '!$S$1:$S$1501,$J1362-1499))))))</f>
        <v/>
      </c>
      <c r="G1362" s="6">
        <f>IF($J1362="","",IF($J1362&lt;=1500,N(INDEX('Daily Sale entry '!$AD$1:$AD$1501,$J1362+1)),0))</f>
        <v/>
      </c>
      <c r="H1362" s="6">
        <f>IF($J1362="","",ROUND('Opening Balance'!$B$4+SUM($F$2:F1362)-SUM($G$2:G1362),2))</f>
        <v/>
      </c>
      <c r="J1362" s="21">
        <f>IFERROR(MATCH(ROW()-1,$L$2:$L$3001,0),"")</f>
        <v/>
      </c>
      <c r="K1362" s="34">
        <f>IF(AND('Daily Sale entry '!X1362&lt;&gt;"",OR('Daily Sale entry '!AC1362&lt;&gt;"",'Daily Sale entry '!AD1362&lt;&gt;"")),'Daily Sale entry '!X1362+ROW()/10000000,"")</f>
        <v/>
      </c>
      <c r="L1362" s="21">
        <f>IF(K1362="","",COUNTIF($K$2:$K$3001,"&lt;"&amp;K1362)+1)</f>
        <v/>
      </c>
    </row>
    <row r="1363">
      <c r="A1363" s="5">
        <f>IF($J1363="","",IF($J1363&lt;=1500,INDEX('Daily Sale entry '!$X$1:$X$1501,$J1363+1),INDEX('Daily Sale entry '!$V$1:$V$1501,$J1363-1499)))</f>
        <v/>
      </c>
      <c r="B1363">
        <f>IF($J1363="","",IF($J1363&lt;=1500,INDEX('Daily Sale entry '!$Y$1:$Y$1501,$J1363+1)&amp;"","Buyer cheque banked 买家支票存入"&amp;IF(INDEX('Daily Sale entry '!$U$1:$U$1501,$J1363-1499)="","", " - "&amp;INDEX('Daily Sale entry '!$U$1:$U$1501,$J1363-1499))))</f>
        <v/>
      </c>
      <c r="C1363">
        <f>IF($J1363="","",IF($J1363&lt;=1500,INDEX('Daily Sale entry '!$Z$1:$Z$1501,$J1363+1)&amp;"","Cheque deposit 支票存入 (buyer 买家)"))</f>
        <v/>
      </c>
      <c r="D1363">
        <f>IF($J1363="","",IF($J1363&lt;=1500,INDEX('Daily Sale entry '!$AA$1:$AA$1501,$J1363+1)&amp;"",INDEX('Daily Sale entry '!$P$1:$P$1501,$J1363-1499)&amp;""))</f>
        <v/>
      </c>
      <c r="E1363">
        <f>IF($J1363="","",IF($J1363&lt;=1500,IF(N(INDEX('Daily Sale entry '!$AB$1:$AB$1501,$J1363+1))=0,"",INDEX('Daily Sale entry '!$AB$1:$AB$1501,$J1363+1)),1))</f>
        <v/>
      </c>
      <c r="F1363" s="6">
        <f>IF($J1363="","",IF($J1363&lt;=1500,N(INDEX('Daily Sale entry '!$AC$1:$AC$1501,$J1363+1))-IF(AND('Opening Balance'!$B$15=1,INDEX('Daily Sale entry '!$Z$1:$Z$1501,$J1363+1)="Online collection 网上收款",INDEX('Daily Sale entry '!$AA$1:$AA$1501,$J1363+1)&lt;&gt;""),N(INDEX('Daily Sale entry '!$AC$1:$AC$1501,$J1363+1))-TRUNC(N(INDEX('Daily Sale entry '!$AC$1:$AC$1501,$J1363+1))),0),N(INDEX('Daily Sale entry '!$S$1:$S$1501,$J1363-1499))-'Opening Balance'!$B$15*(N(INDEX('Daily Sale entry '!$S$1:$S$1501,$J1363-1499))-TRUNC(N(INDEX('Daily Sale entry '!$S$1:$S$1501,$J1363-1499))))))</f>
        <v/>
      </c>
      <c r="G1363" s="6">
        <f>IF($J1363="","",IF($J1363&lt;=1500,N(INDEX('Daily Sale entry '!$AD$1:$AD$1501,$J1363+1)),0))</f>
        <v/>
      </c>
      <c r="H1363" s="6">
        <f>IF($J1363="","",ROUND('Opening Balance'!$B$4+SUM($F$2:F1363)-SUM($G$2:G1363),2))</f>
        <v/>
      </c>
      <c r="J1363" s="21">
        <f>IFERROR(MATCH(ROW()-1,$L$2:$L$3001,0),"")</f>
        <v/>
      </c>
      <c r="K1363" s="34">
        <f>IF(AND('Daily Sale entry '!X1363&lt;&gt;"",OR('Daily Sale entry '!AC1363&lt;&gt;"",'Daily Sale entry '!AD1363&lt;&gt;"")),'Daily Sale entry '!X1363+ROW()/10000000,"")</f>
        <v/>
      </c>
      <c r="L1363" s="21">
        <f>IF(K1363="","",COUNTIF($K$2:$K$3001,"&lt;"&amp;K1363)+1)</f>
        <v/>
      </c>
    </row>
    <row r="1364">
      <c r="A1364" s="5">
        <f>IF($J1364="","",IF($J1364&lt;=1500,INDEX('Daily Sale entry '!$X$1:$X$1501,$J1364+1),INDEX('Daily Sale entry '!$V$1:$V$1501,$J1364-1499)))</f>
        <v/>
      </c>
      <c r="B1364">
        <f>IF($J1364="","",IF($J1364&lt;=1500,INDEX('Daily Sale entry '!$Y$1:$Y$1501,$J1364+1)&amp;"","Buyer cheque banked 买家支票存入"&amp;IF(INDEX('Daily Sale entry '!$U$1:$U$1501,$J1364-1499)="","", " - "&amp;INDEX('Daily Sale entry '!$U$1:$U$1501,$J1364-1499))))</f>
        <v/>
      </c>
      <c r="C1364">
        <f>IF($J1364="","",IF($J1364&lt;=1500,INDEX('Daily Sale entry '!$Z$1:$Z$1501,$J1364+1)&amp;"","Cheque deposit 支票存入 (buyer 买家)"))</f>
        <v/>
      </c>
      <c r="D1364">
        <f>IF($J1364="","",IF($J1364&lt;=1500,INDEX('Daily Sale entry '!$AA$1:$AA$1501,$J1364+1)&amp;"",INDEX('Daily Sale entry '!$P$1:$P$1501,$J1364-1499)&amp;""))</f>
        <v/>
      </c>
      <c r="E1364">
        <f>IF($J1364="","",IF($J1364&lt;=1500,IF(N(INDEX('Daily Sale entry '!$AB$1:$AB$1501,$J1364+1))=0,"",INDEX('Daily Sale entry '!$AB$1:$AB$1501,$J1364+1)),1))</f>
        <v/>
      </c>
      <c r="F1364" s="6">
        <f>IF($J1364="","",IF($J1364&lt;=1500,N(INDEX('Daily Sale entry '!$AC$1:$AC$1501,$J1364+1))-IF(AND('Opening Balance'!$B$15=1,INDEX('Daily Sale entry '!$Z$1:$Z$1501,$J1364+1)="Online collection 网上收款",INDEX('Daily Sale entry '!$AA$1:$AA$1501,$J1364+1)&lt;&gt;""),N(INDEX('Daily Sale entry '!$AC$1:$AC$1501,$J1364+1))-TRUNC(N(INDEX('Daily Sale entry '!$AC$1:$AC$1501,$J1364+1))),0),N(INDEX('Daily Sale entry '!$S$1:$S$1501,$J1364-1499))-'Opening Balance'!$B$15*(N(INDEX('Daily Sale entry '!$S$1:$S$1501,$J1364-1499))-TRUNC(N(INDEX('Daily Sale entry '!$S$1:$S$1501,$J1364-1499))))))</f>
        <v/>
      </c>
      <c r="G1364" s="6">
        <f>IF($J1364="","",IF($J1364&lt;=1500,N(INDEX('Daily Sale entry '!$AD$1:$AD$1501,$J1364+1)),0))</f>
        <v/>
      </c>
      <c r="H1364" s="6">
        <f>IF($J1364="","",ROUND('Opening Balance'!$B$4+SUM($F$2:F1364)-SUM($G$2:G1364),2))</f>
        <v/>
      </c>
      <c r="J1364" s="21">
        <f>IFERROR(MATCH(ROW()-1,$L$2:$L$3001,0),"")</f>
        <v/>
      </c>
      <c r="K1364" s="34">
        <f>IF(AND('Daily Sale entry '!X1364&lt;&gt;"",OR('Daily Sale entry '!AC1364&lt;&gt;"",'Daily Sale entry '!AD1364&lt;&gt;"")),'Daily Sale entry '!X1364+ROW()/10000000,"")</f>
        <v/>
      </c>
      <c r="L1364" s="21">
        <f>IF(K1364="","",COUNTIF($K$2:$K$3001,"&lt;"&amp;K1364)+1)</f>
        <v/>
      </c>
    </row>
    <row r="1365">
      <c r="A1365" s="5">
        <f>IF($J1365="","",IF($J1365&lt;=1500,INDEX('Daily Sale entry '!$X$1:$X$1501,$J1365+1),INDEX('Daily Sale entry '!$V$1:$V$1501,$J1365-1499)))</f>
        <v/>
      </c>
      <c r="B1365">
        <f>IF($J1365="","",IF($J1365&lt;=1500,INDEX('Daily Sale entry '!$Y$1:$Y$1501,$J1365+1)&amp;"","Buyer cheque banked 买家支票存入"&amp;IF(INDEX('Daily Sale entry '!$U$1:$U$1501,$J1365-1499)="","", " - "&amp;INDEX('Daily Sale entry '!$U$1:$U$1501,$J1365-1499))))</f>
        <v/>
      </c>
      <c r="C1365">
        <f>IF($J1365="","",IF($J1365&lt;=1500,INDEX('Daily Sale entry '!$Z$1:$Z$1501,$J1365+1)&amp;"","Cheque deposit 支票存入 (buyer 买家)"))</f>
        <v/>
      </c>
      <c r="D1365">
        <f>IF($J1365="","",IF($J1365&lt;=1500,INDEX('Daily Sale entry '!$AA$1:$AA$1501,$J1365+1)&amp;"",INDEX('Daily Sale entry '!$P$1:$P$1501,$J1365-1499)&amp;""))</f>
        <v/>
      </c>
      <c r="E1365">
        <f>IF($J1365="","",IF($J1365&lt;=1500,IF(N(INDEX('Daily Sale entry '!$AB$1:$AB$1501,$J1365+1))=0,"",INDEX('Daily Sale entry '!$AB$1:$AB$1501,$J1365+1)),1))</f>
        <v/>
      </c>
      <c r="F1365" s="6">
        <f>IF($J1365="","",IF($J1365&lt;=1500,N(INDEX('Daily Sale entry '!$AC$1:$AC$1501,$J1365+1))-IF(AND('Opening Balance'!$B$15=1,INDEX('Daily Sale entry '!$Z$1:$Z$1501,$J1365+1)="Online collection 网上收款",INDEX('Daily Sale entry '!$AA$1:$AA$1501,$J1365+1)&lt;&gt;""),N(INDEX('Daily Sale entry '!$AC$1:$AC$1501,$J1365+1))-TRUNC(N(INDEX('Daily Sale entry '!$AC$1:$AC$1501,$J1365+1))),0),N(INDEX('Daily Sale entry '!$S$1:$S$1501,$J1365-1499))-'Opening Balance'!$B$15*(N(INDEX('Daily Sale entry '!$S$1:$S$1501,$J1365-1499))-TRUNC(N(INDEX('Daily Sale entry '!$S$1:$S$1501,$J1365-1499))))))</f>
        <v/>
      </c>
      <c r="G1365" s="6">
        <f>IF($J1365="","",IF($J1365&lt;=1500,N(INDEX('Daily Sale entry '!$AD$1:$AD$1501,$J1365+1)),0))</f>
        <v/>
      </c>
      <c r="H1365" s="6">
        <f>IF($J1365="","",ROUND('Opening Balance'!$B$4+SUM($F$2:F1365)-SUM($G$2:G1365),2))</f>
        <v/>
      </c>
      <c r="J1365" s="21">
        <f>IFERROR(MATCH(ROW()-1,$L$2:$L$3001,0),"")</f>
        <v/>
      </c>
      <c r="K1365" s="34">
        <f>IF(AND('Daily Sale entry '!X1365&lt;&gt;"",OR('Daily Sale entry '!AC1365&lt;&gt;"",'Daily Sale entry '!AD1365&lt;&gt;"")),'Daily Sale entry '!X1365+ROW()/10000000,"")</f>
        <v/>
      </c>
      <c r="L1365" s="21">
        <f>IF(K1365="","",COUNTIF($K$2:$K$3001,"&lt;"&amp;K1365)+1)</f>
        <v/>
      </c>
    </row>
    <row r="1366">
      <c r="A1366" s="5">
        <f>IF($J1366="","",IF($J1366&lt;=1500,INDEX('Daily Sale entry '!$X$1:$X$1501,$J1366+1),INDEX('Daily Sale entry '!$V$1:$V$1501,$J1366-1499)))</f>
        <v/>
      </c>
      <c r="B1366">
        <f>IF($J1366="","",IF($J1366&lt;=1500,INDEX('Daily Sale entry '!$Y$1:$Y$1501,$J1366+1)&amp;"","Buyer cheque banked 买家支票存入"&amp;IF(INDEX('Daily Sale entry '!$U$1:$U$1501,$J1366-1499)="","", " - "&amp;INDEX('Daily Sale entry '!$U$1:$U$1501,$J1366-1499))))</f>
        <v/>
      </c>
      <c r="C1366">
        <f>IF($J1366="","",IF($J1366&lt;=1500,INDEX('Daily Sale entry '!$Z$1:$Z$1501,$J1366+1)&amp;"","Cheque deposit 支票存入 (buyer 买家)"))</f>
        <v/>
      </c>
      <c r="D1366">
        <f>IF($J1366="","",IF($J1366&lt;=1500,INDEX('Daily Sale entry '!$AA$1:$AA$1501,$J1366+1)&amp;"",INDEX('Daily Sale entry '!$P$1:$P$1501,$J1366-1499)&amp;""))</f>
        <v/>
      </c>
      <c r="E1366">
        <f>IF($J1366="","",IF($J1366&lt;=1500,IF(N(INDEX('Daily Sale entry '!$AB$1:$AB$1501,$J1366+1))=0,"",INDEX('Daily Sale entry '!$AB$1:$AB$1501,$J1366+1)),1))</f>
        <v/>
      </c>
      <c r="F1366" s="6">
        <f>IF($J1366="","",IF($J1366&lt;=1500,N(INDEX('Daily Sale entry '!$AC$1:$AC$1501,$J1366+1))-IF(AND('Opening Balance'!$B$15=1,INDEX('Daily Sale entry '!$Z$1:$Z$1501,$J1366+1)="Online collection 网上收款",INDEX('Daily Sale entry '!$AA$1:$AA$1501,$J1366+1)&lt;&gt;""),N(INDEX('Daily Sale entry '!$AC$1:$AC$1501,$J1366+1))-TRUNC(N(INDEX('Daily Sale entry '!$AC$1:$AC$1501,$J1366+1))),0),N(INDEX('Daily Sale entry '!$S$1:$S$1501,$J1366-1499))-'Opening Balance'!$B$15*(N(INDEX('Daily Sale entry '!$S$1:$S$1501,$J1366-1499))-TRUNC(N(INDEX('Daily Sale entry '!$S$1:$S$1501,$J1366-1499))))))</f>
        <v/>
      </c>
      <c r="G1366" s="6">
        <f>IF($J1366="","",IF($J1366&lt;=1500,N(INDEX('Daily Sale entry '!$AD$1:$AD$1501,$J1366+1)),0))</f>
        <v/>
      </c>
      <c r="H1366" s="6">
        <f>IF($J1366="","",ROUND('Opening Balance'!$B$4+SUM($F$2:F1366)-SUM($G$2:G1366),2))</f>
        <v/>
      </c>
      <c r="J1366" s="21">
        <f>IFERROR(MATCH(ROW()-1,$L$2:$L$3001,0),"")</f>
        <v/>
      </c>
      <c r="K1366" s="34">
        <f>IF(AND('Daily Sale entry '!X1366&lt;&gt;"",OR('Daily Sale entry '!AC1366&lt;&gt;"",'Daily Sale entry '!AD1366&lt;&gt;"")),'Daily Sale entry '!X1366+ROW()/10000000,"")</f>
        <v/>
      </c>
      <c r="L1366" s="21">
        <f>IF(K1366="","",COUNTIF($K$2:$K$3001,"&lt;"&amp;K1366)+1)</f>
        <v/>
      </c>
    </row>
    <row r="1367">
      <c r="A1367" s="5">
        <f>IF($J1367="","",IF($J1367&lt;=1500,INDEX('Daily Sale entry '!$X$1:$X$1501,$J1367+1),INDEX('Daily Sale entry '!$V$1:$V$1501,$J1367-1499)))</f>
        <v/>
      </c>
      <c r="B1367">
        <f>IF($J1367="","",IF($J1367&lt;=1500,INDEX('Daily Sale entry '!$Y$1:$Y$1501,$J1367+1)&amp;"","Buyer cheque banked 买家支票存入"&amp;IF(INDEX('Daily Sale entry '!$U$1:$U$1501,$J1367-1499)="","", " - "&amp;INDEX('Daily Sale entry '!$U$1:$U$1501,$J1367-1499))))</f>
        <v/>
      </c>
      <c r="C1367">
        <f>IF($J1367="","",IF($J1367&lt;=1500,INDEX('Daily Sale entry '!$Z$1:$Z$1501,$J1367+1)&amp;"","Cheque deposit 支票存入 (buyer 买家)"))</f>
        <v/>
      </c>
      <c r="D1367">
        <f>IF($J1367="","",IF($J1367&lt;=1500,INDEX('Daily Sale entry '!$AA$1:$AA$1501,$J1367+1)&amp;"",INDEX('Daily Sale entry '!$P$1:$P$1501,$J1367-1499)&amp;""))</f>
        <v/>
      </c>
      <c r="E1367">
        <f>IF($J1367="","",IF($J1367&lt;=1500,IF(N(INDEX('Daily Sale entry '!$AB$1:$AB$1501,$J1367+1))=0,"",INDEX('Daily Sale entry '!$AB$1:$AB$1501,$J1367+1)),1))</f>
        <v/>
      </c>
      <c r="F1367" s="6">
        <f>IF($J1367="","",IF($J1367&lt;=1500,N(INDEX('Daily Sale entry '!$AC$1:$AC$1501,$J1367+1))-IF(AND('Opening Balance'!$B$15=1,INDEX('Daily Sale entry '!$Z$1:$Z$1501,$J1367+1)="Online collection 网上收款",INDEX('Daily Sale entry '!$AA$1:$AA$1501,$J1367+1)&lt;&gt;""),N(INDEX('Daily Sale entry '!$AC$1:$AC$1501,$J1367+1))-TRUNC(N(INDEX('Daily Sale entry '!$AC$1:$AC$1501,$J1367+1))),0),N(INDEX('Daily Sale entry '!$S$1:$S$1501,$J1367-1499))-'Opening Balance'!$B$15*(N(INDEX('Daily Sale entry '!$S$1:$S$1501,$J1367-1499))-TRUNC(N(INDEX('Daily Sale entry '!$S$1:$S$1501,$J1367-1499))))))</f>
        <v/>
      </c>
      <c r="G1367" s="6">
        <f>IF($J1367="","",IF($J1367&lt;=1500,N(INDEX('Daily Sale entry '!$AD$1:$AD$1501,$J1367+1)),0))</f>
        <v/>
      </c>
      <c r="H1367" s="6">
        <f>IF($J1367="","",ROUND('Opening Balance'!$B$4+SUM($F$2:F1367)-SUM($G$2:G1367),2))</f>
        <v/>
      </c>
      <c r="J1367" s="21">
        <f>IFERROR(MATCH(ROW()-1,$L$2:$L$3001,0),"")</f>
        <v/>
      </c>
      <c r="K1367" s="34">
        <f>IF(AND('Daily Sale entry '!X1367&lt;&gt;"",OR('Daily Sale entry '!AC1367&lt;&gt;"",'Daily Sale entry '!AD1367&lt;&gt;"")),'Daily Sale entry '!X1367+ROW()/10000000,"")</f>
        <v/>
      </c>
      <c r="L1367" s="21">
        <f>IF(K1367="","",COUNTIF($K$2:$K$3001,"&lt;"&amp;K1367)+1)</f>
        <v/>
      </c>
    </row>
    <row r="1368">
      <c r="A1368" s="5">
        <f>IF($J1368="","",IF($J1368&lt;=1500,INDEX('Daily Sale entry '!$X$1:$X$1501,$J1368+1),INDEX('Daily Sale entry '!$V$1:$V$1501,$J1368-1499)))</f>
        <v/>
      </c>
      <c r="B1368">
        <f>IF($J1368="","",IF($J1368&lt;=1500,INDEX('Daily Sale entry '!$Y$1:$Y$1501,$J1368+1)&amp;"","Buyer cheque banked 买家支票存入"&amp;IF(INDEX('Daily Sale entry '!$U$1:$U$1501,$J1368-1499)="","", " - "&amp;INDEX('Daily Sale entry '!$U$1:$U$1501,$J1368-1499))))</f>
        <v/>
      </c>
      <c r="C1368">
        <f>IF($J1368="","",IF($J1368&lt;=1500,INDEX('Daily Sale entry '!$Z$1:$Z$1501,$J1368+1)&amp;"","Cheque deposit 支票存入 (buyer 买家)"))</f>
        <v/>
      </c>
      <c r="D1368">
        <f>IF($J1368="","",IF($J1368&lt;=1500,INDEX('Daily Sale entry '!$AA$1:$AA$1501,$J1368+1)&amp;"",INDEX('Daily Sale entry '!$P$1:$P$1501,$J1368-1499)&amp;""))</f>
        <v/>
      </c>
      <c r="E1368">
        <f>IF($J1368="","",IF($J1368&lt;=1500,IF(N(INDEX('Daily Sale entry '!$AB$1:$AB$1501,$J1368+1))=0,"",INDEX('Daily Sale entry '!$AB$1:$AB$1501,$J1368+1)),1))</f>
        <v/>
      </c>
      <c r="F1368" s="6">
        <f>IF($J1368="","",IF($J1368&lt;=1500,N(INDEX('Daily Sale entry '!$AC$1:$AC$1501,$J1368+1))-IF(AND('Opening Balance'!$B$15=1,INDEX('Daily Sale entry '!$Z$1:$Z$1501,$J1368+1)="Online collection 网上收款",INDEX('Daily Sale entry '!$AA$1:$AA$1501,$J1368+1)&lt;&gt;""),N(INDEX('Daily Sale entry '!$AC$1:$AC$1501,$J1368+1))-TRUNC(N(INDEX('Daily Sale entry '!$AC$1:$AC$1501,$J1368+1))),0),N(INDEX('Daily Sale entry '!$S$1:$S$1501,$J1368-1499))-'Opening Balance'!$B$15*(N(INDEX('Daily Sale entry '!$S$1:$S$1501,$J1368-1499))-TRUNC(N(INDEX('Daily Sale entry '!$S$1:$S$1501,$J1368-1499))))))</f>
        <v/>
      </c>
      <c r="G1368" s="6">
        <f>IF($J1368="","",IF($J1368&lt;=1500,N(INDEX('Daily Sale entry '!$AD$1:$AD$1501,$J1368+1)),0))</f>
        <v/>
      </c>
      <c r="H1368" s="6">
        <f>IF($J1368="","",ROUND('Opening Balance'!$B$4+SUM($F$2:F1368)-SUM($G$2:G1368),2))</f>
        <v/>
      </c>
      <c r="J1368" s="21">
        <f>IFERROR(MATCH(ROW()-1,$L$2:$L$3001,0),"")</f>
        <v/>
      </c>
      <c r="K1368" s="34">
        <f>IF(AND('Daily Sale entry '!X1368&lt;&gt;"",OR('Daily Sale entry '!AC1368&lt;&gt;"",'Daily Sale entry '!AD1368&lt;&gt;"")),'Daily Sale entry '!X1368+ROW()/10000000,"")</f>
        <v/>
      </c>
      <c r="L1368" s="21">
        <f>IF(K1368="","",COUNTIF($K$2:$K$3001,"&lt;"&amp;K1368)+1)</f>
        <v/>
      </c>
    </row>
    <row r="1369">
      <c r="A1369" s="5">
        <f>IF($J1369="","",IF($J1369&lt;=1500,INDEX('Daily Sale entry '!$X$1:$X$1501,$J1369+1),INDEX('Daily Sale entry '!$V$1:$V$1501,$J1369-1499)))</f>
        <v/>
      </c>
      <c r="B1369">
        <f>IF($J1369="","",IF($J1369&lt;=1500,INDEX('Daily Sale entry '!$Y$1:$Y$1501,$J1369+1)&amp;"","Buyer cheque banked 买家支票存入"&amp;IF(INDEX('Daily Sale entry '!$U$1:$U$1501,$J1369-1499)="","", " - "&amp;INDEX('Daily Sale entry '!$U$1:$U$1501,$J1369-1499))))</f>
        <v/>
      </c>
      <c r="C1369">
        <f>IF($J1369="","",IF($J1369&lt;=1500,INDEX('Daily Sale entry '!$Z$1:$Z$1501,$J1369+1)&amp;"","Cheque deposit 支票存入 (buyer 买家)"))</f>
        <v/>
      </c>
      <c r="D1369">
        <f>IF($J1369="","",IF($J1369&lt;=1500,INDEX('Daily Sale entry '!$AA$1:$AA$1501,$J1369+1)&amp;"",INDEX('Daily Sale entry '!$P$1:$P$1501,$J1369-1499)&amp;""))</f>
        <v/>
      </c>
      <c r="E1369">
        <f>IF($J1369="","",IF($J1369&lt;=1500,IF(N(INDEX('Daily Sale entry '!$AB$1:$AB$1501,$J1369+1))=0,"",INDEX('Daily Sale entry '!$AB$1:$AB$1501,$J1369+1)),1))</f>
        <v/>
      </c>
      <c r="F1369" s="6">
        <f>IF($J1369="","",IF($J1369&lt;=1500,N(INDEX('Daily Sale entry '!$AC$1:$AC$1501,$J1369+1))-IF(AND('Opening Balance'!$B$15=1,INDEX('Daily Sale entry '!$Z$1:$Z$1501,$J1369+1)="Online collection 网上收款",INDEX('Daily Sale entry '!$AA$1:$AA$1501,$J1369+1)&lt;&gt;""),N(INDEX('Daily Sale entry '!$AC$1:$AC$1501,$J1369+1))-TRUNC(N(INDEX('Daily Sale entry '!$AC$1:$AC$1501,$J1369+1))),0),N(INDEX('Daily Sale entry '!$S$1:$S$1501,$J1369-1499))-'Opening Balance'!$B$15*(N(INDEX('Daily Sale entry '!$S$1:$S$1501,$J1369-1499))-TRUNC(N(INDEX('Daily Sale entry '!$S$1:$S$1501,$J1369-1499))))))</f>
        <v/>
      </c>
      <c r="G1369" s="6">
        <f>IF($J1369="","",IF($J1369&lt;=1500,N(INDEX('Daily Sale entry '!$AD$1:$AD$1501,$J1369+1)),0))</f>
        <v/>
      </c>
      <c r="H1369" s="6">
        <f>IF($J1369="","",ROUND('Opening Balance'!$B$4+SUM($F$2:F1369)-SUM($G$2:G1369),2))</f>
        <v/>
      </c>
      <c r="J1369" s="21">
        <f>IFERROR(MATCH(ROW()-1,$L$2:$L$3001,0),"")</f>
        <v/>
      </c>
      <c r="K1369" s="34">
        <f>IF(AND('Daily Sale entry '!X1369&lt;&gt;"",OR('Daily Sale entry '!AC1369&lt;&gt;"",'Daily Sale entry '!AD1369&lt;&gt;"")),'Daily Sale entry '!X1369+ROW()/10000000,"")</f>
        <v/>
      </c>
      <c r="L1369" s="21">
        <f>IF(K1369="","",COUNTIF($K$2:$K$3001,"&lt;"&amp;K1369)+1)</f>
        <v/>
      </c>
    </row>
    <row r="1370">
      <c r="A1370" s="5">
        <f>IF($J1370="","",IF($J1370&lt;=1500,INDEX('Daily Sale entry '!$X$1:$X$1501,$J1370+1),INDEX('Daily Sale entry '!$V$1:$V$1501,$J1370-1499)))</f>
        <v/>
      </c>
      <c r="B1370">
        <f>IF($J1370="","",IF($J1370&lt;=1500,INDEX('Daily Sale entry '!$Y$1:$Y$1501,$J1370+1)&amp;"","Buyer cheque banked 买家支票存入"&amp;IF(INDEX('Daily Sale entry '!$U$1:$U$1501,$J1370-1499)="","", " - "&amp;INDEX('Daily Sale entry '!$U$1:$U$1501,$J1370-1499))))</f>
        <v/>
      </c>
      <c r="C1370">
        <f>IF($J1370="","",IF($J1370&lt;=1500,INDEX('Daily Sale entry '!$Z$1:$Z$1501,$J1370+1)&amp;"","Cheque deposit 支票存入 (buyer 买家)"))</f>
        <v/>
      </c>
      <c r="D1370">
        <f>IF($J1370="","",IF($J1370&lt;=1500,INDEX('Daily Sale entry '!$AA$1:$AA$1501,$J1370+1)&amp;"",INDEX('Daily Sale entry '!$P$1:$P$1501,$J1370-1499)&amp;""))</f>
        <v/>
      </c>
      <c r="E1370">
        <f>IF($J1370="","",IF($J1370&lt;=1500,IF(N(INDEX('Daily Sale entry '!$AB$1:$AB$1501,$J1370+1))=0,"",INDEX('Daily Sale entry '!$AB$1:$AB$1501,$J1370+1)),1))</f>
        <v/>
      </c>
      <c r="F1370" s="6">
        <f>IF($J1370="","",IF($J1370&lt;=1500,N(INDEX('Daily Sale entry '!$AC$1:$AC$1501,$J1370+1))-IF(AND('Opening Balance'!$B$15=1,INDEX('Daily Sale entry '!$Z$1:$Z$1501,$J1370+1)="Online collection 网上收款",INDEX('Daily Sale entry '!$AA$1:$AA$1501,$J1370+1)&lt;&gt;""),N(INDEX('Daily Sale entry '!$AC$1:$AC$1501,$J1370+1))-TRUNC(N(INDEX('Daily Sale entry '!$AC$1:$AC$1501,$J1370+1))),0),N(INDEX('Daily Sale entry '!$S$1:$S$1501,$J1370-1499))-'Opening Balance'!$B$15*(N(INDEX('Daily Sale entry '!$S$1:$S$1501,$J1370-1499))-TRUNC(N(INDEX('Daily Sale entry '!$S$1:$S$1501,$J1370-1499))))))</f>
        <v/>
      </c>
      <c r="G1370" s="6">
        <f>IF($J1370="","",IF($J1370&lt;=1500,N(INDEX('Daily Sale entry '!$AD$1:$AD$1501,$J1370+1)),0))</f>
        <v/>
      </c>
      <c r="H1370" s="6">
        <f>IF($J1370="","",ROUND('Opening Balance'!$B$4+SUM($F$2:F1370)-SUM($G$2:G1370),2))</f>
        <v/>
      </c>
      <c r="J1370" s="21">
        <f>IFERROR(MATCH(ROW()-1,$L$2:$L$3001,0),"")</f>
        <v/>
      </c>
      <c r="K1370" s="34">
        <f>IF(AND('Daily Sale entry '!X1370&lt;&gt;"",OR('Daily Sale entry '!AC1370&lt;&gt;"",'Daily Sale entry '!AD1370&lt;&gt;"")),'Daily Sale entry '!X1370+ROW()/10000000,"")</f>
        <v/>
      </c>
      <c r="L1370" s="21">
        <f>IF(K1370="","",COUNTIF($K$2:$K$3001,"&lt;"&amp;K1370)+1)</f>
        <v/>
      </c>
    </row>
    <row r="1371">
      <c r="A1371" s="5">
        <f>IF($J1371="","",IF($J1371&lt;=1500,INDEX('Daily Sale entry '!$X$1:$X$1501,$J1371+1),INDEX('Daily Sale entry '!$V$1:$V$1501,$J1371-1499)))</f>
        <v/>
      </c>
      <c r="B1371">
        <f>IF($J1371="","",IF($J1371&lt;=1500,INDEX('Daily Sale entry '!$Y$1:$Y$1501,$J1371+1)&amp;"","Buyer cheque banked 买家支票存入"&amp;IF(INDEX('Daily Sale entry '!$U$1:$U$1501,$J1371-1499)="","", " - "&amp;INDEX('Daily Sale entry '!$U$1:$U$1501,$J1371-1499))))</f>
        <v/>
      </c>
      <c r="C1371">
        <f>IF($J1371="","",IF($J1371&lt;=1500,INDEX('Daily Sale entry '!$Z$1:$Z$1501,$J1371+1)&amp;"","Cheque deposit 支票存入 (buyer 买家)"))</f>
        <v/>
      </c>
      <c r="D1371">
        <f>IF($J1371="","",IF($J1371&lt;=1500,INDEX('Daily Sale entry '!$AA$1:$AA$1501,$J1371+1)&amp;"",INDEX('Daily Sale entry '!$P$1:$P$1501,$J1371-1499)&amp;""))</f>
        <v/>
      </c>
      <c r="E1371">
        <f>IF($J1371="","",IF($J1371&lt;=1500,IF(N(INDEX('Daily Sale entry '!$AB$1:$AB$1501,$J1371+1))=0,"",INDEX('Daily Sale entry '!$AB$1:$AB$1501,$J1371+1)),1))</f>
        <v/>
      </c>
      <c r="F1371" s="6">
        <f>IF($J1371="","",IF($J1371&lt;=1500,N(INDEX('Daily Sale entry '!$AC$1:$AC$1501,$J1371+1))-IF(AND('Opening Balance'!$B$15=1,INDEX('Daily Sale entry '!$Z$1:$Z$1501,$J1371+1)="Online collection 网上收款",INDEX('Daily Sale entry '!$AA$1:$AA$1501,$J1371+1)&lt;&gt;""),N(INDEX('Daily Sale entry '!$AC$1:$AC$1501,$J1371+1))-TRUNC(N(INDEX('Daily Sale entry '!$AC$1:$AC$1501,$J1371+1))),0),N(INDEX('Daily Sale entry '!$S$1:$S$1501,$J1371-1499))-'Opening Balance'!$B$15*(N(INDEX('Daily Sale entry '!$S$1:$S$1501,$J1371-1499))-TRUNC(N(INDEX('Daily Sale entry '!$S$1:$S$1501,$J1371-1499))))))</f>
        <v/>
      </c>
      <c r="G1371" s="6">
        <f>IF($J1371="","",IF($J1371&lt;=1500,N(INDEX('Daily Sale entry '!$AD$1:$AD$1501,$J1371+1)),0))</f>
        <v/>
      </c>
      <c r="H1371" s="6">
        <f>IF($J1371="","",ROUND('Opening Balance'!$B$4+SUM($F$2:F1371)-SUM($G$2:G1371),2))</f>
        <v/>
      </c>
      <c r="J1371" s="21">
        <f>IFERROR(MATCH(ROW()-1,$L$2:$L$3001,0),"")</f>
        <v/>
      </c>
      <c r="K1371" s="34">
        <f>IF(AND('Daily Sale entry '!X1371&lt;&gt;"",OR('Daily Sale entry '!AC1371&lt;&gt;"",'Daily Sale entry '!AD1371&lt;&gt;"")),'Daily Sale entry '!X1371+ROW()/10000000,"")</f>
        <v/>
      </c>
      <c r="L1371" s="21">
        <f>IF(K1371="","",COUNTIF($K$2:$K$3001,"&lt;"&amp;K1371)+1)</f>
        <v/>
      </c>
    </row>
    <row r="1372">
      <c r="A1372" s="5">
        <f>IF($J1372="","",IF($J1372&lt;=1500,INDEX('Daily Sale entry '!$X$1:$X$1501,$J1372+1),INDEX('Daily Sale entry '!$V$1:$V$1501,$J1372-1499)))</f>
        <v/>
      </c>
      <c r="B1372">
        <f>IF($J1372="","",IF($J1372&lt;=1500,INDEX('Daily Sale entry '!$Y$1:$Y$1501,$J1372+1)&amp;"","Buyer cheque banked 买家支票存入"&amp;IF(INDEX('Daily Sale entry '!$U$1:$U$1501,$J1372-1499)="","", " - "&amp;INDEX('Daily Sale entry '!$U$1:$U$1501,$J1372-1499))))</f>
        <v/>
      </c>
      <c r="C1372">
        <f>IF($J1372="","",IF($J1372&lt;=1500,INDEX('Daily Sale entry '!$Z$1:$Z$1501,$J1372+1)&amp;"","Cheque deposit 支票存入 (buyer 买家)"))</f>
        <v/>
      </c>
      <c r="D1372">
        <f>IF($J1372="","",IF($J1372&lt;=1500,INDEX('Daily Sale entry '!$AA$1:$AA$1501,$J1372+1)&amp;"",INDEX('Daily Sale entry '!$P$1:$P$1501,$J1372-1499)&amp;""))</f>
        <v/>
      </c>
      <c r="E1372">
        <f>IF($J1372="","",IF($J1372&lt;=1500,IF(N(INDEX('Daily Sale entry '!$AB$1:$AB$1501,$J1372+1))=0,"",INDEX('Daily Sale entry '!$AB$1:$AB$1501,$J1372+1)),1))</f>
        <v/>
      </c>
      <c r="F1372" s="6">
        <f>IF($J1372="","",IF($J1372&lt;=1500,N(INDEX('Daily Sale entry '!$AC$1:$AC$1501,$J1372+1))-IF(AND('Opening Balance'!$B$15=1,INDEX('Daily Sale entry '!$Z$1:$Z$1501,$J1372+1)="Online collection 网上收款",INDEX('Daily Sale entry '!$AA$1:$AA$1501,$J1372+1)&lt;&gt;""),N(INDEX('Daily Sale entry '!$AC$1:$AC$1501,$J1372+1))-TRUNC(N(INDEX('Daily Sale entry '!$AC$1:$AC$1501,$J1372+1))),0),N(INDEX('Daily Sale entry '!$S$1:$S$1501,$J1372-1499))-'Opening Balance'!$B$15*(N(INDEX('Daily Sale entry '!$S$1:$S$1501,$J1372-1499))-TRUNC(N(INDEX('Daily Sale entry '!$S$1:$S$1501,$J1372-1499))))))</f>
        <v/>
      </c>
      <c r="G1372" s="6">
        <f>IF($J1372="","",IF($J1372&lt;=1500,N(INDEX('Daily Sale entry '!$AD$1:$AD$1501,$J1372+1)),0))</f>
        <v/>
      </c>
      <c r="H1372" s="6">
        <f>IF($J1372="","",ROUND('Opening Balance'!$B$4+SUM($F$2:F1372)-SUM($G$2:G1372),2))</f>
        <v/>
      </c>
      <c r="J1372" s="21">
        <f>IFERROR(MATCH(ROW()-1,$L$2:$L$3001,0),"")</f>
        <v/>
      </c>
      <c r="K1372" s="34">
        <f>IF(AND('Daily Sale entry '!X1372&lt;&gt;"",OR('Daily Sale entry '!AC1372&lt;&gt;"",'Daily Sale entry '!AD1372&lt;&gt;"")),'Daily Sale entry '!X1372+ROW()/10000000,"")</f>
        <v/>
      </c>
      <c r="L1372" s="21">
        <f>IF(K1372="","",COUNTIF($K$2:$K$3001,"&lt;"&amp;K1372)+1)</f>
        <v/>
      </c>
    </row>
    <row r="1373">
      <c r="A1373" s="5">
        <f>IF($J1373="","",IF($J1373&lt;=1500,INDEX('Daily Sale entry '!$X$1:$X$1501,$J1373+1),INDEX('Daily Sale entry '!$V$1:$V$1501,$J1373-1499)))</f>
        <v/>
      </c>
      <c r="B1373">
        <f>IF($J1373="","",IF($J1373&lt;=1500,INDEX('Daily Sale entry '!$Y$1:$Y$1501,$J1373+1)&amp;"","Buyer cheque banked 买家支票存入"&amp;IF(INDEX('Daily Sale entry '!$U$1:$U$1501,$J1373-1499)="","", " - "&amp;INDEX('Daily Sale entry '!$U$1:$U$1501,$J1373-1499))))</f>
        <v/>
      </c>
      <c r="C1373">
        <f>IF($J1373="","",IF($J1373&lt;=1500,INDEX('Daily Sale entry '!$Z$1:$Z$1501,$J1373+1)&amp;"","Cheque deposit 支票存入 (buyer 买家)"))</f>
        <v/>
      </c>
      <c r="D1373">
        <f>IF($J1373="","",IF($J1373&lt;=1500,INDEX('Daily Sale entry '!$AA$1:$AA$1501,$J1373+1)&amp;"",INDEX('Daily Sale entry '!$P$1:$P$1501,$J1373-1499)&amp;""))</f>
        <v/>
      </c>
      <c r="E1373">
        <f>IF($J1373="","",IF($J1373&lt;=1500,IF(N(INDEX('Daily Sale entry '!$AB$1:$AB$1501,$J1373+1))=0,"",INDEX('Daily Sale entry '!$AB$1:$AB$1501,$J1373+1)),1))</f>
        <v/>
      </c>
      <c r="F1373" s="6">
        <f>IF($J1373="","",IF($J1373&lt;=1500,N(INDEX('Daily Sale entry '!$AC$1:$AC$1501,$J1373+1))-IF(AND('Opening Balance'!$B$15=1,INDEX('Daily Sale entry '!$Z$1:$Z$1501,$J1373+1)="Online collection 网上收款",INDEX('Daily Sale entry '!$AA$1:$AA$1501,$J1373+1)&lt;&gt;""),N(INDEX('Daily Sale entry '!$AC$1:$AC$1501,$J1373+1))-TRUNC(N(INDEX('Daily Sale entry '!$AC$1:$AC$1501,$J1373+1))),0),N(INDEX('Daily Sale entry '!$S$1:$S$1501,$J1373-1499))-'Opening Balance'!$B$15*(N(INDEX('Daily Sale entry '!$S$1:$S$1501,$J1373-1499))-TRUNC(N(INDEX('Daily Sale entry '!$S$1:$S$1501,$J1373-1499))))))</f>
        <v/>
      </c>
      <c r="G1373" s="6">
        <f>IF($J1373="","",IF($J1373&lt;=1500,N(INDEX('Daily Sale entry '!$AD$1:$AD$1501,$J1373+1)),0))</f>
        <v/>
      </c>
      <c r="H1373" s="6">
        <f>IF($J1373="","",ROUND('Opening Balance'!$B$4+SUM($F$2:F1373)-SUM($G$2:G1373),2))</f>
        <v/>
      </c>
      <c r="J1373" s="21">
        <f>IFERROR(MATCH(ROW()-1,$L$2:$L$3001,0),"")</f>
        <v/>
      </c>
      <c r="K1373" s="34">
        <f>IF(AND('Daily Sale entry '!X1373&lt;&gt;"",OR('Daily Sale entry '!AC1373&lt;&gt;"",'Daily Sale entry '!AD1373&lt;&gt;"")),'Daily Sale entry '!X1373+ROW()/10000000,"")</f>
        <v/>
      </c>
      <c r="L1373" s="21">
        <f>IF(K1373="","",COUNTIF($K$2:$K$3001,"&lt;"&amp;K1373)+1)</f>
        <v/>
      </c>
    </row>
    <row r="1374">
      <c r="A1374" s="5">
        <f>IF($J1374="","",IF($J1374&lt;=1500,INDEX('Daily Sale entry '!$X$1:$X$1501,$J1374+1),INDEX('Daily Sale entry '!$V$1:$V$1501,$J1374-1499)))</f>
        <v/>
      </c>
      <c r="B1374">
        <f>IF($J1374="","",IF($J1374&lt;=1500,INDEX('Daily Sale entry '!$Y$1:$Y$1501,$J1374+1)&amp;"","Buyer cheque banked 买家支票存入"&amp;IF(INDEX('Daily Sale entry '!$U$1:$U$1501,$J1374-1499)="","", " - "&amp;INDEX('Daily Sale entry '!$U$1:$U$1501,$J1374-1499))))</f>
        <v/>
      </c>
      <c r="C1374">
        <f>IF($J1374="","",IF($J1374&lt;=1500,INDEX('Daily Sale entry '!$Z$1:$Z$1501,$J1374+1)&amp;"","Cheque deposit 支票存入 (buyer 买家)"))</f>
        <v/>
      </c>
      <c r="D1374">
        <f>IF($J1374="","",IF($J1374&lt;=1500,INDEX('Daily Sale entry '!$AA$1:$AA$1501,$J1374+1)&amp;"",INDEX('Daily Sale entry '!$P$1:$P$1501,$J1374-1499)&amp;""))</f>
        <v/>
      </c>
      <c r="E1374">
        <f>IF($J1374="","",IF($J1374&lt;=1500,IF(N(INDEX('Daily Sale entry '!$AB$1:$AB$1501,$J1374+1))=0,"",INDEX('Daily Sale entry '!$AB$1:$AB$1501,$J1374+1)),1))</f>
        <v/>
      </c>
      <c r="F1374" s="6">
        <f>IF($J1374="","",IF($J1374&lt;=1500,N(INDEX('Daily Sale entry '!$AC$1:$AC$1501,$J1374+1))-IF(AND('Opening Balance'!$B$15=1,INDEX('Daily Sale entry '!$Z$1:$Z$1501,$J1374+1)="Online collection 网上收款",INDEX('Daily Sale entry '!$AA$1:$AA$1501,$J1374+1)&lt;&gt;""),N(INDEX('Daily Sale entry '!$AC$1:$AC$1501,$J1374+1))-TRUNC(N(INDEX('Daily Sale entry '!$AC$1:$AC$1501,$J1374+1))),0),N(INDEX('Daily Sale entry '!$S$1:$S$1501,$J1374-1499))-'Opening Balance'!$B$15*(N(INDEX('Daily Sale entry '!$S$1:$S$1501,$J1374-1499))-TRUNC(N(INDEX('Daily Sale entry '!$S$1:$S$1501,$J1374-1499))))))</f>
        <v/>
      </c>
      <c r="G1374" s="6">
        <f>IF($J1374="","",IF($J1374&lt;=1500,N(INDEX('Daily Sale entry '!$AD$1:$AD$1501,$J1374+1)),0))</f>
        <v/>
      </c>
      <c r="H1374" s="6">
        <f>IF($J1374="","",ROUND('Opening Balance'!$B$4+SUM($F$2:F1374)-SUM($G$2:G1374),2))</f>
        <v/>
      </c>
      <c r="J1374" s="21">
        <f>IFERROR(MATCH(ROW()-1,$L$2:$L$3001,0),"")</f>
        <v/>
      </c>
      <c r="K1374" s="34">
        <f>IF(AND('Daily Sale entry '!X1374&lt;&gt;"",OR('Daily Sale entry '!AC1374&lt;&gt;"",'Daily Sale entry '!AD1374&lt;&gt;"")),'Daily Sale entry '!X1374+ROW()/10000000,"")</f>
        <v/>
      </c>
      <c r="L1374" s="21">
        <f>IF(K1374="","",COUNTIF($K$2:$K$3001,"&lt;"&amp;K1374)+1)</f>
        <v/>
      </c>
    </row>
    <row r="1375">
      <c r="A1375" s="5">
        <f>IF($J1375="","",IF($J1375&lt;=1500,INDEX('Daily Sale entry '!$X$1:$X$1501,$J1375+1),INDEX('Daily Sale entry '!$V$1:$V$1501,$J1375-1499)))</f>
        <v/>
      </c>
      <c r="B1375">
        <f>IF($J1375="","",IF($J1375&lt;=1500,INDEX('Daily Sale entry '!$Y$1:$Y$1501,$J1375+1)&amp;"","Buyer cheque banked 买家支票存入"&amp;IF(INDEX('Daily Sale entry '!$U$1:$U$1501,$J1375-1499)="","", " - "&amp;INDEX('Daily Sale entry '!$U$1:$U$1501,$J1375-1499))))</f>
        <v/>
      </c>
      <c r="C1375">
        <f>IF($J1375="","",IF($J1375&lt;=1500,INDEX('Daily Sale entry '!$Z$1:$Z$1501,$J1375+1)&amp;"","Cheque deposit 支票存入 (buyer 买家)"))</f>
        <v/>
      </c>
      <c r="D1375">
        <f>IF($J1375="","",IF($J1375&lt;=1500,INDEX('Daily Sale entry '!$AA$1:$AA$1501,$J1375+1)&amp;"",INDEX('Daily Sale entry '!$P$1:$P$1501,$J1375-1499)&amp;""))</f>
        <v/>
      </c>
      <c r="E1375">
        <f>IF($J1375="","",IF($J1375&lt;=1500,IF(N(INDEX('Daily Sale entry '!$AB$1:$AB$1501,$J1375+1))=0,"",INDEX('Daily Sale entry '!$AB$1:$AB$1501,$J1375+1)),1))</f>
        <v/>
      </c>
      <c r="F1375" s="6">
        <f>IF($J1375="","",IF($J1375&lt;=1500,N(INDEX('Daily Sale entry '!$AC$1:$AC$1501,$J1375+1))-IF(AND('Opening Balance'!$B$15=1,INDEX('Daily Sale entry '!$Z$1:$Z$1501,$J1375+1)="Online collection 网上收款",INDEX('Daily Sale entry '!$AA$1:$AA$1501,$J1375+1)&lt;&gt;""),N(INDEX('Daily Sale entry '!$AC$1:$AC$1501,$J1375+1))-TRUNC(N(INDEX('Daily Sale entry '!$AC$1:$AC$1501,$J1375+1))),0),N(INDEX('Daily Sale entry '!$S$1:$S$1501,$J1375-1499))-'Opening Balance'!$B$15*(N(INDEX('Daily Sale entry '!$S$1:$S$1501,$J1375-1499))-TRUNC(N(INDEX('Daily Sale entry '!$S$1:$S$1501,$J1375-1499))))))</f>
        <v/>
      </c>
      <c r="G1375" s="6">
        <f>IF($J1375="","",IF($J1375&lt;=1500,N(INDEX('Daily Sale entry '!$AD$1:$AD$1501,$J1375+1)),0))</f>
        <v/>
      </c>
      <c r="H1375" s="6">
        <f>IF($J1375="","",ROUND('Opening Balance'!$B$4+SUM($F$2:F1375)-SUM($G$2:G1375),2))</f>
        <v/>
      </c>
      <c r="J1375" s="21">
        <f>IFERROR(MATCH(ROW()-1,$L$2:$L$3001,0),"")</f>
        <v/>
      </c>
      <c r="K1375" s="34">
        <f>IF(AND('Daily Sale entry '!X1375&lt;&gt;"",OR('Daily Sale entry '!AC1375&lt;&gt;"",'Daily Sale entry '!AD1375&lt;&gt;"")),'Daily Sale entry '!X1375+ROW()/10000000,"")</f>
        <v/>
      </c>
      <c r="L1375" s="21">
        <f>IF(K1375="","",COUNTIF($K$2:$K$3001,"&lt;"&amp;K1375)+1)</f>
        <v/>
      </c>
    </row>
    <row r="1376">
      <c r="A1376" s="5">
        <f>IF($J1376="","",IF($J1376&lt;=1500,INDEX('Daily Sale entry '!$X$1:$X$1501,$J1376+1),INDEX('Daily Sale entry '!$V$1:$V$1501,$J1376-1499)))</f>
        <v/>
      </c>
      <c r="B1376">
        <f>IF($J1376="","",IF($J1376&lt;=1500,INDEX('Daily Sale entry '!$Y$1:$Y$1501,$J1376+1)&amp;"","Buyer cheque banked 买家支票存入"&amp;IF(INDEX('Daily Sale entry '!$U$1:$U$1501,$J1376-1499)="","", " - "&amp;INDEX('Daily Sale entry '!$U$1:$U$1501,$J1376-1499))))</f>
        <v/>
      </c>
      <c r="C1376">
        <f>IF($J1376="","",IF($J1376&lt;=1500,INDEX('Daily Sale entry '!$Z$1:$Z$1501,$J1376+1)&amp;"","Cheque deposit 支票存入 (buyer 买家)"))</f>
        <v/>
      </c>
      <c r="D1376">
        <f>IF($J1376="","",IF($J1376&lt;=1500,INDEX('Daily Sale entry '!$AA$1:$AA$1501,$J1376+1)&amp;"",INDEX('Daily Sale entry '!$P$1:$P$1501,$J1376-1499)&amp;""))</f>
        <v/>
      </c>
      <c r="E1376">
        <f>IF($J1376="","",IF($J1376&lt;=1500,IF(N(INDEX('Daily Sale entry '!$AB$1:$AB$1501,$J1376+1))=0,"",INDEX('Daily Sale entry '!$AB$1:$AB$1501,$J1376+1)),1))</f>
        <v/>
      </c>
      <c r="F1376" s="6">
        <f>IF($J1376="","",IF($J1376&lt;=1500,N(INDEX('Daily Sale entry '!$AC$1:$AC$1501,$J1376+1))-IF(AND('Opening Balance'!$B$15=1,INDEX('Daily Sale entry '!$Z$1:$Z$1501,$J1376+1)="Online collection 网上收款",INDEX('Daily Sale entry '!$AA$1:$AA$1501,$J1376+1)&lt;&gt;""),N(INDEX('Daily Sale entry '!$AC$1:$AC$1501,$J1376+1))-TRUNC(N(INDEX('Daily Sale entry '!$AC$1:$AC$1501,$J1376+1))),0),N(INDEX('Daily Sale entry '!$S$1:$S$1501,$J1376-1499))-'Opening Balance'!$B$15*(N(INDEX('Daily Sale entry '!$S$1:$S$1501,$J1376-1499))-TRUNC(N(INDEX('Daily Sale entry '!$S$1:$S$1501,$J1376-1499))))))</f>
        <v/>
      </c>
      <c r="G1376" s="6">
        <f>IF($J1376="","",IF($J1376&lt;=1500,N(INDEX('Daily Sale entry '!$AD$1:$AD$1501,$J1376+1)),0))</f>
        <v/>
      </c>
      <c r="H1376" s="6">
        <f>IF($J1376="","",ROUND('Opening Balance'!$B$4+SUM($F$2:F1376)-SUM($G$2:G1376),2))</f>
        <v/>
      </c>
      <c r="J1376" s="21">
        <f>IFERROR(MATCH(ROW()-1,$L$2:$L$3001,0),"")</f>
        <v/>
      </c>
      <c r="K1376" s="34">
        <f>IF(AND('Daily Sale entry '!X1376&lt;&gt;"",OR('Daily Sale entry '!AC1376&lt;&gt;"",'Daily Sale entry '!AD1376&lt;&gt;"")),'Daily Sale entry '!X1376+ROW()/10000000,"")</f>
        <v/>
      </c>
      <c r="L1376" s="21">
        <f>IF(K1376="","",COUNTIF($K$2:$K$3001,"&lt;"&amp;K1376)+1)</f>
        <v/>
      </c>
    </row>
    <row r="1377">
      <c r="A1377" s="5">
        <f>IF($J1377="","",IF($J1377&lt;=1500,INDEX('Daily Sale entry '!$X$1:$X$1501,$J1377+1),INDEX('Daily Sale entry '!$V$1:$V$1501,$J1377-1499)))</f>
        <v/>
      </c>
      <c r="B1377">
        <f>IF($J1377="","",IF($J1377&lt;=1500,INDEX('Daily Sale entry '!$Y$1:$Y$1501,$J1377+1)&amp;"","Buyer cheque banked 买家支票存入"&amp;IF(INDEX('Daily Sale entry '!$U$1:$U$1501,$J1377-1499)="","", " - "&amp;INDEX('Daily Sale entry '!$U$1:$U$1501,$J1377-1499))))</f>
        <v/>
      </c>
      <c r="C1377">
        <f>IF($J1377="","",IF($J1377&lt;=1500,INDEX('Daily Sale entry '!$Z$1:$Z$1501,$J1377+1)&amp;"","Cheque deposit 支票存入 (buyer 买家)"))</f>
        <v/>
      </c>
      <c r="D1377">
        <f>IF($J1377="","",IF($J1377&lt;=1500,INDEX('Daily Sale entry '!$AA$1:$AA$1501,$J1377+1)&amp;"",INDEX('Daily Sale entry '!$P$1:$P$1501,$J1377-1499)&amp;""))</f>
        <v/>
      </c>
      <c r="E1377">
        <f>IF($J1377="","",IF($J1377&lt;=1500,IF(N(INDEX('Daily Sale entry '!$AB$1:$AB$1501,$J1377+1))=0,"",INDEX('Daily Sale entry '!$AB$1:$AB$1501,$J1377+1)),1))</f>
        <v/>
      </c>
      <c r="F1377" s="6">
        <f>IF($J1377="","",IF($J1377&lt;=1500,N(INDEX('Daily Sale entry '!$AC$1:$AC$1501,$J1377+1))-IF(AND('Opening Balance'!$B$15=1,INDEX('Daily Sale entry '!$Z$1:$Z$1501,$J1377+1)="Online collection 网上收款",INDEX('Daily Sale entry '!$AA$1:$AA$1501,$J1377+1)&lt;&gt;""),N(INDEX('Daily Sale entry '!$AC$1:$AC$1501,$J1377+1))-TRUNC(N(INDEX('Daily Sale entry '!$AC$1:$AC$1501,$J1377+1))),0),N(INDEX('Daily Sale entry '!$S$1:$S$1501,$J1377-1499))-'Opening Balance'!$B$15*(N(INDEX('Daily Sale entry '!$S$1:$S$1501,$J1377-1499))-TRUNC(N(INDEX('Daily Sale entry '!$S$1:$S$1501,$J1377-1499))))))</f>
        <v/>
      </c>
      <c r="G1377" s="6">
        <f>IF($J1377="","",IF($J1377&lt;=1500,N(INDEX('Daily Sale entry '!$AD$1:$AD$1501,$J1377+1)),0))</f>
        <v/>
      </c>
      <c r="H1377" s="6">
        <f>IF($J1377="","",ROUND('Opening Balance'!$B$4+SUM($F$2:F1377)-SUM($G$2:G1377),2))</f>
        <v/>
      </c>
      <c r="J1377" s="21">
        <f>IFERROR(MATCH(ROW()-1,$L$2:$L$3001,0),"")</f>
        <v/>
      </c>
      <c r="K1377" s="34">
        <f>IF(AND('Daily Sale entry '!X1377&lt;&gt;"",OR('Daily Sale entry '!AC1377&lt;&gt;"",'Daily Sale entry '!AD1377&lt;&gt;"")),'Daily Sale entry '!X1377+ROW()/10000000,"")</f>
        <v/>
      </c>
      <c r="L1377" s="21">
        <f>IF(K1377="","",COUNTIF($K$2:$K$3001,"&lt;"&amp;K1377)+1)</f>
        <v/>
      </c>
    </row>
    <row r="1378">
      <c r="A1378" s="5">
        <f>IF($J1378="","",IF($J1378&lt;=1500,INDEX('Daily Sale entry '!$X$1:$X$1501,$J1378+1),INDEX('Daily Sale entry '!$V$1:$V$1501,$J1378-1499)))</f>
        <v/>
      </c>
      <c r="B1378">
        <f>IF($J1378="","",IF($J1378&lt;=1500,INDEX('Daily Sale entry '!$Y$1:$Y$1501,$J1378+1)&amp;"","Buyer cheque banked 买家支票存入"&amp;IF(INDEX('Daily Sale entry '!$U$1:$U$1501,$J1378-1499)="","", " - "&amp;INDEX('Daily Sale entry '!$U$1:$U$1501,$J1378-1499))))</f>
        <v/>
      </c>
      <c r="C1378">
        <f>IF($J1378="","",IF($J1378&lt;=1500,INDEX('Daily Sale entry '!$Z$1:$Z$1501,$J1378+1)&amp;"","Cheque deposit 支票存入 (buyer 买家)"))</f>
        <v/>
      </c>
      <c r="D1378">
        <f>IF($J1378="","",IF($J1378&lt;=1500,INDEX('Daily Sale entry '!$AA$1:$AA$1501,$J1378+1)&amp;"",INDEX('Daily Sale entry '!$P$1:$P$1501,$J1378-1499)&amp;""))</f>
        <v/>
      </c>
      <c r="E1378">
        <f>IF($J1378="","",IF($J1378&lt;=1500,IF(N(INDEX('Daily Sale entry '!$AB$1:$AB$1501,$J1378+1))=0,"",INDEX('Daily Sale entry '!$AB$1:$AB$1501,$J1378+1)),1))</f>
        <v/>
      </c>
      <c r="F1378" s="6">
        <f>IF($J1378="","",IF($J1378&lt;=1500,N(INDEX('Daily Sale entry '!$AC$1:$AC$1501,$J1378+1))-IF(AND('Opening Balance'!$B$15=1,INDEX('Daily Sale entry '!$Z$1:$Z$1501,$J1378+1)="Online collection 网上收款",INDEX('Daily Sale entry '!$AA$1:$AA$1501,$J1378+1)&lt;&gt;""),N(INDEX('Daily Sale entry '!$AC$1:$AC$1501,$J1378+1))-TRUNC(N(INDEX('Daily Sale entry '!$AC$1:$AC$1501,$J1378+1))),0),N(INDEX('Daily Sale entry '!$S$1:$S$1501,$J1378-1499))-'Opening Balance'!$B$15*(N(INDEX('Daily Sale entry '!$S$1:$S$1501,$J1378-1499))-TRUNC(N(INDEX('Daily Sale entry '!$S$1:$S$1501,$J1378-1499))))))</f>
        <v/>
      </c>
      <c r="G1378" s="6">
        <f>IF($J1378="","",IF($J1378&lt;=1500,N(INDEX('Daily Sale entry '!$AD$1:$AD$1501,$J1378+1)),0))</f>
        <v/>
      </c>
      <c r="H1378" s="6">
        <f>IF($J1378="","",ROUND('Opening Balance'!$B$4+SUM($F$2:F1378)-SUM($G$2:G1378),2))</f>
        <v/>
      </c>
      <c r="J1378" s="21">
        <f>IFERROR(MATCH(ROW()-1,$L$2:$L$3001,0),"")</f>
        <v/>
      </c>
      <c r="K1378" s="34">
        <f>IF(AND('Daily Sale entry '!X1378&lt;&gt;"",OR('Daily Sale entry '!AC1378&lt;&gt;"",'Daily Sale entry '!AD1378&lt;&gt;"")),'Daily Sale entry '!X1378+ROW()/10000000,"")</f>
        <v/>
      </c>
      <c r="L1378" s="21">
        <f>IF(K1378="","",COUNTIF($K$2:$K$3001,"&lt;"&amp;K1378)+1)</f>
        <v/>
      </c>
    </row>
    <row r="1379">
      <c r="A1379" s="5">
        <f>IF($J1379="","",IF($J1379&lt;=1500,INDEX('Daily Sale entry '!$X$1:$X$1501,$J1379+1),INDEX('Daily Sale entry '!$V$1:$V$1501,$J1379-1499)))</f>
        <v/>
      </c>
      <c r="B1379">
        <f>IF($J1379="","",IF($J1379&lt;=1500,INDEX('Daily Sale entry '!$Y$1:$Y$1501,$J1379+1)&amp;"","Buyer cheque banked 买家支票存入"&amp;IF(INDEX('Daily Sale entry '!$U$1:$U$1501,$J1379-1499)="","", " - "&amp;INDEX('Daily Sale entry '!$U$1:$U$1501,$J1379-1499))))</f>
        <v/>
      </c>
      <c r="C1379">
        <f>IF($J1379="","",IF($J1379&lt;=1500,INDEX('Daily Sale entry '!$Z$1:$Z$1501,$J1379+1)&amp;"","Cheque deposit 支票存入 (buyer 买家)"))</f>
        <v/>
      </c>
      <c r="D1379">
        <f>IF($J1379="","",IF($J1379&lt;=1500,INDEX('Daily Sale entry '!$AA$1:$AA$1501,$J1379+1)&amp;"",INDEX('Daily Sale entry '!$P$1:$P$1501,$J1379-1499)&amp;""))</f>
        <v/>
      </c>
      <c r="E1379">
        <f>IF($J1379="","",IF($J1379&lt;=1500,IF(N(INDEX('Daily Sale entry '!$AB$1:$AB$1501,$J1379+1))=0,"",INDEX('Daily Sale entry '!$AB$1:$AB$1501,$J1379+1)),1))</f>
        <v/>
      </c>
      <c r="F1379" s="6">
        <f>IF($J1379="","",IF($J1379&lt;=1500,N(INDEX('Daily Sale entry '!$AC$1:$AC$1501,$J1379+1))-IF(AND('Opening Balance'!$B$15=1,INDEX('Daily Sale entry '!$Z$1:$Z$1501,$J1379+1)="Online collection 网上收款",INDEX('Daily Sale entry '!$AA$1:$AA$1501,$J1379+1)&lt;&gt;""),N(INDEX('Daily Sale entry '!$AC$1:$AC$1501,$J1379+1))-TRUNC(N(INDEX('Daily Sale entry '!$AC$1:$AC$1501,$J1379+1))),0),N(INDEX('Daily Sale entry '!$S$1:$S$1501,$J1379-1499))-'Opening Balance'!$B$15*(N(INDEX('Daily Sale entry '!$S$1:$S$1501,$J1379-1499))-TRUNC(N(INDEX('Daily Sale entry '!$S$1:$S$1501,$J1379-1499))))))</f>
        <v/>
      </c>
      <c r="G1379" s="6">
        <f>IF($J1379="","",IF($J1379&lt;=1500,N(INDEX('Daily Sale entry '!$AD$1:$AD$1501,$J1379+1)),0))</f>
        <v/>
      </c>
      <c r="H1379" s="6">
        <f>IF($J1379="","",ROUND('Opening Balance'!$B$4+SUM($F$2:F1379)-SUM($G$2:G1379),2))</f>
        <v/>
      </c>
      <c r="J1379" s="21">
        <f>IFERROR(MATCH(ROW()-1,$L$2:$L$3001,0),"")</f>
        <v/>
      </c>
      <c r="K1379" s="34">
        <f>IF(AND('Daily Sale entry '!X1379&lt;&gt;"",OR('Daily Sale entry '!AC1379&lt;&gt;"",'Daily Sale entry '!AD1379&lt;&gt;"")),'Daily Sale entry '!X1379+ROW()/10000000,"")</f>
        <v/>
      </c>
      <c r="L1379" s="21">
        <f>IF(K1379="","",COUNTIF($K$2:$K$3001,"&lt;"&amp;K1379)+1)</f>
        <v/>
      </c>
    </row>
    <row r="1380">
      <c r="A1380" s="5">
        <f>IF($J1380="","",IF($J1380&lt;=1500,INDEX('Daily Sale entry '!$X$1:$X$1501,$J1380+1),INDEX('Daily Sale entry '!$V$1:$V$1501,$J1380-1499)))</f>
        <v/>
      </c>
      <c r="B1380">
        <f>IF($J1380="","",IF($J1380&lt;=1500,INDEX('Daily Sale entry '!$Y$1:$Y$1501,$J1380+1)&amp;"","Buyer cheque banked 买家支票存入"&amp;IF(INDEX('Daily Sale entry '!$U$1:$U$1501,$J1380-1499)="","", " - "&amp;INDEX('Daily Sale entry '!$U$1:$U$1501,$J1380-1499))))</f>
        <v/>
      </c>
      <c r="C1380">
        <f>IF($J1380="","",IF($J1380&lt;=1500,INDEX('Daily Sale entry '!$Z$1:$Z$1501,$J1380+1)&amp;"","Cheque deposit 支票存入 (buyer 买家)"))</f>
        <v/>
      </c>
      <c r="D1380">
        <f>IF($J1380="","",IF($J1380&lt;=1500,INDEX('Daily Sale entry '!$AA$1:$AA$1501,$J1380+1)&amp;"",INDEX('Daily Sale entry '!$P$1:$P$1501,$J1380-1499)&amp;""))</f>
        <v/>
      </c>
      <c r="E1380">
        <f>IF($J1380="","",IF($J1380&lt;=1500,IF(N(INDEX('Daily Sale entry '!$AB$1:$AB$1501,$J1380+1))=0,"",INDEX('Daily Sale entry '!$AB$1:$AB$1501,$J1380+1)),1))</f>
        <v/>
      </c>
      <c r="F1380" s="6">
        <f>IF($J1380="","",IF($J1380&lt;=1500,N(INDEX('Daily Sale entry '!$AC$1:$AC$1501,$J1380+1))-IF(AND('Opening Balance'!$B$15=1,INDEX('Daily Sale entry '!$Z$1:$Z$1501,$J1380+1)="Online collection 网上收款",INDEX('Daily Sale entry '!$AA$1:$AA$1501,$J1380+1)&lt;&gt;""),N(INDEX('Daily Sale entry '!$AC$1:$AC$1501,$J1380+1))-TRUNC(N(INDEX('Daily Sale entry '!$AC$1:$AC$1501,$J1380+1))),0),N(INDEX('Daily Sale entry '!$S$1:$S$1501,$J1380-1499))-'Opening Balance'!$B$15*(N(INDEX('Daily Sale entry '!$S$1:$S$1501,$J1380-1499))-TRUNC(N(INDEX('Daily Sale entry '!$S$1:$S$1501,$J1380-1499))))))</f>
        <v/>
      </c>
      <c r="G1380" s="6">
        <f>IF($J1380="","",IF($J1380&lt;=1500,N(INDEX('Daily Sale entry '!$AD$1:$AD$1501,$J1380+1)),0))</f>
        <v/>
      </c>
      <c r="H1380" s="6">
        <f>IF($J1380="","",ROUND('Opening Balance'!$B$4+SUM($F$2:F1380)-SUM($G$2:G1380),2))</f>
        <v/>
      </c>
      <c r="J1380" s="21">
        <f>IFERROR(MATCH(ROW()-1,$L$2:$L$3001,0),"")</f>
        <v/>
      </c>
      <c r="K1380" s="34">
        <f>IF(AND('Daily Sale entry '!X1380&lt;&gt;"",OR('Daily Sale entry '!AC1380&lt;&gt;"",'Daily Sale entry '!AD1380&lt;&gt;"")),'Daily Sale entry '!X1380+ROW()/10000000,"")</f>
        <v/>
      </c>
      <c r="L1380" s="21">
        <f>IF(K1380="","",COUNTIF($K$2:$K$3001,"&lt;"&amp;K1380)+1)</f>
        <v/>
      </c>
    </row>
    <row r="1381">
      <c r="A1381" s="5">
        <f>IF($J1381="","",IF($J1381&lt;=1500,INDEX('Daily Sale entry '!$X$1:$X$1501,$J1381+1),INDEX('Daily Sale entry '!$V$1:$V$1501,$J1381-1499)))</f>
        <v/>
      </c>
      <c r="B1381">
        <f>IF($J1381="","",IF($J1381&lt;=1500,INDEX('Daily Sale entry '!$Y$1:$Y$1501,$J1381+1)&amp;"","Buyer cheque banked 买家支票存入"&amp;IF(INDEX('Daily Sale entry '!$U$1:$U$1501,$J1381-1499)="","", " - "&amp;INDEX('Daily Sale entry '!$U$1:$U$1501,$J1381-1499))))</f>
        <v/>
      </c>
      <c r="C1381">
        <f>IF($J1381="","",IF($J1381&lt;=1500,INDEX('Daily Sale entry '!$Z$1:$Z$1501,$J1381+1)&amp;"","Cheque deposit 支票存入 (buyer 买家)"))</f>
        <v/>
      </c>
      <c r="D1381">
        <f>IF($J1381="","",IF($J1381&lt;=1500,INDEX('Daily Sale entry '!$AA$1:$AA$1501,$J1381+1)&amp;"",INDEX('Daily Sale entry '!$P$1:$P$1501,$J1381-1499)&amp;""))</f>
        <v/>
      </c>
      <c r="E1381">
        <f>IF($J1381="","",IF($J1381&lt;=1500,IF(N(INDEX('Daily Sale entry '!$AB$1:$AB$1501,$J1381+1))=0,"",INDEX('Daily Sale entry '!$AB$1:$AB$1501,$J1381+1)),1))</f>
        <v/>
      </c>
      <c r="F1381" s="6">
        <f>IF($J1381="","",IF($J1381&lt;=1500,N(INDEX('Daily Sale entry '!$AC$1:$AC$1501,$J1381+1))-IF(AND('Opening Balance'!$B$15=1,INDEX('Daily Sale entry '!$Z$1:$Z$1501,$J1381+1)="Online collection 网上收款",INDEX('Daily Sale entry '!$AA$1:$AA$1501,$J1381+1)&lt;&gt;""),N(INDEX('Daily Sale entry '!$AC$1:$AC$1501,$J1381+1))-TRUNC(N(INDEX('Daily Sale entry '!$AC$1:$AC$1501,$J1381+1))),0),N(INDEX('Daily Sale entry '!$S$1:$S$1501,$J1381-1499))-'Opening Balance'!$B$15*(N(INDEX('Daily Sale entry '!$S$1:$S$1501,$J1381-1499))-TRUNC(N(INDEX('Daily Sale entry '!$S$1:$S$1501,$J1381-1499))))))</f>
        <v/>
      </c>
      <c r="G1381" s="6">
        <f>IF($J1381="","",IF($J1381&lt;=1500,N(INDEX('Daily Sale entry '!$AD$1:$AD$1501,$J1381+1)),0))</f>
        <v/>
      </c>
      <c r="H1381" s="6">
        <f>IF($J1381="","",ROUND('Opening Balance'!$B$4+SUM($F$2:F1381)-SUM($G$2:G1381),2))</f>
        <v/>
      </c>
      <c r="J1381" s="21">
        <f>IFERROR(MATCH(ROW()-1,$L$2:$L$3001,0),"")</f>
        <v/>
      </c>
      <c r="K1381" s="34">
        <f>IF(AND('Daily Sale entry '!X1381&lt;&gt;"",OR('Daily Sale entry '!AC1381&lt;&gt;"",'Daily Sale entry '!AD1381&lt;&gt;"")),'Daily Sale entry '!X1381+ROW()/10000000,"")</f>
        <v/>
      </c>
      <c r="L1381" s="21">
        <f>IF(K1381="","",COUNTIF($K$2:$K$3001,"&lt;"&amp;K1381)+1)</f>
        <v/>
      </c>
    </row>
    <row r="1382">
      <c r="A1382" s="5">
        <f>IF($J1382="","",IF($J1382&lt;=1500,INDEX('Daily Sale entry '!$X$1:$X$1501,$J1382+1),INDEX('Daily Sale entry '!$V$1:$V$1501,$J1382-1499)))</f>
        <v/>
      </c>
      <c r="B1382">
        <f>IF($J1382="","",IF($J1382&lt;=1500,INDEX('Daily Sale entry '!$Y$1:$Y$1501,$J1382+1)&amp;"","Buyer cheque banked 买家支票存入"&amp;IF(INDEX('Daily Sale entry '!$U$1:$U$1501,$J1382-1499)="","", " - "&amp;INDEX('Daily Sale entry '!$U$1:$U$1501,$J1382-1499))))</f>
        <v/>
      </c>
      <c r="C1382">
        <f>IF($J1382="","",IF($J1382&lt;=1500,INDEX('Daily Sale entry '!$Z$1:$Z$1501,$J1382+1)&amp;"","Cheque deposit 支票存入 (buyer 买家)"))</f>
        <v/>
      </c>
      <c r="D1382">
        <f>IF($J1382="","",IF($J1382&lt;=1500,INDEX('Daily Sale entry '!$AA$1:$AA$1501,$J1382+1)&amp;"",INDEX('Daily Sale entry '!$P$1:$P$1501,$J1382-1499)&amp;""))</f>
        <v/>
      </c>
      <c r="E1382">
        <f>IF($J1382="","",IF($J1382&lt;=1500,IF(N(INDEX('Daily Sale entry '!$AB$1:$AB$1501,$J1382+1))=0,"",INDEX('Daily Sale entry '!$AB$1:$AB$1501,$J1382+1)),1))</f>
        <v/>
      </c>
      <c r="F1382" s="6">
        <f>IF($J1382="","",IF($J1382&lt;=1500,N(INDEX('Daily Sale entry '!$AC$1:$AC$1501,$J1382+1))-IF(AND('Opening Balance'!$B$15=1,INDEX('Daily Sale entry '!$Z$1:$Z$1501,$J1382+1)="Online collection 网上收款",INDEX('Daily Sale entry '!$AA$1:$AA$1501,$J1382+1)&lt;&gt;""),N(INDEX('Daily Sale entry '!$AC$1:$AC$1501,$J1382+1))-TRUNC(N(INDEX('Daily Sale entry '!$AC$1:$AC$1501,$J1382+1))),0),N(INDEX('Daily Sale entry '!$S$1:$S$1501,$J1382-1499))-'Opening Balance'!$B$15*(N(INDEX('Daily Sale entry '!$S$1:$S$1501,$J1382-1499))-TRUNC(N(INDEX('Daily Sale entry '!$S$1:$S$1501,$J1382-1499))))))</f>
        <v/>
      </c>
      <c r="G1382" s="6">
        <f>IF($J1382="","",IF($J1382&lt;=1500,N(INDEX('Daily Sale entry '!$AD$1:$AD$1501,$J1382+1)),0))</f>
        <v/>
      </c>
      <c r="H1382" s="6">
        <f>IF($J1382="","",ROUND('Opening Balance'!$B$4+SUM($F$2:F1382)-SUM($G$2:G1382),2))</f>
        <v/>
      </c>
      <c r="J1382" s="21">
        <f>IFERROR(MATCH(ROW()-1,$L$2:$L$3001,0),"")</f>
        <v/>
      </c>
      <c r="K1382" s="34">
        <f>IF(AND('Daily Sale entry '!X1382&lt;&gt;"",OR('Daily Sale entry '!AC1382&lt;&gt;"",'Daily Sale entry '!AD1382&lt;&gt;"")),'Daily Sale entry '!X1382+ROW()/10000000,"")</f>
        <v/>
      </c>
      <c r="L1382" s="21">
        <f>IF(K1382="","",COUNTIF($K$2:$K$3001,"&lt;"&amp;K1382)+1)</f>
        <v/>
      </c>
    </row>
    <row r="1383">
      <c r="A1383" s="5">
        <f>IF($J1383="","",IF($J1383&lt;=1500,INDEX('Daily Sale entry '!$X$1:$X$1501,$J1383+1),INDEX('Daily Sale entry '!$V$1:$V$1501,$J1383-1499)))</f>
        <v/>
      </c>
      <c r="B1383">
        <f>IF($J1383="","",IF($J1383&lt;=1500,INDEX('Daily Sale entry '!$Y$1:$Y$1501,$J1383+1)&amp;"","Buyer cheque banked 买家支票存入"&amp;IF(INDEX('Daily Sale entry '!$U$1:$U$1501,$J1383-1499)="","", " - "&amp;INDEX('Daily Sale entry '!$U$1:$U$1501,$J1383-1499))))</f>
        <v/>
      </c>
      <c r="C1383">
        <f>IF($J1383="","",IF($J1383&lt;=1500,INDEX('Daily Sale entry '!$Z$1:$Z$1501,$J1383+1)&amp;"","Cheque deposit 支票存入 (buyer 买家)"))</f>
        <v/>
      </c>
      <c r="D1383">
        <f>IF($J1383="","",IF($J1383&lt;=1500,INDEX('Daily Sale entry '!$AA$1:$AA$1501,$J1383+1)&amp;"",INDEX('Daily Sale entry '!$P$1:$P$1501,$J1383-1499)&amp;""))</f>
        <v/>
      </c>
      <c r="E1383">
        <f>IF($J1383="","",IF($J1383&lt;=1500,IF(N(INDEX('Daily Sale entry '!$AB$1:$AB$1501,$J1383+1))=0,"",INDEX('Daily Sale entry '!$AB$1:$AB$1501,$J1383+1)),1))</f>
        <v/>
      </c>
      <c r="F1383" s="6">
        <f>IF($J1383="","",IF($J1383&lt;=1500,N(INDEX('Daily Sale entry '!$AC$1:$AC$1501,$J1383+1))-IF(AND('Opening Balance'!$B$15=1,INDEX('Daily Sale entry '!$Z$1:$Z$1501,$J1383+1)="Online collection 网上收款",INDEX('Daily Sale entry '!$AA$1:$AA$1501,$J1383+1)&lt;&gt;""),N(INDEX('Daily Sale entry '!$AC$1:$AC$1501,$J1383+1))-TRUNC(N(INDEX('Daily Sale entry '!$AC$1:$AC$1501,$J1383+1))),0),N(INDEX('Daily Sale entry '!$S$1:$S$1501,$J1383-1499))-'Opening Balance'!$B$15*(N(INDEX('Daily Sale entry '!$S$1:$S$1501,$J1383-1499))-TRUNC(N(INDEX('Daily Sale entry '!$S$1:$S$1501,$J1383-1499))))))</f>
        <v/>
      </c>
      <c r="G1383" s="6">
        <f>IF($J1383="","",IF($J1383&lt;=1500,N(INDEX('Daily Sale entry '!$AD$1:$AD$1501,$J1383+1)),0))</f>
        <v/>
      </c>
      <c r="H1383" s="6">
        <f>IF($J1383="","",ROUND('Opening Balance'!$B$4+SUM($F$2:F1383)-SUM($G$2:G1383),2))</f>
        <v/>
      </c>
      <c r="J1383" s="21">
        <f>IFERROR(MATCH(ROW()-1,$L$2:$L$3001,0),"")</f>
        <v/>
      </c>
      <c r="K1383" s="34">
        <f>IF(AND('Daily Sale entry '!X1383&lt;&gt;"",OR('Daily Sale entry '!AC1383&lt;&gt;"",'Daily Sale entry '!AD1383&lt;&gt;"")),'Daily Sale entry '!X1383+ROW()/10000000,"")</f>
        <v/>
      </c>
      <c r="L1383" s="21">
        <f>IF(K1383="","",COUNTIF($K$2:$K$3001,"&lt;"&amp;K1383)+1)</f>
        <v/>
      </c>
    </row>
    <row r="1384">
      <c r="A1384" s="5">
        <f>IF($J1384="","",IF($J1384&lt;=1500,INDEX('Daily Sale entry '!$X$1:$X$1501,$J1384+1),INDEX('Daily Sale entry '!$V$1:$V$1501,$J1384-1499)))</f>
        <v/>
      </c>
      <c r="B1384">
        <f>IF($J1384="","",IF($J1384&lt;=1500,INDEX('Daily Sale entry '!$Y$1:$Y$1501,$J1384+1)&amp;"","Buyer cheque banked 买家支票存入"&amp;IF(INDEX('Daily Sale entry '!$U$1:$U$1501,$J1384-1499)="","", " - "&amp;INDEX('Daily Sale entry '!$U$1:$U$1501,$J1384-1499))))</f>
        <v/>
      </c>
      <c r="C1384">
        <f>IF($J1384="","",IF($J1384&lt;=1500,INDEX('Daily Sale entry '!$Z$1:$Z$1501,$J1384+1)&amp;"","Cheque deposit 支票存入 (buyer 买家)"))</f>
        <v/>
      </c>
      <c r="D1384">
        <f>IF($J1384="","",IF($J1384&lt;=1500,INDEX('Daily Sale entry '!$AA$1:$AA$1501,$J1384+1)&amp;"",INDEX('Daily Sale entry '!$P$1:$P$1501,$J1384-1499)&amp;""))</f>
        <v/>
      </c>
      <c r="E1384">
        <f>IF($J1384="","",IF($J1384&lt;=1500,IF(N(INDEX('Daily Sale entry '!$AB$1:$AB$1501,$J1384+1))=0,"",INDEX('Daily Sale entry '!$AB$1:$AB$1501,$J1384+1)),1))</f>
        <v/>
      </c>
      <c r="F1384" s="6">
        <f>IF($J1384="","",IF($J1384&lt;=1500,N(INDEX('Daily Sale entry '!$AC$1:$AC$1501,$J1384+1))-IF(AND('Opening Balance'!$B$15=1,INDEX('Daily Sale entry '!$Z$1:$Z$1501,$J1384+1)="Online collection 网上收款",INDEX('Daily Sale entry '!$AA$1:$AA$1501,$J1384+1)&lt;&gt;""),N(INDEX('Daily Sale entry '!$AC$1:$AC$1501,$J1384+1))-TRUNC(N(INDEX('Daily Sale entry '!$AC$1:$AC$1501,$J1384+1))),0),N(INDEX('Daily Sale entry '!$S$1:$S$1501,$J1384-1499))-'Opening Balance'!$B$15*(N(INDEX('Daily Sale entry '!$S$1:$S$1501,$J1384-1499))-TRUNC(N(INDEX('Daily Sale entry '!$S$1:$S$1501,$J1384-1499))))))</f>
        <v/>
      </c>
      <c r="G1384" s="6">
        <f>IF($J1384="","",IF($J1384&lt;=1500,N(INDEX('Daily Sale entry '!$AD$1:$AD$1501,$J1384+1)),0))</f>
        <v/>
      </c>
      <c r="H1384" s="6">
        <f>IF($J1384="","",ROUND('Opening Balance'!$B$4+SUM($F$2:F1384)-SUM($G$2:G1384),2))</f>
        <v/>
      </c>
      <c r="J1384" s="21">
        <f>IFERROR(MATCH(ROW()-1,$L$2:$L$3001,0),"")</f>
        <v/>
      </c>
      <c r="K1384" s="34">
        <f>IF(AND('Daily Sale entry '!X1384&lt;&gt;"",OR('Daily Sale entry '!AC1384&lt;&gt;"",'Daily Sale entry '!AD1384&lt;&gt;"")),'Daily Sale entry '!X1384+ROW()/10000000,"")</f>
        <v/>
      </c>
      <c r="L1384" s="21">
        <f>IF(K1384="","",COUNTIF($K$2:$K$3001,"&lt;"&amp;K1384)+1)</f>
        <v/>
      </c>
    </row>
    <row r="1385">
      <c r="A1385" s="5">
        <f>IF($J1385="","",IF($J1385&lt;=1500,INDEX('Daily Sale entry '!$X$1:$X$1501,$J1385+1),INDEX('Daily Sale entry '!$V$1:$V$1501,$J1385-1499)))</f>
        <v/>
      </c>
      <c r="B1385">
        <f>IF($J1385="","",IF($J1385&lt;=1500,INDEX('Daily Sale entry '!$Y$1:$Y$1501,$J1385+1)&amp;"","Buyer cheque banked 买家支票存入"&amp;IF(INDEX('Daily Sale entry '!$U$1:$U$1501,$J1385-1499)="","", " - "&amp;INDEX('Daily Sale entry '!$U$1:$U$1501,$J1385-1499))))</f>
        <v/>
      </c>
      <c r="C1385">
        <f>IF($J1385="","",IF($J1385&lt;=1500,INDEX('Daily Sale entry '!$Z$1:$Z$1501,$J1385+1)&amp;"","Cheque deposit 支票存入 (buyer 买家)"))</f>
        <v/>
      </c>
      <c r="D1385">
        <f>IF($J1385="","",IF($J1385&lt;=1500,INDEX('Daily Sale entry '!$AA$1:$AA$1501,$J1385+1)&amp;"",INDEX('Daily Sale entry '!$P$1:$P$1501,$J1385-1499)&amp;""))</f>
        <v/>
      </c>
      <c r="E1385">
        <f>IF($J1385="","",IF($J1385&lt;=1500,IF(N(INDEX('Daily Sale entry '!$AB$1:$AB$1501,$J1385+1))=0,"",INDEX('Daily Sale entry '!$AB$1:$AB$1501,$J1385+1)),1))</f>
        <v/>
      </c>
      <c r="F1385" s="6">
        <f>IF($J1385="","",IF($J1385&lt;=1500,N(INDEX('Daily Sale entry '!$AC$1:$AC$1501,$J1385+1))-IF(AND('Opening Balance'!$B$15=1,INDEX('Daily Sale entry '!$Z$1:$Z$1501,$J1385+1)="Online collection 网上收款",INDEX('Daily Sale entry '!$AA$1:$AA$1501,$J1385+1)&lt;&gt;""),N(INDEX('Daily Sale entry '!$AC$1:$AC$1501,$J1385+1))-TRUNC(N(INDEX('Daily Sale entry '!$AC$1:$AC$1501,$J1385+1))),0),N(INDEX('Daily Sale entry '!$S$1:$S$1501,$J1385-1499))-'Opening Balance'!$B$15*(N(INDEX('Daily Sale entry '!$S$1:$S$1501,$J1385-1499))-TRUNC(N(INDEX('Daily Sale entry '!$S$1:$S$1501,$J1385-1499))))))</f>
        <v/>
      </c>
      <c r="G1385" s="6">
        <f>IF($J1385="","",IF($J1385&lt;=1500,N(INDEX('Daily Sale entry '!$AD$1:$AD$1501,$J1385+1)),0))</f>
        <v/>
      </c>
      <c r="H1385" s="6">
        <f>IF($J1385="","",ROUND('Opening Balance'!$B$4+SUM($F$2:F1385)-SUM($G$2:G1385),2))</f>
        <v/>
      </c>
      <c r="J1385" s="21">
        <f>IFERROR(MATCH(ROW()-1,$L$2:$L$3001,0),"")</f>
        <v/>
      </c>
      <c r="K1385" s="34">
        <f>IF(AND('Daily Sale entry '!X1385&lt;&gt;"",OR('Daily Sale entry '!AC1385&lt;&gt;"",'Daily Sale entry '!AD1385&lt;&gt;"")),'Daily Sale entry '!X1385+ROW()/10000000,"")</f>
        <v/>
      </c>
      <c r="L1385" s="21">
        <f>IF(K1385="","",COUNTIF($K$2:$K$3001,"&lt;"&amp;K1385)+1)</f>
        <v/>
      </c>
    </row>
    <row r="1386">
      <c r="A1386" s="5">
        <f>IF($J1386="","",IF($J1386&lt;=1500,INDEX('Daily Sale entry '!$X$1:$X$1501,$J1386+1),INDEX('Daily Sale entry '!$V$1:$V$1501,$J1386-1499)))</f>
        <v/>
      </c>
      <c r="B1386">
        <f>IF($J1386="","",IF($J1386&lt;=1500,INDEX('Daily Sale entry '!$Y$1:$Y$1501,$J1386+1)&amp;"","Buyer cheque banked 买家支票存入"&amp;IF(INDEX('Daily Sale entry '!$U$1:$U$1501,$J1386-1499)="","", " - "&amp;INDEX('Daily Sale entry '!$U$1:$U$1501,$J1386-1499))))</f>
        <v/>
      </c>
      <c r="C1386">
        <f>IF($J1386="","",IF($J1386&lt;=1500,INDEX('Daily Sale entry '!$Z$1:$Z$1501,$J1386+1)&amp;"","Cheque deposit 支票存入 (buyer 买家)"))</f>
        <v/>
      </c>
      <c r="D1386">
        <f>IF($J1386="","",IF($J1386&lt;=1500,INDEX('Daily Sale entry '!$AA$1:$AA$1501,$J1386+1)&amp;"",INDEX('Daily Sale entry '!$P$1:$P$1501,$J1386-1499)&amp;""))</f>
        <v/>
      </c>
      <c r="E1386">
        <f>IF($J1386="","",IF($J1386&lt;=1500,IF(N(INDEX('Daily Sale entry '!$AB$1:$AB$1501,$J1386+1))=0,"",INDEX('Daily Sale entry '!$AB$1:$AB$1501,$J1386+1)),1))</f>
        <v/>
      </c>
      <c r="F1386" s="6">
        <f>IF($J1386="","",IF($J1386&lt;=1500,N(INDEX('Daily Sale entry '!$AC$1:$AC$1501,$J1386+1))-IF(AND('Opening Balance'!$B$15=1,INDEX('Daily Sale entry '!$Z$1:$Z$1501,$J1386+1)="Online collection 网上收款",INDEX('Daily Sale entry '!$AA$1:$AA$1501,$J1386+1)&lt;&gt;""),N(INDEX('Daily Sale entry '!$AC$1:$AC$1501,$J1386+1))-TRUNC(N(INDEX('Daily Sale entry '!$AC$1:$AC$1501,$J1386+1))),0),N(INDEX('Daily Sale entry '!$S$1:$S$1501,$J1386-1499))-'Opening Balance'!$B$15*(N(INDEX('Daily Sale entry '!$S$1:$S$1501,$J1386-1499))-TRUNC(N(INDEX('Daily Sale entry '!$S$1:$S$1501,$J1386-1499))))))</f>
        <v/>
      </c>
      <c r="G1386" s="6">
        <f>IF($J1386="","",IF($J1386&lt;=1500,N(INDEX('Daily Sale entry '!$AD$1:$AD$1501,$J1386+1)),0))</f>
        <v/>
      </c>
      <c r="H1386" s="6">
        <f>IF($J1386="","",ROUND('Opening Balance'!$B$4+SUM($F$2:F1386)-SUM($G$2:G1386),2))</f>
        <v/>
      </c>
      <c r="J1386" s="21">
        <f>IFERROR(MATCH(ROW()-1,$L$2:$L$3001,0),"")</f>
        <v/>
      </c>
      <c r="K1386" s="34">
        <f>IF(AND('Daily Sale entry '!X1386&lt;&gt;"",OR('Daily Sale entry '!AC1386&lt;&gt;"",'Daily Sale entry '!AD1386&lt;&gt;"")),'Daily Sale entry '!X1386+ROW()/10000000,"")</f>
        <v/>
      </c>
      <c r="L1386" s="21">
        <f>IF(K1386="","",COUNTIF($K$2:$K$3001,"&lt;"&amp;K1386)+1)</f>
        <v/>
      </c>
    </row>
    <row r="1387">
      <c r="A1387" s="5">
        <f>IF($J1387="","",IF($J1387&lt;=1500,INDEX('Daily Sale entry '!$X$1:$X$1501,$J1387+1),INDEX('Daily Sale entry '!$V$1:$V$1501,$J1387-1499)))</f>
        <v/>
      </c>
      <c r="B1387">
        <f>IF($J1387="","",IF($J1387&lt;=1500,INDEX('Daily Sale entry '!$Y$1:$Y$1501,$J1387+1)&amp;"","Buyer cheque banked 买家支票存入"&amp;IF(INDEX('Daily Sale entry '!$U$1:$U$1501,$J1387-1499)="","", " - "&amp;INDEX('Daily Sale entry '!$U$1:$U$1501,$J1387-1499))))</f>
        <v/>
      </c>
      <c r="C1387">
        <f>IF($J1387="","",IF($J1387&lt;=1500,INDEX('Daily Sale entry '!$Z$1:$Z$1501,$J1387+1)&amp;"","Cheque deposit 支票存入 (buyer 买家)"))</f>
        <v/>
      </c>
      <c r="D1387">
        <f>IF($J1387="","",IF($J1387&lt;=1500,INDEX('Daily Sale entry '!$AA$1:$AA$1501,$J1387+1)&amp;"",INDEX('Daily Sale entry '!$P$1:$P$1501,$J1387-1499)&amp;""))</f>
        <v/>
      </c>
      <c r="E1387">
        <f>IF($J1387="","",IF($J1387&lt;=1500,IF(N(INDEX('Daily Sale entry '!$AB$1:$AB$1501,$J1387+1))=0,"",INDEX('Daily Sale entry '!$AB$1:$AB$1501,$J1387+1)),1))</f>
        <v/>
      </c>
      <c r="F1387" s="6">
        <f>IF($J1387="","",IF($J1387&lt;=1500,N(INDEX('Daily Sale entry '!$AC$1:$AC$1501,$J1387+1))-IF(AND('Opening Balance'!$B$15=1,INDEX('Daily Sale entry '!$Z$1:$Z$1501,$J1387+1)="Online collection 网上收款",INDEX('Daily Sale entry '!$AA$1:$AA$1501,$J1387+1)&lt;&gt;""),N(INDEX('Daily Sale entry '!$AC$1:$AC$1501,$J1387+1))-TRUNC(N(INDEX('Daily Sale entry '!$AC$1:$AC$1501,$J1387+1))),0),N(INDEX('Daily Sale entry '!$S$1:$S$1501,$J1387-1499))-'Opening Balance'!$B$15*(N(INDEX('Daily Sale entry '!$S$1:$S$1501,$J1387-1499))-TRUNC(N(INDEX('Daily Sale entry '!$S$1:$S$1501,$J1387-1499))))))</f>
        <v/>
      </c>
      <c r="G1387" s="6">
        <f>IF($J1387="","",IF($J1387&lt;=1500,N(INDEX('Daily Sale entry '!$AD$1:$AD$1501,$J1387+1)),0))</f>
        <v/>
      </c>
      <c r="H1387" s="6">
        <f>IF($J1387="","",ROUND('Opening Balance'!$B$4+SUM($F$2:F1387)-SUM($G$2:G1387),2))</f>
        <v/>
      </c>
      <c r="J1387" s="21">
        <f>IFERROR(MATCH(ROW()-1,$L$2:$L$3001,0),"")</f>
        <v/>
      </c>
      <c r="K1387" s="34">
        <f>IF(AND('Daily Sale entry '!X1387&lt;&gt;"",OR('Daily Sale entry '!AC1387&lt;&gt;"",'Daily Sale entry '!AD1387&lt;&gt;"")),'Daily Sale entry '!X1387+ROW()/10000000,"")</f>
        <v/>
      </c>
      <c r="L1387" s="21">
        <f>IF(K1387="","",COUNTIF($K$2:$K$3001,"&lt;"&amp;K1387)+1)</f>
        <v/>
      </c>
    </row>
    <row r="1388">
      <c r="A1388" s="5">
        <f>IF($J1388="","",IF($J1388&lt;=1500,INDEX('Daily Sale entry '!$X$1:$X$1501,$J1388+1),INDEX('Daily Sale entry '!$V$1:$V$1501,$J1388-1499)))</f>
        <v/>
      </c>
      <c r="B1388">
        <f>IF($J1388="","",IF($J1388&lt;=1500,INDEX('Daily Sale entry '!$Y$1:$Y$1501,$J1388+1)&amp;"","Buyer cheque banked 买家支票存入"&amp;IF(INDEX('Daily Sale entry '!$U$1:$U$1501,$J1388-1499)="","", " - "&amp;INDEX('Daily Sale entry '!$U$1:$U$1501,$J1388-1499))))</f>
        <v/>
      </c>
      <c r="C1388">
        <f>IF($J1388="","",IF($J1388&lt;=1500,INDEX('Daily Sale entry '!$Z$1:$Z$1501,$J1388+1)&amp;"","Cheque deposit 支票存入 (buyer 买家)"))</f>
        <v/>
      </c>
      <c r="D1388">
        <f>IF($J1388="","",IF($J1388&lt;=1500,INDEX('Daily Sale entry '!$AA$1:$AA$1501,$J1388+1)&amp;"",INDEX('Daily Sale entry '!$P$1:$P$1501,$J1388-1499)&amp;""))</f>
        <v/>
      </c>
      <c r="E1388">
        <f>IF($J1388="","",IF($J1388&lt;=1500,IF(N(INDEX('Daily Sale entry '!$AB$1:$AB$1501,$J1388+1))=0,"",INDEX('Daily Sale entry '!$AB$1:$AB$1501,$J1388+1)),1))</f>
        <v/>
      </c>
      <c r="F1388" s="6">
        <f>IF($J1388="","",IF($J1388&lt;=1500,N(INDEX('Daily Sale entry '!$AC$1:$AC$1501,$J1388+1))-IF(AND('Opening Balance'!$B$15=1,INDEX('Daily Sale entry '!$Z$1:$Z$1501,$J1388+1)="Online collection 网上收款",INDEX('Daily Sale entry '!$AA$1:$AA$1501,$J1388+1)&lt;&gt;""),N(INDEX('Daily Sale entry '!$AC$1:$AC$1501,$J1388+1))-TRUNC(N(INDEX('Daily Sale entry '!$AC$1:$AC$1501,$J1388+1))),0),N(INDEX('Daily Sale entry '!$S$1:$S$1501,$J1388-1499))-'Opening Balance'!$B$15*(N(INDEX('Daily Sale entry '!$S$1:$S$1501,$J1388-1499))-TRUNC(N(INDEX('Daily Sale entry '!$S$1:$S$1501,$J1388-1499))))))</f>
        <v/>
      </c>
      <c r="G1388" s="6">
        <f>IF($J1388="","",IF($J1388&lt;=1500,N(INDEX('Daily Sale entry '!$AD$1:$AD$1501,$J1388+1)),0))</f>
        <v/>
      </c>
      <c r="H1388" s="6">
        <f>IF($J1388="","",ROUND('Opening Balance'!$B$4+SUM($F$2:F1388)-SUM($G$2:G1388),2))</f>
        <v/>
      </c>
      <c r="J1388" s="21">
        <f>IFERROR(MATCH(ROW()-1,$L$2:$L$3001,0),"")</f>
        <v/>
      </c>
      <c r="K1388" s="34">
        <f>IF(AND('Daily Sale entry '!X1388&lt;&gt;"",OR('Daily Sale entry '!AC1388&lt;&gt;"",'Daily Sale entry '!AD1388&lt;&gt;"")),'Daily Sale entry '!X1388+ROW()/10000000,"")</f>
        <v/>
      </c>
      <c r="L1388" s="21">
        <f>IF(K1388="","",COUNTIF($K$2:$K$3001,"&lt;"&amp;K1388)+1)</f>
        <v/>
      </c>
    </row>
    <row r="1389">
      <c r="A1389" s="5">
        <f>IF($J1389="","",IF($J1389&lt;=1500,INDEX('Daily Sale entry '!$X$1:$X$1501,$J1389+1),INDEX('Daily Sale entry '!$V$1:$V$1501,$J1389-1499)))</f>
        <v/>
      </c>
      <c r="B1389">
        <f>IF($J1389="","",IF($J1389&lt;=1500,INDEX('Daily Sale entry '!$Y$1:$Y$1501,$J1389+1)&amp;"","Buyer cheque banked 买家支票存入"&amp;IF(INDEX('Daily Sale entry '!$U$1:$U$1501,$J1389-1499)="","", " - "&amp;INDEX('Daily Sale entry '!$U$1:$U$1501,$J1389-1499))))</f>
        <v/>
      </c>
      <c r="C1389">
        <f>IF($J1389="","",IF($J1389&lt;=1500,INDEX('Daily Sale entry '!$Z$1:$Z$1501,$J1389+1)&amp;"","Cheque deposit 支票存入 (buyer 买家)"))</f>
        <v/>
      </c>
      <c r="D1389">
        <f>IF($J1389="","",IF($J1389&lt;=1500,INDEX('Daily Sale entry '!$AA$1:$AA$1501,$J1389+1)&amp;"",INDEX('Daily Sale entry '!$P$1:$P$1501,$J1389-1499)&amp;""))</f>
        <v/>
      </c>
      <c r="E1389">
        <f>IF($J1389="","",IF($J1389&lt;=1500,IF(N(INDEX('Daily Sale entry '!$AB$1:$AB$1501,$J1389+1))=0,"",INDEX('Daily Sale entry '!$AB$1:$AB$1501,$J1389+1)),1))</f>
        <v/>
      </c>
      <c r="F1389" s="6">
        <f>IF($J1389="","",IF($J1389&lt;=1500,N(INDEX('Daily Sale entry '!$AC$1:$AC$1501,$J1389+1))-IF(AND('Opening Balance'!$B$15=1,INDEX('Daily Sale entry '!$Z$1:$Z$1501,$J1389+1)="Online collection 网上收款",INDEX('Daily Sale entry '!$AA$1:$AA$1501,$J1389+1)&lt;&gt;""),N(INDEX('Daily Sale entry '!$AC$1:$AC$1501,$J1389+1))-TRUNC(N(INDEX('Daily Sale entry '!$AC$1:$AC$1501,$J1389+1))),0),N(INDEX('Daily Sale entry '!$S$1:$S$1501,$J1389-1499))-'Opening Balance'!$B$15*(N(INDEX('Daily Sale entry '!$S$1:$S$1501,$J1389-1499))-TRUNC(N(INDEX('Daily Sale entry '!$S$1:$S$1501,$J1389-1499))))))</f>
        <v/>
      </c>
      <c r="G1389" s="6">
        <f>IF($J1389="","",IF($J1389&lt;=1500,N(INDEX('Daily Sale entry '!$AD$1:$AD$1501,$J1389+1)),0))</f>
        <v/>
      </c>
      <c r="H1389" s="6">
        <f>IF($J1389="","",ROUND('Opening Balance'!$B$4+SUM($F$2:F1389)-SUM($G$2:G1389),2))</f>
        <v/>
      </c>
      <c r="J1389" s="21">
        <f>IFERROR(MATCH(ROW()-1,$L$2:$L$3001,0),"")</f>
        <v/>
      </c>
      <c r="K1389" s="34">
        <f>IF(AND('Daily Sale entry '!X1389&lt;&gt;"",OR('Daily Sale entry '!AC1389&lt;&gt;"",'Daily Sale entry '!AD1389&lt;&gt;"")),'Daily Sale entry '!X1389+ROW()/10000000,"")</f>
        <v/>
      </c>
      <c r="L1389" s="21">
        <f>IF(K1389="","",COUNTIF($K$2:$K$3001,"&lt;"&amp;K1389)+1)</f>
        <v/>
      </c>
    </row>
    <row r="1390">
      <c r="A1390" s="5">
        <f>IF($J1390="","",IF($J1390&lt;=1500,INDEX('Daily Sale entry '!$X$1:$X$1501,$J1390+1),INDEX('Daily Sale entry '!$V$1:$V$1501,$J1390-1499)))</f>
        <v/>
      </c>
      <c r="B1390">
        <f>IF($J1390="","",IF($J1390&lt;=1500,INDEX('Daily Sale entry '!$Y$1:$Y$1501,$J1390+1)&amp;"","Buyer cheque banked 买家支票存入"&amp;IF(INDEX('Daily Sale entry '!$U$1:$U$1501,$J1390-1499)="","", " - "&amp;INDEX('Daily Sale entry '!$U$1:$U$1501,$J1390-1499))))</f>
        <v/>
      </c>
      <c r="C1390">
        <f>IF($J1390="","",IF($J1390&lt;=1500,INDEX('Daily Sale entry '!$Z$1:$Z$1501,$J1390+1)&amp;"","Cheque deposit 支票存入 (buyer 买家)"))</f>
        <v/>
      </c>
      <c r="D1390">
        <f>IF($J1390="","",IF($J1390&lt;=1500,INDEX('Daily Sale entry '!$AA$1:$AA$1501,$J1390+1)&amp;"",INDEX('Daily Sale entry '!$P$1:$P$1501,$J1390-1499)&amp;""))</f>
        <v/>
      </c>
      <c r="E1390">
        <f>IF($J1390="","",IF($J1390&lt;=1500,IF(N(INDEX('Daily Sale entry '!$AB$1:$AB$1501,$J1390+1))=0,"",INDEX('Daily Sale entry '!$AB$1:$AB$1501,$J1390+1)),1))</f>
        <v/>
      </c>
      <c r="F1390" s="6">
        <f>IF($J1390="","",IF($J1390&lt;=1500,N(INDEX('Daily Sale entry '!$AC$1:$AC$1501,$J1390+1))-IF(AND('Opening Balance'!$B$15=1,INDEX('Daily Sale entry '!$Z$1:$Z$1501,$J1390+1)="Online collection 网上收款",INDEX('Daily Sale entry '!$AA$1:$AA$1501,$J1390+1)&lt;&gt;""),N(INDEX('Daily Sale entry '!$AC$1:$AC$1501,$J1390+1))-TRUNC(N(INDEX('Daily Sale entry '!$AC$1:$AC$1501,$J1390+1))),0),N(INDEX('Daily Sale entry '!$S$1:$S$1501,$J1390-1499))-'Opening Balance'!$B$15*(N(INDEX('Daily Sale entry '!$S$1:$S$1501,$J1390-1499))-TRUNC(N(INDEX('Daily Sale entry '!$S$1:$S$1501,$J1390-1499))))))</f>
        <v/>
      </c>
      <c r="G1390" s="6">
        <f>IF($J1390="","",IF($J1390&lt;=1500,N(INDEX('Daily Sale entry '!$AD$1:$AD$1501,$J1390+1)),0))</f>
        <v/>
      </c>
      <c r="H1390" s="6">
        <f>IF($J1390="","",ROUND('Opening Balance'!$B$4+SUM($F$2:F1390)-SUM($G$2:G1390),2))</f>
        <v/>
      </c>
      <c r="J1390" s="21">
        <f>IFERROR(MATCH(ROW()-1,$L$2:$L$3001,0),"")</f>
        <v/>
      </c>
      <c r="K1390" s="34">
        <f>IF(AND('Daily Sale entry '!X1390&lt;&gt;"",OR('Daily Sale entry '!AC1390&lt;&gt;"",'Daily Sale entry '!AD1390&lt;&gt;"")),'Daily Sale entry '!X1390+ROW()/10000000,"")</f>
        <v/>
      </c>
      <c r="L1390" s="21">
        <f>IF(K1390="","",COUNTIF($K$2:$K$3001,"&lt;"&amp;K1390)+1)</f>
        <v/>
      </c>
    </row>
    <row r="1391">
      <c r="A1391" s="5">
        <f>IF($J1391="","",IF($J1391&lt;=1500,INDEX('Daily Sale entry '!$X$1:$X$1501,$J1391+1),INDEX('Daily Sale entry '!$V$1:$V$1501,$J1391-1499)))</f>
        <v/>
      </c>
      <c r="B1391">
        <f>IF($J1391="","",IF($J1391&lt;=1500,INDEX('Daily Sale entry '!$Y$1:$Y$1501,$J1391+1)&amp;"","Buyer cheque banked 买家支票存入"&amp;IF(INDEX('Daily Sale entry '!$U$1:$U$1501,$J1391-1499)="","", " - "&amp;INDEX('Daily Sale entry '!$U$1:$U$1501,$J1391-1499))))</f>
        <v/>
      </c>
      <c r="C1391">
        <f>IF($J1391="","",IF($J1391&lt;=1500,INDEX('Daily Sale entry '!$Z$1:$Z$1501,$J1391+1)&amp;"","Cheque deposit 支票存入 (buyer 买家)"))</f>
        <v/>
      </c>
      <c r="D1391">
        <f>IF($J1391="","",IF($J1391&lt;=1500,INDEX('Daily Sale entry '!$AA$1:$AA$1501,$J1391+1)&amp;"",INDEX('Daily Sale entry '!$P$1:$P$1501,$J1391-1499)&amp;""))</f>
        <v/>
      </c>
      <c r="E1391">
        <f>IF($J1391="","",IF($J1391&lt;=1500,IF(N(INDEX('Daily Sale entry '!$AB$1:$AB$1501,$J1391+1))=0,"",INDEX('Daily Sale entry '!$AB$1:$AB$1501,$J1391+1)),1))</f>
        <v/>
      </c>
      <c r="F1391" s="6">
        <f>IF($J1391="","",IF($J1391&lt;=1500,N(INDEX('Daily Sale entry '!$AC$1:$AC$1501,$J1391+1))-IF(AND('Opening Balance'!$B$15=1,INDEX('Daily Sale entry '!$Z$1:$Z$1501,$J1391+1)="Online collection 网上收款",INDEX('Daily Sale entry '!$AA$1:$AA$1501,$J1391+1)&lt;&gt;""),N(INDEX('Daily Sale entry '!$AC$1:$AC$1501,$J1391+1))-TRUNC(N(INDEX('Daily Sale entry '!$AC$1:$AC$1501,$J1391+1))),0),N(INDEX('Daily Sale entry '!$S$1:$S$1501,$J1391-1499))-'Opening Balance'!$B$15*(N(INDEX('Daily Sale entry '!$S$1:$S$1501,$J1391-1499))-TRUNC(N(INDEX('Daily Sale entry '!$S$1:$S$1501,$J1391-1499))))))</f>
        <v/>
      </c>
      <c r="G1391" s="6">
        <f>IF($J1391="","",IF($J1391&lt;=1500,N(INDEX('Daily Sale entry '!$AD$1:$AD$1501,$J1391+1)),0))</f>
        <v/>
      </c>
      <c r="H1391" s="6">
        <f>IF($J1391="","",ROUND('Opening Balance'!$B$4+SUM($F$2:F1391)-SUM($G$2:G1391),2))</f>
        <v/>
      </c>
      <c r="J1391" s="21">
        <f>IFERROR(MATCH(ROW()-1,$L$2:$L$3001,0),"")</f>
        <v/>
      </c>
      <c r="K1391" s="34">
        <f>IF(AND('Daily Sale entry '!X1391&lt;&gt;"",OR('Daily Sale entry '!AC1391&lt;&gt;"",'Daily Sale entry '!AD1391&lt;&gt;"")),'Daily Sale entry '!X1391+ROW()/10000000,"")</f>
        <v/>
      </c>
      <c r="L1391" s="21">
        <f>IF(K1391="","",COUNTIF($K$2:$K$3001,"&lt;"&amp;K1391)+1)</f>
        <v/>
      </c>
    </row>
    <row r="1392">
      <c r="A1392" s="5">
        <f>IF($J1392="","",IF($J1392&lt;=1500,INDEX('Daily Sale entry '!$X$1:$X$1501,$J1392+1),INDEX('Daily Sale entry '!$V$1:$V$1501,$J1392-1499)))</f>
        <v/>
      </c>
      <c r="B1392">
        <f>IF($J1392="","",IF($J1392&lt;=1500,INDEX('Daily Sale entry '!$Y$1:$Y$1501,$J1392+1)&amp;"","Buyer cheque banked 买家支票存入"&amp;IF(INDEX('Daily Sale entry '!$U$1:$U$1501,$J1392-1499)="","", " - "&amp;INDEX('Daily Sale entry '!$U$1:$U$1501,$J1392-1499))))</f>
        <v/>
      </c>
      <c r="C1392">
        <f>IF($J1392="","",IF($J1392&lt;=1500,INDEX('Daily Sale entry '!$Z$1:$Z$1501,$J1392+1)&amp;"","Cheque deposit 支票存入 (buyer 买家)"))</f>
        <v/>
      </c>
      <c r="D1392">
        <f>IF($J1392="","",IF($J1392&lt;=1500,INDEX('Daily Sale entry '!$AA$1:$AA$1501,$J1392+1)&amp;"",INDEX('Daily Sale entry '!$P$1:$P$1501,$J1392-1499)&amp;""))</f>
        <v/>
      </c>
      <c r="E1392">
        <f>IF($J1392="","",IF($J1392&lt;=1500,IF(N(INDEX('Daily Sale entry '!$AB$1:$AB$1501,$J1392+1))=0,"",INDEX('Daily Sale entry '!$AB$1:$AB$1501,$J1392+1)),1))</f>
        <v/>
      </c>
      <c r="F1392" s="6">
        <f>IF($J1392="","",IF($J1392&lt;=1500,N(INDEX('Daily Sale entry '!$AC$1:$AC$1501,$J1392+1))-IF(AND('Opening Balance'!$B$15=1,INDEX('Daily Sale entry '!$Z$1:$Z$1501,$J1392+1)="Online collection 网上收款",INDEX('Daily Sale entry '!$AA$1:$AA$1501,$J1392+1)&lt;&gt;""),N(INDEX('Daily Sale entry '!$AC$1:$AC$1501,$J1392+1))-TRUNC(N(INDEX('Daily Sale entry '!$AC$1:$AC$1501,$J1392+1))),0),N(INDEX('Daily Sale entry '!$S$1:$S$1501,$J1392-1499))-'Opening Balance'!$B$15*(N(INDEX('Daily Sale entry '!$S$1:$S$1501,$J1392-1499))-TRUNC(N(INDEX('Daily Sale entry '!$S$1:$S$1501,$J1392-1499))))))</f>
        <v/>
      </c>
      <c r="G1392" s="6">
        <f>IF($J1392="","",IF($J1392&lt;=1500,N(INDEX('Daily Sale entry '!$AD$1:$AD$1501,$J1392+1)),0))</f>
        <v/>
      </c>
      <c r="H1392" s="6">
        <f>IF($J1392="","",ROUND('Opening Balance'!$B$4+SUM($F$2:F1392)-SUM($G$2:G1392),2))</f>
        <v/>
      </c>
      <c r="J1392" s="21">
        <f>IFERROR(MATCH(ROW()-1,$L$2:$L$3001,0),"")</f>
        <v/>
      </c>
      <c r="K1392" s="34">
        <f>IF(AND('Daily Sale entry '!X1392&lt;&gt;"",OR('Daily Sale entry '!AC1392&lt;&gt;"",'Daily Sale entry '!AD1392&lt;&gt;"")),'Daily Sale entry '!X1392+ROW()/10000000,"")</f>
        <v/>
      </c>
      <c r="L1392" s="21">
        <f>IF(K1392="","",COUNTIF($K$2:$K$3001,"&lt;"&amp;K1392)+1)</f>
        <v/>
      </c>
    </row>
    <row r="1393">
      <c r="A1393" s="5">
        <f>IF($J1393="","",IF($J1393&lt;=1500,INDEX('Daily Sale entry '!$X$1:$X$1501,$J1393+1),INDEX('Daily Sale entry '!$V$1:$V$1501,$J1393-1499)))</f>
        <v/>
      </c>
      <c r="B1393">
        <f>IF($J1393="","",IF($J1393&lt;=1500,INDEX('Daily Sale entry '!$Y$1:$Y$1501,$J1393+1)&amp;"","Buyer cheque banked 买家支票存入"&amp;IF(INDEX('Daily Sale entry '!$U$1:$U$1501,$J1393-1499)="","", " - "&amp;INDEX('Daily Sale entry '!$U$1:$U$1501,$J1393-1499))))</f>
        <v/>
      </c>
      <c r="C1393">
        <f>IF($J1393="","",IF($J1393&lt;=1500,INDEX('Daily Sale entry '!$Z$1:$Z$1501,$J1393+1)&amp;"","Cheque deposit 支票存入 (buyer 买家)"))</f>
        <v/>
      </c>
      <c r="D1393">
        <f>IF($J1393="","",IF($J1393&lt;=1500,INDEX('Daily Sale entry '!$AA$1:$AA$1501,$J1393+1)&amp;"",INDEX('Daily Sale entry '!$P$1:$P$1501,$J1393-1499)&amp;""))</f>
        <v/>
      </c>
      <c r="E1393">
        <f>IF($J1393="","",IF($J1393&lt;=1500,IF(N(INDEX('Daily Sale entry '!$AB$1:$AB$1501,$J1393+1))=0,"",INDEX('Daily Sale entry '!$AB$1:$AB$1501,$J1393+1)),1))</f>
        <v/>
      </c>
      <c r="F1393" s="6">
        <f>IF($J1393="","",IF($J1393&lt;=1500,N(INDEX('Daily Sale entry '!$AC$1:$AC$1501,$J1393+1))-IF(AND('Opening Balance'!$B$15=1,INDEX('Daily Sale entry '!$Z$1:$Z$1501,$J1393+1)="Online collection 网上收款",INDEX('Daily Sale entry '!$AA$1:$AA$1501,$J1393+1)&lt;&gt;""),N(INDEX('Daily Sale entry '!$AC$1:$AC$1501,$J1393+1))-TRUNC(N(INDEX('Daily Sale entry '!$AC$1:$AC$1501,$J1393+1))),0),N(INDEX('Daily Sale entry '!$S$1:$S$1501,$J1393-1499))-'Opening Balance'!$B$15*(N(INDEX('Daily Sale entry '!$S$1:$S$1501,$J1393-1499))-TRUNC(N(INDEX('Daily Sale entry '!$S$1:$S$1501,$J1393-1499))))))</f>
        <v/>
      </c>
      <c r="G1393" s="6">
        <f>IF($J1393="","",IF($J1393&lt;=1500,N(INDEX('Daily Sale entry '!$AD$1:$AD$1501,$J1393+1)),0))</f>
        <v/>
      </c>
      <c r="H1393" s="6">
        <f>IF($J1393="","",ROUND('Opening Balance'!$B$4+SUM($F$2:F1393)-SUM($G$2:G1393),2))</f>
        <v/>
      </c>
      <c r="J1393" s="21">
        <f>IFERROR(MATCH(ROW()-1,$L$2:$L$3001,0),"")</f>
        <v/>
      </c>
      <c r="K1393" s="34">
        <f>IF(AND('Daily Sale entry '!X1393&lt;&gt;"",OR('Daily Sale entry '!AC1393&lt;&gt;"",'Daily Sale entry '!AD1393&lt;&gt;"")),'Daily Sale entry '!X1393+ROW()/10000000,"")</f>
        <v/>
      </c>
      <c r="L1393" s="21">
        <f>IF(K1393="","",COUNTIF($K$2:$K$3001,"&lt;"&amp;K1393)+1)</f>
        <v/>
      </c>
    </row>
    <row r="1394">
      <c r="A1394" s="5">
        <f>IF($J1394="","",IF($J1394&lt;=1500,INDEX('Daily Sale entry '!$X$1:$X$1501,$J1394+1),INDEX('Daily Sale entry '!$V$1:$V$1501,$J1394-1499)))</f>
        <v/>
      </c>
      <c r="B1394">
        <f>IF($J1394="","",IF($J1394&lt;=1500,INDEX('Daily Sale entry '!$Y$1:$Y$1501,$J1394+1)&amp;"","Buyer cheque banked 买家支票存入"&amp;IF(INDEX('Daily Sale entry '!$U$1:$U$1501,$J1394-1499)="","", " - "&amp;INDEX('Daily Sale entry '!$U$1:$U$1501,$J1394-1499))))</f>
        <v/>
      </c>
      <c r="C1394">
        <f>IF($J1394="","",IF($J1394&lt;=1500,INDEX('Daily Sale entry '!$Z$1:$Z$1501,$J1394+1)&amp;"","Cheque deposit 支票存入 (buyer 买家)"))</f>
        <v/>
      </c>
      <c r="D1394">
        <f>IF($J1394="","",IF($J1394&lt;=1500,INDEX('Daily Sale entry '!$AA$1:$AA$1501,$J1394+1)&amp;"",INDEX('Daily Sale entry '!$P$1:$P$1501,$J1394-1499)&amp;""))</f>
        <v/>
      </c>
      <c r="E1394">
        <f>IF($J1394="","",IF($J1394&lt;=1500,IF(N(INDEX('Daily Sale entry '!$AB$1:$AB$1501,$J1394+1))=0,"",INDEX('Daily Sale entry '!$AB$1:$AB$1501,$J1394+1)),1))</f>
        <v/>
      </c>
      <c r="F1394" s="6">
        <f>IF($J1394="","",IF($J1394&lt;=1500,N(INDEX('Daily Sale entry '!$AC$1:$AC$1501,$J1394+1))-IF(AND('Opening Balance'!$B$15=1,INDEX('Daily Sale entry '!$Z$1:$Z$1501,$J1394+1)="Online collection 网上收款",INDEX('Daily Sale entry '!$AA$1:$AA$1501,$J1394+1)&lt;&gt;""),N(INDEX('Daily Sale entry '!$AC$1:$AC$1501,$J1394+1))-TRUNC(N(INDEX('Daily Sale entry '!$AC$1:$AC$1501,$J1394+1))),0),N(INDEX('Daily Sale entry '!$S$1:$S$1501,$J1394-1499))-'Opening Balance'!$B$15*(N(INDEX('Daily Sale entry '!$S$1:$S$1501,$J1394-1499))-TRUNC(N(INDEX('Daily Sale entry '!$S$1:$S$1501,$J1394-1499))))))</f>
        <v/>
      </c>
      <c r="G1394" s="6">
        <f>IF($J1394="","",IF($J1394&lt;=1500,N(INDEX('Daily Sale entry '!$AD$1:$AD$1501,$J1394+1)),0))</f>
        <v/>
      </c>
      <c r="H1394" s="6">
        <f>IF($J1394="","",ROUND('Opening Balance'!$B$4+SUM($F$2:F1394)-SUM($G$2:G1394),2))</f>
        <v/>
      </c>
      <c r="J1394" s="21">
        <f>IFERROR(MATCH(ROW()-1,$L$2:$L$3001,0),"")</f>
        <v/>
      </c>
      <c r="K1394" s="34">
        <f>IF(AND('Daily Sale entry '!X1394&lt;&gt;"",OR('Daily Sale entry '!AC1394&lt;&gt;"",'Daily Sale entry '!AD1394&lt;&gt;"")),'Daily Sale entry '!X1394+ROW()/10000000,"")</f>
        <v/>
      </c>
      <c r="L1394" s="21">
        <f>IF(K1394="","",COUNTIF($K$2:$K$3001,"&lt;"&amp;K1394)+1)</f>
        <v/>
      </c>
    </row>
    <row r="1395">
      <c r="A1395" s="5">
        <f>IF($J1395="","",IF($J1395&lt;=1500,INDEX('Daily Sale entry '!$X$1:$X$1501,$J1395+1),INDEX('Daily Sale entry '!$V$1:$V$1501,$J1395-1499)))</f>
        <v/>
      </c>
      <c r="B1395">
        <f>IF($J1395="","",IF($J1395&lt;=1500,INDEX('Daily Sale entry '!$Y$1:$Y$1501,$J1395+1)&amp;"","Buyer cheque banked 买家支票存入"&amp;IF(INDEX('Daily Sale entry '!$U$1:$U$1501,$J1395-1499)="","", " - "&amp;INDEX('Daily Sale entry '!$U$1:$U$1501,$J1395-1499))))</f>
        <v/>
      </c>
      <c r="C1395">
        <f>IF($J1395="","",IF($J1395&lt;=1500,INDEX('Daily Sale entry '!$Z$1:$Z$1501,$J1395+1)&amp;"","Cheque deposit 支票存入 (buyer 买家)"))</f>
        <v/>
      </c>
      <c r="D1395">
        <f>IF($J1395="","",IF($J1395&lt;=1500,INDEX('Daily Sale entry '!$AA$1:$AA$1501,$J1395+1)&amp;"",INDEX('Daily Sale entry '!$P$1:$P$1501,$J1395-1499)&amp;""))</f>
        <v/>
      </c>
      <c r="E1395">
        <f>IF($J1395="","",IF($J1395&lt;=1500,IF(N(INDEX('Daily Sale entry '!$AB$1:$AB$1501,$J1395+1))=0,"",INDEX('Daily Sale entry '!$AB$1:$AB$1501,$J1395+1)),1))</f>
        <v/>
      </c>
      <c r="F1395" s="6">
        <f>IF($J1395="","",IF($J1395&lt;=1500,N(INDEX('Daily Sale entry '!$AC$1:$AC$1501,$J1395+1))-IF(AND('Opening Balance'!$B$15=1,INDEX('Daily Sale entry '!$Z$1:$Z$1501,$J1395+1)="Online collection 网上收款",INDEX('Daily Sale entry '!$AA$1:$AA$1501,$J1395+1)&lt;&gt;""),N(INDEX('Daily Sale entry '!$AC$1:$AC$1501,$J1395+1))-TRUNC(N(INDEX('Daily Sale entry '!$AC$1:$AC$1501,$J1395+1))),0),N(INDEX('Daily Sale entry '!$S$1:$S$1501,$J1395-1499))-'Opening Balance'!$B$15*(N(INDEX('Daily Sale entry '!$S$1:$S$1501,$J1395-1499))-TRUNC(N(INDEX('Daily Sale entry '!$S$1:$S$1501,$J1395-1499))))))</f>
        <v/>
      </c>
      <c r="G1395" s="6">
        <f>IF($J1395="","",IF($J1395&lt;=1500,N(INDEX('Daily Sale entry '!$AD$1:$AD$1501,$J1395+1)),0))</f>
        <v/>
      </c>
      <c r="H1395" s="6">
        <f>IF($J1395="","",ROUND('Opening Balance'!$B$4+SUM($F$2:F1395)-SUM($G$2:G1395),2))</f>
        <v/>
      </c>
      <c r="J1395" s="21">
        <f>IFERROR(MATCH(ROW()-1,$L$2:$L$3001,0),"")</f>
        <v/>
      </c>
      <c r="K1395" s="34">
        <f>IF(AND('Daily Sale entry '!X1395&lt;&gt;"",OR('Daily Sale entry '!AC1395&lt;&gt;"",'Daily Sale entry '!AD1395&lt;&gt;"")),'Daily Sale entry '!X1395+ROW()/10000000,"")</f>
        <v/>
      </c>
      <c r="L1395" s="21">
        <f>IF(K1395="","",COUNTIF($K$2:$K$3001,"&lt;"&amp;K1395)+1)</f>
        <v/>
      </c>
    </row>
    <row r="1396">
      <c r="A1396" s="5">
        <f>IF($J1396="","",IF($J1396&lt;=1500,INDEX('Daily Sale entry '!$X$1:$X$1501,$J1396+1),INDEX('Daily Sale entry '!$V$1:$V$1501,$J1396-1499)))</f>
        <v/>
      </c>
      <c r="B1396">
        <f>IF($J1396="","",IF($J1396&lt;=1500,INDEX('Daily Sale entry '!$Y$1:$Y$1501,$J1396+1)&amp;"","Buyer cheque banked 买家支票存入"&amp;IF(INDEX('Daily Sale entry '!$U$1:$U$1501,$J1396-1499)="","", " - "&amp;INDEX('Daily Sale entry '!$U$1:$U$1501,$J1396-1499))))</f>
        <v/>
      </c>
      <c r="C1396">
        <f>IF($J1396="","",IF($J1396&lt;=1500,INDEX('Daily Sale entry '!$Z$1:$Z$1501,$J1396+1)&amp;"","Cheque deposit 支票存入 (buyer 买家)"))</f>
        <v/>
      </c>
      <c r="D1396">
        <f>IF($J1396="","",IF($J1396&lt;=1500,INDEX('Daily Sale entry '!$AA$1:$AA$1501,$J1396+1)&amp;"",INDEX('Daily Sale entry '!$P$1:$P$1501,$J1396-1499)&amp;""))</f>
        <v/>
      </c>
      <c r="E1396">
        <f>IF($J1396="","",IF($J1396&lt;=1500,IF(N(INDEX('Daily Sale entry '!$AB$1:$AB$1501,$J1396+1))=0,"",INDEX('Daily Sale entry '!$AB$1:$AB$1501,$J1396+1)),1))</f>
        <v/>
      </c>
      <c r="F1396" s="6">
        <f>IF($J1396="","",IF($J1396&lt;=1500,N(INDEX('Daily Sale entry '!$AC$1:$AC$1501,$J1396+1))-IF(AND('Opening Balance'!$B$15=1,INDEX('Daily Sale entry '!$Z$1:$Z$1501,$J1396+1)="Online collection 网上收款",INDEX('Daily Sale entry '!$AA$1:$AA$1501,$J1396+1)&lt;&gt;""),N(INDEX('Daily Sale entry '!$AC$1:$AC$1501,$J1396+1))-TRUNC(N(INDEX('Daily Sale entry '!$AC$1:$AC$1501,$J1396+1))),0),N(INDEX('Daily Sale entry '!$S$1:$S$1501,$J1396-1499))-'Opening Balance'!$B$15*(N(INDEX('Daily Sale entry '!$S$1:$S$1501,$J1396-1499))-TRUNC(N(INDEX('Daily Sale entry '!$S$1:$S$1501,$J1396-1499))))))</f>
        <v/>
      </c>
      <c r="G1396" s="6">
        <f>IF($J1396="","",IF($J1396&lt;=1500,N(INDEX('Daily Sale entry '!$AD$1:$AD$1501,$J1396+1)),0))</f>
        <v/>
      </c>
      <c r="H1396" s="6">
        <f>IF($J1396="","",ROUND('Opening Balance'!$B$4+SUM($F$2:F1396)-SUM($G$2:G1396),2))</f>
        <v/>
      </c>
      <c r="J1396" s="21">
        <f>IFERROR(MATCH(ROW()-1,$L$2:$L$3001,0),"")</f>
        <v/>
      </c>
      <c r="K1396" s="34">
        <f>IF(AND('Daily Sale entry '!X1396&lt;&gt;"",OR('Daily Sale entry '!AC1396&lt;&gt;"",'Daily Sale entry '!AD1396&lt;&gt;"")),'Daily Sale entry '!X1396+ROW()/10000000,"")</f>
        <v/>
      </c>
      <c r="L1396" s="21">
        <f>IF(K1396="","",COUNTIF($K$2:$K$3001,"&lt;"&amp;K1396)+1)</f>
        <v/>
      </c>
    </row>
    <row r="1397">
      <c r="A1397" s="5">
        <f>IF($J1397="","",IF($J1397&lt;=1500,INDEX('Daily Sale entry '!$X$1:$X$1501,$J1397+1),INDEX('Daily Sale entry '!$V$1:$V$1501,$J1397-1499)))</f>
        <v/>
      </c>
      <c r="B1397">
        <f>IF($J1397="","",IF($J1397&lt;=1500,INDEX('Daily Sale entry '!$Y$1:$Y$1501,$J1397+1)&amp;"","Buyer cheque banked 买家支票存入"&amp;IF(INDEX('Daily Sale entry '!$U$1:$U$1501,$J1397-1499)="","", " - "&amp;INDEX('Daily Sale entry '!$U$1:$U$1501,$J1397-1499))))</f>
        <v/>
      </c>
      <c r="C1397">
        <f>IF($J1397="","",IF($J1397&lt;=1500,INDEX('Daily Sale entry '!$Z$1:$Z$1501,$J1397+1)&amp;"","Cheque deposit 支票存入 (buyer 买家)"))</f>
        <v/>
      </c>
      <c r="D1397">
        <f>IF($J1397="","",IF($J1397&lt;=1500,INDEX('Daily Sale entry '!$AA$1:$AA$1501,$J1397+1)&amp;"",INDEX('Daily Sale entry '!$P$1:$P$1501,$J1397-1499)&amp;""))</f>
        <v/>
      </c>
      <c r="E1397">
        <f>IF($J1397="","",IF($J1397&lt;=1500,IF(N(INDEX('Daily Sale entry '!$AB$1:$AB$1501,$J1397+1))=0,"",INDEX('Daily Sale entry '!$AB$1:$AB$1501,$J1397+1)),1))</f>
        <v/>
      </c>
      <c r="F1397" s="6">
        <f>IF($J1397="","",IF($J1397&lt;=1500,N(INDEX('Daily Sale entry '!$AC$1:$AC$1501,$J1397+1))-IF(AND('Opening Balance'!$B$15=1,INDEX('Daily Sale entry '!$Z$1:$Z$1501,$J1397+1)="Online collection 网上收款",INDEX('Daily Sale entry '!$AA$1:$AA$1501,$J1397+1)&lt;&gt;""),N(INDEX('Daily Sale entry '!$AC$1:$AC$1501,$J1397+1))-TRUNC(N(INDEX('Daily Sale entry '!$AC$1:$AC$1501,$J1397+1))),0),N(INDEX('Daily Sale entry '!$S$1:$S$1501,$J1397-1499))-'Opening Balance'!$B$15*(N(INDEX('Daily Sale entry '!$S$1:$S$1501,$J1397-1499))-TRUNC(N(INDEX('Daily Sale entry '!$S$1:$S$1501,$J1397-1499))))))</f>
        <v/>
      </c>
      <c r="G1397" s="6">
        <f>IF($J1397="","",IF($J1397&lt;=1500,N(INDEX('Daily Sale entry '!$AD$1:$AD$1501,$J1397+1)),0))</f>
        <v/>
      </c>
      <c r="H1397" s="6">
        <f>IF($J1397="","",ROUND('Opening Balance'!$B$4+SUM($F$2:F1397)-SUM($G$2:G1397),2))</f>
        <v/>
      </c>
      <c r="J1397" s="21">
        <f>IFERROR(MATCH(ROW()-1,$L$2:$L$3001,0),"")</f>
        <v/>
      </c>
      <c r="K1397" s="34">
        <f>IF(AND('Daily Sale entry '!X1397&lt;&gt;"",OR('Daily Sale entry '!AC1397&lt;&gt;"",'Daily Sale entry '!AD1397&lt;&gt;"")),'Daily Sale entry '!X1397+ROW()/10000000,"")</f>
        <v/>
      </c>
      <c r="L1397" s="21">
        <f>IF(K1397="","",COUNTIF($K$2:$K$3001,"&lt;"&amp;K1397)+1)</f>
        <v/>
      </c>
    </row>
    <row r="1398">
      <c r="A1398" s="5">
        <f>IF($J1398="","",IF($J1398&lt;=1500,INDEX('Daily Sale entry '!$X$1:$X$1501,$J1398+1),INDEX('Daily Sale entry '!$V$1:$V$1501,$J1398-1499)))</f>
        <v/>
      </c>
      <c r="B1398">
        <f>IF($J1398="","",IF($J1398&lt;=1500,INDEX('Daily Sale entry '!$Y$1:$Y$1501,$J1398+1)&amp;"","Buyer cheque banked 买家支票存入"&amp;IF(INDEX('Daily Sale entry '!$U$1:$U$1501,$J1398-1499)="","", " - "&amp;INDEX('Daily Sale entry '!$U$1:$U$1501,$J1398-1499))))</f>
        <v/>
      </c>
      <c r="C1398">
        <f>IF($J1398="","",IF($J1398&lt;=1500,INDEX('Daily Sale entry '!$Z$1:$Z$1501,$J1398+1)&amp;"","Cheque deposit 支票存入 (buyer 买家)"))</f>
        <v/>
      </c>
      <c r="D1398">
        <f>IF($J1398="","",IF($J1398&lt;=1500,INDEX('Daily Sale entry '!$AA$1:$AA$1501,$J1398+1)&amp;"",INDEX('Daily Sale entry '!$P$1:$P$1501,$J1398-1499)&amp;""))</f>
        <v/>
      </c>
      <c r="E1398">
        <f>IF($J1398="","",IF($J1398&lt;=1500,IF(N(INDEX('Daily Sale entry '!$AB$1:$AB$1501,$J1398+1))=0,"",INDEX('Daily Sale entry '!$AB$1:$AB$1501,$J1398+1)),1))</f>
        <v/>
      </c>
      <c r="F1398" s="6">
        <f>IF($J1398="","",IF($J1398&lt;=1500,N(INDEX('Daily Sale entry '!$AC$1:$AC$1501,$J1398+1))-IF(AND('Opening Balance'!$B$15=1,INDEX('Daily Sale entry '!$Z$1:$Z$1501,$J1398+1)="Online collection 网上收款",INDEX('Daily Sale entry '!$AA$1:$AA$1501,$J1398+1)&lt;&gt;""),N(INDEX('Daily Sale entry '!$AC$1:$AC$1501,$J1398+1))-TRUNC(N(INDEX('Daily Sale entry '!$AC$1:$AC$1501,$J1398+1))),0),N(INDEX('Daily Sale entry '!$S$1:$S$1501,$J1398-1499))-'Opening Balance'!$B$15*(N(INDEX('Daily Sale entry '!$S$1:$S$1501,$J1398-1499))-TRUNC(N(INDEX('Daily Sale entry '!$S$1:$S$1501,$J1398-1499))))))</f>
        <v/>
      </c>
      <c r="G1398" s="6">
        <f>IF($J1398="","",IF($J1398&lt;=1500,N(INDEX('Daily Sale entry '!$AD$1:$AD$1501,$J1398+1)),0))</f>
        <v/>
      </c>
      <c r="H1398" s="6">
        <f>IF($J1398="","",ROUND('Opening Balance'!$B$4+SUM($F$2:F1398)-SUM($G$2:G1398),2))</f>
        <v/>
      </c>
      <c r="J1398" s="21">
        <f>IFERROR(MATCH(ROW()-1,$L$2:$L$3001,0),"")</f>
        <v/>
      </c>
      <c r="K1398" s="34">
        <f>IF(AND('Daily Sale entry '!X1398&lt;&gt;"",OR('Daily Sale entry '!AC1398&lt;&gt;"",'Daily Sale entry '!AD1398&lt;&gt;"")),'Daily Sale entry '!X1398+ROW()/10000000,"")</f>
        <v/>
      </c>
      <c r="L1398" s="21">
        <f>IF(K1398="","",COUNTIF($K$2:$K$3001,"&lt;"&amp;K1398)+1)</f>
        <v/>
      </c>
    </row>
    <row r="1399">
      <c r="A1399" s="5">
        <f>IF($J1399="","",IF($J1399&lt;=1500,INDEX('Daily Sale entry '!$X$1:$X$1501,$J1399+1),INDEX('Daily Sale entry '!$V$1:$V$1501,$J1399-1499)))</f>
        <v/>
      </c>
      <c r="B1399">
        <f>IF($J1399="","",IF($J1399&lt;=1500,INDEX('Daily Sale entry '!$Y$1:$Y$1501,$J1399+1)&amp;"","Buyer cheque banked 买家支票存入"&amp;IF(INDEX('Daily Sale entry '!$U$1:$U$1501,$J1399-1499)="","", " - "&amp;INDEX('Daily Sale entry '!$U$1:$U$1501,$J1399-1499))))</f>
        <v/>
      </c>
      <c r="C1399">
        <f>IF($J1399="","",IF($J1399&lt;=1500,INDEX('Daily Sale entry '!$Z$1:$Z$1501,$J1399+1)&amp;"","Cheque deposit 支票存入 (buyer 买家)"))</f>
        <v/>
      </c>
      <c r="D1399">
        <f>IF($J1399="","",IF($J1399&lt;=1500,INDEX('Daily Sale entry '!$AA$1:$AA$1501,$J1399+1)&amp;"",INDEX('Daily Sale entry '!$P$1:$P$1501,$J1399-1499)&amp;""))</f>
        <v/>
      </c>
      <c r="E1399">
        <f>IF($J1399="","",IF($J1399&lt;=1500,IF(N(INDEX('Daily Sale entry '!$AB$1:$AB$1501,$J1399+1))=0,"",INDEX('Daily Sale entry '!$AB$1:$AB$1501,$J1399+1)),1))</f>
        <v/>
      </c>
      <c r="F1399" s="6">
        <f>IF($J1399="","",IF($J1399&lt;=1500,N(INDEX('Daily Sale entry '!$AC$1:$AC$1501,$J1399+1))-IF(AND('Opening Balance'!$B$15=1,INDEX('Daily Sale entry '!$Z$1:$Z$1501,$J1399+1)="Online collection 网上收款",INDEX('Daily Sale entry '!$AA$1:$AA$1501,$J1399+1)&lt;&gt;""),N(INDEX('Daily Sale entry '!$AC$1:$AC$1501,$J1399+1))-TRUNC(N(INDEX('Daily Sale entry '!$AC$1:$AC$1501,$J1399+1))),0),N(INDEX('Daily Sale entry '!$S$1:$S$1501,$J1399-1499))-'Opening Balance'!$B$15*(N(INDEX('Daily Sale entry '!$S$1:$S$1501,$J1399-1499))-TRUNC(N(INDEX('Daily Sale entry '!$S$1:$S$1501,$J1399-1499))))))</f>
        <v/>
      </c>
      <c r="G1399" s="6">
        <f>IF($J1399="","",IF($J1399&lt;=1500,N(INDEX('Daily Sale entry '!$AD$1:$AD$1501,$J1399+1)),0))</f>
        <v/>
      </c>
      <c r="H1399" s="6">
        <f>IF($J1399="","",ROUND('Opening Balance'!$B$4+SUM($F$2:F1399)-SUM($G$2:G1399),2))</f>
        <v/>
      </c>
      <c r="J1399" s="21">
        <f>IFERROR(MATCH(ROW()-1,$L$2:$L$3001,0),"")</f>
        <v/>
      </c>
      <c r="K1399" s="34">
        <f>IF(AND('Daily Sale entry '!X1399&lt;&gt;"",OR('Daily Sale entry '!AC1399&lt;&gt;"",'Daily Sale entry '!AD1399&lt;&gt;"")),'Daily Sale entry '!X1399+ROW()/10000000,"")</f>
        <v/>
      </c>
      <c r="L1399" s="21">
        <f>IF(K1399="","",COUNTIF($K$2:$K$3001,"&lt;"&amp;K1399)+1)</f>
        <v/>
      </c>
    </row>
    <row r="1400">
      <c r="A1400" s="5">
        <f>IF($J1400="","",IF($J1400&lt;=1500,INDEX('Daily Sale entry '!$X$1:$X$1501,$J1400+1),INDEX('Daily Sale entry '!$V$1:$V$1501,$J1400-1499)))</f>
        <v/>
      </c>
      <c r="B1400">
        <f>IF($J1400="","",IF($J1400&lt;=1500,INDEX('Daily Sale entry '!$Y$1:$Y$1501,$J1400+1)&amp;"","Buyer cheque banked 买家支票存入"&amp;IF(INDEX('Daily Sale entry '!$U$1:$U$1501,$J1400-1499)="","", " - "&amp;INDEX('Daily Sale entry '!$U$1:$U$1501,$J1400-1499))))</f>
        <v/>
      </c>
      <c r="C1400">
        <f>IF($J1400="","",IF($J1400&lt;=1500,INDEX('Daily Sale entry '!$Z$1:$Z$1501,$J1400+1)&amp;"","Cheque deposit 支票存入 (buyer 买家)"))</f>
        <v/>
      </c>
      <c r="D1400">
        <f>IF($J1400="","",IF($J1400&lt;=1500,INDEX('Daily Sale entry '!$AA$1:$AA$1501,$J1400+1)&amp;"",INDEX('Daily Sale entry '!$P$1:$P$1501,$J1400-1499)&amp;""))</f>
        <v/>
      </c>
      <c r="E1400">
        <f>IF($J1400="","",IF($J1400&lt;=1500,IF(N(INDEX('Daily Sale entry '!$AB$1:$AB$1501,$J1400+1))=0,"",INDEX('Daily Sale entry '!$AB$1:$AB$1501,$J1400+1)),1))</f>
        <v/>
      </c>
      <c r="F1400" s="6">
        <f>IF($J1400="","",IF($J1400&lt;=1500,N(INDEX('Daily Sale entry '!$AC$1:$AC$1501,$J1400+1))-IF(AND('Opening Balance'!$B$15=1,INDEX('Daily Sale entry '!$Z$1:$Z$1501,$J1400+1)="Online collection 网上收款",INDEX('Daily Sale entry '!$AA$1:$AA$1501,$J1400+1)&lt;&gt;""),N(INDEX('Daily Sale entry '!$AC$1:$AC$1501,$J1400+1))-TRUNC(N(INDEX('Daily Sale entry '!$AC$1:$AC$1501,$J1400+1))),0),N(INDEX('Daily Sale entry '!$S$1:$S$1501,$J1400-1499))-'Opening Balance'!$B$15*(N(INDEX('Daily Sale entry '!$S$1:$S$1501,$J1400-1499))-TRUNC(N(INDEX('Daily Sale entry '!$S$1:$S$1501,$J1400-1499))))))</f>
        <v/>
      </c>
      <c r="G1400" s="6">
        <f>IF($J1400="","",IF($J1400&lt;=1500,N(INDEX('Daily Sale entry '!$AD$1:$AD$1501,$J1400+1)),0))</f>
        <v/>
      </c>
      <c r="H1400" s="6">
        <f>IF($J1400="","",ROUND('Opening Balance'!$B$4+SUM($F$2:F1400)-SUM($G$2:G1400),2))</f>
        <v/>
      </c>
      <c r="J1400" s="21">
        <f>IFERROR(MATCH(ROW()-1,$L$2:$L$3001,0),"")</f>
        <v/>
      </c>
      <c r="K1400" s="34">
        <f>IF(AND('Daily Sale entry '!X1400&lt;&gt;"",OR('Daily Sale entry '!AC1400&lt;&gt;"",'Daily Sale entry '!AD1400&lt;&gt;"")),'Daily Sale entry '!X1400+ROW()/10000000,"")</f>
        <v/>
      </c>
      <c r="L1400" s="21">
        <f>IF(K1400="","",COUNTIF($K$2:$K$3001,"&lt;"&amp;K1400)+1)</f>
        <v/>
      </c>
    </row>
    <row r="1401">
      <c r="A1401" s="5">
        <f>IF($J1401="","",IF($J1401&lt;=1500,INDEX('Daily Sale entry '!$X$1:$X$1501,$J1401+1),INDEX('Daily Sale entry '!$V$1:$V$1501,$J1401-1499)))</f>
        <v/>
      </c>
      <c r="B1401">
        <f>IF($J1401="","",IF($J1401&lt;=1500,INDEX('Daily Sale entry '!$Y$1:$Y$1501,$J1401+1)&amp;"","Buyer cheque banked 买家支票存入"&amp;IF(INDEX('Daily Sale entry '!$U$1:$U$1501,$J1401-1499)="","", " - "&amp;INDEX('Daily Sale entry '!$U$1:$U$1501,$J1401-1499))))</f>
        <v/>
      </c>
      <c r="C1401">
        <f>IF($J1401="","",IF($J1401&lt;=1500,INDEX('Daily Sale entry '!$Z$1:$Z$1501,$J1401+1)&amp;"","Cheque deposit 支票存入 (buyer 买家)"))</f>
        <v/>
      </c>
      <c r="D1401">
        <f>IF($J1401="","",IF($J1401&lt;=1500,INDEX('Daily Sale entry '!$AA$1:$AA$1501,$J1401+1)&amp;"",INDEX('Daily Sale entry '!$P$1:$P$1501,$J1401-1499)&amp;""))</f>
        <v/>
      </c>
      <c r="E1401">
        <f>IF($J1401="","",IF($J1401&lt;=1500,IF(N(INDEX('Daily Sale entry '!$AB$1:$AB$1501,$J1401+1))=0,"",INDEX('Daily Sale entry '!$AB$1:$AB$1501,$J1401+1)),1))</f>
        <v/>
      </c>
      <c r="F1401" s="6">
        <f>IF($J1401="","",IF($J1401&lt;=1500,N(INDEX('Daily Sale entry '!$AC$1:$AC$1501,$J1401+1))-IF(AND('Opening Balance'!$B$15=1,INDEX('Daily Sale entry '!$Z$1:$Z$1501,$J1401+1)="Online collection 网上收款",INDEX('Daily Sale entry '!$AA$1:$AA$1501,$J1401+1)&lt;&gt;""),N(INDEX('Daily Sale entry '!$AC$1:$AC$1501,$J1401+1))-TRUNC(N(INDEX('Daily Sale entry '!$AC$1:$AC$1501,$J1401+1))),0),N(INDEX('Daily Sale entry '!$S$1:$S$1501,$J1401-1499))-'Opening Balance'!$B$15*(N(INDEX('Daily Sale entry '!$S$1:$S$1501,$J1401-1499))-TRUNC(N(INDEX('Daily Sale entry '!$S$1:$S$1501,$J1401-1499))))))</f>
        <v/>
      </c>
      <c r="G1401" s="6">
        <f>IF($J1401="","",IF($J1401&lt;=1500,N(INDEX('Daily Sale entry '!$AD$1:$AD$1501,$J1401+1)),0))</f>
        <v/>
      </c>
      <c r="H1401" s="6">
        <f>IF($J1401="","",ROUND('Opening Balance'!$B$4+SUM($F$2:F1401)-SUM($G$2:G1401),2))</f>
        <v/>
      </c>
      <c r="J1401" s="21">
        <f>IFERROR(MATCH(ROW()-1,$L$2:$L$3001,0),"")</f>
        <v/>
      </c>
      <c r="K1401" s="34">
        <f>IF(AND('Daily Sale entry '!X1401&lt;&gt;"",OR('Daily Sale entry '!AC1401&lt;&gt;"",'Daily Sale entry '!AD1401&lt;&gt;"")),'Daily Sale entry '!X1401+ROW()/10000000,"")</f>
        <v/>
      </c>
      <c r="L1401" s="21">
        <f>IF(K1401="","",COUNTIF($K$2:$K$3001,"&lt;"&amp;K1401)+1)</f>
        <v/>
      </c>
    </row>
    <row r="1402">
      <c r="A1402" s="5">
        <f>IF($J1402="","",IF($J1402&lt;=1500,INDEX('Daily Sale entry '!$X$1:$X$1501,$J1402+1),INDEX('Daily Sale entry '!$V$1:$V$1501,$J1402-1499)))</f>
        <v/>
      </c>
      <c r="B1402">
        <f>IF($J1402="","",IF($J1402&lt;=1500,INDEX('Daily Sale entry '!$Y$1:$Y$1501,$J1402+1)&amp;"","Buyer cheque banked 买家支票存入"&amp;IF(INDEX('Daily Sale entry '!$U$1:$U$1501,$J1402-1499)="","", " - "&amp;INDEX('Daily Sale entry '!$U$1:$U$1501,$J1402-1499))))</f>
        <v/>
      </c>
      <c r="C1402">
        <f>IF($J1402="","",IF($J1402&lt;=1500,INDEX('Daily Sale entry '!$Z$1:$Z$1501,$J1402+1)&amp;"","Cheque deposit 支票存入 (buyer 买家)"))</f>
        <v/>
      </c>
      <c r="D1402">
        <f>IF($J1402="","",IF($J1402&lt;=1500,INDEX('Daily Sale entry '!$AA$1:$AA$1501,$J1402+1)&amp;"",INDEX('Daily Sale entry '!$P$1:$P$1501,$J1402-1499)&amp;""))</f>
        <v/>
      </c>
      <c r="E1402">
        <f>IF($J1402="","",IF($J1402&lt;=1500,IF(N(INDEX('Daily Sale entry '!$AB$1:$AB$1501,$J1402+1))=0,"",INDEX('Daily Sale entry '!$AB$1:$AB$1501,$J1402+1)),1))</f>
        <v/>
      </c>
      <c r="F1402" s="6">
        <f>IF($J1402="","",IF($J1402&lt;=1500,N(INDEX('Daily Sale entry '!$AC$1:$AC$1501,$J1402+1))-IF(AND('Opening Balance'!$B$15=1,INDEX('Daily Sale entry '!$Z$1:$Z$1501,$J1402+1)="Online collection 网上收款",INDEX('Daily Sale entry '!$AA$1:$AA$1501,$J1402+1)&lt;&gt;""),N(INDEX('Daily Sale entry '!$AC$1:$AC$1501,$J1402+1))-TRUNC(N(INDEX('Daily Sale entry '!$AC$1:$AC$1501,$J1402+1))),0),N(INDEX('Daily Sale entry '!$S$1:$S$1501,$J1402-1499))-'Opening Balance'!$B$15*(N(INDEX('Daily Sale entry '!$S$1:$S$1501,$J1402-1499))-TRUNC(N(INDEX('Daily Sale entry '!$S$1:$S$1501,$J1402-1499))))))</f>
        <v/>
      </c>
      <c r="G1402" s="6">
        <f>IF($J1402="","",IF($J1402&lt;=1500,N(INDEX('Daily Sale entry '!$AD$1:$AD$1501,$J1402+1)),0))</f>
        <v/>
      </c>
      <c r="H1402" s="6">
        <f>IF($J1402="","",ROUND('Opening Balance'!$B$4+SUM($F$2:F1402)-SUM($G$2:G1402),2))</f>
        <v/>
      </c>
      <c r="J1402" s="21">
        <f>IFERROR(MATCH(ROW()-1,$L$2:$L$3001,0),"")</f>
        <v/>
      </c>
      <c r="K1402" s="34">
        <f>IF(AND('Daily Sale entry '!X1402&lt;&gt;"",OR('Daily Sale entry '!AC1402&lt;&gt;"",'Daily Sale entry '!AD1402&lt;&gt;"")),'Daily Sale entry '!X1402+ROW()/10000000,"")</f>
        <v/>
      </c>
      <c r="L1402" s="21">
        <f>IF(K1402="","",COUNTIF($K$2:$K$3001,"&lt;"&amp;K1402)+1)</f>
        <v/>
      </c>
    </row>
    <row r="1403">
      <c r="A1403" s="5">
        <f>IF($J1403="","",IF($J1403&lt;=1500,INDEX('Daily Sale entry '!$X$1:$X$1501,$J1403+1),INDEX('Daily Sale entry '!$V$1:$V$1501,$J1403-1499)))</f>
        <v/>
      </c>
      <c r="B1403">
        <f>IF($J1403="","",IF($J1403&lt;=1500,INDEX('Daily Sale entry '!$Y$1:$Y$1501,$J1403+1)&amp;"","Buyer cheque banked 买家支票存入"&amp;IF(INDEX('Daily Sale entry '!$U$1:$U$1501,$J1403-1499)="","", " - "&amp;INDEX('Daily Sale entry '!$U$1:$U$1501,$J1403-1499))))</f>
        <v/>
      </c>
      <c r="C1403">
        <f>IF($J1403="","",IF($J1403&lt;=1500,INDEX('Daily Sale entry '!$Z$1:$Z$1501,$J1403+1)&amp;"","Cheque deposit 支票存入 (buyer 买家)"))</f>
        <v/>
      </c>
      <c r="D1403">
        <f>IF($J1403="","",IF($J1403&lt;=1500,INDEX('Daily Sale entry '!$AA$1:$AA$1501,$J1403+1)&amp;"",INDEX('Daily Sale entry '!$P$1:$P$1501,$J1403-1499)&amp;""))</f>
        <v/>
      </c>
      <c r="E1403">
        <f>IF($J1403="","",IF($J1403&lt;=1500,IF(N(INDEX('Daily Sale entry '!$AB$1:$AB$1501,$J1403+1))=0,"",INDEX('Daily Sale entry '!$AB$1:$AB$1501,$J1403+1)),1))</f>
        <v/>
      </c>
      <c r="F1403" s="6">
        <f>IF($J1403="","",IF($J1403&lt;=1500,N(INDEX('Daily Sale entry '!$AC$1:$AC$1501,$J1403+1))-IF(AND('Opening Balance'!$B$15=1,INDEX('Daily Sale entry '!$Z$1:$Z$1501,$J1403+1)="Online collection 网上收款",INDEX('Daily Sale entry '!$AA$1:$AA$1501,$J1403+1)&lt;&gt;""),N(INDEX('Daily Sale entry '!$AC$1:$AC$1501,$J1403+1))-TRUNC(N(INDEX('Daily Sale entry '!$AC$1:$AC$1501,$J1403+1))),0),N(INDEX('Daily Sale entry '!$S$1:$S$1501,$J1403-1499))-'Opening Balance'!$B$15*(N(INDEX('Daily Sale entry '!$S$1:$S$1501,$J1403-1499))-TRUNC(N(INDEX('Daily Sale entry '!$S$1:$S$1501,$J1403-1499))))))</f>
        <v/>
      </c>
      <c r="G1403" s="6">
        <f>IF($J1403="","",IF($J1403&lt;=1500,N(INDEX('Daily Sale entry '!$AD$1:$AD$1501,$J1403+1)),0))</f>
        <v/>
      </c>
      <c r="H1403" s="6">
        <f>IF($J1403="","",ROUND('Opening Balance'!$B$4+SUM($F$2:F1403)-SUM($G$2:G1403),2))</f>
        <v/>
      </c>
      <c r="J1403" s="21">
        <f>IFERROR(MATCH(ROW()-1,$L$2:$L$3001,0),"")</f>
        <v/>
      </c>
      <c r="K1403" s="34">
        <f>IF(AND('Daily Sale entry '!X1403&lt;&gt;"",OR('Daily Sale entry '!AC1403&lt;&gt;"",'Daily Sale entry '!AD1403&lt;&gt;"")),'Daily Sale entry '!X1403+ROW()/10000000,"")</f>
        <v/>
      </c>
      <c r="L1403" s="21">
        <f>IF(K1403="","",COUNTIF($K$2:$K$3001,"&lt;"&amp;K1403)+1)</f>
        <v/>
      </c>
    </row>
    <row r="1404">
      <c r="A1404" s="5">
        <f>IF($J1404="","",IF($J1404&lt;=1500,INDEX('Daily Sale entry '!$X$1:$X$1501,$J1404+1),INDEX('Daily Sale entry '!$V$1:$V$1501,$J1404-1499)))</f>
        <v/>
      </c>
      <c r="B1404">
        <f>IF($J1404="","",IF($J1404&lt;=1500,INDEX('Daily Sale entry '!$Y$1:$Y$1501,$J1404+1)&amp;"","Buyer cheque banked 买家支票存入"&amp;IF(INDEX('Daily Sale entry '!$U$1:$U$1501,$J1404-1499)="","", " - "&amp;INDEX('Daily Sale entry '!$U$1:$U$1501,$J1404-1499))))</f>
        <v/>
      </c>
      <c r="C1404">
        <f>IF($J1404="","",IF($J1404&lt;=1500,INDEX('Daily Sale entry '!$Z$1:$Z$1501,$J1404+1)&amp;"","Cheque deposit 支票存入 (buyer 买家)"))</f>
        <v/>
      </c>
      <c r="D1404">
        <f>IF($J1404="","",IF($J1404&lt;=1500,INDEX('Daily Sale entry '!$AA$1:$AA$1501,$J1404+1)&amp;"",INDEX('Daily Sale entry '!$P$1:$P$1501,$J1404-1499)&amp;""))</f>
        <v/>
      </c>
      <c r="E1404">
        <f>IF($J1404="","",IF($J1404&lt;=1500,IF(N(INDEX('Daily Sale entry '!$AB$1:$AB$1501,$J1404+1))=0,"",INDEX('Daily Sale entry '!$AB$1:$AB$1501,$J1404+1)),1))</f>
        <v/>
      </c>
      <c r="F1404" s="6">
        <f>IF($J1404="","",IF($J1404&lt;=1500,N(INDEX('Daily Sale entry '!$AC$1:$AC$1501,$J1404+1))-IF(AND('Opening Balance'!$B$15=1,INDEX('Daily Sale entry '!$Z$1:$Z$1501,$J1404+1)="Online collection 网上收款",INDEX('Daily Sale entry '!$AA$1:$AA$1501,$J1404+1)&lt;&gt;""),N(INDEX('Daily Sale entry '!$AC$1:$AC$1501,$J1404+1))-TRUNC(N(INDEX('Daily Sale entry '!$AC$1:$AC$1501,$J1404+1))),0),N(INDEX('Daily Sale entry '!$S$1:$S$1501,$J1404-1499))-'Opening Balance'!$B$15*(N(INDEX('Daily Sale entry '!$S$1:$S$1501,$J1404-1499))-TRUNC(N(INDEX('Daily Sale entry '!$S$1:$S$1501,$J1404-1499))))))</f>
        <v/>
      </c>
      <c r="G1404" s="6">
        <f>IF($J1404="","",IF($J1404&lt;=1500,N(INDEX('Daily Sale entry '!$AD$1:$AD$1501,$J1404+1)),0))</f>
        <v/>
      </c>
      <c r="H1404" s="6">
        <f>IF($J1404="","",ROUND('Opening Balance'!$B$4+SUM($F$2:F1404)-SUM($G$2:G1404),2))</f>
        <v/>
      </c>
      <c r="J1404" s="21">
        <f>IFERROR(MATCH(ROW()-1,$L$2:$L$3001,0),"")</f>
        <v/>
      </c>
      <c r="K1404" s="34">
        <f>IF(AND('Daily Sale entry '!X1404&lt;&gt;"",OR('Daily Sale entry '!AC1404&lt;&gt;"",'Daily Sale entry '!AD1404&lt;&gt;"")),'Daily Sale entry '!X1404+ROW()/10000000,"")</f>
        <v/>
      </c>
      <c r="L1404" s="21">
        <f>IF(K1404="","",COUNTIF($K$2:$K$3001,"&lt;"&amp;K1404)+1)</f>
        <v/>
      </c>
    </row>
    <row r="1405">
      <c r="A1405" s="5">
        <f>IF($J1405="","",IF($J1405&lt;=1500,INDEX('Daily Sale entry '!$X$1:$X$1501,$J1405+1),INDEX('Daily Sale entry '!$V$1:$V$1501,$J1405-1499)))</f>
        <v/>
      </c>
      <c r="B1405">
        <f>IF($J1405="","",IF($J1405&lt;=1500,INDEX('Daily Sale entry '!$Y$1:$Y$1501,$J1405+1)&amp;"","Buyer cheque banked 买家支票存入"&amp;IF(INDEX('Daily Sale entry '!$U$1:$U$1501,$J1405-1499)="","", " - "&amp;INDEX('Daily Sale entry '!$U$1:$U$1501,$J1405-1499))))</f>
        <v/>
      </c>
      <c r="C1405">
        <f>IF($J1405="","",IF($J1405&lt;=1500,INDEX('Daily Sale entry '!$Z$1:$Z$1501,$J1405+1)&amp;"","Cheque deposit 支票存入 (buyer 买家)"))</f>
        <v/>
      </c>
      <c r="D1405">
        <f>IF($J1405="","",IF($J1405&lt;=1500,INDEX('Daily Sale entry '!$AA$1:$AA$1501,$J1405+1)&amp;"",INDEX('Daily Sale entry '!$P$1:$P$1501,$J1405-1499)&amp;""))</f>
        <v/>
      </c>
      <c r="E1405">
        <f>IF($J1405="","",IF($J1405&lt;=1500,IF(N(INDEX('Daily Sale entry '!$AB$1:$AB$1501,$J1405+1))=0,"",INDEX('Daily Sale entry '!$AB$1:$AB$1501,$J1405+1)),1))</f>
        <v/>
      </c>
      <c r="F1405" s="6">
        <f>IF($J1405="","",IF($J1405&lt;=1500,N(INDEX('Daily Sale entry '!$AC$1:$AC$1501,$J1405+1))-IF(AND('Opening Balance'!$B$15=1,INDEX('Daily Sale entry '!$Z$1:$Z$1501,$J1405+1)="Online collection 网上收款",INDEX('Daily Sale entry '!$AA$1:$AA$1501,$J1405+1)&lt;&gt;""),N(INDEX('Daily Sale entry '!$AC$1:$AC$1501,$J1405+1))-TRUNC(N(INDEX('Daily Sale entry '!$AC$1:$AC$1501,$J1405+1))),0),N(INDEX('Daily Sale entry '!$S$1:$S$1501,$J1405-1499))-'Opening Balance'!$B$15*(N(INDEX('Daily Sale entry '!$S$1:$S$1501,$J1405-1499))-TRUNC(N(INDEX('Daily Sale entry '!$S$1:$S$1501,$J1405-1499))))))</f>
        <v/>
      </c>
      <c r="G1405" s="6">
        <f>IF($J1405="","",IF($J1405&lt;=1500,N(INDEX('Daily Sale entry '!$AD$1:$AD$1501,$J1405+1)),0))</f>
        <v/>
      </c>
      <c r="H1405" s="6">
        <f>IF($J1405="","",ROUND('Opening Balance'!$B$4+SUM($F$2:F1405)-SUM($G$2:G1405),2))</f>
        <v/>
      </c>
      <c r="J1405" s="21">
        <f>IFERROR(MATCH(ROW()-1,$L$2:$L$3001,0),"")</f>
        <v/>
      </c>
      <c r="K1405" s="34">
        <f>IF(AND('Daily Sale entry '!X1405&lt;&gt;"",OR('Daily Sale entry '!AC1405&lt;&gt;"",'Daily Sale entry '!AD1405&lt;&gt;"")),'Daily Sale entry '!X1405+ROW()/10000000,"")</f>
        <v/>
      </c>
      <c r="L1405" s="21">
        <f>IF(K1405="","",COUNTIF($K$2:$K$3001,"&lt;"&amp;K1405)+1)</f>
        <v/>
      </c>
    </row>
    <row r="1406">
      <c r="A1406" s="5">
        <f>IF($J1406="","",IF($J1406&lt;=1500,INDEX('Daily Sale entry '!$X$1:$X$1501,$J1406+1),INDEX('Daily Sale entry '!$V$1:$V$1501,$J1406-1499)))</f>
        <v/>
      </c>
      <c r="B1406">
        <f>IF($J1406="","",IF($J1406&lt;=1500,INDEX('Daily Sale entry '!$Y$1:$Y$1501,$J1406+1)&amp;"","Buyer cheque banked 买家支票存入"&amp;IF(INDEX('Daily Sale entry '!$U$1:$U$1501,$J1406-1499)="","", " - "&amp;INDEX('Daily Sale entry '!$U$1:$U$1501,$J1406-1499))))</f>
        <v/>
      </c>
      <c r="C1406">
        <f>IF($J1406="","",IF($J1406&lt;=1500,INDEX('Daily Sale entry '!$Z$1:$Z$1501,$J1406+1)&amp;"","Cheque deposit 支票存入 (buyer 买家)"))</f>
        <v/>
      </c>
      <c r="D1406">
        <f>IF($J1406="","",IF($J1406&lt;=1500,INDEX('Daily Sale entry '!$AA$1:$AA$1501,$J1406+1)&amp;"",INDEX('Daily Sale entry '!$P$1:$P$1501,$J1406-1499)&amp;""))</f>
        <v/>
      </c>
      <c r="E1406">
        <f>IF($J1406="","",IF($J1406&lt;=1500,IF(N(INDEX('Daily Sale entry '!$AB$1:$AB$1501,$J1406+1))=0,"",INDEX('Daily Sale entry '!$AB$1:$AB$1501,$J1406+1)),1))</f>
        <v/>
      </c>
      <c r="F1406" s="6">
        <f>IF($J1406="","",IF($J1406&lt;=1500,N(INDEX('Daily Sale entry '!$AC$1:$AC$1501,$J1406+1))-IF(AND('Opening Balance'!$B$15=1,INDEX('Daily Sale entry '!$Z$1:$Z$1501,$J1406+1)="Online collection 网上收款",INDEX('Daily Sale entry '!$AA$1:$AA$1501,$J1406+1)&lt;&gt;""),N(INDEX('Daily Sale entry '!$AC$1:$AC$1501,$J1406+1))-TRUNC(N(INDEX('Daily Sale entry '!$AC$1:$AC$1501,$J1406+1))),0),N(INDEX('Daily Sale entry '!$S$1:$S$1501,$J1406-1499))-'Opening Balance'!$B$15*(N(INDEX('Daily Sale entry '!$S$1:$S$1501,$J1406-1499))-TRUNC(N(INDEX('Daily Sale entry '!$S$1:$S$1501,$J1406-1499))))))</f>
        <v/>
      </c>
      <c r="G1406" s="6">
        <f>IF($J1406="","",IF($J1406&lt;=1500,N(INDEX('Daily Sale entry '!$AD$1:$AD$1501,$J1406+1)),0))</f>
        <v/>
      </c>
      <c r="H1406" s="6">
        <f>IF($J1406="","",ROUND('Opening Balance'!$B$4+SUM($F$2:F1406)-SUM($G$2:G1406),2))</f>
        <v/>
      </c>
      <c r="J1406" s="21">
        <f>IFERROR(MATCH(ROW()-1,$L$2:$L$3001,0),"")</f>
        <v/>
      </c>
      <c r="K1406" s="34">
        <f>IF(AND('Daily Sale entry '!X1406&lt;&gt;"",OR('Daily Sale entry '!AC1406&lt;&gt;"",'Daily Sale entry '!AD1406&lt;&gt;"")),'Daily Sale entry '!X1406+ROW()/10000000,"")</f>
        <v/>
      </c>
      <c r="L1406" s="21">
        <f>IF(K1406="","",COUNTIF($K$2:$K$3001,"&lt;"&amp;K1406)+1)</f>
        <v/>
      </c>
    </row>
    <row r="1407">
      <c r="A1407" s="5">
        <f>IF($J1407="","",IF($J1407&lt;=1500,INDEX('Daily Sale entry '!$X$1:$X$1501,$J1407+1),INDEX('Daily Sale entry '!$V$1:$V$1501,$J1407-1499)))</f>
        <v/>
      </c>
      <c r="B1407">
        <f>IF($J1407="","",IF($J1407&lt;=1500,INDEX('Daily Sale entry '!$Y$1:$Y$1501,$J1407+1)&amp;"","Buyer cheque banked 买家支票存入"&amp;IF(INDEX('Daily Sale entry '!$U$1:$U$1501,$J1407-1499)="","", " - "&amp;INDEX('Daily Sale entry '!$U$1:$U$1501,$J1407-1499))))</f>
        <v/>
      </c>
      <c r="C1407">
        <f>IF($J1407="","",IF($J1407&lt;=1500,INDEX('Daily Sale entry '!$Z$1:$Z$1501,$J1407+1)&amp;"","Cheque deposit 支票存入 (buyer 买家)"))</f>
        <v/>
      </c>
      <c r="D1407">
        <f>IF($J1407="","",IF($J1407&lt;=1500,INDEX('Daily Sale entry '!$AA$1:$AA$1501,$J1407+1)&amp;"",INDEX('Daily Sale entry '!$P$1:$P$1501,$J1407-1499)&amp;""))</f>
        <v/>
      </c>
      <c r="E1407">
        <f>IF($J1407="","",IF($J1407&lt;=1500,IF(N(INDEX('Daily Sale entry '!$AB$1:$AB$1501,$J1407+1))=0,"",INDEX('Daily Sale entry '!$AB$1:$AB$1501,$J1407+1)),1))</f>
        <v/>
      </c>
      <c r="F1407" s="6">
        <f>IF($J1407="","",IF($J1407&lt;=1500,N(INDEX('Daily Sale entry '!$AC$1:$AC$1501,$J1407+1))-IF(AND('Opening Balance'!$B$15=1,INDEX('Daily Sale entry '!$Z$1:$Z$1501,$J1407+1)="Online collection 网上收款",INDEX('Daily Sale entry '!$AA$1:$AA$1501,$J1407+1)&lt;&gt;""),N(INDEX('Daily Sale entry '!$AC$1:$AC$1501,$J1407+1))-TRUNC(N(INDEX('Daily Sale entry '!$AC$1:$AC$1501,$J1407+1))),0),N(INDEX('Daily Sale entry '!$S$1:$S$1501,$J1407-1499))-'Opening Balance'!$B$15*(N(INDEX('Daily Sale entry '!$S$1:$S$1501,$J1407-1499))-TRUNC(N(INDEX('Daily Sale entry '!$S$1:$S$1501,$J1407-1499))))))</f>
        <v/>
      </c>
      <c r="G1407" s="6">
        <f>IF($J1407="","",IF($J1407&lt;=1500,N(INDEX('Daily Sale entry '!$AD$1:$AD$1501,$J1407+1)),0))</f>
        <v/>
      </c>
      <c r="H1407" s="6">
        <f>IF($J1407="","",ROUND('Opening Balance'!$B$4+SUM($F$2:F1407)-SUM($G$2:G1407),2))</f>
        <v/>
      </c>
      <c r="J1407" s="21">
        <f>IFERROR(MATCH(ROW()-1,$L$2:$L$3001,0),"")</f>
        <v/>
      </c>
      <c r="K1407" s="34">
        <f>IF(AND('Daily Sale entry '!X1407&lt;&gt;"",OR('Daily Sale entry '!AC1407&lt;&gt;"",'Daily Sale entry '!AD1407&lt;&gt;"")),'Daily Sale entry '!X1407+ROW()/10000000,"")</f>
        <v/>
      </c>
      <c r="L1407" s="21">
        <f>IF(K1407="","",COUNTIF($K$2:$K$3001,"&lt;"&amp;K1407)+1)</f>
        <v/>
      </c>
    </row>
    <row r="1408">
      <c r="A1408" s="5">
        <f>IF($J1408="","",IF($J1408&lt;=1500,INDEX('Daily Sale entry '!$X$1:$X$1501,$J1408+1),INDEX('Daily Sale entry '!$V$1:$V$1501,$J1408-1499)))</f>
        <v/>
      </c>
      <c r="B1408">
        <f>IF($J1408="","",IF($J1408&lt;=1500,INDEX('Daily Sale entry '!$Y$1:$Y$1501,$J1408+1)&amp;"","Buyer cheque banked 买家支票存入"&amp;IF(INDEX('Daily Sale entry '!$U$1:$U$1501,$J1408-1499)="","", " - "&amp;INDEX('Daily Sale entry '!$U$1:$U$1501,$J1408-1499))))</f>
        <v/>
      </c>
      <c r="C1408">
        <f>IF($J1408="","",IF($J1408&lt;=1500,INDEX('Daily Sale entry '!$Z$1:$Z$1501,$J1408+1)&amp;"","Cheque deposit 支票存入 (buyer 买家)"))</f>
        <v/>
      </c>
      <c r="D1408">
        <f>IF($J1408="","",IF($J1408&lt;=1500,INDEX('Daily Sale entry '!$AA$1:$AA$1501,$J1408+1)&amp;"",INDEX('Daily Sale entry '!$P$1:$P$1501,$J1408-1499)&amp;""))</f>
        <v/>
      </c>
      <c r="E1408">
        <f>IF($J1408="","",IF($J1408&lt;=1500,IF(N(INDEX('Daily Sale entry '!$AB$1:$AB$1501,$J1408+1))=0,"",INDEX('Daily Sale entry '!$AB$1:$AB$1501,$J1408+1)),1))</f>
        <v/>
      </c>
      <c r="F1408" s="6">
        <f>IF($J1408="","",IF($J1408&lt;=1500,N(INDEX('Daily Sale entry '!$AC$1:$AC$1501,$J1408+1))-IF(AND('Opening Balance'!$B$15=1,INDEX('Daily Sale entry '!$Z$1:$Z$1501,$J1408+1)="Online collection 网上收款",INDEX('Daily Sale entry '!$AA$1:$AA$1501,$J1408+1)&lt;&gt;""),N(INDEX('Daily Sale entry '!$AC$1:$AC$1501,$J1408+1))-TRUNC(N(INDEX('Daily Sale entry '!$AC$1:$AC$1501,$J1408+1))),0),N(INDEX('Daily Sale entry '!$S$1:$S$1501,$J1408-1499))-'Opening Balance'!$B$15*(N(INDEX('Daily Sale entry '!$S$1:$S$1501,$J1408-1499))-TRUNC(N(INDEX('Daily Sale entry '!$S$1:$S$1501,$J1408-1499))))))</f>
        <v/>
      </c>
      <c r="G1408" s="6">
        <f>IF($J1408="","",IF($J1408&lt;=1500,N(INDEX('Daily Sale entry '!$AD$1:$AD$1501,$J1408+1)),0))</f>
        <v/>
      </c>
      <c r="H1408" s="6">
        <f>IF($J1408="","",ROUND('Opening Balance'!$B$4+SUM($F$2:F1408)-SUM($G$2:G1408),2))</f>
        <v/>
      </c>
      <c r="J1408" s="21">
        <f>IFERROR(MATCH(ROW()-1,$L$2:$L$3001,0),"")</f>
        <v/>
      </c>
      <c r="K1408" s="34">
        <f>IF(AND('Daily Sale entry '!X1408&lt;&gt;"",OR('Daily Sale entry '!AC1408&lt;&gt;"",'Daily Sale entry '!AD1408&lt;&gt;"")),'Daily Sale entry '!X1408+ROW()/10000000,"")</f>
        <v/>
      </c>
      <c r="L1408" s="21">
        <f>IF(K1408="","",COUNTIF($K$2:$K$3001,"&lt;"&amp;K1408)+1)</f>
        <v/>
      </c>
    </row>
    <row r="1409">
      <c r="A1409" s="5">
        <f>IF($J1409="","",IF($J1409&lt;=1500,INDEX('Daily Sale entry '!$X$1:$X$1501,$J1409+1),INDEX('Daily Sale entry '!$V$1:$V$1501,$J1409-1499)))</f>
        <v/>
      </c>
      <c r="B1409">
        <f>IF($J1409="","",IF($J1409&lt;=1500,INDEX('Daily Sale entry '!$Y$1:$Y$1501,$J1409+1)&amp;"","Buyer cheque banked 买家支票存入"&amp;IF(INDEX('Daily Sale entry '!$U$1:$U$1501,$J1409-1499)="","", " - "&amp;INDEX('Daily Sale entry '!$U$1:$U$1501,$J1409-1499))))</f>
        <v/>
      </c>
      <c r="C1409">
        <f>IF($J1409="","",IF($J1409&lt;=1500,INDEX('Daily Sale entry '!$Z$1:$Z$1501,$J1409+1)&amp;"","Cheque deposit 支票存入 (buyer 买家)"))</f>
        <v/>
      </c>
      <c r="D1409">
        <f>IF($J1409="","",IF($J1409&lt;=1500,INDEX('Daily Sale entry '!$AA$1:$AA$1501,$J1409+1)&amp;"",INDEX('Daily Sale entry '!$P$1:$P$1501,$J1409-1499)&amp;""))</f>
        <v/>
      </c>
      <c r="E1409">
        <f>IF($J1409="","",IF($J1409&lt;=1500,IF(N(INDEX('Daily Sale entry '!$AB$1:$AB$1501,$J1409+1))=0,"",INDEX('Daily Sale entry '!$AB$1:$AB$1501,$J1409+1)),1))</f>
        <v/>
      </c>
      <c r="F1409" s="6">
        <f>IF($J1409="","",IF($J1409&lt;=1500,N(INDEX('Daily Sale entry '!$AC$1:$AC$1501,$J1409+1))-IF(AND('Opening Balance'!$B$15=1,INDEX('Daily Sale entry '!$Z$1:$Z$1501,$J1409+1)="Online collection 网上收款",INDEX('Daily Sale entry '!$AA$1:$AA$1501,$J1409+1)&lt;&gt;""),N(INDEX('Daily Sale entry '!$AC$1:$AC$1501,$J1409+1))-TRUNC(N(INDEX('Daily Sale entry '!$AC$1:$AC$1501,$J1409+1))),0),N(INDEX('Daily Sale entry '!$S$1:$S$1501,$J1409-1499))-'Opening Balance'!$B$15*(N(INDEX('Daily Sale entry '!$S$1:$S$1501,$J1409-1499))-TRUNC(N(INDEX('Daily Sale entry '!$S$1:$S$1501,$J1409-1499))))))</f>
        <v/>
      </c>
      <c r="G1409" s="6">
        <f>IF($J1409="","",IF($J1409&lt;=1500,N(INDEX('Daily Sale entry '!$AD$1:$AD$1501,$J1409+1)),0))</f>
        <v/>
      </c>
      <c r="H1409" s="6">
        <f>IF($J1409="","",ROUND('Opening Balance'!$B$4+SUM($F$2:F1409)-SUM($G$2:G1409),2))</f>
        <v/>
      </c>
      <c r="J1409" s="21">
        <f>IFERROR(MATCH(ROW()-1,$L$2:$L$3001,0),"")</f>
        <v/>
      </c>
      <c r="K1409" s="34">
        <f>IF(AND('Daily Sale entry '!X1409&lt;&gt;"",OR('Daily Sale entry '!AC1409&lt;&gt;"",'Daily Sale entry '!AD1409&lt;&gt;"")),'Daily Sale entry '!X1409+ROW()/10000000,"")</f>
        <v/>
      </c>
      <c r="L1409" s="21">
        <f>IF(K1409="","",COUNTIF($K$2:$K$3001,"&lt;"&amp;K1409)+1)</f>
        <v/>
      </c>
    </row>
    <row r="1410">
      <c r="A1410" s="5">
        <f>IF($J1410="","",IF($J1410&lt;=1500,INDEX('Daily Sale entry '!$X$1:$X$1501,$J1410+1),INDEX('Daily Sale entry '!$V$1:$V$1501,$J1410-1499)))</f>
        <v/>
      </c>
      <c r="B1410">
        <f>IF($J1410="","",IF($J1410&lt;=1500,INDEX('Daily Sale entry '!$Y$1:$Y$1501,$J1410+1)&amp;"","Buyer cheque banked 买家支票存入"&amp;IF(INDEX('Daily Sale entry '!$U$1:$U$1501,$J1410-1499)="","", " - "&amp;INDEX('Daily Sale entry '!$U$1:$U$1501,$J1410-1499))))</f>
        <v/>
      </c>
      <c r="C1410">
        <f>IF($J1410="","",IF($J1410&lt;=1500,INDEX('Daily Sale entry '!$Z$1:$Z$1501,$J1410+1)&amp;"","Cheque deposit 支票存入 (buyer 买家)"))</f>
        <v/>
      </c>
      <c r="D1410">
        <f>IF($J1410="","",IF($J1410&lt;=1500,INDEX('Daily Sale entry '!$AA$1:$AA$1501,$J1410+1)&amp;"",INDEX('Daily Sale entry '!$P$1:$P$1501,$J1410-1499)&amp;""))</f>
        <v/>
      </c>
      <c r="E1410">
        <f>IF($J1410="","",IF($J1410&lt;=1500,IF(N(INDEX('Daily Sale entry '!$AB$1:$AB$1501,$J1410+1))=0,"",INDEX('Daily Sale entry '!$AB$1:$AB$1501,$J1410+1)),1))</f>
        <v/>
      </c>
      <c r="F1410" s="6">
        <f>IF($J1410="","",IF($J1410&lt;=1500,N(INDEX('Daily Sale entry '!$AC$1:$AC$1501,$J1410+1))-IF(AND('Opening Balance'!$B$15=1,INDEX('Daily Sale entry '!$Z$1:$Z$1501,$J1410+1)="Online collection 网上收款",INDEX('Daily Sale entry '!$AA$1:$AA$1501,$J1410+1)&lt;&gt;""),N(INDEX('Daily Sale entry '!$AC$1:$AC$1501,$J1410+1))-TRUNC(N(INDEX('Daily Sale entry '!$AC$1:$AC$1501,$J1410+1))),0),N(INDEX('Daily Sale entry '!$S$1:$S$1501,$J1410-1499))-'Opening Balance'!$B$15*(N(INDEX('Daily Sale entry '!$S$1:$S$1501,$J1410-1499))-TRUNC(N(INDEX('Daily Sale entry '!$S$1:$S$1501,$J1410-1499))))))</f>
        <v/>
      </c>
      <c r="G1410" s="6">
        <f>IF($J1410="","",IF($J1410&lt;=1500,N(INDEX('Daily Sale entry '!$AD$1:$AD$1501,$J1410+1)),0))</f>
        <v/>
      </c>
      <c r="H1410" s="6">
        <f>IF($J1410="","",ROUND('Opening Balance'!$B$4+SUM($F$2:F1410)-SUM($G$2:G1410),2))</f>
        <v/>
      </c>
      <c r="J1410" s="21">
        <f>IFERROR(MATCH(ROW()-1,$L$2:$L$3001,0),"")</f>
        <v/>
      </c>
      <c r="K1410" s="34">
        <f>IF(AND('Daily Sale entry '!X1410&lt;&gt;"",OR('Daily Sale entry '!AC1410&lt;&gt;"",'Daily Sale entry '!AD1410&lt;&gt;"")),'Daily Sale entry '!X1410+ROW()/10000000,"")</f>
        <v/>
      </c>
      <c r="L1410" s="21">
        <f>IF(K1410="","",COUNTIF($K$2:$K$3001,"&lt;"&amp;K1410)+1)</f>
        <v/>
      </c>
    </row>
    <row r="1411">
      <c r="A1411" s="5">
        <f>IF($J1411="","",IF($J1411&lt;=1500,INDEX('Daily Sale entry '!$X$1:$X$1501,$J1411+1),INDEX('Daily Sale entry '!$V$1:$V$1501,$J1411-1499)))</f>
        <v/>
      </c>
      <c r="B1411">
        <f>IF($J1411="","",IF($J1411&lt;=1500,INDEX('Daily Sale entry '!$Y$1:$Y$1501,$J1411+1)&amp;"","Buyer cheque banked 买家支票存入"&amp;IF(INDEX('Daily Sale entry '!$U$1:$U$1501,$J1411-1499)="","", " - "&amp;INDEX('Daily Sale entry '!$U$1:$U$1501,$J1411-1499))))</f>
        <v/>
      </c>
      <c r="C1411">
        <f>IF($J1411="","",IF($J1411&lt;=1500,INDEX('Daily Sale entry '!$Z$1:$Z$1501,$J1411+1)&amp;"","Cheque deposit 支票存入 (buyer 买家)"))</f>
        <v/>
      </c>
      <c r="D1411">
        <f>IF($J1411="","",IF($J1411&lt;=1500,INDEX('Daily Sale entry '!$AA$1:$AA$1501,$J1411+1)&amp;"",INDEX('Daily Sale entry '!$P$1:$P$1501,$J1411-1499)&amp;""))</f>
        <v/>
      </c>
      <c r="E1411">
        <f>IF($J1411="","",IF($J1411&lt;=1500,IF(N(INDEX('Daily Sale entry '!$AB$1:$AB$1501,$J1411+1))=0,"",INDEX('Daily Sale entry '!$AB$1:$AB$1501,$J1411+1)),1))</f>
        <v/>
      </c>
      <c r="F1411" s="6">
        <f>IF($J1411="","",IF($J1411&lt;=1500,N(INDEX('Daily Sale entry '!$AC$1:$AC$1501,$J1411+1))-IF(AND('Opening Balance'!$B$15=1,INDEX('Daily Sale entry '!$Z$1:$Z$1501,$J1411+1)="Online collection 网上收款",INDEX('Daily Sale entry '!$AA$1:$AA$1501,$J1411+1)&lt;&gt;""),N(INDEX('Daily Sale entry '!$AC$1:$AC$1501,$J1411+1))-TRUNC(N(INDEX('Daily Sale entry '!$AC$1:$AC$1501,$J1411+1))),0),N(INDEX('Daily Sale entry '!$S$1:$S$1501,$J1411-1499))-'Opening Balance'!$B$15*(N(INDEX('Daily Sale entry '!$S$1:$S$1501,$J1411-1499))-TRUNC(N(INDEX('Daily Sale entry '!$S$1:$S$1501,$J1411-1499))))))</f>
        <v/>
      </c>
      <c r="G1411" s="6">
        <f>IF($J1411="","",IF($J1411&lt;=1500,N(INDEX('Daily Sale entry '!$AD$1:$AD$1501,$J1411+1)),0))</f>
        <v/>
      </c>
      <c r="H1411" s="6">
        <f>IF($J1411="","",ROUND('Opening Balance'!$B$4+SUM($F$2:F1411)-SUM($G$2:G1411),2))</f>
        <v/>
      </c>
      <c r="J1411" s="21">
        <f>IFERROR(MATCH(ROW()-1,$L$2:$L$3001,0),"")</f>
        <v/>
      </c>
      <c r="K1411" s="34">
        <f>IF(AND('Daily Sale entry '!X1411&lt;&gt;"",OR('Daily Sale entry '!AC1411&lt;&gt;"",'Daily Sale entry '!AD1411&lt;&gt;"")),'Daily Sale entry '!X1411+ROW()/10000000,"")</f>
        <v/>
      </c>
      <c r="L1411" s="21">
        <f>IF(K1411="","",COUNTIF($K$2:$K$3001,"&lt;"&amp;K1411)+1)</f>
        <v/>
      </c>
    </row>
    <row r="1412">
      <c r="A1412" s="5">
        <f>IF($J1412="","",IF($J1412&lt;=1500,INDEX('Daily Sale entry '!$X$1:$X$1501,$J1412+1),INDEX('Daily Sale entry '!$V$1:$V$1501,$J1412-1499)))</f>
        <v/>
      </c>
      <c r="B1412">
        <f>IF($J1412="","",IF($J1412&lt;=1500,INDEX('Daily Sale entry '!$Y$1:$Y$1501,$J1412+1)&amp;"","Buyer cheque banked 买家支票存入"&amp;IF(INDEX('Daily Sale entry '!$U$1:$U$1501,$J1412-1499)="","", " - "&amp;INDEX('Daily Sale entry '!$U$1:$U$1501,$J1412-1499))))</f>
        <v/>
      </c>
      <c r="C1412">
        <f>IF($J1412="","",IF($J1412&lt;=1500,INDEX('Daily Sale entry '!$Z$1:$Z$1501,$J1412+1)&amp;"","Cheque deposit 支票存入 (buyer 买家)"))</f>
        <v/>
      </c>
      <c r="D1412">
        <f>IF($J1412="","",IF($J1412&lt;=1500,INDEX('Daily Sale entry '!$AA$1:$AA$1501,$J1412+1)&amp;"",INDEX('Daily Sale entry '!$P$1:$P$1501,$J1412-1499)&amp;""))</f>
        <v/>
      </c>
      <c r="E1412">
        <f>IF($J1412="","",IF($J1412&lt;=1500,IF(N(INDEX('Daily Sale entry '!$AB$1:$AB$1501,$J1412+1))=0,"",INDEX('Daily Sale entry '!$AB$1:$AB$1501,$J1412+1)),1))</f>
        <v/>
      </c>
      <c r="F1412" s="6">
        <f>IF($J1412="","",IF($J1412&lt;=1500,N(INDEX('Daily Sale entry '!$AC$1:$AC$1501,$J1412+1))-IF(AND('Opening Balance'!$B$15=1,INDEX('Daily Sale entry '!$Z$1:$Z$1501,$J1412+1)="Online collection 网上收款",INDEX('Daily Sale entry '!$AA$1:$AA$1501,$J1412+1)&lt;&gt;""),N(INDEX('Daily Sale entry '!$AC$1:$AC$1501,$J1412+1))-TRUNC(N(INDEX('Daily Sale entry '!$AC$1:$AC$1501,$J1412+1))),0),N(INDEX('Daily Sale entry '!$S$1:$S$1501,$J1412-1499))-'Opening Balance'!$B$15*(N(INDEX('Daily Sale entry '!$S$1:$S$1501,$J1412-1499))-TRUNC(N(INDEX('Daily Sale entry '!$S$1:$S$1501,$J1412-1499))))))</f>
        <v/>
      </c>
      <c r="G1412" s="6">
        <f>IF($J1412="","",IF($J1412&lt;=1500,N(INDEX('Daily Sale entry '!$AD$1:$AD$1501,$J1412+1)),0))</f>
        <v/>
      </c>
      <c r="H1412" s="6">
        <f>IF($J1412="","",ROUND('Opening Balance'!$B$4+SUM($F$2:F1412)-SUM($G$2:G1412),2))</f>
        <v/>
      </c>
      <c r="J1412" s="21">
        <f>IFERROR(MATCH(ROW()-1,$L$2:$L$3001,0),"")</f>
        <v/>
      </c>
      <c r="K1412" s="34">
        <f>IF(AND('Daily Sale entry '!X1412&lt;&gt;"",OR('Daily Sale entry '!AC1412&lt;&gt;"",'Daily Sale entry '!AD1412&lt;&gt;"")),'Daily Sale entry '!X1412+ROW()/10000000,"")</f>
        <v/>
      </c>
      <c r="L1412" s="21">
        <f>IF(K1412="","",COUNTIF($K$2:$K$3001,"&lt;"&amp;K1412)+1)</f>
        <v/>
      </c>
    </row>
    <row r="1413">
      <c r="A1413" s="5">
        <f>IF($J1413="","",IF($J1413&lt;=1500,INDEX('Daily Sale entry '!$X$1:$X$1501,$J1413+1),INDEX('Daily Sale entry '!$V$1:$V$1501,$J1413-1499)))</f>
        <v/>
      </c>
      <c r="B1413">
        <f>IF($J1413="","",IF($J1413&lt;=1500,INDEX('Daily Sale entry '!$Y$1:$Y$1501,$J1413+1)&amp;"","Buyer cheque banked 买家支票存入"&amp;IF(INDEX('Daily Sale entry '!$U$1:$U$1501,$J1413-1499)="","", " - "&amp;INDEX('Daily Sale entry '!$U$1:$U$1501,$J1413-1499))))</f>
        <v/>
      </c>
      <c r="C1413">
        <f>IF($J1413="","",IF($J1413&lt;=1500,INDEX('Daily Sale entry '!$Z$1:$Z$1501,$J1413+1)&amp;"","Cheque deposit 支票存入 (buyer 买家)"))</f>
        <v/>
      </c>
      <c r="D1413">
        <f>IF($J1413="","",IF($J1413&lt;=1500,INDEX('Daily Sale entry '!$AA$1:$AA$1501,$J1413+1)&amp;"",INDEX('Daily Sale entry '!$P$1:$P$1501,$J1413-1499)&amp;""))</f>
        <v/>
      </c>
      <c r="E1413">
        <f>IF($J1413="","",IF($J1413&lt;=1500,IF(N(INDEX('Daily Sale entry '!$AB$1:$AB$1501,$J1413+1))=0,"",INDEX('Daily Sale entry '!$AB$1:$AB$1501,$J1413+1)),1))</f>
        <v/>
      </c>
      <c r="F1413" s="6">
        <f>IF($J1413="","",IF($J1413&lt;=1500,N(INDEX('Daily Sale entry '!$AC$1:$AC$1501,$J1413+1))-IF(AND('Opening Balance'!$B$15=1,INDEX('Daily Sale entry '!$Z$1:$Z$1501,$J1413+1)="Online collection 网上收款",INDEX('Daily Sale entry '!$AA$1:$AA$1501,$J1413+1)&lt;&gt;""),N(INDEX('Daily Sale entry '!$AC$1:$AC$1501,$J1413+1))-TRUNC(N(INDEX('Daily Sale entry '!$AC$1:$AC$1501,$J1413+1))),0),N(INDEX('Daily Sale entry '!$S$1:$S$1501,$J1413-1499))-'Opening Balance'!$B$15*(N(INDEX('Daily Sale entry '!$S$1:$S$1501,$J1413-1499))-TRUNC(N(INDEX('Daily Sale entry '!$S$1:$S$1501,$J1413-1499))))))</f>
        <v/>
      </c>
      <c r="G1413" s="6">
        <f>IF($J1413="","",IF($J1413&lt;=1500,N(INDEX('Daily Sale entry '!$AD$1:$AD$1501,$J1413+1)),0))</f>
        <v/>
      </c>
      <c r="H1413" s="6">
        <f>IF($J1413="","",ROUND('Opening Balance'!$B$4+SUM($F$2:F1413)-SUM($G$2:G1413),2))</f>
        <v/>
      </c>
      <c r="J1413" s="21">
        <f>IFERROR(MATCH(ROW()-1,$L$2:$L$3001,0),"")</f>
        <v/>
      </c>
      <c r="K1413" s="34">
        <f>IF(AND('Daily Sale entry '!X1413&lt;&gt;"",OR('Daily Sale entry '!AC1413&lt;&gt;"",'Daily Sale entry '!AD1413&lt;&gt;"")),'Daily Sale entry '!X1413+ROW()/10000000,"")</f>
        <v/>
      </c>
      <c r="L1413" s="21">
        <f>IF(K1413="","",COUNTIF($K$2:$K$3001,"&lt;"&amp;K1413)+1)</f>
        <v/>
      </c>
    </row>
    <row r="1414">
      <c r="A1414" s="5">
        <f>IF($J1414="","",IF($J1414&lt;=1500,INDEX('Daily Sale entry '!$X$1:$X$1501,$J1414+1),INDEX('Daily Sale entry '!$V$1:$V$1501,$J1414-1499)))</f>
        <v/>
      </c>
      <c r="B1414">
        <f>IF($J1414="","",IF($J1414&lt;=1500,INDEX('Daily Sale entry '!$Y$1:$Y$1501,$J1414+1)&amp;"","Buyer cheque banked 买家支票存入"&amp;IF(INDEX('Daily Sale entry '!$U$1:$U$1501,$J1414-1499)="","", " - "&amp;INDEX('Daily Sale entry '!$U$1:$U$1501,$J1414-1499))))</f>
        <v/>
      </c>
      <c r="C1414">
        <f>IF($J1414="","",IF($J1414&lt;=1500,INDEX('Daily Sale entry '!$Z$1:$Z$1501,$J1414+1)&amp;"","Cheque deposit 支票存入 (buyer 买家)"))</f>
        <v/>
      </c>
      <c r="D1414">
        <f>IF($J1414="","",IF($J1414&lt;=1500,INDEX('Daily Sale entry '!$AA$1:$AA$1501,$J1414+1)&amp;"",INDEX('Daily Sale entry '!$P$1:$P$1501,$J1414-1499)&amp;""))</f>
        <v/>
      </c>
      <c r="E1414">
        <f>IF($J1414="","",IF($J1414&lt;=1500,IF(N(INDEX('Daily Sale entry '!$AB$1:$AB$1501,$J1414+1))=0,"",INDEX('Daily Sale entry '!$AB$1:$AB$1501,$J1414+1)),1))</f>
        <v/>
      </c>
      <c r="F1414" s="6">
        <f>IF($J1414="","",IF($J1414&lt;=1500,N(INDEX('Daily Sale entry '!$AC$1:$AC$1501,$J1414+1))-IF(AND('Opening Balance'!$B$15=1,INDEX('Daily Sale entry '!$Z$1:$Z$1501,$J1414+1)="Online collection 网上收款",INDEX('Daily Sale entry '!$AA$1:$AA$1501,$J1414+1)&lt;&gt;""),N(INDEX('Daily Sale entry '!$AC$1:$AC$1501,$J1414+1))-TRUNC(N(INDEX('Daily Sale entry '!$AC$1:$AC$1501,$J1414+1))),0),N(INDEX('Daily Sale entry '!$S$1:$S$1501,$J1414-1499))-'Opening Balance'!$B$15*(N(INDEX('Daily Sale entry '!$S$1:$S$1501,$J1414-1499))-TRUNC(N(INDEX('Daily Sale entry '!$S$1:$S$1501,$J1414-1499))))))</f>
        <v/>
      </c>
      <c r="G1414" s="6">
        <f>IF($J1414="","",IF($J1414&lt;=1500,N(INDEX('Daily Sale entry '!$AD$1:$AD$1501,$J1414+1)),0))</f>
        <v/>
      </c>
      <c r="H1414" s="6">
        <f>IF($J1414="","",ROUND('Opening Balance'!$B$4+SUM($F$2:F1414)-SUM($G$2:G1414),2))</f>
        <v/>
      </c>
      <c r="J1414" s="21">
        <f>IFERROR(MATCH(ROW()-1,$L$2:$L$3001,0),"")</f>
        <v/>
      </c>
      <c r="K1414" s="34">
        <f>IF(AND('Daily Sale entry '!X1414&lt;&gt;"",OR('Daily Sale entry '!AC1414&lt;&gt;"",'Daily Sale entry '!AD1414&lt;&gt;"")),'Daily Sale entry '!X1414+ROW()/10000000,"")</f>
        <v/>
      </c>
      <c r="L1414" s="21">
        <f>IF(K1414="","",COUNTIF($K$2:$K$3001,"&lt;"&amp;K1414)+1)</f>
        <v/>
      </c>
    </row>
    <row r="1415">
      <c r="A1415" s="5">
        <f>IF($J1415="","",IF($J1415&lt;=1500,INDEX('Daily Sale entry '!$X$1:$X$1501,$J1415+1),INDEX('Daily Sale entry '!$V$1:$V$1501,$J1415-1499)))</f>
        <v/>
      </c>
      <c r="B1415">
        <f>IF($J1415="","",IF($J1415&lt;=1500,INDEX('Daily Sale entry '!$Y$1:$Y$1501,$J1415+1)&amp;"","Buyer cheque banked 买家支票存入"&amp;IF(INDEX('Daily Sale entry '!$U$1:$U$1501,$J1415-1499)="","", " - "&amp;INDEX('Daily Sale entry '!$U$1:$U$1501,$J1415-1499))))</f>
        <v/>
      </c>
      <c r="C1415">
        <f>IF($J1415="","",IF($J1415&lt;=1500,INDEX('Daily Sale entry '!$Z$1:$Z$1501,$J1415+1)&amp;"","Cheque deposit 支票存入 (buyer 买家)"))</f>
        <v/>
      </c>
      <c r="D1415">
        <f>IF($J1415="","",IF($J1415&lt;=1500,INDEX('Daily Sale entry '!$AA$1:$AA$1501,$J1415+1)&amp;"",INDEX('Daily Sale entry '!$P$1:$P$1501,$J1415-1499)&amp;""))</f>
        <v/>
      </c>
      <c r="E1415">
        <f>IF($J1415="","",IF($J1415&lt;=1500,IF(N(INDEX('Daily Sale entry '!$AB$1:$AB$1501,$J1415+1))=0,"",INDEX('Daily Sale entry '!$AB$1:$AB$1501,$J1415+1)),1))</f>
        <v/>
      </c>
      <c r="F1415" s="6">
        <f>IF($J1415="","",IF($J1415&lt;=1500,N(INDEX('Daily Sale entry '!$AC$1:$AC$1501,$J1415+1))-IF(AND('Opening Balance'!$B$15=1,INDEX('Daily Sale entry '!$Z$1:$Z$1501,$J1415+1)="Online collection 网上收款",INDEX('Daily Sale entry '!$AA$1:$AA$1501,$J1415+1)&lt;&gt;""),N(INDEX('Daily Sale entry '!$AC$1:$AC$1501,$J1415+1))-TRUNC(N(INDEX('Daily Sale entry '!$AC$1:$AC$1501,$J1415+1))),0),N(INDEX('Daily Sale entry '!$S$1:$S$1501,$J1415-1499))-'Opening Balance'!$B$15*(N(INDEX('Daily Sale entry '!$S$1:$S$1501,$J1415-1499))-TRUNC(N(INDEX('Daily Sale entry '!$S$1:$S$1501,$J1415-1499))))))</f>
        <v/>
      </c>
      <c r="G1415" s="6">
        <f>IF($J1415="","",IF($J1415&lt;=1500,N(INDEX('Daily Sale entry '!$AD$1:$AD$1501,$J1415+1)),0))</f>
        <v/>
      </c>
      <c r="H1415" s="6">
        <f>IF($J1415="","",ROUND('Opening Balance'!$B$4+SUM($F$2:F1415)-SUM($G$2:G1415),2))</f>
        <v/>
      </c>
      <c r="J1415" s="21">
        <f>IFERROR(MATCH(ROW()-1,$L$2:$L$3001,0),"")</f>
        <v/>
      </c>
      <c r="K1415" s="34">
        <f>IF(AND('Daily Sale entry '!X1415&lt;&gt;"",OR('Daily Sale entry '!AC1415&lt;&gt;"",'Daily Sale entry '!AD1415&lt;&gt;"")),'Daily Sale entry '!X1415+ROW()/10000000,"")</f>
        <v/>
      </c>
      <c r="L1415" s="21">
        <f>IF(K1415="","",COUNTIF($K$2:$K$3001,"&lt;"&amp;K1415)+1)</f>
        <v/>
      </c>
    </row>
    <row r="1416">
      <c r="A1416" s="5">
        <f>IF($J1416="","",IF($J1416&lt;=1500,INDEX('Daily Sale entry '!$X$1:$X$1501,$J1416+1),INDEX('Daily Sale entry '!$V$1:$V$1501,$J1416-1499)))</f>
        <v/>
      </c>
      <c r="B1416">
        <f>IF($J1416="","",IF($J1416&lt;=1500,INDEX('Daily Sale entry '!$Y$1:$Y$1501,$J1416+1)&amp;"","Buyer cheque banked 买家支票存入"&amp;IF(INDEX('Daily Sale entry '!$U$1:$U$1501,$J1416-1499)="","", " - "&amp;INDEX('Daily Sale entry '!$U$1:$U$1501,$J1416-1499))))</f>
        <v/>
      </c>
      <c r="C1416">
        <f>IF($J1416="","",IF($J1416&lt;=1500,INDEX('Daily Sale entry '!$Z$1:$Z$1501,$J1416+1)&amp;"","Cheque deposit 支票存入 (buyer 买家)"))</f>
        <v/>
      </c>
      <c r="D1416">
        <f>IF($J1416="","",IF($J1416&lt;=1500,INDEX('Daily Sale entry '!$AA$1:$AA$1501,$J1416+1)&amp;"",INDEX('Daily Sale entry '!$P$1:$P$1501,$J1416-1499)&amp;""))</f>
        <v/>
      </c>
      <c r="E1416">
        <f>IF($J1416="","",IF($J1416&lt;=1500,IF(N(INDEX('Daily Sale entry '!$AB$1:$AB$1501,$J1416+1))=0,"",INDEX('Daily Sale entry '!$AB$1:$AB$1501,$J1416+1)),1))</f>
        <v/>
      </c>
      <c r="F1416" s="6">
        <f>IF($J1416="","",IF($J1416&lt;=1500,N(INDEX('Daily Sale entry '!$AC$1:$AC$1501,$J1416+1))-IF(AND('Opening Balance'!$B$15=1,INDEX('Daily Sale entry '!$Z$1:$Z$1501,$J1416+1)="Online collection 网上收款",INDEX('Daily Sale entry '!$AA$1:$AA$1501,$J1416+1)&lt;&gt;""),N(INDEX('Daily Sale entry '!$AC$1:$AC$1501,$J1416+1))-TRUNC(N(INDEX('Daily Sale entry '!$AC$1:$AC$1501,$J1416+1))),0),N(INDEX('Daily Sale entry '!$S$1:$S$1501,$J1416-1499))-'Opening Balance'!$B$15*(N(INDEX('Daily Sale entry '!$S$1:$S$1501,$J1416-1499))-TRUNC(N(INDEX('Daily Sale entry '!$S$1:$S$1501,$J1416-1499))))))</f>
        <v/>
      </c>
      <c r="G1416" s="6">
        <f>IF($J1416="","",IF($J1416&lt;=1500,N(INDEX('Daily Sale entry '!$AD$1:$AD$1501,$J1416+1)),0))</f>
        <v/>
      </c>
      <c r="H1416" s="6">
        <f>IF($J1416="","",ROUND('Opening Balance'!$B$4+SUM($F$2:F1416)-SUM($G$2:G1416),2))</f>
        <v/>
      </c>
      <c r="J1416" s="21">
        <f>IFERROR(MATCH(ROW()-1,$L$2:$L$3001,0),"")</f>
        <v/>
      </c>
      <c r="K1416" s="34">
        <f>IF(AND('Daily Sale entry '!X1416&lt;&gt;"",OR('Daily Sale entry '!AC1416&lt;&gt;"",'Daily Sale entry '!AD1416&lt;&gt;"")),'Daily Sale entry '!X1416+ROW()/10000000,"")</f>
        <v/>
      </c>
      <c r="L1416" s="21">
        <f>IF(K1416="","",COUNTIF($K$2:$K$3001,"&lt;"&amp;K1416)+1)</f>
        <v/>
      </c>
    </row>
    <row r="1417">
      <c r="A1417" s="5">
        <f>IF($J1417="","",IF($J1417&lt;=1500,INDEX('Daily Sale entry '!$X$1:$X$1501,$J1417+1),INDEX('Daily Sale entry '!$V$1:$V$1501,$J1417-1499)))</f>
        <v/>
      </c>
      <c r="B1417">
        <f>IF($J1417="","",IF($J1417&lt;=1500,INDEX('Daily Sale entry '!$Y$1:$Y$1501,$J1417+1)&amp;"","Buyer cheque banked 买家支票存入"&amp;IF(INDEX('Daily Sale entry '!$U$1:$U$1501,$J1417-1499)="","", " - "&amp;INDEX('Daily Sale entry '!$U$1:$U$1501,$J1417-1499))))</f>
        <v/>
      </c>
      <c r="C1417">
        <f>IF($J1417="","",IF($J1417&lt;=1500,INDEX('Daily Sale entry '!$Z$1:$Z$1501,$J1417+1)&amp;"","Cheque deposit 支票存入 (buyer 买家)"))</f>
        <v/>
      </c>
      <c r="D1417">
        <f>IF($J1417="","",IF($J1417&lt;=1500,INDEX('Daily Sale entry '!$AA$1:$AA$1501,$J1417+1)&amp;"",INDEX('Daily Sale entry '!$P$1:$P$1501,$J1417-1499)&amp;""))</f>
        <v/>
      </c>
      <c r="E1417">
        <f>IF($J1417="","",IF($J1417&lt;=1500,IF(N(INDEX('Daily Sale entry '!$AB$1:$AB$1501,$J1417+1))=0,"",INDEX('Daily Sale entry '!$AB$1:$AB$1501,$J1417+1)),1))</f>
        <v/>
      </c>
      <c r="F1417" s="6">
        <f>IF($J1417="","",IF($J1417&lt;=1500,N(INDEX('Daily Sale entry '!$AC$1:$AC$1501,$J1417+1))-IF(AND('Opening Balance'!$B$15=1,INDEX('Daily Sale entry '!$Z$1:$Z$1501,$J1417+1)="Online collection 网上收款",INDEX('Daily Sale entry '!$AA$1:$AA$1501,$J1417+1)&lt;&gt;""),N(INDEX('Daily Sale entry '!$AC$1:$AC$1501,$J1417+1))-TRUNC(N(INDEX('Daily Sale entry '!$AC$1:$AC$1501,$J1417+1))),0),N(INDEX('Daily Sale entry '!$S$1:$S$1501,$J1417-1499))-'Opening Balance'!$B$15*(N(INDEX('Daily Sale entry '!$S$1:$S$1501,$J1417-1499))-TRUNC(N(INDEX('Daily Sale entry '!$S$1:$S$1501,$J1417-1499))))))</f>
        <v/>
      </c>
      <c r="G1417" s="6">
        <f>IF($J1417="","",IF($J1417&lt;=1500,N(INDEX('Daily Sale entry '!$AD$1:$AD$1501,$J1417+1)),0))</f>
        <v/>
      </c>
      <c r="H1417" s="6">
        <f>IF($J1417="","",ROUND('Opening Balance'!$B$4+SUM($F$2:F1417)-SUM($G$2:G1417),2))</f>
        <v/>
      </c>
      <c r="J1417" s="21">
        <f>IFERROR(MATCH(ROW()-1,$L$2:$L$3001,0),"")</f>
        <v/>
      </c>
      <c r="K1417" s="34">
        <f>IF(AND('Daily Sale entry '!X1417&lt;&gt;"",OR('Daily Sale entry '!AC1417&lt;&gt;"",'Daily Sale entry '!AD1417&lt;&gt;"")),'Daily Sale entry '!X1417+ROW()/10000000,"")</f>
        <v/>
      </c>
      <c r="L1417" s="21">
        <f>IF(K1417="","",COUNTIF($K$2:$K$3001,"&lt;"&amp;K1417)+1)</f>
        <v/>
      </c>
    </row>
    <row r="1418">
      <c r="A1418" s="5">
        <f>IF($J1418="","",IF($J1418&lt;=1500,INDEX('Daily Sale entry '!$X$1:$X$1501,$J1418+1),INDEX('Daily Sale entry '!$V$1:$V$1501,$J1418-1499)))</f>
        <v/>
      </c>
      <c r="B1418">
        <f>IF($J1418="","",IF($J1418&lt;=1500,INDEX('Daily Sale entry '!$Y$1:$Y$1501,$J1418+1)&amp;"","Buyer cheque banked 买家支票存入"&amp;IF(INDEX('Daily Sale entry '!$U$1:$U$1501,$J1418-1499)="","", " - "&amp;INDEX('Daily Sale entry '!$U$1:$U$1501,$J1418-1499))))</f>
        <v/>
      </c>
      <c r="C1418">
        <f>IF($J1418="","",IF($J1418&lt;=1500,INDEX('Daily Sale entry '!$Z$1:$Z$1501,$J1418+1)&amp;"","Cheque deposit 支票存入 (buyer 买家)"))</f>
        <v/>
      </c>
      <c r="D1418">
        <f>IF($J1418="","",IF($J1418&lt;=1500,INDEX('Daily Sale entry '!$AA$1:$AA$1501,$J1418+1)&amp;"",INDEX('Daily Sale entry '!$P$1:$P$1501,$J1418-1499)&amp;""))</f>
        <v/>
      </c>
      <c r="E1418">
        <f>IF($J1418="","",IF($J1418&lt;=1500,IF(N(INDEX('Daily Sale entry '!$AB$1:$AB$1501,$J1418+1))=0,"",INDEX('Daily Sale entry '!$AB$1:$AB$1501,$J1418+1)),1))</f>
        <v/>
      </c>
      <c r="F1418" s="6">
        <f>IF($J1418="","",IF($J1418&lt;=1500,N(INDEX('Daily Sale entry '!$AC$1:$AC$1501,$J1418+1))-IF(AND('Opening Balance'!$B$15=1,INDEX('Daily Sale entry '!$Z$1:$Z$1501,$J1418+1)="Online collection 网上收款",INDEX('Daily Sale entry '!$AA$1:$AA$1501,$J1418+1)&lt;&gt;""),N(INDEX('Daily Sale entry '!$AC$1:$AC$1501,$J1418+1))-TRUNC(N(INDEX('Daily Sale entry '!$AC$1:$AC$1501,$J1418+1))),0),N(INDEX('Daily Sale entry '!$S$1:$S$1501,$J1418-1499))-'Opening Balance'!$B$15*(N(INDEX('Daily Sale entry '!$S$1:$S$1501,$J1418-1499))-TRUNC(N(INDEX('Daily Sale entry '!$S$1:$S$1501,$J1418-1499))))))</f>
        <v/>
      </c>
      <c r="G1418" s="6">
        <f>IF($J1418="","",IF($J1418&lt;=1500,N(INDEX('Daily Sale entry '!$AD$1:$AD$1501,$J1418+1)),0))</f>
        <v/>
      </c>
      <c r="H1418" s="6">
        <f>IF($J1418="","",ROUND('Opening Balance'!$B$4+SUM($F$2:F1418)-SUM($G$2:G1418),2))</f>
        <v/>
      </c>
      <c r="J1418" s="21">
        <f>IFERROR(MATCH(ROW()-1,$L$2:$L$3001,0),"")</f>
        <v/>
      </c>
      <c r="K1418" s="34">
        <f>IF(AND('Daily Sale entry '!X1418&lt;&gt;"",OR('Daily Sale entry '!AC1418&lt;&gt;"",'Daily Sale entry '!AD1418&lt;&gt;"")),'Daily Sale entry '!X1418+ROW()/10000000,"")</f>
        <v/>
      </c>
      <c r="L1418" s="21">
        <f>IF(K1418="","",COUNTIF($K$2:$K$3001,"&lt;"&amp;K1418)+1)</f>
        <v/>
      </c>
    </row>
    <row r="1419">
      <c r="A1419" s="5">
        <f>IF($J1419="","",IF($J1419&lt;=1500,INDEX('Daily Sale entry '!$X$1:$X$1501,$J1419+1),INDEX('Daily Sale entry '!$V$1:$V$1501,$J1419-1499)))</f>
        <v/>
      </c>
      <c r="B1419">
        <f>IF($J1419="","",IF($J1419&lt;=1500,INDEX('Daily Sale entry '!$Y$1:$Y$1501,$J1419+1)&amp;"","Buyer cheque banked 买家支票存入"&amp;IF(INDEX('Daily Sale entry '!$U$1:$U$1501,$J1419-1499)="","", " - "&amp;INDEX('Daily Sale entry '!$U$1:$U$1501,$J1419-1499))))</f>
        <v/>
      </c>
      <c r="C1419">
        <f>IF($J1419="","",IF($J1419&lt;=1500,INDEX('Daily Sale entry '!$Z$1:$Z$1501,$J1419+1)&amp;"","Cheque deposit 支票存入 (buyer 买家)"))</f>
        <v/>
      </c>
      <c r="D1419">
        <f>IF($J1419="","",IF($J1419&lt;=1500,INDEX('Daily Sale entry '!$AA$1:$AA$1501,$J1419+1)&amp;"",INDEX('Daily Sale entry '!$P$1:$P$1501,$J1419-1499)&amp;""))</f>
        <v/>
      </c>
      <c r="E1419">
        <f>IF($J1419="","",IF($J1419&lt;=1500,IF(N(INDEX('Daily Sale entry '!$AB$1:$AB$1501,$J1419+1))=0,"",INDEX('Daily Sale entry '!$AB$1:$AB$1501,$J1419+1)),1))</f>
        <v/>
      </c>
      <c r="F1419" s="6">
        <f>IF($J1419="","",IF($J1419&lt;=1500,N(INDEX('Daily Sale entry '!$AC$1:$AC$1501,$J1419+1))-IF(AND('Opening Balance'!$B$15=1,INDEX('Daily Sale entry '!$Z$1:$Z$1501,$J1419+1)="Online collection 网上收款",INDEX('Daily Sale entry '!$AA$1:$AA$1501,$J1419+1)&lt;&gt;""),N(INDEX('Daily Sale entry '!$AC$1:$AC$1501,$J1419+1))-TRUNC(N(INDEX('Daily Sale entry '!$AC$1:$AC$1501,$J1419+1))),0),N(INDEX('Daily Sale entry '!$S$1:$S$1501,$J1419-1499))-'Opening Balance'!$B$15*(N(INDEX('Daily Sale entry '!$S$1:$S$1501,$J1419-1499))-TRUNC(N(INDEX('Daily Sale entry '!$S$1:$S$1501,$J1419-1499))))))</f>
        <v/>
      </c>
      <c r="G1419" s="6">
        <f>IF($J1419="","",IF($J1419&lt;=1500,N(INDEX('Daily Sale entry '!$AD$1:$AD$1501,$J1419+1)),0))</f>
        <v/>
      </c>
      <c r="H1419" s="6">
        <f>IF($J1419="","",ROUND('Opening Balance'!$B$4+SUM($F$2:F1419)-SUM($G$2:G1419),2))</f>
        <v/>
      </c>
      <c r="J1419" s="21">
        <f>IFERROR(MATCH(ROW()-1,$L$2:$L$3001,0),"")</f>
        <v/>
      </c>
      <c r="K1419" s="34">
        <f>IF(AND('Daily Sale entry '!X1419&lt;&gt;"",OR('Daily Sale entry '!AC1419&lt;&gt;"",'Daily Sale entry '!AD1419&lt;&gt;"")),'Daily Sale entry '!X1419+ROW()/10000000,"")</f>
        <v/>
      </c>
      <c r="L1419" s="21">
        <f>IF(K1419="","",COUNTIF($K$2:$K$3001,"&lt;"&amp;K1419)+1)</f>
        <v/>
      </c>
    </row>
    <row r="1420">
      <c r="A1420" s="5">
        <f>IF($J1420="","",IF($J1420&lt;=1500,INDEX('Daily Sale entry '!$X$1:$X$1501,$J1420+1),INDEX('Daily Sale entry '!$V$1:$V$1501,$J1420-1499)))</f>
        <v/>
      </c>
      <c r="B1420">
        <f>IF($J1420="","",IF($J1420&lt;=1500,INDEX('Daily Sale entry '!$Y$1:$Y$1501,$J1420+1)&amp;"","Buyer cheque banked 买家支票存入"&amp;IF(INDEX('Daily Sale entry '!$U$1:$U$1501,$J1420-1499)="","", " - "&amp;INDEX('Daily Sale entry '!$U$1:$U$1501,$J1420-1499))))</f>
        <v/>
      </c>
      <c r="C1420">
        <f>IF($J1420="","",IF($J1420&lt;=1500,INDEX('Daily Sale entry '!$Z$1:$Z$1501,$J1420+1)&amp;"","Cheque deposit 支票存入 (buyer 买家)"))</f>
        <v/>
      </c>
      <c r="D1420">
        <f>IF($J1420="","",IF($J1420&lt;=1500,INDEX('Daily Sale entry '!$AA$1:$AA$1501,$J1420+1)&amp;"",INDEX('Daily Sale entry '!$P$1:$P$1501,$J1420-1499)&amp;""))</f>
        <v/>
      </c>
      <c r="E1420">
        <f>IF($J1420="","",IF($J1420&lt;=1500,IF(N(INDEX('Daily Sale entry '!$AB$1:$AB$1501,$J1420+1))=0,"",INDEX('Daily Sale entry '!$AB$1:$AB$1501,$J1420+1)),1))</f>
        <v/>
      </c>
      <c r="F1420" s="6">
        <f>IF($J1420="","",IF($J1420&lt;=1500,N(INDEX('Daily Sale entry '!$AC$1:$AC$1501,$J1420+1))-IF(AND('Opening Balance'!$B$15=1,INDEX('Daily Sale entry '!$Z$1:$Z$1501,$J1420+1)="Online collection 网上收款",INDEX('Daily Sale entry '!$AA$1:$AA$1501,$J1420+1)&lt;&gt;""),N(INDEX('Daily Sale entry '!$AC$1:$AC$1501,$J1420+1))-TRUNC(N(INDEX('Daily Sale entry '!$AC$1:$AC$1501,$J1420+1))),0),N(INDEX('Daily Sale entry '!$S$1:$S$1501,$J1420-1499))-'Opening Balance'!$B$15*(N(INDEX('Daily Sale entry '!$S$1:$S$1501,$J1420-1499))-TRUNC(N(INDEX('Daily Sale entry '!$S$1:$S$1501,$J1420-1499))))))</f>
        <v/>
      </c>
      <c r="G1420" s="6">
        <f>IF($J1420="","",IF($J1420&lt;=1500,N(INDEX('Daily Sale entry '!$AD$1:$AD$1501,$J1420+1)),0))</f>
        <v/>
      </c>
      <c r="H1420" s="6">
        <f>IF($J1420="","",ROUND('Opening Balance'!$B$4+SUM($F$2:F1420)-SUM($G$2:G1420),2))</f>
        <v/>
      </c>
      <c r="J1420" s="21">
        <f>IFERROR(MATCH(ROW()-1,$L$2:$L$3001,0),"")</f>
        <v/>
      </c>
      <c r="K1420" s="34">
        <f>IF(AND('Daily Sale entry '!X1420&lt;&gt;"",OR('Daily Sale entry '!AC1420&lt;&gt;"",'Daily Sale entry '!AD1420&lt;&gt;"")),'Daily Sale entry '!X1420+ROW()/10000000,"")</f>
        <v/>
      </c>
      <c r="L1420" s="21">
        <f>IF(K1420="","",COUNTIF($K$2:$K$3001,"&lt;"&amp;K1420)+1)</f>
        <v/>
      </c>
    </row>
    <row r="1421">
      <c r="A1421" s="5">
        <f>IF($J1421="","",IF($J1421&lt;=1500,INDEX('Daily Sale entry '!$X$1:$X$1501,$J1421+1),INDEX('Daily Sale entry '!$V$1:$V$1501,$J1421-1499)))</f>
        <v/>
      </c>
      <c r="B1421">
        <f>IF($J1421="","",IF($J1421&lt;=1500,INDEX('Daily Sale entry '!$Y$1:$Y$1501,$J1421+1)&amp;"","Buyer cheque banked 买家支票存入"&amp;IF(INDEX('Daily Sale entry '!$U$1:$U$1501,$J1421-1499)="","", " - "&amp;INDEX('Daily Sale entry '!$U$1:$U$1501,$J1421-1499))))</f>
        <v/>
      </c>
      <c r="C1421">
        <f>IF($J1421="","",IF($J1421&lt;=1500,INDEX('Daily Sale entry '!$Z$1:$Z$1501,$J1421+1)&amp;"","Cheque deposit 支票存入 (buyer 买家)"))</f>
        <v/>
      </c>
      <c r="D1421">
        <f>IF($J1421="","",IF($J1421&lt;=1500,INDEX('Daily Sale entry '!$AA$1:$AA$1501,$J1421+1)&amp;"",INDEX('Daily Sale entry '!$P$1:$P$1501,$J1421-1499)&amp;""))</f>
        <v/>
      </c>
      <c r="E1421">
        <f>IF($J1421="","",IF($J1421&lt;=1500,IF(N(INDEX('Daily Sale entry '!$AB$1:$AB$1501,$J1421+1))=0,"",INDEX('Daily Sale entry '!$AB$1:$AB$1501,$J1421+1)),1))</f>
        <v/>
      </c>
      <c r="F1421" s="6">
        <f>IF($J1421="","",IF($J1421&lt;=1500,N(INDEX('Daily Sale entry '!$AC$1:$AC$1501,$J1421+1))-IF(AND('Opening Balance'!$B$15=1,INDEX('Daily Sale entry '!$Z$1:$Z$1501,$J1421+1)="Online collection 网上收款",INDEX('Daily Sale entry '!$AA$1:$AA$1501,$J1421+1)&lt;&gt;""),N(INDEX('Daily Sale entry '!$AC$1:$AC$1501,$J1421+1))-TRUNC(N(INDEX('Daily Sale entry '!$AC$1:$AC$1501,$J1421+1))),0),N(INDEX('Daily Sale entry '!$S$1:$S$1501,$J1421-1499))-'Opening Balance'!$B$15*(N(INDEX('Daily Sale entry '!$S$1:$S$1501,$J1421-1499))-TRUNC(N(INDEX('Daily Sale entry '!$S$1:$S$1501,$J1421-1499))))))</f>
        <v/>
      </c>
      <c r="G1421" s="6">
        <f>IF($J1421="","",IF($J1421&lt;=1500,N(INDEX('Daily Sale entry '!$AD$1:$AD$1501,$J1421+1)),0))</f>
        <v/>
      </c>
      <c r="H1421" s="6">
        <f>IF($J1421="","",ROUND('Opening Balance'!$B$4+SUM($F$2:F1421)-SUM($G$2:G1421),2))</f>
        <v/>
      </c>
      <c r="J1421" s="21">
        <f>IFERROR(MATCH(ROW()-1,$L$2:$L$3001,0),"")</f>
        <v/>
      </c>
      <c r="K1421" s="34">
        <f>IF(AND('Daily Sale entry '!X1421&lt;&gt;"",OR('Daily Sale entry '!AC1421&lt;&gt;"",'Daily Sale entry '!AD1421&lt;&gt;"")),'Daily Sale entry '!X1421+ROW()/10000000,"")</f>
        <v/>
      </c>
      <c r="L1421" s="21">
        <f>IF(K1421="","",COUNTIF($K$2:$K$3001,"&lt;"&amp;K1421)+1)</f>
        <v/>
      </c>
    </row>
    <row r="1422">
      <c r="A1422" s="5">
        <f>IF($J1422="","",IF($J1422&lt;=1500,INDEX('Daily Sale entry '!$X$1:$X$1501,$J1422+1),INDEX('Daily Sale entry '!$V$1:$V$1501,$J1422-1499)))</f>
        <v/>
      </c>
      <c r="B1422">
        <f>IF($J1422="","",IF($J1422&lt;=1500,INDEX('Daily Sale entry '!$Y$1:$Y$1501,$J1422+1)&amp;"","Buyer cheque banked 买家支票存入"&amp;IF(INDEX('Daily Sale entry '!$U$1:$U$1501,$J1422-1499)="","", " - "&amp;INDEX('Daily Sale entry '!$U$1:$U$1501,$J1422-1499))))</f>
        <v/>
      </c>
      <c r="C1422">
        <f>IF($J1422="","",IF($J1422&lt;=1500,INDEX('Daily Sale entry '!$Z$1:$Z$1501,$J1422+1)&amp;"","Cheque deposit 支票存入 (buyer 买家)"))</f>
        <v/>
      </c>
      <c r="D1422">
        <f>IF($J1422="","",IF($J1422&lt;=1500,INDEX('Daily Sale entry '!$AA$1:$AA$1501,$J1422+1)&amp;"",INDEX('Daily Sale entry '!$P$1:$P$1501,$J1422-1499)&amp;""))</f>
        <v/>
      </c>
      <c r="E1422">
        <f>IF($J1422="","",IF($J1422&lt;=1500,IF(N(INDEX('Daily Sale entry '!$AB$1:$AB$1501,$J1422+1))=0,"",INDEX('Daily Sale entry '!$AB$1:$AB$1501,$J1422+1)),1))</f>
        <v/>
      </c>
      <c r="F1422" s="6">
        <f>IF($J1422="","",IF($J1422&lt;=1500,N(INDEX('Daily Sale entry '!$AC$1:$AC$1501,$J1422+1))-IF(AND('Opening Balance'!$B$15=1,INDEX('Daily Sale entry '!$Z$1:$Z$1501,$J1422+1)="Online collection 网上收款",INDEX('Daily Sale entry '!$AA$1:$AA$1501,$J1422+1)&lt;&gt;""),N(INDEX('Daily Sale entry '!$AC$1:$AC$1501,$J1422+1))-TRUNC(N(INDEX('Daily Sale entry '!$AC$1:$AC$1501,$J1422+1))),0),N(INDEX('Daily Sale entry '!$S$1:$S$1501,$J1422-1499))-'Opening Balance'!$B$15*(N(INDEX('Daily Sale entry '!$S$1:$S$1501,$J1422-1499))-TRUNC(N(INDEX('Daily Sale entry '!$S$1:$S$1501,$J1422-1499))))))</f>
        <v/>
      </c>
      <c r="G1422" s="6">
        <f>IF($J1422="","",IF($J1422&lt;=1500,N(INDEX('Daily Sale entry '!$AD$1:$AD$1501,$J1422+1)),0))</f>
        <v/>
      </c>
      <c r="H1422" s="6">
        <f>IF($J1422="","",ROUND('Opening Balance'!$B$4+SUM($F$2:F1422)-SUM($G$2:G1422),2))</f>
        <v/>
      </c>
      <c r="J1422" s="21">
        <f>IFERROR(MATCH(ROW()-1,$L$2:$L$3001,0),"")</f>
        <v/>
      </c>
      <c r="K1422" s="34">
        <f>IF(AND('Daily Sale entry '!X1422&lt;&gt;"",OR('Daily Sale entry '!AC1422&lt;&gt;"",'Daily Sale entry '!AD1422&lt;&gt;"")),'Daily Sale entry '!X1422+ROW()/10000000,"")</f>
        <v/>
      </c>
      <c r="L1422" s="21">
        <f>IF(K1422="","",COUNTIF($K$2:$K$3001,"&lt;"&amp;K1422)+1)</f>
        <v/>
      </c>
    </row>
    <row r="1423">
      <c r="A1423" s="5">
        <f>IF($J1423="","",IF($J1423&lt;=1500,INDEX('Daily Sale entry '!$X$1:$X$1501,$J1423+1),INDEX('Daily Sale entry '!$V$1:$V$1501,$J1423-1499)))</f>
        <v/>
      </c>
      <c r="B1423">
        <f>IF($J1423="","",IF($J1423&lt;=1500,INDEX('Daily Sale entry '!$Y$1:$Y$1501,$J1423+1)&amp;"","Buyer cheque banked 买家支票存入"&amp;IF(INDEX('Daily Sale entry '!$U$1:$U$1501,$J1423-1499)="","", " - "&amp;INDEX('Daily Sale entry '!$U$1:$U$1501,$J1423-1499))))</f>
        <v/>
      </c>
      <c r="C1423">
        <f>IF($J1423="","",IF($J1423&lt;=1500,INDEX('Daily Sale entry '!$Z$1:$Z$1501,$J1423+1)&amp;"","Cheque deposit 支票存入 (buyer 买家)"))</f>
        <v/>
      </c>
      <c r="D1423">
        <f>IF($J1423="","",IF($J1423&lt;=1500,INDEX('Daily Sale entry '!$AA$1:$AA$1501,$J1423+1)&amp;"",INDEX('Daily Sale entry '!$P$1:$P$1501,$J1423-1499)&amp;""))</f>
        <v/>
      </c>
      <c r="E1423">
        <f>IF($J1423="","",IF($J1423&lt;=1500,IF(N(INDEX('Daily Sale entry '!$AB$1:$AB$1501,$J1423+1))=0,"",INDEX('Daily Sale entry '!$AB$1:$AB$1501,$J1423+1)),1))</f>
        <v/>
      </c>
      <c r="F1423" s="6">
        <f>IF($J1423="","",IF($J1423&lt;=1500,N(INDEX('Daily Sale entry '!$AC$1:$AC$1501,$J1423+1))-IF(AND('Opening Balance'!$B$15=1,INDEX('Daily Sale entry '!$Z$1:$Z$1501,$J1423+1)="Online collection 网上收款",INDEX('Daily Sale entry '!$AA$1:$AA$1501,$J1423+1)&lt;&gt;""),N(INDEX('Daily Sale entry '!$AC$1:$AC$1501,$J1423+1))-TRUNC(N(INDEX('Daily Sale entry '!$AC$1:$AC$1501,$J1423+1))),0),N(INDEX('Daily Sale entry '!$S$1:$S$1501,$J1423-1499))-'Opening Balance'!$B$15*(N(INDEX('Daily Sale entry '!$S$1:$S$1501,$J1423-1499))-TRUNC(N(INDEX('Daily Sale entry '!$S$1:$S$1501,$J1423-1499))))))</f>
        <v/>
      </c>
      <c r="G1423" s="6">
        <f>IF($J1423="","",IF($J1423&lt;=1500,N(INDEX('Daily Sale entry '!$AD$1:$AD$1501,$J1423+1)),0))</f>
        <v/>
      </c>
      <c r="H1423" s="6">
        <f>IF($J1423="","",ROUND('Opening Balance'!$B$4+SUM($F$2:F1423)-SUM($G$2:G1423),2))</f>
        <v/>
      </c>
      <c r="J1423" s="21">
        <f>IFERROR(MATCH(ROW()-1,$L$2:$L$3001,0),"")</f>
        <v/>
      </c>
      <c r="K1423" s="34">
        <f>IF(AND('Daily Sale entry '!X1423&lt;&gt;"",OR('Daily Sale entry '!AC1423&lt;&gt;"",'Daily Sale entry '!AD1423&lt;&gt;"")),'Daily Sale entry '!X1423+ROW()/10000000,"")</f>
        <v/>
      </c>
      <c r="L1423" s="21">
        <f>IF(K1423="","",COUNTIF($K$2:$K$3001,"&lt;"&amp;K1423)+1)</f>
        <v/>
      </c>
    </row>
    <row r="1424">
      <c r="A1424" s="5">
        <f>IF($J1424="","",IF($J1424&lt;=1500,INDEX('Daily Sale entry '!$X$1:$X$1501,$J1424+1),INDEX('Daily Sale entry '!$V$1:$V$1501,$J1424-1499)))</f>
        <v/>
      </c>
      <c r="B1424">
        <f>IF($J1424="","",IF($J1424&lt;=1500,INDEX('Daily Sale entry '!$Y$1:$Y$1501,$J1424+1)&amp;"","Buyer cheque banked 买家支票存入"&amp;IF(INDEX('Daily Sale entry '!$U$1:$U$1501,$J1424-1499)="","", " - "&amp;INDEX('Daily Sale entry '!$U$1:$U$1501,$J1424-1499))))</f>
        <v/>
      </c>
      <c r="C1424">
        <f>IF($J1424="","",IF($J1424&lt;=1500,INDEX('Daily Sale entry '!$Z$1:$Z$1501,$J1424+1)&amp;"","Cheque deposit 支票存入 (buyer 买家)"))</f>
        <v/>
      </c>
      <c r="D1424">
        <f>IF($J1424="","",IF($J1424&lt;=1500,INDEX('Daily Sale entry '!$AA$1:$AA$1501,$J1424+1)&amp;"",INDEX('Daily Sale entry '!$P$1:$P$1501,$J1424-1499)&amp;""))</f>
        <v/>
      </c>
      <c r="E1424">
        <f>IF($J1424="","",IF($J1424&lt;=1500,IF(N(INDEX('Daily Sale entry '!$AB$1:$AB$1501,$J1424+1))=0,"",INDEX('Daily Sale entry '!$AB$1:$AB$1501,$J1424+1)),1))</f>
        <v/>
      </c>
      <c r="F1424" s="6">
        <f>IF($J1424="","",IF($J1424&lt;=1500,N(INDEX('Daily Sale entry '!$AC$1:$AC$1501,$J1424+1))-IF(AND('Opening Balance'!$B$15=1,INDEX('Daily Sale entry '!$Z$1:$Z$1501,$J1424+1)="Online collection 网上收款",INDEX('Daily Sale entry '!$AA$1:$AA$1501,$J1424+1)&lt;&gt;""),N(INDEX('Daily Sale entry '!$AC$1:$AC$1501,$J1424+1))-TRUNC(N(INDEX('Daily Sale entry '!$AC$1:$AC$1501,$J1424+1))),0),N(INDEX('Daily Sale entry '!$S$1:$S$1501,$J1424-1499))-'Opening Balance'!$B$15*(N(INDEX('Daily Sale entry '!$S$1:$S$1501,$J1424-1499))-TRUNC(N(INDEX('Daily Sale entry '!$S$1:$S$1501,$J1424-1499))))))</f>
        <v/>
      </c>
      <c r="G1424" s="6">
        <f>IF($J1424="","",IF($J1424&lt;=1500,N(INDEX('Daily Sale entry '!$AD$1:$AD$1501,$J1424+1)),0))</f>
        <v/>
      </c>
      <c r="H1424" s="6">
        <f>IF($J1424="","",ROUND('Opening Balance'!$B$4+SUM($F$2:F1424)-SUM($G$2:G1424),2))</f>
        <v/>
      </c>
      <c r="J1424" s="21">
        <f>IFERROR(MATCH(ROW()-1,$L$2:$L$3001,0),"")</f>
        <v/>
      </c>
      <c r="K1424" s="34">
        <f>IF(AND('Daily Sale entry '!X1424&lt;&gt;"",OR('Daily Sale entry '!AC1424&lt;&gt;"",'Daily Sale entry '!AD1424&lt;&gt;"")),'Daily Sale entry '!X1424+ROW()/10000000,"")</f>
        <v/>
      </c>
      <c r="L1424" s="21">
        <f>IF(K1424="","",COUNTIF($K$2:$K$3001,"&lt;"&amp;K1424)+1)</f>
        <v/>
      </c>
    </row>
    <row r="1425">
      <c r="A1425" s="5">
        <f>IF($J1425="","",IF($J1425&lt;=1500,INDEX('Daily Sale entry '!$X$1:$X$1501,$J1425+1),INDEX('Daily Sale entry '!$V$1:$V$1501,$J1425-1499)))</f>
        <v/>
      </c>
      <c r="B1425">
        <f>IF($J1425="","",IF($J1425&lt;=1500,INDEX('Daily Sale entry '!$Y$1:$Y$1501,$J1425+1)&amp;"","Buyer cheque banked 买家支票存入"&amp;IF(INDEX('Daily Sale entry '!$U$1:$U$1501,$J1425-1499)="","", " - "&amp;INDEX('Daily Sale entry '!$U$1:$U$1501,$J1425-1499))))</f>
        <v/>
      </c>
      <c r="C1425">
        <f>IF($J1425="","",IF($J1425&lt;=1500,INDEX('Daily Sale entry '!$Z$1:$Z$1501,$J1425+1)&amp;"","Cheque deposit 支票存入 (buyer 买家)"))</f>
        <v/>
      </c>
      <c r="D1425">
        <f>IF($J1425="","",IF($J1425&lt;=1500,INDEX('Daily Sale entry '!$AA$1:$AA$1501,$J1425+1)&amp;"",INDEX('Daily Sale entry '!$P$1:$P$1501,$J1425-1499)&amp;""))</f>
        <v/>
      </c>
      <c r="E1425">
        <f>IF($J1425="","",IF($J1425&lt;=1500,IF(N(INDEX('Daily Sale entry '!$AB$1:$AB$1501,$J1425+1))=0,"",INDEX('Daily Sale entry '!$AB$1:$AB$1501,$J1425+1)),1))</f>
        <v/>
      </c>
      <c r="F1425" s="6">
        <f>IF($J1425="","",IF($J1425&lt;=1500,N(INDEX('Daily Sale entry '!$AC$1:$AC$1501,$J1425+1))-IF(AND('Opening Balance'!$B$15=1,INDEX('Daily Sale entry '!$Z$1:$Z$1501,$J1425+1)="Online collection 网上收款",INDEX('Daily Sale entry '!$AA$1:$AA$1501,$J1425+1)&lt;&gt;""),N(INDEX('Daily Sale entry '!$AC$1:$AC$1501,$J1425+1))-TRUNC(N(INDEX('Daily Sale entry '!$AC$1:$AC$1501,$J1425+1))),0),N(INDEX('Daily Sale entry '!$S$1:$S$1501,$J1425-1499))-'Opening Balance'!$B$15*(N(INDEX('Daily Sale entry '!$S$1:$S$1501,$J1425-1499))-TRUNC(N(INDEX('Daily Sale entry '!$S$1:$S$1501,$J1425-1499))))))</f>
        <v/>
      </c>
      <c r="G1425" s="6">
        <f>IF($J1425="","",IF($J1425&lt;=1500,N(INDEX('Daily Sale entry '!$AD$1:$AD$1501,$J1425+1)),0))</f>
        <v/>
      </c>
      <c r="H1425" s="6">
        <f>IF($J1425="","",ROUND('Opening Balance'!$B$4+SUM($F$2:F1425)-SUM($G$2:G1425),2))</f>
        <v/>
      </c>
      <c r="J1425" s="21">
        <f>IFERROR(MATCH(ROW()-1,$L$2:$L$3001,0),"")</f>
        <v/>
      </c>
      <c r="K1425" s="34">
        <f>IF(AND('Daily Sale entry '!X1425&lt;&gt;"",OR('Daily Sale entry '!AC1425&lt;&gt;"",'Daily Sale entry '!AD1425&lt;&gt;"")),'Daily Sale entry '!X1425+ROW()/10000000,"")</f>
        <v/>
      </c>
      <c r="L1425" s="21">
        <f>IF(K1425="","",COUNTIF($K$2:$K$3001,"&lt;"&amp;K1425)+1)</f>
        <v/>
      </c>
    </row>
    <row r="1426">
      <c r="A1426" s="5">
        <f>IF($J1426="","",IF($J1426&lt;=1500,INDEX('Daily Sale entry '!$X$1:$X$1501,$J1426+1),INDEX('Daily Sale entry '!$V$1:$V$1501,$J1426-1499)))</f>
        <v/>
      </c>
      <c r="B1426">
        <f>IF($J1426="","",IF($J1426&lt;=1500,INDEX('Daily Sale entry '!$Y$1:$Y$1501,$J1426+1)&amp;"","Buyer cheque banked 买家支票存入"&amp;IF(INDEX('Daily Sale entry '!$U$1:$U$1501,$J1426-1499)="","", " - "&amp;INDEX('Daily Sale entry '!$U$1:$U$1501,$J1426-1499))))</f>
        <v/>
      </c>
      <c r="C1426">
        <f>IF($J1426="","",IF($J1426&lt;=1500,INDEX('Daily Sale entry '!$Z$1:$Z$1501,$J1426+1)&amp;"","Cheque deposit 支票存入 (buyer 买家)"))</f>
        <v/>
      </c>
      <c r="D1426">
        <f>IF($J1426="","",IF($J1426&lt;=1500,INDEX('Daily Sale entry '!$AA$1:$AA$1501,$J1426+1)&amp;"",INDEX('Daily Sale entry '!$P$1:$P$1501,$J1426-1499)&amp;""))</f>
        <v/>
      </c>
      <c r="E1426">
        <f>IF($J1426="","",IF($J1426&lt;=1500,IF(N(INDEX('Daily Sale entry '!$AB$1:$AB$1501,$J1426+1))=0,"",INDEX('Daily Sale entry '!$AB$1:$AB$1501,$J1426+1)),1))</f>
        <v/>
      </c>
      <c r="F1426" s="6">
        <f>IF($J1426="","",IF($J1426&lt;=1500,N(INDEX('Daily Sale entry '!$AC$1:$AC$1501,$J1426+1))-IF(AND('Opening Balance'!$B$15=1,INDEX('Daily Sale entry '!$Z$1:$Z$1501,$J1426+1)="Online collection 网上收款",INDEX('Daily Sale entry '!$AA$1:$AA$1501,$J1426+1)&lt;&gt;""),N(INDEX('Daily Sale entry '!$AC$1:$AC$1501,$J1426+1))-TRUNC(N(INDEX('Daily Sale entry '!$AC$1:$AC$1501,$J1426+1))),0),N(INDEX('Daily Sale entry '!$S$1:$S$1501,$J1426-1499))-'Opening Balance'!$B$15*(N(INDEX('Daily Sale entry '!$S$1:$S$1501,$J1426-1499))-TRUNC(N(INDEX('Daily Sale entry '!$S$1:$S$1501,$J1426-1499))))))</f>
        <v/>
      </c>
      <c r="G1426" s="6">
        <f>IF($J1426="","",IF($J1426&lt;=1500,N(INDEX('Daily Sale entry '!$AD$1:$AD$1501,$J1426+1)),0))</f>
        <v/>
      </c>
      <c r="H1426" s="6">
        <f>IF($J1426="","",ROUND('Opening Balance'!$B$4+SUM($F$2:F1426)-SUM($G$2:G1426),2))</f>
        <v/>
      </c>
      <c r="J1426" s="21">
        <f>IFERROR(MATCH(ROW()-1,$L$2:$L$3001,0),"")</f>
        <v/>
      </c>
      <c r="K1426" s="34">
        <f>IF(AND('Daily Sale entry '!X1426&lt;&gt;"",OR('Daily Sale entry '!AC1426&lt;&gt;"",'Daily Sale entry '!AD1426&lt;&gt;"")),'Daily Sale entry '!X1426+ROW()/10000000,"")</f>
        <v/>
      </c>
      <c r="L1426" s="21">
        <f>IF(K1426="","",COUNTIF($K$2:$K$3001,"&lt;"&amp;K1426)+1)</f>
        <v/>
      </c>
    </row>
    <row r="1427">
      <c r="A1427" s="5">
        <f>IF($J1427="","",IF($J1427&lt;=1500,INDEX('Daily Sale entry '!$X$1:$X$1501,$J1427+1),INDEX('Daily Sale entry '!$V$1:$V$1501,$J1427-1499)))</f>
        <v/>
      </c>
      <c r="B1427">
        <f>IF($J1427="","",IF($J1427&lt;=1500,INDEX('Daily Sale entry '!$Y$1:$Y$1501,$J1427+1)&amp;"","Buyer cheque banked 买家支票存入"&amp;IF(INDEX('Daily Sale entry '!$U$1:$U$1501,$J1427-1499)="","", " - "&amp;INDEX('Daily Sale entry '!$U$1:$U$1501,$J1427-1499))))</f>
        <v/>
      </c>
      <c r="C1427">
        <f>IF($J1427="","",IF($J1427&lt;=1500,INDEX('Daily Sale entry '!$Z$1:$Z$1501,$J1427+1)&amp;"","Cheque deposit 支票存入 (buyer 买家)"))</f>
        <v/>
      </c>
      <c r="D1427">
        <f>IF($J1427="","",IF($J1427&lt;=1500,INDEX('Daily Sale entry '!$AA$1:$AA$1501,$J1427+1)&amp;"",INDEX('Daily Sale entry '!$P$1:$P$1501,$J1427-1499)&amp;""))</f>
        <v/>
      </c>
      <c r="E1427">
        <f>IF($J1427="","",IF($J1427&lt;=1500,IF(N(INDEX('Daily Sale entry '!$AB$1:$AB$1501,$J1427+1))=0,"",INDEX('Daily Sale entry '!$AB$1:$AB$1501,$J1427+1)),1))</f>
        <v/>
      </c>
      <c r="F1427" s="6">
        <f>IF($J1427="","",IF($J1427&lt;=1500,N(INDEX('Daily Sale entry '!$AC$1:$AC$1501,$J1427+1))-IF(AND('Opening Balance'!$B$15=1,INDEX('Daily Sale entry '!$Z$1:$Z$1501,$J1427+1)="Online collection 网上收款",INDEX('Daily Sale entry '!$AA$1:$AA$1501,$J1427+1)&lt;&gt;""),N(INDEX('Daily Sale entry '!$AC$1:$AC$1501,$J1427+1))-TRUNC(N(INDEX('Daily Sale entry '!$AC$1:$AC$1501,$J1427+1))),0),N(INDEX('Daily Sale entry '!$S$1:$S$1501,$J1427-1499))-'Opening Balance'!$B$15*(N(INDEX('Daily Sale entry '!$S$1:$S$1501,$J1427-1499))-TRUNC(N(INDEX('Daily Sale entry '!$S$1:$S$1501,$J1427-1499))))))</f>
        <v/>
      </c>
      <c r="G1427" s="6">
        <f>IF($J1427="","",IF($J1427&lt;=1500,N(INDEX('Daily Sale entry '!$AD$1:$AD$1501,$J1427+1)),0))</f>
        <v/>
      </c>
      <c r="H1427" s="6">
        <f>IF($J1427="","",ROUND('Opening Balance'!$B$4+SUM($F$2:F1427)-SUM($G$2:G1427),2))</f>
        <v/>
      </c>
      <c r="J1427" s="21">
        <f>IFERROR(MATCH(ROW()-1,$L$2:$L$3001,0),"")</f>
        <v/>
      </c>
      <c r="K1427" s="34">
        <f>IF(AND('Daily Sale entry '!X1427&lt;&gt;"",OR('Daily Sale entry '!AC1427&lt;&gt;"",'Daily Sale entry '!AD1427&lt;&gt;"")),'Daily Sale entry '!X1427+ROW()/10000000,"")</f>
        <v/>
      </c>
      <c r="L1427" s="21">
        <f>IF(K1427="","",COUNTIF($K$2:$K$3001,"&lt;"&amp;K1427)+1)</f>
        <v/>
      </c>
    </row>
    <row r="1428">
      <c r="A1428" s="5">
        <f>IF($J1428="","",IF($J1428&lt;=1500,INDEX('Daily Sale entry '!$X$1:$X$1501,$J1428+1),INDEX('Daily Sale entry '!$V$1:$V$1501,$J1428-1499)))</f>
        <v/>
      </c>
      <c r="B1428">
        <f>IF($J1428="","",IF($J1428&lt;=1500,INDEX('Daily Sale entry '!$Y$1:$Y$1501,$J1428+1)&amp;"","Buyer cheque banked 买家支票存入"&amp;IF(INDEX('Daily Sale entry '!$U$1:$U$1501,$J1428-1499)="","", " - "&amp;INDEX('Daily Sale entry '!$U$1:$U$1501,$J1428-1499))))</f>
        <v/>
      </c>
      <c r="C1428">
        <f>IF($J1428="","",IF($J1428&lt;=1500,INDEX('Daily Sale entry '!$Z$1:$Z$1501,$J1428+1)&amp;"","Cheque deposit 支票存入 (buyer 买家)"))</f>
        <v/>
      </c>
      <c r="D1428">
        <f>IF($J1428="","",IF($J1428&lt;=1500,INDEX('Daily Sale entry '!$AA$1:$AA$1501,$J1428+1)&amp;"",INDEX('Daily Sale entry '!$P$1:$P$1501,$J1428-1499)&amp;""))</f>
        <v/>
      </c>
      <c r="E1428">
        <f>IF($J1428="","",IF($J1428&lt;=1500,IF(N(INDEX('Daily Sale entry '!$AB$1:$AB$1501,$J1428+1))=0,"",INDEX('Daily Sale entry '!$AB$1:$AB$1501,$J1428+1)),1))</f>
        <v/>
      </c>
      <c r="F1428" s="6">
        <f>IF($J1428="","",IF($J1428&lt;=1500,N(INDEX('Daily Sale entry '!$AC$1:$AC$1501,$J1428+1))-IF(AND('Opening Balance'!$B$15=1,INDEX('Daily Sale entry '!$Z$1:$Z$1501,$J1428+1)="Online collection 网上收款",INDEX('Daily Sale entry '!$AA$1:$AA$1501,$J1428+1)&lt;&gt;""),N(INDEX('Daily Sale entry '!$AC$1:$AC$1501,$J1428+1))-TRUNC(N(INDEX('Daily Sale entry '!$AC$1:$AC$1501,$J1428+1))),0),N(INDEX('Daily Sale entry '!$S$1:$S$1501,$J1428-1499))-'Opening Balance'!$B$15*(N(INDEX('Daily Sale entry '!$S$1:$S$1501,$J1428-1499))-TRUNC(N(INDEX('Daily Sale entry '!$S$1:$S$1501,$J1428-1499))))))</f>
        <v/>
      </c>
      <c r="G1428" s="6">
        <f>IF($J1428="","",IF($J1428&lt;=1500,N(INDEX('Daily Sale entry '!$AD$1:$AD$1501,$J1428+1)),0))</f>
        <v/>
      </c>
      <c r="H1428" s="6">
        <f>IF($J1428="","",ROUND('Opening Balance'!$B$4+SUM($F$2:F1428)-SUM($G$2:G1428),2))</f>
        <v/>
      </c>
      <c r="J1428" s="21">
        <f>IFERROR(MATCH(ROW()-1,$L$2:$L$3001,0),"")</f>
        <v/>
      </c>
      <c r="K1428" s="34">
        <f>IF(AND('Daily Sale entry '!X1428&lt;&gt;"",OR('Daily Sale entry '!AC1428&lt;&gt;"",'Daily Sale entry '!AD1428&lt;&gt;"")),'Daily Sale entry '!X1428+ROW()/10000000,"")</f>
        <v/>
      </c>
      <c r="L1428" s="21">
        <f>IF(K1428="","",COUNTIF($K$2:$K$3001,"&lt;"&amp;K1428)+1)</f>
        <v/>
      </c>
    </row>
    <row r="1429">
      <c r="A1429" s="5">
        <f>IF($J1429="","",IF($J1429&lt;=1500,INDEX('Daily Sale entry '!$X$1:$X$1501,$J1429+1),INDEX('Daily Sale entry '!$V$1:$V$1501,$J1429-1499)))</f>
        <v/>
      </c>
      <c r="B1429">
        <f>IF($J1429="","",IF($J1429&lt;=1500,INDEX('Daily Sale entry '!$Y$1:$Y$1501,$J1429+1)&amp;"","Buyer cheque banked 买家支票存入"&amp;IF(INDEX('Daily Sale entry '!$U$1:$U$1501,$J1429-1499)="","", " - "&amp;INDEX('Daily Sale entry '!$U$1:$U$1501,$J1429-1499))))</f>
        <v/>
      </c>
      <c r="C1429">
        <f>IF($J1429="","",IF($J1429&lt;=1500,INDEX('Daily Sale entry '!$Z$1:$Z$1501,$J1429+1)&amp;"","Cheque deposit 支票存入 (buyer 买家)"))</f>
        <v/>
      </c>
      <c r="D1429">
        <f>IF($J1429="","",IF($J1429&lt;=1500,INDEX('Daily Sale entry '!$AA$1:$AA$1501,$J1429+1)&amp;"",INDEX('Daily Sale entry '!$P$1:$P$1501,$J1429-1499)&amp;""))</f>
        <v/>
      </c>
      <c r="E1429">
        <f>IF($J1429="","",IF($J1429&lt;=1500,IF(N(INDEX('Daily Sale entry '!$AB$1:$AB$1501,$J1429+1))=0,"",INDEX('Daily Sale entry '!$AB$1:$AB$1501,$J1429+1)),1))</f>
        <v/>
      </c>
      <c r="F1429" s="6">
        <f>IF($J1429="","",IF($J1429&lt;=1500,N(INDEX('Daily Sale entry '!$AC$1:$AC$1501,$J1429+1))-IF(AND('Opening Balance'!$B$15=1,INDEX('Daily Sale entry '!$Z$1:$Z$1501,$J1429+1)="Online collection 网上收款",INDEX('Daily Sale entry '!$AA$1:$AA$1501,$J1429+1)&lt;&gt;""),N(INDEX('Daily Sale entry '!$AC$1:$AC$1501,$J1429+1))-TRUNC(N(INDEX('Daily Sale entry '!$AC$1:$AC$1501,$J1429+1))),0),N(INDEX('Daily Sale entry '!$S$1:$S$1501,$J1429-1499))-'Opening Balance'!$B$15*(N(INDEX('Daily Sale entry '!$S$1:$S$1501,$J1429-1499))-TRUNC(N(INDEX('Daily Sale entry '!$S$1:$S$1501,$J1429-1499))))))</f>
        <v/>
      </c>
      <c r="G1429" s="6">
        <f>IF($J1429="","",IF($J1429&lt;=1500,N(INDEX('Daily Sale entry '!$AD$1:$AD$1501,$J1429+1)),0))</f>
        <v/>
      </c>
      <c r="H1429" s="6">
        <f>IF($J1429="","",ROUND('Opening Balance'!$B$4+SUM($F$2:F1429)-SUM($G$2:G1429),2))</f>
        <v/>
      </c>
      <c r="J1429" s="21">
        <f>IFERROR(MATCH(ROW()-1,$L$2:$L$3001,0),"")</f>
        <v/>
      </c>
      <c r="K1429" s="34">
        <f>IF(AND('Daily Sale entry '!X1429&lt;&gt;"",OR('Daily Sale entry '!AC1429&lt;&gt;"",'Daily Sale entry '!AD1429&lt;&gt;"")),'Daily Sale entry '!X1429+ROW()/10000000,"")</f>
        <v/>
      </c>
      <c r="L1429" s="21">
        <f>IF(K1429="","",COUNTIF($K$2:$K$3001,"&lt;"&amp;K1429)+1)</f>
        <v/>
      </c>
    </row>
    <row r="1430">
      <c r="A1430" s="5">
        <f>IF($J1430="","",IF($J1430&lt;=1500,INDEX('Daily Sale entry '!$X$1:$X$1501,$J1430+1),INDEX('Daily Sale entry '!$V$1:$V$1501,$J1430-1499)))</f>
        <v/>
      </c>
      <c r="B1430">
        <f>IF($J1430="","",IF($J1430&lt;=1500,INDEX('Daily Sale entry '!$Y$1:$Y$1501,$J1430+1)&amp;"","Buyer cheque banked 买家支票存入"&amp;IF(INDEX('Daily Sale entry '!$U$1:$U$1501,$J1430-1499)="","", " - "&amp;INDEX('Daily Sale entry '!$U$1:$U$1501,$J1430-1499))))</f>
        <v/>
      </c>
      <c r="C1430">
        <f>IF($J1430="","",IF($J1430&lt;=1500,INDEX('Daily Sale entry '!$Z$1:$Z$1501,$J1430+1)&amp;"","Cheque deposit 支票存入 (buyer 买家)"))</f>
        <v/>
      </c>
      <c r="D1430">
        <f>IF($J1430="","",IF($J1430&lt;=1500,INDEX('Daily Sale entry '!$AA$1:$AA$1501,$J1430+1)&amp;"",INDEX('Daily Sale entry '!$P$1:$P$1501,$J1430-1499)&amp;""))</f>
        <v/>
      </c>
      <c r="E1430">
        <f>IF($J1430="","",IF($J1430&lt;=1500,IF(N(INDEX('Daily Sale entry '!$AB$1:$AB$1501,$J1430+1))=0,"",INDEX('Daily Sale entry '!$AB$1:$AB$1501,$J1430+1)),1))</f>
        <v/>
      </c>
      <c r="F1430" s="6">
        <f>IF($J1430="","",IF($J1430&lt;=1500,N(INDEX('Daily Sale entry '!$AC$1:$AC$1501,$J1430+1))-IF(AND('Opening Balance'!$B$15=1,INDEX('Daily Sale entry '!$Z$1:$Z$1501,$J1430+1)="Online collection 网上收款",INDEX('Daily Sale entry '!$AA$1:$AA$1501,$J1430+1)&lt;&gt;""),N(INDEX('Daily Sale entry '!$AC$1:$AC$1501,$J1430+1))-TRUNC(N(INDEX('Daily Sale entry '!$AC$1:$AC$1501,$J1430+1))),0),N(INDEX('Daily Sale entry '!$S$1:$S$1501,$J1430-1499))-'Opening Balance'!$B$15*(N(INDEX('Daily Sale entry '!$S$1:$S$1501,$J1430-1499))-TRUNC(N(INDEX('Daily Sale entry '!$S$1:$S$1501,$J1430-1499))))))</f>
        <v/>
      </c>
      <c r="G1430" s="6">
        <f>IF($J1430="","",IF($J1430&lt;=1500,N(INDEX('Daily Sale entry '!$AD$1:$AD$1501,$J1430+1)),0))</f>
        <v/>
      </c>
      <c r="H1430" s="6">
        <f>IF($J1430="","",ROUND('Opening Balance'!$B$4+SUM($F$2:F1430)-SUM($G$2:G1430),2))</f>
        <v/>
      </c>
      <c r="J1430" s="21">
        <f>IFERROR(MATCH(ROW()-1,$L$2:$L$3001,0),"")</f>
        <v/>
      </c>
      <c r="K1430" s="34">
        <f>IF(AND('Daily Sale entry '!X1430&lt;&gt;"",OR('Daily Sale entry '!AC1430&lt;&gt;"",'Daily Sale entry '!AD1430&lt;&gt;"")),'Daily Sale entry '!X1430+ROW()/10000000,"")</f>
        <v/>
      </c>
      <c r="L1430" s="21">
        <f>IF(K1430="","",COUNTIF($K$2:$K$3001,"&lt;"&amp;K1430)+1)</f>
        <v/>
      </c>
    </row>
    <row r="1431">
      <c r="A1431" s="5">
        <f>IF($J1431="","",IF($J1431&lt;=1500,INDEX('Daily Sale entry '!$X$1:$X$1501,$J1431+1),INDEX('Daily Sale entry '!$V$1:$V$1501,$J1431-1499)))</f>
        <v/>
      </c>
      <c r="B1431">
        <f>IF($J1431="","",IF($J1431&lt;=1500,INDEX('Daily Sale entry '!$Y$1:$Y$1501,$J1431+1)&amp;"","Buyer cheque banked 买家支票存入"&amp;IF(INDEX('Daily Sale entry '!$U$1:$U$1501,$J1431-1499)="","", " - "&amp;INDEX('Daily Sale entry '!$U$1:$U$1501,$J1431-1499))))</f>
        <v/>
      </c>
      <c r="C1431">
        <f>IF($J1431="","",IF($J1431&lt;=1500,INDEX('Daily Sale entry '!$Z$1:$Z$1501,$J1431+1)&amp;"","Cheque deposit 支票存入 (buyer 买家)"))</f>
        <v/>
      </c>
      <c r="D1431">
        <f>IF($J1431="","",IF($J1431&lt;=1500,INDEX('Daily Sale entry '!$AA$1:$AA$1501,$J1431+1)&amp;"",INDEX('Daily Sale entry '!$P$1:$P$1501,$J1431-1499)&amp;""))</f>
        <v/>
      </c>
      <c r="E1431">
        <f>IF($J1431="","",IF($J1431&lt;=1500,IF(N(INDEX('Daily Sale entry '!$AB$1:$AB$1501,$J1431+1))=0,"",INDEX('Daily Sale entry '!$AB$1:$AB$1501,$J1431+1)),1))</f>
        <v/>
      </c>
      <c r="F1431" s="6">
        <f>IF($J1431="","",IF($J1431&lt;=1500,N(INDEX('Daily Sale entry '!$AC$1:$AC$1501,$J1431+1))-IF(AND('Opening Balance'!$B$15=1,INDEX('Daily Sale entry '!$Z$1:$Z$1501,$J1431+1)="Online collection 网上收款",INDEX('Daily Sale entry '!$AA$1:$AA$1501,$J1431+1)&lt;&gt;""),N(INDEX('Daily Sale entry '!$AC$1:$AC$1501,$J1431+1))-TRUNC(N(INDEX('Daily Sale entry '!$AC$1:$AC$1501,$J1431+1))),0),N(INDEX('Daily Sale entry '!$S$1:$S$1501,$J1431-1499))-'Opening Balance'!$B$15*(N(INDEX('Daily Sale entry '!$S$1:$S$1501,$J1431-1499))-TRUNC(N(INDEX('Daily Sale entry '!$S$1:$S$1501,$J1431-1499))))))</f>
        <v/>
      </c>
      <c r="G1431" s="6">
        <f>IF($J1431="","",IF($J1431&lt;=1500,N(INDEX('Daily Sale entry '!$AD$1:$AD$1501,$J1431+1)),0))</f>
        <v/>
      </c>
      <c r="H1431" s="6">
        <f>IF($J1431="","",ROUND('Opening Balance'!$B$4+SUM($F$2:F1431)-SUM($G$2:G1431),2))</f>
        <v/>
      </c>
      <c r="J1431" s="21">
        <f>IFERROR(MATCH(ROW()-1,$L$2:$L$3001,0),"")</f>
        <v/>
      </c>
      <c r="K1431" s="34">
        <f>IF(AND('Daily Sale entry '!X1431&lt;&gt;"",OR('Daily Sale entry '!AC1431&lt;&gt;"",'Daily Sale entry '!AD1431&lt;&gt;"")),'Daily Sale entry '!X1431+ROW()/10000000,"")</f>
        <v/>
      </c>
      <c r="L1431" s="21">
        <f>IF(K1431="","",COUNTIF($K$2:$K$3001,"&lt;"&amp;K1431)+1)</f>
        <v/>
      </c>
    </row>
    <row r="1432">
      <c r="A1432" s="5">
        <f>IF($J1432="","",IF($J1432&lt;=1500,INDEX('Daily Sale entry '!$X$1:$X$1501,$J1432+1),INDEX('Daily Sale entry '!$V$1:$V$1501,$J1432-1499)))</f>
        <v/>
      </c>
      <c r="B1432">
        <f>IF($J1432="","",IF($J1432&lt;=1500,INDEX('Daily Sale entry '!$Y$1:$Y$1501,$J1432+1)&amp;"","Buyer cheque banked 买家支票存入"&amp;IF(INDEX('Daily Sale entry '!$U$1:$U$1501,$J1432-1499)="","", " - "&amp;INDEX('Daily Sale entry '!$U$1:$U$1501,$J1432-1499))))</f>
        <v/>
      </c>
      <c r="C1432">
        <f>IF($J1432="","",IF($J1432&lt;=1500,INDEX('Daily Sale entry '!$Z$1:$Z$1501,$J1432+1)&amp;"","Cheque deposit 支票存入 (buyer 买家)"))</f>
        <v/>
      </c>
      <c r="D1432">
        <f>IF($J1432="","",IF($J1432&lt;=1500,INDEX('Daily Sale entry '!$AA$1:$AA$1501,$J1432+1)&amp;"",INDEX('Daily Sale entry '!$P$1:$P$1501,$J1432-1499)&amp;""))</f>
        <v/>
      </c>
      <c r="E1432">
        <f>IF($J1432="","",IF($J1432&lt;=1500,IF(N(INDEX('Daily Sale entry '!$AB$1:$AB$1501,$J1432+1))=0,"",INDEX('Daily Sale entry '!$AB$1:$AB$1501,$J1432+1)),1))</f>
        <v/>
      </c>
      <c r="F1432" s="6">
        <f>IF($J1432="","",IF($J1432&lt;=1500,N(INDEX('Daily Sale entry '!$AC$1:$AC$1501,$J1432+1))-IF(AND('Opening Balance'!$B$15=1,INDEX('Daily Sale entry '!$Z$1:$Z$1501,$J1432+1)="Online collection 网上收款",INDEX('Daily Sale entry '!$AA$1:$AA$1501,$J1432+1)&lt;&gt;""),N(INDEX('Daily Sale entry '!$AC$1:$AC$1501,$J1432+1))-TRUNC(N(INDEX('Daily Sale entry '!$AC$1:$AC$1501,$J1432+1))),0),N(INDEX('Daily Sale entry '!$S$1:$S$1501,$J1432-1499))-'Opening Balance'!$B$15*(N(INDEX('Daily Sale entry '!$S$1:$S$1501,$J1432-1499))-TRUNC(N(INDEX('Daily Sale entry '!$S$1:$S$1501,$J1432-1499))))))</f>
        <v/>
      </c>
      <c r="G1432" s="6">
        <f>IF($J1432="","",IF($J1432&lt;=1500,N(INDEX('Daily Sale entry '!$AD$1:$AD$1501,$J1432+1)),0))</f>
        <v/>
      </c>
      <c r="H1432" s="6">
        <f>IF($J1432="","",ROUND('Opening Balance'!$B$4+SUM($F$2:F1432)-SUM($G$2:G1432),2))</f>
        <v/>
      </c>
      <c r="J1432" s="21">
        <f>IFERROR(MATCH(ROW()-1,$L$2:$L$3001,0),"")</f>
        <v/>
      </c>
      <c r="K1432" s="34">
        <f>IF(AND('Daily Sale entry '!X1432&lt;&gt;"",OR('Daily Sale entry '!AC1432&lt;&gt;"",'Daily Sale entry '!AD1432&lt;&gt;"")),'Daily Sale entry '!X1432+ROW()/10000000,"")</f>
        <v/>
      </c>
      <c r="L1432" s="21">
        <f>IF(K1432="","",COUNTIF($K$2:$K$3001,"&lt;"&amp;K1432)+1)</f>
        <v/>
      </c>
    </row>
    <row r="1433">
      <c r="A1433" s="5">
        <f>IF($J1433="","",IF($J1433&lt;=1500,INDEX('Daily Sale entry '!$X$1:$X$1501,$J1433+1),INDEX('Daily Sale entry '!$V$1:$V$1501,$J1433-1499)))</f>
        <v/>
      </c>
      <c r="B1433">
        <f>IF($J1433="","",IF($J1433&lt;=1500,INDEX('Daily Sale entry '!$Y$1:$Y$1501,$J1433+1)&amp;"","Buyer cheque banked 买家支票存入"&amp;IF(INDEX('Daily Sale entry '!$U$1:$U$1501,$J1433-1499)="","", " - "&amp;INDEX('Daily Sale entry '!$U$1:$U$1501,$J1433-1499))))</f>
        <v/>
      </c>
      <c r="C1433">
        <f>IF($J1433="","",IF($J1433&lt;=1500,INDEX('Daily Sale entry '!$Z$1:$Z$1501,$J1433+1)&amp;"","Cheque deposit 支票存入 (buyer 买家)"))</f>
        <v/>
      </c>
      <c r="D1433">
        <f>IF($J1433="","",IF($J1433&lt;=1500,INDEX('Daily Sale entry '!$AA$1:$AA$1501,$J1433+1)&amp;"",INDEX('Daily Sale entry '!$P$1:$P$1501,$J1433-1499)&amp;""))</f>
        <v/>
      </c>
      <c r="E1433">
        <f>IF($J1433="","",IF($J1433&lt;=1500,IF(N(INDEX('Daily Sale entry '!$AB$1:$AB$1501,$J1433+1))=0,"",INDEX('Daily Sale entry '!$AB$1:$AB$1501,$J1433+1)),1))</f>
        <v/>
      </c>
      <c r="F1433" s="6">
        <f>IF($J1433="","",IF($J1433&lt;=1500,N(INDEX('Daily Sale entry '!$AC$1:$AC$1501,$J1433+1))-IF(AND('Opening Balance'!$B$15=1,INDEX('Daily Sale entry '!$Z$1:$Z$1501,$J1433+1)="Online collection 网上收款",INDEX('Daily Sale entry '!$AA$1:$AA$1501,$J1433+1)&lt;&gt;""),N(INDEX('Daily Sale entry '!$AC$1:$AC$1501,$J1433+1))-TRUNC(N(INDEX('Daily Sale entry '!$AC$1:$AC$1501,$J1433+1))),0),N(INDEX('Daily Sale entry '!$S$1:$S$1501,$J1433-1499))-'Opening Balance'!$B$15*(N(INDEX('Daily Sale entry '!$S$1:$S$1501,$J1433-1499))-TRUNC(N(INDEX('Daily Sale entry '!$S$1:$S$1501,$J1433-1499))))))</f>
        <v/>
      </c>
      <c r="G1433" s="6">
        <f>IF($J1433="","",IF($J1433&lt;=1500,N(INDEX('Daily Sale entry '!$AD$1:$AD$1501,$J1433+1)),0))</f>
        <v/>
      </c>
      <c r="H1433" s="6">
        <f>IF($J1433="","",ROUND('Opening Balance'!$B$4+SUM($F$2:F1433)-SUM($G$2:G1433),2))</f>
        <v/>
      </c>
      <c r="J1433" s="21">
        <f>IFERROR(MATCH(ROW()-1,$L$2:$L$3001,0),"")</f>
        <v/>
      </c>
      <c r="K1433" s="34">
        <f>IF(AND('Daily Sale entry '!X1433&lt;&gt;"",OR('Daily Sale entry '!AC1433&lt;&gt;"",'Daily Sale entry '!AD1433&lt;&gt;"")),'Daily Sale entry '!X1433+ROW()/10000000,"")</f>
        <v/>
      </c>
      <c r="L1433" s="21">
        <f>IF(K1433="","",COUNTIF($K$2:$K$3001,"&lt;"&amp;K1433)+1)</f>
        <v/>
      </c>
    </row>
    <row r="1434">
      <c r="A1434" s="5">
        <f>IF($J1434="","",IF($J1434&lt;=1500,INDEX('Daily Sale entry '!$X$1:$X$1501,$J1434+1),INDEX('Daily Sale entry '!$V$1:$V$1501,$J1434-1499)))</f>
        <v/>
      </c>
      <c r="B1434">
        <f>IF($J1434="","",IF($J1434&lt;=1500,INDEX('Daily Sale entry '!$Y$1:$Y$1501,$J1434+1)&amp;"","Buyer cheque banked 买家支票存入"&amp;IF(INDEX('Daily Sale entry '!$U$1:$U$1501,$J1434-1499)="","", " - "&amp;INDEX('Daily Sale entry '!$U$1:$U$1501,$J1434-1499))))</f>
        <v/>
      </c>
      <c r="C1434">
        <f>IF($J1434="","",IF($J1434&lt;=1500,INDEX('Daily Sale entry '!$Z$1:$Z$1501,$J1434+1)&amp;"","Cheque deposit 支票存入 (buyer 买家)"))</f>
        <v/>
      </c>
      <c r="D1434">
        <f>IF($J1434="","",IF($J1434&lt;=1500,INDEX('Daily Sale entry '!$AA$1:$AA$1501,$J1434+1)&amp;"",INDEX('Daily Sale entry '!$P$1:$P$1501,$J1434-1499)&amp;""))</f>
        <v/>
      </c>
      <c r="E1434">
        <f>IF($J1434="","",IF($J1434&lt;=1500,IF(N(INDEX('Daily Sale entry '!$AB$1:$AB$1501,$J1434+1))=0,"",INDEX('Daily Sale entry '!$AB$1:$AB$1501,$J1434+1)),1))</f>
        <v/>
      </c>
      <c r="F1434" s="6">
        <f>IF($J1434="","",IF($J1434&lt;=1500,N(INDEX('Daily Sale entry '!$AC$1:$AC$1501,$J1434+1))-IF(AND('Opening Balance'!$B$15=1,INDEX('Daily Sale entry '!$Z$1:$Z$1501,$J1434+1)="Online collection 网上收款",INDEX('Daily Sale entry '!$AA$1:$AA$1501,$J1434+1)&lt;&gt;""),N(INDEX('Daily Sale entry '!$AC$1:$AC$1501,$J1434+1))-TRUNC(N(INDEX('Daily Sale entry '!$AC$1:$AC$1501,$J1434+1))),0),N(INDEX('Daily Sale entry '!$S$1:$S$1501,$J1434-1499))-'Opening Balance'!$B$15*(N(INDEX('Daily Sale entry '!$S$1:$S$1501,$J1434-1499))-TRUNC(N(INDEX('Daily Sale entry '!$S$1:$S$1501,$J1434-1499))))))</f>
        <v/>
      </c>
      <c r="G1434" s="6">
        <f>IF($J1434="","",IF($J1434&lt;=1500,N(INDEX('Daily Sale entry '!$AD$1:$AD$1501,$J1434+1)),0))</f>
        <v/>
      </c>
      <c r="H1434" s="6">
        <f>IF($J1434="","",ROUND('Opening Balance'!$B$4+SUM($F$2:F1434)-SUM($G$2:G1434),2))</f>
        <v/>
      </c>
      <c r="J1434" s="21">
        <f>IFERROR(MATCH(ROW()-1,$L$2:$L$3001,0),"")</f>
        <v/>
      </c>
      <c r="K1434" s="34">
        <f>IF(AND('Daily Sale entry '!X1434&lt;&gt;"",OR('Daily Sale entry '!AC1434&lt;&gt;"",'Daily Sale entry '!AD1434&lt;&gt;"")),'Daily Sale entry '!X1434+ROW()/10000000,"")</f>
        <v/>
      </c>
      <c r="L1434" s="21">
        <f>IF(K1434="","",COUNTIF($K$2:$K$3001,"&lt;"&amp;K1434)+1)</f>
        <v/>
      </c>
    </row>
    <row r="1435">
      <c r="A1435" s="5">
        <f>IF($J1435="","",IF($J1435&lt;=1500,INDEX('Daily Sale entry '!$X$1:$X$1501,$J1435+1),INDEX('Daily Sale entry '!$V$1:$V$1501,$J1435-1499)))</f>
        <v/>
      </c>
      <c r="B1435">
        <f>IF($J1435="","",IF($J1435&lt;=1500,INDEX('Daily Sale entry '!$Y$1:$Y$1501,$J1435+1)&amp;"","Buyer cheque banked 买家支票存入"&amp;IF(INDEX('Daily Sale entry '!$U$1:$U$1501,$J1435-1499)="","", " - "&amp;INDEX('Daily Sale entry '!$U$1:$U$1501,$J1435-1499))))</f>
        <v/>
      </c>
      <c r="C1435">
        <f>IF($J1435="","",IF($J1435&lt;=1500,INDEX('Daily Sale entry '!$Z$1:$Z$1501,$J1435+1)&amp;"","Cheque deposit 支票存入 (buyer 买家)"))</f>
        <v/>
      </c>
      <c r="D1435">
        <f>IF($J1435="","",IF($J1435&lt;=1500,INDEX('Daily Sale entry '!$AA$1:$AA$1501,$J1435+1)&amp;"",INDEX('Daily Sale entry '!$P$1:$P$1501,$J1435-1499)&amp;""))</f>
        <v/>
      </c>
      <c r="E1435">
        <f>IF($J1435="","",IF($J1435&lt;=1500,IF(N(INDEX('Daily Sale entry '!$AB$1:$AB$1501,$J1435+1))=0,"",INDEX('Daily Sale entry '!$AB$1:$AB$1501,$J1435+1)),1))</f>
        <v/>
      </c>
      <c r="F1435" s="6">
        <f>IF($J1435="","",IF($J1435&lt;=1500,N(INDEX('Daily Sale entry '!$AC$1:$AC$1501,$J1435+1))-IF(AND('Opening Balance'!$B$15=1,INDEX('Daily Sale entry '!$Z$1:$Z$1501,$J1435+1)="Online collection 网上收款",INDEX('Daily Sale entry '!$AA$1:$AA$1501,$J1435+1)&lt;&gt;""),N(INDEX('Daily Sale entry '!$AC$1:$AC$1501,$J1435+1))-TRUNC(N(INDEX('Daily Sale entry '!$AC$1:$AC$1501,$J1435+1))),0),N(INDEX('Daily Sale entry '!$S$1:$S$1501,$J1435-1499))-'Opening Balance'!$B$15*(N(INDEX('Daily Sale entry '!$S$1:$S$1501,$J1435-1499))-TRUNC(N(INDEX('Daily Sale entry '!$S$1:$S$1501,$J1435-1499))))))</f>
        <v/>
      </c>
      <c r="G1435" s="6">
        <f>IF($J1435="","",IF($J1435&lt;=1500,N(INDEX('Daily Sale entry '!$AD$1:$AD$1501,$J1435+1)),0))</f>
        <v/>
      </c>
      <c r="H1435" s="6">
        <f>IF($J1435="","",ROUND('Opening Balance'!$B$4+SUM($F$2:F1435)-SUM($G$2:G1435),2))</f>
        <v/>
      </c>
      <c r="J1435" s="21">
        <f>IFERROR(MATCH(ROW()-1,$L$2:$L$3001,0),"")</f>
        <v/>
      </c>
      <c r="K1435" s="34">
        <f>IF(AND('Daily Sale entry '!X1435&lt;&gt;"",OR('Daily Sale entry '!AC1435&lt;&gt;"",'Daily Sale entry '!AD1435&lt;&gt;"")),'Daily Sale entry '!X1435+ROW()/10000000,"")</f>
        <v/>
      </c>
      <c r="L1435" s="21">
        <f>IF(K1435="","",COUNTIF($K$2:$K$3001,"&lt;"&amp;K1435)+1)</f>
        <v/>
      </c>
    </row>
    <row r="1436">
      <c r="A1436" s="5">
        <f>IF($J1436="","",IF($J1436&lt;=1500,INDEX('Daily Sale entry '!$X$1:$X$1501,$J1436+1),INDEX('Daily Sale entry '!$V$1:$V$1501,$J1436-1499)))</f>
        <v/>
      </c>
      <c r="B1436">
        <f>IF($J1436="","",IF($J1436&lt;=1500,INDEX('Daily Sale entry '!$Y$1:$Y$1501,$J1436+1)&amp;"","Buyer cheque banked 买家支票存入"&amp;IF(INDEX('Daily Sale entry '!$U$1:$U$1501,$J1436-1499)="","", " - "&amp;INDEX('Daily Sale entry '!$U$1:$U$1501,$J1436-1499))))</f>
        <v/>
      </c>
      <c r="C1436">
        <f>IF($J1436="","",IF($J1436&lt;=1500,INDEX('Daily Sale entry '!$Z$1:$Z$1501,$J1436+1)&amp;"","Cheque deposit 支票存入 (buyer 买家)"))</f>
        <v/>
      </c>
      <c r="D1436">
        <f>IF($J1436="","",IF($J1436&lt;=1500,INDEX('Daily Sale entry '!$AA$1:$AA$1501,$J1436+1)&amp;"",INDEX('Daily Sale entry '!$P$1:$P$1501,$J1436-1499)&amp;""))</f>
        <v/>
      </c>
      <c r="E1436">
        <f>IF($J1436="","",IF($J1436&lt;=1500,IF(N(INDEX('Daily Sale entry '!$AB$1:$AB$1501,$J1436+1))=0,"",INDEX('Daily Sale entry '!$AB$1:$AB$1501,$J1436+1)),1))</f>
        <v/>
      </c>
      <c r="F1436" s="6">
        <f>IF($J1436="","",IF($J1436&lt;=1500,N(INDEX('Daily Sale entry '!$AC$1:$AC$1501,$J1436+1))-IF(AND('Opening Balance'!$B$15=1,INDEX('Daily Sale entry '!$Z$1:$Z$1501,$J1436+1)="Online collection 网上收款",INDEX('Daily Sale entry '!$AA$1:$AA$1501,$J1436+1)&lt;&gt;""),N(INDEX('Daily Sale entry '!$AC$1:$AC$1501,$J1436+1))-TRUNC(N(INDEX('Daily Sale entry '!$AC$1:$AC$1501,$J1436+1))),0),N(INDEX('Daily Sale entry '!$S$1:$S$1501,$J1436-1499))-'Opening Balance'!$B$15*(N(INDEX('Daily Sale entry '!$S$1:$S$1501,$J1436-1499))-TRUNC(N(INDEX('Daily Sale entry '!$S$1:$S$1501,$J1436-1499))))))</f>
        <v/>
      </c>
      <c r="G1436" s="6">
        <f>IF($J1436="","",IF($J1436&lt;=1500,N(INDEX('Daily Sale entry '!$AD$1:$AD$1501,$J1436+1)),0))</f>
        <v/>
      </c>
      <c r="H1436" s="6">
        <f>IF($J1436="","",ROUND('Opening Balance'!$B$4+SUM($F$2:F1436)-SUM($G$2:G1436),2))</f>
        <v/>
      </c>
      <c r="J1436" s="21">
        <f>IFERROR(MATCH(ROW()-1,$L$2:$L$3001,0),"")</f>
        <v/>
      </c>
      <c r="K1436" s="34">
        <f>IF(AND('Daily Sale entry '!X1436&lt;&gt;"",OR('Daily Sale entry '!AC1436&lt;&gt;"",'Daily Sale entry '!AD1436&lt;&gt;"")),'Daily Sale entry '!X1436+ROW()/10000000,"")</f>
        <v/>
      </c>
      <c r="L1436" s="21">
        <f>IF(K1436="","",COUNTIF($K$2:$K$3001,"&lt;"&amp;K1436)+1)</f>
        <v/>
      </c>
    </row>
    <row r="1437">
      <c r="A1437" s="5">
        <f>IF($J1437="","",IF($J1437&lt;=1500,INDEX('Daily Sale entry '!$X$1:$X$1501,$J1437+1),INDEX('Daily Sale entry '!$V$1:$V$1501,$J1437-1499)))</f>
        <v/>
      </c>
      <c r="B1437">
        <f>IF($J1437="","",IF($J1437&lt;=1500,INDEX('Daily Sale entry '!$Y$1:$Y$1501,$J1437+1)&amp;"","Buyer cheque banked 买家支票存入"&amp;IF(INDEX('Daily Sale entry '!$U$1:$U$1501,$J1437-1499)="","", " - "&amp;INDEX('Daily Sale entry '!$U$1:$U$1501,$J1437-1499))))</f>
        <v/>
      </c>
      <c r="C1437">
        <f>IF($J1437="","",IF($J1437&lt;=1500,INDEX('Daily Sale entry '!$Z$1:$Z$1501,$J1437+1)&amp;"","Cheque deposit 支票存入 (buyer 买家)"))</f>
        <v/>
      </c>
      <c r="D1437">
        <f>IF($J1437="","",IF($J1437&lt;=1500,INDEX('Daily Sale entry '!$AA$1:$AA$1501,$J1437+1)&amp;"",INDEX('Daily Sale entry '!$P$1:$P$1501,$J1437-1499)&amp;""))</f>
        <v/>
      </c>
      <c r="E1437">
        <f>IF($J1437="","",IF($J1437&lt;=1500,IF(N(INDEX('Daily Sale entry '!$AB$1:$AB$1501,$J1437+1))=0,"",INDEX('Daily Sale entry '!$AB$1:$AB$1501,$J1437+1)),1))</f>
        <v/>
      </c>
      <c r="F1437" s="6">
        <f>IF($J1437="","",IF($J1437&lt;=1500,N(INDEX('Daily Sale entry '!$AC$1:$AC$1501,$J1437+1))-IF(AND('Opening Balance'!$B$15=1,INDEX('Daily Sale entry '!$Z$1:$Z$1501,$J1437+1)="Online collection 网上收款",INDEX('Daily Sale entry '!$AA$1:$AA$1501,$J1437+1)&lt;&gt;""),N(INDEX('Daily Sale entry '!$AC$1:$AC$1501,$J1437+1))-TRUNC(N(INDEX('Daily Sale entry '!$AC$1:$AC$1501,$J1437+1))),0),N(INDEX('Daily Sale entry '!$S$1:$S$1501,$J1437-1499))-'Opening Balance'!$B$15*(N(INDEX('Daily Sale entry '!$S$1:$S$1501,$J1437-1499))-TRUNC(N(INDEX('Daily Sale entry '!$S$1:$S$1501,$J1437-1499))))))</f>
        <v/>
      </c>
      <c r="G1437" s="6">
        <f>IF($J1437="","",IF($J1437&lt;=1500,N(INDEX('Daily Sale entry '!$AD$1:$AD$1501,$J1437+1)),0))</f>
        <v/>
      </c>
      <c r="H1437" s="6">
        <f>IF($J1437="","",ROUND('Opening Balance'!$B$4+SUM($F$2:F1437)-SUM($G$2:G1437),2))</f>
        <v/>
      </c>
      <c r="J1437" s="21">
        <f>IFERROR(MATCH(ROW()-1,$L$2:$L$3001,0),"")</f>
        <v/>
      </c>
      <c r="K1437" s="34">
        <f>IF(AND('Daily Sale entry '!X1437&lt;&gt;"",OR('Daily Sale entry '!AC1437&lt;&gt;"",'Daily Sale entry '!AD1437&lt;&gt;"")),'Daily Sale entry '!X1437+ROW()/10000000,"")</f>
        <v/>
      </c>
      <c r="L1437" s="21">
        <f>IF(K1437="","",COUNTIF($K$2:$K$3001,"&lt;"&amp;K1437)+1)</f>
        <v/>
      </c>
    </row>
    <row r="1438">
      <c r="A1438" s="5">
        <f>IF($J1438="","",IF($J1438&lt;=1500,INDEX('Daily Sale entry '!$X$1:$X$1501,$J1438+1),INDEX('Daily Sale entry '!$V$1:$V$1501,$J1438-1499)))</f>
        <v/>
      </c>
      <c r="B1438">
        <f>IF($J1438="","",IF($J1438&lt;=1500,INDEX('Daily Sale entry '!$Y$1:$Y$1501,$J1438+1)&amp;"","Buyer cheque banked 买家支票存入"&amp;IF(INDEX('Daily Sale entry '!$U$1:$U$1501,$J1438-1499)="","", " - "&amp;INDEX('Daily Sale entry '!$U$1:$U$1501,$J1438-1499))))</f>
        <v/>
      </c>
      <c r="C1438">
        <f>IF($J1438="","",IF($J1438&lt;=1500,INDEX('Daily Sale entry '!$Z$1:$Z$1501,$J1438+1)&amp;"","Cheque deposit 支票存入 (buyer 买家)"))</f>
        <v/>
      </c>
      <c r="D1438">
        <f>IF($J1438="","",IF($J1438&lt;=1500,INDEX('Daily Sale entry '!$AA$1:$AA$1501,$J1438+1)&amp;"",INDEX('Daily Sale entry '!$P$1:$P$1501,$J1438-1499)&amp;""))</f>
        <v/>
      </c>
      <c r="E1438">
        <f>IF($J1438="","",IF($J1438&lt;=1500,IF(N(INDEX('Daily Sale entry '!$AB$1:$AB$1501,$J1438+1))=0,"",INDEX('Daily Sale entry '!$AB$1:$AB$1501,$J1438+1)),1))</f>
        <v/>
      </c>
      <c r="F1438" s="6">
        <f>IF($J1438="","",IF($J1438&lt;=1500,N(INDEX('Daily Sale entry '!$AC$1:$AC$1501,$J1438+1))-IF(AND('Opening Balance'!$B$15=1,INDEX('Daily Sale entry '!$Z$1:$Z$1501,$J1438+1)="Online collection 网上收款",INDEX('Daily Sale entry '!$AA$1:$AA$1501,$J1438+1)&lt;&gt;""),N(INDEX('Daily Sale entry '!$AC$1:$AC$1501,$J1438+1))-TRUNC(N(INDEX('Daily Sale entry '!$AC$1:$AC$1501,$J1438+1))),0),N(INDEX('Daily Sale entry '!$S$1:$S$1501,$J1438-1499))-'Opening Balance'!$B$15*(N(INDEX('Daily Sale entry '!$S$1:$S$1501,$J1438-1499))-TRUNC(N(INDEX('Daily Sale entry '!$S$1:$S$1501,$J1438-1499))))))</f>
        <v/>
      </c>
      <c r="G1438" s="6">
        <f>IF($J1438="","",IF($J1438&lt;=1500,N(INDEX('Daily Sale entry '!$AD$1:$AD$1501,$J1438+1)),0))</f>
        <v/>
      </c>
      <c r="H1438" s="6">
        <f>IF($J1438="","",ROUND('Opening Balance'!$B$4+SUM($F$2:F1438)-SUM($G$2:G1438),2))</f>
        <v/>
      </c>
      <c r="J1438" s="21">
        <f>IFERROR(MATCH(ROW()-1,$L$2:$L$3001,0),"")</f>
        <v/>
      </c>
      <c r="K1438" s="34">
        <f>IF(AND('Daily Sale entry '!X1438&lt;&gt;"",OR('Daily Sale entry '!AC1438&lt;&gt;"",'Daily Sale entry '!AD1438&lt;&gt;"")),'Daily Sale entry '!X1438+ROW()/10000000,"")</f>
        <v/>
      </c>
      <c r="L1438" s="21">
        <f>IF(K1438="","",COUNTIF($K$2:$K$3001,"&lt;"&amp;K1438)+1)</f>
        <v/>
      </c>
    </row>
    <row r="1439">
      <c r="A1439" s="5">
        <f>IF($J1439="","",IF($J1439&lt;=1500,INDEX('Daily Sale entry '!$X$1:$X$1501,$J1439+1),INDEX('Daily Sale entry '!$V$1:$V$1501,$J1439-1499)))</f>
        <v/>
      </c>
      <c r="B1439">
        <f>IF($J1439="","",IF($J1439&lt;=1500,INDEX('Daily Sale entry '!$Y$1:$Y$1501,$J1439+1)&amp;"","Buyer cheque banked 买家支票存入"&amp;IF(INDEX('Daily Sale entry '!$U$1:$U$1501,$J1439-1499)="","", " - "&amp;INDEX('Daily Sale entry '!$U$1:$U$1501,$J1439-1499))))</f>
        <v/>
      </c>
      <c r="C1439">
        <f>IF($J1439="","",IF($J1439&lt;=1500,INDEX('Daily Sale entry '!$Z$1:$Z$1501,$J1439+1)&amp;"","Cheque deposit 支票存入 (buyer 买家)"))</f>
        <v/>
      </c>
      <c r="D1439">
        <f>IF($J1439="","",IF($J1439&lt;=1500,INDEX('Daily Sale entry '!$AA$1:$AA$1501,$J1439+1)&amp;"",INDEX('Daily Sale entry '!$P$1:$P$1501,$J1439-1499)&amp;""))</f>
        <v/>
      </c>
      <c r="E1439">
        <f>IF($J1439="","",IF($J1439&lt;=1500,IF(N(INDEX('Daily Sale entry '!$AB$1:$AB$1501,$J1439+1))=0,"",INDEX('Daily Sale entry '!$AB$1:$AB$1501,$J1439+1)),1))</f>
        <v/>
      </c>
      <c r="F1439" s="6">
        <f>IF($J1439="","",IF($J1439&lt;=1500,N(INDEX('Daily Sale entry '!$AC$1:$AC$1501,$J1439+1))-IF(AND('Opening Balance'!$B$15=1,INDEX('Daily Sale entry '!$Z$1:$Z$1501,$J1439+1)="Online collection 网上收款",INDEX('Daily Sale entry '!$AA$1:$AA$1501,$J1439+1)&lt;&gt;""),N(INDEX('Daily Sale entry '!$AC$1:$AC$1501,$J1439+1))-TRUNC(N(INDEX('Daily Sale entry '!$AC$1:$AC$1501,$J1439+1))),0),N(INDEX('Daily Sale entry '!$S$1:$S$1501,$J1439-1499))-'Opening Balance'!$B$15*(N(INDEX('Daily Sale entry '!$S$1:$S$1501,$J1439-1499))-TRUNC(N(INDEX('Daily Sale entry '!$S$1:$S$1501,$J1439-1499))))))</f>
        <v/>
      </c>
      <c r="G1439" s="6">
        <f>IF($J1439="","",IF($J1439&lt;=1500,N(INDEX('Daily Sale entry '!$AD$1:$AD$1501,$J1439+1)),0))</f>
        <v/>
      </c>
      <c r="H1439" s="6">
        <f>IF($J1439="","",ROUND('Opening Balance'!$B$4+SUM($F$2:F1439)-SUM($G$2:G1439),2))</f>
        <v/>
      </c>
      <c r="J1439" s="21">
        <f>IFERROR(MATCH(ROW()-1,$L$2:$L$3001,0),"")</f>
        <v/>
      </c>
      <c r="K1439" s="34">
        <f>IF(AND('Daily Sale entry '!X1439&lt;&gt;"",OR('Daily Sale entry '!AC1439&lt;&gt;"",'Daily Sale entry '!AD1439&lt;&gt;"")),'Daily Sale entry '!X1439+ROW()/10000000,"")</f>
        <v/>
      </c>
      <c r="L1439" s="21">
        <f>IF(K1439="","",COUNTIF($K$2:$K$3001,"&lt;"&amp;K1439)+1)</f>
        <v/>
      </c>
    </row>
    <row r="1440">
      <c r="A1440" s="5">
        <f>IF($J1440="","",IF($J1440&lt;=1500,INDEX('Daily Sale entry '!$X$1:$X$1501,$J1440+1),INDEX('Daily Sale entry '!$V$1:$V$1501,$J1440-1499)))</f>
        <v/>
      </c>
      <c r="B1440">
        <f>IF($J1440="","",IF($J1440&lt;=1500,INDEX('Daily Sale entry '!$Y$1:$Y$1501,$J1440+1)&amp;"","Buyer cheque banked 买家支票存入"&amp;IF(INDEX('Daily Sale entry '!$U$1:$U$1501,$J1440-1499)="","", " - "&amp;INDEX('Daily Sale entry '!$U$1:$U$1501,$J1440-1499))))</f>
        <v/>
      </c>
      <c r="C1440">
        <f>IF($J1440="","",IF($J1440&lt;=1500,INDEX('Daily Sale entry '!$Z$1:$Z$1501,$J1440+1)&amp;"","Cheque deposit 支票存入 (buyer 买家)"))</f>
        <v/>
      </c>
      <c r="D1440">
        <f>IF($J1440="","",IF($J1440&lt;=1500,INDEX('Daily Sale entry '!$AA$1:$AA$1501,$J1440+1)&amp;"",INDEX('Daily Sale entry '!$P$1:$P$1501,$J1440-1499)&amp;""))</f>
        <v/>
      </c>
      <c r="E1440">
        <f>IF($J1440="","",IF($J1440&lt;=1500,IF(N(INDEX('Daily Sale entry '!$AB$1:$AB$1501,$J1440+1))=0,"",INDEX('Daily Sale entry '!$AB$1:$AB$1501,$J1440+1)),1))</f>
        <v/>
      </c>
      <c r="F1440" s="6">
        <f>IF($J1440="","",IF($J1440&lt;=1500,N(INDEX('Daily Sale entry '!$AC$1:$AC$1501,$J1440+1))-IF(AND('Opening Balance'!$B$15=1,INDEX('Daily Sale entry '!$Z$1:$Z$1501,$J1440+1)="Online collection 网上收款",INDEX('Daily Sale entry '!$AA$1:$AA$1501,$J1440+1)&lt;&gt;""),N(INDEX('Daily Sale entry '!$AC$1:$AC$1501,$J1440+1))-TRUNC(N(INDEX('Daily Sale entry '!$AC$1:$AC$1501,$J1440+1))),0),N(INDEX('Daily Sale entry '!$S$1:$S$1501,$J1440-1499))-'Opening Balance'!$B$15*(N(INDEX('Daily Sale entry '!$S$1:$S$1501,$J1440-1499))-TRUNC(N(INDEX('Daily Sale entry '!$S$1:$S$1501,$J1440-1499))))))</f>
        <v/>
      </c>
      <c r="G1440" s="6">
        <f>IF($J1440="","",IF($J1440&lt;=1500,N(INDEX('Daily Sale entry '!$AD$1:$AD$1501,$J1440+1)),0))</f>
        <v/>
      </c>
      <c r="H1440" s="6">
        <f>IF($J1440="","",ROUND('Opening Balance'!$B$4+SUM($F$2:F1440)-SUM($G$2:G1440),2))</f>
        <v/>
      </c>
      <c r="J1440" s="21">
        <f>IFERROR(MATCH(ROW()-1,$L$2:$L$3001,0),"")</f>
        <v/>
      </c>
      <c r="K1440" s="34">
        <f>IF(AND('Daily Sale entry '!X1440&lt;&gt;"",OR('Daily Sale entry '!AC1440&lt;&gt;"",'Daily Sale entry '!AD1440&lt;&gt;"")),'Daily Sale entry '!X1440+ROW()/10000000,"")</f>
        <v/>
      </c>
      <c r="L1440" s="21">
        <f>IF(K1440="","",COUNTIF($K$2:$K$3001,"&lt;"&amp;K1440)+1)</f>
        <v/>
      </c>
    </row>
    <row r="1441">
      <c r="A1441" s="5">
        <f>IF($J1441="","",IF($J1441&lt;=1500,INDEX('Daily Sale entry '!$X$1:$X$1501,$J1441+1),INDEX('Daily Sale entry '!$V$1:$V$1501,$J1441-1499)))</f>
        <v/>
      </c>
      <c r="B1441">
        <f>IF($J1441="","",IF($J1441&lt;=1500,INDEX('Daily Sale entry '!$Y$1:$Y$1501,$J1441+1)&amp;"","Buyer cheque banked 买家支票存入"&amp;IF(INDEX('Daily Sale entry '!$U$1:$U$1501,$J1441-1499)="","", " - "&amp;INDEX('Daily Sale entry '!$U$1:$U$1501,$J1441-1499))))</f>
        <v/>
      </c>
      <c r="C1441">
        <f>IF($J1441="","",IF($J1441&lt;=1500,INDEX('Daily Sale entry '!$Z$1:$Z$1501,$J1441+1)&amp;"","Cheque deposit 支票存入 (buyer 买家)"))</f>
        <v/>
      </c>
      <c r="D1441">
        <f>IF($J1441="","",IF($J1441&lt;=1500,INDEX('Daily Sale entry '!$AA$1:$AA$1501,$J1441+1)&amp;"",INDEX('Daily Sale entry '!$P$1:$P$1501,$J1441-1499)&amp;""))</f>
        <v/>
      </c>
      <c r="E1441">
        <f>IF($J1441="","",IF($J1441&lt;=1500,IF(N(INDEX('Daily Sale entry '!$AB$1:$AB$1501,$J1441+1))=0,"",INDEX('Daily Sale entry '!$AB$1:$AB$1501,$J1441+1)),1))</f>
        <v/>
      </c>
      <c r="F1441" s="6">
        <f>IF($J1441="","",IF($J1441&lt;=1500,N(INDEX('Daily Sale entry '!$AC$1:$AC$1501,$J1441+1))-IF(AND('Opening Balance'!$B$15=1,INDEX('Daily Sale entry '!$Z$1:$Z$1501,$J1441+1)="Online collection 网上收款",INDEX('Daily Sale entry '!$AA$1:$AA$1501,$J1441+1)&lt;&gt;""),N(INDEX('Daily Sale entry '!$AC$1:$AC$1501,$J1441+1))-TRUNC(N(INDEX('Daily Sale entry '!$AC$1:$AC$1501,$J1441+1))),0),N(INDEX('Daily Sale entry '!$S$1:$S$1501,$J1441-1499))-'Opening Balance'!$B$15*(N(INDEX('Daily Sale entry '!$S$1:$S$1501,$J1441-1499))-TRUNC(N(INDEX('Daily Sale entry '!$S$1:$S$1501,$J1441-1499))))))</f>
        <v/>
      </c>
      <c r="G1441" s="6">
        <f>IF($J1441="","",IF($J1441&lt;=1500,N(INDEX('Daily Sale entry '!$AD$1:$AD$1501,$J1441+1)),0))</f>
        <v/>
      </c>
      <c r="H1441" s="6">
        <f>IF($J1441="","",ROUND('Opening Balance'!$B$4+SUM($F$2:F1441)-SUM($G$2:G1441),2))</f>
        <v/>
      </c>
      <c r="J1441" s="21">
        <f>IFERROR(MATCH(ROW()-1,$L$2:$L$3001,0),"")</f>
        <v/>
      </c>
      <c r="K1441" s="34">
        <f>IF(AND('Daily Sale entry '!X1441&lt;&gt;"",OR('Daily Sale entry '!AC1441&lt;&gt;"",'Daily Sale entry '!AD1441&lt;&gt;"")),'Daily Sale entry '!X1441+ROW()/10000000,"")</f>
        <v/>
      </c>
      <c r="L1441" s="21">
        <f>IF(K1441="","",COUNTIF($K$2:$K$3001,"&lt;"&amp;K1441)+1)</f>
        <v/>
      </c>
    </row>
    <row r="1442">
      <c r="A1442" s="5">
        <f>IF($J1442="","",IF($J1442&lt;=1500,INDEX('Daily Sale entry '!$X$1:$X$1501,$J1442+1),INDEX('Daily Sale entry '!$V$1:$V$1501,$J1442-1499)))</f>
        <v/>
      </c>
      <c r="B1442">
        <f>IF($J1442="","",IF($J1442&lt;=1500,INDEX('Daily Sale entry '!$Y$1:$Y$1501,$J1442+1)&amp;"","Buyer cheque banked 买家支票存入"&amp;IF(INDEX('Daily Sale entry '!$U$1:$U$1501,$J1442-1499)="","", " - "&amp;INDEX('Daily Sale entry '!$U$1:$U$1501,$J1442-1499))))</f>
        <v/>
      </c>
      <c r="C1442">
        <f>IF($J1442="","",IF($J1442&lt;=1500,INDEX('Daily Sale entry '!$Z$1:$Z$1501,$J1442+1)&amp;"","Cheque deposit 支票存入 (buyer 买家)"))</f>
        <v/>
      </c>
      <c r="D1442">
        <f>IF($J1442="","",IF($J1442&lt;=1500,INDEX('Daily Sale entry '!$AA$1:$AA$1501,$J1442+1)&amp;"",INDEX('Daily Sale entry '!$P$1:$P$1501,$J1442-1499)&amp;""))</f>
        <v/>
      </c>
      <c r="E1442">
        <f>IF($J1442="","",IF($J1442&lt;=1500,IF(N(INDEX('Daily Sale entry '!$AB$1:$AB$1501,$J1442+1))=0,"",INDEX('Daily Sale entry '!$AB$1:$AB$1501,$J1442+1)),1))</f>
        <v/>
      </c>
      <c r="F1442" s="6">
        <f>IF($J1442="","",IF($J1442&lt;=1500,N(INDEX('Daily Sale entry '!$AC$1:$AC$1501,$J1442+1))-IF(AND('Opening Balance'!$B$15=1,INDEX('Daily Sale entry '!$Z$1:$Z$1501,$J1442+1)="Online collection 网上收款",INDEX('Daily Sale entry '!$AA$1:$AA$1501,$J1442+1)&lt;&gt;""),N(INDEX('Daily Sale entry '!$AC$1:$AC$1501,$J1442+1))-TRUNC(N(INDEX('Daily Sale entry '!$AC$1:$AC$1501,$J1442+1))),0),N(INDEX('Daily Sale entry '!$S$1:$S$1501,$J1442-1499))-'Opening Balance'!$B$15*(N(INDEX('Daily Sale entry '!$S$1:$S$1501,$J1442-1499))-TRUNC(N(INDEX('Daily Sale entry '!$S$1:$S$1501,$J1442-1499))))))</f>
        <v/>
      </c>
      <c r="G1442" s="6">
        <f>IF($J1442="","",IF($J1442&lt;=1500,N(INDEX('Daily Sale entry '!$AD$1:$AD$1501,$J1442+1)),0))</f>
        <v/>
      </c>
      <c r="H1442" s="6">
        <f>IF($J1442="","",ROUND('Opening Balance'!$B$4+SUM($F$2:F1442)-SUM($G$2:G1442),2))</f>
        <v/>
      </c>
      <c r="J1442" s="21">
        <f>IFERROR(MATCH(ROW()-1,$L$2:$L$3001,0),"")</f>
        <v/>
      </c>
      <c r="K1442" s="34">
        <f>IF(AND('Daily Sale entry '!X1442&lt;&gt;"",OR('Daily Sale entry '!AC1442&lt;&gt;"",'Daily Sale entry '!AD1442&lt;&gt;"")),'Daily Sale entry '!X1442+ROW()/10000000,"")</f>
        <v/>
      </c>
      <c r="L1442" s="21">
        <f>IF(K1442="","",COUNTIF($K$2:$K$3001,"&lt;"&amp;K1442)+1)</f>
        <v/>
      </c>
    </row>
    <row r="1443">
      <c r="A1443" s="5">
        <f>IF($J1443="","",IF($J1443&lt;=1500,INDEX('Daily Sale entry '!$X$1:$X$1501,$J1443+1),INDEX('Daily Sale entry '!$V$1:$V$1501,$J1443-1499)))</f>
        <v/>
      </c>
      <c r="B1443">
        <f>IF($J1443="","",IF($J1443&lt;=1500,INDEX('Daily Sale entry '!$Y$1:$Y$1501,$J1443+1)&amp;"","Buyer cheque banked 买家支票存入"&amp;IF(INDEX('Daily Sale entry '!$U$1:$U$1501,$J1443-1499)="","", " - "&amp;INDEX('Daily Sale entry '!$U$1:$U$1501,$J1443-1499))))</f>
        <v/>
      </c>
      <c r="C1443">
        <f>IF($J1443="","",IF($J1443&lt;=1500,INDEX('Daily Sale entry '!$Z$1:$Z$1501,$J1443+1)&amp;"","Cheque deposit 支票存入 (buyer 买家)"))</f>
        <v/>
      </c>
      <c r="D1443">
        <f>IF($J1443="","",IF($J1443&lt;=1500,INDEX('Daily Sale entry '!$AA$1:$AA$1501,$J1443+1)&amp;"",INDEX('Daily Sale entry '!$P$1:$P$1501,$J1443-1499)&amp;""))</f>
        <v/>
      </c>
      <c r="E1443">
        <f>IF($J1443="","",IF($J1443&lt;=1500,IF(N(INDEX('Daily Sale entry '!$AB$1:$AB$1501,$J1443+1))=0,"",INDEX('Daily Sale entry '!$AB$1:$AB$1501,$J1443+1)),1))</f>
        <v/>
      </c>
      <c r="F1443" s="6">
        <f>IF($J1443="","",IF($J1443&lt;=1500,N(INDEX('Daily Sale entry '!$AC$1:$AC$1501,$J1443+1))-IF(AND('Opening Balance'!$B$15=1,INDEX('Daily Sale entry '!$Z$1:$Z$1501,$J1443+1)="Online collection 网上收款",INDEX('Daily Sale entry '!$AA$1:$AA$1501,$J1443+1)&lt;&gt;""),N(INDEX('Daily Sale entry '!$AC$1:$AC$1501,$J1443+1))-TRUNC(N(INDEX('Daily Sale entry '!$AC$1:$AC$1501,$J1443+1))),0),N(INDEX('Daily Sale entry '!$S$1:$S$1501,$J1443-1499))-'Opening Balance'!$B$15*(N(INDEX('Daily Sale entry '!$S$1:$S$1501,$J1443-1499))-TRUNC(N(INDEX('Daily Sale entry '!$S$1:$S$1501,$J1443-1499))))))</f>
        <v/>
      </c>
      <c r="G1443" s="6">
        <f>IF($J1443="","",IF($J1443&lt;=1500,N(INDEX('Daily Sale entry '!$AD$1:$AD$1501,$J1443+1)),0))</f>
        <v/>
      </c>
      <c r="H1443" s="6">
        <f>IF($J1443="","",ROUND('Opening Balance'!$B$4+SUM($F$2:F1443)-SUM($G$2:G1443),2))</f>
        <v/>
      </c>
      <c r="J1443" s="21">
        <f>IFERROR(MATCH(ROW()-1,$L$2:$L$3001,0),"")</f>
        <v/>
      </c>
      <c r="K1443" s="34">
        <f>IF(AND('Daily Sale entry '!X1443&lt;&gt;"",OR('Daily Sale entry '!AC1443&lt;&gt;"",'Daily Sale entry '!AD1443&lt;&gt;"")),'Daily Sale entry '!X1443+ROW()/10000000,"")</f>
        <v/>
      </c>
      <c r="L1443" s="21">
        <f>IF(K1443="","",COUNTIF($K$2:$K$3001,"&lt;"&amp;K1443)+1)</f>
        <v/>
      </c>
    </row>
    <row r="1444">
      <c r="A1444" s="5">
        <f>IF($J1444="","",IF($J1444&lt;=1500,INDEX('Daily Sale entry '!$X$1:$X$1501,$J1444+1),INDEX('Daily Sale entry '!$V$1:$V$1501,$J1444-1499)))</f>
        <v/>
      </c>
      <c r="B1444">
        <f>IF($J1444="","",IF($J1444&lt;=1500,INDEX('Daily Sale entry '!$Y$1:$Y$1501,$J1444+1)&amp;"","Buyer cheque banked 买家支票存入"&amp;IF(INDEX('Daily Sale entry '!$U$1:$U$1501,$J1444-1499)="","", " - "&amp;INDEX('Daily Sale entry '!$U$1:$U$1501,$J1444-1499))))</f>
        <v/>
      </c>
      <c r="C1444">
        <f>IF($J1444="","",IF($J1444&lt;=1500,INDEX('Daily Sale entry '!$Z$1:$Z$1501,$J1444+1)&amp;"","Cheque deposit 支票存入 (buyer 买家)"))</f>
        <v/>
      </c>
      <c r="D1444">
        <f>IF($J1444="","",IF($J1444&lt;=1500,INDEX('Daily Sale entry '!$AA$1:$AA$1501,$J1444+1)&amp;"",INDEX('Daily Sale entry '!$P$1:$P$1501,$J1444-1499)&amp;""))</f>
        <v/>
      </c>
      <c r="E1444">
        <f>IF($J1444="","",IF($J1444&lt;=1500,IF(N(INDEX('Daily Sale entry '!$AB$1:$AB$1501,$J1444+1))=0,"",INDEX('Daily Sale entry '!$AB$1:$AB$1501,$J1444+1)),1))</f>
        <v/>
      </c>
      <c r="F1444" s="6">
        <f>IF($J1444="","",IF($J1444&lt;=1500,N(INDEX('Daily Sale entry '!$AC$1:$AC$1501,$J1444+1))-IF(AND('Opening Balance'!$B$15=1,INDEX('Daily Sale entry '!$Z$1:$Z$1501,$J1444+1)="Online collection 网上收款",INDEX('Daily Sale entry '!$AA$1:$AA$1501,$J1444+1)&lt;&gt;""),N(INDEX('Daily Sale entry '!$AC$1:$AC$1501,$J1444+1))-TRUNC(N(INDEX('Daily Sale entry '!$AC$1:$AC$1501,$J1444+1))),0),N(INDEX('Daily Sale entry '!$S$1:$S$1501,$J1444-1499))-'Opening Balance'!$B$15*(N(INDEX('Daily Sale entry '!$S$1:$S$1501,$J1444-1499))-TRUNC(N(INDEX('Daily Sale entry '!$S$1:$S$1501,$J1444-1499))))))</f>
        <v/>
      </c>
      <c r="G1444" s="6">
        <f>IF($J1444="","",IF($J1444&lt;=1500,N(INDEX('Daily Sale entry '!$AD$1:$AD$1501,$J1444+1)),0))</f>
        <v/>
      </c>
      <c r="H1444" s="6">
        <f>IF($J1444="","",ROUND('Opening Balance'!$B$4+SUM($F$2:F1444)-SUM($G$2:G1444),2))</f>
        <v/>
      </c>
      <c r="J1444" s="21">
        <f>IFERROR(MATCH(ROW()-1,$L$2:$L$3001,0),"")</f>
        <v/>
      </c>
      <c r="K1444" s="34">
        <f>IF(AND('Daily Sale entry '!X1444&lt;&gt;"",OR('Daily Sale entry '!AC1444&lt;&gt;"",'Daily Sale entry '!AD1444&lt;&gt;"")),'Daily Sale entry '!X1444+ROW()/10000000,"")</f>
        <v/>
      </c>
      <c r="L1444" s="21">
        <f>IF(K1444="","",COUNTIF($K$2:$K$3001,"&lt;"&amp;K1444)+1)</f>
        <v/>
      </c>
    </row>
    <row r="1445">
      <c r="A1445" s="5">
        <f>IF($J1445="","",IF($J1445&lt;=1500,INDEX('Daily Sale entry '!$X$1:$X$1501,$J1445+1),INDEX('Daily Sale entry '!$V$1:$V$1501,$J1445-1499)))</f>
        <v/>
      </c>
      <c r="B1445">
        <f>IF($J1445="","",IF($J1445&lt;=1500,INDEX('Daily Sale entry '!$Y$1:$Y$1501,$J1445+1)&amp;"","Buyer cheque banked 买家支票存入"&amp;IF(INDEX('Daily Sale entry '!$U$1:$U$1501,$J1445-1499)="","", " - "&amp;INDEX('Daily Sale entry '!$U$1:$U$1501,$J1445-1499))))</f>
        <v/>
      </c>
      <c r="C1445">
        <f>IF($J1445="","",IF($J1445&lt;=1500,INDEX('Daily Sale entry '!$Z$1:$Z$1501,$J1445+1)&amp;"","Cheque deposit 支票存入 (buyer 买家)"))</f>
        <v/>
      </c>
      <c r="D1445">
        <f>IF($J1445="","",IF($J1445&lt;=1500,INDEX('Daily Sale entry '!$AA$1:$AA$1501,$J1445+1)&amp;"",INDEX('Daily Sale entry '!$P$1:$P$1501,$J1445-1499)&amp;""))</f>
        <v/>
      </c>
      <c r="E1445">
        <f>IF($J1445="","",IF($J1445&lt;=1500,IF(N(INDEX('Daily Sale entry '!$AB$1:$AB$1501,$J1445+1))=0,"",INDEX('Daily Sale entry '!$AB$1:$AB$1501,$J1445+1)),1))</f>
        <v/>
      </c>
      <c r="F1445" s="6">
        <f>IF($J1445="","",IF($J1445&lt;=1500,N(INDEX('Daily Sale entry '!$AC$1:$AC$1501,$J1445+1))-IF(AND('Opening Balance'!$B$15=1,INDEX('Daily Sale entry '!$Z$1:$Z$1501,$J1445+1)="Online collection 网上收款",INDEX('Daily Sale entry '!$AA$1:$AA$1501,$J1445+1)&lt;&gt;""),N(INDEX('Daily Sale entry '!$AC$1:$AC$1501,$J1445+1))-TRUNC(N(INDEX('Daily Sale entry '!$AC$1:$AC$1501,$J1445+1))),0),N(INDEX('Daily Sale entry '!$S$1:$S$1501,$J1445-1499))-'Opening Balance'!$B$15*(N(INDEX('Daily Sale entry '!$S$1:$S$1501,$J1445-1499))-TRUNC(N(INDEX('Daily Sale entry '!$S$1:$S$1501,$J1445-1499))))))</f>
        <v/>
      </c>
      <c r="G1445" s="6">
        <f>IF($J1445="","",IF($J1445&lt;=1500,N(INDEX('Daily Sale entry '!$AD$1:$AD$1501,$J1445+1)),0))</f>
        <v/>
      </c>
      <c r="H1445" s="6">
        <f>IF($J1445="","",ROUND('Opening Balance'!$B$4+SUM($F$2:F1445)-SUM($G$2:G1445),2))</f>
        <v/>
      </c>
      <c r="J1445" s="21">
        <f>IFERROR(MATCH(ROW()-1,$L$2:$L$3001,0),"")</f>
        <v/>
      </c>
      <c r="K1445" s="34">
        <f>IF(AND('Daily Sale entry '!X1445&lt;&gt;"",OR('Daily Sale entry '!AC1445&lt;&gt;"",'Daily Sale entry '!AD1445&lt;&gt;"")),'Daily Sale entry '!X1445+ROW()/10000000,"")</f>
        <v/>
      </c>
      <c r="L1445" s="21">
        <f>IF(K1445="","",COUNTIF($K$2:$K$3001,"&lt;"&amp;K1445)+1)</f>
        <v/>
      </c>
    </row>
    <row r="1446">
      <c r="A1446" s="5">
        <f>IF($J1446="","",IF($J1446&lt;=1500,INDEX('Daily Sale entry '!$X$1:$X$1501,$J1446+1),INDEX('Daily Sale entry '!$V$1:$V$1501,$J1446-1499)))</f>
        <v/>
      </c>
      <c r="B1446">
        <f>IF($J1446="","",IF($J1446&lt;=1500,INDEX('Daily Sale entry '!$Y$1:$Y$1501,$J1446+1)&amp;"","Buyer cheque banked 买家支票存入"&amp;IF(INDEX('Daily Sale entry '!$U$1:$U$1501,$J1446-1499)="","", " - "&amp;INDEX('Daily Sale entry '!$U$1:$U$1501,$J1446-1499))))</f>
        <v/>
      </c>
      <c r="C1446">
        <f>IF($J1446="","",IF($J1446&lt;=1500,INDEX('Daily Sale entry '!$Z$1:$Z$1501,$J1446+1)&amp;"","Cheque deposit 支票存入 (buyer 买家)"))</f>
        <v/>
      </c>
      <c r="D1446">
        <f>IF($J1446="","",IF($J1446&lt;=1500,INDEX('Daily Sale entry '!$AA$1:$AA$1501,$J1446+1)&amp;"",INDEX('Daily Sale entry '!$P$1:$P$1501,$J1446-1499)&amp;""))</f>
        <v/>
      </c>
      <c r="E1446">
        <f>IF($J1446="","",IF($J1446&lt;=1500,IF(N(INDEX('Daily Sale entry '!$AB$1:$AB$1501,$J1446+1))=0,"",INDEX('Daily Sale entry '!$AB$1:$AB$1501,$J1446+1)),1))</f>
        <v/>
      </c>
      <c r="F1446" s="6">
        <f>IF($J1446="","",IF($J1446&lt;=1500,N(INDEX('Daily Sale entry '!$AC$1:$AC$1501,$J1446+1))-IF(AND('Opening Balance'!$B$15=1,INDEX('Daily Sale entry '!$Z$1:$Z$1501,$J1446+1)="Online collection 网上收款",INDEX('Daily Sale entry '!$AA$1:$AA$1501,$J1446+1)&lt;&gt;""),N(INDEX('Daily Sale entry '!$AC$1:$AC$1501,$J1446+1))-TRUNC(N(INDEX('Daily Sale entry '!$AC$1:$AC$1501,$J1446+1))),0),N(INDEX('Daily Sale entry '!$S$1:$S$1501,$J1446-1499))-'Opening Balance'!$B$15*(N(INDEX('Daily Sale entry '!$S$1:$S$1501,$J1446-1499))-TRUNC(N(INDEX('Daily Sale entry '!$S$1:$S$1501,$J1446-1499))))))</f>
        <v/>
      </c>
      <c r="G1446" s="6">
        <f>IF($J1446="","",IF($J1446&lt;=1500,N(INDEX('Daily Sale entry '!$AD$1:$AD$1501,$J1446+1)),0))</f>
        <v/>
      </c>
      <c r="H1446" s="6">
        <f>IF($J1446="","",ROUND('Opening Balance'!$B$4+SUM($F$2:F1446)-SUM($G$2:G1446),2))</f>
        <v/>
      </c>
      <c r="J1446" s="21">
        <f>IFERROR(MATCH(ROW()-1,$L$2:$L$3001,0),"")</f>
        <v/>
      </c>
      <c r="K1446" s="34">
        <f>IF(AND('Daily Sale entry '!X1446&lt;&gt;"",OR('Daily Sale entry '!AC1446&lt;&gt;"",'Daily Sale entry '!AD1446&lt;&gt;"")),'Daily Sale entry '!X1446+ROW()/10000000,"")</f>
        <v/>
      </c>
      <c r="L1446" s="21">
        <f>IF(K1446="","",COUNTIF($K$2:$K$3001,"&lt;"&amp;K1446)+1)</f>
        <v/>
      </c>
    </row>
    <row r="1447">
      <c r="A1447" s="5">
        <f>IF($J1447="","",IF($J1447&lt;=1500,INDEX('Daily Sale entry '!$X$1:$X$1501,$J1447+1),INDEX('Daily Sale entry '!$V$1:$V$1501,$J1447-1499)))</f>
        <v/>
      </c>
      <c r="B1447">
        <f>IF($J1447="","",IF($J1447&lt;=1500,INDEX('Daily Sale entry '!$Y$1:$Y$1501,$J1447+1)&amp;"","Buyer cheque banked 买家支票存入"&amp;IF(INDEX('Daily Sale entry '!$U$1:$U$1501,$J1447-1499)="","", " - "&amp;INDEX('Daily Sale entry '!$U$1:$U$1501,$J1447-1499))))</f>
        <v/>
      </c>
      <c r="C1447">
        <f>IF($J1447="","",IF($J1447&lt;=1500,INDEX('Daily Sale entry '!$Z$1:$Z$1501,$J1447+1)&amp;"","Cheque deposit 支票存入 (buyer 买家)"))</f>
        <v/>
      </c>
      <c r="D1447">
        <f>IF($J1447="","",IF($J1447&lt;=1500,INDEX('Daily Sale entry '!$AA$1:$AA$1501,$J1447+1)&amp;"",INDEX('Daily Sale entry '!$P$1:$P$1501,$J1447-1499)&amp;""))</f>
        <v/>
      </c>
      <c r="E1447">
        <f>IF($J1447="","",IF($J1447&lt;=1500,IF(N(INDEX('Daily Sale entry '!$AB$1:$AB$1501,$J1447+1))=0,"",INDEX('Daily Sale entry '!$AB$1:$AB$1501,$J1447+1)),1))</f>
        <v/>
      </c>
      <c r="F1447" s="6">
        <f>IF($J1447="","",IF($J1447&lt;=1500,N(INDEX('Daily Sale entry '!$AC$1:$AC$1501,$J1447+1))-IF(AND('Opening Balance'!$B$15=1,INDEX('Daily Sale entry '!$Z$1:$Z$1501,$J1447+1)="Online collection 网上收款",INDEX('Daily Sale entry '!$AA$1:$AA$1501,$J1447+1)&lt;&gt;""),N(INDEX('Daily Sale entry '!$AC$1:$AC$1501,$J1447+1))-TRUNC(N(INDEX('Daily Sale entry '!$AC$1:$AC$1501,$J1447+1))),0),N(INDEX('Daily Sale entry '!$S$1:$S$1501,$J1447-1499))-'Opening Balance'!$B$15*(N(INDEX('Daily Sale entry '!$S$1:$S$1501,$J1447-1499))-TRUNC(N(INDEX('Daily Sale entry '!$S$1:$S$1501,$J1447-1499))))))</f>
        <v/>
      </c>
      <c r="G1447" s="6">
        <f>IF($J1447="","",IF($J1447&lt;=1500,N(INDEX('Daily Sale entry '!$AD$1:$AD$1501,$J1447+1)),0))</f>
        <v/>
      </c>
      <c r="H1447" s="6">
        <f>IF($J1447="","",ROUND('Opening Balance'!$B$4+SUM($F$2:F1447)-SUM($G$2:G1447),2))</f>
        <v/>
      </c>
      <c r="J1447" s="21">
        <f>IFERROR(MATCH(ROW()-1,$L$2:$L$3001,0),"")</f>
        <v/>
      </c>
      <c r="K1447" s="34">
        <f>IF(AND('Daily Sale entry '!X1447&lt;&gt;"",OR('Daily Sale entry '!AC1447&lt;&gt;"",'Daily Sale entry '!AD1447&lt;&gt;"")),'Daily Sale entry '!X1447+ROW()/10000000,"")</f>
        <v/>
      </c>
      <c r="L1447" s="21">
        <f>IF(K1447="","",COUNTIF($K$2:$K$3001,"&lt;"&amp;K1447)+1)</f>
        <v/>
      </c>
    </row>
    <row r="1448">
      <c r="A1448" s="5">
        <f>IF($J1448="","",IF($J1448&lt;=1500,INDEX('Daily Sale entry '!$X$1:$X$1501,$J1448+1),INDEX('Daily Sale entry '!$V$1:$V$1501,$J1448-1499)))</f>
        <v/>
      </c>
      <c r="B1448">
        <f>IF($J1448="","",IF($J1448&lt;=1500,INDEX('Daily Sale entry '!$Y$1:$Y$1501,$J1448+1)&amp;"","Buyer cheque banked 买家支票存入"&amp;IF(INDEX('Daily Sale entry '!$U$1:$U$1501,$J1448-1499)="","", " - "&amp;INDEX('Daily Sale entry '!$U$1:$U$1501,$J1448-1499))))</f>
        <v/>
      </c>
      <c r="C1448">
        <f>IF($J1448="","",IF($J1448&lt;=1500,INDEX('Daily Sale entry '!$Z$1:$Z$1501,$J1448+1)&amp;"","Cheque deposit 支票存入 (buyer 买家)"))</f>
        <v/>
      </c>
      <c r="D1448">
        <f>IF($J1448="","",IF($J1448&lt;=1500,INDEX('Daily Sale entry '!$AA$1:$AA$1501,$J1448+1)&amp;"",INDEX('Daily Sale entry '!$P$1:$P$1501,$J1448-1499)&amp;""))</f>
        <v/>
      </c>
      <c r="E1448">
        <f>IF($J1448="","",IF($J1448&lt;=1500,IF(N(INDEX('Daily Sale entry '!$AB$1:$AB$1501,$J1448+1))=0,"",INDEX('Daily Sale entry '!$AB$1:$AB$1501,$J1448+1)),1))</f>
        <v/>
      </c>
      <c r="F1448" s="6">
        <f>IF($J1448="","",IF($J1448&lt;=1500,N(INDEX('Daily Sale entry '!$AC$1:$AC$1501,$J1448+1))-IF(AND('Opening Balance'!$B$15=1,INDEX('Daily Sale entry '!$Z$1:$Z$1501,$J1448+1)="Online collection 网上收款",INDEX('Daily Sale entry '!$AA$1:$AA$1501,$J1448+1)&lt;&gt;""),N(INDEX('Daily Sale entry '!$AC$1:$AC$1501,$J1448+1))-TRUNC(N(INDEX('Daily Sale entry '!$AC$1:$AC$1501,$J1448+1))),0),N(INDEX('Daily Sale entry '!$S$1:$S$1501,$J1448-1499))-'Opening Balance'!$B$15*(N(INDEX('Daily Sale entry '!$S$1:$S$1501,$J1448-1499))-TRUNC(N(INDEX('Daily Sale entry '!$S$1:$S$1501,$J1448-1499))))))</f>
        <v/>
      </c>
      <c r="G1448" s="6">
        <f>IF($J1448="","",IF($J1448&lt;=1500,N(INDEX('Daily Sale entry '!$AD$1:$AD$1501,$J1448+1)),0))</f>
        <v/>
      </c>
      <c r="H1448" s="6">
        <f>IF($J1448="","",ROUND('Opening Balance'!$B$4+SUM($F$2:F1448)-SUM($G$2:G1448),2))</f>
        <v/>
      </c>
      <c r="J1448" s="21">
        <f>IFERROR(MATCH(ROW()-1,$L$2:$L$3001,0),"")</f>
        <v/>
      </c>
      <c r="K1448" s="34">
        <f>IF(AND('Daily Sale entry '!X1448&lt;&gt;"",OR('Daily Sale entry '!AC1448&lt;&gt;"",'Daily Sale entry '!AD1448&lt;&gt;"")),'Daily Sale entry '!X1448+ROW()/10000000,"")</f>
        <v/>
      </c>
      <c r="L1448" s="21">
        <f>IF(K1448="","",COUNTIF($K$2:$K$3001,"&lt;"&amp;K1448)+1)</f>
        <v/>
      </c>
    </row>
    <row r="1449">
      <c r="A1449" s="5">
        <f>IF($J1449="","",IF($J1449&lt;=1500,INDEX('Daily Sale entry '!$X$1:$X$1501,$J1449+1),INDEX('Daily Sale entry '!$V$1:$V$1501,$J1449-1499)))</f>
        <v/>
      </c>
      <c r="B1449">
        <f>IF($J1449="","",IF($J1449&lt;=1500,INDEX('Daily Sale entry '!$Y$1:$Y$1501,$J1449+1)&amp;"","Buyer cheque banked 买家支票存入"&amp;IF(INDEX('Daily Sale entry '!$U$1:$U$1501,$J1449-1499)="","", " - "&amp;INDEX('Daily Sale entry '!$U$1:$U$1501,$J1449-1499))))</f>
        <v/>
      </c>
      <c r="C1449">
        <f>IF($J1449="","",IF($J1449&lt;=1500,INDEX('Daily Sale entry '!$Z$1:$Z$1501,$J1449+1)&amp;"","Cheque deposit 支票存入 (buyer 买家)"))</f>
        <v/>
      </c>
      <c r="D1449">
        <f>IF($J1449="","",IF($J1449&lt;=1500,INDEX('Daily Sale entry '!$AA$1:$AA$1501,$J1449+1)&amp;"",INDEX('Daily Sale entry '!$P$1:$P$1501,$J1449-1499)&amp;""))</f>
        <v/>
      </c>
      <c r="E1449">
        <f>IF($J1449="","",IF($J1449&lt;=1500,IF(N(INDEX('Daily Sale entry '!$AB$1:$AB$1501,$J1449+1))=0,"",INDEX('Daily Sale entry '!$AB$1:$AB$1501,$J1449+1)),1))</f>
        <v/>
      </c>
      <c r="F1449" s="6">
        <f>IF($J1449="","",IF($J1449&lt;=1500,N(INDEX('Daily Sale entry '!$AC$1:$AC$1501,$J1449+1))-IF(AND('Opening Balance'!$B$15=1,INDEX('Daily Sale entry '!$Z$1:$Z$1501,$J1449+1)="Online collection 网上收款",INDEX('Daily Sale entry '!$AA$1:$AA$1501,$J1449+1)&lt;&gt;""),N(INDEX('Daily Sale entry '!$AC$1:$AC$1501,$J1449+1))-TRUNC(N(INDEX('Daily Sale entry '!$AC$1:$AC$1501,$J1449+1))),0),N(INDEX('Daily Sale entry '!$S$1:$S$1501,$J1449-1499))-'Opening Balance'!$B$15*(N(INDEX('Daily Sale entry '!$S$1:$S$1501,$J1449-1499))-TRUNC(N(INDEX('Daily Sale entry '!$S$1:$S$1501,$J1449-1499))))))</f>
        <v/>
      </c>
      <c r="G1449" s="6">
        <f>IF($J1449="","",IF($J1449&lt;=1500,N(INDEX('Daily Sale entry '!$AD$1:$AD$1501,$J1449+1)),0))</f>
        <v/>
      </c>
      <c r="H1449" s="6">
        <f>IF($J1449="","",ROUND('Opening Balance'!$B$4+SUM($F$2:F1449)-SUM($G$2:G1449),2))</f>
        <v/>
      </c>
      <c r="J1449" s="21">
        <f>IFERROR(MATCH(ROW()-1,$L$2:$L$3001,0),"")</f>
        <v/>
      </c>
      <c r="K1449" s="34">
        <f>IF(AND('Daily Sale entry '!X1449&lt;&gt;"",OR('Daily Sale entry '!AC1449&lt;&gt;"",'Daily Sale entry '!AD1449&lt;&gt;"")),'Daily Sale entry '!X1449+ROW()/10000000,"")</f>
        <v/>
      </c>
      <c r="L1449" s="21">
        <f>IF(K1449="","",COUNTIF($K$2:$K$3001,"&lt;"&amp;K1449)+1)</f>
        <v/>
      </c>
    </row>
    <row r="1450">
      <c r="A1450" s="5">
        <f>IF($J1450="","",IF($J1450&lt;=1500,INDEX('Daily Sale entry '!$X$1:$X$1501,$J1450+1),INDEX('Daily Sale entry '!$V$1:$V$1501,$J1450-1499)))</f>
        <v/>
      </c>
      <c r="B1450">
        <f>IF($J1450="","",IF($J1450&lt;=1500,INDEX('Daily Sale entry '!$Y$1:$Y$1501,$J1450+1)&amp;"","Buyer cheque banked 买家支票存入"&amp;IF(INDEX('Daily Sale entry '!$U$1:$U$1501,$J1450-1499)="","", " - "&amp;INDEX('Daily Sale entry '!$U$1:$U$1501,$J1450-1499))))</f>
        <v/>
      </c>
      <c r="C1450">
        <f>IF($J1450="","",IF($J1450&lt;=1500,INDEX('Daily Sale entry '!$Z$1:$Z$1501,$J1450+1)&amp;"","Cheque deposit 支票存入 (buyer 买家)"))</f>
        <v/>
      </c>
      <c r="D1450">
        <f>IF($J1450="","",IF($J1450&lt;=1500,INDEX('Daily Sale entry '!$AA$1:$AA$1501,$J1450+1)&amp;"",INDEX('Daily Sale entry '!$P$1:$P$1501,$J1450-1499)&amp;""))</f>
        <v/>
      </c>
      <c r="E1450">
        <f>IF($J1450="","",IF($J1450&lt;=1500,IF(N(INDEX('Daily Sale entry '!$AB$1:$AB$1501,$J1450+1))=0,"",INDEX('Daily Sale entry '!$AB$1:$AB$1501,$J1450+1)),1))</f>
        <v/>
      </c>
      <c r="F1450" s="6">
        <f>IF($J1450="","",IF($J1450&lt;=1500,N(INDEX('Daily Sale entry '!$AC$1:$AC$1501,$J1450+1))-IF(AND('Opening Balance'!$B$15=1,INDEX('Daily Sale entry '!$Z$1:$Z$1501,$J1450+1)="Online collection 网上收款",INDEX('Daily Sale entry '!$AA$1:$AA$1501,$J1450+1)&lt;&gt;""),N(INDEX('Daily Sale entry '!$AC$1:$AC$1501,$J1450+1))-TRUNC(N(INDEX('Daily Sale entry '!$AC$1:$AC$1501,$J1450+1))),0),N(INDEX('Daily Sale entry '!$S$1:$S$1501,$J1450-1499))-'Opening Balance'!$B$15*(N(INDEX('Daily Sale entry '!$S$1:$S$1501,$J1450-1499))-TRUNC(N(INDEX('Daily Sale entry '!$S$1:$S$1501,$J1450-1499))))))</f>
        <v/>
      </c>
      <c r="G1450" s="6">
        <f>IF($J1450="","",IF($J1450&lt;=1500,N(INDEX('Daily Sale entry '!$AD$1:$AD$1501,$J1450+1)),0))</f>
        <v/>
      </c>
      <c r="H1450" s="6">
        <f>IF($J1450="","",ROUND('Opening Balance'!$B$4+SUM($F$2:F1450)-SUM($G$2:G1450),2))</f>
        <v/>
      </c>
      <c r="J1450" s="21">
        <f>IFERROR(MATCH(ROW()-1,$L$2:$L$3001,0),"")</f>
        <v/>
      </c>
      <c r="K1450" s="34">
        <f>IF(AND('Daily Sale entry '!X1450&lt;&gt;"",OR('Daily Sale entry '!AC1450&lt;&gt;"",'Daily Sale entry '!AD1450&lt;&gt;"")),'Daily Sale entry '!X1450+ROW()/10000000,"")</f>
        <v/>
      </c>
      <c r="L1450" s="21">
        <f>IF(K1450="","",COUNTIF($K$2:$K$3001,"&lt;"&amp;K1450)+1)</f>
        <v/>
      </c>
    </row>
    <row r="1451">
      <c r="A1451" s="5">
        <f>IF($J1451="","",IF($J1451&lt;=1500,INDEX('Daily Sale entry '!$X$1:$X$1501,$J1451+1),INDEX('Daily Sale entry '!$V$1:$V$1501,$J1451-1499)))</f>
        <v/>
      </c>
      <c r="B1451">
        <f>IF($J1451="","",IF($J1451&lt;=1500,INDEX('Daily Sale entry '!$Y$1:$Y$1501,$J1451+1)&amp;"","Buyer cheque banked 买家支票存入"&amp;IF(INDEX('Daily Sale entry '!$U$1:$U$1501,$J1451-1499)="","", " - "&amp;INDEX('Daily Sale entry '!$U$1:$U$1501,$J1451-1499))))</f>
        <v/>
      </c>
      <c r="C1451">
        <f>IF($J1451="","",IF($J1451&lt;=1500,INDEX('Daily Sale entry '!$Z$1:$Z$1501,$J1451+1)&amp;"","Cheque deposit 支票存入 (buyer 买家)"))</f>
        <v/>
      </c>
      <c r="D1451">
        <f>IF($J1451="","",IF($J1451&lt;=1500,INDEX('Daily Sale entry '!$AA$1:$AA$1501,$J1451+1)&amp;"",INDEX('Daily Sale entry '!$P$1:$P$1501,$J1451-1499)&amp;""))</f>
        <v/>
      </c>
      <c r="E1451">
        <f>IF($J1451="","",IF($J1451&lt;=1500,IF(N(INDEX('Daily Sale entry '!$AB$1:$AB$1501,$J1451+1))=0,"",INDEX('Daily Sale entry '!$AB$1:$AB$1501,$J1451+1)),1))</f>
        <v/>
      </c>
      <c r="F1451" s="6">
        <f>IF($J1451="","",IF($J1451&lt;=1500,N(INDEX('Daily Sale entry '!$AC$1:$AC$1501,$J1451+1))-IF(AND('Opening Balance'!$B$15=1,INDEX('Daily Sale entry '!$Z$1:$Z$1501,$J1451+1)="Online collection 网上收款",INDEX('Daily Sale entry '!$AA$1:$AA$1501,$J1451+1)&lt;&gt;""),N(INDEX('Daily Sale entry '!$AC$1:$AC$1501,$J1451+1))-TRUNC(N(INDEX('Daily Sale entry '!$AC$1:$AC$1501,$J1451+1))),0),N(INDEX('Daily Sale entry '!$S$1:$S$1501,$J1451-1499))-'Opening Balance'!$B$15*(N(INDEX('Daily Sale entry '!$S$1:$S$1501,$J1451-1499))-TRUNC(N(INDEX('Daily Sale entry '!$S$1:$S$1501,$J1451-1499))))))</f>
        <v/>
      </c>
      <c r="G1451" s="6">
        <f>IF($J1451="","",IF($J1451&lt;=1500,N(INDEX('Daily Sale entry '!$AD$1:$AD$1501,$J1451+1)),0))</f>
        <v/>
      </c>
      <c r="H1451" s="6">
        <f>IF($J1451="","",ROUND('Opening Balance'!$B$4+SUM($F$2:F1451)-SUM($G$2:G1451),2))</f>
        <v/>
      </c>
      <c r="J1451" s="21">
        <f>IFERROR(MATCH(ROW()-1,$L$2:$L$3001,0),"")</f>
        <v/>
      </c>
      <c r="K1451" s="34">
        <f>IF(AND('Daily Sale entry '!X1451&lt;&gt;"",OR('Daily Sale entry '!AC1451&lt;&gt;"",'Daily Sale entry '!AD1451&lt;&gt;"")),'Daily Sale entry '!X1451+ROW()/10000000,"")</f>
        <v/>
      </c>
      <c r="L1451" s="21">
        <f>IF(K1451="","",COUNTIF($K$2:$K$3001,"&lt;"&amp;K1451)+1)</f>
        <v/>
      </c>
    </row>
    <row r="1452">
      <c r="A1452" s="5">
        <f>IF($J1452="","",IF($J1452&lt;=1500,INDEX('Daily Sale entry '!$X$1:$X$1501,$J1452+1),INDEX('Daily Sale entry '!$V$1:$V$1501,$J1452-1499)))</f>
        <v/>
      </c>
      <c r="B1452">
        <f>IF($J1452="","",IF($J1452&lt;=1500,INDEX('Daily Sale entry '!$Y$1:$Y$1501,$J1452+1)&amp;"","Buyer cheque banked 买家支票存入"&amp;IF(INDEX('Daily Sale entry '!$U$1:$U$1501,$J1452-1499)="","", " - "&amp;INDEX('Daily Sale entry '!$U$1:$U$1501,$J1452-1499))))</f>
        <v/>
      </c>
      <c r="C1452">
        <f>IF($J1452="","",IF($J1452&lt;=1500,INDEX('Daily Sale entry '!$Z$1:$Z$1501,$J1452+1)&amp;"","Cheque deposit 支票存入 (buyer 买家)"))</f>
        <v/>
      </c>
      <c r="D1452">
        <f>IF($J1452="","",IF($J1452&lt;=1500,INDEX('Daily Sale entry '!$AA$1:$AA$1501,$J1452+1)&amp;"",INDEX('Daily Sale entry '!$P$1:$P$1501,$J1452-1499)&amp;""))</f>
        <v/>
      </c>
      <c r="E1452">
        <f>IF($J1452="","",IF($J1452&lt;=1500,IF(N(INDEX('Daily Sale entry '!$AB$1:$AB$1501,$J1452+1))=0,"",INDEX('Daily Sale entry '!$AB$1:$AB$1501,$J1452+1)),1))</f>
        <v/>
      </c>
      <c r="F1452" s="6">
        <f>IF($J1452="","",IF($J1452&lt;=1500,N(INDEX('Daily Sale entry '!$AC$1:$AC$1501,$J1452+1))-IF(AND('Opening Balance'!$B$15=1,INDEX('Daily Sale entry '!$Z$1:$Z$1501,$J1452+1)="Online collection 网上收款",INDEX('Daily Sale entry '!$AA$1:$AA$1501,$J1452+1)&lt;&gt;""),N(INDEX('Daily Sale entry '!$AC$1:$AC$1501,$J1452+1))-TRUNC(N(INDEX('Daily Sale entry '!$AC$1:$AC$1501,$J1452+1))),0),N(INDEX('Daily Sale entry '!$S$1:$S$1501,$J1452-1499))-'Opening Balance'!$B$15*(N(INDEX('Daily Sale entry '!$S$1:$S$1501,$J1452-1499))-TRUNC(N(INDEX('Daily Sale entry '!$S$1:$S$1501,$J1452-1499))))))</f>
        <v/>
      </c>
      <c r="G1452" s="6">
        <f>IF($J1452="","",IF($J1452&lt;=1500,N(INDEX('Daily Sale entry '!$AD$1:$AD$1501,$J1452+1)),0))</f>
        <v/>
      </c>
      <c r="H1452" s="6">
        <f>IF($J1452="","",ROUND('Opening Balance'!$B$4+SUM($F$2:F1452)-SUM($G$2:G1452),2))</f>
        <v/>
      </c>
      <c r="J1452" s="21">
        <f>IFERROR(MATCH(ROW()-1,$L$2:$L$3001,0),"")</f>
        <v/>
      </c>
      <c r="K1452" s="34">
        <f>IF(AND('Daily Sale entry '!X1452&lt;&gt;"",OR('Daily Sale entry '!AC1452&lt;&gt;"",'Daily Sale entry '!AD1452&lt;&gt;"")),'Daily Sale entry '!X1452+ROW()/10000000,"")</f>
        <v/>
      </c>
      <c r="L1452" s="21">
        <f>IF(K1452="","",COUNTIF($K$2:$K$3001,"&lt;"&amp;K1452)+1)</f>
        <v/>
      </c>
    </row>
    <row r="1453">
      <c r="A1453" s="5">
        <f>IF($J1453="","",IF($J1453&lt;=1500,INDEX('Daily Sale entry '!$X$1:$X$1501,$J1453+1),INDEX('Daily Sale entry '!$V$1:$V$1501,$J1453-1499)))</f>
        <v/>
      </c>
      <c r="B1453">
        <f>IF($J1453="","",IF($J1453&lt;=1500,INDEX('Daily Sale entry '!$Y$1:$Y$1501,$J1453+1)&amp;"","Buyer cheque banked 买家支票存入"&amp;IF(INDEX('Daily Sale entry '!$U$1:$U$1501,$J1453-1499)="","", " - "&amp;INDEX('Daily Sale entry '!$U$1:$U$1501,$J1453-1499))))</f>
        <v/>
      </c>
      <c r="C1453">
        <f>IF($J1453="","",IF($J1453&lt;=1500,INDEX('Daily Sale entry '!$Z$1:$Z$1501,$J1453+1)&amp;"","Cheque deposit 支票存入 (buyer 买家)"))</f>
        <v/>
      </c>
      <c r="D1453">
        <f>IF($J1453="","",IF($J1453&lt;=1500,INDEX('Daily Sale entry '!$AA$1:$AA$1501,$J1453+1)&amp;"",INDEX('Daily Sale entry '!$P$1:$P$1501,$J1453-1499)&amp;""))</f>
        <v/>
      </c>
      <c r="E1453">
        <f>IF($J1453="","",IF($J1453&lt;=1500,IF(N(INDEX('Daily Sale entry '!$AB$1:$AB$1501,$J1453+1))=0,"",INDEX('Daily Sale entry '!$AB$1:$AB$1501,$J1453+1)),1))</f>
        <v/>
      </c>
      <c r="F1453" s="6">
        <f>IF($J1453="","",IF($J1453&lt;=1500,N(INDEX('Daily Sale entry '!$AC$1:$AC$1501,$J1453+1))-IF(AND('Opening Balance'!$B$15=1,INDEX('Daily Sale entry '!$Z$1:$Z$1501,$J1453+1)="Online collection 网上收款",INDEX('Daily Sale entry '!$AA$1:$AA$1501,$J1453+1)&lt;&gt;""),N(INDEX('Daily Sale entry '!$AC$1:$AC$1501,$J1453+1))-TRUNC(N(INDEX('Daily Sale entry '!$AC$1:$AC$1501,$J1453+1))),0),N(INDEX('Daily Sale entry '!$S$1:$S$1501,$J1453-1499))-'Opening Balance'!$B$15*(N(INDEX('Daily Sale entry '!$S$1:$S$1501,$J1453-1499))-TRUNC(N(INDEX('Daily Sale entry '!$S$1:$S$1501,$J1453-1499))))))</f>
        <v/>
      </c>
      <c r="G1453" s="6">
        <f>IF($J1453="","",IF($J1453&lt;=1500,N(INDEX('Daily Sale entry '!$AD$1:$AD$1501,$J1453+1)),0))</f>
        <v/>
      </c>
      <c r="H1453" s="6">
        <f>IF($J1453="","",ROUND('Opening Balance'!$B$4+SUM($F$2:F1453)-SUM($G$2:G1453),2))</f>
        <v/>
      </c>
      <c r="J1453" s="21">
        <f>IFERROR(MATCH(ROW()-1,$L$2:$L$3001,0),"")</f>
        <v/>
      </c>
      <c r="K1453" s="34">
        <f>IF(AND('Daily Sale entry '!X1453&lt;&gt;"",OR('Daily Sale entry '!AC1453&lt;&gt;"",'Daily Sale entry '!AD1453&lt;&gt;"")),'Daily Sale entry '!X1453+ROW()/10000000,"")</f>
        <v/>
      </c>
      <c r="L1453" s="21">
        <f>IF(K1453="","",COUNTIF($K$2:$K$3001,"&lt;"&amp;K1453)+1)</f>
        <v/>
      </c>
    </row>
    <row r="1454">
      <c r="A1454" s="5">
        <f>IF($J1454="","",IF($J1454&lt;=1500,INDEX('Daily Sale entry '!$X$1:$X$1501,$J1454+1),INDEX('Daily Sale entry '!$V$1:$V$1501,$J1454-1499)))</f>
        <v/>
      </c>
      <c r="B1454">
        <f>IF($J1454="","",IF($J1454&lt;=1500,INDEX('Daily Sale entry '!$Y$1:$Y$1501,$J1454+1)&amp;"","Buyer cheque banked 买家支票存入"&amp;IF(INDEX('Daily Sale entry '!$U$1:$U$1501,$J1454-1499)="","", " - "&amp;INDEX('Daily Sale entry '!$U$1:$U$1501,$J1454-1499))))</f>
        <v/>
      </c>
      <c r="C1454">
        <f>IF($J1454="","",IF($J1454&lt;=1500,INDEX('Daily Sale entry '!$Z$1:$Z$1501,$J1454+1)&amp;"","Cheque deposit 支票存入 (buyer 买家)"))</f>
        <v/>
      </c>
      <c r="D1454">
        <f>IF($J1454="","",IF($J1454&lt;=1500,INDEX('Daily Sale entry '!$AA$1:$AA$1501,$J1454+1)&amp;"",INDEX('Daily Sale entry '!$P$1:$P$1501,$J1454-1499)&amp;""))</f>
        <v/>
      </c>
      <c r="E1454">
        <f>IF($J1454="","",IF($J1454&lt;=1500,IF(N(INDEX('Daily Sale entry '!$AB$1:$AB$1501,$J1454+1))=0,"",INDEX('Daily Sale entry '!$AB$1:$AB$1501,$J1454+1)),1))</f>
        <v/>
      </c>
      <c r="F1454" s="6">
        <f>IF($J1454="","",IF($J1454&lt;=1500,N(INDEX('Daily Sale entry '!$AC$1:$AC$1501,$J1454+1))-IF(AND('Opening Balance'!$B$15=1,INDEX('Daily Sale entry '!$Z$1:$Z$1501,$J1454+1)="Online collection 网上收款",INDEX('Daily Sale entry '!$AA$1:$AA$1501,$J1454+1)&lt;&gt;""),N(INDEX('Daily Sale entry '!$AC$1:$AC$1501,$J1454+1))-TRUNC(N(INDEX('Daily Sale entry '!$AC$1:$AC$1501,$J1454+1))),0),N(INDEX('Daily Sale entry '!$S$1:$S$1501,$J1454-1499))-'Opening Balance'!$B$15*(N(INDEX('Daily Sale entry '!$S$1:$S$1501,$J1454-1499))-TRUNC(N(INDEX('Daily Sale entry '!$S$1:$S$1501,$J1454-1499))))))</f>
        <v/>
      </c>
      <c r="G1454" s="6">
        <f>IF($J1454="","",IF($J1454&lt;=1500,N(INDEX('Daily Sale entry '!$AD$1:$AD$1501,$J1454+1)),0))</f>
        <v/>
      </c>
      <c r="H1454" s="6">
        <f>IF($J1454="","",ROUND('Opening Balance'!$B$4+SUM($F$2:F1454)-SUM($G$2:G1454),2))</f>
        <v/>
      </c>
      <c r="J1454" s="21">
        <f>IFERROR(MATCH(ROW()-1,$L$2:$L$3001,0),"")</f>
        <v/>
      </c>
      <c r="K1454" s="34">
        <f>IF(AND('Daily Sale entry '!X1454&lt;&gt;"",OR('Daily Sale entry '!AC1454&lt;&gt;"",'Daily Sale entry '!AD1454&lt;&gt;"")),'Daily Sale entry '!X1454+ROW()/10000000,"")</f>
        <v/>
      </c>
      <c r="L1454" s="21">
        <f>IF(K1454="","",COUNTIF($K$2:$K$3001,"&lt;"&amp;K1454)+1)</f>
        <v/>
      </c>
    </row>
    <row r="1455">
      <c r="A1455" s="5">
        <f>IF($J1455="","",IF($J1455&lt;=1500,INDEX('Daily Sale entry '!$X$1:$X$1501,$J1455+1),INDEX('Daily Sale entry '!$V$1:$V$1501,$J1455-1499)))</f>
        <v/>
      </c>
      <c r="B1455">
        <f>IF($J1455="","",IF($J1455&lt;=1500,INDEX('Daily Sale entry '!$Y$1:$Y$1501,$J1455+1)&amp;"","Buyer cheque banked 买家支票存入"&amp;IF(INDEX('Daily Sale entry '!$U$1:$U$1501,$J1455-1499)="","", " - "&amp;INDEX('Daily Sale entry '!$U$1:$U$1501,$J1455-1499))))</f>
        <v/>
      </c>
      <c r="C1455">
        <f>IF($J1455="","",IF($J1455&lt;=1500,INDEX('Daily Sale entry '!$Z$1:$Z$1501,$J1455+1)&amp;"","Cheque deposit 支票存入 (buyer 买家)"))</f>
        <v/>
      </c>
      <c r="D1455">
        <f>IF($J1455="","",IF($J1455&lt;=1500,INDEX('Daily Sale entry '!$AA$1:$AA$1501,$J1455+1)&amp;"",INDEX('Daily Sale entry '!$P$1:$P$1501,$J1455-1499)&amp;""))</f>
        <v/>
      </c>
      <c r="E1455">
        <f>IF($J1455="","",IF($J1455&lt;=1500,IF(N(INDEX('Daily Sale entry '!$AB$1:$AB$1501,$J1455+1))=0,"",INDEX('Daily Sale entry '!$AB$1:$AB$1501,$J1455+1)),1))</f>
        <v/>
      </c>
      <c r="F1455" s="6">
        <f>IF($J1455="","",IF($J1455&lt;=1500,N(INDEX('Daily Sale entry '!$AC$1:$AC$1501,$J1455+1))-IF(AND('Opening Balance'!$B$15=1,INDEX('Daily Sale entry '!$Z$1:$Z$1501,$J1455+1)="Online collection 网上收款",INDEX('Daily Sale entry '!$AA$1:$AA$1501,$J1455+1)&lt;&gt;""),N(INDEX('Daily Sale entry '!$AC$1:$AC$1501,$J1455+1))-TRUNC(N(INDEX('Daily Sale entry '!$AC$1:$AC$1501,$J1455+1))),0),N(INDEX('Daily Sale entry '!$S$1:$S$1501,$J1455-1499))-'Opening Balance'!$B$15*(N(INDEX('Daily Sale entry '!$S$1:$S$1501,$J1455-1499))-TRUNC(N(INDEX('Daily Sale entry '!$S$1:$S$1501,$J1455-1499))))))</f>
        <v/>
      </c>
      <c r="G1455" s="6">
        <f>IF($J1455="","",IF($J1455&lt;=1500,N(INDEX('Daily Sale entry '!$AD$1:$AD$1501,$J1455+1)),0))</f>
        <v/>
      </c>
      <c r="H1455" s="6">
        <f>IF($J1455="","",ROUND('Opening Balance'!$B$4+SUM($F$2:F1455)-SUM($G$2:G1455),2))</f>
        <v/>
      </c>
      <c r="J1455" s="21">
        <f>IFERROR(MATCH(ROW()-1,$L$2:$L$3001,0),"")</f>
        <v/>
      </c>
      <c r="K1455" s="34">
        <f>IF(AND('Daily Sale entry '!X1455&lt;&gt;"",OR('Daily Sale entry '!AC1455&lt;&gt;"",'Daily Sale entry '!AD1455&lt;&gt;"")),'Daily Sale entry '!X1455+ROW()/10000000,"")</f>
        <v/>
      </c>
      <c r="L1455" s="21">
        <f>IF(K1455="","",COUNTIF($K$2:$K$3001,"&lt;"&amp;K1455)+1)</f>
        <v/>
      </c>
    </row>
    <row r="1456">
      <c r="A1456" s="5">
        <f>IF($J1456="","",IF($J1456&lt;=1500,INDEX('Daily Sale entry '!$X$1:$X$1501,$J1456+1),INDEX('Daily Sale entry '!$V$1:$V$1501,$J1456-1499)))</f>
        <v/>
      </c>
      <c r="B1456">
        <f>IF($J1456="","",IF($J1456&lt;=1500,INDEX('Daily Sale entry '!$Y$1:$Y$1501,$J1456+1)&amp;"","Buyer cheque banked 买家支票存入"&amp;IF(INDEX('Daily Sale entry '!$U$1:$U$1501,$J1456-1499)="","", " - "&amp;INDEX('Daily Sale entry '!$U$1:$U$1501,$J1456-1499))))</f>
        <v/>
      </c>
      <c r="C1456">
        <f>IF($J1456="","",IF($J1456&lt;=1500,INDEX('Daily Sale entry '!$Z$1:$Z$1501,$J1456+1)&amp;"","Cheque deposit 支票存入 (buyer 买家)"))</f>
        <v/>
      </c>
      <c r="D1456">
        <f>IF($J1456="","",IF($J1456&lt;=1500,INDEX('Daily Sale entry '!$AA$1:$AA$1501,$J1456+1)&amp;"",INDEX('Daily Sale entry '!$P$1:$P$1501,$J1456-1499)&amp;""))</f>
        <v/>
      </c>
      <c r="E1456">
        <f>IF($J1456="","",IF($J1456&lt;=1500,IF(N(INDEX('Daily Sale entry '!$AB$1:$AB$1501,$J1456+1))=0,"",INDEX('Daily Sale entry '!$AB$1:$AB$1501,$J1456+1)),1))</f>
        <v/>
      </c>
      <c r="F1456" s="6">
        <f>IF($J1456="","",IF($J1456&lt;=1500,N(INDEX('Daily Sale entry '!$AC$1:$AC$1501,$J1456+1))-IF(AND('Opening Balance'!$B$15=1,INDEX('Daily Sale entry '!$Z$1:$Z$1501,$J1456+1)="Online collection 网上收款",INDEX('Daily Sale entry '!$AA$1:$AA$1501,$J1456+1)&lt;&gt;""),N(INDEX('Daily Sale entry '!$AC$1:$AC$1501,$J1456+1))-TRUNC(N(INDEX('Daily Sale entry '!$AC$1:$AC$1501,$J1456+1))),0),N(INDEX('Daily Sale entry '!$S$1:$S$1501,$J1456-1499))-'Opening Balance'!$B$15*(N(INDEX('Daily Sale entry '!$S$1:$S$1501,$J1456-1499))-TRUNC(N(INDEX('Daily Sale entry '!$S$1:$S$1501,$J1456-1499))))))</f>
        <v/>
      </c>
      <c r="G1456" s="6">
        <f>IF($J1456="","",IF($J1456&lt;=1500,N(INDEX('Daily Sale entry '!$AD$1:$AD$1501,$J1456+1)),0))</f>
        <v/>
      </c>
      <c r="H1456" s="6">
        <f>IF($J1456="","",ROUND('Opening Balance'!$B$4+SUM($F$2:F1456)-SUM($G$2:G1456),2))</f>
        <v/>
      </c>
      <c r="J1456" s="21">
        <f>IFERROR(MATCH(ROW()-1,$L$2:$L$3001,0),"")</f>
        <v/>
      </c>
      <c r="K1456" s="34">
        <f>IF(AND('Daily Sale entry '!X1456&lt;&gt;"",OR('Daily Sale entry '!AC1456&lt;&gt;"",'Daily Sale entry '!AD1456&lt;&gt;"")),'Daily Sale entry '!X1456+ROW()/10000000,"")</f>
        <v/>
      </c>
      <c r="L1456" s="21">
        <f>IF(K1456="","",COUNTIF($K$2:$K$3001,"&lt;"&amp;K1456)+1)</f>
        <v/>
      </c>
    </row>
    <row r="1457">
      <c r="A1457" s="5">
        <f>IF($J1457="","",IF($J1457&lt;=1500,INDEX('Daily Sale entry '!$X$1:$X$1501,$J1457+1),INDEX('Daily Sale entry '!$V$1:$V$1501,$J1457-1499)))</f>
        <v/>
      </c>
      <c r="B1457">
        <f>IF($J1457="","",IF($J1457&lt;=1500,INDEX('Daily Sale entry '!$Y$1:$Y$1501,$J1457+1)&amp;"","Buyer cheque banked 买家支票存入"&amp;IF(INDEX('Daily Sale entry '!$U$1:$U$1501,$J1457-1499)="","", " - "&amp;INDEX('Daily Sale entry '!$U$1:$U$1501,$J1457-1499))))</f>
        <v/>
      </c>
      <c r="C1457">
        <f>IF($J1457="","",IF($J1457&lt;=1500,INDEX('Daily Sale entry '!$Z$1:$Z$1501,$J1457+1)&amp;"","Cheque deposit 支票存入 (buyer 买家)"))</f>
        <v/>
      </c>
      <c r="D1457">
        <f>IF($J1457="","",IF($J1457&lt;=1500,INDEX('Daily Sale entry '!$AA$1:$AA$1501,$J1457+1)&amp;"",INDEX('Daily Sale entry '!$P$1:$P$1501,$J1457-1499)&amp;""))</f>
        <v/>
      </c>
      <c r="E1457">
        <f>IF($J1457="","",IF($J1457&lt;=1500,IF(N(INDEX('Daily Sale entry '!$AB$1:$AB$1501,$J1457+1))=0,"",INDEX('Daily Sale entry '!$AB$1:$AB$1501,$J1457+1)),1))</f>
        <v/>
      </c>
      <c r="F1457" s="6">
        <f>IF($J1457="","",IF($J1457&lt;=1500,N(INDEX('Daily Sale entry '!$AC$1:$AC$1501,$J1457+1))-IF(AND('Opening Balance'!$B$15=1,INDEX('Daily Sale entry '!$Z$1:$Z$1501,$J1457+1)="Online collection 网上收款",INDEX('Daily Sale entry '!$AA$1:$AA$1501,$J1457+1)&lt;&gt;""),N(INDEX('Daily Sale entry '!$AC$1:$AC$1501,$J1457+1))-TRUNC(N(INDEX('Daily Sale entry '!$AC$1:$AC$1501,$J1457+1))),0),N(INDEX('Daily Sale entry '!$S$1:$S$1501,$J1457-1499))-'Opening Balance'!$B$15*(N(INDEX('Daily Sale entry '!$S$1:$S$1501,$J1457-1499))-TRUNC(N(INDEX('Daily Sale entry '!$S$1:$S$1501,$J1457-1499))))))</f>
        <v/>
      </c>
      <c r="G1457" s="6">
        <f>IF($J1457="","",IF($J1457&lt;=1500,N(INDEX('Daily Sale entry '!$AD$1:$AD$1501,$J1457+1)),0))</f>
        <v/>
      </c>
      <c r="H1457" s="6">
        <f>IF($J1457="","",ROUND('Opening Balance'!$B$4+SUM($F$2:F1457)-SUM($G$2:G1457),2))</f>
        <v/>
      </c>
      <c r="J1457" s="21">
        <f>IFERROR(MATCH(ROW()-1,$L$2:$L$3001,0),"")</f>
        <v/>
      </c>
      <c r="K1457" s="34">
        <f>IF(AND('Daily Sale entry '!X1457&lt;&gt;"",OR('Daily Sale entry '!AC1457&lt;&gt;"",'Daily Sale entry '!AD1457&lt;&gt;"")),'Daily Sale entry '!X1457+ROW()/10000000,"")</f>
        <v/>
      </c>
      <c r="L1457" s="21">
        <f>IF(K1457="","",COUNTIF($K$2:$K$3001,"&lt;"&amp;K1457)+1)</f>
        <v/>
      </c>
    </row>
    <row r="1458">
      <c r="A1458" s="5">
        <f>IF($J1458="","",IF($J1458&lt;=1500,INDEX('Daily Sale entry '!$X$1:$X$1501,$J1458+1),INDEX('Daily Sale entry '!$V$1:$V$1501,$J1458-1499)))</f>
        <v/>
      </c>
      <c r="B1458">
        <f>IF($J1458="","",IF($J1458&lt;=1500,INDEX('Daily Sale entry '!$Y$1:$Y$1501,$J1458+1)&amp;"","Buyer cheque banked 买家支票存入"&amp;IF(INDEX('Daily Sale entry '!$U$1:$U$1501,$J1458-1499)="","", " - "&amp;INDEX('Daily Sale entry '!$U$1:$U$1501,$J1458-1499))))</f>
        <v/>
      </c>
      <c r="C1458">
        <f>IF($J1458="","",IF($J1458&lt;=1500,INDEX('Daily Sale entry '!$Z$1:$Z$1501,$J1458+1)&amp;"","Cheque deposit 支票存入 (buyer 买家)"))</f>
        <v/>
      </c>
      <c r="D1458">
        <f>IF($J1458="","",IF($J1458&lt;=1500,INDEX('Daily Sale entry '!$AA$1:$AA$1501,$J1458+1)&amp;"",INDEX('Daily Sale entry '!$P$1:$P$1501,$J1458-1499)&amp;""))</f>
        <v/>
      </c>
      <c r="E1458">
        <f>IF($J1458="","",IF($J1458&lt;=1500,IF(N(INDEX('Daily Sale entry '!$AB$1:$AB$1501,$J1458+1))=0,"",INDEX('Daily Sale entry '!$AB$1:$AB$1501,$J1458+1)),1))</f>
        <v/>
      </c>
      <c r="F1458" s="6">
        <f>IF($J1458="","",IF($J1458&lt;=1500,N(INDEX('Daily Sale entry '!$AC$1:$AC$1501,$J1458+1))-IF(AND('Opening Balance'!$B$15=1,INDEX('Daily Sale entry '!$Z$1:$Z$1501,$J1458+1)="Online collection 网上收款",INDEX('Daily Sale entry '!$AA$1:$AA$1501,$J1458+1)&lt;&gt;""),N(INDEX('Daily Sale entry '!$AC$1:$AC$1501,$J1458+1))-TRUNC(N(INDEX('Daily Sale entry '!$AC$1:$AC$1501,$J1458+1))),0),N(INDEX('Daily Sale entry '!$S$1:$S$1501,$J1458-1499))-'Opening Balance'!$B$15*(N(INDEX('Daily Sale entry '!$S$1:$S$1501,$J1458-1499))-TRUNC(N(INDEX('Daily Sale entry '!$S$1:$S$1501,$J1458-1499))))))</f>
        <v/>
      </c>
      <c r="G1458" s="6">
        <f>IF($J1458="","",IF($J1458&lt;=1500,N(INDEX('Daily Sale entry '!$AD$1:$AD$1501,$J1458+1)),0))</f>
        <v/>
      </c>
      <c r="H1458" s="6">
        <f>IF($J1458="","",ROUND('Opening Balance'!$B$4+SUM($F$2:F1458)-SUM($G$2:G1458),2))</f>
        <v/>
      </c>
      <c r="J1458" s="21">
        <f>IFERROR(MATCH(ROW()-1,$L$2:$L$3001,0),"")</f>
        <v/>
      </c>
      <c r="K1458" s="34">
        <f>IF(AND('Daily Sale entry '!X1458&lt;&gt;"",OR('Daily Sale entry '!AC1458&lt;&gt;"",'Daily Sale entry '!AD1458&lt;&gt;"")),'Daily Sale entry '!X1458+ROW()/10000000,"")</f>
        <v/>
      </c>
      <c r="L1458" s="21">
        <f>IF(K1458="","",COUNTIF($K$2:$K$3001,"&lt;"&amp;K1458)+1)</f>
        <v/>
      </c>
    </row>
    <row r="1459">
      <c r="A1459" s="5">
        <f>IF($J1459="","",IF($J1459&lt;=1500,INDEX('Daily Sale entry '!$X$1:$X$1501,$J1459+1),INDEX('Daily Sale entry '!$V$1:$V$1501,$J1459-1499)))</f>
        <v/>
      </c>
      <c r="B1459">
        <f>IF($J1459="","",IF($J1459&lt;=1500,INDEX('Daily Sale entry '!$Y$1:$Y$1501,$J1459+1)&amp;"","Buyer cheque banked 买家支票存入"&amp;IF(INDEX('Daily Sale entry '!$U$1:$U$1501,$J1459-1499)="","", " - "&amp;INDEX('Daily Sale entry '!$U$1:$U$1501,$J1459-1499))))</f>
        <v/>
      </c>
      <c r="C1459">
        <f>IF($J1459="","",IF($J1459&lt;=1500,INDEX('Daily Sale entry '!$Z$1:$Z$1501,$J1459+1)&amp;"","Cheque deposit 支票存入 (buyer 买家)"))</f>
        <v/>
      </c>
      <c r="D1459">
        <f>IF($J1459="","",IF($J1459&lt;=1500,INDEX('Daily Sale entry '!$AA$1:$AA$1501,$J1459+1)&amp;"",INDEX('Daily Sale entry '!$P$1:$P$1501,$J1459-1499)&amp;""))</f>
        <v/>
      </c>
      <c r="E1459">
        <f>IF($J1459="","",IF($J1459&lt;=1500,IF(N(INDEX('Daily Sale entry '!$AB$1:$AB$1501,$J1459+1))=0,"",INDEX('Daily Sale entry '!$AB$1:$AB$1501,$J1459+1)),1))</f>
        <v/>
      </c>
      <c r="F1459" s="6">
        <f>IF($J1459="","",IF($J1459&lt;=1500,N(INDEX('Daily Sale entry '!$AC$1:$AC$1501,$J1459+1))-IF(AND('Opening Balance'!$B$15=1,INDEX('Daily Sale entry '!$Z$1:$Z$1501,$J1459+1)="Online collection 网上收款",INDEX('Daily Sale entry '!$AA$1:$AA$1501,$J1459+1)&lt;&gt;""),N(INDEX('Daily Sale entry '!$AC$1:$AC$1501,$J1459+1))-TRUNC(N(INDEX('Daily Sale entry '!$AC$1:$AC$1501,$J1459+1))),0),N(INDEX('Daily Sale entry '!$S$1:$S$1501,$J1459-1499))-'Opening Balance'!$B$15*(N(INDEX('Daily Sale entry '!$S$1:$S$1501,$J1459-1499))-TRUNC(N(INDEX('Daily Sale entry '!$S$1:$S$1501,$J1459-1499))))))</f>
        <v/>
      </c>
      <c r="G1459" s="6">
        <f>IF($J1459="","",IF($J1459&lt;=1500,N(INDEX('Daily Sale entry '!$AD$1:$AD$1501,$J1459+1)),0))</f>
        <v/>
      </c>
      <c r="H1459" s="6">
        <f>IF($J1459="","",ROUND('Opening Balance'!$B$4+SUM($F$2:F1459)-SUM($G$2:G1459),2))</f>
        <v/>
      </c>
      <c r="J1459" s="21">
        <f>IFERROR(MATCH(ROW()-1,$L$2:$L$3001,0),"")</f>
        <v/>
      </c>
      <c r="K1459" s="34">
        <f>IF(AND('Daily Sale entry '!X1459&lt;&gt;"",OR('Daily Sale entry '!AC1459&lt;&gt;"",'Daily Sale entry '!AD1459&lt;&gt;"")),'Daily Sale entry '!X1459+ROW()/10000000,"")</f>
        <v/>
      </c>
      <c r="L1459" s="21">
        <f>IF(K1459="","",COUNTIF($K$2:$K$3001,"&lt;"&amp;K1459)+1)</f>
        <v/>
      </c>
    </row>
    <row r="1460">
      <c r="A1460" s="5">
        <f>IF($J1460="","",IF($J1460&lt;=1500,INDEX('Daily Sale entry '!$X$1:$X$1501,$J1460+1),INDEX('Daily Sale entry '!$V$1:$V$1501,$J1460-1499)))</f>
        <v/>
      </c>
      <c r="B1460">
        <f>IF($J1460="","",IF($J1460&lt;=1500,INDEX('Daily Sale entry '!$Y$1:$Y$1501,$J1460+1)&amp;"","Buyer cheque banked 买家支票存入"&amp;IF(INDEX('Daily Sale entry '!$U$1:$U$1501,$J1460-1499)="","", " - "&amp;INDEX('Daily Sale entry '!$U$1:$U$1501,$J1460-1499))))</f>
        <v/>
      </c>
      <c r="C1460">
        <f>IF($J1460="","",IF($J1460&lt;=1500,INDEX('Daily Sale entry '!$Z$1:$Z$1501,$J1460+1)&amp;"","Cheque deposit 支票存入 (buyer 买家)"))</f>
        <v/>
      </c>
      <c r="D1460">
        <f>IF($J1460="","",IF($J1460&lt;=1500,INDEX('Daily Sale entry '!$AA$1:$AA$1501,$J1460+1)&amp;"",INDEX('Daily Sale entry '!$P$1:$P$1501,$J1460-1499)&amp;""))</f>
        <v/>
      </c>
      <c r="E1460">
        <f>IF($J1460="","",IF($J1460&lt;=1500,IF(N(INDEX('Daily Sale entry '!$AB$1:$AB$1501,$J1460+1))=0,"",INDEX('Daily Sale entry '!$AB$1:$AB$1501,$J1460+1)),1))</f>
        <v/>
      </c>
      <c r="F1460" s="6">
        <f>IF($J1460="","",IF($J1460&lt;=1500,N(INDEX('Daily Sale entry '!$AC$1:$AC$1501,$J1460+1))-IF(AND('Opening Balance'!$B$15=1,INDEX('Daily Sale entry '!$Z$1:$Z$1501,$J1460+1)="Online collection 网上收款",INDEX('Daily Sale entry '!$AA$1:$AA$1501,$J1460+1)&lt;&gt;""),N(INDEX('Daily Sale entry '!$AC$1:$AC$1501,$J1460+1))-TRUNC(N(INDEX('Daily Sale entry '!$AC$1:$AC$1501,$J1460+1))),0),N(INDEX('Daily Sale entry '!$S$1:$S$1501,$J1460-1499))-'Opening Balance'!$B$15*(N(INDEX('Daily Sale entry '!$S$1:$S$1501,$J1460-1499))-TRUNC(N(INDEX('Daily Sale entry '!$S$1:$S$1501,$J1460-1499))))))</f>
        <v/>
      </c>
      <c r="G1460" s="6">
        <f>IF($J1460="","",IF($J1460&lt;=1500,N(INDEX('Daily Sale entry '!$AD$1:$AD$1501,$J1460+1)),0))</f>
        <v/>
      </c>
      <c r="H1460" s="6">
        <f>IF($J1460="","",ROUND('Opening Balance'!$B$4+SUM($F$2:F1460)-SUM($G$2:G1460),2))</f>
        <v/>
      </c>
      <c r="J1460" s="21">
        <f>IFERROR(MATCH(ROW()-1,$L$2:$L$3001,0),"")</f>
        <v/>
      </c>
      <c r="K1460" s="34">
        <f>IF(AND('Daily Sale entry '!X1460&lt;&gt;"",OR('Daily Sale entry '!AC1460&lt;&gt;"",'Daily Sale entry '!AD1460&lt;&gt;"")),'Daily Sale entry '!X1460+ROW()/10000000,"")</f>
        <v/>
      </c>
      <c r="L1460" s="21">
        <f>IF(K1460="","",COUNTIF($K$2:$K$3001,"&lt;"&amp;K1460)+1)</f>
        <v/>
      </c>
    </row>
    <row r="1461">
      <c r="A1461" s="5">
        <f>IF($J1461="","",IF($J1461&lt;=1500,INDEX('Daily Sale entry '!$X$1:$X$1501,$J1461+1),INDEX('Daily Sale entry '!$V$1:$V$1501,$J1461-1499)))</f>
        <v/>
      </c>
      <c r="B1461">
        <f>IF($J1461="","",IF($J1461&lt;=1500,INDEX('Daily Sale entry '!$Y$1:$Y$1501,$J1461+1)&amp;"","Buyer cheque banked 买家支票存入"&amp;IF(INDEX('Daily Sale entry '!$U$1:$U$1501,$J1461-1499)="","", " - "&amp;INDEX('Daily Sale entry '!$U$1:$U$1501,$J1461-1499))))</f>
        <v/>
      </c>
      <c r="C1461">
        <f>IF($J1461="","",IF($J1461&lt;=1500,INDEX('Daily Sale entry '!$Z$1:$Z$1501,$J1461+1)&amp;"","Cheque deposit 支票存入 (buyer 买家)"))</f>
        <v/>
      </c>
      <c r="D1461">
        <f>IF($J1461="","",IF($J1461&lt;=1500,INDEX('Daily Sale entry '!$AA$1:$AA$1501,$J1461+1)&amp;"",INDEX('Daily Sale entry '!$P$1:$P$1501,$J1461-1499)&amp;""))</f>
        <v/>
      </c>
      <c r="E1461">
        <f>IF($J1461="","",IF($J1461&lt;=1500,IF(N(INDEX('Daily Sale entry '!$AB$1:$AB$1501,$J1461+1))=0,"",INDEX('Daily Sale entry '!$AB$1:$AB$1501,$J1461+1)),1))</f>
        <v/>
      </c>
      <c r="F1461" s="6">
        <f>IF($J1461="","",IF($J1461&lt;=1500,N(INDEX('Daily Sale entry '!$AC$1:$AC$1501,$J1461+1))-IF(AND('Opening Balance'!$B$15=1,INDEX('Daily Sale entry '!$Z$1:$Z$1501,$J1461+1)="Online collection 网上收款",INDEX('Daily Sale entry '!$AA$1:$AA$1501,$J1461+1)&lt;&gt;""),N(INDEX('Daily Sale entry '!$AC$1:$AC$1501,$J1461+1))-TRUNC(N(INDEX('Daily Sale entry '!$AC$1:$AC$1501,$J1461+1))),0),N(INDEX('Daily Sale entry '!$S$1:$S$1501,$J1461-1499))-'Opening Balance'!$B$15*(N(INDEX('Daily Sale entry '!$S$1:$S$1501,$J1461-1499))-TRUNC(N(INDEX('Daily Sale entry '!$S$1:$S$1501,$J1461-1499))))))</f>
        <v/>
      </c>
      <c r="G1461" s="6">
        <f>IF($J1461="","",IF($J1461&lt;=1500,N(INDEX('Daily Sale entry '!$AD$1:$AD$1501,$J1461+1)),0))</f>
        <v/>
      </c>
      <c r="H1461" s="6">
        <f>IF($J1461="","",ROUND('Opening Balance'!$B$4+SUM($F$2:F1461)-SUM($G$2:G1461),2))</f>
        <v/>
      </c>
      <c r="J1461" s="21">
        <f>IFERROR(MATCH(ROW()-1,$L$2:$L$3001,0),"")</f>
        <v/>
      </c>
      <c r="K1461" s="34">
        <f>IF(AND('Daily Sale entry '!X1461&lt;&gt;"",OR('Daily Sale entry '!AC1461&lt;&gt;"",'Daily Sale entry '!AD1461&lt;&gt;"")),'Daily Sale entry '!X1461+ROW()/10000000,"")</f>
        <v/>
      </c>
      <c r="L1461" s="21">
        <f>IF(K1461="","",COUNTIF($K$2:$K$3001,"&lt;"&amp;K1461)+1)</f>
        <v/>
      </c>
    </row>
    <row r="1462">
      <c r="A1462" s="5">
        <f>IF($J1462="","",IF($J1462&lt;=1500,INDEX('Daily Sale entry '!$X$1:$X$1501,$J1462+1),INDEX('Daily Sale entry '!$V$1:$V$1501,$J1462-1499)))</f>
        <v/>
      </c>
      <c r="B1462">
        <f>IF($J1462="","",IF($J1462&lt;=1500,INDEX('Daily Sale entry '!$Y$1:$Y$1501,$J1462+1)&amp;"","Buyer cheque banked 买家支票存入"&amp;IF(INDEX('Daily Sale entry '!$U$1:$U$1501,$J1462-1499)="","", " - "&amp;INDEX('Daily Sale entry '!$U$1:$U$1501,$J1462-1499))))</f>
        <v/>
      </c>
      <c r="C1462">
        <f>IF($J1462="","",IF($J1462&lt;=1500,INDEX('Daily Sale entry '!$Z$1:$Z$1501,$J1462+1)&amp;"","Cheque deposit 支票存入 (buyer 买家)"))</f>
        <v/>
      </c>
      <c r="D1462">
        <f>IF($J1462="","",IF($J1462&lt;=1500,INDEX('Daily Sale entry '!$AA$1:$AA$1501,$J1462+1)&amp;"",INDEX('Daily Sale entry '!$P$1:$P$1501,$J1462-1499)&amp;""))</f>
        <v/>
      </c>
      <c r="E1462">
        <f>IF($J1462="","",IF($J1462&lt;=1500,IF(N(INDEX('Daily Sale entry '!$AB$1:$AB$1501,$J1462+1))=0,"",INDEX('Daily Sale entry '!$AB$1:$AB$1501,$J1462+1)),1))</f>
        <v/>
      </c>
      <c r="F1462" s="6">
        <f>IF($J1462="","",IF($J1462&lt;=1500,N(INDEX('Daily Sale entry '!$AC$1:$AC$1501,$J1462+1))-IF(AND('Opening Balance'!$B$15=1,INDEX('Daily Sale entry '!$Z$1:$Z$1501,$J1462+1)="Online collection 网上收款",INDEX('Daily Sale entry '!$AA$1:$AA$1501,$J1462+1)&lt;&gt;""),N(INDEX('Daily Sale entry '!$AC$1:$AC$1501,$J1462+1))-TRUNC(N(INDEX('Daily Sale entry '!$AC$1:$AC$1501,$J1462+1))),0),N(INDEX('Daily Sale entry '!$S$1:$S$1501,$J1462-1499))-'Opening Balance'!$B$15*(N(INDEX('Daily Sale entry '!$S$1:$S$1501,$J1462-1499))-TRUNC(N(INDEX('Daily Sale entry '!$S$1:$S$1501,$J1462-1499))))))</f>
        <v/>
      </c>
      <c r="G1462" s="6">
        <f>IF($J1462="","",IF($J1462&lt;=1500,N(INDEX('Daily Sale entry '!$AD$1:$AD$1501,$J1462+1)),0))</f>
        <v/>
      </c>
      <c r="H1462" s="6">
        <f>IF($J1462="","",ROUND('Opening Balance'!$B$4+SUM($F$2:F1462)-SUM($G$2:G1462),2))</f>
        <v/>
      </c>
      <c r="J1462" s="21">
        <f>IFERROR(MATCH(ROW()-1,$L$2:$L$3001,0),"")</f>
        <v/>
      </c>
      <c r="K1462" s="34">
        <f>IF(AND('Daily Sale entry '!X1462&lt;&gt;"",OR('Daily Sale entry '!AC1462&lt;&gt;"",'Daily Sale entry '!AD1462&lt;&gt;"")),'Daily Sale entry '!X1462+ROW()/10000000,"")</f>
        <v/>
      </c>
      <c r="L1462" s="21">
        <f>IF(K1462="","",COUNTIF($K$2:$K$3001,"&lt;"&amp;K1462)+1)</f>
        <v/>
      </c>
    </row>
    <row r="1463">
      <c r="A1463" s="5">
        <f>IF($J1463="","",IF($J1463&lt;=1500,INDEX('Daily Sale entry '!$X$1:$X$1501,$J1463+1),INDEX('Daily Sale entry '!$V$1:$V$1501,$J1463-1499)))</f>
        <v/>
      </c>
      <c r="B1463">
        <f>IF($J1463="","",IF($J1463&lt;=1500,INDEX('Daily Sale entry '!$Y$1:$Y$1501,$J1463+1)&amp;"","Buyer cheque banked 买家支票存入"&amp;IF(INDEX('Daily Sale entry '!$U$1:$U$1501,$J1463-1499)="","", " - "&amp;INDEX('Daily Sale entry '!$U$1:$U$1501,$J1463-1499))))</f>
        <v/>
      </c>
      <c r="C1463">
        <f>IF($J1463="","",IF($J1463&lt;=1500,INDEX('Daily Sale entry '!$Z$1:$Z$1501,$J1463+1)&amp;"","Cheque deposit 支票存入 (buyer 买家)"))</f>
        <v/>
      </c>
      <c r="D1463">
        <f>IF($J1463="","",IF($J1463&lt;=1500,INDEX('Daily Sale entry '!$AA$1:$AA$1501,$J1463+1)&amp;"",INDEX('Daily Sale entry '!$P$1:$P$1501,$J1463-1499)&amp;""))</f>
        <v/>
      </c>
      <c r="E1463">
        <f>IF($J1463="","",IF($J1463&lt;=1500,IF(N(INDEX('Daily Sale entry '!$AB$1:$AB$1501,$J1463+1))=0,"",INDEX('Daily Sale entry '!$AB$1:$AB$1501,$J1463+1)),1))</f>
        <v/>
      </c>
      <c r="F1463" s="6">
        <f>IF($J1463="","",IF($J1463&lt;=1500,N(INDEX('Daily Sale entry '!$AC$1:$AC$1501,$J1463+1))-IF(AND('Opening Balance'!$B$15=1,INDEX('Daily Sale entry '!$Z$1:$Z$1501,$J1463+1)="Online collection 网上收款",INDEX('Daily Sale entry '!$AA$1:$AA$1501,$J1463+1)&lt;&gt;""),N(INDEX('Daily Sale entry '!$AC$1:$AC$1501,$J1463+1))-TRUNC(N(INDEX('Daily Sale entry '!$AC$1:$AC$1501,$J1463+1))),0),N(INDEX('Daily Sale entry '!$S$1:$S$1501,$J1463-1499))-'Opening Balance'!$B$15*(N(INDEX('Daily Sale entry '!$S$1:$S$1501,$J1463-1499))-TRUNC(N(INDEX('Daily Sale entry '!$S$1:$S$1501,$J1463-1499))))))</f>
        <v/>
      </c>
      <c r="G1463" s="6">
        <f>IF($J1463="","",IF($J1463&lt;=1500,N(INDEX('Daily Sale entry '!$AD$1:$AD$1501,$J1463+1)),0))</f>
        <v/>
      </c>
      <c r="H1463" s="6">
        <f>IF($J1463="","",ROUND('Opening Balance'!$B$4+SUM($F$2:F1463)-SUM($G$2:G1463),2))</f>
        <v/>
      </c>
      <c r="J1463" s="21">
        <f>IFERROR(MATCH(ROW()-1,$L$2:$L$3001,0),"")</f>
        <v/>
      </c>
      <c r="K1463" s="34">
        <f>IF(AND('Daily Sale entry '!X1463&lt;&gt;"",OR('Daily Sale entry '!AC1463&lt;&gt;"",'Daily Sale entry '!AD1463&lt;&gt;"")),'Daily Sale entry '!X1463+ROW()/10000000,"")</f>
        <v/>
      </c>
      <c r="L1463" s="21">
        <f>IF(K1463="","",COUNTIF($K$2:$K$3001,"&lt;"&amp;K1463)+1)</f>
        <v/>
      </c>
    </row>
    <row r="1464">
      <c r="A1464" s="5">
        <f>IF($J1464="","",IF($J1464&lt;=1500,INDEX('Daily Sale entry '!$X$1:$X$1501,$J1464+1),INDEX('Daily Sale entry '!$V$1:$V$1501,$J1464-1499)))</f>
        <v/>
      </c>
      <c r="B1464">
        <f>IF($J1464="","",IF($J1464&lt;=1500,INDEX('Daily Sale entry '!$Y$1:$Y$1501,$J1464+1)&amp;"","Buyer cheque banked 买家支票存入"&amp;IF(INDEX('Daily Sale entry '!$U$1:$U$1501,$J1464-1499)="","", " - "&amp;INDEX('Daily Sale entry '!$U$1:$U$1501,$J1464-1499))))</f>
        <v/>
      </c>
      <c r="C1464">
        <f>IF($J1464="","",IF($J1464&lt;=1500,INDEX('Daily Sale entry '!$Z$1:$Z$1501,$J1464+1)&amp;"","Cheque deposit 支票存入 (buyer 买家)"))</f>
        <v/>
      </c>
      <c r="D1464">
        <f>IF($J1464="","",IF($J1464&lt;=1500,INDEX('Daily Sale entry '!$AA$1:$AA$1501,$J1464+1)&amp;"",INDEX('Daily Sale entry '!$P$1:$P$1501,$J1464-1499)&amp;""))</f>
        <v/>
      </c>
      <c r="E1464">
        <f>IF($J1464="","",IF($J1464&lt;=1500,IF(N(INDEX('Daily Sale entry '!$AB$1:$AB$1501,$J1464+1))=0,"",INDEX('Daily Sale entry '!$AB$1:$AB$1501,$J1464+1)),1))</f>
        <v/>
      </c>
      <c r="F1464" s="6">
        <f>IF($J1464="","",IF($J1464&lt;=1500,N(INDEX('Daily Sale entry '!$AC$1:$AC$1501,$J1464+1))-IF(AND('Opening Balance'!$B$15=1,INDEX('Daily Sale entry '!$Z$1:$Z$1501,$J1464+1)="Online collection 网上收款",INDEX('Daily Sale entry '!$AA$1:$AA$1501,$J1464+1)&lt;&gt;""),N(INDEX('Daily Sale entry '!$AC$1:$AC$1501,$J1464+1))-TRUNC(N(INDEX('Daily Sale entry '!$AC$1:$AC$1501,$J1464+1))),0),N(INDEX('Daily Sale entry '!$S$1:$S$1501,$J1464-1499))-'Opening Balance'!$B$15*(N(INDEX('Daily Sale entry '!$S$1:$S$1501,$J1464-1499))-TRUNC(N(INDEX('Daily Sale entry '!$S$1:$S$1501,$J1464-1499))))))</f>
        <v/>
      </c>
      <c r="G1464" s="6">
        <f>IF($J1464="","",IF($J1464&lt;=1500,N(INDEX('Daily Sale entry '!$AD$1:$AD$1501,$J1464+1)),0))</f>
        <v/>
      </c>
      <c r="H1464" s="6">
        <f>IF($J1464="","",ROUND('Opening Balance'!$B$4+SUM($F$2:F1464)-SUM($G$2:G1464),2))</f>
        <v/>
      </c>
      <c r="J1464" s="21">
        <f>IFERROR(MATCH(ROW()-1,$L$2:$L$3001,0),"")</f>
        <v/>
      </c>
      <c r="K1464" s="34">
        <f>IF(AND('Daily Sale entry '!X1464&lt;&gt;"",OR('Daily Sale entry '!AC1464&lt;&gt;"",'Daily Sale entry '!AD1464&lt;&gt;"")),'Daily Sale entry '!X1464+ROW()/10000000,"")</f>
        <v/>
      </c>
      <c r="L1464" s="21">
        <f>IF(K1464="","",COUNTIF($K$2:$K$3001,"&lt;"&amp;K1464)+1)</f>
        <v/>
      </c>
    </row>
    <row r="1465">
      <c r="A1465" s="5">
        <f>IF($J1465="","",IF($J1465&lt;=1500,INDEX('Daily Sale entry '!$X$1:$X$1501,$J1465+1),INDEX('Daily Sale entry '!$V$1:$V$1501,$J1465-1499)))</f>
        <v/>
      </c>
      <c r="B1465">
        <f>IF($J1465="","",IF($J1465&lt;=1500,INDEX('Daily Sale entry '!$Y$1:$Y$1501,$J1465+1)&amp;"","Buyer cheque banked 买家支票存入"&amp;IF(INDEX('Daily Sale entry '!$U$1:$U$1501,$J1465-1499)="","", " - "&amp;INDEX('Daily Sale entry '!$U$1:$U$1501,$J1465-1499))))</f>
        <v/>
      </c>
      <c r="C1465">
        <f>IF($J1465="","",IF($J1465&lt;=1500,INDEX('Daily Sale entry '!$Z$1:$Z$1501,$J1465+1)&amp;"","Cheque deposit 支票存入 (buyer 买家)"))</f>
        <v/>
      </c>
      <c r="D1465">
        <f>IF($J1465="","",IF($J1465&lt;=1500,INDEX('Daily Sale entry '!$AA$1:$AA$1501,$J1465+1)&amp;"",INDEX('Daily Sale entry '!$P$1:$P$1501,$J1465-1499)&amp;""))</f>
        <v/>
      </c>
      <c r="E1465">
        <f>IF($J1465="","",IF($J1465&lt;=1500,IF(N(INDEX('Daily Sale entry '!$AB$1:$AB$1501,$J1465+1))=0,"",INDEX('Daily Sale entry '!$AB$1:$AB$1501,$J1465+1)),1))</f>
        <v/>
      </c>
      <c r="F1465" s="6">
        <f>IF($J1465="","",IF($J1465&lt;=1500,N(INDEX('Daily Sale entry '!$AC$1:$AC$1501,$J1465+1))-IF(AND('Opening Balance'!$B$15=1,INDEX('Daily Sale entry '!$Z$1:$Z$1501,$J1465+1)="Online collection 网上收款",INDEX('Daily Sale entry '!$AA$1:$AA$1501,$J1465+1)&lt;&gt;""),N(INDEX('Daily Sale entry '!$AC$1:$AC$1501,$J1465+1))-TRUNC(N(INDEX('Daily Sale entry '!$AC$1:$AC$1501,$J1465+1))),0),N(INDEX('Daily Sale entry '!$S$1:$S$1501,$J1465-1499))-'Opening Balance'!$B$15*(N(INDEX('Daily Sale entry '!$S$1:$S$1501,$J1465-1499))-TRUNC(N(INDEX('Daily Sale entry '!$S$1:$S$1501,$J1465-1499))))))</f>
        <v/>
      </c>
      <c r="G1465" s="6">
        <f>IF($J1465="","",IF($J1465&lt;=1500,N(INDEX('Daily Sale entry '!$AD$1:$AD$1501,$J1465+1)),0))</f>
        <v/>
      </c>
      <c r="H1465" s="6">
        <f>IF($J1465="","",ROUND('Opening Balance'!$B$4+SUM($F$2:F1465)-SUM($G$2:G1465),2))</f>
        <v/>
      </c>
      <c r="J1465" s="21">
        <f>IFERROR(MATCH(ROW()-1,$L$2:$L$3001,0),"")</f>
        <v/>
      </c>
      <c r="K1465" s="34">
        <f>IF(AND('Daily Sale entry '!X1465&lt;&gt;"",OR('Daily Sale entry '!AC1465&lt;&gt;"",'Daily Sale entry '!AD1465&lt;&gt;"")),'Daily Sale entry '!X1465+ROW()/10000000,"")</f>
        <v/>
      </c>
      <c r="L1465" s="21">
        <f>IF(K1465="","",COUNTIF($K$2:$K$3001,"&lt;"&amp;K1465)+1)</f>
        <v/>
      </c>
    </row>
    <row r="1466">
      <c r="A1466" s="5">
        <f>IF($J1466="","",IF($J1466&lt;=1500,INDEX('Daily Sale entry '!$X$1:$X$1501,$J1466+1),INDEX('Daily Sale entry '!$V$1:$V$1501,$J1466-1499)))</f>
        <v/>
      </c>
      <c r="B1466">
        <f>IF($J1466="","",IF($J1466&lt;=1500,INDEX('Daily Sale entry '!$Y$1:$Y$1501,$J1466+1)&amp;"","Buyer cheque banked 买家支票存入"&amp;IF(INDEX('Daily Sale entry '!$U$1:$U$1501,$J1466-1499)="","", " - "&amp;INDEX('Daily Sale entry '!$U$1:$U$1501,$J1466-1499))))</f>
        <v/>
      </c>
      <c r="C1466">
        <f>IF($J1466="","",IF($J1466&lt;=1500,INDEX('Daily Sale entry '!$Z$1:$Z$1501,$J1466+1)&amp;"","Cheque deposit 支票存入 (buyer 买家)"))</f>
        <v/>
      </c>
      <c r="D1466">
        <f>IF($J1466="","",IF($J1466&lt;=1500,INDEX('Daily Sale entry '!$AA$1:$AA$1501,$J1466+1)&amp;"",INDEX('Daily Sale entry '!$P$1:$P$1501,$J1466-1499)&amp;""))</f>
        <v/>
      </c>
      <c r="E1466">
        <f>IF($J1466="","",IF($J1466&lt;=1500,IF(N(INDEX('Daily Sale entry '!$AB$1:$AB$1501,$J1466+1))=0,"",INDEX('Daily Sale entry '!$AB$1:$AB$1501,$J1466+1)),1))</f>
        <v/>
      </c>
      <c r="F1466" s="6">
        <f>IF($J1466="","",IF($J1466&lt;=1500,N(INDEX('Daily Sale entry '!$AC$1:$AC$1501,$J1466+1))-IF(AND('Opening Balance'!$B$15=1,INDEX('Daily Sale entry '!$Z$1:$Z$1501,$J1466+1)="Online collection 网上收款",INDEX('Daily Sale entry '!$AA$1:$AA$1501,$J1466+1)&lt;&gt;""),N(INDEX('Daily Sale entry '!$AC$1:$AC$1501,$J1466+1))-TRUNC(N(INDEX('Daily Sale entry '!$AC$1:$AC$1501,$J1466+1))),0),N(INDEX('Daily Sale entry '!$S$1:$S$1501,$J1466-1499))-'Opening Balance'!$B$15*(N(INDEX('Daily Sale entry '!$S$1:$S$1501,$J1466-1499))-TRUNC(N(INDEX('Daily Sale entry '!$S$1:$S$1501,$J1466-1499))))))</f>
        <v/>
      </c>
      <c r="G1466" s="6">
        <f>IF($J1466="","",IF($J1466&lt;=1500,N(INDEX('Daily Sale entry '!$AD$1:$AD$1501,$J1466+1)),0))</f>
        <v/>
      </c>
      <c r="H1466" s="6">
        <f>IF($J1466="","",ROUND('Opening Balance'!$B$4+SUM($F$2:F1466)-SUM($G$2:G1466),2))</f>
        <v/>
      </c>
      <c r="J1466" s="21">
        <f>IFERROR(MATCH(ROW()-1,$L$2:$L$3001,0),"")</f>
        <v/>
      </c>
      <c r="K1466" s="34">
        <f>IF(AND('Daily Sale entry '!X1466&lt;&gt;"",OR('Daily Sale entry '!AC1466&lt;&gt;"",'Daily Sale entry '!AD1466&lt;&gt;"")),'Daily Sale entry '!X1466+ROW()/10000000,"")</f>
        <v/>
      </c>
      <c r="L1466" s="21">
        <f>IF(K1466="","",COUNTIF($K$2:$K$3001,"&lt;"&amp;K1466)+1)</f>
        <v/>
      </c>
    </row>
    <row r="1467">
      <c r="A1467" s="5">
        <f>IF($J1467="","",IF($J1467&lt;=1500,INDEX('Daily Sale entry '!$X$1:$X$1501,$J1467+1),INDEX('Daily Sale entry '!$V$1:$V$1501,$J1467-1499)))</f>
        <v/>
      </c>
      <c r="B1467">
        <f>IF($J1467="","",IF($J1467&lt;=1500,INDEX('Daily Sale entry '!$Y$1:$Y$1501,$J1467+1)&amp;"","Buyer cheque banked 买家支票存入"&amp;IF(INDEX('Daily Sale entry '!$U$1:$U$1501,$J1467-1499)="","", " - "&amp;INDEX('Daily Sale entry '!$U$1:$U$1501,$J1467-1499))))</f>
        <v/>
      </c>
      <c r="C1467">
        <f>IF($J1467="","",IF($J1467&lt;=1500,INDEX('Daily Sale entry '!$Z$1:$Z$1501,$J1467+1)&amp;"","Cheque deposit 支票存入 (buyer 买家)"))</f>
        <v/>
      </c>
      <c r="D1467">
        <f>IF($J1467="","",IF($J1467&lt;=1500,INDEX('Daily Sale entry '!$AA$1:$AA$1501,$J1467+1)&amp;"",INDEX('Daily Sale entry '!$P$1:$P$1501,$J1467-1499)&amp;""))</f>
        <v/>
      </c>
      <c r="E1467">
        <f>IF($J1467="","",IF($J1467&lt;=1500,IF(N(INDEX('Daily Sale entry '!$AB$1:$AB$1501,$J1467+1))=0,"",INDEX('Daily Sale entry '!$AB$1:$AB$1501,$J1467+1)),1))</f>
        <v/>
      </c>
      <c r="F1467" s="6">
        <f>IF($J1467="","",IF($J1467&lt;=1500,N(INDEX('Daily Sale entry '!$AC$1:$AC$1501,$J1467+1))-IF(AND('Opening Balance'!$B$15=1,INDEX('Daily Sale entry '!$Z$1:$Z$1501,$J1467+1)="Online collection 网上收款",INDEX('Daily Sale entry '!$AA$1:$AA$1501,$J1467+1)&lt;&gt;""),N(INDEX('Daily Sale entry '!$AC$1:$AC$1501,$J1467+1))-TRUNC(N(INDEX('Daily Sale entry '!$AC$1:$AC$1501,$J1467+1))),0),N(INDEX('Daily Sale entry '!$S$1:$S$1501,$J1467-1499))-'Opening Balance'!$B$15*(N(INDEX('Daily Sale entry '!$S$1:$S$1501,$J1467-1499))-TRUNC(N(INDEX('Daily Sale entry '!$S$1:$S$1501,$J1467-1499))))))</f>
        <v/>
      </c>
      <c r="G1467" s="6">
        <f>IF($J1467="","",IF($J1467&lt;=1500,N(INDEX('Daily Sale entry '!$AD$1:$AD$1501,$J1467+1)),0))</f>
        <v/>
      </c>
      <c r="H1467" s="6">
        <f>IF($J1467="","",ROUND('Opening Balance'!$B$4+SUM($F$2:F1467)-SUM($G$2:G1467),2))</f>
        <v/>
      </c>
      <c r="J1467" s="21">
        <f>IFERROR(MATCH(ROW()-1,$L$2:$L$3001,0),"")</f>
        <v/>
      </c>
      <c r="K1467" s="34">
        <f>IF(AND('Daily Sale entry '!X1467&lt;&gt;"",OR('Daily Sale entry '!AC1467&lt;&gt;"",'Daily Sale entry '!AD1467&lt;&gt;"")),'Daily Sale entry '!X1467+ROW()/10000000,"")</f>
        <v/>
      </c>
      <c r="L1467" s="21">
        <f>IF(K1467="","",COUNTIF($K$2:$K$3001,"&lt;"&amp;K1467)+1)</f>
        <v/>
      </c>
    </row>
    <row r="1468">
      <c r="A1468" s="5">
        <f>IF($J1468="","",IF($J1468&lt;=1500,INDEX('Daily Sale entry '!$X$1:$X$1501,$J1468+1),INDEX('Daily Sale entry '!$V$1:$V$1501,$J1468-1499)))</f>
        <v/>
      </c>
      <c r="B1468">
        <f>IF($J1468="","",IF($J1468&lt;=1500,INDEX('Daily Sale entry '!$Y$1:$Y$1501,$J1468+1)&amp;"","Buyer cheque banked 买家支票存入"&amp;IF(INDEX('Daily Sale entry '!$U$1:$U$1501,$J1468-1499)="","", " - "&amp;INDEX('Daily Sale entry '!$U$1:$U$1501,$J1468-1499))))</f>
        <v/>
      </c>
      <c r="C1468">
        <f>IF($J1468="","",IF($J1468&lt;=1500,INDEX('Daily Sale entry '!$Z$1:$Z$1501,$J1468+1)&amp;"","Cheque deposit 支票存入 (buyer 买家)"))</f>
        <v/>
      </c>
      <c r="D1468">
        <f>IF($J1468="","",IF($J1468&lt;=1500,INDEX('Daily Sale entry '!$AA$1:$AA$1501,$J1468+1)&amp;"",INDEX('Daily Sale entry '!$P$1:$P$1501,$J1468-1499)&amp;""))</f>
        <v/>
      </c>
      <c r="E1468">
        <f>IF($J1468="","",IF($J1468&lt;=1500,IF(N(INDEX('Daily Sale entry '!$AB$1:$AB$1501,$J1468+1))=0,"",INDEX('Daily Sale entry '!$AB$1:$AB$1501,$J1468+1)),1))</f>
        <v/>
      </c>
      <c r="F1468" s="6">
        <f>IF($J1468="","",IF($J1468&lt;=1500,N(INDEX('Daily Sale entry '!$AC$1:$AC$1501,$J1468+1))-IF(AND('Opening Balance'!$B$15=1,INDEX('Daily Sale entry '!$Z$1:$Z$1501,$J1468+1)="Online collection 网上收款",INDEX('Daily Sale entry '!$AA$1:$AA$1501,$J1468+1)&lt;&gt;""),N(INDEX('Daily Sale entry '!$AC$1:$AC$1501,$J1468+1))-TRUNC(N(INDEX('Daily Sale entry '!$AC$1:$AC$1501,$J1468+1))),0),N(INDEX('Daily Sale entry '!$S$1:$S$1501,$J1468-1499))-'Opening Balance'!$B$15*(N(INDEX('Daily Sale entry '!$S$1:$S$1501,$J1468-1499))-TRUNC(N(INDEX('Daily Sale entry '!$S$1:$S$1501,$J1468-1499))))))</f>
        <v/>
      </c>
      <c r="G1468" s="6">
        <f>IF($J1468="","",IF($J1468&lt;=1500,N(INDEX('Daily Sale entry '!$AD$1:$AD$1501,$J1468+1)),0))</f>
        <v/>
      </c>
      <c r="H1468" s="6">
        <f>IF($J1468="","",ROUND('Opening Balance'!$B$4+SUM($F$2:F1468)-SUM($G$2:G1468),2))</f>
        <v/>
      </c>
      <c r="J1468" s="21">
        <f>IFERROR(MATCH(ROW()-1,$L$2:$L$3001,0),"")</f>
        <v/>
      </c>
      <c r="K1468" s="34">
        <f>IF(AND('Daily Sale entry '!X1468&lt;&gt;"",OR('Daily Sale entry '!AC1468&lt;&gt;"",'Daily Sale entry '!AD1468&lt;&gt;"")),'Daily Sale entry '!X1468+ROW()/10000000,"")</f>
        <v/>
      </c>
      <c r="L1468" s="21">
        <f>IF(K1468="","",COUNTIF($K$2:$K$3001,"&lt;"&amp;K1468)+1)</f>
        <v/>
      </c>
    </row>
    <row r="1469">
      <c r="A1469" s="5">
        <f>IF($J1469="","",IF($J1469&lt;=1500,INDEX('Daily Sale entry '!$X$1:$X$1501,$J1469+1),INDEX('Daily Sale entry '!$V$1:$V$1501,$J1469-1499)))</f>
        <v/>
      </c>
      <c r="B1469">
        <f>IF($J1469="","",IF($J1469&lt;=1500,INDEX('Daily Sale entry '!$Y$1:$Y$1501,$J1469+1)&amp;"","Buyer cheque banked 买家支票存入"&amp;IF(INDEX('Daily Sale entry '!$U$1:$U$1501,$J1469-1499)="","", " - "&amp;INDEX('Daily Sale entry '!$U$1:$U$1501,$J1469-1499))))</f>
        <v/>
      </c>
      <c r="C1469">
        <f>IF($J1469="","",IF($J1469&lt;=1500,INDEX('Daily Sale entry '!$Z$1:$Z$1501,$J1469+1)&amp;"","Cheque deposit 支票存入 (buyer 买家)"))</f>
        <v/>
      </c>
      <c r="D1469">
        <f>IF($J1469="","",IF($J1469&lt;=1500,INDEX('Daily Sale entry '!$AA$1:$AA$1501,$J1469+1)&amp;"",INDEX('Daily Sale entry '!$P$1:$P$1501,$J1469-1499)&amp;""))</f>
        <v/>
      </c>
      <c r="E1469">
        <f>IF($J1469="","",IF($J1469&lt;=1500,IF(N(INDEX('Daily Sale entry '!$AB$1:$AB$1501,$J1469+1))=0,"",INDEX('Daily Sale entry '!$AB$1:$AB$1501,$J1469+1)),1))</f>
        <v/>
      </c>
      <c r="F1469" s="6">
        <f>IF($J1469="","",IF($J1469&lt;=1500,N(INDEX('Daily Sale entry '!$AC$1:$AC$1501,$J1469+1))-IF(AND('Opening Balance'!$B$15=1,INDEX('Daily Sale entry '!$Z$1:$Z$1501,$J1469+1)="Online collection 网上收款",INDEX('Daily Sale entry '!$AA$1:$AA$1501,$J1469+1)&lt;&gt;""),N(INDEX('Daily Sale entry '!$AC$1:$AC$1501,$J1469+1))-TRUNC(N(INDEX('Daily Sale entry '!$AC$1:$AC$1501,$J1469+1))),0),N(INDEX('Daily Sale entry '!$S$1:$S$1501,$J1469-1499))-'Opening Balance'!$B$15*(N(INDEX('Daily Sale entry '!$S$1:$S$1501,$J1469-1499))-TRUNC(N(INDEX('Daily Sale entry '!$S$1:$S$1501,$J1469-1499))))))</f>
        <v/>
      </c>
      <c r="G1469" s="6">
        <f>IF($J1469="","",IF($J1469&lt;=1500,N(INDEX('Daily Sale entry '!$AD$1:$AD$1501,$J1469+1)),0))</f>
        <v/>
      </c>
      <c r="H1469" s="6">
        <f>IF($J1469="","",ROUND('Opening Balance'!$B$4+SUM($F$2:F1469)-SUM($G$2:G1469),2))</f>
        <v/>
      </c>
      <c r="J1469" s="21">
        <f>IFERROR(MATCH(ROW()-1,$L$2:$L$3001,0),"")</f>
        <v/>
      </c>
      <c r="K1469" s="34">
        <f>IF(AND('Daily Sale entry '!X1469&lt;&gt;"",OR('Daily Sale entry '!AC1469&lt;&gt;"",'Daily Sale entry '!AD1469&lt;&gt;"")),'Daily Sale entry '!X1469+ROW()/10000000,"")</f>
        <v/>
      </c>
      <c r="L1469" s="21">
        <f>IF(K1469="","",COUNTIF($K$2:$K$3001,"&lt;"&amp;K1469)+1)</f>
        <v/>
      </c>
    </row>
    <row r="1470">
      <c r="A1470" s="5">
        <f>IF($J1470="","",IF($J1470&lt;=1500,INDEX('Daily Sale entry '!$X$1:$X$1501,$J1470+1),INDEX('Daily Sale entry '!$V$1:$V$1501,$J1470-1499)))</f>
        <v/>
      </c>
      <c r="B1470">
        <f>IF($J1470="","",IF($J1470&lt;=1500,INDEX('Daily Sale entry '!$Y$1:$Y$1501,$J1470+1)&amp;"","Buyer cheque banked 买家支票存入"&amp;IF(INDEX('Daily Sale entry '!$U$1:$U$1501,$J1470-1499)="","", " - "&amp;INDEX('Daily Sale entry '!$U$1:$U$1501,$J1470-1499))))</f>
        <v/>
      </c>
      <c r="C1470">
        <f>IF($J1470="","",IF($J1470&lt;=1500,INDEX('Daily Sale entry '!$Z$1:$Z$1501,$J1470+1)&amp;"","Cheque deposit 支票存入 (buyer 买家)"))</f>
        <v/>
      </c>
      <c r="D1470">
        <f>IF($J1470="","",IF($J1470&lt;=1500,INDEX('Daily Sale entry '!$AA$1:$AA$1501,$J1470+1)&amp;"",INDEX('Daily Sale entry '!$P$1:$P$1501,$J1470-1499)&amp;""))</f>
        <v/>
      </c>
      <c r="E1470">
        <f>IF($J1470="","",IF($J1470&lt;=1500,IF(N(INDEX('Daily Sale entry '!$AB$1:$AB$1501,$J1470+1))=0,"",INDEX('Daily Sale entry '!$AB$1:$AB$1501,$J1470+1)),1))</f>
        <v/>
      </c>
      <c r="F1470" s="6">
        <f>IF($J1470="","",IF($J1470&lt;=1500,N(INDEX('Daily Sale entry '!$AC$1:$AC$1501,$J1470+1))-IF(AND('Opening Balance'!$B$15=1,INDEX('Daily Sale entry '!$Z$1:$Z$1501,$J1470+1)="Online collection 网上收款",INDEX('Daily Sale entry '!$AA$1:$AA$1501,$J1470+1)&lt;&gt;""),N(INDEX('Daily Sale entry '!$AC$1:$AC$1501,$J1470+1))-TRUNC(N(INDEX('Daily Sale entry '!$AC$1:$AC$1501,$J1470+1))),0),N(INDEX('Daily Sale entry '!$S$1:$S$1501,$J1470-1499))-'Opening Balance'!$B$15*(N(INDEX('Daily Sale entry '!$S$1:$S$1501,$J1470-1499))-TRUNC(N(INDEX('Daily Sale entry '!$S$1:$S$1501,$J1470-1499))))))</f>
        <v/>
      </c>
      <c r="G1470" s="6">
        <f>IF($J1470="","",IF($J1470&lt;=1500,N(INDEX('Daily Sale entry '!$AD$1:$AD$1501,$J1470+1)),0))</f>
        <v/>
      </c>
      <c r="H1470" s="6">
        <f>IF($J1470="","",ROUND('Opening Balance'!$B$4+SUM($F$2:F1470)-SUM($G$2:G1470),2))</f>
        <v/>
      </c>
      <c r="J1470" s="21">
        <f>IFERROR(MATCH(ROW()-1,$L$2:$L$3001,0),"")</f>
        <v/>
      </c>
      <c r="K1470" s="34">
        <f>IF(AND('Daily Sale entry '!X1470&lt;&gt;"",OR('Daily Sale entry '!AC1470&lt;&gt;"",'Daily Sale entry '!AD1470&lt;&gt;"")),'Daily Sale entry '!X1470+ROW()/10000000,"")</f>
        <v/>
      </c>
      <c r="L1470" s="21">
        <f>IF(K1470="","",COUNTIF($K$2:$K$3001,"&lt;"&amp;K1470)+1)</f>
        <v/>
      </c>
    </row>
    <row r="1471">
      <c r="A1471" s="5">
        <f>IF($J1471="","",IF($J1471&lt;=1500,INDEX('Daily Sale entry '!$X$1:$X$1501,$J1471+1),INDEX('Daily Sale entry '!$V$1:$V$1501,$J1471-1499)))</f>
        <v/>
      </c>
      <c r="B1471">
        <f>IF($J1471="","",IF($J1471&lt;=1500,INDEX('Daily Sale entry '!$Y$1:$Y$1501,$J1471+1)&amp;"","Buyer cheque banked 买家支票存入"&amp;IF(INDEX('Daily Sale entry '!$U$1:$U$1501,$J1471-1499)="","", " - "&amp;INDEX('Daily Sale entry '!$U$1:$U$1501,$J1471-1499))))</f>
        <v/>
      </c>
      <c r="C1471">
        <f>IF($J1471="","",IF($J1471&lt;=1500,INDEX('Daily Sale entry '!$Z$1:$Z$1501,$J1471+1)&amp;"","Cheque deposit 支票存入 (buyer 买家)"))</f>
        <v/>
      </c>
      <c r="D1471">
        <f>IF($J1471="","",IF($J1471&lt;=1500,INDEX('Daily Sale entry '!$AA$1:$AA$1501,$J1471+1)&amp;"",INDEX('Daily Sale entry '!$P$1:$P$1501,$J1471-1499)&amp;""))</f>
        <v/>
      </c>
      <c r="E1471">
        <f>IF($J1471="","",IF($J1471&lt;=1500,IF(N(INDEX('Daily Sale entry '!$AB$1:$AB$1501,$J1471+1))=0,"",INDEX('Daily Sale entry '!$AB$1:$AB$1501,$J1471+1)),1))</f>
        <v/>
      </c>
      <c r="F1471" s="6">
        <f>IF($J1471="","",IF($J1471&lt;=1500,N(INDEX('Daily Sale entry '!$AC$1:$AC$1501,$J1471+1))-IF(AND('Opening Balance'!$B$15=1,INDEX('Daily Sale entry '!$Z$1:$Z$1501,$J1471+1)="Online collection 网上收款",INDEX('Daily Sale entry '!$AA$1:$AA$1501,$J1471+1)&lt;&gt;""),N(INDEX('Daily Sale entry '!$AC$1:$AC$1501,$J1471+1))-TRUNC(N(INDEX('Daily Sale entry '!$AC$1:$AC$1501,$J1471+1))),0),N(INDEX('Daily Sale entry '!$S$1:$S$1501,$J1471-1499))-'Opening Balance'!$B$15*(N(INDEX('Daily Sale entry '!$S$1:$S$1501,$J1471-1499))-TRUNC(N(INDEX('Daily Sale entry '!$S$1:$S$1501,$J1471-1499))))))</f>
        <v/>
      </c>
      <c r="G1471" s="6">
        <f>IF($J1471="","",IF($J1471&lt;=1500,N(INDEX('Daily Sale entry '!$AD$1:$AD$1501,$J1471+1)),0))</f>
        <v/>
      </c>
      <c r="H1471" s="6">
        <f>IF($J1471="","",ROUND('Opening Balance'!$B$4+SUM($F$2:F1471)-SUM($G$2:G1471),2))</f>
        <v/>
      </c>
      <c r="J1471" s="21">
        <f>IFERROR(MATCH(ROW()-1,$L$2:$L$3001,0),"")</f>
        <v/>
      </c>
      <c r="K1471" s="34">
        <f>IF(AND('Daily Sale entry '!X1471&lt;&gt;"",OR('Daily Sale entry '!AC1471&lt;&gt;"",'Daily Sale entry '!AD1471&lt;&gt;"")),'Daily Sale entry '!X1471+ROW()/10000000,"")</f>
        <v/>
      </c>
      <c r="L1471" s="21">
        <f>IF(K1471="","",COUNTIF($K$2:$K$3001,"&lt;"&amp;K1471)+1)</f>
        <v/>
      </c>
    </row>
    <row r="1472">
      <c r="A1472" s="5">
        <f>IF($J1472="","",IF($J1472&lt;=1500,INDEX('Daily Sale entry '!$X$1:$X$1501,$J1472+1),INDEX('Daily Sale entry '!$V$1:$V$1501,$J1472-1499)))</f>
        <v/>
      </c>
      <c r="B1472">
        <f>IF($J1472="","",IF($J1472&lt;=1500,INDEX('Daily Sale entry '!$Y$1:$Y$1501,$J1472+1)&amp;"","Buyer cheque banked 买家支票存入"&amp;IF(INDEX('Daily Sale entry '!$U$1:$U$1501,$J1472-1499)="","", " - "&amp;INDEX('Daily Sale entry '!$U$1:$U$1501,$J1472-1499))))</f>
        <v/>
      </c>
      <c r="C1472">
        <f>IF($J1472="","",IF($J1472&lt;=1500,INDEX('Daily Sale entry '!$Z$1:$Z$1501,$J1472+1)&amp;"","Cheque deposit 支票存入 (buyer 买家)"))</f>
        <v/>
      </c>
      <c r="D1472">
        <f>IF($J1472="","",IF($J1472&lt;=1500,INDEX('Daily Sale entry '!$AA$1:$AA$1501,$J1472+1)&amp;"",INDEX('Daily Sale entry '!$P$1:$P$1501,$J1472-1499)&amp;""))</f>
        <v/>
      </c>
      <c r="E1472">
        <f>IF($J1472="","",IF($J1472&lt;=1500,IF(N(INDEX('Daily Sale entry '!$AB$1:$AB$1501,$J1472+1))=0,"",INDEX('Daily Sale entry '!$AB$1:$AB$1501,$J1472+1)),1))</f>
        <v/>
      </c>
      <c r="F1472" s="6">
        <f>IF($J1472="","",IF($J1472&lt;=1500,N(INDEX('Daily Sale entry '!$AC$1:$AC$1501,$J1472+1))-IF(AND('Opening Balance'!$B$15=1,INDEX('Daily Sale entry '!$Z$1:$Z$1501,$J1472+1)="Online collection 网上收款",INDEX('Daily Sale entry '!$AA$1:$AA$1501,$J1472+1)&lt;&gt;""),N(INDEX('Daily Sale entry '!$AC$1:$AC$1501,$J1472+1))-TRUNC(N(INDEX('Daily Sale entry '!$AC$1:$AC$1501,$J1472+1))),0),N(INDEX('Daily Sale entry '!$S$1:$S$1501,$J1472-1499))-'Opening Balance'!$B$15*(N(INDEX('Daily Sale entry '!$S$1:$S$1501,$J1472-1499))-TRUNC(N(INDEX('Daily Sale entry '!$S$1:$S$1501,$J1472-1499))))))</f>
        <v/>
      </c>
      <c r="G1472" s="6">
        <f>IF($J1472="","",IF($J1472&lt;=1500,N(INDEX('Daily Sale entry '!$AD$1:$AD$1501,$J1472+1)),0))</f>
        <v/>
      </c>
      <c r="H1472" s="6">
        <f>IF($J1472="","",ROUND('Opening Balance'!$B$4+SUM($F$2:F1472)-SUM($G$2:G1472),2))</f>
        <v/>
      </c>
      <c r="J1472" s="21">
        <f>IFERROR(MATCH(ROW()-1,$L$2:$L$3001,0),"")</f>
        <v/>
      </c>
      <c r="K1472" s="34">
        <f>IF(AND('Daily Sale entry '!X1472&lt;&gt;"",OR('Daily Sale entry '!AC1472&lt;&gt;"",'Daily Sale entry '!AD1472&lt;&gt;"")),'Daily Sale entry '!X1472+ROW()/10000000,"")</f>
        <v/>
      </c>
      <c r="L1472" s="21">
        <f>IF(K1472="","",COUNTIF($K$2:$K$3001,"&lt;"&amp;K1472)+1)</f>
        <v/>
      </c>
    </row>
    <row r="1473">
      <c r="A1473" s="5">
        <f>IF($J1473="","",IF($J1473&lt;=1500,INDEX('Daily Sale entry '!$X$1:$X$1501,$J1473+1),INDEX('Daily Sale entry '!$V$1:$V$1501,$J1473-1499)))</f>
        <v/>
      </c>
      <c r="B1473">
        <f>IF($J1473="","",IF($J1473&lt;=1500,INDEX('Daily Sale entry '!$Y$1:$Y$1501,$J1473+1)&amp;"","Buyer cheque banked 买家支票存入"&amp;IF(INDEX('Daily Sale entry '!$U$1:$U$1501,$J1473-1499)="","", " - "&amp;INDEX('Daily Sale entry '!$U$1:$U$1501,$J1473-1499))))</f>
        <v/>
      </c>
      <c r="C1473">
        <f>IF($J1473="","",IF($J1473&lt;=1500,INDEX('Daily Sale entry '!$Z$1:$Z$1501,$J1473+1)&amp;"","Cheque deposit 支票存入 (buyer 买家)"))</f>
        <v/>
      </c>
      <c r="D1473">
        <f>IF($J1473="","",IF($J1473&lt;=1500,INDEX('Daily Sale entry '!$AA$1:$AA$1501,$J1473+1)&amp;"",INDEX('Daily Sale entry '!$P$1:$P$1501,$J1473-1499)&amp;""))</f>
        <v/>
      </c>
      <c r="E1473">
        <f>IF($J1473="","",IF($J1473&lt;=1500,IF(N(INDEX('Daily Sale entry '!$AB$1:$AB$1501,$J1473+1))=0,"",INDEX('Daily Sale entry '!$AB$1:$AB$1501,$J1473+1)),1))</f>
        <v/>
      </c>
      <c r="F1473" s="6">
        <f>IF($J1473="","",IF($J1473&lt;=1500,N(INDEX('Daily Sale entry '!$AC$1:$AC$1501,$J1473+1))-IF(AND('Opening Balance'!$B$15=1,INDEX('Daily Sale entry '!$Z$1:$Z$1501,$J1473+1)="Online collection 网上收款",INDEX('Daily Sale entry '!$AA$1:$AA$1501,$J1473+1)&lt;&gt;""),N(INDEX('Daily Sale entry '!$AC$1:$AC$1501,$J1473+1))-TRUNC(N(INDEX('Daily Sale entry '!$AC$1:$AC$1501,$J1473+1))),0),N(INDEX('Daily Sale entry '!$S$1:$S$1501,$J1473-1499))-'Opening Balance'!$B$15*(N(INDEX('Daily Sale entry '!$S$1:$S$1501,$J1473-1499))-TRUNC(N(INDEX('Daily Sale entry '!$S$1:$S$1501,$J1473-1499))))))</f>
        <v/>
      </c>
      <c r="G1473" s="6">
        <f>IF($J1473="","",IF($J1473&lt;=1500,N(INDEX('Daily Sale entry '!$AD$1:$AD$1501,$J1473+1)),0))</f>
        <v/>
      </c>
      <c r="H1473" s="6">
        <f>IF($J1473="","",ROUND('Opening Balance'!$B$4+SUM($F$2:F1473)-SUM($G$2:G1473),2))</f>
        <v/>
      </c>
      <c r="J1473" s="21">
        <f>IFERROR(MATCH(ROW()-1,$L$2:$L$3001,0),"")</f>
        <v/>
      </c>
      <c r="K1473" s="34">
        <f>IF(AND('Daily Sale entry '!X1473&lt;&gt;"",OR('Daily Sale entry '!AC1473&lt;&gt;"",'Daily Sale entry '!AD1473&lt;&gt;"")),'Daily Sale entry '!X1473+ROW()/10000000,"")</f>
        <v/>
      </c>
      <c r="L1473" s="21">
        <f>IF(K1473="","",COUNTIF($K$2:$K$3001,"&lt;"&amp;K1473)+1)</f>
        <v/>
      </c>
    </row>
    <row r="1474">
      <c r="A1474" s="5">
        <f>IF($J1474="","",IF($J1474&lt;=1500,INDEX('Daily Sale entry '!$X$1:$X$1501,$J1474+1),INDEX('Daily Sale entry '!$V$1:$V$1501,$J1474-1499)))</f>
        <v/>
      </c>
      <c r="B1474">
        <f>IF($J1474="","",IF($J1474&lt;=1500,INDEX('Daily Sale entry '!$Y$1:$Y$1501,$J1474+1)&amp;"","Buyer cheque banked 买家支票存入"&amp;IF(INDEX('Daily Sale entry '!$U$1:$U$1501,$J1474-1499)="","", " - "&amp;INDEX('Daily Sale entry '!$U$1:$U$1501,$J1474-1499))))</f>
        <v/>
      </c>
      <c r="C1474">
        <f>IF($J1474="","",IF($J1474&lt;=1500,INDEX('Daily Sale entry '!$Z$1:$Z$1501,$J1474+1)&amp;"","Cheque deposit 支票存入 (buyer 买家)"))</f>
        <v/>
      </c>
      <c r="D1474">
        <f>IF($J1474="","",IF($J1474&lt;=1500,INDEX('Daily Sale entry '!$AA$1:$AA$1501,$J1474+1)&amp;"",INDEX('Daily Sale entry '!$P$1:$P$1501,$J1474-1499)&amp;""))</f>
        <v/>
      </c>
      <c r="E1474">
        <f>IF($J1474="","",IF($J1474&lt;=1500,IF(N(INDEX('Daily Sale entry '!$AB$1:$AB$1501,$J1474+1))=0,"",INDEX('Daily Sale entry '!$AB$1:$AB$1501,$J1474+1)),1))</f>
        <v/>
      </c>
      <c r="F1474" s="6">
        <f>IF($J1474="","",IF($J1474&lt;=1500,N(INDEX('Daily Sale entry '!$AC$1:$AC$1501,$J1474+1))-IF(AND('Opening Balance'!$B$15=1,INDEX('Daily Sale entry '!$Z$1:$Z$1501,$J1474+1)="Online collection 网上收款",INDEX('Daily Sale entry '!$AA$1:$AA$1501,$J1474+1)&lt;&gt;""),N(INDEX('Daily Sale entry '!$AC$1:$AC$1501,$J1474+1))-TRUNC(N(INDEX('Daily Sale entry '!$AC$1:$AC$1501,$J1474+1))),0),N(INDEX('Daily Sale entry '!$S$1:$S$1501,$J1474-1499))-'Opening Balance'!$B$15*(N(INDEX('Daily Sale entry '!$S$1:$S$1501,$J1474-1499))-TRUNC(N(INDEX('Daily Sale entry '!$S$1:$S$1501,$J1474-1499))))))</f>
        <v/>
      </c>
      <c r="G1474" s="6">
        <f>IF($J1474="","",IF($J1474&lt;=1500,N(INDEX('Daily Sale entry '!$AD$1:$AD$1501,$J1474+1)),0))</f>
        <v/>
      </c>
      <c r="H1474" s="6">
        <f>IF($J1474="","",ROUND('Opening Balance'!$B$4+SUM($F$2:F1474)-SUM($G$2:G1474),2))</f>
        <v/>
      </c>
      <c r="J1474" s="21">
        <f>IFERROR(MATCH(ROW()-1,$L$2:$L$3001,0),"")</f>
        <v/>
      </c>
      <c r="K1474" s="34">
        <f>IF(AND('Daily Sale entry '!X1474&lt;&gt;"",OR('Daily Sale entry '!AC1474&lt;&gt;"",'Daily Sale entry '!AD1474&lt;&gt;"")),'Daily Sale entry '!X1474+ROW()/10000000,"")</f>
        <v/>
      </c>
      <c r="L1474" s="21">
        <f>IF(K1474="","",COUNTIF($K$2:$K$3001,"&lt;"&amp;K1474)+1)</f>
        <v/>
      </c>
    </row>
    <row r="1475">
      <c r="A1475" s="5">
        <f>IF($J1475="","",IF($J1475&lt;=1500,INDEX('Daily Sale entry '!$X$1:$X$1501,$J1475+1),INDEX('Daily Sale entry '!$V$1:$V$1501,$J1475-1499)))</f>
        <v/>
      </c>
      <c r="B1475">
        <f>IF($J1475="","",IF($J1475&lt;=1500,INDEX('Daily Sale entry '!$Y$1:$Y$1501,$J1475+1)&amp;"","Buyer cheque banked 买家支票存入"&amp;IF(INDEX('Daily Sale entry '!$U$1:$U$1501,$J1475-1499)="","", " - "&amp;INDEX('Daily Sale entry '!$U$1:$U$1501,$J1475-1499))))</f>
        <v/>
      </c>
      <c r="C1475">
        <f>IF($J1475="","",IF($J1475&lt;=1500,INDEX('Daily Sale entry '!$Z$1:$Z$1501,$J1475+1)&amp;"","Cheque deposit 支票存入 (buyer 买家)"))</f>
        <v/>
      </c>
      <c r="D1475">
        <f>IF($J1475="","",IF($J1475&lt;=1500,INDEX('Daily Sale entry '!$AA$1:$AA$1501,$J1475+1)&amp;"",INDEX('Daily Sale entry '!$P$1:$P$1501,$J1475-1499)&amp;""))</f>
        <v/>
      </c>
      <c r="E1475">
        <f>IF($J1475="","",IF($J1475&lt;=1500,IF(N(INDEX('Daily Sale entry '!$AB$1:$AB$1501,$J1475+1))=0,"",INDEX('Daily Sale entry '!$AB$1:$AB$1501,$J1475+1)),1))</f>
        <v/>
      </c>
      <c r="F1475" s="6">
        <f>IF($J1475="","",IF($J1475&lt;=1500,N(INDEX('Daily Sale entry '!$AC$1:$AC$1501,$J1475+1))-IF(AND('Opening Balance'!$B$15=1,INDEX('Daily Sale entry '!$Z$1:$Z$1501,$J1475+1)="Online collection 网上收款",INDEX('Daily Sale entry '!$AA$1:$AA$1501,$J1475+1)&lt;&gt;""),N(INDEX('Daily Sale entry '!$AC$1:$AC$1501,$J1475+1))-TRUNC(N(INDEX('Daily Sale entry '!$AC$1:$AC$1501,$J1475+1))),0),N(INDEX('Daily Sale entry '!$S$1:$S$1501,$J1475-1499))-'Opening Balance'!$B$15*(N(INDEX('Daily Sale entry '!$S$1:$S$1501,$J1475-1499))-TRUNC(N(INDEX('Daily Sale entry '!$S$1:$S$1501,$J1475-1499))))))</f>
        <v/>
      </c>
      <c r="G1475" s="6">
        <f>IF($J1475="","",IF($J1475&lt;=1500,N(INDEX('Daily Sale entry '!$AD$1:$AD$1501,$J1475+1)),0))</f>
        <v/>
      </c>
      <c r="H1475" s="6">
        <f>IF($J1475="","",ROUND('Opening Balance'!$B$4+SUM($F$2:F1475)-SUM($G$2:G1475),2))</f>
        <v/>
      </c>
      <c r="J1475" s="21">
        <f>IFERROR(MATCH(ROW()-1,$L$2:$L$3001,0),"")</f>
        <v/>
      </c>
      <c r="K1475" s="34">
        <f>IF(AND('Daily Sale entry '!X1475&lt;&gt;"",OR('Daily Sale entry '!AC1475&lt;&gt;"",'Daily Sale entry '!AD1475&lt;&gt;"")),'Daily Sale entry '!X1475+ROW()/10000000,"")</f>
        <v/>
      </c>
      <c r="L1475" s="21">
        <f>IF(K1475="","",COUNTIF($K$2:$K$3001,"&lt;"&amp;K1475)+1)</f>
        <v/>
      </c>
    </row>
    <row r="1476">
      <c r="A1476" s="5">
        <f>IF($J1476="","",IF($J1476&lt;=1500,INDEX('Daily Sale entry '!$X$1:$X$1501,$J1476+1),INDEX('Daily Sale entry '!$V$1:$V$1501,$J1476-1499)))</f>
        <v/>
      </c>
      <c r="B1476">
        <f>IF($J1476="","",IF($J1476&lt;=1500,INDEX('Daily Sale entry '!$Y$1:$Y$1501,$J1476+1)&amp;"","Buyer cheque banked 买家支票存入"&amp;IF(INDEX('Daily Sale entry '!$U$1:$U$1501,$J1476-1499)="","", " - "&amp;INDEX('Daily Sale entry '!$U$1:$U$1501,$J1476-1499))))</f>
        <v/>
      </c>
      <c r="C1476">
        <f>IF($J1476="","",IF($J1476&lt;=1500,INDEX('Daily Sale entry '!$Z$1:$Z$1501,$J1476+1)&amp;"","Cheque deposit 支票存入 (buyer 买家)"))</f>
        <v/>
      </c>
      <c r="D1476">
        <f>IF($J1476="","",IF($J1476&lt;=1500,INDEX('Daily Sale entry '!$AA$1:$AA$1501,$J1476+1)&amp;"",INDEX('Daily Sale entry '!$P$1:$P$1501,$J1476-1499)&amp;""))</f>
        <v/>
      </c>
      <c r="E1476">
        <f>IF($J1476="","",IF($J1476&lt;=1500,IF(N(INDEX('Daily Sale entry '!$AB$1:$AB$1501,$J1476+1))=0,"",INDEX('Daily Sale entry '!$AB$1:$AB$1501,$J1476+1)),1))</f>
        <v/>
      </c>
      <c r="F1476" s="6">
        <f>IF($J1476="","",IF($J1476&lt;=1500,N(INDEX('Daily Sale entry '!$AC$1:$AC$1501,$J1476+1))-IF(AND('Opening Balance'!$B$15=1,INDEX('Daily Sale entry '!$Z$1:$Z$1501,$J1476+1)="Online collection 网上收款",INDEX('Daily Sale entry '!$AA$1:$AA$1501,$J1476+1)&lt;&gt;""),N(INDEX('Daily Sale entry '!$AC$1:$AC$1501,$J1476+1))-TRUNC(N(INDEX('Daily Sale entry '!$AC$1:$AC$1501,$J1476+1))),0),N(INDEX('Daily Sale entry '!$S$1:$S$1501,$J1476-1499))-'Opening Balance'!$B$15*(N(INDEX('Daily Sale entry '!$S$1:$S$1501,$J1476-1499))-TRUNC(N(INDEX('Daily Sale entry '!$S$1:$S$1501,$J1476-1499))))))</f>
        <v/>
      </c>
      <c r="G1476" s="6">
        <f>IF($J1476="","",IF($J1476&lt;=1500,N(INDEX('Daily Sale entry '!$AD$1:$AD$1501,$J1476+1)),0))</f>
        <v/>
      </c>
      <c r="H1476" s="6">
        <f>IF($J1476="","",ROUND('Opening Balance'!$B$4+SUM($F$2:F1476)-SUM($G$2:G1476),2))</f>
        <v/>
      </c>
      <c r="J1476" s="21">
        <f>IFERROR(MATCH(ROW()-1,$L$2:$L$3001,0),"")</f>
        <v/>
      </c>
      <c r="K1476" s="34">
        <f>IF(AND('Daily Sale entry '!X1476&lt;&gt;"",OR('Daily Sale entry '!AC1476&lt;&gt;"",'Daily Sale entry '!AD1476&lt;&gt;"")),'Daily Sale entry '!X1476+ROW()/10000000,"")</f>
        <v/>
      </c>
      <c r="L1476" s="21">
        <f>IF(K1476="","",COUNTIF($K$2:$K$3001,"&lt;"&amp;K1476)+1)</f>
        <v/>
      </c>
    </row>
    <row r="1477">
      <c r="A1477" s="5">
        <f>IF($J1477="","",IF($J1477&lt;=1500,INDEX('Daily Sale entry '!$X$1:$X$1501,$J1477+1),INDEX('Daily Sale entry '!$V$1:$V$1501,$J1477-1499)))</f>
        <v/>
      </c>
      <c r="B1477">
        <f>IF($J1477="","",IF($J1477&lt;=1500,INDEX('Daily Sale entry '!$Y$1:$Y$1501,$J1477+1)&amp;"","Buyer cheque banked 买家支票存入"&amp;IF(INDEX('Daily Sale entry '!$U$1:$U$1501,$J1477-1499)="","", " - "&amp;INDEX('Daily Sale entry '!$U$1:$U$1501,$J1477-1499))))</f>
        <v/>
      </c>
      <c r="C1477">
        <f>IF($J1477="","",IF($J1477&lt;=1500,INDEX('Daily Sale entry '!$Z$1:$Z$1501,$J1477+1)&amp;"","Cheque deposit 支票存入 (buyer 买家)"))</f>
        <v/>
      </c>
      <c r="D1477">
        <f>IF($J1477="","",IF($J1477&lt;=1500,INDEX('Daily Sale entry '!$AA$1:$AA$1501,$J1477+1)&amp;"",INDEX('Daily Sale entry '!$P$1:$P$1501,$J1477-1499)&amp;""))</f>
        <v/>
      </c>
      <c r="E1477">
        <f>IF($J1477="","",IF($J1477&lt;=1500,IF(N(INDEX('Daily Sale entry '!$AB$1:$AB$1501,$J1477+1))=0,"",INDEX('Daily Sale entry '!$AB$1:$AB$1501,$J1477+1)),1))</f>
        <v/>
      </c>
      <c r="F1477" s="6">
        <f>IF($J1477="","",IF($J1477&lt;=1500,N(INDEX('Daily Sale entry '!$AC$1:$AC$1501,$J1477+1))-IF(AND('Opening Balance'!$B$15=1,INDEX('Daily Sale entry '!$Z$1:$Z$1501,$J1477+1)="Online collection 网上收款",INDEX('Daily Sale entry '!$AA$1:$AA$1501,$J1477+1)&lt;&gt;""),N(INDEX('Daily Sale entry '!$AC$1:$AC$1501,$J1477+1))-TRUNC(N(INDEX('Daily Sale entry '!$AC$1:$AC$1501,$J1477+1))),0),N(INDEX('Daily Sale entry '!$S$1:$S$1501,$J1477-1499))-'Opening Balance'!$B$15*(N(INDEX('Daily Sale entry '!$S$1:$S$1501,$J1477-1499))-TRUNC(N(INDEX('Daily Sale entry '!$S$1:$S$1501,$J1477-1499))))))</f>
        <v/>
      </c>
      <c r="G1477" s="6">
        <f>IF($J1477="","",IF($J1477&lt;=1500,N(INDEX('Daily Sale entry '!$AD$1:$AD$1501,$J1477+1)),0))</f>
        <v/>
      </c>
      <c r="H1477" s="6">
        <f>IF($J1477="","",ROUND('Opening Balance'!$B$4+SUM($F$2:F1477)-SUM($G$2:G1477),2))</f>
        <v/>
      </c>
      <c r="J1477" s="21">
        <f>IFERROR(MATCH(ROW()-1,$L$2:$L$3001,0),"")</f>
        <v/>
      </c>
      <c r="K1477" s="34">
        <f>IF(AND('Daily Sale entry '!X1477&lt;&gt;"",OR('Daily Sale entry '!AC1477&lt;&gt;"",'Daily Sale entry '!AD1477&lt;&gt;"")),'Daily Sale entry '!X1477+ROW()/10000000,"")</f>
        <v/>
      </c>
      <c r="L1477" s="21">
        <f>IF(K1477="","",COUNTIF($K$2:$K$3001,"&lt;"&amp;K1477)+1)</f>
        <v/>
      </c>
    </row>
    <row r="1478">
      <c r="A1478" s="5">
        <f>IF($J1478="","",IF($J1478&lt;=1500,INDEX('Daily Sale entry '!$X$1:$X$1501,$J1478+1),INDEX('Daily Sale entry '!$V$1:$V$1501,$J1478-1499)))</f>
        <v/>
      </c>
      <c r="B1478">
        <f>IF($J1478="","",IF($J1478&lt;=1500,INDEX('Daily Sale entry '!$Y$1:$Y$1501,$J1478+1)&amp;"","Buyer cheque banked 买家支票存入"&amp;IF(INDEX('Daily Sale entry '!$U$1:$U$1501,$J1478-1499)="","", " - "&amp;INDEX('Daily Sale entry '!$U$1:$U$1501,$J1478-1499))))</f>
        <v/>
      </c>
      <c r="C1478">
        <f>IF($J1478="","",IF($J1478&lt;=1500,INDEX('Daily Sale entry '!$Z$1:$Z$1501,$J1478+1)&amp;"","Cheque deposit 支票存入 (buyer 买家)"))</f>
        <v/>
      </c>
      <c r="D1478">
        <f>IF($J1478="","",IF($J1478&lt;=1500,INDEX('Daily Sale entry '!$AA$1:$AA$1501,$J1478+1)&amp;"",INDEX('Daily Sale entry '!$P$1:$P$1501,$J1478-1499)&amp;""))</f>
        <v/>
      </c>
      <c r="E1478">
        <f>IF($J1478="","",IF($J1478&lt;=1500,IF(N(INDEX('Daily Sale entry '!$AB$1:$AB$1501,$J1478+1))=0,"",INDEX('Daily Sale entry '!$AB$1:$AB$1501,$J1478+1)),1))</f>
        <v/>
      </c>
      <c r="F1478" s="6">
        <f>IF($J1478="","",IF($J1478&lt;=1500,N(INDEX('Daily Sale entry '!$AC$1:$AC$1501,$J1478+1))-IF(AND('Opening Balance'!$B$15=1,INDEX('Daily Sale entry '!$Z$1:$Z$1501,$J1478+1)="Online collection 网上收款",INDEX('Daily Sale entry '!$AA$1:$AA$1501,$J1478+1)&lt;&gt;""),N(INDEX('Daily Sale entry '!$AC$1:$AC$1501,$J1478+1))-TRUNC(N(INDEX('Daily Sale entry '!$AC$1:$AC$1501,$J1478+1))),0),N(INDEX('Daily Sale entry '!$S$1:$S$1501,$J1478-1499))-'Opening Balance'!$B$15*(N(INDEX('Daily Sale entry '!$S$1:$S$1501,$J1478-1499))-TRUNC(N(INDEX('Daily Sale entry '!$S$1:$S$1501,$J1478-1499))))))</f>
        <v/>
      </c>
      <c r="G1478" s="6">
        <f>IF($J1478="","",IF($J1478&lt;=1500,N(INDEX('Daily Sale entry '!$AD$1:$AD$1501,$J1478+1)),0))</f>
        <v/>
      </c>
      <c r="H1478" s="6">
        <f>IF($J1478="","",ROUND('Opening Balance'!$B$4+SUM($F$2:F1478)-SUM($G$2:G1478),2))</f>
        <v/>
      </c>
      <c r="J1478" s="21">
        <f>IFERROR(MATCH(ROW()-1,$L$2:$L$3001,0),"")</f>
        <v/>
      </c>
      <c r="K1478" s="34">
        <f>IF(AND('Daily Sale entry '!X1478&lt;&gt;"",OR('Daily Sale entry '!AC1478&lt;&gt;"",'Daily Sale entry '!AD1478&lt;&gt;"")),'Daily Sale entry '!X1478+ROW()/10000000,"")</f>
        <v/>
      </c>
      <c r="L1478" s="21">
        <f>IF(K1478="","",COUNTIF($K$2:$K$3001,"&lt;"&amp;K1478)+1)</f>
        <v/>
      </c>
    </row>
    <row r="1479">
      <c r="A1479" s="5">
        <f>IF($J1479="","",IF($J1479&lt;=1500,INDEX('Daily Sale entry '!$X$1:$X$1501,$J1479+1),INDEX('Daily Sale entry '!$V$1:$V$1501,$J1479-1499)))</f>
        <v/>
      </c>
      <c r="B1479">
        <f>IF($J1479="","",IF($J1479&lt;=1500,INDEX('Daily Sale entry '!$Y$1:$Y$1501,$J1479+1)&amp;"","Buyer cheque banked 买家支票存入"&amp;IF(INDEX('Daily Sale entry '!$U$1:$U$1501,$J1479-1499)="","", " - "&amp;INDEX('Daily Sale entry '!$U$1:$U$1501,$J1479-1499))))</f>
        <v/>
      </c>
      <c r="C1479">
        <f>IF($J1479="","",IF($J1479&lt;=1500,INDEX('Daily Sale entry '!$Z$1:$Z$1501,$J1479+1)&amp;"","Cheque deposit 支票存入 (buyer 买家)"))</f>
        <v/>
      </c>
      <c r="D1479">
        <f>IF($J1479="","",IF($J1479&lt;=1500,INDEX('Daily Sale entry '!$AA$1:$AA$1501,$J1479+1)&amp;"",INDEX('Daily Sale entry '!$P$1:$P$1501,$J1479-1499)&amp;""))</f>
        <v/>
      </c>
      <c r="E1479">
        <f>IF($J1479="","",IF($J1479&lt;=1500,IF(N(INDEX('Daily Sale entry '!$AB$1:$AB$1501,$J1479+1))=0,"",INDEX('Daily Sale entry '!$AB$1:$AB$1501,$J1479+1)),1))</f>
        <v/>
      </c>
      <c r="F1479" s="6">
        <f>IF($J1479="","",IF($J1479&lt;=1500,N(INDEX('Daily Sale entry '!$AC$1:$AC$1501,$J1479+1))-IF(AND('Opening Balance'!$B$15=1,INDEX('Daily Sale entry '!$Z$1:$Z$1501,$J1479+1)="Online collection 网上收款",INDEX('Daily Sale entry '!$AA$1:$AA$1501,$J1479+1)&lt;&gt;""),N(INDEX('Daily Sale entry '!$AC$1:$AC$1501,$J1479+1))-TRUNC(N(INDEX('Daily Sale entry '!$AC$1:$AC$1501,$J1479+1))),0),N(INDEX('Daily Sale entry '!$S$1:$S$1501,$J1479-1499))-'Opening Balance'!$B$15*(N(INDEX('Daily Sale entry '!$S$1:$S$1501,$J1479-1499))-TRUNC(N(INDEX('Daily Sale entry '!$S$1:$S$1501,$J1479-1499))))))</f>
        <v/>
      </c>
      <c r="G1479" s="6">
        <f>IF($J1479="","",IF($J1479&lt;=1500,N(INDEX('Daily Sale entry '!$AD$1:$AD$1501,$J1479+1)),0))</f>
        <v/>
      </c>
      <c r="H1479" s="6">
        <f>IF($J1479="","",ROUND('Opening Balance'!$B$4+SUM($F$2:F1479)-SUM($G$2:G1479),2))</f>
        <v/>
      </c>
      <c r="J1479" s="21">
        <f>IFERROR(MATCH(ROW()-1,$L$2:$L$3001,0),"")</f>
        <v/>
      </c>
      <c r="K1479" s="34">
        <f>IF(AND('Daily Sale entry '!X1479&lt;&gt;"",OR('Daily Sale entry '!AC1479&lt;&gt;"",'Daily Sale entry '!AD1479&lt;&gt;"")),'Daily Sale entry '!X1479+ROW()/10000000,"")</f>
        <v/>
      </c>
      <c r="L1479" s="21">
        <f>IF(K1479="","",COUNTIF($K$2:$K$3001,"&lt;"&amp;K1479)+1)</f>
        <v/>
      </c>
    </row>
    <row r="1480">
      <c r="A1480" s="5">
        <f>IF($J1480="","",IF($J1480&lt;=1500,INDEX('Daily Sale entry '!$X$1:$X$1501,$J1480+1),INDEX('Daily Sale entry '!$V$1:$V$1501,$J1480-1499)))</f>
        <v/>
      </c>
      <c r="B1480">
        <f>IF($J1480="","",IF($J1480&lt;=1500,INDEX('Daily Sale entry '!$Y$1:$Y$1501,$J1480+1)&amp;"","Buyer cheque banked 买家支票存入"&amp;IF(INDEX('Daily Sale entry '!$U$1:$U$1501,$J1480-1499)="","", " - "&amp;INDEX('Daily Sale entry '!$U$1:$U$1501,$J1480-1499))))</f>
        <v/>
      </c>
      <c r="C1480">
        <f>IF($J1480="","",IF($J1480&lt;=1500,INDEX('Daily Sale entry '!$Z$1:$Z$1501,$J1480+1)&amp;"","Cheque deposit 支票存入 (buyer 买家)"))</f>
        <v/>
      </c>
      <c r="D1480">
        <f>IF($J1480="","",IF($J1480&lt;=1500,INDEX('Daily Sale entry '!$AA$1:$AA$1501,$J1480+1)&amp;"",INDEX('Daily Sale entry '!$P$1:$P$1501,$J1480-1499)&amp;""))</f>
        <v/>
      </c>
      <c r="E1480">
        <f>IF($J1480="","",IF($J1480&lt;=1500,IF(N(INDEX('Daily Sale entry '!$AB$1:$AB$1501,$J1480+1))=0,"",INDEX('Daily Sale entry '!$AB$1:$AB$1501,$J1480+1)),1))</f>
        <v/>
      </c>
      <c r="F1480" s="6">
        <f>IF($J1480="","",IF($J1480&lt;=1500,N(INDEX('Daily Sale entry '!$AC$1:$AC$1501,$J1480+1))-IF(AND('Opening Balance'!$B$15=1,INDEX('Daily Sale entry '!$Z$1:$Z$1501,$J1480+1)="Online collection 网上收款",INDEX('Daily Sale entry '!$AA$1:$AA$1501,$J1480+1)&lt;&gt;""),N(INDEX('Daily Sale entry '!$AC$1:$AC$1501,$J1480+1))-TRUNC(N(INDEX('Daily Sale entry '!$AC$1:$AC$1501,$J1480+1))),0),N(INDEX('Daily Sale entry '!$S$1:$S$1501,$J1480-1499))-'Opening Balance'!$B$15*(N(INDEX('Daily Sale entry '!$S$1:$S$1501,$J1480-1499))-TRUNC(N(INDEX('Daily Sale entry '!$S$1:$S$1501,$J1480-1499))))))</f>
        <v/>
      </c>
      <c r="G1480" s="6">
        <f>IF($J1480="","",IF($J1480&lt;=1500,N(INDEX('Daily Sale entry '!$AD$1:$AD$1501,$J1480+1)),0))</f>
        <v/>
      </c>
      <c r="H1480" s="6">
        <f>IF($J1480="","",ROUND('Opening Balance'!$B$4+SUM($F$2:F1480)-SUM($G$2:G1480),2))</f>
        <v/>
      </c>
      <c r="J1480" s="21">
        <f>IFERROR(MATCH(ROW()-1,$L$2:$L$3001,0),"")</f>
        <v/>
      </c>
      <c r="K1480" s="34">
        <f>IF(AND('Daily Sale entry '!X1480&lt;&gt;"",OR('Daily Sale entry '!AC1480&lt;&gt;"",'Daily Sale entry '!AD1480&lt;&gt;"")),'Daily Sale entry '!X1480+ROW()/10000000,"")</f>
        <v/>
      </c>
      <c r="L1480" s="21">
        <f>IF(K1480="","",COUNTIF($K$2:$K$3001,"&lt;"&amp;K1480)+1)</f>
        <v/>
      </c>
    </row>
    <row r="1481">
      <c r="A1481" s="5">
        <f>IF($J1481="","",IF($J1481&lt;=1500,INDEX('Daily Sale entry '!$X$1:$X$1501,$J1481+1),INDEX('Daily Sale entry '!$V$1:$V$1501,$J1481-1499)))</f>
        <v/>
      </c>
      <c r="B1481">
        <f>IF($J1481="","",IF($J1481&lt;=1500,INDEX('Daily Sale entry '!$Y$1:$Y$1501,$J1481+1)&amp;"","Buyer cheque banked 买家支票存入"&amp;IF(INDEX('Daily Sale entry '!$U$1:$U$1501,$J1481-1499)="","", " - "&amp;INDEX('Daily Sale entry '!$U$1:$U$1501,$J1481-1499))))</f>
        <v/>
      </c>
      <c r="C1481">
        <f>IF($J1481="","",IF($J1481&lt;=1500,INDEX('Daily Sale entry '!$Z$1:$Z$1501,$J1481+1)&amp;"","Cheque deposit 支票存入 (buyer 买家)"))</f>
        <v/>
      </c>
      <c r="D1481">
        <f>IF($J1481="","",IF($J1481&lt;=1500,INDEX('Daily Sale entry '!$AA$1:$AA$1501,$J1481+1)&amp;"",INDEX('Daily Sale entry '!$P$1:$P$1501,$J1481-1499)&amp;""))</f>
        <v/>
      </c>
      <c r="E1481">
        <f>IF($J1481="","",IF($J1481&lt;=1500,IF(N(INDEX('Daily Sale entry '!$AB$1:$AB$1501,$J1481+1))=0,"",INDEX('Daily Sale entry '!$AB$1:$AB$1501,$J1481+1)),1))</f>
        <v/>
      </c>
      <c r="F1481" s="6">
        <f>IF($J1481="","",IF($J1481&lt;=1500,N(INDEX('Daily Sale entry '!$AC$1:$AC$1501,$J1481+1))-IF(AND('Opening Balance'!$B$15=1,INDEX('Daily Sale entry '!$Z$1:$Z$1501,$J1481+1)="Online collection 网上收款",INDEX('Daily Sale entry '!$AA$1:$AA$1501,$J1481+1)&lt;&gt;""),N(INDEX('Daily Sale entry '!$AC$1:$AC$1501,$J1481+1))-TRUNC(N(INDEX('Daily Sale entry '!$AC$1:$AC$1501,$J1481+1))),0),N(INDEX('Daily Sale entry '!$S$1:$S$1501,$J1481-1499))-'Opening Balance'!$B$15*(N(INDEX('Daily Sale entry '!$S$1:$S$1501,$J1481-1499))-TRUNC(N(INDEX('Daily Sale entry '!$S$1:$S$1501,$J1481-1499))))))</f>
        <v/>
      </c>
      <c r="G1481" s="6">
        <f>IF($J1481="","",IF($J1481&lt;=1500,N(INDEX('Daily Sale entry '!$AD$1:$AD$1501,$J1481+1)),0))</f>
        <v/>
      </c>
      <c r="H1481" s="6">
        <f>IF($J1481="","",ROUND('Opening Balance'!$B$4+SUM($F$2:F1481)-SUM($G$2:G1481),2))</f>
        <v/>
      </c>
      <c r="J1481" s="21">
        <f>IFERROR(MATCH(ROW()-1,$L$2:$L$3001,0),"")</f>
        <v/>
      </c>
      <c r="K1481" s="34">
        <f>IF(AND('Daily Sale entry '!X1481&lt;&gt;"",OR('Daily Sale entry '!AC1481&lt;&gt;"",'Daily Sale entry '!AD1481&lt;&gt;"")),'Daily Sale entry '!X1481+ROW()/10000000,"")</f>
        <v/>
      </c>
      <c r="L1481" s="21">
        <f>IF(K1481="","",COUNTIF($K$2:$K$3001,"&lt;"&amp;K1481)+1)</f>
        <v/>
      </c>
    </row>
    <row r="1482">
      <c r="A1482" s="5">
        <f>IF($J1482="","",IF($J1482&lt;=1500,INDEX('Daily Sale entry '!$X$1:$X$1501,$J1482+1),INDEX('Daily Sale entry '!$V$1:$V$1501,$J1482-1499)))</f>
        <v/>
      </c>
      <c r="B1482">
        <f>IF($J1482="","",IF($J1482&lt;=1500,INDEX('Daily Sale entry '!$Y$1:$Y$1501,$J1482+1)&amp;"","Buyer cheque banked 买家支票存入"&amp;IF(INDEX('Daily Sale entry '!$U$1:$U$1501,$J1482-1499)="","", " - "&amp;INDEX('Daily Sale entry '!$U$1:$U$1501,$J1482-1499))))</f>
        <v/>
      </c>
      <c r="C1482">
        <f>IF($J1482="","",IF($J1482&lt;=1500,INDEX('Daily Sale entry '!$Z$1:$Z$1501,$J1482+1)&amp;"","Cheque deposit 支票存入 (buyer 买家)"))</f>
        <v/>
      </c>
      <c r="D1482">
        <f>IF($J1482="","",IF($J1482&lt;=1500,INDEX('Daily Sale entry '!$AA$1:$AA$1501,$J1482+1)&amp;"",INDEX('Daily Sale entry '!$P$1:$P$1501,$J1482-1499)&amp;""))</f>
        <v/>
      </c>
      <c r="E1482">
        <f>IF($J1482="","",IF($J1482&lt;=1500,IF(N(INDEX('Daily Sale entry '!$AB$1:$AB$1501,$J1482+1))=0,"",INDEX('Daily Sale entry '!$AB$1:$AB$1501,$J1482+1)),1))</f>
        <v/>
      </c>
      <c r="F1482" s="6">
        <f>IF($J1482="","",IF($J1482&lt;=1500,N(INDEX('Daily Sale entry '!$AC$1:$AC$1501,$J1482+1))-IF(AND('Opening Balance'!$B$15=1,INDEX('Daily Sale entry '!$Z$1:$Z$1501,$J1482+1)="Online collection 网上收款",INDEX('Daily Sale entry '!$AA$1:$AA$1501,$J1482+1)&lt;&gt;""),N(INDEX('Daily Sale entry '!$AC$1:$AC$1501,$J1482+1))-TRUNC(N(INDEX('Daily Sale entry '!$AC$1:$AC$1501,$J1482+1))),0),N(INDEX('Daily Sale entry '!$S$1:$S$1501,$J1482-1499))-'Opening Balance'!$B$15*(N(INDEX('Daily Sale entry '!$S$1:$S$1501,$J1482-1499))-TRUNC(N(INDEX('Daily Sale entry '!$S$1:$S$1501,$J1482-1499))))))</f>
        <v/>
      </c>
      <c r="G1482" s="6">
        <f>IF($J1482="","",IF($J1482&lt;=1500,N(INDEX('Daily Sale entry '!$AD$1:$AD$1501,$J1482+1)),0))</f>
        <v/>
      </c>
      <c r="H1482" s="6">
        <f>IF($J1482="","",ROUND('Opening Balance'!$B$4+SUM($F$2:F1482)-SUM($G$2:G1482),2))</f>
        <v/>
      </c>
      <c r="J1482" s="21">
        <f>IFERROR(MATCH(ROW()-1,$L$2:$L$3001,0),"")</f>
        <v/>
      </c>
      <c r="K1482" s="34">
        <f>IF(AND('Daily Sale entry '!X1482&lt;&gt;"",OR('Daily Sale entry '!AC1482&lt;&gt;"",'Daily Sale entry '!AD1482&lt;&gt;"")),'Daily Sale entry '!X1482+ROW()/10000000,"")</f>
        <v/>
      </c>
      <c r="L1482" s="21">
        <f>IF(K1482="","",COUNTIF($K$2:$K$3001,"&lt;"&amp;K1482)+1)</f>
        <v/>
      </c>
    </row>
    <row r="1483">
      <c r="A1483" s="5">
        <f>IF($J1483="","",IF($J1483&lt;=1500,INDEX('Daily Sale entry '!$X$1:$X$1501,$J1483+1),INDEX('Daily Sale entry '!$V$1:$V$1501,$J1483-1499)))</f>
        <v/>
      </c>
      <c r="B1483">
        <f>IF($J1483="","",IF($J1483&lt;=1500,INDEX('Daily Sale entry '!$Y$1:$Y$1501,$J1483+1)&amp;"","Buyer cheque banked 买家支票存入"&amp;IF(INDEX('Daily Sale entry '!$U$1:$U$1501,$J1483-1499)="","", " - "&amp;INDEX('Daily Sale entry '!$U$1:$U$1501,$J1483-1499))))</f>
        <v/>
      </c>
      <c r="C1483">
        <f>IF($J1483="","",IF($J1483&lt;=1500,INDEX('Daily Sale entry '!$Z$1:$Z$1501,$J1483+1)&amp;"","Cheque deposit 支票存入 (buyer 买家)"))</f>
        <v/>
      </c>
      <c r="D1483">
        <f>IF($J1483="","",IF($J1483&lt;=1500,INDEX('Daily Sale entry '!$AA$1:$AA$1501,$J1483+1)&amp;"",INDEX('Daily Sale entry '!$P$1:$P$1501,$J1483-1499)&amp;""))</f>
        <v/>
      </c>
      <c r="E1483">
        <f>IF($J1483="","",IF($J1483&lt;=1500,IF(N(INDEX('Daily Sale entry '!$AB$1:$AB$1501,$J1483+1))=0,"",INDEX('Daily Sale entry '!$AB$1:$AB$1501,$J1483+1)),1))</f>
        <v/>
      </c>
      <c r="F1483" s="6">
        <f>IF($J1483="","",IF($J1483&lt;=1500,N(INDEX('Daily Sale entry '!$AC$1:$AC$1501,$J1483+1))-IF(AND('Opening Balance'!$B$15=1,INDEX('Daily Sale entry '!$Z$1:$Z$1501,$J1483+1)="Online collection 网上收款",INDEX('Daily Sale entry '!$AA$1:$AA$1501,$J1483+1)&lt;&gt;""),N(INDEX('Daily Sale entry '!$AC$1:$AC$1501,$J1483+1))-TRUNC(N(INDEX('Daily Sale entry '!$AC$1:$AC$1501,$J1483+1))),0),N(INDEX('Daily Sale entry '!$S$1:$S$1501,$J1483-1499))-'Opening Balance'!$B$15*(N(INDEX('Daily Sale entry '!$S$1:$S$1501,$J1483-1499))-TRUNC(N(INDEX('Daily Sale entry '!$S$1:$S$1501,$J1483-1499))))))</f>
        <v/>
      </c>
      <c r="G1483" s="6">
        <f>IF($J1483="","",IF($J1483&lt;=1500,N(INDEX('Daily Sale entry '!$AD$1:$AD$1501,$J1483+1)),0))</f>
        <v/>
      </c>
      <c r="H1483" s="6">
        <f>IF($J1483="","",ROUND('Opening Balance'!$B$4+SUM($F$2:F1483)-SUM($G$2:G1483),2))</f>
        <v/>
      </c>
      <c r="J1483" s="21">
        <f>IFERROR(MATCH(ROW()-1,$L$2:$L$3001,0),"")</f>
        <v/>
      </c>
      <c r="K1483" s="34">
        <f>IF(AND('Daily Sale entry '!X1483&lt;&gt;"",OR('Daily Sale entry '!AC1483&lt;&gt;"",'Daily Sale entry '!AD1483&lt;&gt;"")),'Daily Sale entry '!X1483+ROW()/10000000,"")</f>
        <v/>
      </c>
      <c r="L1483" s="21">
        <f>IF(K1483="","",COUNTIF($K$2:$K$3001,"&lt;"&amp;K1483)+1)</f>
        <v/>
      </c>
    </row>
    <row r="1484">
      <c r="A1484" s="5">
        <f>IF($J1484="","",IF($J1484&lt;=1500,INDEX('Daily Sale entry '!$X$1:$X$1501,$J1484+1),INDEX('Daily Sale entry '!$V$1:$V$1501,$J1484-1499)))</f>
        <v/>
      </c>
      <c r="B1484">
        <f>IF($J1484="","",IF($J1484&lt;=1500,INDEX('Daily Sale entry '!$Y$1:$Y$1501,$J1484+1)&amp;"","Buyer cheque banked 买家支票存入"&amp;IF(INDEX('Daily Sale entry '!$U$1:$U$1501,$J1484-1499)="","", " - "&amp;INDEX('Daily Sale entry '!$U$1:$U$1501,$J1484-1499))))</f>
        <v/>
      </c>
      <c r="C1484">
        <f>IF($J1484="","",IF($J1484&lt;=1500,INDEX('Daily Sale entry '!$Z$1:$Z$1501,$J1484+1)&amp;"","Cheque deposit 支票存入 (buyer 买家)"))</f>
        <v/>
      </c>
      <c r="D1484">
        <f>IF($J1484="","",IF($J1484&lt;=1500,INDEX('Daily Sale entry '!$AA$1:$AA$1501,$J1484+1)&amp;"",INDEX('Daily Sale entry '!$P$1:$P$1501,$J1484-1499)&amp;""))</f>
        <v/>
      </c>
      <c r="E1484">
        <f>IF($J1484="","",IF($J1484&lt;=1500,IF(N(INDEX('Daily Sale entry '!$AB$1:$AB$1501,$J1484+1))=0,"",INDEX('Daily Sale entry '!$AB$1:$AB$1501,$J1484+1)),1))</f>
        <v/>
      </c>
      <c r="F1484" s="6">
        <f>IF($J1484="","",IF($J1484&lt;=1500,N(INDEX('Daily Sale entry '!$AC$1:$AC$1501,$J1484+1))-IF(AND('Opening Balance'!$B$15=1,INDEX('Daily Sale entry '!$Z$1:$Z$1501,$J1484+1)="Online collection 网上收款",INDEX('Daily Sale entry '!$AA$1:$AA$1501,$J1484+1)&lt;&gt;""),N(INDEX('Daily Sale entry '!$AC$1:$AC$1501,$J1484+1))-TRUNC(N(INDEX('Daily Sale entry '!$AC$1:$AC$1501,$J1484+1))),0),N(INDEX('Daily Sale entry '!$S$1:$S$1501,$J1484-1499))-'Opening Balance'!$B$15*(N(INDEX('Daily Sale entry '!$S$1:$S$1501,$J1484-1499))-TRUNC(N(INDEX('Daily Sale entry '!$S$1:$S$1501,$J1484-1499))))))</f>
        <v/>
      </c>
      <c r="G1484" s="6">
        <f>IF($J1484="","",IF($J1484&lt;=1500,N(INDEX('Daily Sale entry '!$AD$1:$AD$1501,$J1484+1)),0))</f>
        <v/>
      </c>
      <c r="H1484" s="6">
        <f>IF($J1484="","",ROUND('Opening Balance'!$B$4+SUM($F$2:F1484)-SUM($G$2:G1484),2))</f>
        <v/>
      </c>
      <c r="J1484" s="21">
        <f>IFERROR(MATCH(ROW()-1,$L$2:$L$3001,0),"")</f>
        <v/>
      </c>
      <c r="K1484" s="34">
        <f>IF(AND('Daily Sale entry '!X1484&lt;&gt;"",OR('Daily Sale entry '!AC1484&lt;&gt;"",'Daily Sale entry '!AD1484&lt;&gt;"")),'Daily Sale entry '!X1484+ROW()/10000000,"")</f>
        <v/>
      </c>
      <c r="L1484" s="21">
        <f>IF(K1484="","",COUNTIF($K$2:$K$3001,"&lt;"&amp;K1484)+1)</f>
        <v/>
      </c>
    </row>
    <row r="1485">
      <c r="A1485" s="5">
        <f>IF($J1485="","",IF($J1485&lt;=1500,INDEX('Daily Sale entry '!$X$1:$X$1501,$J1485+1),INDEX('Daily Sale entry '!$V$1:$V$1501,$J1485-1499)))</f>
        <v/>
      </c>
      <c r="B1485">
        <f>IF($J1485="","",IF($J1485&lt;=1500,INDEX('Daily Sale entry '!$Y$1:$Y$1501,$J1485+1)&amp;"","Buyer cheque banked 买家支票存入"&amp;IF(INDEX('Daily Sale entry '!$U$1:$U$1501,$J1485-1499)="","", " - "&amp;INDEX('Daily Sale entry '!$U$1:$U$1501,$J1485-1499))))</f>
        <v/>
      </c>
      <c r="C1485">
        <f>IF($J1485="","",IF($J1485&lt;=1500,INDEX('Daily Sale entry '!$Z$1:$Z$1501,$J1485+1)&amp;"","Cheque deposit 支票存入 (buyer 买家)"))</f>
        <v/>
      </c>
      <c r="D1485">
        <f>IF($J1485="","",IF($J1485&lt;=1500,INDEX('Daily Sale entry '!$AA$1:$AA$1501,$J1485+1)&amp;"",INDEX('Daily Sale entry '!$P$1:$P$1501,$J1485-1499)&amp;""))</f>
        <v/>
      </c>
      <c r="E1485">
        <f>IF($J1485="","",IF($J1485&lt;=1500,IF(N(INDEX('Daily Sale entry '!$AB$1:$AB$1501,$J1485+1))=0,"",INDEX('Daily Sale entry '!$AB$1:$AB$1501,$J1485+1)),1))</f>
        <v/>
      </c>
      <c r="F1485" s="6">
        <f>IF($J1485="","",IF($J1485&lt;=1500,N(INDEX('Daily Sale entry '!$AC$1:$AC$1501,$J1485+1))-IF(AND('Opening Balance'!$B$15=1,INDEX('Daily Sale entry '!$Z$1:$Z$1501,$J1485+1)="Online collection 网上收款",INDEX('Daily Sale entry '!$AA$1:$AA$1501,$J1485+1)&lt;&gt;""),N(INDEX('Daily Sale entry '!$AC$1:$AC$1501,$J1485+1))-TRUNC(N(INDEX('Daily Sale entry '!$AC$1:$AC$1501,$J1485+1))),0),N(INDEX('Daily Sale entry '!$S$1:$S$1501,$J1485-1499))-'Opening Balance'!$B$15*(N(INDEX('Daily Sale entry '!$S$1:$S$1501,$J1485-1499))-TRUNC(N(INDEX('Daily Sale entry '!$S$1:$S$1501,$J1485-1499))))))</f>
        <v/>
      </c>
      <c r="G1485" s="6">
        <f>IF($J1485="","",IF($J1485&lt;=1500,N(INDEX('Daily Sale entry '!$AD$1:$AD$1501,$J1485+1)),0))</f>
        <v/>
      </c>
      <c r="H1485" s="6">
        <f>IF($J1485="","",ROUND('Opening Balance'!$B$4+SUM($F$2:F1485)-SUM($G$2:G1485),2))</f>
        <v/>
      </c>
      <c r="J1485" s="21">
        <f>IFERROR(MATCH(ROW()-1,$L$2:$L$3001,0),"")</f>
        <v/>
      </c>
      <c r="K1485" s="34">
        <f>IF(AND('Daily Sale entry '!X1485&lt;&gt;"",OR('Daily Sale entry '!AC1485&lt;&gt;"",'Daily Sale entry '!AD1485&lt;&gt;"")),'Daily Sale entry '!X1485+ROW()/10000000,"")</f>
        <v/>
      </c>
      <c r="L1485" s="21">
        <f>IF(K1485="","",COUNTIF($K$2:$K$3001,"&lt;"&amp;K1485)+1)</f>
        <v/>
      </c>
    </row>
    <row r="1486">
      <c r="A1486" s="5">
        <f>IF($J1486="","",IF($J1486&lt;=1500,INDEX('Daily Sale entry '!$X$1:$X$1501,$J1486+1),INDEX('Daily Sale entry '!$V$1:$V$1501,$J1486-1499)))</f>
        <v/>
      </c>
      <c r="B1486">
        <f>IF($J1486="","",IF($J1486&lt;=1500,INDEX('Daily Sale entry '!$Y$1:$Y$1501,$J1486+1)&amp;"","Buyer cheque banked 买家支票存入"&amp;IF(INDEX('Daily Sale entry '!$U$1:$U$1501,$J1486-1499)="","", " - "&amp;INDEX('Daily Sale entry '!$U$1:$U$1501,$J1486-1499))))</f>
        <v/>
      </c>
      <c r="C1486">
        <f>IF($J1486="","",IF($J1486&lt;=1500,INDEX('Daily Sale entry '!$Z$1:$Z$1501,$J1486+1)&amp;"","Cheque deposit 支票存入 (buyer 买家)"))</f>
        <v/>
      </c>
      <c r="D1486">
        <f>IF($J1486="","",IF($J1486&lt;=1500,INDEX('Daily Sale entry '!$AA$1:$AA$1501,$J1486+1)&amp;"",INDEX('Daily Sale entry '!$P$1:$P$1501,$J1486-1499)&amp;""))</f>
        <v/>
      </c>
      <c r="E1486">
        <f>IF($J1486="","",IF($J1486&lt;=1500,IF(N(INDEX('Daily Sale entry '!$AB$1:$AB$1501,$J1486+1))=0,"",INDEX('Daily Sale entry '!$AB$1:$AB$1501,$J1486+1)),1))</f>
        <v/>
      </c>
      <c r="F1486" s="6">
        <f>IF($J1486="","",IF($J1486&lt;=1500,N(INDEX('Daily Sale entry '!$AC$1:$AC$1501,$J1486+1))-IF(AND('Opening Balance'!$B$15=1,INDEX('Daily Sale entry '!$Z$1:$Z$1501,$J1486+1)="Online collection 网上收款",INDEX('Daily Sale entry '!$AA$1:$AA$1501,$J1486+1)&lt;&gt;""),N(INDEX('Daily Sale entry '!$AC$1:$AC$1501,$J1486+1))-TRUNC(N(INDEX('Daily Sale entry '!$AC$1:$AC$1501,$J1486+1))),0),N(INDEX('Daily Sale entry '!$S$1:$S$1501,$J1486-1499))-'Opening Balance'!$B$15*(N(INDEX('Daily Sale entry '!$S$1:$S$1501,$J1486-1499))-TRUNC(N(INDEX('Daily Sale entry '!$S$1:$S$1501,$J1486-1499))))))</f>
        <v/>
      </c>
      <c r="G1486" s="6">
        <f>IF($J1486="","",IF($J1486&lt;=1500,N(INDEX('Daily Sale entry '!$AD$1:$AD$1501,$J1486+1)),0))</f>
        <v/>
      </c>
      <c r="H1486" s="6">
        <f>IF($J1486="","",ROUND('Opening Balance'!$B$4+SUM($F$2:F1486)-SUM($G$2:G1486),2))</f>
        <v/>
      </c>
      <c r="J1486" s="21">
        <f>IFERROR(MATCH(ROW()-1,$L$2:$L$3001,0),"")</f>
        <v/>
      </c>
      <c r="K1486" s="34">
        <f>IF(AND('Daily Sale entry '!X1486&lt;&gt;"",OR('Daily Sale entry '!AC1486&lt;&gt;"",'Daily Sale entry '!AD1486&lt;&gt;"")),'Daily Sale entry '!X1486+ROW()/10000000,"")</f>
        <v/>
      </c>
      <c r="L1486" s="21">
        <f>IF(K1486="","",COUNTIF($K$2:$K$3001,"&lt;"&amp;K1486)+1)</f>
        <v/>
      </c>
    </row>
    <row r="1487">
      <c r="A1487" s="5">
        <f>IF($J1487="","",IF($J1487&lt;=1500,INDEX('Daily Sale entry '!$X$1:$X$1501,$J1487+1),INDEX('Daily Sale entry '!$V$1:$V$1501,$J1487-1499)))</f>
        <v/>
      </c>
      <c r="B1487">
        <f>IF($J1487="","",IF($J1487&lt;=1500,INDEX('Daily Sale entry '!$Y$1:$Y$1501,$J1487+1)&amp;"","Buyer cheque banked 买家支票存入"&amp;IF(INDEX('Daily Sale entry '!$U$1:$U$1501,$J1487-1499)="","", " - "&amp;INDEX('Daily Sale entry '!$U$1:$U$1501,$J1487-1499))))</f>
        <v/>
      </c>
      <c r="C1487">
        <f>IF($J1487="","",IF($J1487&lt;=1500,INDEX('Daily Sale entry '!$Z$1:$Z$1501,$J1487+1)&amp;"","Cheque deposit 支票存入 (buyer 买家)"))</f>
        <v/>
      </c>
      <c r="D1487">
        <f>IF($J1487="","",IF($J1487&lt;=1500,INDEX('Daily Sale entry '!$AA$1:$AA$1501,$J1487+1)&amp;"",INDEX('Daily Sale entry '!$P$1:$P$1501,$J1487-1499)&amp;""))</f>
        <v/>
      </c>
      <c r="E1487">
        <f>IF($J1487="","",IF($J1487&lt;=1500,IF(N(INDEX('Daily Sale entry '!$AB$1:$AB$1501,$J1487+1))=0,"",INDEX('Daily Sale entry '!$AB$1:$AB$1501,$J1487+1)),1))</f>
        <v/>
      </c>
      <c r="F1487" s="6">
        <f>IF($J1487="","",IF($J1487&lt;=1500,N(INDEX('Daily Sale entry '!$AC$1:$AC$1501,$J1487+1))-IF(AND('Opening Balance'!$B$15=1,INDEX('Daily Sale entry '!$Z$1:$Z$1501,$J1487+1)="Online collection 网上收款",INDEX('Daily Sale entry '!$AA$1:$AA$1501,$J1487+1)&lt;&gt;""),N(INDEX('Daily Sale entry '!$AC$1:$AC$1501,$J1487+1))-TRUNC(N(INDEX('Daily Sale entry '!$AC$1:$AC$1501,$J1487+1))),0),N(INDEX('Daily Sale entry '!$S$1:$S$1501,$J1487-1499))-'Opening Balance'!$B$15*(N(INDEX('Daily Sale entry '!$S$1:$S$1501,$J1487-1499))-TRUNC(N(INDEX('Daily Sale entry '!$S$1:$S$1501,$J1487-1499))))))</f>
        <v/>
      </c>
      <c r="G1487" s="6">
        <f>IF($J1487="","",IF($J1487&lt;=1500,N(INDEX('Daily Sale entry '!$AD$1:$AD$1501,$J1487+1)),0))</f>
        <v/>
      </c>
      <c r="H1487" s="6">
        <f>IF($J1487="","",ROUND('Opening Balance'!$B$4+SUM($F$2:F1487)-SUM($G$2:G1487),2))</f>
        <v/>
      </c>
      <c r="J1487" s="21">
        <f>IFERROR(MATCH(ROW()-1,$L$2:$L$3001,0),"")</f>
        <v/>
      </c>
      <c r="K1487" s="34">
        <f>IF(AND('Daily Sale entry '!X1487&lt;&gt;"",OR('Daily Sale entry '!AC1487&lt;&gt;"",'Daily Sale entry '!AD1487&lt;&gt;"")),'Daily Sale entry '!X1487+ROW()/10000000,"")</f>
        <v/>
      </c>
      <c r="L1487" s="21">
        <f>IF(K1487="","",COUNTIF($K$2:$K$3001,"&lt;"&amp;K1487)+1)</f>
        <v/>
      </c>
    </row>
    <row r="1488">
      <c r="A1488" s="5">
        <f>IF($J1488="","",IF($J1488&lt;=1500,INDEX('Daily Sale entry '!$X$1:$X$1501,$J1488+1),INDEX('Daily Sale entry '!$V$1:$V$1501,$J1488-1499)))</f>
        <v/>
      </c>
      <c r="B1488">
        <f>IF($J1488="","",IF($J1488&lt;=1500,INDEX('Daily Sale entry '!$Y$1:$Y$1501,$J1488+1)&amp;"","Buyer cheque banked 买家支票存入"&amp;IF(INDEX('Daily Sale entry '!$U$1:$U$1501,$J1488-1499)="","", " - "&amp;INDEX('Daily Sale entry '!$U$1:$U$1501,$J1488-1499))))</f>
        <v/>
      </c>
      <c r="C1488">
        <f>IF($J1488="","",IF($J1488&lt;=1500,INDEX('Daily Sale entry '!$Z$1:$Z$1501,$J1488+1)&amp;"","Cheque deposit 支票存入 (buyer 买家)"))</f>
        <v/>
      </c>
      <c r="D1488">
        <f>IF($J1488="","",IF($J1488&lt;=1500,INDEX('Daily Sale entry '!$AA$1:$AA$1501,$J1488+1)&amp;"",INDEX('Daily Sale entry '!$P$1:$P$1501,$J1488-1499)&amp;""))</f>
        <v/>
      </c>
      <c r="E1488">
        <f>IF($J1488="","",IF($J1488&lt;=1500,IF(N(INDEX('Daily Sale entry '!$AB$1:$AB$1501,$J1488+1))=0,"",INDEX('Daily Sale entry '!$AB$1:$AB$1501,$J1488+1)),1))</f>
        <v/>
      </c>
      <c r="F1488" s="6">
        <f>IF($J1488="","",IF($J1488&lt;=1500,N(INDEX('Daily Sale entry '!$AC$1:$AC$1501,$J1488+1))-IF(AND('Opening Balance'!$B$15=1,INDEX('Daily Sale entry '!$Z$1:$Z$1501,$J1488+1)="Online collection 网上收款",INDEX('Daily Sale entry '!$AA$1:$AA$1501,$J1488+1)&lt;&gt;""),N(INDEX('Daily Sale entry '!$AC$1:$AC$1501,$J1488+1))-TRUNC(N(INDEX('Daily Sale entry '!$AC$1:$AC$1501,$J1488+1))),0),N(INDEX('Daily Sale entry '!$S$1:$S$1501,$J1488-1499))-'Opening Balance'!$B$15*(N(INDEX('Daily Sale entry '!$S$1:$S$1501,$J1488-1499))-TRUNC(N(INDEX('Daily Sale entry '!$S$1:$S$1501,$J1488-1499))))))</f>
        <v/>
      </c>
      <c r="G1488" s="6">
        <f>IF($J1488="","",IF($J1488&lt;=1500,N(INDEX('Daily Sale entry '!$AD$1:$AD$1501,$J1488+1)),0))</f>
        <v/>
      </c>
      <c r="H1488" s="6">
        <f>IF($J1488="","",ROUND('Opening Balance'!$B$4+SUM($F$2:F1488)-SUM($G$2:G1488),2))</f>
        <v/>
      </c>
      <c r="J1488" s="21">
        <f>IFERROR(MATCH(ROW()-1,$L$2:$L$3001,0),"")</f>
        <v/>
      </c>
      <c r="K1488" s="34">
        <f>IF(AND('Daily Sale entry '!X1488&lt;&gt;"",OR('Daily Sale entry '!AC1488&lt;&gt;"",'Daily Sale entry '!AD1488&lt;&gt;"")),'Daily Sale entry '!X1488+ROW()/10000000,"")</f>
        <v/>
      </c>
      <c r="L1488" s="21">
        <f>IF(K1488="","",COUNTIF($K$2:$K$3001,"&lt;"&amp;K1488)+1)</f>
        <v/>
      </c>
    </row>
    <row r="1489">
      <c r="A1489" s="5">
        <f>IF($J1489="","",IF($J1489&lt;=1500,INDEX('Daily Sale entry '!$X$1:$X$1501,$J1489+1),INDEX('Daily Sale entry '!$V$1:$V$1501,$J1489-1499)))</f>
        <v/>
      </c>
      <c r="B1489">
        <f>IF($J1489="","",IF($J1489&lt;=1500,INDEX('Daily Sale entry '!$Y$1:$Y$1501,$J1489+1)&amp;"","Buyer cheque banked 买家支票存入"&amp;IF(INDEX('Daily Sale entry '!$U$1:$U$1501,$J1489-1499)="","", " - "&amp;INDEX('Daily Sale entry '!$U$1:$U$1501,$J1489-1499))))</f>
        <v/>
      </c>
      <c r="C1489">
        <f>IF($J1489="","",IF($J1489&lt;=1500,INDEX('Daily Sale entry '!$Z$1:$Z$1501,$J1489+1)&amp;"","Cheque deposit 支票存入 (buyer 买家)"))</f>
        <v/>
      </c>
      <c r="D1489">
        <f>IF($J1489="","",IF($J1489&lt;=1500,INDEX('Daily Sale entry '!$AA$1:$AA$1501,$J1489+1)&amp;"",INDEX('Daily Sale entry '!$P$1:$P$1501,$J1489-1499)&amp;""))</f>
        <v/>
      </c>
      <c r="E1489">
        <f>IF($J1489="","",IF($J1489&lt;=1500,IF(N(INDEX('Daily Sale entry '!$AB$1:$AB$1501,$J1489+1))=0,"",INDEX('Daily Sale entry '!$AB$1:$AB$1501,$J1489+1)),1))</f>
        <v/>
      </c>
      <c r="F1489" s="6">
        <f>IF($J1489="","",IF($J1489&lt;=1500,N(INDEX('Daily Sale entry '!$AC$1:$AC$1501,$J1489+1))-IF(AND('Opening Balance'!$B$15=1,INDEX('Daily Sale entry '!$Z$1:$Z$1501,$J1489+1)="Online collection 网上收款",INDEX('Daily Sale entry '!$AA$1:$AA$1501,$J1489+1)&lt;&gt;""),N(INDEX('Daily Sale entry '!$AC$1:$AC$1501,$J1489+1))-TRUNC(N(INDEX('Daily Sale entry '!$AC$1:$AC$1501,$J1489+1))),0),N(INDEX('Daily Sale entry '!$S$1:$S$1501,$J1489-1499))-'Opening Balance'!$B$15*(N(INDEX('Daily Sale entry '!$S$1:$S$1501,$J1489-1499))-TRUNC(N(INDEX('Daily Sale entry '!$S$1:$S$1501,$J1489-1499))))))</f>
        <v/>
      </c>
      <c r="G1489" s="6">
        <f>IF($J1489="","",IF($J1489&lt;=1500,N(INDEX('Daily Sale entry '!$AD$1:$AD$1501,$J1489+1)),0))</f>
        <v/>
      </c>
      <c r="H1489" s="6">
        <f>IF($J1489="","",ROUND('Opening Balance'!$B$4+SUM($F$2:F1489)-SUM($G$2:G1489),2))</f>
        <v/>
      </c>
      <c r="J1489" s="21">
        <f>IFERROR(MATCH(ROW()-1,$L$2:$L$3001,0),"")</f>
        <v/>
      </c>
      <c r="K1489" s="34">
        <f>IF(AND('Daily Sale entry '!X1489&lt;&gt;"",OR('Daily Sale entry '!AC1489&lt;&gt;"",'Daily Sale entry '!AD1489&lt;&gt;"")),'Daily Sale entry '!X1489+ROW()/10000000,"")</f>
        <v/>
      </c>
      <c r="L1489" s="21">
        <f>IF(K1489="","",COUNTIF($K$2:$K$3001,"&lt;"&amp;K1489)+1)</f>
        <v/>
      </c>
    </row>
    <row r="1490">
      <c r="A1490" s="5">
        <f>IF($J1490="","",IF($J1490&lt;=1500,INDEX('Daily Sale entry '!$X$1:$X$1501,$J1490+1),INDEX('Daily Sale entry '!$V$1:$V$1501,$J1490-1499)))</f>
        <v/>
      </c>
      <c r="B1490">
        <f>IF($J1490="","",IF($J1490&lt;=1500,INDEX('Daily Sale entry '!$Y$1:$Y$1501,$J1490+1)&amp;"","Buyer cheque banked 买家支票存入"&amp;IF(INDEX('Daily Sale entry '!$U$1:$U$1501,$J1490-1499)="","", " - "&amp;INDEX('Daily Sale entry '!$U$1:$U$1501,$J1490-1499))))</f>
        <v/>
      </c>
      <c r="C1490">
        <f>IF($J1490="","",IF($J1490&lt;=1500,INDEX('Daily Sale entry '!$Z$1:$Z$1501,$J1490+1)&amp;"","Cheque deposit 支票存入 (buyer 买家)"))</f>
        <v/>
      </c>
      <c r="D1490">
        <f>IF($J1490="","",IF($J1490&lt;=1500,INDEX('Daily Sale entry '!$AA$1:$AA$1501,$J1490+1)&amp;"",INDEX('Daily Sale entry '!$P$1:$P$1501,$J1490-1499)&amp;""))</f>
        <v/>
      </c>
      <c r="E1490">
        <f>IF($J1490="","",IF($J1490&lt;=1500,IF(N(INDEX('Daily Sale entry '!$AB$1:$AB$1501,$J1490+1))=0,"",INDEX('Daily Sale entry '!$AB$1:$AB$1501,$J1490+1)),1))</f>
        <v/>
      </c>
      <c r="F1490" s="6">
        <f>IF($J1490="","",IF($J1490&lt;=1500,N(INDEX('Daily Sale entry '!$AC$1:$AC$1501,$J1490+1))-IF(AND('Opening Balance'!$B$15=1,INDEX('Daily Sale entry '!$Z$1:$Z$1501,$J1490+1)="Online collection 网上收款",INDEX('Daily Sale entry '!$AA$1:$AA$1501,$J1490+1)&lt;&gt;""),N(INDEX('Daily Sale entry '!$AC$1:$AC$1501,$J1490+1))-TRUNC(N(INDEX('Daily Sale entry '!$AC$1:$AC$1501,$J1490+1))),0),N(INDEX('Daily Sale entry '!$S$1:$S$1501,$J1490-1499))-'Opening Balance'!$B$15*(N(INDEX('Daily Sale entry '!$S$1:$S$1501,$J1490-1499))-TRUNC(N(INDEX('Daily Sale entry '!$S$1:$S$1501,$J1490-1499))))))</f>
        <v/>
      </c>
      <c r="G1490" s="6">
        <f>IF($J1490="","",IF($J1490&lt;=1500,N(INDEX('Daily Sale entry '!$AD$1:$AD$1501,$J1490+1)),0))</f>
        <v/>
      </c>
      <c r="H1490" s="6">
        <f>IF($J1490="","",ROUND('Opening Balance'!$B$4+SUM($F$2:F1490)-SUM($G$2:G1490),2))</f>
        <v/>
      </c>
      <c r="J1490" s="21">
        <f>IFERROR(MATCH(ROW()-1,$L$2:$L$3001,0),"")</f>
        <v/>
      </c>
      <c r="K1490" s="34">
        <f>IF(AND('Daily Sale entry '!X1490&lt;&gt;"",OR('Daily Sale entry '!AC1490&lt;&gt;"",'Daily Sale entry '!AD1490&lt;&gt;"")),'Daily Sale entry '!X1490+ROW()/10000000,"")</f>
        <v/>
      </c>
      <c r="L1490" s="21">
        <f>IF(K1490="","",COUNTIF($K$2:$K$3001,"&lt;"&amp;K1490)+1)</f>
        <v/>
      </c>
    </row>
    <row r="1491">
      <c r="A1491" s="5">
        <f>IF($J1491="","",IF($J1491&lt;=1500,INDEX('Daily Sale entry '!$X$1:$X$1501,$J1491+1),INDEX('Daily Sale entry '!$V$1:$V$1501,$J1491-1499)))</f>
        <v/>
      </c>
      <c r="B1491">
        <f>IF($J1491="","",IF($J1491&lt;=1500,INDEX('Daily Sale entry '!$Y$1:$Y$1501,$J1491+1)&amp;"","Buyer cheque banked 买家支票存入"&amp;IF(INDEX('Daily Sale entry '!$U$1:$U$1501,$J1491-1499)="","", " - "&amp;INDEX('Daily Sale entry '!$U$1:$U$1501,$J1491-1499))))</f>
        <v/>
      </c>
      <c r="C1491">
        <f>IF($J1491="","",IF($J1491&lt;=1500,INDEX('Daily Sale entry '!$Z$1:$Z$1501,$J1491+1)&amp;"","Cheque deposit 支票存入 (buyer 买家)"))</f>
        <v/>
      </c>
      <c r="D1491">
        <f>IF($J1491="","",IF($J1491&lt;=1500,INDEX('Daily Sale entry '!$AA$1:$AA$1501,$J1491+1)&amp;"",INDEX('Daily Sale entry '!$P$1:$P$1501,$J1491-1499)&amp;""))</f>
        <v/>
      </c>
      <c r="E1491">
        <f>IF($J1491="","",IF($J1491&lt;=1500,IF(N(INDEX('Daily Sale entry '!$AB$1:$AB$1501,$J1491+1))=0,"",INDEX('Daily Sale entry '!$AB$1:$AB$1501,$J1491+1)),1))</f>
        <v/>
      </c>
      <c r="F1491" s="6">
        <f>IF($J1491="","",IF($J1491&lt;=1500,N(INDEX('Daily Sale entry '!$AC$1:$AC$1501,$J1491+1))-IF(AND('Opening Balance'!$B$15=1,INDEX('Daily Sale entry '!$Z$1:$Z$1501,$J1491+1)="Online collection 网上收款",INDEX('Daily Sale entry '!$AA$1:$AA$1501,$J1491+1)&lt;&gt;""),N(INDEX('Daily Sale entry '!$AC$1:$AC$1501,$J1491+1))-TRUNC(N(INDEX('Daily Sale entry '!$AC$1:$AC$1501,$J1491+1))),0),N(INDEX('Daily Sale entry '!$S$1:$S$1501,$J1491-1499))-'Opening Balance'!$B$15*(N(INDEX('Daily Sale entry '!$S$1:$S$1501,$J1491-1499))-TRUNC(N(INDEX('Daily Sale entry '!$S$1:$S$1501,$J1491-1499))))))</f>
        <v/>
      </c>
      <c r="G1491" s="6">
        <f>IF($J1491="","",IF($J1491&lt;=1500,N(INDEX('Daily Sale entry '!$AD$1:$AD$1501,$J1491+1)),0))</f>
        <v/>
      </c>
      <c r="H1491" s="6">
        <f>IF($J1491="","",ROUND('Opening Balance'!$B$4+SUM($F$2:F1491)-SUM($G$2:G1491),2))</f>
        <v/>
      </c>
      <c r="J1491" s="21">
        <f>IFERROR(MATCH(ROW()-1,$L$2:$L$3001,0),"")</f>
        <v/>
      </c>
      <c r="K1491" s="34">
        <f>IF(AND('Daily Sale entry '!X1491&lt;&gt;"",OR('Daily Sale entry '!AC1491&lt;&gt;"",'Daily Sale entry '!AD1491&lt;&gt;"")),'Daily Sale entry '!X1491+ROW()/10000000,"")</f>
        <v/>
      </c>
      <c r="L1491" s="21">
        <f>IF(K1491="","",COUNTIF($K$2:$K$3001,"&lt;"&amp;K1491)+1)</f>
        <v/>
      </c>
    </row>
    <row r="1492">
      <c r="A1492" s="5">
        <f>IF($J1492="","",IF($J1492&lt;=1500,INDEX('Daily Sale entry '!$X$1:$X$1501,$J1492+1),INDEX('Daily Sale entry '!$V$1:$V$1501,$J1492-1499)))</f>
        <v/>
      </c>
      <c r="B1492">
        <f>IF($J1492="","",IF($J1492&lt;=1500,INDEX('Daily Sale entry '!$Y$1:$Y$1501,$J1492+1)&amp;"","Buyer cheque banked 买家支票存入"&amp;IF(INDEX('Daily Sale entry '!$U$1:$U$1501,$J1492-1499)="","", " - "&amp;INDEX('Daily Sale entry '!$U$1:$U$1501,$J1492-1499))))</f>
        <v/>
      </c>
      <c r="C1492">
        <f>IF($J1492="","",IF($J1492&lt;=1500,INDEX('Daily Sale entry '!$Z$1:$Z$1501,$J1492+1)&amp;"","Cheque deposit 支票存入 (buyer 买家)"))</f>
        <v/>
      </c>
      <c r="D1492">
        <f>IF($J1492="","",IF($J1492&lt;=1500,INDEX('Daily Sale entry '!$AA$1:$AA$1501,$J1492+1)&amp;"",INDEX('Daily Sale entry '!$P$1:$P$1501,$J1492-1499)&amp;""))</f>
        <v/>
      </c>
      <c r="E1492">
        <f>IF($J1492="","",IF($J1492&lt;=1500,IF(N(INDEX('Daily Sale entry '!$AB$1:$AB$1501,$J1492+1))=0,"",INDEX('Daily Sale entry '!$AB$1:$AB$1501,$J1492+1)),1))</f>
        <v/>
      </c>
      <c r="F1492" s="6">
        <f>IF($J1492="","",IF($J1492&lt;=1500,N(INDEX('Daily Sale entry '!$AC$1:$AC$1501,$J1492+1))-IF(AND('Opening Balance'!$B$15=1,INDEX('Daily Sale entry '!$Z$1:$Z$1501,$J1492+1)="Online collection 网上收款",INDEX('Daily Sale entry '!$AA$1:$AA$1501,$J1492+1)&lt;&gt;""),N(INDEX('Daily Sale entry '!$AC$1:$AC$1501,$J1492+1))-TRUNC(N(INDEX('Daily Sale entry '!$AC$1:$AC$1501,$J1492+1))),0),N(INDEX('Daily Sale entry '!$S$1:$S$1501,$J1492-1499))-'Opening Balance'!$B$15*(N(INDEX('Daily Sale entry '!$S$1:$S$1501,$J1492-1499))-TRUNC(N(INDEX('Daily Sale entry '!$S$1:$S$1501,$J1492-1499))))))</f>
        <v/>
      </c>
      <c r="G1492" s="6">
        <f>IF($J1492="","",IF($J1492&lt;=1500,N(INDEX('Daily Sale entry '!$AD$1:$AD$1501,$J1492+1)),0))</f>
        <v/>
      </c>
      <c r="H1492" s="6">
        <f>IF($J1492="","",ROUND('Opening Balance'!$B$4+SUM($F$2:F1492)-SUM($G$2:G1492),2))</f>
        <v/>
      </c>
      <c r="J1492" s="21">
        <f>IFERROR(MATCH(ROW()-1,$L$2:$L$3001,0),"")</f>
        <v/>
      </c>
      <c r="K1492" s="34">
        <f>IF(AND('Daily Sale entry '!X1492&lt;&gt;"",OR('Daily Sale entry '!AC1492&lt;&gt;"",'Daily Sale entry '!AD1492&lt;&gt;"")),'Daily Sale entry '!X1492+ROW()/10000000,"")</f>
        <v/>
      </c>
      <c r="L1492" s="21">
        <f>IF(K1492="","",COUNTIF($K$2:$K$3001,"&lt;"&amp;K1492)+1)</f>
        <v/>
      </c>
    </row>
    <row r="1493">
      <c r="A1493" s="5">
        <f>IF($J1493="","",IF($J1493&lt;=1500,INDEX('Daily Sale entry '!$X$1:$X$1501,$J1493+1),INDEX('Daily Sale entry '!$V$1:$V$1501,$J1493-1499)))</f>
        <v/>
      </c>
      <c r="B1493">
        <f>IF($J1493="","",IF($J1493&lt;=1500,INDEX('Daily Sale entry '!$Y$1:$Y$1501,$J1493+1)&amp;"","Buyer cheque banked 买家支票存入"&amp;IF(INDEX('Daily Sale entry '!$U$1:$U$1501,$J1493-1499)="","", " - "&amp;INDEX('Daily Sale entry '!$U$1:$U$1501,$J1493-1499))))</f>
        <v/>
      </c>
      <c r="C1493">
        <f>IF($J1493="","",IF($J1493&lt;=1500,INDEX('Daily Sale entry '!$Z$1:$Z$1501,$J1493+1)&amp;"","Cheque deposit 支票存入 (buyer 买家)"))</f>
        <v/>
      </c>
      <c r="D1493">
        <f>IF($J1493="","",IF($J1493&lt;=1500,INDEX('Daily Sale entry '!$AA$1:$AA$1501,$J1493+1)&amp;"",INDEX('Daily Sale entry '!$P$1:$P$1501,$J1493-1499)&amp;""))</f>
        <v/>
      </c>
      <c r="E1493">
        <f>IF($J1493="","",IF($J1493&lt;=1500,IF(N(INDEX('Daily Sale entry '!$AB$1:$AB$1501,$J1493+1))=0,"",INDEX('Daily Sale entry '!$AB$1:$AB$1501,$J1493+1)),1))</f>
        <v/>
      </c>
      <c r="F1493" s="6">
        <f>IF($J1493="","",IF($J1493&lt;=1500,N(INDEX('Daily Sale entry '!$AC$1:$AC$1501,$J1493+1))-IF(AND('Opening Balance'!$B$15=1,INDEX('Daily Sale entry '!$Z$1:$Z$1501,$J1493+1)="Online collection 网上收款",INDEX('Daily Sale entry '!$AA$1:$AA$1501,$J1493+1)&lt;&gt;""),N(INDEX('Daily Sale entry '!$AC$1:$AC$1501,$J1493+1))-TRUNC(N(INDEX('Daily Sale entry '!$AC$1:$AC$1501,$J1493+1))),0),N(INDEX('Daily Sale entry '!$S$1:$S$1501,$J1493-1499))-'Opening Balance'!$B$15*(N(INDEX('Daily Sale entry '!$S$1:$S$1501,$J1493-1499))-TRUNC(N(INDEX('Daily Sale entry '!$S$1:$S$1501,$J1493-1499))))))</f>
        <v/>
      </c>
      <c r="G1493" s="6">
        <f>IF($J1493="","",IF($J1493&lt;=1500,N(INDEX('Daily Sale entry '!$AD$1:$AD$1501,$J1493+1)),0))</f>
        <v/>
      </c>
      <c r="H1493" s="6">
        <f>IF($J1493="","",ROUND('Opening Balance'!$B$4+SUM($F$2:F1493)-SUM($G$2:G1493),2))</f>
        <v/>
      </c>
      <c r="J1493" s="21">
        <f>IFERROR(MATCH(ROW()-1,$L$2:$L$3001,0),"")</f>
        <v/>
      </c>
      <c r="K1493" s="34">
        <f>IF(AND('Daily Sale entry '!X1493&lt;&gt;"",OR('Daily Sale entry '!AC1493&lt;&gt;"",'Daily Sale entry '!AD1493&lt;&gt;"")),'Daily Sale entry '!X1493+ROW()/10000000,"")</f>
        <v/>
      </c>
      <c r="L1493" s="21">
        <f>IF(K1493="","",COUNTIF($K$2:$K$3001,"&lt;"&amp;K1493)+1)</f>
        <v/>
      </c>
    </row>
    <row r="1494">
      <c r="A1494" s="5">
        <f>IF($J1494="","",IF($J1494&lt;=1500,INDEX('Daily Sale entry '!$X$1:$X$1501,$J1494+1),INDEX('Daily Sale entry '!$V$1:$V$1501,$J1494-1499)))</f>
        <v/>
      </c>
      <c r="B1494">
        <f>IF($J1494="","",IF($J1494&lt;=1500,INDEX('Daily Sale entry '!$Y$1:$Y$1501,$J1494+1)&amp;"","Buyer cheque banked 买家支票存入"&amp;IF(INDEX('Daily Sale entry '!$U$1:$U$1501,$J1494-1499)="","", " - "&amp;INDEX('Daily Sale entry '!$U$1:$U$1501,$J1494-1499))))</f>
        <v/>
      </c>
      <c r="C1494">
        <f>IF($J1494="","",IF($J1494&lt;=1500,INDEX('Daily Sale entry '!$Z$1:$Z$1501,$J1494+1)&amp;"","Cheque deposit 支票存入 (buyer 买家)"))</f>
        <v/>
      </c>
      <c r="D1494">
        <f>IF($J1494="","",IF($J1494&lt;=1500,INDEX('Daily Sale entry '!$AA$1:$AA$1501,$J1494+1)&amp;"",INDEX('Daily Sale entry '!$P$1:$P$1501,$J1494-1499)&amp;""))</f>
        <v/>
      </c>
      <c r="E1494">
        <f>IF($J1494="","",IF($J1494&lt;=1500,IF(N(INDEX('Daily Sale entry '!$AB$1:$AB$1501,$J1494+1))=0,"",INDEX('Daily Sale entry '!$AB$1:$AB$1501,$J1494+1)),1))</f>
        <v/>
      </c>
      <c r="F1494" s="6">
        <f>IF($J1494="","",IF($J1494&lt;=1500,N(INDEX('Daily Sale entry '!$AC$1:$AC$1501,$J1494+1))-IF(AND('Opening Balance'!$B$15=1,INDEX('Daily Sale entry '!$Z$1:$Z$1501,$J1494+1)="Online collection 网上收款",INDEX('Daily Sale entry '!$AA$1:$AA$1501,$J1494+1)&lt;&gt;""),N(INDEX('Daily Sale entry '!$AC$1:$AC$1501,$J1494+1))-TRUNC(N(INDEX('Daily Sale entry '!$AC$1:$AC$1501,$J1494+1))),0),N(INDEX('Daily Sale entry '!$S$1:$S$1501,$J1494-1499))-'Opening Balance'!$B$15*(N(INDEX('Daily Sale entry '!$S$1:$S$1501,$J1494-1499))-TRUNC(N(INDEX('Daily Sale entry '!$S$1:$S$1501,$J1494-1499))))))</f>
        <v/>
      </c>
      <c r="G1494" s="6">
        <f>IF($J1494="","",IF($J1494&lt;=1500,N(INDEX('Daily Sale entry '!$AD$1:$AD$1501,$J1494+1)),0))</f>
        <v/>
      </c>
      <c r="H1494" s="6">
        <f>IF($J1494="","",ROUND('Opening Balance'!$B$4+SUM($F$2:F1494)-SUM($G$2:G1494),2))</f>
        <v/>
      </c>
      <c r="J1494" s="21">
        <f>IFERROR(MATCH(ROW()-1,$L$2:$L$3001,0),"")</f>
        <v/>
      </c>
      <c r="K1494" s="34">
        <f>IF(AND('Daily Sale entry '!X1494&lt;&gt;"",OR('Daily Sale entry '!AC1494&lt;&gt;"",'Daily Sale entry '!AD1494&lt;&gt;"")),'Daily Sale entry '!X1494+ROW()/10000000,"")</f>
        <v/>
      </c>
      <c r="L1494" s="21">
        <f>IF(K1494="","",COUNTIF($K$2:$K$3001,"&lt;"&amp;K1494)+1)</f>
        <v/>
      </c>
    </row>
    <row r="1495">
      <c r="A1495" s="5">
        <f>IF($J1495="","",IF($J1495&lt;=1500,INDEX('Daily Sale entry '!$X$1:$X$1501,$J1495+1),INDEX('Daily Sale entry '!$V$1:$V$1501,$J1495-1499)))</f>
        <v/>
      </c>
      <c r="B1495">
        <f>IF($J1495="","",IF($J1495&lt;=1500,INDEX('Daily Sale entry '!$Y$1:$Y$1501,$J1495+1)&amp;"","Buyer cheque banked 买家支票存入"&amp;IF(INDEX('Daily Sale entry '!$U$1:$U$1501,$J1495-1499)="","", " - "&amp;INDEX('Daily Sale entry '!$U$1:$U$1501,$J1495-1499))))</f>
        <v/>
      </c>
      <c r="C1495">
        <f>IF($J1495="","",IF($J1495&lt;=1500,INDEX('Daily Sale entry '!$Z$1:$Z$1501,$J1495+1)&amp;"","Cheque deposit 支票存入 (buyer 买家)"))</f>
        <v/>
      </c>
      <c r="D1495">
        <f>IF($J1495="","",IF($J1495&lt;=1500,INDEX('Daily Sale entry '!$AA$1:$AA$1501,$J1495+1)&amp;"",INDEX('Daily Sale entry '!$P$1:$P$1501,$J1495-1499)&amp;""))</f>
        <v/>
      </c>
      <c r="E1495">
        <f>IF($J1495="","",IF($J1495&lt;=1500,IF(N(INDEX('Daily Sale entry '!$AB$1:$AB$1501,$J1495+1))=0,"",INDEX('Daily Sale entry '!$AB$1:$AB$1501,$J1495+1)),1))</f>
        <v/>
      </c>
      <c r="F1495" s="6">
        <f>IF($J1495="","",IF($J1495&lt;=1500,N(INDEX('Daily Sale entry '!$AC$1:$AC$1501,$J1495+1))-IF(AND('Opening Balance'!$B$15=1,INDEX('Daily Sale entry '!$Z$1:$Z$1501,$J1495+1)="Online collection 网上收款",INDEX('Daily Sale entry '!$AA$1:$AA$1501,$J1495+1)&lt;&gt;""),N(INDEX('Daily Sale entry '!$AC$1:$AC$1501,$J1495+1))-TRUNC(N(INDEX('Daily Sale entry '!$AC$1:$AC$1501,$J1495+1))),0),N(INDEX('Daily Sale entry '!$S$1:$S$1501,$J1495-1499))-'Opening Balance'!$B$15*(N(INDEX('Daily Sale entry '!$S$1:$S$1501,$J1495-1499))-TRUNC(N(INDEX('Daily Sale entry '!$S$1:$S$1501,$J1495-1499))))))</f>
        <v/>
      </c>
      <c r="G1495" s="6">
        <f>IF($J1495="","",IF($J1495&lt;=1500,N(INDEX('Daily Sale entry '!$AD$1:$AD$1501,$J1495+1)),0))</f>
        <v/>
      </c>
      <c r="H1495" s="6">
        <f>IF($J1495="","",ROUND('Opening Balance'!$B$4+SUM($F$2:F1495)-SUM($G$2:G1495),2))</f>
        <v/>
      </c>
      <c r="J1495" s="21">
        <f>IFERROR(MATCH(ROW()-1,$L$2:$L$3001,0),"")</f>
        <v/>
      </c>
      <c r="K1495" s="34">
        <f>IF(AND('Daily Sale entry '!X1495&lt;&gt;"",OR('Daily Sale entry '!AC1495&lt;&gt;"",'Daily Sale entry '!AD1495&lt;&gt;"")),'Daily Sale entry '!X1495+ROW()/10000000,"")</f>
        <v/>
      </c>
      <c r="L1495" s="21">
        <f>IF(K1495="","",COUNTIF($K$2:$K$3001,"&lt;"&amp;K1495)+1)</f>
        <v/>
      </c>
    </row>
    <row r="1496">
      <c r="A1496" s="5">
        <f>IF($J1496="","",IF($J1496&lt;=1500,INDEX('Daily Sale entry '!$X$1:$X$1501,$J1496+1),INDEX('Daily Sale entry '!$V$1:$V$1501,$J1496-1499)))</f>
        <v/>
      </c>
      <c r="B1496">
        <f>IF($J1496="","",IF($J1496&lt;=1500,INDEX('Daily Sale entry '!$Y$1:$Y$1501,$J1496+1)&amp;"","Buyer cheque banked 买家支票存入"&amp;IF(INDEX('Daily Sale entry '!$U$1:$U$1501,$J1496-1499)="","", " - "&amp;INDEX('Daily Sale entry '!$U$1:$U$1501,$J1496-1499))))</f>
        <v/>
      </c>
      <c r="C1496">
        <f>IF($J1496="","",IF($J1496&lt;=1500,INDEX('Daily Sale entry '!$Z$1:$Z$1501,$J1496+1)&amp;"","Cheque deposit 支票存入 (buyer 买家)"))</f>
        <v/>
      </c>
      <c r="D1496">
        <f>IF($J1496="","",IF($J1496&lt;=1500,INDEX('Daily Sale entry '!$AA$1:$AA$1501,$J1496+1)&amp;"",INDEX('Daily Sale entry '!$P$1:$P$1501,$J1496-1499)&amp;""))</f>
        <v/>
      </c>
      <c r="E1496">
        <f>IF($J1496="","",IF($J1496&lt;=1500,IF(N(INDEX('Daily Sale entry '!$AB$1:$AB$1501,$J1496+1))=0,"",INDEX('Daily Sale entry '!$AB$1:$AB$1501,$J1496+1)),1))</f>
        <v/>
      </c>
      <c r="F1496" s="6">
        <f>IF($J1496="","",IF($J1496&lt;=1500,N(INDEX('Daily Sale entry '!$AC$1:$AC$1501,$J1496+1))-IF(AND('Opening Balance'!$B$15=1,INDEX('Daily Sale entry '!$Z$1:$Z$1501,$J1496+1)="Online collection 网上收款",INDEX('Daily Sale entry '!$AA$1:$AA$1501,$J1496+1)&lt;&gt;""),N(INDEX('Daily Sale entry '!$AC$1:$AC$1501,$J1496+1))-TRUNC(N(INDEX('Daily Sale entry '!$AC$1:$AC$1501,$J1496+1))),0),N(INDEX('Daily Sale entry '!$S$1:$S$1501,$J1496-1499))-'Opening Balance'!$B$15*(N(INDEX('Daily Sale entry '!$S$1:$S$1501,$J1496-1499))-TRUNC(N(INDEX('Daily Sale entry '!$S$1:$S$1501,$J1496-1499))))))</f>
        <v/>
      </c>
      <c r="G1496" s="6">
        <f>IF($J1496="","",IF($J1496&lt;=1500,N(INDEX('Daily Sale entry '!$AD$1:$AD$1501,$J1496+1)),0))</f>
        <v/>
      </c>
      <c r="H1496" s="6">
        <f>IF($J1496="","",ROUND('Opening Balance'!$B$4+SUM($F$2:F1496)-SUM($G$2:G1496),2))</f>
        <v/>
      </c>
      <c r="J1496" s="21">
        <f>IFERROR(MATCH(ROW()-1,$L$2:$L$3001,0),"")</f>
        <v/>
      </c>
      <c r="K1496" s="34">
        <f>IF(AND('Daily Sale entry '!X1496&lt;&gt;"",OR('Daily Sale entry '!AC1496&lt;&gt;"",'Daily Sale entry '!AD1496&lt;&gt;"")),'Daily Sale entry '!X1496+ROW()/10000000,"")</f>
        <v/>
      </c>
      <c r="L1496" s="21">
        <f>IF(K1496="","",COUNTIF($K$2:$K$3001,"&lt;"&amp;K1496)+1)</f>
        <v/>
      </c>
    </row>
    <row r="1497">
      <c r="A1497" s="5">
        <f>IF($J1497="","",IF($J1497&lt;=1500,INDEX('Daily Sale entry '!$X$1:$X$1501,$J1497+1),INDEX('Daily Sale entry '!$V$1:$V$1501,$J1497-1499)))</f>
        <v/>
      </c>
      <c r="B1497">
        <f>IF($J1497="","",IF($J1497&lt;=1500,INDEX('Daily Sale entry '!$Y$1:$Y$1501,$J1497+1)&amp;"","Buyer cheque banked 买家支票存入"&amp;IF(INDEX('Daily Sale entry '!$U$1:$U$1501,$J1497-1499)="","", " - "&amp;INDEX('Daily Sale entry '!$U$1:$U$1501,$J1497-1499))))</f>
        <v/>
      </c>
      <c r="C1497">
        <f>IF($J1497="","",IF($J1497&lt;=1500,INDEX('Daily Sale entry '!$Z$1:$Z$1501,$J1497+1)&amp;"","Cheque deposit 支票存入 (buyer 买家)"))</f>
        <v/>
      </c>
      <c r="D1497">
        <f>IF($J1497="","",IF($J1497&lt;=1500,INDEX('Daily Sale entry '!$AA$1:$AA$1501,$J1497+1)&amp;"",INDEX('Daily Sale entry '!$P$1:$P$1501,$J1497-1499)&amp;""))</f>
        <v/>
      </c>
      <c r="E1497">
        <f>IF($J1497="","",IF($J1497&lt;=1500,IF(N(INDEX('Daily Sale entry '!$AB$1:$AB$1501,$J1497+1))=0,"",INDEX('Daily Sale entry '!$AB$1:$AB$1501,$J1497+1)),1))</f>
        <v/>
      </c>
      <c r="F1497" s="6">
        <f>IF($J1497="","",IF($J1497&lt;=1500,N(INDEX('Daily Sale entry '!$AC$1:$AC$1501,$J1497+1))-IF(AND('Opening Balance'!$B$15=1,INDEX('Daily Sale entry '!$Z$1:$Z$1501,$J1497+1)="Online collection 网上收款",INDEX('Daily Sale entry '!$AA$1:$AA$1501,$J1497+1)&lt;&gt;""),N(INDEX('Daily Sale entry '!$AC$1:$AC$1501,$J1497+1))-TRUNC(N(INDEX('Daily Sale entry '!$AC$1:$AC$1501,$J1497+1))),0),N(INDEX('Daily Sale entry '!$S$1:$S$1501,$J1497-1499))-'Opening Balance'!$B$15*(N(INDEX('Daily Sale entry '!$S$1:$S$1501,$J1497-1499))-TRUNC(N(INDEX('Daily Sale entry '!$S$1:$S$1501,$J1497-1499))))))</f>
        <v/>
      </c>
      <c r="G1497" s="6">
        <f>IF($J1497="","",IF($J1497&lt;=1500,N(INDEX('Daily Sale entry '!$AD$1:$AD$1501,$J1497+1)),0))</f>
        <v/>
      </c>
      <c r="H1497" s="6">
        <f>IF($J1497="","",ROUND('Opening Balance'!$B$4+SUM($F$2:F1497)-SUM($G$2:G1497),2))</f>
        <v/>
      </c>
      <c r="J1497" s="21">
        <f>IFERROR(MATCH(ROW()-1,$L$2:$L$3001,0),"")</f>
        <v/>
      </c>
      <c r="K1497" s="34">
        <f>IF(AND('Daily Sale entry '!X1497&lt;&gt;"",OR('Daily Sale entry '!AC1497&lt;&gt;"",'Daily Sale entry '!AD1497&lt;&gt;"")),'Daily Sale entry '!X1497+ROW()/10000000,"")</f>
        <v/>
      </c>
      <c r="L1497" s="21">
        <f>IF(K1497="","",COUNTIF($K$2:$K$3001,"&lt;"&amp;K1497)+1)</f>
        <v/>
      </c>
    </row>
    <row r="1498">
      <c r="A1498" s="5">
        <f>IF($J1498="","",IF($J1498&lt;=1500,INDEX('Daily Sale entry '!$X$1:$X$1501,$J1498+1),INDEX('Daily Sale entry '!$V$1:$V$1501,$J1498-1499)))</f>
        <v/>
      </c>
      <c r="B1498">
        <f>IF($J1498="","",IF($J1498&lt;=1500,INDEX('Daily Sale entry '!$Y$1:$Y$1501,$J1498+1)&amp;"","Buyer cheque banked 买家支票存入"&amp;IF(INDEX('Daily Sale entry '!$U$1:$U$1501,$J1498-1499)="","", " - "&amp;INDEX('Daily Sale entry '!$U$1:$U$1501,$J1498-1499))))</f>
        <v/>
      </c>
      <c r="C1498">
        <f>IF($J1498="","",IF($J1498&lt;=1500,INDEX('Daily Sale entry '!$Z$1:$Z$1501,$J1498+1)&amp;"","Cheque deposit 支票存入 (buyer 买家)"))</f>
        <v/>
      </c>
      <c r="D1498">
        <f>IF($J1498="","",IF($J1498&lt;=1500,INDEX('Daily Sale entry '!$AA$1:$AA$1501,$J1498+1)&amp;"",INDEX('Daily Sale entry '!$P$1:$P$1501,$J1498-1499)&amp;""))</f>
        <v/>
      </c>
      <c r="E1498">
        <f>IF($J1498="","",IF($J1498&lt;=1500,IF(N(INDEX('Daily Sale entry '!$AB$1:$AB$1501,$J1498+1))=0,"",INDEX('Daily Sale entry '!$AB$1:$AB$1501,$J1498+1)),1))</f>
        <v/>
      </c>
      <c r="F1498" s="6">
        <f>IF($J1498="","",IF($J1498&lt;=1500,N(INDEX('Daily Sale entry '!$AC$1:$AC$1501,$J1498+1))-IF(AND('Opening Balance'!$B$15=1,INDEX('Daily Sale entry '!$Z$1:$Z$1501,$J1498+1)="Online collection 网上收款",INDEX('Daily Sale entry '!$AA$1:$AA$1501,$J1498+1)&lt;&gt;""),N(INDEX('Daily Sale entry '!$AC$1:$AC$1501,$J1498+1))-TRUNC(N(INDEX('Daily Sale entry '!$AC$1:$AC$1501,$J1498+1))),0),N(INDEX('Daily Sale entry '!$S$1:$S$1501,$J1498-1499))-'Opening Balance'!$B$15*(N(INDEX('Daily Sale entry '!$S$1:$S$1501,$J1498-1499))-TRUNC(N(INDEX('Daily Sale entry '!$S$1:$S$1501,$J1498-1499))))))</f>
        <v/>
      </c>
      <c r="G1498" s="6">
        <f>IF($J1498="","",IF($J1498&lt;=1500,N(INDEX('Daily Sale entry '!$AD$1:$AD$1501,$J1498+1)),0))</f>
        <v/>
      </c>
      <c r="H1498" s="6">
        <f>IF($J1498="","",ROUND('Opening Balance'!$B$4+SUM($F$2:F1498)-SUM($G$2:G1498),2))</f>
        <v/>
      </c>
      <c r="J1498" s="21">
        <f>IFERROR(MATCH(ROW()-1,$L$2:$L$3001,0),"")</f>
        <v/>
      </c>
      <c r="K1498" s="34">
        <f>IF(AND('Daily Sale entry '!X1498&lt;&gt;"",OR('Daily Sale entry '!AC1498&lt;&gt;"",'Daily Sale entry '!AD1498&lt;&gt;"")),'Daily Sale entry '!X1498+ROW()/10000000,"")</f>
        <v/>
      </c>
      <c r="L1498" s="21">
        <f>IF(K1498="","",COUNTIF($K$2:$K$3001,"&lt;"&amp;K1498)+1)</f>
        <v/>
      </c>
    </row>
    <row r="1499">
      <c r="A1499" s="5">
        <f>IF($J1499="","",IF($J1499&lt;=1500,INDEX('Daily Sale entry '!$X$1:$X$1501,$J1499+1),INDEX('Daily Sale entry '!$V$1:$V$1501,$J1499-1499)))</f>
        <v/>
      </c>
      <c r="B1499">
        <f>IF($J1499="","",IF($J1499&lt;=1500,INDEX('Daily Sale entry '!$Y$1:$Y$1501,$J1499+1)&amp;"","Buyer cheque banked 买家支票存入"&amp;IF(INDEX('Daily Sale entry '!$U$1:$U$1501,$J1499-1499)="","", " - "&amp;INDEX('Daily Sale entry '!$U$1:$U$1501,$J1499-1499))))</f>
        <v/>
      </c>
      <c r="C1499">
        <f>IF($J1499="","",IF($J1499&lt;=1500,INDEX('Daily Sale entry '!$Z$1:$Z$1501,$J1499+1)&amp;"","Cheque deposit 支票存入 (buyer 买家)"))</f>
        <v/>
      </c>
      <c r="D1499">
        <f>IF($J1499="","",IF($J1499&lt;=1500,INDEX('Daily Sale entry '!$AA$1:$AA$1501,$J1499+1)&amp;"",INDEX('Daily Sale entry '!$P$1:$P$1501,$J1499-1499)&amp;""))</f>
        <v/>
      </c>
      <c r="E1499">
        <f>IF($J1499="","",IF($J1499&lt;=1500,IF(N(INDEX('Daily Sale entry '!$AB$1:$AB$1501,$J1499+1))=0,"",INDEX('Daily Sale entry '!$AB$1:$AB$1501,$J1499+1)),1))</f>
        <v/>
      </c>
      <c r="F1499" s="6">
        <f>IF($J1499="","",IF($J1499&lt;=1500,N(INDEX('Daily Sale entry '!$AC$1:$AC$1501,$J1499+1))-IF(AND('Opening Balance'!$B$15=1,INDEX('Daily Sale entry '!$Z$1:$Z$1501,$J1499+1)="Online collection 网上收款",INDEX('Daily Sale entry '!$AA$1:$AA$1501,$J1499+1)&lt;&gt;""),N(INDEX('Daily Sale entry '!$AC$1:$AC$1501,$J1499+1))-TRUNC(N(INDEX('Daily Sale entry '!$AC$1:$AC$1501,$J1499+1))),0),N(INDEX('Daily Sale entry '!$S$1:$S$1501,$J1499-1499))-'Opening Balance'!$B$15*(N(INDEX('Daily Sale entry '!$S$1:$S$1501,$J1499-1499))-TRUNC(N(INDEX('Daily Sale entry '!$S$1:$S$1501,$J1499-1499))))))</f>
        <v/>
      </c>
      <c r="G1499" s="6">
        <f>IF($J1499="","",IF($J1499&lt;=1500,N(INDEX('Daily Sale entry '!$AD$1:$AD$1501,$J1499+1)),0))</f>
        <v/>
      </c>
      <c r="H1499" s="6">
        <f>IF($J1499="","",ROUND('Opening Balance'!$B$4+SUM($F$2:F1499)-SUM($G$2:G1499),2))</f>
        <v/>
      </c>
      <c r="J1499" s="21">
        <f>IFERROR(MATCH(ROW()-1,$L$2:$L$3001,0),"")</f>
        <v/>
      </c>
      <c r="K1499" s="34">
        <f>IF(AND('Daily Sale entry '!X1499&lt;&gt;"",OR('Daily Sale entry '!AC1499&lt;&gt;"",'Daily Sale entry '!AD1499&lt;&gt;"")),'Daily Sale entry '!X1499+ROW()/10000000,"")</f>
        <v/>
      </c>
      <c r="L1499" s="21">
        <f>IF(K1499="","",COUNTIF($K$2:$K$3001,"&lt;"&amp;K1499)+1)</f>
        <v/>
      </c>
    </row>
    <row r="1500">
      <c r="A1500" s="5">
        <f>IF($J1500="","",IF($J1500&lt;=1500,INDEX('Daily Sale entry '!$X$1:$X$1501,$J1500+1),INDEX('Daily Sale entry '!$V$1:$V$1501,$J1500-1499)))</f>
        <v/>
      </c>
      <c r="B1500">
        <f>IF($J1500="","",IF($J1500&lt;=1500,INDEX('Daily Sale entry '!$Y$1:$Y$1501,$J1500+1)&amp;"","Buyer cheque banked 买家支票存入"&amp;IF(INDEX('Daily Sale entry '!$U$1:$U$1501,$J1500-1499)="","", " - "&amp;INDEX('Daily Sale entry '!$U$1:$U$1501,$J1500-1499))))</f>
        <v/>
      </c>
      <c r="C1500">
        <f>IF($J1500="","",IF($J1500&lt;=1500,INDEX('Daily Sale entry '!$Z$1:$Z$1501,$J1500+1)&amp;"","Cheque deposit 支票存入 (buyer 买家)"))</f>
        <v/>
      </c>
      <c r="D1500">
        <f>IF($J1500="","",IF($J1500&lt;=1500,INDEX('Daily Sale entry '!$AA$1:$AA$1501,$J1500+1)&amp;"",INDEX('Daily Sale entry '!$P$1:$P$1501,$J1500-1499)&amp;""))</f>
        <v/>
      </c>
      <c r="E1500">
        <f>IF($J1500="","",IF($J1500&lt;=1500,IF(N(INDEX('Daily Sale entry '!$AB$1:$AB$1501,$J1500+1))=0,"",INDEX('Daily Sale entry '!$AB$1:$AB$1501,$J1500+1)),1))</f>
        <v/>
      </c>
      <c r="F1500" s="6">
        <f>IF($J1500="","",IF($J1500&lt;=1500,N(INDEX('Daily Sale entry '!$AC$1:$AC$1501,$J1500+1))-IF(AND('Opening Balance'!$B$15=1,INDEX('Daily Sale entry '!$Z$1:$Z$1501,$J1500+1)="Online collection 网上收款",INDEX('Daily Sale entry '!$AA$1:$AA$1501,$J1500+1)&lt;&gt;""),N(INDEX('Daily Sale entry '!$AC$1:$AC$1501,$J1500+1))-TRUNC(N(INDEX('Daily Sale entry '!$AC$1:$AC$1501,$J1500+1))),0),N(INDEX('Daily Sale entry '!$S$1:$S$1501,$J1500-1499))-'Opening Balance'!$B$15*(N(INDEX('Daily Sale entry '!$S$1:$S$1501,$J1500-1499))-TRUNC(N(INDEX('Daily Sale entry '!$S$1:$S$1501,$J1500-1499))))))</f>
        <v/>
      </c>
      <c r="G1500" s="6">
        <f>IF($J1500="","",IF($J1500&lt;=1500,N(INDEX('Daily Sale entry '!$AD$1:$AD$1501,$J1500+1)),0))</f>
        <v/>
      </c>
      <c r="H1500" s="6">
        <f>IF($J1500="","",ROUND('Opening Balance'!$B$4+SUM($F$2:F1500)-SUM($G$2:G1500),2))</f>
        <v/>
      </c>
      <c r="J1500" s="21">
        <f>IFERROR(MATCH(ROW()-1,$L$2:$L$3001,0),"")</f>
        <v/>
      </c>
      <c r="K1500" s="34">
        <f>IF(AND('Daily Sale entry '!X1500&lt;&gt;"",OR('Daily Sale entry '!AC1500&lt;&gt;"",'Daily Sale entry '!AD1500&lt;&gt;"")),'Daily Sale entry '!X1500+ROW()/10000000,"")</f>
        <v/>
      </c>
      <c r="L1500" s="21">
        <f>IF(K1500="","",COUNTIF($K$2:$K$3001,"&lt;"&amp;K1500)+1)</f>
        <v/>
      </c>
    </row>
    <row r="1501">
      <c r="A1501" s="5">
        <f>IF($J1501="","",IF($J1501&lt;=1500,INDEX('Daily Sale entry '!$X$1:$X$1501,$J1501+1),INDEX('Daily Sale entry '!$V$1:$V$1501,$J1501-1499)))</f>
        <v/>
      </c>
      <c r="B1501">
        <f>IF($J1501="","",IF($J1501&lt;=1500,INDEX('Daily Sale entry '!$Y$1:$Y$1501,$J1501+1)&amp;"","Buyer cheque banked 买家支票存入"&amp;IF(INDEX('Daily Sale entry '!$U$1:$U$1501,$J1501-1499)="","", " - "&amp;INDEX('Daily Sale entry '!$U$1:$U$1501,$J1501-1499))))</f>
        <v/>
      </c>
      <c r="C1501">
        <f>IF($J1501="","",IF($J1501&lt;=1500,INDEX('Daily Sale entry '!$Z$1:$Z$1501,$J1501+1)&amp;"","Cheque deposit 支票存入 (buyer 买家)"))</f>
        <v/>
      </c>
      <c r="D1501">
        <f>IF($J1501="","",IF($J1501&lt;=1500,INDEX('Daily Sale entry '!$AA$1:$AA$1501,$J1501+1)&amp;"",INDEX('Daily Sale entry '!$P$1:$P$1501,$J1501-1499)&amp;""))</f>
        <v/>
      </c>
      <c r="E1501">
        <f>IF($J1501="","",IF($J1501&lt;=1500,IF(N(INDEX('Daily Sale entry '!$AB$1:$AB$1501,$J1501+1))=0,"",INDEX('Daily Sale entry '!$AB$1:$AB$1501,$J1501+1)),1))</f>
        <v/>
      </c>
      <c r="F1501" s="6">
        <f>IF($J1501="","",IF($J1501&lt;=1500,N(INDEX('Daily Sale entry '!$AC$1:$AC$1501,$J1501+1))-IF(AND('Opening Balance'!$B$15=1,INDEX('Daily Sale entry '!$Z$1:$Z$1501,$J1501+1)="Online collection 网上收款",INDEX('Daily Sale entry '!$AA$1:$AA$1501,$J1501+1)&lt;&gt;""),N(INDEX('Daily Sale entry '!$AC$1:$AC$1501,$J1501+1))-TRUNC(N(INDEX('Daily Sale entry '!$AC$1:$AC$1501,$J1501+1))),0),N(INDEX('Daily Sale entry '!$S$1:$S$1501,$J1501-1499))-'Opening Balance'!$B$15*(N(INDEX('Daily Sale entry '!$S$1:$S$1501,$J1501-1499))-TRUNC(N(INDEX('Daily Sale entry '!$S$1:$S$1501,$J1501-1499))))))</f>
        <v/>
      </c>
      <c r="G1501" s="6">
        <f>IF($J1501="","",IF($J1501&lt;=1500,N(INDEX('Daily Sale entry '!$AD$1:$AD$1501,$J1501+1)),0))</f>
        <v/>
      </c>
      <c r="H1501" s="6">
        <f>IF($J1501="","",ROUND('Opening Balance'!$B$4+SUM($F$2:F1501)-SUM($G$2:G1501),2))</f>
        <v/>
      </c>
      <c r="J1501" s="21">
        <f>IFERROR(MATCH(ROW()-1,$L$2:$L$3001,0),"")</f>
        <v/>
      </c>
      <c r="K1501" s="34">
        <f>IF(AND('Daily Sale entry '!X1501&lt;&gt;"",OR('Daily Sale entry '!AC1501&lt;&gt;"",'Daily Sale entry '!AD1501&lt;&gt;"")),'Daily Sale entry '!X1501+ROW()/10000000,"")</f>
        <v/>
      </c>
      <c r="L1501" s="21">
        <f>IF(K1501="","",COUNTIF($K$2:$K$3001,"&lt;"&amp;K1501)+1)</f>
        <v/>
      </c>
    </row>
    <row r="1502">
      <c r="A1502" s="5">
        <f>IF($J1502="","",IF($J1502&lt;=1500,INDEX('Daily Sale entry '!$X$1:$X$1501,$J1502+1),INDEX('Daily Sale entry '!$V$1:$V$1501,$J1502-1499)))</f>
        <v/>
      </c>
      <c r="B1502">
        <f>IF($J1502="","",IF($J1502&lt;=1500,INDEX('Daily Sale entry '!$Y$1:$Y$1501,$J1502+1)&amp;"","Buyer cheque banked 买家支票存入"&amp;IF(INDEX('Daily Sale entry '!$U$1:$U$1501,$J1502-1499)="","", " - "&amp;INDEX('Daily Sale entry '!$U$1:$U$1501,$J1502-1499))))</f>
        <v/>
      </c>
      <c r="C1502">
        <f>IF($J1502="","",IF($J1502&lt;=1500,INDEX('Daily Sale entry '!$Z$1:$Z$1501,$J1502+1)&amp;"","Cheque deposit 支票存入 (buyer 买家)"))</f>
        <v/>
      </c>
      <c r="D1502">
        <f>IF($J1502="","",IF($J1502&lt;=1500,INDEX('Daily Sale entry '!$AA$1:$AA$1501,$J1502+1)&amp;"",INDEX('Daily Sale entry '!$P$1:$P$1501,$J1502-1499)&amp;""))</f>
        <v/>
      </c>
      <c r="E1502">
        <f>IF($J1502="","",IF($J1502&lt;=1500,IF(N(INDEX('Daily Sale entry '!$AB$1:$AB$1501,$J1502+1))=0,"",INDEX('Daily Sale entry '!$AB$1:$AB$1501,$J1502+1)),1))</f>
        <v/>
      </c>
      <c r="F1502" s="6">
        <f>IF($J1502="","",IF($J1502&lt;=1500,N(INDEX('Daily Sale entry '!$AC$1:$AC$1501,$J1502+1))-IF(AND('Opening Balance'!$B$15=1,INDEX('Daily Sale entry '!$Z$1:$Z$1501,$J1502+1)="Online collection 网上收款",INDEX('Daily Sale entry '!$AA$1:$AA$1501,$J1502+1)&lt;&gt;""),N(INDEX('Daily Sale entry '!$AC$1:$AC$1501,$J1502+1))-TRUNC(N(INDEX('Daily Sale entry '!$AC$1:$AC$1501,$J1502+1))),0),N(INDEX('Daily Sale entry '!$S$1:$S$1501,$J1502-1499))-'Opening Balance'!$B$15*(N(INDEX('Daily Sale entry '!$S$1:$S$1501,$J1502-1499))-TRUNC(N(INDEX('Daily Sale entry '!$S$1:$S$1501,$J1502-1499))))))</f>
        <v/>
      </c>
      <c r="G1502" s="6">
        <f>IF($J1502="","",IF($J1502&lt;=1500,N(INDEX('Daily Sale entry '!$AD$1:$AD$1501,$J1502+1)),0))</f>
        <v/>
      </c>
      <c r="H1502" s="6">
        <f>IF($J1502="","",ROUND('Opening Balance'!$B$4+SUM($F$2:F1502)-SUM($G$2:G1502),2))</f>
        <v/>
      </c>
      <c r="J1502" s="21">
        <f>IFERROR(MATCH(ROW()-1,$L$2:$L$3001,0),"")</f>
        <v/>
      </c>
      <c r="K1502" s="34">
        <f>IF(AND('Daily Sale entry '!Q2="Collection 收款",'Daily Sale entry '!R2="Cheque 支票",'Daily Sale entry '!V2&lt;&gt;""),'Daily Sale entry '!V2+ROW()/10000000,"")</f>
        <v/>
      </c>
      <c r="L1502" s="21">
        <f>IF(K1502="","",COUNTIF($K$2:$K$3001,"&lt;"&amp;K1502)+1)</f>
        <v/>
      </c>
    </row>
    <row r="1503">
      <c r="A1503" s="5">
        <f>IF($J1503="","",IF($J1503&lt;=1500,INDEX('Daily Sale entry '!$X$1:$X$1501,$J1503+1),INDEX('Daily Sale entry '!$V$1:$V$1501,$J1503-1499)))</f>
        <v/>
      </c>
      <c r="B1503">
        <f>IF($J1503="","",IF($J1503&lt;=1500,INDEX('Daily Sale entry '!$Y$1:$Y$1501,$J1503+1)&amp;"","Buyer cheque banked 买家支票存入"&amp;IF(INDEX('Daily Sale entry '!$U$1:$U$1501,$J1503-1499)="","", " - "&amp;INDEX('Daily Sale entry '!$U$1:$U$1501,$J1503-1499))))</f>
        <v/>
      </c>
      <c r="C1503">
        <f>IF($J1503="","",IF($J1503&lt;=1500,INDEX('Daily Sale entry '!$Z$1:$Z$1501,$J1503+1)&amp;"","Cheque deposit 支票存入 (buyer 买家)"))</f>
        <v/>
      </c>
      <c r="D1503">
        <f>IF($J1503="","",IF($J1503&lt;=1500,INDEX('Daily Sale entry '!$AA$1:$AA$1501,$J1503+1)&amp;"",INDEX('Daily Sale entry '!$P$1:$P$1501,$J1503-1499)&amp;""))</f>
        <v/>
      </c>
      <c r="E1503">
        <f>IF($J1503="","",IF($J1503&lt;=1500,IF(N(INDEX('Daily Sale entry '!$AB$1:$AB$1501,$J1503+1))=0,"",INDEX('Daily Sale entry '!$AB$1:$AB$1501,$J1503+1)),1))</f>
        <v/>
      </c>
      <c r="F1503" s="6">
        <f>IF($J1503="","",IF($J1503&lt;=1500,N(INDEX('Daily Sale entry '!$AC$1:$AC$1501,$J1503+1))-IF(AND('Opening Balance'!$B$15=1,INDEX('Daily Sale entry '!$Z$1:$Z$1501,$J1503+1)="Online collection 网上收款",INDEX('Daily Sale entry '!$AA$1:$AA$1501,$J1503+1)&lt;&gt;""),N(INDEX('Daily Sale entry '!$AC$1:$AC$1501,$J1503+1))-TRUNC(N(INDEX('Daily Sale entry '!$AC$1:$AC$1501,$J1503+1))),0),N(INDEX('Daily Sale entry '!$S$1:$S$1501,$J1503-1499))-'Opening Balance'!$B$15*(N(INDEX('Daily Sale entry '!$S$1:$S$1501,$J1503-1499))-TRUNC(N(INDEX('Daily Sale entry '!$S$1:$S$1501,$J1503-1499))))))</f>
        <v/>
      </c>
      <c r="G1503" s="6">
        <f>IF($J1503="","",IF($J1503&lt;=1500,N(INDEX('Daily Sale entry '!$AD$1:$AD$1501,$J1503+1)),0))</f>
        <v/>
      </c>
      <c r="H1503" s="6">
        <f>IF($J1503="","",ROUND('Opening Balance'!$B$4+SUM($F$2:F1503)-SUM($G$2:G1503),2))</f>
        <v/>
      </c>
      <c r="J1503" s="21">
        <f>IFERROR(MATCH(ROW()-1,$L$2:$L$3001,0),"")</f>
        <v/>
      </c>
      <c r="K1503" s="34">
        <f>IF(AND('Daily Sale entry '!Q3="Collection 收款",'Daily Sale entry '!R3="Cheque 支票",'Daily Sale entry '!V3&lt;&gt;""),'Daily Sale entry '!V3+ROW()/10000000,"")</f>
        <v/>
      </c>
      <c r="L1503" s="21">
        <f>IF(K1503="","",COUNTIF($K$2:$K$3001,"&lt;"&amp;K1503)+1)</f>
        <v/>
      </c>
    </row>
    <row r="1504">
      <c r="A1504" s="5">
        <f>IF($J1504="","",IF($J1504&lt;=1500,INDEX('Daily Sale entry '!$X$1:$X$1501,$J1504+1),INDEX('Daily Sale entry '!$V$1:$V$1501,$J1504-1499)))</f>
        <v/>
      </c>
      <c r="B1504">
        <f>IF($J1504="","",IF($J1504&lt;=1500,INDEX('Daily Sale entry '!$Y$1:$Y$1501,$J1504+1)&amp;"","Buyer cheque banked 买家支票存入"&amp;IF(INDEX('Daily Sale entry '!$U$1:$U$1501,$J1504-1499)="","", " - "&amp;INDEX('Daily Sale entry '!$U$1:$U$1501,$J1504-1499))))</f>
        <v/>
      </c>
      <c r="C1504">
        <f>IF($J1504="","",IF($J1504&lt;=1500,INDEX('Daily Sale entry '!$Z$1:$Z$1501,$J1504+1)&amp;"","Cheque deposit 支票存入 (buyer 买家)"))</f>
        <v/>
      </c>
      <c r="D1504">
        <f>IF($J1504="","",IF($J1504&lt;=1500,INDEX('Daily Sale entry '!$AA$1:$AA$1501,$J1504+1)&amp;"",INDEX('Daily Sale entry '!$P$1:$P$1501,$J1504-1499)&amp;""))</f>
        <v/>
      </c>
      <c r="E1504">
        <f>IF($J1504="","",IF($J1504&lt;=1500,IF(N(INDEX('Daily Sale entry '!$AB$1:$AB$1501,$J1504+1))=0,"",INDEX('Daily Sale entry '!$AB$1:$AB$1501,$J1504+1)),1))</f>
        <v/>
      </c>
      <c r="F1504" s="6">
        <f>IF($J1504="","",IF($J1504&lt;=1500,N(INDEX('Daily Sale entry '!$AC$1:$AC$1501,$J1504+1))-IF(AND('Opening Balance'!$B$15=1,INDEX('Daily Sale entry '!$Z$1:$Z$1501,$J1504+1)="Online collection 网上收款",INDEX('Daily Sale entry '!$AA$1:$AA$1501,$J1504+1)&lt;&gt;""),N(INDEX('Daily Sale entry '!$AC$1:$AC$1501,$J1504+1))-TRUNC(N(INDEX('Daily Sale entry '!$AC$1:$AC$1501,$J1504+1))),0),N(INDEX('Daily Sale entry '!$S$1:$S$1501,$J1504-1499))-'Opening Balance'!$B$15*(N(INDEX('Daily Sale entry '!$S$1:$S$1501,$J1504-1499))-TRUNC(N(INDEX('Daily Sale entry '!$S$1:$S$1501,$J1504-1499))))))</f>
        <v/>
      </c>
      <c r="G1504" s="6">
        <f>IF($J1504="","",IF($J1504&lt;=1500,N(INDEX('Daily Sale entry '!$AD$1:$AD$1501,$J1504+1)),0))</f>
        <v/>
      </c>
      <c r="H1504" s="6">
        <f>IF($J1504="","",ROUND('Opening Balance'!$B$4+SUM($F$2:F1504)-SUM($G$2:G1504),2))</f>
        <v/>
      </c>
      <c r="J1504" s="21">
        <f>IFERROR(MATCH(ROW()-1,$L$2:$L$3001,0),"")</f>
        <v/>
      </c>
      <c r="K1504" s="34">
        <f>IF(AND('Daily Sale entry '!Q4="Collection 收款",'Daily Sale entry '!R4="Cheque 支票",'Daily Sale entry '!V4&lt;&gt;""),'Daily Sale entry '!V4+ROW()/10000000,"")</f>
        <v/>
      </c>
      <c r="L1504" s="21">
        <f>IF(K1504="","",COUNTIF($K$2:$K$3001,"&lt;"&amp;K1504)+1)</f>
        <v/>
      </c>
    </row>
    <row r="1505">
      <c r="A1505" s="5">
        <f>IF($J1505="","",IF($J1505&lt;=1500,INDEX('Daily Sale entry '!$X$1:$X$1501,$J1505+1),INDEX('Daily Sale entry '!$V$1:$V$1501,$J1505-1499)))</f>
        <v/>
      </c>
      <c r="B1505">
        <f>IF($J1505="","",IF($J1505&lt;=1500,INDEX('Daily Sale entry '!$Y$1:$Y$1501,$J1505+1)&amp;"","Buyer cheque banked 买家支票存入"&amp;IF(INDEX('Daily Sale entry '!$U$1:$U$1501,$J1505-1499)="","", " - "&amp;INDEX('Daily Sale entry '!$U$1:$U$1501,$J1505-1499))))</f>
        <v/>
      </c>
      <c r="C1505">
        <f>IF($J1505="","",IF($J1505&lt;=1500,INDEX('Daily Sale entry '!$Z$1:$Z$1501,$J1505+1)&amp;"","Cheque deposit 支票存入 (buyer 买家)"))</f>
        <v/>
      </c>
      <c r="D1505">
        <f>IF($J1505="","",IF($J1505&lt;=1500,INDEX('Daily Sale entry '!$AA$1:$AA$1501,$J1505+1)&amp;"",INDEX('Daily Sale entry '!$P$1:$P$1501,$J1505-1499)&amp;""))</f>
        <v/>
      </c>
      <c r="E1505">
        <f>IF($J1505="","",IF($J1505&lt;=1500,IF(N(INDEX('Daily Sale entry '!$AB$1:$AB$1501,$J1505+1))=0,"",INDEX('Daily Sale entry '!$AB$1:$AB$1501,$J1505+1)),1))</f>
        <v/>
      </c>
      <c r="F1505" s="6">
        <f>IF($J1505="","",IF($J1505&lt;=1500,N(INDEX('Daily Sale entry '!$AC$1:$AC$1501,$J1505+1))-IF(AND('Opening Balance'!$B$15=1,INDEX('Daily Sale entry '!$Z$1:$Z$1501,$J1505+1)="Online collection 网上收款",INDEX('Daily Sale entry '!$AA$1:$AA$1501,$J1505+1)&lt;&gt;""),N(INDEX('Daily Sale entry '!$AC$1:$AC$1501,$J1505+1))-TRUNC(N(INDEX('Daily Sale entry '!$AC$1:$AC$1501,$J1505+1))),0),N(INDEX('Daily Sale entry '!$S$1:$S$1501,$J1505-1499))-'Opening Balance'!$B$15*(N(INDEX('Daily Sale entry '!$S$1:$S$1501,$J1505-1499))-TRUNC(N(INDEX('Daily Sale entry '!$S$1:$S$1501,$J1505-1499))))))</f>
        <v/>
      </c>
      <c r="G1505" s="6">
        <f>IF($J1505="","",IF($J1505&lt;=1500,N(INDEX('Daily Sale entry '!$AD$1:$AD$1501,$J1505+1)),0))</f>
        <v/>
      </c>
      <c r="H1505" s="6">
        <f>IF($J1505="","",ROUND('Opening Balance'!$B$4+SUM($F$2:F1505)-SUM($G$2:G1505),2))</f>
        <v/>
      </c>
      <c r="J1505" s="21">
        <f>IFERROR(MATCH(ROW()-1,$L$2:$L$3001,0),"")</f>
        <v/>
      </c>
      <c r="K1505" s="34">
        <f>IF(AND('Daily Sale entry '!Q5="Collection 收款",'Daily Sale entry '!R5="Cheque 支票",'Daily Sale entry '!V5&lt;&gt;""),'Daily Sale entry '!V5+ROW()/10000000,"")</f>
        <v/>
      </c>
      <c r="L1505" s="21">
        <f>IF(K1505="","",COUNTIF($K$2:$K$3001,"&lt;"&amp;K1505)+1)</f>
        <v/>
      </c>
    </row>
    <row r="1506">
      <c r="A1506" s="5">
        <f>IF($J1506="","",IF($J1506&lt;=1500,INDEX('Daily Sale entry '!$X$1:$X$1501,$J1506+1),INDEX('Daily Sale entry '!$V$1:$V$1501,$J1506-1499)))</f>
        <v/>
      </c>
      <c r="B1506">
        <f>IF($J1506="","",IF($J1506&lt;=1500,INDEX('Daily Sale entry '!$Y$1:$Y$1501,$J1506+1)&amp;"","Buyer cheque banked 买家支票存入"&amp;IF(INDEX('Daily Sale entry '!$U$1:$U$1501,$J1506-1499)="","", " - "&amp;INDEX('Daily Sale entry '!$U$1:$U$1501,$J1506-1499))))</f>
        <v/>
      </c>
      <c r="C1506">
        <f>IF($J1506="","",IF($J1506&lt;=1500,INDEX('Daily Sale entry '!$Z$1:$Z$1501,$J1506+1)&amp;"","Cheque deposit 支票存入 (buyer 买家)"))</f>
        <v/>
      </c>
      <c r="D1506">
        <f>IF($J1506="","",IF($J1506&lt;=1500,INDEX('Daily Sale entry '!$AA$1:$AA$1501,$J1506+1)&amp;"",INDEX('Daily Sale entry '!$P$1:$P$1501,$J1506-1499)&amp;""))</f>
        <v/>
      </c>
      <c r="E1506">
        <f>IF($J1506="","",IF($J1506&lt;=1500,IF(N(INDEX('Daily Sale entry '!$AB$1:$AB$1501,$J1506+1))=0,"",INDEX('Daily Sale entry '!$AB$1:$AB$1501,$J1506+1)),1))</f>
        <v/>
      </c>
      <c r="F1506" s="6">
        <f>IF($J1506="","",IF($J1506&lt;=1500,N(INDEX('Daily Sale entry '!$AC$1:$AC$1501,$J1506+1))-IF(AND('Opening Balance'!$B$15=1,INDEX('Daily Sale entry '!$Z$1:$Z$1501,$J1506+1)="Online collection 网上收款",INDEX('Daily Sale entry '!$AA$1:$AA$1501,$J1506+1)&lt;&gt;""),N(INDEX('Daily Sale entry '!$AC$1:$AC$1501,$J1506+1))-TRUNC(N(INDEX('Daily Sale entry '!$AC$1:$AC$1501,$J1506+1))),0),N(INDEX('Daily Sale entry '!$S$1:$S$1501,$J1506-1499))-'Opening Balance'!$B$15*(N(INDEX('Daily Sale entry '!$S$1:$S$1501,$J1506-1499))-TRUNC(N(INDEX('Daily Sale entry '!$S$1:$S$1501,$J1506-1499))))))</f>
        <v/>
      </c>
      <c r="G1506" s="6">
        <f>IF($J1506="","",IF($J1506&lt;=1500,N(INDEX('Daily Sale entry '!$AD$1:$AD$1501,$J1506+1)),0))</f>
        <v/>
      </c>
      <c r="H1506" s="6">
        <f>IF($J1506="","",ROUND('Opening Balance'!$B$4+SUM($F$2:F1506)-SUM($G$2:G1506),2))</f>
        <v/>
      </c>
      <c r="J1506" s="21">
        <f>IFERROR(MATCH(ROW()-1,$L$2:$L$3001,0),"")</f>
        <v/>
      </c>
      <c r="K1506" s="34">
        <f>IF(AND('Daily Sale entry '!Q6="Collection 收款",'Daily Sale entry '!R6="Cheque 支票",'Daily Sale entry '!V6&lt;&gt;""),'Daily Sale entry '!V6+ROW()/10000000,"")</f>
        <v/>
      </c>
      <c r="L1506" s="21">
        <f>IF(K1506="","",COUNTIF($K$2:$K$3001,"&lt;"&amp;K1506)+1)</f>
        <v/>
      </c>
    </row>
    <row r="1507">
      <c r="A1507" s="5">
        <f>IF($J1507="","",IF($J1507&lt;=1500,INDEX('Daily Sale entry '!$X$1:$X$1501,$J1507+1),INDEX('Daily Sale entry '!$V$1:$V$1501,$J1507-1499)))</f>
        <v/>
      </c>
      <c r="B1507">
        <f>IF($J1507="","",IF($J1507&lt;=1500,INDEX('Daily Sale entry '!$Y$1:$Y$1501,$J1507+1)&amp;"","Buyer cheque banked 买家支票存入"&amp;IF(INDEX('Daily Sale entry '!$U$1:$U$1501,$J1507-1499)="","", " - "&amp;INDEX('Daily Sale entry '!$U$1:$U$1501,$J1507-1499))))</f>
        <v/>
      </c>
      <c r="C1507">
        <f>IF($J1507="","",IF($J1507&lt;=1500,INDEX('Daily Sale entry '!$Z$1:$Z$1501,$J1507+1)&amp;"","Cheque deposit 支票存入 (buyer 买家)"))</f>
        <v/>
      </c>
      <c r="D1507">
        <f>IF($J1507="","",IF($J1507&lt;=1500,INDEX('Daily Sale entry '!$AA$1:$AA$1501,$J1507+1)&amp;"",INDEX('Daily Sale entry '!$P$1:$P$1501,$J1507-1499)&amp;""))</f>
        <v/>
      </c>
      <c r="E1507">
        <f>IF($J1507="","",IF($J1507&lt;=1500,IF(N(INDEX('Daily Sale entry '!$AB$1:$AB$1501,$J1507+1))=0,"",INDEX('Daily Sale entry '!$AB$1:$AB$1501,$J1507+1)),1))</f>
        <v/>
      </c>
      <c r="F1507" s="6">
        <f>IF($J1507="","",IF($J1507&lt;=1500,N(INDEX('Daily Sale entry '!$AC$1:$AC$1501,$J1507+1))-IF(AND('Opening Balance'!$B$15=1,INDEX('Daily Sale entry '!$Z$1:$Z$1501,$J1507+1)="Online collection 网上收款",INDEX('Daily Sale entry '!$AA$1:$AA$1501,$J1507+1)&lt;&gt;""),N(INDEX('Daily Sale entry '!$AC$1:$AC$1501,$J1507+1))-TRUNC(N(INDEX('Daily Sale entry '!$AC$1:$AC$1501,$J1507+1))),0),N(INDEX('Daily Sale entry '!$S$1:$S$1501,$J1507-1499))-'Opening Balance'!$B$15*(N(INDEX('Daily Sale entry '!$S$1:$S$1501,$J1507-1499))-TRUNC(N(INDEX('Daily Sale entry '!$S$1:$S$1501,$J1507-1499))))))</f>
        <v/>
      </c>
      <c r="G1507" s="6">
        <f>IF($J1507="","",IF($J1507&lt;=1500,N(INDEX('Daily Sale entry '!$AD$1:$AD$1501,$J1507+1)),0))</f>
        <v/>
      </c>
      <c r="H1507" s="6">
        <f>IF($J1507="","",ROUND('Opening Balance'!$B$4+SUM($F$2:F1507)-SUM($G$2:G1507),2))</f>
        <v/>
      </c>
      <c r="J1507" s="21">
        <f>IFERROR(MATCH(ROW()-1,$L$2:$L$3001,0),"")</f>
        <v/>
      </c>
      <c r="K1507" s="34">
        <f>IF(AND('Daily Sale entry '!Q7="Collection 收款",'Daily Sale entry '!R7="Cheque 支票",'Daily Sale entry '!V7&lt;&gt;""),'Daily Sale entry '!V7+ROW()/10000000,"")</f>
        <v/>
      </c>
      <c r="L1507" s="21">
        <f>IF(K1507="","",COUNTIF($K$2:$K$3001,"&lt;"&amp;K1507)+1)</f>
        <v/>
      </c>
    </row>
    <row r="1508">
      <c r="A1508" s="5">
        <f>IF($J1508="","",IF($J1508&lt;=1500,INDEX('Daily Sale entry '!$X$1:$X$1501,$J1508+1),INDEX('Daily Sale entry '!$V$1:$V$1501,$J1508-1499)))</f>
        <v/>
      </c>
      <c r="B1508">
        <f>IF($J1508="","",IF($J1508&lt;=1500,INDEX('Daily Sale entry '!$Y$1:$Y$1501,$J1508+1)&amp;"","Buyer cheque banked 买家支票存入"&amp;IF(INDEX('Daily Sale entry '!$U$1:$U$1501,$J1508-1499)="","", " - "&amp;INDEX('Daily Sale entry '!$U$1:$U$1501,$J1508-1499))))</f>
        <v/>
      </c>
      <c r="C1508">
        <f>IF($J1508="","",IF($J1508&lt;=1500,INDEX('Daily Sale entry '!$Z$1:$Z$1501,$J1508+1)&amp;"","Cheque deposit 支票存入 (buyer 买家)"))</f>
        <v/>
      </c>
      <c r="D1508">
        <f>IF($J1508="","",IF($J1508&lt;=1500,INDEX('Daily Sale entry '!$AA$1:$AA$1501,$J1508+1)&amp;"",INDEX('Daily Sale entry '!$P$1:$P$1501,$J1508-1499)&amp;""))</f>
        <v/>
      </c>
      <c r="E1508">
        <f>IF($J1508="","",IF($J1508&lt;=1500,IF(N(INDEX('Daily Sale entry '!$AB$1:$AB$1501,$J1508+1))=0,"",INDEX('Daily Sale entry '!$AB$1:$AB$1501,$J1508+1)),1))</f>
        <v/>
      </c>
      <c r="F1508" s="6">
        <f>IF($J1508="","",IF($J1508&lt;=1500,N(INDEX('Daily Sale entry '!$AC$1:$AC$1501,$J1508+1))-IF(AND('Opening Balance'!$B$15=1,INDEX('Daily Sale entry '!$Z$1:$Z$1501,$J1508+1)="Online collection 网上收款",INDEX('Daily Sale entry '!$AA$1:$AA$1501,$J1508+1)&lt;&gt;""),N(INDEX('Daily Sale entry '!$AC$1:$AC$1501,$J1508+1))-TRUNC(N(INDEX('Daily Sale entry '!$AC$1:$AC$1501,$J1508+1))),0),N(INDEX('Daily Sale entry '!$S$1:$S$1501,$J1508-1499))-'Opening Balance'!$B$15*(N(INDEX('Daily Sale entry '!$S$1:$S$1501,$J1508-1499))-TRUNC(N(INDEX('Daily Sale entry '!$S$1:$S$1501,$J1508-1499))))))</f>
        <v/>
      </c>
      <c r="G1508" s="6">
        <f>IF($J1508="","",IF($J1508&lt;=1500,N(INDEX('Daily Sale entry '!$AD$1:$AD$1501,$J1508+1)),0))</f>
        <v/>
      </c>
      <c r="H1508" s="6">
        <f>IF($J1508="","",ROUND('Opening Balance'!$B$4+SUM($F$2:F1508)-SUM($G$2:G1508),2))</f>
        <v/>
      </c>
      <c r="J1508" s="21">
        <f>IFERROR(MATCH(ROW()-1,$L$2:$L$3001,0),"")</f>
        <v/>
      </c>
      <c r="K1508" s="34">
        <f>IF(AND('Daily Sale entry '!Q8="Collection 收款",'Daily Sale entry '!R8="Cheque 支票",'Daily Sale entry '!V8&lt;&gt;""),'Daily Sale entry '!V8+ROW()/10000000,"")</f>
        <v/>
      </c>
      <c r="L1508" s="21">
        <f>IF(K1508="","",COUNTIF($K$2:$K$3001,"&lt;"&amp;K1508)+1)</f>
        <v/>
      </c>
    </row>
    <row r="1509">
      <c r="A1509" s="5">
        <f>IF($J1509="","",IF($J1509&lt;=1500,INDEX('Daily Sale entry '!$X$1:$X$1501,$J1509+1),INDEX('Daily Sale entry '!$V$1:$V$1501,$J1509-1499)))</f>
        <v/>
      </c>
      <c r="B1509">
        <f>IF($J1509="","",IF($J1509&lt;=1500,INDEX('Daily Sale entry '!$Y$1:$Y$1501,$J1509+1)&amp;"","Buyer cheque banked 买家支票存入"&amp;IF(INDEX('Daily Sale entry '!$U$1:$U$1501,$J1509-1499)="","", " - "&amp;INDEX('Daily Sale entry '!$U$1:$U$1501,$J1509-1499))))</f>
        <v/>
      </c>
      <c r="C1509">
        <f>IF($J1509="","",IF($J1509&lt;=1500,INDEX('Daily Sale entry '!$Z$1:$Z$1501,$J1509+1)&amp;"","Cheque deposit 支票存入 (buyer 买家)"))</f>
        <v/>
      </c>
      <c r="D1509">
        <f>IF($J1509="","",IF($J1509&lt;=1500,INDEX('Daily Sale entry '!$AA$1:$AA$1501,$J1509+1)&amp;"",INDEX('Daily Sale entry '!$P$1:$P$1501,$J1509-1499)&amp;""))</f>
        <v/>
      </c>
      <c r="E1509">
        <f>IF($J1509="","",IF($J1509&lt;=1500,IF(N(INDEX('Daily Sale entry '!$AB$1:$AB$1501,$J1509+1))=0,"",INDEX('Daily Sale entry '!$AB$1:$AB$1501,$J1509+1)),1))</f>
        <v/>
      </c>
      <c r="F1509" s="6">
        <f>IF($J1509="","",IF($J1509&lt;=1500,N(INDEX('Daily Sale entry '!$AC$1:$AC$1501,$J1509+1))-IF(AND('Opening Balance'!$B$15=1,INDEX('Daily Sale entry '!$Z$1:$Z$1501,$J1509+1)="Online collection 网上收款",INDEX('Daily Sale entry '!$AA$1:$AA$1501,$J1509+1)&lt;&gt;""),N(INDEX('Daily Sale entry '!$AC$1:$AC$1501,$J1509+1))-TRUNC(N(INDEX('Daily Sale entry '!$AC$1:$AC$1501,$J1509+1))),0),N(INDEX('Daily Sale entry '!$S$1:$S$1501,$J1509-1499))-'Opening Balance'!$B$15*(N(INDEX('Daily Sale entry '!$S$1:$S$1501,$J1509-1499))-TRUNC(N(INDEX('Daily Sale entry '!$S$1:$S$1501,$J1509-1499))))))</f>
        <v/>
      </c>
      <c r="G1509" s="6">
        <f>IF($J1509="","",IF($J1509&lt;=1500,N(INDEX('Daily Sale entry '!$AD$1:$AD$1501,$J1509+1)),0))</f>
        <v/>
      </c>
      <c r="H1509" s="6">
        <f>IF($J1509="","",ROUND('Opening Balance'!$B$4+SUM($F$2:F1509)-SUM($G$2:G1509),2))</f>
        <v/>
      </c>
      <c r="J1509" s="21">
        <f>IFERROR(MATCH(ROW()-1,$L$2:$L$3001,0),"")</f>
        <v/>
      </c>
      <c r="K1509" s="34">
        <f>IF(AND('Daily Sale entry '!Q9="Collection 收款",'Daily Sale entry '!R9="Cheque 支票",'Daily Sale entry '!V9&lt;&gt;""),'Daily Sale entry '!V9+ROW()/10000000,"")</f>
        <v/>
      </c>
      <c r="L1509" s="21">
        <f>IF(K1509="","",COUNTIF($K$2:$K$3001,"&lt;"&amp;K1509)+1)</f>
        <v/>
      </c>
    </row>
    <row r="1510">
      <c r="A1510" s="5">
        <f>IF($J1510="","",IF($J1510&lt;=1500,INDEX('Daily Sale entry '!$X$1:$X$1501,$J1510+1),INDEX('Daily Sale entry '!$V$1:$V$1501,$J1510-1499)))</f>
        <v/>
      </c>
      <c r="B1510">
        <f>IF($J1510="","",IF($J1510&lt;=1500,INDEX('Daily Sale entry '!$Y$1:$Y$1501,$J1510+1)&amp;"","Buyer cheque banked 买家支票存入"&amp;IF(INDEX('Daily Sale entry '!$U$1:$U$1501,$J1510-1499)="","", " - "&amp;INDEX('Daily Sale entry '!$U$1:$U$1501,$J1510-1499))))</f>
        <v/>
      </c>
      <c r="C1510">
        <f>IF($J1510="","",IF($J1510&lt;=1500,INDEX('Daily Sale entry '!$Z$1:$Z$1501,$J1510+1)&amp;"","Cheque deposit 支票存入 (buyer 买家)"))</f>
        <v/>
      </c>
      <c r="D1510">
        <f>IF($J1510="","",IF($J1510&lt;=1500,INDEX('Daily Sale entry '!$AA$1:$AA$1501,$J1510+1)&amp;"",INDEX('Daily Sale entry '!$P$1:$P$1501,$J1510-1499)&amp;""))</f>
        <v/>
      </c>
      <c r="E1510">
        <f>IF($J1510="","",IF($J1510&lt;=1500,IF(N(INDEX('Daily Sale entry '!$AB$1:$AB$1501,$J1510+1))=0,"",INDEX('Daily Sale entry '!$AB$1:$AB$1501,$J1510+1)),1))</f>
        <v/>
      </c>
      <c r="F1510" s="6">
        <f>IF($J1510="","",IF($J1510&lt;=1500,N(INDEX('Daily Sale entry '!$AC$1:$AC$1501,$J1510+1))-IF(AND('Opening Balance'!$B$15=1,INDEX('Daily Sale entry '!$Z$1:$Z$1501,$J1510+1)="Online collection 网上收款",INDEX('Daily Sale entry '!$AA$1:$AA$1501,$J1510+1)&lt;&gt;""),N(INDEX('Daily Sale entry '!$AC$1:$AC$1501,$J1510+1))-TRUNC(N(INDEX('Daily Sale entry '!$AC$1:$AC$1501,$J1510+1))),0),N(INDEX('Daily Sale entry '!$S$1:$S$1501,$J1510-1499))-'Opening Balance'!$B$15*(N(INDEX('Daily Sale entry '!$S$1:$S$1501,$J1510-1499))-TRUNC(N(INDEX('Daily Sale entry '!$S$1:$S$1501,$J1510-1499))))))</f>
        <v/>
      </c>
      <c r="G1510" s="6">
        <f>IF($J1510="","",IF($J1510&lt;=1500,N(INDEX('Daily Sale entry '!$AD$1:$AD$1501,$J1510+1)),0))</f>
        <v/>
      </c>
      <c r="H1510" s="6">
        <f>IF($J1510="","",ROUND('Opening Balance'!$B$4+SUM($F$2:F1510)-SUM($G$2:G1510),2))</f>
        <v/>
      </c>
      <c r="J1510" s="21">
        <f>IFERROR(MATCH(ROW()-1,$L$2:$L$3001,0),"")</f>
        <v/>
      </c>
      <c r="K1510" s="34">
        <f>IF(AND('Daily Sale entry '!Q10="Collection 收款",'Daily Sale entry '!R10="Cheque 支票",'Daily Sale entry '!V10&lt;&gt;""),'Daily Sale entry '!V10+ROW()/10000000,"")</f>
        <v/>
      </c>
      <c r="L1510" s="21">
        <f>IF(K1510="","",COUNTIF($K$2:$K$3001,"&lt;"&amp;K1510)+1)</f>
        <v/>
      </c>
    </row>
    <row r="1511">
      <c r="A1511" s="5">
        <f>IF($J1511="","",IF($J1511&lt;=1500,INDEX('Daily Sale entry '!$X$1:$X$1501,$J1511+1),INDEX('Daily Sale entry '!$V$1:$V$1501,$J1511-1499)))</f>
        <v/>
      </c>
      <c r="B1511">
        <f>IF($J1511="","",IF($J1511&lt;=1500,INDEX('Daily Sale entry '!$Y$1:$Y$1501,$J1511+1)&amp;"","Buyer cheque banked 买家支票存入"&amp;IF(INDEX('Daily Sale entry '!$U$1:$U$1501,$J1511-1499)="","", " - "&amp;INDEX('Daily Sale entry '!$U$1:$U$1501,$J1511-1499))))</f>
        <v/>
      </c>
      <c r="C1511">
        <f>IF($J1511="","",IF($J1511&lt;=1500,INDEX('Daily Sale entry '!$Z$1:$Z$1501,$J1511+1)&amp;"","Cheque deposit 支票存入 (buyer 买家)"))</f>
        <v/>
      </c>
      <c r="D1511">
        <f>IF($J1511="","",IF($J1511&lt;=1500,INDEX('Daily Sale entry '!$AA$1:$AA$1501,$J1511+1)&amp;"",INDEX('Daily Sale entry '!$P$1:$P$1501,$J1511-1499)&amp;""))</f>
        <v/>
      </c>
      <c r="E1511">
        <f>IF($J1511="","",IF($J1511&lt;=1500,IF(N(INDEX('Daily Sale entry '!$AB$1:$AB$1501,$J1511+1))=0,"",INDEX('Daily Sale entry '!$AB$1:$AB$1501,$J1511+1)),1))</f>
        <v/>
      </c>
      <c r="F1511" s="6">
        <f>IF($J1511="","",IF($J1511&lt;=1500,N(INDEX('Daily Sale entry '!$AC$1:$AC$1501,$J1511+1))-IF(AND('Opening Balance'!$B$15=1,INDEX('Daily Sale entry '!$Z$1:$Z$1501,$J1511+1)="Online collection 网上收款",INDEX('Daily Sale entry '!$AA$1:$AA$1501,$J1511+1)&lt;&gt;""),N(INDEX('Daily Sale entry '!$AC$1:$AC$1501,$J1511+1))-TRUNC(N(INDEX('Daily Sale entry '!$AC$1:$AC$1501,$J1511+1))),0),N(INDEX('Daily Sale entry '!$S$1:$S$1501,$J1511-1499))-'Opening Balance'!$B$15*(N(INDEX('Daily Sale entry '!$S$1:$S$1501,$J1511-1499))-TRUNC(N(INDEX('Daily Sale entry '!$S$1:$S$1501,$J1511-1499))))))</f>
        <v/>
      </c>
      <c r="G1511" s="6">
        <f>IF($J1511="","",IF($J1511&lt;=1500,N(INDEX('Daily Sale entry '!$AD$1:$AD$1501,$J1511+1)),0))</f>
        <v/>
      </c>
      <c r="H1511" s="6">
        <f>IF($J1511="","",ROUND('Opening Balance'!$B$4+SUM($F$2:F1511)-SUM($G$2:G1511),2))</f>
        <v/>
      </c>
      <c r="J1511" s="21">
        <f>IFERROR(MATCH(ROW()-1,$L$2:$L$3001,0),"")</f>
        <v/>
      </c>
      <c r="K1511" s="34">
        <f>IF(AND('Daily Sale entry '!Q11="Collection 收款",'Daily Sale entry '!R11="Cheque 支票",'Daily Sale entry '!V11&lt;&gt;""),'Daily Sale entry '!V11+ROW()/10000000,"")</f>
        <v/>
      </c>
      <c r="L1511" s="21">
        <f>IF(K1511="","",COUNTIF($K$2:$K$3001,"&lt;"&amp;K1511)+1)</f>
        <v/>
      </c>
    </row>
    <row r="1512">
      <c r="A1512" s="5">
        <f>IF($J1512="","",IF($J1512&lt;=1500,INDEX('Daily Sale entry '!$X$1:$X$1501,$J1512+1),INDEX('Daily Sale entry '!$V$1:$V$1501,$J1512-1499)))</f>
        <v/>
      </c>
      <c r="B1512">
        <f>IF($J1512="","",IF($J1512&lt;=1500,INDEX('Daily Sale entry '!$Y$1:$Y$1501,$J1512+1)&amp;"","Buyer cheque banked 买家支票存入"&amp;IF(INDEX('Daily Sale entry '!$U$1:$U$1501,$J1512-1499)="","", " - "&amp;INDEX('Daily Sale entry '!$U$1:$U$1501,$J1512-1499))))</f>
        <v/>
      </c>
      <c r="C1512">
        <f>IF($J1512="","",IF($J1512&lt;=1500,INDEX('Daily Sale entry '!$Z$1:$Z$1501,$J1512+1)&amp;"","Cheque deposit 支票存入 (buyer 买家)"))</f>
        <v/>
      </c>
      <c r="D1512">
        <f>IF($J1512="","",IF($J1512&lt;=1500,INDEX('Daily Sale entry '!$AA$1:$AA$1501,$J1512+1)&amp;"",INDEX('Daily Sale entry '!$P$1:$P$1501,$J1512-1499)&amp;""))</f>
        <v/>
      </c>
      <c r="E1512">
        <f>IF($J1512="","",IF($J1512&lt;=1500,IF(N(INDEX('Daily Sale entry '!$AB$1:$AB$1501,$J1512+1))=0,"",INDEX('Daily Sale entry '!$AB$1:$AB$1501,$J1512+1)),1))</f>
        <v/>
      </c>
      <c r="F1512" s="6">
        <f>IF($J1512="","",IF($J1512&lt;=1500,N(INDEX('Daily Sale entry '!$AC$1:$AC$1501,$J1512+1))-IF(AND('Opening Balance'!$B$15=1,INDEX('Daily Sale entry '!$Z$1:$Z$1501,$J1512+1)="Online collection 网上收款",INDEX('Daily Sale entry '!$AA$1:$AA$1501,$J1512+1)&lt;&gt;""),N(INDEX('Daily Sale entry '!$AC$1:$AC$1501,$J1512+1))-TRUNC(N(INDEX('Daily Sale entry '!$AC$1:$AC$1501,$J1512+1))),0),N(INDEX('Daily Sale entry '!$S$1:$S$1501,$J1512-1499))-'Opening Balance'!$B$15*(N(INDEX('Daily Sale entry '!$S$1:$S$1501,$J1512-1499))-TRUNC(N(INDEX('Daily Sale entry '!$S$1:$S$1501,$J1512-1499))))))</f>
        <v/>
      </c>
      <c r="G1512" s="6">
        <f>IF($J1512="","",IF($J1512&lt;=1500,N(INDEX('Daily Sale entry '!$AD$1:$AD$1501,$J1512+1)),0))</f>
        <v/>
      </c>
      <c r="H1512" s="6">
        <f>IF($J1512="","",ROUND('Opening Balance'!$B$4+SUM($F$2:F1512)-SUM($G$2:G1512),2))</f>
        <v/>
      </c>
      <c r="J1512" s="21">
        <f>IFERROR(MATCH(ROW()-1,$L$2:$L$3001,0),"")</f>
        <v/>
      </c>
      <c r="K1512" s="34">
        <f>IF(AND('Daily Sale entry '!Q12="Collection 收款",'Daily Sale entry '!R12="Cheque 支票",'Daily Sale entry '!V12&lt;&gt;""),'Daily Sale entry '!V12+ROW()/10000000,"")</f>
        <v/>
      </c>
      <c r="L1512" s="21">
        <f>IF(K1512="","",COUNTIF($K$2:$K$3001,"&lt;"&amp;K1512)+1)</f>
        <v/>
      </c>
    </row>
    <row r="1513">
      <c r="A1513" s="5">
        <f>IF($J1513="","",IF($J1513&lt;=1500,INDEX('Daily Sale entry '!$X$1:$X$1501,$J1513+1),INDEX('Daily Sale entry '!$V$1:$V$1501,$J1513-1499)))</f>
        <v/>
      </c>
      <c r="B1513">
        <f>IF($J1513="","",IF($J1513&lt;=1500,INDEX('Daily Sale entry '!$Y$1:$Y$1501,$J1513+1)&amp;"","Buyer cheque banked 买家支票存入"&amp;IF(INDEX('Daily Sale entry '!$U$1:$U$1501,$J1513-1499)="","", " - "&amp;INDEX('Daily Sale entry '!$U$1:$U$1501,$J1513-1499))))</f>
        <v/>
      </c>
      <c r="C1513">
        <f>IF($J1513="","",IF($J1513&lt;=1500,INDEX('Daily Sale entry '!$Z$1:$Z$1501,$J1513+1)&amp;"","Cheque deposit 支票存入 (buyer 买家)"))</f>
        <v/>
      </c>
      <c r="D1513">
        <f>IF($J1513="","",IF($J1513&lt;=1500,INDEX('Daily Sale entry '!$AA$1:$AA$1501,$J1513+1)&amp;"",INDEX('Daily Sale entry '!$P$1:$P$1501,$J1513-1499)&amp;""))</f>
        <v/>
      </c>
      <c r="E1513">
        <f>IF($J1513="","",IF($J1513&lt;=1500,IF(N(INDEX('Daily Sale entry '!$AB$1:$AB$1501,$J1513+1))=0,"",INDEX('Daily Sale entry '!$AB$1:$AB$1501,$J1513+1)),1))</f>
        <v/>
      </c>
      <c r="F1513" s="6">
        <f>IF($J1513="","",IF($J1513&lt;=1500,N(INDEX('Daily Sale entry '!$AC$1:$AC$1501,$J1513+1))-IF(AND('Opening Balance'!$B$15=1,INDEX('Daily Sale entry '!$Z$1:$Z$1501,$J1513+1)="Online collection 网上收款",INDEX('Daily Sale entry '!$AA$1:$AA$1501,$J1513+1)&lt;&gt;""),N(INDEX('Daily Sale entry '!$AC$1:$AC$1501,$J1513+1))-TRUNC(N(INDEX('Daily Sale entry '!$AC$1:$AC$1501,$J1513+1))),0),N(INDEX('Daily Sale entry '!$S$1:$S$1501,$J1513-1499))-'Opening Balance'!$B$15*(N(INDEX('Daily Sale entry '!$S$1:$S$1501,$J1513-1499))-TRUNC(N(INDEX('Daily Sale entry '!$S$1:$S$1501,$J1513-1499))))))</f>
        <v/>
      </c>
      <c r="G1513" s="6">
        <f>IF($J1513="","",IF($J1513&lt;=1500,N(INDEX('Daily Sale entry '!$AD$1:$AD$1501,$J1513+1)),0))</f>
        <v/>
      </c>
      <c r="H1513" s="6">
        <f>IF($J1513="","",ROUND('Opening Balance'!$B$4+SUM($F$2:F1513)-SUM($G$2:G1513),2))</f>
        <v/>
      </c>
      <c r="J1513" s="21">
        <f>IFERROR(MATCH(ROW()-1,$L$2:$L$3001,0),"")</f>
        <v/>
      </c>
      <c r="K1513" s="34">
        <f>IF(AND('Daily Sale entry '!Q13="Collection 收款",'Daily Sale entry '!R13="Cheque 支票",'Daily Sale entry '!V13&lt;&gt;""),'Daily Sale entry '!V13+ROW()/10000000,"")</f>
        <v/>
      </c>
      <c r="L1513" s="21">
        <f>IF(K1513="","",COUNTIF($K$2:$K$3001,"&lt;"&amp;K1513)+1)</f>
        <v/>
      </c>
    </row>
    <row r="1514">
      <c r="A1514" s="5">
        <f>IF($J1514="","",IF($J1514&lt;=1500,INDEX('Daily Sale entry '!$X$1:$X$1501,$J1514+1),INDEX('Daily Sale entry '!$V$1:$V$1501,$J1514-1499)))</f>
        <v/>
      </c>
      <c r="B1514">
        <f>IF($J1514="","",IF($J1514&lt;=1500,INDEX('Daily Sale entry '!$Y$1:$Y$1501,$J1514+1)&amp;"","Buyer cheque banked 买家支票存入"&amp;IF(INDEX('Daily Sale entry '!$U$1:$U$1501,$J1514-1499)="","", " - "&amp;INDEX('Daily Sale entry '!$U$1:$U$1501,$J1514-1499))))</f>
        <v/>
      </c>
      <c r="C1514">
        <f>IF($J1514="","",IF($J1514&lt;=1500,INDEX('Daily Sale entry '!$Z$1:$Z$1501,$J1514+1)&amp;"","Cheque deposit 支票存入 (buyer 买家)"))</f>
        <v/>
      </c>
      <c r="D1514">
        <f>IF($J1514="","",IF($J1514&lt;=1500,INDEX('Daily Sale entry '!$AA$1:$AA$1501,$J1514+1)&amp;"",INDEX('Daily Sale entry '!$P$1:$P$1501,$J1514-1499)&amp;""))</f>
        <v/>
      </c>
      <c r="E1514">
        <f>IF($J1514="","",IF($J1514&lt;=1500,IF(N(INDEX('Daily Sale entry '!$AB$1:$AB$1501,$J1514+1))=0,"",INDEX('Daily Sale entry '!$AB$1:$AB$1501,$J1514+1)),1))</f>
        <v/>
      </c>
      <c r="F1514" s="6">
        <f>IF($J1514="","",IF($J1514&lt;=1500,N(INDEX('Daily Sale entry '!$AC$1:$AC$1501,$J1514+1))-IF(AND('Opening Balance'!$B$15=1,INDEX('Daily Sale entry '!$Z$1:$Z$1501,$J1514+1)="Online collection 网上收款",INDEX('Daily Sale entry '!$AA$1:$AA$1501,$J1514+1)&lt;&gt;""),N(INDEX('Daily Sale entry '!$AC$1:$AC$1501,$J1514+1))-TRUNC(N(INDEX('Daily Sale entry '!$AC$1:$AC$1501,$J1514+1))),0),N(INDEX('Daily Sale entry '!$S$1:$S$1501,$J1514-1499))-'Opening Balance'!$B$15*(N(INDEX('Daily Sale entry '!$S$1:$S$1501,$J1514-1499))-TRUNC(N(INDEX('Daily Sale entry '!$S$1:$S$1501,$J1514-1499))))))</f>
        <v/>
      </c>
      <c r="G1514" s="6">
        <f>IF($J1514="","",IF($J1514&lt;=1500,N(INDEX('Daily Sale entry '!$AD$1:$AD$1501,$J1514+1)),0))</f>
        <v/>
      </c>
      <c r="H1514" s="6">
        <f>IF($J1514="","",ROUND('Opening Balance'!$B$4+SUM($F$2:F1514)-SUM($G$2:G1514),2))</f>
        <v/>
      </c>
      <c r="J1514" s="21">
        <f>IFERROR(MATCH(ROW()-1,$L$2:$L$3001,0),"")</f>
        <v/>
      </c>
      <c r="K1514" s="34">
        <f>IF(AND('Daily Sale entry '!Q14="Collection 收款",'Daily Sale entry '!R14="Cheque 支票",'Daily Sale entry '!V14&lt;&gt;""),'Daily Sale entry '!V14+ROW()/10000000,"")</f>
        <v/>
      </c>
      <c r="L1514" s="21">
        <f>IF(K1514="","",COUNTIF($K$2:$K$3001,"&lt;"&amp;K1514)+1)</f>
        <v/>
      </c>
    </row>
    <row r="1515">
      <c r="A1515" s="5">
        <f>IF($J1515="","",IF($J1515&lt;=1500,INDEX('Daily Sale entry '!$X$1:$X$1501,$J1515+1),INDEX('Daily Sale entry '!$V$1:$V$1501,$J1515-1499)))</f>
        <v/>
      </c>
      <c r="B1515">
        <f>IF($J1515="","",IF($J1515&lt;=1500,INDEX('Daily Sale entry '!$Y$1:$Y$1501,$J1515+1)&amp;"","Buyer cheque banked 买家支票存入"&amp;IF(INDEX('Daily Sale entry '!$U$1:$U$1501,$J1515-1499)="","", " - "&amp;INDEX('Daily Sale entry '!$U$1:$U$1501,$J1515-1499))))</f>
        <v/>
      </c>
      <c r="C1515">
        <f>IF($J1515="","",IF($J1515&lt;=1500,INDEX('Daily Sale entry '!$Z$1:$Z$1501,$J1515+1)&amp;"","Cheque deposit 支票存入 (buyer 买家)"))</f>
        <v/>
      </c>
      <c r="D1515">
        <f>IF($J1515="","",IF($J1515&lt;=1500,INDEX('Daily Sale entry '!$AA$1:$AA$1501,$J1515+1)&amp;"",INDEX('Daily Sale entry '!$P$1:$P$1501,$J1515-1499)&amp;""))</f>
        <v/>
      </c>
      <c r="E1515">
        <f>IF($J1515="","",IF($J1515&lt;=1500,IF(N(INDEX('Daily Sale entry '!$AB$1:$AB$1501,$J1515+1))=0,"",INDEX('Daily Sale entry '!$AB$1:$AB$1501,$J1515+1)),1))</f>
        <v/>
      </c>
      <c r="F1515" s="6">
        <f>IF($J1515="","",IF($J1515&lt;=1500,N(INDEX('Daily Sale entry '!$AC$1:$AC$1501,$J1515+1))-IF(AND('Opening Balance'!$B$15=1,INDEX('Daily Sale entry '!$Z$1:$Z$1501,$J1515+1)="Online collection 网上收款",INDEX('Daily Sale entry '!$AA$1:$AA$1501,$J1515+1)&lt;&gt;""),N(INDEX('Daily Sale entry '!$AC$1:$AC$1501,$J1515+1))-TRUNC(N(INDEX('Daily Sale entry '!$AC$1:$AC$1501,$J1515+1))),0),N(INDEX('Daily Sale entry '!$S$1:$S$1501,$J1515-1499))-'Opening Balance'!$B$15*(N(INDEX('Daily Sale entry '!$S$1:$S$1501,$J1515-1499))-TRUNC(N(INDEX('Daily Sale entry '!$S$1:$S$1501,$J1515-1499))))))</f>
        <v/>
      </c>
      <c r="G1515" s="6">
        <f>IF($J1515="","",IF($J1515&lt;=1500,N(INDEX('Daily Sale entry '!$AD$1:$AD$1501,$J1515+1)),0))</f>
        <v/>
      </c>
      <c r="H1515" s="6">
        <f>IF($J1515="","",ROUND('Opening Balance'!$B$4+SUM($F$2:F1515)-SUM($G$2:G1515),2))</f>
        <v/>
      </c>
      <c r="J1515" s="21">
        <f>IFERROR(MATCH(ROW()-1,$L$2:$L$3001,0),"")</f>
        <v/>
      </c>
      <c r="K1515" s="34">
        <f>IF(AND('Daily Sale entry '!Q15="Collection 收款",'Daily Sale entry '!R15="Cheque 支票",'Daily Sale entry '!V15&lt;&gt;""),'Daily Sale entry '!V15+ROW()/10000000,"")</f>
        <v/>
      </c>
      <c r="L1515" s="21">
        <f>IF(K1515="","",COUNTIF($K$2:$K$3001,"&lt;"&amp;K1515)+1)</f>
        <v/>
      </c>
    </row>
    <row r="1516">
      <c r="A1516" s="5">
        <f>IF($J1516="","",IF($J1516&lt;=1500,INDEX('Daily Sale entry '!$X$1:$X$1501,$J1516+1),INDEX('Daily Sale entry '!$V$1:$V$1501,$J1516-1499)))</f>
        <v/>
      </c>
      <c r="B1516">
        <f>IF($J1516="","",IF($J1516&lt;=1500,INDEX('Daily Sale entry '!$Y$1:$Y$1501,$J1516+1)&amp;"","Buyer cheque banked 买家支票存入"&amp;IF(INDEX('Daily Sale entry '!$U$1:$U$1501,$J1516-1499)="","", " - "&amp;INDEX('Daily Sale entry '!$U$1:$U$1501,$J1516-1499))))</f>
        <v/>
      </c>
      <c r="C1516">
        <f>IF($J1516="","",IF($J1516&lt;=1500,INDEX('Daily Sale entry '!$Z$1:$Z$1501,$J1516+1)&amp;"","Cheque deposit 支票存入 (buyer 买家)"))</f>
        <v/>
      </c>
      <c r="D1516">
        <f>IF($J1516="","",IF($J1516&lt;=1500,INDEX('Daily Sale entry '!$AA$1:$AA$1501,$J1516+1)&amp;"",INDEX('Daily Sale entry '!$P$1:$P$1501,$J1516-1499)&amp;""))</f>
        <v/>
      </c>
      <c r="E1516">
        <f>IF($J1516="","",IF($J1516&lt;=1500,IF(N(INDEX('Daily Sale entry '!$AB$1:$AB$1501,$J1516+1))=0,"",INDEX('Daily Sale entry '!$AB$1:$AB$1501,$J1516+1)),1))</f>
        <v/>
      </c>
      <c r="F1516" s="6">
        <f>IF($J1516="","",IF($J1516&lt;=1500,N(INDEX('Daily Sale entry '!$AC$1:$AC$1501,$J1516+1))-IF(AND('Opening Balance'!$B$15=1,INDEX('Daily Sale entry '!$Z$1:$Z$1501,$J1516+1)="Online collection 网上收款",INDEX('Daily Sale entry '!$AA$1:$AA$1501,$J1516+1)&lt;&gt;""),N(INDEX('Daily Sale entry '!$AC$1:$AC$1501,$J1516+1))-TRUNC(N(INDEX('Daily Sale entry '!$AC$1:$AC$1501,$J1516+1))),0),N(INDEX('Daily Sale entry '!$S$1:$S$1501,$J1516-1499))-'Opening Balance'!$B$15*(N(INDEX('Daily Sale entry '!$S$1:$S$1501,$J1516-1499))-TRUNC(N(INDEX('Daily Sale entry '!$S$1:$S$1501,$J1516-1499))))))</f>
        <v/>
      </c>
      <c r="G1516" s="6">
        <f>IF($J1516="","",IF($J1516&lt;=1500,N(INDEX('Daily Sale entry '!$AD$1:$AD$1501,$J1516+1)),0))</f>
        <v/>
      </c>
      <c r="H1516" s="6">
        <f>IF($J1516="","",ROUND('Opening Balance'!$B$4+SUM($F$2:F1516)-SUM($G$2:G1516),2))</f>
        <v/>
      </c>
      <c r="J1516" s="21">
        <f>IFERROR(MATCH(ROW()-1,$L$2:$L$3001,0),"")</f>
        <v/>
      </c>
      <c r="K1516" s="34">
        <f>IF(AND('Daily Sale entry '!Q16="Collection 收款",'Daily Sale entry '!R16="Cheque 支票",'Daily Sale entry '!V16&lt;&gt;""),'Daily Sale entry '!V16+ROW()/10000000,"")</f>
        <v/>
      </c>
      <c r="L1516" s="21">
        <f>IF(K1516="","",COUNTIF($K$2:$K$3001,"&lt;"&amp;K1516)+1)</f>
        <v/>
      </c>
    </row>
    <row r="1517">
      <c r="A1517" s="5">
        <f>IF($J1517="","",IF($J1517&lt;=1500,INDEX('Daily Sale entry '!$X$1:$X$1501,$J1517+1),INDEX('Daily Sale entry '!$V$1:$V$1501,$J1517-1499)))</f>
        <v/>
      </c>
      <c r="B1517">
        <f>IF($J1517="","",IF($J1517&lt;=1500,INDEX('Daily Sale entry '!$Y$1:$Y$1501,$J1517+1)&amp;"","Buyer cheque banked 买家支票存入"&amp;IF(INDEX('Daily Sale entry '!$U$1:$U$1501,$J1517-1499)="","", " - "&amp;INDEX('Daily Sale entry '!$U$1:$U$1501,$J1517-1499))))</f>
        <v/>
      </c>
      <c r="C1517">
        <f>IF($J1517="","",IF($J1517&lt;=1500,INDEX('Daily Sale entry '!$Z$1:$Z$1501,$J1517+1)&amp;"","Cheque deposit 支票存入 (buyer 买家)"))</f>
        <v/>
      </c>
      <c r="D1517">
        <f>IF($J1517="","",IF($J1517&lt;=1500,INDEX('Daily Sale entry '!$AA$1:$AA$1501,$J1517+1)&amp;"",INDEX('Daily Sale entry '!$P$1:$P$1501,$J1517-1499)&amp;""))</f>
        <v/>
      </c>
      <c r="E1517">
        <f>IF($J1517="","",IF($J1517&lt;=1500,IF(N(INDEX('Daily Sale entry '!$AB$1:$AB$1501,$J1517+1))=0,"",INDEX('Daily Sale entry '!$AB$1:$AB$1501,$J1517+1)),1))</f>
        <v/>
      </c>
      <c r="F1517" s="6">
        <f>IF($J1517="","",IF($J1517&lt;=1500,N(INDEX('Daily Sale entry '!$AC$1:$AC$1501,$J1517+1))-IF(AND('Opening Balance'!$B$15=1,INDEX('Daily Sale entry '!$Z$1:$Z$1501,$J1517+1)="Online collection 网上收款",INDEX('Daily Sale entry '!$AA$1:$AA$1501,$J1517+1)&lt;&gt;""),N(INDEX('Daily Sale entry '!$AC$1:$AC$1501,$J1517+1))-TRUNC(N(INDEX('Daily Sale entry '!$AC$1:$AC$1501,$J1517+1))),0),N(INDEX('Daily Sale entry '!$S$1:$S$1501,$J1517-1499))-'Opening Balance'!$B$15*(N(INDEX('Daily Sale entry '!$S$1:$S$1501,$J1517-1499))-TRUNC(N(INDEX('Daily Sale entry '!$S$1:$S$1501,$J1517-1499))))))</f>
        <v/>
      </c>
      <c r="G1517" s="6">
        <f>IF($J1517="","",IF($J1517&lt;=1500,N(INDEX('Daily Sale entry '!$AD$1:$AD$1501,$J1517+1)),0))</f>
        <v/>
      </c>
      <c r="H1517" s="6">
        <f>IF($J1517="","",ROUND('Opening Balance'!$B$4+SUM($F$2:F1517)-SUM($G$2:G1517),2))</f>
        <v/>
      </c>
      <c r="J1517" s="21">
        <f>IFERROR(MATCH(ROW()-1,$L$2:$L$3001,0),"")</f>
        <v/>
      </c>
      <c r="K1517" s="34">
        <f>IF(AND('Daily Sale entry '!Q17="Collection 收款",'Daily Sale entry '!R17="Cheque 支票",'Daily Sale entry '!V17&lt;&gt;""),'Daily Sale entry '!V17+ROW()/10000000,"")</f>
        <v/>
      </c>
      <c r="L1517" s="21">
        <f>IF(K1517="","",COUNTIF($K$2:$K$3001,"&lt;"&amp;K1517)+1)</f>
        <v/>
      </c>
    </row>
    <row r="1518">
      <c r="A1518" s="5">
        <f>IF($J1518="","",IF($J1518&lt;=1500,INDEX('Daily Sale entry '!$X$1:$X$1501,$J1518+1),INDEX('Daily Sale entry '!$V$1:$V$1501,$J1518-1499)))</f>
        <v/>
      </c>
      <c r="B1518">
        <f>IF($J1518="","",IF($J1518&lt;=1500,INDEX('Daily Sale entry '!$Y$1:$Y$1501,$J1518+1)&amp;"","Buyer cheque banked 买家支票存入"&amp;IF(INDEX('Daily Sale entry '!$U$1:$U$1501,$J1518-1499)="","", " - "&amp;INDEX('Daily Sale entry '!$U$1:$U$1501,$J1518-1499))))</f>
        <v/>
      </c>
      <c r="C1518">
        <f>IF($J1518="","",IF($J1518&lt;=1500,INDEX('Daily Sale entry '!$Z$1:$Z$1501,$J1518+1)&amp;"","Cheque deposit 支票存入 (buyer 买家)"))</f>
        <v/>
      </c>
      <c r="D1518">
        <f>IF($J1518="","",IF($J1518&lt;=1500,INDEX('Daily Sale entry '!$AA$1:$AA$1501,$J1518+1)&amp;"",INDEX('Daily Sale entry '!$P$1:$P$1501,$J1518-1499)&amp;""))</f>
        <v/>
      </c>
      <c r="E1518">
        <f>IF($J1518="","",IF($J1518&lt;=1500,IF(N(INDEX('Daily Sale entry '!$AB$1:$AB$1501,$J1518+1))=0,"",INDEX('Daily Sale entry '!$AB$1:$AB$1501,$J1518+1)),1))</f>
        <v/>
      </c>
      <c r="F1518" s="6">
        <f>IF($J1518="","",IF($J1518&lt;=1500,N(INDEX('Daily Sale entry '!$AC$1:$AC$1501,$J1518+1))-IF(AND('Opening Balance'!$B$15=1,INDEX('Daily Sale entry '!$Z$1:$Z$1501,$J1518+1)="Online collection 网上收款",INDEX('Daily Sale entry '!$AA$1:$AA$1501,$J1518+1)&lt;&gt;""),N(INDEX('Daily Sale entry '!$AC$1:$AC$1501,$J1518+1))-TRUNC(N(INDEX('Daily Sale entry '!$AC$1:$AC$1501,$J1518+1))),0),N(INDEX('Daily Sale entry '!$S$1:$S$1501,$J1518-1499))-'Opening Balance'!$B$15*(N(INDEX('Daily Sale entry '!$S$1:$S$1501,$J1518-1499))-TRUNC(N(INDEX('Daily Sale entry '!$S$1:$S$1501,$J1518-1499))))))</f>
        <v/>
      </c>
      <c r="G1518" s="6">
        <f>IF($J1518="","",IF($J1518&lt;=1500,N(INDEX('Daily Sale entry '!$AD$1:$AD$1501,$J1518+1)),0))</f>
        <v/>
      </c>
      <c r="H1518" s="6">
        <f>IF($J1518="","",ROUND('Opening Balance'!$B$4+SUM($F$2:F1518)-SUM($G$2:G1518),2))</f>
        <v/>
      </c>
      <c r="J1518" s="21">
        <f>IFERROR(MATCH(ROW()-1,$L$2:$L$3001,0),"")</f>
        <v/>
      </c>
      <c r="K1518" s="34">
        <f>IF(AND('Daily Sale entry '!Q18="Collection 收款",'Daily Sale entry '!R18="Cheque 支票",'Daily Sale entry '!V18&lt;&gt;""),'Daily Sale entry '!V18+ROW()/10000000,"")</f>
        <v/>
      </c>
      <c r="L1518" s="21">
        <f>IF(K1518="","",COUNTIF($K$2:$K$3001,"&lt;"&amp;K1518)+1)</f>
        <v/>
      </c>
    </row>
    <row r="1519">
      <c r="A1519" s="5">
        <f>IF($J1519="","",IF($J1519&lt;=1500,INDEX('Daily Sale entry '!$X$1:$X$1501,$J1519+1),INDEX('Daily Sale entry '!$V$1:$V$1501,$J1519-1499)))</f>
        <v/>
      </c>
      <c r="B1519">
        <f>IF($J1519="","",IF($J1519&lt;=1500,INDEX('Daily Sale entry '!$Y$1:$Y$1501,$J1519+1)&amp;"","Buyer cheque banked 买家支票存入"&amp;IF(INDEX('Daily Sale entry '!$U$1:$U$1501,$J1519-1499)="","", " - "&amp;INDEX('Daily Sale entry '!$U$1:$U$1501,$J1519-1499))))</f>
        <v/>
      </c>
      <c r="C1519">
        <f>IF($J1519="","",IF($J1519&lt;=1500,INDEX('Daily Sale entry '!$Z$1:$Z$1501,$J1519+1)&amp;"","Cheque deposit 支票存入 (buyer 买家)"))</f>
        <v/>
      </c>
      <c r="D1519">
        <f>IF($J1519="","",IF($J1519&lt;=1500,INDEX('Daily Sale entry '!$AA$1:$AA$1501,$J1519+1)&amp;"",INDEX('Daily Sale entry '!$P$1:$P$1501,$J1519-1499)&amp;""))</f>
        <v/>
      </c>
      <c r="E1519">
        <f>IF($J1519="","",IF($J1519&lt;=1500,IF(N(INDEX('Daily Sale entry '!$AB$1:$AB$1501,$J1519+1))=0,"",INDEX('Daily Sale entry '!$AB$1:$AB$1501,$J1519+1)),1))</f>
        <v/>
      </c>
      <c r="F1519" s="6">
        <f>IF($J1519="","",IF($J1519&lt;=1500,N(INDEX('Daily Sale entry '!$AC$1:$AC$1501,$J1519+1))-IF(AND('Opening Balance'!$B$15=1,INDEX('Daily Sale entry '!$Z$1:$Z$1501,$J1519+1)="Online collection 网上收款",INDEX('Daily Sale entry '!$AA$1:$AA$1501,$J1519+1)&lt;&gt;""),N(INDEX('Daily Sale entry '!$AC$1:$AC$1501,$J1519+1))-TRUNC(N(INDEX('Daily Sale entry '!$AC$1:$AC$1501,$J1519+1))),0),N(INDEX('Daily Sale entry '!$S$1:$S$1501,$J1519-1499))-'Opening Balance'!$B$15*(N(INDEX('Daily Sale entry '!$S$1:$S$1501,$J1519-1499))-TRUNC(N(INDEX('Daily Sale entry '!$S$1:$S$1501,$J1519-1499))))))</f>
        <v/>
      </c>
      <c r="G1519" s="6">
        <f>IF($J1519="","",IF($J1519&lt;=1500,N(INDEX('Daily Sale entry '!$AD$1:$AD$1501,$J1519+1)),0))</f>
        <v/>
      </c>
      <c r="H1519" s="6">
        <f>IF($J1519="","",ROUND('Opening Balance'!$B$4+SUM($F$2:F1519)-SUM($G$2:G1519),2))</f>
        <v/>
      </c>
      <c r="J1519" s="21">
        <f>IFERROR(MATCH(ROW()-1,$L$2:$L$3001,0),"")</f>
        <v/>
      </c>
      <c r="K1519" s="34">
        <f>IF(AND('Daily Sale entry '!Q19="Collection 收款",'Daily Sale entry '!R19="Cheque 支票",'Daily Sale entry '!V19&lt;&gt;""),'Daily Sale entry '!V19+ROW()/10000000,"")</f>
        <v/>
      </c>
      <c r="L1519" s="21">
        <f>IF(K1519="","",COUNTIF($K$2:$K$3001,"&lt;"&amp;K1519)+1)</f>
        <v/>
      </c>
    </row>
    <row r="1520">
      <c r="A1520" s="5">
        <f>IF($J1520="","",IF($J1520&lt;=1500,INDEX('Daily Sale entry '!$X$1:$X$1501,$J1520+1),INDEX('Daily Sale entry '!$V$1:$V$1501,$J1520-1499)))</f>
        <v/>
      </c>
      <c r="B1520">
        <f>IF($J1520="","",IF($J1520&lt;=1500,INDEX('Daily Sale entry '!$Y$1:$Y$1501,$J1520+1)&amp;"","Buyer cheque banked 买家支票存入"&amp;IF(INDEX('Daily Sale entry '!$U$1:$U$1501,$J1520-1499)="","", " - "&amp;INDEX('Daily Sale entry '!$U$1:$U$1501,$J1520-1499))))</f>
        <v/>
      </c>
      <c r="C1520">
        <f>IF($J1520="","",IF($J1520&lt;=1500,INDEX('Daily Sale entry '!$Z$1:$Z$1501,$J1520+1)&amp;"","Cheque deposit 支票存入 (buyer 买家)"))</f>
        <v/>
      </c>
      <c r="D1520">
        <f>IF($J1520="","",IF($J1520&lt;=1500,INDEX('Daily Sale entry '!$AA$1:$AA$1501,$J1520+1)&amp;"",INDEX('Daily Sale entry '!$P$1:$P$1501,$J1520-1499)&amp;""))</f>
        <v/>
      </c>
      <c r="E1520">
        <f>IF($J1520="","",IF($J1520&lt;=1500,IF(N(INDEX('Daily Sale entry '!$AB$1:$AB$1501,$J1520+1))=0,"",INDEX('Daily Sale entry '!$AB$1:$AB$1501,$J1520+1)),1))</f>
        <v/>
      </c>
      <c r="F1520" s="6">
        <f>IF($J1520="","",IF($J1520&lt;=1500,N(INDEX('Daily Sale entry '!$AC$1:$AC$1501,$J1520+1))-IF(AND('Opening Balance'!$B$15=1,INDEX('Daily Sale entry '!$Z$1:$Z$1501,$J1520+1)="Online collection 网上收款",INDEX('Daily Sale entry '!$AA$1:$AA$1501,$J1520+1)&lt;&gt;""),N(INDEX('Daily Sale entry '!$AC$1:$AC$1501,$J1520+1))-TRUNC(N(INDEX('Daily Sale entry '!$AC$1:$AC$1501,$J1520+1))),0),N(INDEX('Daily Sale entry '!$S$1:$S$1501,$J1520-1499))-'Opening Balance'!$B$15*(N(INDEX('Daily Sale entry '!$S$1:$S$1501,$J1520-1499))-TRUNC(N(INDEX('Daily Sale entry '!$S$1:$S$1501,$J1520-1499))))))</f>
        <v/>
      </c>
      <c r="G1520" s="6">
        <f>IF($J1520="","",IF($J1520&lt;=1500,N(INDEX('Daily Sale entry '!$AD$1:$AD$1501,$J1520+1)),0))</f>
        <v/>
      </c>
      <c r="H1520" s="6">
        <f>IF($J1520="","",ROUND('Opening Balance'!$B$4+SUM($F$2:F1520)-SUM($G$2:G1520),2))</f>
        <v/>
      </c>
      <c r="J1520" s="21">
        <f>IFERROR(MATCH(ROW()-1,$L$2:$L$3001,0),"")</f>
        <v/>
      </c>
      <c r="K1520" s="34">
        <f>IF(AND('Daily Sale entry '!Q20="Collection 收款",'Daily Sale entry '!R20="Cheque 支票",'Daily Sale entry '!V20&lt;&gt;""),'Daily Sale entry '!V20+ROW()/10000000,"")</f>
        <v/>
      </c>
      <c r="L1520" s="21">
        <f>IF(K1520="","",COUNTIF($K$2:$K$3001,"&lt;"&amp;K1520)+1)</f>
        <v/>
      </c>
    </row>
    <row r="1521">
      <c r="A1521" s="5">
        <f>IF($J1521="","",IF($J1521&lt;=1500,INDEX('Daily Sale entry '!$X$1:$X$1501,$J1521+1),INDEX('Daily Sale entry '!$V$1:$V$1501,$J1521-1499)))</f>
        <v/>
      </c>
      <c r="B1521">
        <f>IF($J1521="","",IF($J1521&lt;=1500,INDEX('Daily Sale entry '!$Y$1:$Y$1501,$J1521+1)&amp;"","Buyer cheque banked 买家支票存入"&amp;IF(INDEX('Daily Sale entry '!$U$1:$U$1501,$J1521-1499)="","", " - "&amp;INDEX('Daily Sale entry '!$U$1:$U$1501,$J1521-1499))))</f>
        <v/>
      </c>
      <c r="C1521">
        <f>IF($J1521="","",IF($J1521&lt;=1500,INDEX('Daily Sale entry '!$Z$1:$Z$1501,$J1521+1)&amp;"","Cheque deposit 支票存入 (buyer 买家)"))</f>
        <v/>
      </c>
      <c r="D1521">
        <f>IF($J1521="","",IF($J1521&lt;=1500,INDEX('Daily Sale entry '!$AA$1:$AA$1501,$J1521+1)&amp;"",INDEX('Daily Sale entry '!$P$1:$P$1501,$J1521-1499)&amp;""))</f>
        <v/>
      </c>
      <c r="E1521">
        <f>IF($J1521="","",IF($J1521&lt;=1500,IF(N(INDEX('Daily Sale entry '!$AB$1:$AB$1501,$J1521+1))=0,"",INDEX('Daily Sale entry '!$AB$1:$AB$1501,$J1521+1)),1))</f>
        <v/>
      </c>
      <c r="F1521" s="6">
        <f>IF($J1521="","",IF($J1521&lt;=1500,N(INDEX('Daily Sale entry '!$AC$1:$AC$1501,$J1521+1))-IF(AND('Opening Balance'!$B$15=1,INDEX('Daily Sale entry '!$Z$1:$Z$1501,$J1521+1)="Online collection 网上收款",INDEX('Daily Sale entry '!$AA$1:$AA$1501,$J1521+1)&lt;&gt;""),N(INDEX('Daily Sale entry '!$AC$1:$AC$1501,$J1521+1))-TRUNC(N(INDEX('Daily Sale entry '!$AC$1:$AC$1501,$J1521+1))),0),N(INDEX('Daily Sale entry '!$S$1:$S$1501,$J1521-1499))-'Opening Balance'!$B$15*(N(INDEX('Daily Sale entry '!$S$1:$S$1501,$J1521-1499))-TRUNC(N(INDEX('Daily Sale entry '!$S$1:$S$1501,$J1521-1499))))))</f>
        <v/>
      </c>
      <c r="G1521" s="6">
        <f>IF($J1521="","",IF($J1521&lt;=1500,N(INDEX('Daily Sale entry '!$AD$1:$AD$1501,$J1521+1)),0))</f>
        <v/>
      </c>
      <c r="H1521" s="6">
        <f>IF($J1521="","",ROUND('Opening Balance'!$B$4+SUM($F$2:F1521)-SUM($G$2:G1521),2))</f>
        <v/>
      </c>
      <c r="J1521" s="21">
        <f>IFERROR(MATCH(ROW()-1,$L$2:$L$3001,0),"")</f>
        <v/>
      </c>
      <c r="K1521" s="34">
        <f>IF(AND('Daily Sale entry '!Q21="Collection 收款",'Daily Sale entry '!R21="Cheque 支票",'Daily Sale entry '!V21&lt;&gt;""),'Daily Sale entry '!V21+ROW()/10000000,"")</f>
        <v/>
      </c>
      <c r="L1521" s="21">
        <f>IF(K1521="","",COUNTIF($K$2:$K$3001,"&lt;"&amp;K1521)+1)</f>
        <v/>
      </c>
    </row>
    <row r="1522">
      <c r="A1522" s="5">
        <f>IF($J1522="","",IF($J1522&lt;=1500,INDEX('Daily Sale entry '!$X$1:$X$1501,$J1522+1),INDEX('Daily Sale entry '!$V$1:$V$1501,$J1522-1499)))</f>
        <v/>
      </c>
      <c r="B1522">
        <f>IF($J1522="","",IF($J1522&lt;=1500,INDEX('Daily Sale entry '!$Y$1:$Y$1501,$J1522+1)&amp;"","Buyer cheque banked 买家支票存入"&amp;IF(INDEX('Daily Sale entry '!$U$1:$U$1501,$J1522-1499)="","", " - "&amp;INDEX('Daily Sale entry '!$U$1:$U$1501,$J1522-1499))))</f>
        <v/>
      </c>
      <c r="C1522">
        <f>IF($J1522="","",IF($J1522&lt;=1500,INDEX('Daily Sale entry '!$Z$1:$Z$1501,$J1522+1)&amp;"","Cheque deposit 支票存入 (buyer 买家)"))</f>
        <v/>
      </c>
      <c r="D1522">
        <f>IF($J1522="","",IF($J1522&lt;=1500,INDEX('Daily Sale entry '!$AA$1:$AA$1501,$J1522+1)&amp;"",INDEX('Daily Sale entry '!$P$1:$P$1501,$J1522-1499)&amp;""))</f>
        <v/>
      </c>
      <c r="E1522">
        <f>IF($J1522="","",IF($J1522&lt;=1500,IF(N(INDEX('Daily Sale entry '!$AB$1:$AB$1501,$J1522+1))=0,"",INDEX('Daily Sale entry '!$AB$1:$AB$1501,$J1522+1)),1))</f>
        <v/>
      </c>
      <c r="F1522" s="6">
        <f>IF($J1522="","",IF($J1522&lt;=1500,N(INDEX('Daily Sale entry '!$AC$1:$AC$1501,$J1522+1))-IF(AND('Opening Balance'!$B$15=1,INDEX('Daily Sale entry '!$Z$1:$Z$1501,$J1522+1)="Online collection 网上收款",INDEX('Daily Sale entry '!$AA$1:$AA$1501,$J1522+1)&lt;&gt;""),N(INDEX('Daily Sale entry '!$AC$1:$AC$1501,$J1522+1))-TRUNC(N(INDEX('Daily Sale entry '!$AC$1:$AC$1501,$J1522+1))),0),N(INDEX('Daily Sale entry '!$S$1:$S$1501,$J1522-1499))-'Opening Balance'!$B$15*(N(INDEX('Daily Sale entry '!$S$1:$S$1501,$J1522-1499))-TRUNC(N(INDEX('Daily Sale entry '!$S$1:$S$1501,$J1522-1499))))))</f>
        <v/>
      </c>
      <c r="G1522" s="6">
        <f>IF($J1522="","",IF($J1522&lt;=1500,N(INDEX('Daily Sale entry '!$AD$1:$AD$1501,$J1522+1)),0))</f>
        <v/>
      </c>
      <c r="H1522" s="6">
        <f>IF($J1522="","",ROUND('Opening Balance'!$B$4+SUM($F$2:F1522)-SUM($G$2:G1522),2))</f>
        <v/>
      </c>
      <c r="J1522" s="21">
        <f>IFERROR(MATCH(ROW()-1,$L$2:$L$3001,0),"")</f>
        <v/>
      </c>
      <c r="K1522" s="34">
        <f>IF(AND('Daily Sale entry '!Q22="Collection 收款",'Daily Sale entry '!R22="Cheque 支票",'Daily Sale entry '!V22&lt;&gt;""),'Daily Sale entry '!V22+ROW()/10000000,"")</f>
        <v/>
      </c>
      <c r="L1522" s="21">
        <f>IF(K1522="","",COUNTIF($K$2:$K$3001,"&lt;"&amp;K1522)+1)</f>
        <v/>
      </c>
    </row>
    <row r="1523">
      <c r="A1523" s="5">
        <f>IF($J1523="","",IF($J1523&lt;=1500,INDEX('Daily Sale entry '!$X$1:$X$1501,$J1523+1),INDEX('Daily Sale entry '!$V$1:$V$1501,$J1523-1499)))</f>
        <v/>
      </c>
      <c r="B1523">
        <f>IF($J1523="","",IF($J1523&lt;=1500,INDEX('Daily Sale entry '!$Y$1:$Y$1501,$J1523+1)&amp;"","Buyer cheque banked 买家支票存入"&amp;IF(INDEX('Daily Sale entry '!$U$1:$U$1501,$J1523-1499)="","", " - "&amp;INDEX('Daily Sale entry '!$U$1:$U$1501,$J1523-1499))))</f>
        <v/>
      </c>
      <c r="C1523">
        <f>IF($J1523="","",IF($J1523&lt;=1500,INDEX('Daily Sale entry '!$Z$1:$Z$1501,$J1523+1)&amp;"","Cheque deposit 支票存入 (buyer 买家)"))</f>
        <v/>
      </c>
      <c r="D1523">
        <f>IF($J1523="","",IF($J1523&lt;=1500,INDEX('Daily Sale entry '!$AA$1:$AA$1501,$J1523+1)&amp;"",INDEX('Daily Sale entry '!$P$1:$P$1501,$J1523-1499)&amp;""))</f>
        <v/>
      </c>
      <c r="E1523">
        <f>IF($J1523="","",IF($J1523&lt;=1500,IF(N(INDEX('Daily Sale entry '!$AB$1:$AB$1501,$J1523+1))=0,"",INDEX('Daily Sale entry '!$AB$1:$AB$1501,$J1523+1)),1))</f>
        <v/>
      </c>
      <c r="F1523" s="6">
        <f>IF($J1523="","",IF($J1523&lt;=1500,N(INDEX('Daily Sale entry '!$AC$1:$AC$1501,$J1523+1))-IF(AND('Opening Balance'!$B$15=1,INDEX('Daily Sale entry '!$Z$1:$Z$1501,$J1523+1)="Online collection 网上收款",INDEX('Daily Sale entry '!$AA$1:$AA$1501,$J1523+1)&lt;&gt;""),N(INDEX('Daily Sale entry '!$AC$1:$AC$1501,$J1523+1))-TRUNC(N(INDEX('Daily Sale entry '!$AC$1:$AC$1501,$J1523+1))),0),N(INDEX('Daily Sale entry '!$S$1:$S$1501,$J1523-1499))-'Opening Balance'!$B$15*(N(INDEX('Daily Sale entry '!$S$1:$S$1501,$J1523-1499))-TRUNC(N(INDEX('Daily Sale entry '!$S$1:$S$1501,$J1523-1499))))))</f>
        <v/>
      </c>
      <c r="G1523" s="6">
        <f>IF($J1523="","",IF($J1523&lt;=1500,N(INDEX('Daily Sale entry '!$AD$1:$AD$1501,$J1523+1)),0))</f>
        <v/>
      </c>
      <c r="H1523" s="6">
        <f>IF($J1523="","",ROUND('Opening Balance'!$B$4+SUM($F$2:F1523)-SUM($G$2:G1523),2))</f>
        <v/>
      </c>
      <c r="J1523" s="21">
        <f>IFERROR(MATCH(ROW()-1,$L$2:$L$3001,0),"")</f>
        <v/>
      </c>
      <c r="K1523" s="34">
        <f>IF(AND('Daily Sale entry '!Q23="Collection 收款",'Daily Sale entry '!R23="Cheque 支票",'Daily Sale entry '!V23&lt;&gt;""),'Daily Sale entry '!V23+ROW()/10000000,"")</f>
        <v/>
      </c>
      <c r="L1523" s="21">
        <f>IF(K1523="","",COUNTIF($K$2:$K$3001,"&lt;"&amp;K1523)+1)</f>
        <v/>
      </c>
    </row>
    <row r="1524">
      <c r="A1524" s="5">
        <f>IF($J1524="","",IF($J1524&lt;=1500,INDEX('Daily Sale entry '!$X$1:$X$1501,$J1524+1),INDEX('Daily Sale entry '!$V$1:$V$1501,$J1524-1499)))</f>
        <v/>
      </c>
      <c r="B1524">
        <f>IF($J1524="","",IF($J1524&lt;=1500,INDEX('Daily Sale entry '!$Y$1:$Y$1501,$J1524+1)&amp;"","Buyer cheque banked 买家支票存入"&amp;IF(INDEX('Daily Sale entry '!$U$1:$U$1501,$J1524-1499)="","", " - "&amp;INDEX('Daily Sale entry '!$U$1:$U$1501,$J1524-1499))))</f>
        <v/>
      </c>
      <c r="C1524">
        <f>IF($J1524="","",IF($J1524&lt;=1500,INDEX('Daily Sale entry '!$Z$1:$Z$1501,$J1524+1)&amp;"","Cheque deposit 支票存入 (buyer 买家)"))</f>
        <v/>
      </c>
      <c r="D1524">
        <f>IF($J1524="","",IF($J1524&lt;=1500,INDEX('Daily Sale entry '!$AA$1:$AA$1501,$J1524+1)&amp;"",INDEX('Daily Sale entry '!$P$1:$P$1501,$J1524-1499)&amp;""))</f>
        <v/>
      </c>
      <c r="E1524">
        <f>IF($J1524="","",IF($J1524&lt;=1500,IF(N(INDEX('Daily Sale entry '!$AB$1:$AB$1501,$J1524+1))=0,"",INDEX('Daily Sale entry '!$AB$1:$AB$1501,$J1524+1)),1))</f>
        <v/>
      </c>
      <c r="F1524" s="6">
        <f>IF($J1524="","",IF($J1524&lt;=1500,N(INDEX('Daily Sale entry '!$AC$1:$AC$1501,$J1524+1))-IF(AND('Opening Balance'!$B$15=1,INDEX('Daily Sale entry '!$Z$1:$Z$1501,$J1524+1)="Online collection 网上收款",INDEX('Daily Sale entry '!$AA$1:$AA$1501,$J1524+1)&lt;&gt;""),N(INDEX('Daily Sale entry '!$AC$1:$AC$1501,$J1524+1))-TRUNC(N(INDEX('Daily Sale entry '!$AC$1:$AC$1501,$J1524+1))),0),N(INDEX('Daily Sale entry '!$S$1:$S$1501,$J1524-1499))-'Opening Balance'!$B$15*(N(INDEX('Daily Sale entry '!$S$1:$S$1501,$J1524-1499))-TRUNC(N(INDEX('Daily Sale entry '!$S$1:$S$1501,$J1524-1499))))))</f>
        <v/>
      </c>
      <c r="G1524" s="6">
        <f>IF($J1524="","",IF($J1524&lt;=1500,N(INDEX('Daily Sale entry '!$AD$1:$AD$1501,$J1524+1)),0))</f>
        <v/>
      </c>
      <c r="H1524" s="6">
        <f>IF($J1524="","",ROUND('Opening Balance'!$B$4+SUM($F$2:F1524)-SUM($G$2:G1524),2))</f>
        <v/>
      </c>
      <c r="J1524" s="21">
        <f>IFERROR(MATCH(ROW()-1,$L$2:$L$3001,0),"")</f>
        <v/>
      </c>
      <c r="K1524" s="34">
        <f>IF(AND('Daily Sale entry '!Q24="Collection 收款",'Daily Sale entry '!R24="Cheque 支票",'Daily Sale entry '!V24&lt;&gt;""),'Daily Sale entry '!V24+ROW()/10000000,"")</f>
        <v/>
      </c>
      <c r="L1524" s="21">
        <f>IF(K1524="","",COUNTIF($K$2:$K$3001,"&lt;"&amp;K1524)+1)</f>
        <v/>
      </c>
    </row>
    <row r="1525">
      <c r="A1525" s="5">
        <f>IF($J1525="","",IF($J1525&lt;=1500,INDEX('Daily Sale entry '!$X$1:$X$1501,$J1525+1),INDEX('Daily Sale entry '!$V$1:$V$1501,$J1525-1499)))</f>
        <v/>
      </c>
      <c r="B1525">
        <f>IF($J1525="","",IF($J1525&lt;=1500,INDEX('Daily Sale entry '!$Y$1:$Y$1501,$J1525+1)&amp;"","Buyer cheque banked 买家支票存入"&amp;IF(INDEX('Daily Sale entry '!$U$1:$U$1501,$J1525-1499)="","", " - "&amp;INDEX('Daily Sale entry '!$U$1:$U$1501,$J1525-1499))))</f>
        <v/>
      </c>
      <c r="C1525">
        <f>IF($J1525="","",IF($J1525&lt;=1500,INDEX('Daily Sale entry '!$Z$1:$Z$1501,$J1525+1)&amp;"","Cheque deposit 支票存入 (buyer 买家)"))</f>
        <v/>
      </c>
      <c r="D1525">
        <f>IF($J1525="","",IF($J1525&lt;=1500,INDEX('Daily Sale entry '!$AA$1:$AA$1501,$J1525+1)&amp;"",INDEX('Daily Sale entry '!$P$1:$P$1501,$J1525-1499)&amp;""))</f>
        <v/>
      </c>
      <c r="E1525">
        <f>IF($J1525="","",IF($J1525&lt;=1500,IF(N(INDEX('Daily Sale entry '!$AB$1:$AB$1501,$J1525+1))=0,"",INDEX('Daily Sale entry '!$AB$1:$AB$1501,$J1525+1)),1))</f>
        <v/>
      </c>
      <c r="F1525" s="6">
        <f>IF($J1525="","",IF($J1525&lt;=1500,N(INDEX('Daily Sale entry '!$AC$1:$AC$1501,$J1525+1))-IF(AND('Opening Balance'!$B$15=1,INDEX('Daily Sale entry '!$Z$1:$Z$1501,$J1525+1)="Online collection 网上收款",INDEX('Daily Sale entry '!$AA$1:$AA$1501,$J1525+1)&lt;&gt;""),N(INDEX('Daily Sale entry '!$AC$1:$AC$1501,$J1525+1))-TRUNC(N(INDEX('Daily Sale entry '!$AC$1:$AC$1501,$J1525+1))),0),N(INDEX('Daily Sale entry '!$S$1:$S$1501,$J1525-1499))-'Opening Balance'!$B$15*(N(INDEX('Daily Sale entry '!$S$1:$S$1501,$J1525-1499))-TRUNC(N(INDEX('Daily Sale entry '!$S$1:$S$1501,$J1525-1499))))))</f>
        <v/>
      </c>
      <c r="G1525" s="6">
        <f>IF($J1525="","",IF($J1525&lt;=1500,N(INDEX('Daily Sale entry '!$AD$1:$AD$1501,$J1525+1)),0))</f>
        <v/>
      </c>
      <c r="H1525" s="6">
        <f>IF($J1525="","",ROUND('Opening Balance'!$B$4+SUM($F$2:F1525)-SUM($G$2:G1525),2))</f>
        <v/>
      </c>
      <c r="J1525" s="21">
        <f>IFERROR(MATCH(ROW()-1,$L$2:$L$3001,0),"")</f>
        <v/>
      </c>
      <c r="K1525" s="34">
        <f>IF(AND('Daily Sale entry '!Q25="Collection 收款",'Daily Sale entry '!R25="Cheque 支票",'Daily Sale entry '!V25&lt;&gt;""),'Daily Sale entry '!V25+ROW()/10000000,"")</f>
        <v/>
      </c>
      <c r="L1525" s="21">
        <f>IF(K1525="","",COUNTIF($K$2:$K$3001,"&lt;"&amp;K1525)+1)</f>
        <v/>
      </c>
    </row>
    <row r="1526">
      <c r="A1526" s="5">
        <f>IF($J1526="","",IF($J1526&lt;=1500,INDEX('Daily Sale entry '!$X$1:$X$1501,$J1526+1),INDEX('Daily Sale entry '!$V$1:$V$1501,$J1526-1499)))</f>
        <v/>
      </c>
      <c r="B1526">
        <f>IF($J1526="","",IF($J1526&lt;=1500,INDEX('Daily Sale entry '!$Y$1:$Y$1501,$J1526+1)&amp;"","Buyer cheque banked 买家支票存入"&amp;IF(INDEX('Daily Sale entry '!$U$1:$U$1501,$J1526-1499)="","", " - "&amp;INDEX('Daily Sale entry '!$U$1:$U$1501,$J1526-1499))))</f>
        <v/>
      </c>
      <c r="C1526">
        <f>IF($J1526="","",IF($J1526&lt;=1500,INDEX('Daily Sale entry '!$Z$1:$Z$1501,$J1526+1)&amp;"","Cheque deposit 支票存入 (buyer 买家)"))</f>
        <v/>
      </c>
      <c r="D1526">
        <f>IF($J1526="","",IF($J1526&lt;=1500,INDEX('Daily Sale entry '!$AA$1:$AA$1501,$J1526+1)&amp;"",INDEX('Daily Sale entry '!$P$1:$P$1501,$J1526-1499)&amp;""))</f>
        <v/>
      </c>
      <c r="E1526">
        <f>IF($J1526="","",IF($J1526&lt;=1500,IF(N(INDEX('Daily Sale entry '!$AB$1:$AB$1501,$J1526+1))=0,"",INDEX('Daily Sale entry '!$AB$1:$AB$1501,$J1526+1)),1))</f>
        <v/>
      </c>
      <c r="F1526" s="6">
        <f>IF($J1526="","",IF($J1526&lt;=1500,N(INDEX('Daily Sale entry '!$AC$1:$AC$1501,$J1526+1))-IF(AND('Opening Balance'!$B$15=1,INDEX('Daily Sale entry '!$Z$1:$Z$1501,$J1526+1)="Online collection 网上收款",INDEX('Daily Sale entry '!$AA$1:$AA$1501,$J1526+1)&lt;&gt;""),N(INDEX('Daily Sale entry '!$AC$1:$AC$1501,$J1526+1))-TRUNC(N(INDEX('Daily Sale entry '!$AC$1:$AC$1501,$J1526+1))),0),N(INDEX('Daily Sale entry '!$S$1:$S$1501,$J1526-1499))-'Opening Balance'!$B$15*(N(INDEX('Daily Sale entry '!$S$1:$S$1501,$J1526-1499))-TRUNC(N(INDEX('Daily Sale entry '!$S$1:$S$1501,$J1526-1499))))))</f>
        <v/>
      </c>
      <c r="G1526" s="6">
        <f>IF($J1526="","",IF($J1526&lt;=1500,N(INDEX('Daily Sale entry '!$AD$1:$AD$1501,$J1526+1)),0))</f>
        <v/>
      </c>
      <c r="H1526" s="6">
        <f>IF($J1526="","",ROUND('Opening Balance'!$B$4+SUM($F$2:F1526)-SUM($G$2:G1526),2))</f>
        <v/>
      </c>
      <c r="J1526" s="21">
        <f>IFERROR(MATCH(ROW()-1,$L$2:$L$3001,0),"")</f>
        <v/>
      </c>
      <c r="K1526" s="34">
        <f>IF(AND('Daily Sale entry '!Q26="Collection 收款",'Daily Sale entry '!R26="Cheque 支票",'Daily Sale entry '!V26&lt;&gt;""),'Daily Sale entry '!V26+ROW()/10000000,"")</f>
        <v/>
      </c>
      <c r="L1526" s="21">
        <f>IF(K1526="","",COUNTIF($K$2:$K$3001,"&lt;"&amp;K1526)+1)</f>
        <v/>
      </c>
    </row>
    <row r="1527">
      <c r="A1527" s="5">
        <f>IF($J1527="","",IF($J1527&lt;=1500,INDEX('Daily Sale entry '!$X$1:$X$1501,$J1527+1),INDEX('Daily Sale entry '!$V$1:$V$1501,$J1527-1499)))</f>
        <v/>
      </c>
      <c r="B1527">
        <f>IF($J1527="","",IF($J1527&lt;=1500,INDEX('Daily Sale entry '!$Y$1:$Y$1501,$J1527+1)&amp;"","Buyer cheque banked 买家支票存入"&amp;IF(INDEX('Daily Sale entry '!$U$1:$U$1501,$J1527-1499)="","", " - "&amp;INDEX('Daily Sale entry '!$U$1:$U$1501,$J1527-1499))))</f>
        <v/>
      </c>
      <c r="C1527">
        <f>IF($J1527="","",IF($J1527&lt;=1500,INDEX('Daily Sale entry '!$Z$1:$Z$1501,$J1527+1)&amp;"","Cheque deposit 支票存入 (buyer 买家)"))</f>
        <v/>
      </c>
      <c r="D1527">
        <f>IF($J1527="","",IF($J1527&lt;=1500,INDEX('Daily Sale entry '!$AA$1:$AA$1501,$J1527+1)&amp;"",INDEX('Daily Sale entry '!$P$1:$P$1501,$J1527-1499)&amp;""))</f>
        <v/>
      </c>
      <c r="E1527">
        <f>IF($J1527="","",IF($J1527&lt;=1500,IF(N(INDEX('Daily Sale entry '!$AB$1:$AB$1501,$J1527+1))=0,"",INDEX('Daily Sale entry '!$AB$1:$AB$1501,$J1527+1)),1))</f>
        <v/>
      </c>
      <c r="F1527" s="6">
        <f>IF($J1527="","",IF($J1527&lt;=1500,N(INDEX('Daily Sale entry '!$AC$1:$AC$1501,$J1527+1))-IF(AND('Opening Balance'!$B$15=1,INDEX('Daily Sale entry '!$Z$1:$Z$1501,$J1527+1)="Online collection 网上收款",INDEX('Daily Sale entry '!$AA$1:$AA$1501,$J1527+1)&lt;&gt;""),N(INDEX('Daily Sale entry '!$AC$1:$AC$1501,$J1527+1))-TRUNC(N(INDEX('Daily Sale entry '!$AC$1:$AC$1501,$J1527+1))),0),N(INDEX('Daily Sale entry '!$S$1:$S$1501,$J1527-1499))-'Opening Balance'!$B$15*(N(INDEX('Daily Sale entry '!$S$1:$S$1501,$J1527-1499))-TRUNC(N(INDEX('Daily Sale entry '!$S$1:$S$1501,$J1527-1499))))))</f>
        <v/>
      </c>
      <c r="G1527" s="6">
        <f>IF($J1527="","",IF($J1527&lt;=1500,N(INDEX('Daily Sale entry '!$AD$1:$AD$1501,$J1527+1)),0))</f>
        <v/>
      </c>
      <c r="H1527" s="6">
        <f>IF($J1527="","",ROUND('Opening Balance'!$B$4+SUM($F$2:F1527)-SUM($G$2:G1527),2))</f>
        <v/>
      </c>
      <c r="J1527" s="21">
        <f>IFERROR(MATCH(ROW()-1,$L$2:$L$3001,0),"")</f>
        <v/>
      </c>
      <c r="K1527" s="34">
        <f>IF(AND('Daily Sale entry '!Q27="Collection 收款",'Daily Sale entry '!R27="Cheque 支票",'Daily Sale entry '!V27&lt;&gt;""),'Daily Sale entry '!V27+ROW()/10000000,"")</f>
        <v/>
      </c>
      <c r="L1527" s="21">
        <f>IF(K1527="","",COUNTIF($K$2:$K$3001,"&lt;"&amp;K1527)+1)</f>
        <v/>
      </c>
    </row>
    <row r="1528">
      <c r="A1528" s="5">
        <f>IF($J1528="","",IF($J1528&lt;=1500,INDEX('Daily Sale entry '!$X$1:$X$1501,$J1528+1),INDEX('Daily Sale entry '!$V$1:$V$1501,$J1528-1499)))</f>
        <v/>
      </c>
      <c r="B1528">
        <f>IF($J1528="","",IF($J1528&lt;=1500,INDEX('Daily Sale entry '!$Y$1:$Y$1501,$J1528+1)&amp;"","Buyer cheque banked 买家支票存入"&amp;IF(INDEX('Daily Sale entry '!$U$1:$U$1501,$J1528-1499)="","", " - "&amp;INDEX('Daily Sale entry '!$U$1:$U$1501,$J1528-1499))))</f>
        <v/>
      </c>
      <c r="C1528">
        <f>IF($J1528="","",IF($J1528&lt;=1500,INDEX('Daily Sale entry '!$Z$1:$Z$1501,$J1528+1)&amp;"","Cheque deposit 支票存入 (buyer 买家)"))</f>
        <v/>
      </c>
      <c r="D1528">
        <f>IF($J1528="","",IF($J1528&lt;=1500,INDEX('Daily Sale entry '!$AA$1:$AA$1501,$J1528+1)&amp;"",INDEX('Daily Sale entry '!$P$1:$P$1501,$J1528-1499)&amp;""))</f>
        <v/>
      </c>
      <c r="E1528">
        <f>IF($J1528="","",IF($J1528&lt;=1500,IF(N(INDEX('Daily Sale entry '!$AB$1:$AB$1501,$J1528+1))=0,"",INDEX('Daily Sale entry '!$AB$1:$AB$1501,$J1528+1)),1))</f>
        <v/>
      </c>
      <c r="F1528" s="6">
        <f>IF($J1528="","",IF($J1528&lt;=1500,N(INDEX('Daily Sale entry '!$AC$1:$AC$1501,$J1528+1))-IF(AND('Opening Balance'!$B$15=1,INDEX('Daily Sale entry '!$Z$1:$Z$1501,$J1528+1)="Online collection 网上收款",INDEX('Daily Sale entry '!$AA$1:$AA$1501,$J1528+1)&lt;&gt;""),N(INDEX('Daily Sale entry '!$AC$1:$AC$1501,$J1528+1))-TRUNC(N(INDEX('Daily Sale entry '!$AC$1:$AC$1501,$J1528+1))),0),N(INDEX('Daily Sale entry '!$S$1:$S$1501,$J1528-1499))-'Opening Balance'!$B$15*(N(INDEX('Daily Sale entry '!$S$1:$S$1501,$J1528-1499))-TRUNC(N(INDEX('Daily Sale entry '!$S$1:$S$1501,$J1528-1499))))))</f>
        <v/>
      </c>
      <c r="G1528" s="6">
        <f>IF($J1528="","",IF($J1528&lt;=1500,N(INDEX('Daily Sale entry '!$AD$1:$AD$1501,$J1528+1)),0))</f>
        <v/>
      </c>
      <c r="H1528" s="6">
        <f>IF($J1528="","",ROUND('Opening Balance'!$B$4+SUM($F$2:F1528)-SUM($G$2:G1528),2))</f>
        <v/>
      </c>
      <c r="J1528" s="21">
        <f>IFERROR(MATCH(ROW()-1,$L$2:$L$3001,0),"")</f>
        <v/>
      </c>
      <c r="K1528" s="34">
        <f>IF(AND('Daily Sale entry '!Q28="Collection 收款",'Daily Sale entry '!R28="Cheque 支票",'Daily Sale entry '!V28&lt;&gt;""),'Daily Sale entry '!V28+ROW()/10000000,"")</f>
        <v/>
      </c>
      <c r="L1528" s="21">
        <f>IF(K1528="","",COUNTIF($K$2:$K$3001,"&lt;"&amp;K1528)+1)</f>
        <v/>
      </c>
    </row>
    <row r="1529">
      <c r="A1529" s="5">
        <f>IF($J1529="","",IF($J1529&lt;=1500,INDEX('Daily Sale entry '!$X$1:$X$1501,$J1529+1),INDEX('Daily Sale entry '!$V$1:$V$1501,$J1529-1499)))</f>
        <v/>
      </c>
      <c r="B1529">
        <f>IF($J1529="","",IF($J1529&lt;=1500,INDEX('Daily Sale entry '!$Y$1:$Y$1501,$J1529+1)&amp;"","Buyer cheque banked 买家支票存入"&amp;IF(INDEX('Daily Sale entry '!$U$1:$U$1501,$J1529-1499)="","", " - "&amp;INDEX('Daily Sale entry '!$U$1:$U$1501,$J1529-1499))))</f>
        <v/>
      </c>
      <c r="C1529">
        <f>IF($J1529="","",IF($J1529&lt;=1500,INDEX('Daily Sale entry '!$Z$1:$Z$1501,$J1529+1)&amp;"","Cheque deposit 支票存入 (buyer 买家)"))</f>
        <v/>
      </c>
      <c r="D1529">
        <f>IF($J1529="","",IF($J1529&lt;=1500,INDEX('Daily Sale entry '!$AA$1:$AA$1501,$J1529+1)&amp;"",INDEX('Daily Sale entry '!$P$1:$P$1501,$J1529-1499)&amp;""))</f>
        <v/>
      </c>
      <c r="E1529">
        <f>IF($J1529="","",IF($J1529&lt;=1500,IF(N(INDEX('Daily Sale entry '!$AB$1:$AB$1501,$J1529+1))=0,"",INDEX('Daily Sale entry '!$AB$1:$AB$1501,$J1529+1)),1))</f>
        <v/>
      </c>
      <c r="F1529" s="6">
        <f>IF($J1529="","",IF($J1529&lt;=1500,N(INDEX('Daily Sale entry '!$AC$1:$AC$1501,$J1529+1))-IF(AND('Opening Balance'!$B$15=1,INDEX('Daily Sale entry '!$Z$1:$Z$1501,$J1529+1)="Online collection 网上收款",INDEX('Daily Sale entry '!$AA$1:$AA$1501,$J1529+1)&lt;&gt;""),N(INDEX('Daily Sale entry '!$AC$1:$AC$1501,$J1529+1))-TRUNC(N(INDEX('Daily Sale entry '!$AC$1:$AC$1501,$J1529+1))),0),N(INDEX('Daily Sale entry '!$S$1:$S$1501,$J1529-1499))-'Opening Balance'!$B$15*(N(INDEX('Daily Sale entry '!$S$1:$S$1501,$J1529-1499))-TRUNC(N(INDEX('Daily Sale entry '!$S$1:$S$1501,$J1529-1499))))))</f>
        <v/>
      </c>
      <c r="G1529" s="6">
        <f>IF($J1529="","",IF($J1529&lt;=1500,N(INDEX('Daily Sale entry '!$AD$1:$AD$1501,$J1529+1)),0))</f>
        <v/>
      </c>
      <c r="H1529" s="6">
        <f>IF($J1529="","",ROUND('Opening Balance'!$B$4+SUM($F$2:F1529)-SUM($G$2:G1529),2))</f>
        <v/>
      </c>
      <c r="J1529" s="21">
        <f>IFERROR(MATCH(ROW()-1,$L$2:$L$3001,0),"")</f>
        <v/>
      </c>
      <c r="K1529" s="34">
        <f>IF(AND('Daily Sale entry '!Q29="Collection 收款",'Daily Sale entry '!R29="Cheque 支票",'Daily Sale entry '!V29&lt;&gt;""),'Daily Sale entry '!V29+ROW()/10000000,"")</f>
        <v/>
      </c>
      <c r="L1529" s="21">
        <f>IF(K1529="","",COUNTIF($K$2:$K$3001,"&lt;"&amp;K1529)+1)</f>
        <v/>
      </c>
    </row>
    <row r="1530">
      <c r="A1530" s="5">
        <f>IF($J1530="","",IF($J1530&lt;=1500,INDEX('Daily Sale entry '!$X$1:$X$1501,$J1530+1),INDEX('Daily Sale entry '!$V$1:$V$1501,$J1530-1499)))</f>
        <v/>
      </c>
      <c r="B1530">
        <f>IF($J1530="","",IF($J1530&lt;=1500,INDEX('Daily Sale entry '!$Y$1:$Y$1501,$J1530+1)&amp;"","Buyer cheque banked 买家支票存入"&amp;IF(INDEX('Daily Sale entry '!$U$1:$U$1501,$J1530-1499)="","", " - "&amp;INDEX('Daily Sale entry '!$U$1:$U$1501,$J1530-1499))))</f>
        <v/>
      </c>
      <c r="C1530">
        <f>IF($J1530="","",IF($J1530&lt;=1500,INDEX('Daily Sale entry '!$Z$1:$Z$1501,$J1530+1)&amp;"","Cheque deposit 支票存入 (buyer 买家)"))</f>
        <v/>
      </c>
      <c r="D1530">
        <f>IF($J1530="","",IF($J1530&lt;=1500,INDEX('Daily Sale entry '!$AA$1:$AA$1501,$J1530+1)&amp;"",INDEX('Daily Sale entry '!$P$1:$P$1501,$J1530-1499)&amp;""))</f>
        <v/>
      </c>
      <c r="E1530">
        <f>IF($J1530="","",IF($J1530&lt;=1500,IF(N(INDEX('Daily Sale entry '!$AB$1:$AB$1501,$J1530+1))=0,"",INDEX('Daily Sale entry '!$AB$1:$AB$1501,$J1530+1)),1))</f>
        <v/>
      </c>
      <c r="F1530" s="6">
        <f>IF($J1530="","",IF($J1530&lt;=1500,N(INDEX('Daily Sale entry '!$AC$1:$AC$1501,$J1530+1))-IF(AND('Opening Balance'!$B$15=1,INDEX('Daily Sale entry '!$Z$1:$Z$1501,$J1530+1)="Online collection 网上收款",INDEX('Daily Sale entry '!$AA$1:$AA$1501,$J1530+1)&lt;&gt;""),N(INDEX('Daily Sale entry '!$AC$1:$AC$1501,$J1530+1))-TRUNC(N(INDEX('Daily Sale entry '!$AC$1:$AC$1501,$J1530+1))),0),N(INDEX('Daily Sale entry '!$S$1:$S$1501,$J1530-1499))-'Opening Balance'!$B$15*(N(INDEX('Daily Sale entry '!$S$1:$S$1501,$J1530-1499))-TRUNC(N(INDEX('Daily Sale entry '!$S$1:$S$1501,$J1530-1499))))))</f>
        <v/>
      </c>
      <c r="G1530" s="6">
        <f>IF($J1530="","",IF($J1530&lt;=1500,N(INDEX('Daily Sale entry '!$AD$1:$AD$1501,$J1530+1)),0))</f>
        <v/>
      </c>
      <c r="H1530" s="6">
        <f>IF($J1530="","",ROUND('Opening Balance'!$B$4+SUM($F$2:F1530)-SUM($G$2:G1530),2))</f>
        <v/>
      </c>
      <c r="J1530" s="21">
        <f>IFERROR(MATCH(ROW()-1,$L$2:$L$3001,0),"")</f>
        <v/>
      </c>
      <c r="K1530" s="34">
        <f>IF(AND('Daily Sale entry '!Q30="Collection 收款",'Daily Sale entry '!R30="Cheque 支票",'Daily Sale entry '!V30&lt;&gt;""),'Daily Sale entry '!V30+ROW()/10000000,"")</f>
        <v/>
      </c>
      <c r="L1530" s="21">
        <f>IF(K1530="","",COUNTIF($K$2:$K$3001,"&lt;"&amp;K1530)+1)</f>
        <v/>
      </c>
    </row>
    <row r="1531">
      <c r="A1531" s="5">
        <f>IF($J1531="","",IF($J1531&lt;=1500,INDEX('Daily Sale entry '!$X$1:$X$1501,$J1531+1),INDEX('Daily Sale entry '!$V$1:$V$1501,$J1531-1499)))</f>
        <v/>
      </c>
      <c r="B1531">
        <f>IF($J1531="","",IF($J1531&lt;=1500,INDEX('Daily Sale entry '!$Y$1:$Y$1501,$J1531+1)&amp;"","Buyer cheque banked 买家支票存入"&amp;IF(INDEX('Daily Sale entry '!$U$1:$U$1501,$J1531-1499)="","", " - "&amp;INDEX('Daily Sale entry '!$U$1:$U$1501,$J1531-1499))))</f>
        <v/>
      </c>
      <c r="C1531">
        <f>IF($J1531="","",IF($J1531&lt;=1500,INDEX('Daily Sale entry '!$Z$1:$Z$1501,$J1531+1)&amp;"","Cheque deposit 支票存入 (buyer 买家)"))</f>
        <v/>
      </c>
      <c r="D1531">
        <f>IF($J1531="","",IF($J1531&lt;=1500,INDEX('Daily Sale entry '!$AA$1:$AA$1501,$J1531+1)&amp;"",INDEX('Daily Sale entry '!$P$1:$P$1501,$J1531-1499)&amp;""))</f>
        <v/>
      </c>
      <c r="E1531">
        <f>IF($J1531="","",IF($J1531&lt;=1500,IF(N(INDEX('Daily Sale entry '!$AB$1:$AB$1501,$J1531+1))=0,"",INDEX('Daily Sale entry '!$AB$1:$AB$1501,$J1531+1)),1))</f>
        <v/>
      </c>
      <c r="F1531" s="6">
        <f>IF($J1531="","",IF($J1531&lt;=1500,N(INDEX('Daily Sale entry '!$AC$1:$AC$1501,$J1531+1))-IF(AND('Opening Balance'!$B$15=1,INDEX('Daily Sale entry '!$Z$1:$Z$1501,$J1531+1)="Online collection 网上收款",INDEX('Daily Sale entry '!$AA$1:$AA$1501,$J1531+1)&lt;&gt;""),N(INDEX('Daily Sale entry '!$AC$1:$AC$1501,$J1531+1))-TRUNC(N(INDEX('Daily Sale entry '!$AC$1:$AC$1501,$J1531+1))),0),N(INDEX('Daily Sale entry '!$S$1:$S$1501,$J1531-1499))-'Opening Balance'!$B$15*(N(INDEX('Daily Sale entry '!$S$1:$S$1501,$J1531-1499))-TRUNC(N(INDEX('Daily Sale entry '!$S$1:$S$1501,$J1531-1499))))))</f>
        <v/>
      </c>
      <c r="G1531" s="6">
        <f>IF($J1531="","",IF($J1531&lt;=1500,N(INDEX('Daily Sale entry '!$AD$1:$AD$1501,$J1531+1)),0))</f>
        <v/>
      </c>
      <c r="H1531" s="6">
        <f>IF($J1531="","",ROUND('Opening Balance'!$B$4+SUM($F$2:F1531)-SUM($G$2:G1531),2))</f>
        <v/>
      </c>
      <c r="J1531" s="21">
        <f>IFERROR(MATCH(ROW()-1,$L$2:$L$3001,0),"")</f>
        <v/>
      </c>
      <c r="K1531" s="34">
        <f>IF(AND('Daily Sale entry '!Q31="Collection 收款",'Daily Sale entry '!R31="Cheque 支票",'Daily Sale entry '!V31&lt;&gt;""),'Daily Sale entry '!V31+ROW()/10000000,"")</f>
        <v/>
      </c>
      <c r="L1531" s="21">
        <f>IF(K1531="","",COUNTIF($K$2:$K$3001,"&lt;"&amp;K1531)+1)</f>
        <v/>
      </c>
    </row>
    <row r="1532">
      <c r="A1532" s="5">
        <f>IF($J1532="","",IF($J1532&lt;=1500,INDEX('Daily Sale entry '!$X$1:$X$1501,$J1532+1),INDEX('Daily Sale entry '!$V$1:$V$1501,$J1532-1499)))</f>
        <v/>
      </c>
      <c r="B1532">
        <f>IF($J1532="","",IF($J1532&lt;=1500,INDEX('Daily Sale entry '!$Y$1:$Y$1501,$J1532+1)&amp;"","Buyer cheque banked 买家支票存入"&amp;IF(INDEX('Daily Sale entry '!$U$1:$U$1501,$J1532-1499)="","", " - "&amp;INDEX('Daily Sale entry '!$U$1:$U$1501,$J1532-1499))))</f>
        <v/>
      </c>
      <c r="C1532">
        <f>IF($J1532="","",IF($J1532&lt;=1500,INDEX('Daily Sale entry '!$Z$1:$Z$1501,$J1532+1)&amp;"","Cheque deposit 支票存入 (buyer 买家)"))</f>
        <v/>
      </c>
      <c r="D1532">
        <f>IF($J1532="","",IF($J1532&lt;=1500,INDEX('Daily Sale entry '!$AA$1:$AA$1501,$J1532+1)&amp;"",INDEX('Daily Sale entry '!$P$1:$P$1501,$J1532-1499)&amp;""))</f>
        <v/>
      </c>
      <c r="E1532">
        <f>IF($J1532="","",IF($J1532&lt;=1500,IF(N(INDEX('Daily Sale entry '!$AB$1:$AB$1501,$J1532+1))=0,"",INDEX('Daily Sale entry '!$AB$1:$AB$1501,$J1532+1)),1))</f>
        <v/>
      </c>
      <c r="F1532" s="6">
        <f>IF($J1532="","",IF($J1532&lt;=1500,N(INDEX('Daily Sale entry '!$AC$1:$AC$1501,$J1532+1))-IF(AND('Opening Balance'!$B$15=1,INDEX('Daily Sale entry '!$Z$1:$Z$1501,$J1532+1)="Online collection 网上收款",INDEX('Daily Sale entry '!$AA$1:$AA$1501,$J1532+1)&lt;&gt;""),N(INDEX('Daily Sale entry '!$AC$1:$AC$1501,$J1532+1))-TRUNC(N(INDEX('Daily Sale entry '!$AC$1:$AC$1501,$J1532+1))),0),N(INDEX('Daily Sale entry '!$S$1:$S$1501,$J1532-1499))-'Opening Balance'!$B$15*(N(INDEX('Daily Sale entry '!$S$1:$S$1501,$J1532-1499))-TRUNC(N(INDEX('Daily Sale entry '!$S$1:$S$1501,$J1532-1499))))))</f>
        <v/>
      </c>
      <c r="G1532" s="6">
        <f>IF($J1532="","",IF($J1532&lt;=1500,N(INDEX('Daily Sale entry '!$AD$1:$AD$1501,$J1532+1)),0))</f>
        <v/>
      </c>
      <c r="H1532" s="6">
        <f>IF($J1532="","",ROUND('Opening Balance'!$B$4+SUM($F$2:F1532)-SUM($G$2:G1532),2))</f>
        <v/>
      </c>
      <c r="J1532" s="21">
        <f>IFERROR(MATCH(ROW()-1,$L$2:$L$3001,0),"")</f>
        <v/>
      </c>
      <c r="K1532" s="34">
        <f>IF(AND('Daily Sale entry '!Q32="Collection 收款",'Daily Sale entry '!R32="Cheque 支票",'Daily Sale entry '!V32&lt;&gt;""),'Daily Sale entry '!V32+ROW()/10000000,"")</f>
        <v/>
      </c>
      <c r="L1532" s="21">
        <f>IF(K1532="","",COUNTIF($K$2:$K$3001,"&lt;"&amp;K1532)+1)</f>
        <v/>
      </c>
    </row>
    <row r="1533">
      <c r="A1533" s="5">
        <f>IF($J1533="","",IF($J1533&lt;=1500,INDEX('Daily Sale entry '!$X$1:$X$1501,$J1533+1),INDEX('Daily Sale entry '!$V$1:$V$1501,$J1533-1499)))</f>
        <v/>
      </c>
      <c r="B1533">
        <f>IF($J1533="","",IF($J1533&lt;=1500,INDEX('Daily Sale entry '!$Y$1:$Y$1501,$J1533+1)&amp;"","Buyer cheque banked 买家支票存入"&amp;IF(INDEX('Daily Sale entry '!$U$1:$U$1501,$J1533-1499)="","", " - "&amp;INDEX('Daily Sale entry '!$U$1:$U$1501,$J1533-1499))))</f>
        <v/>
      </c>
      <c r="C1533">
        <f>IF($J1533="","",IF($J1533&lt;=1500,INDEX('Daily Sale entry '!$Z$1:$Z$1501,$J1533+1)&amp;"","Cheque deposit 支票存入 (buyer 买家)"))</f>
        <v/>
      </c>
      <c r="D1533">
        <f>IF($J1533="","",IF($J1533&lt;=1500,INDEX('Daily Sale entry '!$AA$1:$AA$1501,$J1533+1)&amp;"",INDEX('Daily Sale entry '!$P$1:$P$1501,$J1533-1499)&amp;""))</f>
        <v/>
      </c>
      <c r="E1533">
        <f>IF($J1533="","",IF($J1533&lt;=1500,IF(N(INDEX('Daily Sale entry '!$AB$1:$AB$1501,$J1533+1))=0,"",INDEX('Daily Sale entry '!$AB$1:$AB$1501,$J1533+1)),1))</f>
        <v/>
      </c>
      <c r="F1533" s="6">
        <f>IF($J1533="","",IF($J1533&lt;=1500,N(INDEX('Daily Sale entry '!$AC$1:$AC$1501,$J1533+1))-IF(AND('Opening Balance'!$B$15=1,INDEX('Daily Sale entry '!$Z$1:$Z$1501,$J1533+1)="Online collection 网上收款",INDEX('Daily Sale entry '!$AA$1:$AA$1501,$J1533+1)&lt;&gt;""),N(INDEX('Daily Sale entry '!$AC$1:$AC$1501,$J1533+1))-TRUNC(N(INDEX('Daily Sale entry '!$AC$1:$AC$1501,$J1533+1))),0),N(INDEX('Daily Sale entry '!$S$1:$S$1501,$J1533-1499))-'Opening Balance'!$B$15*(N(INDEX('Daily Sale entry '!$S$1:$S$1501,$J1533-1499))-TRUNC(N(INDEX('Daily Sale entry '!$S$1:$S$1501,$J1533-1499))))))</f>
        <v/>
      </c>
      <c r="G1533" s="6">
        <f>IF($J1533="","",IF($J1533&lt;=1500,N(INDEX('Daily Sale entry '!$AD$1:$AD$1501,$J1533+1)),0))</f>
        <v/>
      </c>
      <c r="H1533" s="6">
        <f>IF($J1533="","",ROUND('Opening Balance'!$B$4+SUM($F$2:F1533)-SUM($G$2:G1533),2))</f>
        <v/>
      </c>
      <c r="J1533" s="21">
        <f>IFERROR(MATCH(ROW()-1,$L$2:$L$3001,0),"")</f>
        <v/>
      </c>
      <c r="K1533" s="34">
        <f>IF(AND('Daily Sale entry '!Q33="Collection 收款",'Daily Sale entry '!R33="Cheque 支票",'Daily Sale entry '!V33&lt;&gt;""),'Daily Sale entry '!V33+ROW()/10000000,"")</f>
        <v/>
      </c>
      <c r="L1533" s="21">
        <f>IF(K1533="","",COUNTIF($K$2:$K$3001,"&lt;"&amp;K1533)+1)</f>
        <v/>
      </c>
    </row>
    <row r="1534">
      <c r="A1534" s="5">
        <f>IF($J1534="","",IF($J1534&lt;=1500,INDEX('Daily Sale entry '!$X$1:$X$1501,$J1534+1),INDEX('Daily Sale entry '!$V$1:$V$1501,$J1534-1499)))</f>
        <v/>
      </c>
      <c r="B1534">
        <f>IF($J1534="","",IF($J1534&lt;=1500,INDEX('Daily Sale entry '!$Y$1:$Y$1501,$J1534+1)&amp;"","Buyer cheque banked 买家支票存入"&amp;IF(INDEX('Daily Sale entry '!$U$1:$U$1501,$J1534-1499)="","", " - "&amp;INDEX('Daily Sale entry '!$U$1:$U$1501,$J1534-1499))))</f>
        <v/>
      </c>
      <c r="C1534">
        <f>IF($J1534="","",IF($J1534&lt;=1500,INDEX('Daily Sale entry '!$Z$1:$Z$1501,$J1534+1)&amp;"","Cheque deposit 支票存入 (buyer 买家)"))</f>
        <v/>
      </c>
      <c r="D1534">
        <f>IF($J1534="","",IF($J1534&lt;=1500,INDEX('Daily Sale entry '!$AA$1:$AA$1501,$J1534+1)&amp;"",INDEX('Daily Sale entry '!$P$1:$P$1501,$J1534-1499)&amp;""))</f>
        <v/>
      </c>
      <c r="E1534">
        <f>IF($J1534="","",IF($J1534&lt;=1500,IF(N(INDEX('Daily Sale entry '!$AB$1:$AB$1501,$J1534+1))=0,"",INDEX('Daily Sale entry '!$AB$1:$AB$1501,$J1534+1)),1))</f>
        <v/>
      </c>
      <c r="F1534" s="6">
        <f>IF($J1534="","",IF($J1534&lt;=1500,N(INDEX('Daily Sale entry '!$AC$1:$AC$1501,$J1534+1))-IF(AND('Opening Balance'!$B$15=1,INDEX('Daily Sale entry '!$Z$1:$Z$1501,$J1534+1)="Online collection 网上收款",INDEX('Daily Sale entry '!$AA$1:$AA$1501,$J1534+1)&lt;&gt;""),N(INDEX('Daily Sale entry '!$AC$1:$AC$1501,$J1534+1))-TRUNC(N(INDEX('Daily Sale entry '!$AC$1:$AC$1501,$J1534+1))),0),N(INDEX('Daily Sale entry '!$S$1:$S$1501,$J1534-1499))-'Opening Balance'!$B$15*(N(INDEX('Daily Sale entry '!$S$1:$S$1501,$J1534-1499))-TRUNC(N(INDEX('Daily Sale entry '!$S$1:$S$1501,$J1534-1499))))))</f>
        <v/>
      </c>
      <c r="G1534" s="6">
        <f>IF($J1534="","",IF($J1534&lt;=1500,N(INDEX('Daily Sale entry '!$AD$1:$AD$1501,$J1534+1)),0))</f>
        <v/>
      </c>
      <c r="H1534" s="6">
        <f>IF($J1534="","",ROUND('Opening Balance'!$B$4+SUM($F$2:F1534)-SUM($G$2:G1534),2))</f>
        <v/>
      </c>
      <c r="J1534" s="21">
        <f>IFERROR(MATCH(ROW()-1,$L$2:$L$3001,0),"")</f>
        <v/>
      </c>
      <c r="K1534" s="34">
        <f>IF(AND('Daily Sale entry '!Q34="Collection 收款",'Daily Sale entry '!R34="Cheque 支票",'Daily Sale entry '!V34&lt;&gt;""),'Daily Sale entry '!V34+ROW()/10000000,"")</f>
        <v/>
      </c>
      <c r="L1534" s="21">
        <f>IF(K1534="","",COUNTIF($K$2:$K$3001,"&lt;"&amp;K1534)+1)</f>
        <v/>
      </c>
    </row>
    <row r="1535">
      <c r="A1535" s="5">
        <f>IF($J1535="","",IF($J1535&lt;=1500,INDEX('Daily Sale entry '!$X$1:$X$1501,$J1535+1),INDEX('Daily Sale entry '!$V$1:$V$1501,$J1535-1499)))</f>
        <v/>
      </c>
      <c r="B1535">
        <f>IF($J1535="","",IF($J1535&lt;=1500,INDEX('Daily Sale entry '!$Y$1:$Y$1501,$J1535+1)&amp;"","Buyer cheque banked 买家支票存入"&amp;IF(INDEX('Daily Sale entry '!$U$1:$U$1501,$J1535-1499)="","", " - "&amp;INDEX('Daily Sale entry '!$U$1:$U$1501,$J1535-1499))))</f>
        <v/>
      </c>
      <c r="C1535">
        <f>IF($J1535="","",IF($J1535&lt;=1500,INDEX('Daily Sale entry '!$Z$1:$Z$1501,$J1535+1)&amp;"","Cheque deposit 支票存入 (buyer 买家)"))</f>
        <v/>
      </c>
      <c r="D1535">
        <f>IF($J1535="","",IF($J1535&lt;=1500,INDEX('Daily Sale entry '!$AA$1:$AA$1501,$J1535+1)&amp;"",INDEX('Daily Sale entry '!$P$1:$P$1501,$J1535-1499)&amp;""))</f>
        <v/>
      </c>
      <c r="E1535">
        <f>IF($J1535="","",IF($J1535&lt;=1500,IF(N(INDEX('Daily Sale entry '!$AB$1:$AB$1501,$J1535+1))=0,"",INDEX('Daily Sale entry '!$AB$1:$AB$1501,$J1535+1)),1))</f>
        <v/>
      </c>
      <c r="F1535" s="6">
        <f>IF($J1535="","",IF($J1535&lt;=1500,N(INDEX('Daily Sale entry '!$AC$1:$AC$1501,$J1535+1))-IF(AND('Opening Balance'!$B$15=1,INDEX('Daily Sale entry '!$Z$1:$Z$1501,$J1535+1)="Online collection 网上收款",INDEX('Daily Sale entry '!$AA$1:$AA$1501,$J1535+1)&lt;&gt;""),N(INDEX('Daily Sale entry '!$AC$1:$AC$1501,$J1535+1))-TRUNC(N(INDEX('Daily Sale entry '!$AC$1:$AC$1501,$J1535+1))),0),N(INDEX('Daily Sale entry '!$S$1:$S$1501,$J1535-1499))-'Opening Balance'!$B$15*(N(INDEX('Daily Sale entry '!$S$1:$S$1501,$J1535-1499))-TRUNC(N(INDEX('Daily Sale entry '!$S$1:$S$1501,$J1535-1499))))))</f>
        <v/>
      </c>
      <c r="G1535" s="6">
        <f>IF($J1535="","",IF($J1535&lt;=1500,N(INDEX('Daily Sale entry '!$AD$1:$AD$1501,$J1535+1)),0))</f>
        <v/>
      </c>
      <c r="H1535" s="6">
        <f>IF($J1535="","",ROUND('Opening Balance'!$B$4+SUM($F$2:F1535)-SUM($G$2:G1535),2))</f>
        <v/>
      </c>
      <c r="J1535" s="21">
        <f>IFERROR(MATCH(ROW()-1,$L$2:$L$3001,0),"")</f>
        <v/>
      </c>
      <c r="K1535" s="34">
        <f>IF(AND('Daily Sale entry '!Q35="Collection 收款",'Daily Sale entry '!R35="Cheque 支票",'Daily Sale entry '!V35&lt;&gt;""),'Daily Sale entry '!V35+ROW()/10000000,"")</f>
        <v/>
      </c>
      <c r="L1535" s="21">
        <f>IF(K1535="","",COUNTIF($K$2:$K$3001,"&lt;"&amp;K1535)+1)</f>
        <v/>
      </c>
    </row>
    <row r="1536">
      <c r="A1536" s="5">
        <f>IF($J1536="","",IF($J1536&lt;=1500,INDEX('Daily Sale entry '!$X$1:$X$1501,$J1536+1),INDEX('Daily Sale entry '!$V$1:$V$1501,$J1536-1499)))</f>
        <v/>
      </c>
      <c r="B1536">
        <f>IF($J1536="","",IF($J1536&lt;=1500,INDEX('Daily Sale entry '!$Y$1:$Y$1501,$J1536+1)&amp;"","Buyer cheque banked 买家支票存入"&amp;IF(INDEX('Daily Sale entry '!$U$1:$U$1501,$J1536-1499)="","", " - "&amp;INDEX('Daily Sale entry '!$U$1:$U$1501,$J1536-1499))))</f>
        <v/>
      </c>
      <c r="C1536">
        <f>IF($J1536="","",IF($J1536&lt;=1500,INDEX('Daily Sale entry '!$Z$1:$Z$1501,$J1536+1)&amp;"","Cheque deposit 支票存入 (buyer 买家)"))</f>
        <v/>
      </c>
      <c r="D1536">
        <f>IF($J1536="","",IF($J1536&lt;=1500,INDEX('Daily Sale entry '!$AA$1:$AA$1501,$J1536+1)&amp;"",INDEX('Daily Sale entry '!$P$1:$P$1501,$J1536-1499)&amp;""))</f>
        <v/>
      </c>
      <c r="E1536">
        <f>IF($J1536="","",IF($J1536&lt;=1500,IF(N(INDEX('Daily Sale entry '!$AB$1:$AB$1501,$J1536+1))=0,"",INDEX('Daily Sale entry '!$AB$1:$AB$1501,$J1536+1)),1))</f>
        <v/>
      </c>
      <c r="F1536" s="6">
        <f>IF($J1536="","",IF($J1536&lt;=1500,N(INDEX('Daily Sale entry '!$AC$1:$AC$1501,$J1536+1))-IF(AND('Opening Balance'!$B$15=1,INDEX('Daily Sale entry '!$Z$1:$Z$1501,$J1536+1)="Online collection 网上收款",INDEX('Daily Sale entry '!$AA$1:$AA$1501,$J1536+1)&lt;&gt;""),N(INDEX('Daily Sale entry '!$AC$1:$AC$1501,$J1536+1))-TRUNC(N(INDEX('Daily Sale entry '!$AC$1:$AC$1501,$J1536+1))),0),N(INDEX('Daily Sale entry '!$S$1:$S$1501,$J1536-1499))-'Opening Balance'!$B$15*(N(INDEX('Daily Sale entry '!$S$1:$S$1501,$J1536-1499))-TRUNC(N(INDEX('Daily Sale entry '!$S$1:$S$1501,$J1536-1499))))))</f>
        <v/>
      </c>
      <c r="G1536" s="6">
        <f>IF($J1536="","",IF($J1536&lt;=1500,N(INDEX('Daily Sale entry '!$AD$1:$AD$1501,$J1536+1)),0))</f>
        <v/>
      </c>
      <c r="H1536" s="6">
        <f>IF($J1536="","",ROUND('Opening Balance'!$B$4+SUM($F$2:F1536)-SUM($G$2:G1536),2))</f>
        <v/>
      </c>
      <c r="J1536" s="21">
        <f>IFERROR(MATCH(ROW()-1,$L$2:$L$3001,0),"")</f>
        <v/>
      </c>
      <c r="K1536" s="34">
        <f>IF(AND('Daily Sale entry '!Q36="Collection 收款",'Daily Sale entry '!R36="Cheque 支票",'Daily Sale entry '!V36&lt;&gt;""),'Daily Sale entry '!V36+ROW()/10000000,"")</f>
        <v/>
      </c>
      <c r="L1536" s="21">
        <f>IF(K1536="","",COUNTIF($K$2:$K$3001,"&lt;"&amp;K1536)+1)</f>
        <v/>
      </c>
    </row>
    <row r="1537">
      <c r="A1537" s="5">
        <f>IF($J1537="","",IF($J1537&lt;=1500,INDEX('Daily Sale entry '!$X$1:$X$1501,$J1537+1),INDEX('Daily Sale entry '!$V$1:$V$1501,$J1537-1499)))</f>
        <v/>
      </c>
      <c r="B1537">
        <f>IF($J1537="","",IF($J1537&lt;=1500,INDEX('Daily Sale entry '!$Y$1:$Y$1501,$J1537+1)&amp;"","Buyer cheque banked 买家支票存入"&amp;IF(INDEX('Daily Sale entry '!$U$1:$U$1501,$J1537-1499)="","", " - "&amp;INDEX('Daily Sale entry '!$U$1:$U$1501,$J1537-1499))))</f>
        <v/>
      </c>
      <c r="C1537">
        <f>IF($J1537="","",IF($J1537&lt;=1500,INDEX('Daily Sale entry '!$Z$1:$Z$1501,$J1537+1)&amp;"","Cheque deposit 支票存入 (buyer 买家)"))</f>
        <v/>
      </c>
      <c r="D1537">
        <f>IF($J1537="","",IF($J1537&lt;=1500,INDEX('Daily Sale entry '!$AA$1:$AA$1501,$J1537+1)&amp;"",INDEX('Daily Sale entry '!$P$1:$P$1501,$J1537-1499)&amp;""))</f>
        <v/>
      </c>
      <c r="E1537">
        <f>IF($J1537="","",IF($J1537&lt;=1500,IF(N(INDEX('Daily Sale entry '!$AB$1:$AB$1501,$J1537+1))=0,"",INDEX('Daily Sale entry '!$AB$1:$AB$1501,$J1537+1)),1))</f>
        <v/>
      </c>
      <c r="F1537" s="6">
        <f>IF($J1537="","",IF($J1537&lt;=1500,N(INDEX('Daily Sale entry '!$AC$1:$AC$1501,$J1537+1))-IF(AND('Opening Balance'!$B$15=1,INDEX('Daily Sale entry '!$Z$1:$Z$1501,$J1537+1)="Online collection 网上收款",INDEX('Daily Sale entry '!$AA$1:$AA$1501,$J1537+1)&lt;&gt;""),N(INDEX('Daily Sale entry '!$AC$1:$AC$1501,$J1537+1))-TRUNC(N(INDEX('Daily Sale entry '!$AC$1:$AC$1501,$J1537+1))),0),N(INDEX('Daily Sale entry '!$S$1:$S$1501,$J1537-1499))-'Opening Balance'!$B$15*(N(INDEX('Daily Sale entry '!$S$1:$S$1501,$J1537-1499))-TRUNC(N(INDEX('Daily Sale entry '!$S$1:$S$1501,$J1537-1499))))))</f>
        <v/>
      </c>
      <c r="G1537" s="6">
        <f>IF($J1537="","",IF($J1537&lt;=1500,N(INDEX('Daily Sale entry '!$AD$1:$AD$1501,$J1537+1)),0))</f>
        <v/>
      </c>
      <c r="H1537" s="6">
        <f>IF($J1537="","",ROUND('Opening Balance'!$B$4+SUM($F$2:F1537)-SUM($G$2:G1537),2))</f>
        <v/>
      </c>
      <c r="J1537" s="21">
        <f>IFERROR(MATCH(ROW()-1,$L$2:$L$3001,0),"")</f>
        <v/>
      </c>
      <c r="K1537" s="34">
        <f>IF(AND('Daily Sale entry '!Q37="Collection 收款",'Daily Sale entry '!R37="Cheque 支票",'Daily Sale entry '!V37&lt;&gt;""),'Daily Sale entry '!V37+ROW()/10000000,"")</f>
        <v/>
      </c>
      <c r="L1537" s="21">
        <f>IF(K1537="","",COUNTIF($K$2:$K$3001,"&lt;"&amp;K1537)+1)</f>
        <v/>
      </c>
    </row>
    <row r="1538">
      <c r="A1538" s="5">
        <f>IF($J1538="","",IF($J1538&lt;=1500,INDEX('Daily Sale entry '!$X$1:$X$1501,$J1538+1),INDEX('Daily Sale entry '!$V$1:$V$1501,$J1538-1499)))</f>
        <v/>
      </c>
      <c r="B1538">
        <f>IF($J1538="","",IF($J1538&lt;=1500,INDEX('Daily Sale entry '!$Y$1:$Y$1501,$J1538+1)&amp;"","Buyer cheque banked 买家支票存入"&amp;IF(INDEX('Daily Sale entry '!$U$1:$U$1501,$J1538-1499)="","", " - "&amp;INDEX('Daily Sale entry '!$U$1:$U$1501,$J1538-1499))))</f>
        <v/>
      </c>
      <c r="C1538">
        <f>IF($J1538="","",IF($J1538&lt;=1500,INDEX('Daily Sale entry '!$Z$1:$Z$1501,$J1538+1)&amp;"","Cheque deposit 支票存入 (buyer 买家)"))</f>
        <v/>
      </c>
      <c r="D1538">
        <f>IF($J1538="","",IF($J1538&lt;=1500,INDEX('Daily Sale entry '!$AA$1:$AA$1501,$J1538+1)&amp;"",INDEX('Daily Sale entry '!$P$1:$P$1501,$J1538-1499)&amp;""))</f>
        <v/>
      </c>
      <c r="E1538">
        <f>IF($J1538="","",IF($J1538&lt;=1500,IF(N(INDEX('Daily Sale entry '!$AB$1:$AB$1501,$J1538+1))=0,"",INDEX('Daily Sale entry '!$AB$1:$AB$1501,$J1538+1)),1))</f>
        <v/>
      </c>
      <c r="F1538" s="6">
        <f>IF($J1538="","",IF($J1538&lt;=1500,N(INDEX('Daily Sale entry '!$AC$1:$AC$1501,$J1538+1))-IF(AND('Opening Balance'!$B$15=1,INDEX('Daily Sale entry '!$Z$1:$Z$1501,$J1538+1)="Online collection 网上收款",INDEX('Daily Sale entry '!$AA$1:$AA$1501,$J1538+1)&lt;&gt;""),N(INDEX('Daily Sale entry '!$AC$1:$AC$1501,$J1538+1))-TRUNC(N(INDEX('Daily Sale entry '!$AC$1:$AC$1501,$J1538+1))),0),N(INDEX('Daily Sale entry '!$S$1:$S$1501,$J1538-1499))-'Opening Balance'!$B$15*(N(INDEX('Daily Sale entry '!$S$1:$S$1501,$J1538-1499))-TRUNC(N(INDEX('Daily Sale entry '!$S$1:$S$1501,$J1538-1499))))))</f>
        <v/>
      </c>
      <c r="G1538" s="6">
        <f>IF($J1538="","",IF($J1538&lt;=1500,N(INDEX('Daily Sale entry '!$AD$1:$AD$1501,$J1538+1)),0))</f>
        <v/>
      </c>
      <c r="H1538" s="6">
        <f>IF($J1538="","",ROUND('Opening Balance'!$B$4+SUM($F$2:F1538)-SUM($G$2:G1538),2))</f>
        <v/>
      </c>
      <c r="J1538" s="21">
        <f>IFERROR(MATCH(ROW()-1,$L$2:$L$3001,0),"")</f>
        <v/>
      </c>
      <c r="K1538" s="34">
        <f>IF(AND('Daily Sale entry '!Q38="Collection 收款",'Daily Sale entry '!R38="Cheque 支票",'Daily Sale entry '!V38&lt;&gt;""),'Daily Sale entry '!V38+ROW()/10000000,"")</f>
        <v/>
      </c>
      <c r="L1538" s="21">
        <f>IF(K1538="","",COUNTIF($K$2:$K$3001,"&lt;"&amp;K1538)+1)</f>
        <v/>
      </c>
    </row>
    <row r="1539">
      <c r="A1539" s="5">
        <f>IF($J1539="","",IF($J1539&lt;=1500,INDEX('Daily Sale entry '!$X$1:$X$1501,$J1539+1),INDEX('Daily Sale entry '!$V$1:$V$1501,$J1539-1499)))</f>
        <v/>
      </c>
      <c r="B1539">
        <f>IF($J1539="","",IF($J1539&lt;=1500,INDEX('Daily Sale entry '!$Y$1:$Y$1501,$J1539+1)&amp;"","Buyer cheque banked 买家支票存入"&amp;IF(INDEX('Daily Sale entry '!$U$1:$U$1501,$J1539-1499)="","", " - "&amp;INDEX('Daily Sale entry '!$U$1:$U$1501,$J1539-1499))))</f>
        <v/>
      </c>
      <c r="C1539">
        <f>IF($J1539="","",IF($J1539&lt;=1500,INDEX('Daily Sale entry '!$Z$1:$Z$1501,$J1539+1)&amp;"","Cheque deposit 支票存入 (buyer 买家)"))</f>
        <v/>
      </c>
      <c r="D1539">
        <f>IF($J1539="","",IF($J1539&lt;=1500,INDEX('Daily Sale entry '!$AA$1:$AA$1501,$J1539+1)&amp;"",INDEX('Daily Sale entry '!$P$1:$P$1501,$J1539-1499)&amp;""))</f>
        <v/>
      </c>
      <c r="E1539">
        <f>IF($J1539="","",IF($J1539&lt;=1500,IF(N(INDEX('Daily Sale entry '!$AB$1:$AB$1501,$J1539+1))=0,"",INDEX('Daily Sale entry '!$AB$1:$AB$1501,$J1539+1)),1))</f>
        <v/>
      </c>
      <c r="F1539" s="6">
        <f>IF($J1539="","",IF($J1539&lt;=1500,N(INDEX('Daily Sale entry '!$AC$1:$AC$1501,$J1539+1))-IF(AND('Opening Balance'!$B$15=1,INDEX('Daily Sale entry '!$Z$1:$Z$1501,$J1539+1)="Online collection 网上收款",INDEX('Daily Sale entry '!$AA$1:$AA$1501,$J1539+1)&lt;&gt;""),N(INDEX('Daily Sale entry '!$AC$1:$AC$1501,$J1539+1))-TRUNC(N(INDEX('Daily Sale entry '!$AC$1:$AC$1501,$J1539+1))),0),N(INDEX('Daily Sale entry '!$S$1:$S$1501,$J1539-1499))-'Opening Balance'!$B$15*(N(INDEX('Daily Sale entry '!$S$1:$S$1501,$J1539-1499))-TRUNC(N(INDEX('Daily Sale entry '!$S$1:$S$1501,$J1539-1499))))))</f>
        <v/>
      </c>
      <c r="G1539" s="6">
        <f>IF($J1539="","",IF($J1539&lt;=1500,N(INDEX('Daily Sale entry '!$AD$1:$AD$1501,$J1539+1)),0))</f>
        <v/>
      </c>
      <c r="H1539" s="6">
        <f>IF($J1539="","",ROUND('Opening Balance'!$B$4+SUM($F$2:F1539)-SUM($G$2:G1539),2))</f>
        <v/>
      </c>
      <c r="J1539" s="21">
        <f>IFERROR(MATCH(ROW()-1,$L$2:$L$3001,0),"")</f>
        <v/>
      </c>
      <c r="K1539" s="34">
        <f>IF(AND('Daily Sale entry '!Q39="Collection 收款",'Daily Sale entry '!R39="Cheque 支票",'Daily Sale entry '!V39&lt;&gt;""),'Daily Sale entry '!V39+ROW()/10000000,"")</f>
        <v/>
      </c>
      <c r="L1539" s="21">
        <f>IF(K1539="","",COUNTIF($K$2:$K$3001,"&lt;"&amp;K1539)+1)</f>
        <v/>
      </c>
    </row>
    <row r="1540">
      <c r="A1540" s="5">
        <f>IF($J1540="","",IF($J1540&lt;=1500,INDEX('Daily Sale entry '!$X$1:$X$1501,$J1540+1),INDEX('Daily Sale entry '!$V$1:$V$1501,$J1540-1499)))</f>
        <v/>
      </c>
      <c r="B1540">
        <f>IF($J1540="","",IF($J1540&lt;=1500,INDEX('Daily Sale entry '!$Y$1:$Y$1501,$J1540+1)&amp;"","Buyer cheque banked 买家支票存入"&amp;IF(INDEX('Daily Sale entry '!$U$1:$U$1501,$J1540-1499)="","", " - "&amp;INDEX('Daily Sale entry '!$U$1:$U$1501,$J1540-1499))))</f>
        <v/>
      </c>
      <c r="C1540">
        <f>IF($J1540="","",IF($J1540&lt;=1500,INDEX('Daily Sale entry '!$Z$1:$Z$1501,$J1540+1)&amp;"","Cheque deposit 支票存入 (buyer 买家)"))</f>
        <v/>
      </c>
      <c r="D1540">
        <f>IF($J1540="","",IF($J1540&lt;=1500,INDEX('Daily Sale entry '!$AA$1:$AA$1501,$J1540+1)&amp;"",INDEX('Daily Sale entry '!$P$1:$P$1501,$J1540-1499)&amp;""))</f>
        <v/>
      </c>
      <c r="E1540">
        <f>IF($J1540="","",IF($J1540&lt;=1500,IF(N(INDEX('Daily Sale entry '!$AB$1:$AB$1501,$J1540+1))=0,"",INDEX('Daily Sale entry '!$AB$1:$AB$1501,$J1540+1)),1))</f>
        <v/>
      </c>
      <c r="F1540" s="6">
        <f>IF($J1540="","",IF($J1540&lt;=1500,N(INDEX('Daily Sale entry '!$AC$1:$AC$1501,$J1540+1))-IF(AND('Opening Balance'!$B$15=1,INDEX('Daily Sale entry '!$Z$1:$Z$1501,$J1540+1)="Online collection 网上收款",INDEX('Daily Sale entry '!$AA$1:$AA$1501,$J1540+1)&lt;&gt;""),N(INDEX('Daily Sale entry '!$AC$1:$AC$1501,$J1540+1))-TRUNC(N(INDEX('Daily Sale entry '!$AC$1:$AC$1501,$J1540+1))),0),N(INDEX('Daily Sale entry '!$S$1:$S$1501,$J1540-1499))-'Opening Balance'!$B$15*(N(INDEX('Daily Sale entry '!$S$1:$S$1501,$J1540-1499))-TRUNC(N(INDEX('Daily Sale entry '!$S$1:$S$1501,$J1540-1499))))))</f>
        <v/>
      </c>
      <c r="G1540" s="6">
        <f>IF($J1540="","",IF($J1540&lt;=1500,N(INDEX('Daily Sale entry '!$AD$1:$AD$1501,$J1540+1)),0))</f>
        <v/>
      </c>
      <c r="H1540" s="6">
        <f>IF($J1540="","",ROUND('Opening Balance'!$B$4+SUM($F$2:F1540)-SUM($G$2:G1540),2))</f>
        <v/>
      </c>
      <c r="J1540" s="21">
        <f>IFERROR(MATCH(ROW()-1,$L$2:$L$3001,0),"")</f>
        <v/>
      </c>
      <c r="K1540" s="34">
        <f>IF(AND('Daily Sale entry '!Q40="Collection 收款",'Daily Sale entry '!R40="Cheque 支票",'Daily Sale entry '!V40&lt;&gt;""),'Daily Sale entry '!V40+ROW()/10000000,"")</f>
        <v/>
      </c>
      <c r="L1540" s="21">
        <f>IF(K1540="","",COUNTIF($K$2:$K$3001,"&lt;"&amp;K1540)+1)</f>
        <v/>
      </c>
    </row>
    <row r="1541">
      <c r="A1541" s="5">
        <f>IF($J1541="","",IF($J1541&lt;=1500,INDEX('Daily Sale entry '!$X$1:$X$1501,$J1541+1),INDEX('Daily Sale entry '!$V$1:$V$1501,$J1541-1499)))</f>
        <v/>
      </c>
      <c r="B1541">
        <f>IF($J1541="","",IF($J1541&lt;=1500,INDEX('Daily Sale entry '!$Y$1:$Y$1501,$J1541+1)&amp;"","Buyer cheque banked 买家支票存入"&amp;IF(INDEX('Daily Sale entry '!$U$1:$U$1501,$J1541-1499)="","", " - "&amp;INDEX('Daily Sale entry '!$U$1:$U$1501,$J1541-1499))))</f>
        <v/>
      </c>
      <c r="C1541">
        <f>IF($J1541="","",IF($J1541&lt;=1500,INDEX('Daily Sale entry '!$Z$1:$Z$1501,$J1541+1)&amp;"","Cheque deposit 支票存入 (buyer 买家)"))</f>
        <v/>
      </c>
      <c r="D1541">
        <f>IF($J1541="","",IF($J1541&lt;=1500,INDEX('Daily Sale entry '!$AA$1:$AA$1501,$J1541+1)&amp;"",INDEX('Daily Sale entry '!$P$1:$P$1501,$J1541-1499)&amp;""))</f>
        <v/>
      </c>
      <c r="E1541">
        <f>IF($J1541="","",IF($J1541&lt;=1500,IF(N(INDEX('Daily Sale entry '!$AB$1:$AB$1501,$J1541+1))=0,"",INDEX('Daily Sale entry '!$AB$1:$AB$1501,$J1541+1)),1))</f>
        <v/>
      </c>
      <c r="F1541" s="6">
        <f>IF($J1541="","",IF($J1541&lt;=1500,N(INDEX('Daily Sale entry '!$AC$1:$AC$1501,$J1541+1))-IF(AND('Opening Balance'!$B$15=1,INDEX('Daily Sale entry '!$Z$1:$Z$1501,$J1541+1)="Online collection 网上收款",INDEX('Daily Sale entry '!$AA$1:$AA$1501,$J1541+1)&lt;&gt;""),N(INDEX('Daily Sale entry '!$AC$1:$AC$1501,$J1541+1))-TRUNC(N(INDEX('Daily Sale entry '!$AC$1:$AC$1501,$J1541+1))),0),N(INDEX('Daily Sale entry '!$S$1:$S$1501,$J1541-1499))-'Opening Balance'!$B$15*(N(INDEX('Daily Sale entry '!$S$1:$S$1501,$J1541-1499))-TRUNC(N(INDEX('Daily Sale entry '!$S$1:$S$1501,$J1541-1499))))))</f>
        <v/>
      </c>
      <c r="G1541" s="6">
        <f>IF($J1541="","",IF($J1541&lt;=1500,N(INDEX('Daily Sale entry '!$AD$1:$AD$1501,$J1541+1)),0))</f>
        <v/>
      </c>
      <c r="H1541" s="6">
        <f>IF($J1541="","",ROUND('Opening Balance'!$B$4+SUM($F$2:F1541)-SUM($G$2:G1541),2))</f>
        <v/>
      </c>
      <c r="J1541" s="21">
        <f>IFERROR(MATCH(ROW()-1,$L$2:$L$3001,0),"")</f>
        <v/>
      </c>
      <c r="K1541" s="34">
        <f>IF(AND('Daily Sale entry '!Q41="Collection 收款",'Daily Sale entry '!R41="Cheque 支票",'Daily Sale entry '!V41&lt;&gt;""),'Daily Sale entry '!V41+ROW()/10000000,"")</f>
        <v/>
      </c>
      <c r="L1541" s="21">
        <f>IF(K1541="","",COUNTIF($K$2:$K$3001,"&lt;"&amp;K1541)+1)</f>
        <v/>
      </c>
    </row>
    <row r="1542">
      <c r="A1542" s="5">
        <f>IF($J1542="","",IF($J1542&lt;=1500,INDEX('Daily Sale entry '!$X$1:$X$1501,$J1542+1),INDEX('Daily Sale entry '!$V$1:$V$1501,$J1542-1499)))</f>
        <v/>
      </c>
      <c r="B1542">
        <f>IF($J1542="","",IF($J1542&lt;=1500,INDEX('Daily Sale entry '!$Y$1:$Y$1501,$J1542+1)&amp;"","Buyer cheque banked 买家支票存入"&amp;IF(INDEX('Daily Sale entry '!$U$1:$U$1501,$J1542-1499)="","", " - "&amp;INDEX('Daily Sale entry '!$U$1:$U$1501,$J1542-1499))))</f>
        <v/>
      </c>
      <c r="C1542">
        <f>IF($J1542="","",IF($J1542&lt;=1500,INDEX('Daily Sale entry '!$Z$1:$Z$1501,$J1542+1)&amp;"","Cheque deposit 支票存入 (buyer 买家)"))</f>
        <v/>
      </c>
      <c r="D1542">
        <f>IF($J1542="","",IF($J1542&lt;=1500,INDEX('Daily Sale entry '!$AA$1:$AA$1501,$J1542+1)&amp;"",INDEX('Daily Sale entry '!$P$1:$P$1501,$J1542-1499)&amp;""))</f>
        <v/>
      </c>
      <c r="E1542">
        <f>IF($J1542="","",IF($J1542&lt;=1500,IF(N(INDEX('Daily Sale entry '!$AB$1:$AB$1501,$J1542+1))=0,"",INDEX('Daily Sale entry '!$AB$1:$AB$1501,$J1542+1)),1))</f>
        <v/>
      </c>
      <c r="F1542" s="6">
        <f>IF($J1542="","",IF($J1542&lt;=1500,N(INDEX('Daily Sale entry '!$AC$1:$AC$1501,$J1542+1))-IF(AND('Opening Balance'!$B$15=1,INDEX('Daily Sale entry '!$Z$1:$Z$1501,$J1542+1)="Online collection 网上收款",INDEX('Daily Sale entry '!$AA$1:$AA$1501,$J1542+1)&lt;&gt;""),N(INDEX('Daily Sale entry '!$AC$1:$AC$1501,$J1542+1))-TRUNC(N(INDEX('Daily Sale entry '!$AC$1:$AC$1501,$J1542+1))),0),N(INDEX('Daily Sale entry '!$S$1:$S$1501,$J1542-1499))-'Opening Balance'!$B$15*(N(INDEX('Daily Sale entry '!$S$1:$S$1501,$J1542-1499))-TRUNC(N(INDEX('Daily Sale entry '!$S$1:$S$1501,$J1542-1499))))))</f>
        <v/>
      </c>
      <c r="G1542" s="6">
        <f>IF($J1542="","",IF($J1542&lt;=1500,N(INDEX('Daily Sale entry '!$AD$1:$AD$1501,$J1542+1)),0))</f>
        <v/>
      </c>
      <c r="H1542" s="6">
        <f>IF($J1542="","",ROUND('Opening Balance'!$B$4+SUM($F$2:F1542)-SUM($G$2:G1542),2))</f>
        <v/>
      </c>
      <c r="J1542" s="21">
        <f>IFERROR(MATCH(ROW()-1,$L$2:$L$3001,0),"")</f>
        <v/>
      </c>
      <c r="K1542" s="34">
        <f>IF(AND('Daily Sale entry '!Q42="Collection 收款",'Daily Sale entry '!R42="Cheque 支票",'Daily Sale entry '!V42&lt;&gt;""),'Daily Sale entry '!V42+ROW()/10000000,"")</f>
        <v/>
      </c>
      <c r="L1542" s="21">
        <f>IF(K1542="","",COUNTIF($K$2:$K$3001,"&lt;"&amp;K1542)+1)</f>
        <v/>
      </c>
    </row>
    <row r="1543">
      <c r="A1543" s="5">
        <f>IF($J1543="","",IF($J1543&lt;=1500,INDEX('Daily Sale entry '!$X$1:$X$1501,$J1543+1),INDEX('Daily Sale entry '!$V$1:$V$1501,$J1543-1499)))</f>
        <v/>
      </c>
      <c r="B1543">
        <f>IF($J1543="","",IF($J1543&lt;=1500,INDEX('Daily Sale entry '!$Y$1:$Y$1501,$J1543+1)&amp;"","Buyer cheque banked 买家支票存入"&amp;IF(INDEX('Daily Sale entry '!$U$1:$U$1501,$J1543-1499)="","", " - "&amp;INDEX('Daily Sale entry '!$U$1:$U$1501,$J1543-1499))))</f>
        <v/>
      </c>
      <c r="C1543">
        <f>IF($J1543="","",IF($J1543&lt;=1500,INDEX('Daily Sale entry '!$Z$1:$Z$1501,$J1543+1)&amp;"","Cheque deposit 支票存入 (buyer 买家)"))</f>
        <v/>
      </c>
      <c r="D1543">
        <f>IF($J1543="","",IF($J1543&lt;=1500,INDEX('Daily Sale entry '!$AA$1:$AA$1501,$J1543+1)&amp;"",INDEX('Daily Sale entry '!$P$1:$P$1501,$J1543-1499)&amp;""))</f>
        <v/>
      </c>
      <c r="E1543">
        <f>IF($J1543="","",IF($J1543&lt;=1500,IF(N(INDEX('Daily Sale entry '!$AB$1:$AB$1501,$J1543+1))=0,"",INDEX('Daily Sale entry '!$AB$1:$AB$1501,$J1543+1)),1))</f>
        <v/>
      </c>
      <c r="F1543" s="6">
        <f>IF($J1543="","",IF($J1543&lt;=1500,N(INDEX('Daily Sale entry '!$AC$1:$AC$1501,$J1543+1))-IF(AND('Opening Balance'!$B$15=1,INDEX('Daily Sale entry '!$Z$1:$Z$1501,$J1543+1)="Online collection 网上收款",INDEX('Daily Sale entry '!$AA$1:$AA$1501,$J1543+1)&lt;&gt;""),N(INDEX('Daily Sale entry '!$AC$1:$AC$1501,$J1543+1))-TRUNC(N(INDEX('Daily Sale entry '!$AC$1:$AC$1501,$J1543+1))),0),N(INDEX('Daily Sale entry '!$S$1:$S$1501,$J1543-1499))-'Opening Balance'!$B$15*(N(INDEX('Daily Sale entry '!$S$1:$S$1501,$J1543-1499))-TRUNC(N(INDEX('Daily Sale entry '!$S$1:$S$1501,$J1543-1499))))))</f>
        <v/>
      </c>
      <c r="G1543" s="6">
        <f>IF($J1543="","",IF($J1543&lt;=1500,N(INDEX('Daily Sale entry '!$AD$1:$AD$1501,$J1543+1)),0))</f>
        <v/>
      </c>
      <c r="H1543" s="6">
        <f>IF($J1543="","",ROUND('Opening Balance'!$B$4+SUM($F$2:F1543)-SUM($G$2:G1543),2))</f>
        <v/>
      </c>
      <c r="J1543" s="21">
        <f>IFERROR(MATCH(ROW()-1,$L$2:$L$3001,0),"")</f>
        <v/>
      </c>
      <c r="K1543" s="34">
        <f>IF(AND('Daily Sale entry '!Q43="Collection 收款",'Daily Sale entry '!R43="Cheque 支票",'Daily Sale entry '!V43&lt;&gt;""),'Daily Sale entry '!V43+ROW()/10000000,"")</f>
        <v/>
      </c>
      <c r="L1543" s="21">
        <f>IF(K1543="","",COUNTIF($K$2:$K$3001,"&lt;"&amp;K1543)+1)</f>
        <v/>
      </c>
    </row>
    <row r="1544">
      <c r="A1544" s="5">
        <f>IF($J1544="","",IF($J1544&lt;=1500,INDEX('Daily Sale entry '!$X$1:$X$1501,$J1544+1),INDEX('Daily Sale entry '!$V$1:$V$1501,$J1544-1499)))</f>
        <v/>
      </c>
      <c r="B1544">
        <f>IF($J1544="","",IF($J1544&lt;=1500,INDEX('Daily Sale entry '!$Y$1:$Y$1501,$J1544+1)&amp;"","Buyer cheque banked 买家支票存入"&amp;IF(INDEX('Daily Sale entry '!$U$1:$U$1501,$J1544-1499)="","", " - "&amp;INDEX('Daily Sale entry '!$U$1:$U$1501,$J1544-1499))))</f>
        <v/>
      </c>
      <c r="C1544">
        <f>IF($J1544="","",IF($J1544&lt;=1500,INDEX('Daily Sale entry '!$Z$1:$Z$1501,$J1544+1)&amp;"","Cheque deposit 支票存入 (buyer 买家)"))</f>
        <v/>
      </c>
      <c r="D1544">
        <f>IF($J1544="","",IF($J1544&lt;=1500,INDEX('Daily Sale entry '!$AA$1:$AA$1501,$J1544+1)&amp;"",INDEX('Daily Sale entry '!$P$1:$P$1501,$J1544-1499)&amp;""))</f>
        <v/>
      </c>
      <c r="E1544">
        <f>IF($J1544="","",IF($J1544&lt;=1500,IF(N(INDEX('Daily Sale entry '!$AB$1:$AB$1501,$J1544+1))=0,"",INDEX('Daily Sale entry '!$AB$1:$AB$1501,$J1544+1)),1))</f>
        <v/>
      </c>
      <c r="F1544" s="6">
        <f>IF($J1544="","",IF($J1544&lt;=1500,N(INDEX('Daily Sale entry '!$AC$1:$AC$1501,$J1544+1))-IF(AND('Opening Balance'!$B$15=1,INDEX('Daily Sale entry '!$Z$1:$Z$1501,$J1544+1)="Online collection 网上收款",INDEX('Daily Sale entry '!$AA$1:$AA$1501,$J1544+1)&lt;&gt;""),N(INDEX('Daily Sale entry '!$AC$1:$AC$1501,$J1544+1))-TRUNC(N(INDEX('Daily Sale entry '!$AC$1:$AC$1501,$J1544+1))),0),N(INDEX('Daily Sale entry '!$S$1:$S$1501,$J1544-1499))-'Opening Balance'!$B$15*(N(INDEX('Daily Sale entry '!$S$1:$S$1501,$J1544-1499))-TRUNC(N(INDEX('Daily Sale entry '!$S$1:$S$1501,$J1544-1499))))))</f>
        <v/>
      </c>
      <c r="G1544" s="6">
        <f>IF($J1544="","",IF($J1544&lt;=1500,N(INDEX('Daily Sale entry '!$AD$1:$AD$1501,$J1544+1)),0))</f>
        <v/>
      </c>
      <c r="H1544" s="6">
        <f>IF($J1544="","",ROUND('Opening Balance'!$B$4+SUM($F$2:F1544)-SUM($G$2:G1544),2))</f>
        <v/>
      </c>
      <c r="J1544" s="21">
        <f>IFERROR(MATCH(ROW()-1,$L$2:$L$3001,0),"")</f>
        <v/>
      </c>
      <c r="K1544" s="34">
        <f>IF(AND('Daily Sale entry '!Q44="Collection 收款",'Daily Sale entry '!R44="Cheque 支票",'Daily Sale entry '!V44&lt;&gt;""),'Daily Sale entry '!V44+ROW()/10000000,"")</f>
        <v/>
      </c>
      <c r="L1544" s="21">
        <f>IF(K1544="","",COUNTIF($K$2:$K$3001,"&lt;"&amp;K1544)+1)</f>
        <v/>
      </c>
    </row>
    <row r="1545">
      <c r="A1545" s="5">
        <f>IF($J1545="","",IF($J1545&lt;=1500,INDEX('Daily Sale entry '!$X$1:$X$1501,$J1545+1),INDEX('Daily Sale entry '!$V$1:$V$1501,$J1545-1499)))</f>
        <v/>
      </c>
      <c r="B1545">
        <f>IF($J1545="","",IF($J1545&lt;=1500,INDEX('Daily Sale entry '!$Y$1:$Y$1501,$J1545+1)&amp;"","Buyer cheque banked 买家支票存入"&amp;IF(INDEX('Daily Sale entry '!$U$1:$U$1501,$J1545-1499)="","", " - "&amp;INDEX('Daily Sale entry '!$U$1:$U$1501,$J1545-1499))))</f>
        <v/>
      </c>
      <c r="C1545">
        <f>IF($J1545="","",IF($J1545&lt;=1500,INDEX('Daily Sale entry '!$Z$1:$Z$1501,$J1545+1)&amp;"","Cheque deposit 支票存入 (buyer 买家)"))</f>
        <v/>
      </c>
      <c r="D1545">
        <f>IF($J1545="","",IF($J1545&lt;=1500,INDEX('Daily Sale entry '!$AA$1:$AA$1501,$J1545+1)&amp;"",INDEX('Daily Sale entry '!$P$1:$P$1501,$J1545-1499)&amp;""))</f>
        <v/>
      </c>
      <c r="E1545">
        <f>IF($J1545="","",IF($J1545&lt;=1500,IF(N(INDEX('Daily Sale entry '!$AB$1:$AB$1501,$J1545+1))=0,"",INDEX('Daily Sale entry '!$AB$1:$AB$1501,$J1545+1)),1))</f>
        <v/>
      </c>
      <c r="F1545" s="6">
        <f>IF($J1545="","",IF($J1545&lt;=1500,N(INDEX('Daily Sale entry '!$AC$1:$AC$1501,$J1545+1))-IF(AND('Opening Balance'!$B$15=1,INDEX('Daily Sale entry '!$Z$1:$Z$1501,$J1545+1)="Online collection 网上收款",INDEX('Daily Sale entry '!$AA$1:$AA$1501,$J1545+1)&lt;&gt;""),N(INDEX('Daily Sale entry '!$AC$1:$AC$1501,$J1545+1))-TRUNC(N(INDEX('Daily Sale entry '!$AC$1:$AC$1501,$J1545+1))),0),N(INDEX('Daily Sale entry '!$S$1:$S$1501,$J1545-1499))-'Opening Balance'!$B$15*(N(INDEX('Daily Sale entry '!$S$1:$S$1501,$J1545-1499))-TRUNC(N(INDEX('Daily Sale entry '!$S$1:$S$1501,$J1545-1499))))))</f>
        <v/>
      </c>
      <c r="G1545" s="6">
        <f>IF($J1545="","",IF($J1545&lt;=1500,N(INDEX('Daily Sale entry '!$AD$1:$AD$1501,$J1545+1)),0))</f>
        <v/>
      </c>
      <c r="H1545" s="6">
        <f>IF($J1545="","",ROUND('Opening Balance'!$B$4+SUM($F$2:F1545)-SUM($G$2:G1545),2))</f>
        <v/>
      </c>
      <c r="J1545" s="21">
        <f>IFERROR(MATCH(ROW()-1,$L$2:$L$3001,0),"")</f>
        <v/>
      </c>
      <c r="K1545" s="34">
        <f>IF(AND('Daily Sale entry '!Q45="Collection 收款",'Daily Sale entry '!R45="Cheque 支票",'Daily Sale entry '!V45&lt;&gt;""),'Daily Sale entry '!V45+ROW()/10000000,"")</f>
        <v/>
      </c>
      <c r="L1545" s="21">
        <f>IF(K1545="","",COUNTIF($K$2:$K$3001,"&lt;"&amp;K1545)+1)</f>
        <v/>
      </c>
    </row>
    <row r="1546">
      <c r="A1546" s="5">
        <f>IF($J1546="","",IF($J1546&lt;=1500,INDEX('Daily Sale entry '!$X$1:$X$1501,$J1546+1),INDEX('Daily Sale entry '!$V$1:$V$1501,$J1546-1499)))</f>
        <v/>
      </c>
      <c r="B1546">
        <f>IF($J1546="","",IF($J1546&lt;=1500,INDEX('Daily Sale entry '!$Y$1:$Y$1501,$J1546+1)&amp;"","Buyer cheque banked 买家支票存入"&amp;IF(INDEX('Daily Sale entry '!$U$1:$U$1501,$J1546-1499)="","", " - "&amp;INDEX('Daily Sale entry '!$U$1:$U$1501,$J1546-1499))))</f>
        <v/>
      </c>
      <c r="C1546">
        <f>IF($J1546="","",IF($J1546&lt;=1500,INDEX('Daily Sale entry '!$Z$1:$Z$1501,$J1546+1)&amp;"","Cheque deposit 支票存入 (buyer 买家)"))</f>
        <v/>
      </c>
      <c r="D1546">
        <f>IF($J1546="","",IF($J1546&lt;=1500,INDEX('Daily Sale entry '!$AA$1:$AA$1501,$J1546+1)&amp;"",INDEX('Daily Sale entry '!$P$1:$P$1501,$J1546-1499)&amp;""))</f>
        <v/>
      </c>
      <c r="E1546">
        <f>IF($J1546="","",IF($J1546&lt;=1500,IF(N(INDEX('Daily Sale entry '!$AB$1:$AB$1501,$J1546+1))=0,"",INDEX('Daily Sale entry '!$AB$1:$AB$1501,$J1546+1)),1))</f>
        <v/>
      </c>
      <c r="F1546" s="6">
        <f>IF($J1546="","",IF($J1546&lt;=1500,N(INDEX('Daily Sale entry '!$AC$1:$AC$1501,$J1546+1))-IF(AND('Opening Balance'!$B$15=1,INDEX('Daily Sale entry '!$Z$1:$Z$1501,$J1546+1)="Online collection 网上收款",INDEX('Daily Sale entry '!$AA$1:$AA$1501,$J1546+1)&lt;&gt;""),N(INDEX('Daily Sale entry '!$AC$1:$AC$1501,$J1546+1))-TRUNC(N(INDEX('Daily Sale entry '!$AC$1:$AC$1501,$J1546+1))),0),N(INDEX('Daily Sale entry '!$S$1:$S$1501,$J1546-1499))-'Opening Balance'!$B$15*(N(INDEX('Daily Sale entry '!$S$1:$S$1501,$J1546-1499))-TRUNC(N(INDEX('Daily Sale entry '!$S$1:$S$1501,$J1546-1499))))))</f>
        <v/>
      </c>
      <c r="G1546" s="6">
        <f>IF($J1546="","",IF($J1546&lt;=1500,N(INDEX('Daily Sale entry '!$AD$1:$AD$1501,$J1546+1)),0))</f>
        <v/>
      </c>
      <c r="H1546" s="6">
        <f>IF($J1546="","",ROUND('Opening Balance'!$B$4+SUM($F$2:F1546)-SUM($G$2:G1546),2))</f>
        <v/>
      </c>
      <c r="J1546" s="21">
        <f>IFERROR(MATCH(ROW()-1,$L$2:$L$3001,0),"")</f>
        <v/>
      </c>
      <c r="K1546" s="34">
        <f>IF(AND('Daily Sale entry '!Q46="Collection 收款",'Daily Sale entry '!R46="Cheque 支票",'Daily Sale entry '!V46&lt;&gt;""),'Daily Sale entry '!V46+ROW()/10000000,"")</f>
        <v/>
      </c>
      <c r="L1546" s="21">
        <f>IF(K1546="","",COUNTIF($K$2:$K$3001,"&lt;"&amp;K1546)+1)</f>
        <v/>
      </c>
    </row>
    <row r="1547">
      <c r="A1547" s="5">
        <f>IF($J1547="","",IF($J1547&lt;=1500,INDEX('Daily Sale entry '!$X$1:$X$1501,$J1547+1),INDEX('Daily Sale entry '!$V$1:$V$1501,$J1547-1499)))</f>
        <v/>
      </c>
      <c r="B1547">
        <f>IF($J1547="","",IF($J1547&lt;=1500,INDEX('Daily Sale entry '!$Y$1:$Y$1501,$J1547+1)&amp;"","Buyer cheque banked 买家支票存入"&amp;IF(INDEX('Daily Sale entry '!$U$1:$U$1501,$J1547-1499)="","", " - "&amp;INDEX('Daily Sale entry '!$U$1:$U$1501,$J1547-1499))))</f>
        <v/>
      </c>
      <c r="C1547">
        <f>IF($J1547="","",IF($J1547&lt;=1500,INDEX('Daily Sale entry '!$Z$1:$Z$1501,$J1547+1)&amp;"","Cheque deposit 支票存入 (buyer 买家)"))</f>
        <v/>
      </c>
      <c r="D1547">
        <f>IF($J1547="","",IF($J1547&lt;=1500,INDEX('Daily Sale entry '!$AA$1:$AA$1501,$J1547+1)&amp;"",INDEX('Daily Sale entry '!$P$1:$P$1501,$J1547-1499)&amp;""))</f>
        <v/>
      </c>
      <c r="E1547">
        <f>IF($J1547="","",IF($J1547&lt;=1500,IF(N(INDEX('Daily Sale entry '!$AB$1:$AB$1501,$J1547+1))=0,"",INDEX('Daily Sale entry '!$AB$1:$AB$1501,$J1547+1)),1))</f>
        <v/>
      </c>
      <c r="F1547" s="6">
        <f>IF($J1547="","",IF($J1547&lt;=1500,N(INDEX('Daily Sale entry '!$AC$1:$AC$1501,$J1547+1))-IF(AND('Opening Balance'!$B$15=1,INDEX('Daily Sale entry '!$Z$1:$Z$1501,$J1547+1)="Online collection 网上收款",INDEX('Daily Sale entry '!$AA$1:$AA$1501,$J1547+1)&lt;&gt;""),N(INDEX('Daily Sale entry '!$AC$1:$AC$1501,$J1547+1))-TRUNC(N(INDEX('Daily Sale entry '!$AC$1:$AC$1501,$J1547+1))),0),N(INDEX('Daily Sale entry '!$S$1:$S$1501,$J1547-1499))-'Opening Balance'!$B$15*(N(INDEX('Daily Sale entry '!$S$1:$S$1501,$J1547-1499))-TRUNC(N(INDEX('Daily Sale entry '!$S$1:$S$1501,$J1547-1499))))))</f>
        <v/>
      </c>
      <c r="G1547" s="6">
        <f>IF($J1547="","",IF($J1547&lt;=1500,N(INDEX('Daily Sale entry '!$AD$1:$AD$1501,$J1547+1)),0))</f>
        <v/>
      </c>
      <c r="H1547" s="6">
        <f>IF($J1547="","",ROUND('Opening Balance'!$B$4+SUM($F$2:F1547)-SUM($G$2:G1547),2))</f>
        <v/>
      </c>
      <c r="J1547" s="21">
        <f>IFERROR(MATCH(ROW()-1,$L$2:$L$3001,0),"")</f>
        <v/>
      </c>
      <c r="K1547" s="34">
        <f>IF(AND('Daily Sale entry '!Q47="Collection 收款",'Daily Sale entry '!R47="Cheque 支票",'Daily Sale entry '!V47&lt;&gt;""),'Daily Sale entry '!V47+ROW()/10000000,"")</f>
        <v/>
      </c>
      <c r="L1547" s="21">
        <f>IF(K1547="","",COUNTIF($K$2:$K$3001,"&lt;"&amp;K1547)+1)</f>
        <v/>
      </c>
    </row>
    <row r="1548">
      <c r="A1548" s="5">
        <f>IF($J1548="","",IF($J1548&lt;=1500,INDEX('Daily Sale entry '!$X$1:$X$1501,$J1548+1),INDEX('Daily Sale entry '!$V$1:$V$1501,$J1548-1499)))</f>
        <v/>
      </c>
      <c r="B1548">
        <f>IF($J1548="","",IF($J1548&lt;=1500,INDEX('Daily Sale entry '!$Y$1:$Y$1501,$J1548+1)&amp;"","Buyer cheque banked 买家支票存入"&amp;IF(INDEX('Daily Sale entry '!$U$1:$U$1501,$J1548-1499)="","", " - "&amp;INDEX('Daily Sale entry '!$U$1:$U$1501,$J1548-1499))))</f>
        <v/>
      </c>
      <c r="C1548">
        <f>IF($J1548="","",IF($J1548&lt;=1500,INDEX('Daily Sale entry '!$Z$1:$Z$1501,$J1548+1)&amp;"","Cheque deposit 支票存入 (buyer 买家)"))</f>
        <v/>
      </c>
      <c r="D1548">
        <f>IF($J1548="","",IF($J1548&lt;=1500,INDEX('Daily Sale entry '!$AA$1:$AA$1501,$J1548+1)&amp;"",INDEX('Daily Sale entry '!$P$1:$P$1501,$J1548-1499)&amp;""))</f>
        <v/>
      </c>
      <c r="E1548">
        <f>IF($J1548="","",IF($J1548&lt;=1500,IF(N(INDEX('Daily Sale entry '!$AB$1:$AB$1501,$J1548+1))=0,"",INDEX('Daily Sale entry '!$AB$1:$AB$1501,$J1548+1)),1))</f>
        <v/>
      </c>
      <c r="F1548" s="6">
        <f>IF($J1548="","",IF($J1548&lt;=1500,N(INDEX('Daily Sale entry '!$AC$1:$AC$1501,$J1548+1))-IF(AND('Opening Balance'!$B$15=1,INDEX('Daily Sale entry '!$Z$1:$Z$1501,$J1548+1)="Online collection 网上收款",INDEX('Daily Sale entry '!$AA$1:$AA$1501,$J1548+1)&lt;&gt;""),N(INDEX('Daily Sale entry '!$AC$1:$AC$1501,$J1548+1))-TRUNC(N(INDEX('Daily Sale entry '!$AC$1:$AC$1501,$J1548+1))),0),N(INDEX('Daily Sale entry '!$S$1:$S$1501,$J1548-1499))-'Opening Balance'!$B$15*(N(INDEX('Daily Sale entry '!$S$1:$S$1501,$J1548-1499))-TRUNC(N(INDEX('Daily Sale entry '!$S$1:$S$1501,$J1548-1499))))))</f>
        <v/>
      </c>
      <c r="G1548" s="6">
        <f>IF($J1548="","",IF($J1548&lt;=1500,N(INDEX('Daily Sale entry '!$AD$1:$AD$1501,$J1548+1)),0))</f>
        <v/>
      </c>
      <c r="H1548" s="6">
        <f>IF($J1548="","",ROUND('Opening Balance'!$B$4+SUM($F$2:F1548)-SUM($G$2:G1548),2))</f>
        <v/>
      </c>
      <c r="J1548" s="21">
        <f>IFERROR(MATCH(ROW()-1,$L$2:$L$3001,0),"")</f>
        <v/>
      </c>
      <c r="K1548" s="34">
        <f>IF(AND('Daily Sale entry '!Q48="Collection 收款",'Daily Sale entry '!R48="Cheque 支票",'Daily Sale entry '!V48&lt;&gt;""),'Daily Sale entry '!V48+ROW()/10000000,"")</f>
        <v/>
      </c>
      <c r="L1548" s="21">
        <f>IF(K1548="","",COUNTIF($K$2:$K$3001,"&lt;"&amp;K1548)+1)</f>
        <v/>
      </c>
    </row>
    <row r="1549">
      <c r="A1549" s="5">
        <f>IF($J1549="","",IF($J1549&lt;=1500,INDEX('Daily Sale entry '!$X$1:$X$1501,$J1549+1),INDEX('Daily Sale entry '!$V$1:$V$1501,$J1549-1499)))</f>
        <v/>
      </c>
      <c r="B1549">
        <f>IF($J1549="","",IF($J1549&lt;=1500,INDEX('Daily Sale entry '!$Y$1:$Y$1501,$J1549+1)&amp;"","Buyer cheque banked 买家支票存入"&amp;IF(INDEX('Daily Sale entry '!$U$1:$U$1501,$J1549-1499)="","", " - "&amp;INDEX('Daily Sale entry '!$U$1:$U$1501,$J1549-1499))))</f>
        <v/>
      </c>
      <c r="C1549">
        <f>IF($J1549="","",IF($J1549&lt;=1500,INDEX('Daily Sale entry '!$Z$1:$Z$1501,$J1549+1)&amp;"","Cheque deposit 支票存入 (buyer 买家)"))</f>
        <v/>
      </c>
      <c r="D1549">
        <f>IF($J1549="","",IF($J1549&lt;=1500,INDEX('Daily Sale entry '!$AA$1:$AA$1501,$J1549+1)&amp;"",INDEX('Daily Sale entry '!$P$1:$P$1501,$J1549-1499)&amp;""))</f>
        <v/>
      </c>
      <c r="E1549">
        <f>IF($J1549="","",IF($J1549&lt;=1500,IF(N(INDEX('Daily Sale entry '!$AB$1:$AB$1501,$J1549+1))=0,"",INDEX('Daily Sale entry '!$AB$1:$AB$1501,$J1549+1)),1))</f>
        <v/>
      </c>
      <c r="F1549" s="6">
        <f>IF($J1549="","",IF($J1549&lt;=1500,N(INDEX('Daily Sale entry '!$AC$1:$AC$1501,$J1549+1))-IF(AND('Opening Balance'!$B$15=1,INDEX('Daily Sale entry '!$Z$1:$Z$1501,$J1549+1)="Online collection 网上收款",INDEX('Daily Sale entry '!$AA$1:$AA$1501,$J1549+1)&lt;&gt;""),N(INDEX('Daily Sale entry '!$AC$1:$AC$1501,$J1549+1))-TRUNC(N(INDEX('Daily Sale entry '!$AC$1:$AC$1501,$J1549+1))),0),N(INDEX('Daily Sale entry '!$S$1:$S$1501,$J1549-1499))-'Opening Balance'!$B$15*(N(INDEX('Daily Sale entry '!$S$1:$S$1501,$J1549-1499))-TRUNC(N(INDEX('Daily Sale entry '!$S$1:$S$1501,$J1549-1499))))))</f>
        <v/>
      </c>
      <c r="G1549" s="6">
        <f>IF($J1549="","",IF($J1549&lt;=1500,N(INDEX('Daily Sale entry '!$AD$1:$AD$1501,$J1549+1)),0))</f>
        <v/>
      </c>
      <c r="H1549" s="6">
        <f>IF($J1549="","",ROUND('Opening Balance'!$B$4+SUM($F$2:F1549)-SUM($G$2:G1549),2))</f>
        <v/>
      </c>
      <c r="J1549" s="21">
        <f>IFERROR(MATCH(ROW()-1,$L$2:$L$3001,0),"")</f>
        <v/>
      </c>
      <c r="K1549" s="34">
        <f>IF(AND('Daily Sale entry '!Q49="Collection 收款",'Daily Sale entry '!R49="Cheque 支票",'Daily Sale entry '!V49&lt;&gt;""),'Daily Sale entry '!V49+ROW()/10000000,"")</f>
        <v/>
      </c>
      <c r="L1549" s="21">
        <f>IF(K1549="","",COUNTIF($K$2:$K$3001,"&lt;"&amp;K1549)+1)</f>
        <v/>
      </c>
    </row>
    <row r="1550">
      <c r="A1550" s="5">
        <f>IF($J1550="","",IF($J1550&lt;=1500,INDEX('Daily Sale entry '!$X$1:$X$1501,$J1550+1),INDEX('Daily Sale entry '!$V$1:$V$1501,$J1550-1499)))</f>
        <v/>
      </c>
      <c r="B1550">
        <f>IF($J1550="","",IF($J1550&lt;=1500,INDEX('Daily Sale entry '!$Y$1:$Y$1501,$J1550+1)&amp;"","Buyer cheque banked 买家支票存入"&amp;IF(INDEX('Daily Sale entry '!$U$1:$U$1501,$J1550-1499)="","", " - "&amp;INDEX('Daily Sale entry '!$U$1:$U$1501,$J1550-1499))))</f>
        <v/>
      </c>
      <c r="C1550">
        <f>IF($J1550="","",IF($J1550&lt;=1500,INDEX('Daily Sale entry '!$Z$1:$Z$1501,$J1550+1)&amp;"","Cheque deposit 支票存入 (buyer 买家)"))</f>
        <v/>
      </c>
      <c r="D1550">
        <f>IF($J1550="","",IF($J1550&lt;=1500,INDEX('Daily Sale entry '!$AA$1:$AA$1501,$J1550+1)&amp;"",INDEX('Daily Sale entry '!$P$1:$P$1501,$J1550-1499)&amp;""))</f>
        <v/>
      </c>
      <c r="E1550">
        <f>IF($J1550="","",IF($J1550&lt;=1500,IF(N(INDEX('Daily Sale entry '!$AB$1:$AB$1501,$J1550+1))=0,"",INDEX('Daily Sale entry '!$AB$1:$AB$1501,$J1550+1)),1))</f>
        <v/>
      </c>
      <c r="F1550" s="6">
        <f>IF($J1550="","",IF($J1550&lt;=1500,N(INDEX('Daily Sale entry '!$AC$1:$AC$1501,$J1550+1))-IF(AND('Opening Balance'!$B$15=1,INDEX('Daily Sale entry '!$Z$1:$Z$1501,$J1550+1)="Online collection 网上收款",INDEX('Daily Sale entry '!$AA$1:$AA$1501,$J1550+1)&lt;&gt;""),N(INDEX('Daily Sale entry '!$AC$1:$AC$1501,$J1550+1))-TRUNC(N(INDEX('Daily Sale entry '!$AC$1:$AC$1501,$J1550+1))),0),N(INDEX('Daily Sale entry '!$S$1:$S$1501,$J1550-1499))-'Opening Balance'!$B$15*(N(INDEX('Daily Sale entry '!$S$1:$S$1501,$J1550-1499))-TRUNC(N(INDEX('Daily Sale entry '!$S$1:$S$1501,$J1550-1499))))))</f>
        <v/>
      </c>
      <c r="G1550" s="6">
        <f>IF($J1550="","",IF($J1550&lt;=1500,N(INDEX('Daily Sale entry '!$AD$1:$AD$1501,$J1550+1)),0))</f>
        <v/>
      </c>
      <c r="H1550" s="6">
        <f>IF($J1550="","",ROUND('Opening Balance'!$B$4+SUM($F$2:F1550)-SUM($G$2:G1550),2))</f>
        <v/>
      </c>
      <c r="J1550" s="21">
        <f>IFERROR(MATCH(ROW()-1,$L$2:$L$3001,0),"")</f>
        <v/>
      </c>
      <c r="K1550" s="34">
        <f>IF(AND('Daily Sale entry '!Q50="Collection 收款",'Daily Sale entry '!R50="Cheque 支票",'Daily Sale entry '!V50&lt;&gt;""),'Daily Sale entry '!V50+ROW()/10000000,"")</f>
        <v/>
      </c>
      <c r="L1550" s="21">
        <f>IF(K1550="","",COUNTIF($K$2:$K$3001,"&lt;"&amp;K1550)+1)</f>
        <v/>
      </c>
    </row>
    <row r="1551">
      <c r="A1551" s="5">
        <f>IF($J1551="","",IF($J1551&lt;=1500,INDEX('Daily Sale entry '!$X$1:$X$1501,$J1551+1),INDEX('Daily Sale entry '!$V$1:$V$1501,$J1551-1499)))</f>
        <v/>
      </c>
      <c r="B1551">
        <f>IF($J1551="","",IF($J1551&lt;=1500,INDEX('Daily Sale entry '!$Y$1:$Y$1501,$J1551+1)&amp;"","Buyer cheque banked 买家支票存入"&amp;IF(INDEX('Daily Sale entry '!$U$1:$U$1501,$J1551-1499)="","", " - "&amp;INDEX('Daily Sale entry '!$U$1:$U$1501,$J1551-1499))))</f>
        <v/>
      </c>
      <c r="C1551">
        <f>IF($J1551="","",IF($J1551&lt;=1500,INDEX('Daily Sale entry '!$Z$1:$Z$1501,$J1551+1)&amp;"","Cheque deposit 支票存入 (buyer 买家)"))</f>
        <v/>
      </c>
      <c r="D1551">
        <f>IF($J1551="","",IF($J1551&lt;=1500,INDEX('Daily Sale entry '!$AA$1:$AA$1501,$J1551+1)&amp;"",INDEX('Daily Sale entry '!$P$1:$P$1501,$J1551-1499)&amp;""))</f>
        <v/>
      </c>
      <c r="E1551">
        <f>IF($J1551="","",IF($J1551&lt;=1500,IF(N(INDEX('Daily Sale entry '!$AB$1:$AB$1501,$J1551+1))=0,"",INDEX('Daily Sale entry '!$AB$1:$AB$1501,$J1551+1)),1))</f>
        <v/>
      </c>
      <c r="F1551" s="6">
        <f>IF($J1551="","",IF($J1551&lt;=1500,N(INDEX('Daily Sale entry '!$AC$1:$AC$1501,$J1551+1))-IF(AND('Opening Balance'!$B$15=1,INDEX('Daily Sale entry '!$Z$1:$Z$1501,$J1551+1)="Online collection 网上收款",INDEX('Daily Sale entry '!$AA$1:$AA$1501,$J1551+1)&lt;&gt;""),N(INDEX('Daily Sale entry '!$AC$1:$AC$1501,$J1551+1))-TRUNC(N(INDEX('Daily Sale entry '!$AC$1:$AC$1501,$J1551+1))),0),N(INDEX('Daily Sale entry '!$S$1:$S$1501,$J1551-1499))-'Opening Balance'!$B$15*(N(INDEX('Daily Sale entry '!$S$1:$S$1501,$J1551-1499))-TRUNC(N(INDEX('Daily Sale entry '!$S$1:$S$1501,$J1551-1499))))))</f>
        <v/>
      </c>
      <c r="G1551" s="6">
        <f>IF($J1551="","",IF($J1551&lt;=1500,N(INDEX('Daily Sale entry '!$AD$1:$AD$1501,$J1551+1)),0))</f>
        <v/>
      </c>
      <c r="H1551" s="6">
        <f>IF($J1551="","",ROUND('Opening Balance'!$B$4+SUM($F$2:F1551)-SUM($G$2:G1551),2))</f>
        <v/>
      </c>
      <c r="J1551" s="21">
        <f>IFERROR(MATCH(ROW()-1,$L$2:$L$3001,0),"")</f>
        <v/>
      </c>
      <c r="K1551" s="34">
        <f>IF(AND('Daily Sale entry '!Q51="Collection 收款",'Daily Sale entry '!R51="Cheque 支票",'Daily Sale entry '!V51&lt;&gt;""),'Daily Sale entry '!V51+ROW()/10000000,"")</f>
        <v/>
      </c>
      <c r="L1551" s="21">
        <f>IF(K1551="","",COUNTIF($K$2:$K$3001,"&lt;"&amp;K1551)+1)</f>
        <v/>
      </c>
    </row>
    <row r="1552">
      <c r="A1552" s="5">
        <f>IF($J1552="","",IF($J1552&lt;=1500,INDEX('Daily Sale entry '!$X$1:$X$1501,$J1552+1),INDEX('Daily Sale entry '!$V$1:$V$1501,$J1552-1499)))</f>
        <v/>
      </c>
      <c r="B1552">
        <f>IF($J1552="","",IF($J1552&lt;=1500,INDEX('Daily Sale entry '!$Y$1:$Y$1501,$J1552+1)&amp;"","Buyer cheque banked 买家支票存入"&amp;IF(INDEX('Daily Sale entry '!$U$1:$U$1501,$J1552-1499)="","", " - "&amp;INDEX('Daily Sale entry '!$U$1:$U$1501,$J1552-1499))))</f>
        <v/>
      </c>
      <c r="C1552">
        <f>IF($J1552="","",IF($J1552&lt;=1500,INDEX('Daily Sale entry '!$Z$1:$Z$1501,$J1552+1)&amp;"","Cheque deposit 支票存入 (buyer 买家)"))</f>
        <v/>
      </c>
      <c r="D1552">
        <f>IF($J1552="","",IF($J1552&lt;=1500,INDEX('Daily Sale entry '!$AA$1:$AA$1501,$J1552+1)&amp;"",INDEX('Daily Sale entry '!$P$1:$P$1501,$J1552-1499)&amp;""))</f>
        <v/>
      </c>
      <c r="E1552">
        <f>IF($J1552="","",IF($J1552&lt;=1500,IF(N(INDEX('Daily Sale entry '!$AB$1:$AB$1501,$J1552+1))=0,"",INDEX('Daily Sale entry '!$AB$1:$AB$1501,$J1552+1)),1))</f>
        <v/>
      </c>
      <c r="F1552" s="6">
        <f>IF($J1552="","",IF($J1552&lt;=1500,N(INDEX('Daily Sale entry '!$AC$1:$AC$1501,$J1552+1))-IF(AND('Opening Balance'!$B$15=1,INDEX('Daily Sale entry '!$Z$1:$Z$1501,$J1552+1)="Online collection 网上收款",INDEX('Daily Sale entry '!$AA$1:$AA$1501,$J1552+1)&lt;&gt;""),N(INDEX('Daily Sale entry '!$AC$1:$AC$1501,$J1552+1))-TRUNC(N(INDEX('Daily Sale entry '!$AC$1:$AC$1501,$J1552+1))),0),N(INDEX('Daily Sale entry '!$S$1:$S$1501,$J1552-1499))-'Opening Balance'!$B$15*(N(INDEX('Daily Sale entry '!$S$1:$S$1501,$J1552-1499))-TRUNC(N(INDEX('Daily Sale entry '!$S$1:$S$1501,$J1552-1499))))))</f>
        <v/>
      </c>
      <c r="G1552" s="6">
        <f>IF($J1552="","",IF($J1552&lt;=1500,N(INDEX('Daily Sale entry '!$AD$1:$AD$1501,$J1552+1)),0))</f>
        <v/>
      </c>
      <c r="H1552" s="6">
        <f>IF($J1552="","",ROUND('Opening Balance'!$B$4+SUM($F$2:F1552)-SUM($G$2:G1552),2))</f>
        <v/>
      </c>
      <c r="J1552" s="21">
        <f>IFERROR(MATCH(ROW()-1,$L$2:$L$3001,0),"")</f>
        <v/>
      </c>
      <c r="K1552" s="34">
        <f>IF(AND('Daily Sale entry '!Q52="Collection 收款",'Daily Sale entry '!R52="Cheque 支票",'Daily Sale entry '!V52&lt;&gt;""),'Daily Sale entry '!V52+ROW()/10000000,"")</f>
        <v/>
      </c>
      <c r="L1552" s="21">
        <f>IF(K1552="","",COUNTIF($K$2:$K$3001,"&lt;"&amp;K1552)+1)</f>
        <v/>
      </c>
    </row>
    <row r="1553">
      <c r="A1553" s="5">
        <f>IF($J1553="","",IF($J1553&lt;=1500,INDEX('Daily Sale entry '!$X$1:$X$1501,$J1553+1),INDEX('Daily Sale entry '!$V$1:$V$1501,$J1553-1499)))</f>
        <v/>
      </c>
      <c r="B1553">
        <f>IF($J1553="","",IF($J1553&lt;=1500,INDEX('Daily Sale entry '!$Y$1:$Y$1501,$J1553+1)&amp;"","Buyer cheque banked 买家支票存入"&amp;IF(INDEX('Daily Sale entry '!$U$1:$U$1501,$J1553-1499)="","", " - "&amp;INDEX('Daily Sale entry '!$U$1:$U$1501,$J1553-1499))))</f>
        <v/>
      </c>
      <c r="C1553">
        <f>IF($J1553="","",IF($J1553&lt;=1500,INDEX('Daily Sale entry '!$Z$1:$Z$1501,$J1553+1)&amp;"","Cheque deposit 支票存入 (buyer 买家)"))</f>
        <v/>
      </c>
      <c r="D1553">
        <f>IF($J1553="","",IF($J1553&lt;=1500,INDEX('Daily Sale entry '!$AA$1:$AA$1501,$J1553+1)&amp;"",INDEX('Daily Sale entry '!$P$1:$P$1501,$J1553-1499)&amp;""))</f>
        <v/>
      </c>
      <c r="E1553">
        <f>IF($J1553="","",IF($J1553&lt;=1500,IF(N(INDEX('Daily Sale entry '!$AB$1:$AB$1501,$J1553+1))=0,"",INDEX('Daily Sale entry '!$AB$1:$AB$1501,$J1553+1)),1))</f>
        <v/>
      </c>
      <c r="F1553" s="6">
        <f>IF($J1553="","",IF($J1553&lt;=1500,N(INDEX('Daily Sale entry '!$AC$1:$AC$1501,$J1553+1))-IF(AND('Opening Balance'!$B$15=1,INDEX('Daily Sale entry '!$Z$1:$Z$1501,$J1553+1)="Online collection 网上收款",INDEX('Daily Sale entry '!$AA$1:$AA$1501,$J1553+1)&lt;&gt;""),N(INDEX('Daily Sale entry '!$AC$1:$AC$1501,$J1553+1))-TRUNC(N(INDEX('Daily Sale entry '!$AC$1:$AC$1501,$J1553+1))),0),N(INDEX('Daily Sale entry '!$S$1:$S$1501,$J1553-1499))-'Opening Balance'!$B$15*(N(INDEX('Daily Sale entry '!$S$1:$S$1501,$J1553-1499))-TRUNC(N(INDEX('Daily Sale entry '!$S$1:$S$1501,$J1553-1499))))))</f>
        <v/>
      </c>
      <c r="G1553" s="6">
        <f>IF($J1553="","",IF($J1553&lt;=1500,N(INDEX('Daily Sale entry '!$AD$1:$AD$1501,$J1553+1)),0))</f>
        <v/>
      </c>
      <c r="H1553" s="6">
        <f>IF($J1553="","",ROUND('Opening Balance'!$B$4+SUM($F$2:F1553)-SUM($G$2:G1553),2))</f>
        <v/>
      </c>
      <c r="J1553" s="21">
        <f>IFERROR(MATCH(ROW()-1,$L$2:$L$3001,0),"")</f>
        <v/>
      </c>
      <c r="K1553" s="34">
        <f>IF(AND('Daily Sale entry '!Q53="Collection 收款",'Daily Sale entry '!R53="Cheque 支票",'Daily Sale entry '!V53&lt;&gt;""),'Daily Sale entry '!V53+ROW()/10000000,"")</f>
        <v/>
      </c>
      <c r="L1553" s="21">
        <f>IF(K1553="","",COUNTIF($K$2:$K$3001,"&lt;"&amp;K1553)+1)</f>
        <v/>
      </c>
    </row>
    <row r="1554">
      <c r="A1554" s="5">
        <f>IF($J1554="","",IF($J1554&lt;=1500,INDEX('Daily Sale entry '!$X$1:$X$1501,$J1554+1),INDEX('Daily Sale entry '!$V$1:$V$1501,$J1554-1499)))</f>
        <v/>
      </c>
      <c r="B1554">
        <f>IF($J1554="","",IF($J1554&lt;=1500,INDEX('Daily Sale entry '!$Y$1:$Y$1501,$J1554+1)&amp;"","Buyer cheque banked 买家支票存入"&amp;IF(INDEX('Daily Sale entry '!$U$1:$U$1501,$J1554-1499)="","", " - "&amp;INDEX('Daily Sale entry '!$U$1:$U$1501,$J1554-1499))))</f>
        <v/>
      </c>
      <c r="C1554">
        <f>IF($J1554="","",IF($J1554&lt;=1500,INDEX('Daily Sale entry '!$Z$1:$Z$1501,$J1554+1)&amp;"","Cheque deposit 支票存入 (buyer 买家)"))</f>
        <v/>
      </c>
      <c r="D1554">
        <f>IF($J1554="","",IF($J1554&lt;=1500,INDEX('Daily Sale entry '!$AA$1:$AA$1501,$J1554+1)&amp;"",INDEX('Daily Sale entry '!$P$1:$P$1501,$J1554-1499)&amp;""))</f>
        <v/>
      </c>
      <c r="E1554">
        <f>IF($J1554="","",IF($J1554&lt;=1500,IF(N(INDEX('Daily Sale entry '!$AB$1:$AB$1501,$J1554+1))=0,"",INDEX('Daily Sale entry '!$AB$1:$AB$1501,$J1554+1)),1))</f>
        <v/>
      </c>
      <c r="F1554" s="6">
        <f>IF($J1554="","",IF($J1554&lt;=1500,N(INDEX('Daily Sale entry '!$AC$1:$AC$1501,$J1554+1))-IF(AND('Opening Balance'!$B$15=1,INDEX('Daily Sale entry '!$Z$1:$Z$1501,$J1554+1)="Online collection 网上收款",INDEX('Daily Sale entry '!$AA$1:$AA$1501,$J1554+1)&lt;&gt;""),N(INDEX('Daily Sale entry '!$AC$1:$AC$1501,$J1554+1))-TRUNC(N(INDEX('Daily Sale entry '!$AC$1:$AC$1501,$J1554+1))),0),N(INDEX('Daily Sale entry '!$S$1:$S$1501,$J1554-1499))-'Opening Balance'!$B$15*(N(INDEX('Daily Sale entry '!$S$1:$S$1501,$J1554-1499))-TRUNC(N(INDEX('Daily Sale entry '!$S$1:$S$1501,$J1554-1499))))))</f>
        <v/>
      </c>
      <c r="G1554" s="6">
        <f>IF($J1554="","",IF($J1554&lt;=1500,N(INDEX('Daily Sale entry '!$AD$1:$AD$1501,$J1554+1)),0))</f>
        <v/>
      </c>
      <c r="H1554" s="6">
        <f>IF($J1554="","",ROUND('Opening Balance'!$B$4+SUM($F$2:F1554)-SUM($G$2:G1554),2))</f>
        <v/>
      </c>
      <c r="J1554" s="21">
        <f>IFERROR(MATCH(ROW()-1,$L$2:$L$3001,0),"")</f>
        <v/>
      </c>
      <c r="K1554" s="34">
        <f>IF(AND('Daily Sale entry '!Q54="Collection 收款",'Daily Sale entry '!R54="Cheque 支票",'Daily Sale entry '!V54&lt;&gt;""),'Daily Sale entry '!V54+ROW()/10000000,"")</f>
        <v/>
      </c>
      <c r="L1554" s="21">
        <f>IF(K1554="","",COUNTIF($K$2:$K$3001,"&lt;"&amp;K1554)+1)</f>
        <v/>
      </c>
    </row>
    <row r="1555">
      <c r="A1555" s="5">
        <f>IF($J1555="","",IF($J1555&lt;=1500,INDEX('Daily Sale entry '!$X$1:$X$1501,$J1555+1),INDEX('Daily Sale entry '!$V$1:$V$1501,$J1555-1499)))</f>
        <v/>
      </c>
      <c r="B1555">
        <f>IF($J1555="","",IF($J1555&lt;=1500,INDEX('Daily Sale entry '!$Y$1:$Y$1501,$J1555+1)&amp;"","Buyer cheque banked 买家支票存入"&amp;IF(INDEX('Daily Sale entry '!$U$1:$U$1501,$J1555-1499)="","", " - "&amp;INDEX('Daily Sale entry '!$U$1:$U$1501,$J1555-1499))))</f>
        <v/>
      </c>
      <c r="C1555">
        <f>IF($J1555="","",IF($J1555&lt;=1500,INDEX('Daily Sale entry '!$Z$1:$Z$1501,$J1555+1)&amp;"","Cheque deposit 支票存入 (buyer 买家)"))</f>
        <v/>
      </c>
      <c r="D1555">
        <f>IF($J1555="","",IF($J1555&lt;=1500,INDEX('Daily Sale entry '!$AA$1:$AA$1501,$J1555+1)&amp;"",INDEX('Daily Sale entry '!$P$1:$P$1501,$J1555-1499)&amp;""))</f>
        <v/>
      </c>
      <c r="E1555">
        <f>IF($J1555="","",IF($J1555&lt;=1500,IF(N(INDEX('Daily Sale entry '!$AB$1:$AB$1501,$J1555+1))=0,"",INDEX('Daily Sale entry '!$AB$1:$AB$1501,$J1555+1)),1))</f>
        <v/>
      </c>
      <c r="F1555" s="6">
        <f>IF($J1555="","",IF($J1555&lt;=1500,N(INDEX('Daily Sale entry '!$AC$1:$AC$1501,$J1555+1))-IF(AND('Opening Balance'!$B$15=1,INDEX('Daily Sale entry '!$Z$1:$Z$1501,$J1555+1)="Online collection 网上收款",INDEX('Daily Sale entry '!$AA$1:$AA$1501,$J1555+1)&lt;&gt;""),N(INDEX('Daily Sale entry '!$AC$1:$AC$1501,$J1555+1))-TRUNC(N(INDEX('Daily Sale entry '!$AC$1:$AC$1501,$J1555+1))),0),N(INDEX('Daily Sale entry '!$S$1:$S$1501,$J1555-1499))-'Opening Balance'!$B$15*(N(INDEX('Daily Sale entry '!$S$1:$S$1501,$J1555-1499))-TRUNC(N(INDEX('Daily Sale entry '!$S$1:$S$1501,$J1555-1499))))))</f>
        <v/>
      </c>
      <c r="G1555" s="6">
        <f>IF($J1555="","",IF($J1555&lt;=1500,N(INDEX('Daily Sale entry '!$AD$1:$AD$1501,$J1555+1)),0))</f>
        <v/>
      </c>
      <c r="H1555" s="6">
        <f>IF($J1555="","",ROUND('Opening Balance'!$B$4+SUM($F$2:F1555)-SUM($G$2:G1555),2))</f>
        <v/>
      </c>
      <c r="J1555" s="21">
        <f>IFERROR(MATCH(ROW()-1,$L$2:$L$3001,0),"")</f>
        <v/>
      </c>
      <c r="K1555" s="34">
        <f>IF(AND('Daily Sale entry '!Q55="Collection 收款",'Daily Sale entry '!R55="Cheque 支票",'Daily Sale entry '!V55&lt;&gt;""),'Daily Sale entry '!V55+ROW()/10000000,"")</f>
        <v/>
      </c>
      <c r="L1555" s="21">
        <f>IF(K1555="","",COUNTIF($K$2:$K$3001,"&lt;"&amp;K1555)+1)</f>
        <v/>
      </c>
    </row>
    <row r="1556">
      <c r="A1556" s="5">
        <f>IF($J1556="","",IF($J1556&lt;=1500,INDEX('Daily Sale entry '!$X$1:$X$1501,$J1556+1),INDEX('Daily Sale entry '!$V$1:$V$1501,$J1556-1499)))</f>
        <v/>
      </c>
      <c r="B1556">
        <f>IF($J1556="","",IF($J1556&lt;=1500,INDEX('Daily Sale entry '!$Y$1:$Y$1501,$J1556+1)&amp;"","Buyer cheque banked 买家支票存入"&amp;IF(INDEX('Daily Sale entry '!$U$1:$U$1501,$J1556-1499)="","", " - "&amp;INDEX('Daily Sale entry '!$U$1:$U$1501,$J1556-1499))))</f>
        <v/>
      </c>
      <c r="C1556">
        <f>IF($J1556="","",IF($J1556&lt;=1500,INDEX('Daily Sale entry '!$Z$1:$Z$1501,$J1556+1)&amp;"","Cheque deposit 支票存入 (buyer 买家)"))</f>
        <v/>
      </c>
      <c r="D1556">
        <f>IF($J1556="","",IF($J1556&lt;=1500,INDEX('Daily Sale entry '!$AA$1:$AA$1501,$J1556+1)&amp;"",INDEX('Daily Sale entry '!$P$1:$P$1501,$J1556-1499)&amp;""))</f>
        <v/>
      </c>
      <c r="E1556">
        <f>IF($J1556="","",IF($J1556&lt;=1500,IF(N(INDEX('Daily Sale entry '!$AB$1:$AB$1501,$J1556+1))=0,"",INDEX('Daily Sale entry '!$AB$1:$AB$1501,$J1556+1)),1))</f>
        <v/>
      </c>
      <c r="F1556" s="6">
        <f>IF($J1556="","",IF($J1556&lt;=1500,N(INDEX('Daily Sale entry '!$AC$1:$AC$1501,$J1556+1))-IF(AND('Opening Balance'!$B$15=1,INDEX('Daily Sale entry '!$Z$1:$Z$1501,$J1556+1)="Online collection 网上收款",INDEX('Daily Sale entry '!$AA$1:$AA$1501,$J1556+1)&lt;&gt;""),N(INDEX('Daily Sale entry '!$AC$1:$AC$1501,$J1556+1))-TRUNC(N(INDEX('Daily Sale entry '!$AC$1:$AC$1501,$J1556+1))),0),N(INDEX('Daily Sale entry '!$S$1:$S$1501,$J1556-1499))-'Opening Balance'!$B$15*(N(INDEX('Daily Sale entry '!$S$1:$S$1501,$J1556-1499))-TRUNC(N(INDEX('Daily Sale entry '!$S$1:$S$1501,$J1556-1499))))))</f>
        <v/>
      </c>
      <c r="G1556" s="6">
        <f>IF($J1556="","",IF($J1556&lt;=1500,N(INDEX('Daily Sale entry '!$AD$1:$AD$1501,$J1556+1)),0))</f>
        <v/>
      </c>
      <c r="H1556" s="6">
        <f>IF($J1556="","",ROUND('Opening Balance'!$B$4+SUM($F$2:F1556)-SUM($G$2:G1556),2))</f>
        <v/>
      </c>
      <c r="J1556" s="21">
        <f>IFERROR(MATCH(ROW()-1,$L$2:$L$3001,0),"")</f>
        <v/>
      </c>
      <c r="K1556" s="34">
        <f>IF(AND('Daily Sale entry '!Q56="Collection 收款",'Daily Sale entry '!R56="Cheque 支票",'Daily Sale entry '!V56&lt;&gt;""),'Daily Sale entry '!V56+ROW()/10000000,"")</f>
        <v/>
      </c>
      <c r="L1556" s="21">
        <f>IF(K1556="","",COUNTIF($K$2:$K$3001,"&lt;"&amp;K1556)+1)</f>
        <v/>
      </c>
    </row>
    <row r="1557">
      <c r="A1557" s="5">
        <f>IF($J1557="","",IF($J1557&lt;=1500,INDEX('Daily Sale entry '!$X$1:$X$1501,$J1557+1),INDEX('Daily Sale entry '!$V$1:$V$1501,$J1557-1499)))</f>
        <v/>
      </c>
      <c r="B1557">
        <f>IF($J1557="","",IF($J1557&lt;=1500,INDEX('Daily Sale entry '!$Y$1:$Y$1501,$J1557+1)&amp;"","Buyer cheque banked 买家支票存入"&amp;IF(INDEX('Daily Sale entry '!$U$1:$U$1501,$J1557-1499)="","", " - "&amp;INDEX('Daily Sale entry '!$U$1:$U$1501,$J1557-1499))))</f>
        <v/>
      </c>
      <c r="C1557">
        <f>IF($J1557="","",IF($J1557&lt;=1500,INDEX('Daily Sale entry '!$Z$1:$Z$1501,$J1557+1)&amp;"","Cheque deposit 支票存入 (buyer 买家)"))</f>
        <v/>
      </c>
      <c r="D1557">
        <f>IF($J1557="","",IF($J1557&lt;=1500,INDEX('Daily Sale entry '!$AA$1:$AA$1501,$J1557+1)&amp;"",INDEX('Daily Sale entry '!$P$1:$P$1501,$J1557-1499)&amp;""))</f>
        <v/>
      </c>
      <c r="E1557">
        <f>IF($J1557="","",IF($J1557&lt;=1500,IF(N(INDEX('Daily Sale entry '!$AB$1:$AB$1501,$J1557+1))=0,"",INDEX('Daily Sale entry '!$AB$1:$AB$1501,$J1557+1)),1))</f>
        <v/>
      </c>
      <c r="F1557" s="6">
        <f>IF($J1557="","",IF($J1557&lt;=1500,N(INDEX('Daily Sale entry '!$AC$1:$AC$1501,$J1557+1))-IF(AND('Opening Balance'!$B$15=1,INDEX('Daily Sale entry '!$Z$1:$Z$1501,$J1557+1)="Online collection 网上收款",INDEX('Daily Sale entry '!$AA$1:$AA$1501,$J1557+1)&lt;&gt;""),N(INDEX('Daily Sale entry '!$AC$1:$AC$1501,$J1557+1))-TRUNC(N(INDEX('Daily Sale entry '!$AC$1:$AC$1501,$J1557+1))),0),N(INDEX('Daily Sale entry '!$S$1:$S$1501,$J1557-1499))-'Opening Balance'!$B$15*(N(INDEX('Daily Sale entry '!$S$1:$S$1501,$J1557-1499))-TRUNC(N(INDEX('Daily Sale entry '!$S$1:$S$1501,$J1557-1499))))))</f>
        <v/>
      </c>
      <c r="G1557" s="6">
        <f>IF($J1557="","",IF($J1557&lt;=1500,N(INDEX('Daily Sale entry '!$AD$1:$AD$1501,$J1557+1)),0))</f>
        <v/>
      </c>
      <c r="H1557" s="6">
        <f>IF($J1557="","",ROUND('Opening Balance'!$B$4+SUM($F$2:F1557)-SUM($G$2:G1557),2))</f>
        <v/>
      </c>
      <c r="J1557" s="21">
        <f>IFERROR(MATCH(ROW()-1,$L$2:$L$3001,0),"")</f>
        <v/>
      </c>
      <c r="K1557" s="34">
        <f>IF(AND('Daily Sale entry '!Q57="Collection 收款",'Daily Sale entry '!R57="Cheque 支票",'Daily Sale entry '!V57&lt;&gt;""),'Daily Sale entry '!V57+ROW()/10000000,"")</f>
        <v/>
      </c>
      <c r="L1557" s="21">
        <f>IF(K1557="","",COUNTIF($K$2:$K$3001,"&lt;"&amp;K1557)+1)</f>
        <v/>
      </c>
    </row>
    <row r="1558">
      <c r="A1558" s="5">
        <f>IF($J1558="","",IF($J1558&lt;=1500,INDEX('Daily Sale entry '!$X$1:$X$1501,$J1558+1),INDEX('Daily Sale entry '!$V$1:$V$1501,$J1558-1499)))</f>
        <v/>
      </c>
      <c r="B1558">
        <f>IF($J1558="","",IF($J1558&lt;=1500,INDEX('Daily Sale entry '!$Y$1:$Y$1501,$J1558+1)&amp;"","Buyer cheque banked 买家支票存入"&amp;IF(INDEX('Daily Sale entry '!$U$1:$U$1501,$J1558-1499)="","", " - "&amp;INDEX('Daily Sale entry '!$U$1:$U$1501,$J1558-1499))))</f>
        <v/>
      </c>
      <c r="C1558">
        <f>IF($J1558="","",IF($J1558&lt;=1500,INDEX('Daily Sale entry '!$Z$1:$Z$1501,$J1558+1)&amp;"","Cheque deposit 支票存入 (buyer 买家)"))</f>
        <v/>
      </c>
      <c r="D1558">
        <f>IF($J1558="","",IF($J1558&lt;=1500,INDEX('Daily Sale entry '!$AA$1:$AA$1501,$J1558+1)&amp;"",INDEX('Daily Sale entry '!$P$1:$P$1501,$J1558-1499)&amp;""))</f>
        <v/>
      </c>
      <c r="E1558">
        <f>IF($J1558="","",IF($J1558&lt;=1500,IF(N(INDEX('Daily Sale entry '!$AB$1:$AB$1501,$J1558+1))=0,"",INDEX('Daily Sale entry '!$AB$1:$AB$1501,$J1558+1)),1))</f>
        <v/>
      </c>
      <c r="F1558" s="6">
        <f>IF($J1558="","",IF($J1558&lt;=1500,N(INDEX('Daily Sale entry '!$AC$1:$AC$1501,$J1558+1))-IF(AND('Opening Balance'!$B$15=1,INDEX('Daily Sale entry '!$Z$1:$Z$1501,$J1558+1)="Online collection 网上收款",INDEX('Daily Sale entry '!$AA$1:$AA$1501,$J1558+1)&lt;&gt;""),N(INDEX('Daily Sale entry '!$AC$1:$AC$1501,$J1558+1))-TRUNC(N(INDEX('Daily Sale entry '!$AC$1:$AC$1501,$J1558+1))),0),N(INDEX('Daily Sale entry '!$S$1:$S$1501,$J1558-1499))-'Opening Balance'!$B$15*(N(INDEX('Daily Sale entry '!$S$1:$S$1501,$J1558-1499))-TRUNC(N(INDEX('Daily Sale entry '!$S$1:$S$1501,$J1558-1499))))))</f>
        <v/>
      </c>
      <c r="G1558" s="6">
        <f>IF($J1558="","",IF($J1558&lt;=1500,N(INDEX('Daily Sale entry '!$AD$1:$AD$1501,$J1558+1)),0))</f>
        <v/>
      </c>
      <c r="H1558" s="6">
        <f>IF($J1558="","",ROUND('Opening Balance'!$B$4+SUM($F$2:F1558)-SUM($G$2:G1558),2))</f>
        <v/>
      </c>
      <c r="J1558" s="21">
        <f>IFERROR(MATCH(ROW()-1,$L$2:$L$3001,0),"")</f>
        <v/>
      </c>
      <c r="K1558" s="34">
        <f>IF(AND('Daily Sale entry '!Q58="Collection 收款",'Daily Sale entry '!R58="Cheque 支票",'Daily Sale entry '!V58&lt;&gt;""),'Daily Sale entry '!V58+ROW()/10000000,"")</f>
        <v/>
      </c>
      <c r="L1558" s="21">
        <f>IF(K1558="","",COUNTIF($K$2:$K$3001,"&lt;"&amp;K1558)+1)</f>
        <v/>
      </c>
    </row>
    <row r="1559">
      <c r="A1559" s="5">
        <f>IF($J1559="","",IF($J1559&lt;=1500,INDEX('Daily Sale entry '!$X$1:$X$1501,$J1559+1),INDEX('Daily Sale entry '!$V$1:$V$1501,$J1559-1499)))</f>
        <v/>
      </c>
      <c r="B1559">
        <f>IF($J1559="","",IF($J1559&lt;=1500,INDEX('Daily Sale entry '!$Y$1:$Y$1501,$J1559+1)&amp;"","Buyer cheque banked 买家支票存入"&amp;IF(INDEX('Daily Sale entry '!$U$1:$U$1501,$J1559-1499)="","", " - "&amp;INDEX('Daily Sale entry '!$U$1:$U$1501,$J1559-1499))))</f>
        <v/>
      </c>
      <c r="C1559">
        <f>IF($J1559="","",IF($J1559&lt;=1500,INDEX('Daily Sale entry '!$Z$1:$Z$1501,$J1559+1)&amp;"","Cheque deposit 支票存入 (buyer 买家)"))</f>
        <v/>
      </c>
      <c r="D1559">
        <f>IF($J1559="","",IF($J1559&lt;=1500,INDEX('Daily Sale entry '!$AA$1:$AA$1501,$J1559+1)&amp;"",INDEX('Daily Sale entry '!$P$1:$P$1501,$J1559-1499)&amp;""))</f>
        <v/>
      </c>
      <c r="E1559">
        <f>IF($J1559="","",IF($J1559&lt;=1500,IF(N(INDEX('Daily Sale entry '!$AB$1:$AB$1501,$J1559+1))=0,"",INDEX('Daily Sale entry '!$AB$1:$AB$1501,$J1559+1)),1))</f>
        <v/>
      </c>
      <c r="F1559" s="6">
        <f>IF($J1559="","",IF($J1559&lt;=1500,N(INDEX('Daily Sale entry '!$AC$1:$AC$1501,$J1559+1))-IF(AND('Opening Balance'!$B$15=1,INDEX('Daily Sale entry '!$Z$1:$Z$1501,$J1559+1)="Online collection 网上收款",INDEX('Daily Sale entry '!$AA$1:$AA$1501,$J1559+1)&lt;&gt;""),N(INDEX('Daily Sale entry '!$AC$1:$AC$1501,$J1559+1))-TRUNC(N(INDEX('Daily Sale entry '!$AC$1:$AC$1501,$J1559+1))),0),N(INDEX('Daily Sale entry '!$S$1:$S$1501,$J1559-1499))-'Opening Balance'!$B$15*(N(INDEX('Daily Sale entry '!$S$1:$S$1501,$J1559-1499))-TRUNC(N(INDEX('Daily Sale entry '!$S$1:$S$1501,$J1559-1499))))))</f>
        <v/>
      </c>
      <c r="G1559" s="6">
        <f>IF($J1559="","",IF($J1559&lt;=1500,N(INDEX('Daily Sale entry '!$AD$1:$AD$1501,$J1559+1)),0))</f>
        <v/>
      </c>
      <c r="H1559" s="6">
        <f>IF($J1559="","",ROUND('Opening Balance'!$B$4+SUM($F$2:F1559)-SUM($G$2:G1559),2))</f>
        <v/>
      </c>
      <c r="J1559" s="21">
        <f>IFERROR(MATCH(ROW()-1,$L$2:$L$3001,0),"")</f>
        <v/>
      </c>
      <c r="K1559" s="34">
        <f>IF(AND('Daily Sale entry '!Q59="Collection 收款",'Daily Sale entry '!R59="Cheque 支票",'Daily Sale entry '!V59&lt;&gt;""),'Daily Sale entry '!V59+ROW()/10000000,"")</f>
        <v/>
      </c>
      <c r="L1559" s="21">
        <f>IF(K1559="","",COUNTIF($K$2:$K$3001,"&lt;"&amp;K1559)+1)</f>
        <v/>
      </c>
    </row>
    <row r="1560">
      <c r="A1560" s="5">
        <f>IF($J1560="","",IF($J1560&lt;=1500,INDEX('Daily Sale entry '!$X$1:$X$1501,$J1560+1),INDEX('Daily Sale entry '!$V$1:$V$1501,$J1560-1499)))</f>
        <v/>
      </c>
      <c r="B1560">
        <f>IF($J1560="","",IF($J1560&lt;=1500,INDEX('Daily Sale entry '!$Y$1:$Y$1501,$J1560+1)&amp;"","Buyer cheque banked 买家支票存入"&amp;IF(INDEX('Daily Sale entry '!$U$1:$U$1501,$J1560-1499)="","", " - "&amp;INDEX('Daily Sale entry '!$U$1:$U$1501,$J1560-1499))))</f>
        <v/>
      </c>
      <c r="C1560">
        <f>IF($J1560="","",IF($J1560&lt;=1500,INDEX('Daily Sale entry '!$Z$1:$Z$1501,$J1560+1)&amp;"","Cheque deposit 支票存入 (buyer 买家)"))</f>
        <v/>
      </c>
      <c r="D1560">
        <f>IF($J1560="","",IF($J1560&lt;=1500,INDEX('Daily Sale entry '!$AA$1:$AA$1501,$J1560+1)&amp;"",INDEX('Daily Sale entry '!$P$1:$P$1501,$J1560-1499)&amp;""))</f>
        <v/>
      </c>
      <c r="E1560">
        <f>IF($J1560="","",IF($J1560&lt;=1500,IF(N(INDEX('Daily Sale entry '!$AB$1:$AB$1501,$J1560+1))=0,"",INDEX('Daily Sale entry '!$AB$1:$AB$1501,$J1560+1)),1))</f>
        <v/>
      </c>
      <c r="F1560" s="6">
        <f>IF($J1560="","",IF($J1560&lt;=1500,N(INDEX('Daily Sale entry '!$AC$1:$AC$1501,$J1560+1))-IF(AND('Opening Balance'!$B$15=1,INDEX('Daily Sale entry '!$Z$1:$Z$1501,$J1560+1)="Online collection 网上收款",INDEX('Daily Sale entry '!$AA$1:$AA$1501,$J1560+1)&lt;&gt;""),N(INDEX('Daily Sale entry '!$AC$1:$AC$1501,$J1560+1))-TRUNC(N(INDEX('Daily Sale entry '!$AC$1:$AC$1501,$J1560+1))),0),N(INDEX('Daily Sale entry '!$S$1:$S$1501,$J1560-1499))-'Opening Balance'!$B$15*(N(INDEX('Daily Sale entry '!$S$1:$S$1501,$J1560-1499))-TRUNC(N(INDEX('Daily Sale entry '!$S$1:$S$1501,$J1560-1499))))))</f>
        <v/>
      </c>
      <c r="G1560" s="6">
        <f>IF($J1560="","",IF($J1560&lt;=1500,N(INDEX('Daily Sale entry '!$AD$1:$AD$1501,$J1560+1)),0))</f>
        <v/>
      </c>
      <c r="H1560" s="6">
        <f>IF($J1560="","",ROUND('Opening Balance'!$B$4+SUM($F$2:F1560)-SUM($G$2:G1560),2))</f>
        <v/>
      </c>
      <c r="J1560" s="21">
        <f>IFERROR(MATCH(ROW()-1,$L$2:$L$3001,0),"")</f>
        <v/>
      </c>
      <c r="K1560" s="34">
        <f>IF(AND('Daily Sale entry '!Q60="Collection 收款",'Daily Sale entry '!R60="Cheque 支票",'Daily Sale entry '!V60&lt;&gt;""),'Daily Sale entry '!V60+ROW()/10000000,"")</f>
        <v/>
      </c>
      <c r="L1560" s="21">
        <f>IF(K1560="","",COUNTIF($K$2:$K$3001,"&lt;"&amp;K1560)+1)</f>
        <v/>
      </c>
    </row>
    <row r="1561">
      <c r="A1561" s="5">
        <f>IF($J1561="","",IF($J1561&lt;=1500,INDEX('Daily Sale entry '!$X$1:$X$1501,$J1561+1),INDEX('Daily Sale entry '!$V$1:$V$1501,$J1561-1499)))</f>
        <v/>
      </c>
      <c r="B1561">
        <f>IF($J1561="","",IF($J1561&lt;=1500,INDEX('Daily Sale entry '!$Y$1:$Y$1501,$J1561+1)&amp;"","Buyer cheque banked 买家支票存入"&amp;IF(INDEX('Daily Sale entry '!$U$1:$U$1501,$J1561-1499)="","", " - "&amp;INDEX('Daily Sale entry '!$U$1:$U$1501,$J1561-1499))))</f>
        <v/>
      </c>
      <c r="C1561">
        <f>IF($J1561="","",IF($J1561&lt;=1500,INDEX('Daily Sale entry '!$Z$1:$Z$1501,$J1561+1)&amp;"","Cheque deposit 支票存入 (buyer 买家)"))</f>
        <v/>
      </c>
      <c r="D1561">
        <f>IF($J1561="","",IF($J1561&lt;=1500,INDEX('Daily Sale entry '!$AA$1:$AA$1501,$J1561+1)&amp;"",INDEX('Daily Sale entry '!$P$1:$P$1501,$J1561-1499)&amp;""))</f>
        <v/>
      </c>
      <c r="E1561">
        <f>IF($J1561="","",IF($J1561&lt;=1500,IF(N(INDEX('Daily Sale entry '!$AB$1:$AB$1501,$J1561+1))=0,"",INDEX('Daily Sale entry '!$AB$1:$AB$1501,$J1561+1)),1))</f>
        <v/>
      </c>
      <c r="F1561" s="6">
        <f>IF($J1561="","",IF($J1561&lt;=1500,N(INDEX('Daily Sale entry '!$AC$1:$AC$1501,$J1561+1))-IF(AND('Opening Balance'!$B$15=1,INDEX('Daily Sale entry '!$Z$1:$Z$1501,$J1561+1)="Online collection 网上收款",INDEX('Daily Sale entry '!$AA$1:$AA$1501,$J1561+1)&lt;&gt;""),N(INDEX('Daily Sale entry '!$AC$1:$AC$1501,$J1561+1))-TRUNC(N(INDEX('Daily Sale entry '!$AC$1:$AC$1501,$J1561+1))),0),N(INDEX('Daily Sale entry '!$S$1:$S$1501,$J1561-1499))-'Opening Balance'!$B$15*(N(INDEX('Daily Sale entry '!$S$1:$S$1501,$J1561-1499))-TRUNC(N(INDEX('Daily Sale entry '!$S$1:$S$1501,$J1561-1499))))))</f>
        <v/>
      </c>
      <c r="G1561" s="6">
        <f>IF($J1561="","",IF($J1561&lt;=1500,N(INDEX('Daily Sale entry '!$AD$1:$AD$1501,$J1561+1)),0))</f>
        <v/>
      </c>
      <c r="H1561" s="6">
        <f>IF($J1561="","",ROUND('Opening Balance'!$B$4+SUM($F$2:F1561)-SUM($G$2:G1561),2))</f>
        <v/>
      </c>
      <c r="J1561" s="21">
        <f>IFERROR(MATCH(ROW()-1,$L$2:$L$3001,0),"")</f>
        <v/>
      </c>
      <c r="K1561" s="34">
        <f>IF(AND('Daily Sale entry '!Q61="Collection 收款",'Daily Sale entry '!R61="Cheque 支票",'Daily Sale entry '!V61&lt;&gt;""),'Daily Sale entry '!V61+ROW()/10000000,"")</f>
        <v/>
      </c>
      <c r="L1561" s="21">
        <f>IF(K1561="","",COUNTIF($K$2:$K$3001,"&lt;"&amp;K1561)+1)</f>
        <v/>
      </c>
    </row>
    <row r="1562">
      <c r="A1562" s="5">
        <f>IF($J1562="","",IF($J1562&lt;=1500,INDEX('Daily Sale entry '!$X$1:$X$1501,$J1562+1),INDEX('Daily Sale entry '!$V$1:$V$1501,$J1562-1499)))</f>
        <v/>
      </c>
      <c r="B1562">
        <f>IF($J1562="","",IF($J1562&lt;=1500,INDEX('Daily Sale entry '!$Y$1:$Y$1501,$J1562+1)&amp;"","Buyer cheque banked 买家支票存入"&amp;IF(INDEX('Daily Sale entry '!$U$1:$U$1501,$J1562-1499)="","", " - "&amp;INDEX('Daily Sale entry '!$U$1:$U$1501,$J1562-1499))))</f>
        <v/>
      </c>
      <c r="C1562">
        <f>IF($J1562="","",IF($J1562&lt;=1500,INDEX('Daily Sale entry '!$Z$1:$Z$1501,$J1562+1)&amp;"","Cheque deposit 支票存入 (buyer 买家)"))</f>
        <v/>
      </c>
      <c r="D1562">
        <f>IF($J1562="","",IF($J1562&lt;=1500,INDEX('Daily Sale entry '!$AA$1:$AA$1501,$J1562+1)&amp;"",INDEX('Daily Sale entry '!$P$1:$P$1501,$J1562-1499)&amp;""))</f>
        <v/>
      </c>
      <c r="E1562">
        <f>IF($J1562="","",IF($J1562&lt;=1500,IF(N(INDEX('Daily Sale entry '!$AB$1:$AB$1501,$J1562+1))=0,"",INDEX('Daily Sale entry '!$AB$1:$AB$1501,$J1562+1)),1))</f>
        <v/>
      </c>
      <c r="F1562" s="6">
        <f>IF($J1562="","",IF($J1562&lt;=1500,N(INDEX('Daily Sale entry '!$AC$1:$AC$1501,$J1562+1))-IF(AND('Opening Balance'!$B$15=1,INDEX('Daily Sale entry '!$Z$1:$Z$1501,$J1562+1)="Online collection 网上收款",INDEX('Daily Sale entry '!$AA$1:$AA$1501,$J1562+1)&lt;&gt;""),N(INDEX('Daily Sale entry '!$AC$1:$AC$1501,$J1562+1))-TRUNC(N(INDEX('Daily Sale entry '!$AC$1:$AC$1501,$J1562+1))),0),N(INDEX('Daily Sale entry '!$S$1:$S$1501,$J1562-1499))-'Opening Balance'!$B$15*(N(INDEX('Daily Sale entry '!$S$1:$S$1501,$J1562-1499))-TRUNC(N(INDEX('Daily Sale entry '!$S$1:$S$1501,$J1562-1499))))))</f>
        <v/>
      </c>
      <c r="G1562" s="6">
        <f>IF($J1562="","",IF($J1562&lt;=1500,N(INDEX('Daily Sale entry '!$AD$1:$AD$1501,$J1562+1)),0))</f>
        <v/>
      </c>
      <c r="H1562" s="6">
        <f>IF($J1562="","",ROUND('Opening Balance'!$B$4+SUM($F$2:F1562)-SUM($G$2:G1562),2))</f>
        <v/>
      </c>
      <c r="J1562" s="21">
        <f>IFERROR(MATCH(ROW()-1,$L$2:$L$3001,0),"")</f>
        <v/>
      </c>
      <c r="K1562" s="34">
        <f>IF(AND('Daily Sale entry '!Q62="Collection 收款",'Daily Sale entry '!R62="Cheque 支票",'Daily Sale entry '!V62&lt;&gt;""),'Daily Sale entry '!V62+ROW()/10000000,"")</f>
        <v/>
      </c>
      <c r="L1562" s="21">
        <f>IF(K1562="","",COUNTIF($K$2:$K$3001,"&lt;"&amp;K1562)+1)</f>
        <v/>
      </c>
    </row>
    <row r="1563">
      <c r="A1563" s="5">
        <f>IF($J1563="","",IF($J1563&lt;=1500,INDEX('Daily Sale entry '!$X$1:$X$1501,$J1563+1),INDEX('Daily Sale entry '!$V$1:$V$1501,$J1563-1499)))</f>
        <v/>
      </c>
      <c r="B1563">
        <f>IF($J1563="","",IF($J1563&lt;=1500,INDEX('Daily Sale entry '!$Y$1:$Y$1501,$J1563+1)&amp;"","Buyer cheque banked 买家支票存入"&amp;IF(INDEX('Daily Sale entry '!$U$1:$U$1501,$J1563-1499)="","", " - "&amp;INDEX('Daily Sale entry '!$U$1:$U$1501,$J1563-1499))))</f>
        <v/>
      </c>
      <c r="C1563">
        <f>IF($J1563="","",IF($J1563&lt;=1500,INDEX('Daily Sale entry '!$Z$1:$Z$1501,$J1563+1)&amp;"","Cheque deposit 支票存入 (buyer 买家)"))</f>
        <v/>
      </c>
      <c r="D1563">
        <f>IF($J1563="","",IF($J1563&lt;=1500,INDEX('Daily Sale entry '!$AA$1:$AA$1501,$J1563+1)&amp;"",INDEX('Daily Sale entry '!$P$1:$P$1501,$J1563-1499)&amp;""))</f>
        <v/>
      </c>
      <c r="E1563">
        <f>IF($J1563="","",IF($J1563&lt;=1500,IF(N(INDEX('Daily Sale entry '!$AB$1:$AB$1501,$J1563+1))=0,"",INDEX('Daily Sale entry '!$AB$1:$AB$1501,$J1563+1)),1))</f>
        <v/>
      </c>
      <c r="F1563" s="6">
        <f>IF($J1563="","",IF($J1563&lt;=1500,N(INDEX('Daily Sale entry '!$AC$1:$AC$1501,$J1563+1))-IF(AND('Opening Balance'!$B$15=1,INDEX('Daily Sale entry '!$Z$1:$Z$1501,$J1563+1)="Online collection 网上收款",INDEX('Daily Sale entry '!$AA$1:$AA$1501,$J1563+1)&lt;&gt;""),N(INDEX('Daily Sale entry '!$AC$1:$AC$1501,$J1563+1))-TRUNC(N(INDEX('Daily Sale entry '!$AC$1:$AC$1501,$J1563+1))),0),N(INDEX('Daily Sale entry '!$S$1:$S$1501,$J1563-1499))-'Opening Balance'!$B$15*(N(INDEX('Daily Sale entry '!$S$1:$S$1501,$J1563-1499))-TRUNC(N(INDEX('Daily Sale entry '!$S$1:$S$1501,$J1563-1499))))))</f>
        <v/>
      </c>
      <c r="G1563" s="6">
        <f>IF($J1563="","",IF($J1563&lt;=1500,N(INDEX('Daily Sale entry '!$AD$1:$AD$1501,$J1563+1)),0))</f>
        <v/>
      </c>
      <c r="H1563" s="6">
        <f>IF($J1563="","",ROUND('Opening Balance'!$B$4+SUM($F$2:F1563)-SUM($G$2:G1563),2))</f>
        <v/>
      </c>
      <c r="J1563" s="21">
        <f>IFERROR(MATCH(ROW()-1,$L$2:$L$3001,0),"")</f>
        <v/>
      </c>
      <c r="K1563" s="34">
        <f>IF(AND('Daily Sale entry '!Q63="Collection 收款",'Daily Sale entry '!R63="Cheque 支票",'Daily Sale entry '!V63&lt;&gt;""),'Daily Sale entry '!V63+ROW()/10000000,"")</f>
        <v/>
      </c>
      <c r="L1563" s="21">
        <f>IF(K1563="","",COUNTIF($K$2:$K$3001,"&lt;"&amp;K1563)+1)</f>
        <v/>
      </c>
    </row>
    <row r="1564">
      <c r="A1564" s="5">
        <f>IF($J1564="","",IF($J1564&lt;=1500,INDEX('Daily Sale entry '!$X$1:$X$1501,$J1564+1),INDEX('Daily Sale entry '!$V$1:$V$1501,$J1564-1499)))</f>
        <v/>
      </c>
      <c r="B1564">
        <f>IF($J1564="","",IF($J1564&lt;=1500,INDEX('Daily Sale entry '!$Y$1:$Y$1501,$J1564+1)&amp;"","Buyer cheque banked 买家支票存入"&amp;IF(INDEX('Daily Sale entry '!$U$1:$U$1501,$J1564-1499)="","", " - "&amp;INDEX('Daily Sale entry '!$U$1:$U$1501,$J1564-1499))))</f>
        <v/>
      </c>
      <c r="C1564">
        <f>IF($J1564="","",IF($J1564&lt;=1500,INDEX('Daily Sale entry '!$Z$1:$Z$1501,$J1564+1)&amp;"","Cheque deposit 支票存入 (buyer 买家)"))</f>
        <v/>
      </c>
      <c r="D1564">
        <f>IF($J1564="","",IF($J1564&lt;=1500,INDEX('Daily Sale entry '!$AA$1:$AA$1501,$J1564+1)&amp;"",INDEX('Daily Sale entry '!$P$1:$P$1501,$J1564-1499)&amp;""))</f>
        <v/>
      </c>
      <c r="E1564">
        <f>IF($J1564="","",IF($J1564&lt;=1500,IF(N(INDEX('Daily Sale entry '!$AB$1:$AB$1501,$J1564+1))=0,"",INDEX('Daily Sale entry '!$AB$1:$AB$1501,$J1564+1)),1))</f>
        <v/>
      </c>
      <c r="F1564" s="6">
        <f>IF($J1564="","",IF($J1564&lt;=1500,N(INDEX('Daily Sale entry '!$AC$1:$AC$1501,$J1564+1))-IF(AND('Opening Balance'!$B$15=1,INDEX('Daily Sale entry '!$Z$1:$Z$1501,$J1564+1)="Online collection 网上收款",INDEX('Daily Sale entry '!$AA$1:$AA$1501,$J1564+1)&lt;&gt;""),N(INDEX('Daily Sale entry '!$AC$1:$AC$1501,$J1564+1))-TRUNC(N(INDEX('Daily Sale entry '!$AC$1:$AC$1501,$J1564+1))),0),N(INDEX('Daily Sale entry '!$S$1:$S$1501,$J1564-1499))-'Opening Balance'!$B$15*(N(INDEX('Daily Sale entry '!$S$1:$S$1501,$J1564-1499))-TRUNC(N(INDEX('Daily Sale entry '!$S$1:$S$1501,$J1564-1499))))))</f>
        <v/>
      </c>
      <c r="G1564" s="6">
        <f>IF($J1564="","",IF($J1564&lt;=1500,N(INDEX('Daily Sale entry '!$AD$1:$AD$1501,$J1564+1)),0))</f>
        <v/>
      </c>
      <c r="H1564" s="6">
        <f>IF($J1564="","",ROUND('Opening Balance'!$B$4+SUM($F$2:F1564)-SUM($G$2:G1564),2))</f>
        <v/>
      </c>
      <c r="J1564" s="21">
        <f>IFERROR(MATCH(ROW()-1,$L$2:$L$3001,0),"")</f>
        <v/>
      </c>
      <c r="K1564" s="34">
        <f>IF(AND('Daily Sale entry '!Q64="Collection 收款",'Daily Sale entry '!R64="Cheque 支票",'Daily Sale entry '!V64&lt;&gt;""),'Daily Sale entry '!V64+ROW()/10000000,"")</f>
        <v/>
      </c>
      <c r="L1564" s="21">
        <f>IF(K1564="","",COUNTIF($K$2:$K$3001,"&lt;"&amp;K1564)+1)</f>
        <v/>
      </c>
    </row>
    <row r="1565">
      <c r="A1565" s="5">
        <f>IF($J1565="","",IF($J1565&lt;=1500,INDEX('Daily Sale entry '!$X$1:$X$1501,$J1565+1),INDEX('Daily Sale entry '!$V$1:$V$1501,$J1565-1499)))</f>
        <v/>
      </c>
      <c r="B1565">
        <f>IF($J1565="","",IF($J1565&lt;=1500,INDEX('Daily Sale entry '!$Y$1:$Y$1501,$J1565+1)&amp;"","Buyer cheque banked 买家支票存入"&amp;IF(INDEX('Daily Sale entry '!$U$1:$U$1501,$J1565-1499)="","", " - "&amp;INDEX('Daily Sale entry '!$U$1:$U$1501,$J1565-1499))))</f>
        <v/>
      </c>
      <c r="C1565">
        <f>IF($J1565="","",IF($J1565&lt;=1500,INDEX('Daily Sale entry '!$Z$1:$Z$1501,$J1565+1)&amp;"","Cheque deposit 支票存入 (buyer 买家)"))</f>
        <v/>
      </c>
      <c r="D1565">
        <f>IF($J1565="","",IF($J1565&lt;=1500,INDEX('Daily Sale entry '!$AA$1:$AA$1501,$J1565+1)&amp;"",INDEX('Daily Sale entry '!$P$1:$P$1501,$J1565-1499)&amp;""))</f>
        <v/>
      </c>
      <c r="E1565">
        <f>IF($J1565="","",IF($J1565&lt;=1500,IF(N(INDEX('Daily Sale entry '!$AB$1:$AB$1501,$J1565+1))=0,"",INDEX('Daily Sale entry '!$AB$1:$AB$1501,$J1565+1)),1))</f>
        <v/>
      </c>
      <c r="F1565" s="6">
        <f>IF($J1565="","",IF($J1565&lt;=1500,N(INDEX('Daily Sale entry '!$AC$1:$AC$1501,$J1565+1))-IF(AND('Opening Balance'!$B$15=1,INDEX('Daily Sale entry '!$Z$1:$Z$1501,$J1565+1)="Online collection 网上收款",INDEX('Daily Sale entry '!$AA$1:$AA$1501,$J1565+1)&lt;&gt;""),N(INDEX('Daily Sale entry '!$AC$1:$AC$1501,$J1565+1))-TRUNC(N(INDEX('Daily Sale entry '!$AC$1:$AC$1501,$J1565+1))),0),N(INDEX('Daily Sale entry '!$S$1:$S$1501,$J1565-1499))-'Opening Balance'!$B$15*(N(INDEX('Daily Sale entry '!$S$1:$S$1501,$J1565-1499))-TRUNC(N(INDEX('Daily Sale entry '!$S$1:$S$1501,$J1565-1499))))))</f>
        <v/>
      </c>
      <c r="G1565" s="6">
        <f>IF($J1565="","",IF($J1565&lt;=1500,N(INDEX('Daily Sale entry '!$AD$1:$AD$1501,$J1565+1)),0))</f>
        <v/>
      </c>
      <c r="H1565" s="6">
        <f>IF($J1565="","",ROUND('Opening Balance'!$B$4+SUM($F$2:F1565)-SUM($G$2:G1565),2))</f>
        <v/>
      </c>
      <c r="J1565" s="21">
        <f>IFERROR(MATCH(ROW()-1,$L$2:$L$3001,0),"")</f>
        <v/>
      </c>
      <c r="K1565" s="34">
        <f>IF(AND('Daily Sale entry '!Q65="Collection 收款",'Daily Sale entry '!R65="Cheque 支票",'Daily Sale entry '!V65&lt;&gt;""),'Daily Sale entry '!V65+ROW()/10000000,"")</f>
        <v/>
      </c>
      <c r="L1565" s="21">
        <f>IF(K1565="","",COUNTIF($K$2:$K$3001,"&lt;"&amp;K1565)+1)</f>
        <v/>
      </c>
    </row>
    <row r="1566">
      <c r="A1566" s="5">
        <f>IF($J1566="","",IF($J1566&lt;=1500,INDEX('Daily Sale entry '!$X$1:$X$1501,$J1566+1),INDEX('Daily Sale entry '!$V$1:$V$1501,$J1566-1499)))</f>
        <v/>
      </c>
      <c r="B1566">
        <f>IF($J1566="","",IF($J1566&lt;=1500,INDEX('Daily Sale entry '!$Y$1:$Y$1501,$J1566+1)&amp;"","Buyer cheque banked 买家支票存入"&amp;IF(INDEX('Daily Sale entry '!$U$1:$U$1501,$J1566-1499)="","", " - "&amp;INDEX('Daily Sale entry '!$U$1:$U$1501,$J1566-1499))))</f>
        <v/>
      </c>
      <c r="C1566">
        <f>IF($J1566="","",IF($J1566&lt;=1500,INDEX('Daily Sale entry '!$Z$1:$Z$1501,$J1566+1)&amp;"","Cheque deposit 支票存入 (buyer 买家)"))</f>
        <v/>
      </c>
      <c r="D1566">
        <f>IF($J1566="","",IF($J1566&lt;=1500,INDEX('Daily Sale entry '!$AA$1:$AA$1501,$J1566+1)&amp;"",INDEX('Daily Sale entry '!$P$1:$P$1501,$J1566-1499)&amp;""))</f>
        <v/>
      </c>
      <c r="E1566">
        <f>IF($J1566="","",IF($J1566&lt;=1500,IF(N(INDEX('Daily Sale entry '!$AB$1:$AB$1501,$J1566+1))=0,"",INDEX('Daily Sale entry '!$AB$1:$AB$1501,$J1566+1)),1))</f>
        <v/>
      </c>
      <c r="F1566" s="6">
        <f>IF($J1566="","",IF($J1566&lt;=1500,N(INDEX('Daily Sale entry '!$AC$1:$AC$1501,$J1566+1))-IF(AND('Opening Balance'!$B$15=1,INDEX('Daily Sale entry '!$Z$1:$Z$1501,$J1566+1)="Online collection 网上收款",INDEX('Daily Sale entry '!$AA$1:$AA$1501,$J1566+1)&lt;&gt;""),N(INDEX('Daily Sale entry '!$AC$1:$AC$1501,$J1566+1))-TRUNC(N(INDEX('Daily Sale entry '!$AC$1:$AC$1501,$J1566+1))),0),N(INDEX('Daily Sale entry '!$S$1:$S$1501,$J1566-1499))-'Opening Balance'!$B$15*(N(INDEX('Daily Sale entry '!$S$1:$S$1501,$J1566-1499))-TRUNC(N(INDEX('Daily Sale entry '!$S$1:$S$1501,$J1566-1499))))))</f>
        <v/>
      </c>
      <c r="G1566" s="6">
        <f>IF($J1566="","",IF($J1566&lt;=1500,N(INDEX('Daily Sale entry '!$AD$1:$AD$1501,$J1566+1)),0))</f>
        <v/>
      </c>
      <c r="H1566" s="6">
        <f>IF($J1566="","",ROUND('Opening Balance'!$B$4+SUM($F$2:F1566)-SUM($G$2:G1566),2))</f>
        <v/>
      </c>
      <c r="J1566" s="21">
        <f>IFERROR(MATCH(ROW()-1,$L$2:$L$3001,0),"")</f>
        <v/>
      </c>
      <c r="K1566" s="34">
        <f>IF(AND('Daily Sale entry '!Q66="Collection 收款",'Daily Sale entry '!R66="Cheque 支票",'Daily Sale entry '!V66&lt;&gt;""),'Daily Sale entry '!V66+ROW()/10000000,"")</f>
        <v/>
      </c>
      <c r="L1566" s="21">
        <f>IF(K1566="","",COUNTIF($K$2:$K$3001,"&lt;"&amp;K1566)+1)</f>
        <v/>
      </c>
    </row>
    <row r="1567">
      <c r="A1567" s="5">
        <f>IF($J1567="","",IF($J1567&lt;=1500,INDEX('Daily Sale entry '!$X$1:$X$1501,$J1567+1),INDEX('Daily Sale entry '!$V$1:$V$1501,$J1567-1499)))</f>
        <v/>
      </c>
      <c r="B1567">
        <f>IF($J1567="","",IF($J1567&lt;=1500,INDEX('Daily Sale entry '!$Y$1:$Y$1501,$J1567+1)&amp;"","Buyer cheque banked 买家支票存入"&amp;IF(INDEX('Daily Sale entry '!$U$1:$U$1501,$J1567-1499)="","", " - "&amp;INDEX('Daily Sale entry '!$U$1:$U$1501,$J1567-1499))))</f>
        <v/>
      </c>
      <c r="C1567">
        <f>IF($J1567="","",IF($J1567&lt;=1500,INDEX('Daily Sale entry '!$Z$1:$Z$1501,$J1567+1)&amp;"","Cheque deposit 支票存入 (buyer 买家)"))</f>
        <v/>
      </c>
      <c r="D1567">
        <f>IF($J1567="","",IF($J1567&lt;=1500,INDEX('Daily Sale entry '!$AA$1:$AA$1501,$J1567+1)&amp;"",INDEX('Daily Sale entry '!$P$1:$P$1501,$J1567-1499)&amp;""))</f>
        <v/>
      </c>
      <c r="E1567">
        <f>IF($J1567="","",IF($J1567&lt;=1500,IF(N(INDEX('Daily Sale entry '!$AB$1:$AB$1501,$J1567+1))=0,"",INDEX('Daily Sale entry '!$AB$1:$AB$1501,$J1567+1)),1))</f>
        <v/>
      </c>
      <c r="F1567" s="6">
        <f>IF($J1567="","",IF($J1567&lt;=1500,N(INDEX('Daily Sale entry '!$AC$1:$AC$1501,$J1567+1))-IF(AND('Opening Balance'!$B$15=1,INDEX('Daily Sale entry '!$Z$1:$Z$1501,$J1567+1)="Online collection 网上收款",INDEX('Daily Sale entry '!$AA$1:$AA$1501,$J1567+1)&lt;&gt;""),N(INDEX('Daily Sale entry '!$AC$1:$AC$1501,$J1567+1))-TRUNC(N(INDEX('Daily Sale entry '!$AC$1:$AC$1501,$J1567+1))),0),N(INDEX('Daily Sale entry '!$S$1:$S$1501,$J1567-1499))-'Opening Balance'!$B$15*(N(INDEX('Daily Sale entry '!$S$1:$S$1501,$J1567-1499))-TRUNC(N(INDEX('Daily Sale entry '!$S$1:$S$1501,$J1567-1499))))))</f>
        <v/>
      </c>
      <c r="G1567" s="6">
        <f>IF($J1567="","",IF($J1567&lt;=1500,N(INDEX('Daily Sale entry '!$AD$1:$AD$1501,$J1567+1)),0))</f>
        <v/>
      </c>
      <c r="H1567" s="6">
        <f>IF($J1567="","",ROUND('Opening Balance'!$B$4+SUM($F$2:F1567)-SUM($G$2:G1567),2))</f>
        <v/>
      </c>
      <c r="J1567" s="21">
        <f>IFERROR(MATCH(ROW()-1,$L$2:$L$3001,0),"")</f>
        <v/>
      </c>
      <c r="K1567" s="34">
        <f>IF(AND('Daily Sale entry '!Q67="Collection 收款",'Daily Sale entry '!R67="Cheque 支票",'Daily Sale entry '!V67&lt;&gt;""),'Daily Sale entry '!V67+ROW()/10000000,"")</f>
        <v/>
      </c>
      <c r="L1567" s="21">
        <f>IF(K1567="","",COUNTIF($K$2:$K$3001,"&lt;"&amp;K1567)+1)</f>
        <v/>
      </c>
    </row>
    <row r="1568">
      <c r="A1568" s="5">
        <f>IF($J1568="","",IF($J1568&lt;=1500,INDEX('Daily Sale entry '!$X$1:$X$1501,$J1568+1),INDEX('Daily Sale entry '!$V$1:$V$1501,$J1568-1499)))</f>
        <v/>
      </c>
      <c r="B1568">
        <f>IF($J1568="","",IF($J1568&lt;=1500,INDEX('Daily Sale entry '!$Y$1:$Y$1501,$J1568+1)&amp;"","Buyer cheque banked 买家支票存入"&amp;IF(INDEX('Daily Sale entry '!$U$1:$U$1501,$J1568-1499)="","", " - "&amp;INDEX('Daily Sale entry '!$U$1:$U$1501,$J1568-1499))))</f>
        <v/>
      </c>
      <c r="C1568">
        <f>IF($J1568="","",IF($J1568&lt;=1500,INDEX('Daily Sale entry '!$Z$1:$Z$1501,$J1568+1)&amp;"","Cheque deposit 支票存入 (buyer 买家)"))</f>
        <v/>
      </c>
      <c r="D1568">
        <f>IF($J1568="","",IF($J1568&lt;=1500,INDEX('Daily Sale entry '!$AA$1:$AA$1501,$J1568+1)&amp;"",INDEX('Daily Sale entry '!$P$1:$P$1501,$J1568-1499)&amp;""))</f>
        <v/>
      </c>
      <c r="E1568">
        <f>IF($J1568="","",IF($J1568&lt;=1500,IF(N(INDEX('Daily Sale entry '!$AB$1:$AB$1501,$J1568+1))=0,"",INDEX('Daily Sale entry '!$AB$1:$AB$1501,$J1568+1)),1))</f>
        <v/>
      </c>
      <c r="F1568" s="6">
        <f>IF($J1568="","",IF($J1568&lt;=1500,N(INDEX('Daily Sale entry '!$AC$1:$AC$1501,$J1568+1))-IF(AND('Opening Balance'!$B$15=1,INDEX('Daily Sale entry '!$Z$1:$Z$1501,$J1568+1)="Online collection 网上收款",INDEX('Daily Sale entry '!$AA$1:$AA$1501,$J1568+1)&lt;&gt;""),N(INDEX('Daily Sale entry '!$AC$1:$AC$1501,$J1568+1))-TRUNC(N(INDEX('Daily Sale entry '!$AC$1:$AC$1501,$J1568+1))),0),N(INDEX('Daily Sale entry '!$S$1:$S$1501,$J1568-1499))-'Opening Balance'!$B$15*(N(INDEX('Daily Sale entry '!$S$1:$S$1501,$J1568-1499))-TRUNC(N(INDEX('Daily Sale entry '!$S$1:$S$1501,$J1568-1499))))))</f>
        <v/>
      </c>
      <c r="G1568" s="6">
        <f>IF($J1568="","",IF($J1568&lt;=1500,N(INDEX('Daily Sale entry '!$AD$1:$AD$1501,$J1568+1)),0))</f>
        <v/>
      </c>
      <c r="H1568" s="6">
        <f>IF($J1568="","",ROUND('Opening Balance'!$B$4+SUM($F$2:F1568)-SUM($G$2:G1568),2))</f>
        <v/>
      </c>
      <c r="J1568" s="21">
        <f>IFERROR(MATCH(ROW()-1,$L$2:$L$3001,0),"")</f>
        <v/>
      </c>
      <c r="K1568" s="34">
        <f>IF(AND('Daily Sale entry '!Q68="Collection 收款",'Daily Sale entry '!R68="Cheque 支票",'Daily Sale entry '!V68&lt;&gt;""),'Daily Sale entry '!V68+ROW()/10000000,"")</f>
        <v/>
      </c>
      <c r="L1568" s="21">
        <f>IF(K1568="","",COUNTIF($K$2:$K$3001,"&lt;"&amp;K1568)+1)</f>
        <v/>
      </c>
    </row>
    <row r="1569">
      <c r="A1569" s="5">
        <f>IF($J1569="","",IF($J1569&lt;=1500,INDEX('Daily Sale entry '!$X$1:$X$1501,$J1569+1),INDEX('Daily Sale entry '!$V$1:$V$1501,$J1569-1499)))</f>
        <v/>
      </c>
      <c r="B1569">
        <f>IF($J1569="","",IF($J1569&lt;=1500,INDEX('Daily Sale entry '!$Y$1:$Y$1501,$J1569+1)&amp;"","Buyer cheque banked 买家支票存入"&amp;IF(INDEX('Daily Sale entry '!$U$1:$U$1501,$J1569-1499)="","", " - "&amp;INDEX('Daily Sale entry '!$U$1:$U$1501,$J1569-1499))))</f>
        <v/>
      </c>
      <c r="C1569">
        <f>IF($J1569="","",IF($J1569&lt;=1500,INDEX('Daily Sale entry '!$Z$1:$Z$1501,$J1569+1)&amp;"","Cheque deposit 支票存入 (buyer 买家)"))</f>
        <v/>
      </c>
      <c r="D1569">
        <f>IF($J1569="","",IF($J1569&lt;=1500,INDEX('Daily Sale entry '!$AA$1:$AA$1501,$J1569+1)&amp;"",INDEX('Daily Sale entry '!$P$1:$P$1501,$J1569-1499)&amp;""))</f>
        <v/>
      </c>
      <c r="E1569">
        <f>IF($J1569="","",IF($J1569&lt;=1500,IF(N(INDEX('Daily Sale entry '!$AB$1:$AB$1501,$J1569+1))=0,"",INDEX('Daily Sale entry '!$AB$1:$AB$1501,$J1569+1)),1))</f>
        <v/>
      </c>
      <c r="F1569" s="6">
        <f>IF($J1569="","",IF($J1569&lt;=1500,N(INDEX('Daily Sale entry '!$AC$1:$AC$1501,$J1569+1))-IF(AND('Opening Balance'!$B$15=1,INDEX('Daily Sale entry '!$Z$1:$Z$1501,$J1569+1)="Online collection 网上收款",INDEX('Daily Sale entry '!$AA$1:$AA$1501,$J1569+1)&lt;&gt;""),N(INDEX('Daily Sale entry '!$AC$1:$AC$1501,$J1569+1))-TRUNC(N(INDEX('Daily Sale entry '!$AC$1:$AC$1501,$J1569+1))),0),N(INDEX('Daily Sale entry '!$S$1:$S$1501,$J1569-1499))-'Opening Balance'!$B$15*(N(INDEX('Daily Sale entry '!$S$1:$S$1501,$J1569-1499))-TRUNC(N(INDEX('Daily Sale entry '!$S$1:$S$1501,$J1569-1499))))))</f>
        <v/>
      </c>
      <c r="G1569" s="6">
        <f>IF($J1569="","",IF($J1569&lt;=1500,N(INDEX('Daily Sale entry '!$AD$1:$AD$1501,$J1569+1)),0))</f>
        <v/>
      </c>
      <c r="H1569" s="6">
        <f>IF($J1569="","",ROUND('Opening Balance'!$B$4+SUM($F$2:F1569)-SUM($G$2:G1569),2))</f>
        <v/>
      </c>
      <c r="J1569" s="21">
        <f>IFERROR(MATCH(ROW()-1,$L$2:$L$3001,0),"")</f>
        <v/>
      </c>
      <c r="K1569" s="34">
        <f>IF(AND('Daily Sale entry '!Q69="Collection 收款",'Daily Sale entry '!R69="Cheque 支票",'Daily Sale entry '!V69&lt;&gt;""),'Daily Sale entry '!V69+ROW()/10000000,"")</f>
        <v/>
      </c>
      <c r="L1569" s="21">
        <f>IF(K1569="","",COUNTIF($K$2:$K$3001,"&lt;"&amp;K1569)+1)</f>
        <v/>
      </c>
    </row>
    <row r="1570">
      <c r="A1570" s="5">
        <f>IF($J1570="","",IF($J1570&lt;=1500,INDEX('Daily Sale entry '!$X$1:$X$1501,$J1570+1),INDEX('Daily Sale entry '!$V$1:$V$1501,$J1570-1499)))</f>
        <v/>
      </c>
      <c r="B1570">
        <f>IF($J1570="","",IF($J1570&lt;=1500,INDEX('Daily Sale entry '!$Y$1:$Y$1501,$J1570+1)&amp;"","Buyer cheque banked 买家支票存入"&amp;IF(INDEX('Daily Sale entry '!$U$1:$U$1501,$J1570-1499)="","", " - "&amp;INDEX('Daily Sale entry '!$U$1:$U$1501,$J1570-1499))))</f>
        <v/>
      </c>
      <c r="C1570">
        <f>IF($J1570="","",IF($J1570&lt;=1500,INDEX('Daily Sale entry '!$Z$1:$Z$1501,$J1570+1)&amp;"","Cheque deposit 支票存入 (buyer 买家)"))</f>
        <v/>
      </c>
      <c r="D1570">
        <f>IF($J1570="","",IF($J1570&lt;=1500,INDEX('Daily Sale entry '!$AA$1:$AA$1501,$J1570+1)&amp;"",INDEX('Daily Sale entry '!$P$1:$P$1501,$J1570-1499)&amp;""))</f>
        <v/>
      </c>
      <c r="E1570">
        <f>IF($J1570="","",IF($J1570&lt;=1500,IF(N(INDEX('Daily Sale entry '!$AB$1:$AB$1501,$J1570+1))=0,"",INDEX('Daily Sale entry '!$AB$1:$AB$1501,$J1570+1)),1))</f>
        <v/>
      </c>
      <c r="F1570" s="6">
        <f>IF($J1570="","",IF($J1570&lt;=1500,N(INDEX('Daily Sale entry '!$AC$1:$AC$1501,$J1570+1))-IF(AND('Opening Balance'!$B$15=1,INDEX('Daily Sale entry '!$Z$1:$Z$1501,$J1570+1)="Online collection 网上收款",INDEX('Daily Sale entry '!$AA$1:$AA$1501,$J1570+1)&lt;&gt;""),N(INDEX('Daily Sale entry '!$AC$1:$AC$1501,$J1570+1))-TRUNC(N(INDEX('Daily Sale entry '!$AC$1:$AC$1501,$J1570+1))),0),N(INDEX('Daily Sale entry '!$S$1:$S$1501,$J1570-1499))-'Opening Balance'!$B$15*(N(INDEX('Daily Sale entry '!$S$1:$S$1501,$J1570-1499))-TRUNC(N(INDEX('Daily Sale entry '!$S$1:$S$1501,$J1570-1499))))))</f>
        <v/>
      </c>
      <c r="G1570" s="6">
        <f>IF($J1570="","",IF($J1570&lt;=1500,N(INDEX('Daily Sale entry '!$AD$1:$AD$1501,$J1570+1)),0))</f>
        <v/>
      </c>
      <c r="H1570" s="6">
        <f>IF($J1570="","",ROUND('Opening Balance'!$B$4+SUM($F$2:F1570)-SUM($G$2:G1570),2))</f>
        <v/>
      </c>
      <c r="J1570" s="21">
        <f>IFERROR(MATCH(ROW()-1,$L$2:$L$3001,0),"")</f>
        <v/>
      </c>
      <c r="K1570" s="34">
        <f>IF(AND('Daily Sale entry '!Q70="Collection 收款",'Daily Sale entry '!R70="Cheque 支票",'Daily Sale entry '!V70&lt;&gt;""),'Daily Sale entry '!V70+ROW()/10000000,"")</f>
        <v/>
      </c>
      <c r="L1570" s="21">
        <f>IF(K1570="","",COUNTIF($K$2:$K$3001,"&lt;"&amp;K1570)+1)</f>
        <v/>
      </c>
    </row>
    <row r="1571">
      <c r="A1571" s="5">
        <f>IF($J1571="","",IF($J1571&lt;=1500,INDEX('Daily Sale entry '!$X$1:$X$1501,$J1571+1),INDEX('Daily Sale entry '!$V$1:$V$1501,$J1571-1499)))</f>
        <v/>
      </c>
      <c r="B1571">
        <f>IF($J1571="","",IF($J1571&lt;=1500,INDEX('Daily Sale entry '!$Y$1:$Y$1501,$J1571+1)&amp;"","Buyer cheque banked 买家支票存入"&amp;IF(INDEX('Daily Sale entry '!$U$1:$U$1501,$J1571-1499)="","", " - "&amp;INDEX('Daily Sale entry '!$U$1:$U$1501,$J1571-1499))))</f>
        <v/>
      </c>
      <c r="C1571">
        <f>IF($J1571="","",IF($J1571&lt;=1500,INDEX('Daily Sale entry '!$Z$1:$Z$1501,$J1571+1)&amp;"","Cheque deposit 支票存入 (buyer 买家)"))</f>
        <v/>
      </c>
      <c r="D1571">
        <f>IF($J1571="","",IF($J1571&lt;=1500,INDEX('Daily Sale entry '!$AA$1:$AA$1501,$J1571+1)&amp;"",INDEX('Daily Sale entry '!$P$1:$P$1501,$J1571-1499)&amp;""))</f>
        <v/>
      </c>
      <c r="E1571">
        <f>IF($J1571="","",IF($J1571&lt;=1500,IF(N(INDEX('Daily Sale entry '!$AB$1:$AB$1501,$J1571+1))=0,"",INDEX('Daily Sale entry '!$AB$1:$AB$1501,$J1571+1)),1))</f>
        <v/>
      </c>
      <c r="F1571" s="6">
        <f>IF($J1571="","",IF($J1571&lt;=1500,N(INDEX('Daily Sale entry '!$AC$1:$AC$1501,$J1571+1))-IF(AND('Opening Balance'!$B$15=1,INDEX('Daily Sale entry '!$Z$1:$Z$1501,$J1571+1)="Online collection 网上收款",INDEX('Daily Sale entry '!$AA$1:$AA$1501,$J1571+1)&lt;&gt;""),N(INDEX('Daily Sale entry '!$AC$1:$AC$1501,$J1571+1))-TRUNC(N(INDEX('Daily Sale entry '!$AC$1:$AC$1501,$J1571+1))),0),N(INDEX('Daily Sale entry '!$S$1:$S$1501,$J1571-1499))-'Opening Balance'!$B$15*(N(INDEX('Daily Sale entry '!$S$1:$S$1501,$J1571-1499))-TRUNC(N(INDEX('Daily Sale entry '!$S$1:$S$1501,$J1571-1499))))))</f>
        <v/>
      </c>
      <c r="G1571" s="6">
        <f>IF($J1571="","",IF($J1571&lt;=1500,N(INDEX('Daily Sale entry '!$AD$1:$AD$1501,$J1571+1)),0))</f>
        <v/>
      </c>
      <c r="H1571" s="6">
        <f>IF($J1571="","",ROUND('Opening Balance'!$B$4+SUM($F$2:F1571)-SUM($G$2:G1571),2))</f>
        <v/>
      </c>
      <c r="J1571" s="21">
        <f>IFERROR(MATCH(ROW()-1,$L$2:$L$3001,0),"")</f>
        <v/>
      </c>
      <c r="K1571" s="34">
        <f>IF(AND('Daily Sale entry '!Q71="Collection 收款",'Daily Sale entry '!R71="Cheque 支票",'Daily Sale entry '!V71&lt;&gt;""),'Daily Sale entry '!V71+ROW()/10000000,"")</f>
        <v/>
      </c>
      <c r="L1571" s="21">
        <f>IF(K1571="","",COUNTIF($K$2:$K$3001,"&lt;"&amp;K1571)+1)</f>
        <v/>
      </c>
    </row>
    <row r="1572">
      <c r="A1572" s="5">
        <f>IF($J1572="","",IF($J1572&lt;=1500,INDEX('Daily Sale entry '!$X$1:$X$1501,$J1572+1),INDEX('Daily Sale entry '!$V$1:$V$1501,$J1572-1499)))</f>
        <v/>
      </c>
      <c r="B1572">
        <f>IF($J1572="","",IF($J1572&lt;=1500,INDEX('Daily Sale entry '!$Y$1:$Y$1501,$J1572+1)&amp;"","Buyer cheque banked 买家支票存入"&amp;IF(INDEX('Daily Sale entry '!$U$1:$U$1501,$J1572-1499)="","", " - "&amp;INDEX('Daily Sale entry '!$U$1:$U$1501,$J1572-1499))))</f>
        <v/>
      </c>
      <c r="C1572">
        <f>IF($J1572="","",IF($J1572&lt;=1500,INDEX('Daily Sale entry '!$Z$1:$Z$1501,$J1572+1)&amp;"","Cheque deposit 支票存入 (buyer 买家)"))</f>
        <v/>
      </c>
      <c r="D1572">
        <f>IF($J1572="","",IF($J1572&lt;=1500,INDEX('Daily Sale entry '!$AA$1:$AA$1501,$J1572+1)&amp;"",INDEX('Daily Sale entry '!$P$1:$P$1501,$J1572-1499)&amp;""))</f>
        <v/>
      </c>
      <c r="E1572">
        <f>IF($J1572="","",IF($J1572&lt;=1500,IF(N(INDEX('Daily Sale entry '!$AB$1:$AB$1501,$J1572+1))=0,"",INDEX('Daily Sale entry '!$AB$1:$AB$1501,$J1572+1)),1))</f>
        <v/>
      </c>
      <c r="F1572" s="6">
        <f>IF($J1572="","",IF($J1572&lt;=1500,N(INDEX('Daily Sale entry '!$AC$1:$AC$1501,$J1572+1))-IF(AND('Opening Balance'!$B$15=1,INDEX('Daily Sale entry '!$Z$1:$Z$1501,$J1572+1)="Online collection 网上收款",INDEX('Daily Sale entry '!$AA$1:$AA$1501,$J1572+1)&lt;&gt;""),N(INDEX('Daily Sale entry '!$AC$1:$AC$1501,$J1572+1))-TRUNC(N(INDEX('Daily Sale entry '!$AC$1:$AC$1501,$J1572+1))),0),N(INDEX('Daily Sale entry '!$S$1:$S$1501,$J1572-1499))-'Opening Balance'!$B$15*(N(INDEX('Daily Sale entry '!$S$1:$S$1501,$J1572-1499))-TRUNC(N(INDEX('Daily Sale entry '!$S$1:$S$1501,$J1572-1499))))))</f>
        <v/>
      </c>
      <c r="G1572" s="6">
        <f>IF($J1572="","",IF($J1572&lt;=1500,N(INDEX('Daily Sale entry '!$AD$1:$AD$1501,$J1572+1)),0))</f>
        <v/>
      </c>
      <c r="H1572" s="6">
        <f>IF($J1572="","",ROUND('Opening Balance'!$B$4+SUM($F$2:F1572)-SUM($G$2:G1572),2))</f>
        <v/>
      </c>
      <c r="J1572" s="21">
        <f>IFERROR(MATCH(ROW()-1,$L$2:$L$3001,0),"")</f>
        <v/>
      </c>
      <c r="K1572" s="34">
        <f>IF(AND('Daily Sale entry '!Q72="Collection 收款",'Daily Sale entry '!R72="Cheque 支票",'Daily Sale entry '!V72&lt;&gt;""),'Daily Sale entry '!V72+ROW()/10000000,"")</f>
        <v/>
      </c>
      <c r="L1572" s="21">
        <f>IF(K1572="","",COUNTIF($K$2:$K$3001,"&lt;"&amp;K1572)+1)</f>
        <v/>
      </c>
    </row>
    <row r="1573">
      <c r="A1573" s="5">
        <f>IF($J1573="","",IF($J1573&lt;=1500,INDEX('Daily Sale entry '!$X$1:$X$1501,$J1573+1),INDEX('Daily Sale entry '!$V$1:$V$1501,$J1573-1499)))</f>
        <v/>
      </c>
      <c r="B1573">
        <f>IF($J1573="","",IF($J1573&lt;=1500,INDEX('Daily Sale entry '!$Y$1:$Y$1501,$J1573+1)&amp;"","Buyer cheque banked 买家支票存入"&amp;IF(INDEX('Daily Sale entry '!$U$1:$U$1501,$J1573-1499)="","", " - "&amp;INDEX('Daily Sale entry '!$U$1:$U$1501,$J1573-1499))))</f>
        <v/>
      </c>
      <c r="C1573">
        <f>IF($J1573="","",IF($J1573&lt;=1500,INDEX('Daily Sale entry '!$Z$1:$Z$1501,$J1573+1)&amp;"","Cheque deposit 支票存入 (buyer 买家)"))</f>
        <v/>
      </c>
      <c r="D1573">
        <f>IF($J1573="","",IF($J1573&lt;=1500,INDEX('Daily Sale entry '!$AA$1:$AA$1501,$J1573+1)&amp;"",INDEX('Daily Sale entry '!$P$1:$P$1501,$J1573-1499)&amp;""))</f>
        <v/>
      </c>
      <c r="E1573">
        <f>IF($J1573="","",IF($J1573&lt;=1500,IF(N(INDEX('Daily Sale entry '!$AB$1:$AB$1501,$J1573+1))=0,"",INDEX('Daily Sale entry '!$AB$1:$AB$1501,$J1573+1)),1))</f>
        <v/>
      </c>
      <c r="F1573" s="6">
        <f>IF($J1573="","",IF($J1573&lt;=1500,N(INDEX('Daily Sale entry '!$AC$1:$AC$1501,$J1573+1))-IF(AND('Opening Balance'!$B$15=1,INDEX('Daily Sale entry '!$Z$1:$Z$1501,$J1573+1)="Online collection 网上收款",INDEX('Daily Sale entry '!$AA$1:$AA$1501,$J1573+1)&lt;&gt;""),N(INDEX('Daily Sale entry '!$AC$1:$AC$1501,$J1573+1))-TRUNC(N(INDEX('Daily Sale entry '!$AC$1:$AC$1501,$J1573+1))),0),N(INDEX('Daily Sale entry '!$S$1:$S$1501,$J1573-1499))-'Opening Balance'!$B$15*(N(INDEX('Daily Sale entry '!$S$1:$S$1501,$J1573-1499))-TRUNC(N(INDEX('Daily Sale entry '!$S$1:$S$1501,$J1573-1499))))))</f>
        <v/>
      </c>
      <c r="G1573" s="6">
        <f>IF($J1573="","",IF($J1573&lt;=1500,N(INDEX('Daily Sale entry '!$AD$1:$AD$1501,$J1573+1)),0))</f>
        <v/>
      </c>
      <c r="H1573" s="6">
        <f>IF($J1573="","",ROUND('Opening Balance'!$B$4+SUM($F$2:F1573)-SUM($G$2:G1573),2))</f>
        <v/>
      </c>
      <c r="J1573" s="21">
        <f>IFERROR(MATCH(ROW()-1,$L$2:$L$3001,0),"")</f>
        <v/>
      </c>
      <c r="K1573" s="34">
        <f>IF(AND('Daily Sale entry '!Q73="Collection 收款",'Daily Sale entry '!R73="Cheque 支票",'Daily Sale entry '!V73&lt;&gt;""),'Daily Sale entry '!V73+ROW()/10000000,"")</f>
        <v/>
      </c>
      <c r="L1573" s="21">
        <f>IF(K1573="","",COUNTIF($K$2:$K$3001,"&lt;"&amp;K1573)+1)</f>
        <v/>
      </c>
    </row>
    <row r="1574">
      <c r="A1574" s="5">
        <f>IF($J1574="","",IF($J1574&lt;=1500,INDEX('Daily Sale entry '!$X$1:$X$1501,$J1574+1),INDEX('Daily Sale entry '!$V$1:$V$1501,$J1574-1499)))</f>
        <v/>
      </c>
      <c r="B1574">
        <f>IF($J1574="","",IF($J1574&lt;=1500,INDEX('Daily Sale entry '!$Y$1:$Y$1501,$J1574+1)&amp;"","Buyer cheque banked 买家支票存入"&amp;IF(INDEX('Daily Sale entry '!$U$1:$U$1501,$J1574-1499)="","", " - "&amp;INDEX('Daily Sale entry '!$U$1:$U$1501,$J1574-1499))))</f>
        <v/>
      </c>
      <c r="C1574">
        <f>IF($J1574="","",IF($J1574&lt;=1500,INDEX('Daily Sale entry '!$Z$1:$Z$1501,$J1574+1)&amp;"","Cheque deposit 支票存入 (buyer 买家)"))</f>
        <v/>
      </c>
      <c r="D1574">
        <f>IF($J1574="","",IF($J1574&lt;=1500,INDEX('Daily Sale entry '!$AA$1:$AA$1501,$J1574+1)&amp;"",INDEX('Daily Sale entry '!$P$1:$P$1501,$J1574-1499)&amp;""))</f>
        <v/>
      </c>
      <c r="E1574">
        <f>IF($J1574="","",IF($J1574&lt;=1500,IF(N(INDEX('Daily Sale entry '!$AB$1:$AB$1501,$J1574+1))=0,"",INDEX('Daily Sale entry '!$AB$1:$AB$1501,$J1574+1)),1))</f>
        <v/>
      </c>
      <c r="F1574" s="6">
        <f>IF($J1574="","",IF($J1574&lt;=1500,N(INDEX('Daily Sale entry '!$AC$1:$AC$1501,$J1574+1))-IF(AND('Opening Balance'!$B$15=1,INDEX('Daily Sale entry '!$Z$1:$Z$1501,$J1574+1)="Online collection 网上收款",INDEX('Daily Sale entry '!$AA$1:$AA$1501,$J1574+1)&lt;&gt;""),N(INDEX('Daily Sale entry '!$AC$1:$AC$1501,$J1574+1))-TRUNC(N(INDEX('Daily Sale entry '!$AC$1:$AC$1501,$J1574+1))),0),N(INDEX('Daily Sale entry '!$S$1:$S$1501,$J1574-1499))-'Opening Balance'!$B$15*(N(INDEX('Daily Sale entry '!$S$1:$S$1501,$J1574-1499))-TRUNC(N(INDEX('Daily Sale entry '!$S$1:$S$1501,$J1574-1499))))))</f>
        <v/>
      </c>
      <c r="G1574" s="6">
        <f>IF($J1574="","",IF($J1574&lt;=1500,N(INDEX('Daily Sale entry '!$AD$1:$AD$1501,$J1574+1)),0))</f>
        <v/>
      </c>
      <c r="H1574" s="6">
        <f>IF($J1574="","",ROUND('Opening Balance'!$B$4+SUM($F$2:F1574)-SUM($G$2:G1574),2))</f>
        <v/>
      </c>
      <c r="J1574" s="21">
        <f>IFERROR(MATCH(ROW()-1,$L$2:$L$3001,0),"")</f>
        <v/>
      </c>
      <c r="K1574" s="34">
        <f>IF(AND('Daily Sale entry '!Q74="Collection 收款",'Daily Sale entry '!R74="Cheque 支票",'Daily Sale entry '!V74&lt;&gt;""),'Daily Sale entry '!V74+ROW()/10000000,"")</f>
        <v/>
      </c>
      <c r="L1574" s="21">
        <f>IF(K1574="","",COUNTIF($K$2:$K$3001,"&lt;"&amp;K1574)+1)</f>
        <v/>
      </c>
    </row>
    <row r="1575">
      <c r="A1575" s="5">
        <f>IF($J1575="","",IF($J1575&lt;=1500,INDEX('Daily Sale entry '!$X$1:$X$1501,$J1575+1),INDEX('Daily Sale entry '!$V$1:$V$1501,$J1575-1499)))</f>
        <v/>
      </c>
      <c r="B1575">
        <f>IF($J1575="","",IF($J1575&lt;=1500,INDEX('Daily Sale entry '!$Y$1:$Y$1501,$J1575+1)&amp;"","Buyer cheque banked 买家支票存入"&amp;IF(INDEX('Daily Sale entry '!$U$1:$U$1501,$J1575-1499)="","", " - "&amp;INDEX('Daily Sale entry '!$U$1:$U$1501,$J1575-1499))))</f>
        <v/>
      </c>
      <c r="C1575">
        <f>IF($J1575="","",IF($J1575&lt;=1500,INDEX('Daily Sale entry '!$Z$1:$Z$1501,$J1575+1)&amp;"","Cheque deposit 支票存入 (buyer 买家)"))</f>
        <v/>
      </c>
      <c r="D1575">
        <f>IF($J1575="","",IF($J1575&lt;=1500,INDEX('Daily Sale entry '!$AA$1:$AA$1501,$J1575+1)&amp;"",INDEX('Daily Sale entry '!$P$1:$P$1501,$J1575-1499)&amp;""))</f>
        <v/>
      </c>
      <c r="E1575">
        <f>IF($J1575="","",IF($J1575&lt;=1500,IF(N(INDEX('Daily Sale entry '!$AB$1:$AB$1501,$J1575+1))=0,"",INDEX('Daily Sale entry '!$AB$1:$AB$1501,$J1575+1)),1))</f>
        <v/>
      </c>
      <c r="F1575" s="6">
        <f>IF($J1575="","",IF($J1575&lt;=1500,N(INDEX('Daily Sale entry '!$AC$1:$AC$1501,$J1575+1))-IF(AND('Opening Balance'!$B$15=1,INDEX('Daily Sale entry '!$Z$1:$Z$1501,$J1575+1)="Online collection 网上收款",INDEX('Daily Sale entry '!$AA$1:$AA$1501,$J1575+1)&lt;&gt;""),N(INDEX('Daily Sale entry '!$AC$1:$AC$1501,$J1575+1))-TRUNC(N(INDEX('Daily Sale entry '!$AC$1:$AC$1501,$J1575+1))),0),N(INDEX('Daily Sale entry '!$S$1:$S$1501,$J1575-1499))-'Opening Balance'!$B$15*(N(INDEX('Daily Sale entry '!$S$1:$S$1501,$J1575-1499))-TRUNC(N(INDEX('Daily Sale entry '!$S$1:$S$1501,$J1575-1499))))))</f>
        <v/>
      </c>
      <c r="G1575" s="6">
        <f>IF($J1575="","",IF($J1575&lt;=1500,N(INDEX('Daily Sale entry '!$AD$1:$AD$1501,$J1575+1)),0))</f>
        <v/>
      </c>
      <c r="H1575" s="6">
        <f>IF($J1575="","",ROUND('Opening Balance'!$B$4+SUM($F$2:F1575)-SUM($G$2:G1575),2))</f>
        <v/>
      </c>
      <c r="J1575" s="21">
        <f>IFERROR(MATCH(ROW()-1,$L$2:$L$3001,0),"")</f>
        <v/>
      </c>
      <c r="K1575" s="34">
        <f>IF(AND('Daily Sale entry '!Q75="Collection 收款",'Daily Sale entry '!R75="Cheque 支票",'Daily Sale entry '!V75&lt;&gt;""),'Daily Sale entry '!V75+ROW()/10000000,"")</f>
        <v/>
      </c>
      <c r="L1575" s="21">
        <f>IF(K1575="","",COUNTIF($K$2:$K$3001,"&lt;"&amp;K1575)+1)</f>
        <v/>
      </c>
    </row>
    <row r="1576">
      <c r="A1576" s="5">
        <f>IF($J1576="","",IF($J1576&lt;=1500,INDEX('Daily Sale entry '!$X$1:$X$1501,$J1576+1),INDEX('Daily Sale entry '!$V$1:$V$1501,$J1576-1499)))</f>
        <v/>
      </c>
      <c r="B1576">
        <f>IF($J1576="","",IF($J1576&lt;=1500,INDEX('Daily Sale entry '!$Y$1:$Y$1501,$J1576+1)&amp;"","Buyer cheque banked 买家支票存入"&amp;IF(INDEX('Daily Sale entry '!$U$1:$U$1501,$J1576-1499)="","", " - "&amp;INDEX('Daily Sale entry '!$U$1:$U$1501,$J1576-1499))))</f>
        <v/>
      </c>
      <c r="C1576">
        <f>IF($J1576="","",IF($J1576&lt;=1500,INDEX('Daily Sale entry '!$Z$1:$Z$1501,$J1576+1)&amp;"","Cheque deposit 支票存入 (buyer 买家)"))</f>
        <v/>
      </c>
      <c r="D1576">
        <f>IF($J1576="","",IF($J1576&lt;=1500,INDEX('Daily Sale entry '!$AA$1:$AA$1501,$J1576+1)&amp;"",INDEX('Daily Sale entry '!$P$1:$P$1501,$J1576-1499)&amp;""))</f>
        <v/>
      </c>
      <c r="E1576">
        <f>IF($J1576="","",IF($J1576&lt;=1500,IF(N(INDEX('Daily Sale entry '!$AB$1:$AB$1501,$J1576+1))=0,"",INDEX('Daily Sale entry '!$AB$1:$AB$1501,$J1576+1)),1))</f>
        <v/>
      </c>
      <c r="F1576" s="6">
        <f>IF($J1576="","",IF($J1576&lt;=1500,N(INDEX('Daily Sale entry '!$AC$1:$AC$1501,$J1576+1))-IF(AND('Opening Balance'!$B$15=1,INDEX('Daily Sale entry '!$Z$1:$Z$1501,$J1576+1)="Online collection 网上收款",INDEX('Daily Sale entry '!$AA$1:$AA$1501,$J1576+1)&lt;&gt;""),N(INDEX('Daily Sale entry '!$AC$1:$AC$1501,$J1576+1))-TRUNC(N(INDEX('Daily Sale entry '!$AC$1:$AC$1501,$J1576+1))),0),N(INDEX('Daily Sale entry '!$S$1:$S$1501,$J1576-1499))-'Opening Balance'!$B$15*(N(INDEX('Daily Sale entry '!$S$1:$S$1501,$J1576-1499))-TRUNC(N(INDEX('Daily Sale entry '!$S$1:$S$1501,$J1576-1499))))))</f>
        <v/>
      </c>
      <c r="G1576" s="6">
        <f>IF($J1576="","",IF($J1576&lt;=1500,N(INDEX('Daily Sale entry '!$AD$1:$AD$1501,$J1576+1)),0))</f>
        <v/>
      </c>
      <c r="H1576" s="6">
        <f>IF($J1576="","",ROUND('Opening Balance'!$B$4+SUM($F$2:F1576)-SUM($G$2:G1576),2))</f>
        <v/>
      </c>
      <c r="J1576" s="21">
        <f>IFERROR(MATCH(ROW()-1,$L$2:$L$3001,0),"")</f>
        <v/>
      </c>
      <c r="K1576" s="34">
        <f>IF(AND('Daily Sale entry '!Q76="Collection 收款",'Daily Sale entry '!R76="Cheque 支票",'Daily Sale entry '!V76&lt;&gt;""),'Daily Sale entry '!V76+ROW()/10000000,"")</f>
        <v/>
      </c>
      <c r="L1576" s="21">
        <f>IF(K1576="","",COUNTIF($K$2:$K$3001,"&lt;"&amp;K1576)+1)</f>
        <v/>
      </c>
    </row>
    <row r="1577">
      <c r="A1577" s="5">
        <f>IF($J1577="","",IF($J1577&lt;=1500,INDEX('Daily Sale entry '!$X$1:$X$1501,$J1577+1),INDEX('Daily Sale entry '!$V$1:$V$1501,$J1577-1499)))</f>
        <v/>
      </c>
      <c r="B1577">
        <f>IF($J1577="","",IF($J1577&lt;=1500,INDEX('Daily Sale entry '!$Y$1:$Y$1501,$J1577+1)&amp;"","Buyer cheque banked 买家支票存入"&amp;IF(INDEX('Daily Sale entry '!$U$1:$U$1501,$J1577-1499)="","", " - "&amp;INDEX('Daily Sale entry '!$U$1:$U$1501,$J1577-1499))))</f>
        <v/>
      </c>
      <c r="C1577">
        <f>IF($J1577="","",IF($J1577&lt;=1500,INDEX('Daily Sale entry '!$Z$1:$Z$1501,$J1577+1)&amp;"","Cheque deposit 支票存入 (buyer 买家)"))</f>
        <v/>
      </c>
      <c r="D1577">
        <f>IF($J1577="","",IF($J1577&lt;=1500,INDEX('Daily Sale entry '!$AA$1:$AA$1501,$J1577+1)&amp;"",INDEX('Daily Sale entry '!$P$1:$P$1501,$J1577-1499)&amp;""))</f>
        <v/>
      </c>
      <c r="E1577">
        <f>IF($J1577="","",IF($J1577&lt;=1500,IF(N(INDEX('Daily Sale entry '!$AB$1:$AB$1501,$J1577+1))=0,"",INDEX('Daily Sale entry '!$AB$1:$AB$1501,$J1577+1)),1))</f>
        <v/>
      </c>
      <c r="F1577" s="6">
        <f>IF($J1577="","",IF($J1577&lt;=1500,N(INDEX('Daily Sale entry '!$AC$1:$AC$1501,$J1577+1))-IF(AND('Opening Balance'!$B$15=1,INDEX('Daily Sale entry '!$Z$1:$Z$1501,$J1577+1)="Online collection 网上收款",INDEX('Daily Sale entry '!$AA$1:$AA$1501,$J1577+1)&lt;&gt;""),N(INDEX('Daily Sale entry '!$AC$1:$AC$1501,$J1577+1))-TRUNC(N(INDEX('Daily Sale entry '!$AC$1:$AC$1501,$J1577+1))),0),N(INDEX('Daily Sale entry '!$S$1:$S$1501,$J1577-1499))-'Opening Balance'!$B$15*(N(INDEX('Daily Sale entry '!$S$1:$S$1501,$J1577-1499))-TRUNC(N(INDEX('Daily Sale entry '!$S$1:$S$1501,$J1577-1499))))))</f>
        <v/>
      </c>
      <c r="G1577" s="6">
        <f>IF($J1577="","",IF($J1577&lt;=1500,N(INDEX('Daily Sale entry '!$AD$1:$AD$1501,$J1577+1)),0))</f>
        <v/>
      </c>
      <c r="H1577" s="6">
        <f>IF($J1577="","",ROUND('Opening Balance'!$B$4+SUM($F$2:F1577)-SUM($G$2:G1577),2))</f>
        <v/>
      </c>
      <c r="J1577" s="21">
        <f>IFERROR(MATCH(ROW()-1,$L$2:$L$3001,0),"")</f>
        <v/>
      </c>
      <c r="K1577" s="34">
        <f>IF(AND('Daily Sale entry '!Q77="Collection 收款",'Daily Sale entry '!R77="Cheque 支票",'Daily Sale entry '!V77&lt;&gt;""),'Daily Sale entry '!V77+ROW()/10000000,"")</f>
        <v/>
      </c>
      <c r="L1577" s="21">
        <f>IF(K1577="","",COUNTIF($K$2:$K$3001,"&lt;"&amp;K1577)+1)</f>
        <v/>
      </c>
    </row>
    <row r="1578">
      <c r="A1578" s="5">
        <f>IF($J1578="","",IF($J1578&lt;=1500,INDEX('Daily Sale entry '!$X$1:$X$1501,$J1578+1),INDEX('Daily Sale entry '!$V$1:$V$1501,$J1578-1499)))</f>
        <v/>
      </c>
      <c r="B1578">
        <f>IF($J1578="","",IF($J1578&lt;=1500,INDEX('Daily Sale entry '!$Y$1:$Y$1501,$J1578+1)&amp;"","Buyer cheque banked 买家支票存入"&amp;IF(INDEX('Daily Sale entry '!$U$1:$U$1501,$J1578-1499)="","", " - "&amp;INDEX('Daily Sale entry '!$U$1:$U$1501,$J1578-1499))))</f>
        <v/>
      </c>
      <c r="C1578">
        <f>IF($J1578="","",IF($J1578&lt;=1500,INDEX('Daily Sale entry '!$Z$1:$Z$1501,$J1578+1)&amp;"","Cheque deposit 支票存入 (buyer 买家)"))</f>
        <v/>
      </c>
      <c r="D1578">
        <f>IF($J1578="","",IF($J1578&lt;=1500,INDEX('Daily Sale entry '!$AA$1:$AA$1501,$J1578+1)&amp;"",INDEX('Daily Sale entry '!$P$1:$P$1501,$J1578-1499)&amp;""))</f>
        <v/>
      </c>
      <c r="E1578">
        <f>IF($J1578="","",IF($J1578&lt;=1500,IF(N(INDEX('Daily Sale entry '!$AB$1:$AB$1501,$J1578+1))=0,"",INDEX('Daily Sale entry '!$AB$1:$AB$1501,$J1578+1)),1))</f>
        <v/>
      </c>
      <c r="F1578" s="6">
        <f>IF($J1578="","",IF($J1578&lt;=1500,N(INDEX('Daily Sale entry '!$AC$1:$AC$1501,$J1578+1))-IF(AND('Opening Balance'!$B$15=1,INDEX('Daily Sale entry '!$Z$1:$Z$1501,$J1578+1)="Online collection 网上收款",INDEX('Daily Sale entry '!$AA$1:$AA$1501,$J1578+1)&lt;&gt;""),N(INDEX('Daily Sale entry '!$AC$1:$AC$1501,$J1578+1))-TRUNC(N(INDEX('Daily Sale entry '!$AC$1:$AC$1501,$J1578+1))),0),N(INDEX('Daily Sale entry '!$S$1:$S$1501,$J1578-1499))-'Opening Balance'!$B$15*(N(INDEX('Daily Sale entry '!$S$1:$S$1501,$J1578-1499))-TRUNC(N(INDEX('Daily Sale entry '!$S$1:$S$1501,$J1578-1499))))))</f>
        <v/>
      </c>
      <c r="G1578" s="6">
        <f>IF($J1578="","",IF($J1578&lt;=1500,N(INDEX('Daily Sale entry '!$AD$1:$AD$1501,$J1578+1)),0))</f>
        <v/>
      </c>
      <c r="H1578" s="6">
        <f>IF($J1578="","",ROUND('Opening Balance'!$B$4+SUM($F$2:F1578)-SUM($G$2:G1578),2))</f>
        <v/>
      </c>
      <c r="J1578" s="21">
        <f>IFERROR(MATCH(ROW()-1,$L$2:$L$3001,0),"")</f>
        <v/>
      </c>
      <c r="K1578" s="34">
        <f>IF(AND('Daily Sale entry '!Q78="Collection 收款",'Daily Sale entry '!R78="Cheque 支票",'Daily Sale entry '!V78&lt;&gt;""),'Daily Sale entry '!V78+ROW()/10000000,"")</f>
        <v/>
      </c>
      <c r="L1578" s="21">
        <f>IF(K1578="","",COUNTIF($K$2:$K$3001,"&lt;"&amp;K1578)+1)</f>
        <v/>
      </c>
    </row>
    <row r="1579">
      <c r="A1579" s="5">
        <f>IF($J1579="","",IF($J1579&lt;=1500,INDEX('Daily Sale entry '!$X$1:$X$1501,$J1579+1),INDEX('Daily Sale entry '!$V$1:$V$1501,$J1579-1499)))</f>
        <v/>
      </c>
      <c r="B1579">
        <f>IF($J1579="","",IF($J1579&lt;=1500,INDEX('Daily Sale entry '!$Y$1:$Y$1501,$J1579+1)&amp;"","Buyer cheque banked 买家支票存入"&amp;IF(INDEX('Daily Sale entry '!$U$1:$U$1501,$J1579-1499)="","", " - "&amp;INDEX('Daily Sale entry '!$U$1:$U$1501,$J1579-1499))))</f>
        <v/>
      </c>
      <c r="C1579">
        <f>IF($J1579="","",IF($J1579&lt;=1500,INDEX('Daily Sale entry '!$Z$1:$Z$1501,$J1579+1)&amp;"","Cheque deposit 支票存入 (buyer 买家)"))</f>
        <v/>
      </c>
      <c r="D1579">
        <f>IF($J1579="","",IF($J1579&lt;=1500,INDEX('Daily Sale entry '!$AA$1:$AA$1501,$J1579+1)&amp;"",INDEX('Daily Sale entry '!$P$1:$P$1501,$J1579-1499)&amp;""))</f>
        <v/>
      </c>
      <c r="E1579">
        <f>IF($J1579="","",IF($J1579&lt;=1500,IF(N(INDEX('Daily Sale entry '!$AB$1:$AB$1501,$J1579+1))=0,"",INDEX('Daily Sale entry '!$AB$1:$AB$1501,$J1579+1)),1))</f>
        <v/>
      </c>
      <c r="F1579" s="6">
        <f>IF($J1579="","",IF($J1579&lt;=1500,N(INDEX('Daily Sale entry '!$AC$1:$AC$1501,$J1579+1))-IF(AND('Opening Balance'!$B$15=1,INDEX('Daily Sale entry '!$Z$1:$Z$1501,$J1579+1)="Online collection 网上收款",INDEX('Daily Sale entry '!$AA$1:$AA$1501,$J1579+1)&lt;&gt;""),N(INDEX('Daily Sale entry '!$AC$1:$AC$1501,$J1579+1))-TRUNC(N(INDEX('Daily Sale entry '!$AC$1:$AC$1501,$J1579+1))),0),N(INDEX('Daily Sale entry '!$S$1:$S$1501,$J1579-1499))-'Opening Balance'!$B$15*(N(INDEX('Daily Sale entry '!$S$1:$S$1501,$J1579-1499))-TRUNC(N(INDEX('Daily Sale entry '!$S$1:$S$1501,$J1579-1499))))))</f>
        <v/>
      </c>
      <c r="G1579" s="6">
        <f>IF($J1579="","",IF($J1579&lt;=1500,N(INDEX('Daily Sale entry '!$AD$1:$AD$1501,$J1579+1)),0))</f>
        <v/>
      </c>
      <c r="H1579" s="6">
        <f>IF($J1579="","",ROUND('Opening Balance'!$B$4+SUM($F$2:F1579)-SUM($G$2:G1579),2))</f>
        <v/>
      </c>
      <c r="J1579" s="21">
        <f>IFERROR(MATCH(ROW()-1,$L$2:$L$3001,0),"")</f>
        <v/>
      </c>
      <c r="K1579" s="34">
        <f>IF(AND('Daily Sale entry '!Q79="Collection 收款",'Daily Sale entry '!R79="Cheque 支票",'Daily Sale entry '!V79&lt;&gt;""),'Daily Sale entry '!V79+ROW()/10000000,"")</f>
        <v/>
      </c>
      <c r="L1579" s="21">
        <f>IF(K1579="","",COUNTIF($K$2:$K$3001,"&lt;"&amp;K1579)+1)</f>
        <v/>
      </c>
    </row>
    <row r="1580">
      <c r="A1580" s="5">
        <f>IF($J1580="","",IF($J1580&lt;=1500,INDEX('Daily Sale entry '!$X$1:$X$1501,$J1580+1),INDEX('Daily Sale entry '!$V$1:$V$1501,$J1580-1499)))</f>
        <v/>
      </c>
      <c r="B1580">
        <f>IF($J1580="","",IF($J1580&lt;=1500,INDEX('Daily Sale entry '!$Y$1:$Y$1501,$J1580+1)&amp;"","Buyer cheque banked 买家支票存入"&amp;IF(INDEX('Daily Sale entry '!$U$1:$U$1501,$J1580-1499)="","", " - "&amp;INDEX('Daily Sale entry '!$U$1:$U$1501,$J1580-1499))))</f>
        <v/>
      </c>
      <c r="C1580">
        <f>IF($J1580="","",IF($J1580&lt;=1500,INDEX('Daily Sale entry '!$Z$1:$Z$1501,$J1580+1)&amp;"","Cheque deposit 支票存入 (buyer 买家)"))</f>
        <v/>
      </c>
      <c r="D1580">
        <f>IF($J1580="","",IF($J1580&lt;=1500,INDEX('Daily Sale entry '!$AA$1:$AA$1501,$J1580+1)&amp;"",INDEX('Daily Sale entry '!$P$1:$P$1501,$J1580-1499)&amp;""))</f>
        <v/>
      </c>
      <c r="E1580">
        <f>IF($J1580="","",IF($J1580&lt;=1500,IF(N(INDEX('Daily Sale entry '!$AB$1:$AB$1501,$J1580+1))=0,"",INDEX('Daily Sale entry '!$AB$1:$AB$1501,$J1580+1)),1))</f>
        <v/>
      </c>
      <c r="F1580" s="6">
        <f>IF($J1580="","",IF($J1580&lt;=1500,N(INDEX('Daily Sale entry '!$AC$1:$AC$1501,$J1580+1))-IF(AND('Opening Balance'!$B$15=1,INDEX('Daily Sale entry '!$Z$1:$Z$1501,$J1580+1)="Online collection 网上收款",INDEX('Daily Sale entry '!$AA$1:$AA$1501,$J1580+1)&lt;&gt;""),N(INDEX('Daily Sale entry '!$AC$1:$AC$1501,$J1580+1))-TRUNC(N(INDEX('Daily Sale entry '!$AC$1:$AC$1501,$J1580+1))),0),N(INDEX('Daily Sale entry '!$S$1:$S$1501,$J1580-1499))-'Opening Balance'!$B$15*(N(INDEX('Daily Sale entry '!$S$1:$S$1501,$J1580-1499))-TRUNC(N(INDEX('Daily Sale entry '!$S$1:$S$1501,$J1580-1499))))))</f>
        <v/>
      </c>
      <c r="G1580" s="6">
        <f>IF($J1580="","",IF($J1580&lt;=1500,N(INDEX('Daily Sale entry '!$AD$1:$AD$1501,$J1580+1)),0))</f>
        <v/>
      </c>
      <c r="H1580" s="6">
        <f>IF($J1580="","",ROUND('Opening Balance'!$B$4+SUM($F$2:F1580)-SUM($G$2:G1580),2))</f>
        <v/>
      </c>
      <c r="J1580" s="21">
        <f>IFERROR(MATCH(ROW()-1,$L$2:$L$3001,0),"")</f>
        <v/>
      </c>
      <c r="K1580" s="34">
        <f>IF(AND('Daily Sale entry '!Q80="Collection 收款",'Daily Sale entry '!R80="Cheque 支票",'Daily Sale entry '!V80&lt;&gt;""),'Daily Sale entry '!V80+ROW()/10000000,"")</f>
        <v/>
      </c>
      <c r="L1580" s="21">
        <f>IF(K1580="","",COUNTIF($K$2:$K$3001,"&lt;"&amp;K1580)+1)</f>
        <v/>
      </c>
    </row>
    <row r="1581">
      <c r="A1581" s="5">
        <f>IF($J1581="","",IF($J1581&lt;=1500,INDEX('Daily Sale entry '!$X$1:$X$1501,$J1581+1),INDEX('Daily Sale entry '!$V$1:$V$1501,$J1581-1499)))</f>
        <v/>
      </c>
      <c r="B1581">
        <f>IF($J1581="","",IF($J1581&lt;=1500,INDEX('Daily Sale entry '!$Y$1:$Y$1501,$J1581+1)&amp;"","Buyer cheque banked 买家支票存入"&amp;IF(INDEX('Daily Sale entry '!$U$1:$U$1501,$J1581-1499)="","", " - "&amp;INDEX('Daily Sale entry '!$U$1:$U$1501,$J1581-1499))))</f>
        <v/>
      </c>
      <c r="C1581">
        <f>IF($J1581="","",IF($J1581&lt;=1500,INDEX('Daily Sale entry '!$Z$1:$Z$1501,$J1581+1)&amp;"","Cheque deposit 支票存入 (buyer 买家)"))</f>
        <v/>
      </c>
      <c r="D1581">
        <f>IF($J1581="","",IF($J1581&lt;=1500,INDEX('Daily Sale entry '!$AA$1:$AA$1501,$J1581+1)&amp;"",INDEX('Daily Sale entry '!$P$1:$P$1501,$J1581-1499)&amp;""))</f>
        <v/>
      </c>
      <c r="E1581">
        <f>IF($J1581="","",IF($J1581&lt;=1500,IF(N(INDEX('Daily Sale entry '!$AB$1:$AB$1501,$J1581+1))=0,"",INDEX('Daily Sale entry '!$AB$1:$AB$1501,$J1581+1)),1))</f>
        <v/>
      </c>
      <c r="F1581" s="6">
        <f>IF($J1581="","",IF($J1581&lt;=1500,N(INDEX('Daily Sale entry '!$AC$1:$AC$1501,$J1581+1))-IF(AND('Opening Balance'!$B$15=1,INDEX('Daily Sale entry '!$Z$1:$Z$1501,$J1581+1)="Online collection 网上收款",INDEX('Daily Sale entry '!$AA$1:$AA$1501,$J1581+1)&lt;&gt;""),N(INDEX('Daily Sale entry '!$AC$1:$AC$1501,$J1581+1))-TRUNC(N(INDEX('Daily Sale entry '!$AC$1:$AC$1501,$J1581+1))),0),N(INDEX('Daily Sale entry '!$S$1:$S$1501,$J1581-1499))-'Opening Balance'!$B$15*(N(INDEX('Daily Sale entry '!$S$1:$S$1501,$J1581-1499))-TRUNC(N(INDEX('Daily Sale entry '!$S$1:$S$1501,$J1581-1499))))))</f>
        <v/>
      </c>
      <c r="G1581" s="6">
        <f>IF($J1581="","",IF($J1581&lt;=1500,N(INDEX('Daily Sale entry '!$AD$1:$AD$1501,$J1581+1)),0))</f>
        <v/>
      </c>
      <c r="H1581" s="6">
        <f>IF($J1581="","",ROUND('Opening Balance'!$B$4+SUM($F$2:F1581)-SUM($G$2:G1581),2))</f>
        <v/>
      </c>
      <c r="J1581" s="21">
        <f>IFERROR(MATCH(ROW()-1,$L$2:$L$3001,0),"")</f>
        <v/>
      </c>
      <c r="K1581" s="34">
        <f>IF(AND('Daily Sale entry '!Q81="Collection 收款",'Daily Sale entry '!R81="Cheque 支票",'Daily Sale entry '!V81&lt;&gt;""),'Daily Sale entry '!V81+ROW()/10000000,"")</f>
        <v/>
      </c>
      <c r="L1581" s="21">
        <f>IF(K1581="","",COUNTIF($K$2:$K$3001,"&lt;"&amp;K1581)+1)</f>
        <v/>
      </c>
    </row>
    <row r="1582">
      <c r="A1582" s="5">
        <f>IF($J1582="","",IF($J1582&lt;=1500,INDEX('Daily Sale entry '!$X$1:$X$1501,$J1582+1),INDEX('Daily Sale entry '!$V$1:$V$1501,$J1582-1499)))</f>
        <v/>
      </c>
      <c r="B1582">
        <f>IF($J1582="","",IF($J1582&lt;=1500,INDEX('Daily Sale entry '!$Y$1:$Y$1501,$J1582+1)&amp;"","Buyer cheque banked 买家支票存入"&amp;IF(INDEX('Daily Sale entry '!$U$1:$U$1501,$J1582-1499)="","", " - "&amp;INDEX('Daily Sale entry '!$U$1:$U$1501,$J1582-1499))))</f>
        <v/>
      </c>
      <c r="C1582">
        <f>IF($J1582="","",IF($J1582&lt;=1500,INDEX('Daily Sale entry '!$Z$1:$Z$1501,$J1582+1)&amp;"","Cheque deposit 支票存入 (buyer 买家)"))</f>
        <v/>
      </c>
      <c r="D1582">
        <f>IF($J1582="","",IF($J1582&lt;=1500,INDEX('Daily Sale entry '!$AA$1:$AA$1501,$J1582+1)&amp;"",INDEX('Daily Sale entry '!$P$1:$P$1501,$J1582-1499)&amp;""))</f>
        <v/>
      </c>
      <c r="E1582">
        <f>IF($J1582="","",IF($J1582&lt;=1500,IF(N(INDEX('Daily Sale entry '!$AB$1:$AB$1501,$J1582+1))=0,"",INDEX('Daily Sale entry '!$AB$1:$AB$1501,$J1582+1)),1))</f>
        <v/>
      </c>
      <c r="F1582" s="6">
        <f>IF($J1582="","",IF($J1582&lt;=1500,N(INDEX('Daily Sale entry '!$AC$1:$AC$1501,$J1582+1))-IF(AND('Opening Balance'!$B$15=1,INDEX('Daily Sale entry '!$Z$1:$Z$1501,$J1582+1)="Online collection 网上收款",INDEX('Daily Sale entry '!$AA$1:$AA$1501,$J1582+1)&lt;&gt;""),N(INDEX('Daily Sale entry '!$AC$1:$AC$1501,$J1582+1))-TRUNC(N(INDEX('Daily Sale entry '!$AC$1:$AC$1501,$J1582+1))),0),N(INDEX('Daily Sale entry '!$S$1:$S$1501,$J1582-1499))-'Opening Balance'!$B$15*(N(INDEX('Daily Sale entry '!$S$1:$S$1501,$J1582-1499))-TRUNC(N(INDEX('Daily Sale entry '!$S$1:$S$1501,$J1582-1499))))))</f>
        <v/>
      </c>
      <c r="G1582" s="6">
        <f>IF($J1582="","",IF($J1582&lt;=1500,N(INDEX('Daily Sale entry '!$AD$1:$AD$1501,$J1582+1)),0))</f>
        <v/>
      </c>
      <c r="H1582" s="6">
        <f>IF($J1582="","",ROUND('Opening Balance'!$B$4+SUM($F$2:F1582)-SUM($G$2:G1582),2))</f>
        <v/>
      </c>
      <c r="J1582" s="21">
        <f>IFERROR(MATCH(ROW()-1,$L$2:$L$3001,0),"")</f>
        <v/>
      </c>
      <c r="K1582" s="34">
        <f>IF(AND('Daily Sale entry '!Q82="Collection 收款",'Daily Sale entry '!R82="Cheque 支票",'Daily Sale entry '!V82&lt;&gt;""),'Daily Sale entry '!V82+ROW()/10000000,"")</f>
        <v/>
      </c>
      <c r="L1582" s="21">
        <f>IF(K1582="","",COUNTIF($K$2:$K$3001,"&lt;"&amp;K1582)+1)</f>
        <v/>
      </c>
    </row>
    <row r="1583">
      <c r="A1583" s="5">
        <f>IF($J1583="","",IF($J1583&lt;=1500,INDEX('Daily Sale entry '!$X$1:$X$1501,$J1583+1),INDEX('Daily Sale entry '!$V$1:$V$1501,$J1583-1499)))</f>
        <v/>
      </c>
      <c r="B1583">
        <f>IF($J1583="","",IF($J1583&lt;=1500,INDEX('Daily Sale entry '!$Y$1:$Y$1501,$J1583+1)&amp;"","Buyer cheque banked 买家支票存入"&amp;IF(INDEX('Daily Sale entry '!$U$1:$U$1501,$J1583-1499)="","", " - "&amp;INDEX('Daily Sale entry '!$U$1:$U$1501,$J1583-1499))))</f>
        <v/>
      </c>
      <c r="C1583">
        <f>IF($J1583="","",IF($J1583&lt;=1500,INDEX('Daily Sale entry '!$Z$1:$Z$1501,$J1583+1)&amp;"","Cheque deposit 支票存入 (buyer 买家)"))</f>
        <v/>
      </c>
      <c r="D1583">
        <f>IF($J1583="","",IF($J1583&lt;=1500,INDEX('Daily Sale entry '!$AA$1:$AA$1501,$J1583+1)&amp;"",INDEX('Daily Sale entry '!$P$1:$P$1501,$J1583-1499)&amp;""))</f>
        <v/>
      </c>
      <c r="E1583">
        <f>IF($J1583="","",IF($J1583&lt;=1500,IF(N(INDEX('Daily Sale entry '!$AB$1:$AB$1501,$J1583+1))=0,"",INDEX('Daily Sale entry '!$AB$1:$AB$1501,$J1583+1)),1))</f>
        <v/>
      </c>
      <c r="F1583" s="6">
        <f>IF($J1583="","",IF($J1583&lt;=1500,N(INDEX('Daily Sale entry '!$AC$1:$AC$1501,$J1583+1))-IF(AND('Opening Balance'!$B$15=1,INDEX('Daily Sale entry '!$Z$1:$Z$1501,$J1583+1)="Online collection 网上收款",INDEX('Daily Sale entry '!$AA$1:$AA$1501,$J1583+1)&lt;&gt;""),N(INDEX('Daily Sale entry '!$AC$1:$AC$1501,$J1583+1))-TRUNC(N(INDEX('Daily Sale entry '!$AC$1:$AC$1501,$J1583+1))),0),N(INDEX('Daily Sale entry '!$S$1:$S$1501,$J1583-1499))-'Opening Balance'!$B$15*(N(INDEX('Daily Sale entry '!$S$1:$S$1501,$J1583-1499))-TRUNC(N(INDEX('Daily Sale entry '!$S$1:$S$1501,$J1583-1499))))))</f>
        <v/>
      </c>
      <c r="G1583" s="6">
        <f>IF($J1583="","",IF($J1583&lt;=1500,N(INDEX('Daily Sale entry '!$AD$1:$AD$1501,$J1583+1)),0))</f>
        <v/>
      </c>
      <c r="H1583" s="6">
        <f>IF($J1583="","",ROUND('Opening Balance'!$B$4+SUM($F$2:F1583)-SUM($G$2:G1583),2))</f>
        <v/>
      </c>
      <c r="J1583" s="21">
        <f>IFERROR(MATCH(ROW()-1,$L$2:$L$3001,0),"")</f>
        <v/>
      </c>
      <c r="K1583" s="34">
        <f>IF(AND('Daily Sale entry '!Q83="Collection 收款",'Daily Sale entry '!R83="Cheque 支票",'Daily Sale entry '!V83&lt;&gt;""),'Daily Sale entry '!V83+ROW()/10000000,"")</f>
        <v/>
      </c>
      <c r="L1583" s="21">
        <f>IF(K1583="","",COUNTIF($K$2:$K$3001,"&lt;"&amp;K1583)+1)</f>
        <v/>
      </c>
    </row>
    <row r="1584">
      <c r="A1584" s="5">
        <f>IF($J1584="","",IF($J1584&lt;=1500,INDEX('Daily Sale entry '!$X$1:$X$1501,$J1584+1),INDEX('Daily Sale entry '!$V$1:$V$1501,$J1584-1499)))</f>
        <v/>
      </c>
      <c r="B1584">
        <f>IF($J1584="","",IF($J1584&lt;=1500,INDEX('Daily Sale entry '!$Y$1:$Y$1501,$J1584+1)&amp;"","Buyer cheque banked 买家支票存入"&amp;IF(INDEX('Daily Sale entry '!$U$1:$U$1501,$J1584-1499)="","", " - "&amp;INDEX('Daily Sale entry '!$U$1:$U$1501,$J1584-1499))))</f>
        <v/>
      </c>
      <c r="C1584">
        <f>IF($J1584="","",IF($J1584&lt;=1500,INDEX('Daily Sale entry '!$Z$1:$Z$1501,$J1584+1)&amp;"","Cheque deposit 支票存入 (buyer 买家)"))</f>
        <v/>
      </c>
      <c r="D1584">
        <f>IF($J1584="","",IF($J1584&lt;=1500,INDEX('Daily Sale entry '!$AA$1:$AA$1501,$J1584+1)&amp;"",INDEX('Daily Sale entry '!$P$1:$P$1501,$J1584-1499)&amp;""))</f>
        <v/>
      </c>
      <c r="E1584">
        <f>IF($J1584="","",IF($J1584&lt;=1500,IF(N(INDEX('Daily Sale entry '!$AB$1:$AB$1501,$J1584+1))=0,"",INDEX('Daily Sale entry '!$AB$1:$AB$1501,$J1584+1)),1))</f>
        <v/>
      </c>
      <c r="F1584" s="6">
        <f>IF($J1584="","",IF($J1584&lt;=1500,N(INDEX('Daily Sale entry '!$AC$1:$AC$1501,$J1584+1))-IF(AND('Opening Balance'!$B$15=1,INDEX('Daily Sale entry '!$Z$1:$Z$1501,$J1584+1)="Online collection 网上收款",INDEX('Daily Sale entry '!$AA$1:$AA$1501,$J1584+1)&lt;&gt;""),N(INDEX('Daily Sale entry '!$AC$1:$AC$1501,$J1584+1))-TRUNC(N(INDEX('Daily Sale entry '!$AC$1:$AC$1501,$J1584+1))),0),N(INDEX('Daily Sale entry '!$S$1:$S$1501,$J1584-1499))-'Opening Balance'!$B$15*(N(INDEX('Daily Sale entry '!$S$1:$S$1501,$J1584-1499))-TRUNC(N(INDEX('Daily Sale entry '!$S$1:$S$1501,$J1584-1499))))))</f>
        <v/>
      </c>
      <c r="G1584" s="6">
        <f>IF($J1584="","",IF($J1584&lt;=1500,N(INDEX('Daily Sale entry '!$AD$1:$AD$1501,$J1584+1)),0))</f>
        <v/>
      </c>
      <c r="H1584" s="6">
        <f>IF($J1584="","",ROUND('Opening Balance'!$B$4+SUM($F$2:F1584)-SUM($G$2:G1584),2))</f>
        <v/>
      </c>
      <c r="J1584" s="21">
        <f>IFERROR(MATCH(ROW()-1,$L$2:$L$3001,0),"")</f>
        <v/>
      </c>
      <c r="K1584" s="34">
        <f>IF(AND('Daily Sale entry '!Q84="Collection 收款",'Daily Sale entry '!R84="Cheque 支票",'Daily Sale entry '!V84&lt;&gt;""),'Daily Sale entry '!V84+ROW()/10000000,"")</f>
        <v/>
      </c>
      <c r="L1584" s="21">
        <f>IF(K1584="","",COUNTIF($K$2:$K$3001,"&lt;"&amp;K1584)+1)</f>
        <v/>
      </c>
    </row>
    <row r="1585">
      <c r="A1585" s="5">
        <f>IF($J1585="","",IF($J1585&lt;=1500,INDEX('Daily Sale entry '!$X$1:$X$1501,$J1585+1),INDEX('Daily Sale entry '!$V$1:$V$1501,$J1585-1499)))</f>
        <v/>
      </c>
      <c r="B1585">
        <f>IF($J1585="","",IF($J1585&lt;=1500,INDEX('Daily Sale entry '!$Y$1:$Y$1501,$J1585+1)&amp;"","Buyer cheque banked 买家支票存入"&amp;IF(INDEX('Daily Sale entry '!$U$1:$U$1501,$J1585-1499)="","", " - "&amp;INDEX('Daily Sale entry '!$U$1:$U$1501,$J1585-1499))))</f>
        <v/>
      </c>
      <c r="C1585">
        <f>IF($J1585="","",IF($J1585&lt;=1500,INDEX('Daily Sale entry '!$Z$1:$Z$1501,$J1585+1)&amp;"","Cheque deposit 支票存入 (buyer 买家)"))</f>
        <v/>
      </c>
      <c r="D1585">
        <f>IF($J1585="","",IF($J1585&lt;=1500,INDEX('Daily Sale entry '!$AA$1:$AA$1501,$J1585+1)&amp;"",INDEX('Daily Sale entry '!$P$1:$P$1501,$J1585-1499)&amp;""))</f>
        <v/>
      </c>
      <c r="E1585">
        <f>IF($J1585="","",IF($J1585&lt;=1500,IF(N(INDEX('Daily Sale entry '!$AB$1:$AB$1501,$J1585+1))=0,"",INDEX('Daily Sale entry '!$AB$1:$AB$1501,$J1585+1)),1))</f>
        <v/>
      </c>
      <c r="F1585" s="6">
        <f>IF($J1585="","",IF($J1585&lt;=1500,N(INDEX('Daily Sale entry '!$AC$1:$AC$1501,$J1585+1))-IF(AND('Opening Balance'!$B$15=1,INDEX('Daily Sale entry '!$Z$1:$Z$1501,$J1585+1)="Online collection 网上收款",INDEX('Daily Sale entry '!$AA$1:$AA$1501,$J1585+1)&lt;&gt;""),N(INDEX('Daily Sale entry '!$AC$1:$AC$1501,$J1585+1))-TRUNC(N(INDEX('Daily Sale entry '!$AC$1:$AC$1501,$J1585+1))),0),N(INDEX('Daily Sale entry '!$S$1:$S$1501,$J1585-1499))-'Opening Balance'!$B$15*(N(INDEX('Daily Sale entry '!$S$1:$S$1501,$J1585-1499))-TRUNC(N(INDEX('Daily Sale entry '!$S$1:$S$1501,$J1585-1499))))))</f>
        <v/>
      </c>
      <c r="G1585" s="6">
        <f>IF($J1585="","",IF($J1585&lt;=1500,N(INDEX('Daily Sale entry '!$AD$1:$AD$1501,$J1585+1)),0))</f>
        <v/>
      </c>
      <c r="H1585" s="6">
        <f>IF($J1585="","",ROUND('Opening Balance'!$B$4+SUM($F$2:F1585)-SUM($G$2:G1585),2))</f>
        <v/>
      </c>
      <c r="J1585" s="21">
        <f>IFERROR(MATCH(ROW()-1,$L$2:$L$3001,0),"")</f>
        <v/>
      </c>
      <c r="K1585" s="34">
        <f>IF(AND('Daily Sale entry '!Q85="Collection 收款",'Daily Sale entry '!R85="Cheque 支票",'Daily Sale entry '!V85&lt;&gt;""),'Daily Sale entry '!V85+ROW()/10000000,"")</f>
        <v/>
      </c>
      <c r="L1585" s="21">
        <f>IF(K1585="","",COUNTIF($K$2:$K$3001,"&lt;"&amp;K1585)+1)</f>
        <v/>
      </c>
    </row>
    <row r="1586">
      <c r="A1586" s="5">
        <f>IF($J1586="","",IF($J1586&lt;=1500,INDEX('Daily Sale entry '!$X$1:$X$1501,$J1586+1),INDEX('Daily Sale entry '!$V$1:$V$1501,$J1586-1499)))</f>
        <v/>
      </c>
      <c r="B1586">
        <f>IF($J1586="","",IF($J1586&lt;=1500,INDEX('Daily Sale entry '!$Y$1:$Y$1501,$J1586+1)&amp;"","Buyer cheque banked 买家支票存入"&amp;IF(INDEX('Daily Sale entry '!$U$1:$U$1501,$J1586-1499)="","", " - "&amp;INDEX('Daily Sale entry '!$U$1:$U$1501,$J1586-1499))))</f>
        <v/>
      </c>
      <c r="C1586">
        <f>IF($J1586="","",IF($J1586&lt;=1500,INDEX('Daily Sale entry '!$Z$1:$Z$1501,$J1586+1)&amp;"","Cheque deposit 支票存入 (buyer 买家)"))</f>
        <v/>
      </c>
      <c r="D1586">
        <f>IF($J1586="","",IF($J1586&lt;=1500,INDEX('Daily Sale entry '!$AA$1:$AA$1501,$J1586+1)&amp;"",INDEX('Daily Sale entry '!$P$1:$P$1501,$J1586-1499)&amp;""))</f>
        <v/>
      </c>
      <c r="E1586">
        <f>IF($J1586="","",IF($J1586&lt;=1500,IF(N(INDEX('Daily Sale entry '!$AB$1:$AB$1501,$J1586+1))=0,"",INDEX('Daily Sale entry '!$AB$1:$AB$1501,$J1586+1)),1))</f>
        <v/>
      </c>
      <c r="F1586" s="6">
        <f>IF($J1586="","",IF($J1586&lt;=1500,N(INDEX('Daily Sale entry '!$AC$1:$AC$1501,$J1586+1))-IF(AND('Opening Balance'!$B$15=1,INDEX('Daily Sale entry '!$Z$1:$Z$1501,$J1586+1)="Online collection 网上收款",INDEX('Daily Sale entry '!$AA$1:$AA$1501,$J1586+1)&lt;&gt;""),N(INDEX('Daily Sale entry '!$AC$1:$AC$1501,$J1586+1))-TRUNC(N(INDEX('Daily Sale entry '!$AC$1:$AC$1501,$J1586+1))),0),N(INDEX('Daily Sale entry '!$S$1:$S$1501,$J1586-1499))-'Opening Balance'!$B$15*(N(INDEX('Daily Sale entry '!$S$1:$S$1501,$J1586-1499))-TRUNC(N(INDEX('Daily Sale entry '!$S$1:$S$1501,$J1586-1499))))))</f>
        <v/>
      </c>
      <c r="G1586" s="6">
        <f>IF($J1586="","",IF($J1586&lt;=1500,N(INDEX('Daily Sale entry '!$AD$1:$AD$1501,$J1586+1)),0))</f>
        <v/>
      </c>
      <c r="H1586" s="6">
        <f>IF($J1586="","",ROUND('Opening Balance'!$B$4+SUM($F$2:F1586)-SUM($G$2:G1586),2))</f>
        <v/>
      </c>
      <c r="J1586" s="21">
        <f>IFERROR(MATCH(ROW()-1,$L$2:$L$3001,0),"")</f>
        <v/>
      </c>
      <c r="K1586" s="34">
        <f>IF(AND('Daily Sale entry '!Q86="Collection 收款",'Daily Sale entry '!R86="Cheque 支票",'Daily Sale entry '!V86&lt;&gt;""),'Daily Sale entry '!V86+ROW()/10000000,"")</f>
        <v/>
      </c>
      <c r="L1586" s="21">
        <f>IF(K1586="","",COUNTIF($K$2:$K$3001,"&lt;"&amp;K1586)+1)</f>
        <v/>
      </c>
    </row>
    <row r="1587">
      <c r="A1587" s="5">
        <f>IF($J1587="","",IF($J1587&lt;=1500,INDEX('Daily Sale entry '!$X$1:$X$1501,$J1587+1),INDEX('Daily Sale entry '!$V$1:$V$1501,$J1587-1499)))</f>
        <v/>
      </c>
      <c r="B1587">
        <f>IF($J1587="","",IF($J1587&lt;=1500,INDEX('Daily Sale entry '!$Y$1:$Y$1501,$J1587+1)&amp;"","Buyer cheque banked 买家支票存入"&amp;IF(INDEX('Daily Sale entry '!$U$1:$U$1501,$J1587-1499)="","", " - "&amp;INDEX('Daily Sale entry '!$U$1:$U$1501,$J1587-1499))))</f>
        <v/>
      </c>
      <c r="C1587">
        <f>IF($J1587="","",IF($J1587&lt;=1500,INDEX('Daily Sale entry '!$Z$1:$Z$1501,$J1587+1)&amp;"","Cheque deposit 支票存入 (buyer 买家)"))</f>
        <v/>
      </c>
      <c r="D1587">
        <f>IF($J1587="","",IF($J1587&lt;=1500,INDEX('Daily Sale entry '!$AA$1:$AA$1501,$J1587+1)&amp;"",INDEX('Daily Sale entry '!$P$1:$P$1501,$J1587-1499)&amp;""))</f>
        <v/>
      </c>
      <c r="E1587">
        <f>IF($J1587="","",IF($J1587&lt;=1500,IF(N(INDEX('Daily Sale entry '!$AB$1:$AB$1501,$J1587+1))=0,"",INDEX('Daily Sale entry '!$AB$1:$AB$1501,$J1587+1)),1))</f>
        <v/>
      </c>
      <c r="F1587" s="6">
        <f>IF($J1587="","",IF($J1587&lt;=1500,N(INDEX('Daily Sale entry '!$AC$1:$AC$1501,$J1587+1))-IF(AND('Opening Balance'!$B$15=1,INDEX('Daily Sale entry '!$Z$1:$Z$1501,$J1587+1)="Online collection 网上收款",INDEX('Daily Sale entry '!$AA$1:$AA$1501,$J1587+1)&lt;&gt;""),N(INDEX('Daily Sale entry '!$AC$1:$AC$1501,$J1587+1))-TRUNC(N(INDEX('Daily Sale entry '!$AC$1:$AC$1501,$J1587+1))),0),N(INDEX('Daily Sale entry '!$S$1:$S$1501,$J1587-1499))-'Opening Balance'!$B$15*(N(INDEX('Daily Sale entry '!$S$1:$S$1501,$J1587-1499))-TRUNC(N(INDEX('Daily Sale entry '!$S$1:$S$1501,$J1587-1499))))))</f>
        <v/>
      </c>
      <c r="G1587" s="6">
        <f>IF($J1587="","",IF($J1587&lt;=1500,N(INDEX('Daily Sale entry '!$AD$1:$AD$1501,$J1587+1)),0))</f>
        <v/>
      </c>
      <c r="H1587" s="6">
        <f>IF($J1587="","",ROUND('Opening Balance'!$B$4+SUM($F$2:F1587)-SUM($G$2:G1587),2))</f>
        <v/>
      </c>
      <c r="J1587" s="21">
        <f>IFERROR(MATCH(ROW()-1,$L$2:$L$3001,0),"")</f>
        <v/>
      </c>
      <c r="K1587" s="34">
        <f>IF(AND('Daily Sale entry '!Q87="Collection 收款",'Daily Sale entry '!R87="Cheque 支票",'Daily Sale entry '!V87&lt;&gt;""),'Daily Sale entry '!V87+ROW()/10000000,"")</f>
        <v/>
      </c>
      <c r="L1587" s="21">
        <f>IF(K1587="","",COUNTIF($K$2:$K$3001,"&lt;"&amp;K1587)+1)</f>
        <v/>
      </c>
    </row>
    <row r="1588">
      <c r="A1588" s="5">
        <f>IF($J1588="","",IF($J1588&lt;=1500,INDEX('Daily Sale entry '!$X$1:$X$1501,$J1588+1),INDEX('Daily Sale entry '!$V$1:$V$1501,$J1588-1499)))</f>
        <v/>
      </c>
      <c r="B1588">
        <f>IF($J1588="","",IF($J1588&lt;=1500,INDEX('Daily Sale entry '!$Y$1:$Y$1501,$J1588+1)&amp;"","Buyer cheque banked 买家支票存入"&amp;IF(INDEX('Daily Sale entry '!$U$1:$U$1501,$J1588-1499)="","", " - "&amp;INDEX('Daily Sale entry '!$U$1:$U$1501,$J1588-1499))))</f>
        <v/>
      </c>
      <c r="C1588">
        <f>IF($J1588="","",IF($J1588&lt;=1500,INDEX('Daily Sale entry '!$Z$1:$Z$1501,$J1588+1)&amp;"","Cheque deposit 支票存入 (buyer 买家)"))</f>
        <v/>
      </c>
      <c r="D1588">
        <f>IF($J1588="","",IF($J1588&lt;=1500,INDEX('Daily Sale entry '!$AA$1:$AA$1501,$J1588+1)&amp;"",INDEX('Daily Sale entry '!$P$1:$P$1501,$J1588-1499)&amp;""))</f>
        <v/>
      </c>
      <c r="E1588">
        <f>IF($J1588="","",IF($J1588&lt;=1500,IF(N(INDEX('Daily Sale entry '!$AB$1:$AB$1501,$J1588+1))=0,"",INDEX('Daily Sale entry '!$AB$1:$AB$1501,$J1588+1)),1))</f>
        <v/>
      </c>
      <c r="F1588" s="6">
        <f>IF($J1588="","",IF($J1588&lt;=1500,N(INDEX('Daily Sale entry '!$AC$1:$AC$1501,$J1588+1))-IF(AND('Opening Balance'!$B$15=1,INDEX('Daily Sale entry '!$Z$1:$Z$1501,$J1588+1)="Online collection 网上收款",INDEX('Daily Sale entry '!$AA$1:$AA$1501,$J1588+1)&lt;&gt;""),N(INDEX('Daily Sale entry '!$AC$1:$AC$1501,$J1588+1))-TRUNC(N(INDEX('Daily Sale entry '!$AC$1:$AC$1501,$J1588+1))),0),N(INDEX('Daily Sale entry '!$S$1:$S$1501,$J1588-1499))-'Opening Balance'!$B$15*(N(INDEX('Daily Sale entry '!$S$1:$S$1501,$J1588-1499))-TRUNC(N(INDEX('Daily Sale entry '!$S$1:$S$1501,$J1588-1499))))))</f>
        <v/>
      </c>
      <c r="G1588" s="6">
        <f>IF($J1588="","",IF($J1588&lt;=1500,N(INDEX('Daily Sale entry '!$AD$1:$AD$1501,$J1588+1)),0))</f>
        <v/>
      </c>
      <c r="H1588" s="6">
        <f>IF($J1588="","",ROUND('Opening Balance'!$B$4+SUM($F$2:F1588)-SUM($G$2:G1588),2))</f>
        <v/>
      </c>
      <c r="J1588" s="21">
        <f>IFERROR(MATCH(ROW()-1,$L$2:$L$3001,0),"")</f>
        <v/>
      </c>
      <c r="K1588" s="34">
        <f>IF(AND('Daily Sale entry '!Q88="Collection 收款",'Daily Sale entry '!R88="Cheque 支票",'Daily Sale entry '!V88&lt;&gt;""),'Daily Sale entry '!V88+ROW()/10000000,"")</f>
        <v/>
      </c>
      <c r="L1588" s="21">
        <f>IF(K1588="","",COUNTIF($K$2:$K$3001,"&lt;"&amp;K1588)+1)</f>
        <v/>
      </c>
    </row>
    <row r="1589">
      <c r="A1589" s="5">
        <f>IF($J1589="","",IF($J1589&lt;=1500,INDEX('Daily Sale entry '!$X$1:$X$1501,$J1589+1),INDEX('Daily Sale entry '!$V$1:$V$1501,$J1589-1499)))</f>
        <v/>
      </c>
      <c r="B1589">
        <f>IF($J1589="","",IF($J1589&lt;=1500,INDEX('Daily Sale entry '!$Y$1:$Y$1501,$J1589+1)&amp;"","Buyer cheque banked 买家支票存入"&amp;IF(INDEX('Daily Sale entry '!$U$1:$U$1501,$J1589-1499)="","", " - "&amp;INDEX('Daily Sale entry '!$U$1:$U$1501,$J1589-1499))))</f>
        <v/>
      </c>
      <c r="C1589">
        <f>IF($J1589="","",IF($J1589&lt;=1500,INDEX('Daily Sale entry '!$Z$1:$Z$1501,$J1589+1)&amp;"","Cheque deposit 支票存入 (buyer 买家)"))</f>
        <v/>
      </c>
      <c r="D1589">
        <f>IF($J1589="","",IF($J1589&lt;=1500,INDEX('Daily Sale entry '!$AA$1:$AA$1501,$J1589+1)&amp;"",INDEX('Daily Sale entry '!$P$1:$P$1501,$J1589-1499)&amp;""))</f>
        <v/>
      </c>
      <c r="E1589">
        <f>IF($J1589="","",IF($J1589&lt;=1500,IF(N(INDEX('Daily Sale entry '!$AB$1:$AB$1501,$J1589+1))=0,"",INDEX('Daily Sale entry '!$AB$1:$AB$1501,$J1589+1)),1))</f>
        <v/>
      </c>
      <c r="F1589" s="6">
        <f>IF($J1589="","",IF($J1589&lt;=1500,N(INDEX('Daily Sale entry '!$AC$1:$AC$1501,$J1589+1))-IF(AND('Opening Balance'!$B$15=1,INDEX('Daily Sale entry '!$Z$1:$Z$1501,$J1589+1)="Online collection 网上收款",INDEX('Daily Sale entry '!$AA$1:$AA$1501,$J1589+1)&lt;&gt;""),N(INDEX('Daily Sale entry '!$AC$1:$AC$1501,$J1589+1))-TRUNC(N(INDEX('Daily Sale entry '!$AC$1:$AC$1501,$J1589+1))),0),N(INDEX('Daily Sale entry '!$S$1:$S$1501,$J1589-1499))-'Opening Balance'!$B$15*(N(INDEX('Daily Sale entry '!$S$1:$S$1501,$J1589-1499))-TRUNC(N(INDEX('Daily Sale entry '!$S$1:$S$1501,$J1589-1499))))))</f>
        <v/>
      </c>
      <c r="G1589" s="6">
        <f>IF($J1589="","",IF($J1589&lt;=1500,N(INDEX('Daily Sale entry '!$AD$1:$AD$1501,$J1589+1)),0))</f>
        <v/>
      </c>
      <c r="H1589" s="6">
        <f>IF($J1589="","",ROUND('Opening Balance'!$B$4+SUM($F$2:F1589)-SUM($G$2:G1589),2))</f>
        <v/>
      </c>
      <c r="J1589" s="21">
        <f>IFERROR(MATCH(ROW()-1,$L$2:$L$3001,0),"")</f>
        <v/>
      </c>
      <c r="K1589" s="34">
        <f>IF(AND('Daily Sale entry '!Q89="Collection 收款",'Daily Sale entry '!R89="Cheque 支票",'Daily Sale entry '!V89&lt;&gt;""),'Daily Sale entry '!V89+ROW()/10000000,"")</f>
        <v/>
      </c>
      <c r="L1589" s="21">
        <f>IF(K1589="","",COUNTIF($K$2:$K$3001,"&lt;"&amp;K1589)+1)</f>
        <v/>
      </c>
    </row>
    <row r="1590">
      <c r="A1590" s="5">
        <f>IF($J1590="","",IF($J1590&lt;=1500,INDEX('Daily Sale entry '!$X$1:$X$1501,$J1590+1),INDEX('Daily Sale entry '!$V$1:$V$1501,$J1590-1499)))</f>
        <v/>
      </c>
      <c r="B1590">
        <f>IF($J1590="","",IF($J1590&lt;=1500,INDEX('Daily Sale entry '!$Y$1:$Y$1501,$J1590+1)&amp;"","Buyer cheque banked 买家支票存入"&amp;IF(INDEX('Daily Sale entry '!$U$1:$U$1501,$J1590-1499)="","", " - "&amp;INDEX('Daily Sale entry '!$U$1:$U$1501,$J1590-1499))))</f>
        <v/>
      </c>
      <c r="C1590">
        <f>IF($J1590="","",IF($J1590&lt;=1500,INDEX('Daily Sale entry '!$Z$1:$Z$1501,$J1590+1)&amp;"","Cheque deposit 支票存入 (buyer 买家)"))</f>
        <v/>
      </c>
      <c r="D1590">
        <f>IF($J1590="","",IF($J1590&lt;=1500,INDEX('Daily Sale entry '!$AA$1:$AA$1501,$J1590+1)&amp;"",INDEX('Daily Sale entry '!$P$1:$P$1501,$J1590-1499)&amp;""))</f>
        <v/>
      </c>
      <c r="E1590">
        <f>IF($J1590="","",IF($J1590&lt;=1500,IF(N(INDEX('Daily Sale entry '!$AB$1:$AB$1501,$J1590+1))=0,"",INDEX('Daily Sale entry '!$AB$1:$AB$1501,$J1590+1)),1))</f>
        <v/>
      </c>
      <c r="F1590" s="6">
        <f>IF($J1590="","",IF($J1590&lt;=1500,N(INDEX('Daily Sale entry '!$AC$1:$AC$1501,$J1590+1))-IF(AND('Opening Balance'!$B$15=1,INDEX('Daily Sale entry '!$Z$1:$Z$1501,$J1590+1)="Online collection 网上收款",INDEX('Daily Sale entry '!$AA$1:$AA$1501,$J1590+1)&lt;&gt;""),N(INDEX('Daily Sale entry '!$AC$1:$AC$1501,$J1590+1))-TRUNC(N(INDEX('Daily Sale entry '!$AC$1:$AC$1501,$J1590+1))),0),N(INDEX('Daily Sale entry '!$S$1:$S$1501,$J1590-1499))-'Opening Balance'!$B$15*(N(INDEX('Daily Sale entry '!$S$1:$S$1501,$J1590-1499))-TRUNC(N(INDEX('Daily Sale entry '!$S$1:$S$1501,$J1590-1499))))))</f>
        <v/>
      </c>
      <c r="G1590" s="6">
        <f>IF($J1590="","",IF($J1590&lt;=1500,N(INDEX('Daily Sale entry '!$AD$1:$AD$1501,$J1590+1)),0))</f>
        <v/>
      </c>
      <c r="H1590" s="6">
        <f>IF($J1590="","",ROUND('Opening Balance'!$B$4+SUM($F$2:F1590)-SUM($G$2:G1590),2))</f>
        <v/>
      </c>
      <c r="J1590" s="21">
        <f>IFERROR(MATCH(ROW()-1,$L$2:$L$3001,0),"")</f>
        <v/>
      </c>
      <c r="K1590" s="34">
        <f>IF(AND('Daily Sale entry '!Q90="Collection 收款",'Daily Sale entry '!R90="Cheque 支票",'Daily Sale entry '!V90&lt;&gt;""),'Daily Sale entry '!V90+ROW()/10000000,"")</f>
        <v/>
      </c>
      <c r="L1590" s="21">
        <f>IF(K1590="","",COUNTIF($K$2:$K$3001,"&lt;"&amp;K1590)+1)</f>
        <v/>
      </c>
    </row>
    <row r="1591">
      <c r="A1591" s="5">
        <f>IF($J1591="","",IF($J1591&lt;=1500,INDEX('Daily Sale entry '!$X$1:$X$1501,$J1591+1),INDEX('Daily Sale entry '!$V$1:$V$1501,$J1591-1499)))</f>
        <v/>
      </c>
      <c r="B1591">
        <f>IF($J1591="","",IF($J1591&lt;=1500,INDEX('Daily Sale entry '!$Y$1:$Y$1501,$J1591+1)&amp;"","Buyer cheque banked 买家支票存入"&amp;IF(INDEX('Daily Sale entry '!$U$1:$U$1501,$J1591-1499)="","", " - "&amp;INDEX('Daily Sale entry '!$U$1:$U$1501,$J1591-1499))))</f>
        <v/>
      </c>
      <c r="C1591">
        <f>IF($J1591="","",IF($J1591&lt;=1500,INDEX('Daily Sale entry '!$Z$1:$Z$1501,$J1591+1)&amp;"","Cheque deposit 支票存入 (buyer 买家)"))</f>
        <v/>
      </c>
      <c r="D1591">
        <f>IF($J1591="","",IF($J1591&lt;=1500,INDEX('Daily Sale entry '!$AA$1:$AA$1501,$J1591+1)&amp;"",INDEX('Daily Sale entry '!$P$1:$P$1501,$J1591-1499)&amp;""))</f>
        <v/>
      </c>
      <c r="E1591">
        <f>IF($J1591="","",IF($J1591&lt;=1500,IF(N(INDEX('Daily Sale entry '!$AB$1:$AB$1501,$J1591+1))=0,"",INDEX('Daily Sale entry '!$AB$1:$AB$1501,$J1591+1)),1))</f>
        <v/>
      </c>
      <c r="F1591" s="6">
        <f>IF($J1591="","",IF($J1591&lt;=1500,N(INDEX('Daily Sale entry '!$AC$1:$AC$1501,$J1591+1))-IF(AND('Opening Balance'!$B$15=1,INDEX('Daily Sale entry '!$Z$1:$Z$1501,$J1591+1)="Online collection 网上收款",INDEX('Daily Sale entry '!$AA$1:$AA$1501,$J1591+1)&lt;&gt;""),N(INDEX('Daily Sale entry '!$AC$1:$AC$1501,$J1591+1))-TRUNC(N(INDEX('Daily Sale entry '!$AC$1:$AC$1501,$J1591+1))),0),N(INDEX('Daily Sale entry '!$S$1:$S$1501,$J1591-1499))-'Opening Balance'!$B$15*(N(INDEX('Daily Sale entry '!$S$1:$S$1501,$J1591-1499))-TRUNC(N(INDEX('Daily Sale entry '!$S$1:$S$1501,$J1591-1499))))))</f>
        <v/>
      </c>
      <c r="G1591" s="6">
        <f>IF($J1591="","",IF($J1591&lt;=1500,N(INDEX('Daily Sale entry '!$AD$1:$AD$1501,$J1591+1)),0))</f>
        <v/>
      </c>
      <c r="H1591" s="6">
        <f>IF($J1591="","",ROUND('Opening Balance'!$B$4+SUM($F$2:F1591)-SUM($G$2:G1591),2))</f>
        <v/>
      </c>
      <c r="J1591" s="21">
        <f>IFERROR(MATCH(ROW()-1,$L$2:$L$3001,0),"")</f>
        <v/>
      </c>
      <c r="K1591" s="34">
        <f>IF(AND('Daily Sale entry '!Q91="Collection 收款",'Daily Sale entry '!R91="Cheque 支票",'Daily Sale entry '!V91&lt;&gt;""),'Daily Sale entry '!V91+ROW()/10000000,"")</f>
        <v/>
      </c>
      <c r="L1591" s="21">
        <f>IF(K1591="","",COUNTIF($K$2:$K$3001,"&lt;"&amp;K1591)+1)</f>
        <v/>
      </c>
    </row>
    <row r="1592">
      <c r="A1592" s="5">
        <f>IF($J1592="","",IF($J1592&lt;=1500,INDEX('Daily Sale entry '!$X$1:$X$1501,$J1592+1),INDEX('Daily Sale entry '!$V$1:$V$1501,$J1592-1499)))</f>
        <v/>
      </c>
      <c r="B1592">
        <f>IF($J1592="","",IF($J1592&lt;=1500,INDEX('Daily Sale entry '!$Y$1:$Y$1501,$J1592+1)&amp;"","Buyer cheque banked 买家支票存入"&amp;IF(INDEX('Daily Sale entry '!$U$1:$U$1501,$J1592-1499)="","", " - "&amp;INDEX('Daily Sale entry '!$U$1:$U$1501,$J1592-1499))))</f>
        <v/>
      </c>
      <c r="C1592">
        <f>IF($J1592="","",IF($J1592&lt;=1500,INDEX('Daily Sale entry '!$Z$1:$Z$1501,$J1592+1)&amp;"","Cheque deposit 支票存入 (buyer 买家)"))</f>
        <v/>
      </c>
      <c r="D1592">
        <f>IF($J1592="","",IF($J1592&lt;=1500,INDEX('Daily Sale entry '!$AA$1:$AA$1501,$J1592+1)&amp;"",INDEX('Daily Sale entry '!$P$1:$P$1501,$J1592-1499)&amp;""))</f>
        <v/>
      </c>
      <c r="E1592">
        <f>IF($J1592="","",IF($J1592&lt;=1500,IF(N(INDEX('Daily Sale entry '!$AB$1:$AB$1501,$J1592+1))=0,"",INDEX('Daily Sale entry '!$AB$1:$AB$1501,$J1592+1)),1))</f>
        <v/>
      </c>
      <c r="F1592" s="6">
        <f>IF($J1592="","",IF($J1592&lt;=1500,N(INDEX('Daily Sale entry '!$AC$1:$AC$1501,$J1592+1))-IF(AND('Opening Balance'!$B$15=1,INDEX('Daily Sale entry '!$Z$1:$Z$1501,$J1592+1)="Online collection 网上收款",INDEX('Daily Sale entry '!$AA$1:$AA$1501,$J1592+1)&lt;&gt;""),N(INDEX('Daily Sale entry '!$AC$1:$AC$1501,$J1592+1))-TRUNC(N(INDEX('Daily Sale entry '!$AC$1:$AC$1501,$J1592+1))),0),N(INDEX('Daily Sale entry '!$S$1:$S$1501,$J1592-1499))-'Opening Balance'!$B$15*(N(INDEX('Daily Sale entry '!$S$1:$S$1501,$J1592-1499))-TRUNC(N(INDEX('Daily Sale entry '!$S$1:$S$1501,$J1592-1499))))))</f>
        <v/>
      </c>
      <c r="G1592" s="6">
        <f>IF($J1592="","",IF($J1592&lt;=1500,N(INDEX('Daily Sale entry '!$AD$1:$AD$1501,$J1592+1)),0))</f>
        <v/>
      </c>
      <c r="H1592" s="6">
        <f>IF($J1592="","",ROUND('Opening Balance'!$B$4+SUM($F$2:F1592)-SUM($G$2:G1592),2))</f>
        <v/>
      </c>
      <c r="J1592" s="21">
        <f>IFERROR(MATCH(ROW()-1,$L$2:$L$3001,0),"")</f>
        <v/>
      </c>
      <c r="K1592" s="34">
        <f>IF(AND('Daily Sale entry '!Q92="Collection 收款",'Daily Sale entry '!R92="Cheque 支票",'Daily Sale entry '!V92&lt;&gt;""),'Daily Sale entry '!V92+ROW()/10000000,"")</f>
        <v/>
      </c>
      <c r="L1592" s="21">
        <f>IF(K1592="","",COUNTIF($K$2:$K$3001,"&lt;"&amp;K1592)+1)</f>
        <v/>
      </c>
    </row>
    <row r="1593">
      <c r="A1593" s="5">
        <f>IF($J1593="","",IF($J1593&lt;=1500,INDEX('Daily Sale entry '!$X$1:$X$1501,$J1593+1),INDEX('Daily Sale entry '!$V$1:$V$1501,$J1593-1499)))</f>
        <v/>
      </c>
      <c r="B1593">
        <f>IF($J1593="","",IF($J1593&lt;=1500,INDEX('Daily Sale entry '!$Y$1:$Y$1501,$J1593+1)&amp;"","Buyer cheque banked 买家支票存入"&amp;IF(INDEX('Daily Sale entry '!$U$1:$U$1501,$J1593-1499)="","", " - "&amp;INDEX('Daily Sale entry '!$U$1:$U$1501,$J1593-1499))))</f>
        <v/>
      </c>
      <c r="C1593">
        <f>IF($J1593="","",IF($J1593&lt;=1500,INDEX('Daily Sale entry '!$Z$1:$Z$1501,$J1593+1)&amp;"","Cheque deposit 支票存入 (buyer 买家)"))</f>
        <v/>
      </c>
      <c r="D1593">
        <f>IF($J1593="","",IF($J1593&lt;=1500,INDEX('Daily Sale entry '!$AA$1:$AA$1501,$J1593+1)&amp;"",INDEX('Daily Sale entry '!$P$1:$P$1501,$J1593-1499)&amp;""))</f>
        <v/>
      </c>
      <c r="E1593">
        <f>IF($J1593="","",IF($J1593&lt;=1500,IF(N(INDEX('Daily Sale entry '!$AB$1:$AB$1501,$J1593+1))=0,"",INDEX('Daily Sale entry '!$AB$1:$AB$1501,$J1593+1)),1))</f>
        <v/>
      </c>
      <c r="F1593" s="6">
        <f>IF($J1593="","",IF($J1593&lt;=1500,N(INDEX('Daily Sale entry '!$AC$1:$AC$1501,$J1593+1))-IF(AND('Opening Balance'!$B$15=1,INDEX('Daily Sale entry '!$Z$1:$Z$1501,$J1593+1)="Online collection 网上收款",INDEX('Daily Sale entry '!$AA$1:$AA$1501,$J1593+1)&lt;&gt;""),N(INDEX('Daily Sale entry '!$AC$1:$AC$1501,$J1593+1))-TRUNC(N(INDEX('Daily Sale entry '!$AC$1:$AC$1501,$J1593+1))),0),N(INDEX('Daily Sale entry '!$S$1:$S$1501,$J1593-1499))-'Opening Balance'!$B$15*(N(INDEX('Daily Sale entry '!$S$1:$S$1501,$J1593-1499))-TRUNC(N(INDEX('Daily Sale entry '!$S$1:$S$1501,$J1593-1499))))))</f>
        <v/>
      </c>
      <c r="G1593" s="6">
        <f>IF($J1593="","",IF($J1593&lt;=1500,N(INDEX('Daily Sale entry '!$AD$1:$AD$1501,$J1593+1)),0))</f>
        <v/>
      </c>
      <c r="H1593" s="6">
        <f>IF($J1593="","",ROUND('Opening Balance'!$B$4+SUM($F$2:F1593)-SUM($G$2:G1593),2))</f>
        <v/>
      </c>
      <c r="J1593" s="21">
        <f>IFERROR(MATCH(ROW()-1,$L$2:$L$3001,0),"")</f>
        <v/>
      </c>
      <c r="K1593" s="34">
        <f>IF(AND('Daily Sale entry '!Q93="Collection 收款",'Daily Sale entry '!R93="Cheque 支票",'Daily Sale entry '!V93&lt;&gt;""),'Daily Sale entry '!V93+ROW()/10000000,"")</f>
        <v/>
      </c>
      <c r="L1593" s="21">
        <f>IF(K1593="","",COUNTIF($K$2:$K$3001,"&lt;"&amp;K1593)+1)</f>
        <v/>
      </c>
    </row>
    <row r="1594">
      <c r="A1594" s="5">
        <f>IF($J1594="","",IF($J1594&lt;=1500,INDEX('Daily Sale entry '!$X$1:$X$1501,$J1594+1),INDEX('Daily Sale entry '!$V$1:$V$1501,$J1594-1499)))</f>
        <v/>
      </c>
      <c r="B1594">
        <f>IF($J1594="","",IF($J1594&lt;=1500,INDEX('Daily Sale entry '!$Y$1:$Y$1501,$J1594+1)&amp;"","Buyer cheque banked 买家支票存入"&amp;IF(INDEX('Daily Sale entry '!$U$1:$U$1501,$J1594-1499)="","", " - "&amp;INDEX('Daily Sale entry '!$U$1:$U$1501,$J1594-1499))))</f>
        <v/>
      </c>
      <c r="C1594">
        <f>IF($J1594="","",IF($J1594&lt;=1500,INDEX('Daily Sale entry '!$Z$1:$Z$1501,$J1594+1)&amp;"","Cheque deposit 支票存入 (buyer 买家)"))</f>
        <v/>
      </c>
      <c r="D1594">
        <f>IF($J1594="","",IF($J1594&lt;=1500,INDEX('Daily Sale entry '!$AA$1:$AA$1501,$J1594+1)&amp;"",INDEX('Daily Sale entry '!$P$1:$P$1501,$J1594-1499)&amp;""))</f>
        <v/>
      </c>
      <c r="E1594">
        <f>IF($J1594="","",IF($J1594&lt;=1500,IF(N(INDEX('Daily Sale entry '!$AB$1:$AB$1501,$J1594+1))=0,"",INDEX('Daily Sale entry '!$AB$1:$AB$1501,$J1594+1)),1))</f>
        <v/>
      </c>
      <c r="F1594" s="6">
        <f>IF($J1594="","",IF($J1594&lt;=1500,N(INDEX('Daily Sale entry '!$AC$1:$AC$1501,$J1594+1))-IF(AND('Opening Balance'!$B$15=1,INDEX('Daily Sale entry '!$Z$1:$Z$1501,$J1594+1)="Online collection 网上收款",INDEX('Daily Sale entry '!$AA$1:$AA$1501,$J1594+1)&lt;&gt;""),N(INDEX('Daily Sale entry '!$AC$1:$AC$1501,$J1594+1))-TRUNC(N(INDEX('Daily Sale entry '!$AC$1:$AC$1501,$J1594+1))),0),N(INDEX('Daily Sale entry '!$S$1:$S$1501,$J1594-1499))-'Opening Balance'!$B$15*(N(INDEX('Daily Sale entry '!$S$1:$S$1501,$J1594-1499))-TRUNC(N(INDEX('Daily Sale entry '!$S$1:$S$1501,$J1594-1499))))))</f>
        <v/>
      </c>
      <c r="G1594" s="6">
        <f>IF($J1594="","",IF($J1594&lt;=1500,N(INDEX('Daily Sale entry '!$AD$1:$AD$1501,$J1594+1)),0))</f>
        <v/>
      </c>
      <c r="H1594" s="6">
        <f>IF($J1594="","",ROUND('Opening Balance'!$B$4+SUM($F$2:F1594)-SUM($G$2:G1594),2))</f>
        <v/>
      </c>
      <c r="J1594" s="21">
        <f>IFERROR(MATCH(ROW()-1,$L$2:$L$3001,0),"")</f>
        <v/>
      </c>
      <c r="K1594" s="34">
        <f>IF(AND('Daily Sale entry '!Q94="Collection 收款",'Daily Sale entry '!R94="Cheque 支票",'Daily Sale entry '!V94&lt;&gt;""),'Daily Sale entry '!V94+ROW()/10000000,"")</f>
        <v/>
      </c>
      <c r="L1594" s="21">
        <f>IF(K1594="","",COUNTIF($K$2:$K$3001,"&lt;"&amp;K1594)+1)</f>
        <v/>
      </c>
    </row>
    <row r="1595">
      <c r="A1595" s="5">
        <f>IF($J1595="","",IF($J1595&lt;=1500,INDEX('Daily Sale entry '!$X$1:$X$1501,$J1595+1),INDEX('Daily Sale entry '!$V$1:$V$1501,$J1595-1499)))</f>
        <v/>
      </c>
      <c r="B1595">
        <f>IF($J1595="","",IF($J1595&lt;=1500,INDEX('Daily Sale entry '!$Y$1:$Y$1501,$J1595+1)&amp;"","Buyer cheque banked 买家支票存入"&amp;IF(INDEX('Daily Sale entry '!$U$1:$U$1501,$J1595-1499)="","", " - "&amp;INDEX('Daily Sale entry '!$U$1:$U$1501,$J1595-1499))))</f>
        <v/>
      </c>
      <c r="C1595">
        <f>IF($J1595="","",IF($J1595&lt;=1500,INDEX('Daily Sale entry '!$Z$1:$Z$1501,$J1595+1)&amp;"","Cheque deposit 支票存入 (buyer 买家)"))</f>
        <v/>
      </c>
      <c r="D1595">
        <f>IF($J1595="","",IF($J1595&lt;=1500,INDEX('Daily Sale entry '!$AA$1:$AA$1501,$J1595+1)&amp;"",INDEX('Daily Sale entry '!$P$1:$P$1501,$J1595-1499)&amp;""))</f>
        <v/>
      </c>
      <c r="E1595">
        <f>IF($J1595="","",IF($J1595&lt;=1500,IF(N(INDEX('Daily Sale entry '!$AB$1:$AB$1501,$J1595+1))=0,"",INDEX('Daily Sale entry '!$AB$1:$AB$1501,$J1595+1)),1))</f>
        <v/>
      </c>
      <c r="F1595" s="6">
        <f>IF($J1595="","",IF($J1595&lt;=1500,N(INDEX('Daily Sale entry '!$AC$1:$AC$1501,$J1595+1))-IF(AND('Opening Balance'!$B$15=1,INDEX('Daily Sale entry '!$Z$1:$Z$1501,$J1595+1)="Online collection 网上收款",INDEX('Daily Sale entry '!$AA$1:$AA$1501,$J1595+1)&lt;&gt;""),N(INDEX('Daily Sale entry '!$AC$1:$AC$1501,$J1595+1))-TRUNC(N(INDEX('Daily Sale entry '!$AC$1:$AC$1501,$J1595+1))),0),N(INDEX('Daily Sale entry '!$S$1:$S$1501,$J1595-1499))-'Opening Balance'!$B$15*(N(INDEX('Daily Sale entry '!$S$1:$S$1501,$J1595-1499))-TRUNC(N(INDEX('Daily Sale entry '!$S$1:$S$1501,$J1595-1499))))))</f>
        <v/>
      </c>
      <c r="G1595" s="6">
        <f>IF($J1595="","",IF($J1595&lt;=1500,N(INDEX('Daily Sale entry '!$AD$1:$AD$1501,$J1595+1)),0))</f>
        <v/>
      </c>
      <c r="H1595" s="6">
        <f>IF($J1595="","",ROUND('Opening Balance'!$B$4+SUM($F$2:F1595)-SUM($G$2:G1595),2))</f>
        <v/>
      </c>
      <c r="J1595" s="21">
        <f>IFERROR(MATCH(ROW()-1,$L$2:$L$3001,0),"")</f>
        <v/>
      </c>
      <c r="K1595" s="34">
        <f>IF(AND('Daily Sale entry '!Q95="Collection 收款",'Daily Sale entry '!R95="Cheque 支票",'Daily Sale entry '!V95&lt;&gt;""),'Daily Sale entry '!V95+ROW()/10000000,"")</f>
        <v/>
      </c>
      <c r="L1595" s="21">
        <f>IF(K1595="","",COUNTIF($K$2:$K$3001,"&lt;"&amp;K1595)+1)</f>
        <v/>
      </c>
    </row>
    <row r="1596">
      <c r="A1596" s="5">
        <f>IF($J1596="","",IF($J1596&lt;=1500,INDEX('Daily Sale entry '!$X$1:$X$1501,$J1596+1),INDEX('Daily Sale entry '!$V$1:$V$1501,$J1596-1499)))</f>
        <v/>
      </c>
      <c r="B1596">
        <f>IF($J1596="","",IF($J1596&lt;=1500,INDEX('Daily Sale entry '!$Y$1:$Y$1501,$J1596+1)&amp;"","Buyer cheque banked 买家支票存入"&amp;IF(INDEX('Daily Sale entry '!$U$1:$U$1501,$J1596-1499)="","", " - "&amp;INDEX('Daily Sale entry '!$U$1:$U$1501,$J1596-1499))))</f>
        <v/>
      </c>
      <c r="C1596">
        <f>IF($J1596="","",IF($J1596&lt;=1500,INDEX('Daily Sale entry '!$Z$1:$Z$1501,$J1596+1)&amp;"","Cheque deposit 支票存入 (buyer 买家)"))</f>
        <v/>
      </c>
      <c r="D1596">
        <f>IF($J1596="","",IF($J1596&lt;=1500,INDEX('Daily Sale entry '!$AA$1:$AA$1501,$J1596+1)&amp;"",INDEX('Daily Sale entry '!$P$1:$P$1501,$J1596-1499)&amp;""))</f>
        <v/>
      </c>
      <c r="E1596">
        <f>IF($J1596="","",IF($J1596&lt;=1500,IF(N(INDEX('Daily Sale entry '!$AB$1:$AB$1501,$J1596+1))=0,"",INDEX('Daily Sale entry '!$AB$1:$AB$1501,$J1596+1)),1))</f>
        <v/>
      </c>
      <c r="F1596" s="6">
        <f>IF($J1596="","",IF($J1596&lt;=1500,N(INDEX('Daily Sale entry '!$AC$1:$AC$1501,$J1596+1))-IF(AND('Opening Balance'!$B$15=1,INDEX('Daily Sale entry '!$Z$1:$Z$1501,$J1596+1)="Online collection 网上收款",INDEX('Daily Sale entry '!$AA$1:$AA$1501,$J1596+1)&lt;&gt;""),N(INDEX('Daily Sale entry '!$AC$1:$AC$1501,$J1596+1))-TRUNC(N(INDEX('Daily Sale entry '!$AC$1:$AC$1501,$J1596+1))),0),N(INDEX('Daily Sale entry '!$S$1:$S$1501,$J1596-1499))-'Opening Balance'!$B$15*(N(INDEX('Daily Sale entry '!$S$1:$S$1501,$J1596-1499))-TRUNC(N(INDEX('Daily Sale entry '!$S$1:$S$1501,$J1596-1499))))))</f>
        <v/>
      </c>
      <c r="G1596" s="6">
        <f>IF($J1596="","",IF($J1596&lt;=1500,N(INDEX('Daily Sale entry '!$AD$1:$AD$1501,$J1596+1)),0))</f>
        <v/>
      </c>
      <c r="H1596" s="6">
        <f>IF($J1596="","",ROUND('Opening Balance'!$B$4+SUM($F$2:F1596)-SUM($G$2:G1596),2))</f>
        <v/>
      </c>
      <c r="J1596" s="21">
        <f>IFERROR(MATCH(ROW()-1,$L$2:$L$3001,0),"")</f>
        <v/>
      </c>
      <c r="K1596" s="34">
        <f>IF(AND('Daily Sale entry '!Q96="Collection 收款",'Daily Sale entry '!R96="Cheque 支票",'Daily Sale entry '!V96&lt;&gt;""),'Daily Sale entry '!V96+ROW()/10000000,"")</f>
        <v/>
      </c>
      <c r="L1596" s="21">
        <f>IF(K1596="","",COUNTIF($K$2:$K$3001,"&lt;"&amp;K1596)+1)</f>
        <v/>
      </c>
    </row>
    <row r="1597">
      <c r="A1597" s="5">
        <f>IF($J1597="","",IF($J1597&lt;=1500,INDEX('Daily Sale entry '!$X$1:$X$1501,$J1597+1),INDEX('Daily Sale entry '!$V$1:$V$1501,$J1597-1499)))</f>
        <v/>
      </c>
      <c r="B1597">
        <f>IF($J1597="","",IF($J1597&lt;=1500,INDEX('Daily Sale entry '!$Y$1:$Y$1501,$J1597+1)&amp;"","Buyer cheque banked 买家支票存入"&amp;IF(INDEX('Daily Sale entry '!$U$1:$U$1501,$J1597-1499)="","", " - "&amp;INDEX('Daily Sale entry '!$U$1:$U$1501,$J1597-1499))))</f>
        <v/>
      </c>
      <c r="C1597">
        <f>IF($J1597="","",IF($J1597&lt;=1500,INDEX('Daily Sale entry '!$Z$1:$Z$1501,$J1597+1)&amp;"","Cheque deposit 支票存入 (buyer 买家)"))</f>
        <v/>
      </c>
      <c r="D1597">
        <f>IF($J1597="","",IF($J1597&lt;=1500,INDEX('Daily Sale entry '!$AA$1:$AA$1501,$J1597+1)&amp;"",INDEX('Daily Sale entry '!$P$1:$P$1501,$J1597-1499)&amp;""))</f>
        <v/>
      </c>
      <c r="E1597">
        <f>IF($J1597="","",IF($J1597&lt;=1500,IF(N(INDEX('Daily Sale entry '!$AB$1:$AB$1501,$J1597+1))=0,"",INDEX('Daily Sale entry '!$AB$1:$AB$1501,$J1597+1)),1))</f>
        <v/>
      </c>
      <c r="F1597" s="6">
        <f>IF($J1597="","",IF($J1597&lt;=1500,N(INDEX('Daily Sale entry '!$AC$1:$AC$1501,$J1597+1))-IF(AND('Opening Balance'!$B$15=1,INDEX('Daily Sale entry '!$Z$1:$Z$1501,$J1597+1)="Online collection 网上收款",INDEX('Daily Sale entry '!$AA$1:$AA$1501,$J1597+1)&lt;&gt;""),N(INDEX('Daily Sale entry '!$AC$1:$AC$1501,$J1597+1))-TRUNC(N(INDEX('Daily Sale entry '!$AC$1:$AC$1501,$J1597+1))),0),N(INDEX('Daily Sale entry '!$S$1:$S$1501,$J1597-1499))-'Opening Balance'!$B$15*(N(INDEX('Daily Sale entry '!$S$1:$S$1501,$J1597-1499))-TRUNC(N(INDEX('Daily Sale entry '!$S$1:$S$1501,$J1597-1499))))))</f>
        <v/>
      </c>
      <c r="G1597" s="6">
        <f>IF($J1597="","",IF($J1597&lt;=1500,N(INDEX('Daily Sale entry '!$AD$1:$AD$1501,$J1597+1)),0))</f>
        <v/>
      </c>
      <c r="H1597" s="6">
        <f>IF($J1597="","",ROUND('Opening Balance'!$B$4+SUM($F$2:F1597)-SUM($G$2:G1597),2))</f>
        <v/>
      </c>
      <c r="J1597" s="21">
        <f>IFERROR(MATCH(ROW()-1,$L$2:$L$3001,0),"")</f>
        <v/>
      </c>
      <c r="K1597" s="34">
        <f>IF(AND('Daily Sale entry '!Q97="Collection 收款",'Daily Sale entry '!R97="Cheque 支票",'Daily Sale entry '!V97&lt;&gt;""),'Daily Sale entry '!V97+ROW()/10000000,"")</f>
        <v/>
      </c>
      <c r="L1597" s="21">
        <f>IF(K1597="","",COUNTIF($K$2:$K$3001,"&lt;"&amp;K1597)+1)</f>
        <v/>
      </c>
    </row>
    <row r="1598">
      <c r="A1598" s="5">
        <f>IF($J1598="","",IF($J1598&lt;=1500,INDEX('Daily Sale entry '!$X$1:$X$1501,$J1598+1),INDEX('Daily Sale entry '!$V$1:$V$1501,$J1598-1499)))</f>
        <v/>
      </c>
      <c r="B1598">
        <f>IF($J1598="","",IF($J1598&lt;=1500,INDEX('Daily Sale entry '!$Y$1:$Y$1501,$J1598+1)&amp;"","Buyer cheque banked 买家支票存入"&amp;IF(INDEX('Daily Sale entry '!$U$1:$U$1501,$J1598-1499)="","", " - "&amp;INDEX('Daily Sale entry '!$U$1:$U$1501,$J1598-1499))))</f>
        <v/>
      </c>
      <c r="C1598">
        <f>IF($J1598="","",IF($J1598&lt;=1500,INDEX('Daily Sale entry '!$Z$1:$Z$1501,$J1598+1)&amp;"","Cheque deposit 支票存入 (buyer 买家)"))</f>
        <v/>
      </c>
      <c r="D1598">
        <f>IF($J1598="","",IF($J1598&lt;=1500,INDEX('Daily Sale entry '!$AA$1:$AA$1501,$J1598+1)&amp;"",INDEX('Daily Sale entry '!$P$1:$P$1501,$J1598-1499)&amp;""))</f>
        <v/>
      </c>
      <c r="E1598">
        <f>IF($J1598="","",IF($J1598&lt;=1500,IF(N(INDEX('Daily Sale entry '!$AB$1:$AB$1501,$J1598+1))=0,"",INDEX('Daily Sale entry '!$AB$1:$AB$1501,$J1598+1)),1))</f>
        <v/>
      </c>
      <c r="F1598" s="6">
        <f>IF($J1598="","",IF($J1598&lt;=1500,N(INDEX('Daily Sale entry '!$AC$1:$AC$1501,$J1598+1))-IF(AND('Opening Balance'!$B$15=1,INDEX('Daily Sale entry '!$Z$1:$Z$1501,$J1598+1)="Online collection 网上收款",INDEX('Daily Sale entry '!$AA$1:$AA$1501,$J1598+1)&lt;&gt;""),N(INDEX('Daily Sale entry '!$AC$1:$AC$1501,$J1598+1))-TRUNC(N(INDEX('Daily Sale entry '!$AC$1:$AC$1501,$J1598+1))),0),N(INDEX('Daily Sale entry '!$S$1:$S$1501,$J1598-1499))-'Opening Balance'!$B$15*(N(INDEX('Daily Sale entry '!$S$1:$S$1501,$J1598-1499))-TRUNC(N(INDEX('Daily Sale entry '!$S$1:$S$1501,$J1598-1499))))))</f>
        <v/>
      </c>
      <c r="G1598" s="6">
        <f>IF($J1598="","",IF($J1598&lt;=1500,N(INDEX('Daily Sale entry '!$AD$1:$AD$1501,$J1598+1)),0))</f>
        <v/>
      </c>
      <c r="H1598" s="6">
        <f>IF($J1598="","",ROUND('Opening Balance'!$B$4+SUM($F$2:F1598)-SUM($G$2:G1598),2))</f>
        <v/>
      </c>
      <c r="J1598" s="21">
        <f>IFERROR(MATCH(ROW()-1,$L$2:$L$3001,0),"")</f>
        <v/>
      </c>
      <c r="K1598" s="34">
        <f>IF(AND('Daily Sale entry '!Q98="Collection 收款",'Daily Sale entry '!R98="Cheque 支票",'Daily Sale entry '!V98&lt;&gt;""),'Daily Sale entry '!V98+ROW()/10000000,"")</f>
        <v/>
      </c>
      <c r="L1598" s="21">
        <f>IF(K1598="","",COUNTIF($K$2:$K$3001,"&lt;"&amp;K1598)+1)</f>
        <v/>
      </c>
    </row>
    <row r="1599">
      <c r="A1599" s="5">
        <f>IF($J1599="","",IF($J1599&lt;=1500,INDEX('Daily Sale entry '!$X$1:$X$1501,$J1599+1),INDEX('Daily Sale entry '!$V$1:$V$1501,$J1599-1499)))</f>
        <v/>
      </c>
      <c r="B1599">
        <f>IF($J1599="","",IF($J1599&lt;=1500,INDEX('Daily Sale entry '!$Y$1:$Y$1501,$J1599+1)&amp;"","Buyer cheque banked 买家支票存入"&amp;IF(INDEX('Daily Sale entry '!$U$1:$U$1501,$J1599-1499)="","", " - "&amp;INDEX('Daily Sale entry '!$U$1:$U$1501,$J1599-1499))))</f>
        <v/>
      </c>
      <c r="C1599">
        <f>IF($J1599="","",IF($J1599&lt;=1500,INDEX('Daily Sale entry '!$Z$1:$Z$1501,$J1599+1)&amp;"","Cheque deposit 支票存入 (buyer 买家)"))</f>
        <v/>
      </c>
      <c r="D1599">
        <f>IF($J1599="","",IF($J1599&lt;=1500,INDEX('Daily Sale entry '!$AA$1:$AA$1501,$J1599+1)&amp;"",INDEX('Daily Sale entry '!$P$1:$P$1501,$J1599-1499)&amp;""))</f>
        <v/>
      </c>
      <c r="E1599">
        <f>IF($J1599="","",IF($J1599&lt;=1500,IF(N(INDEX('Daily Sale entry '!$AB$1:$AB$1501,$J1599+1))=0,"",INDEX('Daily Sale entry '!$AB$1:$AB$1501,$J1599+1)),1))</f>
        <v/>
      </c>
      <c r="F1599" s="6">
        <f>IF($J1599="","",IF($J1599&lt;=1500,N(INDEX('Daily Sale entry '!$AC$1:$AC$1501,$J1599+1))-IF(AND('Opening Balance'!$B$15=1,INDEX('Daily Sale entry '!$Z$1:$Z$1501,$J1599+1)="Online collection 网上收款",INDEX('Daily Sale entry '!$AA$1:$AA$1501,$J1599+1)&lt;&gt;""),N(INDEX('Daily Sale entry '!$AC$1:$AC$1501,$J1599+1))-TRUNC(N(INDEX('Daily Sale entry '!$AC$1:$AC$1501,$J1599+1))),0),N(INDEX('Daily Sale entry '!$S$1:$S$1501,$J1599-1499))-'Opening Balance'!$B$15*(N(INDEX('Daily Sale entry '!$S$1:$S$1501,$J1599-1499))-TRUNC(N(INDEX('Daily Sale entry '!$S$1:$S$1501,$J1599-1499))))))</f>
        <v/>
      </c>
      <c r="G1599" s="6">
        <f>IF($J1599="","",IF($J1599&lt;=1500,N(INDEX('Daily Sale entry '!$AD$1:$AD$1501,$J1599+1)),0))</f>
        <v/>
      </c>
      <c r="H1599" s="6">
        <f>IF($J1599="","",ROUND('Opening Balance'!$B$4+SUM($F$2:F1599)-SUM($G$2:G1599),2))</f>
        <v/>
      </c>
      <c r="J1599" s="21">
        <f>IFERROR(MATCH(ROW()-1,$L$2:$L$3001,0),"")</f>
        <v/>
      </c>
      <c r="K1599" s="34">
        <f>IF(AND('Daily Sale entry '!Q99="Collection 收款",'Daily Sale entry '!R99="Cheque 支票",'Daily Sale entry '!V99&lt;&gt;""),'Daily Sale entry '!V99+ROW()/10000000,"")</f>
        <v/>
      </c>
      <c r="L1599" s="21">
        <f>IF(K1599="","",COUNTIF($K$2:$K$3001,"&lt;"&amp;K1599)+1)</f>
        <v/>
      </c>
    </row>
    <row r="1600">
      <c r="A1600" s="5">
        <f>IF($J1600="","",IF($J1600&lt;=1500,INDEX('Daily Sale entry '!$X$1:$X$1501,$J1600+1),INDEX('Daily Sale entry '!$V$1:$V$1501,$J1600-1499)))</f>
        <v/>
      </c>
      <c r="B1600">
        <f>IF($J1600="","",IF($J1600&lt;=1500,INDEX('Daily Sale entry '!$Y$1:$Y$1501,$J1600+1)&amp;"","Buyer cheque banked 买家支票存入"&amp;IF(INDEX('Daily Sale entry '!$U$1:$U$1501,$J1600-1499)="","", " - "&amp;INDEX('Daily Sale entry '!$U$1:$U$1501,$J1600-1499))))</f>
        <v/>
      </c>
      <c r="C1600">
        <f>IF($J1600="","",IF($J1600&lt;=1500,INDEX('Daily Sale entry '!$Z$1:$Z$1501,$J1600+1)&amp;"","Cheque deposit 支票存入 (buyer 买家)"))</f>
        <v/>
      </c>
      <c r="D1600">
        <f>IF($J1600="","",IF($J1600&lt;=1500,INDEX('Daily Sale entry '!$AA$1:$AA$1501,$J1600+1)&amp;"",INDEX('Daily Sale entry '!$P$1:$P$1501,$J1600-1499)&amp;""))</f>
        <v/>
      </c>
      <c r="E1600">
        <f>IF($J1600="","",IF($J1600&lt;=1500,IF(N(INDEX('Daily Sale entry '!$AB$1:$AB$1501,$J1600+1))=0,"",INDEX('Daily Sale entry '!$AB$1:$AB$1501,$J1600+1)),1))</f>
        <v/>
      </c>
      <c r="F1600" s="6">
        <f>IF($J1600="","",IF($J1600&lt;=1500,N(INDEX('Daily Sale entry '!$AC$1:$AC$1501,$J1600+1))-IF(AND('Opening Balance'!$B$15=1,INDEX('Daily Sale entry '!$Z$1:$Z$1501,$J1600+1)="Online collection 网上收款",INDEX('Daily Sale entry '!$AA$1:$AA$1501,$J1600+1)&lt;&gt;""),N(INDEX('Daily Sale entry '!$AC$1:$AC$1501,$J1600+1))-TRUNC(N(INDEX('Daily Sale entry '!$AC$1:$AC$1501,$J1600+1))),0),N(INDEX('Daily Sale entry '!$S$1:$S$1501,$J1600-1499))-'Opening Balance'!$B$15*(N(INDEX('Daily Sale entry '!$S$1:$S$1501,$J1600-1499))-TRUNC(N(INDEX('Daily Sale entry '!$S$1:$S$1501,$J1600-1499))))))</f>
        <v/>
      </c>
      <c r="G1600" s="6">
        <f>IF($J1600="","",IF($J1600&lt;=1500,N(INDEX('Daily Sale entry '!$AD$1:$AD$1501,$J1600+1)),0))</f>
        <v/>
      </c>
      <c r="H1600" s="6">
        <f>IF($J1600="","",ROUND('Opening Balance'!$B$4+SUM($F$2:F1600)-SUM($G$2:G1600),2))</f>
        <v/>
      </c>
      <c r="J1600" s="21">
        <f>IFERROR(MATCH(ROW()-1,$L$2:$L$3001,0),"")</f>
        <v/>
      </c>
      <c r="K1600" s="34">
        <f>IF(AND('Daily Sale entry '!Q100="Collection 收款",'Daily Sale entry '!R100="Cheque 支票",'Daily Sale entry '!V100&lt;&gt;""),'Daily Sale entry '!V100+ROW()/10000000,"")</f>
        <v/>
      </c>
      <c r="L1600" s="21">
        <f>IF(K1600="","",COUNTIF($K$2:$K$3001,"&lt;"&amp;K1600)+1)</f>
        <v/>
      </c>
    </row>
    <row r="1601">
      <c r="A1601" s="5">
        <f>IF($J1601="","",IF($J1601&lt;=1500,INDEX('Daily Sale entry '!$X$1:$X$1501,$J1601+1),INDEX('Daily Sale entry '!$V$1:$V$1501,$J1601-1499)))</f>
        <v/>
      </c>
      <c r="B1601">
        <f>IF($J1601="","",IF($J1601&lt;=1500,INDEX('Daily Sale entry '!$Y$1:$Y$1501,$J1601+1)&amp;"","Buyer cheque banked 买家支票存入"&amp;IF(INDEX('Daily Sale entry '!$U$1:$U$1501,$J1601-1499)="","", " - "&amp;INDEX('Daily Sale entry '!$U$1:$U$1501,$J1601-1499))))</f>
        <v/>
      </c>
      <c r="C1601">
        <f>IF($J1601="","",IF($J1601&lt;=1500,INDEX('Daily Sale entry '!$Z$1:$Z$1501,$J1601+1)&amp;"","Cheque deposit 支票存入 (buyer 买家)"))</f>
        <v/>
      </c>
      <c r="D1601">
        <f>IF($J1601="","",IF($J1601&lt;=1500,INDEX('Daily Sale entry '!$AA$1:$AA$1501,$J1601+1)&amp;"",INDEX('Daily Sale entry '!$P$1:$P$1501,$J1601-1499)&amp;""))</f>
        <v/>
      </c>
      <c r="E1601">
        <f>IF($J1601="","",IF($J1601&lt;=1500,IF(N(INDEX('Daily Sale entry '!$AB$1:$AB$1501,$J1601+1))=0,"",INDEX('Daily Sale entry '!$AB$1:$AB$1501,$J1601+1)),1))</f>
        <v/>
      </c>
      <c r="F1601" s="6">
        <f>IF($J1601="","",IF($J1601&lt;=1500,N(INDEX('Daily Sale entry '!$AC$1:$AC$1501,$J1601+1))-IF(AND('Opening Balance'!$B$15=1,INDEX('Daily Sale entry '!$Z$1:$Z$1501,$J1601+1)="Online collection 网上收款",INDEX('Daily Sale entry '!$AA$1:$AA$1501,$J1601+1)&lt;&gt;""),N(INDEX('Daily Sale entry '!$AC$1:$AC$1501,$J1601+1))-TRUNC(N(INDEX('Daily Sale entry '!$AC$1:$AC$1501,$J1601+1))),0),N(INDEX('Daily Sale entry '!$S$1:$S$1501,$J1601-1499))-'Opening Balance'!$B$15*(N(INDEX('Daily Sale entry '!$S$1:$S$1501,$J1601-1499))-TRUNC(N(INDEX('Daily Sale entry '!$S$1:$S$1501,$J1601-1499))))))</f>
        <v/>
      </c>
      <c r="G1601" s="6">
        <f>IF($J1601="","",IF($J1601&lt;=1500,N(INDEX('Daily Sale entry '!$AD$1:$AD$1501,$J1601+1)),0))</f>
        <v/>
      </c>
      <c r="H1601" s="6">
        <f>IF($J1601="","",ROUND('Opening Balance'!$B$4+SUM($F$2:F1601)-SUM($G$2:G1601),2))</f>
        <v/>
      </c>
      <c r="J1601" s="21">
        <f>IFERROR(MATCH(ROW()-1,$L$2:$L$3001,0),"")</f>
        <v/>
      </c>
      <c r="K1601" s="34">
        <f>IF(AND('Daily Sale entry '!Q101="Collection 收款",'Daily Sale entry '!R101="Cheque 支票",'Daily Sale entry '!V101&lt;&gt;""),'Daily Sale entry '!V101+ROW()/10000000,"")</f>
        <v/>
      </c>
      <c r="L1601" s="21">
        <f>IF(K1601="","",COUNTIF($K$2:$K$3001,"&lt;"&amp;K1601)+1)</f>
        <v/>
      </c>
    </row>
    <row r="1602">
      <c r="A1602" s="5">
        <f>IF($J1602="","",IF($J1602&lt;=1500,INDEX('Daily Sale entry '!$X$1:$X$1501,$J1602+1),INDEX('Daily Sale entry '!$V$1:$V$1501,$J1602-1499)))</f>
        <v/>
      </c>
      <c r="B1602">
        <f>IF($J1602="","",IF($J1602&lt;=1500,INDEX('Daily Sale entry '!$Y$1:$Y$1501,$J1602+1)&amp;"","Buyer cheque banked 买家支票存入"&amp;IF(INDEX('Daily Sale entry '!$U$1:$U$1501,$J1602-1499)="","", " - "&amp;INDEX('Daily Sale entry '!$U$1:$U$1501,$J1602-1499))))</f>
        <v/>
      </c>
      <c r="C1602">
        <f>IF($J1602="","",IF($J1602&lt;=1500,INDEX('Daily Sale entry '!$Z$1:$Z$1501,$J1602+1)&amp;"","Cheque deposit 支票存入 (buyer 买家)"))</f>
        <v/>
      </c>
      <c r="D1602">
        <f>IF($J1602="","",IF($J1602&lt;=1500,INDEX('Daily Sale entry '!$AA$1:$AA$1501,$J1602+1)&amp;"",INDEX('Daily Sale entry '!$P$1:$P$1501,$J1602-1499)&amp;""))</f>
        <v/>
      </c>
      <c r="E1602">
        <f>IF($J1602="","",IF($J1602&lt;=1500,IF(N(INDEX('Daily Sale entry '!$AB$1:$AB$1501,$J1602+1))=0,"",INDEX('Daily Sale entry '!$AB$1:$AB$1501,$J1602+1)),1))</f>
        <v/>
      </c>
      <c r="F1602" s="6">
        <f>IF($J1602="","",IF($J1602&lt;=1500,N(INDEX('Daily Sale entry '!$AC$1:$AC$1501,$J1602+1))-IF(AND('Opening Balance'!$B$15=1,INDEX('Daily Sale entry '!$Z$1:$Z$1501,$J1602+1)="Online collection 网上收款",INDEX('Daily Sale entry '!$AA$1:$AA$1501,$J1602+1)&lt;&gt;""),N(INDEX('Daily Sale entry '!$AC$1:$AC$1501,$J1602+1))-TRUNC(N(INDEX('Daily Sale entry '!$AC$1:$AC$1501,$J1602+1))),0),N(INDEX('Daily Sale entry '!$S$1:$S$1501,$J1602-1499))-'Opening Balance'!$B$15*(N(INDEX('Daily Sale entry '!$S$1:$S$1501,$J1602-1499))-TRUNC(N(INDEX('Daily Sale entry '!$S$1:$S$1501,$J1602-1499))))))</f>
        <v/>
      </c>
      <c r="G1602" s="6">
        <f>IF($J1602="","",IF($J1602&lt;=1500,N(INDEX('Daily Sale entry '!$AD$1:$AD$1501,$J1602+1)),0))</f>
        <v/>
      </c>
      <c r="H1602" s="6">
        <f>IF($J1602="","",ROUND('Opening Balance'!$B$4+SUM($F$2:F1602)-SUM($G$2:G1602),2))</f>
        <v/>
      </c>
      <c r="J1602" s="21">
        <f>IFERROR(MATCH(ROW()-1,$L$2:$L$3001,0),"")</f>
        <v/>
      </c>
      <c r="K1602" s="34">
        <f>IF(AND('Daily Sale entry '!Q102="Collection 收款",'Daily Sale entry '!R102="Cheque 支票",'Daily Sale entry '!V102&lt;&gt;""),'Daily Sale entry '!V102+ROW()/10000000,"")</f>
        <v/>
      </c>
      <c r="L1602" s="21">
        <f>IF(K1602="","",COUNTIF($K$2:$K$3001,"&lt;"&amp;K1602)+1)</f>
        <v/>
      </c>
    </row>
    <row r="1603">
      <c r="A1603" s="5">
        <f>IF($J1603="","",IF($J1603&lt;=1500,INDEX('Daily Sale entry '!$X$1:$X$1501,$J1603+1),INDEX('Daily Sale entry '!$V$1:$V$1501,$J1603-1499)))</f>
        <v/>
      </c>
      <c r="B1603">
        <f>IF($J1603="","",IF($J1603&lt;=1500,INDEX('Daily Sale entry '!$Y$1:$Y$1501,$J1603+1)&amp;"","Buyer cheque banked 买家支票存入"&amp;IF(INDEX('Daily Sale entry '!$U$1:$U$1501,$J1603-1499)="","", " - "&amp;INDEX('Daily Sale entry '!$U$1:$U$1501,$J1603-1499))))</f>
        <v/>
      </c>
      <c r="C1603">
        <f>IF($J1603="","",IF($J1603&lt;=1500,INDEX('Daily Sale entry '!$Z$1:$Z$1501,$J1603+1)&amp;"","Cheque deposit 支票存入 (buyer 买家)"))</f>
        <v/>
      </c>
      <c r="D1603">
        <f>IF($J1603="","",IF($J1603&lt;=1500,INDEX('Daily Sale entry '!$AA$1:$AA$1501,$J1603+1)&amp;"",INDEX('Daily Sale entry '!$P$1:$P$1501,$J1603-1499)&amp;""))</f>
        <v/>
      </c>
      <c r="E1603">
        <f>IF($J1603="","",IF($J1603&lt;=1500,IF(N(INDEX('Daily Sale entry '!$AB$1:$AB$1501,$J1603+1))=0,"",INDEX('Daily Sale entry '!$AB$1:$AB$1501,$J1603+1)),1))</f>
        <v/>
      </c>
      <c r="F1603" s="6">
        <f>IF($J1603="","",IF($J1603&lt;=1500,N(INDEX('Daily Sale entry '!$AC$1:$AC$1501,$J1603+1))-IF(AND('Opening Balance'!$B$15=1,INDEX('Daily Sale entry '!$Z$1:$Z$1501,$J1603+1)="Online collection 网上收款",INDEX('Daily Sale entry '!$AA$1:$AA$1501,$J1603+1)&lt;&gt;""),N(INDEX('Daily Sale entry '!$AC$1:$AC$1501,$J1603+1))-TRUNC(N(INDEX('Daily Sale entry '!$AC$1:$AC$1501,$J1603+1))),0),N(INDEX('Daily Sale entry '!$S$1:$S$1501,$J1603-1499))-'Opening Balance'!$B$15*(N(INDEX('Daily Sale entry '!$S$1:$S$1501,$J1603-1499))-TRUNC(N(INDEX('Daily Sale entry '!$S$1:$S$1501,$J1603-1499))))))</f>
        <v/>
      </c>
      <c r="G1603" s="6">
        <f>IF($J1603="","",IF($J1603&lt;=1500,N(INDEX('Daily Sale entry '!$AD$1:$AD$1501,$J1603+1)),0))</f>
        <v/>
      </c>
      <c r="H1603" s="6">
        <f>IF($J1603="","",ROUND('Opening Balance'!$B$4+SUM($F$2:F1603)-SUM($G$2:G1603),2))</f>
        <v/>
      </c>
      <c r="J1603" s="21">
        <f>IFERROR(MATCH(ROW()-1,$L$2:$L$3001,0),"")</f>
        <v/>
      </c>
      <c r="K1603" s="34">
        <f>IF(AND('Daily Sale entry '!Q103="Collection 收款",'Daily Sale entry '!R103="Cheque 支票",'Daily Sale entry '!V103&lt;&gt;""),'Daily Sale entry '!V103+ROW()/10000000,"")</f>
        <v/>
      </c>
      <c r="L1603" s="21">
        <f>IF(K1603="","",COUNTIF($K$2:$K$3001,"&lt;"&amp;K1603)+1)</f>
        <v/>
      </c>
    </row>
    <row r="1604">
      <c r="A1604" s="5">
        <f>IF($J1604="","",IF($J1604&lt;=1500,INDEX('Daily Sale entry '!$X$1:$X$1501,$J1604+1),INDEX('Daily Sale entry '!$V$1:$V$1501,$J1604-1499)))</f>
        <v/>
      </c>
      <c r="B1604">
        <f>IF($J1604="","",IF($J1604&lt;=1500,INDEX('Daily Sale entry '!$Y$1:$Y$1501,$J1604+1)&amp;"","Buyer cheque banked 买家支票存入"&amp;IF(INDEX('Daily Sale entry '!$U$1:$U$1501,$J1604-1499)="","", " - "&amp;INDEX('Daily Sale entry '!$U$1:$U$1501,$J1604-1499))))</f>
        <v/>
      </c>
      <c r="C1604">
        <f>IF($J1604="","",IF($J1604&lt;=1500,INDEX('Daily Sale entry '!$Z$1:$Z$1501,$J1604+1)&amp;"","Cheque deposit 支票存入 (buyer 买家)"))</f>
        <v/>
      </c>
      <c r="D1604">
        <f>IF($J1604="","",IF($J1604&lt;=1500,INDEX('Daily Sale entry '!$AA$1:$AA$1501,$J1604+1)&amp;"",INDEX('Daily Sale entry '!$P$1:$P$1501,$J1604-1499)&amp;""))</f>
        <v/>
      </c>
      <c r="E1604">
        <f>IF($J1604="","",IF($J1604&lt;=1500,IF(N(INDEX('Daily Sale entry '!$AB$1:$AB$1501,$J1604+1))=0,"",INDEX('Daily Sale entry '!$AB$1:$AB$1501,$J1604+1)),1))</f>
        <v/>
      </c>
      <c r="F1604" s="6">
        <f>IF($J1604="","",IF($J1604&lt;=1500,N(INDEX('Daily Sale entry '!$AC$1:$AC$1501,$J1604+1))-IF(AND('Opening Balance'!$B$15=1,INDEX('Daily Sale entry '!$Z$1:$Z$1501,$J1604+1)="Online collection 网上收款",INDEX('Daily Sale entry '!$AA$1:$AA$1501,$J1604+1)&lt;&gt;""),N(INDEX('Daily Sale entry '!$AC$1:$AC$1501,$J1604+1))-TRUNC(N(INDEX('Daily Sale entry '!$AC$1:$AC$1501,$J1604+1))),0),N(INDEX('Daily Sale entry '!$S$1:$S$1501,$J1604-1499))-'Opening Balance'!$B$15*(N(INDEX('Daily Sale entry '!$S$1:$S$1501,$J1604-1499))-TRUNC(N(INDEX('Daily Sale entry '!$S$1:$S$1501,$J1604-1499))))))</f>
        <v/>
      </c>
      <c r="G1604" s="6">
        <f>IF($J1604="","",IF($J1604&lt;=1500,N(INDEX('Daily Sale entry '!$AD$1:$AD$1501,$J1604+1)),0))</f>
        <v/>
      </c>
      <c r="H1604" s="6">
        <f>IF($J1604="","",ROUND('Opening Balance'!$B$4+SUM($F$2:F1604)-SUM($G$2:G1604),2))</f>
        <v/>
      </c>
      <c r="J1604" s="21">
        <f>IFERROR(MATCH(ROW()-1,$L$2:$L$3001,0),"")</f>
        <v/>
      </c>
      <c r="K1604" s="34">
        <f>IF(AND('Daily Sale entry '!Q104="Collection 收款",'Daily Sale entry '!R104="Cheque 支票",'Daily Sale entry '!V104&lt;&gt;""),'Daily Sale entry '!V104+ROW()/10000000,"")</f>
        <v/>
      </c>
      <c r="L1604" s="21">
        <f>IF(K1604="","",COUNTIF($K$2:$K$3001,"&lt;"&amp;K1604)+1)</f>
        <v/>
      </c>
    </row>
    <row r="1605">
      <c r="A1605" s="5">
        <f>IF($J1605="","",IF($J1605&lt;=1500,INDEX('Daily Sale entry '!$X$1:$X$1501,$J1605+1),INDEX('Daily Sale entry '!$V$1:$V$1501,$J1605-1499)))</f>
        <v/>
      </c>
      <c r="B1605">
        <f>IF($J1605="","",IF($J1605&lt;=1500,INDEX('Daily Sale entry '!$Y$1:$Y$1501,$J1605+1)&amp;"","Buyer cheque banked 买家支票存入"&amp;IF(INDEX('Daily Sale entry '!$U$1:$U$1501,$J1605-1499)="","", " - "&amp;INDEX('Daily Sale entry '!$U$1:$U$1501,$J1605-1499))))</f>
        <v/>
      </c>
      <c r="C1605">
        <f>IF($J1605="","",IF($J1605&lt;=1500,INDEX('Daily Sale entry '!$Z$1:$Z$1501,$J1605+1)&amp;"","Cheque deposit 支票存入 (buyer 买家)"))</f>
        <v/>
      </c>
      <c r="D1605">
        <f>IF($J1605="","",IF($J1605&lt;=1500,INDEX('Daily Sale entry '!$AA$1:$AA$1501,$J1605+1)&amp;"",INDEX('Daily Sale entry '!$P$1:$P$1501,$J1605-1499)&amp;""))</f>
        <v/>
      </c>
      <c r="E1605">
        <f>IF($J1605="","",IF($J1605&lt;=1500,IF(N(INDEX('Daily Sale entry '!$AB$1:$AB$1501,$J1605+1))=0,"",INDEX('Daily Sale entry '!$AB$1:$AB$1501,$J1605+1)),1))</f>
        <v/>
      </c>
      <c r="F1605" s="6">
        <f>IF($J1605="","",IF($J1605&lt;=1500,N(INDEX('Daily Sale entry '!$AC$1:$AC$1501,$J1605+1))-IF(AND('Opening Balance'!$B$15=1,INDEX('Daily Sale entry '!$Z$1:$Z$1501,$J1605+1)="Online collection 网上收款",INDEX('Daily Sale entry '!$AA$1:$AA$1501,$J1605+1)&lt;&gt;""),N(INDEX('Daily Sale entry '!$AC$1:$AC$1501,$J1605+1))-TRUNC(N(INDEX('Daily Sale entry '!$AC$1:$AC$1501,$J1605+1))),0),N(INDEX('Daily Sale entry '!$S$1:$S$1501,$J1605-1499))-'Opening Balance'!$B$15*(N(INDEX('Daily Sale entry '!$S$1:$S$1501,$J1605-1499))-TRUNC(N(INDEX('Daily Sale entry '!$S$1:$S$1501,$J1605-1499))))))</f>
        <v/>
      </c>
      <c r="G1605" s="6">
        <f>IF($J1605="","",IF($J1605&lt;=1500,N(INDEX('Daily Sale entry '!$AD$1:$AD$1501,$J1605+1)),0))</f>
        <v/>
      </c>
      <c r="H1605" s="6">
        <f>IF($J1605="","",ROUND('Opening Balance'!$B$4+SUM($F$2:F1605)-SUM($G$2:G1605),2))</f>
        <v/>
      </c>
      <c r="J1605" s="21">
        <f>IFERROR(MATCH(ROW()-1,$L$2:$L$3001,0),"")</f>
        <v/>
      </c>
      <c r="K1605" s="34">
        <f>IF(AND('Daily Sale entry '!Q105="Collection 收款",'Daily Sale entry '!R105="Cheque 支票",'Daily Sale entry '!V105&lt;&gt;""),'Daily Sale entry '!V105+ROW()/10000000,"")</f>
        <v/>
      </c>
      <c r="L1605" s="21">
        <f>IF(K1605="","",COUNTIF($K$2:$K$3001,"&lt;"&amp;K1605)+1)</f>
        <v/>
      </c>
    </row>
    <row r="1606">
      <c r="A1606" s="5">
        <f>IF($J1606="","",IF($J1606&lt;=1500,INDEX('Daily Sale entry '!$X$1:$X$1501,$J1606+1),INDEX('Daily Sale entry '!$V$1:$V$1501,$J1606-1499)))</f>
        <v/>
      </c>
      <c r="B1606">
        <f>IF($J1606="","",IF($J1606&lt;=1500,INDEX('Daily Sale entry '!$Y$1:$Y$1501,$J1606+1)&amp;"","Buyer cheque banked 买家支票存入"&amp;IF(INDEX('Daily Sale entry '!$U$1:$U$1501,$J1606-1499)="","", " - "&amp;INDEX('Daily Sale entry '!$U$1:$U$1501,$J1606-1499))))</f>
        <v/>
      </c>
      <c r="C1606">
        <f>IF($J1606="","",IF($J1606&lt;=1500,INDEX('Daily Sale entry '!$Z$1:$Z$1501,$J1606+1)&amp;"","Cheque deposit 支票存入 (buyer 买家)"))</f>
        <v/>
      </c>
      <c r="D1606">
        <f>IF($J1606="","",IF($J1606&lt;=1500,INDEX('Daily Sale entry '!$AA$1:$AA$1501,$J1606+1)&amp;"",INDEX('Daily Sale entry '!$P$1:$P$1501,$J1606-1499)&amp;""))</f>
        <v/>
      </c>
      <c r="E1606">
        <f>IF($J1606="","",IF($J1606&lt;=1500,IF(N(INDEX('Daily Sale entry '!$AB$1:$AB$1501,$J1606+1))=0,"",INDEX('Daily Sale entry '!$AB$1:$AB$1501,$J1606+1)),1))</f>
        <v/>
      </c>
      <c r="F1606" s="6">
        <f>IF($J1606="","",IF($J1606&lt;=1500,N(INDEX('Daily Sale entry '!$AC$1:$AC$1501,$J1606+1))-IF(AND('Opening Balance'!$B$15=1,INDEX('Daily Sale entry '!$Z$1:$Z$1501,$J1606+1)="Online collection 网上收款",INDEX('Daily Sale entry '!$AA$1:$AA$1501,$J1606+1)&lt;&gt;""),N(INDEX('Daily Sale entry '!$AC$1:$AC$1501,$J1606+1))-TRUNC(N(INDEX('Daily Sale entry '!$AC$1:$AC$1501,$J1606+1))),0),N(INDEX('Daily Sale entry '!$S$1:$S$1501,$J1606-1499))-'Opening Balance'!$B$15*(N(INDEX('Daily Sale entry '!$S$1:$S$1501,$J1606-1499))-TRUNC(N(INDEX('Daily Sale entry '!$S$1:$S$1501,$J1606-1499))))))</f>
        <v/>
      </c>
      <c r="G1606" s="6">
        <f>IF($J1606="","",IF($J1606&lt;=1500,N(INDEX('Daily Sale entry '!$AD$1:$AD$1501,$J1606+1)),0))</f>
        <v/>
      </c>
      <c r="H1606" s="6">
        <f>IF($J1606="","",ROUND('Opening Balance'!$B$4+SUM($F$2:F1606)-SUM($G$2:G1606),2))</f>
        <v/>
      </c>
      <c r="J1606" s="21">
        <f>IFERROR(MATCH(ROW()-1,$L$2:$L$3001,0),"")</f>
        <v/>
      </c>
      <c r="K1606" s="34">
        <f>IF(AND('Daily Sale entry '!Q106="Collection 收款",'Daily Sale entry '!R106="Cheque 支票",'Daily Sale entry '!V106&lt;&gt;""),'Daily Sale entry '!V106+ROW()/10000000,"")</f>
        <v/>
      </c>
      <c r="L1606" s="21">
        <f>IF(K1606="","",COUNTIF($K$2:$K$3001,"&lt;"&amp;K1606)+1)</f>
        <v/>
      </c>
    </row>
    <row r="1607">
      <c r="A1607" s="5">
        <f>IF($J1607="","",IF($J1607&lt;=1500,INDEX('Daily Sale entry '!$X$1:$X$1501,$J1607+1),INDEX('Daily Sale entry '!$V$1:$V$1501,$J1607-1499)))</f>
        <v/>
      </c>
      <c r="B1607">
        <f>IF($J1607="","",IF($J1607&lt;=1500,INDEX('Daily Sale entry '!$Y$1:$Y$1501,$J1607+1)&amp;"","Buyer cheque banked 买家支票存入"&amp;IF(INDEX('Daily Sale entry '!$U$1:$U$1501,$J1607-1499)="","", " - "&amp;INDEX('Daily Sale entry '!$U$1:$U$1501,$J1607-1499))))</f>
        <v/>
      </c>
      <c r="C1607">
        <f>IF($J1607="","",IF($J1607&lt;=1500,INDEX('Daily Sale entry '!$Z$1:$Z$1501,$J1607+1)&amp;"","Cheque deposit 支票存入 (buyer 买家)"))</f>
        <v/>
      </c>
      <c r="D1607">
        <f>IF($J1607="","",IF($J1607&lt;=1500,INDEX('Daily Sale entry '!$AA$1:$AA$1501,$J1607+1)&amp;"",INDEX('Daily Sale entry '!$P$1:$P$1501,$J1607-1499)&amp;""))</f>
        <v/>
      </c>
      <c r="E1607">
        <f>IF($J1607="","",IF($J1607&lt;=1500,IF(N(INDEX('Daily Sale entry '!$AB$1:$AB$1501,$J1607+1))=0,"",INDEX('Daily Sale entry '!$AB$1:$AB$1501,$J1607+1)),1))</f>
        <v/>
      </c>
      <c r="F1607" s="6">
        <f>IF($J1607="","",IF($J1607&lt;=1500,N(INDEX('Daily Sale entry '!$AC$1:$AC$1501,$J1607+1))-IF(AND('Opening Balance'!$B$15=1,INDEX('Daily Sale entry '!$Z$1:$Z$1501,$J1607+1)="Online collection 网上收款",INDEX('Daily Sale entry '!$AA$1:$AA$1501,$J1607+1)&lt;&gt;""),N(INDEX('Daily Sale entry '!$AC$1:$AC$1501,$J1607+1))-TRUNC(N(INDEX('Daily Sale entry '!$AC$1:$AC$1501,$J1607+1))),0),N(INDEX('Daily Sale entry '!$S$1:$S$1501,$J1607-1499))-'Opening Balance'!$B$15*(N(INDEX('Daily Sale entry '!$S$1:$S$1501,$J1607-1499))-TRUNC(N(INDEX('Daily Sale entry '!$S$1:$S$1501,$J1607-1499))))))</f>
        <v/>
      </c>
      <c r="G1607" s="6">
        <f>IF($J1607="","",IF($J1607&lt;=1500,N(INDEX('Daily Sale entry '!$AD$1:$AD$1501,$J1607+1)),0))</f>
        <v/>
      </c>
      <c r="H1607" s="6">
        <f>IF($J1607="","",ROUND('Opening Balance'!$B$4+SUM($F$2:F1607)-SUM($G$2:G1607),2))</f>
        <v/>
      </c>
      <c r="J1607" s="21">
        <f>IFERROR(MATCH(ROW()-1,$L$2:$L$3001,0),"")</f>
        <v/>
      </c>
      <c r="K1607" s="34">
        <f>IF(AND('Daily Sale entry '!Q107="Collection 收款",'Daily Sale entry '!R107="Cheque 支票",'Daily Sale entry '!V107&lt;&gt;""),'Daily Sale entry '!V107+ROW()/10000000,"")</f>
        <v/>
      </c>
      <c r="L1607" s="21">
        <f>IF(K1607="","",COUNTIF($K$2:$K$3001,"&lt;"&amp;K1607)+1)</f>
        <v/>
      </c>
    </row>
    <row r="1608">
      <c r="A1608" s="5">
        <f>IF($J1608="","",IF($J1608&lt;=1500,INDEX('Daily Sale entry '!$X$1:$X$1501,$J1608+1),INDEX('Daily Sale entry '!$V$1:$V$1501,$J1608-1499)))</f>
        <v/>
      </c>
      <c r="B1608">
        <f>IF($J1608="","",IF($J1608&lt;=1500,INDEX('Daily Sale entry '!$Y$1:$Y$1501,$J1608+1)&amp;"","Buyer cheque banked 买家支票存入"&amp;IF(INDEX('Daily Sale entry '!$U$1:$U$1501,$J1608-1499)="","", " - "&amp;INDEX('Daily Sale entry '!$U$1:$U$1501,$J1608-1499))))</f>
        <v/>
      </c>
      <c r="C1608">
        <f>IF($J1608="","",IF($J1608&lt;=1500,INDEX('Daily Sale entry '!$Z$1:$Z$1501,$J1608+1)&amp;"","Cheque deposit 支票存入 (buyer 买家)"))</f>
        <v/>
      </c>
      <c r="D1608">
        <f>IF($J1608="","",IF($J1608&lt;=1500,INDEX('Daily Sale entry '!$AA$1:$AA$1501,$J1608+1)&amp;"",INDEX('Daily Sale entry '!$P$1:$P$1501,$J1608-1499)&amp;""))</f>
        <v/>
      </c>
      <c r="E1608">
        <f>IF($J1608="","",IF($J1608&lt;=1500,IF(N(INDEX('Daily Sale entry '!$AB$1:$AB$1501,$J1608+1))=0,"",INDEX('Daily Sale entry '!$AB$1:$AB$1501,$J1608+1)),1))</f>
        <v/>
      </c>
      <c r="F1608" s="6">
        <f>IF($J1608="","",IF($J1608&lt;=1500,N(INDEX('Daily Sale entry '!$AC$1:$AC$1501,$J1608+1))-IF(AND('Opening Balance'!$B$15=1,INDEX('Daily Sale entry '!$Z$1:$Z$1501,$J1608+1)="Online collection 网上收款",INDEX('Daily Sale entry '!$AA$1:$AA$1501,$J1608+1)&lt;&gt;""),N(INDEX('Daily Sale entry '!$AC$1:$AC$1501,$J1608+1))-TRUNC(N(INDEX('Daily Sale entry '!$AC$1:$AC$1501,$J1608+1))),0),N(INDEX('Daily Sale entry '!$S$1:$S$1501,$J1608-1499))-'Opening Balance'!$B$15*(N(INDEX('Daily Sale entry '!$S$1:$S$1501,$J1608-1499))-TRUNC(N(INDEX('Daily Sale entry '!$S$1:$S$1501,$J1608-1499))))))</f>
        <v/>
      </c>
      <c r="G1608" s="6">
        <f>IF($J1608="","",IF($J1608&lt;=1500,N(INDEX('Daily Sale entry '!$AD$1:$AD$1501,$J1608+1)),0))</f>
        <v/>
      </c>
      <c r="H1608" s="6">
        <f>IF($J1608="","",ROUND('Opening Balance'!$B$4+SUM($F$2:F1608)-SUM($G$2:G1608),2))</f>
        <v/>
      </c>
      <c r="J1608" s="21">
        <f>IFERROR(MATCH(ROW()-1,$L$2:$L$3001,0),"")</f>
        <v/>
      </c>
      <c r="K1608" s="34">
        <f>IF(AND('Daily Sale entry '!Q108="Collection 收款",'Daily Sale entry '!R108="Cheque 支票",'Daily Sale entry '!V108&lt;&gt;""),'Daily Sale entry '!V108+ROW()/10000000,"")</f>
        <v/>
      </c>
      <c r="L1608" s="21">
        <f>IF(K1608="","",COUNTIF($K$2:$K$3001,"&lt;"&amp;K1608)+1)</f>
        <v/>
      </c>
    </row>
    <row r="1609">
      <c r="A1609" s="5">
        <f>IF($J1609="","",IF($J1609&lt;=1500,INDEX('Daily Sale entry '!$X$1:$X$1501,$J1609+1),INDEX('Daily Sale entry '!$V$1:$V$1501,$J1609-1499)))</f>
        <v/>
      </c>
      <c r="B1609">
        <f>IF($J1609="","",IF($J1609&lt;=1500,INDEX('Daily Sale entry '!$Y$1:$Y$1501,$J1609+1)&amp;"","Buyer cheque banked 买家支票存入"&amp;IF(INDEX('Daily Sale entry '!$U$1:$U$1501,$J1609-1499)="","", " - "&amp;INDEX('Daily Sale entry '!$U$1:$U$1501,$J1609-1499))))</f>
        <v/>
      </c>
      <c r="C1609">
        <f>IF($J1609="","",IF($J1609&lt;=1500,INDEX('Daily Sale entry '!$Z$1:$Z$1501,$J1609+1)&amp;"","Cheque deposit 支票存入 (buyer 买家)"))</f>
        <v/>
      </c>
      <c r="D1609">
        <f>IF($J1609="","",IF($J1609&lt;=1500,INDEX('Daily Sale entry '!$AA$1:$AA$1501,$J1609+1)&amp;"",INDEX('Daily Sale entry '!$P$1:$P$1501,$J1609-1499)&amp;""))</f>
        <v/>
      </c>
      <c r="E1609">
        <f>IF($J1609="","",IF($J1609&lt;=1500,IF(N(INDEX('Daily Sale entry '!$AB$1:$AB$1501,$J1609+1))=0,"",INDEX('Daily Sale entry '!$AB$1:$AB$1501,$J1609+1)),1))</f>
        <v/>
      </c>
      <c r="F1609" s="6">
        <f>IF($J1609="","",IF($J1609&lt;=1500,N(INDEX('Daily Sale entry '!$AC$1:$AC$1501,$J1609+1))-IF(AND('Opening Balance'!$B$15=1,INDEX('Daily Sale entry '!$Z$1:$Z$1501,$J1609+1)="Online collection 网上收款",INDEX('Daily Sale entry '!$AA$1:$AA$1501,$J1609+1)&lt;&gt;""),N(INDEX('Daily Sale entry '!$AC$1:$AC$1501,$J1609+1))-TRUNC(N(INDEX('Daily Sale entry '!$AC$1:$AC$1501,$J1609+1))),0),N(INDEX('Daily Sale entry '!$S$1:$S$1501,$J1609-1499))-'Opening Balance'!$B$15*(N(INDEX('Daily Sale entry '!$S$1:$S$1501,$J1609-1499))-TRUNC(N(INDEX('Daily Sale entry '!$S$1:$S$1501,$J1609-1499))))))</f>
        <v/>
      </c>
      <c r="G1609" s="6">
        <f>IF($J1609="","",IF($J1609&lt;=1500,N(INDEX('Daily Sale entry '!$AD$1:$AD$1501,$J1609+1)),0))</f>
        <v/>
      </c>
      <c r="H1609" s="6">
        <f>IF($J1609="","",ROUND('Opening Balance'!$B$4+SUM($F$2:F1609)-SUM($G$2:G1609),2))</f>
        <v/>
      </c>
      <c r="J1609" s="21">
        <f>IFERROR(MATCH(ROW()-1,$L$2:$L$3001,0),"")</f>
        <v/>
      </c>
      <c r="K1609" s="34">
        <f>IF(AND('Daily Sale entry '!Q109="Collection 收款",'Daily Sale entry '!R109="Cheque 支票",'Daily Sale entry '!V109&lt;&gt;""),'Daily Sale entry '!V109+ROW()/10000000,"")</f>
        <v/>
      </c>
      <c r="L1609" s="21">
        <f>IF(K1609="","",COUNTIF($K$2:$K$3001,"&lt;"&amp;K1609)+1)</f>
        <v/>
      </c>
    </row>
    <row r="1610">
      <c r="A1610" s="5">
        <f>IF($J1610="","",IF($J1610&lt;=1500,INDEX('Daily Sale entry '!$X$1:$X$1501,$J1610+1),INDEX('Daily Sale entry '!$V$1:$V$1501,$J1610-1499)))</f>
        <v/>
      </c>
      <c r="B1610">
        <f>IF($J1610="","",IF($J1610&lt;=1500,INDEX('Daily Sale entry '!$Y$1:$Y$1501,$J1610+1)&amp;"","Buyer cheque banked 买家支票存入"&amp;IF(INDEX('Daily Sale entry '!$U$1:$U$1501,$J1610-1499)="","", " - "&amp;INDEX('Daily Sale entry '!$U$1:$U$1501,$J1610-1499))))</f>
        <v/>
      </c>
      <c r="C1610">
        <f>IF($J1610="","",IF($J1610&lt;=1500,INDEX('Daily Sale entry '!$Z$1:$Z$1501,$J1610+1)&amp;"","Cheque deposit 支票存入 (buyer 买家)"))</f>
        <v/>
      </c>
      <c r="D1610">
        <f>IF($J1610="","",IF($J1610&lt;=1500,INDEX('Daily Sale entry '!$AA$1:$AA$1501,$J1610+1)&amp;"",INDEX('Daily Sale entry '!$P$1:$P$1501,$J1610-1499)&amp;""))</f>
        <v/>
      </c>
      <c r="E1610">
        <f>IF($J1610="","",IF($J1610&lt;=1500,IF(N(INDEX('Daily Sale entry '!$AB$1:$AB$1501,$J1610+1))=0,"",INDEX('Daily Sale entry '!$AB$1:$AB$1501,$J1610+1)),1))</f>
        <v/>
      </c>
      <c r="F1610" s="6">
        <f>IF($J1610="","",IF($J1610&lt;=1500,N(INDEX('Daily Sale entry '!$AC$1:$AC$1501,$J1610+1))-IF(AND('Opening Balance'!$B$15=1,INDEX('Daily Sale entry '!$Z$1:$Z$1501,$J1610+1)="Online collection 网上收款",INDEX('Daily Sale entry '!$AA$1:$AA$1501,$J1610+1)&lt;&gt;""),N(INDEX('Daily Sale entry '!$AC$1:$AC$1501,$J1610+1))-TRUNC(N(INDEX('Daily Sale entry '!$AC$1:$AC$1501,$J1610+1))),0),N(INDEX('Daily Sale entry '!$S$1:$S$1501,$J1610-1499))-'Opening Balance'!$B$15*(N(INDEX('Daily Sale entry '!$S$1:$S$1501,$J1610-1499))-TRUNC(N(INDEX('Daily Sale entry '!$S$1:$S$1501,$J1610-1499))))))</f>
        <v/>
      </c>
      <c r="G1610" s="6">
        <f>IF($J1610="","",IF($J1610&lt;=1500,N(INDEX('Daily Sale entry '!$AD$1:$AD$1501,$J1610+1)),0))</f>
        <v/>
      </c>
      <c r="H1610" s="6">
        <f>IF($J1610="","",ROUND('Opening Balance'!$B$4+SUM($F$2:F1610)-SUM($G$2:G1610),2))</f>
        <v/>
      </c>
      <c r="J1610" s="21">
        <f>IFERROR(MATCH(ROW()-1,$L$2:$L$3001,0),"")</f>
        <v/>
      </c>
      <c r="K1610" s="34">
        <f>IF(AND('Daily Sale entry '!Q110="Collection 收款",'Daily Sale entry '!R110="Cheque 支票",'Daily Sale entry '!V110&lt;&gt;""),'Daily Sale entry '!V110+ROW()/10000000,"")</f>
        <v/>
      </c>
      <c r="L1610" s="21">
        <f>IF(K1610="","",COUNTIF($K$2:$K$3001,"&lt;"&amp;K1610)+1)</f>
        <v/>
      </c>
    </row>
    <row r="1611">
      <c r="A1611" s="5">
        <f>IF($J1611="","",IF($J1611&lt;=1500,INDEX('Daily Sale entry '!$X$1:$X$1501,$J1611+1),INDEX('Daily Sale entry '!$V$1:$V$1501,$J1611-1499)))</f>
        <v/>
      </c>
      <c r="B1611">
        <f>IF($J1611="","",IF($J1611&lt;=1500,INDEX('Daily Sale entry '!$Y$1:$Y$1501,$J1611+1)&amp;"","Buyer cheque banked 买家支票存入"&amp;IF(INDEX('Daily Sale entry '!$U$1:$U$1501,$J1611-1499)="","", " - "&amp;INDEX('Daily Sale entry '!$U$1:$U$1501,$J1611-1499))))</f>
        <v/>
      </c>
      <c r="C1611">
        <f>IF($J1611="","",IF($J1611&lt;=1500,INDEX('Daily Sale entry '!$Z$1:$Z$1501,$J1611+1)&amp;"","Cheque deposit 支票存入 (buyer 买家)"))</f>
        <v/>
      </c>
      <c r="D1611">
        <f>IF($J1611="","",IF($J1611&lt;=1500,INDEX('Daily Sale entry '!$AA$1:$AA$1501,$J1611+1)&amp;"",INDEX('Daily Sale entry '!$P$1:$P$1501,$J1611-1499)&amp;""))</f>
        <v/>
      </c>
      <c r="E1611">
        <f>IF($J1611="","",IF($J1611&lt;=1500,IF(N(INDEX('Daily Sale entry '!$AB$1:$AB$1501,$J1611+1))=0,"",INDEX('Daily Sale entry '!$AB$1:$AB$1501,$J1611+1)),1))</f>
        <v/>
      </c>
      <c r="F1611" s="6">
        <f>IF($J1611="","",IF($J1611&lt;=1500,N(INDEX('Daily Sale entry '!$AC$1:$AC$1501,$J1611+1))-IF(AND('Opening Balance'!$B$15=1,INDEX('Daily Sale entry '!$Z$1:$Z$1501,$J1611+1)="Online collection 网上收款",INDEX('Daily Sale entry '!$AA$1:$AA$1501,$J1611+1)&lt;&gt;""),N(INDEX('Daily Sale entry '!$AC$1:$AC$1501,$J1611+1))-TRUNC(N(INDEX('Daily Sale entry '!$AC$1:$AC$1501,$J1611+1))),0),N(INDEX('Daily Sale entry '!$S$1:$S$1501,$J1611-1499))-'Opening Balance'!$B$15*(N(INDEX('Daily Sale entry '!$S$1:$S$1501,$J1611-1499))-TRUNC(N(INDEX('Daily Sale entry '!$S$1:$S$1501,$J1611-1499))))))</f>
        <v/>
      </c>
      <c r="G1611" s="6">
        <f>IF($J1611="","",IF($J1611&lt;=1500,N(INDEX('Daily Sale entry '!$AD$1:$AD$1501,$J1611+1)),0))</f>
        <v/>
      </c>
      <c r="H1611" s="6">
        <f>IF($J1611="","",ROUND('Opening Balance'!$B$4+SUM($F$2:F1611)-SUM($G$2:G1611),2))</f>
        <v/>
      </c>
      <c r="J1611" s="21">
        <f>IFERROR(MATCH(ROW()-1,$L$2:$L$3001,0),"")</f>
        <v/>
      </c>
      <c r="K1611" s="34">
        <f>IF(AND('Daily Sale entry '!Q111="Collection 收款",'Daily Sale entry '!R111="Cheque 支票",'Daily Sale entry '!V111&lt;&gt;""),'Daily Sale entry '!V111+ROW()/10000000,"")</f>
        <v/>
      </c>
      <c r="L1611" s="21">
        <f>IF(K1611="","",COUNTIF($K$2:$K$3001,"&lt;"&amp;K1611)+1)</f>
        <v/>
      </c>
    </row>
    <row r="1612">
      <c r="A1612" s="5">
        <f>IF($J1612="","",IF($J1612&lt;=1500,INDEX('Daily Sale entry '!$X$1:$X$1501,$J1612+1),INDEX('Daily Sale entry '!$V$1:$V$1501,$J1612-1499)))</f>
        <v/>
      </c>
      <c r="B1612">
        <f>IF($J1612="","",IF($J1612&lt;=1500,INDEX('Daily Sale entry '!$Y$1:$Y$1501,$J1612+1)&amp;"","Buyer cheque banked 买家支票存入"&amp;IF(INDEX('Daily Sale entry '!$U$1:$U$1501,$J1612-1499)="","", " - "&amp;INDEX('Daily Sale entry '!$U$1:$U$1501,$J1612-1499))))</f>
        <v/>
      </c>
      <c r="C1612">
        <f>IF($J1612="","",IF($J1612&lt;=1500,INDEX('Daily Sale entry '!$Z$1:$Z$1501,$J1612+1)&amp;"","Cheque deposit 支票存入 (buyer 买家)"))</f>
        <v/>
      </c>
      <c r="D1612">
        <f>IF($J1612="","",IF($J1612&lt;=1500,INDEX('Daily Sale entry '!$AA$1:$AA$1501,$J1612+1)&amp;"",INDEX('Daily Sale entry '!$P$1:$P$1501,$J1612-1499)&amp;""))</f>
        <v/>
      </c>
      <c r="E1612">
        <f>IF($J1612="","",IF($J1612&lt;=1500,IF(N(INDEX('Daily Sale entry '!$AB$1:$AB$1501,$J1612+1))=0,"",INDEX('Daily Sale entry '!$AB$1:$AB$1501,$J1612+1)),1))</f>
        <v/>
      </c>
      <c r="F1612" s="6">
        <f>IF($J1612="","",IF($J1612&lt;=1500,N(INDEX('Daily Sale entry '!$AC$1:$AC$1501,$J1612+1))-IF(AND('Opening Balance'!$B$15=1,INDEX('Daily Sale entry '!$Z$1:$Z$1501,$J1612+1)="Online collection 网上收款",INDEX('Daily Sale entry '!$AA$1:$AA$1501,$J1612+1)&lt;&gt;""),N(INDEX('Daily Sale entry '!$AC$1:$AC$1501,$J1612+1))-TRUNC(N(INDEX('Daily Sale entry '!$AC$1:$AC$1501,$J1612+1))),0),N(INDEX('Daily Sale entry '!$S$1:$S$1501,$J1612-1499))-'Opening Balance'!$B$15*(N(INDEX('Daily Sale entry '!$S$1:$S$1501,$J1612-1499))-TRUNC(N(INDEX('Daily Sale entry '!$S$1:$S$1501,$J1612-1499))))))</f>
        <v/>
      </c>
      <c r="G1612" s="6">
        <f>IF($J1612="","",IF($J1612&lt;=1500,N(INDEX('Daily Sale entry '!$AD$1:$AD$1501,$J1612+1)),0))</f>
        <v/>
      </c>
      <c r="H1612" s="6">
        <f>IF($J1612="","",ROUND('Opening Balance'!$B$4+SUM($F$2:F1612)-SUM($G$2:G1612),2))</f>
        <v/>
      </c>
      <c r="J1612" s="21">
        <f>IFERROR(MATCH(ROW()-1,$L$2:$L$3001,0),"")</f>
        <v/>
      </c>
      <c r="K1612" s="34">
        <f>IF(AND('Daily Sale entry '!Q112="Collection 收款",'Daily Sale entry '!R112="Cheque 支票",'Daily Sale entry '!V112&lt;&gt;""),'Daily Sale entry '!V112+ROW()/10000000,"")</f>
        <v/>
      </c>
      <c r="L1612" s="21">
        <f>IF(K1612="","",COUNTIF($K$2:$K$3001,"&lt;"&amp;K1612)+1)</f>
        <v/>
      </c>
    </row>
    <row r="1613">
      <c r="A1613" s="5">
        <f>IF($J1613="","",IF($J1613&lt;=1500,INDEX('Daily Sale entry '!$X$1:$X$1501,$J1613+1),INDEX('Daily Sale entry '!$V$1:$V$1501,$J1613-1499)))</f>
        <v/>
      </c>
      <c r="B1613">
        <f>IF($J1613="","",IF($J1613&lt;=1500,INDEX('Daily Sale entry '!$Y$1:$Y$1501,$J1613+1)&amp;"","Buyer cheque banked 买家支票存入"&amp;IF(INDEX('Daily Sale entry '!$U$1:$U$1501,$J1613-1499)="","", " - "&amp;INDEX('Daily Sale entry '!$U$1:$U$1501,$J1613-1499))))</f>
        <v/>
      </c>
      <c r="C1613">
        <f>IF($J1613="","",IF($J1613&lt;=1500,INDEX('Daily Sale entry '!$Z$1:$Z$1501,$J1613+1)&amp;"","Cheque deposit 支票存入 (buyer 买家)"))</f>
        <v/>
      </c>
      <c r="D1613">
        <f>IF($J1613="","",IF($J1613&lt;=1500,INDEX('Daily Sale entry '!$AA$1:$AA$1501,$J1613+1)&amp;"",INDEX('Daily Sale entry '!$P$1:$P$1501,$J1613-1499)&amp;""))</f>
        <v/>
      </c>
      <c r="E1613">
        <f>IF($J1613="","",IF($J1613&lt;=1500,IF(N(INDEX('Daily Sale entry '!$AB$1:$AB$1501,$J1613+1))=0,"",INDEX('Daily Sale entry '!$AB$1:$AB$1501,$J1613+1)),1))</f>
        <v/>
      </c>
      <c r="F1613" s="6">
        <f>IF($J1613="","",IF($J1613&lt;=1500,N(INDEX('Daily Sale entry '!$AC$1:$AC$1501,$J1613+1))-IF(AND('Opening Balance'!$B$15=1,INDEX('Daily Sale entry '!$Z$1:$Z$1501,$J1613+1)="Online collection 网上收款",INDEX('Daily Sale entry '!$AA$1:$AA$1501,$J1613+1)&lt;&gt;""),N(INDEX('Daily Sale entry '!$AC$1:$AC$1501,$J1613+1))-TRUNC(N(INDEX('Daily Sale entry '!$AC$1:$AC$1501,$J1613+1))),0),N(INDEX('Daily Sale entry '!$S$1:$S$1501,$J1613-1499))-'Opening Balance'!$B$15*(N(INDEX('Daily Sale entry '!$S$1:$S$1501,$J1613-1499))-TRUNC(N(INDEX('Daily Sale entry '!$S$1:$S$1501,$J1613-1499))))))</f>
        <v/>
      </c>
      <c r="G1613" s="6">
        <f>IF($J1613="","",IF($J1613&lt;=1500,N(INDEX('Daily Sale entry '!$AD$1:$AD$1501,$J1613+1)),0))</f>
        <v/>
      </c>
      <c r="H1613" s="6">
        <f>IF($J1613="","",ROUND('Opening Balance'!$B$4+SUM($F$2:F1613)-SUM($G$2:G1613),2))</f>
        <v/>
      </c>
      <c r="J1613" s="21">
        <f>IFERROR(MATCH(ROW()-1,$L$2:$L$3001,0),"")</f>
        <v/>
      </c>
      <c r="K1613" s="34">
        <f>IF(AND('Daily Sale entry '!Q113="Collection 收款",'Daily Sale entry '!R113="Cheque 支票",'Daily Sale entry '!V113&lt;&gt;""),'Daily Sale entry '!V113+ROW()/10000000,"")</f>
        <v/>
      </c>
      <c r="L1613" s="21">
        <f>IF(K1613="","",COUNTIF($K$2:$K$3001,"&lt;"&amp;K1613)+1)</f>
        <v/>
      </c>
    </row>
    <row r="1614">
      <c r="A1614" s="5">
        <f>IF($J1614="","",IF($J1614&lt;=1500,INDEX('Daily Sale entry '!$X$1:$X$1501,$J1614+1),INDEX('Daily Sale entry '!$V$1:$V$1501,$J1614-1499)))</f>
        <v/>
      </c>
      <c r="B1614">
        <f>IF($J1614="","",IF($J1614&lt;=1500,INDEX('Daily Sale entry '!$Y$1:$Y$1501,$J1614+1)&amp;"","Buyer cheque banked 买家支票存入"&amp;IF(INDEX('Daily Sale entry '!$U$1:$U$1501,$J1614-1499)="","", " - "&amp;INDEX('Daily Sale entry '!$U$1:$U$1501,$J1614-1499))))</f>
        <v/>
      </c>
      <c r="C1614">
        <f>IF($J1614="","",IF($J1614&lt;=1500,INDEX('Daily Sale entry '!$Z$1:$Z$1501,$J1614+1)&amp;"","Cheque deposit 支票存入 (buyer 买家)"))</f>
        <v/>
      </c>
      <c r="D1614">
        <f>IF($J1614="","",IF($J1614&lt;=1500,INDEX('Daily Sale entry '!$AA$1:$AA$1501,$J1614+1)&amp;"",INDEX('Daily Sale entry '!$P$1:$P$1501,$J1614-1499)&amp;""))</f>
        <v/>
      </c>
      <c r="E1614">
        <f>IF($J1614="","",IF($J1614&lt;=1500,IF(N(INDEX('Daily Sale entry '!$AB$1:$AB$1501,$J1614+1))=0,"",INDEX('Daily Sale entry '!$AB$1:$AB$1501,$J1614+1)),1))</f>
        <v/>
      </c>
      <c r="F1614" s="6">
        <f>IF($J1614="","",IF($J1614&lt;=1500,N(INDEX('Daily Sale entry '!$AC$1:$AC$1501,$J1614+1))-IF(AND('Opening Balance'!$B$15=1,INDEX('Daily Sale entry '!$Z$1:$Z$1501,$J1614+1)="Online collection 网上收款",INDEX('Daily Sale entry '!$AA$1:$AA$1501,$J1614+1)&lt;&gt;""),N(INDEX('Daily Sale entry '!$AC$1:$AC$1501,$J1614+1))-TRUNC(N(INDEX('Daily Sale entry '!$AC$1:$AC$1501,$J1614+1))),0),N(INDEX('Daily Sale entry '!$S$1:$S$1501,$J1614-1499))-'Opening Balance'!$B$15*(N(INDEX('Daily Sale entry '!$S$1:$S$1501,$J1614-1499))-TRUNC(N(INDEX('Daily Sale entry '!$S$1:$S$1501,$J1614-1499))))))</f>
        <v/>
      </c>
      <c r="G1614" s="6">
        <f>IF($J1614="","",IF($J1614&lt;=1500,N(INDEX('Daily Sale entry '!$AD$1:$AD$1501,$J1614+1)),0))</f>
        <v/>
      </c>
      <c r="H1614" s="6">
        <f>IF($J1614="","",ROUND('Opening Balance'!$B$4+SUM($F$2:F1614)-SUM($G$2:G1614),2))</f>
        <v/>
      </c>
      <c r="J1614" s="21">
        <f>IFERROR(MATCH(ROW()-1,$L$2:$L$3001,0),"")</f>
        <v/>
      </c>
      <c r="K1614" s="34">
        <f>IF(AND('Daily Sale entry '!Q114="Collection 收款",'Daily Sale entry '!R114="Cheque 支票",'Daily Sale entry '!V114&lt;&gt;""),'Daily Sale entry '!V114+ROW()/10000000,"")</f>
        <v/>
      </c>
      <c r="L1614" s="21">
        <f>IF(K1614="","",COUNTIF($K$2:$K$3001,"&lt;"&amp;K1614)+1)</f>
        <v/>
      </c>
    </row>
    <row r="1615">
      <c r="A1615" s="5">
        <f>IF($J1615="","",IF($J1615&lt;=1500,INDEX('Daily Sale entry '!$X$1:$X$1501,$J1615+1),INDEX('Daily Sale entry '!$V$1:$V$1501,$J1615-1499)))</f>
        <v/>
      </c>
      <c r="B1615">
        <f>IF($J1615="","",IF($J1615&lt;=1500,INDEX('Daily Sale entry '!$Y$1:$Y$1501,$J1615+1)&amp;"","Buyer cheque banked 买家支票存入"&amp;IF(INDEX('Daily Sale entry '!$U$1:$U$1501,$J1615-1499)="","", " - "&amp;INDEX('Daily Sale entry '!$U$1:$U$1501,$J1615-1499))))</f>
        <v/>
      </c>
      <c r="C1615">
        <f>IF($J1615="","",IF($J1615&lt;=1500,INDEX('Daily Sale entry '!$Z$1:$Z$1501,$J1615+1)&amp;"","Cheque deposit 支票存入 (buyer 买家)"))</f>
        <v/>
      </c>
      <c r="D1615">
        <f>IF($J1615="","",IF($J1615&lt;=1500,INDEX('Daily Sale entry '!$AA$1:$AA$1501,$J1615+1)&amp;"",INDEX('Daily Sale entry '!$P$1:$P$1501,$J1615-1499)&amp;""))</f>
        <v/>
      </c>
      <c r="E1615">
        <f>IF($J1615="","",IF($J1615&lt;=1500,IF(N(INDEX('Daily Sale entry '!$AB$1:$AB$1501,$J1615+1))=0,"",INDEX('Daily Sale entry '!$AB$1:$AB$1501,$J1615+1)),1))</f>
        <v/>
      </c>
      <c r="F1615" s="6">
        <f>IF($J1615="","",IF($J1615&lt;=1500,N(INDEX('Daily Sale entry '!$AC$1:$AC$1501,$J1615+1))-IF(AND('Opening Balance'!$B$15=1,INDEX('Daily Sale entry '!$Z$1:$Z$1501,$J1615+1)="Online collection 网上收款",INDEX('Daily Sale entry '!$AA$1:$AA$1501,$J1615+1)&lt;&gt;""),N(INDEX('Daily Sale entry '!$AC$1:$AC$1501,$J1615+1))-TRUNC(N(INDEX('Daily Sale entry '!$AC$1:$AC$1501,$J1615+1))),0),N(INDEX('Daily Sale entry '!$S$1:$S$1501,$J1615-1499))-'Opening Balance'!$B$15*(N(INDEX('Daily Sale entry '!$S$1:$S$1501,$J1615-1499))-TRUNC(N(INDEX('Daily Sale entry '!$S$1:$S$1501,$J1615-1499))))))</f>
        <v/>
      </c>
      <c r="G1615" s="6">
        <f>IF($J1615="","",IF($J1615&lt;=1500,N(INDEX('Daily Sale entry '!$AD$1:$AD$1501,$J1615+1)),0))</f>
        <v/>
      </c>
      <c r="H1615" s="6">
        <f>IF($J1615="","",ROUND('Opening Balance'!$B$4+SUM($F$2:F1615)-SUM($G$2:G1615),2))</f>
        <v/>
      </c>
      <c r="J1615" s="21">
        <f>IFERROR(MATCH(ROW()-1,$L$2:$L$3001,0),"")</f>
        <v/>
      </c>
      <c r="K1615" s="34">
        <f>IF(AND('Daily Sale entry '!Q115="Collection 收款",'Daily Sale entry '!R115="Cheque 支票",'Daily Sale entry '!V115&lt;&gt;""),'Daily Sale entry '!V115+ROW()/10000000,"")</f>
        <v/>
      </c>
      <c r="L1615" s="21">
        <f>IF(K1615="","",COUNTIF($K$2:$K$3001,"&lt;"&amp;K1615)+1)</f>
        <v/>
      </c>
    </row>
    <row r="1616">
      <c r="A1616" s="5">
        <f>IF($J1616="","",IF($J1616&lt;=1500,INDEX('Daily Sale entry '!$X$1:$X$1501,$J1616+1),INDEX('Daily Sale entry '!$V$1:$V$1501,$J1616-1499)))</f>
        <v/>
      </c>
      <c r="B1616">
        <f>IF($J1616="","",IF($J1616&lt;=1500,INDEX('Daily Sale entry '!$Y$1:$Y$1501,$J1616+1)&amp;"","Buyer cheque banked 买家支票存入"&amp;IF(INDEX('Daily Sale entry '!$U$1:$U$1501,$J1616-1499)="","", " - "&amp;INDEX('Daily Sale entry '!$U$1:$U$1501,$J1616-1499))))</f>
        <v/>
      </c>
      <c r="C1616">
        <f>IF($J1616="","",IF($J1616&lt;=1500,INDEX('Daily Sale entry '!$Z$1:$Z$1501,$J1616+1)&amp;"","Cheque deposit 支票存入 (buyer 买家)"))</f>
        <v/>
      </c>
      <c r="D1616">
        <f>IF($J1616="","",IF($J1616&lt;=1500,INDEX('Daily Sale entry '!$AA$1:$AA$1501,$J1616+1)&amp;"",INDEX('Daily Sale entry '!$P$1:$P$1501,$J1616-1499)&amp;""))</f>
        <v/>
      </c>
      <c r="E1616">
        <f>IF($J1616="","",IF($J1616&lt;=1500,IF(N(INDEX('Daily Sale entry '!$AB$1:$AB$1501,$J1616+1))=0,"",INDEX('Daily Sale entry '!$AB$1:$AB$1501,$J1616+1)),1))</f>
        <v/>
      </c>
      <c r="F1616" s="6">
        <f>IF($J1616="","",IF($J1616&lt;=1500,N(INDEX('Daily Sale entry '!$AC$1:$AC$1501,$J1616+1))-IF(AND('Opening Balance'!$B$15=1,INDEX('Daily Sale entry '!$Z$1:$Z$1501,$J1616+1)="Online collection 网上收款",INDEX('Daily Sale entry '!$AA$1:$AA$1501,$J1616+1)&lt;&gt;""),N(INDEX('Daily Sale entry '!$AC$1:$AC$1501,$J1616+1))-TRUNC(N(INDEX('Daily Sale entry '!$AC$1:$AC$1501,$J1616+1))),0),N(INDEX('Daily Sale entry '!$S$1:$S$1501,$J1616-1499))-'Opening Balance'!$B$15*(N(INDEX('Daily Sale entry '!$S$1:$S$1501,$J1616-1499))-TRUNC(N(INDEX('Daily Sale entry '!$S$1:$S$1501,$J1616-1499))))))</f>
        <v/>
      </c>
      <c r="G1616" s="6">
        <f>IF($J1616="","",IF($J1616&lt;=1500,N(INDEX('Daily Sale entry '!$AD$1:$AD$1501,$J1616+1)),0))</f>
        <v/>
      </c>
      <c r="H1616" s="6">
        <f>IF($J1616="","",ROUND('Opening Balance'!$B$4+SUM($F$2:F1616)-SUM($G$2:G1616),2))</f>
        <v/>
      </c>
      <c r="J1616" s="21">
        <f>IFERROR(MATCH(ROW()-1,$L$2:$L$3001,0),"")</f>
        <v/>
      </c>
      <c r="K1616" s="34">
        <f>IF(AND('Daily Sale entry '!Q116="Collection 收款",'Daily Sale entry '!R116="Cheque 支票",'Daily Sale entry '!V116&lt;&gt;""),'Daily Sale entry '!V116+ROW()/10000000,"")</f>
        <v/>
      </c>
      <c r="L1616" s="21">
        <f>IF(K1616="","",COUNTIF($K$2:$K$3001,"&lt;"&amp;K1616)+1)</f>
        <v/>
      </c>
    </row>
    <row r="1617">
      <c r="A1617" s="5">
        <f>IF($J1617="","",IF($J1617&lt;=1500,INDEX('Daily Sale entry '!$X$1:$X$1501,$J1617+1),INDEX('Daily Sale entry '!$V$1:$V$1501,$J1617-1499)))</f>
        <v/>
      </c>
      <c r="B1617">
        <f>IF($J1617="","",IF($J1617&lt;=1500,INDEX('Daily Sale entry '!$Y$1:$Y$1501,$J1617+1)&amp;"","Buyer cheque banked 买家支票存入"&amp;IF(INDEX('Daily Sale entry '!$U$1:$U$1501,$J1617-1499)="","", " - "&amp;INDEX('Daily Sale entry '!$U$1:$U$1501,$J1617-1499))))</f>
        <v/>
      </c>
      <c r="C1617">
        <f>IF($J1617="","",IF($J1617&lt;=1500,INDEX('Daily Sale entry '!$Z$1:$Z$1501,$J1617+1)&amp;"","Cheque deposit 支票存入 (buyer 买家)"))</f>
        <v/>
      </c>
      <c r="D1617">
        <f>IF($J1617="","",IF($J1617&lt;=1500,INDEX('Daily Sale entry '!$AA$1:$AA$1501,$J1617+1)&amp;"",INDEX('Daily Sale entry '!$P$1:$P$1501,$J1617-1499)&amp;""))</f>
        <v/>
      </c>
      <c r="E1617">
        <f>IF($J1617="","",IF($J1617&lt;=1500,IF(N(INDEX('Daily Sale entry '!$AB$1:$AB$1501,$J1617+1))=0,"",INDEX('Daily Sale entry '!$AB$1:$AB$1501,$J1617+1)),1))</f>
        <v/>
      </c>
      <c r="F1617" s="6">
        <f>IF($J1617="","",IF($J1617&lt;=1500,N(INDEX('Daily Sale entry '!$AC$1:$AC$1501,$J1617+1))-IF(AND('Opening Balance'!$B$15=1,INDEX('Daily Sale entry '!$Z$1:$Z$1501,$J1617+1)="Online collection 网上收款",INDEX('Daily Sale entry '!$AA$1:$AA$1501,$J1617+1)&lt;&gt;""),N(INDEX('Daily Sale entry '!$AC$1:$AC$1501,$J1617+1))-TRUNC(N(INDEX('Daily Sale entry '!$AC$1:$AC$1501,$J1617+1))),0),N(INDEX('Daily Sale entry '!$S$1:$S$1501,$J1617-1499))-'Opening Balance'!$B$15*(N(INDEX('Daily Sale entry '!$S$1:$S$1501,$J1617-1499))-TRUNC(N(INDEX('Daily Sale entry '!$S$1:$S$1501,$J1617-1499))))))</f>
        <v/>
      </c>
      <c r="G1617" s="6">
        <f>IF($J1617="","",IF($J1617&lt;=1500,N(INDEX('Daily Sale entry '!$AD$1:$AD$1501,$J1617+1)),0))</f>
        <v/>
      </c>
      <c r="H1617" s="6">
        <f>IF($J1617="","",ROUND('Opening Balance'!$B$4+SUM($F$2:F1617)-SUM($G$2:G1617),2))</f>
        <v/>
      </c>
      <c r="J1617" s="21">
        <f>IFERROR(MATCH(ROW()-1,$L$2:$L$3001,0),"")</f>
        <v/>
      </c>
      <c r="K1617" s="34">
        <f>IF(AND('Daily Sale entry '!Q117="Collection 收款",'Daily Sale entry '!R117="Cheque 支票",'Daily Sale entry '!V117&lt;&gt;""),'Daily Sale entry '!V117+ROW()/10000000,"")</f>
        <v/>
      </c>
      <c r="L1617" s="21">
        <f>IF(K1617="","",COUNTIF($K$2:$K$3001,"&lt;"&amp;K1617)+1)</f>
        <v/>
      </c>
    </row>
    <row r="1618">
      <c r="A1618" s="5">
        <f>IF($J1618="","",IF($J1618&lt;=1500,INDEX('Daily Sale entry '!$X$1:$X$1501,$J1618+1),INDEX('Daily Sale entry '!$V$1:$V$1501,$J1618-1499)))</f>
        <v/>
      </c>
      <c r="B1618">
        <f>IF($J1618="","",IF($J1618&lt;=1500,INDEX('Daily Sale entry '!$Y$1:$Y$1501,$J1618+1)&amp;"","Buyer cheque banked 买家支票存入"&amp;IF(INDEX('Daily Sale entry '!$U$1:$U$1501,$J1618-1499)="","", " - "&amp;INDEX('Daily Sale entry '!$U$1:$U$1501,$J1618-1499))))</f>
        <v/>
      </c>
      <c r="C1618">
        <f>IF($J1618="","",IF($J1618&lt;=1500,INDEX('Daily Sale entry '!$Z$1:$Z$1501,$J1618+1)&amp;"","Cheque deposit 支票存入 (buyer 买家)"))</f>
        <v/>
      </c>
      <c r="D1618">
        <f>IF($J1618="","",IF($J1618&lt;=1500,INDEX('Daily Sale entry '!$AA$1:$AA$1501,$J1618+1)&amp;"",INDEX('Daily Sale entry '!$P$1:$P$1501,$J1618-1499)&amp;""))</f>
        <v/>
      </c>
      <c r="E1618">
        <f>IF($J1618="","",IF($J1618&lt;=1500,IF(N(INDEX('Daily Sale entry '!$AB$1:$AB$1501,$J1618+1))=0,"",INDEX('Daily Sale entry '!$AB$1:$AB$1501,$J1618+1)),1))</f>
        <v/>
      </c>
      <c r="F1618" s="6">
        <f>IF($J1618="","",IF($J1618&lt;=1500,N(INDEX('Daily Sale entry '!$AC$1:$AC$1501,$J1618+1))-IF(AND('Opening Balance'!$B$15=1,INDEX('Daily Sale entry '!$Z$1:$Z$1501,$J1618+1)="Online collection 网上收款",INDEX('Daily Sale entry '!$AA$1:$AA$1501,$J1618+1)&lt;&gt;""),N(INDEX('Daily Sale entry '!$AC$1:$AC$1501,$J1618+1))-TRUNC(N(INDEX('Daily Sale entry '!$AC$1:$AC$1501,$J1618+1))),0),N(INDEX('Daily Sale entry '!$S$1:$S$1501,$J1618-1499))-'Opening Balance'!$B$15*(N(INDEX('Daily Sale entry '!$S$1:$S$1501,$J1618-1499))-TRUNC(N(INDEX('Daily Sale entry '!$S$1:$S$1501,$J1618-1499))))))</f>
        <v/>
      </c>
      <c r="G1618" s="6">
        <f>IF($J1618="","",IF($J1618&lt;=1500,N(INDEX('Daily Sale entry '!$AD$1:$AD$1501,$J1618+1)),0))</f>
        <v/>
      </c>
      <c r="H1618" s="6">
        <f>IF($J1618="","",ROUND('Opening Balance'!$B$4+SUM($F$2:F1618)-SUM($G$2:G1618),2))</f>
        <v/>
      </c>
      <c r="J1618" s="21">
        <f>IFERROR(MATCH(ROW()-1,$L$2:$L$3001,0),"")</f>
        <v/>
      </c>
      <c r="K1618" s="34">
        <f>IF(AND('Daily Sale entry '!Q118="Collection 收款",'Daily Sale entry '!R118="Cheque 支票",'Daily Sale entry '!V118&lt;&gt;""),'Daily Sale entry '!V118+ROW()/10000000,"")</f>
        <v/>
      </c>
      <c r="L1618" s="21">
        <f>IF(K1618="","",COUNTIF($K$2:$K$3001,"&lt;"&amp;K1618)+1)</f>
        <v/>
      </c>
    </row>
    <row r="1619">
      <c r="A1619" s="5">
        <f>IF($J1619="","",IF($J1619&lt;=1500,INDEX('Daily Sale entry '!$X$1:$X$1501,$J1619+1),INDEX('Daily Sale entry '!$V$1:$V$1501,$J1619-1499)))</f>
        <v/>
      </c>
      <c r="B1619">
        <f>IF($J1619="","",IF($J1619&lt;=1500,INDEX('Daily Sale entry '!$Y$1:$Y$1501,$J1619+1)&amp;"","Buyer cheque banked 买家支票存入"&amp;IF(INDEX('Daily Sale entry '!$U$1:$U$1501,$J1619-1499)="","", " - "&amp;INDEX('Daily Sale entry '!$U$1:$U$1501,$J1619-1499))))</f>
        <v/>
      </c>
      <c r="C1619">
        <f>IF($J1619="","",IF($J1619&lt;=1500,INDEX('Daily Sale entry '!$Z$1:$Z$1501,$J1619+1)&amp;"","Cheque deposit 支票存入 (buyer 买家)"))</f>
        <v/>
      </c>
      <c r="D1619">
        <f>IF($J1619="","",IF($J1619&lt;=1500,INDEX('Daily Sale entry '!$AA$1:$AA$1501,$J1619+1)&amp;"",INDEX('Daily Sale entry '!$P$1:$P$1501,$J1619-1499)&amp;""))</f>
        <v/>
      </c>
      <c r="E1619">
        <f>IF($J1619="","",IF($J1619&lt;=1500,IF(N(INDEX('Daily Sale entry '!$AB$1:$AB$1501,$J1619+1))=0,"",INDEX('Daily Sale entry '!$AB$1:$AB$1501,$J1619+1)),1))</f>
        <v/>
      </c>
      <c r="F1619" s="6">
        <f>IF($J1619="","",IF($J1619&lt;=1500,N(INDEX('Daily Sale entry '!$AC$1:$AC$1501,$J1619+1))-IF(AND('Opening Balance'!$B$15=1,INDEX('Daily Sale entry '!$Z$1:$Z$1501,$J1619+1)="Online collection 网上收款",INDEX('Daily Sale entry '!$AA$1:$AA$1501,$J1619+1)&lt;&gt;""),N(INDEX('Daily Sale entry '!$AC$1:$AC$1501,$J1619+1))-TRUNC(N(INDEX('Daily Sale entry '!$AC$1:$AC$1501,$J1619+1))),0),N(INDEX('Daily Sale entry '!$S$1:$S$1501,$J1619-1499))-'Opening Balance'!$B$15*(N(INDEX('Daily Sale entry '!$S$1:$S$1501,$J1619-1499))-TRUNC(N(INDEX('Daily Sale entry '!$S$1:$S$1501,$J1619-1499))))))</f>
        <v/>
      </c>
      <c r="G1619" s="6">
        <f>IF($J1619="","",IF($J1619&lt;=1500,N(INDEX('Daily Sale entry '!$AD$1:$AD$1501,$J1619+1)),0))</f>
        <v/>
      </c>
      <c r="H1619" s="6">
        <f>IF($J1619="","",ROUND('Opening Balance'!$B$4+SUM($F$2:F1619)-SUM($G$2:G1619),2))</f>
        <v/>
      </c>
      <c r="J1619" s="21">
        <f>IFERROR(MATCH(ROW()-1,$L$2:$L$3001,0),"")</f>
        <v/>
      </c>
      <c r="K1619" s="34">
        <f>IF(AND('Daily Sale entry '!Q119="Collection 收款",'Daily Sale entry '!R119="Cheque 支票",'Daily Sale entry '!V119&lt;&gt;""),'Daily Sale entry '!V119+ROW()/10000000,"")</f>
        <v/>
      </c>
      <c r="L1619" s="21">
        <f>IF(K1619="","",COUNTIF($K$2:$K$3001,"&lt;"&amp;K1619)+1)</f>
        <v/>
      </c>
    </row>
    <row r="1620">
      <c r="A1620" s="5">
        <f>IF($J1620="","",IF($J1620&lt;=1500,INDEX('Daily Sale entry '!$X$1:$X$1501,$J1620+1),INDEX('Daily Sale entry '!$V$1:$V$1501,$J1620-1499)))</f>
        <v/>
      </c>
      <c r="B1620">
        <f>IF($J1620="","",IF($J1620&lt;=1500,INDEX('Daily Sale entry '!$Y$1:$Y$1501,$J1620+1)&amp;"","Buyer cheque banked 买家支票存入"&amp;IF(INDEX('Daily Sale entry '!$U$1:$U$1501,$J1620-1499)="","", " - "&amp;INDEX('Daily Sale entry '!$U$1:$U$1501,$J1620-1499))))</f>
        <v/>
      </c>
      <c r="C1620">
        <f>IF($J1620="","",IF($J1620&lt;=1500,INDEX('Daily Sale entry '!$Z$1:$Z$1501,$J1620+1)&amp;"","Cheque deposit 支票存入 (buyer 买家)"))</f>
        <v/>
      </c>
      <c r="D1620">
        <f>IF($J1620="","",IF($J1620&lt;=1500,INDEX('Daily Sale entry '!$AA$1:$AA$1501,$J1620+1)&amp;"",INDEX('Daily Sale entry '!$P$1:$P$1501,$J1620-1499)&amp;""))</f>
        <v/>
      </c>
      <c r="E1620">
        <f>IF($J1620="","",IF($J1620&lt;=1500,IF(N(INDEX('Daily Sale entry '!$AB$1:$AB$1501,$J1620+1))=0,"",INDEX('Daily Sale entry '!$AB$1:$AB$1501,$J1620+1)),1))</f>
        <v/>
      </c>
      <c r="F1620" s="6">
        <f>IF($J1620="","",IF($J1620&lt;=1500,N(INDEX('Daily Sale entry '!$AC$1:$AC$1501,$J1620+1))-IF(AND('Opening Balance'!$B$15=1,INDEX('Daily Sale entry '!$Z$1:$Z$1501,$J1620+1)="Online collection 网上收款",INDEX('Daily Sale entry '!$AA$1:$AA$1501,$J1620+1)&lt;&gt;""),N(INDEX('Daily Sale entry '!$AC$1:$AC$1501,$J1620+1))-TRUNC(N(INDEX('Daily Sale entry '!$AC$1:$AC$1501,$J1620+1))),0),N(INDEX('Daily Sale entry '!$S$1:$S$1501,$J1620-1499))-'Opening Balance'!$B$15*(N(INDEX('Daily Sale entry '!$S$1:$S$1501,$J1620-1499))-TRUNC(N(INDEX('Daily Sale entry '!$S$1:$S$1501,$J1620-1499))))))</f>
        <v/>
      </c>
      <c r="G1620" s="6">
        <f>IF($J1620="","",IF($J1620&lt;=1500,N(INDEX('Daily Sale entry '!$AD$1:$AD$1501,$J1620+1)),0))</f>
        <v/>
      </c>
      <c r="H1620" s="6">
        <f>IF($J1620="","",ROUND('Opening Balance'!$B$4+SUM($F$2:F1620)-SUM($G$2:G1620),2))</f>
        <v/>
      </c>
      <c r="J1620" s="21">
        <f>IFERROR(MATCH(ROW()-1,$L$2:$L$3001,0),"")</f>
        <v/>
      </c>
      <c r="K1620" s="34">
        <f>IF(AND('Daily Sale entry '!Q120="Collection 收款",'Daily Sale entry '!R120="Cheque 支票",'Daily Sale entry '!V120&lt;&gt;""),'Daily Sale entry '!V120+ROW()/10000000,"")</f>
        <v/>
      </c>
      <c r="L1620" s="21">
        <f>IF(K1620="","",COUNTIF($K$2:$K$3001,"&lt;"&amp;K1620)+1)</f>
        <v/>
      </c>
    </row>
    <row r="1621">
      <c r="A1621" s="5">
        <f>IF($J1621="","",IF($J1621&lt;=1500,INDEX('Daily Sale entry '!$X$1:$X$1501,$J1621+1),INDEX('Daily Sale entry '!$V$1:$V$1501,$J1621-1499)))</f>
        <v/>
      </c>
      <c r="B1621">
        <f>IF($J1621="","",IF($J1621&lt;=1500,INDEX('Daily Sale entry '!$Y$1:$Y$1501,$J1621+1)&amp;"","Buyer cheque banked 买家支票存入"&amp;IF(INDEX('Daily Sale entry '!$U$1:$U$1501,$J1621-1499)="","", " - "&amp;INDEX('Daily Sale entry '!$U$1:$U$1501,$J1621-1499))))</f>
        <v/>
      </c>
      <c r="C1621">
        <f>IF($J1621="","",IF($J1621&lt;=1500,INDEX('Daily Sale entry '!$Z$1:$Z$1501,$J1621+1)&amp;"","Cheque deposit 支票存入 (buyer 买家)"))</f>
        <v/>
      </c>
      <c r="D1621">
        <f>IF($J1621="","",IF($J1621&lt;=1500,INDEX('Daily Sale entry '!$AA$1:$AA$1501,$J1621+1)&amp;"",INDEX('Daily Sale entry '!$P$1:$P$1501,$J1621-1499)&amp;""))</f>
        <v/>
      </c>
      <c r="E1621">
        <f>IF($J1621="","",IF($J1621&lt;=1500,IF(N(INDEX('Daily Sale entry '!$AB$1:$AB$1501,$J1621+1))=0,"",INDEX('Daily Sale entry '!$AB$1:$AB$1501,$J1621+1)),1))</f>
        <v/>
      </c>
      <c r="F1621" s="6">
        <f>IF($J1621="","",IF($J1621&lt;=1500,N(INDEX('Daily Sale entry '!$AC$1:$AC$1501,$J1621+1))-IF(AND('Opening Balance'!$B$15=1,INDEX('Daily Sale entry '!$Z$1:$Z$1501,$J1621+1)="Online collection 网上收款",INDEX('Daily Sale entry '!$AA$1:$AA$1501,$J1621+1)&lt;&gt;""),N(INDEX('Daily Sale entry '!$AC$1:$AC$1501,$J1621+1))-TRUNC(N(INDEX('Daily Sale entry '!$AC$1:$AC$1501,$J1621+1))),0),N(INDEX('Daily Sale entry '!$S$1:$S$1501,$J1621-1499))-'Opening Balance'!$B$15*(N(INDEX('Daily Sale entry '!$S$1:$S$1501,$J1621-1499))-TRUNC(N(INDEX('Daily Sale entry '!$S$1:$S$1501,$J1621-1499))))))</f>
        <v/>
      </c>
      <c r="G1621" s="6">
        <f>IF($J1621="","",IF($J1621&lt;=1500,N(INDEX('Daily Sale entry '!$AD$1:$AD$1501,$J1621+1)),0))</f>
        <v/>
      </c>
      <c r="H1621" s="6">
        <f>IF($J1621="","",ROUND('Opening Balance'!$B$4+SUM($F$2:F1621)-SUM($G$2:G1621),2))</f>
        <v/>
      </c>
      <c r="J1621" s="21">
        <f>IFERROR(MATCH(ROW()-1,$L$2:$L$3001,0),"")</f>
        <v/>
      </c>
      <c r="K1621" s="34">
        <f>IF(AND('Daily Sale entry '!Q121="Collection 收款",'Daily Sale entry '!R121="Cheque 支票",'Daily Sale entry '!V121&lt;&gt;""),'Daily Sale entry '!V121+ROW()/10000000,"")</f>
        <v/>
      </c>
      <c r="L1621" s="21">
        <f>IF(K1621="","",COUNTIF($K$2:$K$3001,"&lt;"&amp;K1621)+1)</f>
        <v/>
      </c>
    </row>
    <row r="1622">
      <c r="A1622" s="5">
        <f>IF($J1622="","",IF($J1622&lt;=1500,INDEX('Daily Sale entry '!$X$1:$X$1501,$J1622+1),INDEX('Daily Sale entry '!$V$1:$V$1501,$J1622-1499)))</f>
        <v/>
      </c>
      <c r="B1622">
        <f>IF($J1622="","",IF($J1622&lt;=1500,INDEX('Daily Sale entry '!$Y$1:$Y$1501,$J1622+1)&amp;"","Buyer cheque banked 买家支票存入"&amp;IF(INDEX('Daily Sale entry '!$U$1:$U$1501,$J1622-1499)="","", " - "&amp;INDEX('Daily Sale entry '!$U$1:$U$1501,$J1622-1499))))</f>
        <v/>
      </c>
      <c r="C1622">
        <f>IF($J1622="","",IF($J1622&lt;=1500,INDEX('Daily Sale entry '!$Z$1:$Z$1501,$J1622+1)&amp;"","Cheque deposit 支票存入 (buyer 买家)"))</f>
        <v/>
      </c>
      <c r="D1622">
        <f>IF($J1622="","",IF($J1622&lt;=1500,INDEX('Daily Sale entry '!$AA$1:$AA$1501,$J1622+1)&amp;"",INDEX('Daily Sale entry '!$P$1:$P$1501,$J1622-1499)&amp;""))</f>
        <v/>
      </c>
      <c r="E1622">
        <f>IF($J1622="","",IF($J1622&lt;=1500,IF(N(INDEX('Daily Sale entry '!$AB$1:$AB$1501,$J1622+1))=0,"",INDEX('Daily Sale entry '!$AB$1:$AB$1501,$J1622+1)),1))</f>
        <v/>
      </c>
      <c r="F1622" s="6">
        <f>IF($J1622="","",IF($J1622&lt;=1500,N(INDEX('Daily Sale entry '!$AC$1:$AC$1501,$J1622+1))-IF(AND('Opening Balance'!$B$15=1,INDEX('Daily Sale entry '!$Z$1:$Z$1501,$J1622+1)="Online collection 网上收款",INDEX('Daily Sale entry '!$AA$1:$AA$1501,$J1622+1)&lt;&gt;""),N(INDEX('Daily Sale entry '!$AC$1:$AC$1501,$J1622+1))-TRUNC(N(INDEX('Daily Sale entry '!$AC$1:$AC$1501,$J1622+1))),0),N(INDEX('Daily Sale entry '!$S$1:$S$1501,$J1622-1499))-'Opening Balance'!$B$15*(N(INDEX('Daily Sale entry '!$S$1:$S$1501,$J1622-1499))-TRUNC(N(INDEX('Daily Sale entry '!$S$1:$S$1501,$J1622-1499))))))</f>
        <v/>
      </c>
      <c r="G1622" s="6">
        <f>IF($J1622="","",IF($J1622&lt;=1500,N(INDEX('Daily Sale entry '!$AD$1:$AD$1501,$J1622+1)),0))</f>
        <v/>
      </c>
      <c r="H1622" s="6">
        <f>IF($J1622="","",ROUND('Opening Balance'!$B$4+SUM($F$2:F1622)-SUM($G$2:G1622),2))</f>
        <v/>
      </c>
      <c r="J1622" s="21">
        <f>IFERROR(MATCH(ROW()-1,$L$2:$L$3001,0),"")</f>
        <v/>
      </c>
      <c r="K1622" s="34">
        <f>IF(AND('Daily Sale entry '!Q122="Collection 收款",'Daily Sale entry '!R122="Cheque 支票",'Daily Sale entry '!V122&lt;&gt;""),'Daily Sale entry '!V122+ROW()/10000000,"")</f>
        <v/>
      </c>
      <c r="L1622" s="21">
        <f>IF(K1622="","",COUNTIF($K$2:$K$3001,"&lt;"&amp;K1622)+1)</f>
        <v/>
      </c>
    </row>
    <row r="1623">
      <c r="A1623" s="5">
        <f>IF($J1623="","",IF($J1623&lt;=1500,INDEX('Daily Sale entry '!$X$1:$X$1501,$J1623+1),INDEX('Daily Sale entry '!$V$1:$V$1501,$J1623-1499)))</f>
        <v/>
      </c>
      <c r="B1623">
        <f>IF($J1623="","",IF($J1623&lt;=1500,INDEX('Daily Sale entry '!$Y$1:$Y$1501,$J1623+1)&amp;"","Buyer cheque banked 买家支票存入"&amp;IF(INDEX('Daily Sale entry '!$U$1:$U$1501,$J1623-1499)="","", " - "&amp;INDEX('Daily Sale entry '!$U$1:$U$1501,$J1623-1499))))</f>
        <v/>
      </c>
      <c r="C1623">
        <f>IF($J1623="","",IF($J1623&lt;=1500,INDEX('Daily Sale entry '!$Z$1:$Z$1501,$J1623+1)&amp;"","Cheque deposit 支票存入 (buyer 买家)"))</f>
        <v/>
      </c>
      <c r="D1623">
        <f>IF($J1623="","",IF($J1623&lt;=1500,INDEX('Daily Sale entry '!$AA$1:$AA$1501,$J1623+1)&amp;"",INDEX('Daily Sale entry '!$P$1:$P$1501,$J1623-1499)&amp;""))</f>
        <v/>
      </c>
      <c r="E1623">
        <f>IF($J1623="","",IF($J1623&lt;=1500,IF(N(INDEX('Daily Sale entry '!$AB$1:$AB$1501,$J1623+1))=0,"",INDEX('Daily Sale entry '!$AB$1:$AB$1501,$J1623+1)),1))</f>
        <v/>
      </c>
      <c r="F1623" s="6">
        <f>IF($J1623="","",IF($J1623&lt;=1500,N(INDEX('Daily Sale entry '!$AC$1:$AC$1501,$J1623+1))-IF(AND('Opening Balance'!$B$15=1,INDEX('Daily Sale entry '!$Z$1:$Z$1501,$J1623+1)="Online collection 网上收款",INDEX('Daily Sale entry '!$AA$1:$AA$1501,$J1623+1)&lt;&gt;""),N(INDEX('Daily Sale entry '!$AC$1:$AC$1501,$J1623+1))-TRUNC(N(INDEX('Daily Sale entry '!$AC$1:$AC$1501,$J1623+1))),0),N(INDEX('Daily Sale entry '!$S$1:$S$1501,$J1623-1499))-'Opening Balance'!$B$15*(N(INDEX('Daily Sale entry '!$S$1:$S$1501,$J1623-1499))-TRUNC(N(INDEX('Daily Sale entry '!$S$1:$S$1501,$J1623-1499))))))</f>
        <v/>
      </c>
      <c r="G1623" s="6">
        <f>IF($J1623="","",IF($J1623&lt;=1500,N(INDEX('Daily Sale entry '!$AD$1:$AD$1501,$J1623+1)),0))</f>
        <v/>
      </c>
      <c r="H1623" s="6">
        <f>IF($J1623="","",ROUND('Opening Balance'!$B$4+SUM($F$2:F1623)-SUM($G$2:G1623),2))</f>
        <v/>
      </c>
      <c r="J1623" s="21">
        <f>IFERROR(MATCH(ROW()-1,$L$2:$L$3001,0),"")</f>
        <v/>
      </c>
      <c r="K1623" s="34">
        <f>IF(AND('Daily Sale entry '!Q123="Collection 收款",'Daily Sale entry '!R123="Cheque 支票",'Daily Sale entry '!V123&lt;&gt;""),'Daily Sale entry '!V123+ROW()/10000000,"")</f>
        <v/>
      </c>
      <c r="L1623" s="21">
        <f>IF(K1623="","",COUNTIF($K$2:$K$3001,"&lt;"&amp;K1623)+1)</f>
        <v/>
      </c>
    </row>
    <row r="1624">
      <c r="A1624" s="5">
        <f>IF($J1624="","",IF($J1624&lt;=1500,INDEX('Daily Sale entry '!$X$1:$X$1501,$J1624+1),INDEX('Daily Sale entry '!$V$1:$V$1501,$J1624-1499)))</f>
        <v/>
      </c>
      <c r="B1624">
        <f>IF($J1624="","",IF($J1624&lt;=1500,INDEX('Daily Sale entry '!$Y$1:$Y$1501,$J1624+1)&amp;"","Buyer cheque banked 买家支票存入"&amp;IF(INDEX('Daily Sale entry '!$U$1:$U$1501,$J1624-1499)="","", " - "&amp;INDEX('Daily Sale entry '!$U$1:$U$1501,$J1624-1499))))</f>
        <v/>
      </c>
      <c r="C1624">
        <f>IF($J1624="","",IF($J1624&lt;=1500,INDEX('Daily Sale entry '!$Z$1:$Z$1501,$J1624+1)&amp;"","Cheque deposit 支票存入 (buyer 买家)"))</f>
        <v/>
      </c>
      <c r="D1624">
        <f>IF($J1624="","",IF($J1624&lt;=1500,INDEX('Daily Sale entry '!$AA$1:$AA$1501,$J1624+1)&amp;"",INDEX('Daily Sale entry '!$P$1:$P$1501,$J1624-1499)&amp;""))</f>
        <v/>
      </c>
      <c r="E1624">
        <f>IF($J1624="","",IF($J1624&lt;=1500,IF(N(INDEX('Daily Sale entry '!$AB$1:$AB$1501,$J1624+1))=0,"",INDEX('Daily Sale entry '!$AB$1:$AB$1501,$J1624+1)),1))</f>
        <v/>
      </c>
      <c r="F1624" s="6">
        <f>IF($J1624="","",IF($J1624&lt;=1500,N(INDEX('Daily Sale entry '!$AC$1:$AC$1501,$J1624+1))-IF(AND('Opening Balance'!$B$15=1,INDEX('Daily Sale entry '!$Z$1:$Z$1501,$J1624+1)="Online collection 网上收款",INDEX('Daily Sale entry '!$AA$1:$AA$1501,$J1624+1)&lt;&gt;""),N(INDEX('Daily Sale entry '!$AC$1:$AC$1501,$J1624+1))-TRUNC(N(INDEX('Daily Sale entry '!$AC$1:$AC$1501,$J1624+1))),0),N(INDEX('Daily Sale entry '!$S$1:$S$1501,$J1624-1499))-'Opening Balance'!$B$15*(N(INDEX('Daily Sale entry '!$S$1:$S$1501,$J1624-1499))-TRUNC(N(INDEX('Daily Sale entry '!$S$1:$S$1501,$J1624-1499))))))</f>
        <v/>
      </c>
      <c r="G1624" s="6">
        <f>IF($J1624="","",IF($J1624&lt;=1500,N(INDEX('Daily Sale entry '!$AD$1:$AD$1501,$J1624+1)),0))</f>
        <v/>
      </c>
      <c r="H1624" s="6">
        <f>IF($J1624="","",ROUND('Opening Balance'!$B$4+SUM($F$2:F1624)-SUM($G$2:G1624),2))</f>
        <v/>
      </c>
      <c r="J1624" s="21">
        <f>IFERROR(MATCH(ROW()-1,$L$2:$L$3001,0),"")</f>
        <v/>
      </c>
      <c r="K1624" s="34">
        <f>IF(AND('Daily Sale entry '!Q124="Collection 收款",'Daily Sale entry '!R124="Cheque 支票",'Daily Sale entry '!V124&lt;&gt;""),'Daily Sale entry '!V124+ROW()/10000000,"")</f>
        <v/>
      </c>
      <c r="L1624" s="21">
        <f>IF(K1624="","",COUNTIF($K$2:$K$3001,"&lt;"&amp;K1624)+1)</f>
        <v/>
      </c>
    </row>
    <row r="1625">
      <c r="A1625" s="5">
        <f>IF($J1625="","",IF($J1625&lt;=1500,INDEX('Daily Sale entry '!$X$1:$X$1501,$J1625+1),INDEX('Daily Sale entry '!$V$1:$V$1501,$J1625-1499)))</f>
        <v/>
      </c>
      <c r="B1625">
        <f>IF($J1625="","",IF($J1625&lt;=1500,INDEX('Daily Sale entry '!$Y$1:$Y$1501,$J1625+1)&amp;"","Buyer cheque banked 买家支票存入"&amp;IF(INDEX('Daily Sale entry '!$U$1:$U$1501,$J1625-1499)="","", " - "&amp;INDEX('Daily Sale entry '!$U$1:$U$1501,$J1625-1499))))</f>
        <v/>
      </c>
      <c r="C1625">
        <f>IF($J1625="","",IF($J1625&lt;=1500,INDEX('Daily Sale entry '!$Z$1:$Z$1501,$J1625+1)&amp;"","Cheque deposit 支票存入 (buyer 买家)"))</f>
        <v/>
      </c>
      <c r="D1625">
        <f>IF($J1625="","",IF($J1625&lt;=1500,INDEX('Daily Sale entry '!$AA$1:$AA$1501,$J1625+1)&amp;"",INDEX('Daily Sale entry '!$P$1:$P$1501,$J1625-1499)&amp;""))</f>
        <v/>
      </c>
      <c r="E1625">
        <f>IF($J1625="","",IF($J1625&lt;=1500,IF(N(INDEX('Daily Sale entry '!$AB$1:$AB$1501,$J1625+1))=0,"",INDEX('Daily Sale entry '!$AB$1:$AB$1501,$J1625+1)),1))</f>
        <v/>
      </c>
      <c r="F1625" s="6">
        <f>IF($J1625="","",IF($J1625&lt;=1500,N(INDEX('Daily Sale entry '!$AC$1:$AC$1501,$J1625+1))-IF(AND('Opening Balance'!$B$15=1,INDEX('Daily Sale entry '!$Z$1:$Z$1501,$J1625+1)="Online collection 网上收款",INDEX('Daily Sale entry '!$AA$1:$AA$1501,$J1625+1)&lt;&gt;""),N(INDEX('Daily Sale entry '!$AC$1:$AC$1501,$J1625+1))-TRUNC(N(INDEX('Daily Sale entry '!$AC$1:$AC$1501,$J1625+1))),0),N(INDEX('Daily Sale entry '!$S$1:$S$1501,$J1625-1499))-'Opening Balance'!$B$15*(N(INDEX('Daily Sale entry '!$S$1:$S$1501,$J1625-1499))-TRUNC(N(INDEX('Daily Sale entry '!$S$1:$S$1501,$J1625-1499))))))</f>
        <v/>
      </c>
      <c r="G1625" s="6">
        <f>IF($J1625="","",IF($J1625&lt;=1500,N(INDEX('Daily Sale entry '!$AD$1:$AD$1501,$J1625+1)),0))</f>
        <v/>
      </c>
      <c r="H1625" s="6">
        <f>IF($J1625="","",ROUND('Opening Balance'!$B$4+SUM($F$2:F1625)-SUM($G$2:G1625),2))</f>
        <v/>
      </c>
      <c r="J1625" s="21">
        <f>IFERROR(MATCH(ROW()-1,$L$2:$L$3001,0),"")</f>
        <v/>
      </c>
      <c r="K1625" s="34">
        <f>IF(AND('Daily Sale entry '!Q125="Collection 收款",'Daily Sale entry '!R125="Cheque 支票",'Daily Sale entry '!V125&lt;&gt;""),'Daily Sale entry '!V125+ROW()/10000000,"")</f>
        <v/>
      </c>
      <c r="L1625" s="21">
        <f>IF(K1625="","",COUNTIF($K$2:$K$3001,"&lt;"&amp;K1625)+1)</f>
        <v/>
      </c>
    </row>
    <row r="1626">
      <c r="A1626" s="5">
        <f>IF($J1626="","",IF($J1626&lt;=1500,INDEX('Daily Sale entry '!$X$1:$X$1501,$J1626+1),INDEX('Daily Sale entry '!$V$1:$V$1501,$J1626-1499)))</f>
        <v/>
      </c>
      <c r="B1626">
        <f>IF($J1626="","",IF($J1626&lt;=1500,INDEX('Daily Sale entry '!$Y$1:$Y$1501,$J1626+1)&amp;"","Buyer cheque banked 买家支票存入"&amp;IF(INDEX('Daily Sale entry '!$U$1:$U$1501,$J1626-1499)="","", " - "&amp;INDEX('Daily Sale entry '!$U$1:$U$1501,$J1626-1499))))</f>
        <v/>
      </c>
      <c r="C1626">
        <f>IF($J1626="","",IF($J1626&lt;=1500,INDEX('Daily Sale entry '!$Z$1:$Z$1501,$J1626+1)&amp;"","Cheque deposit 支票存入 (buyer 买家)"))</f>
        <v/>
      </c>
      <c r="D1626">
        <f>IF($J1626="","",IF($J1626&lt;=1500,INDEX('Daily Sale entry '!$AA$1:$AA$1501,$J1626+1)&amp;"",INDEX('Daily Sale entry '!$P$1:$P$1501,$J1626-1499)&amp;""))</f>
        <v/>
      </c>
      <c r="E1626">
        <f>IF($J1626="","",IF($J1626&lt;=1500,IF(N(INDEX('Daily Sale entry '!$AB$1:$AB$1501,$J1626+1))=0,"",INDEX('Daily Sale entry '!$AB$1:$AB$1501,$J1626+1)),1))</f>
        <v/>
      </c>
      <c r="F1626" s="6">
        <f>IF($J1626="","",IF($J1626&lt;=1500,N(INDEX('Daily Sale entry '!$AC$1:$AC$1501,$J1626+1))-IF(AND('Opening Balance'!$B$15=1,INDEX('Daily Sale entry '!$Z$1:$Z$1501,$J1626+1)="Online collection 网上收款",INDEX('Daily Sale entry '!$AA$1:$AA$1501,$J1626+1)&lt;&gt;""),N(INDEX('Daily Sale entry '!$AC$1:$AC$1501,$J1626+1))-TRUNC(N(INDEX('Daily Sale entry '!$AC$1:$AC$1501,$J1626+1))),0),N(INDEX('Daily Sale entry '!$S$1:$S$1501,$J1626-1499))-'Opening Balance'!$B$15*(N(INDEX('Daily Sale entry '!$S$1:$S$1501,$J1626-1499))-TRUNC(N(INDEX('Daily Sale entry '!$S$1:$S$1501,$J1626-1499))))))</f>
        <v/>
      </c>
      <c r="G1626" s="6">
        <f>IF($J1626="","",IF($J1626&lt;=1500,N(INDEX('Daily Sale entry '!$AD$1:$AD$1501,$J1626+1)),0))</f>
        <v/>
      </c>
      <c r="H1626" s="6">
        <f>IF($J1626="","",ROUND('Opening Balance'!$B$4+SUM($F$2:F1626)-SUM($G$2:G1626),2))</f>
        <v/>
      </c>
      <c r="J1626" s="21">
        <f>IFERROR(MATCH(ROW()-1,$L$2:$L$3001,0),"")</f>
        <v/>
      </c>
      <c r="K1626" s="34">
        <f>IF(AND('Daily Sale entry '!Q126="Collection 收款",'Daily Sale entry '!R126="Cheque 支票",'Daily Sale entry '!V126&lt;&gt;""),'Daily Sale entry '!V126+ROW()/10000000,"")</f>
        <v/>
      </c>
      <c r="L1626" s="21">
        <f>IF(K1626="","",COUNTIF($K$2:$K$3001,"&lt;"&amp;K1626)+1)</f>
        <v/>
      </c>
    </row>
    <row r="1627">
      <c r="A1627" s="5">
        <f>IF($J1627="","",IF($J1627&lt;=1500,INDEX('Daily Sale entry '!$X$1:$X$1501,$J1627+1),INDEX('Daily Sale entry '!$V$1:$V$1501,$J1627-1499)))</f>
        <v/>
      </c>
      <c r="B1627">
        <f>IF($J1627="","",IF($J1627&lt;=1500,INDEX('Daily Sale entry '!$Y$1:$Y$1501,$J1627+1)&amp;"","Buyer cheque banked 买家支票存入"&amp;IF(INDEX('Daily Sale entry '!$U$1:$U$1501,$J1627-1499)="","", " - "&amp;INDEX('Daily Sale entry '!$U$1:$U$1501,$J1627-1499))))</f>
        <v/>
      </c>
      <c r="C1627">
        <f>IF($J1627="","",IF($J1627&lt;=1500,INDEX('Daily Sale entry '!$Z$1:$Z$1501,$J1627+1)&amp;"","Cheque deposit 支票存入 (buyer 买家)"))</f>
        <v/>
      </c>
      <c r="D1627">
        <f>IF($J1627="","",IF($J1627&lt;=1500,INDEX('Daily Sale entry '!$AA$1:$AA$1501,$J1627+1)&amp;"",INDEX('Daily Sale entry '!$P$1:$P$1501,$J1627-1499)&amp;""))</f>
        <v/>
      </c>
      <c r="E1627">
        <f>IF($J1627="","",IF($J1627&lt;=1500,IF(N(INDEX('Daily Sale entry '!$AB$1:$AB$1501,$J1627+1))=0,"",INDEX('Daily Sale entry '!$AB$1:$AB$1501,$J1627+1)),1))</f>
        <v/>
      </c>
      <c r="F1627" s="6">
        <f>IF($J1627="","",IF($J1627&lt;=1500,N(INDEX('Daily Sale entry '!$AC$1:$AC$1501,$J1627+1))-IF(AND('Opening Balance'!$B$15=1,INDEX('Daily Sale entry '!$Z$1:$Z$1501,$J1627+1)="Online collection 网上收款",INDEX('Daily Sale entry '!$AA$1:$AA$1501,$J1627+1)&lt;&gt;""),N(INDEX('Daily Sale entry '!$AC$1:$AC$1501,$J1627+1))-TRUNC(N(INDEX('Daily Sale entry '!$AC$1:$AC$1501,$J1627+1))),0),N(INDEX('Daily Sale entry '!$S$1:$S$1501,$J1627-1499))-'Opening Balance'!$B$15*(N(INDEX('Daily Sale entry '!$S$1:$S$1501,$J1627-1499))-TRUNC(N(INDEX('Daily Sale entry '!$S$1:$S$1501,$J1627-1499))))))</f>
        <v/>
      </c>
      <c r="G1627" s="6">
        <f>IF($J1627="","",IF($J1627&lt;=1500,N(INDEX('Daily Sale entry '!$AD$1:$AD$1501,$J1627+1)),0))</f>
        <v/>
      </c>
      <c r="H1627" s="6">
        <f>IF($J1627="","",ROUND('Opening Balance'!$B$4+SUM($F$2:F1627)-SUM($G$2:G1627),2))</f>
        <v/>
      </c>
      <c r="J1627" s="21">
        <f>IFERROR(MATCH(ROW()-1,$L$2:$L$3001,0),"")</f>
        <v/>
      </c>
      <c r="K1627" s="34">
        <f>IF(AND('Daily Sale entry '!Q127="Collection 收款",'Daily Sale entry '!R127="Cheque 支票",'Daily Sale entry '!V127&lt;&gt;""),'Daily Sale entry '!V127+ROW()/10000000,"")</f>
        <v/>
      </c>
      <c r="L1627" s="21">
        <f>IF(K1627="","",COUNTIF($K$2:$K$3001,"&lt;"&amp;K1627)+1)</f>
        <v/>
      </c>
    </row>
    <row r="1628">
      <c r="A1628" s="5">
        <f>IF($J1628="","",IF($J1628&lt;=1500,INDEX('Daily Sale entry '!$X$1:$X$1501,$J1628+1),INDEX('Daily Sale entry '!$V$1:$V$1501,$J1628-1499)))</f>
        <v/>
      </c>
      <c r="B1628">
        <f>IF($J1628="","",IF($J1628&lt;=1500,INDEX('Daily Sale entry '!$Y$1:$Y$1501,$J1628+1)&amp;"","Buyer cheque banked 买家支票存入"&amp;IF(INDEX('Daily Sale entry '!$U$1:$U$1501,$J1628-1499)="","", " - "&amp;INDEX('Daily Sale entry '!$U$1:$U$1501,$J1628-1499))))</f>
        <v/>
      </c>
      <c r="C1628">
        <f>IF($J1628="","",IF($J1628&lt;=1500,INDEX('Daily Sale entry '!$Z$1:$Z$1501,$J1628+1)&amp;"","Cheque deposit 支票存入 (buyer 买家)"))</f>
        <v/>
      </c>
      <c r="D1628">
        <f>IF($J1628="","",IF($J1628&lt;=1500,INDEX('Daily Sale entry '!$AA$1:$AA$1501,$J1628+1)&amp;"",INDEX('Daily Sale entry '!$P$1:$P$1501,$J1628-1499)&amp;""))</f>
        <v/>
      </c>
      <c r="E1628">
        <f>IF($J1628="","",IF($J1628&lt;=1500,IF(N(INDEX('Daily Sale entry '!$AB$1:$AB$1501,$J1628+1))=0,"",INDEX('Daily Sale entry '!$AB$1:$AB$1501,$J1628+1)),1))</f>
        <v/>
      </c>
      <c r="F1628" s="6">
        <f>IF($J1628="","",IF($J1628&lt;=1500,N(INDEX('Daily Sale entry '!$AC$1:$AC$1501,$J1628+1))-IF(AND('Opening Balance'!$B$15=1,INDEX('Daily Sale entry '!$Z$1:$Z$1501,$J1628+1)="Online collection 网上收款",INDEX('Daily Sale entry '!$AA$1:$AA$1501,$J1628+1)&lt;&gt;""),N(INDEX('Daily Sale entry '!$AC$1:$AC$1501,$J1628+1))-TRUNC(N(INDEX('Daily Sale entry '!$AC$1:$AC$1501,$J1628+1))),0),N(INDEX('Daily Sale entry '!$S$1:$S$1501,$J1628-1499))-'Opening Balance'!$B$15*(N(INDEX('Daily Sale entry '!$S$1:$S$1501,$J1628-1499))-TRUNC(N(INDEX('Daily Sale entry '!$S$1:$S$1501,$J1628-1499))))))</f>
        <v/>
      </c>
      <c r="G1628" s="6">
        <f>IF($J1628="","",IF($J1628&lt;=1500,N(INDEX('Daily Sale entry '!$AD$1:$AD$1501,$J1628+1)),0))</f>
        <v/>
      </c>
      <c r="H1628" s="6">
        <f>IF($J1628="","",ROUND('Opening Balance'!$B$4+SUM($F$2:F1628)-SUM($G$2:G1628),2))</f>
        <v/>
      </c>
      <c r="J1628" s="21">
        <f>IFERROR(MATCH(ROW()-1,$L$2:$L$3001,0),"")</f>
        <v/>
      </c>
      <c r="K1628" s="34">
        <f>IF(AND('Daily Sale entry '!Q128="Collection 收款",'Daily Sale entry '!R128="Cheque 支票",'Daily Sale entry '!V128&lt;&gt;""),'Daily Sale entry '!V128+ROW()/10000000,"")</f>
        <v/>
      </c>
      <c r="L1628" s="21">
        <f>IF(K1628="","",COUNTIF($K$2:$K$3001,"&lt;"&amp;K1628)+1)</f>
        <v/>
      </c>
    </row>
    <row r="1629">
      <c r="A1629" s="5">
        <f>IF($J1629="","",IF($J1629&lt;=1500,INDEX('Daily Sale entry '!$X$1:$X$1501,$J1629+1),INDEX('Daily Sale entry '!$V$1:$V$1501,$J1629-1499)))</f>
        <v/>
      </c>
      <c r="B1629">
        <f>IF($J1629="","",IF($J1629&lt;=1500,INDEX('Daily Sale entry '!$Y$1:$Y$1501,$J1629+1)&amp;"","Buyer cheque banked 买家支票存入"&amp;IF(INDEX('Daily Sale entry '!$U$1:$U$1501,$J1629-1499)="","", " - "&amp;INDEX('Daily Sale entry '!$U$1:$U$1501,$J1629-1499))))</f>
        <v/>
      </c>
      <c r="C1629">
        <f>IF($J1629="","",IF($J1629&lt;=1500,INDEX('Daily Sale entry '!$Z$1:$Z$1501,$J1629+1)&amp;"","Cheque deposit 支票存入 (buyer 买家)"))</f>
        <v/>
      </c>
      <c r="D1629">
        <f>IF($J1629="","",IF($J1629&lt;=1500,INDEX('Daily Sale entry '!$AA$1:$AA$1501,$J1629+1)&amp;"",INDEX('Daily Sale entry '!$P$1:$P$1501,$J1629-1499)&amp;""))</f>
        <v/>
      </c>
      <c r="E1629">
        <f>IF($J1629="","",IF($J1629&lt;=1500,IF(N(INDEX('Daily Sale entry '!$AB$1:$AB$1501,$J1629+1))=0,"",INDEX('Daily Sale entry '!$AB$1:$AB$1501,$J1629+1)),1))</f>
        <v/>
      </c>
      <c r="F1629" s="6">
        <f>IF($J1629="","",IF($J1629&lt;=1500,N(INDEX('Daily Sale entry '!$AC$1:$AC$1501,$J1629+1))-IF(AND('Opening Balance'!$B$15=1,INDEX('Daily Sale entry '!$Z$1:$Z$1501,$J1629+1)="Online collection 网上收款",INDEX('Daily Sale entry '!$AA$1:$AA$1501,$J1629+1)&lt;&gt;""),N(INDEX('Daily Sale entry '!$AC$1:$AC$1501,$J1629+1))-TRUNC(N(INDEX('Daily Sale entry '!$AC$1:$AC$1501,$J1629+1))),0),N(INDEX('Daily Sale entry '!$S$1:$S$1501,$J1629-1499))-'Opening Balance'!$B$15*(N(INDEX('Daily Sale entry '!$S$1:$S$1501,$J1629-1499))-TRUNC(N(INDEX('Daily Sale entry '!$S$1:$S$1501,$J1629-1499))))))</f>
        <v/>
      </c>
      <c r="G1629" s="6">
        <f>IF($J1629="","",IF($J1629&lt;=1500,N(INDEX('Daily Sale entry '!$AD$1:$AD$1501,$J1629+1)),0))</f>
        <v/>
      </c>
      <c r="H1629" s="6">
        <f>IF($J1629="","",ROUND('Opening Balance'!$B$4+SUM($F$2:F1629)-SUM($G$2:G1629),2))</f>
        <v/>
      </c>
      <c r="J1629" s="21">
        <f>IFERROR(MATCH(ROW()-1,$L$2:$L$3001,0),"")</f>
        <v/>
      </c>
      <c r="K1629" s="34">
        <f>IF(AND('Daily Sale entry '!Q129="Collection 收款",'Daily Sale entry '!R129="Cheque 支票",'Daily Sale entry '!V129&lt;&gt;""),'Daily Sale entry '!V129+ROW()/10000000,"")</f>
        <v/>
      </c>
      <c r="L1629" s="21">
        <f>IF(K1629="","",COUNTIF($K$2:$K$3001,"&lt;"&amp;K1629)+1)</f>
        <v/>
      </c>
    </row>
    <row r="1630">
      <c r="A1630" s="5">
        <f>IF($J1630="","",IF($J1630&lt;=1500,INDEX('Daily Sale entry '!$X$1:$X$1501,$J1630+1),INDEX('Daily Sale entry '!$V$1:$V$1501,$J1630-1499)))</f>
        <v/>
      </c>
      <c r="B1630">
        <f>IF($J1630="","",IF($J1630&lt;=1500,INDEX('Daily Sale entry '!$Y$1:$Y$1501,$J1630+1)&amp;"","Buyer cheque banked 买家支票存入"&amp;IF(INDEX('Daily Sale entry '!$U$1:$U$1501,$J1630-1499)="","", " - "&amp;INDEX('Daily Sale entry '!$U$1:$U$1501,$J1630-1499))))</f>
        <v/>
      </c>
      <c r="C1630">
        <f>IF($J1630="","",IF($J1630&lt;=1500,INDEX('Daily Sale entry '!$Z$1:$Z$1501,$J1630+1)&amp;"","Cheque deposit 支票存入 (buyer 买家)"))</f>
        <v/>
      </c>
      <c r="D1630">
        <f>IF($J1630="","",IF($J1630&lt;=1500,INDEX('Daily Sale entry '!$AA$1:$AA$1501,$J1630+1)&amp;"",INDEX('Daily Sale entry '!$P$1:$P$1501,$J1630-1499)&amp;""))</f>
        <v/>
      </c>
      <c r="E1630">
        <f>IF($J1630="","",IF($J1630&lt;=1500,IF(N(INDEX('Daily Sale entry '!$AB$1:$AB$1501,$J1630+1))=0,"",INDEX('Daily Sale entry '!$AB$1:$AB$1501,$J1630+1)),1))</f>
        <v/>
      </c>
      <c r="F1630" s="6">
        <f>IF($J1630="","",IF($J1630&lt;=1500,N(INDEX('Daily Sale entry '!$AC$1:$AC$1501,$J1630+1))-IF(AND('Opening Balance'!$B$15=1,INDEX('Daily Sale entry '!$Z$1:$Z$1501,$J1630+1)="Online collection 网上收款",INDEX('Daily Sale entry '!$AA$1:$AA$1501,$J1630+1)&lt;&gt;""),N(INDEX('Daily Sale entry '!$AC$1:$AC$1501,$J1630+1))-TRUNC(N(INDEX('Daily Sale entry '!$AC$1:$AC$1501,$J1630+1))),0),N(INDEX('Daily Sale entry '!$S$1:$S$1501,$J1630-1499))-'Opening Balance'!$B$15*(N(INDEX('Daily Sale entry '!$S$1:$S$1501,$J1630-1499))-TRUNC(N(INDEX('Daily Sale entry '!$S$1:$S$1501,$J1630-1499))))))</f>
        <v/>
      </c>
      <c r="G1630" s="6">
        <f>IF($J1630="","",IF($J1630&lt;=1500,N(INDEX('Daily Sale entry '!$AD$1:$AD$1501,$J1630+1)),0))</f>
        <v/>
      </c>
      <c r="H1630" s="6">
        <f>IF($J1630="","",ROUND('Opening Balance'!$B$4+SUM($F$2:F1630)-SUM($G$2:G1630),2))</f>
        <v/>
      </c>
      <c r="J1630" s="21">
        <f>IFERROR(MATCH(ROW()-1,$L$2:$L$3001,0),"")</f>
        <v/>
      </c>
      <c r="K1630" s="34">
        <f>IF(AND('Daily Sale entry '!Q130="Collection 收款",'Daily Sale entry '!R130="Cheque 支票",'Daily Sale entry '!V130&lt;&gt;""),'Daily Sale entry '!V130+ROW()/10000000,"")</f>
        <v/>
      </c>
      <c r="L1630" s="21">
        <f>IF(K1630="","",COUNTIF($K$2:$K$3001,"&lt;"&amp;K1630)+1)</f>
        <v/>
      </c>
    </row>
    <row r="1631">
      <c r="A1631" s="5">
        <f>IF($J1631="","",IF($J1631&lt;=1500,INDEX('Daily Sale entry '!$X$1:$X$1501,$J1631+1),INDEX('Daily Sale entry '!$V$1:$V$1501,$J1631-1499)))</f>
        <v/>
      </c>
      <c r="B1631">
        <f>IF($J1631="","",IF($J1631&lt;=1500,INDEX('Daily Sale entry '!$Y$1:$Y$1501,$J1631+1)&amp;"","Buyer cheque banked 买家支票存入"&amp;IF(INDEX('Daily Sale entry '!$U$1:$U$1501,$J1631-1499)="","", " - "&amp;INDEX('Daily Sale entry '!$U$1:$U$1501,$J1631-1499))))</f>
        <v/>
      </c>
      <c r="C1631">
        <f>IF($J1631="","",IF($J1631&lt;=1500,INDEX('Daily Sale entry '!$Z$1:$Z$1501,$J1631+1)&amp;"","Cheque deposit 支票存入 (buyer 买家)"))</f>
        <v/>
      </c>
      <c r="D1631">
        <f>IF($J1631="","",IF($J1631&lt;=1500,INDEX('Daily Sale entry '!$AA$1:$AA$1501,$J1631+1)&amp;"",INDEX('Daily Sale entry '!$P$1:$P$1501,$J1631-1499)&amp;""))</f>
        <v/>
      </c>
      <c r="E1631">
        <f>IF($J1631="","",IF($J1631&lt;=1500,IF(N(INDEX('Daily Sale entry '!$AB$1:$AB$1501,$J1631+1))=0,"",INDEX('Daily Sale entry '!$AB$1:$AB$1501,$J1631+1)),1))</f>
        <v/>
      </c>
      <c r="F1631" s="6">
        <f>IF($J1631="","",IF($J1631&lt;=1500,N(INDEX('Daily Sale entry '!$AC$1:$AC$1501,$J1631+1))-IF(AND('Opening Balance'!$B$15=1,INDEX('Daily Sale entry '!$Z$1:$Z$1501,$J1631+1)="Online collection 网上收款",INDEX('Daily Sale entry '!$AA$1:$AA$1501,$J1631+1)&lt;&gt;""),N(INDEX('Daily Sale entry '!$AC$1:$AC$1501,$J1631+1))-TRUNC(N(INDEX('Daily Sale entry '!$AC$1:$AC$1501,$J1631+1))),0),N(INDEX('Daily Sale entry '!$S$1:$S$1501,$J1631-1499))-'Opening Balance'!$B$15*(N(INDEX('Daily Sale entry '!$S$1:$S$1501,$J1631-1499))-TRUNC(N(INDEX('Daily Sale entry '!$S$1:$S$1501,$J1631-1499))))))</f>
        <v/>
      </c>
      <c r="G1631" s="6">
        <f>IF($J1631="","",IF($J1631&lt;=1500,N(INDEX('Daily Sale entry '!$AD$1:$AD$1501,$J1631+1)),0))</f>
        <v/>
      </c>
      <c r="H1631" s="6">
        <f>IF($J1631="","",ROUND('Opening Balance'!$B$4+SUM($F$2:F1631)-SUM($G$2:G1631),2))</f>
        <v/>
      </c>
      <c r="J1631" s="21">
        <f>IFERROR(MATCH(ROW()-1,$L$2:$L$3001,0),"")</f>
        <v/>
      </c>
      <c r="K1631" s="34">
        <f>IF(AND('Daily Sale entry '!Q131="Collection 收款",'Daily Sale entry '!R131="Cheque 支票",'Daily Sale entry '!V131&lt;&gt;""),'Daily Sale entry '!V131+ROW()/10000000,"")</f>
        <v/>
      </c>
      <c r="L1631" s="21">
        <f>IF(K1631="","",COUNTIF($K$2:$K$3001,"&lt;"&amp;K1631)+1)</f>
        <v/>
      </c>
    </row>
    <row r="1632">
      <c r="A1632" s="5">
        <f>IF($J1632="","",IF($J1632&lt;=1500,INDEX('Daily Sale entry '!$X$1:$X$1501,$J1632+1),INDEX('Daily Sale entry '!$V$1:$V$1501,$J1632-1499)))</f>
        <v/>
      </c>
      <c r="B1632">
        <f>IF($J1632="","",IF($J1632&lt;=1500,INDEX('Daily Sale entry '!$Y$1:$Y$1501,$J1632+1)&amp;"","Buyer cheque banked 买家支票存入"&amp;IF(INDEX('Daily Sale entry '!$U$1:$U$1501,$J1632-1499)="","", " - "&amp;INDEX('Daily Sale entry '!$U$1:$U$1501,$J1632-1499))))</f>
        <v/>
      </c>
      <c r="C1632">
        <f>IF($J1632="","",IF($J1632&lt;=1500,INDEX('Daily Sale entry '!$Z$1:$Z$1501,$J1632+1)&amp;"","Cheque deposit 支票存入 (buyer 买家)"))</f>
        <v/>
      </c>
      <c r="D1632">
        <f>IF($J1632="","",IF($J1632&lt;=1500,INDEX('Daily Sale entry '!$AA$1:$AA$1501,$J1632+1)&amp;"",INDEX('Daily Sale entry '!$P$1:$P$1501,$J1632-1499)&amp;""))</f>
        <v/>
      </c>
      <c r="E1632">
        <f>IF($J1632="","",IF($J1632&lt;=1500,IF(N(INDEX('Daily Sale entry '!$AB$1:$AB$1501,$J1632+1))=0,"",INDEX('Daily Sale entry '!$AB$1:$AB$1501,$J1632+1)),1))</f>
        <v/>
      </c>
      <c r="F1632" s="6">
        <f>IF($J1632="","",IF($J1632&lt;=1500,N(INDEX('Daily Sale entry '!$AC$1:$AC$1501,$J1632+1))-IF(AND('Opening Balance'!$B$15=1,INDEX('Daily Sale entry '!$Z$1:$Z$1501,$J1632+1)="Online collection 网上收款",INDEX('Daily Sale entry '!$AA$1:$AA$1501,$J1632+1)&lt;&gt;""),N(INDEX('Daily Sale entry '!$AC$1:$AC$1501,$J1632+1))-TRUNC(N(INDEX('Daily Sale entry '!$AC$1:$AC$1501,$J1632+1))),0),N(INDEX('Daily Sale entry '!$S$1:$S$1501,$J1632-1499))-'Opening Balance'!$B$15*(N(INDEX('Daily Sale entry '!$S$1:$S$1501,$J1632-1499))-TRUNC(N(INDEX('Daily Sale entry '!$S$1:$S$1501,$J1632-1499))))))</f>
        <v/>
      </c>
      <c r="G1632" s="6">
        <f>IF($J1632="","",IF($J1632&lt;=1500,N(INDEX('Daily Sale entry '!$AD$1:$AD$1501,$J1632+1)),0))</f>
        <v/>
      </c>
      <c r="H1632" s="6">
        <f>IF($J1632="","",ROUND('Opening Balance'!$B$4+SUM($F$2:F1632)-SUM($G$2:G1632),2))</f>
        <v/>
      </c>
      <c r="J1632" s="21">
        <f>IFERROR(MATCH(ROW()-1,$L$2:$L$3001,0),"")</f>
        <v/>
      </c>
      <c r="K1632" s="34">
        <f>IF(AND('Daily Sale entry '!Q132="Collection 收款",'Daily Sale entry '!R132="Cheque 支票",'Daily Sale entry '!V132&lt;&gt;""),'Daily Sale entry '!V132+ROW()/10000000,"")</f>
        <v/>
      </c>
      <c r="L1632" s="21">
        <f>IF(K1632="","",COUNTIF($K$2:$K$3001,"&lt;"&amp;K1632)+1)</f>
        <v/>
      </c>
    </row>
    <row r="1633">
      <c r="A1633" s="5">
        <f>IF($J1633="","",IF($J1633&lt;=1500,INDEX('Daily Sale entry '!$X$1:$X$1501,$J1633+1),INDEX('Daily Sale entry '!$V$1:$V$1501,$J1633-1499)))</f>
        <v/>
      </c>
      <c r="B1633">
        <f>IF($J1633="","",IF($J1633&lt;=1500,INDEX('Daily Sale entry '!$Y$1:$Y$1501,$J1633+1)&amp;"","Buyer cheque banked 买家支票存入"&amp;IF(INDEX('Daily Sale entry '!$U$1:$U$1501,$J1633-1499)="","", " - "&amp;INDEX('Daily Sale entry '!$U$1:$U$1501,$J1633-1499))))</f>
        <v/>
      </c>
      <c r="C1633">
        <f>IF($J1633="","",IF($J1633&lt;=1500,INDEX('Daily Sale entry '!$Z$1:$Z$1501,$J1633+1)&amp;"","Cheque deposit 支票存入 (buyer 买家)"))</f>
        <v/>
      </c>
      <c r="D1633">
        <f>IF($J1633="","",IF($J1633&lt;=1500,INDEX('Daily Sale entry '!$AA$1:$AA$1501,$J1633+1)&amp;"",INDEX('Daily Sale entry '!$P$1:$P$1501,$J1633-1499)&amp;""))</f>
        <v/>
      </c>
      <c r="E1633">
        <f>IF($J1633="","",IF($J1633&lt;=1500,IF(N(INDEX('Daily Sale entry '!$AB$1:$AB$1501,$J1633+1))=0,"",INDEX('Daily Sale entry '!$AB$1:$AB$1501,$J1633+1)),1))</f>
        <v/>
      </c>
      <c r="F1633" s="6">
        <f>IF($J1633="","",IF($J1633&lt;=1500,N(INDEX('Daily Sale entry '!$AC$1:$AC$1501,$J1633+1))-IF(AND('Opening Balance'!$B$15=1,INDEX('Daily Sale entry '!$Z$1:$Z$1501,$J1633+1)="Online collection 网上收款",INDEX('Daily Sale entry '!$AA$1:$AA$1501,$J1633+1)&lt;&gt;""),N(INDEX('Daily Sale entry '!$AC$1:$AC$1501,$J1633+1))-TRUNC(N(INDEX('Daily Sale entry '!$AC$1:$AC$1501,$J1633+1))),0),N(INDEX('Daily Sale entry '!$S$1:$S$1501,$J1633-1499))-'Opening Balance'!$B$15*(N(INDEX('Daily Sale entry '!$S$1:$S$1501,$J1633-1499))-TRUNC(N(INDEX('Daily Sale entry '!$S$1:$S$1501,$J1633-1499))))))</f>
        <v/>
      </c>
      <c r="G1633" s="6">
        <f>IF($J1633="","",IF($J1633&lt;=1500,N(INDEX('Daily Sale entry '!$AD$1:$AD$1501,$J1633+1)),0))</f>
        <v/>
      </c>
      <c r="H1633" s="6">
        <f>IF($J1633="","",ROUND('Opening Balance'!$B$4+SUM($F$2:F1633)-SUM($G$2:G1633),2))</f>
        <v/>
      </c>
      <c r="J1633" s="21">
        <f>IFERROR(MATCH(ROW()-1,$L$2:$L$3001,0),"")</f>
        <v/>
      </c>
      <c r="K1633" s="34">
        <f>IF(AND('Daily Sale entry '!Q133="Collection 收款",'Daily Sale entry '!R133="Cheque 支票",'Daily Sale entry '!V133&lt;&gt;""),'Daily Sale entry '!V133+ROW()/10000000,"")</f>
        <v/>
      </c>
      <c r="L1633" s="21">
        <f>IF(K1633="","",COUNTIF($K$2:$K$3001,"&lt;"&amp;K1633)+1)</f>
        <v/>
      </c>
    </row>
    <row r="1634">
      <c r="A1634" s="5">
        <f>IF($J1634="","",IF($J1634&lt;=1500,INDEX('Daily Sale entry '!$X$1:$X$1501,$J1634+1),INDEX('Daily Sale entry '!$V$1:$V$1501,$J1634-1499)))</f>
        <v/>
      </c>
      <c r="B1634">
        <f>IF($J1634="","",IF($J1634&lt;=1500,INDEX('Daily Sale entry '!$Y$1:$Y$1501,$J1634+1)&amp;"","Buyer cheque banked 买家支票存入"&amp;IF(INDEX('Daily Sale entry '!$U$1:$U$1501,$J1634-1499)="","", " - "&amp;INDEX('Daily Sale entry '!$U$1:$U$1501,$J1634-1499))))</f>
        <v/>
      </c>
      <c r="C1634">
        <f>IF($J1634="","",IF($J1634&lt;=1500,INDEX('Daily Sale entry '!$Z$1:$Z$1501,$J1634+1)&amp;"","Cheque deposit 支票存入 (buyer 买家)"))</f>
        <v/>
      </c>
      <c r="D1634">
        <f>IF($J1634="","",IF($J1634&lt;=1500,INDEX('Daily Sale entry '!$AA$1:$AA$1501,$J1634+1)&amp;"",INDEX('Daily Sale entry '!$P$1:$P$1501,$J1634-1499)&amp;""))</f>
        <v/>
      </c>
      <c r="E1634">
        <f>IF($J1634="","",IF($J1634&lt;=1500,IF(N(INDEX('Daily Sale entry '!$AB$1:$AB$1501,$J1634+1))=0,"",INDEX('Daily Sale entry '!$AB$1:$AB$1501,$J1634+1)),1))</f>
        <v/>
      </c>
      <c r="F1634" s="6">
        <f>IF($J1634="","",IF($J1634&lt;=1500,N(INDEX('Daily Sale entry '!$AC$1:$AC$1501,$J1634+1))-IF(AND('Opening Balance'!$B$15=1,INDEX('Daily Sale entry '!$Z$1:$Z$1501,$J1634+1)="Online collection 网上收款",INDEX('Daily Sale entry '!$AA$1:$AA$1501,$J1634+1)&lt;&gt;""),N(INDEX('Daily Sale entry '!$AC$1:$AC$1501,$J1634+1))-TRUNC(N(INDEX('Daily Sale entry '!$AC$1:$AC$1501,$J1634+1))),0),N(INDEX('Daily Sale entry '!$S$1:$S$1501,$J1634-1499))-'Opening Balance'!$B$15*(N(INDEX('Daily Sale entry '!$S$1:$S$1501,$J1634-1499))-TRUNC(N(INDEX('Daily Sale entry '!$S$1:$S$1501,$J1634-1499))))))</f>
        <v/>
      </c>
      <c r="G1634" s="6">
        <f>IF($J1634="","",IF($J1634&lt;=1500,N(INDEX('Daily Sale entry '!$AD$1:$AD$1501,$J1634+1)),0))</f>
        <v/>
      </c>
      <c r="H1634" s="6">
        <f>IF($J1634="","",ROUND('Opening Balance'!$B$4+SUM($F$2:F1634)-SUM($G$2:G1634),2))</f>
        <v/>
      </c>
      <c r="J1634" s="21">
        <f>IFERROR(MATCH(ROW()-1,$L$2:$L$3001,0),"")</f>
        <v/>
      </c>
      <c r="K1634" s="34">
        <f>IF(AND('Daily Sale entry '!Q134="Collection 收款",'Daily Sale entry '!R134="Cheque 支票",'Daily Sale entry '!V134&lt;&gt;""),'Daily Sale entry '!V134+ROW()/10000000,"")</f>
        <v/>
      </c>
      <c r="L1634" s="21">
        <f>IF(K1634="","",COUNTIF($K$2:$K$3001,"&lt;"&amp;K1634)+1)</f>
        <v/>
      </c>
    </row>
    <row r="1635">
      <c r="A1635" s="5">
        <f>IF($J1635="","",IF($J1635&lt;=1500,INDEX('Daily Sale entry '!$X$1:$X$1501,$J1635+1),INDEX('Daily Sale entry '!$V$1:$V$1501,$J1635-1499)))</f>
        <v/>
      </c>
      <c r="B1635">
        <f>IF($J1635="","",IF($J1635&lt;=1500,INDEX('Daily Sale entry '!$Y$1:$Y$1501,$J1635+1)&amp;"","Buyer cheque banked 买家支票存入"&amp;IF(INDEX('Daily Sale entry '!$U$1:$U$1501,$J1635-1499)="","", " - "&amp;INDEX('Daily Sale entry '!$U$1:$U$1501,$J1635-1499))))</f>
        <v/>
      </c>
      <c r="C1635">
        <f>IF($J1635="","",IF($J1635&lt;=1500,INDEX('Daily Sale entry '!$Z$1:$Z$1501,$J1635+1)&amp;"","Cheque deposit 支票存入 (buyer 买家)"))</f>
        <v/>
      </c>
      <c r="D1635">
        <f>IF($J1635="","",IF($J1635&lt;=1500,INDEX('Daily Sale entry '!$AA$1:$AA$1501,$J1635+1)&amp;"",INDEX('Daily Sale entry '!$P$1:$P$1501,$J1635-1499)&amp;""))</f>
        <v/>
      </c>
      <c r="E1635">
        <f>IF($J1635="","",IF($J1635&lt;=1500,IF(N(INDEX('Daily Sale entry '!$AB$1:$AB$1501,$J1635+1))=0,"",INDEX('Daily Sale entry '!$AB$1:$AB$1501,$J1635+1)),1))</f>
        <v/>
      </c>
      <c r="F1635" s="6">
        <f>IF($J1635="","",IF($J1635&lt;=1500,N(INDEX('Daily Sale entry '!$AC$1:$AC$1501,$J1635+1))-IF(AND('Opening Balance'!$B$15=1,INDEX('Daily Sale entry '!$Z$1:$Z$1501,$J1635+1)="Online collection 网上收款",INDEX('Daily Sale entry '!$AA$1:$AA$1501,$J1635+1)&lt;&gt;""),N(INDEX('Daily Sale entry '!$AC$1:$AC$1501,$J1635+1))-TRUNC(N(INDEX('Daily Sale entry '!$AC$1:$AC$1501,$J1635+1))),0),N(INDEX('Daily Sale entry '!$S$1:$S$1501,$J1635-1499))-'Opening Balance'!$B$15*(N(INDEX('Daily Sale entry '!$S$1:$S$1501,$J1635-1499))-TRUNC(N(INDEX('Daily Sale entry '!$S$1:$S$1501,$J1635-1499))))))</f>
        <v/>
      </c>
      <c r="G1635" s="6">
        <f>IF($J1635="","",IF($J1635&lt;=1500,N(INDEX('Daily Sale entry '!$AD$1:$AD$1501,$J1635+1)),0))</f>
        <v/>
      </c>
      <c r="H1635" s="6">
        <f>IF($J1635="","",ROUND('Opening Balance'!$B$4+SUM($F$2:F1635)-SUM($G$2:G1635),2))</f>
        <v/>
      </c>
      <c r="J1635" s="21">
        <f>IFERROR(MATCH(ROW()-1,$L$2:$L$3001,0),"")</f>
        <v/>
      </c>
      <c r="K1635" s="34">
        <f>IF(AND('Daily Sale entry '!Q135="Collection 收款",'Daily Sale entry '!R135="Cheque 支票",'Daily Sale entry '!V135&lt;&gt;""),'Daily Sale entry '!V135+ROW()/10000000,"")</f>
        <v/>
      </c>
      <c r="L1635" s="21">
        <f>IF(K1635="","",COUNTIF($K$2:$K$3001,"&lt;"&amp;K1635)+1)</f>
        <v/>
      </c>
    </row>
    <row r="1636">
      <c r="A1636" s="5">
        <f>IF($J1636="","",IF($J1636&lt;=1500,INDEX('Daily Sale entry '!$X$1:$X$1501,$J1636+1),INDEX('Daily Sale entry '!$V$1:$V$1501,$J1636-1499)))</f>
        <v/>
      </c>
      <c r="B1636">
        <f>IF($J1636="","",IF($J1636&lt;=1500,INDEX('Daily Sale entry '!$Y$1:$Y$1501,$J1636+1)&amp;"","Buyer cheque banked 买家支票存入"&amp;IF(INDEX('Daily Sale entry '!$U$1:$U$1501,$J1636-1499)="","", " - "&amp;INDEX('Daily Sale entry '!$U$1:$U$1501,$J1636-1499))))</f>
        <v/>
      </c>
      <c r="C1636">
        <f>IF($J1636="","",IF($J1636&lt;=1500,INDEX('Daily Sale entry '!$Z$1:$Z$1501,$J1636+1)&amp;"","Cheque deposit 支票存入 (buyer 买家)"))</f>
        <v/>
      </c>
      <c r="D1636">
        <f>IF($J1636="","",IF($J1636&lt;=1500,INDEX('Daily Sale entry '!$AA$1:$AA$1501,$J1636+1)&amp;"",INDEX('Daily Sale entry '!$P$1:$P$1501,$J1636-1499)&amp;""))</f>
        <v/>
      </c>
      <c r="E1636">
        <f>IF($J1636="","",IF($J1636&lt;=1500,IF(N(INDEX('Daily Sale entry '!$AB$1:$AB$1501,$J1636+1))=0,"",INDEX('Daily Sale entry '!$AB$1:$AB$1501,$J1636+1)),1))</f>
        <v/>
      </c>
      <c r="F1636" s="6">
        <f>IF($J1636="","",IF($J1636&lt;=1500,N(INDEX('Daily Sale entry '!$AC$1:$AC$1501,$J1636+1))-IF(AND('Opening Balance'!$B$15=1,INDEX('Daily Sale entry '!$Z$1:$Z$1501,$J1636+1)="Online collection 网上收款",INDEX('Daily Sale entry '!$AA$1:$AA$1501,$J1636+1)&lt;&gt;""),N(INDEX('Daily Sale entry '!$AC$1:$AC$1501,$J1636+1))-TRUNC(N(INDEX('Daily Sale entry '!$AC$1:$AC$1501,$J1636+1))),0),N(INDEX('Daily Sale entry '!$S$1:$S$1501,$J1636-1499))-'Opening Balance'!$B$15*(N(INDEX('Daily Sale entry '!$S$1:$S$1501,$J1636-1499))-TRUNC(N(INDEX('Daily Sale entry '!$S$1:$S$1501,$J1636-1499))))))</f>
        <v/>
      </c>
      <c r="G1636" s="6">
        <f>IF($J1636="","",IF($J1636&lt;=1500,N(INDEX('Daily Sale entry '!$AD$1:$AD$1501,$J1636+1)),0))</f>
        <v/>
      </c>
      <c r="H1636" s="6">
        <f>IF($J1636="","",ROUND('Opening Balance'!$B$4+SUM($F$2:F1636)-SUM($G$2:G1636),2))</f>
        <v/>
      </c>
      <c r="J1636" s="21">
        <f>IFERROR(MATCH(ROW()-1,$L$2:$L$3001,0),"")</f>
        <v/>
      </c>
      <c r="K1636" s="34">
        <f>IF(AND('Daily Sale entry '!Q136="Collection 收款",'Daily Sale entry '!R136="Cheque 支票",'Daily Sale entry '!V136&lt;&gt;""),'Daily Sale entry '!V136+ROW()/10000000,"")</f>
        <v/>
      </c>
      <c r="L1636" s="21">
        <f>IF(K1636="","",COUNTIF($K$2:$K$3001,"&lt;"&amp;K1636)+1)</f>
        <v/>
      </c>
    </row>
    <row r="1637">
      <c r="A1637" s="5">
        <f>IF($J1637="","",IF($J1637&lt;=1500,INDEX('Daily Sale entry '!$X$1:$X$1501,$J1637+1),INDEX('Daily Sale entry '!$V$1:$V$1501,$J1637-1499)))</f>
        <v/>
      </c>
      <c r="B1637">
        <f>IF($J1637="","",IF($J1637&lt;=1500,INDEX('Daily Sale entry '!$Y$1:$Y$1501,$J1637+1)&amp;"","Buyer cheque banked 买家支票存入"&amp;IF(INDEX('Daily Sale entry '!$U$1:$U$1501,$J1637-1499)="","", " - "&amp;INDEX('Daily Sale entry '!$U$1:$U$1501,$J1637-1499))))</f>
        <v/>
      </c>
      <c r="C1637">
        <f>IF($J1637="","",IF($J1637&lt;=1500,INDEX('Daily Sale entry '!$Z$1:$Z$1501,$J1637+1)&amp;"","Cheque deposit 支票存入 (buyer 买家)"))</f>
        <v/>
      </c>
      <c r="D1637">
        <f>IF($J1637="","",IF($J1637&lt;=1500,INDEX('Daily Sale entry '!$AA$1:$AA$1501,$J1637+1)&amp;"",INDEX('Daily Sale entry '!$P$1:$P$1501,$J1637-1499)&amp;""))</f>
        <v/>
      </c>
      <c r="E1637">
        <f>IF($J1637="","",IF($J1637&lt;=1500,IF(N(INDEX('Daily Sale entry '!$AB$1:$AB$1501,$J1637+1))=0,"",INDEX('Daily Sale entry '!$AB$1:$AB$1501,$J1637+1)),1))</f>
        <v/>
      </c>
      <c r="F1637" s="6">
        <f>IF($J1637="","",IF($J1637&lt;=1500,N(INDEX('Daily Sale entry '!$AC$1:$AC$1501,$J1637+1))-IF(AND('Opening Balance'!$B$15=1,INDEX('Daily Sale entry '!$Z$1:$Z$1501,$J1637+1)="Online collection 网上收款",INDEX('Daily Sale entry '!$AA$1:$AA$1501,$J1637+1)&lt;&gt;""),N(INDEX('Daily Sale entry '!$AC$1:$AC$1501,$J1637+1))-TRUNC(N(INDEX('Daily Sale entry '!$AC$1:$AC$1501,$J1637+1))),0),N(INDEX('Daily Sale entry '!$S$1:$S$1501,$J1637-1499))-'Opening Balance'!$B$15*(N(INDEX('Daily Sale entry '!$S$1:$S$1501,$J1637-1499))-TRUNC(N(INDEX('Daily Sale entry '!$S$1:$S$1501,$J1637-1499))))))</f>
        <v/>
      </c>
      <c r="G1637" s="6">
        <f>IF($J1637="","",IF($J1637&lt;=1500,N(INDEX('Daily Sale entry '!$AD$1:$AD$1501,$J1637+1)),0))</f>
        <v/>
      </c>
      <c r="H1637" s="6">
        <f>IF($J1637="","",ROUND('Opening Balance'!$B$4+SUM($F$2:F1637)-SUM($G$2:G1637),2))</f>
        <v/>
      </c>
      <c r="J1637" s="21">
        <f>IFERROR(MATCH(ROW()-1,$L$2:$L$3001,0),"")</f>
        <v/>
      </c>
      <c r="K1637" s="34">
        <f>IF(AND('Daily Sale entry '!Q137="Collection 收款",'Daily Sale entry '!R137="Cheque 支票",'Daily Sale entry '!V137&lt;&gt;""),'Daily Sale entry '!V137+ROW()/10000000,"")</f>
        <v/>
      </c>
      <c r="L1637" s="21">
        <f>IF(K1637="","",COUNTIF($K$2:$K$3001,"&lt;"&amp;K1637)+1)</f>
        <v/>
      </c>
    </row>
    <row r="1638">
      <c r="A1638" s="5">
        <f>IF($J1638="","",IF($J1638&lt;=1500,INDEX('Daily Sale entry '!$X$1:$X$1501,$J1638+1),INDEX('Daily Sale entry '!$V$1:$V$1501,$J1638-1499)))</f>
        <v/>
      </c>
      <c r="B1638">
        <f>IF($J1638="","",IF($J1638&lt;=1500,INDEX('Daily Sale entry '!$Y$1:$Y$1501,$J1638+1)&amp;"","Buyer cheque banked 买家支票存入"&amp;IF(INDEX('Daily Sale entry '!$U$1:$U$1501,$J1638-1499)="","", " - "&amp;INDEX('Daily Sale entry '!$U$1:$U$1501,$J1638-1499))))</f>
        <v/>
      </c>
      <c r="C1638">
        <f>IF($J1638="","",IF($J1638&lt;=1500,INDEX('Daily Sale entry '!$Z$1:$Z$1501,$J1638+1)&amp;"","Cheque deposit 支票存入 (buyer 买家)"))</f>
        <v/>
      </c>
      <c r="D1638">
        <f>IF($J1638="","",IF($J1638&lt;=1500,INDEX('Daily Sale entry '!$AA$1:$AA$1501,$J1638+1)&amp;"",INDEX('Daily Sale entry '!$P$1:$P$1501,$J1638-1499)&amp;""))</f>
        <v/>
      </c>
      <c r="E1638">
        <f>IF($J1638="","",IF($J1638&lt;=1500,IF(N(INDEX('Daily Sale entry '!$AB$1:$AB$1501,$J1638+1))=0,"",INDEX('Daily Sale entry '!$AB$1:$AB$1501,$J1638+1)),1))</f>
        <v/>
      </c>
      <c r="F1638" s="6">
        <f>IF($J1638="","",IF($J1638&lt;=1500,N(INDEX('Daily Sale entry '!$AC$1:$AC$1501,$J1638+1))-IF(AND('Opening Balance'!$B$15=1,INDEX('Daily Sale entry '!$Z$1:$Z$1501,$J1638+1)="Online collection 网上收款",INDEX('Daily Sale entry '!$AA$1:$AA$1501,$J1638+1)&lt;&gt;""),N(INDEX('Daily Sale entry '!$AC$1:$AC$1501,$J1638+1))-TRUNC(N(INDEX('Daily Sale entry '!$AC$1:$AC$1501,$J1638+1))),0),N(INDEX('Daily Sale entry '!$S$1:$S$1501,$J1638-1499))-'Opening Balance'!$B$15*(N(INDEX('Daily Sale entry '!$S$1:$S$1501,$J1638-1499))-TRUNC(N(INDEX('Daily Sale entry '!$S$1:$S$1501,$J1638-1499))))))</f>
        <v/>
      </c>
      <c r="G1638" s="6">
        <f>IF($J1638="","",IF($J1638&lt;=1500,N(INDEX('Daily Sale entry '!$AD$1:$AD$1501,$J1638+1)),0))</f>
        <v/>
      </c>
      <c r="H1638" s="6">
        <f>IF($J1638="","",ROUND('Opening Balance'!$B$4+SUM($F$2:F1638)-SUM($G$2:G1638),2))</f>
        <v/>
      </c>
      <c r="J1638" s="21">
        <f>IFERROR(MATCH(ROW()-1,$L$2:$L$3001,0),"")</f>
        <v/>
      </c>
      <c r="K1638" s="34">
        <f>IF(AND('Daily Sale entry '!Q138="Collection 收款",'Daily Sale entry '!R138="Cheque 支票",'Daily Sale entry '!V138&lt;&gt;""),'Daily Sale entry '!V138+ROW()/10000000,"")</f>
        <v/>
      </c>
      <c r="L1638" s="21">
        <f>IF(K1638="","",COUNTIF($K$2:$K$3001,"&lt;"&amp;K1638)+1)</f>
        <v/>
      </c>
    </row>
    <row r="1639">
      <c r="A1639" s="5">
        <f>IF($J1639="","",IF($J1639&lt;=1500,INDEX('Daily Sale entry '!$X$1:$X$1501,$J1639+1),INDEX('Daily Sale entry '!$V$1:$V$1501,$J1639-1499)))</f>
        <v/>
      </c>
      <c r="B1639">
        <f>IF($J1639="","",IF($J1639&lt;=1500,INDEX('Daily Sale entry '!$Y$1:$Y$1501,$J1639+1)&amp;"","Buyer cheque banked 买家支票存入"&amp;IF(INDEX('Daily Sale entry '!$U$1:$U$1501,$J1639-1499)="","", " - "&amp;INDEX('Daily Sale entry '!$U$1:$U$1501,$J1639-1499))))</f>
        <v/>
      </c>
      <c r="C1639">
        <f>IF($J1639="","",IF($J1639&lt;=1500,INDEX('Daily Sale entry '!$Z$1:$Z$1501,$J1639+1)&amp;"","Cheque deposit 支票存入 (buyer 买家)"))</f>
        <v/>
      </c>
      <c r="D1639">
        <f>IF($J1639="","",IF($J1639&lt;=1500,INDEX('Daily Sale entry '!$AA$1:$AA$1501,$J1639+1)&amp;"",INDEX('Daily Sale entry '!$P$1:$P$1501,$J1639-1499)&amp;""))</f>
        <v/>
      </c>
      <c r="E1639">
        <f>IF($J1639="","",IF($J1639&lt;=1500,IF(N(INDEX('Daily Sale entry '!$AB$1:$AB$1501,$J1639+1))=0,"",INDEX('Daily Sale entry '!$AB$1:$AB$1501,$J1639+1)),1))</f>
        <v/>
      </c>
      <c r="F1639" s="6">
        <f>IF($J1639="","",IF($J1639&lt;=1500,N(INDEX('Daily Sale entry '!$AC$1:$AC$1501,$J1639+1))-IF(AND('Opening Balance'!$B$15=1,INDEX('Daily Sale entry '!$Z$1:$Z$1501,$J1639+1)="Online collection 网上收款",INDEX('Daily Sale entry '!$AA$1:$AA$1501,$J1639+1)&lt;&gt;""),N(INDEX('Daily Sale entry '!$AC$1:$AC$1501,$J1639+1))-TRUNC(N(INDEX('Daily Sale entry '!$AC$1:$AC$1501,$J1639+1))),0),N(INDEX('Daily Sale entry '!$S$1:$S$1501,$J1639-1499))-'Opening Balance'!$B$15*(N(INDEX('Daily Sale entry '!$S$1:$S$1501,$J1639-1499))-TRUNC(N(INDEX('Daily Sale entry '!$S$1:$S$1501,$J1639-1499))))))</f>
        <v/>
      </c>
      <c r="G1639" s="6">
        <f>IF($J1639="","",IF($J1639&lt;=1500,N(INDEX('Daily Sale entry '!$AD$1:$AD$1501,$J1639+1)),0))</f>
        <v/>
      </c>
      <c r="H1639" s="6">
        <f>IF($J1639="","",ROUND('Opening Balance'!$B$4+SUM($F$2:F1639)-SUM($G$2:G1639),2))</f>
        <v/>
      </c>
      <c r="J1639" s="21">
        <f>IFERROR(MATCH(ROW()-1,$L$2:$L$3001,0),"")</f>
        <v/>
      </c>
      <c r="K1639" s="34">
        <f>IF(AND('Daily Sale entry '!Q139="Collection 收款",'Daily Sale entry '!R139="Cheque 支票",'Daily Sale entry '!V139&lt;&gt;""),'Daily Sale entry '!V139+ROW()/10000000,"")</f>
        <v/>
      </c>
      <c r="L1639" s="21">
        <f>IF(K1639="","",COUNTIF($K$2:$K$3001,"&lt;"&amp;K1639)+1)</f>
        <v/>
      </c>
    </row>
    <row r="1640">
      <c r="A1640" s="5">
        <f>IF($J1640="","",IF($J1640&lt;=1500,INDEX('Daily Sale entry '!$X$1:$X$1501,$J1640+1),INDEX('Daily Sale entry '!$V$1:$V$1501,$J1640-1499)))</f>
        <v/>
      </c>
      <c r="B1640">
        <f>IF($J1640="","",IF($J1640&lt;=1500,INDEX('Daily Sale entry '!$Y$1:$Y$1501,$J1640+1)&amp;"","Buyer cheque banked 买家支票存入"&amp;IF(INDEX('Daily Sale entry '!$U$1:$U$1501,$J1640-1499)="","", " - "&amp;INDEX('Daily Sale entry '!$U$1:$U$1501,$J1640-1499))))</f>
        <v/>
      </c>
      <c r="C1640">
        <f>IF($J1640="","",IF($J1640&lt;=1500,INDEX('Daily Sale entry '!$Z$1:$Z$1501,$J1640+1)&amp;"","Cheque deposit 支票存入 (buyer 买家)"))</f>
        <v/>
      </c>
      <c r="D1640">
        <f>IF($J1640="","",IF($J1640&lt;=1500,INDEX('Daily Sale entry '!$AA$1:$AA$1501,$J1640+1)&amp;"",INDEX('Daily Sale entry '!$P$1:$P$1501,$J1640-1499)&amp;""))</f>
        <v/>
      </c>
      <c r="E1640">
        <f>IF($J1640="","",IF($J1640&lt;=1500,IF(N(INDEX('Daily Sale entry '!$AB$1:$AB$1501,$J1640+1))=0,"",INDEX('Daily Sale entry '!$AB$1:$AB$1501,$J1640+1)),1))</f>
        <v/>
      </c>
      <c r="F1640" s="6">
        <f>IF($J1640="","",IF($J1640&lt;=1500,N(INDEX('Daily Sale entry '!$AC$1:$AC$1501,$J1640+1))-IF(AND('Opening Balance'!$B$15=1,INDEX('Daily Sale entry '!$Z$1:$Z$1501,$J1640+1)="Online collection 网上收款",INDEX('Daily Sale entry '!$AA$1:$AA$1501,$J1640+1)&lt;&gt;""),N(INDEX('Daily Sale entry '!$AC$1:$AC$1501,$J1640+1))-TRUNC(N(INDEX('Daily Sale entry '!$AC$1:$AC$1501,$J1640+1))),0),N(INDEX('Daily Sale entry '!$S$1:$S$1501,$J1640-1499))-'Opening Balance'!$B$15*(N(INDEX('Daily Sale entry '!$S$1:$S$1501,$J1640-1499))-TRUNC(N(INDEX('Daily Sale entry '!$S$1:$S$1501,$J1640-1499))))))</f>
        <v/>
      </c>
      <c r="G1640" s="6">
        <f>IF($J1640="","",IF($J1640&lt;=1500,N(INDEX('Daily Sale entry '!$AD$1:$AD$1501,$J1640+1)),0))</f>
        <v/>
      </c>
      <c r="H1640" s="6">
        <f>IF($J1640="","",ROUND('Opening Balance'!$B$4+SUM($F$2:F1640)-SUM($G$2:G1640),2))</f>
        <v/>
      </c>
      <c r="J1640" s="21">
        <f>IFERROR(MATCH(ROW()-1,$L$2:$L$3001,0),"")</f>
        <v/>
      </c>
      <c r="K1640" s="34">
        <f>IF(AND('Daily Sale entry '!Q140="Collection 收款",'Daily Sale entry '!R140="Cheque 支票",'Daily Sale entry '!V140&lt;&gt;""),'Daily Sale entry '!V140+ROW()/10000000,"")</f>
        <v/>
      </c>
      <c r="L1640" s="21">
        <f>IF(K1640="","",COUNTIF($K$2:$K$3001,"&lt;"&amp;K1640)+1)</f>
        <v/>
      </c>
    </row>
    <row r="1641">
      <c r="A1641" s="5">
        <f>IF($J1641="","",IF($J1641&lt;=1500,INDEX('Daily Sale entry '!$X$1:$X$1501,$J1641+1),INDEX('Daily Sale entry '!$V$1:$V$1501,$J1641-1499)))</f>
        <v/>
      </c>
      <c r="B1641">
        <f>IF($J1641="","",IF($J1641&lt;=1500,INDEX('Daily Sale entry '!$Y$1:$Y$1501,$J1641+1)&amp;"","Buyer cheque banked 买家支票存入"&amp;IF(INDEX('Daily Sale entry '!$U$1:$U$1501,$J1641-1499)="","", " - "&amp;INDEX('Daily Sale entry '!$U$1:$U$1501,$J1641-1499))))</f>
        <v/>
      </c>
      <c r="C1641">
        <f>IF($J1641="","",IF($J1641&lt;=1500,INDEX('Daily Sale entry '!$Z$1:$Z$1501,$J1641+1)&amp;"","Cheque deposit 支票存入 (buyer 买家)"))</f>
        <v/>
      </c>
      <c r="D1641">
        <f>IF($J1641="","",IF($J1641&lt;=1500,INDEX('Daily Sale entry '!$AA$1:$AA$1501,$J1641+1)&amp;"",INDEX('Daily Sale entry '!$P$1:$P$1501,$J1641-1499)&amp;""))</f>
        <v/>
      </c>
      <c r="E1641">
        <f>IF($J1641="","",IF($J1641&lt;=1500,IF(N(INDEX('Daily Sale entry '!$AB$1:$AB$1501,$J1641+1))=0,"",INDEX('Daily Sale entry '!$AB$1:$AB$1501,$J1641+1)),1))</f>
        <v/>
      </c>
      <c r="F1641" s="6">
        <f>IF($J1641="","",IF($J1641&lt;=1500,N(INDEX('Daily Sale entry '!$AC$1:$AC$1501,$J1641+1))-IF(AND('Opening Balance'!$B$15=1,INDEX('Daily Sale entry '!$Z$1:$Z$1501,$J1641+1)="Online collection 网上收款",INDEX('Daily Sale entry '!$AA$1:$AA$1501,$J1641+1)&lt;&gt;""),N(INDEX('Daily Sale entry '!$AC$1:$AC$1501,$J1641+1))-TRUNC(N(INDEX('Daily Sale entry '!$AC$1:$AC$1501,$J1641+1))),0),N(INDEX('Daily Sale entry '!$S$1:$S$1501,$J1641-1499))-'Opening Balance'!$B$15*(N(INDEX('Daily Sale entry '!$S$1:$S$1501,$J1641-1499))-TRUNC(N(INDEX('Daily Sale entry '!$S$1:$S$1501,$J1641-1499))))))</f>
        <v/>
      </c>
      <c r="G1641" s="6">
        <f>IF($J1641="","",IF($J1641&lt;=1500,N(INDEX('Daily Sale entry '!$AD$1:$AD$1501,$J1641+1)),0))</f>
        <v/>
      </c>
      <c r="H1641" s="6">
        <f>IF($J1641="","",ROUND('Opening Balance'!$B$4+SUM($F$2:F1641)-SUM($G$2:G1641),2))</f>
        <v/>
      </c>
      <c r="J1641" s="21">
        <f>IFERROR(MATCH(ROW()-1,$L$2:$L$3001,0),"")</f>
        <v/>
      </c>
      <c r="K1641" s="34">
        <f>IF(AND('Daily Sale entry '!Q141="Collection 收款",'Daily Sale entry '!R141="Cheque 支票",'Daily Sale entry '!V141&lt;&gt;""),'Daily Sale entry '!V141+ROW()/10000000,"")</f>
        <v/>
      </c>
      <c r="L1641" s="21">
        <f>IF(K1641="","",COUNTIF($K$2:$K$3001,"&lt;"&amp;K1641)+1)</f>
        <v/>
      </c>
    </row>
    <row r="1642">
      <c r="A1642" s="5">
        <f>IF($J1642="","",IF($J1642&lt;=1500,INDEX('Daily Sale entry '!$X$1:$X$1501,$J1642+1),INDEX('Daily Sale entry '!$V$1:$V$1501,$J1642-1499)))</f>
        <v/>
      </c>
      <c r="B1642">
        <f>IF($J1642="","",IF($J1642&lt;=1500,INDEX('Daily Sale entry '!$Y$1:$Y$1501,$J1642+1)&amp;"","Buyer cheque banked 买家支票存入"&amp;IF(INDEX('Daily Sale entry '!$U$1:$U$1501,$J1642-1499)="","", " - "&amp;INDEX('Daily Sale entry '!$U$1:$U$1501,$J1642-1499))))</f>
        <v/>
      </c>
      <c r="C1642">
        <f>IF($J1642="","",IF($J1642&lt;=1500,INDEX('Daily Sale entry '!$Z$1:$Z$1501,$J1642+1)&amp;"","Cheque deposit 支票存入 (buyer 买家)"))</f>
        <v/>
      </c>
      <c r="D1642">
        <f>IF($J1642="","",IF($J1642&lt;=1500,INDEX('Daily Sale entry '!$AA$1:$AA$1501,$J1642+1)&amp;"",INDEX('Daily Sale entry '!$P$1:$P$1501,$J1642-1499)&amp;""))</f>
        <v/>
      </c>
      <c r="E1642">
        <f>IF($J1642="","",IF($J1642&lt;=1500,IF(N(INDEX('Daily Sale entry '!$AB$1:$AB$1501,$J1642+1))=0,"",INDEX('Daily Sale entry '!$AB$1:$AB$1501,$J1642+1)),1))</f>
        <v/>
      </c>
      <c r="F1642" s="6">
        <f>IF($J1642="","",IF($J1642&lt;=1500,N(INDEX('Daily Sale entry '!$AC$1:$AC$1501,$J1642+1))-IF(AND('Opening Balance'!$B$15=1,INDEX('Daily Sale entry '!$Z$1:$Z$1501,$J1642+1)="Online collection 网上收款",INDEX('Daily Sale entry '!$AA$1:$AA$1501,$J1642+1)&lt;&gt;""),N(INDEX('Daily Sale entry '!$AC$1:$AC$1501,$J1642+1))-TRUNC(N(INDEX('Daily Sale entry '!$AC$1:$AC$1501,$J1642+1))),0),N(INDEX('Daily Sale entry '!$S$1:$S$1501,$J1642-1499))-'Opening Balance'!$B$15*(N(INDEX('Daily Sale entry '!$S$1:$S$1501,$J1642-1499))-TRUNC(N(INDEX('Daily Sale entry '!$S$1:$S$1501,$J1642-1499))))))</f>
        <v/>
      </c>
      <c r="G1642" s="6">
        <f>IF($J1642="","",IF($J1642&lt;=1500,N(INDEX('Daily Sale entry '!$AD$1:$AD$1501,$J1642+1)),0))</f>
        <v/>
      </c>
      <c r="H1642" s="6">
        <f>IF($J1642="","",ROUND('Opening Balance'!$B$4+SUM($F$2:F1642)-SUM($G$2:G1642),2))</f>
        <v/>
      </c>
      <c r="J1642" s="21">
        <f>IFERROR(MATCH(ROW()-1,$L$2:$L$3001,0),"")</f>
        <v/>
      </c>
      <c r="K1642" s="34">
        <f>IF(AND('Daily Sale entry '!Q142="Collection 收款",'Daily Sale entry '!R142="Cheque 支票",'Daily Sale entry '!V142&lt;&gt;""),'Daily Sale entry '!V142+ROW()/10000000,"")</f>
        <v/>
      </c>
      <c r="L1642" s="21">
        <f>IF(K1642="","",COUNTIF($K$2:$K$3001,"&lt;"&amp;K1642)+1)</f>
        <v/>
      </c>
    </row>
    <row r="1643">
      <c r="A1643" s="5">
        <f>IF($J1643="","",IF($J1643&lt;=1500,INDEX('Daily Sale entry '!$X$1:$X$1501,$J1643+1),INDEX('Daily Sale entry '!$V$1:$V$1501,$J1643-1499)))</f>
        <v/>
      </c>
      <c r="B1643">
        <f>IF($J1643="","",IF($J1643&lt;=1500,INDEX('Daily Sale entry '!$Y$1:$Y$1501,$J1643+1)&amp;"","Buyer cheque banked 买家支票存入"&amp;IF(INDEX('Daily Sale entry '!$U$1:$U$1501,$J1643-1499)="","", " - "&amp;INDEX('Daily Sale entry '!$U$1:$U$1501,$J1643-1499))))</f>
        <v/>
      </c>
      <c r="C1643">
        <f>IF($J1643="","",IF($J1643&lt;=1500,INDEX('Daily Sale entry '!$Z$1:$Z$1501,$J1643+1)&amp;"","Cheque deposit 支票存入 (buyer 买家)"))</f>
        <v/>
      </c>
      <c r="D1643">
        <f>IF($J1643="","",IF($J1643&lt;=1500,INDEX('Daily Sale entry '!$AA$1:$AA$1501,$J1643+1)&amp;"",INDEX('Daily Sale entry '!$P$1:$P$1501,$J1643-1499)&amp;""))</f>
        <v/>
      </c>
      <c r="E1643">
        <f>IF($J1643="","",IF($J1643&lt;=1500,IF(N(INDEX('Daily Sale entry '!$AB$1:$AB$1501,$J1643+1))=0,"",INDEX('Daily Sale entry '!$AB$1:$AB$1501,$J1643+1)),1))</f>
        <v/>
      </c>
      <c r="F1643" s="6">
        <f>IF($J1643="","",IF($J1643&lt;=1500,N(INDEX('Daily Sale entry '!$AC$1:$AC$1501,$J1643+1))-IF(AND('Opening Balance'!$B$15=1,INDEX('Daily Sale entry '!$Z$1:$Z$1501,$J1643+1)="Online collection 网上收款",INDEX('Daily Sale entry '!$AA$1:$AA$1501,$J1643+1)&lt;&gt;""),N(INDEX('Daily Sale entry '!$AC$1:$AC$1501,$J1643+1))-TRUNC(N(INDEX('Daily Sale entry '!$AC$1:$AC$1501,$J1643+1))),0),N(INDEX('Daily Sale entry '!$S$1:$S$1501,$J1643-1499))-'Opening Balance'!$B$15*(N(INDEX('Daily Sale entry '!$S$1:$S$1501,$J1643-1499))-TRUNC(N(INDEX('Daily Sale entry '!$S$1:$S$1501,$J1643-1499))))))</f>
        <v/>
      </c>
      <c r="G1643" s="6">
        <f>IF($J1643="","",IF($J1643&lt;=1500,N(INDEX('Daily Sale entry '!$AD$1:$AD$1501,$J1643+1)),0))</f>
        <v/>
      </c>
      <c r="H1643" s="6">
        <f>IF($J1643="","",ROUND('Opening Balance'!$B$4+SUM($F$2:F1643)-SUM($G$2:G1643),2))</f>
        <v/>
      </c>
      <c r="J1643" s="21">
        <f>IFERROR(MATCH(ROW()-1,$L$2:$L$3001,0),"")</f>
        <v/>
      </c>
      <c r="K1643" s="34">
        <f>IF(AND('Daily Sale entry '!Q143="Collection 收款",'Daily Sale entry '!R143="Cheque 支票",'Daily Sale entry '!V143&lt;&gt;""),'Daily Sale entry '!V143+ROW()/10000000,"")</f>
        <v/>
      </c>
      <c r="L1643" s="21">
        <f>IF(K1643="","",COUNTIF($K$2:$K$3001,"&lt;"&amp;K1643)+1)</f>
        <v/>
      </c>
    </row>
    <row r="1644">
      <c r="A1644" s="5">
        <f>IF($J1644="","",IF($J1644&lt;=1500,INDEX('Daily Sale entry '!$X$1:$X$1501,$J1644+1),INDEX('Daily Sale entry '!$V$1:$V$1501,$J1644-1499)))</f>
        <v/>
      </c>
      <c r="B1644">
        <f>IF($J1644="","",IF($J1644&lt;=1500,INDEX('Daily Sale entry '!$Y$1:$Y$1501,$J1644+1)&amp;"","Buyer cheque banked 买家支票存入"&amp;IF(INDEX('Daily Sale entry '!$U$1:$U$1501,$J1644-1499)="","", " - "&amp;INDEX('Daily Sale entry '!$U$1:$U$1501,$J1644-1499))))</f>
        <v/>
      </c>
      <c r="C1644">
        <f>IF($J1644="","",IF($J1644&lt;=1500,INDEX('Daily Sale entry '!$Z$1:$Z$1501,$J1644+1)&amp;"","Cheque deposit 支票存入 (buyer 买家)"))</f>
        <v/>
      </c>
      <c r="D1644">
        <f>IF($J1644="","",IF($J1644&lt;=1500,INDEX('Daily Sale entry '!$AA$1:$AA$1501,$J1644+1)&amp;"",INDEX('Daily Sale entry '!$P$1:$P$1501,$J1644-1499)&amp;""))</f>
        <v/>
      </c>
      <c r="E1644">
        <f>IF($J1644="","",IF($J1644&lt;=1500,IF(N(INDEX('Daily Sale entry '!$AB$1:$AB$1501,$J1644+1))=0,"",INDEX('Daily Sale entry '!$AB$1:$AB$1501,$J1644+1)),1))</f>
        <v/>
      </c>
      <c r="F1644" s="6">
        <f>IF($J1644="","",IF($J1644&lt;=1500,N(INDEX('Daily Sale entry '!$AC$1:$AC$1501,$J1644+1))-IF(AND('Opening Balance'!$B$15=1,INDEX('Daily Sale entry '!$Z$1:$Z$1501,$J1644+1)="Online collection 网上收款",INDEX('Daily Sale entry '!$AA$1:$AA$1501,$J1644+1)&lt;&gt;""),N(INDEX('Daily Sale entry '!$AC$1:$AC$1501,$J1644+1))-TRUNC(N(INDEX('Daily Sale entry '!$AC$1:$AC$1501,$J1644+1))),0),N(INDEX('Daily Sale entry '!$S$1:$S$1501,$J1644-1499))-'Opening Balance'!$B$15*(N(INDEX('Daily Sale entry '!$S$1:$S$1501,$J1644-1499))-TRUNC(N(INDEX('Daily Sale entry '!$S$1:$S$1501,$J1644-1499))))))</f>
        <v/>
      </c>
      <c r="G1644" s="6">
        <f>IF($J1644="","",IF($J1644&lt;=1500,N(INDEX('Daily Sale entry '!$AD$1:$AD$1501,$J1644+1)),0))</f>
        <v/>
      </c>
      <c r="H1644" s="6">
        <f>IF($J1644="","",ROUND('Opening Balance'!$B$4+SUM($F$2:F1644)-SUM($G$2:G1644),2))</f>
        <v/>
      </c>
      <c r="J1644" s="21">
        <f>IFERROR(MATCH(ROW()-1,$L$2:$L$3001,0),"")</f>
        <v/>
      </c>
      <c r="K1644" s="34">
        <f>IF(AND('Daily Sale entry '!Q144="Collection 收款",'Daily Sale entry '!R144="Cheque 支票",'Daily Sale entry '!V144&lt;&gt;""),'Daily Sale entry '!V144+ROW()/10000000,"")</f>
        <v/>
      </c>
      <c r="L1644" s="21">
        <f>IF(K1644="","",COUNTIF($K$2:$K$3001,"&lt;"&amp;K1644)+1)</f>
        <v/>
      </c>
    </row>
    <row r="1645">
      <c r="A1645" s="5">
        <f>IF($J1645="","",IF($J1645&lt;=1500,INDEX('Daily Sale entry '!$X$1:$X$1501,$J1645+1),INDEX('Daily Sale entry '!$V$1:$V$1501,$J1645-1499)))</f>
        <v/>
      </c>
      <c r="B1645">
        <f>IF($J1645="","",IF($J1645&lt;=1500,INDEX('Daily Sale entry '!$Y$1:$Y$1501,$J1645+1)&amp;"","Buyer cheque banked 买家支票存入"&amp;IF(INDEX('Daily Sale entry '!$U$1:$U$1501,$J1645-1499)="","", " - "&amp;INDEX('Daily Sale entry '!$U$1:$U$1501,$J1645-1499))))</f>
        <v/>
      </c>
      <c r="C1645">
        <f>IF($J1645="","",IF($J1645&lt;=1500,INDEX('Daily Sale entry '!$Z$1:$Z$1501,$J1645+1)&amp;"","Cheque deposit 支票存入 (buyer 买家)"))</f>
        <v/>
      </c>
      <c r="D1645">
        <f>IF($J1645="","",IF($J1645&lt;=1500,INDEX('Daily Sale entry '!$AA$1:$AA$1501,$J1645+1)&amp;"",INDEX('Daily Sale entry '!$P$1:$P$1501,$J1645-1499)&amp;""))</f>
        <v/>
      </c>
      <c r="E1645">
        <f>IF($J1645="","",IF($J1645&lt;=1500,IF(N(INDEX('Daily Sale entry '!$AB$1:$AB$1501,$J1645+1))=0,"",INDEX('Daily Sale entry '!$AB$1:$AB$1501,$J1645+1)),1))</f>
        <v/>
      </c>
      <c r="F1645" s="6">
        <f>IF($J1645="","",IF($J1645&lt;=1500,N(INDEX('Daily Sale entry '!$AC$1:$AC$1501,$J1645+1))-IF(AND('Opening Balance'!$B$15=1,INDEX('Daily Sale entry '!$Z$1:$Z$1501,$J1645+1)="Online collection 网上收款",INDEX('Daily Sale entry '!$AA$1:$AA$1501,$J1645+1)&lt;&gt;""),N(INDEX('Daily Sale entry '!$AC$1:$AC$1501,$J1645+1))-TRUNC(N(INDEX('Daily Sale entry '!$AC$1:$AC$1501,$J1645+1))),0),N(INDEX('Daily Sale entry '!$S$1:$S$1501,$J1645-1499))-'Opening Balance'!$B$15*(N(INDEX('Daily Sale entry '!$S$1:$S$1501,$J1645-1499))-TRUNC(N(INDEX('Daily Sale entry '!$S$1:$S$1501,$J1645-1499))))))</f>
        <v/>
      </c>
      <c r="G1645" s="6">
        <f>IF($J1645="","",IF($J1645&lt;=1500,N(INDEX('Daily Sale entry '!$AD$1:$AD$1501,$J1645+1)),0))</f>
        <v/>
      </c>
      <c r="H1645" s="6">
        <f>IF($J1645="","",ROUND('Opening Balance'!$B$4+SUM($F$2:F1645)-SUM($G$2:G1645),2))</f>
        <v/>
      </c>
      <c r="J1645" s="21">
        <f>IFERROR(MATCH(ROW()-1,$L$2:$L$3001,0),"")</f>
        <v/>
      </c>
      <c r="K1645" s="34">
        <f>IF(AND('Daily Sale entry '!Q145="Collection 收款",'Daily Sale entry '!R145="Cheque 支票",'Daily Sale entry '!V145&lt;&gt;""),'Daily Sale entry '!V145+ROW()/10000000,"")</f>
        <v/>
      </c>
      <c r="L1645" s="21">
        <f>IF(K1645="","",COUNTIF($K$2:$K$3001,"&lt;"&amp;K1645)+1)</f>
        <v/>
      </c>
    </row>
    <row r="1646">
      <c r="A1646" s="5">
        <f>IF($J1646="","",IF($J1646&lt;=1500,INDEX('Daily Sale entry '!$X$1:$X$1501,$J1646+1),INDEX('Daily Sale entry '!$V$1:$V$1501,$J1646-1499)))</f>
        <v/>
      </c>
      <c r="B1646">
        <f>IF($J1646="","",IF($J1646&lt;=1500,INDEX('Daily Sale entry '!$Y$1:$Y$1501,$J1646+1)&amp;"","Buyer cheque banked 买家支票存入"&amp;IF(INDEX('Daily Sale entry '!$U$1:$U$1501,$J1646-1499)="","", " - "&amp;INDEX('Daily Sale entry '!$U$1:$U$1501,$J1646-1499))))</f>
        <v/>
      </c>
      <c r="C1646">
        <f>IF($J1646="","",IF($J1646&lt;=1500,INDEX('Daily Sale entry '!$Z$1:$Z$1501,$J1646+1)&amp;"","Cheque deposit 支票存入 (buyer 买家)"))</f>
        <v/>
      </c>
      <c r="D1646">
        <f>IF($J1646="","",IF($J1646&lt;=1500,INDEX('Daily Sale entry '!$AA$1:$AA$1501,$J1646+1)&amp;"",INDEX('Daily Sale entry '!$P$1:$P$1501,$J1646-1499)&amp;""))</f>
        <v/>
      </c>
      <c r="E1646">
        <f>IF($J1646="","",IF($J1646&lt;=1500,IF(N(INDEX('Daily Sale entry '!$AB$1:$AB$1501,$J1646+1))=0,"",INDEX('Daily Sale entry '!$AB$1:$AB$1501,$J1646+1)),1))</f>
        <v/>
      </c>
      <c r="F1646" s="6">
        <f>IF($J1646="","",IF($J1646&lt;=1500,N(INDEX('Daily Sale entry '!$AC$1:$AC$1501,$J1646+1))-IF(AND('Opening Balance'!$B$15=1,INDEX('Daily Sale entry '!$Z$1:$Z$1501,$J1646+1)="Online collection 网上收款",INDEX('Daily Sale entry '!$AA$1:$AA$1501,$J1646+1)&lt;&gt;""),N(INDEX('Daily Sale entry '!$AC$1:$AC$1501,$J1646+1))-TRUNC(N(INDEX('Daily Sale entry '!$AC$1:$AC$1501,$J1646+1))),0),N(INDEX('Daily Sale entry '!$S$1:$S$1501,$J1646-1499))-'Opening Balance'!$B$15*(N(INDEX('Daily Sale entry '!$S$1:$S$1501,$J1646-1499))-TRUNC(N(INDEX('Daily Sale entry '!$S$1:$S$1501,$J1646-1499))))))</f>
        <v/>
      </c>
      <c r="G1646" s="6">
        <f>IF($J1646="","",IF($J1646&lt;=1500,N(INDEX('Daily Sale entry '!$AD$1:$AD$1501,$J1646+1)),0))</f>
        <v/>
      </c>
      <c r="H1646" s="6">
        <f>IF($J1646="","",ROUND('Opening Balance'!$B$4+SUM($F$2:F1646)-SUM($G$2:G1646),2))</f>
        <v/>
      </c>
      <c r="J1646" s="21">
        <f>IFERROR(MATCH(ROW()-1,$L$2:$L$3001,0),"")</f>
        <v/>
      </c>
      <c r="K1646" s="34">
        <f>IF(AND('Daily Sale entry '!Q146="Collection 收款",'Daily Sale entry '!R146="Cheque 支票",'Daily Sale entry '!V146&lt;&gt;""),'Daily Sale entry '!V146+ROW()/10000000,"")</f>
        <v/>
      </c>
      <c r="L1646" s="21">
        <f>IF(K1646="","",COUNTIF($K$2:$K$3001,"&lt;"&amp;K1646)+1)</f>
        <v/>
      </c>
    </row>
    <row r="1647">
      <c r="A1647" s="5">
        <f>IF($J1647="","",IF($J1647&lt;=1500,INDEX('Daily Sale entry '!$X$1:$X$1501,$J1647+1),INDEX('Daily Sale entry '!$V$1:$V$1501,$J1647-1499)))</f>
        <v/>
      </c>
      <c r="B1647">
        <f>IF($J1647="","",IF($J1647&lt;=1500,INDEX('Daily Sale entry '!$Y$1:$Y$1501,$J1647+1)&amp;"","Buyer cheque banked 买家支票存入"&amp;IF(INDEX('Daily Sale entry '!$U$1:$U$1501,$J1647-1499)="","", " - "&amp;INDEX('Daily Sale entry '!$U$1:$U$1501,$J1647-1499))))</f>
        <v/>
      </c>
      <c r="C1647">
        <f>IF($J1647="","",IF($J1647&lt;=1500,INDEX('Daily Sale entry '!$Z$1:$Z$1501,$J1647+1)&amp;"","Cheque deposit 支票存入 (buyer 买家)"))</f>
        <v/>
      </c>
      <c r="D1647">
        <f>IF($J1647="","",IF($J1647&lt;=1500,INDEX('Daily Sale entry '!$AA$1:$AA$1501,$J1647+1)&amp;"",INDEX('Daily Sale entry '!$P$1:$P$1501,$J1647-1499)&amp;""))</f>
        <v/>
      </c>
      <c r="E1647">
        <f>IF($J1647="","",IF($J1647&lt;=1500,IF(N(INDEX('Daily Sale entry '!$AB$1:$AB$1501,$J1647+1))=0,"",INDEX('Daily Sale entry '!$AB$1:$AB$1501,$J1647+1)),1))</f>
        <v/>
      </c>
      <c r="F1647" s="6">
        <f>IF($J1647="","",IF($J1647&lt;=1500,N(INDEX('Daily Sale entry '!$AC$1:$AC$1501,$J1647+1))-IF(AND('Opening Balance'!$B$15=1,INDEX('Daily Sale entry '!$Z$1:$Z$1501,$J1647+1)="Online collection 网上收款",INDEX('Daily Sale entry '!$AA$1:$AA$1501,$J1647+1)&lt;&gt;""),N(INDEX('Daily Sale entry '!$AC$1:$AC$1501,$J1647+1))-TRUNC(N(INDEX('Daily Sale entry '!$AC$1:$AC$1501,$J1647+1))),0),N(INDEX('Daily Sale entry '!$S$1:$S$1501,$J1647-1499))-'Opening Balance'!$B$15*(N(INDEX('Daily Sale entry '!$S$1:$S$1501,$J1647-1499))-TRUNC(N(INDEX('Daily Sale entry '!$S$1:$S$1501,$J1647-1499))))))</f>
        <v/>
      </c>
      <c r="G1647" s="6">
        <f>IF($J1647="","",IF($J1647&lt;=1500,N(INDEX('Daily Sale entry '!$AD$1:$AD$1501,$J1647+1)),0))</f>
        <v/>
      </c>
      <c r="H1647" s="6">
        <f>IF($J1647="","",ROUND('Opening Balance'!$B$4+SUM($F$2:F1647)-SUM($G$2:G1647),2))</f>
        <v/>
      </c>
      <c r="J1647" s="21">
        <f>IFERROR(MATCH(ROW()-1,$L$2:$L$3001,0),"")</f>
        <v/>
      </c>
      <c r="K1647" s="34">
        <f>IF(AND('Daily Sale entry '!Q147="Collection 收款",'Daily Sale entry '!R147="Cheque 支票",'Daily Sale entry '!V147&lt;&gt;""),'Daily Sale entry '!V147+ROW()/10000000,"")</f>
        <v/>
      </c>
      <c r="L1647" s="21">
        <f>IF(K1647="","",COUNTIF($K$2:$K$3001,"&lt;"&amp;K1647)+1)</f>
        <v/>
      </c>
    </row>
    <row r="1648">
      <c r="A1648" s="5">
        <f>IF($J1648="","",IF($J1648&lt;=1500,INDEX('Daily Sale entry '!$X$1:$X$1501,$J1648+1),INDEX('Daily Sale entry '!$V$1:$V$1501,$J1648-1499)))</f>
        <v/>
      </c>
      <c r="B1648">
        <f>IF($J1648="","",IF($J1648&lt;=1500,INDEX('Daily Sale entry '!$Y$1:$Y$1501,$J1648+1)&amp;"","Buyer cheque banked 买家支票存入"&amp;IF(INDEX('Daily Sale entry '!$U$1:$U$1501,$J1648-1499)="","", " - "&amp;INDEX('Daily Sale entry '!$U$1:$U$1501,$J1648-1499))))</f>
        <v/>
      </c>
      <c r="C1648">
        <f>IF($J1648="","",IF($J1648&lt;=1500,INDEX('Daily Sale entry '!$Z$1:$Z$1501,$J1648+1)&amp;"","Cheque deposit 支票存入 (buyer 买家)"))</f>
        <v/>
      </c>
      <c r="D1648">
        <f>IF($J1648="","",IF($J1648&lt;=1500,INDEX('Daily Sale entry '!$AA$1:$AA$1501,$J1648+1)&amp;"",INDEX('Daily Sale entry '!$P$1:$P$1501,$J1648-1499)&amp;""))</f>
        <v/>
      </c>
      <c r="E1648">
        <f>IF($J1648="","",IF($J1648&lt;=1500,IF(N(INDEX('Daily Sale entry '!$AB$1:$AB$1501,$J1648+1))=0,"",INDEX('Daily Sale entry '!$AB$1:$AB$1501,$J1648+1)),1))</f>
        <v/>
      </c>
      <c r="F1648" s="6">
        <f>IF($J1648="","",IF($J1648&lt;=1500,N(INDEX('Daily Sale entry '!$AC$1:$AC$1501,$J1648+1))-IF(AND('Opening Balance'!$B$15=1,INDEX('Daily Sale entry '!$Z$1:$Z$1501,$J1648+1)="Online collection 网上收款",INDEX('Daily Sale entry '!$AA$1:$AA$1501,$J1648+1)&lt;&gt;""),N(INDEX('Daily Sale entry '!$AC$1:$AC$1501,$J1648+1))-TRUNC(N(INDEX('Daily Sale entry '!$AC$1:$AC$1501,$J1648+1))),0),N(INDEX('Daily Sale entry '!$S$1:$S$1501,$J1648-1499))-'Opening Balance'!$B$15*(N(INDEX('Daily Sale entry '!$S$1:$S$1501,$J1648-1499))-TRUNC(N(INDEX('Daily Sale entry '!$S$1:$S$1501,$J1648-1499))))))</f>
        <v/>
      </c>
      <c r="G1648" s="6">
        <f>IF($J1648="","",IF($J1648&lt;=1500,N(INDEX('Daily Sale entry '!$AD$1:$AD$1501,$J1648+1)),0))</f>
        <v/>
      </c>
      <c r="H1648" s="6">
        <f>IF($J1648="","",ROUND('Opening Balance'!$B$4+SUM($F$2:F1648)-SUM($G$2:G1648),2))</f>
        <v/>
      </c>
      <c r="J1648" s="21">
        <f>IFERROR(MATCH(ROW()-1,$L$2:$L$3001,0),"")</f>
        <v/>
      </c>
      <c r="K1648" s="34">
        <f>IF(AND('Daily Sale entry '!Q148="Collection 收款",'Daily Sale entry '!R148="Cheque 支票",'Daily Sale entry '!V148&lt;&gt;""),'Daily Sale entry '!V148+ROW()/10000000,"")</f>
        <v/>
      </c>
      <c r="L1648" s="21">
        <f>IF(K1648="","",COUNTIF($K$2:$K$3001,"&lt;"&amp;K1648)+1)</f>
        <v/>
      </c>
    </row>
    <row r="1649">
      <c r="A1649" s="5">
        <f>IF($J1649="","",IF($J1649&lt;=1500,INDEX('Daily Sale entry '!$X$1:$X$1501,$J1649+1),INDEX('Daily Sale entry '!$V$1:$V$1501,$J1649-1499)))</f>
        <v/>
      </c>
      <c r="B1649">
        <f>IF($J1649="","",IF($J1649&lt;=1500,INDEX('Daily Sale entry '!$Y$1:$Y$1501,$J1649+1)&amp;"","Buyer cheque banked 买家支票存入"&amp;IF(INDEX('Daily Sale entry '!$U$1:$U$1501,$J1649-1499)="","", " - "&amp;INDEX('Daily Sale entry '!$U$1:$U$1501,$J1649-1499))))</f>
        <v/>
      </c>
      <c r="C1649">
        <f>IF($J1649="","",IF($J1649&lt;=1500,INDEX('Daily Sale entry '!$Z$1:$Z$1501,$J1649+1)&amp;"","Cheque deposit 支票存入 (buyer 买家)"))</f>
        <v/>
      </c>
      <c r="D1649">
        <f>IF($J1649="","",IF($J1649&lt;=1500,INDEX('Daily Sale entry '!$AA$1:$AA$1501,$J1649+1)&amp;"",INDEX('Daily Sale entry '!$P$1:$P$1501,$J1649-1499)&amp;""))</f>
        <v/>
      </c>
      <c r="E1649">
        <f>IF($J1649="","",IF($J1649&lt;=1500,IF(N(INDEX('Daily Sale entry '!$AB$1:$AB$1501,$J1649+1))=0,"",INDEX('Daily Sale entry '!$AB$1:$AB$1501,$J1649+1)),1))</f>
        <v/>
      </c>
      <c r="F1649" s="6">
        <f>IF($J1649="","",IF($J1649&lt;=1500,N(INDEX('Daily Sale entry '!$AC$1:$AC$1501,$J1649+1))-IF(AND('Opening Balance'!$B$15=1,INDEX('Daily Sale entry '!$Z$1:$Z$1501,$J1649+1)="Online collection 网上收款",INDEX('Daily Sale entry '!$AA$1:$AA$1501,$J1649+1)&lt;&gt;""),N(INDEX('Daily Sale entry '!$AC$1:$AC$1501,$J1649+1))-TRUNC(N(INDEX('Daily Sale entry '!$AC$1:$AC$1501,$J1649+1))),0),N(INDEX('Daily Sale entry '!$S$1:$S$1501,$J1649-1499))-'Opening Balance'!$B$15*(N(INDEX('Daily Sale entry '!$S$1:$S$1501,$J1649-1499))-TRUNC(N(INDEX('Daily Sale entry '!$S$1:$S$1501,$J1649-1499))))))</f>
        <v/>
      </c>
      <c r="G1649" s="6">
        <f>IF($J1649="","",IF($J1649&lt;=1500,N(INDEX('Daily Sale entry '!$AD$1:$AD$1501,$J1649+1)),0))</f>
        <v/>
      </c>
      <c r="H1649" s="6">
        <f>IF($J1649="","",ROUND('Opening Balance'!$B$4+SUM($F$2:F1649)-SUM($G$2:G1649),2))</f>
        <v/>
      </c>
      <c r="J1649" s="21">
        <f>IFERROR(MATCH(ROW()-1,$L$2:$L$3001,0),"")</f>
        <v/>
      </c>
      <c r="K1649" s="34">
        <f>IF(AND('Daily Sale entry '!Q149="Collection 收款",'Daily Sale entry '!R149="Cheque 支票",'Daily Sale entry '!V149&lt;&gt;""),'Daily Sale entry '!V149+ROW()/10000000,"")</f>
        <v/>
      </c>
      <c r="L1649" s="21">
        <f>IF(K1649="","",COUNTIF($K$2:$K$3001,"&lt;"&amp;K1649)+1)</f>
        <v/>
      </c>
    </row>
    <row r="1650">
      <c r="A1650" s="5">
        <f>IF($J1650="","",IF($J1650&lt;=1500,INDEX('Daily Sale entry '!$X$1:$X$1501,$J1650+1),INDEX('Daily Sale entry '!$V$1:$V$1501,$J1650-1499)))</f>
        <v/>
      </c>
      <c r="B1650">
        <f>IF($J1650="","",IF($J1650&lt;=1500,INDEX('Daily Sale entry '!$Y$1:$Y$1501,$J1650+1)&amp;"","Buyer cheque banked 买家支票存入"&amp;IF(INDEX('Daily Sale entry '!$U$1:$U$1501,$J1650-1499)="","", " - "&amp;INDEX('Daily Sale entry '!$U$1:$U$1501,$J1650-1499))))</f>
        <v/>
      </c>
      <c r="C1650">
        <f>IF($J1650="","",IF($J1650&lt;=1500,INDEX('Daily Sale entry '!$Z$1:$Z$1501,$J1650+1)&amp;"","Cheque deposit 支票存入 (buyer 买家)"))</f>
        <v/>
      </c>
      <c r="D1650">
        <f>IF($J1650="","",IF($J1650&lt;=1500,INDEX('Daily Sale entry '!$AA$1:$AA$1501,$J1650+1)&amp;"",INDEX('Daily Sale entry '!$P$1:$P$1501,$J1650-1499)&amp;""))</f>
        <v/>
      </c>
      <c r="E1650">
        <f>IF($J1650="","",IF($J1650&lt;=1500,IF(N(INDEX('Daily Sale entry '!$AB$1:$AB$1501,$J1650+1))=0,"",INDEX('Daily Sale entry '!$AB$1:$AB$1501,$J1650+1)),1))</f>
        <v/>
      </c>
      <c r="F1650" s="6">
        <f>IF($J1650="","",IF($J1650&lt;=1500,N(INDEX('Daily Sale entry '!$AC$1:$AC$1501,$J1650+1))-IF(AND('Opening Balance'!$B$15=1,INDEX('Daily Sale entry '!$Z$1:$Z$1501,$J1650+1)="Online collection 网上收款",INDEX('Daily Sale entry '!$AA$1:$AA$1501,$J1650+1)&lt;&gt;""),N(INDEX('Daily Sale entry '!$AC$1:$AC$1501,$J1650+1))-TRUNC(N(INDEX('Daily Sale entry '!$AC$1:$AC$1501,$J1650+1))),0),N(INDEX('Daily Sale entry '!$S$1:$S$1501,$J1650-1499))-'Opening Balance'!$B$15*(N(INDEX('Daily Sale entry '!$S$1:$S$1501,$J1650-1499))-TRUNC(N(INDEX('Daily Sale entry '!$S$1:$S$1501,$J1650-1499))))))</f>
        <v/>
      </c>
      <c r="G1650" s="6">
        <f>IF($J1650="","",IF($J1650&lt;=1500,N(INDEX('Daily Sale entry '!$AD$1:$AD$1501,$J1650+1)),0))</f>
        <v/>
      </c>
      <c r="H1650" s="6">
        <f>IF($J1650="","",ROUND('Opening Balance'!$B$4+SUM($F$2:F1650)-SUM($G$2:G1650),2))</f>
        <v/>
      </c>
      <c r="J1650" s="21">
        <f>IFERROR(MATCH(ROW()-1,$L$2:$L$3001,0),"")</f>
        <v/>
      </c>
      <c r="K1650" s="34">
        <f>IF(AND('Daily Sale entry '!Q150="Collection 收款",'Daily Sale entry '!R150="Cheque 支票",'Daily Sale entry '!V150&lt;&gt;""),'Daily Sale entry '!V150+ROW()/10000000,"")</f>
        <v/>
      </c>
      <c r="L1650" s="21">
        <f>IF(K1650="","",COUNTIF($K$2:$K$3001,"&lt;"&amp;K1650)+1)</f>
        <v/>
      </c>
    </row>
    <row r="1651">
      <c r="A1651" s="5">
        <f>IF($J1651="","",IF($J1651&lt;=1500,INDEX('Daily Sale entry '!$X$1:$X$1501,$J1651+1),INDEX('Daily Sale entry '!$V$1:$V$1501,$J1651-1499)))</f>
        <v/>
      </c>
      <c r="B1651">
        <f>IF($J1651="","",IF($J1651&lt;=1500,INDEX('Daily Sale entry '!$Y$1:$Y$1501,$J1651+1)&amp;"","Buyer cheque banked 买家支票存入"&amp;IF(INDEX('Daily Sale entry '!$U$1:$U$1501,$J1651-1499)="","", " - "&amp;INDEX('Daily Sale entry '!$U$1:$U$1501,$J1651-1499))))</f>
        <v/>
      </c>
      <c r="C1651">
        <f>IF($J1651="","",IF($J1651&lt;=1500,INDEX('Daily Sale entry '!$Z$1:$Z$1501,$J1651+1)&amp;"","Cheque deposit 支票存入 (buyer 买家)"))</f>
        <v/>
      </c>
      <c r="D1651">
        <f>IF($J1651="","",IF($J1651&lt;=1500,INDEX('Daily Sale entry '!$AA$1:$AA$1501,$J1651+1)&amp;"",INDEX('Daily Sale entry '!$P$1:$P$1501,$J1651-1499)&amp;""))</f>
        <v/>
      </c>
      <c r="E1651">
        <f>IF($J1651="","",IF($J1651&lt;=1500,IF(N(INDEX('Daily Sale entry '!$AB$1:$AB$1501,$J1651+1))=0,"",INDEX('Daily Sale entry '!$AB$1:$AB$1501,$J1651+1)),1))</f>
        <v/>
      </c>
      <c r="F1651" s="6">
        <f>IF($J1651="","",IF($J1651&lt;=1500,N(INDEX('Daily Sale entry '!$AC$1:$AC$1501,$J1651+1))-IF(AND('Opening Balance'!$B$15=1,INDEX('Daily Sale entry '!$Z$1:$Z$1501,$J1651+1)="Online collection 网上收款",INDEX('Daily Sale entry '!$AA$1:$AA$1501,$J1651+1)&lt;&gt;""),N(INDEX('Daily Sale entry '!$AC$1:$AC$1501,$J1651+1))-TRUNC(N(INDEX('Daily Sale entry '!$AC$1:$AC$1501,$J1651+1))),0),N(INDEX('Daily Sale entry '!$S$1:$S$1501,$J1651-1499))-'Opening Balance'!$B$15*(N(INDEX('Daily Sale entry '!$S$1:$S$1501,$J1651-1499))-TRUNC(N(INDEX('Daily Sale entry '!$S$1:$S$1501,$J1651-1499))))))</f>
        <v/>
      </c>
      <c r="G1651" s="6">
        <f>IF($J1651="","",IF($J1651&lt;=1500,N(INDEX('Daily Sale entry '!$AD$1:$AD$1501,$J1651+1)),0))</f>
        <v/>
      </c>
      <c r="H1651" s="6">
        <f>IF($J1651="","",ROUND('Opening Balance'!$B$4+SUM($F$2:F1651)-SUM($G$2:G1651),2))</f>
        <v/>
      </c>
      <c r="J1651" s="21">
        <f>IFERROR(MATCH(ROW()-1,$L$2:$L$3001,0),"")</f>
        <v/>
      </c>
      <c r="K1651" s="34">
        <f>IF(AND('Daily Sale entry '!Q151="Collection 收款",'Daily Sale entry '!R151="Cheque 支票",'Daily Sale entry '!V151&lt;&gt;""),'Daily Sale entry '!V151+ROW()/10000000,"")</f>
        <v/>
      </c>
      <c r="L1651" s="21">
        <f>IF(K1651="","",COUNTIF($K$2:$K$3001,"&lt;"&amp;K1651)+1)</f>
        <v/>
      </c>
    </row>
    <row r="1652">
      <c r="A1652" s="5">
        <f>IF($J1652="","",IF($J1652&lt;=1500,INDEX('Daily Sale entry '!$X$1:$X$1501,$J1652+1),INDEX('Daily Sale entry '!$V$1:$V$1501,$J1652-1499)))</f>
        <v/>
      </c>
      <c r="B1652">
        <f>IF($J1652="","",IF($J1652&lt;=1500,INDEX('Daily Sale entry '!$Y$1:$Y$1501,$J1652+1)&amp;"","Buyer cheque banked 买家支票存入"&amp;IF(INDEX('Daily Sale entry '!$U$1:$U$1501,$J1652-1499)="","", " - "&amp;INDEX('Daily Sale entry '!$U$1:$U$1501,$J1652-1499))))</f>
        <v/>
      </c>
      <c r="C1652">
        <f>IF($J1652="","",IF($J1652&lt;=1500,INDEX('Daily Sale entry '!$Z$1:$Z$1501,$J1652+1)&amp;"","Cheque deposit 支票存入 (buyer 买家)"))</f>
        <v/>
      </c>
      <c r="D1652">
        <f>IF($J1652="","",IF($J1652&lt;=1500,INDEX('Daily Sale entry '!$AA$1:$AA$1501,$J1652+1)&amp;"",INDEX('Daily Sale entry '!$P$1:$P$1501,$J1652-1499)&amp;""))</f>
        <v/>
      </c>
      <c r="E1652">
        <f>IF($J1652="","",IF($J1652&lt;=1500,IF(N(INDEX('Daily Sale entry '!$AB$1:$AB$1501,$J1652+1))=0,"",INDEX('Daily Sale entry '!$AB$1:$AB$1501,$J1652+1)),1))</f>
        <v/>
      </c>
      <c r="F1652" s="6">
        <f>IF($J1652="","",IF($J1652&lt;=1500,N(INDEX('Daily Sale entry '!$AC$1:$AC$1501,$J1652+1))-IF(AND('Opening Balance'!$B$15=1,INDEX('Daily Sale entry '!$Z$1:$Z$1501,$J1652+1)="Online collection 网上收款",INDEX('Daily Sale entry '!$AA$1:$AA$1501,$J1652+1)&lt;&gt;""),N(INDEX('Daily Sale entry '!$AC$1:$AC$1501,$J1652+1))-TRUNC(N(INDEX('Daily Sale entry '!$AC$1:$AC$1501,$J1652+1))),0),N(INDEX('Daily Sale entry '!$S$1:$S$1501,$J1652-1499))-'Opening Balance'!$B$15*(N(INDEX('Daily Sale entry '!$S$1:$S$1501,$J1652-1499))-TRUNC(N(INDEX('Daily Sale entry '!$S$1:$S$1501,$J1652-1499))))))</f>
        <v/>
      </c>
      <c r="G1652" s="6">
        <f>IF($J1652="","",IF($J1652&lt;=1500,N(INDEX('Daily Sale entry '!$AD$1:$AD$1501,$J1652+1)),0))</f>
        <v/>
      </c>
      <c r="H1652" s="6">
        <f>IF($J1652="","",ROUND('Opening Balance'!$B$4+SUM($F$2:F1652)-SUM($G$2:G1652),2))</f>
        <v/>
      </c>
      <c r="J1652" s="21">
        <f>IFERROR(MATCH(ROW()-1,$L$2:$L$3001,0),"")</f>
        <v/>
      </c>
      <c r="K1652" s="34">
        <f>IF(AND('Daily Sale entry '!Q152="Collection 收款",'Daily Sale entry '!R152="Cheque 支票",'Daily Sale entry '!V152&lt;&gt;""),'Daily Sale entry '!V152+ROW()/10000000,"")</f>
        <v/>
      </c>
      <c r="L1652" s="21">
        <f>IF(K1652="","",COUNTIF($K$2:$K$3001,"&lt;"&amp;K1652)+1)</f>
        <v/>
      </c>
    </row>
    <row r="1653">
      <c r="A1653" s="5">
        <f>IF($J1653="","",IF($J1653&lt;=1500,INDEX('Daily Sale entry '!$X$1:$X$1501,$J1653+1),INDEX('Daily Sale entry '!$V$1:$V$1501,$J1653-1499)))</f>
        <v/>
      </c>
      <c r="B1653">
        <f>IF($J1653="","",IF($J1653&lt;=1500,INDEX('Daily Sale entry '!$Y$1:$Y$1501,$J1653+1)&amp;"","Buyer cheque banked 买家支票存入"&amp;IF(INDEX('Daily Sale entry '!$U$1:$U$1501,$J1653-1499)="","", " - "&amp;INDEX('Daily Sale entry '!$U$1:$U$1501,$J1653-1499))))</f>
        <v/>
      </c>
      <c r="C1653">
        <f>IF($J1653="","",IF($J1653&lt;=1500,INDEX('Daily Sale entry '!$Z$1:$Z$1501,$J1653+1)&amp;"","Cheque deposit 支票存入 (buyer 买家)"))</f>
        <v/>
      </c>
      <c r="D1653">
        <f>IF($J1653="","",IF($J1653&lt;=1500,INDEX('Daily Sale entry '!$AA$1:$AA$1501,$J1653+1)&amp;"",INDEX('Daily Sale entry '!$P$1:$P$1501,$J1653-1499)&amp;""))</f>
        <v/>
      </c>
      <c r="E1653">
        <f>IF($J1653="","",IF($J1653&lt;=1500,IF(N(INDEX('Daily Sale entry '!$AB$1:$AB$1501,$J1653+1))=0,"",INDEX('Daily Sale entry '!$AB$1:$AB$1501,$J1653+1)),1))</f>
        <v/>
      </c>
      <c r="F1653" s="6">
        <f>IF($J1653="","",IF($J1653&lt;=1500,N(INDEX('Daily Sale entry '!$AC$1:$AC$1501,$J1653+1))-IF(AND('Opening Balance'!$B$15=1,INDEX('Daily Sale entry '!$Z$1:$Z$1501,$J1653+1)="Online collection 网上收款",INDEX('Daily Sale entry '!$AA$1:$AA$1501,$J1653+1)&lt;&gt;""),N(INDEX('Daily Sale entry '!$AC$1:$AC$1501,$J1653+1))-TRUNC(N(INDEX('Daily Sale entry '!$AC$1:$AC$1501,$J1653+1))),0),N(INDEX('Daily Sale entry '!$S$1:$S$1501,$J1653-1499))-'Opening Balance'!$B$15*(N(INDEX('Daily Sale entry '!$S$1:$S$1501,$J1653-1499))-TRUNC(N(INDEX('Daily Sale entry '!$S$1:$S$1501,$J1653-1499))))))</f>
        <v/>
      </c>
      <c r="G1653" s="6">
        <f>IF($J1653="","",IF($J1653&lt;=1500,N(INDEX('Daily Sale entry '!$AD$1:$AD$1501,$J1653+1)),0))</f>
        <v/>
      </c>
      <c r="H1653" s="6">
        <f>IF($J1653="","",ROUND('Opening Balance'!$B$4+SUM($F$2:F1653)-SUM($G$2:G1653),2))</f>
        <v/>
      </c>
      <c r="J1653" s="21">
        <f>IFERROR(MATCH(ROW()-1,$L$2:$L$3001,0),"")</f>
        <v/>
      </c>
      <c r="K1653" s="34">
        <f>IF(AND('Daily Sale entry '!Q153="Collection 收款",'Daily Sale entry '!R153="Cheque 支票",'Daily Sale entry '!V153&lt;&gt;""),'Daily Sale entry '!V153+ROW()/10000000,"")</f>
        <v/>
      </c>
      <c r="L1653" s="21">
        <f>IF(K1653="","",COUNTIF($K$2:$K$3001,"&lt;"&amp;K1653)+1)</f>
        <v/>
      </c>
    </row>
    <row r="1654">
      <c r="A1654" s="5">
        <f>IF($J1654="","",IF($J1654&lt;=1500,INDEX('Daily Sale entry '!$X$1:$X$1501,$J1654+1),INDEX('Daily Sale entry '!$V$1:$V$1501,$J1654-1499)))</f>
        <v/>
      </c>
      <c r="B1654">
        <f>IF($J1654="","",IF($J1654&lt;=1500,INDEX('Daily Sale entry '!$Y$1:$Y$1501,$J1654+1)&amp;"","Buyer cheque banked 买家支票存入"&amp;IF(INDEX('Daily Sale entry '!$U$1:$U$1501,$J1654-1499)="","", " - "&amp;INDEX('Daily Sale entry '!$U$1:$U$1501,$J1654-1499))))</f>
        <v/>
      </c>
      <c r="C1654">
        <f>IF($J1654="","",IF($J1654&lt;=1500,INDEX('Daily Sale entry '!$Z$1:$Z$1501,$J1654+1)&amp;"","Cheque deposit 支票存入 (buyer 买家)"))</f>
        <v/>
      </c>
      <c r="D1654">
        <f>IF($J1654="","",IF($J1654&lt;=1500,INDEX('Daily Sale entry '!$AA$1:$AA$1501,$J1654+1)&amp;"",INDEX('Daily Sale entry '!$P$1:$P$1501,$J1654-1499)&amp;""))</f>
        <v/>
      </c>
      <c r="E1654">
        <f>IF($J1654="","",IF($J1654&lt;=1500,IF(N(INDEX('Daily Sale entry '!$AB$1:$AB$1501,$J1654+1))=0,"",INDEX('Daily Sale entry '!$AB$1:$AB$1501,$J1654+1)),1))</f>
        <v/>
      </c>
      <c r="F1654" s="6">
        <f>IF($J1654="","",IF($J1654&lt;=1500,N(INDEX('Daily Sale entry '!$AC$1:$AC$1501,$J1654+1))-IF(AND('Opening Balance'!$B$15=1,INDEX('Daily Sale entry '!$Z$1:$Z$1501,$J1654+1)="Online collection 网上收款",INDEX('Daily Sale entry '!$AA$1:$AA$1501,$J1654+1)&lt;&gt;""),N(INDEX('Daily Sale entry '!$AC$1:$AC$1501,$J1654+1))-TRUNC(N(INDEX('Daily Sale entry '!$AC$1:$AC$1501,$J1654+1))),0),N(INDEX('Daily Sale entry '!$S$1:$S$1501,$J1654-1499))-'Opening Balance'!$B$15*(N(INDEX('Daily Sale entry '!$S$1:$S$1501,$J1654-1499))-TRUNC(N(INDEX('Daily Sale entry '!$S$1:$S$1501,$J1654-1499))))))</f>
        <v/>
      </c>
      <c r="G1654" s="6">
        <f>IF($J1654="","",IF($J1654&lt;=1500,N(INDEX('Daily Sale entry '!$AD$1:$AD$1501,$J1654+1)),0))</f>
        <v/>
      </c>
      <c r="H1654" s="6">
        <f>IF($J1654="","",ROUND('Opening Balance'!$B$4+SUM($F$2:F1654)-SUM($G$2:G1654),2))</f>
        <v/>
      </c>
      <c r="J1654" s="21">
        <f>IFERROR(MATCH(ROW()-1,$L$2:$L$3001,0),"")</f>
        <v/>
      </c>
      <c r="K1654" s="34">
        <f>IF(AND('Daily Sale entry '!Q154="Collection 收款",'Daily Sale entry '!R154="Cheque 支票",'Daily Sale entry '!V154&lt;&gt;""),'Daily Sale entry '!V154+ROW()/10000000,"")</f>
        <v/>
      </c>
      <c r="L1654" s="21">
        <f>IF(K1654="","",COUNTIF($K$2:$K$3001,"&lt;"&amp;K1654)+1)</f>
        <v/>
      </c>
    </row>
    <row r="1655">
      <c r="A1655" s="5">
        <f>IF($J1655="","",IF($J1655&lt;=1500,INDEX('Daily Sale entry '!$X$1:$X$1501,$J1655+1),INDEX('Daily Sale entry '!$V$1:$V$1501,$J1655-1499)))</f>
        <v/>
      </c>
      <c r="B1655">
        <f>IF($J1655="","",IF($J1655&lt;=1500,INDEX('Daily Sale entry '!$Y$1:$Y$1501,$J1655+1)&amp;"","Buyer cheque banked 买家支票存入"&amp;IF(INDEX('Daily Sale entry '!$U$1:$U$1501,$J1655-1499)="","", " - "&amp;INDEX('Daily Sale entry '!$U$1:$U$1501,$J1655-1499))))</f>
        <v/>
      </c>
      <c r="C1655">
        <f>IF($J1655="","",IF($J1655&lt;=1500,INDEX('Daily Sale entry '!$Z$1:$Z$1501,$J1655+1)&amp;"","Cheque deposit 支票存入 (buyer 买家)"))</f>
        <v/>
      </c>
      <c r="D1655">
        <f>IF($J1655="","",IF($J1655&lt;=1500,INDEX('Daily Sale entry '!$AA$1:$AA$1501,$J1655+1)&amp;"",INDEX('Daily Sale entry '!$P$1:$P$1501,$J1655-1499)&amp;""))</f>
        <v/>
      </c>
      <c r="E1655">
        <f>IF($J1655="","",IF($J1655&lt;=1500,IF(N(INDEX('Daily Sale entry '!$AB$1:$AB$1501,$J1655+1))=0,"",INDEX('Daily Sale entry '!$AB$1:$AB$1501,$J1655+1)),1))</f>
        <v/>
      </c>
      <c r="F1655" s="6">
        <f>IF($J1655="","",IF($J1655&lt;=1500,N(INDEX('Daily Sale entry '!$AC$1:$AC$1501,$J1655+1))-IF(AND('Opening Balance'!$B$15=1,INDEX('Daily Sale entry '!$Z$1:$Z$1501,$J1655+1)="Online collection 网上收款",INDEX('Daily Sale entry '!$AA$1:$AA$1501,$J1655+1)&lt;&gt;""),N(INDEX('Daily Sale entry '!$AC$1:$AC$1501,$J1655+1))-TRUNC(N(INDEX('Daily Sale entry '!$AC$1:$AC$1501,$J1655+1))),0),N(INDEX('Daily Sale entry '!$S$1:$S$1501,$J1655-1499))-'Opening Balance'!$B$15*(N(INDEX('Daily Sale entry '!$S$1:$S$1501,$J1655-1499))-TRUNC(N(INDEX('Daily Sale entry '!$S$1:$S$1501,$J1655-1499))))))</f>
        <v/>
      </c>
      <c r="G1655" s="6">
        <f>IF($J1655="","",IF($J1655&lt;=1500,N(INDEX('Daily Sale entry '!$AD$1:$AD$1501,$J1655+1)),0))</f>
        <v/>
      </c>
      <c r="H1655" s="6">
        <f>IF($J1655="","",ROUND('Opening Balance'!$B$4+SUM($F$2:F1655)-SUM($G$2:G1655),2))</f>
        <v/>
      </c>
      <c r="J1655" s="21">
        <f>IFERROR(MATCH(ROW()-1,$L$2:$L$3001,0),"")</f>
        <v/>
      </c>
      <c r="K1655" s="34">
        <f>IF(AND('Daily Sale entry '!Q155="Collection 收款",'Daily Sale entry '!R155="Cheque 支票",'Daily Sale entry '!V155&lt;&gt;""),'Daily Sale entry '!V155+ROW()/10000000,"")</f>
        <v/>
      </c>
      <c r="L1655" s="21">
        <f>IF(K1655="","",COUNTIF($K$2:$K$3001,"&lt;"&amp;K1655)+1)</f>
        <v/>
      </c>
    </row>
    <row r="1656">
      <c r="A1656" s="5">
        <f>IF($J1656="","",IF($J1656&lt;=1500,INDEX('Daily Sale entry '!$X$1:$X$1501,$J1656+1),INDEX('Daily Sale entry '!$V$1:$V$1501,$J1656-1499)))</f>
        <v/>
      </c>
      <c r="B1656">
        <f>IF($J1656="","",IF($J1656&lt;=1500,INDEX('Daily Sale entry '!$Y$1:$Y$1501,$J1656+1)&amp;"","Buyer cheque banked 买家支票存入"&amp;IF(INDEX('Daily Sale entry '!$U$1:$U$1501,$J1656-1499)="","", " - "&amp;INDEX('Daily Sale entry '!$U$1:$U$1501,$J1656-1499))))</f>
        <v/>
      </c>
      <c r="C1656">
        <f>IF($J1656="","",IF($J1656&lt;=1500,INDEX('Daily Sale entry '!$Z$1:$Z$1501,$J1656+1)&amp;"","Cheque deposit 支票存入 (buyer 买家)"))</f>
        <v/>
      </c>
      <c r="D1656">
        <f>IF($J1656="","",IF($J1656&lt;=1500,INDEX('Daily Sale entry '!$AA$1:$AA$1501,$J1656+1)&amp;"",INDEX('Daily Sale entry '!$P$1:$P$1501,$J1656-1499)&amp;""))</f>
        <v/>
      </c>
      <c r="E1656">
        <f>IF($J1656="","",IF($J1656&lt;=1500,IF(N(INDEX('Daily Sale entry '!$AB$1:$AB$1501,$J1656+1))=0,"",INDEX('Daily Sale entry '!$AB$1:$AB$1501,$J1656+1)),1))</f>
        <v/>
      </c>
      <c r="F1656" s="6">
        <f>IF($J1656="","",IF($J1656&lt;=1500,N(INDEX('Daily Sale entry '!$AC$1:$AC$1501,$J1656+1))-IF(AND('Opening Balance'!$B$15=1,INDEX('Daily Sale entry '!$Z$1:$Z$1501,$J1656+1)="Online collection 网上收款",INDEX('Daily Sale entry '!$AA$1:$AA$1501,$J1656+1)&lt;&gt;""),N(INDEX('Daily Sale entry '!$AC$1:$AC$1501,$J1656+1))-TRUNC(N(INDEX('Daily Sale entry '!$AC$1:$AC$1501,$J1656+1))),0),N(INDEX('Daily Sale entry '!$S$1:$S$1501,$J1656-1499))-'Opening Balance'!$B$15*(N(INDEX('Daily Sale entry '!$S$1:$S$1501,$J1656-1499))-TRUNC(N(INDEX('Daily Sale entry '!$S$1:$S$1501,$J1656-1499))))))</f>
        <v/>
      </c>
      <c r="G1656" s="6">
        <f>IF($J1656="","",IF($J1656&lt;=1500,N(INDEX('Daily Sale entry '!$AD$1:$AD$1501,$J1656+1)),0))</f>
        <v/>
      </c>
      <c r="H1656" s="6">
        <f>IF($J1656="","",ROUND('Opening Balance'!$B$4+SUM($F$2:F1656)-SUM($G$2:G1656),2))</f>
        <v/>
      </c>
      <c r="J1656" s="21">
        <f>IFERROR(MATCH(ROW()-1,$L$2:$L$3001,0),"")</f>
        <v/>
      </c>
      <c r="K1656" s="34">
        <f>IF(AND('Daily Sale entry '!Q156="Collection 收款",'Daily Sale entry '!R156="Cheque 支票",'Daily Sale entry '!V156&lt;&gt;""),'Daily Sale entry '!V156+ROW()/10000000,"")</f>
        <v/>
      </c>
      <c r="L1656" s="21">
        <f>IF(K1656="","",COUNTIF($K$2:$K$3001,"&lt;"&amp;K1656)+1)</f>
        <v/>
      </c>
    </row>
    <row r="1657">
      <c r="A1657" s="5">
        <f>IF($J1657="","",IF($J1657&lt;=1500,INDEX('Daily Sale entry '!$X$1:$X$1501,$J1657+1),INDEX('Daily Sale entry '!$V$1:$V$1501,$J1657-1499)))</f>
        <v/>
      </c>
      <c r="B1657">
        <f>IF($J1657="","",IF($J1657&lt;=1500,INDEX('Daily Sale entry '!$Y$1:$Y$1501,$J1657+1)&amp;"","Buyer cheque banked 买家支票存入"&amp;IF(INDEX('Daily Sale entry '!$U$1:$U$1501,$J1657-1499)="","", " - "&amp;INDEX('Daily Sale entry '!$U$1:$U$1501,$J1657-1499))))</f>
        <v/>
      </c>
      <c r="C1657">
        <f>IF($J1657="","",IF($J1657&lt;=1500,INDEX('Daily Sale entry '!$Z$1:$Z$1501,$J1657+1)&amp;"","Cheque deposit 支票存入 (buyer 买家)"))</f>
        <v/>
      </c>
      <c r="D1657">
        <f>IF($J1657="","",IF($J1657&lt;=1500,INDEX('Daily Sale entry '!$AA$1:$AA$1501,$J1657+1)&amp;"",INDEX('Daily Sale entry '!$P$1:$P$1501,$J1657-1499)&amp;""))</f>
        <v/>
      </c>
      <c r="E1657">
        <f>IF($J1657="","",IF($J1657&lt;=1500,IF(N(INDEX('Daily Sale entry '!$AB$1:$AB$1501,$J1657+1))=0,"",INDEX('Daily Sale entry '!$AB$1:$AB$1501,$J1657+1)),1))</f>
        <v/>
      </c>
      <c r="F1657" s="6">
        <f>IF($J1657="","",IF($J1657&lt;=1500,N(INDEX('Daily Sale entry '!$AC$1:$AC$1501,$J1657+1))-IF(AND('Opening Balance'!$B$15=1,INDEX('Daily Sale entry '!$Z$1:$Z$1501,$J1657+1)="Online collection 网上收款",INDEX('Daily Sale entry '!$AA$1:$AA$1501,$J1657+1)&lt;&gt;""),N(INDEX('Daily Sale entry '!$AC$1:$AC$1501,$J1657+1))-TRUNC(N(INDEX('Daily Sale entry '!$AC$1:$AC$1501,$J1657+1))),0),N(INDEX('Daily Sale entry '!$S$1:$S$1501,$J1657-1499))-'Opening Balance'!$B$15*(N(INDEX('Daily Sale entry '!$S$1:$S$1501,$J1657-1499))-TRUNC(N(INDEX('Daily Sale entry '!$S$1:$S$1501,$J1657-1499))))))</f>
        <v/>
      </c>
      <c r="G1657" s="6">
        <f>IF($J1657="","",IF($J1657&lt;=1500,N(INDEX('Daily Sale entry '!$AD$1:$AD$1501,$J1657+1)),0))</f>
        <v/>
      </c>
      <c r="H1657" s="6">
        <f>IF($J1657="","",ROUND('Opening Balance'!$B$4+SUM($F$2:F1657)-SUM($G$2:G1657),2))</f>
        <v/>
      </c>
      <c r="J1657" s="21">
        <f>IFERROR(MATCH(ROW()-1,$L$2:$L$3001,0),"")</f>
        <v/>
      </c>
      <c r="K1657" s="34">
        <f>IF(AND('Daily Sale entry '!Q157="Collection 收款",'Daily Sale entry '!R157="Cheque 支票",'Daily Sale entry '!V157&lt;&gt;""),'Daily Sale entry '!V157+ROW()/10000000,"")</f>
        <v/>
      </c>
      <c r="L1657" s="21">
        <f>IF(K1657="","",COUNTIF($K$2:$K$3001,"&lt;"&amp;K1657)+1)</f>
        <v/>
      </c>
    </row>
    <row r="1658">
      <c r="A1658" s="5">
        <f>IF($J1658="","",IF($J1658&lt;=1500,INDEX('Daily Sale entry '!$X$1:$X$1501,$J1658+1),INDEX('Daily Sale entry '!$V$1:$V$1501,$J1658-1499)))</f>
        <v/>
      </c>
      <c r="B1658">
        <f>IF($J1658="","",IF($J1658&lt;=1500,INDEX('Daily Sale entry '!$Y$1:$Y$1501,$J1658+1)&amp;"","Buyer cheque banked 买家支票存入"&amp;IF(INDEX('Daily Sale entry '!$U$1:$U$1501,$J1658-1499)="","", " - "&amp;INDEX('Daily Sale entry '!$U$1:$U$1501,$J1658-1499))))</f>
        <v/>
      </c>
      <c r="C1658">
        <f>IF($J1658="","",IF($J1658&lt;=1500,INDEX('Daily Sale entry '!$Z$1:$Z$1501,$J1658+1)&amp;"","Cheque deposit 支票存入 (buyer 买家)"))</f>
        <v/>
      </c>
      <c r="D1658">
        <f>IF($J1658="","",IF($J1658&lt;=1500,INDEX('Daily Sale entry '!$AA$1:$AA$1501,$J1658+1)&amp;"",INDEX('Daily Sale entry '!$P$1:$P$1501,$J1658-1499)&amp;""))</f>
        <v/>
      </c>
      <c r="E1658">
        <f>IF($J1658="","",IF($J1658&lt;=1500,IF(N(INDEX('Daily Sale entry '!$AB$1:$AB$1501,$J1658+1))=0,"",INDEX('Daily Sale entry '!$AB$1:$AB$1501,$J1658+1)),1))</f>
        <v/>
      </c>
      <c r="F1658" s="6">
        <f>IF($J1658="","",IF($J1658&lt;=1500,N(INDEX('Daily Sale entry '!$AC$1:$AC$1501,$J1658+1))-IF(AND('Opening Balance'!$B$15=1,INDEX('Daily Sale entry '!$Z$1:$Z$1501,$J1658+1)="Online collection 网上收款",INDEX('Daily Sale entry '!$AA$1:$AA$1501,$J1658+1)&lt;&gt;""),N(INDEX('Daily Sale entry '!$AC$1:$AC$1501,$J1658+1))-TRUNC(N(INDEX('Daily Sale entry '!$AC$1:$AC$1501,$J1658+1))),0),N(INDEX('Daily Sale entry '!$S$1:$S$1501,$J1658-1499))-'Opening Balance'!$B$15*(N(INDEX('Daily Sale entry '!$S$1:$S$1501,$J1658-1499))-TRUNC(N(INDEX('Daily Sale entry '!$S$1:$S$1501,$J1658-1499))))))</f>
        <v/>
      </c>
      <c r="G1658" s="6">
        <f>IF($J1658="","",IF($J1658&lt;=1500,N(INDEX('Daily Sale entry '!$AD$1:$AD$1501,$J1658+1)),0))</f>
        <v/>
      </c>
      <c r="H1658" s="6">
        <f>IF($J1658="","",ROUND('Opening Balance'!$B$4+SUM($F$2:F1658)-SUM($G$2:G1658),2))</f>
        <v/>
      </c>
      <c r="J1658" s="21">
        <f>IFERROR(MATCH(ROW()-1,$L$2:$L$3001,0),"")</f>
        <v/>
      </c>
      <c r="K1658" s="34">
        <f>IF(AND('Daily Sale entry '!Q158="Collection 收款",'Daily Sale entry '!R158="Cheque 支票",'Daily Sale entry '!V158&lt;&gt;""),'Daily Sale entry '!V158+ROW()/10000000,"")</f>
        <v/>
      </c>
      <c r="L1658" s="21">
        <f>IF(K1658="","",COUNTIF($K$2:$K$3001,"&lt;"&amp;K1658)+1)</f>
        <v/>
      </c>
    </row>
    <row r="1659">
      <c r="A1659" s="5">
        <f>IF($J1659="","",IF($J1659&lt;=1500,INDEX('Daily Sale entry '!$X$1:$X$1501,$J1659+1),INDEX('Daily Sale entry '!$V$1:$V$1501,$J1659-1499)))</f>
        <v/>
      </c>
      <c r="B1659">
        <f>IF($J1659="","",IF($J1659&lt;=1500,INDEX('Daily Sale entry '!$Y$1:$Y$1501,$J1659+1)&amp;"","Buyer cheque banked 买家支票存入"&amp;IF(INDEX('Daily Sale entry '!$U$1:$U$1501,$J1659-1499)="","", " - "&amp;INDEX('Daily Sale entry '!$U$1:$U$1501,$J1659-1499))))</f>
        <v/>
      </c>
      <c r="C1659">
        <f>IF($J1659="","",IF($J1659&lt;=1500,INDEX('Daily Sale entry '!$Z$1:$Z$1501,$J1659+1)&amp;"","Cheque deposit 支票存入 (buyer 买家)"))</f>
        <v/>
      </c>
      <c r="D1659">
        <f>IF($J1659="","",IF($J1659&lt;=1500,INDEX('Daily Sale entry '!$AA$1:$AA$1501,$J1659+1)&amp;"",INDEX('Daily Sale entry '!$P$1:$P$1501,$J1659-1499)&amp;""))</f>
        <v/>
      </c>
      <c r="E1659">
        <f>IF($J1659="","",IF($J1659&lt;=1500,IF(N(INDEX('Daily Sale entry '!$AB$1:$AB$1501,$J1659+1))=0,"",INDEX('Daily Sale entry '!$AB$1:$AB$1501,$J1659+1)),1))</f>
        <v/>
      </c>
      <c r="F1659" s="6">
        <f>IF($J1659="","",IF($J1659&lt;=1500,N(INDEX('Daily Sale entry '!$AC$1:$AC$1501,$J1659+1))-IF(AND('Opening Balance'!$B$15=1,INDEX('Daily Sale entry '!$Z$1:$Z$1501,$J1659+1)="Online collection 网上收款",INDEX('Daily Sale entry '!$AA$1:$AA$1501,$J1659+1)&lt;&gt;""),N(INDEX('Daily Sale entry '!$AC$1:$AC$1501,$J1659+1))-TRUNC(N(INDEX('Daily Sale entry '!$AC$1:$AC$1501,$J1659+1))),0),N(INDEX('Daily Sale entry '!$S$1:$S$1501,$J1659-1499))-'Opening Balance'!$B$15*(N(INDEX('Daily Sale entry '!$S$1:$S$1501,$J1659-1499))-TRUNC(N(INDEX('Daily Sale entry '!$S$1:$S$1501,$J1659-1499))))))</f>
        <v/>
      </c>
      <c r="G1659" s="6">
        <f>IF($J1659="","",IF($J1659&lt;=1500,N(INDEX('Daily Sale entry '!$AD$1:$AD$1501,$J1659+1)),0))</f>
        <v/>
      </c>
      <c r="H1659" s="6">
        <f>IF($J1659="","",ROUND('Opening Balance'!$B$4+SUM($F$2:F1659)-SUM($G$2:G1659),2))</f>
        <v/>
      </c>
      <c r="J1659" s="21">
        <f>IFERROR(MATCH(ROW()-1,$L$2:$L$3001,0),"")</f>
        <v/>
      </c>
      <c r="K1659" s="34">
        <f>IF(AND('Daily Sale entry '!Q159="Collection 收款",'Daily Sale entry '!R159="Cheque 支票",'Daily Sale entry '!V159&lt;&gt;""),'Daily Sale entry '!V159+ROW()/10000000,"")</f>
        <v/>
      </c>
      <c r="L1659" s="21">
        <f>IF(K1659="","",COUNTIF($K$2:$K$3001,"&lt;"&amp;K1659)+1)</f>
        <v/>
      </c>
    </row>
    <row r="1660">
      <c r="A1660" s="5">
        <f>IF($J1660="","",IF($J1660&lt;=1500,INDEX('Daily Sale entry '!$X$1:$X$1501,$J1660+1),INDEX('Daily Sale entry '!$V$1:$V$1501,$J1660-1499)))</f>
        <v/>
      </c>
      <c r="B1660">
        <f>IF($J1660="","",IF($J1660&lt;=1500,INDEX('Daily Sale entry '!$Y$1:$Y$1501,$J1660+1)&amp;"","Buyer cheque banked 买家支票存入"&amp;IF(INDEX('Daily Sale entry '!$U$1:$U$1501,$J1660-1499)="","", " - "&amp;INDEX('Daily Sale entry '!$U$1:$U$1501,$J1660-1499))))</f>
        <v/>
      </c>
      <c r="C1660">
        <f>IF($J1660="","",IF($J1660&lt;=1500,INDEX('Daily Sale entry '!$Z$1:$Z$1501,$J1660+1)&amp;"","Cheque deposit 支票存入 (buyer 买家)"))</f>
        <v/>
      </c>
      <c r="D1660">
        <f>IF($J1660="","",IF($J1660&lt;=1500,INDEX('Daily Sale entry '!$AA$1:$AA$1501,$J1660+1)&amp;"",INDEX('Daily Sale entry '!$P$1:$P$1501,$J1660-1499)&amp;""))</f>
        <v/>
      </c>
      <c r="E1660">
        <f>IF($J1660="","",IF($J1660&lt;=1500,IF(N(INDEX('Daily Sale entry '!$AB$1:$AB$1501,$J1660+1))=0,"",INDEX('Daily Sale entry '!$AB$1:$AB$1501,$J1660+1)),1))</f>
        <v/>
      </c>
      <c r="F1660" s="6">
        <f>IF($J1660="","",IF($J1660&lt;=1500,N(INDEX('Daily Sale entry '!$AC$1:$AC$1501,$J1660+1))-IF(AND('Opening Balance'!$B$15=1,INDEX('Daily Sale entry '!$Z$1:$Z$1501,$J1660+1)="Online collection 网上收款",INDEX('Daily Sale entry '!$AA$1:$AA$1501,$J1660+1)&lt;&gt;""),N(INDEX('Daily Sale entry '!$AC$1:$AC$1501,$J1660+1))-TRUNC(N(INDEX('Daily Sale entry '!$AC$1:$AC$1501,$J1660+1))),0),N(INDEX('Daily Sale entry '!$S$1:$S$1501,$J1660-1499))-'Opening Balance'!$B$15*(N(INDEX('Daily Sale entry '!$S$1:$S$1501,$J1660-1499))-TRUNC(N(INDEX('Daily Sale entry '!$S$1:$S$1501,$J1660-1499))))))</f>
        <v/>
      </c>
      <c r="G1660" s="6">
        <f>IF($J1660="","",IF($J1660&lt;=1500,N(INDEX('Daily Sale entry '!$AD$1:$AD$1501,$J1660+1)),0))</f>
        <v/>
      </c>
      <c r="H1660" s="6">
        <f>IF($J1660="","",ROUND('Opening Balance'!$B$4+SUM($F$2:F1660)-SUM($G$2:G1660),2))</f>
        <v/>
      </c>
      <c r="J1660" s="21">
        <f>IFERROR(MATCH(ROW()-1,$L$2:$L$3001,0),"")</f>
        <v/>
      </c>
      <c r="K1660" s="34">
        <f>IF(AND('Daily Sale entry '!Q160="Collection 收款",'Daily Sale entry '!R160="Cheque 支票",'Daily Sale entry '!V160&lt;&gt;""),'Daily Sale entry '!V160+ROW()/10000000,"")</f>
        <v/>
      </c>
      <c r="L1660" s="21">
        <f>IF(K1660="","",COUNTIF($K$2:$K$3001,"&lt;"&amp;K1660)+1)</f>
        <v/>
      </c>
    </row>
    <row r="1661">
      <c r="A1661" s="5">
        <f>IF($J1661="","",IF($J1661&lt;=1500,INDEX('Daily Sale entry '!$X$1:$X$1501,$J1661+1),INDEX('Daily Sale entry '!$V$1:$V$1501,$J1661-1499)))</f>
        <v/>
      </c>
      <c r="B1661">
        <f>IF($J1661="","",IF($J1661&lt;=1500,INDEX('Daily Sale entry '!$Y$1:$Y$1501,$J1661+1)&amp;"","Buyer cheque banked 买家支票存入"&amp;IF(INDEX('Daily Sale entry '!$U$1:$U$1501,$J1661-1499)="","", " - "&amp;INDEX('Daily Sale entry '!$U$1:$U$1501,$J1661-1499))))</f>
        <v/>
      </c>
      <c r="C1661">
        <f>IF($J1661="","",IF($J1661&lt;=1500,INDEX('Daily Sale entry '!$Z$1:$Z$1501,$J1661+1)&amp;"","Cheque deposit 支票存入 (buyer 买家)"))</f>
        <v/>
      </c>
      <c r="D1661">
        <f>IF($J1661="","",IF($J1661&lt;=1500,INDEX('Daily Sale entry '!$AA$1:$AA$1501,$J1661+1)&amp;"",INDEX('Daily Sale entry '!$P$1:$P$1501,$J1661-1499)&amp;""))</f>
        <v/>
      </c>
      <c r="E1661">
        <f>IF($J1661="","",IF($J1661&lt;=1500,IF(N(INDEX('Daily Sale entry '!$AB$1:$AB$1501,$J1661+1))=0,"",INDEX('Daily Sale entry '!$AB$1:$AB$1501,$J1661+1)),1))</f>
        <v/>
      </c>
      <c r="F1661" s="6">
        <f>IF($J1661="","",IF($J1661&lt;=1500,N(INDEX('Daily Sale entry '!$AC$1:$AC$1501,$J1661+1))-IF(AND('Opening Balance'!$B$15=1,INDEX('Daily Sale entry '!$Z$1:$Z$1501,$J1661+1)="Online collection 网上收款",INDEX('Daily Sale entry '!$AA$1:$AA$1501,$J1661+1)&lt;&gt;""),N(INDEX('Daily Sale entry '!$AC$1:$AC$1501,$J1661+1))-TRUNC(N(INDEX('Daily Sale entry '!$AC$1:$AC$1501,$J1661+1))),0),N(INDEX('Daily Sale entry '!$S$1:$S$1501,$J1661-1499))-'Opening Balance'!$B$15*(N(INDEX('Daily Sale entry '!$S$1:$S$1501,$J1661-1499))-TRUNC(N(INDEX('Daily Sale entry '!$S$1:$S$1501,$J1661-1499))))))</f>
        <v/>
      </c>
      <c r="G1661" s="6">
        <f>IF($J1661="","",IF($J1661&lt;=1500,N(INDEX('Daily Sale entry '!$AD$1:$AD$1501,$J1661+1)),0))</f>
        <v/>
      </c>
      <c r="H1661" s="6">
        <f>IF($J1661="","",ROUND('Opening Balance'!$B$4+SUM($F$2:F1661)-SUM($G$2:G1661),2))</f>
        <v/>
      </c>
      <c r="J1661" s="21">
        <f>IFERROR(MATCH(ROW()-1,$L$2:$L$3001,0),"")</f>
        <v/>
      </c>
      <c r="K1661" s="34">
        <f>IF(AND('Daily Sale entry '!Q161="Collection 收款",'Daily Sale entry '!R161="Cheque 支票",'Daily Sale entry '!V161&lt;&gt;""),'Daily Sale entry '!V161+ROW()/10000000,"")</f>
        <v/>
      </c>
      <c r="L1661" s="21">
        <f>IF(K1661="","",COUNTIF($K$2:$K$3001,"&lt;"&amp;K1661)+1)</f>
        <v/>
      </c>
    </row>
    <row r="1662">
      <c r="A1662" s="5">
        <f>IF($J1662="","",IF($J1662&lt;=1500,INDEX('Daily Sale entry '!$X$1:$X$1501,$J1662+1),INDEX('Daily Sale entry '!$V$1:$V$1501,$J1662-1499)))</f>
        <v/>
      </c>
      <c r="B1662">
        <f>IF($J1662="","",IF($J1662&lt;=1500,INDEX('Daily Sale entry '!$Y$1:$Y$1501,$J1662+1)&amp;"","Buyer cheque banked 买家支票存入"&amp;IF(INDEX('Daily Sale entry '!$U$1:$U$1501,$J1662-1499)="","", " - "&amp;INDEX('Daily Sale entry '!$U$1:$U$1501,$J1662-1499))))</f>
        <v/>
      </c>
      <c r="C1662">
        <f>IF($J1662="","",IF($J1662&lt;=1500,INDEX('Daily Sale entry '!$Z$1:$Z$1501,$J1662+1)&amp;"","Cheque deposit 支票存入 (buyer 买家)"))</f>
        <v/>
      </c>
      <c r="D1662">
        <f>IF($J1662="","",IF($J1662&lt;=1500,INDEX('Daily Sale entry '!$AA$1:$AA$1501,$J1662+1)&amp;"",INDEX('Daily Sale entry '!$P$1:$P$1501,$J1662-1499)&amp;""))</f>
        <v/>
      </c>
      <c r="E1662">
        <f>IF($J1662="","",IF($J1662&lt;=1500,IF(N(INDEX('Daily Sale entry '!$AB$1:$AB$1501,$J1662+1))=0,"",INDEX('Daily Sale entry '!$AB$1:$AB$1501,$J1662+1)),1))</f>
        <v/>
      </c>
      <c r="F1662" s="6">
        <f>IF($J1662="","",IF($J1662&lt;=1500,N(INDEX('Daily Sale entry '!$AC$1:$AC$1501,$J1662+1))-IF(AND('Opening Balance'!$B$15=1,INDEX('Daily Sale entry '!$Z$1:$Z$1501,$J1662+1)="Online collection 网上收款",INDEX('Daily Sale entry '!$AA$1:$AA$1501,$J1662+1)&lt;&gt;""),N(INDEX('Daily Sale entry '!$AC$1:$AC$1501,$J1662+1))-TRUNC(N(INDEX('Daily Sale entry '!$AC$1:$AC$1501,$J1662+1))),0),N(INDEX('Daily Sale entry '!$S$1:$S$1501,$J1662-1499))-'Opening Balance'!$B$15*(N(INDEX('Daily Sale entry '!$S$1:$S$1501,$J1662-1499))-TRUNC(N(INDEX('Daily Sale entry '!$S$1:$S$1501,$J1662-1499))))))</f>
        <v/>
      </c>
      <c r="G1662" s="6">
        <f>IF($J1662="","",IF($J1662&lt;=1500,N(INDEX('Daily Sale entry '!$AD$1:$AD$1501,$J1662+1)),0))</f>
        <v/>
      </c>
      <c r="H1662" s="6">
        <f>IF($J1662="","",ROUND('Opening Balance'!$B$4+SUM($F$2:F1662)-SUM($G$2:G1662),2))</f>
        <v/>
      </c>
      <c r="J1662" s="21">
        <f>IFERROR(MATCH(ROW()-1,$L$2:$L$3001,0),"")</f>
        <v/>
      </c>
      <c r="K1662" s="34">
        <f>IF(AND('Daily Sale entry '!Q162="Collection 收款",'Daily Sale entry '!R162="Cheque 支票",'Daily Sale entry '!V162&lt;&gt;""),'Daily Sale entry '!V162+ROW()/10000000,"")</f>
        <v/>
      </c>
      <c r="L1662" s="21">
        <f>IF(K1662="","",COUNTIF($K$2:$K$3001,"&lt;"&amp;K1662)+1)</f>
        <v/>
      </c>
    </row>
    <row r="1663">
      <c r="A1663" s="5">
        <f>IF($J1663="","",IF($J1663&lt;=1500,INDEX('Daily Sale entry '!$X$1:$X$1501,$J1663+1),INDEX('Daily Sale entry '!$V$1:$V$1501,$J1663-1499)))</f>
        <v/>
      </c>
      <c r="B1663">
        <f>IF($J1663="","",IF($J1663&lt;=1500,INDEX('Daily Sale entry '!$Y$1:$Y$1501,$J1663+1)&amp;"","Buyer cheque banked 买家支票存入"&amp;IF(INDEX('Daily Sale entry '!$U$1:$U$1501,$J1663-1499)="","", " - "&amp;INDEX('Daily Sale entry '!$U$1:$U$1501,$J1663-1499))))</f>
        <v/>
      </c>
      <c r="C1663">
        <f>IF($J1663="","",IF($J1663&lt;=1500,INDEX('Daily Sale entry '!$Z$1:$Z$1501,$J1663+1)&amp;"","Cheque deposit 支票存入 (buyer 买家)"))</f>
        <v/>
      </c>
      <c r="D1663">
        <f>IF($J1663="","",IF($J1663&lt;=1500,INDEX('Daily Sale entry '!$AA$1:$AA$1501,$J1663+1)&amp;"",INDEX('Daily Sale entry '!$P$1:$P$1501,$J1663-1499)&amp;""))</f>
        <v/>
      </c>
      <c r="E1663">
        <f>IF($J1663="","",IF($J1663&lt;=1500,IF(N(INDEX('Daily Sale entry '!$AB$1:$AB$1501,$J1663+1))=0,"",INDEX('Daily Sale entry '!$AB$1:$AB$1501,$J1663+1)),1))</f>
        <v/>
      </c>
      <c r="F1663" s="6">
        <f>IF($J1663="","",IF($J1663&lt;=1500,N(INDEX('Daily Sale entry '!$AC$1:$AC$1501,$J1663+1))-IF(AND('Opening Balance'!$B$15=1,INDEX('Daily Sale entry '!$Z$1:$Z$1501,$J1663+1)="Online collection 网上收款",INDEX('Daily Sale entry '!$AA$1:$AA$1501,$J1663+1)&lt;&gt;""),N(INDEX('Daily Sale entry '!$AC$1:$AC$1501,$J1663+1))-TRUNC(N(INDEX('Daily Sale entry '!$AC$1:$AC$1501,$J1663+1))),0),N(INDEX('Daily Sale entry '!$S$1:$S$1501,$J1663-1499))-'Opening Balance'!$B$15*(N(INDEX('Daily Sale entry '!$S$1:$S$1501,$J1663-1499))-TRUNC(N(INDEX('Daily Sale entry '!$S$1:$S$1501,$J1663-1499))))))</f>
        <v/>
      </c>
      <c r="G1663" s="6">
        <f>IF($J1663="","",IF($J1663&lt;=1500,N(INDEX('Daily Sale entry '!$AD$1:$AD$1501,$J1663+1)),0))</f>
        <v/>
      </c>
      <c r="H1663" s="6">
        <f>IF($J1663="","",ROUND('Opening Balance'!$B$4+SUM($F$2:F1663)-SUM($G$2:G1663),2))</f>
        <v/>
      </c>
      <c r="J1663" s="21">
        <f>IFERROR(MATCH(ROW()-1,$L$2:$L$3001,0),"")</f>
        <v/>
      </c>
      <c r="K1663" s="34">
        <f>IF(AND('Daily Sale entry '!Q163="Collection 收款",'Daily Sale entry '!R163="Cheque 支票",'Daily Sale entry '!V163&lt;&gt;""),'Daily Sale entry '!V163+ROW()/10000000,"")</f>
        <v/>
      </c>
      <c r="L1663" s="21">
        <f>IF(K1663="","",COUNTIF($K$2:$K$3001,"&lt;"&amp;K1663)+1)</f>
        <v/>
      </c>
    </row>
    <row r="1664">
      <c r="A1664" s="5">
        <f>IF($J1664="","",IF($J1664&lt;=1500,INDEX('Daily Sale entry '!$X$1:$X$1501,$J1664+1),INDEX('Daily Sale entry '!$V$1:$V$1501,$J1664-1499)))</f>
        <v/>
      </c>
      <c r="B1664">
        <f>IF($J1664="","",IF($J1664&lt;=1500,INDEX('Daily Sale entry '!$Y$1:$Y$1501,$J1664+1)&amp;"","Buyer cheque banked 买家支票存入"&amp;IF(INDEX('Daily Sale entry '!$U$1:$U$1501,$J1664-1499)="","", " - "&amp;INDEX('Daily Sale entry '!$U$1:$U$1501,$J1664-1499))))</f>
        <v/>
      </c>
      <c r="C1664">
        <f>IF($J1664="","",IF($J1664&lt;=1500,INDEX('Daily Sale entry '!$Z$1:$Z$1501,$J1664+1)&amp;"","Cheque deposit 支票存入 (buyer 买家)"))</f>
        <v/>
      </c>
      <c r="D1664">
        <f>IF($J1664="","",IF($J1664&lt;=1500,INDEX('Daily Sale entry '!$AA$1:$AA$1501,$J1664+1)&amp;"",INDEX('Daily Sale entry '!$P$1:$P$1501,$J1664-1499)&amp;""))</f>
        <v/>
      </c>
      <c r="E1664">
        <f>IF($J1664="","",IF($J1664&lt;=1500,IF(N(INDEX('Daily Sale entry '!$AB$1:$AB$1501,$J1664+1))=0,"",INDEX('Daily Sale entry '!$AB$1:$AB$1501,$J1664+1)),1))</f>
        <v/>
      </c>
      <c r="F1664" s="6">
        <f>IF($J1664="","",IF($J1664&lt;=1500,N(INDEX('Daily Sale entry '!$AC$1:$AC$1501,$J1664+1))-IF(AND('Opening Balance'!$B$15=1,INDEX('Daily Sale entry '!$Z$1:$Z$1501,$J1664+1)="Online collection 网上收款",INDEX('Daily Sale entry '!$AA$1:$AA$1501,$J1664+1)&lt;&gt;""),N(INDEX('Daily Sale entry '!$AC$1:$AC$1501,$J1664+1))-TRUNC(N(INDEX('Daily Sale entry '!$AC$1:$AC$1501,$J1664+1))),0),N(INDEX('Daily Sale entry '!$S$1:$S$1501,$J1664-1499))-'Opening Balance'!$B$15*(N(INDEX('Daily Sale entry '!$S$1:$S$1501,$J1664-1499))-TRUNC(N(INDEX('Daily Sale entry '!$S$1:$S$1501,$J1664-1499))))))</f>
        <v/>
      </c>
      <c r="G1664" s="6">
        <f>IF($J1664="","",IF($J1664&lt;=1500,N(INDEX('Daily Sale entry '!$AD$1:$AD$1501,$J1664+1)),0))</f>
        <v/>
      </c>
      <c r="H1664" s="6">
        <f>IF($J1664="","",ROUND('Opening Balance'!$B$4+SUM($F$2:F1664)-SUM($G$2:G1664),2))</f>
        <v/>
      </c>
      <c r="J1664" s="21">
        <f>IFERROR(MATCH(ROW()-1,$L$2:$L$3001,0),"")</f>
        <v/>
      </c>
      <c r="K1664" s="34">
        <f>IF(AND('Daily Sale entry '!Q164="Collection 收款",'Daily Sale entry '!R164="Cheque 支票",'Daily Sale entry '!V164&lt;&gt;""),'Daily Sale entry '!V164+ROW()/10000000,"")</f>
        <v/>
      </c>
      <c r="L1664" s="21">
        <f>IF(K1664="","",COUNTIF($K$2:$K$3001,"&lt;"&amp;K1664)+1)</f>
        <v/>
      </c>
    </row>
    <row r="1665">
      <c r="A1665" s="5">
        <f>IF($J1665="","",IF($J1665&lt;=1500,INDEX('Daily Sale entry '!$X$1:$X$1501,$J1665+1),INDEX('Daily Sale entry '!$V$1:$V$1501,$J1665-1499)))</f>
        <v/>
      </c>
      <c r="B1665">
        <f>IF($J1665="","",IF($J1665&lt;=1500,INDEX('Daily Sale entry '!$Y$1:$Y$1501,$J1665+1)&amp;"","Buyer cheque banked 买家支票存入"&amp;IF(INDEX('Daily Sale entry '!$U$1:$U$1501,$J1665-1499)="","", " - "&amp;INDEX('Daily Sale entry '!$U$1:$U$1501,$J1665-1499))))</f>
        <v/>
      </c>
      <c r="C1665">
        <f>IF($J1665="","",IF($J1665&lt;=1500,INDEX('Daily Sale entry '!$Z$1:$Z$1501,$J1665+1)&amp;"","Cheque deposit 支票存入 (buyer 买家)"))</f>
        <v/>
      </c>
      <c r="D1665">
        <f>IF($J1665="","",IF($J1665&lt;=1500,INDEX('Daily Sale entry '!$AA$1:$AA$1501,$J1665+1)&amp;"",INDEX('Daily Sale entry '!$P$1:$P$1501,$J1665-1499)&amp;""))</f>
        <v/>
      </c>
      <c r="E1665">
        <f>IF($J1665="","",IF($J1665&lt;=1500,IF(N(INDEX('Daily Sale entry '!$AB$1:$AB$1501,$J1665+1))=0,"",INDEX('Daily Sale entry '!$AB$1:$AB$1501,$J1665+1)),1))</f>
        <v/>
      </c>
      <c r="F1665" s="6">
        <f>IF($J1665="","",IF($J1665&lt;=1500,N(INDEX('Daily Sale entry '!$AC$1:$AC$1501,$J1665+1))-IF(AND('Opening Balance'!$B$15=1,INDEX('Daily Sale entry '!$Z$1:$Z$1501,$J1665+1)="Online collection 网上收款",INDEX('Daily Sale entry '!$AA$1:$AA$1501,$J1665+1)&lt;&gt;""),N(INDEX('Daily Sale entry '!$AC$1:$AC$1501,$J1665+1))-TRUNC(N(INDEX('Daily Sale entry '!$AC$1:$AC$1501,$J1665+1))),0),N(INDEX('Daily Sale entry '!$S$1:$S$1501,$J1665-1499))-'Opening Balance'!$B$15*(N(INDEX('Daily Sale entry '!$S$1:$S$1501,$J1665-1499))-TRUNC(N(INDEX('Daily Sale entry '!$S$1:$S$1501,$J1665-1499))))))</f>
        <v/>
      </c>
      <c r="G1665" s="6">
        <f>IF($J1665="","",IF($J1665&lt;=1500,N(INDEX('Daily Sale entry '!$AD$1:$AD$1501,$J1665+1)),0))</f>
        <v/>
      </c>
      <c r="H1665" s="6">
        <f>IF($J1665="","",ROUND('Opening Balance'!$B$4+SUM($F$2:F1665)-SUM($G$2:G1665),2))</f>
        <v/>
      </c>
      <c r="J1665" s="21">
        <f>IFERROR(MATCH(ROW()-1,$L$2:$L$3001,0),"")</f>
        <v/>
      </c>
      <c r="K1665" s="34">
        <f>IF(AND('Daily Sale entry '!Q165="Collection 收款",'Daily Sale entry '!R165="Cheque 支票",'Daily Sale entry '!V165&lt;&gt;""),'Daily Sale entry '!V165+ROW()/10000000,"")</f>
        <v/>
      </c>
      <c r="L1665" s="21">
        <f>IF(K1665="","",COUNTIF($K$2:$K$3001,"&lt;"&amp;K1665)+1)</f>
        <v/>
      </c>
    </row>
    <row r="1666">
      <c r="A1666" s="5">
        <f>IF($J1666="","",IF($J1666&lt;=1500,INDEX('Daily Sale entry '!$X$1:$X$1501,$J1666+1),INDEX('Daily Sale entry '!$V$1:$V$1501,$J1666-1499)))</f>
        <v/>
      </c>
      <c r="B1666">
        <f>IF($J1666="","",IF($J1666&lt;=1500,INDEX('Daily Sale entry '!$Y$1:$Y$1501,$J1666+1)&amp;"","Buyer cheque banked 买家支票存入"&amp;IF(INDEX('Daily Sale entry '!$U$1:$U$1501,$J1666-1499)="","", " - "&amp;INDEX('Daily Sale entry '!$U$1:$U$1501,$J1666-1499))))</f>
        <v/>
      </c>
      <c r="C1666">
        <f>IF($J1666="","",IF($J1666&lt;=1500,INDEX('Daily Sale entry '!$Z$1:$Z$1501,$J1666+1)&amp;"","Cheque deposit 支票存入 (buyer 买家)"))</f>
        <v/>
      </c>
      <c r="D1666">
        <f>IF($J1666="","",IF($J1666&lt;=1500,INDEX('Daily Sale entry '!$AA$1:$AA$1501,$J1666+1)&amp;"",INDEX('Daily Sale entry '!$P$1:$P$1501,$J1666-1499)&amp;""))</f>
        <v/>
      </c>
      <c r="E1666">
        <f>IF($J1666="","",IF($J1666&lt;=1500,IF(N(INDEX('Daily Sale entry '!$AB$1:$AB$1501,$J1666+1))=0,"",INDEX('Daily Sale entry '!$AB$1:$AB$1501,$J1666+1)),1))</f>
        <v/>
      </c>
      <c r="F1666" s="6">
        <f>IF($J1666="","",IF($J1666&lt;=1500,N(INDEX('Daily Sale entry '!$AC$1:$AC$1501,$J1666+1))-IF(AND('Opening Balance'!$B$15=1,INDEX('Daily Sale entry '!$Z$1:$Z$1501,$J1666+1)="Online collection 网上收款",INDEX('Daily Sale entry '!$AA$1:$AA$1501,$J1666+1)&lt;&gt;""),N(INDEX('Daily Sale entry '!$AC$1:$AC$1501,$J1666+1))-TRUNC(N(INDEX('Daily Sale entry '!$AC$1:$AC$1501,$J1666+1))),0),N(INDEX('Daily Sale entry '!$S$1:$S$1501,$J1666-1499))-'Opening Balance'!$B$15*(N(INDEX('Daily Sale entry '!$S$1:$S$1501,$J1666-1499))-TRUNC(N(INDEX('Daily Sale entry '!$S$1:$S$1501,$J1666-1499))))))</f>
        <v/>
      </c>
      <c r="G1666" s="6">
        <f>IF($J1666="","",IF($J1666&lt;=1500,N(INDEX('Daily Sale entry '!$AD$1:$AD$1501,$J1666+1)),0))</f>
        <v/>
      </c>
      <c r="H1666" s="6">
        <f>IF($J1666="","",ROUND('Opening Balance'!$B$4+SUM($F$2:F1666)-SUM($G$2:G1666),2))</f>
        <v/>
      </c>
      <c r="J1666" s="21">
        <f>IFERROR(MATCH(ROW()-1,$L$2:$L$3001,0),"")</f>
        <v/>
      </c>
      <c r="K1666" s="34">
        <f>IF(AND('Daily Sale entry '!Q166="Collection 收款",'Daily Sale entry '!R166="Cheque 支票",'Daily Sale entry '!V166&lt;&gt;""),'Daily Sale entry '!V166+ROW()/10000000,"")</f>
        <v/>
      </c>
      <c r="L1666" s="21">
        <f>IF(K1666="","",COUNTIF($K$2:$K$3001,"&lt;"&amp;K1666)+1)</f>
        <v/>
      </c>
    </row>
    <row r="1667">
      <c r="A1667" s="5">
        <f>IF($J1667="","",IF($J1667&lt;=1500,INDEX('Daily Sale entry '!$X$1:$X$1501,$J1667+1),INDEX('Daily Sale entry '!$V$1:$V$1501,$J1667-1499)))</f>
        <v/>
      </c>
      <c r="B1667">
        <f>IF($J1667="","",IF($J1667&lt;=1500,INDEX('Daily Sale entry '!$Y$1:$Y$1501,$J1667+1)&amp;"","Buyer cheque banked 买家支票存入"&amp;IF(INDEX('Daily Sale entry '!$U$1:$U$1501,$J1667-1499)="","", " - "&amp;INDEX('Daily Sale entry '!$U$1:$U$1501,$J1667-1499))))</f>
        <v/>
      </c>
      <c r="C1667">
        <f>IF($J1667="","",IF($J1667&lt;=1500,INDEX('Daily Sale entry '!$Z$1:$Z$1501,$J1667+1)&amp;"","Cheque deposit 支票存入 (buyer 买家)"))</f>
        <v/>
      </c>
      <c r="D1667">
        <f>IF($J1667="","",IF($J1667&lt;=1500,INDEX('Daily Sale entry '!$AA$1:$AA$1501,$J1667+1)&amp;"",INDEX('Daily Sale entry '!$P$1:$P$1501,$J1667-1499)&amp;""))</f>
        <v/>
      </c>
      <c r="E1667">
        <f>IF($J1667="","",IF($J1667&lt;=1500,IF(N(INDEX('Daily Sale entry '!$AB$1:$AB$1501,$J1667+1))=0,"",INDEX('Daily Sale entry '!$AB$1:$AB$1501,$J1667+1)),1))</f>
        <v/>
      </c>
      <c r="F1667" s="6">
        <f>IF($J1667="","",IF($J1667&lt;=1500,N(INDEX('Daily Sale entry '!$AC$1:$AC$1501,$J1667+1))-IF(AND('Opening Balance'!$B$15=1,INDEX('Daily Sale entry '!$Z$1:$Z$1501,$J1667+1)="Online collection 网上收款",INDEX('Daily Sale entry '!$AA$1:$AA$1501,$J1667+1)&lt;&gt;""),N(INDEX('Daily Sale entry '!$AC$1:$AC$1501,$J1667+1))-TRUNC(N(INDEX('Daily Sale entry '!$AC$1:$AC$1501,$J1667+1))),0),N(INDEX('Daily Sale entry '!$S$1:$S$1501,$J1667-1499))-'Opening Balance'!$B$15*(N(INDEX('Daily Sale entry '!$S$1:$S$1501,$J1667-1499))-TRUNC(N(INDEX('Daily Sale entry '!$S$1:$S$1501,$J1667-1499))))))</f>
        <v/>
      </c>
      <c r="G1667" s="6">
        <f>IF($J1667="","",IF($J1667&lt;=1500,N(INDEX('Daily Sale entry '!$AD$1:$AD$1501,$J1667+1)),0))</f>
        <v/>
      </c>
      <c r="H1667" s="6">
        <f>IF($J1667="","",ROUND('Opening Balance'!$B$4+SUM($F$2:F1667)-SUM($G$2:G1667),2))</f>
        <v/>
      </c>
      <c r="J1667" s="21">
        <f>IFERROR(MATCH(ROW()-1,$L$2:$L$3001,0),"")</f>
        <v/>
      </c>
      <c r="K1667" s="34">
        <f>IF(AND('Daily Sale entry '!Q167="Collection 收款",'Daily Sale entry '!R167="Cheque 支票",'Daily Sale entry '!V167&lt;&gt;""),'Daily Sale entry '!V167+ROW()/10000000,"")</f>
        <v/>
      </c>
      <c r="L1667" s="21">
        <f>IF(K1667="","",COUNTIF($K$2:$K$3001,"&lt;"&amp;K1667)+1)</f>
        <v/>
      </c>
    </row>
    <row r="1668">
      <c r="A1668" s="5">
        <f>IF($J1668="","",IF($J1668&lt;=1500,INDEX('Daily Sale entry '!$X$1:$X$1501,$J1668+1),INDEX('Daily Sale entry '!$V$1:$V$1501,$J1668-1499)))</f>
        <v/>
      </c>
      <c r="B1668">
        <f>IF($J1668="","",IF($J1668&lt;=1500,INDEX('Daily Sale entry '!$Y$1:$Y$1501,$J1668+1)&amp;"","Buyer cheque banked 买家支票存入"&amp;IF(INDEX('Daily Sale entry '!$U$1:$U$1501,$J1668-1499)="","", " - "&amp;INDEX('Daily Sale entry '!$U$1:$U$1501,$J1668-1499))))</f>
        <v/>
      </c>
      <c r="C1668">
        <f>IF($J1668="","",IF($J1668&lt;=1500,INDEX('Daily Sale entry '!$Z$1:$Z$1501,$J1668+1)&amp;"","Cheque deposit 支票存入 (buyer 买家)"))</f>
        <v/>
      </c>
      <c r="D1668">
        <f>IF($J1668="","",IF($J1668&lt;=1500,INDEX('Daily Sale entry '!$AA$1:$AA$1501,$J1668+1)&amp;"",INDEX('Daily Sale entry '!$P$1:$P$1501,$J1668-1499)&amp;""))</f>
        <v/>
      </c>
      <c r="E1668">
        <f>IF($J1668="","",IF($J1668&lt;=1500,IF(N(INDEX('Daily Sale entry '!$AB$1:$AB$1501,$J1668+1))=0,"",INDEX('Daily Sale entry '!$AB$1:$AB$1501,$J1668+1)),1))</f>
        <v/>
      </c>
      <c r="F1668" s="6">
        <f>IF($J1668="","",IF($J1668&lt;=1500,N(INDEX('Daily Sale entry '!$AC$1:$AC$1501,$J1668+1))-IF(AND('Opening Balance'!$B$15=1,INDEX('Daily Sale entry '!$Z$1:$Z$1501,$J1668+1)="Online collection 网上收款",INDEX('Daily Sale entry '!$AA$1:$AA$1501,$J1668+1)&lt;&gt;""),N(INDEX('Daily Sale entry '!$AC$1:$AC$1501,$J1668+1))-TRUNC(N(INDEX('Daily Sale entry '!$AC$1:$AC$1501,$J1668+1))),0),N(INDEX('Daily Sale entry '!$S$1:$S$1501,$J1668-1499))-'Opening Balance'!$B$15*(N(INDEX('Daily Sale entry '!$S$1:$S$1501,$J1668-1499))-TRUNC(N(INDEX('Daily Sale entry '!$S$1:$S$1501,$J1668-1499))))))</f>
        <v/>
      </c>
      <c r="G1668" s="6">
        <f>IF($J1668="","",IF($J1668&lt;=1500,N(INDEX('Daily Sale entry '!$AD$1:$AD$1501,$J1668+1)),0))</f>
        <v/>
      </c>
      <c r="H1668" s="6">
        <f>IF($J1668="","",ROUND('Opening Balance'!$B$4+SUM($F$2:F1668)-SUM($G$2:G1668),2))</f>
        <v/>
      </c>
      <c r="J1668" s="21">
        <f>IFERROR(MATCH(ROW()-1,$L$2:$L$3001,0),"")</f>
        <v/>
      </c>
      <c r="K1668" s="34">
        <f>IF(AND('Daily Sale entry '!Q168="Collection 收款",'Daily Sale entry '!R168="Cheque 支票",'Daily Sale entry '!V168&lt;&gt;""),'Daily Sale entry '!V168+ROW()/10000000,"")</f>
        <v/>
      </c>
      <c r="L1668" s="21">
        <f>IF(K1668="","",COUNTIF($K$2:$K$3001,"&lt;"&amp;K1668)+1)</f>
        <v/>
      </c>
    </row>
    <row r="1669">
      <c r="A1669" s="5">
        <f>IF($J1669="","",IF($J1669&lt;=1500,INDEX('Daily Sale entry '!$X$1:$X$1501,$J1669+1),INDEX('Daily Sale entry '!$V$1:$V$1501,$J1669-1499)))</f>
        <v/>
      </c>
      <c r="B1669">
        <f>IF($J1669="","",IF($J1669&lt;=1500,INDEX('Daily Sale entry '!$Y$1:$Y$1501,$J1669+1)&amp;"","Buyer cheque banked 买家支票存入"&amp;IF(INDEX('Daily Sale entry '!$U$1:$U$1501,$J1669-1499)="","", " - "&amp;INDEX('Daily Sale entry '!$U$1:$U$1501,$J1669-1499))))</f>
        <v/>
      </c>
      <c r="C1669">
        <f>IF($J1669="","",IF($J1669&lt;=1500,INDEX('Daily Sale entry '!$Z$1:$Z$1501,$J1669+1)&amp;"","Cheque deposit 支票存入 (buyer 买家)"))</f>
        <v/>
      </c>
      <c r="D1669">
        <f>IF($J1669="","",IF($J1669&lt;=1500,INDEX('Daily Sale entry '!$AA$1:$AA$1501,$J1669+1)&amp;"",INDEX('Daily Sale entry '!$P$1:$P$1501,$J1669-1499)&amp;""))</f>
        <v/>
      </c>
      <c r="E1669">
        <f>IF($J1669="","",IF($J1669&lt;=1500,IF(N(INDEX('Daily Sale entry '!$AB$1:$AB$1501,$J1669+1))=0,"",INDEX('Daily Sale entry '!$AB$1:$AB$1501,$J1669+1)),1))</f>
        <v/>
      </c>
      <c r="F1669" s="6">
        <f>IF($J1669="","",IF($J1669&lt;=1500,N(INDEX('Daily Sale entry '!$AC$1:$AC$1501,$J1669+1))-IF(AND('Opening Balance'!$B$15=1,INDEX('Daily Sale entry '!$Z$1:$Z$1501,$J1669+1)="Online collection 网上收款",INDEX('Daily Sale entry '!$AA$1:$AA$1501,$J1669+1)&lt;&gt;""),N(INDEX('Daily Sale entry '!$AC$1:$AC$1501,$J1669+1))-TRUNC(N(INDEX('Daily Sale entry '!$AC$1:$AC$1501,$J1669+1))),0),N(INDEX('Daily Sale entry '!$S$1:$S$1501,$J1669-1499))-'Opening Balance'!$B$15*(N(INDEX('Daily Sale entry '!$S$1:$S$1501,$J1669-1499))-TRUNC(N(INDEX('Daily Sale entry '!$S$1:$S$1501,$J1669-1499))))))</f>
        <v/>
      </c>
      <c r="G1669" s="6">
        <f>IF($J1669="","",IF($J1669&lt;=1500,N(INDEX('Daily Sale entry '!$AD$1:$AD$1501,$J1669+1)),0))</f>
        <v/>
      </c>
      <c r="H1669" s="6">
        <f>IF($J1669="","",ROUND('Opening Balance'!$B$4+SUM($F$2:F1669)-SUM($G$2:G1669),2))</f>
        <v/>
      </c>
      <c r="J1669" s="21">
        <f>IFERROR(MATCH(ROW()-1,$L$2:$L$3001,0),"")</f>
        <v/>
      </c>
      <c r="K1669" s="34">
        <f>IF(AND('Daily Sale entry '!Q169="Collection 收款",'Daily Sale entry '!R169="Cheque 支票",'Daily Sale entry '!V169&lt;&gt;""),'Daily Sale entry '!V169+ROW()/10000000,"")</f>
        <v/>
      </c>
      <c r="L1669" s="21">
        <f>IF(K1669="","",COUNTIF($K$2:$K$3001,"&lt;"&amp;K1669)+1)</f>
        <v/>
      </c>
    </row>
    <row r="1670">
      <c r="A1670" s="5">
        <f>IF($J1670="","",IF($J1670&lt;=1500,INDEX('Daily Sale entry '!$X$1:$X$1501,$J1670+1),INDEX('Daily Sale entry '!$V$1:$V$1501,$J1670-1499)))</f>
        <v/>
      </c>
      <c r="B1670">
        <f>IF($J1670="","",IF($J1670&lt;=1500,INDEX('Daily Sale entry '!$Y$1:$Y$1501,$J1670+1)&amp;"","Buyer cheque banked 买家支票存入"&amp;IF(INDEX('Daily Sale entry '!$U$1:$U$1501,$J1670-1499)="","", " - "&amp;INDEX('Daily Sale entry '!$U$1:$U$1501,$J1670-1499))))</f>
        <v/>
      </c>
      <c r="C1670">
        <f>IF($J1670="","",IF($J1670&lt;=1500,INDEX('Daily Sale entry '!$Z$1:$Z$1501,$J1670+1)&amp;"","Cheque deposit 支票存入 (buyer 买家)"))</f>
        <v/>
      </c>
      <c r="D1670">
        <f>IF($J1670="","",IF($J1670&lt;=1500,INDEX('Daily Sale entry '!$AA$1:$AA$1501,$J1670+1)&amp;"",INDEX('Daily Sale entry '!$P$1:$P$1501,$J1670-1499)&amp;""))</f>
        <v/>
      </c>
      <c r="E1670">
        <f>IF($J1670="","",IF($J1670&lt;=1500,IF(N(INDEX('Daily Sale entry '!$AB$1:$AB$1501,$J1670+1))=0,"",INDEX('Daily Sale entry '!$AB$1:$AB$1501,$J1670+1)),1))</f>
        <v/>
      </c>
      <c r="F1670" s="6">
        <f>IF($J1670="","",IF($J1670&lt;=1500,N(INDEX('Daily Sale entry '!$AC$1:$AC$1501,$J1670+1))-IF(AND('Opening Balance'!$B$15=1,INDEX('Daily Sale entry '!$Z$1:$Z$1501,$J1670+1)="Online collection 网上收款",INDEX('Daily Sale entry '!$AA$1:$AA$1501,$J1670+1)&lt;&gt;""),N(INDEX('Daily Sale entry '!$AC$1:$AC$1501,$J1670+1))-TRUNC(N(INDEX('Daily Sale entry '!$AC$1:$AC$1501,$J1670+1))),0),N(INDEX('Daily Sale entry '!$S$1:$S$1501,$J1670-1499))-'Opening Balance'!$B$15*(N(INDEX('Daily Sale entry '!$S$1:$S$1501,$J1670-1499))-TRUNC(N(INDEX('Daily Sale entry '!$S$1:$S$1501,$J1670-1499))))))</f>
        <v/>
      </c>
      <c r="G1670" s="6">
        <f>IF($J1670="","",IF($J1670&lt;=1500,N(INDEX('Daily Sale entry '!$AD$1:$AD$1501,$J1670+1)),0))</f>
        <v/>
      </c>
      <c r="H1670" s="6">
        <f>IF($J1670="","",ROUND('Opening Balance'!$B$4+SUM($F$2:F1670)-SUM($G$2:G1670),2))</f>
        <v/>
      </c>
      <c r="J1670" s="21">
        <f>IFERROR(MATCH(ROW()-1,$L$2:$L$3001,0),"")</f>
        <v/>
      </c>
      <c r="K1670" s="34">
        <f>IF(AND('Daily Sale entry '!Q170="Collection 收款",'Daily Sale entry '!R170="Cheque 支票",'Daily Sale entry '!V170&lt;&gt;""),'Daily Sale entry '!V170+ROW()/10000000,"")</f>
        <v/>
      </c>
      <c r="L1670" s="21">
        <f>IF(K1670="","",COUNTIF($K$2:$K$3001,"&lt;"&amp;K1670)+1)</f>
        <v/>
      </c>
    </row>
    <row r="1671">
      <c r="A1671" s="5">
        <f>IF($J1671="","",IF($J1671&lt;=1500,INDEX('Daily Sale entry '!$X$1:$X$1501,$J1671+1),INDEX('Daily Sale entry '!$V$1:$V$1501,$J1671-1499)))</f>
        <v/>
      </c>
      <c r="B1671">
        <f>IF($J1671="","",IF($J1671&lt;=1500,INDEX('Daily Sale entry '!$Y$1:$Y$1501,$J1671+1)&amp;"","Buyer cheque banked 买家支票存入"&amp;IF(INDEX('Daily Sale entry '!$U$1:$U$1501,$J1671-1499)="","", " - "&amp;INDEX('Daily Sale entry '!$U$1:$U$1501,$J1671-1499))))</f>
        <v/>
      </c>
      <c r="C1671">
        <f>IF($J1671="","",IF($J1671&lt;=1500,INDEX('Daily Sale entry '!$Z$1:$Z$1501,$J1671+1)&amp;"","Cheque deposit 支票存入 (buyer 买家)"))</f>
        <v/>
      </c>
      <c r="D1671">
        <f>IF($J1671="","",IF($J1671&lt;=1500,INDEX('Daily Sale entry '!$AA$1:$AA$1501,$J1671+1)&amp;"",INDEX('Daily Sale entry '!$P$1:$P$1501,$J1671-1499)&amp;""))</f>
        <v/>
      </c>
      <c r="E1671">
        <f>IF($J1671="","",IF($J1671&lt;=1500,IF(N(INDEX('Daily Sale entry '!$AB$1:$AB$1501,$J1671+1))=0,"",INDEX('Daily Sale entry '!$AB$1:$AB$1501,$J1671+1)),1))</f>
        <v/>
      </c>
      <c r="F1671" s="6">
        <f>IF($J1671="","",IF($J1671&lt;=1500,N(INDEX('Daily Sale entry '!$AC$1:$AC$1501,$J1671+1))-IF(AND('Opening Balance'!$B$15=1,INDEX('Daily Sale entry '!$Z$1:$Z$1501,$J1671+1)="Online collection 网上收款",INDEX('Daily Sale entry '!$AA$1:$AA$1501,$J1671+1)&lt;&gt;""),N(INDEX('Daily Sale entry '!$AC$1:$AC$1501,$J1671+1))-TRUNC(N(INDEX('Daily Sale entry '!$AC$1:$AC$1501,$J1671+1))),0),N(INDEX('Daily Sale entry '!$S$1:$S$1501,$J1671-1499))-'Opening Balance'!$B$15*(N(INDEX('Daily Sale entry '!$S$1:$S$1501,$J1671-1499))-TRUNC(N(INDEX('Daily Sale entry '!$S$1:$S$1501,$J1671-1499))))))</f>
        <v/>
      </c>
      <c r="G1671" s="6">
        <f>IF($J1671="","",IF($J1671&lt;=1500,N(INDEX('Daily Sale entry '!$AD$1:$AD$1501,$J1671+1)),0))</f>
        <v/>
      </c>
      <c r="H1671" s="6">
        <f>IF($J1671="","",ROUND('Opening Balance'!$B$4+SUM($F$2:F1671)-SUM($G$2:G1671),2))</f>
        <v/>
      </c>
      <c r="J1671" s="21">
        <f>IFERROR(MATCH(ROW()-1,$L$2:$L$3001,0),"")</f>
        <v/>
      </c>
      <c r="K1671" s="34">
        <f>IF(AND('Daily Sale entry '!Q171="Collection 收款",'Daily Sale entry '!R171="Cheque 支票",'Daily Sale entry '!V171&lt;&gt;""),'Daily Sale entry '!V171+ROW()/10000000,"")</f>
        <v/>
      </c>
      <c r="L1671" s="21">
        <f>IF(K1671="","",COUNTIF($K$2:$K$3001,"&lt;"&amp;K1671)+1)</f>
        <v/>
      </c>
    </row>
    <row r="1672">
      <c r="A1672" s="5">
        <f>IF($J1672="","",IF($J1672&lt;=1500,INDEX('Daily Sale entry '!$X$1:$X$1501,$J1672+1),INDEX('Daily Sale entry '!$V$1:$V$1501,$J1672-1499)))</f>
        <v/>
      </c>
      <c r="B1672">
        <f>IF($J1672="","",IF($J1672&lt;=1500,INDEX('Daily Sale entry '!$Y$1:$Y$1501,$J1672+1)&amp;"","Buyer cheque banked 买家支票存入"&amp;IF(INDEX('Daily Sale entry '!$U$1:$U$1501,$J1672-1499)="","", " - "&amp;INDEX('Daily Sale entry '!$U$1:$U$1501,$J1672-1499))))</f>
        <v/>
      </c>
      <c r="C1672">
        <f>IF($J1672="","",IF($J1672&lt;=1500,INDEX('Daily Sale entry '!$Z$1:$Z$1501,$J1672+1)&amp;"","Cheque deposit 支票存入 (buyer 买家)"))</f>
        <v/>
      </c>
      <c r="D1672">
        <f>IF($J1672="","",IF($J1672&lt;=1500,INDEX('Daily Sale entry '!$AA$1:$AA$1501,$J1672+1)&amp;"",INDEX('Daily Sale entry '!$P$1:$P$1501,$J1672-1499)&amp;""))</f>
        <v/>
      </c>
      <c r="E1672">
        <f>IF($J1672="","",IF($J1672&lt;=1500,IF(N(INDEX('Daily Sale entry '!$AB$1:$AB$1501,$J1672+1))=0,"",INDEX('Daily Sale entry '!$AB$1:$AB$1501,$J1672+1)),1))</f>
        <v/>
      </c>
      <c r="F1672" s="6">
        <f>IF($J1672="","",IF($J1672&lt;=1500,N(INDEX('Daily Sale entry '!$AC$1:$AC$1501,$J1672+1))-IF(AND('Opening Balance'!$B$15=1,INDEX('Daily Sale entry '!$Z$1:$Z$1501,$J1672+1)="Online collection 网上收款",INDEX('Daily Sale entry '!$AA$1:$AA$1501,$J1672+1)&lt;&gt;""),N(INDEX('Daily Sale entry '!$AC$1:$AC$1501,$J1672+1))-TRUNC(N(INDEX('Daily Sale entry '!$AC$1:$AC$1501,$J1672+1))),0),N(INDEX('Daily Sale entry '!$S$1:$S$1501,$J1672-1499))-'Opening Balance'!$B$15*(N(INDEX('Daily Sale entry '!$S$1:$S$1501,$J1672-1499))-TRUNC(N(INDEX('Daily Sale entry '!$S$1:$S$1501,$J1672-1499))))))</f>
        <v/>
      </c>
      <c r="G1672" s="6">
        <f>IF($J1672="","",IF($J1672&lt;=1500,N(INDEX('Daily Sale entry '!$AD$1:$AD$1501,$J1672+1)),0))</f>
        <v/>
      </c>
      <c r="H1672" s="6">
        <f>IF($J1672="","",ROUND('Opening Balance'!$B$4+SUM($F$2:F1672)-SUM($G$2:G1672),2))</f>
        <v/>
      </c>
      <c r="J1672" s="21">
        <f>IFERROR(MATCH(ROW()-1,$L$2:$L$3001,0),"")</f>
        <v/>
      </c>
      <c r="K1672" s="34">
        <f>IF(AND('Daily Sale entry '!Q172="Collection 收款",'Daily Sale entry '!R172="Cheque 支票",'Daily Sale entry '!V172&lt;&gt;""),'Daily Sale entry '!V172+ROW()/10000000,"")</f>
        <v/>
      </c>
      <c r="L1672" s="21">
        <f>IF(K1672="","",COUNTIF($K$2:$K$3001,"&lt;"&amp;K1672)+1)</f>
        <v/>
      </c>
    </row>
    <row r="1673">
      <c r="A1673" s="5">
        <f>IF($J1673="","",IF($J1673&lt;=1500,INDEX('Daily Sale entry '!$X$1:$X$1501,$J1673+1),INDEX('Daily Sale entry '!$V$1:$V$1501,$J1673-1499)))</f>
        <v/>
      </c>
      <c r="B1673">
        <f>IF($J1673="","",IF($J1673&lt;=1500,INDEX('Daily Sale entry '!$Y$1:$Y$1501,$J1673+1)&amp;"","Buyer cheque banked 买家支票存入"&amp;IF(INDEX('Daily Sale entry '!$U$1:$U$1501,$J1673-1499)="","", " - "&amp;INDEX('Daily Sale entry '!$U$1:$U$1501,$J1673-1499))))</f>
        <v/>
      </c>
      <c r="C1673">
        <f>IF($J1673="","",IF($J1673&lt;=1500,INDEX('Daily Sale entry '!$Z$1:$Z$1501,$J1673+1)&amp;"","Cheque deposit 支票存入 (buyer 买家)"))</f>
        <v/>
      </c>
      <c r="D1673">
        <f>IF($J1673="","",IF($J1673&lt;=1500,INDEX('Daily Sale entry '!$AA$1:$AA$1501,$J1673+1)&amp;"",INDEX('Daily Sale entry '!$P$1:$P$1501,$J1673-1499)&amp;""))</f>
        <v/>
      </c>
      <c r="E1673">
        <f>IF($J1673="","",IF($J1673&lt;=1500,IF(N(INDEX('Daily Sale entry '!$AB$1:$AB$1501,$J1673+1))=0,"",INDEX('Daily Sale entry '!$AB$1:$AB$1501,$J1673+1)),1))</f>
        <v/>
      </c>
      <c r="F1673" s="6">
        <f>IF($J1673="","",IF($J1673&lt;=1500,N(INDEX('Daily Sale entry '!$AC$1:$AC$1501,$J1673+1))-IF(AND('Opening Balance'!$B$15=1,INDEX('Daily Sale entry '!$Z$1:$Z$1501,$J1673+1)="Online collection 网上收款",INDEX('Daily Sale entry '!$AA$1:$AA$1501,$J1673+1)&lt;&gt;""),N(INDEX('Daily Sale entry '!$AC$1:$AC$1501,$J1673+1))-TRUNC(N(INDEX('Daily Sale entry '!$AC$1:$AC$1501,$J1673+1))),0),N(INDEX('Daily Sale entry '!$S$1:$S$1501,$J1673-1499))-'Opening Balance'!$B$15*(N(INDEX('Daily Sale entry '!$S$1:$S$1501,$J1673-1499))-TRUNC(N(INDEX('Daily Sale entry '!$S$1:$S$1501,$J1673-1499))))))</f>
        <v/>
      </c>
      <c r="G1673" s="6">
        <f>IF($J1673="","",IF($J1673&lt;=1500,N(INDEX('Daily Sale entry '!$AD$1:$AD$1501,$J1673+1)),0))</f>
        <v/>
      </c>
      <c r="H1673" s="6">
        <f>IF($J1673="","",ROUND('Opening Balance'!$B$4+SUM($F$2:F1673)-SUM($G$2:G1673),2))</f>
        <v/>
      </c>
      <c r="J1673" s="21">
        <f>IFERROR(MATCH(ROW()-1,$L$2:$L$3001,0),"")</f>
        <v/>
      </c>
      <c r="K1673" s="34">
        <f>IF(AND('Daily Sale entry '!Q173="Collection 收款",'Daily Sale entry '!R173="Cheque 支票",'Daily Sale entry '!V173&lt;&gt;""),'Daily Sale entry '!V173+ROW()/10000000,"")</f>
        <v/>
      </c>
      <c r="L1673" s="21">
        <f>IF(K1673="","",COUNTIF($K$2:$K$3001,"&lt;"&amp;K1673)+1)</f>
        <v/>
      </c>
    </row>
    <row r="1674">
      <c r="A1674" s="5">
        <f>IF($J1674="","",IF($J1674&lt;=1500,INDEX('Daily Sale entry '!$X$1:$X$1501,$J1674+1),INDEX('Daily Sale entry '!$V$1:$V$1501,$J1674-1499)))</f>
        <v/>
      </c>
      <c r="B1674">
        <f>IF($J1674="","",IF($J1674&lt;=1500,INDEX('Daily Sale entry '!$Y$1:$Y$1501,$J1674+1)&amp;"","Buyer cheque banked 买家支票存入"&amp;IF(INDEX('Daily Sale entry '!$U$1:$U$1501,$J1674-1499)="","", " - "&amp;INDEX('Daily Sale entry '!$U$1:$U$1501,$J1674-1499))))</f>
        <v/>
      </c>
      <c r="C1674">
        <f>IF($J1674="","",IF($J1674&lt;=1500,INDEX('Daily Sale entry '!$Z$1:$Z$1501,$J1674+1)&amp;"","Cheque deposit 支票存入 (buyer 买家)"))</f>
        <v/>
      </c>
      <c r="D1674">
        <f>IF($J1674="","",IF($J1674&lt;=1500,INDEX('Daily Sale entry '!$AA$1:$AA$1501,$J1674+1)&amp;"",INDEX('Daily Sale entry '!$P$1:$P$1501,$J1674-1499)&amp;""))</f>
        <v/>
      </c>
      <c r="E1674">
        <f>IF($J1674="","",IF($J1674&lt;=1500,IF(N(INDEX('Daily Sale entry '!$AB$1:$AB$1501,$J1674+1))=0,"",INDEX('Daily Sale entry '!$AB$1:$AB$1501,$J1674+1)),1))</f>
        <v/>
      </c>
      <c r="F1674" s="6">
        <f>IF($J1674="","",IF($J1674&lt;=1500,N(INDEX('Daily Sale entry '!$AC$1:$AC$1501,$J1674+1))-IF(AND('Opening Balance'!$B$15=1,INDEX('Daily Sale entry '!$Z$1:$Z$1501,$J1674+1)="Online collection 网上收款",INDEX('Daily Sale entry '!$AA$1:$AA$1501,$J1674+1)&lt;&gt;""),N(INDEX('Daily Sale entry '!$AC$1:$AC$1501,$J1674+1))-TRUNC(N(INDEX('Daily Sale entry '!$AC$1:$AC$1501,$J1674+1))),0),N(INDEX('Daily Sale entry '!$S$1:$S$1501,$J1674-1499))-'Opening Balance'!$B$15*(N(INDEX('Daily Sale entry '!$S$1:$S$1501,$J1674-1499))-TRUNC(N(INDEX('Daily Sale entry '!$S$1:$S$1501,$J1674-1499))))))</f>
        <v/>
      </c>
      <c r="G1674" s="6">
        <f>IF($J1674="","",IF($J1674&lt;=1500,N(INDEX('Daily Sale entry '!$AD$1:$AD$1501,$J1674+1)),0))</f>
        <v/>
      </c>
      <c r="H1674" s="6">
        <f>IF($J1674="","",ROUND('Opening Balance'!$B$4+SUM($F$2:F1674)-SUM($G$2:G1674),2))</f>
        <v/>
      </c>
      <c r="J1674" s="21">
        <f>IFERROR(MATCH(ROW()-1,$L$2:$L$3001,0),"")</f>
        <v/>
      </c>
      <c r="K1674" s="34">
        <f>IF(AND('Daily Sale entry '!Q174="Collection 收款",'Daily Sale entry '!R174="Cheque 支票",'Daily Sale entry '!V174&lt;&gt;""),'Daily Sale entry '!V174+ROW()/10000000,"")</f>
        <v/>
      </c>
      <c r="L1674" s="21">
        <f>IF(K1674="","",COUNTIF($K$2:$K$3001,"&lt;"&amp;K1674)+1)</f>
        <v/>
      </c>
    </row>
    <row r="1675">
      <c r="A1675" s="5">
        <f>IF($J1675="","",IF($J1675&lt;=1500,INDEX('Daily Sale entry '!$X$1:$X$1501,$J1675+1),INDEX('Daily Sale entry '!$V$1:$V$1501,$J1675-1499)))</f>
        <v/>
      </c>
      <c r="B1675">
        <f>IF($J1675="","",IF($J1675&lt;=1500,INDEX('Daily Sale entry '!$Y$1:$Y$1501,$J1675+1)&amp;"","Buyer cheque banked 买家支票存入"&amp;IF(INDEX('Daily Sale entry '!$U$1:$U$1501,$J1675-1499)="","", " - "&amp;INDEX('Daily Sale entry '!$U$1:$U$1501,$J1675-1499))))</f>
        <v/>
      </c>
      <c r="C1675">
        <f>IF($J1675="","",IF($J1675&lt;=1500,INDEX('Daily Sale entry '!$Z$1:$Z$1501,$J1675+1)&amp;"","Cheque deposit 支票存入 (buyer 买家)"))</f>
        <v/>
      </c>
      <c r="D1675">
        <f>IF($J1675="","",IF($J1675&lt;=1500,INDEX('Daily Sale entry '!$AA$1:$AA$1501,$J1675+1)&amp;"",INDEX('Daily Sale entry '!$P$1:$P$1501,$J1675-1499)&amp;""))</f>
        <v/>
      </c>
      <c r="E1675">
        <f>IF($J1675="","",IF($J1675&lt;=1500,IF(N(INDEX('Daily Sale entry '!$AB$1:$AB$1501,$J1675+1))=0,"",INDEX('Daily Sale entry '!$AB$1:$AB$1501,$J1675+1)),1))</f>
        <v/>
      </c>
      <c r="F1675" s="6">
        <f>IF($J1675="","",IF($J1675&lt;=1500,N(INDEX('Daily Sale entry '!$AC$1:$AC$1501,$J1675+1))-IF(AND('Opening Balance'!$B$15=1,INDEX('Daily Sale entry '!$Z$1:$Z$1501,$J1675+1)="Online collection 网上收款",INDEX('Daily Sale entry '!$AA$1:$AA$1501,$J1675+1)&lt;&gt;""),N(INDEX('Daily Sale entry '!$AC$1:$AC$1501,$J1675+1))-TRUNC(N(INDEX('Daily Sale entry '!$AC$1:$AC$1501,$J1675+1))),0),N(INDEX('Daily Sale entry '!$S$1:$S$1501,$J1675-1499))-'Opening Balance'!$B$15*(N(INDEX('Daily Sale entry '!$S$1:$S$1501,$J1675-1499))-TRUNC(N(INDEX('Daily Sale entry '!$S$1:$S$1501,$J1675-1499))))))</f>
        <v/>
      </c>
      <c r="G1675" s="6">
        <f>IF($J1675="","",IF($J1675&lt;=1500,N(INDEX('Daily Sale entry '!$AD$1:$AD$1501,$J1675+1)),0))</f>
        <v/>
      </c>
      <c r="H1675" s="6">
        <f>IF($J1675="","",ROUND('Opening Balance'!$B$4+SUM($F$2:F1675)-SUM($G$2:G1675),2))</f>
        <v/>
      </c>
      <c r="J1675" s="21">
        <f>IFERROR(MATCH(ROW()-1,$L$2:$L$3001,0),"")</f>
        <v/>
      </c>
      <c r="K1675" s="34">
        <f>IF(AND('Daily Sale entry '!Q175="Collection 收款",'Daily Sale entry '!R175="Cheque 支票",'Daily Sale entry '!V175&lt;&gt;""),'Daily Sale entry '!V175+ROW()/10000000,"")</f>
        <v/>
      </c>
      <c r="L1675" s="21">
        <f>IF(K1675="","",COUNTIF($K$2:$K$3001,"&lt;"&amp;K1675)+1)</f>
        <v/>
      </c>
    </row>
    <row r="1676">
      <c r="A1676" s="5">
        <f>IF($J1676="","",IF($J1676&lt;=1500,INDEX('Daily Sale entry '!$X$1:$X$1501,$J1676+1),INDEX('Daily Sale entry '!$V$1:$V$1501,$J1676-1499)))</f>
        <v/>
      </c>
      <c r="B1676">
        <f>IF($J1676="","",IF($J1676&lt;=1500,INDEX('Daily Sale entry '!$Y$1:$Y$1501,$J1676+1)&amp;"","Buyer cheque banked 买家支票存入"&amp;IF(INDEX('Daily Sale entry '!$U$1:$U$1501,$J1676-1499)="","", " - "&amp;INDEX('Daily Sale entry '!$U$1:$U$1501,$J1676-1499))))</f>
        <v/>
      </c>
      <c r="C1676">
        <f>IF($J1676="","",IF($J1676&lt;=1500,INDEX('Daily Sale entry '!$Z$1:$Z$1501,$J1676+1)&amp;"","Cheque deposit 支票存入 (buyer 买家)"))</f>
        <v/>
      </c>
      <c r="D1676">
        <f>IF($J1676="","",IF($J1676&lt;=1500,INDEX('Daily Sale entry '!$AA$1:$AA$1501,$J1676+1)&amp;"",INDEX('Daily Sale entry '!$P$1:$P$1501,$J1676-1499)&amp;""))</f>
        <v/>
      </c>
      <c r="E1676">
        <f>IF($J1676="","",IF($J1676&lt;=1500,IF(N(INDEX('Daily Sale entry '!$AB$1:$AB$1501,$J1676+1))=0,"",INDEX('Daily Sale entry '!$AB$1:$AB$1501,$J1676+1)),1))</f>
        <v/>
      </c>
      <c r="F1676" s="6">
        <f>IF($J1676="","",IF($J1676&lt;=1500,N(INDEX('Daily Sale entry '!$AC$1:$AC$1501,$J1676+1))-IF(AND('Opening Balance'!$B$15=1,INDEX('Daily Sale entry '!$Z$1:$Z$1501,$J1676+1)="Online collection 网上收款",INDEX('Daily Sale entry '!$AA$1:$AA$1501,$J1676+1)&lt;&gt;""),N(INDEX('Daily Sale entry '!$AC$1:$AC$1501,$J1676+1))-TRUNC(N(INDEX('Daily Sale entry '!$AC$1:$AC$1501,$J1676+1))),0),N(INDEX('Daily Sale entry '!$S$1:$S$1501,$J1676-1499))-'Opening Balance'!$B$15*(N(INDEX('Daily Sale entry '!$S$1:$S$1501,$J1676-1499))-TRUNC(N(INDEX('Daily Sale entry '!$S$1:$S$1501,$J1676-1499))))))</f>
        <v/>
      </c>
      <c r="G1676" s="6">
        <f>IF($J1676="","",IF($J1676&lt;=1500,N(INDEX('Daily Sale entry '!$AD$1:$AD$1501,$J1676+1)),0))</f>
        <v/>
      </c>
      <c r="H1676" s="6">
        <f>IF($J1676="","",ROUND('Opening Balance'!$B$4+SUM($F$2:F1676)-SUM($G$2:G1676),2))</f>
        <v/>
      </c>
      <c r="J1676" s="21">
        <f>IFERROR(MATCH(ROW()-1,$L$2:$L$3001,0),"")</f>
        <v/>
      </c>
      <c r="K1676" s="34">
        <f>IF(AND('Daily Sale entry '!Q176="Collection 收款",'Daily Sale entry '!R176="Cheque 支票",'Daily Sale entry '!V176&lt;&gt;""),'Daily Sale entry '!V176+ROW()/10000000,"")</f>
        <v/>
      </c>
      <c r="L1676" s="21">
        <f>IF(K1676="","",COUNTIF($K$2:$K$3001,"&lt;"&amp;K1676)+1)</f>
        <v/>
      </c>
    </row>
    <row r="1677">
      <c r="A1677" s="5">
        <f>IF($J1677="","",IF($J1677&lt;=1500,INDEX('Daily Sale entry '!$X$1:$X$1501,$J1677+1),INDEX('Daily Sale entry '!$V$1:$V$1501,$J1677-1499)))</f>
        <v/>
      </c>
      <c r="B1677">
        <f>IF($J1677="","",IF($J1677&lt;=1500,INDEX('Daily Sale entry '!$Y$1:$Y$1501,$J1677+1)&amp;"","Buyer cheque banked 买家支票存入"&amp;IF(INDEX('Daily Sale entry '!$U$1:$U$1501,$J1677-1499)="","", " - "&amp;INDEX('Daily Sale entry '!$U$1:$U$1501,$J1677-1499))))</f>
        <v/>
      </c>
      <c r="C1677">
        <f>IF($J1677="","",IF($J1677&lt;=1500,INDEX('Daily Sale entry '!$Z$1:$Z$1501,$J1677+1)&amp;"","Cheque deposit 支票存入 (buyer 买家)"))</f>
        <v/>
      </c>
      <c r="D1677">
        <f>IF($J1677="","",IF($J1677&lt;=1500,INDEX('Daily Sale entry '!$AA$1:$AA$1501,$J1677+1)&amp;"",INDEX('Daily Sale entry '!$P$1:$P$1501,$J1677-1499)&amp;""))</f>
        <v/>
      </c>
      <c r="E1677">
        <f>IF($J1677="","",IF($J1677&lt;=1500,IF(N(INDEX('Daily Sale entry '!$AB$1:$AB$1501,$J1677+1))=0,"",INDEX('Daily Sale entry '!$AB$1:$AB$1501,$J1677+1)),1))</f>
        <v/>
      </c>
      <c r="F1677" s="6">
        <f>IF($J1677="","",IF($J1677&lt;=1500,N(INDEX('Daily Sale entry '!$AC$1:$AC$1501,$J1677+1))-IF(AND('Opening Balance'!$B$15=1,INDEX('Daily Sale entry '!$Z$1:$Z$1501,$J1677+1)="Online collection 网上收款",INDEX('Daily Sale entry '!$AA$1:$AA$1501,$J1677+1)&lt;&gt;""),N(INDEX('Daily Sale entry '!$AC$1:$AC$1501,$J1677+1))-TRUNC(N(INDEX('Daily Sale entry '!$AC$1:$AC$1501,$J1677+1))),0),N(INDEX('Daily Sale entry '!$S$1:$S$1501,$J1677-1499))-'Opening Balance'!$B$15*(N(INDEX('Daily Sale entry '!$S$1:$S$1501,$J1677-1499))-TRUNC(N(INDEX('Daily Sale entry '!$S$1:$S$1501,$J1677-1499))))))</f>
        <v/>
      </c>
      <c r="G1677" s="6">
        <f>IF($J1677="","",IF($J1677&lt;=1500,N(INDEX('Daily Sale entry '!$AD$1:$AD$1501,$J1677+1)),0))</f>
        <v/>
      </c>
      <c r="H1677" s="6">
        <f>IF($J1677="","",ROUND('Opening Balance'!$B$4+SUM($F$2:F1677)-SUM($G$2:G1677),2))</f>
        <v/>
      </c>
      <c r="J1677" s="21">
        <f>IFERROR(MATCH(ROW()-1,$L$2:$L$3001,0),"")</f>
        <v/>
      </c>
      <c r="K1677" s="34">
        <f>IF(AND('Daily Sale entry '!Q177="Collection 收款",'Daily Sale entry '!R177="Cheque 支票",'Daily Sale entry '!V177&lt;&gt;""),'Daily Sale entry '!V177+ROW()/10000000,"")</f>
        <v/>
      </c>
      <c r="L1677" s="21">
        <f>IF(K1677="","",COUNTIF($K$2:$K$3001,"&lt;"&amp;K1677)+1)</f>
        <v/>
      </c>
    </row>
    <row r="1678">
      <c r="A1678" s="5">
        <f>IF($J1678="","",IF($J1678&lt;=1500,INDEX('Daily Sale entry '!$X$1:$X$1501,$J1678+1),INDEX('Daily Sale entry '!$V$1:$V$1501,$J1678-1499)))</f>
        <v/>
      </c>
      <c r="B1678">
        <f>IF($J1678="","",IF($J1678&lt;=1500,INDEX('Daily Sale entry '!$Y$1:$Y$1501,$J1678+1)&amp;"","Buyer cheque banked 买家支票存入"&amp;IF(INDEX('Daily Sale entry '!$U$1:$U$1501,$J1678-1499)="","", " - "&amp;INDEX('Daily Sale entry '!$U$1:$U$1501,$J1678-1499))))</f>
        <v/>
      </c>
      <c r="C1678">
        <f>IF($J1678="","",IF($J1678&lt;=1500,INDEX('Daily Sale entry '!$Z$1:$Z$1501,$J1678+1)&amp;"","Cheque deposit 支票存入 (buyer 买家)"))</f>
        <v/>
      </c>
      <c r="D1678">
        <f>IF($J1678="","",IF($J1678&lt;=1500,INDEX('Daily Sale entry '!$AA$1:$AA$1501,$J1678+1)&amp;"",INDEX('Daily Sale entry '!$P$1:$P$1501,$J1678-1499)&amp;""))</f>
        <v/>
      </c>
      <c r="E1678">
        <f>IF($J1678="","",IF($J1678&lt;=1500,IF(N(INDEX('Daily Sale entry '!$AB$1:$AB$1501,$J1678+1))=0,"",INDEX('Daily Sale entry '!$AB$1:$AB$1501,$J1678+1)),1))</f>
        <v/>
      </c>
      <c r="F1678" s="6">
        <f>IF($J1678="","",IF($J1678&lt;=1500,N(INDEX('Daily Sale entry '!$AC$1:$AC$1501,$J1678+1))-IF(AND('Opening Balance'!$B$15=1,INDEX('Daily Sale entry '!$Z$1:$Z$1501,$J1678+1)="Online collection 网上收款",INDEX('Daily Sale entry '!$AA$1:$AA$1501,$J1678+1)&lt;&gt;""),N(INDEX('Daily Sale entry '!$AC$1:$AC$1501,$J1678+1))-TRUNC(N(INDEX('Daily Sale entry '!$AC$1:$AC$1501,$J1678+1))),0),N(INDEX('Daily Sale entry '!$S$1:$S$1501,$J1678-1499))-'Opening Balance'!$B$15*(N(INDEX('Daily Sale entry '!$S$1:$S$1501,$J1678-1499))-TRUNC(N(INDEX('Daily Sale entry '!$S$1:$S$1501,$J1678-1499))))))</f>
        <v/>
      </c>
      <c r="G1678" s="6">
        <f>IF($J1678="","",IF($J1678&lt;=1500,N(INDEX('Daily Sale entry '!$AD$1:$AD$1501,$J1678+1)),0))</f>
        <v/>
      </c>
      <c r="H1678" s="6">
        <f>IF($J1678="","",ROUND('Opening Balance'!$B$4+SUM($F$2:F1678)-SUM($G$2:G1678),2))</f>
        <v/>
      </c>
      <c r="J1678" s="21">
        <f>IFERROR(MATCH(ROW()-1,$L$2:$L$3001,0),"")</f>
        <v/>
      </c>
      <c r="K1678" s="34">
        <f>IF(AND('Daily Sale entry '!Q178="Collection 收款",'Daily Sale entry '!R178="Cheque 支票",'Daily Sale entry '!V178&lt;&gt;""),'Daily Sale entry '!V178+ROW()/10000000,"")</f>
        <v/>
      </c>
      <c r="L1678" s="21">
        <f>IF(K1678="","",COUNTIF($K$2:$K$3001,"&lt;"&amp;K1678)+1)</f>
        <v/>
      </c>
    </row>
    <row r="1679">
      <c r="A1679" s="5">
        <f>IF($J1679="","",IF($J1679&lt;=1500,INDEX('Daily Sale entry '!$X$1:$X$1501,$J1679+1),INDEX('Daily Sale entry '!$V$1:$V$1501,$J1679-1499)))</f>
        <v/>
      </c>
      <c r="B1679">
        <f>IF($J1679="","",IF($J1679&lt;=1500,INDEX('Daily Sale entry '!$Y$1:$Y$1501,$J1679+1)&amp;"","Buyer cheque banked 买家支票存入"&amp;IF(INDEX('Daily Sale entry '!$U$1:$U$1501,$J1679-1499)="","", " - "&amp;INDEX('Daily Sale entry '!$U$1:$U$1501,$J1679-1499))))</f>
        <v/>
      </c>
      <c r="C1679">
        <f>IF($J1679="","",IF($J1679&lt;=1500,INDEX('Daily Sale entry '!$Z$1:$Z$1501,$J1679+1)&amp;"","Cheque deposit 支票存入 (buyer 买家)"))</f>
        <v/>
      </c>
      <c r="D1679">
        <f>IF($J1679="","",IF($J1679&lt;=1500,INDEX('Daily Sale entry '!$AA$1:$AA$1501,$J1679+1)&amp;"",INDEX('Daily Sale entry '!$P$1:$P$1501,$J1679-1499)&amp;""))</f>
        <v/>
      </c>
      <c r="E1679">
        <f>IF($J1679="","",IF($J1679&lt;=1500,IF(N(INDEX('Daily Sale entry '!$AB$1:$AB$1501,$J1679+1))=0,"",INDEX('Daily Sale entry '!$AB$1:$AB$1501,$J1679+1)),1))</f>
        <v/>
      </c>
      <c r="F1679" s="6">
        <f>IF($J1679="","",IF($J1679&lt;=1500,N(INDEX('Daily Sale entry '!$AC$1:$AC$1501,$J1679+1))-IF(AND('Opening Balance'!$B$15=1,INDEX('Daily Sale entry '!$Z$1:$Z$1501,$J1679+1)="Online collection 网上收款",INDEX('Daily Sale entry '!$AA$1:$AA$1501,$J1679+1)&lt;&gt;""),N(INDEX('Daily Sale entry '!$AC$1:$AC$1501,$J1679+1))-TRUNC(N(INDEX('Daily Sale entry '!$AC$1:$AC$1501,$J1679+1))),0),N(INDEX('Daily Sale entry '!$S$1:$S$1501,$J1679-1499))-'Opening Balance'!$B$15*(N(INDEX('Daily Sale entry '!$S$1:$S$1501,$J1679-1499))-TRUNC(N(INDEX('Daily Sale entry '!$S$1:$S$1501,$J1679-1499))))))</f>
        <v/>
      </c>
      <c r="G1679" s="6">
        <f>IF($J1679="","",IF($J1679&lt;=1500,N(INDEX('Daily Sale entry '!$AD$1:$AD$1501,$J1679+1)),0))</f>
        <v/>
      </c>
      <c r="H1679" s="6">
        <f>IF($J1679="","",ROUND('Opening Balance'!$B$4+SUM($F$2:F1679)-SUM($G$2:G1679),2))</f>
        <v/>
      </c>
      <c r="J1679" s="21">
        <f>IFERROR(MATCH(ROW()-1,$L$2:$L$3001,0),"")</f>
        <v/>
      </c>
      <c r="K1679" s="34">
        <f>IF(AND('Daily Sale entry '!Q179="Collection 收款",'Daily Sale entry '!R179="Cheque 支票",'Daily Sale entry '!V179&lt;&gt;""),'Daily Sale entry '!V179+ROW()/10000000,"")</f>
        <v/>
      </c>
      <c r="L1679" s="21">
        <f>IF(K1679="","",COUNTIF($K$2:$K$3001,"&lt;"&amp;K1679)+1)</f>
        <v/>
      </c>
    </row>
    <row r="1680">
      <c r="A1680" s="5">
        <f>IF($J1680="","",IF($J1680&lt;=1500,INDEX('Daily Sale entry '!$X$1:$X$1501,$J1680+1),INDEX('Daily Sale entry '!$V$1:$V$1501,$J1680-1499)))</f>
        <v/>
      </c>
      <c r="B1680">
        <f>IF($J1680="","",IF($J1680&lt;=1500,INDEX('Daily Sale entry '!$Y$1:$Y$1501,$J1680+1)&amp;"","Buyer cheque banked 买家支票存入"&amp;IF(INDEX('Daily Sale entry '!$U$1:$U$1501,$J1680-1499)="","", " - "&amp;INDEX('Daily Sale entry '!$U$1:$U$1501,$J1680-1499))))</f>
        <v/>
      </c>
      <c r="C1680">
        <f>IF($J1680="","",IF($J1680&lt;=1500,INDEX('Daily Sale entry '!$Z$1:$Z$1501,$J1680+1)&amp;"","Cheque deposit 支票存入 (buyer 买家)"))</f>
        <v/>
      </c>
      <c r="D1680">
        <f>IF($J1680="","",IF($J1680&lt;=1500,INDEX('Daily Sale entry '!$AA$1:$AA$1501,$J1680+1)&amp;"",INDEX('Daily Sale entry '!$P$1:$P$1501,$J1680-1499)&amp;""))</f>
        <v/>
      </c>
      <c r="E1680">
        <f>IF($J1680="","",IF($J1680&lt;=1500,IF(N(INDEX('Daily Sale entry '!$AB$1:$AB$1501,$J1680+1))=0,"",INDEX('Daily Sale entry '!$AB$1:$AB$1501,$J1680+1)),1))</f>
        <v/>
      </c>
      <c r="F1680" s="6">
        <f>IF($J1680="","",IF($J1680&lt;=1500,N(INDEX('Daily Sale entry '!$AC$1:$AC$1501,$J1680+1))-IF(AND('Opening Balance'!$B$15=1,INDEX('Daily Sale entry '!$Z$1:$Z$1501,$J1680+1)="Online collection 网上收款",INDEX('Daily Sale entry '!$AA$1:$AA$1501,$J1680+1)&lt;&gt;""),N(INDEX('Daily Sale entry '!$AC$1:$AC$1501,$J1680+1))-TRUNC(N(INDEX('Daily Sale entry '!$AC$1:$AC$1501,$J1680+1))),0),N(INDEX('Daily Sale entry '!$S$1:$S$1501,$J1680-1499))-'Opening Balance'!$B$15*(N(INDEX('Daily Sale entry '!$S$1:$S$1501,$J1680-1499))-TRUNC(N(INDEX('Daily Sale entry '!$S$1:$S$1501,$J1680-1499))))))</f>
        <v/>
      </c>
      <c r="G1680" s="6">
        <f>IF($J1680="","",IF($J1680&lt;=1500,N(INDEX('Daily Sale entry '!$AD$1:$AD$1501,$J1680+1)),0))</f>
        <v/>
      </c>
      <c r="H1680" s="6">
        <f>IF($J1680="","",ROUND('Opening Balance'!$B$4+SUM($F$2:F1680)-SUM($G$2:G1680),2))</f>
        <v/>
      </c>
      <c r="J1680" s="21">
        <f>IFERROR(MATCH(ROW()-1,$L$2:$L$3001,0),"")</f>
        <v/>
      </c>
      <c r="K1680" s="34">
        <f>IF(AND('Daily Sale entry '!Q180="Collection 收款",'Daily Sale entry '!R180="Cheque 支票",'Daily Sale entry '!V180&lt;&gt;""),'Daily Sale entry '!V180+ROW()/10000000,"")</f>
        <v/>
      </c>
      <c r="L1680" s="21">
        <f>IF(K1680="","",COUNTIF($K$2:$K$3001,"&lt;"&amp;K1680)+1)</f>
        <v/>
      </c>
    </row>
    <row r="1681">
      <c r="A1681" s="5">
        <f>IF($J1681="","",IF($J1681&lt;=1500,INDEX('Daily Sale entry '!$X$1:$X$1501,$J1681+1),INDEX('Daily Sale entry '!$V$1:$V$1501,$J1681-1499)))</f>
        <v/>
      </c>
      <c r="B1681">
        <f>IF($J1681="","",IF($J1681&lt;=1500,INDEX('Daily Sale entry '!$Y$1:$Y$1501,$J1681+1)&amp;"","Buyer cheque banked 买家支票存入"&amp;IF(INDEX('Daily Sale entry '!$U$1:$U$1501,$J1681-1499)="","", " - "&amp;INDEX('Daily Sale entry '!$U$1:$U$1501,$J1681-1499))))</f>
        <v/>
      </c>
      <c r="C1681">
        <f>IF($J1681="","",IF($J1681&lt;=1500,INDEX('Daily Sale entry '!$Z$1:$Z$1501,$J1681+1)&amp;"","Cheque deposit 支票存入 (buyer 买家)"))</f>
        <v/>
      </c>
      <c r="D1681">
        <f>IF($J1681="","",IF($J1681&lt;=1500,INDEX('Daily Sale entry '!$AA$1:$AA$1501,$J1681+1)&amp;"",INDEX('Daily Sale entry '!$P$1:$P$1501,$J1681-1499)&amp;""))</f>
        <v/>
      </c>
      <c r="E1681">
        <f>IF($J1681="","",IF($J1681&lt;=1500,IF(N(INDEX('Daily Sale entry '!$AB$1:$AB$1501,$J1681+1))=0,"",INDEX('Daily Sale entry '!$AB$1:$AB$1501,$J1681+1)),1))</f>
        <v/>
      </c>
      <c r="F1681" s="6">
        <f>IF($J1681="","",IF($J1681&lt;=1500,N(INDEX('Daily Sale entry '!$AC$1:$AC$1501,$J1681+1))-IF(AND('Opening Balance'!$B$15=1,INDEX('Daily Sale entry '!$Z$1:$Z$1501,$J1681+1)="Online collection 网上收款",INDEX('Daily Sale entry '!$AA$1:$AA$1501,$J1681+1)&lt;&gt;""),N(INDEX('Daily Sale entry '!$AC$1:$AC$1501,$J1681+1))-TRUNC(N(INDEX('Daily Sale entry '!$AC$1:$AC$1501,$J1681+1))),0),N(INDEX('Daily Sale entry '!$S$1:$S$1501,$J1681-1499))-'Opening Balance'!$B$15*(N(INDEX('Daily Sale entry '!$S$1:$S$1501,$J1681-1499))-TRUNC(N(INDEX('Daily Sale entry '!$S$1:$S$1501,$J1681-1499))))))</f>
        <v/>
      </c>
      <c r="G1681" s="6">
        <f>IF($J1681="","",IF($J1681&lt;=1500,N(INDEX('Daily Sale entry '!$AD$1:$AD$1501,$J1681+1)),0))</f>
        <v/>
      </c>
      <c r="H1681" s="6">
        <f>IF($J1681="","",ROUND('Opening Balance'!$B$4+SUM($F$2:F1681)-SUM($G$2:G1681),2))</f>
        <v/>
      </c>
      <c r="J1681" s="21">
        <f>IFERROR(MATCH(ROW()-1,$L$2:$L$3001,0),"")</f>
        <v/>
      </c>
      <c r="K1681" s="34">
        <f>IF(AND('Daily Sale entry '!Q181="Collection 收款",'Daily Sale entry '!R181="Cheque 支票",'Daily Sale entry '!V181&lt;&gt;""),'Daily Sale entry '!V181+ROW()/10000000,"")</f>
        <v/>
      </c>
      <c r="L1681" s="21">
        <f>IF(K1681="","",COUNTIF($K$2:$K$3001,"&lt;"&amp;K1681)+1)</f>
        <v/>
      </c>
    </row>
    <row r="1682">
      <c r="A1682" s="5">
        <f>IF($J1682="","",IF($J1682&lt;=1500,INDEX('Daily Sale entry '!$X$1:$X$1501,$J1682+1),INDEX('Daily Sale entry '!$V$1:$V$1501,$J1682-1499)))</f>
        <v/>
      </c>
      <c r="B1682">
        <f>IF($J1682="","",IF($J1682&lt;=1500,INDEX('Daily Sale entry '!$Y$1:$Y$1501,$J1682+1)&amp;"","Buyer cheque banked 买家支票存入"&amp;IF(INDEX('Daily Sale entry '!$U$1:$U$1501,$J1682-1499)="","", " - "&amp;INDEX('Daily Sale entry '!$U$1:$U$1501,$J1682-1499))))</f>
        <v/>
      </c>
      <c r="C1682">
        <f>IF($J1682="","",IF($J1682&lt;=1500,INDEX('Daily Sale entry '!$Z$1:$Z$1501,$J1682+1)&amp;"","Cheque deposit 支票存入 (buyer 买家)"))</f>
        <v/>
      </c>
      <c r="D1682">
        <f>IF($J1682="","",IF($J1682&lt;=1500,INDEX('Daily Sale entry '!$AA$1:$AA$1501,$J1682+1)&amp;"",INDEX('Daily Sale entry '!$P$1:$P$1501,$J1682-1499)&amp;""))</f>
        <v/>
      </c>
      <c r="E1682">
        <f>IF($J1682="","",IF($J1682&lt;=1500,IF(N(INDEX('Daily Sale entry '!$AB$1:$AB$1501,$J1682+1))=0,"",INDEX('Daily Sale entry '!$AB$1:$AB$1501,$J1682+1)),1))</f>
        <v/>
      </c>
      <c r="F1682" s="6">
        <f>IF($J1682="","",IF($J1682&lt;=1500,N(INDEX('Daily Sale entry '!$AC$1:$AC$1501,$J1682+1))-IF(AND('Opening Balance'!$B$15=1,INDEX('Daily Sale entry '!$Z$1:$Z$1501,$J1682+1)="Online collection 网上收款",INDEX('Daily Sale entry '!$AA$1:$AA$1501,$J1682+1)&lt;&gt;""),N(INDEX('Daily Sale entry '!$AC$1:$AC$1501,$J1682+1))-TRUNC(N(INDEX('Daily Sale entry '!$AC$1:$AC$1501,$J1682+1))),0),N(INDEX('Daily Sale entry '!$S$1:$S$1501,$J1682-1499))-'Opening Balance'!$B$15*(N(INDEX('Daily Sale entry '!$S$1:$S$1501,$J1682-1499))-TRUNC(N(INDEX('Daily Sale entry '!$S$1:$S$1501,$J1682-1499))))))</f>
        <v/>
      </c>
      <c r="G1682" s="6">
        <f>IF($J1682="","",IF($J1682&lt;=1500,N(INDEX('Daily Sale entry '!$AD$1:$AD$1501,$J1682+1)),0))</f>
        <v/>
      </c>
      <c r="H1682" s="6">
        <f>IF($J1682="","",ROUND('Opening Balance'!$B$4+SUM($F$2:F1682)-SUM($G$2:G1682),2))</f>
        <v/>
      </c>
      <c r="J1682" s="21">
        <f>IFERROR(MATCH(ROW()-1,$L$2:$L$3001,0),"")</f>
        <v/>
      </c>
      <c r="K1682" s="34">
        <f>IF(AND('Daily Sale entry '!Q182="Collection 收款",'Daily Sale entry '!R182="Cheque 支票",'Daily Sale entry '!V182&lt;&gt;""),'Daily Sale entry '!V182+ROW()/10000000,"")</f>
        <v/>
      </c>
      <c r="L1682" s="21">
        <f>IF(K1682="","",COUNTIF($K$2:$K$3001,"&lt;"&amp;K1682)+1)</f>
        <v/>
      </c>
    </row>
    <row r="1683">
      <c r="A1683" s="5">
        <f>IF($J1683="","",IF($J1683&lt;=1500,INDEX('Daily Sale entry '!$X$1:$X$1501,$J1683+1),INDEX('Daily Sale entry '!$V$1:$V$1501,$J1683-1499)))</f>
        <v/>
      </c>
      <c r="B1683">
        <f>IF($J1683="","",IF($J1683&lt;=1500,INDEX('Daily Sale entry '!$Y$1:$Y$1501,$J1683+1)&amp;"","Buyer cheque banked 买家支票存入"&amp;IF(INDEX('Daily Sale entry '!$U$1:$U$1501,$J1683-1499)="","", " - "&amp;INDEX('Daily Sale entry '!$U$1:$U$1501,$J1683-1499))))</f>
        <v/>
      </c>
      <c r="C1683">
        <f>IF($J1683="","",IF($J1683&lt;=1500,INDEX('Daily Sale entry '!$Z$1:$Z$1501,$J1683+1)&amp;"","Cheque deposit 支票存入 (buyer 买家)"))</f>
        <v/>
      </c>
      <c r="D1683">
        <f>IF($J1683="","",IF($J1683&lt;=1500,INDEX('Daily Sale entry '!$AA$1:$AA$1501,$J1683+1)&amp;"",INDEX('Daily Sale entry '!$P$1:$P$1501,$J1683-1499)&amp;""))</f>
        <v/>
      </c>
      <c r="E1683">
        <f>IF($J1683="","",IF($J1683&lt;=1500,IF(N(INDEX('Daily Sale entry '!$AB$1:$AB$1501,$J1683+1))=0,"",INDEX('Daily Sale entry '!$AB$1:$AB$1501,$J1683+1)),1))</f>
        <v/>
      </c>
      <c r="F1683" s="6">
        <f>IF($J1683="","",IF($J1683&lt;=1500,N(INDEX('Daily Sale entry '!$AC$1:$AC$1501,$J1683+1))-IF(AND('Opening Balance'!$B$15=1,INDEX('Daily Sale entry '!$Z$1:$Z$1501,$J1683+1)="Online collection 网上收款",INDEX('Daily Sale entry '!$AA$1:$AA$1501,$J1683+1)&lt;&gt;""),N(INDEX('Daily Sale entry '!$AC$1:$AC$1501,$J1683+1))-TRUNC(N(INDEX('Daily Sale entry '!$AC$1:$AC$1501,$J1683+1))),0),N(INDEX('Daily Sale entry '!$S$1:$S$1501,$J1683-1499))-'Opening Balance'!$B$15*(N(INDEX('Daily Sale entry '!$S$1:$S$1501,$J1683-1499))-TRUNC(N(INDEX('Daily Sale entry '!$S$1:$S$1501,$J1683-1499))))))</f>
        <v/>
      </c>
      <c r="G1683" s="6">
        <f>IF($J1683="","",IF($J1683&lt;=1500,N(INDEX('Daily Sale entry '!$AD$1:$AD$1501,$J1683+1)),0))</f>
        <v/>
      </c>
      <c r="H1683" s="6">
        <f>IF($J1683="","",ROUND('Opening Balance'!$B$4+SUM($F$2:F1683)-SUM($G$2:G1683),2))</f>
        <v/>
      </c>
      <c r="J1683" s="21">
        <f>IFERROR(MATCH(ROW()-1,$L$2:$L$3001,0),"")</f>
        <v/>
      </c>
      <c r="K1683" s="34">
        <f>IF(AND('Daily Sale entry '!Q183="Collection 收款",'Daily Sale entry '!R183="Cheque 支票",'Daily Sale entry '!V183&lt;&gt;""),'Daily Sale entry '!V183+ROW()/10000000,"")</f>
        <v/>
      </c>
      <c r="L1683" s="21">
        <f>IF(K1683="","",COUNTIF($K$2:$K$3001,"&lt;"&amp;K1683)+1)</f>
        <v/>
      </c>
    </row>
    <row r="1684">
      <c r="A1684" s="5">
        <f>IF($J1684="","",IF($J1684&lt;=1500,INDEX('Daily Sale entry '!$X$1:$X$1501,$J1684+1),INDEX('Daily Sale entry '!$V$1:$V$1501,$J1684-1499)))</f>
        <v/>
      </c>
      <c r="B1684">
        <f>IF($J1684="","",IF($J1684&lt;=1500,INDEX('Daily Sale entry '!$Y$1:$Y$1501,$J1684+1)&amp;"","Buyer cheque banked 买家支票存入"&amp;IF(INDEX('Daily Sale entry '!$U$1:$U$1501,$J1684-1499)="","", " - "&amp;INDEX('Daily Sale entry '!$U$1:$U$1501,$J1684-1499))))</f>
        <v/>
      </c>
      <c r="C1684">
        <f>IF($J1684="","",IF($J1684&lt;=1500,INDEX('Daily Sale entry '!$Z$1:$Z$1501,$J1684+1)&amp;"","Cheque deposit 支票存入 (buyer 买家)"))</f>
        <v/>
      </c>
      <c r="D1684">
        <f>IF($J1684="","",IF($J1684&lt;=1500,INDEX('Daily Sale entry '!$AA$1:$AA$1501,$J1684+1)&amp;"",INDEX('Daily Sale entry '!$P$1:$P$1501,$J1684-1499)&amp;""))</f>
        <v/>
      </c>
      <c r="E1684">
        <f>IF($J1684="","",IF($J1684&lt;=1500,IF(N(INDEX('Daily Sale entry '!$AB$1:$AB$1501,$J1684+1))=0,"",INDEX('Daily Sale entry '!$AB$1:$AB$1501,$J1684+1)),1))</f>
        <v/>
      </c>
      <c r="F1684" s="6">
        <f>IF($J1684="","",IF($J1684&lt;=1500,N(INDEX('Daily Sale entry '!$AC$1:$AC$1501,$J1684+1))-IF(AND('Opening Balance'!$B$15=1,INDEX('Daily Sale entry '!$Z$1:$Z$1501,$J1684+1)="Online collection 网上收款",INDEX('Daily Sale entry '!$AA$1:$AA$1501,$J1684+1)&lt;&gt;""),N(INDEX('Daily Sale entry '!$AC$1:$AC$1501,$J1684+1))-TRUNC(N(INDEX('Daily Sale entry '!$AC$1:$AC$1501,$J1684+1))),0),N(INDEX('Daily Sale entry '!$S$1:$S$1501,$J1684-1499))-'Opening Balance'!$B$15*(N(INDEX('Daily Sale entry '!$S$1:$S$1501,$J1684-1499))-TRUNC(N(INDEX('Daily Sale entry '!$S$1:$S$1501,$J1684-1499))))))</f>
        <v/>
      </c>
      <c r="G1684" s="6">
        <f>IF($J1684="","",IF($J1684&lt;=1500,N(INDEX('Daily Sale entry '!$AD$1:$AD$1501,$J1684+1)),0))</f>
        <v/>
      </c>
      <c r="H1684" s="6">
        <f>IF($J1684="","",ROUND('Opening Balance'!$B$4+SUM($F$2:F1684)-SUM($G$2:G1684),2))</f>
        <v/>
      </c>
      <c r="J1684" s="21">
        <f>IFERROR(MATCH(ROW()-1,$L$2:$L$3001,0),"")</f>
        <v/>
      </c>
      <c r="K1684" s="34">
        <f>IF(AND('Daily Sale entry '!Q184="Collection 收款",'Daily Sale entry '!R184="Cheque 支票",'Daily Sale entry '!V184&lt;&gt;""),'Daily Sale entry '!V184+ROW()/10000000,"")</f>
        <v/>
      </c>
      <c r="L1684" s="21">
        <f>IF(K1684="","",COUNTIF($K$2:$K$3001,"&lt;"&amp;K1684)+1)</f>
        <v/>
      </c>
    </row>
    <row r="1685">
      <c r="A1685" s="5">
        <f>IF($J1685="","",IF($J1685&lt;=1500,INDEX('Daily Sale entry '!$X$1:$X$1501,$J1685+1),INDEX('Daily Sale entry '!$V$1:$V$1501,$J1685-1499)))</f>
        <v/>
      </c>
      <c r="B1685">
        <f>IF($J1685="","",IF($J1685&lt;=1500,INDEX('Daily Sale entry '!$Y$1:$Y$1501,$J1685+1)&amp;"","Buyer cheque banked 买家支票存入"&amp;IF(INDEX('Daily Sale entry '!$U$1:$U$1501,$J1685-1499)="","", " - "&amp;INDEX('Daily Sale entry '!$U$1:$U$1501,$J1685-1499))))</f>
        <v/>
      </c>
      <c r="C1685">
        <f>IF($J1685="","",IF($J1685&lt;=1500,INDEX('Daily Sale entry '!$Z$1:$Z$1501,$J1685+1)&amp;"","Cheque deposit 支票存入 (buyer 买家)"))</f>
        <v/>
      </c>
      <c r="D1685">
        <f>IF($J1685="","",IF($J1685&lt;=1500,INDEX('Daily Sale entry '!$AA$1:$AA$1501,$J1685+1)&amp;"",INDEX('Daily Sale entry '!$P$1:$P$1501,$J1685-1499)&amp;""))</f>
        <v/>
      </c>
      <c r="E1685">
        <f>IF($J1685="","",IF($J1685&lt;=1500,IF(N(INDEX('Daily Sale entry '!$AB$1:$AB$1501,$J1685+1))=0,"",INDEX('Daily Sale entry '!$AB$1:$AB$1501,$J1685+1)),1))</f>
        <v/>
      </c>
      <c r="F1685" s="6">
        <f>IF($J1685="","",IF($J1685&lt;=1500,N(INDEX('Daily Sale entry '!$AC$1:$AC$1501,$J1685+1))-IF(AND('Opening Balance'!$B$15=1,INDEX('Daily Sale entry '!$Z$1:$Z$1501,$J1685+1)="Online collection 网上收款",INDEX('Daily Sale entry '!$AA$1:$AA$1501,$J1685+1)&lt;&gt;""),N(INDEX('Daily Sale entry '!$AC$1:$AC$1501,$J1685+1))-TRUNC(N(INDEX('Daily Sale entry '!$AC$1:$AC$1501,$J1685+1))),0),N(INDEX('Daily Sale entry '!$S$1:$S$1501,$J1685-1499))-'Opening Balance'!$B$15*(N(INDEX('Daily Sale entry '!$S$1:$S$1501,$J1685-1499))-TRUNC(N(INDEX('Daily Sale entry '!$S$1:$S$1501,$J1685-1499))))))</f>
        <v/>
      </c>
      <c r="G1685" s="6">
        <f>IF($J1685="","",IF($J1685&lt;=1500,N(INDEX('Daily Sale entry '!$AD$1:$AD$1501,$J1685+1)),0))</f>
        <v/>
      </c>
      <c r="H1685" s="6">
        <f>IF($J1685="","",ROUND('Opening Balance'!$B$4+SUM($F$2:F1685)-SUM($G$2:G1685),2))</f>
        <v/>
      </c>
      <c r="J1685" s="21">
        <f>IFERROR(MATCH(ROW()-1,$L$2:$L$3001,0),"")</f>
        <v/>
      </c>
      <c r="K1685" s="34">
        <f>IF(AND('Daily Sale entry '!Q185="Collection 收款",'Daily Sale entry '!R185="Cheque 支票",'Daily Sale entry '!V185&lt;&gt;""),'Daily Sale entry '!V185+ROW()/10000000,"")</f>
        <v/>
      </c>
      <c r="L1685" s="21">
        <f>IF(K1685="","",COUNTIF($K$2:$K$3001,"&lt;"&amp;K1685)+1)</f>
        <v/>
      </c>
    </row>
    <row r="1686">
      <c r="A1686" s="5">
        <f>IF($J1686="","",IF($J1686&lt;=1500,INDEX('Daily Sale entry '!$X$1:$X$1501,$J1686+1),INDEX('Daily Sale entry '!$V$1:$V$1501,$J1686-1499)))</f>
        <v/>
      </c>
      <c r="B1686">
        <f>IF($J1686="","",IF($J1686&lt;=1500,INDEX('Daily Sale entry '!$Y$1:$Y$1501,$J1686+1)&amp;"","Buyer cheque banked 买家支票存入"&amp;IF(INDEX('Daily Sale entry '!$U$1:$U$1501,$J1686-1499)="","", " - "&amp;INDEX('Daily Sale entry '!$U$1:$U$1501,$J1686-1499))))</f>
        <v/>
      </c>
      <c r="C1686">
        <f>IF($J1686="","",IF($J1686&lt;=1500,INDEX('Daily Sale entry '!$Z$1:$Z$1501,$J1686+1)&amp;"","Cheque deposit 支票存入 (buyer 买家)"))</f>
        <v/>
      </c>
      <c r="D1686">
        <f>IF($J1686="","",IF($J1686&lt;=1500,INDEX('Daily Sale entry '!$AA$1:$AA$1501,$J1686+1)&amp;"",INDEX('Daily Sale entry '!$P$1:$P$1501,$J1686-1499)&amp;""))</f>
        <v/>
      </c>
      <c r="E1686">
        <f>IF($J1686="","",IF($J1686&lt;=1500,IF(N(INDEX('Daily Sale entry '!$AB$1:$AB$1501,$J1686+1))=0,"",INDEX('Daily Sale entry '!$AB$1:$AB$1501,$J1686+1)),1))</f>
        <v/>
      </c>
      <c r="F1686" s="6">
        <f>IF($J1686="","",IF($J1686&lt;=1500,N(INDEX('Daily Sale entry '!$AC$1:$AC$1501,$J1686+1))-IF(AND('Opening Balance'!$B$15=1,INDEX('Daily Sale entry '!$Z$1:$Z$1501,$J1686+1)="Online collection 网上收款",INDEX('Daily Sale entry '!$AA$1:$AA$1501,$J1686+1)&lt;&gt;""),N(INDEX('Daily Sale entry '!$AC$1:$AC$1501,$J1686+1))-TRUNC(N(INDEX('Daily Sale entry '!$AC$1:$AC$1501,$J1686+1))),0),N(INDEX('Daily Sale entry '!$S$1:$S$1501,$J1686-1499))-'Opening Balance'!$B$15*(N(INDEX('Daily Sale entry '!$S$1:$S$1501,$J1686-1499))-TRUNC(N(INDEX('Daily Sale entry '!$S$1:$S$1501,$J1686-1499))))))</f>
        <v/>
      </c>
      <c r="G1686" s="6">
        <f>IF($J1686="","",IF($J1686&lt;=1500,N(INDEX('Daily Sale entry '!$AD$1:$AD$1501,$J1686+1)),0))</f>
        <v/>
      </c>
      <c r="H1686" s="6">
        <f>IF($J1686="","",ROUND('Opening Balance'!$B$4+SUM($F$2:F1686)-SUM($G$2:G1686),2))</f>
        <v/>
      </c>
      <c r="J1686" s="21">
        <f>IFERROR(MATCH(ROW()-1,$L$2:$L$3001,0),"")</f>
        <v/>
      </c>
      <c r="K1686" s="34">
        <f>IF(AND('Daily Sale entry '!Q186="Collection 收款",'Daily Sale entry '!R186="Cheque 支票",'Daily Sale entry '!V186&lt;&gt;""),'Daily Sale entry '!V186+ROW()/10000000,"")</f>
        <v/>
      </c>
      <c r="L1686" s="21">
        <f>IF(K1686="","",COUNTIF($K$2:$K$3001,"&lt;"&amp;K1686)+1)</f>
        <v/>
      </c>
    </row>
    <row r="1687">
      <c r="A1687" s="5">
        <f>IF($J1687="","",IF($J1687&lt;=1500,INDEX('Daily Sale entry '!$X$1:$X$1501,$J1687+1),INDEX('Daily Sale entry '!$V$1:$V$1501,$J1687-1499)))</f>
        <v/>
      </c>
      <c r="B1687">
        <f>IF($J1687="","",IF($J1687&lt;=1500,INDEX('Daily Sale entry '!$Y$1:$Y$1501,$J1687+1)&amp;"","Buyer cheque banked 买家支票存入"&amp;IF(INDEX('Daily Sale entry '!$U$1:$U$1501,$J1687-1499)="","", " - "&amp;INDEX('Daily Sale entry '!$U$1:$U$1501,$J1687-1499))))</f>
        <v/>
      </c>
      <c r="C1687">
        <f>IF($J1687="","",IF($J1687&lt;=1500,INDEX('Daily Sale entry '!$Z$1:$Z$1501,$J1687+1)&amp;"","Cheque deposit 支票存入 (buyer 买家)"))</f>
        <v/>
      </c>
      <c r="D1687">
        <f>IF($J1687="","",IF($J1687&lt;=1500,INDEX('Daily Sale entry '!$AA$1:$AA$1501,$J1687+1)&amp;"",INDEX('Daily Sale entry '!$P$1:$P$1501,$J1687-1499)&amp;""))</f>
        <v/>
      </c>
      <c r="E1687">
        <f>IF($J1687="","",IF($J1687&lt;=1500,IF(N(INDEX('Daily Sale entry '!$AB$1:$AB$1501,$J1687+1))=0,"",INDEX('Daily Sale entry '!$AB$1:$AB$1501,$J1687+1)),1))</f>
        <v/>
      </c>
      <c r="F1687" s="6">
        <f>IF($J1687="","",IF($J1687&lt;=1500,N(INDEX('Daily Sale entry '!$AC$1:$AC$1501,$J1687+1))-IF(AND('Opening Balance'!$B$15=1,INDEX('Daily Sale entry '!$Z$1:$Z$1501,$J1687+1)="Online collection 网上收款",INDEX('Daily Sale entry '!$AA$1:$AA$1501,$J1687+1)&lt;&gt;""),N(INDEX('Daily Sale entry '!$AC$1:$AC$1501,$J1687+1))-TRUNC(N(INDEX('Daily Sale entry '!$AC$1:$AC$1501,$J1687+1))),0),N(INDEX('Daily Sale entry '!$S$1:$S$1501,$J1687-1499))-'Opening Balance'!$B$15*(N(INDEX('Daily Sale entry '!$S$1:$S$1501,$J1687-1499))-TRUNC(N(INDEX('Daily Sale entry '!$S$1:$S$1501,$J1687-1499))))))</f>
        <v/>
      </c>
      <c r="G1687" s="6">
        <f>IF($J1687="","",IF($J1687&lt;=1500,N(INDEX('Daily Sale entry '!$AD$1:$AD$1501,$J1687+1)),0))</f>
        <v/>
      </c>
      <c r="H1687" s="6">
        <f>IF($J1687="","",ROUND('Opening Balance'!$B$4+SUM($F$2:F1687)-SUM($G$2:G1687),2))</f>
        <v/>
      </c>
      <c r="J1687" s="21">
        <f>IFERROR(MATCH(ROW()-1,$L$2:$L$3001,0),"")</f>
        <v/>
      </c>
      <c r="K1687" s="34">
        <f>IF(AND('Daily Sale entry '!Q187="Collection 收款",'Daily Sale entry '!R187="Cheque 支票",'Daily Sale entry '!V187&lt;&gt;""),'Daily Sale entry '!V187+ROW()/10000000,"")</f>
        <v/>
      </c>
      <c r="L1687" s="21">
        <f>IF(K1687="","",COUNTIF($K$2:$K$3001,"&lt;"&amp;K1687)+1)</f>
        <v/>
      </c>
    </row>
    <row r="1688">
      <c r="A1688" s="5">
        <f>IF($J1688="","",IF($J1688&lt;=1500,INDEX('Daily Sale entry '!$X$1:$X$1501,$J1688+1),INDEX('Daily Sale entry '!$V$1:$V$1501,$J1688-1499)))</f>
        <v/>
      </c>
      <c r="B1688">
        <f>IF($J1688="","",IF($J1688&lt;=1500,INDEX('Daily Sale entry '!$Y$1:$Y$1501,$J1688+1)&amp;"","Buyer cheque banked 买家支票存入"&amp;IF(INDEX('Daily Sale entry '!$U$1:$U$1501,$J1688-1499)="","", " - "&amp;INDEX('Daily Sale entry '!$U$1:$U$1501,$J1688-1499))))</f>
        <v/>
      </c>
      <c r="C1688">
        <f>IF($J1688="","",IF($J1688&lt;=1500,INDEX('Daily Sale entry '!$Z$1:$Z$1501,$J1688+1)&amp;"","Cheque deposit 支票存入 (buyer 买家)"))</f>
        <v/>
      </c>
      <c r="D1688">
        <f>IF($J1688="","",IF($J1688&lt;=1500,INDEX('Daily Sale entry '!$AA$1:$AA$1501,$J1688+1)&amp;"",INDEX('Daily Sale entry '!$P$1:$P$1501,$J1688-1499)&amp;""))</f>
        <v/>
      </c>
      <c r="E1688">
        <f>IF($J1688="","",IF($J1688&lt;=1500,IF(N(INDEX('Daily Sale entry '!$AB$1:$AB$1501,$J1688+1))=0,"",INDEX('Daily Sale entry '!$AB$1:$AB$1501,$J1688+1)),1))</f>
        <v/>
      </c>
      <c r="F1688" s="6">
        <f>IF($J1688="","",IF($J1688&lt;=1500,N(INDEX('Daily Sale entry '!$AC$1:$AC$1501,$J1688+1))-IF(AND('Opening Balance'!$B$15=1,INDEX('Daily Sale entry '!$Z$1:$Z$1501,$J1688+1)="Online collection 网上收款",INDEX('Daily Sale entry '!$AA$1:$AA$1501,$J1688+1)&lt;&gt;""),N(INDEX('Daily Sale entry '!$AC$1:$AC$1501,$J1688+1))-TRUNC(N(INDEX('Daily Sale entry '!$AC$1:$AC$1501,$J1688+1))),0),N(INDEX('Daily Sale entry '!$S$1:$S$1501,$J1688-1499))-'Opening Balance'!$B$15*(N(INDEX('Daily Sale entry '!$S$1:$S$1501,$J1688-1499))-TRUNC(N(INDEX('Daily Sale entry '!$S$1:$S$1501,$J1688-1499))))))</f>
        <v/>
      </c>
      <c r="G1688" s="6">
        <f>IF($J1688="","",IF($J1688&lt;=1500,N(INDEX('Daily Sale entry '!$AD$1:$AD$1501,$J1688+1)),0))</f>
        <v/>
      </c>
      <c r="H1688" s="6">
        <f>IF($J1688="","",ROUND('Opening Balance'!$B$4+SUM($F$2:F1688)-SUM($G$2:G1688),2))</f>
        <v/>
      </c>
      <c r="J1688" s="21">
        <f>IFERROR(MATCH(ROW()-1,$L$2:$L$3001,0),"")</f>
        <v/>
      </c>
      <c r="K1688" s="34">
        <f>IF(AND('Daily Sale entry '!Q188="Collection 收款",'Daily Sale entry '!R188="Cheque 支票",'Daily Sale entry '!V188&lt;&gt;""),'Daily Sale entry '!V188+ROW()/10000000,"")</f>
        <v/>
      </c>
      <c r="L1688" s="21">
        <f>IF(K1688="","",COUNTIF($K$2:$K$3001,"&lt;"&amp;K1688)+1)</f>
        <v/>
      </c>
    </row>
    <row r="1689">
      <c r="A1689" s="5">
        <f>IF($J1689="","",IF($J1689&lt;=1500,INDEX('Daily Sale entry '!$X$1:$X$1501,$J1689+1),INDEX('Daily Sale entry '!$V$1:$V$1501,$J1689-1499)))</f>
        <v/>
      </c>
      <c r="B1689">
        <f>IF($J1689="","",IF($J1689&lt;=1500,INDEX('Daily Sale entry '!$Y$1:$Y$1501,$J1689+1)&amp;"","Buyer cheque banked 买家支票存入"&amp;IF(INDEX('Daily Sale entry '!$U$1:$U$1501,$J1689-1499)="","", " - "&amp;INDEX('Daily Sale entry '!$U$1:$U$1501,$J1689-1499))))</f>
        <v/>
      </c>
      <c r="C1689">
        <f>IF($J1689="","",IF($J1689&lt;=1500,INDEX('Daily Sale entry '!$Z$1:$Z$1501,$J1689+1)&amp;"","Cheque deposit 支票存入 (buyer 买家)"))</f>
        <v/>
      </c>
      <c r="D1689">
        <f>IF($J1689="","",IF($J1689&lt;=1500,INDEX('Daily Sale entry '!$AA$1:$AA$1501,$J1689+1)&amp;"",INDEX('Daily Sale entry '!$P$1:$P$1501,$J1689-1499)&amp;""))</f>
        <v/>
      </c>
      <c r="E1689">
        <f>IF($J1689="","",IF($J1689&lt;=1500,IF(N(INDEX('Daily Sale entry '!$AB$1:$AB$1501,$J1689+1))=0,"",INDEX('Daily Sale entry '!$AB$1:$AB$1501,$J1689+1)),1))</f>
        <v/>
      </c>
      <c r="F1689" s="6">
        <f>IF($J1689="","",IF($J1689&lt;=1500,N(INDEX('Daily Sale entry '!$AC$1:$AC$1501,$J1689+1))-IF(AND('Opening Balance'!$B$15=1,INDEX('Daily Sale entry '!$Z$1:$Z$1501,$J1689+1)="Online collection 网上收款",INDEX('Daily Sale entry '!$AA$1:$AA$1501,$J1689+1)&lt;&gt;""),N(INDEX('Daily Sale entry '!$AC$1:$AC$1501,$J1689+1))-TRUNC(N(INDEX('Daily Sale entry '!$AC$1:$AC$1501,$J1689+1))),0),N(INDEX('Daily Sale entry '!$S$1:$S$1501,$J1689-1499))-'Opening Balance'!$B$15*(N(INDEX('Daily Sale entry '!$S$1:$S$1501,$J1689-1499))-TRUNC(N(INDEX('Daily Sale entry '!$S$1:$S$1501,$J1689-1499))))))</f>
        <v/>
      </c>
      <c r="G1689" s="6">
        <f>IF($J1689="","",IF($J1689&lt;=1500,N(INDEX('Daily Sale entry '!$AD$1:$AD$1501,$J1689+1)),0))</f>
        <v/>
      </c>
      <c r="H1689" s="6">
        <f>IF($J1689="","",ROUND('Opening Balance'!$B$4+SUM($F$2:F1689)-SUM($G$2:G1689),2))</f>
        <v/>
      </c>
      <c r="J1689" s="21">
        <f>IFERROR(MATCH(ROW()-1,$L$2:$L$3001,0),"")</f>
        <v/>
      </c>
      <c r="K1689" s="34">
        <f>IF(AND('Daily Sale entry '!Q189="Collection 收款",'Daily Sale entry '!R189="Cheque 支票",'Daily Sale entry '!V189&lt;&gt;""),'Daily Sale entry '!V189+ROW()/10000000,"")</f>
        <v/>
      </c>
      <c r="L1689" s="21">
        <f>IF(K1689="","",COUNTIF($K$2:$K$3001,"&lt;"&amp;K1689)+1)</f>
        <v/>
      </c>
    </row>
    <row r="1690">
      <c r="A1690" s="5">
        <f>IF($J1690="","",IF($J1690&lt;=1500,INDEX('Daily Sale entry '!$X$1:$X$1501,$J1690+1),INDEX('Daily Sale entry '!$V$1:$V$1501,$J1690-1499)))</f>
        <v/>
      </c>
      <c r="B1690">
        <f>IF($J1690="","",IF($J1690&lt;=1500,INDEX('Daily Sale entry '!$Y$1:$Y$1501,$J1690+1)&amp;"","Buyer cheque banked 买家支票存入"&amp;IF(INDEX('Daily Sale entry '!$U$1:$U$1501,$J1690-1499)="","", " - "&amp;INDEX('Daily Sale entry '!$U$1:$U$1501,$J1690-1499))))</f>
        <v/>
      </c>
      <c r="C1690">
        <f>IF($J1690="","",IF($J1690&lt;=1500,INDEX('Daily Sale entry '!$Z$1:$Z$1501,$J1690+1)&amp;"","Cheque deposit 支票存入 (buyer 买家)"))</f>
        <v/>
      </c>
      <c r="D1690">
        <f>IF($J1690="","",IF($J1690&lt;=1500,INDEX('Daily Sale entry '!$AA$1:$AA$1501,$J1690+1)&amp;"",INDEX('Daily Sale entry '!$P$1:$P$1501,$J1690-1499)&amp;""))</f>
        <v/>
      </c>
      <c r="E1690">
        <f>IF($J1690="","",IF($J1690&lt;=1500,IF(N(INDEX('Daily Sale entry '!$AB$1:$AB$1501,$J1690+1))=0,"",INDEX('Daily Sale entry '!$AB$1:$AB$1501,$J1690+1)),1))</f>
        <v/>
      </c>
      <c r="F1690" s="6">
        <f>IF($J1690="","",IF($J1690&lt;=1500,N(INDEX('Daily Sale entry '!$AC$1:$AC$1501,$J1690+1))-IF(AND('Opening Balance'!$B$15=1,INDEX('Daily Sale entry '!$Z$1:$Z$1501,$J1690+1)="Online collection 网上收款",INDEX('Daily Sale entry '!$AA$1:$AA$1501,$J1690+1)&lt;&gt;""),N(INDEX('Daily Sale entry '!$AC$1:$AC$1501,$J1690+1))-TRUNC(N(INDEX('Daily Sale entry '!$AC$1:$AC$1501,$J1690+1))),0),N(INDEX('Daily Sale entry '!$S$1:$S$1501,$J1690-1499))-'Opening Balance'!$B$15*(N(INDEX('Daily Sale entry '!$S$1:$S$1501,$J1690-1499))-TRUNC(N(INDEX('Daily Sale entry '!$S$1:$S$1501,$J1690-1499))))))</f>
        <v/>
      </c>
      <c r="G1690" s="6">
        <f>IF($J1690="","",IF($J1690&lt;=1500,N(INDEX('Daily Sale entry '!$AD$1:$AD$1501,$J1690+1)),0))</f>
        <v/>
      </c>
      <c r="H1690" s="6">
        <f>IF($J1690="","",ROUND('Opening Balance'!$B$4+SUM($F$2:F1690)-SUM($G$2:G1690),2))</f>
        <v/>
      </c>
      <c r="J1690" s="21">
        <f>IFERROR(MATCH(ROW()-1,$L$2:$L$3001,0),"")</f>
        <v/>
      </c>
      <c r="K1690" s="34">
        <f>IF(AND('Daily Sale entry '!Q190="Collection 收款",'Daily Sale entry '!R190="Cheque 支票",'Daily Sale entry '!V190&lt;&gt;""),'Daily Sale entry '!V190+ROW()/10000000,"")</f>
        <v/>
      </c>
      <c r="L1690" s="21">
        <f>IF(K1690="","",COUNTIF($K$2:$K$3001,"&lt;"&amp;K1690)+1)</f>
        <v/>
      </c>
    </row>
    <row r="1691">
      <c r="A1691" s="5">
        <f>IF($J1691="","",IF($J1691&lt;=1500,INDEX('Daily Sale entry '!$X$1:$X$1501,$J1691+1),INDEX('Daily Sale entry '!$V$1:$V$1501,$J1691-1499)))</f>
        <v/>
      </c>
      <c r="B1691">
        <f>IF($J1691="","",IF($J1691&lt;=1500,INDEX('Daily Sale entry '!$Y$1:$Y$1501,$J1691+1)&amp;"","Buyer cheque banked 买家支票存入"&amp;IF(INDEX('Daily Sale entry '!$U$1:$U$1501,$J1691-1499)="","", " - "&amp;INDEX('Daily Sale entry '!$U$1:$U$1501,$J1691-1499))))</f>
        <v/>
      </c>
      <c r="C1691">
        <f>IF($J1691="","",IF($J1691&lt;=1500,INDEX('Daily Sale entry '!$Z$1:$Z$1501,$J1691+1)&amp;"","Cheque deposit 支票存入 (buyer 买家)"))</f>
        <v/>
      </c>
      <c r="D1691">
        <f>IF($J1691="","",IF($J1691&lt;=1500,INDEX('Daily Sale entry '!$AA$1:$AA$1501,$J1691+1)&amp;"",INDEX('Daily Sale entry '!$P$1:$P$1501,$J1691-1499)&amp;""))</f>
        <v/>
      </c>
      <c r="E1691">
        <f>IF($J1691="","",IF($J1691&lt;=1500,IF(N(INDEX('Daily Sale entry '!$AB$1:$AB$1501,$J1691+1))=0,"",INDEX('Daily Sale entry '!$AB$1:$AB$1501,$J1691+1)),1))</f>
        <v/>
      </c>
      <c r="F1691" s="6">
        <f>IF($J1691="","",IF($J1691&lt;=1500,N(INDEX('Daily Sale entry '!$AC$1:$AC$1501,$J1691+1))-IF(AND('Opening Balance'!$B$15=1,INDEX('Daily Sale entry '!$Z$1:$Z$1501,$J1691+1)="Online collection 网上收款",INDEX('Daily Sale entry '!$AA$1:$AA$1501,$J1691+1)&lt;&gt;""),N(INDEX('Daily Sale entry '!$AC$1:$AC$1501,$J1691+1))-TRUNC(N(INDEX('Daily Sale entry '!$AC$1:$AC$1501,$J1691+1))),0),N(INDEX('Daily Sale entry '!$S$1:$S$1501,$J1691-1499))-'Opening Balance'!$B$15*(N(INDEX('Daily Sale entry '!$S$1:$S$1501,$J1691-1499))-TRUNC(N(INDEX('Daily Sale entry '!$S$1:$S$1501,$J1691-1499))))))</f>
        <v/>
      </c>
      <c r="G1691" s="6">
        <f>IF($J1691="","",IF($J1691&lt;=1500,N(INDEX('Daily Sale entry '!$AD$1:$AD$1501,$J1691+1)),0))</f>
        <v/>
      </c>
      <c r="H1691" s="6">
        <f>IF($J1691="","",ROUND('Opening Balance'!$B$4+SUM($F$2:F1691)-SUM($G$2:G1691),2))</f>
        <v/>
      </c>
      <c r="J1691" s="21">
        <f>IFERROR(MATCH(ROW()-1,$L$2:$L$3001,0),"")</f>
        <v/>
      </c>
      <c r="K1691" s="34">
        <f>IF(AND('Daily Sale entry '!Q191="Collection 收款",'Daily Sale entry '!R191="Cheque 支票",'Daily Sale entry '!V191&lt;&gt;""),'Daily Sale entry '!V191+ROW()/10000000,"")</f>
        <v/>
      </c>
      <c r="L1691" s="21">
        <f>IF(K1691="","",COUNTIF($K$2:$K$3001,"&lt;"&amp;K1691)+1)</f>
        <v/>
      </c>
    </row>
    <row r="1692">
      <c r="A1692" s="5">
        <f>IF($J1692="","",IF($J1692&lt;=1500,INDEX('Daily Sale entry '!$X$1:$X$1501,$J1692+1),INDEX('Daily Sale entry '!$V$1:$V$1501,$J1692-1499)))</f>
        <v/>
      </c>
      <c r="B1692">
        <f>IF($J1692="","",IF($J1692&lt;=1500,INDEX('Daily Sale entry '!$Y$1:$Y$1501,$J1692+1)&amp;"","Buyer cheque banked 买家支票存入"&amp;IF(INDEX('Daily Sale entry '!$U$1:$U$1501,$J1692-1499)="","", " - "&amp;INDEX('Daily Sale entry '!$U$1:$U$1501,$J1692-1499))))</f>
        <v/>
      </c>
      <c r="C1692">
        <f>IF($J1692="","",IF($J1692&lt;=1500,INDEX('Daily Sale entry '!$Z$1:$Z$1501,$J1692+1)&amp;"","Cheque deposit 支票存入 (buyer 买家)"))</f>
        <v/>
      </c>
      <c r="D1692">
        <f>IF($J1692="","",IF($J1692&lt;=1500,INDEX('Daily Sale entry '!$AA$1:$AA$1501,$J1692+1)&amp;"",INDEX('Daily Sale entry '!$P$1:$P$1501,$J1692-1499)&amp;""))</f>
        <v/>
      </c>
      <c r="E1692">
        <f>IF($J1692="","",IF($J1692&lt;=1500,IF(N(INDEX('Daily Sale entry '!$AB$1:$AB$1501,$J1692+1))=0,"",INDEX('Daily Sale entry '!$AB$1:$AB$1501,$J1692+1)),1))</f>
        <v/>
      </c>
      <c r="F1692" s="6">
        <f>IF($J1692="","",IF($J1692&lt;=1500,N(INDEX('Daily Sale entry '!$AC$1:$AC$1501,$J1692+1))-IF(AND('Opening Balance'!$B$15=1,INDEX('Daily Sale entry '!$Z$1:$Z$1501,$J1692+1)="Online collection 网上收款",INDEX('Daily Sale entry '!$AA$1:$AA$1501,$J1692+1)&lt;&gt;""),N(INDEX('Daily Sale entry '!$AC$1:$AC$1501,$J1692+1))-TRUNC(N(INDEX('Daily Sale entry '!$AC$1:$AC$1501,$J1692+1))),0),N(INDEX('Daily Sale entry '!$S$1:$S$1501,$J1692-1499))-'Opening Balance'!$B$15*(N(INDEX('Daily Sale entry '!$S$1:$S$1501,$J1692-1499))-TRUNC(N(INDEX('Daily Sale entry '!$S$1:$S$1501,$J1692-1499))))))</f>
        <v/>
      </c>
      <c r="G1692" s="6">
        <f>IF($J1692="","",IF($J1692&lt;=1500,N(INDEX('Daily Sale entry '!$AD$1:$AD$1501,$J1692+1)),0))</f>
        <v/>
      </c>
      <c r="H1692" s="6">
        <f>IF($J1692="","",ROUND('Opening Balance'!$B$4+SUM($F$2:F1692)-SUM($G$2:G1692),2))</f>
        <v/>
      </c>
      <c r="J1692" s="21">
        <f>IFERROR(MATCH(ROW()-1,$L$2:$L$3001,0),"")</f>
        <v/>
      </c>
      <c r="K1692" s="34">
        <f>IF(AND('Daily Sale entry '!Q192="Collection 收款",'Daily Sale entry '!R192="Cheque 支票",'Daily Sale entry '!V192&lt;&gt;""),'Daily Sale entry '!V192+ROW()/10000000,"")</f>
        <v/>
      </c>
      <c r="L1692" s="21">
        <f>IF(K1692="","",COUNTIF($K$2:$K$3001,"&lt;"&amp;K1692)+1)</f>
        <v/>
      </c>
    </row>
    <row r="1693">
      <c r="A1693" s="5">
        <f>IF($J1693="","",IF($J1693&lt;=1500,INDEX('Daily Sale entry '!$X$1:$X$1501,$J1693+1),INDEX('Daily Sale entry '!$V$1:$V$1501,$J1693-1499)))</f>
        <v/>
      </c>
      <c r="B1693">
        <f>IF($J1693="","",IF($J1693&lt;=1500,INDEX('Daily Sale entry '!$Y$1:$Y$1501,$J1693+1)&amp;"","Buyer cheque banked 买家支票存入"&amp;IF(INDEX('Daily Sale entry '!$U$1:$U$1501,$J1693-1499)="","", " - "&amp;INDEX('Daily Sale entry '!$U$1:$U$1501,$J1693-1499))))</f>
        <v/>
      </c>
      <c r="C1693">
        <f>IF($J1693="","",IF($J1693&lt;=1500,INDEX('Daily Sale entry '!$Z$1:$Z$1501,$J1693+1)&amp;"","Cheque deposit 支票存入 (buyer 买家)"))</f>
        <v/>
      </c>
      <c r="D1693">
        <f>IF($J1693="","",IF($J1693&lt;=1500,INDEX('Daily Sale entry '!$AA$1:$AA$1501,$J1693+1)&amp;"",INDEX('Daily Sale entry '!$P$1:$P$1501,$J1693-1499)&amp;""))</f>
        <v/>
      </c>
      <c r="E1693">
        <f>IF($J1693="","",IF($J1693&lt;=1500,IF(N(INDEX('Daily Sale entry '!$AB$1:$AB$1501,$J1693+1))=0,"",INDEX('Daily Sale entry '!$AB$1:$AB$1501,$J1693+1)),1))</f>
        <v/>
      </c>
      <c r="F1693" s="6">
        <f>IF($J1693="","",IF($J1693&lt;=1500,N(INDEX('Daily Sale entry '!$AC$1:$AC$1501,$J1693+1))-IF(AND('Opening Balance'!$B$15=1,INDEX('Daily Sale entry '!$Z$1:$Z$1501,$J1693+1)="Online collection 网上收款",INDEX('Daily Sale entry '!$AA$1:$AA$1501,$J1693+1)&lt;&gt;""),N(INDEX('Daily Sale entry '!$AC$1:$AC$1501,$J1693+1))-TRUNC(N(INDEX('Daily Sale entry '!$AC$1:$AC$1501,$J1693+1))),0),N(INDEX('Daily Sale entry '!$S$1:$S$1501,$J1693-1499))-'Opening Balance'!$B$15*(N(INDEX('Daily Sale entry '!$S$1:$S$1501,$J1693-1499))-TRUNC(N(INDEX('Daily Sale entry '!$S$1:$S$1501,$J1693-1499))))))</f>
        <v/>
      </c>
      <c r="G1693" s="6">
        <f>IF($J1693="","",IF($J1693&lt;=1500,N(INDEX('Daily Sale entry '!$AD$1:$AD$1501,$J1693+1)),0))</f>
        <v/>
      </c>
      <c r="H1693" s="6">
        <f>IF($J1693="","",ROUND('Opening Balance'!$B$4+SUM($F$2:F1693)-SUM($G$2:G1693),2))</f>
        <v/>
      </c>
      <c r="J1693" s="21">
        <f>IFERROR(MATCH(ROW()-1,$L$2:$L$3001,0),"")</f>
        <v/>
      </c>
      <c r="K1693" s="34">
        <f>IF(AND('Daily Sale entry '!Q193="Collection 收款",'Daily Sale entry '!R193="Cheque 支票",'Daily Sale entry '!V193&lt;&gt;""),'Daily Sale entry '!V193+ROW()/10000000,"")</f>
        <v/>
      </c>
      <c r="L1693" s="21">
        <f>IF(K1693="","",COUNTIF($K$2:$K$3001,"&lt;"&amp;K1693)+1)</f>
        <v/>
      </c>
    </row>
    <row r="1694">
      <c r="A1694" s="5">
        <f>IF($J1694="","",IF($J1694&lt;=1500,INDEX('Daily Sale entry '!$X$1:$X$1501,$J1694+1),INDEX('Daily Sale entry '!$V$1:$V$1501,$J1694-1499)))</f>
        <v/>
      </c>
      <c r="B1694">
        <f>IF($J1694="","",IF($J1694&lt;=1500,INDEX('Daily Sale entry '!$Y$1:$Y$1501,$J1694+1)&amp;"","Buyer cheque banked 买家支票存入"&amp;IF(INDEX('Daily Sale entry '!$U$1:$U$1501,$J1694-1499)="","", " - "&amp;INDEX('Daily Sale entry '!$U$1:$U$1501,$J1694-1499))))</f>
        <v/>
      </c>
      <c r="C1694">
        <f>IF($J1694="","",IF($J1694&lt;=1500,INDEX('Daily Sale entry '!$Z$1:$Z$1501,$J1694+1)&amp;"","Cheque deposit 支票存入 (buyer 买家)"))</f>
        <v/>
      </c>
      <c r="D1694">
        <f>IF($J1694="","",IF($J1694&lt;=1500,INDEX('Daily Sale entry '!$AA$1:$AA$1501,$J1694+1)&amp;"",INDEX('Daily Sale entry '!$P$1:$P$1501,$J1694-1499)&amp;""))</f>
        <v/>
      </c>
      <c r="E1694">
        <f>IF($J1694="","",IF($J1694&lt;=1500,IF(N(INDEX('Daily Sale entry '!$AB$1:$AB$1501,$J1694+1))=0,"",INDEX('Daily Sale entry '!$AB$1:$AB$1501,$J1694+1)),1))</f>
        <v/>
      </c>
      <c r="F1694" s="6">
        <f>IF($J1694="","",IF($J1694&lt;=1500,N(INDEX('Daily Sale entry '!$AC$1:$AC$1501,$J1694+1))-IF(AND('Opening Balance'!$B$15=1,INDEX('Daily Sale entry '!$Z$1:$Z$1501,$J1694+1)="Online collection 网上收款",INDEX('Daily Sale entry '!$AA$1:$AA$1501,$J1694+1)&lt;&gt;""),N(INDEX('Daily Sale entry '!$AC$1:$AC$1501,$J1694+1))-TRUNC(N(INDEX('Daily Sale entry '!$AC$1:$AC$1501,$J1694+1))),0),N(INDEX('Daily Sale entry '!$S$1:$S$1501,$J1694-1499))-'Opening Balance'!$B$15*(N(INDEX('Daily Sale entry '!$S$1:$S$1501,$J1694-1499))-TRUNC(N(INDEX('Daily Sale entry '!$S$1:$S$1501,$J1694-1499))))))</f>
        <v/>
      </c>
      <c r="G1694" s="6">
        <f>IF($J1694="","",IF($J1694&lt;=1500,N(INDEX('Daily Sale entry '!$AD$1:$AD$1501,$J1694+1)),0))</f>
        <v/>
      </c>
      <c r="H1694" s="6">
        <f>IF($J1694="","",ROUND('Opening Balance'!$B$4+SUM($F$2:F1694)-SUM($G$2:G1694),2))</f>
        <v/>
      </c>
      <c r="J1694" s="21">
        <f>IFERROR(MATCH(ROW()-1,$L$2:$L$3001,0),"")</f>
        <v/>
      </c>
      <c r="K1694" s="34">
        <f>IF(AND('Daily Sale entry '!Q194="Collection 收款",'Daily Sale entry '!R194="Cheque 支票",'Daily Sale entry '!V194&lt;&gt;""),'Daily Sale entry '!V194+ROW()/10000000,"")</f>
        <v/>
      </c>
      <c r="L1694" s="21">
        <f>IF(K1694="","",COUNTIF($K$2:$K$3001,"&lt;"&amp;K1694)+1)</f>
        <v/>
      </c>
    </row>
    <row r="1695">
      <c r="A1695" s="5">
        <f>IF($J1695="","",IF($J1695&lt;=1500,INDEX('Daily Sale entry '!$X$1:$X$1501,$J1695+1),INDEX('Daily Sale entry '!$V$1:$V$1501,$J1695-1499)))</f>
        <v/>
      </c>
      <c r="B1695">
        <f>IF($J1695="","",IF($J1695&lt;=1500,INDEX('Daily Sale entry '!$Y$1:$Y$1501,$J1695+1)&amp;"","Buyer cheque banked 买家支票存入"&amp;IF(INDEX('Daily Sale entry '!$U$1:$U$1501,$J1695-1499)="","", " - "&amp;INDEX('Daily Sale entry '!$U$1:$U$1501,$J1695-1499))))</f>
        <v/>
      </c>
      <c r="C1695">
        <f>IF($J1695="","",IF($J1695&lt;=1500,INDEX('Daily Sale entry '!$Z$1:$Z$1501,$J1695+1)&amp;"","Cheque deposit 支票存入 (buyer 买家)"))</f>
        <v/>
      </c>
      <c r="D1695">
        <f>IF($J1695="","",IF($J1695&lt;=1500,INDEX('Daily Sale entry '!$AA$1:$AA$1501,$J1695+1)&amp;"",INDEX('Daily Sale entry '!$P$1:$P$1501,$J1695-1499)&amp;""))</f>
        <v/>
      </c>
      <c r="E1695">
        <f>IF($J1695="","",IF($J1695&lt;=1500,IF(N(INDEX('Daily Sale entry '!$AB$1:$AB$1501,$J1695+1))=0,"",INDEX('Daily Sale entry '!$AB$1:$AB$1501,$J1695+1)),1))</f>
        <v/>
      </c>
      <c r="F1695" s="6">
        <f>IF($J1695="","",IF($J1695&lt;=1500,N(INDEX('Daily Sale entry '!$AC$1:$AC$1501,$J1695+1))-IF(AND('Opening Balance'!$B$15=1,INDEX('Daily Sale entry '!$Z$1:$Z$1501,$J1695+1)="Online collection 网上收款",INDEX('Daily Sale entry '!$AA$1:$AA$1501,$J1695+1)&lt;&gt;""),N(INDEX('Daily Sale entry '!$AC$1:$AC$1501,$J1695+1))-TRUNC(N(INDEX('Daily Sale entry '!$AC$1:$AC$1501,$J1695+1))),0),N(INDEX('Daily Sale entry '!$S$1:$S$1501,$J1695-1499))-'Opening Balance'!$B$15*(N(INDEX('Daily Sale entry '!$S$1:$S$1501,$J1695-1499))-TRUNC(N(INDEX('Daily Sale entry '!$S$1:$S$1501,$J1695-1499))))))</f>
        <v/>
      </c>
      <c r="G1695" s="6">
        <f>IF($J1695="","",IF($J1695&lt;=1500,N(INDEX('Daily Sale entry '!$AD$1:$AD$1501,$J1695+1)),0))</f>
        <v/>
      </c>
      <c r="H1695" s="6">
        <f>IF($J1695="","",ROUND('Opening Balance'!$B$4+SUM($F$2:F1695)-SUM($G$2:G1695),2))</f>
        <v/>
      </c>
      <c r="J1695" s="21">
        <f>IFERROR(MATCH(ROW()-1,$L$2:$L$3001,0),"")</f>
        <v/>
      </c>
      <c r="K1695" s="34">
        <f>IF(AND('Daily Sale entry '!Q195="Collection 收款",'Daily Sale entry '!R195="Cheque 支票",'Daily Sale entry '!V195&lt;&gt;""),'Daily Sale entry '!V195+ROW()/10000000,"")</f>
        <v/>
      </c>
      <c r="L1695" s="21">
        <f>IF(K1695="","",COUNTIF($K$2:$K$3001,"&lt;"&amp;K1695)+1)</f>
        <v/>
      </c>
    </row>
    <row r="1696">
      <c r="A1696" s="5">
        <f>IF($J1696="","",IF($J1696&lt;=1500,INDEX('Daily Sale entry '!$X$1:$X$1501,$J1696+1),INDEX('Daily Sale entry '!$V$1:$V$1501,$J1696-1499)))</f>
        <v/>
      </c>
      <c r="B1696">
        <f>IF($J1696="","",IF($J1696&lt;=1500,INDEX('Daily Sale entry '!$Y$1:$Y$1501,$J1696+1)&amp;"","Buyer cheque banked 买家支票存入"&amp;IF(INDEX('Daily Sale entry '!$U$1:$U$1501,$J1696-1499)="","", " - "&amp;INDEX('Daily Sale entry '!$U$1:$U$1501,$J1696-1499))))</f>
        <v/>
      </c>
      <c r="C1696">
        <f>IF($J1696="","",IF($J1696&lt;=1500,INDEX('Daily Sale entry '!$Z$1:$Z$1501,$J1696+1)&amp;"","Cheque deposit 支票存入 (buyer 买家)"))</f>
        <v/>
      </c>
      <c r="D1696">
        <f>IF($J1696="","",IF($J1696&lt;=1500,INDEX('Daily Sale entry '!$AA$1:$AA$1501,$J1696+1)&amp;"",INDEX('Daily Sale entry '!$P$1:$P$1501,$J1696-1499)&amp;""))</f>
        <v/>
      </c>
      <c r="E1696">
        <f>IF($J1696="","",IF($J1696&lt;=1500,IF(N(INDEX('Daily Sale entry '!$AB$1:$AB$1501,$J1696+1))=0,"",INDEX('Daily Sale entry '!$AB$1:$AB$1501,$J1696+1)),1))</f>
        <v/>
      </c>
      <c r="F1696" s="6">
        <f>IF($J1696="","",IF($J1696&lt;=1500,N(INDEX('Daily Sale entry '!$AC$1:$AC$1501,$J1696+1))-IF(AND('Opening Balance'!$B$15=1,INDEX('Daily Sale entry '!$Z$1:$Z$1501,$J1696+1)="Online collection 网上收款",INDEX('Daily Sale entry '!$AA$1:$AA$1501,$J1696+1)&lt;&gt;""),N(INDEX('Daily Sale entry '!$AC$1:$AC$1501,$J1696+1))-TRUNC(N(INDEX('Daily Sale entry '!$AC$1:$AC$1501,$J1696+1))),0),N(INDEX('Daily Sale entry '!$S$1:$S$1501,$J1696-1499))-'Opening Balance'!$B$15*(N(INDEX('Daily Sale entry '!$S$1:$S$1501,$J1696-1499))-TRUNC(N(INDEX('Daily Sale entry '!$S$1:$S$1501,$J1696-1499))))))</f>
        <v/>
      </c>
      <c r="G1696" s="6">
        <f>IF($J1696="","",IF($J1696&lt;=1500,N(INDEX('Daily Sale entry '!$AD$1:$AD$1501,$J1696+1)),0))</f>
        <v/>
      </c>
      <c r="H1696" s="6">
        <f>IF($J1696="","",ROUND('Opening Balance'!$B$4+SUM($F$2:F1696)-SUM($G$2:G1696),2))</f>
        <v/>
      </c>
      <c r="J1696" s="21">
        <f>IFERROR(MATCH(ROW()-1,$L$2:$L$3001,0),"")</f>
        <v/>
      </c>
      <c r="K1696" s="34">
        <f>IF(AND('Daily Sale entry '!Q196="Collection 收款",'Daily Sale entry '!R196="Cheque 支票",'Daily Sale entry '!V196&lt;&gt;""),'Daily Sale entry '!V196+ROW()/10000000,"")</f>
        <v/>
      </c>
      <c r="L1696" s="21">
        <f>IF(K1696="","",COUNTIF($K$2:$K$3001,"&lt;"&amp;K1696)+1)</f>
        <v/>
      </c>
    </row>
    <row r="1697">
      <c r="A1697" s="5">
        <f>IF($J1697="","",IF($J1697&lt;=1500,INDEX('Daily Sale entry '!$X$1:$X$1501,$J1697+1),INDEX('Daily Sale entry '!$V$1:$V$1501,$J1697-1499)))</f>
        <v/>
      </c>
      <c r="B1697">
        <f>IF($J1697="","",IF($J1697&lt;=1500,INDEX('Daily Sale entry '!$Y$1:$Y$1501,$J1697+1)&amp;"","Buyer cheque banked 买家支票存入"&amp;IF(INDEX('Daily Sale entry '!$U$1:$U$1501,$J1697-1499)="","", " - "&amp;INDEX('Daily Sale entry '!$U$1:$U$1501,$J1697-1499))))</f>
        <v/>
      </c>
      <c r="C1697">
        <f>IF($J1697="","",IF($J1697&lt;=1500,INDEX('Daily Sale entry '!$Z$1:$Z$1501,$J1697+1)&amp;"","Cheque deposit 支票存入 (buyer 买家)"))</f>
        <v/>
      </c>
      <c r="D1697">
        <f>IF($J1697="","",IF($J1697&lt;=1500,INDEX('Daily Sale entry '!$AA$1:$AA$1501,$J1697+1)&amp;"",INDEX('Daily Sale entry '!$P$1:$P$1501,$J1697-1499)&amp;""))</f>
        <v/>
      </c>
      <c r="E1697">
        <f>IF($J1697="","",IF($J1697&lt;=1500,IF(N(INDEX('Daily Sale entry '!$AB$1:$AB$1501,$J1697+1))=0,"",INDEX('Daily Sale entry '!$AB$1:$AB$1501,$J1697+1)),1))</f>
        <v/>
      </c>
      <c r="F1697" s="6">
        <f>IF($J1697="","",IF($J1697&lt;=1500,N(INDEX('Daily Sale entry '!$AC$1:$AC$1501,$J1697+1))-IF(AND('Opening Balance'!$B$15=1,INDEX('Daily Sale entry '!$Z$1:$Z$1501,$J1697+1)="Online collection 网上收款",INDEX('Daily Sale entry '!$AA$1:$AA$1501,$J1697+1)&lt;&gt;""),N(INDEX('Daily Sale entry '!$AC$1:$AC$1501,$J1697+1))-TRUNC(N(INDEX('Daily Sale entry '!$AC$1:$AC$1501,$J1697+1))),0),N(INDEX('Daily Sale entry '!$S$1:$S$1501,$J1697-1499))-'Opening Balance'!$B$15*(N(INDEX('Daily Sale entry '!$S$1:$S$1501,$J1697-1499))-TRUNC(N(INDEX('Daily Sale entry '!$S$1:$S$1501,$J1697-1499))))))</f>
        <v/>
      </c>
      <c r="G1697" s="6">
        <f>IF($J1697="","",IF($J1697&lt;=1500,N(INDEX('Daily Sale entry '!$AD$1:$AD$1501,$J1697+1)),0))</f>
        <v/>
      </c>
      <c r="H1697" s="6">
        <f>IF($J1697="","",ROUND('Opening Balance'!$B$4+SUM($F$2:F1697)-SUM($G$2:G1697),2))</f>
        <v/>
      </c>
      <c r="J1697" s="21">
        <f>IFERROR(MATCH(ROW()-1,$L$2:$L$3001,0),"")</f>
        <v/>
      </c>
      <c r="K1697" s="34">
        <f>IF(AND('Daily Sale entry '!Q197="Collection 收款",'Daily Sale entry '!R197="Cheque 支票",'Daily Sale entry '!V197&lt;&gt;""),'Daily Sale entry '!V197+ROW()/10000000,"")</f>
        <v/>
      </c>
      <c r="L1697" s="21">
        <f>IF(K1697="","",COUNTIF($K$2:$K$3001,"&lt;"&amp;K1697)+1)</f>
        <v/>
      </c>
    </row>
    <row r="1698">
      <c r="A1698" s="5">
        <f>IF($J1698="","",IF($J1698&lt;=1500,INDEX('Daily Sale entry '!$X$1:$X$1501,$J1698+1),INDEX('Daily Sale entry '!$V$1:$V$1501,$J1698-1499)))</f>
        <v/>
      </c>
      <c r="B1698">
        <f>IF($J1698="","",IF($J1698&lt;=1500,INDEX('Daily Sale entry '!$Y$1:$Y$1501,$J1698+1)&amp;"","Buyer cheque banked 买家支票存入"&amp;IF(INDEX('Daily Sale entry '!$U$1:$U$1501,$J1698-1499)="","", " - "&amp;INDEX('Daily Sale entry '!$U$1:$U$1501,$J1698-1499))))</f>
        <v/>
      </c>
      <c r="C1698">
        <f>IF($J1698="","",IF($J1698&lt;=1500,INDEX('Daily Sale entry '!$Z$1:$Z$1501,$J1698+1)&amp;"","Cheque deposit 支票存入 (buyer 买家)"))</f>
        <v/>
      </c>
      <c r="D1698">
        <f>IF($J1698="","",IF($J1698&lt;=1500,INDEX('Daily Sale entry '!$AA$1:$AA$1501,$J1698+1)&amp;"",INDEX('Daily Sale entry '!$P$1:$P$1501,$J1698-1499)&amp;""))</f>
        <v/>
      </c>
      <c r="E1698">
        <f>IF($J1698="","",IF($J1698&lt;=1500,IF(N(INDEX('Daily Sale entry '!$AB$1:$AB$1501,$J1698+1))=0,"",INDEX('Daily Sale entry '!$AB$1:$AB$1501,$J1698+1)),1))</f>
        <v/>
      </c>
      <c r="F1698" s="6">
        <f>IF($J1698="","",IF($J1698&lt;=1500,N(INDEX('Daily Sale entry '!$AC$1:$AC$1501,$J1698+1))-IF(AND('Opening Balance'!$B$15=1,INDEX('Daily Sale entry '!$Z$1:$Z$1501,$J1698+1)="Online collection 网上收款",INDEX('Daily Sale entry '!$AA$1:$AA$1501,$J1698+1)&lt;&gt;""),N(INDEX('Daily Sale entry '!$AC$1:$AC$1501,$J1698+1))-TRUNC(N(INDEX('Daily Sale entry '!$AC$1:$AC$1501,$J1698+1))),0),N(INDEX('Daily Sale entry '!$S$1:$S$1501,$J1698-1499))-'Opening Balance'!$B$15*(N(INDEX('Daily Sale entry '!$S$1:$S$1501,$J1698-1499))-TRUNC(N(INDEX('Daily Sale entry '!$S$1:$S$1501,$J1698-1499))))))</f>
        <v/>
      </c>
      <c r="G1698" s="6">
        <f>IF($J1698="","",IF($J1698&lt;=1500,N(INDEX('Daily Sale entry '!$AD$1:$AD$1501,$J1698+1)),0))</f>
        <v/>
      </c>
      <c r="H1698" s="6">
        <f>IF($J1698="","",ROUND('Opening Balance'!$B$4+SUM($F$2:F1698)-SUM($G$2:G1698),2))</f>
        <v/>
      </c>
      <c r="J1698" s="21">
        <f>IFERROR(MATCH(ROW()-1,$L$2:$L$3001,0),"")</f>
        <v/>
      </c>
      <c r="K1698" s="34">
        <f>IF(AND('Daily Sale entry '!Q198="Collection 收款",'Daily Sale entry '!R198="Cheque 支票",'Daily Sale entry '!V198&lt;&gt;""),'Daily Sale entry '!V198+ROW()/10000000,"")</f>
        <v/>
      </c>
      <c r="L1698" s="21">
        <f>IF(K1698="","",COUNTIF($K$2:$K$3001,"&lt;"&amp;K1698)+1)</f>
        <v/>
      </c>
    </row>
    <row r="1699">
      <c r="A1699" s="5">
        <f>IF($J1699="","",IF($J1699&lt;=1500,INDEX('Daily Sale entry '!$X$1:$X$1501,$J1699+1),INDEX('Daily Sale entry '!$V$1:$V$1501,$J1699-1499)))</f>
        <v/>
      </c>
      <c r="B1699">
        <f>IF($J1699="","",IF($J1699&lt;=1500,INDEX('Daily Sale entry '!$Y$1:$Y$1501,$J1699+1)&amp;"","Buyer cheque banked 买家支票存入"&amp;IF(INDEX('Daily Sale entry '!$U$1:$U$1501,$J1699-1499)="","", " - "&amp;INDEX('Daily Sale entry '!$U$1:$U$1501,$J1699-1499))))</f>
        <v/>
      </c>
      <c r="C1699">
        <f>IF($J1699="","",IF($J1699&lt;=1500,INDEX('Daily Sale entry '!$Z$1:$Z$1501,$J1699+1)&amp;"","Cheque deposit 支票存入 (buyer 买家)"))</f>
        <v/>
      </c>
      <c r="D1699">
        <f>IF($J1699="","",IF($J1699&lt;=1500,INDEX('Daily Sale entry '!$AA$1:$AA$1501,$J1699+1)&amp;"",INDEX('Daily Sale entry '!$P$1:$P$1501,$J1699-1499)&amp;""))</f>
        <v/>
      </c>
      <c r="E1699">
        <f>IF($J1699="","",IF($J1699&lt;=1500,IF(N(INDEX('Daily Sale entry '!$AB$1:$AB$1501,$J1699+1))=0,"",INDEX('Daily Sale entry '!$AB$1:$AB$1501,$J1699+1)),1))</f>
        <v/>
      </c>
      <c r="F1699" s="6">
        <f>IF($J1699="","",IF($J1699&lt;=1500,N(INDEX('Daily Sale entry '!$AC$1:$AC$1501,$J1699+1))-IF(AND('Opening Balance'!$B$15=1,INDEX('Daily Sale entry '!$Z$1:$Z$1501,$J1699+1)="Online collection 网上收款",INDEX('Daily Sale entry '!$AA$1:$AA$1501,$J1699+1)&lt;&gt;""),N(INDEX('Daily Sale entry '!$AC$1:$AC$1501,$J1699+1))-TRUNC(N(INDEX('Daily Sale entry '!$AC$1:$AC$1501,$J1699+1))),0),N(INDEX('Daily Sale entry '!$S$1:$S$1501,$J1699-1499))-'Opening Balance'!$B$15*(N(INDEX('Daily Sale entry '!$S$1:$S$1501,$J1699-1499))-TRUNC(N(INDEX('Daily Sale entry '!$S$1:$S$1501,$J1699-1499))))))</f>
        <v/>
      </c>
      <c r="G1699" s="6">
        <f>IF($J1699="","",IF($J1699&lt;=1500,N(INDEX('Daily Sale entry '!$AD$1:$AD$1501,$J1699+1)),0))</f>
        <v/>
      </c>
      <c r="H1699" s="6">
        <f>IF($J1699="","",ROUND('Opening Balance'!$B$4+SUM($F$2:F1699)-SUM($G$2:G1699),2))</f>
        <v/>
      </c>
      <c r="J1699" s="21">
        <f>IFERROR(MATCH(ROW()-1,$L$2:$L$3001,0),"")</f>
        <v/>
      </c>
      <c r="K1699" s="34">
        <f>IF(AND('Daily Sale entry '!Q199="Collection 收款",'Daily Sale entry '!R199="Cheque 支票",'Daily Sale entry '!V199&lt;&gt;""),'Daily Sale entry '!V199+ROW()/10000000,"")</f>
        <v/>
      </c>
      <c r="L1699" s="21">
        <f>IF(K1699="","",COUNTIF($K$2:$K$3001,"&lt;"&amp;K1699)+1)</f>
        <v/>
      </c>
    </row>
    <row r="1700">
      <c r="A1700" s="5">
        <f>IF($J1700="","",IF($J1700&lt;=1500,INDEX('Daily Sale entry '!$X$1:$X$1501,$J1700+1),INDEX('Daily Sale entry '!$V$1:$V$1501,$J1700-1499)))</f>
        <v/>
      </c>
      <c r="B1700">
        <f>IF($J1700="","",IF($J1700&lt;=1500,INDEX('Daily Sale entry '!$Y$1:$Y$1501,$J1700+1)&amp;"","Buyer cheque banked 买家支票存入"&amp;IF(INDEX('Daily Sale entry '!$U$1:$U$1501,$J1700-1499)="","", " - "&amp;INDEX('Daily Sale entry '!$U$1:$U$1501,$J1700-1499))))</f>
        <v/>
      </c>
      <c r="C1700">
        <f>IF($J1700="","",IF($J1700&lt;=1500,INDEX('Daily Sale entry '!$Z$1:$Z$1501,$J1700+1)&amp;"","Cheque deposit 支票存入 (buyer 买家)"))</f>
        <v/>
      </c>
      <c r="D1700">
        <f>IF($J1700="","",IF($J1700&lt;=1500,INDEX('Daily Sale entry '!$AA$1:$AA$1501,$J1700+1)&amp;"",INDEX('Daily Sale entry '!$P$1:$P$1501,$J1700-1499)&amp;""))</f>
        <v/>
      </c>
      <c r="E1700">
        <f>IF($J1700="","",IF($J1700&lt;=1500,IF(N(INDEX('Daily Sale entry '!$AB$1:$AB$1501,$J1700+1))=0,"",INDEX('Daily Sale entry '!$AB$1:$AB$1501,$J1700+1)),1))</f>
        <v/>
      </c>
      <c r="F1700" s="6">
        <f>IF($J1700="","",IF($J1700&lt;=1500,N(INDEX('Daily Sale entry '!$AC$1:$AC$1501,$J1700+1))-IF(AND('Opening Balance'!$B$15=1,INDEX('Daily Sale entry '!$Z$1:$Z$1501,$J1700+1)="Online collection 网上收款",INDEX('Daily Sale entry '!$AA$1:$AA$1501,$J1700+1)&lt;&gt;""),N(INDEX('Daily Sale entry '!$AC$1:$AC$1501,$J1700+1))-TRUNC(N(INDEX('Daily Sale entry '!$AC$1:$AC$1501,$J1700+1))),0),N(INDEX('Daily Sale entry '!$S$1:$S$1501,$J1700-1499))-'Opening Balance'!$B$15*(N(INDEX('Daily Sale entry '!$S$1:$S$1501,$J1700-1499))-TRUNC(N(INDEX('Daily Sale entry '!$S$1:$S$1501,$J1700-1499))))))</f>
        <v/>
      </c>
      <c r="G1700" s="6">
        <f>IF($J1700="","",IF($J1700&lt;=1500,N(INDEX('Daily Sale entry '!$AD$1:$AD$1501,$J1700+1)),0))</f>
        <v/>
      </c>
      <c r="H1700" s="6">
        <f>IF($J1700="","",ROUND('Opening Balance'!$B$4+SUM($F$2:F1700)-SUM($G$2:G1700),2))</f>
        <v/>
      </c>
      <c r="J1700" s="21">
        <f>IFERROR(MATCH(ROW()-1,$L$2:$L$3001,0),"")</f>
        <v/>
      </c>
      <c r="K1700" s="34">
        <f>IF(AND('Daily Sale entry '!Q200="Collection 收款",'Daily Sale entry '!R200="Cheque 支票",'Daily Sale entry '!V200&lt;&gt;""),'Daily Sale entry '!V200+ROW()/10000000,"")</f>
        <v/>
      </c>
      <c r="L1700" s="21">
        <f>IF(K1700="","",COUNTIF($K$2:$K$3001,"&lt;"&amp;K1700)+1)</f>
        <v/>
      </c>
    </row>
    <row r="1701">
      <c r="A1701" s="5">
        <f>IF($J1701="","",IF($J1701&lt;=1500,INDEX('Daily Sale entry '!$X$1:$X$1501,$J1701+1),INDEX('Daily Sale entry '!$V$1:$V$1501,$J1701-1499)))</f>
        <v/>
      </c>
      <c r="B1701">
        <f>IF($J1701="","",IF($J1701&lt;=1500,INDEX('Daily Sale entry '!$Y$1:$Y$1501,$J1701+1)&amp;"","Buyer cheque banked 买家支票存入"&amp;IF(INDEX('Daily Sale entry '!$U$1:$U$1501,$J1701-1499)="","", " - "&amp;INDEX('Daily Sale entry '!$U$1:$U$1501,$J1701-1499))))</f>
        <v/>
      </c>
      <c r="C1701">
        <f>IF($J1701="","",IF($J1701&lt;=1500,INDEX('Daily Sale entry '!$Z$1:$Z$1501,$J1701+1)&amp;"","Cheque deposit 支票存入 (buyer 买家)"))</f>
        <v/>
      </c>
      <c r="D1701">
        <f>IF($J1701="","",IF($J1701&lt;=1500,INDEX('Daily Sale entry '!$AA$1:$AA$1501,$J1701+1)&amp;"",INDEX('Daily Sale entry '!$P$1:$P$1501,$J1701-1499)&amp;""))</f>
        <v/>
      </c>
      <c r="E1701">
        <f>IF($J1701="","",IF($J1701&lt;=1500,IF(N(INDEX('Daily Sale entry '!$AB$1:$AB$1501,$J1701+1))=0,"",INDEX('Daily Sale entry '!$AB$1:$AB$1501,$J1701+1)),1))</f>
        <v/>
      </c>
      <c r="F1701" s="6">
        <f>IF($J1701="","",IF($J1701&lt;=1500,N(INDEX('Daily Sale entry '!$AC$1:$AC$1501,$J1701+1))-IF(AND('Opening Balance'!$B$15=1,INDEX('Daily Sale entry '!$Z$1:$Z$1501,$J1701+1)="Online collection 网上收款",INDEX('Daily Sale entry '!$AA$1:$AA$1501,$J1701+1)&lt;&gt;""),N(INDEX('Daily Sale entry '!$AC$1:$AC$1501,$J1701+1))-TRUNC(N(INDEX('Daily Sale entry '!$AC$1:$AC$1501,$J1701+1))),0),N(INDEX('Daily Sale entry '!$S$1:$S$1501,$J1701-1499))-'Opening Balance'!$B$15*(N(INDEX('Daily Sale entry '!$S$1:$S$1501,$J1701-1499))-TRUNC(N(INDEX('Daily Sale entry '!$S$1:$S$1501,$J1701-1499))))))</f>
        <v/>
      </c>
      <c r="G1701" s="6">
        <f>IF($J1701="","",IF($J1701&lt;=1500,N(INDEX('Daily Sale entry '!$AD$1:$AD$1501,$J1701+1)),0))</f>
        <v/>
      </c>
      <c r="H1701" s="6">
        <f>IF($J1701="","",ROUND('Opening Balance'!$B$4+SUM($F$2:F1701)-SUM($G$2:G1701),2))</f>
        <v/>
      </c>
      <c r="J1701" s="21">
        <f>IFERROR(MATCH(ROW()-1,$L$2:$L$3001,0),"")</f>
        <v/>
      </c>
      <c r="K1701" s="34">
        <f>IF(AND('Daily Sale entry '!Q201="Collection 收款",'Daily Sale entry '!R201="Cheque 支票",'Daily Sale entry '!V201&lt;&gt;""),'Daily Sale entry '!V201+ROW()/10000000,"")</f>
        <v/>
      </c>
      <c r="L1701" s="21">
        <f>IF(K1701="","",COUNTIF($K$2:$K$3001,"&lt;"&amp;K1701)+1)</f>
        <v/>
      </c>
    </row>
    <row r="1702">
      <c r="A1702" s="5">
        <f>IF($J1702="","",IF($J1702&lt;=1500,INDEX('Daily Sale entry '!$X$1:$X$1501,$J1702+1),INDEX('Daily Sale entry '!$V$1:$V$1501,$J1702-1499)))</f>
        <v/>
      </c>
      <c r="B1702">
        <f>IF($J1702="","",IF($J1702&lt;=1500,INDEX('Daily Sale entry '!$Y$1:$Y$1501,$J1702+1)&amp;"","Buyer cheque banked 买家支票存入"&amp;IF(INDEX('Daily Sale entry '!$U$1:$U$1501,$J1702-1499)="","", " - "&amp;INDEX('Daily Sale entry '!$U$1:$U$1501,$J1702-1499))))</f>
        <v/>
      </c>
      <c r="C1702">
        <f>IF($J1702="","",IF($J1702&lt;=1500,INDEX('Daily Sale entry '!$Z$1:$Z$1501,$J1702+1)&amp;"","Cheque deposit 支票存入 (buyer 买家)"))</f>
        <v/>
      </c>
      <c r="D1702">
        <f>IF($J1702="","",IF($J1702&lt;=1500,INDEX('Daily Sale entry '!$AA$1:$AA$1501,$J1702+1)&amp;"",INDEX('Daily Sale entry '!$P$1:$P$1501,$J1702-1499)&amp;""))</f>
        <v/>
      </c>
      <c r="E1702">
        <f>IF($J1702="","",IF($J1702&lt;=1500,IF(N(INDEX('Daily Sale entry '!$AB$1:$AB$1501,$J1702+1))=0,"",INDEX('Daily Sale entry '!$AB$1:$AB$1501,$J1702+1)),1))</f>
        <v/>
      </c>
      <c r="F1702" s="6">
        <f>IF($J1702="","",IF($J1702&lt;=1500,N(INDEX('Daily Sale entry '!$AC$1:$AC$1501,$J1702+1))-IF(AND('Opening Balance'!$B$15=1,INDEX('Daily Sale entry '!$Z$1:$Z$1501,$J1702+1)="Online collection 网上收款",INDEX('Daily Sale entry '!$AA$1:$AA$1501,$J1702+1)&lt;&gt;""),N(INDEX('Daily Sale entry '!$AC$1:$AC$1501,$J1702+1))-TRUNC(N(INDEX('Daily Sale entry '!$AC$1:$AC$1501,$J1702+1))),0),N(INDEX('Daily Sale entry '!$S$1:$S$1501,$J1702-1499))-'Opening Balance'!$B$15*(N(INDEX('Daily Sale entry '!$S$1:$S$1501,$J1702-1499))-TRUNC(N(INDEX('Daily Sale entry '!$S$1:$S$1501,$J1702-1499))))))</f>
        <v/>
      </c>
      <c r="G1702" s="6">
        <f>IF($J1702="","",IF($J1702&lt;=1500,N(INDEX('Daily Sale entry '!$AD$1:$AD$1501,$J1702+1)),0))</f>
        <v/>
      </c>
      <c r="H1702" s="6">
        <f>IF($J1702="","",ROUND('Opening Balance'!$B$4+SUM($F$2:F1702)-SUM($G$2:G1702),2))</f>
        <v/>
      </c>
      <c r="J1702" s="21">
        <f>IFERROR(MATCH(ROW()-1,$L$2:$L$3001,0),"")</f>
        <v/>
      </c>
      <c r="K1702" s="34">
        <f>IF(AND('Daily Sale entry '!Q202="Collection 收款",'Daily Sale entry '!R202="Cheque 支票",'Daily Sale entry '!V202&lt;&gt;""),'Daily Sale entry '!V202+ROW()/10000000,"")</f>
        <v/>
      </c>
      <c r="L1702" s="21">
        <f>IF(K1702="","",COUNTIF($K$2:$K$3001,"&lt;"&amp;K1702)+1)</f>
        <v/>
      </c>
    </row>
    <row r="1703">
      <c r="A1703" s="5">
        <f>IF($J1703="","",IF($J1703&lt;=1500,INDEX('Daily Sale entry '!$X$1:$X$1501,$J1703+1),INDEX('Daily Sale entry '!$V$1:$V$1501,$J1703-1499)))</f>
        <v/>
      </c>
      <c r="B1703">
        <f>IF($J1703="","",IF($J1703&lt;=1500,INDEX('Daily Sale entry '!$Y$1:$Y$1501,$J1703+1)&amp;"","Buyer cheque banked 买家支票存入"&amp;IF(INDEX('Daily Sale entry '!$U$1:$U$1501,$J1703-1499)="","", " - "&amp;INDEX('Daily Sale entry '!$U$1:$U$1501,$J1703-1499))))</f>
        <v/>
      </c>
      <c r="C1703">
        <f>IF($J1703="","",IF($J1703&lt;=1500,INDEX('Daily Sale entry '!$Z$1:$Z$1501,$J1703+1)&amp;"","Cheque deposit 支票存入 (buyer 买家)"))</f>
        <v/>
      </c>
      <c r="D1703">
        <f>IF($J1703="","",IF($J1703&lt;=1500,INDEX('Daily Sale entry '!$AA$1:$AA$1501,$J1703+1)&amp;"",INDEX('Daily Sale entry '!$P$1:$P$1501,$J1703-1499)&amp;""))</f>
        <v/>
      </c>
      <c r="E1703">
        <f>IF($J1703="","",IF($J1703&lt;=1500,IF(N(INDEX('Daily Sale entry '!$AB$1:$AB$1501,$J1703+1))=0,"",INDEX('Daily Sale entry '!$AB$1:$AB$1501,$J1703+1)),1))</f>
        <v/>
      </c>
      <c r="F1703" s="6">
        <f>IF($J1703="","",IF($J1703&lt;=1500,N(INDEX('Daily Sale entry '!$AC$1:$AC$1501,$J1703+1))-IF(AND('Opening Balance'!$B$15=1,INDEX('Daily Sale entry '!$Z$1:$Z$1501,$J1703+1)="Online collection 网上收款",INDEX('Daily Sale entry '!$AA$1:$AA$1501,$J1703+1)&lt;&gt;""),N(INDEX('Daily Sale entry '!$AC$1:$AC$1501,$J1703+1))-TRUNC(N(INDEX('Daily Sale entry '!$AC$1:$AC$1501,$J1703+1))),0),N(INDEX('Daily Sale entry '!$S$1:$S$1501,$J1703-1499))-'Opening Balance'!$B$15*(N(INDEX('Daily Sale entry '!$S$1:$S$1501,$J1703-1499))-TRUNC(N(INDEX('Daily Sale entry '!$S$1:$S$1501,$J1703-1499))))))</f>
        <v/>
      </c>
      <c r="G1703" s="6">
        <f>IF($J1703="","",IF($J1703&lt;=1500,N(INDEX('Daily Sale entry '!$AD$1:$AD$1501,$J1703+1)),0))</f>
        <v/>
      </c>
      <c r="H1703" s="6">
        <f>IF($J1703="","",ROUND('Opening Balance'!$B$4+SUM($F$2:F1703)-SUM($G$2:G1703),2))</f>
        <v/>
      </c>
      <c r="J1703" s="21">
        <f>IFERROR(MATCH(ROW()-1,$L$2:$L$3001,0),"")</f>
        <v/>
      </c>
      <c r="K1703" s="34">
        <f>IF(AND('Daily Sale entry '!Q203="Collection 收款",'Daily Sale entry '!R203="Cheque 支票",'Daily Sale entry '!V203&lt;&gt;""),'Daily Sale entry '!V203+ROW()/10000000,"")</f>
        <v/>
      </c>
      <c r="L1703" s="21">
        <f>IF(K1703="","",COUNTIF($K$2:$K$3001,"&lt;"&amp;K1703)+1)</f>
        <v/>
      </c>
    </row>
    <row r="1704">
      <c r="A1704" s="5">
        <f>IF($J1704="","",IF($J1704&lt;=1500,INDEX('Daily Sale entry '!$X$1:$X$1501,$J1704+1),INDEX('Daily Sale entry '!$V$1:$V$1501,$J1704-1499)))</f>
        <v/>
      </c>
      <c r="B1704">
        <f>IF($J1704="","",IF($J1704&lt;=1500,INDEX('Daily Sale entry '!$Y$1:$Y$1501,$J1704+1)&amp;"","Buyer cheque banked 买家支票存入"&amp;IF(INDEX('Daily Sale entry '!$U$1:$U$1501,$J1704-1499)="","", " - "&amp;INDEX('Daily Sale entry '!$U$1:$U$1501,$J1704-1499))))</f>
        <v/>
      </c>
      <c r="C1704">
        <f>IF($J1704="","",IF($J1704&lt;=1500,INDEX('Daily Sale entry '!$Z$1:$Z$1501,$J1704+1)&amp;"","Cheque deposit 支票存入 (buyer 买家)"))</f>
        <v/>
      </c>
      <c r="D1704">
        <f>IF($J1704="","",IF($J1704&lt;=1500,INDEX('Daily Sale entry '!$AA$1:$AA$1501,$J1704+1)&amp;"",INDEX('Daily Sale entry '!$P$1:$P$1501,$J1704-1499)&amp;""))</f>
        <v/>
      </c>
      <c r="E1704">
        <f>IF($J1704="","",IF($J1704&lt;=1500,IF(N(INDEX('Daily Sale entry '!$AB$1:$AB$1501,$J1704+1))=0,"",INDEX('Daily Sale entry '!$AB$1:$AB$1501,$J1704+1)),1))</f>
        <v/>
      </c>
      <c r="F1704" s="6">
        <f>IF($J1704="","",IF($J1704&lt;=1500,N(INDEX('Daily Sale entry '!$AC$1:$AC$1501,$J1704+1))-IF(AND('Opening Balance'!$B$15=1,INDEX('Daily Sale entry '!$Z$1:$Z$1501,$J1704+1)="Online collection 网上收款",INDEX('Daily Sale entry '!$AA$1:$AA$1501,$J1704+1)&lt;&gt;""),N(INDEX('Daily Sale entry '!$AC$1:$AC$1501,$J1704+1))-TRUNC(N(INDEX('Daily Sale entry '!$AC$1:$AC$1501,$J1704+1))),0),N(INDEX('Daily Sale entry '!$S$1:$S$1501,$J1704-1499))-'Opening Balance'!$B$15*(N(INDEX('Daily Sale entry '!$S$1:$S$1501,$J1704-1499))-TRUNC(N(INDEX('Daily Sale entry '!$S$1:$S$1501,$J1704-1499))))))</f>
        <v/>
      </c>
      <c r="G1704" s="6">
        <f>IF($J1704="","",IF($J1704&lt;=1500,N(INDEX('Daily Sale entry '!$AD$1:$AD$1501,$J1704+1)),0))</f>
        <v/>
      </c>
      <c r="H1704" s="6">
        <f>IF($J1704="","",ROUND('Opening Balance'!$B$4+SUM($F$2:F1704)-SUM($G$2:G1704),2))</f>
        <v/>
      </c>
      <c r="J1704" s="21">
        <f>IFERROR(MATCH(ROW()-1,$L$2:$L$3001,0),"")</f>
        <v/>
      </c>
      <c r="K1704" s="34">
        <f>IF(AND('Daily Sale entry '!Q204="Collection 收款",'Daily Sale entry '!R204="Cheque 支票",'Daily Sale entry '!V204&lt;&gt;""),'Daily Sale entry '!V204+ROW()/10000000,"")</f>
        <v/>
      </c>
      <c r="L1704" s="21">
        <f>IF(K1704="","",COUNTIF($K$2:$K$3001,"&lt;"&amp;K1704)+1)</f>
        <v/>
      </c>
    </row>
    <row r="1705">
      <c r="A1705" s="5">
        <f>IF($J1705="","",IF($J1705&lt;=1500,INDEX('Daily Sale entry '!$X$1:$X$1501,$J1705+1),INDEX('Daily Sale entry '!$V$1:$V$1501,$J1705-1499)))</f>
        <v/>
      </c>
      <c r="B1705">
        <f>IF($J1705="","",IF($J1705&lt;=1500,INDEX('Daily Sale entry '!$Y$1:$Y$1501,$J1705+1)&amp;"","Buyer cheque banked 买家支票存入"&amp;IF(INDEX('Daily Sale entry '!$U$1:$U$1501,$J1705-1499)="","", " - "&amp;INDEX('Daily Sale entry '!$U$1:$U$1501,$J1705-1499))))</f>
        <v/>
      </c>
      <c r="C1705">
        <f>IF($J1705="","",IF($J1705&lt;=1500,INDEX('Daily Sale entry '!$Z$1:$Z$1501,$J1705+1)&amp;"","Cheque deposit 支票存入 (buyer 买家)"))</f>
        <v/>
      </c>
      <c r="D1705">
        <f>IF($J1705="","",IF($J1705&lt;=1500,INDEX('Daily Sale entry '!$AA$1:$AA$1501,$J1705+1)&amp;"",INDEX('Daily Sale entry '!$P$1:$P$1501,$J1705-1499)&amp;""))</f>
        <v/>
      </c>
      <c r="E1705">
        <f>IF($J1705="","",IF($J1705&lt;=1500,IF(N(INDEX('Daily Sale entry '!$AB$1:$AB$1501,$J1705+1))=0,"",INDEX('Daily Sale entry '!$AB$1:$AB$1501,$J1705+1)),1))</f>
        <v/>
      </c>
      <c r="F1705" s="6">
        <f>IF($J1705="","",IF($J1705&lt;=1500,N(INDEX('Daily Sale entry '!$AC$1:$AC$1501,$J1705+1))-IF(AND('Opening Balance'!$B$15=1,INDEX('Daily Sale entry '!$Z$1:$Z$1501,$J1705+1)="Online collection 网上收款",INDEX('Daily Sale entry '!$AA$1:$AA$1501,$J1705+1)&lt;&gt;""),N(INDEX('Daily Sale entry '!$AC$1:$AC$1501,$J1705+1))-TRUNC(N(INDEX('Daily Sale entry '!$AC$1:$AC$1501,$J1705+1))),0),N(INDEX('Daily Sale entry '!$S$1:$S$1501,$J1705-1499))-'Opening Balance'!$B$15*(N(INDEX('Daily Sale entry '!$S$1:$S$1501,$J1705-1499))-TRUNC(N(INDEX('Daily Sale entry '!$S$1:$S$1501,$J1705-1499))))))</f>
        <v/>
      </c>
      <c r="G1705" s="6">
        <f>IF($J1705="","",IF($J1705&lt;=1500,N(INDEX('Daily Sale entry '!$AD$1:$AD$1501,$J1705+1)),0))</f>
        <v/>
      </c>
      <c r="H1705" s="6">
        <f>IF($J1705="","",ROUND('Opening Balance'!$B$4+SUM($F$2:F1705)-SUM($G$2:G1705),2))</f>
        <v/>
      </c>
      <c r="J1705" s="21">
        <f>IFERROR(MATCH(ROW()-1,$L$2:$L$3001,0),"")</f>
        <v/>
      </c>
      <c r="K1705" s="34">
        <f>IF(AND('Daily Sale entry '!Q205="Collection 收款",'Daily Sale entry '!R205="Cheque 支票",'Daily Sale entry '!V205&lt;&gt;""),'Daily Sale entry '!V205+ROW()/10000000,"")</f>
        <v/>
      </c>
      <c r="L1705" s="21">
        <f>IF(K1705="","",COUNTIF($K$2:$K$3001,"&lt;"&amp;K1705)+1)</f>
        <v/>
      </c>
    </row>
    <row r="1706">
      <c r="A1706" s="5">
        <f>IF($J1706="","",IF($J1706&lt;=1500,INDEX('Daily Sale entry '!$X$1:$X$1501,$J1706+1),INDEX('Daily Sale entry '!$V$1:$V$1501,$J1706-1499)))</f>
        <v/>
      </c>
      <c r="B1706">
        <f>IF($J1706="","",IF($J1706&lt;=1500,INDEX('Daily Sale entry '!$Y$1:$Y$1501,$J1706+1)&amp;"","Buyer cheque banked 买家支票存入"&amp;IF(INDEX('Daily Sale entry '!$U$1:$U$1501,$J1706-1499)="","", " - "&amp;INDEX('Daily Sale entry '!$U$1:$U$1501,$J1706-1499))))</f>
        <v/>
      </c>
      <c r="C1706">
        <f>IF($J1706="","",IF($J1706&lt;=1500,INDEX('Daily Sale entry '!$Z$1:$Z$1501,$J1706+1)&amp;"","Cheque deposit 支票存入 (buyer 买家)"))</f>
        <v/>
      </c>
      <c r="D1706">
        <f>IF($J1706="","",IF($J1706&lt;=1500,INDEX('Daily Sale entry '!$AA$1:$AA$1501,$J1706+1)&amp;"",INDEX('Daily Sale entry '!$P$1:$P$1501,$J1706-1499)&amp;""))</f>
        <v/>
      </c>
      <c r="E1706">
        <f>IF($J1706="","",IF($J1706&lt;=1500,IF(N(INDEX('Daily Sale entry '!$AB$1:$AB$1501,$J1706+1))=0,"",INDEX('Daily Sale entry '!$AB$1:$AB$1501,$J1706+1)),1))</f>
        <v/>
      </c>
      <c r="F1706" s="6">
        <f>IF($J1706="","",IF($J1706&lt;=1500,N(INDEX('Daily Sale entry '!$AC$1:$AC$1501,$J1706+1))-IF(AND('Opening Balance'!$B$15=1,INDEX('Daily Sale entry '!$Z$1:$Z$1501,$J1706+1)="Online collection 网上收款",INDEX('Daily Sale entry '!$AA$1:$AA$1501,$J1706+1)&lt;&gt;""),N(INDEX('Daily Sale entry '!$AC$1:$AC$1501,$J1706+1))-TRUNC(N(INDEX('Daily Sale entry '!$AC$1:$AC$1501,$J1706+1))),0),N(INDEX('Daily Sale entry '!$S$1:$S$1501,$J1706-1499))-'Opening Balance'!$B$15*(N(INDEX('Daily Sale entry '!$S$1:$S$1501,$J1706-1499))-TRUNC(N(INDEX('Daily Sale entry '!$S$1:$S$1501,$J1706-1499))))))</f>
        <v/>
      </c>
      <c r="G1706" s="6">
        <f>IF($J1706="","",IF($J1706&lt;=1500,N(INDEX('Daily Sale entry '!$AD$1:$AD$1501,$J1706+1)),0))</f>
        <v/>
      </c>
      <c r="H1706" s="6">
        <f>IF($J1706="","",ROUND('Opening Balance'!$B$4+SUM($F$2:F1706)-SUM($G$2:G1706),2))</f>
        <v/>
      </c>
      <c r="J1706" s="21">
        <f>IFERROR(MATCH(ROW()-1,$L$2:$L$3001,0),"")</f>
        <v/>
      </c>
      <c r="K1706" s="34">
        <f>IF(AND('Daily Sale entry '!Q206="Collection 收款",'Daily Sale entry '!R206="Cheque 支票",'Daily Sale entry '!V206&lt;&gt;""),'Daily Sale entry '!V206+ROW()/10000000,"")</f>
        <v/>
      </c>
      <c r="L1706" s="21">
        <f>IF(K1706="","",COUNTIF($K$2:$K$3001,"&lt;"&amp;K1706)+1)</f>
        <v/>
      </c>
    </row>
    <row r="1707">
      <c r="A1707" s="5">
        <f>IF($J1707="","",IF($J1707&lt;=1500,INDEX('Daily Sale entry '!$X$1:$X$1501,$J1707+1),INDEX('Daily Sale entry '!$V$1:$V$1501,$J1707-1499)))</f>
        <v/>
      </c>
      <c r="B1707">
        <f>IF($J1707="","",IF($J1707&lt;=1500,INDEX('Daily Sale entry '!$Y$1:$Y$1501,$J1707+1)&amp;"","Buyer cheque banked 买家支票存入"&amp;IF(INDEX('Daily Sale entry '!$U$1:$U$1501,$J1707-1499)="","", " - "&amp;INDEX('Daily Sale entry '!$U$1:$U$1501,$J1707-1499))))</f>
        <v/>
      </c>
      <c r="C1707">
        <f>IF($J1707="","",IF($J1707&lt;=1500,INDEX('Daily Sale entry '!$Z$1:$Z$1501,$J1707+1)&amp;"","Cheque deposit 支票存入 (buyer 买家)"))</f>
        <v/>
      </c>
      <c r="D1707">
        <f>IF($J1707="","",IF($J1707&lt;=1500,INDEX('Daily Sale entry '!$AA$1:$AA$1501,$J1707+1)&amp;"",INDEX('Daily Sale entry '!$P$1:$P$1501,$J1707-1499)&amp;""))</f>
        <v/>
      </c>
      <c r="E1707">
        <f>IF($J1707="","",IF($J1707&lt;=1500,IF(N(INDEX('Daily Sale entry '!$AB$1:$AB$1501,$J1707+1))=0,"",INDEX('Daily Sale entry '!$AB$1:$AB$1501,$J1707+1)),1))</f>
        <v/>
      </c>
      <c r="F1707" s="6">
        <f>IF($J1707="","",IF($J1707&lt;=1500,N(INDEX('Daily Sale entry '!$AC$1:$AC$1501,$J1707+1))-IF(AND('Opening Balance'!$B$15=1,INDEX('Daily Sale entry '!$Z$1:$Z$1501,$J1707+1)="Online collection 网上收款",INDEX('Daily Sale entry '!$AA$1:$AA$1501,$J1707+1)&lt;&gt;""),N(INDEX('Daily Sale entry '!$AC$1:$AC$1501,$J1707+1))-TRUNC(N(INDEX('Daily Sale entry '!$AC$1:$AC$1501,$J1707+1))),0),N(INDEX('Daily Sale entry '!$S$1:$S$1501,$J1707-1499))-'Opening Balance'!$B$15*(N(INDEX('Daily Sale entry '!$S$1:$S$1501,$J1707-1499))-TRUNC(N(INDEX('Daily Sale entry '!$S$1:$S$1501,$J1707-1499))))))</f>
        <v/>
      </c>
      <c r="G1707" s="6">
        <f>IF($J1707="","",IF($J1707&lt;=1500,N(INDEX('Daily Sale entry '!$AD$1:$AD$1501,$J1707+1)),0))</f>
        <v/>
      </c>
      <c r="H1707" s="6">
        <f>IF($J1707="","",ROUND('Opening Balance'!$B$4+SUM($F$2:F1707)-SUM($G$2:G1707),2))</f>
        <v/>
      </c>
      <c r="J1707" s="21">
        <f>IFERROR(MATCH(ROW()-1,$L$2:$L$3001,0),"")</f>
        <v/>
      </c>
      <c r="K1707" s="34">
        <f>IF(AND('Daily Sale entry '!Q207="Collection 收款",'Daily Sale entry '!R207="Cheque 支票",'Daily Sale entry '!V207&lt;&gt;""),'Daily Sale entry '!V207+ROW()/10000000,"")</f>
        <v/>
      </c>
      <c r="L1707" s="21">
        <f>IF(K1707="","",COUNTIF($K$2:$K$3001,"&lt;"&amp;K1707)+1)</f>
        <v/>
      </c>
    </row>
    <row r="1708">
      <c r="A1708" s="5">
        <f>IF($J1708="","",IF($J1708&lt;=1500,INDEX('Daily Sale entry '!$X$1:$X$1501,$J1708+1),INDEX('Daily Sale entry '!$V$1:$V$1501,$J1708-1499)))</f>
        <v/>
      </c>
      <c r="B1708">
        <f>IF($J1708="","",IF($J1708&lt;=1500,INDEX('Daily Sale entry '!$Y$1:$Y$1501,$J1708+1)&amp;"","Buyer cheque banked 买家支票存入"&amp;IF(INDEX('Daily Sale entry '!$U$1:$U$1501,$J1708-1499)="","", " - "&amp;INDEX('Daily Sale entry '!$U$1:$U$1501,$J1708-1499))))</f>
        <v/>
      </c>
      <c r="C1708">
        <f>IF($J1708="","",IF($J1708&lt;=1500,INDEX('Daily Sale entry '!$Z$1:$Z$1501,$J1708+1)&amp;"","Cheque deposit 支票存入 (buyer 买家)"))</f>
        <v/>
      </c>
      <c r="D1708">
        <f>IF($J1708="","",IF($J1708&lt;=1500,INDEX('Daily Sale entry '!$AA$1:$AA$1501,$J1708+1)&amp;"",INDEX('Daily Sale entry '!$P$1:$P$1501,$J1708-1499)&amp;""))</f>
        <v/>
      </c>
      <c r="E1708">
        <f>IF($J1708="","",IF($J1708&lt;=1500,IF(N(INDEX('Daily Sale entry '!$AB$1:$AB$1501,$J1708+1))=0,"",INDEX('Daily Sale entry '!$AB$1:$AB$1501,$J1708+1)),1))</f>
        <v/>
      </c>
      <c r="F1708" s="6">
        <f>IF($J1708="","",IF($J1708&lt;=1500,N(INDEX('Daily Sale entry '!$AC$1:$AC$1501,$J1708+1))-IF(AND('Opening Balance'!$B$15=1,INDEX('Daily Sale entry '!$Z$1:$Z$1501,$J1708+1)="Online collection 网上收款",INDEX('Daily Sale entry '!$AA$1:$AA$1501,$J1708+1)&lt;&gt;""),N(INDEX('Daily Sale entry '!$AC$1:$AC$1501,$J1708+1))-TRUNC(N(INDEX('Daily Sale entry '!$AC$1:$AC$1501,$J1708+1))),0),N(INDEX('Daily Sale entry '!$S$1:$S$1501,$J1708-1499))-'Opening Balance'!$B$15*(N(INDEX('Daily Sale entry '!$S$1:$S$1501,$J1708-1499))-TRUNC(N(INDEX('Daily Sale entry '!$S$1:$S$1501,$J1708-1499))))))</f>
        <v/>
      </c>
      <c r="G1708" s="6">
        <f>IF($J1708="","",IF($J1708&lt;=1500,N(INDEX('Daily Sale entry '!$AD$1:$AD$1501,$J1708+1)),0))</f>
        <v/>
      </c>
      <c r="H1708" s="6">
        <f>IF($J1708="","",ROUND('Opening Balance'!$B$4+SUM($F$2:F1708)-SUM($G$2:G1708),2))</f>
        <v/>
      </c>
      <c r="J1708" s="21">
        <f>IFERROR(MATCH(ROW()-1,$L$2:$L$3001,0),"")</f>
        <v/>
      </c>
      <c r="K1708" s="34">
        <f>IF(AND('Daily Sale entry '!Q208="Collection 收款",'Daily Sale entry '!R208="Cheque 支票",'Daily Sale entry '!V208&lt;&gt;""),'Daily Sale entry '!V208+ROW()/10000000,"")</f>
        <v/>
      </c>
      <c r="L1708" s="21">
        <f>IF(K1708="","",COUNTIF($K$2:$K$3001,"&lt;"&amp;K1708)+1)</f>
        <v/>
      </c>
    </row>
    <row r="1709">
      <c r="A1709" s="5">
        <f>IF($J1709="","",IF($J1709&lt;=1500,INDEX('Daily Sale entry '!$X$1:$X$1501,$J1709+1),INDEX('Daily Sale entry '!$V$1:$V$1501,$J1709-1499)))</f>
        <v/>
      </c>
      <c r="B1709">
        <f>IF($J1709="","",IF($J1709&lt;=1500,INDEX('Daily Sale entry '!$Y$1:$Y$1501,$J1709+1)&amp;"","Buyer cheque banked 买家支票存入"&amp;IF(INDEX('Daily Sale entry '!$U$1:$U$1501,$J1709-1499)="","", " - "&amp;INDEX('Daily Sale entry '!$U$1:$U$1501,$J1709-1499))))</f>
        <v/>
      </c>
      <c r="C1709">
        <f>IF($J1709="","",IF($J1709&lt;=1500,INDEX('Daily Sale entry '!$Z$1:$Z$1501,$J1709+1)&amp;"","Cheque deposit 支票存入 (buyer 买家)"))</f>
        <v/>
      </c>
      <c r="D1709">
        <f>IF($J1709="","",IF($J1709&lt;=1500,INDEX('Daily Sale entry '!$AA$1:$AA$1501,$J1709+1)&amp;"",INDEX('Daily Sale entry '!$P$1:$P$1501,$J1709-1499)&amp;""))</f>
        <v/>
      </c>
      <c r="E1709">
        <f>IF($J1709="","",IF($J1709&lt;=1500,IF(N(INDEX('Daily Sale entry '!$AB$1:$AB$1501,$J1709+1))=0,"",INDEX('Daily Sale entry '!$AB$1:$AB$1501,$J1709+1)),1))</f>
        <v/>
      </c>
      <c r="F1709" s="6">
        <f>IF($J1709="","",IF($J1709&lt;=1500,N(INDEX('Daily Sale entry '!$AC$1:$AC$1501,$J1709+1))-IF(AND('Opening Balance'!$B$15=1,INDEX('Daily Sale entry '!$Z$1:$Z$1501,$J1709+1)="Online collection 网上收款",INDEX('Daily Sale entry '!$AA$1:$AA$1501,$J1709+1)&lt;&gt;""),N(INDEX('Daily Sale entry '!$AC$1:$AC$1501,$J1709+1))-TRUNC(N(INDEX('Daily Sale entry '!$AC$1:$AC$1501,$J1709+1))),0),N(INDEX('Daily Sale entry '!$S$1:$S$1501,$J1709-1499))-'Opening Balance'!$B$15*(N(INDEX('Daily Sale entry '!$S$1:$S$1501,$J1709-1499))-TRUNC(N(INDEX('Daily Sale entry '!$S$1:$S$1501,$J1709-1499))))))</f>
        <v/>
      </c>
      <c r="G1709" s="6">
        <f>IF($J1709="","",IF($J1709&lt;=1500,N(INDEX('Daily Sale entry '!$AD$1:$AD$1501,$J1709+1)),0))</f>
        <v/>
      </c>
      <c r="H1709" s="6">
        <f>IF($J1709="","",ROUND('Opening Balance'!$B$4+SUM($F$2:F1709)-SUM($G$2:G1709),2))</f>
        <v/>
      </c>
      <c r="J1709" s="21">
        <f>IFERROR(MATCH(ROW()-1,$L$2:$L$3001,0),"")</f>
        <v/>
      </c>
      <c r="K1709" s="34">
        <f>IF(AND('Daily Sale entry '!Q209="Collection 收款",'Daily Sale entry '!R209="Cheque 支票",'Daily Sale entry '!V209&lt;&gt;""),'Daily Sale entry '!V209+ROW()/10000000,"")</f>
        <v/>
      </c>
      <c r="L1709" s="21">
        <f>IF(K1709="","",COUNTIF($K$2:$K$3001,"&lt;"&amp;K1709)+1)</f>
        <v/>
      </c>
    </row>
    <row r="1710">
      <c r="A1710" s="5">
        <f>IF($J1710="","",IF($J1710&lt;=1500,INDEX('Daily Sale entry '!$X$1:$X$1501,$J1710+1),INDEX('Daily Sale entry '!$V$1:$V$1501,$J1710-1499)))</f>
        <v/>
      </c>
      <c r="B1710">
        <f>IF($J1710="","",IF($J1710&lt;=1500,INDEX('Daily Sale entry '!$Y$1:$Y$1501,$J1710+1)&amp;"","Buyer cheque banked 买家支票存入"&amp;IF(INDEX('Daily Sale entry '!$U$1:$U$1501,$J1710-1499)="","", " - "&amp;INDEX('Daily Sale entry '!$U$1:$U$1501,$J1710-1499))))</f>
        <v/>
      </c>
      <c r="C1710">
        <f>IF($J1710="","",IF($J1710&lt;=1500,INDEX('Daily Sale entry '!$Z$1:$Z$1501,$J1710+1)&amp;"","Cheque deposit 支票存入 (buyer 买家)"))</f>
        <v/>
      </c>
      <c r="D1710">
        <f>IF($J1710="","",IF($J1710&lt;=1500,INDEX('Daily Sale entry '!$AA$1:$AA$1501,$J1710+1)&amp;"",INDEX('Daily Sale entry '!$P$1:$P$1501,$J1710-1499)&amp;""))</f>
        <v/>
      </c>
      <c r="E1710">
        <f>IF($J1710="","",IF($J1710&lt;=1500,IF(N(INDEX('Daily Sale entry '!$AB$1:$AB$1501,$J1710+1))=0,"",INDEX('Daily Sale entry '!$AB$1:$AB$1501,$J1710+1)),1))</f>
        <v/>
      </c>
      <c r="F1710" s="6">
        <f>IF($J1710="","",IF($J1710&lt;=1500,N(INDEX('Daily Sale entry '!$AC$1:$AC$1501,$J1710+1))-IF(AND('Opening Balance'!$B$15=1,INDEX('Daily Sale entry '!$Z$1:$Z$1501,$J1710+1)="Online collection 网上收款",INDEX('Daily Sale entry '!$AA$1:$AA$1501,$J1710+1)&lt;&gt;""),N(INDEX('Daily Sale entry '!$AC$1:$AC$1501,$J1710+1))-TRUNC(N(INDEX('Daily Sale entry '!$AC$1:$AC$1501,$J1710+1))),0),N(INDEX('Daily Sale entry '!$S$1:$S$1501,$J1710-1499))-'Opening Balance'!$B$15*(N(INDEX('Daily Sale entry '!$S$1:$S$1501,$J1710-1499))-TRUNC(N(INDEX('Daily Sale entry '!$S$1:$S$1501,$J1710-1499))))))</f>
        <v/>
      </c>
      <c r="G1710" s="6">
        <f>IF($J1710="","",IF($J1710&lt;=1500,N(INDEX('Daily Sale entry '!$AD$1:$AD$1501,$J1710+1)),0))</f>
        <v/>
      </c>
      <c r="H1710" s="6">
        <f>IF($J1710="","",ROUND('Opening Balance'!$B$4+SUM($F$2:F1710)-SUM($G$2:G1710),2))</f>
        <v/>
      </c>
      <c r="J1710" s="21">
        <f>IFERROR(MATCH(ROW()-1,$L$2:$L$3001,0),"")</f>
        <v/>
      </c>
      <c r="K1710" s="34">
        <f>IF(AND('Daily Sale entry '!Q210="Collection 收款",'Daily Sale entry '!R210="Cheque 支票",'Daily Sale entry '!V210&lt;&gt;""),'Daily Sale entry '!V210+ROW()/10000000,"")</f>
        <v/>
      </c>
      <c r="L1710" s="21">
        <f>IF(K1710="","",COUNTIF($K$2:$K$3001,"&lt;"&amp;K1710)+1)</f>
        <v/>
      </c>
    </row>
    <row r="1711">
      <c r="A1711" s="5">
        <f>IF($J1711="","",IF($J1711&lt;=1500,INDEX('Daily Sale entry '!$X$1:$X$1501,$J1711+1),INDEX('Daily Sale entry '!$V$1:$V$1501,$J1711-1499)))</f>
        <v/>
      </c>
      <c r="B1711">
        <f>IF($J1711="","",IF($J1711&lt;=1500,INDEX('Daily Sale entry '!$Y$1:$Y$1501,$J1711+1)&amp;"","Buyer cheque banked 买家支票存入"&amp;IF(INDEX('Daily Sale entry '!$U$1:$U$1501,$J1711-1499)="","", " - "&amp;INDEX('Daily Sale entry '!$U$1:$U$1501,$J1711-1499))))</f>
        <v/>
      </c>
      <c r="C1711">
        <f>IF($J1711="","",IF($J1711&lt;=1500,INDEX('Daily Sale entry '!$Z$1:$Z$1501,$J1711+1)&amp;"","Cheque deposit 支票存入 (buyer 买家)"))</f>
        <v/>
      </c>
      <c r="D1711">
        <f>IF($J1711="","",IF($J1711&lt;=1500,INDEX('Daily Sale entry '!$AA$1:$AA$1501,$J1711+1)&amp;"",INDEX('Daily Sale entry '!$P$1:$P$1501,$J1711-1499)&amp;""))</f>
        <v/>
      </c>
      <c r="E1711">
        <f>IF($J1711="","",IF($J1711&lt;=1500,IF(N(INDEX('Daily Sale entry '!$AB$1:$AB$1501,$J1711+1))=0,"",INDEX('Daily Sale entry '!$AB$1:$AB$1501,$J1711+1)),1))</f>
        <v/>
      </c>
      <c r="F1711" s="6">
        <f>IF($J1711="","",IF($J1711&lt;=1500,N(INDEX('Daily Sale entry '!$AC$1:$AC$1501,$J1711+1))-IF(AND('Opening Balance'!$B$15=1,INDEX('Daily Sale entry '!$Z$1:$Z$1501,$J1711+1)="Online collection 网上收款",INDEX('Daily Sale entry '!$AA$1:$AA$1501,$J1711+1)&lt;&gt;""),N(INDEX('Daily Sale entry '!$AC$1:$AC$1501,$J1711+1))-TRUNC(N(INDEX('Daily Sale entry '!$AC$1:$AC$1501,$J1711+1))),0),N(INDEX('Daily Sale entry '!$S$1:$S$1501,$J1711-1499))-'Opening Balance'!$B$15*(N(INDEX('Daily Sale entry '!$S$1:$S$1501,$J1711-1499))-TRUNC(N(INDEX('Daily Sale entry '!$S$1:$S$1501,$J1711-1499))))))</f>
        <v/>
      </c>
      <c r="G1711" s="6">
        <f>IF($J1711="","",IF($J1711&lt;=1500,N(INDEX('Daily Sale entry '!$AD$1:$AD$1501,$J1711+1)),0))</f>
        <v/>
      </c>
      <c r="H1711" s="6">
        <f>IF($J1711="","",ROUND('Opening Balance'!$B$4+SUM($F$2:F1711)-SUM($G$2:G1711),2))</f>
        <v/>
      </c>
      <c r="J1711" s="21">
        <f>IFERROR(MATCH(ROW()-1,$L$2:$L$3001,0),"")</f>
        <v/>
      </c>
      <c r="K1711" s="34">
        <f>IF(AND('Daily Sale entry '!Q211="Collection 收款",'Daily Sale entry '!R211="Cheque 支票",'Daily Sale entry '!V211&lt;&gt;""),'Daily Sale entry '!V211+ROW()/10000000,"")</f>
        <v/>
      </c>
      <c r="L1711" s="21">
        <f>IF(K1711="","",COUNTIF($K$2:$K$3001,"&lt;"&amp;K1711)+1)</f>
        <v/>
      </c>
    </row>
    <row r="1712">
      <c r="A1712" s="5">
        <f>IF($J1712="","",IF($J1712&lt;=1500,INDEX('Daily Sale entry '!$X$1:$X$1501,$J1712+1),INDEX('Daily Sale entry '!$V$1:$V$1501,$J1712-1499)))</f>
        <v/>
      </c>
      <c r="B1712">
        <f>IF($J1712="","",IF($J1712&lt;=1500,INDEX('Daily Sale entry '!$Y$1:$Y$1501,$J1712+1)&amp;"","Buyer cheque banked 买家支票存入"&amp;IF(INDEX('Daily Sale entry '!$U$1:$U$1501,$J1712-1499)="","", " - "&amp;INDEX('Daily Sale entry '!$U$1:$U$1501,$J1712-1499))))</f>
        <v/>
      </c>
      <c r="C1712">
        <f>IF($J1712="","",IF($J1712&lt;=1500,INDEX('Daily Sale entry '!$Z$1:$Z$1501,$J1712+1)&amp;"","Cheque deposit 支票存入 (buyer 买家)"))</f>
        <v/>
      </c>
      <c r="D1712">
        <f>IF($J1712="","",IF($J1712&lt;=1500,INDEX('Daily Sale entry '!$AA$1:$AA$1501,$J1712+1)&amp;"",INDEX('Daily Sale entry '!$P$1:$P$1501,$J1712-1499)&amp;""))</f>
        <v/>
      </c>
      <c r="E1712">
        <f>IF($J1712="","",IF($J1712&lt;=1500,IF(N(INDEX('Daily Sale entry '!$AB$1:$AB$1501,$J1712+1))=0,"",INDEX('Daily Sale entry '!$AB$1:$AB$1501,$J1712+1)),1))</f>
        <v/>
      </c>
      <c r="F1712" s="6">
        <f>IF($J1712="","",IF($J1712&lt;=1500,N(INDEX('Daily Sale entry '!$AC$1:$AC$1501,$J1712+1))-IF(AND('Opening Balance'!$B$15=1,INDEX('Daily Sale entry '!$Z$1:$Z$1501,$J1712+1)="Online collection 网上收款",INDEX('Daily Sale entry '!$AA$1:$AA$1501,$J1712+1)&lt;&gt;""),N(INDEX('Daily Sale entry '!$AC$1:$AC$1501,$J1712+1))-TRUNC(N(INDEX('Daily Sale entry '!$AC$1:$AC$1501,$J1712+1))),0),N(INDEX('Daily Sale entry '!$S$1:$S$1501,$J1712-1499))-'Opening Balance'!$B$15*(N(INDEX('Daily Sale entry '!$S$1:$S$1501,$J1712-1499))-TRUNC(N(INDEX('Daily Sale entry '!$S$1:$S$1501,$J1712-1499))))))</f>
        <v/>
      </c>
      <c r="G1712" s="6">
        <f>IF($J1712="","",IF($J1712&lt;=1500,N(INDEX('Daily Sale entry '!$AD$1:$AD$1501,$J1712+1)),0))</f>
        <v/>
      </c>
      <c r="H1712" s="6">
        <f>IF($J1712="","",ROUND('Opening Balance'!$B$4+SUM($F$2:F1712)-SUM($G$2:G1712),2))</f>
        <v/>
      </c>
      <c r="J1712" s="21">
        <f>IFERROR(MATCH(ROW()-1,$L$2:$L$3001,0),"")</f>
        <v/>
      </c>
      <c r="K1712" s="34">
        <f>IF(AND('Daily Sale entry '!Q212="Collection 收款",'Daily Sale entry '!R212="Cheque 支票",'Daily Sale entry '!V212&lt;&gt;""),'Daily Sale entry '!V212+ROW()/10000000,"")</f>
        <v/>
      </c>
      <c r="L1712" s="21">
        <f>IF(K1712="","",COUNTIF($K$2:$K$3001,"&lt;"&amp;K1712)+1)</f>
        <v/>
      </c>
    </row>
    <row r="1713">
      <c r="A1713" s="5">
        <f>IF($J1713="","",IF($J1713&lt;=1500,INDEX('Daily Sale entry '!$X$1:$X$1501,$J1713+1),INDEX('Daily Sale entry '!$V$1:$V$1501,$J1713-1499)))</f>
        <v/>
      </c>
      <c r="B1713">
        <f>IF($J1713="","",IF($J1713&lt;=1500,INDEX('Daily Sale entry '!$Y$1:$Y$1501,$J1713+1)&amp;"","Buyer cheque banked 买家支票存入"&amp;IF(INDEX('Daily Sale entry '!$U$1:$U$1501,$J1713-1499)="","", " - "&amp;INDEX('Daily Sale entry '!$U$1:$U$1501,$J1713-1499))))</f>
        <v/>
      </c>
      <c r="C1713">
        <f>IF($J1713="","",IF($J1713&lt;=1500,INDEX('Daily Sale entry '!$Z$1:$Z$1501,$J1713+1)&amp;"","Cheque deposit 支票存入 (buyer 买家)"))</f>
        <v/>
      </c>
      <c r="D1713">
        <f>IF($J1713="","",IF($J1713&lt;=1500,INDEX('Daily Sale entry '!$AA$1:$AA$1501,$J1713+1)&amp;"",INDEX('Daily Sale entry '!$P$1:$P$1501,$J1713-1499)&amp;""))</f>
        <v/>
      </c>
      <c r="E1713">
        <f>IF($J1713="","",IF($J1713&lt;=1500,IF(N(INDEX('Daily Sale entry '!$AB$1:$AB$1501,$J1713+1))=0,"",INDEX('Daily Sale entry '!$AB$1:$AB$1501,$J1713+1)),1))</f>
        <v/>
      </c>
      <c r="F1713" s="6">
        <f>IF($J1713="","",IF($J1713&lt;=1500,N(INDEX('Daily Sale entry '!$AC$1:$AC$1501,$J1713+1))-IF(AND('Opening Balance'!$B$15=1,INDEX('Daily Sale entry '!$Z$1:$Z$1501,$J1713+1)="Online collection 网上收款",INDEX('Daily Sale entry '!$AA$1:$AA$1501,$J1713+1)&lt;&gt;""),N(INDEX('Daily Sale entry '!$AC$1:$AC$1501,$J1713+1))-TRUNC(N(INDEX('Daily Sale entry '!$AC$1:$AC$1501,$J1713+1))),0),N(INDEX('Daily Sale entry '!$S$1:$S$1501,$J1713-1499))-'Opening Balance'!$B$15*(N(INDEX('Daily Sale entry '!$S$1:$S$1501,$J1713-1499))-TRUNC(N(INDEX('Daily Sale entry '!$S$1:$S$1501,$J1713-1499))))))</f>
        <v/>
      </c>
      <c r="G1713" s="6">
        <f>IF($J1713="","",IF($J1713&lt;=1500,N(INDEX('Daily Sale entry '!$AD$1:$AD$1501,$J1713+1)),0))</f>
        <v/>
      </c>
      <c r="H1713" s="6">
        <f>IF($J1713="","",ROUND('Opening Balance'!$B$4+SUM($F$2:F1713)-SUM($G$2:G1713),2))</f>
        <v/>
      </c>
      <c r="J1713" s="21">
        <f>IFERROR(MATCH(ROW()-1,$L$2:$L$3001,0),"")</f>
        <v/>
      </c>
      <c r="K1713" s="34">
        <f>IF(AND('Daily Sale entry '!Q213="Collection 收款",'Daily Sale entry '!R213="Cheque 支票",'Daily Sale entry '!V213&lt;&gt;""),'Daily Sale entry '!V213+ROW()/10000000,"")</f>
        <v/>
      </c>
      <c r="L1713" s="21">
        <f>IF(K1713="","",COUNTIF($K$2:$K$3001,"&lt;"&amp;K1713)+1)</f>
        <v/>
      </c>
    </row>
    <row r="1714">
      <c r="A1714" s="5">
        <f>IF($J1714="","",IF($J1714&lt;=1500,INDEX('Daily Sale entry '!$X$1:$X$1501,$J1714+1),INDEX('Daily Sale entry '!$V$1:$V$1501,$J1714-1499)))</f>
        <v/>
      </c>
      <c r="B1714">
        <f>IF($J1714="","",IF($J1714&lt;=1500,INDEX('Daily Sale entry '!$Y$1:$Y$1501,$J1714+1)&amp;"","Buyer cheque banked 买家支票存入"&amp;IF(INDEX('Daily Sale entry '!$U$1:$U$1501,$J1714-1499)="","", " - "&amp;INDEX('Daily Sale entry '!$U$1:$U$1501,$J1714-1499))))</f>
        <v/>
      </c>
      <c r="C1714">
        <f>IF($J1714="","",IF($J1714&lt;=1500,INDEX('Daily Sale entry '!$Z$1:$Z$1501,$J1714+1)&amp;"","Cheque deposit 支票存入 (buyer 买家)"))</f>
        <v/>
      </c>
      <c r="D1714">
        <f>IF($J1714="","",IF($J1714&lt;=1500,INDEX('Daily Sale entry '!$AA$1:$AA$1501,$J1714+1)&amp;"",INDEX('Daily Sale entry '!$P$1:$P$1501,$J1714-1499)&amp;""))</f>
        <v/>
      </c>
      <c r="E1714">
        <f>IF($J1714="","",IF($J1714&lt;=1500,IF(N(INDEX('Daily Sale entry '!$AB$1:$AB$1501,$J1714+1))=0,"",INDEX('Daily Sale entry '!$AB$1:$AB$1501,$J1714+1)),1))</f>
        <v/>
      </c>
      <c r="F1714" s="6">
        <f>IF($J1714="","",IF($J1714&lt;=1500,N(INDEX('Daily Sale entry '!$AC$1:$AC$1501,$J1714+1))-IF(AND('Opening Balance'!$B$15=1,INDEX('Daily Sale entry '!$Z$1:$Z$1501,$J1714+1)="Online collection 网上收款",INDEX('Daily Sale entry '!$AA$1:$AA$1501,$J1714+1)&lt;&gt;""),N(INDEX('Daily Sale entry '!$AC$1:$AC$1501,$J1714+1))-TRUNC(N(INDEX('Daily Sale entry '!$AC$1:$AC$1501,$J1714+1))),0),N(INDEX('Daily Sale entry '!$S$1:$S$1501,$J1714-1499))-'Opening Balance'!$B$15*(N(INDEX('Daily Sale entry '!$S$1:$S$1501,$J1714-1499))-TRUNC(N(INDEX('Daily Sale entry '!$S$1:$S$1501,$J1714-1499))))))</f>
        <v/>
      </c>
      <c r="G1714" s="6">
        <f>IF($J1714="","",IF($J1714&lt;=1500,N(INDEX('Daily Sale entry '!$AD$1:$AD$1501,$J1714+1)),0))</f>
        <v/>
      </c>
      <c r="H1714" s="6">
        <f>IF($J1714="","",ROUND('Opening Balance'!$B$4+SUM($F$2:F1714)-SUM($G$2:G1714),2))</f>
        <v/>
      </c>
      <c r="J1714" s="21">
        <f>IFERROR(MATCH(ROW()-1,$L$2:$L$3001,0),"")</f>
        <v/>
      </c>
      <c r="K1714" s="34">
        <f>IF(AND('Daily Sale entry '!Q214="Collection 收款",'Daily Sale entry '!R214="Cheque 支票",'Daily Sale entry '!V214&lt;&gt;""),'Daily Sale entry '!V214+ROW()/10000000,"")</f>
        <v/>
      </c>
      <c r="L1714" s="21">
        <f>IF(K1714="","",COUNTIF($K$2:$K$3001,"&lt;"&amp;K1714)+1)</f>
        <v/>
      </c>
    </row>
    <row r="1715">
      <c r="A1715" s="5">
        <f>IF($J1715="","",IF($J1715&lt;=1500,INDEX('Daily Sale entry '!$X$1:$X$1501,$J1715+1),INDEX('Daily Sale entry '!$V$1:$V$1501,$J1715-1499)))</f>
        <v/>
      </c>
      <c r="B1715">
        <f>IF($J1715="","",IF($J1715&lt;=1500,INDEX('Daily Sale entry '!$Y$1:$Y$1501,$J1715+1)&amp;"","Buyer cheque banked 买家支票存入"&amp;IF(INDEX('Daily Sale entry '!$U$1:$U$1501,$J1715-1499)="","", " - "&amp;INDEX('Daily Sale entry '!$U$1:$U$1501,$J1715-1499))))</f>
        <v/>
      </c>
      <c r="C1715">
        <f>IF($J1715="","",IF($J1715&lt;=1500,INDEX('Daily Sale entry '!$Z$1:$Z$1501,$J1715+1)&amp;"","Cheque deposit 支票存入 (buyer 买家)"))</f>
        <v/>
      </c>
      <c r="D1715">
        <f>IF($J1715="","",IF($J1715&lt;=1500,INDEX('Daily Sale entry '!$AA$1:$AA$1501,$J1715+1)&amp;"",INDEX('Daily Sale entry '!$P$1:$P$1501,$J1715-1499)&amp;""))</f>
        <v/>
      </c>
      <c r="E1715">
        <f>IF($J1715="","",IF($J1715&lt;=1500,IF(N(INDEX('Daily Sale entry '!$AB$1:$AB$1501,$J1715+1))=0,"",INDEX('Daily Sale entry '!$AB$1:$AB$1501,$J1715+1)),1))</f>
        <v/>
      </c>
      <c r="F1715" s="6">
        <f>IF($J1715="","",IF($J1715&lt;=1500,N(INDEX('Daily Sale entry '!$AC$1:$AC$1501,$J1715+1))-IF(AND('Opening Balance'!$B$15=1,INDEX('Daily Sale entry '!$Z$1:$Z$1501,$J1715+1)="Online collection 网上收款",INDEX('Daily Sale entry '!$AA$1:$AA$1501,$J1715+1)&lt;&gt;""),N(INDEX('Daily Sale entry '!$AC$1:$AC$1501,$J1715+1))-TRUNC(N(INDEX('Daily Sale entry '!$AC$1:$AC$1501,$J1715+1))),0),N(INDEX('Daily Sale entry '!$S$1:$S$1501,$J1715-1499))-'Opening Balance'!$B$15*(N(INDEX('Daily Sale entry '!$S$1:$S$1501,$J1715-1499))-TRUNC(N(INDEX('Daily Sale entry '!$S$1:$S$1501,$J1715-1499))))))</f>
        <v/>
      </c>
      <c r="G1715" s="6">
        <f>IF($J1715="","",IF($J1715&lt;=1500,N(INDEX('Daily Sale entry '!$AD$1:$AD$1501,$J1715+1)),0))</f>
        <v/>
      </c>
      <c r="H1715" s="6">
        <f>IF($J1715="","",ROUND('Opening Balance'!$B$4+SUM($F$2:F1715)-SUM($G$2:G1715),2))</f>
        <v/>
      </c>
      <c r="J1715" s="21">
        <f>IFERROR(MATCH(ROW()-1,$L$2:$L$3001,0),"")</f>
        <v/>
      </c>
      <c r="K1715" s="34">
        <f>IF(AND('Daily Sale entry '!Q215="Collection 收款",'Daily Sale entry '!R215="Cheque 支票",'Daily Sale entry '!V215&lt;&gt;""),'Daily Sale entry '!V215+ROW()/10000000,"")</f>
        <v/>
      </c>
      <c r="L1715" s="21">
        <f>IF(K1715="","",COUNTIF($K$2:$K$3001,"&lt;"&amp;K1715)+1)</f>
        <v/>
      </c>
    </row>
    <row r="1716">
      <c r="A1716" s="5">
        <f>IF($J1716="","",IF($J1716&lt;=1500,INDEX('Daily Sale entry '!$X$1:$X$1501,$J1716+1),INDEX('Daily Sale entry '!$V$1:$V$1501,$J1716-1499)))</f>
        <v/>
      </c>
      <c r="B1716">
        <f>IF($J1716="","",IF($J1716&lt;=1500,INDEX('Daily Sale entry '!$Y$1:$Y$1501,$J1716+1)&amp;"","Buyer cheque banked 买家支票存入"&amp;IF(INDEX('Daily Sale entry '!$U$1:$U$1501,$J1716-1499)="","", " - "&amp;INDEX('Daily Sale entry '!$U$1:$U$1501,$J1716-1499))))</f>
        <v/>
      </c>
      <c r="C1716">
        <f>IF($J1716="","",IF($J1716&lt;=1500,INDEX('Daily Sale entry '!$Z$1:$Z$1501,$J1716+1)&amp;"","Cheque deposit 支票存入 (buyer 买家)"))</f>
        <v/>
      </c>
      <c r="D1716">
        <f>IF($J1716="","",IF($J1716&lt;=1500,INDEX('Daily Sale entry '!$AA$1:$AA$1501,$J1716+1)&amp;"",INDEX('Daily Sale entry '!$P$1:$P$1501,$J1716-1499)&amp;""))</f>
        <v/>
      </c>
      <c r="E1716">
        <f>IF($J1716="","",IF($J1716&lt;=1500,IF(N(INDEX('Daily Sale entry '!$AB$1:$AB$1501,$J1716+1))=0,"",INDEX('Daily Sale entry '!$AB$1:$AB$1501,$J1716+1)),1))</f>
        <v/>
      </c>
      <c r="F1716" s="6">
        <f>IF($J1716="","",IF($J1716&lt;=1500,N(INDEX('Daily Sale entry '!$AC$1:$AC$1501,$J1716+1))-IF(AND('Opening Balance'!$B$15=1,INDEX('Daily Sale entry '!$Z$1:$Z$1501,$J1716+1)="Online collection 网上收款",INDEX('Daily Sale entry '!$AA$1:$AA$1501,$J1716+1)&lt;&gt;""),N(INDEX('Daily Sale entry '!$AC$1:$AC$1501,$J1716+1))-TRUNC(N(INDEX('Daily Sale entry '!$AC$1:$AC$1501,$J1716+1))),0),N(INDEX('Daily Sale entry '!$S$1:$S$1501,$J1716-1499))-'Opening Balance'!$B$15*(N(INDEX('Daily Sale entry '!$S$1:$S$1501,$J1716-1499))-TRUNC(N(INDEX('Daily Sale entry '!$S$1:$S$1501,$J1716-1499))))))</f>
        <v/>
      </c>
      <c r="G1716" s="6">
        <f>IF($J1716="","",IF($J1716&lt;=1500,N(INDEX('Daily Sale entry '!$AD$1:$AD$1501,$J1716+1)),0))</f>
        <v/>
      </c>
      <c r="H1716" s="6">
        <f>IF($J1716="","",ROUND('Opening Balance'!$B$4+SUM($F$2:F1716)-SUM($G$2:G1716),2))</f>
        <v/>
      </c>
      <c r="J1716" s="21">
        <f>IFERROR(MATCH(ROW()-1,$L$2:$L$3001,0),"")</f>
        <v/>
      </c>
      <c r="K1716" s="34">
        <f>IF(AND('Daily Sale entry '!Q216="Collection 收款",'Daily Sale entry '!R216="Cheque 支票",'Daily Sale entry '!V216&lt;&gt;""),'Daily Sale entry '!V216+ROW()/10000000,"")</f>
        <v/>
      </c>
      <c r="L1716" s="21">
        <f>IF(K1716="","",COUNTIF($K$2:$K$3001,"&lt;"&amp;K1716)+1)</f>
        <v/>
      </c>
    </row>
    <row r="1717">
      <c r="A1717" s="5">
        <f>IF($J1717="","",IF($J1717&lt;=1500,INDEX('Daily Sale entry '!$X$1:$X$1501,$J1717+1),INDEX('Daily Sale entry '!$V$1:$V$1501,$J1717-1499)))</f>
        <v/>
      </c>
      <c r="B1717">
        <f>IF($J1717="","",IF($J1717&lt;=1500,INDEX('Daily Sale entry '!$Y$1:$Y$1501,$J1717+1)&amp;"","Buyer cheque banked 买家支票存入"&amp;IF(INDEX('Daily Sale entry '!$U$1:$U$1501,$J1717-1499)="","", " - "&amp;INDEX('Daily Sale entry '!$U$1:$U$1501,$J1717-1499))))</f>
        <v/>
      </c>
      <c r="C1717">
        <f>IF($J1717="","",IF($J1717&lt;=1500,INDEX('Daily Sale entry '!$Z$1:$Z$1501,$J1717+1)&amp;"","Cheque deposit 支票存入 (buyer 买家)"))</f>
        <v/>
      </c>
      <c r="D1717">
        <f>IF($J1717="","",IF($J1717&lt;=1500,INDEX('Daily Sale entry '!$AA$1:$AA$1501,$J1717+1)&amp;"",INDEX('Daily Sale entry '!$P$1:$P$1501,$J1717-1499)&amp;""))</f>
        <v/>
      </c>
      <c r="E1717">
        <f>IF($J1717="","",IF($J1717&lt;=1500,IF(N(INDEX('Daily Sale entry '!$AB$1:$AB$1501,$J1717+1))=0,"",INDEX('Daily Sale entry '!$AB$1:$AB$1501,$J1717+1)),1))</f>
        <v/>
      </c>
      <c r="F1717" s="6">
        <f>IF($J1717="","",IF($J1717&lt;=1500,N(INDEX('Daily Sale entry '!$AC$1:$AC$1501,$J1717+1))-IF(AND('Opening Balance'!$B$15=1,INDEX('Daily Sale entry '!$Z$1:$Z$1501,$J1717+1)="Online collection 网上收款",INDEX('Daily Sale entry '!$AA$1:$AA$1501,$J1717+1)&lt;&gt;""),N(INDEX('Daily Sale entry '!$AC$1:$AC$1501,$J1717+1))-TRUNC(N(INDEX('Daily Sale entry '!$AC$1:$AC$1501,$J1717+1))),0),N(INDEX('Daily Sale entry '!$S$1:$S$1501,$J1717-1499))-'Opening Balance'!$B$15*(N(INDEX('Daily Sale entry '!$S$1:$S$1501,$J1717-1499))-TRUNC(N(INDEX('Daily Sale entry '!$S$1:$S$1501,$J1717-1499))))))</f>
        <v/>
      </c>
      <c r="G1717" s="6">
        <f>IF($J1717="","",IF($J1717&lt;=1500,N(INDEX('Daily Sale entry '!$AD$1:$AD$1501,$J1717+1)),0))</f>
        <v/>
      </c>
      <c r="H1717" s="6">
        <f>IF($J1717="","",ROUND('Opening Balance'!$B$4+SUM($F$2:F1717)-SUM($G$2:G1717),2))</f>
        <v/>
      </c>
      <c r="J1717" s="21">
        <f>IFERROR(MATCH(ROW()-1,$L$2:$L$3001,0),"")</f>
        <v/>
      </c>
      <c r="K1717" s="34">
        <f>IF(AND('Daily Sale entry '!Q217="Collection 收款",'Daily Sale entry '!R217="Cheque 支票",'Daily Sale entry '!V217&lt;&gt;""),'Daily Sale entry '!V217+ROW()/10000000,"")</f>
        <v/>
      </c>
      <c r="L1717" s="21">
        <f>IF(K1717="","",COUNTIF($K$2:$K$3001,"&lt;"&amp;K1717)+1)</f>
        <v/>
      </c>
    </row>
    <row r="1718">
      <c r="A1718" s="5">
        <f>IF($J1718="","",IF($J1718&lt;=1500,INDEX('Daily Sale entry '!$X$1:$X$1501,$J1718+1),INDEX('Daily Sale entry '!$V$1:$V$1501,$J1718-1499)))</f>
        <v/>
      </c>
      <c r="B1718">
        <f>IF($J1718="","",IF($J1718&lt;=1500,INDEX('Daily Sale entry '!$Y$1:$Y$1501,$J1718+1)&amp;"","Buyer cheque banked 买家支票存入"&amp;IF(INDEX('Daily Sale entry '!$U$1:$U$1501,$J1718-1499)="","", " - "&amp;INDEX('Daily Sale entry '!$U$1:$U$1501,$J1718-1499))))</f>
        <v/>
      </c>
      <c r="C1718">
        <f>IF($J1718="","",IF($J1718&lt;=1500,INDEX('Daily Sale entry '!$Z$1:$Z$1501,$J1718+1)&amp;"","Cheque deposit 支票存入 (buyer 买家)"))</f>
        <v/>
      </c>
      <c r="D1718">
        <f>IF($J1718="","",IF($J1718&lt;=1500,INDEX('Daily Sale entry '!$AA$1:$AA$1501,$J1718+1)&amp;"",INDEX('Daily Sale entry '!$P$1:$P$1501,$J1718-1499)&amp;""))</f>
        <v/>
      </c>
      <c r="E1718">
        <f>IF($J1718="","",IF($J1718&lt;=1500,IF(N(INDEX('Daily Sale entry '!$AB$1:$AB$1501,$J1718+1))=0,"",INDEX('Daily Sale entry '!$AB$1:$AB$1501,$J1718+1)),1))</f>
        <v/>
      </c>
      <c r="F1718" s="6">
        <f>IF($J1718="","",IF($J1718&lt;=1500,N(INDEX('Daily Sale entry '!$AC$1:$AC$1501,$J1718+1))-IF(AND('Opening Balance'!$B$15=1,INDEX('Daily Sale entry '!$Z$1:$Z$1501,$J1718+1)="Online collection 网上收款",INDEX('Daily Sale entry '!$AA$1:$AA$1501,$J1718+1)&lt;&gt;""),N(INDEX('Daily Sale entry '!$AC$1:$AC$1501,$J1718+1))-TRUNC(N(INDEX('Daily Sale entry '!$AC$1:$AC$1501,$J1718+1))),0),N(INDEX('Daily Sale entry '!$S$1:$S$1501,$J1718-1499))-'Opening Balance'!$B$15*(N(INDEX('Daily Sale entry '!$S$1:$S$1501,$J1718-1499))-TRUNC(N(INDEX('Daily Sale entry '!$S$1:$S$1501,$J1718-1499))))))</f>
        <v/>
      </c>
      <c r="G1718" s="6">
        <f>IF($J1718="","",IF($J1718&lt;=1500,N(INDEX('Daily Sale entry '!$AD$1:$AD$1501,$J1718+1)),0))</f>
        <v/>
      </c>
      <c r="H1718" s="6">
        <f>IF($J1718="","",ROUND('Opening Balance'!$B$4+SUM($F$2:F1718)-SUM($G$2:G1718),2))</f>
        <v/>
      </c>
      <c r="J1718" s="21">
        <f>IFERROR(MATCH(ROW()-1,$L$2:$L$3001,0),"")</f>
        <v/>
      </c>
      <c r="K1718" s="34">
        <f>IF(AND('Daily Sale entry '!Q218="Collection 收款",'Daily Sale entry '!R218="Cheque 支票",'Daily Sale entry '!V218&lt;&gt;""),'Daily Sale entry '!V218+ROW()/10000000,"")</f>
        <v/>
      </c>
      <c r="L1718" s="21">
        <f>IF(K1718="","",COUNTIF($K$2:$K$3001,"&lt;"&amp;K1718)+1)</f>
        <v/>
      </c>
    </row>
    <row r="1719">
      <c r="A1719" s="5">
        <f>IF($J1719="","",IF($J1719&lt;=1500,INDEX('Daily Sale entry '!$X$1:$X$1501,$J1719+1),INDEX('Daily Sale entry '!$V$1:$V$1501,$J1719-1499)))</f>
        <v/>
      </c>
      <c r="B1719">
        <f>IF($J1719="","",IF($J1719&lt;=1500,INDEX('Daily Sale entry '!$Y$1:$Y$1501,$J1719+1)&amp;"","Buyer cheque banked 买家支票存入"&amp;IF(INDEX('Daily Sale entry '!$U$1:$U$1501,$J1719-1499)="","", " - "&amp;INDEX('Daily Sale entry '!$U$1:$U$1501,$J1719-1499))))</f>
        <v/>
      </c>
      <c r="C1719">
        <f>IF($J1719="","",IF($J1719&lt;=1500,INDEX('Daily Sale entry '!$Z$1:$Z$1501,$J1719+1)&amp;"","Cheque deposit 支票存入 (buyer 买家)"))</f>
        <v/>
      </c>
      <c r="D1719">
        <f>IF($J1719="","",IF($J1719&lt;=1500,INDEX('Daily Sale entry '!$AA$1:$AA$1501,$J1719+1)&amp;"",INDEX('Daily Sale entry '!$P$1:$P$1501,$J1719-1499)&amp;""))</f>
        <v/>
      </c>
      <c r="E1719">
        <f>IF($J1719="","",IF($J1719&lt;=1500,IF(N(INDEX('Daily Sale entry '!$AB$1:$AB$1501,$J1719+1))=0,"",INDEX('Daily Sale entry '!$AB$1:$AB$1501,$J1719+1)),1))</f>
        <v/>
      </c>
      <c r="F1719" s="6">
        <f>IF($J1719="","",IF($J1719&lt;=1500,N(INDEX('Daily Sale entry '!$AC$1:$AC$1501,$J1719+1))-IF(AND('Opening Balance'!$B$15=1,INDEX('Daily Sale entry '!$Z$1:$Z$1501,$J1719+1)="Online collection 网上收款",INDEX('Daily Sale entry '!$AA$1:$AA$1501,$J1719+1)&lt;&gt;""),N(INDEX('Daily Sale entry '!$AC$1:$AC$1501,$J1719+1))-TRUNC(N(INDEX('Daily Sale entry '!$AC$1:$AC$1501,$J1719+1))),0),N(INDEX('Daily Sale entry '!$S$1:$S$1501,$J1719-1499))-'Opening Balance'!$B$15*(N(INDEX('Daily Sale entry '!$S$1:$S$1501,$J1719-1499))-TRUNC(N(INDEX('Daily Sale entry '!$S$1:$S$1501,$J1719-1499))))))</f>
        <v/>
      </c>
      <c r="G1719" s="6">
        <f>IF($J1719="","",IF($J1719&lt;=1500,N(INDEX('Daily Sale entry '!$AD$1:$AD$1501,$J1719+1)),0))</f>
        <v/>
      </c>
      <c r="H1719" s="6">
        <f>IF($J1719="","",ROUND('Opening Balance'!$B$4+SUM($F$2:F1719)-SUM($G$2:G1719),2))</f>
        <v/>
      </c>
      <c r="J1719" s="21">
        <f>IFERROR(MATCH(ROW()-1,$L$2:$L$3001,0),"")</f>
        <v/>
      </c>
      <c r="K1719" s="34">
        <f>IF(AND('Daily Sale entry '!Q219="Collection 收款",'Daily Sale entry '!R219="Cheque 支票",'Daily Sale entry '!V219&lt;&gt;""),'Daily Sale entry '!V219+ROW()/10000000,"")</f>
        <v/>
      </c>
      <c r="L1719" s="21">
        <f>IF(K1719="","",COUNTIF($K$2:$K$3001,"&lt;"&amp;K1719)+1)</f>
        <v/>
      </c>
    </row>
    <row r="1720">
      <c r="A1720" s="5">
        <f>IF($J1720="","",IF($J1720&lt;=1500,INDEX('Daily Sale entry '!$X$1:$X$1501,$J1720+1),INDEX('Daily Sale entry '!$V$1:$V$1501,$J1720-1499)))</f>
        <v/>
      </c>
      <c r="B1720">
        <f>IF($J1720="","",IF($J1720&lt;=1500,INDEX('Daily Sale entry '!$Y$1:$Y$1501,$J1720+1)&amp;"","Buyer cheque banked 买家支票存入"&amp;IF(INDEX('Daily Sale entry '!$U$1:$U$1501,$J1720-1499)="","", " - "&amp;INDEX('Daily Sale entry '!$U$1:$U$1501,$J1720-1499))))</f>
        <v/>
      </c>
      <c r="C1720">
        <f>IF($J1720="","",IF($J1720&lt;=1500,INDEX('Daily Sale entry '!$Z$1:$Z$1501,$J1720+1)&amp;"","Cheque deposit 支票存入 (buyer 买家)"))</f>
        <v/>
      </c>
      <c r="D1720">
        <f>IF($J1720="","",IF($J1720&lt;=1500,INDEX('Daily Sale entry '!$AA$1:$AA$1501,$J1720+1)&amp;"",INDEX('Daily Sale entry '!$P$1:$P$1501,$J1720-1499)&amp;""))</f>
        <v/>
      </c>
      <c r="E1720">
        <f>IF($J1720="","",IF($J1720&lt;=1500,IF(N(INDEX('Daily Sale entry '!$AB$1:$AB$1501,$J1720+1))=0,"",INDEX('Daily Sale entry '!$AB$1:$AB$1501,$J1720+1)),1))</f>
        <v/>
      </c>
      <c r="F1720" s="6">
        <f>IF($J1720="","",IF($J1720&lt;=1500,N(INDEX('Daily Sale entry '!$AC$1:$AC$1501,$J1720+1))-IF(AND('Opening Balance'!$B$15=1,INDEX('Daily Sale entry '!$Z$1:$Z$1501,$J1720+1)="Online collection 网上收款",INDEX('Daily Sale entry '!$AA$1:$AA$1501,$J1720+1)&lt;&gt;""),N(INDEX('Daily Sale entry '!$AC$1:$AC$1501,$J1720+1))-TRUNC(N(INDEX('Daily Sale entry '!$AC$1:$AC$1501,$J1720+1))),0),N(INDEX('Daily Sale entry '!$S$1:$S$1501,$J1720-1499))-'Opening Balance'!$B$15*(N(INDEX('Daily Sale entry '!$S$1:$S$1501,$J1720-1499))-TRUNC(N(INDEX('Daily Sale entry '!$S$1:$S$1501,$J1720-1499))))))</f>
        <v/>
      </c>
      <c r="G1720" s="6">
        <f>IF($J1720="","",IF($J1720&lt;=1500,N(INDEX('Daily Sale entry '!$AD$1:$AD$1501,$J1720+1)),0))</f>
        <v/>
      </c>
      <c r="H1720" s="6">
        <f>IF($J1720="","",ROUND('Opening Balance'!$B$4+SUM($F$2:F1720)-SUM($G$2:G1720),2))</f>
        <v/>
      </c>
      <c r="J1720" s="21">
        <f>IFERROR(MATCH(ROW()-1,$L$2:$L$3001,0),"")</f>
        <v/>
      </c>
      <c r="K1720" s="34">
        <f>IF(AND('Daily Sale entry '!Q220="Collection 收款",'Daily Sale entry '!R220="Cheque 支票",'Daily Sale entry '!V220&lt;&gt;""),'Daily Sale entry '!V220+ROW()/10000000,"")</f>
        <v/>
      </c>
      <c r="L1720" s="21">
        <f>IF(K1720="","",COUNTIF($K$2:$K$3001,"&lt;"&amp;K1720)+1)</f>
        <v/>
      </c>
    </row>
    <row r="1721">
      <c r="A1721" s="5">
        <f>IF($J1721="","",IF($J1721&lt;=1500,INDEX('Daily Sale entry '!$X$1:$X$1501,$J1721+1),INDEX('Daily Sale entry '!$V$1:$V$1501,$J1721-1499)))</f>
        <v/>
      </c>
      <c r="B1721">
        <f>IF($J1721="","",IF($J1721&lt;=1500,INDEX('Daily Sale entry '!$Y$1:$Y$1501,$J1721+1)&amp;"","Buyer cheque banked 买家支票存入"&amp;IF(INDEX('Daily Sale entry '!$U$1:$U$1501,$J1721-1499)="","", " - "&amp;INDEX('Daily Sale entry '!$U$1:$U$1501,$J1721-1499))))</f>
        <v/>
      </c>
      <c r="C1721">
        <f>IF($J1721="","",IF($J1721&lt;=1500,INDEX('Daily Sale entry '!$Z$1:$Z$1501,$J1721+1)&amp;"","Cheque deposit 支票存入 (buyer 买家)"))</f>
        <v/>
      </c>
      <c r="D1721">
        <f>IF($J1721="","",IF($J1721&lt;=1500,INDEX('Daily Sale entry '!$AA$1:$AA$1501,$J1721+1)&amp;"",INDEX('Daily Sale entry '!$P$1:$P$1501,$J1721-1499)&amp;""))</f>
        <v/>
      </c>
      <c r="E1721">
        <f>IF($J1721="","",IF($J1721&lt;=1500,IF(N(INDEX('Daily Sale entry '!$AB$1:$AB$1501,$J1721+1))=0,"",INDEX('Daily Sale entry '!$AB$1:$AB$1501,$J1721+1)),1))</f>
        <v/>
      </c>
      <c r="F1721" s="6">
        <f>IF($J1721="","",IF($J1721&lt;=1500,N(INDEX('Daily Sale entry '!$AC$1:$AC$1501,$J1721+1))-IF(AND('Opening Balance'!$B$15=1,INDEX('Daily Sale entry '!$Z$1:$Z$1501,$J1721+1)="Online collection 网上收款",INDEX('Daily Sale entry '!$AA$1:$AA$1501,$J1721+1)&lt;&gt;""),N(INDEX('Daily Sale entry '!$AC$1:$AC$1501,$J1721+1))-TRUNC(N(INDEX('Daily Sale entry '!$AC$1:$AC$1501,$J1721+1))),0),N(INDEX('Daily Sale entry '!$S$1:$S$1501,$J1721-1499))-'Opening Balance'!$B$15*(N(INDEX('Daily Sale entry '!$S$1:$S$1501,$J1721-1499))-TRUNC(N(INDEX('Daily Sale entry '!$S$1:$S$1501,$J1721-1499))))))</f>
        <v/>
      </c>
      <c r="G1721" s="6">
        <f>IF($J1721="","",IF($J1721&lt;=1500,N(INDEX('Daily Sale entry '!$AD$1:$AD$1501,$J1721+1)),0))</f>
        <v/>
      </c>
      <c r="H1721" s="6">
        <f>IF($J1721="","",ROUND('Opening Balance'!$B$4+SUM($F$2:F1721)-SUM($G$2:G1721),2))</f>
        <v/>
      </c>
      <c r="J1721" s="21">
        <f>IFERROR(MATCH(ROW()-1,$L$2:$L$3001,0),"")</f>
        <v/>
      </c>
      <c r="K1721" s="34">
        <f>IF(AND('Daily Sale entry '!Q221="Collection 收款",'Daily Sale entry '!R221="Cheque 支票",'Daily Sale entry '!V221&lt;&gt;""),'Daily Sale entry '!V221+ROW()/10000000,"")</f>
        <v/>
      </c>
      <c r="L1721" s="21">
        <f>IF(K1721="","",COUNTIF($K$2:$K$3001,"&lt;"&amp;K1721)+1)</f>
        <v/>
      </c>
    </row>
    <row r="1722">
      <c r="A1722" s="5">
        <f>IF($J1722="","",IF($J1722&lt;=1500,INDEX('Daily Sale entry '!$X$1:$X$1501,$J1722+1),INDEX('Daily Sale entry '!$V$1:$V$1501,$J1722-1499)))</f>
        <v/>
      </c>
      <c r="B1722">
        <f>IF($J1722="","",IF($J1722&lt;=1500,INDEX('Daily Sale entry '!$Y$1:$Y$1501,$J1722+1)&amp;"","Buyer cheque banked 买家支票存入"&amp;IF(INDEX('Daily Sale entry '!$U$1:$U$1501,$J1722-1499)="","", " - "&amp;INDEX('Daily Sale entry '!$U$1:$U$1501,$J1722-1499))))</f>
        <v/>
      </c>
      <c r="C1722">
        <f>IF($J1722="","",IF($J1722&lt;=1500,INDEX('Daily Sale entry '!$Z$1:$Z$1501,$J1722+1)&amp;"","Cheque deposit 支票存入 (buyer 买家)"))</f>
        <v/>
      </c>
      <c r="D1722">
        <f>IF($J1722="","",IF($J1722&lt;=1500,INDEX('Daily Sale entry '!$AA$1:$AA$1501,$J1722+1)&amp;"",INDEX('Daily Sale entry '!$P$1:$P$1501,$J1722-1499)&amp;""))</f>
        <v/>
      </c>
      <c r="E1722">
        <f>IF($J1722="","",IF($J1722&lt;=1500,IF(N(INDEX('Daily Sale entry '!$AB$1:$AB$1501,$J1722+1))=0,"",INDEX('Daily Sale entry '!$AB$1:$AB$1501,$J1722+1)),1))</f>
        <v/>
      </c>
      <c r="F1722" s="6">
        <f>IF($J1722="","",IF($J1722&lt;=1500,N(INDEX('Daily Sale entry '!$AC$1:$AC$1501,$J1722+1))-IF(AND('Opening Balance'!$B$15=1,INDEX('Daily Sale entry '!$Z$1:$Z$1501,$J1722+1)="Online collection 网上收款",INDEX('Daily Sale entry '!$AA$1:$AA$1501,$J1722+1)&lt;&gt;""),N(INDEX('Daily Sale entry '!$AC$1:$AC$1501,$J1722+1))-TRUNC(N(INDEX('Daily Sale entry '!$AC$1:$AC$1501,$J1722+1))),0),N(INDEX('Daily Sale entry '!$S$1:$S$1501,$J1722-1499))-'Opening Balance'!$B$15*(N(INDEX('Daily Sale entry '!$S$1:$S$1501,$J1722-1499))-TRUNC(N(INDEX('Daily Sale entry '!$S$1:$S$1501,$J1722-1499))))))</f>
        <v/>
      </c>
      <c r="G1722" s="6">
        <f>IF($J1722="","",IF($J1722&lt;=1500,N(INDEX('Daily Sale entry '!$AD$1:$AD$1501,$J1722+1)),0))</f>
        <v/>
      </c>
      <c r="H1722" s="6">
        <f>IF($J1722="","",ROUND('Opening Balance'!$B$4+SUM($F$2:F1722)-SUM($G$2:G1722),2))</f>
        <v/>
      </c>
      <c r="J1722" s="21">
        <f>IFERROR(MATCH(ROW()-1,$L$2:$L$3001,0),"")</f>
        <v/>
      </c>
      <c r="K1722" s="34">
        <f>IF(AND('Daily Sale entry '!Q222="Collection 收款",'Daily Sale entry '!R222="Cheque 支票",'Daily Sale entry '!V222&lt;&gt;""),'Daily Sale entry '!V222+ROW()/10000000,"")</f>
        <v/>
      </c>
      <c r="L1722" s="21">
        <f>IF(K1722="","",COUNTIF($K$2:$K$3001,"&lt;"&amp;K1722)+1)</f>
        <v/>
      </c>
    </row>
    <row r="1723">
      <c r="A1723" s="5">
        <f>IF($J1723="","",IF($J1723&lt;=1500,INDEX('Daily Sale entry '!$X$1:$X$1501,$J1723+1),INDEX('Daily Sale entry '!$V$1:$V$1501,$J1723-1499)))</f>
        <v/>
      </c>
      <c r="B1723">
        <f>IF($J1723="","",IF($J1723&lt;=1500,INDEX('Daily Sale entry '!$Y$1:$Y$1501,$J1723+1)&amp;"","Buyer cheque banked 买家支票存入"&amp;IF(INDEX('Daily Sale entry '!$U$1:$U$1501,$J1723-1499)="","", " - "&amp;INDEX('Daily Sale entry '!$U$1:$U$1501,$J1723-1499))))</f>
        <v/>
      </c>
      <c r="C1723">
        <f>IF($J1723="","",IF($J1723&lt;=1500,INDEX('Daily Sale entry '!$Z$1:$Z$1501,$J1723+1)&amp;"","Cheque deposit 支票存入 (buyer 买家)"))</f>
        <v/>
      </c>
      <c r="D1723">
        <f>IF($J1723="","",IF($J1723&lt;=1500,INDEX('Daily Sale entry '!$AA$1:$AA$1501,$J1723+1)&amp;"",INDEX('Daily Sale entry '!$P$1:$P$1501,$J1723-1499)&amp;""))</f>
        <v/>
      </c>
      <c r="E1723">
        <f>IF($J1723="","",IF($J1723&lt;=1500,IF(N(INDEX('Daily Sale entry '!$AB$1:$AB$1501,$J1723+1))=0,"",INDEX('Daily Sale entry '!$AB$1:$AB$1501,$J1723+1)),1))</f>
        <v/>
      </c>
      <c r="F1723" s="6">
        <f>IF($J1723="","",IF($J1723&lt;=1500,N(INDEX('Daily Sale entry '!$AC$1:$AC$1501,$J1723+1))-IF(AND('Opening Balance'!$B$15=1,INDEX('Daily Sale entry '!$Z$1:$Z$1501,$J1723+1)="Online collection 网上收款",INDEX('Daily Sale entry '!$AA$1:$AA$1501,$J1723+1)&lt;&gt;""),N(INDEX('Daily Sale entry '!$AC$1:$AC$1501,$J1723+1))-TRUNC(N(INDEX('Daily Sale entry '!$AC$1:$AC$1501,$J1723+1))),0),N(INDEX('Daily Sale entry '!$S$1:$S$1501,$J1723-1499))-'Opening Balance'!$B$15*(N(INDEX('Daily Sale entry '!$S$1:$S$1501,$J1723-1499))-TRUNC(N(INDEX('Daily Sale entry '!$S$1:$S$1501,$J1723-1499))))))</f>
        <v/>
      </c>
      <c r="G1723" s="6">
        <f>IF($J1723="","",IF($J1723&lt;=1500,N(INDEX('Daily Sale entry '!$AD$1:$AD$1501,$J1723+1)),0))</f>
        <v/>
      </c>
      <c r="H1723" s="6">
        <f>IF($J1723="","",ROUND('Opening Balance'!$B$4+SUM($F$2:F1723)-SUM($G$2:G1723),2))</f>
        <v/>
      </c>
      <c r="J1723" s="21">
        <f>IFERROR(MATCH(ROW()-1,$L$2:$L$3001,0),"")</f>
        <v/>
      </c>
      <c r="K1723" s="34">
        <f>IF(AND('Daily Sale entry '!Q223="Collection 收款",'Daily Sale entry '!R223="Cheque 支票",'Daily Sale entry '!V223&lt;&gt;""),'Daily Sale entry '!V223+ROW()/10000000,"")</f>
        <v/>
      </c>
      <c r="L1723" s="21">
        <f>IF(K1723="","",COUNTIF($K$2:$K$3001,"&lt;"&amp;K1723)+1)</f>
        <v/>
      </c>
    </row>
    <row r="1724">
      <c r="A1724" s="5">
        <f>IF($J1724="","",IF($J1724&lt;=1500,INDEX('Daily Sale entry '!$X$1:$X$1501,$J1724+1),INDEX('Daily Sale entry '!$V$1:$V$1501,$J1724-1499)))</f>
        <v/>
      </c>
      <c r="B1724">
        <f>IF($J1724="","",IF($J1724&lt;=1500,INDEX('Daily Sale entry '!$Y$1:$Y$1501,$J1724+1)&amp;"","Buyer cheque banked 买家支票存入"&amp;IF(INDEX('Daily Sale entry '!$U$1:$U$1501,$J1724-1499)="","", " - "&amp;INDEX('Daily Sale entry '!$U$1:$U$1501,$J1724-1499))))</f>
        <v/>
      </c>
      <c r="C1724">
        <f>IF($J1724="","",IF($J1724&lt;=1500,INDEX('Daily Sale entry '!$Z$1:$Z$1501,$J1724+1)&amp;"","Cheque deposit 支票存入 (buyer 买家)"))</f>
        <v/>
      </c>
      <c r="D1724">
        <f>IF($J1724="","",IF($J1724&lt;=1500,INDEX('Daily Sale entry '!$AA$1:$AA$1501,$J1724+1)&amp;"",INDEX('Daily Sale entry '!$P$1:$P$1501,$J1724-1499)&amp;""))</f>
        <v/>
      </c>
      <c r="E1724">
        <f>IF($J1724="","",IF($J1724&lt;=1500,IF(N(INDEX('Daily Sale entry '!$AB$1:$AB$1501,$J1724+1))=0,"",INDEX('Daily Sale entry '!$AB$1:$AB$1501,$J1724+1)),1))</f>
        <v/>
      </c>
      <c r="F1724" s="6">
        <f>IF($J1724="","",IF($J1724&lt;=1500,N(INDEX('Daily Sale entry '!$AC$1:$AC$1501,$J1724+1))-IF(AND('Opening Balance'!$B$15=1,INDEX('Daily Sale entry '!$Z$1:$Z$1501,$J1724+1)="Online collection 网上收款",INDEX('Daily Sale entry '!$AA$1:$AA$1501,$J1724+1)&lt;&gt;""),N(INDEX('Daily Sale entry '!$AC$1:$AC$1501,$J1724+1))-TRUNC(N(INDEX('Daily Sale entry '!$AC$1:$AC$1501,$J1724+1))),0),N(INDEX('Daily Sale entry '!$S$1:$S$1501,$J1724-1499))-'Opening Balance'!$B$15*(N(INDEX('Daily Sale entry '!$S$1:$S$1501,$J1724-1499))-TRUNC(N(INDEX('Daily Sale entry '!$S$1:$S$1501,$J1724-1499))))))</f>
        <v/>
      </c>
      <c r="G1724" s="6">
        <f>IF($J1724="","",IF($J1724&lt;=1500,N(INDEX('Daily Sale entry '!$AD$1:$AD$1501,$J1724+1)),0))</f>
        <v/>
      </c>
      <c r="H1724" s="6">
        <f>IF($J1724="","",ROUND('Opening Balance'!$B$4+SUM($F$2:F1724)-SUM($G$2:G1724),2))</f>
        <v/>
      </c>
      <c r="J1724" s="21">
        <f>IFERROR(MATCH(ROW()-1,$L$2:$L$3001,0),"")</f>
        <v/>
      </c>
      <c r="K1724" s="34">
        <f>IF(AND('Daily Sale entry '!Q224="Collection 收款",'Daily Sale entry '!R224="Cheque 支票",'Daily Sale entry '!V224&lt;&gt;""),'Daily Sale entry '!V224+ROW()/10000000,"")</f>
        <v/>
      </c>
      <c r="L1724" s="21">
        <f>IF(K1724="","",COUNTIF($K$2:$K$3001,"&lt;"&amp;K1724)+1)</f>
        <v/>
      </c>
    </row>
    <row r="1725">
      <c r="A1725" s="5">
        <f>IF($J1725="","",IF($J1725&lt;=1500,INDEX('Daily Sale entry '!$X$1:$X$1501,$J1725+1),INDEX('Daily Sale entry '!$V$1:$V$1501,$J1725-1499)))</f>
        <v/>
      </c>
      <c r="B1725">
        <f>IF($J1725="","",IF($J1725&lt;=1500,INDEX('Daily Sale entry '!$Y$1:$Y$1501,$J1725+1)&amp;"","Buyer cheque banked 买家支票存入"&amp;IF(INDEX('Daily Sale entry '!$U$1:$U$1501,$J1725-1499)="","", " - "&amp;INDEX('Daily Sale entry '!$U$1:$U$1501,$J1725-1499))))</f>
        <v/>
      </c>
      <c r="C1725">
        <f>IF($J1725="","",IF($J1725&lt;=1500,INDEX('Daily Sale entry '!$Z$1:$Z$1501,$J1725+1)&amp;"","Cheque deposit 支票存入 (buyer 买家)"))</f>
        <v/>
      </c>
      <c r="D1725">
        <f>IF($J1725="","",IF($J1725&lt;=1500,INDEX('Daily Sale entry '!$AA$1:$AA$1501,$J1725+1)&amp;"",INDEX('Daily Sale entry '!$P$1:$P$1501,$J1725-1499)&amp;""))</f>
        <v/>
      </c>
      <c r="E1725">
        <f>IF($J1725="","",IF($J1725&lt;=1500,IF(N(INDEX('Daily Sale entry '!$AB$1:$AB$1501,$J1725+1))=0,"",INDEX('Daily Sale entry '!$AB$1:$AB$1501,$J1725+1)),1))</f>
        <v/>
      </c>
      <c r="F1725" s="6">
        <f>IF($J1725="","",IF($J1725&lt;=1500,N(INDEX('Daily Sale entry '!$AC$1:$AC$1501,$J1725+1))-IF(AND('Opening Balance'!$B$15=1,INDEX('Daily Sale entry '!$Z$1:$Z$1501,$J1725+1)="Online collection 网上收款",INDEX('Daily Sale entry '!$AA$1:$AA$1501,$J1725+1)&lt;&gt;""),N(INDEX('Daily Sale entry '!$AC$1:$AC$1501,$J1725+1))-TRUNC(N(INDEX('Daily Sale entry '!$AC$1:$AC$1501,$J1725+1))),0),N(INDEX('Daily Sale entry '!$S$1:$S$1501,$J1725-1499))-'Opening Balance'!$B$15*(N(INDEX('Daily Sale entry '!$S$1:$S$1501,$J1725-1499))-TRUNC(N(INDEX('Daily Sale entry '!$S$1:$S$1501,$J1725-1499))))))</f>
        <v/>
      </c>
      <c r="G1725" s="6">
        <f>IF($J1725="","",IF($J1725&lt;=1500,N(INDEX('Daily Sale entry '!$AD$1:$AD$1501,$J1725+1)),0))</f>
        <v/>
      </c>
      <c r="H1725" s="6">
        <f>IF($J1725="","",ROUND('Opening Balance'!$B$4+SUM($F$2:F1725)-SUM($G$2:G1725),2))</f>
        <v/>
      </c>
      <c r="J1725" s="21">
        <f>IFERROR(MATCH(ROW()-1,$L$2:$L$3001,0),"")</f>
        <v/>
      </c>
      <c r="K1725" s="34">
        <f>IF(AND('Daily Sale entry '!Q225="Collection 收款",'Daily Sale entry '!R225="Cheque 支票",'Daily Sale entry '!V225&lt;&gt;""),'Daily Sale entry '!V225+ROW()/10000000,"")</f>
        <v/>
      </c>
      <c r="L1725" s="21">
        <f>IF(K1725="","",COUNTIF($K$2:$K$3001,"&lt;"&amp;K1725)+1)</f>
        <v/>
      </c>
    </row>
    <row r="1726">
      <c r="A1726" s="5">
        <f>IF($J1726="","",IF($J1726&lt;=1500,INDEX('Daily Sale entry '!$X$1:$X$1501,$J1726+1),INDEX('Daily Sale entry '!$V$1:$V$1501,$J1726-1499)))</f>
        <v/>
      </c>
      <c r="B1726">
        <f>IF($J1726="","",IF($J1726&lt;=1500,INDEX('Daily Sale entry '!$Y$1:$Y$1501,$J1726+1)&amp;"","Buyer cheque banked 买家支票存入"&amp;IF(INDEX('Daily Sale entry '!$U$1:$U$1501,$J1726-1499)="","", " - "&amp;INDEX('Daily Sale entry '!$U$1:$U$1501,$J1726-1499))))</f>
        <v/>
      </c>
      <c r="C1726">
        <f>IF($J1726="","",IF($J1726&lt;=1500,INDEX('Daily Sale entry '!$Z$1:$Z$1501,$J1726+1)&amp;"","Cheque deposit 支票存入 (buyer 买家)"))</f>
        <v/>
      </c>
      <c r="D1726">
        <f>IF($J1726="","",IF($J1726&lt;=1500,INDEX('Daily Sale entry '!$AA$1:$AA$1501,$J1726+1)&amp;"",INDEX('Daily Sale entry '!$P$1:$P$1501,$J1726-1499)&amp;""))</f>
        <v/>
      </c>
      <c r="E1726">
        <f>IF($J1726="","",IF($J1726&lt;=1500,IF(N(INDEX('Daily Sale entry '!$AB$1:$AB$1501,$J1726+1))=0,"",INDEX('Daily Sale entry '!$AB$1:$AB$1501,$J1726+1)),1))</f>
        <v/>
      </c>
      <c r="F1726" s="6">
        <f>IF($J1726="","",IF($J1726&lt;=1500,N(INDEX('Daily Sale entry '!$AC$1:$AC$1501,$J1726+1))-IF(AND('Opening Balance'!$B$15=1,INDEX('Daily Sale entry '!$Z$1:$Z$1501,$J1726+1)="Online collection 网上收款",INDEX('Daily Sale entry '!$AA$1:$AA$1501,$J1726+1)&lt;&gt;""),N(INDEX('Daily Sale entry '!$AC$1:$AC$1501,$J1726+1))-TRUNC(N(INDEX('Daily Sale entry '!$AC$1:$AC$1501,$J1726+1))),0),N(INDEX('Daily Sale entry '!$S$1:$S$1501,$J1726-1499))-'Opening Balance'!$B$15*(N(INDEX('Daily Sale entry '!$S$1:$S$1501,$J1726-1499))-TRUNC(N(INDEX('Daily Sale entry '!$S$1:$S$1501,$J1726-1499))))))</f>
        <v/>
      </c>
      <c r="G1726" s="6">
        <f>IF($J1726="","",IF($J1726&lt;=1500,N(INDEX('Daily Sale entry '!$AD$1:$AD$1501,$J1726+1)),0))</f>
        <v/>
      </c>
      <c r="H1726" s="6">
        <f>IF($J1726="","",ROUND('Opening Balance'!$B$4+SUM($F$2:F1726)-SUM($G$2:G1726),2))</f>
        <v/>
      </c>
      <c r="J1726" s="21">
        <f>IFERROR(MATCH(ROW()-1,$L$2:$L$3001,0),"")</f>
        <v/>
      </c>
      <c r="K1726" s="34">
        <f>IF(AND('Daily Sale entry '!Q226="Collection 收款",'Daily Sale entry '!R226="Cheque 支票",'Daily Sale entry '!V226&lt;&gt;""),'Daily Sale entry '!V226+ROW()/10000000,"")</f>
        <v/>
      </c>
      <c r="L1726" s="21">
        <f>IF(K1726="","",COUNTIF($K$2:$K$3001,"&lt;"&amp;K1726)+1)</f>
        <v/>
      </c>
    </row>
    <row r="1727">
      <c r="A1727" s="5">
        <f>IF($J1727="","",IF($J1727&lt;=1500,INDEX('Daily Sale entry '!$X$1:$X$1501,$J1727+1),INDEX('Daily Sale entry '!$V$1:$V$1501,$J1727-1499)))</f>
        <v/>
      </c>
      <c r="B1727">
        <f>IF($J1727="","",IF($J1727&lt;=1500,INDEX('Daily Sale entry '!$Y$1:$Y$1501,$J1727+1)&amp;"","Buyer cheque banked 买家支票存入"&amp;IF(INDEX('Daily Sale entry '!$U$1:$U$1501,$J1727-1499)="","", " - "&amp;INDEX('Daily Sale entry '!$U$1:$U$1501,$J1727-1499))))</f>
        <v/>
      </c>
      <c r="C1727">
        <f>IF($J1727="","",IF($J1727&lt;=1500,INDEX('Daily Sale entry '!$Z$1:$Z$1501,$J1727+1)&amp;"","Cheque deposit 支票存入 (buyer 买家)"))</f>
        <v/>
      </c>
      <c r="D1727">
        <f>IF($J1727="","",IF($J1727&lt;=1500,INDEX('Daily Sale entry '!$AA$1:$AA$1501,$J1727+1)&amp;"",INDEX('Daily Sale entry '!$P$1:$P$1501,$J1727-1499)&amp;""))</f>
        <v/>
      </c>
      <c r="E1727">
        <f>IF($J1727="","",IF($J1727&lt;=1500,IF(N(INDEX('Daily Sale entry '!$AB$1:$AB$1501,$J1727+1))=0,"",INDEX('Daily Sale entry '!$AB$1:$AB$1501,$J1727+1)),1))</f>
        <v/>
      </c>
      <c r="F1727" s="6">
        <f>IF($J1727="","",IF($J1727&lt;=1500,N(INDEX('Daily Sale entry '!$AC$1:$AC$1501,$J1727+1))-IF(AND('Opening Balance'!$B$15=1,INDEX('Daily Sale entry '!$Z$1:$Z$1501,$J1727+1)="Online collection 网上收款",INDEX('Daily Sale entry '!$AA$1:$AA$1501,$J1727+1)&lt;&gt;""),N(INDEX('Daily Sale entry '!$AC$1:$AC$1501,$J1727+1))-TRUNC(N(INDEX('Daily Sale entry '!$AC$1:$AC$1501,$J1727+1))),0),N(INDEX('Daily Sale entry '!$S$1:$S$1501,$J1727-1499))-'Opening Balance'!$B$15*(N(INDEX('Daily Sale entry '!$S$1:$S$1501,$J1727-1499))-TRUNC(N(INDEX('Daily Sale entry '!$S$1:$S$1501,$J1727-1499))))))</f>
        <v/>
      </c>
      <c r="G1727" s="6">
        <f>IF($J1727="","",IF($J1727&lt;=1500,N(INDEX('Daily Sale entry '!$AD$1:$AD$1501,$J1727+1)),0))</f>
        <v/>
      </c>
      <c r="H1727" s="6">
        <f>IF($J1727="","",ROUND('Opening Balance'!$B$4+SUM($F$2:F1727)-SUM($G$2:G1727),2))</f>
        <v/>
      </c>
      <c r="J1727" s="21">
        <f>IFERROR(MATCH(ROW()-1,$L$2:$L$3001,0),"")</f>
        <v/>
      </c>
      <c r="K1727" s="34">
        <f>IF(AND('Daily Sale entry '!Q227="Collection 收款",'Daily Sale entry '!R227="Cheque 支票",'Daily Sale entry '!V227&lt;&gt;""),'Daily Sale entry '!V227+ROW()/10000000,"")</f>
        <v/>
      </c>
      <c r="L1727" s="21">
        <f>IF(K1727="","",COUNTIF($K$2:$K$3001,"&lt;"&amp;K1727)+1)</f>
        <v/>
      </c>
    </row>
    <row r="1728">
      <c r="A1728" s="5">
        <f>IF($J1728="","",IF($J1728&lt;=1500,INDEX('Daily Sale entry '!$X$1:$X$1501,$J1728+1),INDEX('Daily Sale entry '!$V$1:$V$1501,$J1728-1499)))</f>
        <v/>
      </c>
      <c r="B1728">
        <f>IF($J1728="","",IF($J1728&lt;=1500,INDEX('Daily Sale entry '!$Y$1:$Y$1501,$J1728+1)&amp;"","Buyer cheque banked 买家支票存入"&amp;IF(INDEX('Daily Sale entry '!$U$1:$U$1501,$J1728-1499)="","", " - "&amp;INDEX('Daily Sale entry '!$U$1:$U$1501,$J1728-1499))))</f>
        <v/>
      </c>
      <c r="C1728">
        <f>IF($J1728="","",IF($J1728&lt;=1500,INDEX('Daily Sale entry '!$Z$1:$Z$1501,$J1728+1)&amp;"","Cheque deposit 支票存入 (buyer 买家)"))</f>
        <v/>
      </c>
      <c r="D1728">
        <f>IF($J1728="","",IF($J1728&lt;=1500,INDEX('Daily Sale entry '!$AA$1:$AA$1501,$J1728+1)&amp;"",INDEX('Daily Sale entry '!$P$1:$P$1501,$J1728-1499)&amp;""))</f>
        <v/>
      </c>
      <c r="E1728">
        <f>IF($J1728="","",IF($J1728&lt;=1500,IF(N(INDEX('Daily Sale entry '!$AB$1:$AB$1501,$J1728+1))=0,"",INDEX('Daily Sale entry '!$AB$1:$AB$1501,$J1728+1)),1))</f>
        <v/>
      </c>
      <c r="F1728" s="6">
        <f>IF($J1728="","",IF($J1728&lt;=1500,N(INDEX('Daily Sale entry '!$AC$1:$AC$1501,$J1728+1))-IF(AND('Opening Balance'!$B$15=1,INDEX('Daily Sale entry '!$Z$1:$Z$1501,$J1728+1)="Online collection 网上收款",INDEX('Daily Sale entry '!$AA$1:$AA$1501,$J1728+1)&lt;&gt;""),N(INDEX('Daily Sale entry '!$AC$1:$AC$1501,$J1728+1))-TRUNC(N(INDEX('Daily Sale entry '!$AC$1:$AC$1501,$J1728+1))),0),N(INDEX('Daily Sale entry '!$S$1:$S$1501,$J1728-1499))-'Opening Balance'!$B$15*(N(INDEX('Daily Sale entry '!$S$1:$S$1501,$J1728-1499))-TRUNC(N(INDEX('Daily Sale entry '!$S$1:$S$1501,$J1728-1499))))))</f>
        <v/>
      </c>
      <c r="G1728" s="6">
        <f>IF($J1728="","",IF($J1728&lt;=1500,N(INDEX('Daily Sale entry '!$AD$1:$AD$1501,$J1728+1)),0))</f>
        <v/>
      </c>
      <c r="H1728" s="6">
        <f>IF($J1728="","",ROUND('Opening Balance'!$B$4+SUM($F$2:F1728)-SUM($G$2:G1728),2))</f>
        <v/>
      </c>
      <c r="J1728" s="21">
        <f>IFERROR(MATCH(ROW()-1,$L$2:$L$3001,0),"")</f>
        <v/>
      </c>
      <c r="K1728" s="34">
        <f>IF(AND('Daily Sale entry '!Q228="Collection 收款",'Daily Sale entry '!R228="Cheque 支票",'Daily Sale entry '!V228&lt;&gt;""),'Daily Sale entry '!V228+ROW()/10000000,"")</f>
        <v/>
      </c>
      <c r="L1728" s="21">
        <f>IF(K1728="","",COUNTIF($K$2:$K$3001,"&lt;"&amp;K1728)+1)</f>
        <v/>
      </c>
    </row>
    <row r="1729">
      <c r="A1729" s="5">
        <f>IF($J1729="","",IF($J1729&lt;=1500,INDEX('Daily Sale entry '!$X$1:$X$1501,$J1729+1),INDEX('Daily Sale entry '!$V$1:$V$1501,$J1729-1499)))</f>
        <v/>
      </c>
      <c r="B1729">
        <f>IF($J1729="","",IF($J1729&lt;=1500,INDEX('Daily Sale entry '!$Y$1:$Y$1501,$J1729+1)&amp;"","Buyer cheque banked 买家支票存入"&amp;IF(INDEX('Daily Sale entry '!$U$1:$U$1501,$J1729-1499)="","", " - "&amp;INDEX('Daily Sale entry '!$U$1:$U$1501,$J1729-1499))))</f>
        <v/>
      </c>
      <c r="C1729">
        <f>IF($J1729="","",IF($J1729&lt;=1500,INDEX('Daily Sale entry '!$Z$1:$Z$1501,$J1729+1)&amp;"","Cheque deposit 支票存入 (buyer 买家)"))</f>
        <v/>
      </c>
      <c r="D1729">
        <f>IF($J1729="","",IF($J1729&lt;=1500,INDEX('Daily Sale entry '!$AA$1:$AA$1501,$J1729+1)&amp;"",INDEX('Daily Sale entry '!$P$1:$P$1501,$J1729-1499)&amp;""))</f>
        <v/>
      </c>
      <c r="E1729">
        <f>IF($J1729="","",IF($J1729&lt;=1500,IF(N(INDEX('Daily Sale entry '!$AB$1:$AB$1501,$J1729+1))=0,"",INDEX('Daily Sale entry '!$AB$1:$AB$1501,$J1729+1)),1))</f>
        <v/>
      </c>
      <c r="F1729" s="6">
        <f>IF($J1729="","",IF($J1729&lt;=1500,N(INDEX('Daily Sale entry '!$AC$1:$AC$1501,$J1729+1))-IF(AND('Opening Balance'!$B$15=1,INDEX('Daily Sale entry '!$Z$1:$Z$1501,$J1729+1)="Online collection 网上收款",INDEX('Daily Sale entry '!$AA$1:$AA$1501,$J1729+1)&lt;&gt;""),N(INDEX('Daily Sale entry '!$AC$1:$AC$1501,$J1729+1))-TRUNC(N(INDEX('Daily Sale entry '!$AC$1:$AC$1501,$J1729+1))),0),N(INDEX('Daily Sale entry '!$S$1:$S$1501,$J1729-1499))-'Opening Balance'!$B$15*(N(INDEX('Daily Sale entry '!$S$1:$S$1501,$J1729-1499))-TRUNC(N(INDEX('Daily Sale entry '!$S$1:$S$1501,$J1729-1499))))))</f>
        <v/>
      </c>
      <c r="G1729" s="6">
        <f>IF($J1729="","",IF($J1729&lt;=1500,N(INDEX('Daily Sale entry '!$AD$1:$AD$1501,$J1729+1)),0))</f>
        <v/>
      </c>
      <c r="H1729" s="6">
        <f>IF($J1729="","",ROUND('Opening Balance'!$B$4+SUM($F$2:F1729)-SUM($G$2:G1729),2))</f>
        <v/>
      </c>
      <c r="J1729" s="21">
        <f>IFERROR(MATCH(ROW()-1,$L$2:$L$3001,0),"")</f>
        <v/>
      </c>
      <c r="K1729" s="34">
        <f>IF(AND('Daily Sale entry '!Q229="Collection 收款",'Daily Sale entry '!R229="Cheque 支票",'Daily Sale entry '!V229&lt;&gt;""),'Daily Sale entry '!V229+ROW()/10000000,"")</f>
        <v/>
      </c>
      <c r="L1729" s="21">
        <f>IF(K1729="","",COUNTIF($K$2:$K$3001,"&lt;"&amp;K1729)+1)</f>
        <v/>
      </c>
    </row>
    <row r="1730">
      <c r="A1730" s="5">
        <f>IF($J1730="","",IF($J1730&lt;=1500,INDEX('Daily Sale entry '!$X$1:$X$1501,$J1730+1),INDEX('Daily Sale entry '!$V$1:$V$1501,$J1730-1499)))</f>
        <v/>
      </c>
      <c r="B1730">
        <f>IF($J1730="","",IF($J1730&lt;=1500,INDEX('Daily Sale entry '!$Y$1:$Y$1501,$J1730+1)&amp;"","Buyer cheque banked 买家支票存入"&amp;IF(INDEX('Daily Sale entry '!$U$1:$U$1501,$J1730-1499)="","", " - "&amp;INDEX('Daily Sale entry '!$U$1:$U$1501,$J1730-1499))))</f>
        <v/>
      </c>
      <c r="C1730">
        <f>IF($J1730="","",IF($J1730&lt;=1500,INDEX('Daily Sale entry '!$Z$1:$Z$1501,$J1730+1)&amp;"","Cheque deposit 支票存入 (buyer 买家)"))</f>
        <v/>
      </c>
      <c r="D1730">
        <f>IF($J1730="","",IF($J1730&lt;=1500,INDEX('Daily Sale entry '!$AA$1:$AA$1501,$J1730+1)&amp;"",INDEX('Daily Sale entry '!$P$1:$P$1501,$J1730-1499)&amp;""))</f>
        <v/>
      </c>
      <c r="E1730">
        <f>IF($J1730="","",IF($J1730&lt;=1500,IF(N(INDEX('Daily Sale entry '!$AB$1:$AB$1501,$J1730+1))=0,"",INDEX('Daily Sale entry '!$AB$1:$AB$1501,$J1730+1)),1))</f>
        <v/>
      </c>
      <c r="F1730" s="6">
        <f>IF($J1730="","",IF($J1730&lt;=1500,N(INDEX('Daily Sale entry '!$AC$1:$AC$1501,$J1730+1))-IF(AND('Opening Balance'!$B$15=1,INDEX('Daily Sale entry '!$Z$1:$Z$1501,$J1730+1)="Online collection 网上收款",INDEX('Daily Sale entry '!$AA$1:$AA$1501,$J1730+1)&lt;&gt;""),N(INDEX('Daily Sale entry '!$AC$1:$AC$1501,$J1730+1))-TRUNC(N(INDEX('Daily Sale entry '!$AC$1:$AC$1501,$J1730+1))),0),N(INDEX('Daily Sale entry '!$S$1:$S$1501,$J1730-1499))-'Opening Balance'!$B$15*(N(INDEX('Daily Sale entry '!$S$1:$S$1501,$J1730-1499))-TRUNC(N(INDEX('Daily Sale entry '!$S$1:$S$1501,$J1730-1499))))))</f>
        <v/>
      </c>
      <c r="G1730" s="6">
        <f>IF($J1730="","",IF($J1730&lt;=1500,N(INDEX('Daily Sale entry '!$AD$1:$AD$1501,$J1730+1)),0))</f>
        <v/>
      </c>
      <c r="H1730" s="6">
        <f>IF($J1730="","",ROUND('Opening Balance'!$B$4+SUM($F$2:F1730)-SUM($G$2:G1730),2))</f>
        <v/>
      </c>
      <c r="J1730" s="21">
        <f>IFERROR(MATCH(ROW()-1,$L$2:$L$3001,0),"")</f>
        <v/>
      </c>
      <c r="K1730" s="34">
        <f>IF(AND('Daily Sale entry '!Q230="Collection 收款",'Daily Sale entry '!R230="Cheque 支票",'Daily Sale entry '!V230&lt;&gt;""),'Daily Sale entry '!V230+ROW()/10000000,"")</f>
        <v/>
      </c>
      <c r="L1730" s="21">
        <f>IF(K1730="","",COUNTIF($K$2:$K$3001,"&lt;"&amp;K1730)+1)</f>
        <v/>
      </c>
    </row>
    <row r="1731">
      <c r="A1731" s="5">
        <f>IF($J1731="","",IF($J1731&lt;=1500,INDEX('Daily Sale entry '!$X$1:$X$1501,$J1731+1),INDEX('Daily Sale entry '!$V$1:$V$1501,$J1731-1499)))</f>
        <v/>
      </c>
      <c r="B1731">
        <f>IF($J1731="","",IF($J1731&lt;=1500,INDEX('Daily Sale entry '!$Y$1:$Y$1501,$J1731+1)&amp;"","Buyer cheque banked 买家支票存入"&amp;IF(INDEX('Daily Sale entry '!$U$1:$U$1501,$J1731-1499)="","", " - "&amp;INDEX('Daily Sale entry '!$U$1:$U$1501,$J1731-1499))))</f>
        <v/>
      </c>
      <c r="C1731">
        <f>IF($J1731="","",IF($J1731&lt;=1500,INDEX('Daily Sale entry '!$Z$1:$Z$1501,$J1731+1)&amp;"","Cheque deposit 支票存入 (buyer 买家)"))</f>
        <v/>
      </c>
      <c r="D1731">
        <f>IF($J1731="","",IF($J1731&lt;=1500,INDEX('Daily Sale entry '!$AA$1:$AA$1501,$J1731+1)&amp;"",INDEX('Daily Sale entry '!$P$1:$P$1501,$J1731-1499)&amp;""))</f>
        <v/>
      </c>
      <c r="E1731">
        <f>IF($J1731="","",IF($J1731&lt;=1500,IF(N(INDEX('Daily Sale entry '!$AB$1:$AB$1501,$J1731+1))=0,"",INDEX('Daily Sale entry '!$AB$1:$AB$1501,$J1731+1)),1))</f>
        <v/>
      </c>
      <c r="F1731" s="6">
        <f>IF($J1731="","",IF($J1731&lt;=1500,N(INDEX('Daily Sale entry '!$AC$1:$AC$1501,$J1731+1))-IF(AND('Opening Balance'!$B$15=1,INDEX('Daily Sale entry '!$Z$1:$Z$1501,$J1731+1)="Online collection 网上收款",INDEX('Daily Sale entry '!$AA$1:$AA$1501,$J1731+1)&lt;&gt;""),N(INDEX('Daily Sale entry '!$AC$1:$AC$1501,$J1731+1))-TRUNC(N(INDEX('Daily Sale entry '!$AC$1:$AC$1501,$J1731+1))),0),N(INDEX('Daily Sale entry '!$S$1:$S$1501,$J1731-1499))-'Opening Balance'!$B$15*(N(INDEX('Daily Sale entry '!$S$1:$S$1501,$J1731-1499))-TRUNC(N(INDEX('Daily Sale entry '!$S$1:$S$1501,$J1731-1499))))))</f>
        <v/>
      </c>
      <c r="G1731" s="6">
        <f>IF($J1731="","",IF($J1731&lt;=1500,N(INDEX('Daily Sale entry '!$AD$1:$AD$1501,$J1731+1)),0))</f>
        <v/>
      </c>
      <c r="H1731" s="6">
        <f>IF($J1731="","",ROUND('Opening Balance'!$B$4+SUM($F$2:F1731)-SUM($G$2:G1731),2))</f>
        <v/>
      </c>
      <c r="J1731" s="21">
        <f>IFERROR(MATCH(ROW()-1,$L$2:$L$3001,0),"")</f>
        <v/>
      </c>
      <c r="K1731" s="34">
        <f>IF(AND('Daily Sale entry '!Q231="Collection 收款",'Daily Sale entry '!R231="Cheque 支票",'Daily Sale entry '!V231&lt;&gt;""),'Daily Sale entry '!V231+ROW()/10000000,"")</f>
        <v/>
      </c>
      <c r="L1731" s="21">
        <f>IF(K1731="","",COUNTIF($K$2:$K$3001,"&lt;"&amp;K1731)+1)</f>
        <v/>
      </c>
    </row>
    <row r="1732">
      <c r="A1732" s="5">
        <f>IF($J1732="","",IF($J1732&lt;=1500,INDEX('Daily Sale entry '!$X$1:$X$1501,$J1732+1),INDEX('Daily Sale entry '!$V$1:$V$1501,$J1732-1499)))</f>
        <v/>
      </c>
      <c r="B1732">
        <f>IF($J1732="","",IF($J1732&lt;=1500,INDEX('Daily Sale entry '!$Y$1:$Y$1501,$J1732+1)&amp;"","Buyer cheque banked 买家支票存入"&amp;IF(INDEX('Daily Sale entry '!$U$1:$U$1501,$J1732-1499)="","", " - "&amp;INDEX('Daily Sale entry '!$U$1:$U$1501,$J1732-1499))))</f>
        <v/>
      </c>
      <c r="C1732">
        <f>IF($J1732="","",IF($J1732&lt;=1500,INDEX('Daily Sale entry '!$Z$1:$Z$1501,$J1732+1)&amp;"","Cheque deposit 支票存入 (buyer 买家)"))</f>
        <v/>
      </c>
      <c r="D1732">
        <f>IF($J1732="","",IF($J1732&lt;=1500,INDEX('Daily Sale entry '!$AA$1:$AA$1501,$J1732+1)&amp;"",INDEX('Daily Sale entry '!$P$1:$P$1501,$J1732-1499)&amp;""))</f>
        <v/>
      </c>
      <c r="E1732">
        <f>IF($J1732="","",IF($J1732&lt;=1500,IF(N(INDEX('Daily Sale entry '!$AB$1:$AB$1501,$J1732+1))=0,"",INDEX('Daily Sale entry '!$AB$1:$AB$1501,$J1732+1)),1))</f>
        <v/>
      </c>
      <c r="F1732" s="6">
        <f>IF($J1732="","",IF($J1732&lt;=1500,N(INDEX('Daily Sale entry '!$AC$1:$AC$1501,$J1732+1))-IF(AND('Opening Balance'!$B$15=1,INDEX('Daily Sale entry '!$Z$1:$Z$1501,$J1732+1)="Online collection 网上收款",INDEX('Daily Sale entry '!$AA$1:$AA$1501,$J1732+1)&lt;&gt;""),N(INDEX('Daily Sale entry '!$AC$1:$AC$1501,$J1732+1))-TRUNC(N(INDEX('Daily Sale entry '!$AC$1:$AC$1501,$J1732+1))),0),N(INDEX('Daily Sale entry '!$S$1:$S$1501,$J1732-1499))-'Opening Balance'!$B$15*(N(INDEX('Daily Sale entry '!$S$1:$S$1501,$J1732-1499))-TRUNC(N(INDEX('Daily Sale entry '!$S$1:$S$1501,$J1732-1499))))))</f>
        <v/>
      </c>
      <c r="G1732" s="6">
        <f>IF($J1732="","",IF($J1732&lt;=1500,N(INDEX('Daily Sale entry '!$AD$1:$AD$1501,$J1732+1)),0))</f>
        <v/>
      </c>
      <c r="H1732" s="6">
        <f>IF($J1732="","",ROUND('Opening Balance'!$B$4+SUM($F$2:F1732)-SUM($G$2:G1732),2))</f>
        <v/>
      </c>
      <c r="J1732" s="21">
        <f>IFERROR(MATCH(ROW()-1,$L$2:$L$3001,0),"")</f>
        <v/>
      </c>
      <c r="K1732" s="34">
        <f>IF(AND('Daily Sale entry '!Q232="Collection 收款",'Daily Sale entry '!R232="Cheque 支票",'Daily Sale entry '!V232&lt;&gt;""),'Daily Sale entry '!V232+ROW()/10000000,"")</f>
        <v/>
      </c>
      <c r="L1732" s="21">
        <f>IF(K1732="","",COUNTIF($K$2:$K$3001,"&lt;"&amp;K1732)+1)</f>
        <v/>
      </c>
    </row>
    <row r="1733">
      <c r="A1733" s="5">
        <f>IF($J1733="","",IF($J1733&lt;=1500,INDEX('Daily Sale entry '!$X$1:$X$1501,$J1733+1),INDEX('Daily Sale entry '!$V$1:$V$1501,$J1733-1499)))</f>
        <v/>
      </c>
      <c r="B1733">
        <f>IF($J1733="","",IF($J1733&lt;=1500,INDEX('Daily Sale entry '!$Y$1:$Y$1501,$J1733+1)&amp;"","Buyer cheque banked 买家支票存入"&amp;IF(INDEX('Daily Sale entry '!$U$1:$U$1501,$J1733-1499)="","", " - "&amp;INDEX('Daily Sale entry '!$U$1:$U$1501,$J1733-1499))))</f>
        <v/>
      </c>
      <c r="C1733">
        <f>IF($J1733="","",IF($J1733&lt;=1500,INDEX('Daily Sale entry '!$Z$1:$Z$1501,$J1733+1)&amp;"","Cheque deposit 支票存入 (buyer 买家)"))</f>
        <v/>
      </c>
      <c r="D1733">
        <f>IF($J1733="","",IF($J1733&lt;=1500,INDEX('Daily Sale entry '!$AA$1:$AA$1501,$J1733+1)&amp;"",INDEX('Daily Sale entry '!$P$1:$P$1501,$J1733-1499)&amp;""))</f>
        <v/>
      </c>
      <c r="E1733">
        <f>IF($J1733="","",IF($J1733&lt;=1500,IF(N(INDEX('Daily Sale entry '!$AB$1:$AB$1501,$J1733+1))=0,"",INDEX('Daily Sale entry '!$AB$1:$AB$1501,$J1733+1)),1))</f>
        <v/>
      </c>
      <c r="F1733" s="6">
        <f>IF($J1733="","",IF($J1733&lt;=1500,N(INDEX('Daily Sale entry '!$AC$1:$AC$1501,$J1733+1))-IF(AND('Opening Balance'!$B$15=1,INDEX('Daily Sale entry '!$Z$1:$Z$1501,$J1733+1)="Online collection 网上收款",INDEX('Daily Sale entry '!$AA$1:$AA$1501,$J1733+1)&lt;&gt;""),N(INDEX('Daily Sale entry '!$AC$1:$AC$1501,$J1733+1))-TRUNC(N(INDEX('Daily Sale entry '!$AC$1:$AC$1501,$J1733+1))),0),N(INDEX('Daily Sale entry '!$S$1:$S$1501,$J1733-1499))-'Opening Balance'!$B$15*(N(INDEX('Daily Sale entry '!$S$1:$S$1501,$J1733-1499))-TRUNC(N(INDEX('Daily Sale entry '!$S$1:$S$1501,$J1733-1499))))))</f>
        <v/>
      </c>
      <c r="G1733" s="6">
        <f>IF($J1733="","",IF($J1733&lt;=1500,N(INDEX('Daily Sale entry '!$AD$1:$AD$1501,$J1733+1)),0))</f>
        <v/>
      </c>
      <c r="H1733" s="6">
        <f>IF($J1733="","",ROUND('Opening Balance'!$B$4+SUM($F$2:F1733)-SUM($G$2:G1733),2))</f>
        <v/>
      </c>
      <c r="J1733" s="21">
        <f>IFERROR(MATCH(ROW()-1,$L$2:$L$3001,0),"")</f>
        <v/>
      </c>
      <c r="K1733" s="34">
        <f>IF(AND('Daily Sale entry '!Q233="Collection 收款",'Daily Sale entry '!R233="Cheque 支票",'Daily Sale entry '!V233&lt;&gt;""),'Daily Sale entry '!V233+ROW()/10000000,"")</f>
        <v/>
      </c>
      <c r="L1733" s="21">
        <f>IF(K1733="","",COUNTIF($K$2:$K$3001,"&lt;"&amp;K1733)+1)</f>
        <v/>
      </c>
    </row>
    <row r="1734">
      <c r="A1734" s="5">
        <f>IF($J1734="","",IF($J1734&lt;=1500,INDEX('Daily Sale entry '!$X$1:$X$1501,$J1734+1),INDEX('Daily Sale entry '!$V$1:$V$1501,$J1734-1499)))</f>
        <v/>
      </c>
      <c r="B1734">
        <f>IF($J1734="","",IF($J1734&lt;=1500,INDEX('Daily Sale entry '!$Y$1:$Y$1501,$J1734+1)&amp;"","Buyer cheque banked 买家支票存入"&amp;IF(INDEX('Daily Sale entry '!$U$1:$U$1501,$J1734-1499)="","", " - "&amp;INDEX('Daily Sale entry '!$U$1:$U$1501,$J1734-1499))))</f>
        <v/>
      </c>
      <c r="C1734">
        <f>IF($J1734="","",IF($J1734&lt;=1500,INDEX('Daily Sale entry '!$Z$1:$Z$1501,$J1734+1)&amp;"","Cheque deposit 支票存入 (buyer 买家)"))</f>
        <v/>
      </c>
      <c r="D1734">
        <f>IF($J1734="","",IF($J1734&lt;=1500,INDEX('Daily Sale entry '!$AA$1:$AA$1501,$J1734+1)&amp;"",INDEX('Daily Sale entry '!$P$1:$P$1501,$J1734-1499)&amp;""))</f>
        <v/>
      </c>
      <c r="E1734">
        <f>IF($J1734="","",IF($J1734&lt;=1500,IF(N(INDEX('Daily Sale entry '!$AB$1:$AB$1501,$J1734+1))=0,"",INDEX('Daily Sale entry '!$AB$1:$AB$1501,$J1734+1)),1))</f>
        <v/>
      </c>
      <c r="F1734" s="6">
        <f>IF($J1734="","",IF($J1734&lt;=1500,N(INDEX('Daily Sale entry '!$AC$1:$AC$1501,$J1734+1))-IF(AND('Opening Balance'!$B$15=1,INDEX('Daily Sale entry '!$Z$1:$Z$1501,$J1734+1)="Online collection 网上收款",INDEX('Daily Sale entry '!$AA$1:$AA$1501,$J1734+1)&lt;&gt;""),N(INDEX('Daily Sale entry '!$AC$1:$AC$1501,$J1734+1))-TRUNC(N(INDEX('Daily Sale entry '!$AC$1:$AC$1501,$J1734+1))),0),N(INDEX('Daily Sale entry '!$S$1:$S$1501,$J1734-1499))-'Opening Balance'!$B$15*(N(INDEX('Daily Sale entry '!$S$1:$S$1501,$J1734-1499))-TRUNC(N(INDEX('Daily Sale entry '!$S$1:$S$1501,$J1734-1499))))))</f>
        <v/>
      </c>
      <c r="G1734" s="6">
        <f>IF($J1734="","",IF($J1734&lt;=1500,N(INDEX('Daily Sale entry '!$AD$1:$AD$1501,$J1734+1)),0))</f>
        <v/>
      </c>
      <c r="H1734" s="6">
        <f>IF($J1734="","",ROUND('Opening Balance'!$B$4+SUM($F$2:F1734)-SUM($G$2:G1734),2))</f>
        <v/>
      </c>
      <c r="J1734" s="21">
        <f>IFERROR(MATCH(ROW()-1,$L$2:$L$3001,0),"")</f>
        <v/>
      </c>
      <c r="K1734" s="34">
        <f>IF(AND('Daily Sale entry '!Q234="Collection 收款",'Daily Sale entry '!R234="Cheque 支票",'Daily Sale entry '!V234&lt;&gt;""),'Daily Sale entry '!V234+ROW()/10000000,"")</f>
        <v/>
      </c>
      <c r="L1734" s="21">
        <f>IF(K1734="","",COUNTIF($K$2:$K$3001,"&lt;"&amp;K1734)+1)</f>
        <v/>
      </c>
    </row>
    <row r="1735">
      <c r="A1735" s="5">
        <f>IF($J1735="","",IF($J1735&lt;=1500,INDEX('Daily Sale entry '!$X$1:$X$1501,$J1735+1),INDEX('Daily Sale entry '!$V$1:$V$1501,$J1735-1499)))</f>
        <v/>
      </c>
      <c r="B1735">
        <f>IF($J1735="","",IF($J1735&lt;=1500,INDEX('Daily Sale entry '!$Y$1:$Y$1501,$J1735+1)&amp;"","Buyer cheque banked 买家支票存入"&amp;IF(INDEX('Daily Sale entry '!$U$1:$U$1501,$J1735-1499)="","", " - "&amp;INDEX('Daily Sale entry '!$U$1:$U$1501,$J1735-1499))))</f>
        <v/>
      </c>
      <c r="C1735">
        <f>IF($J1735="","",IF($J1735&lt;=1500,INDEX('Daily Sale entry '!$Z$1:$Z$1501,$J1735+1)&amp;"","Cheque deposit 支票存入 (buyer 买家)"))</f>
        <v/>
      </c>
      <c r="D1735">
        <f>IF($J1735="","",IF($J1735&lt;=1500,INDEX('Daily Sale entry '!$AA$1:$AA$1501,$J1735+1)&amp;"",INDEX('Daily Sale entry '!$P$1:$P$1501,$J1735-1499)&amp;""))</f>
        <v/>
      </c>
      <c r="E1735">
        <f>IF($J1735="","",IF($J1735&lt;=1500,IF(N(INDEX('Daily Sale entry '!$AB$1:$AB$1501,$J1735+1))=0,"",INDEX('Daily Sale entry '!$AB$1:$AB$1501,$J1735+1)),1))</f>
        <v/>
      </c>
      <c r="F1735" s="6">
        <f>IF($J1735="","",IF($J1735&lt;=1500,N(INDEX('Daily Sale entry '!$AC$1:$AC$1501,$J1735+1))-IF(AND('Opening Balance'!$B$15=1,INDEX('Daily Sale entry '!$Z$1:$Z$1501,$J1735+1)="Online collection 网上收款",INDEX('Daily Sale entry '!$AA$1:$AA$1501,$J1735+1)&lt;&gt;""),N(INDEX('Daily Sale entry '!$AC$1:$AC$1501,$J1735+1))-TRUNC(N(INDEX('Daily Sale entry '!$AC$1:$AC$1501,$J1735+1))),0),N(INDEX('Daily Sale entry '!$S$1:$S$1501,$J1735-1499))-'Opening Balance'!$B$15*(N(INDEX('Daily Sale entry '!$S$1:$S$1501,$J1735-1499))-TRUNC(N(INDEX('Daily Sale entry '!$S$1:$S$1501,$J1735-1499))))))</f>
        <v/>
      </c>
      <c r="G1735" s="6">
        <f>IF($J1735="","",IF($J1735&lt;=1500,N(INDEX('Daily Sale entry '!$AD$1:$AD$1501,$J1735+1)),0))</f>
        <v/>
      </c>
      <c r="H1735" s="6">
        <f>IF($J1735="","",ROUND('Opening Balance'!$B$4+SUM($F$2:F1735)-SUM($G$2:G1735),2))</f>
        <v/>
      </c>
      <c r="J1735" s="21">
        <f>IFERROR(MATCH(ROW()-1,$L$2:$L$3001,0),"")</f>
        <v/>
      </c>
      <c r="K1735" s="34">
        <f>IF(AND('Daily Sale entry '!Q235="Collection 收款",'Daily Sale entry '!R235="Cheque 支票",'Daily Sale entry '!V235&lt;&gt;""),'Daily Sale entry '!V235+ROW()/10000000,"")</f>
        <v/>
      </c>
      <c r="L1735" s="21">
        <f>IF(K1735="","",COUNTIF($K$2:$K$3001,"&lt;"&amp;K1735)+1)</f>
        <v/>
      </c>
    </row>
    <row r="1736">
      <c r="A1736" s="5">
        <f>IF($J1736="","",IF($J1736&lt;=1500,INDEX('Daily Sale entry '!$X$1:$X$1501,$J1736+1),INDEX('Daily Sale entry '!$V$1:$V$1501,$J1736-1499)))</f>
        <v/>
      </c>
      <c r="B1736">
        <f>IF($J1736="","",IF($J1736&lt;=1500,INDEX('Daily Sale entry '!$Y$1:$Y$1501,$J1736+1)&amp;"","Buyer cheque banked 买家支票存入"&amp;IF(INDEX('Daily Sale entry '!$U$1:$U$1501,$J1736-1499)="","", " - "&amp;INDEX('Daily Sale entry '!$U$1:$U$1501,$J1736-1499))))</f>
        <v/>
      </c>
      <c r="C1736">
        <f>IF($J1736="","",IF($J1736&lt;=1500,INDEX('Daily Sale entry '!$Z$1:$Z$1501,$J1736+1)&amp;"","Cheque deposit 支票存入 (buyer 买家)"))</f>
        <v/>
      </c>
      <c r="D1736">
        <f>IF($J1736="","",IF($J1736&lt;=1500,INDEX('Daily Sale entry '!$AA$1:$AA$1501,$J1736+1)&amp;"",INDEX('Daily Sale entry '!$P$1:$P$1501,$J1736-1499)&amp;""))</f>
        <v/>
      </c>
      <c r="E1736">
        <f>IF($J1736="","",IF($J1736&lt;=1500,IF(N(INDEX('Daily Sale entry '!$AB$1:$AB$1501,$J1736+1))=0,"",INDEX('Daily Sale entry '!$AB$1:$AB$1501,$J1736+1)),1))</f>
        <v/>
      </c>
      <c r="F1736" s="6">
        <f>IF($J1736="","",IF($J1736&lt;=1500,N(INDEX('Daily Sale entry '!$AC$1:$AC$1501,$J1736+1))-IF(AND('Opening Balance'!$B$15=1,INDEX('Daily Sale entry '!$Z$1:$Z$1501,$J1736+1)="Online collection 网上收款",INDEX('Daily Sale entry '!$AA$1:$AA$1501,$J1736+1)&lt;&gt;""),N(INDEX('Daily Sale entry '!$AC$1:$AC$1501,$J1736+1))-TRUNC(N(INDEX('Daily Sale entry '!$AC$1:$AC$1501,$J1736+1))),0),N(INDEX('Daily Sale entry '!$S$1:$S$1501,$J1736-1499))-'Opening Balance'!$B$15*(N(INDEX('Daily Sale entry '!$S$1:$S$1501,$J1736-1499))-TRUNC(N(INDEX('Daily Sale entry '!$S$1:$S$1501,$J1736-1499))))))</f>
        <v/>
      </c>
      <c r="G1736" s="6">
        <f>IF($J1736="","",IF($J1736&lt;=1500,N(INDEX('Daily Sale entry '!$AD$1:$AD$1501,$J1736+1)),0))</f>
        <v/>
      </c>
      <c r="H1736" s="6">
        <f>IF($J1736="","",ROUND('Opening Balance'!$B$4+SUM($F$2:F1736)-SUM($G$2:G1736),2))</f>
        <v/>
      </c>
      <c r="J1736" s="21">
        <f>IFERROR(MATCH(ROW()-1,$L$2:$L$3001,0),"")</f>
        <v/>
      </c>
      <c r="K1736" s="34">
        <f>IF(AND('Daily Sale entry '!Q236="Collection 收款",'Daily Sale entry '!R236="Cheque 支票",'Daily Sale entry '!V236&lt;&gt;""),'Daily Sale entry '!V236+ROW()/10000000,"")</f>
        <v/>
      </c>
      <c r="L1736" s="21">
        <f>IF(K1736="","",COUNTIF($K$2:$K$3001,"&lt;"&amp;K1736)+1)</f>
        <v/>
      </c>
    </row>
    <row r="1737">
      <c r="A1737" s="5">
        <f>IF($J1737="","",IF($J1737&lt;=1500,INDEX('Daily Sale entry '!$X$1:$X$1501,$J1737+1),INDEX('Daily Sale entry '!$V$1:$V$1501,$J1737-1499)))</f>
        <v/>
      </c>
      <c r="B1737">
        <f>IF($J1737="","",IF($J1737&lt;=1500,INDEX('Daily Sale entry '!$Y$1:$Y$1501,$J1737+1)&amp;"","Buyer cheque banked 买家支票存入"&amp;IF(INDEX('Daily Sale entry '!$U$1:$U$1501,$J1737-1499)="","", " - "&amp;INDEX('Daily Sale entry '!$U$1:$U$1501,$J1737-1499))))</f>
        <v/>
      </c>
      <c r="C1737">
        <f>IF($J1737="","",IF($J1737&lt;=1500,INDEX('Daily Sale entry '!$Z$1:$Z$1501,$J1737+1)&amp;"","Cheque deposit 支票存入 (buyer 买家)"))</f>
        <v/>
      </c>
      <c r="D1737">
        <f>IF($J1737="","",IF($J1737&lt;=1500,INDEX('Daily Sale entry '!$AA$1:$AA$1501,$J1737+1)&amp;"",INDEX('Daily Sale entry '!$P$1:$P$1501,$J1737-1499)&amp;""))</f>
        <v/>
      </c>
      <c r="E1737">
        <f>IF($J1737="","",IF($J1737&lt;=1500,IF(N(INDEX('Daily Sale entry '!$AB$1:$AB$1501,$J1737+1))=0,"",INDEX('Daily Sale entry '!$AB$1:$AB$1501,$J1737+1)),1))</f>
        <v/>
      </c>
      <c r="F1737" s="6">
        <f>IF($J1737="","",IF($J1737&lt;=1500,N(INDEX('Daily Sale entry '!$AC$1:$AC$1501,$J1737+1))-IF(AND('Opening Balance'!$B$15=1,INDEX('Daily Sale entry '!$Z$1:$Z$1501,$J1737+1)="Online collection 网上收款",INDEX('Daily Sale entry '!$AA$1:$AA$1501,$J1737+1)&lt;&gt;""),N(INDEX('Daily Sale entry '!$AC$1:$AC$1501,$J1737+1))-TRUNC(N(INDEX('Daily Sale entry '!$AC$1:$AC$1501,$J1737+1))),0),N(INDEX('Daily Sale entry '!$S$1:$S$1501,$J1737-1499))-'Opening Balance'!$B$15*(N(INDEX('Daily Sale entry '!$S$1:$S$1501,$J1737-1499))-TRUNC(N(INDEX('Daily Sale entry '!$S$1:$S$1501,$J1737-1499))))))</f>
        <v/>
      </c>
      <c r="G1737" s="6">
        <f>IF($J1737="","",IF($J1737&lt;=1500,N(INDEX('Daily Sale entry '!$AD$1:$AD$1501,$J1737+1)),0))</f>
        <v/>
      </c>
      <c r="H1737" s="6">
        <f>IF($J1737="","",ROUND('Opening Balance'!$B$4+SUM($F$2:F1737)-SUM($G$2:G1737),2))</f>
        <v/>
      </c>
      <c r="J1737" s="21">
        <f>IFERROR(MATCH(ROW()-1,$L$2:$L$3001,0),"")</f>
        <v/>
      </c>
      <c r="K1737" s="34">
        <f>IF(AND('Daily Sale entry '!Q237="Collection 收款",'Daily Sale entry '!R237="Cheque 支票",'Daily Sale entry '!V237&lt;&gt;""),'Daily Sale entry '!V237+ROW()/10000000,"")</f>
        <v/>
      </c>
      <c r="L1737" s="21">
        <f>IF(K1737="","",COUNTIF($K$2:$K$3001,"&lt;"&amp;K1737)+1)</f>
        <v/>
      </c>
    </row>
    <row r="1738">
      <c r="A1738" s="5">
        <f>IF($J1738="","",IF($J1738&lt;=1500,INDEX('Daily Sale entry '!$X$1:$X$1501,$J1738+1),INDEX('Daily Sale entry '!$V$1:$V$1501,$J1738-1499)))</f>
        <v/>
      </c>
      <c r="B1738">
        <f>IF($J1738="","",IF($J1738&lt;=1500,INDEX('Daily Sale entry '!$Y$1:$Y$1501,$J1738+1)&amp;"","Buyer cheque banked 买家支票存入"&amp;IF(INDEX('Daily Sale entry '!$U$1:$U$1501,$J1738-1499)="","", " - "&amp;INDEX('Daily Sale entry '!$U$1:$U$1501,$J1738-1499))))</f>
        <v/>
      </c>
      <c r="C1738">
        <f>IF($J1738="","",IF($J1738&lt;=1500,INDEX('Daily Sale entry '!$Z$1:$Z$1501,$J1738+1)&amp;"","Cheque deposit 支票存入 (buyer 买家)"))</f>
        <v/>
      </c>
      <c r="D1738">
        <f>IF($J1738="","",IF($J1738&lt;=1500,INDEX('Daily Sale entry '!$AA$1:$AA$1501,$J1738+1)&amp;"",INDEX('Daily Sale entry '!$P$1:$P$1501,$J1738-1499)&amp;""))</f>
        <v/>
      </c>
      <c r="E1738">
        <f>IF($J1738="","",IF($J1738&lt;=1500,IF(N(INDEX('Daily Sale entry '!$AB$1:$AB$1501,$J1738+1))=0,"",INDEX('Daily Sale entry '!$AB$1:$AB$1501,$J1738+1)),1))</f>
        <v/>
      </c>
      <c r="F1738" s="6">
        <f>IF($J1738="","",IF($J1738&lt;=1500,N(INDEX('Daily Sale entry '!$AC$1:$AC$1501,$J1738+1))-IF(AND('Opening Balance'!$B$15=1,INDEX('Daily Sale entry '!$Z$1:$Z$1501,$J1738+1)="Online collection 网上收款",INDEX('Daily Sale entry '!$AA$1:$AA$1501,$J1738+1)&lt;&gt;""),N(INDEX('Daily Sale entry '!$AC$1:$AC$1501,$J1738+1))-TRUNC(N(INDEX('Daily Sale entry '!$AC$1:$AC$1501,$J1738+1))),0),N(INDEX('Daily Sale entry '!$S$1:$S$1501,$J1738-1499))-'Opening Balance'!$B$15*(N(INDEX('Daily Sale entry '!$S$1:$S$1501,$J1738-1499))-TRUNC(N(INDEX('Daily Sale entry '!$S$1:$S$1501,$J1738-1499))))))</f>
        <v/>
      </c>
      <c r="G1738" s="6">
        <f>IF($J1738="","",IF($J1738&lt;=1500,N(INDEX('Daily Sale entry '!$AD$1:$AD$1501,$J1738+1)),0))</f>
        <v/>
      </c>
      <c r="H1738" s="6">
        <f>IF($J1738="","",ROUND('Opening Balance'!$B$4+SUM($F$2:F1738)-SUM($G$2:G1738),2))</f>
        <v/>
      </c>
      <c r="J1738" s="21">
        <f>IFERROR(MATCH(ROW()-1,$L$2:$L$3001,0),"")</f>
        <v/>
      </c>
      <c r="K1738" s="34">
        <f>IF(AND('Daily Sale entry '!Q238="Collection 收款",'Daily Sale entry '!R238="Cheque 支票",'Daily Sale entry '!V238&lt;&gt;""),'Daily Sale entry '!V238+ROW()/10000000,"")</f>
        <v/>
      </c>
      <c r="L1738" s="21">
        <f>IF(K1738="","",COUNTIF($K$2:$K$3001,"&lt;"&amp;K1738)+1)</f>
        <v/>
      </c>
    </row>
    <row r="1739">
      <c r="A1739" s="5">
        <f>IF($J1739="","",IF($J1739&lt;=1500,INDEX('Daily Sale entry '!$X$1:$X$1501,$J1739+1),INDEX('Daily Sale entry '!$V$1:$V$1501,$J1739-1499)))</f>
        <v/>
      </c>
      <c r="B1739">
        <f>IF($J1739="","",IF($J1739&lt;=1500,INDEX('Daily Sale entry '!$Y$1:$Y$1501,$J1739+1)&amp;"","Buyer cheque banked 买家支票存入"&amp;IF(INDEX('Daily Sale entry '!$U$1:$U$1501,$J1739-1499)="","", " - "&amp;INDEX('Daily Sale entry '!$U$1:$U$1501,$J1739-1499))))</f>
        <v/>
      </c>
      <c r="C1739">
        <f>IF($J1739="","",IF($J1739&lt;=1500,INDEX('Daily Sale entry '!$Z$1:$Z$1501,$J1739+1)&amp;"","Cheque deposit 支票存入 (buyer 买家)"))</f>
        <v/>
      </c>
      <c r="D1739">
        <f>IF($J1739="","",IF($J1739&lt;=1500,INDEX('Daily Sale entry '!$AA$1:$AA$1501,$J1739+1)&amp;"",INDEX('Daily Sale entry '!$P$1:$P$1501,$J1739-1499)&amp;""))</f>
        <v/>
      </c>
      <c r="E1739">
        <f>IF($J1739="","",IF($J1739&lt;=1500,IF(N(INDEX('Daily Sale entry '!$AB$1:$AB$1501,$J1739+1))=0,"",INDEX('Daily Sale entry '!$AB$1:$AB$1501,$J1739+1)),1))</f>
        <v/>
      </c>
      <c r="F1739" s="6">
        <f>IF($J1739="","",IF($J1739&lt;=1500,N(INDEX('Daily Sale entry '!$AC$1:$AC$1501,$J1739+1))-IF(AND('Opening Balance'!$B$15=1,INDEX('Daily Sale entry '!$Z$1:$Z$1501,$J1739+1)="Online collection 网上收款",INDEX('Daily Sale entry '!$AA$1:$AA$1501,$J1739+1)&lt;&gt;""),N(INDEX('Daily Sale entry '!$AC$1:$AC$1501,$J1739+1))-TRUNC(N(INDEX('Daily Sale entry '!$AC$1:$AC$1501,$J1739+1))),0),N(INDEX('Daily Sale entry '!$S$1:$S$1501,$J1739-1499))-'Opening Balance'!$B$15*(N(INDEX('Daily Sale entry '!$S$1:$S$1501,$J1739-1499))-TRUNC(N(INDEX('Daily Sale entry '!$S$1:$S$1501,$J1739-1499))))))</f>
        <v/>
      </c>
      <c r="G1739" s="6">
        <f>IF($J1739="","",IF($J1739&lt;=1500,N(INDEX('Daily Sale entry '!$AD$1:$AD$1501,$J1739+1)),0))</f>
        <v/>
      </c>
      <c r="H1739" s="6">
        <f>IF($J1739="","",ROUND('Opening Balance'!$B$4+SUM($F$2:F1739)-SUM($G$2:G1739),2))</f>
        <v/>
      </c>
      <c r="J1739" s="21">
        <f>IFERROR(MATCH(ROW()-1,$L$2:$L$3001,0),"")</f>
        <v/>
      </c>
      <c r="K1739" s="34">
        <f>IF(AND('Daily Sale entry '!Q239="Collection 收款",'Daily Sale entry '!R239="Cheque 支票",'Daily Sale entry '!V239&lt;&gt;""),'Daily Sale entry '!V239+ROW()/10000000,"")</f>
        <v/>
      </c>
      <c r="L1739" s="21">
        <f>IF(K1739="","",COUNTIF($K$2:$K$3001,"&lt;"&amp;K1739)+1)</f>
        <v/>
      </c>
    </row>
    <row r="1740">
      <c r="A1740" s="5">
        <f>IF($J1740="","",IF($J1740&lt;=1500,INDEX('Daily Sale entry '!$X$1:$X$1501,$J1740+1),INDEX('Daily Sale entry '!$V$1:$V$1501,$J1740-1499)))</f>
        <v/>
      </c>
      <c r="B1740">
        <f>IF($J1740="","",IF($J1740&lt;=1500,INDEX('Daily Sale entry '!$Y$1:$Y$1501,$J1740+1)&amp;"","Buyer cheque banked 买家支票存入"&amp;IF(INDEX('Daily Sale entry '!$U$1:$U$1501,$J1740-1499)="","", " - "&amp;INDEX('Daily Sale entry '!$U$1:$U$1501,$J1740-1499))))</f>
        <v/>
      </c>
      <c r="C1740">
        <f>IF($J1740="","",IF($J1740&lt;=1500,INDEX('Daily Sale entry '!$Z$1:$Z$1501,$J1740+1)&amp;"","Cheque deposit 支票存入 (buyer 买家)"))</f>
        <v/>
      </c>
      <c r="D1740">
        <f>IF($J1740="","",IF($J1740&lt;=1500,INDEX('Daily Sale entry '!$AA$1:$AA$1501,$J1740+1)&amp;"",INDEX('Daily Sale entry '!$P$1:$P$1501,$J1740-1499)&amp;""))</f>
        <v/>
      </c>
      <c r="E1740">
        <f>IF($J1740="","",IF($J1740&lt;=1500,IF(N(INDEX('Daily Sale entry '!$AB$1:$AB$1501,$J1740+1))=0,"",INDEX('Daily Sale entry '!$AB$1:$AB$1501,$J1740+1)),1))</f>
        <v/>
      </c>
      <c r="F1740" s="6">
        <f>IF($J1740="","",IF($J1740&lt;=1500,N(INDEX('Daily Sale entry '!$AC$1:$AC$1501,$J1740+1))-IF(AND('Opening Balance'!$B$15=1,INDEX('Daily Sale entry '!$Z$1:$Z$1501,$J1740+1)="Online collection 网上收款",INDEX('Daily Sale entry '!$AA$1:$AA$1501,$J1740+1)&lt;&gt;""),N(INDEX('Daily Sale entry '!$AC$1:$AC$1501,$J1740+1))-TRUNC(N(INDEX('Daily Sale entry '!$AC$1:$AC$1501,$J1740+1))),0),N(INDEX('Daily Sale entry '!$S$1:$S$1501,$J1740-1499))-'Opening Balance'!$B$15*(N(INDEX('Daily Sale entry '!$S$1:$S$1501,$J1740-1499))-TRUNC(N(INDEX('Daily Sale entry '!$S$1:$S$1501,$J1740-1499))))))</f>
        <v/>
      </c>
      <c r="G1740" s="6">
        <f>IF($J1740="","",IF($J1740&lt;=1500,N(INDEX('Daily Sale entry '!$AD$1:$AD$1501,$J1740+1)),0))</f>
        <v/>
      </c>
      <c r="H1740" s="6">
        <f>IF($J1740="","",ROUND('Opening Balance'!$B$4+SUM($F$2:F1740)-SUM($G$2:G1740),2))</f>
        <v/>
      </c>
      <c r="J1740" s="21">
        <f>IFERROR(MATCH(ROW()-1,$L$2:$L$3001,0),"")</f>
        <v/>
      </c>
      <c r="K1740" s="34">
        <f>IF(AND('Daily Sale entry '!Q240="Collection 收款",'Daily Sale entry '!R240="Cheque 支票",'Daily Sale entry '!V240&lt;&gt;""),'Daily Sale entry '!V240+ROW()/10000000,"")</f>
        <v/>
      </c>
      <c r="L1740" s="21">
        <f>IF(K1740="","",COUNTIF($K$2:$K$3001,"&lt;"&amp;K1740)+1)</f>
        <v/>
      </c>
    </row>
    <row r="1741">
      <c r="A1741" s="5">
        <f>IF($J1741="","",IF($J1741&lt;=1500,INDEX('Daily Sale entry '!$X$1:$X$1501,$J1741+1),INDEX('Daily Sale entry '!$V$1:$V$1501,$J1741-1499)))</f>
        <v/>
      </c>
      <c r="B1741">
        <f>IF($J1741="","",IF($J1741&lt;=1500,INDEX('Daily Sale entry '!$Y$1:$Y$1501,$J1741+1)&amp;"","Buyer cheque banked 买家支票存入"&amp;IF(INDEX('Daily Sale entry '!$U$1:$U$1501,$J1741-1499)="","", " - "&amp;INDEX('Daily Sale entry '!$U$1:$U$1501,$J1741-1499))))</f>
        <v/>
      </c>
      <c r="C1741">
        <f>IF($J1741="","",IF($J1741&lt;=1500,INDEX('Daily Sale entry '!$Z$1:$Z$1501,$J1741+1)&amp;"","Cheque deposit 支票存入 (buyer 买家)"))</f>
        <v/>
      </c>
      <c r="D1741">
        <f>IF($J1741="","",IF($J1741&lt;=1500,INDEX('Daily Sale entry '!$AA$1:$AA$1501,$J1741+1)&amp;"",INDEX('Daily Sale entry '!$P$1:$P$1501,$J1741-1499)&amp;""))</f>
        <v/>
      </c>
      <c r="E1741">
        <f>IF($J1741="","",IF($J1741&lt;=1500,IF(N(INDEX('Daily Sale entry '!$AB$1:$AB$1501,$J1741+1))=0,"",INDEX('Daily Sale entry '!$AB$1:$AB$1501,$J1741+1)),1))</f>
        <v/>
      </c>
      <c r="F1741" s="6">
        <f>IF($J1741="","",IF($J1741&lt;=1500,N(INDEX('Daily Sale entry '!$AC$1:$AC$1501,$J1741+1))-IF(AND('Opening Balance'!$B$15=1,INDEX('Daily Sale entry '!$Z$1:$Z$1501,$J1741+1)="Online collection 网上收款",INDEX('Daily Sale entry '!$AA$1:$AA$1501,$J1741+1)&lt;&gt;""),N(INDEX('Daily Sale entry '!$AC$1:$AC$1501,$J1741+1))-TRUNC(N(INDEX('Daily Sale entry '!$AC$1:$AC$1501,$J1741+1))),0),N(INDEX('Daily Sale entry '!$S$1:$S$1501,$J1741-1499))-'Opening Balance'!$B$15*(N(INDEX('Daily Sale entry '!$S$1:$S$1501,$J1741-1499))-TRUNC(N(INDEX('Daily Sale entry '!$S$1:$S$1501,$J1741-1499))))))</f>
        <v/>
      </c>
      <c r="G1741" s="6">
        <f>IF($J1741="","",IF($J1741&lt;=1500,N(INDEX('Daily Sale entry '!$AD$1:$AD$1501,$J1741+1)),0))</f>
        <v/>
      </c>
      <c r="H1741" s="6">
        <f>IF($J1741="","",ROUND('Opening Balance'!$B$4+SUM($F$2:F1741)-SUM($G$2:G1741),2))</f>
        <v/>
      </c>
      <c r="J1741" s="21">
        <f>IFERROR(MATCH(ROW()-1,$L$2:$L$3001,0),"")</f>
        <v/>
      </c>
      <c r="K1741" s="34">
        <f>IF(AND('Daily Sale entry '!Q241="Collection 收款",'Daily Sale entry '!R241="Cheque 支票",'Daily Sale entry '!V241&lt;&gt;""),'Daily Sale entry '!V241+ROW()/10000000,"")</f>
        <v/>
      </c>
      <c r="L1741" s="21">
        <f>IF(K1741="","",COUNTIF($K$2:$K$3001,"&lt;"&amp;K1741)+1)</f>
        <v/>
      </c>
    </row>
    <row r="1742">
      <c r="A1742" s="5">
        <f>IF($J1742="","",IF($J1742&lt;=1500,INDEX('Daily Sale entry '!$X$1:$X$1501,$J1742+1),INDEX('Daily Sale entry '!$V$1:$V$1501,$J1742-1499)))</f>
        <v/>
      </c>
      <c r="B1742">
        <f>IF($J1742="","",IF($J1742&lt;=1500,INDEX('Daily Sale entry '!$Y$1:$Y$1501,$J1742+1)&amp;"","Buyer cheque banked 买家支票存入"&amp;IF(INDEX('Daily Sale entry '!$U$1:$U$1501,$J1742-1499)="","", " - "&amp;INDEX('Daily Sale entry '!$U$1:$U$1501,$J1742-1499))))</f>
        <v/>
      </c>
      <c r="C1742">
        <f>IF($J1742="","",IF($J1742&lt;=1500,INDEX('Daily Sale entry '!$Z$1:$Z$1501,$J1742+1)&amp;"","Cheque deposit 支票存入 (buyer 买家)"))</f>
        <v/>
      </c>
      <c r="D1742">
        <f>IF($J1742="","",IF($J1742&lt;=1500,INDEX('Daily Sale entry '!$AA$1:$AA$1501,$J1742+1)&amp;"",INDEX('Daily Sale entry '!$P$1:$P$1501,$J1742-1499)&amp;""))</f>
        <v/>
      </c>
      <c r="E1742">
        <f>IF($J1742="","",IF($J1742&lt;=1500,IF(N(INDEX('Daily Sale entry '!$AB$1:$AB$1501,$J1742+1))=0,"",INDEX('Daily Sale entry '!$AB$1:$AB$1501,$J1742+1)),1))</f>
        <v/>
      </c>
      <c r="F1742" s="6">
        <f>IF($J1742="","",IF($J1742&lt;=1500,N(INDEX('Daily Sale entry '!$AC$1:$AC$1501,$J1742+1))-IF(AND('Opening Balance'!$B$15=1,INDEX('Daily Sale entry '!$Z$1:$Z$1501,$J1742+1)="Online collection 网上收款",INDEX('Daily Sale entry '!$AA$1:$AA$1501,$J1742+1)&lt;&gt;""),N(INDEX('Daily Sale entry '!$AC$1:$AC$1501,$J1742+1))-TRUNC(N(INDEX('Daily Sale entry '!$AC$1:$AC$1501,$J1742+1))),0),N(INDEX('Daily Sale entry '!$S$1:$S$1501,$J1742-1499))-'Opening Balance'!$B$15*(N(INDEX('Daily Sale entry '!$S$1:$S$1501,$J1742-1499))-TRUNC(N(INDEX('Daily Sale entry '!$S$1:$S$1501,$J1742-1499))))))</f>
        <v/>
      </c>
      <c r="G1742" s="6">
        <f>IF($J1742="","",IF($J1742&lt;=1500,N(INDEX('Daily Sale entry '!$AD$1:$AD$1501,$J1742+1)),0))</f>
        <v/>
      </c>
      <c r="H1742" s="6">
        <f>IF($J1742="","",ROUND('Opening Balance'!$B$4+SUM($F$2:F1742)-SUM($G$2:G1742),2))</f>
        <v/>
      </c>
      <c r="J1742" s="21">
        <f>IFERROR(MATCH(ROW()-1,$L$2:$L$3001,0),"")</f>
        <v/>
      </c>
      <c r="K1742" s="34">
        <f>IF(AND('Daily Sale entry '!Q242="Collection 收款",'Daily Sale entry '!R242="Cheque 支票",'Daily Sale entry '!V242&lt;&gt;""),'Daily Sale entry '!V242+ROW()/10000000,"")</f>
        <v/>
      </c>
      <c r="L1742" s="21">
        <f>IF(K1742="","",COUNTIF($K$2:$K$3001,"&lt;"&amp;K1742)+1)</f>
        <v/>
      </c>
    </row>
    <row r="1743">
      <c r="A1743" s="5">
        <f>IF($J1743="","",IF($J1743&lt;=1500,INDEX('Daily Sale entry '!$X$1:$X$1501,$J1743+1),INDEX('Daily Sale entry '!$V$1:$V$1501,$J1743-1499)))</f>
        <v/>
      </c>
      <c r="B1743">
        <f>IF($J1743="","",IF($J1743&lt;=1500,INDEX('Daily Sale entry '!$Y$1:$Y$1501,$J1743+1)&amp;"","Buyer cheque banked 买家支票存入"&amp;IF(INDEX('Daily Sale entry '!$U$1:$U$1501,$J1743-1499)="","", " - "&amp;INDEX('Daily Sale entry '!$U$1:$U$1501,$J1743-1499))))</f>
        <v/>
      </c>
      <c r="C1743">
        <f>IF($J1743="","",IF($J1743&lt;=1500,INDEX('Daily Sale entry '!$Z$1:$Z$1501,$J1743+1)&amp;"","Cheque deposit 支票存入 (buyer 买家)"))</f>
        <v/>
      </c>
      <c r="D1743">
        <f>IF($J1743="","",IF($J1743&lt;=1500,INDEX('Daily Sale entry '!$AA$1:$AA$1501,$J1743+1)&amp;"",INDEX('Daily Sale entry '!$P$1:$P$1501,$J1743-1499)&amp;""))</f>
        <v/>
      </c>
      <c r="E1743">
        <f>IF($J1743="","",IF($J1743&lt;=1500,IF(N(INDEX('Daily Sale entry '!$AB$1:$AB$1501,$J1743+1))=0,"",INDEX('Daily Sale entry '!$AB$1:$AB$1501,$J1743+1)),1))</f>
        <v/>
      </c>
      <c r="F1743" s="6">
        <f>IF($J1743="","",IF($J1743&lt;=1500,N(INDEX('Daily Sale entry '!$AC$1:$AC$1501,$J1743+1))-IF(AND('Opening Balance'!$B$15=1,INDEX('Daily Sale entry '!$Z$1:$Z$1501,$J1743+1)="Online collection 网上收款",INDEX('Daily Sale entry '!$AA$1:$AA$1501,$J1743+1)&lt;&gt;""),N(INDEX('Daily Sale entry '!$AC$1:$AC$1501,$J1743+1))-TRUNC(N(INDEX('Daily Sale entry '!$AC$1:$AC$1501,$J1743+1))),0),N(INDEX('Daily Sale entry '!$S$1:$S$1501,$J1743-1499))-'Opening Balance'!$B$15*(N(INDEX('Daily Sale entry '!$S$1:$S$1501,$J1743-1499))-TRUNC(N(INDEX('Daily Sale entry '!$S$1:$S$1501,$J1743-1499))))))</f>
        <v/>
      </c>
      <c r="G1743" s="6">
        <f>IF($J1743="","",IF($J1743&lt;=1500,N(INDEX('Daily Sale entry '!$AD$1:$AD$1501,$J1743+1)),0))</f>
        <v/>
      </c>
      <c r="H1743" s="6">
        <f>IF($J1743="","",ROUND('Opening Balance'!$B$4+SUM($F$2:F1743)-SUM($G$2:G1743),2))</f>
        <v/>
      </c>
      <c r="J1743" s="21">
        <f>IFERROR(MATCH(ROW()-1,$L$2:$L$3001,0),"")</f>
        <v/>
      </c>
      <c r="K1743" s="34">
        <f>IF(AND('Daily Sale entry '!Q243="Collection 收款",'Daily Sale entry '!R243="Cheque 支票",'Daily Sale entry '!V243&lt;&gt;""),'Daily Sale entry '!V243+ROW()/10000000,"")</f>
        <v/>
      </c>
      <c r="L1743" s="21">
        <f>IF(K1743="","",COUNTIF($K$2:$K$3001,"&lt;"&amp;K1743)+1)</f>
        <v/>
      </c>
    </row>
    <row r="1744">
      <c r="A1744" s="5">
        <f>IF($J1744="","",IF($J1744&lt;=1500,INDEX('Daily Sale entry '!$X$1:$X$1501,$J1744+1),INDEX('Daily Sale entry '!$V$1:$V$1501,$J1744-1499)))</f>
        <v/>
      </c>
      <c r="B1744">
        <f>IF($J1744="","",IF($J1744&lt;=1500,INDEX('Daily Sale entry '!$Y$1:$Y$1501,$J1744+1)&amp;"","Buyer cheque banked 买家支票存入"&amp;IF(INDEX('Daily Sale entry '!$U$1:$U$1501,$J1744-1499)="","", " - "&amp;INDEX('Daily Sale entry '!$U$1:$U$1501,$J1744-1499))))</f>
        <v/>
      </c>
      <c r="C1744">
        <f>IF($J1744="","",IF($J1744&lt;=1500,INDEX('Daily Sale entry '!$Z$1:$Z$1501,$J1744+1)&amp;"","Cheque deposit 支票存入 (buyer 买家)"))</f>
        <v/>
      </c>
      <c r="D1744">
        <f>IF($J1744="","",IF($J1744&lt;=1500,INDEX('Daily Sale entry '!$AA$1:$AA$1501,$J1744+1)&amp;"",INDEX('Daily Sale entry '!$P$1:$P$1501,$J1744-1499)&amp;""))</f>
        <v/>
      </c>
      <c r="E1744">
        <f>IF($J1744="","",IF($J1744&lt;=1500,IF(N(INDEX('Daily Sale entry '!$AB$1:$AB$1501,$J1744+1))=0,"",INDEX('Daily Sale entry '!$AB$1:$AB$1501,$J1744+1)),1))</f>
        <v/>
      </c>
      <c r="F1744" s="6">
        <f>IF($J1744="","",IF($J1744&lt;=1500,N(INDEX('Daily Sale entry '!$AC$1:$AC$1501,$J1744+1))-IF(AND('Opening Balance'!$B$15=1,INDEX('Daily Sale entry '!$Z$1:$Z$1501,$J1744+1)="Online collection 网上收款",INDEX('Daily Sale entry '!$AA$1:$AA$1501,$J1744+1)&lt;&gt;""),N(INDEX('Daily Sale entry '!$AC$1:$AC$1501,$J1744+1))-TRUNC(N(INDEX('Daily Sale entry '!$AC$1:$AC$1501,$J1744+1))),0),N(INDEX('Daily Sale entry '!$S$1:$S$1501,$J1744-1499))-'Opening Balance'!$B$15*(N(INDEX('Daily Sale entry '!$S$1:$S$1501,$J1744-1499))-TRUNC(N(INDEX('Daily Sale entry '!$S$1:$S$1501,$J1744-1499))))))</f>
        <v/>
      </c>
      <c r="G1744" s="6">
        <f>IF($J1744="","",IF($J1744&lt;=1500,N(INDEX('Daily Sale entry '!$AD$1:$AD$1501,$J1744+1)),0))</f>
        <v/>
      </c>
      <c r="H1744" s="6">
        <f>IF($J1744="","",ROUND('Opening Balance'!$B$4+SUM($F$2:F1744)-SUM($G$2:G1744),2))</f>
        <v/>
      </c>
      <c r="J1744" s="21">
        <f>IFERROR(MATCH(ROW()-1,$L$2:$L$3001,0),"")</f>
        <v/>
      </c>
      <c r="K1744" s="34">
        <f>IF(AND('Daily Sale entry '!Q244="Collection 收款",'Daily Sale entry '!R244="Cheque 支票",'Daily Sale entry '!V244&lt;&gt;""),'Daily Sale entry '!V244+ROW()/10000000,"")</f>
        <v/>
      </c>
      <c r="L1744" s="21">
        <f>IF(K1744="","",COUNTIF($K$2:$K$3001,"&lt;"&amp;K1744)+1)</f>
        <v/>
      </c>
    </row>
    <row r="1745">
      <c r="A1745" s="5">
        <f>IF($J1745="","",IF($J1745&lt;=1500,INDEX('Daily Sale entry '!$X$1:$X$1501,$J1745+1),INDEX('Daily Sale entry '!$V$1:$V$1501,$J1745-1499)))</f>
        <v/>
      </c>
      <c r="B1745">
        <f>IF($J1745="","",IF($J1745&lt;=1500,INDEX('Daily Sale entry '!$Y$1:$Y$1501,$J1745+1)&amp;"","Buyer cheque banked 买家支票存入"&amp;IF(INDEX('Daily Sale entry '!$U$1:$U$1501,$J1745-1499)="","", " - "&amp;INDEX('Daily Sale entry '!$U$1:$U$1501,$J1745-1499))))</f>
        <v/>
      </c>
      <c r="C1745">
        <f>IF($J1745="","",IF($J1745&lt;=1500,INDEX('Daily Sale entry '!$Z$1:$Z$1501,$J1745+1)&amp;"","Cheque deposit 支票存入 (buyer 买家)"))</f>
        <v/>
      </c>
      <c r="D1745">
        <f>IF($J1745="","",IF($J1745&lt;=1500,INDEX('Daily Sale entry '!$AA$1:$AA$1501,$J1745+1)&amp;"",INDEX('Daily Sale entry '!$P$1:$P$1501,$J1745-1499)&amp;""))</f>
        <v/>
      </c>
      <c r="E1745">
        <f>IF($J1745="","",IF($J1745&lt;=1500,IF(N(INDEX('Daily Sale entry '!$AB$1:$AB$1501,$J1745+1))=0,"",INDEX('Daily Sale entry '!$AB$1:$AB$1501,$J1745+1)),1))</f>
        <v/>
      </c>
      <c r="F1745" s="6">
        <f>IF($J1745="","",IF($J1745&lt;=1500,N(INDEX('Daily Sale entry '!$AC$1:$AC$1501,$J1745+1))-IF(AND('Opening Balance'!$B$15=1,INDEX('Daily Sale entry '!$Z$1:$Z$1501,$J1745+1)="Online collection 网上收款",INDEX('Daily Sale entry '!$AA$1:$AA$1501,$J1745+1)&lt;&gt;""),N(INDEX('Daily Sale entry '!$AC$1:$AC$1501,$J1745+1))-TRUNC(N(INDEX('Daily Sale entry '!$AC$1:$AC$1501,$J1745+1))),0),N(INDEX('Daily Sale entry '!$S$1:$S$1501,$J1745-1499))-'Opening Balance'!$B$15*(N(INDEX('Daily Sale entry '!$S$1:$S$1501,$J1745-1499))-TRUNC(N(INDEX('Daily Sale entry '!$S$1:$S$1501,$J1745-1499))))))</f>
        <v/>
      </c>
      <c r="G1745" s="6">
        <f>IF($J1745="","",IF($J1745&lt;=1500,N(INDEX('Daily Sale entry '!$AD$1:$AD$1501,$J1745+1)),0))</f>
        <v/>
      </c>
      <c r="H1745" s="6">
        <f>IF($J1745="","",ROUND('Opening Balance'!$B$4+SUM($F$2:F1745)-SUM($G$2:G1745),2))</f>
        <v/>
      </c>
      <c r="J1745" s="21">
        <f>IFERROR(MATCH(ROW()-1,$L$2:$L$3001,0),"")</f>
        <v/>
      </c>
      <c r="K1745" s="34">
        <f>IF(AND('Daily Sale entry '!Q245="Collection 收款",'Daily Sale entry '!R245="Cheque 支票",'Daily Sale entry '!V245&lt;&gt;""),'Daily Sale entry '!V245+ROW()/10000000,"")</f>
        <v/>
      </c>
      <c r="L1745" s="21">
        <f>IF(K1745="","",COUNTIF($K$2:$K$3001,"&lt;"&amp;K1745)+1)</f>
        <v/>
      </c>
    </row>
    <row r="1746">
      <c r="A1746" s="5">
        <f>IF($J1746="","",IF($J1746&lt;=1500,INDEX('Daily Sale entry '!$X$1:$X$1501,$J1746+1),INDEX('Daily Sale entry '!$V$1:$V$1501,$J1746-1499)))</f>
        <v/>
      </c>
      <c r="B1746">
        <f>IF($J1746="","",IF($J1746&lt;=1500,INDEX('Daily Sale entry '!$Y$1:$Y$1501,$J1746+1)&amp;"","Buyer cheque banked 买家支票存入"&amp;IF(INDEX('Daily Sale entry '!$U$1:$U$1501,$J1746-1499)="","", " - "&amp;INDEX('Daily Sale entry '!$U$1:$U$1501,$J1746-1499))))</f>
        <v/>
      </c>
      <c r="C1746">
        <f>IF($J1746="","",IF($J1746&lt;=1500,INDEX('Daily Sale entry '!$Z$1:$Z$1501,$J1746+1)&amp;"","Cheque deposit 支票存入 (buyer 买家)"))</f>
        <v/>
      </c>
      <c r="D1746">
        <f>IF($J1746="","",IF($J1746&lt;=1500,INDEX('Daily Sale entry '!$AA$1:$AA$1501,$J1746+1)&amp;"",INDEX('Daily Sale entry '!$P$1:$P$1501,$J1746-1499)&amp;""))</f>
        <v/>
      </c>
      <c r="E1746">
        <f>IF($J1746="","",IF($J1746&lt;=1500,IF(N(INDEX('Daily Sale entry '!$AB$1:$AB$1501,$J1746+1))=0,"",INDEX('Daily Sale entry '!$AB$1:$AB$1501,$J1746+1)),1))</f>
        <v/>
      </c>
      <c r="F1746" s="6">
        <f>IF($J1746="","",IF($J1746&lt;=1500,N(INDEX('Daily Sale entry '!$AC$1:$AC$1501,$J1746+1))-IF(AND('Opening Balance'!$B$15=1,INDEX('Daily Sale entry '!$Z$1:$Z$1501,$J1746+1)="Online collection 网上收款",INDEX('Daily Sale entry '!$AA$1:$AA$1501,$J1746+1)&lt;&gt;""),N(INDEX('Daily Sale entry '!$AC$1:$AC$1501,$J1746+1))-TRUNC(N(INDEX('Daily Sale entry '!$AC$1:$AC$1501,$J1746+1))),0),N(INDEX('Daily Sale entry '!$S$1:$S$1501,$J1746-1499))-'Opening Balance'!$B$15*(N(INDEX('Daily Sale entry '!$S$1:$S$1501,$J1746-1499))-TRUNC(N(INDEX('Daily Sale entry '!$S$1:$S$1501,$J1746-1499))))))</f>
        <v/>
      </c>
      <c r="G1746" s="6">
        <f>IF($J1746="","",IF($J1746&lt;=1500,N(INDEX('Daily Sale entry '!$AD$1:$AD$1501,$J1746+1)),0))</f>
        <v/>
      </c>
      <c r="H1746" s="6">
        <f>IF($J1746="","",ROUND('Opening Balance'!$B$4+SUM($F$2:F1746)-SUM($G$2:G1746),2))</f>
        <v/>
      </c>
      <c r="J1746" s="21">
        <f>IFERROR(MATCH(ROW()-1,$L$2:$L$3001,0),"")</f>
        <v/>
      </c>
      <c r="K1746" s="34">
        <f>IF(AND('Daily Sale entry '!Q246="Collection 收款",'Daily Sale entry '!R246="Cheque 支票",'Daily Sale entry '!V246&lt;&gt;""),'Daily Sale entry '!V246+ROW()/10000000,"")</f>
        <v/>
      </c>
      <c r="L1746" s="21">
        <f>IF(K1746="","",COUNTIF($K$2:$K$3001,"&lt;"&amp;K1746)+1)</f>
        <v/>
      </c>
    </row>
    <row r="1747">
      <c r="A1747" s="5">
        <f>IF($J1747="","",IF($J1747&lt;=1500,INDEX('Daily Sale entry '!$X$1:$X$1501,$J1747+1),INDEX('Daily Sale entry '!$V$1:$V$1501,$J1747-1499)))</f>
        <v/>
      </c>
      <c r="B1747">
        <f>IF($J1747="","",IF($J1747&lt;=1500,INDEX('Daily Sale entry '!$Y$1:$Y$1501,$J1747+1)&amp;"","Buyer cheque banked 买家支票存入"&amp;IF(INDEX('Daily Sale entry '!$U$1:$U$1501,$J1747-1499)="","", " - "&amp;INDEX('Daily Sale entry '!$U$1:$U$1501,$J1747-1499))))</f>
        <v/>
      </c>
      <c r="C1747">
        <f>IF($J1747="","",IF($J1747&lt;=1500,INDEX('Daily Sale entry '!$Z$1:$Z$1501,$J1747+1)&amp;"","Cheque deposit 支票存入 (buyer 买家)"))</f>
        <v/>
      </c>
      <c r="D1747">
        <f>IF($J1747="","",IF($J1747&lt;=1500,INDEX('Daily Sale entry '!$AA$1:$AA$1501,$J1747+1)&amp;"",INDEX('Daily Sale entry '!$P$1:$P$1501,$J1747-1499)&amp;""))</f>
        <v/>
      </c>
      <c r="E1747">
        <f>IF($J1747="","",IF($J1747&lt;=1500,IF(N(INDEX('Daily Sale entry '!$AB$1:$AB$1501,$J1747+1))=0,"",INDEX('Daily Sale entry '!$AB$1:$AB$1501,$J1747+1)),1))</f>
        <v/>
      </c>
      <c r="F1747" s="6">
        <f>IF($J1747="","",IF($J1747&lt;=1500,N(INDEX('Daily Sale entry '!$AC$1:$AC$1501,$J1747+1))-IF(AND('Opening Balance'!$B$15=1,INDEX('Daily Sale entry '!$Z$1:$Z$1501,$J1747+1)="Online collection 网上收款",INDEX('Daily Sale entry '!$AA$1:$AA$1501,$J1747+1)&lt;&gt;""),N(INDEX('Daily Sale entry '!$AC$1:$AC$1501,$J1747+1))-TRUNC(N(INDEX('Daily Sale entry '!$AC$1:$AC$1501,$J1747+1))),0),N(INDEX('Daily Sale entry '!$S$1:$S$1501,$J1747-1499))-'Opening Balance'!$B$15*(N(INDEX('Daily Sale entry '!$S$1:$S$1501,$J1747-1499))-TRUNC(N(INDEX('Daily Sale entry '!$S$1:$S$1501,$J1747-1499))))))</f>
        <v/>
      </c>
      <c r="G1747" s="6">
        <f>IF($J1747="","",IF($J1747&lt;=1500,N(INDEX('Daily Sale entry '!$AD$1:$AD$1501,$J1747+1)),0))</f>
        <v/>
      </c>
      <c r="H1747" s="6">
        <f>IF($J1747="","",ROUND('Opening Balance'!$B$4+SUM($F$2:F1747)-SUM($G$2:G1747),2))</f>
        <v/>
      </c>
      <c r="J1747" s="21">
        <f>IFERROR(MATCH(ROW()-1,$L$2:$L$3001,0),"")</f>
        <v/>
      </c>
      <c r="K1747" s="34">
        <f>IF(AND('Daily Sale entry '!Q247="Collection 收款",'Daily Sale entry '!R247="Cheque 支票",'Daily Sale entry '!V247&lt;&gt;""),'Daily Sale entry '!V247+ROW()/10000000,"")</f>
        <v/>
      </c>
      <c r="L1747" s="21">
        <f>IF(K1747="","",COUNTIF($K$2:$K$3001,"&lt;"&amp;K1747)+1)</f>
        <v/>
      </c>
    </row>
    <row r="1748">
      <c r="A1748" s="5">
        <f>IF($J1748="","",IF($J1748&lt;=1500,INDEX('Daily Sale entry '!$X$1:$X$1501,$J1748+1),INDEX('Daily Sale entry '!$V$1:$V$1501,$J1748-1499)))</f>
        <v/>
      </c>
      <c r="B1748">
        <f>IF($J1748="","",IF($J1748&lt;=1500,INDEX('Daily Sale entry '!$Y$1:$Y$1501,$J1748+1)&amp;"","Buyer cheque banked 买家支票存入"&amp;IF(INDEX('Daily Sale entry '!$U$1:$U$1501,$J1748-1499)="","", " - "&amp;INDEX('Daily Sale entry '!$U$1:$U$1501,$J1748-1499))))</f>
        <v/>
      </c>
      <c r="C1748">
        <f>IF($J1748="","",IF($J1748&lt;=1500,INDEX('Daily Sale entry '!$Z$1:$Z$1501,$J1748+1)&amp;"","Cheque deposit 支票存入 (buyer 买家)"))</f>
        <v/>
      </c>
      <c r="D1748">
        <f>IF($J1748="","",IF($J1748&lt;=1500,INDEX('Daily Sale entry '!$AA$1:$AA$1501,$J1748+1)&amp;"",INDEX('Daily Sale entry '!$P$1:$P$1501,$J1748-1499)&amp;""))</f>
        <v/>
      </c>
      <c r="E1748">
        <f>IF($J1748="","",IF($J1748&lt;=1500,IF(N(INDEX('Daily Sale entry '!$AB$1:$AB$1501,$J1748+1))=0,"",INDEX('Daily Sale entry '!$AB$1:$AB$1501,$J1748+1)),1))</f>
        <v/>
      </c>
      <c r="F1748" s="6">
        <f>IF($J1748="","",IF($J1748&lt;=1500,N(INDEX('Daily Sale entry '!$AC$1:$AC$1501,$J1748+1))-IF(AND('Opening Balance'!$B$15=1,INDEX('Daily Sale entry '!$Z$1:$Z$1501,$J1748+1)="Online collection 网上收款",INDEX('Daily Sale entry '!$AA$1:$AA$1501,$J1748+1)&lt;&gt;""),N(INDEX('Daily Sale entry '!$AC$1:$AC$1501,$J1748+1))-TRUNC(N(INDEX('Daily Sale entry '!$AC$1:$AC$1501,$J1748+1))),0),N(INDEX('Daily Sale entry '!$S$1:$S$1501,$J1748-1499))-'Opening Balance'!$B$15*(N(INDEX('Daily Sale entry '!$S$1:$S$1501,$J1748-1499))-TRUNC(N(INDEX('Daily Sale entry '!$S$1:$S$1501,$J1748-1499))))))</f>
        <v/>
      </c>
      <c r="G1748" s="6">
        <f>IF($J1748="","",IF($J1748&lt;=1500,N(INDEX('Daily Sale entry '!$AD$1:$AD$1501,$J1748+1)),0))</f>
        <v/>
      </c>
      <c r="H1748" s="6">
        <f>IF($J1748="","",ROUND('Opening Balance'!$B$4+SUM($F$2:F1748)-SUM($G$2:G1748),2))</f>
        <v/>
      </c>
      <c r="J1748" s="21">
        <f>IFERROR(MATCH(ROW()-1,$L$2:$L$3001,0),"")</f>
        <v/>
      </c>
      <c r="K1748" s="34">
        <f>IF(AND('Daily Sale entry '!Q248="Collection 收款",'Daily Sale entry '!R248="Cheque 支票",'Daily Sale entry '!V248&lt;&gt;""),'Daily Sale entry '!V248+ROW()/10000000,"")</f>
        <v/>
      </c>
      <c r="L1748" s="21">
        <f>IF(K1748="","",COUNTIF($K$2:$K$3001,"&lt;"&amp;K1748)+1)</f>
        <v/>
      </c>
    </row>
    <row r="1749">
      <c r="A1749" s="5">
        <f>IF($J1749="","",IF($J1749&lt;=1500,INDEX('Daily Sale entry '!$X$1:$X$1501,$J1749+1),INDEX('Daily Sale entry '!$V$1:$V$1501,$J1749-1499)))</f>
        <v/>
      </c>
      <c r="B1749">
        <f>IF($J1749="","",IF($J1749&lt;=1500,INDEX('Daily Sale entry '!$Y$1:$Y$1501,$J1749+1)&amp;"","Buyer cheque banked 买家支票存入"&amp;IF(INDEX('Daily Sale entry '!$U$1:$U$1501,$J1749-1499)="","", " - "&amp;INDEX('Daily Sale entry '!$U$1:$U$1501,$J1749-1499))))</f>
        <v/>
      </c>
      <c r="C1749">
        <f>IF($J1749="","",IF($J1749&lt;=1500,INDEX('Daily Sale entry '!$Z$1:$Z$1501,$J1749+1)&amp;"","Cheque deposit 支票存入 (buyer 买家)"))</f>
        <v/>
      </c>
      <c r="D1749">
        <f>IF($J1749="","",IF($J1749&lt;=1500,INDEX('Daily Sale entry '!$AA$1:$AA$1501,$J1749+1)&amp;"",INDEX('Daily Sale entry '!$P$1:$P$1501,$J1749-1499)&amp;""))</f>
        <v/>
      </c>
      <c r="E1749">
        <f>IF($J1749="","",IF($J1749&lt;=1500,IF(N(INDEX('Daily Sale entry '!$AB$1:$AB$1501,$J1749+1))=0,"",INDEX('Daily Sale entry '!$AB$1:$AB$1501,$J1749+1)),1))</f>
        <v/>
      </c>
      <c r="F1749" s="6">
        <f>IF($J1749="","",IF($J1749&lt;=1500,N(INDEX('Daily Sale entry '!$AC$1:$AC$1501,$J1749+1))-IF(AND('Opening Balance'!$B$15=1,INDEX('Daily Sale entry '!$Z$1:$Z$1501,$J1749+1)="Online collection 网上收款",INDEX('Daily Sale entry '!$AA$1:$AA$1501,$J1749+1)&lt;&gt;""),N(INDEX('Daily Sale entry '!$AC$1:$AC$1501,$J1749+1))-TRUNC(N(INDEX('Daily Sale entry '!$AC$1:$AC$1501,$J1749+1))),0),N(INDEX('Daily Sale entry '!$S$1:$S$1501,$J1749-1499))-'Opening Balance'!$B$15*(N(INDEX('Daily Sale entry '!$S$1:$S$1501,$J1749-1499))-TRUNC(N(INDEX('Daily Sale entry '!$S$1:$S$1501,$J1749-1499))))))</f>
        <v/>
      </c>
      <c r="G1749" s="6">
        <f>IF($J1749="","",IF($J1749&lt;=1500,N(INDEX('Daily Sale entry '!$AD$1:$AD$1501,$J1749+1)),0))</f>
        <v/>
      </c>
      <c r="H1749" s="6">
        <f>IF($J1749="","",ROUND('Opening Balance'!$B$4+SUM($F$2:F1749)-SUM($G$2:G1749),2))</f>
        <v/>
      </c>
      <c r="J1749" s="21">
        <f>IFERROR(MATCH(ROW()-1,$L$2:$L$3001,0),"")</f>
        <v/>
      </c>
      <c r="K1749" s="34">
        <f>IF(AND('Daily Sale entry '!Q249="Collection 收款",'Daily Sale entry '!R249="Cheque 支票",'Daily Sale entry '!V249&lt;&gt;""),'Daily Sale entry '!V249+ROW()/10000000,"")</f>
        <v/>
      </c>
      <c r="L1749" s="21">
        <f>IF(K1749="","",COUNTIF($K$2:$K$3001,"&lt;"&amp;K1749)+1)</f>
        <v/>
      </c>
    </row>
    <row r="1750">
      <c r="A1750" s="5">
        <f>IF($J1750="","",IF($J1750&lt;=1500,INDEX('Daily Sale entry '!$X$1:$X$1501,$J1750+1),INDEX('Daily Sale entry '!$V$1:$V$1501,$J1750-1499)))</f>
        <v/>
      </c>
      <c r="B1750">
        <f>IF($J1750="","",IF($J1750&lt;=1500,INDEX('Daily Sale entry '!$Y$1:$Y$1501,$J1750+1)&amp;"","Buyer cheque banked 买家支票存入"&amp;IF(INDEX('Daily Sale entry '!$U$1:$U$1501,$J1750-1499)="","", " - "&amp;INDEX('Daily Sale entry '!$U$1:$U$1501,$J1750-1499))))</f>
        <v/>
      </c>
      <c r="C1750">
        <f>IF($J1750="","",IF($J1750&lt;=1500,INDEX('Daily Sale entry '!$Z$1:$Z$1501,$J1750+1)&amp;"","Cheque deposit 支票存入 (buyer 买家)"))</f>
        <v/>
      </c>
      <c r="D1750">
        <f>IF($J1750="","",IF($J1750&lt;=1500,INDEX('Daily Sale entry '!$AA$1:$AA$1501,$J1750+1)&amp;"",INDEX('Daily Sale entry '!$P$1:$P$1501,$J1750-1499)&amp;""))</f>
        <v/>
      </c>
      <c r="E1750">
        <f>IF($J1750="","",IF($J1750&lt;=1500,IF(N(INDEX('Daily Sale entry '!$AB$1:$AB$1501,$J1750+1))=0,"",INDEX('Daily Sale entry '!$AB$1:$AB$1501,$J1750+1)),1))</f>
        <v/>
      </c>
      <c r="F1750" s="6">
        <f>IF($J1750="","",IF($J1750&lt;=1500,N(INDEX('Daily Sale entry '!$AC$1:$AC$1501,$J1750+1))-IF(AND('Opening Balance'!$B$15=1,INDEX('Daily Sale entry '!$Z$1:$Z$1501,$J1750+1)="Online collection 网上收款",INDEX('Daily Sale entry '!$AA$1:$AA$1501,$J1750+1)&lt;&gt;""),N(INDEX('Daily Sale entry '!$AC$1:$AC$1501,$J1750+1))-TRUNC(N(INDEX('Daily Sale entry '!$AC$1:$AC$1501,$J1750+1))),0),N(INDEX('Daily Sale entry '!$S$1:$S$1501,$J1750-1499))-'Opening Balance'!$B$15*(N(INDEX('Daily Sale entry '!$S$1:$S$1501,$J1750-1499))-TRUNC(N(INDEX('Daily Sale entry '!$S$1:$S$1501,$J1750-1499))))))</f>
        <v/>
      </c>
      <c r="G1750" s="6">
        <f>IF($J1750="","",IF($J1750&lt;=1500,N(INDEX('Daily Sale entry '!$AD$1:$AD$1501,$J1750+1)),0))</f>
        <v/>
      </c>
      <c r="H1750" s="6">
        <f>IF($J1750="","",ROUND('Opening Balance'!$B$4+SUM($F$2:F1750)-SUM($G$2:G1750),2))</f>
        <v/>
      </c>
      <c r="J1750" s="21">
        <f>IFERROR(MATCH(ROW()-1,$L$2:$L$3001,0),"")</f>
        <v/>
      </c>
      <c r="K1750" s="34">
        <f>IF(AND('Daily Sale entry '!Q250="Collection 收款",'Daily Sale entry '!R250="Cheque 支票",'Daily Sale entry '!V250&lt;&gt;""),'Daily Sale entry '!V250+ROW()/10000000,"")</f>
        <v/>
      </c>
      <c r="L1750" s="21">
        <f>IF(K1750="","",COUNTIF($K$2:$K$3001,"&lt;"&amp;K1750)+1)</f>
        <v/>
      </c>
    </row>
    <row r="1751">
      <c r="A1751" s="5">
        <f>IF($J1751="","",IF($J1751&lt;=1500,INDEX('Daily Sale entry '!$X$1:$X$1501,$J1751+1),INDEX('Daily Sale entry '!$V$1:$V$1501,$J1751-1499)))</f>
        <v/>
      </c>
      <c r="B1751">
        <f>IF($J1751="","",IF($J1751&lt;=1500,INDEX('Daily Sale entry '!$Y$1:$Y$1501,$J1751+1)&amp;"","Buyer cheque banked 买家支票存入"&amp;IF(INDEX('Daily Sale entry '!$U$1:$U$1501,$J1751-1499)="","", " - "&amp;INDEX('Daily Sale entry '!$U$1:$U$1501,$J1751-1499))))</f>
        <v/>
      </c>
      <c r="C1751">
        <f>IF($J1751="","",IF($J1751&lt;=1500,INDEX('Daily Sale entry '!$Z$1:$Z$1501,$J1751+1)&amp;"","Cheque deposit 支票存入 (buyer 买家)"))</f>
        <v/>
      </c>
      <c r="D1751">
        <f>IF($J1751="","",IF($J1751&lt;=1500,INDEX('Daily Sale entry '!$AA$1:$AA$1501,$J1751+1)&amp;"",INDEX('Daily Sale entry '!$P$1:$P$1501,$J1751-1499)&amp;""))</f>
        <v/>
      </c>
      <c r="E1751">
        <f>IF($J1751="","",IF($J1751&lt;=1500,IF(N(INDEX('Daily Sale entry '!$AB$1:$AB$1501,$J1751+1))=0,"",INDEX('Daily Sale entry '!$AB$1:$AB$1501,$J1751+1)),1))</f>
        <v/>
      </c>
      <c r="F1751" s="6">
        <f>IF($J1751="","",IF($J1751&lt;=1500,N(INDEX('Daily Sale entry '!$AC$1:$AC$1501,$J1751+1))-IF(AND('Opening Balance'!$B$15=1,INDEX('Daily Sale entry '!$Z$1:$Z$1501,$J1751+1)="Online collection 网上收款",INDEX('Daily Sale entry '!$AA$1:$AA$1501,$J1751+1)&lt;&gt;""),N(INDEX('Daily Sale entry '!$AC$1:$AC$1501,$J1751+1))-TRUNC(N(INDEX('Daily Sale entry '!$AC$1:$AC$1501,$J1751+1))),0),N(INDEX('Daily Sale entry '!$S$1:$S$1501,$J1751-1499))-'Opening Balance'!$B$15*(N(INDEX('Daily Sale entry '!$S$1:$S$1501,$J1751-1499))-TRUNC(N(INDEX('Daily Sale entry '!$S$1:$S$1501,$J1751-1499))))))</f>
        <v/>
      </c>
      <c r="G1751" s="6">
        <f>IF($J1751="","",IF($J1751&lt;=1500,N(INDEX('Daily Sale entry '!$AD$1:$AD$1501,$J1751+1)),0))</f>
        <v/>
      </c>
      <c r="H1751" s="6">
        <f>IF($J1751="","",ROUND('Opening Balance'!$B$4+SUM($F$2:F1751)-SUM($G$2:G1751),2))</f>
        <v/>
      </c>
      <c r="J1751" s="21">
        <f>IFERROR(MATCH(ROW()-1,$L$2:$L$3001,0),"")</f>
        <v/>
      </c>
      <c r="K1751" s="34">
        <f>IF(AND('Daily Sale entry '!Q251="Collection 收款",'Daily Sale entry '!R251="Cheque 支票",'Daily Sale entry '!V251&lt;&gt;""),'Daily Sale entry '!V251+ROW()/10000000,"")</f>
        <v/>
      </c>
      <c r="L1751" s="21">
        <f>IF(K1751="","",COUNTIF($K$2:$K$3001,"&lt;"&amp;K1751)+1)</f>
        <v/>
      </c>
    </row>
    <row r="1752">
      <c r="A1752" s="5">
        <f>IF($J1752="","",IF($J1752&lt;=1500,INDEX('Daily Sale entry '!$X$1:$X$1501,$J1752+1),INDEX('Daily Sale entry '!$V$1:$V$1501,$J1752-1499)))</f>
        <v/>
      </c>
      <c r="B1752">
        <f>IF($J1752="","",IF($J1752&lt;=1500,INDEX('Daily Sale entry '!$Y$1:$Y$1501,$J1752+1)&amp;"","Buyer cheque banked 买家支票存入"&amp;IF(INDEX('Daily Sale entry '!$U$1:$U$1501,$J1752-1499)="","", " - "&amp;INDEX('Daily Sale entry '!$U$1:$U$1501,$J1752-1499))))</f>
        <v/>
      </c>
      <c r="C1752">
        <f>IF($J1752="","",IF($J1752&lt;=1500,INDEX('Daily Sale entry '!$Z$1:$Z$1501,$J1752+1)&amp;"","Cheque deposit 支票存入 (buyer 买家)"))</f>
        <v/>
      </c>
      <c r="D1752">
        <f>IF($J1752="","",IF($J1752&lt;=1500,INDEX('Daily Sale entry '!$AA$1:$AA$1501,$J1752+1)&amp;"",INDEX('Daily Sale entry '!$P$1:$P$1501,$J1752-1499)&amp;""))</f>
        <v/>
      </c>
      <c r="E1752">
        <f>IF($J1752="","",IF($J1752&lt;=1500,IF(N(INDEX('Daily Sale entry '!$AB$1:$AB$1501,$J1752+1))=0,"",INDEX('Daily Sale entry '!$AB$1:$AB$1501,$J1752+1)),1))</f>
        <v/>
      </c>
      <c r="F1752" s="6">
        <f>IF($J1752="","",IF($J1752&lt;=1500,N(INDEX('Daily Sale entry '!$AC$1:$AC$1501,$J1752+1))-IF(AND('Opening Balance'!$B$15=1,INDEX('Daily Sale entry '!$Z$1:$Z$1501,$J1752+1)="Online collection 网上收款",INDEX('Daily Sale entry '!$AA$1:$AA$1501,$J1752+1)&lt;&gt;""),N(INDEX('Daily Sale entry '!$AC$1:$AC$1501,$J1752+1))-TRUNC(N(INDEX('Daily Sale entry '!$AC$1:$AC$1501,$J1752+1))),0),N(INDEX('Daily Sale entry '!$S$1:$S$1501,$J1752-1499))-'Opening Balance'!$B$15*(N(INDEX('Daily Sale entry '!$S$1:$S$1501,$J1752-1499))-TRUNC(N(INDEX('Daily Sale entry '!$S$1:$S$1501,$J1752-1499))))))</f>
        <v/>
      </c>
      <c r="G1752" s="6">
        <f>IF($J1752="","",IF($J1752&lt;=1500,N(INDEX('Daily Sale entry '!$AD$1:$AD$1501,$J1752+1)),0))</f>
        <v/>
      </c>
      <c r="H1752" s="6">
        <f>IF($J1752="","",ROUND('Opening Balance'!$B$4+SUM($F$2:F1752)-SUM($G$2:G1752),2))</f>
        <v/>
      </c>
      <c r="J1752" s="21">
        <f>IFERROR(MATCH(ROW()-1,$L$2:$L$3001,0),"")</f>
        <v/>
      </c>
      <c r="K1752" s="34">
        <f>IF(AND('Daily Sale entry '!Q252="Collection 收款",'Daily Sale entry '!R252="Cheque 支票",'Daily Sale entry '!V252&lt;&gt;""),'Daily Sale entry '!V252+ROW()/10000000,"")</f>
        <v/>
      </c>
      <c r="L1752" s="21">
        <f>IF(K1752="","",COUNTIF($K$2:$K$3001,"&lt;"&amp;K1752)+1)</f>
        <v/>
      </c>
    </row>
    <row r="1753">
      <c r="A1753" s="5">
        <f>IF($J1753="","",IF($J1753&lt;=1500,INDEX('Daily Sale entry '!$X$1:$X$1501,$J1753+1),INDEX('Daily Sale entry '!$V$1:$V$1501,$J1753-1499)))</f>
        <v/>
      </c>
      <c r="B1753">
        <f>IF($J1753="","",IF($J1753&lt;=1500,INDEX('Daily Sale entry '!$Y$1:$Y$1501,$J1753+1)&amp;"","Buyer cheque banked 买家支票存入"&amp;IF(INDEX('Daily Sale entry '!$U$1:$U$1501,$J1753-1499)="","", " - "&amp;INDEX('Daily Sale entry '!$U$1:$U$1501,$J1753-1499))))</f>
        <v/>
      </c>
      <c r="C1753">
        <f>IF($J1753="","",IF($J1753&lt;=1500,INDEX('Daily Sale entry '!$Z$1:$Z$1501,$J1753+1)&amp;"","Cheque deposit 支票存入 (buyer 买家)"))</f>
        <v/>
      </c>
      <c r="D1753">
        <f>IF($J1753="","",IF($J1753&lt;=1500,INDEX('Daily Sale entry '!$AA$1:$AA$1501,$J1753+1)&amp;"",INDEX('Daily Sale entry '!$P$1:$P$1501,$J1753-1499)&amp;""))</f>
        <v/>
      </c>
      <c r="E1753">
        <f>IF($J1753="","",IF($J1753&lt;=1500,IF(N(INDEX('Daily Sale entry '!$AB$1:$AB$1501,$J1753+1))=0,"",INDEX('Daily Sale entry '!$AB$1:$AB$1501,$J1753+1)),1))</f>
        <v/>
      </c>
      <c r="F1753" s="6">
        <f>IF($J1753="","",IF($J1753&lt;=1500,N(INDEX('Daily Sale entry '!$AC$1:$AC$1501,$J1753+1))-IF(AND('Opening Balance'!$B$15=1,INDEX('Daily Sale entry '!$Z$1:$Z$1501,$J1753+1)="Online collection 网上收款",INDEX('Daily Sale entry '!$AA$1:$AA$1501,$J1753+1)&lt;&gt;""),N(INDEX('Daily Sale entry '!$AC$1:$AC$1501,$J1753+1))-TRUNC(N(INDEX('Daily Sale entry '!$AC$1:$AC$1501,$J1753+1))),0),N(INDEX('Daily Sale entry '!$S$1:$S$1501,$J1753-1499))-'Opening Balance'!$B$15*(N(INDEX('Daily Sale entry '!$S$1:$S$1501,$J1753-1499))-TRUNC(N(INDEX('Daily Sale entry '!$S$1:$S$1501,$J1753-1499))))))</f>
        <v/>
      </c>
      <c r="G1753" s="6">
        <f>IF($J1753="","",IF($J1753&lt;=1500,N(INDEX('Daily Sale entry '!$AD$1:$AD$1501,$J1753+1)),0))</f>
        <v/>
      </c>
      <c r="H1753" s="6">
        <f>IF($J1753="","",ROUND('Opening Balance'!$B$4+SUM($F$2:F1753)-SUM($G$2:G1753),2))</f>
        <v/>
      </c>
      <c r="J1753" s="21">
        <f>IFERROR(MATCH(ROW()-1,$L$2:$L$3001,0),"")</f>
        <v/>
      </c>
      <c r="K1753" s="34">
        <f>IF(AND('Daily Sale entry '!Q253="Collection 收款",'Daily Sale entry '!R253="Cheque 支票",'Daily Sale entry '!V253&lt;&gt;""),'Daily Sale entry '!V253+ROW()/10000000,"")</f>
        <v/>
      </c>
      <c r="L1753" s="21">
        <f>IF(K1753="","",COUNTIF($K$2:$K$3001,"&lt;"&amp;K1753)+1)</f>
        <v/>
      </c>
    </row>
    <row r="1754">
      <c r="A1754" s="5">
        <f>IF($J1754="","",IF($J1754&lt;=1500,INDEX('Daily Sale entry '!$X$1:$X$1501,$J1754+1),INDEX('Daily Sale entry '!$V$1:$V$1501,$J1754-1499)))</f>
        <v/>
      </c>
      <c r="B1754">
        <f>IF($J1754="","",IF($J1754&lt;=1500,INDEX('Daily Sale entry '!$Y$1:$Y$1501,$J1754+1)&amp;"","Buyer cheque banked 买家支票存入"&amp;IF(INDEX('Daily Sale entry '!$U$1:$U$1501,$J1754-1499)="","", " - "&amp;INDEX('Daily Sale entry '!$U$1:$U$1501,$J1754-1499))))</f>
        <v/>
      </c>
      <c r="C1754">
        <f>IF($J1754="","",IF($J1754&lt;=1500,INDEX('Daily Sale entry '!$Z$1:$Z$1501,$J1754+1)&amp;"","Cheque deposit 支票存入 (buyer 买家)"))</f>
        <v/>
      </c>
      <c r="D1754">
        <f>IF($J1754="","",IF($J1754&lt;=1500,INDEX('Daily Sale entry '!$AA$1:$AA$1501,$J1754+1)&amp;"",INDEX('Daily Sale entry '!$P$1:$P$1501,$J1754-1499)&amp;""))</f>
        <v/>
      </c>
      <c r="E1754">
        <f>IF($J1754="","",IF($J1754&lt;=1500,IF(N(INDEX('Daily Sale entry '!$AB$1:$AB$1501,$J1754+1))=0,"",INDEX('Daily Sale entry '!$AB$1:$AB$1501,$J1754+1)),1))</f>
        <v/>
      </c>
      <c r="F1754" s="6">
        <f>IF($J1754="","",IF($J1754&lt;=1500,N(INDEX('Daily Sale entry '!$AC$1:$AC$1501,$J1754+1))-IF(AND('Opening Balance'!$B$15=1,INDEX('Daily Sale entry '!$Z$1:$Z$1501,$J1754+1)="Online collection 网上收款",INDEX('Daily Sale entry '!$AA$1:$AA$1501,$J1754+1)&lt;&gt;""),N(INDEX('Daily Sale entry '!$AC$1:$AC$1501,$J1754+1))-TRUNC(N(INDEX('Daily Sale entry '!$AC$1:$AC$1501,$J1754+1))),0),N(INDEX('Daily Sale entry '!$S$1:$S$1501,$J1754-1499))-'Opening Balance'!$B$15*(N(INDEX('Daily Sale entry '!$S$1:$S$1501,$J1754-1499))-TRUNC(N(INDEX('Daily Sale entry '!$S$1:$S$1501,$J1754-1499))))))</f>
        <v/>
      </c>
      <c r="G1754" s="6">
        <f>IF($J1754="","",IF($J1754&lt;=1500,N(INDEX('Daily Sale entry '!$AD$1:$AD$1501,$J1754+1)),0))</f>
        <v/>
      </c>
      <c r="H1754" s="6">
        <f>IF($J1754="","",ROUND('Opening Balance'!$B$4+SUM($F$2:F1754)-SUM($G$2:G1754),2))</f>
        <v/>
      </c>
      <c r="J1754" s="21">
        <f>IFERROR(MATCH(ROW()-1,$L$2:$L$3001,0),"")</f>
        <v/>
      </c>
      <c r="K1754" s="34">
        <f>IF(AND('Daily Sale entry '!Q254="Collection 收款",'Daily Sale entry '!R254="Cheque 支票",'Daily Sale entry '!V254&lt;&gt;""),'Daily Sale entry '!V254+ROW()/10000000,"")</f>
        <v/>
      </c>
      <c r="L1754" s="21">
        <f>IF(K1754="","",COUNTIF($K$2:$K$3001,"&lt;"&amp;K1754)+1)</f>
        <v/>
      </c>
    </row>
    <row r="1755">
      <c r="A1755" s="5">
        <f>IF($J1755="","",IF($J1755&lt;=1500,INDEX('Daily Sale entry '!$X$1:$X$1501,$J1755+1),INDEX('Daily Sale entry '!$V$1:$V$1501,$J1755-1499)))</f>
        <v/>
      </c>
      <c r="B1755">
        <f>IF($J1755="","",IF($J1755&lt;=1500,INDEX('Daily Sale entry '!$Y$1:$Y$1501,$J1755+1)&amp;"","Buyer cheque banked 买家支票存入"&amp;IF(INDEX('Daily Sale entry '!$U$1:$U$1501,$J1755-1499)="","", " - "&amp;INDEX('Daily Sale entry '!$U$1:$U$1501,$J1755-1499))))</f>
        <v/>
      </c>
      <c r="C1755">
        <f>IF($J1755="","",IF($J1755&lt;=1500,INDEX('Daily Sale entry '!$Z$1:$Z$1501,$J1755+1)&amp;"","Cheque deposit 支票存入 (buyer 买家)"))</f>
        <v/>
      </c>
      <c r="D1755">
        <f>IF($J1755="","",IF($J1755&lt;=1500,INDEX('Daily Sale entry '!$AA$1:$AA$1501,$J1755+1)&amp;"",INDEX('Daily Sale entry '!$P$1:$P$1501,$J1755-1499)&amp;""))</f>
        <v/>
      </c>
      <c r="E1755">
        <f>IF($J1755="","",IF($J1755&lt;=1500,IF(N(INDEX('Daily Sale entry '!$AB$1:$AB$1501,$J1755+1))=0,"",INDEX('Daily Sale entry '!$AB$1:$AB$1501,$J1755+1)),1))</f>
        <v/>
      </c>
      <c r="F1755" s="6">
        <f>IF($J1755="","",IF($J1755&lt;=1500,N(INDEX('Daily Sale entry '!$AC$1:$AC$1501,$J1755+1))-IF(AND('Opening Balance'!$B$15=1,INDEX('Daily Sale entry '!$Z$1:$Z$1501,$J1755+1)="Online collection 网上收款",INDEX('Daily Sale entry '!$AA$1:$AA$1501,$J1755+1)&lt;&gt;""),N(INDEX('Daily Sale entry '!$AC$1:$AC$1501,$J1755+1))-TRUNC(N(INDEX('Daily Sale entry '!$AC$1:$AC$1501,$J1755+1))),0),N(INDEX('Daily Sale entry '!$S$1:$S$1501,$J1755-1499))-'Opening Balance'!$B$15*(N(INDEX('Daily Sale entry '!$S$1:$S$1501,$J1755-1499))-TRUNC(N(INDEX('Daily Sale entry '!$S$1:$S$1501,$J1755-1499))))))</f>
        <v/>
      </c>
      <c r="G1755" s="6">
        <f>IF($J1755="","",IF($J1755&lt;=1500,N(INDEX('Daily Sale entry '!$AD$1:$AD$1501,$J1755+1)),0))</f>
        <v/>
      </c>
      <c r="H1755" s="6">
        <f>IF($J1755="","",ROUND('Opening Balance'!$B$4+SUM($F$2:F1755)-SUM($G$2:G1755),2))</f>
        <v/>
      </c>
      <c r="J1755" s="21">
        <f>IFERROR(MATCH(ROW()-1,$L$2:$L$3001,0),"")</f>
        <v/>
      </c>
      <c r="K1755" s="34">
        <f>IF(AND('Daily Sale entry '!Q255="Collection 收款",'Daily Sale entry '!R255="Cheque 支票",'Daily Sale entry '!V255&lt;&gt;""),'Daily Sale entry '!V255+ROW()/10000000,"")</f>
        <v/>
      </c>
      <c r="L1755" s="21">
        <f>IF(K1755="","",COUNTIF($K$2:$K$3001,"&lt;"&amp;K1755)+1)</f>
        <v/>
      </c>
    </row>
    <row r="1756">
      <c r="A1756" s="5">
        <f>IF($J1756="","",IF($J1756&lt;=1500,INDEX('Daily Sale entry '!$X$1:$X$1501,$J1756+1),INDEX('Daily Sale entry '!$V$1:$V$1501,$J1756-1499)))</f>
        <v/>
      </c>
      <c r="B1756">
        <f>IF($J1756="","",IF($J1756&lt;=1500,INDEX('Daily Sale entry '!$Y$1:$Y$1501,$J1756+1)&amp;"","Buyer cheque banked 买家支票存入"&amp;IF(INDEX('Daily Sale entry '!$U$1:$U$1501,$J1756-1499)="","", " - "&amp;INDEX('Daily Sale entry '!$U$1:$U$1501,$J1756-1499))))</f>
        <v/>
      </c>
      <c r="C1756">
        <f>IF($J1756="","",IF($J1756&lt;=1500,INDEX('Daily Sale entry '!$Z$1:$Z$1501,$J1756+1)&amp;"","Cheque deposit 支票存入 (buyer 买家)"))</f>
        <v/>
      </c>
      <c r="D1756">
        <f>IF($J1756="","",IF($J1756&lt;=1500,INDEX('Daily Sale entry '!$AA$1:$AA$1501,$J1756+1)&amp;"",INDEX('Daily Sale entry '!$P$1:$P$1501,$J1756-1499)&amp;""))</f>
        <v/>
      </c>
      <c r="E1756">
        <f>IF($J1756="","",IF($J1756&lt;=1500,IF(N(INDEX('Daily Sale entry '!$AB$1:$AB$1501,$J1756+1))=0,"",INDEX('Daily Sale entry '!$AB$1:$AB$1501,$J1756+1)),1))</f>
        <v/>
      </c>
      <c r="F1756" s="6">
        <f>IF($J1756="","",IF($J1756&lt;=1500,N(INDEX('Daily Sale entry '!$AC$1:$AC$1501,$J1756+1))-IF(AND('Opening Balance'!$B$15=1,INDEX('Daily Sale entry '!$Z$1:$Z$1501,$J1756+1)="Online collection 网上收款",INDEX('Daily Sale entry '!$AA$1:$AA$1501,$J1756+1)&lt;&gt;""),N(INDEX('Daily Sale entry '!$AC$1:$AC$1501,$J1756+1))-TRUNC(N(INDEX('Daily Sale entry '!$AC$1:$AC$1501,$J1756+1))),0),N(INDEX('Daily Sale entry '!$S$1:$S$1501,$J1756-1499))-'Opening Balance'!$B$15*(N(INDEX('Daily Sale entry '!$S$1:$S$1501,$J1756-1499))-TRUNC(N(INDEX('Daily Sale entry '!$S$1:$S$1501,$J1756-1499))))))</f>
        <v/>
      </c>
      <c r="G1756" s="6">
        <f>IF($J1756="","",IF($J1756&lt;=1500,N(INDEX('Daily Sale entry '!$AD$1:$AD$1501,$J1756+1)),0))</f>
        <v/>
      </c>
      <c r="H1756" s="6">
        <f>IF($J1756="","",ROUND('Opening Balance'!$B$4+SUM($F$2:F1756)-SUM($G$2:G1756),2))</f>
        <v/>
      </c>
      <c r="J1756" s="21">
        <f>IFERROR(MATCH(ROW()-1,$L$2:$L$3001,0),"")</f>
        <v/>
      </c>
      <c r="K1756" s="34">
        <f>IF(AND('Daily Sale entry '!Q256="Collection 收款",'Daily Sale entry '!R256="Cheque 支票",'Daily Sale entry '!V256&lt;&gt;""),'Daily Sale entry '!V256+ROW()/10000000,"")</f>
        <v/>
      </c>
      <c r="L1756" s="21">
        <f>IF(K1756="","",COUNTIF($K$2:$K$3001,"&lt;"&amp;K1756)+1)</f>
        <v/>
      </c>
    </row>
    <row r="1757">
      <c r="A1757" s="5">
        <f>IF($J1757="","",IF($J1757&lt;=1500,INDEX('Daily Sale entry '!$X$1:$X$1501,$J1757+1),INDEX('Daily Sale entry '!$V$1:$V$1501,$J1757-1499)))</f>
        <v/>
      </c>
      <c r="B1757">
        <f>IF($J1757="","",IF($J1757&lt;=1500,INDEX('Daily Sale entry '!$Y$1:$Y$1501,$J1757+1)&amp;"","Buyer cheque banked 买家支票存入"&amp;IF(INDEX('Daily Sale entry '!$U$1:$U$1501,$J1757-1499)="","", " - "&amp;INDEX('Daily Sale entry '!$U$1:$U$1501,$J1757-1499))))</f>
        <v/>
      </c>
      <c r="C1757">
        <f>IF($J1757="","",IF($J1757&lt;=1500,INDEX('Daily Sale entry '!$Z$1:$Z$1501,$J1757+1)&amp;"","Cheque deposit 支票存入 (buyer 买家)"))</f>
        <v/>
      </c>
      <c r="D1757">
        <f>IF($J1757="","",IF($J1757&lt;=1500,INDEX('Daily Sale entry '!$AA$1:$AA$1501,$J1757+1)&amp;"",INDEX('Daily Sale entry '!$P$1:$P$1501,$J1757-1499)&amp;""))</f>
        <v/>
      </c>
      <c r="E1757">
        <f>IF($J1757="","",IF($J1757&lt;=1500,IF(N(INDEX('Daily Sale entry '!$AB$1:$AB$1501,$J1757+1))=0,"",INDEX('Daily Sale entry '!$AB$1:$AB$1501,$J1757+1)),1))</f>
        <v/>
      </c>
      <c r="F1757" s="6">
        <f>IF($J1757="","",IF($J1757&lt;=1500,N(INDEX('Daily Sale entry '!$AC$1:$AC$1501,$J1757+1))-IF(AND('Opening Balance'!$B$15=1,INDEX('Daily Sale entry '!$Z$1:$Z$1501,$J1757+1)="Online collection 网上收款",INDEX('Daily Sale entry '!$AA$1:$AA$1501,$J1757+1)&lt;&gt;""),N(INDEX('Daily Sale entry '!$AC$1:$AC$1501,$J1757+1))-TRUNC(N(INDEX('Daily Sale entry '!$AC$1:$AC$1501,$J1757+1))),0),N(INDEX('Daily Sale entry '!$S$1:$S$1501,$J1757-1499))-'Opening Balance'!$B$15*(N(INDEX('Daily Sale entry '!$S$1:$S$1501,$J1757-1499))-TRUNC(N(INDEX('Daily Sale entry '!$S$1:$S$1501,$J1757-1499))))))</f>
        <v/>
      </c>
      <c r="G1757" s="6">
        <f>IF($J1757="","",IF($J1757&lt;=1500,N(INDEX('Daily Sale entry '!$AD$1:$AD$1501,$J1757+1)),0))</f>
        <v/>
      </c>
      <c r="H1757" s="6">
        <f>IF($J1757="","",ROUND('Opening Balance'!$B$4+SUM($F$2:F1757)-SUM($G$2:G1757),2))</f>
        <v/>
      </c>
      <c r="J1757" s="21">
        <f>IFERROR(MATCH(ROW()-1,$L$2:$L$3001,0),"")</f>
        <v/>
      </c>
      <c r="K1757" s="34">
        <f>IF(AND('Daily Sale entry '!Q257="Collection 收款",'Daily Sale entry '!R257="Cheque 支票",'Daily Sale entry '!V257&lt;&gt;""),'Daily Sale entry '!V257+ROW()/10000000,"")</f>
        <v/>
      </c>
      <c r="L1757" s="21">
        <f>IF(K1757="","",COUNTIF($K$2:$K$3001,"&lt;"&amp;K1757)+1)</f>
        <v/>
      </c>
    </row>
    <row r="1758">
      <c r="A1758" s="5">
        <f>IF($J1758="","",IF($J1758&lt;=1500,INDEX('Daily Sale entry '!$X$1:$X$1501,$J1758+1),INDEX('Daily Sale entry '!$V$1:$V$1501,$J1758-1499)))</f>
        <v/>
      </c>
      <c r="B1758">
        <f>IF($J1758="","",IF($J1758&lt;=1500,INDEX('Daily Sale entry '!$Y$1:$Y$1501,$J1758+1)&amp;"","Buyer cheque banked 买家支票存入"&amp;IF(INDEX('Daily Sale entry '!$U$1:$U$1501,$J1758-1499)="","", " - "&amp;INDEX('Daily Sale entry '!$U$1:$U$1501,$J1758-1499))))</f>
        <v/>
      </c>
      <c r="C1758">
        <f>IF($J1758="","",IF($J1758&lt;=1500,INDEX('Daily Sale entry '!$Z$1:$Z$1501,$J1758+1)&amp;"","Cheque deposit 支票存入 (buyer 买家)"))</f>
        <v/>
      </c>
      <c r="D1758">
        <f>IF($J1758="","",IF($J1758&lt;=1500,INDEX('Daily Sale entry '!$AA$1:$AA$1501,$J1758+1)&amp;"",INDEX('Daily Sale entry '!$P$1:$P$1501,$J1758-1499)&amp;""))</f>
        <v/>
      </c>
      <c r="E1758">
        <f>IF($J1758="","",IF($J1758&lt;=1500,IF(N(INDEX('Daily Sale entry '!$AB$1:$AB$1501,$J1758+1))=0,"",INDEX('Daily Sale entry '!$AB$1:$AB$1501,$J1758+1)),1))</f>
        <v/>
      </c>
      <c r="F1758" s="6">
        <f>IF($J1758="","",IF($J1758&lt;=1500,N(INDEX('Daily Sale entry '!$AC$1:$AC$1501,$J1758+1))-IF(AND('Opening Balance'!$B$15=1,INDEX('Daily Sale entry '!$Z$1:$Z$1501,$J1758+1)="Online collection 网上收款",INDEX('Daily Sale entry '!$AA$1:$AA$1501,$J1758+1)&lt;&gt;""),N(INDEX('Daily Sale entry '!$AC$1:$AC$1501,$J1758+1))-TRUNC(N(INDEX('Daily Sale entry '!$AC$1:$AC$1501,$J1758+1))),0),N(INDEX('Daily Sale entry '!$S$1:$S$1501,$J1758-1499))-'Opening Balance'!$B$15*(N(INDEX('Daily Sale entry '!$S$1:$S$1501,$J1758-1499))-TRUNC(N(INDEX('Daily Sale entry '!$S$1:$S$1501,$J1758-1499))))))</f>
        <v/>
      </c>
      <c r="G1758" s="6">
        <f>IF($J1758="","",IF($J1758&lt;=1500,N(INDEX('Daily Sale entry '!$AD$1:$AD$1501,$J1758+1)),0))</f>
        <v/>
      </c>
      <c r="H1758" s="6">
        <f>IF($J1758="","",ROUND('Opening Balance'!$B$4+SUM($F$2:F1758)-SUM($G$2:G1758),2))</f>
        <v/>
      </c>
      <c r="J1758" s="21">
        <f>IFERROR(MATCH(ROW()-1,$L$2:$L$3001,0),"")</f>
        <v/>
      </c>
      <c r="K1758" s="34">
        <f>IF(AND('Daily Sale entry '!Q258="Collection 收款",'Daily Sale entry '!R258="Cheque 支票",'Daily Sale entry '!V258&lt;&gt;""),'Daily Sale entry '!V258+ROW()/10000000,"")</f>
        <v/>
      </c>
      <c r="L1758" s="21">
        <f>IF(K1758="","",COUNTIF($K$2:$K$3001,"&lt;"&amp;K1758)+1)</f>
        <v/>
      </c>
    </row>
    <row r="1759">
      <c r="A1759" s="5">
        <f>IF($J1759="","",IF($J1759&lt;=1500,INDEX('Daily Sale entry '!$X$1:$X$1501,$J1759+1),INDEX('Daily Sale entry '!$V$1:$V$1501,$J1759-1499)))</f>
        <v/>
      </c>
      <c r="B1759">
        <f>IF($J1759="","",IF($J1759&lt;=1500,INDEX('Daily Sale entry '!$Y$1:$Y$1501,$J1759+1)&amp;"","Buyer cheque banked 买家支票存入"&amp;IF(INDEX('Daily Sale entry '!$U$1:$U$1501,$J1759-1499)="","", " - "&amp;INDEX('Daily Sale entry '!$U$1:$U$1501,$J1759-1499))))</f>
        <v/>
      </c>
      <c r="C1759">
        <f>IF($J1759="","",IF($J1759&lt;=1500,INDEX('Daily Sale entry '!$Z$1:$Z$1501,$J1759+1)&amp;"","Cheque deposit 支票存入 (buyer 买家)"))</f>
        <v/>
      </c>
      <c r="D1759">
        <f>IF($J1759="","",IF($J1759&lt;=1500,INDEX('Daily Sale entry '!$AA$1:$AA$1501,$J1759+1)&amp;"",INDEX('Daily Sale entry '!$P$1:$P$1501,$J1759-1499)&amp;""))</f>
        <v/>
      </c>
      <c r="E1759">
        <f>IF($J1759="","",IF($J1759&lt;=1500,IF(N(INDEX('Daily Sale entry '!$AB$1:$AB$1501,$J1759+1))=0,"",INDEX('Daily Sale entry '!$AB$1:$AB$1501,$J1759+1)),1))</f>
        <v/>
      </c>
      <c r="F1759" s="6">
        <f>IF($J1759="","",IF($J1759&lt;=1500,N(INDEX('Daily Sale entry '!$AC$1:$AC$1501,$J1759+1))-IF(AND('Opening Balance'!$B$15=1,INDEX('Daily Sale entry '!$Z$1:$Z$1501,$J1759+1)="Online collection 网上收款",INDEX('Daily Sale entry '!$AA$1:$AA$1501,$J1759+1)&lt;&gt;""),N(INDEX('Daily Sale entry '!$AC$1:$AC$1501,$J1759+1))-TRUNC(N(INDEX('Daily Sale entry '!$AC$1:$AC$1501,$J1759+1))),0),N(INDEX('Daily Sale entry '!$S$1:$S$1501,$J1759-1499))-'Opening Balance'!$B$15*(N(INDEX('Daily Sale entry '!$S$1:$S$1501,$J1759-1499))-TRUNC(N(INDEX('Daily Sale entry '!$S$1:$S$1501,$J1759-1499))))))</f>
        <v/>
      </c>
      <c r="G1759" s="6">
        <f>IF($J1759="","",IF($J1759&lt;=1500,N(INDEX('Daily Sale entry '!$AD$1:$AD$1501,$J1759+1)),0))</f>
        <v/>
      </c>
      <c r="H1759" s="6">
        <f>IF($J1759="","",ROUND('Opening Balance'!$B$4+SUM($F$2:F1759)-SUM($G$2:G1759),2))</f>
        <v/>
      </c>
      <c r="J1759" s="21">
        <f>IFERROR(MATCH(ROW()-1,$L$2:$L$3001,0),"")</f>
        <v/>
      </c>
      <c r="K1759" s="34">
        <f>IF(AND('Daily Sale entry '!Q259="Collection 收款",'Daily Sale entry '!R259="Cheque 支票",'Daily Sale entry '!V259&lt;&gt;""),'Daily Sale entry '!V259+ROW()/10000000,"")</f>
        <v/>
      </c>
      <c r="L1759" s="21">
        <f>IF(K1759="","",COUNTIF($K$2:$K$3001,"&lt;"&amp;K1759)+1)</f>
        <v/>
      </c>
    </row>
    <row r="1760">
      <c r="A1760" s="5">
        <f>IF($J1760="","",IF($J1760&lt;=1500,INDEX('Daily Sale entry '!$X$1:$X$1501,$J1760+1),INDEX('Daily Sale entry '!$V$1:$V$1501,$J1760-1499)))</f>
        <v/>
      </c>
      <c r="B1760">
        <f>IF($J1760="","",IF($J1760&lt;=1500,INDEX('Daily Sale entry '!$Y$1:$Y$1501,$J1760+1)&amp;"","Buyer cheque banked 买家支票存入"&amp;IF(INDEX('Daily Sale entry '!$U$1:$U$1501,$J1760-1499)="","", " - "&amp;INDEX('Daily Sale entry '!$U$1:$U$1501,$J1760-1499))))</f>
        <v/>
      </c>
      <c r="C1760">
        <f>IF($J1760="","",IF($J1760&lt;=1500,INDEX('Daily Sale entry '!$Z$1:$Z$1501,$J1760+1)&amp;"","Cheque deposit 支票存入 (buyer 买家)"))</f>
        <v/>
      </c>
      <c r="D1760">
        <f>IF($J1760="","",IF($J1760&lt;=1500,INDEX('Daily Sale entry '!$AA$1:$AA$1501,$J1760+1)&amp;"",INDEX('Daily Sale entry '!$P$1:$P$1501,$J1760-1499)&amp;""))</f>
        <v/>
      </c>
      <c r="E1760">
        <f>IF($J1760="","",IF($J1760&lt;=1500,IF(N(INDEX('Daily Sale entry '!$AB$1:$AB$1501,$J1760+1))=0,"",INDEX('Daily Sale entry '!$AB$1:$AB$1501,$J1760+1)),1))</f>
        <v/>
      </c>
      <c r="F1760" s="6">
        <f>IF($J1760="","",IF($J1760&lt;=1500,N(INDEX('Daily Sale entry '!$AC$1:$AC$1501,$J1760+1))-IF(AND('Opening Balance'!$B$15=1,INDEX('Daily Sale entry '!$Z$1:$Z$1501,$J1760+1)="Online collection 网上收款",INDEX('Daily Sale entry '!$AA$1:$AA$1501,$J1760+1)&lt;&gt;""),N(INDEX('Daily Sale entry '!$AC$1:$AC$1501,$J1760+1))-TRUNC(N(INDEX('Daily Sale entry '!$AC$1:$AC$1501,$J1760+1))),0),N(INDEX('Daily Sale entry '!$S$1:$S$1501,$J1760-1499))-'Opening Balance'!$B$15*(N(INDEX('Daily Sale entry '!$S$1:$S$1501,$J1760-1499))-TRUNC(N(INDEX('Daily Sale entry '!$S$1:$S$1501,$J1760-1499))))))</f>
        <v/>
      </c>
      <c r="G1760" s="6">
        <f>IF($J1760="","",IF($J1760&lt;=1500,N(INDEX('Daily Sale entry '!$AD$1:$AD$1501,$J1760+1)),0))</f>
        <v/>
      </c>
      <c r="H1760" s="6">
        <f>IF($J1760="","",ROUND('Opening Balance'!$B$4+SUM($F$2:F1760)-SUM($G$2:G1760),2))</f>
        <v/>
      </c>
      <c r="J1760" s="21">
        <f>IFERROR(MATCH(ROW()-1,$L$2:$L$3001,0),"")</f>
        <v/>
      </c>
      <c r="K1760" s="34">
        <f>IF(AND('Daily Sale entry '!Q260="Collection 收款",'Daily Sale entry '!R260="Cheque 支票",'Daily Sale entry '!V260&lt;&gt;""),'Daily Sale entry '!V260+ROW()/10000000,"")</f>
        <v/>
      </c>
      <c r="L1760" s="21">
        <f>IF(K1760="","",COUNTIF($K$2:$K$3001,"&lt;"&amp;K1760)+1)</f>
        <v/>
      </c>
    </row>
    <row r="1761">
      <c r="A1761" s="5">
        <f>IF($J1761="","",IF($J1761&lt;=1500,INDEX('Daily Sale entry '!$X$1:$X$1501,$J1761+1),INDEX('Daily Sale entry '!$V$1:$V$1501,$J1761-1499)))</f>
        <v/>
      </c>
      <c r="B1761">
        <f>IF($J1761="","",IF($J1761&lt;=1500,INDEX('Daily Sale entry '!$Y$1:$Y$1501,$J1761+1)&amp;"","Buyer cheque banked 买家支票存入"&amp;IF(INDEX('Daily Sale entry '!$U$1:$U$1501,$J1761-1499)="","", " - "&amp;INDEX('Daily Sale entry '!$U$1:$U$1501,$J1761-1499))))</f>
        <v/>
      </c>
      <c r="C1761">
        <f>IF($J1761="","",IF($J1761&lt;=1500,INDEX('Daily Sale entry '!$Z$1:$Z$1501,$J1761+1)&amp;"","Cheque deposit 支票存入 (buyer 买家)"))</f>
        <v/>
      </c>
      <c r="D1761">
        <f>IF($J1761="","",IF($J1761&lt;=1500,INDEX('Daily Sale entry '!$AA$1:$AA$1501,$J1761+1)&amp;"",INDEX('Daily Sale entry '!$P$1:$P$1501,$J1761-1499)&amp;""))</f>
        <v/>
      </c>
      <c r="E1761">
        <f>IF($J1761="","",IF($J1761&lt;=1500,IF(N(INDEX('Daily Sale entry '!$AB$1:$AB$1501,$J1761+1))=0,"",INDEX('Daily Sale entry '!$AB$1:$AB$1501,$J1761+1)),1))</f>
        <v/>
      </c>
      <c r="F1761" s="6">
        <f>IF($J1761="","",IF($J1761&lt;=1500,N(INDEX('Daily Sale entry '!$AC$1:$AC$1501,$J1761+1))-IF(AND('Opening Balance'!$B$15=1,INDEX('Daily Sale entry '!$Z$1:$Z$1501,$J1761+1)="Online collection 网上收款",INDEX('Daily Sale entry '!$AA$1:$AA$1501,$J1761+1)&lt;&gt;""),N(INDEX('Daily Sale entry '!$AC$1:$AC$1501,$J1761+1))-TRUNC(N(INDEX('Daily Sale entry '!$AC$1:$AC$1501,$J1761+1))),0),N(INDEX('Daily Sale entry '!$S$1:$S$1501,$J1761-1499))-'Opening Balance'!$B$15*(N(INDEX('Daily Sale entry '!$S$1:$S$1501,$J1761-1499))-TRUNC(N(INDEX('Daily Sale entry '!$S$1:$S$1501,$J1761-1499))))))</f>
        <v/>
      </c>
      <c r="G1761" s="6">
        <f>IF($J1761="","",IF($J1761&lt;=1500,N(INDEX('Daily Sale entry '!$AD$1:$AD$1501,$J1761+1)),0))</f>
        <v/>
      </c>
      <c r="H1761" s="6">
        <f>IF($J1761="","",ROUND('Opening Balance'!$B$4+SUM($F$2:F1761)-SUM($G$2:G1761),2))</f>
        <v/>
      </c>
      <c r="J1761" s="21">
        <f>IFERROR(MATCH(ROW()-1,$L$2:$L$3001,0),"")</f>
        <v/>
      </c>
      <c r="K1761" s="34">
        <f>IF(AND('Daily Sale entry '!Q261="Collection 收款",'Daily Sale entry '!R261="Cheque 支票",'Daily Sale entry '!V261&lt;&gt;""),'Daily Sale entry '!V261+ROW()/10000000,"")</f>
        <v/>
      </c>
      <c r="L1761" s="21">
        <f>IF(K1761="","",COUNTIF($K$2:$K$3001,"&lt;"&amp;K1761)+1)</f>
        <v/>
      </c>
    </row>
    <row r="1762">
      <c r="A1762" s="5">
        <f>IF($J1762="","",IF($J1762&lt;=1500,INDEX('Daily Sale entry '!$X$1:$X$1501,$J1762+1),INDEX('Daily Sale entry '!$V$1:$V$1501,$J1762-1499)))</f>
        <v/>
      </c>
      <c r="B1762">
        <f>IF($J1762="","",IF($J1762&lt;=1500,INDEX('Daily Sale entry '!$Y$1:$Y$1501,$J1762+1)&amp;"","Buyer cheque banked 买家支票存入"&amp;IF(INDEX('Daily Sale entry '!$U$1:$U$1501,$J1762-1499)="","", " - "&amp;INDEX('Daily Sale entry '!$U$1:$U$1501,$J1762-1499))))</f>
        <v/>
      </c>
      <c r="C1762">
        <f>IF($J1762="","",IF($J1762&lt;=1500,INDEX('Daily Sale entry '!$Z$1:$Z$1501,$J1762+1)&amp;"","Cheque deposit 支票存入 (buyer 买家)"))</f>
        <v/>
      </c>
      <c r="D1762">
        <f>IF($J1762="","",IF($J1762&lt;=1500,INDEX('Daily Sale entry '!$AA$1:$AA$1501,$J1762+1)&amp;"",INDEX('Daily Sale entry '!$P$1:$P$1501,$J1762-1499)&amp;""))</f>
        <v/>
      </c>
      <c r="E1762">
        <f>IF($J1762="","",IF($J1762&lt;=1500,IF(N(INDEX('Daily Sale entry '!$AB$1:$AB$1501,$J1762+1))=0,"",INDEX('Daily Sale entry '!$AB$1:$AB$1501,$J1762+1)),1))</f>
        <v/>
      </c>
      <c r="F1762" s="6">
        <f>IF($J1762="","",IF($J1762&lt;=1500,N(INDEX('Daily Sale entry '!$AC$1:$AC$1501,$J1762+1))-IF(AND('Opening Balance'!$B$15=1,INDEX('Daily Sale entry '!$Z$1:$Z$1501,$J1762+1)="Online collection 网上收款",INDEX('Daily Sale entry '!$AA$1:$AA$1501,$J1762+1)&lt;&gt;""),N(INDEX('Daily Sale entry '!$AC$1:$AC$1501,$J1762+1))-TRUNC(N(INDEX('Daily Sale entry '!$AC$1:$AC$1501,$J1762+1))),0),N(INDEX('Daily Sale entry '!$S$1:$S$1501,$J1762-1499))-'Opening Balance'!$B$15*(N(INDEX('Daily Sale entry '!$S$1:$S$1501,$J1762-1499))-TRUNC(N(INDEX('Daily Sale entry '!$S$1:$S$1501,$J1762-1499))))))</f>
        <v/>
      </c>
      <c r="G1762" s="6">
        <f>IF($J1762="","",IF($J1762&lt;=1500,N(INDEX('Daily Sale entry '!$AD$1:$AD$1501,$J1762+1)),0))</f>
        <v/>
      </c>
      <c r="H1762" s="6">
        <f>IF($J1762="","",ROUND('Opening Balance'!$B$4+SUM($F$2:F1762)-SUM($G$2:G1762),2))</f>
        <v/>
      </c>
      <c r="J1762" s="21">
        <f>IFERROR(MATCH(ROW()-1,$L$2:$L$3001,0),"")</f>
        <v/>
      </c>
      <c r="K1762" s="34">
        <f>IF(AND('Daily Sale entry '!Q262="Collection 收款",'Daily Sale entry '!R262="Cheque 支票",'Daily Sale entry '!V262&lt;&gt;""),'Daily Sale entry '!V262+ROW()/10000000,"")</f>
        <v/>
      </c>
      <c r="L1762" s="21">
        <f>IF(K1762="","",COUNTIF($K$2:$K$3001,"&lt;"&amp;K1762)+1)</f>
        <v/>
      </c>
    </row>
    <row r="1763">
      <c r="A1763" s="5">
        <f>IF($J1763="","",IF($J1763&lt;=1500,INDEX('Daily Sale entry '!$X$1:$X$1501,$J1763+1),INDEX('Daily Sale entry '!$V$1:$V$1501,$J1763-1499)))</f>
        <v/>
      </c>
      <c r="B1763">
        <f>IF($J1763="","",IF($J1763&lt;=1500,INDEX('Daily Sale entry '!$Y$1:$Y$1501,$J1763+1)&amp;"","Buyer cheque banked 买家支票存入"&amp;IF(INDEX('Daily Sale entry '!$U$1:$U$1501,$J1763-1499)="","", " - "&amp;INDEX('Daily Sale entry '!$U$1:$U$1501,$J1763-1499))))</f>
        <v/>
      </c>
      <c r="C1763">
        <f>IF($J1763="","",IF($J1763&lt;=1500,INDEX('Daily Sale entry '!$Z$1:$Z$1501,$J1763+1)&amp;"","Cheque deposit 支票存入 (buyer 买家)"))</f>
        <v/>
      </c>
      <c r="D1763">
        <f>IF($J1763="","",IF($J1763&lt;=1500,INDEX('Daily Sale entry '!$AA$1:$AA$1501,$J1763+1)&amp;"",INDEX('Daily Sale entry '!$P$1:$P$1501,$J1763-1499)&amp;""))</f>
        <v/>
      </c>
      <c r="E1763">
        <f>IF($J1763="","",IF($J1763&lt;=1500,IF(N(INDEX('Daily Sale entry '!$AB$1:$AB$1501,$J1763+1))=0,"",INDEX('Daily Sale entry '!$AB$1:$AB$1501,$J1763+1)),1))</f>
        <v/>
      </c>
      <c r="F1763" s="6">
        <f>IF($J1763="","",IF($J1763&lt;=1500,N(INDEX('Daily Sale entry '!$AC$1:$AC$1501,$J1763+1))-IF(AND('Opening Balance'!$B$15=1,INDEX('Daily Sale entry '!$Z$1:$Z$1501,$J1763+1)="Online collection 网上收款",INDEX('Daily Sale entry '!$AA$1:$AA$1501,$J1763+1)&lt;&gt;""),N(INDEX('Daily Sale entry '!$AC$1:$AC$1501,$J1763+1))-TRUNC(N(INDEX('Daily Sale entry '!$AC$1:$AC$1501,$J1763+1))),0),N(INDEX('Daily Sale entry '!$S$1:$S$1501,$J1763-1499))-'Opening Balance'!$B$15*(N(INDEX('Daily Sale entry '!$S$1:$S$1501,$J1763-1499))-TRUNC(N(INDEX('Daily Sale entry '!$S$1:$S$1501,$J1763-1499))))))</f>
        <v/>
      </c>
      <c r="G1763" s="6">
        <f>IF($J1763="","",IF($J1763&lt;=1500,N(INDEX('Daily Sale entry '!$AD$1:$AD$1501,$J1763+1)),0))</f>
        <v/>
      </c>
      <c r="H1763" s="6">
        <f>IF($J1763="","",ROUND('Opening Balance'!$B$4+SUM($F$2:F1763)-SUM($G$2:G1763),2))</f>
        <v/>
      </c>
      <c r="J1763" s="21">
        <f>IFERROR(MATCH(ROW()-1,$L$2:$L$3001,0),"")</f>
        <v/>
      </c>
      <c r="K1763" s="34">
        <f>IF(AND('Daily Sale entry '!Q263="Collection 收款",'Daily Sale entry '!R263="Cheque 支票",'Daily Sale entry '!V263&lt;&gt;""),'Daily Sale entry '!V263+ROW()/10000000,"")</f>
        <v/>
      </c>
      <c r="L1763" s="21">
        <f>IF(K1763="","",COUNTIF($K$2:$K$3001,"&lt;"&amp;K1763)+1)</f>
        <v/>
      </c>
    </row>
    <row r="1764">
      <c r="A1764" s="5">
        <f>IF($J1764="","",IF($J1764&lt;=1500,INDEX('Daily Sale entry '!$X$1:$X$1501,$J1764+1),INDEX('Daily Sale entry '!$V$1:$V$1501,$J1764-1499)))</f>
        <v/>
      </c>
      <c r="B1764">
        <f>IF($J1764="","",IF($J1764&lt;=1500,INDEX('Daily Sale entry '!$Y$1:$Y$1501,$J1764+1)&amp;"","Buyer cheque banked 买家支票存入"&amp;IF(INDEX('Daily Sale entry '!$U$1:$U$1501,$J1764-1499)="","", " - "&amp;INDEX('Daily Sale entry '!$U$1:$U$1501,$J1764-1499))))</f>
        <v/>
      </c>
      <c r="C1764">
        <f>IF($J1764="","",IF($J1764&lt;=1500,INDEX('Daily Sale entry '!$Z$1:$Z$1501,$J1764+1)&amp;"","Cheque deposit 支票存入 (buyer 买家)"))</f>
        <v/>
      </c>
      <c r="D1764">
        <f>IF($J1764="","",IF($J1764&lt;=1500,INDEX('Daily Sale entry '!$AA$1:$AA$1501,$J1764+1)&amp;"",INDEX('Daily Sale entry '!$P$1:$P$1501,$J1764-1499)&amp;""))</f>
        <v/>
      </c>
      <c r="E1764">
        <f>IF($J1764="","",IF($J1764&lt;=1500,IF(N(INDEX('Daily Sale entry '!$AB$1:$AB$1501,$J1764+1))=0,"",INDEX('Daily Sale entry '!$AB$1:$AB$1501,$J1764+1)),1))</f>
        <v/>
      </c>
      <c r="F1764" s="6">
        <f>IF($J1764="","",IF($J1764&lt;=1500,N(INDEX('Daily Sale entry '!$AC$1:$AC$1501,$J1764+1))-IF(AND('Opening Balance'!$B$15=1,INDEX('Daily Sale entry '!$Z$1:$Z$1501,$J1764+1)="Online collection 网上收款",INDEX('Daily Sale entry '!$AA$1:$AA$1501,$J1764+1)&lt;&gt;""),N(INDEX('Daily Sale entry '!$AC$1:$AC$1501,$J1764+1))-TRUNC(N(INDEX('Daily Sale entry '!$AC$1:$AC$1501,$J1764+1))),0),N(INDEX('Daily Sale entry '!$S$1:$S$1501,$J1764-1499))-'Opening Balance'!$B$15*(N(INDEX('Daily Sale entry '!$S$1:$S$1501,$J1764-1499))-TRUNC(N(INDEX('Daily Sale entry '!$S$1:$S$1501,$J1764-1499))))))</f>
        <v/>
      </c>
      <c r="G1764" s="6">
        <f>IF($J1764="","",IF($J1764&lt;=1500,N(INDEX('Daily Sale entry '!$AD$1:$AD$1501,$J1764+1)),0))</f>
        <v/>
      </c>
      <c r="H1764" s="6">
        <f>IF($J1764="","",ROUND('Opening Balance'!$B$4+SUM($F$2:F1764)-SUM($G$2:G1764),2))</f>
        <v/>
      </c>
      <c r="J1764" s="21">
        <f>IFERROR(MATCH(ROW()-1,$L$2:$L$3001,0),"")</f>
        <v/>
      </c>
      <c r="K1764" s="34">
        <f>IF(AND('Daily Sale entry '!Q264="Collection 收款",'Daily Sale entry '!R264="Cheque 支票",'Daily Sale entry '!V264&lt;&gt;""),'Daily Sale entry '!V264+ROW()/10000000,"")</f>
        <v/>
      </c>
      <c r="L1764" s="21">
        <f>IF(K1764="","",COUNTIF($K$2:$K$3001,"&lt;"&amp;K1764)+1)</f>
        <v/>
      </c>
    </row>
    <row r="1765">
      <c r="A1765" s="5">
        <f>IF($J1765="","",IF($J1765&lt;=1500,INDEX('Daily Sale entry '!$X$1:$X$1501,$J1765+1),INDEX('Daily Sale entry '!$V$1:$V$1501,$J1765-1499)))</f>
        <v/>
      </c>
      <c r="B1765">
        <f>IF($J1765="","",IF($J1765&lt;=1500,INDEX('Daily Sale entry '!$Y$1:$Y$1501,$J1765+1)&amp;"","Buyer cheque banked 买家支票存入"&amp;IF(INDEX('Daily Sale entry '!$U$1:$U$1501,$J1765-1499)="","", " - "&amp;INDEX('Daily Sale entry '!$U$1:$U$1501,$J1765-1499))))</f>
        <v/>
      </c>
      <c r="C1765">
        <f>IF($J1765="","",IF($J1765&lt;=1500,INDEX('Daily Sale entry '!$Z$1:$Z$1501,$J1765+1)&amp;"","Cheque deposit 支票存入 (buyer 买家)"))</f>
        <v/>
      </c>
      <c r="D1765">
        <f>IF($J1765="","",IF($J1765&lt;=1500,INDEX('Daily Sale entry '!$AA$1:$AA$1501,$J1765+1)&amp;"",INDEX('Daily Sale entry '!$P$1:$P$1501,$J1765-1499)&amp;""))</f>
        <v/>
      </c>
      <c r="E1765">
        <f>IF($J1765="","",IF($J1765&lt;=1500,IF(N(INDEX('Daily Sale entry '!$AB$1:$AB$1501,$J1765+1))=0,"",INDEX('Daily Sale entry '!$AB$1:$AB$1501,$J1765+1)),1))</f>
        <v/>
      </c>
      <c r="F1765" s="6">
        <f>IF($J1765="","",IF($J1765&lt;=1500,N(INDEX('Daily Sale entry '!$AC$1:$AC$1501,$J1765+1))-IF(AND('Opening Balance'!$B$15=1,INDEX('Daily Sale entry '!$Z$1:$Z$1501,$J1765+1)="Online collection 网上收款",INDEX('Daily Sale entry '!$AA$1:$AA$1501,$J1765+1)&lt;&gt;""),N(INDEX('Daily Sale entry '!$AC$1:$AC$1501,$J1765+1))-TRUNC(N(INDEX('Daily Sale entry '!$AC$1:$AC$1501,$J1765+1))),0),N(INDEX('Daily Sale entry '!$S$1:$S$1501,$J1765-1499))-'Opening Balance'!$B$15*(N(INDEX('Daily Sale entry '!$S$1:$S$1501,$J1765-1499))-TRUNC(N(INDEX('Daily Sale entry '!$S$1:$S$1501,$J1765-1499))))))</f>
        <v/>
      </c>
      <c r="G1765" s="6">
        <f>IF($J1765="","",IF($J1765&lt;=1500,N(INDEX('Daily Sale entry '!$AD$1:$AD$1501,$J1765+1)),0))</f>
        <v/>
      </c>
      <c r="H1765" s="6">
        <f>IF($J1765="","",ROUND('Opening Balance'!$B$4+SUM($F$2:F1765)-SUM($G$2:G1765),2))</f>
        <v/>
      </c>
      <c r="J1765" s="21">
        <f>IFERROR(MATCH(ROW()-1,$L$2:$L$3001,0),"")</f>
        <v/>
      </c>
      <c r="K1765" s="34">
        <f>IF(AND('Daily Sale entry '!Q265="Collection 收款",'Daily Sale entry '!R265="Cheque 支票",'Daily Sale entry '!V265&lt;&gt;""),'Daily Sale entry '!V265+ROW()/10000000,"")</f>
        <v/>
      </c>
      <c r="L1765" s="21">
        <f>IF(K1765="","",COUNTIF($K$2:$K$3001,"&lt;"&amp;K1765)+1)</f>
        <v/>
      </c>
    </row>
    <row r="1766">
      <c r="A1766" s="5">
        <f>IF($J1766="","",IF($J1766&lt;=1500,INDEX('Daily Sale entry '!$X$1:$X$1501,$J1766+1),INDEX('Daily Sale entry '!$V$1:$V$1501,$J1766-1499)))</f>
        <v/>
      </c>
      <c r="B1766">
        <f>IF($J1766="","",IF($J1766&lt;=1500,INDEX('Daily Sale entry '!$Y$1:$Y$1501,$J1766+1)&amp;"","Buyer cheque banked 买家支票存入"&amp;IF(INDEX('Daily Sale entry '!$U$1:$U$1501,$J1766-1499)="","", " - "&amp;INDEX('Daily Sale entry '!$U$1:$U$1501,$J1766-1499))))</f>
        <v/>
      </c>
      <c r="C1766">
        <f>IF($J1766="","",IF($J1766&lt;=1500,INDEX('Daily Sale entry '!$Z$1:$Z$1501,$J1766+1)&amp;"","Cheque deposit 支票存入 (buyer 买家)"))</f>
        <v/>
      </c>
      <c r="D1766">
        <f>IF($J1766="","",IF($J1766&lt;=1500,INDEX('Daily Sale entry '!$AA$1:$AA$1501,$J1766+1)&amp;"",INDEX('Daily Sale entry '!$P$1:$P$1501,$J1766-1499)&amp;""))</f>
        <v/>
      </c>
      <c r="E1766">
        <f>IF($J1766="","",IF($J1766&lt;=1500,IF(N(INDEX('Daily Sale entry '!$AB$1:$AB$1501,$J1766+1))=0,"",INDEX('Daily Sale entry '!$AB$1:$AB$1501,$J1766+1)),1))</f>
        <v/>
      </c>
      <c r="F1766" s="6">
        <f>IF($J1766="","",IF($J1766&lt;=1500,N(INDEX('Daily Sale entry '!$AC$1:$AC$1501,$J1766+1))-IF(AND('Opening Balance'!$B$15=1,INDEX('Daily Sale entry '!$Z$1:$Z$1501,$J1766+1)="Online collection 网上收款",INDEX('Daily Sale entry '!$AA$1:$AA$1501,$J1766+1)&lt;&gt;""),N(INDEX('Daily Sale entry '!$AC$1:$AC$1501,$J1766+1))-TRUNC(N(INDEX('Daily Sale entry '!$AC$1:$AC$1501,$J1766+1))),0),N(INDEX('Daily Sale entry '!$S$1:$S$1501,$J1766-1499))-'Opening Balance'!$B$15*(N(INDEX('Daily Sale entry '!$S$1:$S$1501,$J1766-1499))-TRUNC(N(INDEX('Daily Sale entry '!$S$1:$S$1501,$J1766-1499))))))</f>
        <v/>
      </c>
      <c r="G1766" s="6">
        <f>IF($J1766="","",IF($J1766&lt;=1500,N(INDEX('Daily Sale entry '!$AD$1:$AD$1501,$J1766+1)),0))</f>
        <v/>
      </c>
      <c r="H1766" s="6">
        <f>IF($J1766="","",ROUND('Opening Balance'!$B$4+SUM($F$2:F1766)-SUM($G$2:G1766),2))</f>
        <v/>
      </c>
      <c r="J1766" s="21">
        <f>IFERROR(MATCH(ROW()-1,$L$2:$L$3001,0),"")</f>
        <v/>
      </c>
      <c r="K1766" s="34">
        <f>IF(AND('Daily Sale entry '!Q266="Collection 收款",'Daily Sale entry '!R266="Cheque 支票",'Daily Sale entry '!V266&lt;&gt;""),'Daily Sale entry '!V266+ROW()/10000000,"")</f>
        <v/>
      </c>
      <c r="L1766" s="21">
        <f>IF(K1766="","",COUNTIF($K$2:$K$3001,"&lt;"&amp;K1766)+1)</f>
        <v/>
      </c>
    </row>
    <row r="1767">
      <c r="A1767" s="5">
        <f>IF($J1767="","",IF($J1767&lt;=1500,INDEX('Daily Sale entry '!$X$1:$X$1501,$J1767+1),INDEX('Daily Sale entry '!$V$1:$V$1501,$J1767-1499)))</f>
        <v/>
      </c>
      <c r="B1767">
        <f>IF($J1767="","",IF($J1767&lt;=1500,INDEX('Daily Sale entry '!$Y$1:$Y$1501,$J1767+1)&amp;"","Buyer cheque banked 买家支票存入"&amp;IF(INDEX('Daily Sale entry '!$U$1:$U$1501,$J1767-1499)="","", " - "&amp;INDEX('Daily Sale entry '!$U$1:$U$1501,$J1767-1499))))</f>
        <v/>
      </c>
      <c r="C1767">
        <f>IF($J1767="","",IF($J1767&lt;=1500,INDEX('Daily Sale entry '!$Z$1:$Z$1501,$J1767+1)&amp;"","Cheque deposit 支票存入 (buyer 买家)"))</f>
        <v/>
      </c>
      <c r="D1767">
        <f>IF($J1767="","",IF($J1767&lt;=1500,INDEX('Daily Sale entry '!$AA$1:$AA$1501,$J1767+1)&amp;"",INDEX('Daily Sale entry '!$P$1:$P$1501,$J1767-1499)&amp;""))</f>
        <v/>
      </c>
      <c r="E1767">
        <f>IF($J1767="","",IF($J1767&lt;=1500,IF(N(INDEX('Daily Sale entry '!$AB$1:$AB$1501,$J1767+1))=0,"",INDEX('Daily Sale entry '!$AB$1:$AB$1501,$J1767+1)),1))</f>
        <v/>
      </c>
      <c r="F1767" s="6">
        <f>IF($J1767="","",IF($J1767&lt;=1500,N(INDEX('Daily Sale entry '!$AC$1:$AC$1501,$J1767+1))-IF(AND('Opening Balance'!$B$15=1,INDEX('Daily Sale entry '!$Z$1:$Z$1501,$J1767+1)="Online collection 网上收款",INDEX('Daily Sale entry '!$AA$1:$AA$1501,$J1767+1)&lt;&gt;""),N(INDEX('Daily Sale entry '!$AC$1:$AC$1501,$J1767+1))-TRUNC(N(INDEX('Daily Sale entry '!$AC$1:$AC$1501,$J1767+1))),0),N(INDEX('Daily Sale entry '!$S$1:$S$1501,$J1767-1499))-'Opening Balance'!$B$15*(N(INDEX('Daily Sale entry '!$S$1:$S$1501,$J1767-1499))-TRUNC(N(INDEX('Daily Sale entry '!$S$1:$S$1501,$J1767-1499))))))</f>
        <v/>
      </c>
      <c r="G1767" s="6">
        <f>IF($J1767="","",IF($J1767&lt;=1500,N(INDEX('Daily Sale entry '!$AD$1:$AD$1501,$J1767+1)),0))</f>
        <v/>
      </c>
      <c r="H1767" s="6">
        <f>IF($J1767="","",ROUND('Opening Balance'!$B$4+SUM($F$2:F1767)-SUM($G$2:G1767),2))</f>
        <v/>
      </c>
      <c r="J1767" s="21">
        <f>IFERROR(MATCH(ROW()-1,$L$2:$L$3001,0),"")</f>
        <v/>
      </c>
      <c r="K1767" s="34">
        <f>IF(AND('Daily Sale entry '!Q267="Collection 收款",'Daily Sale entry '!R267="Cheque 支票",'Daily Sale entry '!V267&lt;&gt;""),'Daily Sale entry '!V267+ROW()/10000000,"")</f>
        <v/>
      </c>
      <c r="L1767" s="21">
        <f>IF(K1767="","",COUNTIF($K$2:$K$3001,"&lt;"&amp;K1767)+1)</f>
        <v/>
      </c>
    </row>
    <row r="1768">
      <c r="A1768" s="5">
        <f>IF($J1768="","",IF($J1768&lt;=1500,INDEX('Daily Sale entry '!$X$1:$X$1501,$J1768+1),INDEX('Daily Sale entry '!$V$1:$V$1501,$J1768-1499)))</f>
        <v/>
      </c>
      <c r="B1768">
        <f>IF($J1768="","",IF($J1768&lt;=1500,INDEX('Daily Sale entry '!$Y$1:$Y$1501,$J1768+1)&amp;"","Buyer cheque banked 买家支票存入"&amp;IF(INDEX('Daily Sale entry '!$U$1:$U$1501,$J1768-1499)="","", " - "&amp;INDEX('Daily Sale entry '!$U$1:$U$1501,$J1768-1499))))</f>
        <v/>
      </c>
      <c r="C1768">
        <f>IF($J1768="","",IF($J1768&lt;=1500,INDEX('Daily Sale entry '!$Z$1:$Z$1501,$J1768+1)&amp;"","Cheque deposit 支票存入 (buyer 买家)"))</f>
        <v/>
      </c>
      <c r="D1768">
        <f>IF($J1768="","",IF($J1768&lt;=1500,INDEX('Daily Sale entry '!$AA$1:$AA$1501,$J1768+1)&amp;"",INDEX('Daily Sale entry '!$P$1:$P$1501,$J1768-1499)&amp;""))</f>
        <v/>
      </c>
      <c r="E1768">
        <f>IF($J1768="","",IF($J1768&lt;=1500,IF(N(INDEX('Daily Sale entry '!$AB$1:$AB$1501,$J1768+1))=0,"",INDEX('Daily Sale entry '!$AB$1:$AB$1501,$J1768+1)),1))</f>
        <v/>
      </c>
      <c r="F1768" s="6">
        <f>IF($J1768="","",IF($J1768&lt;=1500,N(INDEX('Daily Sale entry '!$AC$1:$AC$1501,$J1768+1))-IF(AND('Opening Balance'!$B$15=1,INDEX('Daily Sale entry '!$Z$1:$Z$1501,$J1768+1)="Online collection 网上收款",INDEX('Daily Sale entry '!$AA$1:$AA$1501,$J1768+1)&lt;&gt;""),N(INDEX('Daily Sale entry '!$AC$1:$AC$1501,$J1768+1))-TRUNC(N(INDEX('Daily Sale entry '!$AC$1:$AC$1501,$J1768+1))),0),N(INDEX('Daily Sale entry '!$S$1:$S$1501,$J1768-1499))-'Opening Balance'!$B$15*(N(INDEX('Daily Sale entry '!$S$1:$S$1501,$J1768-1499))-TRUNC(N(INDEX('Daily Sale entry '!$S$1:$S$1501,$J1768-1499))))))</f>
        <v/>
      </c>
      <c r="G1768" s="6">
        <f>IF($J1768="","",IF($J1768&lt;=1500,N(INDEX('Daily Sale entry '!$AD$1:$AD$1501,$J1768+1)),0))</f>
        <v/>
      </c>
      <c r="H1768" s="6">
        <f>IF($J1768="","",ROUND('Opening Balance'!$B$4+SUM($F$2:F1768)-SUM($G$2:G1768),2))</f>
        <v/>
      </c>
      <c r="J1768" s="21">
        <f>IFERROR(MATCH(ROW()-1,$L$2:$L$3001,0),"")</f>
        <v/>
      </c>
      <c r="K1768" s="34">
        <f>IF(AND('Daily Sale entry '!Q268="Collection 收款",'Daily Sale entry '!R268="Cheque 支票",'Daily Sale entry '!V268&lt;&gt;""),'Daily Sale entry '!V268+ROW()/10000000,"")</f>
        <v/>
      </c>
      <c r="L1768" s="21">
        <f>IF(K1768="","",COUNTIF($K$2:$K$3001,"&lt;"&amp;K1768)+1)</f>
        <v/>
      </c>
    </row>
    <row r="1769">
      <c r="A1769" s="5">
        <f>IF($J1769="","",IF($J1769&lt;=1500,INDEX('Daily Sale entry '!$X$1:$X$1501,$J1769+1),INDEX('Daily Sale entry '!$V$1:$V$1501,$J1769-1499)))</f>
        <v/>
      </c>
      <c r="B1769">
        <f>IF($J1769="","",IF($J1769&lt;=1500,INDEX('Daily Sale entry '!$Y$1:$Y$1501,$J1769+1)&amp;"","Buyer cheque banked 买家支票存入"&amp;IF(INDEX('Daily Sale entry '!$U$1:$U$1501,$J1769-1499)="","", " - "&amp;INDEX('Daily Sale entry '!$U$1:$U$1501,$J1769-1499))))</f>
        <v/>
      </c>
      <c r="C1769">
        <f>IF($J1769="","",IF($J1769&lt;=1500,INDEX('Daily Sale entry '!$Z$1:$Z$1501,$J1769+1)&amp;"","Cheque deposit 支票存入 (buyer 买家)"))</f>
        <v/>
      </c>
      <c r="D1769">
        <f>IF($J1769="","",IF($J1769&lt;=1500,INDEX('Daily Sale entry '!$AA$1:$AA$1501,$J1769+1)&amp;"",INDEX('Daily Sale entry '!$P$1:$P$1501,$J1769-1499)&amp;""))</f>
        <v/>
      </c>
      <c r="E1769">
        <f>IF($J1769="","",IF($J1769&lt;=1500,IF(N(INDEX('Daily Sale entry '!$AB$1:$AB$1501,$J1769+1))=0,"",INDEX('Daily Sale entry '!$AB$1:$AB$1501,$J1769+1)),1))</f>
        <v/>
      </c>
      <c r="F1769" s="6">
        <f>IF($J1769="","",IF($J1769&lt;=1500,N(INDEX('Daily Sale entry '!$AC$1:$AC$1501,$J1769+1))-IF(AND('Opening Balance'!$B$15=1,INDEX('Daily Sale entry '!$Z$1:$Z$1501,$J1769+1)="Online collection 网上收款",INDEX('Daily Sale entry '!$AA$1:$AA$1501,$J1769+1)&lt;&gt;""),N(INDEX('Daily Sale entry '!$AC$1:$AC$1501,$J1769+1))-TRUNC(N(INDEX('Daily Sale entry '!$AC$1:$AC$1501,$J1769+1))),0),N(INDEX('Daily Sale entry '!$S$1:$S$1501,$J1769-1499))-'Opening Balance'!$B$15*(N(INDEX('Daily Sale entry '!$S$1:$S$1501,$J1769-1499))-TRUNC(N(INDEX('Daily Sale entry '!$S$1:$S$1501,$J1769-1499))))))</f>
        <v/>
      </c>
      <c r="G1769" s="6">
        <f>IF($J1769="","",IF($J1769&lt;=1500,N(INDEX('Daily Sale entry '!$AD$1:$AD$1501,$J1769+1)),0))</f>
        <v/>
      </c>
      <c r="H1769" s="6">
        <f>IF($J1769="","",ROUND('Opening Balance'!$B$4+SUM($F$2:F1769)-SUM($G$2:G1769),2))</f>
        <v/>
      </c>
      <c r="J1769" s="21">
        <f>IFERROR(MATCH(ROW()-1,$L$2:$L$3001,0),"")</f>
        <v/>
      </c>
      <c r="K1769" s="34">
        <f>IF(AND('Daily Sale entry '!Q269="Collection 收款",'Daily Sale entry '!R269="Cheque 支票",'Daily Sale entry '!V269&lt;&gt;""),'Daily Sale entry '!V269+ROW()/10000000,"")</f>
        <v/>
      </c>
      <c r="L1769" s="21">
        <f>IF(K1769="","",COUNTIF($K$2:$K$3001,"&lt;"&amp;K1769)+1)</f>
        <v/>
      </c>
    </row>
    <row r="1770">
      <c r="A1770" s="5">
        <f>IF($J1770="","",IF($J1770&lt;=1500,INDEX('Daily Sale entry '!$X$1:$X$1501,$J1770+1),INDEX('Daily Sale entry '!$V$1:$V$1501,$J1770-1499)))</f>
        <v/>
      </c>
      <c r="B1770">
        <f>IF($J1770="","",IF($J1770&lt;=1500,INDEX('Daily Sale entry '!$Y$1:$Y$1501,$J1770+1)&amp;"","Buyer cheque banked 买家支票存入"&amp;IF(INDEX('Daily Sale entry '!$U$1:$U$1501,$J1770-1499)="","", " - "&amp;INDEX('Daily Sale entry '!$U$1:$U$1501,$J1770-1499))))</f>
        <v/>
      </c>
      <c r="C1770">
        <f>IF($J1770="","",IF($J1770&lt;=1500,INDEX('Daily Sale entry '!$Z$1:$Z$1501,$J1770+1)&amp;"","Cheque deposit 支票存入 (buyer 买家)"))</f>
        <v/>
      </c>
      <c r="D1770">
        <f>IF($J1770="","",IF($J1770&lt;=1500,INDEX('Daily Sale entry '!$AA$1:$AA$1501,$J1770+1)&amp;"",INDEX('Daily Sale entry '!$P$1:$P$1501,$J1770-1499)&amp;""))</f>
        <v/>
      </c>
      <c r="E1770">
        <f>IF($J1770="","",IF($J1770&lt;=1500,IF(N(INDEX('Daily Sale entry '!$AB$1:$AB$1501,$J1770+1))=0,"",INDEX('Daily Sale entry '!$AB$1:$AB$1501,$J1770+1)),1))</f>
        <v/>
      </c>
      <c r="F1770" s="6">
        <f>IF($J1770="","",IF($J1770&lt;=1500,N(INDEX('Daily Sale entry '!$AC$1:$AC$1501,$J1770+1))-IF(AND('Opening Balance'!$B$15=1,INDEX('Daily Sale entry '!$Z$1:$Z$1501,$J1770+1)="Online collection 网上收款",INDEX('Daily Sale entry '!$AA$1:$AA$1501,$J1770+1)&lt;&gt;""),N(INDEX('Daily Sale entry '!$AC$1:$AC$1501,$J1770+1))-TRUNC(N(INDEX('Daily Sale entry '!$AC$1:$AC$1501,$J1770+1))),0),N(INDEX('Daily Sale entry '!$S$1:$S$1501,$J1770-1499))-'Opening Balance'!$B$15*(N(INDEX('Daily Sale entry '!$S$1:$S$1501,$J1770-1499))-TRUNC(N(INDEX('Daily Sale entry '!$S$1:$S$1501,$J1770-1499))))))</f>
        <v/>
      </c>
      <c r="G1770" s="6">
        <f>IF($J1770="","",IF($J1770&lt;=1500,N(INDEX('Daily Sale entry '!$AD$1:$AD$1501,$J1770+1)),0))</f>
        <v/>
      </c>
      <c r="H1770" s="6">
        <f>IF($J1770="","",ROUND('Opening Balance'!$B$4+SUM($F$2:F1770)-SUM($G$2:G1770),2))</f>
        <v/>
      </c>
      <c r="J1770" s="21">
        <f>IFERROR(MATCH(ROW()-1,$L$2:$L$3001,0),"")</f>
        <v/>
      </c>
      <c r="K1770" s="34">
        <f>IF(AND('Daily Sale entry '!Q270="Collection 收款",'Daily Sale entry '!R270="Cheque 支票",'Daily Sale entry '!V270&lt;&gt;""),'Daily Sale entry '!V270+ROW()/10000000,"")</f>
        <v/>
      </c>
      <c r="L1770" s="21">
        <f>IF(K1770="","",COUNTIF($K$2:$K$3001,"&lt;"&amp;K1770)+1)</f>
        <v/>
      </c>
    </row>
    <row r="1771">
      <c r="A1771" s="5">
        <f>IF($J1771="","",IF($J1771&lt;=1500,INDEX('Daily Sale entry '!$X$1:$X$1501,$J1771+1),INDEX('Daily Sale entry '!$V$1:$V$1501,$J1771-1499)))</f>
        <v/>
      </c>
      <c r="B1771">
        <f>IF($J1771="","",IF($J1771&lt;=1500,INDEX('Daily Sale entry '!$Y$1:$Y$1501,$J1771+1)&amp;"","Buyer cheque banked 买家支票存入"&amp;IF(INDEX('Daily Sale entry '!$U$1:$U$1501,$J1771-1499)="","", " - "&amp;INDEX('Daily Sale entry '!$U$1:$U$1501,$J1771-1499))))</f>
        <v/>
      </c>
      <c r="C1771">
        <f>IF($J1771="","",IF($J1771&lt;=1500,INDEX('Daily Sale entry '!$Z$1:$Z$1501,$J1771+1)&amp;"","Cheque deposit 支票存入 (buyer 买家)"))</f>
        <v/>
      </c>
      <c r="D1771">
        <f>IF($J1771="","",IF($J1771&lt;=1500,INDEX('Daily Sale entry '!$AA$1:$AA$1501,$J1771+1)&amp;"",INDEX('Daily Sale entry '!$P$1:$P$1501,$J1771-1499)&amp;""))</f>
        <v/>
      </c>
      <c r="E1771">
        <f>IF($J1771="","",IF($J1771&lt;=1500,IF(N(INDEX('Daily Sale entry '!$AB$1:$AB$1501,$J1771+1))=0,"",INDEX('Daily Sale entry '!$AB$1:$AB$1501,$J1771+1)),1))</f>
        <v/>
      </c>
      <c r="F1771" s="6">
        <f>IF($J1771="","",IF($J1771&lt;=1500,N(INDEX('Daily Sale entry '!$AC$1:$AC$1501,$J1771+1))-IF(AND('Opening Balance'!$B$15=1,INDEX('Daily Sale entry '!$Z$1:$Z$1501,$J1771+1)="Online collection 网上收款",INDEX('Daily Sale entry '!$AA$1:$AA$1501,$J1771+1)&lt;&gt;""),N(INDEX('Daily Sale entry '!$AC$1:$AC$1501,$J1771+1))-TRUNC(N(INDEX('Daily Sale entry '!$AC$1:$AC$1501,$J1771+1))),0),N(INDEX('Daily Sale entry '!$S$1:$S$1501,$J1771-1499))-'Opening Balance'!$B$15*(N(INDEX('Daily Sale entry '!$S$1:$S$1501,$J1771-1499))-TRUNC(N(INDEX('Daily Sale entry '!$S$1:$S$1501,$J1771-1499))))))</f>
        <v/>
      </c>
      <c r="G1771" s="6">
        <f>IF($J1771="","",IF($J1771&lt;=1500,N(INDEX('Daily Sale entry '!$AD$1:$AD$1501,$J1771+1)),0))</f>
        <v/>
      </c>
      <c r="H1771" s="6">
        <f>IF($J1771="","",ROUND('Opening Balance'!$B$4+SUM($F$2:F1771)-SUM($G$2:G1771),2))</f>
        <v/>
      </c>
      <c r="J1771" s="21">
        <f>IFERROR(MATCH(ROW()-1,$L$2:$L$3001,0),"")</f>
        <v/>
      </c>
      <c r="K1771" s="34">
        <f>IF(AND('Daily Sale entry '!Q271="Collection 收款",'Daily Sale entry '!R271="Cheque 支票",'Daily Sale entry '!V271&lt;&gt;""),'Daily Sale entry '!V271+ROW()/10000000,"")</f>
        <v/>
      </c>
      <c r="L1771" s="21">
        <f>IF(K1771="","",COUNTIF($K$2:$K$3001,"&lt;"&amp;K1771)+1)</f>
        <v/>
      </c>
    </row>
    <row r="1772">
      <c r="A1772" s="5">
        <f>IF($J1772="","",IF($J1772&lt;=1500,INDEX('Daily Sale entry '!$X$1:$X$1501,$J1772+1),INDEX('Daily Sale entry '!$V$1:$V$1501,$J1772-1499)))</f>
        <v/>
      </c>
      <c r="B1772">
        <f>IF($J1772="","",IF($J1772&lt;=1500,INDEX('Daily Sale entry '!$Y$1:$Y$1501,$J1772+1)&amp;"","Buyer cheque banked 买家支票存入"&amp;IF(INDEX('Daily Sale entry '!$U$1:$U$1501,$J1772-1499)="","", " - "&amp;INDEX('Daily Sale entry '!$U$1:$U$1501,$J1772-1499))))</f>
        <v/>
      </c>
      <c r="C1772">
        <f>IF($J1772="","",IF($J1772&lt;=1500,INDEX('Daily Sale entry '!$Z$1:$Z$1501,$J1772+1)&amp;"","Cheque deposit 支票存入 (buyer 买家)"))</f>
        <v/>
      </c>
      <c r="D1772">
        <f>IF($J1772="","",IF($J1772&lt;=1500,INDEX('Daily Sale entry '!$AA$1:$AA$1501,$J1772+1)&amp;"",INDEX('Daily Sale entry '!$P$1:$P$1501,$J1772-1499)&amp;""))</f>
        <v/>
      </c>
      <c r="E1772">
        <f>IF($J1772="","",IF($J1772&lt;=1500,IF(N(INDEX('Daily Sale entry '!$AB$1:$AB$1501,$J1772+1))=0,"",INDEX('Daily Sale entry '!$AB$1:$AB$1501,$J1772+1)),1))</f>
        <v/>
      </c>
      <c r="F1772" s="6">
        <f>IF($J1772="","",IF($J1772&lt;=1500,N(INDEX('Daily Sale entry '!$AC$1:$AC$1501,$J1772+1))-IF(AND('Opening Balance'!$B$15=1,INDEX('Daily Sale entry '!$Z$1:$Z$1501,$J1772+1)="Online collection 网上收款",INDEX('Daily Sale entry '!$AA$1:$AA$1501,$J1772+1)&lt;&gt;""),N(INDEX('Daily Sale entry '!$AC$1:$AC$1501,$J1772+1))-TRUNC(N(INDEX('Daily Sale entry '!$AC$1:$AC$1501,$J1772+1))),0),N(INDEX('Daily Sale entry '!$S$1:$S$1501,$J1772-1499))-'Opening Balance'!$B$15*(N(INDEX('Daily Sale entry '!$S$1:$S$1501,$J1772-1499))-TRUNC(N(INDEX('Daily Sale entry '!$S$1:$S$1501,$J1772-1499))))))</f>
        <v/>
      </c>
      <c r="G1772" s="6">
        <f>IF($J1772="","",IF($J1772&lt;=1500,N(INDEX('Daily Sale entry '!$AD$1:$AD$1501,$J1772+1)),0))</f>
        <v/>
      </c>
      <c r="H1772" s="6">
        <f>IF($J1772="","",ROUND('Opening Balance'!$B$4+SUM($F$2:F1772)-SUM($G$2:G1772),2))</f>
        <v/>
      </c>
      <c r="J1772" s="21">
        <f>IFERROR(MATCH(ROW()-1,$L$2:$L$3001,0),"")</f>
        <v/>
      </c>
      <c r="K1772" s="34">
        <f>IF(AND('Daily Sale entry '!Q272="Collection 收款",'Daily Sale entry '!R272="Cheque 支票",'Daily Sale entry '!V272&lt;&gt;""),'Daily Sale entry '!V272+ROW()/10000000,"")</f>
        <v/>
      </c>
      <c r="L1772" s="21">
        <f>IF(K1772="","",COUNTIF($K$2:$K$3001,"&lt;"&amp;K1772)+1)</f>
        <v/>
      </c>
    </row>
    <row r="1773">
      <c r="A1773" s="5">
        <f>IF($J1773="","",IF($J1773&lt;=1500,INDEX('Daily Sale entry '!$X$1:$X$1501,$J1773+1),INDEX('Daily Sale entry '!$V$1:$V$1501,$J1773-1499)))</f>
        <v/>
      </c>
      <c r="B1773">
        <f>IF($J1773="","",IF($J1773&lt;=1500,INDEX('Daily Sale entry '!$Y$1:$Y$1501,$J1773+1)&amp;"","Buyer cheque banked 买家支票存入"&amp;IF(INDEX('Daily Sale entry '!$U$1:$U$1501,$J1773-1499)="","", " - "&amp;INDEX('Daily Sale entry '!$U$1:$U$1501,$J1773-1499))))</f>
        <v/>
      </c>
      <c r="C1773">
        <f>IF($J1773="","",IF($J1773&lt;=1500,INDEX('Daily Sale entry '!$Z$1:$Z$1501,$J1773+1)&amp;"","Cheque deposit 支票存入 (buyer 买家)"))</f>
        <v/>
      </c>
      <c r="D1773">
        <f>IF($J1773="","",IF($J1773&lt;=1500,INDEX('Daily Sale entry '!$AA$1:$AA$1501,$J1773+1)&amp;"",INDEX('Daily Sale entry '!$P$1:$P$1501,$J1773-1499)&amp;""))</f>
        <v/>
      </c>
      <c r="E1773">
        <f>IF($J1773="","",IF($J1773&lt;=1500,IF(N(INDEX('Daily Sale entry '!$AB$1:$AB$1501,$J1773+1))=0,"",INDEX('Daily Sale entry '!$AB$1:$AB$1501,$J1773+1)),1))</f>
        <v/>
      </c>
      <c r="F1773" s="6">
        <f>IF($J1773="","",IF($J1773&lt;=1500,N(INDEX('Daily Sale entry '!$AC$1:$AC$1501,$J1773+1))-IF(AND('Opening Balance'!$B$15=1,INDEX('Daily Sale entry '!$Z$1:$Z$1501,$J1773+1)="Online collection 网上收款",INDEX('Daily Sale entry '!$AA$1:$AA$1501,$J1773+1)&lt;&gt;""),N(INDEX('Daily Sale entry '!$AC$1:$AC$1501,$J1773+1))-TRUNC(N(INDEX('Daily Sale entry '!$AC$1:$AC$1501,$J1773+1))),0),N(INDEX('Daily Sale entry '!$S$1:$S$1501,$J1773-1499))-'Opening Balance'!$B$15*(N(INDEX('Daily Sale entry '!$S$1:$S$1501,$J1773-1499))-TRUNC(N(INDEX('Daily Sale entry '!$S$1:$S$1501,$J1773-1499))))))</f>
        <v/>
      </c>
      <c r="G1773" s="6">
        <f>IF($J1773="","",IF($J1773&lt;=1500,N(INDEX('Daily Sale entry '!$AD$1:$AD$1501,$J1773+1)),0))</f>
        <v/>
      </c>
      <c r="H1773" s="6">
        <f>IF($J1773="","",ROUND('Opening Balance'!$B$4+SUM($F$2:F1773)-SUM($G$2:G1773),2))</f>
        <v/>
      </c>
      <c r="J1773" s="21">
        <f>IFERROR(MATCH(ROW()-1,$L$2:$L$3001,0),"")</f>
        <v/>
      </c>
      <c r="K1773" s="34">
        <f>IF(AND('Daily Sale entry '!Q273="Collection 收款",'Daily Sale entry '!R273="Cheque 支票",'Daily Sale entry '!V273&lt;&gt;""),'Daily Sale entry '!V273+ROW()/10000000,"")</f>
        <v/>
      </c>
      <c r="L1773" s="21">
        <f>IF(K1773="","",COUNTIF($K$2:$K$3001,"&lt;"&amp;K1773)+1)</f>
        <v/>
      </c>
    </row>
    <row r="1774">
      <c r="A1774" s="5">
        <f>IF($J1774="","",IF($J1774&lt;=1500,INDEX('Daily Sale entry '!$X$1:$X$1501,$J1774+1),INDEX('Daily Sale entry '!$V$1:$V$1501,$J1774-1499)))</f>
        <v/>
      </c>
      <c r="B1774">
        <f>IF($J1774="","",IF($J1774&lt;=1500,INDEX('Daily Sale entry '!$Y$1:$Y$1501,$J1774+1)&amp;"","Buyer cheque banked 买家支票存入"&amp;IF(INDEX('Daily Sale entry '!$U$1:$U$1501,$J1774-1499)="","", " - "&amp;INDEX('Daily Sale entry '!$U$1:$U$1501,$J1774-1499))))</f>
        <v/>
      </c>
      <c r="C1774">
        <f>IF($J1774="","",IF($J1774&lt;=1500,INDEX('Daily Sale entry '!$Z$1:$Z$1501,$J1774+1)&amp;"","Cheque deposit 支票存入 (buyer 买家)"))</f>
        <v/>
      </c>
      <c r="D1774">
        <f>IF($J1774="","",IF($J1774&lt;=1500,INDEX('Daily Sale entry '!$AA$1:$AA$1501,$J1774+1)&amp;"",INDEX('Daily Sale entry '!$P$1:$P$1501,$J1774-1499)&amp;""))</f>
        <v/>
      </c>
      <c r="E1774">
        <f>IF($J1774="","",IF($J1774&lt;=1500,IF(N(INDEX('Daily Sale entry '!$AB$1:$AB$1501,$J1774+1))=0,"",INDEX('Daily Sale entry '!$AB$1:$AB$1501,$J1774+1)),1))</f>
        <v/>
      </c>
      <c r="F1774" s="6">
        <f>IF($J1774="","",IF($J1774&lt;=1500,N(INDEX('Daily Sale entry '!$AC$1:$AC$1501,$J1774+1))-IF(AND('Opening Balance'!$B$15=1,INDEX('Daily Sale entry '!$Z$1:$Z$1501,$J1774+1)="Online collection 网上收款",INDEX('Daily Sale entry '!$AA$1:$AA$1501,$J1774+1)&lt;&gt;""),N(INDEX('Daily Sale entry '!$AC$1:$AC$1501,$J1774+1))-TRUNC(N(INDEX('Daily Sale entry '!$AC$1:$AC$1501,$J1774+1))),0),N(INDEX('Daily Sale entry '!$S$1:$S$1501,$J1774-1499))-'Opening Balance'!$B$15*(N(INDEX('Daily Sale entry '!$S$1:$S$1501,$J1774-1499))-TRUNC(N(INDEX('Daily Sale entry '!$S$1:$S$1501,$J1774-1499))))))</f>
        <v/>
      </c>
      <c r="G1774" s="6">
        <f>IF($J1774="","",IF($J1774&lt;=1500,N(INDEX('Daily Sale entry '!$AD$1:$AD$1501,$J1774+1)),0))</f>
        <v/>
      </c>
      <c r="H1774" s="6">
        <f>IF($J1774="","",ROUND('Opening Balance'!$B$4+SUM($F$2:F1774)-SUM($G$2:G1774),2))</f>
        <v/>
      </c>
      <c r="J1774" s="21">
        <f>IFERROR(MATCH(ROW()-1,$L$2:$L$3001,0),"")</f>
        <v/>
      </c>
      <c r="K1774" s="34">
        <f>IF(AND('Daily Sale entry '!Q274="Collection 收款",'Daily Sale entry '!R274="Cheque 支票",'Daily Sale entry '!V274&lt;&gt;""),'Daily Sale entry '!V274+ROW()/10000000,"")</f>
        <v/>
      </c>
      <c r="L1774" s="21">
        <f>IF(K1774="","",COUNTIF($K$2:$K$3001,"&lt;"&amp;K1774)+1)</f>
        <v/>
      </c>
    </row>
    <row r="1775">
      <c r="A1775" s="5">
        <f>IF($J1775="","",IF($J1775&lt;=1500,INDEX('Daily Sale entry '!$X$1:$X$1501,$J1775+1),INDEX('Daily Sale entry '!$V$1:$V$1501,$J1775-1499)))</f>
        <v/>
      </c>
      <c r="B1775">
        <f>IF($J1775="","",IF($J1775&lt;=1500,INDEX('Daily Sale entry '!$Y$1:$Y$1501,$J1775+1)&amp;"","Buyer cheque banked 买家支票存入"&amp;IF(INDEX('Daily Sale entry '!$U$1:$U$1501,$J1775-1499)="","", " - "&amp;INDEX('Daily Sale entry '!$U$1:$U$1501,$J1775-1499))))</f>
        <v/>
      </c>
      <c r="C1775">
        <f>IF($J1775="","",IF($J1775&lt;=1500,INDEX('Daily Sale entry '!$Z$1:$Z$1501,$J1775+1)&amp;"","Cheque deposit 支票存入 (buyer 买家)"))</f>
        <v/>
      </c>
      <c r="D1775">
        <f>IF($J1775="","",IF($J1775&lt;=1500,INDEX('Daily Sale entry '!$AA$1:$AA$1501,$J1775+1)&amp;"",INDEX('Daily Sale entry '!$P$1:$P$1501,$J1775-1499)&amp;""))</f>
        <v/>
      </c>
      <c r="E1775">
        <f>IF($J1775="","",IF($J1775&lt;=1500,IF(N(INDEX('Daily Sale entry '!$AB$1:$AB$1501,$J1775+1))=0,"",INDEX('Daily Sale entry '!$AB$1:$AB$1501,$J1775+1)),1))</f>
        <v/>
      </c>
      <c r="F1775" s="6">
        <f>IF($J1775="","",IF($J1775&lt;=1500,N(INDEX('Daily Sale entry '!$AC$1:$AC$1501,$J1775+1))-IF(AND('Opening Balance'!$B$15=1,INDEX('Daily Sale entry '!$Z$1:$Z$1501,$J1775+1)="Online collection 网上收款",INDEX('Daily Sale entry '!$AA$1:$AA$1501,$J1775+1)&lt;&gt;""),N(INDEX('Daily Sale entry '!$AC$1:$AC$1501,$J1775+1))-TRUNC(N(INDEX('Daily Sale entry '!$AC$1:$AC$1501,$J1775+1))),0),N(INDEX('Daily Sale entry '!$S$1:$S$1501,$J1775-1499))-'Opening Balance'!$B$15*(N(INDEX('Daily Sale entry '!$S$1:$S$1501,$J1775-1499))-TRUNC(N(INDEX('Daily Sale entry '!$S$1:$S$1501,$J1775-1499))))))</f>
        <v/>
      </c>
      <c r="G1775" s="6">
        <f>IF($J1775="","",IF($J1775&lt;=1500,N(INDEX('Daily Sale entry '!$AD$1:$AD$1501,$J1775+1)),0))</f>
        <v/>
      </c>
      <c r="H1775" s="6">
        <f>IF($J1775="","",ROUND('Opening Balance'!$B$4+SUM($F$2:F1775)-SUM($G$2:G1775),2))</f>
        <v/>
      </c>
      <c r="J1775" s="21">
        <f>IFERROR(MATCH(ROW()-1,$L$2:$L$3001,0),"")</f>
        <v/>
      </c>
      <c r="K1775" s="34">
        <f>IF(AND('Daily Sale entry '!Q275="Collection 收款",'Daily Sale entry '!R275="Cheque 支票",'Daily Sale entry '!V275&lt;&gt;""),'Daily Sale entry '!V275+ROW()/10000000,"")</f>
        <v/>
      </c>
      <c r="L1775" s="21">
        <f>IF(K1775="","",COUNTIF($K$2:$K$3001,"&lt;"&amp;K1775)+1)</f>
        <v/>
      </c>
    </row>
    <row r="1776">
      <c r="A1776" s="5">
        <f>IF($J1776="","",IF($J1776&lt;=1500,INDEX('Daily Sale entry '!$X$1:$X$1501,$J1776+1),INDEX('Daily Sale entry '!$V$1:$V$1501,$J1776-1499)))</f>
        <v/>
      </c>
      <c r="B1776">
        <f>IF($J1776="","",IF($J1776&lt;=1500,INDEX('Daily Sale entry '!$Y$1:$Y$1501,$J1776+1)&amp;"","Buyer cheque banked 买家支票存入"&amp;IF(INDEX('Daily Sale entry '!$U$1:$U$1501,$J1776-1499)="","", " - "&amp;INDEX('Daily Sale entry '!$U$1:$U$1501,$J1776-1499))))</f>
        <v/>
      </c>
      <c r="C1776">
        <f>IF($J1776="","",IF($J1776&lt;=1500,INDEX('Daily Sale entry '!$Z$1:$Z$1501,$J1776+1)&amp;"","Cheque deposit 支票存入 (buyer 买家)"))</f>
        <v/>
      </c>
      <c r="D1776">
        <f>IF($J1776="","",IF($J1776&lt;=1500,INDEX('Daily Sale entry '!$AA$1:$AA$1501,$J1776+1)&amp;"",INDEX('Daily Sale entry '!$P$1:$P$1501,$J1776-1499)&amp;""))</f>
        <v/>
      </c>
      <c r="E1776">
        <f>IF($J1776="","",IF($J1776&lt;=1500,IF(N(INDEX('Daily Sale entry '!$AB$1:$AB$1501,$J1776+1))=0,"",INDEX('Daily Sale entry '!$AB$1:$AB$1501,$J1776+1)),1))</f>
        <v/>
      </c>
      <c r="F1776" s="6">
        <f>IF($J1776="","",IF($J1776&lt;=1500,N(INDEX('Daily Sale entry '!$AC$1:$AC$1501,$J1776+1))-IF(AND('Opening Balance'!$B$15=1,INDEX('Daily Sale entry '!$Z$1:$Z$1501,$J1776+1)="Online collection 网上收款",INDEX('Daily Sale entry '!$AA$1:$AA$1501,$J1776+1)&lt;&gt;""),N(INDEX('Daily Sale entry '!$AC$1:$AC$1501,$J1776+1))-TRUNC(N(INDEX('Daily Sale entry '!$AC$1:$AC$1501,$J1776+1))),0),N(INDEX('Daily Sale entry '!$S$1:$S$1501,$J1776-1499))-'Opening Balance'!$B$15*(N(INDEX('Daily Sale entry '!$S$1:$S$1501,$J1776-1499))-TRUNC(N(INDEX('Daily Sale entry '!$S$1:$S$1501,$J1776-1499))))))</f>
        <v/>
      </c>
      <c r="G1776" s="6">
        <f>IF($J1776="","",IF($J1776&lt;=1500,N(INDEX('Daily Sale entry '!$AD$1:$AD$1501,$J1776+1)),0))</f>
        <v/>
      </c>
      <c r="H1776" s="6">
        <f>IF($J1776="","",ROUND('Opening Balance'!$B$4+SUM($F$2:F1776)-SUM($G$2:G1776),2))</f>
        <v/>
      </c>
      <c r="J1776" s="21">
        <f>IFERROR(MATCH(ROW()-1,$L$2:$L$3001,0),"")</f>
        <v/>
      </c>
      <c r="K1776" s="34">
        <f>IF(AND('Daily Sale entry '!Q276="Collection 收款",'Daily Sale entry '!R276="Cheque 支票",'Daily Sale entry '!V276&lt;&gt;""),'Daily Sale entry '!V276+ROW()/10000000,"")</f>
        <v/>
      </c>
      <c r="L1776" s="21">
        <f>IF(K1776="","",COUNTIF($K$2:$K$3001,"&lt;"&amp;K1776)+1)</f>
        <v/>
      </c>
    </row>
    <row r="1777">
      <c r="A1777" s="5">
        <f>IF($J1777="","",IF($J1777&lt;=1500,INDEX('Daily Sale entry '!$X$1:$X$1501,$J1777+1),INDEX('Daily Sale entry '!$V$1:$V$1501,$J1777-1499)))</f>
        <v/>
      </c>
      <c r="B1777">
        <f>IF($J1777="","",IF($J1777&lt;=1500,INDEX('Daily Sale entry '!$Y$1:$Y$1501,$J1777+1)&amp;"","Buyer cheque banked 买家支票存入"&amp;IF(INDEX('Daily Sale entry '!$U$1:$U$1501,$J1777-1499)="","", " - "&amp;INDEX('Daily Sale entry '!$U$1:$U$1501,$J1777-1499))))</f>
        <v/>
      </c>
      <c r="C1777">
        <f>IF($J1777="","",IF($J1777&lt;=1500,INDEX('Daily Sale entry '!$Z$1:$Z$1501,$J1777+1)&amp;"","Cheque deposit 支票存入 (buyer 买家)"))</f>
        <v/>
      </c>
      <c r="D1777">
        <f>IF($J1777="","",IF($J1777&lt;=1500,INDEX('Daily Sale entry '!$AA$1:$AA$1501,$J1777+1)&amp;"",INDEX('Daily Sale entry '!$P$1:$P$1501,$J1777-1499)&amp;""))</f>
        <v/>
      </c>
      <c r="E1777">
        <f>IF($J1777="","",IF($J1777&lt;=1500,IF(N(INDEX('Daily Sale entry '!$AB$1:$AB$1501,$J1777+1))=0,"",INDEX('Daily Sale entry '!$AB$1:$AB$1501,$J1777+1)),1))</f>
        <v/>
      </c>
      <c r="F1777" s="6">
        <f>IF($J1777="","",IF($J1777&lt;=1500,N(INDEX('Daily Sale entry '!$AC$1:$AC$1501,$J1777+1))-IF(AND('Opening Balance'!$B$15=1,INDEX('Daily Sale entry '!$Z$1:$Z$1501,$J1777+1)="Online collection 网上收款",INDEX('Daily Sale entry '!$AA$1:$AA$1501,$J1777+1)&lt;&gt;""),N(INDEX('Daily Sale entry '!$AC$1:$AC$1501,$J1777+1))-TRUNC(N(INDEX('Daily Sale entry '!$AC$1:$AC$1501,$J1777+1))),0),N(INDEX('Daily Sale entry '!$S$1:$S$1501,$J1777-1499))-'Opening Balance'!$B$15*(N(INDEX('Daily Sale entry '!$S$1:$S$1501,$J1777-1499))-TRUNC(N(INDEX('Daily Sale entry '!$S$1:$S$1501,$J1777-1499))))))</f>
        <v/>
      </c>
      <c r="G1777" s="6">
        <f>IF($J1777="","",IF($J1777&lt;=1500,N(INDEX('Daily Sale entry '!$AD$1:$AD$1501,$J1777+1)),0))</f>
        <v/>
      </c>
      <c r="H1777" s="6">
        <f>IF($J1777="","",ROUND('Opening Balance'!$B$4+SUM($F$2:F1777)-SUM($G$2:G1777),2))</f>
        <v/>
      </c>
      <c r="J1777" s="21">
        <f>IFERROR(MATCH(ROW()-1,$L$2:$L$3001,0),"")</f>
        <v/>
      </c>
      <c r="K1777" s="34">
        <f>IF(AND('Daily Sale entry '!Q277="Collection 收款",'Daily Sale entry '!R277="Cheque 支票",'Daily Sale entry '!V277&lt;&gt;""),'Daily Sale entry '!V277+ROW()/10000000,"")</f>
        <v/>
      </c>
      <c r="L1777" s="21">
        <f>IF(K1777="","",COUNTIF($K$2:$K$3001,"&lt;"&amp;K1777)+1)</f>
        <v/>
      </c>
    </row>
    <row r="1778">
      <c r="A1778" s="5">
        <f>IF($J1778="","",IF($J1778&lt;=1500,INDEX('Daily Sale entry '!$X$1:$X$1501,$J1778+1),INDEX('Daily Sale entry '!$V$1:$V$1501,$J1778-1499)))</f>
        <v/>
      </c>
      <c r="B1778">
        <f>IF($J1778="","",IF($J1778&lt;=1500,INDEX('Daily Sale entry '!$Y$1:$Y$1501,$J1778+1)&amp;"","Buyer cheque banked 买家支票存入"&amp;IF(INDEX('Daily Sale entry '!$U$1:$U$1501,$J1778-1499)="","", " - "&amp;INDEX('Daily Sale entry '!$U$1:$U$1501,$J1778-1499))))</f>
        <v/>
      </c>
      <c r="C1778">
        <f>IF($J1778="","",IF($J1778&lt;=1500,INDEX('Daily Sale entry '!$Z$1:$Z$1501,$J1778+1)&amp;"","Cheque deposit 支票存入 (buyer 买家)"))</f>
        <v/>
      </c>
      <c r="D1778">
        <f>IF($J1778="","",IF($J1778&lt;=1500,INDEX('Daily Sale entry '!$AA$1:$AA$1501,$J1778+1)&amp;"",INDEX('Daily Sale entry '!$P$1:$P$1501,$J1778-1499)&amp;""))</f>
        <v/>
      </c>
      <c r="E1778">
        <f>IF($J1778="","",IF($J1778&lt;=1500,IF(N(INDEX('Daily Sale entry '!$AB$1:$AB$1501,$J1778+1))=0,"",INDEX('Daily Sale entry '!$AB$1:$AB$1501,$J1778+1)),1))</f>
        <v/>
      </c>
      <c r="F1778" s="6">
        <f>IF($J1778="","",IF($J1778&lt;=1500,N(INDEX('Daily Sale entry '!$AC$1:$AC$1501,$J1778+1))-IF(AND('Opening Balance'!$B$15=1,INDEX('Daily Sale entry '!$Z$1:$Z$1501,$J1778+1)="Online collection 网上收款",INDEX('Daily Sale entry '!$AA$1:$AA$1501,$J1778+1)&lt;&gt;""),N(INDEX('Daily Sale entry '!$AC$1:$AC$1501,$J1778+1))-TRUNC(N(INDEX('Daily Sale entry '!$AC$1:$AC$1501,$J1778+1))),0),N(INDEX('Daily Sale entry '!$S$1:$S$1501,$J1778-1499))-'Opening Balance'!$B$15*(N(INDEX('Daily Sale entry '!$S$1:$S$1501,$J1778-1499))-TRUNC(N(INDEX('Daily Sale entry '!$S$1:$S$1501,$J1778-1499))))))</f>
        <v/>
      </c>
      <c r="G1778" s="6">
        <f>IF($J1778="","",IF($J1778&lt;=1500,N(INDEX('Daily Sale entry '!$AD$1:$AD$1501,$J1778+1)),0))</f>
        <v/>
      </c>
      <c r="H1778" s="6">
        <f>IF($J1778="","",ROUND('Opening Balance'!$B$4+SUM($F$2:F1778)-SUM($G$2:G1778),2))</f>
        <v/>
      </c>
      <c r="J1778" s="21">
        <f>IFERROR(MATCH(ROW()-1,$L$2:$L$3001,0),"")</f>
        <v/>
      </c>
      <c r="K1778" s="34">
        <f>IF(AND('Daily Sale entry '!Q278="Collection 收款",'Daily Sale entry '!R278="Cheque 支票",'Daily Sale entry '!V278&lt;&gt;""),'Daily Sale entry '!V278+ROW()/10000000,"")</f>
        <v/>
      </c>
      <c r="L1778" s="21">
        <f>IF(K1778="","",COUNTIF($K$2:$K$3001,"&lt;"&amp;K1778)+1)</f>
        <v/>
      </c>
    </row>
    <row r="1779">
      <c r="A1779" s="5">
        <f>IF($J1779="","",IF($J1779&lt;=1500,INDEX('Daily Sale entry '!$X$1:$X$1501,$J1779+1),INDEX('Daily Sale entry '!$V$1:$V$1501,$J1779-1499)))</f>
        <v/>
      </c>
      <c r="B1779">
        <f>IF($J1779="","",IF($J1779&lt;=1500,INDEX('Daily Sale entry '!$Y$1:$Y$1501,$J1779+1)&amp;"","Buyer cheque banked 买家支票存入"&amp;IF(INDEX('Daily Sale entry '!$U$1:$U$1501,$J1779-1499)="","", " - "&amp;INDEX('Daily Sale entry '!$U$1:$U$1501,$J1779-1499))))</f>
        <v/>
      </c>
      <c r="C1779">
        <f>IF($J1779="","",IF($J1779&lt;=1500,INDEX('Daily Sale entry '!$Z$1:$Z$1501,$J1779+1)&amp;"","Cheque deposit 支票存入 (buyer 买家)"))</f>
        <v/>
      </c>
      <c r="D1779">
        <f>IF($J1779="","",IF($J1779&lt;=1500,INDEX('Daily Sale entry '!$AA$1:$AA$1501,$J1779+1)&amp;"",INDEX('Daily Sale entry '!$P$1:$P$1501,$J1779-1499)&amp;""))</f>
        <v/>
      </c>
      <c r="E1779">
        <f>IF($J1779="","",IF($J1779&lt;=1500,IF(N(INDEX('Daily Sale entry '!$AB$1:$AB$1501,$J1779+1))=0,"",INDEX('Daily Sale entry '!$AB$1:$AB$1501,$J1779+1)),1))</f>
        <v/>
      </c>
      <c r="F1779" s="6">
        <f>IF($J1779="","",IF($J1779&lt;=1500,N(INDEX('Daily Sale entry '!$AC$1:$AC$1501,$J1779+1))-IF(AND('Opening Balance'!$B$15=1,INDEX('Daily Sale entry '!$Z$1:$Z$1501,$J1779+1)="Online collection 网上收款",INDEX('Daily Sale entry '!$AA$1:$AA$1501,$J1779+1)&lt;&gt;""),N(INDEX('Daily Sale entry '!$AC$1:$AC$1501,$J1779+1))-TRUNC(N(INDEX('Daily Sale entry '!$AC$1:$AC$1501,$J1779+1))),0),N(INDEX('Daily Sale entry '!$S$1:$S$1501,$J1779-1499))-'Opening Balance'!$B$15*(N(INDEX('Daily Sale entry '!$S$1:$S$1501,$J1779-1499))-TRUNC(N(INDEX('Daily Sale entry '!$S$1:$S$1501,$J1779-1499))))))</f>
        <v/>
      </c>
      <c r="G1779" s="6">
        <f>IF($J1779="","",IF($J1779&lt;=1500,N(INDEX('Daily Sale entry '!$AD$1:$AD$1501,$J1779+1)),0))</f>
        <v/>
      </c>
      <c r="H1779" s="6">
        <f>IF($J1779="","",ROUND('Opening Balance'!$B$4+SUM($F$2:F1779)-SUM($G$2:G1779),2))</f>
        <v/>
      </c>
      <c r="J1779" s="21">
        <f>IFERROR(MATCH(ROW()-1,$L$2:$L$3001,0),"")</f>
        <v/>
      </c>
      <c r="K1779" s="34">
        <f>IF(AND('Daily Sale entry '!Q279="Collection 收款",'Daily Sale entry '!R279="Cheque 支票",'Daily Sale entry '!V279&lt;&gt;""),'Daily Sale entry '!V279+ROW()/10000000,"")</f>
        <v/>
      </c>
      <c r="L1779" s="21">
        <f>IF(K1779="","",COUNTIF($K$2:$K$3001,"&lt;"&amp;K1779)+1)</f>
        <v/>
      </c>
    </row>
    <row r="1780">
      <c r="A1780" s="5">
        <f>IF($J1780="","",IF($J1780&lt;=1500,INDEX('Daily Sale entry '!$X$1:$X$1501,$J1780+1),INDEX('Daily Sale entry '!$V$1:$V$1501,$J1780-1499)))</f>
        <v/>
      </c>
      <c r="B1780">
        <f>IF($J1780="","",IF($J1780&lt;=1500,INDEX('Daily Sale entry '!$Y$1:$Y$1501,$J1780+1)&amp;"","Buyer cheque banked 买家支票存入"&amp;IF(INDEX('Daily Sale entry '!$U$1:$U$1501,$J1780-1499)="","", " - "&amp;INDEX('Daily Sale entry '!$U$1:$U$1501,$J1780-1499))))</f>
        <v/>
      </c>
      <c r="C1780">
        <f>IF($J1780="","",IF($J1780&lt;=1500,INDEX('Daily Sale entry '!$Z$1:$Z$1501,$J1780+1)&amp;"","Cheque deposit 支票存入 (buyer 买家)"))</f>
        <v/>
      </c>
      <c r="D1780">
        <f>IF($J1780="","",IF($J1780&lt;=1500,INDEX('Daily Sale entry '!$AA$1:$AA$1501,$J1780+1)&amp;"",INDEX('Daily Sale entry '!$P$1:$P$1501,$J1780-1499)&amp;""))</f>
        <v/>
      </c>
      <c r="E1780">
        <f>IF($J1780="","",IF($J1780&lt;=1500,IF(N(INDEX('Daily Sale entry '!$AB$1:$AB$1501,$J1780+1))=0,"",INDEX('Daily Sale entry '!$AB$1:$AB$1501,$J1780+1)),1))</f>
        <v/>
      </c>
      <c r="F1780" s="6">
        <f>IF($J1780="","",IF($J1780&lt;=1500,N(INDEX('Daily Sale entry '!$AC$1:$AC$1501,$J1780+1))-IF(AND('Opening Balance'!$B$15=1,INDEX('Daily Sale entry '!$Z$1:$Z$1501,$J1780+1)="Online collection 网上收款",INDEX('Daily Sale entry '!$AA$1:$AA$1501,$J1780+1)&lt;&gt;""),N(INDEX('Daily Sale entry '!$AC$1:$AC$1501,$J1780+1))-TRUNC(N(INDEX('Daily Sale entry '!$AC$1:$AC$1501,$J1780+1))),0),N(INDEX('Daily Sale entry '!$S$1:$S$1501,$J1780-1499))-'Opening Balance'!$B$15*(N(INDEX('Daily Sale entry '!$S$1:$S$1501,$J1780-1499))-TRUNC(N(INDEX('Daily Sale entry '!$S$1:$S$1501,$J1780-1499))))))</f>
        <v/>
      </c>
      <c r="G1780" s="6">
        <f>IF($J1780="","",IF($J1780&lt;=1500,N(INDEX('Daily Sale entry '!$AD$1:$AD$1501,$J1780+1)),0))</f>
        <v/>
      </c>
      <c r="H1780" s="6">
        <f>IF($J1780="","",ROUND('Opening Balance'!$B$4+SUM($F$2:F1780)-SUM($G$2:G1780),2))</f>
        <v/>
      </c>
      <c r="J1780" s="21">
        <f>IFERROR(MATCH(ROW()-1,$L$2:$L$3001,0),"")</f>
        <v/>
      </c>
      <c r="K1780" s="34">
        <f>IF(AND('Daily Sale entry '!Q280="Collection 收款",'Daily Sale entry '!R280="Cheque 支票",'Daily Sale entry '!V280&lt;&gt;""),'Daily Sale entry '!V280+ROW()/10000000,"")</f>
        <v/>
      </c>
      <c r="L1780" s="21">
        <f>IF(K1780="","",COUNTIF($K$2:$K$3001,"&lt;"&amp;K1780)+1)</f>
        <v/>
      </c>
    </row>
    <row r="1781">
      <c r="A1781" s="5">
        <f>IF($J1781="","",IF($J1781&lt;=1500,INDEX('Daily Sale entry '!$X$1:$X$1501,$J1781+1),INDEX('Daily Sale entry '!$V$1:$V$1501,$J1781-1499)))</f>
        <v/>
      </c>
      <c r="B1781">
        <f>IF($J1781="","",IF($J1781&lt;=1500,INDEX('Daily Sale entry '!$Y$1:$Y$1501,$J1781+1)&amp;"","Buyer cheque banked 买家支票存入"&amp;IF(INDEX('Daily Sale entry '!$U$1:$U$1501,$J1781-1499)="","", " - "&amp;INDEX('Daily Sale entry '!$U$1:$U$1501,$J1781-1499))))</f>
        <v/>
      </c>
      <c r="C1781">
        <f>IF($J1781="","",IF($J1781&lt;=1500,INDEX('Daily Sale entry '!$Z$1:$Z$1501,$J1781+1)&amp;"","Cheque deposit 支票存入 (buyer 买家)"))</f>
        <v/>
      </c>
      <c r="D1781">
        <f>IF($J1781="","",IF($J1781&lt;=1500,INDEX('Daily Sale entry '!$AA$1:$AA$1501,$J1781+1)&amp;"",INDEX('Daily Sale entry '!$P$1:$P$1501,$J1781-1499)&amp;""))</f>
        <v/>
      </c>
      <c r="E1781">
        <f>IF($J1781="","",IF($J1781&lt;=1500,IF(N(INDEX('Daily Sale entry '!$AB$1:$AB$1501,$J1781+1))=0,"",INDEX('Daily Sale entry '!$AB$1:$AB$1501,$J1781+1)),1))</f>
        <v/>
      </c>
      <c r="F1781" s="6">
        <f>IF($J1781="","",IF($J1781&lt;=1500,N(INDEX('Daily Sale entry '!$AC$1:$AC$1501,$J1781+1))-IF(AND('Opening Balance'!$B$15=1,INDEX('Daily Sale entry '!$Z$1:$Z$1501,$J1781+1)="Online collection 网上收款",INDEX('Daily Sale entry '!$AA$1:$AA$1501,$J1781+1)&lt;&gt;""),N(INDEX('Daily Sale entry '!$AC$1:$AC$1501,$J1781+1))-TRUNC(N(INDEX('Daily Sale entry '!$AC$1:$AC$1501,$J1781+1))),0),N(INDEX('Daily Sale entry '!$S$1:$S$1501,$J1781-1499))-'Opening Balance'!$B$15*(N(INDEX('Daily Sale entry '!$S$1:$S$1501,$J1781-1499))-TRUNC(N(INDEX('Daily Sale entry '!$S$1:$S$1501,$J1781-1499))))))</f>
        <v/>
      </c>
      <c r="G1781" s="6">
        <f>IF($J1781="","",IF($J1781&lt;=1500,N(INDEX('Daily Sale entry '!$AD$1:$AD$1501,$J1781+1)),0))</f>
        <v/>
      </c>
      <c r="H1781" s="6">
        <f>IF($J1781="","",ROUND('Opening Balance'!$B$4+SUM($F$2:F1781)-SUM($G$2:G1781),2))</f>
        <v/>
      </c>
      <c r="J1781" s="21">
        <f>IFERROR(MATCH(ROW()-1,$L$2:$L$3001,0),"")</f>
        <v/>
      </c>
      <c r="K1781" s="34">
        <f>IF(AND('Daily Sale entry '!Q281="Collection 收款",'Daily Sale entry '!R281="Cheque 支票",'Daily Sale entry '!V281&lt;&gt;""),'Daily Sale entry '!V281+ROW()/10000000,"")</f>
        <v/>
      </c>
      <c r="L1781" s="21">
        <f>IF(K1781="","",COUNTIF($K$2:$K$3001,"&lt;"&amp;K1781)+1)</f>
        <v/>
      </c>
    </row>
    <row r="1782">
      <c r="A1782" s="5">
        <f>IF($J1782="","",IF($J1782&lt;=1500,INDEX('Daily Sale entry '!$X$1:$X$1501,$J1782+1),INDEX('Daily Sale entry '!$V$1:$V$1501,$J1782-1499)))</f>
        <v/>
      </c>
      <c r="B1782">
        <f>IF($J1782="","",IF($J1782&lt;=1500,INDEX('Daily Sale entry '!$Y$1:$Y$1501,$J1782+1)&amp;"","Buyer cheque banked 买家支票存入"&amp;IF(INDEX('Daily Sale entry '!$U$1:$U$1501,$J1782-1499)="","", " - "&amp;INDEX('Daily Sale entry '!$U$1:$U$1501,$J1782-1499))))</f>
        <v/>
      </c>
      <c r="C1782">
        <f>IF($J1782="","",IF($J1782&lt;=1500,INDEX('Daily Sale entry '!$Z$1:$Z$1501,$J1782+1)&amp;"","Cheque deposit 支票存入 (buyer 买家)"))</f>
        <v/>
      </c>
      <c r="D1782">
        <f>IF($J1782="","",IF($J1782&lt;=1500,INDEX('Daily Sale entry '!$AA$1:$AA$1501,$J1782+1)&amp;"",INDEX('Daily Sale entry '!$P$1:$P$1501,$J1782-1499)&amp;""))</f>
        <v/>
      </c>
      <c r="E1782">
        <f>IF($J1782="","",IF($J1782&lt;=1500,IF(N(INDEX('Daily Sale entry '!$AB$1:$AB$1501,$J1782+1))=0,"",INDEX('Daily Sale entry '!$AB$1:$AB$1501,$J1782+1)),1))</f>
        <v/>
      </c>
      <c r="F1782" s="6">
        <f>IF($J1782="","",IF($J1782&lt;=1500,N(INDEX('Daily Sale entry '!$AC$1:$AC$1501,$J1782+1))-IF(AND('Opening Balance'!$B$15=1,INDEX('Daily Sale entry '!$Z$1:$Z$1501,$J1782+1)="Online collection 网上收款",INDEX('Daily Sale entry '!$AA$1:$AA$1501,$J1782+1)&lt;&gt;""),N(INDEX('Daily Sale entry '!$AC$1:$AC$1501,$J1782+1))-TRUNC(N(INDEX('Daily Sale entry '!$AC$1:$AC$1501,$J1782+1))),0),N(INDEX('Daily Sale entry '!$S$1:$S$1501,$J1782-1499))-'Opening Balance'!$B$15*(N(INDEX('Daily Sale entry '!$S$1:$S$1501,$J1782-1499))-TRUNC(N(INDEX('Daily Sale entry '!$S$1:$S$1501,$J1782-1499))))))</f>
        <v/>
      </c>
      <c r="G1782" s="6">
        <f>IF($J1782="","",IF($J1782&lt;=1500,N(INDEX('Daily Sale entry '!$AD$1:$AD$1501,$J1782+1)),0))</f>
        <v/>
      </c>
      <c r="H1782" s="6">
        <f>IF($J1782="","",ROUND('Opening Balance'!$B$4+SUM($F$2:F1782)-SUM($G$2:G1782),2))</f>
        <v/>
      </c>
      <c r="J1782" s="21">
        <f>IFERROR(MATCH(ROW()-1,$L$2:$L$3001,0),"")</f>
        <v/>
      </c>
      <c r="K1782" s="34">
        <f>IF(AND('Daily Sale entry '!Q282="Collection 收款",'Daily Sale entry '!R282="Cheque 支票",'Daily Sale entry '!V282&lt;&gt;""),'Daily Sale entry '!V282+ROW()/10000000,"")</f>
        <v/>
      </c>
      <c r="L1782" s="21">
        <f>IF(K1782="","",COUNTIF($K$2:$K$3001,"&lt;"&amp;K1782)+1)</f>
        <v/>
      </c>
    </row>
    <row r="1783">
      <c r="A1783" s="5">
        <f>IF($J1783="","",IF($J1783&lt;=1500,INDEX('Daily Sale entry '!$X$1:$X$1501,$J1783+1),INDEX('Daily Sale entry '!$V$1:$V$1501,$J1783-1499)))</f>
        <v/>
      </c>
      <c r="B1783">
        <f>IF($J1783="","",IF($J1783&lt;=1500,INDEX('Daily Sale entry '!$Y$1:$Y$1501,$J1783+1)&amp;"","Buyer cheque banked 买家支票存入"&amp;IF(INDEX('Daily Sale entry '!$U$1:$U$1501,$J1783-1499)="","", " - "&amp;INDEX('Daily Sale entry '!$U$1:$U$1501,$J1783-1499))))</f>
        <v/>
      </c>
      <c r="C1783">
        <f>IF($J1783="","",IF($J1783&lt;=1500,INDEX('Daily Sale entry '!$Z$1:$Z$1501,$J1783+1)&amp;"","Cheque deposit 支票存入 (buyer 买家)"))</f>
        <v/>
      </c>
      <c r="D1783">
        <f>IF($J1783="","",IF($J1783&lt;=1500,INDEX('Daily Sale entry '!$AA$1:$AA$1501,$J1783+1)&amp;"",INDEX('Daily Sale entry '!$P$1:$P$1501,$J1783-1499)&amp;""))</f>
        <v/>
      </c>
      <c r="E1783">
        <f>IF($J1783="","",IF($J1783&lt;=1500,IF(N(INDEX('Daily Sale entry '!$AB$1:$AB$1501,$J1783+1))=0,"",INDEX('Daily Sale entry '!$AB$1:$AB$1501,$J1783+1)),1))</f>
        <v/>
      </c>
      <c r="F1783" s="6">
        <f>IF($J1783="","",IF($J1783&lt;=1500,N(INDEX('Daily Sale entry '!$AC$1:$AC$1501,$J1783+1))-IF(AND('Opening Balance'!$B$15=1,INDEX('Daily Sale entry '!$Z$1:$Z$1501,$J1783+1)="Online collection 网上收款",INDEX('Daily Sale entry '!$AA$1:$AA$1501,$J1783+1)&lt;&gt;""),N(INDEX('Daily Sale entry '!$AC$1:$AC$1501,$J1783+1))-TRUNC(N(INDEX('Daily Sale entry '!$AC$1:$AC$1501,$J1783+1))),0),N(INDEX('Daily Sale entry '!$S$1:$S$1501,$J1783-1499))-'Opening Balance'!$B$15*(N(INDEX('Daily Sale entry '!$S$1:$S$1501,$J1783-1499))-TRUNC(N(INDEX('Daily Sale entry '!$S$1:$S$1501,$J1783-1499))))))</f>
        <v/>
      </c>
      <c r="G1783" s="6">
        <f>IF($J1783="","",IF($J1783&lt;=1500,N(INDEX('Daily Sale entry '!$AD$1:$AD$1501,$J1783+1)),0))</f>
        <v/>
      </c>
      <c r="H1783" s="6">
        <f>IF($J1783="","",ROUND('Opening Balance'!$B$4+SUM($F$2:F1783)-SUM($G$2:G1783),2))</f>
        <v/>
      </c>
      <c r="J1783" s="21">
        <f>IFERROR(MATCH(ROW()-1,$L$2:$L$3001,0),"")</f>
        <v/>
      </c>
      <c r="K1783" s="34">
        <f>IF(AND('Daily Sale entry '!Q283="Collection 收款",'Daily Sale entry '!R283="Cheque 支票",'Daily Sale entry '!V283&lt;&gt;""),'Daily Sale entry '!V283+ROW()/10000000,"")</f>
        <v/>
      </c>
      <c r="L1783" s="21">
        <f>IF(K1783="","",COUNTIF($K$2:$K$3001,"&lt;"&amp;K1783)+1)</f>
        <v/>
      </c>
    </row>
    <row r="1784">
      <c r="A1784" s="5">
        <f>IF($J1784="","",IF($J1784&lt;=1500,INDEX('Daily Sale entry '!$X$1:$X$1501,$J1784+1),INDEX('Daily Sale entry '!$V$1:$V$1501,$J1784-1499)))</f>
        <v/>
      </c>
      <c r="B1784">
        <f>IF($J1784="","",IF($J1784&lt;=1500,INDEX('Daily Sale entry '!$Y$1:$Y$1501,$J1784+1)&amp;"","Buyer cheque banked 买家支票存入"&amp;IF(INDEX('Daily Sale entry '!$U$1:$U$1501,$J1784-1499)="","", " - "&amp;INDEX('Daily Sale entry '!$U$1:$U$1501,$J1784-1499))))</f>
        <v/>
      </c>
      <c r="C1784">
        <f>IF($J1784="","",IF($J1784&lt;=1500,INDEX('Daily Sale entry '!$Z$1:$Z$1501,$J1784+1)&amp;"","Cheque deposit 支票存入 (buyer 买家)"))</f>
        <v/>
      </c>
      <c r="D1784">
        <f>IF($J1784="","",IF($J1784&lt;=1500,INDEX('Daily Sale entry '!$AA$1:$AA$1501,$J1784+1)&amp;"",INDEX('Daily Sale entry '!$P$1:$P$1501,$J1784-1499)&amp;""))</f>
        <v/>
      </c>
      <c r="E1784">
        <f>IF($J1784="","",IF($J1784&lt;=1500,IF(N(INDEX('Daily Sale entry '!$AB$1:$AB$1501,$J1784+1))=0,"",INDEX('Daily Sale entry '!$AB$1:$AB$1501,$J1784+1)),1))</f>
        <v/>
      </c>
      <c r="F1784" s="6">
        <f>IF($J1784="","",IF($J1784&lt;=1500,N(INDEX('Daily Sale entry '!$AC$1:$AC$1501,$J1784+1))-IF(AND('Opening Balance'!$B$15=1,INDEX('Daily Sale entry '!$Z$1:$Z$1501,$J1784+1)="Online collection 网上收款",INDEX('Daily Sale entry '!$AA$1:$AA$1501,$J1784+1)&lt;&gt;""),N(INDEX('Daily Sale entry '!$AC$1:$AC$1501,$J1784+1))-TRUNC(N(INDEX('Daily Sale entry '!$AC$1:$AC$1501,$J1784+1))),0),N(INDEX('Daily Sale entry '!$S$1:$S$1501,$J1784-1499))-'Opening Balance'!$B$15*(N(INDEX('Daily Sale entry '!$S$1:$S$1501,$J1784-1499))-TRUNC(N(INDEX('Daily Sale entry '!$S$1:$S$1501,$J1784-1499))))))</f>
        <v/>
      </c>
      <c r="G1784" s="6">
        <f>IF($J1784="","",IF($J1784&lt;=1500,N(INDEX('Daily Sale entry '!$AD$1:$AD$1501,$J1784+1)),0))</f>
        <v/>
      </c>
      <c r="H1784" s="6">
        <f>IF($J1784="","",ROUND('Opening Balance'!$B$4+SUM($F$2:F1784)-SUM($G$2:G1784),2))</f>
        <v/>
      </c>
      <c r="J1784" s="21">
        <f>IFERROR(MATCH(ROW()-1,$L$2:$L$3001,0),"")</f>
        <v/>
      </c>
      <c r="K1784" s="34">
        <f>IF(AND('Daily Sale entry '!Q284="Collection 收款",'Daily Sale entry '!R284="Cheque 支票",'Daily Sale entry '!V284&lt;&gt;""),'Daily Sale entry '!V284+ROW()/10000000,"")</f>
        <v/>
      </c>
      <c r="L1784" s="21">
        <f>IF(K1784="","",COUNTIF($K$2:$K$3001,"&lt;"&amp;K1784)+1)</f>
        <v/>
      </c>
    </row>
    <row r="1785">
      <c r="A1785" s="5">
        <f>IF($J1785="","",IF($J1785&lt;=1500,INDEX('Daily Sale entry '!$X$1:$X$1501,$J1785+1),INDEX('Daily Sale entry '!$V$1:$V$1501,$J1785-1499)))</f>
        <v/>
      </c>
      <c r="B1785">
        <f>IF($J1785="","",IF($J1785&lt;=1500,INDEX('Daily Sale entry '!$Y$1:$Y$1501,$J1785+1)&amp;"","Buyer cheque banked 买家支票存入"&amp;IF(INDEX('Daily Sale entry '!$U$1:$U$1501,$J1785-1499)="","", " - "&amp;INDEX('Daily Sale entry '!$U$1:$U$1501,$J1785-1499))))</f>
        <v/>
      </c>
      <c r="C1785">
        <f>IF($J1785="","",IF($J1785&lt;=1500,INDEX('Daily Sale entry '!$Z$1:$Z$1501,$J1785+1)&amp;"","Cheque deposit 支票存入 (buyer 买家)"))</f>
        <v/>
      </c>
      <c r="D1785">
        <f>IF($J1785="","",IF($J1785&lt;=1500,INDEX('Daily Sale entry '!$AA$1:$AA$1501,$J1785+1)&amp;"",INDEX('Daily Sale entry '!$P$1:$P$1501,$J1785-1499)&amp;""))</f>
        <v/>
      </c>
      <c r="E1785">
        <f>IF($J1785="","",IF($J1785&lt;=1500,IF(N(INDEX('Daily Sale entry '!$AB$1:$AB$1501,$J1785+1))=0,"",INDEX('Daily Sale entry '!$AB$1:$AB$1501,$J1785+1)),1))</f>
        <v/>
      </c>
      <c r="F1785" s="6">
        <f>IF($J1785="","",IF($J1785&lt;=1500,N(INDEX('Daily Sale entry '!$AC$1:$AC$1501,$J1785+1))-IF(AND('Opening Balance'!$B$15=1,INDEX('Daily Sale entry '!$Z$1:$Z$1501,$J1785+1)="Online collection 网上收款",INDEX('Daily Sale entry '!$AA$1:$AA$1501,$J1785+1)&lt;&gt;""),N(INDEX('Daily Sale entry '!$AC$1:$AC$1501,$J1785+1))-TRUNC(N(INDEX('Daily Sale entry '!$AC$1:$AC$1501,$J1785+1))),0),N(INDEX('Daily Sale entry '!$S$1:$S$1501,$J1785-1499))-'Opening Balance'!$B$15*(N(INDEX('Daily Sale entry '!$S$1:$S$1501,$J1785-1499))-TRUNC(N(INDEX('Daily Sale entry '!$S$1:$S$1501,$J1785-1499))))))</f>
        <v/>
      </c>
      <c r="G1785" s="6">
        <f>IF($J1785="","",IF($J1785&lt;=1500,N(INDEX('Daily Sale entry '!$AD$1:$AD$1501,$J1785+1)),0))</f>
        <v/>
      </c>
      <c r="H1785" s="6">
        <f>IF($J1785="","",ROUND('Opening Balance'!$B$4+SUM($F$2:F1785)-SUM($G$2:G1785),2))</f>
        <v/>
      </c>
      <c r="J1785" s="21">
        <f>IFERROR(MATCH(ROW()-1,$L$2:$L$3001,0),"")</f>
        <v/>
      </c>
      <c r="K1785" s="34">
        <f>IF(AND('Daily Sale entry '!Q285="Collection 收款",'Daily Sale entry '!R285="Cheque 支票",'Daily Sale entry '!V285&lt;&gt;""),'Daily Sale entry '!V285+ROW()/10000000,"")</f>
        <v/>
      </c>
      <c r="L1785" s="21">
        <f>IF(K1785="","",COUNTIF($K$2:$K$3001,"&lt;"&amp;K1785)+1)</f>
        <v/>
      </c>
    </row>
    <row r="1786">
      <c r="A1786" s="5">
        <f>IF($J1786="","",IF($J1786&lt;=1500,INDEX('Daily Sale entry '!$X$1:$X$1501,$J1786+1),INDEX('Daily Sale entry '!$V$1:$V$1501,$J1786-1499)))</f>
        <v/>
      </c>
      <c r="B1786">
        <f>IF($J1786="","",IF($J1786&lt;=1500,INDEX('Daily Sale entry '!$Y$1:$Y$1501,$J1786+1)&amp;"","Buyer cheque banked 买家支票存入"&amp;IF(INDEX('Daily Sale entry '!$U$1:$U$1501,$J1786-1499)="","", " - "&amp;INDEX('Daily Sale entry '!$U$1:$U$1501,$J1786-1499))))</f>
        <v/>
      </c>
      <c r="C1786">
        <f>IF($J1786="","",IF($J1786&lt;=1500,INDEX('Daily Sale entry '!$Z$1:$Z$1501,$J1786+1)&amp;"","Cheque deposit 支票存入 (buyer 买家)"))</f>
        <v/>
      </c>
      <c r="D1786">
        <f>IF($J1786="","",IF($J1786&lt;=1500,INDEX('Daily Sale entry '!$AA$1:$AA$1501,$J1786+1)&amp;"",INDEX('Daily Sale entry '!$P$1:$P$1501,$J1786-1499)&amp;""))</f>
        <v/>
      </c>
      <c r="E1786">
        <f>IF($J1786="","",IF($J1786&lt;=1500,IF(N(INDEX('Daily Sale entry '!$AB$1:$AB$1501,$J1786+1))=0,"",INDEX('Daily Sale entry '!$AB$1:$AB$1501,$J1786+1)),1))</f>
        <v/>
      </c>
      <c r="F1786" s="6">
        <f>IF($J1786="","",IF($J1786&lt;=1500,N(INDEX('Daily Sale entry '!$AC$1:$AC$1501,$J1786+1))-IF(AND('Opening Balance'!$B$15=1,INDEX('Daily Sale entry '!$Z$1:$Z$1501,$J1786+1)="Online collection 网上收款",INDEX('Daily Sale entry '!$AA$1:$AA$1501,$J1786+1)&lt;&gt;""),N(INDEX('Daily Sale entry '!$AC$1:$AC$1501,$J1786+1))-TRUNC(N(INDEX('Daily Sale entry '!$AC$1:$AC$1501,$J1786+1))),0),N(INDEX('Daily Sale entry '!$S$1:$S$1501,$J1786-1499))-'Opening Balance'!$B$15*(N(INDEX('Daily Sale entry '!$S$1:$S$1501,$J1786-1499))-TRUNC(N(INDEX('Daily Sale entry '!$S$1:$S$1501,$J1786-1499))))))</f>
        <v/>
      </c>
      <c r="G1786" s="6">
        <f>IF($J1786="","",IF($J1786&lt;=1500,N(INDEX('Daily Sale entry '!$AD$1:$AD$1501,$J1786+1)),0))</f>
        <v/>
      </c>
      <c r="H1786" s="6">
        <f>IF($J1786="","",ROUND('Opening Balance'!$B$4+SUM($F$2:F1786)-SUM($G$2:G1786),2))</f>
        <v/>
      </c>
      <c r="J1786" s="21">
        <f>IFERROR(MATCH(ROW()-1,$L$2:$L$3001,0),"")</f>
        <v/>
      </c>
      <c r="K1786" s="34">
        <f>IF(AND('Daily Sale entry '!Q286="Collection 收款",'Daily Sale entry '!R286="Cheque 支票",'Daily Sale entry '!V286&lt;&gt;""),'Daily Sale entry '!V286+ROW()/10000000,"")</f>
        <v/>
      </c>
      <c r="L1786" s="21">
        <f>IF(K1786="","",COUNTIF($K$2:$K$3001,"&lt;"&amp;K1786)+1)</f>
        <v/>
      </c>
    </row>
    <row r="1787">
      <c r="A1787" s="5">
        <f>IF($J1787="","",IF($J1787&lt;=1500,INDEX('Daily Sale entry '!$X$1:$X$1501,$J1787+1),INDEX('Daily Sale entry '!$V$1:$V$1501,$J1787-1499)))</f>
        <v/>
      </c>
      <c r="B1787">
        <f>IF($J1787="","",IF($J1787&lt;=1500,INDEX('Daily Sale entry '!$Y$1:$Y$1501,$J1787+1)&amp;"","Buyer cheque banked 买家支票存入"&amp;IF(INDEX('Daily Sale entry '!$U$1:$U$1501,$J1787-1499)="","", " - "&amp;INDEX('Daily Sale entry '!$U$1:$U$1501,$J1787-1499))))</f>
        <v/>
      </c>
      <c r="C1787">
        <f>IF($J1787="","",IF($J1787&lt;=1500,INDEX('Daily Sale entry '!$Z$1:$Z$1501,$J1787+1)&amp;"","Cheque deposit 支票存入 (buyer 买家)"))</f>
        <v/>
      </c>
      <c r="D1787">
        <f>IF($J1787="","",IF($J1787&lt;=1500,INDEX('Daily Sale entry '!$AA$1:$AA$1501,$J1787+1)&amp;"",INDEX('Daily Sale entry '!$P$1:$P$1501,$J1787-1499)&amp;""))</f>
        <v/>
      </c>
      <c r="E1787">
        <f>IF($J1787="","",IF($J1787&lt;=1500,IF(N(INDEX('Daily Sale entry '!$AB$1:$AB$1501,$J1787+1))=0,"",INDEX('Daily Sale entry '!$AB$1:$AB$1501,$J1787+1)),1))</f>
        <v/>
      </c>
      <c r="F1787" s="6">
        <f>IF($J1787="","",IF($J1787&lt;=1500,N(INDEX('Daily Sale entry '!$AC$1:$AC$1501,$J1787+1))-IF(AND('Opening Balance'!$B$15=1,INDEX('Daily Sale entry '!$Z$1:$Z$1501,$J1787+1)="Online collection 网上收款",INDEX('Daily Sale entry '!$AA$1:$AA$1501,$J1787+1)&lt;&gt;""),N(INDEX('Daily Sale entry '!$AC$1:$AC$1501,$J1787+1))-TRUNC(N(INDEX('Daily Sale entry '!$AC$1:$AC$1501,$J1787+1))),0),N(INDEX('Daily Sale entry '!$S$1:$S$1501,$J1787-1499))-'Opening Balance'!$B$15*(N(INDEX('Daily Sale entry '!$S$1:$S$1501,$J1787-1499))-TRUNC(N(INDEX('Daily Sale entry '!$S$1:$S$1501,$J1787-1499))))))</f>
        <v/>
      </c>
      <c r="G1787" s="6">
        <f>IF($J1787="","",IF($J1787&lt;=1500,N(INDEX('Daily Sale entry '!$AD$1:$AD$1501,$J1787+1)),0))</f>
        <v/>
      </c>
      <c r="H1787" s="6">
        <f>IF($J1787="","",ROUND('Opening Balance'!$B$4+SUM($F$2:F1787)-SUM($G$2:G1787),2))</f>
        <v/>
      </c>
      <c r="J1787" s="21">
        <f>IFERROR(MATCH(ROW()-1,$L$2:$L$3001,0),"")</f>
        <v/>
      </c>
      <c r="K1787" s="34">
        <f>IF(AND('Daily Sale entry '!Q287="Collection 收款",'Daily Sale entry '!R287="Cheque 支票",'Daily Sale entry '!V287&lt;&gt;""),'Daily Sale entry '!V287+ROW()/10000000,"")</f>
        <v/>
      </c>
      <c r="L1787" s="21">
        <f>IF(K1787="","",COUNTIF($K$2:$K$3001,"&lt;"&amp;K1787)+1)</f>
        <v/>
      </c>
    </row>
    <row r="1788">
      <c r="A1788" s="5">
        <f>IF($J1788="","",IF($J1788&lt;=1500,INDEX('Daily Sale entry '!$X$1:$X$1501,$J1788+1),INDEX('Daily Sale entry '!$V$1:$V$1501,$J1788-1499)))</f>
        <v/>
      </c>
      <c r="B1788">
        <f>IF($J1788="","",IF($J1788&lt;=1500,INDEX('Daily Sale entry '!$Y$1:$Y$1501,$J1788+1)&amp;"","Buyer cheque banked 买家支票存入"&amp;IF(INDEX('Daily Sale entry '!$U$1:$U$1501,$J1788-1499)="","", " - "&amp;INDEX('Daily Sale entry '!$U$1:$U$1501,$J1788-1499))))</f>
        <v/>
      </c>
      <c r="C1788">
        <f>IF($J1788="","",IF($J1788&lt;=1500,INDEX('Daily Sale entry '!$Z$1:$Z$1501,$J1788+1)&amp;"","Cheque deposit 支票存入 (buyer 买家)"))</f>
        <v/>
      </c>
      <c r="D1788">
        <f>IF($J1788="","",IF($J1788&lt;=1500,INDEX('Daily Sale entry '!$AA$1:$AA$1501,$J1788+1)&amp;"",INDEX('Daily Sale entry '!$P$1:$P$1501,$J1788-1499)&amp;""))</f>
        <v/>
      </c>
      <c r="E1788">
        <f>IF($J1788="","",IF($J1788&lt;=1500,IF(N(INDEX('Daily Sale entry '!$AB$1:$AB$1501,$J1788+1))=0,"",INDEX('Daily Sale entry '!$AB$1:$AB$1501,$J1788+1)),1))</f>
        <v/>
      </c>
      <c r="F1788" s="6">
        <f>IF($J1788="","",IF($J1788&lt;=1500,N(INDEX('Daily Sale entry '!$AC$1:$AC$1501,$J1788+1))-IF(AND('Opening Balance'!$B$15=1,INDEX('Daily Sale entry '!$Z$1:$Z$1501,$J1788+1)="Online collection 网上收款",INDEX('Daily Sale entry '!$AA$1:$AA$1501,$J1788+1)&lt;&gt;""),N(INDEX('Daily Sale entry '!$AC$1:$AC$1501,$J1788+1))-TRUNC(N(INDEX('Daily Sale entry '!$AC$1:$AC$1501,$J1788+1))),0),N(INDEX('Daily Sale entry '!$S$1:$S$1501,$J1788-1499))-'Opening Balance'!$B$15*(N(INDEX('Daily Sale entry '!$S$1:$S$1501,$J1788-1499))-TRUNC(N(INDEX('Daily Sale entry '!$S$1:$S$1501,$J1788-1499))))))</f>
        <v/>
      </c>
      <c r="G1788" s="6">
        <f>IF($J1788="","",IF($J1788&lt;=1500,N(INDEX('Daily Sale entry '!$AD$1:$AD$1501,$J1788+1)),0))</f>
        <v/>
      </c>
      <c r="H1788" s="6">
        <f>IF($J1788="","",ROUND('Opening Balance'!$B$4+SUM($F$2:F1788)-SUM($G$2:G1788),2))</f>
        <v/>
      </c>
      <c r="J1788" s="21">
        <f>IFERROR(MATCH(ROW()-1,$L$2:$L$3001,0),"")</f>
        <v/>
      </c>
      <c r="K1788" s="34">
        <f>IF(AND('Daily Sale entry '!Q288="Collection 收款",'Daily Sale entry '!R288="Cheque 支票",'Daily Sale entry '!V288&lt;&gt;""),'Daily Sale entry '!V288+ROW()/10000000,"")</f>
        <v/>
      </c>
      <c r="L1788" s="21">
        <f>IF(K1788="","",COUNTIF($K$2:$K$3001,"&lt;"&amp;K1788)+1)</f>
        <v/>
      </c>
    </row>
    <row r="1789">
      <c r="A1789" s="5">
        <f>IF($J1789="","",IF($J1789&lt;=1500,INDEX('Daily Sale entry '!$X$1:$X$1501,$J1789+1),INDEX('Daily Sale entry '!$V$1:$V$1501,$J1789-1499)))</f>
        <v/>
      </c>
      <c r="B1789">
        <f>IF($J1789="","",IF($J1789&lt;=1500,INDEX('Daily Sale entry '!$Y$1:$Y$1501,$J1789+1)&amp;"","Buyer cheque banked 买家支票存入"&amp;IF(INDEX('Daily Sale entry '!$U$1:$U$1501,$J1789-1499)="","", " - "&amp;INDEX('Daily Sale entry '!$U$1:$U$1501,$J1789-1499))))</f>
        <v/>
      </c>
      <c r="C1789">
        <f>IF($J1789="","",IF($J1789&lt;=1500,INDEX('Daily Sale entry '!$Z$1:$Z$1501,$J1789+1)&amp;"","Cheque deposit 支票存入 (buyer 买家)"))</f>
        <v/>
      </c>
      <c r="D1789">
        <f>IF($J1789="","",IF($J1789&lt;=1500,INDEX('Daily Sale entry '!$AA$1:$AA$1501,$J1789+1)&amp;"",INDEX('Daily Sale entry '!$P$1:$P$1501,$J1789-1499)&amp;""))</f>
        <v/>
      </c>
      <c r="E1789">
        <f>IF($J1789="","",IF($J1789&lt;=1500,IF(N(INDEX('Daily Sale entry '!$AB$1:$AB$1501,$J1789+1))=0,"",INDEX('Daily Sale entry '!$AB$1:$AB$1501,$J1789+1)),1))</f>
        <v/>
      </c>
      <c r="F1789" s="6">
        <f>IF($J1789="","",IF($J1789&lt;=1500,N(INDEX('Daily Sale entry '!$AC$1:$AC$1501,$J1789+1))-IF(AND('Opening Balance'!$B$15=1,INDEX('Daily Sale entry '!$Z$1:$Z$1501,$J1789+1)="Online collection 网上收款",INDEX('Daily Sale entry '!$AA$1:$AA$1501,$J1789+1)&lt;&gt;""),N(INDEX('Daily Sale entry '!$AC$1:$AC$1501,$J1789+1))-TRUNC(N(INDEX('Daily Sale entry '!$AC$1:$AC$1501,$J1789+1))),0),N(INDEX('Daily Sale entry '!$S$1:$S$1501,$J1789-1499))-'Opening Balance'!$B$15*(N(INDEX('Daily Sale entry '!$S$1:$S$1501,$J1789-1499))-TRUNC(N(INDEX('Daily Sale entry '!$S$1:$S$1501,$J1789-1499))))))</f>
        <v/>
      </c>
      <c r="G1789" s="6">
        <f>IF($J1789="","",IF($J1789&lt;=1500,N(INDEX('Daily Sale entry '!$AD$1:$AD$1501,$J1789+1)),0))</f>
        <v/>
      </c>
      <c r="H1789" s="6">
        <f>IF($J1789="","",ROUND('Opening Balance'!$B$4+SUM($F$2:F1789)-SUM($G$2:G1789),2))</f>
        <v/>
      </c>
      <c r="J1789" s="21">
        <f>IFERROR(MATCH(ROW()-1,$L$2:$L$3001,0),"")</f>
        <v/>
      </c>
      <c r="K1789" s="34">
        <f>IF(AND('Daily Sale entry '!Q289="Collection 收款",'Daily Sale entry '!R289="Cheque 支票",'Daily Sale entry '!V289&lt;&gt;""),'Daily Sale entry '!V289+ROW()/10000000,"")</f>
        <v/>
      </c>
      <c r="L1789" s="21">
        <f>IF(K1789="","",COUNTIF($K$2:$K$3001,"&lt;"&amp;K1789)+1)</f>
        <v/>
      </c>
    </row>
    <row r="1790">
      <c r="A1790" s="5">
        <f>IF($J1790="","",IF($J1790&lt;=1500,INDEX('Daily Sale entry '!$X$1:$X$1501,$J1790+1),INDEX('Daily Sale entry '!$V$1:$V$1501,$J1790-1499)))</f>
        <v/>
      </c>
      <c r="B1790">
        <f>IF($J1790="","",IF($J1790&lt;=1500,INDEX('Daily Sale entry '!$Y$1:$Y$1501,$J1790+1)&amp;"","Buyer cheque banked 买家支票存入"&amp;IF(INDEX('Daily Sale entry '!$U$1:$U$1501,$J1790-1499)="","", " - "&amp;INDEX('Daily Sale entry '!$U$1:$U$1501,$J1790-1499))))</f>
        <v/>
      </c>
      <c r="C1790">
        <f>IF($J1790="","",IF($J1790&lt;=1500,INDEX('Daily Sale entry '!$Z$1:$Z$1501,$J1790+1)&amp;"","Cheque deposit 支票存入 (buyer 买家)"))</f>
        <v/>
      </c>
      <c r="D1790">
        <f>IF($J1790="","",IF($J1790&lt;=1500,INDEX('Daily Sale entry '!$AA$1:$AA$1501,$J1790+1)&amp;"",INDEX('Daily Sale entry '!$P$1:$P$1501,$J1790-1499)&amp;""))</f>
        <v/>
      </c>
      <c r="E1790">
        <f>IF($J1790="","",IF($J1790&lt;=1500,IF(N(INDEX('Daily Sale entry '!$AB$1:$AB$1501,$J1790+1))=0,"",INDEX('Daily Sale entry '!$AB$1:$AB$1501,$J1790+1)),1))</f>
        <v/>
      </c>
      <c r="F1790" s="6">
        <f>IF($J1790="","",IF($J1790&lt;=1500,N(INDEX('Daily Sale entry '!$AC$1:$AC$1501,$J1790+1))-IF(AND('Opening Balance'!$B$15=1,INDEX('Daily Sale entry '!$Z$1:$Z$1501,$J1790+1)="Online collection 网上收款",INDEX('Daily Sale entry '!$AA$1:$AA$1501,$J1790+1)&lt;&gt;""),N(INDEX('Daily Sale entry '!$AC$1:$AC$1501,$J1790+1))-TRUNC(N(INDEX('Daily Sale entry '!$AC$1:$AC$1501,$J1790+1))),0),N(INDEX('Daily Sale entry '!$S$1:$S$1501,$J1790-1499))-'Opening Balance'!$B$15*(N(INDEX('Daily Sale entry '!$S$1:$S$1501,$J1790-1499))-TRUNC(N(INDEX('Daily Sale entry '!$S$1:$S$1501,$J1790-1499))))))</f>
        <v/>
      </c>
      <c r="G1790" s="6">
        <f>IF($J1790="","",IF($J1790&lt;=1500,N(INDEX('Daily Sale entry '!$AD$1:$AD$1501,$J1790+1)),0))</f>
        <v/>
      </c>
      <c r="H1790" s="6">
        <f>IF($J1790="","",ROUND('Opening Balance'!$B$4+SUM($F$2:F1790)-SUM($G$2:G1790),2))</f>
        <v/>
      </c>
      <c r="J1790" s="21">
        <f>IFERROR(MATCH(ROW()-1,$L$2:$L$3001,0),"")</f>
        <v/>
      </c>
      <c r="K1790" s="34">
        <f>IF(AND('Daily Sale entry '!Q290="Collection 收款",'Daily Sale entry '!R290="Cheque 支票",'Daily Sale entry '!V290&lt;&gt;""),'Daily Sale entry '!V290+ROW()/10000000,"")</f>
        <v/>
      </c>
      <c r="L1790" s="21">
        <f>IF(K1790="","",COUNTIF($K$2:$K$3001,"&lt;"&amp;K1790)+1)</f>
        <v/>
      </c>
    </row>
    <row r="1791">
      <c r="A1791" s="5">
        <f>IF($J1791="","",IF($J1791&lt;=1500,INDEX('Daily Sale entry '!$X$1:$X$1501,$J1791+1),INDEX('Daily Sale entry '!$V$1:$V$1501,$J1791-1499)))</f>
        <v/>
      </c>
      <c r="B1791">
        <f>IF($J1791="","",IF($J1791&lt;=1500,INDEX('Daily Sale entry '!$Y$1:$Y$1501,$J1791+1)&amp;"","Buyer cheque banked 买家支票存入"&amp;IF(INDEX('Daily Sale entry '!$U$1:$U$1501,$J1791-1499)="","", " - "&amp;INDEX('Daily Sale entry '!$U$1:$U$1501,$J1791-1499))))</f>
        <v/>
      </c>
      <c r="C1791">
        <f>IF($J1791="","",IF($J1791&lt;=1500,INDEX('Daily Sale entry '!$Z$1:$Z$1501,$J1791+1)&amp;"","Cheque deposit 支票存入 (buyer 买家)"))</f>
        <v/>
      </c>
      <c r="D1791">
        <f>IF($J1791="","",IF($J1791&lt;=1500,INDEX('Daily Sale entry '!$AA$1:$AA$1501,$J1791+1)&amp;"",INDEX('Daily Sale entry '!$P$1:$P$1501,$J1791-1499)&amp;""))</f>
        <v/>
      </c>
      <c r="E1791">
        <f>IF($J1791="","",IF($J1791&lt;=1500,IF(N(INDEX('Daily Sale entry '!$AB$1:$AB$1501,$J1791+1))=0,"",INDEX('Daily Sale entry '!$AB$1:$AB$1501,$J1791+1)),1))</f>
        <v/>
      </c>
      <c r="F1791" s="6">
        <f>IF($J1791="","",IF($J1791&lt;=1500,N(INDEX('Daily Sale entry '!$AC$1:$AC$1501,$J1791+1))-IF(AND('Opening Balance'!$B$15=1,INDEX('Daily Sale entry '!$Z$1:$Z$1501,$J1791+1)="Online collection 网上收款",INDEX('Daily Sale entry '!$AA$1:$AA$1501,$J1791+1)&lt;&gt;""),N(INDEX('Daily Sale entry '!$AC$1:$AC$1501,$J1791+1))-TRUNC(N(INDEX('Daily Sale entry '!$AC$1:$AC$1501,$J1791+1))),0),N(INDEX('Daily Sale entry '!$S$1:$S$1501,$J1791-1499))-'Opening Balance'!$B$15*(N(INDEX('Daily Sale entry '!$S$1:$S$1501,$J1791-1499))-TRUNC(N(INDEX('Daily Sale entry '!$S$1:$S$1501,$J1791-1499))))))</f>
        <v/>
      </c>
      <c r="G1791" s="6">
        <f>IF($J1791="","",IF($J1791&lt;=1500,N(INDEX('Daily Sale entry '!$AD$1:$AD$1501,$J1791+1)),0))</f>
        <v/>
      </c>
      <c r="H1791" s="6">
        <f>IF($J1791="","",ROUND('Opening Balance'!$B$4+SUM($F$2:F1791)-SUM($G$2:G1791),2))</f>
        <v/>
      </c>
      <c r="J1791" s="21">
        <f>IFERROR(MATCH(ROW()-1,$L$2:$L$3001,0),"")</f>
        <v/>
      </c>
      <c r="K1791" s="34">
        <f>IF(AND('Daily Sale entry '!Q291="Collection 收款",'Daily Sale entry '!R291="Cheque 支票",'Daily Sale entry '!V291&lt;&gt;""),'Daily Sale entry '!V291+ROW()/10000000,"")</f>
        <v/>
      </c>
      <c r="L1791" s="21">
        <f>IF(K1791="","",COUNTIF($K$2:$K$3001,"&lt;"&amp;K1791)+1)</f>
        <v/>
      </c>
    </row>
    <row r="1792">
      <c r="A1792" s="5">
        <f>IF($J1792="","",IF($J1792&lt;=1500,INDEX('Daily Sale entry '!$X$1:$X$1501,$J1792+1),INDEX('Daily Sale entry '!$V$1:$V$1501,$J1792-1499)))</f>
        <v/>
      </c>
      <c r="B1792">
        <f>IF($J1792="","",IF($J1792&lt;=1500,INDEX('Daily Sale entry '!$Y$1:$Y$1501,$J1792+1)&amp;"","Buyer cheque banked 买家支票存入"&amp;IF(INDEX('Daily Sale entry '!$U$1:$U$1501,$J1792-1499)="","", " - "&amp;INDEX('Daily Sale entry '!$U$1:$U$1501,$J1792-1499))))</f>
        <v/>
      </c>
      <c r="C1792">
        <f>IF($J1792="","",IF($J1792&lt;=1500,INDEX('Daily Sale entry '!$Z$1:$Z$1501,$J1792+1)&amp;"","Cheque deposit 支票存入 (buyer 买家)"))</f>
        <v/>
      </c>
      <c r="D1792">
        <f>IF($J1792="","",IF($J1792&lt;=1500,INDEX('Daily Sale entry '!$AA$1:$AA$1501,$J1792+1)&amp;"",INDEX('Daily Sale entry '!$P$1:$P$1501,$J1792-1499)&amp;""))</f>
        <v/>
      </c>
      <c r="E1792">
        <f>IF($J1792="","",IF($J1792&lt;=1500,IF(N(INDEX('Daily Sale entry '!$AB$1:$AB$1501,$J1792+1))=0,"",INDEX('Daily Sale entry '!$AB$1:$AB$1501,$J1792+1)),1))</f>
        <v/>
      </c>
      <c r="F1792" s="6">
        <f>IF($J1792="","",IF($J1792&lt;=1500,N(INDEX('Daily Sale entry '!$AC$1:$AC$1501,$J1792+1))-IF(AND('Opening Balance'!$B$15=1,INDEX('Daily Sale entry '!$Z$1:$Z$1501,$J1792+1)="Online collection 网上收款",INDEX('Daily Sale entry '!$AA$1:$AA$1501,$J1792+1)&lt;&gt;""),N(INDEX('Daily Sale entry '!$AC$1:$AC$1501,$J1792+1))-TRUNC(N(INDEX('Daily Sale entry '!$AC$1:$AC$1501,$J1792+1))),0),N(INDEX('Daily Sale entry '!$S$1:$S$1501,$J1792-1499))-'Opening Balance'!$B$15*(N(INDEX('Daily Sale entry '!$S$1:$S$1501,$J1792-1499))-TRUNC(N(INDEX('Daily Sale entry '!$S$1:$S$1501,$J1792-1499))))))</f>
        <v/>
      </c>
      <c r="G1792" s="6">
        <f>IF($J1792="","",IF($J1792&lt;=1500,N(INDEX('Daily Sale entry '!$AD$1:$AD$1501,$J1792+1)),0))</f>
        <v/>
      </c>
      <c r="H1792" s="6">
        <f>IF($J1792="","",ROUND('Opening Balance'!$B$4+SUM($F$2:F1792)-SUM($G$2:G1792),2))</f>
        <v/>
      </c>
      <c r="J1792" s="21">
        <f>IFERROR(MATCH(ROW()-1,$L$2:$L$3001,0),"")</f>
        <v/>
      </c>
      <c r="K1792" s="34">
        <f>IF(AND('Daily Sale entry '!Q292="Collection 收款",'Daily Sale entry '!R292="Cheque 支票",'Daily Sale entry '!V292&lt;&gt;""),'Daily Sale entry '!V292+ROW()/10000000,"")</f>
        <v/>
      </c>
      <c r="L1792" s="21">
        <f>IF(K1792="","",COUNTIF($K$2:$K$3001,"&lt;"&amp;K1792)+1)</f>
        <v/>
      </c>
    </row>
    <row r="1793">
      <c r="A1793" s="5">
        <f>IF($J1793="","",IF($J1793&lt;=1500,INDEX('Daily Sale entry '!$X$1:$X$1501,$J1793+1),INDEX('Daily Sale entry '!$V$1:$V$1501,$J1793-1499)))</f>
        <v/>
      </c>
      <c r="B1793">
        <f>IF($J1793="","",IF($J1793&lt;=1500,INDEX('Daily Sale entry '!$Y$1:$Y$1501,$J1793+1)&amp;"","Buyer cheque banked 买家支票存入"&amp;IF(INDEX('Daily Sale entry '!$U$1:$U$1501,$J1793-1499)="","", " - "&amp;INDEX('Daily Sale entry '!$U$1:$U$1501,$J1793-1499))))</f>
        <v/>
      </c>
      <c r="C1793">
        <f>IF($J1793="","",IF($J1793&lt;=1500,INDEX('Daily Sale entry '!$Z$1:$Z$1501,$J1793+1)&amp;"","Cheque deposit 支票存入 (buyer 买家)"))</f>
        <v/>
      </c>
      <c r="D1793">
        <f>IF($J1793="","",IF($J1793&lt;=1500,INDEX('Daily Sale entry '!$AA$1:$AA$1501,$J1793+1)&amp;"",INDEX('Daily Sale entry '!$P$1:$P$1501,$J1793-1499)&amp;""))</f>
        <v/>
      </c>
      <c r="E1793">
        <f>IF($J1793="","",IF($J1793&lt;=1500,IF(N(INDEX('Daily Sale entry '!$AB$1:$AB$1501,$J1793+1))=0,"",INDEX('Daily Sale entry '!$AB$1:$AB$1501,$J1793+1)),1))</f>
        <v/>
      </c>
      <c r="F1793" s="6">
        <f>IF($J1793="","",IF($J1793&lt;=1500,N(INDEX('Daily Sale entry '!$AC$1:$AC$1501,$J1793+1))-IF(AND('Opening Balance'!$B$15=1,INDEX('Daily Sale entry '!$Z$1:$Z$1501,$J1793+1)="Online collection 网上收款",INDEX('Daily Sale entry '!$AA$1:$AA$1501,$J1793+1)&lt;&gt;""),N(INDEX('Daily Sale entry '!$AC$1:$AC$1501,$J1793+1))-TRUNC(N(INDEX('Daily Sale entry '!$AC$1:$AC$1501,$J1793+1))),0),N(INDEX('Daily Sale entry '!$S$1:$S$1501,$J1793-1499))-'Opening Balance'!$B$15*(N(INDEX('Daily Sale entry '!$S$1:$S$1501,$J1793-1499))-TRUNC(N(INDEX('Daily Sale entry '!$S$1:$S$1501,$J1793-1499))))))</f>
        <v/>
      </c>
      <c r="G1793" s="6">
        <f>IF($J1793="","",IF($J1793&lt;=1500,N(INDEX('Daily Sale entry '!$AD$1:$AD$1501,$J1793+1)),0))</f>
        <v/>
      </c>
      <c r="H1793" s="6">
        <f>IF($J1793="","",ROUND('Opening Balance'!$B$4+SUM($F$2:F1793)-SUM($G$2:G1793),2))</f>
        <v/>
      </c>
      <c r="J1793" s="21">
        <f>IFERROR(MATCH(ROW()-1,$L$2:$L$3001,0),"")</f>
        <v/>
      </c>
      <c r="K1793" s="34">
        <f>IF(AND('Daily Sale entry '!Q293="Collection 收款",'Daily Sale entry '!R293="Cheque 支票",'Daily Sale entry '!V293&lt;&gt;""),'Daily Sale entry '!V293+ROW()/10000000,"")</f>
        <v/>
      </c>
      <c r="L1793" s="21">
        <f>IF(K1793="","",COUNTIF($K$2:$K$3001,"&lt;"&amp;K1793)+1)</f>
        <v/>
      </c>
    </row>
    <row r="1794">
      <c r="A1794" s="5">
        <f>IF($J1794="","",IF($J1794&lt;=1500,INDEX('Daily Sale entry '!$X$1:$X$1501,$J1794+1),INDEX('Daily Sale entry '!$V$1:$V$1501,$J1794-1499)))</f>
        <v/>
      </c>
      <c r="B1794">
        <f>IF($J1794="","",IF($J1794&lt;=1500,INDEX('Daily Sale entry '!$Y$1:$Y$1501,$J1794+1)&amp;"","Buyer cheque banked 买家支票存入"&amp;IF(INDEX('Daily Sale entry '!$U$1:$U$1501,$J1794-1499)="","", " - "&amp;INDEX('Daily Sale entry '!$U$1:$U$1501,$J1794-1499))))</f>
        <v/>
      </c>
      <c r="C1794">
        <f>IF($J1794="","",IF($J1794&lt;=1500,INDEX('Daily Sale entry '!$Z$1:$Z$1501,$J1794+1)&amp;"","Cheque deposit 支票存入 (buyer 买家)"))</f>
        <v/>
      </c>
      <c r="D1794">
        <f>IF($J1794="","",IF($J1794&lt;=1500,INDEX('Daily Sale entry '!$AA$1:$AA$1501,$J1794+1)&amp;"",INDEX('Daily Sale entry '!$P$1:$P$1501,$J1794-1499)&amp;""))</f>
        <v/>
      </c>
      <c r="E1794">
        <f>IF($J1794="","",IF($J1794&lt;=1500,IF(N(INDEX('Daily Sale entry '!$AB$1:$AB$1501,$J1794+1))=0,"",INDEX('Daily Sale entry '!$AB$1:$AB$1501,$J1794+1)),1))</f>
        <v/>
      </c>
      <c r="F1794" s="6">
        <f>IF($J1794="","",IF($J1794&lt;=1500,N(INDEX('Daily Sale entry '!$AC$1:$AC$1501,$J1794+1))-IF(AND('Opening Balance'!$B$15=1,INDEX('Daily Sale entry '!$Z$1:$Z$1501,$J1794+1)="Online collection 网上收款",INDEX('Daily Sale entry '!$AA$1:$AA$1501,$J1794+1)&lt;&gt;""),N(INDEX('Daily Sale entry '!$AC$1:$AC$1501,$J1794+1))-TRUNC(N(INDEX('Daily Sale entry '!$AC$1:$AC$1501,$J1794+1))),0),N(INDEX('Daily Sale entry '!$S$1:$S$1501,$J1794-1499))-'Opening Balance'!$B$15*(N(INDEX('Daily Sale entry '!$S$1:$S$1501,$J1794-1499))-TRUNC(N(INDEX('Daily Sale entry '!$S$1:$S$1501,$J1794-1499))))))</f>
        <v/>
      </c>
      <c r="G1794" s="6">
        <f>IF($J1794="","",IF($J1794&lt;=1500,N(INDEX('Daily Sale entry '!$AD$1:$AD$1501,$J1794+1)),0))</f>
        <v/>
      </c>
      <c r="H1794" s="6">
        <f>IF($J1794="","",ROUND('Opening Balance'!$B$4+SUM($F$2:F1794)-SUM($G$2:G1794),2))</f>
        <v/>
      </c>
      <c r="J1794" s="21">
        <f>IFERROR(MATCH(ROW()-1,$L$2:$L$3001,0),"")</f>
        <v/>
      </c>
      <c r="K1794" s="34">
        <f>IF(AND('Daily Sale entry '!Q294="Collection 收款",'Daily Sale entry '!R294="Cheque 支票",'Daily Sale entry '!V294&lt;&gt;""),'Daily Sale entry '!V294+ROW()/10000000,"")</f>
        <v/>
      </c>
      <c r="L1794" s="21">
        <f>IF(K1794="","",COUNTIF($K$2:$K$3001,"&lt;"&amp;K1794)+1)</f>
        <v/>
      </c>
    </row>
    <row r="1795">
      <c r="A1795" s="5">
        <f>IF($J1795="","",IF($J1795&lt;=1500,INDEX('Daily Sale entry '!$X$1:$X$1501,$J1795+1),INDEX('Daily Sale entry '!$V$1:$V$1501,$J1795-1499)))</f>
        <v/>
      </c>
      <c r="B1795">
        <f>IF($J1795="","",IF($J1795&lt;=1500,INDEX('Daily Sale entry '!$Y$1:$Y$1501,$J1795+1)&amp;"","Buyer cheque banked 买家支票存入"&amp;IF(INDEX('Daily Sale entry '!$U$1:$U$1501,$J1795-1499)="","", " - "&amp;INDEX('Daily Sale entry '!$U$1:$U$1501,$J1795-1499))))</f>
        <v/>
      </c>
      <c r="C1795">
        <f>IF($J1795="","",IF($J1795&lt;=1500,INDEX('Daily Sale entry '!$Z$1:$Z$1501,$J1795+1)&amp;"","Cheque deposit 支票存入 (buyer 买家)"))</f>
        <v/>
      </c>
      <c r="D1795">
        <f>IF($J1795="","",IF($J1795&lt;=1500,INDEX('Daily Sale entry '!$AA$1:$AA$1501,$J1795+1)&amp;"",INDEX('Daily Sale entry '!$P$1:$P$1501,$J1795-1499)&amp;""))</f>
        <v/>
      </c>
      <c r="E1795">
        <f>IF($J1795="","",IF($J1795&lt;=1500,IF(N(INDEX('Daily Sale entry '!$AB$1:$AB$1501,$J1795+1))=0,"",INDEX('Daily Sale entry '!$AB$1:$AB$1501,$J1795+1)),1))</f>
        <v/>
      </c>
      <c r="F1795" s="6">
        <f>IF($J1795="","",IF($J1795&lt;=1500,N(INDEX('Daily Sale entry '!$AC$1:$AC$1501,$J1795+1))-IF(AND('Opening Balance'!$B$15=1,INDEX('Daily Sale entry '!$Z$1:$Z$1501,$J1795+1)="Online collection 网上收款",INDEX('Daily Sale entry '!$AA$1:$AA$1501,$J1795+1)&lt;&gt;""),N(INDEX('Daily Sale entry '!$AC$1:$AC$1501,$J1795+1))-TRUNC(N(INDEX('Daily Sale entry '!$AC$1:$AC$1501,$J1795+1))),0),N(INDEX('Daily Sale entry '!$S$1:$S$1501,$J1795-1499))-'Opening Balance'!$B$15*(N(INDEX('Daily Sale entry '!$S$1:$S$1501,$J1795-1499))-TRUNC(N(INDEX('Daily Sale entry '!$S$1:$S$1501,$J1795-1499))))))</f>
        <v/>
      </c>
      <c r="G1795" s="6">
        <f>IF($J1795="","",IF($J1795&lt;=1500,N(INDEX('Daily Sale entry '!$AD$1:$AD$1501,$J1795+1)),0))</f>
        <v/>
      </c>
      <c r="H1795" s="6">
        <f>IF($J1795="","",ROUND('Opening Balance'!$B$4+SUM($F$2:F1795)-SUM($G$2:G1795),2))</f>
        <v/>
      </c>
      <c r="J1795" s="21">
        <f>IFERROR(MATCH(ROW()-1,$L$2:$L$3001,0),"")</f>
        <v/>
      </c>
      <c r="K1795" s="34">
        <f>IF(AND('Daily Sale entry '!Q295="Collection 收款",'Daily Sale entry '!R295="Cheque 支票",'Daily Sale entry '!V295&lt;&gt;""),'Daily Sale entry '!V295+ROW()/10000000,"")</f>
        <v/>
      </c>
      <c r="L1795" s="21">
        <f>IF(K1795="","",COUNTIF($K$2:$K$3001,"&lt;"&amp;K1795)+1)</f>
        <v/>
      </c>
    </row>
    <row r="1796">
      <c r="A1796" s="5">
        <f>IF($J1796="","",IF($J1796&lt;=1500,INDEX('Daily Sale entry '!$X$1:$X$1501,$J1796+1),INDEX('Daily Sale entry '!$V$1:$V$1501,$J1796-1499)))</f>
        <v/>
      </c>
      <c r="B1796">
        <f>IF($J1796="","",IF($J1796&lt;=1500,INDEX('Daily Sale entry '!$Y$1:$Y$1501,$J1796+1)&amp;"","Buyer cheque banked 买家支票存入"&amp;IF(INDEX('Daily Sale entry '!$U$1:$U$1501,$J1796-1499)="","", " - "&amp;INDEX('Daily Sale entry '!$U$1:$U$1501,$J1796-1499))))</f>
        <v/>
      </c>
      <c r="C1796">
        <f>IF($J1796="","",IF($J1796&lt;=1500,INDEX('Daily Sale entry '!$Z$1:$Z$1501,$J1796+1)&amp;"","Cheque deposit 支票存入 (buyer 买家)"))</f>
        <v/>
      </c>
      <c r="D1796">
        <f>IF($J1796="","",IF($J1796&lt;=1500,INDEX('Daily Sale entry '!$AA$1:$AA$1501,$J1796+1)&amp;"",INDEX('Daily Sale entry '!$P$1:$P$1501,$J1796-1499)&amp;""))</f>
        <v/>
      </c>
      <c r="E1796">
        <f>IF($J1796="","",IF($J1796&lt;=1500,IF(N(INDEX('Daily Sale entry '!$AB$1:$AB$1501,$J1796+1))=0,"",INDEX('Daily Sale entry '!$AB$1:$AB$1501,$J1796+1)),1))</f>
        <v/>
      </c>
      <c r="F1796" s="6">
        <f>IF($J1796="","",IF($J1796&lt;=1500,N(INDEX('Daily Sale entry '!$AC$1:$AC$1501,$J1796+1))-IF(AND('Opening Balance'!$B$15=1,INDEX('Daily Sale entry '!$Z$1:$Z$1501,$J1796+1)="Online collection 网上收款",INDEX('Daily Sale entry '!$AA$1:$AA$1501,$J1796+1)&lt;&gt;""),N(INDEX('Daily Sale entry '!$AC$1:$AC$1501,$J1796+1))-TRUNC(N(INDEX('Daily Sale entry '!$AC$1:$AC$1501,$J1796+1))),0),N(INDEX('Daily Sale entry '!$S$1:$S$1501,$J1796-1499))-'Opening Balance'!$B$15*(N(INDEX('Daily Sale entry '!$S$1:$S$1501,$J1796-1499))-TRUNC(N(INDEX('Daily Sale entry '!$S$1:$S$1501,$J1796-1499))))))</f>
        <v/>
      </c>
      <c r="G1796" s="6">
        <f>IF($J1796="","",IF($J1796&lt;=1500,N(INDEX('Daily Sale entry '!$AD$1:$AD$1501,$J1796+1)),0))</f>
        <v/>
      </c>
      <c r="H1796" s="6">
        <f>IF($J1796="","",ROUND('Opening Balance'!$B$4+SUM($F$2:F1796)-SUM($G$2:G1796),2))</f>
        <v/>
      </c>
      <c r="J1796" s="21">
        <f>IFERROR(MATCH(ROW()-1,$L$2:$L$3001,0),"")</f>
        <v/>
      </c>
      <c r="K1796" s="34">
        <f>IF(AND('Daily Sale entry '!Q296="Collection 收款",'Daily Sale entry '!R296="Cheque 支票",'Daily Sale entry '!V296&lt;&gt;""),'Daily Sale entry '!V296+ROW()/10000000,"")</f>
        <v/>
      </c>
      <c r="L1796" s="21">
        <f>IF(K1796="","",COUNTIF($K$2:$K$3001,"&lt;"&amp;K1796)+1)</f>
        <v/>
      </c>
    </row>
    <row r="1797">
      <c r="A1797" s="5">
        <f>IF($J1797="","",IF($J1797&lt;=1500,INDEX('Daily Sale entry '!$X$1:$X$1501,$J1797+1),INDEX('Daily Sale entry '!$V$1:$V$1501,$J1797-1499)))</f>
        <v/>
      </c>
      <c r="B1797">
        <f>IF($J1797="","",IF($J1797&lt;=1500,INDEX('Daily Sale entry '!$Y$1:$Y$1501,$J1797+1)&amp;"","Buyer cheque banked 买家支票存入"&amp;IF(INDEX('Daily Sale entry '!$U$1:$U$1501,$J1797-1499)="","", " - "&amp;INDEX('Daily Sale entry '!$U$1:$U$1501,$J1797-1499))))</f>
        <v/>
      </c>
      <c r="C1797">
        <f>IF($J1797="","",IF($J1797&lt;=1500,INDEX('Daily Sale entry '!$Z$1:$Z$1501,$J1797+1)&amp;"","Cheque deposit 支票存入 (buyer 买家)"))</f>
        <v/>
      </c>
      <c r="D1797">
        <f>IF($J1797="","",IF($J1797&lt;=1500,INDEX('Daily Sale entry '!$AA$1:$AA$1501,$J1797+1)&amp;"",INDEX('Daily Sale entry '!$P$1:$P$1501,$J1797-1499)&amp;""))</f>
        <v/>
      </c>
      <c r="E1797">
        <f>IF($J1797="","",IF($J1797&lt;=1500,IF(N(INDEX('Daily Sale entry '!$AB$1:$AB$1501,$J1797+1))=0,"",INDEX('Daily Sale entry '!$AB$1:$AB$1501,$J1797+1)),1))</f>
        <v/>
      </c>
      <c r="F1797" s="6">
        <f>IF($J1797="","",IF($J1797&lt;=1500,N(INDEX('Daily Sale entry '!$AC$1:$AC$1501,$J1797+1))-IF(AND('Opening Balance'!$B$15=1,INDEX('Daily Sale entry '!$Z$1:$Z$1501,$J1797+1)="Online collection 网上收款",INDEX('Daily Sale entry '!$AA$1:$AA$1501,$J1797+1)&lt;&gt;""),N(INDEX('Daily Sale entry '!$AC$1:$AC$1501,$J1797+1))-TRUNC(N(INDEX('Daily Sale entry '!$AC$1:$AC$1501,$J1797+1))),0),N(INDEX('Daily Sale entry '!$S$1:$S$1501,$J1797-1499))-'Opening Balance'!$B$15*(N(INDEX('Daily Sale entry '!$S$1:$S$1501,$J1797-1499))-TRUNC(N(INDEX('Daily Sale entry '!$S$1:$S$1501,$J1797-1499))))))</f>
        <v/>
      </c>
      <c r="G1797" s="6">
        <f>IF($J1797="","",IF($J1797&lt;=1500,N(INDEX('Daily Sale entry '!$AD$1:$AD$1501,$J1797+1)),0))</f>
        <v/>
      </c>
      <c r="H1797" s="6">
        <f>IF($J1797="","",ROUND('Opening Balance'!$B$4+SUM($F$2:F1797)-SUM($G$2:G1797),2))</f>
        <v/>
      </c>
      <c r="J1797" s="21">
        <f>IFERROR(MATCH(ROW()-1,$L$2:$L$3001,0),"")</f>
        <v/>
      </c>
      <c r="K1797" s="34">
        <f>IF(AND('Daily Sale entry '!Q297="Collection 收款",'Daily Sale entry '!R297="Cheque 支票",'Daily Sale entry '!V297&lt;&gt;""),'Daily Sale entry '!V297+ROW()/10000000,"")</f>
        <v/>
      </c>
      <c r="L1797" s="21">
        <f>IF(K1797="","",COUNTIF($K$2:$K$3001,"&lt;"&amp;K1797)+1)</f>
        <v/>
      </c>
    </row>
    <row r="1798">
      <c r="A1798" s="5">
        <f>IF($J1798="","",IF($J1798&lt;=1500,INDEX('Daily Sale entry '!$X$1:$X$1501,$J1798+1),INDEX('Daily Sale entry '!$V$1:$V$1501,$J1798-1499)))</f>
        <v/>
      </c>
      <c r="B1798">
        <f>IF($J1798="","",IF($J1798&lt;=1500,INDEX('Daily Sale entry '!$Y$1:$Y$1501,$J1798+1)&amp;"","Buyer cheque banked 买家支票存入"&amp;IF(INDEX('Daily Sale entry '!$U$1:$U$1501,$J1798-1499)="","", " - "&amp;INDEX('Daily Sale entry '!$U$1:$U$1501,$J1798-1499))))</f>
        <v/>
      </c>
      <c r="C1798">
        <f>IF($J1798="","",IF($J1798&lt;=1500,INDEX('Daily Sale entry '!$Z$1:$Z$1501,$J1798+1)&amp;"","Cheque deposit 支票存入 (buyer 买家)"))</f>
        <v/>
      </c>
      <c r="D1798">
        <f>IF($J1798="","",IF($J1798&lt;=1500,INDEX('Daily Sale entry '!$AA$1:$AA$1501,$J1798+1)&amp;"",INDEX('Daily Sale entry '!$P$1:$P$1501,$J1798-1499)&amp;""))</f>
        <v/>
      </c>
      <c r="E1798">
        <f>IF($J1798="","",IF($J1798&lt;=1500,IF(N(INDEX('Daily Sale entry '!$AB$1:$AB$1501,$J1798+1))=0,"",INDEX('Daily Sale entry '!$AB$1:$AB$1501,$J1798+1)),1))</f>
        <v/>
      </c>
      <c r="F1798" s="6">
        <f>IF($J1798="","",IF($J1798&lt;=1500,N(INDEX('Daily Sale entry '!$AC$1:$AC$1501,$J1798+1))-IF(AND('Opening Balance'!$B$15=1,INDEX('Daily Sale entry '!$Z$1:$Z$1501,$J1798+1)="Online collection 网上收款",INDEX('Daily Sale entry '!$AA$1:$AA$1501,$J1798+1)&lt;&gt;""),N(INDEX('Daily Sale entry '!$AC$1:$AC$1501,$J1798+1))-TRUNC(N(INDEX('Daily Sale entry '!$AC$1:$AC$1501,$J1798+1))),0),N(INDEX('Daily Sale entry '!$S$1:$S$1501,$J1798-1499))-'Opening Balance'!$B$15*(N(INDEX('Daily Sale entry '!$S$1:$S$1501,$J1798-1499))-TRUNC(N(INDEX('Daily Sale entry '!$S$1:$S$1501,$J1798-1499))))))</f>
        <v/>
      </c>
      <c r="G1798" s="6">
        <f>IF($J1798="","",IF($J1798&lt;=1500,N(INDEX('Daily Sale entry '!$AD$1:$AD$1501,$J1798+1)),0))</f>
        <v/>
      </c>
      <c r="H1798" s="6">
        <f>IF($J1798="","",ROUND('Opening Balance'!$B$4+SUM($F$2:F1798)-SUM($G$2:G1798),2))</f>
        <v/>
      </c>
      <c r="J1798" s="21">
        <f>IFERROR(MATCH(ROW()-1,$L$2:$L$3001,0),"")</f>
        <v/>
      </c>
      <c r="K1798" s="34">
        <f>IF(AND('Daily Sale entry '!Q298="Collection 收款",'Daily Sale entry '!R298="Cheque 支票",'Daily Sale entry '!V298&lt;&gt;""),'Daily Sale entry '!V298+ROW()/10000000,"")</f>
        <v/>
      </c>
      <c r="L1798" s="21">
        <f>IF(K1798="","",COUNTIF($K$2:$K$3001,"&lt;"&amp;K1798)+1)</f>
        <v/>
      </c>
    </row>
    <row r="1799">
      <c r="A1799" s="5">
        <f>IF($J1799="","",IF($J1799&lt;=1500,INDEX('Daily Sale entry '!$X$1:$X$1501,$J1799+1),INDEX('Daily Sale entry '!$V$1:$V$1501,$J1799-1499)))</f>
        <v/>
      </c>
      <c r="B1799">
        <f>IF($J1799="","",IF($J1799&lt;=1500,INDEX('Daily Sale entry '!$Y$1:$Y$1501,$J1799+1)&amp;"","Buyer cheque banked 买家支票存入"&amp;IF(INDEX('Daily Sale entry '!$U$1:$U$1501,$J1799-1499)="","", " - "&amp;INDEX('Daily Sale entry '!$U$1:$U$1501,$J1799-1499))))</f>
        <v/>
      </c>
      <c r="C1799">
        <f>IF($J1799="","",IF($J1799&lt;=1500,INDEX('Daily Sale entry '!$Z$1:$Z$1501,$J1799+1)&amp;"","Cheque deposit 支票存入 (buyer 买家)"))</f>
        <v/>
      </c>
      <c r="D1799">
        <f>IF($J1799="","",IF($J1799&lt;=1500,INDEX('Daily Sale entry '!$AA$1:$AA$1501,$J1799+1)&amp;"",INDEX('Daily Sale entry '!$P$1:$P$1501,$J1799-1499)&amp;""))</f>
        <v/>
      </c>
      <c r="E1799">
        <f>IF($J1799="","",IF($J1799&lt;=1500,IF(N(INDEX('Daily Sale entry '!$AB$1:$AB$1501,$J1799+1))=0,"",INDEX('Daily Sale entry '!$AB$1:$AB$1501,$J1799+1)),1))</f>
        <v/>
      </c>
      <c r="F1799" s="6">
        <f>IF($J1799="","",IF($J1799&lt;=1500,N(INDEX('Daily Sale entry '!$AC$1:$AC$1501,$J1799+1))-IF(AND('Opening Balance'!$B$15=1,INDEX('Daily Sale entry '!$Z$1:$Z$1501,$J1799+1)="Online collection 网上收款",INDEX('Daily Sale entry '!$AA$1:$AA$1501,$J1799+1)&lt;&gt;""),N(INDEX('Daily Sale entry '!$AC$1:$AC$1501,$J1799+1))-TRUNC(N(INDEX('Daily Sale entry '!$AC$1:$AC$1501,$J1799+1))),0),N(INDEX('Daily Sale entry '!$S$1:$S$1501,$J1799-1499))-'Opening Balance'!$B$15*(N(INDEX('Daily Sale entry '!$S$1:$S$1501,$J1799-1499))-TRUNC(N(INDEX('Daily Sale entry '!$S$1:$S$1501,$J1799-1499))))))</f>
        <v/>
      </c>
      <c r="G1799" s="6">
        <f>IF($J1799="","",IF($J1799&lt;=1500,N(INDEX('Daily Sale entry '!$AD$1:$AD$1501,$J1799+1)),0))</f>
        <v/>
      </c>
      <c r="H1799" s="6">
        <f>IF($J1799="","",ROUND('Opening Balance'!$B$4+SUM($F$2:F1799)-SUM($G$2:G1799),2))</f>
        <v/>
      </c>
      <c r="J1799" s="21">
        <f>IFERROR(MATCH(ROW()-1,$L$2:$L$3001,0),"")</f>
        <v/>
      </c>
      <c r="K1799" s="34">
        <f>IF(AND('Daily Sale entry '!Q299="Collection 收款",'Daily Sale entry '!R299="Cheque 支票",'Daily Sale entry '!V299&lt;&gt;""),'Daily Sale entry '!V299+ROW()/10000000,"")</f>
        <v/>
      </c>
      <c r="L1799" s="21">
        <f>IF(K1799="","",COUNTIF($K$2:$K$3001,"&lt;"&amp;K1799)+1)</f>
        <v/>
      </c>
    </row>
    <row r="1800">
      <c r="A1800" s="5">
        <f>IF($J1800="","",IF($J1800&lt;=1500,INDEX('Daily Sale entry '!$X$1:$X$1501,$J1800+1),INDEX('Daily Sale entry '!$V$1:$V$1501,$J1800-1499)))</f>
        <v/>
      </c>
      <c r="B1800">
        <f>IF($J1800="","",IF($J1800&lt;=1500,INDEX('Daily Sale entry '!$Y$1:$Y$1501,$J1800+1)&amp;"","Buyer cheque banked 买家支票存入"&amp;IF(INDEX('Daily Sale entry '!$U$1:$U$1501,$J1800-1499)="","", " - "&amp;INDEX('Daily Sale entry '!$U$1:$U$1501,$J1800-1499))))</f>
        <v/>
      </c>
      <c r="C1800">
        <f>IF($J1800="","",IF($J1800&lt;=1500,INDEX('Daily Sale entry '!$Z$1:$Z$1501,$J1800+1)&amp;"","Cheque deposit 支票存入 (buyer 买家)"))</f>
        <v/>
      </c>
      <c r="D1800">
        <f>IF($J1800="","",IF($J1800&lt;=1500,INDEX('Daily Sale entry '!$AA$1:$AA$1501,$J1800+1)&amp;"",INDEX('Daily Sale entry '!$P$1:$P$1501,$J1800-1499)&amp;""))</f>
        <v/>
      </c>
      <c r="E1800">
        <f>IF($J1800="","",IF($J1800&lt;=1500,IF(N(INDEX('Daily Sale entry '!$AB$1:$AB$1501,$J1800+1))=0,"",INDEX('Daily Sale entry '!$AB$1:$AB$1501,$J1800+1)),1))</f>
        <v/>
      </c>
      <c r="F1800" s="6">
        <f>IF($J1800="","",IF($J1800&lt;=1500,N(INDEX('Daily Sale entry '!$AC$1:$AC$1501,$J1800+1))-IF(AND('Opening Balance'!$B$15=1,INDEX('Daily Sale entry '!$Z$1:$Z$1501,$J1800+1)="Online collection 网上收款",INDEX('Daily Sale entry '!$AA$1:$AA$1501,$J1800+1)&lt;&gt;""),N(INDEX('Daily Sale entry '!$AC$1:$AC$1501,$J1800+1))-TRUNC(N(INDEX('Daily Sale entry '!$AC$1:$AC$1501,$J1800+1))),0),N(INDEX('Daily Sale entry '!$S$1:$S$1501,$J1800-1499))-'Opening Balance'!$B$15*(N(INDEX('Daily Sale entry '!$S$1:$S$1501,$J1800-1499))-TRUNC(N(INDEX('Daily Sale entry '!$S$1:$S$1501,$J1800-1499))))))</f>
        <v/>
      </c>
      <c r="G1800" s="6">
        <f>IF($J1800="","",IF($J1800&lt;=1500,N(INDEX('Daily Sale entry '!$AD$1:$AD$1501,$J1800+1)),0))</f>
        <v/>
      </c>
      <c r="H1800" s="6">
        <f>IF($J1800="","",ROUND('Opening Balance'!$B$4+SUM($F$2:F1800)-SUM($G$2:G1800),2))</f>
        <v/>
      </c>
      <c r="J1800" s="21">
        <f>IFERROR(MATCH(ROW()-1,$L$2:$L$3001,0),"")</f>
        <v/>
      </c>
      <c r="K1800" s="34">
        <f>IF(AND('Daily Sale entry '!Q300="Collection 收款",'Daily Sale entry '!R300="Cheque 支票",'Daily Sale entry '!V300&lt;&gt;""),'Daily Sale entry '!V300+ROW()/10000000,"")</f>
        <v/>
      </c>
      <c r="L1800" s="21">
        <f>IF(K1800="","",COUNTIF($K$2:$K$3001,"&lt;"&amp;K1800)+1)</f>
        <v/>
      </c>
    </row>
    <row r="1801">
      <c r="A1801" s="5">
        <f>IF($J1801="","",IF($J1801&lt;=1500,INDEX('Daily Sale entry '!$X$1:$X$1501,$J1801+1),INDEX('Daily Sale entry '!$V$1:$V$1501,$J1801-1499)))</f>
        <v/>
      </c>
      <c r="B1801">
        <f>IF($J1801="","",IF($J1801&lt;=1500,INDEX('Daily Sale entry '!$Y$1:$Y$1501,$J1801+1)&amp;"","Buyer cheque banked 买家支票存入"&amp;IF(INDEX('Daily Sale entry '!$U$1:$U$1501,$J1801-1499)="","", " - "&amp;INDEX('Daily Sale entry '!$U$1:$U$1501,$J1801-1499))))</f>
        <v/>
      </c>
      <c r="C1801">
        <f>IF($J1801="","",IF($J1801&lt;=1500,INDEX('Daily Sale entry '!$Z$1:$Z$1501,$J1801+1)&amp;"","Cheque deposit 支票存入 (buyer 买家)"))</f>
        <v/>
      </c>
      <c r="D1801">
        <f>IF($J1801="","",IF($J1801&lt;=1500,INDEX('Daily Sale entry '!$AA$1:$AA$1501,$J1801+1)&amp;"",INDEX('Daily Sale entry '!$P$1:$P$1501,$J1801-1499)&amp;""))</f>
        <v/>
      </c>
      <c r="E1801">
        <f>IF($J1801="","",IF($J1801&lt;=1500,IF(N(INDEX('Daily Sale entry '!$AB$1:$AB$1501,$J1801+1))=0,"",INDEX('Daily Sale entry '!$AB$1:$AB$1501,$J1801+1)),1))</f>
        <v/>
      </c>
      <c r="F1801" s="6">
        <f>IF($J1801="","",IF($J1801&lt;=1500,N(INDEX('Daily Sale entry '!$AC$1:$AC$1501,$J1801+1))-IF(AND('Opening Balance'!$B$15=1,INDEX('Daily Sale entry '!$Z$1:$Z$1501,$J1801+1)="Online collection 网上收款",INDEX('Daily Sale entry '!$AA$1:$AA$1501,$J1801+1)&lt;&gt;""),N(INDEX('Daily Sale entry '!$AC$1:$AC$1501,$J1801+1))-TRUNC(N(INDEX('Daily Sale entry '!$AC$1:$AC$1501,$J1801+1))),0),N(INDEX('Daily Sale entry '!$S$1:$S$1501,$J1801-1499))-'Opening Balance'!$B$15*(N(INDEX('Daily Sale entry '!$S$1:$S$1501,$J1801-1499))-TRUNC(N(INDEX('Daily Sale entry '!$S$1:$S$1501,$J1801-1499))))))</f>
        <v/>
      </c>
      <c r="G1801" s="6">
        <f>IF($J1801="","",IF($J1801&lt;=1500,N(INDEX('Daily Sale entry '!$AD$1:$AD$1501,$J1801+1)),0))</f>
        <v/>
      </c>
      <c r="H1801" s="6">
        <f>IF($J1801="","",ROUND('Opening Balance'!$B$4+SUM($F$2:F1801)-SUM($G$2:G1801),2))</f>
        <v/>
      </c>
      <c r="J1801" s="21">
        <f>IFERROR(MATCH(ROW()-1,$L$2:$L$3001,0),"")</f>
        <v/>
      </c>
      <c r="K1801" s="34">
        <f>IF(AND('Daily Sale entry '!Q301="Collection 收款",'Daily Sale entry '!R301="Cheque 支票",'Daily Sale entry '!V301&lt;&gt;""),'Daily Sale entry '!V301+ROW()/10000000,"")</f>
        <v/>
      </c>
      <c r="L1801" s="21">
        <f>IF(K1801="","",COUNTIF($K$2:$K$3001,"&lt;"&amp;K1801)+1)</f>
        <v/>
      </c>
    </row>
    <row r="1802">
      <c r="A1802" s="5">
        <f>IF($J1802="","",IF($J1802&lt;=1500,INDEX('Daily Sale entry '!$X$1:$X$1501,$J1802+1),INDEX('Daily Sale entry '!$V$1:$V$1501,$J1802-1499)))</f>
        <v/>
      </c>
      <c r="B1802">
        <f>IF($J1802="","",IF($J1802&lt;=1500,INDEX('Daily Sale entry '!$Y$1:$Y$1501,$J1802+1)&amp;"","Buyer cheque banked 买家支票存入"&amp;IF(INDEX('Daily Sale entry '!$U$1:$U$1501,$J1802-1499)="","", " - "&amp;INDEX('Daily Sale entry '!$U$1:$U$1501,$J1802-1499))))</f>
        <v/>
      </c>
      <c r="C1802">
        <f>IF($J1802="","",IF($J1802&lt;=1500,INDEX('Daily Sale entry '!$Z$1:$Z$1501,$J1802+1)&amp;"","Cheque deposit 支票存入 (buyer 买家)"))</f>
        <v/>
      </c>
      <c r="D1802">
        <f>IF($J1802="","",IF($J1802&lt;=1500,INDEX('Daily Sale entry '!$AA$1:$AA$1501,$J1802+1)&amp;"",INDEX('Daily Sale entry '!$P$1:$P$1501,$J1802-1499)&amp;""))</f>
        <v/>
      </c>
      <c r="E1802">
        <f>IF($J1802="","",IF($J1802&lt;=1500,IF(N(INDEX('Daily Sale entry '!$AB$1:$AB$1501,$J1802+1))=0,"",INDEX('Daily Sale entry '!$AB$1:$AB$1501,$J1802+1)),1))</f>
        <v/>
      </c>
      <c r="F1802" s="6">
        <f>IF($J1802="","",IF($J1802&lt;=1500,N(INDEX('Daily Sale entry '!$AC$1:$AC$1501,$J1802+1))-IF(AND('Opening Balance'!$B$15=1,INDEX('Daily Sale entry '!$Z$1:$Z$1501,$J1802+1)="Online collection 网上收款",INDEX('Daily Sale entry '!$AA$1:$AA$1501,$J1802+1)&lt;&gt;""),N(INDEX('Daily Sale entry '!$AC$1:$AC$1501,$J1802+1))-TRUNC(N(INDEX('Daily Sale entry '!$AC$1:$AC$1501,$J1802+1))),0),N(INDEX('Daily Sale entry '!$S$1:$S$1501,$J1802-1499))-'Opening Balance'!$B$15*(N(INDEX('Daily Sale entry '!$S$1:$S$1501,$J1802-1499))-TRUNC(N(INDEX('Daily Sale entry '!$S$1:$S$1501,$J1802-1499))))))</f>
        <v/>
      </c>
      <c r="G1802" s="6">
        <f>IF($J1802="","",IF($J1802&lt;=1500,N(INDEX('Daily Sale entry '!$AD$1:$AD$1501,$J1802+1)),0))</f>
        <v/>
      </c>
      <c r="H1802" s="6">
        <f>IF($J1802="","",ROUND('Opening Balance'!$B$4+SUM($F$2:F1802)-SUM($G$2:G1802),2))</f>
        <v/>
      </c>
      <c r="J1802" s="21">
        <f>IFERROR(MATCH(ROW()-1,$L$2:$L$3001,0),"")</f>
        <v/>
      </c>
      <c r="K1802" s="34">
        <f>IF(AND('Daily Sale entry '!Q302="Collection 收款",'Daily Sale entry '!R302="Cheque 支票",'Daily Sale entry '!V302&lt;&gt;""),'Daily Sale entry '!V302+ROW()/10000000,"")</f>
        <v/>
      </c>
      <c r="L1802" s="21">
        <f>IF(K1802="","",COUNTIF($K$2:$K$3001,"&lt;"&amp;K1802)+1)</f>
        <v/>
      </c>
    </row>
    <row r="1803">
      <c r="A1803" s="5">
        <f>IF($J1803="","",IF($J1803&lt;=1500,INDEX('Daily Sale entry '!$X$1:$X$1501,$J1803+1),INDEX('Daily Sale entry '!$V$1:$V$1501,$J1803-1499)))</f>
        <v/>
      </c>
      <c r="B1803">
        <f>IF($J1803="","",IF($J1803&lt;=1500,INDEX('Daily Sale entry '!$Y$1:$Y$1501,$J1803+1)&amp;"","Buyer cheque banked 买家支票存入"&amp;IF(INDEX('Daily Sale entry '!$U$1:$U$1501,$J1803-1499)="","", " - "&amp;INDEX('Daily Sale entry '!$U$1:$U$1501,$J1803-1499))))</f>
        <v/>
      </c>
      <c r="C1803">
        <f>IF($J1803="","",IF($J1803&lt;=1500,INDEX('Daily Sale entry '!$Z$1:$Z$1501,$J1803+1)&amp;"","Cheque deposit 支票存入 (buyer 买家)"))</f>
        <v/>
      </c>
      <c r="D1803">
        <f>IF($J1803="","",IF($J1803&lt;=1500,INDEX('Daily Sale entry '!$AA$1:$AA$1501,$J1803+1)&amp;"",INDEX('Daily Sale entry '!$P$1:$P$1501,$J1803-1499)&amp;""))</f>
        <v/>
      </c>
      <c r="E1803">
        <f>IF($J1803="","",IF($J1803&lt;=1500,IF(N(INDEX('Daily Sale entry '!$AB$1:$AB$1501,$J1803+1))=0,"",INDEX('Daily Sale entry '!$AB$1:$AB$1501,$J1803+1)),1))</f>
        <v/>
      </c>
      <c r="F1803" s="6">
        <f>IF($J1803="","",IF($J1803&lt;=1500,N(INDEX('Daily Sale entry '!$AC$1:$AC$1501,$J1803+1))-IF(AND('Opening Balance'!$B$15=1,INDEX('Daily Sale entry '!$Z$1:$Z$1501,$J1803+1)="Online collection 网上收款",INDEX('Daily Sale entry '!$AA$1:$AA$1501,$J1803+1)&lt;&gt;""),N(INDEX('Daily Sale entry '!$AC$1:$AC$1501,$J1803+1))-TRUNC(N(INDEX('Daily Sale entry '!$AC$1:$AC$1501,$J1803+1))),0),N(INDEX('Daily Sale entry '!$S$1:$S$1501,$J1803-1499))-'Opening Balance'!$B$15*(N(INDEX('Daily Sale entry '!$S$1:$S$1501,$J1803-1499))-TRUNC(N(INDEX('Daily Sale entry '!$S$1:$S$1501,$J1803-1499))))))</f>
        <v/>
      </c>
      <c r="G1803" s="6">
        <f>IF($J1803="","",IF($J1803&lt;=1500,N(INDEX('Daily Sale entry '!$AD$1:$AD$1501,$J1803+1)),0))</f>
        <v/>
      </c>
      <c r="H1803" s="6">
        <f>IF($J1803="","",ROUND('Opening Balance'!$B$4+SUM($F$2:F1803)-SUM($G$2:G1803),2))</f>
        <v/>
      </c>
      <c r="J1803" s="21">
        <f>IFERROR(MATCH(ROW()-1,$L$2:$L$3001,0),"")</f>
        <v/>
      </c>
      <c r="K1803" s="34">
        <f>IF(AND('Daily Sale entry '!Q303="Collection 收款",'Daily Sale entry '!R303="Cheque 支票",'Daily Sale entry '!V303&lt;&gt;""),'Daily Sale entry '!V303+ROW()/10000000,"")</f>
        <v/>
      </c>
      <c r="L1803" s="21">
        <f>IF(K1803="","",COUNTIF($K$2:$K$3001,"&lt;"&amp;K1803)+1)</f>
        <v/>
      </c>
    </row>
    <row r="1804">
      <c r="A1804" s="5">
        <f>IF($J1804="","",IF($J1804&lt;=1500,INDEX('Daily Sale entry '!$X$1:$X$1501,$J1804+1),INDEX('Daily Sale entry '!$V$1:$V$1501,$J1804-1499)))</f>
        <v/>
      </c>
      <c r="B1804">
        <f>IF($J1804="","",IF($J1804&lt;=1500,INDEX('Daily Sale entry '!$Y$1:$Y$1501,$J1804+1)&amp;"","Buyer cheque banked 买家支票存入"&amp;IF(INDEX('Daily Sale entry '!$U$1:$U$1501,$J1804-1499)="","", " - "&amp;INDEX('Daily Sale entry '!$U$1:$U$1501,$J1804-1499))))</f>
        <v/>
      </c>
      <c r="C1804">
        <f>IF($J1804="","",IF($J1804&lt;=1500,INDEX('Daily Sale entry '!$Z$1:$Z$1501,$J1804+1)&amp;"","Cheque deposit 支票存入 (buyer 买家)"))</f>
        <v/>
      </c>
      <c r="D1804">
        <f>IF($J1804="","",IF($J1804&lt;=1500,INDEX('Daily Sale entry '!$AA$1:$AA$1501,$J1804+1)&amp;"",INDEX('Daily Sale entry '!$P$1:$P$1501,$J1804-1499)&amp;""))</f>
        <v/>
      </c>
      <c r="E1804">
        <f>IF($J1804="","",IF($J1804&lt;=1500,IF(N(INDEX('Daily Sale entry '!$AB$1:$AB$1501,$J1804+1))=0,"",INDEX('Daily Sale entry '!$AB$1:$AB$1501,$J1804+1)),1))</f>
        <v/>
      </c>
      <c r="F1804" s="6">
        <f>IF($J1804="","",IF($J1804&lt;=1500,N(INDEX('Daily Sale entry '!$AC$1:$AC$1501,$J1804+1))-IF(AND('Opening Balance'!$B$15=1,INDEX('Daily Sale entry '!$Z$1:$Z$1501,$J1804+1)="Online collection 网上收款",INDEX('Daily Sale entry '!$AA$1:$AA$1501,$J1804+1)&lt;&gt;""),N(INDEX('Daily Sale entry '!$AC$1:$AC$1501,$J1804+1))-TRUNC(N(INDEX('Daily Sale entry '!$AC$1:$AC$1501,$J1804+1))),0),N(INDEX('Daily Sale entry '!$S$1:$S$1501,$J1804-1499))-'Opening Balance'!$B$15*(N(INDEX('Daily Sale entry '!$S$1:$S$1501,$J1804-1499))-TRUNC(N(INDEX('Daily Sale entry '!$S$1:$S$1501,$J1804-1499))))))</f>
        <v/>
      </c>
      <c r="G1804" s="6">
        <f>IF($J1804="","",IF($J1804&lt;=1500,N(INDEX('Daily Sale entry '!$AD$1:$AD$1501,$J1804+1)),0))</f>
        <v/>
      </c>
      <c r="H1804" s="6">
        <f>IF($J1804="","",ROUND('Opening Balance'!$B$4+SUM($F$2:F1804)-SUM($G$2:G1804),2))</f>
        <v/>
      </c>
      <c r="J1804" s="21">
        <f>IFERROR(MATCH(ROW()-1,$L$2:$L$3001,0),"")</f>
        <v/>
      </c>
      <c r="K1804" s="34">
        <f>IF(AND('Daily Sale entry '!Q304="Collection 收款",'Daily Sale entry '!R304="Cheque 支票",'Daily Sale entry '!V304&lt;&gt;""),'Daily Sale entry '!V304+ROW()/10000000,"")</f>
        <v/>
      </c>
      <c r="L1804" s="21">
        <f>IF(K1804="","",COUNTIF($K$2:$K$3001,"&lt;"&amp;K1804)+1)</f>
        <v/>
      </c>
    </row>
    <row r="1805">
      <c r="A1805" s="5">
        <f>IF($J1805="","",IF($J1805&lt;=1500,INDEX('Daily Sale entry '!$X$1:$X$1501,$J1805+1),INDEX('Daily Sale entry '!$V$1:$V$1501,$J1805-1499)))</f>
        <v/>
      </c>
      <c r="B1805">
        <f>IF($J1805="","",IF($J1805&lt;=1500,INDEX('Daily Sale entry '!$Y$1:$Y$1501,$J1805+1)&amp;"","Buyer cheque banked 买家支票存入"&amp;IF(INDEX('Daily Sale entry '!$U$1:$U$1501,$J1805-1499)="","", " - "&amp;INDEX('Daily Sale entry '!$U$1:$U$1501,$J1805-1499))))</f>
        <v/>
      </c>
      <c r="C1805">
        <f>IF($J1805="","",IF($J1805&lt;=1500,INDEX('Daily Sale entry '!$Z$1:$Z$1501,$J1805+1)&amp;"","Cheque deposit 支票存入 (buyer 买家)"))</f>
        <v/>
      </c>
      <c r="D1805">
        <f>IF($J1805="","",IF($J1805&lt;=1500,INDEX('Daily Sale entry '!$AA$1:$AA$1501,$J1805+1)&amp;"",INDEX('Daily Sale entry '!$P$1:$P$1501,$J1805-1499)&amp;""))</f>
        <v/>
      </c>
      <c r="E1805">
        <f>IF($J1805="","",IF($J1805&lt;=1500,IF(N(INDEX('Daily Sale entry '!$AB$1:$AB$1501,$J1805+1))=0,"",INDEX('Daily Sale entry '!$AB$1:$AB$1501,$J1805+1)),1))</f>
        <v/>
      </c>
      <c r="F1805" s="6">
        <f>IF($J1805="","",IF($J1805&lt;=1500,N(INDEX('Daily Sale entry '!$AC$1:$AC$1501,$J1805+1))-IF(AND('Opening Balance'!$B$15=1,INDEX('Daily Sale entry '!$Z$1:$Z$1501,$J1805+1)="Online collection 网上收款",INDEX('Daily Sale entry '!$AA$1:$AA$1501,$J1805+1)&lt;&gt;""),N(INDEX('Daily Sale entry '!$AC$1:$AC$1501,$J1805+1))-TRUNC(N(INDEX('Daily Sale entry '!$AC$1:$AC$1501,$J1805+1))),0),N(INDEX('Daily Sale entry '!$S$1:$S$1501,$J1805-1499))-'Opening Balance'!$B$15*(N(INDEX('Daily Sale entry '!$S$1:$S$1501,$J1805-1499))-TRUNC(N(INDEX('Daily Sale entry '!$S$1:$S$1501,$J1805-1499))))))</f>
        <v/>
      </c>
      <c r="G1805" s="6">
        <f>IF($J1805="","",IF($J1805&lt;=1500,N(INDEX('Daily Sale entry '!$AD$1:$AD$1501,$J1805+1)),0))</f>
        <v/>
      </c>
      <c r="H1805" s="6">
        <f>IF($J1805="","",ROUND('Opening Balance'!$B$4+SUM($F$2:F1805)-SUM($G$2:G1805),2))</f>
        <v/>
      </c>
      <c r="J1805" s="21">
        <f>IFERROR(MATCH(ROW()-1,$L$2:$L$3001,0),"")</f>
        <v/>
      </c>
      <c r="K1805" s="34">
        <f>IF(AND('Daily Sale entry '!Q305="Collection 收款",'Daily Sale entry '!R305="Cheque 支票",'Daily Sale entry '!V305&lt;&gt;""),'Daily Sale entry '!V305+ROW()/10000000,"")</f>
        <v/>
      </c>
      <c r="L1805" s="21">
        <f>IF(K1805="","",COUNTIF($K$2:$K$3001,"&lt;"&amp;K1805)+1)</f>
        <v/>
      </c>
    </row>
    <row r="1806">
      <c r="A1806" s="5">
        <f>IF($J1806="","",IF($J1806&lt;=1500,INDEX('Daily Sale entry '!$X$1:$X$1501,$J1806+1),INDEX('Daily Sale entry '!$V$1:$V$1501,$J1806-1499)))</f>
        <v/>
      </c>
      <c r="B1806">
        <f>IF($J1806="","",IF($J1806&lt;=1500,INDEX('Daily Sale entry '!$Y$1:$Y$1501,$J1806+1)&amp;"","Buyer cheque banked 买家支票存入"&amp;IF(INDEX('Daily Sale entry '!$U$1:$U$1501,$J1806-1499)="","", " - "&amp;INDEX('Daily Sale entry '!$U$1:$U$1501,$J1806-1499))))</f>
        <v/>
      </c>
      <c r="C1806">
        <f>IF($J1806="","",IF($J1806&lt;=1500,INDEX('Daily Sale entry '!$Z$1:$Z$1501,$J1806+1)&amp;"","Cheque deposit 支票存入 (buyer 买家)"))</f>
        <v/>
      </c>
      <c r="D1806">
        <f>IF($J1806="","",IF($J1806&lt;=1500,INDEX('Daily Sale entry '!$AA$1:$AA$1501,$J1806+1)&amp;"",INDEX('Daily Sale entry '!$P$1:$P$1501,$J1806-1499)&amp;""))</f>
        <v/>
      </c>
      <c r="E1806">
        <f>IF($J1806="","",IF($J1806&lt;=1500,IF(N(INDEX('Daily Sale entry '!$AB$1:$AB$1501,$J1806+1))=0,"",INDEX('Daily Sale entry '!$AB$1:$AB$1501,$J1806+1)),1))</f>
        <v/>
      </c>
      <c r="F1806" s="6">
        <f>IF($J1806="","",IF($J1806&lt;=1500,N(INDEX('Daily Sale entry '!$AC$1:$AC$1501,$J1806+1))-IF(AND('Opening Balance'!$B$15=1,INDEX('Daily Sale entry '!$Z$1:$Z$1501,$J1806+1)="Online collection 网上收款",INDEX('Daily Sale entry '!$AA$1:$AA$1501,$J1806+1)&lt;&gt;""),N(INDEX('Daily Sale entry '!$AC$1:$AC$1501,$J1806+1))-TRUNC(N(INDEX('Daily Sale entry '!$AC$1:$AC$1501,$J1806+1))),0),N(INDEX('Daily Sale entry '!$S$1:$S$1501,$J1806-1499))-'Opening Balance'!$B$15*(N(INDEX('Daily Sale entry '!$S$1:$S$1501,$J1806-1499))-TRUNC(N(INDEX('Daily Sale entry '!$S$1:$S$1501,$J1806-1499))))))</f>
        <v/>
      </c>
      <c r="G1806" s="6">
        <f>IF($J1806="","",IF($J1806&lt;=1500,N(INDEX('Daily Sale entry '!$AD$1:$AD$1501,$J1806+1)),0))</f>
        <v/>
      </c>
      <c r="H1806" s="6">
        <f>IF($J1806="","",ROUND('Opening Balance'!$B$4+SUM($F$2:F1806)-SUM($G$2:G1806),2))</f>
        <v/>
      </c>
      <c r="J1806" s="21">
        <f>IFERROR(MATCH(ROW()-1,$L$2:$L$3001,0),"")</f>
        <v/>
      </c>
      <c r="K1806" s="34">
        <f>IF(AND('Daily Sale entry '!Q306="Collection 收款",'Daily Sale entry '!R306="Cheque 支票",'Daily Sale entry '!V306&lt;&gt;""),'Daily Sale entry '!V306+ROW()/10000000,"")</f>
        <v/>
      </c>
      <c r="L1806" s="21">
        <f>IF(K1806="","",COUNTIF($K$2:$K$3001,"&lt;"&amp;K1806)+1)</f>
        <v/>
      </c>
    </row>
    <row r="1807">
      <c r="A1807" s="5">
        <f>IF($J1807="","",IF($J1807&lt;=1500,INDEX('Daily Sale entry '!$X$1:$X$1501,$J1807+1),INDEX('Daily Sale entry '!$V$1:$V$1501,$J1807-1499)))</f>
        <v/>
      </c>
      <c r="B1807">
        <f>IF($J1807="","",IF($J1807&lt;=1500,INDEX('Daily Sale entry '!$Y$1:$Y$1501,$J1807+1)&amp;"","Buyer cheque banked 买家支票存入"&amp;IF(INDEX('Daily Sale entry '!$U$1:$U$1501,$J1807-1499)="","", " - "&amp;INDEX('Daily Sale entry '!$U$1:$U$1501,$J1807-1499))))</f>
        <v/>
      </c>
      <c r="C1807">
        <f>IF($J1807="","",IF($J1807&lt;=1500,INDEX('Daily Sale entry '!$Z$1:$Z$1501,$J1807+1)&amp;"","Cheque deposit 支票存入 (buyer 买家)"))</f>
        <v/>
      </c>
      <c r="D1807">
        <f>IF($J1807="","",IF($J1807&lt;=1500,INDEX('Daily Sale entry '!$AA$1:$AA$1501,$J1807+1)&amp;"",INDEX('Daily Sale entry '!$P$1:$P$1501,$J1807-1499)&amp;""))</f>
        <v/>
      </c>
      <c r="E1807">
        <f>IF($J1807="","",IF($J1807&lt;=1500,IF(N(INDEX('Daily Sale entry '!$AB$1:$AB$1501,$J1807+1))=0,"",INDEX('Daily Sale entry '!$AB$1:$AB$1501,$J1807+1)),1))</f>
        <v/>
      </c>
      <c r="F1807" s="6">
        <f>IF($J1807="","",IF($J1807&lt;=1500,N(INDEX('Daily Sale entry '!$AC$1:$AC$1501,$J1807+1))-IF(AND('Opening Balance'!$B$15=1,INDEX('Daily Sale entry '!$Z$1:$Z$1501,$J1807+1)="Online collection 网上收款",INDEX('Daily Sale entry '!$AA$1:$AA$1501,$J1807+1)&lt;&gt;""),N(INDEX('Daily Sale entry '!$AC$1:$AC$1501,$J1807+1))-TRUNC(N(INDEX('Daily Sale entry '!$AC$1:$AC$1501,$J1807+1))),0),N(INDEX('Daily Sale entry '!$S$1:$S$1501,$J1807-1499))-'Opening Balance'!$B$15*(N(INDEX('Daily Sale entry '!$S$1:$S$1501,$J1807-1499))-TRUNC(N(INDEX('Daily Sale entry '!$S$1:$S$1501,$J1807-1499))))))</f>
        <v/>
      </c>
      <c r="G1807" s="6">
        <f>IF($J1807="","",IF($J1807&lt;=1500,N(INDEX('Daily Sale entry '!$AD$1:$AD$1501,$J1807+1)),0))</f>
        <v/>
      </c>
      <c r="H1807" s="6">
        <f>IF($J1807="","",ROUND('Opening Balance'!$B$4+SUM($F$2:F1807)-SUM($G$2:G1807),2))</f>
        <v/>
      </c>
      <c r="J1807" s="21">
        <f>IFERROR(MATCH(ROW()-1,$L$2:$L$3001,0),"")</f>
        <v/>
      </c>
      <c r="K1807" s="34">
        <f>IF(AND('Daily Sale entry '!Q307="Collection 收款",'Daily Sale entry '!R307="Cheque 支票",'Daily Sale entry '!V307&lt;&gt;""),'Daily Sale entry '!V307+ROW()/10000000,"")</f>
        <v/>
      </c>
      <c r="L1807" s="21">
        <f>IF(K1807="","",COUNTIF($K$2:$K$3001,"&lt;"&amp;K1807)+1)</f>
        <v/>
      </c>
    </row>
    <row r="1808">
      <c r="A1808" s="5">
        <f>IF($J1808="","",IF($J1808&lt;=1500,INDEX('Daily Sale entry '!$X$1:$X$1501,$J1808+1),INDEX('Daily Sale entry '!$V$1:$V$1501,$J1808-1499)))</f>
        <v/>
      </c>
      <c r="B1808">
        <f>IF($J1808="","",IF($J1808&lt;=1500,INDEX('Daily Sale entry '!$Y$1:$Y$1501,$J1808+1)&amp;"","Buyer cheque banked 买家支票存入"&amp;IF(INDEX('Daily Sale entry '!$U$1:$U$1501,$J1808-1499)="","", " - "&amp;INDEX('Daily Sale entry '!$U$1:$U$1501,$J1808-1499))))</f>
        <v/>
      </c>
      <c r="C1808">
        <f>IF($J1808="","",IF($J1808&lt;=1500,INDEX('Daily Sale entry '!$Z$1:$Z$1501,$J1808+1)&amp;"","Cheque deposit 支票存入 (buyer 买家)"))</f>
        <v/>
      </c>
      <c r="D1808">
        <f>IF($J1808="","",IF($J1808&lt;=1500,INDEX('Daily Sale entry '!$AA$1:$AA$1501,$J1808+1)&amp;"",INDEX('Daily Sale entry '!$P$1:$P$1501,$J1808-1499)&amp;""))</f>
        <v/>
      </c>
      <c r="E1808">
        <f>IF($J1808="","",IF($J1808&lt;=1500,IF(N(INDEX('Daily Sale entry '!$AB$1:$AB$1501,$J1808+1))=0,"",INDEX('Daily Sale entry '!$AB$1:$AB$1501,$J1808+1)),1))</f>
        <v/>
      </c>
      <c r="F1808" s="6">
        <f>IF($J1808="","",IF($J1808&lt;=1500,N(INDEX('Daily Sale entry '!$AC$1:$AC$1501,$J1808+1))-IF(AND('Opening Balance'!$B$15=1,INDEX('Daily Sale entry '!$Z$1:$Z$1501,$J1808+1)="Online collection 网上收款",INDEX('Daily Sale entry '!$AA$1:$AA$1501,$J1808+1)&lt;&gt;""),N(INDEX('Daily Sale entry '!$AC$1:$AC$1501,$J1808+1))-TRUNC(N(INDEX('Daily Sale entry '!$AC$1:$AC$1501,$J1808+1))),0),N(INDEX('Daily Sale entry '!$S$1:$S$1501,$J1808-1499))-'Opening Balance'!$B$15*(N(INDEX('Daily Sale entry '!$S$1:$S$1501,$J1808-1499))-TRUNC(N(INDEX('Daily Sale entry '!$S$1:$S$1501,$J1808-1499))))))</f>
        <v/>
      </c>
      <c r="G1808" s="6">
        <f>IF($J1808="","",IF($J1808&lt;=1500,N(INDEX('Daily Sale entry '!$AD$1:$AD$1501,$J1808+1)),0))</f>
        <v/>
      </c>
      <c r="H1808" s="6">
        <f>IF($J1808="","",ROUND('Opening Balance'!$B$4+SUM($F$2:F1808)-SUM($G$2:G1808),2))</f>
        <v/>
      </c>
      <c r="J1808" s="21">
        <f>IFERROR(MATCH(ROW()-1,$L$2:$L$3001,0),"")</f>
        <v/>
      </c>
      <c r="K1808" s="34">
        <f>IF(AND('Daily Sale entry '!Q308="Collection 收款",'Daily Sale entry '!R308="Cheque 支票",'Daily Sale entry '!V308&lt;&gt;""),'Daily Sale entry '!V308+ROW()/10000000,"")</f>
        <v/>
      </c>
      <c r="L1808" s="21">
        <f>IF(K1808="","",COUNTIF($K$2:$K$3001,"&lt;"&amp;K1808)+1)</f>
        <v/>
      </c>
    </row>
    <row r="1809">
      <c r="A1809" s="5">
        <f>IF($J1809="","",IF($J1809&lt;=1500,INDEX('Daily Sale entry '!$X$1:$X$1501,$J1809+1),INDEX('Daily Sale entry '!$V$1:$V$1501,$J1809-1499)))</f>
        <v/>
      </c>
      <c r="B1809">
        <f>IF($J1809="","",IF($J1809&lt;=1500,INDEX('Daily Sale entry '!$Y$1:$Y$1501,$J1809+1)&amp;"","Buyer cheque banked 买家支票存入"&amp;IF(INDEX('Daily Sale entry '!$U$1:$U$1501,$J1809-1499)="","", " - "&amp;INDEX('Daily Sale entry '!$U$1:$U$1501,$J1809-1499))))</f>
        <v/>
      </c>
      <c r="C1809">
        <f>IF($J1809="","",IF($J1809&lt;=1500,INDEX('Daily Sale entry '!$Z$1:$Z$1501,$J1809+1)&amp;"","Cheque deposit 支票存入 (buyer 买家)"))</f>
        <v/>
      </c>
      <c r="D1809">
        <f>IF($J1809="","",IF($J1809&lt;=1500,INDEX('Daily Sale entry '!$AA$1:$AA$1501,$J1809+1)&amp;"",INDEX('Daily Sale entry '!$P$1:$P$1501,$J1809-1499)&amp;""))</f>
        <v/>
      </c>
      <c r="E1809">
        <f>IF($J1809="","",IF($J1809&lt;=1500,IF(N(INDEX('Daily Sale entry '!$AB$1:$AB$1501,$J1809+1))=0,"",INDEX('Daily Sale entry '!$AB$1:$AB$1501,$J1809+1)),1))</f>
        <v/>
      </c>
      <c r="F1809" s="6">
        <f>IF($J1809="","",IF($J1809&lt;=1500,N(INDEX('Daily Sale entry '!$AC$1:$AC$1501,$J1809+1))-IF(AND('Opening Balance'!$B$15=1,INDEX('Daily Sale entry '!$Z$1:$Z$1501,$J1809+1)="Online collection 网上收款",INDEX('Daily Sale entry '!$AA$1:$AA$1501,$J1809+1)&lt;&gt;""),N(INDEX('Daily Sale entry '!$AC$1:$AC$1501,$J1809+1))-TRUNC(N(INDEX('Daily Sale entry '!$AC$1:$AC$1501,$J1809+1))),0),N(INDEX('Daily Sale entry '!$S$1:$S$1501,$J1809-1499))-'Opening Balance'!$B$15*(N(INDEX('Daily Sale entry '!$S$1:$S$1501,$J1809-1499))-TRUNC(N(INDEX('Daily Sale entry '!$S$1:$S$1501,$J1809-1499))))))</f>
        <v/>
      </c>
      <c r="G1809" s="6">
        <f>IF($J1809="","",IF($J1809&lt;=1500,N(INDEX('Daily Sale entry '!$AD$1:$AD$1501,$J1809+1)),0))</f>
        <v/>
      </c>
      <c r="H1809" s="6">
        <f>IF($J1809="","",ROUND('Opening Balance'!$B$4+SUM($F$2:F1809)-SUM($G$2:G1809),2))</f>
        <v/>
      </c>
      <c r="J1809" s="21">
        <f>IFERROR(MATCH(ROW()-1,$L$2:$L$3001,0),"")</f>
        <v/>
      </c>
      <c r="K1809" s="34">
        <f>IF(AND('Daily Sale entry '!Q309="Collection 收款",'Daily Sale entry '!R309="Cheque 支票",'Daily Sale entry '!V309&lt;&gt;""),'Daily Sale entry '!V309+ROW()/10000000,"")</f>
        <v/>
      </c>
      <c r="L1809" s="21">
        <f>IF(K1809="","",COUNTIF($K$2:$K$3001,"&lt;"&amp;K1809)+1)</f>
        <v/>
      </c>
    </row>
    <row r="1810">
      <c r="A1810" s="5">
        <f>IF($J1810="","",IF($J1810&lt;=1500,INDEX('Daily Sale entry '!$X$1:$X$1501,$J1810+1),INDEX('Daily Sale entry '!$V$1:$V$1501,$J1810-1499)))</f>
        <v/>
      </c>
      <c r="B1810">
        <f>IF($J1810="","",IF($J1810&lt;=1500,INDEX('Daily Sale entry '!$Y$1:$Y$1501,$J1810+1)&amp;"","Buyer cheque banked 买家支票存入"&amp;IF(INDEX('Daily Sale entry '!$U$1:$U$1501,$J1810-1499)="","", " - "&amp;INDEX('Daily Sale entry '!$U$1:$U$1501,$J1810-1499))))</f>
        <v/>
      </c>
      <c r="C1810">
        <f>IF($J1810="","",IF($J1810&lt;=1500,INDEX('Daily Sale entry '!$Z$1:$Z$1501,$J1810+1)&amp;"","Cheque deposit 支票存入 (buyer 买家)"))</f>
        <v/>
      </c>
      <c r="D1810">
        <f>IF($J1810="","",IF($J1810&lt;=1500,INDEX('Daily Sale entry '!$AA$1:$AA$1501,$J1810+1)&amp;"",INDEX('Daily Sale entry '!$P$1:$P$1501,$J1810-1499)&amp;""))</f>
        <v/>
      </c>
      <c r="E1810">
        <f>IF($J1810="","",IF($J1810&lt;=1500,IF(N(INDEX('Daily Sale entry '!$AB$1:$AB$1501,$J1810+1))=0,"",INDEX('Daily Sale entry '!$AB$1:$AB$1501,$J1810+1)),1))</f>
        <v/>
      </c>
      <c r="F1810" s="6">
        <f>IF($J1810="","",IF($J1810&lt;=1500,N(INDEX('Daily Sale entry '!$AC$1:$AC$1501,$J1810+1))-IF(AND('Opening Balance'!$B$15=1,INDEX('Daily Sale entry '!$Z$1:$Z$1501,$J1810+1)="Online collection 网上收款",INDEX('Daily Sale entry '!$AA$1:$AA$1501,$J1810+1)&lt;&gt;""),N(INDEX('Daily Sale entry '!$AC$1:$AC$1501,$J1810+1))-TRUNC(N(INDEX('Daily Sale entry '!$AC$1:$AC$1501,$J1810+1))),0),N(INDEX('Daily Sale entry '!$S$1:$S$1501,$J1810-1499))-'Opening Balance'!$B$15*(N(INDEX('Daily Sale entry '!$S$1:$S$1501,$J1810-1499))-TRUNC(N(INDEX('Daily Sale entry '!$S$1:$S$1501,$J1810-1499))))))</f>
        <v/>
      </c>
      <c r="G1810" s="6">
        <f>IF($J1810="","",IF($J1810&lt;=1500,N(INDEX('Daily Sale entry '!$AD$1:$AD$1501,$J1810+1)),0))</f>
        <v/>
      </c>
      <c r="H1810" s="6">
        <f>IF($J1810="","",ROUND('Opening Balance'!$B$4+SUM($F$2:F1810)-SUM($G$2:G1810),2))</f>
        <v/>
      </c>
      <c r="J1810" s="21">
        <f>IFERROR(MATCH(ROW()-1,$L$2:$L$3001,0),"")</f>
        <v/>
      </c>
      <c r="K1810" s="34">
        <f>IF(AND('Daily Sale entry '!Q310="Collection 收款",'Daily Sale entry '!R310="Cheque 支票",'Daily Sale entry '!V310&lt;&gt;""),'Daily Sale entry '!V310+ROW()/10000000,"")</f>
        <v/>
      </c>
      <c r="L1810" s="21">
        <f>IF(K1810="","",COUNTIF($K$2:$K$3001,"&lt;"&amp;K1810)+1)</f>
        <v/>
      </c>
    </row>
    <row r="1811">
      <c r="A1811" s="5">
        <f>IF($J1811="","",IF($J1811&lt;=1500,INDEX('Daily Sale entry '!$X$1:$X$1501,$J1811+1),INDEX('Daily Sale entry '!$V$1:$V$1501,$J1811-1499)))</f>
        <v/>
      </c>
      <c r="B1811">
        <f>IF($J1811="","",IF($J1811&lt;=1500,INDEX('Daily Sale entry '!$Y$1:$Y$1501,$J1811+1)&amp;"","Buyer cheque banked 买家支票存入"&amp;IF(INDEX('Daily Sale entry '!$U$1:$U$1501,$J1811-1499)="","", " - "&amp;INDEX('Daily Sale entry '!$U$1:$U$1501,$J1811-1499))))</f>
        <v/>
      </c>
      <c r="C1811">
        <f>IF($J1811="","",IF($J1811&lt;=1500,INDEX('Daily Sale entry '!$Z$1:$Z$1501,$J1811+1)&amp;"","Cheque deposit 支票存入 (buyer 买家)"))</f>
        <v/>
      </c>
      <c r="D1811">
        <f>IF($J1811="","",IF($J1811&lt;=1500,INDEX('Daily Sale entry '!$AA$1:$AA$1501,$J1811+1)&amp;"",INDEX('Daily Sale entry '!$P$1:$P$1501,$J1811-1499)&amp;""))</f>
        <v/>
      </c>
      <c r="E1811">
        <f>IF($J1811="","",IF($J1811&lt;=1500,IF(N(INDEX('Daily Sale entry '!$AB$1:$AB$1501,$J1811+1))=0,"",INDEX('Daily Sale entry '!$AB$1:$AB$1501,$J1811+1)),1))</f>
        <v/>
      </c>
      <c r="F1811" s="6">
        <f>IF($J1811="","",IF($J1811&lt;=1500,N(INDEX('Daily Sale entry '!$AC$1:$AC$1501,$J1811+1))-IF(AND('Opening Balance'!$B$15=1,INDEX('Daily Sale entry '!$Z$1:$Z$1501,$J1811+1)="Online collection 网上收款",INDEX('Daily Sale entry '!$AA$1:$AA$1501,$J1811+1)&lt;&gt;""),N(INDEX('Daily Sale entry '!$AC$1:$AC$1501,$J1811+1))-TRUNC(N(INDEX('Daily Sale entry '!$AC$1:$AC$1501,$J1811+1))),0),N(INDEX('Daily Sale entry '!$S$1:$S$1501,$J1811-1499))-'Opening Balance'!$B$15*(N(INDEX('Daily Sale entry '!$S$1:$S$1501,$J1811-1499))-TRUNC(N(INDEX('Daily Sale entry '!$S$1:$S$1501,$J1811-1499))))))</f>
        <v/>
      </c>
      <c r="G1811" s="6">
        <f>IF($J1811="","",IF($J1811&lt;=1500,N(INDEX('Daily Sale entry '!$AD$1:$AD$1501,$J1811+1)),0))</f>
        <v/>
      </c>
      <c r="H1811" s="6">
        <f>IF($J1811="","",ROUND('Opening Balance'!$B$4+SUM($F$2:F1811)-SUM($G$2:G1811),2))</f>
        <v/>
      </c>
      <c r="J1811" s="21">
        <f>IFERROR(MATCH(ROW()-1,$L$2:$L$3001,0),"")</f>
        <v/>
      </c>
      <c r="K1811" s="34">
        <f>IF(AND('Daily Sale entry '!Q311="Collection 收款",'Daily Sale entry '!R311="Cheque 支票",'Daily Sale entry '!V311&lt;&gt;""),'Daily Sale entry '!V311+ROW()/10000000,"")</f>
        <v/>
      </c>
      <c r="L1811" s="21">
        <f>IF(K1811="","",COUNTIF($K$2:$K$3001,"&lt;"&amp;K1811)+1)</f>
        <v/>
      </c>
    </row>
    <row r="1812">
      <c r="A1812" s="5">
        <f>IF($J1812="","",IF($J1812&lt;=1500,INDEX('Daily Sale entry '!$X$1:$X$1501,$J1812+1),INDEX('Daily Sale entry '!$V$1:$V$1501,$J1812-1499)))</f>
        <v/>
      </c>
      <c r="B1812">
        <f>IF($J1812="","",IF($J1812&lt;=1500,INDEX('Daily Sale entry '!$Y$1:$Y$1501,$J1812+1)&amp;"","Buyer cheque banked 买家支票存入"&amp;IF(INDEX('Daily Sale entry '!$U$1:$U$1501,$J1812-1499)="","", " - "&amp;INDEX('Daily Sale entry '!$U$1:$U$1501,$J1812-1499))))</f>
        <v/>
      </c>
      <c r="C1812">
        <f>IF($J1812="","",IF($J1812&lt;=1500,INDEX('Daily Sale entry '!$Z$1:$Z$1501,$J1812+1)&amp;"","Cheque deposit 支票存入 (buyer 买家)"))</f>
        <v/>
      </c>
      <c r="D1812">
        <f>IF($J1812="","",IF($J1812&lt;=1500,INDEX('Daily Sale entry '!$AA$1:$AA$1501,$J1812+1)&amp;"",INDEX('Daily Sale entry '!$P$1:$P$1501,$J1812-1499)&amp;""))</f>
        <v/>
      </c>
      <c r="E1812">
        <f>IF($J1812="","",IF($J1812&lt;=1500,IF(N(INDEX('Daily Sale entry '!$AB$1:$AB$1501,$J1812+1))=0,"",INDEX('Daily Sale entry '!$AB$1:$AB$1501,$J1812+1)),1))</f>
        <v/>
      </c>
      <c r="F1812" s="6">
        <f>IF($J1812="","",IF($J1812&lt;=1500,N(INDEX('Daily Sale entry '!$AC$1:$AC$1501,$J1812+1))-IF(AND('Opening Balance'!$B$15=1,INDEX('Daily Sale entry '!$Z$1:$Z$1501,$J1812+1)="Online collection 网上收款",INDEX('Daily Sale entry '!$AA$1:$AA$1501,$J1812+1)&lt;&gt;""),N(INDEX('Daily Sale entry '!$AC$1:$AC$1501,$J1812+1))-TRUNC(N(INDEX('Daily Sale entry '!$AC$1:$AC$1501,$J1812+1))),0),N(INDEX('Daily Sale entry '!$S$1:$S$1501,$J1812-1499))-'Opening Balance'!$B$15*(N(INDEX('Daily Sale entry '!$S$1:$S$1501,$J1812-1499))-TRUNC(N(INDEX('Daily Sale entry '!$S$1:$S$1501,$J1812-1499))))))</f>
        <v/>
      </c>
      <c r="G1812" s="6">
        <f>IF($J1812="","",IF($J1812&lt;=1500,N(INDEX('Daily Sale entry '!$AD$1:$AD$1501,$J1812+1)),0))</f>
        <v/>
      </c>
      <c r="H1812" s="6">
        <f>IF($J1812="","",ROUND('Opening Balance'!$B$4+SUM($F$2:F1812)-SUM($G$2:G1812),2))</f>
        <v/>
      </c>
      <c r="J1812" s="21">
        <f>IFERROR(MATCH(ROW()-1,$L$2:$L$3001,0),"")</f>
        <v/>
      </c>
      <c r="K1812" s="34">
        <f>IF(AND('Daily Sale entry '!Q312="Collection 收款",'Daily Sale entry '!R312="Cheque 支票",'Daily Sale entry '!V312&lt;&gt;""),'Daily Sale entry '!V312+ROW()/10000000,"")</f>
        <v/>
      </c>
      <c r="L1812" s="21">
        <f>IF(K1812="","",COUNTIF($K$2:$K$3001,"&lt;"&amp;K1812)+1)</f>
        <v/>
      </c>
    </row>
    <row r="1813">
      <c r="A1813" s="5">
        <f>IF($J1813="","",IF($J1813&lt;=1500,INDEX('Daily Sale entry '!$X$1:$X$1501,$J1813+1),INDEX('Daily Sale entry '!$V$1:$V$1501,$J1813-1499)))</f>
        <v/>
      </c>
      <c r="B1813">
        <f>IF($J1813="","",IF($J1813&lt;=1500,INDEX('Daily Sale entry '!$Y$1:$Y$1501,$J1813+1)&amp;"","Buyer cheque banked 买家支票存入"&amp;IF(INDEX('Daily Sale entry '!$U$1:$U$1501,$J1813-1499)="","", " - "&amp;INDEX('Daily Sale entry '!$U$1:$U$1501,$J1813-1499))))</f>
        <v/>
      </c>
      <c r="C1813">
        <f>IF($J1813="","",IF($J1813&lt;=1500,INDEX('Daily Sale entry '!$Z$1:$Z$1501,$J1813+1)&amp;"","Cheque deposit 支票存入 (buyer 买家)"))</f>
        <v/>
      </c>
      <c r="D1813">
        <f>IF($J1813="","",IF($J1813&lt;=1500,INDEX('Daily Sale entry '!$AA$1:$AA$1501,$J1813+1)&amp;"",INDEX('Daily Sale entry '!$P$1:$P$1501,$J1813-1499)&amp;""))</f>
        <v/>
      </c>
      <c r="E1813">
        <f>IF($J1813="","",IF($J1813&lt;=1500,IF(N(INDEX('Daily Sale entry '!$AB$1:$AB$1501,$J1813+1))=0,"",INDEX('Daily Sale entry '!$AB$1:$AB$1501,$J1813+1)),1))</f>
        <v/>
      </c>
      <c r="F1813" s="6">
        <f>IF($J1813="","",IF($J1813&lt;=1500,N(INDEX('Daily Sale entry '!$AC$1:$AC$1501,$J1813+1))-IF(AND('Opening Balance'!$B$15=1,INDEX('Daily Sale entry '!$Z$1:$Z$1501,$J1813+1)="Online collection 网上收款",INDEX('Daily Sale entry '!$AA$1:$AA$1501,$J1813+1)&lt;&gt;""),N(INDEX('Daily Sale entry '!$AC$1:$AC$1501,$J1813+1))-TRUNC(N(INDEX('Daily Sale entry '!$AC$1:$AC$1501,$J1813+1))),0),N(INDEX('Daily Sale entry '!$S$1:$S$1501,$J1813-1499))-'Opening Balance'!$B$15*(N(INDEX('Daily Sale entry '!$S$1:$S$1501,$J1813-1499))-TRUNC(N(INDEX('Daily Sale entry '!$S$1:$S$1501,$J1813-1499))))))</f>
        <v/>
      </c>
      <c r="G1813" s="6">
        <f>IF($J1813="","",IF($J1813&lt;=1500,N(INDEX('Daily Sale entry '!$AD$1:$AD$1501,$J1813+1)),0))</f>
        <v/>
      </c>
      <c r="H1813" s="6">
        <f>IF($J1813="","",ROUND('Opening Balance'!$B$4+SUM($F$2:F1813)-SUM($G$2:G1813),2))</f>
        <v/>
      </c>
      <c r="J1813" s="21">
        <f>IFERROR(MATCH(ROW()-1,$L$2:$L$3001,0),"")</f>
        <v/>
      </c>
      <c r="K1813" s="34">
        <f>IF(AND('Daily Sale entry '!Q313="Collection 收款",'Daily Sale entry '!R313="Cheque 支票",'Daily Sale entry '!V313&lt;&gt;""),'Daily Sale entry '!V313+ROW()/10000000,"")</f>
        <v/>
      </c>
      <c r="L1813" s="21">
        <f>IF(K1813="","",COUNTIF($K$2:$K$3001,"&lt;"&amp;K1813)+1)</f>
        <v/>
      </c>
    </row>
    <row r="1814">
      <c r="A1814" s="5">
        <f>IF($J1814="","",IF($J1814&lt;=1500,INDEX('Daily Sale entry '!$X$1:$X$1501,$J1814+1),INDEX('Daily Sale entry '!$V$1:$V$1501,$J1814-1499)))</f>
        <v/>
      </c>
      <c r="B1814">
        <f>IF($J1814="","",IF($J1814&lt;=1500,INDEX('Daily Sale entry '!$Y$1:$Y$1501,$J1814+1)&amp;"","Buyer cheque banked 买家支票存入"&amp;IF(INDEX('Daily Sale entry '!$U$1:$U$1501,$J1814-1499)="","", " - "&amp;INDEX('Daily Sale entry '!$U$1:$U$1501,$J1814-1499))))</f>
        <v/>
      </c>
      <c r="C1814">
        <f>IF($J1814="","",IF($J1814&lt;=1500,INDEX('Daily Sale entry '!$Z$1:$Z$1501,$J1814+1)&amp;"","Cheque deposit 支票存入 (buyer 买家)"))</f>
        <v/>
      </c>
      <c r="D1814">
        <f>IF($J1814="","",IF($J1814&lt;=1500,INDEX('Daily Sale entry '!$AA$1:$AA$1501,$J1814+1)&amp;"",INDEX('Daily Sale entry '!$P$1:$P$1501,$J1814-1499)&amp;""))</f>
        <v/>
      </c>
      <c r="E1814">
        <f>IF($J1814="","",IF($J1814&lt;=1500,IF(N(INDEX('Daily Sale entry '!$AB$1:$AB$1501,$J1814+1))=0,"",INDEX('Daily Sale entry '!$AB$1:$AB$1501,$J1814+1)),1))</f>
        <v/>
      </c>
      <c r="F1814" s="6">
        <f>IF($J1814="","",IF($J1814&lt;=1500,N(INDEX('Daily Sale entry '!$AC$1:$AC$1501,$J1814+1))-IF(AND('Opening Balance'!$B$15=1,INDEX('Daily Sale entry '!$Z$1:$Z$1501,$J1814+1)="Online collection 网上收款",INDEX('Daily Sale entry '!$AA$1:$AA$1501,$J1814+1)&lt;&gt;""),N(INDEX('Daily Sale entry '!$AC$1:$AC$1501,$J1814+1))-TRUNC(N(INDEX('Daily Sale entry '!$AC$1:$AC$1501,$J1814+1))),0),N(INDEX('Daily Sale entry '!$S$1:$S$1501,$J1814-1499))-'Opening Balance'!$B$15*(N(INDEX('Daily Sale entry '!$S$1:$S$1501,$J1814-1499))-TRUNC(N(INDEX('Daily Sale entry '!$S$1:$S$1501,$J1814-1499))))))</f>
        <v/>
      </c>
      <c r="G1814" s="6">
        <f>IF($J1814="","",IF($J1814&lt;=1500,N(INDEX('Daily Sale entry '!$AD$1:$AD$1501,$J1814+1)),0))</f>
        <v/>
      </c>
      <c r="H1814" s="6">
        <f>IF($J1814="","",ROUND('Opening Balance'!$B$4+SUM($F$2:F1814)-SUM($G$2:G1814),2))</f>
        <v/>
      </c>
      <c r="J1814" s="21">
        <f>IFERROR(MATCH(ROW()-1,$L$2:$L$3001,0),"")</f>
        <v/>
      </c>
      <c r="K1814" s="34">
        <f>IF(AND('Daily Sale entry '!Q314="Collection 收款",'Daily Sale entry '!R314="Cheque 支票",'Daily Sale entry '!V314&lt;&gt;""),'Daily Sale entry '!V314+ROW()/10000000,"")</f>
        <v/>
      </c>
      <c r="L1814" s="21">
        <f>IF(K1814="","",COUNTIF($K$2:$K$3001,"&lt;"&amp;K1814)+1)</f>
        <v/>
      </c>
    </row>
    <row r="1815">
      <c r="A1815" s="5">
        <f>IF($J1815="","",IF($J1815&lt;=1500,INDEX('Daily Sale entry '!$X$1:$X$1501,$J1815+1),INDEX('Daily Sale entry '!$V$1:$V$1501,$J1815-1499)))</f>
        <v/>
      </c>
      <c r="B1815">
        <f>IF($J1815="","",IF($J1815&lt;=1500,INDEX('Daily Sale entry '!$Y$1:$Y$1501,$J1815+1)&amp;"","Buyer cheque banked 买家支票存入"&amp;IF(INDEX('Daily Sale entry '!$U$1:$U$1501,$J1815-1499)="","", " - "&amp;INDEX('Daily Sale entry '!$U$1:$U$1501,$J1815-1499))))</f>
        <v/>
      </c>
      <c r="C1815">
        <f>IF($J1815="","",IF($J1815&lt;=1500,INDEX('Daily Sale entry '!$Z$1:$Z$1501,$J1815+1)&amp;"","Cheque deposit 支票存入 (buyer 买家)"))</f>
        <v/>
      </c>
      <c r="D1815">
        <f>IF($J1815="","",IF($J1815&lt;=1500,INDEX('Daily Sale entry '!$AA$1:$AA$1501,$J1815+1)&amp;"",INDEX('Daily Sale entry '!$P$1:$P$1501,$J1815-1499)&amp;""))</f>
        <v/>
      </c>
      <c r="E1815">
        <f>IF($J1815="","",IF($J1815&lt;=1500,IF(N(INDEX('Daily Sale entry '!$AB$1:$AB$1501,$J1815+1))=0,"",INDEX('Daily Sale entry '!$AB$1:$AB$1501,$J1815+1)),1))</f>
        <v/>
      </c>
      <c r="F1815" s="6">
        <f>IF($J1815="","",IF($J1815&lt;=1500,N(INDEX('Daily Sale entry '!$AC$1:$AC$1501,$J1815+1))-IF(AND('Opening Balance'!$B$15=1,INDEX('Daily Sale entry '!$Z$1:$Z$1501,$J1815+1)="Online collection 网上收款",INDEX('Daily Sale entry '!$AA$1:$AA$1501,$J1815+1)&lt;&gt;""),N(INDEX('Daily Sale entry '!$AC$1:$AC$1501,$J1815+1))-TRUNC(N(INDEX('Daily Sale entry '!$AC$1:$AC$1501,$J1815+1))),0),N(INDEX('Daily Sale entry '!$S$1:$S$1501,$J1815-1499))-'Opening Balance'!$B$15*(N(INDEX('Daily Sale entry '!$S$1:$S$1501,$J1815-1499))-TRUNC(N(INDEX('Daily Sale entry '!$S$1:$S$1501,$J1815-1499))))))</f>
        <v/>
      </c>
      <c r="G1815" s="6">
        <f>IF($J1815="","",IF($J1815&lt;=1500,N(INDEX('Daily Sale entry '!$AD$1:$AD$1501,$J1815+1)),0))</f>
        <v/>
      </c>
      <c r="H1815" s="6">
        <f>IF($J1815="","",ROUND('Opening Balance'!$B$4+SUM($F$2:F1815)-SUM($G$2:G1815),2))</f>
        <v/>
      </c>
      <c r="J1815" s="21">
        <f>IFERROR(MATCH(ROW()-1,$L$2:$L$3001,0),"")</f>
        <v/>
      </c>
      <c r="K1815" s="34">
        <f>IF(AND('Daily Sale entry '!Q315="Collection 收款",'Daily Sale entry '!R315="Cheque 支票",'Daily Sale entry '!V315&lt;&gt;""),'Daily Sale entry '!V315+ROW()/10000000,"")</f>
        <v/>
      </c>
      <c r="L1815" s="21">
        <f>IF(K1815="","",COUNTIF($K$2:$K$3001,"&lt;"&amp;K1815)+1)</f>
        <v/>
      </c>
    </row>
    <row r="1816">
      <c r="A1816" s="5">
        <f>IF($J1816="","",IF($J1816&lt;=1500,INDEX('Daily Sale entry '!$X$1:$X$1501,$J1816+1),INDEX('Daily Sale entry '!$V$1:$V$1501,$J1816-1499)))</f>
        <v/>
      </c>
      <c r="B1816">
        <f>IF($J1816="","",IF($J1816&lt;=1500,INDEX('Daily Sale entry '!$Y$1:$Y$1501,$J1816+1)&amp;"","Buyer cheque banked 买家支票存入"&amp;IF(INDEX('Daily Sale entry '!$U$1:$U$1501,$J1816-1499)="","", " - "&amp;INDEX('Daily Sale entry '!$U$1:$U$1501,$J1816-1499))))</f>
        <v/>
      </c>
      <c r="C1816">
        <f>IF($J1816="","",IF($J1816&lt;=1500,INDEX('Daily Sale entry '!$Z$1:$Z$1501,$J1816+1)&amp;"","Cheque deposit 支票存入 (buyer 买家)"))</f>
        <v/>
      </c>
      <c r="D1816">
        <f>IF($J1816="","",IF($J1816&lt;=1500,INDEX('Daily Sale entry '!$AA$1:$AA$1501,$J1816+1)&amp;"",INDEX('Daily Sale entry '!$P$1:$P$1501,$J1816-1499)&amp;""))</f>
        <v/>
      </c>
      <c r="E1816">
        <f>IF($J1816="","",IF($J1816&lt;=1500,IF(N(INDEX('Daily Sale entry '!$AB$1:$AB$1501,$J1816+1))=0,"",INDEX('Daily Sale entry '!$AB$1:$AB$1501,$J1816+1)),1))</f>
        <v/>
      </c>
      <c r="F1816" s="6">
        <f>IF($J1816="","",IF($J1816&lt;=1500,N(INDEX('Daily Sale entry '!$AC$1:$AC$1501,$J1816+1))-IF(AND('Opening Balance'!$B$15=1,INDEX('Daily Sale entry '!$Z$1:$Z$1501,$J1816+1)="Online collection 网上收款",INDEX('Daily Sale entry '!$AA$1:$AA$1501,$J1816+1)&lt;&gt;""),N(INDEX('Daily Sale entry '!$AC$1:$AC$1501,$J1816+1))-TRUNC(N(INDEX('Daily Sale entry '!$AC$1:$AC$1501,$J1816+1))),0),N(INDEX('Daily Sale entry '!$S$1:$S$1501,$J1816-1499))-'Opening Balance'!$B$15*(N(INDEX('Daily Sale entry '!$S$1:$S$1501,$J1816-1499))-TRUNC(N(INDEX('Daily Sale entry '!$S$1:$S$1501,$J1816-1499))))))</f>
        <v/>
      </c>
      <c r="G1816" s="6">
        <f>IF($J1816="","",IF($J1816&lt;=1500,N(INDEX('Daily Sale entry '!$AD$1:$AD$1501,$J1816+1)),0))</f>
        <v/>
      </c>
      <c r="H1816" s="6">
        <f>IF($J1816="","",ROUND('Opening Balance'!$B$4+SUM($F$2:F1816)-SUM($G$2:G1816),2))</f>
        <v/>
      </c>
      <c r="J1816" s="21">
        <f>IFERROR(MATCH(ROW()-1,$L$2:$L$3001,0),"")</f>
        <v/>
      </c>
      <c r="K1816" s="34">
        <f>IF(AND('Daily Sale entry '!Q316="Collection 收款",'Daily Sale entry '!R316="Cheque 支票",'Daily Sale entry '!V316&lt;&gt;""),'Daily Sale entry '!V316+ROW()/10000000,"")</f>
        <v/>
      </c>
      <c r="L1816" s="21">
        <f>IF(K1816="","",COUNTIF($K$2:$K$3001,"&lt;"&amp;K1816)+1)</f>
        <v/>
      </c>
    </row>
    <row r="1817">
      <c r="A1817" s="5">
        <f>IF($J1817="","",IF($J1817&lt;=1500,INDEX('Daily Sale entry '!$X$1:$X$1501,$J1817+1),INDEX('Daily Sale entry '!$V$1:$V$1501,$J1817-1499)))</f>
        <v/>
      </c>
      <c r="B1817">
        <f>IF($J1817="","",IF($J1817&lt;=1500,INDEX('Daily Sale entry '!$Y$1:$Y$1501,$J1817+1)&amp;"","Buyer cheque banked 买家支票存入"&amp;IF(INDEX('Daily Sale entry '!$U$1:$U$1501,$J1817-1499)="","", " - "&amp;INDEX('Daily Sale entry '!$U$1:$U$1501,$J1817-1499))))</f>
        <v/>
      </c>
      <c r="C1817">
        <f>IF($J1817="","",IF($J1817&lt;=1500,INDEX('Daily Sale entry '!$Z$1:$Z$1501,$J1817+1)&amp;"","Cheque deposit 支票存入 (buyer 买家)"))</f>
        <v/>
      </c>
      <c r="D1817">
        <f>IF($J1817="","",IF($J1817&lt;=1500,INDEX('Daily Sale entry '!$AA$1:$AA$1501,$J1817+1)&amp;"",INDEX('Daily Sale entry '!$P$1:$P$1501,$J1817-1499)&amp;""))</f>
        <v/>
      </c>
      <c r="E1817">
        <f>IF($J1817="","",IF($J1817&lt;=1500,IF(N(INDEX('Daily Sale entry '!$AB$1:$AB$1501,$J1817+1))=0,"",INDEX('Daily Sale entry '!$AB$1:$AB$1501,$J1817+1)),1))</f>
        <v/>
      </c>
      <c r="F1817" s="6">
        <f>IF($J1817="","",IF($J1817&lt;=1500,N(INDEX('Daily Sale entry '!$AC$1:$AC$1501,$J1817+1))-IF(AND('Opening Balance'!$B$15=1,INDEX('Daily Sale entry '!$Z$1:$Z$1501,$J1817+1)="Online collection 网上收款",INDEX('Daily Sale entry '!$AA$1:$AA$1501,$J1817+1)&lt;&gt;""),N(INDEX('Daily Sale entry '!$AC$1:$AC$1501,$J1817+1))-TRUNC(N(INDEX('Daily Sale entry '!$AC$1:$AC$1501,$J1817+1))),0),N(INDEX('Daily Sale entry '!$S$1:$S$1501,$J1817-1499))-'Opening Balance'!$B$15*(N(INDEX('Daily Sale entry '!$S$1:$S$1501,$J1817-1499))-TRUNC(N(INDEX('Daily Sale entry '!$S$1:$S$1501,$J1817-1499))))))</f>
        <v/>
      </c>
      <c r="G1817" s="6">
        <f>IF($J1817="","",IF($J1817&lt;=1500,N(INDEX('Daily Sale entry '!$AD$1:$AD$1501,$J1817+1)),0))</f>
        <v/>
      </c>
      <c r="H1817" s="6">
        <f>IF($J1817="","",ROUND('Opening Balance'!$B$4+SUM($F$2:F1817)-SUM($G$2:G1817),2))</f>
        <v/>
      </c>
      <c r="J1817" s="21">
        <f>IFERROR(MATCH(ROW()-1,$L$2:$L$3001,0),"")</f>
        <v/>
      </c>
      <c r="K1817" s="34">
        <f>IF(AND('Daily Sale entry '!Q317="Collection 收款",'Daily Sale entry '!R317="Cheque 支票",'Daily Sale entry '!V317&lt;&gt;""),'Daily Sale entry '!V317+ROW()/10000000,"")</f>
        <v/>
      </c>
      <c r="L1817" s="21">
        <f>IF(K1817="","",COUNTIF($K$2:$K$3001,"&lt;"&amp;K1817)+1)</f>
        <v/>
      </c>
    </row>
    <row r="1818">
      <c r="A1818" s="5">
        <f>IF($J1818="","",IF($J1818&lt;=1500,INDEX('Daily Sale entry '!$X$1:$X$1501,$J1818+1),INDEX('Daily Sale entry '!$V$1:$V$1501,$J1818-1499)))</f>
        <v/>
      </c>
      <c r="B1818">
        <f>IF($J1818="","",IF($J1818&lt;=1500,INDEX('Daily Sale entry '!$Y$1:$Y$1501,$J1818+1)&amp;"","Buyer cheque banked 买家支票存入"&amp;IF(INDEX('Daily Sale entry '!$U$1:$U$1501,$J1818-1499)="","", " - "&amp;INDEX('Daily Sale entry '!$U$1:$U$1501,$J1818-1499))))</f>
        <v/>
      </c>
      <c r="C1818">
        <f>IF($J1818="","",IF($J1818&lt;=1500,INDEX('Daily Sale entry '!$Z$1:$Z$1501,$J1818+1)&amp;"","Cheque deposit 支票存入 (buyer 买家)"))</f>
        <v/>
      </c>
      <c r="D1818">
        <f>IF($J1818="","",IF($J1818&lt;=1500,INDEX('Daily Sale entry '!$AA$1:$AA$1501,$J1818+1)&amp;"",INDEX('Daily Sale entry '!$P$1:$P$1501,$J1818-1499)&amp;""))</f>
        <v/>
      </c>
      <c r="E1818">
        <f>IF($J1818="","",IF($J1818&lt;=1500,IF(N(INDEX('Daily Sale entry '!$AB$1:$AB$1501,$J1818+1))=0,"",INDEX('Daily Sale entry '!$AB$1:$AB$1501,$J1818+1)),1))</f>
        <v/>
      </c>
      <c r="F1818" s="6">
        <f>IF($J1818="","",IF($J1818&lt;=1500,N(INDEX('Daily Sale entry '!$AC$1:$AC$1501,$J1818+1))-IF(AND('Opening Balance'!$B$15=1,INDEX('Daily Sale entry '!$Z$1:$Z$1501,$J1818+1)="Online collection 网上收款",INDEX('Daily Sale entry '!$AA$1:$AA$1501,$J1818+1)&lt;&gt;""),N(INDEX('Daily Sale entry '!$AC$1:$AC$1501,$J1818+1))-TRUNC(N(INDEX('Daily Sale entry '!$AC$1:$AC$1501,$J1818+1))),0),N(INDEX('Daily Sale entry '!$S$1:$S$1501,$J1818-1499))-'Opening Balance'!$B$15*(N(INDEX('Daily Sale entry '!$S$1:$S$1501,$J1818-1499))-TRUNC(N(INDEX('Daily Sale entry '!$S$1:$S$1501,$J1818-1499))))))</f>
        <v/>
      </c>
      <c r="G1818" s="6">
        <f>IF($J1818="","",IF($J1818&lt;=1500,N(INDEX('Daily Sale entry '!$AD$1:$AD$1501,$J1818+1)),0))</f>
        <v/>
      </c>
      <c r="H1818" s="6">
        <f>IF($J1818="","",ROUND('Opening Balance'!$B$4+SUM($F$2:F1818)-SUM($G$2:G1818),2))</f>
        <v/>
      </c>
      <c r="J1818" s="21">
        <f>IFERROR(MATCH(ROW()-1,$L$2:$L$3001,0),"")</f>
        <v/>
      </c>
      <c r="K1818" s="34">
        <f>IF(AND('Daily Sale entry '!Q318="Collection 收款",'Daily Sale entry '!R318="Cheque 支票",'Daily Sale entry '!V318&lt;&gt;""),'Daily Sale entry '!V318+ROW()/10000000,"")</f>
        <v/>
      </c>
      <c r="L1818" s="21">
        <f>IF(K1818="","",COUNTIF($K$2:$K$3001,"&lt;"&amp;K1818)+1)</f>
        <v/>
      </c>
    </row>
    <row r="1819">
      <c r="A1819" s="5">
        <f>IF($J1819="","",IF($J1819&lt;=1500,INDEX('Daily Sale entry '!$X$1:$X$1501,$J1819+1),INDEX('Daily Sale entry '!$V$1:$V$1501,$J1819-1499)))</f>
        <v/>
      </c>
      <c r="B1819">
        <f>IF($J1819="","",IF($J1819&lt;=1500,INDEX('Daily Sale entry '!$Y$1:$Y$1501,$J1819+1)&amp;"","Buyer cheque banked 买家支票存入"&amp;IF(INDEX('Daily Sale entry '!$U$1:$U$1501,$J1819-1499)="","", " - "&amp;INDEX('Daily Sale entry '!$U$1:$U$1501,$J1819-1499))))</f>
        <v/>
      </c>
      <c r="C1819">
        <f>IF($J1819="","",IF($J1819&lt;=1500,INDEX('Daily Sale entry '!$Z$1:$Z$1501,$J1819+1)&amp;"","Cheque deposit 支票存入 (buyer 买家)"))</f>
        <v/>
      </c>
      <c r="D1819">
        <f>IF($J1819="","",IF($J1819&lt;=1500,INDEX('Daily Sale entry '!$AA$1:$AA$1501,$J1819+1)&amp;"",INDEX('Daily Sale entry '!$P$1:$P$1501,$J1819-1499)&amp;""))</f>
        <v/>
      </c>
      <c r="E1819">
        <f>IF($J1819="","",IF($J1819&lt;=1500,IF(N(INDEX('Daily Sale entry '!$AB$1:$AB$1501,$J1819+1))=0,"",INDEX('Daily Sale entry '!$AB$1:$AB$1501,$J1819+1)),1))</f>
        <v/>
      </c>
      <c r="F1819" s="6">
        <f>IF($J1819="","",IF($J1819&lt;=1500,N(INDEX('Daily Sale entry '!$AC$1:$AC$1501,$J1819+1))-IF(AND('Opening Balance'!$B$15=1,INDEX('Daily Sale entry '!$Z$1:$Z$1501,$J1819+1)="Online collection 网上收款",INDEX('Daily Sale entry '!$AA$1:$AA$1501,$J1819+1)&lt;&gt;""),N(INDEX('Daily Sale entry '!$AC$1:$AC$1501,$J1819+1))-TRUNC(N(INDEX('Daily Sale entry '!$AC$1:$AC$1501,$J1819+1))),0),N(INDEX('Daily Sale entry '!$S$1:$S$1501,$J1819-1499))-'Opening Balance'!$B$15*(N(INDEX('Daily Sale entry '!$S$1:$S$1501,$J1819-1499))-TRUNC(N(INDEX('Daily Sale entry '!$S$1:$S$1501,$J1819-1499))))))</f>
        <v/>
      </c>
      <c r="G1819" s="6">
        <f>IF($J1819="","",IF($J1819&lt;=1500,N(INDEX('Daily Sale entry '!$AD$1:$AD$1501,$J1819+1)),0))</f>
        <v/>
      </c>
      <c r="H1819" s="6">
        <f>IF($J1819="","",ROUND('Opening Balance'!$B$4+SUM($F$2:F1819)-SUM($G$2:G1819),2))</f>
        <v/>
      </c>
      <c r="J1819" s="21">
        <f>IFERROR(MATCH(ROW()-1,$L$2:$L$3001,0),"")</f>
        <v/>
      </c>
      <c r="K1819" s="34">
        <f>IF(AND('Daily Sale entry '!Q319="Collection 收款",'Daily Sale entry '!R319="Cheque 支票",'Daily Sale entry '!V319&lt;&gt;""),'Daily Sale entry '!V319+ROW()/10000000,"")</f>
        <v/>
      </c>
      <c r="L1819" s="21">
        <f>IF(K1819="","",COUNTIF($K$2:$K$3001,"&lt;"&amp;K1819)+1)</f>
        <v/>
      </c>
    </row>
    <row r="1820">
      <c r="A1820" s="5">
        <f>IF($J1820="","",IF($J1820&lt;=1500,INDEX('Daily Sale entry '!$X$1:$X$1501,$J1820+1),INDEX('Daily Sale entry '!$V$1:$V$1501,$J1820-1499)))</f>
        <v/>
      </c>
      <c r="B1820">
        <f>IF($J1820="","",IF($J1820&lt;=1500,INDEX('Daily Sale entry '!$Y$1:$Y$1501,$J1820+1)&amp;"","Buyer cheque banked 买家支票存入"&amp;IF(INDEX('Daily Sale entry '!$U$1:$U$1501,$J1820-1499)="","", " - "&amp;INDEX('Daily Sale entry '!$U$1:$U$1501,$J1820-1499))))</f>
        <v/>
      </c>
      <c r="C1820">
        <f>IF($J1820="","",IF($J1820&lt;=1500,INDEX('Daily Sale entry '!$Z$1:$Z$1501,$J1820+1)&amp;"","Cheque deposit 支票存入 (buyer 买家)"))</f>
        <v/>
      </c>
      <c r="D1820">
        <f>IF($J1820="","",IF($J1820&lt;=1500,INDEX('Daily Sale entry '!$AA$1:$AA$1501,$J1820+1)&amp;"",INDEX('Daily Sale entry '!$P$1:$P$1501,$J1820-1499)&amp;""))</f>
        <v/>
      </c>
      <c r="E1820">
        <f>IF($J1820="","",IF($J1820&lt;=1500,IF(N(INDEX('Daily Sale entry '!$AB$1:$AB$1501,$J1820+1))=0,"",INDEX('Daily Sale entry '!$AB$1:$AB$1501,$J1820+1)),1))</f>
        <v/>
      </c>
      <c r="F1820" s="6">
        <f>IF($J1820="","",IF($J1820&lt;=1500,N(INDEX('Daily Sale entry '!$AC$1:$AC$1501,$J1820+1))-IF(AND('Opening Balance'!$B$15=1,INDEX('Daily Sale entry '!$Z$1:$Z$1501,$J1820+1)="Online collection 网上收款",INDEX('Daily Sale entry '!$AA$1:$AA$1501,$J1820+1)&lt;&gt;""),N(INDEX('Daily Sale entry '!$AC$1:$AC$1501,$J1820+1))-TRUNC(N(INDEX('Daily Sale entry '!$AC$1:$AC$1501,$J1820+1))),0),N(INDEX('Daily Sale entry '!$S$1:$S$1501,$J1820-1499))-'Opening Balance'!$B$15*(N(INDEX('Daily Sale entry '!$S$1:$S$1501,$J1820-1499))-TRUNC(N(INDEX('Daily Sale entry '!$S$1:$S$1501,$J1820-1499))))))</f>
        <v/>
      </c>
      <c r="G1820" s="6">
        <f>IF($J1820="","",IF($J1820&lt;=1500,N(INDEX('Daily Sale entry '!$AD$1:$AD$1501,$J1820+1)),0))</f>
        <v/>
      </c>
      <c r="H1820" s="6">
        <f>IF($J1820="","",ROUND('Opening Balance'!$B$4+SUM($F$2:F1820)-SUM($G$2:G1820),2))</f>
        <v/>
      </c>
      <c r="J1820" s="21">
        <f>IFERROR(MATCH(ROW()-1,$L$2:$L$3001,0),"")</f>
        <v/>
      </c>
      <c r="K1820" s="34">
        <f>IF(AND('Daily Sale entry '!Q320="Collection 收款",'Daily Sale entry '!R320="Cheque 支票",'Daily Sale entry '!V320&lt;&gt;""),'Daily Sale entry '!V320+ROW()/10000000,"")</f>
        <v/>
      </c>
      <c r="L1820" s="21">
        <f>IF(K1820="","",COUNTIF($K$2:$K$3001,"&lt;"&amp;K1820)+1)</f>
        <v/>
      </c>
    </row>
    <row r="1821">
      <c r="A1821" s="5">
        <f>IF($J1821="","",IF($J1821&lt;=1500,INDEX('Daily Sale entry '!$X$1:$X$1501,$J1821+1),INDEX('Daily Sale entry '!$V$1:$V$1501,$J1821-1499)))</f>
        <v/>
      </c>
      <c r="B1821">
        <f>IF($J1821="","",IF($J1821&lt;=1500,INDEX('Daily Sale entry '!$Y$1:$Y$1501,$J1821+1)&amp;"","Buyer cheque banked 买家支票存入"&amp;IF(INDEX('Daily Sale entry '!$U$1:$U$1501,$J1821-1499)="","", " - "&amp;INDEX('Daily Sale entry '!$U$1:$U$1501,$J1821-1499))))</f>
        <v/>
      </c>
      <c r="C1821">
        <f>IF($J1821="","",IF($J1821&lt;=1500,INDEX('Daily Sale entry '!$Z$1:$Z$1501,$J1821+1)&amp;"","Cheque deposit 支票存入 (buyer 买家)"))</f>
        <v/>
      </c>
      <c r="D1821">
        <f>IF($J1821="","",IF($J1821&lt;=1500,INDEX('Daily Sale entry '!$AA$1:$AA$1501,$J1821+1)&amp;"",INDEX('Daily Sale entry '!$P$1:$P$1501,$J1821-1499)&amp;""))</f>
        <v/>
      </c>
      <c r="E1821">
        <f>IF($J1821="","",IF($J1821&lt;=1500,IF(N(INDEX('Daily Sale entry '!$AB$1:$AB$1501,$J1821+1))=0,"",INDEX('Daily Sale entry '!$AB$1:$AB$1501,$J1821+1)),1))</f>
        <v/>
      </c>
      <c r="F1821" s="6">
        <f>IF($J1821="","",IF($J1821&lt;=1500,N(INDEX('Daily Sale entry '!$AC$1:$AC$1501,$J1821+1))-IF(AND('Opening Balance'!$B$15=1,INDEX('Daily Sale entry '!$Z$1:$Z$1501,$J1821+1)="Online collection 网上收款",INDEX('Daily Sale entry '!$AA$1:$AA$1501,$J1821+1)&lt;&gt;""),N(INDEX('Daily Sale entry '!$AC$1:$AC$1501,$J1821+1))-TRUNC(N(INDEX('Daily Sale entry '!$AC$1:$AC$1501,$J1821+1))),0),N(INDEX('Daily Sale entry '!$S$1:$S$1501,$J1821-1499))-'Opening Balance'!$B$15*(N(INDEX('Daily Sale entry '!$S$1:$S$1501,$J1821-1499))-TRUNC(N(INDEX('Daily Sale entry '!$S$1:$S$1501,$J1821-1499))))))</f>
        <v/>
      </c>
      <c r="G1821" s="6">
        <f>IF($J1821="","",IF($J1821&lt;=1500,N(INDEX('Daily Sale entry '!$AD$1:$AD$1501,$J1821+1)),0))</f>
        <v/>
      </c>
      <c r="H1821" s="6">
        <f>IF($J1821="","",ROUND('Opening Balance'!$B$4+SUM($F$2:F1821)-SUM($G$2:G1821),2))</f>
        <v/>
      </c>
      <c r="J1821" s="21">
        <f>IFERROR(MATCH(ROW()-1,$L$2:$L$3001,0),"")</f>
        <v/>
      </c>
      <c r="K1821" s="34">
        <f>IF(AND('Daily Sale entry '!Q321="Collection 收款",'Daily Sale entry '!R321="Cheque 支票",'Daily Sale entry '!V321&lt;&gt;""),'Daily Sale entry '!V321+ROW()/10000000,"")</f>
        <v/>
      </c>
      <c r="L1821" s="21">
        <f>IF(K1821="","",COUNTIF($K$2:$K$3001,"&lt;"&amp;K1821)+1)</f>
        <v/>
      </c>
    </row>
    <row r="1822">
      <c r="A1822" s="5">
        <f>IF($J1822="","",IF($J1822&lt;=1500,INDEX('Daily Sale entry '!$X$1:$X$1501,$J1822+1),INDEX('Daily Sale entry '!$V$1:$V$1501,$J1822-1499)))</f>
        <v/>
      </c>
      <c r="B1822">
        <f>IF($J1822="","",IF($J1822&lt;=1500,INDEX('Daily Sale entry '!$Y$1:$Y$1501,$J1822+1)&amp;"","Buyer cheque banked 买家支票存入"&amp;IF(INDEX('Daily Sale entry '!$U$1:$U$1501,$J1822-1499)="","", " - "&amp;INDEX('Daily Sale entry '!$U$1:$U$1501,$J1822-1499))))</f>
        <v/>
      </c>
      <c r="C1822">
        <f>IF($J1822="","",IF($J1822&lt;=1500,INDEX('Daily Sale entry '!$Z$1:$Z$1501,$J1822+1)&amp;"","Cheque deposit 支票存入 (buyer 买家)"))</f>
        <v/>
      </c>
      <c r="D1822">
        <f>IF($J1822="","",IF($J1822&lt;=1500,INDEX('Daily Sale entry '!$AA$1:$AA$1501,$J1822+1)&amp;"",INDEX('Daily Sale entry '!$P$1:$P$1501,$J1822-1499)&amp;""))</f>
        <v/>
      </c>
      <c r="E1822">
        <f>IF($J1822="","",IF($J1822&lt;=1500,IF(N(INDEX('Daily Sale entry '!$AB$1:$AB$1501,$J1822+1))=0,"",INDEX('Daily Sale entry '!$AB$1:$AB$1501,$J1822+1)),1))</f>
        <v/>
      </c>
      <c r="F1822" s="6">
        <f>IF($J1822="","",IF($J1822&lt;=1500,N(INDEX('Daily Sale entry '!$AC$1:$AC$1501,$J1822+1))-IF(AND('Opening Balance'!$B$15=1,INDEX('Daily Sale entry '!$Z$1:$Z$1501,$J1822+1)="Online collection 网上收款",INDEX('Daily Sale entry '!$AA$1:$AA$1501,$J1822+1)&lt;&gt;""),N(INDEX('Daily Sale entry '!$AC$1:$AC$1501,$J1822+1))-TRUNC(N(INDEX('Daily Sale entry '!$AC$1:$AC$1501,$J1822+1))),0),N(INDEX('Daily Sale entry '!$S$1:$S$1501,$J1822-1499))-'Opening Balance'!$B$15*(N(INDEX('Daily Sale entry '!$S$1:$S$1501,$J1822-1499))-TRUNC(N(INDEX('Daily Sale entry '!$S$1:$S$1501,$J1822-1499))))))</f>
        <v/>
      </c>
      <c r="G1822" s="6">
        <f>IF($J1822="","",IF($J1822&lt;=1500,N(INDEX('Daily Sale entry '!$AD$1:$AD$1501,$J1822+1)),0))</f>
        <v/>
      </c>
      <c r="H1822" s="6">
        <f>IF($J1822="","",ROUND('Opening Balance'!$B$4+SUM($F$2:F1822)-SUM($G$2:G1822),2))</f>
        <v/>
      </c>
      <c r="J1822" s="21">
        <f>IFERROR(MATCH(ROW()-1,$L$2:$L$3001,0),"")</f>
        <v/>
      </c>
      <c r="K1822" s="34">
        <f>IF(AND('Daily Sale entry '!Q322="Collection 收款",'Daily Sale entry '!R322="Cheque 支票",'Daily Sale entry '!V322&lt;&gt;""),'Daily Sale entry '!V322+ROW()/10000000,"")</f>
        <v/>
      </c>
      <c r="L1822" s="21">
        <f>IF(K1822="","",COUNTIF($K$2:$K$3001,"&lt;"&amp;K1822)+1)</f>
        <v/>
      </c>
    </row>
    <row r="1823">
      <c r="A1823" s="5">
        <f>IF($J1823="","",IF($J1823&lt;=1500,INDEX('Daily Sale entry '!$X$1:$X$1501,$J1823+1),INDEX('Daily Sale entry '!$V$1:$V$1501,$J1823-1499)))</f>
        <v/>
      </c>
      <c r="B1823">
        <f>IF($J1823="","",IF($J1823&lt;=1500,INDEX('Daily Sale entry '!$Y$1:$Y$1501,$J1823+1)&amp;"","Buyer cheque banked 买家支票存入"&amp;IF(INDEX('Daily Sale entry '!$U$1:$U$1501,$J1823-1499)="","", " - "&amp;INDEX('Daily Sale entry '!$U$1:$U$1501,$J1823-1499))))</f>
        <v/>
      </c>
      <c r="C1823">
        <f>IF($J1823="","",IF($J1823&lt;=1500,INDEX('Daily Sale entry '!$Z$1:$Z$1501,$J1823+1)&amp;"","Cheque deposit 支票存入 (buyer 买家)"))</f>
        <v/>
      </c>
      <c r="D1823">
        <f>IF($J1823="","",IF($J1823&lt;=1500,INDEX('Daily Sale entry '!$AA$1:$AA$1501,$J1823+1)&amp;"",INDEX('Daily Sale entry '!$P$1:$P$1501,$J1823-1499)&amp;""))</f>
        <v/>
      </c>
      <c r="E1823">
        <f>IF($J1823="","",IF($J1823&lt;=1500,IF(N(INDEX('Daily Sale entry '!$AB$1:$AB$1501,$J1823+1))=0,"",INDEX('Daily Sale entry '!$AB$1:$AB$1501,$J1823+1)),1))</f>
        <v/>
      </c>
      <c r="F1823" s="6">
        <f>IF($J1823="","",IF($J1823&lt;=1500,N(INDEX('Daily Sale entry '!$AC$1:$AC$1501,$J1823+1))-IF(AND('Opening Balance'!$B$15=1,INDEX('Daily Sale entry '!$Z$1:$Z$1501,$J1823+1)="Online collection 网上收款",INDEX('Daily Sale entry '!$AA$1:$AA$1501,$J1823+1)&lt;&gt;""),N(INDEX('Daily Sale entry '!$AC$1:$AC$1501,$J1823+1))-TRUNC(N(INDEX('Daily Sale entry '!$AC$1:$AC$1501,$J1823+1))),0),N(INDEX('Daily Sale entry '!$S$1:$S$1501,$J1823-1499))-'Opening Balance'!$B$15*(N(INDEX('Daily Sale entry '!$S$1:$S$1501,$J1823-1499))-TRUNC(N(INDEX('Daily Sale entry '!$S$1:$S$1501,$J1823-1499))))))</f>
        <v/>
      </c>
      <c r="G1823" s="6">
        <f>IF($J1823="","",IF($J1823&lt;=1500,N(INDEX('Daily Sale entry '!$AD$1:$AD$1501,$J1823+1)),0))</f>
        <v/>
      </c>
      <c r="H1823" s="6">
        <f>IF($J1823="","",ROUND('Opening Balance'!$B$4+SUM($F$2:F1823)-SUM($G$2:G1823),2))</f>
        <v/>
      </c>
      <c r="J1823" s="21">
        <f>IFERROR(MATCH(ROW()-1,$L$2:$L$3001,0),"")</f>
        <v/>
      </c>
      <c r="K1823" s="34">
        <f>IF(AND('Daily Sale entry '!Q323="Collection 收款",'Daily Sale entry '!R323="Cheque 支票",'Daily Sale entry '!V323&lt;&gt;""),'Daily Sale entry '!V323+ROW()/10000000,"")</f>
        <v/>
      </c>
      <c r="L1823" s="21">
        <f>IF(K1823="","",COUNTIF($K$2:$K$3001,"&lt;"&amp;K1823)+1)</f>
        <v/>
      </c>
    </row>
    <row r="1824">
      <c r="A1824" s="5">
        <f>IF($J1824="","",IF($J1824&lt;=1500,INDEX('Daily Sale entry '!$X$1:$X$1501,$J1824+1),INDEX('Daily Sale entry '!$V$1:$V$1501,$J1824-1499)))</f>
        <v/>
      </c>
      <c r="B1824">
        <f>IF($J1824="","",IF($J1824&lt;=1500,INDEX('Daily Sale entry '!$Y$1:$Y$1501,$J1824+1)&amp;"","Buyer cheque banked 买家支票存入"&amp;IF(INDEX('Daily Sale entry '!$U$1:$U$1501,$J1824-1499)="","", " - "&amp;INDEX('Daily Sale entry '!$U$1:$U$1501,$J1824-1499))))</f>
        <v/>
      </c>
      <c r="C1824">
        <f>IF($J1824="","",IF($J1824&lt;=1500,INDEX('Daily Sale entry '!$Z$1:$Z$1501,$J1824+1)&amp;"","Cheque deposit 支票存入 (buyer 买家)"))</f>
        <v/>
      </c>
      <c r="D1824">
        <f>IF($J1824="","",IF($J1824&lt;=1500,INDEX('Daily Sale entry '!$AA$1:$AA$1501,$J1824+1)&amp;"",INDEX('Daily Sale entry '!$P$1:$P$1501,$J1824-1499)&amp;""))</f>
        <v/>
      </c>
      <c r="E1824">
        <f>IF($J1824="","",IF($J1824&lt;=1500,IF(N(INDEX('Daily Sale entry '!$AB$1:$AB$1501,$J1824+1))=0,"",INDEX('Daily Sale entry '!$AB$1:$AB$1501,$J1824+1)),1))</f>
        <v/>
      </c>
      <c r="F1824" s="6">
        <f>IF($J1824="","",IF($J1824&lt;=1500,N(INDEX('Daily Sale entry '!$AC$1:$AC$1501,$J1824+1))-IF(AND('Opening Balance'!$B$15=1,INDEX('Daily Sale entry '!$Z$1:$Z$1501,$J1824+1)="Online collection 网上收款",INDEX('Daily Sale entry '!$AA$1:$AA$1501,$J1824+1)&lt;&gt;""),N(INDEX('Daily Sale entry '!$AC$1:$AC$1501,$J1824+1))-TRUNC(N(INDEX('Daily Sale entry '!$AC$1:$AC$1501,$J1824+1))),0),N(INDEX('Daily Sale entry '!$S$1:$S$1501,$J1824-1499))-'Opening Balance'!$B$15*(N(INDEX('Daily Sale entry '!$S$1:$S$1501,$J1824-1499))-TRUNC(N(INDEX('Daily Sale entry '!$S$1:$S$1501,$J1824-1499))))))</f>
        <v/>
      </c>
      <c r="G1824" s="6">
        <f>IF($J1824="","",IF($J1824&lt;=1500,N(INDEX('Daily Sale entry '!$AD$1:$AD$1501,$J1824+1)),0))</f>
        <v/>
      </c>
      <c r="H1824" s="6">
        <f>IF($J1824="","",ROUND('Opening Balance'!$B$4+SUM($F$2:F1824)-SUM($G$2:G1824),2))</f>
        <v/>
      </c>
      <c r="J1824" s="21">
        <f>IFERROR(MATCH(ROW()-1,$L$2:$L$3001,0),"")</f>
        <v/>
      </c>
      <c r="K1824" s="34">
        <f>IF(AND('Daily Sale entry '!Q324="Collection 收款",'Daily Sale entry '!R324="Cheque 支票",'Daily Sale entry '!V324&lt;&gt;""),'Daily Sale entry '!V324+ROW()/10000000,"")</f>
        <v/>
      </c>
      <c r="L1824" s="21">
        <f>IF(K1824="","",COUNTIF($K$2:$K$3001,"&lt;"&amp;K1824)+1)</f>
        <v/>
      </c>
    </row>
    <row r="1825">
      <c r="A1825" s="5">
        <f>IF($J1825="","",IF($J1825&lt;=1500,INDEX('Daily Sale entry '!$X$1:$X$1501,$J1825+1),INDEX('Daily Sale entry '!$V$1:$V$1501,$J1825-1499)))</f>
        <v/>
      </c>
      <c r="B1825">
        <f>IF($J1825="","",IF($J1825&lt;=1500,INDEX('Daily Sale entry '!$Y$1:$Y$1501,$J1825+1)&amp;"","Buyer cheque banked 买家支票存入"&amp;IF(INDEX('Daily Sale entry '!$U$1:$U$1501,$J1825-1499)="","", " - "&amp;INDEX('Daily Sale entry '!$U$1:$U$1501,$J1825-1499))))</f>
        <v/>
      </c>
      <c r="C1825">
        <f>IF($J1825="","",IF($J1825&lt;=1500,INDEX('Daily Sale entry '!$Z$1:$Z$1501,$J1825+1)&amp;"","Cheque deposit 支票存入 (buyer 买家)"))</f>
        <v/>
      </c>
      <c r="D1825">
        <f>IF($J1825="","",IF($J1825&lt;=1500,INDEX('Daily Sale entry '!$AA$1:$AA$1501,$J1825+1)&amp;"",INDEX('Daily Sale entry '!$P$1:$P$1501,$J1825-1499)&amp;""))</f>
        <v/>
      </c>
      <c r="E1825">
        <f>IF($J1825="","",IF($J1825&lt;=1500,IF(N(INDEX('Daily Sale entry '!$AB$1:$AB$1501,$J1825+1))=0,"",INDEX('Daily Sale entry '!$AB$1:$AB$1501,$J1825+1)),1))</f>
        <v/>
      </c>
      <c r="F1825" s="6">
        <f>IF($J1825="","",IF($J1825&lt;=1500,N(INDEX('Daily Sale entry '!$AC$1:$AC$1501,$J1825+1))-IF(AND('Opening Balance'!$B$15=1,INDEX('Daily Sale entry '!$Z$1:$Z$1501,$J1825+1)="Online collection 网上收款",INDEX('Daily Sale entry '!$AA$1:$AA$1501,$J1825+1)&lt;&gt;""),N(INDEX('Daily Sale entry '!$AC$1:$AC$1501,$J1825+1))-TRUNC(N(INDEX('Daily Sale entry '!$AC$1:$AC$1501,$J1825+1))),0),N(INDEX('Daily Sale entry '!$S$1:$S$1501,$J1825-1499))-'Opening Balance'!$B$15*(N(INDEX('Daily Sale entry '!$S$1:$S$1501,$J1825-1499))-TRUNC(N(INDEX('Daily Sale entry '!$S$1:$S$1501,$J1825-1499))))))</f>
        <v/>
      </c>
      <c r="G1825" s="6">
        <f>IF($J1825="","",IF($J1825&lt;=1500,N(INDEX('Daily Sale entry '!$AD$1:$AD$1501,$J1825+1)),0))</f>
        <v/>
      </c>
      <c r="H1825" s="6">
        <f>IF($J1825="","",ROUND('Opening Balance'!$B$4+SUM($F$2:F1825)-SUM($G$2:G1825),2))</f>
        <v/>
      </c>
      <c r="J1825" s="21">
        <f>IFERROR(MATCH(ROW()-1,$L$2:$L$3001,0),"")</f>
        <v/>
      </c>
      <c r="K1825" s="34">
        <f>IF(AND('Daily Sale entry '!Q325="Collection 收款",'Daily Sale entry '!R325="Cheque 支票",'Daily Sale entry '!V325&lt;&gt;""),'Daily Sale entry '!V325+ROW()/10000000,"")</f>
        <v/>
      </c>
      <c r="L1825" s="21">
        <f>IF(K1825="","",COUNTIF($K$2:$K$3001,"&lt;"&amp;K1825)+1)</f>
        <v/>
      </c>
    </row>
    <row r="1826">
      <c r="A1826" s="5">
        <f>IF($J1826="","",IF($J1826&lt;=1500,INDEX('Daily Sale entry '!$X$1:$X$1501,$J1826+1),INDEX('Daily Sale entry '!$V$1:$V$1501,$J1826-1499)))</f>
        <v/>
      </c>
      <c r="B1826">
        <f>IF($J1826="","",IF($J1826&lt;=1500,INDEX('Daily Sale entry '!$Y$1:$Y$1501,$J1826+1)&amp;"","Buyer cheque banked 买家支票存入"&amp;IF(INDEX('Daily Sale entry '!$U$1:$U$1501,$J1826-1499)="","", " - "&amp;INDEX('Daily Sale entry '!$U$1:$U$1501,$J1826-1499))))</f>
        <v/>
      </c>
      <c r="C1826">
        <f>IF($J1826="","",IF($J1826&lt;=1500,INDEX('Daily Sale entry '!$Z$1:$Z$1501,$J1826+1)&amp;"","Cheque deposit 支票存入 (buyer 买家)"))</f>
        <v/>
      </c>
      <c r="D1826">
        <f>IF($J1826="","",IF($J1826&lt;=1500,INDEX('Daily Sale entry '!$AA$1:$AA$1501,$J1826+1)&amp;"",INDEX('Daily Sale entry '!$P$1:$P$1501,$J1826-1499)&amp;""))</f>
        <v/>
      </c>
      <c r="E1826">
        <f>IF($J1826="","",IF($J1826&lt;=1500,IF(N(INDEX('Daily Sale entry '!$AB$1:$AB$1501,$J1826+1))=0,"",INDEX('Daily Sale entry '!$AB$1:$AB$1501,$J1826+1)),1))</f>
        <v/>
      </c>
      <c r="F1826" s="6">
        <f>IF($J1826="","",IF($J1826&lt;=1500,N(INDEX('Daily Sale entry '!$AC$1:$AC$1501,$J1826+1))-IF(AND('Opening Balance'!$B$15=1,INDEX('Daily Sale entry '!$Z$1:$Z$1501,$J1826+1)="Online collection 网上收款",INDEX('Daily Sale entry '!$AA$1:$AA$1501,$J1826+1)&lt;&gt;""),N(INDEX('Daily Sale entry '!$AC$1:$AC$1501,$J1826+1))-TRUNC(N(INDEX('Daily Sale entry '!$AC$1:$AC$1501,$J1826+1))),0),N(INDEX('Daily Sale entry '!$S$1:$S$1501,$J1826-1499))-'Opening Balance'!$B$15*(N(INDEX('Daily Sale entry '!$S$1:$S$1501,$J1826-1499))-TRUNC(N(INDEX('Daily Sale entry '!$S$1:$S$1501,$J1826-1499))))))</f>
        <v/>
      </c>
      <c r="G1826" s="6">
        <f>IF($J1826="","",IF($J1826&lt;=1500,N(INDEX('Daily Sale entry '!$AD$1:$AD$1501,$J1826+1)),0))</f>
        <v/>
      </c>
      <c r="H1826" s="6">
        <f>IF($J1826="","",ROUND('Opening Balance'!$B$4+SUM($F$2:F1826)-SUM($G$2:G1826),2))</f>
        <v/>
      </c>
      <c r="J1826" s="21">
        <f>IFERROR(MATCH(ROW()-1,$L$2:$L$3001,0),"")</f>
        <v/>
      </c>
      <c r="K1826" s="34">
        <f>IF(AND('Daily Sale entry '!Q326="Collection 收款",'Daily Sale entry '!R326="Cheque 支票",'Daily Sale entry '!V326&lt;&gt;""),'Daily Sale entry '!V326+ROW()/10000000,"")</f>
        <v/>
      </c>
      <c r="L1826" s="21">
        <f>IF(K1826="","",COUNTIF($K$2:$K$3001,"&lt;"&amp;K1826)+1)</f>
        <v/>
      </c>
    </row>
    <row r="1827">
      <c r="A1827" s="5">
        <f>IF($J1827="","",IF($J1827&lt;=1500,INDEX('Daily Sale entry '!$X$1:$X$1501,$J1827+1),INDEX('Daily Sale entry '!$V$1:$V$1501,$J1827-1499)))</f>
        <v/>
      </c>
      <c r="B1827">
        <f>IF($J1827="","",IF($J1827&lt;=1500,INDEX('Daily Sale entry '!$Y$1:$Y$1501,$J1827+1)&amp;"","Buyer cheque banked 买家支票存入"&amp;IF(INDEX('Daily Sale entry '!$U$1:$U$1501,$J1827-1499)="","", " - "&amp;INDEX('Daily Sale entry '!$U$1:$U$1501,$J1827-1499))))</f>
        <v/>
      </c>
      <c r="C1827">
        <f>IF($J1827="","",IF($J1827&lt;=1500,INDEX('Daily Sale entry '!$Z$1:$Z$1501,$J1827+1)&amp;"","Cheque deposit 支票存入 (buyer 买家)"))</f>
        <v/>
      </c>
      <c r="D1827">
        <f>IF($J1827="","",IF($J1827&lt;=1500,INDEX('Daily Sale entry '!$AA$1:$AA$1501,$J1827+1)&amp;"",INDEX('Daily Sale entry '!$P$1:$P$1501,$J1827-1499)&amp;""))</f>
        <v/>
      </c>
      <c r="E1827">
        <f>IF($J1827="","",IF($J1827&lt;=1500,IF(N(INDEX('Daily Sale entry '!$AB$1:$AB$1501,$J1827+1))=0,"",INDEX('Daily Sale entry '!$AB$1:$AB$1501,$J1827+1)),1))</f>
        <v/>
      </c>
      <c r="F1827" s="6">
        <f>IF($J1827="","",IF($J1827&lt;=1500,N(INDEX('Daily Sale entry '!$AC$1:$AC$1501,$J1827+1))-IF(AND('Opening Balance'!$B$15=1,INDEX('Daily Sale entry '!$Z$1:$Z$1501,$J1827+1)="Online collection 网上收款",INDEX('Daily Sale entry '!$AA$1:$AA$1501,$J1827+1)&lt;&gt;""),N(INDEX('Daily Sale entry '!$AC$1:$AC$1501,$J1827+1))-TRUNC(N(INDEX('Daily Sale entry '!$AC$1:$AC$1501,$J1827+1))),0),N(INDEX('Daily Sale entry '!$S$1:$S$1501,$J1827-1499))-'Opening Balance'!$B$15*(N(INDEX('Daily Sale entry '!$S$1:$S$1501,$J1827-1499))-TRUNC(N(INDEX('Daily Sale entry '!$S$1:$S$1501,$J1827-1499))))))</f>
        <v/>
      </c>
      <c r="G1827" s="6">
        <f>IF($J1827="","",IF($J1827&lt;=1500,N(INDEX('Daily Sale entry '!$AD$1:$AD$1501,$J1827+1)),0))</f>
        <v/>
      </c>
      <c r="H1827" s="6">
        <f>IF($J1827="","",ROUND('Opening Balance'!$B$4+SUM($F$2:F1827)-SUM($G$2:G1827),2))</f>
        <v/>
      </c>
      <c r="J1827" s="21">
        <f>IFERROR(MATCH(ROW()-1,$L$2:$L$3001,0),"")</f>
        <v/>
      </c>
      <c r="K1827" s="34">
        <f>IF(AND('Daily Sale entry '!Q327="Collection 收款",'Daily Sale entry '!R327="Cheque 支票",'Daily Sale entry '!V327&lt;&gt;""),'Daily Sale entry '!V327+ROW()/10000000,"")</f>
        <v/>
      </c>
      <c r="L1827" s="21">
        <f>IF(K1827="","",COUNTIF($K$2:$K$3001,"&lt;"&amp;K1827)+1)</f>
        <v/>
      </c>
    </row>
    <row r="1828">
      <c r="A1828" s="5">
        <f>IF($J1828="","",IF($J1828&lt;=1500,INDEX('Daily Sale entry '!$X$1:$X$1501,$J1828+1),INDEX('Daily Sale entry '!$V$1:$V$1501,$J1828-1499)))</f>
        <v/>
      </c>
      <c r="B1828">
        <f>IF($J1828="","",IF($J1828&lt;=1500,INDEX('Daily Sale entry '!$Y$1:$Y$1501,$J1828+1)&amp;"","Buyer cheque banked 买家支票存入"&amp;IF(INDEX('Daily Sale entry '!$U$1:$U$1501,$J1828-1499)="","", " - "&amp;INDEX('Daily Sale entry '!$U$1:$U$1501,$J1828-1499))))</f>
        <v/>
      </c>
      <c r="C1828">
        <f>IF($J1828="","",IF($J1828&lt;=1500,INDEX('Daily Sale entry '!$Z$1:$Z$1501,$J1828+1)&amp;"","Cheque deposit 支票存入 (buyer 买家)"))</f>
        <v/>
      </c>
      <c r="D1828">
        <f>IF($J1828="","",IF($J1828&lt;=1500,INDEX('Daily Sale entry '!$AA$1:$AA$1501,$J1828+1)&amp;"",INDEX('Daily Sale entry '!$P$1:$P$1501,$J1828-1499)&amp;""))</f>
        <v/>
      </c>
      <c r="E1828">
        <f>IF($J1828="","",IF($J1828&lt;=1500,IF(N(INDEX('Daily Sale entry '!$AB$1:$AB$1501,$J1828+1))=0,"",INDEX('Daily Sale entry '!$AB$1:$AB$1501,$J1828+1)),1))</f>
        <v/>
      </c>
      <c r="F1828" s="6">
        <f>IF($J1828="","",IF($J1828&lt;=1500,N(INDEX('Daily Sale entry '!$AC$1:$AC$1501,$J1828+1))-IF(AND('Opening Balance'!$B$15=1,INDEX('Daily Sale entry '!$Z$1:$Z$1501,$J1828+1)="Online collection 网上收款",INDEX('Daily Sale entry '!$AA$1:$AA$1501,$J1828+1)&lt;&gt;""),N(INDEX('Daily Sale entry '!$AC$1:$AC$1501,$J1828+1))-TRUNC(N(INDEX('Daily Sale entry '!$AC$1:$AC$1501,$J1828+1))),0),N(INDEX('Daily Sale entry '!$S$1:$S$1501,$J1828-1499))-'Opening Balance'!$B$15*(N(INDEX('Daily Sale entry '!$S$1:$S$1501,$J1828-1499))-TRUNC(N(INDEX('Daily Sale entry '!$S$1:$S$1501,$J1828-1499))))))</f>
        <v/>
      </c>
      <c r="G1828" s="6">
        <f>IF($J1828="","",IF($J1828&lt;=1500,N(INDEX('Daily Sale entry '!$AD$1:$AD$1501,$J1828+1)),0))</f>
        <v/>
      </c>
      <c r="H1828" s="6">
        <f>IF($J1828="","",ROUND('Opening Balance'!$B$4+SUM($F$2:F1828)-SUM($G$2:G1828),2))</f>
        <v/>
      </c>
      <c r="J1828" s="21">
        <f>IFERROR(MATCH(ROW()-1,$L$2:$L$3001,0),"")</f>
        <v/>
      </c>
      <c r="K1828" s="34">
        <f>IF(AND('Daily Sale entry '!Q328="Collection 收款",'Daily Sale entry '!R328="Cheque 支票",'Daily Sale entry '!V328&lt;&gt;""),'Daily Sale entry '!V328+ROW()/10000000,"")</f>
        <v/>
      </c>
      <c r="L1828" s="21">
        <f>IF(K1828="","",COUNTIF($K$2:$K$3001,"&lt;"&amp;K1828)+1)</f>
        <v/>
      </c>
    </row>
    <row r="1829">
      <c r="A1829" s="5">
        <f>IF($J1829="","",IF($J1829&lt;=1500,INDEX('Daily Sale entry '!$X$1:$X$1501,$J1829+1),INDEX('Daily Sale entry '!$V$1:$V$1501,$J1829-1499)))</f>
        <v/>
      </c>
      <c r="B1829">
        <f>IF($J1829="","",IF($J1829&lt;=1500,INDEX('Daily Sale entry '!$Y$1:$Y$1501,$J1829+1)&amp;"","Buyer cheque banked 买家支票存入"&amp;IF(INDEX('Daily Sale entry '!$U$1:$U$1501,$J1829-1499)="","", " - "&amp;INDEX('Daily Sale entry '!$U$1:$U$1501,$J1829-1499))))</f>
        <v/>
      </c>
      <c r="C1829">
        <f>IF($J1829="","",IF($J1829&lt;=1500,INDEX('Daily Sale entry '!$Z$1:$Z$1501,$J1829+1)&amp;"","Cheque deposit 支票存入 (buyer 买家)"))</f>
        <v/>
      </c>
      <c r="D1829">
        <f>IF($J1829="","",IF($J1829&lt;=1500,INDEX('Daily Sale entry '!$AA$1:$AA$1501,$J1829+1)&amp;"",INDEX('Daily Sale entry '!$P$1:$P$1501,$J1829-1499)&amp;""))</f>
        <v/>
      </c>
      <c r="E1829">
        <f>IF($J1829="","",IF($J1829&lt;=1500,IF(N(INDEX('Daily Sale entry '!$AB$1:$AB$1501,$J1829+1))=0,"",INDEX('Daily Sale entry '!$AB$1:$AB$1501,$J1829+1)),1))</f>
        <v/>
      </c>
      <c r="F1829" s="6">
        <f>IF($J1829="","",IF($J1829&lt;=1500,N(INDEX('Daily Sale entry '!$AC$1:$AC$1501,$J1829+1))-IF(AND('Opening Balance'!$B$15=1,INDEX('Daily Sale entry '!$Z$1:$Z$1501,$J1829+1)="Online collection 网上收款",INDEX('Daily Sale entry '!$AA$1:$AA$1501,$J1829+1)&lt;&gt;""),N(INDEX('Daily Sale entry '!$AC$1:$AC$1501,$J1829+1))-TRUNC(N(INDEX('Daily Sale entry '!$AC$1:$AC$1501,$J1829+1))),0),N(INDEX('Daily Sale entry '!$S$1:$S$1501,$J1829-1499))-'Opening Balance'!$B$15*(N(INDEX('Daily Sale entry '!$S$1:$S$1501,$J1829-1499))-TRUNC(N(INDEX('Daily Sale entry '!$S$1:$S$1501,$J1829-1499))))))</f>
        <v/>
      </c>
      <c r="G1829" s="6">
        <f>IF($J1829="","",IF($J1829&lt;=1500,N(INDEX('Daily Sale entry '!$AD$1:$AD$1501,$J1829+1)),0))</f>
        <v/>
      </c>
      <c r="H1829" s="6">
        <f>IF($J1829="","",ROUND('Opening Balance'!$B$4+SUM($F$2:F1829)-SUM($G$2:G1829),2))</f>
        <v/>
      </c>
      <c r="J1829" s="21">
        <f>IFERROR(MATCH(ROW()-1,$L$2:$L$3001,0),"")</f>
        <v/>
      </c>
      <c r="K1829" s="34">
        <f>IF(AND('Daily Sale entry '!Q329="Collection 收款",'Daily Sale entry '!R329="Cheque 支票",'Daily Sale entry '!V329&lt;&gt;""),'Daily Sale entry '!V329+ROW()/10000000,"")</f>
        <v/>
      </c>
      <c r="L1829" s="21">
        <f>IF(K1829="","",COUNTIF($K$2:$K$3001,"&lt;"&amp;K1829)+1)</f>
        <v/>
      </c>
    </row>
    <row r="1830">
      <c r="A1830" s="5">
        <f>IF($J1830="","",IF($J1830&lt;=1500,INDEX('Daily Sale entry '!$X$1:$X$1501,$J1830+1),INDEX('Daily Sale entry '!$V$1:$V$1501,$J1830-1499)))</f>
        <v/>
      </c>
      <c r="B1830">
        <f>IF($J1830="","",IF($J1830&lt;=1500,INDEX('Daily Sale entry '!$Y$1:$Y$1501,$J1830+1)&amp;"","Buyer cheque banked 买家支票存入"&amp;IF(INDEX('Daily Sale entry '!$U$1:$U$1501,$J1830-1499)="","", " - "&amp;INDEX('Daily Sale entry '!$U$1:$U$1501,$J1830-1499))))</f>
        <v/>
      </c>
      <c r="C1830">
        <f>IF($J1830="","",IF($J1830&lt;=1500,INDEX('Daily Sale entry '!$Z$1:$Z$1501,$J1830+1)&amp;"","Cheque deposit 支票存入 (buyer 买家)"))</f>
        <v/>
      </c>
      <c r="D1830">
        <f>IF($J1830="","",IF($J1830&lt;=1500,INDEX('Daily Sale entry '!$AA$1:$AA$1501,$J1830+1)&amp;"",INDEX('Daily Sale entry '!$P$1:$P$1501,$J1830-1499)&amp;""))</f>
        <v/>
      </c>
      <c r="E1830">
        <f>IF($J1830="","",IF($J1830&lt;=1500,IF(N(INDEX('Daily Sale entry '!$AB$1:$AB$1501,$J1830+1))=0,"",INDEX('Daily Sale entry '!$AB$1:$AB$1501,$J1830+1)),1))</f>
        <v/>
      </c>
      <c r="F1830" s="6">
        <f>IF($J1830="","",IF($J1830&lt;=1500,N(INDEX('Daily Sale entry '!$AC$1:$AC$1501,$J1830+1))-IF(AND('Opening Balance'!$B$15=1,INDEX('Daily Sale entry '!$Z$1:$Z$1501,$J1830+1)="Online collection 网上收款",INDEX('Daily Sale entry '!$AA$1:$AA$1501,$J1830+1)&lt;&gt;""),N(INDEX('Daily Sale entry '!$AC$1:$AC$1501,$J1830+1))-TRUNC(N(INDEX('Daily Sale entry '!$AC$1:$AC$1501,$J1830+1))),0),N(INDEX('Daily Sale entry '!$S$1:$S$1501,$J1830-1499))-'Opening Balance'!$B$15*(N(INDEX('Daily Sale entry '!$S$1:$S$1501,$J1830-1499))-TRUNC(N(INDEX('Daily Sale entry '!$S$1:$S$1501,$J1830-1499))))))</f>
        <v/>
      </c>
      <c r="G1830" s="6">
        <f>IF($J1830="","",IF($J1830&lt;=1500,N(INDEX('Daily Sale entry '!$AD$1:$AD$1501,$J1830+1)),0))</f>
        <v/>
      </c>
      <c r="H1830" s="6">
        <f>IF($J1830="","",ROUND('Opening Balance'!$B$4+SUM($F$2:F1830)-SUM($G$2:G1830),2))</f>
        <v/>
      </c>
      <c r="J1830" s="21">
        <f>IFERROR(MATCH(ROW()-1,$L$2:$L$3001,0),"")</f>
        <v/>
      </c>
      <c r="K1830" s="34">
        <f>IF(AND('Daily Sale entry '!Q330="Collection 收款",'Daily Sale entry '!R330="Cheque 支票",'Daily Sale entry '!V330&lt;&gt;""),'Daily Sale entry '!V330+ROW()/10000000,"")</f>
        <v/>
      </c>
      <c r="L1830" s="21">
        <f>IF(K1830="","",COUNTIF($K$2:$K$3001,"&lt;"&amp;K1830)+1)</f>
        <v/>
      </c>
    </row>
    <row r="1831">
      <c r="A1831" s="5">
        <f>IF($J1831="","",IF($J1831&lt;=1500,INDEX('Daily Sale entry '!$X$1:$X$1501,$J1831+1),INDEX('Daily Sale entry '!$V$1:$V$1501,$J1831-1499)))</f>
        <v/>
      </c>
      <c r="B1831">
        <f>IF($J1831="","",IF($J1831&lt;=1500,INDEX('Daily Sale entry '!$Y$1:$Y$1501,$J1831+1)&amp;"","Buyer cheque banked 买家支票存入"&amp;IF(INDEX('Daily Sale entry '!$U$1:$U$1501,$J1831-1499)="","", " - "&amp;INDEX('Daily Sale entry '!$U$1:$U$1501,$J1831-1499))))</f>
        <v/>
      </c>
      <c r="C1831">
        <f>IF($J1831="","",IF($J1831&lt;=1500,INDEX('Daily Sale entry '!$Z$1:$Z$1501,$J1831+1)&amp;"","Cheque deposit 支票存入 (buyer 买家)"))</f>
        <v/>
      </c>
      <c r="D1831">
        <f>IF($J1831="","",IF($J1831&lt;=1500,INDEX('Daily Sale entry '!$AA$1:$AA$1501,$J1831+1)&amp;"",INDEX('Daily Sale entry '!$P$1:$P$1501,$J1831-1499)&amp;""))</f>
        <v/>
      </c>
      <c r="E1831">
        <f>IF($J1831="","",IF($J1831&lt;=1500,IF(N(INDEX('Daily Sale entry '!$AB$1:$AB$1501,$J1831+1))=0,"",INDEX('Daily Sale entry '!$AB$1:$AB$1501,$J1831+1)),1))</f>
        <v/>
      </c>
      <c r="F1831" s="6">
        <f>IF($J1831="","",IF($J1831&lt;=1500,N(INDEX('Daily Sale entry '!$AC$1:$AC$1501,$J1831+1))-IF(AND('Opening Balance'!$B$15=1,INDEX('Daily Sale entry '!$Z$1:$Z$1501,$J1831+1)="Online collection 网上收款",INDEX('Daily Sale entry '!$AA$1:$AA$1501,$J1831+1)&lt;&gt;""),N(INDEX('Daily Sale entry '!$AC$1:$AC$1501,$J1831+1))-TRUNC(N(INDEX('Daily Sale entry '!$AC$1:$AC$1501,$J1831+1))),0),N(INDEX('Daily Sale entry '!$S$1:$S$1501,$J1831-1499))-'Opening Balance'!$B$15*(N(INDEX('Daily Sale entry '!$S$1:$S$1501,$J1831-1499))-TRUNC(N(INDEX('Daily Sale entry '!$S$1:$S$1501,$J1831-1499))))))</f>
        <v/>
      </c>
      <c r="G1831" s="6">
        <f>IF($J1831="","",IF($J1831&lt;=1500,N(INDEX('Daily Sale entry '!$AD$1:$AD$1501,$J1831+1)),0))</f>
        <v/>
      </c>
      <c r="H1831" s="6">
        <f>IF($J1831="","",ROUND('Opening Balance'!$B$4+SUM($F$2:F1831)-SUM($G$2:G1831),2))</f>
        <v/>
      </c>
      <c r="J1831" s="21">
        <f>IFERROR(MATCH(ROW()-1,$L$2:$L$3001,0),"")</f>
        <v/>
      </c>
      <c r="K1831" s="34">
        <f>IF(AND('Daily Sale entry '!Q331="Collection 收款",'Daily Sale entry '!R331="Cheque 支票",'Daily Sale entry '!V331&lt;&gt;""),'Daily Sale entry '!V331+ROW()/10000000,"")</f>
        <v/>
      </c>
      <c r="L1831" s="21">
        <f>IF(K1831="","",COUNTIF($K$2:$K$3001,"&lt;"&amp;K1831)+1)</f>
        <v/>
      </c>
    </row>
    <row r="1832">
      <c r="A1832" s="5">
        <f>IF($J1832="","",IF($J1832&lt;=1500,INDEX('Daily Sale entry '!$X$1:$X$1501,$J1832+1),INDEX('Daily Sale entry '!$V$1:$V$1501,$J1832-1499)))</f>
        <v/>
      </c>
      <c r="B1832">
        <f>IF($J1832="","",IF($J1832&lt;=1500,INDEX('Daily Sale entry '!$Y$1:$Y$1501,$J1832+1)&amp;"","Buyer cheque banked 买家支票存入"&amp;IF(INDEX('Daily Sale entry '!$U$1:$U$1501,$J1832-1499)="","", " - "&amp;INDEX('Daily Sale entry '!$U$1:$U$1501,$J1832-1499))))</f>
        <v/>
      </c>
      <c r="C1832">
        <f>IF($J1832="","",IF($J1832&lt;=1500,INDEX('Daily Sale entry '!$Z$1:$Z$1501,$J1832+1)&amp;"","Cheque deposit 支票存入 (buyer 买家)"))</f>
        <v/>
      </c>
      <c r="D1832">
        <f>IF($J1832="","",IF($J1832&lt;=1500,INDEX('Daily Sale entry '!$AA$1:$AA$1501,$J1832+1)&amp;"",INDEX('Daily Sale entry '!$P$1:$P$1501,$J1832-1499)&amp;""))</f>
        <v/>
      </c>
      <c r="E1832">
        <f>IF($J1832="","",IF($J1832&lt;=1500,IF(N(INDEX('Daily Sale entry '!$AB$1:$AB$1501,$J1832+1))=0,"",INDEX('Daily Sale entry '!$AB$1:$AB$1501,$J1832+1)),1))</f>
        <v/>
      </c>
      <c r="F1832" s="6">
        <f>IF($J1832="","",IF($J1832&lt;=1500,N(INDEX('Daily Sale entry '!$AC$1:$AC$1501,$J1832+1))-IF(AND('Opening Balance'!$B$15=1,INDEX('Daily Sale entry '!$Z$1:$Z$1501,$J1832+1)="Online collection 网上收款",INDEX('Daily Sale entry '!$AA$1:$AA$1501,$J1832+1)&lt;&gt;""),N(INDEX('Daily Sale entry '!$AC$1:$AC$1501,$J1832+1))-TRUNC(N(INDEX('Daily Sale entry '!$AC$1:$AC$1501,$J1832+1))),0),N(INDEX('Daily Sale entry '!$S$1:$S$1501,$J1832-1499))-'Opening Balance'!$B$15*(N(INDEX('Daily Sale entry '!$S$1:$S$1501,$J1832-1499))-TRUNC(N(INDEX('Daily Sale entry '!$S$1:$S$1501,$J1832-1499))))))</f>
        <v/>
      </c>
      <c r="G1832" s="6">
        <f>IF($J1832="","",IF($J1832&lt;=1500,N(INDEX('Daily Sale entry '!$AD$1:$AD$1501,$J1832+1)),0))</f>
        <v/>
      </c>
      <c r="H1832" s="6">
        <f>IF($J1832="","",ROUND('Opening Balance'!$B$4+SUM($F$2:F1832)-SUM($G$2:G1832),2))</f>
        <v/>
      </c>
      <c r="J1832" s="21">
        <f>IFERROR(MATCH(ROW()-1,$L$2:$L$3001,0),"")</f>
        <v/>
      </c>
      <c r="K1832" s="34">
        <f>IF(AND('Daily Sale entry '!Q332="Collection 收款",'Daily Sale entry '!R332="Cheque 支票",'Daily Sale entry '!V332&lt;&gt;""),'Daily Sale entry '!V332+ROW()/10000000,"")</f>
        <v/>
      </c>
      <c r="L1832" s="21">
        <f>IF(K1832="","",COUNTIF($K$2:$K$3001,"&lt;"&amp;K1832)+1)</f>
        <v/>
      </c>
    </row>
    <row r="1833">
      <c r="A1833" s="5">
        <f>IF($J1833="","",IF($J1833&lt;=1500,INDEX('Daily Sale entry '!$X$1:$X$1501,$J1833+1),INDEX('Daily Sale entry '!$V$1:$V$1501,$J1833-1499)))</f>
        <v/>
      </c>
      <c r="B1833">
        <f>IF($J1833="","",IF($J1833&lt;=1500,INDEX('Daily Sale entry '!$Y$1:$Y$1501,$J1833+1)&amp;"","Buyer cheque banked 买家支票存入"&amp;IF(INDEX('Daily Sale entry '!$U$1:$U$1501,$J1833-1499)="","", " - "&amp;INDEX('Daily Sale entry '!$U$1:$U$1501,$J1833-1499))))</f>
        <v/>
      </c>
      <c r="C1833">
        <f>IF($J1833="","",IF($J1833&lt;=1500,INDEX('Daily Sale entry '!$Z$1:$Z$1501,$J1833+1)&amp;"","Cheque deposit 支票存入 (buyer 买家)"))</f>
        <v/>
      </c>
      <c r="D1833">
        <f>IF($J1833="","",IF($J1833&lt;=1500,INDEX('Daily Sale entry '!$AA$1:$AA$1501,$J1833+1)&amp;"",INDEX('Daily Sale entry '!$P$1:$P$1501,$J1833-1499)&amp;""))</f>
        <v/>
      </c>
      <c r="E1833">
        <f>IF($J1833="","",IF($J1833&lt;=1500,IF(N(INDEX('Daily Sale entry '!$AB$1:$AB$1501,$J1833+1))=0,"",INDEX('Daily Sale entry '!$AB$1:$AB$1501,$J1833+1)),1))</f>
        <v/>
      </c>
      <c r="F1833" s="6">
        <f>IF($J1833="","",IF($J1833&lt;=1500,N(INDEX('Daily Sale entry '!$AC$1:$AC$1501,$J1833+1))-IF(AND('Opening Balance'!$B$15=1,INDEX('Daily Sale entry '!$Z$1:$Z$1501,$J1833+1)="Online collection 网上收款",INDEX('Daily Sale entry '!$AA$1:$AA$1501,$J1833+1)&lt;&gt;""),N(INDEX('Daily Sale entry '!$AC$1:$AC$1501,$J1833+1))-TRUNC(N(INDEX('Daily Sale entry '!$AC$1:$AC$1501,$J1833+1))),0),N(INDEX('Daily Sale entry '!$S$1:$S$1501,$J1833-1499))-'Opening Balance'!$B$15*(N(INDEX('Daily Sale entry '!$S$1:$S$1501,$J1833-1499))-TRUNC(N(INDEX('Daily Sale entry '!$S$1:$S$1501,$J1833-1499))))))</f>
        <v/>
      </c>
      <c r="G1833" s="6">
        <f>IF($J1833="","",IF($J1833&lt;=1500,N(INDEX('Daily Sale entry '!$AD$1:$AD$1501,$J1833+1)),0))</f>
        <v/>
      </c>
      <c r="H1833" s="6">
        <f>IF($J1833="","",ROUND('Opening Balance'!$B$4+SUM($F$2:F1833)-SUM($G$2:G1833),2))</f>
        <v/>
      </c>
      <c r="J1833" s="21">
        <f>IFERROR(MATCH(ROW()-1,$L$2:$L$3001,0),"")</f>
        <v/>
      </c>
      <c r="K1833" s="34">
        <f>IF(AND('Daily Sale entry '!Q333="Collection 收款",'Daily Sale entry '!R333="Cheque 支票",'Daily Sale entry '!V333&lt;&gt;""),'Daily Sale entry '!V333+ROW()/10000000,"")</f>
        <v/>
      </c>
      <c r="L1833" s="21">
        <f>IF(K1833="","",COUNTIF($K$2:$K$3001,"&lt;"&amp;K1833)+1)</f>
        <v/>
      </c>
    </row>
    <row r="1834">
      <c r="A1834" s="5">
        <f>IF($J1834="","",IF($J1834&lt;=1500,INDEX('Daily Sale entry '!$X$1:$X$1501,$J1834+1),INDEX('Daily Sale entry '!$V$1:$V$1501,$J1834-1499)))</f>
        <v/>
      </c>
      <c r="B1834">
        <f>IF($J1834="","",IF($J1834&lt;=1500,INDEX('Daily Sale entry '!$Y$1:$Y$1501,$J1834+1)&amp;"","Buyer cheque banked 买家支票存入"&amp;IF(INDEX('Daily Sale entry '!$U$1:$U$1501,$J1834-1499)="","", " - "&amp;INDEX('Daily Sale entry '!$U$1:$U$1501,$J1834-1499))))</f>
        <v/>
      </c>
      <c r="C1834">
        <f>IF($J1834="","",IF($J1834&lt;=1500,INDEX('Daily Sale entry '!$Z$1:$Z$1501,$J1834+1)&amp;"","Cheque deposit 支票存入 (buyer 买家)"))</f>
        <v/>
      </c>
      <c r="D1834">
        <f>IF($J1834="","",IF($J1834&lt;=1500,INDEX('Daily Sale entry '!$AA$1:$AA$1501,$J1834+1)&amp;"",INDEX('Daily Sale entry '!$P$1:$P$1501,$J1834-1499)&amp;""))</f>
        <v/>
      </c>
      <c r="E1834">
        <f>IF($J1834="","",IF($J1834&lt;=1500,IF(N(INDEX('Daily Sale entry '!$AB$1:$AB$1501,$J1834+1))=0,"",INDEX('Daily Sale entry '!$AB$1:$AB$1501,$J1834+1)),1))</f>
        <v/>
      </c>
      <c r="F1834" s="6">
        <f>IF($J1834="","",IF($J1834&lt;=1500,N(INDEX('Daily Sale entry '!$AC$1:$AC$1501,$J1834+1))-IF(AND('Opening Balance'!$B$15=1,INDEX('Daily Sale entry '!$Z$1:$Z$1501,$J1834+1)="Online collection 网上收款",INDEX('Daily Sale entry '!$AA$1:$AA$1501,$J1834+1)&lt;&gt;""),N(INDEX('Daily Sale entry '!$AC$1:$AC$1501,$J1834+1))-TRUNC(N(INDEX('Daily Sale entry '!$AC$1:$AC$1501,$J1834+1))),0),N(INDEX('Daily Sale entry '!$S$1:$S$1501,$J1834-1499))-'Opening Balance'!$B$15*(N(INDEX('Daily Sale entry '!$S$1:$S$1501,$J1834-1499))-TRUNC(N(INDEX('Daily Sale entry '!$S$1:$S$1501,$J1834-1499))))))</f>
        <v/>
      </c>
      <c r="G1834" s="6">
        <f>IF($J1834="","",IF($J1834&lt;=1500,N(INDEX('Daily Sale entry '!$AD$1:$AD$1501,$J1834+1)),0))</f>
        <v/>
      </c>
      <c r="H1834" s="6">
        <f>IF($J1834="","",ROUND('Opening Balance'!$B$4+SUM($F$2:F1834)-SUM($G$2:G1834),2))</f>
        <v/>
      </c>
      <c r="J1834" s="21">
        <f>IFERROR(MATCH(ROW()-1,$L$2:$L$3001,0),"")</f>
        <v/>
      </c>
      <c r="K1834" s="34">
        <f>IF(AND('Daily Sale entry '!Q334="Collection 收款",'Daily Sale entry '!R334="Cheque 支票",'Daily Sale entry '!V334&lt;&gt;""),'Daily Sale entry '!V334+ROW()/10000000,"")</f>
        <v/>
      </c>
      <c r="L1834" s="21">
        <f>IF(K1834="","",COUNTIF($K$2:$K$3001,"&lt;"&amp;K1834)+1)</f>
        <v/>
      </c>
    </row>
    <row r="1835">
      <c r="A1835" s="5">
        <f>IF($J1835="","",IF($J1835&lt;=1500,INDEX('Daily Sale entry '!$X$1:$X$1501,$J1835+1),INDEX('Daily Sale entry '!$V$1:$V$1501,$J1835-1499)))</f>
        <v/>
      </c>
      <c r="B1835">
        <f>IF($J1835="","",IF($J1835&lt;=1500,INDEX('Daily Sale entry '!$Y$1:$Y$1501,$J1835+1)&amp;"","Buyer cheque banked 买家支票存入"&amp;IF(INDEX('Daily Sale entry '!$U$1:$U$1501,$J1835-1499)="","", " - "&amp;INDEX('Daily Sale entry '!$U$1:$U$1501,$J1835-1499))))</f>
        <v/>
      </c>
      <c r="C1835">
        <f>IF($J1835="","",IF($J1835&lt;=1500,INDEX('Daily Sale entry '!$Z$1:$Z$1501,$J1835+1)&amp;"","Cheque deposit 支票存入 (buyer 买家)"))</f>
        <v/>
      </c>
      <c r="D1835">
        <f>IF($J1835="","",IF($J1835&lt;=1500,INDEX('Daily Sale entry '!$AA$1:$AA$1501,$J1835+1)&amp;"",INDEX('Daily Sale entry '!$P$1:$P$1501,$J1835-1499)&amp;""))</f>
        <v/>
      </c>
      <c r="E1835">
        <f>IF($J1835="","",IF($J1835&lt;=1500,IF(N(INDEX('Daily Sale entry '!$AB$1:$AB$1501,$J1835+1))=0,"",INDEX('Daily Sale entry '!$AB$1:$AB$1501,$J1835+1)),1))</f>
        <v/>
      </c>
      <c r="F1835" s="6">
        <f>IF($J1835="","",IF($J1835&lt;=1500,N(INDEX('Daily Sale entry '!$AC$1:$AC$1501,$J1835+1))-IF(AND('Opening Balance'!$B$15=1,INDEX('Daily Sale entry '!$Z$1:$Z$1501,$J1835+1)="Online collection 网上收款",INDEX('Daily Sale entry '!$AA$1:$AA$1501,$J1835+1)&lt;&gt;""),N(INDEX('Daily Sale entry '!$AC$1:$AC$1501,$J1835+1))-TRUNC(N(INDEX('Daily Sale entry '!$AC$1:$AC$1501,$J1835+1))),0),N(INDEX('Daily Sale entry '!$S$1:$S$1501,$J1835-1499))-'Opening Balance'!$B$15*(N(INDEX('Daily Sale entry '!$S$1:$S$1501,$J1835-1499))-TRUNC(N(INDEX('Daily Sale entry '!$S$1:$S$1501,$J1835-1499))))))</f>
        <v/>
      </c>
      <c r="G1835" s="6">
        <f>IF($J1835="","",IF($J1835&lt;=1500,N(INDEX('Daily Sale entry '!$AD$1:$AD$1501,$J1835+1)),0))</f>
        <v/>
      </c>
      <c r="H1835" s="6">
        <f>IF($J1835="","",ROUND('Opening Balance'!$B$4+SUM($F$2:F1835)-SUM($G$2:G1835),2))</f>
        <v/>
      </c>
      <c r="J1835" s="21">
        <f>IFERROR(MATCH(ROW()-1,$L$2:$L$3001,0),"")</f>
        <v/>
      </c>
      <c r="K1835" s="34">
        <f>IF(AND('Daily Sale entry '!Q335="Collection 收款",'Daily Sale entry '!R335="Cheque 支票",'Daily Sale entry '!V335&lt;&gt;""),'Daily Sale entry '!V335+ROW()/10000000,"")</f>
        <v/>
      </c>
      <c r="L1835" s="21">
        <f>IF(K1835="","",COUNTIF($K$2:$K$3001,"&lt;"&amp;K1835)+1)</f>
        <v/>
      </c>
    </row>
    <row r="1836">
      <c r="A1836" s="5">
        <f>IF($J1836="","",IF($J1836&lt;=1500,INDEX('Daily Sale entry '!$X$1:$X$1501,$J1836+1),INDEX('Daily Sale entry '!$V$1:$V$1501,$J1836-1499)))</f>
        <v/>
      </c>
      <c r="B1836">
        <f>IF($J1836="","",IF($J1836&lt;=1500,INDEX('Daily Sale entry '!$Y$1:$Y$1501,$J1836+1)&amp;"","Buyer cheque banked 买家支票存入"&amp;IF(INDEX('Daily Sale entry '!$U$1:$U$1501,$J1836-1499)="","", " - "&amp;INDEX('Daily Sale entry '!$U$1:$U$1501,$J1836-1499))))</f>
        <v/>
      </c>
      <c r="C1836">
        <f>IF($J1836="","",IF($J1836&lt;=1500,INDEX('Daily Sale entry '!$Z$1:$Z$1501,$J1836+1)&amp;"","Cheque deposit 支票存入 (buyer 买家)"))</f>
        <v/>
      </c>
      <c r="D1836">
        <f>IF($J1836="","",IF($J1836&lt;=1500,INDEX('Daily Sale entry '!$AA$1:$AA$1501,$J1836+1)&amp;"",INDEX('Daily Sale entry '!$P$1:$P$1501,$J1836-1499)&amp;""))</f>
        <v/>
      </c>
      <c r="E1836">
        <f>IF($J1836="","",IF($J1836&lt;=1500,IF(N(INDEX('Daily Sale entry '!$AB$1:$AB$1501,$J1836+1))=0,"",INDEX('Daily Sale entry '!$AB$1:$AB$1501,$J1836+1)),1))</f>
        <v/>
      </c>
      <c r="F1836" s="6">
        <f>IF($J1836="","",IF($J1836&lt;=1500,N(INDEX('Daily Sale entry '!$AC$1:$AC$1501,$J1836+1))-IF(AND('Opening Balance'!$B$15=1,INDEX('Daily Sale entry '!$Z$1:$Z$1501,$J1836+1)="Online collection 网上收款",INDEX('Daily Sale entry '!$AA$1:$AA$1501,$J1836+1)&lt;&gt;""),N(INDEX('Daily Sale entry '!$AC$1:$AC$1501,$J1836+1))-TRUNC(N(INDEX('Daily Sale entry '!$AC$1:$AC$1501,$J1836+1))),0),N(INDEX('Daily Sale entry '!$S$1:$S$1501,$J1836-1499))-'Opening Balance'!$B$15*(N(INDEX('Daily Sale entry '!$S$1:$S$1501,$J1836-1499))-TRUNC(N(INDEX('Daily Sale entry '!$S$1:$S$1501,$J1836-1499))))))</f>
        <v/>
      </c>
      <c r="G1836" s="6">
        <f>IF($J1836="","",IF($J1836&lt;=1500,N(INDEX('Daily Sale entry '!$AD$1:$AD$1501,$J1836+1)),0))</f>
        <v/>
      </c>
      <c r="H1836" s="6">
        <f>IF($J1836="","",ROUND('Opening Balance'!$B$4+SUM($F$2:F1836)-SUM($G$2:G1836),2))</f>
        <v/>
      </c>
      <c r="J1836" s="21">
        <f>IFERROR(MATCH(ROW()-1,$L$2:$L$3001,0),"")</f>
        <v/>
      </c>
      <c r="K1836" s="34">
        <f>IF(AND('Daily Sale entry '!Q336="Collection 收款",'Daily Sale entry '!R336="Cheque 支票",'Daily Sale entry '!V336&lt;&gt;""),'Daily Sale entry '!V336+ROW()/10000000,"")</f>
        <v/>
      </c>
      <c r="L1836" s="21">
        <f>IF(K1836="","",COUNTIF($K$2:$K$3001,"&lt;"&amp;K1836)+1)</f>
        <v/>
      </c>
    </row>
    <row r="1837">
      <c r="A1837" s="5">
        <f>IF($J1837="","",IF($J1837&lt;=1500,INDEX('Daily Sale entry '!$X$1:$X$1501,$J1837+1),INDEX('Daily Sale entry '!$V$1:$V$1501,$J1837-1499)))</f>
        <v/>
      </c>
      <c r="B1837">
        <f>IF($J1837="","",IF($J1837&lt;=1500,INDEX('Daily Sale entry '!$Y$1:$Y$1501,$J1837+1)&amp;"","Buyer cheque banked 买家支票存入"&amp;IF(INDEX('Daily Sale entry '!$U$1:$U$1501,$J1837-1499)="","", " - "&amp;INDEX('Daily Sale entry '!$U$1:$U$1501,$J1837-1499))))</f>
        <v/>
      </c>
      <c r="C1837">
        <f>IF($J1837="","",IF($J1837&lt;=1500,INDEX('Daily Sale entry '!$Z$1:$Z$1501,$J1837+1)&amp;"","Cheque deposit 支票存入 (buyer 买家)"))</f>
        <v/>
      </c>
      <c r="D1837">
        <f>IF($J1837="","",IF($J1837&lt;=1500,INDEX('Daily Sale entry '!$AA$1:$AA$1501,$J1837+1)&amp;"",INDEX('Daily Sale entry '!$P$1:$P$1501,$J1837-1499)&amp;""))</f>
        <v/>
      </c>
      <c r="E1837">
        <f>IF($J1837="","",IF($J1837&lt;=1500,IF(N(INDEX('Daily Sale entry '!$AB$1:$AB$1501,$J1837+1))=0,"",INDEX('Daily Sale entry '!$AB$1:$AB$1501,$J1837+1)),1))</f>
        <v/>
      </c>
      <c r="F1837" s="6">
        <f>IF($J1837="","",IF($J1837&lt;=1500,N(INDEX('Daily Sale entry '!$AC$1:$AC$1501,$J1837+1))-IF(AND('Opening Balance'!$B$15=1,INDEX('Daily Sale entry '!$Z$1:$Z$1501,$J1837+1)="Online collection 网上收款",INDEX('Daily Sale entry '!$AA$1:$AA$1501,$J1837+1)&lt;&gt;""),N(INDEX('Daily Sale entry '!$AC$1:$AC$1501,$J1837+1))-TRUNC(N(INDEX('Daily Sale entry '!$AC$1:$AC$1501,$J1837+1))),0),N(INDEX('Daily Sale entry '!$S$1:$S$1501,$J1837-1499))-'Opening Balance'!$B$15*(N(INDEX('Daily Sale entry '!$S$1:$S$1501,$J1837-1499))-TRUNC(N(INDEX('Daily Sale entry '!$S$1:$S$1501,$J1837-1499))))))</f>
        <v/>
      </c>
      <c r="G1837" s="6">
        <f>IF($J1837="","",IF($J1837&lt;=1500,N(INDEX('Daily Sale entry '!$AD$1:$AD$1501,$J1837+1)),0))</f>
        <v/>
      </c>
      <c r="H1837" s="6">
        <f>IF($J1837="","",ROUND('Opening Balance'!$B$4+SUM($F$2:F1837)-SUM($G$2:G1837),2))</f>
        <v/>
      </c>
      <c r="J1837" s="21">
        <f>IFERROR(MATCH(ROW()-1,$L$2:$L$3001,0),"")</f>
        <v/>
      </c>
      <c r="K1837" s="34">
        <f>IF(AND('Daily Sale entry '!Q337="Collection 收款",'Daily Sale entry '!R337="Cheque 支票",'Daily Sale entry '!V337&lt;&gt;""),'Daily Sale entry '!V337+ROW()/10000000,"")</f>
        <v/>
      </c>
      <c r="L1837" s="21">
        <f>IF(K1837="","",COUNTIF($K$2:$K$3001,"&lt;"&amp;K1837)+1)</f>
        <v/>
      </c>
    </row>
    <row r="1838">
      <c r="A1838" s="5">
        <f>IF($J1838="","",IF($J1838&lt;=1500,INDEX('Daily Sale entry '!$X$1:$X$1501,$J1838+1),INDEX('Daily Sale entry '!$V$1:$V$1501,$J1838-1499)))</f>
        <v/>
      </c>
      <c r="B1838">
        <f>IF($J1838="","",IF($J1838&lt;=1500,INDEX('Daily Sale entry '!$Y$1:$Y$1501,$J1838+1)&amp;"","Buyer cheque banked 买家支票存入"&amp;IF(INDEX('Daily Sale entry '!$U$1:$U$1501,$J1838-1499)="","", " - "&amp;INDEX('Daily Sale entry '!$U$1:$U$1501,$J1838-1499))))</f>
        <v/>
      </c>
      <c r="C1838">
        <f>IF($J1838="","",IF($J1838&lt;=1500,INDEX('Daily Sale entry '!$Z$1:$Z$1501,$J1838+1)&amp;"","Cheque deposit 支票存入 (buyer 买家)"))</f>
        <v/>
      </c>
      <c r="D1838">
        <f>IF($J1838="","",IF($J1838&lt;=1500,INDEX('Daily Sale entry '!$AA$1:$AA$1501,$J1838+1)&amp;"",INDEX('Daily Sale entry '!$P$1:$P$1501,$J1838-1499)&amp;""))</f>
        <v/>
      </c>
      <c r="E1838">
        <f>IF($J1838="","",IF($J1838&lt;=1500,IF(N(INDEX('Daily Sale entry '!$AB$1:$AB$1501,$J1838+1))=0,"",INDEX('Daily Sale entry '!$AB$1:$AB$1501,$J1838+1)),1))</f>
        <v/>
      </c>
      <c r="F1838" s="6">
        <f>IF($J1838="","",IF($J1838&lt;=1500,N(INDEX('Daily Sale entry '!$AC$1:$AC$1501,$J1838+1))-IF(AND('Opening Balance'!$B$15=1,INDEX('Daily Sale entry '!$Z$1:$Z$1501,$J1838+1)="Online collection 网上收款",INDEX('Daily Sale entry '!$AA$1:$AA$1501,$J1838+1)&lt;&gt;""),N(INDEX('Daily Sale entry '!$AC$1:$AC$1501,$J1838+1))-TRUNC(N(INDEX('Daily Sale entry '!$AC$1:$AC$1501,$J1838+1))),0),N(INDEX('Daily Sale entry '!$S$1:$S$1501,$J1838-1499))-'Opening Balance'!$B$15*(N(INDEX('Daily Sale entry '!$S$1:$S$1501,$J1838-1499))-TRUNC(N(INDEX('Daily Sale entry '!$S$1:$S$1501,$J1838-1499))))))</f>
        <v/>
      </c>
      <c r="G1838" s="6">
        <f>IF($J1838="","",IF($J1838&lt;=1500,N(INDEX('Daily Sale entry '!$AD$1:$AD$1501,$J1838+1)),0))</f>
        <v/>
      </c>
      <c r="H1838" s="6">
        <f>IF($J1838="","",ROUND('Opening Balance'!$B$4+SUM($F$2:F1838)-SUM($G$2:G1838),2))</f>
        <v/>
      </c>
      <c r="J1838" s="21">
        <f>IFERROR(MATCH(ROW()-1,$L$2:$L$3001,0),"")</f>
        <v/>
      </c>
      <c r="K1838" s="34">
        <f>IF(AND('Daily Sale entry '!Q338="Collection 收款",'Daily Sale entry '!R338="Cheque 支票",'Daily Sale entry '!V338&lt;&gt;""),'Daily Sale entry '!V338+ROW()/10000000,"")</f>
        <v/>
      </c>
      <c r="L1838" s="21">
        <f>IF(K1838="","",COUNTIF($K$2:$K$3001,"&lt;"&amp;K1838)+1)</f>
        <v/>
      </c>
    </row>
    <row r="1839">
      <c r="A1839" s="5">
        <f>IF($J1839="","",IF($J1839&lt;=1500,INDEX('Daily Sale entry '!$X$1:$X$1501,$J1839+1),INDEX('Daily Sale entry '!$V$1:$V$1501,$J1839-1499)))</f>
        <v/>
      </c>
      <c r="B1839">
        <f>IF($J1839="","",IF($J1839&lt;=1500,INDEX('Daily Sale entry '!$Y$1:$Y$1501,$J1839+1)&amp;"","Buyer cheque banked 买家支票存入"&amp;IF(INDEX('Daily Sale entry '!$U$1:$U$1501,$J1839-1499)="","", " - "&amp;INDEX('Daily Sale entry '!$U$1:$U$1501,$J1839-1499))))</f>
        <v/>
      </c>
      <c r="C1839">
        <f>IF($J1839="","",IF($J1839&lt;=1500,INDEX('Daily Sale entry '!$Z$1:$Z$1501,$J1839+1)&amp;"","Cheque deposit 支票存入 (buyer 买家)"))</f>
        <v/>
      </c>
      <c r="D1839">
        <f>IF($J1839="","",IF($J1839&lt;=1500,INDEX('Daily Sale entry '!$AA$1:$AA$1501,$J1839+1)&amp;"",INDEX('Daily Sale entry '!$P$1:$P$1501,$J1839-1499)&amp;""))</f>
        <v/>
      </c>
      <c r="E1839">
        <f>IF($J1839="","",IF($J1839&lt;=1500,IF(N(INDEX('Daily Sale entry '!$AB$1:$AB$1501,$J1839+1))=0,"",INDEX('Daily Sale entry '!$AB$1:$AB$1501,$J1839+1)),1))</f>
        <v/>
      </c>
      <c r="F1839" s="6">
        <f>IF($J1839="","",IF($J1839&lt;=1500,N(INDEX('Daily Sale entry '!$AC$1:$AC$1501,$J1839+1))-IF(AND('Opening Balance'!$B$15=1,INDEX('Daily Sale entry '!$Z$1:$Z$1501,$J1839+1)="Online collection 网上收款",INDEX('Daily Sale entry '!$AA$1:$AA$1501,$J1839+1)&lt;&gt;""),N(INDEX('Daily Sale entry '!$AC$1:$AC$1501,$J1839+1))-TRUNC(N(INDEX('Daily Sale entry '!$AC$1:$AC$1501,$J1839+1))),0),N(INDEX('Daily Sale entry '!$S$1:$S$1501,$J1839-1499))-'Opening Balance'!$B$15*(N(INDEX('Daily Sale entry '!$S$1:$S$1501,$J1839-1499))-TRUNC(N(INDEX('Daily Sale entry '!$S$1:$S$1501,$J1839-1499))))))</f>
        <v/>
      </c>
      <c r="G1839" s="6">
        <f>IF($J1839="","",IF($J1839&lt;=1500,N(INDEX('Daily Sale entry '!$AD$1:$AD$1501,$J1839+1)),0))</f>
        <v/>
      </c>
      <c r="H1839" s="6">
        <f>IF($J1839="","",ROUND('Opening Balance'!$B$4+SUM($F$2:F1839)-SUM($G$2:G1839),2))</f>
        <v/>
      </c>
      <c r="J1839" s="21">
        <f>IFERROR(MATCH(ROW()-1,$L$2:$L$3001,0),"")</f>
        <v/>
      </c>
      <c r="K1839" s="34">
        <f>IF(AND('Daily Sale entry '!Q339="Collection 收款",'Daily Sale entry '!R339="Cheque 支票",'Daily Sale entry '!V339&lt;&gt;""),'Daily Sale entry '!V339+ROW()/10000000,"")</f>
        <v/>
      </c>
      <c r="L1839" s="21">
        <f>IF(K1839="","",COUNTIF($K$2:$K$3001,"&lt;"&amp;K1839)+1)</f>
        <v/>
      </c>
    </row>
    <row r="1840">
      <c r="A1840" s="5">
        <f>IF($J1840="","",IF($J1840&lt;=1500,INDEX('Daily Sale entry '!$X$1:$X$1501,$J1840+1),INDEX('Daily Sale entry '!$V$1:$V$1501,$J1840-1499)))</f>
        <v/>
      </c>
      <c r="B1840">
        <f>IF($J1840="","",IF($J1840&lt;=1500,INDEX('Daily Sale entry '!$Y$1:$Y$1501,$J1840+1)&amp;"","Buyer cheque banked 买家支票存入"&amp;IF(INDEX('Daily Sale entry '!$U$1:$U$1501,$J1840-1499)="","", " - "&amp;INDEX('Daily Sale entry '!$U$1:$U$1501,$J1840-1499))))</f>
        <v/>
      </c>
      <c r="C1840">
        <f>IF($J1840="","",IF($J1840&lt;=1500,INDEX('Daily Sale entry '!$Z$1:$Z$1501,$J1840+1)&amp;"","Cheque deposit 支票存入 (buyer 买家)"))</f>
        <v/>
      </c>
      <c r="D1840">
        <f>IF($J1840="","",IF($J1840&lt;=1500,INDEX('Daily Sale entry '!$AA$1:$AA$1501,$J1840+1)&amp;"",INDEX('Daily Sale entry '!$P$1:$P$1501,$J1840-1499)&amp;""))</f>
        <v/>
      </c>
      <c r="E1840">
        <f>IF($J1840="","",IF($J1840&lt;=1500,IF(N(INDEX('Daily Sale entry '!$AB$1:$AB$1501,$J1840+1))=0,"",INDEX('Daily Sale entry '!$AB$1:$AB$1501,$J1840+1)),1))</f>
        <v/>
      </c>
      <c r="F1840" s="6">
        <f>IF($J1840="","",IF($J1840&lt;=1500,N(INDEX('Daily Sale entry '!$AC$1:$AC$1501,$J1840+1))-IF(AND('Opening Balance'!$B$15=1,INDEX('Daily Sale entry '!$Z$1:$Z$1501,$J1840+1)="Online collection 网上收款",INDEX('Daily Sale entry '!$AA$1:$AA$1501,$J1840+1)&lt;&gt;""),N(INDEX('Daily Sale entry '!$AC$1:$AC$1501,$J1840+1))-TRUNC(N(INDEX('Daily Sale entry '!$AC$1:$AC$1501,$J1840+1))),0),N(INDEX('Daily Sale entry '!$S$1:$S$1501,$J1840-1499))-'Opening Balance'!$B$15*(N(INDEX('Daily Sale entry '!$S$1:$S$1501,$J1840-1499))-TRUNC(N(INDEX('Daily Sale entry '!$S$1:$S$1501,$J1840-1499))))))</f>
        <v/>
      </c>
      <c r="G1840" s="6">
        <f>IF($J1840="","",IF($J1840&lt;=1500,N(INDEX('Daily Sale entry '!$AD$1:$AD$1501,$J1840+1)),0))</f>
        <v/>
      </c>
      <c r="H1840" s="6">
        <f>IF($J1840="","",ROUND('Opening Balance'!$B$4+SUM($F$2:F1840)-SUM($G$2:G1840),2))</f>
        <v/>
      </c>
      <c r="J1840" s="21">
        <f>IFERROR(MATCH(ROW()-1,$L$2:$L$3001,0),"")</f>
        <v/>
      </c>
      <c r="K1840" s="34">
        <f>IF(AND('Daily Sale entry '!Q340="Collection 收款",'Daily Sale entry '!R340="Cheque 支票",'Daily Sale entry '!V340&lt;&gt;""),'Daily Sale entry '!V340+ROW()/10000000,"")</f>
        <v/>
      </c>
      <c r="L1840" s="21">
        <f>IF(K1840="","",COUNTIF($K$2:$K$3001,"&lt;"&amp;K1840)+1)</f>
        <v/>
      </c>
    </row>
    <row r="1841">
      <c r="A1841" s="5">
        <f>IF($J1841="","",IF($J1841&lt;=1500,INDEX('Daily Sale entry '!$X$1:$X$1501,$J1841+1),INDEX('Daily Sale entry '!$V$1:$V$1501,$J1841-1499)))</f>
        <v/>
      </c>
      <c r="B1841">
        <f>IF($J1841="","",IF($J1841&lt;=1500,INDEX('Daily Sale entry '!$Y$1:$Y$1501,$J1841+1)&amp;"","Buyer cheque banked 买家支票存入"&amp;IF(INDEX('Daily Sale entry '!$U$1:$U$1501,$J1841-1499)="","", " - "&amp;INDEX('Daily Sale entry '!$U$1:$U$1501,$J1841-1499))))</f>
        <v/>
      </c>
      <c r="C1841">
        <f>IF($J1841="","",IF($J1841&lt;=1500,INDEX('Daily Sale entry '!$Z$1:$Z$1501,$J1841+1)&amp;"","Cheque deposit 支票存入 (buyer 买家)"))</f>
        <v/>
      </c>
      <c r="D1841">
        <f>IF($J1841="","",IF($J1841&lt;=1500,INDEX('Daily Sale entry '!$AA$1:$AA$1501,$J1841+1)&amp;"",INDEX('Daily Sale entry '!$P$1:$P$1501,$J1841-1499)&amp;""))</f>
        <v/>
      </c>
      <c r="E1841">
        <f>IF($J1841="","",IF($J1841&lt;=1500,IF(N(INDEX('Daily Sale entry '!$AB$1:$AB$1501,$J1841+1))=0,"",INDEX('Daily Sale entry '!$AB$1:$AB$1501,$J1841+1)),1))</f>
        <v/>
      </c>
      <c r="F1841" s="6">
        <f>IF($J1841="","",IF($J1841&lt;=1500,N(INDEX('Daily Sale entry '!$AC$1:$AC$1501,$J1841+1))-IF(AND('Opening Balance'!$B$15=1,INDEX('Daily Sale entry '!$Z$1:$Z$1501,$J1841+1)="Online collection 网上收款",INDEX('Daily Sale entry '!$AA$1:$AA$1501,$J1841+1)&lt;&gt;""),N(INDEX('Daily Sale entry '!$AC$1:$AC$1501,$J1841+1))-TRUNC(N(INDEX('Daily Sale entry '!$AC$1:$AC$1501,$J1841+1))),0),N(INDEX('Daily Sale entry '!$S$1:$S$1501,$J1841-1499))-'Opening Balance'!$B$15*(N(INDEX('Daily Sale entry '!$S$1:$S$1501,$J1841-1499))-TRUNC(N(INDEX('Daily Sale entry '!$S$1:$S$1501,$J1841-1499))))))</f>
        <v/>
      </c>
      <c r="G1841" s="6">
        <f>IF($J1841="","",IF($J1841&lt;=1500,N(INDEX('Daily Sale entry '!$AD$1:$AD$1501,$J1841+1)),0))</f>
        <v/>
      </c>
      <c r="H1841" s="6">
        <f>IF($J1841="","",ROUND('Opening Balance'!$B$4+SUM($F$2:F1841)-SUM($G$2:G1841),2))</f>
        <v/>
      </c>
      <c r="J1841" s="21">
        <f>IFERROR(MATCH(ROW()-1,$L$2:$L$3001,0),"")</f>
        <v/>
      </c>
      <c r="K1841" s="34">
        <f>IF(AND('Daily Sale entry '!Q341="Collection 收款",'Daily Sale entry '!R341="Cheque 支票",'Daily Sale entry '!V341&lt;&gt;""),'Daily Sale entry '!V341+ROW()/10000000,"")</f>
        <v/>
      </c>
      <c r="L1841" s="21">
        <f>IF(K1841="","",COUNTIF($K$2:$K$3001,"&lt;"&amp;K1841)+1)</f>
        <v/>
      </c>
    </row>
    <row r="1842">
      <c r="A1842" s="5">
        <f>IF($J1842="","",IF($J1842&lt;=1500,INDEX('Daily Sale entry '!$X$1:$X$1501,$J1842+1),INDEX('Daily Sale entry '!$V$1:$V$1501,$J1842-1499)))</f>
        <v/>
      </c>
      <c r="B1842">
        <f>IF($J1842="","",IF($J1842&lt;=1500,INDEX('Daily Sale entry '!$Y$1:$Y$1501,$J1842+1)&amp;"","Buyer cheque banked 买家支票存入"&amp;IF(INDEX('Daily Sale entry '!$U$1:$U$1501,$J1842-1499)="","", " - "&amp;INDEX('Daily Sale entry '!$U$1:$U$1501,$J1842-1499))))</f>
        <v/>
      </c>
      <c r="C1842">
        <f>IF($J1842="","",IF($J1842&lt;=1500,INDEX('Daily Sale entry '!$Z$1:$Z$1501,$J1842+1)&amp;"","Cheque deposit 支票存入 (buyer 买家)"))</f>
        <v/>
      </c>
      <c r="D1842">
        <f>IF($J1842="","",IF($J1842&lt;=1500,INDEX('Daily Sale entry '!$AA$1:$AA$1501,$J1842+1)&amp;"",INDEX('Daily Sale entry '!$P$1:$P$1501,$J1842-1499)&amp;""))</f>
        <v/>
      </c>
      <c r="E1842">
        <f>IF($J1842="","",IF($J1842&lt;=1500,IF(N(INDEX('Daily Sale entry '!$AB$1:$AB$1501,$J1842+1))=0,"",INDEX('Daily Sale entry '!$AB$1:$AB$1501,$J1842+1)),1))</f>
        <v/>
      </c>
      <c r="F1842" s="6">
        <f>IF($J1842="","",IF($J1842&lt;=1500,N(INDEX('Daily Sale entry '!$AC$1:$AC$1501,$J1842+1))-IF(AND('Opening Balance'!$B$15=1,INDEX('Daily Sale entry '!$Z$1:$Z$1501,$J1842+1)="Online collection 网上收款",INDEX('Daily Sale entry '!$AA$1:$AA$1501,$J1842+1)&lt;&gt;""),N(INDEX('Daily Sale entry '!$AC$1:$AC$1501,$J1842+1))-TRUNC(N(INDEX('Daily Sale entry '!$AC$1:$AC$1501,$J1842+1))),0),N(INDEX('Daily Sale entry '!$S$1:$S$1501,$J1842-1499))-'Opening Balance'!$B$15*(N(INDEX('Daily Sale entry '!$S$1:$S$1501,$J1842-1499))-TRUNC(N(INDEX('Daily Sale entry '!$S$1:$S$1501,$J1842-1499))))))</f>
        <v/>
      </c>
      <c r="G1842" s="6">
        <f>IF($J1842="","",IF($J1842&lt;=1500,N(INDEX('Daily Sale entry '!$AD$1:$AD$1501,$J1842+1)),0))</f>
        <v/>
      </c>
      <c r="H1842" s="6">
        <f>IF($J1842="","",ROUND('Opening Balance'!$B$4+SUM($F$2:F1842)-SUM($G$2:G1842),2))</f>
        <v/>
      </c>
      <c r="J1842" s="21">
        <f>IFERROR(MATCH(ROW()-1,$L$2:$L$3001,0),"")</f>
        <v/>
      </c>
      <c r="K1842" s="34">
        <f>IF(AND('Daily Sale entry '!Q342="Collection 收款",'Daily Sale entry '!R342="Cheque 支票",'Daily Sale entry '!V342&lt;&gt;""),'Daily Sale entry '!V342+ROW()/10000000,"")</f>
        <v/>
      </c>
      <c r="L1842" s="21">
        <f>IF(K1842="","",COUNTIF($K$2:$K$3001,"&lt;"&amp;K1842)+1)</f>
        <v/>
      </c>
    </row>
    <row r="1843">
      <c r="A1843" s="5">
        <f>IF($J1843="","",IF($J1843&lt;=1500,INDEX('Daily Sale entry '!$X$1:$X$1501,$J1843+1),INDEX('Daily Sale entry '!$V$1:$V$1501,$J1843-1499)))</f>
        <v/>
      </c>
      <c r="B1843">
        <f>IF($J1843="","",IF($J1843&lt;=1500,INDEX('Daily Sale entry '!$Y$1:$Y$1501,$J1843+1)&amp;"","Buyer cheque banked 买家支票存入"&amp;IF(INDEX('Daily Sale entry '!$U$1:$U$1501,$J1843-1499)="","", " - "&amp;INDEX('Daily Sale entry '!$U$1:$U$1501,$J1843-1499))))</f>
        <v/>
      </c>
      <c r="C1843">
        <f>IF($J1843="","",IF($J1843&lt;=1500,INDEX('Daily Sale entry '!$Z$1:$Z$1501,$J1843+1)&amp;"","Cheque deposit 支票存入 (buyer 买家)"))</f>
        <v/>
      </c>
      <c r="D1843">
        <f>IF($J1843="","",IF($J1843&lt;=1500,INDEX('Daily Sale entry '!$AA$1:$AA$1501,$J1843+1)&amp;"",INDEX('Daily Sale entry '!$P$1:$P$1501,$J1843-1499)&amp;""))</f>
        <v/>
      </c>
      <c r="E1843">
        <f>IF($J1843="","",IF($J1843&lt;=1500,IF(N(INDEX('Daily Sale entry '!$AB$1:$AB$1501,$J1843+1))=0,"",INDEX('Daily Sale entry '!$AB$1:$AB$1501,$J1843+1)),1))</f>
        <v/>
      </c>
      <c r="F1843" s="6">
        <f>IF($J1843="","",IF($J1843&lt;=1500,N(INDEX('Daily Sale entry '!$AC$1:$AC$1501,$J1843+1))-IF(AND('Opening Balance'!$B$15=1,INDEX('Daily Sale entry '!$Z$1:$Z$1501,$J1843+1)="Online collection 网上收款",INDEX('Daily Sale entry '!$AA$1:$AA$1501,$J1843+1)&lt;&gt;""),N(INDEX('Daily Sale entry '!$AC$1:$AC$1501,$J1843+1))-TRUNC(N(INDEX('Daily Sale entry '!$AC$1:$AC$1501,$J1843+1))),0),N(INDEX('Daily Sale entry '!$S$1:$S$1501,$J1843-1499))-'Opening Balance'!$B$15*(N(INDEX('Daily Sale entry '!$S$1:$S$1501,$J1843-1499))-TRUNC(N(INDEX('Daily Sale entry '!$S$1:$S$1501,$J1843-1499))))))</f>
        <v/>
      </c>
      <c r="G1843" s="6">
        <f>IF($J1843="","",IF($J1843&lt;=1500,N(INDEX('Daily Sale entry '!$AD$1:$AD$1501,$J1843+1)),0))</f>
        <v/>
      </c>
      <c r="H1843" s="6">
        <f>IF($J1843="","",ROUND('Opening Balance'!$B$4+SUM($F$2:F1843)-SUM($G$2:G1843),2))</f>
        <v/>
      </c>
      <c r="J1843" s="21">
        <f>IFERROR(MATCH(ROW()-1,$L$2:$L$3001,0),"")</f>
        <v/>
      </c>
      <c r="K1843" s="34">
        <f>IF(AND('Daily Sale entry '!Q343="Collection 收款",'Daily Sale entry '!R343="Cheque 支票",'Daily Sale entry '!V343&lt;&gt;""),'Daily Sale entry '!V343+ROW()/10000000,"")</f>
        <v/>
      </c>
      <c r="L1843" s="21">
        <f>IF(K1843="","",COUNTIF($K$2:$K$3001,"&lt;"&amp;K1843)+1)</f>
        <v/>
      </c>
    </row>
    <row r="1844">
      <c r="A1844" s="5">
        <f>IF($J1844="","",IF($J1844&lt;=1500,INDEX('Daily Sale entry '!$X$1:$X$1501,$J1844+1),INDEX('Daily Sale entry '!$V$1:$V$1501,$J1844-1499)))</f>
        <v/>
      </c>
      <c r="B1844">
        <f>IF($J1844="","",IF($J1844&lt;=1500,INDEX('Daily Sale entry '!$Y$1:$Y$1501,$J1844+1)&amp;"","Buyer cheque banked 买家支票存入"&amp;IF(INDEX('Daily Sale entry '!$U$1:$U$1501,$J1844-1499)="","", " - "&amp;INDEX('Daily Sale entry '!$U$1:$U$1501,$J1844-1499))))</f>
        <v/>
      </c>
      <c r="C1844">
        <f>IF($J1844="","",IF($J1844&lt;=1500,INDEX('Daily Sale entry '!$Z$1:$Z$1501,$J1844+1)&amp;"","Cheque deposit 支票存入 (buyer 买家)"))</f>
        <v/>
      </c>
      <c r="D1844">
        <f>IF($J1844="","",IF($J1844&lt;=1500,INDEX('Daily Sale entry '!$AA$1:$AA$1501,$J1844+1)&amp;"",INDEX('Daily Sale entry '!$P$1:$P$1501,$J1844-1499)&amp;""))</f>
        <v/>
      </c>
      <c r="E1844">
        <f>IF($J1844="","",IF($J1844&lt;=1500,IF(N(INDEX('Daily Sale entry '!$AB$1:$AB$1501,$J1844+1))=0,"",INDEX('Daily Sale entry '!$AB$1:$AB$1501,$J1844+1)),1))</f>
        <v/>
      </c>
      <c r="F1844" s="6">
        <f>IF($J1844="","",IF($J1844&lt;=1500,N(INDEX('Daily Sale entry '!$AC$1:$AC$1501,$J1844+1))-IF(AND('Opening Balance'!$B$15=1,INDEX('Daily Sale entry '!$Z$1:$Z$1501,$J1844+1)="Online collection 网上收款",INDEX('Daily Sale entry '!$AA$1:$AA$1501,$J1844+1)&lt;&gt;""),N(INDEX('Daily Sale entry '!$AC$1:$AC$1501,$J1844+1))-TRUNC(N(INDEX('Daily Sale entry '!$AC$1:$AC$1501,$J1844+1))),0),N(INDEX('Daily Sale entry '!$S$1:$S$1501,$J1844-1499))-'Opening Balance'!$B$15*(N(INDEX('Daily Sale entry '!$S$1:$S$1501,$J1844-1499))-TRUNC(N(INDEX('Daily Sale entry '!$S$1:$S$1501,$J1844-1499))))))</f>
        <v/>
      </c>
      <c r="G1844" s="6">
        <f>IF($J1844="","",IF($J1844&lt;=1500,N(INDEX('Daily Sale entry '!$AD$1:$AD$1501,$J1844+1)),0))</f>
        <v/>
      </c>
      <c r="H1844" s="6">
        <f>IF($J1844="","",ROUND('Opening Balance'!$B$4+SUM($F$2:F1844)-SUM($G$2:G1844),2))</f>
        <v/>
      </c>
      <c r="J1844" s="21">
        <f>IFERROR(MATCH(ROW()-1,$L$2:$L$3001,0),"")</f>
        <v/>
      </c>
      <c r="K1844" s="34">
        <f>IF(AND('Daily Sale entry '!Q344="Collection 收款",'Daily Sale entry '!R344="Cheque 支票",'Daily Sale entry '!V344&lt;&gt;""),'Daily Sale entry '!V344+ROW()/10000000,"")</f>
        <v/>
      </c>
      <c r="L1844" s="21">
        <f>IF(K1844="","",COUNTIF($K$2:$K$3001,"&lt;"&amp;K1844)+1)</f>
        <v/>
      </c>
    </row>
    <row r="1845">
      <c r="A1845" s="5">
        <f>IF($J1845="","",IF($J1845&lt;=1500,INDEX('Daily Sale entry '!$X$1:$X$1501,$J1845+1),INDEX('Daily Sale entry '!$V$1:$V$1501,$J1845-1499)))</f>
        <v/>
      </c>
      <c r="B1845">
        <f>IF($J1845="","",IF($J1845&lt;=1500,INDEX('Daily Sale entry '!$Y$1:$Y$1501,$J1845+1)&amp;"","Buyer cheque banked 买家支票存入"&amp;IF(INDEX('Daily Sale entry '!$U$1:$U$1501,$J1845-1499)="","", " - "&amp;INDEX('Daily Sale entry '!$U$1:$U$1501,$J1845-1499))))</f>
        <v/>
      </c>
      <c r="C1845">
        <f>IF($J1845="","",IF($J1845&lt;=1500,INDEX('Daily Sale entry '!$Z$1:$Z$1501,$J1845+1)&amp;"","Cheque deposit 支票存入 (buyer 买家)"))</f>
        <v/>
      </c>
      <c r="D1845">
        <f>IF($J1845="","",IF($J1845&lt;=1500,INDEX('Daily Sale entry '!$AA$1:$AA$1501,$J1845+1)&amp;"",INDEX('Daily Sale entry '!$P$1:$P$1501,$J1845-1499)&amp;""))</f>
        <v/>
      </c>
      <c r="E1845">
        <f>IF($J1845="","",IF($J1845&lt;=1500,IF(N(INDEX('Daily Sale entry '!$AB$1:$AB$1501,$J1845+1))=0,"",INDEX('Daily Sale entry '!$AB$1:$AB$1501,$J1845+1)),1))</f>
        <v/>
      </c>
      <c r="F1845" s="6">
        <f>IF($J1845="","",IF($J1845&lt;=1500,N(INDEX('Daily Sale entry '!$AC$1:$AC$1501,$J1845+1))-IF(AND('Opening Balance'!$B$15=1,INDEX('Daily Sale entry '!$Z$1:$Z$1501,$J1845+1)="Online collection 网上收款",INDEX('Daily Sale entry '!$AA$1:$AA$1501,$J1845+1)&lt;&gt;""),N(INDEX('Daily Sale entry '!$AC$1:$AC$1501,$J1845+1))-TRUNC(N(INDEX('Daily Sale entry '!$AC$1:$AC$1501,$J1845+1))),0),N(INDEX('Daily Sale entry '!$S$1:$S$1501,$J1845-1499))-'Opening Balance'!$B$15*(N(INDEX('Daily Sale entry '!$S$1:$S$1501,$J1845-1499))-TRUNC(N(INDEX('Daily Sale entry '!$S$1:$S$1501,$J1845-1499))))))</f>
        <v/>
      </c>
      <c r="G1845" s="6">
        <f>IF($J1845="","",IF($J1845&lt;=1500,N(INDEX('Daily Sale entry '!$AD$1:$AD$1501,$J1845+1)),0))</f>
        <v/>
      </c>
      <c r="H1845" s="6">
        <f>IF($J1845="","",ROUND('Opening Balance'!$B$4+SUM($F$2:F1845)-SUM($G$2:G1845),2))</f>
        <v/>
      </c>
      <c r="J1845" s="21">
        <f>IFERROR(MATCH(ROW()-1,$L$2:$L$3001,0),"")</f>
        <v/>
      </c>
      <c r="K1845" s="34">
        <f>IF(AND('Daily Sale entry '!Q345="Collection 收款",'Daily Sale entry '!R345="Cheque 支票",'Daily Sale entry '!V345&lt;&gt;""),'Daily Sale entry '!V345+ROW()/10000000,"")</f>
        <v/>
      </c>
      <c r="L1845" s="21">
        <f>IF(K1845="","",COUNTIF($K$2:$K$3001,"&lt;"&amp;K1845)+1)</f>
        <v/>
      </c>
    </row>
    <row r="1846">
      <c r="A1846" s="5">
        <f>IF($J1846="","",IF($J1846&lt;=1500,INDEX('Daily Sale entry '!$X$1:$X$1501,$J1846+1),INDEX('Daily Sale entry '!$V$1:$V$1501,$J1846-1499)))</f>
        <v/>
      </c>
      <c r="B1846">
        <f>IF($J1846="","",IF($J1846&lt;=1500,INDEX('Daily Sale entry '!$Y$1:$Y$1501,$J1846+1)&amp;"","Buyer cheque banked 买家支票存入"&amp;IF(INDEX('Daily Sale entry '!$U$1:$U$1501,$J1846-1499)="","", " - "&amp;INDEX('Daily Sale entry '!$U$1:$U$1501,$J1846-1499))))</f>
        <v/>
      </c>
      <c r="C1846">
        <f>IF($J1846="","",IF($J1846&lt;=1500,INDEX('Daily Sale entry '!$Z$1:$Z$1501,$J1846+1)&amp;"","Cheque deposit 支票存入 (buyer 买家)"))</f>
        <v/>
      </c>
      <c r="D1846">
        <f>IF($J1846="","",IF($J1846&lt;=1500,INDEX('Daily Sale entry '!$AA$1:$AA$1501,$J1846+1)&amp;"",INDEX('Daily Sale entry '!$P$1:$P$1501,$J1846-1499)&amp;""))</f>
        <v/>
      </c>
      <c r="E1846">
        <f>IF($J1846="","",IF($J1846&lt;=1500,IF(N(INDEX('Daily Sale entry '!$AB$1:$AB$1501,$J1846+1))=0,"",INDEX('Daily Sale entry '!$AB$1:$AB$1501,$J1846+1)),1))</f>
        <v/>
      </c>
      <c r="F1846" s="6">
        <f>IF($J1846="","",IF($J1846&lt;=1500,N(INDEX('Daily Sale entry '!$AC$1:$AC$1501,$J1846+1))-IF(AND('Opening Balance'!$B$15=1,INDEX('Daily Sale entry '!$Z$1:$Z$1501,$J1846+1)="Online collection 网上收款",INDEX('Daily Sale entry '!$AA$1:$AA$1501,$J1846+1)&lt;&gt;""),N(INDEX('Daily Sale entry '!$AC$1:$AC$1501,$J1846+1))-TRUNC(N(INDEX('Daily Sale entry '!$AC$1:$AC$1501,$J1846+1))),0),N(INDEX('Daily Sale entry '!$S$1:$S$1501,$J1846-1499))-'Opening Balance'!$B$15*(N(INDEX('Daily Sale entry '!$S$1:$S$1501,$J1846-1499))-TRUNC(N(INDEX('Daily Sale entry '!$S$1:$S$1501,$J1846-1499))))))</f>
        <v/>
      </c>
      <c r="G1846" s="6">
        <f>IF($J1846="","",IF($J1846&lt;=1500,N(INDEX('Daily Sale entry '!$AD$1:$AD$1501,$J1846+1)),0))</f>
        <v/>
      </c>
      <c r="H1846" s="6">
        <f>IF($J1846="","",ROUND('Opening Balance'!$B$4+SUM($F$2:F1846)-SUM($G$2:G1846),2))</f>
        <v/>
      </c>
      <c r="J1846" s="21">
        <f>IFERROR(MATCH(ROW()-1,$L$2:$L$3001,0),"")</f>
        <v/>
      </c>
      <c r="K1846" s="34">
        <f>IF(AND('Daily Sale entry '!Q346="Collection 收款",'Daily Sale entry '!R346="Cheque 支票",'Daily Sale entry '!V346&lt;&gt;""),'Daily Sale entry '!V346+ROW()/10000000,"")</f>
        <v/>
      </c>
      <c r="L1846" s="21">
        <f>IF(K1846="","",COUNTIF($K$2:$K$3001,"&lt;"&amp;K1846)+1)</f>
        <v/>
      </c>
    </row>
    <row r="1847">
      <c r="A1847" s="5">
        <f>IF($J1847="","",IF($J1847&lt;=1500,INDEX('Daily Sale entry '!$X$1:$X$1501,$J1847+1),INDEX('Daily Sale entry '!$V$1:$V$1501,$J1847-1499)))</f>
        <v/>
      </c>
      <c r="B1847">
        <f>IF($J1847="","",IF($J1847&lt;=1500,INDEX('Daily Sale entry '!$Y$1:$Y$1501,$J1847+1)&amp;"","Buyer cheque banked 买家支票存入"&amp;IF(INDEX('Daily Sale entry '!$U$1:$U$1501,$J1847-1499)="","", " - "&amp;INDEX('Daily Sale entry '!$U$1:$U$1501,$J1847-1499))))</f>
        <v/>
      </c>
      <c r="C1847">
        <f>IF($J1847="","",IF($J1847&lt;=1500,INDEX('Daily Sale entry '!$Z$1:$Z$1501,$J1847+1)&amp;"","Cheque deposit 支票存入 (buyer 买家)"))</f>
        <v/>
      </c>
      <c r="D1847">
        <f>IF($J1847="","",IF($J1847&lt;=1500,INDEX('Daily Sale entry '!$AA$1:$AA$1501,$J1847+1)&amp;"",INDEX('Daily Sale entry '!$P$1:$P$1501,$J1847-1499)&amp;""))</f>
        <v/>
      </c>
      <c r="E1847">
        <f>IF($J1847="","",IF($J1847&lt;=1500,IF(N(INDEX('Daily Sale entry '!$AB$1:$AB$1501,$J1847+1))=0,"",INDEX('Daily Sale entry '!$AB$1:$AB$1501,$J1847+1)),1))</f>
        <v/>
      </c>
      <c r="F1847" s="6">
        <f>IF($J1847="","",IF($J1847&lt;=1500,N(INDEX('Daily Sale entry '!$AC$1:$AC$1501,$J1847+1))-IF(AND('Opening Balance'!$B$15=1,INDEX('Daily Sale entry '!$Z$1:$Z$1501,$J1847+1)="Online collection 网上收款",INDEX('Daily Sale entry '!$AA$1:$AA$1501,$J1847+1)&lt;&gt;""),N(INDEX('Daily Sale entry '!$AC$1:$AC$1501,$J1847+1))-TRUNC(N(INDEX('Daily Sale entry '!$AC$1:$AC$1501,$J1847+1))),0),N(INDEX('Daily Sale entry '!$S$1:$S$1501,$J1847-1499))-'Opening Balance'!$B$15*(N(INDEX('Daily Sale entry '!$S$1:$S$1501,$J1847-1499))-TRUNC(N(INDEX('Daily Sale entry '!$S$1:$S$1501,$J1847-1499))))))</f>
        <v/>
      </c>
      <c r="G1847" s="6">
        <f>IF($J1847="","",IF($J1847&lt;=1500,N(INDEX('Daily Sale entry '!$AD$1:$AD$1501,$J1847+1)),0))</f>
        <v/>
      </c>
      <c r="H1847" s="6">
        <f>IF($J1847="","",ROUND('Opening Balance'!$B$4+SUM($F$2:F1847)-SUM($G$2:G1847),2))</f>
        <v/>
      </c>
      <c r="J1847" s="21">
        <f>IFERROR(MATCH(ROW()-1,$L$2:$L$3001,0),"")</f>
        <v/>
      </c>
      <c r="K1847" s="34">
        <f>IF(AND('Daily Sale entry '!Q347="Collection 收款",'Daily Sale entry '!R347="Cheque 支票",'Daily Sale entry '!V347&lt;&gt;""),'Daily Sale entry '!V347+ROW()/10000000,"")</f>
        <v/>
      </c>
      <c r="L1847" s="21">
        <f>IF(K1847="","",COUNTIF($K$2:$K$3001,"&lt;"&amp;K1847)+1)</f>
        <v/>
      </c>
    </row>
    <row r="1848">
      <c r="A1848" s="5">
        <f>IF($J1848="","",IF($J1848&lt;=1500,INDEX('Daily Sale entry '!$X$1:$X$1501,$J1848+1),INDEX('Daily Sale entry '!$V$1:$V$1501,$J1848-1499)))</f>
        <v/>
      </c>
      <c r="B1848">
        <f>IF($J1848="","",IF($J1848&lt;=1500,INDEX('Daily Sale entry '!$Y$1:$Y$1501,$J1848+1)&amp;"","Buyer cheque banked 买家支票存入"&amp;IF(INDEX('Daily Sale entry '!$U$1:$U$1501,$J1848-1499)="","", " - "&amp;INDEX('Daily Sale entry '!$U$1:$U$1501,$J1848-1499))))</f>
        <v/>
      </c>
      <c r="C1848">
        <f>IF($J1848="","",IF($J1848&lt;=1500,INDEX('Daily Sale entry '!$Z$1:$Z$1501,$J1848+1)&amp;"","Cheque deposit 支票存入 (buyer 买家)"))</f>
        <v/>
      </c>
      <c r="D1848">
        <f>IF($J1848="","",IF($J1848&lt;=1500,INDEX('Daily Sale entry '!$AA$1:$AA$1501,$J1848+1)&amp;"",INDEX('Daily Sale entry '!$P$1:$P$1501,$J1848-1499)&amp;""))</f>
        <v/>
      </c>
      <c r="E1848">
        <f>IF($J1848="","",IF($J1848&lt;=1500,IF(N(INDEX('Daily Sale entry '!$AB$1:$AB$1501,$J1848+1))=0,"",INDEX('Daily Sale entry '!$AB$1:$AB$1501,$J1848+1)),1))</f>
        <v/>
      </c>
      <c r="F1848" s="6">
        <f>IF($J1848="","",IF($J1848&lt;=1500,N(INDEX('Daily Sale entry '!$AC$1:$AC$1501,$J1848+1))-IF(AND('Opening Balance'!$B$15=1,INDEX('Daily Sale entry '!$Z$1:$Z$1501,$J1848+1)="Online collection 网上收款",INDEX('Daily Sale entry '!$AA$1:$AA$1501,$J1848+1)&lt;&gt;""),N(INDEX('Daily Sale entry '!$AC$1:$AC$1501,$J1848+1))-TRUNC(N(INDEX('Daily Sale entry '!$AC$1:$AC$1501,$J1848+1))),0),N(INDEX('Daily Sale entry '!$S$1:$S$1501,$J1848-1499))-'Opening Balance'!$B$15*(N(INDEX('Daily Sale entry '!$S$1:$S$1501,$J1848-1499))-TRUNC(N(INDEX('Daily Sale entry '!$S$1:$S$1501,$J1848-1499))))))</f>
        <v/>
      </c>
      <c r="G1848" s="6">
        <f>IF($J1848="","",IF($J1848&lt;=1500,N(INDEX('Daily Sale entry '!$AD$1:$AD$1501,$J1848+1)),0))</f>
        <v/>
      </c>
      <c r="H1848" s="6">
        <f>IF($J1848="","",ROUND('Opening Balance'!$B$4+SUM($F$2:F1848)-SUM($G$2:G1848),2))</f>
        <v/>
      </c>
      <c r="J1848" s="21">
        <f>IFERROR(MATCH(ROW()-1,$L$2:$L$3001,0),"")</f>
        <v/>
      </c>
      <c r="K1848" s="34">
        <f>IF(AND('Daily Sale entry '!Q348="Collection 收款",'Daily Sale entry '!R348="Cheque 支票",'Daily Sale entry '!V348&lt;&gt;""),'Daily Sale entry '!V348+ROW()/10000000,"")</f>
        <v/>
      </c>
      <c r="L1848" s="21">
        <f>IF(K1848="","",COUNTIF($K$2:$K$3001,"&lt;"&amp;K1848)+1)</f>
        <v/>
      </c>
    </row>
    <row r="1849">
      <c r="A1849" s="5">
        <f>IF($J1849="","",IF($J1849&lt;=1500,INDEX('Daily Sale entry '!$X$1:$X$1501,$J1849+1),INDEX('Daily Sale entry '!$V$1:$V$1501,$J1849-1499)))</f>
        <v/>
      </c>
      <c r="B1849">
        <f>IF($J1849="","",IF($J1849&lt;=1500,INDEX('Daily Sale entry '!$Y$1:$Y$1501,$J1849+1)&amp;"","Buyer cheque banked 买家支票存入"&amp;IF(INDEX('Daily Sale entry '!$U$1:$U$1501,$J1849-1499)="","", " - "&amp;INDEX('Daily Sale entry '!$U$1:$U$1501,$J1849-1499))))</f>
        <v/>
      </c>
      <c r="C1849">
        <f>IF($J1849="","",IF($J1849&lt;=1500,INDEX('Daily Sale entry '!$Z$1:$Z$1501,$J1849+1)&amp;"","Cheque deposit 支票存入 (buyer 买家)"))</f>
        <v/>
      </c>
      <c r="D1849">
        <f>IF($J1849="","",IF($J1849&lt;=1500,INDEX('Daily Sale entry '!$AA$1:$AA$1501,$J1849+1)&amp;"",INDEX('Daily Sale entry '!$P$1:$P$1501,$J1849-1499)&amp;""))</f>
        <v/>
      </c>
      <c r="E1849">
        <f>IF($J1849="","",IF($J1849&lt;=1500,IF(N(INDEX('Daily Sale entry '!$AB$1:$AB$1501,$J1849+1))=0,"",INDEX('Daily Sale entry '!$AB$1:$AB$1501,$J1849+1)),1))</f>
        <v/>
      </c>
      <c r="F1849" s="6">
        <f>IF($J1849="","",IF($J1849&lt;=1500,N(INDEX('Daily Sale entry '!$AC$1:$AC$1501,$J1849+1))-IF(AND('Opening Balance'!$B$15=1,INDEX('Daily Sale entry '!$Z$1:$Z$1501,$J1849+1)="Online collection 网上收款",INDEX('Daily Sale entry '!$AA$1:$AA$1501,$J1849+1)&lt;&gt;""),N(INDEX('Daily Sale entry '!$AC$1:$AC$1501,$J1849+1))-TRUNC(N(INDEX('Daily Sale entry '!$AC$1:$AC$1501,$J1849+1))),0),N(INDEX('Daily Sale entry '!$S$1:$S$1501,$J1849-1499))-'Opening Balance'!$B$15*(N(INDEX('Daily Sale entry '!$S$1:$S$1501,$J1849-1499))-TRUNC(N(INDEX('Daily Sale entry '!$S$1:$S$1501,$J1849-1499))))))</f>
        <v/>
      </c>
      <c r="G1849" s="6">
        <f>IF($J1849="","",IF($J1849&lt;=1500,N(INDEX('Daily Sale entry '!$AD$1:$AD$1501,$J1849+1)),0))</f>
        <v/>
      </c>
      <c r="H1849" s="6">
        <f>IF($J1849="","",ROUND('Opening Balance'!$B$4+SUM($F$2:F1849)-SUM($G$2:G1849),2))</f>
        <v/>
      </c>
      <c r="J1849" s="21">
        <f>IFERROR(MATCH(ROW()-1,$L$2:$L$3001,0),"")</f>
        <v/>
      </c>
      <c r="K1849" s="34">
        <f>IF(AND('Daily Sale entry '!Q349="Collection 收款",'Daily Sale entry '!R349="Cheque 支票",'Daily Sale entry '!V349&lt;&gt;""),'Daily Sale entry '!V349+ROW()/10000000,"")</f>
        <v/>
      </c>
      <c r="L1849" s="21">
        <f>IF(K1849="","",COUNTIF($K$2:$K$3001,"&lt;"&amp;K1849)+1)</f>
        <v/>
      </c>
    </row>
    <row r="1850">
      <c r="A1850" s="5">
        <f>IF($J1850="","",IF($J1850&lt;=1500,INDEX('Daily Sale entry '!$X$1:$X$1501,$J1850+1),INDEX('Daily Sale entry '!$V$1:$V$1501,$J1850-1499)))</f>
        <v/>
      </c>
      <c r="B1850">
        <f>IF($J1850="","",IF($J1850&lt;=1500,INDEX('Daily Sale entry '!$Y$1:$Y$1501,$J1850+1)&amp;"","Buyer cheque banked 买家支票存入"&amp;IF(INDEX('Daily Sale entry '!$U$1:$U$1501,$J1850-1499)="","", " - "&amp;INDEX('Daily Sale entry '!$U$1:$U$1501,$J1850-1499))))</f>
        <v/>
      </c>
      <c r="C1850">
        <f>IF($J1850="","",IF($J1850&lt;=1500,INDEX('Daily Sale entry '!$Z$1:$Z$1501,$J1850+1)&amp;"","Cheque deposit 支票存入 (buyer 买家)"))</f>
        <v/>
      </c>
      <c r="D1850">
        <f>IF($J1850="","",IF($J1850&lt;=1500,INDEX('Daily Sale entry '!$AA$1:$AA$1501,$J1850+1)&amp;"",INDEX('Daily Sale entry '!$P$1:$P$1501,$J1850-1499)&amp;""))</f>
        <v/>
      </c>
      <c r="E1850">
        <f>IF($J1850="","",IF($J1850&lt;=1500,IF(N(INDEX('Daily Sale entry '!$AB$1:$AB$1501,$J1850+1))=0,"",INDEX('Daily Sale entry '!$AB$1:$AB$1501,$J1850+1)),1))</f>
        <v/>
      </c>
      <c r="F1850" s="6">
        <f>IF($J1850="","",IF($J1850&lt;=1500,N(INDEX('Daily Sale entry '!$AC$1:$AC$1501,$J1850+1))-IF(AND('Opening Balance'!$B$15=1,INDEX('Daily Sale entry '!$Z$1:$Z$1501,$J1850+1)="Online collection 网上收款",INDEX('Daily Sale entry '!$AA$1:$AA$1501,$J1850+1)&lt;&gt;""),N(INDEX('Daily Sale entry '!$AC$1:$AC$1501,$J1850+1))-TRUNC(N(INDEX('Daily Sale entry '!$AC$1:$AC$1501,$J1850+1))),0),N(INDEX('Daily Sale entry '!$S$1:$S$1501,$J1850-1499))-'Opening Balance'!$B$15*(N(INDEX('Daily Sale entry '!$S$1:$S$1501,$J1850-1499))-TRUNC(N(INDEX('Daily Sale entry '!$S$1:$S$1501,$J1850-1499))))))</f>
        <v/>
      </c>
      <c r="G1850" s="6">
        <f>IF($J1850="","",IF($J1850&lt;=1500,N(INDEX('Daily Sale entry '!$AD$1:$AD$1501,$J1850+1)),0))</f>
        <v/>
      </c>
      <c r="H1850" s="6">
        <f>IF($J1850="","",ROUND('Opening Balance'!$B$4+SUM($F$2:F1850)-SUM($G$2:G1850),2))</f>
        <v/>
      </c>
      <c r="J1850" s="21">
        <f>IFERROR(MATCH(ROW()-1,$L$2:$L$3001,0),"")</f>
        <v/>
      </c>
      <c r="K1850" s="34">
        <f>IF(AND('Daily Sale entry '!Q350="Collection 收款",'Daily Sale entry '!R350="Cheque 支票",'Daily Sale entry '!V350&lt;&gt;""),'Daily Sale entry '!V350+ROW()/10000000,"")</f>
        <v/>
      </c>
      <c r="L1850" s="21">
        <f>IF(K1850="","",COUNTIF($K$2:$K$3001,"&lt;"&amp;K1850)+1)</f>
        <v/>
      </c>
    </row>
    <row r="1851">
      <c r="A1851" s="5">
        <f>IF($J1851="","",IF($J1851&lt;=1500,INDEX('Daily Sale entry '!$X$1:$X$1501,$J1851+1),INDEX('Daily Sale entry '!$V$1:$V$1501,$J1851-1499)))</f>
        <v/>
      </c>
      <c r="B1851">
        <f>IF($J1851="","",IF($J1851&lt;=1500,INDEX('Daily Sale entry '!$Y$1:$Y$1501,$J1851+1)&amp;"","Buyer cheque banked 买家支票存入"&amp;IF(INDEX('Daily Sale entry '!$U$1:$U$1501,$J1851-1499)="","", " - "&amp;INDEX('Daily Sale entry '!$U$1:$U$1501,$J1851-1499))))</f>
        <v/>
      </c>
      <c r="C1851">
        <f>IF($J1851="","",IF($J1851&lt;=1500,INDEX('Daily Sale entry '!$Z$1:$Z$1501,$J1851+1)&amp;"","Cheque deposit 支票存入 (buyer 买家)"))</f>
        <v/>
      </c>
      <c r="D1851">
        <f>IF($J1851="","",IF($J1851&lt;=1500,INDEX('Daily Sale entry '!$AA$1:$AA$1501,$J1851+1)&amp;"",INDEX('Daily Sale entry '!$P$1:$P$1501,$J1851-1499)&amp;""))</f>
        <v/>
      </c>
      <c r="E1851">
        <f>IF($J1851="","",IF($J1851&lt;=1500,IF(N(INDEX('Daily Sale entry '!$AB$1:$AB$1501,$J1851+1))=0,"",INDEX('Daily Sale entry '!$AB$1:$AB$1501,$J1851+1)),1))</f>
        <v/>
      </c>
      <c r="F1851" s="6">
        <f>IF($J1851="","",IF($J1851&lt;=1500,N(INDEX('Daily Sale entry '!$AC$1:$AC$1501,$J1851+1))-IF(AND('Opening Balance'!$B$15=1,INDEX('Daily Sale entry '!$Z$1:$Z$1501,$J1851+1)="Online collection 网上收款",INDEX('Daily Sale entry '!$AA$1:$AA$1501,$J1851+1)&lt;&gt;""),N(INDEX('Daily Sale entry '!$AC$1:$AC$1501,$J1851+1))-TRUNC(N(INDEX('Daily Sale entry '!$AC$1:$AC$1501,$J1851+1))),0),N(INDEX('Daily Sale entry '!$S$1:$S$1501,$J1851-1499))-'Opening Balance'!$B$15*(N(INDEX('Daily Sale entry '!$S$1:$S$1501,$J1851-1499))-TRUNC(N(INDEX('Daily Sale entry '!$S$1:$S$1501,$J1851-1499))))))</f>
        <v/>
      </c>
      <c r="G1851" s="6">
        <f>IF($J1851="","",IF($J1851&lt;=1500,N(INDEX('Daily Sale entry '!$AD$1:$AD$1501,$J1851+1)),0))</f>
        <v/>
      </c>
      <c r="H1851" s="6">
        <f>IF($J1851="","",ROUND('Opening Balance'!$B$4+SUM($F$2:F1851)-SUM($G$2:G1851),2))</f>
        <v/>
      </c>
      <c r="J1851" s="21">
        <f>IFERROR(MATCH(ROW()-1,$L$2:$L$3001,0),"")</f>
        <v/>
      </c>
      <c r="K1851" s="34">
        <f>IF(AND('Daily Sale entry '!Q351="Collection 收款",'Daily Sale entry '!R351="Cheque 支票",'Daily Sale entry '!V351&lt;&gt;""),'Daily Sale entry '!V351+ROW()/10000000,"")</f>
        <v/>
      </c>
      <c r="L1851" s="21">
        <f>IF(K1851="","",COUNTIF($K$2:$K$3001,"&lt;"&amp;K1851)+1)</f>
        <v/>
      </c>
    </row>
    <row r="1852">
      <c r="A1852" s="5">
        <f>IF($J1852="","",IF($J1852&lt;=1500,INDEX('Daily Sale entry '!$X$1:$X$1501,$J1852+1),INDEX('Daily Sale entry '!$V$1:$V$1501,$J1852-1499)))</f>
        <v/>
      </c>
      <c r="B1852">
        <f>IF($J1852="","",IF($J1852&lt;=1500,INDEX('Daily Sale entry '!$Y$1:$Y$1501,$J1852+1)&amp;"","Buyer cheque banked 买家支票存入"&amp;IF(INDEX('Daily Sale entry '!$U$1:$U$1501,$J1852-1499)="","", " - "&amp;INDEX('Daily Sale entry '!$U$1:$U$1501,$J1852-1499))))</f>
        <v/>
      </c>
      <c r="C1852">
        <f>IF($J1852="","",IF($J1852&lt;=1500,INDEX('Daily Sale entry '!$Z$1:$Z$1501,$J1852+1)&amp;"","Cheque deposit 支票存入 (buyer 买家)"))</f>
        <v/>
      </c>
      <c r="D1852">
        <f>IF($J1852="","",IF($J1852&lt;=1500,INDEX('Daily Sale entry '!$AA$1:$AA$1501,$J1852+1)&amp;"",INDEX('Daily Sale entry '!$P$1:$P$1501,$J1852-1499)&amp;""))</f>
        <v/>
      </c>
      <c r="E1852">
        <f>IF($J1852="","",IF($J1852&lt;=1500,IF(N(INDEX('Daily Sale entry '!$AB$1:$AB$1501,$J1852+1))=0,"",INDEX('Daily Sale entry '!$AB$1:$AB$1501,$J1852+1)),1))</f>
        <v/>
      </c>
      <c r="F1852" s="6">
        <f>IF($J1852="","",IF($J1852&lt;=1500,N(INDEX('Daily Sale entry '!$AC$1:$AC$1501,$J1852+1))-IF(AND('Opening Balance'!$B$15=1,INDEX('Daily Sale entry '!$Z$1:$Z$1501,$J1852+1)="Online collection 网上收款",INDEX('Daily Sale entry '!$AA$1:$AA$1501,$J1852+1)&lt;&gt;""),N(INDEX('Daily Sale entry '!$AC$1:$AC$1501,$J1852+1))-TRUNC(N(INDEX('Daily Sale entry '!$AC$1:$AC$1501,$J1852+1))),0),N(INDEX('Daily Sale entry '!$S$1:$S$1501,$J1852-1499))-'Opening Balance'!$B$15*(N(INDEX('Daily Sale entry '!$S$1:$S$1501,$J1852-1499))-TRUNC(N(INDEX('Daily Sale entry '!$S$1:$S$1501,$J1852-1499))))))</f>
        <v/>
      </c>
      <c r="G1852" s="6">
        <f>IF($J1852="","",IF($J1852&lt;=1500,N(INDEX('Daily Sale entry '!$AD$1:$AD$1501,$J1852+1)),0))</f>
        <v/>
      </c>
      <c r="H1852" s="6">
        <f>IF($J1852="","",ROUND('Opening Balance'!$B$4+SUM($F$2:F1852)-SUM($G$2:G1852),2))</f>
        <v/>
      </c>
      <c r="J1852" s="21">
        <f>IFERROR(MATCH(ROW()-1,$L$2:$L$3001,0),"")</f>
        <v/>
      </c>
      <c r="K1852" s="34">
        <f>IF(AND('Daily Sale entry '!Q352="Collection 收款",'Daily Sale entry '!R352="Cheque 支票",'Daily Sale entry '!V352&lt;&gt;""),'Daily Sale entry '!V352+ROW()/10000000,"")</f>
        <v/>
      </c>
      <c r="L1852" s="21">
        <f>IF(K1852="","",COUNTIF($K$2:$K$3001,"&lt;"&amp;K1852)+1)</f>
        <v/>
      </c>
    </row>
    <row r="1853">
      <c r="A1853" s="5">
        <f>IF($J1853="","",IF($J1853&lt;=1500,INDEX('Daily Sale entry '!$X$1:$X$1501,$J1853+1),INDEX('Daily Sale entry '!$V$1:$V$1501,$J1853-1499)))</f>
        <v/>
      </c>
      <c r="B1853">
        <f>IF($J1853="","",IF($J1853&lt;=1500,INDEX('Daily Sale entry '!$Y$1:$Y$1501,$J1853+1)&amp;"","Buyer cheque banked 买家支票存入"&amp;IF(INDEX('Daily Sale entry '!$U$1:$U$1501,$J1853-1499)="","", " - "&amp;INDEX('Daily Sale entry '!$U$1:$U$1501,$J1853-1499))))</f>
        <v/>
      </c>
      <c r="C1853">
        <f>IF($J1853="","",IF($J1853&lt;=1500,INDEX('Daily Sale entry '!$Z$1:$Z$1501,$J1853+1)&amp;"","Cheque deposit 支票存入 (buyer 买家)"))</f>
        <v/>
      </c>
      <c r="D1853">
        <f>IF($J1853="","",IF($J1853&lt;=1500,INDEX('Daily Sale entry '!$AA$1:$AA$1501,$J1853+1)&amp;"",INDEX('Daily Sale entry '!$P$1:$P$1501,$J1853-1499)&amp;""))</f>
        <v/>
      </c>
      <c r="E1853">
        <f>IF($J1853="","",IF($J1853&lt;=1500,IF(N(INDEX('Daily Sale entry '!$AB$1:$AB$1501,$J1853+1))=0,"",INDEX('Daily Sale entry '!$AB$1:$AB$1501,$J1853+1)),1))</f>
        <v/>
      </c>
      <c r="F1853" s="6">
        <f>IF($J1853="","",IF($J1853&lt;=1500,N(INDEX('Daily Sale entry '!$AC$1:$AC$1501,$J1853+1))-IF(AND('Opening Balance'!$B$15=1,INDEX('Daily Sale entry '!$Z$1:$Z$1501,$J1853+1)="Online collection 网上收款",INDEX('Daily Sale entry '!$AA$1:$AA$1501,$J1853+1)&lt;&gt;""),N(INDEX('Daily Sale entry '!$AC$1:$AC$1501,$J1853+1))-TRUNC(N(INDEX('Daily Sale entry '!$AC$1:$AC$1501,$J1853+1))),0),N(INDEX('Daily Sale entry '!$S$1:$S$1501,$J1853-1499))-'Opening Balance'!$B$15*(N(INDEX('Daily Sale entry '!$S$1:$S$1501,$J1853-1499))-TRUNC(N(INDEX('Daily Sale entry '!$S$1:$S$1501,$J1853-1499))))))</f>
        <v/>
      </c>
      <c r="G1853" s="6">
        <f>IF($J1853="","",IF($J1853&lt;=1500,N(INDEX('Daily Sale entry '!$AD$1:$AD$1501,$J1853+1)),0))</f>
        <v/>
      </c>
      <c r="H1853" s="6">
        <f>IF($J1853="","",ROUND('Opening Balance'!$B$4+SUM($F$2:F1853)-SUM($G$2:G1853),2))</f>
        <v/>
      </c>
      <c r="J1853" s="21">
        <f>IFERROR(MATCH(ROW()-1,$L$2:$L$3001,0),"")</f>
        <v/>
      </c>
      <c r="K1853" s="34">
        <f>IF(AND('Daily Sale entry '!Q353="Collection 收款",'Daily Sale entry '!R353="Cheque 支票",'Daily Sale entry '!V353&lt;&gt;""),'Daily Sale entry '!V353+ROW()/10000000,"")</f>
        <v/>
      </c>
      <c r="L1853" s="21">
        <f>IF(K1853="","",COUNTIF($K$2:$K$3001,"&lt;"&amp;K1853)+1)</f>
        <v/>
      </c>
    </row>
    <row r="1854">
      <c r="A1854" s="5">
        <f>IF($J1854="","",IF($J1854&lt;=1500,INDEX('Daily Sale entry '!$X$1:$X$1501,$J1854+1),INDEX('Daily Sale entry '!$V$1:$V$1501,$J1854-1499)))</f>
        <v/>
      </c>
      <c r="B1854">
        <f>IF($J1854="","",IF($J1854&lt;=1500,INDEX('Daily Sale entry '!$Y$1:$Y$1501,$J1854+1)&amp;"","Buyer cheque banked 买家支票存入"&amp;IF(INDEX('Daily Sale entry '!$U$1:$U$1501,$J1854-1499)="","", " - "&amp;INDEX('Daily Sale entry '!$U$1:$U$1501,$J1854-1499))))</f>
        <v/>
      </c>
      <c r="C1854">
        <f>IF($J1854="","",IF($J1854&lt;=1500,INDEX('Daily Sale entry '!$Z$1:$Z$1501,$J1854+1)&amp;"","Cheque deposit 支票存入 (buyer 买家)"))</f>
        <v/>
      </c>
      <c r="D1854">
        <f>IF($J1854="","",IF($J1854&lt;=1500,INDEX('Daily Sale entry '!$AA$1:$AA$1501,$J1854+1)&amp;"",INDEX('Daily Sale entry '!$P$1:$P$1501,$J1854-1499)&amp;""))</f>
        <v/>
      </c>
      <c r="E1854">
        <f>IF($J1854="","",IF($J1854&lt;=1500,IF(N(INDEX('Daily Sale entry '!$AB$1:$AB$1501,$J1854+1))=0,"",INDEX('Daily Sale entry '!$AB$1:$AB$1501,$J1854+1)),1))</f>
        <v/>
      </c>
      <c r="F1854" s="6">
        <f>IF($J1854="","",IF($J1854&lt;=1500,N(INDEX('Daily Sale entry '!$AC$1:$AC$1501,$J1854+1))-IF(AND('Opening Balance'!$B$15=1,INDEX('Daily Sale entry '!$Z$1:$Z$1501,$J1854+1)="Online collection 网上收款",INDEX('Daily Sale entry '!$AA$1:$AA$1501,$J1854+1)&lt;&gt;""),N(INDEX('Daily Sale entry '!$AC$1:$AC$1501,$J1854+1))-TRUNC(N(INDEX('Daily Sale entry '!$AC$1:$AC$1501,$J1854+1))),0),N(INDEX('Daily Sale entry '!$S$1:$S$1501,$J1854-1499))-'Opening Balance'!$B$15*(N(INDEX('Daily Sale entry '!$S$1:$S$1501,$J1854-1499))-TRUNC(N(INDEX('Daily Sale entry '!$S$1:$S$1501,$J1854-1499))))))</f>
        <v/>
      </c>
      <c r="G1854" s="6">
        <f>IF($J1854="","",IF($J1854&lt;=1500,N(INDEX('Daily Sale entry '!$AD$1:$AD$1501,$J1854+1)),0))</f>
        <v/>
      </c>
      <c r="H1854" s="6">
        <f>IF($J1854="","",ROUND('Opening Balance'!$B$4+SUM($F$2:F1854)-SUM($G$2:G1854),2))</f>
        <v/>
      </c>
      <c r="J1854" s="21">
        <f>IFERROR(MATCH(ROW()-1,$L$2:$L$3001,0),"")</f>
        <v/>
      </c>
      <c r="K1854" s="34">
        <f>IF(AND('Daily Sale entry '!Q354="Collection 收款",'Daily Sale entry '!R354="Cheque 支票",'Daily Sale entry '!V354&lt;&gt;""),'Daily Sale entry '!V354+ROW()/10000000,"")</f>
        <v/>
      </c>
      <c r="L1854" s="21">
        <f>IF(K1854="","",COUNTIF($K$2:$K$3001,"&lt;"&amp;K1854)+1)</f>
        <v/>
      </c>
    </row>
    <row r="1855">
      <c r="A1855" s="5">
        <f>IF($J1855="","",IF($J1855&lt;=1500,INDEX('Daily Sale entry '!$X$1:$X$1501,$J1855+1),INDEX('Daily Sale entry '!$V$1:$V$1501,$J1855-1499)))</f>
        <v/>
      </c>
      <c r="B1855">
        <f>IF($J1855="","",IF($J1855&lt;=1500,INDEX('Daily Sale entry '!$Y$1:$Y$1501,$J1855+1)&amp;"","Buyer cheque banked 买家支票存入"&amp;IF(INDEX('Daily Sale entry '!$U$1:$U$1501,$J1855-1499)="","", " - "&amp;INDEX('Daily Sale entry '!$U$1:$U$1501,$J1855-1499))))</f>
        <v/>
      </c>
      <c r="C1855">
        <f>IF($J1855="","",IF($J1855&lt;=1500,INDEX('Daily Sale entry '!$Z$1:$Z$1501,$J1855+1)&amp;"","Cheque deposit 支票存入 (buyer 买家)"))</f>
        <v/>
      </c>
      <c r="D1855">
        <f>IF($J1855="","",IF($J1855&lt;=1500,INDEX('Daily Sale entry '!$AA$1:$AA$1501,$J1855+1)&amp;"",INDEX('Daily Sale entry '!$P$1:$P$1501,$J1855-1499)&amp;""))</f>
        <v/>
      </c>
      <c r="E1855">
        <f>IF($J1855="","",IF($J1855&lt;=1500,IF(N(INDEX('Daily Sale entry '!$AB$1:$AB$1501,$J1855+1))=0,"",INDEX('Daily Sale entry '!$AB$1:$AB$1501,$J1855+1)),1))</f>
        <v/>
      </c>
      <c r="F1855" s="6">
        <f>IF($J1855="","",IF($J1855&lt;=1500,N(INDEX('Daily Sale entry '!$AC$1:$AC$1501,$J1855+1))-IF(AND('Opening Balance'!$B$15=1,INDEX('Daily Sale entry '!$Z$1:$Z$1501,$J1855+1)="Online collection 网上收款",INDEX('Daily Sale entry '!$AA$1:$AA$1501,$J1855+1)&lt;&gt;""),N(INDEX('Daily Sale entry '!$AC$1:$AC$1501,$J1855+1))-TRUNC(N(INDEX('Daily Sale entry '!$AC$1:$AC$1501,$J1855+1))),0),N(INDEX('Daily Sale entry '!$S$1:$S$1501,$J1855-1499))-'Opening Balance'!$B$15*(N(INDEX('Daily Sale entry '!$S$1:$S$1501,$J1855-1499))-TRUNC(N(INDEX('Daily Sale entry '!$S$1:$S$1501,$J1855-1499))))))</f>
        <v/>
      </c>
      <c r="G1855" s="6">
        <f>IF($J1855="","",IF($J1855&lt;=1500,N(INDEX('Daily Sale entry '!$AD$1:$AD$1501,$J1855+1)),0))</f>
        <v/>
      </c>
      <c r="H1855" s="6">
        <f>IF($J1855="","",ROUND('Opening Balance'!$B$4+SUM($F$2:F1855)-SUM($G$2:G1855),2))</f>
        <v/>
      </c>
      <c r="J1855" s="21">
        <f>IFERROR(MATCH(ROW()-1,$L$2:$L$3001,0),"")</f>
        <v/>
      </c>
      <c r="K1855" s="34">
        <f>IF(AND('Daily Sale entry '!Q355="Collection 收款",'Daily Sale entry '!R355="Cheque 支票",'Daily Sale entry '!V355&lt;&gt;""),'Daily Sale entry '!V355+ROW()/10000000,"")</f>
        <v/>
      </c>
      <c r="L1855" s="21">
        <f>IF(K1855="","",COUNTIF($K$2:$K$3001,"&lt;"&amp;K1855)+1)</f>
        <v/>
      </c>
    </row>
    <row r="1856">
      <c r="A1856" s="5">
        <f>IF($J1856="","",IF($J1856&lt;=1500,INDEX('Daily Sale entry '!$X$1:$X$1501,$J1856+1),INDEX('Daily Sale entry '!$V$1:$V$1501,$J1856-1499)))</f>
        <v/>
      </c>
      <c r="B1856">
        <f>IF($J1856="","",IF($J1856&lt;=1500,INDEX('Daily Sale entry '!$Y$1:$Y$1501,$J1856+1)&amp;"","Buyer cheque banked 买家支票存入"&amp;IF(INDEX('Daily Sale entry '!$U$1:$U$1501,$J1856-1499)="","", " - "&amp;INDEX('Daily Sale entry '!$U$1:$U$1501,$J1856-1499))))</f>
        <v/>
      </c>
      <c r="C1856">
        <f>IF($J1856="","",IF($J1856&lt;=1500,INDEX('Daily Sale entry '!$Z$1:$Z$1501,$J1856+1)&amp;"","Cheque deposit 支票存入 (buyer 买家)"))</f>
        <v/>
      </c>
      <c r="D1856">
        <f>IF($J1856="","",IF($J1856&lt;=1500,INDEX('Daily Sale entry '!$AA$1:$AA$1501,$J1856+1)&amp;"",INDEX('Daily Sale entry '!$P$1:$P$1501,$J1856-1499)&amp;""))</f>
        <v/>
      </c>
      <c r="E1856">
        <f>IF($J1856="","",IF($J1856&lt;=1500,IF(N(INDEX('Daily Sale entry '!$AB$1:$AB$1501,$J1856+1))=0,"",INDEX('Daily Sale entry '!$AB$1:$AB$1501,$J1856+1)),1))</f>
        <v/>
      </c>
      <c r="F1856" s="6">
        <f>IF($J1856="","",IF($J1856&lt;=1500,N(INDEX('Daily Sale entry '!$AC$1:$AC$1501,$J1856+1))-IF(AND('Opening Balance'!$B$15=1,INDEX('Daily Sale entry '!$Z$1:$Z$1501,$J1856+1)="Online collection 网上收款",INDEX('Daily Sale entry '!$AA$1:$AA$1501,$J1856+1)&lt;&gt;""),N(INDEX('Daily Sale entry '!$AC$1:$AC$1501,$J1856+1))-TRUNC(N(INDEX('Daily Sale entry '!$AC$1:$AC$1501,$J1856+1))),0),N(INDEX('Daily Sale entry '!$S$1:$S$1501,$J1856-1499))-'Opening Balance'!$B$15*(N(INDEX('Daily Sale entry '!$S$1:$S$1501,$J1856-1499))-TRUNC(N(INDEX('Daily Sale entry '!$S$1:$S$1501,$J1856-1499))))))</f>
        <v/>
      </c>
      <c r="G1856" s="6">
        <f>IF($J1856="","",IF($J1856&lt;=1500,N(INDEX('Daily Sale entry '!$AD$1:$AD$1501,$J1856+1)),0))</f>
        <v/>
      </c>
      <c r="H1856" s="6">
        <f>IF($J1856="","",ROUND('Opening Balance'!$B$4+SUM($F$2:F1856)-SUM($G$2:G1856),2))</f>
        <v/>
      </c>
      <c r="J1856" s="21">
        <f>IFERROR(MATCH(ROW()-1,$L$2:$L$3001,0),"")</f>
        <v/>
      </c>
      <c r="K1856" s="34">
        <f>IF(AND('Daily Sale entry '!Q356="Collection 收款",'Daily Sale entry '!R356="Cheque 支票",'Daily Sale entry '!V356&lt;&gt;""),'Daily Sale entry '!V356+ROW()/10000000,"")</f>
        <v/>
      </c>
      <c r="L1856" s="21">
        <f>IF(K1856="","",COUNTIF($K$2:$K$3001,"&lt;"&amp;K1856)+1)</f>
        <v/>
      </c>
    </row>
    <row r="1857">
      <c r="A1857" s="5">
        <f>IF($J1857="","",IF($J1857&lt;=1500,INDEX('Daily Sale entry '!$X$1:$X$1501,$J1857+1),INDEX('Daily Sale entry '!$V$1:$V$1501,$J1857-1499)))</f>
        <v/>
      </c>
      <c r="B1857">
        <f>IF($J1857="","",IF($J1857&lt;=1500,INDEX('Daily Sale entry '!$Y$1:$Y$1501,$J1857+1)&amp;"","Buyer cheque banked 买家支票存入"&amp;IF(INDEX('Daily Sale entry '!$U$1:$U$1501,$J1857-1499)="","", " - "&amp;INDEX('Daily Sale entry '!$U$1:$U$1501,$J1857-1499))))</f>
        <v/>
      </c>
      <c r="C1857">
        <f>IF($J1857="","",IF($J1857&lt;=1500,INDEX('Daily Sale entry '!$Z$1:$Z$1501,$J1857+1)&amp;"","Cheque deposit 支票存入 (buyer 买家)"))</f>
        <v/>
      </c>
      <c r="D1857">
        <f>IF($J1857="","",IF($J1857&lt;=1500,INDEX('Daily Sale entry '!$AA$1:$AA$1501,$J1857+1)&amp;"",INDEX('Daily Sale entry '!$P$1:$P$1501,$J1857-1499)&amp;""))</f>
        <v/>
      </c>
      <c r="E1857">
        <f>IF($J1857="","",IF($J1857&lt;=1500,IF(N(INDEX('Daily Sale entry '!$AB$1:$AB$1501,$J1857+1))=0,"",INDEX('Daily Sale entry '!$AB$1:$AB$1501,$J1857+1)),1))</f>
        <v/>
      </c>
      <c r="F1857" s="6">
        <f>IF($J1857="","",IF($J1857&lt;=1500,N(INDEX('Daily Sale entry '!$AC$1:$AC$1501,$J1857+1))-IF(AND('Opening Balance'!$B$15=1,INDEX('Daily Sale entry '!$Z$1:$Z$1501,$J1857+1)="Online collection 网上收款",INDEX('Daily Sale entry '!$AA$1:$AA$1501,$J1857+1)&lt;&gt;""),N(INDEX('Daily Sale entry '!$AC$1:$AC$1501,$J1857+1))-TRUNC(N(INDEX('Daily Sale entry '!$AC$1:$AC$1501,$J1857+1))),0),N(INDEX('Daily Sale entry '!$S$1:$S$1501,$J1857-1499))-'Opening Balance'!$B$15*(N(INDEX('Daily Sale entry '!$S$1:$S$1501,$J1857-1499))-TRUNC(N(INDEX('Daily Sale entry '!$S$1:$S$1501,$J1857-1499))))))</f>
        <v/>
      </c>
      <c r="G1857" s="6">
        <f>IF($J1857="","",IF($J1857&lt;=1500,N(INDEX('Daily Sale entry '!$AD$1:$AD$1501,$J1857+1)),0))</f>
        <v/>
      </c>
      <c r="H1857" s="6">
        <f>IF($J1857="","",ROUND('Opening Balance'!$B$4+SUM($F$2:F1857)-SUM($G$2:G1857),2))</f>
        <v/>
      </c>
      <c r="J1857" s="21">
        <f>IFERROR(MATCH(ROW()-1,$L$2:$L$3001,0),"")</f>
        <v/>
      </c>
      <c r="K1857" s="34">
        <f>IF(AND('Daily Sale entry '!Q357="Collection 收款",'Daily Sale entry '!R357="Cheque 支票",'Daily Sale entry '!V357&lt;&gt;""),'Daily Sale entry '!V357+ROW()/10000000,"")</f>
        <v/>
      </c>
      <c r="L1857" s="21">
        <f>IF(K1857="","",COUNTIF($K$2:$K$3001,"&lt;"&amp;K1857)+1)</f>
        <v/>
      </c>
    </row>
    <row r="1858">
      <c r="A1858" s="5">
        <f>IF($J1858="","",IF($J1858&lt;=1500,INDEX('Daily Sale entry '!$X$1:$X$1501,$J1858+1),INDEX('Daily Sale entry '!$V$1:$V$1501,$J1858-1499)))</f>
        <v/>
      </c>
      <c r="B1858">
        <f>IF($J1858="","",IF($J1858&lt;=1500,INDEX('Daily Sale entry '!$Y$1:$Y$1501,$J1858+1)&amp;"","Buyer cheque banked 买家支票存入"&amp;IF(INDEX('Daily Sale entry '!$U$1:$U$1501,$J1858-1499)="","", " - "&amp;INDEX('Daily Sale entry '!$U$1:$U$1501,$J1858-1499))))</f>
        <v/>
      </c>
      <c r="C1858">
        <f>IF($J1858="","",IF($J1858&lt;=1500,INDEX('Daily Sale entry '!$Z$1:$Z$1501,$J1858+1)&amp;"","Cheque deposit 支票存入 (buyer 买家)"))</f>
        <v/>
      </c>
      <c r="D1858">
        <f>IF($J1858="","",IF($J1858&lt;=1500,INDEX('Daily Sale entry '!$AA$1:$AA$1501,$J1858+1)&amp;"",INDEX('Daily Sale entry '!$P$1:$P$1501,$J1858-1499)&amp;""))</f>
        <v/>
      </c>
      <c r="E1858">
        <f>IF($J1858="","",IF($J1858&lt;=1500,IF(N(INDEX('Daily Sale entry '!$AB$1:$AB$1501,$J1858+1))=0,"",INDEX('Daily Sale entry '!$AB$1:$AB$1501,$J1858+1)),1))</f>
        <v/>
      </c>
      <c r="F1858" s="6">
        <f>IF($J1858="","",IF($J1858&lt;=1500,N(INDEX('Daily Sale entry '!$AC$1:$AC$1501,$J1858+1))-IF(AND('Opening Balance'!$B$15=1,INDEX('Daily Sale entry '!$Z$1:$Z$1501,$J1858+1)="Online collection 网上收款",INDEX('Daily Sale entry '!$AA$1:$AA$1501,$J1858+1)&lt;&gt;""),N(INDEX('Daily Sale entry '!$AC$1:$AC$1501,$J1858+1))-TRUNC(N(INDEX('Daily Sale entry '!$AC$1:$AC$1501,$J1858+1))),0),N(INDEX('Daily Sale entry '!$S$1:$S$1501,$J1858-1499))-'Opening Balance'!$B$15*(N(INDEX('Daily Sale entry '!$S$1:$S$1501,$J1858-1499))-TRUNC(N(INDEX('Daily Sale entry '!$S$1:$S$1501,$J1858-1499))))))</f>
        <v/>
      </c>
      <c r="G1858" s="6">
        <f>IF($J1858="","",IF($J1858&lt;=1500,N(INDEX('Daily Sale entry '!$AD$1:$AD$1501,$J1858+1)),0))</f>
        <v/>
      </c>
      <c r="H1858" s="6">
        <f>IF($J1858="","",ROUND('Opening Balance'!$B$4+SUM($F$2:F1858)-SUM($G$2:G1858),2))</f>
        <v/>
      </c>
      <c r="J1858" s="21">
        <f>IFERROR(MATCH(ROW()-1,$L$2:$L$3001,0),"")</f>
        <v/>
      </c>
      <c r="K1858" s="34">
        <f>IF(AND('Daily Sale entry '!Q358="Collection 收款",'Daily Sale entry '!R358="Cheque 支票",'Daily Sale entry '!V358&lt;&gt;""),'Daily Sale entry '!V358+ROW()/10000000,"")</f>
        <v/>
      </c>
      <c r="L1858" s="21">
        <f>IF(K1858="","",COUNTIF($K$2:$K$3001,"&lt;"&amp;K1858)+1)</f>
        <v/>
      </c>
    </row>
    <row r="1859">
      <c r="A1859" s="5">
        <f>IF($J1859="","",IF($J1859&lt;=1500,INDEX('Daily Sale entry '!$X$1:$X$1501,$J1859+1),INDEX('Daily Sale entry '!$V$1:$V$1501,$J1859-1499)))</f>
        <v/>
      </c>
      <c r="B1859">
        <f>IF($J1859="","",IF($J1859&lt;=1500,INDEX('Daily Sale entry '!$Y$1:$Y$1501,$J1859+1)&amp;"","Buyer cheque banked 买家支票存入"&amp;IF(INDEX('Daily Sale entry '!$U$1:$U$1501,$J1859-1499)="","", " - "&amp;INDEX('Daily Sale entry '!$U$1:$U$1501,$J1859-1499))))</f>
        <v/>
      </c>
      <c r="C1859">
        <f>IF($J1859="","",IF($J1859&lt;=1500,INDEX('Daily Sale entry '!$Z$1:$Z$1501,$J1859+1)&amp;"","Cheque deposit 支票存入 (buyer 买家)"))</f>
        <v/>
      </c>
      <c r="D1859">
        <f>IF($J1859="","",IF($J1859&lt;=1500,INDEX('Daily Sale entry '!$AA$1:$AA$1501,$J1859+1)&amp;"",INDEX('Daily Sale entry '!$P$1:$P$1501,$J1859-1499)&amp;""))</f>
        <v/>
      </c>
      <c r="E1859">
        <f>IF($J1859="","",IF($J1859&lt;=1500,IF(N(INDEX('Daily Sale entry '!$AB$1:$AB$1501,$J1859+1))=0,"",INDEX('Daily Sale entry '!$AB$1:$AB$1501,$J1859+1)),1))</f>
        <v/>
      </c>
      <c r="F1859" s="6">
        <f>IF($J1859="","",IF($J1859&lt;=1500,N(INDEX('Daily Sale entry '!$AC$1:$AC$1501,$J1859+1))-IF(AND('Opening Balance'!$B$15=1,INDEX('Daily Sale entry '!$Z$1:$Z$1501,$J1859+1)="Online collection 网上收款",INDEX('Daily Sale entry '!$AA$1:$AA$1501,$J1859+1)&lt;&gt;""),N(INDEX('Daily Sale entry '!$AC$1:$AC$1501,$J1859+1))-TRUNC(N(INDEX('Daily Sale entry '!$AC$1:$AC$1501,$J1859+1))),0),N(INDEX('Daily Sale entry '!$S$1:$S$1501,$J1859-1499))-'Opening Balance'!$B$15*(N(INDEX('Daily Sale entry '!$S$1:$S$1501,$J1859-1499))-TRUNC(N(INDEX('Daily Sale entry '!$S$1:$S$1501,$J1859-1499))))))</f>
        <v/>
      </c>
      <c r="G1859" s="6">
        <f>IF($J1859="","",IF($J1859&lt;=1500,N(INDEX('Daily Sale entry '!$AD$1:$AD$1501,$J1859+1)),0))</f>
        <v/>
      </c>
      <c r="H1859" s="6">
        <f>IF($J1859="","",ROUND('Opening Balance'!$B$4+SUM($F$2:F1859)-SUM($G$2:G1859),2))</f>
        <v/>
      </c>
      <c r="J1859" s="21">
        <f>IFERROR(MATCH(ROW()-1,$L$2:$L$3001,0),"")</f>
        <v/>
      </c>
      <c r="K1859" s="34">
        <f>IF(AND('Daily Sale entry '!Q359="Collection 收款",'Daily Sale entry '!R359="Cheque 支票",'Daily Sale entry '!V359&lt;&gt;""),'Daily Sale entry '!V359+ROW()/10000000,"")</f>
        <v/>
      </c>
      <c r="L1859" s="21">
        <f>IF(K1859="","",COUNTIF($K$2:$K$3001,"&lt;"&amp;K1859)+1)</f>
        <v/>
      </c>
    </row>
    <row r="1860">
      <c r="A1860" s="5">
        <f>IF($J1860="","",IF($J1860&lt;=1500,INDEX('Daily Sale entry '!$X$1:$X$1501,$J1860+1),INDEX('Daily Sale entry '!$V$1:$V$1501,$J1860-1499)))</f>
        <v/>
      </c>
      <c r="B1860">
        <f>IF($J1860="","",IF($J1860&lt;=1500,INDEX('Daily Sale entry '!$Y$1:$Y$1501,$J1860+1)&amp;"","Buyer cheque banked 买家支票存入"&amp;IF(INDEX('Daily Sale entry '!$U$1:$U$1501,$J1860-1499)="","", " - "&amp;INDEX('Daily Sale entry '!$U$1:$U$1501,$J1860-1499))))</f>
        <v/>
      </c>
      <c r="C1860">
        <f>IF($J1860="","",IF($J1860&lt;=1500,INDEX('Daily Sale entry '!$Z$1:$Z$1501,$J1860+1)&amp;"","Cheque deposit 支票存入 (buyer 买家)"))</f>
        <v/>
      </c>
      <c r="D1860">
        <f>IF($J1860="","",IF($J1860&lt;=1500,INDEX('Daily Sale entry '!$AA$1:$AA$1501,$J1860+1)&amp;"",INDEX('Daily Sale entry '!$P$1:$P$1501,$J1860-1499)&amp;""))</f>
        <v/>
      </c>
      <c r="E1860">
        <f>IF($J1860="","",IF($J1860&lt;=1500,IF(N(INDEX('Daily Sale entry '!$AB$1:$AB$1501,$J1860+1))=0,"",INDEX('Daily Sale entry '!$AB$1:$AB$1501,$J1860+1)),1))</f>
        <v/>
      </c>
      <c r="F1860" s="6">
        <f>IF($J1860="","",IF($J1860&lt;=1500,N(INDEX('Daily Sale entry '!$AC$1:$AC$1501,$J1860+1))-IF(AND('Opening Balance'!$B$15=1,INDEX('Daily Sale entry '!$Z$1:$Z$1501,$J1860+1)="Online collection 网上收款",INDEX('Daily Sale entry '!$AA$1:$AA$1501,$J1860+1)&lt;&gt;""),N(INDEX('Daily Sale entry '!$AC$1:$AC$1501,$J1860+1))-TRUNC(N(INDEX('Daily Sale entry '!$AC$1:$AC$1501,$J1860+1))),0),N(INDEX('Daily Sale entry '!$S$1:$S$1501,$J1860-1499))-'Opening Balance'!$B$15*(N(INDEX('Daily Sale entry '!$S$1:$S$1501,$J1860-1499))-TRUNC(N(INDEX('Daily Sale entry '!$S$1:$S$1501,$J1860-1499))))))</f>
        <v/>
      </c>
      <c r="G1860" s="6">
        <f>IF($J1860="","",IF($J1860&lt;=1500,N(INDEX('Daily Sale entry '!$AD$1:$AD$1501,$J1860+1)),0))</f>
        <v/>
      </c>
      <c r="H1860" s="6">
        <f>IF($J1860="","",ROUND('Opening Balance'!$B$4+SUM($F$2:F1860)-SUM($G$2:G1860),2))</f>
        <v/>
      </c>
      <c r="J1860" s="21">
        <f>IFERROR(MATCH(ROW()-1,$L$2:$L$3001,0),"")</f>
        <v/>
      </c>
      <c r="K1860" s="34">
        <f>IF(AND('Daily Sale entry '!Q360="Collection 收款",'Daily Sale entry '!R360="Cheque 支票",'Daily Sale entry '!V360&lt;&gt;""),'Daily Sale entry '!V360+ROW()/10000000,"")</f>
        <v/>
      </c>
      <c r="L1860" s="21">
        <f>IF(K1860="","",COUNTIF($K$2:$K$3001,"&lt;"&amp;K1860)+1)</f>
        <v/>
      </c>
    </row>
    <row r="1861">
      <c r="A1861" s="5">
        <f>IF($J1861="","",IF($J1861&lt;=1500,INDEX('Daily Sale entry '!$X$1:$X$1501,$J1861+1),INDEX('Daily Sale entry '!$V$1:$V$1501,$J1861-1499)))</f>
        <v/>
      </c>
      <c r="B1861">
        <f>IF($J1861="","",IF($J1861&lt;=1500,INDEX('Daily Sale entry '!$Y$1:$Y$1501,$J1861+1)&amp;"","Buyer cheque banked 买家支票存入"&amp;IF(INDEX('Daily Sale entry '!$U$1:$U$1501,$J1861-1499)="","", " - "&amp;INDEX('Daily Sale entry '!$U$1:$U$1501,$J1861-1499))))</f>
        <v/>
      </c>
      <c r="C1861">
        <f>IF($J1861="","",IF($J1861&lt;=1500,INDEX('Daily Sale entry '!$Z$1:$Z$1501,$J1861+1)&amp;"","Cheque deposit 支票存入 (buyer 买家)"))</f>
        <v/>
      </c>
      <c r="D1861">
        <f>IF($J1861="","",IF($J1861&lt;=1500,INDEX('Daily Sale entry '!$AA$1:$AA$1501,$J1861+1)&amp;"",INDEX('Daily Sale entry '!$P$1:$P$1501,$J1861-1499)&amp;""))</f>
        <v/>
      </c>
      <c r="E1861">
        <f>IF($J1861="","",IF($J1861&lt;=1500,IF(N(INDEX('Daily Sale entry '!$AB$1:$AB$1501,$J1861+1))=0,"",INDEX('Daily Sale entry '!$AB$1:$AB$1501,$J1861+1)),1))</f>
        <v/>
      </c>
      <c r="F1861" s="6">
        <f>IF($J1861="","",IF($J1861&lt;=1500,N(INDEX('Daily Sale entry '!$AC$1:$AC$1501,$J1861+1))-IF(AND('Opening Balance'!$B$15=1,INDEX('Daily Sale entry '!$Z$1:$Z$1501,$J1861+1)="Online collection 网上收款",INDEX('Daily Sale entry '!$AA$1:$AA$1501,$J1861+1)&lt;&gt;""),N(INDEX('Daily Sale entry '!$AC$1:$AC$1501,$J1861+1))-TRUNC(N(INDEX('Daily Sale entry '!$AC$1:$AC$1501,$J1861+1))),0),N(INDEX('Daily Sale entry '!$S$1:$S$1501,$J1861-1499))-'Opening Balance'!$B$15*(N(INDEX('Daily Sale entry '!$S$1:$S$1501,$J1861-1499))-TRUNC(N(INDEX('Daily Sale entry '!$S$1:$S$1501,$J1861-1499))))))</f>
        <v/>
      </c>
      <c r="G1861" s="6">
        <f>IF($J1861="","",IF($J1861&lt;=1500,N(INDEX('Daily Sale entry '!$AD$1:$AD$1501,$J1861+1)),0))</f>
        <v/>
      </c>
      <c r="H1861" s="6">
        <f>IF($J1861="","",ROUND('Opening Balance'!$B$4+SUM($F$2:F1861)-SUM($G$2:G1861),2))</f>
        <v/>
      </c>
      <c r="J1861" s="21">
        <f>IFERROR(MATCH(ROW()-1,$L$2:$L$3001,0),"")</f>
        <v/>
      </c>
      <c r="K1861" s="34">
        <f>IF(AND('Daily Sale entry '!Q361="Collection 收款",'Daily Sale entry '!R361="Cheque 支票",'Daily Sale entry '!V361&lt;&gt;""),'Daily Sale entry '!V361+ROW()/10000000,"")</f>
        <v/>
      </c>
      <c r="L1861" s="21">
        <f>IF(K1861="","",COUNTIF($K$2:$K$3001,"&lt;"&amp;K1861)+1)</f>
        <v/>
      </c>
    </row>
    <row r="1862">
      <c r="A1862" s="5">
        <f>IF($J1862="","",IF($J1862&lt;=1500,INDEX('Daily Sale entry '!$X$1:$X$1501,$J1862+1),INDEX('Daily Sale entry '!$V$1:$V$1501,$J1862-1499)))</f>
        <v/>
      </c>
      <c r="B1862">
        <f>IF($J1862="","",IF($J1862&lt;=1500,INDEX('Daily Sale entry '!$Y$1:$Y$1501,$J1862+1)&amp;"","Buyer cheque banked 买家支票存入"&amp;IF(INDEX('Daily Sale entry '!$U$1:$U$1501,$J1862-1499)="","", " - "&amp;INDEX('Daily Sale entry '!$U$1:$U$1501,$J1862-1499))))</f>
        <v/>
      </c>
      <c r="C1862">
        <f>IF($J1862="","",IF($J1862&lt;=1500,INDEX('Daily Sale entry '!$Z$1:$Z$1501,$J1862+1)&amp;"","Cheque deposit 支票存入 (buyer 买家)"))</f>
        <v/>
      </c>
      <c r="D1862">
        <f>IF($J1862="","",IF($J1862&lt;=1500,INDEX('Daily Sale entry '!$AA$1:$AA$1501,$J1862+1)&amp;"",INDEX('Daily Sale entry '!$P$1:$P$1501,$J1862-1499)&amp;""))</f>
        <v/>
      </c>
      <c r="E1862">
        <f>IF($J1862="","",IF($J1862&lt;=1500,IF(N(INDEX('Daily Sale entry '!$AB$1:$AB$1501,$J1862+1))=0,"",INDEX('Daily Sale entry '!$AB$1:$AB$1501,$J1862+1)),1))</f>
        <v/>
      </c>
      <c r="F1862" s="6">
        <f>IF($J1862="","",IF($J1862&lt;=1500,N(INDEX('Daily Sale entry '!$AC$1:$AC$1501,$J1862+1))-IF(AND('Opening Balance'!$B$15=1,INDEX('Daily Sale entry '!$Z$1:$Z$1501,$J1862+1)="Online collection 网上收款",INDEX('Daily Sale entry '!$AA$1:$AA$1501,$J1862+1)&lt;&gt;""),N(INDEX('Daily Sale entry '!$AC$1:$AC$1501,$J1862+1))-TRUNC(N(INDEX('Daily Sale entry '!$AC$1:$AC$1501,$J1862+1))),0),N(INDEX('Daily Sale entry '!$S$1:$S$1501,$J1862-1499))-'Opening Balance'!$B$15*(N(INDEX('Daily Sale entry '!$S$1:$S$1501,$J1862-1499))-TRUNC(N(INDEX('Daily Sale entry '!$S$1:$S$1501,$J1862-1499))))))</f>
        <v/>
      </c>
      <c r="G1862" s="6">
        <f>IF($J1862="","",IF($J1862&lt;=1500,N(INDEX('Daily Sale entry '!$AD$1:$AD$1501,$J1862+1)),0))</f>
        <v/>
      </c>
      <c r="H1862" s="6">
        <f>IF($J1862="","",ROUND('Opening Balance'!$B$4+SUM($F$2:F1862)-SUM($G$2:G1862),2))</f>
        <v/>
      </c>
      <c r="J1862" s="21">
        <f>IFERROR(MATCH(ROW()-1,$L$2:$L$3001,0),"")</f>
        <v/>
      </c>
      <c r="K1862" s="34">
        <f>IF(AND('Daily Sale entry '!Q362="Collection 收款",'Daily Sale entry '!R362="Cheque 支票",'Daily Sale entry '!V362&lt;&gt;""),'Daily Sale entry '!V362+ROW()/10000000,"")</f>
        <v/>
      </c>
      <c r="L1862" s="21">
        <f>IF(K1862="","",COUNTIF($K$2:$K$3001,"&lt;"&amp;K1862)+1)</f>
        <v/>
      </c>
    </row>
    <row r="1863">
      <c r="A1863" s="5">
        <f>IF($J1863="","",IF($J1863&lt;=1500,INDEX('Daily Sale entry '!$X$1:$X$1501,$J1863+1),INDEX('Daily Sale entry '!$V$1:$V$1501,$J1863-1499)))</f>
        <v/>
      </c>
      <c r="B1863">
        <f>IF($J1863="","",IF($J1863&lt;=1500,INDEX('Daily Sale entry '!$Y$1:$Y$1501,$J1863+1)&amp;"","Buyer cheque banked 买家支票存入"&amp;IF(INDEX('Daily Sale entry '!$U$1:$U$1501,$J1863-1499)="","", " - "&amp;INDEX('Daily Sale entry '!$U$1:$U$1501,$J1863-1499))))</f>
        <v/>
      </c>
      <c r="C1863">
        <f>IF($J1863="","",IF($J1863&lt;=1500,INDEX('Daily Sale entry '!$Z$1:$Z$1501,$J1863+1)&amp;"","Cheque deposit 支票存入 (buyer 买家)"))</f>
        <v/>
      </c>
      <c r="D1863">
        <f>IF($J1863="","",IF($J1863&lt;=1500,INDEX('Daily Sale entry '!$AA$1:$AA$1501,$J1863+1)&amp;"",INDEX('Daily Sale entry '!$P$1:$P$1501,$J1863-1499)&amp;""))</f>
        <v/>
      </c>
      <c r="E1863">
        <f>IF($J1863="","",IF($J1863&lt;=1500,IF(N(INDEX('Daily Sale entry '!$AB$1:$AB$1501,$J1863+1))=0,"",INDEX('Daily Sale entry '!$AB$1:$AB$1501,$J1863+1)),1))</f>
        <v/>
      </c>
      <c r="F1863" s="6">
        <f>IF($J1863="","",IF($J1863&lt;=1500,N(INDEX('Daily Sale entry '!$AC$1:$AC$1501,$J1863+1))-IF(AND('Opening Balance'!$B$15=1,INDEX('Daily Sale entry '!$Z$1:$Z$1501,$J1863+1)="Online collection 网上收款",INDEX('Daily Sale entry '!$AA$1:$AA$1501,$J1863+1)&lt;&gt;""),N(INDEX('Daily Sale entry '!$AC$1:$AC$1501,$J1863+1))-TRUNC(N(INDEX('Daily Sale entry '!$AC$1:$AC$1501,$J1863+1))),0),N(INDEX('Daily Sale entry '!$S$1:$S$1501,$J1863-1499))-'Opening Balance'!$B$15*(N(INDEX('Daily Sale entry '!$S$1:$S$1501,$J1863-1499))-TRUNC(N(INDEX('Daily Sale entry '!$S$1:$S$1501,$J1863-1499))))))</f>
        <v/>
      </c>
      <c r="G1863" s="6">
        <f>IF($J1863="","",IF($J1863&lt;=1500,N(INDEX('Daily Sale entry '!$AD$1:$AD$1501,$J1863+1)),0))</f>
        <v/>
      </c>
      <c r="H1863" s="6">
        <f>IF($J1863="","",ROUND('Opening Balance'!$B$4+SUM($F$2:F1863)-SUM($G$2:G1863),2))</f>
        <v/>
      </c>
      <c r="J1863" s="21">
        <f>IFERROR(MATCH(ROW()-1,$L$2:$L$3001,0),"")</f>
        <v/>
      </c>
      <c r="K1863" s="34">
        <f>IF(AND('Daily Sale entry '!Q363="Collection 收款",'Daily Sale entry '!R363="Cheque 支票",'Daily Sale entry '!V363&lt;&gt;""),'Daily Sale entry '!V363+ROW()/10000000,"")</f>
        <v/>
      </c>
      <c r="L1863" s="21">
        <f>IF(K1863="","",COUNTIF($K$2:$K$3001,"&lt;"&amp;K1863)+1)</f>
        <v/>
      </c>
    </row>
    <row r="1864">
      <c r="A1864" s="5">
        <f>IF($J1864="","",IF($J1864&lt;=1500,INDEX('Daily Sale entry '!$X$1:$X$1501,$J1864+1),INDEX('Daily Sale entry '!$V$1:$V$1501,$J1864-1499)))</f>
        <v/>
      </c>
      <c r="B1864">
        <f>IF($J1864="","",IF($J1864&lt;=1500,INDEX('Daily Sale entry '!$Y$1:$Y$1501,$J1864+1)&amp;"","Buyer cheque banked 买家支票存入"&amp;IF(INDEX('Daily Sale entry '!$U$1:$U$1501,$J1864-1499)="","", " - "&amp;INDEX('Daily Sale entry '!$U$1:$U$1501,$J1864-1499))))</f>
        <v/>
      </c>
      <c r="C1864">
        <f>IF($J1864="","",IF($J1864&lt;=1500,INDEX('Daily Sale entry '!$Z$1:$Z$1501,$J1864+1)&amp;"","Cheque deposit 支票存入 (buyer 买家)"))</f>
        <v/>
      </c>
      <c r="D1864">
        <f>IF($J1864="","",IF($J1864&lt;=1500,INDEX('Daily Sale entry '!$AA$1:$AA$1501,$J1864+1)&amp;"",INDEX('Daily Sale entry '!$P$1:$P$1501,$J1864-1499)&amp;""))</f>
        <v/>
      </c>
      <c r="E1864">
        <f>IF($J1864="","",IF($J1864&lt;=1500,IF(N(INDEX('Daily Sale entry '!$AB$1:$AB$1501,$J1864+1))=0,"",INDEX('Daily Sale entry '!$AB$1:$AB$1501,$J1864+1)),1))</f>
        <v/>
      </c>
      <c r="F1864" s="6">
        <f>IF($J1864="","",IF($J1864&lt;=1500,N(INDEX('Daily Sale entry '!$AC$1:$AC$1501,$J1864+1))-IF(AND('Opening Balance'!$B$15=1,INDEX('Daily Sale entry '!$Z$1:$Z$1501,$J1864+1)="Online collection 网上收款",INDEX('Daily Sale entry '!$AA$1:$AA$1501,$J1864+1)&lt;&gt;""),N(INDEX('Daily Sale entry '!$AC$1:$AC$1501,$J1864+1))-TRUNC(N(INDEX('Daily Sale entry '!$AC$1:$AC$1501,$J1864+1))),0),N(INDEX('Daily Sale entry '!$S$1:$S$1501,$J1864-1499))-'Opening Balance'!$B$15*(N(INDEX('Daily Sale entry '!$S$1:$S$1501,$J1864-1499))-TRUNC(N(INDEX('Daily Sale entry '!$S$1:$S$1501,$J1864-1499))))))</f>
        <v/>
      </c>
      <c r="G1864" s="6">
        <f>IF($J1864="","",IF($J1864&lt;=1500,N(INDEX('Daily Sale entry '!$AD$1:$AD$1501,$J1864+1)),0))</f>
        <v/>
      </c>
      <c r="H1864" s="6">
        <f>IF($J1864="","",ROUND('Opening Balance'!$B$4+SUM($F$2:F1864)-SUM($G$2:G1864),2))</f>
        <v/>
      </c>
      <c r="J1864" s="21">
        <f>IFERROR(MATCH(ROW()-1,$L$2:$L$3001,0),"")</f>
        <v/>
      </c>
      <c r="K1864" s="34">
        <f>IF(AND('Daily Sale entry '!Q364="Collection 收款",'Daily Sale entry '!R364="Cheque 支票",'Daily Sale entry '!V364&lt;&gt;""),'Daily Sale entry '!V364+ROW()/10000000,"")</f>
        <v/>
      </c>
      <c r="L1864" s="21">
        <f>IF(K1864="","",COUNTIF($K$2:$K$3001,"&lt;"&amp;K1864)+1)</f>
        <v/>
      </c>
    </row>
    <row r="1865">
      <c r="A1865" s="5">
        <f>IF($J1865="","",IF($J1865&lt;=1500,INDEX('Daily Sale entry '!$X$1:$X$1501,$J1865+1),INDEX('Daily Sale entry '!$V$1:$V$1501,$J1865-1499)))</f>
        <v/>
      </c>
      <c r="B1865">
        <f>IF($J1865="","",IF($J1865&lt;=1500,INDEX('Daily Sale entry '!$Y$1:$Y$1501,$J1865+1)&amp;"","Buyer cheque banked 买家支票存入"&amp;IF(INDEX('Daily Sale entry '!$U$1:$U$1501,$J1865-1499)="","", " - "&amp;INDEX('Daily Sale entry '!$U$1:$U$1501,$J1865-1499))))</f>
        <v/>
      </c>
      <c r="C1865">
        <f>IF($J1865="","",IF($J1865&lt;=1500,INDEX('Daily Sale entry '!$Z$1:$Z$1501,$J1865+1)&amp;"","Cheque deposit 支票存入 (buyer 买家)"))</f>
        <v/>
      </c>
      <c r="D1865">
        <f>IF($J1865="","",IF($J1865&lt;=1500,INDEX('Daily Sale entry '!$AA$1:$AA$1501,$J1865+1)&amp;"",INDEX('Daily Sale entry '!$P$1:$P$1501,$J1865-1499)&amp;""))</f>
        <v/>
      </c>
      <c r="E1865">
        <f>IF($J1865="","",IF($J1865&lt;=1500,IF(N(INDEX('Daily Sale entry '!$AB$1:$AB$1501,$J1865+1))=0,"",INDEX('Daily Sale entry '!$AB$1:$AB$1501,$J1865+1)),1))</f>
        <v/>
      </c>
      <c r="F1865" s="6">
        <f>IF($J1865="","",IF($J1865&lt;=1500,N(INDEX('Daily Sale entry '!$AC$1:$AC$1501,$J1865+1))-IF(AND('Opening Balance'!$B$15=1,INDEX('Daily Sale entry '!$Z$1:$Z$1501,$J1865+1)="Online collection 网上收款",INDEX('Daily Sale entry '!$AA$1:$AA$1501,$J1865+1)&lt;&gt;""),N(INDEX('Daily Sale entry '!$AC$1:$AC$1501,$J1865+1))-TRUNC(N(INDEX('Daily Sale entry '!$AC$1:$AC$1501,$J1865+1))),0),N(INDEX('Daily Sale entry '!$S$1:$S$1501,$J1865-1499))-'Opening Balance'!$B$15*(N(INDEX('Daily Sale entry '!$S$1:$S$1501,$J1865-1499))-TRUNC(N(INDEX('Daily Sale entry '!$S$1:$S$1501,$J1865-1499))))))</f>
        <v/>
      </c>
      <c r="G1865" s="6">
        <f>IF($J1865="","",IF($J1865&lt;=1500,N(INDEX('Daily Sale entry '!$AD$1:$AD$1501,$J1865+1)),0))</f>
        <v/>
      </c>
      <c r="H1865" s="6">
        <f>IF($J1865="","",ROUND('Opening Balance'!$B$4+SUM($F$2:F1865)-SUM($G$2:G1865),2))</f>
        <v/>
      </c>
      <c r="J1865" s="21">
        <f>IFERROR(MATCH(ROW()-1,$L$2:$L$3001,0),"")</f>
        <v/>
      </c>
      <c r="K1865" s="34">
        <f>IF(AND('Daily Sale entry '!Q365="Collection 收款",'Daily Sale entry '!R365="Cheque 支票",'Daily Sale entry '!V365&lt;&gt;""),'Daily Sale entry '!V365+ROW()/10000000,"")</f>
        <v/>
      </c>
      <c r="L1865" s="21">
        <f>IF(K1865="","",COUNTIF($K$2:$K$3001,"&lt;"&amp;K1865)+1)</f>
        <v/>
      </c>
    </row>
    <row r="1866">
      <c r="A1866" s="5">
        <f>IF($J1866="","",IF($J1866&lt;=1500,INDEX('Daily Sale entry '!$X$1:$X$1501,$J1866+1),INDEX('Daily Sale entry '!$V$1:$V$1501,$J1866-1499)))</f>
        <v/>
      </c>
      <c r="B1866">
        <f>IF($J1866="","",IF($J1866&lt;=1500,INDEX('Daily Sale entry '!$Y$1:$Y$1501,$J1866+1)&amp;"","Buyer cheque banked 买家支票存入"&amp;IF(INDEX('Daily Sale entry '!$U$1:$U$1501,$J1866-1499)="","", " - "&amp;INDEX('Daily Sale entry '!$U$1:$U$1501,$J1866-1499))))</f>
        <v/>
      </c>
      <c r="C1866">
        <f>IF($J1866="","",IF($J1866&lt;=1500,INDEX('Daily Sale entry '!$Z$1:$Z$1501,$J1866+1)&amp;"","Cheque deposit 支票存入 (buyer 买家)"))</f>
        <v/>
      </c>
      <c r="D1866">
        <f>IF($J1866="","",IF($J1866&lt;=1500,INDEX('Daily Sale entry '!$AA$1:$AA$1501,$J1866+1)&amp;"",INDEX('Daily Sale entry '!$P$1:$P$1501,$J1866-1499)&amp;""))</f>
        <v/>
      </c>
      <c r="E1866">
        <f>IF($J1866="","",IF($J1866&lt;=1500,IF(N(INDEX('Daily Sale entry '!$AB$1:$AB$1501,$J1866+1))=0,"",INDEX('Daily Sale entry '!$AB$1:$AB$1501,$J1866+1)),1))</f>
        <v/>
      </c>
      <c r="F1866" s="6">
        <f>IF($J1866="","",IF($J1866&lt;=1500,N(INDEX('Daily Sale entry '!$AC$1:$AC$1501,$J1866+1))-IF(AND('Opening Balance'!$B$15=1,INDEX('Daily Sale entry '!$Z$1:$Z$1501,$J1866+1)="Online collection 网上收款",INDEX('Daily Sale entry '!$AA$1:$AA$1501,$J1866+1)&lt;&gt;""),N(INDEX('Daily Sale entry '!$AC$1:$AC$1501,$J1866+1))-TRUNC(N(INDEX('Daily Sale entry '!$AC$1:$AC$1501,$J1866+1))),0),N(INDEX('Daily Sale entry '!$S$1:$S$1501,$J1866-1499))-'Opening Balance'!$B$15*(N(INDEX('Daily Sale entry '!$S$1:$S$1501,$J1866-1499))-TRUNC(N(INDEX('Daily Sale entry '!$S$1:$S$1501,$J1866-1499))))))</f>
        <v/>
      </c>
      <c r="G1866" s="6">
        <f>IF($J1866="","",IF($J1866&lt;=1500,N(INDEX('Daily Sale entry '!$AD$1:$AD$1501,$J1866+1)),0))</f>
        <v/>
      </c>
      <c r="H1866" s="6">
        <f>IF($J1866="","",ROUND('Opening Balance'!$B$4+SUM($F$2:F1866)-SUM($G$2:G1866),2))</f>
        <v/>
      </c>
      <c r="J1866" s="21">
        <f>IFERROR(MATCH(ROW()-1,$L$2:$L$3001,0),"")</f>
        <v/>
      </c>
      <c r="K1866" s="34">
        <f>IF(AND('Daily Sale entry '!Q366="Collection 收款",'Daily Sale entry '!R366="Cheque 支票",'Daily Sale entry '!V366&lt;&gt;""),'Daily Sale entry '!V366+ROW()/10000000,"")</f>
        <v/>
      </c>
      <c r="L1866" s="21">
        <f>IF(K1866="","",COUNTIF($K$2:$K$3001,"&lt;"&amp;K1866)+1)</f>
        <v/>
      </c>
    </row>
    <row r="1867">
      <c r="A1867" s="5">
        <f>IF($J1867="","",IF($J1867&lt;=1500,INDEX('Daily Sale entry '!$X$1:$X$1501,$J1867+1),INDEX('Daily Sale entry '!$V$1:$V$1501,$J1867-1499)))</f>
        <v/>
      </c>
      <c r="B1867">
        <f>IF($J1867="","",IF($J1867&lt;=1500,INDEX('Daily Sale entry '!$Y$1:$Y$1501,$J1867+1)&amp;"","Buyer cheque banked 买家支票存入"&amp;IF(INDEX('Daily Sale entry '!$U$1:$U$1501,$J1867-1499)="","", " - "&amp;INDEX('Daily Sale entry '!$U$1:$U$1501,$J1867-1499))))</f>
        <v/>
      </c>
      <c r="C1867">
        <f>IF($J1867="","",IF($J1867&lt;=1500,INDEX('Daily Sale entry '!$Z$1:$Z$1501,$J1867+1)&amp;"","Cheque deposit 支票存入 (buyer 买家)"))</f>
        <v/>
      </c>
      <c r="D1867">
        <f>IF($J1867="","",IF($J1867&lt;=1500,INDEX('Daily Sale entry '!$AA$1:$AA$1501,$J1867+1)&amp;"",INDEX('Daily Sale entry '!$P$1:$P$1501,$J1867-1499)&amp;""))</f>
        <v/>
      </c>
      <c r="E1867">
        <f>IF($J1867="","",IF($J1867&lt;=1500,IF(N(INDEX('Daily Sale entry '!$AB$1:$AB$1501,$J1867+1))=0,"",INDEX('Daily Sale entry '!$AB$1:$AB$1501,$J1867+1)),1))</f>
        <v/>
      </c>
      <c r="F1867" s="6">
        <f>IF($J1867="","",IF($J1867&lt;=1500,N(INDEX('Daily Sale entry '!$AC$1:$AC$1501,$J1867+1))-IF(AND('Opening Balance'!$B$15=1,INDEX('Daily Sale entry '!$Z$1:$Z$1501,$J1867+1)="Online collection 网上收款",INDEX('Daily Sale entry '!$AA$1:$AA$1501,$J1867+1)&lt;&gt;""),N(INDEX('Daily Sale entry '!$AC$1:$AC$1501,$J1867+1))-TRUNC(N(INDEX('Daily Sale entry '!$AC$1:$AC$1501,$J1867+1))),0),N(INDEX('Daily Sale entry '!$S$1:$S$1501,$J1867-1499))-'Opening Balance'!$B$15*(N(INDEX('Daily Sale entry '!$S$1:$S$1501,$J1867-1499))-TRUNC(N(INDEX('Daily Sale entry '!$S$1:$S$1501,$J1867-1499))))))</f>
        <v/>
      </c>
      <c r="G1867" s="6">
        <f>IF($J1867="","",IF($J1867&lt;=1500,N(INDEX('Daily Sale entry '!$AD$1:$AD$1501,$J1867+1)),0))</f>
        <v/>
      </c>
      <c r="H1867" s="6">
        <f>IF($J1867="","",ROUND('Opening Balance'!$B$4+SUM($F$2:F1867)-SUM($G$2:G1867),2))</f>
        <v/>
      </c>
      <c r="J1867" s="21">
        <f>IFERROR(MATCH(ROW()-1,$L$2:$L$3001,0),"")</f>
        <v/>
      </c>
      <c r="K1867" s="34">
        <f>IF(AND('Daily Sale entry '!Q367="Collection 收款",'Daily Sale entry '!R367="Cheque 支票",'Daily Sale entry '!V367&lt;&gt;""),'Daily Sale entry '!V367+ROW()/10000000,"")</f>
        <v/>
      </c>
      <c r="L1867" s="21">
        <f>IF(K1867="","",COUNTIF($K$2:$K$3001,"&lt;"&amp;K1867)+1)</f>
        <v/>
      </c>
    </row>
    <row r="1868">
      <c r="A1868" s="5">
        <f>IF($J1868="","",IF($J1868&lt;=1500,INDEX('Daily Sale entry '!$X$1:$X$1501,$J1868+1),INDEX('Daily Sale entry '!$V$1:$V$1501,$J1868-1499)))</f>
        <v/>
      </c>
      <c r="B1868">
        <f>IF($J1868="","",IF($J1868&lt;=1500,INDEX('Daily Sale entry '!$Y$1:$Y$1501,$J1868+1)&amp;"","Buyer cheque banked 买家支票存入"&amp;IF(INDEX('Daily Sale entry '!$U$1:$U$1501,$J1868-1499)="","", " - "&amp;INDEX('Daily Sale entry '!$U$1:$U$1501,$J1868-1499))))</f>
        <v/>
      </c>
      <c r="C1868">
        <f>IF($J1868="","",IF($J1868&lt;=1500,INDEX('Daily Sale entry '!$Z$1:$Z$1501,$J1868+1)&amp;"","Cheque deposit 支票存入 (buyer 买家)"))</f>
        <v/>
      </c>
      <c r="D1868">
        <f>IF($J1868="","",IF($J1868&lt;=1500,INDEX('Daily Sale entry '!$AA$1:$AA$1501,$J1868+1)&amp;"",INDEX('Daily Sale entry '!$P$1:$P$1501,$J1868-1499)&amp;""))</f>
        <v/>
      </c>
      <c r="E1868">
        <f>IF($J1868="","",IF($J1868&lt;=1500,IF(N(INDEX('Daily Sale entry '!$AB$1:$AB$1501,$J1868+1))=0,"",INDEX('Daily Sale entry '!$AB$1:$AB$1501,$J1868+1)),1))</f>
        <v/>
      </c>
      <c r="F1868" s="6">
        <f>IF($J1868="","",IF($J1868&lt;=1500,N(INDEX('Daily Sale entry '!$AC$1:$AC$1501,$J1868+1))-IF(AND('Opening Balance'!$B$15=1,INDEX('Daily Sale entry '!$Z$1:$Z$1501,$J1868+1)="Online collection 网上收款",INDEX('Daily Sale entry '!$AA$1:$AA$1501,$J1868+1)&lt;&gt;""),N(INDEX('Daily Sale entry '!$AC$1:$AC$1501,$J1868+1))-TRUNC(N(INDEX('Daily Sale entry '!$AC$1:$AC$1501,$J1868+1))),0),N(INDEX('Daily Sale entry '!$S$1:$S$1501,$J1868-1499))-'Opening Balance'!$B$15*(N(INDEX('Daily Sale entry '!$S$1:$S$1501,$J1868-1499))-TRUNC(N(INDEX('Daily Sale entry '!$S$1:$S$1501,$J1868-1499))))))</f>
        <v/>
      </c>
      <c r="G1868" s="6">
        <f>IF($J1868="","",IF($J1868&lt;=1500,N(INDEX('Daily Sale entry '!$AD$1:$AD$1501,$J1868+1)),0))</f>
        <v/>
      </c>
      <c r="H1868" s="6">
        <f>IF($J1868="","",ROUND('Opening Balance'!$B$4+SUM($F$2:F1868)-SUM($G$2:G1868),2))</f>
        <v/>
      </c>
      <c r="J1868" s="21">
        <f>IFERROR(MATCH(ROW()-1,$L$2:$L$3001,0),"")</f>
        <v/>
      </c>
      <c r="K1868" s="34">
        <f>IF(AND('Daily Sale entry '!Q368="Collection 收款",'Daily Sale entry '!R368="Cheque 支票",'Daily Sale entry '!V368&lt;&gt;""),'Daily Sale entry '!V368+ROW()/10000000,"")</f>
        <v/>
      </c>
      <c r="L1868" s="21">
        <f>IF(K1868="","",COUNTIF($K$2:$K$3001,"&lt;"&amp;K1868)+1)</f>
        <v/>
      </c>
    </row>
    <row r="1869">
      <c r="A1869" s="5">
        <f>IF($J1869="","",IF($J1869&lt;=1500,INDEX('Daily Sale entry '!$X$1:$X$1501,$J1869+1),INDEX('Daily Sale entry '!$V$1:$V$1501,$J1869-1499)))</f>
        <v/>
      </c>
      <c r="B1869">
        <f>IF($J1869="","",IF($J1869&lt;=1500,INDEX('Daily Sale entry '!$Y$1:$Y$1501,$J1869+1)&amp;"","Buyer cheque banked 买家支票存入"&amp;IF(INDEX('Daily Sale entry '!$U$1:$U$1501,$J1869-1499)="","", " - "&amp;INDEX('Daily Sale entry '!$U$1:$U$1501,$J1869-1499))))</f>
        <v/>
      </c>
      <c r="C1869">
        <f>IF($J1869="","",IF($J1869&lt;=1500,INDEX('Daily Sale entry '!$Z$1:$Z$1501,$J1869+1)&amp;"","Cheque deposit 支票存入 (buyer 买家)"))</f>
        <v/>
      </c>
      <c r="D1869">
        <f>IF($J1869="","",IF($J1869&lt;=1500,INDEX('Daily Sale entry '!$AA$1:$AA$1501,$J1869+1)&amp;"",INDEX('Daily Sale entry '!$P$1:$P$1501,$J1869-1499)&amp;""))</f>
        <v/>
      </c>
      <c r="E1869">
        <f>IF($J1869="","",IF($J1869&lt;=1500,IF(N(INDEX('Daily Sale entry '!$AB$1:$AB$1501,$J1869+1))=0,"",INDEX('Daily Sale entry '!$AB$1:$AB$1501,$J1869+1)),1))</f>
        <v/>
      </c>
      <c r="F1869" s="6">
        <f>IF($J1869="","",IF($J1869&lt;=1500,N(INDEX('Daily Sale entry '!$AC$1:$AC$1501,$J1869+1))-IF(AND('Opening Balance'!$B$15=1,INDEX('Daily Sale entry '!$Z$1:$Z$1501,$J1869+1)="Online collection 网上收款",INDEX('Daily Sale entry '!$AA$1:$AA$1501,$J1869+1)&lt;&gt;""),N(INDEX('Daily Sale entry '!$AC$1:$AC$1501,$J1869+1))-TRUNC(N(INDEX('Daily Sale entry '!$AC$1:$AC$1501,$J1869+1))),0),N(INDEX('Daily Sale entry '!$S$1:$S$1501,$J1869-1499))-'Opening Balance'!$B$15*(N(INDEX('Daily Sale entry '!$S$1:$S$1501,$J1869-1499))-TRUNC(N(INDEX('Daily Sale entry '!$S$1:$S$1501,$J1869-1499))))))</f>
        <v/>
      </c>
      <c r="G1869" s="6">
        <f>IF($J1869="","",IF($J1869&lt;=1500,N(INDEX('Daily Sale entry '!$AD$1:$AD$1501,$J1869+1)),0))</f>
        <v/>
      </c>
      <c r="H1869" s="6">
        <f>IF($J1869="","",ROUND('Opening Balance'!$B$4+SUM($F$2:F1869)-SUM($G$2:G1869),2))</f>
        <v/>
      </c>
      <c r="J1869" s="21">
        <f>IFERROR(MATCH(ROW()-1,$L$2:$L$3001,0),"")</f>
        <v/>
      </c>
      <c r="K1869" s="34">
        <f>IF(AND('Daily Sale entry '!Q369="Collection 收款",'Daily Sale entry '!R369="Cheque 支票",'Daily Sale entry '!V369&lt;&gt;""),'Daily Sale entry '!V369+ROW()/10000000,"")</f>
        <v/>
      </c>
      <c r="L1869" s="21">
        <f>IF(K1869="","",COUNTIF($K$2:$K$3001,"&lt;"&amp;K1869)+1)</f>
        <v/>
      </c>
    </row>
    <row r="1870">
      <c r="A1870" s="5">
        <f>IF($J1870="","",IF($J1870&lt;=1500,INDEX('Daily Sale entry '!$X$1:$X$1501,$J1870+1),INDEX('Daily Sale entry '!$V$1:$V$1501,$J1870-1499)))</f>
        <v/>
      </c>
      <c r="B1870">
        <f>IF($J1870="","",IF($J1870&lt;=1500,INDEX('Daily Sale entry '!$Y$1:$Y$1501,$J1870+1)&amp;"","Buyer cheque banked 买家支票存入"&amp;IF(INDEX('Daily Sale entry '!$U$1:$U$1501,$J1870-1499)="","", " - "&amp;INDEX('Daily Sale entry '!$U$1:$U$1501,$J1870-1499))))</f>
        <v/>
      </c>
      <c r="C1870">
        <f>IF($J1870="","",IF($J1870&lt;=1500,INDEX('Daily Sale entry '!$Z$1:$Z$1501,$J1870+1)&amp;"","Cheque deposit 支票存入 (buyer 买家)"))</f>
        <v/>
      </c>
      <c r="D1870">
        <f>IF($J1870="","",IF($J1870&lt;=1500,INDEX('Daily Sale entry '!$AA$1:$AA$1501,$J1870+1)&amp;"",INDEX('Daily Sale entry '!$P$1:$P$1501,$J1870-1499)&amp;""))</f>
        <v/>
      </c>
      <c r="E1870">
        <f>IF($J1870="","",IF($J1870&lt;=1500,IF(N(INDEX('Daily Sale entry '!$AB$1:$AB$1501,$J1870+1))=0,"",INDEX('Daily Sale entry '!$AB$1:$AB$1501,$J1870+1)),1))</f>
        <v/>
      </c>
      <c r="F1870" s="6">
        <f>IF($J1870="","",IF($J1870&lt;=1500,N(INDEX('Daily Sale entry '!$AC$1:$AC$1501,$J1870+1))-IF(AND('Opening Balance'!$B$15=1,INDEX('Daily Sale entry '!$Z$1:$Z$1501,$J1870+1)="Online collection 网上收款",INDEX('Daily Sale entry '!$AA$1:$AA$1501,$J1870+1)&lt;&gt;""),N(INDEX('Daily Sale entry '!$AC$1:$AC$1501,$J1870+1))-TRUNC(N(INDEX('Daily Sale entry '!$AC$1:$AC$1501,$J1870+1))),0),N(INDEX('Daily Sale entry '!$S$1:$S$1501,$J1870-1499))-'Opening Balance'!$B$15*(N(INDEX('Daily Sale entry '!$S$1:$S$1501,$J1870-1499))-TRUNC(N(INDEX('Daily Sale entry '!$S$1:$S$1501,$J1870-1499))))))</f>
        <v/>
      </c>
      <c r="G1870" s="6">
        <f>IF($J1870="","",IF($J1870&lt;=1500,N(INDEX('Daily Sale entry '!$AD$1:$AD$1501,$J1870+1)),0))</f>
        <v/>
      </c>
      <c r="H1870" s="6">
        <f>IF($J1870="","",ROUND('Opening Balance'!$B$4+SUM($F$2:F1870)-SUM($G$2:G1870),2))</f>
        <v/>
      </c>
      <c r="J1870" s="21">
        <f>IFERROR(MATCH(ROW()-1,$L$2:$L$3001,0),"")</f>
        <v/>
      </c>
      <c r="K1870" s="34">
        <f>IF(AND('Daily Sale entry '!Q370="Collection 收款",'Daily Sale entry '!R370="Cheque 支票",'Daily Sale entry '!V370&lt;&gt;""),'Daily Sale entry '!V370+ROW()/10000000,"")</f>
        <v/>
      </c>
      <c r="L1870" s="21">
        <f>IF(K1870="","",COUNTIF($K$2:$K$3001,"&lt;"&amp;K1870)+1)</f>
        <v/>
      </c>
    </row>
    <row r="1871">
      <c r="A1871" s="5">
        <f>IF($J1871="","",IF($J1871&lt;=1500,INDEX('Daily Sale entry '!$X$1:$X$1501,$J1871+1),INDEX('Daily Sale entry '!$V$1:$V$1501,$J1871-1499)))</f>
        <v/>
      </c>
      <c r="B1871">
        <f>IF($J1871="","",IF($J1871&lt;=1500,INDEX('Daily Sale entry '!$Y$1:$Y$1501,$J1871+1)&amp;"","Buyer cheque banked 买家支票存入"&amp;IF(INDEX('Daily Sale entry '!$U$1:$U$1501,$J1871-1499)="","", " - "&amp;INDEX('Daily Sale entry '!$U$1:$U$1501,$J1871-1499))))</f>
        <v/>
      </c>
      <c r="C1871">
        <f>IF($J1871="","",IF($J1871&lt;=1500,INDEX('Daily Sale entry '!$Z$1:$Z$1501,$J1871+1)&amp;"","Cheque deposit 支票存入 (buyer 买家)"))</f>
        <v/>
      </c>
      <c r="D1871">
        <f>IF($J1871="","",IF($J1871&lt;=1500,INDEX('Daily Sale entry '!$AA$1:$AA$1501,$J1871+1)&amp;"",INDEX('Daily Sale entry '!$P$1:$P$1501,$J1871-1499)&amp;""))</f>
        <v/>
      </c>
      <c r="E1871">
        <f>IF($J1871="","",IF($J1871&lt;=1500,IF(N(INDEX('Daily Sale entry '!$AB$1:$AB$1501,$J1871+1))=0,"",INDEX('Daily Sale entry '!$AB$1:$AB$1501,$J1871+1)),1))</f>
        <v/>
      </c>
      <c r="F1871" s="6">
        <f>IF($J1871="","",IF($J1871&lt;=1500,N(INDEX('Daily Sale entry '!$AC$1:$AC$1501,$J1871+1))-IF(AND('Opening Balance'!$B$15=1,INDEX('Daily Sale entry '!$Z$1:$Z$1501,$J1871+1)="Online collection 网上收款",INDEX('Daily Sale entry '!$AA$1:$AA$1501,$J1871+1)&lt;&gt;""),N(INDEX('Daily Sale entry '!$AC$1:$AC$1501,$J1871+1))-TRUNC(N(INDEX('Daily Sale entry '!$AC$1:$AC$1501,$J1871+1))),0),N(INDEX('Daily Sale entry '!$S$1:$S$1501,$J1871-1499))-'Opening Balance'!$B$15*(N(INDEX('Daily Sale entry '!$S$1:$S$1501,$J1871-1499))-TRUNC(N(INDEX('Daily Sale entry '!$S$1:$S$1501,$J1871-1499))))))</f>
        <v/>
      </c>
      <c r="G1871" s="6">
        <f>IF($J1871="","",IF($J1871&lt;=1500,N(INDEX('Daily Sale entry '!$AD$1:$AD$1501,$J1871+1)),0))</f>
        <v/>
      </c>
      <c r="H1871" s="6">
        <f>IF($J1871="","",ROUND('Opening Balance'!$B$4+SUM($F$2:F1871)-SUM($G$2:G1871),2))</f>
        <v/>
      </c>
      <c r="J1871" s="21">
        <f>IFERROR(MATCH(ROW()-1,$L$2:$L$3001,0),"")</f>
        <v/>
      </c>
      <c r="K1871" s="34">
        <f>IF(AND('Daily Sale entry '!Q371="Collection 收款",'Daily Sale entry '!R371="Cheque 支票",'Daily Sale entry '!V371&lt;&gt;""),'Daily Sale entry '!V371+ROW()/10000000,"")</f>
        <v/>
      </c>
      <c r="L1871" s="21">
        <f>IF(K1871="","",COUNTIF($K$2:$K$3001,"&lt;"&amp;K1871)+1)</f>
        <v/>
      </c>
    </row>
    <row r="1872">
      <c r="A1872" s="5">
        <f>IF($J1872="","",IF($J1872&lt;=1500,INDEX('Daily Sale entry '!$X$1:$X$1501,$J1872+1),INDEX('Daily Sale entry '!$V$1:$V$1501,$J1872-1499)))</f>
        <v/>
      </c>
      <c r="B1872">
        <f>IF($J1872="","",IF($J1872&lt;=1500,INDEX('Daily Sale entry '!$Y$1:$Y$1501,$J1872+1)&amp;"","Buyer cheque banked 买家支票存入"&amp;IF(INDEX('Daily Sale entry '!$U$1:$U$1501,$J1872-1499)="","", " - "&amp;INDEX('Daily Sale entry '!$U$1:$U$1501,$J1872-1499))))</f>
        <v/>
      </c>
      <c r="C1872">
        <f>IF($J1872="","",IF($J1872&lt;=1500,INDEX('Daily Sale entry '!$Z$1:$Z$1501,$J1872+1)&amp;"","Cheque deposit 支票存入 (buyer 买家)"))</f>
        <v/>
      </c>
      <c r="D1872">
        <f>IF($J1872="","",IF($J1872&lt;=1500,INDEX('Daily Sale entry '!$AA$1:$AA$1501,$J1872+1)&amp;"",INDEX('Daily Sale entry '!$P$1:$P$1501,$J1872-1499)&amp;""))</f>
        <v/>
      </c>
      <c r="E1872">
        <f>IF($J1872="","",IF($J1872&lt;=1500,IF(N(INDEX('Daily Sale entry '!$AB$1:$AB$1501,$J1872+1))=0,"",INDEX('Daily Sale entry '!$AB$1:$AB$1501,$J1872+1)),1))</f>
        <v/>
      </c>
      <c r="F1872" s="6">
        <f>IF($J1872="","",IF($J1872&lt;=1500,N(INDEX('Daily Sale entry '!$AC$1:$AC$1501,$J1872+1))-IF(AND('Opening Balance'!$B$15=1,INDEX('Daily Sale entry '!$Z$1:$Z$1501,$J1872+1)="Online collection 网上收款",INDEX('Daily Sale entry '!$AA$1:$AA$1501,$J1872+1)&lt;&gt;""),N(INDEX('Daily Sale entry '!$AC$1:$AC$1501,$J1872+1))-TRUNC(N(INDEX('Daily Sale entry '!$AC$1:$AC$1501,$J1872+1))),0),N(INDEX('Daily Sale entry '!$S$1:$S$1501,$J1872-1499))-'Opening Balance'!$B$15*(N(INDEX('Daily Sale entry '!$S$1:$S$1501,$J1872-1499))-TRUNC(N(INDEX('Daily Sale entry '!$S$1:$S$1501,$J1872-1499))))))</f>
        <v/>
      </c>
      <c r="G1872" s="6">
        <f>IF($J1872="","",IF($J1872&lt;=1500,N(INDEX('Daily Sale entry '!$AD$1:$AD$1501,$J1872+1)),0))</f>
        <v/>
      </c>
      <c r="H1872" s="6">
        <f>IF($J1872="","",ROUND('Opening Balance'!$B$4+SUM($F$2:F1872)-SUM($G$2:G1872),2))</f>
        <v/>
      </c>
      <c r="J1872" s="21">
        <f>IFERROR(MATCH(ROW()-1,$L$2:$L$3001,0),"")</f>
        <v/>
      </c>
      <c r="K1872" s="34">
        <f>IF(AND('Daily Sale entry '!Q372="Collection 收款",'Daily Sale entry '!R372="Cheque 支票",'Daily Sale entry '!V372&lt;&gt;""),'Daily Sale entry '!V372+ROW()/10000000,"")</f>
        <v/>
      </c>
      <c r="L1872" s="21">
        <f>IF(K1872="","",COUNTIF($K$2:$K$3001,"&lt;"&amp;K1872)+1)</f>
        <v/>
      </c>
    </row>
    <row r="1873">
      <c r="A1873" s="5">
        <f>IF($J1873="","",IF($J1873&lt;=1500,INDEX('Daily Sale entry '!$X$1:$X$1501,$J1873+1),INDEX('Daily Sale entry '!$V$1:$V$1501,$J1873-1499)))</f>
        <v/>
      </c>
      <c r="B1873">
        <f>IF($J1873="","",IF($J1873&lt;=1500,INDEX('Daily Sale entry '!$Y$1:$Y$1501,$J1873+1)&amp;"","Buyer cheque banked 买家支票存入"&amp;IF(INDEX('Daily Sale entry '!$U$1:$U$1501,$J1873-1499)="","", " - "&amp;INDEX('Daily Sale entry '!$U$1:$U$1501,$J1873-1499))))</f>
        <v/>
      </c>
      <c r="C1873">
        <f>IF($J1873="","",IF($J1873&lt;=1500,INDEX('Daily Sale entry '!$Z$1:$Z$1501,$J1873+1)&amp;"","Cheque deposit 支票存入 (buyer 买家)"))</f>
        <v/>
      </c>
      <c r="D1873">
        <f>IF($J1873="","",IF($J1873&lt;=1500,INDEX('Daily Sale entry '!$AA$1:$AA$1501,$J1873+1)&amp;"",INDEX('Daily Sale entry '!$P$1:$P$1501,$J1873-1499)&amp;""))</f>
        <v/>
      </c>
      <c r="E1873">
        <f>IF($J1873="","",IF($J1873&lt;=1500,IF(N(INDEX('Daily Sale entry '!$AB$1:$AB$1501,$J1873+1))=0,"",INDEX('Daily Sale entry '!$AB$1:$AB$1501,$J1873+1)),1))</f>
        <v/>
      </c>
      <c r="F1873" s="6">
        <f>IF($J1873="","",IF($J1873&lt;=1500,N(INDEX('Daily Sale entry '!$AC$1:$AC$1501,$J1873+1))-IF(AND('Opening Balance'!$B$15=1,INDEX('Daily Sale entry '!$Z$1:$Z$1501,$J1873+1)="Online collection 网上收款",INDEX('Daily Sale entry '!$AA$1:$AA$1501,$J1873+1)&lt;&gt;""),N(INDEX('Daily Sale entry '!$AC$1:$AC$1501,$J1873+1))-TRUNC(N(INDEX('Daily Sale entry '!$AC$1:$AC$1501,$J1873+1))),0),N(INDEX('Daily Sale entry '!$S$1:$S$1501,$J1873-1499))-'Opening Balance'!$B$15*(N(INDEX('Daily Sale entry '!$S$1:$S$1501,$J1873-1499))-TRUNC(N(INDEX('Daily Sale entry '!$S$1:$S$1501,$J1873-1499))))))</f>
        <v/>
      </c>
      <c r="G1873" s="6">
        <f>IF($J1873="","",IF($J1873&lt;=1500,N(INDEX('Daily Sale entry '!$AD$1:$AD$1501,$J1873+1)),0))</f>
        <v/>
      </c>
      <c r="H1873" s="6">
        <f>IF($J1873="","",ROUND('Opening Balance'!$B$4+SUM($F$2:F1873)-SUM($G$2:G1873),2))</f>
        <v/>
      </c>
      <c r="J1873" s="21">
        <f>IFERROR(MATCH(ROW()-1,$L$2:$L$3001,0),"")</f>
        <v/>
      </c>
      <c r="K1873" s="34">
        <f>IF(AND('Daily Sale entry '!Q373="Collection 收款",'Daily Sale entry '!R373="Cheque 支票",'Daily Sale entry '!V373&lt;&gt;""),'Daily Sale entry '!V373+ROW()/10000000,"")</f>
        <v/>
      </c>
      <c r="L1873" s="21">
        <f>IF(K1873="","",COUNTIF($K$2:$K$3001,"&lt;"&amp;K1873)+1)</f>
        <v/>
      </c>
    </row>
    <row r="1874">
      <c r="A1874" s="5">
        <f>IF($J1874="","",IF($J1874&lt;=1500,INDEX('Daily Sale entry '!$X$1:$X$1501,$J1874+1),INDEX('Daily Sale entry '!$V$1:$V$1501,$J1874-1499)))</f>
        <v/>
      </c>
      <c r="B1874">
        <f>IF($J1874="","",IF($J1874&lt;=1500,INDEX('Daily Sale entry '!$Y$1:$Y$1501,$J1874+1)&amp;"","Buyer cheque banked 买家支票存入"&amp;IF(INDEX('Daily Sale entry '!$U$1:$U$1501,$J1874-1499)="","", " - "&amp;INDEX('Daily Sale entry '!$U$1:$U$1501,$J1874-1499))))</f>
        <v/>
      </c>
      <c r="C1874">
        <f>IF($J1874="","",IF($J1874&lt;=1500,INDEX('Daily Sale entry '!$Z$1:$Z$1501,$J1874+1)&amp;"","Cheque deposit 支票存入 (buyer 买家)"))</f>
        <v/>
      </c>
      <c r="D1874">
        <f>IF($J1874="","",IF($J1874&lt;=1500,INDEX('Daily Sale entry '!$AA$1:$AA$1501,$J1874+1)&amp;"",INDEX('Daily Sale entry '!$P$1:$P$1501,$J1874-1499)&amp;""))</f>
        <v/>
      </c>
      <c r="E1874">
        <f>IF($J1874="","",IF($J1874&lt;=1500,IF(N(INDEX('Daily Sale entry '!$AB$1:$AB$1501,$J1874+1))=0,"",INDEX('Daily Sale entry '!$AB$1:$AB$1501,$J1874+1)),1))</f>
        <v/>
      </c>
      <c r="F1874" s="6">
        <f>IF($J1874="","",IF($J1874&lt;=1500,N(INDEX('Daily Sale entry '!$AC$1:$AC$1501,$J1874+1))-IF(AND('Opening Balance'!$B$15=1,INDEX('Daily Sale entry '!$Z$1:$Z$1501,$J1874+1)="Online collection 网上收款",INDEX('Daily Sale entry '!$AA$1:$AA$1501,$J1874+1)&lt;&gt;""),N(INDEX('Daily Sale entry '!$AC$1:$AC$1501,$J1874+1))-TRUNC(N(INDEX('Daily Sale entry '!$AC$1:$AC$1501,$J1874+1))),0),N(INDEX('Daily Sale entry '!$S$1:$S$1501,$J1874-1499))-'Opening Balance'!$B$15*(N(INDEX('Daily Sale entry '!$S$1:$S$1501,$J1874-1499))-TRUNC(N(INDEX('Daily Sale entry '!$S$1:$S$1501,$J1874-1499))))))</f>
        <v/>
      </c>
      <c r="G1874" s="6">
        <f>IF($J1874="","",IF($J1874&lt;=1500,N(INDEX('Daily Sale entry '!$AD$1:$AD$1501,$J1874+1)),0))</f>
        <v/>
      </c>
      <c r="H1874" s="6">
        <f>IF($J1874="","",ROUND('Opening Balance'!$B$4+SUM($F$2:F1874)-SUM($G$2:G1874),2))</f>
        <v/>
      </c>
      <c r="J1874" s="21">
        <f>IFERROR(MATCH(ROW()-1,$L$2:$L$3001,0),"")</f>
        <v/>
      </c>
      <c r="K1874" s="34">
        <f>IF(AND('Daily Sale entry '!Q374="Collection 收款",'Daily Sale entry '!R374="Cheque 支票",'Daily Sale entry '!V374&lt;&gt;""),'Daily Sale entry '!V374+ROW()/10000000,"")</f>
        <v/>
      </c>
      <c r="L1874" s="21">
        <f>IF(K1874="","",COUNTIF($K$2:$K$3001,"&lt;"&amp;K1874)+1)</f>
        <v/>
      </c>
    </row>
    <row r="1875">
      <c r="A1875" s="5">
        <f>IF($J1875="","",IF($J1875&lt;=1500,INDEX('Daily Sale entry '!$X$1:$X$1501,$J1875+1),INDEX('Daily Sale entry '!$V$1:$V$1501,$J1875-1499)))</f>
        <v/>
      </c>
      <c r="B1875">
        <f>IF($J1875="","",IF($J1875&lt;=1500,INDEX('Daily Sale entry '!$Y$1:$Y$1501,$J1875+1)&amp;"","Buyer cheque banked 买家支票存入"&amp;IF(INDEX('Daily Sale entry '!$U$1:$U$1501,$J1875-1499)="","", " - "&amp;INDEX('Daily Sale entry '!$U$1:$U$1501,$J1875-1499))))</f>
        <v/>
      </c>
      <c r="C1875">
        <f>IF($J1875="","",IF($J1875&lt;=1500,INDEX('Daily Sale entry '!$Z$1:$Z$1501,$J1875+1)&amp;"","Cheque deposit 支票存入 (buyer 买家)"))</f>
        <v/>
      </c>
      <c r="D1875">
        <f>IF($J1875="","",IF($J1875&lt;=1500,INDEX('Daily Sale entry '!$AA$1:$AA$1501,$J1875+1)&amp;"",INDEX('Daily Sale entry '!$P$1:$P$1501,$J1875-1499)&amp;""))</f>
        <v/>
      </c>
      <c r="E1875">
        <f>IF($J1875="","",IF($J1875&lt;=1500,IF(N(INDEX('Daily Sale entry '!$AB$1:$AB$1501,$J1875+1))=0,"",INDEX('Daily Sale entry '!$AB$1:$AB$1501,$J1875+1)),1))</f>
        <v/>
      </c>
      <c r="F1875" s="6">
        <f>IF($J1875="","",IF($J1875&lt;=1500,N(INDEX('Daily Sale entry '!$AC$1:$AC$1501,$J1875+1))-IF(AND('Opening Balance'!$B$15=1,INDEX('Daily Sale entry '!$Z$1:$Z$1501,$J1875+1)="Online collection 网上收款",INDEX('Daily Sale entry '!$AA$1:$AA$1501,$J1875+1)&lt;&gt;""),N(INDEX('Daily Sale entry '!$AC$1:$AC$1501,$J1875+1))-TRUNC(N(INDEX('Daily Sale entry '!$AC$1:$AC$1501,$J1875+1))),0),N(INDEX('Daily Sale entry '!$S$1:$S$1501,$J1875-1499))-'Opening Balance'!$B$15*(N(INDEX('Daily Sale entry '!$S$1:$S$1501,$J1875-1499))-TRUNC(N(INDEX('Daily Sale entry '!$S$1:$S$1501,$J1875-1499))))))</f>
        <v/>
      </c>
      <c r="G1875" s="6">
        <f>IF($J1875="","",IF($J1875&lt;=1500,N(INDEX('Daily Sale entry '!$AD$1:$AD$1501,$J1875+1)),0))</f>
        <v/>
      </c>
      <c r="H1875" s="6">
        <f>IF($J1875="","",ROUND('Opening Balance'!$B$4+SUM($F$2:F1875)-SUM($G$2:G1875),2))</f>
        <v/>
      </c>
      <c r="J1875" s="21">
        <f>IFERROR(MATCH(ROW()-1,$L$2:$L$3001,0),"")</f>
        <v/>
      </c>
      <c r="K1875" s="34">
        <f>IF(AND('Daily Sale entry '!Q375="Collection 收款",'Daily Sale entry '!R375="Cheque 支票",'Daily Sale entry '!V375&lt;&gt;""),'Daily Sale entry '!V375+ROW()/10000000,"")</f>
        <v/>
      </c>
      <c r="L1875" s="21">
        <f>IF(K1875="","",COUNTIF($K$2:$K$3001,"&lt;"&amp;K1875)+1)</f>
        <v/>
      </c>
    </row>
    <row r="1876">
      <c r="A1876" s="5">
        <f>IF($J1876="","",IF($J1876&lt;=1500,INDEX('Daily Sale entry '!$X$1:$X$1501,$J1876+1),INDEX('Daily Sale entry '!$V$1:$V$1501,$J1876-1499)))</f>
        <v/>
      </c>
      <c r="B1876">
        <f>IF($J1876="","",IF($J1876&lt;=1500,INDEX('Daily Sale entry '!$Y$1:$Y$1501,$J1876+1)&amp;"","Buyer cheque banked 买家支票存入"&amp;IF(INDEX('Daily Sale entry '!$U$1:$U$1501,$J1876-1499)="","", " - "&amp;INDEX('Daily Sale entry '!$U$1:$U$1501,$J1876-1499))))</f>
        <v/>
      </c>
      <c r="C1876">
        <f>IF($J1876="","",IF($J1876&lt;=1500,INDEX('Daily Sale entry '!$Z$1:$Z$1501,$J1876+1)&amp;"","Cheque deposit 支票存入 (buyer 买家)"))</f>
        <v/>
      </c>
      <c r="D1876">
        <f>IF($J1876="","",IF($J1876&lt;=1500,INDEX('Daily Sale entry '!$AA$1:$AA$1501,$J1876+1)&amp;"",INDEX('Daily Sale entry '!$P$1:$P$1501,$J1876-1499)&amp;""))</f>
        <v/>
      </c>
      <c r="E1876">
        <f>IF($J1876="","",IF($J1876&lt;=1500,IF(N(INDEX('Daily Sale entry '!$AB$1:$AB$1501,$J1876+1))=0,"",INDEX('Daily Sale entry '!$AB$1:$AB$1501,$J1876+1)),1))</f>
        <v/>
      </c>
      <c r="F1876" s="6">
        <f>IF($J1876="","",IF($J1876&lt;=1500,N(INDEX('Daily Sale entry '!$AC$1:$AC$1501,$J1876+1))-IF(AND('Opening Balance'!$B$15=1,INDEX('Daily Sale entry '!$Z$1:$Z$1501,$J1876+1)="Online collection 网上收款",INDEX('Daily Sale entry '!$AA$1:$AA$1501,$J1876+1)&lt;&gt;""),N(INDEX('Daily Sale entry '!$AC$1:$AC$1501,$J1876+1))-TRUNC(N(INDEX('Daily Sale entry '!$AC$1:$AC$1501,$J1876+1))),0),N(INDEX('Daily Sale entry '!$S$1:$S$1501,$J1876-1499))-'Opening Balance'!$B$15*(N(INDEX('Daily Sale entry '!$S$1:$S$1501,$J1876-1499))-TRUNC(N(INDEX('Daily Sale entry '!$S$1:$S$1501,$J1876-1499))))))</f>
        <v/>
      </c>
      <c r="G1876" s="6">
        <f>IF($J1876="","",IF($J1876&lt;=1500,N(INDEX('Daily Sale entry '!$AD$1:$AD$1501,$J1876+1)),0))</f>
        <v/>
      </c>
      <c r="H1876" s="6">
        <f>IF($J1876="","",ROUND('Opening Balance'!$B$4+SUM($F$2:F1876)-SUM($G$2:G1876),2))</f>
        <v/>
      </c>
      <c r="J1876" s="21">
        <f>IFERROR(MATCH(ROW()-1,$L$2:$L$3001,0),"")</f>
        <v/>
      </c>
      <c r="K1876" s="34">
        <f>IF(AND('Daily Sale entry '!Q376="Collection 收款",'Daily Sale entry '!R376="Cheque 支票",'Daily Sale entry '!V376&lt;&gt;""),'Daily Sale entry '!V376+ROW()/10000000,"")</f>
        <v/>
      </c>
      <c r="L1876" s="21">
        <f>IF(K1876="","",COUNTIF($K$2:$K$3001,"&lt;"&amp;K1876)+1)</f>
        <v/>
      </c>
    </row>
    <row r="1877">
      <c r="A1877" s="5">
        <f>IF($J1877="","",IF($J1877&lt;=1500,INDEX('Daily Sale entry '!$X$1:$X$1501,$J1877+1),INDEX('Daily Sale entry '!$V$1:$V$1501,$J1877-1499)))</f>
        <v/>
      </c>
      <c r="B1877">
        <f>IF($J1877="","",IF($J1877&lt;=1500,INDEX('Daily Sale entry '!$Y$1:$Y$1501,$J1877+1)&amp;"","Buyer cheque banked 买家支票存入"&amp;IF(INDEX('Daily Sale entry '!$U$1:$U$1501,$J1877-1499)="","", " - "&amp;INDEX('Daily Sale entry '!$U$1:$U$1501,$J1877-1499))))</f>
        <v/>
      </c>
      <c r="C1877">
        <f>IF($J1877="","",IF($J1877&lt;=1500,INDEX('Daily Sale entry '!$Z$1:$Z$1501,$J1877+1)&amp;"","Cheque deposit 支票存入 (buyer 买家)"))</f>
        <v/>
      </c>
      <c r="D1877">
        <f>IF($J1877="","",IF($J1877&lt;=1500,INDEX('Daily Sale entry '!$AA$1:$AA$1501,$J1877+1)&amp;"",INDEX('Daily Sale entry '!$P$1:$P$1501,$J1877-1499)&amp;""))</f>
        <v/>
      </c>
      <c r="E1877">
        <f>IF($J1877="","",IF($J1877&lt;=1500,IF(N(INDEX('Daily Sale entry '!$AB$1:$AB$1501,$J1877+1))=0,"",INDEX('Daily Sale entry '!$AB$1:$AB$1501,$J1877+1)),1))</f>
        <v/>
      </c>
      <c r="F1877" s="6">
        <f>IF($J1877="","",IF($J1877&lt;=1500,N(INDEX('Daily Sale entry '!$AC$1:$AC$1501,$J1877+1))-IF(AND('Opening Balance'!$B$15=1,INDEX('Daily Sale entry '!$Z$1:$Z$1501,$J1877+1)="Online collection 网上收款",INDEX('Daily Sale entry '!$AA$1:$AA$1501,$J1877+1)&lt;&gt;""),N(INDEX('Daily Sale entry '!$AC$1:$AC$1501,$J1877+1))-TRUNC(N(INDEX('Daily Sale entry '!$AC$1:$AC$1501,$J1877+1))),0),N(INDEX('Daily Sale entry '!$S$1:$S$1501,$J1877-1499))-'Opening Balance'!$B$15*(N(INDEX('Daily Sale entry '!$S$1:$S$1501,$J1877-1499))-TRUNC(N(INDEX('Daily Sale entry '!$S$1:$S$1501,$J1877-1499))))))</f>
        <v/>
      </c>
      <c r="G1877" s="6">
        <f>IF($J1877="","",IF($J1877&lt;=1500,N(INDEX('Daily Sale entry '!$AD$1:$AD$1501,$J1877+1)),0))</f>
        <v/>
      </c>
      <c r="H1877" s="6">
        <f>IF($J1877="","",ROUND('Opening Balance'!$B$4+SUM($F$2:F1877)-SUM($G$2:G1877),2))</f>
        <v/>
      </c>
      <c r="J1877" s="21">
        <f>IFERROR(MATCH(ROW()-1,$L$2:$L$3001,0),"")</f>
        <v/>
      </c>
      <c r="K1877" s="34">
        <f>IF(AND('Daily Sale entry '!Q377="Collection 收款",'Daily Sale entry '!R377="Cheque 支票",'Daily Sale entry '!V377&lt;&gt;""),'Daily Sale entry '!V377+ROW()/10000000,"")</f>
        <v/>
      </c>
      <c r="L1877" s="21">
        <f>IF(K1877="","",COUNTIF($K$2:$K$3001,"&lt;"&amp;K1877)+1)</f>
        <v/>
      </c>
    </row>
    <row r="1878">
      <c r="A1878" s="5">
        <f>IF($J1878="","",IF($J1878&lt;=1500,INDEX('Daily Sale entry '!$X$1:$X$1501,$J1878+1),INDEX('Daily Sale entry '!$V$1:$V$1501,$J1878-1499)))</f>
        <v/>
      </c>
      <c r="B1878">
        <f>IF($J1878="","",IF($J1878&lt;=1500,INDEX('Daily Sale entry '!$Y$1:$Y$1501,$J1878+1)&amp;"","Buyer cheque banked 买家支票存入"&amp;IF(INDEX('Daily Sale entry '!$U$1:$U$1501,$J1878-1499)="","", " - "&amp;INDEX('Daily Sale entry '!$U$1:$U$1501,$J1878-1499))))</f>
        <v/>
      </c>
      <c r="C1878">
        <f>IF($J1878="","",IF($J1878&lt;=1500,INDEX('Daily Sale entry '!$Z$1:$Z$1501,$J1878+1)&amp;"","Cheque deposit 支票存入 (buyer 买家)"))</f>
        <v/>
      </c>
      <c r="D1878">
        <f>IF($J1878="","",IF($J1878&lt;=1500,INDEX('Daily Sale entry '!$AA$1:$AA$1501,$J1878+1)&amp;"",INDEX('Daily Sale entry '!$P$1:$P$1501,$J1878-1499)&amp;""))</f>
        <v/>
      </c>
      <c r="E1878">
        <f>IF($J1878="","",IF($J1878&lt;=1500,IF(N(INDEX('Daily Sale entry '!$AB$1:$AB$1501,$J1878+1))=0,"",INDEX('Daily Sale entry '!$AB$1:$AB$1501,$J1878+1)),1))</f>
        <v/>
      </c>
      <c r="F1878" s="6">
        <f>IF($J1878="","",IF($J1878&lt;=1500,N(INDEX('Daily Sale entry '!$AC$1:$AC$1501,$J1878+1))-IF(AND('Opening Balance'!$B$15=1,INDEX('Daily Sale entry '!$Z$1:$Z$1501,$J1878+1)="Online collection 网上收款",INDEX('Daily Sale entry '!$AA$1:$AA$1501,$J1878+1)&lt;&gt;""),N(INDEX('Daily Sale entry '!$AC$1:$AC$1501,$J1878+1))-TRUNC(N(INDEX('Daily Sale entry '!$AC$1:$AC$1501,$J1878+1))),0),N(INDEX('Daily Sale entry '!$S$1:$S$1501,$J1878-1499))-'Opening Balance'!$B$15*(N(INDEX('Daily Sale entry '!$S$1:$S$1501,$J1878-1499))-TRUNC(N(INDEX('Daily Sale entry '!$S$1:$S$1501,$J1878-1499))))))</f>
        <v/>
      </c>
      <c r="G1878" s="6">
        <f>IF($J1878="","",IF($J1878&lt;=1500,N(INDEX('Daily Sale entry '!$AD$1:$AD$1501,$J1878+1)),0))</f>
        <v/>
      </c>
      <c r="H1878" s="6">
        <f>IF($J1878="","",ROUND('Opening Balance'!$B$4+SUM($F$2:F1878)-SUM($G$2:G1878),2))</f>
        <v/>
      </c>
      <c r="J1878" s="21">
        <f>IFERROR(MATCH(ROW()-1,$L$2:$L$3001,0),"")</f>
        <v/>
      </c>
      <c r="K1878" s="34">
        <f>IF(AND('Daily Sale entry '!Q378="Collection 收款",'Daily Sale entry '!R378="Cheque 支票",'Daily Sale entry '!V378&lt;&gt;""),'Daily Sale entry '!V378+ROW()/10000000,"")</f>
        <v/>
      </c>
      <c r="L1878" s="21">
        <f>IF(K1878="","",COUNTIF($K$2:$K$3001,"&lt;"&amp;K1878)+1)</f>
        <v/>
      </c>
    </row>
    <row r="1879">
      <c r="A1879" s="5">
        <f>IF($J1879="","",IF($J1879&lt;=1500,INDEX('Daily Sale entry '!$X$1:$X$1501,$J1879+1),INDEX('Daily Sale entry '!$V$1:$V$1501,$J1879-1499)))</f>
        <v/>
      </c>
      <c r="B1879">
        <f>IF($J1879="","",IF($J1879&lt;=1500,INDEX('Daily Sale entry '!$Y$1:$Y$1501,$J1879+1)&amp;"","Buyer cheque banked 买家支票存入"&amp;IF(INDEX('Daily Sale entry '!$U$1:$U$1501,$J1879-1499)="","", " - "&amp;INDEX('Daily Sale entry '!$U$1:$U$1501,$J1879-1499))))</f>
        <v/>
      </c>
      <c r="C1879">
        <f>IF($J1879="","",IF($J1879&lt;=1500,INDEX('Daily Sale entry '!$Z$1:$Z$1501,$J1879+1)&amp;"","Cheque deposit 支票存入 (buyer 买家)"))</f>
        <v/>
      </c>
      <c r="D1879">
        <f>IF($J1879="","",IF($J1879&lt;=1500,INDEX('Daily Sale entry '!$AA$1:$AA$1501,$J1879+1)&amp;"",INDEX('Daily Sale entry '!$P$1:$P$1501,$J1879-1499)&amp;""))</f>
        <v/>
      </c>
      <c r="E1879">
        <f>IF($J1879="","",IF($J1879&lt;=1500,IF(N(INDEX('Daily Sale entry '!$AB$1:$AB$1501,$J1879+1))=0,"",INDEX('Daily Sale entry '!$AB$1:$AB$1501,$J1879+1)),1))</f>
        <v/>
      </c>
      <c r="F1879" s="6">
        <f>IF($J1879="","",IF($J1879&lt;=1500,N(INDEX('Daily Sale entry '!$AC$1:$AC$1501,$J1879+1))-IF(AND('Opening Balance'!$B$15=1,INDEX('Daily Sale entry '!$Z$1:$Z$1501,$J1879+1)="Online collection 网上收款",INDEX('Daily Sale entry '!$AA$1:$AA$1501,$J1879+1)&lt;&gt;""),N(INDEX('Daily Sale entry '!$AC$1:$AC$1501,$J1879+1))-TRUNC(N(INDEX('Daily Sale entry '!$AC$1:$AC$1501,$J1879+1))),0),N(INDEX('Daily Sale entry '!$S$1:$S$1501,$J1879-1499))-'Opening Balance'!$B$15*(N(INDEX('Daily Sale entry '!$S$1:$S$1501,$J1879-1499))-TRUNC(N(INDEX('Daily Sale entry '!$S$1:$S$1501,$J1879-1499))))))</f>
        <v/>
      </c>
      <c r="G1879" s="6">
        <f>IF($J1879="","",IF($J1879&lt;=1500,N(INDEX('Daily Sale entry '!$AD$1:$AD$1501,$J1879+1)),0))</f>
        <v/>
      </c>
      <c r="H1879" s="6">
        <f>IF($J1879="","",ROUND('Opening Balance'!$B$4+SUM($F$2:F1879)-SUM($G$2:G1879),2))</f>
        <v/>
      </c>
      <c r="J1879" s="21">
        <f>IFERROR(MATCH(ROW()-1,$L$2:$L$3001,0),"")</f>
        <v/>
      </c>
      <c r="K1879" s="34">
        <f>IF(AND('Daily Sale entry '!Q379="Collection 收款",'Daily Sale entry '!R379="Cheque 支票",'Daily Sale entry '!V379&lt;&gt;""),'Daily Sale entry '!V379+ROW()/10000000,"")</f>
        <v/>
      </c>
      <c r="L1879" s="21">
        <f>IF(K1879="","",COUNTIF($K$2:$K$3001,"&lt;"&amp;K1879)+1)</f>
        <v/>
      </c>
    </row>
    <row r="1880">
      <c r="A1880" s="5">
        <f>IF($J1880="","",IF($J1880&lt;=1500,INDEX('Daily Sale entry '!$X$1:$X$1501,$J1880+1),INDEX('Daily Sale entry '!$V$1:$V$1501,$J1880-1499)))</f>
        <v/>
      </c>
      <c r="B1880">
        <f>IF($J1880="","",IF($J1880&lt;=1500,INDEX('Daily Sale entry '!$Y$1:$Y$1501,$J1880+1)&amp;"","Buyer cheque banked 买家支票存入"&amp;IF(INDEX('Daily Sale entry '!$U$1:$U$1501,$J1880-1499)="","", " - "&amp;INDEX('Daily Sale entry '!$U$1:$U$1501,$J1880-1499))))</f>
        <v/>
      </c>
      <c r="C1880">
        <f>IF($J1880="","",IF($J1880&lt;=1500,INDEX('Daily Sale entry '!$Z$1:$Z$1501,$J1880+1)&amp;"","Cheque deposit 支票存入 (buyer 买家)"))</f>
        <v/>
      </c>
      <c r="D1880">
        <f>IF($J1880="","",IF($J1880&lt;=1500,INDEX('Daily Sale entry '!$AA$1:$AA$1501,$J1880+1)&amp;"",INDEX('Daily Sale entry '!$P$1:$P$1501,$J1880-1499)&amp;""))</f>
        <v/>
      </c>
      <c r="E1880">
        <f>IF($J1880="","",IF($J1880&lt;=1500,IF(N(INDEX('Daily Sale entry '!$AB$1:$AB$1501,$J1880+1))=0,"",INDEX('Daily Sale entry '!$AB$1:$AB$1501,$J1880+1)),1))</f>
        <v/>
      </c>
      <c r="F1880" s="6">
        <f>IF($J1880="","",IF($J1880&lt;=1500,N(INDEX('Daily Sale entry '!$AC$1:$AC$1501,$J1880+1))-IF(AND('Opening Balance'!$B$15=1,INDEX('Daily Sale entry '!$Z$1:$Z$1501,$J1880+1)="Online collection 网上收款",INDEX('Daily Sale entry '!$AA$1:$AA$1501,$J1880+1)&lt;&gt;""),N(INDEX('Daily Sale entry '!$AC$1:$AC$1501,$J1880+1))-TRUNC(N(INDEX('Daily Sale entry '!$AC$1:$AC$1501,$J1880+1))),0),N(INDEX('Daily Sale entry '!$S$1:$S$1501,$J1880-1499))-'Opening Balance'!$B$15*(N(INDEX('Daily Sale entry '!$S$1:$S$1501,$J1880-1499))-TRUNC(N(INDEX('Daily Sale entry '!$S$1:$S$1501,$J1880-1499))))))</f>
        <v/>
      </c>
      <c r="G1880" s="6">
        <f>IF($J1880="","",IF($J1880&lt;=1500,N(INDEX('Daily Sale entry '!$AD$1:$AD$1501,$J1880+1)),0))</f>
        <v/>
      </c>
      <c r="H1880" s="6">
        <f>IF($J1880="","",ROUND('Opening Balance'!$B$4+SUM($F$2:F1880)-SUM($G$2:G1880),2))</f>
        <v/>
      </c>
      <c r="J1880" s="21">
        <f>IFERROR(MATCH(ROW()-1,$L$2:$L$3001,0),"")</f>
        <v/>
      </c>
      <c r="K1880" s="34">
        <f>IF(AND('Daily Sale entry '!Q380="Collection 收款",'Daily Sale entry '!R380="Cheque 支票",'Daily Sale entry '!V380&lt;&gt;""),'Daily Sale entry '!V380+ROW()/10000000,"")</f>
        <v/>
      </c>
      <c r="L1880" s="21">
        <f>IF(K1880="","",COUNTIF($K$2:$K$3001,"&lt;"&amp;K1880)+1)</f>
        <v/>
      </c>
    </row>
    <row r="1881">
      <c r="A1881" s="5">
        <f>IF($J1881="","",IF($J1881&lt;=1500,INDEX('Daily Sale entry '!$X$1:$X$1501,$J1881+1),INDEX('Daily Sale entry '!$V$1:$V$1501,$J1881-1499)))</f>
        <v/>
      </c>
      <c r="B1881">
        <f>IF($J1881="","",IF($J1881&lt;=1500,INDEX('Daily Sale entry '!$Y$1:$Y$1501,$J1881+1)&amp;"","Buyer cheque banked 买家支票存入"&amp;IF(INDEX('Daily Sale entry '!$U$1:$U$1501,$J1881-1499)="","", " - "&amp;INDEX('Daily Sale entry '!$U$1:$U$1501,$J1881-1499))))</f>
        <v/>
      </c>
      <c r="C1881">
        <f>IF($J1881="","",IF($J1881&lt;=1500,INDEX('Daily Sale entry '!$Z$1:$Z$1501,$J1881+1)&amp;"","Cheque deposit 支票存入 (buyer 买家)"))</f>
        <v/>
      </c>
      <c r="D1881">
        <f>IF($J1881="","",IF($J1881&lt;=1500,INDEX('Daily Sale entry '!$AA$1:$AA$1501,$J1881+1)&amp;"",INDEX('Daily Sale entry '!$P$1:$P$1501,$J1881-1499)&amp;""))</f>
        <v/>
      </c>
      <c r="E1881">
        <f>IF($J1881="","",IF($J1881&lt;=1500,IF(N(INDEX('Daily Sale entry '!$AB$1:$AB$1501,$J1881+1))=0,"",INDEX('Daily Sale entry '!$AB$1:$AB$1501,$J1881+1)),1))</f>
        <v/>
      </c>
      <c r="F1881" s="6">
        <f>IF($J1881="","",IF($J1881&lt;=1500,N(INDEX('Daily Sale entry '!$AC$1:$AC$1501,$J1881+1))-IF(AND('Opening Balance'!$B$15=1,INDEX('Daily Sale entry '!$Z$1:$Z$1501,$J1881+1)="Online collection 网上收款",INDEX('Daily Sale entry '!$AA$1:$AA$1501,$J1881+1)&lt;&gt;""),N(INDEX('Daily Sale entry '!$AC$1:$AC$1501,$J1881+1))-TRUNC(N(INDEX('Daily Sale entry '!$AC$1:$AC$1501,$J1881+1))),0),N(INDEX('Daily Sale entry '!$S$1:$S$1501,$J1881-1499))-'Opening Balance'!$B$15*(N(INDEX('Daily Sale entry '!$S$1:$S$1501,$J1881-1499))-TRUNC(N(INDEX('Daily Sale entry '!$S$1:$S$1501,$J1881-1499))))))</f>
        <v/>
      </c>
      <c r="G1881" s="6">
        <f>IF($J1881="","",IF($J1881&lt;=1500,N(INDEX('Daily Sale entry '!$AD$1:$AD$1501,$J1881+1)),0))</f>
        <v/>
      </c>
      <c r="H1881" s="6">
        <f>IF($J1881="","",ROUND('Opening Balance'!$B$4+SUM($F$2:F1881)-SUM($G$2:G1881),2))</f>
        <v/>
      </c>
      <c r="J1881" s="21">
        <f>IFERROR(MATCH(ROW()-1,$L$2:$L$3001,0),"")</f>
        <v/>
      </c>
      <c r="K1881" s="34">
        <f>IF(AND('Daily Sale entry '!Q381="Collection 收款",'Daily Sale entry '!R381="Cheque 支票",'Daily Sale entry '!V381&lt;&gt;""),'Daily Sale entry '!V381+ROW()/10000000,"")</f>
        <v/>
      </c>
      <c r="L1881" s="21">
        <f>IF(K1881="","",COUNTIF($K$2:$K$3001,"&lt;"&amp;K1881)+1)</f>
        <v/>
      </c>
    </row>
    <row r="1882">
      <c r="A1882" s="5">
        <f>IF($J1882="","",IF($J1882&lt;=1500,INDEX('Daily Sale entry '!$X$1:$X$1501,$J1882+1),INDEX('Daily Sale entry '!$V$1:$V$1501,$J1882-1499)))</f>
        <v/>
      </c>
      <c r="B1882">
        <f>IF($J1882="","",IF($J1882&lt;=1500,INDEX('Daily Sale entry '!$Y$1:$Y$1501,$J1882+1)&amp;"","Buyer cheque banked 买家支票存入"&amp;IF(INDEX('Daily Sale entry '!$U$1:$U$1501,$J1882-1499)="","", " - "&amp;INDEX('Daily Sale entry '!$U$1:$U$1501,$J1882-1499))))</f>
        <v/>
      </c>
      <c r="C1882">
        <f>IF($J1882="","",IF($J1882&lt;=1500,INDEX('Daily Sale entry '!$Z$1:$Z$1501,$J1882+1)&amp;"","Cheque deposit 支票存入 (buyer 买家)"))</f>
        <v/>
      </c>
      <c r="D1882">
        <f>IF($J1882="","",IF($J1882&lt;=1500,INDEX('Daily Sale entry '!$AA$1:$AA$1501,$J1882+1)&amp;"",INDEX('Daily Sale entry '!$P$1:$P$1501,$J1882-1499)&amp;""))</f>
        <v/>
      </c>
      <c r="E1882">
        <f>IF($J1882="","",IF($J1882&lt;=1500,IF(N(INDEX('Daily Sale entry '!$AB$1:$AB$1501,$J1882+1))=0,"",INDEX('Daily Sale entry '!$AB$1:$AB$1501,$J1882+1)),1))</f>
        <v/>
      </c>
      <c r="F1882" s="6">
        <f>IF($J1882="","",IF($J1882&lt;=1500,N(INDEX('Daily Sale entry '!$AC$1:$AC$1501,$J1882+1))-IF(AND('Opening Balance'!$B$15=1,INDEX('Daily Sale entry '!$Z$1:$Z$1501,$J1882+1)="Online collection 网上收款",INDEX('Daily Sale entry '!$AA$1:$AA$1501,$J1882+1)&lt;&gt;""),N(INDEX('Daily Sale entry '!$AC$1:$AC$1501,$J1882+1))-TRUNC(N(INDEX('Daily Sale entry '!$AC$1:$AC$1501,$J1882+1))),0),N(INDEX('Daily Sale entry '!$S$1:$S$1501,$J1882-1499))-'Opening Balance'!$B$15*(N(INDEX('Daily Sale entry '!$S$1:$S$1501,$J1882-1499))-TRUNC(N(INDEX('Daily Sale entry '!$S$1:$S$1501,$J1882-1499))))))</f>
        <v/>
      </c>
      <c r="G1882" s="6">
        <f>IF($J1882="","",IF($J1882&lt;=1500,N(INDEX('Daily Sale entry '!$AD$1:$AD$1501,$J1882+1)),0))</f>
        <v/>
      </c>
      <c r="H1882" s="6">
        <f>IF($J1882="","",ROUND('Opening Balance'!$B$4+SUM($F$2:F1882)-SUM($G$2:G1882),2))</f>
        <v/>
      </c>
      <c r="J1882" s="21">
        <f>IFERROR(MATCH(ROW()-1,$L$2:$L$3001,0),"")</f>
        <v/>
      </c>
      <c r="K1882" s="34">
        <f>IF(AND('Daily Sale entry '!Q382="Collection 收款",'Daily Sale entry '!R382="Cheque 支票",'Daily Sale entry '!V382&lt;&gt;""),'Daily Sale entry '!V382+ROW()/10000000,"")</f>
        <v/>
      </c>
      <c r="L1882" s="21">
        <f>IF(K1882="","",COUNTIF($K$2:$K$3001,"&lt;"&amp;K1882)+1)</f>
        <v/>
      </c>
    </row>
    <row r="1883">
      <c r="A1883" s="5">
        <f>IF($J1883="","",IF($J1883&lt;=1500,INDEX('Daily Sale entry '!$X$1:$X$1501,$J1883+1),INDEX('Daily Sale entry '!$V$1:$V$1501,$J1883-1499)))</f>
        <v/>
      </c>
      <c r="B1883">
        <f>IF($J1883="","",IF($J1883&lt;=1500,INDEX('Daily Sale entry '!$Y$1:$Y$1501,$J1883+1)&amp;"","Buyer cheque banked 买家支票存入"&amp;IF(INDEX('Daily Sale entry '!$U$1:$U$1501,$J1883-1499)="","", " - "&amp;INDEX('Daily Sale entry '!$U$1:$U$1501,$J1883-1499))))</f>
        <v/>
      </c>
      <c r="C1883">
        <f>IF($J1883="","",IF($J1883&lt;=1500,INDEX('Daily Sale entry '!$Z$1:$Z$1501,$J1883+1)&amp;"","Cheque deposit 支票存入 (buyer 买家)"))</f>
        <v/>
      </c>
      <c r="D1883">
        <f>IF($J1883="","",IF($J1883&lt;=1500,INDEX('Daily Sale entry '!$AA$1:$AA$1501,$J1883+1)&amp;"",INDEX('Daily Sale entry '!$P$1:$P$1501,$J1883-1499)&amp;""))</f>
        <v/>
      </c>
      <c r="E1883">
        <f>IF($J1883="","",IF($J1883&lt;=1500,IF(N(INDEX('Daily Sale entry '!$AB$1:$AB$1501,$J1883+1))=0,"",INDEX('Daily Sale entry '!$AB$1:$AB$1501,$J1883+1)),1))</f>
        <v/>
      </c>
      <c r="F1883" s="6">
        <f>IF($J1883="","",IF($J1883&lt;=1500,N(INDEX('Daily Sale entry '!$AC$1:$AC$1501,$J1883+1))-IF(AND('Opening Balance'!$B$15=1,INDEX('Daily Sale entry '!$Z$1:$Z$1501,$J1883+1)="Online collection 网上收款",INDEX('Daily Sale entry '!$AA$1:$AA$1501,$J1883+1)&lt;&gt;""),N(INDEX('Daily Sale entry '!$AC$1:$AC$1501,$J1883+1))-TRUNC(N(INDEX('Daily Sale entry '!$AC$1:$AC$1501,$J1883+1))),0),N(INDEX('Daily Sale entry '!$S$1:$S$1501,$J1883-1499))-'Opening Balance'!$B$15*(N(INDEX('Daily Sale entry '!$S$1:$S$1501,$J1883-1499))-TRUNC(N(INDEX('Daily Sale entry '!$S$1:$S$1501,$J1883-1499))))))</f>
        <v/>
      </c>
      <c r="G1883" s="6">
        <f>IF($J1883="","",IF($J1883&lt;=1500,N(INDEX('Daily Sale entry '!$AD$1:$AD$1501,$J1883+1)),0))</f>
        <v/>
      </c>
      <c r="H1883" s="6">
        <f>IF($J1883="","",ROUND('Opening Balance'!$B$4+SUM($F$2:F1883)-SUM($G$2:G1883),2))</f>
        <v/>
      </c>
      <c r="J1883" s="21">
        <f>IFERROR(MATCH(ROW()-1,$L$2:$L$3001,0),"")</f>
        <v/>
      </c>
      <c r="K1883" s="34">
        <f>IF(AND('Daily Sale entry '!Q383="Collection 收款",'Daily Sale entry '!R383="Cheque 支票",'Daily Sale entry '!V383&lt;&gt;""),'Daily Sale entry '!V383+ROW()/10000000,"")</f>
        <v/>
      </c>
      <c r="L1883" s="21">
        <f>IF(K1883="","",COUNTIF($K$2:$K$3001,"&lt;"&amp;K1883)+1)</f>
        <v/>
      </c>
    </row>
    <row r="1884">
      <c r="A1884" s="5">
        <f>IF($J1884="","",IF($J1884&lt;=1500,INDEX('Daily Sale entry '!$X$1:$X$1501,$J1884+1),INDEX('Daily Sale entry '!$V$1:$V$1501,$J1884-1499)))</f>
        <v/>
      </c>
      <c r="B1884">
        <f>IF($J1884="","",IF($J1884&lt;=1500,INDEX('Daily Sale entry '!$Y$1:$Y$1501,$J1884+1)&amp;"","Buyer cheque banked 买家支票存入"&amp;IF(INDEX('Daily Sale entry '!$U$1:$U$1501,$J1884-1499)="","", " - "&amp;INDEX('Daily Sale entry '!$U$1:$U$1501,$J1884-1499))))</f>
        <v/>
      </c>
      <c r="C1884">
        <f>IF($J1884="","",IF($J1884&lt;=1500,INDEX('Daily Sale entry '!$Z$1:$Z$1501,$J1884+1)&amp;"","Cheque deposit 支票存入 (buyer 买家)"))</f>
        <v/>
      </c>
      <c r="D1884">
        <f>IF($J1884="","",IF($J1884&lt;=1500,INDEX('Daily Sale entry '!$AA$1:$AA$1501,$J1884+1)&amp;"",INDEX('Daily Sale entry '!$P$1:$P$1501,$J1884-1499)&amp;""))</f>
        <v/>
      </c>
      <c r="E1884">
        <f>IF($J1884="","",IF($J1884&lt;=1500,IF(N(INDEX('Daily Sale entry '!$AB$1:$AB$1501,$J1884+1))=0,"",INDEX('Daily Sale entry '!$AB$1:$AB$1501,$J1884+1)),1))</f>
        <v/>
      </c>
      <c r="F1884" s="6">
        <f>IF($J1884="","",IF($J1884&lt;=1500,N(INDEX('Daily Sale entry '!$AC$1:$AC$1501,$J1884+1))-IF(AND('Opening Balance'!$B$15=1,INDEX('Daily Sale entry '!$Z$1:$Z$1501,$J1884+1)="Online collection 网上收款",INDEX('Daily Sale entry '!$AA$1:$AA$1501,$J1884+1)&lt;&gt;""),N(INDEX('Daily Sale entry '!$AC$1:$AC$1501,$J1884+1))-TRUNC(N(INDEX('Daily Sale entry '!$AC$1:$AC$1501,$J1884+1))),0),N(INDEX('Daily Sale entry '!$S$1:$S$1501,$J1884-1499))-'Opening Balance'!$B$15*(N(INDEX('Daily Sale entry '!$S$1:$S$1501,$J1884-1499))-TRUNC(N(INDEX('Daily Sale entry '!$S$1:$S$1501,$J1884-1499))))))</f>
        <v/>
      </c>
      <c r="G1884" s="6">
        <f>IF($J1884="","",IF($J1884&lt;=1500,N(INDEX('Daily Sale entry '!$AD$1:$AD$1501,$J1884+1)),0))</f>
        <v/>
      </c>
      <c r="H1884" s="6">
        <f>IF($J1884="","",ROUND('Opening Balance'!$B$4+SUM($F$2:F1884)-SUM($G$2:G1884),2))</f>
        <v/>
      </c>
      <c r="J1884" s="21">
        <f>IFERROR(MATCH(ROW()-1,$L$2:$L$3001,0),"")</f>
        <v/>
      </c>
      <c r="K1884" s="34">
        <f>IF(AND('Daily Sale entry '!Q384="Collection 收款",'Daily Sale entry '!R384="Cheque 支票",'Daily Sale entry '!V384&lt;&gt;""),'Daily Sale entry '!V384+ROW()/10000000,"")</f>
        <v/>
      </c>
      <c r="L1884" s="21">
        <f>IF(K1884="","",COUNTIF($K$2:$K$3001,"&lt;"&amp;K1884)+1)</f>
        <v/>
      </c>
    </row>
    <row r="1885">
      <c r="A1885" s="5">
        <f>IF($J1885="","",IF($J1885&lt;=1500,INDEX('Daily Sale entry '!$X$1:$X$1501,$J1885+1),INDEX('Daily Sale entry '!$V$1:$V$1501,$J1885-1499)))</f>
        <v/>
      </c>
      <c r="B1885">
        <f>IF($J1885="","",IF($J1885&lt;=1500,INDEX('Daily Sale entry '!$Y$1:$Y$1501,$J1885+1)&amp;"","Buyer cheque banked 买家支票存入"&amp;IF(INDEX('Daily Sale entry '!$U$1:$U$1501,$J1885-1499)="","", " - "&amp;INDEX('Daily Sale entry '!$U$1:$U$1501,$J1885-1499))))</f>
        <v/>
      </c>
      <c r="C1885">
        <f>IF($J1885="","",IF($J1885&lt;=1500,INDEX('Daily Sale entry '!$Z$1:$Z$1501,$J1885+1)&amp;"","Cheque deposit 支票存入 (buyer 买家)"))</f>
        <v/>
      </c>
      <c r="D1885">
        <f>IF($J1885="","",IF($J1885&lt;=1500,INDEX('Daily Sale entry '!$AA$1:$AA$1501,$J1885+1)&amp;"",INDEX('Daily Sale entry '!$P$1:$P$1501,$J1885-1499)&amp;""))</f>
        <v/>
      </c>
      <c r="E1885">
        <f>IF($J1885="","",IF($J1885&lt;=1500,IF(N(INDEX('Daily Sale entry '!$AB$1:$AB$1501,$J1885+1))=0,"",INDEX('Daily Sale entry '!$AB$1:$AB$1501,$J1885+1)),1))</f>
        <v/>
      </c>
      <c r="F1885" s="6">
        <f>IF($J1885="","",IF($J1885&lt;=1500,N(INDEX('Daily Sale entry '!$AC$1:$AC$1501,$J1885+1))-IF(AND('Opening Balance'!$B$15=1,INDEX('Daily Sale entry '!$Z$1:$Z$1501,$J1885+1)="Online collection 网上收款",INDEX('Daily Sale entry '!$AA$1:$AA$1501,$J1885+1)&lt;&gt;""),N(INDEX('Daily Sale entry '!$AC$1:$AC$1501,$J1885+1))-TRUNC(N(INDEX('Daily Sale entry '!$AC$1:$AC$1501,$J1885+1))),0),N(INDEX('Daily Sale entry '!$S$1:$S$1501,$J1885-1499))-'Opening Balance'!$B$15*(N(INDEX('Daily Sale entry '!$S$1:$S$1501,$J1885-1499))-TRUNC(N(INDEX('Daily Sale entry '!$S$1:$S$1501,$J1885-1499))))))</f>
        <v/>
      </c>
      <c r="G1885" s="6">
        <f>IF($J1885="","",IF($J1885&lt;=1500,N(INDEX('Daily Sale entry '!$AD$1:$AD$1501,$J1885+1)),0))</f>
        <v/>
      </c>
      <c r="H1885" s="6">
        <f>IF($J1885="","",ROUND('Opening Balance'!$B$4+SUM($F$2:F1885)-SUM($G$2:G1885),2))</f>
        <v/>
      </c>
      <c r="J1885" s="21">
        <f>IFERROR(MATCH(ROW()-1,$L$2:$L$3001,0),"")</f>
        <v/>
      </c>
      <c r="K1885" s="34">
        <f>IF(AND('Daily Sale entry '!Q385="Collection 收款",'Daily Sale entry '!R385="Cheque 支票",'Daily Sale entry '!V385&lt;&gt;""),'Daily Sale entry '!V385+ROW()/10000000,"")</f>
        <v/>
      </c>
      <c r="L1885" s="21">
        <f>IF(K1885="","",COUNTIF($K$2:$K$3001,"&lt;"&amp;K1885)+1)</f>
        <v/>
      </c>
    </row>
    <row r="1886">
      <c r="A1886" s="5">
        <f>IF($J1886="","",IF($J1886&lt;=1500,INDEX('Daily Sale entry '!$X$1:$X$1501,$J1886+1),INDEX('Daily Sale entry '!$V$1:$V$1501,$J1886-1499)))</f>
        <v/>
      </c>
      <c r="B1886">
        <f>IF($J1886="","",IF($J1886&lt;=1500,INDEX('Daily Sale entry '!$Y$1:$Y$1501,$J1886+1)&amp;"","Buyer cheque banked 买家支票存入"&amp;IF(INDEX('Daily Sale entry '!$U$1:$U$1501,$J1886-1499)="","", " - "&amp;INDEX('Daily Sale entry '!$U$1:$U$1501,$J1886-1499))))</f>
        <v/>
      </c>
      <c r="C1886">
        <f>IF($J1886="","",IF($J1886&lt;=1500,INDEX('Daily Sale entry '!$Z$1:$Z$1501,$J1886+1)&amp;"","Cheque deposit 支票存入 (buyer 买家)"))</f>
        <v/>
      </c>
      <c r="D1886">
        <f>IF($J1886="","",IF($J1886&lt;=1500,INDEX('Daily Sale entry '!$AA$1:$AA$1501,$J1886+1)&amp;"",INDEX('Daily Sale entry '!$P$1:$P$1501,$J1886-1499)&amp;""))</f>
        <v/>
      </c>
      <c r="E1886">
        <f>IF($J1886="","",IF($J1886&lt;=1500,IF(N(INDEX('Daily Sale entry '!$AB$1:$AB$1501,$J1886+1))=0,"",INDEX('Daily Sale entry '!$AB$1:$AB$1501,$J1886+1)),1))</f>
        <v/>
      </c>
      <c r="F1886" s="6">
        <f>IF($J1886="","",IF($J1886&lt;=1500,N(INDEX('Daily Sale entry '!$AC$1:$AC$1501,$J1886+1))-IF(AND('Opening Balance'!$B$15=1,INDEX('Daily Sale entry '!$Z$1:$Z$1501,$J1886+1)="Online collection 网上收款",INDEX('Daily Sale entry '!$AA$1:$AA$1501,$J1886+1)&lt;&gt;""),N(INDEX('Daily Sale entry '!$AC$1:$AC$1501,$J1886+1))-TRUNC(N(INDEX('Daily Sale entry '!$AC$1:$AC$1501,$J1886+1))),0),N(INDEX('Daily Sale entry '!$S$1:$S$1501,$J1886-1499))-'Opening Balance'!$B$15*(N(INDEX('Daily Sale entry '!$S$1:$S$1501,$J1886-1499))-TRUNC(N(INDEX('Daily Sale entry '!$S$1:$S$1501,$J1886-1499))))))</f>
        <v/>
      </c>
      <c r="G1886" s="6">
        <f>IF($J1886="","",IF($J1886&lt;=1500,N(INDEX('Daily Sale entry '!$AD$1:$AD$1501,$J1886+1)),0))</f>
        <v/>
      </c>
      <c r="H1886" s="6">
        <f>IF($J1886="","",ROUND('Opening Balance'!$B$4+SUM($F$2:F1886)-SUM($G$2:G1886),2))</f>
        <v/>
      </c>
      <c r="J1886" s="21">
        <f>IFERROR(MATCH(ROW()-1,$L$2:$L$3001,0),"")</f>
        <v/>
      </c>
      <c r="K1886" s="34">
        <f>IF(AND('Daily Sale entry '!Q386="Collection 收款",'Daily Sale entry '!R386="Cheque 支票",'Daily Sale entry '!V386&lt;&gt;""),'Daily Sale entry '!V386+ROW()/10000000,"")</f>
        <v/>
      </c>
      <c r="L1886" s="21">
        <f>IF(K1886="","",COUNTIF($K$2:$K$3001,"&lt;"&amp;K1886)+1)</f>
        <v/>
      </c>
    </row>
    <row r="1887">
      <c r="A1887" s="5">
        <f>IF($J1887="","",IF($J1887&lt;=1500,INDEX('Daily Sale entry '!$X$1:$X$1501,$J1887+1),INDEX('Daily Sale entry '!$V$1:$V$1501,$J1887-1499)))</f>
        <v/>
      </c>
      <c r="B1887">
        <f>IF($J1887="","",IF($J1887&lt;=1500,INDEX('Daily Sale entry '!$Y$1:$Y$1501,$J1887+1)&amp;"","Buyer cheque banked 买家支票存入"&amp;IF(INDEX('Daily Sale entry '!$U$1:$U$1501,$J1887-1499)="","", " - "&amp;INDEX('Daily Sale entry '!$U$1:$U$1501,$J1887-1499))))</f>
        <v/>
      </c>
      <c r="C1887">
        <f>IF($J1887="","",IF($J1887&lt;=1500,INDEX('Daily Sale entry '!$Z$1:$Z$1501,$J1887+1)&amp;"","Cheque deposit 支票存入 (buyer 买家)"))</f>
        <v/>
      </c>
      <c r="D1887">
        <f>IF($J1887="","",IF($J1887&lt;=1500,INDEX('Daily Sale entry '!$AA$1:$AA$1501,$J1887+1)&amp;"",INDEX('Daily Sale entry '!$P$1:$P$1501,$J1887-1499)&amp;""))</f>
        <v/>
      </c>
      <c r="E1887">
        <f>IF($J1887="","",IF($J1887&lt;=1500,IF(N(INDEX('Daily Sale entry '!$AB$1:$AB$1501,$J1887+1))=0,"",INDEX('Daily Sale entry '!$AB$1:$AB$1501,$J1887+1)),1))</f>
        <v/>
      </c>
      <c r="F1887" s="6">
        <f>IF($J1887="","",IF($J1887&lt;=1500,N(INDEX('Daily Sale entry '!$AC$1:$AC$1501,$J1887+1))-IF(AND('Opening Balance'!$B$15=1,INDEX('Daily Sale entry '!$Z$1:$Z$1501,$J1887+1)="Online collection 网上收款",INDEX('Daily Sale entry '!$AA$1:$AA$1501,$J1887+1)&lt;&gt;""),N(INDEX('Daily Sale entry '!$AC$1:$AC$1501,$J1887+1))-TRUNC(N(INDEX('Daily Sale entry '!$AC$1:$AC$1501,$J1887+1))),0),N(INDEX('Daily Sale entry '!$S$1:$S$1501,$J1887-1499))-'Opening Balance'!$B$15*(N(INDEX('Daily Sale entry '!$S$1:$S$1501,$J1887-1499))-TRUNC(N(INDEX('Daily Sale entry '!$S$1:$S$1501,$J1887-1499))))))</f>
        <v/>
      </c>
      <c r="G1887" s="6">
        <f>IF($J1887="","",IF($J1887&lt;=1500,N(INDEX('Daily Sale entry '!$AD$1:$AD$1501,$J1887+1)),0))</f>
        <v/>
      </c>
      <c r="H1887" s="6">
        <f>IF($J1887="","",ROUND('Opening Balance'!$B$4+SUM($F$2:F1887)-SUM($G$2:G1887),2))</f>
        <v/>
      </c>
      <c r="J1887" s="21">
        <f>IFERROR(MATCH(ROW()-1,$L$2:$L$3001,0),"")</f>
        <v/>
      </c>
      <c r="K1887" s="34">
        <f>IF(AND('Daily Sale entry '!Q387="Collection 收款",'Daily Sale entry '!R387="Cheque 支票",'Daily Sale entry '!V387&lt;&gt;""),'Daily Sale entry '!V387+ROW()/10000000,"")</f>
        <v/>
      </c>
      <c r="L1887" s="21">
        <f>IF(K1887="","",COUNTIF($K$2:$K$3001,"&lt;"&amp;K1887)+1)</f>
        <v/>
      </c>
    </row>
    <row r="1888">
      <c r="A1888" s="5">
        <f>IF($J1888="","",IF($J1888&lt;=1500,INDEX('Daily Sale entry '!$X$1:$X$1501,$J1888+1),INDEX('Daily Sale entry '!$V$1:$V$1501,$J1888-1499)))</f>
        <v/>
      </c>
      <c r="B1888">
        <f>IF($J1888="","",IF($J1888&lt;=1500,INDEX('Daily Sale entry '!$Y$1:$Y$1501,$J1888+1)&amp;"","Buyer cheque banked 买家支票存入"&amp;IF(INDEX('Daily Sale entry '!$U$1:$U$1501,$J1888-1499)="","", " - "&amp;INDEX('Daily Sale entry '!$U$1:$U$1501,$J1888-1499))))</f>
        <v/>
      </c>
      <c r="C1888">
        <f>IF($J1888="","",IF($J1888&lt;=1500,INDEX('Daily Sale entry '!$Z$1:$Z$1501,$J1888+1)&amp;"","Cheque deposit 支票存入 (buyer 买家)"))</f>
        <v/>
      </c>
      <c r="D1888">
        <f>IF($J1888="","",IF($J1888&lt;=1500,INDEX('Daily Sale entry '!$AA$1:$AA$1501,$J1888+1)&amp;"",INDEX('Daily Sale entry '!$P$1:$P$1501,$J1888-1499)&amp;""))</f>
        <v/>
      </c>
      <c r="E1888">
        <f>IF($J1888="","",IF($J1888&lt;=1500,IF(N(INDEX('Daily Sale entry '!$AB$1:$AB$1501,$J1888+1))=0,"",INDEX('Daily Sale entry '!$AB$1:$AB$1501,$J1888+1)),1))</f>
        <v/>
      </c>
      <c r="F1888" s="6">
        <f>IF($J1888="","",IF($J1888&lt;=1500,N(INDEX('Daily Sale entry '!$AC$1:$AC$1501,$J1888+1))-IF(AND('Opening Balance'!$B$15=1,INDEX('Daily Sale entry '!$Z$1:$Z$1501,$J1888+1)="Online collection 网上收款",INDEX('Daily Sale entry '!$AA$1:$AA$1501,$J1888+1)&lt;&gt;""),N(INDEX('Daily Sale entry '!$AC$1:$AC$1501,$J1888+1))-TRUNC(N(INDEX('Daily Sale entry '!$AC$1:$AC$1501,$J1888+1))),0),N(INDEX('Daily Sale entry '!$S$1:$S$1501,$J1888-1499))-'Opening Balance'!$B$15*(N(INDEX('Daily Sale entry '!$S$1:$S$1501,$J1888-1499))-TRUNC(N(INDEX('Daily Sale entry '!$S$1:$S$1501,$J1888-1499))))))</f>
        <v/>
      </c>
      <c r="G1888" s="6">
        <f>IF($J1888="","",IF($J1888&lt;=1500,N(INDEX('Daily Sale entry '!$AD$1:$AD$1501,$J1888+1)),0))</f>
        <v/>
      </c>
      <c r="H1888" s="6">
        <f>IF($J1888="","",ROUND('Opening Balance'!$B$4+SUM($F$2:F1888)-SUM($G$2:G1888),2))</f>
        <v/>
      </c>
      <c r="J1888" s="21">
        <f>IFERROR(MATCH(ROW()-1,$L$2:$L$3001,0),"")</f>
        <v/>
      </c>
      <c r="K1888" s="34">
        <f>IF(AND('Daily Sale entry '!Q388="Collection 收款",'Daily Sale entry '!R388="Cheque 支票",'Daily Sale entry '!V388&lt;&gt;""),'Daily Sale entry '!V388+ROW()/10000000,"")</f>
        <v/>
      </c>
      <c r="L1888" s="21">
        <f>IF(K1888="","",COUNTIF($K$2:$K$3001,"&lt;"&amp;K1888)+1)</f>
        <v/>
      </c>
    </row>
    <row r="1889">
      <c r="A1889" s="5">
        <f>IF($J1889="","",IF($J1889&lt;=1500,INDEX('Daily Sale entry '!$X$1:$X$1501,$J1889+1),INDEX('Daily Sale entry '!$V$1:$V$1501,$J1889-1499)))</f>
        <v/>
      </c>
      <c r="B1889">
        <f>IF($J1889="","",IF($J1889&lt;=1500,INDEX('Daily Sale entry '!$Y$1:$Y$1501,$J1889+1)&amp;"","Buyer cheque banked 买家支票存入"&amp;IF(INDEX('Daily Sale entry '!$U$1:$U$1501,$J1889-1499)="","", " - "&amp;INDEX('Daily Sale entry '!$U$1:$U$1501,$J1889-1499))))</f>
        <v/>
      </c>
      <c r="C1889">
        <f>IF($J1889="","",IF($J1889&lt;=1500,INDEX('Daily Sale entry '!$Z$1:$Z$1501,$J1889+1)&amp;"","Cheque deposit 支票存入 (buyer 买家)"))</f>
        <v/>
      </c>
      <c r="D1889">
        <f>IF($J1889="","",IF($J1889&lt;=1500,INDEX('Daily Sale entry '!$AA$1:$AA$1501,$J1889+1)&amp;"",INDEX('Daily Sale entry '!$P$1:$P$1501,$J1889-1499)&amp;""))</f>
        <v/>
      </c>
      <c r="E1889">
        <f>IF($J1889="","",IF($J1889&lt;=1500,IF(N(INDEX('Daily Sale entry '!$AB$1:$AB$1501,$J1889+1))=0,"",INDEX('Daily Sale entry '!$AB$1:$AB$1501,$J1889+1)),1))</f>
        <v/>
      </c>
      <c r="F1889" s="6">
        <f>IF($J1889="","",IF($J1889&lt;=1500,N(INDEX('Daily Sale entry '!$AC$1:$AC$1501,$J1889+1))-IF(AND('Opening Balance'!$B$15=1,INDEX('Daily Sale entry '!$Z$1:$Z$1501,$J1889+1)="Online collection 网上收款",INDEX('Daily Sale entry '!$AA$1:$AA$1501,$J1889+1)&lt;&gt;""),N(INDEX('Daily Sale entry '!$AC$1:$AC$1501,$J1889+1))-TRUNC(N(INDEX('Daily Sale entry '!$AC$1:$AC$1501,$J1889+1))),0),N(INDEX('Daily Sale entry '!$S$1:$S$1501,$J1889-1499))-'Opening Balance'!$B$15*(N(INDEX('Daily Sale entry '!$S$1:$S$1501,$J1889-1499))-TRUNC(N(INDEX('Daily Sale entry '!$S$1:$S$1501,$J1889-1499))))))</f>
        <v/>
      </c>
      <c r="G1889" s="6">
        <f>IF($J1889="","",IF($J1889&lt;=1500,N(INDEX('Daily Sale entry '!$AD$1:$AD$1501,$J1889+1)),0))</f>
        <v/>
      </c>
      <c r="H1889" s="6">
        <f>IF($J1889="","",ROUND('Opening Balance'!$B$4+SUM($F$2:F1889)-SUM($G$2:G1889),2))</f>
        <v/>
      </c>
      <c r="J1889" s="21">
        <f>IFERROR(MATCH(ROW()-1,$L$2:$L$3001,0),"")</f>
        <v/>
      </c>
      <c r="K1889" s="34">
        <f>IF(AND('Daily Sale entry '!Q389="Collection 收款",'Daily Sale entry '!R389="Cheque 支票",'Daily Sale entry '!V389&lt;&gt;""),'Daily Sale entry '!V389+ROW()/10000000,"")</f>
        <v/>
      </c>
      <c r="L1889" s="21">
        <f>IF(K1889="","",COUNTIF($K$2:$K$3001,"&lt;"&amp;K1889)+1)</f>
        <v/>
      </c>
    </row>
    <row r="1890">
      <c r="A1890" s="5">
        <f>IF($J1890="","",IF($J1890&lt;=1500,INDEX('Daily Sale entry '!$X$1:$X$1501,$J1890+1),INDEX('Daily Sale entry '!$V$1:$V$1501,$J1890-1499)))</f>
        <v/>
      </c>
      <c r="B1890">
        <f>IF($J1890="","",IF($J1890&lt;=1500,INDEX('Daily Sale entry '!$Y$1:$Y$1501,$J1890+1)&amp;"","Buyer cheque banked 买家支票存入"&amp;IF(INDEX('Daily Sale entry '!$U$1:$U$1501,$J1890-1499)="","", " - "&amp;INDEX('Daily Sale entry '!$U$1:$U$1501,$J1890-1499))))</f>
        <v/>
      </c>
      <c r="C1890">
        <f>IF($J1890="","",IF($J1890&lt;=1500,INDEX('Daily Sale entry '!$Z$1:$Z$1501,$J1890+1)&amp;"","Cheque deposit 支票存入 (buyer 买家)"))</f>
        <v/>
      </c>
      <c r="D1890">
        <f>IF($J1890="","",IF($J1890&lt;=1500,INDEX('Daily Sale entry '!$AA$1:$AA$1501,$J1890+1)&amp;"",INDEX('Daily Sale entry '!$P$1:$P$1501,$J1890-1499)&amp;""))</f>
        <v/>
      </c>
      <c r="E1890">
        <f>IF($J1890="","",IF($J1890&lt;=1500,IF(N(INDEX('Daily Sale entry '!$AB$1:$AB$1501,$J1890+1))=0,"",INDEX('Daily Sale entry '!$AB$1:$AB$1501,$J1890+1)),1))</f>
        <v/>
      </c>
      <c r="F1890" s="6">
        <f>IF($J1890="","",IF($J1890&lt;=1500,N(INDEX('Daily Sale entry '!$AC$1:$AC$1501,$J1890+1))-IF(AND('Opening Balance'!$B$15=1,INDEX('Daily Sale entry '!$Z$1:$Z$1501,$J1890+1)="Online collection 网上收款",INDEX('Daily Sale entry '!$AA$1:$AA$1501,$J1890+1)&lt;&gt;""),N(INDEX('Daily Sale entry '!$AC$1:$AC$1501,$J1890+1))-TRUNC(N(INDEX('Daily Sale entry '!$AC$1:$AC$1501,$J1890+1))),0),N(INDEX('Daily Sale entry '!$S$1:$S$1501,$J1890-1499))-'Opening Balance'!$B$15*(N(INDEX('Daily Sale entry '!$S$1:$S$1501,$J1890-1499))-TRUNC(N(INDEX('Daily Sale entry '!$S$1:$S$1501,$J1890-1499))))))</f>
        <v/>
      </c>
      <c r="G1890" s="6">
        <f>IF($J1890="","",IF($J1890&lt;=1500,N(INDEX('Daily Sale entry '!$AD$1:$AD$1501,$J1890+1)),0))</f>
        <v/>
      </c>
      <c r="H1890" s="6">
        <f>IF($J1890="","",ROUND('Opening Balance'!$B$4+SUM($F$2:F1890)-SUM($G$2:G1890),2))</f>
        <v/>
      </c>
      <c r="J1890" s="21">
        <f>IFERROR(MATCH(ROW()-1,$L$2:$L$3001,0),"")</f>
        <v/>
      </c>
      <c r="K1890" s="34">
        <f>IF(AND('Daily Sale entry '!Q390="Collection 收款",'Daily Sale entry '!R390="Cheque 支票",'Daily Sale entry '!V390&lt;&gt;""),'Daily Sale entry '!V390+ROW()/10000000,"")</f>
        <v/>
      </c>
      <c r="L1890" s="21">
        <f>IF(K1890="","",COUNTIF($K$2:$K$3001,"&lt;"&amp;K1890)+1)</f>
        <v/>
      </c>
    </row>
    <row r="1891">
      <c r="A1891" s="5">
        <f>IF($J1891="","",IF($J1891&lt;=1500,INDEX('Daily Sale entry '!$X$1:$X$1501,$J1891+1),INDEX('Daily Sale entry '!$V$1:$V$1501,$J1891-1499)))</f>
        <v/>
      </c>
      <c r="B1891">
        <f>IF($J1891="","",IF($J1891&lt;=1500,INDEX('Daily Sale entry '!$Y$1:$Y$1501,$J1891+1)&amp;"","Buyer cheque banked 买家支票存入"&amp;IF(INDEX('Daily Sale entry '!$U$1:$U$1501,$J1891-1499)="","", " - "&amp;INDEX('Daily Sale entry '!$U$1:$U$1501,$J1891-1499))))</f>
        <v/>
      </c>
      <c r="C1891">
        <f>IF($J1891="","",IF($J1891&lt;=1500,INDEX('Daily Sale entry '!$Z$1:$Z$1501,$J1891+1)&amp;"","Cheque deposit 支票存入 (buyer 买家)"))</f>
        <v/>
      </c>
      <c r="D1891">
        <f>IF($J1891="","",IF($J1891&lt;=1500,INDEX('Daily Sale entry '!$AA$1:$AA$1501,$J1891+1)&amp;"",INDEX('Daily Sale entry '!$P$1:$P$1501,$J1891-1499)&amp;""))</f>
        <v/>
      </c>
      <c r="E1891">
        <f>IF($J1891="","",IF($J1891&lt;=1500,IF(N(INDEX('Daily Sale entry '!$AB$1:$AB$1501,$J1891+1))=0,"",INDEX('Daily Sale entry '!$AB$1:$AB$1501,$J1891+1)),1))</f>
        <v/>
      </c>
      <c r="F1891" s="6">
        <f>IF($J1891="","",IF($J1891&lt;=1500,N(INDEX('Daily Sale entry '!$AC$1:$AC$1501,$J1891+1))-IF(AND('Opening Balance'!$B$15=1,INDEX('Daily Sale entry '!$Z$1:$Z$1501,$J1891+1)="Online collection 网上收款",INDEX('Daily Sale entry '!$AA$1:$AA$1501,$J1891+1)&lt;&gt;""),N(INDEX('Daily Sale entry '!$AC$1:$AC$1501,$J1891+1))-TRUNC(N(INDEX('Daily Sale entry '!$AC$1:$AC$1501,$J1891+1))),0),N(INDEX('Daily Sale entry '!$S$1:$S$1501,$J1891-1499))-'Opening Balance'!$B$15*(N(INDEX('Daily Sale entry '!$S$1:$S$1501,$J1891-1499))-TRUNC(N(INDEX('Daily Sale entry '!$S$1:$S$1501,$J1891-1499))))))</f>
        <v/>
      </c>
      <c r="G1891" s="6">
        <f>IF($J1891="","",IF($J1891&lt;=1500,N(INDEX('Daily Sale entry '!$AD$1:$AD$1501,$J1891+1)),0))</f>
        <v/>
      </c>
      <c r="H1891" s="6">
        <f>IF($J1891="","",ROUND('Opening Balance'!$B$4+SUM($F$2:F1891)-SUM($G$2:G1891),2))</f>
        <v/>
      </c>
      <c r="J1891" s="21">
        <f>IFERROR(MATCH(ROW()-1,$L$2:$L$3001,0),"")</f>
        <v/>
      </c>
      <c r="K1891" s="34">
        <f>IF(AND('Daily Sale entry '!Q391="Collection 收款",'Daily Sale entry '!R391="Cheque 支票",'Daily Sale entry '!V391&lt;&gt;""),'Daily Sale entry '!V391+ROW()/10000000,"")</f>
        <v/>
      </c>
      <c r="L1891" s="21">
        <f>IF(K1891="","",COUNTIF($K$2:$K$3001,"&lt;"&amp;K1891)+1)</f>
        <v/>
      </c>
    </row>
    <row r="1892">
      <c r="A1892" s="5">
        <f>IF($J1892="","",IF($J1892&lt;=1500,INDEX('Daily Sale entry '!$X$1:$X$1501,$J1892+1),INDEX('Daily Sale entry '!$V$1:$V$1501,$J1892-1499)))</f>
        <v/>
      </c>
      <c r="B1892">
        <f>IF($J1892="","",IF($J1892&lt;=1500,INDEX('Daily Sale entry '!$Y$1:$Y$1501,$J1892+1)&amp;"","Buyer cheque banked 买家支票存入"&amp;IF(INDEX('Daily Sale entry '!$U$1:$U$1501,$J1892-1499)="","", " - "&amp;INDEX('Daily Sale entry '!$U$1:$U$1501,$J1892-1499))))</f>
        <v/>
      </c>
      <c r="C1892">
        <f>IF($J1892="","",IF($J1892&lt;=1500,INDEX('Daily Sale entry '!$Z$1:$Z$1501,$J1892+1)&amp;"","Cheque deposit 支票存入 (buyer 买家)"))</f>
        <v/>
      </c>
      <c r="D1892">
        <f>IF($J1892="","",IF($J1892&lt;=1500,INDEX('Daily Sale entry '!$AA$1:$AA$1501,$J1892+1)&amp;"",INDEX('Daily Sale entry '!$P$1:$P$1501,$J1892-1499)&amp;""))</f>
        <v/>
      </c>
      <c r="E1892">
        <f>IF($J1892="","",IF($J1892&lt;=1500,IF(N(INDEX('Daily Sale entry '!$AB$1:$AB$1501,$J1892+1))=0,"",INDEX('Daily Sale entry '!$AB$1:$AB$1501,$J1892+1)),1))</f>
        <v/>
      </c>
      <c r="F1892" s="6">
        <f>IF($J1892="","",IF($J1892&lt;=1500,N(INDEX('Daily Sale entry '!$AC$1:$AC$1501,$J1892+1))-IF(AND('Opening Balance'!$B$15=1,INDEX('Daily Sale entry '!$Z$1:$Z$1501,$J1892+1)="Online collection 网上收款",INDEX('Daily Sale entry '!$AA$1:$AA$1501,$J1892+1)&lt;&gt;""),N(INDEX('Daily Sale entry '!$AC$1:$AC$1501,$J1892+1))-TRUNC(N(INDEX('Daily Sale entry '!$AC$1:$AC$1501,$J1892+1))),0),N(INDEX('Daily Sale entry '!$S$1:$S$1501,$J1892-1499))-'Opening Balance'!$B$15*(N(INDEX('Daily Sale entry '!$S$1:$S$1501,$J1892-1499))-TRUNC(N(INDEX('Daily Sale entry '!$S$1:$S$1501,$J1892-1499))))))</f>
        <v/>
      </c>
      <c r="G1892" s="6">
        <f>IF($J1892="","",IF($J1892&lt;=1500,N(INDEX('Daily Sale entry '!$AD$1:$AD$1501,$J1892+1)),0))</f>
        <v/>
      </c>
      <c r="H1892" s="6">
        <f>IF($J1892="","",ROUND('Opening Balance'!$B$4+SUM($F$2:F1892)-SUM($G$2:G1892),2))</f>
        <v/>
      </c>
      <c r="J1892" s="21">
        <f>IFERROR(MATCH(ROW()-1,$L$2:$L$3001,0),"")</f>
        <v/>
      </c>
      <c r="K1892" s="34">
        <f>IF(AND('Daily Sale entry '!Q392="Collection 收款",'Daily Sale entry '!R392="Cheque 支票",'Daily Sale entry '!V392&lt;&gt;""),'Daily Sale entry '!V392+ROW()/10000000,"")</f>
        <v/>
      </c>
      <c r="L1892" s="21">
        <f>IF(K1892="","",COUNTIF($K$2:$K$3001,"&lt;"&amp;K1892)+1)</f>
        <v/>
      </c>
    </row>
    <row r="1893">
      <c r="A1893" s="5">
        <f>IF($J1893="","",IF($J1893&lt;=1500,INDEX('Daily Sale entry '!$X$1:$X$1501,$J1893+1),INDEX('Daily Sale entry '!$V$1:$V$1501,$J1893-1499)))</f>
        <v/>
      </c>
      <c r="B1893">
        <f>IF($J1893="","",IF($J1893&lt;=1500,INDEX('Daily Sale entry '!$Y$1:$Y$1501,$J1893+1)&amp;"","Buyer cheque banked 买家支票存入"&amp;IF(INDEX('Daily Sale entry '!$U$1:$U$1501,$J1893-1499)="","", " - "&amp;INDEX('Daily Sale entry '!$U$1:$U$1501,$J1893-1499))))</f>
        <v/>
      </c>
      <c r="C1893">
        <f>IF($J1893="","",IF($J1893&lt;=1500,INDEX('Daily Sale entry '!$Z$1:$Z$1501,$J1893+1)&amp;"","Cheque deposit 支票存入 (buyer 买家)"))</f>
        <v/>
      </c>
      <c r="D1893">
        <f>IF($J1893="","",IF($J1893&lt;=1500,INDEX('Daily Sale entry '!$AA$1:$AA$1501,$J1893+1)&amp;"",INDEX('Daily Sale entry '!$P$1:$P$1501,$J1893-1499)&amp;""))</f>
        <v/>
      </c>
      <c r="E1893">
        <f>IF($J1893="","",IF($J1893&lt;=1500,IF(N(INDEX('Daily Sale entry '!$AB$1:$AB$1501,$J1893+1))=0,"",INDEX('Daily Sale entry '!$AB$1:$AB$1501,$J1893+1)),1))</f>
        <v/>
      </c>
      <c r="F1893" s="6">
        <f>IF($J1893="","",IF($J1893&lt;=1500,N(INDEX('Daily Sale entry '!$AC$1:$AC$1501,$J1893+1))-IF(AND('Opening Balance'!$B$15=1,INDEX('Daily Sale entry '!$Z$1:$Z$1501,$J1893+1)="Online collection 网上收款",INDEX('Daily Sale entry '!$AA$1:$AA$1501,$J1893+1)&lt;&gt;""),N(INDEX('Daily Sale entry '!$AC$1:$AC$1501,$J1893+1))-TRUNC(N(INDEX('Daily Sale entry '!$AC$1:$AC$1501,$J1893+1))),0),N(INDEX('Daily Sale entry '!$S$1:$S$1501,$J1893-1499))-'Opening Balance'!$B$15*(N(INDEX('Daily Sale entry '!$S$1:$S$1501,$J1893-1499))-TRUNC(N(INDEX('Daily Sale entry '!$S$1:$S$1501,$J1893-1499))))))</f>
        <v/>
      </c>
      <c r="G1893" s="6">
        <f>IF($J1893="","",IF($J1893&lt;=1500,N(INDEX('Daily Sale entry '!$AD$1:$AD$1501,$J1893+1)),0))</f>
        <v/>
      </c>
      <c r="H1893" s="6">
        <f>IF($J1893="","",ROUND('Opening Balance'!$B$4+SUM($F$2:F1893)-SUM($G$2:G1893),2))</f>
        <v/>
      </c>
      <c r="J1893" s="21">
        <f>IFERROR(MATCH(ROW()-1,$L$2:$L$3001,0),"")</f>
        <v/>
      </c>
      <c r="K1893" s="34">
        <f>IF(AND('Daily Sale entry '!Q393="Collection 收款",'Daily Sale entry '!R393="Cheque 支票",'Daily Sale entry '!V393&lt;&gt;""),'Daily Sale entry '!V393+ROW()/10000000,"")</f>
        <v/>
      </c>
      <c r="L1893" s="21">
        <f>IF(K1893="","",COUNTIF($K$2:$K$3001,"&lt;"&amp;K1893)+1)</f>
        <v/>
      </c>
    </row>
    <row r="1894">
      <c r="A1894" s="5">
        <f>IF($J1894="","",IF($J1894&lt;=1500,INDEX('Daily Sale entry '!$X$1:$X$1501,$J1894+1),INDEX('Daily Sale entry '!$V$1:$V$1501,$J1894-1499)))</f>
        <v/>
      </c>
      <c r="B1894">
        <f>IF($J1894="","",IF($J1894&lt;=1500,INDEX('Daily Sale entry '!$Y$1:$Y$1501,$J1894+1)&amp;"","Buyer cheque banked 买家支票存入"&amp;IF(INDEX('Daily Sale entry '!$U$1:$U$1501,$J1894-1499)="","", " - "&amp;INDEX('Daily Sale entry '!$U$1:$U$1501,$J1894-1499))))</f>
        <v/>
      </c>
      <c r="C1894">
        <f>IF($J1894="","",IF($J1894&lt;=1500,INDEX('Daily Sale entry '!$Z$1:$Z$1501,$J1894+1)&amp;"","Cheque deposit 支票存入 (buyer 买家)"))</f>
        <v/>
      </c>
      <c r="D1894">
        <f>IF($J1894="","",IF($J1894&lt;=1500,INDEX('Daily Sale entry '!$AA$1:$AA$1501,$J1894+1)&amp;"",INDEX('Daily Sale entry '!$P$1:$P$1501,$J1894-1499)&amp;""))</f>
        <v/>
      </c>
      <c r="E1894">
        <f>IF($J1894="","",IF($J1894&lt;=1500,IF(N(INDEX('Daily Sale entry '!$AB$1:$AB$1501,$J1894+1))=0,"",INDEX('Daily Sale entry '!$AB$1:$AB$1501,$J1894+1)),1))</f>
        <v/>
      </c>
      <c r="F1894" s="6">
        <f>IF($J1894="","",IF($J1894&lt;=1500,N(INDEX('Daily Sale entry '!$AC$1:$AC$1501,$J1894+1))-IF(AND('Opening Balance'!$B$15=1,INDEX('Daily Sale entry '!$Z$1:$Z$1501,$J1894+1)="Online collection 网上收款",INDEX('Daily Sale entry '!$AA$1:$AA$1501,$J1894+1)&lt;&gt;""),N(INDEX('Daily Sale entry '!$AC$1:$AC$1501,$J1894+1))-TRUNC(N(INDEX('Daily Sale entry '!$AC$1:$AC$1501,$J1894+1))),0),N(INDEX('Daily Sale entry '!$S$1:$S$1501,$J1894-1499))-'Opening Balance'!$B$15*(N(INDEX('Daily Sale entry '!$S$1:$S$1501,$J1894-1499))-TRUNC(N(INDEX('Daily Sale entry '!$S$1:$S$1501,$J1894-1499))))))</f>
        <v/>
      </c>
      <c r="G1894" s="6">
        <f>IF($J1894="","",IF($J1894&lt;=1500,N(INDEX('Daily Sale entry '!$AD$1:$AD$1501,$J1894+1)),0))</f>
        <v/>
      </c>
      <c r="H1894" s="6">
        <f>IF($J1894="","",ROUND('Opening Balance'!$B$4+SUM($F$2:F1894)-SUM($G$2:G1894),2))</f>
        <v/>
      </c>
      <c r="J1894" s="21">
        <f>IFERROR(MATCH(ROW()-1,$L$2:$L$3001,0),"")</f>
        <v/>
      </c>
      <c r="K1894" s="34">
        <f>IF(AND('Daily Sale entry '!Q394="Collection 收款",'Daily Sale entry '!R394="Cheque 支票",'Daily Sale entry '!V394&lt;&gt;""),'Daily Sale entry '!V394+ROW()/10000000,"")</f>
        <v/>
      </c>
      <c r="L1894" s="21">
        <f>IF(K1894="","",COUNTIF($K$2:$K$3001,"&lt;"&amp;K1894)+1)</f>
        <v/>
      </c>
    </row>
    <row r="1895">
      <c r="A1895" s="5">
        <f>IF($J1895="","",IF($J1895&lt;=1500,INDEX('Daily Sale entry '!$X$1:$X$1501,$J1895+1),INDEX('Daily Sale entry '!$V$1:$V$1501,$J1895-1499)))</f>
        <v/>
      </c>
      <c r="B1895">
        <f>IF($J1895="","",IF($J1895&lt;=1500,INDEX('Daily Sale entry '!$Y$1:$Y$1501,$J1895+1)&amp;"","Buyer cheque banked 买家支票存入"&amp;IF(INDEX('Daily Sale entry '!$U$1:$U$1501,$J1895-1499)="","", " - "&amp;INDEX('Daily Sale entry '!$U$1:$U$1501,$J1895-1499))))</f>
        <v/>
      </c>
      <c r="C1895">
        <f>IF($J1895="","",IF($J1895&lt;=1500,INDEX('Daily Sale entry '!$Z$1:$Z$1501,$J1895+1)&amp;"","Cheque deposit 支票存入 (buyer 买家)"))</f>
        <v/>
      </c>
      <c r="D1895">
        <f>IF($J1895="","",IF($J1895&lt;=1500,INDEX('Daily Sale entry '!$AA$1:$AA$1501,$J1895+1)&amp;"",INDEX('Daily Sale entry '!$P$1:$P$1501,$J1895-1499)&amp;""))</f>
        <v/>
      </c>
      <c r="E1895">
        <f>IF($J1895="","",IF($J1895&lt;=1500,IF(N(INDEX('Daily Sale entry '!$AB$1:$AB$1501,$J1895+1))=0,"",INDEX('Daily Sale entry '!$AB$1:$AB$1501,$J1895+1)),1))</f>
        <v/>
      </c>
      <c r="F1895" s="6">
        <f>IF($J1895="","",IF($J1895&lt;=1500,N(INDEX('Daily Sale entry '!$AC$1:$AC$1501,$J1895+1))-IF(AND('Opening Balance'!$B$15=1,INDEX('Daily Sale entry '!$Z$1:$Z$1501,$J1895+1)="Online collection 网上收款",INDEX('Daily Sale entry '!$AA$1:$AA$1501,$J1895+1)&lt;&gt;""),N(INDEX('Daily Sale entry '!$AC$1:$AC$1501,$J1895+1))-TRUNC(N(INDEX('Daily Sale entry '!$AC$1:$AC$1501,$J1895+1))),0),N(INDEX('Daily Sale entry '!$S$1:$S$1501,$J1895-1499))-'Opening Balance'!$B$15*(N(INDEX('Daily Sale entry '!$S$1:$S$1501,$J1895-1499))-TRUNC(N(INDEX('Daily Sale entry '!$S$1:$S$1501,$J1895-1499))))))</f>
        <v/>
      </c>
      <c r="G1895" s="6">
        <f>IF($J1895="","",IF($J1895&lt;=1500,N(INDEX('Daily Sale entry '!$AD$1:$AD$1501,$J1895+1)),0))</f>
        <v/>
      </c>
      <c r="H1895" s="6">
        <f>IF($J1895="","",ROUND('Opening Balance'!$B$4+SUM($F$2:F1895)-SUM($G$2:G1895),2))</f>
        <v/>
      </c>
      <c r="J1895" s="21">
        <f>IFERROR(MATCH(ROW()-1,$L$2:$L$3001,0),"")</f>
        <v/>
      </c>
      <c r="K1895" s="34">
        <f>IF(AND('Daily Sale entry '!Q395="Collection 收款",'Daily Sale entry '!R395="Cheque 支票",'Daily Sale entry '!V395&lt;&gt;""),'Daily Sale entry '!V395+ROW()/10000000,"")</f>
        <v/>
      </c>
      <c r="L1895" s="21">
        <f>IF(K1895="","",COUNTIF($K$2:$K$3001,"&lt;"&amp;K1895)+1)</f>
        <v/>
      </c>
    </row>
    <row r="1896">
      <c r="A1896" s="5">
        <f>IF($J1896="","",IF($J1896&lt;=1500,INDEX('Daily Sale entry '!$X$1:$X$1501,$J1896+1),INDEX('Daily Sale entry '!$V$1:$V$1501,$J1896-1499)))</f>
        <v/>
      </c>
      <c r="B1896">
        <f>IF($J1896="","",IF($J1896&lt;=1500,INDEX('Daily Sale entry '!$Y$1:$Y$1501,$J1896+1)&amp;"","Buyer cheque banked 买家支票存入"&amp;IF(INDEX('Daily Sale entry '!$U$1:$U$1501,$J1896-1499)="","", " - "&amp;INDEX('Daily Sale entry '!$U$1:$U$1501,$J1896-1499))))</f>
        <v/>
      </c>
      <c r="C1896">
        <f>IF($J1896="","",IF($J1896&lt;=1500,INDEX('Daily Sale entry '!$Z$1:$Z$1501,$J1896+1)&amp;"","Cheque deposit 支票存入 (buyer 买家)"))</f>
        <v/>
      </c>
      <c r="D1896">
        <f>IF($J1896="","",IF($J1896&lt;=1500,INDEX('Daily Sale entry '!$AA$1:$AA$1501,$J1896+1)&amp;"",INDEX('Daily Sale entry '!$P$1:$P$1501,$J1896-1499)&amp;""))</f>
        <v/>
      </c>
      <c r="E1896">
        <f>IF($J1896="","",IF($J1896&lt;=1500,IF(N(INDEX('Daily Sale entry '!$AB$1:$AB$1501,$J1896+1))=0,"",INDEX('Daily Sale entry '!$AB$1:$AB$1501,$J1896+1)),1))</f>
        <v/>
      </c>
      <c r="F1896" s="6">
        <f>IF($J1896="","",IF($J1896&lt;=1500,N(INDEX('Daily Sale entry '!$AC$1:$AC$1501,$J1896+1))-IF(AND('Opening Balance'!$B$15=1,INDEX('Daily Sale entry '!$Z$1:$Z$1501,$J1896+1)="Online collection 网上收款",INDEX('Daily Sale entry '!$AA$1:$AA$1501,$J1896+1)&lt;&gt;""),N(INDEX('Daily Sale entry '!$AC$1:$AC$1501,$J1896+1))-TRUNC(N(INDEX('Daily Sale entry '!$AC$1:$AC$1501,$J1896+1))),0),N(INDEX('Daily Sale entry '!$S$1:$S$1501,$J1896-1499))-'Opening Balance'!$B$15*(N(INDEX('Daily Sale entry '!$S$1:$S$1501,$J1896-1499))-TRUNC(N(INDEX('Daily Sale entry '!$S$1:$S$1501,$J1896-1499))))))</f>
        <v/>
      </c>
      <c r="G1896" s="6">
        <f>IF($J1896="","",IF($J1896&lt;=1500,N(INDEX('Daily Sale entry '!$AD$1:$AD$1501,$J1896+1)),0))</f>
        <v/>
      </c>
      <c r="H1896" s="6">
        <f>IF($J1896="","",ROUND('Opening Balance'!$B$4+SUM($F$2:F1896)-SUM($G$2:G1896),2))</f>
        <v/>
      </c>
      <c r="J1896" s="21">
        <f>IFERROR(MATCH(ROW()-1,$L$2:$L$3001,0),"")</f>
        <v/>
      </c>
      <c r="K1896" s="34">
        <f>IF(AND('Daily Sale entry '!Q396="Collection 收款",'Daily Sale entry '!R396="Cheque 支票",'Daily Sale entry '!V396&lt;&gt;""),'Daily Sale entry '!V396+ROW()/10000000,"")</f>
        <v/>
      </c>
      <c r="L1896" s="21">
        <f>IF(K1896="","",COUNTIF($K$2:$K$3001,"&lt;"&amp;K1896)+1)</f>
        <v/>
      </c>
    </row>
    <row r="1897">
      <c r="A1897" s="5">
        <f>IF($J1897="","",IF($J1897&lt;=1500,INDEX('Daily Sale entry '!$X$1:$X$1501,$J1897+1),INDEX('Daily Sale entry '!$V$1:$V$1501,$J1897-1499)))</f>
        <v/>
      </c>
      <c r="B1897">
        <f>IF($J1897="","",IF($J1897&lt;=1500,INDEX('Daily Sale entry '!$Y$1:$Y$1501,$J1897+1)&amp;"","Buyer cheque banked 买家支票存入"&amp;IF(INDEX('Daily Sale entry '!$U$1:$U$1501,$J1897-1499)="","", " - "&amp;INDEX('Daily Sale entry '!$U$1:$U$1501,$J1897-1499))))</f>
        <v/>
      </c>
      <c r="C1897">
        <f>IF($J1897="","",IF($J1897&lt;=1500,INDEX('Daily Sale entry '!$Z$1:$Z$1501,$J1897+1)&amp;"","Cheque deposit 支票存入 (buyer 买家)"))</f>
        <v/>
      </c>
      <c r="D1897">
        <f>IF($J1897="","",IF($J1897&lt;=1500,INDEX('Daily Sale entry '!$AA$1:$AA$1501,$J1897+1)&amp;"",INDEX('Daily Sale entry '!$P$1:$P$1501,$J1897-1499)&amp;""))</f>
        <v/>
      </c>
      <c r="E1897">
        <f>IF($J1897="","",IF($J1897&lt;=1500,IF(N(INDEX('Daily Sale entry '!$AB$1:$AB$1501,$J1897+1))=0,"",INDEX('Daily Sale entry '!$AB$1:$AB$1501,$J1897+1)),1))</f>
        <v/>
      </c>
      <c r="F1897" s="6">
        <f>IF($J1897="","",IF($J1897&lt;=1500,N(INDEX('Daily Sale entry '!$AC$1:$AC$1501,$J1897+1))-IF(AND('Opening Balance'!$B$15=1,INDEX('Daily Sale entry '!$Z$1:$Z$1501,$J1897+1)="Online collection 网上收款",INDEX('Daily Sale entry '!$AA$1:$AA$1501,$J1897+1)&lt;&gt;""),N(INDEX('Daily Sale entry '!$AC$1:$AC$1501,$J1897+1))-TRUNC(N(INDEX('Daily Sale entry '!$AC$1:$AC$1501,$J1897+1))),0),N(INDEX('Daily Sale entry '!$S$1:$S$1501,$J1897-1499))-'Opening Balance'!$B$15*(N(INDEX('Daily Sale entry '!$S$1:$S$1501,$J1897-1499))-TRUNC(N(INDEX('Daily Sale entry '!$S$1:$S$1501,$J1897-1499))))))</f>
        <v/>
      </c>
      <c r="G1897" s="6">
        <f>IF($J1897="","",IF($J1897&lt;=1500,N(INDEX('Daily Sale entry '!$AD$1:$AD$1501,$J1897+1)),0))</f>
        <v/>
      </c>
      <c r="H1897" s="6">
        <f>IF($J1897="","",ROUND('Opening Balance'!$B$4+SUM($F$2:F1897)-SUM($G$2:G1897),2))</f>
        <v/>
      </c>
      <c r="J1897" s="21">
        <f>IFERROR(MATCH(ROW()-1,$L$2:$L$3001,0),"")</f>
        <v/>
      </c>
      <c r="K1897" s="34">
        <f>IF(AND('Daily Sale entry '!Q397="Collection 收款",'Daily Sale entry '!R397="Cheque 支票",'Daily Sale entry '!V397&lt;&gt;""),'Daily Sale entry '!V397+ROW()/10000000,"")</f>
        <v/>
      </c>
      <c r="L1897" s="21">
        <f>IF(K1897="","",COUNTIF($K$2:$K$3001,"&lt;"&amp;K1897)+1)</f>
        <v/>
      </c>
    </row>
    <row r="1898">
      <c r="A1898" s="5">
        <f>IF($J1898="","",IF($J1898&lt;=1500,INDEX('Daily Sale entry '!$X$1:$X$1501,$J1898+1),INDEX('Daily Sale entry '!$V$1:$V$1501,$J1898-1499)))</f>
        <v/>
      </c>
      <c r="B1898">
        <f>IF($J1898="","",IF($J1898&lt;=1500,INDEX('Daily Sale entry '!$Y$1:$Y$1501,$J1898+1)&amp;"","Buyer cheque banked 买家支票存入"&amp;IF(INDEX('Daily Sale entry '!$U$1:$U$1501,$J1898-1499)="","", " - "&amp;INDEX('Daily Sale entry '!$U$1:$U$1501,$J1898-1499))))</f>
        <v/>
      </c>
      <c r="C1898">
        <f>IF($J1898="","",IF($J1898&lt;=1500,INDEX('Daily Sale entry '!$Z$1:$Z$1501,$J1898+1)&amp;"","Cheque deposit 支票存入 (buyer 买家)"))</f>
        <v/>
      </c>
      <c r="D1898">
        <f>IF($J1898="","",IF($J1898&lt;=1500,INDEX('Daily Sale entry '!$AA$1:$AA$1501,$J1898+1)&amp;"",INDEX('Daily Sale entry '!$P$1:$P$1501,$J1898-1499)&amp;""))</f>
        <v/>
      </c>
      <c r="E1898">
        <f>IF($J1898="","",IF($J1898&lt;=1500,IF(N(INDEX('Daily Sale entry '!$AB$1:$AB$1501,$J1898+1))=0,"",INDEX('Daily Sale entry '!$AB$1:$AB$1501,$J1898+1)),1))</f>
        <v/>
      </c>
      <c r="F1898" s="6">
        <f>IF($J1898="","",IF($J1898&lt;=1500,N(INDEX('Daily Sale entry '!$AC$1:$AC$1501,$J1898+1))-IF(AND('Opening Balance'!$B$15=1,INDEX('Daily Sale entry '!$Z$1:$Z$1501,$J1898+1)="Online collection 网上收款",INDEX('Daily Sale entry '!$AA$1:$AA$1501,$J1898+1)&lt;&gt;""),N(INDEX('Daily Sale entry '!$AC$1:$AC$1501,$J1898+1))-TRUNC(N(INDEX('Daily Sale entry '!$AC$1:$AC$1501,$J1898+1))),0),N(INDEX('Daily Sale entry '!$S$1:$S$1501,$J1898-1499))-'Opening Balance'!$B$15*(N(INDEX('Daily Sale entry '!$S$1:$S$1501,$J1898-1499))-TRUNC(N(INDEX('Daily Sale entry '!$S$1:$S$1501,$J1898-1499))))))</f>
        <v/>
      </c>
      <c r="G1898" s="6">
        <f>IF($J1898="","",IF($J1898&lt;=1500,N(INDEX('Daily Sale entry '!$AD$1:$AD$1501,$J1898+1)),0))</f>
        <v/>
      </c>
      <c r="H1898" s="6">
        <f>IF($J1898="","",ROUND('Opening Balance'!$B$4+SUM($F$2:F1898)-SUM($G$2:G1898),2))</f>
        <v/>
      </c>
      <c r="J1898" s="21">
        <f>IFERROR(MATCH(ROW()-1,$L$2:$L$3001,0),"")</f>
        <v/>
      </c>
      <c r="K1898" s="34">
        <f>IF(AND('Daily Sale entry '!Q398="Collection 收款",'Daily Sale entry '!R398="Cheque 支票",'Daily Sale entry '!V398&lt;&gt;""),'Daily Sale entry '!V398+ROW()/10000000,"")</f>
        <v/>
      </c>
      <c r="L1898" s="21">
        <f>IF(K1898="","",COUNTIF($K$2:$K$3001,"&lt;"&amp;K1898)+1)</f>
        <v/>
      </c>
    </row>
    <row r="1899">
      <c r="A1899" s="5">
        <f>IF($J1899="","",IF($J1899&lt;=1500,INDEX('Daily Sale entry '!$X$1:$X$1501,$J1899+1),INDEX('Daily Sale entry '!$V$1:$V$1501,$J1899-1499)))</f>
        <v/>
      </c>
      <c r="B1899">
        <f>IF($J1899="","",IF($J1899&lt;=1500,INDEX('Daily Sale entry '!$Y$1:$Y$1501,$J1899+1)&amp;"","Buyer cheque banked 买家支票存入"&amp;IF(INDEX('Daily Sale entry '!$U$1:$U$1501,$J1899-1499)="","", " - "&amp;INDEX('Daily Sale entry '!$U$1:$U$1501,$J1899-1499))))</f>
        <v/>
      </c>
      <c r="C1899">
        <f>IF($J1899="","",IF($J1899&lt;=1500,INDEX('Daily Sale entry '!$Z$1:$Z$1501,$J1899+1)&amp;"","Cheque deposit 支票存入 (buyer 买家)"))</f>
        <v/>
      </c>
      <c r="D1899">
        <f>IF($J1899="","",IF($J1899&lt;=1500,INDEX('Daily Sale entry '!$AA$1:$AA$1501,$J1899+1)&amp;"",INDEX('Daily Sale entry '!$P$1:$P$1501,$J1899-1499)&amp;""))</f>
        <v/>
      </c>
      <c r="E1899">
        <f>IF($J1899="","",IF($J1899&lt;=1500,IF(N(INDEX('Daily Sale entry '!$AB$1:$AB$1501,$J1899+1))=0,"",INDEX('Daily Sale entry '!$AB$1:$AB$1501,$J1899+1)),1))</f>
        <v/>
      </c>
      <c r="F1899" s="6">
        <f>IF($J1899="","",IF($J1899&lt;=1500,N(INDEX('Daily Sale entry '!$AC$1:$AC$1501,$J1899+1))-IF(AND('Opening Balance'!$B$15=1,INDEX('Daily Sale entry '!$Z$1:$Z$1501,$J1899+1)="Online collection 网上收款",INDEX('Daily Sale entry '!$AA$1:$AA$1501,$J1899+1)&lt;&gt;""),N(INDEX('Daily Sale entry '!$AC$1:$AC$1501,$J1899+1))-TRUNC(N(INDEX('Daily Sale entry '!$AC$1:$AC$1501,$J1899+1))),0),N(INDEX('Daily Sale entry '!$S$1:$S$1501,$J1899-1499))-'Opening Balance'!$B$15*(N(INDEX('Daily Sale entry '!$S$1:$S$1501,$J1899-1499))-TRUNC(N(INDEX('Daily Sale entry '!$S$1:$S$1501,$J1899-1499))))))</f>
        <v/>
      </c>
      <c r="G1899" s="6">
        <f>IF($J1899="","",IF($J1899&lt;=1500,N(INDEX('Daily Sale entry '!$AD$1:$AD$1501,$J1899+1)),0))</f>
        <v/>
      </c>
      <c r="H1899" s="6">
        <f>IF($J1899="","",ROUND('Opening Balance'!$B$4+SUM($F$2:F1899)-SUM($G$2:G1899),2))</f>
        <v/>
      </c>
      <c r="J1899" s="21">
        <f>IFERROR(MATCH(ROW()-1,$L$2:$L$3001,0),"")</f>
        <v/>
      </c>
      <c r="K1899" s="34">
        <f>IF(AND('Daily Sale entry '!Q399="Collection 收款",'Daily Sale entry '!R399="Cheque 支票",'Daily Sale entry '!V399&lt;&gt;""),'Daily Sale entry '!V399+ROW()/10000000,"")</f>
        <v/>
      </c>
      <c r="L1899" s="21">
        <f>IF(K1899="","",COUNTIF($K$2:$K$3001,"&lt;"&amp;K1899)+1)</f>
        <v/>
      </c>
    </row>
    <row r="1900">
      <c r="A1900" s="5">
        <f>IF($J1900="","",IF($J1900&lt;=1500,INDEX('Daily Sale entry '!$X$1:$X$1501,$J1900+1),INDEX('Daily Sale entry '!$V$1:$V$1501,$J1900-1499)))</f>
        <v/>
      </c>
      <c r="B1900">
        <f>IF($J1900="","",IF($J1900&lt;=1500,INDEX('Daily Sale entry '!$Y$1:$Y$1501,$J1900+1)&amp;"","Buyer cheque banked 买家支票存入"&amp;IF(INDEX('Daily Sale entry '!$U$1:$U$1501,$J1900-1499)="","", " - "&amp;INDEX('Daily Sale entry '!$U$1:$U$1501,$J1900-1499))))</f>
        <v/>
      </c>
      <c r="C1900">
        <f>IF($J1900="","",IF($J1900&lt;=1500,INDEX('Daily Sale entry '!$Z$1:$Z$1501,$J1900+1)&amp;"","Cheque deposit 支票存入 (buyer 买家)"))</f>
        <v/>
      </c>
      <c r="D1900">
        <f>IF($J1900="","",IF($J1900&lt;=1500,INDEX('Daily Sale entry '!$AA$1:$AA$1501,$J1900+1)&amp;"",INDEX('Daily Sale entry '!$P$1:$P$1501,$J1900-1499)&amp;""))</f>
        <v/>
      </c>
      <c r="E1900">
        <f>IF($J1900="","",IF($J1900&lt;=1500,IF(N(INDEX('Daily Sale entry '!$AB$1:$AB$1501,$J1900+1))=0,"",INDEX('Daily Sale entry '!$AB$1:$AB$1501,$J1900+1)),1))</f>
        <v/>
      </c>
      <c r="F1900" s="6">
        <f>IF($J1900="","",IF($J1900&lt;=1500,N(INDEX('Daily Sale entry '!$AC$1:$AC$1501,$J1900+1))-IF(AND('Opening Balance'!$B$15=1,INDEX('Daily Sale entry '!$Z$1:$Z$1501,$J1900+1)="Online collection 网上收款",INDEX('Daily Sale entry '!$AA$1:$AA$1501,$J1900+1)&lt;&gt;""),N(INDEX('Daily Sale entry '!$AC$1:$AC$1501,$J1900+1))-TRUNC(N(INDEX('Daily Sale entry '!$AC$1:$AC$1501,$J1900+1))),0),N(INDEX('Daily Sale entry '!$S$1:$S$1501,$J1900-1499))-'Opening Balance'!$B$15*(N(INDEX('Daily Sale entry '!$S$1:$S$1501,$J1900-1499))-TRUNC(N(INDEX('Daily Sale entry '!$S$1:$S$1501,$J1900-1499))))))</f>
        <v/>
      </c>
      <c r="G1900" s="6">
        <f>IF($J1900="","",IF($J1900&lt;=1500,N(INDEX('Daily Sale entry '!$AD$1:$AD$1501,$J1900+1)),0))</f>
        <v/>
      </c>
      <c r="H1900" s="6">
        <f>IF($J1900="","",ROUND('Opening Balance'!$B$4+SUM($F$2:F1900)-SUM($G$2:G1900),2))</f>
        <v/>
      </c>
      <c r="J1900" s="21">
        <f>IFERROR(MATCH(ROW()-1,$L$2:$L$3001,0),"")</f>
        <v/>
      </c>
      <c r="K1900" s="34">
        <f>IF(AND('Daily Sale entry '!Q400="Collection 收款",'Daily Sale entry '!R400="Cheque 支票",'Daily Sale entry '!V400&lt;&gt;""),'Daily Sale entry '!V400+ROW()/10000000,"")</f>
        <v/>
      </c>
      <c r="L1900" s="21">
        <f>IF(K1900="","",COUNTIF($K$2:$K$3001,"&lt;"&amp;K1900)+1)</f>
        <v/>
      </c>
    </row>
    <row r="1901">
      <c r="A1901" s="5">
        <f>IF($J1901="","",IF($J1901&lt;=1500,INDEX('Daily Sale entry '!$X$1:$X$1501,$J1901+1),INDEX('Daily Sale entry '!$V$1:$V$1501,$J1901-1499)))</f>
        <v/>
      </c>
      <c r="B1901">
        <f>IF($J1901="","",IF($J1901&lt;=1500,INDEX('Daily Sale entry '!$Y$1:$Y$1501,$J1901+1)&amp;"","Buyer cheque banked 买家支票存入"&amp;IF(INDEX('Daily Sale entry '!$U$1:$U$1501,$J1901-1499)="","", " - "&amp;INDEX('Daily Sale entry '!$U$1:$U$1501,$J1901-1499))))</f>
        <v/>
      </c>
      <c r="C1901">
        <f>IF($J1901="","",IF($J1901&lt;=1500,INDEX('Daily Sale entry '!$Z$1:$Z$1501,$J1901+1)&amp;"","Cheque deposit 支票存入 (buyer 买家)"))</f>
        <v/>
      </c>
      <c r="D1901">
        <f>IF($J1901="","",IF($J1901&lt;=1500,INDEX('Daily Sale entry '!$AA$1:$AA$1501,$J1901+1)&amp;"",INDEX('Daily Sale entry '!$P$1:$P$1501,$J1901-1499)&amp;""))</f>
        <v/>
      </c>
      <c r="E1901">
        <f>IF($J1901="","",IF($J1901&lt;=1500,IF(N(INDEX('Daily Sale entry '!$AB$1:$AB$1501,$J1901+1))=0,"",INDEX('Daily Sale entry '!$AB$1:$AB$1501,$J1901+1)),1))</f>
        <v/>
      </c>
      <c r="F1901" s="6">
        <f>IF($J1901="","",IF($J1901&lt;=1500,N(INDEX('Daily Sale entry '!$AC$1:$AC$1501,$J1901+1))-IF(AND('Opening Balance'!$B$15=1,INDEX('Daily Sale entry '!$Z$1:$Z$1501,$J1901+1)="Online collection 网上收款",INDEX('Daily Sale entry '!$AA$1:$AA$1501,$J1901+1)&lt;&gt;""),N(INDEX('Daily Sale entry '!$AC$1:$AC$1501,$J1901+1))-TRUNC(N(INDEX('Daily Sale entry '!$AC$1:$AC$1501,$J1901+1))),0),N(INDEX('Daily Sale entry '!$S$1:$S$1501,$J1901-1499))-'Opening Balance'!$B$15*(N(INDEX('Daily Sale entry '!$S$1:$S$1501,$J1901-1499))-TRUNC(N(INDEX('Daily Sale entry '!$S$1:$S$1501,$J1901-1499))))))</f>
        <v/>
      </c>
      <c r="G1901" s="6">
        <f>IF($J1901="","",IF($J1901&lt;=1500,N(INDEX('Daily Sale entry '!$AD$1:$AD$1501,$J1901+1)),0))</f>
        <v/>
      </c>
      <c r="H1901" s="6">
        <f>IF($J1901="","",ROUND('Opening Balance'!$B$4+SUM($F$2:F1901)-SUM($G$2:G1901),2))</f>
        <v/>
      </c>
      <c r="J1901" s="21">
        <f>IFERROR(MATCH(ROW()-1,$L$2:$L$3001,0),"")</f>
        <v/>
      </c>
      <c r="K1901" s="34">
        <f>IF(AND('Daily Sale entry '!Q401="Collection 收款",'Daily Sale entry '!R401="Cheque 支票",'Daily Sale entry '!V401&lt;&gt;""),'Daily Sale entry '!V401+ROW()/10000000,"")</f>
        <v/>
      </c>
      <c r="L1901" s="21">
        <f>IF(K1901="","",COUNTIF($K$2:$K$3001,"&lt;"&amp;K1901)+1)</f>
        <v/>
      </c>
    </row>
    <row r="1902">
      <c r="A1902" s="5">
        <f>IF($J1902="","",IF($J1902&lt;=1500,INDEX('Daily Sale entry '!$X$1:$X$1501,$J1902+1),INDEX('Daily Sale entry '!$V$1:$V$1501,$J1902-1499)))</f>
        <v/>
      </c>
      <c r="B1902">
        <f>IF($J1902="","",IF($J1902&lt;=1500,INDEX('Daily Sale entry '!$Y$1:$Y$1501,$J1902+1)&amp;"","Buyer cheque banked 买家支票存入"&amp;IF(INDEX('Daily Sale entry '!$U$1:$U$1501,$J1902-1499)="","", " - "&amp;INDEX('Daily Sale entry '!$U$1:$U$1501,$J1902-1499))))</f>
        <v/>
      </c>
      <c r="C1902">
        <f>IF($J1902="","",IF($J1902&lt;=1500,INDEX('Daily Sale entry '!$Z$1:$Z$1501,$J1902+1)&amp;"","Cheque deposit 支票存入 (buyer 买家)"))</f>
        <v/>
      </c>
      <c r="D1902">
        <f>IF($J1902="","",IF($J1902&lt;=1500,INDEX('Daily Sale entry '!$AA$1:$AA$1501,$J1902+1)&amp;"",INDEX('Daily Sale entry '!$P$1:$P$1501,$J1902-1499)&amp;""))</f>
        <v/>
      </c>
      <c r="E1902">
        <f>IF($J1902="","",IF($J1902&lt;=1500,IF(N(INDEX('Daily Sale entry '!$AB$1:$AB$1501,$J1902+1))=0,"",INDEX('Daily Sale entry '!$AB$1:$AB$1501,$J1902+1)),1))</f>
        <v/>
      </c>
      <c r="F1902" s="6">
        <f>IF($J1902="","",IF($J1902&lt;=1500,N(INDEX('Daily Sale entry '!$AC$1:$AC$1501,$J1902+1))-IF(AND('Opening Balance'!$B$15=1,INDEX('Daily Sale entry '!$Z$1:$Z$1501,$J1902+1)="Online collection 网上收款",INDEX('Daily Sale entry '!$AA$1:$AA$1501,$J1902+1)&lt;&gt;""),N(INDEX('Daily Sale entry '!$AC$1:$AC$1501,$J1902+1))-TRUNC(N(INDEX('Daily Sale entry '!$AC$1:$AC$1501,$J1902+1))),0),N(INDEX('Daily Sale entry '!$S$1:$S$1501,$J1902-1499))-'Opening Balance'!$B$15*(N(INDEX('Daily Sale entry '!$S$1:$S$1501,$J1902-1499))-TRUNC(N(INDEX('Daily Sale entry '!$S$1:$S$1501,$J1902-1499))))))</f>
        <v/>
      </c>
      <c r="G1902" s="6">
        <f>IF($J1902="","",IF($J1902&lt;=1500,N(INDEX('Daily Sale entry '!$AD$1:$AD$1501,$J1902+1)),0))</f>
        <v/>
      </c>
      <c r="H1902" s="6">
        <f>IF($J1902="","",ROUND('Opening Balance'!$B$4+SUM($F$2:F1902)-SUM($G$2:G1902),2))</f>
        <v/>
      </c>
      <c r="J1902" s="21">
        <f>IFERROR(MATCH(ROW()-1,$L$2:$L$3001,0),"")</f>
        <v/>
      </c>
      <c r="K1902" s="34">
        <f>IF(AND('Daily Sale entry '!Q402="Collection 收款",'Daily Sale entry '!R402="Cheque 支票",'Daily Sale entry '!V402&lt;&gt;""),'Daily Sale entry '!V402+ROW()/10000000,"")</f>
        <v/>
      </c>
      <c r="L1902" s="21">
        <f>IF(K1902="","",COUNTIF($K$2:$K$3001,"&lt;"&amp;K1902)+1)</f>
        <v/>
      </c>
    </row>
    <row r="1903">
      <c r="A1903" s="5">
        <f>IF($J1903="","",IF($J1903&lt;=1500,INDEX('Daily Sale entry '!$X$1:$X$1501,$J1903+1),INDEX('Daily Sale entry '!$V$1:$V$1501,$J1903-1499)))</f>
        <v/>
      </c>
      <c r="B1903">
        <f>IF($J1903="","",IF($J1903&lt;=1500,INDEX('Daily Sale entry '!$Y$1:$Y$1501,$J1903+1)&amp;"","Buyer cheque banked 买家支票存入"&amp;IF(INDEX('Daily Sale entry '!$U$1:$U$1501,$J1903-1499)="","", " - "&amp;INDEX('Daily Sale entry '!$U$1:$U$1501,$J1903-1499))))</f>
        <v/>
      </c>
      <c r="C1903">
        <f>IF($J1903="","",IF($J1903&lt;=1500,INDEX('Daily Sale entry '!$Z$1:$Z$1501,$J1903+1)&amp;"","Cheque deposit 支票存入 (buyer 买家)"))</f>
        <v/>
      </c>
      <c r="D1903">
        <f>IF($J1903="","",IF($J1903&lt;=1500,INDEX('Daily Sale entry '!$AA$1:$AA$1501,$J1903+1)&amp;"",INDEX('Daily Sale entry '!$P$1:$P$1501,$J1903-1499)&amp;""))</f>
        <v/>
      </c>
      <c r="E1903">
        <f>IF($J1903="","",IF($J1903&lt;=1500,IF(N(INDEX('Daily Sale entry '!$AB$1:$AB$1501,$J1903+1))=0,"",INDEX('Daily Sale entry '!$AB$1:$AB$1501,$J1903+1)),1))</f>
        <v/>
      </c>
      <c r="F1903" s="6">
        <f>IF($J1903="","",IF($J1903&lt;=1500,N(INDEX('Daily Sale entry '!$AC$1:$AC$1501,$J1903+1))-IF(AND('Opening Balance'!$B$15=1,INDEX('Daily Sale entry '!$Z$1:$Z$1501,$J1903+1)="Online collection 网上收款",INDEX('Daily Sale entry '!$AA$1:$AA$1501,$J1903+1)&lt;&gt;""),N(INDEX('Daily Sale entry '!$AC$1:$AC$1501,$J1903+1))-TRUNC(N(INDEX('Daily Sale entry '!$AC$1:$AC$1501,$J1903+1))),0),N(INDEX('Daily Sale entry '!$S$1:$S$1501,$J1903-1499))-'Opening Balance'!$B$15*(N(INDEX('Daily Sale entry '!$S$1:$S$1501,$J1903-1499))-TRUNC(N(INDEX('Daily Sale entry '!$S$1:$S$1501,$J1903-1499))))))</f>
        <v/>
      </c>
      <c r="G1903" s="6">
        <f>IF($J1903="","",IF($J1903&lt;=1500,N(INDEX('Daily Sale entry '!$AD$1:$AD$1501,$J1903+1)),0))</f>
        <v/>
      </c>
      <c r="H1903" s="6">
        <f>IF($J1903="","",ROUND('Opening Balance'!$B$4+SUM($F$2:F1903)-SUM($G$2:G1903),2))</f>
        <v/>
      </c>
      <c r="J1903" s="21">
        <f>IFERROR(MATCH(ROW()-1,$L$2:$L$3001,0),"")</f>
        <v/>
      </c>
      <c r="K1903" s="34">
        <f>IF(AND('Daily Sale entry '!Q403="Collection 收款",'Daily Sale entry '!R403="Cheque 支票",'Daily Sale entry '!V403&lt;&gt;""),'Daily Sale entry '!V403+ROW()/10000000,"")</f>
        <v/>
      </c>
      <c r="L1903" s="21">
        <f>IF(K1903="","",COUNTIF($K$2:$K$3001,"&lt;"&amp;K1903)+1)</f>
        <v/>
      </c>
    </row>
    <row r="1904">
      <c r="A1904" s="5">
        <f>IF($J1904="","",IF($J1904&lt;=1500,INDEX('Daily Sale entry '!$X$1:$X$1501,$J1904+1),INDEX('Daily Sale entry '!$V$1:$V$1501,$J1904-1499)))</f>
        <v/>
      </c>
      <c r="B1904">
        <f>IF($J1904="","",IF($J1904&lt;=1500,INDEX('Daily Sale entry '!$Y$1:$Y$1501,$J1904+1)&amp;"","Buyer cheque banked 买家支票存入"&amp;IF(INDEX('Daily Sale entry '!$U$1:$U$1501,$J1904-1499)="","", " - "&amp;INDEX('Daily Sale entry '!$U$1:$U$1501,$J1904-1499))))</f>
        <v/>
      </c>
      <c r="C1904">
        <f>IF($J1904="","",IF($J1904&lt;=1500,INDEX('Daily Sale entry '!$Z$1:$Z$1501,$J1904+1)&amp;"","Cheque deposit 支票存入 (buyer 买家)"))</f>
        <v/>
      </c>
      <c r="D1904">
        <f>IF($J1904="","",IF($J1904&lt;=1500,INDEX('Daily Sale entry '!$AA$1:$AA$1501,$J1904+1)&amp;"",INDEX('Daily Sale entry '!$P$1:$P$1501,$J1904-1499)&amp;""))</f>
        <v/>
      </c>
      <c r="E1904">
        <f>IF($J1904="","",IF($J1904&lt;=1500,IF(N(INDEX('Daily Sale entry '!$AB$1:$AB$1501,$J1904+1))=0,"",INDEX('Daily Sale entry '!$AB$1:$AB$1501,$J1904+1)),1))</f>
        <v/>
      </c>
      <c r="F1904" s="6">
        <f>IF($J1904="","",IF($J1904&lt;=1500,N(INDEX('Daily Sale entry '!$AC$1:$AC$1501,$J1904+1))-IF(AND('Opening Balance'!$B$15=1,INDEX('Daily Sale entry '!$Z$1:$Z$1501,$J1904+1)="Online collection 网上收款",INDEX('Daily Sale entry '!$AA$1:$AA$1501,$J1904+1)&lt;&gt;""),N(INDEX('Daily Sale entry '!$AC$1:$AC$1501,$J1904+1))-TRUNC(N(INDEX('Daily Sale entry '!$AC$1:$AC$1501,$J1904+1))),0),N(INDEX('Daily Sale entry '!$S$1:$S$1501,$J1904-1499))-'Opening Balance'!$B$15*(N(INDEX('Daily Sale entry '!$S$1:$S$1501,$J1904-1499))-TRUNC(N(INDEX('Daily Sale entry '!$S$1:$S$1501,$J1904-1499))))))</f>
        <v/>
      </c>
      <c r="G1904" s="6">
        <f>IF($J1904="","",IF($J1904&lt;=1500,N(INDEX('Daily Sale entry '!$AD$1:$AD$1501,$J1904+1)),0))</f>
        <v/>
      </c>
      <c r="H1904" s="6">
        <f>IF($J1904="","",ROUND('Opening Balance'!$B$4+SUM($F$2:F1904)-SUM($G$2:G1904),2))</f>
        <v/>
      </c>
      <c r="J1904" s="21">
        <f>IFERROR(MATCH(ROW()-1,$L$2:$L$3001,0),"")</f>
        <v/>
      </c>
      <c r="K1904" s="34">
        <f>IF(AND('Daily Sale entry '!Q404="Collection 收款",'Daily Sale entry '!R404="Cheque 支票",'Daily Sale entry '!V404&lt;&gt;""),'Daily Sale entry '!V404+ROW()/10000000,"")</f>
        <v/>
      </c>
      <c r="L1904" s="21">
        <f>IF(K1904="","",COUNTIF($K$2:$K$3001,"&lt;"&amp;K1904)+1)</f>
        <v/>
      </c>
    </row>
    <row r="1905">
      <c r="A1905" s="5">
        <f>IF($J1905="","",IF($J1905&lt;=1500,INDEX('Daily Sale entry '!$X$1:$X$1501,$J1905+1),INDEX('Daily Sale entry '!$V$1:$V$1501,$J1905-1499)))</f>
        <v/>
      </c>
      <c r="B1905">
        <f>IF($J1905="","",IF($J1905&lt;=1500,INDEX('Daily Sale entry '!$Y$1:$Y$1501,$J1905+1)&amp;"","Buyer cheque banked 买家支票存入"&amp;IF(INDEX('Daily Sale entry '!$U$1:$U$1501,$J1905-1499)="","", " - "&amp;INDEX('Daily Sale entry '!$U$1:$U$1501,$J1905-1499))))</f>
        <v/>
      </c>
      <c r="C1905">
        <f>IF($J1905="","",IF($J1905&lt;=1500,INDEX('Daily Sale entry '!$Z$1:$Z$1501,$J1905+1)&amp;"","Cheque deposit 支票存入 (buyer 买家)"))</f>
        <v/>
      </c>
      <c r="D1905">
        <f>IF($J1905="","",IF($J1905&lt;=1500,INDEX('Daily Sale entry '!$AA$1:$AA$1501,$J1905+1)&amp;"",INDEX('Daily Sale entry '!$P$1:$P$1501,$J1905-1499)&amp;""))</f>
        <v/>
      </c>
      <c r="E1905">
        <f>IF($J1905="","",IF($J1905&lt;=1500,IF(N(INDEX('Daily Sale entry '!$AB$1:$AB$1501,$J1905+1))=0,"",INDEX('Daily Sale entry '!$AB$1:$AB$1501,$J1905+1)),1))</f>
        <v/>
      </c>
      <c r="F1905" s="6">
        <f>IF($J1905="","",IF($J1905&lt;=1500,N(INDEX('Daily Sale entry '!$AC$1:$AC$1501,$J1905+1))-IF(AND('Opening Balance'!$B$15=1,INDEX('Daily Sale entry '!$Z$1:$Z$1501,$J1905+1)="Online collection 网上收款",INDEX('Daily Sale entry '!$AA$1:$AA$1501,$J1905+1)&lt;&gt;""),N(INDEX('Daily Sale entry '!$AC$1:$AC$1501,$J1905+1))-TRUNC(N(INDEX('Daily Sale entry '!$AC$1:$AC$1501,$J1905+1))),0),N(INDEX('Daily Sale entry '!$S$1:$S$1501,$J1905-1499))-'Opening Balance'!$B$15*(N(INDEX('Daily Sale entry '!$S$1:$S$1501,$J1905-1499))-TRUNC(N(INDEX('Daily Sale entry '!$S$1:$S$1501,$J1905-1499))))))</f>
        <v/>
      </c>
      <c r="G1905" s="6">
        <f>IF($J1905="","",IF($J1905&lt;=1500,N(INDEX('Daily Sale entry '!$AD$1:$AD$1501,$J1905+1)),0))</f>
        <v/>
      </c>
      <c r="H1905" s="6">
        <f>IF($J1905="","",ROUND('Opening Balance'!$B$4+SUM($F$2:F1905)-SUM($G$2:G1905),2))</f>
        <v/>
      </c>
      <c r="J1905" s="21">
        <f>IFERROR(MATCH(ROW()-1,$L$2:$L$3001,0),"")</f>
        <v/>
      </c>
      <c r="K1905" s="34">
        <f>IF(AND('Daily Sale entry '!Q405="Collection 收款",'Daily Sale entry '!R405="Cheque 支票",'Daily Sale entry '!V405&lt;&gt;""),'Daily Sale entry '!V405+ROW()/10000000,"")</f>
        <v/>
      </c>
      <c r="L1905" s="21">
        <f>IF(K1905="","",COUNTIF($K$2:$K$3001,"&lt;"&amp;K1905)+1)</f>
        <v/>
      </c>
    </row>
    <row r="1906">
      <c r="A1906" s="5">
        <f>IF($J1906="","",IF($J1906&lt;=1500,INDEX('Daily Sale entry '!$X$1:$X$1501,$J1906+1),INDEX('Daily Sale entry '!$V$1:$V$1501,$J1906-1499)))</f>
        <v/>
      </c>
      <c r="B1906">
        <f>IF($J1906="","",IF($J1906&lt;=1500,INDEX('Daily Sale entry '!$Y$1:$Y$1501,$J1906+1)&amp;"","Buyer cheque banked 买家支票存入"&amp;IF(INDEX('Daily Sale entry '!$U$1:$U$1501,$J1906-1499)="","", " - "&amp;INDEX('Daily Sale entry '!$U$1:$U$1501,$J1906-1499))))</f>
        <v/>
      </c>
      <c r="C1906">
        <f>IF($J1906="","",IF($J1906&lt;=1500,INDEX('Daily Sale entry '!$Z$1:$Z$1501,$J1906+1)&amp;"","Cheque deposit 支票存入 (buyer 买家)"))</f>
        <v/>
      </c>
      <c r="D1906">
        <f>IF($J1906="","",IF($J1906&lt;=1500,INDEX('Daily Sale entry '!$AA$1:$AA$1501,$J1906+1)&amp;"",INDEX('Daily Sale entry '!$P$1:$P$1501,$J1906-1499)&amp;""))</f>
        <v/>
      </c>
      <c r="E1906">
        <f>IF($J1906="","",IF($J1906&lt;=1500,IF(N(INDEX('Daily Sale entry '!$AB$1:$AB$1501,$J1906+1))=0,"",INDEX('Daily Sale entry '!$AB$1:$AB$1501,$J1906+1)),1))</f>
        <v/>
      </c>
      <c r="F1906" s="6">
        <f>IF($J1906="","",IF($J1906&lt;=1500,N(INDEX('Daily Sale entry '!$AC$1:$AC$1501,$J1906+1))-IF(AND('Opening Balance'!$B$15=1,INDEX('Daily Sale entry '!$Z$1:$Z$1501,$J1906+1)="Online collection 网上收款",INDEX('Daily Sale entry '!$AA$1:$AA$1501,$J1906+1)&lt;&gt;""),N(INDEX('Daily Sale entry '!$AC$1:$AC$1501,$J1906+1))-TRUNC(N(INDEX('Daily Sale entry '!$AC$1:$AC$1501,$J1906+1))),0),N(INDEX('Daily Sale entry '!$S$1:$S$1501,$J1906-1499))-'Opening Balance'!$B$15*(N(INDEX('Daily Sale entry '!$S$1:$S$1501,$J1906-1499))-TRUNC(N(INDEX('Daily Sale entry '!$S$1:$S$1501,$J1906-1499))))))</f>
        <v/>
      </c>
      <c r="G1906" s="6">
        <f>IF($J1906="","",IF($J1906&lt;=1500,N(INDEX('Daily Sale entry '!$AD$1:$AD$1501,$J1906+1)),0))</f>
        <v/>
      </c>
      <c r="H1906" s="6">
        <f>IF($J1906="","",ROUND('Opening Balance'!$B$4+SUM($F$2:F1906)-SUM($G$2:G1906),2))</f>
        <v/>
      </c>
      <c r="J1906" s="21">
        <f>IFERROR(MATCH(ROW()-1,$L$2:$L$3001,0),"")</f>
        <v/>
      </c>
      <c r="K1906" s="34">
        <f>IF(AND('Daily Sale entry '!Q406="Collection 收款",'Daily Sale entry '!R406="Cheque 支票",'Daily Sale entry '!V406&lt;&gt;""),'Daily Sale entry '!V406+ROW()/10000000,"")</f>
        <v/>
      </c>
      <c r="L1906" s="21">
        <f>IF(K1906="","",COUNTIF($K$2:$K$3001,"&lt;"&amp;K1906)+1)</f>
        <v/>
      </c>
    </row>
    <row r="1907">
      <c r="A1907" s="5">
        <f>IF($J1907="","",IF($J1907&lt;=1500,INDEX('Daily Sale entry '!$X$1:$X$1501,$J1907+1),INDEX('Daily Sale entry '!$V$1:$V$1501,$J1907-1499)))</f>
        <v/>
      </c>
      <c r="B1907">
        <f>IF($J1907="","",IF($J1907&lt;=1500,INDEX('Daily Sale entry '!$Y$1:$Y$1501,$J1907+1)&amp;"","Buyer cheque banked 买家支票存入"&amp;IF(INDEX('Daily Sale entry '!$U$1:$U$1501,$J1907-1499)="","", " - "&amp;INDEX('Daily Sale entry '!$U$1:$U$1501,$J1907-1499))))</f>
        <v/>
      </c>
      <c r="C1907">
        <f>IF($J1907="","",IF($J1907&lt;=1500,INDEX('Daily Sale entry '!$Z$1:$Z$1501,$J1907+1)&amp;"","Cheque deposit 支票存入 (buyer 买家)"))</f>
        <v/>
      </c>
      <c r="D1907">
        <f>IF($J1907="","",IF($J1907&lt;=1500,INDEX('Daily Sale entry '!$AA$1:$AA$1501,$J1907+1)&amp;"",INDEX('Daily Sale entry '!$P$1:$P$1501,$J1907-1499)&amp;""))</f>
        <v/>
      </c>
      <c r="E1907">
        <f>IF($J1907="","",IF($J1907&lt;=1500,IF(N(INDEX('Daily Sale entry '!$AB$1:$AB$1501,$J1907+1))=0,"",INDEX('Daily Sale entry '!$AB$1:$AB$1501,$J1907+1)),1))</f>
        <v/>
      </c>
      <c r="F1907" s="6">
        <f>IF($J1907="","",IF($J1907&lt;=1500,N(INDEX('Daily Sale entry '!$AC$1:$AC$1501,$J1907+1))-IF(AND('Opening Balance'!$B$15=1,INDEX('Daily Sale entry '!$Z$1:$Z$1501,$J1907+1)="Online collection 网上收款",INDEX('Daily Sale entry '!$AA$1:$AA$1501,$J1907+1)&lt;&gt;""),N(INDEX('Daily Sale entry '!$AC$1:$AC$1501,$J1907+1))-TRUNC(N(INDEX('Daily Sale entry '!$AC$1:$AC$1501,$J1907+1))),0),N(INDEX('Daily Sale entry '!$S$1:$S$1501,$J1907-1499))-'Opening Balance'!$B$15*(N(INDEX('Daily Sale entry '!$S$1:$S$1501,$J1907-1499))-TRUNC(N(INDEX('Daily Sale entry '!$S$1:$S$1501,$J1907-1499))))))</f>
        <v/>
      </c>
      <c r="G1907" s="6">
        <f>IF($J1907="","",IF($J1907&lt;=1500,N(INDEX('Daily Sale entry '!$AD$1:$AD$1501,$J1907+1)),0))</f>
        <v/>
      </c>
      <c r="H1907" s="6">
        <f>IF($J1907="","",ROUND('Opening Balance'!$B$4+SUM($F$2:F1907)-SUM($G$2:G1907),2))</f>
        <v/>
      </c>
      <c r="J1907" s="21">
        <f>IFERROR(MATCH(ROW()-1,$L$2:$L$3001,0),"")</f>
        <v/>
      </c>
      <c r="K1907" s="34">
        <f>IF(AND('Daily Sale entry '!Q407="Collection 收款",'Daily Sale entry '!R407="Cheque 支票",'Daily Sale entry '!V407&lt;&gt;""),'Daily Sale entry '!V407+ROW()/10000000,"")</f>
        <v/>
      </c>
      <c r="L1907" s="21">
        <f>IF(K1907="","",COUNTIF($K$2:$K$3001,"&lt;"&amp;K1907)+1)</f>
        <v/>
      </c>
    </row>
    <row r="1908">
      <c r="A1908" s="5">
        <f>IF($J1908="","",IF($J1908&lt;=1500,INDEX('Daily Sale entry '!$X$1:$X$1501,$J1908+1),INDEX('Daily Sale entry '!$V$1:$V$1501,$J1908-1499)))</f>
        <v/>
      </c>
      <c r="B1908">
        <f>IF($J1908="","",IF($J1908&lt;=1500,INDEX('Daily Sale entry '!$Y$1:$Y$1501,$J1908+1)&amp;"","Buyer cheque banked 买家支票存入"&amp;IF(INDEX('Daily Sale entry '!$U$1:$U$1501,$J1908-1499)="","", " - "&amp;INDEX('Daily Sale entry '!$U$1:$U$1501,$J1908-1499))))</f>
        <v/>
      </c>
      <c r="C1908">
        <f>IF($J1908="","",IF($J1908&lt;=1500,INDEX('Daily Sale entry '!$Z$1:$Z$1501,$J1908+1)&amp;"","Cheque deposit 支票存入 (buyer 买家)"))</f>
        <v/>
      </c>
      <c r="D1908">
        <f>IF($J1908="","",IF($J1908&lt;=1500,INDEX('Daily Sale entry '!$AA$1:$AA$1501,$J1908+1)&amp;"",INDEX('Daily Sale entry '!$P$1:$P$1501,$J1908-1499)&amp;""))</f>
        <v/>
      </c>
      <c r="E1908">
        <f>IF($J1908="","",IF($J1908&lt;=1500,IF(N(INDEX('Daily Sale entry '!$AB$1:$AB$1501,$J1908+1))=0,"",INDEX('Daily Sale entry '!$AB$1:$AB$1501,$J1908+1)),1))</f>
        <v/>
      </c>
      <c r="F1908" s="6">
        <f>IF($J1908="","",IF($J1908&lt;=1500,N(INDEX('Daily Sale entry '!$AC$1:$AC$1501,$J1908+1))-IF(AND('Opening Balance'!$B$15=1,INDEX('Daily Sale entry '!$Z$1:$Z$1501,$J1908+1)="Online collection 网上收款",INDEX('Daily Sale entry '!$AA$1:$AA$1501,$J1908+1)&lt;&gt;""),N(INDEX('Daily Sale entry '!$AC$1:$AC$1501,$J1908+1))-TRUNC(N(INDEX('Daily Sale entry '!$AC$1:$AC$1501,$J1908+1))),0),N(INDEX('Daily Sale entry '!$S$1:$S$1501,$J1908-1499))-'Opening Balance'!$B$15*(N(INDEX('Daily Sale entry '!$S$1:$S$1501,$J1908-1499))-TRUNC(N(INDEX('Daily Sale entry '!$S$1:$S$1501,$J1908-1499))))))</f>
        <v/>
      </c>
      <c r="G1908" s="6">
        <f>IF($J1908="","",IF($J1908&lt;=1500,N(INDEX('Daily Sale entry '!$AD$1:$AD$1501,$J1908+1)),0))</f>
        <v/>
      </c>
      <c r="H1908" s="6">
        <f>IF($J1908="","",ROUND('Opening Balance'!$B$4+SUM($F$2:F1908)-SUM($G$2:G1908),2))</f>
        <v/>
      </c>
      <c r="J1908" s="21">
        <f>IFERROR(MATCH(ROW()-1,$L$2:$L$3001,0),"")</f>
        <v/>
      </c>
      <c r="K1908" s="34">
        <f>IF(AND('Daily Sale entry '!Q408="Collection 收款",'Daily Sale entry '!R408="Cheque 支票",'Daily Sale entry '!V408&lt;&gt;""),'Daily Sale entry '!V408+ROW()/10000000,"")</f>
        <v/>
      </c>
      <c r="L1908" s="21">
        <f>IF(K1908="","",COUNTIF($K$2:$K$3001,"&lt;"&amp;K1908)+1)</f>
        <v/>
      </c>
    </row>
    <row r="1909">
      <c r="A1909" s="5">
        <f>IF($J1909="","",IF($J1909&lt;=1500,INDEX('Daily Sale entry '!$X$1:$X$1501,$J1909+1),INDEX('Daily Sale entry '!$V$1:$V$1501,$J1909-1499)))</f>
        <v/>
      </c>
      <c r="B1909">
        <f>IF($J1909="","",IF($J1909&lt;=1500,INDEX('Daily Sale entry '!$Y$1:$Y$1501,$J1909+1)&amp;"","Buyer cheque banked 买家支票存入"&amp;IF(INDEX('Daily Sale entry '!$U$1:$U$1501,$J1909-1499)="","", " - "&amp;INDEX('Daily Sale entry '!$U$1:$U$1501,$J1909-1499))))</f>
        <v/>
      </c>
      <c r="C1909">
        <f>IF($J1909="","",IF($J1909&lt;=1500,INDEX('Daily Sale entry '!$Z$1:$Z$1501,$J1909+1)&amp;"","Cheque deposit 支票存入 (buyer 买家)"))</f>
        <v/>
      </c>
      <c r="D1909">
        <f>IF($J1909="","",IF($J1909&lt;=1500,INDEX('Daily Sale entry '!$AA$1:$AA$1501,$J1909+1)&amp;"",INDEX('Daily Sale entry '!$P$1:$P$1501,$J1909-1499)&amp;""))</f>
        <v/>
      </c>
      <c r="E1909">
        <f>IF($J1909="","",IF($J1909&lt;=1500,IF(N(INDEX('Daily Sale entry '!$AB$1:$AB$1501,$J1909+1))=0,"",INDEX('Daily Sale entry '!$AB$1:$AB$1501,$J1909+1)),1))</f>
        <v/>
      </c>
      <c r="F1909" s="6">
        <f>IF($J1909="","",IF($J1909&lt;=1500,N(INDEX('Daily Sale entry '!$AC$1:$AC$1501,$J1909+1))-IF(AND('Opening Balance'!$B$15=1,INDEX('Daily Sale entry '!$Z$1:$Z$1501,$J1909+1)="Online collection 网上收款",INDEX('Daily Sale entry '!$AA$1:$AA$1501,$J1909+1)&lt;&gt;""),N(INDEX('Daily Sale entry '!$AC$1:$AC$1501,$J1909+1))-TRUNC(N(INDEX('Daily Sale entry '!$AC$1:$AC$1501,$J1909+1))),0),N(INDEX('Daily Sale entry '!$S$1:$S$1501,$J1909-1499))-'Opening Balance'!$B$15*(N(INDEX('Daily Sale entry '!$S$1:$S$1501,$J1909-1499))-TRUNC(N(INDEX('Daily Sale entry '!$S$1:$S$1501,$J1909-1499))))))</f>
        <v/>
      </c>
      <c r="G1909" s="6">
        <f>IF($J1909="","",IF($J1909&lt;=1500,N(INDEX('Daily Sale entry '!$AD$1:$AD$1501,$J1909+1)),0))</f>
        <v/>
      </c>
      <c r="H1909" s="6">
        <f>IF($J1909="","",ROUND('Opening Balance'!$B$4+SUM($F$2:F1909)-SUM($G$2:G1909),2))</f>
        <v/>
      </c>
      <c r="J1909" s="21">
        <f>IFERROR(MATCH(ROW()-1,$L$2:$L$3001,0),"")</f>
        <v/>
      </c>
      <c r="K1909" s="34">
        <f>IF(AND('Daily Sale entry '!Q409="Collection 收款",'Daily Sale entry '!R409="Cheque 支票",'Daily Sale entry '!V409&lt;&gt;""),'Daily Sale entry '!V409+ROW()/10000000,"")</f>
        <v/>
      </c>
      <c r="L1909" s="21">
        <f>IF(K1909="","",COUNTIF($K$2:$K$3001,"&lt;"&amp;K1909)+1)</f>
        <v/>
      </c>
    </row>
    <row r="1910">
      <c r="A1910" s="5">
        <f>IF($J1910="","",IF($J1910&lt;=1500,INDEX('Daily Sale entry '!$X$1:$X$1501,$J1910+1),INDEX('Daily Sale entry '!$V$1:$V$1501,$J1910-1499)))</f>
        <v/>
      </c>
      <c r="B1910">
        <f>IF($J1910="","",IF($J1910&lt;=1500,INDEX('Daily Sale entry '!$Y$1:$Y$1501,$J1910+1)&amp;"","Buyer cheque banked 买家支票存入"&amp;IF(INDEX('Daily Sale entry '!$U$1:$U$1501,$J1910-1499)="","", " - "&amp;INDEX('Daily Sale entry '!$U$1:$U$1501,$J1910-1499))))</f>
        <v/>
      </c>
      <c r="C1910">
        <f>IF($J1910="","",IF($J1910&lt;=1500,INDEX('Daily Sale entry '!$Z$1:$Z$1501,$J1910+1)&amp;"","Cheque deposit 支票存入 (buyer 买家)"))</f>
        <v/>
      </c>
      <c r="D1910">
        <f>IF($J1910="","",IF($J1910&lt;=1500,INDEX('Daily Sale entry '!$AA$1:$AA$1501,$J1910+1)&amp;"",INDEX('Daily Sale entry '!$P$1:$P$1501,$J1910-1499)&amp;""))</f>
        <v/>
      </c>
      <c r="E1910">
        <f>IF($J1910="","",IF($J1910&lt;=1500,IF(N(INDEX('Daily Sale entry '!$AB$1:$AB$1501,$J1910+1))=0,"",INDEX('Daily Sale entry '!$AB$1:$AB$1501,$J1910+1)),1))</f>
        <v/>
      </c>
      <c r="F1910" s="6">
        <f>IF($J1910="","",IF($J1910&lt;=1500,N(INDEX('Daily Sale entry '!$AC$1:$AC$1501,$J1910+1))-IF(AND('Opening Balance'!$B$15=1,INDEX('Daily Sale entry '!$Z$1:$Z$1501,$J1910+1)="Online collection 网上收款",INDEX('Daily Sale entry '!$AA$1:$AA$1501,$J1910+1)&lt;&gt;""),N(INDEX('Daily Sale entry '!$AC$1:$AC$1501,$J1910+1))-TRUNC(N(INDEX('Daily Sale entry '!$AC$1:$AC$1501,$J1910+1))),0),N(INDEX('Daily Sale entry '!$S$1:$S$1501,$J1910-1499))-'Opening Balance'!$B$15*(N(INDEX('Daily Sale entry '!$S$1:$S$1501,$J1910-1499))-TRUNC(N(INDEX('Daily Sale entry '!$S$1:$S$1501,$J1910-1499))))))</f>
        <v/>
      </c>
      <c r="G1910" s="6">
        <f>IF($J1910="","",IF($J1910&lt;=1500,N(INDEX('Daily Sale entry '!$AD$1:$AD$1501,$J1910+1)),0))</f>
        <v/>
      </c>
      <c r="H1910" s="6">
        <f>IF($J1910="","",ROUND('Opening Balance'!$B$4+SUM($F$2:F1910)-SUM($G$2:G1910),2))</f>
        <v/>
      </c>
      <c r="J1910" s="21">
        <f>IFERROR(MATCH(ROW()-1,$L$2:$L$3001,0),"")</f>
        <v/>
      </c>
      <c r="K1910" s="34">
        <f>IF(AND('Daily Sale entry '!Q410="Collection 收款",'Daily Sale entry '!R410="Cheque 支票",'Daily Sale entry '!V410&lt;&gt;""),'Daily Sale entry '!V410+ROW()/10000000,"")</f>
        <v/>
      </c>
      <c r="L1910" s="21">
        <f>IF(K1910="","",COUNTIF($K$2:$K$3001,"&lt;"&amp;K1910)+1)</f>
        <v/>
      </c>
    </row>
    <row r="1911">
      <c r="A1911" s="5">
        <f>IF($J1911="","",IF($J1911&lt;=1500,INDEX('Daily Sale entry '!$X$1:$X$1501,$J1911+1),INDEX('Daily Sale entry '!$V$1:$V$1501,$J1911-1499)))</f>
        <v/>
      </c>
      <c r="B1911">
        <f>IF($J1911="","",IF($J1911&lt;=1500,INDEX('Daily Sale entry '!$Y$1:$Y$1501,$J1911+1)&amp;"","Buyer cheque banked 买家支票存入"&amp;IF(INDEX('Daily Sale entry '!$U$1:$U$1501,$J1911-1499)="","", " - "&amp;INDEX('Daily Sale entry '!$U$1:$U$1501,$J1911-1499))))</f>
        <v/>
      </c>
      <c r="C1911">
        <f>IF($J1911="","",IF($J1911&lt;=1500,INDEX('Daily Sale entry '!$Z$1:$Z$1501,$J1911+1)&amp;"","Cheque deposit 支票存入 (buyer 买家)"))</f>
        <v/>
      </c>
      <c r="D1911">
        <f>IF($J1911="","",IF($J1911&lt;=1500,INDEX('Daily Sale entry '!$AA$1:$AA$1501,$J1911+1)&amp;"",INDEX('Daily Sale entry '!$P$1:$P$1501,$J1911-1499)&amp;""))</f>
        <v/>
      </c>
      <c r="E1911">
        <f>IF($J1911="","",IF($J1911&lt;=1500,IF(N(INDEX('Daily Sale entry '!$AB$1:$AB$1501,$J1911+1))=0,"",INDEX('Daily Sale entry '!$AB$1:$AB$1501,$J1911+1)),1))</f>
        <v/>
      </c>
      <c r="F1911" s="6">
        <f>IF($J1911="","",IF($J1911&lt;=1500,N(INDEX('Daily Sale entry '!$AC$1:$AC$1501,$J1911+1))-IF(AND('Opening Balance'!$B$15=1,INDEX('Daily Sale entry '!$Z$1:$Z$1501,$J1911+1)="Online collection 网上收款",INDEX('Daily Sale entry '!$AA$1:$AA$1501,$J1911+1)&lt;&gt;""),N(INDEX('Daily Sale entry '!$AC$1:$AC$1501,$J1911+1))-TRUNC(N(INDEX('Daily Sale entry '!$AC$1:$AC$1501,$J1911+1))),0),N(INDEX('Daily Sale entry '!$S$1:$S$1501,$J1911-1499))-'Opening Balance'!$B$15*(N(INDEX('Daily Sale entry '!$S$1:$S$1501,$J1911-1499))-TRUNC(N(INDEX('Daily Sale entry '!$S$1:$S$1501,$J1911-1499))))))</f>
        <v/>
      </c>
      <c r="G1911" s="6">
        <f>IF($J1911="","",IF($J1911&lt;=1500,N(INDEX('Daily Sale entry '!$AD$1:$AD$1501,$J1911+1)),0))</f>
        <v/>
      </c>
      <c r="H1911" s="6">
        <f>IF($J1911="","",ROUND('Opening Balance'!$B$4+SUM($F$2:F1911)-SUM($G$2:G1911),2))</f>
        <v/>
      </c>
      <c r="J1911" s="21">
        <f>IFERROR(MATCH(ROW()-1,$L$2:$L$3001,0),"")</f>
        <v/>
      </c>
      <c r="K1911" s="34">
        <f>IF(AND('Daily Sale entry '!Q411="Collection 收款",'Daily Sale entry '!R411="Cheque 支票",'Daily Sale entry '!V411&lt;&gt;""),'Daily Sale entry '!V411+ROW()/10000000,"")</f>
        <v/>
      </c>
      <c r="L1911" s="21">
        <f>IF(K1911="","",COUNTIF($K$2:$K$3001,"&lt;"&amp;K1911)+1)</f>
        <v/>
      </c>
    </row>
    <row r="1912">
      <c r="A1912" s="5">
        <f>IF($J1912="","",IF($J1912&lt;=1500,INDEX('Daily Sale entry '!$X$1:$X$1501,$J1912+1),INDEX('Daily Sale entry '!$V$1:$V$1501,$J1912-1499)))</f>
        <v/>
      </c>
      <c r="B1912">
        <f>IF($J1912="","",IF($J1912&lt;=1500,INDEX('Daily Sale entry '!$Y$1:$Y$1501,$J1912+1)&amp;"","Buyer cheque banked 买家支票存入"&amp;IF(INDEX('Daily Sale entry '!$U$1:$U$1501,$J1912-1499)="","", " - "&amp;INDEX('Daily Sale entry '!$U$1:$U$1501,$J1912-1499))))</f>
        <v/>
      </c>
      <c r="C1912">
        <f>IF($J1912="","",IF($J1912&lt;=1500,INDEX('Daily Sale entry '!$Z$1:$Z$1501,$J1912+1)&amp;"","Cheque deposit 支票存入 (buyer 买家)"))</f>
        <v/>
      </c>
      <c r="D1912">
        <f>IF($J1912="","",IF($J1912&lt;=1500,INDEX('Daily Sale entry '!$AA$1:$AA$1501,$J1912+1)&amp;"",INDEX('Daily Sale entry '!$P$1:$P$1501,$J1912-1499)&amp;""))</f>
        <v/>
      </c>
      <c r="E1912">
        <f>IF($J1912="","",IF($J1912&lt;=1500,IF(N(INDEX('Daily Sale entry '!$AB$1:$AB$1501,$J1912+1))=0,"",INDEX('Daily Sale entry '!$AB$1:$AB$1501,$J1912+1)),1))</f>
        <v/>
      </c>
      <c r="F1912" s="6">
        <f>IF($J1912="","",IF($J1912&lt;=1500,N(INDEX('Daily Sale entry '!$AC$1:$AC$1501,$J1912+1))-IF(AND('Opening Balance'!$B$15=1,INDEX('Daily Sale entry '!$Z$1:$Z$1501,$J1912+1)="Online collection 网上收款",INDEX('Daily Sale entry '!$AA$1:$AA$1501,$J1912+1)&lt;&gt;""),N(INDEX('Daily Sale entry '!$AC$1:$AC$1501,$J1912+1))-TRUNC(N(INDEX('Daily Sale entry '!$AC$1:$AC$1501,$J1912+1))),0),N(INDEX('Daily Sale entry '!$S$1:$S$1501,$J1912-1499))-'Opening Balance'!$B$15*(N(INDEX('Daily Sale entry '!$S$1:$S$1501,$J1912-1499))-TRUNC(N(INDEX('Daily Sale entry '!$S$1:$S$1501,$J1912-1499))))))</f>
        <v/>
      </c>
      <c r="G1912" s="6">
        <f>IF($J1912="","",IF($J1912&lt;=1500,N(INDEX('Daily Sale entry '!$AD$1:$AD$1501,$J1912+1)),0))</f>
        <v/>
      </c>
      <c r="H1912" s="6">
        <f>IF($J1912="","",ROUND('Opening Balance'!$B$4+SUM($F$2:F1912)-SUM($G$2:G1912),2))</f>
        <v/>
      </c>
      <c r="J1912" s="21">
        <f>IFERROR(MATCH(ROW()-1,$L$2:$L$3001,0),"")</f>
        <v/>
      </c>
      <c r="K1912" s="34">
        <f>IF(AND('Daily Sale entry '!Q412="Collection 收款",'Daily Sale entry '!R412="Cheque 支票",'Daily Sale entry '!V412&lt;&gt;""),'Daily Sale entry '!V412+ROW()/10000000,"")</f>
        <v/>
      </c>
      <c r="L1912" s="21">
        <f>IF(K1912="","",COUNTIF($K$2:$K$3001,"&lt;"&amp;K1912)+1)</f>
        <v/>
      </c>
    </row>
    <row r="1913">
      <c r="A1913" s="5">
        <f>IF($J1913="","",IF($J1913&lt;=1500,INDEX('Daily Sale entry '!$X$1:$X$1501,$J1913+1),INDEX('Daily Sale entry '!$V$1:$V$1501,$J1913-1499)))</f>
        <v/>
      </c>
      <c r="B1913">
        <f>IF($J1913="","",IF($J1913&lt;=1500,INDEX('Daily Sale entry '!$Y$1:$Y$1501,$J1913+1)&amp;"","Buyer cheque banked 买家支票存入"&amp;IF(INDEX('Daily Sale entry '!$U$1:$U$1501,$J1913-1499)="","", " - "&amp;INDEX('Daily Sale entry '!$U$1:$U$1501,$J1913-1499))))</f>
        <v/>
      </c>
      <c r="C1913">
        <f>IF($J1913="","",IF($J1913&lt;=1500,INDEX('Daily Sale entry '!$Z$1:$Z$1501,$J1913+1)&amp;"","Cheque deposit 支票存入 (buyer 买家)"))</f>
        <v/>
      </c>
      <c r="D1913">
        <f>IF($J1913="","",IF($J1913&lt;=1500,INDEX('Daily Sale entry '!$AA$1:$AA$1501,$J1913+1)&amp;"",INDEX('Daily Sale entry '!$P$1:$P$1501,$J1913-1499)&amp;""))</f>
        <v/>
      </c>
      <c r="E1913">
        <f>IF($J1913="","",IF($J1913&lt;=1500,IF(N(INDEX('Daily Sale entry '!$AB$1:$AB$1501,$J1913+1))=0,"",INDEX('Daily Sale entry '!$AB$1:$AB$1501,$J1913+1)),1))</f>
        <v/>
      </c>
      <c r="F1913" s="6">
        <f>IF($J1913="","",IF($J1913&lt;=1500,N(INDEX('Daily Sale entry '!$AC$1:$AC$1501,$J1913+1))-IF(AND('Opening Balance'!$B$15=1,INDEX('Daily Sale entry '!$Z$1:$Z$1501,$J1913+1)="Online collection 网上收款",INDEX('Daily Sale entry '!$AA$1:$AA$1501,$J1913+1)&lt;&gt;""),N(INDEX('Daily Sale entry '!$AC$1:$AC$1501,$J1913+1))-TRUNC(N(INDEX('Daily Sale entry '!$AC$1:$AC$1501,$J1913+1))),0),N(INDEX('Daily Sale entry '!$S$1:$S$1501,$J1913-1499))-'Opening Balance'!$B$15*(N(INDEX('Daily Sale entry '!$S$1:$S$1501,$J1913-1499))-TRUNC(N(INDEX('Daily Sale entry '!$S$1:$S$1501,$J1913-1499))))))</f>
        <v/>
      </c>
      <c r="G1913" s="6">
        <f>IF($J1913="","",IF($J1913&lt;=1500,N(INDEX('Daily Sale entry '!$AD$1:$AD$1501,$J1913+1)),0))</f>
        <v/>
      </c>
      <c r="H1913" s="6">
        <f>IF($J1913="","",ROUND('Opening Balance'!$B$4+SUM($F$2:F1913)-SUM($G$2:G1913),2))</f>
        <v/>
      </c>
      <c r="J1913" s="21">
        <f>IFERROR(MATCH(ROW()-1,$L$2:$L$3001,0),"")</f>
        <v/>
      </c>
      <c r="K1913" s="34">
        <f>IF(AND('Daily Sale entry '!Q413="Collection 收款",'Daily Sale entry '!R413="Cheque 支票",'Daily Sale entry '!V413&lt;&gt;""),'Daily Sale entry '!V413+ROW()/10000000,"")</f>
        <v/>
      </c>
      <c r="L1913" s="21">
        <f>IF(K1913="","",COUNTIF($K$2:$K$3001,"&lt;"&amp;K1913)+1)</f>
        <v/>
      </c>
    </row>
    <row r="1914">
      <c r="A1914" s="5">
        <f>IF($J1914="","",IF($J1914&lt;=1500,INDEX('Daily Sale entry '!$X$1:$X$1501,$J1914+1),INDEX('Daily Sale entry '!$V$1:$V$1501,$J1914-1499)))</f>
        <v/>
      </c>
      <c r="B1914">
        <f>IF($J1914="","",IF($J1914&lt;=1500,INDEX('Daily Sale entry '!$Y$1:$Y$1501,$J1914+1)&amp;"","Buyer cheque banked 买家支票存入"&amp;IF(INDEX('Daily Sale entry '!$U$1:$U$1501,$J1914-1499)="","", " - "&amp;INDEX('Daily Sale entry '!$U$1:$U$1501,$J1914-1499))))</f>
        <v/>
      </c>
      <c r="C1914">
        <f>IF($J1914="","",IF($J1914&lt;=1500,INDEX('Daily Sale entry '!$Z$1:$Z$1501,$J1914+1)&amp;"","Cheque deposit 支票存入 (buyer 买家)"))</f>
        <v/>
      </c>
      <c r="D1914">
        <f>IF($J1914="","",IF($J1914&lt;=1500,INDEX('Daily Sale entry '!$AA$1:$AA$1501,$J1914+1)&amp;"",INDEX('Daily Sale entry '!$P$1:$P$1501,$J1914-1499)&amp;""))</f>
        <v/>
      </c>
      <c r="E1914">
        <f>IF($J1914="","",IF($J1914&lt;=1500,IF(N(INDEX('Daily Sale entry '!$AB$1:$AB$1501,$J1914+1))=0,"",INDEX('Daily Sale entry '!$AB$1:$AB$1501,$J1914+1)),1))</f>
        <v/>
      </c>
      <c r="F1914" s="6">
        <f>IF($J1914="","",IF($J1914&lt;=1500,N(INDEX('Daily Sale entry '!$AC$1:$AC$1501,$J1914+1))-IF(AND('Opening Balance'!$B$15=1,INDEX('Daily Sale entry '!$Z$1:$Z$1501,$J1914+1)="Online collection 网上收款",INDEX('Daily Sale entry '!$AA$1:$AA$1501,$J1914+1)&lt;&gt;""),N(INDEX('Daily Sale entry '!$AC$1:$AC$1501,$J1914+1))-TRUNC(N(INDEX('Daily Sale entry '!$AC$1:$AC$1501,$J1914+1))),0),N(INDEX('Daily Sale entry '!$S$1:$S$1501,$J1914-1499))-'Opening Balance'!$B$15*(N(INDEX('Daily Sale entry '!$S$1:$S$1501,$J1914-1499))-TRUNC(N(INDEX('Daily Sale entry '!$S$1:$S$1501,$J1914-1499))))))</f>
        <v/>
      </c>
      <c r="G1914" s="6">
        <f>IF($J1914="","",IF($J1914&lt;=1500,N(INDEX('Daily Sale entry '!$AD$1:$AD$1501,$J1914+1)),0))</f>
        <v/>
      </c>
      <c r="H1914" s="6">
        <f>IF($J1914="","",ROUND('Opening Balance'!$B$4+SUM($F$2:F1914)-SUM($G$2:G1914),2))</f>
        <v/>
      </c>
      <c r="J1914" s="21">
        <f>IFERROR(MATCH(ROW()-1,$L$2:$L$3001,0),"")</f>
        <v/>
      </c>
      <c r="K1914" s="34">
        <f>IF(AND('Daily Sale entry '!Q414="Collection 收款",'Daily Sale entry '!R414="Cheque 支票",'Daily Sale entry '!V414&lt;&gt;""),'Daily Sale entry '!V414+ROW()/10000000,"")</f>
        <v/>
      </c>
      <c r="L1914" s="21">
        <f>IF(K1914="","",COUNTIF($K$2:$K$3001,"&lt;"&amp;K1914)+1)</f>
        <v/>
      </c>
    </row>
    <row r="1915">
      <c r="A1915" s="5">
        <f>IF($J1915="","",IF($J1915&lt;=1500,INDEX('Daily Sale entry '!$X$1:$X$1501,$J1915+1),INDEX('Daily Sale entry '!$V$1:$V$1501,$J1915-1499)))</f>
        <v/>
      </c>
      <c r="B1915">
        <f>IF($J1915="","",IF($J1915&lt;=1500,INDEX('Daily Sale entry '!$Y$1:$Y$1501,$J1915+1)&amp;"","Buyer cheque banked 买家支票存入"&amp;IF(INDEX('Daily Sale entry '!$U$1:$U$1501,$J1915-1499)="","", " - "&amp;INDEX('Daily Sale entry '!$U$1:$U$1501,$J1915-1499))))</f>
        <v/>
      </c>
      <c r="C1915">
        <f>IF($J1915="","",IF($J1915&lt;=1500,INDEX('Daily Sale entry '!$Z$1:$Z$1501,$J1915+1)&amp;"","Cheque deposit 支票存入 (buyer 买家)"))</f>
        <v/>
      </c>
      <c r="D1915">
        <f>IF($J1915="","",IF($J1915&lt;=1500,INDEX('Daily Sale entry '!$AA$1:$AA$1501,$J1915+1)&amp;"",INDEX('Daily Sale entry '!$P$1:$P$1501,$J1915-1499)&amp;""))</f>
        <v/>
      </c>
      <c r="E1915">
        <f>IF($J1915="","",IF($J1915&lt;=1500,IF(N(INDEX('Daily Sale entry '!$AB$1:$AB$1501,$J1915+1))=0,"",INDEX('Daily Sale entry '!$AB$1:$AB$1501,$J1915+1)),1))</f>
        <v/>
      </c>
      <c r="F1915" s="6">
        <f>IF($J1915="","",IF($J1915&lt;=1500,N(INDEX('Daily Sale entry '!$AC$1:$AC$1501,$J1915+1))-IF(AND('Opening Balance'!$B$15=1,INDEX('Daily Sale entry '!$Z$1:$Z$1501,$J1915+1)="Online collection 网上收款",INDEX('Daily Sale entry '!$AA$1:$AA$1501,$J1915+1)&lt;&gt;""),N(INDEX('Daily Sale entry '!$AC$1:$AC$1501,$J1915+1))-TRUNC(N(INDEX('Daily Sale entry '!$AC$1:$AC$1501,$J1915+1))),0),N(INDEX('Daily Sale entry '!$S$1:$S$1501,$J1915-1499))-'Opening Balance'!$B$15*(N(INDEX('Daily Sale entry '!$S$1:$S$1501,$J1915-1499))-TRUNC(N(INDEX('Daily Sale entry '!$S$1:$S$1501,$J1915-1499))))))</f>
        <v/>
      </c>
      <c r="G1915" s="6">
        <f>IF($J1915="","",IF($J1915&lt;=1500,N(INDEX('Daily Sale entry '!$AD$1:$AD$1501,$J1915+1)),0))</f>
        <v/>
      </c>
      <c r="H1915" s="6">
        <f>IF($J1915="","",ROUND('Opening Balance'!$B$4+SUM($F$2:F1915)-SUM($G$2:G1915),2))</f>
        <v/>
      </c>
      <c r="J1915" s="21">
        <f>IFERROR(MATCH(ROW()-1,$L$2:$L$3001,0),"")</f>
        <v/>
      </c>
      <c r="K1915" s="34">
        <f>IF(AND('Daily Sale entry '!Q415="Collection 收款",'Daily Sale entry '!R415="Cheque 支票",'Daily Sale entry '!V415&lt;&gt;""),'Daily Sale entry '!V415+ROW()/10000000,"")</f>
        <v/>
      </c>
      <c r="L1915" s="21">
        <f>IF(K1915="","",COUNTIF($K$2:$K$3001,"&lt;"&amp;K1915)+1)</f>
        <v/>
      </c>
    </row>
    <row r="1916">
      <c r="A1916" s="5">
        <f>IF($J1916="","",IF($J1916&lt;=1500,INDEX('Daily Sale entry '!$X$1:$X$1501,$J1916+1),INDEX('Daily Sale entry '!$V$1:$V$1501,$J1916-1499)))</f>
        <v/>
      </c>
      <c r="B1916">
        <f>IF($J1916="","",IF($J1916&lt;=1500,INDEX('Daily Sale entry '!$Y$1:$Y$1501,$J1916+1)&amp;"","Buyer cheque banked 买家支票存入"&amp;IF(INDEX('Daily Sale entry '!$U$1:$U$1501,$J1916-1499)="","", " - "&amp;INDEX('Daily Sale entry '!$U$1:$U$1501,$J1916-1499))))</f>
        <v/>
      </c>
      <c r="C1916">
        <f>IF($J1916="","",IF($J1916&lt;=1500,INDEX('Daily Sale entry '!$Z$1:$Z$1501,$J1916+1)&amp;"","Cheque deposit 支票存入 (buyer 买家)"))</f>
        <v/>
      </c>
      <c r="D1916">
        <f>IF($J1916="","",IF($J1916&lt;=1500,INDEX('Daily Sale entry '!$AA$1:$AA$1501,$J1916+1)&amp;"",INDEX('Daily Sale entry '!$P$1:$P$1501,$J1916-1499)&amp;""))</f>
        <v/>
      </c>
      <c r="E1916">
        <f>IF($J1916="","",IF($J1916&lt;=1500,IF(N(INDEX('Daily Sale entry '!$AB$1:$AB$1501,$J1916+1))=0,"",INDEX('Daily Sale entry '!$AB$1:$AB$1501,$J1916+1)),1))</f>
        <v/>
      </c>
      <c r="F1916" s="6">
        <f>IF($J1916="","",IF($J1916&lt;=1500,N(INDEX('Daily Sale entry '!$AC$1:$AC$1501,$J1916+1))-IF(AND('Opening Balance'!$B$15=1,INDEX('Daily Sale entry '!$Z$1:$Z$1501,$J1916+1)="Online collection 网上收款",INDEX('Daily Sale entry '!$AA$1:$AA$1501,$J1916+1)&lt;&gt;""),N(INDEX('Daily Sale entry '!$AC$1:$AC$1501,$J1916+1))-TRUNC(N(INDEX('Daily Sale entry '!$AC$1:$AC$1501,$J1916+1))),0),N(INDEX('Daily Sale entry '!$S$1:$S$1501,$J1916-1499))-'Opening Balance'!$B$15*(N(INDEX('Daily Sale entry '!$S$1:$S$1501,$J1916-1499))-TRUNC(N(INDEX('Daily Sale entry '!$S$1:$S$1501,$J1916-1499))))))</f>
        <v/>
      </c>
      <c r="G1916" s="6">
        <f>IF($J1916="","",IF($J1916&lt;=1500,N(INDEX('Daily Sale entry '!$AD$1:$AD$1501,$J1916+1)),0))</f>
        <v/>
      </c>
      <c r="H1916" s="6">
        <f>IF($J1916="","",ROUND('Opening Balance'!$B$4+SUM($F$2:F1916)-SUM($G$2:G1916),2))</f>
        <v/>
      </c>
      <c r="J1916" s="21">
        <f>IFERROR(MATCH(ROW()-1,$L$2:$L$3001,0),"")</f>
        <v/>
      </c>
      <c r="K1916" s="34">
        <f>IF(AND('Daily Sale entry '!Q416="Collection 收款",'Daily Sale entry '!R416="Cheque 支票",'Daily Sale entry '!V416&lt;&gt;""),'Daily Sale entry '!V416+ROW()/10000000,"")</f>
        <v/>
      </c>
      <c r="L1916" s="21">
        <f>IF(K1916="","",COUNTIF($K$2:$K$3001,"&lt;"&amp;K1916)+1)</f>
        <v/>
      </c>
    </row>
    <row r="1917">
      <c r="A1917" s="5">
        <f>IF($J1917="","",IF($J1917&lt;=1500,INDEX('Daily Sale entry '!$X$1:$X$1501,$J1917+1),INDEX('Daily Sale entry '!$V$1:$V$1501,$J1917-1499)))</f>
        <v/>
      </c>
      <c r="B1917">
        <f>IF($J1917="","",IF($J1917&lt;=1500,INDEX('Daily Sale entry '!$Y$1:$Y$1501,$J1917+1)&amp;"","Buyer cheque banked 买家支票存入"&amp;IF(INDEX('Daily Sale entry '!$U$1:$U$1501,$J1917-1499)="","", " - "&amp;INDEX('Daily Sale entry '!$U$1:$U$1501,$J1917-1499))))</f>
        <v/>
      </c>
      <c r="C1917">
        <f>IF($J1917="","",IF($J1917&lt;=1500,INDEX('Daily Sale entry '!$Z$1:$Z$1501,$J1917+1)&amp;"","Cheque deposit 支票存入 (buyer 买家)"))</f>
        <v/>
      </c>
      <c r="D1917">
        <f>IF($J1917="","",IF($J1917&lt;=1500,INDEX('Daily Sale entry '!$AA$1:$AA$1501,$J1917+1)&amp;"",INDEX('Daily Sale entry '!$P$1:$P$1501,$J1917-1499)&amp;""))</f>
        <v/>
      </c>
      <c r="E1917">
        <f>IF($J1917="","",IF($J1917&lt;=1500,IF(N(INDEX('Daily Sale entry '!$AB$1:$AB$1501,$J1917+1))=0,"",INDEX('Daily Sale entry '!$AB$1:$AB$1501,$J1917+1)),1))</f>
        <v/>
      </c>
      <c r="F1917" s="6">
        <f>IF($J1917="","",IF($J1917&lt;=1500,N(INDEX('Daily Sale entry '!$AC$1:$AC$1501,$J1917+1))-IF(AND('Opening Balance'!$B$15=1,INDEX('Daily Sale entry '!$Z$1:$Z$1501,$J1917+1)="Online collection 网上收款",INDEX('Daily Sale entry '!$AA$1:$AA$1501,$J1917+1)&lt;&gt;""),N(INDEX('Daily Sale entry '!$AC$1:$AC$1501,$J1917+1))-TRUNC(N(INDEX('Daily Sale entry '!$AC$1:$AC$1501,$J1917+1))),0),N(INDEX('Daily Sale entry '!$S$1:$S$1501,$J1917-1499))-'Opening Balance'!$B$15*(N(INDEX('Daily Sale entry '!$S$1:$S$1501,$J1917-1499))-TRUNC(N(INDEX('Daily Sale entry '!$S$1:$S$1501,$J1917-1499))))))</f>
        <v/>
      </c>
      <c r="G1917" s="6">
        <f>IF($J1917="","",IF($J1917&lt;=1500,N(INDEX('Daily Sale entry '!$AD$1:$AD$1501,$J1917+1)),0))</f>
        <v/>
      </c>
      <c r="H1917" s="6">
        <f>IF($J1917="","",ROUND('Opening Balance'!$B$4+SUM($F$2:F1917)-SUM($G$2:G1917),2))</f>
        <v/>
      </c>
      <c r="J1917" s="21">
        <f>IFERROR(MATCH(ROW()-1,$L$2:$L$3001,0),"")</f>
        <v/>
      </c>
      <c r="K1917" s="34">
        <f>IF(AND('Daily Sale entry '!Q417="Collection 收款",'Daily Sale entry '!R417="Cheque 支票",'Daily Sale entry '!V417&lt;&gt;""),'Daily Sale entry '!V417+ROW()/10000000,"")</f>
        <v/>
      </c>
      <c r="L1917" s="21">
        <f>IF(K1917="","",COUNTIF($K$2:$K$3001,"&lt;"&amp;K1917)+1)</f>
        <v/>
      </c>
    </row>
    <row r="1918">
      <c r="A1918" s="5">
        <f>IF($J1918="","",IF($J1918&lt;=1500,INDEX('Daily Sale entry '!$X$1:$X$1501,$J1918+1),INDEX('Daily Sale entry '!$V$1:$V$1501,$J1918-1499)))</f>
        <v/>
      </c>
      <c r="B1918">
        <f>IF($J1918="","",IF($J1918&lt;=1500,INDEX('Daily Sale entry '!$Y$1:$Y$1501,$J1918+1)&amp;"","Buyer cheque banked 买家支票存入"&amp;IF(INDEX('Daily Sale entry '!$U$1:$U$1501,$J1918-1499)="","", " - "&amp;INDEX('Daily Sale entry '!$U$1:$U$1501,$J1918-1499))))</f>
        <v/>
      </c>
      <c r="C1918">
        <f>IF($J1918="","",IF($J1918&lt;=1500,INDEX('Daily Sale entry '!$Z$1:$Z$1501,$J1918+1)&amp;"","Cheque deposit 支票存入 (buyer 买家)"))</f>
        <v/>
      </c>
      <c r="D1918">
        <f>IF($J1918="","",IF($J1918&lt;=1500,INDEX('Daily Sale entry '!$AA$1:$AA$1501,$J1918+1)&amp;"",INDEX('Daily Sale entry '!$P$1:$P$1501,$J1918-1499)&amp;""))</f>
        <v/>
      </c>
      <c r="E1918">
        <f>IF($J1918="","",IF($J1918&lt;=1500,IF(N(INDEX('Daily Sale entry '!$AB$1:$AB$1501,$J1918+1))=0,"",INDEX('Daily Sale entry '!$AB$1:$AB$1501,$J1918+1)),1))</f>
        <v/>
      </c>
      <c r="F1918" s="6">
        <f>IF($J1918="","",IF($J1918&lt;=1500,N(INDEX('Daily Sale entry '!$AC$1:$AC$1501,$J1918+1))-IF(AND('Opening Balance'!$B$15=1,INDEX('Daily Sale entry '!$Z$1:$Z$1501,$J1918+1)="Online collection 网上收款",INDEX('Daily Sale entry '!$AA$1:$AA$1501,$J1918+1)&lt;&gt;""),N(INDEX('Daily Sale entry '!$AC$1:$AC$1501,$J1918+1))-TRUNC(N(INDEX('Daily Sale entry '!$AC$1:$AC$1501,$J1918+1))),0),N(INDEX('Daily Sale entry '!$S$1:$S$1501,$J1918-1499))-'Opening Balance'!$B$15*(N(INDEX('Daily Sale entry '!$S$1:$S$1501,$J1918-1499))-TRUNC(N(INDEX('Daily Sale entry '!$S$1:$S$1501,$J1918-1499))))))</f>
        <v/>
      </c>
      <c r="G1918" s="6">
        <f>IF($J1918="","",IF($J1918&lt;=1500,N(INDEX('Daily Sale entry '!$AD$1:$AD$1501,$J1918+1)),0))</f>
        <v/>
      </c>
      <c r="H1918" s="6">
        <f>IF($J1918="","",ROUND('Opening Balance'!$B$4+SUM($F$2:F1918)-SUM($G$2:G1918),2))</f>
        <v/>
      </c>
      <c r="J1918" s="21">
        <f>IFERROR(MATCH(ROW()-1,$L$2:$L$3001,0),"")</f>
        <v/>
      </c>
      <c r="K1918" s="34">
        <f>IF(AND('Daily Sale entry '!Q418="Collection 收款",'Daily Sale entry '!R418="Cheque 支票",'Daily Sale entry '!V418&lt;&gt;""),'Daily Sale entry '!V418+ROW()/10000000,"")</f>
        <v/>
      </c>
      <c r="L1918" s="21">
        <f>IF(K1918="","",COUNTIF($K$2:$K$3001,"&lt;"&amp;K1918)+1)</f>
        <v/>
      </c>
    </row>
    <row r="1919">
      <c r="A1919" s="5">
        <f>IF($J1919="","",IF($J1919&lt;=1500,INDEX('Daily Sale entry '!$X$1:$X$1501,$J1919+1),INDEX('Daily Sale entry '!$V$1:$V$1501,$J1919-1499)))</f>
        <v/>
      </c>
      <c r="B1919">
        <f>IF($J1919="","",IF($J1919&lt;=1500,INDEX('Daily Sale entry '!$Y$1:$Y$1501,$J1919+1)&amp;"","Buyer cheque banked 买家支票存入"&amp;IF(INDEX('Daily Sale entry '!$U$1:$U$1501,$J1919-1499)="","", " - "&amp;INDEX('Daily Sale entry '!$U$1:$U$1501,$J1919-1499))))</f>
        <v/>
      </c>
      <c r="C1919">
        <f>IF($J1919="","",IF($J1919&lt;=1500,INDEX('Daily Sale entry '!$Z$1:$Z$1501,$J1919+1)&amp;"","Cheque deposit 支票存入 (buyer 买家)"))</f>
        <v/>
      </c>
      <c r="D1919">
        <f>IF($J1919="","",IF($J1919&lt;=1500,INDEX('Daily Sale entry '!$AA$1:$AA$1501,$J1919+1)&amp;"",INDEX('Daily Sale entry '!$P$1:$P$1501,$J1919-1499)&amp;""))</f>
        <v/>
      </c>
      <c r="E1919">
        <f>IF($J1919="","",IF($J1919&lt;=1500,IF(N(INDEX('Daily Sale entry '!$AB$1:$AB$1501,$J1919+1))=0,"",INDEX('Daily Sale entry '!$AB$1:$AB$1501,$J1919+1)),1))</f>
        <v/>
      </c>
      <c r="F1919" s="6">
        <f>IF($J1919="","",IF($J1919&lt;=1500,N(INDEX('Daily Sale entry '!$AC$1:$AC$1501,$J1919+1))-IF(AND('Opening Balance'!$B$15=1,INDEX('Daily Sale entry '!$Z$1:$Z$1501,$J1919+1)="Online collection 网上收款",INDEX('Daily Sale entry '!$AA$1:$AA$1501,$J1919+1)&lt;&gt;""),N(INDEX('Daily Sale entry '!$AC$1:$AC$1501,$J1919+1))-TRUNC(N(INDEX('Daily Sale entry '!$AC$1:$AC$1501,$J1919+1))),0),N(INDEX('Daily Sale entry '!$S$1:$S$1501,$J1919-1499))-'Opening Balance'!$B$15*(N(INDEX('Daily Sale entry '!$S$1:$S$1501,$J1919-1499))-TRUNC(N(INDEX('Daily Sale entry '!$S$1:$S$1501,$J1919-1499))))))</f>
        <v/>
      </c>
      <c r="G1919" s="6">
        <f>IF($J1919="","",IF($J1919&lt;=1500,N(INDEX('Daily Sale entry '!$AD$1:$AD$1501,$J1919+1)),0))</f>
        <v/>
      </c>
      <c r="H1919" s="6">
        <f>IF($J1919="","",ROUND('Opening Balance'!$B$4+SUM($F$2:F1919)-SUM($G$2:G1919),2))</f>
        <v/>
      </c>
      <c r="J1919" s="21">
        <f>IFERROR(MATCH(ROW()-1,$L$2:$L$3001,0),"")</f>
        <v/>
      </c>
      <c r="K1919" s="34">
        <f>IF(AND('Daily Sale entry '!Q419="Collection 收款",'Daily Sale entry '!R419="Cheque 支票",'Daily Sale entry '!V419&lt;&gt;""),'Daily Sale entry '!V419+ROW()/10000000,"")</f>
        <v/>
      </c>
      <c r="L1919" s="21">
        <f>IF(K1919="","",COUNTIF($K$2:$K$3001,"&lt;"&amp;K1919)+1)</f>
        <v/>
      </c>
    </row>
    <row r="1920">
      <c r="A1920" s="5">
        <f>IF($J1920="","",IF($J1920&lt;=1500,INDEX('Daily Sale entry '!$X$1:$X$1501,$J1920+1),INDEX('Daily Sale entry '!$V$1:$V$1501,$J1920-1499)))</f>
        <v/>
      </c>
      <c r="B1920">
        <f>IF($J1920="","",IF($J1920&lt;=1500,INDEX('Daily Sale entry '!$Y$1:$Y$1501,$J1920+1)&amp;"","Buyer cheque banked 买家支票存入"&amp;IF(INDEX('Daily Sale entry '!$U$1:$U$1501,$J1920-1499)="","", " - "&amp;INDEX('Daily Sale entry '!$U$1:$U$1501,$J1920-1499))))</f>
        <v/>
      </c>
      <c r="C1920">
        <f>IF($J1920="","",IF($J1920&lt;=1500,INDEX('Daily Sale entry '!$Z$1:$Z$1501,$J1920+1)&amp;"","Cheque deposit 支票存入 (buyer 买家)"))</f>
        <v/>
      </c>
      <c r="D1920">
        <f>IF($J1920="","",IF($J1920&lt;=1500,INDEX('Daily Sale entry '!$AA$1:$AA$1501,$J1920+1)&amp;"",INDEX('Daily Sale entry '!$P$1:$P$1501,$J1920-1499)&amp;""))</f>
        <v/>
      </c>
      <c r="E1920">
        <f>IF($J1920="","",IF($J1920&lt;=1500,IF(N(INDEX('Daily Sale entry '!$AB$1:$AB$1501,$J1920+1))=0,"",INDEX('Daily Sale entry '!$AB$1:$AB$1501,$J1920+1)),1))</f>
        <v/>
      </c>
      <c r="F1920" s="6">
        <f>IF($J1920="","",IF($J1920&lt;=1500,N(INDEX('Daily Sale entry '!$AC$1:$AC$1501,$J1920+1))-IF(AND('Opening Balance'!$B$15=1,INDEX('Daily Sale entry '!$Z$1:$Z$1501,$J1920+1)="Online collection 网上收款",INDEX('Daily Sale entry '!$AA$1:$AA$1501,$J1920+1)&lt;&gt;""),N(INDEX('Daily Sale entry '!$AC$1:$AC$1501,$J1920+1))-TRUNC(N(INDEX('Daily Sale entry '!$AC$1:$AC$1501,$J1920+1))),0),N(INDEX('Daily Sale entry '!$S$1:$S$1501,$J1920-1499))-'Opening Balance'!$B$15*(N(INDEX('Daily Sale entry '!$S$1:$S$1501,$J1920-1499))-TRUNC(N(INDEX('Daily Sale entry '!$S$1:$S$1501,$J1920-1499))))))</f>
        <v/>
      </c>
      <c r="G1920" s="6">
        <f>IF($J1920="","",IF($J1920&lt;=1500,N(INDEX('Daily Sale entry '!$AD$1:$AD$1501,$J1920+1)),0))</f>
        <v/>
      </c>
      <c r="H1920" s="6">
        <f>IF($J1920="","",ROUND('Opening Balance'!$B$4+SUM($F$2:F1920)-SUM($G$2:G1920),2))</f>
        <v/>
      </c>
      <c r="J1920" s="21">
        <f>IFERROR(MATCH(ROW()-1,$L$2:$L$3001,0),"")</f>
        <v/>
      </c>
      <c r="K1920" s="34">
        <f>IF(AND('Daily Sale entry '!Q420="Collection 收款",'Daily Sale entry '!R420="Cheque 支票",'Daily Sale entry '!V420&lt;&gt;""),'Daily Sale entry '!V420+ROW()/10000000,"")</f>
        <v/>
      </c>
      <c r="L1920" s="21">
        <f>IF(K1920="","",COUNTIF($K$2:$K$3001,"&lt;"&amp;K1920)+1)</f>
        <v/>
      </c>
    </row>
    <row r="1921">
      <c r="A1921" s="5">
        <f>IF($J1921="","",IF($J1921&lt;=1500,INDEX('Daily Sale entry '!$X$1:$X$1501,$J1921+1),INDEX('Daily Sale entry '!$V$1:$V$1501,$J1921-1499)))</f>
        <v/>
      </c>
      <c r="B1921">
        <f>IF($J1921="","",IF($J1921&lt;=1500,INDEX('Daily Sale entry '!$Y$1:$Y$1501,$J1921+1)&amp;"","Buyer cheque banked 买家支票存入"&amp;IF(INDEX('Daily Sale entry '!$U$1:$U$1501,$J1921-1499)="","", " - "&amp;INDEX('Daily Sale entry '!$U$1:$U$1501,$J1921-1499))))</f>
        <v/>
      </c>
      <c r="C1921">
        <f>IF($J1921="","",IF($J1921&lt;=1500,INDEX('Daily Sale entry '!$Z$1:$Z$1501,$J1921+1)&amp;"","Cheque deposit 支票存入 (buyer 买家)"))</f>
        <v/>
      </c>
      <c r="D1921">
        <f>IF($J1921="","",IF($J1921&lt;=1500,INDEX('Daily Sale entry '!$AA$1:$AA$1501,$J1921+1)&amp;"",INDEX('Daily Sale entry '!$P$1:$P$1501,$J1921-1499)&amp;""))</f>
        <v/>
      </c>
      <c r="E1921">
        <f>IF($J1921="","",IF($J1921&lt;=1500,IF(N(INDEX('Daily Sale entry '!$AB$1:$AB$1501,$J1921+1))=0,"",INDEX('Daily Sale entry '!$AB$1:$AB$1501,$J1921+1)),1))</f>
        <v/>
      </c>
      <c r="F1921" s="6">
        <f>IF($J1921="","",IF($J1921&lt;=1500,N(INDEX('Daily Sale entry '!$AC$1:$AC$1501,$J1921+1))-IF(AND('Opening Balance'!$B$15=1,INDEX('Daily Sale entry '!$Z$1:$Z$1501,$J1921+1)="Online collection 网上收款",INDEX('Daily Sale entry '!$AA$1:$AA$1501,$J1921+1)&lt;&gt;""),N(INDEX('Daily Sale entry '!$AC$1:$AC$1501,$J1921+1))-TRUNC(N(INDEX('Daily Sale entry '!$AC$1:$AC$1501,$J1921+1))),0),N(INDEX('Daily Sale entry '!$S$1:$S$1501,$J1921-1499))-'Opening Balance'!$B$15*(N(INDEX('Daily Sale entry '!$S$1:$S$1501,$J1921-1499))-TRUNC(N(INDEX('Daily Sale entry '!$S$1:$S$1501,$J1921-1499))))))</f>
        <v/>
      </c>
      <c r="G1921" s="6">
        <f>IF($J1921="","",IF($J1921&lt;=1500,N(INDEX('Daily Sale entry '!$AD$1:$AD$1501,$J1921+1)),0))</f>
        <v/>
      </c>
      <c r="H1921" s="6">
        <f>IF($J1921="","",ROUND('Opening Balance'!$B$4+SUM($F$2:F1921)-SUM($G$2:G1921),2))</f>
        <v/>
      </c>
      <c r="J1921" s="21">
        <f>IFERROR(MATCH(ROW()-1,$L$2:$L$3001,0),"")</f>
        <v/>
      </c>
      <c r="K1921" s="34">
        <f>IF(AND('Daily Sale entry '!Q421="Collection 收款",'Daily Sale entry '!R421="Cheque 支票",'Daily Sale entry '!V421&lt;&gt;""),'Daily Sale entry '!V421+ROW()/10000000,"")</f>
        <v/>
      </c>
      <c r="L1921" s="21">
        <f>IF(K1921="","",COUNTIF($K$2:$K$3001,"&lt;"&amp;K1921)+1)</f>
        <v/>
      </c>
    </row>
    <row r="1922">
      <c r="A1922" s="5">
        <f>IF($J1922="","",IF($J1922&lt;=1500,INDEX('Daily Sale entry '!$X$1:$X$1501,$J1922+1),INDEX('Daily Sale entry '!$V$1:$V$1501,$J1922-1499)))</f>
        <v/>
      </c>
      <c r="B1922">
        <f>IF($J1922="","",IF($J1922&lt;=1500,INDEX('Daily Sale entry '!$Y$1:$Y$1501,$J1922+1)&amp;"","Buyer cheque banked 买家支票存入"&amp;IF(INDEX('Daily Sale entry '!$U$1:$U$1501,$J1922-1499)="","", " - "&amp;INDEX('Daily Sale entry '!$U$1:$U$1501,$J1922-1499))))</f>
        <v/>
      </c>
      <c r="C1922">
        <f>IF($J1922="","",IF($J1922&lt;=1500,INDEX('Daily Sale entry '!$Z$1:$Z$1501,$J1922+1)&amp;"","Cheque deposit 支票存入 (buyer 买家)"))</f>
        <v/>
      </c>
      <c r="D1922">
        <f>IF($J1922="","",IF($J1922&lt;=1500,INDEX('Daily Sale entry '!$AA$1:$AA$1501,$J1922+1)&amp;"",INDEX('Daily Sale entry '!$P$1:$P$1501,$J1922-1499)&amp;""))</f>
        <v/>
      </c>
      <c r="E1922">
        <f>IF($J1922="","",IF($J1922&lt;=1500,IF(N(INDEX('Daily Sale entry '!$AB$1:$AB$1501,$J1922+1))=0,"",INDEX('Daily Sale entry '!$AB$1:$AB$1501,$J1922+1)),1))</f>
        <v/>
      </c>
      <c r="F1922" s="6">
        <f>IF($J1922="","",IF($J1922&lt;=1500,N(INDEX('Daily Sale entry '!$AC$1:$AC$1501,$J1922+1))-IF(AND('Opening Balance'!$B$15=1,INDEX('Daily Sale entry '!$Z$1:$Z$1501,$J1922+1)="Online collection 网上收款",INDEX('Daily Sale entry '!$AA$1:$AA$1501,$J1922+1)&lt;&gt;""),N(INDEX('Daily Sale entry '!$AC$1:$AC$1501,$J1922+1))-TRUNC(N(INDEX('Daily Sale entry '!$AC$1:$AC$1501,$J1922+1))),0),N(INDEX('Daily Sale entry '!$S$1:$S$1501,$J1922-1499))-'Opening Balance'!$B$15*(N(INDEX('Daily Sale entry '!$S$1:$S$1501,$J1922-1499))-TRUNC(N(INDEX('Daily Sale entry '!$S$1:$S$1501,$J1922-1499))))))</f>
        <v/>
      </c>
      <c r="G1922" s="6">
        <f>IF($J1922="","",IF($J1922&lt;=1500,N(INDEX('Daily Sale entry '!$AD$1:$AD$1501,$J1922+1)),0))</f>
        <v/>
      </c>
      <c r="H1922" s="6">
        <f>IF($J1922="","",ROUND('Opening Balance'!$B$4+SUM($F$2:F1922)-SUM($G$2:G1922),2))</f>
        <v/>
      </c>
      <c r="J1922" s="21">
        <f>IFERROR(MATCH(ROW()-1,$L$2:$L$3001,0),"")</f>
        <v/>
      </c>
      <c r="K1922" s="34">
        <f>IF(AND('Daily Sale entry '!Q422="Collection 收款",'Daily Sale entry '!R422="Cheque 支票",'Daily Sale entry '!V422&lt;&gt;""),'Daily Sale entry '!V422+ROW()/10000000,"")</f>
        <v/>
      </c>
      <c r="L1922" s="21">
        <f>IF(K1922="","",COUNTIF($K$2:$K$3001,"&lt;"&amp;K1922)+1)</f>
        <v/>
      </c>
    </row>
    <row r="1923">
      <c r="A1923" s="5">
        <f>IF($J1923="","",IF($J1923&lt;=1500,INDEX('Daily Sale entry '!$X$1:$X$1501,$J1923+1),INDEX('Daily Sale entry '!$V$1:$V$1501,$J1923-1499)))</f>
        <v/>
      </c>
      <c r="B1923">
        <f>IF($J1923="","",IF($J1923&lt;=1500,INDEX('Daily Sale entry '!$Y$1:$Y$1501,$J1923+1)&amp;"","Buyer cheque banked 买家支票存入"&amp;IF(INDEX('Daily Sale entry '!$U$1:$U$1501,$J1923-1499)="","", " - "&amp;INDEX('Daily Sale entry '!$U$1:$U$1501,$J1923-1499))))</f>
        <v/>
      </c>
      <c r="C1923">
        <f>IF($J1923="","",IF($J1923&lt;=1500,INDEX('Daily Sale entry '!$Z$1:$Z$1501,$J1923+1)&amp;"","Cheque deposit 支票存入 (buyer 买家)"))</f>
        <v/>
      </c>
      <c r="D1923">
        <f>IF($J1923="","",IF($J1923&lt;=1500,INDEX('Daily Sale entry '!$AA$1:$AA$1501,$J1923+1)&amp;"",INDEX('Daily Sale entry '!$P$1:$P$1501,$J1923-1499)&amp;""))</f>
        <v/>
      </c>
      <c r="E1923">
        <f>IF($J1923="","",IF($J1923&lt;=1500,IF(N(INDEX('Daily Sale entry '!$AB$1:$AB$1501,$J1923+1))=0,"",INDEX('Daily Sale entry '!$AB$1:$AB$1501,$J1923+1)),1))</f>
        <v/>
      </c>
      <c r="F1923" s="6">
        <f>IF($J1923="","",IF($J1923&lt;=1500,N(INDEX('Daily Sale entry '!$AC$1:$AC$1501,$J1923+1))-IF(AND('Opening Balance'!$B$15=1,INDEX('Daily Sale entry '!$Z$1:$Z$1501,$J1923+1)="Online collection 网上收款",INDEX('Daily Sale entry '!$AA$1:$AA$1501,$J1923+1)&lt;&gt;""),N(INDEX('Daily Sale entry '!$AC$1:$AC$1501,$J1923+1))-TRUNC(N(INDEX('Daily Sale entry '!$AC$1:$AC$1501,$J1923+1))),0),N(INDEX('Daily Sale entry '!$S$1:$S$1501,$J1923-1499))-'Opening Balance'!$B$15*(N(INDEX('Daily Sale entry '!$S$1:$S$1501,$J1923-1499))-TRUNC(N(INDEX('Daily Sale entry '!$S$1:$S$1501,$J1923-1499))))))</f>
        <v/>
      </c>
      <c r="G1923" s="6">
        <f>IF($J1923="","",IF($J1923&lt;=1500,N(INDEX('Daily Sale entry '!$AD$1:$AD$1501,$J1923+1)),0))</f>
        <v/>
      </c>
      <c r="H1923" s="6">
        <f>IF($J1923="","",ROUND('Opening Balance'!$B$4+SUM($F$2:F1923)-SUM($G$2:G1923),2))</f>
        <v/>
      </c>
      <c r="J1923" s="21">
        <f>IFERROR(MATCH(ROW()-1,$L$2:$L$3001,0),"")</f>
        <v/>
      </c>
      <c r="K1923" s="34">
        <f>IF(AND('Daily Sale entry '!Q423="Collection 收款",'Daily Sale entry '!R423="Cheque 支票",'Daily Sale entry '!V423&lt;&gt;""),'Daily Sale entry '!V423+ROW()/10000000,"")</f>
        <v/>
      </c>
      <c r="L1923" s="21">
        <f>IF(K1923="","",COUNTIF($K$2:$K$3001,"&lt;"&amp;K1923)+1)</f>
        <v/>
      </c>
    </row>
    <row r="1924">
      <c r="A1924" s="5">
        <f>IF($J1924="","",IF($J1924&lt;=1500,INDEX('Daily Sale entry '!$X$1:$X$1501,$J1924+1),INDEX('Daily Sale entry '!$V$1:$V$1501,$J1924-1499)))</f>
        <v/>
      </c>
      <c r="B1924">
        <f>IF($J1924="","",IF($J1924&lt;=1500,INDEX('Daily Sale entry '!$Y$1:$Y$1501,$J1924+1)&amp;"","Buyer cheque banked 买家支票存入"&amp;IF(INDEX('Daily Sale entry '!$U$1:$U$1501,$J1924-1499)="","", " - "&amp;INDEX('Daily Sale entry '!$U$1:$U$1501,$J1924-1499))))</f>
        <v/>
      </c>
      <c r="C1924">
        <f>IF($J1924="","",IF($J1924&lt;=1500,INDEX('Daily Sale entry '!$Z$1:$Z$1501,$J1924+1)&amp;"","Cheque deposit 支票存入 (buyer 买家)"))</f>
        <v/>
      </c>
      <c r="D1924">
        <f>IF($J1924="","",IF($J1924&lt;=1500,INDEX('Daily Sale entry '!$AA$1:$AA$1501,$J1924+1)&amp;"",INDEX('Daily Sale entry '!$P$1:$P$1501,$J1924-1499)&amp;""))</f>
        <v/>
      </c>
      <c r="E1924">
        <f>IF($J1924="","",IF($J1924&lt;=1500,IF(N(INDEX('Daily Sale entry '!$AB$1:$AB$1501,$J1924+1))=0,"",INDEX('Daily Sale entry '!$AB$1:$AB$1501,$J1924+1)),1))</f>
        <v/>
      </c>
      <c r="F1924" s="6">
        <f>IF($J1924="","",IF($J1924&lt;=1500,N(INDEX('Daily Sale entry '!$AC$1:$AC$1501,$J1924+1))-IF(AND('Opening Balance'!$B$15=1,INDEX('Daily Sale entry '!$Z$1:$Z$1501,$J1924+1)="Online collection 网上收款",INDEX('Daily Sale entry '!$AA$1:$AA$1501,$J1924+1)&lt;&gt;""),N(INDEX('Daily Sale entry '!$AC$1:$AC$1501,$J1924+1))-TRUNC(N(INDEX('Daily Sale entry '!$AC$1:$AC$1501,$J1924+1))),0),N(INDEX('Daily Sale entry '!$S$1:$S$1501,$J1924-1499))-'Opening Balance'!$B$15*(N(INDEX('Daily Sale entry '!$S$1:$S$1501,$J1924-1499))-TRUNC(N(INDEX('Daily Sale entry '!$S$1:$S$1501,$J1924-1499))))))</f>
        <v/>
      </c>
      <c r="G1924" s="6">
        <f>IF($J1924="","",IF($J1924&lt;=1500,N(INDEX('Daily Sale entry '!$AD$1:$AD$1501,$J1924+1)),0))</f>
        <v/>
      </c>
      <c r="H1924" s="6">
        <f>IF($J1924="","",ROUND('Opening Balance'!$B$4+SUM($F$2:F1924)-SUM($G$2:G1924),2))</f>
        <v/>
      </c>
      <c r="J1924" s="21">
        <f>IFERROR(MATCH(ROW()-1,$L$2:$L$3001,0),"")</f>
        <v/>
      </c>
      <c r="K1924" s="34">
        <f>IF(AND('Daily Sale entry '!Q424="Collection 收款",'Daily Sale entry '!R424="Cheque 支票",'Daily Sale entry '!V424&lt;&gt;""),'Daily Sale entry '!V424+ROW()/10000000,"")</f>
        <v/>
      </c>
      <c r="L1924" s="21">
        <f>IF(K1924="","",COUNTIF($K$2:$K$3001,"&lt;"&amp;K1924)+1)</f>
        <v/>
      </c>
    </row>
    <row r="1925">
      <c r="A1925" s="5">
        <f>IF($J1925="","",IF($J1925&lt;=1500,INDEX('Daily Sale entry '!$X$1:$X$1501,$J1925+1),INDEX('Daily Sale entry '!$V$1:$V$1501,$J1925-1499)))</f>
        <v/>
      </c>
      <c r="B1925">
        <f>IF($J1925="","",IF($J1925&lt;=1500,INDEX('Daily Sale entry '!$Y$1:$Y$1501,$J1925+1)&amp;"","Buyer cheque banked 买家支票存入"&amp;IF(INDEX('Daily Sale entry '!$U$1:$U$1501,$J1925-1499)="","", " - "&amp;INDEX('Daily Sale entry '!$U$1:$U$1501,$J1925-1499))))</f>
        <v/>
      </c>
      <c r="C1925">
        <f>IF($J1925="","",IF($J1925&lt;=1500,INDEX('Daily Sale entry '!$Z$1:$Z$1501,$J1925+1)&amp;"","Cheque deposit 支票存入 (buyer 买家)"))</f>
        <v/>
      </c>
      <c r="D1925">
        <f>IF($J1925="","",IF($J1925&lt;=1500,INDEX('Daily Sale entry '!$AA$1:$AA$1501,$J1925+1)&amp;"",INDEX('Daily Sale entry '!$P$1:$P$1501,$J1925-1499)&amp;""))</f>
        <v/>
      </c>
      <c r="E1925">
        <f>IF($J1925="","",IF($J1925&lt;=1500,IF(N(INDEX('Daily Sale entry '!$AB$1:$AB$1501,$J1925+1))=0,"",INDEX('Daily Sale entry '!$AB$1:$AB$1501,$J1925+1)),1))</f>
        <v/>
      </c>
      <c r="F1925" s="6">
        <f>IF($J1925="","",IF($J1925&lt;=1500,N(INDEX('Daily Sale entry '!$AC$1:$AC$1501,$J1925+1))-IF(AND('Opening Balance'!$B$15=1,INDEX('Daily Sale entry '!$Z$1:$Z$1501,$J1925+1)="Online collection 网上收款",INDEX('Daily Sale entry '!$AA$1:$AA$1501,$J1925+1)&lt;&gt;""),N(INDEX('Daily Sale entry '!$AC$1:$AC$1501,$J1925+1))-TRUNC(N(INDEX('Daily Sale entry '!$AC$1:$AC$1501,$J1925+1))),0),N(INDEX('Daily Sale entry '!$S$1:$S$1501,$J1925-1499))-'Opening Balance'!$B$15*(N(INDEX('Daily Sale entry '!$S$1:$S$1501,$J1925-1499))-TRUNC(N(INDEX('Daily Sale entry '!$S$1:$S$1501,$J1925-1499))))))</f>
        <v/>
      </c>
      <c r="G1925" s="6">
        <f>IF($J1925="","",IF($J1925&lt;=1500,N(INDEX('Daily Sale entry '!$AD$1:$AD$1501,$J1925+1)),0))</f>
        <v/>
      </c>
      <c r="H1925" s="6">
        <f>IF($J1925="","",ROUND('Opening Balance'!$B$4+SUM($F$2:F1925)-SUM($G$2:G1925),2))</f>
        <v/>
      </c>
      <c r="J1925" s="21">
        <f>IFERROR(MATCH(ROW()-1,$L$2:$L$3001,0),"")</f>
        <v/>
      </c>
      <c r="K1925" s="34">
        <f>IF(AND('Daily Sale entry '!Q425="Collection 收款",'Daily Sale entry '!R425="Cheque 支票",'Daily Sale entry '!V425&lt;&gt;""),'Daily Sale entry '!V425+ROW()/10000000,"")</f>
        <v/>
      </c>
      <c r="L1925" s="21">
        <f>IF(K1925="","",COUNTIF($K$2:$K$3001,"&lt;"&amp;K1925)+1)</f>
        <v/>
      </c>
    </row>
    <row r="1926">
      <c r="A1926" s="5">
        <f>IF($J1926="","",IF($J1926&lt;=1500,INDEX('Daily Sale entry '!$X$1:$X$1501,$J1926+1),INDEX('Daily Sale entry '!$V$1:$V$1501,$J1926-1499)))</f>
        <v/>
      </c>
      <c r="B1926">
        <f>IF($J1926="","",IF($J1926&lt;=1500,INDEX('Daily Sale entry '!$Y$1:$Y$1501,$J1926+1)&amp;"","Buyer cheque banked 买家支票存入"&amp;IF(INDEX('Daily Sale entry '!$U$1:$U$1501,$J1926-1499)="","", " - "&amp;INDEX('Daily Sale entry '!$U$1:$U$1501,$J1926-1499))))</f>
        <v/>
      </c>
      <c r="C1926">
        <f>IF($J1926="","",IF($J1926&lt;=1500,INDEX('Daily Sale entry '!$Z$1:$Z$1501,$J1926+1)&amp;"","Cheque deposit 支票存入 (buyer 买家)"))</f>
        <v/>
      </c>
      <c r="D1926">
        <f>IF($J1926="","",IF($J1926&lt;=1500,INDEX('Daily Sale entry '!$AA$1:$AA$1501,$J1926+1)&amp;"",INDEX('Daily Sale entry '!$P$1:$P$1501,$J1926-1499)&amp;""))</f>
        <v/>
      </c>
      <c r="E1926">
        <f>IF($J1926="","",IF($J1926&lt;=1500,IF(N(INDEX('Daily Sale entry '!$AB$1:$AB$1501,$J1926+1))=0,"",INDEX('Daily Sale entry '!$AB$1:$AB$1501,$J1926+1)),1))</f>
        <v/>
      </c>
      <c r="F1926" s="6">
        <f>IF($J1926="","",IF($J1926&lt;=1500,N(INDEX('Daily Sale entry '!$AC$1:$AC$1501,$J1926+1))-IF(AND('Opening Balance'!$B$15=1,INDEX('Daily Sale entry '!$Z$1:$Z$1501,$J1926+1)="Online collection 网上收款",INDEX('Daily Sale entry '!$AA$1:$AA$1501,$J1926+1)&lt;&gt;""),N(INDEX('Daily Sale entry '!$AC$1:$AC$1501,$J1926+1))-TRUNC(N(INDEX('Daily Sale entry '!$AC$1:$AC$1501,$J1926+1))),0),N(INDEX('Daily Sale entry '!$S$1:$S$1501,$J1926-1499))-'Opening Balance'!$B$15*(N(INDEX('Daily Sale entry '!$S$1:$S$1501,$J1926-1499))-TRUNC(N(INDEX('Daily Sale entry '!$S$1:$S$1501,$J1926-1499))))))</f>
        <v/>
      </c>
      <c r="G1926" s="6">
        <f>IF($J1926="","",IF($J1926&lt;=1500,N(INDEX('Daily Sale entry '!$AD$1:$AD$1501,$J1926+1)),0))</f>
        <v/>
      </c>
      <c r="H1926" s="6">
        <f>IF($J1926="","",ROUND('Opening Balance'!$B$4+SUM($F$2:F1926)-SUM($G$2:G1926),2))</f>
        <v/>
      </c>
      <c r="J1926" s="21">
        <f>IFERROR(MATCH(ROW()-1,$L$2:$L$3001,0),"")</f>
        <v/>
      </c>
      <c r="K1926" s="34">
        <f>IF(AND('Daily Sale entry '!Q426="Collection 收款",'Daily Sale entry '!R426="Cheque 支票",'Daily Sale entry '!V426&lt;&gt;""),'Daily Sale entry '!V426+ROW()/10000000,"")</f>
        <v/>
      </c>
      <c r="L1926" s="21">
        <f>IF(K1926="","",COUNTIF($K$2:$K$3001,"&lt;"&amp;K1926)+1)</f>
        <v/>
      </c>
    </row>
    <row r="1927">
      <c r="A1927" s="5">
        <f>IF($J1927="","",IF($J1927&lt;=1500,INDEX('Daily Sale entry '!$X$1:$X$1501,$J1927+1),INDEX('Daily Sale entry '!$V$1:$V$1501,$J1927-1499)))</f>
        <v/>
      </c>
      <c r="B1927">
        <f>IF($J1927="","",IF($J1927&lt;=1500,INDEX('Daily Sale entry '!$Y$1:$Y$1501,$J1927+1)&amp;"","Buyer cheque banked 买家支票存入"&amp;IF(INDEX('Daily Sale entry '!$U$1:$U$1501,$J1927-1499)="","", " - "&amp;INDEX('Daily Sale entry '!$U$1:$U$1501,$J1927-1499))))</f>
        <v/>
      </c>
      <c r="C1927">
        <f>IF($J1927="","",IF($J1927&lt;=1500,INDEX('Daily Sale entry '!$Z$1:$Z$1501,$J1927+1)&amp;"","Cheque deposit 支票存入 (buyer 买家)"))</f>
        <v/>
      </c>
      <c r="D1927">
        <f>IF($J1927="","",IF($J1927&lt;=1500,INDEX('Daily Sale entry '!$AA$1:$AA$1501,$J1927+1)&amp;"",INDEX('Daily Sale entry '!$P$1:$P$1501,$J1927-1499)&amp;""))</f>
        <v/>
      </c>
      <c r="E1927">
        <f>IF($J1927="","",IF($J1927&lt;=1500,IF(N(INDEX('Daily Sale entry '!$AB$1:$AB$1501,$J1927+1))=0,"",INDEX('Daily Sale entry '!$AB$1:$AB$1501,$J1927+1)),1))</f>
        <v/>
      </c>
      <c r="F1927" s="6">
        <f>IF($J1927="","",IF($J1927&lt;=1500,N(INDEX('Daily Sale entry '!$AC$1:$AC$1501,$J1927+1))-IF(AND('Opening Balance'!$B$15=1,INDEX('Daily Sale entry '!$Z$1:$Z$1501,$J1927+1)="Online collection 网上收款",INDEX('Daily Sale entry '!$AA$1:$AA$1501,$J1927+1)&lt;&gt;""),N(INDEX('Daily Sale entry '!$AC$1:$AC$1501,$J1927+1))-TRUNC(N(INDEX('Daily Sale entry '!$AC$1:$AC$1501,$J1927+1))),0),N(INDEX('Daily Sale entry '!$S$1:$S$1501,$J1927-1499))-'Opening Balance'!$B$15*(N(INDEX('Daily Sale entry '!$S$1:$S$1501,$J1927-1499))-TRUNC(N(INDEX('Daily Sale entry '!$S$1:$S$1501,$J1927-1499))))))</f>
        <v/>
      </c>
      <c r="G1927" s="6">
        <f>IF($J1927="","",IF($J1927&lt;=1500,N(INDEX('Daily Sale entry '!$AD$1:$AD$1501,$J1927+1)),0))</f>
        <v/>
      </c>
      <c r="H1927" s="6">
        <f>IF($J1927="","",ROUND('Opening Balance'!$B$4+SUM($F$2:F1927)-SUM($G$2:G1927),2))</f>
        <v/>
      </c>
      <c r="J1927" s="21">
        <f>IFERROR(MATCH(ROW()-1,$L$2:$L$3001,0),"")</f>
        <v/>
      </c>
      <c r="K1927" s="34">
        <f>IF(AND('Daily Sale entry '!Q427="Collection 收款",'Daily Sale entry '!R427="Cheque 支票",'Daily Sale entry '!V427&lt;&gt;""),'Daily Sale entry '!V427+ROW()/10000000,"")</f>
        <v/>
      </c>
      <c r="L1927" s="21">
        <f>IF(K1927="","",COUNTIF($K$2:$K$3001,"&lt;"&amp;K1927)+1)</f>
        <v/>
      </c>
    </row>
    <row r="1928">
      <c r="A1928" s="5">
        <f>IF($J1928="","",IF($J1928&lt;=1500,INDEX('Daily Sale entry '!$X$1:$X$1501,$J1928+1),INDEX('Daily Sale entry '!$V$1:$V$1501,$J1928-1499)))</f>
        <v/>
      </c>
      <c r="B1928">
        <f>IF($J1928="","",IF($J1928&lt;=1500,INDEX('Daily Sale entry '!$Y$1:$Y$1501,$J1928+1)&amp;"","Buyer cheque banked 买家支票存入"&amp;IF(INDEX('Daily Sale entry '!$U$1:$U$1501,$J1928-1499)="","", " - "&amp;INDEX('Daily Sale entry '!$U$1:$U$1501,$J1928-1499))))</f>
        <v/>
      </c>
      <c r="C1928">
        <f>IF($J1928="","",IF($J1928&lt;=1500,INDEX('Daily Sale entry '!$Z$1:$Z$1501,$J1928+1)&amp;"","Cheque deposit 支票存入 (buyer 买家)"))</f>
        <v/>
      </c>
      <c r="D1928">
        <f>IF($J1928="","",IF($J1928&lt;=1500,INDEX('Daily Sale entry '!$AA$1:$AA$1501,$J1928+1)&amp;"",INDEX('Daily Sale entry '!$P$1:$P$1501,$J1928-1499)&amp;""))</f>
        <v/>
      </c>
      <c r="E1928">
        <f>IF($J1928="","",IF($J1928&lt;=1500,IF(N(INDEX('Daily Sale entry '!$AB$1:$AB$1501,$J1928+1))=0,"",INDEX('Daily Sale entry '!$AB$1:$AB$1501,$J1928+1)),1))</f>
        <v/>
      </c>
      <c r="F1928" s="6">
        <f>IF($J1928="","",IF($J1928&lt;=1500,N(INDEX('Daily Sale entry '!$AC$1:$AC$1501,$J1928+1))-IF(AND('Opening Balance'!$B$15=1,INDEX('Daily Sale entry '!$Z$1:$Z$1501,$J1928+1)="Online collection 网上收款",INDEX('Daily Sale entry '!$AA$1:$AA$1501,$J1928+1)&lt;&gt;""),N(INDEX('Daily Sale entry '!$AC$1:$AC$1501,$J1928+1))-TRUNC(N(INDEX('Daily Sale entry '!$AC$1:$AC$1501,$J1928+1))),0),N(INDEX('Daily Sale entry '!$S$1:$S$1501,$J1928-1499))-'Opening Balance'!$B$15*(N(INDEX('Daily Sale entry '!$S$1:$S$1501,$J1928-1499))-TRUNC(N(INDEX('Daily Sale entry '!$S$1:$S$1501,$J1928-1499))))))</f>
        <v/>
      </c>
      <c r="G1928" s="6">
        <f>IF($J1928="","",IF($J1928&lt;=1500,N(INDEX('Daily Sale entry '!$AD$1:$AD$1501,$J1928+1)),0))</f>
        <v/>
      </c>
      <c r="H1928" s="6">
        <f>IF($J1928="","",ROUND('Opening Balance'!$B$4+SUM($F$2:F1928)-SUM($G$2:G1928),2))</f>
        <v/>
      </c>
      <c r="J1928" s="21">
        <f>IFERROR(MATCH(ROW()-1,$L$2:$L$3001,0),"")</f>
        <v/>
      </c>
      <c r="K1928" s="34">
        <f>IF(AND('Daily Sale entry '!Q428="Collection 收款",'Daily Sale entry '!R428="Cheque 支票",'Daily Sale entry '!V428&lt;&gt;""),'Daily Sale entry '!V428+ROW()/10000000,"")</f>
        <v/>
      </c>
      <c r="L1928" s="21">
        <f>IF(K1928="","",COUNTIF($K$2:$K$3001,"&lt;"&amp;K1928)+1)</f>
        <v/>
      </c>
    </row>
    <row r="1929">
      <c r="A1929" s="5">
        <f>IF($J1929="","",IF($J1929&lt;=1500,INDEX('Daily Sale entry '!$X$1:$X$1501,$J1929+1),INDEX('Daily Sale entry '!$V$1:$V$1501,$J1929-1499)))</f>
        <v/>
      </c>
      <c r="B1929">
        <f>IF($J1929="","",IF($J1929&lt;=1500,INDEX('Daily Sale entry '!$Y$1:$Y$1501,$J1929+1)&amp;"","Buyer cheque banked 买家支票存入"&amp;IF(INDEX('Daily Sale entry '!$U$1:$U$1501,$J1929-1499)="","", " - "&amp;INDEX('Daily Sale entry '!$U$1:$U$1501,$J1929-1499))))</f>
        <v/>
      </c>
      <c r="C1929">
        <f>IF($J1929="","",IF($J1929&lt;=1500,INDEX('Daily Sale entry '!$Z$1:$Z$1501,$J1929+1)&amp;"","Cheque deposit 支票存入 (buyer 买家)"))</f>
        <v/>
      </c>
      <c r="D1929">
        <f>IF($J1929="","",IF($J1929&lt;=1500,INDEX('Daily Sale entry '!$AA$1:$AA$1501,$J1929+1)&amp;"",INDEX('Daily Sale entry '!$P$1:$P$1501,$J1929-1499)&amp;""))</f>
        <v/>
      </c>
      <c r="E1929">
        <f>IF($J1929="","",IF($J1929&lt;=1500,IF(N(INDEX('Daily Sale entry '!$AB$1:$AB$1501,$J1929+1))=0,"",INDEX('Daily Sale entry '!$AB$1:$AB$1501,$J1929+1)),1))</f>
        <v/>
      </c>
      <c r="F1929" s="6">
        <f>IF($J1929="","",IF($J1929&lt;=1500,N(INDEX('Daily Sale entry '!$AC$1:$AC$1501,$J1929+1))-IF(AND('Opening Balance'!$B$15=1,INDEX('Daily Sale entry '!$Z$1:$Z$1501,$J1929+1)="Online collection 网上收款",INDEX('Daily Sale entry '!$AA$1:$AA$1501,$J1929+1)&lt;&gt;""),N(INDEX('Daily Sale entry '!$AC$1:$AC$1501,$J1929+1))-TRUNC(N(INDEX('Daily Sale entry '!$AC$1:$AC$1501,$J1929+1))),0),N(INDEX('Daily Sale entry '!$S$1:$S$1501,$J1929-1499))-'Opening Balance'!$B$15*(N(INDEX('Daily Sale entry '!$S$1:$S$1501,$J1929-1499))-TRUNC(N(INDEX('Daily Sale entry '!$S$1:$S$1501,$J1929-1499))))))</f>
        <v/>
      </c>
      <c r="G1929" s="6">
        <f>IF($J1929="","",IF($J1929&lt;=1500,N(INDEX('Daily Sale entry '!$AD$1:$AD$1501,$J1929+1)),0))</f>
        <v/>
      </c>
      <c r="H1929" s="6">
        <f>IF($J1929="","",ROUND('Opening Balance'!$B$4+SUM($F$2:F1929)-SUM($G$2:G1929),2))</f>
        <v/>
      </c>
      <c r="J1929" s="21">
        <f>IFERROR(MATCH(ROW()-1,$L$2:$L$3001,0),"")</f>
        <v/>
      </c>
      <c r="K1929" s="34">
        <f>IF(AND('Daily Sale entry '!Q429="Collection 收款",'Daily Sale entry '!R429="Cheque 支票",'Daily Sale entry '!V429&lt;&gt;""),'Daily Sale entry '!V429+ROW()/10000000,"")</f>
        <v/>
      </c>
      <c r="L1929" s="21">
        <f>IF(K1929="","",COUNTIF($K$2:$K$3001,"&lt;"&amp;K1929)+1)</f>
        <v/>
      </c>
    </row>
    <row r="1930">
      <c r="A1930" s="5">
        <f>IF($J1930="","",IF($J1930&lt;=1500,INDEX('Daily Sale entry '!$X$1:$X$1501,$J1930+1),INDEX('Daily Sale entry '!$V$1:$V$1501,$J1930-1499)))</f>
        <v/>
      </c>
      <c r="B1930">
        <f>IF($J1930="","",IF($J1930&lt;=1500,INDEX('Daily Sale entry '!$Y$1:$Y$1501,$J1930+1)&amp;"","Buyer cheque banked 买家支票存入"&amp;IF(INDEX('Daily Sale entry '!$U$1:$U$1501,$J1930-1499)="","", " - "&amp;INDEX('Daily Sale entry '!$U$1:$U$1501,$J1930-1499))))</f>
        <v/>
      </c>
      <c r="C1930">
        <f>IF($J1930="","",IF($J1930&lt;=1500,INDEX('Daily Sale entry '!$Z$1:$Z$1501,$J1930+1)&amp;"","Cheque deposit 支票存入 (buyer 买家)"))</f>
        <v/>
      </c>
      <c r="D1930">
        <f>IF($J1930="","",IF($J1930&lt;=1500,INDEX('Daily Sale entry '!$AA$1:$AA$1501,$J1930+1)&amp;"",INDEX('Daily Sale entry '!$P$1:$P$1501,$J1930-1499)&amp;""))</f>
        <v/>
      </c>
      <c r="E1930">
        <f>IF($J1930="","",IF($J1930&lt;=1500,IF(N(INDEX('Daily Sale entry '!$AB$1:$AB$1501,$J1930+1))=0,"",INDEX('Daily Sale entry '!$AB$1:$AB$1501,$J1930+1)),1))</f>
        <v/>
      </c>
      <c r="F1930" s="6">
        <f>IF($J1930="","",IF($J1930&lt;=1500,N(INDEX('Daily Sale entry '!$AC$1:$AC$1501,$J1930+1))-IF(AND('Opening Balance'!$B$15=1,INDEX('Daily Sale entry '!$Z$1:$Z$1501,$J1930+1)="Online collection 网上收款",INDEX('Daily Sale entry '!$AA$1:$AA$1501,$J1930+1)&lt;&gt;""),N(INDEX('Daily Sale entry '!$AC$1:$AC$1501,$J1930+1))-TRUNC(N(INDEX('Daily Sale entry '!$AC$1:$AC$1501,$J1930+1))),0),N(INDEX('Daily Sale entry '!$S$1:$S$1501,$J1930-1499))-'Opening Balance'!$B$15*(N(INDEX('Daily Sale entry '!$S$1:$S$1501,$J1930-1499))-TRUNC(N(INDEX('Daily Sale entry '!$S$1:$S$1501,$J1930-1499))))))</f>
        <v/>
      </c>
      <c r="G1930" s="6">
        <f>IF($J1930="","",IF($J1930&lt;=1500,N(INDEX('Daily Sale entry '!$AD$1:$AD$1501,$J1930+1)),0))</f>
        <v/>
      </c>
      <c r="H1930" s="6">
        <f>IF($J1930="","",ROUND('Opening Balance'!$B$4+SUM($F$2:F1930)-SUM($G$2:G1930),2))</f>
        <v/>
      </c>
      <c r="J1930" s="21">
        <f>IFERROR(MATCH(ROW()-1,$L$2:$L$3001,0),"")</f>
        <v/>
      </c>
      <c r="K1930" s="34">
        <f>IF(AND('Daily Sale entry '!Q430="Collection 收款",'Daily Sale entry '!R430="Cheque 支票",'Daily Sale entry '!V430&lt;&gt;""),'Daily Sale entry '!V430+ROW()/10000000,"")</f>
        <v/>
      </c>
      <c r="L1930" s="21">
        <f>IF(K1930="","",COUNTIF($K$2:$K$3001,"&lt;"&amp;K1930)+1)</f>
        <v/>
      </c>
    </row>
    <row r="1931">
      <c r="A1931" s="5">
        <f>IF($J1931="","",IF($J1931&lt;=1500,INDEX('Daily Sale entry '!$X$1:$X$1501,$J1931+1),INDEX('Daily Sale entry '!$V$1:$V$1501,$J1931-1499)))</f>
        <v/>
      </c>
      <c r="B1931">
        <f>IF($J1931="","",IF($J1931&lt;=1500,INDEX('Daily Sale entry '!$Y$1:$Y$1501,$J1931+1)&amp;"","Buyer cheque banked 买家支票存入"&amp;IF(INDEX('Daily Sale entry '!$U$1:$U$1501,$J1931-1499)="","", " - "&amp;INDEX('Daily Sale entry '!$U$1:$U$1501,$J1931-1499))))</f>
        <v/>
      </c>
      <c r="C1931">
        <f>IF($J1931="","",IF($J1931&lt;=1500,INDEX('Daily Sale entry '!$Z$1:$Z$1501,$J1931+1)&amp;"","Cheque deposit 支票存入 (buyer 买家)"))</f>
        <v/>
      </c>
      <c r="D1931">
        <f>IF($J1931="","",IF($J1931&lt;=1500,INDEX('Daily Sale entry '!$AA$1:$AA$1501,$J1931+1)&amp;"",INDEX('Daily Sale entry '!$P$1:$P$1501,$J1931-1499)&amp;""))</f>
        <v/>
      </c>
      <c r="E1931">
        <f>IF($J1931="","",IF($J1931&lt;=1500,IF(N(INDEX('Daily Sale entry '!$AB$1:$AB$1501,$J1931+1))=0,"",INDEX('Daily Sale entry '!$AB$1:$AB$1501,$J1931+1)),1))</f>
        <v/>
      </c>
      <c r="F1931" s="6">
        <f>IF($J1931="","",IF($J1931&lt;=1500,N(INDEX('Daily Sale entry '!$AC$1:$AC$1501,$J1931+1))-IF(AND('Opening Balance'!$B$15=1,INDEX('Daily Sale entry '!$Z$1:$Z$1501,$J1931+1)="Online collection 网上收款",INDEX('Daily Sale entry '!$AA$1:$AA$1501,$J1931+1)&lt;&gt;""),N(INDEX('Daily Sale entry '!$AC$1:$AC$1501,$J1931+1))-TRUNC(N(INDEX('Daily Sale entry '!$AC$1:$AC$1501,$J1931+1))),0),N(INDEX('Daily Sale entry '!$S$1:$S$1501,$J1931-1499))-'Opening Balance'!$B$15*(N(INDEX('Daily Sale entry '!$S$1:$S$1501,$J1931-1499))-TRUNC(N(INDEX('Daily Sale entry '!$S$1:$S$1501,$J1931-1499))))))</f>
        <v/>
      </c>
      <c r="G1931" s="6">
        <f>IF($J1931="","",IF($J1931&lt;=1500,N(INDEX('Daily Sale entry '!$AD$1:$AD$1501,$J1931+1)),0))</f>
        <v/>
      </c>
      <c r="H1931" s="6">
        <f>IF($J1931="","",ROUND('Opening Balance'!$B$4+SUM($F$2:F1931)-SUM($G$2:G1931),2))</f>
        <v/>
      </c>
      <c r="J1931" s="21">
        <f>IFERROR(MATCH(ROW()-1,$L$2:$L$3001,0),"")</f>
        <v/>
      </c>
      <c r="K1931" s="34">
        <f>IF(AND('Daily Sale entry '!Q431="Collection 收款",'Daily Sale entry '!R431="Cheque 支票",'Daily Sale entry '!V431&lt;&gt;""),'Daily Sale entry '!V431+ROW()/10000000,"")</f>
        <v/>
      </c>
      <c r="L1931" s="21">
        <f>IF(K1931="","",COUNTIF($K$2:$K$3001,"&lt;"&amp;K1931)+1)</f>
        <v/>
      </c>
    </row>
    <row r="1932">
      <c r="A1932" s="5">
        <f>IF($J1932="","",IF($J1932&lt;=1500,INDEX('Daily Sale entry '!$X$1:$X$1501,$J1932+1),INDEX('Daily Sale entry '!$V$1:$V$1501,$J1932-1499)))</f>
        <v/>
      </c>
      <c r="B1932">
        <f>IF($J1932="","",IF($J1932&lt;=1500,INDEX('Daily Sale entry '!$Y$1:$Y$1501,$J1932+1)&amp;"","Buyer cheque banked 买家支票存入"&amp;IF(INDEX('Daily Sale entry '!$U$1:$U$1501,$J1932-1499)="","", " - "&amp;INDEX('Daily Sale entry '!$U$1:$U$1501,$J1932-1499))))</f>
        <v/>
      </c>
      <c r="C1932">
        <f>IF($J1932="","",IF($J1932&lt;=1500,INDEX('Daily Sale entry '!$Z$1:$Z$1501,$J1932+1)&amp;"","Cheque deposit 支票存入 (buyer 买家)"))</f>
        <v/>
      </c>
      <c r="D1932">
        <f>IF($J1932="","",IF($J1932&lt;=1500,INDEX('Daily Sale entry '!$AA$1:$AA$1501,$J1932+1)&amp;"",INDEX('Daily Sale entry '!$P$1:$P$1501,$J1932-1499)&amp;""))</f>
        <v/>
      </c>
      <c r="E1932">
        <f>IF($J1932="","",IF($J1932&lt;=1500,IF(N(INDEX('Daily Sale entry '!$AB$1:$AB$1501,$J1932+1))=0,"",INDEX('Daily Sale entry '!$AB$1:$AB$1501,$J1932+1)),1))</f>
        <v/>
      </c>
      <c r="F1932" s="6">
        <f>IF($J1932="","",IF($J1932&lt;=1500,N(INDEX('Daily Sale entry '!$AC$1:$AC$1501,$J1932+1))-IF(AND('Opening Balance'!$B$15=1,INDEX('Daily Sale entry '!$Z$1:$Z$1501,$J1932+1)="Online collection 网上收款",INDEX('Daily Sale entry '!$AA$1:$AA$1501,$J1932+1)&lt;&gt;""),N(INDEX('Daily Sale entry '!$AC$1:$AC$1501,$J1932+1))-TRUNC(N(INDEX('Daily Sale entry '!$AC$1:$AC$1501,$J1932+1))),0),N(INDEX('Daily Sale entry '!$S$1:$S$1501,$J1932-1499))-'Opening Balance'!$B$15*(N(INDEX('Daily Sale entry '!$S$1:$S$1501,$J1932-1499))-TRUNC(N(INDEX('Daily Sale entry '!$S$1:$S$1501,$J1932-1499))))))</f>
        <v/>
      </c>
      <c r="G1932" s="6">
        <f>IF($J1932="","",IF($J1932&lt;=1500,N(INDEX('Daily Sale entry '!$AD$1:$AD$1501,$J1932+1)),0))</f>
        <v/>
      </c>
      <c r="H1932" s="6">
        <f>IF($J1932="","",ROUND('Opening Balance'!$B$4+SUM($F$2:F1932)-SUM($G$2:G1932),2))</f>
        <v/>
      </c>
      <c r="J1932" s="21">
        <f>IFERROR(MATCH(ROW()-1,$L$2:$L$3001,0),"")</f>
        <v/>
      </c>
      <c r="K1932" s="34">
        <f>IF(AND('Daily Sale entry '!Q432="Collection 收款",'Daily Sale entry '!R432="Cheque 支票",'Daily Sale entry '!V432&lt;&gt;""),'Daily Sale entry '!V432+ROW()/10000000,"")</f>
        <v/>
      </c>
      <c r="L1932" s="21">
        <f>IF(K1932="","",COUNTIF($K$2:$K$3001,"&lt;"&amp;K1932)+1)</f>
        <v/>
      </c>
    </row>
    <row r="1933">
      <c r="A1933" s="5">
        <f>IF($J1933="","",IF($J1933&lt;=1500,INDEX('Daily Sale entry '!$X$1:$X$1501,$J1933+1),INDEX('Daily Sale entry '!$V$1:$V$1501,$J1933-1499)))</f>
        <v/>
      </c>
      <c r="B1933">
        <f>IF($J1933="","",IF($J1933&lt;=1500,INDEX('Daily Sale entry '!$Y$1:$Y$1501,$J1933+1)&amp;"","Buyer cheque banked 买家支票存入"&amp;IF(INDEX('Daily Sale entry '!$U$1:$U$1501,$J1933-1499)="","", " - "&amp;INDEX('Daily Sale entry '!$U$1:$U$1501,$J1933-1499))))</f>
        <v/>
      </c>
      <c r="C1933">
        <f>IF($J1933="","",IF($J1933&lt;=1500,INDEX('Daily Sale entry '!$Z$1:$Z$1501,$J1933+1)&amp;"","Cheque deposit 支票存入 (buyer 买家)"))</f>
        <v/>
      </c>
      <c r="D1933">
        <f>IF($J1933="","",IF($J1933&lt;=1500,INDEX('Daily Sale entry '!$AA$1:$AA$1501,$J1933+1)&amp;"",INDEX('Daily Sale entry '!$P$1:$P$1501,$J1933-1499)&amp;""))</f>
        <v/>
      </c>
      <c r="E1933">
        <f>IF($J1933="","",IF($J1933&lt;=1500,IF(N(INDEX('Daily Sale entry '!$AB$1:$AB$1501,$J1933+1))=0,"",INDEX('Daily Sale entry '!$AB$1:$AB$1501,$J1933+1)),1))</f>
        <v/>
      </c>
      <c r="F1933" s="6">
        <f>IF($J1933="","",IF($J1933&lt;=1500,N(INDEX('Daily Sale entry '!$AC$1:$AC$1501,$J1933+1))-IF(AND('Opening Balance'!$B$15=1,INDEX('Daily Sale entry '!$Z$1:$Z$1501,$J1933+1)="Online collection 网上收款",INDEX('Daily Sale entry '!$AA$1:$AA$1501,$J1933+1)&lt;&gt;""),N(INDEX('Daily Sale entry '!$AC$1:$AC$1501,$J1933+1))-TRUNC(N(INDEX('Daily Sale entry '!$AC$1:$AC$1501,$J1933+1))),0),N(INDEX('Daily Sale entry '!$S$1:$S$1501,$J1933-1499))-'Opening Balance'!$B$15*(N(INDEX('Daily Sale entry '!$S$1:$S$1501,$J1933-1499))-TRUNC(N(INDEX('Daily Sale entry '!$S$1:$S$1501,$J1933-1499))))))</f>
        <v/>
      </c>
      <c r="G1933" s="6">
        <f>IF($J1933="","",IF($J1933&lt;=1500,N(INDEX('Daily Sale entry '!$AD$1:$AD$1501,$J1933+1)),0))</f>
        <v/>
      </c>
      <c r="H1933" s="6">
        <f>IF($J1933="","",ROUND('Opening Balance'!$B$4+SUM($F$2:F1933)-SUM($G$2:G1933),2))</f>
        <v/>
      </c>
      <c r="J1933" s="21">
        <f>IFERROR(MATCH(ROW()-1,$L$2:$L$3001,0),"")</f>
        <v/>
      </c>
      <c r="K1933" s="34">
        <f>IF(AND('Daily Sale entry '!Q433="Collection 收款",'Daily Sale entry '!R433="Cheque 支票",'Daily Sale entry '!V433&lt;&gt;""),'Daily Sale entry '!V433+ROW()/10000000,"")</f>
        <v/>
      </c>
      <c r="L1933" s="21">
        <f>IF(K1933="","",COUNTIF($K$2:$K$3001,"&lt;"&amp;K1933)+1)</f>
        <v/>
      </c>
    </row>
    <row r="1934">
      <c r="A1934" s="5">
        <f>IF($J1934="","",IF($J1934&lt;=1500,INDEX('Daily Sale entry '!$X$1:$X$1501,$J1934+1),INDEX('Daily Sale entry '!$V$1:$V$1501,$J1934-1499)))</f>
        <v/>
      </c>
      <c r="B1934">
        <f>IF($J1934="","",IF($J1934&lt;=1500,INDEX('Daily Sale entry '!$Y$1:$Y$1501,$J1934+1)&amp;"","Buyer cheque banked 买家支票存入"&amp;IF(INDEX('Daily Sale entry '!$U$1:$U$1501,$J1934-1499)="","", " - "&amp;INDEX('Daily Sale entry '!$U$1:$U$1501,$J1934-1499))))</f>
        <v/>
      </c>
      <c r="C1934">
        <f>IF($J1934="","",IF($J1934&lt;=1500,INDEX('Daily Sale entry '!$Z$1:$Z$1501,$J1934+1)&amp;"","Cheque deposit 支票存入 (buyer 买家)"))</f>
        <v/>
      </c>
      <c r="D1934">
        <f>IF($J1934="","",IF($J1934&lt;=1500,INDEX('Daily Sale entry '!$AA$1:$AA$1501,$J1934+1)&amp;"",INDEX('Daily Sale entry '!$P$1:$P$1501,$J1934-1499)&amp;""))</f>
        <v/>
      </c>
      <c r="E1934">
        <f>IF($J1934="","",IF($J1934&lt;=1500,IF(N(INDEX('Daily Sale entry '!$AB$1:$AB$1501,$J1934+1))=0,"",INDEX('Daily Sale entry '!$AB$1:$AB$1501,$J1934+1)),1))</f>
        <v/>
      </c>
      <c r="F1934" s="6">
        <f>IF($J1934="","",IF($J1934&lt;=1500,N(INDEX('Daily Sale entry '!$AC$1:$AC$1501,$J1934+1))-IF(AND('Opening Balance'!$B$15=1,INDEX('Daily Sale entry '!$Z$1:$Z$1501,$J1934+1)="Online collection 网上收款",INDEX('Daily Sale entry '!$AA$1:$AA$1501,$J1934+1)&lt;&gt;""),N(INDEX('Daily Sale entry '!$AC$1:$AC$1501,$J1934+1))-TRUNC(N(INDEX('Daily Sale entry '!$AC$1:$AC$1501,$J1934+1))),0),N(INDEX('Daily Sale entry '!$S$1:$S$1501,$J1934-1499))-'Opening Balance'!$B$15*(N(INDEX('Daily Sale entry '!$S$1:$S$1501,$J1934-1499))-TRUNC(N(INDEX('Daily Sale entry '!$S$1:$S$1501,$J1934-1499))))))</f>
        <v/>
      </c>
      <c r="G1934" s="6">
        <f>IF($J1934="","",IF($J1934&lt;=1500,N(INDEX('Daily Sale entry '!$AD$1:$AD$1501,$J1934+1)),0))</f>
        <v/>
      </c>
      <c r="H1934" s="6">
        <f>IF($J1934="","",ROUND('Opening Balance'!$B$4+SUM($F$2:F1934)-SUM($G$2:G1934),2))</f>
        <v/>
      </c>
      <c r="J1934" s="21">
        <f>IFERROR(MATCH(ROW()-1,$L$2:$L$3001,0),"")</f>
        <v/>
      </c>
      <c r="K1934" s="34">
        <f>IF(AND('Daily Sale entry '!Q434="Collection 收款",'Daily Sale entry '!R434="Cheque 支票",'Daily Sale entry '!V434&lt;&gt;""),'Daily Sale entry '!V434+ROW()/10000000,"")</f>
        <v/>
      </c>
      <c r="L1934" s="21">
        <f>IF(K1934="","",COUNTIF($K$2:$K$3001,"&lt;"&amp;K1934)+1)</f>
        <v/>
      </c>
    </row>
    <row r="1935">
      <c r="A1935" s="5">
        <f>IF($J1935="","",IF($J1935&lt;=1500,INDEX('Daily Sale entry '!$X$1:$X$1501,$J1935+1),INDEX('Daily Sale entry '!$V$1:$V$1501,$J1935-1499)))</f>
        <v/>
      </c>
      <c r="B1935">
        <f>IF($J1935="","",IF($J1935&lt;=1500,INDEX('Daily Sale entry '!$Y$1:$Y$1501,$J1935+1)&amp;"","Buyer cheque banked 买家支票存入"&amp;IF(INDEX('Daily Sale entry '!$U$1:$U$1501,$J1935-1499)="","", " - "&amp;INDEX('Daily Sale entry '!$U$1:$U$1501,$J1935-1499))))</f>
        <v/>
      </c>
      <c r="C1935">
        <f>IF($J1935="","",IF($J1935&lt;=1500,INDEX('Daily Sale entry '!$Z$1:$Z$1501,$J1935+1)&amp;"","Cheque deposit 支票存入 (buyer 买家)"))</f>
        <v/>
      </c>
      <c r="D1935">
        <f>IF($J1935="","",IF($J1935&lt;=1500,INDEX('Daily Sale entry '!$AA$1:$AA$1501,$J1935+1)&amp;"",INDEX('Daily Sale entry '!$P$1:$P$1501,$J1935-1499)&amp;""))</f>
        <v/>
      </c>
      <c r="E1935">
        <f>IF($J1935="","",IF($J1935&lt;=1500,IF(N(INDEX('Daily Sale entry '!$AB$1:$AB$1501,$J1935+1))=0,"",INDEX('Daily Sale entry '!$AB$1:$AB$1501,$J1935+1)),1))</f>
        <v/>
      </c>
      <c r="F1935" s="6">
        <f>IF($J1935="","",IF($J1935&lt;=1500,N(INDEX('Daily Sale entry '!$AC$1:$AC$1501,$J1935+1))-IF(AND('Opening Balance'!$B$15=1,INDEX('Daily Sale entry '!$Z$1:$Z$1501,$J1935+1)="Online collection 网上收款",INDEX('Daily Sale entry '!$AA$1:$AA$1501,$J1935+1)&lt;&gt;""),N(INDEX('Daily Sale entry '!$AC$1:$AC$1501,$J1935+1))-TRUNC(N(INDEX('Daily Sale entry '!$AC$1:$AC$1501,$J1935+1))),0),N(INDEX('Daily Sale entry '!$S$1:$S$1501,$J1935-1499))-'Opening Balance'!$B$15*(N(INDEX('Daily Sale entry '!$S$1:$S$1501,$J1935-1499))-TRUNC(N(INDEX('Daily Sale entry '!$S$1:$S$1501,$J1935-1499))))))</f>
        <v/>
      </c>
      <c r="G1935" s="6">
        <f>IF($J1935="","",IF($J1935&lt;=1500,N(INDEX('Daily Sale entry '!$AD$1:$AD$1501,$J1935+1)),0))</f>
        <v/>
      </c>
      <c r="H1935" s="6">
        <f>IF($J1935="","",ROUND('Opening Balance'!$B$4+SUM($F$2:F1935)-SUM($G$2:G1935),2))</f>
        <v/>
      </c>
      <c r="J1935" s="21">
        <f>IFERROR(MATCH(ROW()-1,$L$2:$L$3001,0),"")</f>
        <v/>
      </c>
      <c r="K1935" s="34">
        <f>IF(AND('Daily Sale entry '!Q435="Collection 收款",'Daily Sale entry '!R435="Cheque 支票",'Daily Sale entry '!V435&lt;&gt;""),'Daily Sale entry '!V435+ROW()/10000000,"")</f>
        <v/>
      </c>
      <c r="L1935" s="21">
        <f>IF(K1935="","",COUNTIF($K$2:$K$3001,"&lt;"&amp;K1935)+1)</f>
        <v/>
      </c>
    </row>
    <row r="1936">
      <c r="A1936" s="5">
        <f>IF($J1936="","",IF($J1936&lt;=1500,INDEX('Daily Sale entry '!$X$1:$X$1501,$J1936+1),INDEX('Daily Sale entry '!$V$1:$V$1501,$J1936-1499)))</f>
        <v/>
      </c>
      <c r="B1936">
        <f>IF($J1936="","",IF($J1936&lt;=1500,INDEX('Daily Sale entry '!$Y$1:$Y$1501,$J1936+1)&amp;"","Buyer cheque banked 买家支票存入"&amp;IF(INDEX('Daily Sale entry '!$U$1:$U$1501,$J1936-1499)="","", " - "&amp;INDEX('Daily Sale entry '!$U$1:$U$1501,$J1936-1499))))</f>
        <v/>
      </c>
      <c r="C1936">
        <f>IF($J1936="","",IF($J1936&lt;=1500,INDEX('Daily Sale entry '!$Z$1:$Z$1501,$J1936+1)&amp;"","Cheque deposit 支票存入 (buyer 买家)"))</f>
        <v/>
      </c>
      <c r="D1936">
        <f>IF($J1936="","",IF($J1936&lt;=1500,INDEX('Daily Sale entry '!$AA$1:$AA$1501,$J1936+1)&amp;"",INDEX('Daily Sale entry '!$P$1:$P$1501,$J1936-1499)&amp;""))</f>
        <v/>
      </c>
      <c r="E1936">
        <f>IF($J1936="","",IF($J1936&lt;=1500,IF(N(INDEX('Daily Sale entry '!$AB$1:$AB$1501,$J1936+1))=0,"",INDEX('Daily Sale entry '!$AB$1:$AB$1501,$J1936+1)),1))</f>
        <v/>
      </c>
      <c r="F1936" s="6">
        <f>IF($J1936="","",IF($J1936&lt;=1500,N(INDEX('Daily Sale entry '!$AC$1:$AC$1501,$J1936+1))-IF(AND('Opening Balance'!$B$15=1,INDEX('Daily Sale entry '!$Z$1:$Z$1501,$J1936+1)="Online collection 网上收款",INDEX('Daily Sale entry '!$AA$1:$AA$1501,$J1936+1)&lt;&gt;""),N(INDEX('Daily Sale entry '!$AC$1:$AC$1501,$J1936+1))-TRUNC(N(INDEX('Daily Sale entry '!$AC$1:$AC$1501,$J1936+1))),0),N(INDEX('Daily Sale entry '!$S$1:$S$1501,$J1936-1499))-'Opening Balance'!$B$15*(N(INDEX('Daily Sale entry '!$S$1:$S$1501,$J1936-1499))-TRUNC(N(INDEX('Daily Sale entry '!$S$1:$S$1501,$J1936-1499))))))</f>
        <v/>
      </c>
      <c r="G1936" s="6">
        <f>IF($J1936="","",IF($J1936&lt;=1500,N(INDEX('Daily Sale entry '!$AD$1:$AD$1501,$J1936+1)),0))</f>
        <v/>
      </c>
      <c r="H1936" s="6">
        <f>IF($J1936="","",ROUND('Opening Balance'!$B$4+SUM($F$2:F1936)-SUM($G$2:G1936),2))</f>
        <v/>
      </c>
      <c r="J1936" s="21">
        <f>IFERROR(MATCH(ROW()-1,$L$2:$L$3001,0),"")</f>
        <v/>
      </c>
      <c r="K1936" s="34">
        <f>IF(AND('Daily Sale entry '!Q436="Collection 收款",'Daily Sale entry '!R436="Cheque 支票",'Daily Sale entry '!V436&lt;&gt;""),'Daily Sale entry '!V436+ROW()/10000000,"")</f>
        <v/>
      </c>
      <c r="L1936" s="21">
        <f>IF(K1936="","",COUNTIF($K$2:$K$3001,"&lt;"&amp;K1936)+1)</f>
        <v/>
      </c>
    </row>
    <row r="1937">
      <c r="A1937" s="5">
        <f>IF($J1937="","",IF($J1937&lt;=1500,INDEX('Daily Sale entry '!$X$1:$X$1501,$J1937+1),INDEX('Daily Sale entry '!$V$1:$V$1501,$J1937-1499)))</f>
        <v/>
      </c>
      <c r="B1937">
        <f>IF($J1937="","",IF($J1937&lt;=1500,INDEX('Daily Sale entry '!$Y$1:$Y$1501,$J1937+1)&amp;"","Buyer cheque banked 买家支票存入"&amp;IF(INDEX('Daily Sale entry '!$U$1:$U$1501,$J1937-1499)="","", " - "&amp;INDEX('Daily Sale entry '!$U$1:$U$1501,$J1937-1499))))</f>
        <v/>
      </c>
      <c r="C1937">
        <f>IF($J1937="","",IF($J1937&lt;=1500,INDEX('Daily Sale entry '!$Z$1:$Z$1501,$J1937+1)&amp;"","Cheque deposit 支票存入 (buyer 买家)"))</f>
        <v/>
      </c>
      <c r="D1937">
        <f>IF($J1937="","",IF($J1937&lt;=1500,INDEX('Daily Sale entry '!$AA$1:$AA$1501,$J1937+1)&amp;"",INDEX('Daily Sale entry '!$P$1:$P$1501,$J1937-1499)&amp;""))</f>
        <v/>
      </c>
      <c r="E1937">
        <f>IF($J1937="","",IF($J1937&lt;=1500,IF(N(INDEX('Daily Sale entry '!$AB$1:$AB$1501,$J1937+1))=0,"",INDEX('Daily Sale entry '!$AB$1:$AB$1501,$J1937+1)),1))</f>
        <v/>
      </c>
      <c r="F1937" s="6">
        <f>IF($J1937="","",IF($J1937&lt;=1500,N(INDEX('Daily Sale entry '!$AC$1:$AC$1501,$J1937+1))-IF(AND('Opening Balance'!$B$15=1,INDEX('Daily Sale entry '!$Z$1:$Z$1501,$J1937+1)="Online collection 网上收款",INDEX('Daily Sale entry '!$AA$1:$AA$1501,$J1937+1)&lt;&gt;""),N(INDEX('Daily Sale entry '!$AC$1:$AC$1501,$J1937+1))-TRUNC(N(INDEX('Daily Sale entry '!$AC$1:$AC$1501,$J1937+1))),0),N(INDEX('Daily Sale entry '!$S$1:$S$1501,$J1937-1499))-'Opening Balance'!$B$15*(N(INDEX('Daily Sale entry '!$S$1:$S$1501,$J1937-1499))-TRUNC(N(INDEX('Daily Sale entry '!$S$1:$S$1501,$J1937-1499))))))</f>
        <v/>
      </c>
      <c r="G1937" s="6">
        <f>IF($J1937="","",IF($J1937&lt;=1500,N(INDEX('Daily Sale entry '!$AD$1:$AD$1501,$J1937+1)),0))</f>
        <v/>
      </c>
      <c r="H1937" s="6">
        <f>IF($J1937="","",ROUND('Opening Balance'!$B$4+SUM($F$2:F1937)-SUM($G$2:G1937),2))</f>
        <v/>
      </c>
      <c r="J1937" s="21">
        <f>IFERROR(MATCH(ROW()-1,$L$2:$L$3001,0),"")</f>
        <v/>
      </c>
      <c r="K1937" s="34">
        <f>IF(AND('Daily Sale entry '!Q437="Collection 收款",'Daily Sale entry '!R437="Cheque 支票",'Daily Sale entry '!V437&lt;&gt;""),'Daily Sale entry '!V437+ROW()/10000000,"")</f>
        <v/>
      </c>
      <c r="L1937" s="21">
        <f>IF(K1937="","",COUNTIF($K$2:$K$3001,"&lt;"&amp;K1937)+1)</f>
        <v/>
      </c>
    </row>
    <row r="1938">
      <c r="A1938" s="5">
        <f>IF($J1938="","",IF($J1938&lt;=1500,INDEX('Daily Sale entry '!$X$1:$X$1501,$J1938+1),INDEX('Daily Sale entry '!$V$1:$V$1501,$J1938-1499)))</f>
        <v/>
      </c>
      <c r="B1938">
        <f>IF($J1938="","",IF($J1938&lt;=1500,INDEX('Daily Sale entry '!$Y$1:$Y$1501,$J1938+1)&amp;"","Buyer cheque banked 买家支票存入"&amp;IF(INDEX('Daily Sale entry '!$U$1:$U$1501,$J1938-1499)="","", " - "&amp;INDEX('Daily Sale entry '!$U$1:$U$1501,$J1938-1499))))</f>
        <v/>
      </c>
      <c r="C1938">
        <f>IF($J1938="","",IF($J1938&lt;=1500,INDEX('Daily Sale entry '!$Z$1:$Z$1501,$J1938+1)&amp;"","Cheque deposit 支票存入 (buyer 买家)"))</f>
        <v/>
      </c>
      <c r="D1938">
        <f>IF($J1938="","",IF($J1938&lt;=1500,INDEX('Daily Sale entry '!$AA$1:$AA$1501,$J1938+1)&amp;"",INDEX('Daily Sale entry '!$P$1:$P$1501,$J1938-1499)&amp;""))</f>
        <v/>
      </c>
      <c r="E1938">
        <f>IF($J1938="","",IF($J1938&lt;=1500,IF(N(INDEX('Daily Sale entry '!$AB$1:$AB$1501,$J1938+1))=0,"",INDEX('Daily Sale entry '!$AB$1:$AB$1501,$J1938+1)),1))</f>
        <v/>
      </c>
      <c r="F1938" s="6">
        <f>IF($J1938="","",IF($J1938&lt;=1500,N(INDEX('Daily Sale entry '!$AC$1:$AC$1501,$J1938+1))-IF(AND('Opening Balance'!$B$15=1,INDEX('Daily Sale entry '!$Z$1:$Z$1501,$J1938+1)="Online collection 网上收款",INDEX('Daily Sale entry '!$AA$1:$AA$1501,$J1938+1)&lt;&gt;""),N(INDEX('Daily Sale entry '!$AC$1:$AC$1501,$J1938+1))-TRUNC(N(INDEX('Daily Sale entry '!$AC$1:$AC$1501,$J1938+1))),0),N(INDEX('Daily Sale entry '!$S$1:$S$1501,$J1938-1499))-'Opening Balance'!$B$15*(N(INDEX('Daily Sale entry '!$S$1:$S$1501,$J1938-1499))-TRUNC(N(INDEX('Daily Sale entry '!$S$1:$S$1501,$J1938-1499))))))</f>
        <v/>
      </c>
      <c r="G1938" s="6">
        <f>IF($J1938="","",IF($J1938&lt;=1500,N(INDEX('Daily Sale entry '!$AD$1:$AD$1501,$J1938+1)),0))</f>
        <v/>
      </c>
      <c r="H1938" s="6">
        <f>IF($J1938="","",ROUND('Opening Balance'!$B$4+SUM($F$2:F1938)-SUM($G$2:G1938),2))</f>
        <v/>
      </c>
      <c r="J1938" s="21">
        <f>IFERROR(MATCH(ROW()-1,$L$2:$L$3001,0),"")</f>
        <v/>
      </c>
      <c r="K1938" s="34">
        <f>IF(AND('Daily Sale entry '!Q438="Collection 收款",'Daily Sale entry '!R438="Cheque 支票",'Daily Sale entry '!V438&lt;&gt;""),'Daily Sale entry '!V438+ROW()/10000000,"")</f>
        <v/>
      </c>
      <c r="L1938" s="21">
        <f>IF(K1938="","",COUNTIF($K$2:$K$3001,"&lt;"&amp;K1938)+1)</f>
        <v/>
      </c>
    </row>
    <row r="1939">
      <c r="A1939" s="5">
        <f>IF($J1939="","",IF($J1939&lt;=1500,INDEX('Daily Sale entry '!$X$1:$X$1501,$J1939+1),INDEX('Daily Sale entry '!$V$1:$V$1501,$J1939-1499)))</f>
        <v/>
      </c>
      <c r="B1939">
        <f>IF($J1939="","",IF($J1939&lt;=1500,INDEX('Daily Sale entry '!$Y$1:$Y$1501,$J1939+1)&amp;"","Buyer cheque banked 买家支票存入"&amp;IF(INDEX('Daily Sale entry '!$U$1:$U$1501,$J1939-1499)="","", " - "&amp;INDEX('Daily Sale entry '!$U$1:$U$1501,$J1939-1499))))</f>
        <v/>
      </c>
      <c r="C1939">
        <f>IF($J1939="","",IF($J1939&lt;=1500,INDEX('Daily Sale entry '!$Z$1:$Z$1501,$J1939+1)&amp;"","Cheque deposit 支票存入 (buyer 买家)"))</f>
        <v/>
      </c>
      <c r="D1939">
        <f>IF($J1939="","",IF($J1939&lt;=1500,INDEX('Daily Sale entry '!$AA$1:$AA$1501,$J1939+1)&amp;"",INDEX('Daily Sale entry '!$P$1:$P$1501,$J1939-1499)&amp;""))</f>
        <v/>
      </c>
      <c r="E1939">
        <f>IF($J1939="","",IF($J1939&lt;=1500,IF(N(INDEX('Daily Sale entry '!$AB$1:$AB$1501,$J1939+1))=0,"",INDEX('Daily Sale entry '!$AB$1:$AB$1501,$J1939+1)),1))</f>
        <v/>
      </c>
      <c r="F1939" s="6">
        <f>IF($J1939="","",IF($J1939&lt;=1500,N(INDEX('Daily Sale entry '!$AC$1:$AC$1501,$J1939+1))-IF(AND('Opening Balance'!$B$15=1,INDEX('Daily Sale entry '!$Z$1:$Z$1501,$J1939+1)="Online collection 网上收款",INDEX('Daily Sale entry '!$AA$1:$AA$1501,$J1939+1)&lt;&gt;""),N(INDEX('Daily Sale entry '!$AC$1:$AC$1501,$J1939+1))-TRUNC(N(INDEX('Daily Sale entry '!$AC$1:$AC$1501,$J1939+1))),0),N(INDEX('Daily Sale entry '!$S$1:$S$1501,$J1939-1499))-'Opening Balance'!$B$15*(N(INDEX('Daily Sale entry '!$S$1:$S$1501,$J1939-1499))-TRUNC(N(INDEX('Daily Sale entry '!$S$1:$S$1501,$J1939-1499))))))</f>
        <v/>
      </c>
      <c r="G1939" s="6">
        <f>IF($J1939="","",IF($J1939&lt;=1500,N(INDEX('Daily Sale entry '!$AD$1:$AD$1501,$J1939+1)),0))</f>
        <v/>
      </c>
      <c r="H1939" s="6">
        <f>IF($J1939="","",ROUND('Opening Balance'!$B$4+SUM($F$2:F1939)-SUM($G$2:G1939),2))</f>
        <v/>
      </c>
      <c r="J1939" s="21">
        <f>IFERROR(MATCH(ROW()-1,$L$2:$L$3001,0),"")</f>
        <v/>
      </c>
      <c r="K1939" s="34">
        <f>IF(AND('Daily Sale entry '!Q439="Collection 收款",'Daily Sale entry '!R439="Cheque 支票",'Daily Sale entry '!V439&lt;&gt;""),'Daily Sale entry '!V439+ROW()/10000000,"")</f>
        <v/>
      </c>
      <c r="L1939" s="21">
        <f>IF(K1939="","",COUNTIF($K$2:$K$3001,"&lt;"&amp;K1939)+1)</f>
        <v/>
      </c>
    </row>
    <row r="1940">
      <c r="A1940" s="5">
        <f>IF($J1940="","",IF($J1940&lt;=1500,INDEX('Daily Sale entry '!$X$1:$X$1501,$J1940+1),INDEX('Daily Sale entry '!$V$1:$V$1501,$J1940-1499)))</f>
        <v/>
      </c>
      <c r="B1940">
        <f>IF($J1940="","",IF($J1940&lt;=1500,INDEX('Daily Sale entry '!$Y$1:$Y$1501,$J1940+1)&amp;"","Buyer cheque banked 买家支票存入"&amp;IF(INDEX('Daily Sale entry '!$U$1:$U$1501,$J1940-1499)="","", " - "&amp;INDEX('Daily Sale entry '!$U$1:$U$1501,$J1940-1499))))</f>
        <v/>
      </c>
      <c r="C1940">
        <f>IF($J1940="","",IF($J1940&lt;=1500,INDEX('Daily Sale entry '!$Z$1:$Z$1501,$J1940+1)&amp;"","Cheque deposit 支票存入 (buyer 买家)"))</f>
        <v/>
      </c>
      <c r="D1940">
        <f>IF($J1940="","",IF($J1940&lt;=1500,INDEX('Daily Sale entry '!$AA$1:$AA$1501,$J1940+1)&amp;"",INDEX('Daily Sale entry '!$P$1:$P$1501,$J1940-1499)&amp;""))</f>
        <v/>
      </c>
      <c r="E1940">
        <f>IF($J1940="","",IF($J1940&lt;=1500,IF(N(INDEX('Daily Sale entry '!$AB$1:$AB$1501,$J1940+1))=0,"",INDEX('Daily Sale entry '!$AB$1:$AB$1501,$J1940+1)),1))</f>
        <v/>
      </c>
      <c r="F1940" s="6">
        <f>IF($J1940="","",IF($J1940&lt;=1500,N(INDEX('Daily Sale entry '!$AC$1:$AC$1501,$J1940+1))-IF(AND('Opening Balance'!$B$15=1,INDEX('Daily Sale entry '!$Z$1:$Z$1501,$J1940+1)="Online collection 网上收款",INDEX('Daily Sale entry '!$AA$1:$AA$1501,$J1940+1)&lt;&gt;""),N(INDEX('Daily Sale entry '!$AC$1:$AC$1501,$J1940+1))-TRUNC(N(INDEX('Daily Sale entry '!$AC$1:$AC$1501,$J1940+1))),0),N(INDEX('Daily Sale entry '!$S$1:$S$1501,$J1940-1499))-'Opening Balance'!$B$15*(N(INDEX('Daily Sale entry '!$S$1:$S$1501,$J1940-1499))-TRUNC(N(INDEX('Daily Sale entry '!$S$1:$S$1501,$J1940-1499))))))</f>
        <v/>
      </c>
      <c r="G1940" s="6">
        <f>IF($J1940="","",IF($J1940&lt;=1500,N(INDEX('Daily Sale entry '!$AD$1:$AD$1501,$J1940+1)),0))</f>
        <v/>
      </c>
      <c r="H1940" s="6">
        <f>IF($J1940="","",ROUND('Opening Balance'!$B$4+SUM($F$2:F1940)-SUM($G$2:G1940),2))</f>
        <v/>
      </c>
      <c r="J1940" s="21">
        <f>IFERROR(MATCH(ROW()-1,$L$2:$L$3001,0),"")</f>
        <v/>
      </c>
      <c r="K1940" s="34">
        <f>IF(AND('Daily Sale entry '!Q440="Collection 收款",'Daily Sale entry '!R440="Cheque 支票",'Daily Sale entry '!V440&lt;&gt;""),'Daily Sale entry '!V440+ROW()/10000000,"")</f>
        <v/>
      </c>
      <c r="L1940" s="21">
        <f>IF(K1940="","",COUNTIF($K$2:$K$3001,"&lt;"&amp;K1940)+1)</f>
        <v/>
      </c>
    </row>
    <row r="1941">
      <c r="A1941" s="5">
        <f>IF($J1941="","",IF($J1941&lt;=1500,INDEX('Daily Sale entry '!$X$1:$X$1501,$J1941+1),INDEX('Daily Sale entry '!$V$1:$V$1501,$J1941-1499)))</f>
        <v/>
      </c>
      <c r="B1941">
        <f>IF($J1941="","",IF($J1941&lt;=1500,INDEX('Daily Sale entry '!$Y$1:$Y$1501,$J1941+1)&amp;"","Buyer cheque banked 买家支票存入"&amp;IF(INDEX('Daily Sale entry '!$U$1:$U$1501,$J1941-1499)="","", " - "&amp;INDEX('Daily Sale entry '!$U$1:$U$1501,$J1941-1499))))</f>
        <v/>
      </c>
      <c r="C1941">
        <f>IF($J1941="","",IF($J1941&lt;=1500,INDEX('Daily Sale entry '!$Z$1:$Z$1501,$J1941+1)&amp;"","Cheque deposit 支票存入 (buyer 买家)"))</f>
        <v/>
      </c>
      <c r="D1941">
        <f>IF($J1941="","",IF($J1941&lt;=1500,INDEX('Daily Sale entry '!$AA$1:$AA$1501,$J1941+1)&amp;"",INDEX('Daily Sale entry '!$P$1:$P$1501,$J1941-1499)&amp;""))</f>
        <v/>
      </c>
      <c r="E1941">
        <f>IF($J1941="","",IF($J1941&lt;=1500,IF(N(INDEX('Daily Sale entry '!$AB$1:$AB$1501,$J1941+1))=0,"",INDEX('Daily Sale entry '!$AB$1:$AB$1501,$J1941+1)),1))</f>
        <v/>
      </c>
      <c r="F1941" s="6">
        <f>IF($J1941="","",IF($J1941&lt;=1500,N(INDEX('Daily Sale entry '!$AC$1:$AC$1501,$J1941+1))-IF(AND('Opening Balance'!$B$15=1,INDEX('Daily Sale entry '!$Z$1:$Z$1501,$J1941+1)="Online collection 网上收款",INDEX('Daily Sale entry '!$AA$1:$AA$1501,$J1941+1)&lt;&gt;""),N(INDEX('Daily Sale entry '!$AC$1:$AC$1501,$J1941+1))-TRUNC(N(INDEX('Daily Sale entry '!$AC$1:$AC$1501,$J1941+1))),0),N(INDEX('Daily Sale entry '!$S$1:$S$1501,$J1941-1499))-'Opening Balance'!$B$15*(N(INDEX('Daily Sale entry '!$S$1:$S$1501,$J1941-1499))-TRUNC(N(INDEX('Daily Sale entry '!$S$1:$S$1501,$J1941-1499))))))</f>
        <v/>
      </c>
      <c r="G1941" s="6">
        <f>IF($J1941="","",IF($J1941&lt;=1500,N(INDEX('Daily Sale entry '!$AD$1:$AD$1501,$J1941+1)),0))</f>
        <v/>
      </c>
      <c r="H1941" s="6">
        <f>IF($J1941="","",ROUND('Opening Balance'!$B$4+SUM($F$2:F1941)-SUM($G$2:G1941),2))</f>
        <v/>
      </c>
      <c r="J1941" s="21">
        <f>IFERROR(MATCH(ROW()-1,$L$2:$L$3001,0),"")</f>
        <v/>
      </c>
      <c r="K1941" s="34">
        <f>IF(AND('Daily Sale entry '!Q441="Collection 收款",'Daily Sale entry '!R441="Cheque 支票",'Daily Sale entry '!V441&lt;&gt;""),'Daily Sale entry '!V441+ROW()/10000000,"")</f>
        <v/>
      </c>
      <c r="L1941" s="21">
        <f>IF(K1941="","",COUNTIF($K$2:$K$3001,"&lt;"&amp;K1941)+1)</f>
        <v/>
      </c>
    </row>
    <row r="1942">
      <c r="A1942" s="5">
        <f>IF($J1942="","",IF($J1942&lt;=1500,INDEX('Daily Sale entry '!$X$1:$X$1501,$J1942+1),INDEX('Daily Sale entry '!$V$1:$V$1501,$J1942-1499)))</f>
        <v/>
      </c>
      <c r="B1942">
        <f>IF($J1942="","",IF($J1942&lt;=1500,INDEX('Daily Sale entry '!$Y$1:$Y$1501,$J1942+1)&amp;"","Buyer cheque banked 买家支票存入"&amp;IF(INDEX('Daily Sale entry '!$U$1:$U$1501,$J1942-1499)="","", " - "&amp;INDEX('Daily Sale entry '!$U$1:$U$1501,$J1942-1499))))</f>
        <v/>
      </c>
      <c r="C1942">
        <f>IF($J1942="","",IF($J1942&lt;=1500,INDEX('Daily Sale entry '!$Z$1:$Z$1501,$J1942+1)&amp;"","Cheque deposit 支票存入 (buyer 买家)"))</f>
        <v/>
      </c>
      <c r="D1942">
        <f>IF($J1942="","",IF($J1942&lt;=1500,INDEX('Daily Sale entry '!$AA$1:$AA$1501,$J1942+1)&amp;"",INDEX('Daily Sale entry '!$P$1:$P$1501,$J1942-1499)&amp;""))</f>
        <v/>
      </c>
      <c r="E1942">
        <f>IF($J1942="","",IF($J1942&lt;=1500,IF(N(INDEX('Daily Sale entry '!$AB$1:$AB$1501,$J1942+1))=0,"",INDEX('Daily Sale entry '!$AB$1:$AB$1501,$J1942+1)),1))</f>
        <v/>
      </c>
      <c r="F1942" s="6">
        <f>IF($J1942="","",IF($J1942&lt;=1500,N(INDEX('Daily Sale entry '!$AC$1:$AC$1501,$J1942+1))-IF(AND('Opening Balance'!$B$15=1,INDEX('Daily Sale entry '!$Z$1:$Z$1501,$J1942+1)="Online collection 网上收款",INDEX('Daily Sale entry '!$AA$1:$AA$1501,$J1942+1)&lt;&gt;""),N(INDEX('Daily Sale entry '!$AC$1:$AC$1501,$J1942+1))-TRUNC(N(INDEX('Daily Sale entry '!$AC$1:$AC$1501,$J1942+1))),0),N(INDEX('Daily Sale entry '!$S$1:$S$1501,$J1942-1499))-'Opening Balance'!$B$15*(N(INDEX('Daily Sale entry '!$S$1:$S$1501,$J1942-1499))-TRUNC(N(INDEX('Daily Sale entry '!$S$1:$S$1501,$J1942-1499))))))</f>
        <v/>
      </c>
      <c r="G1942" s="6">
        <f>IF($J1942="","",IF($J1942&lt;=1500,N(INDEX('Daily Sale entry '!$AD$1:$AD$1501,$J1942+1)),0))</f>
        <v/>
      </c>
      <c r="H1942" s="6">
        <f>IF($J1942="","",ROUND('Opening Balance'!$B$4+SUM($F$2:F1942)-SUM($G$2:G1942),2))</f>
        <v/>
      </c>
      <c r="J1942" s="21">
        <f>IFERROR(MATCH(ROW()-1,$L$2:$L$3001,0),"")</f>
        <v/>
      </c>
      <c r="K1942" s="34">
        <f>IF(AND('Daily Sale entry '!Q442="Collection 收款",'Daily Sale entry '!R442="Cheque 支票",'Daily Sale entry '!V442&lt;&gt;""),'Daily Sale entry '!V442+ROW()/10000000,"")</f>
        <v/>
      </c>
      <c r="L1942" s="21">
        <f>IF(K1942="","",COUNTIF($K$2:$K$3001,"&lt;"&amp;K1942)+1)</f>
        <v/>
      </c>
    </row>
    <row r="1943">
      <c r="A1943" s="5">
        <f>IF($J1943="","",IF($J1943&lt;=1500,INDEX('Daily Sale entry '!$X$1:$X$1501,$J1943+1),INDEX('Daily Sale entry '!$V$1:$V$1501,$J1943-1499)))</f>
        <v/>
      </c>
      <c r="B1943">
        <f>IF($J1943="","",IF($J1943&lt;=1500,INDEX('Daily Sale entry '!$Y$1:$Y$1501,$J1943+1)&amp;"","Buyer cheque banked 买家支票存入"&amp;IF(INDEX('Daily Sale entry '!$U$1:$U$1501,$J1943-1499)="","", " - "&amp;INDEX('Daily Sale entry '!$U$1:$U$1501,$J1943-1499))))</f>
        <v/>
      </c>
      <c r="C1943">
        <f>IF($J1943="","",IF($J1943&lt;=1500,INDEX('Daily Sale entry '!$Z$1:$Z$1501,$J1943+1)&amp;"","Cheque deposit 支票存入 (buyer 买家)"))</f>
        <v/>
      </c>
      <c r="D1943">
        <f>IF($J1943="","",IF($J1943&lt;=1500,INDEX('Daily Sale entry '!$AA$1:$AA$1501,$J1943+1)&amp;"",INDEX('Daily Sale entry '!$P$1:$P$1501,$J1943-1499)&amp;""))</f>
        <v/>
      </c>
      <c r="E1943">
        <f>IF($J1943="","",IF($J1943&lt;=1500,IF(N(INDEX('Daily Sale entry '!$AB$1:$AB$1501,$J1943+1))=0,"",INDEX('Daily Sale entry '!$AB$1:$AB$1501,$J1943+1)),1))</f>
        <v/>
      </c>
      <c r="F1943" s="6">
        <f>IF($J1943="","",IF($J1943&lt;=1500,N(INDEX('Daily Sale entry '!$AC$1:$AC$1501,$J1943+1))-IF(AND('Opening Balance'!$B$15=1,INDEX('Daily Sale entry '!$Z$1:$Z$1501,$J1943+1)="Online collection 网上收款",INDEX('Daily Sale entry '!$AA$1:$AA$1501,$J1943+1)&lt;&gt;""),N(INDEX('Daily Sale entry '!$AC$1:$AC$1501,$J1943+1))-TRUNC(N(INDEX('Daily Sale entry '!$AC$1:$AC$1501,$J1943+1))),0),N(INDEX('Daily Sale entry '!$S$1:$S$1501,$J1943-1499))-'Opening Balance'!$B$15*(N(INDEX('Daily Sale entry '!$S$1:$S$1501,$J1943-1499))-TRUNC(N(INDEX('Daily Sale entry '!$S$1:$S$1501,$J1943-1499))))))</f>
        <v/>
      </c>
      <c r="G1943" s="6">
        <f>IF($J1943="","",IF($J1943&lt;=1500,N(INDEX('Daily Sale entry '!$AD$1:$AD$1501,$J1943+1)),0))</f>
        <v/>
      </c>
      <c r="H1943" s="6">
        <f>IF($J1943="","",ROUND('Opening Balance'!$B$4+SUM($F$2:F1943)-SUM($G$2:G1943),2))</f>
        <v/>
      </c>
      <c r="J1943" s="21">
        <f>IFERROR(MATCH(ROW()-1,$L$2:$L$3001,0),"")</f>
        <v/>
      </c>
      <c r="K1943" s="34">
        <f>IF(AND('Daily Sale entry '!Q443="Collection 收款",'Daily Sale entry '!R443="Cheque 支票",'Daily Sale entry '!V443&lt;&gt;""),'Daily Sale entry '!V443+ROW()/10000000,"")</f>
        <v/>
      </c>
      <c r="L1943" s="21">
        <f>IF(K1943="","",COUNTIF($K$2:$K$3001,"&lt;"&amp;K1943)+1)</f>
        <v/>
      </c>
    </row>
    <row r="1944">
      <c r="A1944" s="5">
        <f>IF($J1944="","",IF($J1944&lt;=1500,INDEX('Daily Sale entry '!$X$1:$X$1501,$J1944+1),INDEX('Daily Sale entry '!$V$1:$V$1501,$J1944-1499)))</f>
        <v/>
      </c>
      <c r="B1944">
        <f>IF($J1944="","",IF($J1944&lt;=1500,INDEX('Daily Sale entry '!$Y$1:$Y$1501,$J1944+1)&amp;"","Buyer cheque banked 买家支票存入"&amp;IF(INDEX('Daily Sale entry '!$U$1:$U$1501,$J1944-1499)="","", " - "&amp;INDEX('Daily Sale entry '!$U$1:$U$1501,$J1944-1499))))</f>
        <v/>
      </c>
      <c r="C1944">
        <f>IF($J1944="","",IF($J1944&lt;=1500,INDEX('Daily Sale entry '!$Z$1:$Z$1501,$J1944+1)&amp;"","Cheque deposit 支票存入 (buyer 买家)"))</f>
        <v/>
      </c>
      <c r="D1944">
        <f>IF($J1944="","",IF($J1944&lt;=1500,INDEX('Daily Sale entry '!$AA$1:$AA$1501,$J1944+1)&amp;"",INDEX('Daily Sale entry '!$P$1:$P$1501,$J1944-1499)&amp;""))</f>
        <v/>
      </c>
      <c r="E1944">
        <f>IF($J1944="","",IF($J1944&lt;=1500,IF(N(INDEX('Daily Sale entry '!$AB$1:$AB$1501,$J1944+1))=0,"",INDEX('Daily Sale entry '!$AB$1:$AB$1501,$J1944+1)),1))</f>
        <v/>
      </c>
      <c r="F1944" s="6">
        <f>IF($J1944="","",IF($J1944&lt;=1500,N(INDEX('Daily Sale entry '!$AC$1:$AC$1501,$J1944+1))-IF(AND('Opening Balance'!$B$15=1,INDEX('Daily Sale entry '!$Z$1:$Z$1501,$J1944+1)="Online collection 网上收款",INDEX('Daily Sale entry '!$AA$1:$AA$1501,$J1944+1)&lt;&gt;""),N(INDEX('Daily Sale entry '!$AC$1:$AC$1501,$J1944+1))-TRUNC(N(INDEX('Daily Sale entry '!$AC$1:$AC$1501,$J1944+1))),0),N(INDEX('Daily Sale entry '!$S$1:$S$1501,$J1944-1499))-'Opening Balance'!$B$15*(N(INDEX('Daily Sale entry '!$S$1:$S$1501,$J1944-1499))-TRUNC(N(INDEX('Daily Sale entry '!$S$1:$S$1501,$J1944-1499))))))</f>
        <v/>
      </c>
      <c r="G1944" s="6">
        <f>IF($J1944="","",IF($J1944&lt;=1500,N(INDEX('Daily Sale entry '!$AD$1:$AD$1501,$J1944+1)),0))</f>
        <v/>
      </c>
      <c r="H1944" s="6">
        <f>IF($J1944="","",ROUND('Opening Balance'!$B$4+SUM($F$2:F1944)-SUM($G$2:G1944),2))</f>
        <v/>
      </c>
      <c r="J1944" s="21">
        <f>IFERROR(MATCH(ROW()-1,$L$2:$L$3001,0),"")</f>
        <v/>
      </c>
      <c r="K1944" s="34">
        <f>IF(AND('Daily Sale entry '!Q444="Collection 收款",'Daily Sale entry '!R444="Cheque 支票",'Daily Sale entry '!V444&lt;&gt;""),'Daily Sale entry '!V444+ROW()/10000000,"")</f>
        <v/>
      </c>
      <c r="L1944" s="21">
        <f>IF(K1944="","",COUNTIF($K$2:$K$3001,"&lt;"&amp;K1944)+1)</f>
        <v/>
      </c>
    </row>
    <row r="1945">
      <c r="A1945" s="5">
        <f>IF($J1945="","",IF($J1945&lt;=1500,INDEX('Daily Sale entry '!$X$1:$X$1501,$J1945+1),INDEX('Daily Sale entry '!$V$1:$V$1501,$J1945-1499)))</f>
        <v/>
      </c>
      <c r="B1945">
        <f>IF($J1945="","",IF($J1945&lt;=1500,INDEX('Daily Sale entry '!$Y$1:$Y$1501,$J1945+1)&amp;"","Buyer cheque banked 买家支票存入"&amp;IF(INDEX('Daily Sale entry '!$U$1:$U$1501,$J1945-1499)="","", " - "&amp;INDEX('Daily Sale entry '!$U$1:$U$1501,$J1945-1499))))</f>
        <v/>
      </c>
      <c r="C1945">
        <f>IF($J1945="","",IF($J1945&lt;=1500,INDEX('Daily Sale entry '!$Z$1:$Z$1501,$J1945+1)&amp;"","Cheque deposit 支票存入 (buyer 买家)"))</f>
        <v/>
      </c>
      <c r="D1945">
        <f>IF($J1945="","",IF($J1945&lt;=1500,INDEX('Daily Sale entry '!$AA$1:$AA$1501,$J1945+1)&amp;"",INDEX('Daily Sale entry '!$P$1:$P$1501,$J1945-1499)&amp;""))</f>
        <v/>
      </c>
      <c r="E1945">
        <f>IF($J1945="","",IF($J1945&lt;=1500,IF(N(INDEX('Daily Sale entry '!$AB$1:$AB$1501,$J1945+1))=0,"",INDEX('Daily Sale entry '!$AB$1:$AB$1501,$J1945+1)),1))</f>
        <v/>
      </c>
      <c r="F1945" s="6">
        <f>IF($J1945="","",IF($J1945&lt;=1500,N(INDEX('Daily Sale entry '!$AC$1:$AC$1501,$J1945+1))-IF(AND('Opening Balance'!$B$15=1,INDEX('Daily Sale entry '!$Z$1:$Z$1501,$J1945+1)="Online collection 网上收款",INDEX('Daily Sale entry '!$AA$1:$AA$1501,$J1945+1)&lt;&gt;""),N(INDEX('Daily Sale entry '!$AC$1:$AC$1501,$J1945+1))-TRUNC(N(INDEX('Daily Sale entry '!$AC$1:$AC$1501,$J1945+1))),0),N(INDEX('Daily Sale entry '!$S$1:$S$1501,$J1945-1499))-'Opening Balance'!$B$15*(N(INDEX('Daily Sale entry '!$S$1:$S$1501,$J1945-1499))-TRUNC(N(INDEX('Daily Sale entry '!$S$1:$S$1501,$J1945-1499))))))</f>
        <v/>
      </c>
      <c r="G1945" s="6">
        <f>IF($J1945="","",IF($J1945&lt;=1500,N(INDEX('Daily Sale entry '!$AD$1:$AD$1501,$J1945+1)),0))</f>
        <v/>
      </c>
      <c r="H1945" s="6">
        <f>IF($J1945="","",ROUND('Opening Balance'!$B$4+SUM($F$2:F1945)-SUM($G$2:G1945),2))</f>
        <v/>
      </c>
      <c r="J1945" s="21">
        <f>IFERROR(MATCH(ROW()-1,$L$2:$L$3001,0),"")</f>
        <v/>
      </c>
      <c r="K1945" s="34">
        <f>IF(AND('Daily Sale entry '!Q445="Collection 收款",'Daily Sale entry '!R445="Cheque 支票",'Daily Sale entry '!V445&lt;&gt;""),'Daily Sale entry '!V445+ROW()/10000000,"")</f>
        <v/>
      </c>
      <c r="L1945" s="21">
        <f>IF(K1945="","",COUNTIF($K$2:$K$3001,"&lt;"&amp;K1945)+1)</f>
        <v/>
      </c>
    </row>
    <row r="1946">
      <c r="A1946" s="5">
        <f>IF($J1946="","",IF($J1946&lt;=1500,INDEX('Daily Sale entry '!$X$1:$X$1501,$J1946+1),INDEX('Daily Sale entry '!$V$1:$V$1501,$J1946-1499)))</f>
        <v/>
      </c>
      <c r="B1946">
        <f>IF($J1946="","",IF($J1946&lt;=1500,INDEX('Daily Sale entry '!$Y$1:$Y$1501,$J1946+1)&amp;"","Buyer cheque banked 买家支票存入"&amp;IF(INDEX('Daily Sale entry '!$U$1:$U$1501,$J1946-1499)="","", " - "&amp;INDEX('Daily Sale entry '!$U$1:$U$1501,$J1946-1499))))</f>
        <v/>
      </c>
      <c r="C1946">
        <f>IF($J1946="","",IF($J1946&lt;=1500,INDEX('Daily Sale entry '!$Z$1:$Z$1501,$J1946+1)&amp;"","Cheque deposit 支票存入 (buyer 买家)"))</f>
        <v/>
      </c>
      <c r="D1946">
        <f>IF($J1946="","",IF($J1946&lt;=1500,INDEX('Daily Sale entry '!$AA$1:$AA$1501,$J1946+1)&amp;"",INDEX('Daily Sale entry '!$P$1:$P$1501,$J1946-1499)&amp;""))</f>
        <v/>
      </c>
      <c r="E1946">
        <f>IF($J1946="","",IF($J1946&lt;=1500,IF(N(INDEX('Daily Sale entry '!$AB$1:$AB$1501,$J1946+1))=0,"",INDEX('Daily Sale entry '!$AB$1:$AB$1501,$J1946+1)),1))</f>
        <v/>
      </c>
      <c r="F1946" s="6">
        <f>IF($J1946="","",IF($J1946&lt;=1500,N(INDEX('Daily Sale entry '!$AC$1:$AC$1501,$J1946+1))-IF(AND('Opening Balance'!$B$15=1,INDEX('Daily Sale entry '!$Z$1:$Z$1501,$J1946+1)="Online collection 网上收款",INDEX('Daily Sale entry '!$AA$1:$AA$1501,$J1946+1)&lt;&gt;""),N(INDEX('Daily Sale entry '!$AC$1:$AC$1501,$J1946+1))-TRUNC(N(INDEX('Daily Sale entry '!$AC$1:$AC$1501,$J1946+1))),0),N(INDEX('Daily Sale entry '!$S$1:$S$1501,$J1946-1499))-'Opening Balance'!$B$15*(N(INDEX('Daily Sale entry '!$S$1:$S$1501,$J1946-1499))-TRUNC(N(INDEX('Daily Sale entry '!$S$1:$S$1501,$J1946-1499))))))</f>
        <v/>
      </c>
      <c r="G1946" s="6">
        <f>IF($J1946="","",IF($J1946&lt;=1500,N(INDEX('Daily Sale entry '!$AD$1:$AD$1501,$J1946+1)),0))</f>
        <v/>
      </c>
      <c r="H1946" s="6">
        <f>IF($J1946="","",ROUND('Opening Balance'!$B$4+SUM($F$2:F1946)-SUM($G$2:G1946),2))</f>
        <v/>
      </c>
      <c r="J1946" s="21">
        <f>IFERROR(MATCH(ROW()-1,$L$2:$L$3001,0),"")</f>
        <v/>
      </c>
      <c r="K1946" s="34">
        <f>IF(AND('Daily Sale entry '!Q446="Collection 收款",'Daily Sale entry '!R446="Cheque 支票",'Daily Sale entry '!V446&lt;&gt;""),'Daily Sale entry '!V446+ROW()/10000000,"")</f>
        <v/>
      </c>
      <c r="L1946" s="21">
        <f>IF(K1946="","",COUNTIF($K$2:$K$3001,"&lt;"&amp;K1946)+1)</f>
        <v/>
      </c>
    </row>
    <row r="1947">
      <c r="A1947" s="5">
        <f>IF($J1947="","",IF($J1947&lt;=1500,INDEX('Daily Sale entry '!$X$1:$X$1501,$J1947+1),INDEX('Daily Sale entry '!$V$1:$V$1501,$J1947-1499)))</f>
        <v/>
      </c>
      <c r="B1947">
        <f>IF($J1947="","",IF($J1947&lt;=1500,INDEX('Daily Sale entry '!$Y$1:$Y$1501,$J1947+1)&amp;"","Buyer cheque banked 买家支票存入"&amp;IF(INDEX('Daily Sale entry '!$U$1:$U$1501,$J1947-1499)="","", " - "&amp;INDEX('Daily Sale entry '!$U$1:$U$1501,$J1947-1499))))</f>
        <v/>
      </c>
      <c r="C1947">
        <f>IF($J1947="","",IF($J1947&lt;=1500,INDEX('Daily Sale entry '!$Z$1:$Z$1501,$J1947+1)&amp;"","Cheque deposit 支票存入 (buyer 买家)"))</f>
        <v/>
      </c>
      <c r="D1947">
        <f>IF($J1947="","",IF($J1947&lt;=1500,INDEX('Daily Sale entry '!$AA$1:$AA$1501,$J1947+1)&amp;"",INDEX('Daily Sale entry '!$P$1:$P$1501,$J1947-1499)&amp;""))</f>
        <v/>
      </c>
      <c r="E1947">
        <f>IF($J1947="","",IF($J1947&lt;=1500,IF(N(INDEX('Daily Sale entry '!$AB$1:$AB$1501,$J1947+1))=0,"",INDEX('Daily Sale entry '!$AB$1:$AB$1501,$J1947+1)),1))</f>
        <v/>
      </c>
      <c r="F1947" s="6">
        <f>IF($J1947="","",IF($J1947&lt;=1500,N(INDEX('Daily Sale entry '!$AC$1:$AC$1501,$J1947+1))-IF(AND('Opening Balance'!$B$15=1,INDEX('Daily Sale entry '!$Z$1:$Z$1501,$J1947+1)="Online collection 网上收款",INDEX('Daily Sale entry '!$AA$1:$AA$1501,$J1947+1)&lt;&gt;""),N(INDEX('Daily Sale entry '!$AC$1:$AC$1501,$J1947+1))-TRUNC(N(INDEX('Daily Sale entry '!$AC$1:$AC$1501,$J1947+1))),0),N(INDEX('Daily Sale entry '!$S$1:$S$1501,$J1947-1499))-'Opening Balance'!$B$15*(N(INDEX('Daily Sale entry '!$S$1:$S$1501,$J1947-1499))-TRUNC(N(INDEX('Daily Sale entry '!$S$1:$S$1501,$J1947-1499))))))</f>
        <v/>
      </c>
      <c r="G1947" s="6">
        <f>IF($J1947="","",IF($J1947&lt;=1500,N(INDEX('Daily Sale entry '!$AD$1:$AD$1501,$J1947+1)),0))</f>
        <v/>
      </c>
      <c r="H1947" s="6">
        <f>IF($J1947="","",ROUND('Opening Balance'!$B$4+SUM($F$2:F1947)-SUM($G$2:G1947),2))</f>
        <v/>
      </c>
      <c r="J1947" s="21">
        <f>IFERROR(MATCH(ROW()-1,$L$2:$L$3001,0),"")</f>
        <v/>
      </c>
      <c r="K1947" s="34">
        <f>IF(AND('Daily Sale entry '!Q447="Collection 收款",'Daily Sale entry '!R447="Cheque 支票",'Daily Sale entry '!V447&lt;&gt;""),'Daily Sale entry '!V447+ROW()/10000000,"")</f>
        <v/>
      </c>
      <c r="L1947" s="21">
        <f>IF(K1947="","",COUNTIF($K$2:$K$3001,"&lt;"&amp;K1947)+1)</f>
        <v/>
      </c>
    </row>
    <row r="1948">
      <c r="A1948" s="5">
        <f>IF($J1948="","",IF($J1948&lt;=1500,INDEX('Daily Sale entry '!$X$1:$X$1501,$J1948+1),INDEX('Daily Sale entry '!$V$1:$V$1501,$J1948-1499)))</f>
        <v/>
      </c>
      <c r="B1948">
        <f>IF($J1948="","",IF($J1948&lt;=1500,INDEX('Daily Sale entry '!$Y$1:$Y$1501,$J1948+1)&amp;"","Buyer cheque banked 买家支票存入"&amp;IF(INDEX('Daily Sale entry '!$U$1:$U$1501,$J1948-1499)="","", " - "&amp;INDEX('Daily Sale entry '!$U$1:$U$1501,$J1948-1499))))</f>
        <v/>
      </c>
      <c r="C1948">
        <f>IF($J1948="","",IF($J1948&lt;=1500,INDEX('Daily Sale entry '!$Z$1:$Z$1501,$J1948+1)&amp;"","Cheque deposit 支票存入 (buyer 买家)"))</f>
        <v/>
      </c>
      <c r="D1948">
        <f>IF($J1948="","",IF($J1948&lt;=1500,INDEX('Daily Sale entry '!$AA$1:$AA$1501,$J1948+1)&amp;"",INDEX('Daily Sale entry '!$P$1:$P$1501,$J1948-1499)&amp;""))</f>
        <v/>
      </c>
      <c r="E1948">
        <f>IF($J1948="","",IF($J1948&lt;=1500,IF(N(INDEX('Daily Sale entry '!$AB$1:$AB$1501,$J1948+1))=0,"",INDEX('Daily Sale entry '!$AB$1:$AB$1501,$J1948+1)),1))</f>
        <v/>
      </c>
      <c r="F1948" s="6">
        <f>IF($J1948="","",IF($J1948&lt;=1500,N(INDEX('Daily Sale entry '!$AC$1:$AC$1501,$J1948+1))-IF(AND('Opening Balance'!$B$15=1,INDEX('Daily Sale entry '!$Z$1:$Z$1501,$J1948+1)="Online collection 网上收款",INDEX('Daily Sale entry '!$AA$1:$AA$1501,$J1948+1)&lt;&gt;""),N(INDEX('Daily Sale entry '!$AC$1:$AC$1501,$J1948+1))-TRUNC(N(INDEX('Daily Sale entry '!$AC$1:$AC$1501,$J1948+1))),0),N(INDEX('Daily Sale entry '!$S$1:$S$1501,$J1948-1499))-'Opening Balance'!$B$15*(N(INDEX('Daily Sale entry '!$S$1:$S$1501,$J1948-1499))-TRUNC(N(INDEX('Daily Sale entry '!$S$1:$S$1501,$J1948-1499))))))</f>
        <v/>
      </c>
      <c r="G1948" s="6">
        <f>IF($J1948="","",IF($J1948&lt;=1500,N(INDEX('Daily Sale entry '!$AD$1:$AD$1501,$J1948+1)),0))</f>
        <v/>
      </c>
      <c r="H1948" s="6">
        <f>IF($J1948="","",ROUND('Opening Balance'!$B$4+SUM($F$2:F1948)-SUM($G$2:G1948),2))</f>
        <v/>
      </c>
      <c r="J1948" s="21">
        <f>IFERROR(MATCH(ROW()-1,$L$2:$L$3001,0),"")</f>
        <v/>
      </c>
      <c r="K1948" s="34">
        <f>IF(AND('Daily Sale entry '!Q448="Collection 收款",'Daily Sale entry '!R448="Cheque 支票",'Daily Sale entry '!V448&lt;&gt;""),'Daily Sale entry '!V448+ROW()/10000000,"")</f>
        <v/>
      </c>
      <c r="L1948" s="21">
        <f>IF(K1948="","",COUNTIF($K$2:$K$3001,"&lt;"&amp;K1948)+1)</f>
        <v/>
      </c>
    </row>
    <row r="1949">
      <c r="A1949" s="5">
        <f>IF($J1949="","",IF($J1949&lt;=1500,INDEX('Daily Sale entry '!$X$1:$X$1501,$J1949+1),INDEX('Daily Sale entry '!$V$1:$V$1501,$J1949-1499)))</f>
        <v/>
      </c>
      <c r="B1949">
        <f>IF($J1949="","",IF($J1949&lt;=1500,INDEX('Daily Sale entry '!$Y$1:$Y$1501,$J1949+1)&amp;"","Buyer cheque banked 买家支票存入"&amp;IF(INDEX('Daily Sale entry '!$U$1:$U$1501,$J1949-1499)="","", " - "&amp;INDEX('Daily Sale entry '!$U$1:$U$1501,$J1949-1499))))</f>
        <v/>
      </c>
      <c r="C1949">
        <f>IF($J1949="","",IF($J1949&lt;=1500,INDEX('Daily Sale entry '!$Z$1:$Z$1501,$J1949+1)&amp;"","Cheque deposit 支票存入 (buyer 买家)"))</f>
        <v/>
      </c>
      <c r="D1949">
        <f>IF($J1949="","",IF($J1949&lt;=1500,INDEX('Daily Sale entry '!$AA$1:$AA$1501,$J1949+1)&amp;"",INDEX('Daily Sale entry '!$P$1:$P$1501,$J1949-1499)&amp;""))</f>
        <v/>
      </c>
      <c r="E1949">
        <f>IF($J1949="","",IF($J1949&lt;=1500,IF(N(INDEX('Daily Sale entry '!$AB$1:$AB$1501,$J1949+1))=0,"",INDEX('Daily Sale entry '!$AB$1:$AB$1501,$J1949+1)),1))</f>
        <v/>
      </c>
      <c r="F1949" s="6">
        <f>IF($J1949="","",IF($J1949&lt;=1500,N(INDEX('Daily Sale entry '!$AC$1:$AC$1501,$J1949+1))-IF(AND('Opening Balance'!$B$15=1,INDEX('Daily Sale entry '!$Z$1:$Z$1501,$J1949+1)="Online collection 网上收款",INDEX('Daily Sale entry '!$AA$1:$AA$1501,$J1949+1)&lt;&gt;""),N(INDEX('Daily Sale entry '!$AC$1:$AC$1501,$J1949+1))-TRUNC(N(INDEX('Daily Sale entry '!$AC$1:$AC$1501,$J1949+1))),0),N(INDEX('Daily Sale entry '!$S$1:$S$1501,$J1949-1499))-'Opening Balance'!$B$15*(N(INDEX('Daily Sale entry '!$S$1:$S$1501,$J1949-1499))-TRUNC(N(INDEX('Daily Sale entry '!$S$1:$S$1501,$J1949-1499))))))</f>
        <v/>
      </c>
      <c r="G1949" s="6">
        <f>IF($J1949="","",IF($J1949&lt;=1500,N(INDEX('Daily Sale entry '!$AD$1:$AD$1501,$J1949+1)),0))</f>
        <v/>
      </c>
      <c r="H1949" s="6">
        <f>IF($J1949="","",ROUND('Opening Balance'!$B$4+SUM($F$2:F1949)-SUM($G$2:G1949),2))</f>
        <v/>
      </c>
      <c r="J1949" s="21">
        <f>IFERROR(MATCH(ROW()-1,$L$2:$L$3001,0),"")</f>
        <v/>
      </c>
      <c r="K1949" s="34">
        <f>IF(AND('Daily Sale entry '!Q449="Collection 收款",'Daily Sale entry '!R449="Cheque 支票",'Daily Sale entry '!V449&lt;&gt;""),'Daily Sale entry '!V449+ROW()/10000000,"")</f>
        <v/>
      </c>
      <c r="L1949" s="21">
        <f>IF(K1949="","",COUNTIF($K$2:$K$3001,"&lt;"&amp;K1949)+1)</f>
        <v/>
      </c>
    </row>
    <row r="1950">
      <c r="A1950" s="5">
        <f>IF($J1950="","",IF($J1950&lt;=1500,INDEX('Daily Sale entry '!$X$1:$X$1501,$J1950+1),INDEX('Daily Sale entry '!$V$1:$V$1501,$J1950-1499)))</f>
        <v/>
      </c>
      <c r="B1950">
        <f>IF($J1950="","",IF($J1950&lt;=1500,INDEX('Daily Sale entry '!$Y$1:$Y$1501,$J1950+1)&amp;"","Buyer cheque banked 买家支票存入"&amp;IF(INDEX('Daily Sale entry '!$U$1:$U$1501,$J1950-1499)="","", " - "&amp;INDEX('Daily Sale entry '!$U$1:$U$1501,$J1950-1499))))</f>
        <v/>
      </c>
      <c r="C1950">
        <f>IF($J1950="","",IF($J1950&lt;=1500,INDEX('Daily Sale entry '!$Z$1:$Z$1501,$J1950+1)&amp;"","Cheque deposit 支票存入 (buyer 买家)"))</f>
        <v/>
      </c>
      <c r="D1950">
        <f>IF($J1950="","",IF($J1950&lt;=1500,INDEX('Daily Sale entry '!$AA$1:$AA$1501,$J1950+1)&amp;"",INDEX('Daily Sale entry '!$P$1:$P$1501,$J1950-1499)&amp;""))</f>
        <v/>
      </c>
      <c r="E1950">
        <f>IF($J1950="","",IF($J1950&lt;=1500,IF(N(INDEX('Daily Sale entry '!$AB$1:$AB$1501,$J1950+1))=0,"",INDEX('Daily Sale entry '!$AB$1:$AB$1501,$J1950+1)),1))</f>
        <v/>
      </c>
      <c r="F1950" s="6">
        <f>IF($J1950="","",IF($J1950&lt;=1500,N(INDEX('Daily Sale entry '!$AC$1:$AC$1501,$J1950+1))-IF(AND('Opening Balance'!$B$15=1,INDEX('Daily Sale entry '!$Z$1:$Z$1501,$J1950+1)="Online collection 网上收款",INDEX('Daily Sale entry '!$AA$1:$AA$1501,$J1950+1)&lt;&gt;""),N(INDEX('Daily Sale entry '!$AC$1:$AC$1501,$J1950+1))-TRUNC(N(INDEX('Daily Sale entry '!$AC$1:$AC$1501,$J1950+1))),0),N(INDEX('Daily Sale entry '!$S$1:$S$1501,$J1950-1499))-'Opening Balance'!$B$15*(N(INDEX('Daily Sale entry '!$S$1:$S$1501,$J1950-1499))-TRUNC(N(INDEX('Daily Sale entry '!$S$1:$S$1501,$J1950-1499))))))</f>
        <v/>
      </c>
      <c r="G1950" s="6">
        <f>IF($J1950="","",IF($J1950&lt;=1500,N(INDEX('Daily Sale entry '!$AD$1:$AD$1501,$J1950+1)),0))</f>
        <v/>
      </c>
      <c r="H1950" s="6">
        <f>IF($J1950="","",ROUND('Opening Balance'!$B$4+SUM($F$2:F1950)-SUM($G$2:G1950),2))</f>
        <v/>
      </c>
      <c r="J1950" s="21">
        <f>IFERROR(MATCH(ROW()-1,$L$2:$L$3001,0),"")</f>
        <v/>
      </c>
      <c r="K1950" s="34">
        <f>IF(AND('Daily Sale entry '!Q450="Collection 收款",'Daily Sale entry '!R450="Cheque 支票",'Daily Sale entry '!V450&lt;&gt;""),'Daily Sale entry '!V450+ROW()/10000000,"")</f>
        <v/>
      </c>
      <c r="L1950" s="21">
        <f>IF(K1950="","",COUNTIF($K$2:$K$3001,"&lt;"&amp;K1950)+1)</f>
        <v/>
      </c>
    </row>
    <row r="1951">
      <c r="A1951" s="5">
        <f>IF($J1951="","",IF($J1951&lt;=1500,INDEX('Daily Sale entry '!$X$1:$X$1501,$J1951+1),INDEX('Daily Sale entry '!$V$1:$V$1501,$J1951-1499)))</f>
        <v/>
      </c>
      <c r="B1951">
        <f>IF($J1951="","",IF($J1951&lt;=1500,INDEX('Daily Sale entry '!$Y$1:$Y$1501,$J1951+1)&amp;"","Buyer cheque banked 买家支票存入"&amp;IF(INDEX('Daily Sale entry '!$U$1:$U$1501,$J1951-1499)="","", " - "&amp;INDEX('Daily Sale entry '!$U$1:$U$1501,$J1951-1499))))</f>
        <v/>
      </c>
      <c r="C1951">
        <f>IF($J1951="","",IF($J1951&lt;=1500,INDEX('Daily Sale entry '!$Z$1:$Z$1501,$J1951+1)&amp;"","Cheque deposit 支票存入 (buyer 买家)"))</f>
        <v/>
      </c>
      <c r="D1951">
        <f>IF($J1951="","",IF($J1951&lt;=1500,INDEX('Daily Sale entry '!$AA$1:$AA$1501,$J1951+1)&amp;"",INDEX('Daily Sale entry '!$P$1:$P$1501,$J1951-1499)&amp;""))</f>
        <v/>
      </c>
      <c r="E1951">
        <f>IF($J1951="","",IF($J1951&lt;=1500,IF(N(INDEX('Daily Sale entry '!$AB$1:$AB$1501,$J1951+1))=0,"",INDEX('Daily Sale entry '!$AB$1:$AB$1501,$J1951+1)),1))</f>
        <v/>
      </c>
      <c r="F1951" s="6">
        <f>IF($J1951="","",IF($J1951&lt;=1500,N(INDEX('Daily Sale entry '!$AC$1:$AC$1501,$J1951+1))-IF(AND('Opening Balance'!$B$15=1,INDEX('Daily Sale entry '!$Z$1:$Z$1501,$J1951+1)="Online collection 网上收款",INDEX('Daily Sale entry '!$AA$1:$AA$1501,$J1951+1)&lt;&gt;""),N(INDEX('Daily Sale entry '!$AC$1:$AC$1501,$J1951+1))-TRUNC(N(INDEX('Daily Sale entry '!$AC$1:$AC$1501,$J1951+1))),0),N(INDEX('Daily Sale entry '!$S$1:$S$1501,$J1951-1499))-'Opening Balance'!$B$15*(N(INDEX('Daily Sale entry '!$S$1:$S$1501,$J1951-1499))-TRUNC(N(INDEX('Daily Sale entry '!$S$1:$S$1501,$J1951-1499))))))</f>
        <v/>
      </c>
      <c r="G1951" s="6">
        <f>IF($J1951="","",IF($J1951&lt;=1500,N(INDEX('Daily Sale entry '!$AD$1:$AD$1501,$J1951+1)),0))</f>
        <v/>
      </c>
      <c r="H1951" s="6">
        <f>IF($J1951="","",ROUND('Opening Balance'!$B$4+SUM($F$2:F1951)-SUM($G$2:G1951),2))</f>
        <v/>
      </c>
      <c r="J1951" s="21">
        <f>IFERROR(MATCH(ROW()-1,$L$2:$L$3001,0),"")</f>
        <v/>
      </c>
      <c r="K1951" s="34">
        <f>IF(AND('Daily Sale entry '!Q451="Collection 收款",'Daily Sale entry '!R451="Cheque 支票",'Daily Sale entry '!V451&lt;&gt;""),'Daily Sale entry '!V451+ROW()/10000000,"")</f>
        <v/>
      </c>
      <c r="L1951" s="21">
        <f>IF(K1951="","",COUNTIF($K$2:$K$3001,"&lt;"&amp;K1951)+1)</f>
        <v/>
      </c>
    </row>
    <row r="1952">
      <c r="A1952" s="5">
        <f>IF($J1952="","",IF($J1952&lt;=1500,INDEX('Daily Sale entry '!$X$1:$X$1501,$J1952+1),INDEX('Daily Sale entry '!$V$1:$V$1501,$J1952-1499)))</f>
        <v/>
      </c>
      <c r="B1952">
        <f>IF($J1952="","",IF($J1952&lt;=1500,INDEX('Daily Sale entry '!$Y$1:$Y$1501,$J1952+1)&amp;"","Buyer cheque banked 买家支票存入"&amp;IF(INDEX('Daily Sale entry '!$U$1:$U$1501,$J1952-1499)="","", " - "&amp;INDEX('Daily Sale entry '!$U$1:$U$1501,$J1952-1499))))</f>
        <v/>
      </c>
      <c r="C1952">
        <f>IF($J1952="","",IF($J1952&lt;=1500,INDEX('Daily Sale entry '!$Z$1:$Z$1501,$J1952+1)&amp;"","Cheque deposit 支票存入 (buyer 买家)"))</f>
        <v/>
      </c>
      <c r="D1952">
        <f>IF($J1952="","",IF($J1952&lt;=1500,INDEX('Daily Sale entry '!$AA$1:$AA$1501,$J1952+1)&amp;"",INDEX('Daily Sale entry '!$P$1:$P$1501,$J1952-1499)&amp;""))</f>
        <v/>
      </c>
      <c r="E1952">
        <f>IF($J1952="","",IF($J1952&lt;=1500,IF(N(INDEX('Daily Sale entry '!$AB$1:$AB$1501,$J1952+1))=0,"",INDEX('Daily Sale entry '!$AB$1:$AB$1501,$J1952+1)),1))</f>
        <v/>
      </c>
      <c r="F1952" s="6">
        <f>IF($J1952="","",IF($J1952&lt;=1500,N(INDEX('Daily Sale entry '!$AC$1:$AC$1501,$J1952+1))-IF(AND('Opening Balance'!$B$15=1,INDEX('Daily Sale entry '!$Z$1:$Z$1501,$J1952+1)="Online collection 网上收款",INDEX('Daily Sale entry '!$AA$1:$AA$1501,$J1952+1)&lt;&gt;""),N(INDEX('Daily Sale entry '!$AC$1:$AC$1501,$J1952+1))-TRUNC(N(INDEX('Daily Sale entry '!$AC$1:$AC$1501,$J1952+1))),0),N(INDEX('Daily Sale entry '!$S$1:$S$1501,$J1952-1499))-'Opening Balance'!$B$15*(N(INDEX('Daily Sale entry '!$S$1:$S$1501,$J1952-1499))-TRUNC(N(INDEX('Daily Sale entry '!$S$1:$S$1501,$J1952-1499))))))</f>
        <v/>
      </c>
      <c r="G1952" s="6">
        <f>IF($J1952="","",IF($J1952&lt;=1500,N(INDEX('Daily Sale entry '!$AD$1:$AD$1501,$J1952+1)),0))</f>
        <v/>
      </c>
      <c r="H1952" s="6">
        <f>IF($J1952="","",ROUND('Opening Balance'!$B$4+SUM($F$2:F1952)-SUM($G$2:G1952),2))</f>
        <v/>
      </c>
      <c r="J1952" s="21">
        <f>IFERROR(MATCH(ROW()-1,$L$2:$L$3001,0),"")</f>
        <v/>
      </c>
      <c r="K1952" s="34">
        <f>IF(AND('Daily Sale entry '!Q452="Collection 收款",'Daily Sale entry '!R452="Cheque 支票",'Daily Sale entry '!V452&lt;&gt;""),'Daily Sale entry '!V452+ROW()/10000000,"")</f>
        <v/>
      </c>
      <c r="L1952" s="21">
        <f>IF(K1952="","",COUNTIF($K$2:$K$3001,"&lt;"&amp;K1952)+1)</f>
        <v/>
      </c>
    </row>
    <row r="1953">
      <c r="A1953" s="5">
        <f>IF($J1953="","",IF($J1953&lt;=1500,INDEX('Daily Sale entry '!$X$1:$X$1501,$J1953+1),INDEX('Daily Sale entry '!$V$1:$V$1501,$J1953-1499)))</f>
        <v/>
      </c>
      <c r="B1953">
        <f>IF($J1953="","",IF($J1953&lt;=1500,INDEX('Daily Sale entry '!$Y$1:$Y$1501,$J1953+1)&amp;"","Buyer cheque banked 买家支票存入"&amp;IF(INDEX('Daily Sale entry '!$U$1:$U$1501,$J1953-1499)="","", " - "&amp;INDEX('Daily Sale entry '!$U$1:$U$1501,$J1953-1499))))</f>
        <v/>
      </c>
      <c r="C1953">
        <f>IF($J1953="","",IF($J1953&lt;=1500,INDEX('Daily Sale entry '!$Z$1:$Z$1501,$J1953+1)&amp;"","Cheque deposit 支票存入 (buyer 买家)"))</f>
        <v/>
      </c>
      <c r="D1953">
        <f>IF($J1953="","",IF($J1953&lt;=1500,INDEX('Daily Sale entry '!$AA$1:$AA$1501,$J1953+1)&amp;"",INDEX('Daily Sale entry '!$P$1:$P$1501,$J1953-1499)&amp;""))</f>
        <v/>
      </c>
      <c r="E1953">
        <f>IF($J1953="","",IF($J1953&lt;=1500,IF(N(INDEX('Daily Sale entry '!$AB$1:$AB$1501,$J1953+1))=0,"",INDEX('Daily Sale entry '!$AB$1:$AB$1501,$J1953+1)),1))</f>
        <v/>
      </c>
      <c r="F1953" s="6">
        <f>IF($J1953="","",IF($J1953&lt;=1500,N(INDEX('Daily Sale entry '!$AC$1:$AC$1501,$J1953+1))-IF(AND('Opening Balance'!$B$15=1,INDEX('Daily Sale entry '!$Z$1:$Z$1501,$J1953+1)="Online collection 网上收款",INDEX('Daily Sale entry '!$AA$1:$AA$1501,$J1953+1)&lt;&gt;""),N(INDEX('Daily Sale entry '!$AC$1:$AC$1501,$J1953+1))-TRUNC(N(INDEX('Daily Sale entry '!$AC$1:$AC$1501,$J1953+1))),0),N(INDEX('Daily Sale entry '!$S$1:$S$1501,$J1953-1499))-'Opening Balance'!$B$15*(N(INDEX('Daily Sale entry '!$S$1:$S$1501,$J1953-1499))-TRUNC(N(INDEX('Daily Sale entry '!$S$1:$S$1501,$J1953-1499))))))</f>
        <v/>
      </c>
      <c r="G1953" s="6">
        <f>IF($J1953="","",IF($J1953&lt;=1500,N(INDEX('Daily Sale entry '!$AD$1:$AD$1501,$J1953+1)),0))</f>
        <v/>
      </c>
      <c r="H1953" s="6">
        <f>IF($J1953="","",ROUND('Opening Balance'!$B$4+SUM($F$2:F1953)-SUM($G$2:G1953),2))</f>
        <v/>
      </c>
      <c r="J1953" s="21">
        <f>IFERROR(MATCH(ROW()-1,$L$2:$L$3001,0),"")</f>
        <v/>
      </c>
      <c r="K1953" s="34">
        <f>IF(AND('Daily Sale entry '!Q453="Collection 收款",'Daily Sale entry '!R453="Cheque 支票",'Daily Sale entry '!V453&lt;&gt;""),'Daily Sale entry '!V453+ROW()/10000000,"")</f>
        <v/>
      </c>
      <c r="L1953" s="21">
        <f>IF(K1953="","",COUNTIF($K$2:$K$3001,"&lt;"&amp;K1953)+1)</f>
        <v/>
      </c>
    </row>
    <row r="1954">
      <c r="A1954" s="5">
        <f>IF($J1954="","",IF($J1954&lt;=1500,INDEX('Daily Sale entry '!$X$1:$X$1501,$J1954+1),INDEX('Daily Sale entry '!$V$1:$V$1501,$J1954-1499)))</f>
        <v/>
      </c>
      <c r="B1954">
        <f>IF($J1954="","",IF($J1954&lt;=1500,INDEX('Daily Sale entry '!$Y$1:$Y$1501,$J1954+1)&amp;"","Buyer cheque banked 买家支票存入"&amp;IF(INDEX('Daily Sale entry '!$U$1:$U$1501,$J1954-1499)="","", " - "&amp;INDEX('Daily Sale entry '!$U$1:$U$1501,$J1954-1499))))</f>
        <v/>
      </c>
      <c r="C1954">
        <f>IF($J1954="","",IF($J1954&lt;=1500,INDEX('Daily Sale entry '!$Z$1:$Z$1501,$J1954+1)&amp;"","Cheque deposit 支票存入 (buyer 买家)"))</f>
        <v/>
      </c>
      <c r="D1954">
        <f>IF($J1954="","",IF($J1954&lt;=1500,INDEX('Daily Sale entry '!$AA$1:$AA$1501,$J1954+1)&amp;"",INDEX('Daily Sale entry '!$P$1:$P$1501,$J1954-1499)&amp;""))</f>
        <v/>
      </c>
      <c r="E1954">
        <f>IF($J1954="","",IF($J1954&lt;=1500,IF(N(INDEX('Daily Sale entry '!$AB$1:$AB$1501,$J1954+1))=0,"",INDEX('Daily Sale entry '!$AB$1:$AB$1501,$J1954+1)),1))</f>
        <v/>
      </c>
      <c r="F1954" s="6">
        <f>IF($J1954="","",IF($J1954&lt;=1500,N(INDEX('Daily Sale entry '!$AC$1:$AC$1501,$J1954+1))-IF(AND('Opening Balance'!$B$15=1,INDEX('Daily Sale entry '!$Z$1:$Z$1501,$J1954+1)="Online collection 网上收款",INDEX('Daily Sale entry '!$AA$1:$AA$1501,$J1954+1)&lt;&gt;""),N(INDEX('Daily Sale entry '!$AC$1:$AC$1501,$J1954+1))-TRUNC(N(INDEX('Daily Sale entry '!$AC$1:$AC$1501,$J1954+1))),0),N(INDEX('Daily Sale entry '!$S$1:$S$1501,$J1954-1499))-'Opening Balance'!$B$15*(N(INDEX('Daily Sale entry '!$S$1:$S$1501,$J1954-1499))-TRUNC(N(INDEX('Daily Sale entry '!$S$1:$S$1501,$J1954-1499))))))</f>
        <v/>
      </c>
      <c r="G1954" s="6">
        <f>IF($J1954="","",IF($J1954&lt;=1500,N(INDEX('Daily Sale entry '!$AD$1:$AD$1501,$J1954+1)),0))</f>
        <v/>
      </c>
      <c r="H1954" s="6">
        <f>IF($J1954="","",ROUND('Opening Balance'!$B$4+SUM($F$2:F1954)-SUM($G$2:G1954),2))</f>
        <v/>
      </c>
      <c r="J1954" s="21">
        <f>IFERROR(MATCH(ROW()-1,$L$2:$L$3001,0),"")</f>
        <v/>
      </c>
      <c r="K1954" s="34">
        <f>IF(AND('Daily Sale entry '!Q454="Collection 收款",'Daily Sale entry '!R454="Cheque 支票",'Daily Sale entry '!V454&lt;&gt;""),'Daily Sale entry '!V454+ROW()/10000000,"")</f>
        <v/>
      </c>
      <c r="L1954" s="21">
        <f>IF(K1954="","",COUNTIF($K$2:$K$3001,"&lt;"&amp;K1954)+1)</f>
        <v/>
      </c>
    </row>
    <row r="1955">
      <c r="A1955" s="5">
        <f>IF($J1955="","",IF($J1955&lt;=1500,INDEX('Daily Sale entry '!$X$1:$X$1501,$J1955+1),INDEX('Daily Sale entry '!$V$1:$V$1501,$J1955-1499)))</f>
        <v/>
      </c>
      <c r="B1955">
        <f>IF($J1955="","",IF($J1955&lt;=1500,INDEX('Daily Sale entry '!$Y$1:$Y$1501,$J1955+1)&amp;"","Buyer cheque banked 买家支票存入"&amp;IF(INDEX('Daily Sale entry '!$U$1:$U$1501,$J1955-1499)="","", " - "&amp;INDEX('Daily Sale entry '!$U$1:$U$1501,$J1955-1499))))</f>
        <v/>
      </c>
      <c r="C1955">
        <f>IF($J1955="","",IF($J1955&lt;=1500,INDEX('Daily Sale entry '!$Z$1:$Z$1501,$J1955+1)&amp;"","Cheque deposit 支票存入 (buyer 买家)"))</f>
        <v/>
      </c>
      <c r="D1955">
        <f>IF($J1955="","",IF($J1955&lt;=1500,INDEX('Daily Sale entry '!$AA$1:$AA$1501,$J1955+1)&amp;"",INDEX('Daily Sale entry '!$P$1:$P$1501,$J1955-1499)&amp;""))</f>
        <v/>
      </c>
      <c r="E1955">
        <f>IF($J1955="","",IF($J1955&lt;=1500,IF(N(INDEX('Daily Sale entry '!$AB$1:$AB$1501,$J1955+1))=0,"",INDEX('Daily Sale entry '!$AB$1:$AB$1501,$J1955+1)),1))</f>
        <v/>
      </c>
      <c r="F1955" s="6">
        <f>IF($J1955="","",IF($J1955&lt;=1500,N(INDEX('Daily Sale entry '!$AC$1:$AC$1501,$J1955+1))-IF(AND('Opening Balance'!$B$15=1,INDEX('Daily Sale entry '!$Z$1:$Z$1501,$J1955+1)="Online collection 网上收款",INDEX('Daily Sale entry '!$AA$1:$AA$1501,$J1955+1)&lt;&gt;""),N(INDEX('Daily Sale entry '!$AC$1:$AC$1501,$J1955+1))-TRUNC(N(INDEX('Daily Sale entry '!$AC$1:$AC$1501,$J1955+1))),0),N(INDEX('Daily Sale entry '!$S$1:$S$1501,$J1955-1499))-'Opening Balance'!$B$15*(N(INDEX('Daily Sale entry '!$S$1:$S$1501,$J1955-1499))-TRUNC(N(INDEX('Daily Sale entry '!$S$1:$S$1501,$J1955-1499))))))</f>
        <v/>
      </c>
      <c r="G1955" s="6">
        <f>IF($J1955="","",IF($J1955&lt;=1500,N(INDEX('Daily Sale entry '!$AD$1:$AD$1501,$J1955+1)),0))</f>
        <v/>
      </c>
      <c r="H1955" s="6">
        <f>IF($J1955="","",ROUND('Opening Balance'!$B$4+SUM($F$2:F1955)-SUM($G$2:G1955),2))</f>
        <v/>
      </c>
      <c r="J1955" s="21">
        <f>IFERROR(MATCH(ROW()-1,$L$2:$L$3001,0),"")</f>
        <v/>
      </c>
      <c r="K1955" s="34">
        <f>IF(AND('Daily Sale entry '!Q455="Collection 收款",'Daily Sale entry '!R455="Cheque 支票",'Daily Sale entry '!V455&lt;&gt;""),'Daily Sale entry '!V455+ROW()/10000000,"")</f>
        <v/>
      </c>
      <c r="L1955" s="21">
        <f>IF(K1955="","",COUNTIF($K$2:$K$3001,"&lt;"&amp;K1955)+1)</f>
        <v/>
      </c>
    </row>
    <row r="1956">
      <c r="A1956" s="5">
        <f>IF($J1956="","",IF($J1956&lt;=1500,INDEX('Daily Sale entry '!$X$1:$X$1501,$J1956+1),INDEX('Daily Sale entry '!$V$1:$V$1501,$J1956-1499)))</f>
        <v/>
      </c>
      <c r="B1956">
        <f>IF($J1956="","",IF($J1956&lt;=1500,INDEX('Daily Sale entry '!$Y$1:$Y$1501,$J1956+1)&amp;"","Buyer cheque banked 买家支票存入"&amp;IF(INDEX('Daily Sale entry '!$U$1:$U$1501,$J1956-1499)="","", " - "&amp;INDEX('Daily Sale entry '!$U$1:$U$1501,$J1956-1499))))</f>
        <v/>
      </c>
      <c r="C1956">
        <f>IF($J1956="","",IF($J1956&lt;=1500,INDEX('Daily Sale entry '!$Z$1:$Z$1501,$J1956+1)&amp;"","Cheque deposit 支票存入 (buyer 买家)"))</f>
        <v/>
      </c>
      <c r="D1956">
        <f>IF($J1956="","",IF($J1956&lt;=1500,INDEX('Daily Sale entry '!$AA$1:$AA$1501,$J1956+1)&amp;"",INDEX('Daily Sale entry '!$P$1:$P$1501,$J1956-1499)&amp;""))</f>
        <v/>
      </c>
      <c r="E1956">
        <f>IF($J1956="","",IF($J1956&lt;=1500,IF(N(INDEX('Daily Sale entry '!$AB$1:$AB$1501,$J1956+1))=0,"",INDEX('Daily Sale entry '!$AB$1:$AB$1501,$J1956+1)),1))</f>
        <v/>
      </c>
      <c r="F1956" s="6">
        <f>IF($J1956="","",IF($J1956&lt;=1500,N(INDEX('Daily Sale entry '!$AC$1:$AC$1501,$J1956+1))-IF(AND('Opening Balance'!$B$15=1,INDEX('Daily Sale entry '!$Z$1:$Z$1501,$J1956+1)="Online collection 网上收款",INDEX('Daily Sale entry '!$AA$1:$AA$1501,$J1956+1)&lt;&gt;""),N(INDEX('Daily Sale entry '!$AC$1:$AC$1501,$J1956+1))-TRUNC(N(INDEX('Daily Sale entry '!$AC$1:$AC$1501,$J1956+1))),0),N(INDEX('Daily Sale entry '!$S$1:$S$1501,$J1956-1499))-'Opening Balance'!$B$15*(N(INDEX('Daily Sale entry '!$S$1:$S$1501,$J1956-1499))-TRUNC(N(INDEX('Daily Sale entry '!$S$1:$S$1501,$J1956-1499))))))</f>
        <v/>
      </c>
      <c r="G1956" s="6">
        <f>IF($J1956="","",IF($J1956&lt;=1500,N(INDEX('Daily Sale entry '!$AD$1:$AD$1501,$J1956+1)),0))</f>
        <v/>
      </c>
      <c r="H1956" s="6">
        <f>IF($J1956="","",ROUND('Opening Balance'!$B$4+SUM($F$2:F1956)-SUM($G$2:G1956),2))</f>
        <v/>
      </c>
      <c r="J1956" s="21">
        <f>IFERROR(MATCH(ROW()-1,$L$2:$L$3001,0),"")</f>
        <v/>
      </c>
      <c r="K1956" s="34">
        <f>IF(AND('Daily Sale entry '!Q456="Collection 收款",'Daily Sale entry '!R456="Cheque 支票",'Daily Sale entry '!V456&lt;&gt;""),'Daily Sale entry '!V456+ROW()/10000000,"")</f>
        <v/>
      </c>
      <c r="L1956" s="21">
        <f>IF(K1956="","",COUNTIF($K$2:$K$3001,"&lt;"&amp;K1956)+1)</f>
        <v/>
      </c>
    </row>
    <row r="1957">
      <c r="A1957" s="5">
        <f>IF($J1957="","",IF($J1957&lt;=1500,INDEX('Daily Sale entry '!$X$1:$X$1501,$J1957+1),INDEX('Daily Sale entry '!$V$1:$V$1501,$J1957-1499)))</f>
        <v/>
      </c>
      <c r="B1957">
        <f>IF($J1957="","",IF($J1957&lt;=1500,INDEX('Daily Sale entry '!$Y$1:$Y$1501,$J1957+1)&amp;"","Buyer cheque banked 买家支票存入"&amp;IF(INDEX('Daily Sale entry '!$U$1:$U$1501,$J1957-1499)="","", " - "&amp;INDEX('Daily Sale entry '!$U$1:$U$1501,$J1957-1499))))</f>
        <v/>
      </c>
      <c r="C1957">
        <f>IF($J1957="","",IF($J1957&lt;=1500,INDEX('Daily Sale entry '!$Z$1:$Z$1501,$J1957+1)&amp;"","Cheque deposit 支票存入 (buyer 买家)"))</f>
        <v/>
      </c>
      <c r="D1957">
        <f>IF($J1957="","",IF($J1957&lt;=1500,INDEX('Daily Sale entry '!$AA$1:$AA$1501,$J1957+1)&amp;"",INDEX('Daily Sale entry '!$P$1:$P$1501,$J1957-1499)&amp;""))</f>
        <v/>
      </c>
      <c r="E1957">
        <f>IF($J1957="","",IF($J1957&lt;=1500,IF(N(INDEX('Daily Sale entry '!$AB$1:$AB$1501,$J1957+1))=0,"",INDEX('Daily Sale entry '!$AB$1:$AB$1501,$J1957+1)),1))</f>
        <v/>
      </c>
      <c r="F1957" s="6">
        <f>IF($J1957="","",IF($J1957&lt;=1500,N(INDEX('Daily Sale entry '!$AC$1:$AC$1501,$J1957+1))-IF(AND('Opening Balance'!$B$15=1,INDEX('Daily Sale entry '!$Z$1:$Z$1501,$J1957+1)="Online collection 网上收款",INDEX('Daily Sale entry '!$AA$1:$AA$1501,$J1957+1)&lt;&gt;""),N(INDEX('Daily Sale entry '!$AC$1:$AC$1501,$J1957+1))-TRUNC(N(INDEX('Daily Sale entry '!$AC$1:$AC$1501,$J1957+1))),0),N(INDEX('Daily Sale entry '!$S$1:$S$1501,$J1957-1499))-'Opening Balance'!$B$15*(N(INDEX('Daily Sale entry '!$S$1:$S$1501,$J1957-1499))-TRUNC(N(INDEX('Daily Sale entry '!$S$1:$S$1501,$J1957-1499))))))</f>
        <v/>
      </c>
      <c r="G1957" s="6">
        <f>IF($J1957="","",IF($J1957&lt;=1500,N(INDEX('Daily Sale entry '!$AD$1:$AD$1501,$J1957+1)),0))</f>
        <v/>
      </c>
      <c r="H1957" s="6">
        <f>IF($J1957="","",ROUND('Opening Balance'!$B$4+SUM($F$2:F1957)-SUM($G$2:G1957),2))</f>
        <v/>
      </c>
      <c r="J1957" s="21">
        <f>IFERROR(MATCH(ROW()-1,$L$2:$L$3001,0),"")</f>
        <v/>
      </c>
      <c r="K1957" s="34">
        <f>IF(AND('Daily Sale entry '!Q457="Collection 收款",'Daily Sale entry '!R457="Cheque 支票",'Daily Sale entry '!V457&lt;&gt;""),'Daily Sale entry '!V457+ROW()/10000000,"")</f>
        <v/>
      </c>
      <c r="L1957" s="21">
        <f>IF(K1957="","",COUNTIF($K$2:$K$3001,"&lt;"&amp;K1957)+1)</f>
        <v/>
      </c>
    </row>
    <row r="1958">
      <c r="A1958" s="5">
        <f>IF($J1958="","",IF($J1958&lt;=1500,INDEX('Daily Sale entry '!$X$1:$X$1501,$J1958+1),INDEX('Daily Sale entry '!$V$1:$V$1501,$J1958-1499)))</f>
        <v/>
      </c>
      <c r="B1958">
        <f>IF($J1958="","",IF($J1958&lt;=1500,INDEX('Daily Sale entry '!$Y$1:$Y$1501,$J1958+1)&amp;"","Buyer cheque banked 买家支票存入"&amp;IF(INDEX('Daily Sale entry '!$U$1:$U$1501,$J1958-1499)="","", " - "&amp;INDEX('Daily Sale entry '!$U$1:$U$1501,$J1958-1499))))</f>
        <v/>
      </c>
      <c r="C1958">
        <f>IF($J1958="","",IF($J1958&lt;=1500,INDEX('Daily Sale entry '!$Z$1:$Z$1501,$J1958+1)&amp;"","Cheque deposit 支票存入 (buyer 买家)"))</f>
        <v/>
      </c>
      <c r="D1958">
        <f>IF($J1958="","",IF($J1958&lt;=1500,INDEX('Daily Sale entry '!$AA$1:$AA$1501,$J1958+1)&amp;"",INDEX('Daily Sale entry '!$P$1:$P$1501,$J1958-1499)&amp;""))</f>
        <v/>
      </c>
      <c r="E1958">
        <f>IF($J1958="","",IF($J1958&lt;=1500,IF(N(INDEX('Daily Sale entry '!$AB$1:$AB$1501,$J1958+1))=0,"",INDEX('Daily Sale entry '!$AB$1:$AB$1501,$J1958+1)),1))</f>
        <v/>
      </c>
      <c r="F1958" s="6">
        <f>IF($J1958="","",IF($J1958&lt;=1500,N(INDEX('Daily Sale entry '!$AC$1:$AC$1501,$J1958+1))-IF(AND('Opening Balance'!$B$15=1,INDEX('Daily Sale entry '!$Z$1:$Z$1501,$J1958+1)="Online collection 网上收款",INDEX('Daily Sale entry '!$AA$1:$AA$1501,$J1958+1)&lt;&gt;""),N(INDEX('Daily Sale entry '!$AC$1:$AC$1501,$J1958+1))-TRUNC(N(INDEX('Daily Sale entry '!$AC$1:$AC$1501,$J1958+1))),0),N(INDEX('Daily Sale entry '!$S$1:$S$1501,$J1958-1499))-'Opening Balance'!$B$15*(N(INDEX('Daily Sale entry '!$S$1:$S$1501,$J1958-1499))-TRUNC(N(INDEX('Daily Sale entry '!$S$1:$S$1501,$J1958-1499))))))</f>
        <v/>
      </c>
      <c r="G1958" s="6">
        <f>IF($J1958="","",IF($J1958&lt;=1500,N(INDEX('Daily Sale entry '!$AD$1:$AD$1501,$J1958+1)),0))</f>
        <v/>
      </c>
      <c r="H1958" s="6">
        <f>IF($J1958="","",ROUND('Opening Balance'!$B$4+SUM($F$2:F1958)-SUM($G$2:G1958),2))</f>
        <v/>
      </c>
      <c r="J1958" s="21">
        <f>IFERROR(MATCH(ROW()-1,$L$2:$L$3001,0),"")</f>
        <v/>
      </c>
      <c r="K1958" s="34">
        <f>IF(AND('Daily Sale entry '!Q458="Collection 收款",'Daily Sale entry '!R458="Cheque 支票",'Daily Sale entry '!V458&lt;&gt;""),'Daily Sale entry '!V458+ROW()/10000000,"")</f>
        <v/>
      </c>
      <c r="L1958" s="21">
        <f>IF(K1958="","",COUNTIF($K$2:$K$3001,"&lt;"&amp;K1958)+1)</f>
        <v/>
      </c>
    </row>
    <row r="1959">
      <c r="A1959" s="5">
        <f>IF($J1959="","",IF($J1959&lt;=1500,INDEX('Daily Sale entry '!$X$1:$X$1501,$J1959+1),INDEX('Daily Sale entry '!$V$1:$V$1501,$J1959-1499)))</f>
        <v/>
      </c>
      <c r="B1959">
        <f>IF($J1959="","",IF($J1959&lt;=1500,INDEX('Daily Sale entry '!$Y$1:$Y$1501,$J1959+1)&amp;"","Buyer cheque banked 买家支票存入"&amp;IF(INDEX('Daily Sale entry '!$U$1:$U$1501,$J1959-1499)="","", " - "&amp;INDEX('Daily Sale entry '!$U$1:$U$1501,$J1959-1499))))</f>
        <v/>
      </c>
      <c r="C1959">
        <f>IF($J1959="","",IF($J1959&lt;=1500,INDEX('Daily Sale entry '!$Z$1:$Z$1501,$J1959+1)&amp;"","Cheque deposit 支票存入 (buyer 买家)"))</f>
        <v/>
      </c>
      <c r="D1959">
        <f>IF($J1959="","",IF($J1959&lt;=1500,INDEX('Daily Sale entry '!$AA$1:$AA$1501,$J1959+1)&amp;"",INDEX('Daily Sale entry '!$P$1:$P$1501,$J1959-1499)&amp;""))</f>
        <v/>
      </c>
      <c r="E1959">
        <f>IF($J1959="","",IF($J1959&lt;=1500,IF(N(INDEX('Daily Sale entry '!$AB$1:$AB$1501,$J1959+1))=0,"",INDEX('Daily Sale entry '!$AB$1:$AB$1501,$J1959+1)),1))</f>
        <v/>
      </c>
      <c r="F1959" s="6">
        <f>IF($J1959="","",IF($J1959&lt;=1500,N(INDEX('Daily Sale entry '!$AC$1:$AC$1501,$J1959+1))-IF(AND('Opening Balance'!$B$15=1,INDEX('Daily Sale entry '!$Z$1:$Z$1501,$J1959+1)="Online collection 网上收款",INDEX('Daily Sale entry '!$AA$1:$AA$1501,$J1959+1)&lt;&gt;""),N(INDEX('Daily Sale entry '!$AC$1:$AC$1501,$J1959+1))-TRUNC(N(INDEX('Daily Sale entry '!$AC$1:$AC$1501,$J1959+1))),0),N(INDEX('Daily Sale entry '!$S$1:$S$1501,$J1959-1499))-'Opening Balance'!$B$15*(N(INDEX('Daily Sale entry '!$S$1:$S$1501,$J1959-1499))-TRUNC(N(INDEX('Daily Sale entry '!$S$1:$S$1501,$J1959-1499))))))</f>
        <v/>
      </c>
      <c r="G1959" s="6">
        <f>IF($J1959="","",IF($J1959&lt;=1500,N(INDEX('Daily Sale entry '!$AD$1:$AD$1501,$J1959+1)),0))</f>
        <v/>
      </c>
      <c r="H1959" s="6">
        <f>IF($J1959="","",ROUND('Opening Balance'!$B$4+SUM($F$2:F1959)-SUM($G$2:G1959),2))</f>
        <v/>
      </c>
      <c r="J1959" s="21">
        <f>IFERROR(MATCH(ROW()-1,$L$2:$L$3001,0),"")</f>
        <v/>
      </c>
      <c r="K1959" s="34">
        <f>IF(AND('Daily Sale entry '!Q459="Collection 收款",'Daily Sale entry '!R459="Cheque 支票",'Daily Sale entry '!V459&lt;&gt;""),'Daily Sale entry '!V459+ROW()/10000000,"")</f>
        <v/>
      </c>
      <c r="L1959" s="21">
        <f>IF(K1959="","",COUNTIF($K$2:$K$3001,"&lt;"&amp;K1959)+1)</f>
        <v/>
      </c>
    </row>
    <row r="1960">
      <c r="A1960" s="5">
        <f>IF($J1960="","",IF($J1960&lt;=1500,INDEX('Daily Sale entry '!$X$1:$X$1501,$J1960+1),INDEX('Daily Sale entry '!$V$1:$V$1501,$J1960-1499)))</f>
        <v/>
      </c>
      <c r="B1960">
        <f>IF($J1960="","",IF($J1960&lt;=1500,INDEX('Daily Sale entry '!$Y$1:$Y$1501,$J1960+1)&amp;"","Buyer cheque banked 买家支票存入"&amp;IF(INDEX('Daily Sale entry '!$U$1:$U$1501,$J1960-1499)="","", " - "&amp;INDEX('Daily Sale entry '!$U$1:$U$1501,$J1960-1499))))</f>
        <v/>
      </c>
      <c r="C1960">
        <f>IF($J1960="","",IF($J1960&lt;=1500,INDEX('Daily Sale entry '!$Z$1:$Z$1501,$J1960+1)&amp;"","Cheque deposit 支票存入 (buyer 买家)"))</f>
        <v/>
      </c>
      <c r="D1960">
        <f>IF($J1960="","",IF($J1960&lt;=1500,INDEX('Daily Sale entry '!$AA$1:$AA$1501,$J1960+1)&amp;"",INDEX('Daily Sale entry '!$P$1:$P$1501,$J1960-1499)&amp;""))</f>
        <v/>
      </c>
      <c r="E1960">
        <f>IF($J1960="","",IF($J1960&lt;=1500,IF(N(INDEX('Daily Sale entry '!$AB$1:$AB$1501,$J1960+1))=0,"",INDEX('Daily Sale entry '!$AB$1:$AB$1501,$J1960+1)),1))</f>
        <v/>
      </c>
      <c r="F1960" s="6">
        <f>IF($J1960="","",IF($J1960&lt;=1500,N(INDEX('Daily Sale entry '!$AC$1:$AC$1501,$J1960+1))-IF(AND('Opening Balance'!$B$15=1,INDEX('Daily Sale entry '!$Z$1:$Z$1501,$J1960+1)="Online collection 网上收款",INDEX('Daily Sale entry '!$AA$1:$AA$1501,$J1960+1)&lt;&gt;""),N(INDEX('Daily Sale entry '!$AC$1:$AC$1501,$J1960+1))-TRUNC(N(INDEX('Daily Sale entry '!$AC$1:$AC$1501,$J1960+1))),0),N(INDEX('Daily Sale entry '!$S$1:$S$1501,$J1960-1499))-'Opening Balance'!$B$15*(N(INDEX('Daily Sale entry '!$S$1:$S$1501,$J1960-1499))-TRUNC(N(INDEX('Daily Sale entry '!$S$1:$S$1501,$J1960-1499))))))</f>
        <v/>
      </c>
      <c r="G1960" s="6">
        <f>IF($J1960="","",IF($J1960&lt;=1500,N(INDEX('Daily Sale entry '!$AD$1:$AD$1501,$J1960+1)),0))</f>
        <v/>
      </c>
      <c r="H1960" s="6">
        <f>IF($J1960="","",ROUND('Opening Balance'!$B$4+SUM($F$2:F1960)-SUM($G$2:G1960),2))</f>
        <v/>
      </c>
      <c r="J1960" s="21">
        <f>IFERROR(MATCH(ROW()-1,$L$2:$L$3001,0),"")</f>
        <v/>
      </c>
      <c r="K1960" s="34">
        <f>IF(AND('Daily Sale entry '!Q460="Collection 收款",'Daily Sale entry '!R460="Cheque 支票",'Daily Sale entry '!V460&lt;&gt;""),'Daily Sale entry '!V460+ROW()/10000000,"")</f>
        <v/>
      </c>
      <c r="L1960" s="21">
        <f>IF(K1960="","",COUNTIF($K$2:$K$3001,"&lt;"&amp;K1960)+1)</f>
        <v/>
      </c>
    </row>
    <row r="1961">
      <c r="A1961" s="5">
        <f>IF($J1961="","",IF($J1961&lt;=1500,INDEX('Daily Sale entry '!$X$1:$X$1501,$J1961+1),INDEX('Daily Sale entry '!$V$1:$V$1501,$J1961-1499)))</f>
        <v/>
      </c>
      <c r="B1961">
        <f>IF($J1961="","",IF($J1961&lt;=1500,INDEX('Daily Sale entry '!$Y$1:$Y$1501,$J1961+1)&amp;"","Buyer cheque banked 买家支票存入"&amp;IF(INDEX('Daily Sale entry '!$U$1:$U$1501,$J1961-1499)="","", " - "&amp;INDEX('Daily Sale entry '!$U$1:$U$1501,$J1961-1499))))</f>
        <v/>
      </c>
      <c r="C1961">
        <f>IF($J1961="","",IF($J1961&lt;=1500,INDEX('Daily Sale entry '!$Z$1:$Z$1501,$J1961+1)&amp;"","Cheque deposit 支票存入 (buyer 买家)"))</f>
        <v/>
      </c>
      <c r="D1961">
        <f>IF($J1961="","",IF($J1961&lt;=1500,INDEX('Daily Sale entry '!$AA$1:$AA$1501,$J1961+1)&amp;"",INDEX('Daily Sale entry '!$P$1:$P$1501,$J1961-1499)&amp;""))</f>
        <v/>
      </c>
      <c r="E1961">
        <f>IF($J1961="","",IF($J1961&lt;=1500,IF(N(INDEX('Daily Sale entry '!$AB$1:$AB$1501,$J1961+1))=0,"",INDEX('Daily Sale entry '!$AB$1:$AB$1501,$J1961+1)),1))</f>
        <v/>
      </c>
      <c r="F1961" s="6">
        <f>IF($J1961="","",IF($J1961&lt;=1500,N(INDEX('Daily Sale entry '!$AC$1:$AC$1501,$J1961+1))-IF(AND('Opening Balance'!$B$15=1,INDEX('Daily Sale entry '!$Z$1:$Z$1501,$J1961+1)="Online collection 网上收款",INDEX('Daily Sale entry '!$AA$1:$AA$1501,$J1961+1)&lt;&gt;""),N(INDEX('Daily Sale entry '!$AC$1:$AC$1501,$J1961+1))-TRUNC(N(INDEX('Daily Sale entry '!$AC$1:$AC$1501,$J1961+1))),0),N(INDEX('Daily Sale entry '!$S$1:$S$1501,$J1961-1499))-'Opening Balance'!$B$15*(N(INDEX('Daily Sale entry '!$S$1:$S$1501,$J1961-1499))-TRUNC(N(INDEX('Daily Sale entry '!$S$1:$S$1501,$J1961-1499))))))</f>
        <v/>
      </c>
      <c r="G1961" s="6">
        <f>IF($J1961="","",IF($J1961&lt;=1500,N(INDEX('Daily Sale entry '!$AD$1:$AD$1501,$J1961+1)),0))</f>
        <v/>
      </c>
      <c r="H1961" s="6">
        <f>IF($J1961="","",ROUND('Opening Balance'!$B$4+SUM($F$2:F1961)-SUM($G$2:G1961),2))</f>
        <v/>
      </c>
      <c r="J1961" s="21">
        <f>IFERROR(MATCH(ROW()-1,$L$2:$L$3001,0),"")</f>
        <v/>
      </c>
      <c r="K1961" s="34">
        <f>IF(AND('Daily Sale entry '!Q461="Collection 收款",'Daily Sale entry '!R461="Cheque 支票",'Daily Sale entry '!V461&lt;&gt;""),'Daily Sale entry '!V461+ROW()/10000000,"")</f>
        <v/>
      </c>
      <c r="L1961" s="21">
        <f>IF(K1961="","",COUNTIF($K$2:$K$3001,"&lt;"&amp;K1961)+1)</f>
        <v/>
      </c>
    </row>
    <row r="1962">
      <c r="A1962" s="5">
        <f>IF($J1962="","",IF($J1962&lt;=1500,INDEX('Daily Sale entry '!$X$1:$X$1501,$J1962+1),INDEX('Daily Sale entry '!$V$1:$V$1501,$J1962-1499)))</f>
        <v/>
      </c>
      <c r="B1962">
        <f>IF($J1962="","",IF($J1962&lt;=1500,INDEX('Daily Sale entry '!$Y$1:$Y$1501,$J1962+1)&amp;"","Buyer cheque banked 买家支票存入"&amp;IF(INDEX('Daily Sale entry '!$U$1:$U$1501,$J1962-1499)="","", " - "&amp;INDEX('Daily Sale entry '!$U$1:$U$1501,$J1962-1499))))</f>
        <v/>
      </c>
      <c r="C1962">
        <f>IF($J1962="","",IF($J1962&lt;=1500,INDEX('Daily Sale entry '!$Z$1:$Z$1501,$J1962+1)&amp;"","Cheque deposit 支票存入 (buyer 买家)"))</f>
        <v/>
      </c>
      <c r="D1962">
        <f>IF($J1962="","",IF($J1962&lt;=1500,INDEX('Daily Sale entry '!$AA$1:$AA$1501,$J1962+1)&amp;"",INDEX('Daily Sale entry '!$P$1:$P$1501,$J1962-1499)&amp;""))</f>
        <v/>
      </c>
      <c r="E1962">
        <f>IF($J1962="","",IF($J1962&lt;=1500,IF(N(INDEX('Daily Sale entry '!$AB$1:$AB$1501,$J1962+1))=0,"",INDEX('Daily Sale entry '!$AB$1:$AB$1501,$J1962+1)),1))</f>
        <v/>
      </c>
      <c r="F1962" s="6">
        <f>IF($J1962="","",IF($J1962&lt;=1500,N(INDEX('Daily Sale entry '!$AC$1:$AC$1501,$J1962+1))-IF(AND('Opening Balance'!$B$15=1,INDEX('Daily Sale entry '!$Z$1:$Z$1501,$J1962+1)="Online collection 网上收款",INDEX('Daily Sale entry '!$AA$1:$AA$1501,$J1962+1)&lt;&gt;""),N(INDEX('Daily Sale entry '!$AC$1:$AC$1501,$J1962+1))-TRUNC(N(INDEX('Daily Sale entry '!$AC$1:$AC$1501,$J1962+1))),0),N(INDEX('Daily Sale entry '!$S$1:$S$1501,$J1962-1499))-'Opening Balance'!$B$15*(N(INDEX('Daily Sale entry '!$S$1:$S$1501,$J1962-1499))-TRUNC(N(INDEX('Daily Sale entry '!$S$1:$S$1501,$J1962-1499))))))</f>
        <v/>
      </c>
      <c r="G1962" s="6">
        <f>IF($J1962="","",IF($J1962&lt;=1500,N(INDEX('Daily Sale entry '!$AD$1:$AD$1501,$J1962+1)),0))</f>
        <v/>
      </c>
      <c r="H1962" s="6">
        <f>IF($J1962="","",ROUND('Opening Balance'!$B$4+SUM($F$2:F1962)-SUM($G$2:G1962),2))</f>
        <v/>
      </c>
      <c r="J1962" s="21">
        <f>IFERROR(MATCH(ROW()-1,$L$2:$L$3001,0),"")</f>
        <v/>
      </c>
      <c r="K1962" s="34">
        <f>IF(AND('Daily Sale entry '!Q462="Collection 收款",'Daily Sale entry '!R462="Cheque 支票",'Daily Sale entry '!V462&lt;&gt;""),'Daily Sale entry '!V462+ROW()/10000000,"")</f>
        <v/>
      </c>
      <c r="L1962" s="21">
        <f>IF(K1962="","",COUNTIF($K$2:$K$3001,"&lt;"&amp;K1962)+1)</f>
        <v/>
      </c>
    </row>
    <row r="1963">
      <c r="A1963" s="5">
        <f>IF($J1963="","",IF($J1963&lt;=1500,INDEX('Daily Sale entry '!$X$1:$X$1501,$J1963+1),INDEX('Daily Sale entry '!$V$1:$V$1501,$J1963-1499)))</f>
        <v/>
      </c>
      <c r="B1963">
        <f>IF($J1963="","",IF($J1963&lt;=1500,INDEX('Daily Sale entry '!$Y$1:$Y$1501,$J1963+1)&amp;"","Buyer cheque banked 买家支票存入"&amp;IF(INDEX('Daily Sale entry '!$U$1:$U$1501,$J1963-1499)="","", " - "&amp;INDEX('Daily Sale entry '!$U$1:$U$1501,$J1963-1499))))</f>
        <v/>
      </c>
      <c r="C1963">
        <f>IF($J1963="","",IF($J1963&lt;=1500,INDEX('Daily Sale entry '!$Z$1:$Z$1501,$J1963+1)&amp;"","Cheque deposit 支票存入 (buyer 买家)"))</f>
        <v/>
      </c>
      <c r="D1963">
        <f>IF($J1963="","",IF($J1963&lt;=1500,INDEX('Daily Sale entry '!$AA$1:$AA$1501,$J1963+1)&amp;"",INDEX('Daily Sale entry '!$P$1:$P$1501,$J1963-1499)&amp;""))</f>
        <v/>
      </c>
      <c r="E1963">
        <f>IF($J1963="","",IF($J1963&lt;=1500,IF(N(INDEX('Daily Sale entry '!$AB$1:$AB$1501,$J1963+1))=0,"",INDEX('Daily Sale entry '!$AB$1:$AB$1501,$J1963+1)),1))</f>
        <v/>
      </c>
      <c r="F1963" s="6">
        <f>IF($J1963="","",IF($J1963&lt;=1500,N(INDEX('Daily Sale entry '!$AC$1:$AC$1501,$J1963+1))-IF(AND('Opening Balance'!$B$15=1,INDEX('Daily Sale entry '!$Z$1:$Z$1501,$J1963+1)="Online collection 网上收款",INDEX('Daily Sale entry '!$AA$1:$AA$1501,$J1963+1)&lt;&gt;""),N(INDEX('Daily Sale entry '!$AC$1:$AC$1501,$J1963+1))-TRUNC(N(INDEX('Daily Sale entry '!$AC$1:$AC$1501,$J1963+1))),0),N(INDEX('Daily Sale entry '!$S$1:$S$1501,$J1963-1499))-'Opening Balance'!$B$15*(N(INDEX('Daily Sale entry '!$S$1:$S$1501,$J1963-1499))-TRUNC(N(INDEX('Daily Sale entry '!$S$1:$S$1501,$J1963-1499))))))</f>
        <v/>
      </c>
      <c r="G1963" s="6">
        <f>IF($J1963="","",IF($J1963&lt;=1500,N(INDEX('Daily Sale entry '!$AD$1:$AD$1501,$J1963+1)),0))</f>
        <v/>
      </c>
      <c r="H1963" s="6">
        <f>IF($J1963="","",ROUND('Opening Balance'!$B$4+SUM($F$2:F1963)-SUM($G$2:G1963),2))</f>
        <v/>
      </c>
      <c r="J1963" s="21">
        <f>IFERROR(MATCH(ROW()-1,$L$2:$L$3001,0),"")</f>
        <v/>
      </c>
      <c r="K1963" s="34">
        <f>IF(AND('Daily Sale entry '!Q463="Collection 收款",'Daily Sale entry '!R463="Cheque 支票",'Daily Sale entry '!V463&lt;&gt;""),'Daily Sale entry '!V463+ROW()/10000000,"")</f>
        <v/>
      </c>
      <c r="L1963" s="21">
        <f>IF(K1963="","",COUNTIF($K$2:$K$3001,"&lt;"&amp;K1963)+1)</f>
        <v/>
      </c>
    </row>
    <row r="1964">
      <c r="A1964" s="5">
        <f>IF($J1964="","",IF($J1964&lt;=1500,INDEX('Daily Sale entry '!$X$1:$X$1501,$J1964+1),INDEX('Daily Sale entry '!$V$1:$V$1501,$J1964-1499)))</f>
        <v/>
      </c>
      <c r="B1964">
        <f>IF($J1964="","",IF($J1964&lt;=1500,INDEX('Daily Sale entry '!$Y$1:$Y$1501,$J1964+1)&amp;"","Buyer cheque banked 买家支票存入"&amp;IF(INDEX('Daily Sale entry '!$U$1:$U$1501,$J1964-1499)="","", " - "&amp;INDEX('Daily Sale entry '!$U$1:$U$1501,$J1964-1499))))</f>
        <v/>
      </c>
      <c r="C1964">
        <f>IF($J1964="","",IF($J1964&lt;=1500,INDEX('Daily Sale entry '!$Z$1:$Z$1501,$J1964+1)&amp;"","Cheque deposit 支票存入 (buyer 买家)"))</f>
        <v/>
      </c>
      <c r="D1964">
        <f>IF($J1964="","",IF($J1964&lt;=1500,INDEX('Daily Sale entry '!$AA$1:$AA$1501,$J1964+1)&amp;"",INDEX('Daily Sale entry '!$P$1:$P$1501,$J1964-1499)&amp;""))</f>
        <v/>
      </c>
      <c r="E1964">
        <f>IF($J1964="","",IF($J1964&lt;=1500,IF(N(INDEX('Daily Sale entry '!$AB$1:$AB$1501,$J1964+1))=0,"",INDEX('Daily Sale entry '!$AB$1:$AB$1501,$J1964+1)),1))</f>
        <v/>
      </c>
      <c r="F1964" s="6">
        <f>IF($J1964="","",IF($J1964&lt;=1500,N(INDEX('Daily Sale entry '!$AC$1:$AC$1501,$J1964+1))-IF(AND('Opening Balance'!$B$15=1,INDEX('Daily Sale entry '!$Z$1:$Z$1501,$J1964+1)="Online collection 网上收款",INDEX('Daily Sale entry '!$AA$1:$AA$1501,$J1964+1)&lt;&gt;""),N(INDEX('Daily Sale entry '!$AC$1:$AC$1501,$J1964+1))-TRUNC(N(INDEX('Daily Sale entry '!$AC$1:$AC$1501,$J1964+1))),0),N(INDEX('Daily Sale entry '!$S$1:$S$1501,$J1964-1499))-'Opening Balance'!$B$15*(N(INDEX('Daily Sale entry '!$S$1:$S$1501,$J1964-1499))-TRUNC(N(INDEX('Daily Sale entry '!$S$1:$S$1501,$J1964-1499))))))</f>
        <v/>
      </c>
      <c r="G1964" s="6">
        <f>IF($J1964="","",IF($J1964&lt;=1500,N(INDEX('Daily Sale entry '!$AD$1:$AD$1501,$J1964+1)),0))</f>
        <v/>
      </c>
      <c r="H1964" s="6">
        <f>IF($J1964="","",ROUND('Opening Balance'!$B$4+SUM($F$2:F1964)-SUM($G$2:G1964),2))</f>
        <v/>
      </c>
      <c r="J1964" s="21">
        <f>IFERROR(MATCH(ROW()-1,$L$2:$L$3001,0),"")</f>
        <v/>
      </c>
      <c r="K1964" s="34">
        <f>IF(AND('Daily Sale entry '!Q464="Collection 收款",'Daily Sale entry '!R464="Cheque 支票",'Daily Sale entry '!V464&lt;&gt;""),'Daily Sale entry '!V464+ROW()/10000000,"")</f>
        <v/>
      </c>
      <c r="L1964" s="21">
        <f>IF(K1964="","",COUNTIF($K$2:$K$3001,"&lt;"&amp;K1964)+1)</f>
        <v/>
      </c>
    </row>
    <row r="1965">
      <c r="A1965" s="5">
        <f>IF($J1965="","",IF($J1965&lt;=1500,INDEX('Daily Sale entry '!$X$1:$X$1501,$J1965+1),INDEX('Daily Sale entry '!$V$1:$V$1501,$J1965-1499)))</f>
        <v/>
      </c>
      <c r="B1965">
        <f>IF($J1965="","",IF($J1965&lt;=1500,INDEX('Daily Sale entry '!$Y$1:$Y$1501,$J1965+1)&amp;"","Buyer cheque banked 买家支票存入"&amp;IF(INDEX('Daily Sale entry '!$U$1:$U$1501,$J1965-1499)="","", " - "&amp;INDEX('Daily Sale entry '!$U$1:$U$1501,$J1965-1499))))</f>
        <v/>
      </c>
      <c r="C1965">
        <f>IF($J1965="","",IF($J1965&lt;=1500,INDEX('Daily Sale entry '!$Z$1:$Z$1501,$J1965+1)&amp;"","Cheque deposit 支票存入 (buyer 买家)"))</f>
        <v/>
      </c>
      <c r="D1965">
        <f>IF($J1965="","",IF($J1965&lt;=1500,INDEX('Daily Sale entry '!$AA$1:$AA$1501,$J1965+1)&amp;"",INDEX('Daily Sale entry '!$P$1:$P$1501,$J1965-1499)&amp;""))</f>
        <v/>
      </c>
      <c r="E1965">
        <f>IF($J1965="","",IF($J1965&lt;=1500,IF(N(INDEX('Daily Sale entry '!$AB$1:$AB$1501,$J1965+1))=0,"",INDEX('Daily Sale entry '!$AB$1:$AB$1501,$J1965+1)),1))</f>
        <v/>
      </c>
      <c r="F1965" s="6">
        <f>IF($J1965="","",IF($J1965&lt;=1500,N(INDEX('Daily Sale entry '!$AC$1:$AC$1501,$J1965+1))-IF(AND('Opening Balance'!$B$15=1,INDEX('Daily Sale entry '!$Z$1:$Z$1501,$J1965+1)="Online collection 网上收款",INDEX('Daily Sale entry '!$AA$1:$AA$1501,$J1965+1)&lt;&gt;""),N(INDEX('Daily Sale entry '!$AC$1:$AC$1501,$J1965+1))-TRUNC(N(INDEX('Daily Sale entry '!$AC$1:$AC$1501,$J1965+1))),0),N(INDEX('Daily Sale entry '!$S$1:$S$1501,$J1965-1499))-'Opening Balance'!$B$15*(N(INDEX('Daily Sale entry '!$S$1:$S$1501,$J1965-1499))-TRUNC(N(INDEX('Daily Sale entry '!$S$1:$S$1501,$J1965-1499))))))</f>
        <v/>
      </c>
      <c r="G1965" s="6">
        <f>IF($J1965="","",IF($J1965&lt;=1500,N(INDEX('Daily Sale entry '!$AD$1:$AD$1501,$J1965+1)),0))</f>
        <v/>
      </c>
      <c r="H1965" s="6">
        <f>IF($J1965="","",ROUND('Opening Balance'!$B$4+SUM($F$2:F1965)-SUM($G$2:G1965),2))</f>
        <v/>
      </c>
      <c r="J1965" s="21">
        <f>IFERROR(MATCH(ROW()-1,$L$2:$L$3001,0),"")</f>
        <v/>
      </c>
      <c r="K1965" s="34">
        <f>IF(AND('Daily Sale entry '!Q465="Collection 收款",'Daily Sale entry '!R465="Cheque 支票",'Daily Sale entry '!V465&lt;&gt;""),'Daily Sale entry '!V465+ROW()/10000000,"")</f>
        <v/>
      </c>
      <c r="L1965" s="21">
        <f>IF(K1965="","",COUNTIF($K$2:$K$3001,"&lt;"&amp;K1965)+1)</f>
        <v/>
      </c>
    </row>
    <row r="1966">
      <c r="A1966" s="5">
        <f>IF($J1966="","",IF($J1966&lt;=1500,INDEX('Daily Sale entry '!$X$1:$X$1501,$J1966+1),INDEX('Daily Sale entry '!$V$1:$V$1501,$J1966-1499)))</f>
        <v/>
      </c>
      <c r="B1966">
        <f>IF($J1966="","",IF($J1966&lt;=1500,INDEX('Daily Sale entry '!$Y$1:$Y$1501,$J1966+1)&amp;"","Buyer cheque banked 买家支票存入"&amp;IF(INDEX('Daily Sale entry '!$U$1:$U$1501,$J1966-1499)="","", " - "&amp;INDEX('Daily Sale entry '!$U$1:$U$1501,$J1966-1499))))</f>
        <v/>
      </c>
      <c r="C1966">
        <f>IF($J1966="","",IF($J1966&lt;=1500,INDEX('Daily Sale entry '!$Z$1:$Z$1501,$J1966+1)&amp;"","Cheque deposit 支票存入 (buyer 买家)"))</f>
        <v/>
      </c>
      <c r="D1966">
        <f>IF($J1966="","",IF($J1966&lt;=1500,INDEX('Daily Sale entry '!$AA$1:$AA$1501,$J1966+1)&amp;"",INDEX('Daily Sale entry '!$P$1:$P$1501,$J1966-1499)&amp;""))</f>
        <v/>
      </c>
      <c r="E1966">
        <f>IF($J1966="","",IF($J1966&lt;=1500,IF(N(INDEX('Daily Sale entry '!$AB$1:$AB$1501,$J1966+1))=0,"",INDEX('Daily Sale entry '!$AB$1:$AB$1501,$J1966+1)),1))</f>
        <v/>
      </c>
      <c r="F1966" s="6">
        <f>IF($J1966="","",IF($J1966&lt;=1500,N(INDEX('Daily Sale entry '!$AC$1:$AC$1501,$J1966+1))-IF(AND('Opening Balance'!$B$15=1,INDEX('Daily Sale entry '!$Z$1:$Z$1501,$J1966+1)="Online collection 网上收款",INDEX('Daily Sale entry '!$AA$1:$AA$1501,$J1966+1)&lt;&gt;""),N(INDEX('Daily Sale entry '!$AC$1:$AC$1501,$J1966+1))-TRUNC(N(INDEX('Daily Sale entry '!$AC$1:$AC$1501,$J1966+1))),0),N(INDEX('Daily Sale entry '!$S$1:$S$1501,$J1966-1499))-'Opening Balance'!$B$15*(N(INDEX('Daily Sale entry '!$S$1:$S$1501,$J1966-1499))-TRUNC(N(INDEX('Daily Sale entry '!$S$1:$S$1501,$J1966-1499))))))</f>
        <v/>
      </c>
      <c r="G1966" s="6">
        <f>IF($J1966="","",IF($J1966&lt;=1500,N(INDEX('Daily Sale entry '!$AD$1:$AD$1501,$J1966+1)),0))</f>
        <v/>
      </c>
      <c r="H1966" s="6">
        <f>IF($J1966="","",ROUND('Opening Balance'!$B$4+SUM($F$2:F1966)-SUM($G$2:G1966),2))</f>
        <v/>
      </c>
      <c r="J1966" s="21">
        <f>IFERROR(MATCH(ROW()-1,$L$2:$L$3001,0),"")</f>
        <v/>
      </c>
      <c r="K1966" s="34">
        <f>IF(AND('Daily Sale entry '!Q466="Collection 收款",'Daily Sale entry '!R466="Cheque 支票",'Daily Sale entry '!V466&lt;&gt;""),'Daily Sale entry '!V466+ROW()/10000000,"")</f>
        <v/>
      </c>
      <c r="L1966" s="21">
        <f>IF(K1966="","",COUNTIF($K$2:$K$3001,"&lt;"&amp;K1966)+1)</f>
        <v/>
      </c>
    </row>
    <row r="1967">
      <c r="A1967" s="5">
        <f>IF($J1967="","",IF($J1967&lt;=1500,INDEX('Daily Sale entry '!$X$1:$X$1501,$J1967+1),INDEX('Daily Sale entry '!$V$1:$V$1501,$J1967-1499)))</f>
        <v/>
      </c>
      <c r="B1967">
        <f>IF($J1967="","",IF($J1967&lt;=1500,INDEX('Daily Sale entry '!$Y$1:$Y$1501,$J1967+1)&amp;"","Buyer cheque banked 买家支票存入"&amp;IF(INDEX('Daily Sale entry '!$U$1:$U$1501,$J1967-1499)="","", " - "&amp;INDEX('Daily Sale entry '!$U$1:$U$1501,$J1967-1499))))</f>
        <v/>
      </c>
      <c r="C1967">
        <f>IF($J1967="","",IF($J1967&lt;=1500,INDEX('Daily Sale entry '!$Z$1:$Z$1501,$J1967+1)&amp;"","Cheque deposit 支票存入 (buyer 买家)"))</f>
        <v/>
      </c>
      <c r="D1967">
        <f>IF($J1967="","",IF($J1967&lt;=1500,INDEX('Daily Sale entry '!$AA$1:$AA$1501,$J1967+1)&amp;"",INDEX('Daily Sale entry '!$P$1:$P$1501,$J1967-1499)&amp;""))</f>
        <v/>
      </c>
      <c r="E1967">
        <f>IF($J1967="","",IF($J1967&lt;=1500,IF(N(INDEX('Daily Sale entry '!$AB$1:$AB$1501,$J1967+1))=0,"",INDEX('Daily Sale entry '!$AB$1:$AB$1501,$J1967+1)),1))</f>
        <v/>
      </c>
      <c r="F1967" s="6">
        <f>IF($J1967="","",IF($J1967&lt;=1500,N(INDEX('Daily Sale entry '!$AC$1:$AC$1501,$J1967+1))-IF(AND('Opening Balance'!$B$15=1,INDEX('Daily Sale entry '!$Z$1:$Z$1501,$J1967+1)="Online collection 网上收款",INDEX('Daily Sale entry '!$AA$1:$AA$1501,$J1967+1)&lt;&gt;""),N(INDEX('Daily Sale entry '!$AC$1:$AC$1501,$J1967+1))-TRUNC(N(INDEX('Daily Sale entry '!$AC$1:$AC$1501,$J1967+1))),0),N(INDEX('Daily Sale entry '!$S$1:$S$1501,$J1967-1499))-'Opening Balance'!$B$15*(N(INDEX('Daily Sale entry '!$S$1:$S$1501,$J1967-1499))-TRUNC(N(INDEX('Daily Sale entry '!$S$1:$S$1501,$J1967-1499))))))</f>
        <v/>
      </c>
      <c r="G1967" s="6">
        <f>IF($J1967="","",IF($J1967&lt;=1500,N(INDEX('Daily Sale entry '!$AD$1:$AD$1501,$J1967+1)),0))</f>
        <v/>
      </c>
      <c r="H1967" s="6">
        <f>IF($J1967="","",ROUND('Opening Balance'!$B$4+SUM($F$2:F1967)-SUM($G$2:G1967),2))</f>
        <v/>
      </c>
      <c r="J1967" s="21">
        <f>IFERROR(MATCH(ROW()-1,$L$2:$L$3001,0),"")</f>
        <v/>
      </c>
      <c r="K1967" s="34">
        <f>IF(AND('Daily Sale entry '!Q467="Collection 收款",'Daily Sale entry '!R467="Cheque 支票",'Daily Sale entry '!V467&lt;&gt;""),'Daily Sale entry '!V467+ROW()/10000000,"")</f>
        <v/>
      </c>
      <c r="L1967" s="21">
        <f>IF(K1967="","",COUNTIF($K$2:$K$3001,"&lt;"&amp;K1967)+1)</f>
        <v/>
      </c>
    </row>
    <row r="1968">
      <c r="A1968" s="5">
        <f>IF($J1968="","",IF($J1968&lt;=1500,INDEX('Daily Sale entry '!$X$1:$X$1501,$J1968+1),INDEX('Daily Sale entry '!$V$1:$V$1501,$J1968-1499)))</f>
        <v/>
      </c>
      <c r="B1968">
        <f>IF($J1968="","",IF($J1968&lt;=1500,INDEX('Daily Sale entry '!$Y$1:$Y$1501,$J1968+1)&amp;"","Buyer cheque banked 买家支票存入"&amp;IF(INDEX('Daily Sale entry '!$U$1:$U$1501,$J1968-1499)="","", " - "&amp;INDEX('Daily Sale entry '!$U$1:$U$1501,$J1968-1499))))</f>
        <v/>
      </c>
      <c r="C1968">
        <f>IF($J1968="","",IF($J1968&lt;=1500,INDEX('Daily Sale entry '!$Z$1:$Z$1501,$J1968+1)&amp;"","Cheque deposit 支票存入 (buyer 买家)"))</f>
        <v/>
      </c>
      <c r="D1968">
        <f>IF($J1968="","",IF($J1968&lt;=1500,INDEX('Daily Sale entry '!$AA$1:$AA$1501,$J1968+1)&amp;"",INDEX('Daily Sale entry '!$P$1:$P$1501,$J1968-1499)&amp;""))</f>
        <v/>
      </c>
      <c r="E1968">
        <f>IF($J1968="","",IF($J1968&lt;=1500,IF(N(INDEX('Daily Sale entry '!$AB$1:$AB$1501,$J1968+1))=0,"",INDEX('Daily Sale entry '!$AB$1:$AB$1501,$J1968+1)),1))</f>
        <v/>
      </c>
      <c r="F1968" s="6">
        <f>IF($J1968="","",IF($J1968&lt;=1500,N(INDEX('Daily Sale entry '!$AC$1:$AC$1501,$J1968+1))-IF(AND('Opening Balance'!$B$15=1,INDEX('Daily Sale entry '!$Z$1:$Z$1501,$J1968+1)="Online collection 网上收款",INDEX('Daily Sale entry '!$AA$1:$AA$1501,$J1968+1)&lt;&gt;""),N(INDEX('Daily Sale entry '!$AC$1:$AC$1501,$J1968+1))-TRUNC(N(INDEX('Daily Sale entry '!$AC$1:$AC$1501,$J1968+1))),0),N(INDEX('Daily Sale entry '!$S$1:$S$1501,$J1968-1499))-'Opening Balance'!$B$15*(N(INDEX('Daily Sale entry '!$S$1:$S$1501,$J1968-1499))-TRUNC(N(INDEX('Daily Sale entry '!$S$1:$S$1501,$J1968-1499))))))</f>
        <v/>
      </c>
      <c r="G1968" s="6">
        <f>IF($J1968="","",IF($J1968&lt;=1500,N(INDEX('Daily Sale entry '!$AD$1:$AD$1501,$J1968+1)),0))</f>
        <v/>
      </c>
      <c r="H1968" s="6">
        <f>IF($J1968="","",ROUND('Opening Balance'!$B$4+SUM($F$2:F1968)-SUM($G$2:G1968),2))</f>
        <v/>
      </c>
      <c r="J1968" s="21">
        <f>IFERROR(MATCH(ROW()-1,$L$2:$L$3001,0),"")</f>
        <v/>
      </c>
      <c r="K1968" s="34">
        <f>IF(AND('Daily Sale entry '!Q468="Collection 收款",'Daily Sale entry '!R468="Cheque 支票",'Daily Sale entry '!V468&lt;&gt;""),'Daily Sale entry '!V468+ROW()/10000000,"")</f>
        <v/>
      </c>
      <c r="L1968" s="21">
        <f>IF(K1968="","",COUNTIF($K$2:$K$3001,"&lt;"&amp;K1968)+1)</f>
        <v/>
      </c>
    </row>
    <row r="1969">
      <c r="A1969" s="5">
        <f>IF($J1969="","",IF($J1969&lt;=1500,INDEX('Daily Sale entry '!$X$1:$X$1501,$J1969+1),INDEX('Daily Sale entry '!$V$1:$V$1501,$J1969-1499)))</f>
        <v/>
      </c>
      <c r="B1969">
        <f>IF($J1969="","",IF($J1969&lt;=1500,INDEX('Daily Sale entry '!$Y$1:$Y$1501,$J1969+1)&amp;"","Buyer cheque banked 买家支票存入"&amp;IF(INDEX('Daily Sale entry '!$U$1:$U$1501,$J1969-1499)="","", " - "&amp;INDEX('Daily Sale entry '!$U$1:$U$1501,$J1969-1499))))</f>
        <v/>
      </c>
      <c r="C1969">
        <f>IF($J1969="","",IF($J1969&lt;=1500,INDEX('Daily Sale entry '!$Z$1:$Z$1501,$J1969+1)&amp;"","Cheque deposit 支票存入 (buyer 买家)"))</f>
        <v/>
      </c>
      <c r="D1969">
        <f>IF($J1969="","",IF($J1969&lt;=1500,INDEX('Daily Sale entry '!$AA$1:$AA$1501,$J1969+1)&amp;"",INDEX('Daily Sale entry '!$P$1:$P$1501,$J1969-1499)&amp;""))</f>
        <v/>
      </c>
      <c r="E1969">
        <f>IF($J1969="","",IF($J1969&lt;=1500,IF(N(INDEX('Daily Sale entry '!$AB$1:$AB$1501,$J1969+1))=0,"",INDEX('Daily Sale entry '!$AB$1:$AB$1501,$J1969+1)),1))</f>
        <v/>
      </c>
      <c r="F1969" s="6">
        <f>IF($J1969="","",IF($J1969&lt;=1500,N(INDEX('Daily Sale entry '!$AC$1:$AC$1501,$J1969+1))-IF(AND('Opening Balance'!$B$15=1,INDEX('Daily Sale entry '!$Z$1:$Z$1501,$J1969+1)="Online collection 网上收款",INDEX('Daily Sale entry '!$AA$1:$AA$1501,$J1969+1)&lt;&gt;""),N(INDEX('Daily Sale entry '!$AC$1:$AC$1501,$J1969+1))-TRUNC(N(INDEX('Daily Sale entry '!$AC$1:$AC$1501,$J1969+1))),0),N(INDEX('Daily Sale entry '!$S$1:$S$1501,$J1969-1499))-'Opening Balance'!$B$15*(N(INDEX('Daily Sale entry '!$S$1:$S$1501,$J1969-1499))-TRUNC(N(INDEX('Daily Sale entry '!$S$1:$S$1501,$J1969-1499))))))</f>
        <v/>
      </c>
      <c r="G1969" s="6">
        <f>IF($J1969="","",IF($J1969&lt;=1500,N(INDEX('Daily Sale entry '!$AD$1:$AD$1501,$J1969+1)),0))</f>
        <v/>
      </c>
      <c r="H1969" s="6">
        <f>IF($J1969="","",ROUND('Opening Balance'!$B$4+SUM($F$2:F1969)-SUM($G$2:G1969),2))</f>
        <v/>
      </c>
      <c r="J1969" s="21">
        <f>IFERROR(MATCH(ROW()-1,$L$2:$L$3001,0),"")</f>
        <v/>
      </c>
      <c r="K1969" s="34">
        <f>IF(AND('Daily Sale entry '!Q469="Collection 收款",'Daily Sale entry '!R469="Cheque 支票",'Daily Sale entry '!V469&lt;&gt;""),'Daily Sale entry '!V469+ROW()/10000000,"")</f>
        <v/>
      </c>
      <c r="L1969" s="21">
        <f>IF(K1969="","",COUNTIF($K$2:$K$3001,"&lt;"&amp;K1969)+1)</f>
        <v/>
      </c>
    </row>
    <row r="1970">
      <c r="A1970" s="5">
        <f>IF($J1970="","",IF($J1970&lt;=1500,INDEX('Daily Sale entry '!$X$1:$X$1501,$J1970+1),INDEX('Daily Sale entry '!$V$1:$V$1501,$J1970-1499)))</f>
        <v/>
      </c>
      <c r="B1970">
        <f>IF($J1970="","",IF($J1970&lt;=1500,INDEX('Daily Sale entry '!$Y$1:$Y$1501,$J1970+1)&amp;"","Buyer cheque banked 买家支票存入"&amp;IF(INDEX('Daily Sale entry '!$U$1:$U$1501,$J1970-1499)="","", " - "&amp;INDEX('Daily Sale entry '!$U$1:$U$1501,$J1970-1499))))</f>
        <v/>
      </c>
      <c r="C1970">
        <f>IF($J1970="","",IF($J1970&lt;=1500,INDEX('Daily Sale entry '!$Z$1:$Z$1501,$J1970+1)&amp;"","Cheque deposit 支票存入 (buyer 买家)"))</f>
        <v/>
      </c>
      <c r="D1970">
        <f>IF($J1970="","",IF($J1970&lt;=1500,INDEX('Daily Sale entry '!$AA$1:$AA$1501,$J1970+1)&amp;"",INDEX('Daily Sale entry '!$P$1:$P$1501,$J1970-1499)&amp;""))</f>
        <v/>
      </c>
      <c r="E1970">
        <f>IF($J1970="","",IF($J1970&lt;=1500,IF(N(INDEX('Daily Sale entry '!$AB$1:$AB$1501,$J1970+1))=0,"",INDEX('Daily Sale entry '!$AB$1:$AB$1501,$J1970+1)),1))</f>
        <v/>
      </c>
      <c r="F1970" s="6">
        <f>IF($J1970="","",IF($J1970&lt;=1500,N(INDEX('Daily Sale entry '!$AC$1:$AC$1501,$J1970+1))-IF(AND('Opening Balance'!$B$15=1,INDEX('Daily Sale entry '!$Z$1:$Z$1501,$J1970+1)="Online collection 网上收款",INDEX('Daily Sale entry '!$AA$1:$AA$1501,$J1970+1)&lt;&gt;""),N(INDEX('Daily Sale entry '!$AC$1:$AC$1501,$J1970+1))-TRUNC(N(INDEX('Daily Sale entry '!$AC$1:$AC$1501,$J1970+1))),0),N(INDEX('Daily Sale entry '!$S$1:$S$1501,$J1970-1499))-'Opening Balance'!$B$15*(N(INDEX('Daily Sale entry '!$S$1:$S$1501,$J1970-1499))-TRUNC(N(INDEX('Daily Sale entry '!$S$1:$S$1501,$J1970-1499))))))</f>
        <v/>
      </c>
      <c r="G1970" s="6">
        <f>IF($J1970="","",IF($J1970&lt;=1500,N(INDEX('Daily Sale entry '!$AD$1:$AD$1501,$J1970+1)),0))</f>
        <v/>
      </c>
      <c r="H1970" s="6">
        <f>IF($J1970="","",ROUND('Opening Balance'!$B$4+SUM($F$2:F1970)-SUM($G$2:G1970),2))</f>
        <v/>
      </c>
      <c r="J1970" s="21">
        <f>IFERROR(MATCH(ROW()-1,$L$2:$L$3001,0),"")</f>
        <v/>
      </c>
      <c r="K1970" s="34">
        <f>IF(AND('Daily Sale entry '!Q470="Collection 收款",'Daily Sale entry '!R470="Cheque 支票",'Daily Sale entry '!V470&lt;&gt;""),'Daily Sale entry '!V470+ROW()/10000000,"")</f>
        <v/>
      </c>
      <c r="L1970" s="21">
        <f>IF(K1970="","",COUNTIF($K$2:$K$3001,"&lt;"&amp;K1970)+1)</f>
        <v/>
      </c>
    </row>
    <row r="1971">
      <c r="A1971" s="5">
        <f>IF($J1971="","",IF($J1971&lt;=1500,INDEX('Daily Sale entry '!$X$1:$X$1501,$J1971+1),INDEX('Daily Sale entry '!$V$1:$V$1501,$J1971-1499)))</f>
        <v/>
      </c>
      <c r="B1971">
        <f>IF($J1971="","",IF($J1971&lt;=1500,INDEX('Daily Sale entry '!$Y$1:$Y$1501,$J1971+1)&amp;"","Buyer cheque banked 买家支票存入"&amp;IF(INDEX('Daily Sale entry '!$U$1:$U$1501,$J1971-1499)="","", " - "&amp;INDEX('Daily Sale entry '!$U$1:$U$1501,$J1971-1499))))</f>
        <v/>
      </c>
      <c r="C1971">
        <f>IF($J1971="","",IF($J1971&lt;=1500,INDEX('Daily Sale entry '!$Z$1:$Z$1501,$J1971+1)&amp;"","Cheque deposit 支票存入 (buyer 买家)"))</f>
        <v/>
      </c>
      <c r="D1971">
        <f>IF($J1971="","",IF($J1971&lt;=1500,INDEX('Daily Sale entry '!$AA$1:$AA$1501,$J1971+1)&amp;"",INDEX('Daily Sale entry '!$P$1:$P$1501,$J1971-1499)&amp;""))</f>
        <v/>
      </c>
      <c r="E1971">
        <f>IF($J1971="","",IF($J1971&lt;=1500,IF(N(INDEX('Daily Sale entry '!$AB$1:$AB$1501,$J1971+1))=0,"",INDEX('Daily Sale entry '!$AB$1:$AB$1501,$J1971+1)),1))</f>
        <v/>
      </c>
      <c r="F1971" s="6">
        <f>IF($J1971="","",IF($J1971&lt;=1500,N(INDEX('Daily Sale entry '!$AC$1:$AC$1501,$J1971+1))-IF(AND('Opening Balance'!$B$15=1,INDEX('Daily Sale entry '!$Z$1:$Z$1501,$J1971+1)="Online collection 网上收款",INDEX('Daily Sale entry '!$AA$1:$AA$1501,$J1971+1)&lt;&gt;""),N(INDEX('Daily Sale entry '!$AC$1:$AC$1501,$J1971+1))-TRUNC(N(INDEX('Daily Sale entry '!$AC$1:$AC$1501,$J1971+1))),0),N(INDEX('Daily Sale entry '!$S$1:$S$1501,$J1971-1499))-'Opening Balance'!$B$15*(N(INDEX('Daily Sale entry '!$S$1:$S$1501,$J1971-1499))-TRUNC(N(INDEX('Daily Sale entry '!$S$1:$S$1501,$J1971-1499))))))</f>
        <v/>
      </c>
      <c r="G1971" s="6">
        <f>IF($J1971="","",IF($J1971&lt;=1500,N(INDEX('Daily Sale entry '!$AD$1:$AD$1501,$J1971+1)),0))</f>
        <v/>
      </c>
      <c r="H1971" s="6">
        <f>IF($J1971="","",ROUND('Opening Balance'!$B$4+SUM($F$2:F1971)-SUM($G$2:G1971),2))</f>
        <v/>
      </c>
      <c r="J1971" s="21">
        <f>IFERROR(MATCH(ROW()-1,$L$2:$L$3001,0),"")</f>
        <v/>
      </c>
      <c r="K1971" s="34">
        <f>IF(AND('Daily Sale entry '!Q471="Collection 收款",'Daily Sale entry '!R471="Cheque 支票",'Daily Sale entry '!V471&lt;&gt;""),'Daily Sale entry '!V471+ROW()/10000000,"")</f>
        <v/>
      </c>
      <c r="L1971" s="21">
        <f>IF(K1971="","",COUNTIF($K$2:$K$3001,"&lt;"&amp;K1971)+1)</f>
        <v/>
      </c>
    </row>
    <row r="1972">
      <c r="A1972" s="5">
        <f>IF($J1972="","",IF($J1972&lt;=1500,INDEX('Daily Sale entry '!$X$1:$X$1501,$J1972+1),INDEX('Daily Sale entry '!$V$1:$V$1501,$J1972-1499)))</f>
        <v/>
      </c>
      <c r="B1972">
        <f>IF($J1972="","",IF($J1972&lt;=1500,INDEX('Daily Sale entry '!$Y$1:$Y$1501,$J1972+1)&amp;"","Buyer cheque banked 买家支票存入"&amp;IF(INDEX('Daily Sale entry '!$U$1:$U$1501,$J1972-1499)="","", " - "&amp;INDEX('Daily Sale entry '!$U$1:$U$1501,$J1972-1499))))</f>
        <v/>
      </c>
      <c r="C1972">
        <f>IF($J1972="","",IF($J1972&lt;=1500,INDEX('Daily Sale entry '!$Z$1:$Z$1501,$J1972+1)&amp;"","Cheque deposit 支票存入 (buyer 买家)"))</f>
        <v/>
      </c>
      <c r="D1972">
        <f>IF($J1972="","",IF($J1972&lt;=1500,INDEX('Daily Sale entry '!$AA$1:$AA$1501,$J1972+1)&amp;"",INDEX('Daily Sale entry '!$P$1:$P$1501,$J1972-1499)&amp;""))</f>
        <v/>
      </c>
      <c r="E1972">
        <f>IF($J1972="","",IF($J1972&lt;=1500,IF(N(INDEX('Daily Sale entry '!$AB$1:$AB$1501,$J1972+1))=0,"",INDEX('Daily Sale entry '!$AB$1:$AB$1501,$J1972+1)),1))</f>
        <v/>
      </c>
      <c r="F1972" s="6">
        <f>IF($J1972="","",IF($J1972&lt;=1500,N(INDEX('Daily Sale entry '!$AC$1:$AC$1501,$J1972+1))-IF(AND('Opening Balance'!$B$15=1,INDEX('Daily Sale entry '!$Z$1:$Z$1501,$J1972+1)="Online collection 网上收款",INDEX('Daily Sale entry '!$AA$1:$AA$1501,$J1972+1)&lt;&gt;""),N(INDEX('Daily Sale entry '!$AC$1:$AC$1501,$J1972+1))-TRUNC(N(INDEX('Daily Sale entry '!$AC$1:$AC$1501,$J1972+1))),0),N(INDEX('Daily Sale entry '!$S$1:$S$1501,$J1972-1499))-'Opening Balance'!$B$15*(N(INDEX('Daily Sale entry '!$S$1:$S$1501,$J1972-1499))-TRUNC(N(INDEX('Daily Sale entry '!$S$1:$S$1501,$J1972-1499))))))</f>
        <v/>
      </c>
      <c r="G1972" s="6">
        <f>IF($J1972="","",IF($J1972&lt;=1500,N(INDEX('Daily Sale entry '!$AD$1:$AD$1501,$J1972+1)),0))</f>
        <v/>
      </c>
      <c r="H1972" s="6">
        <f>IF($J1972="","",ROUND('Opening Balance'!$B$4+SUM($F$2:F1972)-SUM($G$2:G1972),2))</f>
        <v/>
      </c>
      <c r="J1972" s="21">
        <f>IFERROR(MATCH(ROW()-1,$L$2:$L$3001,0),"")</f>
        <v/>
      </c>
      <c r="K1972" s="34">
        <f>IF(AND('Daily Sale entry '!Q472="Collection 收款",'Daily Sale entry '!R472="Cheque 支票",'Daily Sale entry '!V472&lt;&gt;""),'Daily Sale entry '!V472+ROW()/10000000,"")</f>
        <v/>
      </c>
      <c r="L1972" s="21">
        <f>IF(K1972="","",COUNTIF($K$2:$K$3001,"&lt;"&amp;K1972)+1)</f>
        <v/>
      </c>
    </row>
    <row r="1973">
      <c r="A1973" s="5">
        <f>IF($J1973="","",IF($J1973&lt;=1500,INDEX('Daily Sale entry '!$X$1:$X$1501,$J1973+1),INDEX('Daily Sale entry '!$V$1:$V$1501,$J1973-1499)))</f>
        <v/>
      </c>
      <c r="B1973">
        <f>IF($J1973="","",IF($J1973&lt;=1500,INDEX('Daily Sale entry '!$Y$1:$Y$1501,$J1973+1)&amp;"","Buyer cheque banked 买家支票存入"&amp;IF(INDEX('Daily Sale entry '!$U$1:$U$1501,$J1973-1499)="","", " - "&amp;INDEX('Daily Sale entry '!$U$1:$U$1501,$J1973-1499))))</f>
        <v/>
      </c>
      <c r="C1973">
        <f>IF($J1973="","",IF($J1973&lt;=1500,INDEX('Daily Sale entry '!$Z$1:$Z$1501,$J1973+1)&amp;"","Cheque deposit 支票存入 (buyer 买家)"))</f>
        <v/>
      </c>
      <c r="D1973">
        <f>IF($J1973="","",IF($J1973&lt;=1500,INDEX('Daily Sale entry '!$AA$1:$AA$1501,$J1973+1)&amp;"",INDEX('Daily Sale entry '!$P$1:$P$1501,$J1973-1499)&amp;""))</f>
        <v/>
      </c>
      <c r="E1973">
        <f>IF($J1973="","",IF($J1973&lt;=1500,IF(N(INDEX('Daily Sale entry '!$AB$1:$AB$1501,$J1973+1))=0,"",INDEX('Daily Sale entry '!$AB$1:$AB$1501,$J1973+1)),1))</f>
        <v/>
      </c>
      <c r="F1973" s="6">
        <f>IF($J1973="","",IF($J1973&lt;=1500,N(INDEX('Daily Sale entry '!$AC$1:$AC$1501,$J1973+1))-IF(AND('Opening Balance'!$B$15=1,INDEX('Daily Sale entry '!$Z$1:$Z$1501,$J1973+1)="Online collection 网上收款",INDEX('Daily Sale entry '!$AA$1:$AA$1501,$J1973+1)&lt;&gt;""),N(INDEX('Daily Sale entry '!$AC$1:$AC$1501,$J1973+1))-TRUNC(N(INDEX('Daily Sale entry '!$AC$1:$AC$1501,$J1973+1))),0),N(INDEX('Daily Sale entry '!$S$1:$S$1501,$J1973-1499))-'Opening Balance'!$B$15*(N(INDEX('Daily Sale entry '!$S$1:$S$1501,$J1973-1499))-TRUNC(N(INDEX('Daily Sale entry '!$S$1:$S$1501,$J1973-1499))))))</f>
        <v/>
      </c>
      <c r="G1973" s="6">
        <f>IF($J1973="","",IF($J1973&lt;=1500,N(INDEX('Daily Sale entry '!$AD$1:$AD$1501,$J1973+1)),0))</f>
        <v/>
      </c>
      <c r="H1973" s="6">
        <f>IF($J1973="","",ROUND('Opening Balance'!$B$4+SUM($F$2:F1973)-SUM($G$2:G1973),2))</f>
        <v/>
      </c>
      <c r="J1973" s="21">
        <f>IFERROR(MATCH(ROW()-1,$L$2:$L$3001,0),"")</f>
        <v/>
      </c>
      <c r="K1973" s="34">
        <f>IF(AND('Daily Sale entry '!Q473="Collection 收款",'Daily Sale entry '!R473="Cheque 支票",'Daily Sale entry '!V473&lt;&gt;""),'Daily Sale entry '!V473+ROW()/10000000,"")</f>
        <v/>
      </c>
      <c r="L1973" s="21">
        <f>IF(K1973="","",COUNTIF($K$2:$K$3001,"&lt;"&amp;K1973)+1)</f>
        <v/>
      </c>
    </row>
    <row r="1974">
      <c r="A1974" s="5">
        <f>IF($J1974="","",IF($J1974&lt;=1500,INDEX('Daily Sale entry '!$X$1:$X$1501,$J1974+1),INDEX('Daily Sale entry '!$V$1:$V$1501,$J1974-1499)))</f>
        <v/>
      </c>
      <c r="B1974">
        <f>IF($J1974="","",IF($J1974&lt;=1500,INDEX('Daily Sale entry '!$Y$1:$Y$1501,$J1974+1)&amp;"","Buyer cheque banked 买家支票存入"&amp;IF(INDEX('Daily Sale entry '!$U$1:$U$1501,$J1974-1499)="","", " - "&amp;INDEX('Daily Sale entry '!$U$1:$U$1501,$J1974-1499))))</f>
        <v/>
      </c>
      <c r="C1974">
        <f>IF($J1974="","",IF($J1974&lt;=1500,INDEX('Daily Sale entry '!$Z$1:$Z$1501,$J1974+1)&amp;"","Cheque deposit 支票存入 (buyer 买家)"))</f>
        <v/>
      </c>
      <c r="D1974">
        <f>IF($J1974="","",IF($J1974&lt;=1500,INDEX('Daily Sale entry '!$AA$1:$AA$1501,$J1974+1)&amp;"",INDEX('Daily Sale entry '!$P$1:$P$1501,$J1974-1499)&amp;""))</f>
        <v/>
      </c>
      <c r="E1974">
        <f>IF($J1974="","",IF($J1974&lt;=1500,IF(N(INDEX('Daily Sale entry '!$AB$1:$AB$1501,$J1974+1))=0,"",INDEX('Daily Sale entry '!$AB$1:$AB$1501,$J1974+1)),1))</f>
        <v/>
      </c>
      <c r="F1974" s="6">
        <f>IF($J1974="","",IF($J1974&lt;=1500,N(INDEX('Daily Sale entry '!$AC$1:$AC$1501,$J1974+1))-IF(AND('Opening Balance'!$B$15=1,INDEX('Daily Sale entry '!$Z$1:$Z$1501,$J1974+1)="Online collection 网上收款",INDEX('Daily Sale entry '!$AA$1:$AA$1501,$J1974+1)&lt;&gt;""),N(INDEX('Daily Sale entry '!$AC$1:$AC$1501,$J1974+1))-TRUNC(N(INDEX('Daily Sale entry '!$AC$1:$AC$1501,$J1974+1))),0),N(INDEX('Daily Sale entry '!$S$1:$S$1501,$J1974-1499))-'Opening Balance'!$B$15*(N(INDEX('Daily Sale entry '!$S$1:$S$1501,$J1974-1499))-TRUNC(N(INDEX('Daily Sale entry '!$S$1:$S$1501,$J1974-1499))))))</f>
        <v/>
      </c>
      <c r="G1974" s="6">
        <f>IF($J1974="","",IF($J1974&lt;=1500,N(INDEX('Daily Sale entry '!$AD$1:$AD$1501,$J1974+1)),0))</f>
        <v/>
      </c>
      <c r="H1974" s="6">
        <f>IF($J1974="","",ROUND('Opening Balance'!$B$4+SUM($F$2:F1974)-SUM($G$2:G1974),2))</f>
        <v/>
      </c>
      <c r="J1974" s="21">
        <f>IFERROR(MATCH(ROW()-1,$L$2:$L$3001,0),"")</f>
        <v/>
      </c>
      <c r="K1974" s="34">
        <f>IF(AND('Daily Sale entry '!Q474="Collection 收款",'Daily Sale entry '!R474="Cheque 支票",'Daily Sale entry '!V474&lt;&gt;""),'Daily Sale entry '!V474+ROW()/10000000,"")</f>
        <v/>
      </c>
      <c r="L1974" s="21">
        <f>IF(K1974="","",COUNTIF($K$2:$K$3001,"&lt;"&amp;K1974)+1)</f>
        <v/>
      </c>
    </row>
    <row r="1975">
      <c r="A1975" s="5">
        <f>IF($J1975="","",IF($J1975&lt;=1500,INDEX('Daily Sale entry '!$X$1:$X$1501,$J1975+1),INDEX('Daily Sale entry '!$V$1:$V$1501,$J1975-1499)))</f>
        <v/>
      </c>
      <c r="B1975">
        <f>IF($J1975="","",IF($J1975&lt;=1500,INDEX('Daily Sale entry '!$Y$1:$Y$1501,$J1975+1)&amp;"","Buyer cheque banked 买家支票存入"&amp;IF(INDEX('Daily Sale entry '!$U$1:$U$1501,$J1975-1499)="","", " - "&amp;INDEX('Daily Sale entry '!$U$1:$U$1501,$J1975-1499))))</f>
        <v/>
      </c>
      <c r="C1975">
        <f>IF($J1975="","",IF($J1975&lt;=1500,INDEX('Daily Sale entry '!$Z$1:$Z$1501,$J1975+1)&amp;"","Cheque deposit 支票存入 (buyer 买家)"))</f>
        <v/>
      </c>
      <c r="D1975">
        <f>IF($J1975="","",IF($J1975&lt;=1500,INDEX('Daily Sale entry '!$AA$1:$AA$1501,$J1975+1)&amp;"",INDEX('Daily Sale entry '!$P$1:$P$1501,$J1975-1499)&amp;""))</f>
        <v/>
      </c>
      <c r="E1975">
        <f>IF($J1975="","",IF($J1975&lt;=1500,IF(N(INDEX('Daily Sale entry '!$AB$1:$AB$1501,$J1975+1))=0,"",INDEX('Daily Sale entry '!$AB$1:$AB$1501,$J1975+1)),1))</f>
        <v/>
      </c>
      <c r="F1975" s="6">
        <f>IF($J1975="","",IF($J1975&lt;=1500,N(INDEX('Daily Sale entry '!$AC$1:$AC$1501,$J1975+1))-IF(AND('Opening Balance'!$B$15=1,INDEX('Daily Sale entry '!$Z$1:$Z$1501,$J1975+1)="Online collection 网上收款",INDEX('Daily Sale entry '!$AA$1:$AA$1501,$J1975+1)&lt;&gt;""),N(INDEX('Daily Sale entry '!$AC$1:$AC$1501,$J1975+1))-TRUNC(N(INDEX('Daily Sale entry '!$AC$1:$AC$1501,$J1975+1))),0),N(INDEX('Daily Sale entry '!$S$1:$S$1501,$J1975-1499))-'Opening Balance'!$B$15*(N(INDEX('Daily Sale entry '!$S$1:$S$1501,$J1975-1499))-TRUNC(N(INDEX('Daily Sale entry '!$S$1:$S$1501,$J1975-1499))))))</f>
        <v/>
      </c>
      <c r="G1975" s="6">
        <f>IF($J1975="","",IF($J1975&lt;=1500,N(INDEX('Daily Sale entry '!$AD$1:$AD$1501,$J1975+1)),0))</f>
        <v/>
      </c>
      <c r="H1975" s="6">
        <f>IF($J1975="","",ROUND('Opening Balance'!$B$4+SUM($F$2:F1975)-SUM($G$2:G1975),2))</f>
        <v/>
      </c>
      <c r="J1975" s="21">
        <f>IFERROR(MATCH(ROW()-1,$L$2:$L$3001,0),"")</f>
        <v/>
      </c>
      <c r="K1975" s="34">
        <f>IF(AND('Daily Sale entry '!Q475="Collection 收款",'Daily Sale entry '!R475="Cheque 支票",'Daily Sale entry '!V475&lt;&gt;""),'Daily Sale entry '!V475+ROW()/10000000,"")</f>
        <v/>
      </c>
      <c r="L1975" s="21">
        <f>IF(K1975="","",COUNTIF($K$2:$K$3001,"&lt;"&amp;K1975)+1)</f>
        <v/>
      </c>
    </row>
    <row r="1976">
      <c r="A1976" s="5">
        <f>IF($J1976="","",IF($J1976&lt;=1500,INDEX('Daily Sale entry '!$X$1:$X$1501,$J1976+1),INDEX('Daily Sale entry '!$V$1:$V$1501,$J1976-1499)))</f>
        <v/>
      </c>
      <c r="B1976">
        <f>IF($J1976="","",IF($J1976&lt;=1500,INDEX('Daily Sale entry '!$Y$1:$Y$1501,$J1976+1)&amp;"","Buyer cheque banked 买家支票存入"&amp;IF(INDEX('Daily Sale entry '!$U$1:$U$1501,$J1976-1499)="","", " - "&amp;INDEX('Daily Sale entry '!$U$1:$U$1501,$J1976-1499))))</f>
        <v/>
      </c>
      <c r="C1976">
        <f>IF($J1976="","",IF($J1976&lt;=1500,INDEX('Daily Sale entry '!$Z$1:$Z$1501,$J1976+1)&amp;"","Cheque deposit 支票存入 (buyer 买家)"))</f>
        <v/>
      </c>
      <c r="D1976">
        <f>IF($J1976="","",IF($J1976&lt;=1500,INDEX('Daily Sale entry '!$AA$1:$AA$1501,$J1976+1)&amp;"",INDEX('Daily Sale entry '!$P$1:$P$1501,$J1976-1499)&amp;""))</f>
        <v/>
      </c>
      <c r="E1976">
        <f>IF($J1976="","",IF($J1976&lt;=1500,IF(N(INDEX('Daily Sale entry '!$AB$1:$AB$1501,$J1976+1))=0,"",INDEX('Daily Sale entry '!$AB$1:$AB$1501,$J1976+1)),1))</f>
        <v/>
      </c>
      <c r="F1976" s="6">
        <f>IF($J1976="","",IF($J1976&lt;=1500,N(INDEX('Daily Sale entry '!$AC$1:$AC$1501,$J1976+1))-IF(AND('Opening Balance'!$B$15=1,INDEX('Daily Sale entry '!$Z$1:$Z$1501,$J1976+1)="Online collection 网上收款",INDEX('Daily Sale entry '!$AA$1:$AA$1501,$J1976+1)&lt;&gt;""),N(INDEX('Daily Sale entry '!$AC$1:$AC$1501,$J1976+1))-TRUNC(N(INDEX('Daily Sale entry '!$AC$1:$AC$1501,$J1976+1))),0),N(INDEX('Daily Sale entry '!$S$1:$S$1501,$J1976-1499))-'Opening Balance'!$B$15*(N(INDEX('Daily Sale entry '!$S$1:$S$1501,$J1976-1499))-TRUNC(N(INDEX('Daily Sale entry '!$S$1:$S$1501,$J1976-1499))))))</f>
        <v/>
      </c>
      <c r="G1976" s="6">
        <f>IF($J1976="","",IF($J1976&lt;=1500,N(INDEX('Daily Sale entry '!$AD$1:$AD$1501,$J1976+1)),0))</f>
        <v/>
      </c>
      <c r="H1976" s="6">
        <f>IF($J1976="","",ROUND('Opening Balance'!$B$4+SUM($F$2:F1976)-SUM($G$2:G1976),2))</f>
        <v/>
      </c>
      <c r="J1976" s="21">
        <f>IFERROR(MATCH(ROW()-1,$L$2:$L$3001,0),"")</f>
        <v/>
      </c>
      <c r="K1976" s="34">
        <f>IF(AND('Daily Sale entry '!Q476="Collection 收款",'Daily Sale entry '!R476="Cheque 支票",'Daily Sale entry '!V476&lt;&gt;""),'Daily Sale entry '!V476+ROW()/10000000,"")</f>
        <v/>
      </c>
      <c r="L1976" s="21">
        <f>IF(K1976="","",COUNTIF($K$2:$K$3001,"&lt;"&amp;K1976)+1)</f>
        <v/>
      </c>
    </row>
    <row r="1977">
      <c r="A1977" s="5">
        <f>IF($J1977="","",IF($J1977&lt;=1500,INDEX('Daily Sale entry '!$X$1:$X$1501,$J1977+1),INDEX('Daily Sale entry '!$V$1:$V$1501,$J1977-1499)))</f>
        <v/>
      </c>
      <c r="B1977">
        <f>IF($J1977="","",IF($J1977&lt;=1500,INDEX('Daily Sale entry '!$Y$1:$Y$1501,$J1977+1)&amp;"","Buyer cheque banked 买家支票存入"&amp;IF(INDEX('Daily Sale entry '!$U$1:$U$1501,$J1977-1499)="","", " - "&amp;INDEX('Daily Sale entry '!$U$1:$U$1501,$J1977-1499))))</f>
        <v/>
      </c>
      <c r="C1977">
        <f>IF($J1977="","",IF($J1977&lt;=1500,INDEX('Daily Sale entry '!$Z$1:$Z$1501,$J1977+1)&amp;"","Cheque deposit 支票存入 (buyer 买家)"))</f>
        <v/>
      </c>
      <c r="D1977">
        <f>IF($J1977="","",IF($J1977&lt;=1500,INDEX('Daily Sale entry '!$AA$1:$AA$1501,$J1977+1)&amp;"",INDEX('Daily Sale entry '!$P$1:$P$1501,$J1977-1499)&amp;""))</f>
        <v/>
      </c>
      <c r="E1977">
        <f>IF($J1977="","",IF($J1977&lt;=1500,IF(N(INDEX('Daily Sale entry '!$AB$1:$AB$1501,$J1977+1))=0,"",INDEX('Daily Sale entry '!$AB$1:$AB$1501,$J1977+1)),1))</f>
        <v/>
      </c>
      <c r="F1977" s="6">
        <f>IF($J1977="","",IF($J1977&lt;=1500,N(INDEX('Daily Sale entry '!$AC$1:$AC$1501,$J1977+1))-IF(AND('Opening Balance'!$B$15=1,INDEX('Daily Sale entry '!$Z$1:$Z$1501,$J1977+1)="Online collection 网上收款",INDEX('Daily Sale entry '!$AA$1:$AA$1501,$J1977+1)&lt;&gt;""),N(INDEX('Daily Sale entry '!$AC$1:$AC$1501,$J1977+1))-TRUNC(N(INDEX('Daily Sale entry '!$AC$1:$AC$1501,$J1977+1))),0),N(INDEX('Daily Sale entry '!$S$1:$S$1501,$J1977-1499))-'Opening Balance'!$B$15*(N(INDEX('Daily Sale entry '!$S$1:$S$1501,$J1977-1499))-TRUNC(N(INDEX('Daily Sale entry '!$S$1:$S$1501,$J1977-1499))))))</f>
        <v/>
      </c>
      <c r="G1977" s="6">
        <f>IF($J1977="","",IF($J1977&lt;=1500,N(INDEX('Daily Sale entry '!$AD$1:$AD$1501,$J1977+1)),0))</f>
        <v/>
      </c>
      <c r="H1977" s="6">
        <f>IF($J1977="","",ROUND('Opening Balance'!$B$4+SUM($F$2:F1977)-SUM($G$2:G1977),2))</f>
        <v/>
      </c>
      <c r="J1977" s="21">
        <f>IFERROR(MATCH(ROW()-1,$L$2:$L$3001,0),"")</f>
        <v/>
      </c>
      <c r="K1977" s="34">
        <f>IF(AND('Daily Sale entry '!Q477="Collection 收款",'Daily Sale entry '!R477="Cheque 支票",'Daily Sale entry '!V477&lt;&gt;""),'Daily Sale entry '!V477+ROW()/10000000,"")</f>
        <v/>
      </c>
      <c r="L1977" s="21">
        <f>IF(K1977="","",COUNTIF($K$2:$K$3001,"&lt;"&amp;K1977)+1)</f>
        <v/>
      </c>
    </row>
    <row r="1978">
      <c r="A1978" s="5">
        <f>IF($J1978="","",IF($J1978&lt;=1500,INDEX('Daily Sale entry '!$X$1:$X$1501,$J1978+1),INDEX('Daily Sale entry '!$V$1:$V$1501,$J1978-1499)))</f>
        <v/>
      </c>
      <c r="B1978">
        <f>IF($J1978="","",IF($J1978&lt;=1500,INDEX('Daily Sale entry '!$Y$1:$Y$1501,$J1978+1)&amp;"","Buyer cheque banked 买家支票存入"&amp;IF(INDEX('Daily Sale entry '!$U$1:$U$1501,$J1978-1499)="","", " - "&amp;INDEX('Daily Sale entry '!$U$1:$U$1501,$J1978-1499))))</f>
        <v/>
      </c>
      <c r="C1978">
        <f>IF($J1978="","",IF($J1978&lt;=1500,INDEX('Daily Sale entry '!$Z$1:$Z$1501,$J1978+1)&amp;"","Cheque deposit 支票存入 (buyer 买家)"))</f>
        <v/>
      </c>
      <c r="D1978">
        <f>IF($J1978="","",IF($J1978&lt;=1500,INDEX('Daily Sale entry '!$AA$1:$AA$1501,$J1978+1)&amp;"",INDEX('Daily Sale entry '!$P$1:$P$1501,$J1978-1499)&amp;""))</f>
        <v/>
      </c>
      <c r="E1978">
        <f>IF($J1978="","",IF($J1978&lt;=1500,IF(N(INDEX('Daily Sale entry '!$AB$1:$AB$1501,$J1978+1))=0,"",INDEX('Daily Sale entry '!$AB$1:$AB$1501,$J1978+1)),1))</f>
        <v/>
      </c>
      <c r="F1978" s="6">
        <f>IF($J1978="","",IF($J1978&lt;=1500,N(INDEX('Daily Sale entry '!$AC$1:$AC$1501,$J1978+1))-IF(AND('Opening Balance'!$B$15=1,INDEX('Daily Sale entry '!$Z$1:$Z$1501,$J1978+1)="Online collection 网上收款",INDEX('Daily Sale entry '!$AA$1:$AA$1501,$J1978+1)&lt;&gt;""),N(INDEX('Daily Sale entry '!$AC$1:$AC$1501,$J1978+1))-TRUNC(N(INDEX('Daily Sale entry '!$AC$1:$AC$1501,$J1978+1))),0),N(INDEX('Daily Sale entry '!$S$1:$S$1501,$J1978-1499))-'Opening Balance'!$B$15*(N(INDEX('Daily Sale entry '!$S$1:$S$1501,$J1978-1499))-TRUNC(N(INDEX('Daily Sale entry '!$S$1:$S$1501,$J1978-1499))))))</f>
        <v/>
      </c>
      <c r="G1978" s="6">
        <f>IF($J1978="","",IF($J1978&lt;=1500,N(INDEX('Daily Sale entry '!$AD$1:$AD$1501,$J1978+1)),0))</f>
        <v/>
      </c>
      <c r="H1978" s="6">
        <f>IF($J1978="","",ROUND('Opening Balance'!$B$4+SUM($F$2:F1978)-SUM($G$2:G1978),2))</f>
        <v/>
      </c>
      <c r="J1978" s="21">
        <f>IFERROR(MATCH(ROW()-1,$L$2:$L$3001,0),"")</f>
        <v/>
      </c>
      <c r="K1978" s="34">
        <f>IF(AND('Daily Sale entry '!Q478="Collection 收款",'Daily Sale entry '!R478="Cheque 支票",'Daily Sale entry '!V478&lt;&gt;""),'Daily Sale entry '!V478+ROW()/10000000,"")</f>
        <v/>
      </c>
      <c r="L1978" s="21">
        <f>IF(K1978="","",COUNTIF($K$2:$K$3001,"&lt;"&amp;K1978)+1)</f>
        <v/>
      </c>
    </row>
    <row r="1979">
      <c r="A1979" s="5">
        <f>IF($J1979="","",IF($J1979&lt;=1500,INDEX('Daily Sale entry '!$X$1:$X$1501,$J1979+1),INDEX('Daily Sale entry '!$V$1:$V$1501,$J1979-1499)))</f>
        <v/>
      </c>
      <c r="B1979">
        <f>IF($J1979="","",IF($J1979&lt;=1500,INDEX('Daily Sale entry '!$Y$1:$Y$1501,$J1979+1)&amp;"","Buyer cheque banked 买家支票存入"&amp;IF(INDEX('Daily Sale entry '!$U$1:$U$1501,$J1979-1499)="","", " - "&amp;INDEX('Daily Sale entry '!$U$1:$U$1501,$J1979-1499))))</f>
        <v/>
      </c>
      <c r="C1979">
        <f>IF($J1979="","",IF($J1979&lt;=1500,INDEX('Daily Sale entry '!$Z$1:$Z$1501,$J1979+1)&amp;"","Cheque deposit 支票存入 (buyer 买家)"))</f>
        <v/>
      </c>
      <c r="D1979">
        <f>IF($J1979="","",IF($J1979&lt;=1500,INDEX('Daily Sale entry '!$AA$1:$AA$1501,$J1979+1)&amp;"",INDEX('Daily Sale entry '!$P$1:$P$1501,$J1979-1499)&amp;""))</f>
        <v/>
      </c>
      <c r="E1979">
        <f>IF($J1979="","",IF($J1979&lt;=1500,IF(N(INDEX('Daily Sale entry '!$AB$1:$AB$1501,$J1979+1))=0,"",INDEX('Daily Sale entry '!$AB$1:$AB$1501,$J1979+1)),1))</f>
        <v/>
      </c>
      <c r="F1979" s="6">
        <f>IF($J1979="","",IF($J1979&lt;=1500,N(INDEX('Daily Sale entry '!$AC$1:$AC$1501,$J1979+1))-IF(AND('Opening Balance'!$B$15=1,INDEX('Daily Sale entry '!$Z$1:$Z$1501,$J1979+1)="Online collection 网上收款",INDEX('Daily Sale entry '!$AA$1:$AA$1501,$J1979+1)&lt;&gt;""),N(INDEX('Daily Sale entry '!$AC$1:$AC$1501,$J1979+1))-TRUNC(N(INDEX('Daily Sale entry '!$AC$1:$AC$1501,$J1979+1))),0),N(INDEX('Daily Sale entry '!$S$1:$S$1501,$J1979-1499))-'Opening Balance'!$B$15*(N(INDEX('Daily Sale entry '!$S$1:$S$1501,$J1979-1499))-TRUNC(N(INDEX('Daily Sale entry '!$S$1:$S$1501,$J1979-1499))))))</f>
        <v/>
      </c>
      <c r="G1979" s="6">
        <f>IF($J1979="","",IF($J1979&lt;=1500,N(INDEX('Daily Sale entry '!$AD$1:$AD$1501,$J1979+1)),0))</f>
        <v/>
      </c>
      <c r="H1979" s="6">
        <f>IF($J1979="","",ROUND('Opening Balance'!$B$4+SUM($F$2:F1979)-SUM($G$2:G1979),2))</f>
        <v/>
      </c>
      <c r="J1979" s="21">
        <f>IFERROR(MATCH(ROW()-1,$L$2:$L$3001,0),"")</f>
        <v/>
      </c>
      <c r="K1979" s="34">
        <f>IF(AND('Daily Sale entry '!Q479="Collection 收款",'Daily Sale entry '!R479="Cheque 支票",'Daily Sale entry '!V479&lt;&gt;""),'Daily Sale entry '!V479+ROW()/10000000,"")</f>
        <v/>
      </c>
      <c r="L1979" s="21">
        <f>IF(K1979="","",COUNTIF($K$2:$K$3001,"&lt;"&amp;K1979)+1)</f>
        <v/>
      </c>
    </row>
    <row r="1980">
      <c r="A1980" s="5">
        <f>IF($J1980="","",IF($J1980&lt;=1500,INDEX('Daily Sale entry '!$X$1:$X$1501,$J1980+1),INDEX('Daily Sale entry '!$V$1:$V$1501,$J1980-1499)))</f>
        <v/>
      </c>
      <c r="B1980">
        <f>IF($J1980="","",IF($J1980&lt;=1500,INDEX('Daily Sale entry '!$Y$1:$Y$1501,$J1980+1)&amp;"","Buyer cheque banked 买家支票存入"&amp;IF(INDEX('Daily Sale entry '!$U$1:$U$1501,$J1980-1499)="","", " - "&amp;INDEX('Daily Sale entry '!$U$1:$U$1501,$J1980-1499))))</f>
        <v/>
      </c>
      <c r="C1980">
        <f>IF($J1980="","",IF($J1980&lt;=1500,INDEX('Daily Sale entry '!$Z$1:$Z$1501,$J1980+1)&amp;"","Cheque deposit 支票存入 (buyer 买家)"))</f>
        <v/>
      </c>
      <c r="D1980">
        <f>IF($J1980="","",IF($J1980&lt;=1500,INDEX('Daily Sale entry '!$AA$1:$AA$1501,$J1980+1)&amp;"",INDEX('Daily Sale entry '!$P$1:$P$1501,$J1980-1499)&amp;""))</f>
        <v/>
      </c>
      <c r="E1980">
        <f>IF($J1980="","",IF($J1980&lt;=1500,IF(N(INDEX('Daily Sale entry '!$AB$1:$AB$1501,$J1980+1))=0,"",INDEX('Daily Sale entry '!$AB$1:$AB$1501,$J1980+1)),1))</f>
        <v/>
      </c>
      <c r="F1980" s="6">
        <f>IF($J1980="","",IF($J1980&lt;=1500,N(INDEX('Daily Sale entry '!$AC$1:$AC$1501,$J1980+1))-IF(AND('Opening Balance'!$B$15=1,INDEX('Daily Sale entry '!$Z$1:$Z$1501,$J1980+1)="Online collection 网上收款",INDEX('Daily Sale entry '!$AA$1:$AA$1501,$J1980+1)&lt;&gt;""),N(INDEX('Daily Sale entry '!$AC$1:$AC$1501,$J1980+1))-TRUNC(N(INDEX('Daily Sale entry '!$AC$1:$AC$1501,$J1980+1))),0),N(INDEX('Daily Sale entry '!$S$1:$S$1501,$J1980-1499))-'Opening Balance'!$B$15*(N(INDEX('Daily Sale entry '!$S$1:$S$1501,$J1980-1499))-TRUNC(N(INDEX('Daily Sale entry '!$S$1:$S$1501,$J1980-1499))))))</f>
        <v/>
      </c>
      <c r="G1980" s="6">
        <f>IF($J1980="","",IF($J1980&lt;=1500,N(INDEX('Daily Sale entry '!$AD$1:$AD$1501,$J1980+1)),0))</f>
        <v/>
      </c>
      <c r="H1980" s="6">
        <f>IF($J1980="","",ROUND('Opening Balance'!$B$4+SUM($F$2:F1980)-SUM($G$2:G1980),2))</f>
        <v/>
      </c>
      <c r="J1980" s="21">
        <f>IFERROR(MATCH(ROW()-1,$L$2:$L$3001,0),"")</f>
        <v/>
      </c>
      <c r="K1980" s="34">
        <f>IF(AND('Daily Sale entry '!Q480="Collection 收款",'Daily Sale entry '!R480="Cheque 支票",'Daily Sale entry '!V480&lt;&gt;""),'Daily Sale entry '!V480+ROW()/10000000,"")</f>
        <v/>
      </c>
      <c r="L1980" s="21">
        <f>IF(K1980="","",COUNTIF($K$2:$K$3001,"&lt;"&amp;K1980)+1)</f>
        <v/>
      </c>
    </row>
    <row r="1981">
      <c r="A1981" s="5">
        <f>IF($J1981="","",IF($J1981&lt;=1500,INDEX('Daily Sale entry '!$X$1:$X$1501,$J1981+1),INDEX('Daily Sale entry '!$V$1:$V$1501,$J1981-1499)))</f>
        <v/>
      </c>
      <c r="B1981">
        <f>IF($J1981="","",IF($J1981&lt;=1500,INDEX('Daily Sale entry '!$Y$1:$Y$1501,$J1981+1)&amp;"","Buyer cheque banked 买家支票存入"&amp;IF(INDEX('Daily Sale entry '!$U$1:$U$1501,$J1981-1499)="","", " - "&amp;INDEX('Daily Sale entry '!$U$1:$U$1501,$J1981-1499))))</f>
        <v/>
      </c>
      <c r="C1981">
        <f>IF($J1981="","",IF($J1981&lt;=1500,INDEX('Daily Sale entry '!$Z$1:$Z$1501,$J1981+1)&amp;"","Cheque deposit 支票存入 (buyer 买家)"))</f>
        <v/>
      </c>
      <c r="D1981">
        <f>IF($J1981="","",IF($J1981&lt;=1500,INDEX('Daily Sale entry '!$AA$1:$AA$1501,$J1981+1)&amp;"",INDEX('Daily Sale entry '!$P$1:$P$1501,$J1981-1499)&amp;""))</f>
        <v/>
      </c>
      <c r="E1981">
        <f>IF($J1981="","",IF($J1981&lt;=1500,IF(N(INDEX('Daily Sale entry '!$AB$1:$AB$1501,$J1981+1))=0,"",INDEX('Daily Sale entry '!$AB$1:$AB$1501,$J1981+1)),1))</f>
        <v/>
      </c>
      <c r="F1981" s="6">
        <f>IF($J1981="","",IF($J1981&lt;=1500,N(INDEX('Daily Sale entry '!$AC$1:$AC$1501,$J1981+1))-IF(AND('Opening Balance'!$B$15=1,INDEX('Daily Sale entry '!$Z$1:$Z$1501,$J1981+1)="Online collection 网上收款",INDEX('Daily Sale entry '!$AA$1:$AA$1501,$J1981+1)&lt;&gt;""),N(INDEX('Daily Sale entry '!$AC$1:$AC$1501,$J1981+1))-TRUNC(N(INDEX('Daily Sale entry '!$AC$1:$AC$1501,$J1981+1))),0),N(INDEX('Daily Sale entry '!$S$1:$S$1501,$J1981-1499))-'Opening Balance'!$B$15*(N(INDEX('Daily Sale entry '!$S$1:$S$1501,$J1981-1499))-TRUNC(N(INDEX('Daily Sale entry '!$S$1:$S$1501,$J1981-1499))))))</f>
        <v/>
      </c>
      <c r="G1981" s="6">
        <f>IF($J1981="","",IF($J1981&lt;=1500,N(INDEX('Daily Sale entry '!$AD$1:$AD$1501,$J1981+1)),0))</f>
        <v/>
      </c>
      <c r="H1981" s="6">
        <f>IF($J1981="","",ROUND('Opening Balance'!$B$4+SUM($F$2:F1981)-SUM($G$2:G1981),2))</f>
        <v/>
      </c>
      <c r="J1981" s="21">
        <f>IFERROR(MATCH(ROW()-1,$L$2:$L$3001,0),"")</f>
        <v/>
      </c>
      <c r="K1981" s="34">
        <f>IF(AND('Daily Sale entry '!Q481="Collection 收款",'Daily Sale entry '!R481="Cheque 支票",'Daily Sale entry '!V481&lt;&gt;""),'Daily Sale entry '!V481+ROW()/10000000,"")</f>
        <v/>
      </c>
      <c r="L1981" s="21">
        <f>IF(K1981="","",COUNTIF($K$2:$K$3001,"&lt;"&amp;K1981)+1)</f>
        <v/>
      </c>
    </row>
    <row r="1982">
      <c r="A1982" s="5">
        <f>IF($J1982="","",IF($J1982&lt;=1500,INDEX('Daily Sale entry '!$X$1:$X$1501,$J1982+1),INDEX('Daily Sale entry '!$V$1:$V$1501,$J1982-1499)))</f>
        <v/>
      </c>
      <c r="B1982">
        <f>IF($J1982="","",IF($J1982&lt;=1500,INDEX('Daily Sale entry '!$Y$1:$Y$1501,$J1982+1)&amp;"","Buyer cheque banked 买家支票存入"&amp;IF(INDEX('Daily Sale entry '!$U$1:$U$1501,$J1982-1499)="","", " - "&amp;INDEX('Daily Sale entry '!$U$1:$U$1501,$J1982-1499))))</f>
        <v/>
      </c>
      <c r="C1982">
        <f>IF($J1982="","",IF($J1982&lt;=1500,INDEX('Daily Sale entry '!$Z$1:$Z$1501,$J1982+1)&amp;"","Cheque deposit 支票存入 (buyer 买家)"))</f>
        <v/>
      </c>
      <c r="D1982">
        <f>IF($J1982="","",IF($J1982&lt;=1500,INDEX('Daily Sale entry '!$AA$1:$AA$1501,$J1982+1)&amp;"",INDEX('Daily Sale entry '!$P$1:$P$1501,$J1982-1499)&amp;""))</f>
        <v/>
      </c>
      <c r="E1982">
        <f>IF($J1982="","",IF($J1982&lt;=1500,IF(N(INDEX('Daily Sale entry '!$AB$1:$AB$1501,$J1982+1))=0,"",INDEX('Daily Sale entry '!$AB$1:$AB$1501,$J1982+1)),1))</f>
        <v/>
      </c>
      <c r="F1982" s="6">
        <f>IF($J1982="","",IF($J1982&lt;=1500,N(INDEX('Daily Sale entry '!$AC$1:$AC$1501,$J1982+1))-IF(AND('Opening Balance'!$B$15=1,INDEX('Daily Sale entry '!$Z$1:$Z$1501,$J1982+1)="Online collection 网上收款",INDEX('Daily Sale entry '!$AA$1:$AA$1501,$J1982+1)&lt;&gt;""),N(INDEX('Daily Sale entry '!$AC$1:$AC$1501,$J1982+1))-TRUNC(N(INDEX('Daily Sale entry '!$AC$1:$AC$1501,$J1982+1))),0),N(INDEX('Daily Sale entry '!$S$1:$S$1501,$J1982-1499))-'Opening Balance'!$B$15*(N(INDEX('Daily Sale entry '!$S$1:$S$1501,$J1982-1499))-TRUNC(N(INDEX('Daily Sale entry '!$S$1:$S$1501,$J1982-1499))))))</f>
        <v/>
      </c>
      <c r="G1982" s="6">
        <f>IF($J1982="","",IF($J1982&lt;=1500,N(INDEX('Daily Sale entry '!$AD$1:$AD$1501,$J1982+1)),0))</f>
        <v/>
      </c>
      <c r="H1982" s="6">
        <f>IF($J1982="","",ROUND('Opening Balance'!$B$4+SUM($F$2:F1982)-SUM($G$2:G1982),2))</f>
        <v/>
      </c>
      <c r="J1982" s="21">
        <f>IFERROR(MATCH(ROW()-1,$L$2:$L$3001,0),"")</f>
        <v/>
      </c>
      <c r="K1982" s="34">
        <f>IF(AND('Daily Sale entry '!Q482="Collection 收款",'Daily Sale entry '!R482="Cheque 支票",'Daily Sale entry '!V482&lt;&gt;""),'Daily Sale entry '!V482+ROW()/10000000,"")</f>
        <v/>
      </c>
      <c r="L1982" s="21">
        <f>IF(K1982="","",COUNTIF($K$2:$K$3001,"&lt;"&amp;K1982)+1)</f>
        <v/>
      </c>
    </row>
    <row r="1983">
      <c r="A1983" s="5">
        <f>IF($J1983="","",IF($J1983&lt;=1500,INDEX('Daily Sale entry '!$X$1:$X$1501,$J1983+1),INDEX('Daily Sale entry '!$V$1:$V$1501,$J1983-1499)))</f>
        <v/>
      </c>
      <c r="B1983">
        <f>IF($J1983="","",IF($J1983&lt;=1500,INDEX('Daily Sale entry '!$Y$1:$Y$1501,$J1983+1)&amp;"","Buyer cheque banked 买家支票存入"&amp;IF(INDEX('Daily Sale entry '!$U$1:$U$1501,$J1983-1499)="","", " - "&amp;INDEX('Daily Sale entry '!$U$1:$U$1501,$J1983-1499))))</f>
        <v/>
      </c>
      <c r="C1983">
        <f>IF($J1983="","",IF($J1983&lt;=1500,INDEX('Daily Sale entry '!$Z$1:$Z$1501,$J1983+1)&amp;"","Cheque deposit 支票存入 (buyer 买家)"))</f>
        <v/>
      </c>
      <c r="D1983">
        <f>IF($J1983="","",IF($J1983&lt;=1500,INDEX('Daily Sale entry '!$AA$1:$AA$1501,$J1983+1)&amp;"",INDEX('Daily Sale entry '!$P$1:$P$1501,$J1983-1499)&amp;""))</f>
        <v/>
      </c>
      <c r="E1983">
        <f>IF($J1983="","",IF($J1983&lt;=1500,IF(N(INDEX('Daily Sale entry '!$AB$1:$AB$1501,$J1983+1))=0,"",INDEX('Daily Sale entry '!$AB$1:$AB$1501,$J1983+1)),1))</f>
        <v/>
      </c>
      <c r="F1983" s="6">
        <f>IF($J1983="","",IF($J1983&lt;=1500,N(INDEX('Daily Sale entry '!$AC$1:$AC$1501,$J1983+1))-IF(AND('Opening Balance'!$B$15=1,INDEX('Daily Sale entry '!$Z$1:$Z$1501,$J1983+1)="Online collection 网上收款",INDEX('Daily Sale entry '!$AA$1:$AA$1501,$J1983+1)&lt;&gt;""),N(INDEX('Daily Sale entry '!$AC$1:$AC$1501,$J1983+1))-TRUNC(N(INDEX('Daily Sale entry '!$AC$1:$AC$1501,$J1983+1))),0),N(INDEX('Daily Sale entry '!$S$1:$S$1501,$J1983-1499))-'Opening Balance'!$B$15*(N(INDEX('Daily Sale entry '!$S$1:$S$1501,$J1983-1499))-TRUNC(N(INDEX('Daily Sale entry '!$S$1:$S$1501,$J1983-1499))))))</f>
        <v/>
      </c>
      <c r="G1983" s="6">
        <f>IF($J1983="","",IF($J1983&lt;=1500,N(INDEX('Daily Sale entry '!$AD$1:$AD$1501,$J1983+1)),0))</f>
        <v/>
      </c>
      <c r="H1983" s="6">
        <f>IF($J1983="","",ROUND('Opening Balance'!$B$4+SUM($F$2:F1983)-SUM($G$2:G1983),2))</f>
        <v/>
      </c>
      <c r="J1983" s="21">
        <f>IFERROR(MATCH(ROW()-1,$L$2:$L$3001,0),"")</f>
        <v/>
      </c>
      <c r="K1983" s="34">
        <f>IF(AND('Daily Sale entry '!Q483="Collection 收款",'Daily Sale entry '!R483="Cheque 支票",'Daily Sale entry '!V483&lt;&gt;""),'Daily Sale entry '!V483+ROW()/10000000,"")</f>
        <v/>
      </c>
      <c r="L1983" s="21">
        <f>IF(K1983="","",COUNTIF($K$2:$K$3001,"&lt;"&amp;K1983)+1)</f>
        <v/>
      </c>
    </row>
    <row r="1984">
      <c r="A1984" s="5">
        <f>IF($J1984="","",IF($J1984&lt;=1500,INDEX('Daily Sale entry '!$X$1:$X$1501,$J1984+1),INDEX('Daily Sale entry '!$V$1:$V$1501,$J1984-1499)))</f>
        <v/>
      </c>
      <c r="B1984">
        <f>IF($J1984="","",IF($J1984&lt;=1500,INDEX('Daily Sale entry '!$Y$1:$Y$1501,$J1984+1)&amp;"","Buyer cheque banked 买家支票存入"&amp;IF(INDEX('Daily Sale entry '!$U$1:$U$1501,$J1984-1499)="","", " - "&amp;INDEX('Daily Sale entry '!$U$1:$U$1501,$J1984-1499))))</f>
        <v/>
      </c>
      <c r="C1984">
        <f>IF($J1984="","",IF($J1984&lt;=1500,INDEX('Daily Sale entry '!$Z$1:$Z$1501,$J1984+1)&amp;"","Cheque deposit 支票存入 (buyer 买家)"))</f>
        <v/>
      </c>
      <c r="D1984">
        <f>IF($J1984="","",IF($J1984&lt;=1500,INDEX('Daily Sale entry '!$AA$1:$AA$1501,$J1984+1)&amp;"",INDEX('Daily Sale entry '!$P$1:$P$1501,$J1984-1499)&amp;""))</f>
        <v/>
      </c>
      <c r="E1984">
        <f>IF($J1984="","",IF($J1984&lt;=1500,IF(N(INDEX('Daily Sale entry '!$AB$1:$AB$1501,$J1984+1))=0,"",INDEX('Daily Sale entry '!$AB$1:$AB$1501,$J1984+1)),1))</f>
        <v/>
      </c>
      <c r="F1984" s="6">
        <f>IF($J1984="","",IF($J1984&lt;=1500,N(INDEX('Daily Sale entry '!$AC$1:$AC$1501,$J1984+1))-IF(AND('Opening Balance'!$B$15=1,INDEX('Daily Sale entry '!$Z$1:$Z$1501,$J1984+1)="Online collection 网上收款",INDEX('Daily Sale entry '!$AA$1:$AA$1501,$J1984+1)&lt;&gt;""),N(INDEX('Daily Sale entry '!$AC$1:$AC$1501,$J1984+1))-TRUNC(N(INDEX('Daily Sale entry '!$AC$1:$AC$1501,$J1984+1))),0),N(INDEX('Daily Sale entry '!$S$1:$S$1501,$J1984-1499))-'Opening Balance'!$B$15*(N(INDEX('Daily Sale entry '!$S$1:$S$1501,$J1984-1499))-TRUNC(N(INDEX('Daily Sale entry '!$S$1:$S$1501,$J1984-1499))))))</f>
        <v/>
      </c>
      <c r="G1984" s="6">
        <f>IF($J1984="","",IF($J1984&lt;=1500,N(INDEX('Daily Sale entry '!$AD$1:$AD$1501,$J1984+1)),0))</f>
        <v/>
      </c>
      <c r="H1984" s="6">
        <f>IF($J1984="","",ROUND('Opening Balance'!$B$4+SUM($F$2:F1984)-SUM($G$2:G1984),2))</f>
        <v/>
      </c>
      <c r="J1984" s="21">
        <f>IFERROR(MATCH(ROW()-1,$L$2:$L$3001,0),"")</f>
        <v/>
      </c>
      <c r="K1984" s="34">
        <f>IF(AND('Daily Sale entry '!Q484="Collection 收款",'Daily Sale entry '!R484="Cheque 支票",'Daily Sale entry '!V484&lt;&gt;""),'Daily Sale entry '!V484+ROW()/10000000,"")</f>
        <v/>
      </c>
      <c r="L1984" s="21">
        <f>IF(K1984="","",COUNTIF($K$2:$K$3001,"&lt;"&amp;K1984)+1)</f>
        <v/>
      </c>
    </row>
    <row r="1985">
      <c r="A1985" s="5">
        <f>IF($J1985="","",IF($J1985&lt;=1500,INDEX('Daily Sale entry '!$X$1:$X$1501,$J1985+1),INDEX('Daily Sale entry '!$V$1:$V$1501,$J1985-1499)))</f>
        <v/>
      </c>
      <c r="B1985">
        <f>IF($J1985="","",IF($J1985&lt;=1500,INDEX('Daily Sale entry '!$Y$1:$Y$1501,$J1985+1)&amp;"","Buyer cheque banked 买家支票存入"&amp;IF(INDEX('Daily Sale entry '!$U$1:$U$1501,$J1985-1499)="","", " - "&amp;INDEX('Daily Sale entry '!$U$1:$U$1501,$J1985-1499))))</f>
        <v/>
      </c>
      <c r="C1985">
        <f>IF($J1985="","",IF($J1985&lt;=1500,INDEX('Daily Sale entry '!$Z$1:$Z$1501,$J1985+1)&amp;"","Cheque deposit 支票存入 (buyer 买家)"))</f>
        <v/>
      </c>
      <c r="D1985">
        <f>IF($J1985="","",IF($J1985&lt;=1500,INDEX('Daily Sale entry '!$AA$1:$AA$1501,$J1985+1)&amp;"",INDEX('Daily Sale entry '!$P$1:$P$1501,$J1985-1499)&amp;""))</f>
        <v/>
      </c>
      <c r="E1985">
        <f>IF($J1985="","",IF($J1985&lt;=1500,IF(N(INDEX('Daily Sale entry '!$AB$1:$AB$1501,$J1985+1))=0,"",INDEX('Daily Sale entry '!$AB$1:$AB$1501,$J1985+1)),1))</f>
        <v/>
      </c>
      <c r="F1985" s="6">
        <f>IF($J1985="","",IF($J1985&lt;=1500,N(INDEX('Daily Sale entry '!$AC$1:$AC$1501,$J1985+1))-IF(AND('Opening Balance'!$B$15=1,INDEX('Daily Sale entry '!$Z$1:$Z$1501,$J1985+1)="Online collection 网上收款",INDEX('Daily Sale entry '!$AA$1:$AA$1501,$J1985+1)&lt;&gt;""),N(INDEX('Daily Sale entry '!$AC$1:$AC$1501,$J1985+1))-TRUNC(N(INDEX('Daily Sale entry '!$AC$1:$AC$1501,$J1985+1))),0),N(INDEX('Daily Sale entry '!$S$1:$S$1501,$J1985-1499))-'Opening Balance'!$B$15*(N(INDEX('Daily Sale entry '!$S$1:$S$1501,$J1985-1499))-TRUNC(N(INDEX('Daily Sale entry '!$S$1:$S$1501,$J1985-1499))))))</f>
        <v/>
      </c>
      <c r="G1985" s="6">
        <f>IF($J1985="","",IF($J1985&lt;=1500,N(INDEX('Daily Sale entry '!$AD$1:$AD$1501,$J1985+1)),0))</f>
        <v/>
      </c>
      <c r="H1985" s="6">
        <f>IF($J1985="","",ROUND('Opening Balance'!$B$4+SUM($F$2:F1985)-SUM($G$2:G1985),2))</f>
        <v/>
      </c>
      <c r="J1985" s="21">
        <f>IFERROR(MATCH(ROW()-1,$L$2:$L$3001,0),"")</f>
        <v/>
      </c>
      <c r="K1985" s="34">
        <f>IF(AND('Daily Sale entry '!Q485="Collection 收款",'Daily Sale entry '!R485="Cheque 支票",'Daily Sale entry '!V485&lt;&gt;""),'Daily Sale entry '!V485+ROW()/10000000,"")</f>
        <v/>
      </c>
      <c r="L1985" s="21">
        <f>IF(K1985="","",COUNTIF($K$2:$K$3001,"&lt;"&amp;K1985)+1)</f>
        <v/>
      </c>
    </row>
    <row r="1986">
      <c r="A1986" s="5">
        <f>IF($J1986="","",IF($J1986&lt;=1500,INDEX('Daily Sale entry '!$X$1:$X$1501,$J1986+1),INDEX('Daily Sale entry '!$V$1:$V$1501,$J1986-1499)))</f>
        <v/>
      </c>
      <c r="B1986">
        <f>IF($J1986="","",IF($J1986&lt;=1500,INDEX('Daily Sale entry '!$Y$1:$Y$1501,$J1986+1)&amp;"","Buyer cheque banked 买家支票存入"&amp;IF(INDEX('Daily Sale entry '!$U$1:$U$1501,$J1986-1499)="","", " - "&amp;INDEX('Daily Sale entry '!$U$1:$U$1501,$J1986-1499))))</f>
        <v/>
      </c>
      <c r="C1986">
        <f>IF($J1986="","",IF($J1986&lt;=1500,INDEX('Daily Sale entry '!$Z$1:$Z$1501,$J1986+1)&amp;"","Cheque deposit 支票存入 (buyer 买家)"))</f>
        <v/>
      </c>
      <c r="D1986">
        <f>IF($J1986="","",IF($J1986&lt;=1500,INDEX('Daily Sale entry '!$AA$1:$AA$1501,$J1986+1)&amp;"",INDEX('Daily Sale entry '!$P$1:$P$1501,$J1986-1499)&amp;""))</f>
        <v/>
      </c>
      <c r="E1986">
        <f>IF($J1986="","",IF($J1986&lt;=1500,IF(N(INDEX('Daily Sale entry '!$AB$1:$AB$1501,$J1986+1))=0,"",INDEX('Daily Sale entry '!$AB$1:$AB$1501,$J1986+1)),1))</f>
        <v/>
      </c>
      <c r="F1986" s="6">
        <f>IF($J1986="","",IF($J1986&lt;=1500,N(INDEX('Daily Sale entry '!$AC$1:$AC$1501,$J1986+1))-IF(AND('Opening Balance'!$B$15=1,INDEX('Daily Sale entry '!$Z$1:$Z$1501,$J1986+1)="Online collection 网上收款",INDEX('Daily Sale entry '!$AA$1:$AA$1501,$J1986+1)&lt;&gt;""),N(INDEX('Daily Sale entry '!$AC$1:$AC$1501,$J1986+1))-TRUNC(N(INDEX('Daily Sale entry '!$AC$1:$AC$1501,$J1986+1))),0),N(INDEX('Daily Sale entry '!$S$1:$S$1501,$J1986-1499))-'Opening Balance'!$B$15*(N(INDEX('Daily Sale entry '!$S$1:$S$1501,$J1986-1499))-TRUNC(N(INDEX('Daily Sale entry '!$S$1:$S$1501,$J1986-1499))))))</f>
        <v/>
      </c>
      <c r="G1986" s="6">
        <f>IF($J1986="","",IF($J1986&lt;=1500,N(INDEX('Daily Sale entry '!$AD$1:$AD$1501,$J1986+1)),0))</f>
        <v/>
      </c>
      <c r="H1986" s="6">
        <f>IF($J1986="","",ROUND('Opening Balance'!$B$4+SUM($F$2:F1986)-SUM($G$2:G1986),2))</f>
        <v/>
      </c>
      <c r="J1986" s="21">
        <f>IFERROR(MATCH(ROW()-1,$L$2:$L$3001,0),"")</f>
        <v/>
      </c>
      <c r="K1986" s="34">
        <f>IF(AND('Daily Sale entry '!Q486="Collection 收款",'Daily Sale entry '!R486="Cheque 支票",'Daily Sale entry '!V486&lt;&gt;""),'Daily Sale entry '!V486+ROW()/10000000,"")</f>
        <v/>
      </c>
      <c r="L1986" s="21">
        <f>IF(K1986="","",COUNTIF($K$2:$K$3001,"&lt;"&amp;K1986)+1)</f>
        <v/>
      </c>
    </row>
    <row r="1987">
      <c r="A1987" s="5">
        <f>IF($J1987="","",IF($J1987&lt;=1500,INDEX('Daily Sale entry '!$X$1:$X$1501,$J1987+1),INDEX('Daily Sale entry '!$V$1:$V$1501,$J1987-1499)))</f>
        <v/>
      </c>
      <c r="B1987">
        <f>IF($J1987="","",IF($J1987&lt;=1500,INDEX('Daily Sale entry '!$Y$1:$Y$1501,$J1987+1)&amp;"","Buyer cheque banked 买家支票存入"&amp;IF(INDEX('Daily Sale entry '!$U$1:$U$1501,$J1987-1499)="","", " - "&amp;INDEX('Daily Sale entry '!$U$1:$U$1501,$J1987-1499))))</f>
        <v/>
      </c>
      <c r="C1987">
        <f>IF($J1987="","",IF($J1987&lt;=1500,INDEX('Daily Sale entry '!$Z$1:$Z$1501,$J1987+1)&amp;"","Cheque deposit 支票存入 (buyer 买家)"))</f>
        <v/>
      </c>
      <c r="D1987">
        <f>IF($J1987="","",IF($J1987&lt;=1500,INDEX('Daily Sale entry '!$AA$1:$AA$1501,$J1987+1)&amp;"",INDEX('Daily Sale entry '!$P$1:$P$1501,$J1987-1499)&amp;""))</f>
        <v/>
      </c>
      <c r="E1987">
        <f>IF($J1987="","",IF($J1987&lt;=1500,IF(N(INDEX('Daily Sale entry '!$AB$1:$AB$1501,$J1987+1))=0,"",INDEX('Daily Sale entry '!$AB$1:$AB$1501,$J1987+1)),1))</f>
        <v/>
      </c>
      <c r="F1987" s="6">
        <f>IF($J1987="","",IF($J1987&lt;=1500,N(INDEX('Daily Sale entry '!$AC$1:$AC$1501,$J1987+1))-IF(AND('Opening Balance'!$B$15=1,INDEX('Daily Sale entry '!$Z$1:$Z$1501,$J1987+1)="Online collection 网上收款",INDEX('Daily Sale entry '!$AA$1:$AA$1501,$J1987+1)&lt;&gt;""),N(INDEX('Daily Sale entry '!$AC$1:$AC$1501,$J1987+1))-TRUNC(N(INDEX('Daily Sale entry '!$AC$1:$AC$1501,$J1987+1))),0),N(INDEX('Daily Sale entry '!$S$1:$S$1501,$J1987-1499))-'Opening Balance'!$B$15*(N(INDEX('Daily Sale entry '!$S$1:$S$1501,$J1987-1499))-TRUNC(N(INDEX('Daily Sale entry '!$S$1:$S$1501,$J1987-1499))))))</f>
        <v/>
      </c>
      <c r="G1987" s="6">
        <f>IF($J1987="","",IF($J1987&lt;=1500,N(INDEX('Daily Sale entry '!$AD$1:$AD$1501,$J1987+1)),0))</f>
        <v/>
      </c>
      <c r="H1987" s="6">
        <f>IF($J1987="","",ROUND('Opening Balance'!$B$4+SUM($F$2:F1987)-SUM($G$2:G1987),2))</f>
        <v/>
      </c>
      <c r="J1987" s="21">
        <f>IFERROR(MATCH(ROW()-1,$L$2:$L$3001,0),"")</f>
        <v/>
      </c>
      <c r="K1987" s="34">
        <f>IF(AND('Daily Sale entry '!Q487="Collection 收款",'Daily Sale entry '!R487="Cheque 支票",'Daily Sale entry '!V487&lt;&gt;""),'Daily Sale entry '!V487+ROW()/10000000,"")</f>
        <v/>
      </c>
      <c r="L1987" s="21">
        <f>IF(K1987="","",COUNTIF($K$2:$K$3001,"&lt;"&amp;K1987)+1)</f>
        <v/>
      </c>
    </row>
    <row r="1988">
      <c r="A1988" s="5">
        <f>IF($J1988="","",IF($J1988&lt;=1500,INDEX('Daily Sale entry '!$X$1:$X$1501,$J1988+1),INDEX('Daily Sale entry '!$V$1:$V$1501,$J1988-1499)))</f>
        <v/>
      </c>
      <c r="B1988">
        <f>IF($J1988="","",IF($J1988&lt;=1500,INDEX('Daily Sale entry '!$Y$1:$Y$1501,$J1988+1)&amp;"","Buyer cheque banked 买家支票存入"&amp;IF(INDEX('Daily Sale entry '!$U$1:$U$1501,$J1988-1499)="","", " - "&amp;INDEX('Daily Sale entry '!$U$1:$U$1501,$J1988-1499))))</f>
        <v/>
      </c>
      <c r="C1988">
        <f>IF($J1988="","",IF($J1988&lt;=1500,INDEX('Daily Sale entry '!$Z$1:$Z$1501,$J1988+1)&amp;"","Cheque deposit 支票存入 (buyer 买家)"))</f>
        <v/>
      </c>
      <c r="D1988">
        <f>IF($J1988="","",IF($J1988&lt;=1500,INDEX('Daily Sale entry '!$AA$1:$AA$1501,$J1988+1)&amp;"",INDEX('Daily Sale entry '!$P$1:$P$1501,$J1988-1499)&amp;""))</f>
        <v/>
      </c>
      <c r="E1988">
        <f>IF($J1988="","",IF($J1988&lt;=1500,IF(N(INDEX('Daily Sale entry '!$AB$1:$AB$1501,$J1988+1))=0,"",INDEX('Daily Sale entry '!$AB$1:$AB$1501,$J1988+1)),1))</f>
        <v/>
      </c>
      <c r="F1988" s="6">
        <f>IF($J1988="","",IF($J1988&lt;=1500,N(INDEX('Daily Sale entry '!$AC$1:$AC$1501,$J1988+1))-IF(AND('Opening Balance'!$B$15=1,INDEX('Daily Sale entry '!$Z$1:$Z$1501,$J1988+1)="Online collection 网上收款",INDEX('Daily Sale entry '!$AA$1:$AA$1501,$J1988+1)&lt;&gt;""),N(INDEX('Daily Sale entry '!$AC$1:$AC$1501,$J1988+1))-TRUNC(N(INDEX('Daily Sale entry '!$AC$1:$AC$1501,$J1988+1))),0),N(INDEX('Daily Sale entry '!$S$1:$S$1501,$J1988-1499))-'Opening Balance'!$B$15*(N(INDEX('Daily Sale entry '!$S$1:$S$1501,$J1988-1499))-TRUNC(N(INDEX('Daily Sale entry '!$S$1:$S$1501,$J1988-1499))))))</f>
        <v/>
      </c>
      <c r="G1988" s="6">
        <f>IF($J1988="","",IF($J1988&lt;=1500,N(INDEX('Daily Sale entry '!$AD$1:$AD$1501,$J1988+1)),0))</f>
        <v/>
      </c>
      <c r="H1988" s="6">
        <f>IF($J1988="","",ROUND('Opening Balance'!$B$4+SUM($F$2:F1988)-SUM($G$2:G1988),2))</f>
        <v/>
      </c>
      <c r="J1988" s="21">
        <f>IFERROR(MATCH(ROW()-1,$L$2:$L$3001,0),"")</f>
        <v/>
      </c>
      <c r="K1988" s="34">
        <f>IF(AND('Daily Sale entry '!Q488="Collection 收款",'Daily Sale entry '!R488="Cheque 支票",'Daily Sale entry '!V488&lt;&gt;""),'Daily Sale entry '!V488+ROW()/10000000,"")</f>
        <v/>
      </c>
      <c r="L1988" s="21">
        <f>IF(K1988="","",COUNTIF($K$2:$K$3001,"&lt;"&amp;K1988)+1)</f>
        <v/>
      </c>
    </row>
    <row r="1989">
      <c r="A1989" s="5">
        <f>IF($J1989="","",IF($J1989&lt;=1500,INDEX('Daily Sale entry '!$X$1:$X$1501,$J1989+1),INDEX('Daily Sale entry '!$V$1:$V$1501,$J1989-1499)))</f>
        <v/>
      </c>
      <c r="B1989">
        <f>IF($J1989="","",IF($J1989&lt;=1500,INDEX('Daily Sale entry '!$Y$1:$Y$1501,$J1989+1)&amp;"","Buyer cheque banked 买家支票存入"&amp;IF(INDEX('Daily Sale entry '!$U$1:$U$1501,$J1989-1499)="","", " - "&amp;INDEX('Daily Sale entry '!$U$1:$U$1501,$J1989-1499))))</f>
        <v/>
      </c>
      <c r="C1989">
        <f>IF($J1989="","",IF($J1989&lt;=1500,INDEX('Daily Sale entry '!$Z$1:$Z$1501,$J1989+1)&amp;"","Cheque deposit 支票存入 (buyer 买家)"))</f>
        <v/>
      </c>
      <c r="D1989">
        <f>IF($J1989="","",IF($J1989&lt;=1500,INDEX('Daily Sale entry '!$AA$1:$AA$1501,$J1989+1)&amp;"",INDEX('Daily Sale entry '!$P$1:$P$1501,$J1989-1499)&amp;""))</f>
        <v/>
      </c>
      <c r="E1989">
        <f>IF($J1989="","",IF($J1989&lt;=1500,IF(N(INDEX('Daily Sale entry '!$AB$1:$AB$1501,$J1989+1))=0,"",INDEX('Daily Sale entry '!$AB$1:$AB$1501,$J1989+1)),1))</f>
        <v/>
      </c>
      <c r="F1989" s="6">
        <f>IF($J1989="","",IF($J1989&lt;=1500,N(INDEX('Daily Sale entry '!$AC$1:$AC$1501,$J1989+1))-IF(AND('Opening Balance'!$B$15=1,INDEX('Daily Sale entry '!$Z$1:$Z$1501,$J1989+1)="Online collection 网上收款",INDEX('Daily Sale entry '!$AA$1:$AA$1501,$J1989+1)&lt;&gt;""),N(INDEX('Daily Sale entry '!$AC$1:$AC$1501,$J1989+1))-TRUNC(N(INDEX('Daily Sale entry '!$AC$1:$AC$1501,$J1989+1))),0),N(INDEX('Daily Sale entry '!$S$1:$S$1501,$J1989-1499))-'Opening Balance'!$B$15*(N(INDEX('Daily Sale entry '!$S$1:$S$1501,$J1989-1499))-TRUNC(N(INDEX('Daily Sale entry '!$S$1:$S$1501,$J1989-1499))))))</f>
        <v/>
      </c>
      <c r="G1989" s="6">
        <f>IF($J1989="","",IF($J1989&lt;=1500,N(INDEX('Daily Sale entry '!$AD$1:$AD$1501,$J1989+1)),0))</f>
        <v/>
      </c>
      <c r="H1989" s="6">
        <f>IF($J1989="","",ROUND('Opening Balance'!$B$4+SUM($F$2:F1989)-SUM($G$2:G1989),2))</f>
        <v/>
      </c>
      <c r="J1989" s="21">
        <f>IFERROR(MATCH(ROW()-1,$L$2:$L$3001,0),"")</f>
        <v/>
      </c>
      <c r="K1989" s="34">
        <f>IF(AND('Daily Sale entry '!Q489="Collection 收款",'Daily Sale entry '!R489="Cheque 支票",'Daily Sale entry '!V489&lt;&gt;""),'Daily Sale entry '!V489+ROW()/10000000,"")</f>
        <v/>
      </c>
      <c r="L1989" s="21">
        <f>IF(K1989="","",COUNTIF($K$2:$K$3001,"&lt;"&amp;K1989)+1)</f>
        <v/>
      </c>
    </row>
    <row r="1990">
      <c r="A1990" s="5">
        <f>IF($J1990="","",IF($J1990&lt;=1500,INDEX('Daily Sale entry '!$X$1:$X$1501,$J1990+1),INDEX('Daily Sale entry '!$V$1:$V$1501,$J1990-1499)))</f>
        <v/>
      </c>
      <c r="B1990">
        <f>IF($J1990="","",IF($J1990&lt;=1500,INDEX('Daily Sale entry '!$Y$1:$Y$1501,$J1990+1)&amp;"","Buyer cheque banked 买家支票存入"&amp;IF(INDEX('Daily Sale entry '!$U$1:$U$1501,$J1990-1499)="","", " - "&amp;INDEX('Daily Sale entry '!$U$1:$U$1501,$J1990-1499))))</f>
        <v/>
      </c>
      <c r="C1990">
        <f>IF($J1990="","",IF($J1990&lt;=1500,INDEX('Daily Sale entry '!$Z$1:$Z$1501,$J1990+1)&amp;"","Cheque deposit 支票存入 (buyer 买家)"))</f>
        <v/>
      </c>
      <c r="D1990">
        <f>IF($J1990="","",IF($J1990&lt;=1500,INDEX('Daily Sale entry '!$AA$1:$AA$1501,$J1990+1)&amp;"",INDEX('Daily Sale entry '!$P$1:$P$1501,$J1990-1499)&amp;""))</f>
        <v/>
      </c>
      <c r="E1990">
        <f>IF($J1990="","",IF($J1990&lt;=1500,IF(N(INDEX('Daily Sale entry '!$AB$1:$AB$1501,$J1990+1))=0,"",INDEX('Daily Sale entry '!$AB$1:$AB$1501,$J1990+1)),1))</f>
        <v/>
      </c>
      <c r="F1990" s="6">
        <f>IF($J1990="","",IF($J1990&lt;=1500,N(INDEX('Daily Sale entry '!$AC$1:$AC$1501,$J1990+1))-IF(AND('Opening Balance'!$B$15=1,INDEX('Daily Sale entry '!$Z$1:$Z$1501,$J1990+1)="Online collection 网上收款",INDEX('Daily Sale entry '!$AA$1:$AA$1501,$J1990+1)&lt;&gt;""),N(INDEX('Daily Sale entry '!$AC$1:$AC$1501,$J1990+1))-TRUNC(N(INDEX('Daily Sale entry '!$AC$1:$AC$1501,$J1990+1))),0),N(INDEX('Daily Sale entry '!$S$1:$S$1501,$J1990-1499))-'Opening Balance'!$B$15*(N(INDEX('Daily Sale entry '!$S$1:$S$1501,$J1990-1499))-TRUNC(N(INDEX('Daily Sale entry '!$S$1:$S$1501,$J1990-1499))))))</f>
        <v/>
      </c>
      <c r="G1990" s="6">
        <f>IF($J1990="","",IF($J1990&lt;=1500,N(INDEX('Daily Sale entry '!$AD$1:$AD$1501,$J1990+1)),0))</f>
        <v/>
      </c>
      <c r="H1990" s="6">
        <f>IF($J1990="","",ROUND('Opening Balance'!$B$4+SUM($F$2:F1990)-SUM($G$2:G1990),2))</f>
        <v/>
      </c>
      <c r="J1990" s="21">
        <f>IFERROR(MATCH(ROW()-1,$L$2:$L$3001,0),"")</f>
        <v/>
      </c>
      <c r="K1990" s="34">
        <f>IF(AND('Daily Sale entry '!Q490="Collection 收款",'Daily Sale entry '!R490="Cheque 支票",'Daily Sale entry '!V490&lt;&gt;""),'Daily Sale entry '!V490+ROW()/10000000,"")</f>
        <v/>
      </c>
      <c r="L1990" s="21">
        <f>IF(K1990="","",COUNTIF($K$2:$K$3001,"&lt;"&amp;K1990)+1)</f>
        <v/>
      </c>
    </row>
    <row r="1991">
      <c r="A1991" s="5">
        <f>IF($J1991="","",IF($J1991&lt;=1500,INDEX('Daily Sale entry '!$X$1:$X$1501,$J1991+1),INDEX('Daily Sale entry '!$V$1:$V$1501,$J1991-1499)))</f>
        <v/>
      </c>
      <c r="B1991">
        <f>IF($J1991="","",IF($J1991&lt;=1500,INDEX('Daily Sale entry '!$Y$1:$Y$1501,$J1991+1)&amp;"","Buyer cheque banked 买家支票存入"&amp;IF(INDEX('Daily Sale entry '!$U$1:$U$1501,$J1991-1499)="","", " - "&amp;INDEX('Daily Sale entry '!$U$1:$U$1501,$J1991-1499))))</f>
        <v/>
      </c>
      <c r="C1991">
        <f>IF($J1991="","",IF($J1991&lt;=1500,INDEX('Daily Sale entry '!$Z$1:$Z$1501,$J1991+1)&amp;"","Cheque deposit 支票存入 (buyer 买家)"))</f>
        <v/>
      </c>
      <c r="D1991">
        <f>IF($J1991="","",IF($J1991&lt;=1500,INDEX('Daily Sale entry '!$AA$1:$AA$1501,$J1991+1)&amp;"",INDEX('Daily Sale entry '!$P$1:$P$1501,$J1991-1499)&amp;""))</f>
        <v/>
      </c>
      <c r="E1991">
        <f>IF($J1991="","",IF($J1991&lt;=1500,IF(N(INDEX('Daily Sale entry '!$AB$1:$AB$1501,$J1991+1))=0,"",INDEX('Daily Sale entry '!$AB$1:$AB$1501,$J1991+1)),1))</f>
        <v/>
      </c>
      <c r="F1991" s="6">
        <f>IF($J1991="","",IF($J1991&lt;=1500,N(INDEX('Daily Sale entry '!$AC$1:$AC$1501,$J1991+1))-IF(AND('Opening Balance'!$B$15=1,INDEX('Daily Sale entry '!$Z$1:$Z$1501,$J1991+1)="Online collection 网上收款",INDEX('Daily Sale entry '!$AA$1:$AA$1501,$J1991+1)&lt;&gt;""),N(INDEX('Daily Sale entry '!$AC$1:$AC$1501,$J1991+1))-TRUNC(N(INDEX('Daily Sale entry '!$AC$1:$AC$1501,$J1991+1))),0),N(INDEX('Daily Sale entry '!$S$1:$S$1501,$J1991-1499))-'Opening Balance'!$B$15*(N(INDEX('Daily Sale entry '!$S$1:$S$1501,$J1991-1499))-TRUNC(N(INDEX('Daily Sale entry '!$S$1:$S$1501,$J1991-1499))))))</f>
        <v/>
      </c>
      <c r="G1991" s="6">
        <f>IF($J1991="","",IF($J1991&lt;=1500,N(INDEX('Daily Sale entry '!$AD$1:$AD$1501,$J1991+1)),0))</f>
        <v/>
      </c>
      <c r="H1991" s="6">
        <f>IF($J1991="","",ROUND('Opening Balance'!$B$4+SUM($F$2:F1991)-SUM($G$2:G1991),2))</f>
        <v/>
      </c>
      <c r="J1991" s="21">
        <f>IFERROR(MATCH(ROW()-1,$L$2:$L$3001,0),"")</f>
        <v/>
      </c>
      <c r="K1991" s="34">
        <f>IF(AND('Daily Sale entry '!Q491="Collection 收款",'Daily Sale entry '!R491="Cheque 支票",'Daily Sale entry '!V491&lt;&gt;""),'Daily Sale entry '!V491+ROW()/10000000,"")</f>
        <v/>
      </c>
      <c r="L1991" s="21">
        <f>IF(K1991="","",COUNTIF($K$2:$K$3001,"&lt;"&amp;K1991)+1)</f>
        <v/>
      </c>
    </row>
    <row r="1992">
      <c r="A1992" s="5">
        <f>IF($J1992="","",IF($J1992&lt;=1500,INDEX('Daily Sale entry '!$X$1:$X$1501,$J1992+1),INDEX('Daily Sale entry '!$V$1:$V$1501,$J1992-1499)))</f>
        <v/>
      </c>
      <c r="B1992">
        <f>IF($J1992="","",IF($J1992&lt;=1500,INDEX('Daily Sale entry '!$Y$1:$Y$1501,$J1992+1)&amp;"","Buyer cheque banked 买家支票存入"&amp;IF(INDEX('Daily Sale entry '!$U$1:$U$1501,$J1992-1499)="","", " - "&amp;INDEX('Daily Sale entry '!$U$1:$U$1501,$J1992-1499))))</f>
        <v/>
      </c>
      <c r="C1992">
        <f>IF($J1992="","",IF($J1992&lt;=1500,INDEX('Daily Sale entry '!$Z$1:$Z$1501,$J1992+1)&amp;"","Cheque deposit 支票存入 (buyer 买家)"))</f>
        <v/>
      </c>
      <c r="D1992">
        <f>IF($J1992="","",IF($J1992&lt;=1500,INDEX('Daily Sale entry '!$AA$1:$AA$1501,$J1992+1)&amp;"",INDEX('Daily Sale entry '!$P$1:$P$1501,$J1992-1499)&amp;""))</f>
        <v/>
      </c>
      <c r="E1992">
        <f>IF($J1992="","",IF($J1992&lt;=1500,IF(N(INDEX('Daily Sale entry '!$AB$1:$AB$1501,$J1992+1))=0,"",INDEX('Daily Sale entry '!$AB$1:$AB$1501,$J1992+1)),1))</f>
        <v/>
      </c>
      <c r="F1992" s="6">
        <f>IF($J1992="","",IF($J1992&lt;=1500,N(INDEX('Daily Sale entry '!$AC$1:$AC$1501,$J1992+1))-IF(AND('Opening Balance'!$B$15=1,INDEX('Daily Sale entry '!$Z$1:$Z$1501,$J1992+1)="Online collection 网上收款",INDEX('Daily Sale entry '!$AA$1:$AA$1501,$J1992+1)&lt;&gt;""),N(INDEX('Daily Sale entry '!$AC$1:$AC$1501,$J1992+1))-TRUNC(N(INDEX('Daily Sale entry '!$AC$1:$AC$1501,$J1992+1))),0),N(INDEX('Daily Sale entry '!$S$1:$S$1501,$J1992-1499))-'Opening Balance'!$B$15*(N(INDEX('Daily Sale entry '!$S$1:$S$1501,$J1992-1499))-TRUNC(N(INDEX('Daily Sale entry '!$S$1:$S$1501,$J1992-1499))))))</f>
        <v/>
      </c>
      <c r="G1992" s="6">
        <f>IF($J1992="","",IF($J1992&lt;=1500,N(INDEX('Daily Sale entry '!$AD$1:$AD$1501,$J1992+1)),0))</f>
        <v/>
      </c>
      <c r="H1992" s="6">
        <f>IF($J1992="","",ROUND('Opening Balance'!$B$4+SUM($F$2:F1992)-SUM($G$2:G1992),2))</f>
        <v/>
      </c>
      <c r="J1992" s="21">
        <f>IFERROR(MATCH(ROW()-1,$L$2:$L$3001,0),"")</f>
        <v/>
      </c>
      <c r="K1992" s="34">
        <f>IF(AND('Daily Sale entry '!Q492="Collection 收款",'Daily Sale entry '!R492="Cheque 支票",'Daily Sale entry '!V492&lt;&gt;""),'Daily Sale entry '!V492+ROW()/10000000,"")</f>
        <v/>
      </c>
      <c r="L1992" s="21">
        <f>IF(K1992="","",COUNTIF($K$2:$K$3001,"&lt;"&amp;K1992)+1)</f>
        <v/>
      </c>
    </row>
    <row r="1993">
      <c r="A1993" s="5">
        <f>IF($J1993="","",IF($J1993&lt;=1500,INDEX('Daily Sale entry '!$X$1:$X$1501,$J1993+1),INDEX('Daily Sale entry '!$V$1:$V$1501,$J1993-1499)))</f>
        <v/>
      </c>
      <c r="B1993">
        <f>IF($J1993="","",IF($J1993&lt;=1500,INDEX('Daily Sale entry '!$Y$1:$Y$1501,$J1993+1)&amp;"","Buyer cheque banked 买家支票存入"&amp;IF(INDEX('Daily Sale entry '!$U$1:$U$1501,$J1993-1499)="","", " - "&amp;INDEX('Daily Sale entry '!$U$1:$U$1501,$J1993-1499))))</f>
        <v/>
      </c>
      <c r="C1993">
        <f>IF($J1993="","",IF($J1993&lt;=1500,INDEX('Daily Sale entry '!$Z$1:$Z$1501,$J1993+1)&amp;"","Cheque deposit 支票存入 (buyer 买家)"))</f>
        <v/>
      </c>
      <c r="D1993">
        <f>IF($J1993="","",IF($J1993&lt;=1500,INDEX('Daily Sale entry '!$AA$1:$AA$1501,$J1993+1)&amp;"",INDEX('Daily Sale entry '!$P$1:$P$1501,$J1993-1499)&amp;""))</f>
        <v/>
      </c>
      <c r="E1993">
        <f>IF($J1993="","",IF($J1993&lt;=1500,IF(N(INDEX('Daily Sale entry '!$AB$1:$AB$1501,$J1993+1))=0,"",INDEX('Daily Sale entry '!$AB$1:$AB$1501,$J1993+1)),1))</f>
        <v/>
      </c>
      <c r="F1993" s="6">
        <f>IF($J1993="","",IF($J1993&lt;=1500,N(INDEX('Daily Sale entry '!$AC$1:$AC$1501,$J1993+1))-IF(AND('Opening Balance'!$B$15=1,INDEX('Daily Sale entry '!$Z$1:$Z$1501,$J1993+1)="Online collection 网上收款",INDEX('Daily Sale entry '!$AA$1:$AA$1501,$J1993+1)&lt;&gt;""),N(INDEX('Daily Sale entry '!$AC$1:$AC$1501,$J1993+1))-TRUNC(N(INDEX('Daily Sale entry '!$AC$1:$AC$1501,$J1993+1))),0),N(INDEX('Daily Sale entry '!$S$1:$S$1501,$J1993-1499))-'Opening Balance'!$B$15*(N(INDEX('Daily Sale entry '!$S$1:$S$1501,$J1993-1499))-TRUNC(N(INDEX('Daily Sale entry '!$S$1:$S$1501,$J1993-1499))))))</f>
        <v/>
      </c>
      <c r="G1993" s="6">
        <f>IF($J1993="","",IF($J1993&lt;=1500,N(INDEX('Daily Sale entry '!$AD$1:$AD$1501,$J1993+1)),0))</f>
        <v/>
      </c>
      <c r="H1993" s="6">
        <f>IF($J1993="","",ROUND('Opening Balance'!$B$4+SUM($F$2:F1993)-SUM($G$2:G1993),2))</f>
        <v/>
      </c>
      <c r="J1993" s="21">
        <f>IFERROR(MATCH(ROW()-1,$L$2:$L$3001,0),"")</f>
        <v/>
      </c>
      <c r="K1993" s="34">
        <f>IF(AND('Daily Sale entry '!Q493="Collection 收款",'Daily Sale entry '!R493="Cheque 支票",'Daily Sale entry '!V493&lt;&gt;""),'Daily Sale entry '!V493+ROW()/10000000,"")</f>
        <v/>
      </c>
      <c r="L1993" s="21">
        <f>IF(K1993="","",COUNTIF($K$2:$K$3001,"&lt;"&amp;K1993)+1)</f>
        <v/>
      </c>
    </row>
    <row r="1994">
      <c r="A1994" s="5">
        <f>IF($J1994="","",IF($J1994&lt;=1500,INDEX('Daily Sale entry '!$X$1:$X$1501,$J1994+1),INDEX('Daily Sale entry '!$V$1:$V$1501,$J1994-1499)))</f>
        <v/>
      </c>
      <c r="B1994">
        <f>IF($J1994="","",IF($J1994&lt;=1500,INDEX('Daily Sale entry '!$Y$1:$Y$1501,$J1994+1)&amp;"","Buyer cheque banked 买家支票存入"&amp;IF(INDEX('Daily Sale entry '!$U$1:$U$1501,$J1994-1499)="","", " - "&amp;INDEX('Daily Sale entry '!$U$1:$U$1501,$J1994-1499))))</f>
        <v/>
      </c>
      <c r="C1994">
        <f>IF($J1994="","",IF($J1994&lt;=1500,INDEX('Daily Sale entry '!$Z$1:$Z$1501,$J1994+1)&amp;"","Cheque deposit 支票存入 (buyer 买家)"))</f>
        <v/>
      </c>
      <c r="D1994">
        <f>IF($J1994="","",IF($J1994&lt;=1500,INDEX('Daily Sale entry '!$AA$1:$AA$1501,$J1994+1)&amp;"",INDEX('Daily Sale entry '!$P$1:$P$1501,$J1994-1499)&amp;""))</f>
        <v/>
      </c>
      <c r="E1994">
        <f>IF($J1994="","",IF($J1994&lt;=1500,IF(N(INDEX('Daily Sale entry '!$AB$1:$AB$1501,$J1994+1))=0,"",INDEX('Daily Sale entry '!$AB$1:$AB$1501,$J1994+1)),1))</f>
        <v/>
      </c>
      <c r="F1994" s="6">
        <f>IF($J1994="","",IF($J1994&lt;=1500,N(INDEX('Daily Sale entry '!$AC$1:$AC$1501,$J1994+1))-IF(AND('Opening Balance'!$B$15=1,INDEX('Daily Sale entry '!$Z$1:$Z$1501,$J1994+1)="Online collection 网上收款",INDEX('Daily Sale entry '!$AA$1:$AA$1501,$J1994+1)&lt;&gt;""),N(INDEX('Daily Sale entry '!$AC$1:$AC$1501,$J1994+1))-TRUNC(N(INDEX('Daily Sale entry '!$AC$1:$AC$1501,$J1994+1))),0),N(INDEX('Daily Sale entry '!$S$1:$S$1501,$J1994-1499))-'Opening Balance'!$B$15*(N(INDEX('Daily Sale entry '!$S$1:$S$1501,$J1994-1499))-TRUNC(N(INDEX('Daily Sale entry '!$S$1:$S$1501,$J1994-1499))))))</f>
        <v/>
      </c>
      <c r="G1994" s="6">
        <f>IF($J1994="","",IF($J1994&lt;=1500,N(INDEX('Daily Sale entry '!$AD$1:$AD$1501,$J1994+1)),0))</f>
        <v/>
      </c>
      <c r="H1994" s="6">
        <f>IF($J1994="","",ROUND('Opening Balance'!$B$4+SUM($F$2:F1994)-SUM($G$2:G1994),2))</f>
        <v/>
      </c>
      <c r="J1994" s="21">
        <f>IFERROR(MATCH(ROW()-1,$L$2:$L$3001,0),"")</f>
        <v/>
      </c>
      <c r="K1994" s="34">
        <f>IF(AND('Daily Sale entry '!Q494="Collection 收款",'Daily Sale entry '!R494="Cheque 支票",'Daily Sale entry '!V494&lt;&gt;""),'Daily Sale entry '!V494+ROW()/10000000,"")</f>
        <v/>
      </c>
      <c r="L1994" s="21">
        <f>IF(K1994="","",COUNTIF($K$2:$K$3001,"&lt;"&amp;K1994)+1)</f>
        <v/>
      </c>
    </row>
    <row r="1995">
      <c r="A1995" s="5">
        <f>IF($J1995="","",IF($J1995&lt;=1500,INDEX('Daily Sale entry '!$X$1:$X$1501,$J1995+1),INDEX('Daily Sale entry '!$V$1:$V$1501,$J1995-1499)))</f>
        <v/>
      </c>
      <c r="B1995">
        <f>IF($J1995="","",IF($J1995&lt;=1500,INDEX('Daily Sale entry '!$Y$1:$Y$1501,$J1995+1)&amp;"","Buyer cheque banked 买家支票存入"&amp;IF(INDEX('Daily Sale entry '!$U$1:$U$1501,$J1995-1499)="","", " - "&amp;INDEX('Daily Sale entry '!$U$1:$U$1501,$J1995-1499))))</f>
        <v/>
      </c>
      <c r="C1995">
        <f>IF($J1995="","",IF($J1995&lt;=1500,INDEX('Daily Sale entry '!$Z$1:$Z$1501,$J1995+1)&amp;"","Cheque deposit 支票存入 (buyer 买家)"))</f>
        <v/>
      </c>
      <c r="D1995">
        <f>IF($J1995="","",IF($J1995&lt;=1500,INDEX('Daily Sale entry '!$AA$1:$AA$1501,$J1995+1)&amp;"",INDEX('Daily Sale entry '!$P$1:$P$1501,$J1995-1499)&amp;""))</f>
        <v/>
      </c>
      <c r="E1995">
        <f>IF($J1995="","",IF($J1995&lt;=1500,IF(N(INDEX('Daily Sale entry '!$AB$1:$AB$1501,$J1995+1))=0,"",INDEX('Daily Sale entry '!$AB$1:$AB$1501,$J1995+1)),1))</f>
        <v/>
      </c>
      <c r="F1995" s="6">
        <f>IF($J1995="","",IF($J1995&lt;=1500,N(INDEX('Daily Sale entry '!$AC$1:$AC$1501,$J1995+1))-IF(AND('Opening Balance'!$B$15=1,INDEX('Daily Sale entry '!$Z$1:$Z$1501,$J1995+1)="Online collection 网上收款",INDEX('Daily Sale entry '!$AA$1:$AA$1501,$J1995+1)&lt;&gt;""),N(INDEX('Daily Sale entry '!$AC$1:$AC$1501,$J1995+1))-TRUNC(N(INDEX('Daily Sale entry '!$AC$1:$AC$1501,$J1995+1))),0),N(INDEX('Daily Sale entry '!$S$1:$S$1501,$J1995-1499))-'Opening Balance'!$B$15*(N(INDEX('Daily Sale entry '!$S$1:$S$1501,$J1995-1499))-TRUNC(N(INDEX('Daily Sale entry '!$S$1:$S$1501,$J1995-1499))))))</f>
        <v/>
      </c>
      <c r="G1995" s="6">
        <f>IF($J1995="","",IF($J1995&lt;=1500,N(INDEX('Daily Sale entry '!$AD$1:$AD$1501,$J1995+1)),0))</f>
        <v/>
      </c>
      <c r="H1995" s="6">
        <f>IF($J1995="","",ROUND('Opening Balance'!$B$4+SUM($F$2:F1995)-SUM($G$2:G1995),2))</f>
        <v/>
      </c>
      <c r="J1995" s="21">
        <f>IFERROR(MATCH(ROW()-1,$L$2:$L$3001,0),"")</f>
        <v/>
      </c>
      <c r="K1995" s="34">
        <f>IF(AND('Daily Sale entry '!Q495="Collection 收款",'Daily Sale entry '!R495="Cheque 支票",'Daily Sale entry '!V495&lt;&gt;""),'Daily Sale entry '!V495+ROW()/10000000,"")</f>
        <v/>
      </c>
      <c r="L1995" s="21">
        <f>IF(K1995="","",COUNTIF($K$2:$K$3001,"&lt;"&amp;K1995)+1)</f>
        <v/>
      </c>
    </row>
    <row r="1996">
      <c r="A1996" s="5">
        <f>IF($J1996="","",IF($J1996&lt;=1500,INDEX('Daily Sale entry '!$X$1:$X$1501,$J1996+1),INDEX('Daily Sale entry '!$V$1:$V$1501,$J1996-1499)))</f>
        <v/>
      </c>
      <c r="B1996">
        <f>IF($J1996="","",IF($J1996&lt;=1500,INDEX('Daily Sale entry '!$Y$1:$Y$1501,$J1996+1)&amp;"","Buyer cheque banked 买家支票存入"&amp;IF(INDEX('Daily Sale entry '!$U$1:$U$1501,$J1996-1499)="","", " - "&amp;INDEX('Daily Sale entry '!$U$1:$U$1501,$J1996-1499))))</f>
        <v/>
      </c>
      <c r="C1996">
        <f>IF($J1996="","",IF($J1996&lt;=1500,INDEX('Daily Sale entry '!$Z$1:$Z$1501,$J1996+1)&amp;"","Cheque deposit 支票存入 (buyer 买家)"))</f>
        <v/>
      </c>
      <c r="D1996">
        <f>IF($J1996="","",IF($J1996&lt;=1500,INDEX('Daily Sale entry '!$AA$1:$AA$1501,$J1996+1)&amp;"",INDEX('Daily Sale entry '!$P$1:$P$1501,$J1996-1499)&amp;""))</f>
        <v/>
      </c>
      <c r="E1996">
        <f>IF($J1996="","",IF($J1996&lt;=1500,IF(N(INDEX('Daily Sale entry '!$AB$1:$AB$1501,$J1996+1))=0,"",INDEX('Daily Sale entry '!$AB$1:$AB$1501,$J1996+1)),1))</f>
        <v/>
      </c>
      <c r="F1996" s="6">
        <f>IF($J1996="","",IF($J1996&lt;=1500,N(INDEX('Daily Sale entry '!$AC$1:$AC$1501,$J1996+1))-IF(AND('Opening Balance'!$B$15=1,INDEX('Daily Sale entry '!$Z$1:$Z$1501,$J1996+1)="Online collection 网上收款",INDEX('Daily Sale entry '!$AA$1:$AA$1501,$J1996+1)&lt;&gt;""),N(INDEX('Daily Sale entry '!$AC$1:$AC$1501,$J1996+1))-TRUNC(N(INDEX('Daily Sale entry '!$AC$1:$AC$1501,$J1996+1))),0),N(INDEX('Daily Sale entry '!$S$1:$S$1501,$J1996-1499))-'Opening Balance'!$B$15*(N(INDEX('Daily Sale entry '!$S$1:$S$1501,$J1996-1499))-TRUNC(N(INDEX('Daily Sale entry '!$S$1:$S$1501,$J1996-1499))))))</f>
        <v/>
      </c>
      <c r="G1996" s="6">
        <f>IF($J1996="","",IF($J1996&lt;=1500,N(INDEX('Daily Sale entry '!$AD$1:$AD$1501,$J1996+1)),0))</f>
        <v/>
      </c>
      <c r="H1996" s="6">
        <f>IF($J1996="","",ROUND('Opening Balance'!$B$4+SUM($F$2:F1996)-SUM($G$2:G1996),2))</f>
        <v/>
      </c>
      <c r="J1996" s="21">
        <f>IFERROR(MATCH(ROW()-1,$L$2:$L$3001,0),"")</f>
        <v/>
      </c>
      <c r="K1996" s="34">
        <f>IF(AND('Daily Sale entry '!Q496="Collection 收款",'Daily Sale entry '!R496="Cheque 支票",'Daily Sale entry '!V496&lt;&gt;""),'Daily Sale entry '!V496+ROW()/10000000,"")</f>
        <v/>
      </c>
      <c r="L1996" s="21">
        <f>IF(K1996="","",COUNTIF($K$2:$K$3001,"&lt;"&amp;K1996)+1)</f>
        <v/>
      </c>
    </row>
    <row r="1997">
      <c r="A1997" s="5">
        <f>IF($J1997="","",IF($J1997&lt;=1500,INDEX('Daily Sale entry '!$X$1:$X$1501,$J1997+1),INDEX('Daily Sale entry '!$V$1:$V$1501,$J1997-1499)))</f>
        <v/>
      </c>
      <c r="B1997">
        <f>IF($J1997="","",IF($J1997&lt;=1500,INDEX('Daily Sale entry '!$Y$1:$Y$1501,$J1997+1)&amp;"","Buyer cheque banked 买家支票存入"&amp;IF(INDEX('Daily Sale entry '!$U$1:$U$1501,$J1997-1499)="","", " - "&amp;INDEX('Daily Sale entry '!$U$1:$U$1501,$J1997-1499))))</f>
        <v/>
      </c>
      <c r="C1997">
        <f>IF($J1997="","",IF($J1997&lt;=1500,INDEX('Daily Sale entry '!$Z$1:$Z$1501,$J1997+1)&amp;"","Cheque deposit 支票存入 (buyer 买家)"))</f>
        <v/>
      </c>
      <c r="D1997">
        <f>IF($J1997="","",IF($J1997&lt;=1500,INDEX('Daily Sale entry '!$AA$1:$AA$1501,$J1997+1)&amp;"",INDEX('Daily Sale entry '!$P$1:$P$1501,$J1997-1499)&amp;""))</f>
        <v/>
      </c>
      <c r="E1997">
        <f>IF($J1997="","",IF($J1997&lt;=1500,IF(N(INDEX('Daily Sale entry '!$AB$1:$AB$1501,$J1997+1))=0,"",INDEX('Daily Sale entry '!$AB$1:$AB$1501,$J1997+1)),1))</f>
        <v/>
      </c>
      <c r="F1997" s="6">
        <f>IF($J1997="","",IF($J1997&lt;=1500,N(INDEX('Daily Sale entry '!$AC$1:$AC$1501,$J1997+1))-IF(AND('Opening Balance'!$B$15=1,INDEX('Daily Sale entry '!$Z$1:$Z$1501,$J1997+1)="Online collection 网上收款",INDEX('Daily Sale entry '!$AA$1:$AA$1501,$J1997+1)&lt;&gt;""),N(INDEX('Daily Sale entry '!$AC$1:$AC$1501,$J1997+1))-TRUNC(N(INDEX('Daily Sale entry '!$AC$1:$AC$1501,$J1997+1))),0),N(INDEX('Daily Sale entry '!$S$1:$S$1501,$J1997-1499))-'Opening Balance'!$B$15*(N(INDEX('Daily Sale entry '!$S$1:$S$1501,$J1997-1499))-TRUNC(N(INDEX('Daily Sale entry '!$S$1:$S$1501,$J1997-1499))))))</f>
        <v/>
      </c>
      <c r="G1997" s="6">
        <f>IF($J1997="","",IF($J1997&lt;=1500,N(INDEX('Daily Sale entry '!$AD$1:$AD$1501,$J1997+1)),0))</f>
        <v/>
      </c>
      <c r="H1997" s="6">
        <f>IF($J1997="","",ROUND('Opening Balance'!$B$4+SUM($F$2:F1997)-SUM($G$2:G1997),2))</f>
        <v/>
      </c>
      <c r="J1997" s="21">
        <f>IFERROR(MATCH(ROW()-1,$L$2:$L$3001,0),"")</f>
        <v/>
      </c>
      <c r="K1997" s="34">
        <f>IF(AND('Daily Sale entry '!Q497="Collection 收款",'Daily Sale entry '!R497="Cheque 支票",'Daily Sale entry '!V497&lt;&gt;""),'Daily Sale entry '!V497+ROW()/10000000,"")</f>
        <v/>
      </c>
      <c r="L1997" s="21">
        <f>IF(K1997="","",COUNTIF($K$2:$K$3001,"&lt;"&amp;K1997)+1)</f>
        <v/>
      </c>
    </row>
    <row r="1998">
      <c r="A1998" s="5">
        <f>IF($J1998="","",IF($J1998&lt;=1500,INDEX('Daily Sale entry '!$X$1:$X$1501,$J1998+1),INDEX('Daily Sale entry '!$V$1:$V$1501,$J1998-1499)))</f>
        <v/>
      </c>
      <c r="B1998">
        <f>IF($J1998="","",IF($J1998&lt;=1500,INDEX('Daily Sale entry '!$Y$1:$Y$1501,$J1998+1)&amp;"","Buyer cheque banked 买家支票存入"&amp;IF(INDEX('Daily Sale entry '!$U$1:$U$1501,$J1998-1499)="","", " - "&amp;INDEX('Daily Sale entry '!$U$1:$U$1501,$J1998-1499))))</f>
        <v/>
      </c>
      <c r="C1998">
        <f>IF($J1998="","",IF($J1998&lt;=1500,INDEX('Daily Sale entry '!$Z$1:$Z$1501,$J1998+1)&amp;"","Cheque deposit 支票存入 (buyer 买家)"))</f>
        <v/>
      </c>
      <c r="D1998">
        <f>IF($J1998="","",IF($J1998&lt;=1500,INDEX('Daily Sale entry '!$AA$1:$AA$1501,$J1998+1)&amp;"",INDEX('Daily Sale entry '!$P$1:$P$1501,$J1998-1499)&amp;""))</f>
        <v/>
      </c>
      <c r="E1998">
        <f>IF($J1998="","",IF($J1998&lt;=1500,IF(N(INDEX('Daily Sale entry '!$AB$1:$AB$1501,$J1998+1))=0,"",INDEX('Daily Sale entry '!$AB$1:$AB$1501,$J1998+1)),1))</f>
        <v/>
      </c>
      <c r="F1998" s="6">
        <f>IF($J1998="","",IF($J1998&lt;=1500,N(INDEX('Daily Sale entry '!$AC$1:$AC$1501,$J1998+1))-IF(AND('Opening Balance'!$B$15=1,INDEX('Daily Sale entry '!$Z$1:$Z$1501,$J1998+1)="Online collection 网上收款",INDEX('Daily Sale entry '!$AA$1:$AA$1501,$J1998+1)&lt;&gt;""),N(INDEX('Daily Sale entry '!$AC$1:$AC$1501,$J1998+1))-TRUNC(N(INDEX('Daily Sale entry '!$AC$1:$AC$1501,$J1998+1))),0),N(INDEX('Daily Sale entry '!$S$1:$S$1501,$J1998-1499))-'Opening Balance'!$B$15*(N(INDEX('Daily Sale entry '!$S$1:$S$1501,$J1998-1499))-TRUNC(N(INDEX('Daily Sale entry '!$S$1:$S$1501,$J1998-1499))))))</f>
        <v/>
      </c>
      <c r="G1998" s="6">
        <f>IF($J1998="","",IF($J1998&lt;=1500,N(INDEX('Daily Sale entry '!$AD$1:$AD$1501,$J1998+1)),0))</f>
        <v/>
      </c>
      <c r="H1998" s="6">
        <f>IF($J1998="","",ROUND('Opening Balance'!$B$4+SUM($F$2:F1998)-SUM($G$2:G1998),2))</f>
        <v/>
      </c>
      <c r="J1998" s="21">
        <f>IFERROR(MATCH(ROW()-1,$L$2:$L$3001,0),"")</f>
        <v/>
      </c>
      <c r="K1998" s="34">
        <f>IF(AND('Daily Sale entry '!Q498="Collection 收款",'Daily Sale entry '!R498="Cheque 支票",'Daily Sale entry '!V498&lt;&gt;""),'Daily Sale entry '!V498+ROW()/10000000,"")</f>
        <v/>
      </c>
      <c r="L1998" s="21">
        <f>IF(K1998="","",COUNTIF($K$2:$K$3001,"&lt;"&amp;K1998)+1)</f>
        <v/>
      </c>
    </row>
    <row r="1999">
      <c r="A1999" s="5">
        <f>IF($J1999="","",IF($J1999&lt;=1500,INDEX('Daily Sale entry '!$X$1:$X$1501,$J1999+1),INDEX('Daily Sale entry '!$V$1:$V$1501,$J1999-1499)))</f>
        <v/>
      </c>
      <c r="B1999">
        <f>IF($J1999="","",IF($J1999&lt;=1500,INDEX('Daily Sale entry '!$Y$1:$Y$1501,$J1999+1)&amp;"","Buyer cheque banked 买家支票存入"&amp;IF(INDEX('Daily Sale entry '!$U$1:$U$1501,$J1999-1499)="","", " - "&amp;INDEX('Daily Sale entry '!$U$1:$U$1501,$J1999-1499))))</f>
        <v/>
      </c>
      <c r="C1999">
        <f>IF($J1999="","",IF($J1999&lt;=1500,INDEX('Daily Sale entry '!$Z$1:$Z$1501,$J1999+1)&amp;"","Cheque deposit 支票存入 (buyer 买家)"))</f>
        <v/>
      </c>
      <c r="D1999">
        <f>IF($J1999="","",IF($J1999&lt;=1500,INDEX('Daily Sale entry '!$AA$1:$AA$1501,$J1999+1)&amp;"",INDEX('Daily Sale entry '!$P$1:$P$1501,$J1999-1499)&amp;""))</f>
        <v/>
      </c>
      <c r="E1999">
        <f>IF($J1999="","",IF($J1999&lt;=1500,IF(N(INDEX('Daily Sale entry '!$AB$1:$AB$1501,$J1999+1))=0,"",INDEX('Daily Sale entry '!$AB$1:$AB$1501,$J1999+1)),1))</f>
        <v/>
      </c>
      <c r="F1999" s="6">
        <f>IF($J1999="","",IF($J1999&lt;=1500,N(INDEX('Daily Sale entry '!$AC$1:$AC$1501,$J1999+1))-IF(AND('Opening Balance'!$B$15=1,INDEX('Daily Sale entry '!$Z$1:$Z$1501,$J1999+1)="Online collection 网上收款",INDEX('Daily Sale entry '!$AA$1:$AA$1501,$J1999+1)&lt;&gt;""),N(INDEX('Daily Sale entry '!$AC$1:$AC$1501,$J1999+1))-TRUNC(N(INDEX('Daily Sale entry '!$AC$1:$AC$1501,$J1999+1))),0),N(INDEX('Daily Sale entry '!$S$1:$S$1501,$J1999-1499))-'Opening Balance'!$B$15*(N(INDEX('Daily Sale entry '!$S$1:$S$1501,$J1999-1499))-TRUNC(N(INDEX('Daily Sale entry '!$S$1:$S$1501,$J1999-1499))))))</f>
        <v/>
      </c>
      <c r="G1999" s="6">
        <f>IF($J1999="","",IF($J1999&lt;=1500,N(INDEX('Daily Sale entry '!$AD$1:$AD$1501,$J1999+1)),0))</f>
        <v/>
      </c>
      <c r="H1999" s="6">
        <f>IF($J1999="","",ROUND('Opening Balance'!$B$4+SUM($F$2:F1999)-SUM($G$2:G1999),2))</f>
        <v/>
      </c>
      <c r="J1999" s="21">
        <f>IFERROR(MATCH(ROW()-1,$L$2:$L$3001,0),"")</f>
        <v/>
      </c>
      <c r="K1999" s="34">
        <f>IF(AND('Daily Sale entry '!Q499="Collection 收款",'Daily Sale entry '!R499="Cheque 支票",'Daily Sale entry '!V499&lt;&gt;""),'Daily Sale entry '!V499+ROW()/10000000,"")</f>
        <v/>
      </c>
      <c r="L1999" s="21">
        <f>IF(K1999="","",COUNTIF($K$2:$K$3001,"&lt;"&amp;K1999)+1)</f>
        <v/>
      </c>
    </row>
    <row r="2000">
      <c r="A2000" s="5">
        <f>IF($J2000="","",IF($J2000&lt;=1500,INDEX('Daily Sale entry '!$X$1:$X$1501,$J2000+1),INDEX('Daily Sale entry '!$V$1:$V$1501,$J2000-1499)))</f>
        <v/>
      </c>
      <c r="B2000">
        <f>IF($J2000="","",IF($J2000&lt;=1500,INDEX('Daily Sale entry '!$Y$1:$Y$1501,$J2000+1)&amp;"","Buyer cheque banked 买家支票存入"&amp;IF(INDEX('Daily Sale entry '!$U$1:$U$1501,$J2000-1499)="","", " - "&amp;INDEX('Daily Sale entry '!$U$1:$U$1501,$J2000-1499))))</f>
        <v/>
      </c>
      <c r="C2000">
        <f>IF($J2000="","",IF($J2000&lt;=1500,INDEX('Daily Sale entry '!$Z$1:$Z$1501,$J2000+1)&amp;"","Cheque deposit 支票存入 (buyer 买家)"))</f>
        <v/>
      </c>
      <c r="D2000">
        <f>IF($J2000="","",IF($J2000&lt;=1500,INDEX('Daily Sale entry '!$AA$1:$AA$1501,$J2000+1)&amp;"",INDEX('Daily Sale entry '!$P$1:$P$1501,$J2000-1499)&amp;""))</f>
        <v/>
      </c>
      <c r="E2000">
        <f>IF($J2000="","",IF($J2000&lt;=1500,IF(N(INDEX('Daily Sale entry '!$AB$1:$AB$1501,$J2000+1))=0,"",INDEX('Daily Sale entry '!$AB$1:$AB$1501,$J2000+1)),1))</f>
        <v/>
      </c>
      <c r="F2000" s="6">
        <f>IF($J2000="","",IF($J2000&lt;=1500,N(INDEX('Daily Sale entry '!$AC$1:$AC$1501,$J2000+1))-IF(AND('Opening Balance'!$B$15=1,INDEX('Daily Sale entry '!$Z$1:$Z$1501,$J2000+1)="Online collection 网上收款",INDEX('Daily Sale entry '!$AA$1:$AA$1501,$J2000+1)&lt;&gt;""),N(INDEX('Daily Sale entry '!$AC$1:$AC$1501,$J2000+1))-TRUNC(N(INDEX('Daily Sale entry '!$AC$1:$AC$1501,$J2000+1))),0),N(INDEX('Daily Sale entry '!$S$1:$S$1501,$J2000-1499))-'Opening Balance'!$B$15*(N(INDEX('Daily Sale entry '!$S$1:$S$1501,$J2000-1499))-TRUNC(N(INDEX('Daily Sale entry '!$S$1:$S$1501,$J2000-1499))))))</f>
        <v/>
      </c>
      <c r="G2000" s="6">
        <f>IF($J2000="","",IF($J2000&lt;=1500,N(INDEX('Daily Sale entry '!$AD$1:$AD$1501,$J2000+1)),0))</f>
        <v/>
      </c>
      <c r="H2000" s="6">
        <f>IF($J2000="","",ROUND('Opening Balance'!$B$4+SUM($F$2:F2000)-SUM($G$2:G2000),2))</f>
        <v/>
      </c>
      <c r="J2000" s="21">
        <f>IFERROR(MATCH(ROW()-1,$L$2:$L$3001,0),"")</f>
        <v/>
      </c>
      <c r="K2000" s="34">
        <f>IF(AND('Daily Sale entry '!Q500="Collection 收款",'Daily Sale entry '!R500="Cheque 支票",'Daily Sale entry '!V500&lt;&gt;""),'Daily Sale entry '!V500+ROW()/10000000,"")</f>
        <v/>
      </c>
      <c r="L2000" s="21">
        <f>IF(K2000="","",COUNTIF($K$2:$K$3001,"&lt;"&amp;K2000)+1)</f>
        <v/>
      </c>
    </row>
    <row r="2001">
      <c r="A2001" s="5">
        <f>IF($J2001="","",IF($J2001&lt;=1500,INDEX('Daily Sale entry '!$X$1:$X$1501,$J2001+1),INDEX('Daily Sale entry '!$V$1:$V$1501,$J2001-1499)))</f>
        <v/>
      </c>
      <c r="B2001">
        <f>IF($J2001="","",IF($J2001&lt;=1500,INDEX('Daily Sale entry '!$Y$1:$Y$1501,$J2001+1)&amp;"","Buyer cheque banked 买家支票存入"&amp;IF(INDEX('Daily Sale entry '!$U$1:$U$1501,$J2001-1499)="","", " - "&amp;INDEX('Daily Sale entry '!$U$1:$U$1501,$J2001-1499))))</f>
        <v/>
      </c>
      <c r="C2001">
        <f>IF($J2001="","",IF($J2001&lt;=1500,INDEX('Daily Sale entry '!$Z$1:$Z$1501,$J2001+1)&amp;"","Cheque deposit 支票存入 (buyer 买家)"))</f>
        <v/>
      </c>
      <c r="D2001">
        <f>IF($J2001="","",IF($J2001&lt;=1500,INDEX('Daily Sale entry '!$AA$1:$AA$1501,$J2001+1)&amp;"",INDEX('Daily Sale entry '!$P$1:$P$1501,$J2001-1499)&amp;""))</f>
        <v/>
      </c>
      <c r="E2001">
        <f>IF($J2001="","",IF($J2001&lt;=1500,IF(N(INDEX('Daily Sale entry '!$AB$1:$AB$1501,$J2001+1))=0,"",INDEX('Daily Sale entry '!$AB$1:$AB$1501,$J2001+1)),1))</f>
        <v/>
      </c>
      <c r="F2001" s="6">
        <f>IF($J2001="","",IF($J2001&lt;=1500,N(INDEX('Daily Sale entry '!$AC$1:$AC$1501,$J2001+1))-IF(AND('Opening Balance'!$B$15=1,INDEX('Daily Sale entry '!$Z$1:$Z$1501,$J2001+1)="Online collection 网上收款",INDEX('Daily Sale entry '!$AA$1:$AA$1501,$J2001+1)&lt;&gt;""),N(INDEX('Daily Sale entry '!$AC$1:$AC$1501,$J2001+1))-TRUNC(N(INDEX('Daily Sale entry '!$AC$1:$AC$1501,$J2001+1))),0),N(INDEX('Daily Sale entry '!$S$1:$S$1501,$J2001-1499))-'Opening Balance'!$B$15*(N(INDEX('Daily Sale entry '!$S$1:$S$1501,$J2001-1499))-TRUNC(N(INDEX('Daily Sale entry '!$S$1:$S$1501,$J2001-1499))))))</f>
        <v/>
      </c>
      <c r="G2001" s="6">
        <f>IF($J2001="","",IF($J2001&lt;=1500,N(INDEX('Daily Sale entry '!$AD$1:$AD$1501,$J2001+1)),0))</f>
        <v/>
      </c>
      <c r="H2001" s="6">
        <f>IF($J2001="","",ROUND('Opening Balance'!$B$4+SUM($F$2:F2001)-SUM($G$2:G2001),2))</f>
        <v/>
      </c>
      <c r="J2001" s="21">
        <f>IFERROR(MATCH(ROW()-1,$L$2:$L$3001,0),"")</f>
        <v/>
      </c>
      <c r="K2001" s="34">
        <f>IF(AND('Daily Sale entry '!Q501="Collection 收款",'Daily Sale entry '!R501="Cheque 支票",'Daily Sale entry '!V501&lt;&gt;""),'Daily Sale entry '!V501+ROW()/10000000,"")</f>
        <v/>
      </c>
      <c r="L2001" s="21">
        <f>IF(K2001="","",COUNTIF($K$2:$K$3001,"&lt;"&amp;K2001)+1)</f>
        <v/>
      </c>
    </row>
    <row r="2002">
      <c r="A2002" s="5">
        <f>IF($J2002="","",IF($J2002&lt;=1500,INDEX('Daily Sale entry '!$X$1:$X$1501,$J2002+1),INDEX('Daily Sale entry '!$V$1:$V$1501,$J2002-1499)))</f>
        <v/>
      </c>
      <c r="B2002">
        <f>IF($J2002="","",IF($J2002&lt;=1500,INDEX('Daily Sale entry '!$Y$1:$Y$1501,$J2002+1)&amp;"","Buyer cheque banked 买家支票存入"&amp;IF(INDEX('Daily Sale entry '!$U$1:$U$1501,$J2002-1499)="","", " - "&amp;INDEX('Daily Sale entry '!$U$1:$U$1501,$J2002-1499))))</f>
        <v/>
      </c>
      <c r="C2002">
        <f>IF($J2002="","",IF($J2002&lt;=1500,INDEX('Daily Sale entry '!$Z$1:$Z$1501,$J2002+1)&amp;"","Cheque deposit 支票存入 (buyer 买家)"))</f>
        <v/>
      </c>
      <c r="D2002">
        <f>IF($J2002="","",IF($J2002&lt;=1500,INDEX('Daily Sale entry '!$AA$1:$AA$1501,$J2002+1)&amp;"",INDEX('Daily Sale entry '!$P$1:$P$1501,$J2002-1499)&amp;""))</f>
        <v/>
      </c>
      <c r="E2002">
        <f>IF($J2002="","",IF($J2002&lt;=1500,IF(N(INDEX('Daily Sale entry '!$AB$1:$AB$1501,$J2002+1))=0,"",INDEX('Daily Sale entry '!$AB$1:$AB$1501,$J2002+1)),1))</f>
        <v/>
      </c>
      <c r="F2002" s="6">
        <f>IF($J2002="","",IF($J2002&lt;=1500,N(INDEX('Daily Sale entry '!$AC$1:$AC$1501,$J2002+1))-IF(AND('Opening Balance'!$B$15=1,INDEX('Daily Sale entry '!$Z$1:$Z$1501,$J2002+1)="Online collection 网上收款",INDEX('Daily Sale entry '!$AA$1:$AA$1501,$J2002+1)&lt;&gt;""),N(INDEX('Daily Sale entry '!$AC$1:$AC$1501,$J2002+1))-TRUNC(N(INDEX('Daily Sale entry '!$AC$1:$AC$1501,$J2002+1))),0),N(INDEX('Daily Sale entry '!$S$1:$S$1501,$J2002-1499))-'Opening Balance'!$B$15*(N(INDEX('Daily Sale entry '!$S$1:$S$1501,$J2002-1499))-TRUNC(N(INDEX('Daily Sale entry '!$S$1:$S$1501,$J2002-1499))))))</f>
        <v/>
      </c>
      <c r="G2002" s="6">
        <f>IF($J2002="","",IF($J2002&lt;=1500,N(INDEX('Daily Sale entry '!$AD$1:$AD$1501,$J2002+1)),0))</f>
        <v/>
      </c>
      <c r="H2002" s="6">
        <f>IF($J2002="","",ROUND('Opening Balance'!$B$4+SUM($F$2:F2002)-SUM($G$2:G2002),2))</f>
        <v/>
      </c>
      <c r="J2002" s="21">
        <f>IFERROR(MATCH(ROW()-1,$L$2:$L$3001,0),"")</f>
        <v/>
      </c>
      <c r="K2002" s="34">
        <f>IF(AND('Daily Sale entry '!Q502="Collection 收款",'Daily Sale entry '!R502="Cheque 支票",'Daily Sale entry '!V502&lt;&gt;""),'Daily Sale entry '!V502+ROW()/10000000,"")</f>
        <v/>
      </c>
      <c r="L2002" s="21">
        <f>IF(K2002="","",COUNTIF($K$2:$K$3001,"&lt;"&amp;K2002)+1)</f>
        <v/>
      </c>
    </row>
    <row r="2003">
      <c r="A2003" s="5">
        <f>IF($J2003="","",IF($J2003&lt;=1500,INDEX('Daily Sale entry '!$X$1:$X$1501,$J2003+1),INDEX('Daily Sale entry '!$V$1:$V$1501,$J2003-1499)))</f>
        <v/>
      </c>
      <c r="B2003">
        <f>IF($J2003="","",IF($J2003&lt;=1500,INDEX('Daily Sale entry '!$Y$1:$Y$1501,$J2003+1)&amp;"","Buyer cheque banked 买家支票存入"&amp;IF(INDEX('Daily Sale entry '!$U$1:$U$1501,$J2003-1499)="","", " - "&amp;INDEX('Daily Sale entry '!$U$1:$U$1501,$J2003-1499))))</f>
        <v/>
      </c>
      <c r="C2003">
        <f>IF($J2003="","",IF($J2003&lt;=1500,INDEX('Daily Sale entry '!$Z$1:$Z$1501,$J2003+1)&amp;"","Cheque deposit 支票存入 (buyer 买家)"))</f>
        <v/>
      </c>
      <c r="D2003">
        <f>IF($J2003="","",IF($J2003&lt;=1500,INDEX('Daily Sale entry '!$AA$1:$AA$1501,$J2003+1)&amp;"",INDEX('Daily Sale entry '!$P$1:$P$1501,$J2003-1499)&amp;""))</f>
        <v/>
      </c>
      <c r="E2003">
        <f>IF($J2003="","",IF($J2003&lt;=1500,IF(N(INDEX('Daily Sale entry '!$AB$1:$AB$1501,$J2003+1))=0,"",INDEX('Daily Sale entry '!$AB$1:$AB$1501,$J2003+1)),1))</f>
        <v/>
      </c>
      <c r="F2003" s="6">
        <f>IF($J2003="","",IF($J2003&lt;=1500,N(INDEX('Daily Sale entry '!$AC$1:$AC$1501,$J2003+1))-IF(AND('Opening Balance'!$B$15=1,INDEX('Daily Sale entry '!$Z$1:$Z$1501,$J2003+1)="Online collection 网上收款",INDEX('Daily Sale entry '!$AA$1:$AA$1501,$J2003+1)&lt;&gt;""),N(INDEX('Daily Sale entry '!$AC$1:$AC$1501,$J2003+1))-TRUNC(N(INDEX('Daily Sale entry '!$AC$1:$AC$1501,$J2003+1))),0),N(INDEX('Daily Sale entry '!$S$1:$S$1501,$J2003-1499))-'Opening Balance'!$B$15*(N(INDEX('Daily Sale entry '!$S$1:$S$1501,$J2003-1499))-TRUNC(N(INDEX('Daily Sale entry '!$S$1:$S$1501,$J2003-1499))))))</f>
        <v/>
      </c>
      <c r="G2003" s="6">
        <f>IF($J2003="","",IF($J2003&lt;=1500,N(INDEX('Daily Sale entry '!$AD$1:$AD$1501,$J2003+1)),0))</f>
        <v/>
      </c>
      <c r="H2003" s="6">
        <f>IF($J2003="","",ROUND('Opening Balance'!$B$4+SUM($F$2:F2003)-SUM($G$2:G2003),2))</f>
        <v/>
      </c>
      <c r="J2003" s="21">
        <f>IFERROR(MATCH(ROW()-1,$L$2:$L$3001,0),"")</f>
        <v/>
      </c>
      <c r="K2003" s="34">
        <f>IF(AND('Daily Sale entry '!Q503="Collection 收款",'Daily Sale entry '!R503="Cheque 支票",'Daily Sale entry '!V503&lt;&gt;""),'Daily Sale entry '!V503+ROW()/10000000,"")</f>
        <v/>
      </c>
      <c r="L2003" s="21">
        <f>IF(K2003="","",COUNTIF($K$2:$K$3001,"&lt;"&amp;K2003)+1)</f>
        <v/>
      </c>
    </row>
    <row r="2004">
      <c r="A2004" s="5">
        <f>IF($J2004="","",IF($J2004&lt;=1500,INDEX('Daily Sale entry '!$X$1:$X$1501,$J2004+1),INDEX('Daily Sale entry '!$V$1:$V$1501,$J2004-1499)))</f>
        <v/>
      </c>
      <c r="B2004">
        <f>IF($J2004="","",IF($J2004&lt;=1500,INDEX('Daily Sale entry '!$Y$1:$Y$1501,$J2004+1)&amp;"","Buyer cheque banked 买家支票存入"&amp;IF(INDEX('Daily Sale entry '!$U$1:$U$1501,$J2004-1499)="","", " - "&amp;INDEX('Daily Sale entry '!$U$1:$U$1501,$J2004-1499))))</f>
        <v/>
      </c>
      <c r="C2004">
        <f>IF($J2004="","",IF($J2004&lt;=1500,INDEX('Daily Sale entry '!$Z$1:$Z$1501,$J2004+1)&amp;"","Cheque deposit 支票存入 (buyer 买家)"))</f>
        <v/>
      </c>
      <c r="D2004">
        <f>IF($J2004="","",IF($J2004&lt;=1500,INDEX('Daily Sale entry '!$AA$1:$AA$1501,$J2004+1)&amp;"",INDEX('Daily Sale entry '!$P$1:$P$1501,$J2004-1499)&amp;""))</f>
        <v/>
      </c>
      <c r="E2004">
        <f>IF($J2004="","",IF($J2004&lt;=1500,IF(N(INDEX('Daily Sale entry '!$AB$1:$AB$1501,$J2004+1))=0,"",INDEX('Daily Sale entry '!$AB$1:$AB$1501,$J2004+1)),1))</f>
        <v/>
      </c>
      <c r="F2004" s="6">
        <f>IF($J2004="","",IF($J2004&lt;=1500,N(INDEX('Daily Sale entry '!$AC$1:$AC$1501,$J2004+1))-IF(AND('Opening Balance'!$B$15=1,INDEX('Daily Sale entry '!$Z$1:$Z$1501,$J2004+1)="Online collection 网上收款",INDEX('Daily Sale entry '!$AA$1:$AA$1501,$J2004+1)&lt;&gt;""),N(INDEX('Daily Sale entry '!$AC$1:$AC$1501,$J2004+1))-TRUNC(N(INDEX('Daily Sale entry '!$AC$1:$AC$1501,$J2004+1))),0),N(INDEX('Daily Sale entry '!$S$1:$S$1501,$J2004-1499))-'Opening Balance'!$B$15*(N(INDEX('Daily Sale entry '!$S$1:$S$1501,$J2004-1499))-TRUNC(N(INDEX('Daily Sale entry '!$S$1:$S$1501,$J2004-1499))))))</f>
        <v/>
      </c>
      <c r="G2004" s="6">
        <f>IF($J2004="","",IF($J2004&lt;=1500,N(INDEX('Daily Sale entry '!$AD$1:$AD$1501,$J2004+1)),0))</f>
        <v/>
      </c>
      <c r="H2004" s="6">
        <f>IF($J2004="","",ROUND('Opening Balance'!$B$4+SUM($F$2:F2004)-SUM($G$2:G2004),2))</f>
        <v/>
      </c>
      <c r="J2004" s="21">
        <f>IFERROR(MATCH(ROW()-1,$L$2:$L$3001,0),"")</f>
        <v/>
      </c>
      <c r="K2004" s="34">
        <f>IF(AND('Daily Sale entry '!Q504="Collection 收款",'Daily Sale entry '!R504="Cheque 支票",'Daily Sale entry '!V504&lt;&gt;""),'Daily Sale entry '!V504+ROW()/10000000,"")</f>
        <v/>
      </c>
      <c r="L2004" s="21">
        <f>IF(K2004="","",COUNTIF($K$2:$K$3001,"&lt;"&amp;K2004)+1)</f>
        <v/>
      </c>
    </row>
    <row r="2005">
      <c r="A2005" s="5">
        <f>IF($J2005="","",IF($J2005&lt;=1500,INDEX('Daily Sale entry '!$X$1:$X$1501,$J2005+1),INDEX('Daily Sale entry '!$V$1:$V$1501,$J2005-1499)))</f>
        <v/>
      </c>
      <c r="B2005">
        <f>IF($J2005="","",IF($J2005&lt;=1500,INDEX('Daily Sale entry '!$Y$1:$Y$1501,$J2005+1)&amp;"","Buyer cheque banked 买家支票存入"&amp;IF(INDEX('Daily Sale entry '!$U$1:$U$1501,$J2005-1499)="","", " - "&amp;INDEX('Daily Sale entry '!$U$1:$U$1501,$J2005-1499))))</f>
        <v/>
      </c>
      <c r="C2005">
        <f>IF($J2005="","",IF($J2005&lt;=1500,INDEX('Daily Sale entry '!$Z$1:$Z$1501,$J2005+1)&amp;"","Cheque deposit 支票存入 (buyer 买家)"))</f>
        <v/>
      </c>
      <c r="D2005">
        <f>IF($J2005="","",IF($J2005&lt;=1500,INDEX('Daily Sale entry '!$AA$1:$AA$1501,$J2005+1)&amp;"",INDEX('Daily Sale entry '!$P$1:$P$1501,$J2005-1499)&amp;""))</f>
        <v/>
      </c>
      <c r="E2005">
        <f>IF($J2005="","",IF($J2005&lt;=1500,IF(N(INDEX('Daily Sale entry '!$AB$1:$AB$1501,$J2005+1))=0,"",INDEX('Daily Sale entry '!$AB$1:$AB$1501,$J2005+1)),1))</f>
        <v/>
      </c>
      <c r="F2005" s="6">
        <f>IF($J2005="","",IF($J2005&lt;=1500,N(INDEX('Daily Sale entry '!$AC$1:$AC$1501,$J2005+1))-IF(AND('Opening Balance'!$B$15=1,INDEX('Daily Sale entry '!$Z$1:$Z$1501,$J2005+1)="Online collection 网上收款",INDEX('Daily Sale entry '!$AA$1:$AA$1501,$J2005+1)&lt;&gt;""),N(INDEX('Daily Sale entry '!$AC$1:$AC$1501,$J2005+1))-TRUNC(N(INDEX('Daily Sale entry '!$AC$1:$AC$1501,$J2005+1))),0),N(INDEX('Daily Sale entry '!$S$1:$S$1501,$J2005-1499))-'Opening Balance'!$B$15*(N(INDEX('Daily Sale entry '!$S$1:$S$1501,$J2005-1499))-TRUNC(N(INDEX('Daily Sale entry '!$S$1:$S$1501,$J2005-1499))))))</f>
        <v/>
      </c>
      <c r="G2005" s="6">
        <f>IF($J2005="","",IF($J2005&lt;=1500,N(INDEX('Daily Sale entry '!$AD$1:$AD$1501,$J2005+1)),0))</f>
        <v/>
      </c>
      <c r="H2005" s="6">
        <f>IF($J2005="","",ROUND('Opening Balance'!$B$4+SUM($F$2:F2005)-SUM($G$2:G2005),2))</f>
        <v/>
      </c>
      <c r="J2005" s="21">
        <f>IFERROR(MATCH(ROW()-1,$L$2:$L$3001,0),"")</f>
        <v/>
      </c>
      <c r="K2005" s="34">
        <f>IF(AND('Daily Sale entry '!Q505="Collection 收款",'Daily Sale entry '!R505="Cheque 支票",'Daily Sale entry '!V505&lt;&gt;""),'Daily Sale entry '!V505+ROW()/10000000,"")</f>
        <v/>
      </c>
      <c r="L2005" s="21">
        <f>IF(K2005="","",COUNTIF($K$2:$K$3001,"&lt;"&amp;K2005)+1)</f>
        <v/>
      </c>
    </row>
    <row r="2006">
      <c r="A2006" s="5">
        <f>IF($J2006="","",IF($J2006&lt;=1500,INDEX('Daily Sale entry '!$X$1:$X$1501,$J2006+1),INDEX('Daily Sale entry '!$V$1:$V$1501,$J2006-1499)))</f>
        <v/>
      </c>
      <c r="B2006">
        <f>IF($J2006="","",IF($J2006&lt;=1500,INDEX('Daily Sale entry '!$Y$1:$Y$1501,$J2006+1)&amp;"","Buyer cheque banked 买家支票存入"&amp;IF(INDEX('Daily Sale entry '!$U$1:$U$1501,$J2006-1499)="","", " - "&amp;INDEX('Daily Sale entry '!$U$1:$U$1501,$J2006-1499))))</f>
        <v/>
      </c>
      <c r="C2006">
        <f>IF($J2006="","",IF($J2006&lt;=1500,INDEX('Daily Sale entry '!$Z$1:$Z$1501,$J2006+1)&amp;"","Cheque deposit 支票存入 (buyer 买家)"))</f>
        <v/>
      </c>
      <c r="D2006">
        <f>IF($J2006="","",IF($J2006&lt;=1500,INDEX('Daily Sale entry '!$AA$1:$AA$1501,$J2006+1)&amp;"",INDEX('Daily Sale entry '!$P$1:$P$1501,$J2006-1499)&amp;""))</f>
        <v/>
      </c>
      <c r="E2006">
        <f>IF($J2006="","",IF($J2006&lt;=1500,IF(N(INDEX('Daily Sale entry '!$AB$1:$AB$1501,$J2006+1))=0,"",INDEX('Daily Sale entry '!$AB$1:$AB$1501,$J2006+1)),1))</f>
        <v/>
      </c>
      <c r="F2006" s="6">
        <f>IF($J2006="","",IF($J2006&lt;=1500,N(INDEX('Daily Sale entry '!$AC$1:$AC$1501,$J2006+1))-IF(AND('Opening Balance'!$B$15=1,INDEX('Daily Sale entry '!$Z$1:$Z$1501,$J2006+1)="Online collection 网上收款",INDEX('Daily Sale entry '!$AA$1:$AA$1501,$J2006+1)&lt;&gt;""),N(INDEX('Daily Sale entry '!$AC$1:$AC$1501,$J2006+1))-TRUNC(N(INDEX('Daily Sale entry '!$AC$1:$AC$1501,$J2006+1))),0),N(INDEX('Daily Sale entry '!$S$1:$S$1501,$J2006-1499))-'Opening Balance'!$B$15*(N(INDEX('Daily Sale entry '!$S$1:$S$1501,$J2006-1499))-TRUNC(N(INDEX('Daily Sale entry '!$S$1:$S$1501,$J2006-1499))))))</f>
        <v/>
      </c>
      <c r="G2006" s="6">
        <f>IF($J2006="","",IF($J2006&lt;=1500,N(INDEX('Daily Sale entry '!$AD$1:$AD$1501,$J2006+1)),0))</f>
        <v/>
      </c>
      <c r="H2006" s="6">
        <f>IF($J2006="","",ROUND('Opening Balance'!$B$4+SUM($F$2:F2006)-SUM($G$2:G2006),2))</f>
        <v/>
      </c>
      <c r="J2006" s="21">
        <f>IFERROR(MATCH(ROW()-1,$L$2:$L$3001,0),"")</f>
        <v/>
      </c>
      <c r="K2006" s="34">
        <f>IF(AND('Daily Sale entry '!Q506="Collection 收款",'Daily Sale entry '!R506="Cheque 支票",'Daily Sale entry '!V506&lt;&gt;""),'Daily Sale entry '!V506+ROW()/10000000,"")</f>
        <v/>
      </c>
      <c r="L2006" s="21">
        <f>IF(K2006="","",COUNTIF($K$2:$K$3001,"&lt;"&amp;K2006)+1)</f>
        <v/>
      </c>
    </row>
    <row r="2007">
      <c r="A2007" s="5">
        <f>IF($J2007="","",IF($J2007&lt;=1500,INDEX('Daily Sale entry '!$X$1:$X$1501,$J2007+1),INDEX('Daily Sale entry '!$V$1:$V$1501,$J2007-1499)))</f>
        <v/>
      </c>
      <c r="B2007">
        <f>IF($J2007="","",IF($J2007&lt;=1500,INDEX('Daily Sale entry '!$Y$1:$Y$1501,$J2007+1)&amp;"","Buyer cheque banked 买家支票存入"&amp;IF(INDEX('Daily Sale entry '!$U$1:$U$1501,$J2007-1499)="","", " - "&amp;INDEX('Daily Sale entry '!$U$1:$U$1501,$J2007-1499))))</f>
        <v/>
      </c>
      <c r="C2007">
        <f>IF($J2007="","",IF($J2007&lt;=1500,INDEX('Daily Sale entry '!$Z$1:$Z$1501,$J2007+1)&amp;"","Cheque deposit 支票存入 (buyer 买家)"))</f>
        <v/>
      </c>
      <c r="D2007">
        <f>IF($J2007="","",IF($J2007&lt;=1500,INDEX('Daily Sale entry '!$AA$1:$AA$1501,$J2007+1)&amp;"",INDEX('Daily Sale entry '!$P$1:$P$1501,$J2007-1499)&amp;""))</f>
        <v/>
      </c>
      <c r="E2007">
        <f>IF($J2007="","",IF($J2007&lt;=1500,IF(N(INDEX('Daily Sale entry '!$AB$1:$AB$1501,$J2007+1))=0,"",INDEX('Daily Sale entry '!$AB$1:$AB$1501,$J2007+1)),1))</f>
        <v/>
      </c>
      <c r="F2007" s="6">
        <f>IF($J2007="","",IF($J2007&lt;=1500,N(INDEX('Daily Sale entry '!$AC$1:$AC$1501,$J2007+1))-IF(AND('Opening Balance'!$B$15=1,INDEX('Daily Sale entry '!$Z$1:$Z$1501,$J2007+1)="Online collection 网上收款",INDEX('Daily Sale entry '!$AA$1:$AA$1501,$J2007+1)&lt;&gt;""),N(INDEX('Daily Sale entry '!$AC$1:$AC$1501,$J2007+1))-TRUNC(N(INDEX('Daily Sale entry '!$AC$1:$AC$1501,$J2007+1))),0),N(INDEX('Daily Sale entry '!$S$1:$S$1501,$J2007-1499))-'Opening Balance'!$B$15*(N(INDEX('Daily Sale entry '!$S$1:$S$1501,$J2007-1499))-TRUNC(N(INDEX('Daily Sale entry '!$S$1:$S$1501,$J2007-1499))))))</f>
        <v/>
      </c>
      <c r="G2007" s="6">
        <f>IF($J2007="","",IF($J2007&lt;=1500,N(INDEX('Daily Sale entry '!$AD$1:$AD$1501,$J2007+1)),0))</f>
        <v/>
      </c>
      <c r="H2007" s="6">
        <f>IF($J2007="","",ROUND('Opening Balance'!$B$4+SUM($F$2:F2007)-SUM($G$2:G2007),2))</f>
        <v/>
      </c>
      <c r="J2007" s="21">
        <f>IFERROR(MATCH(ROW()-1,$L$2:$L$3001,0),"")</f>
        <v/>
      </c>
      <c r="K2007" s="34">
        <f>IF(AND('Daily Sale entry '!Q507="Collection 收款",'Daily Sale entry '!R507="Cheque 支票",'Daily Sale entry '!V507&lt;&gt;""),'Daily Sale entry '!V507+ROW()/10000000,"")</f>
        <v/>
      </c>
      <c r="L2007" s="21">
        <f>IF(K2007="","",COUNTIF($K$2:$K$3001,"&lt;"&amp;K2007)+1)</f>
        <v/>
      </c>
    </row>
    <row r="2008">
      <c r="A2008" s="5">
        <f>IF($J2008="","",IF($J2008&lt;=1500,INDEX('Daily Sale entry '!$X$1:$X$1501,$J2008+1),INDEX('Daily Sale entry '!$V$1:$V$1501,$J2008-1499)))</f>
        <v/>
      </c>
      <c r="B2008">
        <f>IF($J2008="","",IF($J2008&lt;=1500,INDEX('Daily Sale entry '!$Y$1:$Y$1501,$J2008+1)&amp;"","Buyer cheque banked 买家支票存入"&amp;IF(INDEX('Daily Sale entry '!$U$1:$U$1501,$J2008-1499)="","", " - "&amp;INDEX('Daily Sale entry '!$U$1:$U$1501,$J2008-1499))))</f>
        <v/>
      </c>
      <c r="C2008">
        <f>IF($J2008="","",IF($J2008&lt;=1500,INDEX('Daily Sale entry '!$Z$1:$Z$1501,$J2008+1)&amp;"","Cheque deposit 支票存入 (buyer 买家)"))</f>
        <v/>
      </c>
      <c r="D2008">
        <f>IF($J2008="","",IF($J2008&lt;=1500,INDEX('Daily Sale entry '!$AA$1:$AA$1501,$J2008+1)&amp;"",INDEX('Daily Sale entry '!$P$1:$P$1501,$J2008-1499)&amp;""))</f>
        <v/>
      </c>
      <c r="E2008">
        <f>IF($J2008="","",IF($J2008&lt;=1500,IF(N(INDEX('Daily Sale entry '!$AB$1:$AB$1501,$J2008+1))=0,"",INDEX('Daily Sale entry '!$AB$1:$AB$1501,$J2008+1)),1))</f>
        <v/>
      </c>
      <c r="F2008" s="6">
        <f>IF($J2008="","",IF($J2008&lt;=1500,N(INDEX('Daily Sale entry '!$AC$1:$AC$1501,$J2008+1))-IF(AND('Opening Balance'!$B$15=1,INDEX('Daily Sale entry '!$Z$1:$Z$1501,$J2008+1)="Online collection 网上收款",INDEX('Daily Sale entry '!$AA$1:$AA$1501,$J2008+1)&lt;&gt;""),N(INDEX('Daily Sale entry '!$AC$1:$AC$1501,$J2008+1))-TRUNC(N(INDEX('Daily Sale entry '!$AC$1:$AC$1501,$J2008+1))),0),N(INDEX('Daily Sale entry '!$S$1:$S$1501,$J2008-1499))-'Opening Balance'!$B$15*(N(INDEX('Daily Sale entry '!$S$1:$S$1501,$J2008-1499))-TRUNC(N(INDEX('Daily Sale entry '!$S$1:$S$1501,$J2008-1499))))))</f>
        <v/>
      </c>
      <c r="G2008" s="6">
        <f>IF($J2008="","",IF($J2008&lt;=1500,N(INDEX('Daily Sale entry '!$AD$1:$AD$1501,$J2008+1)),0))</f>
        <v/>
      </c>
      <c r="H2008" s="6">
        <f>IF($J2008="","",ROUND('Opening Balance'!$B$4+SUM($F$2:F2008)-SUM($G$2:G2008),2))</f>
        <v/>
      </c>
      <c r="J2008" s="21">
        <f>IFERROR(MATCH(ROW()-1,$L$2:$L$3001,0),"")</f>
        <v/>
      </c>
      <c r="K2008" s="34">
        <f>IF(AND('Daily Sale entry '!Q508="Collection 收款",'Daily Sale entry '!R508="Cheque 支票",'Daily Sale entry '!V508&lt;&gt;""),'Daily Sale entry '!V508+ROW()/10000000,"")</f>
        <v/>
      </c>
      <c r="L2008" s="21">
        <f>IF(K2008="","",COUNTIF($K$2:$K$3001,"&lt;"&amp;K2008)+1)</f>
        <v/>
      </c>
    </row>
    <row r="2009">
      <c r="A2009" s="5">
        <f>IF($J2009="","",IF($J2009&lt;=1500,INDEX('Daily Sale entry '!$X$1:$X$1501,$J2009+1),INDEX('Daily Sale entry '!$V$1:$V$1501,$J2009-1499)))</f>
        <v/>
      </c>
      <c r="B2009">
        <f>IF($J2009="","",IF($J2009&lt;=1500,INDEX('Daily Sale entry '!$Y$1:$Y$1501,$J2009+1)&amp;"","Buyer cheque banked 买家支票存入"&amp;IF(INDEX('Daily Sale entry '!$U$1:$U$1501,$J2009-1499)="","", " - "&amp;INDEX('Daily Sale entry '!$U$1:$U$1501,$J2009-1499))))</f>
        <v/>
      </c>
      <c r="C2009">
        <f>IF($J2009="","",IF($J2009&lt;=1500,INDEX('Daily Sale entry '!$Z$1:$Z$1501,$J2009+1)&amp;"","Cheque deposit 支票存入 (buyer 买家)"))</f>
        <v/>
      </c>
      <c r="D2009">
        <f>IF($J2009="","",IF($J2009&lt;=1500,INDEX('Daily Sale entry '!$AA$1:$AA$1501,$J2009+1)&amp;"",INDEX('Daily Sale entry '!$P$1:$P$1501,$J2009-1499)&amp;""))</f>
        <v/>
      </c>
      <c r="E2009">
        <f>IF($J2009="","",IF($J2009&lt;=1500,IF(N(INDEX('Daily Sale entry '!$AB$1:$AB$1501,$J2009+1))=0,"",INDEX('Daily Sale entry '!$AB$1:$AB$1501,$J2009+1)),1))</f>
        <v/>
      </c>
      <c r="F2009" s="6">
        <f>IF($J2009="","",IF($J2009&lt;=1500,N(INDEX('Daily Sale entry '!$AC$1:$AC$1501,$J2009+1))-IF(AND('Opening Balance'!$B$15=1,INDEX('Daily Sale entry '!$Z$1:$Z$1501,$J2009+1)="Online collection 网上收款",INDEX('Daily Sale entry '!$AA$1:$AA$1501,$J2009+1)&lt;&gt;""),N(INDEX('Daily Sale entry '!$AC$1:$AC$1501,$J2009+1))-TRUNC(N(INDEX('Daily Sale entry '!$AC$1:$AC$1501,$J2009+1))),0),N(INDEX('Daily Sale entry '!$S$1:$S$1501,$J2009-1499))-'Opening Balance'!$B$15*(N(INDEX('Daily Sale entry '!$S$1:$S$1501,$J2009-1499))-TRUNC(N(INDEX('Daily Sale entry '!$S$1:$S$1501,$J2009-1499))))))</f>
        <v/>
      </c>
      <c r="G2009" s="6">
        <f>IF($J2009="","",IF($J2009&lt;=1500,N(INDEX('Daily Sale entry '!$AD$1:$AD$1501,$J2009+1)),0))</f>
        <v/>
      </c>
      <c r="H2009" s="6">
        <f>IF($J2009="","",ROUND('Opening Balance'!$B$4+SUM($F$2:F2009)-SUM($G$2:G2009),2))</f>
        <v/>
      </c>
      <c r="J2009" s="21">
        <f>IFERROR(MATCH(ROW()-1,$L$2:$L$3001,0),"")</f>
        <v/>
      </c>
      <c r="K2009" s="34">
        <f>IF(AND('Daily Sale entry '!Q509="Collection 收款",'Daily Sale entry '!R509="Cheque 支票",'Daily Sale entry '!V509&lt;&gt;""),'Daily Sale entry '!V509+ROW()/10000000,"")</f>
        <v/>
      </c>
      <c r="L2009" s="21">
        <f>IF(K2009="","",COUNTIF($K$2:$K$3001,"&lt;"&amp;K2009)+1)</f>
        <v/>
      </c>
    </row>
    <row r="2010">
      <c r="A2010" s="5">
        <f>IF($J2010="","",IF($J2010&lt;=1500,INDEX('Daily Sale entry '!$X$1:$X$1501,$J2010+1),INDEX('Daily Sale entry '!$V$1:$V$1501,$J2010-1499)))</f>
        <v/>
      </c>
      <c r="B2010">
        <f>IF($J2010="","",IF($J2010&lt;=1500,INDEX('Daily Sale entry '!$Y$1:$Y$1501,$J2010+1)&amp;"","Buyer cheque banked 买家支票存入"&amp;IF(INDEX('Daily Sale entry '!$U$1:$U$1501,$J2010-1499)="","", " - "&amp;INDEX('Daily Sale entry '!$U$1:$U$1501,$J2010-1499))))</f>
        <v/>
      </c>
      <c r="C2010">
        <f>IF($J2010="","",IF($J2010&lt;=1500,INDEX('Daily Sale entry '!$Z$1:$Z$1501,$J2010+1)&amp;"","Cheque deposit 支票存入 (buyer 买家)"))</f>
        <v/>
      </c>
      <c r="D2010">
        <f>IF($J2010="","",IF($J2010&lt;=1500,INDEX('Daily Sale entry '!$AA$1:$AA$1501,$J2010+1)&amp;"",INDEX('Daily Sale entry '!$P$1:$P$1501,$J2010-1499)&amp;""))</f>
        <v/>
      </c>
      <c r="E2010">
        <f>IF($J2010="","",IF($J2010&lt;=1500,IF(N(INDEX('Daily Sale entry '!$AB$1:$AB$1501,$J2010+1))=0,"",INDEX('Daily Sale entry '!$AB$1:$AB$1501,$J2010+1)),1))</f>
        <v/>
      </c>
      <c r="F2010" s="6">
        <f>IF($J2010="","",IF($J2010&lt;=1500,N(INDEX('Daily Sale entry '!$AC$1:$AC$1501,$J2010+1))-IF(AND('Opening Balance'!$B$15=1,INDEX('Daily Sale entry '!$Z$1:$Z$1501,$J2010+1)="Online collection 网上收款",INDEX('Daily Sale entry '!$AA$1:$AA$1501,$J2010+1)&lt;&gt;""),N(INDEX('Daily Sale entry '!$AC$1:$AC$1501,$J2010+1))-TRUNC(N(INDEX('Daily Sale entry '!$AC$1:$AC$1501,$J2010+1))),0),N(INDEX('Daily Sale entry '!$S$1:$S$1501,$J2010-1499))-'Opening Balance'!$B$15*(N(INDEX('Daily Sale entry '!$S$1:$S$1501,$J2010-1499))-TRUNC(N(INDEX('Daily Sale entry '!$S$1:$S$1501,$J2010-1499))))))</f>
        <v/>
      </c>
      <c r="G2010" s="6">
        <f>IF($J2010="","",IF($J2010&lt;=1500,N(INDEX('Daily Sale entry '!$AD$1:$AD$1501,$J2010+1)),0))</f>
        <v/>
      </c>
      <c r="H2010" s="6">
        <f>IF($J2010="","",ROUND('Opening Balance'!$B$4+SUM($F$2:F2010)-SUM($G$2:G2010),2))</f>
        <v/>
      </c>
      <c r="J2010" s="21">
        <f>IFERROR(MATCH(ROW()-1,$L$2:$L$3001,0),"")</f>
        <v/>
      </c>
      <c r="K2010" s="34">
        <f>IF(AND('Daily Sale entry '!Q510="Collection 收款",'Daily Sale entry '!R510="Cheque 支票",'Daily Sale entry '!V510&lt;&gt;""),'Daily Sale entry '!V510+ROW()/10000000,"")</f>
        <v/>
      </c>
      <c r="L2010" s="21">
        <f>IF(K2010="","",COUNTIF($K$2:$K$3001,"&lt;"&amp;K2010)+1)</f>
        <v/>
      </c>
    </row>
    <row r="2011">
      <c r="A2011" s="5">
        <f>IF($J2011="","",IF($J2011&lt;=1500,INDEX('Daily Sale entry '!$X$1:$X$1501,$J2011+1),INDEX('Daily Sale entry '!$V$1:$V$1501,$J2011-1499)))</f>
        <v/>
      </c>
      <c r="B2011">
        <f>IF($J2011="","",IF($J2011&lt;=1500,INDEX('Daily Sale entry '!$Y$1:$Y$1501,$J2011+1)&amp;"","Buyer cheque banked 买家支票存入"&amp;IF(INDEX('Daily Sale entry '!$U$1:$U$1501,$J2011-1499)="","", " - "&amp;INDEX('Daily Sale entry '!$U$1:$U$1501,$J2011-1499))))</f>
        <v/>
      </c>
      <c r="C2011">
        <f>IF($J2011="","",IF($J2011&lt;=1500,INDEX('Daily Sale entry '!$Z$1:$Z$1501,$J2011+1)&amp;"","Cheque deposit 支票存入 (buyer 买家)"))</f>
        <v/>
      </c>
      <c r="D2011">
        <f>IF($J2011="","",IF($J2011&lt;=1500,INDEX('Daily Sale entry '!$AA$1:$AA$1501,$J2011+1)&amp;"",INDEX('Daily Sale entry '!$P$1:$P$1501,$J2011-1499)&amp;""))</f>
        <v/>
      </c>
      <c r="E2011">
        <f>IF($J2011="","",IF($J2011&lt;=1500,IF(N(INDEX('Daily Sale entry '!$AB$1:$AB$1501,$J2011+1))=0,"",INDEX('Daily Sale entry '!$AB$1:$AB$1501,$J2011+1)),1))</f>
        <v/>
      </c>
      <c r="F2011" s="6">
        <f>IF($J2011="","",IF($J2011&lt;=1500,N(INDEX('Daily Sale entry '!$AC$1:$AC$1501,$J2011+1))-IF(AND('Opening Balance'!$B$15=1,INDEX('Daily Sale entry '!$Z$1:$Z$1501,$J2011+1)="Online collection 网上收款",INDEX('Daily Sale entry '!$AA$1:$AA$1501,$J2011+1)&lt;&gt;""),N(INDEX('Daily Sale entry '!$AC$1:$AC$1501,$J2011+1))-TRUNC(N(INDEX('Daily Sale entry '!$AC$1:$AC$1501,$J2011+1))),0),N(INDEX('Daily Sale entry '!$S$1:$S$1501,$J2011-1499))-'Opening Balance'!$B$15*(N(INDEX('Daily Sale entry '!$S$1:$S$1501,$J2011-1499))-TRUNC(N(INDEX('Daily Sale entry '!$S$1:$S$1501,$J2011-1499))))))</f>
        <v/>
      </c>
      <c r="G2011" s="6">
        <f>IF($J2011="","",IF($J2011&lt;=1500,N(INDEX('Daily Sale entry '!$AD$1:$AD$1501,$J2011+1)),0))</f>
        <v/>
      </c>
      <c r="H2011" s="6">
        <f>IF($J2011="","",ROUND('Opening Balance'!$B$4+SUM($F$2:F2011)-SUM($G$2:G2011),2))</f>
        <v/>
      </c>
      <c r="J2011" s="21">
        <f>IFERROR(MATCH(ROW()-1,$L$2:$L$3001,0),"")</f>
        <v/>
      </c>
      <c r="K2011" s="34">
        <f>IF(AND('Daily Sale entry '!Q511="Collection 收款",'Daily Sale entry '!R511="Cheque 支票",'Daily Sale entry '!V511&lt;&gt;""),'Daily Sale entry '!V511+ROW()/10000000,"")</f>
        <v/>
      </c>
      <c r="L2011" s="21">
        <f>IF(K2011="","",COUNTIF($K$2:$K$3001,"&lt;"&amp;K2011)+1)</f>
        <v/>
      </c>
    </row>
    <row r="2012">
      <c r="A2012" s="5">
        <f>IF($J2012="","",IF($J2012&lt;=1500,INDEX('Daily Sale entry '!$X$1:$X$1501,$J2012+1),INDEX('Daily Sale entry '!$V$1:$V$1501,$J2012-1499)))</f>
        <v/>
      </c>
      <c r="B2012">
        <f>IF($J2012="","",IF($J2012&lt;=1500,INDEX('Daily Sale entry '!$Y$1:$Y$1501,$J2012+1)&amp;"","Buyer cheque banked 买家支票存入"&amp;IF(INDEX('Daily Sale entry '!$U$1:$U$1501,$J2012-1499)="","", " - "&amp;INDEX('Daily Sale entry '!$U$1:$U$1501,$J2012-1499))))</f>
        <v/>
      </c>
      <c r="C2012">
        <f>IF($J2012="","",IF($J2012&lt;=1500,INDEX('Daily Sale entry '!$Z$1:$Z$1501,$J2012+1)&amp;"","Cheque deposit 支票存入 (buyer 买家)"))</f>
        <v/>
      </c>
      <c r="D2012">
        <f>IF($J2012="","",IF($J2012&lt;=1500,INDEX('Daily Sale entry '!$AA$1:$AA$1501,$J2012+1)&amp;"",INDEX('Daily Sale entry '!$P$1:$P$1501,$J2012-1499)&amp;""))</f>
        <v/>
      </c>
      <c r="E2012">
        <f>IF($J2012="","",IF($J2012&lt;=1500,IF(N(INDEX('Daily Sale entry '!$AB$1:$AB$1501,$J2012+1))=0,"",INDEX('Daily Sale entry '!$AB$1:$AB$1501,$J2012+1)),1))</f>
        <v/>
      </c>
      <c r="F2012" s="6">
        <f>IF($J2012="","",IF($J2012&lt;=1500,N(INDEX('Daily Sale entry '!$AC$1:$AC$1501,$J2012+1))-IF(AND('Opening Balance'!$B$15=1,INDEX('Daily Sale entry '!$Z$1:$Z$1501,$J2012+1)="Online collection 网上收款",INDEX('Daily Sale entry '!$AA$1:$AA$1501,$J2012+1)&lt;&gt;""),N(INDEX('Daily Sale entry '!$AC$1:$AC$1501,$J2012+1))-TRUNC(N(INDEX('Daily Sale entry '!$AC$1:$AC$1501,$J2012+1))),0),N(INDEX('Daily Sale entry '!$S$1:$S$1501,$J2012-1499))-'Opening Balance'!$B$15*(N(INDEX('Daily Sale entry '!$S$1:$S$1501,$J2012-1499))-TRUNC(N(INDEX('Daily Sale entry '!$S$1:$S$1501,$J2012-1499))))))</f>
        <v/>
      </c>
      <c r="G2012" s="6">
        <f>IF($J2012="","",IF($J2012&lt;=1500,N(INDEX('Daily Sale entry '!$AD$1:$AD$1501,$J2012+1)),0))</f>
        <v/>
      </c>
      <c r="H2012" s="6">
        <f>IF($J2012="","",ROUND('Opening Balance'!$B$4+SUM($F$2:F2012)-SUM($G$2:G2012),2))</f>
        <v/>
      </c>
      <c r="J2012" s="21">
        <f>IFERROR(MATCH(ROW()-1,$L$2:$L$3001,0),"")</f>
        <v/>
      </c>
      <c r="K2012" s="34">
        <f>IF(AND('Daily Sale entry '!Q512="Collection 收款",'Daily Sale entry '!R512="Cheque 支票",'Daily Sale entry '!V512&lt;&gt;""),'Daily Sale entry '!V512+ROW()/10000000,"")</f>
        <v/>
      </c>
      <c r="L2012" s="21">
        <f>IF(K2012="","",COUNTIF($K$2:$K$3001,"&lt;"&amp;K2012)+1)</f>
        <v/>
      </c>
    </row>
    <row r="2013">
      <c r="A2013" s="5">
        <f>IF($J2013="","",IF($J2013&lt;=1500,INDEX('Daily Sale entry '!$X$1:$X$1501,$J2013+1),INDEX('Daily Sale entry '!$V$1:$V$1501,$J2013-1499)))</f>
        <v/>
      </c>
      <c r="B2013">
        <f>IF($J2013="","",IF($J2013&lt;=1500,INDEX('Daily Sale entry '!$Y$1:$Y$1501,$J2013+1)&amp;"","Buyer cheque banked 买家支票存入"&amp;IF(INDEX('Daily Sale entry '!$U$1:$U$1501,$J2013-1499)="","", " - "&amp;INDEX('Daily Sale entry '!$U$1:$U$1501,$J2013-1499))))</f>
        <v/>
      </c>
      <c r="C2013">
        <f>IF($J2013="","",IF($J2013&lt;=1500,INDEX('Daily Sale entry '!$Z$1:$Z$1501,$J2013+1)&amp;"","Cheque deposit 支票存入 (buyer 买家)"))</f>
        <v/>
      </c>
      <c r="D2013">
        <f>IF($J2013="","",IF($J2013&lt;=1500,INDEX('Daily Sale entry '!$AA$1:$AA$1501,$J2013+1)&amp;"",INDEX('Daily Sale entry '!$P$1:$P$1501,$J2013-1499)&amp;""))</f>
        <v/>
      </c>
      <c r="E2013">
        <f>IF($J2013="","",IF($J2013&lt;=1500,IF(N(INDEX('Daily Sale entry '!$AB$1:$AB$1501,$J2013+1))=0,"",INDEX('Daily Sale entry '!$AB$1:$AB$1501,$J2013+1)),1))</f>
        <v/>
      </c>
      <c r="F2013" s="6">
        <f>IF($J2013="","",IF($J2013&lt;=1500,N(INDEX('Daily Sale entry '!$AC$1:$AC$1501,$J2013+1))-IF(AND('Opening Balance'!$B$15=1,INDEX('Daily Sale entry '!$Z$1:$Z$1501,$J2013+1)="Online collection 网上收款",INDEX('Daily Sale entry '!$AA$1:$AA$1501,$J2013+1)&lt;&gt;""),N(INDEX('Daily Sale entry '!$AC$1:$AC$1501,$J2013+1))-TRUNC(N(INDEX('Daily Sale entry '!$AC$1:$AC$1501,$J2013+1))),0),N(INDEX('Daily Sale entry '!$S$1:$S$1501,$J2013-1499))-'Opening Balance'!$B$15*(N(INDEX('Daily Sale entry '!$S$1:$S$1501,$J2013-1499))-TRUNC(N(INDEX('Daily Sale entry '!$S$1:$S$1501,$J2013-1499))))))</f>
        <v/>
      </c>
      <c r="G2013" s="6">
        <f>IF($J2013="","",IF($J2013&lt;=1500,N(INDEX('Daily Sale entry '!$AD$1:$AD$1501,$J2013+1)),0))</f>
        <v/>
      </c>
      <c r="H2013" s="6">
        <f>IF($J2013="","",ROUND('Opening Balance'!$B$4+SUM($F$2:F2013)-SUM($G$2:G2013),2))</f>
        <v/>
      </c>
      <c r="J2013" s="21">
        <f>IFERROR(MATCH(ROW()-1,$L$2:$L$3001,0),"")</f>
        <v/>
      </c>
      <c r="K2013" s="34">
        <f>IF(AND('Daily Sale entry '!Q513="Collection 收款",'Daily Sale entry '!R513="Cheque 支票",'Daily Sale entry '!V513&lt;&gt;""),'Daily Sale entry '!V513+ROW()/10000000,"")</f>
        <v/>
      </c>
      <c r="L2013" s="21">
        <f>IF(K2013="","",COUNTIF($K$2:$K$3001,"&lt;"&amp;K2013)+1)</f>
        <v/>
      </c>
    </row>
    <row r="2014">
      <c r="A2014" s="5">
        <f>IF($J2014="","",IF($J2014&lt;=1500,INDEX('Daily Sale entry '!$X$1:$X$1501,$J2014+1),INDEX('Daily Sale entry '!$V$1:$V$1501,$J2014-1499)))</f>
        <v/>
      </c>
      <c r="B2014">
        <f>IF($J2014="","",IF($J2014&lt;=1500,INDEX('Daily Sale entry '!$Y$1:$Y$1501,$J2014+1)&amp;"","Buyer cheque banked 买家支票存入"&amp;IF(INDEX('Daily Sale entry '!$U$1:$U$1501,$J2014-1499)="","", " - "&amp;INDEX('Daily Sale entry '!$U$1:$U$1501,$J2014-1499))))</f>
        <v/>
      </c>
      <c r="C2014">
        <f>IF($J2014="","",IF($J2014&lt;=1500,INDEX('Daily Sale entry '!$Z$1:$Z$1501,$J2014+1)&amp;"","Cheque deposit 支票存入 (buyer 买家)"))</f>
        <v/>
      </c>
      <c r="D2014">
        <f>IF($J2014="","",IF($J2014&lt;=1500,INDEX('Daily Sale entry '!$AA$1:$AA$1501,$J2014+1)&amp;"",INDEX('Daily Sale entry '!$P$1:$P$1501,$J2014-1499)&amp;""))</f>
        <v/>
      </c>
      <c r="E2014">
        <f>IF($J2014="","",IF($J2014&lt;=1500,IF(N(INDEX('Daily Sale entry '!$AB$1:$AB$1501,$J2014+1))=0,"",INDEX('Daily Sale entry '!$AB$1:$AB$1501,$J2014+1)),1))</f>
        <v/>
      </c>
      <c r="F2014" s="6">
        <f>IF($J2014="","",IF($J2014&lt;=1500,N(INDEX('Daily Sale entry '!$AC$1:$AC$1501,$J2014+1))-IF(AND('Opening Balance'!$B$15=1,INDEX('Daily Sale entry '!$Z$1:$Z$1501,$J2014+1)="Online collection 网上收款",INDEX('Daily Sale entry '!$AA$1:$AA$1501,$J2014+1)&lt;&gt;""),N(INDEX('Daily Sale entry '!$AC$1:$AC$1501,$J2014+1))-TRUNC(N(INDEX('Daily Sale entry '!$AC$1:$AC$1501,$J2014+1))),0),N(INDEX('Daily Sale entry '!$S$1:$S$1501,$J2014-1499))-'Opening Balance'!$B$15*(N(INDEX('Daily Sale entry '!$S$1:$S$1501,$J2014-1499))-TRUNC(N(INDEX('Daily Sale entry '!$S$1:$S$1501,$J2014-1499))))))</f>
        <v/>
      </c>
      <c r="G2014" s="6">
        <f>IF($J2014="","",IF($J2014&lt;=1500,N(INDEX('Daily Sale entry '!$AD$1:$AD$1501,$J2014+1)),0))</f>
        <v/>
      </c>
      <c r="H2014" s="6">
        <f>IF($J2014="","",ROUND('Opening Balance'!$B$4+SUM($F$2:F2014)-SUM($G$2:G2014),2))</f>
        <v/>
      </c>
      <c r="J2014" s="21">
        <f>IFERROR(MATCH(ROW()-1,$L$2:$L$3001,0),"")</f>
        <v/>
      </c>
      <c r="K2014" s="34">
        <f>IF(AND('Daily Sale entry '!Q514="Collection 收款",'Daily Sale entry '!R514="Cheque 支票",'Daily Sale entry '!V514&lt;&gt;""),'Daily Sale entry '!V514+ROW()/10000000,"")</f>
        <v/>
      </c>
      <c r="L2014" s="21">
        <f>IF(K2014="","",COUNTIF($K$2:$K$3001,"&lt;"&amp;K2014)+1)</f>
        <v/>
      </c>
    </row>
    <row r="2015">
      <c r="A2015" s="5">
        <f>IF($J2015="","",IF($J2015&lt;=1500,INDEX('Daily Sale entry '!$X$1:$X$1501,$J2015+1),INDEX('Daily Sale entry '!$V$1:$V$1501,$J2015-1499)))</f>
        <v/>
      </c>
      <c r="B2015">
        <f>IF($J2015="","",IF($J2015&lt;=1500,INDEX('Daily Sale entry '!$Y$1:$Y$1501,$J2015+1)&amp;"","Buyer cheque banked 买家支票存入"&amp;IF(INDEX('Daily Sale entry '!$U$1:$U$1501,$J2015-1499)="","", " - "&amp;INDEX('Daily Sale entry '!$U$1:$U$1501,$J2015-1499))))</f>
        <v/>
      </c>
      <c r="C2015">
        <f>IF($J2015="","",IF($J2015&lt;=1500,INDEX('Daily Sale entry '!$Z$1:$Z$1501,$J2015+1)&amp;"","Cheque deposit 支票存入 (buyer 买家)"))</f>
        <v/>
      </c>
      <c r="D2015">
        <f>IF($J2015="","",IF($J2015&lt;=1500,INDEX('Daily Sale entry '!$AA$1:$AA$1501,$J2015+1)&amp;"",INDEX('Daily Sale entry '!$P$1:$P$1501,$J2015-1499)&amp;""))</f>
        <v/>
      </c>
      <c r="E2015">
        <f>IF($J2015="","",IF($J2015&lt;=1500,IF(N(INDEX('Daily Sale entry '!$AB$1:$AB$1501,$J2015+1))=0,"",INDEX('Daily Sale entry '!$AB$1:$AB$1501,$J2015+1)),1))</f>
        <v/>
      </c>
      <c r="F2015" s="6">
        <f>IF($J2015="","",IF($J2015&lt;=1500,N(INDEX('Daily Sale entry '!$AC$1:$AC$1501,$J2015+1))-IF(AND('Opening Balance'!$B$15=1,INDEX('Daily Sale entry '!$Z$1:$Z$1501,$J2015+1)="Online collection 网上收款",INDEX('Daily Sale entry '!$AA$1:$AA$1501,$J2015+1)&lt;&gt;""),N(INDEX('Daily Sale entry '!$AC$1:$AC$1501,$J2015+1))-TRUNC(N(INDEX('Daily Sale entry '!$AC$1:$AC$1501,$J2015+1))),0),N(INDEX('Daily Sale entry '!$S$1:$S$1501,$J2015-1499))-'Opening Balance'!$B$15*(N(INDEX('Daily Sale entry '!$S$1:$S$1501,$J2015-1499))-TRUNC(N(INDEX('Daily Sale entry '!$S$1:$S$1501,$J2015-1499))))))</f>
        <v/>
      </c>
      <c r="G2015" s="6">
        <f>IF($J2015="","",IF($J2015&lt;=1500,N(INDEX('Daily Sale entry '!$AD$1:$AD$1501,$J2015+1)),0))</f>
        <v/>
      </c>
      <c r="H2015" s="6">
        <f>IF($J2015="","",ROUND('Opening Balance'!$B$4+SUM($F$2:F2015)-SUM($G$2:G2015),2))</f>
        <v/>
      </c>
      <c r="J2015" s="21">
        <f>IFERROR(MATCH(ROW()-1,$L$2:$L$3001,0),"")</f>
        <v/>
      </c>
      <c r="K2015" s="34">
        <f>IF(AND('Daily Sale entry '!Q515="Collection 收款",'Daily Sale entry '!R515="Cheque 支票",'Daily Sale entry '!V515&lt;&gt;""),'Daily Sale entry '!V515+ROW()/10000000,"")</f>
        <v/>
      </c>
      <c r="L2015" s="21">
        <f>IF(K2015="","",COUNTIF($K$2:$K$3001,"&lt;"&amp;K2015)+1)</f>
        <v/>
      </c>
    </row>
    <row r="2016">
      <c r="A2016" s="5">
        <f>IF($J2016="","",IF($J2016&lt;=1500,INDEX('Daily Sale entry '!$X$1:$X$1501,$J2016+1),INDEX('Daily Sale entry '!$V$1:$V$1501,$J2016-1499)))</f>
        <v/>
      </c>
      <c r="B2016">
        <f>IF($J2016="","",IF($J2016&lt;=1500,INDEX('Daily Sale entry '!$Y$1:$Y$1501,$J2016+1)&amp;"","Buyer cheque banked 买家支票存入"&amp;IF(INDEX('Daily Sale entry '!$U$1:$U$1501,$J2016-1499)="","", " - "&amp;INDEX('Daily Sale entry '!$U$1:$U$1501,$J2016-1499))))</f>
        <v/>
      </c>
      <c r="C2016">
        <f>IF($J2016="","",IF($J2016&lt;=1500,INDEX('Daily Sale entry '!$Z$1:$Z$1501,$J2016+1)&amp;"","Cheque deposit 支票存入 (buyer 买家)"))</f>
        <v/>
      </c>
      <c r="D2016">
        <f>IF($J2016="","",IF($J2016&lt;=1500,INDEX('Daily Sale entry '!$AA$1:$AA$1501,$J2016+1)&amp;"",INDEX('Daily Sale entry '!$P$1:$P$1501,$J2016-1499)&amp;""))</f>
        <v/>
      </c>
      <c r="E2016">
        <f>IF($J2016="","",IF($J2016&lt;=1500,IF(N(INDEX('Daily Sale entry '!$AB$1:$AB$1501,$J2016+1))=0,"",INDEX('Daily Sale entry '!$AB$1:$AB$1501,$J2016+1)),1))</f>
        <v/>
      </c>
      <c r="F2016" s="6">
        <f>IF($J2016="","",IF($J2016&lt;=1500,N(INDEX('Daily Sale entry '!$AC$1:$AC$1501,$J2016+1))-IF(AND('Opening Balance'!$B$15=1,INDEX('Daily Sale entry '!$Z$1:$Z$1501,$J2016+1)="Online collection 网上收款",INDEX('Daily Sale entry '!$AA$1:$AA$1501,$J2016+1)&lt;&gt;""),N(INDEX('Daily Sale entry '!$AC$1:$AC$1501,$J2016+1))-TRUNC(N(INDEX('Daily Sale entry '!$AC$1:$AC$1501,$J2016+1))),0),N(INDEX('Daily Sale entry '!$S$1:$S$1501,$J2016-1499))-'Opening Balance'!$B$15*(N(INDEX('Daily Sale entry '!$S$1:$S$1501,$J2016-1499))-TRUNC(N(INDEX('Daily Sale entry '!$S$1:$S$1501,$J2016-1499))))))</f>
        <v/>
      </c>
      <c r="G2016" s="6">
        <f>IF($J2016="","",IF($J2016&lt;=1500,N(INDEX('Daily Sale entry '!$AD$1:$AD$1501,$J2016+1)),0))</f>
        <v/>
      </c>
      <c r="H2016" s="6">
        <f>IF($J2016="","",ROUND('Opening Balance'!$B$4+SUM($F$2:F2016)-SUM($G$2:G2016),2))</f>
        <v/>
      </c>
      <c r="J2016" s="21">
        <f>IFERROR(MATCH(ROW()-1,$L$2:$L$3001,0),"")</f>
        <v/>
      </c>
      <c r="K2016" s="34">
        <f>IF(AND('Daily Sale entry '!Q516="Collection 收款",'Daily Sale entry '!R516="Cheque 支票",'Daily Sale entry '!V516&lt;&gt;""),'Daily Sale entry '!V516+ROW()/10000000,"")</f>
        <v/>
      </c>
      <c r="L2016" s="21">
        <f>IF(K2016="","",COUNTIF($K$2:$K$3001,"&lt;"&amp;K2016)+1)</f>
        <v/>
      </c>
    </row>
    <row r="2017">
      <c r="A2017" s="5">
        <f>IF($J2017="","",IF($J2017&lt;=1500,INDEX('Daily Sale entry '!$X$1:$X$1501,$J2017+1),INDEX('Daily Sale entry '!$V$1:$V$1501,$J2017-1499)))</f>
        <v/>
      </c>
      <c r="B2017">
        <f>IF($J2017="","",IF($J2017&lt;=1500,INDEX('Daily Sale entry '!$Y$1:$Y$1501,$J2017+1)&amp;"","Buyer cheque banked 买家支票存入"&amp;IF(INDEX('Daily Sale entry '!$U$1:$U$1501,$J2017-1499)="","", " - "&amp;INDEX('Daily Sale entry '!$U$1:$U$1501,$J2017-1499))))</f>
        <v/>
      </c>
      <c r="C2017">
        <f>IF($J2017="","",IF($J2017&lt;=1500,INDEX('Daily Sale entry '!$Z$1:$Z$1501,$J2017+1)&amp;"","Cheque deposit 支票存入 (buyer 买家)"))</f>
        <v/>
      </c>
      <c r="D2017">
        <f>IF($J2017="","",IF($J2017&lt;=1500,INDEX('Daily Sale entry '!$AA$1:$AA$1501,$J2017+1)&amp;"",INDEX('Daily Sale entry '!$P$1:$P$1501,$J2017-1499)&amp;""))</f>
        <v/>
      </c>
      <c r="E2017">
        <f>IF($J2017="","",IF($J2017&lt;=1500,IF(N(INDEX('Daily Sale entry '!$AB$1:$AB$1501,$J2017+1))=0,"",INDEX('Daily Sale entry '!$AB$1:$AB$1501,$J2017+1)),1))</f>
        <v/>
      </c>
      <c r="F2017" s="6">
        <f>IF($J2017="","",IF($J2017&lt;=1500,N(INDEX('Daily Sale entry '!$AC$1:$AC$1501,$J2017+1))-IF(AND('Opening Balance'!$B$15=1,INDEX('Daily Sale entry '!$Z$1:$Z$1501,$J2017+1)="Online collection 网上收款",INDEX('Daily Sale entry '!$AA$1:$AA$1501,$J2017+1)&lt;&gt;""),N(INDEX('Daily Sale entry '!$AC$1:$AC$1501,$J2017+1))-TRUNC(N(INDEX('Daily Sale entry '!$AC$1:$AC$1501,$J2017+1))),0),N(INDEX('Daily Sale entry '!$S$1:$S$1501,$J2017-1499))-'Opening Balance'!$B$15*(N(INDEX('Daily Sale entry '!$S$1:$S$1501,$J2017-1499))-TRUNC(N(INDEX('Daily Sale entry '!$S$1:$S$1501,$J2017-1499))))))</f>
        <v/>
      </c>
      <c r="G2017" s="6">
        <f>IF($J2017="","",IF($J2017&lt;=1500,N(INDEX('Daily Sale entry '!$AD$1:$AD$1501,$J2017+1)),0))</f>
        <v/>
      </c>
      <c r="H2017" s="6">
        <f>IF($J2017="","",ROUND('Opening Balance'!$B$4+SUM($F$2:F2017)-SUM($G$2:G2017),2))</f>
        <v/>
      </c>
      <c r="J2017" s="21">
        <f>IFERROR(MATCH(ROW()-1,$L$2:$L$3001,0),"")</f>
        <v/>
      </c>
      <c r="K2017" s="34">
        <f>IF(AND('Daily Sale entry '!Q517="Collection 收款",'Daily Sale entry '!R517="Cheque 支票",'Daily Sale entry '!V517&lt;&gt;""),'Daily Sale entry '!V517+ROW()/10000000,"")</f>
        <v/>
      </c>
      <c r="L2017" s="21">
        <f>IF(K2017="","",COUNTIF($K$2:$K$3001,"&lt;"&amp;K2017)+1)</f>
        <v/>
      </c>
    </row>
    <row r="2018">
      <c r="A2018" s="5">
        <f>IF($J2018="","",IF($J2018&lt;=1500,INDEX('Daily Sale entry '!$X$1:$X$1501,$J2018+1),INDEX('Daily Sale entry '!$V$1:$V$1501,$J2018-1499)))</f>
        <v/>
      </c>
      <c r="B2018">
        <f>IF($J2018="","",IF($J2018&lt;=1500,INDEX('Daily Sale entry '!$Y$1:$Y$1501,$J2018+1)&amp;"","Buyer cheque banked 买家支票存入"&amp;IF(INDEX('Daily Sale entry '!$U$1:$U$1501,$J2018-1499)="","", " - "&amp;INDEX('Daily Sale entry '!$U$1:$U$1501,$J2018-1499))))</f>
        <v/>
      </c>
      <c r="C2018">
        <f>IF($J2018="","",IF($J2018&lt;=1500,INDEX('Daily Sale entry '!$Z$1:$Z$1501,$J2018+1)&amp;"","Cheque deposit 支票存入 (buyer 买家)"))</f>
        <v/>
      </c>
      <c r="D2018">
        <f>IF($J2018="","",IF($J2018&lt;=1500,INDEX('Daily Sale entry '!$AA$1:$AA$1501,$J2018+1)&amp;"",INDEX('Daily Sale entry '!$P$1:$P$1501,$J2018-1499)&amp;""))</f>
        <v/>
      </c>
      <c r="E2018">
        <f>IF($J2018="","",IF($J2018&lt;=1500,IF(N(INDEX('Daily Sale entry '!$AB$1:$AB$1501,$J2018+1))=0,"",INDEX('Daily Sale entry '!$AB$1:$AB$1501,$J2018+1)),1))</f>
        <v/>
      </c>
      <c r="F2018" s="6">
        <f>IF($J2018="","",IF($J2018&lt;=1500,N(INDEX('Daily Sale entry '!$AC$1:$AC$1501,$J2018+1))-IF(AND('Opening Balance'!$B$15=1,INDEX('Daily Sale entry '!$Z$1:$Z$1501,$J2018+1)="Online collection 网上收款",INDEX('Daily Sale entry '!$AA$1:$AA$1501,$J2018+1)&lt;&gt;""),N(INDEX('Daily Sale entry '!$AC$1:$AC$1501,$J2018+1))-TRUNC(N(INDEX('Daily Sale entry '!$AC$1:$AC$1501,$J2018+1))),0),N(INDEX('Daily Sale entry '!$S$1:$S$1501,$J2018-1499))-'Opening Balance'!$B$15*(N(INDEX('Daily Sale entry '!$S$1:$S$1501,$J2018-1499))-TRUNC(N(INDEX('Daily Sale entry '!$S$1:$S$1501,$J2018-1499))))))</f>
        <v/>
      </c>
      <c r="G2018" s="6">
        <f>IF($J2018="","",IF($J2018&lt;=1500,N(INDEX('Daily Sale entry '!$AD$1:$AD$1501,$J2018+1)),0))</f>
        <v/>
      </c>
      <c r="H2018" s="6">
        <f>IF($J2018="","",ROUND('Opening Balance'!$B$4+SUM($F$2:F2018)-SUM($G$2:G2018),2))</f>
        <v/>
      </c>
      <c r="J2018" s="21">
        <f>IFERROR(MATCH(ROW()-1,$L$2:$L$3001,0),"")</f>
        <v/>
      </c>
      <c r="K2018" s="34">
        <f>IF(AND('Daily Sale entry '!Q518="Collection 收款",'Daily Sale entry '!R518="Cheque 支票",'Daily Sale entry '!V518&lt;&gt;""),'Daily Sale entry '!V518+ROW()/10000000,"")</f>
        <v/>
      </c>
      <c r="L2018" s="21">
        <f>IF(K2018="","",COUNTIF($K$2:$K$3001,"&lt;"&amp;K2018)+1)</f>
        <v/>
      </c>
    </row>
    <row r="2019">
      <c r="A2019" s="5">
        <f>IF($J2019="","",IF($J2019&lt;=1500,INDEX('Daily Sale entry '!$X$1:$X$1501,$J2019+1),INDEX('Daily Sale entry '!$V$1:$V$1501,$J2019-1499)))</f>
        <v/>
      </c>
      <c r="B2019">
        <f>IF($J2019="","",IF($J2019&lt;=1500,INDEX('Daily Sale entry '!$Y$1:$Y$1501,$J2019+1)&amp;"","Buyer cheque banked 买家支票存入"&amp;IF(INDEX('Daily Sale entry '!$U$1:$U$1501,$J2019-1499)="","", " - "&amp;INDEX('Daily Sale entry '!$U$1:$U$1501,$J2019-1499))))</f>
        <v/>
      </c>
      <c r="C2019">
        <f>IF($J2019="","",IF($J2019&lt;=1500,INDEX('Daily Sale entry '!$Z$1:$Z$1501,$J2019+1)&amp;"","Cheque deposit 支票存入 (buyer 买家)"))</f>
        <v/>
      </c>
      <c r="D2019">
        <f>IF($J2019="","",IF($J2019&lt;=1500,INDEX('Daily Sale entry '!$AA$1:$AA$1501,$J2019+1)&amp;"",INDEX('Daily Sale entry '!$P$1:$P$1501,$J2019-1499)&amp;""))</f>
        <v/>
      </c>
      <c r="E2019">
        <f>IF($J2019="","",IF($J2019&lt;=1500,IF(N(INDEX('Daily Sale entry '!$AB$1:$AB$1501,$J2019+1))=0,"",INDEX('Daily Sale entry '!$AB$1:$AB$1501,$J2019+1)),1))</f>
        <v/>
      </c>
      <c r="F2019" s="6">
        <f>IF($J2019="","",IF($J2019&lt;=1500,N(INDEX('Daily Sale entry '!$AC$1:$AC$1501,$J2019+1))-IF(AND('Opening Balance'!$B$15=1,INDEX('Daily Sale entry '!$Z$1:$Z$1501,$J2019+1)="Online collection 网上收款",INDEX('Daily Sale entry '!$AA$1:$AA$1501,$J2019+1)&lt;&gt;""),N(INDEX('Daily Sale entry '!$AC$1:$AC$1501,$J2019+1))-TRUNC(N(INDEX('Daily Sale entry '!$AC$1:$AC$1501,$J2019+1))),0),N(INDEX('Daily Sale entry '!$S$1:$S$1501,$J2019-1499))-'Opening Balance'!$B$15*(N(INDEX('Daily Sale entry '!$S$1:$S$1501,$J2019-1499))-TRUNC(N(INDEX('Daily Sale entry '!$S$1:$S$1501,$J2019-1499))))))</f>
        <v/>
      </c>
      <c r="G2019" s="6">
        <f>IF($J2019="","",IF($J2019&lt;=1500,N(INDEX('Daily Sale entry '!$AD$1:$AD$1501,$J2019+1)),0))</f>
        <v/>
      </c>
      <c r="H2019" s="6">
        <f>IF($J2019="","",ROUND('Opening Balance'!$B$4+SUM($F$2:F2019)-SUM($G$2:G2019),2))</f>
        <v/>
      </c>
      <c r="J2019" s="21">
        <f>IFERROR(MATCH(ROW()-1,$L$2:$L$3001,0),"")</f>
        <v/>
      </c>
      <c r="K2019" s="34">
        <f>IF(AND('Daily Sale entry '!Q519="Collection 收款",'Daily Sale entry '!R519="Cheque 支票",'Daily Sale entry '!V519&lt;&gt;""),'Daily Sale entry '!V519+ROW()/10000000,"")</f>
        <v/>
      </c>
      <c r="L2019" s="21">
        <f>IF(K2019="","",COUNTIF($K$2:$K$3001,"&lt;"&amp;K2019)+1)</f>
        <v/>
      </c>
    </row>
    <row r="2020">
      <c r="A2020" s="5">
        <f>IF($J2020="","",IF($J2020&lt;=1500,INDEX('Daily Sale entry '!$X$1:$X$1501,$J2020+1),INDEX('Daily Sale entry '!$V$1:$V$1501,$J2020-1499)))</f>
        <v/>
      </c>
      <c r="B2020">
        <f>IF($J2020="","",IF($J2020&lt;=1500,INDEX('Daily Sale entry '!$Y$1:$Y$1501,$J2020+1)&amp;"","Buyer cheque banked 买家支票存入"&amp;IF(INDEX('Daily Sale entry '!$U$1:$U$1501,$J2020-1499)="","", " - "&amp;INDEX('Daily Sale entry '!$U$1:$U$1501,$J2020-1499))))</f>
        <v/>
      </c>
      <c r="C2020">
        <f>IF($J2020="","",IF($J2020&lt;=1500,INDEX('Daily Sale entry '!$Z$1:$Z$1501,$J2020+1)&amp;"","Cheque deposit 支票存入 (buyer 买家)"))</f>
        <v/>
      </c>
      <c r="D2020">
        <f>IF($J2020="","",IF($J2020&lt;=1500,INDEX('Daily Sale entry '!$AA$1:$AA$1501,$J2020+1)&amp;"",INDEX('Daily Sale entry '!$P$1:$P$1501,$J2020-1499)&amp;""))</f>
        <v/>
      </c>
      <c r="E2020">
        <f>IF($J2020="","",IF($J2020&lt;=1500,IF(N(INDEX('Daily Sale entry '!$AB$1:$AB$1501,$J2020+1))=0,"",INDEX('Daily Sale entry '!$AB$1:$AB$1501,$J2020+1)),1))</f>
        <v/>
      </c>
      <c r="F2020" s="6">
        <f>IF($J2020="","",IF($J2020&lt;=1500,N(INDEX('Daily Sale entry '!$AC$1:$AC$1501,$J2020+1))-IF(AND('Opening Balance'!$B$15=1,INDEX('Daily Sale entry '!$Z$1:$Z$1501,$J2020+1)="Online collection 网上收款",INDEX('Daily Sale entry '!$AA$1:$AA$1501,$J2020+1)&lt;&gt;""),N(INDEX('Daily Sale entry '!$AC$1:$AC$1501,$J2020+1))-TRUNC(N(INDEX('Daily Sale entry '!$AC$1:$AC$1501,$J2020+1))),0),N(INDEX('Daily Sale entry '!$S$1:$S$1501,$J2020-1499))-'Opening Balance'!$B$15*(N(INDEX('Daily Sale entry '!$S$1:$S$1501,$J2020-1499))-TRUNC(N(INDEX('Daily Sale entry '!$S$1:$S$1501,$J2020-1499))))))</f>
        <v/>
      </c>
      <c r="G2020" s="6">
        <f>IF($J2020="","",IF($J2020&lt;=1500,N(INDEX('Daily Sale entry '!$AD$1:$AD$1501,$J2020+1)),0))</f>
        <v/>
      </c>
      <c r="H2020" s="6">
        <f>IF($J2020="","",ROUND('Opening Balance'!$B$4+SUM($F$2:F2020)-SUM($G$2:G2020),2))</f>
        <v/>
      </c>
      <c r="J2020" s="21">
        <f>IFERROR(MATCH(ROW()-1,$L$2:$L$3001,0),"")</f>
        <v/>
      </c>
      <c r="K2020" s="34">
        <f>IF(AND('Daily Sale entry '!Q520="Collection 收款",'Daily Sale entry '!R520="Cheque 支票",'Daily Sale entry '!V520&lt;&gt;""),'Daily Sale entry '!V520+ROW()/10000000,"")</f>
        <v/>
      </c>
      <c r="L2020" s="21">
        <f>IF(K2020="","",COUNTIF($K$2:$K$3001,"&lt;"&amp;K2020)+1)</f>
        <v/>
      </c>
    </row>
    <row r="2021">
      <c r="A2021" s="5">
        <f>IF($J2021="","",IF($J2021&lt;=1500,INDEX('Daily Sale entry '!$X$1:$X$1501,$J2021+1),INDEX('Daily Sale entry '!$V$1:$V$1501,$J2021-1499)))</f>
        <v/>
      </c>
      <c r="B2021">
        <f>IF($J2021="","",IF($J2021&lt;=1500,INDEX('Daily Sale entry '!$Y$1:$Y$1501,$J2021+1)&amp;"","Buyer cheque banked 买家支票存入"&amp;IF(INDEX('Daily Sale entry '!$U$1:$U$1501,$J2021-1499)="","", " - "&amp;INDEX('Daily Sale entry '!$U$1:$U$1501,$J2021-1499))))</f>
        <v/>
      </c>
      <c r="C2021">
        <f>IF($J2021="","",IF($J2021&lt;=1500,INDEX('Daily Sale entry '!$Z$1:$Z$1501,$J2021+1)&amp;"","Cheque deposit 支票存入 (buyer 买家)"))</f>
        <v/>
      </c>
      <c r="D2021">
        <f>IF($J2021="","",IF($J2021&lt;=1500,INDEX('Daily Sale entry '!$AA$1:$AA$1501,$J2021+1)&amp;"",INDEX('Daily Sale entry '!$P$1:$P$1501,$J2021-1499)&amp;""))</f>
        <v/>
      </c>
      <c r="E2021">
        <f>IF($J2021="","",IF($J2021&lt;=1500,IF(N(INDEX('Daily Sale entry '!$AB$1:$AB$1501,$J2021+1))=0,"",INDEX('Daily Sale entry '!$AB$1:$AB$1501,$J2021+1)),1))</f>
        <v/>
      </c>
      <c r="F2021" s="6">
        <f>IF($J2021="","",IF($J2021&lt;=1500,N(INDEX('Daily Sale entry '!$AC$1:$AC$1501,$J2021+1))-IF(AND('Opening Balance'!$B$15=1,INDEX('Daily Sale entry '!$Z$1:$Z$1501,$J2021+1)="Online collection 网上收款",INDEX('Daily Sale entry '!$AA$1:$AA$1501,$J2021+1)&lt;&gt;""),N(INDEX('Daily Sale entry '!$AC$1:$AC$1501,$J2021+1))-TRUNC(N(INDEX('Daily Sale entry '!$AC$1:$AC$1501,$J2021+1))),0),N(INDEX('Daily Sale entry '!$S$1:$S$1501,$J2021-1499))-'Opening Balance'!$B$15*(N(INDEX('Daily Sale entry '!$S$1:$S$1501,$J2021-1499))-TRUNC(N(INDEX('Daily Sale entry '!$S$1:$S$1501,$J2021-1499))))))</f>
        <v/>
      </c>
      <c r="G2021" s="6">
        <f>IF($J2021="","",IF($J2021&lt;=1500,N(INDEX('Daily Sale entry '!$AD$1:$AD$1501,$J2021+1)),0))</f>
        <v/>
      </c>
      <c r="H2021" s="6">
        <f>IF($J2021="","",ROUND('Opening Balance'!$B$4+SUM($F$2:F2021)-SUM($G$2:G2021),2))</f>
        <v/>
      </c>
      <c r="J2021" s="21">
        <f>IFERROR(MATCH(ROW()-1,$L$2:$L$3001,0),"")</f>
        <v/>
      </c>
      <c r="K2021" s="34">
        <f>IF(AND('Daily Sale entry '!Q521="Collection 收款",'Daily Sale entry '!R521="Cheque 支票",'Daily Sale entry '!V521&lt;&gt;""),'Daily Sale entry '!V521+ROW()/10000000,"")</f>
        <v/>
      </c>
      <c r="L2021" s="21">
        <f>IF(K2021="","",COUNTIF($K$2:$K$3001,"&lt;"&amp;K2021)+1)</f>
        <v/>
      </c>
    </row>
    <row r="2022">
      <c r="A2022" s="5">
        <f>IF($J2022="","",IF($J2022&lt;=1500,INDEX('Daily Sale entry '!$X$1:$X$1501,$J2022+1),INDEX('Daily Sale entry '!$V$1:$V$1501,$J2022-1499)))</f>
        <v/>
      </c>
      <c r="B2022">
        <f>IF($J2022="","",IF($J2022&lt;=1500,INDEX('Daily Sale entry '!$Y$1:$Y$1501,$J2022+1)&amp;"","Buyer cheque banked 买家支票存入"&amp;IF(INDEX('Daily Sale entry '!$U$1:$U$1501,$J2022-1499)="","", " - "&amp;INDEX('Daily Sale entry '!$U$1:$U$1501,$J2022-1499))))</f>
        <v/>
      </c>
      <c r="C2022">
        <f>IF($J2022="","",IF($J2022&lt;=1500,INDEX('Daily Sale entry '!$Z$1:$Z$1501,$J2022+1)&amp;"","Cheque deposit 支票存入 (buyer 买家)"))</f>
        <v/>
      </c>
      <c r="D2022">
        <f>IF($J2022="","",IF($J2022&lt;=1500,INDEX('Daily Sale entry '!$AA$1:$AA$1501,$J2022+1)&amp;"",INDEX('Daily Sale entry '!$P$1:$P$1501,$J2022-1499)&amp;""))</f>
        <v/>
      </c>
      <c r="E2022">
        <f>IF($J2022="","",IF($J2022&lt;=1500,IF(N(INDEX('Daily Sale entry '!$AB$1:$AB$1501,$J2022+1))=0,"",INDEX('Daily Sale entry '!$AB$1:$AB$1501,$J2022+1)),1))</f>
        <v/>
      </c>
      <c r="F2022" s="6">
        <f>IF($J2022="","",IF($J2022&lt;=1500,N(INDEX('Daily Sale entry '!$AC$1:$AC$1501,$J2022+1))-IF(AND('Opening Balance'!$B$15=1,INDEX('Daily Sale entry '!$Z$1:$Z$1501,$J2022+1)="Online collection 网上收款",INDEX('Daily Sale entry '!$AA$1:$AA$1501,$J2022+1)&lt;&gt;""),N(INDEX('Daily Sale entry '!$AC$1:$AC$1501,$J2022+1))-TRUNC(N(INDEX('Daily Sale entry '!$AC$1:$AC$1501,$J2022+1))),0),N(INDEX('Daily Sale entry '!$S$1:$S$1501,$J2022-1499))-'Opening Balance'!$B$15*(N(INDEX('Daily Sale entry '!$S$1:$S$1501,$J2022-1499))-TRUNC(N(INDEX('Daily Sale entry '!$S$1:$S$1501,$J2022-1499))))))</f>
        <v/>
      </c>
      <c r="G2022" s="6">
        <f>IF($J2022="","",IF($J2022&lt;=1500,N(INDEX('Daily Sale entry '!$AD$1:$AD$1501,$J2022+1)),0))</f>
        <v/>
      </c>
      <c r="H2022" s="6">
        <f>IF($J2022="","",ROUND('Opening Balance'!$B$4+SUM($F$2:F2022)-SUM($G$2:G2022),2))</f>
        <v/>
      </c>
      <c r="J2022" s="21">
        <f>IFERROR(MATCH(ROW()-1,$L$2:$L$3001,0),"")</f>
        <v/>
      </c>
      <c r="K2022" s="34">
        <f>IF(AND('Daily Sale entry '!Q522="Collection 收款",'Daily Sale entry '!R522="Cheque 支票",'Daily Sale entry '!V522&lt;&gt;""),'Daily Sale entry '!V522+ROW()/10000000,"")</f>
        <v/>
      </c>
      <c r="L2022" s="21">
        <f>IF(K2022="","",COUNTIF($K$2:$K$3001,"&lt;"&amp;K2022)+1)</f>
        <v/>
      </c>
    </row>
    <row r="2023">
      <c r="A2023" s="5">
        <f>IF($J2023="","",IF($J2023&lt;=1500,INDEX('Daily Sale entry '!$X$1:$X$1501,$J2023+1),INDEX('Daily Sale entry '!$V$1:$V$1501,$J2023-1499)))</f>
        <v/>
      </c>
      <c r="B2023">
        <f>IF($J2023="","",IF($J2023&lt;=1500,INDEX('Daily Sale entry '!$Y$1:$Y$1501,$J2023+1)&amp;"","Buyer cheque banked 买家支票存入"&amp;IF(INDEX('Daily Sale entry '!$U$1:$U$1501,$J2023-1499)="","", " - "&amp;INDEX('Daily Sale entry '!$U$1:$U$1501,$J2023-1499))))</f>
        <v/>
      </c>
      <c r="C2023">
        <f>IF($J2023="","",IF($J2023&lt;=1500,INDEX('Daily Sale entry '!$Z$1:$Z$1501,$J2023+1)&amp;"","Cheque deposit 支票存入 (buyer 买家)"))</f>
        <v/>
      </c>
      <c r="D2023">
        <f>IF($J2023="","",IF($J2023&lt;=1500,INDEX('Daily Sale entry '!$AA$1:$AA$1501,$J2023+1)&amp;"",INDEX('Daily Sale entry '!$P$1:$P$1501,$J2023-1499)&amp;""))</f>
        <v/>
      </c>
      <c r="E2023">
        <f>IF($J2023="","",IF($J2023&lt;=1500,IF(N(INDEX('Daily Sale entry '!$AB$1:$AB$1501,$J2023+1))=0,"",INDEX('Daily Sale entry '!$AB$1:$AB$1501,$J2023+1)),1))</f>
        <v/>
      </c>
      <c r="F2023" s="6">
        <f>IF($J2023="","",IF($J2023&lt;=1500,N(INDEX('Daily Sale entry '!$AC$1:$AC$1501,$J2023+1))-IF(AND('Opening Balance'!$B$15=1,INDEX('Daily Sale entry '!$Z$1:$Z$1501,$J2023+1)="Online collection 网上收款",INDEX('Daily Sale entry '!$AA$1:$AA$1501,$J2023+1)&lt;&gt;""),N(INDEX('Daily Sale entry '!$AC$1:$AC$1501,$J2023+1))-TRUNC(N(INDEX('Daily Sale entry '!$AC$1:$AC$1501,$J2023+1))),0),N(INDEX('Daily Sale entry '!$S$1:$S$1501,$J2023-1499))-'Opening Balance'!$B$15*(N(INDEX('Daily Sale entry '!$S$1:$S$1501,$J2023-1499))-TRUNC(N(INDEX('Daily Sale entry '!$S$1:$S$1501,$J2023-1499))))))</f>
        <v/>
      </c>
      <c r="G2023" s="6">
        <f>IF($J2023="","",IF($J2023&lt;=1500,N(INDEX('Daily Sale entry '!$AD$1:$AD$1501,$J2023+1)),0))</f>
        <v/>
      </c>
      <c r="H2023" s="6">
        <f>IF($J2023="","",ROUND('Opening Balance'!$B$4+SUM($F$2:F2023)-SUM($G$2:G2023),2))</f>
        <v/>
      </c>
      <c r="J2023" s="21">
        <f>IFERROR(MATCH(ROW()-1,$L$2:$L$3001,0),"")</f>
        <v/>
      </c>
      <c r="K2023" s="34">
        <f>IF(AND('Daily Sale entry '!Q523="Collection 收款",'Daily Sale entry '!R523="Cheque 支票",'Daily Sale entry '!V523&lt;&gt;""),'Daily Sale entry '!V523+ROW()/10000000,"")</f>
        <v/>
      </c>
      <c r="L2023" s="21">
        <f>IF(K2023="","",COUNTIF($K$2:$K$3001,"&lt;"&amp;K2023)+1)</f>
        <v/>
      </c>
    </row>
    <row r="2024">
      <c r="A2024" s="5">
        <f>IF($J2024="","",IF($J2024&lt;=1500,INDEX('Daily Sale entry '!$X$1:$X$1501,$J2024+1),INDEX('Daily Sale entry '!$V$1:$V$1501,$J2024-1499)))</f>
        <v/>
      </c>
      <c r="B2024">
        <f>IF($J2024="","",IF($J2024&lt;=1500,INDEX('Daily Sale entry '!$Y$1:$Y$1501,$J2024+1)&amp;"","Buyer cheque banked 买家支票存入"&amp;IF(INDEX('Daily Sale entry '!$U$1:$U$1501,$J2024-1499)="","", " - "&amp;INDEX('Daily Sale entry '!$U$1:$U$1501,$J2024-1499))))</f>
        <v/>
      </c>
      <c r="C2024">
        <f>IF($J2024="","",IF($J2024&lt;=1500,INDEX('Daily Sale entry '!$Z$1:$Z$1501,$J2024+1)&amp;"","Cheque deposit 支票存入 (buyer 买家)"))</f>
        <v/>
      </c>
      <c r="D2024">
        <f>IF($J2024="","",IF($J2024&lt;=1500,INDEX('Daily Sale entry '!$AA$1:$AA$1501,$J2024+1)&amp;"",INDEX('Daily Sale entry '!$P$1:$P$1501,$J2024-1499)&amp;""))</f>
        <v/>
      </c>
      <c r="E2024">
        <f>IF($J2024="","",IF($J2024&lt;=1500,IF(N(INDEX('Daily Sale entry '!$AB$1:$AB$1501,$J2024+1))=0,"",INDEX('Daily Sale entry '!$AB$1:$AB$1501,$J2024+1)),1))</f>
        <v/>
      </c>
      <c r="F2024" s="6">
        <f>IF($J2024="","",IF($J2024&lt;=1500,N(INDEX('Daily Sale entry '!$AC$1:$AC$1501,$J2024+1))-IF(AND('Opening Balance'!$B$15=1,INDEX('Daily Sale entry '!$Z$1:$Z$1501,$J2024+1)="Online collection 网上收款",INDEX('Daily Sale entry '!$AA$1:$AA$1501,$J2024+1)&lt;&gt;""),N(INDEX('Daily Sale entry '!$AC$1:$AC$1501,$J2024+1))-TRUNC(N(INDEX('Daily Sale entry '!$AC$1:$AC$1501,$J2024+1))),0),N(INDEX('Daily Sale entry '!$S$1:$S$1501,$J2024-1499))-'Opening Balance'!$B$15*(N(INDEX('Daily Sale entry '!$S$1:$S$1501,$J2024-1499))-TRUNC(N(INDEX('Daily Sale entry '!$S$1:$S$1501,$J2024-1499))))))</f>
        <v/>
      </c>
      <c r="G2024" s="6">
        <f>IF($J2024="","",IF($J2024&lt;=1500,N(INDEX('Daily Sale entry '!$AD$1:$AD$1501,$J2024+1)),0))</f>
        <v/>
      </c>
      <c r="H2024" s="6">
        <f>IF($J2024="","",ROUND('Opening Balance'!$B$4+SUM($F$2:F2024)-SUM($G$2:G2024),2))</f>
        <v/>
      </c>
      <c r="J2024" s="21">
        <f>IFERROR(MATCH(ROW()-1,$L$2:$L$3001,0),"")</f>
        <v/>
      </c>
      <c r="K2024" s="34">
        <f>IF(AND('Daily Sale entry '!Q524="Collection 收款",'Daily Sale entry '!R524="Cheque 支票",'Daily Sale entry '!V524&lt;&gt;""),'Daily Sale entry '!V524+ROW()/10000000,"")</f>
        <v/>
      </c>
      <c r="L2024" s="21">
        <f>IF(K2024="","",COUNTIF($K$2:$K$3001,"&lt;"&amp;K2024)+1)</f>
        <v/>
      </c>
    </row>
    <row r="2025">
      <c r="A2025" s="5">
        <f>IF($J2025="","",IF($J2025&lt;=1500,INDEX('Daily Sale entry '!$X$1:$X$1501,$J2025+1),INDEX('Daily Sale entry '!$V$1:$V$1501,$J2025-1499)))</f>
        <v/>
      </c>
      <c r="B2025">
        <f>IF($J2025="","",IF($J2025&lt;=1500,INDEX('Daily Sale entry '!$Y$1:$Y$1501,$J2025+1)&amp;"","Buyer cheque banked 买家支票存入"&amp;IF(INDEX('Daily Sale entry '!$U$1:$U$1501,$J2025-1499)="","", " - "&amp;INDEX('Daily Sale entry '!$U$1:$U$1501,$J2025-1499))))</f>
        <v/>
      </c>
      <c r="C2025">
        <f>IF($J2025="","",IF($J2025&lt;=1500,INDEX('Daily Sale entry '!$Z$1:$Z$1501,$J2025+1)&amp;"","Cheque deposit 支票存入 (buyer 买家)"))</f>
        <v/>
      </c>
      <c r="D2025">
        <f>IF($J2025="","",IF($J2025&lt;=1500,INDEX('Daily Sale entry '!$AA$1:$AA$1501,$J2025+1)&amp;"",INDEX('Daily Sale entry '!$P$1:$P$1501,$J2025-1499)&amp;""))</f>
        <v/>
      </c>
      <c r="E2025">
        <f>IF($J2025="","",IF($J2025&lt;=1500,IF(N(INDEX('Daily Sale entry '!$AB$1:$AB$1501,$J2025+1))=0,"",INDEX('Daily Sale entry '!$AB$1:$AB$1501,$J2025+1)),1))</f>
        <v/>
      </c>
      <c r="F2025" s="6">
        <f>IF($J2025="","",IF($J2025&lt;=1500,N(INDEX('Daily Sale entry '!$AC$1:$AC$1501,$J2025+1))-IF(AND('Opening Balance'!$B$15=1,INDEX('Daily Sale entry '!$Z$1:$Z$1501,$J2025+1)="Online collection 网上收款",INDEX('Daily Sale entry '!$AA$1:$AA$1501,$J2025+1)&lt;&gt;""),N(INDEX('Daily Sale entry '!$AC$1:$AC$1501,$J2025+1))-TRUNC(N(INDEX('Daily Sale entry '!$AC$1:$AC$1501,$J2025+1))),0),N(INDEX('Daily Sale entry '!$S$1:$S$1501,$J2025-1499))-'Opening Balance'!$B$15*(N(INDEX('Daily Sale entry '!$S$1:$S$1501,$J2025-1499))-TRUNC(N(INDEX('Daily Sale entry '!$S$1:$S$1501,$J2025-1499))))))</f>
        <v/>
      </c>
      <c r="G2025" s="6">
        <f>IF($J2025="","",IF($J2025&lt;=1500,N(INDEX('Daily Sale entry '!$AD$1:$AD$1501,$J2025+1)),0))</f>
        <v/>
      </c>
      <c r="H2025" s="6">
        <f>IF($J2025="","",ROUND('Opening Balance'!$B$4+SUM($F$2:F2025)-SUM($G$2:G2025),2))</f>
        <v/>
      </c>
      <c r="J2025" s="21">
        <f>IFERROR(MATCH(ROW()-1,$L$2:$L$3001,0),"")</f>
        <v/>
      </c>
      <c r="K2025" s="34">
        <f>IF(AND('Daily Sale entry '!Q525="Collection 收款",'Daily Sale entry '!R525="Cheque 支票",'Daily Sale entry '!V525&lt;&gt;""),'Daily Sale entry '!V525+ROW()/10000000,"")</f>
        <v/>
      </c>
      <c r="L2025" s="21">
        <f>IF(K2025="","",COUNTIF($K$2:$K$3001,"&lt;"&amp;K2025)+1)</f>
        <v/>
      </c>
    </row>
    <row r="2026">
      <c r="A2026" s="5">
        <f>IF($J2026="","",IF($J2026&lt;=1500,INDEX('Daily Sale entry '!$X$1:$X$1501,$J2026+1),INDEX('Daily Sale entry '!$V$1:$V$1501,$J2026-1499)))</f>
        <v/>
      </c>
      <c r="B2026">
        <f>IF($J2026="","",IF($J2026&lt;=1500,INDEX('Daily Sale entry '!$Y$1:$Y$1501,$J2026+1)&amp;"","Buyer cheque banked 买家支票存入"&amp;IF(INDEX('Daily Sale entry '!$U$1:$U$1501,$J2026-1499)="","", " - "&amp;INDEX('Daily Sale entry '!$U$1:$U$1501,$J2026-1499))))</f>
        <v/>
      </c>
      <c r="C2026">
        <f>IF($J2026="","",IF($J2026&lt;=1500,INDEX('Daily Sale entry '!$Z$1:$Z$1501,$J2026+1)&amp;"","Cheque deposit 支票存入 (buyer 买家)"))</f>
        <v/>
      </c>
      <c r="D2026">
        <f>IF($J2026="","",IF($J2026&lt;=1500,INDEX('Daily Sale entry '!$AA$1:$AA$1501,$J2026+1)&amp;"",INDEX('Daily Sale entry '!$P$1:$P$1501,$J2026-1499)&amp;""))</f>
        <v/>
      </c>
      <c r="E2026">
        <f>IF($J2026="","",IF($J2026&lt;=1500,IF(N(INDEX('Daily Sale entry '!$AB$1:$AB$1501,$J2026+1))=0,"",INDEX('Daily Sale entry '!$AB$1:$AB$1501,$J2026+1)),1))</f>
        <v/>
      </c>
      <c r="F2026" s="6">
        <f>IF($J2026="","",IF($J2026&lt;=1500,N(INDEX('Daily Sale entry '!$AC$1:$AC$1501,$J2026+1))-IF(AND('Opening Balance'!$B$15=1,INDEX('Daily Sale entry '!$Z$1:$Z$1501,$J2026+1)="Online collection 网上收款",INDEX('Daily Sale entry '!$AA$1:$AA$1501,$J2026+1)&lt;&gt;""),N(INDEX('Daily Sale entry '!$AC$1:$AC$1501,$J2026+1))-TRUNC(N(INDEX('Daily Sale entry '!$AC$1:$AC$1501,$J2026+1))),0),N(INDEX('Daily Sale entry '!$S$1:$S$1501,$J2026-1499))-'Opening Balance'!$B$15*(N(INDEX('Daily Sale entry '!$S$1:$S$1501,$J2026-1499))-TRUNC(N(INDEX('Daily Sale entry '!$S$1:$S$1501,$J2026-1499))))))</f>
        <v/>
      </c>
      <c r="G2026" s="6">
        <f>IF($J2026="","",IF($J2026&lt;=1500,N(INDEX('Daily Sale entry '!$AD$1:$AD$1501,$J2026+1)),0))</f>
        <v/>
      </c>
      <c r="H2026" s="6">
        <f>IF($J2026="","",ROUND('Opening Balance'!$B$4+SUM($F$2:F2026)-SUM($G$2:G2026),2))</f>
        <v/>
      </c>
      <c r="J2026" s="21">
        <f>IFERROR(MATCH(ROW()-1,$L$2:$L$3001,0),"")</f>
        <v/>
      </c>
      <c r="K2026" s="34">
        <f>IF(AND('Daily Sale entry '!Q526="Collection 收款",'Daily Sale entry '!R526="Cheque 支票",'Daily Sale entry '!V526&lt;&gt;""),'Daily Sale entry '!V526+ROW()/10000000,"")</f>
        <v/>
      </c>
      <c r="L2026" s="21">
        <f>IF(K2026="","",COUNTIF($K$2:$K$3001,"&lt;"&amp;K2026)+1)</f>
        <v/>
      </c>
    </row>
    <row r="2027">
      <c r="A2027" s="5">
        <f>IF($J2027="","",IF($J2027&lt;=1500,INDEX('Daily Sale entry '!$X$1:$X$1501,$J2027+1),INDEX('Daily Sale entry '!$V$1:$V$1501,$J2027-1499)))</f>
        <v/>
      </c>
      <c r="B2027">
        <f>IF($J2027="","",IF($J2027&lt;=1500,INDEX('Daily Sale entry '!$Y$1:$Y$1501,$J2027+1)&amp;"","Buyer cheque banked 买家支票存入"&amp;IF(INDEX('Daily Sale entry '!$U$1:$U$1501,$J2027-1499)="","", " - "&amp;INDEX('Daily Sale entry '!$U$1:$U$1501,$J2027-1499))))</f>
        <v/>
      </c>
      <c r="C2027">
        <f>IF($J2027="","",IF($J2027&lt;=1500,INDEX('Daily Sale entry '!$Z$1:$Z$1501,$J2027+1)&amp;"","Cheque deposit 支票存入 (buyer 买家)"))</f>
        <v/>
      </c>
      <c r="D2027">
        <f>IF($J2027="","",IF($J2027&lt;=1500,INDEX('Daily Sale entry '!$AA$1:$AA$1501,$J2027+1)&amp;"",INDEX('Daily Sale entry '!$P$1:$P$1501,$J2027-1499)&amp;""))</f>
        <v/>
      </c>
      <c r="E2027">
        <f>IF($J2027="","",IF($J2027&lt;=1500,IF(N(INDEX('Daily Sale entry '!$AB$1:$AB$1501,$J2027+1))=0,"",INDEX('Daily Sale entry '!$AB$1:$AB$1501,$J2027+1)),1))</f>
        <v/>
      </c>
      <c r="F2027" s="6">
        <f>IF($J2027="","",IF($J2027&lt;=1500,N(INDEX('Daily Sale entry '!$AC$1:$AC$1501,$J2027+1))-IF(AND('Opening Balance'!$B$15=1,INDEX('Daily Sale entry '!$Z$1:$Z$1501,$J2027+1)="Online collection 网上收款",INDEX('Daily Sale entry '!$AA$1:$AA$1501,$J2027+1)&lt;&gt;""),N(INDEX('Daily Sale entry '!$AC$1:$AC$1501,$J2027+1))-TRUNC(N(INDEX('Daily Sale entry '!$AC$1:$AC$1501,$J2027+1))),0),N(INDEX('Daily Sale entry '!$S$1:$S$1501,$J2027-1499))-'Opening Balance'!$B$15*(N(INDEX('Daily Sale entry '!$S$1:$S$1501,$J2027-1499))-TRUNC(N(INDEX('Daily Sale entry '!$S$1:$S$1501,$J2027-1499))))))</f>
        <v/>
      </c>
      <c r="G2027" s="6">
        <f>IF($J2027="","",IF($J2027&lt;=1500,N(INDEX('Daily Sale entry '!$AD$1:$AD$1501,$J2027+1)),0))</f>
        <v/>
      </c>
      <c r="H2027" s="6">
        <f>IF($J2027="","",ROUND('Opening Balance'!$B$4+SUM($F$2:F2027)-SUM($G$2:G2027),2))</f>
        <v/>
      </c>
      <c r="J2027" s="21">
        <f>IFERROR(MATCH(ROW()-1,$L$2:$L$3001,0),"")</f>
        <v/>
      </c>
      <c r="K2027" s="34">
        <f>IF(AND('Daily Sale entry '!Q527="Collection 收款",'Daily Sale entry '!R527="Cheque 支票",'Daily Sale entry '!V527&lt;&gt;""),'Daily Sale entry '!V527+ROW()/10000000,"")</f>
        <v/>
      </c>
      <c r="L2027" s="21">
        <f>IF(K2027="","",COUNTIF($K$2:$K$3001,"&lt;"&amp;K2027)+1)</f>
        <v/>
      </c>
    </row>
    <row r="2028">
      <c r="A2028" s="5">
        <f>IF($J2028="","",IF($J2028&lt;=1500,INDEX('Daily Sale entry '!$X$1:$X$1501,$J2028+1),INDEX('Daily Sale entry '!$V$1:$V$1501,$J2028-1499)))</f>
        <v/>
      </c>
      <c r="B2028">
        <f>IF($J2028="","",IF($J2028&lt;=1500,INDEX('Daily Sale entry '!$Y$1:$Y$1501,$J2028+1)&amp;"","Buyer cheque banked 买家支票存入"&amp;IF(INDEX('Daily Sale entry '!$U$1:$U$1501,$J2028-1499)="","", " - "&amp;INDEX('Daily Sale entry '!$U$1:$U$1501,$J2028-1499))))</f>
        <v/>
      </c>
      <c r="C2028">
        <f>IF($J2028="","",IF($J2028&lt;=1500,INDEX('Daily Sale entry '!$Z$1:$Z$1501,$J2028+1)&amp;"","Cheque deposit 支票存入 (buyer 买家)"))</f>
        <v/>
      </c>
      <c r="D2028">
        <f>IF($J2028="","",IF($J2028&lt;=1500,INDEX('Daily Sale entry '!$AA$1:$AA$1501,$J2028+1)&amp;"",INDEX('Daily Sale entry '!$P$1:$P$1501,$J2028-1499)&amp;""))</f>
        <v/>
      </c>
      <c r="E2028">
        <f>IF($J2028="","",IF($J2028&lt;=1500,IF(N(INDEX('Daily Sale entry '!$AB$1:$AB$1501,$J2028+1))=0,"",INDEX('Daily Sale entry '!$AB$1:$AB$1501,$J2028+1)),1))</f>
        <v/>
      </c>
      <c r="F2028" s="6">
        <f>IF($J2028="","",IF($J2028&lt;=1500,N(INDEX('Daily Sale entry '!$AC$1:$AC$1501,$J2028+1))-IF(AND('Opening Balance'!$B$15=1,INDEX('Daily Sale entry '!$Z$1:$Z$1501,$J2028+1)="Online collection 网上收款",INDEX('Daily Sale entry '!$AA$1:$AA$1501,$J2028+1)&lt;&gt;""),N(INDEX('Daily Sale entry '!$AC$1:$AC$1501,$J2028+1))-TRUNC(N(INDEX('Daily Sale entry '!$AC$1:$AC$1501,$J2028+1))),0),N(INDEX('Daily Sale entry '!$S$1:$S$1501,$J2028-1499))-'Opening Balance'!$B$15*(N(INDEX('Daily Sale entry '!$S$1:$S$1501,$J2028-1499))-TRUNC(N(INDEX('Daily Sale entry '!$S$1:$S$1501,$J2028-1499))))))</f>
        <v/>
      </c>
      <c r="G2028" s="6">
        <f>IF($J2028="","",IF($J2028&lt;=1500,N(INDEX('Daily Sale entry '!$AD$1:$AD$1501,$J2028+1)),0))</f>
        <v/>
      </c>
      <c r="H2028" s="6">
        <f>IF($J2028="","",ROUND('Opening Balance'!$B$4+SUM($F$2:F2028)-SUM($G$2:G2028),2))</f>
        <v/>
      </c>
      <c r="J2028" s="21">
        <f>IFERROR(MATCH(ROW()-1,$L$2:$L$3001,0),"")</f>
        <v/>
      </c>
      <c r="K2028" s="34">
        <f>IF(AND('Daily Sale entry '!Q528="Collection 收款",'Daily Sale entry '!R528="Cheque 支票",'Daily Sale entry '!V528&lt;&gt;""),'Daily Sale entry '!V528+ROW()/10000000,"")</f>
        <v/>
      </c>
      <c r="L2028" s="21">
        <f>IF(K2028="","",COUNTIF($K$2:$K$3001,"&lt;"&amp;K2028)+1)</f>
        <v/>
      </c>
    </row>
    <row r="2029">
      <c r="A2029" s="5">
        <f>IF($J2029="","",IF($J2029&lt;=1500,INDEX('Daily Sale entry '!$X$1:$X$1501,$J2029+1),INDEX('Daily Sale entry '!$V$1:$V$1501,$J2029-1499)))</f>
        <v/>
      </c>
      <c r="B2029">
        <f>IF($J2029="","",IF($J2029&lt;=1500,INDEX('Daily Sale entry '!$Y$1:$Y$1501,$J2029+1)&amp;"","Buyer cheque banked 买家支票存入"&amp;IF(INDEX('Daily Sale entry '!$U$1:$U$1501,$J2029-1499)="","", " - "&amp;INDEX('Daily Sale entry '!$U$1:$U$1501,$J2029-1499))))</f>
        <v/>
      </c>
      <c r="C2029">
        <f>IF($J2029="","",IF($J2029&lt;=1500,INDEX('Daily Sale entry '!$Z$1:$Z$1501,$J2029+1)&amp;"","Cheque deposit 支票存入 (buyer 买家)"))</f>
        <v/>
      </c>
      <c r="D2029">
        <f>IF($J2029="","",IF($J2029&lt;=1500,INDEX('Daily Sale entry '!$AA$1:$AA$1501,$J2029+1)&amp;"",INDEX('Daily Sale entry '!$P$1:$P$1501,$J2029-1499)&amp;""))</f>
        <v/>
      </c>
      <c r="E2029">
        <f>IF($J2029="","",IF($J2029&lt;=1500,IF(N(INDEX('Daily Sale entry '!$AB$1:$AB$1501,$J2029+1))=0,"",INDEX('Daily Sale entry '!$AB$1:$AB$1501,$J2029+1)),1))</f>
        <v/>
      </c>
      <c r="F2029" s="6">
        <f>IF($J2029="","",IF($J2029&lt;=1500,N(INDEX('Daily Sale entry '!$AC$1:$AC$1501,$J2029+1))-IF(AND('Opening Balance'!$B$15=1,INDEX('Daily Sale entry '!$Z$1:$Z$1501,$J2029+1)="Online collection 网上收款",INDEX('Daily Sale entry '!$AA$1:$AA$1501,$J2029+1)&lt;&gt;""),N(INDEX('Daily Sale entry '!$AC$1:$AC$1501,$J2029+1))-TRUNC(N(INDEX('Daily Sale entry '!$AC$1:$AC$1501,$J2029+1))),0),N(INDEX('Daily Sale entry '!$S$1:$S$1501,$J2029-1499))-'Opening Balance'!$B$15*(N(INDEX('Daily Sale entry '!$S$1:$S$1501,$J2029-1499))-TRUNC(N(INDEX('Daily Sale entry '!$S$1:$S$1501,$J2029-1499))))))</f>
        <v/>
      </c>
      <c r="G2029" s="6">
        <f>IF($J2029="","",IF($J2029&lt;=1500,N(INDEX('Daily Sale entry '!$AD$1:$AD$1501,$J2029+1)),0))</f>
        <v/>
      </c>
      <c r="H2029" s="6">
        <f>IF($J2029="","",ROUND('Opening Balance'!$B$4+SUM($F$2:F2029)-SUM($G$2:G2029),2))</f>
        <v/>
      </c>
      <c r="J2029" s="21">
        <f>IFERROR(MATCH(ROW()-1,$L$2:$L$3001,0),"")</f>
        <v/>
      </c>
      <c r="K2029" s="34">
        <f>IF(AND('Daily Sale entry '!Q529="Collection 收款",'Daily Sale entry '!R529="Cheque 支票",'Daily Sale entry '!V529&lt;&gt;""),'Daily Sale entry '!V529+ROW()/10000000,"")</f>
        <v/>
      </c>
      <c r="L2029" s="21">
        <f>IF(K2029="","",COUNTIF($K$2:$K$3001,"&lt;"&amp;K2029)+1)</f>
        <v/>
      </c>
    </row>
    <row r="2030">
      <c r="A2030" s="5">
        <f>IF($J2030="","",IF($J2030&lt;=1500,INDEX('Daily Sale entry '!$X$1:$X$1501,$J2030+1),INDEX('Daily Sale entry '!$V$1:$V$1501,$J2030-1499)))</f>
        <v/>
      </c>
      <c r="B2030">
        <f>IF($J2030="","",IF($J2030&lt;=1500,INDEX('Daily Sale entry '!$Y$1:$Y$1501,$J2030+1)&amp;"","Buyer cheque banked 买家支票存入"&amp;IF(INDEX('Daily Sale entry '!$U$1:$U$1501,$J2030-1499)="","", " - "&amp;INDEX('Daily Sale entry '!$U$1:$U$1501,$J2030-1499))))</f>
        <v/>
      </c>
      <c r="C2030">
        <f>IF($J2030="","",IF($J2030&lt;=1500,INDEX('Daily Sale entry '!$Z$1:$Z$1501,$J2030+1)&amp;"","Cheque deposit 支票存入 (buyer 买家)"))</f>
        <v/>
      </c>
      <c r="D2030">
        <f>IF($J2030="","",IF($J2030&lt;=1500,INDEX('Daily Sale entry '!$AA$1:$AA$1501,$J2030+1)&amp;"",INDEX('Daily Sale entry '!$P$1:$P$1501,$J2030-1499)&amp;""))</f>
        <v/>
      </c>
      <c r="E2030">
        <f>IF($J2030="","",IF($J2030&lt;=1500,IF(N(INDEX('Daily Sale entry '!$AB$1:$AB$1501,$J2030+1))=0,"",INDEX('Daily Sale entry '!$AB$1:$AB$1501,$J2030+1)),1))</f>
        <v/>
      </c>
      <c r="F2030" s="6">
        <f>IF($J2030="","",IF($J2030&lt;=1500,N(INDEX('Daily Sale entry '!$AC$1:$AC$1501,$J2030+1))-IF(AND('Opening Balance'!$B$15=1,INDEX('Daily Sale entry '!$Z$1:$Z$1501,$J2030+1)="Online collection 网上收款",INDEX('Daily Sale entry '!$AA$1:$AA$1501,$J2030+1)&lt;&gt;""),N(INDEX('Daily Sale entry '!$AC$1:$AC$1501,$J2030+1))-TRUNC(N(INDEX('Daily Sale entry '!$AC$1:$AC$1501,$J2030+1))),0),N(INDEX('Daily Sale entry '!$S$1:$S$1501,$J2030-1499))-'Opening Balance'!$B$15*(N(INDEX('Daily Sale entry '!$S$1:$S$1501,$J2030-1499))-TRUNC(N(INDEX('Daily Sale entry '!$S$1:$S$1501,$J2030-1499))))))</f>
        <v/>
      </c>
      <c r="G2030" s="6">
        <f>IF($J2030="","",IF($J2030&lt;=1500,N(INDEX('Daily Sale entry '!$AD$1:$AD$1501,$J2030+1)),0))</f>
        <v/>
      </c>
      <c r="H2030" s="6">
        <f>IF($J2030="","",ROUND('Opening Balance'!$B$4+SUM($F$2:F2030)-SUM($G$2:G2030),2))</f>
        <v/>
      </c>
      <c r="J2030" s="21">
        <f>IFERROR(MATCH(ROW()-1,$L$2:$L$3001,0),"")</f>
        <v/>
      </c>
      <c r="K2030" s="34">
        <f>IF(AND('Daily Sale entry '!Q530="Collection 收款",'Daily Sale entry '!R530="Cheque 支票",'Daily Sale entry '!V530&lt;&gt;""),'Daily Sale entry '!V530+ROW()/10000000,"")</f>
        <v/>
      </c>
      <c r="L2030" s="21">
        <f>IF(K2030="","",COUNTIF($K$2:$K$3001,"&lt;"&amp;K2030)+1)</f>
        <v/>
      </c>
    </row>
    <row r="2031">
      <c r="A2031" s="5">
        <f>IF($J2031="","",IF($J2031&lt;=1500,INDEX('Daily Sale entry '!$X$1:$X$1501,$J2031+1),INDEX('Daily Sale entry '!$V$1:$V$1501,$J2031-1499)))</f>
        <v/>
      </c>
      <c r="B2031">
        <f>IF($J2031="","",IF($J2031&lt;=1500,INDEX('Daily Sale entry '!$Y$1:$Y$1501,$J2031+1)&amp;"","Buyer cheque banked 买家支票存入"&amp;IF(INDEX('Daily Sale entry '!$U$1:$U$1501,$J2031-1499)="","", " - "&amp;INDEX('Daily Sale entry '!$U$1:$U$1501,$J2031-1499))))</f>
        <v/>
      </c>
      <c r="C2031">
        <f>IF($J2031="","",IF($J2031&lt;=1500,INDEX('Daily Sale entry '!$Z$1:$Z$1501,$J2031+1)&amp;"","Cheque deposit 支票存入 (buyer 买家)"))</f>
        <v/>
      </c>
      <c r="D2031">
        <f>IF($J2031="","",IF($J2031&lt;=1500,INDEX('Daily Sale entry '!$AA$1:$AA$1501,$J2031+1)&amp;"",INDEX('Daily Sale entry '!$P$1:$P$1501,$J2031-1499)&amp;""))</f>
        <v/>
      </c>
      <c r="E2031">
        <f>IF($J2031="","",IF($J2031&lt;=1500,IF(N(INDEX('Daily Sale entry '!$AB$1:$AB$1501,$J2031+1))=0,"",INDEX('Daily Sale entry '!$AB$1:$AB$1501,$J2031+1)),1))</f>
        <v/>
      </c>
      <c r="F2031" s="6">
        <f>IF($J2031="","",IF($J2031&lt;=1500,N(INDEX('Daily Sale entry '!$AC$1:$AC$1501,$J2031+1))-IF(AND('Opening Balance'!$B$15=1,INDEX('Daily Sale entry '!$Z$1:$Z$1501,$J2031+1)="Online collection 网上收款",INDEX('Daily Sale entry '!$AA$1:$AA$1501,$J2031+1)&lt;&gt;""),N(INDEX('Daily Sale entry '!$AC$1:$AC$1501,$J2031+1))-TRUNC(N(INDEX('Daily Sale entry '!$AC$1:$AC$1501,$J2031+1))),0),N(INDEX('Daily Sale entry '!$S$1:$S$1501,$J2031-1499))-'Opening Balance'!$B$15*(N(INDEX('Daily Sale entry '!$S$1:$S$1501,$J2031-1499))-TRUNC(N(INDEX('Daily Sale entry '!$S$1:$S$1501,$J2031-1499))))))</f>
        <v/>
      </c>
      <c r="G2031" s="6">
        <f>IF($J2031="","",IF($J2031&lt;=1500,N(INDEX('Daily Sale entry '!$AD$1:$AD$1501,$J2031+1)),0))</f>
        <v/>
      </c>
      <c r="H2031" s="6">
        <f>IF($J2031="","",ROUND('Opening Balance'!$B$4+SUM($F$2:F2031)-SUM($G$2:G2031),2))</f>
        <v/>
      </c>
      <c r="J2031" s="21">
        <f>IFERROR(MATCH(ROW()-1,$L$2:$L$3001,0),"")</f>
        <v/>
      </c>
      <c r="K2031" s="34">
        <f>IF(AND('Daily Sale entry '!Q531="Collection 收款",'Daily Sale entry '!R531="Cheque 支票",'Daily Sale entry '!V531&lt;&gt;""),'Daily Sale entry '!V531+ROW()/10000000,"")</f>
        <v/>
      </c>
      <c r="L2031" s="21">
        <f>IF(K2031="","",COUNTIF($K$2:$K$3001,"&lt;"&amp;K2031)+1)</f>
        <v/>
      </c>
    </row>
    <row r="2032">
      <c r="A2032" s="5">
        <f>IF($J2032="","",IF($J2032&lt;=1500,INDEX('Daily Sale entry '!$X$1:$X$1501,$J2032+1),INDEX('Daily Sale entry '!$V$1:$V$1501,$J2032-1499)))</f>
        <v/>
      </c>
      <c r="B2032">
        <f>IF($J2032="","",IF($J2032&lt;=1500,INDEX('Daily Sale entry '!$Y$1:$Y$1501,$J2032+1)&amp;"","Buyer cheque banked 买家支票存入"&amp;IF(INDEX('Daily Sale entry '!$U$1:$U$1501,$J2032-1499)="","", " - "&amp;INDEX('Daily Sale entry '!$U$1:$U$1501,$J2032-1499))))</f>
        <v/>
      </c>
      <c r="C2032">
        <f>IF($J2032="","",IF($J2032&lt;=1500,INDEX('Daily Sale entry '!$Z$1:$Z$1501,$J2032+1)&amp;"","Cheque deposit 支票存入 (buyer 买家)"))</f>
        <v/>
      </c>
      <c r="D2032">
        <f>IF($J2032="","",IF($J2032&lt;=1500,INDEX('Daily Sale entry '!$AA$1:$AA$1501,$J2032+1)&amp;"",INDEX('Daily Sale entry '!$P$1:$P$1501,$J2032-1499)&amp;""))</f>
        <v/>
      </c>
      <c r="E2032">
        <f>IF($J2032="","",IF($J2032&lt;=1500,IF(N(INDEX('Daily Sale entry '!$AB$1:$AB$1501,$J2032+1))=0,"",INDEX('Daily Sale entry '!$AB$1:$AB$1501,$J2032+1)),1))</f>
        <v/>
      </c>
      <c r="F2032" s="6">
        <f>IF($J2032="","",IF($J2032&lt;=1500,N(INDEX('Daily Sale entry '!$AC$1:$AC$1501,$J2032+1))-IF(AND('Opening Balance'!$B$15=1,INDEX('Daily Sale entry '!$Z$1:$Z$1501,$J2032+1)="Online collection 网上收款",INDEX('Daily Sale entry '!$AA$1:$AA$1501,$J2032+1)&lt;&gt;""),N(INDEX('Daily Sale entry '!$AC$1:$AC$1501,$J2032+1))-TRUNC(N(INDEX('Daily Sale entry '!$AC$1:$AC$1501,$J2032+1))),0),N(INDEX('Daily Sale entry '!$S$1:$S$1501,$J2032-1499))-'Opening Balance'!$B$15*(N(INDEX('Daily Sale entry '!$S$1:$S$1501,$J2032-1499))-TRUNC(N(INDEX('Daily Sale entry '!$S$1:$S$1501,$J2032-1499))))))</f>
        <v/>
      </c>
      <c r="G2032" s="6">
        <f>IF($J2032="","",IF($J2032&lt;=1500,N(INDEX('Daily Sale entry '!$AD$1:$AD$1501,$J2032+1)),0))</f>
        <v/>
      </c>
      <c r="H2032" s="6">
        <f>IF($J2032="","",ROUND('Opening Balance'!$B$4+SUM($F$2:F2032)-SUM($G$2:G2032),2))</f>
        <v/>
      </c>
      <c r="J2032" s="21">
        <f>IFERROR(MATCH(ROW()-1,$L$2:$L$3001,0),"")</f>
        <v/>
      </c>
      <c r="K2032" s="34">
        <f>IF(AND('Daily Sale entry '!Q532="Collection 收款",'Daily Sale entry '!R532="Cheque 支票",'Daily Sale entry '!V532&lt;&gt;""),'Daily Sale entry '!V532+ROW()/10000000,"")</f>
        <v/>
      </c>
      <c r="L2032" s="21">
        <f>IF(K2032="","",COUNTIF($K$2:$K$3001,"&lt;"&amp;K2032)+1)</f>
        <v/>
      </c>
    </row>
    <row r="2033">
      <c r="A2033" s="5">
        <f>IF($J2033="","",IF($J2033&lt;=1500,INDEX('Daily Sale entry '!$X$1:$X$1501,$J2033+1),INDEX('Daily Sale entry '!$V$1:$V$1501,$J2033-1499)))</f>
        <v/>
      </c>
      <c r="B2033">
        <f>IF($J2033="","",IF($J2033&lt;=1500,INDEX('Daily Sale entry '!$Y$1:$Y$1501,$J2033+1)&amp;"","Buyer cheque banked 买家支票存入"&amp;IF(INDEX('Daily Sale entry '!$U$1:$U$1501,$J2033-1499)="","", " - "&amp;INDEX('Daily Sale entry '!$U$1:$U$1501,$J2033-1499))))</f>
        <v/>
      </c>
      <c r="C2033">
        <f>IF($J2033="","",IF($J2033&lt;=1500,INDEX('Daily Sale entry '!$Z$1:$Z$1501,$J2033+1)&amp;"","Cheque deposit 支票存入 (buyer 买家)"))</f>
        <v/>
      </c>
      <c r="D2033">
        <f>IF($J2033="","",IF($J2033&lt;=1500,INDEX('Daily Sale entry '!$AA$1:$AA$1501,$J2033+1)&amp;"",INDEX('Daily Sale entry '!$P$1:$P$1501,$J2033-1499)&amp;""))</f>
        <v/>
      </c>
      <c r="E2033">
        <f>IF($J2033="","",IF($J2033&lt;=1500,IF(N(INDEX('Daily Sale entry '!$AB$1:$AB$1501,$J2033+1))=0,"",INDEX('Daily Sale entry '!$AB$1:$AB$1501,$J2033+1)),1))</f>
        <v/>
      </c>
      <c r="F2033" s="6">
        <f>IF($J2033="","",IF($J2033&lt;=1500,N(INDEX('Daily Sale entry '!$AC$1:$AC$1501,$J2033+1))-IF(AND('Opening Balance'!$B$15=1,INDEX('Daily Sale entry '!$Z$1:$Z$1501,$J2033+1)="Online collection 网上收款",INDEX('Daily Sale entry '!$AA$1:$AA$1501,$J2033+1)&lt;&gt;""),N(INDEX('Daily Sale entry '!$AC$1:$AC$1501,$J2033+1))-TRUNC(N(INDEX('Daily Sale entry '!$AC$1:$AC$1501,$J2033+1))),0),N(INDEX('Daily Sale entry '!$S$1:$S$1501,$J2033-1499))-'Opening Balance'!$B$15*(N(INDEX('Daily Sale entry '!$S$1:$S$1501,$J2033-1499))-TRUNC(N(INDEX('Daily Sale entry '!$S$1:$S$1501,$J2033-1499))))))</f>
        <v/>
      </c>
      <c r="G2033" s="6">
        <f>IF($J2033="","",IF($J2033&lt;=1500,N(INDEX('Daily Sale entry '!$AD$1:$AD$1501,$J2033+1)),0))</f>
        <v/>
      </c>
      <c r="H2033" s="6">
        <f>IF($J2033="","",ROUND('Opening Balance'!$B$4+SUM($F$2:F2033)-SUM($G$2:G2033),2))</f>
        <v/>
      </c>
      <c r="J2033" s="21">
        <f>IFERROR(MATCH(ROW()-1,$L$2:$L$3001,0),"")</f>
        <v/>
      </c>
      <c r="K2033" s="34">
        <f>IF(AND('Daily Sale entry '!Q533="Collection 收款",'Daily Sale entry '!R533="Cheque 支票",'Daily Sale entry '!V533&lt;&gt;""),'Daily Sale entry '!V533+ROW()/10000000,"")</f>
        <v/>
      </c>
      <c r="L2033" s="21">
        <f>IF(K2033="","",COUNTIF($K$2:$K$3001,"&lt;"&amp;K2033)+1)</f>
        <v/>
      </c>
    </row>
    <row r="2034">
      <c r="A2034" s="5">
        <f>IF($J2034="","",IF($J2034&lt;=1500,INDEX('Daily Sale entry '!$X$1:$X$1501,$J2034+1),INDEX('Daily Sale entry '!$V$1:$V$1501,$J2034-1499)))</f>
        <v/>
      </c>
      <c r="B2034">
        <f>IF($J2034="","",IF($J2034&lt;=1500,INDEX('Daily Sale entry '!$Y$1:$Y$1501,$J2034+1)&amp;"","Buyer cheque banked 买家支票存入"&amp;IF(INDEX('Daily Sale entry '!$U$1:$U$1501,$J2034-1499)="","", " - "&amp;INDEX('Daily Sale entry '!$U$1:$U$1501,$J2034-1499))))</f>
        <v/>
      </c>
      <c r="C2034">
        <f>IF($J2034="","",IF($J2034&lt;=1500,INDEX('Daily Sale entry '!$Z$1:$Z$1501,$J2034+1)&amp;"","Cheque deposit 支票存入 (buyer 买家)"))</f>
        <v/>
      </c>
      <c r="D2034">
        <f>IF($J2034="","",IF($J2034&lt;=1500,INDEX('Daily Sale entry '!$AA$1:$AA$1501,$J2034+1)&amp;"",INDEX('Daily Sale entry '!$P$1:$P$1501,$J2034-1499)&amp;""))</f>
        <v/>
      </c>
      <c r="E2034">
        <f>IF($J2034="","",IF($J2034&lt;=1500,IF(N(INDEX('Daily Sale entry '!$AB$1:$AB$1501,$J2034+1))=0,"",INDEX('Daily Sale entry '!$AB$1:$AB$1501,$J2034+1)),1))</f>
        <v/>
      </c>
      <c r="F2034" s="6">
        <f>IF($J2034="","",IF($J2034&lt;=1500,N(INDEX('Daily Sale entry '!$AC$1:$AC$1501,$J2034+1))-IF(AND('Opening Balance'!$B$15=1,INDEX('Daily Sale entry '!$Z$1:$Z$1501,$J2034+1)="Online collection 网上收款",INDEX('Daily Sale entry '!$AA$1:$AA$1501,$J2034+1)&lt;&gt;""),N(INDEX('Daily Sale entry '!$AC$1:$AC$1501,$J2034+1))-TRUNC(N(INDEX('Daily Sale entry '!$AC$1:$AC$1501,$J2034+1))),0),N(INDEX('Daily Sale entry '!$S$1:$S$1501,$J2034-1499))-'Opening Balance'!$B$15*(N(INDEX('Daily Sale entry '!$S$1:$S$1501,$J2034-1499))-TRUNC(N(INDEX('Daily Sale entry '!$S$1:$S$1501,$J2034-1499))))))</f>
        <v/>
      </c>
      <c r="G2034" s="6">
        <f>IF($J2034="","",IF($J2034&lt;=1500,N(INDEX('Daily Sale entry '!$AD$1:$AD$1501,$J2034+1)),0))</f>
        <v/>
      </c>
      <c r="H2034" s="6">
        <f>IF($J2034="","",ROUND('Opening Balance'!$B$4+SUM($F$2:F2034)-SUM($G$2:G2034),2))</f>
        <v/>
      </c>
      <c r="J2034" s="21">
        <f>IFERROR(MATCH(ROW()-1,$L$2:$L$3001,0),"")</f>
        <v/>
      </c>
      <c r="K2034" s="34">
        <f>IF(AND('Daily Sale entry '!Q534="Collection 收款",'Daily Sale entry '!R534="Cheque 支票",'Daily Sale entry '!V534&lt;&gt;""),'Daily Sale entry '!V534+ROW()/10000000,"")</f>
        <v/>
      </c>
      <c r="L2034" s="21">
        <f>IF(K2034="","",COUNTIF($K$2:$K$3001,"&lt;"&amp;K2034)+1)</f>
        <v/>
      </c>
    </row>
    <row r="2035">
      <c r="A2035" s="5">
        <f>IF($J2035="","",IF($J2035&lt;=1500,INDEX('Daily Sale entry '!$X$1:$X$1501,$J2035+1),INDEX('Daily Sale entry '!$V$1:$V$1501,$J2035-1499)))</f>
        <v/>
      </c>
      <c r="B2035">
        <f>IF($J2035="","",IF($J2035&lt;=1500,INDEX('Daily Sale entry '!$Y$1:$Y$1501,$J2035+1)&amp;"","Buyer cheque banked 买家支票存入"&amp;IF(INDEX('Daily Sale entry '!$U$1:$U$1501,$J2035-1499)="","", " - "&amp;INDEX('Daily Sale entry '!$U$1:$U$1501,$J2035-1499))))</f>
        <v/>
      </c>
      <c r="C2035">
        <f>IF($J2035="","",IF($J2035&lt;=1500,INDEX('Daily Sale entry '!$Z$1:$Z$1501,$J2035+1)&amp;"","Cheque deposit 支票存入 (buyer 买家)"))</f>
        <v/>
      </c>
      <c r="D2035">
        <f>IF($J2035="","",IF($J2035&lt;=1500,INDEX('Daily Sale entry '!$AA$1:$AA$1501,$J2035+1)&amp;"",INDEX('Daily Sale entry '!$P$1:$P$1501,$J2035-1499)&amp;""))</f>
        <v/>
      </c>
      <c r="E2035">
        <f>IF($J2035="","",IF($J2035&lt;=1500,IF(N(INDEX('Daily Sale entry '!$AB$1:$AB$1501,$J2035+1))=0,"",INDEX('Daily Sale entry '!$AB$1:$AB$1501,$J2035+1)),1))</f>
        <v/>
      </c>
      <c r="F2035" s="6">
        <f>IF($J2035="","",IF($J2035&lt;=1500,N(INDEX('Daily Sale entry '!$AC$1:$AC$1501,$J2035+1))-IF(AND('Opening Balance'!$B$15=1,INDEX('Daily Sale entry '!$Z$1:$Z$1501,$J2035+1)="Online collection 网上收款",INDEX('Daily Sale entry '!$AA$1:$AA$1501,$J2035+1)&lt;&gt;""),N(INDEX('Daily Sale entry '!$AC$1:$AC$1501,$J2035+1))-TRUNC(N(INDEX('Daily Sale entry '!$AC$1:$AC$1501,$J2035+1))),0),N(INDEX('Daily Sale entry '!$S$1:$S$1501,$J2035-1499))-'Opening Balance'!$B$15*(N(INDEX('Daily Sale entry '!$S$1:$S$1501,$J2035-1499))-TRUNC(N(INDEX('Daily Sale entry '!$S$1:$S$1501,$J2035-1499))))))</f>
        <v/>
      </c>
      <c r="G2035" s="6">
        <f>IF($J2035="","",IF($J2035&lt;=1500,N(INDEX('Daily Sale entry '!$AD$1:$AD$1501,$J2035+1)),0))</f>
        <v/>
      </c>
      <c r="H2035" s="6">
        <f>IF($J2035="","",ROUND('Opening Balance'!$B$4+SUM($F$2:F2035)-SUM($G$2:G2035),2))</f>
        <v/>
      </c>
      <c r="J2035" s="21">
        <f>IFERROR(MATCH(ROW()-1,$L$2:$L$3001,0),"")</f>
        <v/>
      </c>
      <c r="K2035" s="34">
        <f>IF(AND('Daily Sale entry '!Q535="Collection 收款",'Daily Sale entry '!R535="Cheque 支票",'Daily Sale entry '!V535&lt;&gt;""),'Daily Sale entry '!V535+ROW()/10000000,"")</f>
        <v/>
      </c>
      <c r="L2035" s="21">
        <f>IF(K2035="","",COUNTIF($K$2:$K$3001,"&lt;"&amp;K2035)+1)</f>
        <v/>
      </c>
    </row>
    <row r="2036">
      <c r="A2036" s="5">
        <f>IF($J2036="","",IF($J2036&lt;=1500,INDEX('Daily Sale entry '!$X$1:$X$1501,$J2036+1),INDEX('Daily Sale entry '!$V$1:$V$1501,$J2036-1499)))</f>
        <v/>
      </c>
      <c r="B2036">
        <f>IF($J2036="","",IF($J2036&lt;=1500,INDEX('Daily Sale entry '!$Y$1:$Y$1501,$J2036+1)&amp;"","Buyer cheque banked 买家支票存入"&amp;IF(INDEX('Daily Sale entry '!$U$1:$U$1501,$J2036-1499)="","", " - "&amp;INDEX('Daily Sale entry '!$U$1:$U$1501,$J2036-1499))))</f>
        <v/>
      </c>
      <c r="C2036">
        <f>IF($J2036="","",IF($J2036&lt;=1500,INDEX('Daily Sale entry '!$Z$1:$Z$1501,$J2036+1)&amp;"","Cheque deposit 支票存入 (buyer 买家)"))</f>
        <v/>
      </c>
      <c r="D2036">
        <f>IF($J2036="","",IF($J2036&lt;=1500,INDEX('Daily Sale entry '!$AA$1:$AA$1501,$J2036+1)&amp;"",INDEX('Daily Sale entry '!$P$1:$P$1501,$J2036-1499)&amp;""))</f>
        <v/>
      </c>
      <c r="E2036">
        <f>IF($J2036="","",IF($J2036&lt;=1500,IF(N(INDEX('Daily Sale entry '!$AB$1:$AB$1501,$J2036+1))=0,"",INDEX('Daily Sale entry '!$AB$1:$AB$1501,$J2036+1)),1))</f>
        <v/>
      </c>
      <c r="F2036" s="6">
        <f>IF($J2036="","",IF($J2036&lt;=1500,N(INDEX('Daily Sale entry '!$AC$1:$AC$1501,$J2036+1))-IF(AND('Opening Balance'!$B$15=1,INDEX('Daily Sale entry '!$Z$1:$Z$1501,$J2036+1)="Online collection 网上收款",INDEX('Daily Sale entry '!$AA$1:$AA$1501,$J2036+1)&lt;&gt;""),N(INDEX('Daily Sale entry '!$AC$1:$AC$1501,$J2036+1))-TRUNC(N(INDEX('Daily Sale entry '!$AC$1:$AC$1501,$J2036+1))),0),N(INDEX('Daily Sale entry '!$S$1:$S$1501,$J2036-1499))-'Opening Balance'!$B$15*(N(INDEX('Daily Sale entry '!$S$1:$S$1501,$J2036-1499))-TRUNC(N(INDEX('Daily Sale entry '!$S$1:$S$1501,$J2036-1499))))))</f>
        <v/>
      </c>
      <c r="G2036" s="6">
        <f>IF($J2036="","",IF($J2036&lt;=1500,N(INDEX('Daily Sale entry '!$AD$1:$AD$1501,$J2036+1)),0))</f>
        <v/>
      </c>
      <c r="H2036" s="6">
        <f>IF($J2036="","",ROUND('Opening Balance'!$B$4+SUM($F$2:F2036)-SUM($G$2:G2036),2))</f>
        <v/>
      </c>
      <c r="J2036" s="21">
        <f>IFERROR(MATCH(ROW()-1,$L$2:$L$3001,0),"")</f>
        <v/>
      </c>
      <c r="K2036" s="34">
        <f>IF(AND('Daily Sale entry '!Q536="Collection 收款",'Daily Sale entry '!R536="Cheque 支票",'Daily Sale entry '!V536&lt;&gt;""),'Daily Sale entry '!V536+ROW()/10000000,"")</f>
        <v/>
      </c>
      <c r="L2036" s="21">
        <f>IF(K2036="","",COUNTIF($K$2:$K$3001,"&lt;"&amp;K2036)+1)</f>
        <v/>
      </c>
    </row>
    <row r="2037">
      <c r="A2037" s="5">
        <f>IF($J2037="","",IF($J2037&lt;=1500,INDEX('Daily Sale entry '!$X$1:$X$1501,$J2037+1),INDEX('Daily Sale entry '!$V$1:$V$1501,$J2037-1499)))</f>
        <v/>
      </c>
      <c r="B2037">
        <f>IF($J2037="","",IF($J2037&lt;=1500,INDEX('Daily Sale entry '!$Y$1:$Y$1501,$J2037+1)&amp;"","Buyer cheque banked 买家支票存入"&amp;IF(INDEX('Daily Sale entry '!$U$1:$U$1501,$J2037-1499)="","", " - "&amp;INDEX('Daily Sale entry '!$U$1:$U$1501,$J2037-1499))))</f>
        <v/>
      </c>
      <c r="C2037">
        <f>IF($J2037="","",IF($J2037&lt;=1500,INDEX('Daily Sale entry '!$Z$1:$Z$1501,$J2037+1)&amp;"","Cheque deposit 支票存入 (buyer 买家)"))</f>
        <v/>
      </c>
      <c r="D2037">
        <f>IF($J2037="","",IF($J2037&lt;=1500,INDEX('Daily Sale entry '!$AA$1:$AA$1501,$J2037+1)&amp;"",INDEX('Daily Sale entry '!$P$1:$P$1501,$J2037-1499)&amp;""))</f>
        <v/>
      </c>
      <c r="E2037">
        <f>IF($J2037="","",IF($J2037&lt;=1500,IF(N(INDEX('Daily Sale entry '!$AB$1:$AB$1501,$J2037+1))=0,"",INDEX('Daily Sale entry '!$AB$1:$AB$1501,$J2037+1)),1))</f>
        <v/>
      </c>
      <c r="F2037" s="6">
        <f>IF($J2037="","",IF($J2037&lt;=1500,N(INDEX('Daily Sale entry '!$AC$1:$AC$1501,$J2037+1))-IF(AND('Opening Balance'!$B$15=1,INDEX('Daily Sale entry '!$Z$1:$Z$1501,$J2037+1)="Online collection 网上收款",INDEX('Daily Sale entry '!$AA$1:$AA$1501,$J2037+1)&lt;&gt;""),N(INDEX('Daily Sale entry '!$AC$1:$AC$1501,$J2037+1))-TRUNC(N(INDEX('Daily Sale entry '!$AC$1:$AC$1501,$J2037+1))),0),N(INDEX('Daily Sale entry '!$S$1:$S$1501,$J2037-1499))-'Opening Balance'!$B$15*(N(INDEX('Daily Sale entry '!$S$1:$S$1501,$J2037-1499))-TRUNC(N(INDEX('Daily Sale entry '!$S$1:$S$1501,$J2037-1499))))))</f>
        <v/>
      </c>
      <c r="G2037" s="6">
        <f>IF($J2037="","",IF($J2037&lt;=1500,N(INDEX('Daily Sale entry '!$AD$1:$AD$1501,$J2037+1)),0))</f>
        <v/>
      </c>
      <c r="H2037" s="6">
        <f>IF($J2037="","",ROUND('Opening Balance'!$B$4+SUM($F$2:F2037)-SUM($G$2:G2037),2))</f>
        <v/>
      </c>
      <c r="J2037" s="21">
        <f>IFERROR(MATCH(ROW()-1,$L$2:$L$3001,0),"")</f>
        <v/>
      </c>
      <c r="K2037" s="34">
        <f>IF(AND('Daily Sale entry '!Q537="Collection 收款",'Daily Sale entry '!R537="Cheque 支票",'Daily Sale entry '!V537&lt;&gt;""),'Daily Sale entry '!V537+ROW()/10000000,"")</f>
        <v/>
      </c>
      <c r="L2037" s="21">
        <f>IF(K2037="","",COUNTIF($K$2:$K$3001,"&lt;"&amp;K2037)+1)</f>
        <v/>
      </c>
    </row>
    <row r="2038">
      <c r="A2038" s="5">
        <f>IF($J2038="","",IF($J2038&lt;=1500,INDEX('Daily Sale entry '!$X$1:$X$1501,$J2038+1),INDEX('Daily Sale entry '!$V$1:$V$1501,$J2038-1499)))</f>
        <v/>
      </c>
      <c r="B2038">
        <f>IF($J2038="","",IF($J2038&lt;=1500,INDEX('Daily Sale entry '!$Y$1:$Y$1501,$J2038+1)&amp;"","Buyer cheque banked 买家支票存入"&amp;IF(INDEX('Daily Sale entry '!$U$1:$U$1501,$J2038-1499)="","", " - "&amp;INDEX('Daily Sale entry '!$U$1:$U$1501,$J2038-1499))))</f>
        <v/>
      </c>
      <c r="C2038">
        <f>IF($J2038="","",IF($J2038&lt;=1500,INDEX('Daily Sale entry '!$Z$1:$Z$1501,$J2038+1)&amp;"","Cheque deposit 支票存入 (buyer 买家)"))</f>
        <v/>
      </c>
      <c r="D2038">
        <f>IF($J2038="","",IF($J2038&lt;=1500,INDEX('Daily Sale entry '!$AA$1:$AA$1501,$J2038+1)&amp;"",INDEX('Daily Sale entry '!$P$1:$P$1501,$J2038-1499)&amp;""))</f>
        <v/>
      </c>
      <c r="E2038">
        <f>IF($J2038="","",IF($J2038&lt;=1500,IF(N(INDEX('Daily Sale entry '!$AB$1:$AB$1501,$J2038+1))=0,"",INDEX('Daily Sale entry '!$AB$1:$AB$1501,$J2038+1)),1))</f>
        <v/>
      </c>
      <c r="F2038" s="6">
        <f>IF($J2038="","",IF($J2038&lt;=1500,N(INDEX('Daily Sale entry '!$AC$1:$AC$1501,$J2038+1))-IF(AND('Opening Balance'!$B$15=1,INDEX('Daily Sale entry '!$Z$1:$Z$1501,$J2038+1)="Online collection 网上收款",INDEX('Daily Sale entry '!$AA$1:$AA$1501,$J2038+1)&lt;&gt;""),N(INDEX('Daily Sale entry '!$AC$1:$AC$1501,$J2038+1))-TRUNC(N(INDEX('Daily Sale entry '!$AC$1:$AC$1501,$J2038+1))),0),N(INDEX('Daily Sale entry '!$S$1:$S$1501,$J2038-1499))-'Opening Balance'!$B$15*(N(INDEX('Daily Sale entry '!$S$1:$S$1501,$J2038-1499))-TRUNC(N(INDEX('Daily Sale entry '!$S$1:$S$1501,$J2038-1499))))))</f>
        <v/>
      </c>
      <c r="G2038" s="6">
        <f>IF($J2038="","",IF($J2038&lt;=1500,N(INDEX('Daily Sale entry '!$AD$1:$AD$1501,$J2038+1)),0))</f>
        <v/>
      </c>
      <c r="H2038" s="6">
        <f>IF($J2038="","",ROUND('Opening Balance'!$B$4+SUM($F$2:F2038)-SUM($G$2:G2038),2))</f>
        <v/>
      </c>
      <c r="J2038" s="21">
        <f>IFERROR(MATCH(ROW()-1,$L$2:$L$3001,0),"")</f>
        <v/>
      </c>
      <c r="K2038" s="34">
        <f>IF(AND('Daily Sale entry '!Q538="Collection 收款",'Daily Sale entry '!R538="Cheque 支票",'Daily Sale entry '!V538&lt;&gt;""),'Daily Sale entry '!V538+ROW()/10000000,"")</f>
        <v/>
      </c>
      <c r="L2038" s="21">
        <f>IF(K2038="","",COUNTIF($K$2:$K$3001,"&lt;"&amp;K2038)+1)</f>
        <v/>
      </c>
    </row>
    <row r="2039">
      <c r="A2039" s="5">
        <f>IF($J2039="","",IF($J2039&lt;=1500,INDEX('Daily Sale entry '!$X$1:$X$1501,$J2039+1),INDEX('Daily Sale entry '!$V$1:$V$1501,$J2039-1499)))</f>
        <v/>
      </c>
      <c r="B2039">
        <f>IF($J2039="","",IF($J2039&lt;=1500,INDEX('Daily Sale entry '!$Y$1:$Y$1501,$J2039+1)&amp;"","Buyer cheque banked 买家支票存入"&amp;IF(INDEX('Daily Sale entry '!$U$1:$U$1501,$J2039-1499)="","", " - "&amp;INDEX('Daily Sale entry '!$U$1:$U$1501,$J2039-1499))))</f>
        <v/>
      </c>
      <c r="C2039">
        <f>IF($J2039="","",IF($J2039&lt;=1500,INDEX('Daily Sale entry '!$Z$1:$Z$1501,$J2039+1)&amp;"","Cheque deposit 支票存入 (buyer 买家)"))</f>
        <v/>
      </c>
      <c r="D2039">
        <f>IF($J2039="","",IF($J2039&lt;=1500,INDEX('Daily Sale entry '!$AA$1:$AA$1501,$J2039+1)&amp;"",INDEX('Daily Sale entry '!$P$1:$P$1501,$J2039-1499)&amp;""))</f>
        <v/>
      </c>
      <c r="E2039">
        <f>IF($J2039="","",IF($J2039&lt;=1500,IF(N(INDEX('Daily Sale entry '!$AB$1:$AB$1501,$J2039+1))=0,"",INDEX('Daily Sale entry '!$AB$1:$AB$1501,$J2039+1)),1))</f>
        <v/>
      </c>
      <c r="F2039" s="6">
        <f>IF($J2039="","",IF($J2039&lt;=1500,N(INDEX('Daily Sale entry '!$AC$1:$AC$1501,$J2039+1))-IF(AND('Opening Balance'!$B$15=1,INDEX('Daily Sale entry '!$Z$1:$Z$1501,$J2039+1)="Online collection 网上收款",INDEX('Daily Sale entry '!$AA$1:$AA$1501,$J2039+1)&lt;&gt;""),N(INDEX('Daily Sale entry '!$AC$1:$AC$1501,$J2039+1))-TRUNC(N(INDEX('Daily Sale entry '!$AC$1:$AC$1501,$J2039+1))),0),N(INDEX('Daily Sale entry '!$S$1:$S$1501,$J2039-1499))-'Opening Balance'!$B$15*(N(INDEX('Daily Sale entry '!$S$1:$S$1501,$J2039-1499))-TRUNC(N(INDEX('Daily Sale entry '!$S$1:$S$1501,$J2039-1499))))))</f>
        <v/>
      </c>
      <c r="G2039" s="6">
        <f>IF($J2039="","",IF($J2039&lt;=1500,N(INDEX('Daily Sale entry '!$AD$1:$AD$1501,$J2039+1)),0))</f>
        <v/>
      </c>
      <c r="H2039" s="6">
        <f>IF($J2039="","",ROUND('Opening Balance'!$B$4+SUM($F$2:F2039)-SUM($G$2:G2039),2))</f>
        <v/>
      </c>
      <c r="J2039" s="21">
        <f>IFERROR(MATCH(ROW()-1,$L$2:$L$3001,0),"")</f>
        <v/>
      </c>
      <c r="K2039" s="34">
        <f>IF(AND('Daily Sale entry '!Q539="Collection 收款",'Daily Sale entry '!R539="Cheque 支票",'Daily Sale entry '!V539&lt;&gt;""),'Daily Sale entry '!V539+ROW()/10000000,"")</f>
        <v/>
      </c>
      <c r="L2039" s="21">
        <f>IF(K2039="","",COUNTIF($K$2:$K$3001,"&lt;"&amp;K2039)+1)</f>
        <v/>
      </c>
    </row>
    <row r="2040">
      <c r="A2040" s="5">
        <f>IF($J2040="","",IF($J2040&lt;=1500,INDEX('Daily Sale entry '!$X$1:$X$1501,$J2040+1),INDEX('Daily Sale entry '!$V$1:$V$1501,$J2040-1499)))</f>
        <v/>
      </c>
      <c r="B2040">
        <f>IF($J2040="","",IF($J2040&lt;=1500,INDEX('Daily Sale entry '!$Y$1:$Y$1501,$J2040+1)&amp;"","Buyer cheque banked 买家支票存入"&amp;IF(INDEX('Daily Sale entry '!$U$1:$U$1501,$J2040-1499)="","", " - "&amp;INDEX('Daily Sale entry '!$U$1:$U$1501,$J2040-1499))))</f>
        <v/>
      </c>
      <c r="C2040">
        <f>IF($J2040="","",IF($J2040&lt;=1500,INDEX('Daily Sale entry '!$Z$1:$Z$1501,$J2040+1)&amp;"","Cheque deposit 支票存入 (buyer 买家)"))</f>
        <v/>
      </c>
      <c r="D2040">
        <f>IF($J2040="","",IF($J2040&lt;=1500,INDEX('Daily Sale entry '!$AA$1:$AA$1501,$J2040+1)&amp;"",INDEX('Daily Sale entry '!$P$1:$P$1501,$J2040-1499)&amp;""))</f>
        <v/>
      </c>
      <c r="E2040">
        <f>IF($J2040="","",IF($J2040&lt;=1500,IF(N(INDEX('Daily Sale entry '!$AB$1:$AB$1501,$J2040+1))=0,"",INDEX('Daily Sale entry '!$AB$1:$AB$1501,$J2040+1)),1))</f>
        <v/>
      </c>
      <c r="F2040" s="6">
        <f>IF($J2040="","",IF($J2040&lt;=1500,N(INDEX('Daily Sale entry '!$AC$1:$AC$1501,$J2040+1))-IF(AND('Opening Balance'!$B$15=1,INDEX('Daily Sale entry '!$Z$1:$Z$1501,$J2040+1)="Online collection 网上收款",INDEX('Daily Sale entry '!$AA$1:$AA$1501,$J2040+1)&lt;&gt;""),N(INDEX('Daily Sale entry '!$AC$1:$AC$1501,$J2040+1))-TRUNC(N(INDEX('Daily Sale entry '!$AC$1:$AC$1501,$J2040+1))),0),N(INDEX('Daily Sale entry '!$S$1:$S$1501,$J2040-1499))-'Opening Balance'!$B$15*(N(INDEX('Daily Sale entry '!$S$1:$S$1501,$J2040-1499))-TRUNC(N(INDEX('Daily Sale entry '!$S$1:$S$1501,$J2040-1499))))))</f>
        <v/>
      </c>
      <c r="G2040" s="6">
        <f>IF($J2040="","",IF($J2040&lt;=1500,N(INDEX('Daily Sale entry '!$AD$1:$AD$1501,$J2040+1)),0))</f>
        <v/>
      </c>
      <c r="H2040" s="6">
        <f>IF($J2040="","",ROUND('Opening Balance'!$B$4+SUM($F$2:F2040)-SUM($G$2:G2040),2))</f>
        <v/>
      </c>
      <c r="J2040" s="21">
        <f>IFERROR(MATCH(ROW()-1,$L$2:$L$3001,0),"")</f>
        <v/>
      </c>
      <c r="K2040" s="34">
        <f>IF(AND('Daily Sale entry '!Q540="Collection 收款",'Daily Sale entry '!R540="Cheque 支票",'Daily Sale entry '!V540&lt;&gt;""),'Daily Sale entry '!V540+ROW()/10000000,"")</f>
        <v/>
      </c>
      <c r="L2040" s="21">
        <f>IF(K2040="","",COUNTIF($K$2:$K$3001,"&lt;"&amp;K2040)+1)</f>
        <v/>
      </c>
    </row>
    <row r="2041">
      <c r="A2041" s="5">
        <f>IF($J2041="","",IF($J2041&lt;=1500,INDEX('Daily Sale entry '!$X$1:$X$1501,$J2041+1),INDEX('Daily Sale entry '!$V$1:$V$1501,$J2041-1499)))</f>
        <v/>
      </c>
      <c r="B2041">
        <f>IF($J2041="","",IF($J2041&lt;=1500,INDEX('Daily Sale entry '!$Y$1:$Y$1501,$J2041+1)&amp;"","Buyer cheque banked 买家支票存入"&amp;IF(INDEX('Daily Sale entry '!$U$1:$U$1501,$J2041-1499)="","", " - "&amp;INDEX('Daily Sale entry '!$U$1:$U$1501,$J2041-1499))))</f>
        <v/>
      </c>
      <c r="C2041">
        <f>IF($J2041="","",IF($J2041&lt;=1500,INDEX('Daily Sale entry '!$Z$1:$Z$1501,$J2041+1)&amp;"","Cheque deposit 支票存入 (buyer 买家)"))</f>
        <v/>
      </c>
      <c r="D2041">
        <f>IF($J2041="","",IF($J2041&lt;=1500,INDEX('Daily Sale entry '!$AA$1:$AA$1501,$J2041+1)&amp;"",INDEX('Daily Sale entry '!$P$1:$P$1501,$J2041-1499)&amp;""))</f>
        <v/>
      </c>
      <c r="E2041">
        <f>IF($J2041="","",IF($J2041&lt;=1500,IF(N(INDEX('Daily Sale entry '!$AB$1:$AB$1501,$J2041+1))=0,"",INDEX('Daily Sale entry '!$AB$1:$AB$1501,$J2041+1)),1))</f>
        <v/>
      </c>
      <c r="F2041" s="6">
        <f>IF($J2041="","",IF($J2041&lt;=1500,N(INDEX('Daily Sale entry '!$AC$1:$AC$1501,$J2041+1))-IF(AND('Opening Balance'!$B$15=1,INDEX('Daily Sale entry '!$Z$1:$Z$1501,$J2041+1)="Online collection 网上收款",INDEX('Daily Sale entry '!$AA$1:$AA$1501,$J2041+1)&lt;&gt;""),N(INDEX('Daily Sale entry '!$AC$1:$AC$1501,$J2041+1))-TRUNC(N(INDEX('Daily Sale entry '!$AC$1:$AC$1501,$J2041+1))),0),N(INDEX('Daily Sale entry '!$S$1:$S$1501,$J2041-1499))-'Opening Balance'!$B$15*(N(INDEX('Daily Sale entry '!$S$1:$S$1501,$J2041-1499))-TRUNC(N(INDEX('Daily Sale entry '!$S$1:$S$1501,$J2041-1499))))))</f>
        <v/>
      </c>
      <c r="G2041" s="6">
        <f>IF($J2041="","",IF($J2041&lt;=1500,N(INDEX('Daily Sale entry '!$AD$1:$AD$1501,$J2041+1)),0))</f>
        <v/>
      </c>
      <c r="H2041" s="6">
        <f>IF($J2041="","",ROUND('Opening Balance'!$B$4+SUM($F$2:F2041)-SUM($G$2:G2041),2))</f>
        <v/>
      </c>
      <c r="J2041" s="21">
        <f>IFERROR(MATCH(ROW()-1,$L$2:$L$3001,0),"")</f>
        <v/>
      </c>
      <c r="K2041" s="34">
        <f>IF(AND('Daily Sale entry '!Q541="Collection 收款",'Daily Sale entry '!R541="Cheque 支票",'Daily Sale entry '!V541&lt;&gt;""),'Daily Sale entry '!V541+ROW()/10000000,"")</f>
        <v/>
      </c>
      <c r="L2041" s="21">
        <f>IF(K2041="","",COUNTIF($K$2:$K$3001,"&lt;"&amp;K2041)+1)</f>
        <v/>
      </c>
    </row>
    <row r="2042">
      <c r="A2042" s="5">
        <f>IF($J2042="","",IF($J2042&lt;=1500,INDEX('Daily Sale entry '!$X$1:$X$1501,$J2042+1),INDEX('Daily Sale entry '!$V$1:$V$1501,$J2042-1499)))</f>
        <v/>
      </c>
      <c r="B2042">
        <f>IF($J2042="","",IF($J2042&lt;=1500,INDEX('Daily Sale entry '!$Y$1:$Y$1501,$J2042+1)&amp;"","Buyer cheque banked 买家支票存入"&amp;IF(INDEX('Daily Sale entry '!$U$1:$U$1501,$J2042-1499)="","", " - "&amp;INDEX('Daily Sale entry '!$U$1:$U$1501,$J2042-1499))))</f>
        <v/>
      </c>
      <c r="C2042">
        <f>IF($J2042="","",IF($J2042&lt;=1500,INDEX('Daily Sale entry '!$Z$1:$Z$1501,$J2042+1)&amp;"","Cheque deposit 支票存入 (buyer 买家)"))</f>
        <v/>
      </c>
      <c r="D2042">
        <f>IF($J2042="","",IF($J2042&lt;=1500,INDEX('Daily Sale entry '!$AA$1:$AA$1501,$J2042+1)&amp;"",INDEX('Daily Sale entry '!$P$1:$P$1501,$J2042-1499)&amp;""))</f>
        <v/>
      </c>
      <c r="E2042">
        <f>IF($J2042="","",IF($J2042&lt;=1500,IF(N(INDEX('Daily Sale entry '!$AB$1:$AB$1501,$J2042+1))=0,"",INDEX('Daily Sale entry '!$AB$1:$AB$1501,$J2042+1)),1))</f>
        <v/>
      </c>
      <c r="F2042" s="6">
        <f>IF($J2042="","",IF($J2042&lt;=1500,N(INDEX('Daily Sale entry '!$AC$1:$AC$1501,$J2042+1))-IF(AND('Opening Balance'!$B$15=1,INDEX('Daily Sale entry '!$Z$1:$Z$1501,$J2042+1)="Online collection 网上收款",INDEX('Daily Sale entry '!$AA$1:$AA$1501,$J2042+1)&lt;&gt;""),N(INDEX('Daily Sale entry '!$AC$1:$AC$1501,$J2042+1))-TRUNC(N(INDEX('Daily Sale entry '!$AC$1:$AC$1501,$J2042+1))),0),N(INDEX('Daily Sale entry '!$S$1:$S$1501,$J2042-1499))-'Opening Balance'!$B$15*(N(INDEX('Daily Sale entry '!$S$1:$S$1501,$J2042-1499))-TRUNC(N(INDEX('Daily Sale entry '!$S$1:$S$1501,$J2042-1499))))))</f>
        <v/>
      </c>
      <c r="G2042" s="6">
        <f>IF($J2042="","",IF($J2042&lt;=1500,N(INDEX('Daily Sale entry '!$AD$1:$AD$1501,$J2042+1)),0))</f>
        <v/>
      </c>
      <c r="H2042" s="6">
        <f>IF($J2042="","",ROUND('Opening Balance'!$B$4+SUM($F$2:F2042)-SUM($G$2:G2042),2))</f>
        <v/>
      </c>
      <c r="J2042" s="21">
        <f>IFERROR(MATCH(ROW()-1,$L$2:$L$3001,0),"")</f>
        <v/>
      </c>
      <c r="K2042" s="34">
        <f>IF(AND('Daily Sale entry '!Q542="Collection 收款",'Daily Sale entry '!R542="Cheque 支票",'Daily Sale entry '!V542&lt;&gt;""),'Daily Sale entry '!V542+ROW()/10000000,"")</f>
        <v/>
      </c>
      <c r="L2042" s="21">
        <f>IF(K2042="","",COUNTIF($K$2:$K$3001,"&lt;"&amp;K2042)+1)</f>
        <v/>
      </c>
    </row>
    <row r="2043">
      <c r="A2043" s="5">
        <f>IF($J2043="","",IF($J2043&lt;=1500,INDEX('Daily Sale entry '!$X$1:$X$1501,$J2043+1),INDEX('Daily Sale entry '!$V$1:$V$1501,$J2043-1499)))</f>
        <v/>
      </c>
      <c r="B2043">
        <f>IF($J2043="","",IF($J2043&lt;=1500,INDEX('Daily Sale entry '!$Y$1:$Y$1501,$J2043+1)&amp;"","Buyer cheque banked 买家支票存入"&amp;IF(INDEX('Daily Sale entry '!$U$1:$U$1501,$J2043-1499)="","", " - "&amp;INDEX('Daily Sale entry '!$U$1:$U$1501,$J2043-1499))))</f>
        <v/>
      </c>
      <c r="C2043">
        <f>IF($J2043="","",IF($J2043&lt;=1500,INDEX('Daily Sale entry '!$Z$1:$Z$1501,$J2043+1)&amp;"","Cheque deposit 支票存入 (buyer 买家)"))</f>
        <v/>
      </c>
      <c r="D2043">
        <f>IF($J2043="","",IF($J2043&lt;=1500,INDEX('Daily Sale entry '!$AA$1:$AA$1501,$J2043+1)&amp;"",INDEX('Daily Sale entry '!$P$1:$P$1501,$J2043-1499)&amp;""))</f>
        <v/>
      </c>
      <c r="E2043">
        <f>IF($J2043="","",IF($J2043&lt;=1500,IF(N(INDEX('Daily Sale entry '!$AB$1:$AB$1501,$J2043+1))=0,"",INDEX('Daily Sale entry '!$AB$1:$AB$1501,$J2043+1)),1))</f>
        <v/>
      </c>
      <c r="F2043" s="6">
        <f>IF($J2043="","",IF($J2043&lt;=1500,N(INDEX('Daily Sale entry '!$AC$1:$AC$1501,$J2043+1))-IF(AND('Opening Balance'!$B$15=1,INDEX('Daily Sale entry '!$Z$1:$Z$1501,$J2043+1)="Online collection 网上收款",INDEX('Daily Sale entry '!$AA$1:$AA$1501,$J2043+1)&lt;&gt;""),N(INDEX('Daily Sale entry '!$AC$1:$AC$1501,$J2043+1))-TRUNC(N(INDEX('Daily Sale entry '!$AC$1:$AC$1501,$J2043+1))),0),N(INDEX('Daily Sale entry '!$S$1:$S$1501,$J2043-1499))-'Opening Balance'!$B$15*(N(INDEX('Daily Sale entry '!$S$1:$S$1501,$J2043-1499))-TRUNC(N(INDEX('Daily Sale entry '!$S$1:$S$1501,$J2043-1499))))))</f>
        <v/>
      </c>
      <c r="G2043" s="6">
        <f>IF($J2043="","",IF($J2043&lt;=1500,N(INDEX('Daily Sale entry '!$AD$1:$AD$1501,$J2043+1)),0))</f>
        <v/>
      </c>
      <c r="H2043" s="6">
        <f>IF($J2043="","",ROUND('Opening Balance'!$B$4+SUM($F$2:F2043)-SUM($G$2:G2043),2))</f>
        <v/>
      </c>
      <c r="J2043" s="21">
        <f>IFERROR(MATCH(ROW()-1,$L$2:$L$3001,0),"")</f>
        <v/>
      </c>
      <c r="K2043" s="34">
        <f>IF(AND('Daily Sale entry '!Q543="Collection 收款",'Daily Sale entry '!R543="Cheque 支票",'Daily Sale entry '!V543&lt;&gt;""),'Daily Sale entry '!V543+ROW()/10000000,"")</f>
        <v/>
      </c>
      <c r="L2043" s="21">
        <f>IF(K2043="","",COUNTIF($K$2:$K$3001,"&lt;"&amp;K2043)+1)</f>
        <v/>
      </c>
    </row>
    <row r="2044">
      <c r="A2044" s="5">
        <f>IF($J2044="","",IF($J2044&lt;=1500,INDEX('Daily Sale entry '!$X$1:$X$1501,$J2044+1),INDEX('Daily Sale entry '!$V$1:$V$1501,$J2044-1499)))</f>
        <v/>
      </c>
      <c r="B2044">
        <f>IF($J2044="","",IF($J2044&lt;=1500,INDEX('Daily Sale entry '!$Y$1:$Y$1501,$J2044+1)&amp;"","Buyer cheque banked 买家支票存入"&amp;IF(INDEX('Daily Sale entry '!$U$1:$U$1501,$J2044-1499)="","", " - "&amp;INDEX('Daily Sale entry '!$U$1:$U$1501,$J2044-1499))))</f>
        <v/>
      </c>
      <c r="C2044">
        <f>IF($J2044="","",IF($J2044&lt;=1500,INDEX('Daily Sale entry '!$Z$1:$Z$1501,$J2044+1)&amp;"","Cheque deposit 支票存入 (buyer 买家)"))</f>
        <v/>
      </c>
      <c r="D2044">
        <f>IF($J2044="","",IF($J2044&lt;=1500,INDEX('Daily Sale entry '!$AA$1:$AA$1501,$J2044+1)&amp;"",INDEX('Daily Sale entry '!$P$1:$P$1501,$J2044-1499)&amp;""))</f>
        <v/>
      </c>
      <c r="E2044">
        <f>IF($J2044="","",IF($J2044&lt;=1500,IF(N(INDEX('Daily Sale entry '!$AB$1:$AB$1501,$J2044+1))=0,"",INDEX('Daily Sale entry '!$AB$1:$AB$1501,$J2044+1)),1))</f>
        <v/>
      </c>
      <c r="F2044" s="6">
        <f>IF($J2044="","",IF($J2044&lt;=1500,N(INDEX('Daily Sale entry '!$AC$1:$AC$1501,$J2044+1))-IF(AND('Opening Balance'!$B$15=1,INDEX('Daily Sale entry '!$Z$1:$Z$1501,$J2044+1)="Online collection 网上收款",INDEX('Daily Sale entry '!$AA$1:$AA$1501,$J2044+1)&lt;&gt;""),N(INDEX('Daily Sale entry '!$AC$1:$AC$1501,$J2044+1))-TRUNC(N(INDEX('Daily Sale entry '!$AC$1:$AC$1501,$J2044+1))),0),N(INDEX('Daily Sale entry '!$S$1:$S$1501,$J2044-1499))-'Opening Balance'!$B$15*(N(INDEX('Daily Sale entry '!$S$1:$S$1501,$J2044-1499))-TRUNC(N(INDEX('Daily Sale entry '!$S$1:$S$1501,$J2044-1499))))))</f>
        <v/>
      </c>
      <c r="G2044" s="6">
        <f>IF($J2044="","",IF($J2044&lt;=1500,N(INDEX('Daily Sale entry '!$AD$1:$AD$1501,$J2044+1)),0))</f>
        <v/>
      </c>
      <c r="H2044" s="6">
        <f>IF($J2044="","",ROUND('Opening Balance'!$B$4+SUM($F$2:F2044)-SUM($G$2:G2044),2))</f>
        <v/>
      </c>
      <c r="J2044" s="21">
        <f>IFERROR(MATCH(ROW()-1,$L$2:$L$3001,0),"")</f>
        <v/>
      </c>
      <c r="K2044" s="34">
        <f>IF(AND('Daily Sale entry '!Q544="Collection 收款",'Daily Sale entry '!R544="Cheque 支票",'Daily Sale entry '!V544&lt;&gt;""),'Daily Sale entry '!V544+ROW()/10000000,"")</f>
        <v/>
      </c>
      <c r="L2044" s="21">
        <f>IF(K2044="","",COUNTIF($K$2:$K$3001,"&lt;"&amp;K2044)+1)</f>
        <v/>
      </c>
    </row>
    <row r="2045">
      <c r="A2045" s="5">
        <f>IF($J2045="","",IF($J2045&lt;=1500,INDEX('Daily Sale entry '!$X$1:$X$1501,$J2045+1),INDEX('Daily Sale entry '!$V$1:$V$1501,$J2045-1499)))</f>
        <v/>
      </c>
      <c r="B2045">
        <f>IF($J2045="","",IF($J2045&lt;=1500,INDEX('Daily Sale entry '!$Y$1:$Y$1501,$J2045+1)&amp;"","Buyer cheque banked 买家支票存入"&amp;IF(INDEX('Daily Sale entry '!$U$1:$U$1501,$J2045-1499)="","", " - "&amp;INDEX('Daily Sale entry '!$U$1:$U$1501,$J2045-1499))))</f>
        <v/>
      </c>
      <c r="C2045">
        <f>IF($J2045="","",IF($J2045&lt;=1500,INDEX('Daily Sale entry '!$Z$1:$Z$1501,$J2045+1)&amp;"","Cheque deposit 支票存入 (buyer 买家)"))</f>
        <v/>
      </c>
      <c r="D2045">
        <f>IF($J2045="","",IF($J2045&lt;=1500,INDEX('Daily Sale entry '!$AA$1:$AA$1501,$J2045+1)&amp;"",INDEX('Daily Sale entry '!$P$1:$P$1501,$J2045-1499)&amp;""))</f>
        <v/>
      </c>
      <c r="E2045">
        <f>IF($J2045="","",IF($J2045&lt;=1500,IF(N(INDEX('Daily Sale entry '!$AB$1:$AB$1501,$J2045+1))=0,"",INDEX('Daily Sale entry '!$AB$1:$AB$1501,$J2045+1)),1))</f>
        <v/>
      </c>
      <c r="F2045" s="6">
        <f>IF($J2045="","",IF($J2045&lt;=1500,N(INDEX('Daily Sale entry '!$AC$1:$AC$1501,$J2045+1))-IF(AND('Opening Balance'!$B$15=1,INDEX('Daily Sale entry '!$Z$1:$Z$1501,$J2045+1)="Online collection 网上收款",INDEX('Daily Sale entry '!$AA$1:$AA$1501,$J2045+1)&lt;&gt;""),N(INDEX('Daily Sale entry '!$AC$1:$AC$1501,$J2045+1))-TRUNC(N(INDEX('Daily Sale entry '!$AC$1:$AC$1501,$J2045+1))),0),N(INDEX('Daily Sale entry '!$S$1:$S$1501,$J2045-1499))-'Opening Balance'!$B$15*(N(INDEX('Daily Sale entry '!$S$1:$S$1501,$J2045-1499))-TRUNC(N(INDEX('Daily Sale entry '!$S$1:$S$1501,$J2045-1499))))))</f>
        <v/>
      </c>
      <c r="G2045" s="6">
        <f>IF($J2045="","",IF($J2045&lt;=1500,N(INDEX('Daily Sale entry '!$AD$1:$AD$1501,$J2045+1)),0))</f>
        <v/>
      </c>
      <c r="H2045" s="6">
        <f>IF($J2045="","",ROUND('Opening Balance'!$B$4+SUM($F$2:F2045)-SUM($G$2:G2045),2))</f>
        <v/>
      </c>
      <c r="J2045" s="21">
        <f>IFERROR(MATCH(ROW()-1,$L$2:$L$3001,0),"")</f>
        <v/>
      </c>
      <c r="K2045" s="34">
        <f>IF(AND('Daily Sale entry '!Q545="Collection 收款",'Daily Sale entry '!R545="Cheque 支票",'Daily Sale entry '!V545&lt;&gt;""),'Daily Sale entry '!V545+ROW()/10000000,"")</f>
        <v/>
      </c>
      <c r="L2045" s="21">
        <f>IF(K2045="","",COUNTIF($K$2:$K$3001,"&lt;"&amp;K2045)+1)</f>
        <v/>
      </c>
    </row>
    <row r="2046">
      <c r="A2046" s="5">
        <f>IF($J2046="","",IF($J2046&lt;=1500,INDEX('Daily Sale entry '!$X$1:$X$1501,$J2046+1),INDEX('Daily Sale entry '!$V$1:$V$1501,$J2046-1499)))</f>
        <v/>
      </c>
      <c r="B2046">
        <f>IF($J2046="","",IF($J2046&lt;=1500,INDEX('Daily Sale entry '!$Y$1:$Y$1501,$J2046+1)&amp;"","Buyer cheque banked 买家支票存入"&amp;IF(INDEX('Daily Sale entry '!$U$1:$U$1501,$J2046-1499)="","", " - "&amp;INDEX('Daily Sale entry '!$U$1:$U$1501,$J2046-1499))))</f>
        <v/>
      </c>
      <c r="C2046">
        <f>IF($J2046="","",IF($J2046&lt;=1500,INDEX('Daily Sale entry '!$Z$1:$Z$1501,$J2046+1)&amp;"","Cheque deposit 支票存入 (buyer 买家)"))</f>
        <v/>
      </c>
      <c r="D2046">
        <f>IF($J2046="","",IF($J2046&lt;=1500,INDEX('Daily Sale entry '!$AA$1:$AA$1501,$J2046+1)&amp;"",INDEX('Daily Sale entry '!$P$1:$P$1501,$J2046-1499)&amp;""))</f>
        <v/>
      </c>
      <c r="E2046">
        <f>IF($J2046="","",IF($J2046&lt;=1500,IF(N(INDEX('Daily Sale entry '!$AB$1:$AB$1501,$J2046+1))=0,"",INDEX('Daily Sale entry '!$AB$1:$AB$1501,$J2046+1)),1))</f>
        <v/>
      </c>
      <c r="F2046" s="6">
        <f>IF($J2046="","",IF($J2046&lt;=1500,N(INDEX('Daily Sale entry '!$AC$1:$AC$1501,$J2046+1))-IF(AND('Opening Balance'!$B$15=1,INDEX('Daily Sale entry '!$Z$1:$Z$1501,$J2046+1)="Online collection 网上收款",INDEX('Daily Sale entry '!$AA$1:$AA$1501,$J2046+1)&lt;&gt;""),N(INDEX('Daily Sale entry '!$AC$1:$AC$1501,$J2046+1))-TRUNC(N(INDEX('Daily Sale entry '!$AC$1:$AC$1501,$J2046+1))),0),N(INDEX('Daily Sale entry '!$S$1:$S$1501,$J2046-1499))-'Opening Balance'!$B$15*(N(INDEX('Daily Sale entry '!$S$1:$S$1501,$J2046-1499))-TRUNC(N(INDEX('Daily Sale entry '!$S$1:$S$1501,$J2046-1499))))))</f>
        <v/>
      </c>
      <c r="G2046" s="6">
        <f>IF($J2046="","",IF($J2046&lt;=1500,N(INDEX('Daily Sale entry '!$AD$1:$AD$1501,$J2046+1)),0))</f>
        <v/>
      </c>
      <c r="H2046" s="6">
        <f>IF($J2046="","",ROUND('Opening Balance'!$B$4+SUM($F$2:F2046)-SUM($G$2:G2046),2))</f>
        <v/>
      </c>
      <c r="J2046" s="21">
        <f>IFERROR(MATCH(ROW()-1,$L$2:$L$3001,0),"")</f>
        <v/>
      </c>
      <c r="K2046" s="34">
        <f>IF(AND('Daily Sale entry '!Q546="Collection 收款",'Daily Sale entry '!R546="Cheque 支票",'Daily Sale entry '!V546&lt;&gt;""),'Daily Sale entry '!V546+ROW()/10000000,"")</f>
        <v/>
      </c>
      <c r="L2046" s="21">
        <f>IF(K2046="","",COUNTIF($K$2:$K$3001,"&lt;"&amp;K2046)+1)</f>
        <v/>
      </c>
    </row>
    <row r="2047">
      <c r="A2047" s="5">
        <f>IF($J2047="","",IF($J2047&lt;=1500,INDEX('Daily Sale entry '!$X$1:$X$1501,$J2047+1),INDEX('Daily Sale entry '!$V$1:$V$1501,$J2047-1499)))</f>
        <v/>
      </c>
      <c r="B2047">
        <f>IF($J2047="","",IF($J2047&lt;=1500,INDEX('Daily Sale entry '!$Y$1:$Y$1501,$J2047+1)&amp;"","Buyer cheque banked 买家支票存入"&amp;IF(INDEX('Daily Sale entry '!$U$1:$U$1501,$J2047-1499)="","", " - "&amp;INDEX('Daily Sale entry '!$U$1:$U$1501,$J2047-1499))))</f>
        <v/>
      </c>
      <c r="C2047">
        <f>IF($J2047="","",IF($J2047&lt;=1500,INDEX('Daily Sale entry '!$Z$1:$Z$1501,$J2047+1)&amp;"","Cheque deposit 支票存入 (buyer 买家)"))</f>
        <v/>
      </c>
      <c r="D2047">
        <f>IF($J2047="","",IF($J2047&lt;=1500,INDEX('Daily Sale entry '!$AA$1:$AA$1501,$J2047+1)&amp;"",INDEX('Daily Sale entry '!$P$1:$P$1501,$J2047-1499)&amp;""))</f>
        <v/>
      </c>
      <c r="E2047">
        <f>IF($J2047="","",IF($J2047&lt;=1500,IF(N(INDEX('Daily Sale entry '!$AB$1:$AB$1501,$J2047+1))=0,"",INDEX('Daily Sale entry '!$AB$1:$AB$1501,$J2047+1)),1))</f>
        <v/>
      </c>
      <c r="F2047" s="6">
        <f>IF($J2047="","",IF($J2047&lt;=1500,N(INDEX('Daily Sale entry '!$AC$1:$AC$1501,$J2047+1))-IF(AND('Opening Balance'!$B$15=1,INDEX('Daily Sale entry '!$Z$1:$Z$1501,$J2047+1)="Online collection 网上收款",INDEX('Daily Sale entry '!$AA$1:$AA$1501,$J2047+1)&lt;&gt;""),N(INDEX('Daily Sale entry '!$AC$1:$AC$1501,$J2047+1))-TRUNC(N(INDEX('Daily Sale entry '!$AC$1:$AC$1501,$J2047+1))),0),N(INDEX('Daily Sale entry '!$S$1:$S$1501,$J2047-1499))-'Opening Balance'!$B$15*(N(INDEX('Daily Sale entry '!$S$1:$S$1501,$J2047-1499))-TRUNC(N(INDEX('Daily Sale entry '!$S$1:$S$1501,$J2047-1499))))))</f>
        <v/>
      </c>
      <c r="G2047" s="6">
        <f>IF($J2047="","",IF($J2047&lt;=1500,N(INDEX('Daily Sale entry '!$AD$1:$AD$1501,$J2047+1)),0))</f>
        <v/>
      </c>
      <c r="H2047" s="6">
        <f>IF($J2047="","",ROUND('Opening Balance'!$B$4+SUM($F$2:F2047)-SUM($G$2:G2047),2))</f>
        <v/>
      </c>
      <c r="J2047" s="21">
        <f>IFERROR(MATCH(ROW()-1,$L$2:$L$3001,0),"")</f>
        <v/>
      </c>
      <c r="K2047" s="34">
        <f>IF(AND('Daily Sale entry '!Q547="Collection 收款",'Daily Sale entry '!R547="Cheque 支票",'Daily Sale entry '!V547&lt;&gt;""),'Daily Sale entry '!V547+ROW()/10000000,"")</f>
        <v/>
      </c>
      <c r="L2047" s="21">
        <f>IF(K2047="","",COUNTIF($K$2:$K$3001,"&lt;"&amp;K2047)+1)</f>
        <v/>
      </c>
    </row>
    <row r="2048">
      <c r="A2048" s="5">
        <f>IF($J2048="","",IF($J2048&lt;=1500,INDEX('Daily Sale entry '!$X$1:$X$1501,$J2048+1),INDEX('Daily Sale entry '!$V$1:$V$1501,$J2048-1499)))</f>
        <v/>
      </c>
      <c r="B2048">
        <f>IF($J2048="","",IF($J2048&lt;=1500,INDEX('Daily Sale entry '!$Y$1:$Y$1501,$J2048+1)&amp;"","Buyer cheque banked 买家支票存入"&amp;IF(INDEX('Daily Sale entry '!$U$1:$U$1501,$J2048-1499)="","", " - "&amp;INDEX('Daily Sale entry '!$U$1:$U$1501,$J2048-1499))))</f>
        <v/>
      </c>
      <c r="C2048">
        <f>IF($J2048="","",IF($J2048&lt;=1500,INDEX('Daily Sale entry '!$Z$1:$Z$1501,$J2048+1)&amp;"","Cheque deposit 支票存入 (buyer 买家)"))</f>
        <v/>
      </c>
      <c r="D2048">
        <f>IF($J2048="","",IF($J2048&lt;=1500,INDEX('Daily Sale entry '!$AA$1:$AA$1501,$J2048+1)&amp;"",INDEX('Daily Sale entry '!$P$1:$P$1501,$J2048-1499)&amp;""))</f>
        <v/>
      </c>
      <c r="E2048">
        <f>IF($J2048="","",IF($J2048&lt;=1500,IF(N(INDEX('Daily Sale entry '!$AB$1:$AB$1501,$J2048+1))=0,"",INDEX('Daily Sale entry '!$AB$1:$AB$1501,$J2048+1)),1))</f>
        <v/>
      </c>
      <c r="F2048" s="6">
        <f>IF($J2048="","",IF($J2048&lt;=1500,N(INDEX('Daily Sale entry '!$AC$1:$AC$1501,$J2048+1))-IF(AND('Opening Balance'!$B$15=1,INDEX('Daily Sale entry '!$Z$1:$Z$1501,$J2048+1)="Online collection 网上收款",INDEX('Daily Sale entry '!$AA$1:$AA$1501,$J2048+1)&lt;&gt;""),N(INDEX('Daily Sale entry '!$AC$1:$AC$1501,$J2048+1))-TRUNC(N(INDEX('Daily Sale entry '!$AC$1:$AC$1501,$J2048+1))),0),N(INDEX('Daily Sale entry '!$S$1:$S$1501,$J2048-1499))-'Opening Balance'!$B$15*(N(INDEX('Daily Sale entry '!$S$1:$S$1501,$J2048-1499))-TRUNC(N(INDEX('Daily Sale entry '!$S$1:$S$1501,$J2048-1499))))))</f>
        <v/>
      </c>
      <c r="G2048" s="6">
        <f>IF($J2048="","",IF($J2048&lt;=1500,N(INDEX('Daily Sale entry '!$AD$1:$AD$1501,$J2048+1)),0))</f>
        <v/>
      </c>
      <c r="H2048" s="6">
        <f>IF($J2048="","",ROUND('Opening Balance'!$B$4+SUM($F$2:F2048)-SUM($G$2:G2048),2))</f>
        <v/>
      </c>
      <c r="J2048" s="21">
        <f>IFERROR(MATCH(ROW()-1,$L$2:$L$3001,0),"")</f>
        <v/>
      </c>
      <c r="K2048" s="34">
        <f>IF(AND('Daily Sale entry '!Q548="Collection 收款",'Daily Sale entry '!R548="Cheque 支票",'Daily Sale entry '!V548&lt;&gt;""),'Daily Sale entry '!V548+ROW()/10000000,"")</f>
        <v/>
      </c>
      <c r="L2048" s="21">
        <f>IF(K2048="","",COUNTIF($K$2:$K$3001,"&lt;"&amp;K2048)+1)</f>
        <v/>
      </c>
    </row>
    <row r="2049">
      <c r="A2049" s="5">
        <f>IF($J2049="","",IF($J2049&lt;=1500,INDEX('Daily Sale entry '!$X$1:$X$1501,$J2049+1),INDEX('Daily Sale entry '!$V$1:$V$1501,$J2049-1499)))</f>
        <v/>
      </c>
      <c r="B2049">
        <f>IF($J2049="","",IF($J2049&lt;=1500,INDEX('Daily Sale entry '!$Y$1:$Y$1501,$J2049+1)&amp;"","Buyer cheque banked 买家支票存入"&amp;IF(INDEX('Daily Sale entry '!$U$1:$U$1501,$J2049-1499)="","", " - "&amp;INDEX('Daily Sale entry '!$U$1:$U$1501,$J2049-1499))))</f>
        <v/>
      </c>
      <c r="C2049">
        <f>IF($J2049="","",IF($J2049&lt;=1500,INDEX('Daily Sale entry '!$Z$1:$Z$1501,$J2049+1)&amp;"","Cheque deposit 支票存入 (buyer 买家)"))</f>
        <v/>
      </c>
      <c r="D2049">
        <f>IF($J2049="","",IF($J2049&lt;=1500,INDEX('Daily Sale entry '!$AA$1:$AA$1501,$J2049+1)&amp;"",INDEX('Daily Sale entry '!$P$1:$P$1501,$J2049-1499)&amp;""))</f>
        <v/>
      </c>
      <c r="E2049">
        <f>IF($J2049="","",IF($J2049&lt;=1500,IF(N(INDEX('Daily Sale entry '!$AB$1:$AB$1501,$J2049+1))=0,"",INDEX('Daily Sale entry '!$AB$1:$AB$1501,$J2049+1)),1))</f>
        <v/>
      </c>
      <c r="F2049" s="6">
        <f>IF($J2049="","",IF($J2049&lt;=1500,N(INDEX('Daily Sale entry '!$AC$1:$AC$1501,$J2049+1))-IF(AND('Opening Balance'!$B$15=1,INDEX('Daily Sale entry '!$Z$1:$Z$1501,$J2049+1)="Online collection 网上收款",INDEX('Daily Sale entry '!$AA$1:$AA$1501,$J2049+1)&lt;&gt;""),N(INDEX('Daily Sale entry '!$AC$1:$AC$1501,$J2049+1))-TRUNC(N(INDEX('Daily Sale entry '!$AC$1:$AC$1501,$J2049+1))),0),N(INDEX('Daily Sale entry '!$S$1:$S$1501,$J2049-1499))-'Opening Balance'!$B$15*(N(INDEX('Daily Sale entry '!$S$1:$S$1501,$J2049-1499))-TRUNC(N(INDEX('Daily Sale entry '!$S$1:$S$1501,$J2049-1499))))))</f>
        <v/>
      </c>
      <c r="G2049" s="6">
        <f>IF($J2049="","",IF($J2049&lt;=1500,N(INDEX('Daily Sale entry '!$AD$1:$AD$1501,$J2049+1)),0))</f>
        <v/>
      </c>
      <c r="H2049" s="6">
        <f>IF($J2049="","",ROUND('Opening Balance'!$B$4+SUM($F$2:F2049)-SUM($G$2:G2049),2))</f>
        <v/>
      </c>
      <c r="J2049" s="21">
        <f>IFERROR(MATCH(ROW()-1,$L$2:$L$3001,0),"")</f>
        <v/>
      </c>
      <c r="K2049" s="34">
        <f>IF(AND('Daily Sale entry '!Q549="Collection 收款",'Daily Sale entry '!R549="Cheque 支票",'Daily Sale entry '!V549&lt;&gt;""),'Daily Sale entry '!V549+ROW()/10000000,"")</f>
        <v/>
      </c>
      <c r="L2049" s="21">
        <f>IF(K2049="","",COUNTIF($K$2:$K$3001,"&lt;"&amp;K2049)+1)</f>
        <v/>
      </c>
    </row>
    <row r="2050">
      <c r="A2050" s="5">
        <f>IF($J2050="","",IF($J2050&lt;=1500,INDEX('Daily Sale entry '!$X$1:$X$1501,$J2050+1),INDEX('Daily Sale entry '!$V$1:$V$1501,$J2050-1499)))</f>
        <v/>
      </c>
      <c r="B2050">
        <f>IF($J2050="","",IF($J2050&lt;=1500,INDEX('Daily Sale entry '!$Y$1:$Y$1501,$J2050+1)&amp;"","Buyer cheque banked 买家支票存入"&amp;IF(INDEX('Daily Sale entry '!$U$1:$U$1501,$J2050-1499)="","", " - "&amp;INDEX('Daily Sale entry '!$U$1:$U$1501,$J2050-1499))))</f>
        <v/>
      </c>
      <c r="C2050">
        <f>IF($J2050="","",IF($J2050&lt;=1500,INDEX('Daily Sale entry '!$Z$1:$Z$1501,$J2050+1)&amp;"","Cheque deposit 支票存入 (buyer 买家)"))</f>
        <v/>
      </c>
      <c r="D2050">
        <f>IF($J2050="","",IF($J2050&lt;=1500,INDEX('Daily Sale entry '!$AA$1:$AA$1501,$J2050+1)&amp;"",INDEX('Daily Sale entry '!$P$1:$P$1501,$J2050-1499)&amp;""))</f>
        <v/>
      </c>
      <c r="E2050">
        <f>IF($J2050="","",IF($J2050&lt;=1500,IF(N(INDEX('Daily Sale entry '!$AB$1:$AB$1501,$J2050+1))=0,"",INDEX('Daily Sale entry '!$AB$1:$AB$1501,$J2050+1)),1))</f>
        <v/>
      </c>
      <c r="F2050" s="6">
        <f>IF($J2050="","",IF($J2050&lt;=1500,N(INDEX('Daily Sale entry '!$AC$1:$AC$1501,$J2050+1))-IF(AND('Opening Balance'!$B$15=1,INDEX('Daily Sale entry '!$Z$1:$Z$1501,$J2050+1)="Online collection 网上收款",INDEX('Daily Sale entry '!$AA$1:$AA$1501,$J2050+1)&lt;&gt;""),N(INDEX('Daily Sale entry '!$AC$1:$AC$1501,$J2050+1))-TRUNC(N(INDEX('Daily Sale entry '!$AC$1:$AC$1501,$J2050+1))),0),N(INDEX('Daily Sale entry '!$S$1:$S$1501,$J2050-1499))-'Opening Balance'!$B$15*(N(INDEX('Daily Sale entry '!$S$1:$S$1501,$J2050-1499))-TRUNC(N(INDEX('Daily Sale entry '!$S$1:$S$1501,$J2050-1499))))))</f>
        <v/>
      </c>
      <c r="G2050" s="6">
        <f>IF($J2050="","",IF($J2050&lt;=1500,N(INDEX('Daily Sale entry '!$AD$1:$AD$1501,$J2050+1)),0))</f>
        <v/>
      </c>
      <c r="H2050" s="6">
        <f>IF($J2050="","",ROUND('Opening Balance'!$B$4+SUM($F$2:F2050)-SUM($G$2:G2050),2))</f>
        <v/>
      </c>
      <c r="J2050" s="21">
        <f>IFERROR(MATCH(ROW()-1,$L$2:$L$3001,0),"")</f>
        <v/>
      </c>
      <c r="K2050" s="34">
        <f>IF(AND('Daily Sale entry '!Q550="Collection 收款",'Daily Sale entry '!R550="Cheque 支票",'Daily Sale entry '!V550&lt;&gt;""),'Daily Sale entry '!V550+ROW()/10000000,"")</f>
        <v/>
      </c>
      <c r="L2050" s="21">
        <f>IF(K2050="","",COUNTIF($K$2:$K$3001,"&lt;"&amp;K2050)+1)</f>
        <v/>
      </c>
    </row>
    <row r="2051">
      <c r="A2051" s="5">
        <f>IF($J2051="","",IF($J2051&lt;=1500,INDEX('Daily Sale entry '!$X$1:$X$1501,$J2051+1),INDEX('Daily Sale entry '!$V$1:$V$1501,$J2051-1499)))</f>
        <v/>
      </c>
      <c r="B2051">
        <f>IF($J2051="","",IF($J2051&lt;=1500,INDEX('Daily Sale entry '!$Y$1:$Y$1501,$J2051+1)&amp;"","Buyer cheque banked 买家支票存入"&amp;IF(INDEX('Daily Sale entry '!$U$1:$U$1501,$J2051-1499)="","", " - "&amp;INDEX('Daily Sale entry '!$U$1:$U$1501,$J2051-1499))))</f>
        <v/>
      </c>
      <c r="C2051">
        <f>IF($J2051="","",IF($J2051&lt;=1500,INDEX('Daily Sale entry '!$Z$1:$Z$1501,$J2051+1)&amp;"","Cheque deposit 支票存入 (buyer 买家)"))</f>
        <v/>
      </c>
      <c r="D2051">
        <f>IF($J2051="","",IF($J2051&lt;=1500,INDEX('Daily Sale entry '!$AA$1:$AA$1501,$J2051+1)&amp;"",INDEX('Daily Sale entry '!$P$1:$P$1501,$J2051-1499)&amp;""))</f>
        <v/>
      </c>
      <c r="E2051">
        <f>IF($J2051="","",IF($J2051&lt;=1500,IF(N(INDEX('Daily Sale entry '!$AB$1:$AB$1501,$J2051+1))=0,"",INDEX('Daily Sale entry '!$AB$1:$AB$1501,$J2051+1)),1))</f>
        <v/>
      </c>
      <c r="F2051" s="6">
        <f>IF($J2051="","",IF($J2051&lt;=1500,N(INDEX('Daily Sale entry '!$AC$1:$AC$1501,$J2051+1))-IF(AND('Opening Balance'!$B$15=1,INDEX('Daily Sale entry '!$Z$1:$Z$1501,$J2051+1)="Online collection 网上收款",INDEX('Daily Sale entry '!$AA$1:$AA$1501,$J2051+1)&lt;&gt;""),N(INDEX('Daily Sale entry '!$AC$1:$AC$1501,$J2051+1))-TRUNC(N(INDEX('Daily Sale entry '!$AC$1:$AC$1501,$J2051+1))),0),N(INDEX('Daily Sale entry '!$S$1:$S$1501,$J2051-1499))-'Opening Balance'!$B$15*(N(INDEX('Daily Sale entry '!$S$1:$S$1501,$J2051-1499))-TRUNC(N(INDEX('Daily Sale entry '!$S$1:$S$1501,$J2051-1499))))))</f>
        <v/>
      </c>
      <c r="G2051" s="6">
        <f>IF($J2051="","",IF($J2051&lt;=1500,N(INDEX('Daily Sale entry '!$AD$1:$AD$1501,$J2051+1)),0))</f>
        <v/>
      </c>
      <c r="H2051" s="6">
        <f>IF($J2051="","",ROUND('Opening Balance'!$B$4+SUM($F$2:F2051)-SUM($G$2:G2051),2))</f>
        <v/>
      </c>
      <c r="J2051" s="21">
        <f>IFERROR(MATCH(ROW()-1,$L$2:$L$3001,0),"")</f>
        <v/>
      </c>
      <c r="K2051" s="34">
        <f>IF(AND('Daily Sale entry '!Q551="Collection 收款",'Daily Sale entry '!R551="Cheque 支票",'Daily Sale entry '!V551&lt;&gt;""),'Daily Sale entry '!V551+ROW()/10000000,"")</f>
        <v/>
      </c>
      <c r="L2051" s="21">
        <f>IF(K2051="","",COUNTIF($K$2:$K$3001,"&lt;"&amp;K2051)+1)</f>
        <v/>
      </c>
    </row>
    <row r="2052">
      <c r="A2052" s="5">
        <f>IF($J2052="","",IF($J2052&lt;=1500,INDEX('Daily Sale entry '!$X$1:$X$1501,$J2052+1),INDEX('Daily Sale entry '!$V$1:$V$1501,$J2052-1499)))</f>
        <v/>
      </c>
      <c r="B2052">
        <f>IF($J2052="","",IF($J2052&lt;=1500,INDEX('Daily Sale entry '!$Y$1:$Y$1501,$J2052+1)&amp;"","Buyer cheque banked 买家支票存入"&amp;IF(INDEX('Daily Sale entry '!$U$1:$U$1501,$J2052-1499)="","", " - "&amp;INDEX('Daily Sale entry '!$U$1:$U$1501,$J2052-1499))))</f>
        <v/>
      </c>
      <c r="C2052">
        <f>IF($J2052="","",IF($J2052&lt;=1500,INDEX('Daily Sale entry '!$Z$1:$Z$1501,$J2052+1)&amp;"","Cheque deposit 支票存入 (buyer 买家)"))</f>
        <v/>
      </c>
      <c r="D2052">
        <f>IF($J2052="","",IF($J2052&lt;=1500,INDEX('Daily Sale entry '!$AA$1:$AA$1501,$J2052+1)&amp;"",INDEX('Daily Sale entry '!$P$1:$P$1501,$J2052-1499)&amp;""))</f>
        <v/>
      </c>
      <c r="E2052">
        <f>IF($J2052="","",IF($J2052&lt;=1500,IF(N(INDEX('Daily Sale entry '!$AB$1:$AB$1501,$J2052+1))=0,"",INDEX('Daily Sale entry '!$AB$1:$AB$1501,$J2052+1)),1))</f>
        <v/>
      </c>
      <c r="F2052" s="6">
        <f>IF($J2052="","",IF($J2052&lt;=1500,N(INDEX('Daily Sale entry '!$AC$1:$AC$1501,$J2052+1))-IF(AND('Opening Balance'!$B$15=1,INDEX('Daily Sale entry '!$Z$1:$Z$1501,$J2052+1)="Online collection 网上收款",INDEX('Daily Sale entry '!$AA$1:$AA$1501,$J2052+1)&lt;&gt;""),N(INDEX('Daily Sale entry '!$AC$1:$AC$1501,$J2052+1))-TRUNC(N(INDEX('Daily Sale entry '!$AC$1:$AC$1501,$J2052+1))),0),N(INDEX('Daily Sale entry '!$S$1:$S$1501,$J2052-1499))-'Opening Balance'!$B$15*(N(INDEX('Daily Sale entry '!$S$1:$S$1501,$J2052-1499))-TRUNC(N(INDEX('Daily Sale entry '!$S$1:$S$1501,$J2052-1499))))))</f>
        <v/>
      </c>
      <c r="G2052" s="6">
        <f>IF($J2052="","",IF($J2052&lt;=1500,N(INDEX('Daily Sale entry '!$AD$1:$AD$1501,$J2052+1)),0))</f>
        <v/>
      </c>
      <c r="H2052" s="6">
        <f>IF($J2052="","",ROUND('Opening Balance'!$B$4+SUM($F$2:F2052)-SUM($G$2:G2052),2))</f>
        <v/>
      </c>
      <c r="J2052" s="21">
        <f>IFERROR(MATCH(ROW()-1,$L$2:$L$3001,0),"")</f>
        <v/>
      </c>
      <c r="K2052" s="34">
        <f>IF(AND('Daily Sale entry '!Q552="Collection 收款",'Daily Sale entry '!R552="Cheque 支票",'Daily Sale entry '!V552&lt;&gt;""),'Daily Sale entry '!V552+ROW()/10000000,"")</f>
        <v/>
      </c>
      <c r="L2052" s="21">
        <f>IF(K2052="","",COUNTIF($K$2:$K$3001,"&lt;"&amp;K2052)+1)</f>
        <v/>
      </c>
    </row>
    <row r="2053">
      <c r="A2053" s="5">
        <f>IF($J2053="","",IF($J2053&lt;=1500,INDEX('Daily Sale entry '!$X$1:$X$1501,$J2053+1),INDEX('Daily Sale entry '!$V$1:$V$1501,$J2053-1499)))</f>
        <v/>
      </c>
      <c r="B2053">
        <f>IF($J2053="","",IF($J2053&lt;=1500,INDEX('Daily Sale entry '!$Y$1:$Y$1501,$J2053+1)&amp;"","Buyer cheque banked 买家支票存入"&amp;IF(INDEX('Daily Sale entry '!$U$1:$U$1501,$J2053-1499)="","", " - "&amp;INDEX('Daily Sale entry '!$U$1:$U$1501,$J2053-1499))))</f>
        <v/>
      </c>
      <c r="C2053">
        <f>IF($J2053="","",IF($J2053&lt;=1500,INDEX('Daily Sale entry '!$Z$1:$Z$1501,$J2053+1)&amp;"","Cheque deposit 支票存入 (buyer 买家)"))</f>
        <v/>
      </c>
      <c r="D2053">
        <f>IF($J2053="","",IF($J2053&lt;=1500,INDEX('Daily Sale entry '!$AA$1:$AA$1501,$J2053+1)&amp;"",INDEX('Daily Sale entry '!$P$1:$P$1501,$J2053-1499)&amp;""))</f>
        <v/>
      </c>
      <c r="E2053">
        <f>IF($J2053="","",IF($J2053&lt;=1500,IF(N(INDEX('Daily Sale entry '!$AB$1:$AB$1501,$J2053+1))=0,"",INDEX('Daily Sale entry '!$AB$1:$AB$1501,$J2053+1)),1))</f>
        <v/>
      </c>
      <c r="F2053" s="6">
        <f>IF($J2053="","",IF($J2053&lt;=1500,N(INDEX('Daily Sale entry '!$AC$1:$AC$1501,$J2053+1))-IF(AND('Opening Balance'!$B$15=1,INDEX('Daily Sale entry '!$Z$1:$Z$1501,$J2053+1)="Online collection 网上收款",INDEX('Daily Sale entry '!$AA$1:$AA$1501,$J2053+1)&lt;&gt;""),N(INDEX('Daily Sale entry '!$AC$1:$AC$1501,$J2053+1))-TRUNC(N(INDEX('Daily Sale entry '!$AC$1:$AC$1501,$J2053+1))),0),N(INDEX('Daily Sale entry '!$S$1:$S$1501,$J2053-1499))-'Opening Balance'!$B$15*(N(INDEX('Daily Sale entry '!$S$1:$S$1501,$J2053-1499))-TRUNC(N(INDEX('Daily Sale entry '!$S$1:$S$1501,$J2053-1499))))))</f>
        <v/>
      </c>
      <c r="G2053" s="6">
        <f>IF($J2053="","",IF($J2053&lt;=1500,N(INDEX('Daily Sale entry '!$AD$1:$AD$1501,$J2053+1)),0))</f>
        <v/>
      </c>
      <c r="H2053" s="6">
        <f>IF($J2053="","",ROUND('Opening Balance'!$B$4+SUM($F$2:F2053)-SUM($G$2:G2053),2))</f>
        <v/>
      </c>
      <c r="J2053" s="21">
        <f>IFERROR(MATCH(ROW()-1,$L$2:$L$3001,0),"")</f>
        <v/>
      </c>
      <c r="K2053" s="34">
        <f>IF(AND('Daily Sale entry '!Q553="Collection 收款",'Daily Sale entry '!R553="Cheque 支票",'Daily Sale entry '!V553&lt;&gt;""),'Daily Sale entry '!V553+ROW()/10000000,"")</f>
        <v/>
      </c>
      <c r="L2053" s="21">
        <f>IF(K2053="","",COUNTIF($K$2:$K$3001,"&lt;"&amp;K2053)+1)</f>
        <v/>
      </c>
    </row>
    <row r="2054">
      <c r="A2054" s="5">
        <f>IF($J2054="","",IF($J2054&lt;=1500,INDEX('Daily Sale entry '!$X$1:$X$1501,$J2054+1),INDEX('Daily Sale entry '!$V$1:$V$1501,$J2054-1499)))</f>
        <v/>
      </c>
      <c r="B2054">
        <f>IF($J2054="","",IF($J2054&lt;=1500,INDEX('Daily Sale entry '!$Y$1:$Y$1501,$J2054+1)&amp;"","Buyer cheque banked 买家支票存入"&amp;IF(INDEX('Daily Sale entry '!$U$1:$U$1501,$J2054-1499)="","", " - "&amp;INDEX('Daily Sale entry '!$U$1:$U$1501,$J2054-1499))))</f>
        <v/>
      </c>
      <c r="C2054">
        <f>IF($J2054="","",IF($J2054&lt;=1500,INDEX('Daily Sale entry '!$Z$1:$Z$1501,$J2054+1)&amp;"","Cheque deposit 支票存入 (buyer 买家)"))</f>
        <v/>
      </c>
      <c r="D2054">
        <f>IF($J2054="","",IF($J2054&lt;=1500,INDEX('Daily Sale entry '!$AA$1:$AA$1501,$J2054+1)&amp;"",INDEX('Daily Sale entry '!$P$1:$P$1501,$J2054-1499)&amp;""))</f>
        <v/>
      </c>
      <c r="E2054">
        <f>IF($J2054="","",IF($J2054&lt;=1500,IF(N(INDEX('Daily Sale entry '!$AB$1:$AB$1501,$J2054+1))=0,"",INDEX('Daily Sale entry '!$AB$1:$AB$1501,$J2054+1)),1))</f>
        <v/>
      </c>
      <c r="F2054" s="6">
        <f>IF($J2054="","",IF($J2054&lt;=1500,N(INDEX('Daily Sale entry '!$AC$1:$AC$1501,$J2054+1))-IF(AND('Opening Balance'!$B$15=1,INDEX('Daily Sale entry '!$Z$1:$Z$1501,$J2054+1)="Online collection 网上收款",INDEX('Daily Sale entry '!$AA$1:$AA$1501,$J2054+1)&lt;&gt;""),N(INDEX('Daily Sale entry '!$AC$1:$AC$1501,$J2054+1))-TRUNC(N(INDEX('Daily Sale entry '!$AC$1:$AC$1501,$J2054+1))),0),N(INDEX('Daily Sale entry '!$S$1:$S$1501,$J2054-1499))-'Opening Balance'!$B$15*(N(INDEX('Daily Sale entry '!$S$1:$S$1501,$J2054-1499))-TRUNC(N(INDEX('Daily Sale entry '!$S$1:$S$1501,$J2054-1499))))))</f>
        <v/>
      </c>
      <c r="G2054" s="6">
        <f>IF($J2054="","",IF($J2054&lt;=1500,N(INDEX('Daily Sale entry '!$AD$1:$AD$1501,$J2054+1)),0))</f>
        <v/>
      </c>
      <c r="H2054" s="6">
        <f>IF($J2054="","",ROUND('Opening Balance'!$B$4+SUM($F$2:F2054)-SUM($G$2:G2054),2))</f>
        <v/>
      </c>
      <c r="J2054" s="21">
        <f>IFERROR(MATCH(ROW()-1,$L$2:$L$3001,0),"")</f>
        <v/>
      </c>
      <c r="K2054" s="34">
        <f>IF(AND('Daily Sale entry '!Q554="Collection 收款",'Daily Sale entry '!R554="Cheque 支票",'Daily Sale entry '!V554&lt;&gt;""),'Daily Sale entry '!V554+ROW()/10000000,"")</f>
        <v/>
      </c>
      <c r="L2054" s="21">
        <f>IF(K2054="","",COUNTIF($K$2:$K$3001,"&lt;"&amp;K2054)+1)</f>
        <v/>
      </c>
    </row>
    <row r="2055">
      <c r="A2055" s="5">
        <f>IF($J2055="","",IF($J2055&lt;=1500,INDEX('Daily Sale entry '!$X$1:$X$1501,$J2055+1),INDEX('Daily Sale entry '!$V$1:$V$1501,$J2055-1499)))</f>
        <v/>
      </c>
      <c r="B2055">
        <f>IF($J2055="","",IF($J2055&lt;=1500,INDEX('Daily Sale entry '!$Y$1:$Y$1501,$J2055+1)&amp;"","Buyer cheque banked 买家支票存入"&amp;IF(INDEX('Daily Sale entry '!$U$1:$U$1501,$J2055-1499)="","", " - "&amp;INDEX('Daily Sale entry '!$U$1:$U$1501,$J2055-1499))))</f>
        <v/>
      </c>
      <c r="C2055">
        <f>IF($J2055="","",IF($J2055&lt;=1500,INDEX('Daily Sale entry '!$Z$1:$Z$1501,$J2055+1)&amp;"","Cheque deposit 支票存入 (buyer 买家)"))</f>
        <v/>
      </c>
      <c r="D2055">
        <f>IF($J2055="","",IF($J2055&lt;=1500,INDEX('Daily Sale entry '!$AA$1:$AA$1501,$J2055+1)&amp;"",INDEX('Daily Sale entry '!$P$1:$P$1501,$J2055-1499)&amp;""))</f>
        <v/>
      </c>
      <c r="E2055">
        <f>IF($J2055="","",IF($J2055&lt;=1500,IF(N(INDEX('Daily Sale entry '!$AB$1:$AB$1501,$J2055+1))=0,"",INDEX('Daily Sale entry '!$AB$1:$AB$1501,$J2055+1)),1))</f>
        <v/>
      </c>
      <c r="F2055" s="6">
        <f>IF($J2055="","",IF($J2055&lt;=1500,N(INDEX('Daily Sale entry '!$AC$1:$AC$1501,$J2055+1))-IF(AND('Opening Balance'!$B$15=1,INDEX('Daily Sale entry '!$Z$1:$Z$1501,$J2055+1)="Online collection 网上收款",INDEX('Daily Sale entry '!$AA$1:$AA$1501,$J2055+1)&lt;&gt;""),N(INDEX('Daily Sale entry '!$AC$1:$AC$1501,$J2055+1))-TRUNC(N(INDEX('Daily Sale entry '!$AC$1:$AC$1501,$J2055+1))),0),N(INDEX('Daily Sale entry '!$S$1:$S$1501,$J2055-1499))-'Opening Balance'!$B$15*(N(INDEX('Daily Sale entry '!$S$1:$S$1501,$J2055-1499))-TRUNC(N(INDEX('Daily Sale entry '!$S$1:$S$1501,$J2055-1499))))))</f>
        <v/>
      </c>
      <c r="G2055" s="6">
        <f>IF($J2055="","",IF($J2055&lt;=1500,N(INDEX('Daily Sale entry '!$AD$1:$AD$1501,$J2055+1)),0))</f>
        <v/>
      </c>
      <c r="H2055" s="6">
        <f>IF($J2055="","",ROUND('Opening Balance'!$B$4+SUM($F$2:F2055)-SUM($G$2:G2055),2))</f>
        <v/>
      </c>
      <c r="J2055" s="21">
        <f>IFERROR(MATCH(ROW()-1,$L$2:$L$3001,0),"")</f>
        <v/>
      </c>
      <c r="K2055" s="34">
        <f>IF(AND('Daily Sale entry '!Q555="Collection 收款",'Daily Sale entry '!R555="Cheque 支票",'Daily Sale entry '!V555&lt;&gt;""),'Daily Sale entry '!V555+ROW()/10000000,"")</f>
        <v/>
      </c>
      <c r="L2055" s="21">
        <f>IF(K2055="","",COUNTIF($K$2:$K$3001,"&lt;"&amp;K2055)+1)</f>
        <v/>
      </c>
    </row>
    <row r="2056">
      <c r="A2056" s="5">
        <f>IF($J2056="","",IF($J2056&lt;=1500,INDEX('Daily Sale entry '!$X$1:$X$1501,$J2056+1),INDEX('Daily Sale entry '!$V$1:$V$1501,$J2056-1499)))</f>
        <v/>
      </c>
      <c r="B2056">
        <f>IF($J2056="","",IF($J2056&lt;=1500,INDEX('Daily Sale entry '!$Y$1:$Y$1501,$J2056+1)&amp;"","Buyer cheque banked 买家支票存入"&amp;IF(INDEX('Daily Sale entry '!$U$1:$U$1501,$J2056-1499)="","", " - "&amp;INDEX('Daily Sale entry '!$U$1:$U$1501,$J2056-1499))))</f>
        <v/>
      </c>
      <c r="C2056">
        <f>IF($J2056="","",IF($J2056&lt;=1500,INDEX('Daily Sale entry '!$Z$1:$Z$1501,$J2056+1)&amp;"","Cheque deposit 支票存入 (buyer 买家)"))</f>
        <v/>
      </c>
      <c r="D2056">
        <f>IF($J2056="","",IF($J2056&lt;=1500,INDEX('Daily Sale entry '!$AA$1:$AA$1501,$J2056+1)&amp;"",INDEX('Daily Sale entry '!$P$1:$P$1501,$J2056-1499)&amp;""))</f>
        <v/>
      </c>
      <c r="E2056">
        <f>IF($J2056="","",IF($J2056&lt;=1500,IF(N(INDEX('Daily Sale entry '!$AB$1:$AB$1501,$J2056+1))=0,"",INDEX('Daily Sale entry '!$AB$1:$AB$1501,$J2056+1)),1))</f>
        <v/>
      </c>
      <c r="F2056" s="6">
        <f>IF($J2056="","",IF($J2056&lt;=1500,N(INDEX('Daily Sale entry '!$AC$1:$AC$1501,$J2056+1))-IF(AND('Opening Balance'!$B$15=1,INDEX('Daily Sale entry '!$Z$1:$Z$1501,$J2056+1)="Online collection 网上收款",INDEX('Daily Sale entry '!$AA$1:$AA$1501,$J2056+1)&lt;&gt;""),N(INDEX('Daily Sale entry '!$AC$1:$AC$1501,$J2056+1))-TRUNC(N(INDEX('Daily Sale entry '!$AC$1:$AC$1501,$J2056+1))),0),N(INDEX('Daily Sale entry '!$S$1:$S$1501,$J2056-1499))-'Opening Balance'!$B$15*(N(INDEX('Daily Sale entry '!$S$1:$S$1501,$J2056-1499))-TRUNC(N(INDEX('Daily Sale entry '!$S$1:$S$1501,$J2056-1499))))))</f>
        <v/>
      </c>
      <c r="G2056" s="6">
        <f>IF($J2056="","",IF($J2056&lt;=1500,N(INDEX('Daily Sale entry '!$AD$1:$AD$1501,$J2056+1)),0))</f>
        <v/>
      </c>
      <c r="H2056" s="6">
        <f>IF($J2056="","",ROUND('Opening Balance'!$B$4+SUM($F$2:F2056)-SUM($G$2:G2056),2))</f>
        <v/>
      </c>
      <c r="J2056" s="21">
        <f>IFERROR(MATCH(ROW()-1,$L$2:$L$3001,0),"")</f>
        <v/>
      </c>
      <c r="K2056" s="34">
        <f>IF(AND('Daily Sale entry '!Q556="Collection 收款",'Daily Sale entry '!R556="Cheque 支票",'Daily Sale entry '!V556&lt;&gt;""),'Daily Sale entry '!V556+ROW()/10000000,"")</f>
        <v/>
      </c>
      <c r="L2056" s="21">
        <f>IF(K2056="","",COUNTIF($K$2:$K$3001,"&lt;"&amp;K2056)+1)</f>
        <v/>
      </c>
    </row>
    <row r="2057">
      <c r="A2057" s="5">
        <f>IF($J2057="","",IF($J2057&lt;=1500,INDEX('Daily Sale entry '!$X$1:$X$1501,$J2057+1),INDEX('Daily Sale entry '!$V$1:$V$1501,$J2057-1499)))</f>
        <v/>
      </c>
      <c r="B2057">
        <f>IF($J2057="","",IF($J2057&lt;=1500,INDEX('Daily Sale entry '!$Y$1:$Y$1501,$J2057+1)&amp;"","Buyer cheque banked 买家支票存入"&amp;IF(INDEX('Daily Sale entry '!$U$1:$U$1501,$J2057-1499)="","", " - "&amp;INDEX('Daily Sale entry '!$U$1:$U$1501,$J2057-1499))))</f>
        <v/>
      </c>
      <c r="C2057">
        <f>IF($J2057="","",IF($J2057&lt;=1500,INDEX('Daily Sale entry '!$Z$1:$Z$1501,$J2057+1)&amp;"","Cheque deposit 支票存入 (buyer 买家)"))</f>
        <v/>
      </c>
      <c r="D2057">
        <f>IF($J2057="","",IF($J2057&lt;=1500,INDEX('Daily Sale entry '!$AA$1:$AA$1501,$J2057+1)&amp;"",INDEX('Daily Sale entry '!$P$1:$P$1501,$J2057-1499)&amp;""))</f>
        <v/>
      </c>
      <c r="E2057">
        <f>IF($J2057="","",IF($J2057&lt;=1500,IF(N(INDEX('Daily Sale entry '!$AB$1:$AB$1501,$J2057+1))=0,"",INDEX('Daily Sale entry '!$AB$1:$AB$1501,$J2057+1)),1))</f>
        <v/>
      </c>
      <c r="F2057" s="6">
        <f>IF($J2057="","",IF($J2057&lt;=1500,N(INDEX('Daily Sale entry '!$AC$1:$AC$1501,$J2057+1))-IF(AND('Opening Balance'!$B$15=1,INDEX('Daily Sale entry '!$Z$1:$Z$1501,$J2057+1)="Online collection 网上收款",INDEX('Daily Sale entry '!$AA$1:$AA$1501,$J2057+1)&lt;&gt;""),N(INDEX('Daily Sale entry '!$AC$1:$AC$1501,$J2057+1))-TRUNC(N(INDEX('Daily Sale entry '!$AC$1:$AC$1501,$J2057+1))),0),N(INDEX('Daily Sale entry '!$S$1:$S$1501,$J2057-1499))-'Opening Balance'!$B$15*(N(INDEX('Daily Sale entry '!$S$1:$S$1501,$J2057-1499))-TRUNC(N(INDEX('Daily Sale entry '!$S$1:$S$1501,$J2057-1499))))))</f>
        <v/>
      </c>
      <c r="G2057" s="6">
        <f>IF($J2057="","",IF($J2057&lt;=1500,N(INDEX('Daily Sale entry '!$AD$1:$AD$1501,$J2057+1)),0))</f>
        <v/>
      </c>
      <c r="H2057" s="6">
        <f>IF($J2057="","",ROUND('Opening Balance'!$B$4+SUM($F$2:F2057)-SUM($G$2:G2057),2))</f>
        <v/>
      </c>
      <c r="J2057" s="21">
        <f>IFERROR(MATCH(ROW()-1,$L$2:$L$3001,0),"")</f>
        <v/>
      </c>
      <c r="K2057" s="34">
        <f>IF(AND('Daily Sale entry '!Q557="Collection 收款",'Daily Sale entry '!R557="Cheque 支票",'Daily Sale entry '!V557&lt;&gt;""),'Daily Sale entry '!V557+ROW()/10000000,"")</f>
        <v/>
      </c>
      <c r="L2057" s="21">
        <f>IF(K2057="","",COUNTIF($K$2:$K$3001,"&lt;"&amp;K2057)+1)</f>
        <v/>
      </c>
    </row>
    <row r="2058">
      <c r="A2058" s="5">
        <f>IF($J2058="","",IF($J2058&lt;=1500,INDEX('Daily Sale entry '!$X$1:$X$1501,$J2058+1),INDEX('Daily Sale entry '!$V$1:$V$1501,$J2058-1499)))</f>
        <v/>
      </c>
      <c r="B2058">
        <f>IF($J2058="","",IF($J2058&lt;=1500,INDEX('Daily Sale entry '!$Y$1:$Y$1501,$J2058+1)&amp;"","Buyer cheque banked 买家支票存入"&amp;IF(INDEX('Daily Sale entry '!$U$1:$U$1501,$J2058-1499)="","", " - "&amp;INDEX('Daily Sale entry '!$U$1:$U$1501,$J2058-1499))))</f>
        <v/>
      </c>
      <c r="C2058">
        <f>IF($J2058="","",IF($J2058&lt;=1500,INDEX('Daily Sale entry '!$Z$1:$Z$1501,$J2058+1)&amp;"","Cheque deposit 支票存入 (buyer 买家)"))</f>
        <v/>
      </c>
      <c r="D2058">
        <f>IF($J2058="","",IF($J2058&lt;=1500,INDEX('Daily Sale entry '!$AA$1:$AA$1501,$J2058+1)&amp;"",INDEX('Daily Sale entry '!$P$1:$P$1501,$J2058-1499)&amp;""))</f>
        <v/>
      </c>
      <c r="E2058">
        <f>IF($J2058="","",IF($J2058&lt;=1500,IF(N(INDEX('Daily Sale entry '!$AB$1:$AB$1501,$J2058+1))=0,"",INDEX('Daily Sale entry '!$AB$1:$AB$1501,$J2058+1)),1))</f>
        <v/>
      </c>
      <c r="F2058" s="6">
        <f>IF($J2058="","",IF($J2058&lt;=1500,N(INDEX('Daily Sale entry '!$AC$1:$AC$1501,$J2058+1))-IF(AND('Opening Balance'!$B$15=1,INDEX('Daily Sale entry '!$Z$1:$Z$1501,$J2058+1)="Online collection 网上收款",INDEX('Daily Sale entry '!$AA$1:$AA$1501,$J2058+1)&lt;&gt;""),N(INDEX('Daily Sale entry '!$AC$1:$AC$1501,$J2058+1))-TRUNC(N(INDEX('Daily Sale entry '!$AC$1:$AC$1501,$J2058+1))),0),N(INDEX('Daily Sale entry '!$S$1:$S$1501,$J2058-1499))-'Opening Balance'!$B$15*(N(INDEX('Daily Sale entry '!$S$1:$S$1501,$J2058-1499))-TRUNC(N(INDEX('Daily Sale entry '!$S$1:$S$1501,$J2058-1499))))))</f>
        <v/>
      </c>
      <c r="G2058" s="6">
        <f>IF($J2058="","",IF($J2058&lt;=1500,N(INDEX('Daily Sale entry '!$AD$1:$AD$1501,$J2058+1)),0))</f>
        <v/>
      </c>
      <c r="H2058" s="6">
        <f>IF($J2058="","",ROUND('Opening Balance'!$B$4+SUM($F$2:F2058)-SUM($G$2:G2058),2))</f>
        <v/>
      </c>
      <c r="J2058" s="21">
        <f>IFERROR(MATCH(ROW()-1,$L$2:$L$3001,0),"")</f>
        <v/>
      </c>
      <c r="K2058" s="34">
        <f>IF(AND('Daily Sale entry '!Q558="Collection 收款",'Daily Sale entry '!R558="Cheque 支票",'Daily Sale entry '!V558&lt;&gt;""),'Daily Sale entry '!V558+ROW()/10000000,"")</f>
        <v/>
      </c>
      <c r="L2058" s="21">
        <f>IF(K2058="","",COUNTIF($K$2:$K$3001,"&lt;"&amp;K2058)+1)</f>
        <v/>
      </c>
    </row>
    <row r="2059">
      <c r="A2059" s="5">
        <f>IF($J2059="","",IF($J2059&lt;=1500,INDEX('Daily Sale entry '!$X$1:$X$1501,$J2059+1),INDEX('Daily Sale entry '!$V$1:$V$1501,$J2059-1499)))</f>
        <v/>
      </c>
      <c r="B2059">
        <f>IF($J2059="","",IF($J2059&lt;=1500,INDEX('Daily Sale entry '!$Y$1:$Y$1501,$J2059+1)&amp;"","Buyer cheque banked 买家支票存入"&amp;IF(INDEX('Daily Sale entry '!$U$1:$U$1501,$J2059-1499)="","", " - "&amp;INDEX('Daily Sale entry '!$U$1:$U$1501,$J2059-1499))))</f>
        <v/>
      </c>
      <c r="C2059">
        <f>IF($J2059="","",IF($J2059&lt;=1500,INDEX('Daily Sale entry '!$Z$1:$Z$1501,$J2059+1)&amp;"","Cheque deposit 支票存入 (buyer 买家)"))</f>
        <v/>
      </c>
      <c r="D2059">
        <f>IF($J2059="","",IF($J2059&lt;=1500,INDEX('Daily Sale entry '!$AA$1:$AA$1501,$J2059+1)&amp;"",INDEX('Daily Sale entry '!$P$1:$P$1501,$J2059-1499)&amp;""))</f>
        <v/>
      </c>
      <c r="E2059">
        <f>IF($J2059="","",IF($J2059&lt;=1500,IF(N(INDEX('Daily Sale entry '!$AB$1:$AB$1501,$J2059+1))=0,"",INDEX('Daily Sale entry '!$AB$1:$AB$1501,$J2059+1)),1))</f>
        <v/>
      </c>
      <c r="F2059" s="6">
        <f>IF($J2059="","",IF($J2059&lt;=1500,N(INDEX('Daily Sale entry '!$AC$1:$AC$1501,$J2059+1))-IF(AND('Opening Balance'!$B$15=1,INDEX('Daily Sale entry '!$Z$1:$Z$1501,$J2059+1)="Online collection 网上收款",INDEX('Daily Sale entry '!$AA$1:$AA$1501,$J2059+1)&lt;&gt;""),N(INDEX('Daily Sale entry '!$AC$1:$AC$1501,$J2059+1))-TRUNC(N(INDEX('Daily Sale entry '!$AC$1:$AC$1501,$J2059+1))),0),N(INDEX('Daily Sale entry '!$S$1:$S$1501,$J2059-1499))-'Opening Balance'!$B$15*(N(INDEX('Daily Sale entry '!$S$1:$S$1501,$J2059-1499))-TRUNC(N(INDEX('Daily Sale entry '!$S$1:$S$1501,$J2059-1499))))))</f>
        <v/>
      </c>
      <c r="G2059" s="6">
        <f>IF($J2059="","",IF($J2059&lt;=1500,N(INDEX('Daily Sale entry '!$AD$1:$AD$1501,$J2059+1)),0))</f>
        <v/>
      </c>
      <c r="H2059" s="6">
        <f>IF($J2059="","",ROUND('Opening Balance'!$B$4+SUM($F$2:F2059)-SUM($G$2:G2059),2))</f>
        <v/>
      </c>
      <c r="J2059" s="21">
        <f>IFERROR(MATCH(ROW()-1,$L$2:$L$3001,0),"")</f>
        <v/>
      </c>
      <c r="K2059" s="34">
        <f>IF(AND('Daily Sale entry '!Q559="Collection 收款",'Daily Sale entry '!R559="Cheque 支票",'Daily Sale entry '!V559&lt;&gt;""),'Daily Sale entry '!V559+ROW()/10000000,"")</f>
        <v/>
      </c>
      <c r="L2059" s="21">
        <f>IF(K2059="","",COUNTIF($K$2:$K$3001,"&lt;"&amp;K2059)+1)</f>
        <v/>
      </c>
    </row>
    <row r="2060">
      <c r="A2060" s="5">
        <f>IF($J2060="","",IF($J2060&lt;=1500,INDEX('Daily Sale entry '!$X$1:$X$1501,$J2060+1),INDEX('Daily Sale entry '!$V$1:$V$1501,$J2060-1499)))</f>
        <v/>
      </c>
      <c r="B2060">
        <f>IF($J2060="","",IF($J2060&lt;=1500,INDEX('Daily Sale entry '!$Y$1:$Y$1501,$J2060+1)&amp;"","Buyer cheque banked 买家支票存入"&amp;IF(INDEX('Daily Sale entry '!$U$1:$U$1501,$J2060-1499)="","", " - "&amp;INDEX('Daily Sale entry '!$U$1:$U$1501,$J2060-1499))))</f>
        <v/>
      </c>
      <c r="C2060">
        <f>IF($J2060="","",IF($J2060&lt;=1500,INDEX('Daily Sale entry '!$Z$1:$Z$1501,$J2060+1)&amp;"","Cheque deposit 支票存入 (buyer 买家)"))</f>
        <v/>
      </c>
      <c r="D2060">
        <f>IF($J2060="","",IF($J2060&lt;=1500,INDEX('Daily Sale entry '!$AA$1:$AA$1501,$J2060+1)&amp;"",INDEX('Daily Sale entry '!$P$1:$P$1501,$J2060-1499)&amp;""))</f>
        <v/>
      </c>
      <c r="E2060">
        <f>IF($J2060="","",IF($J2060&lt;=1500,IF(N(INDEX('Daily Sale entry '!$AB$1:$AB$1501,$J2060+1))=0,"",INDEX('Daily Sale entry '!$AB$1:$AB$1501,$J2060+1)),1))</f>
        <v/>
      </c>
      <c r="F2060" s="6">
        <f>IF($J2060="","",IF($J2060&lt;=1500,N(INDEX('Daily Sale entry '!$AC$1:$AC$1501,$J2060+1))-IF(AND('Opening Balance'!$B$15=1,INDEX('Daily Sale entry '!$Z$1:$Z$1501,$J2060+1)="Online collection 网上收款",INDEX('Daily Sale entry '!$AA$1:$AA$1501,$J2060+1)&lt;&gt;""),N(INDEX('Daily Sale entry '!$AC$1:$AC$1501,$J2060+1))-TRUNC(N(INDEX('Daily Sale entry '!$AC$1:$AC$1501,$J2060+1))),0),N(INDEX('Daily Sale entry '!$S$1:$S$1501,$J2060-1499))-'Opening Balance'!$B$15*(N(INDEX('Daily Sale entry '!$S$1:$S$1501,$J2060-1499))-TRUNC(N(INDEX('Daily Sale entry '!$S$1:$S$1501,$J2060-1499))))))</f>
        <v/>
      </c>
      <c r="G2060" s="6">
        <f>IF($J2060="","",IF($J2060&lt;=1500,N(INDEX('Daily Sale entry '!$AD$1:$AD$1501,$J2060+1)),0))</f>
        <v/>
      </c>
      <c r="H2060" s="6">
        <f>IF($J2060="","",ROUND('Opening Balance'!$B$4+SUM($F$2:F2060)-SUM($G$2:G2060),2))</f>
        <v/>
      </c>
      <c r="J2060" s="21">
        <f>IFERROR(MATCH(ROW()-1,$L$2:$L$3001,0),"")</f>
        <v/>
      </c>
      <c r="K2060" s="34">
        <f>IF(AND('Daily Sale entry '!Q560="Collection 收款",'Daily Sale entry '!R560="Cheque 支票",'Daily Sale entry '!V560&lt;&gt;""),'Daily Sale entry '!V560+ROW()/10000000,"")</f>
        <v/>
      </c>
      <c r="L2060" s="21">
        <f>IF(K2060="","",COUNTIF($K$2:$K$3001,"&lt;"&amp;K2060)+1)</f>
        <v/>
      </c>
    </row>
    <row r="2061">
      <c r="A2061" s="5">
        <f>IF($J2061="","",IF($J2061&lt;=1500,INDEX('Daily Sale entry '!$X$1:$X$1501,$J2061+1),INDEX('Daily Sale entry '!$V$1:$V$1501,$J2061-1499)))</f>
        <v/>
      </c>
      <c r="B2061">
        <f>IF($J2061="","",IF($J2061&lt;=1500,INDEX('Daily Sale entry '!$Y$1:$Y$1501,$J2061+1)&amp;"","Buyer cheque banked 买家支票存入"&amp;IF(INDEX('Daily Sale entry '!$U$1:$U$1501,$J2061-1499)="","", " - "&amp;INDEX('Daily Sale entry '!$U$1:$U$1501,$J2061-1499))))</f>
        <v/>
      </c>
      <c r="C2061">
        <f>IF($J2061="","",IF($J2061&lt;=1500,INDEX('Daily Sale entry '!$Z$1:$Z$1501,$J2061+1)&amp;"","Cheque deposit 支票存入 (buyer 买家)"))</f>
        <v/>
      </c>
      <c r="D2061">
        <f>IF($J2061="","",IF($J2061&lt;=1500,INDEX('Daily Sale entry '!$AA$1:$AA$1501,$J2061+1)&amp;"",INDEX('Daily Sale entry '!$P$1:$P$1501,$J2061-1499)&amp;""))</f>
        <v/>
      </c>
      <c r="E2061">
        <f>IF($J2061="","",IF($J2061&lt;=1500,IF(N(INDEX('Daily Sale entry '!$AB$1:$AB$1501,$J2061+1))=0,"",INDEX('Daily Sale entry '!$AB$1:$AB$1501,$J2061+1)),1))</f>
        <v/>
      </c>
      <c r="F2061" s="6">
        <f>IF($J2061="","",IF($J2061&lt;=1500,N(INDEX('Daily Sale entry '!$AC$1:$AC$1501,$J2061+1))-IF(AND('Opening Balance'!$B$15=1,INDEX('Daily Sale entry '!$Z$1:$Z$1501,$J2061+1)="Online collection 网上收款",INDEX('Daily Sale entry '!$AA$1:$AA$1501,$J2061+1)&lt;&gt;""),N(INDEX('Daily Sale entry '!$AC$1:$AC$1501,$J2061+1))-TRUNC(N(INDEX('Daily Sale entry '!$AC$1:$AC$1501,$J2061+1))),0),N(INDEX('Daily Sale entry '!$S$1:$S$1501,$J2061-1499))-'Opening Balance'!$B$15*(N(INDEX('Daily Sale entry '!$S$1:$S$1501,$J2061-1499))-TRUNC(N(INDEX('Daily Sale entry '!$S$1:$S$1501,$J2061-1499))))))</f>
        <v/>
      </c>
      <c r="G2061" s="6">
        <f>IF($J2061="","",IF($J2061&lt;=1500,N(INDEX('Daily Sale entry '!$AD$1:$AD$1501,$J2061+1)),0))</f>
        <v/>
      </c>
      <c r="H2061" s="6">
        <f>IF($J2061="","",ROUND('Opening Balance'!$B$4+SUM($F$2:F2061)-SUM($G$2:G2061),2))</f>
        <v/>
      </c>
      <c r="J2061" s="21">
        <f>IFERROR(MATCH(ROW()-1,$L$2:$L$3001,0),"")</f>
        <v/>
      </c>
      <c r="K2061" s="34">
        <f>IF(AND('Daily Sale entry '!Q561="Collection 收款",'Daily Sale entry '!R561="Cheque 支票",'Daily Sale entry '!V561&lt;&gt;""),'Daily Sale entry '!V561+ROW()/10000000,"")</f>
        <v/>
      </c>
      <c r="L2061" s="21">
        <f>IF(K2061="","",COUNTIF($K$2:$K$3001,"&lt;"&amp;K2061)+1)</f>
        <v/>
      </c>
    </row>
    <row r="2062">
      <c r="A2062" s="5">
        <f>IF($J2062="","",IF($J2062&lt;=1500,INDEX('Daily Sale entry '!$X$1:$X$1501,$J2062+1),INDEX('Daily Sale entry '!$V$1:$V$1501,$J2062-1499)))</f>
        <v/>
      </c>
      <c r="B2062">
        <f>IF($J2062="","",IF($J2062&lt;=1500,INDEX('Daily Sale entry '!$Y$1:$Y$1501,$J2062+1)&amp;"","Buyer cheque banked 买家支票存入"&amp;IF(INDEX('Daily Sale entry '!$U$1:$U$1501,$J2062-1499)="","", " - "&amp;INDEX('Daily Sale entry '!$U$1:$U$1501,$J2062-1499))))</f>
        <v/>
      </c>
      <c r="C2062">
        <f>IF($J2062="","",IF($J2062&lt;=1500,INDEX('Daily Sale entry '!$Z$1:$Z$1501,$J2062+1)&amp;"","Cheque deposit 支票存入 (buyer 买家)"))</f>
        <v/>
      </c>
      <c r="D2062">
        <f>IF($J2062="","",IF($J2062&lt;=1500,INDEX('Daily Sale entry '!$AA$1:$AA$1501,$J2062+1)&amp;"",INDEX('Daily Sale entry '!$P$1:$P$1501,$J2062-1499)&amp;""))</f>
        <v/>
      </c>
      <c r="E2062">
        <f>IF($J2062="","",IF($J2062&lt;=1500,IF(N(INDEX('Daily Sale entry '!$AB$1:$AB$1501,$J2062+1))=0,"",INDEX('Daily Sale entry '!$AB$1:$AB$1501,$J2062+1)),1))</f>
        <v/>
      </c>
      <c r="F2062" s="6">
        <f>IF($J2062="","",IF($J2062&lt;=1500,N(INDEX('Daily Sale entry '!$AC$1:$AC$1501,$J2062+1))-IF(AND('Opening Balance'!$B$15=1,INDEX('Daily Sale entry '!$Z$1:$Z$1501,$J2062+1)="Online collection 网上收款",INDEX('Daily Sale entry '!$AA$1:$AA$1501,$J2062+1)&lt;&gt;""),N(INDEX('Daily Sale entry '!$AC$1:$AC$1501,$J2062+1))-TRUNC(N(INDEX('Daily Sale entry '!$AC$1:$AC$1501,$J2062+1))),0),N(INDEX('Daily Sale entry '!$S$1:$S$1501,$J2062-1499))-'Opening Balance'!$B$15*(N(INDEX('Daily Sale entry '!$S$1:$S$1501,$J2062-1499))-TRUNC(N(INDEX('Daily Sale entry '!$S$1:$S$1501,$J2062-1499))))))</f>
        <v/>
      </c>
      <c r="G2062" s="6">
        <f>IF($J2062="","",IF($J2062&lt;=1500,N(INDEX('Daily Sale entry '!$AD$1:$AD$1501,$J2062+1)),0))</f>
        <v/>
      </c>
      <c r="H2062" s="6">
        <f>IF($J2062="","",ROUND('Opening Balance'!$B$4+SUM($F$2:F2062)-SUM($G$2:G2062),2))</f>
        <v/>
      </c>
      <c r="J2062" s="21">
        <f>IFERROR(MATCH(ROW()-1,$L$2:$L$3001,0),"")</f>
        <v/>
      </c>
      <c r="K2062" s="34">
        <f>IF(AND('Daily Sale entry '!Q562="Collection 收款",'Daily Sale entry '!R562="Cheque 支票",'Daily Sale entry '!V562&lt;&gt;""),'Daily Sale entry '!V562+ROW()/10000000,"")</f>
        <v/>
      </c>
      <c r="L2062" s="21">
        <f>IF(K2062="","",COUNTIF($K$2:$K$3001,"&lt;"&amp;K2062)+1)</f>
        <v/>
      </c>
    </row>
    <row r="2063">
      <c r="A2063" s="5">
        <f>IF($J2063="","",IF($J2063&lt;=1500,INDEX('Daily Sale entry '!$X$1:$X$1501,$J2063+1),INDEX('Daily Sale entry '!$V$1:$V$1501,$J2063-1499)))</f>
        <v/>
      </c>
      <c r="B2063">
        <f>IF($J2063="","",IF($J2063&lt;=1500,INDEX('Daily Sale entry '!$Y$1:$Y$1501,$J2063+1)&amp;"","Buyer cheque banked 买家支票存入"&amp;IF(INDEX('Daily Sale entry '!$U$1:$U$1501,$J2063-1499)="","", " - "&amp;INDEX('Daily Sale entry '!$U$1:$U$1501,$J2063-1499))))</f>
        <v/>
      </c>
      <c r="C2063">
        <f>IF($J2063="","",IF($J2063&lt;=1500,INDEX('Daily Sale entry '!$Z$1:$Z$1501,$J2063+1)&amp;"","Cheque deposit 支票存入 (buyer 买家)"))</f>
        <v/>
      </c>
      <c r="D2063">
        <f>IF($J2063="","",IF($J2063&lt;=1500,INDEX('Daily Sale entry '!$AA$1:$AA$1501,$J2063+1)&amp;"",INDEX('Daily Sale entry '!$P$1:$P$1501,$J2063-1499)&amp;""))</f>
        <v/>
      </c>
      <c r="E2063">
        <f>IF($J2063="","",IF($J2063&lt;=1500,IF(N(INDEX('Daily Sale entry '!$AB$1:$AB$1501,$J2063+1))=0,"",INDEX('Daily Sale entry '!$AB$1:$AB$1501,$J2063+1)),1))</f>
        <v/>
      </c>
      <c r="F2063" s="6">
        <f>IF($J2063="","",IF($J2063&lt;=1500,N(INDEX('Daily Sale entry '!$AC$1:$AC$1501,$J2063+1))-IF(AND('Opening Balance'!$B$15=1,INDEX('Daily Sale entry '!$Z$1:$Z$1501,$J2063+1)="Online collection 网上收款",INDEX('Daily Sale entry '!$AA$1:$AA$1501,$J2063+1)&lt;&gt;""),N(INDEX('Daily Sale entry '!$AC$1:$AC$1501,$J2063+1))-TRUNC(N(INDEX('Daily Sale entry '!$AC$1:$AC$1501,$J2063+1))),0),N(INDEX('Daily Sale entry '!$S$1:$S$1501,$J2063-1499))-'Opening Balance'!$B$15*(N(INDEX('Daily Sale entry '!$S$1:$S$1501,$J2063-1499))-TRUNC(N(INDEX('Daily Sale entry '!$S$1:$S$1501,$J2063-1499))))))</f>
        <v/>
      </c>
      <c r="G2063" s="6">
        <f>IF($J2063="","",IF($J2063&lt;=1500,N(INDEX('Daily Sale entry '!$AD$1:$AD$1501,$J2063+1)),0))</f>
        <v/>
      </c>
      <c r="H2063" s="6">
        <f>IF($J2063="","",ROUND('Opening Balance'!$B$4+SUM($F$2:F2063)-SUM($G$2:G2063),2))</f>
        <v/>
      </c>
      <c r="J2063" s="21">
        <f>IFERROR(MATCH(ROW()-1,$L$2:$L$3001,0),"")</f>
        <v/>
      </c>
      <c r="K2063" s="34">
        <f>IF(AND('Daily Sale entry '!Q563="Collection 收款",'Daily Sale entry '!R563="Cheque 支票",'Daily Sale entry '!V563&lt;&gt;""),'Daily Sale entry '!V563+ROW()/10000000,"")</f>
        <v/>
      </c>
      <c r="L2063" s="21">
        <f>IF(K2063="","",COUNTIF($K$2:$K$3001,"&lt;"&amp;K2063)+1)</f>
        <v/>
      </c>
    </row>
    <row r="2064">
      <c r="A2064" s="5">
        <f>IF($J2064="","",IF($J2064&lt;=1500,INDEX('Daily Sale entry '!$X$1:$X$1501,$J2064+1),INDEX('Daily Sale entry '!$V$1:$V$1501,$J2064-1499)))</f>
        <v/>
      </c>
      <c r="B2064">
        <f>IF($J2064="","",IF($J2064&lt;=1500,INDEX('Daily Sale entry '!$Y$1:$Y$1501,$J2064+1)&amp;"","Buyer cheque banked 买家支票存入"&amp;IF(INDEX('Daily Sale entry '!$U$1:$U$1501,$J2064-1499)="","", " - "&amp;INDEX('Daily Sale entry '!$U$1:$U$1501,$J2064-1499))))</f>
        <v/>
      </c>
      <c r="C2064">
        <f>IF($J2064="","",IF($J2064&lt;=1500,INDEX('Daily Sale entry '!$Z$1:$Z$1501,$J2064+1)&amp;"","Cheque deposit 支票存入 (buyer 买家)"))</f>
        <v/>
      </c>
      <c r="D2064">
        <f>IF($J2064="","",IF($J2064&lt;=1500,INDEX('Daily Sale entry '!$AA$1:$AA$1501,$J2064+1)&amp;"",INDEX('Daily Sale entry '!$P$1:$P$1501,$J2064-1499)&amp;""))</f>
        <v/>
      </c>
      <c r="E2064">
        <f>IF($J2064="","",IF($J2064&lt;=1500,IF(N(INDEX('Daily Sale entry '!$AB$1:$AB$1501,$J2064+1))=0,"",INDEX('Daily Sale entry '!$AB$1:$AB$1501,$J2064+1)),1))</f>
        <v/>
      </c>
      <c r="F2064" s="6">
        <f>IF($J2064="","",IF($J2064&lt;=1500,N(INDEX('Daily Sale entry '!$AC$1:$AC$1501,$J2064+1))-IF(AND('Opening Balance'!$B$15=1,INDEX('Daily Sale entry '!$Z$1:$Z$1501,$J2064+1)="Online collection 网上收款",INDEX('Daily Sale entry '!$AA$1:$AA$1501,$J2064+1)&lt;&gt;""),N(INDEX('Daily Sale entry '!$AC$1:$AC$1501,$J2064+1))-TRUNC(N(INDEX('Daily Sale entry '!$AC$1:$AC$1501,$J2064+1))),0),N(INDEX('Daily Sale entry '!$S$1:$S$1501,$J2064-1499))-'Opening Balance'!$B$15*(N(INDEX('Daily Sale entry '!$S$1:$S$1501,$J2064-1499))-TRUNC(N(INDEX('Daily Sale entry '!$S$1:$S$1501,$J2064-1499))))))</f>
        <v/>
      </c>
      <c r="G2064" s="6">
        <f>IF($J2064="","",IF($J2064&lt;=1500,N(INDEX('Daily Sale entry '!$AD$1:$AD$1501,$J2064+1)),0))</f>
        <v/>
      </c>
      <c r="H2064" s="6">
        <f>IF($J2064="","",ROUND('Opening Balance'!$B$4+SUM($F$2:F2064)-SUM($G$2:G2064),2))</f>
        <v/>
      </c>
      <c r="J2064" s="21">
        <f>IFERROR(MATCH(ROW()-1,$L$2:$L$3001,0),"")</f>
        <v/>
      </c>
      <c r="K2064" s="34">
        <f>IF(AND('Daily Sale entry '!Q564="Collection 收款",'Daily Sale entry '!R564="Cheque 支票",'Daily Sale entry '!V564&lt;&gt;""),'Daily Sale entry '!V564+ROW()/10000000,"")</f>
        <v/>
      </c>
      <c r="L2064" s="21">
        <f>IF(K2064="","",COUNTIF($K$2:$K$3001,"&lt;"&amp;K2064)+1)</f>
        <v/>
      </c>
    </row>
    <row r="2065">
      <c r="A2065" s="5">
        <f>IF($J2065="","",IF($J2065&lt;=1500,INDEX('Daily Sale entry '!$X$1:$X$1501,$J2065+1),INDEX('Daily Sale entry '!$V$1:$V$1501,$J2065-1499)))</f>
        <v/>
      </c>
      <c r="B2065">
        <f>IF($J2065="","",IF($J2065&lt;=1500,INDEX('Daily Sale entry '!$Y$1:$Y$1501,$J2065+1)&amp;"","Buyer cheque banked 买家支票存入"&amp;IF(INDEX('Daily Sale entry '!$U$1:$U$1501,$J2065-1499)="","", " - "&amp;INDEX('Daily Sale entry '!$U$1:$U$1501,$J2065-1499))))</f>
        <v/>
      </c>
      <c r="C2065">
        <f>IF($J2065="","",IF($J2065&lt;=1500,INDEX('Daily Sale entry '!$Z$1:$Z$1501,$J2065+1)&amp;"","Cheque deposit 支票存入 (buyer 买家)"))</f>
        <v/>
      </c>
      <c r="D2065">
        <f>IF($J2065="","",IF($J2065&lt;=1500,INDEX('Daily Sale entry '!$AA$1:$AA$1501,$J2065+1)&amp;"",INDEX('Daily Sale entry '!$P$1:$P$1501,$J2065-1499)&amp;""))</f>
        <v/>
      </c>
      <c r="E2065">
        <f>IF($J2065="","",IF($J2065&lt;=1500,IF(N(INDEX('Daily Sale entry '!$AB$1:$AB$1501,$J2065+1))=0,"",INDEX('Daily Sale entry '!$AB$1:$AB$1501,$J2065+1)),1))</f>
        <v/>
      </c>
      <c r="F2065" s="6">
        <f>IF($J2065="","",IF($J2065&lt;=1500,N(INDEX('Daily Sale entry '!$AC$1:$AC$1501,$J2065+1))-IF(AND('Opening Balance'!$B$15=1,INDEX('Daily Sale entry '!$Z$1:$Z$1501,$J2065+1)="Online collection 网上收款",INDEX('Daily Sale entry '!$AA$1:$AA$1501,$J2065+1)&lt;&gt;""),N(INDEX('Daily Sale entry '!$AC$1:$AC$1501,$J2065+1))-TRUNC(N(INDEX('Daily Sale entry '!$AC$1:$AC$1501,$J2065+1))),0),N(INDEX('Daily Sale entry '!$S$1:$S$1501,$J2065-1499))-'Opening Balance'!$B$15*(N(INDEX('Daily Sale entry '!$S$1:$S$1501,$J2065-1499))-TRUNC(N(INDEX('Daily Sale entry '!$S$1:$S$1501,$J2065-1499))))))</f>
        <v/>
      </c>
      <c r="G2065" s="6">
        <f>IF($J2065="","",IF($J2065&lt;=1500,N(INDEX('Daily Sale entry '!$AD$1:$AD$1501,$J2065+1)),0))</f>
        <v/>
      </c>
      <c r="H2065" s="6">
        <f>IF($J2065="","",ROUND('Opening Balance'!$B$4+SUM($F$2:F2065)-SUM($G$2:G2065),2))</f>
        <v/>
      </c>
      <c r="J2065" s="21">
        <f>IFERROR(MATCH(ROW()-1,$L$2:$L$3001,0),"")</f>
        <v/>
      </c>
      <c r="K2065" s="34">
        <f>IF(AND('Daily Sale entry '!Q565="Collection 收款",'Daily Sale entry '!R565="Cheque 支票",'Daily Sale entry '!V565&lt;&gt;""),'Daily Sale entry '!V565+ROW()/10000000,"")</f>
        <v/>
      </c>
      <c r="L2065" s="21">
        <f>IF(K2065="","",COUNTIF($K$2:$K$3001,"&lt;"&amp;K2065)+1)</f>
        <v/>
      </c>
    </row>
    <row r="2066">
      <c r="A2066" s="5">
        <f>IF($J2066="","",IF($J2066&lt;=1500,INDEX('Daily Sale entry '!$X$1:$X$1501,$J2066+1),INDEX('Daily Sale entry '!$V$1:$V$1501,$J2066-1499)))</f>
        <v/>
      </c>
      <c r="B2066">
        <f>IF($J2066="","",IF($J2066&lt;=1500,INDEX('Daily Sale entry '!$Y$1:$Y$1501,$J2066+1)&amp;"","Buyer cheque banked 买家支票存入"&amp;IF(INDEX('Daily Sale entry '!$U$1:$U$1501,$J2066-1499)="","", " - "&amp;INDEX('Daily Sale entry '!$U$1:$U$1501,$J2066-1499))))</f>
        <v/>
      </c>
      <c r="C2066">
        <f>IF($J2066="","",IF($J2066&lt;=1500,INDEX('Daily Sale entry '!$Z$1:$Z$1501,$J2066+1)&amp;"","Cheque deposit 支票存入 (buyer 买家)"))</f>
        <v/>
      </c>
      <c r="D2066">
        <f>IF($J2066="","",IF($J2066&lt;=1500,INDEX('Daily Sale entry '!$AA$1:$AA$1501,$J2066+1)&amp;"",INDEX('Daily Sale entry '!$P$1:$P$1501,$J2066-1499)&amp;""))</f>
        <v/>
      </c>
      <c r="E2066">
        <f>IF($J2066="","",IF($J2066&lt;=1500,IF(N(INDEX('Daily Sale entry '!$AB$1:$AB$1501,$J2066+1))=0,"",INDEX('Daily Sale entry '!$AB$1:$AB$1501,$J2066+1)),1))</f>
        <v/>
      </c>
      <c r="F2066" s="6">
        <f>IF($J2066="","",IF($J2066&lt;=1500,N(INDEX('Daily Sale entry '!$AC$1:$AC$1501,$J2066+1))-IF(AND('Opening Balance'!$B$15=1,INDEX('Daily Sale entry '!$Z$1:$Z$1501,$J2066+1)="Online collection 网上收款",INDEX('Daily Sale entry '!$AA$1:$AA$1501,$J2066+1)&lt;&gt;""),N(INDEX('Daily Sale entry '!$AC$1:$AC$1501,$J2066+1))-TRUNC(N(INDEX('Daily Sale entry '!$AC$1:$AC$1501,$J2066+1))),0),N(INDEX('Daily Sale entry '!$S$1:$S$1501,$J2066-1499))-'Opening Balance'!$B$15*(N(INDEX('Daily Sale entry '!$S$1:$S$1501,$J2066-1499))-TRUNC(N(INDEX('Daily Sale entry '!$S$1:$S$1501,$J2066-1499))))))</f>
        <v/>
      </c>
      <c r="G2066" s="6">
        <f>IF($J2066="","",IF($J2066&lt;=1500,N(INDEX('Daily Sale entry '!$AD$1:$AD$1501,$J2066+1)),0))</f>
        <v/>
      </c>
      <c r="H2066" s="6">
        <f>IF($J2066="","",ROUND('Opening Balance'!$B$4+SUM($F$2:F2066)-SUM($G$2:G2066),2))</f>
        <v/>
      </c>
      <c r="J2066" s="21">
        <f>IFERROR(MATCH(ROW()-1,$L$2:$L$3001,0),"")</f>
        <v/>
      </c>
      <c r="K2066" s="34">
        <f>IF(AND('Daily Sale entry '!Q566="Collection 收款",'Daily Sale entry '!R566="Cheque 支票",'Daily Sale entry '!V566&lt;&gt;""),'Daily Sale entry '!V566+ROW()/10000000,"")</f>
        <v/>
      </c>
      <c r="L2066" s="21">
        <f>IF(K2066="","",COUNTIF($K$2:$K$3001,"&lt;"&amp;K2066)+1)</f>
        <v/>
      </c>
    </row>
    <row r="2067">
      <c r="A2067" s="5">
        <f>IF($J2067="","",IF($J2067&lt;=1500,INDEX('Daily Sale entry '!$X$1:$X$1501,$J2067+1),INDEX('Daily Sale entry '!$V$1:$V$1501,$J2067-1499)))</f>
        <v/>
      </c>
      <c r="B2067">
        <f>IF($J2067="","",IF($J2067&lt;=1500,INDEX('Daily Sale entry '!$Y$1:$Y$1501,$J2067+1)&amp;"","Buyer cheque banked 买家支票存入"&amp;IF(INDEX('Daily Sale entry '!$U$1:$U$1501,$J2067-1499)="","", " - "&amp;INDEX('Daily Sale entry '!$U$1:$U$1501,$J2067-1499))))</f>
        <v/>
      </c>
      <c r="C2067">
        <f>IF($J2067="","",IF($J2067&lt;=1500,INDEX('Daily Sale entry '!$Z$1:$Z$1501,$J2067+1)&amp;"","Cheque deposit 支票存入 (buyer 买家)"))</f>
        <v/>
      </c>
      <c r="D2067">
        <f>IF($J2067="","",IF($J2067&lt;=1500,INDEX('Daily Sale entry '!$AA$1:$AA$1501,$J2067+1)&amp;"",INDEX('Daily Sale entry '!$P$1:$P$1501,$J2067-1499)&amp;""))</f>
        <v/>
      </c>
      <c r="E2067">
        <f>IF($J2067="","",IF($J2067&lt;=1500,IF(N(INDEX('Daily Sale entry '!$AB$1:$AB$1501,$J2067+1))=0,"",INDEX('Daily Sale entry '!$AB$1:$AB$1501,$J2067+1)),1))</f>
        <v/>
      </c>
      <c r="F2067" s="6">
        <f>IF($J2067="","",IF($J2067&lt;=1500,N(INDEX('Daily Sale entry '!$AC$1:$AC$1501,$J2067+1))-IF(AND('Opening Balance'!$B$15=1,INDEX('Daily Sale entry '!$Z$1:$Z$1501,$J2067+1)="Online collection 网上收款",INDEX('Daily Sale entry '!$AA$1:$AA$1501,$J2067+1)&lt;&gt;""),N(INDEX('Daily Sale entry '!$AC$1:$AC$1501,$J2067+1))-TRUNC(N(INDEX('Daily Sale entry '!$AC$1:$AC$1501,$J2067+1))),0),N(INDEX('Daily Sale entry '!$S$1:$S$1501,$J2067-1499))-'Opening Balance'!$B$15*(N(INDEX('Daily Sale entry '!$S$1:$S$1501,$J2067-1499))-TRUNC(N(INDEX('Daily Sale entry '!$S$1:$S$1501,$J2067-1499))))))</f>
        <v/>
      </c>
      <c r="G2067" s="6">
        <f>IF($J2067="","",IF($J2067&lt;=1500,N(INDEX('Daily Sale entry '!$AD$1:$AD$1501,$J2067+1)),0))</f>
        <v/>
      </c>
      <c r="H2067" s="6">
        <f>IF($J2067="","",ROUND('Opening Balance'!$B$4+SUM($F$2:F2067)-SUM($G$2:G2067),2))</f>
        <v/>
      </c>
      <c r="J2067" s="21">
        <f>IFERROR(MATCH(ROW()-1,$L$2:$L$3001,0),"")</f>
        <v/>
      </c>
      <c r="K2067" s="34">
        <f>IF(AND('Daily Sale entry '!Q567="Collection 收款",'Daily Sale entry '!R567="Cheque 支票",'Daily Sale entry '!V567&lt;&gt;""),'Daily Sale entry '!V567+ROW()/10000000,"")</f>
        <v/>
      </c>
      <c r="L2067" s="21">
        <f>IF(K2067="","",COUNTIF($K$2:$K$3001,"&lt;"&amp;K2067)+1)</f>
        <v/>
      </c>
    </row>
    <row r="2068">
      <c r="A2068" s="5">
        <f>IF($J2068="","",IF($J2068&lt;=1500,INDEX('Daily Sale entry '!$X$1:$X$1501,$J2068+1),INDEX('Daily Sale entry '!$V$1:$V$1501,$J2068-1499)))</f>
        <v/>
      </c>
      <c r="B2068">
        <f>IF($J2068="","",IF($J2068&lt;=1500,INDEX('Daily Sale entry '!$Y$1:$Y$1501,$J2068+1)&amp;"","Buyer cheque banked 买家支票存入"&amp;IF(INDEX('Daily Sale entry '!$U$1:$U$1501,$J2068-1499)="","", " - "&amp;INDEX('Daily Sale entry '!$U$1:$U$1501,$J2068-1499))))</f>
        <v/>
      </c>
      <c r="C2068">
        <f>IF($J2068="","",IF($J2068&lt;=1500,INDEX('Daily Sale entry '!$Z$1:$Z$1501,$J2068+1)&amp;"","Cheque deposit 支票存入 (buyer 买家)"))</f>
        <v/>
      </c>
      <c r="D2068">
        <f>IF($J2068="","",IF($J2068&lt;=1500,INDEX('Daily Sale entry '!$AA$1:$AA$1501,$J2068+1)&amp;"",INDEX('Daily Sale entry '!$P$1:$P$1501,$J2068-1499)&amp;""))</f>
        <v/>
      </c>
      <c r="E2068">
        <f>IF($J2068="","",IF($J2068&lt;=1500,IF(N(INDEX('Daily Sale entry '!$AB$1:$AB$1501,$J2068+1))=0,"",INDEX('Daily Sale entry '!$AB$1:$AB$1501,$J2068+1)),1))</f>
        <v/>
      </c>
      <c r="F2068" s="6">
        <f>IF($J2068="","",IF($J2068&lt;=1500,N(INDEX('Daily Sale entry '!$AC$1:$AC$1501,$J2068+1))-IF(AND('Opening Balance'!$B$15=1,INDEX('Daily Sale entry '!$Z$1:$Z$1501,$J2068+1)="Online collection 网上收款",INDEX('Daily Sale entry '!$AA$1:$AA$1501,$J2068+1)&lt;&gt;""),N(INDEX('Daily Sale entry '!$AC$1:$AC$1501,$J2068+1))-TRUNC(N(INDEX('Daily Sale entry '!$AC$1:$AC$1501,$J2068+1))),0),N(INDEX('Daily Sale entry '!$S$1:$S$1501,$J2068-1499))-'Opening Balance'!$B$15*(N(INDEX('Daily Sale entry '!$S$1:$S$1501,$J2068-1499))-TRUNC(N(INDEX('Daily Sale entry '!$S$1:$S$1501,$J2068-1499))))))</f>
        <v/>
      </c>
      <c r="G2068" s="6">
        <f>IF($J2068="","",IF($J2068&lt;=1500,N(INDEX('Daily Sale entry '!$AD$1:$AD$1501,$J2068+1)),0))</f>
        <v/>
      </c>
      <c r="H2068" s="6">
        <f>IF($J2068="","",ROUND('Opening Balance'!$B$4+SUM($F$2:F2068)-SUM($G$2:G2068),2))</f>
        <v/>
      </c>
      <c r="J2068" s="21">
        <f>IFERROR(MATCH(ROW()-1,$L$2:$L$3001,0),"")</f>
        <v/>
      </c>
      <c r="K2068" s="34">
        <f>IF(AND('Daily Sale entry '!Q568="Collection 收款",'Daily Sale entry '!R568="Cheque 支票",'Daily Sale entry '!V568&lt;&gt;""),'Daily Sale entry '!V568+ROW()/10000000,"")</f>
        <v/>
      </c>
      <c r="L2068" s="21">
        <f>IF(K2068="","",COUNTIF($K$2:$K$3001,"&lt;"&amp;K2068)+1)</f>
        <v/>
      </c>
    </row>
    <row r="2069">
      <c r="A2069" s="5">
        <f>IF($J2069="","",IF($J2069&lt;=1500,INDEX('Daily Sale entry '!$X$1:$X$1501,$J2069+1),INDEX('Daily Sale entry '!$V$1:$V$1501,$J2069-1499)))</f>
        <v/>
      </c>
      <c r="B2069">
        <f>IF($J2069="","",IF($J2069&lt;=1500,INDEX('Daily Sale entry '!$Y$1:$Y$1501,$J2069+1)&amp;"","Buyer cheque banked 买家支票存入"&amp;IF(INDEX('Daily Sale entry '!$U$1:$U$1501,$J2069-1499)="","", " - "&amp;INDEX('Daily Sale entry '!$U$1:$U$1501,$J2069-1499))))</f>
        <v/>
      </c>
      <c r="C2069">
        <f>IF($J2069="","",IF($J2069&lt;=1500,INDEX('Daily Sale entry '!$Z$1:$Z$1501,$J2069+1)&amp;"","Cheque deposit 支票存入 (buyer 买家)"))</f>
        <v/>
      </c>
      <c r="D2069">
        <f>IF($J2069="","",IF($J2069&lt;=1500,INDEX('Daily Sale entry '!$AA$1:$AA$1501,$J2069+1)&amp;"",INDEX('Daily Sale entry '!$P$1:$P$1501,$J2069-1499)&amp;""))</f>
        <v/>
      </c>
      <c r="E2069">
        <f>IF($J2069="","",IF($J2069&lt;=1500,IF(N(INDEX('Daily Sale entry '!$AB$1:$AB$1501,$J2069+1))=0,"",INDEX('Daily Sale entry '!$AB$1:$AB$1501,$J2069+1)),1))</f>
        <v/>
      </c>
      <c r="F2069" s="6">
        <f>IF($J2069="","",IF($J2069&lt;=1500,N(INDEX('Daily Sale entry '!$AC$1:$AC$1501,$J2069+1))-IF(AND('Opening Balance'!$B$15=1,INDEX('Daily Sale entry '!$Z$1:$Z$1501,$J2069+1)="Online collection 网上收款",INDEX('Daily Sale entry '!$AA$1:$AA$1501,$J2069+1)&lt;&gt;""),N(INDEX('Daily Sale entry '!$AC$1:$AC$1501,$J2069+1))-TRUNC(N(INDEX('Daily Sale entry '!$AC$1:$AC$1501,$J2069+1))),0),N(INDEX('Daily Sale entry '!$S$1:$S$1501,$J2069-1499))-'Opening Balance'!$B$15*(N(INDEX('Daily Sale entry '!$S$1:$S$1501,$J2069-1499))-TRUNC(N(INDEX('Daily Sale entry '!$S$1:$S$1501,$J2069-1499))))))</f>
        <v/>
      </c>
      <c r="G2069" s="6">
        <f>IF($J2069="","",IF($J2069&lt;=1500,N(INDEX('Daily Sale entry '!$AD$1:$AD$1501,$J2069+1)),0))</f>
        <v/>
      </c>
      <c r="H2069" s="6">
        <f>IF($J2069="","",ROUND('Opening Balance'!$B$4+SUM($F$2:F2069)-SUM($G$2:G2069),2))</f>
        <v/>
      </c>
      <c r="J2069" s="21">
        <f>IFERROR(MATCH(ROW()-1,$L$2:$L$3001,0),"")</f>
        <v/>
      </c>
      <c r="K2069" s="34">
        <f>IF(AND('Daily Sale entry '!Q569="Collection 收款",'Daily Sale entry '!R569="Cheque 支票",'Daily Sale entry '!V569&lt;&gt;""),'Daily Sale entry '!V569+ROW()/10000000,"")</f>
        <v/>
      </c>
      <c r="L2069" s="21">
        <f>IF(K2069="","",COUNTIF($K$2:$K$3001,"&lt;"&amp;K2069)+1)</f>
        <v/>
      </c>
    </row>
    <row r="2070">
      <c r="A2070" s="5">
        <f>IF($J2070="","",IF($J2070&lt;=1500,INDEX('Daily Sale entry '!$X$1:$X$1501,$J2070+1),INDEX('Daily Sale entry '!$V$1:$V$1501,$J2070-1499)))</f>
        <v/>
      </c>
      <c r="B2070">
        <f>IF($J2070="","",IF($J2070&lt;=1500,INDEX('Daily Sale entry '!$Y$1:$Y$1501,$J2070+1)&amp;"","Buyer cheque banked 买家支票存入"&amp;IF(INDEX('Daily Sale entry '!$U$1:$U$1501,$J2070-1499)="","", " - "&amp;INDEX('Daily Sale entry '!$U$1:$U$1501,$J2070-1499))))</f>
        <v/>
      </c>
      <c r="C2070">
        <f>IF($J2070="","",IF($J2070&lt;=1500,INDEX('Daily Sale entry '!$Z$1:$Z$1501,$J2070+1)&amp;"","Cheque deposit 支票存入 (buyer 买家)"))</f>
        <v/>
      </c>
      <c r="D2070">
        <f>IF($J2070="","",IF($J2070&lt;=1500,INDEX('Daily Sale entry '!$AA$1:$AA$1501,$J2070+1)&amp;"",INDEX('Daily Sale entry '!$P$1:$P$1501,$J2070-1499)&amp;""))</f>
        <v/>
      </c>
      <c r="E2070">
        <f>IF($J2070="","",IF($J2070&lt;=1500,IF(N(INDEX('Daily Sale entry '!$AB$1:$AB$1501,$J2070+1))=0,"",INDEX('Daily Sale entry '!$AB$1:$AB$1501,$J2070+1)),1))</f>
        <v/>
      </c>
      <c r="F2070" s="6">
        <f>IF($J2070="","",IF($J2070&lt;=1500,N(INDEX('Daily Sale entry '!$AC$1:$AC$1501,$J2070+1))-IF(AND('Opening Balance'!$B$15=1,INDEX('Daily Sale entry '!$Z$1:$Z$1501,$J2070+1)="Online collection 网上收款",INDEX('Daily Sale entry '!$AA$1:$AA$1501,$J2070+1)&lt;&gt;""),N(INDEX('Daily Sale entry '!$AC$1:$AC$1501,$J2070+1))-TRUNC(N(INDEX('Daily Sale entry '!$AC$1:$AC$1501,$J2070+1))),0),N(INDEX('Daily Sale entry '!$S$1:$S$1501,$J2070-1499))-'Opening Balance'!$B$15*(N(INDEX('Daily Sale entry '!$S$1:$S$1501,$J2070-1499))-TRUNC(N(INDEX('Daily Sale entry '!$S$1:$S$1501,$J2070-1499))))))</f>
        <v/>
      </c>
      <c r="G2070" s="6">
        <f>IF($J2070="","",IF($J2070&lt;=1500,N(INDEX('Daily Sale entry '!$AD$1:$AD$1501,$J2070+1)),0))</f>
        <v/>
      </c>
      <c r="H2070" s="6">
        <f>IF($J2070="","",ROUND('Opening Balance'!$B$4+SUM($F$2:F2070)-SUM($G$2:G2070),2))</f>
        <v/>
      </c>
      <c r="J2070" s="21">
        <f>IFERROR(MATCH(ROW()-1,$L$2:$L$3001,0),"")</f>
        <v/>
      </c>
      <c r="K2070" s="34">
        <f>IF(AND('Daily Sale entry '!Q570="Collection 收款",'Daily Sale entry '!R570="Cheque 支票",'Daily Sale entry '!V570&lt;&gt;""),'Daily Sale entry '!V570+ROW()/10000000,"")</f>
        <v/>
      </c>
      <c r="L2070" s="21">
        <f>IF(K2070="","",COUNTIF($K$2:$K$3001,"&lt;"&amp;K2070)+1)</f>
        <v/>
      </c>
    </row>
    <row r="2071">
      <c r="A2071" s="5">
        <f>IF($J2071="","",IF($J2071&lt;=1500,INDEX('Daily Sale entry '!$X$1:$X$1501,$J2071+1),INDEX('Daily Sale entry '!$V$1:$V$1501,$J2071-1499)))</f>
        <v/>
      </c>
      <c r="B2071">
        <f>IF($J2071="","",IF($J2071&lt;=1500,INDEX('Daily Sale entry '!$Y$1:$Y$1501,$J2071+1)&amp;"","Buyer cheque banked 买家支票存入"&amp;IF(INDEX('Daily Sale entry '!$U$1:$U$1501,$J2071-1499)="","", " - "&amp;INDEX('Daily Sale entry '!$U$1:$U$1501,$J2071-1499))))</f>
        <v/>
      </c>
      <c r="C2071">
        <f>IF($J2071="","",IF($J2071&lt;=1500,INDEX('Daily Sale entry '!$Z$1:$Z$1501,$J2071+1)&amp;"","Cheque deposit 支票存入 (buyer 买家)"))</f>
        <v/>
      </c>
      <c r="D2071">
        <f>IF($J2071="","",IF($J2071&lt;=1500,INDEX('Daily Sale entry '!$AA$1:$AA$1501,$J2071+1)&amp;"",INDEX('Daily Sale entry '!$P$1:$P$1501,$J2071-1499)&amp;""))</f>
        <v/>
      </c>
      <c r="E2071">
        <f>IF($J2071="","",IF($J2071&lt;=1500,IF(N(INDEX('Daily Sale entry '!$AB$1:$AB$1501,$J2071+1))=0,"",INDEX('Daily Sale entry '!$AB$1:$AB$1501,$J2071+1)),1))</f>
        <v/>
      </c>
      <c r="F2071" s="6">
        <f>IF($J2071="","",IF($J2071&lt;=1500,N(INDEX('Daily Sale entry '!$AC$1:$AC$1501,$J2071+1))-IF(AND('Opening Balance'!$B$15=1,INDEX('Daily Sale entry '!$Z$1:$Z$1501,$J2071+1)="Online collection 网上收款",INDEX('Daily Sale entry '!$AA$1:$AA$1501,$J2071+1)&lt;&gt;""),N(INDEX('Daily Sale entry '!$AC$1:$AC$1501,$J2071+1))-TRUNC(N(INDEX('Daily Sale entry '!$AC$1:$AC$1501,$J2071+1))),0),N(INDEX('Daily Sale entry '!$S$1:$S$1501,$J2071-1499))-'Opening Balance'!$B$15*(N(INDEX('Daily Sale entry '!$S$1:$S$1501,$J2071-1499))-TRUNC(N(INDEX('Daily Sale entry '!$S$1:$S$1501,$J2071-1499))))))</f>
        <v/>
      </c>
      <c r="G2071" s="6">
        <f>IF($J2071="","",IF($J2071&lt;=1500,N(INDEX('Daily Sale entry '!$AD$1:$AD$1501,$J2071+1)),0))</f>
        <v/>
      </c>
      <c r="H2071" s="6">
        <f>IF($J2071="","",ROUND('Opening Balance'!$B$4+SUM($F$2:F2071)-SUM($G$2:G2071),2))</f>
        <v/>
      </c>
      <c r="J2071" s="21">
        <f>IFERROR(MATCH(ROW()-1,$L$2:$L$3001,0),"")</f>
        <v/>
      </c>
      <c r="K2071" s="34">
        <f>IF(AND('Daily Sale entry '!Q571="Collection 收款",'Daily Sale entry '!R571="Cheque 支票",'Daily Sale entry '!V571&lt;&gt;""),'Daily Sale entry '!V571+ROW()/10000000,"")</f>
        <v/>
      </c>
      <c r="L2071" s="21">
        <f>IF(K2071="","",COUNTIF($K$2:$K$3001,"&lt;"&amp;K2071)+1)</f>
        <v/>
      </c>
    </row>
    <row r="2072">
      <c r="A2072" s="5">
        <f>IF($J2072="","",IF($J2072&lt;=1500,INDEX('Daily Sale entry '!$X$1:$X$1501,$J2072+1),INDEX('Daily Sale entry '!$V$1:$V$1501,$J2072-1499)))</f>
        <v/>
      </c>
      <c r="B2072">
        <f>IF($J2072="","",IF($J2072&lt;=1500,INDEX('Daily Sale entry '!$Y$1:$Y$1501,$J2072+1)&amp;"","Buyer cheque banked 买家支票存入"&amp;IF(INDEX('Daily Sale entry '!$U$1:$U$1501,$J2072-1499)="","", " - "&amp;INDEX('Daily Sale entry '!$U$1:$U$1501,$J2072-1499))))</f>
        <v/>
      </c>
      <c r="C2072">
        <f>IF($J2072="","",IF($J2072&lt;=1500,INDEX('Daily Sale entry '!$Z$1:$Z$1501,$J2072+1)&amp;"","Cheque deposit 支票存入 (buyer 买家)"))</f>
        <v/>
      </c>
      <c r="D2072">
        <f>IF($J2072="","",IF($J2072&lt;=1500,INDEX('Daily Sale entry '!$AA$1:$AA$1501,$J2072+1)&amp;"",INDEX('Daily Sale entry '!$P$1:$P$1501,$J2072-1499)&amp;""))</f>
        <v/>
      </c>
      <c r="E2072">
        <f>IF($J2072="","",IF($J2072&lt;=1500,IF(N(INDEX('Daily Sale entry '!$AB$1:$AB$1501,$J2072+1))=0,"",INDEX('Daily Sale entry '!$AB$1:$AB$1501,$J2072+1)),1))</f>
        <v/>
      </c>
      <c r="F2072" s="6">
        <f>IF($J2072="","",IF($J2072&lt;=1500,N(INDEX('Daily Sale entry '!$AC$1:$AC$1501,$J2072+1))-IF(AND('Opening Balance'!$B$15=1,INDEX('Daily Sale entry '!$Z$1:$Z$1501,$J2072+1)="Online collection 网上收款",INDEX('Daily Sale entry '!$AA$1:$AA$1501,$J2072+1)&lt;&gt;""),N(INDEX('Daily Sale entry '!$AC$1:$AC$1501,$J2072+1))-TRUNC(N(INDEX('Daily Sale entry '!$AC$1:$AC$1501,$J2072+1))),0),N(INDEX('Daily Sale entry '!$S$1:$S$1501,$J2072-1499))-'Opening Balance'!$B$15*(N(INDEX('Daily Sale entry '!$S$1:$S$1501,$J2072-1499))-TRUNC(N(INDEX('Daily Sale entry '!$S$1:$S$1501,$J2072-1499))))))</f>
        <v/>
      </c>
      <c r="G2072" s="6">
        <f>IF($J2072="","",IF($J2072&lt;=1500,N(INDEX('Daily Sale entry '!$AD$1:$AD$1501,$J2072+1)),0))</f>
        <v/>
      </c>
      <c r="H2072" s="6">
        <f>IF($J2072="","",ROUND('Opening Balance'!$B$4+SUM($F$2:F2072)-SUM($G$2:G2072),2))</f>
        <v/>
      </c>
      <c r="J2072" s="21">
        <f>IFERROR(MATCH(ROW()-1,$L$2:$L$3001,0),"")</f>
        <v/>
      </c>
      <c r="K2072" s="34">
        <f>IF(AND('Daily Sale entry '!Q572="Collection 收款",'Daily Sale entry '!R572="Cheque 支票",'Daily Sale entry '!V572&lt;&gt;""),'Daily Sale entry '!V572+ROW()/10000000,"")</f>
        <v/>
      </c>
      <c r="L2072" s="21">
        <f>IF(K2072="","",COUNTIF($K$2:$K$3001,"&lt;"&amp;K2072)+1)</f>
        <v/>
      </c>
    </row>
    <row r="2073">
      <c r="A2073" s="5">
        <f>IF($J2073="","",IF($J2073&lt;=1500,INDEX('Daily Sale entry '!$X$1:$X$1501,$J2073+1),INDEX('Daily Sale entry '!$V$1:$V$1501,$J2073-1499)))</f>
        <v/>
      </c>
      <c r="B2073">
        <f>IF($J2073="","",IF($J2073&lt;=1500,INDEX('Daily Sale entry '!$Y$1:$Y$1501,$J2073+1)&amp;"","Buyer cheque banked 买家支票存入"&amp;IF(INDEX('Daily Sale entry '!$U$1:$U$1501,$J2073-1499)="","", " - "&amp;INDEX('Daily Sale entry '!$U$1:$U$1501,$J2073-1499))))</f>
        <v/>
      </c>
      <c r="C2073">
        <f>IF($J2073="","",IF($J2073&lt;=1500,INDEX('Daily Sale entry '!$Z$1:$Z$1501,$J2073+1)&amp;"","Cheque deposit 支票存入 (buyer 买家)"))</f>
        <v/>
      </c>
      <c r="D2073">
        <f>IF($J2073="","",IF($J2073&lt;=1500,INDEX('Daily Sale entry '!$AA$1:$AA$1501,$J2073+1)&amp;"",INDEX('Daily Sale entry '!$P$1:$P$1501,$J2073-1499)&amp;""))</f>
        <v/>
      </c>
      <c r="E2073">
        <f>IF($J2073="","",IF($J2073&lt;=1500,IF(N(INDEX('Daily Sale entry '!$AB$1:$AB$1501,$J2073+1))=0,"",INDEX('Daily Sale entry '!$AB$1:$AB$1501,$J2073+1)),1))</f>
        <v/>
      </c>
      <c r="F2073" s="6">
        <f>IF($J2073="","",IF($J2073&lt;=1500,N(INDEX('Daily Sale entry '!$AC$1:$AC$1501,$J2073+1))-IF(AND('Opening Balance'!$B$15=1,INDEX('Daily Sale entry '!$Z$1:$Z$1501,$J2073+1)="Online collection 网上收款",INDEX('Daily Sale entry '!$AA$1:$AA$1501,$J2073+1)&lt;&gt;""),N(INDEX('Daily Sale entry '!$AC$1:$AC$1501,$J2073+1))-TRUNC(N(INDEX('Daily Sale entry '!$AC$1:$AC$1501,$J2073+1))),0),N(INDEX('Daily Sale entry '!$S$1:$S$1501,$J2073-1499))-'Opening Balance'!$B$15*(N(INDEX('Daily Sale entry '!$S$1:$S$1501,$J2073-1499))-TRUNC(N(INDEX('Daily Sale entry '!$S$1:$S$1501,$J2073-1499))))))</f>
        <v/>
      </c>
      <c r="G2073" s="6">
        <f>IF($J2073="","",IF($J2073&lt;=1500,N(INDEX('Daily Sale entry '!$AD$1:$AD$1501,$J2073+1)),0))</f>
        <v/>
      </c>
      <c r="H2073" s="6">
        <f>IF($J2073="","",ROUND('Opening Balance'!$B$4+SUM($F$2:F2073)-SUM($G$2:G2073),2))</f>
        <v/>
      </c>
      <c r="J2073" s="21">
        <f>IFERROR(MATCH(ROW()-1,$L$2:$L$3001,0),"")</f>
        <v/>
      </c>
      <c r="K2073" s="34">
        <f>IF(AND('Daily Sale entry '!Q573="Collection 收款",'Daily Sale entry '!R573="Cheque 支票",'Daily Sale entry '!V573&lt;&gt;""),'Daily Sale entry '!V573+ROW()/10000000,"")</f>
        <v/>
      </c>
      <c r="L2073" s="21">
        <f>IF(K2073="","",COUNTIF($K$2:$K$3001,"&lt;"&amp;K2073)+1)</f>
        <v/>
      </c>
    </row>
    <row r="2074">
      <c r="A2074" s="5">
        <f>IF($J2074="","",IF($J2074&lt;=1500,INDEX('Daily Sale entry '!$X$1:$X$1501,$J2074+1),INDEX('Daily Sale entry '!$V$1:$V$1501,$J2074-1499)))</f>
        <v/>
      </c>
      <c r="B2074">
        <f>IF($J2074="","",IF($J2074&lt;=1500,INDEX('Daily Sale entry '!$Y$1:$Y$1501,$J2074+1)&amp;"","Buyer cheque banked 买家支票存入"&amp;IF(INDEX('Daily Sale entry '!$U$1:$U$1501,$J2074-1499)="","", " - "&amp;INDEX('Daily Sale entry '!$U$1:$U$1501,$J2074-1499))))</f>
        <v/>
      </c>
      <c r="C2074">
        <f>IF($J2074="","",IF($J2074&lt;=1500,INDEX('Daily Sale entry '!$Z$1:$Z$1501,$J2074+1)&amp;"","Cheque deposit 支票存入 (buyer 买家)"))</f>
        <v/>
      </c>
      <c r="D2074">
        <f>IF($J2074="","",IF($J2074&lt;=1500,INDEX('Daily Sale entry '!$AA$1:$AA$1501,$J2074+1)&amp;"",INDEX('Daily Sale entry '!$P$1:$P$1501,$J2074-1499)&amp;""))</f>
        <v/>
      </c>
      <c r="E2074">
        <f>IF($J2074="","",IF($J2074&lt;=1500,IF(N(INDEX('Daily Sale entry '!$AB$1:$AB$1501,$J2074+1))=0,"",INDEX('Daily Sale entry '!$AB$1:$AB$1501,$J2074+1)),1))</f>
        <v/>
      </c>
      <c r="F2074" s="6">
        <f>IF($J2074="","",IF($J2074&lt;=1500,N(INDEX('Daily Sale entry '!$AC$1:$AC$1501,$J2074+1))-IF(AND('Opening Balance'!$B$15=1,INDEX('Daily Sale entry '!$Z$1:$Z$1501,$J2074+1)="Online collection 网上收款",INDEX('Daily Sale entry '!$AA$1:$AA$1501,$J2074+1)&lt;&gt;""),N(INDEX('Daily Sale entry '!$AC$1:$AC$1501,$J2074+1))-TRUNC(N(INDEX('Daily Sale entry '!$AC$1:$AC$1501,$J2074+1))),0),N(INDEX('Daily Sale entry '!$S$1:$S$1501,$J2074-1499))-'Opening Balance'!$B$15*(N(INDEX('Daily Sale entry '!$S$1:$S$1501,$J2074-1499))-TRUNC(N(INDEX('Daily Sale entry '!$S$1:$S$1501,$J2074-1499))))))</f>
        <v/>
      </c>
      <c r="G2074" s="6">
        <f>IF($J2074="","",IF($J2074&lt;=1500,N(INDEX('Daily Sale entry '!$AD$1:$AD$1501,$J2074+1)),0))</f>
        <v/>
      </c>
      <c r="H2074" s="6">
        <f>IF($J2074="","",ROUND('Opening Balance'!$B$4+SUM($F$2:F2074)-SUM($G$2:G2074),2))</f>
        <v/>
      </c>
      <c r="J2074" s="21">
        <f>IFERROR(MATCH(ROW()-1,$L$2:$L$3001,0),"")</f>
        <v/>
      </c>
      <c r="K2074" s="34">
        <f>IF(AND('Daily Sale entry '!Q574="Collection 收款",'Daily Sale entry '!R574="Cheque 支票",'Daily Sale entry '!V574&lt;&gt;""),'Daily Sale entry '!V574+ROW()/10000000,"")</f>
        <v/>
      </c>
      <c r="L2074" s="21">
        <f>IF(K2074="","",COUNTIF($K$2:$K$3001,"&lt;"&amp;K2074)+1)</f>
        <v/>
      </c>
    </row>
    <row r="2075">
      <c r="A2075" s="5">
        <f>IF($J2075="","",IF($J2075&lt;=1500,INDEX('Daily Sale entry '!$X$1:$X$1501,$J2075+1),INDEX('Daily Sale entry '!$V$1:$V$1501,$J2075-1499)))</f>
        <v/>
      </c>
      <c r="B2075">
        <f>IF($J2075="","",IF($J2075&lt;=1500,INDEX('Daily Sale entry '!$Y$1:$Y$1501,$J2075+1)&amp;"","Buyer cheque banked 买家支票存入"&amp;IF(INDEX('Daily Sale entry '!$U$1:$U$1501,$J2075-1499)="","", " - "&amp;INDEX('Daily Sale entry '!$U$1:$U$1501,$J2075-1499))))</f>
        <v/>
      </c>
      <c r="C2075">
        <f>IF($J2075="","",IF($J2075&lt;=1500,INDEX('Daily Sale entry '!$Z$1:$Z$1501,$J2075+1)&amp;"","Cheque deposit 支票存入 (buyer 买家)"))</f>
        <v/>
      </c>
      <c r="D2075">
        <f>IF($J2075="","",IF($J2075&lt;=1500,INDEX('Daily Sale entry '!$AA$1:$AA$1501,$J2075+1)&amp;"",INDEX('Daily Sale entry '!$P$1:$P$1501,$J2075-1499)&amp;""))</f>
        <v/>
      </c>
      <c r="E2075">
        <f>IF($J2075="","",IF($J2075&lt;=1500,IF(N(INDEX('Daily Sale entry '!$AB$1:$AB$1501,$J2075+1))=0,"",INDEX('Daily Sale entry '!$AB$1:$AB$1501,$J2075+1)),1))</f>
        <v/>
      </c>
      <c r="F2075" s="6">
        <f>IF($J2075="","",IF($J2075&lt;=1500,N(INDEX('Daily Sale entry '!$AC$1:$AC$1501,$J2075+1))-IF(AND('Opening Balance'!$B$15=1,INDEX('Daily Sale entry '!$Z$1:$Z$1501,$J2075+1)="Online collection 网上收款",INDEX('Daily Sale entry '!$AA$1:$AA$1501,$J2075+1)&lt;&gt;""),N(INDEX('Daily Sale entry '!$AC$1:$AC$1501,$J2075+1))-TRUNC(N(INDEX('Daily Sale entry '!$AC$1:$AC$1501,$J2075+1))),0),N(INDEX('Daily Sale entry '!$S$1:$S$1501,$J2075-1499))-'Opening Balance'!$B$15*(N(INDEX('Daily Sale entry '!$S$1:$S$1501,$J2075-1499))-TRUNC(N(INDEX('Daily Sale entry '!$S$1:$S$1501,$J2075-1499))))))</f>
        <v/>
      </c>
      <c r="G2075" s="6">
        <f>IF($J2075="","",IF($J2075&lt;=1500,N(INDEX('Daily Sale entry '!$AD$1:$AD$1501,$J2075+1)),0))</f>
        <v/>
      </c>
      <c r="H2075" s="6">
        <f>IF($J2075="","",ROUND('Opening Balance'!$B$4+SUM($F$2:F2075)-SUM($G$2:G2075),2))</f>
        <v/>
      </c>
      <c r="J2075" s="21">
        <f>IFERROR(MATCH(ROW()-1,$L$2:$L$3001,0),"")</f>
        <v/>
      </c>
      <c r="K2075" s="34">
        <f>IF(AND('Daily Sale entry '!Q575="Collection 收款",'Daily Sale entry '!R575="Cheque 支票",'Daily Sale entry '!V575&lt;&gt;""),'Daily Sale entry '!V575+ROW()/10000000,"")</f>
        <v/>
      </c>
      <c r="L2075" s="21">
        <f>IF(K2075="","",COUNTIF($K$2:$K$3001,"&lt;"&amp;K2075)+1)</f>
        <v/>
      </c>
    </row>
    <row r="2076">
      <c r="A2076" s="5">
        <f>IF($J2076="","",IF($J2076&lt;=1500,INDEX('Daily Sale entry '!$X$1:$X$1501,$J2076+1),INDEX('Daily Sale entry '!$V$1:$V$1501,$J2076-1499)))</f>
        <v/>
      </c>
      <c r="B2076">
        <f>IF($J2076="","",IF($J2076&lt;=1500,INDEX('Daily Sale entry '!$Y$1:$Y$1501,$J2076+1)&amp;"","Buyer cheque banked 买家支票存入"&amp;IF(INDEX('Daily Sale entry '!$U$1:$U$1501,$J2076-1499)="","", " - "&amp;INDEX('Daily Sale entry '!$U$1:$U$1501,$J2076-1499))))</f>
        <v/>
      </c>
      <c r="C2076">
        <f>IF($J2076="","",IF($J2076&lt;=1500,INDEX('Daily Sale entry '!$Z$1:$Z$1501,$J2076+1)&amp;"","Cheque deposit 支票存入 (buyer 买家)"))</f>
        <v/>
      </c>
      <c r="D2076">
        <f>IF($J2076="","",IF($J2076&lt;=1500,INDEX('Daily Sale entry '!$AA$1:$AA$1501,$J2076+1)&amp;"",INDEX('Daily Sale entry '!$P$1:$P$1501,$J2076-1499)&amp;""))</f>
        <v/>
      </c>
      <c r="E2076">
        <f>IF($J2076="","",IF($J2076&lt;=1500,IF(N(INDEX('Daily Sale entry '!$AB$1:$AB$1501,$J2076+1))=0,"",INDEX('Daily Sale entry '!$AB$1:$AB$1501,$J2076+1)),1))</f>
        <v/>
      </c>
      <c r="F2076" s="6">
        <f>IF($J2076="","",IF($J2076&lt;=1500,N(INDEX('Daily Sale entry '!$AC$1:$AC$1501,$J2076+1))-IF(AND('Opening Balance'!$B$15=1,INDEX('Daily Sale entry '!$Z$1:$Z$1501,$J2076+1)="Online collection 网上收款",INDEX('Daily Sale entry '!$AA$1:$AA$1501,$J2076+1)&lt;&gt;""),N(INDEX('Daily Sale entry '!$AC$1:$AC$1501,$J2076+1))-TRUNC(N(INDEX('Daily Sale entry '!$AC$1:$AC$1501,$J2076+1))),0),N(INDEX('Daily Sale entry '!$S$1:$S$1501,$J2076-1499))-'Opening Balance'!$B$15*(N(INDEX('Daily Sale entry '!$S$1:$S$1501,$J2076-1499))-TRUNC(N(INDEX('Daily Sale entry '!$S$1:$S$1501,$J2076-1499))))))</f>
        <v/>
      </c>
      <c r="G2076" s="6">
        <f>IF($J2076="","",IF($J2076&lt;=1500,N(INDEX('Daily Sale entry '!$AD$1:$AD$1501,$J2076+1)),0))</f>
        <v/>
      </c>
      <c r="H2076" s="6">
        <f>IF($J2076="","",ROUND('Opening Balance'!$B$4+SUM($F$2:F2076)-SUM($G$2:G2076),2))</f>
        <v/>
      </c>
      <c r="J2076" s="21">
        <f>IFERROR(MATCH(ROW()-1,$L$2:$L$3001,0),"")</f>
        <v/>
      </c>
      <c r="K2076" s="34">
        <f>IF(AND('Daily Sale entry '!Q576="Collection 收款",'Daily Sale entry '!R576="Cheque 支票",'Daily Sale entry '!V576&lt;&gt;""),'Daily Sale entry '!V576+ROW()/10000000,"")</f>
        <v/>
      </c>
      <c r="L2076" s="21">
        <f>IF(K2076="","",COUNTIF($K$2:$K$3001,"&lt;"&amp;K2076)+1)</f>
        <v/>
      </c>
    </row>
    <row r="2077">
      <c r="A2077" s="5">
        <f>IF($J2077="","",IF($J2077&lt;=1500,INDEX('Daily Sale entry '!$X$1:$X$1501,$J2077+1),INDEX('Daily Sale entry '!$V$1:$V$1501,$J2077-1499)))</f>
        <v/>
      </c>
      <c r="B2077">
        <f>IF($J2077="","",IF($J2077&lt;=1500,INDEX('Daily Sale entry '!$Y$1:$Y$1501,$J2077+1)&amp;"","Buyer cheque banked 买家支票存入"&amp;IF(INDEX('Daily Sale entry '!$U$1:$U$1501,$J2077-1499)="","", " - "&amp;INDEX('Daily Sale entry '!$U$1:$U$1501,$J2077-1499))))</f>
        <v/>
      </c>
      <c r="C2077">
        <f>IF($J2077="","",IF($J2077&lt;=1500,INDEX('Daily Sale entry '!$Z$1:$Z$1501,$J2077+1)&amp;"","Cheque deposit 支票存入 (buyer 买家)"))</f>
        <v/>
      </c>
      <c r="D2077">
        <f>IF($J2077="","",IF($J2077&lt;=1500,INDEX('Daily Sale entry '!$AA$1:$AA$1501,$J2077+1)&amp;"",INDEX('Daily Sale entry '!$P$1:$P$1501,$J2077-1499)&amp;""))</f>
        <v/>
      </c>
      <c r="E2077">
        <f>IF($J2077="","",IF($J2077&lt;=1500,IF(N(INDEX('Daily Sale entry '!$AB$1:$AB$1501,$J2077+1))=0,"",INDEX('Daily Sale entry '!$AB$1:$AB$1501,$J2077+1)),1))</f>
        <v/>
      </c>
      <c r="F2077" s="6">
        <f>IF($J2077="","",IF($J2077&lt;=1500,N(INDEX('Daily Sale entry '!$AC$1:$AC$1501,$J2077+1))-IF(AND('Opening Balance'!$B$15=1,INDEX('Daily Sale entry '!$Z$1:$Z$1501,$J2077+1)="Online collection 网上收款",INDEX('Daily Sale entry '!$AA$1:$AA$1501,$J2077+1)&lt;&gt;""),N(INDEX('Daily Sale entry '!$AC$1:$AC$1501,$J2077+1))-TRUNC(N(INDEX('Daily Sale entry '!$AC$1:$AC$1501,$J2077+1))),0),N(INDEX('Daily Sale entry '!$S$1:$S$1501,$J2077-1499))-'Opening Balance'!$B$15*(N(INDEX('Daily Sale entry '!$S$1:$S$1501,$J2077-1499))-TRUNC(N(INDEX('Daily Sale entry '!$S$1:$S$1501,$J2077-1499))))))</f>
        <v/>
      </c>
      <c r="G2077" s="6">
        <f>IF($J2077="","",IF($J2077&lt;=1500,N(INDEX('Daily Sale entry '!$AD$1:$AD$1501,$J2077+1)),0))</f>
        <v/>
      </c>
      <c r="H2077" s="6">
        <f>IF($J2077="","",ROUND('Opening Balance'!$B$4+SUM($F$2:F2077)-SUM($G$2:G2077),2))</f>
        <v/>
      </c>
      <c r="J2077" s="21">
        <f>IFERROR(MATCH(ROW()-1,$L$2:$L$3001,0),"")</f>
        <v/>
      </c>
      <c r="K2077" s="34">
        <f>IF(AND('Daily Sale entry '!Q577="Collection 收款",'Daily Sale entry '!R577="Cheque 支票",'Daily Sale entry '!V577&lt;&gt;""),'Daily Sale entry '!V577+ROW()/10000000,"")</f>
        <v/>
      </c>
      <c r="L2077" s="21">
        <f>IF(K2077="","",COUNTIF($K$2:$K$3001,"&lt;"&amp;K2077)+1)</f>
        <v/>
      </c>
    </row>
    <row r="2078">
      <c r="A2078" s="5">
        <f>IF($J2078="","",IF($J2078&lt;=1500,INDEX('Daily Sale entry '!$X$1:$X$1501,$J2078+1),INDEX('Daily Sale entry '!$V$1:$V$1501,$J2078-1499)))</f>
        <v/>
      </c>
      <c r="B2078">
        <f>IF($J2078="","",IF($J2078&lt;=1500,INDEX('Daily Sale entry '!$Y$1:$Y$1501,$J2078+1)&amp;"","Buyer cheque banked 买家支票存入"&amp;IF(INDEX('Daily Sale entry '!$U$1:$U$1501,$J2078-1499)="","", " - "&amp;INDEX('Daily Sale entry '!$U$1:$U$1501,$J2078-1499))))</f>
        <v/>
      </c>
      <c r="C2078">
        <f>IF($J2078="","",IF($J2078&lt;=1500,INDEX('Daily Sale entry '!$Z$1:$Z$1501,$J2078+1)&amp;"","Cheque deposit 支票存入 (buyer 买家)"))</f>
        <v/>
      </c>
      <c r="D2078">
        <f>IF($J2078="","",IF($J2078&lt;=1500,INDEX('Daily Sale entry '!$AA$1:$AA$1501,$J2078+1)&amp;"",INDEX('Daily Sale entry '!$P$1:$P$1501,$J2078-1499)&amp;""))</f>
        <v/>
      </c>
      <c r="E2078">
        <f>IF($J2078="","",IF($J2078&lt;=1500,IF(N(INDEX('Daily Sale entry '!$AB$1:$AB$1501,$J2078+1))=0,"",INDEX('Daily Sale entry '!$AB$1:$AB$1501,$J2078+1)),1))</f>
        <v/>
      </c>
      <c r="F2078" s="6">
        <f>IF($J2078="","",IF($J2078&lt;=1500,N(INDEX('Daily Sale entry '!$AC$1:$AC$1501,$J2078+1))-IF(AND('Opening Balance'!$B$15=1,INDEX('Daily Sale entry '!$Z$1:$Z$1501,$J2078+1)="Online collection 网上收款",INDEX('Daily Sale entry '!$AA$1:$AA$1501,$J2078+1)&lt;&gt;""),N(INDEX('Daily Sale entry '!$AC$1:$AC$1501,$J2078+1))-TRUNC(N(INDEX('Daily Sale entry '!$AC$1:$AC$1501,$J2078+1))),0),N(INDEX('Daily Sale entry '!$S$1:$S$1501,$J2078-1499))-'Opening Balance'!$B$15*(N(INDEX('Daily Sale entry '!$S$1:$S$1501,$J2078-1499))-TRUNC(N(INDEX('Daily Sale entry '!$S$1:$S$1501,$J2078-1499))))))</f>
        <v/>
      </c>
      <c r="G2078" s="6">
        <f>IF($J2078="","",IF($J2078&lt;=1500,N(INDEX('Daily Sale entry '!$AD$1:$AD$1501,$J2078+1)),0))</f>
        <v/>
      </c>
      <c r="H2078" s="6">
        <f>IF($J2078="","",ROUND('Opening Balance'!$B$4+SUM($F$2:F2078)-SUM($G$2:G2078),2))</f>
        <v/>
      </c>
      <c r="J2078" s="21">
        <f>IFERROR(MATCH(ROW()-1,$L$2:$L$3001,0),"")</f>
        <v/>
      </c>
      <c r="K2078" s="34">
        <f>IF(AND('Daily Sale entry '!Q578="Collection 收款",'Daily Sale entry '!R578="Cheque 支票",'Daily Sale entry '!V578&lt;&gt;""),'Daily Sale entry '!V578+ROW()/10000000,"")</f>
        <v/>
      </c>
      <c r="L2078" s="21">
        <f>IF(K2078="","",COUNTIF($K$2:$K$3001,"&lt;"&amp;K2078)+1)</f>
        <v/>
      </c>
    </row>
    <row r="2079">
      <c r="A2079" s="5">
        <f>IF($J2079="","",IF($J2079&lt;=1500,INDEX('Daily Sale entry '!$X$1:$X$1501,$J2079+1),INDEX('Daily Sale entry '!$V$1:$V$1501,$J2079-1499)))</f>
        <v/>
      </c>
      <c r="B2079">
        <f>IF($J2079="","",IF($J2079&lt;=1500,INDEX('Daily Sale entry '!$Y$1:$Y$1501,$J2079+1)&amp;"","Buyer cheque banked 买家支票存入"&amp;IF(INDEX('Daily Sale entry '!$U$1:$U$1501,$J2079-1499)="","", " - "&amp;INDEX('Daily Sale entry '!$U$1:$U$1501,$J2079-1499))))</f>
        <v/>
      </c>
      <c r="C2079">
        <f>IF($J2079="","",IF($J2079&lt;=1500,INDEX('Daily Sale entry '!$Z$1:$Z$1501,$J2079+1)&amp;"","Cheque deposit 支票存入 (buyer 买家)"))</f>
        <v/>
      </c>
      <c r="D2079">
        <f>IF($J2079="","",IF($J2079&lt;=1500,INDEX('Daily Sale entry '!$AA$1:$AA$1501,$J2079+1)&amp;"",INDEX('Daily Sale entry '!$P$1:$P$1501,$J2079-1499)&amp;""))</f>
        <v/>
      </c>
      <c r="E2079">
        <f>IF($J2079="","",IF($J2079&lt;=1500,IF(N(INDEX('Daily Sale entry '!$AB$1:$AB$1501,$J2079+1))=0,"",INDEX('Daily Sale entry '!$AB$1:$AB$1501,$J2079+1)),1))</f>
        <v/>
      </c>
      <c r="F2079" s="6">
        <f>IF($J2079="","",IF($J2079&lt;=1500,N(INDEX('Daily Sale entry '!$AC$1:$AC$1501,$J2079+1))-IF(AND('Opening Balance'!$B$15=1,INDEX('Daily Sale entry '!$Z$1:$Z$1501,$J2079+1)="Online collection 网上收款",INDEX('Daily Sale entry '!$AA$1:$AA$1501,$J2079+1)&lt;&gt;""),N(INDEX('Daily Sale entry '!$AC$1:$AC$1501,$J2079+1))-TRUNC(N(INDEX('Daily Sale entry '!$AC$1:$AC$1501,$J2079+1))),0),N(INDEX('Daily Sale entry '!$S$1:$S$1501,$J2079-1499))-'Opening Balance'!$B$15*(N(INDEX('Daily Sale entry '!$S$1:$S$1501,$J2079-1499))-TRUNC(N(INDEX('Daily Sale entry '!$S$1:$S$1501,$J2079-1499))))))</f>
        <v/>
      </c>
      <c r="G2079" s="6">
        <f>IF($J2079="","",IF($J2079&lt;=1500,N(INDEX('Daily Sale entry '!$AD$1:$AD$1501,$J2079+1)),0))</f>
        <v/>
      </c>
      <c r="H2079" s="6">
        <f>IF($J2079="","",ROUND('Opening Balance'!$B$4+SUM($F$2:F2079)-SUM($G$2:G2079),2))</f>
        <v/>
      </c>
      <c r="J2079" s="21">
        <f>IFERROR(MATCH(ROW()-1,$L$2:$L$3001,0),"")</f>
        <v/>
      </c>
      <c r="K2079" s="34">
        <f>IF(AND('Daily Sale entry '!Q579="Collection 收款",'Daily Sale entry '!R579="Cheque 支票",'Daily Sale entry '!V579&lt;&gt;""),'Daily Sale entry '!V579+ROW()/10000000,"")</f>
        <v/>
      </c>
      <c r="L2079" s="21">
        <f>IF(K2079="","",COUNTIF($K$2:$K$3001,"&lt;"&amp;K2079)+1)</f>
        <v/>
      </c>
    </row>
    <row r="2080">
      <c r="A2080" s="5">
        <f>IF($J2080="","",IF($J2080&lt;=1500,INDEX('Daily Sale entry '!$X$1:$X$1501,$J2080+1),INDEX('Daily Sale entry '!$V$1:$V$1501,$J2080-1499)))</f>
        <v/>
      </c>
      <c r="B2080">
        <f>IF($J2080="","",IF($J2080&lt;=1500,INDEX('Daily Sale entry '!$Y$1:$Y$1501,$J2080+1)&amp;"","Buyer cheque banked 买家支票存入"&amp;IF(INDEX('Daily Sale entry '!$U$1:$U$1501,$J2080-1499)="","", " - "&amp;INDEX('Daily Sale entry '!$U$1:$U$1501,$J2080-1499))))</f>
        <v/>
      </c>
      <c r="C2080">
        <f>IF($J2080="","",IF($J2080&lt;=1500,INDEX('Daily Sale entry '!$Z$1:$Z$1501,$J2080+1)&amp;"","Cheque deposit 支票存入 (buyer 买家)"))</f>
        <v/>
      </c>
      <c r="D2080">
        <f>IF($J2080="","",IF($J2080&lt;=1500,INDEX('Daily Sale entry '!$AA$1:$AA$1501,$J2080+1)&amp;"",INDEX('Daily Sale entry '!$P$1:$P$1501,$J2080-1499)&amp;""))</f>
        <v/>
      </c>
      <c r="E2080">
        <f>IF($J2080="","",IF($J2080&lt;=1500,IF(N(INDEX('Daily Sale entry '!$AB$1:$AB$1501,$J2080+1))=0,"",INDEX('Daily Sale entry '!$AB$1:$AB$1501,$J2080+1)),1))</f>
        <v/>
      </c>
      <c r="F2080" s="6">
        <f>IF($J2080="","",IF($J2080&lt;=1500,N(INDEX('Daily Sale entry '!$AC$1:$AC$1501,$J2080+1))-IF(AND('Opening Balance'!$B$15=1,INDEX('Daily Sale entry '!$Z$1:$Z$1501,$J2080+1)="Online collection 网上收款",INDEX('Daily Sale entry '!$AA$1:$AA$1501,$J2080+1)&lt;&gt;""),N(INDEX('Daily Sale entry '!$AC$1:$AC$1501,$J2080+1))-TRUNC(N(INDEX('Daily Sale entry '!$AC$1:$AC$1501,$J2080+1))),0),N(INDEX('Daily Sale entry '!$S$1:$S$1501,$J2080-1499))-'Opening Balance'!$B$15*(N(INDEX('Daily Sale entry '!$S$1:$S$1501,$J2080-1499))-TRUNC(N(INDEX('Daily Sale entry '!$S$1:$S$1501,$J2080-1499))))))</f>
        <v/>
      </c>
      <c r="G2080" s="6">
        <f>IF($J2080="","",IF($J2080&lt;=1500,N(INDEX('Daily Sale entry '!$AD$1:$AD$1501,$J2080+1)),0))</f>
        <v/>
      </c>
      <c r="H2080" s="6">
        <f>IF($J2080="","",ROUND('Opening Balance'!$B$4+SUM($F$2:F2080)-SUM($G$2:G2080),2))</f>
        <v/>
      </c>
      <c r="J2080" s="21">
        <f>IFERROR(MATCH(ROW()-1,$L$2:$L$3001,0),"")</f>
        <v/>
      </c>
      <c r="K2080" s="34">
        <f>IF(AND('Daily Sale entry '!Q580="Collection 收款",'Daily Sale entry '!R580="Cheque 支票",'Daily Sale entry '!V580&lt;&gt;""),'Daily Sale entry '!V580+ROW()/10000000,"")</f>
        <v/>
      </c>
      <c r="L2080" s="21">
        <f>IF(K2080="","",COUNTIF($K$2:$K$3001,"&lt;"&amp;K2080)+1)</f>
        <v/>
      </c>
    </row>
    <row r="2081">
      <c r="A2081" s="5">
        <f>IF($J2081="","",IF($J2081&lt;=1500,INDEX('Daily Sale entry '!$X$1:$X$1501,$J2081+1),INDEX('Daily Sale entry '!$V$1:$V$1501,$J2081-1499)))</f>
        <v/>
      </c>
      <c r="B2081">
        <f>IF($J2081="","",IF($J2081&lt;=1500,INDEX('Daily Sale entry '!$Y$1:$Y$1501,$J2081+1)&amp;"","Buyer cheque banked 买家支票存入"&amp;IF(INDEX('Daily Sale entry '!$U$1:$U$1501,$J2081-1499)="","", " - "&amp;INDEX('Daily Sale entry '!$U$1:$U$1501,$J2081-1499))))</f>
        <v/>
      </c>
      <c r="C2081">
        <f>IF($J2081="","",IF($J2081&lt;=1500,INDEX('Daily Sale entry '!$Z$1:$Z$1501,$J2081+1)&amp;"","Cheque deposit 支票存入 (buyer 买家)"))</f>
        <v/>
      </c>
      <c r="D2081">
        <f>IF($J2081="","",IF($J2081&lt;=1500,INDEX('Daily Sale entry '!$AA$1:$AA$1501,$J2081+1)&amp;"",INDEX('Daily Sale entry '!$P$1:$P$1501,$J2081-1499)&amp;""))</f>
        <v/>
      </c>
      <c r="E2081">
        <f>IF($J2081="","",IF($J2081&lt;=1500,IF(N(INDEX('Daily Sale entry '!$AB$1:$AB$1501,$J2081+1))=0,"",INDEX('Daily Sale entry '!$AB$1:$AB$1501,$J2081+1)),1))</f>
        <v/>
      </c>
      <c r="F2081" s="6">
        <f>IF($J2081="","",IF($J2081&lt;=1500,N(INDEX('Daily Sale entry '!$AC$1:$AC$1501,$J2081+1))-IF(AND('Opening Balance'!$B$15=1,INDEX('Daily Sale entry '!$Z$1:$Z$1501,$J2081+1)="Online collection 网上收款",INDEX('Daily Sale entry '!$AA$1:$AA$1501,$J2081+1)&lt;&gt;""),N(INDEX('Daily Sale entry '!$AC$1:$AC$1501,$J2081+1))-TRUNC(N(INDEX('Daily Sale entry '!$AC$1:$AC$1501,$J2081+1))),0),N(INDEX('Daily Sale entry '!$S$1:$S$1501,$J2081-1499))-'Opening Balance'!$B$15*(N(INDEX('Daily Sale entry '!$S$1:$S$1501,$J2081-1499))-TRUNC(N(INDEX('Daily Sale entry '!$S$1:$S$1501,$J2081-1499))))))</f>
        <v/>
      </c>
      <c r="G2081" s="6">
        <f>IF($J2081="","",IF($J2081&lt;=1500,N(INDEX('Daily Sale entry '!$AD$1:$AD$1501,$J2081+1)),0))</f>
        <v/>
      </c>
      <c r="H2081" s="6">
        <f>IF($J2081="","",ROUND('Opening Balance'!$B$4+SUM($F$2:F2081)-SUM($G$2:G2081),2))</f>
        <v/>
      </c>
      <c r="J2081" s="21">
        <f>IFERROR(MATCH(ROW()-1,$L$2:$L$3001,0),"")</f>
        <v/>
      </c>
      <c r="K2081" s="34">
        <f>IF(AND('Daily Sale entry '!Q581="Collection 收款",'Daily Sale entry '!R581="Cheque 支票",'Daily Sale entry '!V581&lt;&gt;""),'Daily Sale entry '!V581+ROW()/10000000,"")</f>
        <v/>
      </c>
      <c r="L2081" s="21">
        <f>IF(K2081="","",COUNTIF($K$2:$K$3001,"&lt;"&amp;K2081)+1)</f>
        <v/>
      </c>
    </row>
    <row r="2082">
      <c r="A2082" s="5">
        <f>IF($J2082="","",IF($J2082&lt;=1500,INDEX('Daily Sale entry '!$X$1:$X$1501,$J2082+1),INDEX('Daily Sale entry '!$V$1:$V$1501,$J2082-1499)))</f>
        <v/>
      </c>
      <c r="B2082">
        <f>IF($J2082="","",IF($J2082&lt;=1500,INDEX('Daily Sale entry '!$Y$1:$Y$1501,$J2082+1)&amp;"","Buyer cheque banked 买家支票存入"&amp;IF(INDEX('Daily Sale entry '!$U$1:$U$1501,$J2082-1499)="","", " - "&amp;INDEX('Daily Sale entry '!$U$1:$U$1501,$J2082-1499))))</f>
        <v/>
      </c>
      <c r="C2082">
        <f>IF($J2082="","",IF($J2082&lt;=1500,INDEX('Daily Sale entry '!$Z$1:$Z$1501,$J2082+1)&amp;"","Cheque deposit 支票存入 (buyer 买家)"))</f>
        <v/>
      </c>
      <c r="D2082">
        <f>IF($J2082="","",IF($J2082&lt;=1500,INDEX('Daily Sale entry '!$AA$1:$AA$1501,$J2082+1)&amp;"",INDEX('Daily Sale entry '!$P$1:$P$1501,$J2082-1499)&amp;""))</f>
        <v/>
      </c>
      <c r="E2082">
        <f>IF($J2082="","",IF($J2082&lt;=1500,IF(N(INDEX('Daily Sale entry '!$AB$1:$AB$1501,$J2082+1))=0,"",INDEX('Daily Sale entry '!$AB$1:$AB$1501,$J2082+1)),1))</f>
        <v/>
      </c>
      <c r="F2082" s="6">
        <f>IF($J2082="","",IF($J2082&lt;=1500,N(INDEX('Daily Sale entry '!$AC$1:$AC$1501,$J2082+1))-IF(AND('Opening Balance'!$B$15=1,INDEX('Daily Sale entry '!$Z$1:$Z$1501,$J2082+1)="Online collection 网上收款",INDEX('Daily Sale entry '!$AA$1:$AA$1501,$J2082+1)&lt;&gt;""),N(INDEX('Daily Sale entry '!$AC$1:$AC$1501,$J2082+1))-TRUNC(N(INDEX('Daily Sale entry '!$AC$1:$AC$1501,$J2082+1))),0),N(INDEX('Daily Sale entry '!$S$1:$S$1501,$J2082-1499))-'Opening Balance'!$B$15*(N(INDEX('Daily Sale entry '!$S$1:$S$1501,$J2082-1499))-TRUNC(N(INDEX('Daily Sale entry '!$S$1:$S$1501,$J2082-1499))))))</f>
        <v/>
      </c>
      <c r="G2082" s="6">
        <f>IF($J2082="","",IF($J2082&lt;=1500,N(INDEX('Daily Sale entry '!$AD$1:$AD$1501,$J2082+1)),0))</f>
        <v/>
      </c>
      <c r="H2082" s="6">
        <f>IF($J2082="","",ROUND('Opening Balance'!$B$4+SUM($F$2:F2082)-SUM($G$2:G2082),2))</f>
        <v/>
      </c>
      <c r="J2082" s="21">
        <f>IFERROR(MATCH(ROW()-1,$L$2:$L$3001,0),"")</f>
        <v/>
      </c>
      <c r="K2082" s="34">
        <f>IF(AND('Daily Sale entry '!Q582="Collection 收款",'Daily Sale entry '!R582="Cheque 支票",'Daily Sale entry '!V582&lt;&gt;""),'Daily Sale entry '!V582+ROW()/10000000,"")</f>
        <v/>
      </c>
      <c r="L2082" s="21">
        <f>IF(K2082="","",COUNTIF($K$2:$K$3001,"&lt;"&amp;K2082)+1)</f>
        <v/>
      </c>
    </row>
    <row r="2083">
      <c r="A2083" s="5">
        <f>IF($J2083="","",IF($J2083&lt;=1500,INDEX('Daily Sale entry '!$X$1:$X$1501,$J2083+1),INDEX('Daily Sale entry '!$V$1:$V$1501,$J2083-1499)))</f>
        <v/>
      </c>
      <c r="B2083">
        <f>IF($J2083="","",IF($J2083&lt;=1500,INDEX('Daily Sale entry '!$Y$1:$Y$1501,$J2083+1)&amp;"","Buyer cheque banked 买家支票存入"&amp;IF(INDEX('Daily Sale entry '!$U$1:$U$1501,$J2083-1499)="","", " - "&amp;INDEX('Daily Sale entry '!$U$1:$U$1501,$J2083-1499))))</f>
        <v/>
      </c>
      <c r="C2083">
        <f>IF($J2083="","",IF($J2083&lt;=1500,INDEX('Daily Sale entry '!$Z$1:$Z$1501,$J2083+1)&amp;"","Cheque deposit 支票存入 (buyer 买家)"))</f>
        <v/>
      </c>
      <c r="D2083">
        <f>IF($J2083="","",IF($J2083&lt;=1500,INDEX('Daily Sale entry '!$AA$1:$AA$1501,$J2083+1)&amp;"",INDEX('Daily Sale entry '!$P$1:$P$1501,$J2083-1499)&amp;""))</f>
        <v/>
      </c>
      <c r="E2083">
        <f>IF($J2083="","",IF($J2083&lt;=1500,IF(N(INDEX('Daily Sale entry '!$AB$1:$AB$1501,$J2083+1))=0,"",INDEX('Daily Sale entry '!$AB$1:$AB$1501,$J2083+1)),1))</f>
        <v/>
      </c>
      <c r="F2083" s="6">
        <f>IF($J2083="","",IF($J2083&lt;=1500,N(INDEX('Daily Sale entry '!$AC$1:$AC$1501,$J2083+1))-IF(AND('Opening Balance'!$B$15=1,INDEX('Daily Sale entry '!$Z$1:$Z$1501,$J2083+1)="Online collection 网上收款",INDEX('Daily Sale entry '!$AA$1:$AA$1501,$J2083+1)&lt;&gt;""),N(INDEX('Daily Sale entry '!$AC$1:$AC$1501,$J2083+1))-TRUNC(N(INDEX('Daily Sale entry '!$AC$1:$AC$1501,$J2083+1))),0),N(INDEX('Daily Sale entry '!$S$1:$S$1501,$J2083-1499))-'Opening Balance'!$B$15*(N(INDEX('Daily Sale entry '!$S$1:$S$1501,$J2083-1499))-TRUNC(N(INDEX('Daily Sale entry '!$S$1:$S$1501,$J2083-1499))))))</f>
        <v/>
      </c>
      <c r="G2083" s="6">
        <f>IF($J2083="","",IF($J2083&lt;=1500,N(INDEX('Daily Sale entry '!$AD$1:$AD$1501,$J2083+1)),0))</f>
        <v/>
      </c>
      <c r="H2083" s="6">
        <f>IF($J2083="","",ROUND('Opening Balance'!$B$4+SUM($F$2:F2083)-SUM($G$2:G2083),2))</f>
        <v/>
      </c>
      <c r="J2083" s="21">
        <f>IFERROR(MATCH(ROW()-1,$L$2:$L$3001,0),"")</f>
        <v/>
      </c>
      <c r="K2083" s="34">
        <f>IF(AND('Daily Sale entry '!Q583="Collection 收款",'Daily Sale entry '!R583="Cheque 支票",'Daily Sale entry '!V583&lt;&gt;""),'Daily Sale entry '!V583+ROW()/10000000,"")</f>
        <v/>
      </c>
      <c r="L2083" s="21">
        <f>IF(K2083="","",COUNTIF($K$2:$K$3001,"&lt;"&amp;K2083)+1)</f>
        <v/>
      </c>
    </row>
    <row r="2084">
      <c r="A2084" s="5">
        <f>IF($J2084="","",IF($J2084&lt;=1500,INDEX('Daily Sale entry '!$X$1:$X$1501,$J2084+1),INDEX('Daily Sale entry '!$V$1:$V$1501,$J2084-1499)))</f>
        <v/>
      </c>
      <c r="B2084">
        <f>IF($J2084="","",IF($J2084&lt;=1500,INDEX('Daily Sale entry '!$Y$1:$Y$1501,$J2084+1)&amp;"","Buyer cheque banked 买家支票存入"&amp;IF(INDEX('Daily Sale entry '!$U$1:$U$1501,$J2084-1499)="","", " - "&amp;INDEX('Daily Sale entry '!$U$1:$U$1501,$J2084-1499))))</f>
        <v/>
      </c>
      <c r="C2084">
        <f>IF($J2084="","",IF($J2084&lt;=1500,INDEX('Daily Sale entry '!$Z$1:$Z$1501,$J2084+1)&amp;"","Cheque deposit 支票存入 (buyer 买家)"))</f>
        <v/>
      </c>
      <c r="D2084">
        <f>IF($J2084="","",IF($J2084&lt;=1500,INDEX('Daily Sale entry '!$AA$1:$AA$1501,$J2084+1)&amp;"",INDEX('Daily Sale entry '!$P$1:$P$1501,$J2084-1499)&amp;""))</f>
        <v/>
      </c>
      <c r="E2084">
        <f>IF($J2084="","",IF($J2084&lt;=1500,IF(N(INDEX('Daily Sale entry '!$AB$1:$AB$1501,$J2084+1))=0,"",INDEX('Daily Sale entry '!$AB$1:$AB$1501,$J2084+1)),1))</f>
        <v/>
      </c>
      <c r="F2084" s="6">
        <f>IF($J2084="","",IF($J2084&lt;=1500,N(INDEX('Daily Sale entry '!$AC$1:$AC$1501,$J2084+1))-IF(AND('Opening Balance'!$B$15=1,INDEX('Daily Sale entry '!$Z$1:$Z$1501,$J2084+1)="Online collection 网上收款",INDEX('Daily Sale entry '!$AA$1:$AA$1501,$J2084+1)&lt;&gt;""),N(INDEX('Daily Sale entry '!$AC$1:$AC$1501,$J2084+1))-TRUNC(N(INDEX('Daily Sale entry '!$AC$1:$AC$1501,$J2084+1))),0),N(INDEX('Daily Sale entry '!$S$1:$S$1501,$J2084-1499))-'Opening Balance'!$B$15*(N(INDEX('Daily Sale entry '!$S$1:$S$1501,$J2084-1499))-TRUNC(N(INDEX('Daily Sale entry '!$S$1:$S$1501,$J2084-1499))))))</f>
        <v/>
      </c>
      <c r="G2084" s="6">
        <f>IF($J2084="","",IF($J2084&lt;=1500,N(INDEX('Daily Sale entry '!$AD$1:$AD$1501,$J2084+1)),0))</f>
        <v/>
      </c>
      <c r="H2084" s="6">
        <f>IF($J2084="","",ROUND('Opening Balance'!$B$4+SUM($F$2:F2084)-SUM($G$2:G2084),2))</f>
        <v/>
      </c>
      <c r="J2084" s="21">
        <f>IFERROR(MATCH(ROW()-1,$L$2:$L$3001,0),"")</f>
        <v/>
      </c>
      <c r="K2084" s="34">
        <f>IF(AND('Daily Sale entry '!Q584="Collection 收款",'Daily Sale entry '!R584="Cheque 支票",'Daily Sale entry '!V584&lt;&gt;""),'Daily Sale entry '!V584+ROW()/10000000,"")</f>
        <v/>
      </c>
      <c r="L2084" s="21">
        <f>IF(K2084="","",COUNTIF($K$2:$K$3001,"&lt;"&amp;K2084)+1)</f>
        <v/>
      </c>
    </row>
    <row r="2085">
      <c r="A2085" s="5">
        <f>IF($J2085="","",IF($J2085&lt;=1500,INDEX('Daily Sale entry '!$X$1:$X$1501,$J2085+1),INDEX('Daily Sale entry '!$V$1:$V$1501,$J2085-1499)))</f>
        <v/>
      </c>
      <c r="B2085">
        <f>IF($J2085="","",IF($J2085&lt;=1500,INDEX('Daily Sale entry '!$Y$1:$Y$1501,$J2085+1)&amp;"","Buyer cheque banked 买家支票存入"&amp;IF(INDEX('Daily Sale entry '!$U$1:$U$1501,$J2085-1499)="","", " - "&amp;INDEX('Daily Sale entry '!$U$1:$U$1501,$J2085-1499))))</f>
        <v/>
      </c>
      <c r="C2085">
        <f>IF($J2085="","",IF($J2085&lt;=1500,INDEX('Daily Sale entry '!$Z$1:$Z$1501,$J2085+1)&amp;"","Cheque deposit 支票存入 (buyer 买家)"))</f>
        <v/>
      </c>
      <c r="D2085">
        <f>IF($J2085="","",IF($J2085&lt;=1500,INDEX('Daily Sale entry '!$AA$1:$AA$1501,$J2085+1)&amp;"",INDEX('Daily Sale entry '!$P$1:$P$1501,$J2085-1499)&amp;""))</f>
        <v/>
      </c>
      <c r="E2085">
        <f>IF($J2085="","",IF($J2085&lt;=1500,IF(N(INDEX('Daily Sale entry '!$AB$1:$AB$1501,$J2085+1))=0,"",INDEX('Daily Sale entry '!$AB$1:$AB$1501,$J2085+1)),1))</f>
        <v/>
      </c>
      <c r="F2085" s="6">
        <f>IF($J2085="","",IF($J2085&lt;=1500,N(INDEX('Daily Sale entry '!$AC$1:$AC$1501,$J2085+1))-IF(AND('Opening Balance'!$B$15=1,INDEX('Daily Sale entry '!$Z$1:$Z$1501,$J2085+1)="Online collection 网上收款",INDEX('Daily Sale entry '!$AA$1:$AA$1501,$J2085+1)&lt;&gt;""),N(INDEX('Daily Sale entry '!$AC$1:$AC$1501,$J2085+1))-TRUNC(N(INDEX('Daily Sale entry '!$AC$1:$AC$1501,$J2085+1))),0),N(INDEX('Daily Sale entry '!$S$1:$S$1501,$J2085-1499))-'Opening Balance'!$B$15*(N(INDEX('Daily Sale entry '!$S$1:$S$1501,$J2085-1499))-TRUNC(N(INDEX('Daily Sale entry '!$S$1:$S$1501,$J2085-1499))))))</f>
        <v/>
      </c>
      <c r="G2085" s="6">
        <f>IF($J2085="","",IF($J2085&lt;=1500,N(INDEX('Daily Sale entry '!$AD$1:$AD$1501,$J2085+1)),0))</f>
        <v/>
      </c>
      <c r="H2085" s="6">
        <f>IF($J2085="","",ROUND('Opening Balance'!$B$4+SUM($F$2:F2085)-SUM($G$2:G2085),2))</f>
        <v/>
      </c>
      <c r="J2085" s="21">
        <f>IFERROR(MATCH(ROW()-1,$L$2:$L$3001,0),"")</f>
        <v/>
      </c>
      <c r="K2085" s="34">
        <f>IF(AND('Daily Sale entry '!Q585="Collection 收款",'Daily Sale entry '!R585="Cheque 支票",'Daily Sale entry '!V585&lt;&gt;""),'Daily Sale entry '!V585+ROW()/10000000,"")</f>
        <v/>
      </c>
      <c r="L2085" s="21">
        <f>IF(K2085="","",COUNTIF($K$2:$K$3001,"&lt;"&amp;K2085)+1)</f>
        <v/>
      </c>
    </row>
    <row r="2086">
      <c r="A2086" s="5">
        <f>IF($J2086="","",IF($J2086&lt;=1500,INDEX('Daily Sale entry '!$X$1:$X$1501,$J2086+1),INDEX('Daily Sale entry '!$V$1:$V$1501,$J2086-1499)))</f>
        <v/>
      </c>
      <c r="B2086">
        <f>IF($J2086="","",IF($J2086&lt;=1500,INDEX('Daily Sale entry '!$Y$1:$Y$1501,$J2086+1)&amp;"","Buyer cheque banked 买家支票存入"&amp;IF(INDEX('Daily Sale entry '!$U$1:$U$1501,$J2086-1499)="","", " - "&amp;INDEX('Daily Sale entry '!$U$1:$U$1501,$J2086-1499))))</f>
        <v/>
      </c>
      <c r="C2086">
        <f>IF($J2086="","",IF($J2086&lt;=1500,INDEX('Daily Sale entry '!$Z$1:$Z$1501,$J2086+1)&amp;"","Cheque deposit 支票存入 (buyer 买家)"))</f>
        <v/>
      </c>
      <c r="D2086">
        <f>IF($J2086="","",IF($J2086&lt;=1500,INDEX('Daily Sale entry '!$AA$1:$AA$1501,$J2086+1)&amp;"",INDEX('Daily Sale entry '!$P$1:$P$1501,$J2086-1499)&amp;""))</f>
        <v/>
      </c>
      <c r="E2086">
        <f>IF($J2086="","",IF($J2086&lt;=1500,IF(N(INDEX('Daily Sale entry '!$AB$1:$AB$1501,$J2086+1))=0,"",INDEX('Daily Sale entry '!$AB$1:$AB$1501,$J2086+1)),1))</f>
        <v/>
      </c>
      <c r="F2086" s="6">
        <f>IF($J2086="","",IF($J2086&lt;=1500,N(INDEX('Daily Sale entry '!$AC$1:$AC$1501,$J2086+1))-IF(AND('Opening Balance'!$B$15=1,INDEX('Daily Sale entry '!$Z$1:$Z$1501,$J2086+1)="Online collection 网上收款",INDEX('Daily Sale entry '!$AA$1:$AA$1501,$J2086+1)&lt;&gt;""),N(INDEX('Daily Sale entry '!$AC$1:$AC$1501,$J2086+1))-TRUNC(N(INDEX('Daily Sale entry '!$AC$1:$AC$1501,$J2086+1))),0),N(INDEX('Daily Sale entry '!$S$1:$S$1501,$J2086-1499))-'Opening Balance'!$B$15*(N(INDEX('Daily Sale entry '!$S$1:$S$1501,$J2086-1499))-TRUNC(N(INDEX('Daily Sale entry '!$S$1:$S$1501,$J2086-1499))))))</f>
        <v/>
      </c>
      <c r="G2086" s="6">
        <f>IF($J2086="","",IF($J2086&lt;=1500,N(INDEX('Daily Sale entry '!$AD$1:$AD$1501,$J2086+1)),0))</f>
        <v/>
      </c>
      <c r="H2086" s="6">
        <f>IF($J2086="","",ROUND('Opening Balance'!$B$4+SUM($F$2:F2086)-SUM($G$2:G2086),2))</f>
        <v/>
      </c>
      <c r="J2086" s="21">
        <f>IFERROR(MATCH(ROW()-1,$L$2:$L$3001,0),"")</f>
        <v/>
      </c>
      <c r="K2086" s="34">
        <f>IF(AND('Daily Sale entry '!Q586="Collection 收款",'Daily Sale entry '!R586="Cheque 支票",'Daily Sale entry '!V586&lt;&gt;""),'Daily Sale entry '!V586+ROW()/10000000,"")</f>
        <v/>
      </c>
      <c r="L2086" s="21">
        <f>IF(K2086="","",COUNTIF($K$2:$K$3001,"&lt;"&amp;K2086)+1)</f>
        <v/>
      </c>
    </row>
    <row r="2087">
      <c r="A2087" s="5">
        <f>IF($J2087="","",IF($J2087&lt;=1500,INDEX('Daily Sale entry '!$X$1:$X$1501,$J2087+1),INDEX('Daily Sale entry '!$V$1:$V$1501,$J2087-1499)))</f>
        <v/>
      </c>
      <c r="B2087">
        <f>IF($J2087="","",IF($J2087&lt;=1500,INDEX('Daily Sale entry '!$Y$1:$Y$1501,$J2087+1)&amp;"","Buyer cheque banked 买家支票存入"&amp;IF(INDEX('Daily Sale entry '!$U$1:$U$1501,$J2087-1499)="","", " - "&amp;INDEX('Daily Sale entry '!$U$1:$U$1501,$J2087-1499))))</f>
        <v/>
      </c>
      <c r="C2087">
        <f>IF($J2087="","",IF($J2087&lt;=1500,INDEX('Daily Sale entry '!$Z$1:$Z$1501,$J2087+1)&amp;"","Cheque deposit 支票存入 (buyer 买家)"))</f>
        <v/>
      </c>
      <c r="D2087">
        <f>IF($J2087="","",IF($J2087&lt;=1500,INDEX('Daily Sale entry '!$AA$1:$AA$1501,$J2087+1)&amp;"",INDEX('Daily Sale entry '!$P$1:$P$1501,$J2087-1499)&amp;""))</f>
        <v/>
      </c>
      <c r="E2087">
        <f>IF($J2087="","",IF($J2087&lt;=1500,IF(N(INDEX('Daily Sale entry '!$AB$1:$AB$1501,$J2087+1))=0,"",INDEX('Daily Sale entry '!$AB$1:$AB$1501,$J2087+1)),1))</f>
        <v/>
      </c>
      <c r="F2087" s="6">
        <f>IF($J2087="","",IF($J2087&lt;=1500,N(INDEX('Daily Sale entry '!$AC$1:$AC$1501,$J2087+1))-IF(AND('Opening Balance'!$B$15=1,INDEX('Daily Sale entry '!$Z$1:$Z$1501,$J2087+1)="Online collection 网上收款",INDEX('Daily Sale entry '!$AA$1:$AA$1501,$J2087+1)&lt;&gt;""),N(INDEX('Daily Sale entry '!$AC$1:$AC$1501,$J2087+1))-TRUNC(N(INDEX('Daily Sale entry '!$AC$1:$AC$1501,$J2087+1))),0),N(INDEX('Daily Sale entry '!$S$1:$S$1501,$J2087-1499))-'Opening Balance'!$B$15*(N(INDEX('Daily Sale entry '!$S$1:$S$1501,$J2087-1499))-TRUNC(N(INDEX('Daily Sale entry '!$S$1:$S$1501,$J2087-1499))))))</f>
        <v/>
      </c>
      <c r="G2087" s="6">
        <f>IF($J2087="","",IF($J2087&lt;=1500,N(INDEX('Daily Sale entry '!$AD$1:$AD$1501,$J2087+1)),0))</f>
        <v/>
      </c>
      <c r="H2087" s="6">
        <f>IF($J2087="","",ROUND('Opening Balance'!$B$4+SUM($F$2:F2087)-SUM($G$2:G2087),2))</f>
        <v/>
      </c>
      <c r="J2087" s="21">
        <f>IFERROR(MATCH(ROW()-1,$L$2:$L$3001,0),"")</f>
        <v/>
      </c>
      <c r="K2087" s="34">
        <f>IF(AND('Daily Sale entry '!Q587="Collection 收款",'Daily Sale entry '!R587="Cheque 支票",'Daily Sale entry '!V587&lt;&gt;""),'Daily Sale entry '!V587+ROW()/10000000,"")</f>
        <v/>
      </c>
      <c r="L2087" s="21">
        <f>IF(K2087="","",COUNTIF($K$2:$K$3001,"&lt;"&amp;K2087)+1)</f>
        <v/>
      </c>
    </row>
    <row r="2088">
      <c r="A2088" s="5">
        <f>IF($J2088="","",IF($J2088&lt;=1500,INDEX('Daily Sale entry '!$X$1:$X$1501,$J2088+1),INDEX('Daily Sale entry '!$V$1:$V$1501,$J2088-1499)))</f>
        <v/>
      </c>
      <c r="B2088">
        <f>IF($J2088="","",IF($J2088&lt;=1500,INDEX('Daily Sale entry '!$Y$1:$Y$1501,$J2088+1)&amp;"","Buyer cheque banked 买家支票存入"&amp;IF(INDEX('Daily Sale entry '!$U$1:$U$1501,$J2088-1499)="","", " - "&amp;INDEX('Daily Sale entry '!$U$1:$U$1501,$J2088-1499))))</f>
        <v/>
      </c>
      <c r="C2088">
        <f>IF($J2088="","",IF($J2088&lt;=1500,INDEX('Daily Sale entry '!$Z$1:$Z$1501,$J2088+1)&amp;"","Cheque deposit 支票存入 (buyer 买家)"))</f>
        <v/>
      </c>
      <c r="D2088">
        <f>IF($J2088="","",IF($J2088&lt;=1500,INDEX('Daily Sale entry '!$AA$1:$AA$1501,$J2088+1)&amp;"",INDEX('Daily Sale entry '!$P$1:$P$1501,$J2088-1499)&amp;""))</f>
        <v/>
      </c>
      <c r="E2088">
        <f>IF($J2088="","",IF($J2088&lt;=1500,IF(N(INDEX('Daily Sale entry '!$AB$1:$AB$1501,$J2088+1))=0,"",INDEX('Daily Sale entry '!$AB$1:$AB$1501,$J2088+1)),1))</f>
        <v/>
      </c>
      <c r="F2088" s="6">
        <f>IF($J2088="","",IF($J2088&lt;=1500,N(INDEX('Daily Sale entry '!$AC$1:$AC$1501,$J2088+1))-IF(AND('Opening Balance'!$B$15=1,INDEX('Daily Sale entry '!$Z$1:$Z$1501,$J2088+1)="Online collection 网上收款",INDEX('Daily Sale entry '!$AA$1:$AA$1501,$J2088+1)&lt;&gt;""),N(INDEX('Daily Sale entry '!$AC$1:$AC$1501,$J2088+1))-TRUNC(N(INDEX('Daily Sale entry '!$AC$1:$AC$1501,$J2088+1))),0),N(INDEX('Daily Sale entry '!$S$1:$S$1501,$J2088-1499))-'Opening Balance'!$B$15*(N(INDEX('Daily Sale entry '!$S$1:$S$1501,$J2088-1499))-TRUNC(N(INDEX('Daily Sale entry '!$S$1:$S$1501,$J2088-1499))))))</f>
        <v/>
      </c>
      <c r="G2088" s="6">
        <f>IF($J2088="","",IF($J2088&lt;=1500,N(INDEX('Daily Sale entry '!$AD$1:$AD$1501,$J2088+1)),0))</f>
        <v/>
      </c>
      <c r="H2088" s="6">
        <f>IF($J2088="","",ROUND('Opening Balance'!$B$4+SUM($F$2:F2088)-SUM($G$2:G2088),2))</f>
        <v/>
      </c>
      <c r="J2088" s="21">
        <f>IFERROR(MATCH(ROW()-1,$L$2:$L$3001,0),"")</f>
        <v/>
      </c>
      <c r="K2088" s="34">
        <f>IF(AND('Daily Sale entry '!Q588="Collection 收款",'Daily Sale entry '!R588="Cheque 支票",'Daily Sale entry '!V588&lt;&gt;""),'Daily Sale entry '!V588+ROW()/10000000,"")</f>
        <v/>
      </c>
      <c r="L2088" s="21">
        <f>IF(K2088="","",COUNTIF($K$2:$K$3001,"&lt;"&amp;K2088)+1)</f>
        <v/>
      </c>
    </row>
    <row r="2089">
      <c r="A2089" s="5">
        <f>IF($J2089="","",IF($J2089&lt;=1500,INDEX('Daily Sale entry '!$X$1:$X$1501,$J2089+1),INDEX('Daily Sale entry '!$V$1:$V$1501,$J2089-1499)))</f>
        <v/>
      </c>
      <c r="B2089">
        <f>IF($J2089="","",IF($J2089&lt;=1500,INDEX('Daily Sale entry '!$Y$1:$Y$1501,$J2089+1)&amp;"","Buyer cheque banked 买家支票存入"&amp;IF(INDEX('Daily Sale entry '!$U$1:$U$1501,$J2089-1499)="","", " - "&amp;INDEX('Daily Sale entry '!$U$1:$U$1501,$J2089-1499))))</f>
        <v/>
      </c>
      <c r="C2089">
        <f>IF($J2089="","",IF($J2089&lt;=1500,INDEX('Daily Sale entry '!$Z$1:$Z$1501,$J2089+1)&amp;"","Cheque deposit 支票存入 (buyer 买家)"))</f>
        <v/>
      </c>
      <c r="D2089">
        <f>IF($J2089="","",IF($J2089&lt;=1500,INDEX('Daily Sale entry '!$AA$1:$AA$1501,$J2089+1)&amp;"",INDEX('Daily Sale entry '!$P$1:$P$1501,$J2089-1499)&amp;""))</f>
        <v/>
      </c>
      <c r="E2089">
        <f>IF($J2089="","",IF($J2089&lt;=1500,IF(N(INDEX('Daily Sale entry '!$AB$1:$AB$1501,$J2089+1))=0,"",INDEX('Daily Sale entry '!$AB$1:$AB$1501,$J2089+1)),1))</f>
        <v/>
      </c>
      <c r="F2089" s="6">
        <f>IF($J2089="","",IF($J2089&lt;=1500,N(INDEX('Daily Sale entry '!$AC$1:$AC$1501,$J2089+1))-IF(AND('Opening Balance'!$B$15=1,INDEX('Daily Sale entry '!$Z$1:$Z$1501,$J2089+1)="Online collection 网上收款",INDEX('Daily Sale entry '!$AA$1:$AA$1501,$J2089+1)&lt;&gt;""),N(INDEX('Daily Sale entry '!$AC$1:$AC$1501,$J2089+1))-TRUNC(N(INDEX('Daily Sale entry '!$AC$1:$AC$1501,$J2089+1))),0),N(INDEX('Daily Sale entry '!$S$1:$S$1501,$J2089-1499))-'Opening Balance'!$B$15*(N(INDEX('Daily Sale entry '!$S$1:$S$1501,$J2089-1499))-TRUNC(N(INDEX('Daily Sale entry '!$S$1:$S$1501,$J2089-1499))))))</f>
        <v/>
      </c>
      <c r="G2089" s="6">
        <f>IF($J2089="","",IF($J2089&lt;=1500,N(INDEX('Daily Sale entry '!$AD$1:$AD$1501,$J2089+1)),0))</f>
        <v/>
      </c>
      <c r="H2089" s="6">
        <f>IF($J2089="","",ROUND('Opening Balance'!$B$4+SUM($F$2:F2089)-SUM($G$2:G2089),2))</f>
        <v/>
      </c>
      <c r="J2089" s="21">
        <f>IFERROR(MATCH(ROW()-1,$L$2:$L$3001,0),"")</f>
        <v/>
      </c>
      <c r="K2089" s="34">
        <f>IF(AND('Daily Sale entry '!Q589="Collection 收款",'Daily Sale entry '!R589="Cheque 支票",'Daily Sale entry '!V589&lt;&gt;""),'Daily Sale entry '!V589+ROW()/10000000,"")</f>
        <v/>
      </c>
      <c r="L2089" s="21">
        <f>IF(K2089="","",COUNTIF($K$2:$K$3001,"&lt;"&amp;K2089)+1)</f>
        <v/>
      </c>
    </row>
    <row r="2090">
      <c r="A2090" s="5">
        <f>IF($J2090="","",IF($J2090&lt;=1500,INDEX('Daily Sale entry '!$X$1:$X$1501,$J2090+1),INDEX('Daily Sale entry '!$V$1:$V$1501,$J2090-1499)))</f>
        <v/>
      </c>
      <c r="B2090">
        <f>IF($J2090="","",IF($J2090&lt;=1500,INDEX('Daily Sale entry '!$Y$1:$Y$1501,$J2090+1)&amp;"","Buyer cheque banked 买家支票存入"&amp;IF(INDEX('Daily Sale entry '!$U$1:$U$1501,$J2090-1499)="","", " - "&amp;INDEX('Daily Sale entry '!$U$1:$U$1501,$J2090-1499))))</f>
        <v/>
      </c>
      <c r="C2090">
        <f>IF($J2090="","",IF($J2090&lt;=1500,INDEX('Daily Sale entry '!$Z$1:$Z$1501,$J2090+1)&amp;"","Cheque deposit 支票存入 (buyer 买家)"))</f>
        <v/>
      </c>
      <c r="D2090">
        <f>IF($J2090="","",IF($J2090&lt;=1500,INDEX('Daily Sale entry '!$AA$1:$AA$1501,$J2090+1)&amp;"",INDEX('Daily Sale entry '!$P$1:$P$1501,$J2090-1499)&amp;""))</f>
        <v/>
      </c>
      <c r="E2090">
        <f>IF($J2090="","",IF($J2090&lt;=1500,IF(N(INDEX('Daily Sale entry '!$AB$1:$AB$1501,$J2090+1))=0,"",INDEX('Daily Sale entry '!$AB$1:$AB$1501,$J2090+1)),1))</f>
        <v/>
      </c>
      <c r="F2090" s="6">
        <f>IF($J2090="","",IF($J2090&lt;=1500,N(INDEX('Daily Sale entry '!$AC$1:$AC$1501,$J2090+1))-IF(AND('Opening Balance'!$B$15=1,INDEX('Daily Sale entry '!$Z$1:$Z$1501,$J2090+1)="Online collection 网上收款",INDEX('Daily Sale entry '!$AA$1:$AA$1501,$J2090+1)&lt;&gt;""),N(INDEX('Daily Sale entry '!$AC$1:$AC$1501,$J2090+1))-TRUNC(N(INDEX('Daily Sale entry '!$AC$1:$AC$1501,$J2090+1))),0),N(INDEX('Daily Sale entry '!$S$1:$S$1501,$J2090-1499))-'Opening Balance'!$B$15*(N(INDEX('Daily Sale entry '!$S$1:$S$1501,$J2090-1499))-TRUNC(N(INDEX('Daily Sale entry '!$S$1:$S$1501,$J2090-1499))))))</f>
        <v/>
      </c>
      <c r="G2090" s="6">
        <f>IF($J2090="","",IF($J2090&lt;=1500,N(INDEX('Daily Sale entry '!$AD$1:$AD$1501,$J2090+1)),0))</f>
        <v/>
      </c>
      <c r="H2090" s="6">
        <f>IF($J2090="","",ROUND('Opening Balance'!$B$4+SUM($F$2:F2090)-SUM($G$2:G2090),2))</f>
        <v/>
      </c>
      <c r="J2090" s="21">
        <f>IFERROR(MATCH(ROW()-1,$L$2:$L$3001,0),"")</f>
        <v/>
      </c>
      <c r="K2090" s="34">
        <f>IF(AND('Daily Sale entry '!Q590="Collection 收款",'Daily Sale entry '!R590="Cheque 支票",'Daily Sale entry '!V590&lt;&gt;""),'Daily Sale entry '!V590+ROW()/10000000,"")</f>
        <v/>
      </c>
      <c r="L2090" s="21">
        <f>IF(K2090="","",COUNTIF($K$2:$K$3001,"&lt;"&amp;K2090)+1)</f>
        <v/>
      </c>
    </row>
    <row r="2091">
      <c r="A2091" s="5">
        <f>IF($J2091="","",IF($J2091&lt;=1500,INDEX('Daily Sale entry '!$X$1:$X$1501,$J2091+1),INDEX('Daily Sale entry '!$V$1:$V$1501,$J2091-1499)))</f>
        <v/>
      </c>
      <c r="B2091">
        <f>IF($J2091="","",IF($J2091&lt;=1500,INDEX('Daily Sale entry '!$Y$1:$Y$1501,$J2091+1)&amp;"","Buyer cheque banked 买家支票存入"&amp;IF(INDEX('Daily Sale entry '!$U$1:$U$1501,$J2091-1499)="","", " - "&amp;INDEX('Daily Sale entry '!$U$1:$U$1501,$J2091-1499))))</f>
        <v/>
      </c>
      <c r="C2091">
        <f>IF($J2091="","",IF($J2091&lt;=1500,INDEX('Daily Sale entry '!$Z$1:$Z$1501,$J2091+1)&amp;"","Cheque deposit 支票存入 (buyer 买家)"))</f>
        <v/>
      </c>
      <c r="D2091">
        <f>IF($J2091="","",IF($J2091&lt;=1500,INDEX('Daily Sale entry '!$AA$1:$AA$1501,$J2091+1)&amp;"",INDEX('Daily Sale entry '!$P$1:$P$1501,$J2091-1499)&amp;""))</f>
        <v/>
      </c>
      <c r="E2091">
        <f>IF($J2091="","",IF($J2091&lt;=1500,IF(N(INDEX('Daily Sale entry '!$AB$1:$AB$1501,$J2091+1))=0,"",INDEX('Daily Sale entry '!$AB$1:$AB$1501,$J2091+1)),1))</f>
        <v/>
      </c>
      <c r="F2091" s="6">
        <f>IF($J2091="","",IF($J2091&lt;=1500,N(INDEX('Daily Sale entry '!$AC$1:$AC$1501,$J2091+1))-IF(AND('Opening Balance'!$B$15=1,INDEX('Daily Sale entry '!$Z$1:$Z$1501,$J2091+1)="Online collection 网上收款",INDEX('Daily Sale entry '!$AA$1:$AA$1501,$J2091+1)&lt;&gt;""),N(INDEX('Daily Sale entry '!$AC$1:$AC$1501,$J2091+1))-TRUNC(N(INDEX('Daily Sale entry '!$AC$1:$AC$1501,$J2091+1))),0),N(INDEX('Daily Sale entry '!$S$1:$S$1501,$J2091-1499))-'Opening Balance'!$B$15*(N(INDEX('Daily Sale entry '!$S$1:$S$1501,$J2091-1499))-TRUNC(N(INDEX('Daily Sale entry '!$S$1:$S$1501,$J2091-1499))))))</f>
        <v/>
      </c>
      <c r="G2091" s="6">
        <f>IF($J2091="","",IF($J2091&lt;=1500,N(INDEX('Daily Sale entry '!$AD$1:$AD$1501,$J2091+1)),0))</f>
        <v/>
      </c>
      <c r="H2091" s="6">
        <f>IF($J2091="","",ROUND('Opening Balance'!$B$4+SUM($F$2:F2091)-SUM($G$2:G2091),2))</f>
        <v/>
      </c>
      <c r="J2091" s="21">
        <f>IFERROR(MATCH(ROW()-1,$L$2:$L$3001,0),"")</f>
        <v/>
      </c>
      <c r="K2091" s="34">
        <f>IF(AND('Daily Sale entry '!Q591="Collection 收款",'Daily Sale entry '!R591="Cheque 支票",'Daily Sale entry '!V591&lt;&gt;""),'Daily Sale entry '!V591+ROW()/10000000,"")</f>
        <v/>
      </c>
      <c r="L2091" s="21">
        <f>IF(K2091="","",COUNTIF($K$2:$K$3001,"&lt;"&amp;K2091)+1)</f>
        <v/>
      </c>
    </row>
    <row r="2092">
      <c r="A2092" s="5">
        <f>IF($J2092="","",IF($J2092&lt;=1500,INDEX('Daily Sale entry '!$X$1:$X$1501,$J2092+1),INDEX('Daily Sale entry '!$V$1:$V$1501,$J2092-1499)))</f>
        <v/>
      </c>
      <c r="B2092">
        <f>IF($J2092="","",IF($J2092&lt;=1500,INDEX('Daily Sale entry '!$Y$1:$Y$1501,$J2092+1)&amp;"","Buyer cheque banked 买家支票存入"&amp;IF(INDEX('Daily Sale entry '!$U$1:$U$1501,$J2092-1499)="","", " - "&amp;INDEX('Daily Sale entry '!$U$1:$U$1501,$J2092-1499))))</f>
        <v/>
      </c>
      <c r="C2092">
        <f>IF($J2092="","",IF($J2092&lt;=1500,INDEX('Daily Sale entry '!$Z$1:$Z$1501,$J2092+1)&amp;"","Cheque deposit 支票存入 (buyer 买家)"))</f>
        <v/>
      </c>
      <c r="D2092">
        <f>IF($J2092="","",IF($J2092&lt;=1500,INDEX('Daily Sale entry '!$AA$1:$AA$1501,$J2092+1)&amp;"",INDEX('Daily Sale entry '!$P$1:$P$1501,$J2092-1499)&amp;""))</f>
        <v/>
      </c>
      <c r="E2092">
        <f>IF($J2092="","",IF($J2092&lt;=1500,IF(N(INDEX('Daily Sale entry '!$AB$1:$AB$1501,$J2092+1))=0,"",INDEX('Daily Sale entry '!$AB$1:$AB$1501,$J2092+1)),1))</f>
        <v/>
      </c>
      <c r="F2092" s="6">
        <f>IF($J2092="","",IF($J2092&lt;=1500,N(INDEX('Daily Sale entry '!$AC$1:$AC$1501,$J2092+1))-IF(AND('Opening Balance'!$B$15=1,INDEX('Daily Sale entry '!$Z$1:$Z$1501,$J2092+1)="Online collection 网上收款",INDEX('Daily Sale entry '!$AA$1:$AA$1501,$J2092+1)&lt;&gt;""),N(INDEX('Daily Sale entry '!$AC$1:$AC$1501,$J2092+1))-TRUNC(N(INDEX('Daily Sale entry '!$AC$1:$AC$1501,$J2092+1))),0),N(INDEX('Daily Sale entry '!$S$1:$S$1501,$J2092-1499))-'Opening Balance'!$B$15*(N(INDEX('Daily Sale entry '!$S$1:$S$1501,$J2092-1499))-TRUNC(N(INDEX('Daily Sale entry '!$S$1:$S$1501,$J2092-1499))))))</f>
        <v/>
      </c>
      <c r="G2092" s="6">
        <f>IF($J2092="","",IF($J2092&lt;=1500,N(INDEX('Daily Sale entry '!$AD$1:$AD$1501,$J2092+1)),0))</f>
        <v/>
      </c>
      <c r="H2092" s="6">
        <f>IF($J2092="","",ROUND('Opening Balance'!$B$4+SUM($F$2:F2092)-SUM($G$2:G2092),2))</f>
        <v/>
      </c>
      <c r="J2092" s="21">
        <f>IFERROR(MATCH(ROW()-1,$L$2:$L$3001,0),"")</f>
        <v/>
      </c>
      <c r="K2092" s="34">
        <f>IF(AND('Daily Sale entry '!Q592="Collection 收款",'Daily Sale entry '!R592="Cheque 支票",'Daily Sale entry '!V592&lt;&gt;""),'Daily Sale entry '!V592+ROW()/10000000,"")</f>
        <v/>
      </c>
      <c r="L2092" s="21">
        <f>IF(K2092="","",COUNTIF($K$2:$K$3001,"&lt;"&amp;K2092)+1)</f>
        <v/>
      </c>
    </row>
    <row r="2093">
      <c r="A2093" s="5">
        <f>IF($J2093="","",IF($J2093&lt;=1500,INDEX('Daily Sale entry '!$X$1:$X$1501,$J2093+1),INDEX('Daily Sale entry '!$V$1:$V$1501,$J2093-1499)))</f>
        <v/>
      </c>
      <c r="B2093">
        <f>IF($J2093="","",IF($J2093&lt;=1500,INDEX('Daily Sale entry '!$Y$1:$Y$1501,$J2093+1)&amp;"","Buyer cheque banked 买家支票存入"&amp;IF(INDEX('Daily Sale entry '!$U$1:$U$1501,$J2093-1499)="","", " - "&amp;INDEX('Daily Sale entry '!$U$1:$U$1501,$J2093-1499))))</f>
        <v/>
      </c>
      <c r="C2093">
        <f>IF($J2093="","",IF($J2093&lt;=1500,INDEX('Daily Sale entry '!$Z$1:$Z$1501,$J2093+1)&amp;"","Cheque deposit 支票存入 (buyer 买家)"))</f>
        <v/>
      </c>
      <c r="D2093">
        <f>IF($J2093="","",IF($J2093&lt;=1500,INDEX('Daily Sale entry '!$AA$1:$AA$1501,$J2093+1)&amp;"",INDEX('Daily Sale entry '!$P$1:$P$1501,$J2093-1499)&amp;""))</f>
        <v/>
      </c>
      <c r="E2093">
        <f>IF($J2093="","",IF($J2093&lt;=1500,IF(N(INDEX('Daily Sale entry '!$AB$1:$AB$1501,$J2093+1))=0,"",INDEX('Daily Sale entry '!$AB$1:$AB$1501,$J2093+1)),1))</f>
        <v/>
      </c>
      <c r="F2093" s="6">
        <f>IF($J2093="","",IF($J2093&lt;=1500,N(INDEX('Daily Sale entry '!$AC$1:$AC$1501,$J2093+1))-IF(AND('Opening Balance'!$B$15=1,INDEX('Daily Sale entry '!$Z$1:$Z$1501,$J2093+1)="Online collection 网上收款",INDEX('Daily Sale entry '!$AA$1:$AA$1501,$J2093+1)&lt;&gt;""),N(INDEX('Daily Sale entry '!$AC$1:$AC$1501,$J2093+1))-TRUNC(N(INDEX('Daily Sale entry '!$AC$1:$AC$1501,$J2093+1))),0),N(INDEX('Daily Sale entry '!$S$1:$S$1501,$J2093-1499))-'Opening Balance'!$B$15*(N(INDEX('Daily Sale entry '!$S$1:$S$1501,$J2093-1499))-TRUNC(N(INDEX('Daily Sale entry '!$S$1:$S$1501,$J2093-1499))))))</f>
        <v/>
      </c>
      <c r="G2093" s="6">
        <f>IF($J2093="","",IF($J2093&lt;=1500,N(INDEX('Daily Sale entry '!$AD$1:$AD$1501,$J2093+1)),0))</f>
        <v/>
      </c>
      <c r="H2093" s="6">
        <f>IF($J2093="","",ROUND('Opening Balance'!$B$4+SUM($F$2:F2093)-SUM($G$2:G2093),2))</f>
        <v/>
      </c>
      <c r="J2093" s="21">
        <f>IFERROR(MATCH(ROW()-1,$L$2:$L$3001,0),"")</f>
        <v/>
      </c>
      <c r="K2093" s="34">
        <f>IF(AND('Daily Sale entry '!Q593="Collection 收款",'Daily Sale entry '!R593="Cheque 支票",'Daily Sale entry '!V593&lt;&gt;""),'Daily Sale entry '!V593+ROW()/10000000,"")</f>
        <v/>
      </c>
      <c r="L2093" s="21">
        <f>IF(K2093="","",COUNTIF($K$2:$K$3001,"&lt;"&amp;K2093)+1)</f>
        <v/>
      </c>
    </row>
    <row r="2094">
      <c r="A2094" s="5">
        <f>IF($J2094="","",IF($J2094&lt;=1500,INDEX('Daily Sale entry '!$X$1:$X$1501,$J2094+1),INDEX('Daily Sale entry '!$V$1:$V$1501,$J2094-1499)))</f>
        <v/>
      </c>
      <c r="B2094">
        <f>IF($J2094="","",IF($J2094&lt;=1500,INDEX('Daily Sale entry '!$Y$1:$Y$1501,$J2094+1)&amp;"","Buyer cheque banked 买家支票存入"&amp;IF(INDEX('Daily Sale entry '!$U$1:$U$1501,$J2094-1499)="","", " - "&amp;INDEX('Daily Sale entry '!$U$1:$U$1501,$J2094-1499))))</f>
        <v/>
      </c>
      <c r="C2094">
        <f>IF($J2094="","",IF($J2094&lt;=1500,INDEX('Daily Sale entry '!$Z$1:$Z$1501,$J2094+1)&amp;"","Cheque deposit 支票存入 (buyer 买家)"))</f>
        <v/>
      </c>
      <c r="D2094">
        <f>IF($J2094="","",IF($J2094&lt;=1500,INDEX('Daily Sale entry '!$AA$1:$AA$1501,$J2094+1)&amp;"",INDEX('Daily Sale entry '!$P$1:$P$1501,$J2094-1499)&amp;""))</f>
        <v/>
      </c>
      <c r="E2094">
        <f>IF($J2094="","",IF($J2094&lt;=1500,IF(N(INDEX('Daily Sale entry '!$AB$1:$AB$1501,$J2094+1))=0,"",INDEX('Daily Sale entry '!$AB$1:$AB$1501,$J2094+1)),1))</f>
        <v/>
      </c>
      <c r="F2094" s="6">
        <f>IF($J2094="","",IF($J2094&lt;=1500,N(INDEX('Daily Sale entry '!$AC$1:$AC$1501,$J2094+1))-IF(AND('Opening Balance'!$B$15=1,INDEX('Daily Sale entry '!$Z$1:$Z$1501,$J2094+1)="Online collection 网上收款",INDEX('Daily Sale entry '!$AA$1:$AA$1501,$J2094+1)&lt;&gt;""),N(INDEX('Daily Sale entry '!$AC$1:$AC$1501,$J2094+1))-TRUNC(N(INDEX('Daily Sale entry '!$AC$1:$AC$1501,$J2094+1))),0),N(INDEX('Daily Sale entry '!$S$1:$S$1501,$J2094-1499))-'Opening Balance'!$B$15*(N(INDEX('Daily Sale entry '!$S$1:$S$1501,$J2094-1499))-TRUNC(N(INDEX('Daily Sale entry '!$S$1:$S$1501,$J2094-1499))))))</f>
        <v/>
      </c>
      <c r="G2094" s="6">
        <f>IF($J2094="","",IF($J2094&lt;=1500,N(INDEX('Daily Sale entry '!$AD$1:$AD$1501,$J2094+1)),0))</f>
        <v/>
      </c>
      <c r="H2094" s="6">
        <f>IF($J2094="","",ROUND('Opening Balance'!$B$4+SUM($F$2:F2094)-SUM($G$2:G2094),2))</f>
        <v/>
      </c>
      <c r="J2094" s="21">
        <f>IFERROR(MATCH(ROW()-1,$L$2:$L$3001,0),"")</f>
        <v/>
      </c>
      <c r="K2094" s="34">
        <f>IF(AND('Daily Sale entry '!Q594="Collection 收款",'Daily Sale entry '!R594="Cheque 支票",'Daily Sale entry '!V594&lt;&gt;""),'Daily Sale entry '!V594+ROW()/10000000,"")</f>
        <v/>
      </c>
      <c r="L2094" s="21">
        <f>IF(K2094="","",COUNTIF($K$2:$K$3001,"&lt;"&amp;K2094)+1)</f>
        <v/>
      </c>
    </row>
    <row r="2095">
      <c r="A2095" s="5">
        <f>IF($J2095="","",IF($J2095&lt;=1500,INDEX('Daily Sale entry '!$X$1:$X$1501,$J2095+1),INDEX('Daily Sale entry '!$V$1:$V$1501,$J2095-1499)))</f>
        <v/>
      </c>
      <c r="B2095">
        <f>IF($J2095="","",IF($J2095&lt;=1500,INDEX('Daily Sale entry '!$Y$1:$Y$1501,$J2095+1)&amp;"","Buyer cheque banked 买家支票存入"&amp;IF(INDEX('Daily Sale entry '!$U$1:$U$1501,$J2095-1499)="","", " - "&amp;INDEX('Daily Sale entry '!$U$1:$U$1501,$J2095-1499))))</f>
        <v/>
      </c>
      <c r="C2095">
        <f>IF($J2095="","",IF($J2095&lt;=1500,INDEX('Daily Sale entry '!$Z$1:$Z$1501,$J2095+1)&amp;"","Cheque deposit 支票存入 (buyer 买家)"))</f>
        <v/>
      </c>
      <c r="D2095">
        <f>IF($J2095="","",IF($J2095&lt;=1500,INDEX('Daily Sale entry '!$AA$1:$AA$1501,$J2095+1)&amp;"",INDEX('Daily Sale entry '!$P$1:$P$1501,$J2095-1499)&amp;""))</f>
        <v/>
      </c>
      <c r="E2095">
        <f>IF($J2095="","",IF($J2095&lt;=1500,IF(N(INDEX('Daily Sale entry '!$AB$1:$AB$1501,$J2095+1))=0,"",INDEX('Daily Sale entry '!$AB$1:$AB$1501,$J2095+1)),1))</f>
        <v/>
      </c>
      <c r="F2095" s="6">
        <f>IF($J2095="","",IF($J2095&lt;=1500,N(INDEX('Daily Sale entry '!$AC$1:$AC$1501,$J2095+1))-IF(AND('Opening Balance'!$B$15=1,INDEX('Daily Sale entry '!$Z$1:$Z$1501,$J2095+1)="Online collection 网上收款",INDEX('Daily Sale entry '!$AA$1:$AA$1501,$J2095+1)&lt;&gt;""),N(INDEX('Daily Sale entry '!$AC$1:$AC$1501,$J2095+1))-TRUNC(N(INDEX('Daily Sale entry '!$AC$1:$AC$1501,$J2095+1))),0),N(INDEX('Daily Sale entry '!$S$1:$S$1501,$J2095-1499))-'Opening Balance'!$B$15*(N(INDEX('Daily Sale entry '!$S$1:$S$1501,$J2095-1499))-TRUNC(N(INDEX('Daily Sale entry '!$S$1:$S$1501,$J2095-1499))))))</f>
        <v/>
      </c>
      <c r="G2095" s="6">
        <f>IF($J2095="","",IF($J2095&lt;=1500,N(INDEX('Daily Sale entry '!$AD$1:$AD$1501,$J2095+1)),0))</f>
        <v/>
      </c>
      <c r="H2095" s="6">
        <f>IF($J2095="","",ROUND('Opening Balance'!$B$4+SUM($F$2:F2095)-SUM($G$2:G2095),2))</f>
        <v/>
      </c>
      <c r="J2095" s="21">
        <f>IFERROR(MATCH(ROW()-1,$L$2:$L$3001,0),"")</f>
        <v/>
      </c>
      <c r="K2095" s="34">
        <f>IF(AND('Daily Sale entry '!Q595="Collection 收款",'Daily Sale entry '!R595="Cheque 支票",'Daily Sale entry '!V595&lt;&gt;""),'Daily Sale entry '!V595+ROW()/10000000,"")</f>
        <v/>
      </c>
      <c r="L2095" s="21">
        <f>IF(K2095="","",COUNTIF($K$2:$K$3001,"&lt;"&amp;K2095)+1)</f>
        <v/>
      </c>
    </row>
    <row r="2096">
      <c r="A2096" s="5">
        <f>IF($J2096="","",IF($J2096&lt;=1500,INDEX('Daily Sale entry '!$X$1:$X$1501,$J2096+1),INDEX('Daily Sale entry '!$V$1:$V$1501,$J2096-1499)))</f>
        <v/>
      </c>
      <c r="B2096">
        <f>IF($J2096="","",IF($J2096&lt;=1500,INDEX('Daily Sale entry '!$Y$1:$Y$1501,$J2096+1)&amp;"","Buyer cheque banked 买家支票存入"&amp;IF(INDEX('Daily Sale entry '!$U$1:$U$1501,$J2096-1499)="","", " - "&amp;INDEX('Daily Sale entry '!$U$1:$U$1501,$J2096-1499))))</f>
        <v/>
      </c>
      <c r="C2096">
        <f>IF($J2096="","",IF($J2096&lt;=1500,INDEX('Daily Sale entry '!$Z$1:$Z$1501,$J2096+1)&amp;"","Cheque deposit 支票存入 (buyer 买家)"))</f>
        <v/>
      </c>
      <c r="D2096">
        <f>IF($J2096="","",IF($J2096&lt;=1500,INDEX('Daily Sale entry '!$AA$1:$AA$1501,$J2096+1)&amp;"",INDEX('Daily Sale entry '!$P$1:$P$1501,$J2096-1499)&amp;""))</f>
        <v/>
      </c>
      <c r="E2096">
        <f>IF($J2096="","",IF($J2096&lt;=1500,IF(N(INDEX('Daily Sale entry '!$AB$1:$AB$1501,$J2096+1))=0,"",INDEX('Daily Sale entry '!$AB$1:$AB$1501,$J2096+1)),1))</f>
        <v/>
      </c>
      <c r="F2096" s="6">
        <f>IF($J2096="","",IF($J2096&lt;=1500,N(INDEX('Daily Sale entry '!$AC$1:$AC$1501,$J2096+1))-IF(AND('Opening Balance'!$B$15=1,INDEX('Daily Sale entry '!$Z$1:$Z$1501,$J2096+1)="Online collection 网上收款",INDEX('Daily Sale entry '!$AA$1:$AA$1501,$J2096+1)&lt;&gt;""),N(INDEX('Daily Sale entry '!$AC$1:$AC$1501,$J2096+1))-TRUNC(N(INDEX('Daily Sale entry '!$AC$1:$AC$1501,$J2096+1))),0),N(INDEX('Daily Sale entry '!$S$1:$S$1501,$J2096-1499))-'Opening Balance'!$B$15*(N(INDEX('Daily Sale entry '!$S$1:$S$1501,$J2096-1499))-TRUNC(N(INDEX('Daily Sale entry '!$S$1:$S$1501,$J2096-1499))))))</f>
        <v/>
      </c>
      <c r="G2096" s="6">
        <f>IF($J2096="","",IF($J2096&lt;=1500,N(INDEX('Daily Sale entry '!$AD$1:$AD$1501,$J2096+1)),0))</f>
        <v/>
      </c>
      <c r="H2096" s="6">
        <f>IF($J2096="","",ROUND('Opening Balance'!$B$4+SUM($F$2:F2096)-SUM($G$2:G2096),2))</f>
        <v/>
      </c>
      <c r="J2096" s="21">
        <f>IFERROR(MATCH(ROW()-1,$L$2:$L$3001,0),"")</f>
        <v/>
      </c>
      <c r="K2096" s="34">
        <f>IF(AND('Daily Sale entry '!Q596="Collection 收款",'Daily Sale entry '!R596="Cheque 支票",'Daily Sale entry '!V596&lt;&gt;""),'Daily Sale entry '!V596+ROW()/10000000,"")</f>
        <v/>
      </c>
      <c r="L2096" s="21">
        <f>IF(K2096="","",COUNTIF($K$2:$K$3001,"&lt;"&amp;K2096)+1)</f>
        <v/>
      </c>
    </row>
    <row r="2097">
      <c r="A2097" s="5">
        <f>IF($J2097="","",IF($J2097&lt;=1500,INDEX('Daily Sale entry '!$X$1:$X$1501,$J2097+1),INDEX('Daily Sale entry '!$V$1:$V$1501,$J2097-1499)))</f>
        <v/>
      </c>
      <c r="B2097">
        <f>IF($J2097="","",IF($J2097&lt;=1500,INDEX('Daily Sale entry '!$Y$1:$Y$1501,$J2097+1)&amp;"","Buyer cheque banked 买家支票存入"&amp;IF(INDEX('Daily Sale entry '!$U$1:$U$1501,$J2097-1499)="","", " - "&amp;INDEX('Daily Sale entry '!$U$1:$U$1501,$J2097-1499))))</f>
        <v/>
      </c>
      <c r="C2097">
        <f>IF($J2097="","",IF($J2097&lt;=1500,INDEX('Daily Sale entry '!$Z$1:$Z$1501,$J2097+1)&amp;"","Cheque deposit 支票存入 (buyer 买家)"))</f>
        <v/>
      </c>
      <c r="D2097">
        <f>IF($J2097="","",IF($J2097&lt;=1500,INDEX('Daily Sale entry '!$AA$1:$AA$1501,$J2097+1)&amp;"",INDEX('Daily Sale entry '!$P$1:$P$1501,$J2097-1499)&amp;""))</f>
        <v/>
      </c>
      <c r="E2097">
        <f>IF($J2097="","",IF($J2097&lt;=1500,IF(N(INDEX('Daily Sale entry '!$AB$1:$AB$1501,$J2097+1))=0,"",INDEX('Daily Sale entry '!$AB$1:$AB$1501,$J2097+1)),1))</f>
        <v/>
      </c>
      <c r="F2097" s="6">
        <f>IF($J2097="","",IF($J2097&lt;=1500,N(INDEX('Daily Sale entry '!$AC$1:$AC$1501,$J2097+1))-IF(AND('Opening Balance'!$B$15=1,INDEX('Daily Sale entry '!$Z$1:$Z$1501,$J2097+1)="Online collection 网上收款",INDEX('Daily Sale entry '!$AA$1:$AA$1501,$J2097+1)&lt;&gt;""),N(INDEX('Daily Sale entry '!$AC$1:$AC$1501,$J2097+1))-TRUNC(N(INDEX('Daily Sale entry '!$AC$1:$AC$1501,$J2097+1))),0),N(INDEX('Daily Sale entry '!$S$1:$S$1501,$J2097-1499))-'Opening Balance'!$B$15*(N(INDEX('Daily Sale entry '!$S$1:$S$1501,$J2097-1499))-TRUNC(N(INDEX('Daily Sale entry '!$S$1:$S$1501,$J2097-1499))))))</f>
        <v/>
      </c>
      <c r="G2097" s="6">
        <f>IF($J2097="","",IF($J2097&lt;=1500,N(INDEX('Daily Sale entry '!$AD$1:$AD$1501,$J2097+1)),0))</f>
        <v/>
      </c>
      <c r="H2097" s="6">
        <f>IF($J2097="","",ROUND('Opening Balance'!$B$4+SUM($F$2:F2097)-SUM($G$2:G2097),2))</f>
        <v/>
      </c>
      <c r="J2097" s="21">
        <f>IFERROR(MATCH(ROW()-1,$L$2:$L$3001,0),"")</f>
        <v/>
      </c>
      <c r="K2097" s="34">
        <f>IF(AND('Daily Sale entry '!Q597="Collection 收款",'Daily Sale entry '!R597="Cheque 支票",'Daily Sale entry '!V597&lt;&gt;""),'Daily Sale entry '!V597+ROW()/10000000,"")</f>
        <v/>
      </c>
      <c r="L2097" s="21">
        <f>IF(K2097="","",COUNTIF($K$2:$K$3001,"&lt;"&amp;K2097)+1)</f>
        <v/>
      </c>
    </row>
    <row r="2098">
      <c r="A2098" s="5">
        <f>IF($J2098="","",IF($J2098&lt;=1500,INDEX('Daily Sale entry '!$X$1:$X$1501,$J2098+1),INDEX('Daily Sale entry '!$V$1:$V$1501,$J2098-1499)))</f>
        <v/>
      </c>
      <c r="B2098">
        <f>IF($J2098="","",IF($J2098&lt;=1500,INDEX('Daily Sale entry '!$Y$1:$Y$1501,$J2098+1)&amp;"","Buyer cheque banked 买家支票存入"&amp;IF(INDEX('Daily Sale entry '!$U$1:$U$1501,$J2098-1499)="","", " - "&amp;INDEX('Daily Sale entry '!$U$1:$U$1501,$J2098-1499))))</f>
        <v/>
      </c>
      <c r="C2098">
        <f>IF($J2098="","",IF($J2098&lt;=1500,INDEX('Daily Sale entry '!$Z$1:$Z$1501,$J2098+1)&amp;"","Cheque deposit 支票存入 (buyer 买家)"))</f>
        <v/>
      </c>
      <c r="D2098">
        <f>IF($J2098="","",IF($J2098&lt;=1500,INDEX('Daily Sale entry '!$AA$1:$AA$1501,$J2098+1)&amp;"",INDEX('Daily Sale entry '!$P$1:$P$1501,$J2098-1499)&amp;""))</f>
        <v/>
      </c>
      <c r="E2098">
        <f>IF($J2098="","",IF($J2098&lt;=1500,IF(N(INDEX('Daily Sale entry '!$AB$1:$AB$1501,$J2098+1))=0,"",INDEX('Daily Sale entry '!$AB$1:$AB$1501,$J2098+1)),1))</f>
        <v/>
      </c>
      <c r="F2098" s="6">
        <f>IF($J2098="","",IF($J2098&lt;=1500,N(INDEX('Daily Sale entry '!$AC$1:$AC$1501,$J2098+1))-IF(AND('Opening Balance'!$B$15=1,INDEX('Daily Sale entry '!$Z$1:$Z$1501,$J2098+1)="Online collection 网上收款",INDEX('Daily Sale entry '!$AA$1:$AA$1501,$J2098+1)&lt;&gt;""),N(INDEX('Daily Sale entry '!$AC$1:$AC$1501,$J2098+1))-TRUNC(N(INDEX('Daily Sale entry '!$AC$1:$AC$1501,$J2098+1))),0),N(INDEX('Daily Sale entry '!$S$1:$S$1501,$J2098-1499))-'Opening Balance'!$B$15*(N(INDEX('Daily Sale entry '!$S$1:$S$1501,$J2098-1499))-TRUNC(N(INDEX('Daily Sale entry '!$S$1:$S$1501,$J2098-1499))))))</f>
        <v/>
      </c>
      <c r="G2098" s="6">
        <f>IF($J2098="","",IF($J2098&lt;=1500,N(INDEX('Daily Sale entry '!$AD$1:$AD$1501,$J2098+1)),0))</f>
        <v/>
      </c>
      <c r="H2098" s="6">
        <f>IF($J2098="","",ROUND('Opening Balance'!$B$4+SUM($F$2:F2098)-SUM($G$2:G2098),2))</f>
        <v/>
      </c>
      <c r="J2098" s="21">
        <f>IFERROR(MATCH(ROW()-1,$L$2:$L$3001,0),"")</f>
        <v/>
      </c>
      <c r="K2098" s="34">
        <f>IF(AND('Daily Sale entry '!Q598="Collection 收款",'Daily Sale entry '!R598="Cheque 支票",'Daily Sale entry '!V598&lt;&gt;""),'Daily Sale entry '!V598+ROW()/10000000,"")</f>
        <v/>
      </c>
      <c r="L2098" s="21">
        <f>IF(K2098="","",COUNTIF($K$2:$K$3001,"&lt;"&amp;K2098)+1)</f>
        <v/>
      </c>
    </row>
    <row r="2099">
      <c r="A2099" s="5">
        <f>IF($J2099="","",IF($J2099&lt;=1500,INDEX('Daily Sale entry '!$X$1:$X$1501,$J2099+1),INDEX('Daily Sale entry '!$V$1:$V$1501,$J2099-1499)))</f>
        <v/>
      </c>
      <c r="B2099">
        <f>IF($J2099="","",IF($J2099&lt;=1500,INDEX('Daily Sale entry '!$Y$1:$Y$1501,$J2099+1)&amp;"","Buyer cheque banked 买家支票存入"&amp;IF(INDEX('Daily Sale entry '!$U$1:$U$1501,$J2099-1499)="","", " - "&amp;INDEX('Daily Sale entry '!$U$1:$U$1501,$J2099-1499))))</f>
        <v/>
      </c>
      <c r="C2099">
        <f>IF($J2099="","",IF($J2099&lt;=1500,INDEX('Daily Sale entry '!$Z$1:$Z$1501,$J2099+1)&amp;"","Cheque deposit 支票存入 (buyer 买家)"))</f>
        <v/>
      </c>
      <c r="D2099">
        <f>IF($J2099="","",IF($J2099&lt;=1500,INDEX('Daily Sale entry '!$AA$1:$AA$1501,$J2099+1)&amp;"",INDEX('Daily Sale entry '!$P$1:$P$1501,$J2099-1499)&amp;""))</f>
        <v/>
      </c>
      <c r="E2099">
        <f>IF($J2099="","",IF($J2099&lt;=1500,IF(N(INDEX('Daily Sale entry '!$AB$1:$AB$1501,$J2099+1))=0,"",INDEX('Daily Sale entry '!$AB$1:$AB$1501,$J2099+1)),1))</f>
        <v/>
      </c>
      <c r="F2099" s="6">
        <f>IF($J2099="","",IF($J2099&lt;=1500,N(INDEX('Daily Sale entry '!$AC$1:$AC$1501,$J2099+1))-IF(AND('Opening Balance'!$B$15=1,INDEX('Daily Sale entry '!$Z$1:$Z$1501,$J2099+1)="Online collection 网上收款",INDEX('Daily Sale entry '!$AA$1:$AA$1501,$J2099+1)&lt;&gt;""),N(INDEX('Daily Sale entry '!$AC$1:$AC$1501,$J2099+1))-TRUNC(N(INDEX('Daily Sale entry '!$AC$1:$AC$1501,$J2099+1))),0),N(INDEX('Daily Sale entry '!$S$1:$S$1501,$J2099-1499))-'Opening Balance'!$B$15*(N(INDEX('Daily Sale entry '!$S$1:$S$1501,$J2099-1499))-TRUNC(N(INDEX('Daily Sale entry '!$S$1:$S$1501,$J2099-1499))))))</f>
        <v/>
      </c>
      <c r="G2099" s="6">
        <f>IF($J2099="","",IF($J2099&lt;=1500,N(INDEX('Daily Sale entry '!$AD$1:$AD$1501,$J2099+1)),0))</f>
        <v/>
      </c>
      <c r="H2099" s="6">
        <f>IF($J2099="","",ROUND('Opening Balance'!$B$4+SUM($F$2:F2099)-SUM($G$2:G2099),2))</f>
        <v/>
      </c>
      <c r="J2099" s="21">
        <f>IFERROR(MATCH(ROW()-1,$L$2:$L$3001,0),"")</f>
        <v/>
      </c>
      <c r="K2099" s="34">
        <f>IF(AND('Daily Sale entry '!Q599="Collection 收款",'Daily Sale entry '!R599="Cheque 支票",'Daily Sale entry '!V599&lt;&gt;""),'Daily Sale entry '!V599+ROW()/10000000,"")</f>
        <v/>
      </c>
      <c r="L2099" s="21">
        <f>IF(K2099="","",COUNTIF($K$2:$K$3001,"&lt;"&amp;K2099)+1)</f>
        <v/>
      </c>
    </row>
    <row r="2100">
      <c r="A2100" s="5">
        <f>IF($J2100="","",IF($J2100&lt;=1500,INDEX('Daily Sale entry '!$X$1:$X$1501,$J2100+1),INDEX('Daily Sale entry '!$V$1:$V$1501,$J2100-1499)))</f>
        <v/>
      </c>
      <c r="B2100">
        <f>IF($J2100="","",IF($J2100&lt;=1500,INDEX('Daily Sale entry '!$Y$1:$Y$1501,$J2100+1)&amp;"","Buyer cheque banked 买家支票存入"&amp;IF(INDEX('Daily Sale entry '!$U$1:$U$1501,$J2100-1499)="","", " - "&amp;INDEX('Daily Sale entry '!$U$1:$U$1501,$J2100-1499))))</f>
        <v/>
      </c>
      <c r="C2100">
        <f>IF($J2100="","",IF($J2100&lt;=1500,INDEX('Daily Sale entry '!$Z$1:$Z$1501,$J2100+1)&amp;"","Cheque deposit 支票存入 (buyer 买家)"))</f>
        <v/>
      </c>
      <c r="D2100">
        <f>IF($J2100="","",IF($J2100&lt;=1500,INDEX('Daily Sale entry '!$AA$1:$AA$1501,$J2100+1)&amp;"",INDEX('Daily Sale entry '!$P$1:$P$1501,$J2100-1499)&amp;""))</f>
        <v/>
      </c>
      <c r="E2100">
        <f>IF($J2100="","",IF($J2100&lt;=1500,IF(N(INDEX('Daily Sale entry '!$AB$1:$AB$1501,$J2100+1))=0,"",INDEX('Daily Sale entry '!$AB$1:$AB$1501,$J2100+1)),1))</f>
        <v/>
      </c>
      <c r="F2100" s="6">
        <f>IF($J2100="","",IF($J2100&lt;=1500,N(INDEX('Daily Sale entry '!$AC$1:$AC$1501,$J2100+1))-IF(AND('Opening Balance'!$B$15=1,INDEX('Daily Sale entry '!$Z$1:$Z$1501,$J2100+1)="Online collection 网上收款",INDEX('Daily Sale entry '!$AA$1:$AA$1501,$J2100+1)&lt;&gt;""),N(INDEX('Daily Sale entry '!$AC$1:$AC$1501,$J2100+1))-TRUNC(N(INDEX('Daily Sale entry '!$AC$1:$AC$1501,$J2100+1))),0),N(INDEX('Daily Sale entry '!$S$1:$S$1501,$J2100-1499))-'Opening Balance'!$B$15*(N(INDEX('Daily Sale entry '!$S$1:$S$1501,$J2100-1499))-TRUNC(N(INDEX('Daily Sale entry '!$S$1:$S$1501,$J2100-1499))))))</f>
        <v/>
      </c>
      <c r="G2100" s="6">
        <f>IF($J2100="","",IF($J2100&lt;=1500,N(INDEX('Daily Sale entry '!$AD$1:$AD$1501,$J2100+1)),0))</f>
        <v/>
      </c>
      <c r="H2100" s="6">
        <f>IF($J2100="","",ROUND('Opening Balance'!$B$4+SUM($F$2:F2100)-SUM($G$2:G2100),2))</f>
        <v/>
      </c>
      <c r="J2100" s="21">
        <f>IFERROR(MATCH(ROW()-1,$L$2:$L$3001,0),"")</f>
        <v/>
      </c>
      <c r="K2100" s="34">
        <f>IF(AND('Daily Sale entry '!Q600="Collection 收款",'Daily Sale entry '!R600="Cheque 支票",'Daily Sale entry '!V600&lt;&gt;""),'Daily Sale entry '!V600+ROW()/10000000,"")</f>
        <v/>
      </c>
      <c r="L2100" s="21">
        <f>IF(K2100="","",COUNTIF($K$2:$K$3001,"&lt;"&amp;K2100)+1)</f>
        <v/>
      </c>
    </row>
    <row r="2101">
      <c r="A2101" s="5">
        <f>IF($J2101="","",IF($J2101&lt;=1500,INDEX('Daily Sale entry '!$X$1:$X$1501,$J2101+1),INDEX('Daily Sale entry '!$V$1:$V$1501,$J2101-1499)))</f>
        <v/>
      </c>
      <c r="B2101">
        <f>IF($J2101="","",IF($J2101&lt;=1500,INDEX('Daily Sale entry '!$Y$1:$Y$1501,$J2101+1)&amp;"","Buyer cheque banked 买家支票存入"&amp;IF(INDEX('Daily Sale entry '!$U$1:$U$1501,$J2101-1499)="","", " - "&amp;INDEX('Daily Sale entry '!$U$1:$U$1501,$J2101-1499))))</f>
        <v/>
      </c>
      <c r="C2101">
        <f>IF($J2101="","",IF($J2101&lt;=1500,INDEX('Daily Sale entry '!$Z$1:$Z$1501,$J2101+1)&amp;"","Cheque deposit 支票存入 (buyer 买家)"))</f>
        <v/>
      </c>
      <c r="D2101">
        <f>IF($J2101="","",IF($J2101&lt;=1500,INDEX('Daily Sale entry '!$AA$1:$AA$1501,$J2101+1)&amp;"",INDEX('Daily Sale entry '!$P$1:$P$1501,$J2101-1499)&amp;""))</f>
        <v/>
      </c>
      <c r="E2101">
        <f>IF($J2101="","",IF($J2101&lt;=1500,IF(N(INDEX('Daily Sale entry '!$AB$1:$AB$1501,$J2101+1))=0,"",INDEX('Daily Sale entry '!$AB$1:$AB$1501,$J2101+1)),1))</f>
        <v/>
      </c>
      <c r="F2101" s="6">
        <f>IF($J2101="","",IF($J2101&lt;=1500,N(INDEX('Daily Sale entry '!$AC$1:$AC$1501,$J2101+1))-IF(AND('Opening Balance'!$B$15=1,INDEX('Daily Sale entry '!$Z$1:$Z$1501,$J2101+1)="Online collection 网上收款",INDEX('Daily Sale entry '!$AA$1:$AA$1501,$J2101+1)&lt;&gt;""),N(INDEX('Daily Sale entry '!$AC$1:$AC$1501,$J2101+1))-TRUNC(N(INDEX('Daily Sale entry '!$AC$1:$AC$1501,$J2101+1))),0),N(INDEX('Daily Sale entry '!$S$1:$S$1501,$J2101-1499))-'Opening Balance'!$B$15*(N(INDEX('Daily Sale entry '!$S$1:$S$1501,$J2101-1499))-TRUNC(N(INDEX('Daily Sale entry '!$S$1:$S$1501,$J2101-1499))))))</f>
        <v/>
      </c>
      <c r="G2101" s="6">
        <f>IF($J2101="","",IF($J2101&lt;=1500,N(INDEX('Daily Sale entry '!$AD$1:$AD$1501,$J2101+1)),0))</f>
        <v/>
      </c>
      <c r="H2101" s="6">
        <f>IF($J2101="","",ROUND('Opening Balance'!$B$4+SUM($F$2:F2101)-SUM($G$2:G2101),2))</f>
        <v/>
      </c>
      <c r="J2101" s="21">
        <f>IFERROR(MATCH(ROW()-1,$L$2:$L$3001,0),"")</f>
        <v/>
      </c>
      <c r="K2101" s="34">
        <f>IF(AND('Daily Sale entry '!Q601="Collection 收款",'Daily Sale entry '!R601="Cheque 支票",'Daily Sale entry '!V601&lt;&gt;""),'Daily Sale entry '!V601+ROW()/10000000,"")</f>
        <v/>
      </c>
      <c r="L2101" s="21">
        <f>IF(K2101="","",COUNTIF($K$2:$K$3001,"&lt;"&amp;K2101)+1)</f>
        <v/>
      </c>
    </row>
    <row r="2102">
      <c r="A2102" s="5">
        <f>IF($J2102="","",IF($J2102&lt;=1500,INDEX('Daily Sale entry '!$X$1:$X$1501,$J2102+1),INDEX('Daily Sale entry '!$V$1:$V$1501,$J2102-1499)))</f>
        <v/>
      </c>
      <c r="B2102">
        <f>IF($J2102="","",IF($J2102&lt;=1500,INDEX('Daily Sale entry '!$Y$1:$Y$1501,$J2102+1)&amp;"","Buyer cheque banked 买家支票存入"&amp;IF(INDEX('Daily Sale entry '!$U$1:$U$1501,$J2102-1499)="","", " - "&amp;INDEX('Daily Sale entry '!$U$1:$U$1501,$J2102-1499))))</f>
        <v/>
      </c>
      <c r="C2102">
        <f>IF($J2102="","",IF($J2102&lt;=1500,INDEX('Daily Sale entry '!$Z$1:$Z$1501,$J2102+1)&amp;"","Cheque deposit 支票存入 (buyer 买家)"))</f>
        <v/>
      </c>
      <c r="D2102">
        <f>IF($J2102="","",IF($J2102&lt;=1500,INDEX('Daily Sale entry '!$AA$1:$AA$1501,$J2102+1)&amp;"",INDEX('Daily Sale entry '!$P$1:$P$1501,$J2102-1499)&amp;""))</f>
        <v/>
      </c>
      <c r="E2102">
        <f>IF($J2102="","",IF($J2102&lt;=1500,IF(N(INDEX('Daily Sale entry '!$AB$1:$AB$1501,$J2102+1))=0,"",INDEX('Daily Sale entry '!$AB$1:$AB$1501,$J2102+1)),1))</f>
        <v/>
      </c>
      <c r="F2102" s="6">
        <f>IF($J2102="","",IF($J2102&lt;=1500,N(INDEX('Daily Sale entry '!$AC$1:$AC$1501,$J2102+1))-IF(AND('Opening Balance'!$B$15=1,INDEX('Daily Sale entry '!$Z$1:$Z$1501,$J2102+1)="Online collection 网上收款",INDEX('Daily Sale entry '!$AA$1:$AA$1501,$J2102+1)&lt;&gt;""),N(INDEX('Daily Sale entry '!$AC$1:$AC$1501,$J2102+1))-TRUNC(N(INDEX('Daily Sale entry '!$AC$1:$AC$1501,$J2102+1))),0),N(INDEX('Daily Sale entry '!$S$1:$S$1501,$J2102-1499))-'Opening Balance'!$B$15*(N(INDEX('Daily Sale entry '!$S$1:$S$1501,$J2102-1499))-TRUNC(N(INDEX('Daily Sale entry '!$S$1:$S$1501,$J2102-1499))))))</f>
        <v/>
      </c>
      <c r="G2102" s="6">
        <f>IF($J2102="","",IF($J2102&lt;=1500,N(INDEX('Daily Sale entry '!$AD$1:$AD$1501,$J2102+1)),0))</f>
        <v/>
      </c>
      <c r="H2102" s="6">
        <f>IF($J2102="","",ROUND('Opening Balance'!$B$4+SUM($F$2:F2102)-SUM($G$2:G2102),2))</f>
        <v/>
      </c>
      <c r="J2102" s="21">
        <f>IFERROR(MATCH(ROW()-1,$L$2:$L$3001,0),"")</f>
        <v/>
      </c>
      <c r="K2102" s="34">
        <f>IF(AND('Daily Sale entry '!Q602="Collection 收款",'Daily Sale entry '!R602="Cheque 支票",'Daily Sale entry '!V602&lt;&gt;""),'Daily Sale entry '!V602+ROW()/10000000,"")</f>
        <v/>
      </c>
      <c r="L2102" s="21">
        <f>IF(K2102="","",COUNTIF($K$2:$K$3001,"&lt;"&amp;K2102)+1)</f>
        <v/>
      </c>
    </row>
    <row r="2103">
      <c r="A2103" s="5">
        <f>IF($J2103="","",IF($J2103&lt;=1500,INDEX('Daily Sale entry '!$X$1:$X$1501,$J2103+1),INDEX('Daily Sale entry '!$V$1:$V$1501,$J2103-1499)))</f>
        <v/>
      </c>
      <c r="B2103">
        <f>IF($J2103="","",IF($J2103&lt;=1500,INDEX('Daily Sale entry '!$Y$1:$Y$1501,$J2103+1)&amp;"","Buyer cheque banked 买家支票存入"&amp;IF(INDEX('Daily Sale entry '!$U$1:$U$1501,$J2103-1499)="","", " - "&amp;INDEX('Daily Sale entry '!$U$1:$U$1501,$J2103-1499))))</f>
        <v/>
      </c>
      <c r="C2103">
        <f>IF($J2103="","",IF($J2103&lt;=1500,INDEX('Daily Sale entry '!$Z$1:$Z$1501,$J2103+1)&amp;"","Cheque deposit 支票存入 (buyer 买家)"))</f>
        <v/>
      </c>
      <c r="D2103">
        <f>IF($J2103="","",IF($J2103&lt;=1500,INDEX('Daily Sale entry '!$AA$1:$AA$1501,$J2103+1)&amp;"",INDEX('Daily Sale entry '!$P$1:$P$1501,$J2103-1499)&amp;""))</f>
        <v/>
      </c>
      <c r="E2103">
        <f>IF($J2103="","",IF($J2103&lt;=1500,IF(N(INDEX('Daily Sale entry '!$AB$1:$AB$1501,$J2103+1))=0,"",INDEX('Daily Sale entry '!$AB$1:$AB$1501,$J2103+1)),1))</f>
        <v/>
      </c>
      <c r="F2103" s="6">
        <f>IF($J2103="","",IF($J2103&lt;=1500,N(INDEX('Daily Sale entry '!$AC$1:$AC$1501,$J2103+1))-IF(AND('Opening Balance'!$B$15=1,INDEX('Daily Sale entry '!$Z$1:$Z$1501,$J2103+1)="Online collection 网上收款",INDEX('Daily Sale entry '!$AA$1:$AA$1501,$J2103+1)&lt;&gt;""),N(INDEX('Daily Sale entry '!$AC$1:$AC$1501,$J2103+1))-TRUNC(N(INDEX('Daily Sale entry '!$AC$1:$AC$1501,$J2103+1))),0),N(INDEX('Daily Sale entry '!$S$1:$S$1501,$J2103-1499))-'Opening Balance'!$B$15*(N(INDEX('Daily Sale entry '!$S$1:$S$1501,$J2103-1499))-TRUNC(N(INDEX('Daily Sale entry '!$S$1:$S$1501,$J2103-1499))))))</f>
        <v/>
      </c>
      <c r="G2103" s="6">
        <f>IF($J2103="","",IF($J2103&lt;=1500,N(INDEX('Daily Sale entry '!$AD$1:$AD$1501,$J2103+1)),0))</f>
        <v/>
      </c>
      <c r="H2103" s="6">
        <f>IF($J2103="","",ROUND('Opening Balance'!$B$4+SUM($F$2:F2103)-SUM($G$2:G2103),2))</f>
        <v/>
      </c>
      <c r="J2103" s="21">
        <f>IFERROR(MATCH(ROW()-1,$L$2:$L$3001,0),"")</f>
        <v/>
      </c>
      <c r="K2103" s="34">
        <f>IF(AND('Daily Sale entry '!Q603="Collection 收款",'Daily Sale entry '!R603="Cheque 支票",'Daily Sale entry '!V603&lt;&gt;""),'Daily Sale entry '!V603+ROW()/10000000,"")</f>
        <v/>
      </c>
      <c r="L2103" s="21">
        <f>IF(K2103="","",COUNTIF($K$2:$K$3001,"&lt;"&amp;K2103)+1)</f>
        <v/>
      </c>
    </row>
    <row r="2104">
      <c r="A2104" s="5">
        <f>IF($J2104="","",IF($J2104&lt;=1500,INDEX('Daily Sale entry '!$X$1:$X$1501,$J2104+1),INDEX('Daily Sale entry '!$V$1:$V$1501,$J2104-1499)))</f>
        <v/>
      </c>
      <c r="B2104">
        <f>IF($J2104="","",IF($J2104&lt;=1500,INDEX('Daily Sale entry '!$Y$1:$Y$1501,$J2104+1)&amp;"","Buyer cheque banked 买家支票存入"&amp;IF(INDEX('Daily Sale entry '!$U$1:$U$1501,$J2104-1499)="","", " - "&amp;INDEX('Daily Sale entry '!$U$1:$U$1501,$J2104-1499))))</f>
        <v/>
      </c>
      <c r="C2104">
        <f>IF($J2104="","",IF($J2104&lt;=1500,INDEX('Daily Sale entry '!$Z$1:$Z$1501,$J2104+1)&amp;"","Cheque deposit 支票存入 (buyer 买家)"))</f>
        <v/>
      </c>
      <c r="D2104">
        <f>IF($J2104="","",IF($J2104&lt;=1500,INDEX('Daily Sale entry '!$AA$1:$AA$1501,$J2104+1)&amp;"",INDEX('Daily Sale entry '!$P$1:$P$1501,$J2104-1499)&amp;""))</f>
        <v/>
      </c>
      <c r="E2104">
        <f>IF($J2104="","",IF($J2104&lt;=1500,IF(N(INDEX('Daily Sale entry '!$AB$1:$AB$1501,$J2104+1))=0,"",INDEX('Daily Sale entry '!$AB$1:$AB$1501,$J2104+1)),1))</f>
        <v/>
      </c>
      <c r="F2104" s="6">
        <f>IF($J2104="","",IF($J2104&lt;=1500,N(INDEX('Daily Sale entry '!$AC$1:$AC$1501,$J2104+1))-IF(AND('Opening Balance'!$B$15=1,INDEX('Daily Sale entry '!$Z$1:$Z$1501,$J2104+1)="Online collection 网上收款",INDEX('Daily Sale entry '!$AA$1:$AA$1501,$J2104+1)&lt;&gt;""),N(INDEX('Daily Sale entry '!$AC$1:$AC$1501,$J2104+1))-TRUNC(N(INDEX('Daily Sale entry '!$AC$1:$AC$1501,$J2104+1))),0),N(INDEX('Daily Sale entry '!$S$1:$S$1501,$J2104-1499))-'Opening Balance'!$B$15*(N(INDEX('Daily Sale entry '!$S$1:$S$1501,$J2104-1499))-TRUNC(N(INDEX('Daily Sale entry '!$S$1:$S$1501,$J2104-1499))))))</f>
        <v/>
      </c>
      <c r="G2104" s="6">
        <f>IF($J2104="","",IF($J2104&lt;=1500,N(INDEX('Daily Sale entry '!$AD$1:$AD$1501,$J2104+1)),0))</f>
        <v/>
      </c>
      <c r="H2104" s="6">
        <f>IF($J2104="","",ROUND('Opening Balance'!$B$4+SUM($F$2:F2104)-SUM($G$2:G2104),2))</f>
        <v/>
      </c>
      <c r="J2104" s="21">
        <f>IFERROR(MATCH(ROW()-1,$L$2:$L$3001,0),"")</f>
        <v/>
      </c>
      <c r="K2104" s="34">
        <f>IF(AND('Daily Sale entry '!Q604="Collection 收款",'Daily Sale entry '!R604="Cheque 支票",'Daily Sale entry '!V604&lt;&gt;""),'Daily Sale entry '!V604+ROW()/10000000,"")</f>
        <v/>
      </c>
      <c r="L2104" s="21">
        <f>IF(K2104="","",COUNTIF($K$2:$K$3001,"&lt;"&amp;K2104)+1)</f>
        <v/>
      </c>
    </row>
    <row r="2105">
      <c r="A2105" s="5">
        <f>IF($J2105="","",IF($J2105&lt;=1500,INDEX('Daily Sale entry '!$X$1:$X$1501,$J2105+1),INDEX('Daily Sale entry '!$V$1:$V$1501,$J2105-1499)))</f>
        <v/>
      </c>
      <c r="B2105">
        <f>IF($J2105="","",IF($J2105&lt;=1500,INDEX('Daily Sale entry '!$Y$1:$Y$1501,$J2105+1)&amp;"","Buyer cheque banked 买家支票存入"&amp;IF(INDEX('Daily Sale entry '!$U$1:$U$1501,$J2105-1499)="","", " - "&amp;INDEX('Daily Sale entry '!$U$1:$U$1501,$J2105-1499))))</f>
        <v/>
      </c>
      <c r="C2105">
        <f>IF($J2105="","",IF($J2105&lt;=1500,INDEX('Daily Sale entry '!$Z$1:$Z$1501,$J2105+1)&amp;"","Cheque deposit 支票存入 (buyer 买家)"))</f>
        <v/>
      </c>
      <c r="D2105">
        <f>IF($J2105="","",IF($J2105&lt;=1500,INDEX('Daily Sale entry '!$AA$1:$AA$1501,$J2105+1)&amp;"",INDEX('Daily Sale entry '!$P$1:$P$1501,$J2105-1499)&amp;""))</f>
        <v/>
      </c>
      <c r="E2105">
        <f>IF($J2105="","",IF($J2105&lt;=1500,IF(N(INDEX('Daily Sale entry '!$AB$1:$AB$1501,$J2105+1))=0,"",INDEX('Daily Sale entry '!$AB$1:$AB$1501,$J2105+1)),1))</f>
        <v/>
      </c>
      <c r="F2105" s="6">
        <f>IF($J2105="","",IF($J2105&lt;=1500,N(INDEX('Daily Sale entry '!$AC$1:$AC$1501,$J2105+1))-IF(AND('Opening Balance'!$B$15=1,INDEX('Daily Sale entry '!$Z$1:$Z$1501,$J2105+1)="Online collection 网上收款",INDEX('Daily Sale entry '!$AA$1:$AA$1501,$J2105+1)&lt;&gt;""),N(INDEX('Daily Sale entry '!$AC$1:$AC$1501,$J2105+1))-TRUNC(N(INDEX('Daily Sale entry '!$AC$1:$AC$1501,$J2105+1))),0),N(INDEX('Daily Sale entry '!$S$1:$S$1501,$J2105-1499))-'Opening Balance'!$B$15*(N(INDEX('Daily Sale entry '!$S$1:$S$1501,$J2105-1499))-TRUNC(N(INDEX('Daily Sale entry '!$S$1:$S$1501,$J2105-1499))))))</f>
        <v/>
      </c>
      <c r="G2105" s="6">
        <f>IF($J2105="","",IF($J2105&lt;=1500,N(INDEX('Daily Sale entry '!$AD$1:$AD$1501,$J2105+1)),0))</f>
        <v/>
      </c>
      <c r="H2105" s="6">
        <f>IF($J2105="","",ROUND('Opening Balance'!$B$4+SUM($F$2:F2105)-SUM($G$2:G2105),2))</f>
        <v/>
      </c>
      <c r="J2105" s="21">
        <f>IFERROR(MATCH(ROW()-1,$L$2:$L$3001,0),"")</f>
        <v/>
      </c>
      <c r="K2105" s="34">
        <f>IF(AND('Daily Sale entry '!Q605="Collection 收款",'Daily Sale entry '!R605="Cheque 支票",'Daily Sale entry '!V605&lt;&gt;""),'Daily Sale entry '!V605+ROW()/10000000,"")</f>
        <v/>
      </c>
      <c r="L2105" s="21">
        <f>IF(K2105="","",COUNTIF($K$2:$K$3001,"&lt;"&amp;K2105)+1)</f>
        <v/>
      </c>
    </row>
    <row r="2106">
      <c r="A2106" s="5">
        <f>IF($J2106="","",IF($J2106&lt;=1500,INDEX('Daily Sale entry '!$X$1:$X$1501,$J2106+1),INDEX('Daily Sale entry '!$V$1:$V$1501,$J2106-1499)))</f>
        <v/>
      </c>
      <c r="B2106">
        <f>IF($J2106="","",IF($J2106&lt;=1500,INDEX('Daily Sale entry '!$Y$1:$Y$1501,$J2106+1)&amp;"","Buyer cheque banked 买家支票存入"&amp;IF(INDEX('Daily Sale entry '!$U$1:$U$1501,$J2106-1499)="","", " - "&amp;INDEX('Daily Sale entry '!$U$1:$U$1501,$J2106-1499))))</f>
        <v/>
      </c>
      <c r="C2106">
        <f>IF($J2106="","",IF($J2106&lt;=1500,INDEX('Daily Sale entry '!$Z$1:$Z$1501,$J2106+1)&amp;"","Cheque deposit 支票存入 (buyer 买家)"))</f>
        <v/>
      </c>
      <c r="D2106">
        <f>IF($J2106="","",IF($J2106&lt;=1500,INDEX('Daily Sale entry '!$AA$1:$AA$1501,$J2106+1)&amp;"",INDEX('Daily Sale entry '!$P$1:$P$1501,$J2106-1499)&amp;""))</f>
        <v/>
      </c>
      <c r="E2106">
        <f>IF($J2106="","",IF($J2106&lt;=1500,IF(N(INDEX('Daily Sale entry '!$AB$1:$AB$1501,$J2106+1))=0,"",INDEX('Daily Sale entry '!$AB$1:$AB$1501,$J2106+1)),1))</f>
        <v/>
      </c>
      <c r="F2106" s="6">
        <f>IF($J2106="","",IF($J2106&lt;=1500,N(INDEX('Daily Sale entry '!$AC$1:$AC$1501,$J2106+1))-IF(AND('Opening Balance'!$B$15=1,INDEX('Daily Sale entry '!$Z$1:$Z$1501,$J2106+1)="Online collection 网上收款",INDEX('Daily Sale entry '!$AA$1:$AA$1501,$J2106+1)&lt;&gt;""),N(INDEX('Daily Sale entry '!$AC$1:$AC$1501,$J2106+1))-TRUNC(N(INDEX('Daily Sale entry '!$AC$1:$AC$1501,$J2106+1))),0),N(INDEX('Daily Sale entry '!$S$1:$S$1501,$J2106-1499))-'Opening Balance'!$B$15*(N(INDEX('Daily Sale entry '!$S$1:$S$1501,$J2106-1499))-TRUNC(N(INDEX('Daily Sale entry '!$S$1:$S$1501,$J2106-1499))))))</f>
        <v/>
      </c>
      <c r="G2106" s="6">
        <f>IF($J2106="","",IF($J2106&lt;=1500,N(INDEX('Daily Sale entry '!$AD$1:$AD$1501,$J2106+1)),0))</f>
        <v/>
      </c>
      <c r="H2106" s="6">
        <f>IF($J2106="","",ROUND('Opening Balance'!$B$4+SUM($F$2:F2106)-SUM($G$2:G2106),2))</f>
        <v/>
      </c>
      <c r="J2106" s="21">
        <f>IFERROR(MATCH(ROW()-1,$L$2:$L$3001,0),"")</f>
        <v/>
      </c>
      <c r="K2106" s="34">
        <f>IF(AND('Daily Sale entry '!Q606="Collection 收款",'Daily Sale entry '!R606="Cheque 支票",'Daily Sale entry '!V606&lt;&gt;""),'Daily Sale entry '!V606+ROW()/10000000,"")</f>
        <v/>
      </c>
      <c r="L2106" s="21">
        <f>IF(K2106="","",COUNTIF($K$2:$K$3001,"&lt;"&amp;K2106)+1)</f>
        <v/>
      </c>
    </row>
    <row r="2107">
      <c r="A2107" s="5">
        <f>IF($J2107="","",IF($J2107&lt;=1500,INDEX('Daily Sale entry '!$X$1:$X$1501,$J2107+1),INDEX('Daily Sale entry '!$V$1:$V$1501,$J2107-1499)))</f>
        <v/>
      </c>
      <c r="B2107">
        <f>IF($J2107="","",IF($J2107&lt;=1500,INDEX('Daily Sale entry '!$Y$1:$Y$1501,$J2107+1)&amp;"","Buyer cheque banked 买家支票存入"&amp;IF(INDEX('Daily Sale entry '!$U$1:$U$1501,$J2107-1499)="","", " - "&amp;INDEX('Daily Sale entry '!$U$1:$U$1501,$J2107-1499))))</f>
        <v/>
      </c>
      <c r="C2107">
        <f>IF($J2107="","",IF($J2107&lt;=1500,INDEX('Daily Sale entry '!$Z$1:$Z$1501,$J2107+1)&amp;"","Cheque deposit 支票存入 (buyer 买家)"))</f>
        <v/>
      </c>
      <c r="D2107">
        <f>IF($J2107="","",IF($J2107&lt;=1500,INDEX('Daily Sale entry '!$AA$1:$AA$1501,$J2107+1)&amp;"",INDEX('Daily Sale entry '!$P$1:$P$1501,$J2107-1499)&amp;""))</f>
        <v/>
      </c>
      <c r="E2107">
        <f>IF($J2107="","",IF($J2107&lt;=1500,IF(N(INDEX('Daily Sale entry '!$AB$1:$AB$1501,$J2107+1))=0,"",INDEX('Daily Sale entry '!$AB$1:$AB$1501,$J2107+1)),1))</f>
        <v/>
      </c>
      <c r="F2107" s="6">
        <f>IF($J2107="","",IF($J2107&lt;=1500,N(INDEX('Daily Sale entry '!$AC$1:$AC$1501,$J2107+1))-IF(AND('Opening Balance'!$B$15=1,INDEX('Daily Sale entry '!$Z$1:$Z$1501,$J2107+1)="Online collection 网上收款",INDEX('Daily Sale entry '!$AA$1:$AA$1501,$J2107+1)&lt;&gt;""),N(INDEX('Daily Sale entry '!$AC$1:$AC$1501,$J2107+1))-TRUNC(N(INDEX('Daily Sale entry '!$AC$1:$AC$1501,$J2107+1))),0),N(INDEX('Daily Sale entry '!$S$1:$S$1501,$J2107-1499))-'Opening Balance'!$B$15*(N(INDEX('Daily Sale entry '!$S$1:$S$1501,$J2107-1499))-TRUNC(N(INDEX('Daily Sale entry '!$S$1:$S$1501,$J2107-1499))))))</f>
        <v/>
      </c>
      <c r="G2107" s="6">
        <f>IF($J2107="","",IF($J2107&lt;=1500,N(INDEX('Daily Sale entry '!$AD$1:$AD$1501,$J2107+1)),0))</f>
        <v/>
      </c>
      <c r="H2107" s="6">
        <f>IF($J2107="","",ROUND('Opening Balance'!$B$4+SUM($F$2:F2107)-SUM($G$2:G2107),2))</f>
        <v/>
      </c>
      <c r="J2107" s="21">
        <f>IFERROR(MATCH(ROW()-1,$L$2:$L$3001,0),"")</f>
        <v/>
      </c>
      <c r="K2107" s="34">
        <f>IF(AND('Daily Sale entry '!Q607="Collection 收款",'Daily Sale entry '!R607="Cheque 支票",'Daily Sale entry '!V607&lt;&gt;""),'Daily Sale entry '!V607+ROW()/10000000,"")</f>
        <v/>
      </c>
      <c r="L2107" s="21">
        <f>IF(K2107="","",COUNTIF($K$2:$K$3001,"&lt;"&amp;K2107)+1)</f>
        <v/>
      </c>
    </row>
    <row r="2108">
      <c r="A2108" s="5">
        <f>IF($J2108="","",IF($J2108&lt;=1500,INDEX('Daily Sale entry '!$X$1:$X$1501,$J2108+1),INDEX('Daily Sale entry '!$V$1:$V$1501,$J2108-1499)))</f>
        <v/>
      </c>
      <c r="B2108">
        <f>IF($J2108="","",IF($J2108&lt;=1500,INDEX('Daily Sale entry '!$Y$1:$Y$1501,$J2108+1)&amp;"","Buyer cheque banked 买家支票存入"&amp;IF(INDEX('Daily Sale entry '!$U$1:$U$1501,$J2108-1499)="","", " - "&amp;INDEX('Daily Sale entry '!$U$1:$U$1501,$J2108-1499))))</f>
        <v/>
      </c>
      <c r="C2108">
        <f>IF($J2108="","",IF($J2108&lt;=1500,INDEX('Daily Sale entry '!$Z$1:$Z$1501,$J2108+1)&amp;"","Cheque deposit 支票存入 (buyer 买家)"))</f>
        <v/>
      </c>
      <c r="D2108">
        <f>IF($J2108="","",IF($J2108&lt;=1500,INDEX('Daily Sale entry '!$AA$1:$AA$1501,$J2108+1)&amp;"",INDEX('Daily Sale entry '!$P$1:$P$1501,$J2108-1499)&amp;""))</f>
        <v/>
      </c>
      <c r="E2108">
        <f>IF($J2108="","",IF($J2108&lt;=1500,IF(N(INDEX('Daily Sale entry '!$AB$1:$AB$1501,$J2108+1))=0,"",INDEX('Daily Sale entry '!$AB$1:$AB$1501,$J2108+1)),1))</f>
        <v/>
      </c>
      <c r="F2108" s="6">
        <f>IF($J2108="","",IF($J2108&lt;=1500,N(INDEX('Daily Sale entry '!$AC$1:$AC$1501,$J2108+1))-IF(AND('Opening Balance'!$B$15=1,INDEX('Daily Sale entry '!$Z$1:$Z$1501,$J2108+1)="Online collection 网上收款",INDEX('Daily Sale entry '!$AA$1:$AA$1501,$J2108+1)&lt;&gt;""),N(INDEX('Daily Sale entry '!$AC$1:$AC$1501,$J2108+1))-TRUNC(N(INDEX('Daily Sale entry '!$AC$1:$AC$1501,$J2108+1))),0),N(INDEX('Daily Sale entry '!$S$1:$S$1501,$J2108-1499))-'Opening Balance'!$B$15*(N(INDEX('Daily Sale entry '!$S$1:$S$1501,$J2108-1499))-TRUNC(N(INDEX('Daily Sale entry '!$S$1:$S$1501,$J2108-1499))))))</f>
        <v/>
      </c>
      <c r="G2108" s="6">
        <f>IF($J2108="","",IF($J2108&lt;=1500,N(INDEX('Daily Sale entry '!$AD$1:$AD$1501,$J2108+1)),0))</f>
        <v/>
      </c>
      <c r="H2108" s="6">
        <f>IF($J2108="","",ROUND('Opening Balance'!$B$4+SUM($F$2:F2108)-SUM($G$2:G2108),2))</f>
        <v/>
      </c>
      <c r="J2108" s="21">
        <f>IFERROR(MATCH(ROW()-1,$L$2:$L$3001,0),"")</f>
        <v/>
      </c>
      <c r="K2108" s="34">
        <f>IF(AND('Daily Sale entry '!Q608="Collection 收款",'Daily Sale entry '!R608="Cheque 支票",'Daily Sale entry '!V608&lt;&gt;""),'Daily Sale entry '!V608+ROW()/10000000,"")</f>
        <v/>
      </c>
      <c r="L2108" s="21">
        <f>IF(K2108="","",COUNTIF($K$2:$K$3001,"&lt;"&amp;K2108)+1)</f>
        <v/>
      </c>
    </row>
    <row r="2109">
      <c r="A2109" s="5">
        <f>IF($J2109="","",IF($J2109&lt;=1500,INDEX('Daily Sale entry '!$X$1:$X$1501,$J2109+1),INDEX('Daily Sale entry '!$V$1:$V$1501,$J2109-1499)))</f>
        <v/>
      </c>
      <c r="B2109">
        <f>IF($J2109="","",IF($J2109&lt;=1500,INDEX('Daily Sale entry '!$Y$1:$Y$1501,$J2109+1)&amp;"","Buyer cheque banked 买家支票存入"&amp;IF(INDEX('Daily Sale entry '!$U$1:$U$1501,$J2109-1499)="","", " - "&amp;INDEX('Daily Sale entry '!$U$1:$U$1501,$J2109-1499))))</f>
        <v/>
      </c>
      <c r="C2109">
        <f>IF($J2109="","",IF($J2109&lt;=1500,INDEX('Daily Sale entry '!$Z$1:$Z$1501,$J2109+1)&amp;"","Cheque deposit 支票存入 (buyer 买家)"))</f>
        <v/>
      </c>
      <c r="D2109">
        <f>IF($J2109="","",IF($J2109&lt;=1500,INDEX('Daily Sale entry '!$AA$1:$AA$1501,$J2109+1)&amp;"",INDEX('Daily Sale entry '!$P$1:$P$1501,$J2109-1499)&amp;""))</f>
        <v/>
      </c>
      <c r="E2109">
        <f>IF($J2109="","",IF($J2109&lt;=1500,IF(N(INDEX('Daily Sale entry '!$AB$1:$AB$1501,$J2109+1))=0,"",INDEX('Daily Sale entry '!$AB$1:$AB$1501,$J2109+1)),1))</f>
        <v/>
      </c>
      <c r="F2109" s="6">
        <f>IF($J2109="","",IF($J2109&lt;=1500,N(INDEX('Daily Sale entry '!$AC$1:$AC$1501,$J2109+1))-IF(AND('Opening Balance'!$B$15=1,INDEX('Daily Sale entry '!$Z$1:$Z$1501,$J2109+1)="Online collection 网上收款",INDEX('Daily Sale entry '!$AA$1:$AA$1501,$J2109+1)&lt;&gt;""),N(INDEX('Daily Sale entry '!$AC$1:$AC$1501,$J2109+1))-TRUNC(N(INDEX('Daily Sale entry '!$AC$1:$AC$1501,$J2109+1))),0),N(INDEX('Daily Sale entry '!$S$1:$S$1501,$J2109-1499))-'Opening Balance'!$B$15*(N(INDEX('Daily Sale entry '!$S$1:$S$1501,$J2109-1499))-TRUNC(N(INDEX('Daily Sale entry '!$S$1:$S$1501,$J2109-1499))))))</f>
        <v/>
      </c>
      <c r="G2109" s="6">
        <f>IF($J2109="","",IF($J2109&lt;=1500,N(INDEX('Daily Sale entry '!$AD$1:$AD$1501,$J2109+1)),0))</f>
        <v/>
      </c>
      <c r="H2109" s="6">
        <f>IF($J2109="","",ROUND('Opening Balance'!$B$4+SUM($F$2:F2109)-SUM($G$2:G2109),2))</f>
        <v/>
      </c>
      <c r="J2109" s="21">
        <f>IFERROR(MATCH(ROW()-1,$L$2:$L$3001,0),"")</f>
        <v/>
      </c>
      <c r="K2109" s="34">
        <f>IF(AND('Daily Sale entry '!Q609="Collection 收款",'Daily Sale entry '!R609="Cheque 支票",'Daily Sale entry '!V609&lt;&gt;""),'Daily Sale entry '!V609+ROW()/10000000,"")</f>
        <v/>
      </c>
      <c r="L2109" s="21">
        <f>IF(K2109="","",COUNTIF($K$2:$K$3001,"&lt;"&amp;K2109)+1)</f>
        <v/>
      </c>
    </row>
    <row r="2110">
      <c r="A2110" s="5">
        <f>IF($J2110="","",IF($J2110&lt;=1500,INDEX('Daily Sale entry '!$X$1:$X$1501,$J2110+1),INDEX('Daily Sale entry '!$V$1:$V$1501,$J2110-1499)))</f>
        <v/>
      </c>
      <c r="B2110">
        <f>IF($J2110="","",IF($J2110&lt;=1500,INDEX('Daily Sale entry '!$Y$1:$Y$1501,$J2110+1)&amp;"","Buyer cheque banked 买家支票存入"&amp;IF(INDEX('Daily Sale entry '!$U$1:$U$1501,$J2110-1499)="","", " - "&amp;INDEX('Daily Sale entry '!$U$1:$U$1501,$J2110-1499))))</f>
        <v/>
      </c>
      <c r="C2110">
        <f>IF($J2110="","",IF($J2110&lt;=1500,INDEX('Daily Sale entry '!$Z$1:$Z$1501,$J2110+1)&amp;"","Cheque deposit 支票存入 (buyer 买家)"))</f>
        <v/>
      </c>
      <c r="D2110">
        <f>IF($J2110="","",IF($J2110&lt;=1500,INDEX('Daily Sale entry '!$AA$1:$AA$1501,$J2110+1)&amp;"",INDEX('Daily Sale entry '!$P$1:$P$1501,$J2110-1499)&amp;""))</f>
        <v/>
      </c>
      <c r="E2110">
        <f>IF($J2110="","",IF($J2110&lt;=1500,IF(N(INDEX('Daily Sale entry '!$AB$1:$AB$1501,$J2110+1))=0,"",INDEX('Daily Sale entry '!$AB$1:$AB$1501,$J2110+1)),1))</f>
        <v/>
      </c>
      <c r="F2110" s="6">
        <f>IF($J2110="","",IF($J2110&lt;=1500,N(INDEX('Daily Sale entry '!$AC$1:$AC$1501,$J2110+1))-IF(AND('Opening Balance'!$B$15=1,INDEX('Daily Sale entry '!$Z$1:$Z$1501,$J2110+1)="Online collection 网上收款",INDEX('Daily Sale entry '!$AA$1:$AA$1501,$J2110+1)&lt;&gt;""),N(INDEX('Daily Sale entry '!$AC$1:$AC$1501,$J2110+1))-TRUNC(N(INDEX('Daily Sale entry '!$AC$1:$AC$1501,$J2110+1))),0),N(INDEX('Daily Sale entry '!$S$1:$S$1501,$J2110-1499))-'Opening Balance'!$B$15*(N(INDEX('Daily Sale entry '!$S$1:$S$1501,$J2110-1499))-TRUNC(N(INDEX('Daily Sale entry '!$S$1:$S$1501,$J2110-1499))))))</f>
        <v/>
      </c>
      <c r="G2110" s="6">
        <f>IF($J2110="","",IF($J2110&lt;=1500,N(INDEX('Daily Sale entry '!$AD$1:$AD$1501,$J2110+1)),0))</f>
        <v/>
      </c>
      <c r="H2110" s="6">
        <f>IF($J2110="","",ROUND('Opening Balance'!$B$4+SUM($F$2:F2110)-SUM($G$2:G2110),2))</f>
        <v/>
      </c>
      <c r="J2110" s="21">
        <f>IFERROR(MATCH(ROW()-1,$L$2:$L$3001,0),"")</f>
        <v/>
      </c>
      <c r="K2110" s="34">
        <f>IF(AND('Daily Sale entry '!Q610="Collection 收款",'Daily Sale entry '!R610="Cheque 支票",'Daily Sale entry '!V610&lt;&gt;""),'Daily Sale entry '!V610+ROW()/10000000,"")</f>
        <v/>
      </c>
      <c r="L2110" s="21">
        <f>IF(K2110="","",COUNTIF($K$2:$K$3001,"&lt;"&amp;K2110)+1)</f>
        <v/>
      </c>
    </row>
    <row r="2111">
      <c r="A2111" s="5">
        <f>IF($J2111="","",IF($J2111&lt;=1500,INDEX('Daily Sale entry '!$X$1:$X$1501,$J2111+1),INDEX('Daily Sale entry '!$V$1:$V$1501,$J2111-1499)))</f>
        <v/>
      </c>
      <c r="B2111">
        <f>IF($J2111="","",IF($J2111&lt;=1500,INDEX('Daily Sale entry '!$Y$1:$Y$1501,$J2111+1)&amp;"","Buyer cheque banked 买家支票存入"&amp;IF(INDEX('Daily Sale entry '!$U$1:$U$1501,$J2111-1499)="","", " - "&amp;INDEX('Daily Sale entry '!$U$1:$U$1501,$J2111-1499))))</f>
        <v/>
      </c>
      <c r="C2111">
        <f>IF($J2111="","",IF($J2111&lt;=1500,INDEX('Daily Sale entry '!$Z$1:$Z$1501,$J2111+1)&amp;"","Cheque deposit 支票存入 (buyer 买家)"))</f>
        <v/>
      </c>
      <c r="D2111">
        <f>IF($J2111="","",IF($J2111&lt;=1500,INDEX('Daily Sale entry '!$AA$1:$AA$1501,$J2111+1)&amp;"",INDEX('Daily Sale entry '!$P$1:$P$1501,$J2111-1499)&amp;""))</f>
        <v/>
      </c>
      <c r="E2111">
        <f>IF($J2111="","",IF($J2111&lt;=1500,IF(N(INDEX('Daily Sale entry '!$AB$1:$AB$1501,$J2111+1))=0,"",INDEX('Daily Sale entry '!$AB$1:$AB$1501,$J2111+1)),1))</f>
        <v/>
      </c>
      <c r="F2111" s="6">
        <f>IF($J2111="","",IF($J2111&lt;=1500,N(INDEX('Daily Sale entry '!$AC$1:$AC$1501,$J2111+1))-IF(AND('Opening Balance'!$B$15=1,INDEX('Daily Sale entry '!$Z$1:$Z$1501,$J2111+1)="Online collection 网上收款",INDEX('Daily Sale entry '!$AA$1:$AA$1501,$J2111+1)&lt;&gt;""),N(INDEX('Daily Sale entry '!$AC$1:$AC$1501,$J2111+1))-TRUNC(N(INDEX('Daily Sale entry '!$AC$1:$AC$1501,$J2111+1))),0),N(INDEX('Daily Sale entry '!$S$1:$S$1501,$J2111-1499))-'Opening Balance'!$B$15*(N(INDEX('Daily Sale entry '!$S$1:$S$1501,$J2111-1499))-TRUNC(N(INDEX('Daily Sale entry '!$S$1:$S$1501,$J2111-1499))))))</f>
        <v/>
      </c>
      <c r="G2111" s="6">
        <f>IF($J2111="","",IF($J2111&lt;=1500,N(INDEX('Daily Sale entry '!$AD$1:$AD$1501,$J2111+1)),0))</f>
        <v/>
      </c>
      <c r="H2111" s="6">
        <f>IF($J2111="","",ROUND('Opening Balance'!$B$4+SUM($F$2:F2111)-SUM($G$2:G2111),2))</f>
        <v/>
      </c>
      <c r="J2111" s="21">
        <f>IFERROR(MATCH(ROW()-1,$L$2:$L$3001,0),"")</f>
        <v/>
      </c>
      <c r="K2111" s="34">
        <f>IF(AND('Daily Sale entry '!Q611="Collection 收款",'Daily Sale entry '!R611="Cheque 支票",'Daily Sale entry '!V611&lt;&gt;""),'Daily Sale entry '!V611+ROW()/10000000,"")</f>
        <v/>
      </c>
      <c r="L2111" s="21">
        <f>IF(K2111="","",COUNTIF($K$2:$K$3001,"&lt;"&amp;K2111)+1)</f>
        <v/>
      </c>
    </row>
    <row r="2112">
      <c r="A2112" s="5">
        <f>IF($J2112="","",IF($J2112&lt;=1500,INDEX('Daily Sale entry '!$X$1:$X$1501,$J2112+1),INDEX('Daily Sale entry '!$V$1:$V$1501,$J2112-1499)))</f>
        <v/>
      </c>
      <c r="B2112">
        <f>IF($J2112="","",IF($J2112&lt;=1500,INDEX('Daily Sale entry '!$Y$1:$Y$1501,$J2112+1)&amp;"","Buyer cheque banked 买家支票存入"&amp;IF(INDEX('Daily Sale entry '!$U$1:$U$1501,$J2112-1499)="","", " - "&amp;INDEX('Daily Sale entry '!$U$1:$U$1501,$J2112-1499))))</f>
        <v/>
      </c>
      <c r="C2112">
        <f>IF($J2112="","",IF($J2112&lt;=1500,INDEX('Daily Sale entry '!$Z$1:$Z$1501,$J2112+1)&amp;"","Cheque deposit 支票存入 (buyer 买家)"))</f>
        <v/>
      </c>
      <c r="D2112">
        <f>IF($J2112="","",IF($J2112&lt;=1500,INDEX('Daily Sale entry '!$AA$1:$AA$1501,$J2112+1)&amp;"",INDEX('Daily Sale entry '!$P$1:$P$1501,$J2112-1499)&amp;""))</f>
        <v/>
      </c>
      <c r="E2112">
        <f>IF($J2112="","",IF($J2112&lt;=1500,IF(N(INDEX('Daily Sale entry '!$AB$1:$AB$1501,$J2112+1))=0,"",INDEX('Daily Sale entry '!$AB$1:$AB$1501,$J2112+1)),1))</f>
        <v/>
      </c>
      <c r="F2112" s="6">
        <f>IF($J2112="","",IF($J2112&lt;=1500,N(INDEX('Daily Sale entry '!$AC$1:$AC$1501,$J2112+1))-IF(AND('Opening Balance'!$B$15=1,INDEX('Daily Sale entry '!$Z$1:$Z$1501,$J2112+1)="Online collection 网上收款",INDEX('Daily Sale entry '!$AA$1:$AA$1501,$J2112+1)&lt;&gt;""),N(INDEX('Daily Sale entry '!$AC$1:$AC$1501,$J2112+1))-TRUNC(N(INDEX('Daily Sale entry '!$AC$1:$AC$1501,$J2112+1))),0),N(INDEX('Daily Sale entry '!$S$1:$S$1501,$J2112-1499))-'Opening Balance'!$B$15*(N(INDEX('Daily Sale entry '!$S$1:$S$1501,$J2112-1499))-TRUNC(N(INDEX('Daily Sale entry '!$S$1:$S$1501,$J2112-1499))))))</f>
        <v/>
      </c>
      <c r="G2112" s="6">
        <f>IF($J2112="","",IF($J2112&lt;=1500,N(INDEX('Daily Sale entry '!$AD$1:$AD$1501,$J2112+1)),0))</f>
        <v/>
      </c>
      <c r="H2112" s="6">
        <f>IF($J2112="","",ROUND('Opening Balance'!$B$4+SUM($F$2:F2112)-SUM($G$2:G2112),2))</f>
        <v/>
      </c>
      <c r="J2112" s="21">
        <f>IFERROR(MATCH(ROW()-1,$L$2:$L$3001,0),"")</f>
        <v/>
      </c>
      <c r="K2112" s="34">
        <f>IF(AND('Daily Sale entry '!Q612="Collection 收款",'Daily Sale entry '!R612="Cheque 支票",'Daily Sale entry '!V612&lt;&gt;""),'Daily Sale entry '!V612+ROW()/10000000,"")</f>
        <v/>
      </c>
      <c r="L2112" s="21">
        <f>IF(K2112="","",COUNTIF($K$2:$K$3001,"&lt;"&amp;K2112)+1)</f>
        <v/>
      </c>
    </row>
    <row r="2113">
      <c r="A2113" s="5">
        <f>IF($J2113="","",IF($J2113&lt;=1500,INDEX('Daily Sale entry '!$X$1:$X$1501,$J2113+1),INDEX('Daily Sale entry '!$V$1:$V$1501,$J2113-1499)))</f>
        <v/>
      </c>
      <c r="B2113">
        <f>IF($J2113="","",IF($J2113&lt;=1500,INDEX('Daily Sale entry '!$Y$1:$Y$1501,$J2113+1)&amp;"","Buyer cheque banked 买家支票存入"&amp;IF(INDEX('Daily Sale entry '!$U$1:$U$1501,$J2113-1499)="","", " - "&amp;INDEX('Daily Sale entry '!$U$1:$U$1501,$J2113-1499))))</f>
        <v/>
      </c>
      <c r="C2113">
        <f>IF($J2113="","",IF($J2113&lt;=1500,INDEX('Daily Sale entry '!$Z$1:$Z$1501,$J2113+1)&amp;"","Cheque deposit 支票存入 (buyer 买家)"))</f>
        <v/>
      </c>
      <c r="D2113">
        <f>IF($J2113="","",IF($J2113&lt;=1500,INDEX('Daily Sale entry '!$AA$1:$AA$1501,$J2113+1)&amp;"",INDEX('Daily Sale entry '!$P$1:$P$1501,$J2113-1499)&amp;""))</f>
        <v/>
      </c>
      <c r="E2113">
        <f>IF($J2113="","",IF($J2113&lt;=1500,IF(N(INDEX('Daily Sale entry '!$AB$1:$AB$1501,$J2113+1))=0,"",INDEX('Daily Sale entry '!$AB$1:$AB$1501,$J2113+1)),1))</f>
        <v/>
      </c>
      <c r="F2113" s="6">
        <f>IF($J2113="","",IF($J2113&lt;=1500,N(INDEX('Daily Sale entry '!$AC$1:$AC$1501,$J2113+1))-IF(AND('Opening Balance'!$B$15=1,INDEX('Daily Sale entry '!$Z$1:$Z$1501,$J2113+1)="Online collection 网上收款",INDEX('Daily Sale entry '!$AA$1:$AA$1501,$J2113+1)&lt;&gt;""),N(INDEX('Daily Sale entry '!$AC$1:$AC$1501,$J2113+1))-TRUNC(N(INDEX('Daily Sale entry '!$AC$1:$AC$1501,$J2113+1))),0),N(INDEX('Daily Sale entry '!$S$1:$S$1501,$J2113-1499))-'Opening Balance'!$B$15*(N(INDEX('Daily Sale entry '!$S$1:$S$1501,$J2113-1499))-TRUNC(N(INDEX('Daily Sale entry '!$S$1:$S$1501,$J2113-1499))))))</f>
        <v/>
      </c>
      <c r="G2113" s="6">
        <f>IF($J2113="","",IF($J2113&lt;=1500,N(INDEX('Daily Sale entry '!$AD$1:$AD$1501,$J2113+1)),0))</f>
        <v/>
      </c>
      <c r="H2113" s="6">
        <f>IF($J2113="","",ROUND('Opening Balance'!$B$4+SUM($F$2:F2113)-SUM($G$2:G2113),2))</f>
        <v/>
      </c>
      <c r="J2113" s="21">
        <f>IFERROR(MATCH(ROW()-1,$L$2:$L$3001,0),"")</f>
        <v/>
      </c>
      <c r="K2113" s="34">
        <f>IF(AND('Daily Sale entry '!Q613="Collection 收款",'Daily Sale entry '!R613="Cheque 支票",'Daily Sale entry '!V613&lt;&gt;""),'Daily Sale entry '!V613+ROW()/10000000,"")</f>
        <v/>
      </c>
      <c r="L2113" s="21">
        <f>IF(K2113="","",COUNTIF($K$2:$K$3001,"&lt;"&amp;K2113)+1)</f>
        <v/>
      </c>
    </row>
    <row r="2114">
      <c r="A2114" s="5">
        <f>IF($J2114="","",IF($J2114&lt;=1500,INDEX('Daily Sale entry '!$X$1:$X$1501,$J2114+1),INDEX('Daily Sale entry '!$V$1:$V$1501,$J2114-1499)))</f>
        <v/>
      </c>
      <c r="B2114">
        <f>IF($J2114="","",IF($J2114&lt;=1500,INDEX('Daily Sale entry '!$Y$1:$Y$1501,$J2114+1)&amp;"","Buyer cheque banked 买家支票存入"&amp;IF(INDEX('Daily Sale entry '!$U$1:$U$1501,$J2114-1499)="","", " - "&amp;INDEX('Daily Sale entry '!$U$1:$U$1501,$J2114-1499))))</f>
        <v/>
      </c>
      <c r="C2114">
        <f>IF($J2114="","",IF($J2114&lt;=1500,INDEX('Daily Sale entry '!$Z$1:$Z$1501,$J2114+1)&amp;"","Cheque deposit 支票存入 (buyer 买家)"))</f>
        <v/>
      </c>
      <c r="D2114">
        <f>IF($J2114="","",IF($J2114&lt;=1500,INDEX('Daily Sale entry '!$AA$1:$AA$1501,$J2114+1)&amp;"",INDEX('Daily Sale entry '!$P$1:$P$1501,$J2114-1499)&amp;""))</f>
        <v/>
      </c>
      <c r="E2114">
        <f>IF($J2114="","",IF($J2114&lt;=1500,IF(N(INDEX('Daily Sale entry '!$AB$1:$AB$1501,$J2114+1))=0,"",INDEX('Daily Sale entry '!$AB$1:$AB$1501,$J2114+1)),1))</f>
        <v/>
      </c>
      <c r="F2114" s="6">
        <f>IF($J2114="","",IF($J2114&lt;=1500,N(INDEX('Daily Sale entry '!$AC$1:$AC$1501,$J2114+1))-IF(AND('Opening Balance'!$B$15=1,INDEX('Daily Sale entry '!$Z$1:$Z$1501,$J2114+1)="Online collection 网上收款",INDEX('Daily Sale entry '!$AA$1:$AA$1501,$J2114+1)&lt;&gt;""),N(INDEX('Daily Sale entry '!$AC$1:$AC$1501,$J2114+1))-TRUNC(N(INDEX('Daily Sale entry '!$AC$1:$AC$1501,$J2114+1))),0),N(INDEX('Daily Sale entry '!$S$1:$S$1501,$J2114-1499))-'Opening Balance'!$B$15*(N(INDEX('Daily Sale entry '!$S$1:$S$1501,$J2114-1499))-TRUNC(N(INDEX('Daily Sale entry '!$S$1:$S$1501,$J2114-1499))))))</f>
        <v/>
      </c>
      <c r="G2114" s="6">
        <f>IF($J2114="","",IF($J2114&lt;=1500,N(INDEX('Daily Sale entry '!$AD$1:$AD$1501,$J2114+1)),0))</f>
        <v/>
      </c>
      <c r="H2114" s="6">
        <f>IF($J2114="","",ROUND('Opening Balance'!$B$4+SUM($F$2:F2114)-SUM($G$2:G2114),2))</f>
        <v/>
      </c>
      <c r="J2114" s="21">
        <f>IFERROR(MATCH(ROW()-1,$L$2:$L$3001,0),"")</f>
        <v/>
      </c>
      <c r="K2114" s="34">
        <f>IF(AND('Daily Sale entry '!Q614="Collection 收款",'Daily Sale entry '!R614="Cheque 支票",'Daily Sale entry '!V614&lt;&gt;""),'Daily Sale entry '!V614+ROW()/10000000,"")</f>
        <v/>
      </c>
      <c r="L2114" s="21">
        <f>IF(K2114="","",COUNTIF($K$2:$K$3001,"&lt;"&amp;K2114)+1)</f>
        <v/>
      </c>
    </row>
    <row r="2115">
      <c r="A2115" s="5">
        <f>IF($J2115="","",IF($J2115&lt;=1500,INDEX('Daily Sale entry '!$X$1:$X$1501,$J2115+1),INDEX('Daily Sale entry '!$V$1:$V$1501,$J2115-1499)))</f>
        <v/>
      </c>
      <c r="B2115">
        <f>IF($J2115="","",IF($J2115&lt;=1500,INDEX('Daily Sale entry '!$Y$1:$Y$1501,$J2115+1)&amp;"","Buyer cheque banked 买家支票存入"&amp;IF(INDEX('Daily Sale entry '!$U$1:$U$1501,$J2115-1499)="","", " - "&amp;INDEX('Daily Sale entry '!$U$1:$U$1501,$J2115-1499))))</f>
        <v/>
      </c>
      <c r="C2115">
        <f>IF($J2115="","",IF($J2115&lt;=1500,INDEX('Daily Sale entry '!$Z$1:$Z$1501,$J2115+1)&amp;"","Cheque deposit 支票存入 (buyer 买家)"))</f>
        <v/>
      </c>
      <c r="D2115">
        <f>IF($J2115="","",IF($J2115&lt;=1500,INDEX('Daily Sale entry '!$AA$1:$AA$1501,$J2115+1)&amp;"",INDEX('Daily Sale entry '!$P$1:$P$1501,$J2115-1499)&amp;""))</f>
        <v/>
      </c>
      <c r="E2115">
        <f>IF($J2115="","",IF($J2115&lt;=1500,IF(N(INDEX('Daily Sale entry '!$AB$1:$AB$1501,$J2115+1))=0,"",INDEX('Daily Sale entry '!$AB$1:$AB$1501,$J2115+1)),1))</f>
        <v/>
      </c>
      <c r="F2115" s="6">
        <f>IF($J2115="","",IF($J2115&lt;=1500,N(INDEX('Daily Sale entry '!$AC$1:$AC$1501,$J2115+1))-IF(AND('Opening Balance'!$B$15=1,INDEX('Daily Sale entry '!$Z$1:$Z$1501,$J2115+1)="Online collection 网上收款",INDEX('Daily Sale entry '!$AA$1:$AA$1501,$J2115+1)&lt;&gt;""),N(INDEX('Daily Sale entry '!$AC$1:$AC$1501,$J2115+1))-TRUNC(N(INDEX('Daily Sale entry '!$AC$1:$AC$1501,$J2115+1))),0),N(INDEX('Daily Sale entry '!$S$1:$S$1501,$J2115-1499))-'Opening Balance'!$B$15*(N(INDEX('Daily Sale entry '!$S$1:$S$1501,$J2115-1499))-TRUNC(N(INDEX('Daily Sale entry '!$S$1:$S$1501,$J2115-1499))))))</f>
        <v/>
      </c>
      <c r="G2115" s="6">
        <f>IF($J2115="","",IF($J2115&lt;=1500,N(INDEX('Daily Sale entry '!$AD$1:$AD$1501,$J2115+1)),0))</f>
        <v/>
      </c>
      <c r="H2115" s="6">
        <f>IF($J2115="","",ROUND('Opening Balance'!$B$4+SUM($F$2:F2115)-SUM($G$2:G2115),2))</f>
        <v/>
      </c>
      <c r="J2115" s="21">
        <f>IFERROR(MATCH(ROW()-1,$L$2:$L$3001,0),"")</f>
        <v/>
      </c>
      <c r="K2115" s="34">
        <f>IF(AND('Daily Sale entry '!Q615="Collection 收款",'Daily Sale entry '!R615="Cheque 支票",'Daily Sale entry '!V615&lt;&gt;""),'Daily Sale entry '!V615+ROW()/10000000,"")</f>
        <v/>
      </c>
      <c r="L2115" s="21">
        <f>IF(K2115="","",COUNTIF($K$2:$K$3001,"&lt;"&amp;K2115)+1)</f>
        <v/>
      </c>
    </row>
    <row r="2116">
      <c r="A2116" s="5">
        <f>IF($J2116="","",IF($J2116&lt;=1500,INDEX('Daily Sale entry '!$X$1:$X$1501,$J2116+1),INDEX('Daily Sale entry '!$V$1:$V$1501,$J2116-1499)))</f>
        <v/>
      </c>
      <c r="B2116">
        <f>IF($J2116="","",IF($J2116&lt;=1500,INDEX('Daily Sale entry '!$Y$1:$Y$1501,$J2116+1)&amp;"","Buyer cheque banked 买家支票存入"&amp;IF(INDEX('Daily Sale entry '!$U$1:$U$1501,$J2116-1499)="","", " - "&amp;INDEX('Daily Sale entry '!$U$1:$U$1501,$J2116-1499))))</f>
        <v/>
      </c>
      <c r="C2116">
        <f>IF($J2116="","",IF($J2116&lt;=1500,INDEX('Daily Sale entry '!$Z$1:$Z$1501,$J2116+1)&amp;"","Cheque deposit 支票存入 (buyer 买家)"))</f>
        <v/>
      </c>
      <c r="D2116">
        <f>IF($J2116="","",IF($J2116&lt;=1500,INDEX('Daily Sale entry '!$AA$1:$AA$1501,$J2116+1)&amp;"",INDEX('Daily Sale entry '!$P$1:$P$1501,$J2116-1499)&amp;""))</f>
        <v/>
      </c>
      <c r="E2116">
        <f>IF($J2116="","",IF($J2116&lt;=1500,IF(N(INDEX('Daily Sale entry '!$AB$1:$AB$1501,$J2116+1))=0,"",INDEX('Daily Sale entry '!$AB$1:$AB$1501,$J2116+1)),1))</f>
        <v/>
      </c>
      <c r="F2116" s="6">
        <f>IF($J2116="","",IF($J2116&lt;=1500,N(INDEX('Daily Sale entry '!$AC$1:$AC$1501,$J2116+1))-IF(AND('Opening Balance'!$B$15=1,INDEX('Daily Sale entry '!$Z$1:$Z$1501,$J2116+1)="Online collection 网上收款",INDEX('Daily Sale entry '!$AA$1:$AA$1501,$J2116+1)&lt;&gt;""),N(INDEX('Daily Sale entry '!$AC$1:$AC$1501,$J2116+1))-TRUNC(N(INDEX('Daily Sale entry '!$AC$1:$AC$1501,$J2116+1))),0),N(INDEX('Daily Sale entry '!$S$1:$S$1501,$J2116-1499))-'Opening Balance'!$B$15*(N(INDEX('Daily Sale entry '!$S$1:$S$1501,$J2116-1499))-TRUNC(N(INDEX('Daily Sale entry '!$S$1:$S$1501,$J2116-1499))))))</f>
        <v/>
      </c>
      <c r="G2116" s="6">
        <f>IF($J2116="","",IF($J2116&lt;=1500,N(INDEX('Daily Sale entry '!$AD$1:$AD$1501,$J2116+1)),0))</f>
        <v/>
      </c>
      <c r="H2116" s="6">
        <f>IF($J2116="","",ROUND('Opening Balance'!$B$4+SUM($F$2:F2116)-SUM($G$2:G2116),2))</f>
        <v/>
      </c>
      <c r="J2116" s="21">
        <f>IFERROR(MATCH(ROW()-1,$L$2:$L$3001,0),"")</f>
        <v/>
      </c>
      <c r="K2116" s="34">
        <f>IF(AND('Daily Sale entry '!Q616="Collection 收款",'Daily Sale entry '!R616="Cheque 支票",'Daily Sale entry '!V616&lt;&gt;""),'Daily Sale entry '!V616+ROW()/10000000,"")</f>
        <v/>
      </c>
      <c r="L2116" s="21">
        <f>IF(K2116="","",COUNTIF($K$2:$K$3001,"&lt;"&amp;K2116)+1)</f>
        <v/>
      </c>
    </row>
    <row r="2117">
      <c r="A2117" s="5">
        <f>IF($J2117="","",IF($J2117&lt;=1500,INDEX('Daily Sale entry '!$X$1:$X$1501,$J2117+1),INDEX('Daily Sale entry '!$V$1:$V$1501,$J2117-1499)))</f>
        <v/>
      </c>
      <c r="B2117">
        <f>IF($J2117="","",IF($J2117&lt;=1500,INDEX('Daily Sale entry '!$Y$1:$Y$1501,$J2117+1)&amp;"","Buyer cheque banked 买家支票存入"&amp;IF(INDEX('Daily Sale entry '!$U$1:$U$1501,$J2117-1499)="","", " - "&amp;INDEX('Daily Sale entry '!$U$1:$U$1501,$J2117-1499))))</f>
        <v/>
      </c>
      <c r="C2117">
        <f>IF($J2117="","",IF($J2117&lt;=1500,INDEX('Daily Sale entry '!$Z$1:$Z$1501,$J2117+1)&amp;"","Cheque deposit 支票存入 (buyer 买家)"))</f>
        <v/>
      </c>
      <c r="D2117">
        <f>IF($J2117="","",IF($J2117&lt;=1500,INDEX('Daily Sale entry '!$AA$1:$AA$1501,$J2117+1)&amp;"",INDEX('Daily Sale entry '!$P$1:$P$1501,$J2117-1499)&amp;""))</f>
        <v/>
      </c>
      <c r="E2117">
        <f>IF($J2117="","",IF($J2117&lt;=1500,IF(N(INDEX('Daily Sale entry '!$AB$1:$AB$1501,$J2117+1))=0,"",INDEX('Daily Sale entry '!$AB$1:$AB$1501,$J2117+1)),1))</f>
        <v/>
      </c>
      <c r="F2117" s="6">
        <f>IF($J2117="","",IF($J2117&lt;=1500,N(INDEX('Daily Sale entry '!$AC$1:$AC$1501,$J2117+1))-IF(AND('Opening Balance'!$B$15=1,INDEX('Daily Sale entry '!$Z$1:$Z$1501,$J2117+1)="Online collection 网上收款",INDEX('Daily Sale entry '!$AA$1:$AA$1501,$J2117+1)&lt;&gt;""),N(INDEX('Daily Sale entry '!$AC$1:$AC$1501,$J2117+1))-TRUNC(N(INDEX('Daily Sale entry '!$AC$1:$AC$1501,$J2117+1))),0),N(INDEX('Daily Sale entry '!$S$1:$S$1501,$J2117-1499))-'Opening Balance'!$B$15*(N(INDEX('Daily Sale entry '!$S$1:$S$1501,$J2117-1499))-TRUNC(N(INDEX('Daily Sale entry '!$S$1:$S$1501,$J2117-1499))))))</f>
        <v/>
      </c>
      <c r="G2117" s="6">
        <f>IF($J2117="","",IF($J2117&lt;=1500,N(INDEX('Daily Sale entry '!$AD$1:$AD$1501,$J2117+1)),0))</f>
        <v/>
      </c>
      <c r="H2117" s="6">
        <f>IF($J2117="","",ROUND('Opening Balance'!$B$4+SUM($F$2:F2117)-SUM($G$2:G2117),2))</f>
        <v/>
      </c>
      <c r="J2117" s="21">
        <f>IFERROR(MATCH(ROW()-1,$L$2:$L$3001,0),"")</f>
        <v/>
      </c>
      <c r="K2117" s="34">
        <f>IF(AND('Daily Sale entry '!Q617="Collection 收款",'Daily Sale entry '!R617="Cheque 支票",'Daily Sale entry '!V617&lt;&gt;""),'Daily Sale entry '!V617+ROW()/10000000,"")</f>
        <v/>
      </c>
      <c r="L2117" s="21">
        <f>IF(K2117="","",COUNTIF($K$2:$K$3001,"&lt;"&amp;K2117)+1)</f>
        <v/>
      </c>
    </row>
    <row r="2118">
      <c r="A2118" s="5">
        <f>IF($J2118="","",IF($J2118&lt;=1500,INDEX('Daily Sale entry '!$X$1:$X$1501,$J2118+1),INDEX('Daily Sale entry '!$V$1:$V$1501,$J2118-1499)))</f>
        <v/>
      </c>
      <c r="B2118">
        <f>IF($J2118="","",IF($J2118&lt;=1500,INDEX('Daily Sale entry '!$Y$1:$Y$1501,$J2118+1)&amp;"","Buyer cheque banked 买家支票存入"&amp;IF(INDEX('Daily Sale entry '!$U$1:$U$1501,$J2118-1499)="","", " - "&amp;INDEX('Daily Sale entry '!$U$1:$U$1501,$J2118-1499))))</f>
        <v/>
      </c>
      <c r="C2118">
        <f>IF($J2118="","",IF($J2118&lt;=1500,INDEX('Daily Sale entry '!$Z$1:$Z$1501,$J2118+1)&amp;"","Cheque deposit 支票存入 (buyer 买家)"))</f>
        <v/>
      </c>
      <c r="D2118">
        <f>IF($J2118="","",IF($J2118&lt;=1500,INDEX('Daily Sale entry '!$AA$1:$AA$1501,$J2118+1)&amp;"",INDEX('Daily Sale entry '!$P$1:$P$1501,$J2118-1499)&amp;""))</f>
        <v/>
      </c>
      <c r="E2118">
        <f>IF($J2118="","",IF($J2118&lt;=1500,IF(N(INDEX('Daily Sale entry '!$AB$1:$AB$1501,$J2118+1))=0,"",INDEX('Daily Sale entry '!$AB$1:$AB$1501,$J2118+1)),1))</f>
        <v/>
      </c>
      <c r="F2118" s="6">
        <f>IF($J2118="","",IF($J2118&lt;=1500,N(INDEX('Daily Sale entry '!$AC$1:$AC$1501,$J2118+1))-IF(AND('Opening Balance'!$B$15=1,INDEX('Daily Sale entry '!$Z$1:$Z$1501,$J2118+1)="Online collection 网上收款",INDEX('Daily Sale entry '!$AA$1:$AA$1501,$J2118+1)&lt;&gt;""),N(INDEX('Daily Sale entry '!$AC$1:$AC$1501,$J2118+1))-TRUNC(N(INDEX('Daily Sale entry '!$AC$1:$AC$1501,$J2118+1))),0),N(INDEX('Daily Sale entry '!$S$1:$S$1501,$J2118-1499))-'Opening Balance'!$B$15*(N(INDEX('Daily Sale entry '!$S$1:$S$1501,$J2118-1499))-TRUNC(N(INDEX('Daily Sale entry '!$S$1:$S$1501,$J2118-1499))))))</f>
        <v/>
      </c>
      <c r="G2118" s="6">
        <f>IF($J2118="","",IF($J2118&lt;=1500,N(INDEX('Daily Sale entry '!$AD$1:$AD$1501,$J2118+1)),0))</f>
        <v/>
      </c>
      <c r="H2118" s="6">
        <f>IF($J2118="","",ROUND('Opening Balance'!$B$4+SUM($F$2:F2118)-SUM($G$2:G2118),2))</f>
        <v/>
      </c>
      <c r="J2118" s="21">
        <f>IFERROR(MATCH(ROW()-1,$L$2:$L$3001,0),"")</f>
        <v/>
      </c>
      <c r="K2118" s="34">
        <f>IF(AND('Daily Sale entry '!Q618="Collection 收款",'Daily Sale entry '!R618="Cheque 支票",'Daily Sale entry '!V618&lt;&gt;""),'Daily Sale entry '!V618+ROW()/10000000,"")</f>
        <v/>
      </c>
      <c r="L2118" s="21">
        <f>IF(K2118="","",COUNTIF($K$2:$K$3001,"&lt;"&amp;K2118)+1)</f>
        <v/>
      </c>
    </row>
    <row r="2119">
      <c r="A2119" s="5">
        <f>IF($J2119="","",IF($J2119&lt;=1500,INDEX('Daily Sale entry '!$X$1:$X$1501,$J2119+1),INDEX('Daily Sale entry '!$V$1:$V$1501,$J2119-1499)))</f>
        <v/>
      </c>
      <c r="B2119">
        <f>IF($J2119="","",IF($J2119&lt;=1500,INDEX('Daily Sale entry '!$Y$1:$Y$1501,$J2119+1)&amp;"","Buyer cheque banked 买家支票存入"&amp;IF(INDEX('Daily Sale entry '!$U$1:$U$1501,$J2119-1499)="","", " - "&amp;INDEX('Daily Sale entry '!$U$1:$U$1501,$J2119-1499))))</f>
        <v/>
      </c>
      <c r="C2119">
        <f>IF($J2119="","",IF($J2119&lt;=1500,INDEX('Daily Sale entry '!$Z$1:$Z$1501,$J2119+1)&amp;"","Cheque deposit 支票存入 (buyer 买家)"))</f>
        <v/>
      </c>
      <c r="D2119">
        <f>IF($J2119="","",IF($J2119&lt;=1500,INDEX('Daily Sale entry '!$AA$1:$AA$1501,$J2119+1)&amp;"",INDEX('Daily Sale entry '!$P$1:$P$1501,$J2119-1499)&amp;""))</f>
        <v/>
      </c>
      <c r="E2119">
        <f>IF($J2119="","",IF($J2119&lt;=1500,IF(N(INDEX('Daily Sale entry '!$AB$1:$AB$1501,$J2119+1))=0,"",INDEX('Daily Sale entry '!$AB$1:$AB$1501,$J2119+1)),1))</f>
        <v/>
      </c>
      <c r="F2119" s="6">
        <f>IF($J2119="","",IF($J2119&lt;=1500,N(INDEX('Daily Sale entry '!$AC$1:$AC$1501,$J2119+1))-IF(AND('Opening Balance'!$B$15=1,INDEX('Daily Sale entry '!$Z$1:$Z$1501,$J2119+1)="Online collection 网上收款",INDEX('Daily Sale entry '!$AA$1:$AA$1501,$J2119+1)&lt;&gt;""),N(INDEX('Daily Sale entry '!$AC$1:$AC$1501,$J2119+1))-TRUNC(N(INDEX('Daily Sale entry '!$AC$1:$AC$1501,$J2119+1))),0),N(INDEX('Daily Sale entry '!$S$1:$S$1501,$J2119-1499))-'Opening Balance'!$B$15*(N(INDEX('Daily Sale entry '!$S$1:$S$1501,$J2119-1499))-TRUNC(N(INDEX('Daily Sale entry '!$S$1:$S$1501,$J2119-1499))))))</f>
        <v/>
      </c>
      <c r="G2119" s="6">
        <f>IF($J2119="","",IF($J2119&lt;=1500,N(INDEX('Daily Sale entry '!$AD$1:$AD$1501,$J2119+1)),0))</f>
        <v/>
      </c>
      <c r="H2119" s="6">
        <f>IF($J2119="","",ROUND('Opening Balance'!$B$4+SUM($F$2:F2119)-SUM($G$2:G2119),2))</f>
        <v/>
      </c>
      <c r="J2119" s="21">
        <f>IFERROR(MATCH(ROW()-1,$L$2:$L$3001,0),"")</f>
        <v/>
      </c>
      <c r="K2119" s="34">
        <f>IF(AND('Daily Sale entry '!Q619="Collection 收款",'Daily Sale entry '!R619="Cheque 支票",'Daily Sale entry '!V619&lt;&gt;""),'Daily Sale entry '!V619+ROW()/10000000,"")</f>
        <v/>
      </c>
      <c r="L2119" s="21">
        <f>IF(K2119="","",COUNTIF($K$2:$K$3001,"&lt;"&amp;K2119)+1)</f>
        <v/>
      </c>
    </row>
    <row r="2120">
      <c r="A2120" s="5">
        <f>IF($J2120="","",IF($J2120&lt;=1500,INDEX('Daily Sale entry '!$X$1:$X$1501,$J2120+1),INDEX('Daily Sale entry '!$V$1:$V$1501,$J2120-1499)))</f>
        <v/>
      </c>
      <c r="B2120">
        <f>IF($J2120="","",IF($J2120&lt;=1500,INDEX('Daily Sale entry '!$Y$1:$Y$1501,$J2120+1)&amp;"","Buyer cheque banked 买家支票存入"&amp;IF(INDEX('Daily Sale entry '!$U$1:$U$1501,$J2120-1499)="","", " - "&amp;INDEX('Daily Sale entry '!$U$1:$U$1501,$J2120-1499))))</f>
        <v/>
      </c>
      <c r="C2120">
        <f>IF($J2120="","",IF($J2120&lt;=1500,INDEX('Daily Sale entry '!$Z$1:$Z$1501,$J2120+1)&amp;"","Cheque deposit 支票存入 (buyer 买家)"))</f>
        <v/>
      </c>
      <c r="D2120">
        <f>IF($J2120="","",IF($J2120&lt;=1500,INDEX('Daily Sale entry '!$AA$1:$AA$1501,$J2120+1)&amp;"",INDEX('Daily Sale entry '!$P$1:$P$1501,$J2120-1499)&amp;""))</f>
        <v/>
      </c>
      <c r="E2120">
        <f>IF($J2120="","",IF($J2120&lt;=1500,IF(N(INDEX('Daily Sale entry '!$AB$1:$AB$1501,$J2120+1))=0,"",INDEX('Daily Sale entry '!$AB$1:$AB$1501,$J2120+1)),1))</f>
        <v/>
      </c>
      <c r="F2120" s="6">
        <f>IF($J2120="","",IF($J2120&lt;=1500,N(INDEX('Daily Sale entry '!$AC$1:$AC$1501,$J2120+1))-IF(AND('Opening Balance'!$B$15=1,INDEX('Daily Sale entry '!$Z$1:$Z$1501,$J2120+1)="Online collection 网上收款",INDEX('Daily Sale entry '!$AA$1:$AA$1501,$J2120+1)&lt;&gt;""),N(INDEX('Daily Sale entry '!$AC$1:$AC$1501,$J2120+1))-TRUNC(N(INDEX('Daily Sale entry '!$AC$1:$AC$1501,$J2120+1))),0),N(INDEX('Daily Sale entry '!$S$1:$S$1501,$J2120-1499))-'Opening Balance'!$B$15*(N(INDEX('Daily Sale entry '!$S$1:$S$1501,$J2120-1499))-TRUNC(N(INDEX('Daily Sale entry '!$S$1:$S$1501,$J2120-1499))))))</f>
        <v/>
      </c>
      <c r="G2120" s="6">
        <f>IF($J2120="","",IF($J2120&lt;=1500,N(INDEX('Daily Sale entry '!$AD$1:$AD$1501,$J2120+1)),0))</f>
        <v/>
      </c>
      <c r="H2120" s="6">
        <f>IF($J2120="","",ROUND('Opening Balance'!$B$4+SUM($F$2:F2120)-SUM($G$2:G2120),2))</f>
        <v/>
      </c>
      <c r="J2120" s="21">
        <f>IFERROR(MATCH(ROW()-1,$L$2:$L$3001,0),"")</f>
        <v/>
      </c>
      <c r="K2120" s="34">
        <f>IF(AND('Daily Sale entry '!Q620="Collection 收款",'Daily Sale entry '!R620="Cheque 支票",'Daily Sale entry '!V620&lt;&gt;""),'Daily Sale entry '!V620+ROW()/10000000,"")</f>
        <v/>
      </c>
      <c r="L2120" s="21">
        <f>IF(K2120="","",COUNTIF($K$2:$K$3001,"&lt;"&amp;K2120)+1)</f>
        <v/>
      </c>
    </row>
    <row r="2121">
      <c r="A2121" s="5">
        <f>IF($J2121="","",IF($J2121&lt;=1500,INDEX('Daily Sale entry '!$X$1:$X$1501,$J2121+1),INDEX('Daily Sale entry '!$V$1:$V$1501,$J2121-1499)))</f>
        <v/>
      </c>
      <c r="B2121">
        <f>IF($J2121="","",IF($J2121&lt;=1500,INDEX('Daily Sale entry '!$Y$1:$Y$1501,$J2121+1)&amp;"","Buyer cheque banked 买家支票存入"&amp;IF(INDEX('Daily Sale entry '!$U$1:$U$1501,$J2121-1499)="","", " - "&amp;INDEX('Daily Sale entry '!$U$1:$U$1501,$J2121-1499))))</f>
        <v/>
      </c>
      <c r="C2121">
        <f>IF($J2121="","",IF($J2121&lt;=1500,INDEX('Daily Sale entry '!$Z$1:$Z$1501,$J2121+1)&amp;"","Cheque deposit 支票存入 (buyer 买家)"))</f>
        <v/>
      </c>
      <c r="D2121">
        <f>IF($J2121="","",IF($J2121&lt;=1500,INDEX('Daily Sale entry '!$AA$1:$AA$1501,$J2121+1)&amp;"",INDEX('Daily Sale entry '!$P$1:$P$1501,$J2121-1499)&amp;""))</f>
        <v/>
      </c>
      <c r="E2121">
        <f>IF($J2121="","",IF($J2121&lt;=1500,IF(N(INDEX('Daily Sale entry '!$AB$1:$AB$1501,$J2121+1))=0,"",INDEX('Daily Sale entry '!$AB$1:$AB$1501,$J2121+1)),1))</f>
        <v/>
      </c>
      <c r="F2121" s="6">
        <f>IF($J2121="","",IF($J2121&lt;=1500,N(INDEX('Daily Sale entry '!$AC$1:$AC$1501,$J2121+1))-IF(AND('Opening Balance'!$B$15=1,INDEX('Daily Sale entry '!$Z$1:$Z$1501,$J2121+1)="Online collection 网上收款",INDEX('Daily Sale entry '!$AA$1:$AA$1501,$J2121+1)&lt;&gt;""),N(INDEX('Daily Sale entry '!$AC$1:$AC$1501,$J2121+1))-TRUNC(N(INDEX('Daily Sale entry '!$AC$1:$AC$1501,$J2121+1))),0),N(INDEX('Daily Sale entry '!$S$1:$S$1501,$J2121-1499))-'Opening Balance'!$B$15*(N(INDEX('Daily Sale entry '!$S$1:$S$1501,$J2121-1499))-TRUNC(N(INDEX('Daily Sale entry '!$S$1:$S$1501,$J2121-1499))))))</f>
        <v/>
      </c>
      <c r="G2121" s="6">
        <f>IF($J2121="","",IF($J2121&lt;=1500,N(INDEX('Daily Sale entry '!$AD$1:$AD$1501,$J2121+1)),0))</f>
        <v/>
      </c>
      <c r="H2121" s="6">
        <f>IF($J2121="","",ROUND('Opening Balance'!$B$4+SUM($F$2:F2121)-SUM($G$2:G2121),2))</f>
        <v/>
      </c>
      <c r="J2121" s="21">
        <f>IFERROR(MATCH(ROW()-1,$L$2:$L$3001,0),"")</f>
        <v/>
      </c>
      <c r="K2121" s="34">
        <f>IF(AND('Daily Sale entry '!Q621="Collection 收款",'Daily Sale entry '!R621="Cheque 支票",'Daily Sale entry '!V621&lt;&gt;""),'Daily Sale entry '!V621+ROW()/10000000,"")</f>
        <v/>
      </c>
      <c r="L2121" s="21">
        <f>IF(K2121="","",COUNTIF($K$2:$K$3001,"&lt;"&amp;K2121)+1)</f>
        <v/>
      </c>
    </row>
    <row r="2122">
      <c r="A2122" s="5">
        <f>IF($J2122="","",IF($J2122&lt;=1500,INDEX('Daily Sale entry '!$X$1:$X$1501,$J2122+1),INDEX('Daily Sale entry '!$V$1:$V$1501,$J2122-1499)))</f>
        <v/>
      </c>
      <c r="B2122">
        <f>IF($J2122="","",IF($J2122&lt;=1500,INDEX('Daily Sale entry '!$Y$1:$Y$1501,$J2122+1)&amp;"","Buyer cheque banked 买家支票存入"&amp;IF(INDEX('Daily Sale entry '!$U$1:$U$1501,$J2122-1499)="","", " - "&amp;INDEX('Daily Sale entry '!$U$1:$U$1501,$J2122-1499))))</f>
        <v/>
      </c>
      <c r="C2122">
        <f>IF($J2122="","",IF($J2122&lt;=1500,INDEX('Daily Sale entry '!$Z$1:$Z$1501,$J2122+1)&amp;"","Cheque deposit 支票存入 (buyer 买家)"))</f>
        <v/>
      </c>
      <c r="D2122">
        <f>IF($J2122="","",IF($J2122&lt;=1500,INDEX('Daily Sale entry '!$AA$1:$AA$1501,$J2122+1)&amp;"",INDEX('Daily Sale entry '!$P$1:$P$1501,$J2122-1499)&amp;""))</f>
        <v/>
      </c>
      <c r="E2122">
        <f>IF($J2122="","",IF($J2122&lt;=1500,IF(N(INDEX('Daily Sale entry '!$AB$1:$AB$1501,$J2122+1))=0,"",INDEX('Daily Sale entry '!$AB$1:$AB$1501,$J2122+1)),1))</f>
        <v/>
      </c>
      <c r="F2122" s="6">
        <f>IF($J2122="","",IF($J2122&lt;=1500,N(INDEX('Daily Sale entry '!$AC$1:$AC$1501,$J2122+1))-IF(AND('Opening Balance'!$B$15=1,INDEX('Daily Sale entry '!$Z$1:$Z$1501,$J2122+1)="Online collection 网上收款",INDEX('Daily Sale entry '!$AA$1:$AA$1501,$J2122+1)&lt;&gt;""),N(INDEX('Daily Sale entry '!$AC$1:$AC$1501,$J2122+1))-TRUNC(N(INDEX('Daily Sale entry '!$AC$1:$AC$1501,$J2122+1))),0),N(INDEX('Daily Sale entry '!$S$1:$S$1501,$J2122-1499))-'Opening Balance'!$B$15*(N(INDEX('Daily Sale entry '!$S$1:$S$1501,$J2122-1499))-TRUNC(N(INDEX('Daily Sale entry '!$S$1:$S$1501,$J2122-1499))))))</f>
        <v/>
      </c>
      <c r="G2122" s="6">
        <f>IF($J2122="","",IF($J2122&lt;=1500,N(INDEX('Daily Sale entry '!$AD$1:$AD$1501,$J2122+1)),0))</f>
        <v/>
      </c>
      <c r="H2122" s="6">
        <f>IF($J2122="","",ROUND('Opening Balance'!$B$4+SUM($F$2:F2122)-SUM($G$2:G2122),2))</f>
        <v/>
      </c>
      <c r="J2122" s="21">
        <f>IFERROR(MATCH(ROW()-1,$L$2:$L$3001,0),"")</f>
        <v/>
      </c>
      <c r="K2122" s="34">
        <f>IF(AND('Daily Sale entry '!Q622="Collection 收款",'Daily Sale entry '!R622="Cheque 支票",'Daily Sale entry '!V622&lt;&gt;""),'Daily Sale entry '!V622+ROW()/10000000,"")</f>
        <v/>
      </c>
      <c r="L2122" s="21">
        <f>IF(K2122="","",COUNTIF($K$2:$K$3001,"&lt;"&amp;K2122)+1)</f>
        <v/>
      </c>
    </row>
    <row r="2123">
      <c r="A2123" s="5">
        <f>IF($J2123="","",IF($J2123&lt;=1500,INDEX('Daily Sale entry '!$X$1:$X$1501,$J2123+1),INDEX('Daily Sale entry '!$V$1:$V$1501,$J2123-1499)))</f>
        <v/>
      </c>
      <c r="B2123">
        <f>IF($J2123="","",IF($J2123&lt;=1500,INDEX('Daily Sale entry '!$Y$1:$Y$1501,$J2123+1)&amp;"","Buyer cheque banked 买家支票存入"&amp;IF(INDEX('Daily Sale entry '!$U$1:$U$1501,$J2123-1499)="","", " - "&amp;INDEX('Daily Sale entry '!$U$1:$U$1501,$J2123-1499))))</f>
        <v/>
      </c>
      <c r="C2123">
        <f>IF($J2123="","",IF($J2123&lt;=1500,INDEX('Daily Sale entry '!$Z$1:$Z$1501,$J2123+1)&amp;"","Cheque deposit 支票存入 (buyer 买家)"))</f>
        <v/>
      </c>
      <c r="D2123">
        <f>IF($J2123="","",IF($J2123&lt;=1500,INDEX('Daily Sale entry '!$AA$1:$AA$1501,$J2123+1)&amp;"",INDEX('Daily Sale entry '!$P$1:$P$1501,$J2123-1499)&amp;""))</f>
        <v/>
      </c>
      <c r="E2123">
        <f>IF($J2123="","",IF($J2123&lt;=1500,IF(N(INDEX('Daily Sale entry '!$AB$1:$AB$1501,$J2123+1))=0,"",INDEX('Daily Sale entry '!$AB$1:$AB$1501,$J2123+1)),1))</f>
        <v/>
      </c>
      <c r="F2123" s="6">
        <f>IF($J2123="","",IF($J2123&lt;=1500,N(INDEX('Daily Sale entry '!$AC$1:$AC$1501,$J2123+1))-IF(AND('Opening Balance'!$B$15=1,INDEX('Daily Sale entry '!$Z$1:$Z$1501,$J2123+1)="Online collection 网上收款",INDEX('Daily Sale entry '!$AA$1:$AA$1501,$J2123+1)&lt;&gt;""),N(INDEX('Daily Sale entry '!$AC$1:$AC$1501,$J2123+1))-TRUNC(N(INDEX('Daily Sale entry '!$AC$1:$AC$1501,$J2123+1))),0),N(INDEX('Daily Sale entry '!$S$1:$S$1501,$J2123-1499))-'Opening Balance'!$B$15*(N(INDEX('Daily Sale entry '!$S$1:$S$1501,$J2123-1499))-TRUNC(N(INDEX('Daily Sale entry '!$S$1:$S$1501,$J2123-1499))))))</f>
        <v/>
      </c>
      <c r="G2123" s="6">
        <f>IF($J2123="","",IF($J2123&lt;=1500,N(INDEX('Daily Sale entry '!$AD$1:$AD$1501,$J2123+1)),0))</f>
        <v/>
      </c>
      <c r="H2123" s="6">
        <f>IF($J2123="","",ROUND('Opening Balance'!$B$4+SUM($F$2:F2123)-SUM($G$2:G2123),2))</f>
        <v/>
      </c>
      <c r="J2123" s="21">
        <f>IFERROR(MATCH(ROW()-1,$L$2:$L$3001,0),"")</f>
        <v/>
      </c>
      <c r="K2123" s="34">
        <f>IF(AND('Daily Sale entry '!Q623="Collection 收款",'Daily Sale entry '!R623="Cheque 支票",'Daily Sale entry '!V623&lt;&gt;""),'Daily Sale entry '!V623+ROW()/10000000,"")</f>
        <v/>
      </c>
      <c r="L2123" s="21">
        <f>IF(K2123="","",COUNTIF($K$2:$K$3001,"&lt;"&amp;K2123)+1)</f>
        <v/>
      </c>
    </row>
    <row r="2124">
      <c r="A2124" s="5">
        <f>IF($J2124="","",IF($J2124&lt;=1500,INDEX('Daily Sale entry '!$X$1:$X$1501,$J2124+1),INDEX('Daily Sale entry '!$V$1:$V$1501,$J2124-1499)))</f>
        <v/>
      </c>
      <c r="B2124">
        <f>IF($J2124="","",IF($J2124&lt;=1500,INDEX('Daily Sale entry '!$Y$1:$Y$1501,$J2124+1)&amp;"","Buyer cheque banked 买家支票存入"&amp;IF(INDEX('Daily Sale entry '!$U$1:$U$1501,$J2124-1499)="","", " - "&amp;INDEX('Daily Sale entry '!$U$1:$U$1501,$J2124-1499))))</f>
        <v/>
      </c>
      <c r="C2124">
        <f>IF($J2124="","",IF($J2124&lt;=1500,INDEX('Daily Sale entry '!$Z$1:$Z$1501,$J2124+1)&amp;"","Cheque deposit 支票存入 (buyer 买家)"))</f>
        <v/>
      </c>
      <c r="D2124">
        <f>IF($J2124="","",IF($J2124&lt;=1500,INDEX('Daily Sale entry '!$AA$1:$AA$1501,$J2124+1)&amp;"",INDEX('Daily Sale entry '!$P$1:$P$1501,$J2124-1499)&amp;""))</f>
        <v/>
      </c>
      <c r="E2124">
        <f>IF($J2124="","",IF($J2124&lt;=1500,IF(N(INDEX('Daily Sale entry '!$AB$1:$AB$1501,$J2124+1))=0,"",INDEX('Daily Sale entry '!$AB$1:$AB$1501,$J2124+1)),1))</f>
        <v/>
      </c>
      <c r="F2124" s="6">
        <f>IF($J2124="","",IF($J2124&lt;=1500,N(INDEX('Daily Sale entry '!$AC$1:$AC$1501,$J2124+1))-IF(AND('Opening Balance'!$B$15=1,INDEX('Daily Sale entry '!$Z$1:$Z$1501,$J2124+1)="Online collection 网上收款",INDEX('Daily Sale entry '!$AA$1:$AA$1501,$J2124+1)&lt;&gt;""),N(INDEX('Daily Sale entry '!$AC$1:$AC$1501,$J2124+1))-TRUNC(N(INDEX('Daily Sale entry '!$AC$1:$AC$1501,$J2124+1))),0),N(INDEX('Daily Sale entry '!$S$1:$S$1501,$J2124-1499))-'Opening Balance'!$B$15*(N(INDEX('Daily Sale entry '!$S$1:$S$1501,$J2124-1499))-TRUNC(N(INDEX('Daily Sale entry '!$S$1:$S$1501,$J2124-1499))))))</f>
        <v/>
      </c>
      <c r="G2124" s="6">
        <f>IF($J2124="","",IF($J2124&lt;=1500,N(INDEX('Daily Sale entry '!$AD$1:$AD$1501,$J2124+1)),0))</f>
        <v/>
      </c>
      <c r="H2124" s="6">
        <f>IF($J2124="","",ROUND('Opening Balance'!$B$4+SUM($F$2:F2124)-SUM($G$2:G2124),2))</f>
        <v/>
      </c>
      <c r="J2124" s="21">
        <f>IFERROR(MATCH(ROW()-1,$L$2:$L$3001,0),"")</f>
        <v/>
      </c>
      <c r="K2124" s="34">
        <f>IF(AND('Daily Sale entry '!Q624="Collection 收款",'Daily Sale entry '!R624="Cheque 支票",'Daily Sale entry '!V624&lt;&gt;""),'Daily Sale entry '!V624+ROW()/10000000,"")</f>
        <v/>
      </c>
      <c r="L2124" s="21">
        <f>IF(K2124="","",COUNTIF($K$2:$K$3001,"&lt;"&amp;K2124)+1)</f>
        <v/>
      </c>
    </row>
    <row r="2125">
      <c r="A2125" s="5">
        <f>IF($J2125="","",IF($J2125&lt;=1500,INDEX('Daily Sale entry '!$X$1:$X$1501,$J2125+1),INDEX('Daily Sale entry '!$V$1:$V$1501,$J2125-1499)))</f>
        <v/>
      </c>
      <c r="B2125">
        <f>IF($J2125="","",IF($J2125&lt;=1500,INDEX('Daily Sale entry '!$Y$1:$Y$1501,$J2125+1)&amp;"","Buyer cheque banked 买家支票存入"&amp;IF(INDEX('Daily Sale entry '!$U$1:$U$1501,$J2125-1499)="","", " - "&amp;INDEX('Daily Sale entry '!$U$1:$U$1501,$J2125-1499))))</f>
        <v/>
      </c>
      <c r="C2125">
        <f>IF($J2125="","",IF($J2125&lt;=1500,INDEX('Daily Sale entry '!$Z$1:$Z$1501,$J2125+1)&amp;"","Cheque deposit 支票存入 (buyer 买家)"))</f>
        <v/>
      </c>
      <c r="D2125">
        <f>IF($J2125="","",IF($J2125&lt;=1500,INDEX('Daily Sale entry '!$AA$1:$AA$1501,$J2125+1)&amp;"",INDEX('Daily Sale entry '!$P$1:$P$1501,$J2125-1499)&amp;""))</f>
        <v/>
      </c>
      <c r="E2125">
        <f>IF($J2125="","",IF($J2125&lt;=1500,IF(N(INDEX('Daily Sale entry '!$AB$1:$AB$1501,$J2125+1))=0,"",INDEX('Daily Sale entry '!$AB$1:$AB$1501,$J2125+1)),1))</f>
        <v/>
      </c>
      <c r="F2125" s="6">
        <f>IF($J2125="","",IF($J2125&lt;=1500,N(INDEX('Daily Sale entry '!$AC$1:$AC$1501,$J2125+1))-IF(AND('Opening Balance'!$B$15=1,INDEX('Daily Sale entry '!$Z$1:$Z$1501,$J2125+1)="Online collection 网上收款",INDEX('Daily Sale entry '!$AA$1:$AA$1501,$J2125+1)&lt;&gt;""),N(INDEX('Daily Sale entry '!$AC$1:$AC$1501,$J2125+1))-TRUNC(N(INDEX('Daily Sale entry '!$AC$1:$AC$1501,$J2125+1))),0),N(INDEX('Daily Sale entry '!$S$1:$S$1501,$J2125-1499))-'Opening Balance'!$B$15*(N(INDEX('Daily Sale entry '!$S$1:$S$1501,$J2125-1499))-TRUNC(N(INDEX('Daily Sale entry '!$S$1:$S$1501,$J2125-1499))))))</f>
        <v/>
      </c>
      <c r="G2125" s="6">
        <f>IF($J2125="","",IF($J2125&lt;=1500,N(INDEX('Daily Sale entry '!$AD$1:$AD$1501,$J2125+1)),0))</f>
        <v/>
      </c>
      <c r="H2125" s="6">
        <f>IF($J2125="","",ROUND('Opening Balance'!$B$4+SUM($F$2:F2125)-SUM($G$2:G2125),2))</f>
        <v/>
      </c>
      <c r="J2125" s="21">
        <f>IFERROR(MATCH(ROW()-1,$L$2:$L$3001,0),"")</f>
        <v/>
      </c>
      <c r="K2125" s="34">
        <f>IF(AND('Daily Sale entry '!Q625="Collection 收款",'Daily Sale entry '!R625="Cheque 支票",'Daily Sale entry '!V625&lt;&gt;""),'Daily Sale entry '!V625+ROW()/10000000,"")</f>
        <v/>
      </c>
      <c r="L2125" s="21">
        <f>IF(K2125="","",COUNTIF($K$2:$K$3001,"&lt;"&amp;K2125)+1)</f>
        <v/>
      </c>
    </row>
    <row r="2126">
      <c r="A2126" s="5">
        <f>IF($J2126="","",IF($J2126&lt;=1500,INDEX('Daily Sale entry '!$X$1:$X$1501,$J2126+1),INDEX('Daily Sale entry '!$V$1:$V$1501,$J2126-1499)))</f>
        <v/>
      </c>
      <c r="B2126">
        <f>IF($J2126="","",IF($J2126&lt;=1500,INDEX('Daily Sale entry '!$Y$1:$Y$1501,$J2126+1)&amp;"","Buyer cheque banked 买家支票存入"&amp;IF(INDEX('Daily Sale entry '!$U$1:$U$1501,$J2126-1499)="","", " - "&amp;INDEX('Daily Sale entry '!$U$1:$U$1501,$J2126-1499))))</f>
        <v/>
      </c>
      <c r="C2126">
        <f>IF($J2126="","",IF($J2126&lt;=1500,INDEX('Daily Sale entry '!$Z$1:$Z$1501,$J2126+1)&amp;"","Cheque deposit 支票存入 (buyer 买家)"))</f>
        <v/>
      </c>
      <c r="D2126">
        <f>IF($J2126="","",IF($J2126&lt;=1500,INDEX('Daily Sale entry '!$AA$1:$AA$1501,$J2126+1)&amp;"",INDEX('Daily Sale entry '!$P$1:$P$1501,$J2126-1499)&amp;""))</f>
        <v/>
      </c>
      <c r="E2126">
        <f>IF($J2126="","",IF($J2126&lt;=1500,IF(N(INDEX('Daily Sale entry '!$AB$1:$AB$1501,$J2126+1))=0,"",INDEX('Daily Sale entry '!$AB$1:$AB$1501,$J2126+1)),1))</f>
        <v/>
      </c>
      <c r="F2126" s="6">
        <f>IF($J2126="","",IF($J2126&lt;=1500,N(INDEX('Daily Sale entry '!$AC$1:$AC$1501,$J2126+1))-IF(AND('Opening Balance'!$B$15=1,INDEX('Daily Sale entry '!$Z$1:$Z$1501,$J2126+1)="Online collection 网上收款",INDEX('Daily Sale entry '!$AA$1:$AA$1501,$J2126+1)&lt;&gt;""),N(INDEX('Daily Sale entry '!$AC$1:$AC$1501,$J2126+1))-TRUNC(N(INDEX('Daily Sale entry '!$AC$1:$AC$1501,$J2126+1))),0),N(INDEX('Daily Sale entry '!$S$1:$S$1501,$J2126-1499))-'Opening Balance'!$B$15*(N(INDEX('Daily Sale entry '!$S$1:$S$1501,$J2126-1499))-TRUNC(N(INDEX('Daily Sale entry '!$S$1:$S$1501,$J2126-1499))))))</f>
        <v/>
      </c>
      <c r="G2126" s="6">
        <f>IF($J2126="","",IF($J2126&lt;=1500,N(INDEX('Daily Sale entry '!$AD$1:$AD$1501,$J2126+1)),0))</f>
        <v/>
      </c>
      <c r="H2126" s="6">
        <f>IF($J2126="","",ROUND('Opening Balance'!$B$4+SUM($F$2:F2126)-SUM($G$2:G2126),2))</f>
        <v/>
      </c>
      <c r="J2126" s="21">
        <f>IFERROR(MATCH(ROW()-1,$L$2:$L$3001,0),"")</f>
        <v/>
      </c>
      <c r="K2126" s="34">
        <f>IF(AND('Daily Sale entry '!Q626="Collection 收款",'Daily Sale entry '!R626="Cheque 支票",'Daily Sale entry '!V626&lt;&gt;""),'Daily Sale entry '!V626+ROW()/10000000,"")</f>
        <v/>
      </c>
      <c r="L2126" s="21">
        <f>IF(K2126="","",COUNTIF($K$2:$K$3001,"&lt;"&amp;K2126)+1)</f>
        <v/>
      </c>
    </row>
    <row r="2127">
      <c r="A2127" s="5">
        <f>IF($J2127="","",IF($J2127&lt;=1500,INDEX('Daily Sale entry '!$X$1:$X$1501,$J2127+1),INDEX('Daily Sale entry '!$V$1:$V$1501,$J2127-1499)))</f>
        <v/>
      </c>
      <c r="B2127">
        <f>IF($J2127="","",IF($J2127&lt;=1500,INDEX('Daily Sale entry '!$Y$1:$Y$1501,$J2127+1)&amp;"","Buyer cheque banked 买家支票存入"&amp;IF(INDEX('Daily Sale entry '!$U$1:$U$1501,$J2127-1499)="","", " - "&amp;INDEX('Daily Sale entry '!$U$1:$U$1501,$J2127-1499))))</f>
        <v/>
      </c>
      <c r="C2127">
        <f>IF($J2127="","",IF($J2127&lt;=1500,INDEX('Daily Sale entry '!$Z$1:$Z$1501,$J2127+1)&amp;"","Cheque deposit 支票存入 (buyer 买家)"))</f>
        <v/>
      </c>
      <c r="D2127">
        <f>IF($J2127="","",IF($J2127&lt;=1500,INDEX('Daily Sale entry '!$AA$1:$AA$1501,$J2127+1)&amp;"",INDEX('Daily Sale entry '!$P$1:$P$1501,$J2127-1499)&amp;""))</f>
        <v/>
      </c>
      <c r="E2127">
        <f>IF($J2127="","",IF($J2127&lt;=1500,IF(N(INDEX('Daily Sale entry '!$AB$1:$AB$1501,$J2127+1))=0,"",INDEX('Daily Sale entry '!$AB$1:$AB$1501,$J2127+1)),1))</f>
        <v/>
      </c>
      <c r="F2127" s="6">
        <f>IF($J2127="","",IF($J2127&lt;=1500,N(INDEX('Daily Sale entry '!$AC$1:$AC$1501,$J2127+1))-IF(AND('Opening Balance'!$B$15=1,INDEX('Daily Sale entry '!$Z$1:$Z$1501,$J2127+1)="Online collection 网上收款",INDEX('Daily Sale entry '!$AA$1:$AA$1501,$J2127+1)&lt;&gt;""),N(INDEX('Daily Sale entry '!$AC$1:$AC$1501,$J2127+1))-TRUNC(N(INDEX('Daily Sale entry '!$AC$1:$AC$1501,$J2127+1))),0),N(INDEX('Daily Sale entry '!$S$1:$S$1501,$J2127-1499))-'Opening Balance'!$B$15*(N(INDEX('Daily Sale entry '!$S$1:$S$1501,$J2127-1499))-TRUNC(N(INDEX('Daily Sale entry '!$S$1:$S$1501,$J2127-1499))))))</f>
        <v/>
      </c>
      <c r="G2127" s="6">
        <f>IF($J2127="","",IF($J2127&lt;=1500,N(INDEX('Daily Sale entry '!$AD$1:$AD$1501,$J2127+1)),0))</f>
        <v/>
      </c>
      <c r="H2127" s="6">
        <f>IF($J2127="","",ROUND('Opening Balance'!$B$4+SUM($F$2:F2127)-SUM($G$2:G2127),2))</f>
        <v/>
      </c>
      <c r="J2127" s="21">
        <f>IFERROR(MATCH(ROW()-1,$L$2:$L$3001,0),"")</f>
        <v/>
      </c>
      <c r="K2127" s="34">
        <f>IF(AND('Daily Sale entry '!Q627="Collection 收款",'Daily Sale entry '!R627="Cheque 支票",'Daily Sale entry '!V627&lt;&gt;""),'Daily Sale entry '!V627+ROW()/10000000,"")</f>
        <v/>
      </c>
      <c r="L2127" s="21">
        <f>IF(K2127="","",COUNTIF($K$2:$K$3001,"&lt;"&amp;K2127)+1)</f>
        <v/>
      </c>
    </row>
    <row r="2128">
      <c r="A2128" s="5">
        <f>IF($J2128="","",IF($J2128&lt;=1500,INDEX('Daily Sale entry '!$X$1:$X$1501,$J2128+1),INDEX('Daily Sale entry '!$V$1:$V$1501,$J2128-1499)))</f>
        <v/>
      </c>
      <c r="B2128">
        <f>IF($J2128="","",IF($J2128&lt;=1500,INDEX('Daily Sale entry '!$Y$1:$Y$1501,$J2128+1)&amp;"","Buyer cheque banked 买家支票存入"&amp;IF(INDEX('Daily Sale entry '!$U$1:$U$1501,$J2128-1499)="","", " - "&amp;INDEX('Daily Sale entry '!$U$1:$U$1501,$J2128-1499))))</f>
        <v/>
      </c>
      <c r="C2128">
        <f>IF($J2128="","",IF($J2128&lt;=1500,INDEX('Daily Sale entry '!$Z$1:$Z$1501,$J2128+1)&amp;"","Cheque deposit 支票存入 (buyer 买家)"))</f>
        <v/>
      </c>
      <c r="D2128">
        <f>IF($J2128="","",IF($J2128&lt;=1500,INDEX('Daily Sale entry '!$AA$1:$AA$1501,$J2128+1)&amp;"",INDEX('Daily Sale entry '!$P$1:$P$1501,$J2128-1499)&amp;""))</f>
        <v/>
      </c>
      <c r="E2128">
        <f>IF($J2128="","",IF($J2128&lt;=1500,IF(N(INDEX('Daily Sale entry '!$AB$1:$AB$1501,$J2128+1))=0,"",INDEX('Daily Sale entry '!$AB$1:$AB$1501,$J2128+1)),1))</f>
        <v/>
      </c>
      <c r="F2128" s="6">
        <f>IF($J2128="","",IF($J2128&lt;=1500,N(INDEX('Daily Sale entry '!$AC$1:$AC$1501,$J2128+1))-IF(AND('Opening Balance'!$B$15=1,INDEX('Daily Sale entry '!$Z$1:$Z$1501,$J2128+1)="Online collection 网上收款",INDEX('Daily Sale entry '!$AA$1:$AA$1501,$J2128+1)&lt;&gt;""),N(INDEX('Daily Sale entry '!$AC$1:$AC$1501,$J2128+1))-TRUNC(N(INDEX('Daily Sale entry '!$AC$1:$AC$1501,$J2128+1))),0),N(INDEX('Daily Sale entry '!$S$1:$S$1501,$J2128-1499))-'Opening Balance'!$B$15*(N(INDEX('Daily Sale entry '!$S$1:$S$1501,$J2128-1499))-TRUNC(N(INDEX('Daily Sale entry '!$S$1:$S$1501,$J2128-1499))))))</f>
        <v/>
      </c>
      <c r="G2128" s="6">
        <f>IF($J2128="","",IF($J2128&lt;=1500,N(INDEX('Daily Sale entry '!$AD$1:$AD$1501,$J2128+1)),0))</f>
        <v/>
      </c>
      <c r="H2128" s="6">
        <f>IF($J2128="","",ROUND('Opening Balance'!$B$4+SUM($F$2:F2128)-SUM($G$2:G2128),2))</f>
        <v/>
      </c>
      <c r="J2128" s="21">
        <f>IFERROR(MATCH(ROW()-1,$L$2:$L$3001,0),"")</f>
        <v/>
      </c>
      <c r="K2128" s="34">
        <f>IF(AND('Daily Sale entry '!Q628="Collection 收款",'Daily Sale entry '!R628="Cheque 支票",'Daily Sale entry '!V628&lt;&gt;""),'Daily Sale entry '!V628+ROW()/10000000,"")</f>
        <v/>
      </c>
      <c r="L2128" s="21">
        <f>IF(K2128="","",COUNTIF($K$2:$K$3001,"&lt;"&amp;K2128)+1)</f>
        <v/>
      </c>
    </row>
    <row r="2129">
      <c r="A2129" s="5">
        <f>IF($J2129="","",IF($J2129&lt;=1500,INDEX('Daily Sale entry '!$X$1:$X$1501,$J2129+1),INDEX('Daily Sale entry '!$V$1:$V$1501,$J2129-1499)))</f>
        <v/>
      </c>
      <c r="B2129">
        <f>IF($J2129="","",IF($J2129&lt;=1500,INDEX('Daily Sale entry '!$Y$1:$Y$1501,$J2129+1)&amp;"","Buyer cheque banked 买家支票存入"&amp;IF(INDEX('Daily Sale entry '!$U$1:$U$1501,$J2129-1499)="","", " - "&amp;INDEX('Daily Sale entry '!$U$1:$U$1501,$J2129-1499))))</f>
        <v/>
      </c>
      <c r="C2129">
        <f>IF($J2129="","",IF($J2129&lt;=1500,INDEX('Daily Sale entry '!$Z$1:$Z$1501,$J2129+1)&amp;"","Cheque deposit 支票存入 (buyer 买家)"))</f>
        <v/>
      </c>
      <c r="D2129">
        <f>IF($J2129="","",IF($J2129&lt;=1500,INDEX('Daily Sale entry '!$AA$1:$AA$1501,$J2129+1)&amp;"",INDEX('Daily Sale entry '!$P$1:$P$1501,$J2129-1499)&amp;""))</f>
        <v/>
      </c>
      <c r="E2129">
        <f>IF($J2129="","",IF($J2129&lt;=1500,IF(N(INDEX('Daily Sale entry '!$AB$1:$AB$1501,$J2129+1))=0,"",INDEX('Daily Sale entry '!$AB$1:$AB$1501,$J2129+1)),1))</f>
        <v/>
      </c>
      <c r="F2129" s="6">
        <f>IF($J2129="","",IF($J2129&lt;=1500,N(INDEX('Daily Sale entry '!$AC$1:$AC$1501,$J2129+1))-IF(AND('Opening Balance'!$B$15=1,INDEX('Daily Sale entry '!$Z$1:$Z$1501,$J2129+1)="Online collection 网上收款",INDEX('Daily Sale entry '!$AA$1:$AA$1501,$J2129+1)&lt;&gt;""),N(INDEX('Daily Sale entry '!$AC$1:$AC$1501,$J2129+1))-TRUNC(N(INDEX('Daily Sale entry '!$AC$1:$AC$1501,$J2129+1))),0),N(INDEX('Daily Sale entry '!$S$1:$S$1501,$J2129-1499))-'Opening Balance'!$B$15*(N(INDEX('Daily Sale entry '!$S$1:$S$1501,$J2129-1499))-TRUNC(N(INDEX('Daily Sale entry '!$S$1:$S$1501,$J2129-1499))))))</f>
        <v/>
      </c>
      <c r="G2129" s="6">
        <f>IF($J2129="","",IF($J2129&lt;=1500,N(INDEX('Daily Sale entry '!$AD$1:$AD$1501,$J2129+1)),0))</f>
        <v/>
      </c>
      <c r="H2129" s="6">
        <f>IF($J2129="","",ROUND('Opening Balance'!$B$4+SUM($F$2:F2129)-SUM($G$2:G2129),2))</f>
        <v/>
      </c>
      <c r="J2129" s="21">
        <f>IFERROR(MATCH(ROW()-1,$L$2:$L$3001,0),"")</f>
        <v/>
      </c>
      <c r="K2129" s="34">
        <f>IF(AND('Daily Sale entry '!Q629="Collection 收款",'Daily Sale entry '!R629="Cheque 支票",'Daily Sale entry '!V629&lt;&gt;""),'Daily Sale entry '!V629+ROW()/10000000,"")</f>
        <v/>
      </c>
      <c r="L2129" s="21">
        <f>IF(K2129="","",COUNTIF($K$2:$K$3001,"&lt;"&amp;K2129)+1)</f>
        <v/>
      </c>
    </row>
    <row r="2130">
      <c r="A2130" s="5">
        <f>IF($J2130="","",IF($J2130&lt;=1500,INDEX('Daily Sale entry '!$X$1:$X$1501,$J2130+1),INDEX('Daily Sale entry '!$V$1:$V$1501,$J2130-1499)))</f>
        <v/>
      </c>
      <c r="B2130">
        <f>IF($J2130="","",IF($J2130&lt;=1500,INDEX('Daily Sale entry '!$Y$1:$Y$1501,$J2130+1)&amp;"","Buyer cheque banked 买家支票存入"&amp;IF(INDEX('Daily Sale entry '!$U$1:$U$1501,$J2130-1499)="","", " - "&amp;INDEX('Daily Sale entry '!$U$1:$U$1501,$J2130-1499))))</f>
        <v/>
      </c>
      <c r="C2130">
        <f>IF($J2130="","",IF($J2130&lt;=1500,INDEX('Daily Sale entry '!$Z$1:$Z$1501,$J2130+1)&amp;"","Cheque deposit 支票存入 (buyer 买家)"))</f>
        <v/>
      </c>
      <c r="D2130">
        <f>IF($J2130="","",IF($J2130&lt;=1500,INDEX('Daily Sale entry '!$AA$1:$AA$1501,$J2130+1)&amp;"",INDEX('Daily Sale entry '!$P$1:$P$1501,$J2130-1499)&amp;""))</f>
        <v/>
      </c>
      <c r="E2130">
        <f>IF($J2130="","",IF($J2130&lt;=1500,IF(N(INDEX('Daily Sale entry '!$AB$1:$AB$1501,$J2130+1))=0,"",INDEX('Daily Sale entry '!$AB$1:$AB$1501,$J2130+1)),1))</f>
        <v/>
      </c>
      <c r="F2130" s="6">
        <f>IF($J2130="","",IF($J2130&lt;=1500,N(INDEX('Daily Sale entry '!$AC$1:$AC$1501,$J2130+1))-IF(AND('Opening Balance'!$B$15=1,INDEX('Daily Sale entry '!$Z$1:$Z$1501,$J2130+1)="Online collection 网上收款",INDEX('Daily Sale entry '!$AA$1:$AA$1501,$J2130+1)&lt;&gt;""),N(INDEX('Daily Sale entry '!$AC$1:$AC$1501,$J2130+1))-TRUNC(N(INDEX('Daily Sale entry '!$AC$1:$AC$1501,$J2130+1))),0),N(INDEX('Daily Sale entry '!$S$1:$S$1501,$J2130-1499))-'Opening Balance'!$B$15*(N(INDEX('Daily Sale entry '!$S$1:$S$1501,$J2130-1499))-TRUNC(N(INDEX('Daily Sale entry '!$S$1:$S$1501,$J2130-1499))))))</f>
        <v/>
      </c>
      <c r="G2130" s="6">
        <f>IF($J2130="","",IF($J2130&lt;=1500,N(INDEX('Daily Sale entry '!$AD$1:$AD$1501,$J2130+1)),0))</f>
        <v/>
      </c>
      <c r="H2130" s="6">
        <f>IF($J2130="","",ROUND('Opening Balance'!$B$4+SUM($F$2:F2130)-SUM($G$2:G2130),2))</f>
        <v/>
      </c>
      <c r="J2130" s="21">
        <f>IFERROR(MATCH(ROW()-1,$L$2:$L$3001,0),"")</f>
        <v/>
      </c>
      <c r="K2130" s="34">
        <f>IF(AND('Daily Sale entry '!Q630="Collection 收款",'Daily Sale entry '!R630="Cheque 支票",'Daily Sale entry '!V630&lt;&gt;""),'Daily Sale entry '!V630+ROW()/10000000,"")</f>
        <v/>
      </c>
      <c r="L2130" s="21">
        <f>IF(K2130="","",COUNTIF($K$2:$K$3001,"&lt;"&amp;K2130)+1)</f>
        <v/>
      </c>
    </row>
    <row r="2131">
      <c r="A2131" s="5">
        <f>IF($J2131="","",IF($J2131&lt;=1500,INDEX('Daily Sale entry '!$X$1:$X$1501,$J2131+1),INDEX('Daily Sale entry '!$V$1:$V$1501,$J2131-1499)))</f>
        <v/>
      </c>
      <c r="B2131">
        <f>IF($J2131="","",IF($J2131&lt;=1500,INDEX('Daily Sale entry '!$Y$1:$Y$1501,$J2131+1)&amp;"","Buyer cheque banked 买家支票存入"&amp;IF(INDEX('Daily Sale entry '!$U$1:$U$1501,$J2131-1499)="","", " - "&amp;INDEX('Daily Sale entry '!$U$1:$U$1501,$J2131-1499))))</f>
        <v/>
      </c>
      <c r="C2131">
        <f>IF($J2131="","",IF($J2131&lt;=1500,INDEX('Daily Sale entry '!$Z$1:$Z$1501,$J2131+1)&amp;"","Cheque deposit 支票存入 (buyer 买家)"))</f>
        <v/>
      </c>
      <c r="D2131">
        <f>IF($J2131="","",IF($J2131&lt;=1500,INDEX('Daily Sale entry '!$AA$1:$AA$1501,$J2131+1)&amp;"",INDEX('Daily Sale entry '!$P$1:$P$1501,$J2131-1499)&amp;""))</f>
        <v/>
      </c>
      <c r="E2131">
        <f>IF($J2131="","",IF($J2131&lt;=1500,IF(N(INDEX('Daily Sale entry '!$AB$1:$AB$1501,$J2131+1))=0,"",INDEX('Daily Sale entry '!$AB$1:$AB$1501,$J2131+1)),1))</f>
        <v/>
      </c>
      <c r="F2131" s="6">
        <f>IF($J2131="","",IF($J2131&lt;=1500,N(INDEX('Daily Sale entry '!$AC$1:$AC$1501,$J2131+1))-IF(AND('Opening Balance'!$B$15=1,INDEX('Daily Sale entry '!$Z$1:$Z$1501,$J2131+1)="Online collection 网上收款",INDEX('Daily Sale entry '!$AA$1:$AA$1501,$J2131+1)&lt;&gt;""),N(INDEX('Daily Sale entry '!$AC$1:$AC$1501,$J2131+1))-TRUNC(N(INDEX('Daily Sale entry '!$AC$1:$AC$1501,$J2131+1))),0),N(INDEX('Daily Sale entry '!$S$1:$S$1501,$J2131-1499))-'Opening Balance'!$B$15*(N(INDEX('Daily Sale entry '!$S$1:$S$1501,$J2131-1499))-TRUNC(N(INDEX('Daily Sale entry '!$S$1:$S$1501,$J2131-1499))))))</f>
        <v/>
      </c>
      <c r="G2131" s="6">
        <f>IF($J2131="","",IF($J2131&lt;=1500,N(INDEX('Daily Sale entry '!$AD$1:$AD$1501,$J2131+1)),0))</f>
        <v/>
      </c>
      <c r="H2131" s="6">
        <f>IF($J2131="","",ROUND('Opening Balance'!$B$4+SUM($F$2:F2131)-SUM($G$2:G2131),2))</f>
        <v/>
      </c>
      <c r="J2131" s="21">
        <f>IFERROR(MATCH(ROW()-1,$L$2:$L$3001,0),"")</f>
        <v/>
      </c>
      <c r="K2131" s="34">
        <f>IF(AND('Daily Sale entry '!Q631="Collection 收款",'Daily Sale entry '!R631="Cheque 支票",'Daily Sale entry '!V631&lt;&gt;""),'Daily Sale entry '!V631+ROW()/10000000,"")</f>
        <v/>
      </c>
      <c r="L2131" s="21">
        <f>IF(K2131="","",COUNTIF($K$2:$K$3001,"&lt;"&amp;K2131)+1)</f>
        <v/>
      </c>
    </row>
    <row r="2132">
      <c r="A2132" s="5">
        <f>IF($J2132="","",IF($J2132&lt;=1500,INDEX('Daily Sale entry '!$X$1:$X$1501,$J2132+1),INDEX('Daily Sale entry '!$V$1:$V$1501,$J2132-1499)))</f>
        <v/>
      </c>
      <c r="B2132">
        <f>IF($J2132="","",IF($J2132&lt;=1500,INDEX('Daily Sale entry '!$Y$1:$Y$1501,$J2132+1)&amp;"","Buyer cheque banked 买家支票存入"&amp;IF(INDEX('Daily Sale entry '!$U$1:$U$1501,$J2132-1499)="","", " - "&amp;INDEX('Daily Sale entry '!$U$1:$U$1501,$J2132-1499))))</f>
        <v/>
      </c>
      <c r="C2132">
        <f>IF($J2132="","",IF($J2132&lt;=1500,INDEX('Daily Sale entry '!$Z$1:$Z$1501,$J2132+1)&amp;"","Cheque deposit 支票存入 (buyer 买家)"))</f>
        <v/>
      </c>
      <c r="D2132">
        <f>IF($J2132="","",IF($J2132&lt;=1500,INDEX('Daily Sale entry '!$AA$1:$AA$1501,$J2132+1)&amp;"",INDEX('Daily Sale entry '!$P$1:$P$1501,$J2132-1499)&amp;""))</f>
        <v/>
      </c>
      <c r="E2132">
        <f>IF($J2132="","",IF($J2132&lt;=1500,IF(N(INDEX('Daily Sale entry '!$AB$1:$AB$1501,$J2132+1))=0,"",INDEX('Daily Sale entry '!$AB$1:$AB$1501,$J2132+1)),1))</f>
        <v/>
      </c>
      <c r="F2132" s="6">
        <f>IF($J2132="","",IF($J2132&lt;=1500,N(INDEX('Daily Sale entry '!$AC$1:$AC$1501,$J2132+1))-IF(AND('Opening Balance'!$B$15=1,INDEX('Daily Sale entry '!$Z$1:$Z$1501,$J2132+1)="Online collection 网上收款",INDEX('Daily Sale entry '!$AA$1:$AA$1501,$J2132+1)&lt;&gt;""),N(INDEX('Daily Sale entry '!$AC$1:$AC$1501,$J2132+1))-TRUNC(N(INDEX('Daily Sale entry '!$AC$1:$AC$1501,$J2132+1))),0),N(INDEX('Daily Sale entry '!$S$1:$S$1501,$J2132-1499))-'Opening Balance'!$B$15*(N(INDEX('Daily Sale entry '!$S$1:$S$1501,$J2132-1499))-TRUNC(N(INDEX('Daily Sale entry '!$S$1:$S$1501,$J2132-1499))))))</f>
        <v/>
      </c>
      <c r="G2132" s="6">
        <f>IF($J2132="","",IF($J2132&lt;=1500,N(INDEX('Daily Sale entry '!$AD$1:$AD$1501,$J2132+1)),0))</f>
        <v/>
      </c>
      <c r="H2132" s="6">
        <f>IF($J2132="","",ROUND('Opening Balance'!$B$4+SUM($F$2:F2132)-SUM($G$2:G2132),2))</f>
        <v/>
      </c>
      <c r="J2132" s="21">
        <f>IFERROR(MATCH(ROW()-1,$L$2:$L$3001,0),"")</f>
        <v/>
      </c>
      <c r="K2132" s="34">
        <f>IF(AND('Daily Sale entry '!Q632="Collection 收款",'Daily Sale entry '!R632="Cheque 支票",'Daily Sale entry '!V632&lt;&gt;""),'Daily Sale entry '!V632+ROW()/10000000,"")</f>
        <v/>
      </c>
      <c r="L2132" s="21">
        <f>IF(K2132="","",COUNTIF($K$2:$K$3001,"&lt;"&amp;K2132)+1)</f>
        <v/>
      </c>
    </row>
    <row r="2133">
      <c r="A2133" s="5">
        <f>IF($J2133="","",IF($J2133&lt;=1500,INDEX('Daily Sale entry '!$X$1:$X$1501,$J2133+1),INDEX('Daily Sale entry '!$V$1:$V$1501,$J2133-1499)))</f>
        <v/>
      </c>
      <c r="B2133">
        <f>IF($J2133="","",IF($J2133&lt;=1500,INDEX('Daily Sale entry '!$Y$1:$Y$1501,$J2133+1)&amp;"","Buyer cheque banked 买家支票存入"&amp;IF(INDEX('Daily Sale entry '!$U$1:$U$1501,$J2133-1499)="","", " - "&amp;INDEX('Daily Sale entry '!$U$1:$U$1501,$J2133-1499))))</f>
        <v/>
      </c>
      <c r="C2133">
        <f>IF($J2133="","",IF($J2133&lt;=1500,INDEX('Daily Sale entry '!$Z$1:$Z$1501,$J2133+1)&amp;"","Cheque deposit 支票存入 (buyer 买家)"))</f>
        <v/>
      </c>
      <c r="D2133">
        <f>IF($J2133="","",IF($J2133&lt;=1500,INDEX('Daily Sale entry '!$AA$1:$AA$1501,$J2133+1)&amp;"",INDEX('Daily Sale entry '!$P$1:$P$1501,$J2133-1499)&amp;""))</f>
        <v/>
      </c>
      <c r="E2133">
        <f>IF($J2133="","",IF($J2133&lt;=1500,IF(N(INDEX('Daily Sale entry '!$AB$1:$AB$1501,$J2133+1))=0,"",INDEX('Daily Sale entry '!$AB$1:$AB$1501,$J2133+1)),1))</f>
        <v/>
      </c>
      <c r="F2133" s="6">
        <f>IF($J2133="","",IF($J2133&lt;=1500,N(INDEX('Daily Sale entry '!$AC$1:$AC$1501,$J2133+1))-IF(AND('Opening Balance'!$B$15=1,INDEX('Daily Sale entry '!$Z$1:$Z$1501,$J2133+1)="Online collection 网上收款",INDEX('Daily Sale entry '!$AA$1:$AA$1501,$J2133+1)&lt;&gt;""),N(INDEX('Daily Sale entry '!$AC$1:$AC$1501,$J2133+1))-TRUNC(N(INDEX('Daily Sale entry '!$AC$1:$AC$1501,$J2133+1))),0),N(INDEX('Daily Sale entry '!$S$1:$S$1501,$J2133-1499))-'Opening Balance'!$B$15*(N(INDEX('Daily Sale entry '!$S$1:$S$1501,$J2133-1499))-TRUNC(N(INDEX('Daily Sale entry '!$S$1:$S$1501,$J2133-1499))))))</f>
        <v/>
      </c>
      <c r="G2133" s="6">
        <f>IF($J2133="","",IF($J2133&lt;=1500,N(INDEX('Daily Sale entry '!$AD$1:$AD$1501,$J2133+1)),0))</f>
        <v/>
      </c>
      <c r="H2133" s="6">
        <f>IF($J2133="","",ROUND('Opening Balance'!$B$4+SUM($F$2:F2133)-SUM($G$2:G2133),2))</f>
        <v/>
      </c>
      <c r="J2133" s="21">
        <f>IFERROR(MATCH(ROW()-1,$L$2:$L$3001,0),"")</f>
        <v/>
      </c>
      <c r="K2133" s="34">
        <f>IF(AND('Daily Sale entry '!Q633="Collection 收款",'Daily Sale entry '!R633="Cheque 支票",'Daily Sale entry '!V633&lt;&gt;""),'Daily Sale entry '!V633+ROW()/10000000,"")</f>
        <v/>
      </c>
      <c r="L2133" s="21">
        <f>IF(K2133="","",COUNTIF($K$2:$K$3001,"&lt;"&amp;K2133)+1)</f>
        <v/>
      </c>
    </row>
    <row r="2134">
      <c r="A2134" s="5">
        <f>IF($J2134="","",IF($J2134&lt;=1500,INDEX('Daily Sale entry '!$X$1:$X$1501,$J2134+1),INDEX('Daily Sale entry '!$V$1:$V$1501,$J2134-1499)))</f>
        <v/>
      </c>
      <c r="B2134">
        <f>IF($J2134="","",IF($J2134&lt;=1500,INDEX('Daily Sale entry '!$Y$1:$Y$1501,$J2134+1)&amp;"","Buyer cheque banked 买家支票存入"&amp;IF(INDEX('Daily Sale entry '!$U$1:$U$1501,$J2134-1499)="","", " - "&amp;INDEX('Daily Sale entry '!$U$1:$U$1501,$J2134-1499))))</f>
        <v/>
      </c>
      <c r="C2134">
        <f>IF($J2134="","",IF($J2134&lt;=1500,INDEX('Daily Sale entry '!$Z$1:$Z$1501,$J2134+1)&amp;"","Cheque deposit 支票存入 (buyer 买家)"))</f>
        <v/>
      </c>
      <c r="D2134">
        <f>IF($J2134="","",IF($J2134&lt;=1500,INDEX('Daily Sale entry '!$AA$1:$AA$1501,$J2134+1)&amp;"",INDEX('Daily Sale entry '!$P$1:$P$1501,$J2134-1499)&amp;""))</f>
        <v/>
      </c>
      <c r="E2134">
        <f>IF($J2134="","",IF($J2134&lt;=1500,IF(N(INDEX('Daily Sale entry '!$AB$1:$AB$1501,$J2134+1))=0,"",INDEX('Daily Sale entry '!$AB$1:$AB$1501,$J2134+1)),1))</f>
        <v/>
      </c>
      <c r="F2134" s="6">
        <f>IF($J2134="","",IF($J2134&lt;=1500,N(INDEX('Daily Sale entry '!$AC$1:$AC$1501,$J2134+1))-IF(AND('Opening Balance'!$B$15=1,INDEX('Daily Sale entry '!$Z$1:$Z$1501,$J2134+1)="Online collection 网上收款",INDEX('Daily Sale entry '!$AA$1:$AA$1501,$J2134+1)&lt;&gt;""),N(INDEX('Daily Sale entry '!$AC$1:$AC$1501,$J2134+1))-TRUNC(N(INDEX('Daily Sale entry '!$AC$1:$AC$1501,$J2134+1))),0),N(INDEX('Daily Sale entry '!$S$1:$S$1501,$J2134-1499))-'Opening Balance'!$B$15*(N(INDEX('Daily Sale entry '!$S$1:$S$1501,$J2134-1499))-TRUNC(N(INDEX('Daily Sale entry '!$S$1:$S$1501,$J2134-1499))))))</f>
        <v/>
      </c>
      <c r="G2134" s="6">
        <f>IF($J2134="","",IF($J2134&lt;=1500,N(INDEX('Daily Sale entry '!$AD$1:$AD$1501,$J2134+1)),0))</f>
        <v/>
      </c>
      <c r="H2134" s="6">
        <f>IF($J2134="","",ROUND('Opening Balance'!$B$4+SUM($F$2:F2134)-SUM($G$2:G2134),2))</f>
        <v/>
      </c>
      <c r="J2134" s="21">
        <f>IFERROR(MATCH(ROW()-1,$L$2:$L$3001,0),"")</f>
        <v/>
      </c>
      <c r="K2134" s="34">
        <f>IF(AND('Daily Sale entry '!Q634="Collection 收款",'Daily Sale entry '!R634="Cheque 支票",'Daily Sale entry '!V634&lt;&gt;""),'Daily Sale entry '!V634+ROW()/10000000,"")</f>
        <v/>
      </c>
      <c r="L2134" s="21">
        <f>IF(K2134="","",COUNTIF($K$2:$K$3001,"&lt;"&amp;K2134)+1)</f>
        <v/>
      </c>
    </row>
    <row r="2135">
      <c r="A2135" s="5">
        <f>IF($J2135="","",IF($J2135&lt;=1500,INDEX('Daily Sale entry '!$X$1:$X$1501,$J2135+1),INDEX('Daily Sale entry '!$V$1:$V$1501,$J2135-1499)))</f>
        <v/>
      </c>
      <c r="B2135">
        <f>IF($J2135="","",IF($J2135&lt;=1500,INDEX('Daily Sale entry '!$Y$1:$Y$1501,$J2135+1)&amp;"","Buyer cheque banked 买家支票存入"&amp;IF(INDEX('Daily Sale entry '!$U$1:$U$1501,$J2135-1499)="","", " - "&amp;INDEX('Daily Sale entry '!$U$1:$U$1501,$J2135-1499))))</f>
        <v/>
      </c>
      <c r="C2135">
        <f>IF($J2135="","",IF($J2135&lt;=1500,INDEX('Daily Sale entry '!$Z$1:$Z$1501,$J2135+1)&amp;"","Cheque deposit 支票存入 (buyer 买家)"))</f>
        <v/>
      </c>
      <c r="D2135">
        <f>IF($J2135="","",IF($J2135&lt;=1500,INDEX('Daily Sale entry '!$AA$1:$AA$1501,$J2135+1)&amp;"",INDEX('Daily Sale entry '!$P$1:$P$1501,$J2135-1499)&amp;""))</f>
        <v/>
      </c>
      <c r="E2135">
        <f>IF($J2135="","",IF($J2135&lt;=1500,IF(N(INDEX('Daily Sale entry '!$AB$1:$AB$1501,$J2135+1))=0,"",INDEX('Daily Sale entry '!$AB$1:$AB$1501,$J2135+1)),1))</f>
        <v/>
      </c>
      <c r="F2135" s="6">
        <f>IF($J2135="","",IF($J2135&lt;=1500,N(INDEX('Daily Sale entry '!$AC$1:$AC$1501,$J2135+1))-IF(AND('Opening Balance'!$B$15=1,INDEX('Daily Sale entry '!$Z$1:$Z$1501,$J2135+1)="Online collection 网上收款",INDEX('Daily Sale entry '!$AA$1:$AA$1501,$J2135+1)&lt;&gt;""),N(INDEX('Daily Sale entry '!$AC$1:$AC$1501,$J2135+1))-TRUNC(N(INDEX('Daily Sale entry '!$AC$1:$AC$1501,$J2135+1))),0),N(INDEX('Daily Sale entry '!$S$1:$S$1501,$J2135-1499))-'Opening Balance'!$B$15*(N(INDEX('Daily Sale entry '!$S$1:$S$1501,$J2135-1499))-TRUNC(N(INDEX('Daily Sale entry '!$S$1:$S$1501,$J2135-1499))))))</f>
        <v/>
      </c>
      <c r="G2135" s="6">
        <f>IF($J2135="","",IF($J2135&lt;=1500,N(INDEX('Daily Sale entry '!$AD$1:$AD$1501,$J2135+1)),0))</f>
        <v/>
      </c>
      <c r="H2135" s="6">
        <f>IF($J2135="","",ROUND('Opening Balance'!$B$4+SUM($F$2:F2135)-SUM($G$2:G2135),2))</f>
        <v/>
      </c>
      <c r="J2135" s="21">
        <f>IFERROR(MATCH(ROW()-1,$L$2:$L$3001,0),"")</f>
        <v/>
      </c>
      <c r="K2135" s="34">
        <f>IF(AND('Daily Sale entry '!Q635="Collection 收款",'Daily Sale entry '!R635="Cheque 支票",'Daily Sale entry '!V635&lt;&gt;""),'Daily Sale entry '!V635+ROW()/10000000,"")</f>
        <v/>
      </c>
      <c r="L2135" s="21">
        <f>IF(K2135="","",COUNTIF($K$2:$K$3001,"&lt;"&amp;K2135)+1)</f>
        <v/>
      </c>
    </row>
    <row r="2136">
      <c r="A2136" s="5">
        <f>IF($J2136="","",IF($J2136&lt;=1500,INDEX('Daily Sale entry '!$X$1:$X$1501,$J2136+1),INDEX('Daily Sale entry '!$V$1:$V$1501,$J2136-1499)))</f>
        <v/>
      </c>
      <c r="B2136">
        <f>IF($J2136="","",IF($J2136&lt;=1500,INDEX('Daily Sale entry '!$Y$1:$Y$1501,$J2136+1)&amp;"","Buyer cheque banked 买家支票存入"&amp;IF(INDEX('Daily Sale entry '!$U$1:$U$1501,$J2136-1499)="","", " - "&amp;INDEX('Daily Sale entry '!$U$1:$U$1501,$J2136-1499))))</f>
        <v/>
      </c>
      <c r="C2136">
        <f>IF($J2136="","",IF($J2136&lt;=1500,INDEX('Daily Sale entry '!$Z$1:$Z$1501,$J2136+1)&amp;"","Cheque deposit 支票存入 (buyer 买家)"))</f>
        <v/>
      </c>
      <c r="D2136">
        <f>IF($J2136="","",IF($J2136&lt;=1500,INDEX('Daily Sale entry '!$AA$1:$AA$1501,$J2136+1)&amp;"",INDEX('Daily Sale entry '!$P$1:$P$1501,$J2136-1499)&amp;""))</f>
        <v/>
      </c>
      <c r="E2136">
        <f>IF($J2136="","",IF($J2136&lt;=1500,IF(N(INDEX('Daily Sale entry '!$AB$1:$AB$1501,$J2136+1))=0,"",INDEX('Daily Sale entry '!$AB$1:$AB$1501,$J2136+1)),1))</f>
        <v/>
      </c>
      <c r="F2136" s="6">
        <f>IF($J2136="","",IF($J2136&lt;=1500,N(INDEX('Daily Sale entry '!$AC$1:$AC$1501,$J2136+1))-IF(AND('Opening Balance'!$B$15=1,INDEX('Daily Sale entry '!$Z$1:$Z$1501,$J2136+1)="Online collection 网上收款",INDEX('Daily Sale entry '!$AA$1:$AA$1501,$J2136+1)&lt;&gt;""),N(INDEX('Daily Sale entry '!$AC$1:$AC$1501,$J2136+1))-TRUNC(N(INDEX('Daily Sale entry '!$AC$1:$AC$1501,$J2136+1))),0),N(INDEX('Daily Sale entry '!$S$1:$S$1501,$J2136-1499))-'Opening Balance'!$B$15*(N(INDEX('Daily Sale entry '!$S$1:$S$1501,$J2136-1499))-TRUNC(N(INDEX('Daily Sale entry '!$S$1:$S$1501,$J2136-1499))))))</f>
        <v/>
      </c>
      <c r="G2136" s="6">
        <f>IF($J2136="","",IF($J2136&lt;=1500,N(INDEX('Daily Sale entry '!$AD$1:$AD$1501,$J2136+1)),0))</f>
        <v/>
      </c>
      <c r="H2136" s="6">
        <f>IF($J2136="","",ROUND('Opening Balance'!$B$4+SUM($F$2:F2136)-SUM($G$2:G2136),2))</f>
        <v/>
      </c>
      <c r="J2136" s="21">
        <f>IFERROR(MATCH(ROW()-1,$L$2:$L$3001,0),"")</f>
        <v/>
      </c>
      <c r="K2136" s="34">
        <f>IF(AND('Daily Sale entry '!Q636="Collection 收款",'Daily Sale entry '!R636="Cheque 支票",'Daily Sale entry '!V636&lt;&gt;""),'Daily Sale entry '!V636+ROW()/10000000,"")</f>
        <v/>
      </c>
      <c r="L2136" s="21">
        <f>IF(K2136="","",COUNTIF($K$2:$K$3001,"&lt;"&amp;K2136)+1)</f>
        <v/>
      </c>
    </row>
    <row r="2137">
      <c r="A2137" s="5">
        <f>IF($J2137="","",IF($J2137&lt;=1500,INDEX('Daily Sale entry '!$X$1:$X$1501,$J2137+1),INDEX('Daily Sale entry '!$V$1:$V$1501,$J2137-1499)))</f>
        <v/>
      </c>
      <c r="B2137">
        <f>IF($J2137="","",IF($J2137&lt;=1500,INDEX('Daily Sale entry '!$Y$1:$Y$1501,$J2137+1)&amp;"","Buyer cheque banked 买家支票存入"&amp;IF(INDEX('Daily Sale entry '!$U$1:$U$1501,$J2137-1499)="","", " - "&amp;INDEX('Daily Sale entry '!$U$1:$U$1501,$J2137-1499))))</f>
        <v/>
      </c>
      <c r="C2137">
        <f>IF($J2137="","",IF($J2137&lt;=1500,INDEX('Daily Sale entry '!$Z$1:$Z$1501,$J2137+1)&amp;"","Cheque deposit 支票存入 (buyer 买家)"))</f>
        <v/>
      </c>
      <c r="D2137">
        <f>IF($J2137="","",IF($J2137&lt;=1500,INDEX('Daily Sale entry '!$AA$1:$AA$1501,$J2137+1)&amp;"",INDEX('Daily Sale entry '!$P$1:$P$1501,$J2137-1499)&amp;""))</f>
        <v/>
      </c>
      <c r="E2137">
        <f>IF($J2137="","",IF($J2137&lt;=1500,IF(N(INDEX('Daily Sale entry '!$AB$1:$AB$1501,$J2137+1))=0,"",INDEX('Daily Sale entry '!$AB$1:$AB$1501,$J2137+1)),1))</f>
        <v/>
      </c>
      <c r="F2137" s="6">
        <f>IF($J2137="","",IF($J2137&lt;=1500,N(INDEX('Daily Sale entry '!$AC$1:$AC$1501,$J2137+1))-IF(AND('Opening Balance'!$B$15=1,INDEX('Daily Sale entry '!$Z$1:$Z$1501,$J2137+1)="Online collection 网上收款",INDEX('Daily Sale entry '!$AA$1:$AA$1501,$J2137+1)&lt;&gt;""),N(INDEX('Daily Sale entry '!$AC$1:$AC$1501,$J2137+1))-TRUNC(N(INDEX('Daily Sale entry '!$AC$1:$AC$1501,$J2137+1))),0),N(INDEX('Daily Sale entry '!$S$1:$S$1501,$J2137-1499))-'Opening Balance'!$B$15*(N(INDEX('Daily Sale entry '!$S$1:$S$1501,$J2137-1499))-TRUNC(N(INDEX('Daily Sale entry '!$S$1:$S$1501,$J2137-1499))))))</f>
        <v/>
      </c>
      <c r="G2137" s="6">
        <f>IF($J2137="","",IF($J2137&lt;=1500,N(INDEX('Daily Sale entry '!$AD$1:$AD$1501,$J2137+1)),0))</f>
        <v/>
      </c>
      <c r="H2137" s="6">
        <f>IF($J2137="","",ROUND('Opening Balance'!$B$4+SUM($F$2:F2137)-SUM($G$2:G2137),2))</f>
        <v/>
      </c>
      <c r="J2137" s="21">
        <f>IFERROR(MATCH(ROW()-1,$L$2:$L$3001,0),"")</f>
        <v/>
      </c>
      <c r="K2137" s="34">
        <f>IF(AND('Daily Sale entry '!Q637="Collection 收款",'Daily Sale entry '!R637="Cheque 支票",'Daily Sale entry '!V637&lt;&gt;""),'Daily Sale entry '!V637+ROW()/10000000,"")</f>
        <v/>
      </c>
      <c r="L2137" s="21">
        <f>IF(K2137="","",COUNTIF($K$2:$K$3001,"&lt;"&amp;K2137)+1)</f>
        <v/>
      </c>
    </row>
    <row r="2138">
      <c r="A2138" s="5">
        <f>IF($J2138="","",IF($J2138&lt;=1500,INDEX('Daily Sale entry '!$X$1:$X$1501,$J2138+1),INDEX('Daily Sale entry '!$V$1:$V$1501,$J2138-1499)))</f>
        <v/>
      </c>
      <c r="B2138">
        <f>IF($J2138="","",IF($J2138&lt;=1500,INDEX('Daily Sale entry '!$Y$1:$Y$1501,$J2138+1)&amp;"","Buyer cheque banked 买家支票存入"&amp;IF(INDEX('Daily Sale entry '!$U$1:$U$1501,$J2138-1499)="","", " - "&amp;INDEX('Daily Sale entry '!$U$1:$U$1501,$J2138-1499))))</f>
        <v/>
      </c>
      <c r="C2138">
        <f>IF($J2138="","",IF($J2138&lt;=1500,INDEX('Daily Sale entry '!$Z$1:$Z$1501,$J2138+1)&amp;"","Cheque deposit 支票存入 (buyer 买家)"))</f>
        <v/>
      </c>
      <c r="D2138">
        <f>IF($J2138="","",IF($J2138&lt;=1500,INDEX('Daily Sale entry '!$AA$1:$AA$1501,$J2138+1)&amp;"",INDEX('Daily Sale entry '!$P$1:$P$1501,$J2138-1499)&amp;""))</f>
        <v/>
      </c>
      <c r="E2138">
        <f>IF($J2138="","",IF($J2138&lt;=1500,IF(N(INDEX('Daily Sale entry '!$AB$1:$AB$1501,$J2138+1))=0,"",INDEX('Daily Sale entry '!$AB$1:$AB$1501,$J2138+1)),1))</f>
        <v/>
      </c>
      <c r="F2138" s="6">
        <f>IF($J2138="","",IF($J2138&lt;=1500,N(INDEX('Daily Sale entry '!$AC$1:$AC$1501,$J2138+1))-IF(AND('Opening Balance'!$B$15=1,INDEX('Daily Sale entry '!$Z$1:$Z$1501,$J2138+1)="Online collection 网上收款",INDEX('Daily Sale entry '!$AA$1:$AA$1501,$J2138+1)&lt;&gt;""),N(INDEX('Daily Sale entry '!$AC$1:$AC$1501,$J2138+1))-TRUNC(N(INDEX('Daily Sale entry '!$AC$1:$AC$1501,$J2138+1))),0),N(INDEX('Daily Sale entry '!$S$1:$S$1501,$J2138-1499))-'Opening Balance'!$B$15*(N(INDEX('Daily Sale entry '!$S$1:$S$1501,$J2138-1499))-TRUNC(N(INDEX('Daily Sale entry '!$S$1:$S$1501,$J2138-1499))))))</f>
        <v/>
      </c>
      <c r="G2138" s="6">
        <f>IF($J2138="","",IF($J2138&lt;=1500,N(INDEX('Daily Sale entry '!$AD$1:$AD$1501,$J2138+1)),0))</f>
        <v/>
      </c>
      <c r="H2138" s="6">
        <f>IF($J2138="","",ROUND('Opening Balance'!$B$4+SUM($F$2:F2138)-SUM($G$2:G2138),2))</f>
        <v/>
      </c>
      <c r="J2138" s="21">
        <f>IFERROR(MATCH(ROW()-1,$L$2:$L$3001,0),"")</f>
        <v/>
      </c>
      <c r="K2138" s="34">
        <f>IF(AND('Daily Sale entry '!Q638="Collection 收款",'Daily Sale entry '!R638="Cheque 支票",'Daily Sale entry '!V638&lt;&gt;""),'Daily Sale entry '!V638+ROW()/10000000,"")</f>
        <v/>
      </c>
      <c r="L2138" s="21">
        <f>IF(K2138="","",COUNTIF($K$2:$K$3001,"&lt;"&amp;K2138)+1)</f>
        <v/>
      </c>
    </row>
    <row r="2139">
      <c r="A2139" s="5">
        <f>IF($J2139="","",IF($J2139&lt;=1500,INDEX('Daily Sale entry '!$X$1:$X$1501,$J2139+1),INDEX('Daily Sale entry '!$V$1:$V$1501,$J2139-1499)))</f>
        <v/>
      </c>
      <c r="B2139">
        <f>IF($J2139="","",IF($J2139&lt;=1500,INDEX('Daily Sale entry '!$Y$1:$Y$1501,$J2139+1)&amp;"","Buyer cheque banked 买家支票存入"&amp;IF(INDEX('Daily Sale entry '!$U$1:$U$1501,$J2139-1499)="","", " - "&amp;INDEX('Daily Sale entry '!$U$1:$U$1501,$J2139-1499))))</f>
        <v/>
      </c>
      <c r="C2139">
        <f>IF($J2139="","",IF($J2139&lt;=1500,INDEX('Daily Sale entry '!$Z$1:$Z$1501,$J2139+1)&amp;"","Cheque deposit 支票存入 (buyer 买家)"))</f>
        <v/>
      </c>
      <c r="D2139">
        <f>IF($J2139="","",IF($J2139&lt;=1500,INDEX('Daily Sale entry '!$AA$1:$AA$1501,$J2139+1)&amp;"",INDEX('Daily Sale entry '!$P$1:$P$1501,$J2139-1499)&amp;""))</f>
        <v/>
      </c>
      <c r="E2139">
        <f>IF($J2139="","",IF($J2139&lt;=1500,IF(N(INDEX('Daily Sale entry '!$AB$1:$AB$1501,$J2139+1))=0,"",INDEX('Daily Sale entry '!$AB$1:$AB$1501,$J2139+1)),1))</f>
        <v/>
      </c>
      <c r="F2139" s="6">
        <f>IF($J2139="","",IF($J2139&lt;=1500,N(INDEX('Daily Sale entry '!$AC$1:$AC$1501,$J2139+1))-IF(AND('Opening Balance'!$B$15=1,INDEX('Daily Sale entry '!$Z$1:$Z$1501,$J2139+1)="Online collection 网上收款",INDEX('Daily Sale entry '!$AA$1:$AA$1501,$J2139+1)&lt;&gt;""),N(INDEX('Daily Sale entry '!$AC$1:$AC$1501,$J2139+1))-TRUNC(N(INDEX('Daily Sale entry '!$AC$1:$AC$1501,$J2139+1))),0),N(INDEX('Daily Sale entry '!$S$1:$S$1501,$J2139-1499))-'Opening Balance'!$B$15*(N(INDEX('Daily Sale entry '!$S$1:$S$1501,$J2139-1499))-TRUNC(N(INDEX('Daily Sale entry '!$S$1:$S$1501,$J2139-1499))))))</f>
        <v/>
      </c>
      <c r="G2139" s="6">
        <f>IF($J2139="","",IF($J2139&lt;=1500,N(INDEX('Daily Sale entry '!$AD$1:$AD$1501,$J2139+1)),0))</f>
        <v/>
      </c>
      <c r="H2139" s="6">
        <f>IF($J2139="","",ROUND('Opening Balance'!$B$4+SUM($F$2:F2139)-SUM($G$2:G2139),2))</f>
        <v/>
      </c>
      <c r="J2139" s="21">
        <f>IFERROR(MATCH(ROW()-1,$L$2:$L$3001,0),"")</f>
        <v/>
      </c>
      <c r="K2139" s="34">
        <f>IF(AND('Daily Sale entry '!Q639="Collection 收款",'Daily Sale entry '!R639="Cheque 支票",'Daily Sale entry '!V639&lt;&gt;""),'Daily Sale entry '!V639+ROW()/10000000,"")</f>
        <v/>
      </c>
      <c r="L2139" s="21">
        <f>IF(K2139="","",COUNTIF($K$2:$K$3001,"&lt;"&amp;K2139)+1)</f>
        <v/>
      </c>
    </row>
    <row r="2140">
      <c r="A2140" s="5">
        <f>IF($J2140="","",IF($J2140&lt;=1500,INDEX('Daily Sale entry '!$X$1:$X$1501,$J2140+1),INDEX('Daily Sale entry '!$V$1:$V$1501,$J2140-1499)))</f>
        <v/>
      </c>
      <c r="B2140">
        <f>IF($J2140="","",IF($J2140&lt;=1500,INDEX('Daily Sale entry '!$Y$1:$Y$1501,$J2140+1)&amp;"","Buyer cheque banked 买家支票存入"&amp;IF(INDEX('Daily Sale entry '!$U$1:$U$1501,$J2140-1499)="","", " - "&amp;INDEX('Daily Sale entry '!$U$1:$U$1501,$J2140-1499))))</f>
        <v/>
      </c>
      <c r="C2140">
        <f>IF($J2140="","",IF($J2140&lt;=1500,INDEX('Daily Sale entry '!$Z$1:$Z$1501,$J2140+1)&amp;"","Cheque deposit 支票存入 (buyer 买家)"))</f>
        <v/>
      </c>
      <c r="D2140">
        <f>IF($J2140="","",IF($J2140&lt;=1500,INDEX('Daily Sale entry '!$AA$1:$AA$1501,$J2140+1)&amp;"",INDEX('Daily Sale entry '!$P$1:$P$1501,$J2140-1499)&amp;""))</f>
        <v/>
      </c>
      <c r="E2140">
        <f>IF($J2140="","",IF($J2140&lt;=1500,IF(N(INDEX('Daily Sale entry '!$AB$1:$AB$1501,$J2140+1))=0,"",INDEX('Daily Sale entry '!$AB$1:$AB$1501,$J2140+1)),1))</f>
        <v/>
      </c>
      <c r="F2140" s="6">
        <f>IF($J2140="","",IF($J2140&lt;=1500,N(INDEX('Daily Sale entry '!$AC$1:$AC$1501,$J2140+1))-IF(AND('Opening Balance'!$B$15=1,INDEX('Daily Sale entry '!$Z$1:$Z$1501,$J2140+1)="Online collection 网上收款",INDEX('Daily Sale entry '!$AA$1:$AA$1501,$J2140+1)&lt;&gt;""),N(INDEX('Daily Sale entry '!$AC$1:$AC$1501,$J2140+1))-TRUNC(N(INDEX('Daily Sale entry '!$AC$1:$AC$1501,$J2140+1))),0),N(INDEX('Daily Sale entry '!$S$1:$S$1501,$J2140-1499))-'Opening Balance'!$B$15*(N(INDEX('Daily Sale entry '!$S$1:$S$1501,$J2140-1499))-TRUNC(N(INDEX('Daily Sale entry '!$S$1:$S$1501,$J2140-1499))))))</f>
        <v/>
      </c>
      <c r="G2140" s="6">
        <f>IF($J2140="","",IF($J2140&lt;=1500,N(INDEX('Daily Sale entry '!$AD$1:$AD$1501,$J2140+1)),0))</f>
        <v/>
      </c>
      <c r="H2140" s="6">
        <f>IF($J2140="","",ROUND('Opening Balance'!$B$4+SUM($F$2:F2140)-SUM($G$2:G2140),2))</f>
        <v/>
      </c>
      <c r="J2140" s="21">
        <f>IFERROR(MATCH(ROW()-1,$L$2:$L$3001,0),"")</f>
        <v/>
      </c>
      <c r="K2140" s="34">
        <f>IF(AND('Daily Sale entry '!Q640="Collection 收款",'Daily Sale entry '!R640="Cheque 支票",'Daily Sale entry '!V640&lt;&gt;""),'Daily Sale entry '!V640+ROW()/10000000,"")</f>
        <v/>
      </c>
      <c r="L2140" s="21">
        <f>IF(K2140="","",COUNTIF($K$2:$K$3001,"&lt;"&amp;K2140)+1)</f>
        <v/>
      </c>
    </row>
    <row r="2141">
      <c r="A2141" s="5">
        <f>IF($J2141="","",IF($J2141&lt;=1500,INDEX('Daily Sale entry '!$X$1:$X$1501,$J2141+1),INDEX('Daily Sale entry '!$V$1:$V$1501,$J2141-1499)))</f>
        <v/>
      </c>
      <c r="B2141">
        <f>IF($J2141="","",IF($J2141&lt;=1500,INDEX('Daily Sale entry '!$Y$1:$Y$1501,$J2141+1)&amp;"","Buyer cheque banked 买家支票存入"&amp;IF(INDEX('Daily Sale entry '!$U$1:$U$1501,$J2141-1499)="","", " - "&amp;INDEX('Daily Sale entry '!$U$1:$U$1501,$J2141-1499))))</f>
        <v/>
      </c>
      <c r="C2141">
        <f>IF($J2141="","",IF($J2141&lt;=1500,INDEX('Daily Sale entry '!$Z$1:$Z$1501,$J2141+1)&amp;"","Cheque deposit 支票存入 (buyer 买家)"))</f>
        <v/>
      </c>
      <c r="D2141">
        <f>IF($J2141="","",IF($J2141&lt;=1500,INDEX('Daily Sale entry '!$AA$1:$AA$1501,$J2141+1)&amp;"",INDEX('Daily Sale entry '!$P$1:$P$1501,$J2141-1499)&amp;""))</f>
        <v/>
      </c>
      <c r="E2141">
        <f>IF($J2141="","",IF($J2141&lt;=1500,IF(N(INDEX('Daily Sale entry '!$AB$1:$AB$1501,$J2141+1))=0,"",INDEX('Daily Sale entry '!$AB$1:$AB$1501,$J2141+1)),1))</f>
        <v/>
      </c>
      <c r="F2141" s="6">
        <f>IF($J2141="","",IF($J2141&lt;=1500,N(INDEX('Daily Sale entry '!$AC$1:$AC$1501,$J2141+1))-IF(AND('Opening Balance'!$B$15=1,INDEX('Daily Sale entry '!$Z$1:$Z$1501,$J2141+1)="Online collection 网上收款",INDEX('Daily Sale entry '!$AA$1:$AA$1501,$J2141+1)&lt;&gt;""),N(INDEX('Daily Sale entry '!$AC$1:$AC$1501,$J2141+1))-TRUNC(N(INDEX('Daily Sale entry '!$AC$1:$AC$1501,$J2141+1))),0),N(INDEX('Daily Sale entry '!$S$1:$S$1501,$J2141-1499))-'Opening Balance'!$B$15*(N(INDEX('Daily Sale entry '!$S$1:$S$1501,$J2141-1499))-TRUNC(N(INDEX('Daily Sale entry '!$S$1:$S$1501,$J2141-1499))))))</f>
        <v/>
      </c>
      <c r="G2141" s="6">
        <f>IF($J2141="","",IF($J2141&lt;=1500,N(INDEX('Daily Sale entry '!$AD$1:$AD$1501,$J2141+1)),0))</f>
        <v/>
      </c>
      <c r="H2141" s="6">
        <f>IF($J2141="","",ROUND('Opening Balance'!$B$4+SUM($F$2:F2141)-SUM($G$2:G2141),2))</f>
        <v/>
      </c>
      <c r="J2141" s="21">
        <f>IFERROR(MATCH(ROW()-1,$L$2:$L$3001,0),"")</f>
        <v/>
      </c>
      <c r="K2141" s="34">
        <f>IF(AND('Daily Sale entry '!Q641="Collection 收款",'Daily Sale entry '!R641="Cheque 支票",'Daily Sale entry '!V641&lt;&gt;""),'Daily Sale entry '!V641+ROW()/10000000,"")</f>
        <v/>
      </c>
      <c r="L2141" s="21">
        <f>IF(K2141="","",COUNTIF($K$2:$K$3001,"&lt;"&amp;K2141)+1)</f>
        <v/>
      </c>
    </row>
    <row r="2142">
      <c r="A2142" s="5">
        <f>IF($J2142="","",IF($J2142&lt;=1500,INDEX('Daily Sale entry '!$X$1:$X$1501,$J2142+1),INDEX('Daily Sale entry '!$V$1:$V$1501,$J2142-1499)))</f>
        <v/>
      </c>
      <c r="B2142">
        <f>IF($J2142="","",IF($J2142&lt;=1500,INDEX('Daily Sale entry '!$Y$1:$Y$1501,$J2142+1)&amp;"","Buyer cheque banked 买家支票存入"&amp;IF(INDEX('Daily Sale entry '!$U$1:$U$1501,$J2142-1499)="","", " - "&amp;INDEX('Daily Sale entry '!$U$1:$U$1501,$J2142-1499))))</f>
        <v/>
      </c>
      <c r="C2142">
        <f>IF($J2142="","",IF($J2142&lt;=1500,INDEX('Daily Sale entry '!$Z$1:$Z$1501,$J2142+1)&amp;"","Cheque deposit 支票存入 (buyer 买家)"))</f>
        <v/>
      </c>
      <c r="D2142">
        <f>IF($J2142="","",IF($J2142&lt;=1500,INDEX('Daily Sale entry '!$AA$1:$AA$1501,$J2142+1)&amp;"",INDEX('Daily Sale entry '!$P$1:$P$1501,$J2142-1499)&amp;""))</f>
        <v/>
      </c>
      <c r="E2142">
        <f>IF($J2142="","",IF($J2142&lt;=1500,IF(N(INDEX('Daily Sale entry '!$AB$1:$AB$1501,$J2142+1))=0,"",INDEX('Daily Sale entry '!$AB$1:$AB$1501,$J2142+1)),1))</f>
        <v/>
      </c>
      <c r="F2142" s="6">
        <f>IF($J2142="","",IF($J2142&lt;=1500,N(INDEX('Daily Sale entry '!$AC$1:$AC$1501,$J2142+1))-IF(AND('Opening Balance'!$B$15=1,INDEX('Daily Sale entry '!$Z$1:$Z$1501,$J2142+1)="Online collection 网上收款",INDEX('Daily Sale entry '!$AA$1:$AA$1501,$J2142+1)&lt;&gt;""),N(INDEX('Daily Sale entry '!$AC$1:$AC$1501,$J2142+1))-TRUNC(N(INDEX('Daily Sale entry '!$AC$1:$AC$1501,$J2142+1))),0),N(INDEX('Daily Sale entry '!$S$1:$S$1501,$J2142-1499))-'Opening Balance'!$B$15*(N(INDEX('Daily Sale entry '!$S$1:$S$1501,$J2142-1499))-TRUNC(N(INDEX('Daily Sale entry '!$S$1:$S$1501,$J2142-1499))))))</f>
        <v/>
      </c>
      <c r="G2142" s="6">
        <f>IF($J2142="","",IF($J2142&lt;=1500,N(INDEX('Daily Sale entry '!$AD$1:$AD$1501,$J2142+1)),0))</f>
        <v/>
      </c>
      <c r="H2142" s="6">
        <f>IF($J2142="","",ROUND('Opening Balance'!$B$4+SUM($F$2:F2142)-SUM($G$2:G2142),2))</f>
        <v/>
      </c>
      <c r="J2142" s="21">
        <f>IFERROR(MATCH(ROW()-1,$L$2:$L$3001,0),"")</f>
        <v/>
      </c>
      <c r="K2142" s="34">
        <f>IF(AND('Daily Sale entry '!Q642="Collection 收款",'Daily Sale entry '!R642="Cheque 支票",'Daily Sale entry '!V642&lt;&gt;""),'Daily Sale entry '!V642+ROW()/10000000,"")</f>
        <v/>
      </c>
      <c r="L2142" s="21">
        <f>IF(K2142="","",COUNTIF($K$2:$K$3001,"&lt;"&amp;K2142)+1)</f>
        <v/>
      </c>
    </row>
    <row r="2143">
      <c r="A2143" s="5">
        <f>IF($J2143="","",IF($J2143&lt;=1500,INDEX('Daily Sale entry '!$X$1:$X$1501,$J2143+1),INDEX('Daily Sale entry '!$V$1:$V$1501,$J2143-1499)))</f>
        <v/>
      </c>
      <c r="B2143">
        <f>IF($J2143="","",IF($J2143&lt;=1500,INDEX('Daily Sale entry '!$Y$1:$Y$1501,$J2143+1)&amp;"","Buyer cheque banked 买家支票存入"&amp;IF(INDEX('Daily Sale entry '!$U$1:$U$1501,$J2143-1499)="","", " - "&amp;INDEX('Daily Sale entry '!$U$1:$U$1501,$J2143-1499))))</f>
        <v/>
      </c>
      <c r="C2143">
        <f>IF($J2143="","",IF($J2143&lt;=1500,INDEX('Daily Sale entry '!$Z$1:$Z$1501,$J2143+1)&amp;"","Cheque deposit 支票存入 (buyer 买家)"))</f>
        <v/>
      </c>
      <c r="D2143">
        <f>IF($J2143="","",IF($J2143&lt;=1500,INDEX('Daily Sale entry '!$AA$1:$AA$1501,$J2143+1)&amp;"",INDEX('Daily Sale entry '!$P$1:$P$1501,$J2143-1499)&amp;""))</f>
        <v/>
      </c>
      <c r="E2143">
        <f>IF($J2143="","",IF($J2143&lt;=1500,IF(N(INDEX('Daily Sale entry '!$AB$1:$AB$1501,$J2143+1))=0,"",INDEX('Daily Sale entry '!$AB$1:$AB$1501,$J2143+1)),1))</f>
        <v/>
      </c>
      <c r="F2143" s="6">
        <f>IF($J2143="","",IF($J2143&lt;=1500,N(INDEX('Daily Sale entry '!$AC$1:$AC$1501,$J2143+1))-IF(AND('Opening Balance'!$B$15=1,INDEX('Daily Sale entry '!$Z$1:$Z$1501,$J2143+1)="Online collection 网上收款",INDEX('Daily Sale entry '!$AA$1:$AA$1501,$J2143+1)&lt;&gt;""),N(INDEX('Daily Sale entry '!$AC$1:$AC$1501,$J2143+1))-TRUNC(N(INDEX('Daily Sale entry '!$AC$1:$AC$1501,$J2143+1))),0),N(INDEX('Daily Sale entry '!$S$1:$S$1501,$J2143-1499))-'Opening Balance'!$B$15*(N(INDEX('Daily Sale entry '!$S$1:$S$1501,$J2143-1499))-TRUNC(N(INDEX('Daily Sale entry '!$S$1:$S$1501,$J2143-1499))))))</f>
        <v/>
      </c>
      <c r="G2143" s="6">
        <f>IF($J2143="","",IF($J2143&lt;=1500,N(INDEX('Daily Sale entry '!$AD$1:$AD$1501,$J2143+1)),0))</f>
        <v/>
      </c>
      <c r="H2143" s="6">
        <f>IF($J2143="","",ROUND('Opening Balance'!$B$4+SUM($F$2:F2143)-SUM($G$2:G2143),2))</f>
        <v/>
      </c>
      <c r="J2143" s="21">
        <f>IFERROR(MATCH(ROW()-1,$L$2:$L$3001,0),"")</f>
        <v/>
      </c>
      <c r="K2143" s="34">
        <f>IF(AND('Daily Sale entry '!Q643="Collection 收款",'Daily Sale entry '!R643="Cheque 支票",'Daily Sale entry '!V643&lt;&gt;""),'Daily Sale entry '!V643+ROW()/10000000,"")</f>
        <v/>
      </c>
      <c r="L2143" s="21">
        <f>IF(K2143="","",COUNTIF($K$2:$K$3001,"&lt;"&amp;K2143)+1)</f>
        <v/>
      </c>
    </row>
    <row r="2144">
      <c r="A2144" s="5">
        <f>IF($J2144="","",IF($J2144&lt;=1500,INDEX('Daily Sale entry '!$X$1:$X$1501,$J2144+1),INDEX('Daily Sale entry '!$V$1:$V$1501,$J2144-1499)))</f>
        <v/>
      </c>
      <c r="B2144">
        <f>IF($J2144="","",IF($J2144&lt;=1500,INDEX('Daily Sale entry '!$Y$1:$Y$1501,$J2144+1)&amp;"","Buyer cheque banked 买家支票存入"&amp;IF(INDEX('Daily Sale entry '!$U$1:$U$1501,$J2144-1499)="","", " - "&amp;INDEX('Daily Sale entry '!$U$1:$U$1501,$J2144-1499))))</f>
        <v/>
      </c>
      <c r="C2144">
        <f>IF($J2144="","",IF($J2144&lt;=1500,INDEX('Daily Sale entry '!$Z$1:$Z$1501,$J2144+1)&amp;"","Cheque deposit 支票存入 (buyer 买家)"))</f>
        <v/>
      </c>
      <c r="D2144">
        <f>IF($J2144="","",IF($J2144&lt;=1500,INDEX('Daily Sale entry '!$AA$1:$AA$1501,$J2144+1)&amp;"",INDEX('Daily Sale entry '!$P$1:$P$1501,$J2144-1499)&amp;""))</f>
        <v/>
      </c>
      <c r="E2144">
        <f>IF($J2144="","",IF($J2144&lt;=1500,IF(N(INDEX('Daily Sale entry '!$AB$1:$AB$1501,$J2144+1))=0,"",INDEX('Daily Sale entry '!$AB$1:$AB$1501,$J2144+1)),1))</f>
        <v/>
      </c>
      <c r="F2144" s="6">
        <f>IF($J2144="","",IF($J2144&lt;=1500,N(INDEX('Daily Sale entry '!$AC$1:$AC$1501,$J2144+1))-IF(AND('Opening Balance'!$B$15=1,INDEX('Daily Sale entry '!$Z$1:$Z$1501,$J2144+1)="Online collection 网上收款",INDEX('Daily Sale entry '!$AA$1:$AA$1501,$J2144+1)&lt;&gt;""),N(INDEX('Daily Sale entry '!$AC$1:$AC$1501,$J2144+1))-TRUNC(N(INDEX('Daily Sale entry '!$AC$1:$AC$1501,$J2144+1))),0),N(INDEX('Daily Sale entry '!$S$1:$S$1501,$J2144-1499))-'Opening Balance'!$B$15*(N(INDEX('Daily Sale entry '!$S$1:$S$1501,$J2144-1499))-TRUNC(N(INDEX('Daily Sale entry '!$S$1:$S$1501,$J2144-1499))))))</f>
        <v/>
      </c>
      <c r="G2144" s="6">
        <f>IF($J2144="","",IF($J2144&lt;=1500,N(INDEX('Daily Sale entry '!$AD$1:$AD$1501,$J2144+1)),0))</f>
        <v/>
      </c>
      <c r="H2144" s="6">
        <f>IF($J2144="","",ROUND('Opening Balance'!$B$4+SUM($F$2:F2144)-SUM($G$2:G2144),2))</f>
        <v/>
      </c>
      <c r="J2144" s="21">
        <f>IFERROR(MATCH(ROW()-1,$L$2:$L$3001,0),"")</f>
        <v/>
      </c>
      <c r="K2144" s="34">
        <f>IF(AND('Daily Sale entry '!Q644="Collection 收款",'Daily Sale entry '!R644="Cheque 支票",'Daily Sale entry '!V644&lt;&gt;""),'Daily Sale entry '!V644+ROW()/10000000,"")</f>
        <v/>
      </c>
      <c r="L2144" s="21">
        <f>IF(K2144="","",COUNTIF($K$2:$K$3001,"&lt;"&amp;K2144)+1)</f>
        <v/>
      </c>
    </row>
    <row r="2145">
      <c r="A2145" s="5">
        <f>IF($J2145="","",IF($J2145&lt;=1500,INDEX('Daily Sale entry '!$X$1:$X$1501,$J2145+1),INDEX('Daily Sale entry '!$V$1:$V$1501,$J2145-1499)))</f>
        <v/>
      </c>
      <c r="B2145">
        <f>IF($J2145="","",IF($J2145&lt;=1500,INDEX('Daily Sale entry '!$Y$1:$Y$1501,$J2145+1)&amp;"","Buyer cheque banked 买家支票存入"&amp;IF(INDEX('Daily Sale entry '!$U$1:$U$1501,$J2145-1499)="","", " - "&amp;INDEX('Daily Sale entry '!$U$1:$U$1501,$J2145-1499))))</f>
        <v/>
      </c>
      <c r="C2145">
        <f>IF($J2145="","",IF($J2145&lt;=1500,INDEX('Daily Sale entry '!$Z$1:$Z$1501,$J2145+1)&amp;"","Cheque deposit 支票存入 (buyer 买家)"))</f>
        <v/>
      </c>
      <c r="D2145">
        <f>IF($J2145="","",IF($J2145&lt;=1500,INDEX('Daily Sale entry '!$AA$1:$AA$1501,$J2145+1)&amp;"",INDEX('Daily Sale entry '!$P$1:$P$1501,$J2145-1499)&amp;""))</f>
        <v/>
      </c>
      <c r="E2145">
        <f>IF($J2145="","",IF($J2145&lt;=1500,IF(N(INDEX('Daily Sale entry '!$AB$1:$AB$1501,$J2145+1))=0,"",INDEX('Daily Sale entry '!$AB$1:$AB$1501,$J2145+1)),1))</f>
        <v/>
      </c>
      <c r="F2145" s="6">
        <f>IF($J2145="","",IF($J2145&lt;=1500,N(INDEX('Daily Sale entry '!$AC$1:$AC$1501,$J2145+1))-IF(AND('Opening Balance'!$B$15=1,INDEX('Daily Sale entry '!$Z$1:$Z$1501,$J2145+1)="Online collection 网上收款",INDEX('Daily Sale entry '!$AA$1:$AA$1501,$J2145+1)&lt;&gt;""),N(INDEX('Daily Sale entry '!$AC$1:$AC$1501,$J2145+1))-TRUNC(N(INDEX('Daily Sale entry '!$AC$1:$AC$1501,$J2145+1))),0),N(INDEX('Daily Sale entry '!$S$1:$S$1501,$J2145-1499))-'Opening Balance'!$B$15*(N(INDEX('Daily Sale entry '!$S$1:$S$1501,$J2145-1499))-TRUNC(N(INDEX('Daily Sale entry '!$S$1:$S$1501,$J2145-1499))))))</f>
        <v/>
      </c>
      <c r="G2145" s="6">
        <f>IF($J2145="","",IF($J2145&lt;=1500,N(INDEX('Daily Sale entry '!$AD$1:$AD$1501,$J2145+1)),0))</f>
        <v/>
      </c>
      <c r="H2145" s="6">
        <f>IF($J2145="","",ROUND('Opening Balance'!$B$4+SUM($F$2:F2145)-SUM($G$2:G2145),2))</f>
        <v/>
      </c>
      <c r="J2145" s="21">
        <f>IFERROR(MATCH(ROW()-1,$L$2:$L$3001,0),"")</f>
        <v/>
      </c>
      <c r="K2145" s="34">
        <f>IF(AND('Daily Sale entry '!Q645="Collection 收款",'Daily Sale entry '!R645="Cheque 支票",'Daily Sale entry '!V645&lt;&gt;""),'Daily Sale entry '!V645+ROW()/10000000,"")</f>
        <v/>
      </c>
      <c r="L2145" s="21">
        <f>IF(K2145="","",COUNTIF($K$2:$K$3001,"&lt;"&amp;K2145)+1)</f>
        <v/>
      </c>
    </row>
    <row r="2146">
      <c r="A2146" s="5">
        <f>IF($J2146="","",IF($J2146&lt;=1500,INDEX('Daily Sale entry '!$X$1:$X$1501,$J2146+1),INDEX('Daily Sale entry '!$V$1:$V$1501,$J2146-1499)))</f>
        <v/>
      </c>
      <c r="B2146">
        <f>IF($J2146="","",IF($J2146&lt;=1500,INDEX('Daily Sale entry '!$Y$1:$Y$1501,$J2146+1)&amp;"","Buyer cheque banked 买家支票存入"&amp;IF(INDEX('Daily Sale entry '!$U$1:$U$1501,$J2146-1499)="","", " - "&amp;INDEX('Daily Sale entry '!$U$1:$U$1501,$J2146-1499))))</f>
        <v/>
      </c>
      <c r="C2146">
        <f>IF($J2146="","",IF($J2146&lt;=1500,INDEX('Daily Sale entry '!$Z$1:$Z$1501,$J2146+1)&amp;"","Cheque deposit 支票存入 (buyer 买家)"))</f>
        <v/>
      </c>
      <c r="D2146">
        <f>IF($J2146="","",IF($J2146&lt;=1500,INDEX('Daily Sale entry '!$AA$1:$AA$1501,$J2146+1)&amp;"",INDEX('Daily Sale entry '!$P$1:$P$1501,$J2146-1499)&amp;""))</f>
        <v/>
      </c>
      <c r="E2146">
        <f>IF($J2146="","",IF($J2146&lt;=1500,IF(N(INDEX('Daily Sale entry '!$AB$1:$AB$1501,$J2146+1))=0,"",INDEX('Daily Sale entry '!$AB$1:$AB$1501,$J2146+1)),1))</f>
        <v/>
      </c>
      <c r="F2146" s="6">
        <f>IF($J2146="","",IF($J2146&lt;=1500,N(INDEX('Daily Sale entry '!$AC$1:$AC$1501,$J2146+1))-IF(AND('Opening Balance'!$B$15=1,INDEX('Daily Sale entry '!$Z$1:$Z$1501,$J2146+1)="Online collection 网上收款",INDEX('Daily Sale entry '!$AA$1:$AA$1501,$J2146+1)&lt;&gt;""),N(INDEX('Daily Sale entry '!$AC$1:$AC$1501,$J2146+1))-TRUNC(N(INDEX('Daily Sale entry '!$AC$1:$AC$1501,$J2146+1))),0),N(INDEX('Daily Sale entry '!$S$1:$S$1501,$J2146-1499))-'Opening Balance'!$B$15*(N(INDEX('Daily Sale entry '!$S$1:$S$1501,$J2146-1499))-TRUNC(N(INDEX('Daily Sale entry '!$S$1:$S$1501,$J2146-1499))))))</f>
        <v/>
      </c>
      <c r="G2146" s="6">
        <f>IF($J2146="","",IF($J2146&lt;=1500,N(INDEX('Daily Sale entry '!$AD$1:$AD$1501,$J2146+1)),0))</f>
        <v/>
      </c>
      <c r="H2146" s="6">
        <f>IF($J2146="","",ROUND('Opening Balance'!$B$4+SUM($F$2:F2146)-SUM($G$2:G2146),2))</f>
        <v/>
      </c>
      <c r="J2146" s="21">
        <f>IFERROR(MATCH(ROW()-1,$L$2:$L$3001,0),"")</f>
        <v/>
      </c>
      <c r="K2146" s="34">
        <f>IF(AND('Daily Sale entry '!Q646="Collection 收款",'Daily Sale entry '!R646="Cheque 支票",'Daily Sale entry '!V646&lt;&gt;""),'Daily Sale entry '!V646+ROW()/10000000,"")</f>
        <v/>
      </c>
      <c r="L2146" s="21">
        <f>IF(K2146="","",COUNTIF($K$2:$K$3001,"&lt;"&amp;K2146)+1)</f>
        <v/>
      </c>
    </row>
    <row r="2147">
      <c r="A2147" s="5">
        <f>IF($J2147="","",IF($J2147&lt;=1500,INDEX('Daily Sale entry '!$X$1:$X$1501,$J2147+1),INDEX('Daily Sale entry '!$V$1:$V$1501,$J2147-1499)))</f>
        <v/>
      </c>
      <c r="B2147">
        <f>IF($J2147="","",IF($J2147&lt;=1500,INDEX('Daily Sale entry '!$Y$1:$Y$1501,$J2147+1)&amp;"","Buyer cheque banked 买家支票存入"&amp;IF(INDEX('Daily Sale entry '!$U$1:$U$1501,$J2147-1499)="","", " - "&amp;INDEX('Daily Sale entry '!$U$1:$U$1501,$J2147-1499))))</f>
        <v/>
      </c>
      <c r="C2147">
        <f>IF($J2147="","",IF($J2147&lt;=1500,INDEX('Daily Sale entry '!$Z$1:$Z$1501,$J2147+1)&amp;"","Cheque deposit 支票存入 (buyer 买家)"))</f>
        <v/>
      </c>
      <c r="D2147">
        <f>IF($J2147="","",IF($J2147&lt;=1500,INDEX('Daily Sale entry '!$AA$1:$AA$1501,$J2147+1)&amp;"",INDEX('Daily Sale entry '!$P$1:$P$1501,$J2147-1499)&amp;""))</f>
        <v/>
      </c>
      <c r="E2147">
        <f>IF($J2147="","",IF($J2147&lt;=1500,IF(N(INDEX('Daily Sale entry '!$AB$1:$AB$1501,$J2147+1))=0,"",INDEX('Daily Sale entry '!$AB$1:$AB$1501,$J2147+1)),1))</f>
        <v/>
      </c>
      <c r="F2147" s="6">
        <f>IF($J2147="","",IF($J2147&lt;=1500,N(INDEX('Daily Sale entry '!$AC$1:$AC$1501,$J2147+1))-IF(AND('Opening Balance'!$B$15=1,INDEX('Daily Sale entry '!$Z$1:$Z$1501,$J2147+1)="Online collection 网上收款",INDEX('Daily Sale entry '!$AA$1:$AA$1501,$J2147+1)&lt;&gt;""),N(INDEX('Daily Sale entry '!$AC$1:$AC$1501,$J2147+1))-TRUNC(N(INDEX('Daily Sale entry '!$AC$1:$AC$1501,$J2147+1))),0),N(INDEX('Daily Sale entry '!$S$1:$S$1501,$J2147-1499))-'Opening Balance'!$B$15*(N(INDEX('Daily Sale entry '!$S$1:$S$1501,$J2147-1499))-TRUNC(N(INDEX('Daily Sale entry '!$S$1:$S$1501,$J2147-1499))))))</f>
        <v/>
      </c>
      <c r="G2147" s="6">
        <f>IF($J2147="","",IF($J2147&lt;=1500,N(INDEX('Daily Sale entry '!$AD$1:$AD$1501,$J2147+1)),0))</f>
        <v/>
      </c>
      <c r="H2147" s="6">
        <f>IF($J2147="","",ROUND('Opening Balance'!$B$4+SUM($F$2:F2147)-SUM($G$2:G2147),2))</f>
        <v/>
      </c>
      <c r="J2147" s="21">
        <f>IFERROR(MATCH(ROW()-1,$L$2:$L$3001,0),"")</f>
        <v/>
      </c>
      <c r="K2147" s="34">
        <f>IF(AND('Daily Sale entry '!Q647="Collection 收款",'Daily Sale entry '!R647="Cheque 支票",'Daily Sale entry '!V647&lt;&gt;""),'Daily Sale entry '!V647+ROW()/10000000,"")</f>
        <v/>
      </c>
      <c r="L2147" s="21">
        <f>IF(K2147="","",COUNTIF($K$2:$K$3001,"&lt;"&amp;K2147)+1)</f>
        <v/>
      </c>
    </row>
    <row r="2148">
      <c r="A2148" s="5">
        <f>IF($J2148="","",IF($J2148&lt;=1500,INDEX('Daily Sale entry '!$X$1:$X$1501,$J2148+1),INDEX('Daily Sale entry '!$V$1:$V$1501,$J2148-1499)))</f>
        <v/>
      </c>
      <c r="B2148">
        <f>IF($J2148="","",IF($J2148&lt;=1500,INDEX('Daily Sale entry '!$Y$1:$Y$1501,$J2148+1)&amp;"","Buyer cheque banked 买家支票存入"&amp;IF(INDEX('Daily Sale entry '!$U$1:$U$1501,$J2148-1499)="","", " - "&amp;INDEX('Daily Sale entry '!$U$1:$U$1501,$J2148-1499))))</f>
        <v/>
      </c>
      <c r="C2148">
        <f>IF($J2148="","",IF($J2148&lt;=1500,INDEX('Daily Sale entry '!$Z$1:$Z$1501,$J2148+1)&amp;"","Cheque deposit 支票存入 (buyer 买家)"))</f>
        <v/>
      </c>
      <c r="D2148">
        <f>IF($J2148="","",IF($J2148&lt;=1500,INDEX('Daily Sale entry '!$AA$1:$AA$1501,$J2148+1)&amp;"",INDEX('Daily Sale entry '!$P$1:$P$1501,$J2148-1499)&amp;""))</f>
        <v/>
      </c>
      <c r="E2148">
        <f>IF($J2148="","",IF($J2148&lt;=1500,IF(N(INDEX('Daily Sale entry '!$AB$1:$AB$1501,$J2148+1))=0,"",INDEX('Daily Sale entry '!$AB$1:$AB$1501,$J2148+1)),1))</f>
        <v/>
      </c>
      <c r="F2148" s="6">
        <f>IF($J2148="","",IF($J2148&lt;=1500,N(INDEX('Daily Sale entry '!$AC$1:$AC$1501,$J2148+1))-IF(AND('Opening Balance'!$B$15=1,INDEX('Daily Sale entry '!$Z$1:$Z$1501,$J2148+1)="Online collection 网上收款",INDEX('Daily Sale entry '!$AA$1:$AA$1501,$J2148+1)&lt;&gt;""),N(INDEX('Daily Sale entry '!$AC$1:$AC$1501,$J2148+1))-TRUNC(N(INDEX('Daily Sale entry '!$AC$1:$AC$1501,$J2148+1))),0),N(INDEX('Daily Sale entry '!$S$1:$S$1501,$J2148-1499))-'Opening Balance'!$B$15*(N(INDEX('Daily Sale entry '!$S$1:$S$1501,$J2148-1499))-TRUNC(N(INDEX('Daily Sale entry '!$S$1:$S$1501,$J2148-1499))))))</f>
        <v/>
      </c>
      <c r="G2148" s="6">
        <f>IF($J2148="","",IF($J2148&lt;=1500,N(INDEX('Daily Sale entry '!$AD$1:$AD$1501,$J2148+1)),0))</f>
        <v/>
      </c>
      <c r="H2148" s="6">
        <f>IF($J2148="","",ROUND('Opening Balance'!$B$4+SUM($F$2:F2148)-SUM($G$2:G2148),2))</f>
        <v/>
      </c>
      <c r="J2148" s="21">
        <f>IFERROR(MATCH(ROW()-1,$L$2:$L$3001,0),"")</f>
        <v/>
      </c>
      <c r="K2148" s="34">
        <f>IF(AND('Daily Sale entry '!Q648="Collection 收款",'Daily Sale entry '!R648="Cheque 支票",'Daily Sale entry '!V648&lt;&gt;""),'Daily Sale entry '!V648+ROW()/10000000,"")</f>
        <v/>
      </c>
      <c r="L2148" s="21">
        <f>IF(K2148="","",COUNTIF($K$2:$K$3001,"&lt;"&amp;K2148)+1)</f>
        <v/>
      </c>
    </row>
    <row r="2149">
      <c r="A2149" s="5">
        <f>IF($J2149="","",IF($J2149&lt;=1500,INDEX('Daily Sale entry '!$X$1:$X$1501,$J2149+1),INDEX('Daily Sale entry '!$V$1:$V$1501,$J2149-1499)))</f>
        <v/>
      </c>
      <c r="B2149">
        <f>IF($J2149="","",IF($J2149&lt;=1500,INDEX('Daily Sale entry '!$Y$1:$Y$1501,$J2149+1)&amp;"","Buyer cheque banked 买家支票存入"&amp;IF(INDEX('Daily Sale entry '!$U$1:$U$1501,$J2149-1499)="","", " - "&amp;INDEX('Daily Sale entry '!$U$1:$U$1501,$J2149-1499))))</f>
        <v/>
      </c>
      <c r="C2149">
        <f>IF($J2149="","",IF($J2149&lt;=1500,INDEX('Daily Sale entry '!$Z$1:$Z$1501,$J2149+1)&amp;"","Cheque deposit 支票存入 (buyer 买家)"))</f>
        <v/>
      </c>
      <c r="D2149">
        <f>IF($J2149="","",IF($J2149&lt;=1500,INDEX('Daily Sale entry '!$AA$1:$AA$1501,$J2149+1)&amp;"",INDEX('Daily Sale entry '!$P$1:$P$1501,$J2149-1499)&amp;""))</f>
        <v/>
      </c>
      <c r="E2149">
        <f>IF($J2149="","",IF($J2149&lt;=1500,IF(N(INDEX('Daily Sale entry '!$AB$1:$AB$1501,$J2149+1))=0,"",INDEX('Daily Sale entry '!$AB$1:$AB$1501,$J2149+1)),1))</f>
        <v/>
      </c>
      <c r="F2149" s="6">
        <f>IF($J2149="","",IF($J2149&lt;=1500,N(INDEX('Daily Sale entry '!$AC$1:$AC$1501,$J2149+1))-IF(AND('Opening Balance'!$B$15=1,INDEX('Daily Sale entry '!$Z$1:$Z$1501,$J2149+1)="Online collection 网上收款",INDEX('Daily Sale entry '!$AA$1:$AA$1501,$J2149+1)&lt;&gt;""),N(INDEX('Daily Sale entry '!$AC$1:$AC$1501,$J2149+1))-TRUNC(N(INDEX('Daily Sale entry '!$AC$1:$AC$1501,$J2149+1))),0),N(INDEX('Daily Sale entry '!$S$1:$S$1501,$J2149-1499))-'Opening Balance'!$B$15*(N(INDEX('Daily Sale entry '!$S$1:$S$1501,$J2149-1499))-TRUNC(N(INDEX('Daily Sale entry '!$S$1:$S$1501,$J2149-1499))))))</f>
        <v/>
      </c>
      <c r="G2149" s="6">
        <f>IF($J2149="","",IF($J2149&lt;=1500,N(INDEX('Daily Sale entry '!$AD$1:$AD$1501,$J2149+1)),0))</f>
        <v/>
      </c>
      <c r="H2149" s="6">
        <f>IF($J2149="","",ROUND('Opening Balance'!$B$4+SUM($F$2:F2149)-SUM($G$2:G2149),2))</f>
        <v/>
      </c>
      <c r="J2149" s="21">
        <f>IFERROR(MATCH(ROW()-1,$L$2:$L$3001,0),"")</f>
        <v/>
      </c>
      <c r="K2149" s="34">
        <f>IF(AND('Daily Sale entry '!Q649="Collection 收款",'Daily Sale entry '!R649="Cheque 支票",'Daily Sale entry '!V649&lt;&gt;""),'Daily Sale entry '!V649+ROW()/10000000,"")</f>
        <v/>
      </c>
      <c r="L2149" s="21">
        <f>IF(K2149="","",COUNTIF($K$2:$K$3001,"&lt;"&amp;K2149)+1)</f>
        <v/>
      </c>
    </row>
    <row r="2150">
      <c r="A2150" s="5">
        <f>IF($J2150="","",IF($J2150&lt;=1500,INDEX('Daily Sale entry '!$X$1:$X$1501,$J2150+1),INDEX('Daily Sale entry '!$V$1:$V$1501,$J2150-1499)))</f>
        <v/>
      </c>
      <c r="B2150">
        <f>IF($J2150="","",IF($J2150&lt;=1500,INDEX('Daily Sale entry '!$Y$1:$Y$1501,$J2150+1)&amp;"","Buyer cheque banked 买家支票存入"&amp;IF(INDEX('Daily Sale entry '!$U$1:$U$1501,$J2150-1499)="","", " - "&amp;INDEX('Daily Sale entry '!$U$1:$U$1501,$J2150-1499))))</f>
        <v/>
      </c>
      <c r="C2150">
        <f>IF($J2150="","",IF($J2150&lt;=1500,INDEX('Daily Sale entry '!$Z$1:$Z$1501,$J2150+1)&amp;"","Cheque deposit 支票存入 (buyer 买家)"))</f>
        <v/>
      </c>
      <c r="D2150">
        <f>IF($J2150="","",IF($J2150&lt;=1500,INDEX('Daily Sale entry '!$AA$1:$AA$1501,$J2150+1)&amp;"",INDEX('Daily Sale entry '!$P$1:$P$1501,$J2150-1499)&amp;""))</f>
        <v/>
      </c>
      <c r="E2150">
        <f>IF($J2150="","",IF($J2150&lt;=1500,IF(N(INDEX('Daily Sale entry '!$AB$1:$AB$1501,$J2150+1))=0,"",INDEX('Daily Sale entry '!$AB$1:$AB$1501,$J2150+1)),1))</f>
        <v/>
      </c>
      <c r="F2150" s="6">
        <f>IF($J2150="","",IF($J2150&lt;=1500,N(INDEX('Daily Sale entry '!$AC$1:$AC$1501,$J2150+1))-IF(AND('Opening Balance'!$B$15=1,INDEX('Daily Sale entry '!$Z$1:$Z$1501,$J2150+1)="Online collection 网上收款",INDEX('Daily Sale entry '!$AA$1:$AA$1501,$J2150+1)&lt;&gt;""),N(INDEX('Daily Sale entry '!$AC$1:$AC$1501,$J2150+1))-TRUNC(N(INDEX('Daily Sale entry '!$AC$1:$AC$1501,$J2150+1))),0),N(INDEX('Daily Sale entry '!$S$1:$S$1501,$J2150-1499))-'Opening Balance'!$B$15*(N(INDEX('Daily Sale entry '!$S$1:$S$1501,$J2150-1499))-TRUNC(N(INDEX('Daily Sale entry '!$S$1:$S$1501,$J2150-1499))))))</f>
        <v/>
      </c>
      <c r="G2150" s="6">
        <f>IF($J2150="","",IF($J2150&lt;=1500,N(INDEX('Daily Sale entry '!$AD$1:$AD$1501,$J2150+1)),0))</f>
        <v/>
      </c>
      <c r="H2150" s="6">
        <f>IF($J2150="","",ROUND('Opening Balance'!$B$4+SUM($F$2:F2150)-SUM($G$2:G2150),2))</f>
        <v/>
      </c>
      <c r="J2150" s="21">
        <f>IFERROR(MATCH(ROW()-1,$L$2:$L$3001,0),"")</f>
        <v/>
      </c>
      <c r="K2150" s="34">
        <f>IF(AND('Daily Sale entry '!Q650="Collection 收款",'Daily Sale entry '!R650="Cheque 支票",'Daily Sale entry '!V650&lt;&gt;""),'Daily Sale entry '!V650+ROW()/10000000,"")</f>
        <v/>
      </c>
      <c r="L2150" s="21">
        <f>IF(K2150="","",COUNTIF($K$2:$K$3001,"&lt;"&amp;K2150)+1)</f>
        <v/>
      </c>
    </row>
    <row r="2151">
      <c r="A2151" s="5">
        <f>IF($J2151="","",IF($J2151&lt;=1500,INDEX('Daily Sale entry '!$X$1:$X$1501,$J2151+1),INDEX('Daily Sale entry '!$V$1:$V$1501,$J2151-1499)))</f>
        <v/>
      </c>
      <c r="B2151">
        <f>IF($J2151="","",IF($J2151&lt;=1500,INDEX('Daily Sale entry '!$Y$1:$Y$1501,$J2151+1)&amp;"","Buyer cheque banked 买家支票存入"&amp;IF(INDEX('Daily Sale entry '!$U$1:$U$1501,$J2151-1499)="","", " - "&amp;INDEX('Daily Sale entry '!$U$1:$U$1501,$J2151-1499))))</f>
        <v/>
      </c>
      <c r="C2151">
        <f>IF($J2151="","",IF($J2151&lt;=1500,INDEX('Daily Sale entry '!$Z$1:$Z$1501,$J2151+1)&amp;"","Cheque deposit 支票存入 (buyer 买家)"))</f>
        <v/>
      </c>
      <c r="D2151">
        <f>IF($J2151="","",IF($J2151&lt;=1500,INDEX('Daily Sale entry '!$AA$1:$AA$1501,$J2151+1)&amp;"",INDEX('Daily Sale entry '!$P$1:$P$1501,$J2151-1499)&amp;""))</f>
        <v/>
      </c>
      <c r="E2151">
        <f>IF($J2151="","",IF($J2151&lt;=1500,IF(N(INDEX('Daily Sale entry '!$AB$1:$AB$1501,$J2151+1))=0,"",INDEX('Daily Sale entry '!$AB$1:$AB$1501,$J2151+1)),1))</f>
        <v/>
      </c>
      <c r="F2151" s="6">
        <f>IF($J2151="","",IF($J2151&lt;=1500,N(INDEX('Daily Sale entry '!$AC$1:$AC$1501,$J2151+1))-IF(AND('Opening Balance'!$B$15=1,INDEX('Daily Sale entry '!$Z$1:$Z$1501,$J2151+1)="Online collection 网上收款",INDEX('Daily Sale entry '!$AA$1:$AA$1501,$J2151+1)&lt;&gt;""),N(INDEX('Daily Sale entry '!$AC$1:$AC$1501,$J2151+1))-TRUNC(N(INDEX('Daily Sale entry '!$AC$1:$AC$1501,$J2151+1))),0),N(INDEX('Daily Sale entry '!$S$1:$S$1501,$J2151-1499))-'Opening Balance'!$B$15*(N(INDEX('Daily Sale entry '!$S$1:$S$1501,$J2151-1499))-TRUNC(N(INDEX('Daily Sale entry '!$S$1:$S$1501,$J2151-1499))))))</f>
        <v/>
      </c>
      <c r="G2151" s="6">
        <f>IF($J2151="","",IF($J2151&lt;=1500,N(INDEX('Daily Sale entry '!$AD$1:$AD$1501,$J2151+1)),0))</f>
        <v/>
      </c>
      <c r="H2151" s="6">
        <f>IF($J2151="","",ROUND('Opening Balance'!$B$4+SUM($F$2:F2151)-SUM($G$2:G2151),2))</f>
        <v/>
      </c>
      <c r="J2151" s="21">
        <f>IFERROR(MATCH(ROW()-1,$L$2:$L$3001,0),"")</f>
        <v/>
      </c>
      <c r="K2151" s="34">
        <f>IF(AND('Daily Sale entry '!Q651="Collection 收款",'Daily Sale entry '!R651="Cheque 支票",'Daily Sale entry '!V651&lt;&gt;""),'Daily Sale entry '!V651+ROW()/10000000,"")</f>
        <v/>
      </c>
      <c r="L2151" s="21">
        <f>IF(K2151="","",COUNTIF($K$2:$K$3001,"&lt;"&amp;K2151)+1)</f>
        <v/>
      </c>
    </row>
    <row r="2152">
      <c r="A2152" s="5">
        <f>IF($J2152="","",IF($J2152&lt;=1500,INDEX('Daily Sale entry '!$X$1:$X$1501,$J2152+1),INDEX('Daily Sale entry '!$V$1:$V$1501,$J2152-1499)))</f>
        <v/>
      </c>
      <c r="B2152">
        <f>IF($J2152="","",IF($J2152&lt;=1500,INDEX('Daily Sale entry '!$Y$1:$Y$1501,$J2152+1)&amp;"","Buyer cheque banked 买家支票存入"&amp;IF(INDEX('Daily Sale entry '!$U$1:$U$1501,$J2152-1499)="","", " - "&amp;INDEX('Daily Sale entry '!$U$1:$U$1501,$J2152-1499))))</f>
        <v/>
      </c>
      <c r="C2152">
        <f>IF($J2152="","",IF($J2152&lt;=1500,INDEX('Daily Sale entry '!$Z$1:$Z$1501,$J2152+1)&amp;"","Cheque deposit 支票存入 (buyer 买家)"))</f>
        <v/>
      </c>
      <c r="D2152">
        <f>IF($J2152="","",IF($J2152&lt;=1500,INDEX('Daily Sale entry '!$AA$1:$AA$1501,$J2152+1)&amp;"",INDEX('Daily Sale entry '!$P$1:$P$1501,$J2152-1499)&amp;""))</f>
        <v/>
      </c>
      <c r="E2152">
        <f>IF($J2152="","",IF($J2152&lt;=1500,IF(N(INDEX('Daily Sale entry '!$AB$1:$AB$1501,$J2152+1))=0,"",INDEX('Daily Sale entry '!$AB$1:$AB$1501,$J2152+1)),1))</f>
        <v/>
      </c>
      <c r="F2152" s="6">
        <f>IF($J2152="","",IF($J2152&lt;=1500,N(INDEX('Daily Sale entry '!$AC$1:$AC$1501,$J2152+1))-IF(AND('Opening Balance'!$B$15=1,INDEX('Daily Sale entry '!$Z$1:$Z$1501,$J2152+1)="Online collection 网上收款",INDEX('Daily Sale entry '!$AA$1:$AA$1501,$J2152+1)&lt;&gt;""),N(INDEX('Daily Sale entry '!$AC$1:$AC$1501,$J2152+1))-TRUNC(N(INDEX('Daily Sale entry '!$AC$1:$AC$1501,$J2152+1))),0),N(INDEX('Daily Sale entry '!$S$1:$S$1501,$J2152-1499))-'Opening Balance'!$B$15*(N(INDEX('Daily Sale entry '!$S$1:$S$1501,$J2152-1499))-TRUNC(N(INDEX('Daily Sale entry '!$S$1:$S$1501,$J2152-1499))))))</f>
        <v/>
      </c>
      <c r="G2152" s="6">
        <f>IF($J2152="","",IF($J2152&lt;=1500,N(INDEX('Daily Sale entry '!$AD$1:$AD$1501,$J2152+1)),0))</f>
        <v/>
      </c>
      <c r="H2152" s="6">
        <f>IF($J2152="","",ROUND('Opening Balance'!$B$4+SUM($F$2:F2152)-SUM($G$2:G2152),2))</f>
        <v/>
      </c>
      <c r="J2152" s="21">
        <f>IFERROR(MATCH(ROW()-1,$L$2:$L$3001,0),"")</f>
        <v/>
      </c>
      <c r="K2152" s="34">
        <f>IF(AND('Daily Sale entry '!Q652="Collection 收款",'Daily Sale entry '!R652="Cheque 支票",'Daily Sale entry '!V652&lt;&gt;""),'Daily Sale entry '!V652+ROW()/10000000,"")</f>
        <v/>
      </c>
      <c r="L2152" s="21">
        <f>IF(K2152="","",COUNTIF($K$2:$K$3001,"&lt;"&amp;K2152)+1)</f>
        <v/>
      </c>
    </row>
    <row r="2153">
      <c r="A2153" s="5">
        <f>IF($J2153="","",IF($J2153&lt;=1500,INDEX('Daily Sale entry '!$X$1:$X$1501,$J2153+1),INDEX('Daily Sale entry '!$V$1:$V$1501,$J2153-1499)))</f>
        <v/>
      </c>
      <c r="B2153">
        <f>IF($J2153="","",IF($J2153&lt;=1500,INDEX('Daily Sale entry '!$Y$1:$Y$1501,$J2153+1)&amp;"","Buyer cheque banked 买家支票存入"&amp;IF(INDEX('Daily Sale entry '!$U$1:$U$1501,$J2153-1499)="","", " - "&amp;INDEX('Daily Sale entry '!$U$1:$U$1501,$J2153-1499))))</f>
        <v/>
      </c>
      <c r="C2153">
        <f>IF($J2153="","",IF($J2153&lt;=1500,INDEX('Daily Sale entry '!$Z$1:$Z$1501,$J2153+1)&amp;"","Cheque deposit 支票存入 (buyer 买家)"))</f>
        <v/>
      </c>
      <c r="D2153">
        <f>IF($J2153="","",IF($J2153&lt;=1500,INDEX('Daily Sale entry '!$AA$1:$AA$1501,$J2153+1)&amp;"",INDEX('Daily Sale entry '!$P$1:$P$1501,$J2153-1499)&amp;""))</f>
        <v/>
      </c>
      <c r="E2153">
        <f>IF($J2153="","",IF($J2153&lt;=1500,IF(N(INDEX('Daily Sale entry '!$AB$1:$AB$1501,$J2153+1))=0,"",INDEX('Daily Sale entry '!$AB$1:$AB$1501,$J2153+1)),1))</f>
        <v/>
      </c>
      <c r="F2153" s="6">
        <f>IF($J2153="","",IF($J2153&lt;=1500,N(INDEX('Daily Sale entry '!$AC$1:$AC$1501,$J2153+1))-IF(AND('Opening Balance'!$B$15=1,INDEX('Daily Sale entry '!$Z$1:$Z$1501,$J2153+1)="Online collection 网上收款",INDEX('Daily Sale entry '!$AA$1:$AA$1501,$J2153+1)&lt;&gt;""),N(INDEX('Daily Sale entry '!$AC$1:$AC$1501,$J2153+1))-TRUNC(N(INDEX('Daily Sale entry '!$AC$1:$AC$1501,$J2153+1))),0),N(INDEX('Daily Sale entry '!$S$1:$S$1501,$J2153-1499))-'Opening Balance'!$B$15*(N(INDEX('Daily Sale entry '!$S$1:$S$1501,$J2153-1499))-TRUNC(N(INDEX('Daily Sale entry '!$S$1:$S$1501,$J2153-1499))))))</f>
        <v/>
      </c>
      <c r="G2153" s="6">
        <f>IF($J2153="","",IF($J2153&lt;=1500,N(INDEX('Daily Sale entry '!$AD$1:$AD$1501,$J2153+1)),0))</f>
        <v/>
      </c>
      <c r="H2153" s="6">
        <f>IF($J2153="","",ROUND('Opening Balance'!$B$4+SUM($F$2:F2153)-SUM($G$2:G2153),2))</f>
        <v/>
      </c>
      <c r="J2153" s="21">
        <f>IFERROR(MATCH(ROW()-1,$L$2:$L$3001,0),"")</f>
        <v/>
      </c>
      <c r="K2153" s="34">
        <f>IF(AND('Daily Sale entry '!Q653="Collection 收款",'Daily Sale entry '!R653="Cheque 支票",'Daily Sale entry '!V653&lt;&gt;""),'Daily Sale entry '!V653+ROW()/10000000,"")</f>
        <v/>
      </c>
      <c r="L2153" s="21">
        <f>IF(K2153="","",COUNTIF($K$2:$K$3001,"&lt;"&amp;K2153)+1)</f>
        <v/>
      </c>
    </row>
    <row r="2154">
      <c r="A2154" s="5">
        <f>IF($J2154="","",IF($J2154&lt;=1500,INDEX('Daily Sale entry '!$X$1:$X$1501,$J2154+1),INDEX('Daily Sale entry '!$V$1:$V$1501,$J2154-1499)))</f>
        <v/>
      </c>
      <c r="B2154">
        <f>IF($J2154="","",IF($J2154&lt;=1500,INDEX('Daily Sale entry '!$Y$1:$Y$1501,$J2154+1)&amp;"","Buyer cheque banked 买家支票存入"&amp;IF(INDEX('Daily Sale entry '!$U$1:$U$1501,$J2154-1499)="","", " - "&amp;INDEX('Daily Sale entry '!$U$1:$U$1501,$J2154-1499))))</f>
        <v/>
      </c>
      <c r="C2154">
        <f>IF($J2154="","",IF($J2154&lt;=1500,INDEX('Daily Sale entry '!$Z$1:$Z$1501,$J2154+1)&amp;"","Cheque deposit 支票存入 (buyer 买家)"))</f>
        <v/>
      </c>
      <c r="D2154">
        <f>IF($J2154="","",IF($J2154&lt;=1500,INDEX('Daily Sale entry '!$AA$1:$AA$1501,$J2154+1)&amp;"",INDEX('Daily Sale entry '!$P$1:$P$1501,$J2154-1499)&amp;""))</f>
        <v/>
      </c>
      <c r="E2154">
        <f>IF($J2154="","",IF($J2154&lt;=1500,IF(N(INDEX('Daily Sale entry '!$AB$1:$AB$1501,$J2154+1))=0,"",INDEX('Daily Sale entry '!$AB$1:$AB$1501,$J2154+1)),1))</f>
        <v/>
      </c>
      <c r="F2154" s="6">
        <f>IF($J2154="","",IF($J2154&lt;=1500,N(INDEX('Daily Sale entry '!$AC$1:$AC$1501,$J2154+1))-IF(AND('Opening Balance'!$B$15=1,INDEX('Daily Sale entry '!$Z$1:$Z$1501,$J2154+1)="Online collection 网上收款",INDEX('Daily Sale entry '!$AA$1:$AA$1501,$J2154+1)&lt;&gt;""),N(INDEX('Daily Sale entry '!$AC$1:$AC$1501,$J2154+1))-TRUNC(N(INDEX('Daily Sale entry '!$AC$1:$AC$1501,$J2154+1))),0),N(INDEX('Daily Sale entry '!$S$1:$S$1501,$J2154-1499))-'Opening Balance'!$B$15*(N(INDEX('Daily Sale entry '!$S$1:$S$1501,$J2154-1499))-TRUNC(N(INDEX('Daily Sale entry '!$S$1:$S$1501,$J2154-1499))))))</f>
        <v/>
      </c>
      <c r="G2154" s="6">
        <f>IF($J2154="","",IF($J2154&lt;=1500,N(INDEX('Daily Sale entry '!$AD$1:$AD$1501,$J2154+1)),0))</f>
        <v/>
      </c>
      <c r="H2154" s="6">
        <f>IF($J2154="","",ROUND('Opening Balance'!$B$4+SUM($F$2:F2154)-SUM($G$2:G2154),2))</f>
        <v/>
      </c>
      <c r="J2154" s="21">
        <f>IFERROR(MATCH(ROW()-1,$L$2:$L$3001,0),"")</f>
        <v/>
      </c>
      <c r="K2154" s="34">
        <f>IF(AND('Daily Sale entry '!Q654="Collection 收款",'Daily Sale entry '!R654="Cheque 支票",'Daily Sale entry '!V654&lt;&gt;""),'Daily Sale entry '!V654+ROW()/10000000,"")</f>
        <v/>
      </c>
      <c r="L2154" s="21">
        <f>IF(K2154="","",COUNTIF($K$2:$K$3001,"&lt;"&amp;K2154)+1)</f>
        <v/>
      </c>
    </row>
    <row r="2155">
      <c r="A2155" s="5">
        <f>IF($J2155="","",IF($J2155&lt;=1500,INDEX('Daily Sale entry '!$X$1:$X$1501,$J2155+1),INDEX('Daily Sale entry '!$V$1:$V$1501,$J2155-1499)))</f>
        <v/>
      </c>
      <c r="B2155">
        <f>IF($J2155="","",IF($J2155&lt;=1500,INDEX('Daily Sale entry '!$Y$1:$Y$1501,$J2155+1)&amp;"","Buyer cheque banked 买家支票存入"&amp;IF(INDEX('Daily Sale entry '!$U$1:$U$1501,$J2155-1499)="","", " - "&amp;INDEX('Daily Sale entry '!$U$1:$U$1501,$J2155-1499))))</f>
        <v/>
      </c>
      <c r="C2155">
        <f>IF($J2155="","",IF($J2155&lt;=1500,INDEX('Daily Sale entry '!$Z$1:$Z$1501,$J2155+1)&amp;"","Cheque deposit 支票存入 (buyer 买家)"))</f>
        <v/>
      </c>
      <c r="D2155">
        <f>IF($J2155="","",IF($J2155&lt;=1500,INDEX('Daily Sale entry '!$AA$1:$AA$1501,$J2155+1)&amp;"",INDEX('Daily Sale entry '!$P$1:$P$1501,$J2155-1499)&amp;""))</f>
        <v/>
      </c>
      <c r="E2155">
        <f>IF($J2155="","",IF($J2155&lt;=1500,IF(N(INDEX('Daily Sale entry '!$AB$1:$AB$1501,$J2155+1))=0,"",INDEX('Daily Sale entry '!$AB$1:$AB$1501,$J2155+1)),1))</f>
        <v/>
      </c>
      <c r="F2155" s="6">
        <f>IF($J2155="","",IF($J2155&lt;=1500,N(INDEX('Daily Sale entry '!$AC$1:$AC$1501,$J2155+1))-IF(AND('Opening Balance'!$B$15=1,INDEX('Daily Sale entry '!$Z$1:$Z$1501,$J2155+1)="Online collection 网上收款",INDEX('Daily Sale entry '!$AA$1:$AA$1501,$J2155+1)&lt;&gt;""),N(INDEX('Daily Sale entry '!$AC$1:$AC$1501,$J2155+1))-TRUNC(N(INDEX('Daily Sale entry '!$AC$1:$AC$1501,$J2155+1))),0),N(INDEX('Daily Sale entry '!$S$1:$S$1501,$J2155-1499))-'Opening Balance'!$B$15*(N(INDEX('Daily Sale entry '!$S$1:$S$1501,$J2155-1499))-TRUNC(N(INDEX('Daily Sale entry '!$S$1:$S$1501,$J2155-1499))))))</f>
        <v/>
      </c>
      <c r="G2155" s="6">
        <f>IF($J2155="","",IF($J2155&lt;=1500,N(INDEX('Daily Sale entry '!$AD$1:$AD$1501,$J2155+1)),0))</f>
        <v/>
      </c>
      <c r="H2155" s="6">
        <f>IF($J2155="","",ROUND('Opening Balance'!$B$4+SUM($F$2:F2155)-SUM($G$2:G2155),2))</f>
        <v/>
      </c>
      <c r="J2155" s="21">
        <f>IFERROR(MATCH(ROW()-1,$L$2:$L$3001,0),"")</f>
        <v/>
      </c>
      <c r="K2155" s="34">
        <f>IF(AND('Daily Sale entry '!Q655="Collection 收款",'Daily Sale entry '!R655="Cheque 支票",'Daily Sale entry '!V655&lt;&gt;""),'Daily Sale entry '!V655+ROW()/10000000,"")</f>
        <v/>
      </c>
      <c r="L2155" s="21">
        <f>IF(K2155="","",COUNTIF($K$2:$K$3001,"&lt;"&amp;K2155)+1)</f>
        <v/>
      </c>
    </row>
    <row r="2156">
      <c r="A2156" s="5">
        <f>IF($J2156="","",IF($J2156&lt;=1500,INDEX('Daily Sale entry '!$X$1:$X$1501,$J2156+1),INDEX('Daily Sale entry '!$V$1:$V$1501,$J2156-1499)))</f>
        <v/>
      </c>
      <c r="B2156">
        <f>IF($J2156="","",IF($J2156&lt;=1500,INDEX('Daily Sale entry '!$Y$1:$Y$1501,$J2156+1)&amp;"","Buyer cheque banked 买家支票存入"&amp;IF(INDEX('Daily Sale entry '!$U$1:$U$1501,$J2156-1499)="","", " - "&amp;INDEX('Daily Sale entry '!$U$1:$U$1501,$J2156-1499))))</f>
        <v/>
      </c>
      <c r="C2156">
        <f>IF($J2156="","",IF($J2156&lt;=1500,INDEX('Daily Sale entry '!$Z$1:$Z$1501,$J2156+1)&amp;"","Cheque deposit 支票存入 (buyer 买家)"))</f>
        <v/>
      </c>
      <c r="D2156">
        <f>IF($J2156="","",IF($J2156&lt;=1500,INDEX('Daily Sale entry '!$AA$1:$AA$1501,$J2156+1)&amp;"",INDEX('Daily Sale entry '!$P$1:$P$1501,$J2156-1499)&amp;""))</f>
        <v/>
      </c>
      <c r="E2156">
        <f>IF($J2156="","",IF($J2156&lt;=1500,IF(N(INDEX('Daily Sale entry '!$AB$1:$AB$1501,$J2156+1))=0,"",INDEX('Daily Sale entry '!$AB$1:$AB$1501,$J2156+1)),1))</f>
        <v/>
      </c>
      <c r="F2156" s="6">
        <f>IF($J2156="","",IF($J2156&lt;=1500,N(INDEX('Daily Sale entry '!$AC$1:$AC$1501,$J2156+1))-IF(AND('Opening Balance'!$B$15=1,INDEX('Daily Sale entry '!$Z$1:$Z$1501,$J2156+1)="Online collection 网上收款",INDEX('Daily Sale entry '!$AA$1:$AA$1501,$J2156+1)&lt;&gt;""),N(INDEX('Daily Sale entry '!$AC$1:$AC$1501,$J2156+1))-TRUNC(N(INDEX('Daily Sale entry '!$AC$1:$AC$1501,$J2156+1))),0),N(INDEX('Daily Sale entry '!$S$1:$S$1501,$J2156-1499))-'Opening Balance'!$B$15*(N(INDEX('Daily Sale entry '!$S$1:$S$1501,$J2156-1499))-TRUNC(N(INDEX('Daily Sale entry '!$S$1:$S$1501,$J2156-1499))))))</f>
        <v/>
      </c>
      <c r="G2156" s="6">
        <f>IF($J2156="","",IF($J2156&lt;=1500,N(INDEX('Daily Sale entry '!$AD$1:$AD$1501,$J2156+1)),0))</f>
        <v/>
      </c>
      <c r="H2156" s="6">
        <f>IF($J2156="","",ROUND('Opening Balance'!$B$4+SUM($F$2:F2156)-SUM($G$2:G2156),2))</f>
        <v/>
      </c>
      <c r="J2156" s="21">
        <f>IFERROR(MATCH(ROW()-1,$L$2:$L$3001,0),"")</f>
        <v/>
      </c>
      <c r="K2156" s="34">
        <f>IF(AND('Daily Sale entry '!Q656="Collection 收款",'Daily Sale entry '!R656="Cheque 支票",'Daily Sale entry '!V656&lt;&gt;""),'Daily Sale entry '!V656+ROW()/10000000,"")</f>
        <v/>
      </c>
      <c r="L2156" s="21">
        <f>IF(K2156="","",COUNTIF($K$2:$K$3001,"&lt;"&amp;K2156)+1)</f>
        <v/>
      </c>
    </row>
    <row r="2157">
      <c r="A2157" s="5">
        <f>IF($J2157="","",IF($J2157&lt;=1500,INDEX('Daily Sale entry '!$X$1:$X$1501,$J2157+1),INDEX('Daily Sale entry '!$V$1:$V$1501,$J2157-1499)))</f>
        <v/>
      </c>
      <c r="B2157">
        <f>IF($J2157="","",IF($J2157&lt;=1500,INDEX('Daily Sale entry '!$Y$1:$Y$1501,$J2157+1)&amp;"","Buyer cheque banked 买家支票存入"&amp;IF(INDEX('Daily Sale entry '!$U$1:$U$1501,$J2157-1499)="","", " - "&amp;INDEX('Daily Sale entry '!$U$1:$U$1501,$J2157-1499))))</f>
        <v/>
      </c>
      <c r="C2157">
        <f>IF($J2157="","",IF($J2157&lt;=1500,INDEX('Daily Sale entry '!$Z$1:$Z$1501,$J2157+1)&amp;"","Cheque deposit 支票存入 (buyer 买家)"))</f>
        <v/>
      </c>
      <c r="D2157">
        <f>IF($J2157="","",IF($J2157&lt;=1500,INDEX('Daily Sale entry '!$AA$1:$AA$1501,$J2157+1)&amp;"",INDEX('Daily Sale entry '!$P$1:$P$1501,$J2157-1499)&amp;""))</f>
        <v/>
      </c>
      <c r="E2157">
        <f>IF($J2157="","",IF($J2157&lt;=1500,IF(N(INDEX('Daily Sale entry '!$AB$1:$AB$1501,$J2157+1))=0,"",INDEX('Daily Sale entry '!$AB$1:$AB$1501,$J2157+1)),1))</f>
        <v/>
      </c>
      <c r="F2157" s="6">
        <f>IF($J2157="","",IF($J2157&lt;=1500,N(INDEX('Daily Sale entry '!$AC$1:$AC$1501,$J2157+1))-IF(AND('Opening Balance'!$B$15=1,INDEX('Daily Sale entry '!$Z$1:$Z$1501,$J2157+1)="Online collection 网上收款",INDEX('Daily Sale entry '!$AA$1:$AA$1501,$J2157+1)&lt;&gt;""),N(INDEX('Daily Sale entry '!$AC$1:$AC$1501,$J2157+1))-TRUNC(N(INDEX('Daily Sale entry '!$AC$1:$AC$1501,$J2157+1))),0),N(INDEX('Daily Sale entry '!$S$1:$S$1501,$J2157-1499))-'Opening Balance'!$B$15*(N(INDEX('Daily Sale entry '!$S$1:$S$1501,$J2157-1499))-TRUNC(N(INDEX('Daily Sale entry '!$S$1:$S$1501,$J2157-1499))))))</f>
        <v/>
      </c>
      <c r="G2157" s="6">
        <f>IF($J2157="","",IF($J2157&lt;=1500,N(INDEX('Daily Sale entry '!$AD$1:$AD$1501,$J2157+1)),0))</f>
        <v/>
      </c>
      <c r="H2157" s="6">
        <f>IF($J2157="","",ROUND('Opening Balance'!$B$4+SUM($F$2:F2157)-SUM($G$2:G2157),2))</f>
        <v/>
      </c>
      <c r="J2157" s="21">
        <f>IFERROR(MATCH(ROW()-1,$L$2:$L$3001,0),"")</f>
        <v/>
      </c>
      <c r="K2157" s="34">
        <f>IF(AND('Daily Sale entry '!Q657="Collection 收款",'Daily Sale entry '!R657="Cheque 支票",'Daily Sale entry '!V657&lt;&gt;""),'Daily Sale entry '!V657+ROW()/10000000,"")</f>
        <v/>
      </c>
      <c r="L2157" s="21">
        <f>IF(K2157="","",COUNTIF($K$2:$K$3001,"&lt;"&amp;K2157)+1)</f>
        <v/>
      </c>
    </row>
    <row r="2158">
      <c r="A2158" s="5">
        <f>IF($J2158="","",IF($J2158&lt;=1500,INDEX('Daily Sale entry '!$X$1:$X$1501,$J2158+1),INDEX('Daily Sale entry '!$V$1:$V$1501,$J2158-1499)))</f>
        <v/>
      </c>
      <c r="B2158">
        <f>IF($J2158="","",IF($J2158&lt;=1500,INDEX('Daily Sale entry '!$Y$1:$Y$1501,$J2158+1)&amp;"","Buyer cheque banked 买家支票存入"&amp;IF(INDEX('Daily Sale entry '!$U$1:$U$1501,$J2158-1499)="","", " - "&amp;INDEX('Daily Sale entry '!$U$1:$U$1501,$J2158-1499))))</f>
        <v/>
      </c>
      <c r="C2158">
        <f>IF($J2158="","",IF($J2158&lt;=1500,INDEX('Daily Sale entry '!$Z$1:$Z$1501,$J2158+1)&amp;"","Cheque deposit 支票存入 (buyer 买家)"))</f>
        <v/>
      </c>
      <c r="D2158">
        <f>IF($J2158="","",IF($J2158&lt;=1500,INDEX('Daily Sale entry '!$AA$1:$AA$1501,$J2158+1)&amp;"",INDEX('Daily Sale entry '!$P$1:$P$1501,$J2158-1499)&amp;""))</f>
        <v/>
      </c>
      <c r="E2158">
        <f>IF($J2158="","",IF($J2158&lt;=1500,IF(N(INDEX('Daily Sale entry '!$AB$1:$AB$1501,$J2158+1))=0,"",INDEX('Daily Sale entry '!$AB$1:$AB$1501,$J2158+1)),1))</f>
        <v/>
      </c>
      <c r="F2158" s="6">
        <f>IF($J2158="","",IF($J2158&lt;=1500,N(INDEX('Daily Sale entry '!$AC$1:$AC$1501,$J2158+1))-IF(AND('Opening Balance'!$B$15=1,INDEX('Daily Sale entry '!$Z$1:$Z$1501,$J2158+1)="Online collection 网上收款",INDEX('Daily Sale entry '!$AA$1:$AA$1501,$J2158+1)&lt;&gt;""),N(INDEX('Daily Sale entry '!$AC$1:$AC$1501,$J2158+1))-TRUNC(N(INDEX('Daily Sale entry '!$AC$1:$AC$1501,$J2158+1))),0),N(INDEX('Daily Sale entry '!$S$1:$S$1501,$J2158-1499))-'Opening Balance'!$B$15*(N(INDEX('Daily Sale entry '!$S$1:$S$1501,$J2158-1499))-TRUNC(N(INDEX('Daily Sale entry '!$S$1:$S$1501,$J2158-1499))))))</f>
        <v/>
      </c>
      <c r="G2158" s="6">
        <f>IF($J2158="","",IF($J2158&lt;=1500,N(INDEX('Daily Sale entry '!$AD$1:$AD$1501,$J2158+1)),0))</f>
        <v/>
      </c>
      <c r="H2158" s="6">
        <f>IF($J2158="","",ROUND('Opening Balance'!$B$4+SUM($F$2:F2158)-SUM($G$2:G2158),2))</f>
        <v/>
      </c>
      <c r="J2158" s="21">
        <f>IFERROR(MATCH(ROW()-1,$L$2:$L$3001,0),"")</f>
        <v/>
      </c>
      <c r="K2158" s="34">
        <f>IF(AND('Daily Sale entry '!Q658="Collection 收款",'Daily Sale entry '!R658="Cheque 支票",'Daily Sale entry '!V658&lt;&gt;""),'Daily Sale entry '!V658+ROW()/10000000,"")</f>
        <v/>
      </c>
      <c r="L2158" s="21">
        <f>IF(K2158="","",COUNTIF($K$2:$K$3001,"&lt;"&amp;K2158)+1)</f>
        <v/>
      </c>
    </row>
    <row r="2159">
      <c r="A2159" s="5">
        <f>IF($J2159="","",IF($J2159&lt;=1500,INDEX('Daily Sale entry '!$X$1:$X$1501,$J2159+1),INDEX('Daily Sale entry '!$V$1:$V$1501,$J2159-1499)))</f>
        <v/>
      </c>
      <c r="B2159">
        <f>IF($J2159="","",IF($J2159&lt;=1500,INDEX('Daily Sale entry '!$Y$1:$Y$1501,$J2159+1)&amp;"","Buyer cheque banked 买家支票存入"&amp;IF(INDEX('Daily Sale entry '!$U$1:$U$1501,$J2159-1499)="","", " - "&amp;INDEX('Daily Sale entry '!$U$1:$U$1501,$J2159-1499))))</f>
        <v/>
      </c>
      <c r="C2159">
        <f>IF($J2159="","",IF($J2159&lt;=1500,INDEX('Daily Sale entry '!$Z$1:$Z$1501,$J2159+1)&amp;"","Cheque deposit 支票存入 (buyer 买家)"))</f>
        <v/>
      </c>
      <c r="D2159">
        <f>IF($J2159="","",IF($J2159&lt;=1500,INDEX('Daily Sale entry '!$AA$1:$AA$1501,$J2159+1)&amp;"",INDEX('Daily Sale entry '!$P$1:$P$1501,$J2159-1499)&amp;""))</f>
        <v/>
      </c>
      <c r="E2159">
        <f>IF($J2159="","",IF($J2159&lt;=1500,IF(N(INDEX('Daily Sale entry '!$AB$1:$AB$1501,$J2159+1))=0,"",INDEX('Daily Sale entry '!$AB$1:$AB$1501,$J2159+1)),1))</f>
        <v/>
      </c>
      <c r="F2159" s="6">
        <f>IF($J2159="","",IF($J2159&lt;=1500,N(INDEX('Daily Sale entry '!$AC$1:$AC$1501,$J2159+1))-IF(AND('Opening Balance'!$B$15=1,INDEX('Daily Sale entry '!$Z$1:$Z$1501,$J2159+1)="Online collection 网上收款",INDEX('Daily Sale entry '!$AA$1:$AA$1501,$J2159+1)&lt;&gt;""),N(INDEX('Daily Sale entry '!$AC$1:$AC$1501,$J2159+1))-TRUNC(N(INDEX('Daily Sale entry '!$AC$1:$AC$1501,$J2159+1))),0),N(INDEX('Daily Sale entry '!$S$1:$S$1501,$J2159-1499))-'Opening Balance'!$B$15*(N(INDEX('Daily Sale entry '!$S$1:$S$1501,$J2159-1499))-TRUNC(N(INDEX('Daily Sale entry '!$S$1:$S$1501,$J2159-1499))))))</f>
        <v/>
      </c>
      <c r="G2159" s="6">
        <f>IF($J2159="","",IF($J2159&lt;=1500,N(INDEX('Daily Sale entry '!$AD$1:$AD$1501,$J2159+1)),0))</f>
        <v/>
      </c>
      <c r="H2159" s="6">
        <f>IF($J2159="","",ROUND('Opening Balance'!$B$4+SUM($F$2:F2159)-SUM($G$2:G2159),2))</f>
        <v/>
      </c>
      <c r="J2159" s="21">
        <f>IFERROR(MATCH(ROW()-1,$L$2:$L$3001,0),"")</f>
        <v/>
      </c>
      <c r="K2159" s="34">
        <f>IF(AND('Daily Sale entry '!Q659="Collection 收款",'Daily Sale entry '!R659="Cheque 支票",'Daily Sale entry '!V659&lt;&gt;""),'Daily Sale entry '!V659+ROW()/10000000,"")</f>
        <v/>
      </c>
      <c r="L2159" s="21">
        <f>IF(K2159="","",COUNTIF($K$2:$K$3001,"&lt;"&amp;K2159)+1)</f>
        <v/>
      </c>
    </row>
    <row r="2160">
      <c r="A2160" s="5">
        <f>IF($J2160="","",IF($J2160&lt;=1500,INDEX('Daily Sale entry '!$X$1:$X$1501,$J2160+1),INDEX('Daily Sale entry '!$V$1:$V$1501,$J2160-1499)))</f>
        <v/>
      </c>
      <c r="B2160">
        <f>IF($J2160="","",IF($J2160&lt;=1500,INDEX('Daily Sale entry '!$Y$1:$Y$1501,$J2160+1)&amp;"","Buyer cheque banked 买家支票存入"&amp;IF(INDEX('Daily Sale entry '!$U$1:$U$1501,$J2160-1499)="","", " - "&amp;INDEX('Daily Sale entry '!$U$1:$U$1501,$J2160-1499))))</f>
        <v/>
      </c>
      <c r="C2160">
        <f>IF($J2160="","",IF($J2160&lt;=1500,INDEX('Daily Sale entry '!$Z$1:$Z$1501,$J2160+1)&amp;"","Cheque deposit 支票存入 (buyer 买家)"))</f>
        <v/>
      </c>
      <c r="D2160">
        <f>IF($J2160="","",IF($J2160&lt;=1500,INDEX('Daily Sale entry '!$AA$1:$AA$1501,$J2160+1)&amp;"",INDEX('Daily Sale entry '!$P$1:$P$1501,$J2160-1499)&amp;""))</f>
        <v/>
      </c>
      <c r="E2160">
        <f>IF($J2160="","",IF($J2160&lt;=1500,IF(N(INDEX('Daily Sale entry '!$AB$1:$AB$1501,$J2160+1))=0,"",INDEX('Daily Sale entry '!$AB$1:$AB$1501,$J2160+1)),1))</f>
        <v/>
      </c>
      <c r="F2160" s="6">
        <f>IF($J2160="","",IF($J2160&lt;=1500,N(INDEX('Daily Sale entry '!$AC$1:$AC$1501,$J2160+1))-IF(AND('Opening Balance'!$B$15=1,INDEX('Daily Sale entry '!$Z$1:$Z$1501,$J2160+1)="Online collection 网上收款",INDEX('Daily Sale entry '!$AA$1:$AA$1501,$J2160+1)&lt;&gt;""),N(INDEX('Daily Sale entry '!$AC$1:$AC$1501,$J2160+1))-TRUNC(N(INDEX('Daily Sale entry '!$AC$1:$AC$1501,$J2160+1))),0),N(INDEX('Daily Sale entry '!$S$1:$S$1501,$J2160-1499))-'Opening Balance'!$B$15*(N(INDEX('Daily Sale entry '!$S$1:$S$1501,$J2160-1499))-TRUNC(N(INDEX('Daily Sale entry '!$S$1:$S$1501,$J2160-1499))))))</f>
        <v/>
      </c>
      <c r="G2160" s="6">
        <f>IF($J2160="","",IF($J2160&lt;=1500,N(INDEX('Daily Sale entry '!$AD$1:$AD$1501,$J2160+1)),0))</f>
        <v/>
      </c>
      <c r="H2160" s="6">
        <f>IF($J2160="","",ROUND('Opening Balance'!$B$4+SUM($F$2:F2160)-SUM($G$2:G2160),2))</f>
        <v/>
      </c>
      <c r="J2160" s="21">
        <f>IFERROR(MATCH(ROW()-1,$L$2:$L$3001,0),"")</f>
        <v/>
      </c>
      <c r="K2160" s="34">
        <f>IF(AND('Daily Sale entry '!Q660="Collection 收款",'Daily Sale entry '!R660="Cheque 支票",'Daily Sale entry '!V660&lt;&gt;""),'Daily Sale entry '!V660+ROW()/10000000,"")</f>
        <v/>
      </c>
      <c r="L2160" s="21">
        <f>IF(K2160="","",COUNTIF($K$2:$K$3001,"&lt;"&amp;K2160)+1)</f>
        <v/>
      </c>
    </row>
    <row r="2161">
      <c r="A2161" s="5">
        <f>IF($J2161="","",IF($J2161&lt;=1500,INDEX('Daily Sale entry '!$X$1:$X$1501,$J2161+1),INDEX('Daily Sale entry '!$V$1:$V$1501,$J2161-1499)))</f>
        <v/>
      </c>
      <c r="B2161">
        <f>IF($J2161="","",IF($J2161&lt;=1500,INDEX('Daily Sale entry '!$Y$1:$Y$1501,$J2161+1)&amp;"","Buyer cheque banked 买家支票存入"&amp;IF(INDEX('Daily Sale entry '!$U$1:$U$1501,$J2161-1499)="","", " - "&amp;INDEX('Daily Sale entry '!$U$1:$U$1501,$J2161-1499))))</f>
        <v/>
      </c>
      <c r="C2161">
        <f>IF($J2161="","",IF($J2161&lt;=1500,INDEX('Daily Sale entry '!$Z$1:$Z$1501,$J2161+1)&amp;"","Cheque deposit 支票存入 (buyer 买家)"))</f>
        <v/>
      </c>
      <c r="D2161">
        <f>IF($J2161="","",IF($J2161&lt;=1500,INDEX('Daily Sale entry '!$AA$1:$AA$1501,$J2161+1)&amp;"",INDEX('Daily Sale entry '!$P$1:$P$1501,$J2161-1499)&amp;""))</f>
        <v/>
      </c>
      <c r="E2161">
        <f>IF($J2161="","",IF($J2161&lt;=1500,IF(N(INDEX('Daily Sale entry '!$AB$1:$AB$1501,$J2161+1))=0,"",INDEX('Daily Sale entry '!$AB$1:$AB$1501,$J2161+1)),1))</f>
        <v/>
      </c>
      <c r="F2161" s="6">
        <f>IF($J2161="","",IF($J2161&lt;=1500,N(INDEX('Daily Sale entry '!$AC$1:$AC$1501,$J2161+1))-IF(AND('Opening Balance'!$B$15=1,INDEX('Daily Sale entry '!$Z$1:$Z$1501,$J2161+1)="Online collection 网上收款",INDEX('Daily Sale entry '!$AA$1:$AA$1501,$J2161+1)&lt;&gt;""),N(INDEX('Daily Sale entry '!$AC$1:$AC$1501,$J2161+1))-TRUNC(N(INDEX('Daily Sale entry '!$AC$1:$AC$1501,$J2161+1))),0),N(INDEX('Daily Sale entry '!$S$1:$S$1501,$J2161-1499))-'Opening Balance'!$B$15*(N(INDEX('Daily Sale entry '!$S$1:$S$1501,$J2161-1499))-TRUNC(N(INDEX('Daily Sale entry '!$S$1:$S$1501,$J2161-1499))))))</f>
        <v/>
      </c>
      <c r="G2161" s="6">
        <f>IF($J2161="","",IF($J2161&lt;=1500,N(INDEX('Daily Sale entry '!$AD$1:$AD$1501,$J2161+1)),0))</f>
        <v/>
      </c>
      <c r="H2161" s="6">
        <f>IF($J2161="","",ROUND('Opening Balance'!$B$4+SUM($F$2:F2161)-SUM($G$2:G2161),2))</f>
        <v/>
      </c>
      <c r="J2161" s="21">
        <f>IFERROR(MATCH(ROW()-1,$L$2:$L$3001,0),"")</f>
        <v/>
      </c>
      <c r="K2161" s="34">
        <f>IF(AND('Daily Sale entry '!Q661="Collection 收款",'Daily Sale entry '!R661="Cheque 支票",'Daily Sale entry '!V661&lt;&gt;""),'Daily Sale entry '!V661+ROW()/10000000,"")</f>
        <v/>
      </c>
      <c r="L2161" s="21">
        <f>IF(K2161="","",COUNTIF($K$2:$K$3001,"&lt;"&amp;K2161)+1)</f>
        <v/>
      </c>
    </row>
    <row r="2162">
      <c r="A2162" s="5">
        <f>IF($J2162="","",IF($J2162&lt;=1500,INDEX('Daily Sale entry '!$X$1:$X$1501,$J2162+1),INDEX('Daily Sale entry '!$V$1:$V$1501,$J2162-1499)))</f>
        <v/>
      </c>
      <c r="B2162">
        <f>IF($J2162="","",IF($J2162&lt;=1500,INDEX('Daily Sale entry '!$Y$1:$Y$1501,$J2162+1)&amp;"","Buyer cheque banked 买家支票存入"&amp;IF(INDEX('Daily Sale entry '!$U$1:$U$1501,$J2162-1499)="","", " - "&amp;INDEX('Daily Sale entry '!$U$1:$U$1501,$J2162-1499))))</f>
        <v/>
      </c>
      <c r="C2162">
        <f>IF($J2162="","",IF($J2162&lt;=1500,INDEX('Daily Sale entry '!$Z$1:$Z$1501,$J2162+1)&amp;"","Cheque deposit 支票存入 (buyer 买家)"))</f>
        <v/>
      </c>
      <c r="D2162">
        <f>IF($J2162="","",IF($J2162&lt;=1500,INDEX('Daily Sale entry '!$AA$1:$AA$1501,$J2162+1)&amp;"",INDEX('Daily Sale entry '!$P$1:$P$1501,$J2162-1499)&amp;""))</f>
        <v/>
      </c>
      <c r="E2162">
        <f>IF($J2162="","",IF($J2162&lt;=1500,IF(N(INDEX('Daily Sale entry '!$AB$1:$AB$1501,$J2162+1))=0,"",INDEX('Daily Sale entry '!$AB$1:$AB$1501,$J2162+1)),1))</f>
        <v/>
      </c>
      <c r="F2162" s="6">
        <f>IF($J2162="","",IF($J2162&lt;=1500,N(INDEX('Daily Sale entry '!$AC$1:$AC$1501,$J2162+1))-IF(AND('Opening Balance'!$B$15=1,INDEX('Daily Sale entry '!$Z$1:$Z$1501,$J2162+1)="Online collection 网上收款",INDEX('Daily Sale entry '!$AA$1:$AA$1501,$J2162+1)&lt;&gt;""),N(INDEX('Daily Sale entry '!$AC$1:$AC$1501,$J2162+1))-TRUNC(N(INDEX('Daily Sale entry '!$AC$1:$AC$1501,$J2162+1))),0),N(INDEX('Daily Sale entry '!$S$1:$S$1501,$J2162-1499))-'Opening Balance'!$B$15*(N(INDEX('Daily Sale entry '!$S$1:$S$1501,$J2162-1499))-TRUNC(N(INDEX('Daily Sale entry '!$S$1:$S$1501,$J2162-1499))))))</f>
        <v/>
      </c>
      <c r="G2162" s="6">
        <f>IF($J2162="","",IF($J2162&lt;=1500,N(INDEX('Daily Sale entry '!$AD$1:$AD$1501,$J2162+1)),0))</f>
        <v/>
      </c>
      <c r="H2162" s="6">
        <f>IF($J2162="","",ROUND('Opening Balance'!$B$4+SUM($F$2:F2162)-SUM($G$2:G2162),2))</f>
        <v/>
      </c>
      <c r="J2162" s="21">
        <f>IFERROR(MATCH(ROW()-1,$L$2:$L$3001,0),"")</f>
        <v/>
      </c>
      <c r="K2162" s="34">
        <f>IF(AND('Daily Sale entry '!Q662="Collection 收款",'Daily Sale entry '!R662="Cheque 支票",'Daily Sale entry '!V662&lt;&gt;""),'Daily Sale entry '!V662+ROW()/10000000,"")</f>
        <v/>
      </c>
      <c r="L2162" s="21">
        <f>IF(K2162="","",COUNTIF($K$2:$K$3001,"&lt;"&amp;K2162)+1)</f>
        <v/>
      </c>
    </row>
    <row r="2163">
      <c r="A2163" s="5">
        <f>IF($J2163="","",IF($J2163&lt;=1500,INDEX('Daily Sale entry '!$X$1:$X$1501,$J2163+1),INDEX('Daily Sale entry '!$V$1:$V$1501,$J2163-1499)))</f>
        <v/>
      </c>
      <c r="B2163">
        <f>IF($J2163="","",IF($J2163&lt;=1500,INDEX('Daily Sale entry '!$Y$1:$Y$1501,$J2163+1)&amp;"","Buyer cheque banked 买家支票存入"&amp;IF(INDEX('Daily Sale entry '!$U$1:$U$1501,$J2163-1499)="","", " - "&amp;INDEX('Daily Sale entry '!$U$1:$U$1501,$J2163-1499))))</f>
        <v/>
      </c>
      <c r="C2163">
        <f>IF($J2163="","",IF($J2163&lt;=1500,INDEX('Daily Sale entry '!$Z$1:$Z$1501,$J2163+1)&amp;"","Cheque deposit 支票存入 (buyer 买家)"))</f>
        <v/>
      </c>
      <c r="D2163">
        <f>IF($J2163="","",IF($J2163&lt;=1500,INDEX('Daily Sale entry '!$AA$1:$AA$1501,$J2163+1)&amp;"",INDEX('Daily Sale entry '!$P$1:$P$1501,$J2163-1499)&amp;""))</f>
        <v/>
      </c>
      <c r="E2163">
        <f>IF($J2163="","",IF($J2163&lt;=1500,IF(N(INDEX('Daily Sale entry '!$AB$1:$AB$1501,$J2163+1))=0,"",INDEX('Daily Sale entry '!$AB$1:$AB$1501,$J2163+1)),1))</f>
        <v/>
      </c>
      <c r="F2163" s="6">
        <f>IF($J2163="","",IF($J2163&lt;=1500,N(INDEX('Daily Sale entry '!$AC$1:$AC$1501,$J2163+1))-IF(AND('Opening Balance'!$B$15=1,INDEX('Daily Sale entry '!$Z$1:$Z$1501,$J2163+1)="Online collection 网上收款",INDEX('Daily Sale entry '!$AA$1:$AA$1501,$J2163+1)&lt;&gt;""),N(INDEX('Daily Sale entry '!$AC$1:$AC$1501,$J2163+1))-TRUNC(N(INDEX('Daily Sale entry '!$AC$1:$AC$1501,$J2163+1))),0),N(INDEX('Daily Sale entry '!$S$1:$S$1501,$J2163-1499))-'Opening Balance'!$B$15*(N(INDEX('Daily Sale entry '!$S$1:$S$1501,$J2163-1499))-TRUNC(N(INDEX('Daily Sale entry '!$S$1:$S$1501,$J2163-1499))))))</f>
        <v/>
      </c>
      <c r="G2163" s="6">
        <f>IF($J2163="","",IF($J2163&lt;=1500,N(INDEX('Daily Sale entry '!$AD$1:$AD$1501,$J2163+1)),0))</f>
        <v/>
      </c>
      <c r="H2163" s="6">
        <f>IF($J2163="","",ROUND('Opening Balance'!$B$4+SUM($F$2:F2163)-SUM($G$2:G2163),2))</f>
        <v/>
      </c>
      <c r="J2163" s="21">
        <f>IFERROR(MATCH(ROW()-1,$L$2:$L$3001,0),"")</f>
        <v/>
      </c>
      <c r="K2163" s="34">
        <f>IF(AND('Daily Sale entry '!Q663="Collection 收款",'Daily Sale entry '!R663="Cheque 支票",'Daily Sale entry '!V663&lt;&gt;""),'Daily Sale entry '!V663+ROW()/10000000,"")</f>
        <v/>
      </c>
      <c r="L2163" s="21">
        <f>IF(K2163="","",COUNTIF($K$2:$K$3001,"&lt;"&amp;K2163)+1)</f>
        <v/>
      </c>
    </row>
    <row r="2164">
      <c r="A2164" s="5">
        <f>IF($J2164="","",IF($J2164&lt;=1500,INDEX('Daily Sale entry '!$X$1:$X$1501,$J2164+1),INDEX('Daily Sale entry '!$V$1:$V$1501,$J2164-1499)))</f>
        <v/>
      </c>
      <c r="B2164">
        <f>IF($J2164="","",IF($J2164&lt;=1500,INDEX('Daily Sale entry '!$Y$1:$Y$1501,$J2164+1)&amp;"","Buyer cheque banked 买家支票存入"&amp;IF(INDEX('Daily Sale entry '!$U$1:$U$1501,$J2164-1499)="","", " - "&amp;INDEX('Daily Sale entry '!$U$1:$U$1501,$J2164-1499))))</f>
        <v/>
      </c>
      <c r="C2164">
        <f>IF($J2164="","",IF($J2164&lt;=1500,INDEX('Daily Sale entry '!$Z$1:$Z$1501,$J2164+1)&amp;"","Cheque deposit 支票存入 (buyer 买家)"))</f>
        <v/>
      </c>
      <c r="D2164">
        <f>IF($J2164="","",IF($J2164&lt;=1500,INDEX('Daily Sale entry '!$AA$1:$AA$1501,$J2164+1)&amp;"",INDEX('Daily Sale entry '!$P$1:$P$1501,$J2164-1499)&amp;""))</f>
        <v/>
      </c>
      <c r="E2164">
        <f>IF($J2164="","",IF($J2164&lt;=1500,IF(N(INDEX('Daily Sale entry '!$AB$1:$AB$1501,$J2164+1))=0,"",INDEX('Daily Sale entry '!$AB$1:$AB$1501,$J2164+1)),1))</f>
        <v/>
      </c>
      <c r="F2164" s="6">
        <f>IF($J2164="","",IF($J2164&lt;=1500,N(INDEX('Daily Sale entry '!$AC$1:$AC$1501,$J2164+1))-IF(AND('Opening Balance'!$B$15=1,INDEX('Daily Sale entry '!$Z$1:$Z$1501,$J2164+1)="Online collection 网上收款",INDEX('Daily Sale entry '!$AA$1:$AA$1501,$J2164+1)&lt;&gt;""),N(INDEX('Daily Sale entry '!$AC$1:$AC$1501,$J2164+1))-TRUNC(N(INDEX('Daily Sale entry '!$AC$1:$AC$1501,$J2164+1))),0),N(INDEX('Daily Sale entry '!$S$1:$S$1501,$J2164-1499))-'Opening Balance'!$B$15*(N(INDEX('Daily Sale entry '!$S$1:$S$1501,$J2164-1499))-TRUNC(N(INDEX('Daily Sale entry '!$S$1:$S$1501,$J2164-1499))))))</f>
        <v/>
      </c>
      <c r="G2164" s="6">
        <f>IF($J2164="","",IF($J2164&lt;=1500,N(INDEX('Daily Sale entry '!$AD$1:$AD$1501,$J2164+1)),0))</f>
        <v/>
      </c>
      <c r="H2164" s="6">
        <f>IF($J2164="","",ROUND('Opening Balance'!$B$4+SUM($F$2:F2164)-SUM($G$2:G2164),2))</f>
        <v/>
      </c>
      <c r="J2164" s="21">
        <f>IFERROR(MATCH(ROW()-1,$L$2:$L$3001,0),"")</f>
        <v/>
      </c>
      <c r="K2164" s="34">
        <f>IF(AND('Daily Sale entry '!Q664="Collection 收款",'Daily Sale entry '!R664="Cheque 支票",'Daily Sale entry '!V664&lt;&gt;""),'Daily Sale entry '!V664+ROW()/10000000,"")</f>
        <v/>
      </c>
      <c r="L2164" s="21">
        <f>IF(K2164="","",COUNTIF($K$2:$K$3001,"&lt;"&amp;K2164)+1)</f>
        <v/>
      </c>
    </row>
    <row r="2165">
      <c r="A2165" s="5">
        <f>IF($J2165="","",IF($J2165&lt;=1500,INDEX('Daily Sale entry '!$X$1:$X$1501,$J2165+1),INDEX('Daily Sale entry '!$V$1:$V$1501,$J2165-1499)))</f>
        <v/>
      </c>
      <c r="B2165">
        <f>IF($J2165="","",IF($J2165&lt;=1500,INDEX('Daily Sale entry '!$Y$1:$Y$1501,$J2165+1)&amp;"","Buyer cheque banked 买家支票存入"&amp;IF(INDEX('Daily Sale entry '!$U$1:$U$1501,$J2165-1499)="","", " - "&amp;INDEX('Daily Sale entry '!$U$1:$U$1501,$J2165-1499))))</f>
        <v/>
      </c>
      <c r="C2165">
        <f>IF($J2165="","",IF($J2165&lt;=1500,INDEX('Daily Sale entry '!$Z$1:$Z$1501,$J2165+1)&amp;"","Cheque deposit 支票存入 (buyer 买家)"))</f>
        <v/>
      </c>
      <c r="D2165">
        <f>IF($J2165="","",IF($J2165&lt;=1500,INDEX('Daily Sale entry '!$AA$1:$AA$1501,$J2165+1)&amp;"",INDEX('Daily Sale entry '!$P$1:$P$1501,$J2165-1499)&amp;""))</f>
        <v/>
      </c>
      <c r="E2165">
        <f>IF($J2165="","",IF($J2165&lt;=1500,IF(N(INDEX('Daily Sale entry '!$AB$1:$AB$1501,$J2165+1))=0,"",INDEX('Daily Sale entry '!$AB$1:$AB$1501,$J2165+1)),1))</f>
        <v/>
      </c>
      <c r="F2165" s="6">
        <f>IF($J2165="","",IF($J2165&lt;=1500,N(INDEX('Daily Sale entry '!$AC$1:$AC$1501,$J2165+1))-IF(AND('Opening Balance'!$B$15=1,INDEX('Daily Sale entry '!$Z$1:$Z$1501,$J2165+1)="Online collection 网上收款",INDEX('Daily Sale entry '!$AA$1:$AA$1501,$J2165+1)&lt;&gt;""),N(INDEX('Daily Sale entry '!$AC$1:$AC$1501,$J2165+1))-TRUNC(N(INDEX('Daily Sale entry '!$AC$1:$AC$1501,$J2165+1))),0),N(INDEX('Daily Sale entry '!$S$1:$S$1501,$J2165-1499))-'Opening Balance'!$B$15*(N(INDEX('Daily Sale entry '!$S$1:$S$1501,$J2165-1499))-TRUNC(N(INDEX('Daily Sale entry '!$S$1:$S$1501,$J2165-1499))))))</f>
        <v/>
      </c>
      <c r="G2165" s="6">
        <f>IF($J2165="","",IF($J2165&lt;=1500,N(INDEX('Daily Sale entry '!$AD$1:$AD$1501,$J2165+1)),0))</f>
        <v/>
      </c>
      <c r="H2165" s="6">
        <f>IF($J2165="","",ROUND('Opening Balance'!$B$4+SUM($F$2:F2165)-SUM($G$2:G2165),2))</f>
        <v/>
      </c>
      <c r="J2165" s="21">
        <f>IFERROR(MATCH(ROW()-1,$L$2:$L$3001,0),"")</f>
        <v/>
      </c>
      <c r="K2165" s="34">
        <f>IF(AND('Daily Sale entry '!Q665="Collection 收款",'Daily Sale entry '!R665="Cheque 支票",'Daily Sale entry '!V665&lt;&gt;""),'Daily Sale entry '!V665+ROW()/10000000,"")</f>
        <v/>
      </c>
      <c r="L2165" s="21">
        <f>IF(K2165="","",COUNTIF($K$2:$K$3001,"&lt;"&amp;K2165)+1)</f>
        <v/>
      </c>
    </row>
    <row r="2166">
      <c r="A2166" s="5">
        <f>IF($J2166="","",IF($J2166&lt;=1500,INDEX('Daily Sale entry '!$X$1:$X$1501,$J2166+1),INDEX('Daily Sale entry '!$V$1:$V$1501,$J2166-1499)))</f>
        <v/>
      </c>
      <c r="B2166">
        <f>IF($J2166="","",IF($J2166&lt;=1500,INDEX('Daily Sale entry '!$Y$1:$Y$1501,$J2166+1)&amp;"","Buyer cheque banked 买家支票存入"&amp;IF(INDEX('Daily Sale entry '!$U$1:$U$1501,$J2166-1499)="","", " - "&amp;INDEX('Daily Sale entry '!$U$1:$U$1501,$J2166-1499))))</f>
        <v/>
      </c>
      <c r="C2166">
        <f>IF($J2166="","",IF($J2166&lt;=1500,INDEX('Daily Sale entry '!$Z$1:$Z$1501,$J2166+1)&amp;"","Cheque deposit 支票存入 (buyer 买家)"))</f>
        <v/>
      </c>
      <c r="D2166">
        <f>IF($J2166="","",IF($J2166&lt;=1500,INDEX('Daily Sale entry '!$AA$1:$AA$1501,$J2166+1)&amp;"",INDEX('Daily Sale entry '!$P$1:$P$1501,$J2166-1499)&amp;""))</f>
        <v/>
      </c>
      <c r="E2166">
        <f>IF($J2166="","",IF($J2166&lt;=1500,IF(N(INDEX('Daily Sale entry '!$AB$1:$AB$1501,$J2166+1))=0,"",INDEX('Daily Sale entry '!$AB$1:$AB$1501,$J2166+1)),1))</f>
        <v/>
      </c>
      <c r="F2166" s="6">
        <f>IF($J2166="","",IF($J2166&lt;=1500,N(INDEX('Daily Sale entry '!$AC$1:$AC$1501,$J2166+1))-IF(AND('Opening Balance'!$B$15=1,INDEX('Daily Sale entry '!$Z$1:$Z$1501,$J2166+1)="Online collection 网上收款",INDEX('Daily Sale entry '!$AA$1:$AA$1501,$J2166+1)&lt;&gt;""),N(INDEX('Daily Sale entry '!$AC$1:$AC$1501,$J2166+1))-TRUNC(N(INDEX('Daily Sale entry '!$AC$1:$AC$1501,$J2166+1))),0),N(INDEX('Daily Sale entry '!$S$1:$S$1501,$J2166-1499))-'Opening Balance'!$B$15*(N(INDEX('Daily Sale entry '!$S$1:$S$1501,$J2166-1499))-TRUNC(N(INDEX('Daily Sale entry '!$S$1:$S$1501,$J2166-1499))))))</f>
        <v/>
      </c>
      <c r="G2166" s="6">
        <f>IF($J2166="","",IF($J2166&lt;=1500,N(INDEX('Daily Sale entry '!$AD$1:$AD$1501,$J2166+1)),0))</f>
        <v/>
      </c>
      <c r="H2166" s="6">
        <f>IF($J2166="","",ROUND('Opening Balance'!$B$4+SUM($F$2:F2166)-SUM($G$2:G2166),2))</f>
        <v/>
      </c>
      <c r="J2166" s="21">
        <f>IFERROR(MATCH(ROW()-1,$L$2:$L$3001,0),"")</f>
        <v/>
      </c>
      <c r="K2166" s="34">
        <f>IF(AND('Daily Sale entry '!Q666="Collection 收款",'Daily Sale entry '!R666="Cheque 支票",'Daily Sale entry '!V666&lt;&gt;""),'Daily Sale entry '!V666+ROW()/10000000,"")</f>
        <v/>
      </c>
      <c r="L2166" s="21">
        <f>IF(K2166="","",COUNTIF($K$2:$K$3001,"&lt;"&amp;K2166)+1)</f>
        <v/>
      </c>
    </row>
    <row r="2167">
      <c r="A2167" s="5">
        <f>IF($J2167="","",IF($J2167&lt;=1500,INDEX('Daily Sale entry '!$X$1:$X$1501,$J2167+1),INDEX('Daily Sale entry '!$V$1:$V$1501,$J2167-1499)))</f>
        <v/>
      </c>
      <c r="B2167">
        <f>IF($J2167="","",IF($J2167&lt;=1500,INDEX('Daily Sale entry '!$Y$1:$Y$1501,$J2167+1)&amp;"","Buyer cheque banked 买家支票存入"&amp;IF(INDEX('Daily Sale entry '!$U$1:$U$1501,$J2167-1499)="","", " - "&amp;INDEX('Daily Sale entry '!$U$1:$U$1501,$J2167-1499))))</f>
        <v/>
      </c>
      <c r="C2167">
        <f>IF($J2167="","",IF($J2167&lt;=1500,INDEX('Daily Sale entry '!$Z$1:$Z$1501,$J2167+1)&amp;"","Cheque deposit 支票存入 (buyer 买家)"))</f>
        <v/>
      </c>
      <c r="D2167">
        <f>IF($J2167="","",IF($J2167&lt;=1500,INDEX('Daily Sale entry '!$AA$1:$AA$1501,$J2167+1)&amp;"",INDEX('Daily Sale entry '!$P$1:$P$1501,$J2167-1499)&amp;""))</f>
        <v/>
      </c>
      <c r="E2167">
        <f>IF($J2167="","",IF($J2167&lt;=1500,IF(N(INDEX('Daily Sale entry '!$AB$1:$AB$1501,$J2167+1))=0,"",INDEX('Daily Sale entry '!$AB$1:$AB$1501,$J2167+1)),1))</f>
        <v/>
      </c>
      <c r="F2167" s="6">
        <f>IF($J2167="","",IF($J2167&lt;=1500,N(INDEX('Daily Sale entry '!$AC$1:$AC$1501,$J2167+1))-IF(AND('Opening Balance'!$B$15=1,INDEX('Daily Sale entry '!$Z$1:$Z$1501,$J2167+1)="Online collection 网上收款",INDEX('Daily Sale entry '!$AA$1:$AA$1501,$J2167+1)&lt;&gt;""),N(INDEX('Daily Sale entry '!$AC$1:$AC$1501,$J2167+1))-TRUNC(N(INDEX('Daily Sale entry '!$AC$1:$AC$1501,$J2167+1))),0),N(INDEX('Daily Sale entry '!$S$1:$S$1501,$J2167-1499))-'Opening Balance'!$B$15*(N(INDEX('Daily Sale entry '!$S$1:$S$1501,$J2167-1499))-TRUNC(N(INDEX('Daily Sale entry '!$S$1:$S$1501,$J2167-1499))))))</f>
        <v/>
      </c>
      <c r="G2167" s="6">
        <f>IF($J2167="","",IF($J2167&lt;=1500,N(INDEX('Daily Sale entry '!$AD$1:$AD$1501,$J2167+1)),0))</f>
        <v/>
      </c>
      <c r="H2167" s="6">
        <f>IF($J2167="","",ROUND('Opening Balance'!$B$4+SUM($F$2:F2167)-SUM($G$2:G2167),2))</f>
        <v/>
      </c>
      <c r="J2167" s="21">
        <f>IFERROR(MATCH(ROW()-1,$L$2:$L$3001,0),"")</f>
        <v/>
      </c>
      <c r="K2167" s="34">
        <f>IF(AND('Daily Sale entry '!Q667="Collection 收款",'Daily Sale entry '!R667="Cheque 支票",'Daily Sale entry '!V667&lt;&gt;""),'Daily Sale entry '!V667+ROW()/10000000,"")</f>
        <v/>
      </c>
      <c r="L2167" s="21">
        <f>IF(K2167="","",COUNTIF($K$2:$K$3001,"&lt;"&amp;K2167)+1)</f>
        <v/>
      </c>
    </row>
    <row r="2168">
      <c r="A2168" s="5">
        <f>IF($J2168="","",IF($J2168&lt;=1500,INDEX('Daily Sale entry '!$X$1:$X$1501,$J2168+1),INDEX('Daily Sale entry '!$V$1:$V$1501,$J2168-1499)))</f>
        <v/>
      </c>
      <c r="B2168">
        <f>IF($J2168="","",IF($J2168&lt;=1500,INDEX('Daily Sale entry '!$Y$1:$Y$1501,$J2168+1)&amp;"","Buyer cheque banked 买家支票存入"&amp;IF(INDEX('Daily Sale entry '!$U$1:$U$1501,$J2168-1499)="","", " - "&amp;INDEX('Daily Sale entry '!$U$1:$U$1501,$J2168-1499))))</f>
        <v/>
      </c>
      <c r="C2168">
        <f>IF($J2168="","",IF($J2168&lt;=1500,INDEX('Daily Sale entry '!$Z$1:$Z$1501,$J2168+1)&amp;"","Cheque deposit 支票存入 (buyer 买家)"))</f>
        <v/>
      </c>
      <c r="D2168">
        <f>IF($J2168="","",IF($J2168&lt;=1500,INDEX('Daily Sale entry '!$AA$1:$AA$1501,$J2168+1)&amp;"",INDEX('Daily Sale entry '!$P$1:$P$1501,$J2168-1499)&amp;""))</f>
        <v/>
      </c>
      <c r="E2168">
        <f>IF($J2168="","",IF($J2168&lt;=1500,IF(N(INDEX('Daily Sale entry '!$AB$1:$AB$1501,$J2168+1))=0,"",INDEX('Daily Sale entry '!$AB$1:$AB$1501,$J2168+1)),1))</f>
        <v/>
      </c>
      <c r="F2168" s="6">
        <f>IF($J2168="","",IF($J2168&lt;=1500,N(INDEX('Daily Sale entry '!$AC$1:$AC$1501,$J2168+1))-IF(AND('Opening Balance'!$B$15=1,INDEX('Daily Sale entry '!$Z$1:$Z$1501,$J2168+1)="Online collection 网上收款",INDEX('Daily Sale entry '!$AA$1:$AA$1501,$J2168+1)&lt;&gt;""),N(INDEX('Daily Sale entry '!$AC$1:$AC$1501,$J2168+1))-TRUNC(N(INDEX('Daily Sale entry '!$AC$1:$AC$1501,$J2168+1))),0),N(INDEX('Daily Sale entry '!$S$1:$S$1501,$J2168-1499))-'Opening Balance'!$B$15*(N(INDEX('Daily Sale entry '!$S$1:$S$1501,$J2168-1499))-TRUNC(N(INDEX('Daily Sale entry '!$S$1:$S$1501,$J2168-1499))))))</f>
        <v/>
      </c>
      <c r="G2168" s="6">
        <f>IF($J2168="","",IF($J2168&lt;=1500,N(INDEX('Daily Sale entry '!$AD$1:$AD$1501,$J2168+1)),0))</f>
        <v/>
      </c>
      <c r="H2168" s="6">
        <f>IF($J2168="","",ROUND('Opening Balance'!$B$4+SUM($F$2:F2168)-SUM($G$2:G2168),2))</f>
        <v/>
      </c>
      <c r="J2168" s="21">
        <f>IFERROR(MATCH(ROW()-1,$L$2:$L$3001,0),"")</f>
        <v/>
      </c>
      <c r="K2168" s="34">
        <f>IF(AND('Daily Sale entry '!Q668="Collection 收款",'Daily Sale entry '!R668="Cheque 支票",'Daily Sale entry '!V668&lt;&gt;""),'Daily Sale entry '!V668+ROW()/10000000,"")</f>
        <v/>
      </c>
      <c r="L2168" s="21">
        <f>IF(K2168="","",COUNTIF($K$2:$K$3001,"&lt;"&amp;K2168)+1)</f>
        <v/>
      </c>
    </row>
    <row r="2169">
      <c r="A2169" s="5">
        <f>IF($J2169="","",IF($J2169&lt;=1500,INDEX('Daily Sale entry '!$X$1:$X$1501,$J2169+1),INDEX('Daily Sale entry '!$V$1:$V$1501,$J2169-1499)))</f>
        <v/>
      </c>
      <c r="B2169">
        <f>IF($J2169="","",IF($J2169&lt;=1500,INDEX('Daily Sale entry '!$Y$1:$Y$1501,$J2169+1)&amp;"","Buyer cheque banked 买家支票存入"&amp;IF(INDEX('Daily Sale entry '!$U$1:$U$1501,$J2169-1499)="","", " - "&amp;INDEX('Daily Sale entry '!$U$1:$U$1501,$J2169-1499))))</f>
        <v/>
      </c>
      <c r="C2169">
        <f>IF($J2169="","",IF($J2169&lt;=1500,INDEX('Daily Sale entry '!$Z$1:$Z$1501,$J2169+1)&amp;"","Cheque deposit 支票存入 (buyer 买家)"))</f>
        <v/>
      </c>
      <c r="D2169">
        <f>IF($J2169="","",IF($J2169&lt;=1500,INDEX('Daily Sale entry '!$AA$1:$AA$1501,$J2169+1)&amp;"",INDEX('Daily Sale entry '!$P$1:$P$1501,$J2169-1499)&amp;""))</f>
        <v/>
      </c>
      <c r="E2169">
        <f>IF($J2169="","",IF($J2169&lt;=1500,IF(N(INDEX('Daily Sale entry '!$AB$1:$AB$1501,$J2169+1))=0,"",INDEX('Daily Sale entry '!$AB$1:$AB$1501,$J2169+1)),1))</f>
        <v/>
      </c>
      <c r="F2169" s="6">
        <f>IF($J2169="","",IF($J2169&lt;=1500,N(INDEX('Daily Sale entry '!$AC$1:$AC$1501,$J2169+1))-IF(AND('Opening Balance'!$B$15=1,INDEX('Daily Sale entry '!$Z$1:$Z$1501,$J2169+1)="Online collection 网上收款",INDEX('Daily Sale entry '!$AA$1:$AA$1501,$J2169+1)&lt;&gt;""),N(INDEX('Daily Sale entry '!$AC$1:$AC$1501,$J2169+1))-TRUNC(N(INDEX('Daily Sale entry '!$AC$1:$AC$1501,$J2169+1))),0),N(INDEX('Daily Sale entry '!$S$1:$S$1501,$J2169-1499))-'Opening Balance'!$B$15*(N(INDEX('Daily Sale entry '!$S$1:$S$1501,$J2169-1499))-TRUNC(N(INDEX('Daily Sale entry '!$S$1:$S$1501,$J2169-1499))))))</f>
        <v/>
      </c>
      <c r="G2169" s="6">
        <f>IF($J2169="","",IF($J2169&lt;=1500,N(INDEX('Daily Sale entry '!$AD$1:$AD$1501,$J2169+1)),0))</f>
        <v/>
      </c>
      <c r="H2169" s="6">
        <f>IF($J2169="","",ROUND('Opening Balance'!$B$4+SUM($F$2:F2169)-SUM($G$2:G2169),2))</f>
        <v/>
      </c>
      <c r="J2169" s="21">
        <f>IFERROR(MATCH(ROW()-1,$L$2:$L$3001,0),"")</f>
        <v/>
      </c>
      <c r="K2169" s="34">
        <f>IF(AND('Daily Sale entry '!Q669="Collection 收款",'Daily Sale entry '!R669="Cheque 支票",'Daily Sale entry '!V669&lt;&gt;""),'Daily Sale entry '!V669+ROW()/10000000,"")</f>
        <v/>
      </c>
      <c r="L2169" s="21">
        <f>IF(K2169="","",COUNTIF($K$2:$K$3001,"&lt;"&amp;K2169)+1)</f>
        <v/>
      </c>
    </row>
    <row r="2170">
      <c r="A2170" s="5">
        <f>IF($J2170="","",IF($J2170&lt;=1500,INDEX('Daily Sale entry '!$X$1:$X$1501,$J2170+1),INDEX('Daily Sale entry '!$V$1:$V$1501,$J2170-1499)))</f>
        <v/>
      </c>
      <c r="B2170">
        <f>IF($J2170="","",IF($J2170&lt;=1500,INDEX('Daily Sale entry '!$Y$1:$Y$1501,$J2170+1)&amp;"","Buyer cheque banked 买家支票存入"&amp;IF(INDEX('Daily Sale entry '!$U$1:$U$1501,$J2170-1499)="","", " - "&amp;INDEX('Daily Sale entry '!$U$1:$U$1501,$J2170-1499))))</f>
        <v/>
      </c>
      <c r="C2170">
        <f>IF($J2170="","",IF($J2170&lt;=1500,INDEX('Daily Sale entry '!$Z$1:$Z$1501,$J2170+1)&amp;"","Cheque deposit 支票存入 (buyer 买家)"))</f>
        <v/>
      </c>
      <c r="D2170">
        <f>IF($J2170="","",IF($J2170&lt;=1500,INDEX('Daily Sale entry '!$AA$1:$AA$1501,$J2170+1)&amp;"",INDEX('Daily Sale entry '!$P$1:$P$1501,$J2170-1499)&amp;""))</f>
        <v/>
      </c>
      <c r="E2170">
        <f>IF($J2170="","",IF($J2170&lt;=1500,IF(N(INDEX('Daily Sale entry '!$AB$1:$AB$1501,$J2170+1))=0,"",INDEX('Daily Sale entry '!$AB$1:$AB$1501,$J2170+1)),1))</f>
        <v/>
      </c>
      <c r="F2170" s="6">
        <f>IF($J2170="","",IF($J2170&lt;=1500,N(INDEX('Daily Sale entry '!$AC$1:$AC$1501,$J2170+1))-IF(AND('Opening Balance'!$B$15=1,INDEX('Daily Sale entry '!$Z$1:$Z$1501,$J2170+1)="Online collection 网上收款",INDEX('Daily Sale entry '!$AA$1:$AA$1501,$J2170+1)&lt;&gt;""),N(INDEX('Daily Sale entry '!$AC$1:$AC$1501,$J2170+1))-TRUNC(N(INDEX('Daily Sale entry '!$AC$1:$AC$1501,$J2170+1))),0),N(INDEX('Daily Sale entry '!$S$1:$S$1501,$J2170-1499))-'Opening Balance'!$B$15*(N(INDEX('Daily Sale entry '!$S$1:$S$1501,$J2170-1499))-TRUNC(N(INDEX('Daily Sale entry '!$S$1:$S$1501,$J2170-1499))))))</f>
        <v/>
      </c>
      <c r="G2170" s="6">
        <f>IF($J2170="","",IF($J2170&lt;=1500,N(INDEX('Daily Sale entry '!$AD$1:$AD$1501,$J2170+1)),0))</f>
        <v/>
      </c>
      <c r="H2170" s="6">
        <f>IF($J2170="","",ROUND('Opening Balance'!$B$4+SUM($F$2:F2170)-SUM($G$2:G2170),2))</f>
        <v/>
      </c>
      <c r="J2170" s="21">
        <f>IFERROR(MATCH(ROW()-1,$L$2:$L$3001,0),"")</f>
        <v/>
      </c>
      <c r="K2170" s="34">
        <f>IF(AND('Daily Sale entry '!Q670="Collection 收款",'Daily Sale entry '!R670="Cheque 支票",'Daily Sale entry '!V670&lt;&gt;""),'Daily Sale entry '!V670+ROW()/10000000,"")</f>
        <v/>
      </c>
      <c r="L2170" s="21">
        <f>IF(K2170="","",COUNTIF($K$2:$K$3001,"&lt;"&amp;K2170)+1)</f>
        <v/>
      </c>
    </row>
    <row r="2171">
      <c r="A2171" s="5">
        <f>IF($J2171="","",IF($J2171&lt;=1500,INDEX('Daily Sale entry '!$X$1:$X$1501,$J2171+1),INDEX('Daily Sale entry '!$V$1:$V$1501,$J2171-1499)))</f>
        <v/>
      </c>
      <c r="B2171">
        <f>IF($J2171="","",IF($J2171&lt;=1500,INDEX('Daily Sale entry '!$Y$1:$Y$1501,$J2171+1)&amp;"","Buyer cheque banked 买家支票存入"&amp;IF(INDEX('Daily Sale entry '!$U$1:$U$1501,$J2171-1499)="","", " - "&amp;INDEX('Daily Sale entry '!$U$1:$U$1501,$J2171-1499))))</f>
        <v/>
      </c>
      <c r="C2171">
        <f>IF($J2171="","",IF($J2171&lt;=1500,INDEX('Daily Sale entry '!$Z$1:$Z$1501,$J2171+1)&amp;"","Cheque deposit 支票存入 (buyer 买家)"))</f>
        <v/>
      </c>
      <c r="D2171">
        <f>IF($J2171="","",IF($J2171&lt;=1500,INDEX('Daily Sale entry '!$AA$1:$AA$1501,$J2171+1)&amp;"",INDEX('Daily Sale entry '!$P$1:$P$1501,$J2171-1499)&amp;""))</f>
        <v/>
      </c>
      <c r="E2171">
        <f>IF($J2171="","",IF($J2171&lt;=1500,IF(N(INDEX('Daily Sale entry '!$AB$1:$AB$1501,$J2171+1))=0,"",INDEX('Daily Sale entry '!$AB$1:$AB$1501,$J2171+1)),1))</f>
        <v/>
      </c>
      <c r="F2171" s="6">
        <f>IF($J2171="","",IF($J2171&lt;=1500,N(INDEX('Daily Sale entry '!$AC$1:$AC$1501,$J2171+1))-IF(AND('Opening Balance'!$B$15=1,INDEX('Daily Sale entry '!$Z$1:$Z$1501,$J2171+1)="Online collection 网上收款",INDEX('Daily Sale entry '!$AA$1:$AA$1501,$J2171+1)&lt;&gt;""),N(INDEX('Daily Sale entry '!$AC$1:$AC$1501,$J2171+1))-TRUNC(N(INDEX('Daily Sale entry '!$AC$1:$AC$1501,$J2171+1))),0),N(INDEX('Daily Sale entry '!$S$1:$S$1501,$J2171-1499))-'Opening Balance'!$B$15*(N(INDEX('Daily Sale entry '!$S$1:$S$1501,$J2171-1499))-TRUNC(N(INDEX('Daily Sale entry '!$S$1:$S$1501,$J2171-1499))))))</f>
        <v/>
      </c>
      <c r="G2171" s="6">
        <f>IF($J2171="","",IF($J2171&lt;=1500,N(INDEX('Daily Sale entry '!$AD$1:$AD$1501,$J2171+1)),0))</f>
        <v/>
      </c>
      <c r="H2171" s="6">
        <f>IF($J2171="","",ROUND('Opening Balance'!$B$4+SUM($F$2:F2171)-SUM($G$2:G2171),2))</f>
        <v/>
      </c>
      <c r="J2171" s="21">
        <f>IFERROR(MATCH(ROW()-1,$L$2:$L$3001,0),"")</f>
        <v/>
      </c>
      <c r="K2171" s="34">
        <f>IF(AND('Daily Sale entry '!Q671="Collection 收款",'Daily Sale entry '!R671="Cheque 支票",'Daily Sale entry '!V671&lt;&gt;""),'Daily Sale entry '!V671+ROW()/10000000,"")</f>
        <v/>
      </c>
      <c r="L2171" s="21">
        <f>IF(K2171="","",COUNTIF($K$2:$K$3001,"&lt;"&amp;K2171)+1)</f>
        <v/>
      </c>
    </row>
    <row r="2172">
      <c r="A2172" s="5">
        <f>IF($J2172="","",IF($J2172&lt;=1500,INDEX('Daily Sale entry '!$X$1:$X$1501,$J2172+1),INDEX('Daily Sale entry '!$V$1:$V$1501,$J2172-1499)))</f>
        <v/>
      </c>
      <c r="B2172">
        <f>IF($J2172="","",IF($J2172&lt;=1500,INDEX('Daily Sale entry '!$Y$1:$Y$1501,$J2172+1)&amp;"","Buyer cheque banked 买家支票存入"&amp;IF(INDEX('Daily Sale entry '!$U$1:$U$1501,$J2172-1499)="","", " - "&amp;INDEX('Daily Sale entry '!$U$1:$U$1501,$J2172-1499))))</f>
        <v/>
      </c>
      <c r="C2172">
        <f>IF($J2172="","",IF($J2172&lt;=1500,INDEX('Daily Sale entry '!$Z$1:$Z$1501,$J2172+1)&amp;"","Cheque deposit 支票存入 (buyer 买家)"))</f>
        <v/>
      </c>
      <c r="D2172">
        <f>IF($J2172="","",IF($J2172&lt;=1500,INDEX('Daily Sale entry '!$AA$1:$AA$1501,$J2172+1)&amp;"",INDEX('Daily Sale entry '!$P$1:$P$1501,$J2172-1499)&amp;""))</f>
        <v/>
      </c>
      <c r="E2172">
        <f>IF($J2172="","",IF($J2172&lt;=1500,IF(N(INDEX('Daily Sale entry '!$AB$1:$AB$1501,$J2172+1))=0,"",INDEX('Daily Sale entry '!$AB$1:$AB$1501,$J2172+1)),1))</f>
        <v/>
      </c>
      <c r="F2172" s="6">
        <f>IF($J2172="","",IF($J2172&lt;=1500,N(INDEX('Daily Sale entry '!$AC$1:$AC$1501,$J2172+1))-IF(AND('Opening Balance'!$B$15=1,INDEX('Daily Sale entry '!$Z$1:$Z$1501,$J2172+1)="Online collection 网上收款",INDEX('Daily Sale entry '!$AA$1:$AA$1501,$J2172+1)&lt;&gt;""),N(INDEX('Daily Sale entry '!$AC$1:$AC$1501,$J2172+1))-TRUNC(N(INDEX('Daily Sale entry '!$AC$1:$AC$1501,$J2172+1))),0),N(INDEX('Daily Sale entry '!$S$1:$S$1501,$J2172-1499))-'Opening Balance'!$B$15*(N(INDEX('Daily Sale entry '!$S$1:$S$1501,$J2172-1499))-TRUNC(N(INDEX('Daily Sale entry '!$S$1:$S$1501,$J2172-1499))))))</f>
        <v/>
      </c>
      <c r="G2172" s="6">
        <f>IF($J2172="","",IF($J2172&lt;=1500,N(INDEX('Daily Sale entry '!$AD$1:$AD$1501,$J2172+1)),0))</f>
        <v/>
      </c>
      <c r="H2172" s="6">
        <f>IF($J2172="","",ROUND('Opening Balance'!$B$4+SUM($F$2:F2172)-SUM($G$2:G2172),2))</f>
        <v/>
      </c>
      <c r="J2172" s="21">
        <f>IFERROR(MATCH(ROW()-1,$L$2:$L$3001,0),"")</f>
        <v/>
      </c>
      <c r="K2172" s="34">
        <f>IF(AND('Daily Sale entry '!Q672="Collection 收款",'Daily Sale entry '!R672="Cheque 支票",'Daily Sale entry '!V672&lt;&gt;""),'Daily Sale entry '!V672+ROW()/10000000,"")</f>
        <v/>
      </c>
      <c r="L2172" s="21">
        <f>IF(K2172="","",COUNTIF($K$2:$K$3001,"&lt;"&amp;K2172)+1)</f>
        <v/>
      </c>
    </row>
    <row r="2173">
      <c r="A2173" s="5">
        <f>IF($J2173="","",IF($J2173&lt;=1500,INDEX('Daily Sale entry '!$X$1:$X$1501,$J2173+1),INDEX('Daily Sale entry '!$V$1:$V$1501,$J2173-1499)))</f>
        <v/>
      </c>
      <c r="B2173">
        <f>IF($J2173="","",IF($J2173&lt;=1500,INDEX('Daily Sale entry '!$Y$1:$Y$1501,$J2173+1)&amp;"","Buyer cheque banked 买家支票存入"&amp;IF(INDEX('Daily Sale entry '!$U$1:$U$1501,$J2173-1499)="","", " - "&amp;INDEX('Daily Sale entry '!$U$1:$U$1501,$J2173-1499))))</f>
        <v/>
      </c>
      <c r="C2173">
        <f>IF($J2173="","",IF($J2173&lt;=1500,INDEX('Daily Sale entry '!$Z$1:$Z$1501,$J2173+1)&amp;"","Cheque deposit 支票存入 (buyer 买家)"))</f>
        <v/>
      </c>
      <c r="D2173">
        <f>IF($J2173="","",IF($J2173&lt;=1500,INDEX('Daily Sale entry '!$AA$1:$AA$1501,$J2173+1)&amp;"",INDEX('Daily Sale entry '!$P$1:$P$1501,$J2173-1499)&amp;""))</f>
        <v/>
      </c>
      <c r="E2173">
        <f>IF($J2173="","",IF($J2173&lt;=1500,IF(N(INDEX('Daily Sale entry '!$AB$1:$AB$1501,$J2173+1))=0,"",INDEX('Daily Sale entry '!$AB$1:$AB$1501,$J2173+1)),1))</f>
        <v/>
      </c>
      <c r="F2173" s="6">
        <f>IF($J2173="","",IF($J2173&lt;=1500,N(INDEX('Daily Sale entry '!$AC$1:$AC$1501,$J2173+1))-IF(AND('Opening Balance'!$B$15=1,INDEX('Daily Sale entry '!$Z$1:$Z$1501,$J2173+1)="Online collection 网上收款",INDEX('Daily Sale entry '!$AA$1:$AA$1501,$J2173+1)&lt;&gt;""),N(INDEX('Daily Sale entry '!$AC$1:$AC$1501,$J2173+1))-TRUNC(N(INDEX('Daily Sale entry '!$AC$1:$AC$1501,$J2173+1))),0),N(INDEX('Daily Sale entry '!$S$1:$S$1501,$J2173-1499))-'Opening Balance'!$B$15*(N(INDEX('Daily Sale entry '!$S$1:$S$1501,$J2173-1499))-TRUNC(N(INDEX('Daily Sale entry '!$S$1:$S$1501,$J2173-1499))))))</f>
        <v/>
      </c>
      <c r="G2173" s="6">
        <f>IF($J2173="","",IF($J2173&lt;=1500,N(INDEX('Daily Sale entry '!$AD$1:$AD$1501,$J2173+1)),0))</f>
        <v/>
      </c>
      <c r="H2173" s="6">
        <f>IF($J2173="","",ROUND('Opening Balance'!$B$4+SUM($F$2:F2173)-SUM($G$2:G2173),2))</f>
        <v/>
      </c>
      <c r="J2173" s="21">
        <f>IFERROR(MATCH(ROW()-1,$L$2:$L$3001,0),"")</f>
        <v/>
      </c>
      <c r="K2173" s="34">
        <f>IF(AND('Daily Sale entry '!Q673="Collection 收款",'Daily Sale entry '!R673="Cheque 支票",'Daily Sale entry '!V673&lt;&gt;""),'Daily Sale entry '!V673+ROW()/10000000,"")</f>
        <v/>
      </c>
      <c r="L2173" s="21">
        <f>IF(K2173="","",COUNTIF($K$2:$K$3001,"&lt;"&amp;K2173)+1)</f>
        <v/>
      </c>
    </row>
    <row r="2174">
      <c r="A2174" s="5">
        <f>IF($J2174="","",IF($J2174&lt;=1500,INDEX('Daily Sale entry '!$X$1:$X$1501,$J2174+1),INDEX('Daily Sale entry '!$V$1:$V$1501,$J2174-1499)))</f>
        <v/>
      </c>
      <c r="B2174">
        <f>IF($J2174="","",IF($J2174&lt;=1500,INDEX('Daily Sale entry '!$Y$1:$Y$1501,$J2174+1)&amp;"","Buyer cheque banked 买家支票存入"&amp;IF(INDEX('Daily Sale entry '!$U$1:$U$1501,$J2174-1499)="","", " - "&amp;INDEX('Daily Sale entry '!$U$1:$U$1501,$J2174-1499))))</f>
        <v/>
      </c>
      <c r="C2174">
        <f>IF($J2174="","",IF($J2174&lt;=1500,INDEX('Daily Sale entry '!$Z$1:$Z$1501,$J2174+1)&amp;"","Cheque deposit 支票存入 (buyer 买家)"))</f>
        <v/>
      </c>
      <c r="D2174">
        <f>IF($J2174="","",IF($J2174&lt;=1500,INDEX('Daily Sale entry '!$AA$1:$AA$1501,$J2174+1)&amp;"",INDEX('Daily Sale entry '!$P$1:$P$1501,$J2174-1499)&amp;""))</f>
        <v/>
      </c>
      <c r="E2174">
        <f>IF($J2174="","",IF($J2174&lt;=1500,IF(N(INDEX('Daily Sale entry '!$AB$1:$AB$1501,$J2174+1))=0,"",INDEX('Daily Sale entry '!$AB$1:$AB$1501,$J2174+1)),1))</f>
        <v/>
      </c>
      <c r="F2174" s="6">
        <f>IF($J2174="","",IF($J2174&lt;=1500,N(INDEX('Daily Sale entry '!$AC$1:$AC$1501,$J2174+1))-IF(AND('Opening Balance'!$B$15=1,INDEX('Daily Sale entry '!$Z$1:$Z$1501,$J2174+1)="Online collection 网上收款",INDEX('Daily Sale entry '!$AA$1:$AA$1501,$J2174+1)&lt;&gt;""),N(INDEX('Daily Sale entry '!$AC$1:$AC$1501,$J2174+1))-TRUNC(N(INDEX('Daily Sale entry '!$AC$1:$AC$1501,$J2174+1))),0),N(INDEX('Daily Sale entry '!$S$1:$S$1501,$J2174-1499))-'Opening Balance'!$B$15*(N(INDEX('Daily Sale entry '!$S$1:$S$1501,$J2174-1499))-TRUNC(N(INDEX('Daily Sale entry '!$S$1:$S$1501,$J2174-1499))))))</f>
        <v/>
      </c>
      <c r="G2174" s="6">
        <f>IF($J2174="","",IF($J2174&lt;=1500,N(INDEX('Daily Sale entry '!$AD$1:$AD$1501,$J2174+1)),0))</f>
        <v/>
      </c>
      <c r="H2174" s="6">
        <f>IF($J2174="","",ROUND('Opening Balance'!$B$4+SUM($F$2:F2174)-SUM($G$2:G2174),2))</f>
        <v/>
      </c>
      <c r="J2174" s="21">
        <f>IFERROR(MATCH(ROW()-1,$L$2:$L$3001,0),"")</f>
        <v/>
      </c>
      <c r="K2174" s="34">
        <f>IF(AND('Daily Sale entry '!Q674="Collection 收款",'Daily Sale entry '!R674="Cheque 支票",'Daily Sale entry '!V674&lt;&gt;""),'Daily Sale entry '!V674+ROW()/10000000,"")</f>
        <v/>
      </c>
      <c r="L2174" s="21">
        <f>IF(K2174="","",COUNTIF($K$2:$K$3001,"&lt;"&amp;K2174)+1)</f>
        <v/>
      </c>
    </row>
    <row r="2175">
      <c r="A2175" s="5">
        <f>IF($J2175="","",IF($J2175&lt;=1500,INDEX('Daily Sale entry '!$X$1:$X$1501,$J2175+1),INDEX('Daily Sale entry '!$V$1:$V$1501,$J2175-1499)))</f>
        <v/>
      </c>
      <c r="B2175">
        <f>IF($J2175="","",IF($J2175&lt;=1500,INDEX('Daily Sale entry '!$Y$1:$Y$1501,$J2175+1)&amp;"","Buyer cheque banked 买家支票存入"&amp;IF(INDEX('Daily Sale entry '!$U$1:$U$1501,$J2175-1499)="","", " - "&amp;INDEX('Daily Sale entry '!$U$1:$U$1501,$J2175-1499))))</f>
        <v/>
      </c>
      <c r="C2175">
        <f>IF($J2175="","",IF($J2175&lt;=1500,INDEX('Daily Sale entry '!$Z$1:$Z$1501,$J2175+1)&amp;"","Cheque deposit 支票存入 (buyer 买家)"))</f>
        <v/>
      </c>
      <c r="D2175">
        <f>IF($J2175="","",IF($J2175&lt;=1500,INDEX('Daily Sale entry '!$AA$1:$AA$1501,$J2175+1)&amp;"",INDEX('Daily Sale entry '!$P$1:$P$1501,$J2175-1499)&amp;""))</f>
        <v/>
      </c>
      <c r="E2175">
        <f>IF($J2175="","",IF($J2175&lt;=1500,IF(N(INDEX('Daily Sale entry '!$AB$1:$AB$1501,$J2175+1))=0,"",INDEX('Daily Sale entry '!$AB$1:$AB$1501,$J2175+1)),1))</f>
        <v/>
      </c>
      <c r="F2175" s="6">
        <f>IF($J2175="","",IF($J2175&lt;=1500,N(INDEX('Daily Sale entry '!$AC$1:$AC$1501,$J2175+1))-IF(AND('Opening Balance'!$B$15=1,INDEX('Daily Sale entry '!$Z$1:$Z$1501,$J2175+1)="Online collection 网上收款",INDEX('Daily Sale entry '!$AA$1:$AA$1501,$J2175+1)&lt;&gt;""),N(INDEX('Daily Sale entry '!$AC$1:$AC$1501,$J2175+1))-TRUNC(N(INDEX('Daily Sale entry '!$AC$1:$AC$1501,$J2175+1))),0),N(INDEX('Daily Sale entry '!$S$1:$S$1501,$J2175-1499))-'Opening Balance'!$B$15*(N(INDEX('Daily Sale entry '!$S$1:$S$1501,$J2175-1499))-TRUNC(N(INDEX('Daily Sale entry '!$S$1:$S$1501,$J2175-1499))))))</f>
        <v/>
      </c>
      <c r="G2175" s="6">
        <f>IF($J2175="","",IF($J2175&lt;=1500,N(INDEX('Daily Sale entry '!$AD$1:$AD$1501,$J2175+1)),0))</f>
        <v/>
      </c>
      <c r="H2175" s="6">
        <f>IF($J2175="","",ROUND('Opening Balance'!$B$4+SUM($F$2:F2175)-SUM($G$2:G2175),2))</f>
        <v/>
      </c>
      <c r="J2175" s="21">
        <f>IFERROR(MATCH(ROW()-1,$L$2:$L$3001,0),"")</f>
        <v/>
      </c>
      <c r="K2175" s="34">
        <f>IF(AND('Daily Sale entry '!Q675="Collection 收款",'Daily Sale entry '!R675="Cheque 支票",'Daily Sale entry '!V675&lt;&gt;""),'Daily Sale entry '!V675+ROW()/10000000,"")</f>
        <v/>
      </c>
      <c r="L2175" s="21">
        <f>IF(K2175="","",COUNTIF($K$2:$K$3001,"&lt;"&amp;K2175)+1)</f>
        <v/>
      </c>
    </row>
    <row r="2176">
      <c r="A2176" s="5">
        <f>IF($J2176="","",IF($J2176&lt;=1500,INDEX('Daily Sale entry '!$X$1:$X$1501,$J2176+1),INDEX('Daily Sale entry '!$V$1:$V$1501,$J2176-1499)))</f>
        <v/>
      </c>
      <c r="B2176">
        <f>IF($J2176="","",IF($J2176&lt;=1500,INDEX('Daily Sale entry '!$Y$1:$Y$1501,$J2176+1)&amp;"","Buyer cheque banked 买家支票存入"&amp;IF(INDEX('Daily Sale entry '!$U$1:$U$1501,$J2176-1499)="","", " - "&amp;INDEX('Daily Sale entry '!$U$1:$U$1501,$J2176-1499))))</f>
        <v/>
      </c>
      <c r="C2176">
        <f>IF($J2176="","",IF($J2176&lt;=1500,INDEX('Daily Sale entry '!$Z$1:$Z$1501,$J2176+1)&amp;"","Cheque deposit 支票存入 (buyer 买家)"))</f>
        <v/>
      </c>
      <c r="D2176">
        <f>IF($J2176="","",IF($J2176&lt;=1500,INDEX('Daily Sale entry '!$AA$1:$AA$1501,$J2176+1)&amp;"",INDEX('Daily Sale entry '!$P$1:$P$1501,$J2176-1499)&amp;""))</f>
        <v/>
      </c>
      <c r="E2176">
        <f>IF($J2176="","",IF($J2176&lt;=1500,IF(N(INDEX('Daily Sale entry '!$AB$1:$AB$1501,$J2176+1))=0,"",INDEX('Daily Sale entry '!$AB$1:$AB$1501,$J2176+1)),1))</f>
        <v/>
      </c>
      <c r="F2176" s="6">
        <f>IF($J2176="","",IF($J2176&lt;=1500,N(INDEX('Daily Sale entry '!$AC$1:$AC$1501,$J2176+1))-IF(AND('Opening Balance'!$B$15=1,INDEX('Daily Sale entry '!$Z$1:$Z$1501,$J2176+1)="Online collection 网上收款",INDEX('Daily Sale entry '!$AA$1:$AA$1501,$J2176+1)&lt;&gt;""),N(INDEX('Daily Sale entry '!$AC$1:$AC$1501,$J2176+1))-TRUNC(N(INDEX('Daily Sale entry '!$AC$1:$AC$1501,$J2176+1))),0),N(INDEX('Daily Sale entry '!$S$1:$S$1501,$J2176-1499))-'Opening Balance'!$B$15*(N(INDEX('Daily Sale entry '!$S$1:$S$1501,$J2176-1499))-TRUNC(N(INDEX('Daily Sale entry '!$S$1:$S$1501,$J2176-1499))))))</f>
        <v/>
      </c>
      <c r="G2176" s="6">
        <f>IF($J2176="","",IF($J2176&lt;=1500,N(INDEX('Daily Sale entry '!$AD$1:$AD$1501,$J2176+1)),0))</f>
        <v/>
      </c>
      <c r="H2176" s="6">
        <f>IF($J2176="","",ROUND('Opening Balance'!$B$4+SUM($F$2:F2176)-SUM($G$2:G2176),2))</f>
        <v/>
      </c>
      <c r="J2176" s="21">
        <f>IFERROR(MATCH(ROW()-1,$L$2:$L$3001,0),"")</f>
        <v/>
      </c>
      <c r="K2176" s="34">
        <f>IF(AND('Daily Sale entry '!Q676="Collection 收款",'Daily Sale entry '!R676="Cheque 支票",'Daily Sale entry '!V676&lt;&gt;""),'Daily Sale entry '!V676+ROW()/10000000,"")</f>
        <v/>
      </c>
      <c r="L2176" s="21">
        <f>IF(K2176="","",COUNTIF($K$2:$K$3001,"&lt;"&amp;K2176)+1)</f>
        <v/>
      </c>
    </row>
    <row r="2177">
      <c r="A2177" s="5">
        <f>IF($J2177="","",IF($J2177&lt;=1500,INDEX('Daily Sale entry '!$X$1:$X$1501,$J2177+1),INDEX('Daily Sale entry '!$V$1:$V$1501,$J2177-1499)))</f>
        <v/>
      </c>
      <c r="B2177">
        <f>IF($J2177="","",IF($J2177&lt;=1500,INDEX('Daily Sale entry '!$Y$1:$Y$1501,$J2177+1)&amp;"","Buyer cheque banked 买家支票存入"&amp;IF(INDEX('Daily Sale entry '!$U$1:$U$1501,$J2177-1499)="","", " - "&amp;INDEX('Daily Sale entry '!$U$1:$U$1501,$J2177-1499))))</f>
        <v/>
      </c>
      <c r="C2177">
        <f>IF($J2177="","",IF($J2177&lt;=1500,INDEX('Daily Sale entry '!$Z$1:$Z$1501,$J2177+1)&amp;"","Cheque deposit 支票存入 (buyer 买家)"))</f>
        <v/>
      </c>
      <c r="D2177">
        <f>IF($J2177="","",IF($J2177&lt;=1500,INDEX('Daily Sale entry '!$AA$1:$AA$1501,$J2177+1)&amp;"",INDEX('Daily Sale entry '!$P$1:$P$1501,$J2177-1499)&amp;""))</f>
        <v/>
      </c>
      <c r="E2177">
        <f>IF($J2177="","",IF($J2177&lt;=1500,IF(N(INDEX('Daily Sale entry '!$AB$1:$AB$1501,$J2177+1))=0,"",INDEX('Daily Sale entry '!$AB$1:$AB$1501,$J2177+1)),1))</f>
        <v/>
      </c>
      <c r="F2177" s="6">
        <f>IF($J2177="","",IF($J2177&lt;=1500,N(INDEX('Daily Sale entry '!$AC$1:$AC$1501,$J2177+1))-IF(AND('Opening Balance'!$B$15=1,INDEX('Daily Sale entry '!$Z$1:$Z$1501,$J2177+1)="Online collection 网上收款",INDEX('Daily Sale entry '!$AA$1:$AA$1501,$J2177+1)&lt;&gt;""),N(INDEX('Daily Sale entry '!$AC$1:$AC$1501,$J2177+1))-TRUNC(N(INDEX('Daily Sale entry '!$AC$1:$AC$1501,$J2177+1))),0),N(INDEX('Daily Sale entry '!$S$1:$S$1501,$J2177-1499))-'Opening Balance'!$B$15*(N(INDEX('Daily Sale entry '!$S$1:$S$1501,$J2177-1499))-TRUNC(N(INDEX('Daily Sale entry '!$S$1:$S$1501,$J2177-1499))))))</f>
        <v/>
      </c>
      <c r="G2177" s="6">
        <f>IF($J2177="","",IF($J2177&lt;=1500,N(INDEX('Daily Sale entry '!$AD$1:$AD$1501,$J2177+1)),0))</f>
        <v/>
      </c>
      <c r="H2177" s="6">
        <f>IF($J2177="","",ROUND('Opening Balance'!$B$4+SUM($F$2:F2177)-SUM($G$2:G2177),2))</f>
        <v/>
      </c>
      <c r="J2177" s="21">
        <f>IFERROR(MATCH(ROW()-1,$L$2:$L$3001,0),"")</f>
        <v/>
      </c>
      <c r="K2177" s="34">
        <f>IF(AND('Daily Sale entry '!Q677="Collection 收款",'Daily Sale entry '!R677="Cheque 支票",'Daily Sale entry '!V677&lt;&gt;""),'Daily Sale entry '!V677+ROW()/10000000,"")</f>
        <v/>
      </c>
      <c r="L2177" s="21">
        <f>IF(K2177="","",COUNTIF($K$2:$K$3001,"&lt;"&amp;K2177)+1)</f>
        <v/>
      </c>
    </row>
    <row r="2178">
      <c r="A2178" s="5">
        <f>IF($J2178="","",IF($J2178&lt;=1500,INDEX('Daily Sale entry '!$X$1:$X$1501,$J2178+1),INDEX('Daily Sale entry '!$V$1:$V$1501,$J2178-1499)))</f>
        <v/>
      </c>
      <c r="B2178">
        <f>IF($J2178="","",IF($J2178&lt;=1500,INDEX('Daily Sale entry '!$Y$1:$Y$1501,$J2178+1)&amp;"","Buyer cheque banked 买家支票存入"&amp;IF(INDEX('Daily Sale entry '!$U$1:$U$1501,$J2178-1499)="","", " - "&amp;INDEX('Daily Sale entry '!$U$1:$U$1501,$J2178-1499))))</f>
        <v/>
      </c>
      <c r="C2178">
        <f>IF($J2178="","",IF($J2178&lt;=1500,INDEX('Daily Sale entry '!$Z$1:$Z$1501,$J2178+1)&amp;"","Cheque deposit 支票存入 (buyer 买家)"))</f>
        <v/>
      </c>
      <c r="D2178">
        <f>IF($J2178="","",IF($J2178&lt;=1500,INDEX('Daily Sale entry '!$AA$1:$AA$1501,$J2178+1)&amp;"",INDEX('Daily Sale entry '!$P$1:$P$1501,$J2178-1499)&amp;""))</f>
        <v/>
      </c>
      <c r="E2178">
        <f>IF($J2178="","",IF($J2178&lt;=1500,IF(N(INDEX('Daily Sale entry '!$AB$1:$AB$1501,$J2178+1))=0,"",INDEX('Daily Sale entry '!$AB$1:$AB$1501,$J2178+1)),1))</f>
        <v/>
      </c>
      <c r="F2178" s="6">
        <f>IF($J2178="","",IF($J2178&lt;=1500,N(INDEX('Daily Sale entry '!$AC$1:$AC$1501,$J2178+1))-IF(AND('Opening Balance'!$B$15=1,INDEX('Daily Sale entry '!$Z$1:$Z$1501,$J2178+1)="Online collection 网上收款",INDEX('Daily Sale entry '!$AA$1:$AA$1501,$J2178+1)&lt;&gt;""),N(INDEX('Daily Sale entry '!$AC$1:$AC$1501,$J2178+1))-TRUNC(N(INDEX('Daily Sale entry '!$AC$1:$AC$1501,$J2178+1))),0),N(INDEX('Daily Sale entry '!$S$1:$S$1501,$J2178-1499))-'Opening Balance'!$B$15*(N(INDEX('Daily Sale entry '!$S$1:$S$1501,$J2178-1499))-TRUNC(N(INDEX('Daily Sale entry '!$S$1:$S$1501,$J2178-1499))))))</f>
        <v/>
      </c>
      <c r="G2178" s="6">
        <f>IF($J2178="","",IF($J2178&lt;=1500,N(INDEX('Daily Sale entry '!$AD$1:$AD$1501,$J2178+1)),0))</f>
        <v/>
      </c>
      <c r="H2178" s="6">
        <f>IF($J2178="","",ROUND('Opening Balance'!$B$4+SUM($F$2:F2178)-SUM($G$2:G2178),2))</f>
        <v/>
      </c>
      <c r="J2178" s="21">
        <f>IFERROR(MATCH(ROW()-1,$L$2:$L$3001,0),"")</f>
        <v/>
      </c>
      <c r="K2178" s="34">
        <f>IF(AND('Daily Sale entry '!Q678="Collection 收款",'Daily Sale entry '!R678="Cheque 支票",'Daily Sale entry '!V678&lt;&gt;""),'Daily Sale entry '!V678+ROW()/10000000,"")</f>
        <v/>
      </c>
      <c r="L2178" s="21">
        <f>IF(K2178="","",COUNTIF($K$2:$K$3001,"&lt;"&amp;K2178)+1)</f>
        <v/>
      </c>
    </row>
    <row r="2179">
      <c r="A2179" s="5">
        <f>IF($J2179="","",IF($J2179&lt;=1500,INDEX('Daily Sale entry '!$X$1:$X$1501,$J2179+1),INDEX('Daily Sale entry '!$V$1:$V$1501,$J2179-1499)))</f>
        <v/>
      </c>
      <c r="B2179">
        <f>IF($J2179="","",IF($J2179&lt;=1500,INDEX('Daily Sale entry '!$Y$1:$Y$1501,$J2179+1)&amp;"","Buyer cheque banked 买家支票存入"&amp;IF(INDEX('Daily Sale entry '!$U$1:$U$1501,$J2179-1499)="","", " - "&amp;INDEX('Daily Sale entry '!$U$1:$U$1501,$J2179-1499))))</f>
        <v/>
      </c>
      <c r="C2179">
        <f>IF($J2179="","",IF($J2179&lt;=1500,INDEX('Daily Sale entry '!$Z$1:$Z$1501,$J2179+1)&amp;"","Cheque deposit 支票存入 (buyer 买家)"))</f>
        <v/>
      </c>
      <c r="D2179">
        <f>IF($J2179="","",IF($J2179&lt;=1500,INDEX('Daily Sale entry '!$AA$1:$AA$1501,$J2179+1)&amp;"",INDEX('Daily Sale entry '!$P$1:$P$1501,$J2179-1499)&amp;""))</f>
        <v/>
      </c>
      <c r="E2179">
        <f>IF($J2179="","",IF($J2179&lt;=1500,IF(N(INDEX('Daily Sale entry '!$AB$1:$AB$1501,$J2179+1))=0,"",INDEX('Daily Sale entry '!$AB$1:$AB$1501,$J2179+1)),1))</f>
        <v/>
      </c>
      <c r="F2179" s="6">
        <f>IF($J2179="","",IF($J2179&lt;=1500,N(INDEX('Daily Sale entry '!$AC$1:$AC$1501,$J2179+1))-IF(AND('Opening Balance'!$B$15=1,INDEX('Daily Sale entry '!$Z$1:$Z$1501,$J2179+1)="Online collection 网上收款",INDEX('Daily Sale entry '!$AA$1:$AA$1501,$J2179+1)&lt;&gt;""),N(INDEX('Daily Sale entry '!$AC$1:$AC$1501,$J2179+1))-TRUNC(N(INDEX('Daily Sale entry '!$AC$1:$AC$1501,$J2179+1))),0),N(INDEX('Daily Sale entry '!$S$1:$S$1501,$J2179-1499))-'Opening Balance'!$B$15*(N(INDEX('Daily Sale entry '!$S$1:$S$1501,$J2179-1499))-TRUNC(N(INDEX('Daily Sale entry '!$S$1:$S$1501,$J2179-1499))))))</f>
        <v/>
      </c>
      <c r="G2179" s="6">
        <f>IF($J2179="","",IF($J2179&lt;=1500,N(INDEX('Daily Sale entry '!$AD$1:$AD$1501,$J2179+1)),0))</f>
        <v/>
      </c>
      <c r="H2179" s="6">
        <f>IF($J2179="","",ROUND('Opening Balance'!$B$4+SUM($F$2:F2179)-SUM($G$2:G2179),2))</f>
        <v/>
      </c>
      <c r="J2179" s="21">
        <f>IFERROR(MATCH(ROW()-1,$L$2:$L$3001,0),"")</f>
        <v/>
      </c>
      <c r="K2179" s="34">
        <f>IF(AND('Daily Sale entry '!Q679="Collection 收款",'Daily Sale entry '!R679="Cheque 支票",'Daily Sale entry '!V679&lt;&gt;""),'Daily Sale entry '!V679+ROW()/10000000,"")</f>
        <v/>
      </c>
      <c r="L2179" s="21">
        <f>IF(K2179="","",COUNTIF($K$2:$K$3001,"&lt;"&amp;K2179)+1)</f>
        <v/>
      </c>
    </row>
    <row r="2180">
      <c r="A2180" s="5">
        <f>IF($J2180="","",IF($J2180&lt;=1500,INDEX('Daily Sale entry '!$X$1:$X$1501,$J2180+1),INDEX('Daily Sale entry '!$V$1:$V$1501,$J2180-1499)))</f>
        <v/>
      </c>
      <c r="B2180">
        <f>IF($J2180="","",IF($J2180&lt;=1500,INDEX('Daily Sale entry '!$Y$1:$Y$1501,$J2180+1)&amp;"","Buyer cheque banked 买家支票存入"&amp;IF(INDEX('Daily Sale entry '!$U$1:$U$1501,$J2180-1499)="","", " - "&amp;INDEX('Daily Sale entry '!$U$1:$U$1501,$J2180-1499))))</f>
        <v/>
      </c>
      <c r="C2180">
        <f>IF($J2180="","",IF($J2180&lt;=1500,INDEX('Daily Sale entry '!$Z$1:$Z$1501,$J2180+1)&amp;"","Cheque deposit 支票存入 (buyer 买家)"))</f>
        <v/>
      </c>
      <c r="D2180">
        <f>IF($J2180="","",IF($J2180&lt;=1500,INDEX('Daily Sale entry '!$AA$1:$AA$1501,$J2180+1)&amp;"",INDEX('Daily Sale entry '!$P$1:$P$1501,$J2180-1499)&amp;""))</f>
        <v/>
      </c>
      <c r="E2180">
        <f>IF($J2180="","",IF($J2180&lt;=1500,IF(N(INDEX('Daily Sale entry '!$AB$1:$AB$1501,$J2180+1))=0,"",INDEX('Daily Sale entry '!$AB$1:$AB$1501,$J2180+1)),1))</f>
        <v/>
      </c>
      <c r="F2180" s="6">
        <f>IF($J2180="","",IF($J2180&lt;=1500,N(INDEX('Daily Sale entry '!$AC$1:$AC$1501,$J2180+1))-IF(AND('Opening Balance'!$B$15=1,INDEX('Daily Sale entry '!$Z$1:$Z$1501,$J2180+1)="Online collection 网上收款",INDEX('Daily Sale entry '!$AA$1:$AA$1501,$J2180+1)&lt;&gt;""),N(INDEX('Daily Sale entry '!$AC$1:$AC$1501,$J2180+1))-TRUNC(N(INDEX('Daily Sale entry '!$AC$1:$AC$1501,$J2180+1))),0),N(INDEX('Daily Sale entry '!$S$1:$S$1501,$J2180-1499))-'Opening Balance'!$B$15*(N(INDEX('Daily Sale entry '!$S$1:$S$1501,$J2180-1499))-TRUNC(N(INDEX('Daily Sale entry '!$S$1:$S$1501,$J2180-1499))))))</f>
        <v/>
      </c>
      <c r="G2180" s="6">
        <f>IF($J2180="","",IF($J2180&lt;=1500,N(INDEX('Daily Sale entry '!$AD$1:$AD$1501,$J2180+1)),0))</f>
        <v/>
      </c>
      <c r="H2180" s="6">
        <f>IF($J2180="","",ROUND('Opening Balance'!$B$4+SUM($F$2:F2180)-SUM($G$2:G2180),2))</f>
        <v/>
      </c>
      <c r="J2180" s="21">
        <f>IFERROR(MATCH(ROW()-1,$L$2:$L$3001,0),"")</f>
        <v/>
      </c>
      <c r="K2180" s="34">
        <f>IF(AND('Daily Sale entry '!Q680="Collection 收款",'Daily Sale entry '!R680="Cheque 支票",'Daily Sale entry '!V680&lt;&gt;""),'Daily Sale entry '!V680+ROW()/10000000,"")</f>
        <v/>
      </c>
      <c r="L2180" s="21">
        <f>IF(K2180="","",COUNTIF($K$2:$K$3001,"&lt;"&amp;K2180)+1)</f>
        <v/>
      </c>
    </row>
    <row r="2181">
      <c r="A2181" s="5">
        <f>IF($J2181="","",IF($J2181&lt;=1500,INDEX('Daily Sale entry '!$X$1:$X$1501,$J2181+1),INDEX('Daily Sale entry '!$V$1:$V$1501,$J2181-1499)))</f>
        <v/>
      </c>
      <c r="B2181">
        <f>IF($J2181="","",IF($J2181&lt;=1500,INDEX('Daily Sale entry '!$Y$1:$Y$1501,$J2181+1)&amp;"","Buyer cheque banked 买家支票存入"&amp;IF(INDEX('Daily Sale entry '!$U$1:$U$1501,$J2181-1499)="","", " - "&amp;INDEX('Daily Sale entry '!$U$1:$U$1501,$J2181-1499))))</f>
        <v/>
      </c>
      <c r="C2181">
        <f>IF($J2181="","",IF($J2181&lt;=1500,INDEX('Daily Sale entry '!$Z$1:$Z$1501,$J2181+1)&amp;"","Cheque deposit 支票存入 (buyer 买家)"))</f>
        <v/>
      </c>
      <c r="D2181">
        <f>IF($J2181="","",IF($J2181&lt;=1500,INDEX('Daily Sale entry '!$AA$1:$AA$1501,$J2181+1)&amp;"",INDEX('Daily Sale entry '!$P$1:$P$1501,$J2181-1499)&amp;""))</f>
        <v/>
      </c>
      <c r="E2181">
        <f>IF($J2181="","",IF($J2181&lt;=1500,IF(N(INDEX('Daily Sale entry '!$AB$1:$AB$1501,$J2181+1))=0,"",INDEX('Daily Sale entry '!$AB$1:$AB$1501,$J2181+1)),1))</f>
        <v/>
      </c>
      <c r="F2181" s="6">
        <f>IF($J2181="","",IF($J2181&lt;=1500,N(INDEX('Daily Sale entry '!$AC$1:$AC$1501,$J2181+1))-IF(AND('Opening Balance'!$B$15=1,INDEX('Daily Sale entry '!$Z$1:$Z$1501,$J2181+1)="Online collection 网上收款",INDEX('Daily Sale entry '!$AA$1:$AA$1501,$J2181+1)&lt;&gt;""),N(INDEX('Daily Sale entry '!$AC$1:$AC$1501,$J2181+1))-TRUNC(N(INDEX('Daily Sale entry '!$AC$1:$AC$1501,$J2181+1))),0),N(INDEX('Daily Sale entry '!$S$1:$S$1501,$J2181-1499))-'Opening Balance'!$B$15*(N(INDEX('Daily Sale entry '!$S$1:$S$1501,$J2181-1499))-TRUNC(N(INDEX('Daily Sale entry '!$S$1:$S$1501,$J2181-1499))))))</f>
        <v/>
      </c>
      <c r="G2181" s="6">
        <f>IF($J2181="","",IF($J2181&lt;=1500,N(INDEX('Daily Sale entry '!$AD$1:$AD$1501,$J2181+1)),0))</f>
        <v/>
      </c>
      <c r="H2181" s="6">
        <f>IF($J2181="","",ROUND('Opening Balance'!$B$4+SUM($F$2:F2181)-SUM($G$2:G2181),2))</f>
        <v/>
      </c>
      <c r="J2181" s="21">
        <f>IFERROR(MATCH(ROW()-1,$L$2:$L$3001,0),"")</f>
        <v/>
      </c>
      <c r="K2181" s="34">
        <f>IF(AND('Daily Sale entry '!Q681="Collection 收款",'Daily Sale entry '!R681="Cheque 支票",'Daily Sale entry '!V681&lt;&gt;""),'Daily Sale entry '!V681+ROW()/10000000,"")</f>
        <v/>
      </c>
      <c r="L2181" s="21">
        <f>IF(K2181="","",COUNTIF($K$2:$K$3001,"&lt;"&amp;K2181)+1)</f>
        <v/>
      </c>
    </row>
    <row r="2182">
      <c r="A2182" s="5">
        <f>IF($J2182="","",IF($J2182&lt;=1500,INDEX('Daily Sale entry '!$X$1:$X$1501,$J2182+1),INDEX('Daily Sale entry '!$V$1:$V$1501,$J2182-1499)))</f>
        <v/>
      </c>
      <c r="B2182">
        <f>IF($J2182="","",IF($J2182&lt;=1500,INDEX('Daily Sale entry '!$Y$1:$Y$1501,$J2182+1)&amp;"","Buyer cheque banked 买家支票存入"&amp;IF(INDEX('Daily Sale entry '!$U$1:$U$1501,$J2182-1499)="","", " - "&amp;INDEX('Daily Sale entry '!$U$1:$U$1501,$J2182-1499))))</f>
        <v/>
      </c>
      <c r="C2182">
        <f>IF($J2182="","",IF($J2182&lt;=1500,INDEX('Daily Sale entry '!$Z$1:$Z$1501,$J2182+1)&amp;"","Cheque deposit 支票存入 (buyer 买家)"))</f>
        <v/>
      </c>
      <c r="D2182">
        <f>IF($J2182="","",IF($J2182&lt;=1500,INDEX('Daily Sale entry '!$AA$1:$AA$1501,$J2182+1)&amp;"",INDEX('Daily Sale entry '!$P$1:$P$1501,$J2182-1499)&amp;""))</f>
        <v/>
      </c>
      <c r="E2182">
        <f>IF($J2182="","",IF($J2182&lt;=1500,IF(N(INDEX('Daily Sale entry '!$AB$1:$AB$1501,$J2182+1))=0,"",INDEX('Daily Sale entry '!$AB$1:$AB$1501,$J2182+1)),1))</f>
        <v/>
      </c>
      <c r="F2182" s="6">
        <f>IF($J2182="","",IF($J2182&lt;=1500,N(INDEX('Daily Sale entry '!$AC$1:$AC$1501,$J2182+1))-IF(AND('Opening Balance'!$B$15=1,INDEX('Daily Sale entry '!$Z$1:$Z$1501,$J2182+1)="Online collection 网上收款",INDEX('Daily Sale entry '!$AA$1:$AA$1501,$J2182+1)&lt;&gt;""),N(INDEX('Daily Sale entry '!$AC$1:$AC$1501,$J2182+1))-TRUNC(N(INDEX('Daily Sale entry '!$AC$1:$AC$1501,$J2182+1))),0),N(INDEX('Daily Sale entry '!$S$1:$S$1501,$J2182-1499))-'Opening Balance'!$B$15*(N(INDEX('Daily Sale entry '!$S$1:$S$1501,$J2182-1499))-TRUNC(N(INDEX('Daily Sale entry '!$S$1:$S$1501,$J2182-1499))))))</f>
        <v/>
      </c>
      <c r="G2182" s="6">
        <f>IF($J2182="","",IF($J2182&lt;=1500,N(INDEX('Daily Sale entry '!$AD$1:$AD$1501,$J2182+1)),0))</f>
        <v/>
      </c>
      <c r="H2182" s="6">
        <f>IF($J2182="","",ROUND('Opening Balance'!$B$4+SUM($F$2:F2182)-SUM($G$2:G2182),2))</f>
        <v/>
      </c>
      <c r="J2182" s="21">
        <f>IFERROR(MATCH(ROW()-1,$L$2:$L$3001,0),"")</f>
        <v/>
      </c>
      <c r="K2182" s="34">
        <f>IF(AND('Daily Sale entry '!Q682="Collection 收款",'Daily Sale entry '!R682="Cheque 支票",'Daily Sale entry '!V682&lt;&gt;""),'Daily Sale entry '!V682+ROW()/10000000,"")</f>
        <v/>
      </c>
      <c r="L2182" s="21">
        <f>IF(K2182="","",COUNTIF($K$2:$K$3001,"&lt;"&amp;K2182)+1)</f>
        <v/>
      </c>
    </row>
    <row r="2183">
      <c r="A2183" s="5">
        <f>IF($J2183="","",IF($J2183&lt;=1500,INDEX('Daily Sale entry '!$X$1:$X$1501,$J2183+1),INDEX('Daily Sale entry '!$V$1:$V$1501,$J2183-1499)))</f>
        <v/>
      </c>
      <c r="B2183">
        <f>IF($J2183="","",IF($J2183&lt;=1500,INDEX('Daily Sale entry '!$Y$1:$Y$1501,$J2183+1)&amp;"","Buyer cheque banked 买家支票存入"&amp;IF(INDEX('Daily Sale entry '!$U$1:$U$1501,$J2183-1499)="","", " - "&amp;INDEX('Daily Sale entry '!$U$1:$U$1501,$J2183-1499))))</f>
        <v/>
      </c>
      <c r="C2183">
        <f>IF($J2183="","",IF($J2183&lt;=1500,INDEX('Daily Sale entry '!$Z$1:$Z$1501,$J2183+1)&amp;"","Cheque deposit 支票存入 (buyer 买家)"))</f>
        <v/>
      </c>
      <c r="D2183">
        <f>IF($J2183="","",IF($J2183&lt;=1500,INDEX('Daily Sale entry '!$AA$1:$AA$1501,$J2183+1)&amp;"",INDEX('Daily Sale entry '!$P$1:$P$1501,$J2183-1499)&amp;""))</f>
        <v/>
      </c>
      <c r="E2183">
        <f>IF($J2183="","",IF($J2183&lt;=1500,IF(N(INDEX('Daily Sale entry '!$AB$1:$AB$1501,$J2183+1))=0,"",INDEX('Daily Sale entry '!$AB$1:$AB$1501,$J2183+1)),1))</f>
        <v/>
      </c>
      <c r="F2183" s="6">
        <f>IF($J2183="","",IF($J2183&lt;=1500,N(INDEX('Daily Sale entry '!$AC$1:$AC$1501,$J2183+1))-IF(AND('Opening Balance'!$B$15=1,INDEX('Daily Sale entry '!$Z$1:$Z$1501,$J2183+1)="Online collection 网上收款",INDEX('Daily Sale entry '!$AA$1:$AA$1501,$J2183+1)&lt;&gt;""),N(INDEX('Daily Sale entry '!$AC$1:$AC$1501,$J2183+1))-TRUNC(N(INDEX('Daily Sale entry '!$AC$1:$AC$1501,$J2183+1))),0),N(INDEX('Daily Sale entry '!$S$1:$S$1501,$J2183-1499))-'Opening Balance'!$B$15*(N(INDEX('Daily Sale entry '!$S$1:$S$1501,$J2183-1499))-TRUNC(N(INDEX('Daily Sale entry '!$S$1:$S$1501,$J2183-1499))))))</f>
        <v/>
      </c>
      <c r="G2183" s="6">
        <f>IF($J2183="","",IF($J2183&lt;=1500,N(INDEX('Daily Sale entry '!$AD$1:$AD$1501,$J2183+1)),0))</f>
        <v/>
      </c>
      <c r="H2183" s="6">
        <f>IF($J2183="","",ROUND('Opening Balance'!$B$4+SUM($F$2:F2183)-SUM($G$2:G2183),2))</f>
        <v/>
      </c>
      <c r="J2183" s="21">
        <f>IFERROR(MATCH(ROW()-1,$L$2:$L$3001,0),"")</f>
        <v/>
      </c>
      <c r="K2183" s="34">
        <f>IF(AND('Daily Sale entry '!Q683="Collection 收款",'Daily Sale entry '!R683="Cheque 支票",'Daily Sale entry '!V683&lt;&gt;""),'Daily Sale entry '!V683+ROW()/10000000,"")</f>
        <v/>
      </c>
      <c r="L2183" s="21">
        <f>IF(K2183="","",COUNTIF($K$2:$K$3001,"&lt;"&amp;K2183)+1)</f>
        <v/>
      </c>
    </row>
    <row r="2184">
      <c r="A2184" s="5">
        <f>IF($J2184="","",IF($J2184&lt;=1500,INDEX('Daily Sale entry '!$X$1:$X$1501,$J2184+1),INDEX('Daily Sale entry '!$V$1:$V$1501,$J2184-1499)))</f>
        <v/>
      </c>
      <c r="B2184">
        <f>IF($J2184="","",IF($J2184&lt;=1500,INDEX('Daily Sale entry '!$Y$1:$Y$1501,$J2184+1)&amp;"","Buyer cheque banked 买家支票存入"&amp;IF(INDEX('Daily Sale entry '!$U$1:$U$1501,$J2184-1499)="","", " - "&amp;INDEX('Daily Sale entry '!$U$1:$U$1501,$J2184-1499))))</f>
        <v/>
      </c>
      <c r="C2184">
        <f>IF($J2184="","",IF($J2184&lt;=1500,INDEX('Daily Sale entry '!$Z$1:$Z$1501,$J2184+1)&amp;"","Cheque deposit 支票存入 (buyer 买家)"))</f>
        <v/>
      </c>
      <c r="D2184">
        <f>IF($J2184="","",IF($J2184&lt;=1500,INDEX('Daily Sale entry '!$AA$1:$AA$1501,$J2184+1)&amp;"",INDEX('Daily Sale entry '!$P$1:$P$1501,$J2184-1499)&amp;""))</f>
        <v/>
      </c>
      <c r="E2184">
        <f>IF($J2184="","",IF($J2184&lt;=1500,IF(N(INDEX('Daily Sale entry '!$AB$1:$AB$1501,$J2184+1))=0,"",INDEX('Daily Sale entry '!$AB$1:$AB$1501,$J2184+1)),1))</f>
        <v/>
      </c>
      <c r="F2184" s="6">
        <f>IF($J2184="","",IF($J2184&lt;=1500,N(INDEX('Daily Sale entry '!$AC$1:$AC$1501,$J2184+1))-IF(AND('Opening Balance'!$B$15=1,INDEX('Daily Sale entry '!$Z$1:$Z$1501,$J2184+1)="Online collection 网上收款",INDEX('Daily Sale entry '!$AA$1:$AA$1501,$J2184+1)&lt;&gt;""),N(INDEX('Daily Sale entry '!$AC$1:$AC$1501,$J2184+1))-TRUNC(N(INDEX('Daily Sale entry '!$AC$1:$AC$1501,$J2184+1))),0),N(INDEX('Daily Sale entry '!$S$1:$S$1501,$J2184-1499))-'Opening Balance'!$B$15*(N(INDEX('Daily Sale entry '!$S$1:$S$1501,$J2184-1499))-TRUNC(N(INDEX('Daily Sale entry '!$S$1:$S$1501,$J2184-1499))))))</f>
        <v/>
      </c>
      <c r="G2184" s="6">
        <f>IF($J2184="","",IF($J2184&lt;=1500,N(INDEX('Daily Sale entry '!$AD$1:$AD$1501,$J2184+1)),0))</f>
        <v/>
      </c>
      <c r="H2184" s="6">
        <f>IF($J2184="","",ROUND('Opening Balance'!$B$4+SUM($F$2:F2184)-SUM($G$2:G2184),2))</f>
        <v/>
      </c>
      <c r="J2184" s="21">
        <f>IFERROR(MATCH(ROW()-1,$L$2:$L$3001,0),"")</f>
        <v/>
      </c>
      <c r="K2184" s="34">
        <f>IF(AND('Daily Sale entry '!Q684="Collection 收款",'Daily Sale entry '!R684="Cheque 支票",'Daily Sale entry '!V684&lt;&gt;""),'Daily Sale entry '!V684+ROW()/10000000,"")</f>
        <v/>
      </c>
      <c r="L2184" s="21">
        <f>IF(K2184="","",COUNTIF($K$2:$K$3001,"&lt;"&amp;K2184)+1)</f>
        <v/>
      </c>
    </row>
    <row r="2185">
      <c r="A2185" s="5">
        <f>IF($J2185="","",IF($J2185&lt;=1500,INDEX('Daily Sale entry '!$X$1:$X$1501,$J2185+1),INDEX('Daily Sale entry '!$V$1:$V$1501,$J2185-1499)))</f>
        <v/>
      </c>
      <c r="B2185">
        <f>IF($J2185="","",IF($J2185&lt;=1500,INDEX('Daily Sale entry '!$Y$1:$Y$1501,$J2185+1)&amp;"","Buyer cheque banked 买家支票存入"&amp;IF(INDEX('Daily Sale entry '!$U$1:$U$1501,$J2185-1499)="","", " - "&amp;INDEX('Daily Sale entry '!$U$1:$U$1501,$J2185-1499))))</f>
        <v/>
      </c>
      <c r="C2185">
        <f>IF($J2185="","",IF($J2185&lt;=1500,INDEX('Daily Sale entry '!$Z$1:$Z$1501,$J2185+1)&amp;"","Cheque deposit 支票存入 (buyer 买家)"))</f>
        <v/>
      </c>
      <c r="D2185">
        <f>IF($J2185="","",IF($J2185&lt;=1500,INDEX('Daily Sale entry '!$AA$1:$AA$1501,$J2185+1)&amp;"",INDEX('Daily Sale entry '!$P$1:$P$1501,$J2185-1499)&amp;""))</f>
        <v/>
      </c>
      <c r="E2185">
        <f>IF($J2185="","",IF($J2185&lt;=1500,IF(N(INDEX('Daily Sale entry '!$AB$1:$AB$1501,$J2185+1))=0,"",INDEX('Daily Sale entry '!$AB$1:$AB$1501,$J2185+1)),1))</f>
        <v/>
      </c>
      <c r="F2185" s="6">
        <f>IF($J2185="","",IF($J2185&lt;=1500,N(INDEX('Daily Sale entry '!$AC$1:$AC$1501,$J2185+1))-IF(AND('Opening Balance'!$B$15=1,INDEX('Daily Sale entry '!$Z$1:$Z$1501,$J2185+1)="Online collection 网上收款",INDEX('Daily Sale entry '!$AA$1:$AA$1501,$J2185+1)&lt;&gt;""),N(INDEX('Daily Sale entry '!$AC$1:$AC$1501,$J2185+1))-TRUNC(N(INDEX('Daily Sale entry '!$AC$1:$AC$1501,$J2185+1))),0),N(INDEX('Daily Sale entry '!$S$1:$S$1501,$J2185-1499))-'Opening Balance'!$B$15*(N(INDEX('Daily Sale entry '!$S$1:$S$1501,$J2185-1499))-TRUNC(N(INDEX('Daily Sale entry '!$S$1:$S$1501,$J2185-1499))))))</f>
        <v/>
      </c>
      <c r="G2185" s="6">
        <f>IF($J2185="","",IF($J2185&lt;=1500,N(INDEX('Daily Sale entry '!$AD$1:$AD$1501,$J2185+1)),0))</f>
        <v/>
      </c>
      <c r="H2185" s="6">
        <f>IF($J2185="","",ROUND('Opening Balance'!$B$4+SUM($F$2:F2185)-SUM($G$2:G2185),2))</f>
        <v/>
      </c>
      <c r="J2185" s="21">
        <f>IFERROR(MATCH(ROW()-1,$L$2:$L$3001,0),"")</f>
        <v/>
      </c>
      <c r="K2185" s="34">
        <f>IF(AND('Daily Sale entry '!Q685="Collection 收款",'Daily Sale entry '!R685="Cheque 支票",'Daily Sale entry '!V685&lt;&gt;""),'Daily Sale entry '!V685+ROW()/10000000,"")</f>
        <v/>
      </c>
      <c r="L2185" s="21">
        <f>IF(K2185="","",COUNTIF($K$2:$K$3001,"&lt;"&amp;K2185)+1)</f>
        <v/>
      </c>
    </row>
    <row r="2186">
      <c r="A2186" s="5">
        <f>IF($J2186="","",IF($J2186&lt;=1500,INDEX('Daily Sale entry '!$X$1:$X$1501,$J2186+1),INDEX('Daily Sale entry '!$V$1:$V$1501,$J2186-1499)))</f>
        <v/>
      </c>
      <c r="B2186">
        <f>IF($J2186="","",IF($J2186&lt;=1500,INDEX('Daily Sale entry '!$Y$1:$Y$1501,$J2186+1)&amp;"","Buyer cheque banked 买家支票存入"&amp;IF(INDEX('Daily Sale entry '!$U$1:$U$1501,$J2186-1499)="","", " - "&amp;INDEX('Daily Sale entry '!$U$1:$U$1501,$J2186-1499))))</f>
        <v/>
      </c>
      <c r="C2186">
        <f>IF($J2186="","",IF($J2186&lt;=1500,INDEX('Daily Sale entry '!$Z$1:$Z$1501,$J2186+1)&amp;"","Cheque deposit 支票存入 (buyer 买家)"))</f>
        <v/>
      </c>
      <c r="D2186">
        <f>IF($J2186="","",IF($J2186&lt;=1500,INDEX('Daily Sale entry '!$AA$1:$AA$1501,$J2186+1)&amp;"",INDEX('Daily Sale entry '!$P$1:$P$1501,$J2186-1499)&amp;""))</f>
        <v/>
      </c>
      <c r="E2186">
        <f>IF($J2186="","",IF($J2186&lt;=1500,IF(N(INDEX('Daily Sale entry '!$AB$1:$AB$1501,$J2186+1))=0,"",INDEX('Daily Sale entry '!$AB$1:$AB$1501,$J2186+1)),1))</f>
        <v/>
      </c>
      <c r="F2186" s="6">
        <f>IF($J2186="","",IF($J2186&lt;=1500,N(INDEX('Daily Sale entry '!$AC$1:$AC$1501,$J2186+1))-IF(AND('Opening Balance'!$B$15=1,INDEX('Daily Sale entry '!$Z$1:$Z$1501,$J2186+1)="Online collection 网上收款",INDEX('Daily Sale entry '!$AA$1:$AA$1501,$J2186+1)&lt;&gt;""),N(INDEX('Daily Sale entry '!$AC$1:$AC$1501,$J2186+1))-TRUNC(N(INDEX('Daily Sale entry '!$AC$1:$AC$1501,$J2186+1))),0),N(INDEX('Daily Sale entry '!$S$1:$S$1501,$J2186-1499))-'Opening Balance'!$B$15*(N(INDEX('Daily Sale entry '!$S$1:$S$1501,$J2186-1499))-TRUNC(N(INDEX('Daily Sale entry '!$S$1:$S$1501,$J2186-1499))))))</f>
        <v/>
      </c>
      <c r="G2186" s="6">
        <f>IF($J2186="","",IF($J2186&lt;=1500,N(INDEX('Daily Sale entry '!$AD$1:$AD$1501,$J2186+1)),0))</f>
        <v/>
      </c>
      <c r="H2186" s="6">
        <f>IF($J2186="","",ROUND('Opening Balance'!$B$4+SUM($F$2:F2186)-SUM($G$2:G2186),2))</f>
        <v/>
      </c>
      <c r="J2186" s="21">
        <f>IFERROR(MATCH(ROW()-1,$L$2:$L$3001,0),"")</f>
        <v/>
      </c>
      <c r="K2186" s="34">
        <f>IF(AND('Daily Sale entry '!Q686="Collection 收款",'Daily Sale entry '!R686="Cheque 支票",'Daily Sale entry '!V686&lt;&gt;""),'Daily Sale entry '!V686+ROW()/10000000,"")</f>
        <v/>
      </c>
      <c r="L2186" s="21">
        <f>IF(K2186="","",COUNTIF($K$2:$K$3001,"&lt;"&amp;K2186)+1)</f>
        <v/>
      </c>
    </row>
    <row r="2187">
      <c r="A2187" s="5">
        <f>IF($J2187="","",IF($J2187&lt;=1500,INDEX('Daily Sale entry '!$X$1:$X$1501,$J2187+1),INDEX('Daily Sale entry '!$V$1:$V$1501,$J2187-1499)))</f>
        <v/>
      </c>
      <c r="B2187">
        <f>IF($J2187="","",IF($J2187&lt;=1500,INDEX('Daily Sale entry '!$Y$1:$Y$1501,$J2187+1)&amp;"","Buyer cheque banked 买家支票存入"&amp;IF(INDEX('Daily Sale entry '!$U$1:$U$1501,$J2187-1499)="","", " - "&amp;INDEX('Daily Sale entry '!$U$1:$U$1501,$J2187-1499))))</f>
        <v/>
      </c>
      <c r="C2187">
        <f>IF($J2187="","",IF($J2187&lt;=1500,INDEX('Daily Sale entry '!$Z$1:$Z$1501,$J2187+1)&amp;"","Cheque deposit 支票存入 (buyer 买家)"))</f>
        <v/>
      </c>
      <c r="D2187">
        <f>IF($J2187="","",IF($J2187&lt;=1500,INDEX('Daily Sale entry '!$AA$1:$AA$1501,$J2187+1)&amp;"",INDEX('Daily Sale entry '!$P$1:$P$1501,$J2187-1499)&amp;""))</f>
        <v/>
      </c>
      <c r="E2187">
        <f>IF($J2187="","",IF($J2187&lt;=1500,IF(N(INDEX('Daily Sale entry '!$AB$1:$AB$1501,$J2187+1))=0,"",INDEX('Daily Sale entry '!$AB$1:$AB$1501,$J2187+1)),1))</f>
        <v/>
      </c>
      <c r="F2187" s="6">
        <f>IF($J2187="","",IF($J2187&lt;=1500,N(INDEX('Daily Sale entry '!$AC$1:$AC$1501,$J2187+1))-IF(AND('Opening Balance'!$B$15=1,INDEX('Daily Sale entry '!$Z$1:$Z$1501,$J2187+1)="Online collection 网上收款",INDEX('Daily Sale entry '!$AA$1:$AA$1501,$J2187+1)&lt;&gt;""),N(INDEX('Daily Sale entry '!$AC$1:$AC$1501,$J2187+1))-TRUNC(N(INDEX('Daily Sale entry '!$AC$1:$AC$1501,$J2187+1))),0),N(INDEX('Daily Sale entry '!$S$1:$S$1501,$J2187-1499))-'Opening Balance'!$B$15*(N(INDEX('Daily Sale entry '!$S$1:$S$1501,$J2187-1499))-TRUNC(N(INDEX('Daily Sale entry '!$S$1:$S$1501,$J2187-1499))))))</f>
        <v/>
      </c>
      <c r="G2187" s="6">
        <f>IF($J2187="","",IF($J2187&lt;=1500,N(INDEX('Daily Sale entry '!$AD$1:$AD$1501,$J2187+1)),0))</f>
        <v/>
      </c>
      <c r="H2187" s="6">
        <f>IF($J2187="","",ROUND('Opening Balance'!$B$4+SUM($F$2:F2187)-SUM($G$2:G2187),2))</f>
        <v/>
      </c>
      <c r="J2187" s="21">
        <f>IFERROR(MATCH(ROW()-1,$L$2:$L$3001,0),"")</f>
        <v/>
      </c>
      <c r="K2187" s="34">
        <f>IF(AND('Daily Sale entry '!Q687="Collection 收款",'Daily Sale entry '!R687="Cheque 支票",'Daily Sale entry '!V687&lt;&gt;""),'Daily Sale entry '!V687+ROW()/10000000,"")</f>
        <v/>
      </c>
      <c r="L2187" s="21">
        <f>IF(K2187="","",COUNTIF($K$2:$K$3001,"&lt;"&amp;K2187)+1)</f>
        <v/>
      </c>
    </row>
    <row r="2188">
      <c r="A2188" s="5">
        <f>IF($J2188="","",IF($J2188&lt;=1500,INDEX('Daily Sale entry '!$X$1:$X$1501,$J2188+1),INDEX('Daily Sale entry '!$V$1:$V$1501,$J2188-1499)))</f>
        <v/>
      </c>
      <c r="B2188">
        <f>IF($J2188="","",IF($J2188&lt;=1500,INDEX('Daily Sale entry '!$Y$1:$Y$1501,$J2188+1)&amp;"","Buyer cheque banked 买家支票存入"&amp;IF(INDEX('Daily Sale entry '!$U$1:$U$1501,$J2188-1499)="","", " - "&amp;INDEX('Daily Sale entry '!$U$1:$U$1501,$J2188-1499))))</f>
        <v/>
      </c>
      <c r="C2188">
        <f>IF($J2188="","",IF($J2188&lt;=1500,INDEX('Daily Sale entry '!$Z$1:$Z$1501,$J2188+1)&amp;"","Cheque deposit 支票存入 (buyer 买家)"))</f>
        <v/>
      </c>
      <c r="D2188">
        <f>IF($J2188="","",IF($J2188&lt;=1500,INDEX('Daily Sale entry '!$AA$1:$AA$1501,$J2188+1)&amp;"",INDEX('Daily Sale entry '!$P$1:$P$1501,$J2188-1499)&amp;""))</f>
        <v/>
      </c>
      <c r="E2188">
        <f>IF($J2188="","",IF($J2188&lt;=1500,IF(N(INDEX('Daily Sale entry '!$AB$1:$AB$1501,$J2188+1))=0,"",INDEX('Daily Sale entry '!$AB$1:$AB$1501,$J2188+1)),1))</f>
        <v/>
      </c>
      <c r="F2188" s="6">
        <f>IF($J2188="","",IF($J2188&lt;=1500,N(INDEX('Daily Sale entry '!$AC$1:$AC$1501,$J2188+1))-IF(AND('Opening Balance'!$B$15=1,INDEX('Daily Sale entry '!$Z$1:$Z$1501,$J2188+1)="Online collection 网上收款",INDEX('Daily Sale entry '!$AA$1:$AA$1501,$J2188+1)&lt;&gt;""),N(INDEX('Daily Sale entry '!$AC$1:$AC$1501,$J2188+1))-TRUNC(N(INDEX('Daily Sale entry '!$AC$1:$AC$1501,$J2188+1))),0),N(INDEX('Daily Sale entry '!$S$1:$S$1501,$J2188-1499))-'Opening Balance'!$B$15*(N(INDEX('Daily Sale entry '!$S$1:$S$1501,$J2188-1499))-TRUNC(N(INDEX('Daily Sale entry '!$S$1:$S$1501,$J2188-1499))))))</f>
        <v/>
      </c>
      <c r="G2188" s="6">
        <f>IF($J2188="","",IF($J2188&lt;=1500,N(INDEX('Daily Sale entry '!$AD$1:$AD$1501,$J2188+1)),0))</f>
        <v/>
      </c>
      <c r="H2188" s="6">
        <f>IF($J2188="","",ROUND('Opening Balance'!$B$4+SUM($F$2:F2188)-SUM($G$2:G2188),2))</f>
        <v/>
      </c>
      <c r="J2188" s="21">
        <f>IFERROR(MATCH(ROW()-1,$L$2:$L$3001,0),"")</f>
        <v/>
      </c>
      <c r="K2188" s="34">
        <f>IF(AND('Daily Sale entry '!Q688="Collection 收款",'Daily Sale entry '!R688="Cheque 支票",'Daily Sale entry '!V688&lt;&gt;""),'Daily Sale entry '!V688+ROW()/10000000,"")</f>
        <v/>
      </c>
      <c r="L2188" s="21">
        <f>IF(K2188="","",COUNTIF($K$2:$K$3001,"&lt;"&amp;K2188)+1)</f>
        <v/>
      </c>
    </row>
    <row r="2189">
      <c r="A2189" s="5">
        <f>IF($J2189="","",IF($J2189&lt;=1500,INDEX('Daily Sale entry '!$X$1:$X$1501,$J2189+1),INDEX('Daily Sale entry '!$V$1:$V$1501,$J2189-1499)))</f>
        <v/>
      </c>
      <c r="B2189">
        <f>IF($J2189="","",IF($J2189&lt;=1500,INDEX('Daily Sale entry '!$Y$1:$Y$1501,$J2189+1)&amp;"","Buyer cheque banked 买家支票存入"&amp;IF(INDEX('Daily Sale entry '!$U$1:$U$1501,$J2189-1499)="","", " - "&amp;INDEX('Daily Sale entry '!$U$1:$U$1501,$J2189-1499))))</f>
        <v/>
      </c>
      <c r="C2189">
        <f>IF($J2189="","",IF($J2189&lt;=1500,INDEX('Daily Sale entry '!$Z$1:$Z$1501,$J2189+1)&amp;"","Cheque deposit 支票存入 (buyer 买家)"))</f>
        <v/>
      </c>
      <c r="D2189">
        <f>IF($J2189="","",IF($J2189&lt;=1500,INDEX('Daily Sale entry '!$AA$1:$AA$1501,$J2189+1)&amp;"",INDEX('Daily Sale entry '!$P$1:$P$1501,$J2189-1499)&amp;""))</f>
        <v/>
      </c>
      <c r="E2189">
        <f>IF($J2189="","",IF($J2189&lt;=1500,IF(N(INDEX('Daily Sale entry '!$AB$1:$AB$1501,$J2189+1))=0,"",INDEX('Daily Sale entry '!$AB$1:$AB$1501,$J2189+1)),1))</f>
        <v/>
      </c>
      <c r="F2189" s="6">
        <f>IF($J2189="","",IF($J2189&lt;=1500,N(INDEX('Daily Sale entry '!$AC$1:$AC$1501,$J2189+1))-IF(AND('Opening Balance'!$B$15=1,INDEX('Daily Sale entry '!$Z$1:$Z$1501,$J2189+1)="Online collection 网上收款",INDEX('Daily Sale entry '!$AA$1:$AA$1501,$J2189+1)&lt;&gt;""),N(INDEX('Daily Sale entry '!$AC$1:$AC$1501,$J2189+1))-TRUNC(N(INDEX('Daily Sale entry '!$AC$1:$AC$1501,$J2189+1))),0),N(INDEX('Daily Sale entry '!$S$1:$S$1501,$J2189-1499))-'Opening Balance'!$B$15*(N(INDEX('Daily Sale entry '!$S$1:$S$1501,$J2189-1499))-TRUNC(N(INDEX('Daily Sale entry '!$S$1:$S$1501,$J2189-1499))))))</f>
        <v/>
      </c>
      <c r="G2189" s="6">
        <f>IF($J2189="","",IF($J2189&lt;=1500,N(INDEX('Daily Sale entry '!$AD$1:$AD$1501,$J2189+1)),0))</f>
        <v/>
      </c>
      <c r="H2189" s="6">
        <f>IF($J2189="","",ROUND('Opening Balance'!$B$4+SUM($F$2:F2189)-SUM($G$2:G2189),2))</f>
        <v/>
      </c>
      <c r="J2189" s="21">
        <f>IFERROR(MATCH(ROW()-1,$L$2:$L$3001,0),"")</f>
        <v/>
      </c>
      <c r="K2189" s="34">
        <f>IF(AND('Daily Sale entry '!Q689="Collection 收款",'Daily Sale entry '!R689="Cheque 支票",'Daily Sale entry '!V689&lt;&gt;""),'Daily Sale entry '!V689+ROW()/10000000,"")</f>
        <v/>
      </c>
      <c r="L2189" s="21">
        <f>IF(K2189="","",COUNTIF($K$2:$K$3001,"&lt;"&amp;K2189)+1)</f>
        <v/>
      </c>
    </row>
    <row r="2190">
      <c r="A2190" s="5">
        <f>IF($J2190="","",IF($J2190&lt;=1500,INDEX('Daily Sale entry '!$X$1:$X$1501,$J2190+1),INDEX('Daily Sale entry '!$V$1:$V$1501,$J2190-1499)))</f>
        <v/>
      </c>
      <c r="B2190">
        <f>IF($J2190="","",IF($J2190&lt;=1500,INDEX('Daily Sale entry '!$Y$1:$Y$1501,$J2190+1)&amp;"","Buyer cheque banked 买家支票存入"&amp;IF(INDEX('Daily Sale entry '!$U$1:$U$1501,$J2190-1499)="","", " - "&amp;INDEX('Daily Sale entry '!$U$1:$U$1501,$J2190-1499))))</f>
        <v/>
      </c>
      <c r="C2190">
        <f>IF($J2190="","",IF($J2190&lt;=1500,INDEX('Daily Sale entry '!$Z$1:$Z$1501,$J2190+1)&amp;"","Cheque deposit 支票存入 (buyer 买家)"))</f>
        <v/>
      </c>
      <c r="D2190">
        <f>IF($J2190="","",IF($J2190&lt;=1500,INDEX('Daily Sale entry '!$AA$1:$AA$1501,$J2190+1)&amp;"",INDEX('Daily Sale entry '!$P$1:$P$1501,$J2190-1499)&amp;""))</f>
        <v/>
      </c>
      <c r="E2190">
        <f>IF($J2190="","",IF($J2190&lt;=1500,IF(N(INDEX('Daily Sale entry '!$AB$1:$AB$1501,$J2190+1))=0,"",INDEX('Daily Sale entry '!$AB$1:$AB$1501,$J2190+1)),1))</f>
        <v/>
      </c>
      <c r="F2190" s="6">
        <f>IF($J2190="","",IF($J2190&lt;=1500,N(INDEX('Daily Sale entry '!$AC$1:$AC$1501,$J2190+1))-IF(AND('Opening Balance'!$B$15=1,INDEX('Daily Sale entry '!$Z$1:$Z$1501,$J2190+1)="Online collection 网上收款",INDEX('Daily Sale entry '!$AA$1:$AA$1501,$J2190+1)&lt;&gt;""),N(INDEX('Daily Sale entry '!$AC$1:$AC$1501,$J2190+1))-TRUNC(N(INDEX('Daily Sale entry '!$AC$1:$AC$1501,$J2190+1))),0),N(INDEX('Daily Sale entry '!$S$1:$S$1501,$J2190-1499))-'Opening Balance'!$B$15*(N(INDEX('Daily Sale entry '!$S$1:$S$1501,$J2190-1499))-TRUNC(N(INDEX('Daily Sale entry '!$S$1:$S$1501,$J2190-1499))))))</f>
        <v/>
      </c>
      <c r="G2190" s="6">
        <f>IF($J2190="","",IF($J2190&lt;=1500,N(INDEX('Daily Sale entry '!$AD$1:$AD$1501,$J2190+1)),0))</f>
        <v/>
      </c>
      <c r="H2190" s="6">
        <f>IF($J2190="","",ROUND('Opening Balance'!$B$4+SUM($F$2:F2190)-SUM($G$2:G2190),2))</f>
        <v/>
      </c>
      <c r="J2190" s="21">
        <f>IFERROR(MATCH(ROW()-1,$L$2:$L$3001,0),"")</f>
        <v/>
      </c>
      <c r="K2190" s="34">
        <f>IF(AND('Daily Sale entry '!Q690="Collection 收款",'Daily Sale entry '!R690="Cheque 支票",'Daily Sale entry '!V690&lt;&gt;""),'Daily Sale entry '!V690+ROW()/10000000,"")</f>
        <v/>
      </c>
      <c r="L2190" s="21">
        <f>IF(K2190="","",COUNTIF($K$2:$K$3001,"&lt;"&amp;K2190)+1)</f>
        <v/>
      </c>
    </row>
    <row r="2191">
      <c r="A2191" s="5">
        <f>IF($J2191="","",IF($J2191&lt;=1500,INDEX('Daily Sale entry '!$X$1:$X$1501,$J2191+1),INDEX('Daily Sale entry '!$V$1:$V$1501,$J2191-1499)))</f>
        <v/>
      </c>
      <c r="B2191">
        <f>IF($J2191="","",IF($J2191&lt;=1500,INDEX('Daily Sale entry '!$Y$1:$Y$1501,$J2191+1)&amp;"","Buyer cheque banked 买家支票存入"&amp;IF(INDEX('Daily Sale entry '!$U$1:$U$1501,$J2191-1499)="","", " - "&amp;INDEX('Daily Sale entry '!$U$1:$U$1501,$J2191-1499))))</f>
        <v/>
      </c>
      <c r="C2191">
        <f>IF($J2191="","",IF($J2191&lt;=1500,INDEX('Daily Sale entry '!$Z$1:$Z$1501,$J2191+1)&amp;"","Cheque deposit 支票存入 (buyer 买家)"))</f>
        <v/>
      </c>
      <c r="D2191">
        <f>IF($J2191="","",IF($J2191&lt;=1500,INDEX('Daily Sale entry '!$AA$1:$AA$1501,$J2191+1)&amp;"",INDEX('Daily Sale entry '!$P$1:$P$1501,$J2191-1499)&amp;""))</f>
        <v/>
      </c>
      <c r="E2191">
        <f>IF($J2191="","",IF($J2191&lt;=1500,IF(N(INDEX('Daily Sale entry '!$AB$1:$AB$1501,$J2191+1))=0,"",INDEX('Daily Sale entry '!$AB$1:$AB$1501,$J2191+1)),1))</f>
        <v/>
      </c>
      <c r="F2191" s="6">
        <f>IF($J2191="","",IF($J2191&lt;=1500,N(INDEX('Daily Sale entry '!$AC$1:$AC$1501,$J2191+1))-IF(AND('Opening Balance'!$B$15=1,INDEX('Daily Sale entry '!$Z$1:$Z$1501,$J2191+1)="Online collection 网上收款",INDEX('Daily Sale entry '!$AA$1:$AA$1501,$J2191+1)&lt;&gt;""),N(INDEX('Daily Sale entry '!$AC$1:$AC$1501,$J2191+1))-TRUNC(N(INDEX('Daily Sale entry '!$AC$1:$AC$1501,$J2191+1))),0),N(INDEX('Daily Sale entry '!$S$1:$S$1501,$J2191-1499))-'Opening Balance'!$B$15*(N(INDEX('Daily Sale entry '!$S$1:$S$1501,$J2191-1499))-TRUNC(N(INDEX('Daily Sale entry '!$S$1:$S$1501,$J2191-1499))))))</f>
        <v/>
      </c>
      <c r="G2191" s="6">
        <f>IF($J2191="","",IF($J2191&lt;=1500,N(INDEX('Daily Sale entry '!$AD$1:$AD$1501,$J2191+1)),0))</f>
        <v/>
      </c>
      <c r="H2191" s="6">
        <f>IF($J2191="","",ROUND('Opening Balance'!$B$4+SUM($F$2:F2191)-SUM($G$2:G2191),2))</f>
        <v/>
      </c>
      <c r="J2191" s="21">
        <f>IFERROR(MATCH(ROW()-1,$L$2:$L$3001,0),"")</f>
        <v/>
      </c>
      <c r="K2191" s="34">
        <f>IF(AND('Daily Sale entry '!Q691="Collection 收款",'Daily Sale entry '!R691="Cheque 支票",'Daily Sale entry '!V691&lt;&gt;""),'Daily Sale entry '!V691+ROW()/10000000,"")</f>
        <v/>
      </c>
      <c r="L2191" s="21">
        <f>IF(K2191="","",COUNTIF($K$2:$K$3001,"&lt;"&amp;K2191)+1)</f>
        <v/>
      </c>
    </row>
    <row r="2192">
      <c r="A2192" s="5">
        <f>IF($J2192="","",IF($J2192&lt;=1500,INDEX('Daily Sale entry '!$X$1:$X$1501,$J2192+1),INDEX('Daily Sale entry '!$V$1:$V$1501,$J2192-1499)))</f>
        <v/>
      </c>
      <c r="B2192">
        <f>IF($J2192="","",IF($J2192&lt;=1500,INDEX('Daily Sale entry '!$Y$1:$Y$1501,$J2192+1)&amp;"","Buyer cheque banked 买家支票存入"&amp;IF(INDEX('Daily Sale entry '!$U$1:$U$1501,$J2192-1499)="","", " - "&amp;INDEX('Daily Sale entry '!$U$1:$U$1501,$J2192-1499))))</f>
        <v/>
      </c>
      <c r="C2192">
        <f>IF($J2192="","",IF($J2192&lt;=1500,INDEX('Daily Sale entry '!$Z$1:$Z$1501,$J2192+1)&amp;"","Cheque deposit 支票存入 (buyer 买家)"))</f>
        <v/>
      </c>
      <c r="D2192">
        <f>IF($J2192="","",IF($J2192&lt;=1500,INDEX('Daily Sale entry '!$AA$1:$AA$1501,$J2192+1)&amp;"",INDEX('Daily Sale entry '!$P$1:$P$1501,$J2192-1499)&amp;""))</f>
        <v/>
      </c>
      <c r="E2192">
        <f>IF($J2192="","",IF($J2192&lt;=1500,IF(N(INDEX('Daily Sale entry '!$AB$1:$AB$1501,$J2192+1))=0,"",INDEX('Daily Sale entry '!$AB$1:$AB$1501,$J2192+1)),1))</f>
        <v/>
      </c>
      <c r="F2192" s="6">
        <f>IF($J2192="","",IF($J2192&lt;=1500,N(INDEX('Daily Sale entry '!$AC$1:$AC$1501,$J2192+1))-IF(AND('Opening Balance'!$B$15=1,INDEX('Daily Sale entry '!$Z$1:$Z$1501,$J2192+1)="Online collection 网上收款",INDEX('Daily Sale entry '!$AA$1:$AA$1501,$J2192+1)&lt;&gt;""),N(INDEX('Daily Sale entry '!$AC$1:$AC$1501,$J2192+1))-TRUNC(N(INDEX('Daily Sale entry '!$AC$1:$AC$1501,$J2192+1))),0),N(INDEX('Daily Sale entry '!$S$1:$S$1501,$J2192-1499))-'Opening Balance'!$B$15*(N(INDEX('Daily Sale entry '!$S$1:$S$1501,$J2192-1499))-TRUNC(N(INDEX('Daily Sale entry '!$S$1:$S$1501,$J2192-1499))))))</f>
        <v/>
      </c>
      <c r="G2192" s="6">
        <f>IF($J2192="","",IF($J2192&lt;=1500,N(INDEX('Daily Sale entry '!$AD$1:$AD$1501,$J2192+1)),0))</f>
        <v/>
      </c>
      <c r="H2192" s="6">
        <f>IF($J2192="","",ROUND('Opening Balance'!$B$4+SUM($F$2:F2192)-SUM($G$2:G2192),2))</f>
        <v/>
      </c>
      <c r="J2192" s="21">
        <f>IFERROR(MATCH(ROW()-1,$L$2:$L$3001,0),"")</f>
        <v/>
      </c>
      <c r="K2192" s="34">
        <f>IF(AND('Daily Sale entry '!Q692="Collection 收款",'Daily Sale entry '!R692="Cheque 支票",'Daily Sale entry '!V692&lt;&gt;""),'Daily Sale entry '!V692+ROW()/10000000,"")</f>
        <v/>
      </c>
      <c r="L2192" s="21">
        <f>IF(K2192="","",COUNTIF($K$2:$K$3001,"&lt;"&amp;K2192)+1)</f>
        <v/>
      </c>
    </row>
    <row r="2193">
      <c r="A2193" s="5">
        <f>IF($J2193="","",IF($J2193&lt;=1500,INDEX('Daily Sale entry '!$X$1:$X$1501,$J2193+1),INDEX('Daily Sale entry '!$V$1:$V$1501,$J2193-1499)))</f>
        <v/>
      </c>
      <c r="B2193">
        <f>IF($J2193="","",IF($J2193&lt;=1500,INDEX('Daily Sale entry '!$Y$1:$Y$1501,$J2193+1)&amp;"","Buyer cheque banked 买家支票存入"&amp;IF(INDEX('Daily Sale entry '!$U$1:$U$1501,$J2193-1499)="","", " - "&amp;INDEX('Daily Sale entry '!$U$1:$U$1501,$J2193-1499))))</f>
        <v/>
      </c>
      <c r="C2193">
        <f>IF($J2193="","",IF($J2193&lt;=1500,INDEX('Daily Sale entry '!$Z$1:$Z$1501,$J2193+1)&amp;"","Cheque deposit 支票存入 (buyer 买家)"))</f>
        <v/>
      </c>
      <c r="D2193">
        <f>IF($J2193="","",IF($J2193&lt;=1500,INDEX('Daily Sale entry '!$AA$1:$AA$1501,$J2193+1)&amp;"",INDEX('Daily Sale entry '!$P$1:$P$1501,$J2193-1499)&amp;""))</f>
        <v/>
      </c>
      <c r="E2193">
        <f>IF($J2193="","",IF($J2193&lt;=1500,IF(N(INDEX('Daily Sale entry '!$AB$1:$AB$1501,$J2193+1))=0,"",INDEX('Daily Sale entry '!$AB$1:$AB$1501,$J2193+1)),1))</f>
        <v/>
      </c>
      <c r="F2193" s="6">
        <f>IF($J2193="","",IF($J2193&lt;=1500,N(INDEX('Daily Sale entry '!$AC$1:$AC$1501,$J2193+1))-IF(AND('Opening Balance'!$B$15=1,INDEX('Daily Sale entry '!$Z$1:$Z$1501,$J2193+1)="Online collection 网上收款",INDEX('Daily Sale entry '!$AA$1:$AA$1501,$J2193+1)&lt;&gt;""),N(INDEX('Daily Sale entry '!$AC$1:$AC$1501,$J2193+1))-TRUNC(N(INDEX('Daily Sale entry '!$AC$1:$AC$1501,$J2193+1))),0),N(INDEX('Daily Sale entry '!$S$1:$S$1501,$J2193-1499))-'Opening Balance'!$B$15*(N(INDEX('Daily Sale entry '!$S$1:$S$1501,$J2193-1499))-TRUNC(N(INDEX('Daily Sale entry '!$S$1:$S$1501,$J2193-1499))))))</f>
        <v/>
      </c>
      <c r="G2193" s="6">
        <f>IF($J2193="","",IF($J2193&lt;=1500,N(INDEX('Daily Sale entry '!$AD$1:$AD$1501,$J2193+1)),0))</f>
        <v/>
      </c>
      <c r="H2193" s="6">
        <f>IF($J2193="","",ROUND('Opening Balance'!$B$4+SUM($F$2:F2193)-SUM($G$2:G2193),2))</f>
        <v/>
      </c>
      <c r="J2193" s="21">
        <f>IFERROR(MATCH(ROW()-1,$L$2:$L$3001,0),"")</f>
        <v/>
      </c>
      <c r="K2193" s="34">
        <f>IF(AND('Daily Sale entry '!Q693="Collection 收款",'Daily Sale entry '!R693="Cheque 支票",'Daily Sale entry '!V693&lt;&gt;""),'Daily Sale entry '!V693+ROW()/10000000,"")</f>
        <v/>
      </c>
      <c r="L2193" s="21">
        <f>IF(K2193="","",COUNTIF($K$2:$K$3001,"&lt;"&amp;K2193)+1)</f>
        <v/>
      </c>
    </row>
    <row r="2194">
      <c r="A2194" s="5">
        <f>IF($J2194="","",IF($J2194&lt;=1500,INDEX('Daily Sale entry '!$X$1:$X$1501,$J2194+1),INDEX('Daily Sale entry '!$V$1:$V$1501,$J2194-1499)))</f>
        <v/>
      </c>
      <c r="B2194">
        <f>IF($J2194="","",IF($J2194&lt;=1500,INDEX('Daily Sale entry '!$Y$1:$Y$1501,$J2194+1)&amp;"","Buyer cheque banked 买家支票存入"&amp;IF(INDEX('Daily Sale entry '!$U$1:$U$1501,$J2194-1499)="","", " - "&amp;INDEX('Daily Sale entry '!$U$1:$U$1501,$J2194-1499))))</f>
        <v/>
      </c>
      <c r="C2194">
        <f>IF($J2194="","",IF($J2194&lt;=1500,INDEX('Daily Sale entry '!$Z$1:$Z$1501,$J2194+1)&amp;"","Cheque deposit 支票存入 (buyer 买家)"))</f>
        <v/>
      </c>
      <c r="D2194">
        <f>IF($J2194="","",IF($J2194&lt;=1500,INDEX('Daily Sale entry '!$AA$1:$AA$1501,$J2194+1)&amp;"",INDEX('Daily Sale entry '!$P$1:$P$1501,$J2194-1499)&amp;""))</f>
        <v/>
      </c>
      <c r="E2194">
        <f>IF($J2194="","",IF($J2194&lt;=1500,IF(N(INDEX('Daily Sale entry '!$AB$1:$AB$1501,$J2194+1))=0,"",INDEX('Daily Sale entry '!$AB$1:$AB$1501,$J2194+1)),1))</f>
        <v/>
      </c>
      <c r="F2194" s="6">
        <f>IF($J2194="","",IF($J2194&lt;=1500,N(INDEX('Daily Sale entry '!$AC$1:$AC$1501,$J2194+1))-IF(AND('Opening Balance'!$B$15=1,INDEX('Daily Sale entry '!$Z$1:$Z$1501,$J2194+1)="Online collection 网上收款",INDEX('Daily Sale entry '!$AA$1:$AA$1501,$J2194+1)&lt;&gt;""),N(INDEX('Daily Sale entry '!$AC$1:$AC$1501,$J2194+1))-TRUNC(N(INDEX('Daily Sale entry '!$AC$1:$AC$1501,$J2194+1))),0),N(INDEX('Daily Sale entry '!$S$1:$S$1501,$J2194-1499))-'Opening Balance'!$B$15*(N(INDEX('Daily Sale entry '!$S$1:$S$1501,$J2194-1499))-TRUNC(N(INDEX('Daily Sale entry '!$S$1:$S$1501,$J2194-1499))))))</f>
        <v/>
      </c>
      <c r="G2194" s="6">
        <f>IF($J2194="","",IF($J2194&lt;=1500,N(INDEX('Daily Sale entry '!$AD$1:$AD$1501,$J2194+1)),0))</f>
        <v/>
      </c>
      <c r="H2194" s="6">
        <f>IF($J2194="","",ROUND('Opening Balance'!$B$4+SUM($F$2:F2194)-SUM($G$2:G2194),2))</f>
        <v/>
      </c>
      <c r="J2194" s="21">
        <f>IFERROR(MATCH(ROW()-1,$L$2:$L$3001,0),"")</f>
        <v/>
      </c>
      <c r="K2194" s="34">
        <f>IF(AND('Daily Sale entry '!Q694="Collection 收款",'Daily Sale entry '!R694="Cheque 支票",'Daily Sale entry '!V694&lt;&gt;""),'Daily Sale entry '!V694+ROW()/10000000,"")</f>
        <v/>
      </c>
      <c r="L2194" s="21">
        <f>IF(K2194="","",COUNTIF($K$2:$K$3001,"&lt;"&amp;K2194)+1)</f>
        <v/>
      </c>
    </row>
    <row r="2195">
      <c r="A2195" s="5">
        <f>IF($J2195="","",IF($J2195&lt;=1500,INDEX('Daily Sale entry '!$X$1:$X$1501,$J2195+1),INDEX('Daily Sale entry '!$V$1:$V$1501,$J2195-1499)))</f>
        <v/>
      </c>
      <c r="B2195">
        <f>IF($J2195="","",IF($J2195&lt;=1500,INDEX('Daily Sale entry '!$Y$1:$Y$1501,$J2195+1)&amp;"","Buyer cheque banked 买家支票存入"&amp;IF(INDEX('Daily Sale entry '!$U$1:$U$1501,$J2195-1499)="","", " - "&amp;INDEX('Daily Sale entry '!$U$1:$U$1501,$J2195-1499))))</f>
        <v/>
      </c>
      <c r="C2195">
        <f>IF($J2195="","",IF($J2195&lt;=1500,INDEX('Daily Sale entry '!$Z$1:$Z$1501,$J2195+1)&amp;"","Cheque deposit 支票存入 (buyer 买家)"))</f>
        <v/>
      </c>
      <c r="D2195">
        <f>IF($J2195="","",IF($J2195&lt;=1500,INDEX('Daily Sale entry '!$AA$1:$AA$1501,$J2195+1)&amp;"",INDEX('Daily Sale entry '!$P$1:$P$1501,$J2195-1499)&amp;""))</f>
        <v/>
      </c>
      <c r="E2195">
        <f>IF($J2195="","",IF($J2195&lt;=1500,IF(N(INDEX('Daily Sale entry '!$AB$1:$AB$1501,$J2195+1))=0,"",INDEX('Daily Sale entry '!$AB$1:$AB$1501,$J2195+1)),1))</f>
        <v/>
      </c>
      <c r="F2195" s="6">
        <f>IF($J2195="","",IF($J2195&lt;=1500,N(INDEX('Daily Sale entry '!$AC$1:$AC$1501,$J2195+1))-IF(AND('Opening Balance'!$B$15=1,INDEX('Daily Sale entry '!$Z$1:$Z$1501,$J2195+1)="Online collection 网上收款",INDEX('Daily Sale entry '!$AA$1:$AA$1501,$J2195+1)&lt;&gt;""),N(INDEX('Daily Sale entry '!$AC$1:$AC$1501,$J2195+1))-TRUNC(N(INDEX('Daily Sale entry '!$AC$1:$AC$1501,$J2195+1))),0),N(INDEX('Daily Sale entry '!$S$1:$S$1501,$J2195-1499))-'Opening Balance'!$B$15*(N(INDEX('Daily Sale entry '!$S$1:$S$1501,$J2195-1499))-TRUNC(N(INDEX('Daily Sale entry '!$S$1:$S$1501,$J2195-1499))))))</f>
        <v/>
      </c>
      <c r="G2195" s="6">
        <f>IF($J2195="","",IF($J2195&lt;=1500,N(INDEX('Daily Sale entry '!$AD$1:$AD$1501,$J2195+1)),0))</f>
        <v/>
      </c>
      <c r="H2195" s="6">
        <f>IF($J2195="","",ROUND('Opening Balance'!$B$4+SUM($F$2:F2195)-SUM($G$2:G2195),2))</f>
        <v/>
      </c>
      <c r="J2195" s="21">
        <f>IFERROR(MATCH(ROW()-1,$L$2:$L$3001,0),"")</f>
        <v/>
      </c>
      <c r="K2195" s="34">
        <f>IF(AND('Daily Sale entry '!Q695="Collection 收款",'Daily Sale entry '!R695="Cheque 支票",'Daily Sale entry '!V695&lt;&gt;""),'Daily Sale entry '!V695+ROW()/10000000,"")</f>
        <v/>
      </c>
      <c r="L2195" s="21">
        <f>IF(K2195="","",COUNTIF($K$2:$K$3001,"&lt;"&amp;K2195)+1)</f>
        <v/>
      </c>
    </row>
    <row r="2196">
      <c r="A2196" s="5">
        <f>IF($J2196="","",IF($J2196&lt;=1500,INDEX('Daily Sale entry '!$X$1:$X$1501,$J2196+1),INDEX('Daily Sale entry '!$V$1:$V$1501,$J2196-1499)))</f>
        <v/>
      </c>
      <c r="B2196">
        <f>IF($J2196="","",IF($J2196&lt;=1500,INDEX('Daily Sale entry '!$Y$1:$Y$1501,$J2196+1)&amp;"","Buyer cheque banked 买家支票存入"&amp;IF(INDEX('Daily Sale entry '!$U$1:$U$1501,$J2196-1499)="","", " - "&amp;INDEX('Daily Sale entry '!$U$1:$U$1501,$J2196-1499))))</f>
        <v/>
      </c>
      <c r="C2196">
        <f>IF($J2196="","",IF($J2196&lt;=1500,INDEX('Daily Sale entry '!$Z$1:$Z$1501,$J2196+1)&amp;"","Cheque deposit 支票存入 (buyer 买家)"))</f>
        <v/>
      </c>
      <c r="D2196">
        <f>IF($J2196="","",IF($J2196&lt;=1500,INDEX('Daily Sale entry '!$AA$1:$AA$1501,$J2196+1)&amp;"",INDEX('Daily Sale entry '!$P$1:$P$1501,$J2196-1499)&amp;""))</f>
        <v/>
      </c>
      <c r="E2196">
        <f>IF($J2196="","",IF($J2196&lt;=1500,IF(N(INDEX('Daily Sale entry '!$AB$1:$AB$1501,$J2196+1))=0,"",INDEX('Daily Sale entry '!$AB$1:$AB$1501,$J2196+1)),1))</f>
        <v/>
      </c>
      <c r="F2196" s="6">
        <f>IF($J2196="","",IF($J2196&lt;=1500,N(INDEX('Daily Sale entry '!$AC$1:$AC$1501,$J2196+1))-IF(AND('Opening Balance'!$B$15=1,INDEX('Daily Sale entry '!$Z$1:$Z$1501,$J2196+1)="Online collection 网上收款",INDEX('Daily Sale entry '!$AA$1:$AA$1501,$J2196+1)&lt;&gt;""),N(INDEX('Daily Sale entry '!$AC$1:$AC$1501,$J2196+1))-TRUNC(N(INDEX('Daily Sale entry '!$AC$1:$AC$1501,$J2196+1))),0),N(INDEX('Daily Sale entry '!$S$1:$S$1501,$J2196-1499))-'Opening Balance'!$B$15*(N(INDEX('Daily Sale entry '!$S$1:$S$1501,$J2196-1499))-TRUNC(N(INDEX('Daily Sale entry '!$S$1:$S$1501,$J2196-1499))))))</f>
        <v/>
      </c>
      <c r="G2196" s="6">
        <f>IF($J2196="","",IF($J2196&lt;=1500,N(INDEX('Daily Sale entry '!$AD$1:$AD$1501,$J2196+1)),0))</f>
        <v/>
      </c>
      <c r="H2196" s="6">
        <f>IF($J2196="","",ROUND('Opening Balance'!$B$4+SUM($F$2:F2196)-SUM($G$2:G2196),2))</f>
        <v/>
      </c>
      <c r="J2196" s="21">
        <f>IFERROR(MATCH(ROW()-1,$L$2:$L$3001,0),"")</f>
        <v/>
      </c>
      <c r="K2196" s="34">
        <f>IF(AND('Daily Sale entry '!Q696="Collection 收款",'Daily Sale entry '!R696="Cheque 支票",'Daily Sale entry '!V696&lt;&gt;""),'Daily Sale entry '!V696+ROW()/10000000,"")</f>
        <v/>
      </c>
      <c r="L2196" s="21">
        <f>IF(K2196="","",COUNTIF($K$2:$K$3001,"&lt;"&amp;K2196)+1)</f>
        <v/>
      </c>
    </row>
    <row r="2197">
      <c r="A2197" s="5">
        <f>IF($J2197="","",IF($J2197&lt;=1500,INDEX('Daily Sale entry '!$X$1:$X$1501,$J2197+1),INDEX('Daily Sale entry '!$V$1:$V$1501,$J2197-1499)))</f>
        <v/>
      </c>
      <c r="B2197">
        <f>IF($J2197="","",IF($J2197&lt;=1500,INDEX('Daily Sale entry '!$Y$1:$Y$1501,$J2197+1)&amp;"","Buyer cheque banked 买家支票存入"&amp;IF(INDEX('Daily Sale entry '!$U$1:$U$1501,$J2197-1499)="","", " - "&amp;INDEX('Daily Sale entry '!$U$1:$U$1501,$J2197-1499))))</f>
        <v/>
      </c>
      <c r="C2197">
        <f>IF($J2197="","",IF($J2197&lt;=1500,INDEX('Daily Sale entry '!$Z$1:$Z$1501,$J2197+1)&amp;"","Cheque deposit 支票存入 (buyer 买家)"))</f>
        <v/>
      </c>
      <c r="D2197">
        <f>IF($J2197="","",IF($J2197&lt;=1500,INDEX('Daily Sale entry '!$AA$1:$AA$1501,$J2197+1)&amp;"",INDEX('Daily Sale entry '!$P$1:$P$1501,$J2197-1499)&amp;""))</f>
        <v/>
      </c>
      <c r="E2197">
        <f>IF($J2197="","",IF($J2197&lt;=1500,IF(N(INDEX('Daily Sale entry '!$AB$1:$AB$1501,$J2197+1))=0,"",INDEX('Daily Sale entry '!$AB$1:$AB$1501,$J2197+1)),1))</f>
        <v/>
      </c>
      <c r="F2197" s="6">
        <f>IF($J2197="","",IF($J2197&lt;=1500,N(INDEX('Daily Sale entry '!$AC$1:$AC$1501,$J2197+1))-IF(AND('Opening Balance'!$B$15=1,INDEX('Daily Sale entry '!$Z$1:$Z$1501,$J2197+1)="Online collection 网上收款",INDEX('Daily Sale entry '!$AA$1:$AA$1501,$J2197+1)&lt;&gt;""),N(INDEX('Daily Sale entry '!$AC$1:$AC$1501,$J2197+1))-TRUNC(N(INDEX('Daily Sale entry '!$AC$1:$AC$1501,$J2197+1))),0),N(INDEX('Daily Sale entry '!$S$1:$S$1501,$J2197-1499))-'Opening Balance'!$B$15*(N(INDEX('Daily Sale entry '!$S$1:$S$1501,$J2197-1499))-TRUNC(N(INDEX('Daily Sale entry '!$S$1:$S$1501,$J2197-1499))))))</f>
        <v/>
      </c>
      <c r="G2197" s="6">
        <f>IF($J2197="","",IF($J2197&lt;=1500,N(INDEX('Daily Sale entry '!$AD$1:$AD$1501,$J2197+1)),0))</f>
        <v/>
      </c>
      <c r="H2197" s="6">
        <f>IF($J2197="","",ROUND('Opening Balance'!$B$4+SUM($F$2:F2197)-SUM($G$2:G2197),2))</f>
        <v/>
      </c>
      <c r="J2197" s="21">
        <f>IFERROR(MATCH(ROW()-1,$L$2:$L$3001,0),"")</f>
        <v/>
      </c>
      <c r="K2197" s="34">
        <f>IF(AND('Daily Sale entry '!Q697="Collection 收款",'Daily Sale entry '!R697="Cheque 支票",'Daily Sale entry '!V697&lt;&gt;""),'Daily Sale entry '!V697+ROW()/10000000,"")</f>
        <v/>
      </c>
      <c r="L2197" s="21">
        <f>IF(K2197="","",COUNTIF($K$2:$K$3001,"&lt;"&amp;K2197)+1)</f>
        <v/>
      </c>
    </row>
    <row r="2198">
      <c r="A2198" s="5">
        <f>IF($J2198="","",IF($J2198&lt;=1500,INDEX('Daily Sale entry '!$X$1:$X$1501,$J2198+1),INDEX('Daily Sale entry '!$V$1:$V$1501,$J2198-1499)))</f>
        <v/>
      </c>
      <c r="B2198">
        <f>IF($J2198="","",IF($J2198&lt;=1500,INDEX('Daily Sale entry '!$Y$1:$Y$1501,$J2198+1)&amp;"","Buyer cheque banked 买家支票存入"&amp;IF(INDEX('Daily Sale entry '!$U$1:$U$1501,$J2198-1499)="","", " - "&amp;INDEX('Daily Sale entry '!$U$1:$U$1501,$J2198-1499))))</f>
        <v/>
      </c>
      <c r="C2198">
        <f>IF($J2198="","",IF($J2198&lt;=1500,INDEX('Daily Sale entry '!$Z$1:$Z$1501,$J2198+1)&amp;"","Cheque deposit 支票存入 (buyer 买家)"))</f>
        <v/>
      </c>
      <c r="D2198">
        <f>IF($J2198="","",IF($J2198&lt;=1500,INDEX('Daily Sale entry '!$AA$1:$AA$1501,$J2198+1)&amp;"",INDEX('Daily Sale entry '!$P$1:$P$1501,$J2198-1499)&amp;""))</f>
        <v/>
      </c>
      <c r="E2198">
        <f>IF($J2198="","",IF($J2198&lt;=1500,IF(N(INDEX('Daily Sale entry '!$AB$1:$AB$1501,$J2198+1))=0,"",INDEX('Daily Sale entry '!$AB$1:$AB$1501,$J2198+1)),1))</f>
        <v/>
      </c>
      <c r="F2198" s="6">
        <f>IF($J2198="","",IF($J2198&lt;=1500,N(INDEX('Daily Sale entry '!$AC$1:$AC$1501,$J2198+1))-IF(AND('Opening Balance'!$B$15=1,INDEX('Daily Sale entry '!$Z$1:$Z$1501,$J2198+1)="Online collection 网上收款",INDEX('Daily Sale entry '!$AA$1:$AA$1501,$J2198+1)&lt;&gt;""),N(INDEX('Daily Sale entry '!$AC$1:$AC$1501,$J2198+1))-TRUNC(N(INDEX('Daily Sale entry '!$AC$1:$AC$1501,$J2198+1))),0),N(INDEX('Daily Sale entry '!$S$1:$S$1501,$J2198-1499))-'Opening Balance'!$B$15*(N(INDEX('Daily Sale entry '!$S$1:$S$1501,$J2198-1499))-TRUNC(N(INDEX('Daily Sale entry '!$S$1:$S$1501,$J2198-1499))))))</f>
        <v/>
      </c>
      <c r="G2198" s="6">
        <f>IF($J2198="","",IF($J2198&lt;=1500,N(INDEX('Daily Sale entry '!$AD$1:$AD$1501,$J2198+1)),0))</f>
        <v/>
      </c>
      <c r="H2198" s="6">
        <f>IF($J2198="","",ROUND('Opening Balance'!$B$4+SUM($F$2:F2198)-SUM($G$2:G2198),2))</f>
        <v/>
      </c>
      <c r="J2198" s="21">
        <f>IFERROR(MATCH(ROW()-1,$L$2:$L$3001,0),"")</f>
        <v/>
      </c>
      <c r="K2198" s="34">
        <f>IF(AND('Daily Sale entry '!Q698="Collection 收款",'Daily Sale entry '!R698="Cheque 支票",'Daily Sale entry '!V698&lt;&gt;""),'Daily Sale entry '!V698+ROW()/10000000,"")</f>
        <v/>
      </c>
      <c r="L2198" s="21">
        <f>IF(K2198="","",COUNTIF($K$2:$K$3001,"&lt;"&amp;K2198)+1)</f>
        <v/>
      </c>
    </row>
    <row r="2199">
      <c r="A2199" s="5">
        <f>IF($J2199="","",IF($J2199&lt;=1500,INDEX('Daily Sale entry '!$X$1:$X$1501,$J2199+1),INDEX('Daily Sale entry '!$V$1:$V$1501,$J2199-1499)))</f>
        <v/>
      </c>
      <c r="B2199">
        <f>IF($J2199="","",IF($J2199&lt;=1500,INDEX('Daily Sale entry '!$Y$1:$Y$1501,$J2199+1)&amp;"","Buyer cheque banked 买家支票存入"&amp;IF(INDEX('Daily Sale entry '!$U$1:$U$1501,$J2199-1499)="","", " - "&amp;INDEX('Daily Sale entry '!$U$1:$U$1501,$J2199-1499))))</f>
        <v/>
      </c>
      <c r="C2199">
        <f>IF($J2199="","",IF($J2199&lt;=1500,INDEX('Daily Sale entry '!$Z$1:$Z$1501,$J2199+1)&amp;"","Cheque deposit 支票存入 (buyer 买家)"))</f>
        <v/>
      </c>
      <c r="D2199">
        <f>IF($J2199="","",IF($J2199&lt;=1500,INDEX('Daily Sale entry '!$AA$1:$AA$1501,$J2199+1)&amp;"",INDEX('Daily Sale entry '!$P$1:$P$1501,$J2199-1499)&amp;""))</f>
        <v/>
      </c>
      <c r="E2199">
        <f>IF($J2199="","",IF($J2199&lt;=1500,IF(N(INDEX('Daily Sale entry '!$AB$1:$AB$1501,$J2199+1))=0,"",INDEX('Daily Sale entry '!$AB$1:$AB$1501,$J2199+1)),1))</f>
        <v/>
      </c>
      <c r="F2199" s="6">
        <f>IF($J2199="","",IF($J2199&lt;=1500,N(INDEX('Daily Sale entry '!$AC$1:$AC$1501,$J2199+1))-IF(AND('Opening Balance'!$B$15=1,INDEX('Daily Sale entry '!$Z$1:$Z$1501,$J2199+1)="Online collection 网上收款",INDEX('Daily Sale entry '!$AA$1:$AA$1501,$J2199+1)&lt;&gt;""),N(INDEX('Daily Sale entry '!$AC$1:$AC$1501,$J2199+1))-TRUNC(N(INDEX('Daily Sale entry '!$AC$1:$AC$1501,$J2199+1))),0),N(INDEX('Daily Sale entry '!$S$1:$S$1501,$J2199-1499))-'Opening Balance'!$B$15*(N(INDEX('Daily Sale entry '!$S$1:$S$1501,$J2199-1499))-TRUNC(N(INDEX('Daily Sale entry '!$S$1:$S$1501,$J2199-1499))))))</f>
        <v/>
      </c>
      <c r="G2199" s="6">
        <f>IF($J2199="","",IF($J2199&lt;=1500,N(INDEX('Daily Sale entry '!$AD$1:$AD$1501,$J2199+1)),0))</f>
        <v/>
      </c>
      <c r="H2199" s="6">
        <f>IF($J2199="","",ROUND('Opening Balance'!$B$4+SUM($F$2:F2199)-SUM($G$2:G2199),2))</f>
        <v/>
      </c>
      <c r="J2199" s="21">
        <f>IFERROR(MATCH(ROW()-1,$L$2:$L$3001,0),"")</f>
        <v/>
      </c>
      <c r="K2199" s="34">
        <f>IF(AND('Daily Sale entry '!Q699="Collection 收款",'Daily Sale entry '!R699="Cheque 支票",'Daily Sale entry '!V699&lt;&gt;""),'Daily Sale entry '!V699+ROW()/10000000,"")</f>
        <v/>
      </c>
      <c r="L2199" s="21">
        <f>IF(K2199="","",COUNTIF($K$2:$K$3001,"&lt;"&amp;K2199)+1)</f>
        <v/>
      </c>
    </row>
    <row r="2200">
      <c r="A2200" s="5">
        <f>IF($J2200="","",IF($J2200&lt;=1500,INDEX('Daily Sale entry '!$X$1:$X$1501,$J2200+1),INDEX('Daily Sale entry '!$V$1:$V$1501,$J2200-1499)))</f>
        <v/>
      </c>
      <c r="B2200">
        <f>IF($J2200="","",IF($J2200&lt;=1500,INDEX('Daily Sale entry '!$Y$1:$Y$1501,$J2200+1)&amp;"","Buyer cheque banked 买家支票存入"&amp;IF(INDEX('Daily Sale entry '!$U$1:$U$1501,$J2200-1499)="","", " - "&amp;INDEX('Daily Sale entry '!$U$1:$U$1501,$J2200-1499))))</f>
        <v/>
      </c>
      <c r="C2200">
        <f>IF($J2200="","",IF($J2200&lt;=1500,INDEX('Daily Sale entry '!$Z$1:$Z$1501,$J2200+1)&amp;"","Cheque deposit 支票存入 (buyer 买家)"))</f>
        <v/>
      </c>
      <c r="D2200">
        <f>IF($J2200="","",IF($J2200&lt;=1500,INDEX('Daily Sale entry '!$AA$1:$AA$1501,$J2200+1)&amp;"",INDEX('Daily Sale entry '!$P$1:$P$1501,$J2200-1499)&amp;""))</f>
        <v/>
      </c>
      <c r="E2200">
        <f>IF($J2200="","",IF($J2200&lt;=1500,IF(N(INDEX('Daily Sale entry '!$AB$1:$AB$1501,$J2200+1))=0,"",INDEX('Daily Sale entry '!$AB$1:$AB$1501,$J2200+1)),1))</f>
        <v/>
      </c>
      <c r="F2200" s="6">
        <f>IF($J2200="","",IF($J2200&lt;=1500,N(INDEX('Daily Sale entry '!$AC$1:$AC$1501,$J2200+1))-IF(AND('Opening Balance'!$B$15=1,INDEX('Daily Sale entry '!$Z$1:$Z$1501,$J2200+1)="Online collection 网上收款",INDEX('Daily Sale entry '!$AA$1:$AA$1501,$J2200+1)&lt;&gt;""),N(INDEX('Daily Sale entry '!$AC$1:$AC$1501,$J2200+1))-TRUNC(N(INDEX('Daily Sale entry '!$AC$1:$AC$1501,$J2200+1))),0),N(INDEX('Daily Sale entry '!$S$1:$S$1501,$J2200-1499))-'Opening Balance'!$B$15*(N(INDEX('Daily Sale entry '!$S$1:$S$1501,$J2200-1499))-TRUNC(N(INDEX('Daily Sale entry '!$S$1:$S$1501,$J2200-1499))))))</f>
        <v/>
      </c>
      <c r="G2200" s="6">
        <f>IF($J2200="","",IF($J2200&lt;=1500,N(INDEX('Daily Sale entry '!$AD$1:$AD$1501,$J2200+1)),0))</f>
        <v/>
      </c>
      <c r="H2200" s="6">
        <f>IF($J2200="","",ROUND('Opening Balance'!$B$4+SUM($F$2:F2200)-SUM($G$2:G2200),2))</f>
        <v/>
      </c>
      <c r="J2200" s="21">
        <f>IFERROR(MATCH(ROW()-1,$L$2:$L$3001,0),"")</f>
        <v/>
      </c>
      <c r="K2200" s="34">
        <f>IF(AND('Daily Sale entry '!Q700="Collection 收款",'Daily Sale entry '!R700="Cheque 支票",'Daily Sale entry '!V700&lt;&gt;""),'Daily Sale entry '!V700+ROW()/10000000,"")</f>
        <v/>
      </c>
      <c r="L2200" s="21">
        <f>IF(K2200="","",COUNTIF($K$2:$K$3001,"&lt;"&amp;K2200)+1)</f>
        <v/>
      </c>
    </row>
    <row r="2201">
      <c r="A2201" s="5">
        <f>IF($J2201="","",IF($J2201&lt;=1500,INDEX('Daily Sale entry '!$X$1:$X$1501,$J2201+1),INDEX('Daily Sale entry '!$V$1:$V$1501,$J2201-1499)))</f>
        <v/>
      </c>
      <c r="B2201">
        <f>IF($J2201="","",IF($J2201&lt;=1500,INDEX('Daily Sale entry '!$Y$1:$Y$1501,$J2201+1)&amp;"","Buyer cheque banked 买家支票存入"&amp;IF(INDEX('Daily Sale entry '!$U$1:$U$1501,$J2201-1499)="","", " - "&amp;INDEX('Daily Sale entry '!$U$1:$U$1501,$J2201-1499))))</f>
        <v/>
      </c>
      <c r="C2201">
        <f>IF($J2201="","",IF($J2201&lt;=1500,INDEX('Daily Sale entry '!$Z$1:$Z$1501,$J2201+1)&amp;"","Cheque deposit 支票存入 (buyer 买家)"))</f>
        <v/>
      </c>
      <c r="D2201">
        <f>IF($J2201="","",IF($J2201&lt;=1500,INDEX('Daily Sale entry '!$AA$1:$AA$1501,$J2201+1)&amp;"",INDEX('Daily Sale entry '!$P$1:$P$1501,$J2201-1499)&amp;""))</f>
        <v/>
      </c>
      <c r="E2201">
        <f>IF($J2201="","",IF($J2201&lt;=1500,IF(N(INDEX('Daily Sale entry '!$AB$1:$AB$1501,$J2201+1))=0,"",INDEX('Daily Sale entry '!$AB$1:$AB$1501,$J2201+1)),1))</f>
        <v/>
      </c>
      <c r="F2201" s="6">
        <f>IF($J2201="","",IF($J2201&lt;=1500,N(INDEX('Daily Sale entry '!$AC$1:$AC$1501,$J2201+1))-IF(AND('Opening Balance'!$B$15=1,INDEX('Daily Sale entry '!$Z$1:$Z$1501,$J2201+1)="Online collection 网上收款",INDEX('Daily Sale entry '!$AA$1:$AA$1501,$J2201+1)&lt;&gt;""),N(INDEX('Daily Sale entry '!$AC$1:$AC$1501,$J2201+1))-TRUNC(N(INDEX('Daily Sale entry '!$AC$1:$AC$1501,$J2201+1))),0),N(INDEX('Daily Sale entry '!$S$1:$S$1501,$J2201-1499))-'Opening Balance'!$B$15*(N(INDEX('Daily Sale entry '!$S$1:$S$1501,$J2201-1499))-TRUNC(N(INDEX('Daily Sale entry '!$S$1:$S$1501,$J2201-1499))))))</f>
        <v/>
      </c>
      <c r="G2201" s="6">
        <f>IF($J2201="","",IF($J2201&lt;=1500,N(INDEX('Daily Sale entry '!$AD$1:$AD$1501,$J2201+1)),0))</f>
        <v/>
      </c>
      <c r="H2201" s="6">
        <f>IF($J2201="","",ROUND('Opening Balance'!$B$4+SUM($F$2:F2201)-SUM($G$2:G2201),2))</f>
        <v/>
      </c>
      <c r="J2201" s="21">
        <f>IFERROR(MATCH(ROW()-1,$L$2:$L$3001,0),"")</f>
        <v/>
      </c>
      <c r="K2201" s="34">
        <f>IF(AND('Daily Sale entry '!Q701="Collection 收款",'Daily Sale entry '!R701="Cheque 支票",'Daily Sale entry '!V701&lt;&gt;""),'Daily Sale entry '!V701+ROW()/10000000,"")</f>
        <v/>
      </c>
      <c r="L2201" s="21">
        <f>IF(K2201="","",COUNTIF($K$2:$K$3001,"&lt;"&amp;K2201)+1)</f>
        <v/>
      </c>
    </row>
    <row r="2202">
      <c r="A2202" s="5">
        <f>IF($J2202="","",IF($J2202&lt;=1500,INDEX('Daily Sale entry '!$X$1:$X$1501,$J2202+1),INDEX('Daily Sale entry '!$V$1:$V$1501,$J2202-1499)))</f>
        <v/>
      </c>
      <c r="B2202">
        <f>IF($J2202="","",IF($J2202&lt;=1500,INDEX('Daily Sale entry '!$Y$1:$Y$1501,$J2202+1)&amp;"","Buyer cheque banked 买家支票存入"&amp;IF(INDEX('Daily Sale entry '!$U$1:$U$1501,$J2202-1499)="","", " - "&amp;INDEX('Daily Sale entry '!$U$1:$U$1501,$J2202-1499))))</f>
        <v/>
      </c>
      <c r="C2202">
        <f>IF($J2202="","",IF($J2202&lt;=1500,INDEX('Daily Sale entry '!$Z$1:$Z$1501,$J2202+1)&amp;"","Cheque deposit 支票存入 (buyer 买家)"))</f>
        <v/>
      </c>
      <c r="D2202">
        <f>IF($J2202="","",IF($J2202&lt;=1500,INDEX('Daily Sale entry '!$AA$1:$AA$1501,$J2202+1)&amp;"",INDEX('Daily Sale entry '!$P$1:$P$1501,$J2202-1499)&amp;""))</f>
        <v/>
      </c>
      <c r="E2202">
        <f>IF($J2202="","",IF($J2202&lt;=1500,IF(N(INDEX('Daily Sale entry '!$AB$1:$AB$1501,$J2202+1))=0,"",INDEX('Daily Sale entry '!$AB$1:$AB$1501,$J2202+1)),1))</f>
        <v/>
      </c>
      <c r="F2202" s="6">
        <f>IF($J2202="","",IF($J2202&lt;=1500,N(INDEX('Daily Sale entry '!$AC$1:$AC$1501,$J2202+1))-IF(AND('Opening Balance'!$B$15=1,INDEX('Daily Sale entry '!$Z$1:$Z$1501,$J2202+1)="Online collection 网上收款",INDEX('Daily Sale entry '!$AA$1:$AA$1501,$J2202+1)&lt;&gt;""),N(INDEX('Daily Sale entry '!$AC$1:$AC$1501,$J2202+1))-TRUNC(N(INDEX('Daily Sale entry '!$AC$1:$AC$1501,$J2202+1))),0),N(INDEX('Daily Sale entry '!$S$1:$S$1501,$J2202-1499))-'Opening Balance'!$B$15*(N(INDEX('Daily Sale entry '!$S$1:$S$1501,$J2202-1499))-TRUNC(N(INDEX('Daily Sale entry '!$S$1:$S$1501,$J2202-1499))))))</f>
        <v/>
      </c>
      <c r="G2202" s="6">
        <f>IF($J2202="","",IF($J2202&lt;=1500,N(INDEX('Daily Sale entry '!$AD$1:$AD$1501,$J2202+1)),0))</f>
        <v/>
      </c>
      <c r="H2202" s="6">
        <f>IF($J2202="","",ROUND('Opening Balance'!$B$4+SUM($F$2:F2202)-SUM($G$2:G2202),2))</f>
        <v/>
      </c>
      <c r="J2202" s="21">
        <f>IFERROR(MATCH(ROW()-1,$L$2:$L$3001,0),"")</f>
        <v/>
      </c>
      <c r="K2202" s="34">
        <f>IF(AND('Daily Sale entry '!Q702="Collection 收款",'Daily Sale entry '!R702="Cheque 支票",'Daily Sale entry '!V702&lt;&gt;""),'Daily Sale entry '!V702+ROW()/10000000,"")</f>
        <v/>
      </c>
      <c r="L2202" s="21">
        <f>IF(K2202="","",COUNTIF($K$2:$K$3001,"&lt;"&amp;K2202)+1)</f>
        <v/>
      </c>
    </row>
    <row r="2203">
      <c r="A2203" s="5">
        <f>IF($J2203="","",IF($J2203&lt;=1500,INDEX('Daily Sale entry '!$X$1:$X$1501,$J2203+1),INDEX('Daily Sale entry '!$V$1:$V$1501,$J2203-1499)))</f>
        <v/>
      </c>
      <c r="B2203">
        <f>IF($J2203="","",IF($J2203&lt;=1500,INDEX('Daily Sale entry '!$Y$1:$Y$1501,$J2203+1)&amp;"","Buyer cheque banked 买家支票存入"&amp;IF(INDEX('Daily Sale entry '!$U$1:$U$1501,$J2203-1499)="","", " - "&amp;INDEX('Daily Sale entry '!$U$1:$U$1501,$J2203-1499))))</f>
        <v/>
      </c>
      <c r="C2203">
        <f>IF($J2203="","",IF($J2203&lt;=1500,INDEX('Daily Sale entry '!$Z$1:$Z$1501,$J2203+1)&amp;"","Cheque deposit 支票存入 (buyer 买家)"))</f>
        <v/>
      </c>
      <c r="D2203">
        <f>IF($J2203="","",IF($J2203&lt;=1500,INDEX('Daily Sale entry '!$AA$1:$AA$1501,$J2203+1)&amp;"",INDEX('Daily Sale entry '!$P$1:$P$1501,$J2203-1499)&amp;""))</f>
        <v/>
      </c>
      <c r="E2203">
        <f>IF($J2203="","",IF($J2203&lt;=1500,IF(N(INDEX('Daily Sale entry '!$AB$1:$AB$1501,$J2203+1))=0,"",INDEX('Daily Sale entry '!$AB$1:$AB$1501,$J2203+1)),1))</f>
        <v/>
      </c>
      <c r="F2203" s="6">
        <f>IF($J2203="","",IF($J2203&lt;=1500,N(INDEX('Daily Sale entry '!$AC$1:$AC$1501,$J2203+1))-IF(AND('Opening Balance'!$B$15=1,INDEX('Daily Sale entry '!$Z$1:$Z$1501,$J2203+1)="Online collection 网上收款",INDEX('Daily Sale entry '!$AA$1:$AA$1501,$J2203+1)&lt;&gt;""),N(INDEX('Daily Sale entry '!$AC$1:$AC$1501,$J2203+1))-TRUNC(N(INDEX('Daily Sale entry '!$AC$1:$AC$1501,$J2203+1))),0),N(INDEX('Daily Sale entry '!$S$1:$S$1501,$J2203-1499))-'Opening Balance'!$B$15*(N(INDEX('Daily Sale entry '!$S$1:$S$1501,$J2203-1499))-TRUNC(N(INDEX('Daily Sale entry '!$S$1:$S$1501,$J2203-1499))))))</f>
        <v/>
      </c>
      <c r="G2203" s="6">
        <f>IF($J2203="","",IF($J2203&lt;=1500,N(INDEX('Daily Sale entry '!$AD$1:$AD$1501,$J2203+1)),0))</f>
        <v/>
      </c>
      <c r="H2203" s="6">
        <f>IF($J2203="","",ROUND('Opening Balance'!$B$4+SUM($F$2:F2203)-SUM($G$2:G2203),2))</f>
        <v/>
      </c>
      <c r="J2203" s="21">
        <f>IFERROR(MATCH(ROW()-1,$L$2:$L$3001,0),"")</f>
        <v/>
      </c>
      <c r="K2203" s="34">
        <f>IF(AND('Daily Sale entry '!Q703="Collection 收款",'Daily Sale entry '!R703="Cheque 支票",'Daily Sale entry '!V703&lt;&gt;""),'Daily Sale entry '!V703+ROW()/10000000,"")</f>
        <v/>
      </c>
      <c r="L2203" s="21">
        <f>IF(K2203="","",COUNTIF($K$2:$K$3001,"&lt;"&amp;K2203)+1)</f>
        <v/>
      </c>
    </row>
    <row r="2204">
      <c r="A2204" s="5">
        <f>IF($J2204="","",IF($J2204&lt;=1500,INDEX('Daily Sale entry '!$X$1:$X$1501,$J2204+1),INDEX('Daily Sale entry '!$V$1:$V$1501,$J2204-1499)))</f>
        <v/>
      </c>
      <c r="B2204">
        <f>IF($J2204="","",IF($J2204&lt;=1500,INDEX('Daily Sale entry '!$Y$1:$Y$1501,$J2204+1)&amp;"","Buyer cheque banked 买家支票存入"&amp;IF(INDEX('Daily Sale entry '!$U$1:$U$1501,$J2204-1499)="","", " - "&amp;INDEX('Daily Sale entry '!$U$1:$U$1501,$J2204-1499))))</f>
        <v/>
      </c>
      <c r="C2204">
        <f>IF($J2204="","",IF($J2204&lt;=1500,INDEX('Daily Sale entry '!$Z$1:$Z$1501,$J2204+1)&amp;"","Cheque deposit 支票存入 (buyer 买家)"))</f>
        <v/>
      </c>
      <c r="D2204">
        <f>IF($J2204="","",IF($J2204&lt;=1500,INDEX('Daily Sale entry '!$AA$1:$AA$1501,$J2204+1)&amp;"",INDEX('Daily Sale entry '!$P$1:$P$1501,$J2204-1499)&amp;""))</f>
        <v/>
      </c>
      <c r="E2204">
        <f>IF($J2204="","",IF($J2204&lt;=1500,IF(N(INDEX('Daily Sale entry '!$AB$1:$AB$1501,$J2204+1))=0,"",INDEX('Daily Sale entry '!$AB$1:$AB$1501,$J2204+1)),1))</f>
        <v/>
      </c>
      <c r="F2204" s="6">
        <f>IF($J2204="","",IF($J2204&lt;=1500,N(INDEX('Daily Sale entry '!$AC$1:$AC$1501,$J2204+1))-IF(AND('Opening Balance'!$B$15=1,INDEX('Daily Sale entry '!$Z$1:$Z$1501,$J2204+1)="Online collection 网上收款",INDEX('Daily Sale entry '!$AA$1:$AA$1501,$J2204+1)&lt;&gt;""),N(INDEX('Daily Sale entry '!$AC$1:$AC$1501,$J2204+1))-TRUNC(N(INDEX('Daily Sale entry '!$AC$1:$AC$1501,$J2204+1))),0),N(INDEX('Daily Sale entry '!$S$1:$S$1501,$J2204-1499))-'Opening Balance'!$B$15*(N(INDEX('Daily Sale entry '!$S$1:$S$1501,$J2204-1499))-TRUNC(N(INDEX('Daily Sale entry '!$S$1:$S$1501,$J2204-1499))))))</f>
        <v/>
      </c>
      <c r="G2204" s="6">
        <f>IF($J2204="","",IF($J2204&lt;=1500,N(INDEX('Daily Sale entry '!$AD$1:$AD$1501,$J2204+1)),0))</f>
        <v/>
      </c>
      <c r="H2204" s="6">
        <f>IF($J2204="","",ROUND('Opening Balance'!$B$4+SUM($F$2:F2204)-SUM($G$2:G2204),2))</f>
        <v/>
      </c>
      <c r="J2204" s="21">
        <f>IFERROR(MATCH(ROW()-1,$L$2:$L$3001,0),"")</f>
        <v/>
      </c>
      <c r="K2204" s="34">
        <f>IF(AND('Daily Sale entry '!Q704="Collection 收款",'Daily Sale entry '!R704="Cheque 支票",'Daily Sale entry '!V704&lt;&gt;""),'Daily Sale entry '!V704+ROW()/10000000,"")</f>
        <v/>
      </c>
      <c r="L2204" s="21">
        <f>IF(K2204="","",COUNTIF($K$2:$K$3001,"&lt;"&amp;K2204)+1)</f>
        <v/>
      </c>
    </row>
    <row r="2205">
      <c r="A2205" s="5">
        <f>IF($J2205="","",IF($J2205&lt;=1500,INDEX('Daily Sale entry '!$X$1:$X$1501,$J2205+1),INDEX('Daily Sale entry '!$V$1:$V$1501,$J2205-1499)))</f>
        <v/>
      </c>
      <c r="B2205">
        <f>IF($J2205="","",IF($J2205&lt;=1500,INDEX('Daily Sale entry '!$Y$1:$Y$1501,$J2205+1)&amp;"","Buyer cheque banked 买家支票存入"&amp;IF(INDEX('Daily Sale entry '!$U$1:$U$1501,$J2205-1499)="","", " - "&amp;INDEX('Daily Sale entry '!$U$1:$U$1501,$J2205-1499))))</f>
        <v/>
      </c>
      <c r="C2205">
        <f>IF($J2205="","",IF($J2205&lt;=1500,INDEX('Daily Sale entry '!$Z$1:$Z$1501,$J2205+1)&amp;"","Cheque deposit 支票存入 (buyer 买家)"))</f>
        <v/>
      </c>
      <c r="D2205">
        <f>IF($J2205="","",IF($J2205&lt;=1500,INDEX('Daily Sale entry '!$AA$1:$AA$1501,$J2205+1)&amp;"",INDEX('Daily Sale entry '!$P$1:$P$1501,$J2205-1499)&amp;""))</f>
        <v/>
      </c>
      <c r="E2205">
        <f>IF($J2205="","",IF($J2205&lt;=1500,IF(N(INDEX('Daily Sale entry '!$AB$1:$AB$1501,$J2205+1))=0,"",INDEX('Daily Sale entry '!$AB$1:$AB$1501,$J2205+1)),1))</f>
        <v/>
      </c>
      <c r="F2205" s="6">
        <f>IF($J2205="","",IF($J2205&lt;=1500,N(INDEX('Daily Sale entry '!$AC$1:$AC$1501,$J2205+1))-IF(AND('Opening Balance'!$B$15=1,INDEX('Daily Sale entry '!$Z$1:$Z$1501,$J2205+1)="Online collection 网上收款",INDEX('Daily Sale entry '!$AA$1:$AA$1501,$J2205+1)&lt;&gt;""),N(INDEX('Daily Sale entry '!$AC$1:$AC$1501,$J2205+1))-TRUNC(N(INDEX('Daily Sale entry '!$AC$1:$AC$1501,$J2205+1))),0),N(INDEX('Daily Sale entry '!$S$1:$S$1501,$J2205-1499))-'Opening Balance'!$B$15*(N(INDEX('Daily Sale entry '!$S$1:$S$1501,$J2205-1499))-TRUNC(N(INDEX('Daily Sale entry '!$S$1:$S$1501,$J2205-1499))))))</f>
        <v/>
      </c>
      <c r="G2205" s="6">
        <f>IF($J2205="","",IF($J2205&lt;=1500,N(INDEX('Daily Sale entry '!$AD$1:$AD$1501,$J2205+1)),0))</f>
        <v/>
      </c>
      <c r="H2205" s="6">
        <f>IF($J2205="","",ROUND('Opening Balance'!$B$4+SUM($F$2:F2205)-SUM($G$2:G2205),2))</f>
        <v/>
      </c>
      <c r="J2205" s="21">
        <f>IFERROR(MATCH(ROW()-1,$L$2:$L$3001,0),"")</f>
        <v/>
      </c>
      <c r="K2205" s="34">
        <f>IF(AND('Daily Sale entry '!Q705="Collection 收款",'Daily Sale entry '!R705="Cheque 支票",'Daily Sale entry '!V705&lt;&gt;""),'Daily Sale entry '!V705+ROW()/10000000,"")</f>
        <v/>
      </c>
      <c r="L2205" s="21">
        <f>IF(K2205="","",COUNTIF($K$2:$K$3001,"&lt;"&amp;K2205)+1)</f>
        <v/>
      </c>
    </row>
    <row r="2206">
      <c r="A2206" s="5">
        <f>IF($J2206="","",IF($J2206&lt;=1500,INDEX('Daily Sale entry '!$X$1:$X$1501,$J2206+1),INDEX('Daily Sale entry '!$V$1:$V$1501,$J2206-1499)))</f>
        <v/>
      </c>
      <c r="B2206">
        <f>IF($J2206="","",IF($J2206&lt;=1500,INDEX('Daily Sale entry '!$Y$1:$Y$1501,$J2206+1)&amp;"","Buyer cheque banked 买家支票存入"&amp;IF(INDEX('Daily Sale entry '!$U$1:$U$1501,$J2206-1499)="","", " - "&amp;INDEX('Daily Sale entry '!$U$1:$U$1501,$J2206-1499))))</f>
        <v/>
      </c>
      <c r="C2206">
        <f>IF($J2206="","",IF($J2206&lt;=1500,INDEX('Daily Sale entry '!$Z$1:$Z$1501,$J2206+1)&amp;"","Cheque deposit 支票存入 (buyer 买家)"))</f>
        <v/>
      </c>
      <c r="D2206">
        <f>IF($J2206="","",IF($J2206&lt;=1500,INDEX('Daily Sale entry '!$AA$1:$AA$1501,$J2206+1)&amp;"",INDEX('Daily Sale entry '!$P$1:$P$1501,$J2206-1499)&amp;""))</f>
        <v/>
      </c>
      <c r="E2206">
        <f>IF($J2206="","",IF($J2206&lt;=1500,IF(N(INDEX('Daily Sale entry '!$AB$1:$AB$1501,$J2206+1))=0,"",INDEX('Daily Sale entry '!$AB$1:$AB$1501,$J2206+1)),1))</f>
        <v/>
      </c>
      <c r="F2206" s="6">
        <f>IF($J2206="","",IF($J2206&lt;=1500,N(INDEX('Daily Sale entry '!$AC$1:$AC$1501,$J2206+1))-IF(AND('Opening Balance'!$B$15=1,INDEX('Daily Sale entry '!$Z$1:$Z$1501,$J2206+1)="Online collection 网上收款",INDEX('Daily Sale entry '!$AA$1:$AA$1501,$J2206+1)&lt;&gt;""),N(INDEX('Daily Sale entry '!$AC$1:$AC$1501,$J2206+1))-TRUNC(N(INDEX('Daily Sale entry '!$AC$1:$AC$1501,$J2206+1))),0),N(INDEX('Daily Sale entry '!$S$1:$S$1501,$J2206-1499))-'Opening Balance'!$B$15*(N(INDEX('Daily Sale entry '!$S$1:$S$1501,$J2206-1499))-TRUNC(N(INDEX('Daily Sale entry '!$S$1:$S$1501,$J2206-1499))))))</f>
        <v/>
      </c>
      <c r="G2206" s="6">
        <f>IF($J2206="","",IF($J2206&lt;=1500,N(INDEX('Daily Sale entry '!$AD$1:$AD$1501,$J2206+1)),0))</f>
        <v/>
      </c>
      <c r="H2206" s="6">
        <f>IF($J2206="","",ROUND('Opening Balance'!$B$4+SUM($F$2:F2206)-SUM($G$2:G2206),2))</f>
        <v/>
      </c>
      <c r="J2206" s="21">
        <f>IFERROR(MATCH(ROW()-1,$L$2:$L$3001,0),"")</f>
        <v/>
      </c>
      <c r="K2206" s="34">
        <f>IF(AND('Daily Sale entry '!Q706="Collection 收款",'Daily Sale entry '!R706="Cheque 支票",'Daily Sale entry '!V706&lt;&gt;""),'Daily Sale entry '!V706+ROW()/10000000,"")</f>
        <v/>
      </c>
      <c r="L2206" s="21">
        <f>IF(K2206="","",COUNTIF($K$2:$K$3001,"&lt;"&amp;K2206)+1)</f>
        <v/>
      </c>
    </row>
    <row r="2207">
      <c r="A2207" s="5">
        <f>IF($J2207="","",IF($J2207&lt;=1500,INDEX('Daily Sale entry '!$X$1:$X$1501,$J2207+1),INDEX('Daily Sale entry '!$V$1:$V$1501,$J2207-1499)))</f>
        <v/>
      </c>
      <c r="B2207">
        <f>IF($J2207="","",IF($J2207&lt;=1500,INDEX('Daily Sale entry '!$Y$1:$Y$1501,$J2207+1)&amp;"","Buyer cheque banked 买家支票存入"&amp;IF(INDEX('Daily Sale entry '!$U$1:$U$1501,$J2207-1499)="","", " - "&amp;INDEX('Daily Sale entry '!$U$1:$U$1501,$J2207-1499))))</f>
        <v/>
      </c>
      <c r="C2207">
        <f>IF($J2207="","",IF($J2207&lt;=1500,INDEX('Daily Sale entry '!$Z$1:$Z$1501,$J2207+1)&amp;"","Cheque deposit 支票存入 (buyer 买家)"))</f>
        <v/>
      </c>
      <c r="D2207">
        <f>IF($J2207="","",IF($J2207&lt;=1500,INDEX('Daily Sale entry '!$AA$1:$AA$1501,$J2207+1)&amp;"",INDEX('Daily Sale entry '!$P$1:$P$1501,$J2207-1499)&amp;""))</f>
        <v/>
      </c>
      <c r="E2207">
        <f>IF($J2207="","",IF($J2207&lt;=1500,IF(N(INDEX('Daily Sale entry '!$AB$1:$AB$1501,$J2207+1))=0,"",INDEX('Daily Sale entry '!$AB$1:$AB$1501,$J2207+1)),1))</f>
        <v/>
      </c>
      <c r="F2207" s="6">
        <f>IF($J2207="","",IF($J2207&lt;=1500,N(INDEX('Daily Sale entry '!$AC$1:$AC$1501,$J2207+1))-IF(AND('Opening Balance'!$B$15=1,INDEX('Daily Sale entry '!$Z$1:$Z$1501,$J2207+1)="Online collection 网上收款",INDEX('Daily Sale entry '!$AA$1:$AA$1501,$J2207+1)&lt;&gt;""),N(INDEX('Daily Sale entry '!$AC$1:$AC$1501,$J2207+1))-TRUNC(N(INDEX('Daily Sale entry '!$AC$1:$AC$1501,$J2207+1))),0),N(INDEX('Daily Sale entry '!$S$1:$S$1501,$J2207-1499))-'Opening Balance'!$B$15*(N(INDEX('Daily Sale entry '!$S$1:$S$1501,$J2207-1499))-TRUNC(N(INDEX('Daily Sale entry '!$S$1:$S$1501,$J2207-1499))))))</f>
        <v/>
      </c>
      <c r="G2207" s="6">
        <f>IF($J2207="","",IF($J2207&lt;=1500,N(INDEX('Daily Sale entry '!$AD$1:$AD$1501,$J2207+1)),0))</f>
        <v/>
      </c>
      <c r="H2207" s="6">
        <f>IF($J2207="","",ROUND('Opening Balance'!$B$4+SUM($F$2:F2207)-SUM($G$2:G2207),2))</f>
        <v/>
      </c>
      <c r="J2207" s="21">
        <f>IFERROR(MATCH(ROW()-1,$L$2:$L$3001,0),"")</f>
        <v/>
      </c>
      <c r="K2207" s="34">
        <f>IF(AND('Daily Sale entry '!Q707="Collection 收款",'Daily Sale entry '!R707="Cheque 支票",'Daily Sale entry '!V707&lt;&gt;""),'Daily Sale entry '!V707+ROW()/10000000,"")</f>
        <v/>
      </c>
      <c r="L2207" s="21">
        <f>IF(K2207="","",COUNTIF($K$2:$K$3001,"&lt;"&amp;K2207)+1)</f>
        <v/>
      </c>
    </row>
    <row r="2208">
      <c r="A2208" s="5">
        <f>IF($J2208="","",IF($J2208&lt;=1500,INDEX('Daily Sale entry '!$X$1:$X$1501,$J2208+1),INDEX('Daily Sale entry '!$V$1:$V$1501,$J2208-1499)))</f>
        <v/>
      </c>
      <c r="B2208">
        <f>IF($J2208="","",IF($J2208&lt;=1500,INDEX('Daily Sale entry '!$Y$1:$Y$1501,$J2208+1)&amp;"","Buyer cheque banked 买家支票存入"&amp;IF(INDEX('Daily Sale entry '!$U$1:$U$1501,$J2208-1499)="","", " - "&amp;INDEX('Daily Sale entry '!$U$1:$U$1501,$J2208-1499))))</f>
        <v/>
      </c>
      <c r="C2208">
        <f>IF($J2208="","",IF($J2208&lt;=1500,INDEX('Daily Sale entry '!$Z$1:$Z$1501,$J2208+1)&amp;"","Cheque deposit 支票存入 (buyer 买家)"))</f>
        <v/>
      </c>
      <c r="D2208">
        <f>IF($J2208="","",IF($J2208&lt;=1500,INDEX('Daily Sale entry '!$AA$1:$AA$1501,$J2208+1)&amp;"",INDEX('Daily Sale entry '!$P$1:$P$1501,$J2208-1499)&amp;""))</f>
        <v/>
      </c>
      <c r="E2208">
        <f>IF($J2208="","",IF($J2208&lt;=1500,IF(N(INDEX('Daily Sale entry '!$AB$1:$AB$1501,$J2208+1))=0,"",INDEX('Daily Sale entry '!$AB$1:$AB$1501,$J2208+1)),1))</f>
        <v/>
      </c>
      <c r="F2208" s="6">
        <f>IF($J2208="","",IF($J2208&lt;=1500,N(INDEX('Daily Sale entry '!$AC$1:$AC$1501,$J2208+1))-IF(AND('Opening Balance'!$B$15=1,INDEX('Daily Sale entry '!$Z$1:$Z$1501,$J2208+1)="Online collection 网上收款",INDEX('Daily Sale entry '!$AA$1:$AA$1501,$J2208+1)&lt;&gt;""),N(INDEX('Daily Sale entry '!$AC$1:$AC$1501,$J2208+1))-TRUNC(N(INDEX('Daily Sale entry '!$AC$1:$AC$1501,$J2208+1))),0),N(INDEX('Daily Sale entry '!$S$1:$S$1501,$J2208-1499))-'Opening Balance'!$B$15*(N(INDEX('Daily Sale entry '!$S$1:$S$1501,$J2208-1499))-TRUNC(N(INDEX('Daily Sale entry '!$S$1:$S$1501,$J2208-1499))))))</f>
        <v/>
      </c>
      <c r="G2208" s="6">
        <f>IF($J2208="","",IF($J2208&lt;=1500,N(INDEX('Daily Sale entry '!$AD$1:$AD$1501,$J2208+1)),0))</f>
        <v/>
      </c>
      <c r="H2208" s="6">
        <f>IF($J2208="","",ROUND('Opening Balance'!$B$4+SUM($F$2:F2208)-SUM($G$2:G2208),2))</f>
        <v/>
      </c>
      <c r="J2208" s="21">
        <f>IFERROR(MATCH(ROW()-1,$L$2:$L$3001,0),"")</f>
        <v/>
      </c>
      <c r="K2208" s="34">
        <f>IF(AND('Daily Sale entry '!Q708="Collection 收款",'Daily Sale entry '!R708="Cheque 支票",'Daily Sale entry '!V708&lt;&gt;""),'Daily Sale entry '!V708+ROW()/10000000,"")</f>
        <v/>
      </c>
      <c r="L2208" s="21">
        <f>IF(K2208="","",COUNTIF($K$2:$K$3001,"&lt;"&amp;K2208)+1)</f>
        <v/>
      </c>
    </row>
    <row r="2209">
      <c r="A2209" s="5">
        <f>IF($J2209="","",IF($J2209&lt;=1500,INDEX('Daily Sale entry '!$X$1:$X$1501,$J2209+1),INDEX('Daily Sale entry '!$V$1:$V$1501,$J2209-1499)))</f>
        <v/>
      </c>
      <c r="B2209">
        <f>IF($J2209="","",IF($J2209&lt;=1500,INDEX('Daily Sale entry '!$Y$1:$Y$1501,$J2209+1)&amp;"","Buyer cheque banked 买家支票存入"&amp;IF(INDEX('Daily Sale entry '!$U$1:$U$1501,$J2209-1499)="","", " - "&amp;INDEX('Daily Sale entry '!$U$1:$U$1501,$J2209-1499))))</f>
        <v/>
      </c>
      <c r="C2209">
        <f>IF($J2209="","",IF($J2209&lt;=1500,INDEX('Daily Sale entry '!$Z$1:$Z$1501,$J2209+1)&amp;"","Cheque deposit 支票存入 (buyer 买家)"))</f>
        <v/>
      </c>
      <c r="D2209">
        <f>IF($J2209="","",IF($J2209&lt;=1500,INDEX('Daily Sale entry '!$AA$1:$AA$1501,$J2209+1)&amp;"",INDEX('Daily Sale entry '!$P$1:$P$1501,$J2209-1499)&amp;""))</f>
        <v/>
      </c>
      <c r="E2209">
        <f>IF($J2209="","",IF($J2209&lt;=1500,IF(N(INDEX('Daily Sale entry '!$AB$1:$AB$1501,$J2209+1))=0,"",INDEX('Daily Sale entry '!$AB$1:$AB$1501,$J2209+1)),1))</f>
        <v/>
      </c>
      <c r="F2209" s="6">
        <f>IF($J2209="","",IF($J2209&lt;=1500,N(INDEX('Daily Sale entry '!$AC$1:$AC$1501,$J2209+1))-IF(AND('Opening Balance'!$B$15=1,INDEX('Daily Sale entry '!$Z$1:$Z$1501,$J2209+1)="Online collection 网上收款",INDEX('Daily Sale entry '!$AA$1:$AA$1501,$J2209+1)&lt;&gt;""),N(INDEX('Daily Sale entry '!$AC$1:$AC$1501,$J2209+1))-TRUNC(N(INDEX('Daily Sale entry '!$AC$1:$AC$1501,$J2209+1))),0),N(INDEX('Daily Sale entry '!$S$1:$S$1501,$J2209-1499))-'Opening Balance'!$B$15*(N(INDEX('Daily Sale entry '!$S$1:$S$1501,$J2209-1499))-TRUNC(N(INDEX('Daily Sale entry '!$S$1:$S$1501,$J2209-1499))))))</f>
        <v/>
      </c>
      <c r="G2209" s="6">
        <f>IF($J2209="","",IF($J2209&lt;=1500,N(INDEX('Daily Sale entry '!$AD$1:$AD$1501,$J2209+1)),0))</f>
        <v/>
      </c>
      <c r="H2209" s="6">
        <f>IF($J2209="","",ROUND('Opening Balance'!$B$4+SUM($F$2:F2209)-SUM($G$2:G2209),2))</f>
        <v/>
      </c>
      <c r="J2209" s="21">
        <f>IFERROR(MATCH(ROW()-1,$L$2:$L$3001,0),"")</f>
        <v/>
      </c>
      <c r="K2209" s="34">
        <f>IF(AND('Daily Sale entry '!Q709="Collection 收款",'Daily Sale entry '!R709="Cheque 支票",'Daily Sale entry '!V709&lt;&gt;""),'Daily Sale entry '!V709+ROW()/10000000,"")</f>
        <v/>
      </c>
      <c r="L2209" s="21">
        <f>IF(K2209="","",COUNTIF($K$2:$K$3001,"&lt;"&amp;K2209)+1)</f>
        <v/>
      </c>
    </row>
    <row r="2210">
      <c r="A2210" s="5">
        <f>IF($J2210="","",IF($J2210&lt;=1500,INDEX('Daily Sale entry '!$X$1:$X$1501,$J2210+1),INDEX('Daily Sale entry '!$V$1:$V$1501,$J2210-1499)))</f>
        <v/>
      </c>
      <c r="B2210">
        <f>IF($J2210="","",IF($J2210&lt;=1500,INDEX('Daily Sale entry '!$Y$1:$Y$1501,$J2210+1)&amp;"","Buyer cheque banked 买家支票存入"&amp;IF(INDEX('Daily Sale entry '!$U$1:$U$1501,$J2210-1499)="","", " - "&amp;INDEX('Daily Sale entry '!$U$1:$U$1501,$J2210-1499))))</f>
        <v/>
      </c>
      <c r="C2210">
        <f>IF($J2210="","",IF($J2210&lt;=1500,INDEX('Daily Sale entry '!$Z$1:$Z$1501,$J2210+1)&amp;"","Cheque deposit 支票存入 (buyer 买家)"))</f>
        <v/>
      </c>
      <c r="D2210">
        <f>IF($J2210="","",IF($J2210&lt;=1500,INDEX('Daily Sale entry '!$AA$1:$AA$1501,$J2210+1)&amp;"",INDEX('Daily Sale entry '!$P$1:$P$1501,$J2210-1499)&amp;""))</f>
        <v/>
      </c>
      <c r="E2210">
        <f>IF($J2210="","",IF($J2210&lt;=1500,IF(N(INDEX('Daily Sale entry '!$AB$1:$AB$1501,$J2210+1))=0,"",INDEX('Daily Sale entry '!$AB$1:$AB$1501,$J2210+1)),1))</f>
        <v/>
      </c>
      <c r="F2210" s="6">
        <f>IF($J2210="","",IF($J2210&lt;=1500,N(INDEX('Daily Sale entry '!$AC$1:$AC$1501,$J2210+1))-IF(AND('Opening Balance'!$B$15=1,INDEX('Daily Sale entry '!$Z$1:$Z$1501,$J2210+1)="Online collection 网上收款",INDEX('Daily Sale entry '!$AA$1:$AA$1501,$J2210+1)&lt;&gt;""),N(INDEX('Daily Sale entry '!$AC$1:$AC$1501,$J2210+1))-TRUNC(N(INDEX('Daily Sale entry '!$AC$1:$AC$1501,$J2210+1))),0),N(INDEX('Daily Sale entry '!$S$1:$S$1501,$J2210-1499))-'Opening Balance'!$B$15*(N(INDEX('Daily Sale entry '!$S$1:$S$1501,$J2210-1499))-TRUNC(N(INDEX('Daily Sale entry '!$S$1:$S$1501,$J2210-1499))))))</f>
        <v/>
      </c>
      <c r="G2210" s="6">
        <f>IF($J2210="","",IF($J2210&lt;=1500,N(INDEX('Daily Sale entry '!$AD$1:$AD$1501,$J2210+1)),0))</f>
        <v/>
      </c>
      <c r="H2210" s="6">
        <f>IF($J2210="","",ROUND('Opening Balance'!$B$4+SUM($F$2:F2210)-SUM($G$2:G2210),2))</f>
        <v/>
      </c>
      <c r="J2210" s="21">
        <f>IFERROR(MATCH(ROW()-1,$L$2:$L$3001,0),"")</f>
        <v/>
      </c>
      <c r="K2210" s="34">
        <f>IF(AND('Daily Sale entry '!Q710="Collection 收款",'Daily Sale entry '!R710="Cheque 支票",'Daily Sale entry '!V710&lt;&gt;""),'Daily Sale entry '!V710+ROW()/10000000,"")</f>
        <v/>
      </c>
      <c r="L2210" s="21">
        <f>IF(K2210="","",COUNTIF($K$2:$K$3001,"&lt;"&amp;K2210)+1)</f>
        <v/>
      </c>
    </row>
    <row r="2211">
      <c r="A2211" s="5">
        <f>IF($J2211="","",IF($J2211&lt;=1500,INDEX('Daily Sale entry '!$X$1:$X$1501,$J2211+1),INDEX('Daily Sale entry '!$V$1:$V$1501,$J2211-1499)))</f>
        <v/>
      </c>
      <c r="B2211">
        <f>IF($J2211="","",IF($J2211&lt;=1500,INDEX('Daily Sale entry '!$Y$1:$Y$1501,$J2211+1)&amp;"","Buyer cheque banked 买家支票存入"&amp;IF(INDEX('Daily Sale entry '!$U$1:$U$1501,$J2211-1499)="","", " - "&amp;INDEX('Daily Sale entry '!$U$1:$U$1501,$J2211-1499))))</f>
        <v/>
      </c>
      <c r="C2211">
        <f>IF($J2211="","",IF($J2211&lt;=1500,INDEX('Daily Sale entry '!$Z$1:$Z$1501,$J2211+1)&amp;"","Cheque deposit 支票存入 (buyer 买家)"))</f>
        <v/>
      </c>
      <c r="D2211">
        <f>IF($J2211="","",IF($J2211&lt;=1500,INDEX('Daily Sale entry '!$AA$1:$AA$1501,$J2211+1)&amp;"",INDEX('Daily Sale entry '!$P$1:$P$1501,$J2211-1499)&amp;""))</f>
        <v/>
      </c>
      <c r="E2211">
        <f>IF($J2211="","",IF($J2211&lt;=1500,IF(N(INDEX('Daily Sale entry '!$AB$1:$AB$1501,$J2211+1))=0,"",INDEX('Daily Sale entry '!$AB$1:$AB$1501,$J2211+1)),1))</f>
        <v/>
      </c>
      <c r="F2211" s="6">
        <f>IF($J2211="","",IF($J2211&lt;=1500,N(INDEX('Daily Sale entry '!$AC$1:$AC$1501,$J2211+1))-IF(AND('Opening Balance'!$B$15=1,INDEX('Daily Sale entry '!$Z$1:$Z$1501,$J2211+1)="Online collection 网上收款",INDEX('Daily Sale entry '!$AA$1:$AA$1501,$J2211+1)&lt;&gt;""),N(INDEX('Daily Sale entry '!$AC$1:$AC$1501,$J2211+1))-TRUNC(N(INDEX('Daily Sale entry '!$AC$1:$AC$1501,$J2211+1))),0),N(INDEX('Daily Sale entry '!$S$1:$S$1501,$J2211-1499))-'Opening Balance'!$B$15*(N(INDEX('Daily Sale entry '!$S$1:$S$1501,$J2211-1499))-TRUNC(N(INDEX('Daily Sale entry '!$S$1:$S$1501,$J2211-1499))))))</f>
        <v/>
      </c>
      <c r="G2211" s="6">
        <f>IF($J2211="","",IF($J2211&lt;=1500,N(INDEX('Daily Sale entry '!$AD$1:$AD$1501,$J2211+1)),0))</f>
        <v/>
      </c>
      <c r="H2211" s="6">
        <f>IF($J2211="","",ROUND('Opening Balance'!$B$4+SUM($F$2:F2211)-SUM($G$2:G2211),2))</f>
        <v/>
      </c>
      <c r="J2211" s="21">
        <f>IFERROR(MATCH(ROW()-1,$L$2:$L$3001,0),"")</f>
        <v/>
      </c>
      <c r="K2211" s="34">
        <f>IF(AND('Daily Sale entry '!Q711="Collection 收款",'Daily Sale entry '!R711="Cheque 支票",'Daily Sale entry '!V711&lt;&gt;""),'Daily Sale entry '!V711+ROW()/10000000,"")</f>
        <v/>
      </c>
      <c r="L2211" s="21">
        <f>IF(K2211="","",COUNTIF($K$2:$K$3001,"&lt;"&amp;K2211)+1)</f>
        <v/>
      </c>
    </row>
    <row r="2212">
      <c r="A2212" s="5">
        <f>IF($J2212="","",IF($J2212&lt;=1500,INDEX('Daily Sale entry '!$X$1:$X$1501,$J2212+1),INDEX('Daily Sale entry '!$V$1:$V$1501,$J2212-1499)))</f>
        <v/>
      </c>
      <c r="B2212">
        <f>IF($J2212="","",IF($J2212&lt;=1500,INDEX('Daily Sale entry '!$Y$1:$Y$1501,$J2212+1)&amp;"","Buyer cheque banked 买家支票存入"&amp;IF(INDEX('Daily Sale entry '!$U$1:$U$1501,$J2212-1499)="","", " - "&amp;INDEX('Daily Sale entry '!$U$1:$U$1501,$J2212-1499))))</f>
        <v/>
      </c>
      <c r="C2212">
        <f>IF($J2212="","",IF($J2212&lt;=1500,INDEX('Daily Sale entry '!$Z$1:$Z$1501,$J2212+1)&amp;"","Cheque deposit 支票存入 (buyer 买家)"))</f>
        <v/>
      </c>
      <c r="D2212">
        <f>IF($J2212="","",IF($J2212&lt;=1500,INDEX('Daily Sale entry '!$AA$1:$AA$1501,$J2212+1)&amp;"",INDEX('Daily Sale entry '!$P$1:$P$1501,$J2212-1499)&amp;""))</f>
        <v/>
      </c>
      <c r="E2212">
        <f>IF($J2212="","",IF($J2212&lt;=1500,IF(N(INDEX('Daily Sale entry '!$AB$1:$AB$1501,$J2212+1))=0,"",INDEX('Daily Sale entry '!$AB$1:$AB$1501,$J2212+1)),1))</f>
        <v/>
      </c>
      <c r="F2212" s="6">
        <f>IF($J2212="","",IF($J2212&lt;=1500,N(INDEX('Daily Sale entry '!$AC$1:$AC$1501,$J2212+1))-IF(AND('Opening Balance'!$B$15=1,INDEX('Daily Sale entry '!$Z$1:$Z$1501,$J2212+1)="Online collection 网上收款",INDEX('Daily Sale entry '!$AA$1:$AA$1501,$J2212+1)&lt;&gt;""),N(INDEX('Daily Sale entry '!$AC$1:$AC$1501,$J2212+1))-TRUNC(N(INDEX('Daily Sale entry '!$AC$1:$AC$1501,$J2212+1))),0),N(INDEX('Daily Sale entry '!$S$1:$S$1501,$J2212-1499))-'Opening Balance'!$B$15*(N(INDEX('Daily Sale entry '!$S$1:$S$1501,$J2212-1499))-TRUNC(N(INDEX('Daily Sale entry '!$S$1:$S$1501,$J2212-1499))))))</f>
        <v/>
      </c>
      <c r="G2212" s="6">
        <f>IF($J2212="","",IF($J2212&lt;=1500,N(INDEX('Daily Sale entry '!$AD$1:$AD$1501,$J2212+1)),0))</f>
        <v/>
      </c>
      <c r="H2212" s="6">
        <f>IF($J2212="","",ROUND('Opening Balance'!$B$4+SUM($F$2:F2212)-SUM($G$2:G2212),2))</f>
        <v/>
      </c>
      <c r="J2212" s="21">
        <f>IFERROR(MATCH(ROW()-1,$L$2:$L$3001,0),"")</f>
        <v/>
      </c>
      <c r="K2212" s="34">
        <f>IF(AND('Daily Sale entry '!Q712="Collection 收款",'Daily Sale entry '!R712="Cheque 支票",'Daily Sale entry '!V712&lt;&gt;""),'Daily Sale entry '!V712+ROW()/10000000,"")</f>
        <v/>
      </c>
      <c r="L2212" s="21">
        <f>IF(K2212="","",COUNTIF($K$2:$K$3001,"&lt;"&amp;K2212)+1)</f>
        <v/>
      </c>
    </row>
    <row r="2213">
      <c r="A2213" s="5">
        <f>IF($J2213="","",IF($J2213&lt;=1500,INDEX('Daily Sale entry '!$X$1:$X$1501,$J2213+1),INDEX('Daily Sale entry '!$V$1:$V$1501,$J2213-1499)))</f>
        <v/>
      </c>
      <c r="B2213">
        <f>IF($J2213="","",IF($J2213&lt;=1500,INDEX('Daily Sale entry '!$Y$1:$Y$1501,$J2213+1)&amp;"","Buyer cheque banked 买家支票存入"&amp;IF(INDEX('Daily Sale entry '!$U$1:$U$1501,$J2213-1499)="","", " - "&amp;INDEX('Daily Sale entry '!$U$1:$U$1501,$J2213-1499))))</f>
        <v/>
      </c>
      <c r="C2213">
        <f>IF($J2213="","",IF($J2213&lt;=1500,INDEX('Daily Sale entry '!$Z$1:$Z$1501,$J2213+1)&amp;"","Cheque deposit 支票存入 (buyer 买家)"))</f>
        <v/>
      </c>
      <c r="D2213">
        <f>IF($J2213="","",IF($J2213&lt;=1500,INDEX('Daily Sale entry '!$AA$1:$AA$1501,$J2213+1)&amp;"",INDEX('Daily Sale entry '!$P$1:$P$1501,$J2213-1499)&amp;""))</f>
        <v/>
      </c>
      <c r="E2213">
        <f>IF($J2213="","",IF($J2213&lt;=1500,IF(N(INDEX('Daily Sale entry '!$AB$1:$AB$1501,$J2213+1))=0,"",INDEX('Daily Sale entry '!$AB$1:$AB$1501,$J2213+1)),1))</f>
        <v/>
      </c>
      <c r="F2213" s="6">
        <f>IF($J2213="","",IF($J2213&lt;=1500,N(INDEX('Daily Sale entry '!$AC$1:$AC$1501,$J2213+1))-IF(AND('Opening Balance'!$B$15=1,INDEX('Daily Sale entry '!$Z$1:$Z$1501,$J2213+1)="Online collection 网上收款",INDEX('Daily Sale entry '!$AA$1:$AA$1501,$J2213+1)&lt;&gt;""),N(INDEX('Daily Sale entry '!$AC$1:$AC$1501,$J2213+1))-TRUNC(N(INDEX('Daily Sale entry '!$AC$1:$AC$1501,$J2213+1))),0),N(INDEX('Daily Sale entry '!$S$1:$S$1501,$J2213-1499))-'Opening Balance'!$B$15*(N(INDEX('Daily Sale entry '!$S$1:$S$1501,$J2213-1499))-TRUNC(N(INDEX('Daily Sale entry '!$S$1:$S$1501,$J2213-1499))))))</f>
        <v/>
      </c>
      <c r="G2213" s="6">
        <f>IF($J2213="","",IF($J2213&lt;=1500,N(INDEX('Daily Sale entry '!$AD$1:$AD$1501,$J2213+1)),0))</f>
        <v/>
      </c>
      <c r="H2213" s="6">
        <f>IF($J2213="","",ROUND('Opening Balance'!$B$4+SUM($F$2:F2213)-SUM($G$2:G2213),2))</f>
        <v/>
      </c>
      <c r="J2213" s="21">
        <f>IFERROR(MATCH(ROW()-1,$L$2:$L$3001,0),"")</f>
        <v/>
      </c>
      <c r="K2213" s="34">
        <f>IF(AND('Daily Sale entry '!Q713="Collection 收款",'Daily Sale entry '!R713="Cheque 支票",'Daily Sale entry '!V713&lt;&gt;""),'Daily Sale entry '!V713+ROW()/10000000,"")</f>
        <v/>
      </c>
      <c r="L2213" s="21">
        <f>IF(K2213="","",COUNTIF($K$2:$K$3001,"&lt;"&amp;K2213)+1)</f>
        <v/>
      </c>
    </row>
    <row r="2214">
      <c r="A2214" s="5">
        <f>IF($J2214="","",IF($J2214&lt;=1500,INDEX('Daily Sale entry '!$X$1:$X$1501,$J2214+1),INDEX('Daily Sale entry '!$V$1:$V$1501,$J2214-1499)))</f>
        <v/>
      </c>
      <c r="B2214">
        <f>IF($J2214="","",IF($J2214&lt;=1500,INDEX('Daily Sale entry '!$Y$1:$Y$1501,$J2214+1)&amp;"","Buyer cheque banked 买家支票存入"&amp;IF(INDEX('Daily Sale entry '!$U$1:$U$1501,$J2214-1499)="","", " - "&amp;INDEX('Daily Sale entry '!$U$1:$U$1501,$J2214-1499))))</f>
        <v/>
      </c>
      <c r="C2214">
        <f>IF($J2214="","",IF($J2214&lt;=1500,INDEX('Daily Sale entry '!$Z$1:$Z$1501,$J2214+1)&amp;"","Cheque deposit 支票存入 (buyer 买家)"))</f>
        <v/>
      </c>
      <c r="D2214">
        <f>IF($J2214="","",IF($J2214&lt;=1500,INDEX('Daily Sale entry '!$AA$1:$AA$1501,$J2214+1)&amp;"",INDEX('Daily Sale entry '!$P$1:$P$1501,$J2214-1499)&amp;""))</f>
        <v/>
      </c>
      <c r="E2214">
        <f>IF($J2214="","",IF($J2214&lt;=1500,IF(N(INDEX('Daily Sale entry '!$AB$1:$AB$1501,$J2214+1))=0,"",INDEX('Daily Sale entry '!$AB$1:$AB$1501,$J2214+1)),1))</f>
        <v/>
      </c>
      <c r="F2214" s="6">
        <f>IF($J2214="","",IF($J2214&lt;=1500,N(INDEX('Daily Sale entry '!$AC$1:$AC$1501,$J2214+1))-IF(AND('Opening Balance'!$B$15=1,INDEX('Daily Sale entry '!$Z$1:$Z$1501,$J2214+1)="Online collection 网上收款",INDEX('Daily Sale entry '!$AA$1:$AA$1501,$J2214+1)&lt;&gt;""),N(INDEX('Daily Sale entry '!$AC$1:$AC$1501,$J2214+1))-TRUNC(N(INDEX('Daily Sale entry '!$AC$1:$AC$1501,$J2214+1))),0),N(INDEX('Daily Sale entry '!$S$1:$S$1501,$J2214-1499))-'Opening Balance'!$B$15*(N(INDEX('Daily Sale entry '!$S$1:$S$1501,$J2214-1499))-TRUNC(N(INDEX('Daily Sale entry '!$S$1:$S$1501,$J2214-1499))))))</f>
        <v/>
      </c>
      <c r="G2214" s="6">
        <f>IF($J2214="","",IF($J2214&lt;=1500,N(INDEX('Daily Sale entry '!$AD$1:$AD$1501,$J2214+1)),0))</f>
        <v/>
      </c>
      <c r="H2214" s="6">
        <f>IF($J2214="","",ROUND('Opening Balance'!$B$4+SUM($F$2:F2214)-SUM($G$2:G2214),2))</f>
        <v/>
      </c>
      <c r="J2214" s="21">
        <f>IFERROR(MATCH(ROW()-1,$L$2:$L$3001,0),"")</f>
        <v/>
      </c>
      <c r="K2214" s="34">
        <f>IF(AND('Daily Sale entry '!Q714="Collection 收款",'Daily Sale entry '!R714="Cheque 支票",'Daily Sale entry '!V714&lt;&gt;""),'Daily Sale entry '!V714+ROW()/10000000,"")</f>
        <v/>
      </c>
      <c r="L2214" s="21">
        <f>IF(K2214="","",COUNTIF($K$2:$K$3001,"&lt;"&amp;K2214)+1)</f>
        <v/>
      </c>
    </row>
    <row r="2215">
      <c r="A2215" s="5">
        <f>IF($J2215="","",IF($J2215&lt;=1500,INDEX('Daily Sale entry '!$X$1:$X$1501,$J2215+1),INDEX('Daily Sale entry '!$V$1:$V$1501,$J2215-1499)))</f>
        <v/>
      </c>
      <c r="B2215">
        <f>IF($J2215="","",IF($J2215&lt;=1500,INDEX('Daily Sale entry '!$Y$1:$Y$1501,$J2215+1)&amp;"","Buyer cheque banked 买家支票存入"&amp;IF(INDEX('Daily Sale entry '!$U$1:$U$1501,$J2215-1499)="","", " - "&amp;INDEX('Daily Sale entry '!$U$1:$U$1501,$J2215-1499))))</f>
        <v/>
      </c>
      <c r="C2215">
        <f>IF($J2215="","",IF($J2215&lt;=1500,INDEX('Daily Sale entry '!$Z$1:$Z$1501,$J2215+1)&amp;"","Cheque deposit 支票存入 (buyer 买家)"))</f>
        <v/>
      </c>
      <c r="D2215">
        <f>IF($J2215="","",IF($J2215&lt;=1500,INDEX('Daily Sale entry '!$AA$1:$AA$1501,$J2215+1)&amp;"",INDEX('Daily Sale entry '!$P$1:$P$1501,$J2215-1499)&amp;""))</f>
        <v/>
      </c>
      <c r="E2215">
        <f>IF($J2215="","",IF($J2215&lt;=1500,IF(N(INDEX('Daily Sale entry '!$AB$1:$AB$1501,$J2215+1))=0,"",INDEX('Daily Sale entry '!$AB$1:$AB$1501,$J2215+1)),1))</f>
        <v/>
      </c>
      <c r="F2215" s="6">
        <f>IF($J2215="","",IF($J2215&lt;=1500,N(INDEX('Daily Sale entry '!$AC$1:$AC$1501,$J2215+1))-IF(AND('Opening Balance'!$B$15=1,INDEX('Daily Sale entry '!$Z$1:$Z$1501,$J2215+1)="Online collection 网上收款",INDEX('Daily Sale entry '!$AA$1:$AA$1501,$J2215+1)&lt;&gt;""),N(INDEX('Daily Sale entry '!$AC$1:$AC$1501,$J2215+1))-TRUNC(N(INDEX('Daily Sale entry '!$AC$1:$AC$1501,$J2215+1))),0),N(INDEX('Daily Sale entry '!$S$1:$S$1501,$J2215-1499))-'Opening Balance'!$B$15*(N(INDEX('Daily Sale entry '!$S$1:$S$1501,$J2215-1499))-TRUNC(N(INDEX('Daily Sale entry '!$S$1:$S$1501,$J2215-1499))))))</f>
        <v/>
      </c>
      <c r="G2215" s="6">
        <f>IF($J2215="","",IF($J2215&lt;=1500,N(INDEX('Daily Sale entry '!$AD$1:$AD$1501,$J2215+1)),0))</f>
        <v/>
      </c>
      <c r="H2215" s="6">
        <f>IF($J2215="","",ROUND('Opening Balance'!$B$4+SUM($F$2:F2215)-SUM($G$2:G2215),2))</f>
        <v/>
      </c>
      <c r="J2215" s="21">
        <f>IFERROR(MATCH(ROW()-1,$L$2:$L$3001,0),"")</f>
        <v/>
      </c>
      <c r="K2215" s="34">
        <f>IF(AND('Daily Sale entry '!Q715="Collection 收款",'Daily Sale entry '!R715="Cheque 支票",'Daily Sale entry '!V715&lt;&gt;""),'Daily Sale entry '!V715+ROW()/10000000,"")</f>
        <v/>
      </c>
      <c r="L2215" s="21">
        <f>IF(K2215="","",COUNTIF($K$2:$K$3001,"&lt;"&amp;K2215)+1)</f>
        <v/>
      </c>
    </row>
    <row r="2216">
      <c r="A2216" s="5">
        <f>IF($J2216="","",IF($J2216&lt;=1500,INDEX('Daily Sale entry '!$X$1:$X$1501,$J2216+1),INDEX('Daily Sale entry '!$V$1:$V$1501,$J2216-1499)))</f>
        <v/>
      </c>
      <c r="B2216">
        <f>IF($J2216="","",IF($J2216&lt;=1500,INDEX('Daily Sale entry '!$Y$1:$Y$1501,$J2216+1)&amp;"","Buyer cheque banked 买家支票存入"&amp;IF(INDEX('Daily Sale entry '!$U$1:$U$1501,$J2216-1499)="","", " - "&amp;INDEX('Daily Sale entry '!$U$1:$U$1501,$J2216-1499))))</f>
        <v/>
      </c>
      <c r="C2216">
        <f>IF($J2216="","",IF($J2216&lt;=1500,INDEX('Daily Sale entry '!$Z$1:$Z$1501,$J2216+1)&amp;"","Cheque deposit 支票存入 (buyer 买家)"))</f>
        <v/>
      </c>
      <c r="D2216">
        <f>IF($J2216="","",IF($J2216&lt;=1500,INDEX('Daily Sale entry '!$AA$1:$AA$1501,$J2216+1)&amp;"",INDEX('Daily Sale entry '!$P$1:$P$1501,$J2216-1499)&amp;""))</f>
        <v/>
      </c>
      <c r="E2216">
        <f>IF($J2216="","",IF($J2216&lt;=1500,IF(N(INDEX('Daily Sale entry '!$AB$1:$AB$1501,$J2216+1))=0,"",INDEX('Daily Sale entry '!$AB$1:$AB$1501,$J2216+1)),1))</f>
        <v/>
      </c>
      <c r="F2216" s="6">
        <f>IF($J2216="","",IF($J2216&lt;=1500,N(INDEX('Daily Sale entry '!$AC$1:$AC$1501,$J2216+1))-IF(AND('Opening Balance'!$B$15=1,INDEX('Daily Sale entry '!$Z$1:$Z$1501,$J2216+1)="Online collection 网上收款",INDEX('Daily Sale entry '!$AA$1:$AA$1501,$J2216+1)&lt;&gt;""),N(INDEX('Daily Sale entry '!$AC$1:$AC$1501,$J2216+1))-TRUNC(N(INDEX('Daily Sale entry '!$AC$1:$AC$1501,$J2216+1))),0),N(INDEX('Daily Sale entry '!$S$1:$S$1501,$J2216-1499))-'Opening Balance'!$B$15*(N(INDEX('Daily Sale entry '!$S$1:$S$1501,$J2216-1499))-TRUNC(N(INDEX('Daily Sale entry '!$S$1:$S$1501,$J2216-1499))))))</f>
        <v/>
      </c>
      <c r="G2216" s="6">
        <f>IF($J2216="","",IF($J2216&lt;=1500,N(INDEX('Daily Sale entry '!$AD$1:$AD$1501,$J2216+1)),0))</f>
        <v/>
      </c>
      <c r="H2216" s="6">
        <f>IF($J2216="","",ROUND('Opening Balance'!$B$4+SUM($F$2:F2216)-SUM($G$2:G2216),2))</f>
        <v/>
      </c>
      <c r="J2216" s="21">
        <f>IFERROR(MATCH(ROW()-1,$L$2:$L$3001,0),"")</f>
        <v/>
      </c>
      <c r="K2216" s="34">
        <f>IF(AND('Daily Sale entry '!Q716="Collection 收款",'Daily Sale entry '!R716="Cheque 支票",'Daily Sale entry '!V716&lt;&gt;""),'Daily Sale entry '!V716+ROW()/10000000,"")</f>
        <v/>
      </c>
      <c r="L2216" s="21">
        <f>IF(K2216="","",COUNTIF($K$2:$K$3001,"&lt;"&amp;K2216)+1)</f>
        <v/>
      </c>
    </row>
    <row r="2217">
      <c r="A2217" s="5">
        <f>IF($J2217="","",IF($J2217&lt;=1500,INDEX('Daily Sale entry '!$X$1:$X$1501,$J2217+1),INDEX('Daily Sale entry '!$V$1:$V$1501,$J2217-1499)))</f>
        <v/>
      </c>
      <c r="B2217">
        <f>IF($J2217="","",IF($J2217&lt;=1500,INDEX('Daily Sale entry '!$Y$1:$Y$1501,$J2217+1)&amp;"","Buyer cheque banked 买家支票存入"&amp;IF(INDEX('Daily Sale entry '!$U$1:$U$1501,$J2217-1499)="","", " - "&amp;INDEX('Daily Sale entry '!$U$1:$U$1501,$J2217-1499))))</f>
        <v/>
      </c>
      <c r="C2217">
        <f>IF($J2217="","",IF($J2217&lt;=1500,INDEX('Daily Sale entry '!$Z$1:$Z$1501,$J2217+1)&amp;"","Cheque deposit 支票存入 (buyer 买家)"))</f>
        <v/>
      </c>
      <c r="D2217">
        <f>IF($J2217="","",IF($J2217&lt;=1500,INDEX('Daily Sale entry '!$AA$1:$AA$1501,$J2217+1)&amp;"",INDEX('Daily Sale entry '!$P$1:$P$1501,$J2217-1499)&amp;""))</f>
        <v/>
      </c>
      <c r="E2217">
        <f>IF($J2217="","",IF($J2217&lt;=1500,IF(N(INDEX('Daily Sale entry '!$AB$1:$AB$1501,$J2217+1))=0,"",INDEX('Daily Sale entry '!$AB$1:$AB$1501,$J2217+1)),1))</f>
        <v/>
      </c>
      <c r="F2217" s="6">
        <f>IF($J2217="","",IF($J2217&lt;=1500,N(INDEX('Daily Sale entry '!$AC$1:$AC$1501,$J2217+1))-IF(AND('Opening Balance'!$B$15=1,INDEX('Daily Sale entry '!$Z$1:$Z$1501,$J2217+1)="Online collection 网上收款",INDEX('Daily Sale entry '!$AA$1:$AA$1501,$J2217+1)&lt;&gt;""),N(INDEX('Daily Sale entry '!$AC$1:$AC$1501,$J2217+1))-TRUNC(N(INDEX('Daily Sale entry '!$AC$1:$AC$1501,$J2217+1))),0),N(INDEX('Daily Sale entry '!$S$1:$S$1501,$J2217-1499))-'Opening Balance'!$B$15*(N(INDEX('Daily Sale entry '!$S$1:$S$1501,$J2217-1499))-TRUNC(N(INDEX('Daily Sale entry '!$S$1:$S$1501,$J2217-1499))))))</f>
        <v/>
      </c>
      <c r="G2217" s="6">
        <f>IF($J2217="","",IF($J2217&lt;=1500,N(INDEX('Daily Sale entry '!$AD$1:$AD$1501,$J2217+1)),0))</f>
        <v/>
      </c>
      <c r="H2217" s="6">
        <f>IF($J2217="","",ROUND('Opening Balance'!$B$4+SUM($F$2:F2217)-SUM($G$2:G2217),2))</f>
        <v/>
      </c>
      <c r="J2217" s="21">
        <f>IFERROR(MATCH(ROW()-1,$L$2:$L$3001,0),"")</f>
        <v/>
      </c>
      <c r="K2217" s="34">
        <f>IF(AND('Daily Sale entry '!Q717="Collection 收款",'Daily Sale entry '!R717="Cheque 支票",'Daily Sale entry '!V717&lt;&gt;""),'Daily Sale entry '!V717+ROW()/10000000,"")</f>
        <v/>
      </c>
      <c r="L2217" s="21">
        <f>IF(K2217="","",COUNTIF($K$2:$K$3001,"&lt;"&amp;K2217)+1)</f>
        <v/>
      </c>
    </row>
    <row r="2218">
      <c r="A2218" s="5">
        <f>IF($J2218="","",IF($J2218&lt;=1500,INDEX('Daily Sale entry '!$X$1:$X$1501,$J2218+1),INDEX('Daily Sale entry '!$V$1:$V$1501,$J2218-1499)))</f>
        <v/>
      </c>
      <c r="B2218">
        <f>IF($J2218="","",IF($J2218&lt;=1500,INDEX('Daily Sale entry '!$Y$1:$Y$1501,$J2218+1)&amp;"","Buyer cheque banked 买家支票存入"&amp;IF(INDEX('Daily Sale entry '!$U$1:$U$1501,$J2218-1499)="","", " - "&amp;INDEX('Daily Sale entry '!$U$1:$U$1501,$J2218-1499))))</f>
        <v/>
      </c>
      <c r="C2218">
        <f>IF($J2218="","",IF($J2218&lt;=1500,INDEX('Daily Sale entry '!$Z$1:$Z$1501,$J2218+1)&amp;"","Cheque deposit 支票存入 (buyer 买家)"))</f>
        <v/>
      </c>
      <c r="D2218">
        <f>IF($J2218="","",IF($J2218&lt;=1500,INDEX('Daily Sale entry '!$AA$1:$AA$1501,$J2218+1)&amp;"",INDEX('Daily Sale entry '!$P$1:$P$1501,$J2218-1499)&amp;""))</f>
        <v/>
      </c>
      <c r="E2218">
        <f>IF($J2218="","",IF($J2218&lt;=1500,IF(N(INDEX('Daily Sale entry '!$AB$1:$AB$1501,$J2218+1))=0,"",INDEX('Daily Sale entry '!$AB$1:$AB$1501,$J2218+1)),1))</f>
        <v/>
      </c>
      <c r="F2218" s="6">
        <f>IF($J2218="","",IF($J2218&lt;=1500,N(INDEX('Daily Sale entry '!$AC$1:$AC$1501,$J2218+1))-IF(AND('Opening Balance'!$B$15=1,INDEX('Daily Sale entry '!$Z$1:$Z$1501,$J2218+1)="Online collection 网上收款",INDEX('Daily Sale entry '!$AA$1:$AA$1501,$J2218+1)&lt;&gt;""),N(INDEX('Daily Sale entry '!$AC$1:$AC$1501,$J2218+1))-TRUNC(N(INDEX('Daily Sale entry '!$AC$1:$AC$1501,$J2218+1))),0),N(INDEX('Daily Sale entry '!$S$1:$S$1501,$J2218-1499))-'Opening Balance'!$B$15*(N(INDEX('Daily Sale entry '!$S$1:$S$1501,$J2218-1499))-TRUNC(N(INDEX('Daily Sale entry '!$S$1:$S$1501,$J2218-1499))))))</f>
        <v/>
      </c>
      <c r="G2218" s="6">
        <f>IF($J2218="","",IF($J2218&lt;=1500,N(INDEX('Daily Sale entry '!$AD$1:$AD$1501,$J2218+1)),0))</f>
        <v/>
      </c>
      <c r="H2218" s="6">
        <f>IF($J2218="","",ROUND('Opening Balance'!$B$4+SUM($F$2:F2218)-SUM($G$2:G2218),2))</f>
        <v/>
      </c>
      <c r="J2218" s="21">
        <f>IFERROR(MATCH(ROW()-1,$L$2:$L$3001,0),"")</f>
        <v/>
      </c>
      <c r="K2218" s="34">
        <f>IF(AND('Daily Sale entry '!Q718="Collection 收款",'Daily Sale entry '!R718="Cheque 支票",'Daily Sale entry '!V718&lt;&gt;""),'Daily Sale entry '!V718+ROW()/10000000,"")</f>
        <v/>
      </c>
      <c r="L2218" s="21">
        <f>IF(K2218="","",COUNTIF($K$2:$K$3001,"&lt;"&amp;K2218)+1)</f>
        <v/>
      </c>
    </row>
    <row r="2219">
      <c r="A2219" s="5">
        <f>IF($J2219="","",IF($J2219&lt;=1500,INDEX('Daily Sale entry '!$X$1:$X$1501,$J2219+1),INDEX('Daily Sale entry '!$V$1:$V$1501,$J2219-1499)))</f>
        <v/>
      </c>
      <c r="B2219">
        <f>IF($J2219="","",IF($J2219&lt;=1500,INDEX('Daily Sale entry '!$Y$1:$Y$1501,$J2219+1)&amp;"","Buyer cheque banked 买家支票存入"&amp;IF(INDEX('Daily Sale entry '!$U$1:$U$1501,$J2219-1499)="","", " - "&amp;INDEX('Daily Sale entry '!$U$1:$U$1501,$J2219-1499))))</f>
        <v/>
      </c>
      <c r="C2219">
        <f>IF($J2219="","",IF($J2219&lt;=1500,INDEX('Daily Sale entry '!$Z$1:$Z$1501,$J2219+1)&amp;"","Cheque deposit 支票存入 (buyer 买家)"))</f>
        <v/>
      </c>
      <c r="D2219">
        <f>IF($J2219="","",IF($J2219&lt;=1500,INDEX('Daily Sale entry '!$AA$1:$AA$1501,$J2219+1)&amp;"",INDEX('Daily Sale entry '!$P$1:$P$1501,$J2219-1499)&amp;""))</f>
        <v/>
      </c>
      <c r="E2219">
        <f>IF($J2219="","",IF($J2219&lt;=1500,IF(N(INDEX('Daily Sale entry '!$AB$1:$AB$1501,$J2219+1))=0,"",INDEX('Daily Sale entry '!$AB$1:$AB$1501,$J2219+1)),1))</f>
        <v/>
      </c>
      <c r="F2219" s="6">
        <f>IF($J2219="","",IF($J2219&lt;=1500,N(INDEX('Daily Sale entry '!$AC$1:$AC$1501,$J2219+1))-IF(AND('Opening Balance'!$B$15=1,INDEX('Daily Sale entry '!$Z$1:$Z$1501,$J2219+1)="Online collection 网上收款",INDEX('Daily Sale entry '!$AA$1:$AA$1501,$J2219+1)&lt;&gt;""),N(INDEX('Daily Sale entry '!$AC$1:$AC$1501,$J2219+1))-TRUNC(N(INDEX('Daily Sale entry '!$AC$1:$AC$1501,$J2219+1))),0),N(INDEX('Daily Sale entry '!$S$1:$S$1501,$J2219-1499))-'Opening Balance'!$B$15*(N(INDEX('Daily Sale entry '!$S$1:$S$1501,$J2219-1499))-TRUNC(N(INDEX('Daily Sale entry '!$S$1:$S$1501,$J2219-1499))))))</f>
        <v/>
      </c>
      <c r="G2219" s="6">
        <f>IF($J2219="","",IF($J2219&lt;=1500,N(INDEX('Daily Sale entry '!$AD$1:$AD$1501,$J2219+1)),0))</f>
        <v/>
      </c>
      <c r="H2219" s="6">
        <f>IF($J2219="","",ROUND('Opening Balance'!$B$4+SUM($F$2:F2219)-SUM($G$2:G2219),2))</f>
        <v/>
      </c>
      <c r="J2219" s="21">
        <f>IFERROR(MATCH(ROW()-1,$L$2:$L$3001,0),"")</f>
        <v/>
      </c>
      <c r="K2219" s="34">
        <f>IF(AND('Daily Sale entry '!Q719="Collection 收款",'Daily Sale entry '!R719="Cheque 支票",'Daily Sale entry '!V719&lt;&gt;""),'Daily Sale entry '!V719+ROW()/10000000,"")</f>
        <v/>
      </c>
      <c r="L2219" s="21">
        <f>IF(K2219="","",COUNTIF($K$2:$K$3001,"&lt;"&amp;K2219)+1)</f>
        <v/>
      </c>
    </row>
    <row r="2220">
      <c r="A2220" s="5">
        <f>IF($J2220="","",IF($J2220&lt;=1500,INDEX('Daily Sale entry '!$X$1:$X$1501,$J2220+1),INDEX('Daily Sale entry '!$V$1:$V$1501,$J2220-1499)))</f>
        <v/>
      </c>
      <c r="B2220">
        <f>IF($J2220="","",IF($J2220&lt;=1500,INDEX('Daily Sale entry '!$Y$1:$Y$1501,$J2220+1)&amp;"","Buyer cheque banked 买家支票存入"&amp;IF(INDEX('Daily Sale entry '!$U$1:$U$1501,$J2220-1499)="","", " - "&amp;INDEX('Daily Sale entry '!$U$1:$U$1501,$J2220-1499))))</f>
        <v/>
      </c>
      <c r="C2220">
        <f>IF($J2220="","",IF($J2220&lt;=1500,INDEX('Daily Sale entry '!$Z$1:$Z$1501,$J2220+1)&amp;"","Cheque deposit 支票存入 (buyer 买家)"))</f>
        <v/>
      </c>
      <c r="D2220">
        <f>IF($J2220="","",IF($J2220&lt;=1500,INDEX('Daily Sale entry '!$AA$1:$AA$1501,$J2220+1)&amp;"",INDEX('Daily Sale entry '!$P$1:$P$1501,$J2220-1499)&amp;""))</f>
        <v/>
      </c>
      <c r="E2220">
        <f>IF($J2220="","",IF($J2220&lt;=1500,IF(N(INDEX('Daily Sale entry '!$AB$1:$AB$1501,$J2220+1))=0,"",INDEX('Daily Sale entry '!$AB$1:$AB$1501,$J2220+1)),1))</f>
        <v/>
      </c>
      <c r="F2220" s="6">
        <f>IF($J2220="","",IF($J2220&lt;=1500,N(INDEX('Daily Sale entry '!$AC$1:$AC$1501,$J2220+1))-IF(AND('Opening Balance'!$B$15=1,INDEX('Daily Sale entry '!$Z$1:$Z$1501,$J2220+1)="Online collection 网上收款",INDEX('Daily Sale entry '!$AA$1:$AA$1501,$J2220+1)&lt;&gt;""),N(INDEX('Daily Sale entry '!$AC$1:$AC$1501,$J2220+1))-TRUNC(N(INDEX('Daily Sale entry '!$AC$1:$AC$1501,$J2220+1))),0),N(INDEX('Daily Sale entry '!$S$1:$S$1501,$J2220-1499))-'Opening Balance'!$B$15*(N(INDEX('Daily Sale entry '!$S$1:$S$1501,$J2220-1499))-TRUNC(N(INDEX('Daily Sale entry '!$S$1:$S$1501,$J2220-1499))))))</f>
        <v/>
      </c>
      <c r="G2220" s="6">
        <f>IF($J2220="","",IF($J2220&lt;=1500,N(INDEX('Daily Sale entry '!$AD$1:$AD$1501,$J2220+1)),0))</f>
        <v/>
      </c>
      <c r="H2220" s="6">
        <f>IF($J2220="","",ROUND('Opening Balance'!$B$4+SUM($F$2:F2220)-SUM($G$2:G2220),2))</f>
        <v/>
      </c>
      <c r="J2220" s="21">
        <f>IFERROR(MATCH(ROW()-1,$L$2:$L$3001,0),"")</f>
        <v/>
      </c>
      <c r="K2220" s="34">
        <f>IF(AND('Daily Sale entry '!Q720="Collection 收款",'Daily Sale entry '!R720="Cheque 支票",'Daily Sale entry '!V720&lt;&gt;""),'Daily Sale entry '!V720+ROW()/10000000,"")</f>
        <v/>
      </c>
      <c r="L2220" s="21">
        <f>IF(K2220="","",COUNTIF($K$2:$K$3001,"&lt;"&amp;K2220)+1)</f>
        <v/>
      </c>
    </row>
    <row r="2221">
      <c r="A2221" s="5">
        <f>IF($J2221="","",IF($J2221&lt;=1500,INDEX('Daily Sale entry '!$X$1:$X$1501,$J2221+1),INDEX('Daily Sale entry '!$V$1:$V$1501,$J2221-1499)))</f>
        <v/>
      </c>
      <c r="B2221">
        <f>IF($J2221="","",IF($J2221&lt;=1500,INDEX('Daily Sale entry '!$Y$1:$Y$1501,$J2221+1)&amp;"","Buyer cheque banked 买家支票存入"&amp;IF(INDEX('Daily Sale entry '!$U$1:$U$1501,$J2221-1499)="","", " - "&amp;INDEX('Daily Sale entry '!$U$1:$U$1501,$J2221-1499))))</f>
        <v/>
      </c>
      <c r="C2221">
        <f>IF($J2221="","",IF($J2221&lt;=1500,INDEX('Daily Sale entry '!$Z$1:$Z$1501,$J2221+1)&amp;"","Cheque deposit 支票存入 (buyer 买家)"))</f>
        <v/>
      </c>
      <c r="D2221">
        <f>IF($J2221="","",IF($J2221&lt;=1500,INDEX('Daily Sale entry '!$AA$1:$AA$1501,$J2221+1)&amp;"",INDEX('Daily Sale entry '!$P$1:$P$1501,$J2221-1499)&amp;""))</f>
        <v/>
      </c>
      <c r="E2221">
        <f>IF($J2221="","",IF($J2221&lt;=1500,IF(N(INDEX('Daily Sale entry '!$AB$1:$AB$1501,$J2221+1))=0,"",INDEX('Daily Sale entry '!$AB$1:$AB$1501,$J2221+1)),1))</f>
        <v/>
      </c>
      <c r="F2221" s="6">
        <f>IF($J2221="","",IF($J2221&lt;=1500,N(INDEX('Daily Sale entry '!$AC$1:$AC$1501,$J2221+1))-IF(AND('Opening Balance'!$B$15=1,INDEX('Daily Sale entry '!$Z$1:$Z$1501,$J2221+1)="Online collection 网上收款",INDEX('Daily Sale entry '!$AA$1:$AA$1501,$J2221+1)&lt;&gt;""),N(INDEX('Daily Sale entry '!$AC$1:$AC$1501,$J2221+1))-TRUNC(N(INDEX('Daily Sale entry '!$AC$1:$AC$1501,$J2221+1))),0),N(INDEX('Daily Sale entry '!$S$1:$S$1501,$J2221-1499))-'Opening Balance'!$B$15*(N(INDEX('Daily Sale entry '!$S$1:$S$1501,$J2221-1499))-TRUNC(N(INDEX('Daily Sale entry '!$S$1:$S$1501,$J2221-1499))))))</f>
        <v/>
      </c>
      <c r="G2221" s="6">
        <f>IF($J2221="","",IF($J2221&lt;=1500,N(INDEX('Daily Sale entry '!$AD$1:$AD$1501,$J2221+1)),0))</f>
        <v/>
      </c>
      <c r="H2221" s="6">
        <f>IF($J2221="","",ROUND('Opening Balance'!$B$4+SUM($F$2:F2221)-SUM($G$2:G2221),2))</f>
        <v/>
      </c>
      <c r="J2221" s="21">
        <f>IFERROR(MATCH(ROW()-1,$L$2:$L$3001,0),"")</f>
        <v/>
      </c>
      <c r="K2221" s="34">
        <f>IF(AND('Daily Sale entry '!Q721="Collection 收款",'Daily Sale entry '!R721="Cheque 支票",'Daily Sale entry '!V721&lt;&gt;""),'Daily Sale entry '!V721+ROW()/10000000,"")</f>
        <v/>
      </c>
      <c r="L2221" s="21">
        <f>IF(K2221="","",COUNTIF($K$2:$K$3001,"&lt;"&amp;K2221)+1)</f>
        <v/>
      </c>
    </row>
    <row r="2222">
      <c r="A2222" s="5">
        <f>IF($J2222="","",IF($J2222&lt;=1500,INDEX('Daily Sale entry '!$X$1:$X$1501,$J2222+1),INDEX('Daily Sale entry '!$V$1:$V$1501,$J2222-1499)))</f>
        <v/>
      </c>
      <c r="B2222">
        <f>IF($J2222="","",IF($J2222&lt;=1500,INDEX('Daily Sale entry '!$Y$1:$Y$1501,$J2222+1)&amp;"","Buyer cheque banked 买家支票存入"&amp;IF(INDEX('Daily Sale entry '!$U$1:$U$1501,$J2222-1499)="","", " - "&amp;INDEX('Daily Sale entry '!$U$1:$U$1501,$J2222-1499))))</f>
        <v/>
      </c>
      <c r="C2222">
        <f>IF($J2222="","",IF($J2222&lt;=1500,INDEX('Daily Sale entry '!$Z$1:$Z$1501,$J2222+1)&amp;"","Cheque deposit 支票存入 (buyer 买家)"))</f>
        <v/>
      </c>
      <c r="D2222">
        <f>IF($J2222="","",IF($J2222&lt;=1500,INDEX('Daily Sale entry '!$AA$1:$AA$1501,$J2222+1)&amp;"",INDEX('Daily Sale entry '!$P$1:$P$1501,$J2222-1499)&amp;""))</f>
        <v/>
      </c>
      <c r="E2222">
        <f>IF($J2222="","",IF($J2222&lt;=1500,IF(N(INDEX('Daily Sale entry '!$AB$1:$AB$1501,$J2222+1))=0,"",INDEX('Daily Sale entry '!$AB$1:$AB$1501,$J2222+1)),1))</f>
        <v/>
      </c>
      <c r="F2222" s="6">
        <f>IF($J2222="","",IF($J2222&lt;=1500,N(INDEX('Daily Sale entry '!$AC$1:$AC$1501,$J2222+1))-IF(AND('Opening Balance'!$B$15=1,INDEX('Daily Sale entry '!$Z$1:$Z$1501,$J2222+1)="Online collection 网上收款",INDEX('Daily Sale entry '!$AA$1:$AA$1501,$J2222+1)&lt;&gt;""),N(INDEX('Daily Sale entry '!$AC$1:$AC$1501,$J2222+1))-TRUNC(N(INDEX('Daily Sale entry '!$AC$1:$AC$1501,$J2222+1))),0),N(INDEX('Daily Sale entry '!$S$1:$S$1501,$J2222-1499))-'Opening Balance'!$B$15*(N(INDEX('Daily Sale entry '!$S$1:$S$1501,$J2222-1499))-TRUNC(N(INDEX('Daily Sale entry '!$S$1:$S$1501,$J2222-1499))))))</f>
        <v/>
      </c>
      <c r="G2222" s="6">
        <f>IF($J2222="","",IF($J2222&lt;=1500,N(INDEX('Daily Sale entry '!$AD$1:$AD$1501,$J2222+1)),0))</f>
        <v/>
      </c>
      <c r="H2222" s="6">
        <f>IF($J2222="","",ROUND('Opening Balance'!$B$4+SUM($F$2:F2222)-SUM($G$2:G2222),2))</f>
        <v/>
      </c>
      <c r="J2222" s="21">
        <f>IFERROR(MATCH(ROW()-1,$L$2:$L$3001,0),"")</f>
        <v/>
      </c>
      <c r="K2222" s="34">
        <f>IF(AND('Daily Sale entry '!Q722="Collection 收款",'Daily Sale entry '!R722="Cheque 支票",'Daily Sale entry '!V722&lt;&gt;""),'Daily Sale entry '!V722+ROW()/10000000,"")</f>
        <v/>
      </c>
      <c r="L2222" s="21">
        <f>IF(K2222="","",COUNTIF($K$2:$K$3001,"&lt;"&amp;K2222)+1)</f>
        <v/>
      </c>
    </row>
    <row r="2223">
      <c r="A2223" s="5">
        <f>IF($J2223="","",IF($J2223&lt;=1500,INDEX('Daily Sale entry '!$X$1:$X$1501,$J2223+1),INDEX('Daily Sale entry '!$V$1:$V$1501,$J2223-1499)))</f>
        <v/>
      </c>
      <c r="B2223">
        <f>IF($J2223="","",IF($J2223&lt;=1500,INDEX('Daily Sale entry '!$Y$1:$Y$1501,$J2223+1)&amp;"","Buyer cheque banked 买家支票存入"&amp;IF(INDEX('Daily Sale entry '!$U$1:$U$1501,$J2223-1499)="","", " - "&amp;INDEX('Daily Sale entry '!$U$1:$U$1501,$J2223-1499))))</f>
        <v/>
      </c>
      <c r="C2223">
        <f>IF($J2223="","",IF($J2223&lt;=1500,INDEX('Daily Sale entry '!$Z$1:$Z$1501,$J2223+1)&amp;"","Cheque deposit 支票存入 (buyer 买家)"))</f>
        <v/>
      </c>
      <c r="D2223">
        <f>IF($J2223="","",IF($J2223&lt;=1500,INDEX('Daily Sale entry '!$AA$1:$AA$1501,$J2223+1)&amp;"",INDEX('Daily Sale entry '!$P$1:$P$1501,$J2223-1499)&amp;""))</f>
        <v/>
      </c>
      <c r="E2223">
        <f>IF($J2223="","",IF($J2223&lt;=1500,IF(N(INDEX('Daily Sale entry '!$AB$1:$AB$1501,$J2223+1))=0,"",INDEX('Daily Sale entry '!$AB$1:$AB$1501,$J2223+1)),1))</f>
        <v/>
      </c>
      <c r="F2223" s="6">
        <f>IF($J2223="","",IF($J2223&lt;=1500,N(INDEX('Daily Sale entry '!$AC$1:$AC$1501,$J2223+1))-IF(AND('Opening Balance'!$B$15=1,INDEX('Daily Sale entry '!$Z$1:$Z$1501,$J2223+1)="Online collection 网上收款",INDEX('Daily Sale entry '!$AA$1:$AA$1501,$J2223+1)&lt;&gt;""),N(INDEX('Daily Sale entry '!$AC$1:$AC$1501,$J2223+1))-TRUNC(N(INDEX('Daily Sale entry '!$AC$1:$AC$1501,$J2223+1))),0),N(INDEX('Daily Sale entry '!$S$1:$S$1501,$J2223-1499))-'Opening Balance'!$B$15*(N(INDEX('Daily Sale entry '!$S$1:$S$1501,$J2223-1499))-TRUNC(N(INDEX('Daily Sale entry '!$S$1:$S$1501,$J2223-1499))))))</f>
        <v/>
      </c>
      <c r="G2223" s="6">
        <f>IF($J2223="","",IF($J2223&lt;=1500,N(INDEX('Daily Sale entry '!$AD$1:$AD$1501,$J2223+1)),0))</f>
        <v/>
      </c>
      <c r="H2223" s="6">
        <f>IF($J2223="","",ROUND('Opening Balance'!$B$4+SUM($F$2:F2223)-SUM($G$2:G2223),2))</f>
        <v/>
      </c>
      <c r="J2223" s="21">
        <f>IFERROR(MATCH(ROW()-1,$L$2:$L$3001,0),"")</f>
        <v/>
      </c>
      <c r="K2223" s="34">
        <f>IF(AND('Daily Sale entry '!Q723="Collection 收款",'Daily Sale entry '!R723="Cheque 支票",'Daily Sale entry '!V723&lt;&gt;""),'Daily Sale entry '!V723+ROW()/10000000,"")</f>
        <v/>
      </c>
      <c r="L2223" s="21">
        <f>IF(K2223="","",COUNTIF($K$2:$K$3001,"&lt;"&amp;K2223)+1)</f>
        <v/>
      </c>
    </row>
    <row r="2224">
      <c r="A2224" s="5">
        <f>IF($J2224="","",IF($J2224&lt;=1500,INDEX('Daily Sale entry '!$X$1:$X$1501,$J2224+1),INDEX('Daily Sale entry '!$V$1:$V$1501,$J2224-1499)))</f>
        <v/>
      </c>
      <c r="B2224">
        <f>IF($J2224="","",IF($J2224&lt;=1500,INDEX('Daily Sale entry '!$Y$1:$Y$1501,$J2224+1)&amp;"","Buyer cheque banked 买家支票存入"&amp;IF(INDEX('Daily Sale entry '!$U$1:$U$1501,$J2224-1499)="","", " - "&amp;INDEX('Daily Sale entry '!$U$1:$U$1501,$J2224-1499))))</f>
        <v/>
      </c>
      <c r="C2224">
        <f>IF($J2224="","",IF($J2224&lt;=1500,INDEX('Daily Sale entry '!$Z$1:$Z$1501,$J2224+1)&amp;"","Cheque deposit 支票存入 (buyer 买家)"))</f>
        <v/>
      </c>
      <c r="D2224">
        <f>IF($J2224="","",IF($J2224&lt;=1500,INDEX('Daily Sale entry '!$AA$1:$AA$1501,$J2224+1)&amp;"",INDEX('Daily Sale entry '!$P$1:$P$1501,$J2224-1499)&amp;""))</f>
        <v/>
      </c>
      <c r="E2224">
        <f>IF($J2224="","",IF($J2224&lt;=1500,IF(N(INDEX('Daily Sale entry '!$AB$1:$AB$1501,$J2224+1))=0,"",INDEX('Daily Sale entry '!$AB$1:$AB$1501,$J2224+1)),1))</f>
        <v/>
      </c>
      <c r="F2224" s="6">
        <f>IF($J2224="","",IF($J2224&lt;=1500,N(INDEX('Daily Sale entry '!$AC$1:$AC$1501,$J2224+1))-IF(AND('Opening Balance'!$B$15=1,INDEX('Daily Sale entry '!$Z$1:$Z$1501,$J2224+1)="Online collection 网上收款",INDEX('Daily Sale entry '!$AA$1:$AA$1501,$J2224+1)&lt;&gt;""),N(INDEX('Daily Sale entry '!$AC$1:$AC$1501,$J2224+1))-TRUNC(N(INDEX('Daily Sale entry '!$AC$1:$AC$1501,$J2224+1))),0),N(INDEX('Daily Sale entry '!$S$1:$S$1501,$J2224-1499))-'Opening Balance'!$B$15*(N(INDEX('Daily Sale entry '!$S$1:$S$1501,$J2224-1499))-TRUNC(N(INDEX('Daily Sale entry '!$S$1:$S$1501,$J2224-1499))))))</f>
        <v/>
      </c>
      <c r="G2224" s="6">
        <f>IF($J2224="","",IF($J2224&lt;=1500,N(INDEX('Daily Sale entry '!$AD$1:$AD$1501,$J2224+1)),0))</f>
        <v/>
      </c>
      <c r="H2224" s="6">
        <f>IF($J2224="","",ROUND('Opening Balance'!$B$4+SUM($F$2:F2224)-SUM($G$2:G2224),2))</f>
        <v/>
      </c>
      <c r="J2224" s="21">
        <f>IFERROR(MATCH(ROW()-1,$L$2:$L$3001,0),"")</f>
        <v/>
      </c>
      <c r="K2224" s="34">
        <f>IF(AND('Daily Sale entry '!Q724="Collection 收款",'Daily Sale entry '!R724="Cheque 支票",'Daily Sale entry '!V724&lt;&gt;""),'Daily Sale entry '!V724+ROW()/10000000,"")</f>
        <v/>
      </c>
      <c r="L2224" s="21">
        <f>IF(K2224="","",COUNTIF($K$2:$K$3001,"&lt;"&amp;K2224)+1)</f>
        <v/>
      </c>
    </row>
    <row r="2225">
      <c r="A2225" s="5">
        <f>IF($J2225="","",IF($J2225&lt;=1500,INDEX('Daily Sale entry '!$X$1:$X$1501,$J2225+1),INDEX('Daily Sale entry '!$V$1:$V$1501,$J2225-1499)))</f>
        <v/>
      </c>
      <c r="B2225">
        <f>IF($J2225="","",IF($J2225&lt;=1500,INDEX('Daily Sale entry '!$Y$1:$Y$1501,$J2225+1)&amp;"","Buyer cheque banked 买家支票存入"&amp;IF(INDEX('Daily Sale entry '!$U$1:$U$1501,$J2225-1499)="","", " - "&amp;INDEX('Daily Sale entry '!$U$1:$U$1501,$J2225-1499))))</f>
        <v/>
      </c>
      <c r="C2225">
        <f>IF($J2225="","",IF($J2225&lt;=1500,INDEX('Daily Sale entry '!$Z$1:$Z$1501,$J2225+1)&amp;"","Cheque deposit 支票存入 (buyer 买家)"))</f>
        <v/>
      </c>
      <c r="D2225">
        <f>IF($J2225="","",IF($J2225&lt;=1500,INDEX('Daily Sale entry '!$AA$1:$AA$1501,$J2225+1)&amp;"",INDEX('Daily Sale entry '!$P$1:$P$1501,$J2225-1499)&amp;""))</f>
        <v/>
      </c>
      <c r="E2225">
        <f>IF($J2225="","",IF($J2225&lt;=1500,IF(N(INDEX('Daily Sale entry '!$AB$1:$AB$1501,$J2225+1))=0,"",INDEX('Daily Sale entry '!$AB$1:$AB$1501,$J2225+1)),1))</f>
        <v/>
      </c>
      <c r="F2225" s="6">
        <f>IF($J2225="","",IF($J2225&lt;=1500,N(INDEX('Daily Sale entry '!$AC$1:$AC$1501,$J2225+1))-IF(AND('Opening Balance'!$B$15=1,INDEX('Daily Sale entry '!$Z$1:$Z$1501,$J2225+1)="Online collection 网上收款",INDEX('Daily Sale entry '!$AA$1:$AA$1501,$J2225+1)&lt;&gt;""),N(INDEX('Daily Sale entry '!$AC$1:$AC$1501,$J2225+1))-TRUNC(N(INDEX('Daily Sale entry '!$AC$1:$AC$1501,$J2225+1))),0),N(INDEX('Daily Sale entry '!$S$1:$S$1501,$J2225-1499))-'Opening Balance'!$B$15*(N(INDEX('Daily Sale entry '!$S$1:$S$1501,$J2225-1499))-TRUNC(N(INDEX('Daily Sale entry '!$S$1:$S$1501,$J2225-1499))))))</f>
        <v/>
      </c>
      <c r="G2225" s="6">
        <f>IF($J2225="","",IF($J2225&lt;=1500,N(INDEX('Daily Sale entry '!$AD$1:$AD$1501,$J2225+1)),0))</f>
        <v/>
      </c>
      <c r="H2225" s="6">
        <f>IF($J2225="","",ROUND('Opening Balance'!$B$4+SUM($F$2:F2225)-SUM($G$2:G2225),2))</f>
        <v/>
      </c>
      <c r="J2225" s="21">
        <f>IFERROR(MATCH(ROW()-1,$L$2:$L$3001,0),"")</f>
        <v/>
      </c>
      <c r="K2225" s="34">
        <f>IF(AND('Daily Sale entry '!Q725="Collection 收款",'Daily Sale entry '!R725="Cheque 支票",'Daily Sale entry '!V725&lt;&gt;""),'Daily Sale entry '!V725+ROW()/10000000,"")</f>
        <v/>
      </c>
      <c r="L2225" s="21">
        <f>IF(K2225="","",COUNTIF($K$2:$K$3001,"&lt;"&amp;K2225)+1)</f>
        <v/>
      </c>
    </row>
    <row r="2226">
      <c r="A2226" s="5">
        <f>IF($J2226="","",IF($J2226&lt;=1500,INDEX('Daily Sale entry '!$X$1:$X$1501,$J2226+1),INDEX('Daily Sale entry '!$V$1:$V$1501,$J2226-1499)))</f>
        <v/>
      </c>
      <c r="B2226">
        <f>IF($J2226="","",IF($J2226&lt;=1500,INDEX('Daily Sale entry '!$Y$1:$Y$1501,$J2226+1)&amp;"","Buyer cheque banked 买家支票存入"&amp;IF(INDEX('Daily Sale entry '!$U$1:$U$1501,$J2226-1499)="","", " - "&amp;INDEX('Daily Sale entry '!$U$1:$U$1501,$J2226-1499))))</f>
        <v/>
      </c>
      <c r="C2226">
        <f>IF($J2226="","",IF($J2226&lt;=1500,INDEX('Daily Sale entry '!$Z$1:$Z$1501,$J2226+1)&amp;"","Cheque deposit 支票存入 (buyer 买家)"))</f>
        <v/>
      </c>
      <c r="D2226">
        <f>IF($J2226="","",IF($J2226&lt;=1500,INDEX('Daily Sale entry '!$AA$1:$AA$1501,$J2226+1)&amp;"",INDEX('Daily Sale entry '!$P$1:$P$1501,$J2226-1499)&amp;""))</f>
        <v/>
      </c>
      <c r="E2226">
        <f>IF($J2226="","",IF($J2226&lt;=1500,IF(N(INDEX('Daily Sale entry '!$AB$1:$AB$1501,$J2226+1))=0,"",INDEX('Daily Sale entry '!$AB$1:$AB$1501,$J2226+1)),1))</f>
        <v/>
      </c>
      <c r="F2226" s="6">
        <f>IF($J2226="","",IF($J2226&lt;=1500,N(INDEX('Daily Sale entry '!$AC$1:$AC$1501,$J2226+1))-IF(AND('Opening Balance'!$B$15=1,INDEX('Daily Sale entry '!$Z$1:$Z$1501,$J2226+1)="Online collection 网上收款",INDEX('Daily Sale entry '!$AA$1:$AA$1501,$J2226+1)&lt;&gt;""),N(INDEX('Daily Sale entry '!$AC$1:$AC$1501,$J2226+1))-TRUNC(N(INDEX('Daily Sale entry '!$AC$1:$AC$1501,$J2226+1))),0),N(INDEX('Daily Sale entry '!$S$1:$S$1501,$J2226-1499))-'Opening Balance'!$B$15*(N(INDEX('Daily Sale entry '!$S$1:$S$1501,$J2226-1499))-TRUNC(N(INDEX('Daily Sale entry '!$S$1:$S$1501,$J2226-1499))))))</f>
        <v/>
      </c>
      <c r="G2226" s="6">
        <f>IF($J2226="","",IF($J2226&lt;=1500,N(INDEX('Daily Sale entry '!$AD$1:$AD$1501,$J2226+1)),0))</f>
        <v/>
      </c>
      <c r="H2226" s="6">
        <f>IF($J2226="","",ROUND('Opening Balance'!$B$4+SUM($F$2:F2226)-SUM($G$2:G2226),2))</f>
        <v/>
      </c>
      <c r="J2226" s="21">
        <f>IFERROR(MATCH(ROW()-1,$L$2:$L$3001,0),"")</f>
        <v/>
      </c>
      <c r="K2226" s="34">
        <f>IF(AND('Daily Sale entry '!Q726="Collection 收款",'Daily Sale entry '!R726="Cheque 支票",'Daily Sale entry '!V726&lt;&gt;""),'Daily Sale entry '!V726+ROW()/10000000,"")</f>
        <v/>
      </c>
      <c r="L2226" s="21">
        <f>IF(K2226="","",COUNTIF($K$2:$K$3001,"&lt;"&amp;K2226)+1)</f>
        <v/>
      </c>
    </row>
    <row r="2227">
      <c r="A2227" s="5">
        <f>IF($J2227="","",IF($J2227&lt;=1500,INDEX('Daily Sale entry '!$X$1:$X$1501,$J2227+1),INDEX('Daily Sale entry '!$V$1:$V$1501,$J2227-1499)))</f>
        <v/>
      </c>
      <c r="B2227">
        <f>IF($J2227="","",IF($J2227&lt;=1500,INDEX('Daily Sale entry '!$Y$1:$Y$1501,$J2227+1)&amp;"","Buyer cheque banked 买家支票存入"&amp;IF(INDEX('Daily Sale entry '!$U$1:$U$1501,$J2227-1499)="","", " - "&amp;INDEX('Daily Sale entry '!$U$1:$U$1501,$J2227-1499))))</f>
        <v/>
      </c>
      <c r="C2227">
        <f>IF($J2227="","",IF($J2227&lt;=1500,INDEX('Daily Sale entry '!$Z$1:$Z$1501,$J2227+1)&amp;"","Cheque deposit 支票存入 (buyer 买家)"))</f>
        <v/>
      </c>
      <c r="D2227">
        <f>IF($J2227="","",IF($J2227&lt;=1500,INDEX('Daily Sale entry '!$AA$1:$AA$1501,$J2227+1)&amp;"",INDEX('Daily Sale entry '!$P$1:$P$1501,$J2227-1499)&amp;""))</f>
        <v/>
      </c>
      <c r="E2227">
        <f>IF($J2227="","",IF($J2227&lt;=1500,IF(N(INDEX('Daily Sale entry '!$AB$1:$AB$1501,$J2227+1))=0,"",INDEX('Daily Sale entry '!$AB$1:$AB$1501,$J2227+1)),1))</f>
        <v/>
      </c>
      <c r="F2227" s="6">
        <f>IF($J2227="","",IF($J2227&lt;=1500,N(INDEX('Daily Sale entry '!$AC$1:$AC$1501,$J2227+1))-IF(AND('Opening Balance'!$B$15=1,INDEX('Daily Sale entry '!$Z$1:$Z$1501,$J2227+1)="Online collection 网上收款",INDEX('Daily Sale entry '!$AA$1:$AA$1501,$J2227+1)&lt;&gt;""),N(INDEX('Daily Sale entry '!$AC$1:$AC$1501,$J2227+1))-TRUNC(N(INDEX('Daily Sale entry '!$AC$1:$AC$1501,$J2227+1))),0),N(INDEX('Daily Sale entry '!$S$1:$S$1501,$J2227-1499))-'Opening Balance'!$B$15*(N(INDEX('Daily Sale entry '!$S$1:$S$1501,$J2227-1499))-TRUNC(N(INDEX('Daily Sale entry '!$S$1:$S$1501,$J2227-1499))))))</f>
        <v/>
      </c>
      <c r="G2227" s="6">
        <f>IF($J2227="","",IF($J2227&lt;=1500,N(INDEX('Daily Sale entry '!$AD$1:$AD$1501,$J2227+1)),0))</f>
        <v/>
      </c>
      <c r="H2227" s="6">
        <f>IF($J2227="","",ROUND('Opening Balance'!$B$4+SUM($F$2:F2227)-SUM($G$2:G2227),2))</f>
        <v/>
      </c>
      <c r="J2227" s="21">
        <f>IFERROR(MATCH(ROW()-1,$L$2:$L$3001,0),"")</f>
        <v/>
      </c>
      <c r="K2227" s="34">
        <f>IF(AND('Daily Sale entry '!Q727="Collection 收款",'Daily Sale entry '!R727="Cheque 支票",'Daily Sale entry '!V727&lt;&gt;""),'Daily Sale entry '!V727+ROW()/10000000,"")</f>
        <v/>
      </c>
      <c r="L2227" s="21">
        <f>IF(K2227="","",COUNTIF($K$2:$K$3001,"&lt;"&amp;K2227)+1)</f>
        <v/>
      </c>
    </row>
    <row r="2228">
      <c r="A2228" s="5">
        <f>IF($J2228="","",IF($J2228&lt;=1500,INDEX('Daily Sale entry '!$X$1:$X$1501,$J2228+1),INDEX('Daily Sale entry '!$V$1:$V$1501,$J2228-1499)))</f>
        <v/>
      </c>
      <c r="B2228">
        <f>IF($J2228="","",IF($J2228&lt;=1500,INDEX('Daily Sale entry '!$Y$1:$Y$1501,$J2228+1)&amp;"","Buyer cheque banked 买家支票存入"&amp;IF(INDEX('Daily Sale entry '!$U$1:$U$1501,$J2228-1499)="","", " - "&amp;INDEX('Daily Sale entry '!$U$1:$U$1501,$J2228-1499))))</f>
        <v/>
      </c>
      <c r="C2228">
        <f>IF($J2228="","",IF($J2228&lt;=1500,INDEX('Daily Sale entry '!$Z$1:$Z$1501,$J2228+1)&amp;"","Cheque deposit 支票存入 (buyer 买家)"))</f>
        <v/>
      </c>
      <c r="D2228">
        <f>IF($J2228="","",IF($J2228&lt;=1500,INDEX('Daily Sale entry '!$AA$1:$AA$1501,$J2228+1)&amp;"",INDEX('Daily Sale entry '!$P$1:$P$1501,$J2228-1499)&amp;""))</f>
        <v/>
      </c>
      <c r="E2228">
        <f>IF($J2228="","",IF($J2228&lt;=1500,IF(N(INDEX('Daily Sale entry '!$AB$1:$AB$1501,$J2228+1))=0,"",INDEX('Daily Sale entry '!$AB$1:$AB$1501,$J2228+1)),1))</f>
        <v/>
      </c>
      <c r="F2228" s="6">
        <f>IF($J2228="","",IF($J2228&lt;=1500,N(INDEX('Daily Sale entry '!$AC$1:$AC$1501,$J2228+1))-IF(AND('Opening Balance'!$B$15=1,INDEX('Daily Sale entry '!$Z$1:$Z$1501,$J2228+1)="Online collection 网上收款",INDEX('Daily Sale entry '!$AA$1:$AA$1501,$J2228+1)&lt;&gt;""),N(INDEX('Daily Sale entry '!$AC$1:$AC$1501,$J2228+1))-TRUNC(N(INDEX('Daily Sale entry '!$AC$1:$AC$1501,$J2228+1))),0),N(INDEX('Daily Sale entry '!$S$1:$S$1501,$J2228-1499))-'Opening Balance'!$B$15*(N(INDEX('Daily Sale entry '!$S$1:$S$1501,$J2228-1499))-TRUNC(N(INDEX('Daily Sale entry '!$S$1:$S$1501,$J2228-1499))))))</f>
        <v/>
      </c>
      <c r="G2228" s="6">
        <f>IF($J2228="","",IF($J2228&lt;=1500,N(INDEX('Daily Sale entry '!$AD$1:$AD$1501,$J2228+1)),0))</f>
        <v/>
      </c>
      <c r="H2228" s="6">
        <f>IF($J2228="","",ROUND('Opening Balance'!$B$4+SUM($F$2:F2228)-SUM($G$2:G2228),2))</f>
        <v/>
      </c>
      <c r="J2228" s="21">
        <f>IFERROR(MATCH(ROW()-1,$L$2:$L$3001,0),"")</f>
        <v/>
      </c>
      <c r="K2228" s="34">
        <f>IF(AND('Daily Sale entry '!Q728="Collection 收款",'Daily Sale entry '!R728="Cheque 支票",'Daily Sale entry '!V728&lt;&gt;""),'Daily Sale entry '!V728+ROW()/10000000,"")</f>
        <v/>
      </c>
      <c r="L2228" s="21">
        <f>IF(K2228="","",COUNTIF($K$2:$K$3001,"&lt;"&amp;K2228)+1)</f>
        <v/>
      </c>
    </row>
    <row r="2229">
      <c r="A2229" s="5">
        <f>IF($J2229="","",IF($J2229&lt;=1500,INDEX('Daily Sale entry '!$X$1:$X$1501,$J2229+1),INDEX('Daily Sale entry '!$V$1:$V$1501,$J2229-1499)))</f>
        <v/>
      </c>
      <c r="B2229">
        <f>IF($J2229="","",IF($J2229&lt;=1500,INDEX('Daily Sale entry '!$Y$1:$Y$1501,$J2229+1)&amp;"","Buyer cheque banked 买家支票存入"&amp;IF(INDEX('Daily Sale entry '!$U$1:$U$1501,$J2229-1499)="","", " - "&amp;INDEX('Daily Sale entry '!$U$1:$U$1501,$J2229-1499))))</f>
        <v/>
      </c>
      <c r="C2229">
        <f>IF($J2229="","",IF($J2229&lt;=1500,INDEX('Daily Sale entry '!$Z$1:$Z$1501,$J2229+1)&amp;"","Cheque deposit 支票存入 (buyer 买家)"))</f>
        <v/>
      </c>
      <c r="D2229">
        <f>IF($J2229="","",IF($J2229&lt;=1500,INDEX('Daily Sale entry '!$AA$1:$AA$1501,$J2229+1)&amp;"",INDEX('Daily Sale entry '!$P$1:$P$1501,$J2229-1499)&amp;""))</f>
        <v/>
      </c>
      <c r="E2229">
        <f>IF($J2229="","",IF($J2229&lt;=1500,IF(N(INDEX('Daily Sale entry '!$AB$1:$AB$1501,$J2229+1))=0,"",INDEX('Daily Sale entry '!$AB$1:$AB$1501,$J2229+1)),1))</f>
        <v/>
      </c>
      <c r="F2229" s="6">
        <f>IF($J2229="","",IF($J2229&lt;=1500,N(INDEX('Daily Sale entry '!$AC$1:$AC$1501,$J2229+1))-IF(AND('Opening Balance'!$B$15=1,INDEX('Daily Sale entry '!$Z$1:$Z$1501,$J2229+1)="Online collection 网上收款",INDEX('Daily Sale entry '!$AA$1:$AA$1501,$J2229+1)&lt;&gt;""),N(INDEX('Daily Sale entry '!$AC$1:$AC$1501,$J2229+1))-TRUNC(N(INDEX('Daily Sale entry '!$AC$1:$AC$1501,$J2229+1))),0),N(INDEX('Daily Sale entry '!$S$1:$S$1501,$J2229-1499))-'Opening Balance'!$B$15*(N(INDEX('Daily Sale entry '!$S$1:$S$1501,$J2229-1499))-TRUNC(N(INDEX('Daily Sale entry '!$S$1:$S$1501,$J2229-1499))))))</f>
        <v/>
      </c>
      <c r="G2229" s="6">
        <f>IF($J2229="","",IF($J2229&lt;=1500,N(INDEX('Daily Sale entry '!$AD$1:$AD$1501,$J2229+1)),0))</f>
        <v/>
      </c>
      <c r="H2229" s="6">
        <f>IF($J2229="","",ROUND('Opening Balance'!$B$4+SUM($F$2:F2229)-SUM($G$2:G2229),2))</f>
        <v/>
      </c>
      <c r="J2229" s="21">
        <f>IFERROR(MATCH(ROW()-1,$L$2:$L$3001,0),"")</f>
        <v/>
      </c>
      <c r="K2229" s="34">
        <f>IF(AND('Daily Sale entry '!Q729="Collection 收款",'Daily Sale entry '!R729="Cheque 支票",'Daily Sale entry '!V729&lt;&gt;""),'Daily Sale entry '!V729+ROW()/10000000,"")</f>
        <v/>
      </c>
      <c r="L2229" s="21">
        <f>IF(K2229="","",COUNTIF($K$2:$K$3001,"&lt;"&amp;K2229)+1)</f>
        <v/>
      </c>
    </row>
    <row r="2230">
      <c r="A2230" s="5">
        <f>IF($J2230="","",IF($J2230&lt;=1500,INDEX('Daily Sale entry '!$X$1:$X$1501,$J2230+1),INDEX('Daily Sale entry '!$V$1:$V$1501,$J2230-1499)))</f>
        <v/>
      </c>
      <c r="B2230">
        <f>IF($J2230="","",IF($J2230&lt;=1500,INDEX('Daily Sale entry '!$Y$1:$Y$1501,$J2230+1)&amp;"","Buyer cheque banked 买家支票存入"&amp;IF(INDEX('Daily Sale entry '!$U$1:$U$1501,$J2230-1499)="","", " - "&amp;INDEX('Daily Sale entry '!$U$1:$U$1501,$J2230-1499))))</f>
        <v/>
      </c>
      <c r="C2230">
        <f>IF($J2230="","",IF($J2230&lt;=1500,INDEX('Daily Sale entry '!$Z$1:$Z$1501,$J2230+1)&amp;"","Cheque deposit 支票存入 (buyer 买家)"))</f>
        <v/>
      </c>
      <c r="D2230">
        <f>IF($J2230="","",IF($J2230&lt;=1500,INDEX('Daily Sale entry '!$AA$1:$AA$1501,$J2230+1)&amp;"",INDEX('Daily Sale entry '!$P$1:$P$1501,$J2230-1499)&amp;""))</f>
        <v/>
      </c>
      <c r="E2230">
        <f>IF($J2230="","",IF($J2230&lt;=1500,IF(N(INDEX('Daily Sale entry '!$AB$1:$AB$1501,$J2230+1))=0,"",INDEX('Daily Sale entry '!$AB$1:$AB$1501,$J2230+1)),1))</f>
        <v/>
      </c>
      <c r="F2230" s="6">
        <f>IF($J2230="","",IF($J2230&lt;=1500,N(INDEX('Daily Sale entry '!$AC$1:$AC$1501,$J2230+1))-IF(AND('Opening Balance'!$B$15=1,INDEX('Daily Sale entry '!$Z$1:$Z$1501,$J2230+1)="Online collection 网上收款",INDEX('Daily Sale entry '!$AA$1:$AA$1501,$J2230+1)&lt;&gt;""),N(INDEX('Daily Sale entry '!$AC$1:$AC$1501,$J2230+1))-TRUNC(N(INDEX('Daily Sale entry '!$AC$1:$AC$1501,$J2230+1))),0),N(INDEX('Daily Sale entry '!$S$1:$S$1501,$J2230-1499))-'Opening Balance'!$B$15*(N(INDEX('Daily Sale entry '!$S$1:$S$1501,$J2230-1499))-TRUNC(N(INDEX('Daily Sale entry '!$S$1:$S$1501,$J2230-1499))))))</f>
        <v/>
      </c>
      <c r="G2230" s="6">
        <f>IF($J2230="","",IF($J2230&lt;=1500,N(INDEX('Daily Sale entry '!$AD$1:$AD$1501,$J2230+1)),0))</f>
        <v/>
      </c>
      <c r="H2230" s="6">
        <f>IF($J2230="","",ROUND('Opening Balance'!$B$4+SUM($F$2:F2230)-SUM($G$2:G2230),2))</f>
        <v/>
      </c>
      <c r="J2230" s="21">
        <f>IFERROR(MATCH(ROW()-1,$L$2:$L$3001,0),"")</f>
        <v/>
      </c>
      <c r="K2230" s="34">
        <f>IF(AND('Daily Sale entry '!Q730="Collection 收款",'Daily Sale entry '!R730="Cheque 支票",'Daily Sale entry '!V730&lt;&gt;""),'Daily Sale entry '!V730+ROW()/10000000,"")</f>
        <v/>
      </c>
      <c r="L2230" s="21">
        <f>IF(K2230="","",COUNTIF($K$2:$K$3001,"&lt;"&amp;K2230)+1)</f>
        <v/>
      </c>
    </row>
    <row r="2231">
      <c r="A2231" s="5">
        <f>IF($J2231="","",IF($J2231&lt;=1500,INDEX('Daily Sale entry '!$X$1:$X$1501,$J2231+1),INDEX('Daily Sale entry '!$V$1:$V$1501,$J2231-1499)))</f>
        <v/>
      </c>
      <c r="B2231">
        <f>IF($J2231="","",IF($J2231&lt;=1500,INDEX('Daily Sale entry '!$Y$1:$Y$1501,$J2231+1)&amp;"","Buyer cheque banked 买家支票存入"&amp;IF(INDEX('Daily Sale entry '!$U$1:$U$1501,$J2231-1499)="","", " - "&amp;INDEX('Daily Sale entry '!$U$1:$U$1501,$J2231-1499))))</f>
        <v/>
      </c>
      <c r="C2231">
        <f>IF($J2231="","",IF($J2231&lt;=1500,INDEX('Daily Sale entry '!$Z$1:$Z$1501,$J2231+1)&amp;"","Cheque deposit 支票存入 (buyer 买家)"))</f>
        <v/>
      </c>
      <c r="D2231">
        <f>IF($J2231="","",IF($J2231&lt;=1500,INDEX('Daily Sale entry '!$AA$1:$AA$1501,$J2231+1)&amp;"",INDEX('Daily Sale entry '!$P$1:$P$1501,$J2231-1499)&amp;""))</f>
        <v/>
      </c>
      <c r="E2231">
        <f>IF($J2231="","",IF($J2231&lt;=1500,IF(N(INDEX('Daily Sale entry '!$AB$1:$AB$1501,$J2231+1))=0,"",INDEX('Daily Sale entry '!$AB$1:$AB$1501,$J2231+1)),1))</f>
        <v/>
      </c>
      <c r="F2231" s="6">
        <f>IF($J2231="","",IF($J2231&lt;=1500,N(INDEX('Daily Sale entry '!$AC$1:$AC$1501,$J2231+1))-IF(AND('Opening Balance'!$B$15=1,INDEX('Daily Sale entry '!$Z$1:$Z$1501,$J2231+1)="Online collection 网上收款",INDEX('Daily Sale entry '!$AA$1:$AA$1501,$J2231+1)&lt;&gt;""),N(INDEX('Daily Sale entry '!$AC$1:$AC$1501,$J2231+1))-TRUNC(N(INDEX('Daily Sale entry '!$AC$1:$AC$1501,$J2231+1))),0),N(INDEX('Daily Sale entry '!$S$1:$S$1501,$J2231-1499))-'Opening Balance'!$B$15*(N(INDEX('Daily Sale entry '!$S$1:$S$1501,$J2231-1499))-TRUNC(N(INDEX('Daily Sale entry '!$S$1:$S$1501,$J2231-1499))))))</f>
        <v/>
      </c>
      <c r="G2231" s="6">
        <f>IF($J2231="","",IF($J2231&lt;=1500,N(INDEX('Daily Sale entry '!$AD$1:$AD$1501,$J2231+1)),0))</f>
        <v/>
      </c>
      <c r="H2231" s="6">
        <f>IF($J2231="","",ROUND('Opening Balance'!$B$4+SUM($F$2:F2231)-SUM($G$2:G2231),2))</f>
        <v/>
      </c>
      <c r="J2231" s="21">
        <f>IFERROR(MATCH(ROW()-1,$L$2:$L$3001,0),"")</f>
        <v/>
      </c>
      <c r="K2231" s="34">
        <f>IF(AND('Daily Sale entry '!Q731="Collection 收款",'Daily Sale entry '!R731="Cheque 支票",'Daily Sale entry '!V731&lt;&gt;""),'Daily Sale entry '!V731+ROW()/10000000,"")</f>
        <v/>
      </c>
      <c r="L2231" s="21">
        <f>IF(K2231="","",COUNTIF($K$2:$K$3001,"&lt;"&amp;K2231)+1)</f>
        <v/>
      </c>
    </row>
    <row r="2232">
      <c r="A2232" s="5">
        <f>IF($J2232="","",IF($J2232&lt;=1500,INDEX('Daily Sale entry '!$X$1:$X$1501,$J2232+1),INDEX('Daily Sale entry '!$V$1:$V$1501,$J2232-1499)))</f>
        <v/>
      </c>
      <c r="B2232">
        <f>IF($J2232="","",IF($J2232&lt;=1500,INDEX('Daily Sale entry '!$Y$1:$Y$1501,$J2232+1)&amp;"","Buyer cheque banked 买家支票存入"&amp;IF(INDEX('Daily Sale entry '!$U$1:$U$1501,$J2232-1499)="","", " - "&amp;INDEX('Daily Sale entry '!$U$1:$U$1501,$J2232-1499))))</f>
        <v/>
      </c>
      <c r="C2232">
        <f>IF($J2232="","",IF($J2232&lt;=1500,INDEX('Daily Sale entry '!$Z$1:$Z$1501,$J2232+1)&amp;"","Cheque deposit 支票存入 (buyer 买家)"))</f>
        <v/>
      </c>
      <c r="D2232">
        <f>IF($J2232="","",IF($J2232&lt;=1500,INDEX('Daily Sale entry '!$AA$1:$AA$1501,$J2232+1)&amp;"",INDEX('Daily Sale entry '!$P$1:$P$1501,$J2232-1499)&amp;""))</f>
        <v/>
      </c>
      <c r="E2232">
        <f>IF($J2232="","",IF($J2232&lt;=1500,IF(N(INDEX('Daily Sale entry '!$AB$1:$AB$1501,$J2232+1))=0,"",INDEX('Daily Sale entry '!$AB$1:$AB$1501,$J2232+1)),1))</f>
        <v/>
      </c>
      <c r="F2232" s="6">
        <f>IF($J2232="","",IF($J2232&lt;=1500,N(INDEX('Daily Sale entry '!$AC$1:$AC$1501,$J2232+1))-IF(AND('Opening Balance'!$B$15=1,INDEX('Daily Sale entry '!$Z$1:$Z$1501,$J2232+1)="Online collection 网上收款",INDEX('Daily Sale entry '!$AA$1:$AA$1501,$J2232+1)&lt;&gt;""),N(INDEX('Daily Sale entry '!$AC$1:$AC$1501,$J2232+1))-TRUNC(N(INDEX('Daily Sale entry '!$AC$1:$AC$1501,$J2232+1))),0),N(INDEX('Daily Sale entry '!$S$1:$S$1501,$J2232-1499))-'Opening Balance'!$B$15*(N(INDEX('Daily Sale entry '!$S$1:$S$1501,$J2232-1499))-TRUNC(N(INDEX('Daily Sale entry '!$S$1:$S$1501,$J2232-1499))))))</f>
        <v/>
      </c>
      <c r="G2232" s="6">
        <f>IF($J2232="","",IF($J2232&lt;=1500,N(INDEX('Daily Sale entry '!$AD$1:$AD$1501,$J2232+1)),0))</f>
        <v/>
      </c>
      <c r="H2232" s="6">
        <f>IF($J2232="","",ROUND('Opening Balance'!$B$4+SUM($F$2:F2232)-SUM($G$2:G2232),2))</f>
        <v/>
      </c>
      <c r="J2232" s="21">
        <f>IFERROR(MATCH(ROW()-1,$L$2:$L$3001,0),"")</f>
        <v/>
      </c>
      <c r="K2232" s="34">
        <f>IF(AND('Daily Sale entry '!Q732="Collection 收款",'Daily Sale entry '!R732="Cheque 支票",'Daily Sale entry '!V732&lt;&gt;""),'Daily Sale entry '!V732+ROW()/10000000,"")</f>
        <v/>
      </c>
      <c r="L2232" s="21">
        <f>IF(K2232="","",COUNTIF($K$2:$K$3001,"&lt;"&amp;K2232)+1)</f>
        <v/>
      </c>
    </row>
    <row r="2233">
      <c r="A2233" s="5">
        <f>IF($J2233="","",IF($J2233&lt;=1500,INDEX('Daily Sale entry '!$X$1:$X$1501,$J2233+1),INDEX('Daily Sale entry '!$V$1:$V$1501,$J2233-1499)))</f>
        <v/>
      </c>
      <c r="B2233">
        <f>IF($J2233="","",IF($J2233&lt;=1500,INDEX('Daily Sale entry '!$Y$1:$Y$1501,$J2233+1)&amp;"","Buyer cheque banked 买家支票存入"&amp;IF(INDEX('Daily Sale entry '!$U$1:$U$1501,$J2233-1499)="","", " - "&amp;INDEX('Daily Sale entry '!$U$1:$U$1501,$J2233-1499))))</f>
        <v/>
      </c>
      <c r="C2233">
        <f>IF($J2233="","",IF($J2233&lt;=1500,INDEX('Daily Sale entry '!$Z$1:$Z$1501,$J2233+1)&amp;"","Cheque deposit 支票存入 (buyer 买家)"))</f>
        <v/>
      </c>
      <c r="D2233">
        <f>IF($J2233="","",IF($J2233&lt;=1500,INDEX('Daily Sale entry '!$AA$1:$AA$1501,$J2233+1)&amp;"",INDEX('Daily Sale entry '!$P$1:$P$1501,$J2233-1499)&amp;""))</f>
        <v/>
      </c>
      <c r="E2233">
        <f>IF($J2233="","",IF($J2233&lt;=1500,IF(N(INDEX('Daily Sale entry '!$AB$1:$AB$1501,$J2233+1))=0,"",INDEX('Daily Sale entry '!$AB$1:$AB$1501,$J2233+1)),1))</f>
        <v/>
      </c>
      <c r="F2233" s="6">
        <f>IF($J2233="","",IF($J2233&lt;=1500,N(INDEX('Daily Sale entry '!$AC$1:$AC$1501,$J2233+1))-IF(AND('Opening Balance'!$B$15=1,INDEX('Daily Sale entry '!$Z$1:$Z$1501,$J2233+1)="Online collection 网上收款",INDEX('Daily Sale entry '!$AA$1:$AA$1501,$J2233+1)&lt;&gt;""),N(INDEX('Daily Sale entry '!$AC$1:$AC$1501,$J2233+1))-TRUNC(N(INDEX('Daily Sale entry '!$AC$1:$AC$1501,$J2233+1))),0),N(INDEX('Daily Sale entry '!$S$1:$S$1501,$J2233-1499))-'Opening Balance'!$B$15*(N(INDEX('Daily Sale entry '!$S$1:$S$1501,$J2233-1499))-TRUNC(N(INDEX('Daily Sale entry '!$S$1:$S$1501,$J2233-1499))))))</f>
        <v/>
      </c>
      <c r="G2233" s="6">
        <f>IF($J2233="","",IF($J2233&lt;=1500,N(INDEX('Daily Sale entry '!$AD$1:$AD$1501,$J2233+1)),0))</f>
        <v/>
      </c>
      <c r="H2233" s="6">
        <f>IF($J2233="","",ROUND('Opening Balance'!$B$4+SUM($F$2:F2233)-SUM($G$2:G2233),2))</f>
        <v/>
      </c>
      <c r="J2233" s="21">
        <f>IFERROR(MATCH(ROW()-1,$L$2:$L$3001,0),"")</f>
        <v/>
      </c>
      <c r="K2233" s="34">
        <f>IF(AND('Daily Sale entry '!Q733="Collection 收款",'Daily Sale entry '!R733="Cheque 支票",'Daily Sale entry '!V733&lt;&gt;""),'Daily Sale entry '!V733+ROW()/10000000,"")</f>
        <v/>
      </c>
      <c r="L2233" s="21">
        <f>IF(K2233="","",COUNTIF($K$2:$K$3001,"&lt;"&amp;K2233)+1)</f>
        <v/>
      </c>
    </row>
    <row r="2234">
      <c r="A2234" s="5">
        <f>IF($J2234="","",IF($J2234&lt;=1500,INDEX('Daily Sale entry '!$X$1:$X$1501,$J2234+1),INDEX('Daily Sale entry '!$V$1:$V$1501,$J2234-1499)))</f>
        <v/>
      </c>
      <c r="B2234">
        <f>IF($J2234="","",IF($J2234&lt;=1500,INDEX('Daily Sale entry '!$Y$1:$Y$1501,$J2234+1)&amp;"","Buyer cheque banked 买家支票存入"&amp;IF(INDEX('Daily Sale entry '!$U$1:$U$1501,$J2234-1499)="","", " - "&amp;INDEX('Daily Sale entry '!$U$1:$U$1501,$J2234-1499))))</f>
        <v/>
      </c>
      <c r="C2234">
        <f>IF($J2234="","",IF($J2234&lt;=1500,INDEX('Daily Sale entry '!$Z$1:$Z$1501,$J2234+1)&amp;"","Cheque deposit 支票存入 (buyer 买家)"))</f>
        <v/>
      </c>
      <c r="D2234">
        <f>IF($J2234="","",IF($J2234&lt;=1500,INDEX('Daily Sale entry '!$AA$1:$AA$1501,$J2234+1)&amp;"",INDEX('Daily Sale entry '!$P$1:$P$1501,$J2234-1499)&amp;""))</f>
        <v/>
      </c>
      <c r="E2234">
        <f>IF($J2234="","",IF($J2234&lt;=1500,IF(N(INDEX('Daily Sale entry '!$AB$1:$AB$1501,$J2234+1))=0,"",INDEX('Daily Sale entry '!$AB$1:$AB$1501,$J2234+1)),1))</f>
        <v/>
      </c>
      <c r="F2234" s="6">
        <f>IF($J2234="","",IF($J2234&lt;=1500,N(INDEX('Daily Sale entry '!$AC$1:$AC$1501,$J2234+1))-IF(AND('Opening Balance'!$B$15=1,INDEX('Daily Sale entry '!$Z$1:$Z$1501,$J2234+1)="Online collection 网上收款",INDEX('Daily Sale entry '!$AA$1:$AA$1501,$J2234+1)&lt;&gt;""),N(INDEX('Daily Sale entry '!$AC$1:$AC$1501,$J2234+1))-TRUNC(N(INDEX('Daily Sale entry '!$AC$1:$AC$1501,$J2234+1))),0),N(INDEX('Daily Sale entry '!$S$1:$S$1501,$J2234-1499))-'Opening Balance'!$B$15*(N(INDEX('Daily Sale entry '!$S$1:$S$1501,$J2234-1499))-TRUNC(N(INDEX('Daily Sale entry '!$S$1:$S$1501,$J2234-1499))))))</f>
        <v/>
      </c>
      <c r="G2234" s="6">
        <f>IF($J2234="","",IF($J2234&lt;=1500,N(INDEX('Daily Sale entry '!$AD$1:$AD$1501,$J2234+1)),0))</f>
        <v/>
      </c>
      <c r="H2234" s="6">
        <f>IF($J2234="","",ROUND('Opening Balance'!$B$4+SUM($F$2:F2234)-SUM($G$2:G2234),2))</f>
        <v/>
      </c>
      <c r="J2234" s="21">
        <f>IFERROR(MATCH(ROW()-1,$L$2:$L$3001,0),"")</f>
        <v/>
      </c>
      <c r="K2234" s="34">
        <f>IF(AND('Daily Sale entry '!Q734="Collection 收款",'Daily Sale entry '!R734="Cheque 支票",'Daily Sale entry '!V734&lt;&gt;""),'Daily Sale entry '!V734+ROW()/10000000,"")</f>
        <v/>
      </c>
      <c r="L2234" s="21">
        <f>IF(K2234="","",COUNTIF($K$2:$K$3001,"&lt;"&amp;K2234)+1)</f>
        <v/>
      </c>
    </row>
    <row r="2235">
      <c r="A2235" s="5">
        <f>IF($J2235="","",IF($J2235&lt;=1500,INDEX('Daily Sale entry '!$X$1:$X$1501,$J2235+1),INDEX('Daily Sale entry '!$V$1:$V$1501,$J2235-1499)))</f>
        <v/>
      </c>
      <c r="B2235">
        <f>IF($J2235="","",IF($J2235&lt;=1500,INDEX('Daily Sale entry '!$Y$1:$Y$1501,$J2235+1)&amp;"","Buyer cheque banked 买家支票存入"&amp;IF(INDEX('Daily Sale entry '!$U$1:$U$1501,$J2235-1499)="","", " - "&amp;INDEX('Daily Sale entry '!$U$1:$U$1501,$J2235-1499))))</f>
        <v/>
      </c>
      <c r="C2235">
        <f>IF($J2235="","",IF($J2235&lt;=1500,INDEX('Daily Sale entry '!$Z$1:$Z$1501,$J2235+1)&amp;"","Cheque deposit 支票存入 (buyer 买家)"))</f>
        <v/>
      </c>
      <c r="D2235">
        <f>IF($J2235="","",IF($J2235&lt;=1500,INDEX('Daily Sale entry '!$AA$1:$AA$1501,$J2235+1)&amp;"",INDEX('Daily Sale entry '!$P$1:$P$1501,$J2235-1499)&amp;""))</f>
        <v/>
      </c>
      <c r="E2235">
        <f>IF($J2235="","",IF($J2235&lt;=1500,IF(N(INDEX('Daily Sale entry '!$AB$1:$AB$1501,$J2235+1))=0,"",INDEX('Daily Sale entry '!$AB$1:$AB$1501,$J2235+1)),1))</f>
        <v/>
      </c>
      <c r="F2235" s="6">
        <f>IF($J2235="","",IF($J2235&lt;=1500,N(INDEX('Daily Sale entry '!$AC$1:$AC$1501,$J2235+1))-IF(AND('Opening Balance'!$B$15=1,INDEX('Daily Sale entry '!$Z$1:$Z$1501,$J2235+1)="Online collection 网上收款",INDEX('Daily Sale entry '!$AA$1:$AA$1501,$J2235+1)&lt;&gt;""),N(INDEX('Daily Sale entry '!$AC$1:$AC$1501,$J2235+1))-TRUNC(N(INDEX('Daily Sale entry '!$AC$1:$AC$1501,$J2235+1))),0),N(INDEX('Daily Sale entry '!$S$1:$S$1501,$J2235-1499))-'Opening Balance'!$B$15*(N(INDEX('Daily Sale entry '!$S$1:$S$1501,$J2235-1499))-TRUNC(N(INDEX('Daily Sale entry '!$S$1:$S$1501,$J2235-1499))))))</f>
        <v/>
      </c>
      <c r="G2235" s="6">
        <f>IF($J2235="","",IF($J2235&lt;=1500,N(INDEX('Daily Sale entry '!$AD$1:$AD$1501,$J2235+1)),0))</f>
        <v/>
      </c>
      <c r="H2235" s="6">
        <f>IF($J2235="","",ROUND('Opening Balance'!$B$4+SUM($F$2:F2235)-SUM($G$2:G2235),2))</f>
        <v/>
      </c>
      <c r="J2235" s="21">
        <f>IFERROR(MATCH(ROW()-1,$L$2:$L$3001,0),"")</f>
        <v/>
      </c>
      <c r="K2235" s="34">
        <f>IF(AND('Daily Sale entry '!Q735="Collection 收款",'Daily Sale entry '!R735="Cheque 支票",'Daily Sale entry '!V735&lt;&gt;""),'Daily Sale entry '!V735+ROW()/10000000,"")</f>
        <v/>
      </c>
      <c r="L2235" s="21">
        <f>IF(K2235="","",COUNTIF($K$2:$K$3001,"&lt;"&amp;K2235)+1)</f>
        <v/>
      </c>
    </row>
    <row r="2236">
      <c r="A2236" s="5">
        <f>IF($J2236="","",IF($J2236&lt;=1500,INDEX('Daily Sale entry '!$X$1:$X$1501,$J2236+1),INDEX('Daily Sale entry '!$V$1:$V$1501,$J2236-1499)))</f>
        <v/>
      </c>
      <c r="B2236">
        <f>IF($J2236="","",IF($J2236&lt;=1500,INDEX('Daily Sale entry '!$Y$1:$Y$1501,$J2236+1)&amp;"","Buyer cheque banked 买家支票存入"&amp;IF(INDEX('Daily Sale entry '!$U$1:$U$1501,$J2236-1499)="","", " - "&amp;INDEX('Daily Sale entry '!$U$1:$U$1501,$J2236-1499))))</f>
        <v/>
      </c>
      <c r="C2236">
        <f>IF($J2236="","",IF($J2236&lt;=1500,INDEX('Daily Sale entry '!$Z$1:$Z$1501,$J2236+1)&amp;"","Cheque deposit 支票存入 (buyer 买家)"))</f>
        <v/>
      </c>
      <c r="D2236">
        <f>IF($J2236="","",IF($J2236&lt;=1500,INDEX('Daily Sale entry '!$AA$1:$AA$1501,$J2236+1)&amp;"",INDEX('Daily Sale entry '!$P$1:$P$1501,$J2236-1499)&amp;""))</f>
        <v/>
      </c>
      <c r="E2236">
        <f>IF($J2236="","",IF($J2236&lt;=1500,IF(N(INDEX('Daily Sale entry '!$AB$1:$AB$1501,$J2236+1))=0,"",INDEX('Daily Sale entry '!$AB$1:$AB$1501,$J2236+1)),1))</f>
        <v/>
      </c>
      <c r="F2236" s="6">
        <f>IF($J2236="","",IF($J2236&lt;=1500,N(INDEX('Daily Sale entry '!$AC$1:$AC$1501,$J2236+1))-IF(AND('Opening Balance'!$B$15=1,INDEX('Daily Sale entry '!$Z$1:$Z$1501,$J2236+1)="Online collection 网上收款",INDEX('Daily Sale entry '!$AA$1:$AA$1501,$J2236+1)&lt;&gt;""),N(INDEX('Daily Sale entry '!$AC$1:$AC$1501,$J2236+1))-TRUNC(N(INDEX('Daily Sale entry '!$AC$1:$AC$1501,$J2236+1))),0),N(INDEX('Daily Sale entry '!$S$1:$S$1501,$J2236-1499))-'Opening Balance'!$B$15*(N(INDEX('Daily Sale entry '!$S$1:$S$1501,$J2236-1499))-TRUNC(N(INDEX('Daily Sale entry '!$S$1:$S$1501,$J2236-1499))))))</f>
        <v/>
      </c>
      <c r="G2236" s="6">
        <f>IF($J2236="","",IF($J2236&lt;=1500,N(INDEX('Daily Sale entry '!$AD$1:$AD$1501,$J2236+1)),0))</f>
        <v/>
      </c>
      <c r="H2236" s="6">
        <f>IF($J2236="","",ROUND('Opening Balance'!$B$4+SUM($F$2:F2236)-SUM($G$2:G2236),2))</f>
        <v/>
      </c>
      <c r="J2236" s="21">
        <f>IFERROR(MATCH(ROW()-1,$L$2:$L$3001,0),"")</f>
        <v/>
      </c>
      <c r="K2236" s="34">
        <f>IF(AND('Daily Sale entry '!Q736="Collection 收款",'Daily Sale entry '!R736="Cheque 支票",'Daily Sale entry '!V736&lt;&gt;""),'Daily Sale entry '!V736+ROW()/10000000,"")</f>
        <v/>
      </c>
      <c r="L2236" s="21">
        <f>IF(K2236="","",COUNTIF($K$2:$K$3001,"&lt;"&amp;K2236)+1)</f>
        <v/>
      </c>
    </row>
    <row r="2237">
      <c r="A2237" s="5">
        <f>IF($J2237="","",IF($J2237&lt;=1500,INDEX('Daily Sale entry '!$X$1:$X$1501,$J2237+1),INDEX('Daily Sale entry '!$V$1:$V$1501,$J2237-1499)))</f>
        <v/>
      </c>
      <c r="B2237">
        <f>IF($J2237="","",IF($J2237&lt;=1500,INDEX('Daily Sale entry '!$Y$1:$Y$1501,$J2237+1)&amp;"","Buyer cheque banked 买家支票存入"&amp;IF(INDEX('Daily Sale entry '!$U$1:$U$1501,$J2237-1499)="","", " - "&amp;INDEX('Daily Sale entry '!$U$1:$U$1501,$J2237-1499))))</f>
        <v/>
      </c>
      <c r="C2237">
        <f>IF($J2237="","",IF($J2237&lt;=1500,INDEX('Daily Sale entry '!$Z$1:$Z$1501,$J2237+1)&amp;"","Cheque deposit 支票存入 (buyer 买家)"))</f>
        <v/>
      </c>
      <c r="D2237">
        <f>IF($J2237="","",IF($J2237&lt;=1500,INDEX('Daily Sale entry '!$AA$1:$AA$1501,$J2237+1)&amp;"",INDEX('Daily Sale entry '!$P$1:$P$1501,$J2237-1499)&amp;""))</f>
        <v/>
      </c>
      <c r="E2237">
        <f>IF($J2237="","",IF($J2237&lt;=1500,IF(N(INDEX('Daily Sale entry '!$AB$1:$AB$1501,$J2237+1))=0,"",INDEX('Daily Sale entry '!$AB$1:$AB$1501,$J2237+1)),1))</f>
        <v/>
      </c>
      <c r="F2237" s="6">
        <f>IF($J2237="","",IF($J2237&lt;=1500,N(INDEX('Daily Sale entry '!$AC$1:$AC$1501,$J2237+1))-IF(AND('Opening Balance'!$B$15=1,INDEX('Daily Sale entry '!$Z$1:$Z$1501,$J2237+1)="Online collection 网上收款",INDEX('Daily Sale entry '!$AA$1:$AA$1501,$J2237+1)&lt;&gt;""),N(INDEX('Daily Sale entry '!$AC$1:$AC$1501,$J2237+1))-TRUNC(N(INDEX('Daily Sale entry '!$AC$1:$AC$1501,$J2237+1))),0),N(INDEX('Daily Sale entry '!$S$1:$S$1501,$J2237-1499))-'Opening Balance'!$B$15*(N(INDEX('Daily Sale entry '!$S$1:$S$1501,$J2237-1499))-TRUNC(N(INDEX('Daily Sale entry '!$S$1:$S$1501,$J2237-1499))))))</f>
        <v/>
      </c>
      <c r="G2237" s="6">
        <f>IF($J2237="","",IF($J2237&lt;=1500,N(INDEX('Daily Sale entry '!$AD$1:$AD$1501,$J2237+1)),0))</f>
        <v/>
      </c>
      <c r="H2237" s="6">
        <f>IF($J2237="","",ROUND('Opening Balance'!$B$4+SUM($F$2:F2237)-SUM($G$2:G2237),2))</f>
        <v/>
      </c>
      <c r="J2237" s="21">
        <f>IFERROR(MATCH(ROW()-1,$L$2:$L$3001,0),"")</f>
        <v/>
      </c>
      <c r="K2237" s="34">
        <f>IF(AND('Daily Sale entry '!Q737="Collection 收款",'Daily Sale entry '!R737="Cheque 支票",'Daily Sale entry '!V737&lt;&gt;""),'Daily Sale entry '!V737+ROW()/10000000,"")</f>
        <v/>
      </c>
      <c r="L2237" s="21">
        <f>IF(K2237="","",COUNTIF($K$2:$K$3001,"&lt;"&amp;K2237)+1)</f>
        <v/>
      </c>
    </row>
    <row r="2238">
      <c r="A2238" s="5">
        <f>IF($J2238="","",IF($J2238&lt;=1500,INDEX('Daily Sale entry '!$X$1:$X$1501,$J2238+1),INDEX('Daily Sale entry '!$V$1:$V$1501,$J2238-1499)))</f>
        <v/>
      </c>
      <c r="B2238">
        <f>IF($J2238="","",IF($J2238&lt;=1500,INDEX('Daily Sale entry '!$Y$1:$Y$1501,$J2238+1)&amp;"","Buyer cheque banked 买家支票存入"&amp;IF(INDEX('Daily Sale entry '!$U$1:$U$1501,$J2238-1499)="","", " - "&amp;INDEX('Daily Sale entry '!$U$1:$U$1501,$J2238-1499))))</f>
        <v/>
      </c>
      <c r="C2238">
        <f>IF($J2238="","",IF($J2238&lt;=1500,INDEX('Daily Sale entry '!$Z$1:$Z$1501,$J2238+1)&amp;"","Cheque deposit 支票存入 (buyer 买家)"))</f>
        <v/>
      </c>
      <c r="D2238">
        <f>IF($J2238="","",IF($J2238&lt;=1500,INDEX('Daily Sale entry '!$AA$1:$AA$1501,$J2238+1)&amp;"",INDEX('Daily Sale entry '!$P$1:$P$1501,$J2238-1499)&amp;""))</f>
        <v/>
      </c>
      <c r="E2238">
        <f>IF($J2238="","",IF($J2238&lt;=1500,IF(N(INDEX('Daily Sale entry '!$AB$1:$AB$1501,$J2238+1))=0,"",INDEX('Daily Sale entry '!$AB$1:$AB$1501,$J2238+1)),1))</f>
        <v/>
      </c>
      <c r="F2238" s="6">
        <f>IF($J2238="","",IF($J2238&lt;=1500,N(INDEX('Daily Sale entry '!$AC$1:$AC$1501,$J2238+1))-IF(AND('Opening Balance'!$B$15=1,INDEX('Daily Sale entry '!$Z$1:$Z$1501,$J2238+1)="Online collection 网上收款",INDEX('Daily Sale entry '!$AA$1:$AA$1501,$J2238+1)&lt;&gt;""),N(INDEX('Daily Sale entry '!$AC$1:$AC$1501,$J2238+1))-TRUNC(N(INDEX('Daily Sale entry '!$AC$1:$AC$1501,$J2238+1))),0),N(INDEX('Daily Sale entry '!$S$1:$S$1501,$J2238-1499))-'Opening Balance'!$B$15*(N(INDEX('Daily Sale entry '!$S$1:$S$1501,$J2238-1499))-TRUNC(N(INDEX('Daily Sale entry '!$S$1:$S$1501,$J2238-1499))))))</f>
        <v/>
      </c>
      <c r="G2238" s="6">
        <f>IF($J2238="","",IF($J2238&lt;=1500,N(INDEX('Daily Sale entry '!$AD$1:$AD$1501,$J2238+1)),0))</f>
        <v/>
      </c>
      <c r="H2238" s="6">
        <f>IF($J2238="","",ROUND('Opening Balance'!$B$4+SUM($F$2:F2238)-SUM($G$2:G2238),2))</f>
        <v/>
      </c>
      <c r="J2238" s="21">
        <f>IFERROR(MATCH(ROW()-1,$L$2:$L$3001,0),"")</f>
        <v/>
      </c>
      <c r="K2238" s="34">
        <f>IF(AND('Daily Sale entry '!Q738="Collection 收款",'Daily Sale entry '!R738="Cheque 支票",'Daily Sale entry '!V738&lt;&gt;""),'Daily Sale entry '!V738+ROW()/10000000,"")</f>
        <v/>
      </c>
      <c r="L2238" s="21">
        <f>IF(K2238="","",COUNTIF($K$2:$K$3001,"&lt;"&amp;K2238)+1)</f>
        <v/>
      </c>
    </row>
    <row r="2239">
      <c r="A2239" s="5">
        <f>IF($J2239="","",IF($J2239&lt;=1500,INDEX('Daily Sale entry '!$X$1:$X$1501,$J2239+1),INDEX('Daily Sale entry '!$V$1:$V$1501,$J2239-1499)))</f>
        <v/>
      </c>
      <c r="B2239">
        <f>IF($J2239="","",IF($J2239&lt;=1500,INDEX('Daily Sale entry '!$Y$1:$Y$1501,$J2239+1)&amp;"","Buyer cheque banked 买家支票存入"&amp;IF(INDEX('Daily Sale entry '!$U$1:$U$1501,$J2239-1499)="","", " - "&amp;INDEX('Daily Sale entry '!$U$1:$U$1501,$J2239-1499))))</f>
        <v/>
      </c>
      <c r="C2239">
        <f>IF($J2239="","",IF($J2239&lt;=1500,INDEX('Daily Sale entry '!$Z$1:$Z$1501,$J2239+1)&amp;"","Cheque deposit 支票存入 (buyer 买家)"))</f>
        <v/>
      </c>
      <c r="D2239">
        <f>IF($J2239="","",IF($J2239&lt;=1500,INDEX('Daily Sale entry '!$AA$1:$AA$1501,$J2239+1)&amp;"",INDEX('Daily Sale entry '!$P$1:$P$1501,$J2239-1499)&amp;""))</f>
        <v/>
      </c>
      <c r="E2239">
        <f>IF($J2239="","",IF($J2239&lt;=1500,IF(N(INDEX('Daily Sale entry '!$AB$1:$AB$1501,$J2239+1))=0,"",INDEX('Daily Sale entry '!$AB$1:$AB$1501,$J2239+1)),1))</f>
        <v/>
      </c>
      <c r="F2239" s="6">
        <f>IF($J2239="","",IF($J2239&lt;=1500,N(INDEX('Daily Sale entry '!$AC$1:$AC$1501,$J2239+1))-IF(AND('Opening Balance'!$B$15=1,INDEX('Daily Sale entry '!$Z$1:$Z$1501,$J2239+1)="Online collection 网上收款",INDEX('Daily Sale entry '!$AA$1:$AA$1501,$J2239+1)&lt;&gt;""),N(INDEX('Daily Sale entry '!$AC$1:$AC$1501,$J2239+1))-TRUNC(N(INDEX('Daily Sale entry '!$AC$1:$AC$1501,$J2239+1))),0),N(INDEX('Daily Sale entry '!$S$1:$S$1501,$J2239-1499))-'Opening Balance'!$B$15*(N(INDEX('Daily Sale entry '!$S$1:$S$1501,$J2239-1499))-TRUNC(N(INDEX('Daily Sale entry '!$S$1:$S$1501,$J2239-1499))))))</f>
        <v/>
      </c>
      <c r="G2239" s="6">
        <f>IF($J2239="","",IF($J2239&lt;=1500,N(INDEX('Daily Sale entry '!$AD$1:$AD$1501,$J2239+1)),0))</f>
        <v/>
      </c>
      <c r="H2239" s="6">
        <f>IF($J2239="","",ROUND('Opening Balance'!$B$4+SUM($F$2:F2239)-SUM($G$2:G2239),2))</f>
        <v/>
      </c>
      <c r="J2239" s="21">
        <f>IFERROR(MATCH(ROW()-1,$L$2:$L$3001,0),"")</f>
        <v/>
      </c>
      <c r="K2239" s="34">
        <f>IF(AND('Daily Sale entry '!Q739="Collection 收款",'Daily Sale entry '!R739="Cheque 支票",'Daily Sale entry '!V739&lt;&gt;""),'Daily Sale entry '!V739+ROW()/10000000,"")</f>
        <v/>
      </c>
      <c r="L2239" s="21">
        <f>IF(K2239="","",COUNTIF($K$2:$K$3001,"&lt;"&amp;K2239)+1)</f>
        <v/>
      </c>
    </row>
    <row r="2240">
      <c r="A2240" s="5">
        <f>IF($J2240="","",IF($J2240&lt;=1500,INDEX('Daily Sale entry '!$X$1:$X$1501,$J2240+1),INDEX('Daily Sale entry '!$V$1:$V$1501,$J2240-1499)))</f>
        <v/>
      </c>
      <c r="B2240">
        <f>IF($J2240="","",IF($J2240&lt;=1500,INDEX('Daily Sale entry '!$Y$1:$Y$1501,$J2240+1)&amp;"","Buyer cheque banked 买家支票存入"&amp;IF(INDEX('Daily Sale entry '!$U$1:$U$1501,$J2240-1499)="","", " - "&amp;INDEX('Daily Sale entry '!$U$1:$U$1501,$J2240-1499))))</f>
        <v/>
      </c>
      <c r="C2240">
        <f>IF($J2240="","",IF($J2240&lt;=1500,INDEX('Daily Sale entry '!$Z$1:$Z$1501,$J2240+1)&amp;"","Cheque deposit 支票存入 (buyer 买家)"))</f>
        <v/>
      </c>
      <c r="D2240">
        <f>IF($J2240="","",IF($J2240&lt;=1500,INDEX('Daily Sale entry '!$AA$1:$AA$1501,$J2240+1)&amp;"",INDEX('Daily Sale entry '!$P$1:$P$1501,$J2240-1499)&amp;""))</f>
        <v/>
      </c>
      <c r="E2240">
        <f>IF($J2240="","",IF($J2240&lt;=1500,IF(N(INDEX('Daily Sale entry '!$AB$1:$AB$1501,$J2240+1))=0,"",INDEX('Daily Sale entry '!$AB$1:$AB$1501,$J2240+1)),1))</f>
        <v/>
      </c>
      <c r="F2240" s="6">
        <f>IF($J2240="","",IF($J2240&lt;=1500,N(INDEX('Daily Sale entry '!$AC$1:$AC$1501,$J2240+1))-IF(AND('Opening Balance'!$B$15=1,INDEX('Daily Sale entry '!$Z$1:$Z$1501,$J2240+1)="Online collection 网上收款",INDEX('Daily Sale entry '!$AA$1:$AA$1501,$J2240+1)&lt;&gt;""),N(INDEX('Daily Sale entry '!$AC$1:$AC$1501,$J2240+1))-TRUNC(N(INDEX('Daily Sale entry '!$AC$1:$AC$1501,$J2240+1))),0),N(INDEX('Daily Sale entry '!$S$1:$S$1501,$J2240-1499))-'Opening Balance'!$B$15*(N(INDEX('Daily Sale entry '!$S$1:$S$1501,$J2240-1499))-TRUNC(N(INDEX('Daily Sale entry '!$S$1:$S$1501,$J2240-1499))))))</f>
        <v/>
      </c>
      <c r="G2240" s="6">
        <f>IF($J2240="","",IF($J2240&lt;=1500,N(INDEX('Daily Sale entry '!$AD$1:$AD$1501,$J2240+1)),0))</f>
        <v/>
      </c>
      <c r="H2240" s="6">
        <f>IF($J2240="","",ROUND('Opening Balance'!$B$4+SUM($F$2:F2240)-SUM($G$2:G2240),2))</f>
        <v/>
      </c>
      <c r="J2240" s="21">
        <f>IFERROR(MATCH(ROW()-1,$L$2:$L$3001,0),"")</f>
        <v/>
      </c>
      <c r="K2240" s="34">
        <f>IF(AND('Daily Sale entry '!Q740="Collection 收款",'Daily Sale entry '!R740="Cheque 支票",'Daily Sale entry '!V740&lt;&gt;""),'Daily Sale entry '!V740+ROW()/10000000,"")</f>
        <v/>
      </c>
      <c r="L2240" s="21">
        <f>IF(K2240="","",COUNTIF($K$2:$K$3001,"&lt;"&amp;K2240)+1)</f>
        <v/>
      </c>
    </row>
    <row r="2241">
      <c r="A2241" s="5">
        <f>IF($J2241="","",IF($J2241&lt;=1500,INDEX('Daily Sale entry '!$X$1:$X$1501,$J2241+1),INDEX('Daily Sale entry '!$V$1:$V$1501,$J2241-1499)))</f>
        <v/>
      </c>
      <c r="B2241">
        <f>IF($J2241="","",IF($J2241&lt;=1500,INDEX('Daily Sale entry '!$Y$1:$Y$1501,$J2241+1)&amp;"","Buyer cheque banked 买家支票存入"&amp;IF(INDEX('Daily Sale entry '!$U$1:$U$1501,$J2241-1499)="","", " - "&amp;INDEX('Daily Sale entry '!$U$1:$U$1501,$J2241-1499))))</f>
        <v/>
      </c>
      <c r="C2241">
        <f>IF($J2241="","",IF($J2241&lt;=1500,INDEX('Daily Sale entry '!$Z$1:$Z$1501,$J2241+1)&amp;"","Cheque deposit 支票存入 (buyer 买家)"))</f>
        <v/>
      </c>
      <c r="D2241">
        <f>IF($J2241="","",IF($J2241&lt;=1500,INDEX('Daily Sale entry '!$AA$1:$AA$1501,$J2241+1)&amp;"",INDEX('Daily Sale entry '!$P$1:$P$1501,$J2241-1499)&amp;""))</f>
        <v/>
      </c>
      <c r="E2241">
        <f>IF($J2241="","",IF($J2241&lt;=1500,IF(N(INDEX('Daily Sale entry '!$AB$1:$AB$1501,$J2241+1))=0,"",INDEX('Daily Sale entry '!$AB$1:$AB$1501,$J2241+1)),1))</f>
        <v/>
      </c>
      <c r="F2241" s="6">
        <f>IF($J2241="","",IF($J2241&lt;=1500,N(INDEX('Daily Sale entry '!$AC$1:$AC$1501,$J2241+1))-IF(AND('Opening Balance'!$B$15=1,INDEX('Daily Sale entry '!$Z$1:$Z$1501,$J2241+1)="Online collection 网上收款",INDEX('Daily Sale entry '!$AA$1:$AA$1501,$J2241+1)&lt;&gt;""),N(INDEX('Daily Sale entry '!$AC$1:$AC$1501,$J2241+1))-TRUNC(N(INDEX('Daily Sale entry '!$AC$1:$AC$1501,$J2241+1))),0),N(INDEX('Daily Sale entry '!$S$1:$S$1501,$J2241-1499))-'Opening Balance'!$B$15*(N(INDEX('Daily Sale entry '!$S$1:$S$1501,$J2241-1499))-TRUNC(N(INDEX('Daily Sale entry '!$S$1:$S$1501,$J2241-1499))))))</f>
        <v/>
      </c>
      <c r="G2241" s="6">
        <f>IF($J2241="","",IF($J2241&lt;=1500,N(INDEX('Daily Sale entry '!$AD$1:$AD$1501,$J2241+1)),0))</f>
        <v/>
      </c>
      <c r="H2241" s="6">
        <f>IF($J2241="","",ROUND('Opening Balance'!$B$4+SUM($F$2:F2241)-SUM($G$2:G2241),2))</f>
        <v/>
      </c>
      <c r="J2241" s="21">
        <f>IFERROR(MATCH(ROW()-1,$L$2:$L$3001,0),"")</f>
        <v/>
      </c>
      <c r="K2241" s="34">
        <f>IF(AND('Daily Sale entry '!Q741="Collection 收款",'Daily Sale entry '!R741="Cheque 支票",'Daily Sale entry '!V741&lt;&gt;""),'Daily Sale entry '!V741+ROW()/10000000,"")</f>
        <v/>
      </c>
      <c r="L2241" s="21">
        <f>IF(K2241="","",COUNTIF($K$2:$K$3001,"&lt;"&amp;K2241)+1)</f>
        <v/>
      </c>
    </row>
    <row r="2242">
      <c r="A2242" s="5">
        <f>IF($J2242="","",IF($J2242&lt;=1500,INDEX('Daily Sale entry '!$X$1:$X$1501,$J2242+1),INDEX('Daily Sale entry '!$V$1:$V$1501,$J2242-1499)))</f>
        <v/>
      </c>
      <c r="B2242">
        <f>IF($J2242="","",IF($J2242&lt;=1500,INDEX('Daily Sale entry '!$Y$1:$Y$1501,$J2242+1)&amp;"","Buyer cheque banked 买家支票存入"&amp;IF(INDEX('Daily Sale entry '!$U$1:$U$1501,$J2242-1499)="","", " - "&amp;INDEX('Daily Sale entry '!$U$1:$U$1501,$J2242-1499))))</f>
        <v/>
      </c>
      <c r="C2242">
        <f>IF($J2242="","",IF($J2242&lt;=1500,INDEX('Daily Sale entry '!$Z$1:$Z$1501,$J2242+1)&amp;"","Cheque deposit 支票存入 (buyer 买家)"))</f>
        <v/>
      </c>
      <c r="D2242">
        <f>IF($J2242="","",IF($J2242&lt;=1500,INDEX('Daily Sale entry '!$AA$1:$AA$1501,$J2242+1)&amp;"",INDEX('Daily Sale entry '!$P$1:$P$1501,$J2242-1499)&amp;""))</f>
        <v/>
      </c>
      <c r="E2242">
        <f>IF($J2242="","",IF($J2242&lt;=1500,IF(N(INDEX('Daily Sale entry '!$AB$1:$AB$1501,$J2242+1))=0,"",INDEX('Daily Sale entry '!$AB$1:$AB$1501,$J2242+1)),1))</f>
        <v/>
      </c>
      <c r="F2242" s="6">
        <f>IF($J2242="","",IF($J2242&lt;=1500,N(INDEX('Daily Sale entry '!$AC$1:$AC$1501,$J2242+1))-IF(AND('Opening Balance'!$B$15=1,INDEX('Daily Sale entry '!$Z$1:$Z$1501,$J2242+1)="Online collection 网上收款",INDEX('Daily Sale entry '!$AA$1:$AA$1501,$J2242+1)&lt;&gt;""),N(INDEX('Daily Sale entry '!$AC$1:$AC$1501,$J2242+1))-TRUNC(N(INDEX('Daily Sale entry '!$AC$1:$AC$1501,$J2242+1))),0),N(INDEX('Daily Sale entry '!$S$1:$S$1501,$J2242-1499))-'Opening Balance'!$B$15*(N(INDEX('Daily Sale entry '!$S$1:$S$1501,$J2242-1499))-TRUNC(N(INDEX('Daily Sale entry '!$S$1:$S$1501,$J2242-1499))))))</f>
        <v/>
      </c>
      <c r="G2242" s="6">
        <f>IF($J2242="","",IF($J2242&lt;=1500,N(INDEX('Daily Sale entry '!$AD$1:$AD$1501,$J2242+1)),0))</f>
        <v/>
      </c>
      <c r="H2242" s="6">
        <f>IF($J2242="","",ROUND('Opening Balance'!$B$4+SUM($F$2:F2242)-SUM($G$2:G2242),2))</f>
        <v/>
      </c>
      <c r="J2242" s="21">
        <f>IFERROR(MATCH(ROW()-1,$L$2:$L$3001,0),"")</f>
        <v/>
      </c>
      <c r="K2242" s="34">
        <f>IF(AND('Daily Sale entry '!Q742="Collection 收款",'Daily Sale entry '!R742="Cheque 支票",'Daily Sale entry '!V742&lt;&gt;""),'Daily Sale entry '!V742+ROW()/10000000,"")</f>
        <v/>
      </c>
      <c r="L2242" s="21">
        <f>IF(K2242="","",COUNTIF($K$2:$K$3001,"&lt;"&amp;K2242)+1)</f>
        <v/>
      </c>
    </row>
    <row r="2243">
      <c r="A2243" s="5">
        <f>IF($J2243="","",IF($J2243&lt;=1500,INDEX('Daily Sale entry '!$X$1:$X$1501,$J2243+1),INDEX('Daily Sale entry '!$V$1:$V$1501,$J2243-1499)))</f>
        <v/>
      </c>
      <c r="B2243">
        <f>IF($J2243="","",IF($J2243&lt;=1500,INDEX('Daily Sale entry '!$Y$1:$Y$1501,$J2243+1)&amp;"","Buyer cheque banked 买家支票存入"&amp;IF(INDEX('Daily Sale entry '!$U$1:$U$1501,$J2243-1499)="","", " - "&amp;INDEX('Daily Sale entry '!$U$1:$U$1501,$J2243-1499))))</f>
        <v/>
      </c>
      <c r="C2243">
        <f>IF($J2243="","",IF($J2243&lt;=1500,INDEX('Daily Sale entry '!$Z$1:$Z$1501,$J2243+1)&amp;"","Cheque deposit 支票存入 (buyer 买家)"))</f>
        <v/>
      </c>
      <c r="D2243">
        <f>IF($J2243="","",IF($J2243&lt;=1500,INDEX('Daily Sale entry '!$AA$1:$AA$1501,$J2243+1)&amp;"",INDEX('Daily Sale entry '!$P$1:$P$1501,$J2243-1499)&amp;""))</f>
        <v/>
      </c>
      <c r="E2243">
        <f>IF($J2243="","",IF($J2243&lt;=1500,IF(N(INDEX('Daily Sale entry '!$AB$1:$AB$1501,$J2243+1))=0,"",INDEX('Daily Sale entry '!$AB$1:$AB$1501,$J2243+1)),1))</f>
        <v/>
      </c>
      <c r="F2243" s="6">
        <f>IF($J2243="","",IF($J2243&lt;=1500,N(INDEX('Daily Sale entry '!$AC$1:$AC$1501,$J2243+1))-IF(AND('Opening Balance'!$B$15=1,INDEX('Daily Sale entry '!$Z$1:$Z$1501,$J2243+1)="Online collection 网上收款",INDEX('Daily Sale entry '!$AA$1:$AA$1501,$J2243+1)&lt;&gt;""),N(INDEX('Daily Sale entry '!$AC$1:$AC$1501,$J2243+1))-TRUNC(N(INDEX('Daily Sale entry '!$AC$1:$AC$1501,$J2243+1))),0),N(INDEX('Daily Sale entry '!$S$1:$S$1501,$J2243-1499))-'Opening Balance'!$B$15*(N(INDEX('Daily Sale entry '!$S$1:$S$1501,$J2243-1499))-TRUNC(N(INDEX('Daily Sale entry '!$S$1:$S$1501,$J2243-1499))))))</f>
        <v/>
      </c>
      <c r="G2243" s="6">
        <f>IF($J2243="","",IF($J2243&lt;=1500,N(INDEX('Daily Sale entry '!$AD$1:$AD$1501,$J2243+1)),0))</f>
        <v/>
      </c>
      <c r="H2243" s="6">
        <f>IF($J2243="","",ROUND('Opening Balance'!$B$4+SUM($F$2:F2243)-SUM($G$2:G2243),2))</f>
        <v/>
      </c>
      <c r="J2243" s="21">
        <f>IFERROR(MATCH(ROW()-1,$L$2:$L$3001,0),"")</f>
        <v/>
      </c>
      <c r="K2243" s="34">
        <f>IF(AND('Daily Sale entry '!Q743="Collection 收款",'Daily Sale entry '!R743="Cheque 支票",'Daily Sale entry '!V743&lt;&gt;""),'Daily Sale entry '!V743+ROW()/10000000,"")</f>
        <v/>
      </c>
      <c r="L2243" s="21">
        <f>IF(K2243="","",COUNTIF($K$2:$K$3001,"&lt;"&amp;K2243)+1)</f>
        <v/>
      </c>
    </row>
    <row r="2244">
      <c r="A2244" s="5">
        <f>IF($J2244="","",IF($J2244&lt;=1500,INDEX('Daily Sale entry '!$X$1:$X$1501,$J2244+1),INDEX('Daily Sale entry '!$V$1:$V$1501,$J2244-1499)))</f>
        <v/>
      </c>
      <c r="B2244">
        <f>IF($J2244="","",IF($J2244&lt;=1500,INDEX('Daily Sale entry '!$Y$1:$Y$1501,$J2244+1)&amp;"","Buyer cheque banked 买家支票存入"&amp;IF(INDEX('Daily Sale entry '!$U$1:$U$1501,$J2244-1499)="","", " - "&amp;INDEX('Daily Sale entry '!$U$1:$U$1501,$J2244-1499))))</f>
        <v/>
      </c>
      <c r="C2244">
        <f>IF($J2244="","",IF($J2244&lt;=1500,INDEX('Daily Sale entry '!$Z$1:$Z$1501,$J2244+1)&amp;"","Cheque deposit 支票存入 (buyer 买家)"))</f>
        <v/>
      </c>
      <c r="D2244">
        <f>IF($J2244="","",IF($J2244&lt;=1500,INDEX('Daily Sale entry '!$AA$1:$AA$1501,$J2244+1)&amp;"",INDEX('Daily Sale entry '!$P$1:$P$1501,$J2244-1499)&amp;""))</f>
        <v/>
      </c>
      <c r="E2244">
        <f>IF($J2244="","",IF($J2244&lt;=1500,IF(N(INDEX('Daily Sale entry '!$AB$1:$AB$1501,$J2244+1))=0,"",INDEX('Daily Sale entry '!$AB$1:$AB$1501,$J2244+1)),1))</f>
        <v/>
      </c>
      <c r="F2244" s="6">
        <f>IF($J2244="","",IF($J2244&lt;=1500,N(INDEX('Daily Sale entry '!$AC$1:$AC$1501,$J2244+1))-IF(AND('Opening Balance'!$B$15=1,INDEX('Daily Sale entry '!$Z$1:$Z$1501,$J2244+1)="Online collection 网上收款",INDEX('Daily Sale entry '!$AA$1:$AA$1501,$J2244+1)&lt;&gt;""),N(INDEX('Daily Sale entry '!$AC$1:$AC$1501,$J2244+1))-TRUNC(N(INDEX('Daily Sale entry '!$AC$1:$AC$1501,$J2244+1))),0),N(INDEX('Daily Sale entry '!$S$1:$S$1501,$J2244-1499))-'Opening Balance'!$B$15*(N(INDEX('Daily Sale entry '!$S$1:$S$1501,$J2244-1499))-TRUNC(N(INDEX('Daily Sale entry '!$S$1:$S$1501,$J2244-1499))))))</f>
        <v/>
      </c>
      <c r="G2244" s="6">
        <f>IF($J2244="","",IF($J2244&lt;=1500,N(INDEX('Daily Sale entry '!$AD$1:$AD$1501,$J2244+1)),0))</f>
        <v/>
      </c>
      <c r="H2244" s="6">
        <f>IF($J2244="","",ROUND('Opening Balance'!$B$4+SUM($F$2:F2244)-SUM($G$2:G2244),2))</f>
        <v/>
      </c>
      <c r="J2244" s="21">
        <f>IFERROR(MATCH(ROW()-1,$L$2:$L$3001,0),"")</f>
        <v/>
      </c>
      <c r="K2244" s="34">
        <f>IF(AND('Daily Sale entry '!Q744="Collection 收款",'Daily Sale entry '!R744="Cheque 支票",'Daily Sale entry '!V744&lt;&gt;""),'Daily Sale entry '!V744+ROW()/10000000,"")</f>
        <v/>
      </c>
      <c r="L2244" s="21">
        <f>IF(K2244="","",COUNTIF($K$2:$K$3001,"&lt;"&amp;K2244)+1)</f>
        <v/>
      </c>
    </row>
    <row r="2245">
      <c r="A2245" s="5">
        <f>IF($J2245="","",IF($J2245&lt;=1500,INDEX('Daily Sale entry '!$X$1:$X$1501,$J2245+1),INDEX('Daily Sale entry '!$V$1:$V$1501,$J2245-1499)))</f>
        <v/>
      </c>
      <c r="B2245">
        <f>IF($J2245="","",IF($J2245&lt;=1500,INDEX('Daily Sale entry '!$Y$1:$Y$1501,$J2245+1)&amp;"","Buyer cheque banked 买家支票存入"&amp;IF(INDEX('Daily Sale entry '!$U$1:$U$1501,$J2245-1499)="","", " - "&amp;INDEX('Daily Sale entry '!$U$1:$U$1501,$J2245-1499))))</f>
        <v/>
      </c>
      <c r="C2245">
        <f>IF($J2245="","",IF($J2245&lt;=1500,INDEX('Daily Sale entry '!$Z$1:$Z$1501,$J2245+1)&amp;"","Cheque deposit 支票存入 (buyer 买家)"))</f>
        <v/>
      </c>
      <c r="D2245">
        <f>IF($J2245="","",IF($J2245&lt;=1500,INDEX('Daily Sale entry '!$AA$1:$AA$1501,$J2245+1)&amp;"",INDEX('Daily Sale entry '!$P$1:$P$1501,$J2245-1499)&amp;""))</f>
        <v/>
      </c>
      <c r="E2245">
        <f>IF($J2245="","",IF($J2245&lt;=1500,IF(N(INDEX('Daily Sale entry '!$AB$1:$AB$1501,$J2245+1))=0,"",INDEX('Daily Sale entry '!$AB$1:$AB$1501,$J2245+1)),1))</f>
        <v/>
      </c>
      <c r="F2245" s="6">
        <f>IF($J2245="","",IF($J2245&lt;=1500,N(INDEX('Daily Sale entry '!$AC$1:$AC$1501,$J2245+1))-IF(AND('Opening Balance'!$B$15=1,INDEX('Daily Sale entry '!$Z$1:$Z$1501,$J2245+1)="Online collection 网上收款",INDEX('Daily Sale entry '!$AA$1:$AA$1501,$J2245+1)&lt;&gt;""),N(INDEX('Daily Sale entry '!$AC$1:$AC$1501,$J2245+1))-TRUNC(N(INDEX('Daily Sale entry '!$AC$1:$AC$1501,$J2245+1))),0),N(INDEX('Daily Sale entry '!$S$1:$S$1501,$J2245-1499))-'Opening Balance'!$B$15*(N(INDEX('Daily Sale entry '!$S$1:$S$1501,$J2245-1499))-TRUNC(N(INDEX('Daily Sale entry '!$S$1:$S$1501,$J2245-1499))))))</f>
        <v/>
      </c>
      <c r="G2245" s="6">
        <f>IF($J2245="","",IF($J2245&lt;=1500,N(INDEX('Daily Sale entry '!$AD$1:$AD$1501,$J2245+1)),0))</f>
        <v/>
      </c>
      <c r="H2245" s="6">
        <f>IF($J2245="","",ROUND('Opening Balance'!$B$4+SUM($F$2:F2245)-SUM($G$2:G2245),2))</f>
        <v/>
      </c>
      <c r="J2245" s="21">
        <f>IFERROR(MATCH(ROW()-1,$L$2:$L$3001,0),"")</f>
        <v/>
      </c>
      <c r="K2245" s="34">
        <f>IF(AND('Daily Sale entry '!Q745="Collection 收款",'Daily Sale entry '!R745="Cheque 支票",'Daily Sale entry '!V745&lt;&gt;""),'Daily Sale entry '!V745+ROW()/10000000,"")</f>
        <v/>
      </c>
      <c r="L2245" s="21">
        <f>IF(K2245="","",COUNTIF($K$2:$K$3001,"&lt;"&amp;K2245)+1)</f>
        <v/>
      </c>
    </row>
    <row r="2246">
      <c r="A2246" s="5">
        <f>IF($J2246="","",IF($J2246&lt;=1500,INDEX('Daily Sale entry '!$X$1:$X$1501,$J2246+1),INDEX('Daily Sale entry '!$V$1:$V$1501,$J2246-1499)))</f>
        <v/>
      </c>
      <c r="B2246">
        <f>IF($J2246="","",IF($J2246&lt;=1500,INDEX('Daily Sale entry '!$Y$1:$Y$1501,$J2246+1)&amp;"","Buyer cheque banked 买家支票存入"&amp;IF(INDEX('Daily Sale entry '!$U$1:$U$1501,$J2246-1499)="","", " - "&amp;INDEX('Daily Sale entry '!$U$1:$U$1501,$J2246-1499))))</f>
        <v/>
      </c>
      <c r="C2246">
        <f>IF($J2246="","",IF($J2246&lt;=1500,INDEX('Daily Sale entry '!$Z$1:$Z$1501,$J2246+1)&amp;"","Cheque deposit 支票存入 (buyer 买家)"))</f>
        <v/>
      </c>
      <c r="D2246">
        <f>IF($J2246="","",IF($J2246&lt;=1500,INDEX('Daily Sale entry '!$AA$1:$AA$1501,$J2246+1)&amp;"",INDEX('Daily Sale entry '!$P$1:$P$1501,$J2246-1499)&amp;""))</f>
        <v/>
      </c>
      <c r="E2246">
        <f>IF($J2246="","",IF($J2246&lt;=1500,IF(N(INDEX('Daily Sale entry '!$AB$1:$AB$1501,$J2246+1))=0,"",INDEX('Daily Sale entry '!$AB$1:$AB$1501,$J2246+1)),1))</f>
        <v/>
      </c>
      <c r="F2246" s="6">
        <f>IF($J2246="","",IF($J2246&lt;=1500,N(INDEX('Daily Sale entry '!$AC$1:$AC$1501,$J2246+1))-IF(AND('Opening Balance'!$B$15=1,INDEX('Daily Sale entry '!$Z$1:$Z$1501,$J2246+1)="Online collection 网上收款",INDEX('Daily Sale entry '!$AA$1:$AA$1501,$J2246+1)&lt;&gt;""),N(INDEX('Daily Sale entry '!$AC$1:$AC$1501,$J2246+1))-TRUNC(N(INDEX('Daily Sale entry '!$AC$1:$AC$1501,$J2246+1))),0),N(INDEX('Daily Sale entry '!$S$1:$S$1501,$J2246-1499))-'Opening Balance'!$B$15*(N(INDEX('Daily Sale entry '!$S$1:$S$1501,$J2246-1499))-TRUNC(N(INDEX('Daily Sale entry '!$S$1:$S$1501,$J2246-1499))))))</f>
        <v/>
      </c>
      <c r="G2246" s="6">
        <f>IF($J2246="","",IF($J2246&lt;=1500,N(INDEX('Daily Sale entry '!$AD$1:$AD$1501,$J2246+1)),0))</f>
        <v/>
      </c>
      <c r="H2246" s="6">
        <f>IF($J2246="","",ROUND('Opening Balance'!$B$4+SUM($F$2:F2246)-SUM($G$2:G2246),2))</f>
        <v/>
      </c>
      <c r="J2246" s="21">
        <f>IFERROR(MATCH(ROW()-1,$L$2:$L$3001,0),"")</f>
        <v/>
      </c>
      <c r="K2246" s="34">
        <f>IF(AND('Daily Sale entry '!Q746="Collection 收款",'Daily Sale entry '!R746="Cheque 支票",'Daily Sale entry '!V746&lt;&gt;""),'Daily Sale entry '!V746+ROW()/10000000,"")</f>
        <v/>
      </c>
      <c r="L2246" s="21">
        <f>IF(K2246="","",COUNTIF($K$2:$K$3001,"&lt;"&amp;K2246)+1)</f>
        <v/>
      </c>
    </row>
    <row r="2247">
      <c r="A2247" s="5">
        <f>IF($J2247="","",IF($J2247&lt;=1500,INDEX('Daily Sale entry '!$X$1:$X$1501,$J2247+1),INDEX('Daily Sale entry '!$V$1:$V$1501,$J2247-1499)))</f>
        <v/>
      </c>
      <c r="B2247">
        <f>IF($J2247="","",IF($J2247&lt;=1500,INDEX('Daily Sale entry '!$Y$1:$Y$1501,$J2247+1)&amp;"","Buyer cheque banked 买家支票存入"&amp;IF(INDEX('Daily Sale entry '!$U$1:$U$1501,$J2247-1499)="","", " - "&amp;INDEX('Daily Sale entry '!$U$1:$U$1501,$J2247-1499))))</f>
        <v/>
      </c>
      <c r="C2247">
        <f>IF($J2247="","",IF($J2247&lt;=1500,INDEX('Daily Sale entry '!$Z$1:$Z$1501,$J2247+1)&amp;"","Cheque deposit 支票存入 (buyer 买家)"))</f>
        <v/>
      </c>
      <c r="D2247">
        <f>IF($J2247="","",IF($J2247&lt;=1500,INDEX('Daily Sale entry '!$AA$1:$AA$1501,$J2247+1)&amp;"",INDEX('Daily Sale entry '!$P$1:$P$1501,$J2247-1499)&amp;""))</f>
        <v/>
      </c>
      <c r="E2247">
        <f>IF($J2247="","",IF($J2247&lt;=1500,IF(N(INDEX('Daily Sale entry '!$AB$1:$AB$1501,$J2247+1))=0,"",INDEX('Daily Sale entry '!$AB$1:$AB$1501,$J2247+1)),1))</f>
        <v/>
      </c>
      <c r="F2247" s="6">
        <f>IF($J2247="","",IF($J2247&lt;=1500,N(INDEX('Daily Sale entry '!$AC$1:$AC$1501,$J2247+1))-IF(AND('Opening Balance'!$B$15=1,INDEX('Daily Sale entry '!$Z$1:$Z$1501,$J2247+1)="Online collection 网上收款",INDEX('Daily Sale entry '!$AA$1:$AA$1501,$J2247+1)&lt;&gt;""),N(INDEX('Daily Sale entry '!$AC$1:$AC$1501,$J2247+1))-TRUNC(N(INDEX('Daily Sale entry '!$AC$1:$AC$1501,$J2247+1))),0),N(INDEX('Daily Sale entry '!$S$1:$S$1501,$J2247-1499))-'Opening Balance'!$B$15*(N(INDEX('Daily Sale entry '!$S$1:$S$1501,$J2247-1499))-TRUNC(N(INDEX('Daily Sale entry '!$S$1:$S$1501,$J2247-1499))))))</f>
        <v/>
      </c>
      <c r="G2247" s="6">
        <f>IF($J2247="","",IF($J2247&lt;=1500,N(INDEX('Daily Sale entry '!$AD$1:$AD$1501,$J2247+1)),0))</f>
        <v/>
      </c>
      <c r="H2247" s="6">
        <f>IF($J2247="","",ROUND('Opening Balance'!$B$4+SUM($F$2:F2247)-SUM($G$2:G2247),2))</f>
        <v/>
      </c>
      <c r="J2247" s="21">
        <f>IFERROR(MATCH(ROW()-1,$L$2:$L$3001,0),"")</f>
        <v/>
      </c>
      <c r="K2247" s="34">
        <f>IF(AND('Daily Sale entry '!Q747="Collection 收款",'Daily Sale entry '!R747="Cheque 支票",'Daily Sale entry '!V747&lt;&gt;""),'Daily Sale entry '!V747+ROW()/10000000,"")</f>
        <v/>
      </c>
      <c r="L2247" s="21">
        <f>IF(K2247="","",COUNTIF($K$2:$K$3001,"&lt;"&amp;K2247)+1)</f>
        <v/>
      </c>
    </row>
    <row r="2248">
      <c r="A2248" s="5">
        <f>IF($J2248="","",IF($J2248&lt;=1500,INDEX('Daily Sale entry '!$X$1:$X$1501,$J2248+1),INDEX('Daily Sale entry '!$V$1:$V$1501,$J2248-1499)))</f>
        <v/>
      </c>
      <c r="B2248">
        <f>IF($J2248="","",IF($J2248&lt;=1500,INDEX('Daily Sale entry '!$Y$1:$Y$1501,$J2248+1)&amp;"","Buyer cheque banked 买家支票存入"&amp;IF(INDEX('Daily Sale entry '!$U$1:$U$1501,$J2248-1499)="","", " - "&amp;INDEX('Daily Sale entry '!$U$1:$U$1501,$J2248-1499))))</f>
        <v/>
      </c>
      <c r="C2248">
        <f>IF($J2248="","",IF($J2248&lt;=1500,INDEX('Daily Sale entry '!$Z$1:$Z$1501,$J2248+1)&amp;"","Cheque deposit 支票存入 (buyer 买家)"))</f>
        <v/>
      </c>
      <c r="D2248">
        <f>IF($J2248="","",IF($J2248&lt;=1500,INDEX('Daily Sale entry '!$AA$1:$AA$1501,$J2248+1)&amp;"",INDEX('Daily Sale entry '!$P$1:$P$1501,$J2248-1499)&amp;""))</f>
        <v/>
      </c>
      <c r="E2248">
        <f>IF($J2248="","",IF($J2248&lt;=1500,IF(N(INDEX('Daily Sale entry '!$AB$1:$AB$1501,$J2248+1))=0,"",INDEX('Daily Sale entry '!$AB$1:$AB$1501,$J2248+1)),1))</f>
        <v/>
      </c>
      <c r="F2248" s="6">
        <f>IF($J2248="","",IF($J2248&lt;=1500,N(INDEX('Daily Sale entry '!$AC$1:$AC$1501,$J2248+1))-IF(AND('Opening Balance'!$B$15=1,INDEX('Daily Sale entry '!$Z$1:$Z$1501,$J2248+1)="Online collection 网上收款",INDEX('Daily Sale entry '!$AA$1:$AA$1501,$J2248+1)&lt;&gt;""),N(INDEX('Daily Sale entry '!$AC$1:$AC$1501,$J2248+1))-TRUNC(N(INDEX('Daily Sale entry '!$AC$1:$AC$1501,$J2248+1))),0),N(INDEX('Daily Sale entry '!$S$1:$S$1501,$J2248-1499))-'Opening Balance'!$B$15*(N(INDEX('Daily Sale entry '!$S$1:$S$1501,$J2248-1499))-TRUNC(N(INDEX('Daily Sale entry '!$S$1:$S$1501,$J2248-1499))))))</f>
        <v/>
      </c>
      <c r="G2248" s="6">
        <f>IF($J2248="","",IF($J2248&lt;=1500,N(INDEX('Daily Sale entry '!$AD$1:$AD$1501,$J2248+1)),0))</f>
        <v/>
      </c>
      <c r="H2248" s="6">
        <f>IF($J2248="","",ROUND('Opening Balance'!$B$4+SUM($F$2:F2248)-SUM($G$2:G2248),2))</f>
        <v/>
      </c>
      <c r="J2248" s="21">
        <f>IFERROR(MATCH(ROW()-1,$L$2:$L$3001,0),"")</f>
        <v/>
      </c>
      <c r="K2248" s="34">
        <f>IF(AND('Daily Sale entry '!Q748="Collection 收款",'Daily Sale entry '!R748="Cheque 支票",'Daily Sale entry '!V748&lt;&gt;""),'Daily Sale entry '!V748+ROW()/10000000,"")</f>
        <v/>
      </c>
      <c r="L2248" s="21">
        <f>IF(K2248="","",COUNTIF($K$2:$K$3001,"&lt;"&amp;K2248)+1)</f>
        <v/>
      </c>
    </row>
    <row r="2249">
      <c r="A2249" s="5">
        <f>IF($J2249="","",IF($J2249&lt;=1500,INDEX('Daily Sale entry '!$X$1:$X$1501,$J2249+1),INDEX('Daily Sale entry '!$V$1:$V$1501,$J2249-1499)))</f>
        <v/>
      </c>
      <c r="B2249">
        <f>IF($J2249="","",IF($J2249&lt;=1500,INDEX('Daily Sale entry '!$Y$1:$Y$1501,$J2249+1)&amp;"","Buyer cheque banked 买家支票存入"&amp;IF(INDEX('Daily Sale entry '!$U$1:$U$1501,$J2249-1499)="","", " - "&amp;INDEX('Daily Sale entry '!$U$1:$U$1501,$J2249-1499))))</f>
        <v/>
      </c>
      <c r="C2249">
        <f>IF($J2249="","",IF($J2249&lt;=1500,INDEX('Daily Sale entry '!$Z$1:$Z$1501,$J2249+1)&amp;"","Cheque deposit 支票存入 (buyer 买家)"))</f>
        <v/>
      </c>
      <c r="D2249">
        <f>IF($J2249="","",IF($J2249&lt;=1500,INDEX('Daily Sale entry '!$AA$1:$AA$1501,$J2249+1)&amp;"",INDEX('Daily Sale entry '!$P$1:$P$1501,$J2249-1499)&amp;""))</f>
        <v/>
      </c>
      <c r="E2249">
        <f>IF($J2249="","",IF($J2249&lt;=1500,IF(N(INDEX('Daily Sale entry '!$AB$1:$AB$1501,$J2249+1))=0,"",INDEX('Daily Sale entry '!$AB$1:$AB$1501,$J2249+1)),1))</f>
        <v/>
      </c>
      <c r="F2249" s="6">
        <f>IF($J2249="","",IF($J2249&lt;=1500,N(INDEX('Daily Sale entry '!$AC$1:$AC$1501,$J2249+1))-IF(AND('Opening Balance'!$B$15=1,INDEX('Daily Sale entry '!$Z$1:$Z$1501,$J2249+1)="Online collection 网上收款",INDEX('Daily Sale entry '!$AA$1:$AA$1501,$J2249+1)&lt;&gt;""),N(INDEX('Daily Sale entry '!$AC$1:$AC$1501,$J2249+1))-TRUNC(N(INDEX('Daily Sale entry '!$AC$1:$AC$1501,$J2249+1))),0),N(INDEX('Daily Sale entry '!$S$1:$S$1501,$J2249-1499))-'Opening Balance'!$B$15*(N(INDEX('Daily Sale entry '!$S$1:$S$1501,$J2249-1499))-TRUNC(N(INDEX('Daily Sale entry '!$S$1:$S$1501,$J2249-1499))))))</f>
        <v/>
      </c>
      <c r="G2249" s="6">
        <f>IF($J2249="","",IF($J2249&lt;=1500,N(INDEX('Daily Sale entry '!$AD$1:$AD$1501,$J2249+1)),0))</f>
        <v/>
      </c>
      <c r="H2249" s="6">
        <f>IF($J2249="","",ROUND('Opening Balance'!$B$4+SUM($F$2:F2249)-SUM($G$2:G2249),2))</f>
        <v/>
      </c>
      <c r="J2249" s="21">
        <f>IFERROR(MATCH(ROW()-1,$L$2:$L$3001,0),"")</f>
        <v/>
      </c>
      <c r="K2249" s="34">
        <f>IF(AND('Daily Sale entry '!Q749="Collection 收款",'Daily Sale entry '!R749="Cheque 支票",'Daily Sale entry '!V749&lt;&gt;""),'Daily Sale entry '!V749+ROW()/10000000,"")</f>
        <v/>
      </c>
      <c r="L2249" s="21">
        <f>IF(K2249="","",COUNTIF($K$2:$K$3001,"&lt;"&amp;K2249)+1)</f>
        <v/>
      </c>
    </row>
    <row r="2250">
      <c r="A2250" s="5">
        <f>IF($J2250="","",IF($J2250&lt;=1500,INDEX('Daily Sale entry '!$X$1:$X$1501,$J2250+1),INDEX('Daily Sale entry '!$V$1:$V$1501,$J2250-1499)))</f>
        <v/>
      </c>
      <c r="B2250">
        <f>IF($J2250="","",IF($J2250&lt;=1500,INDEX('Daily Sale entry '!$Y$1:$Y$1501,$J2250+1)&amp;"","Buyer cheque banked 买家支票存入"&amp;IF(INDEX('Daily Sale entry '!$U$1:$U$1501,$J2250-1499)="","", " - "&amp;INDEX('Daily Sale entry '!$U$1:$U$1501,$J2250-1499))))</f>
        <v/>
      </c>
      <c r="C2250">
        <f>IF($J2250="","",IF($J2250&lt;=1500,INDEX('Daily Sale entry '!$Z$1:$Z$1501,$J2250+1)&amp;"","Cheque deposit 支票存入 (buyer 买家)"))</f>
        <v/>
      </c>
      <c r="D2250">
        <f>IF($J2250="","",IF($J2250&lt;=1500,INDEX('Daily Sale entry '!$AA$1:$AA$1501,$J2250+1)&amp;"",INDEX('Daily Sale entry '!$P$1:$P$1501,$J2250-1499)&amp;""))</f>
        <v/>
      </c>
      <c r="E2250">
        <f>IF($J2250="","",IF($J2250&lt;=1500,IF(N(INDEX('Daily Sale entry '!$AB$1:$AB$1501,$J2250+1))=0,"",INDEX('Daily Sale entry '!$AB$1:$AB$1501,$J2250+1)),1))</f>
        <v/>
      </c>
      <c r="F2250" s="6">
        <f>IF($J2250="","",IF($J2250&lt;=1500,N(INDEX('Daily Sale entry '!$AC$1:$AC$1501,$J2250+1))-IF(AND('Opening Balance'!$B$15=1,INDEX('Daily Sale entry '!$Z$1:$Z$1501,$J2250+1)="Online collection 网上收款",INDEX('Daily Sale entry '!$AA$1:$AA$1501,$J2250+1)&lt;&gt;""),N(INDEX('Daily Sale entry '!$AC$1:$AC$1501,$J2250+1))-TRUNC(N(INDEX('Daily Sale entry '!$AC$1:$AC$1501,$J2250+1))),0),N(INDEX('Daily Sale entry '!$S$1:$S$1501,$J2250-1499))-'Opening Balance'!$B$15*(N(INDEX('Daily Sale entry '!$S$1:$S$1501,$J2250-1499))-TRUNC(N(INDEX('Daily Sale entry '!$S$1:$S$1501,$J2250-1499))))))</f>
        <v/>
      </c>
      <c r="G2250" s="6">
        <f>IF($J2250="","",IF($J2250&lt;=1500,N(INDEX('Daily Sale entry '!$AD$1:$AD$1501,$J2250+1)),0))</f>
        <v/>
      </c>
      <c r="H2250" s="6">
        <f>IF($J2250="","",ROUND('Opening Balance'!$B$4+SUM($F$2:F2250)-SUM($G$2:G2250),2))</f>
        <v/>
      </c>
      <c r="J2250" s="21">
        <f>IFERROR(MATCH(ROW()-1,$L$2:$L$3001,0),"")</f>
        <v/>
      </c>
      <c r="K2250" s="34">
        <f>IF(AND('Daily Sale entry '!Q750="Collection 收款",'Daily Sale entry '!R750="Cheque 支票",'Daily Sale entry '!V750&lt;&gt;""),'Daily Sale entry '!V750+ROW()/10000000,"")</f>
        <v/>
      </c>
      <c r="L2250" s="21">
        <f>IF(K2250="","",COUNTIF($K$2:$K$3001,"&lt;"&amp;K2250)+1)</f>
        <v/>
      </c>
    </row>
    <row r="2251">
      <c r="A2251" s="5">
        <f>IF($J2251="","",IF($J2251&lt;=1500,INDEX('Daily Sale entry '!$X$1:$X$1501,$J2251+1),INDEX('Daily Sale entry '!$V$1:$V$1501,$J2251-1499)))</f>
        <v/>
      </c>
      <c r="B2251">
        <f>IF($J2251="","",IF($J2251&lt;=1500,INDEX('Daily Sale entry '!$Y$1:$Y$1501,$J2251+1)&amp;"","Buyer cheque banked 买家支票存入"&amp;IF(INDEX('Daily Sale entry '!$U$1:$U$1501,$J2251-1499)="","", " - "&amp;INDEX('Daily Sale entry '!$U$1:$U$1501,$J2251-1499))))</f>
        <v/>
      </c>
      <c r="C2251">
        <f>IF($J2251="","",IF($J2251&lt;=1500,INDEX('Daily Sale entry '!$Z$1:$Z$1501,$J2251+1)&amp;"","Cheque deposit 支票存入 (buyer 买家)"))</f>
        <v/>
      </c>
      <c r="D2251">
        <f>IF($J2251="","",IF($J2251&lt;=1500,INDEX('Daily Sale entry '!$AA$1:$AA$1501,$J2251+1)&amp;"",INDEX('Daily Sale entry '!$P$1:$P$1501,$J2251-1499)&amp;""))</f>
        <v/>
      </c>
      <c r="E2251">
        <f>IF($J2251="","",IF($J2251&lt;=1500,IF(N(INDEX('Daily Sale entry '!$AB$1:$AB$1501,$J2251+1))=0,"",INDEX('Daily Sale entry '!$AB$1:$AB$1501,$J2251+1)),1))</f>
        <v/>
      </c>
      <c r="F2251" s="6">
        <f>IF($J2251="","",IF($J2251&lt;=1500,N(INDEX('Daily Sale entry '!$AC$1:$AC$1501,$J2251+1))-IF(AND('Opening Balance'!$B$15=1,INDEX('Daily Sale entry '!$Z$1:$Z$1501,$J2251+1)="Online collection 网上收款",INDEX('Daily Sale entry '!$AA$1:$AA$1501,$J2251+1)&lt;&gt;""),N(INDEX('Daily Sale entry '!$AC$1:$AC$1501,$J2251+1))-TRUNC(N(INDEX('Daily Sale entry '!$AC$1:$AC$1501,$J2251+1))),0),N(INDEX('Daily Sale entry '!$S$1:$S$1501,$J2251-1499))-'Opening Balance'!$B$15*(N(INDEX('Daily Sale entry '!$S$1:$S$1501,$J2251-1499))-TRUNC(N(INDEX('Daily Sale entry '!$S$1:$S$1501,$J2251-1499))))))</f>
        <v/>
      </c>
      <c r="G2251" s="6">
        <f>IF($J2251="","",IF($J2251&lt;=1500,N(INDEX('Daily Sale entry '!$AD$1:$AD$1501,$J2251+1)),0))</f>
        <v/>
      </c>
      <c r="H2251" s="6">
        <f>IF($J2251="","",ROUND('Opening Balance'!$B$4+SUM($F$2:F2251)-SUM($G$2:G2251),2))</f>
        <v/>
      </c>
      <c r="J2251" s="21">
        <f>IFERROR(MATCH(ROW()-1,$L$2:$L$3001,0),"")</f>
        <v/>
      </c>
      <c r="K2251" s="34">
        <f>IF(AND('Daily Sale entry '!Q751="Collection 收款",'Daily Sale entry '!R751="Cheque 支票",'Daily Sale entry '!V751&lt;&gt;""),'Daily Sale entry '!V751+ROW()/10000000,"")</f>
        <v/>
      </c>
      <c r="L2251" s="21">
        <f>IF(K2251="","",COUNTIF($K$2:$K$3001,"&lt;"&amp;K2251)+1)</f>
        <v/>
      </c>
    </row>
    <row r="2252">
      <c r="A2252" s="5">
        <f>IF($J2252="","",IF($J2252&lt;=1500,INDEX('Daily Sale entry '!$X$1:$X$1501,$J2252+1),INDEX('Daily Sale entry '!$V$1:$V$1501,$J2252-1499)))</f>
        <v/>
      </c>
      <c r="B2252">
        <f>IF($J2252="","",IF($J2252&lt;=1500,INDEX('Daily Sale entry '!$Y$1:$Y$1501,$J2252+1)&amp;"","Buyer cheque banked 买家支票存入"&amp;IF(INDEX('Daily Sale entry '!$U$1:$U$1501,$J2252-1499)="","", " - "&amp;INDEX('Daily Sale entry '!$U$1:$U$1501,$J2252-1499))))</f>
        <v/>
      </c>
      <c r="C2252">
        <f>IF($J2252="","",IF($J2252&lt;=1500,INDEX('Daily Sale entry '!$Z$1:$Z$1501,$J2252+1)&amp;"","Cheque deposit 支票存入 (buyer 买家)"))</f>
        <v/>
      </c>
      <c r="D2252">
        <f>IF($J2252="","",IF($J2252&lt;=1500,INDEX('Daily Sale entry '!$AA$1:$AA$1501,$J2252+1)&amp;"",INDEX('Daily Sale entry '!$P$1:$P$1501,$J2252-1499)&amp;""))</f>
        <v/>
      </c>
      <c r="E2252">
        <f>IF($J2252="","",IF($J2252&lt;=1500,IF(N(INDEX('Daily Sale entry '!$AB$1:$AB$1501,$J2252+1))=0,"",INDEX('Daily Sale entry '!$AB$1:$AB$1501,$J2252+1)),1))</f>
        <v/>
      </c>
      <c r="F2252" s="6">
        <f>IF($J2252="","",IF($J2252&lt;=1500,N(INDEX('Daily Sale entry '!$AC$1:$AC$1501,$J2252+1))-IF(AND('Opening Balance'!$B$15=1,INDEX('Daily Sale entry '!$Z$1:$Z$1501,$J2252+1)="Online collection 网上收款",INDEX('Daily Sale entry '!$AA$1:$AA$1501,$J2252+1)&lt;&gt;""),N(INDEX('Daily Sale entry '!$AC$1:$AC$1501,$J2252+1))-TRUNC(N(INDEX('Daily Sale entry '!$AC$1:$AC$1501,$J2252+1))),0),N(INDEX('Daily Sale entry '!$S$1:$S$1501,$J2252-1499))-'Opening Balance'!$B$15*(N(INDEX('Daily Sale entry '!$S$1:$S$1501,$J2252-1499))-TRUNC(N(INDEX('Daily Sale entry '!$S$1:$S$1501,$J2252-1499))))))</f>
        <v/>
      </c>
      <c r="G2252" s="6">
        <f>IF($J2252="","",IF($J2252&lt;=1500,N(INDEX('Daily Sale entry '!$AD$1:$AD$1501,$J2252+1)),0))</f>
        <v/>
      </c>
      <c r="H2252" s="6">
        <f>IF($J2252="","",ROUND('Opening Balance'!$B$4+SUM($F$2:F2252)-SUM($G$2:G2252),2))</f>
        <v/>
      </c>
      <c r="J2252" s="21">
        <f>IFERROR(MATCH(ROW()-1,$L$2:$L$3001,0),"")</f>
        <v/>
      </c>
      <c r="K2252" s="34">
        <f>IF(AND('Daily Sale entry '!Q752="Collection 收款",'Daily Sale entry '!R752="Cheque 支票",'Daily Sale entry '!V752&lt;&gt;""),'Daily Sale entry '!V752+ROW()/10000000,"")</f>
        <v/>
      </c>
      <c r="L2252" s="21">
        <f>IF(K2252="","",COUNTIF($K$2:$K$3001,"&lt;"&amp;K2252)+1)</f>
        <v/>
      </c>
    </row>
    <row r="2253">
      <c r="A2253" s="5">
        <f>IF($J2253="","",IF($J2253&lt;=1500,INDEX('Daily Sale entry '!$X$1:$X$1501,$J2253+1),INDEX('Daily Sale entry '!$V$1:$V$1501,$J2253-1499)))</f>
        <v/>
      </c>
      <c r="B2253">
        <f>IF($J2253="","",IF($J2253&lt;=1500,INDEX('Daily Sale entry '!$Y$1:$Y$1501,$J2253+1)&amp;"","Buyer cheque banked 买家支票存入"&amp;IF(INDEX('Daily Sale entry '!$U$1:$U$1501,$J2253-1499)="","", " - "&amp;INDEX('Daily Sale entry '!$U$1:$U$1501,$J2253-1499))))</f>
        <v/>
      </c>
      <c r="C2253">
        <f>IF($J2253="","",IF($J2253&lt;=1500,INDEX('Daily Sale entry '!$Z$1:$Z$1501,$J2253+1)&amp;"","Cheque deposit 支票存入 (buyer 买家)"))</f>
        <v/>
      </c>
      <c r="D2253">
        <f>IF($J2253="","",IF($J2253&lt;=1500,INDEX('Daily Sale entry '!$AA$1:$AA$1501,$J2253+1)&amp;"",INDEX('Daily Sale entry '!$P$1:$P$1501,$J2253-1499)&amp;""))</f>
        <v/>
      </c>
      <c r="E2253">
        <f>IF($J2253="","",IF($J2253&lt;=1500,IF(N(INDEX('Daily Sale entry '!$AB$1:$AB$1501,$J2253+1))=0,"",INDEX('Daily Sale entry '!$AB$1:$AB$1501,$J2253+1)),1))</f>
        <v/>
      </c>
      <c r="F2253" s="6">
        <f>IF($J2253="","",IF($J2253&lt;=1500,N(INDEX('Daily Sale entry '!$AC$1:$AC$1501,$J2253+1))-IF(AND('Opening Balance'!$B$15=1,INDEX('Daily Sale entry '!$Z$1:$Z$1501,$J2253+1)="Online collection 网上收款",INDEX('Daily Sale entry '!$AA$1:$AA$1501,$J2253+1)&lt;&gt;""),N(INDEX('Daily Sale entry '!$AC$1:$AC$1501,$J2253+1))-TRUNC(N(INDEX('Daily Sale entry '!$AC$1:$AC$1501,$J2253+1))),0),N(INDEX('Daily Sale entry '!$S$1:$S$1501,$J2253-1499))-'Opening Balance'!$B$15*(N(INDEX('Daily Sale entry '!$S$1:$S$1501,$J2253-1499))-TRUNC(N(INDEX('Daily Sale entry '!$S$1:$S$1501,$J2253-1499))))))</f>
        <v/>
      </c>
      <c r="G2253" s="6">
        <f>IF($J2253="","",IF($J2253&lt;=1500,N(INDEX('Daily Sale entry '!$AD$1:$AD$1501,$J2253+1)),0))</f>
        <v/>
      </c>
      <c r="H2253" s="6">
        <f>IF($J2253="","",ROUND('Opening Balance'!$B$4+SUM($F$2:F2253)-SUM($G$2:G2253),2))</f>
        <v/>
      </c>
      <c r="J2253" s="21">
        <f>IFERROR(MATCH(ROW()-1,$L$2:$L$3001,0),"")</f>
        <v/>
      </c>
      <c r="K2253" s="34">
        <f>IF(AND('Daily Sale entry '!Q753="Collection 收款",'Daily Sale entry '!R753="Cheque 支票",'Daily Sale entry '!V753&lt;&gt;""),'Daily Sale entry '!V753+ROW()/10000000,"")</f>
        <v/>
      </c>
      <c r="L2253" s="21">
        <f>IF(K2253="","",COUNTIF($K$2:$K$3001,"&lt;"&amp;K2253)+1)</f>
        <v/>
      </c>
    </row>
    <row r="2254">
      <c r="A2254" s="5">
        <f>IF($J2254="","",IF($J2254&lt;=1500,INDEX('Daily Sale entry '!$X$1:$X$1501,$J2254+1),INDEX('Daily Sale entry '!$V$1:$V$1501,$J2254-1499)))</f>
        <v/>
      </c>
      <c r="B2254">
        <f>IF($J2254="","",IF($J2254&lt;=1500,INDEX('Daily Sale entry '!$Y$1:$Y$1501,$J2254+1)&amp;"","Buyer cheque banked 买家支票存入"&amp;IF(INDEX('Daily Sale entry '!$U$1:$U$1501,$J2254-1499)="","", " - "&amp;INDEX('Daily Sale entry '!$U$1:$U$1501,$J2254-1499))))</f>
        <v/>
      </c>
      <c r="C2254">
        <f>IF($J2254="","",IF($J2254&lt;=1500,INDEX('Daily Sale entry '!$Z$1:$Z$1501,$J2254+1)&amp;"","Cheque deposit 支票存入 (buyer 买家)"))</f>
        <v/>
      </c>
      <c r="D2254">
        <f>IF($J2254="","",IF($J2254&lt;=1500,INDEX('Daily Sale entry '!$AA$1:$AA$1501,$J2254+1)&amp;"",INDEX('Daily Sale entry '!$P$1:$P$1501,$J2254-1499)&amp;""))</f>
        <v/>
      </c>
      <c r="E2254">
        <f>IF($J2254="","",IF($J2254&lt;=1500,IF(N(INDEX('Daily Sale entry '!$AB$1:$AB$1501,$J2254+1))=0,"",INDEX('Daily Sale entry '!$AB$1:$AB$1501,$J2254+1)),1))</f>
        <v/>
      </c>
      <c r="F2254" s="6">
        <f>IF($J2254="","",IF($J2254&lt;=1500,N(INDEX('Daily Sale entry '!$AC$1:$AC$1501,$J2254+1))-IF(AND('Opening Balance'!$B$15=1,INDEX('Daily Sale entry '!$Z$1:$Z$1501,$J2254+1)="Online collection 网上收款",INDEX('Daily Sale entry '!$AA$1:$AA$1501,$J2254+1)&lt;&gt;""),N(INDEX('Daily Sale entry '!$AC$1:$AC$1501,$J2254+1))-TRUNC(N(INDEX('Daily Sale entry '!$AC$1:$AC$1501,$J2254+1))),0),N(INDEX('Daily Sale entry '!$S$1:$S$1501,$J2254-1499))-'Opening Balance'!$B$15*(N(INDEX('Daily Sale entry '!$S$1:$S$1501,$J2254-1499))-TRUNC(N(INDEX('Daily Sale entry '!$S$1:$S$1501,$J2254-1499))))))</f>
        <v/>
      </c>
      <c r="G2254" s="6">
        <f>IF($J2254="","",IF($J2254&lt;=1500,N(INDEX('Daily Sale entry '!$AD$1:$AD$1501,$J2254+1)),0))</f>
        <v/>
      </c>
      <c r="H2254" s="6">
        <f>IF($J2254="","",ROUND('Opening Balance'!$B$4+SUM($F$2:F2254)-SUM($G$2:G2254),2))</f>
        <v/>
      </c>
      <c r="J2254" s="21">
        <f>IFERROR(MATCH(ROW()-1,$L$2:$L$3001,0),"")</f>
        <v/>
      </c>
      <c r="K2254" s="34">
        <f>IF(AND('Daily Sale entry '!Q754="Collection 收款",'Daily Sale entry '!R754="Cheque 支票",'Daily Sale entry '!V754&lt;&gt;""),'Daily Sale entry '!V754+ROW()/10000000,"")</f>
        <v/>
      </c>
      <c r="L2254" s="21">
        <f>IF(K2254="","",COUNTIF($K$2:$K$3001,"&lt;"&amp;K2254)+1)</f>
        <v/>
      </c>
    </row>
    <row r="2255">
      <c r="A2255" s="5">
        <f>IF($J2255="","",IF($J2255&lt;=1500,INDEX('Daily Sale entry '!$X$1:$X$1501,$J2255+1),INDEX('Daily Sale entry '!$V$1:$V$1501,$J2255-1499)))</f>
        <v/>
      </c>
      <c r="B2255">
        <f>IF($J2255="","",IF($J2255&lt;=1500,INDEX('Daily Sale entry '!$Y$1:$Y$1501,$J2255+1)&amp;"","Buyer cheque banked 买家支票存入"&amp;IF(INDEX('Daily Sale entry '!$U$1:$U$1501,$J2255-1499)="","", " - "&amp;INDEX('Daily Sale entry '!$U$1:$U$1501,$J2255-1499))))</f>
        <v/>
      </c>
      <c r="C2255">
        <f>IF($J2255="","",IF($J2255&lt;=1500,INDEX('Daily Sale entry '!$Z$1:$Z$1501,$J2255+1)&amp;"","Cheque deposit 支票存入 (buyer 买家)"))</f>
        <v/>
      </c>
      <c r="D2255">
        <f>IF($J2255="","",IF($J2255&lt;=1500,INDEX('Daily Sale entry '!$AA$1:$AA$1501,$J2255+1)&amp;"",INDEX('Daily Sale entry '!$P$1:$P$1501,$J2255-1499)&amp;""))</f>
        <v/>
      </c>
      <c r="E2255">
        <f>IF($J2255="","",IF($J2255&lt;=1500,IF(N(INDEX('Daily Sale entry '!$AB$1:$AB$1501,$J2255+1))=0,"",INDEX('Daily Sale entry '!$AB$1:$AB$1501,$J2255+1)),1))</f>
        <v/>
      </c>
      <c r="F2255" s="6">
        <f>IF($J2255="","",IF($J2255&lt;=1500,N(INDEX('Daily Sale entry '!$AC$1:$AC$1501,$J2255+1))-IF(AND('Opening Balance'!$B$15=1,INDEX('Daily Sale entry '!$Z$1:$Z$1501,$J2255+1)="Online collection 网上收款",INDEX('Daily Sale entry '!$AA$1:$AA$1501,$J2255+1)&lt;&gt;""),N(INDEX('Daily Sale entry '!$AC$1:$AC$1501,$J2255+1))-TRUNC(N(INDEX('Daily Sale entry '!$AC$1:$AC$1501,$J2255+1))),0),N(INDEX('Daily Sale entry '!$S$1:$S$1501,$J2255-1499))-'Opening Balance'!$B$15*(N(INDEX('Daily Sale entry '!$S$1:$S$1501,$J2255-1499))-TRUNC(N(INDEX('Daily Sale entry '!$S$1:$S$1501,$J2255-1499))))))</f>
        <v/>
      </c>
      <c r="G2255" s="6">
        <f>IF($J2255="","",IF($J2255&lt;=1500,N(INDEX('Daily Sale entry '!$AD$1:$AD$1501,$J2255+1)),0))</f>
        <v/>
      </c>
      <c r="H2255" s="6">
        <f>IF($J2255="","",ROUND('Opening Balance'!$B$4+SUM($F$2:F2255)-SUM($G$2:G2255),2))</f>
        <v/>
      </c>
      <c r="J2255" s="21">
        <f>IFERROR(MATCH(ROW()-1,$L$2:$L$3001,0),"")</f>
        <v/>
      </c>
      <c r="K2255" s="34">
        <f>IF(AND('Daily Sale entry '!Q755="Collection 收款",'Daily Sale entry '!R755="Cheque 支票",'Daily Sale entry '!V755&lt;&gt;""),'Daily Sale entry '!V755+ROW()/10000000,"")</f>
        <v/>
      </c>
      <c r="L2255" s="21">
        <f>IF(K2255="","",COUNTIF($K$2:$K$3001,"&lt;"&amp;K2255)+1)</f>
        <v/>
      </c>
    </row>
    <row r="2256">
      <c r="A2256" s="5">
        <f>IF($J2256="","",IF($J2256&lt;=1500,INDEX('Daily Sale entry '!$X$1:$X$1501,$J2256+1),INDEX('Daily Sale entry '!$V$1:$V$1501,$J2256-1499)))</f>
        <v/>
      </c>
      <c r="B2256">
        <f>IF($J2256="","",IF($J2256&lt;=1500,INDEX('Daily Sale entry '!$Y$1:$Y$1501,$J2256+1)&amp;"","Buyer cheque banked 买家支票存入"&amp;IF(INDEX('Daily Sale entry '!$U$1:$U$1501,$J2256-1499)="","", " - "&amp;INDEX('Daily Sale entry '!$U$1:$U$1501,$J2256-1499))))</f>
        <v/>
      </c>
      <c r="C2256">
        <f>IF($J2256="","",IF($J2256&lt;=1500,INDEX('Daily Sale entry '!$Z$1:$Z$1501,$J2256+1)&amp;"","Cheque deposit 支票存入 (buyer 买家)"))</f>
        <v/>
      </c>
      <c r="D2256">
        <f>IF($J2256="","",IF($J2256&lt;=1500,INDEX('Daily Sale entry '!$AA$1:$AA$1501,$J2256+1)&amp;"",INDEX('Daily Sale entry '!$P$1:$P$1501,$J2256-1499)&amp;""))</f>
        <v/>
      </c>
      <c r="E2256">
        <f>IF($J2256="","",IF($J2256&lt;=1500,IF(N(INDEX('Daily Sale entry '!$AB$1:$AB$1501,$J2256+1))=0,"",INDEX('Daily Sale entry '!$AB$1:$AB$1501,$J2256+1)),1))</f>
        <v/>
      </c>
      <c r="F2256" s="6">
        <f>IF($J2256="","",IF($J2256&lt;=1500,N(INDEX('Daily Sale entry '!$AC$1:$AC$1501,$J2256+1))-IF(AND('Opening Balance'!$B$15=1,INDEX('Daily Sale entry '!$Z$1:$Z$1501,$J2256+1)="Online collection 网上收款",INDEX('Daily Sale entry '!$AA$1:$AA$1501,$J2256+1)&lt;&gt;""),N(INDEX('Daily Sale entry '!$AC$1:$AC$1501,$J2256+1))-TRUNC(N(INDEX('Daily Sale entry '!$AC$1:$AC$1501,$J2256+1))),0),N(INDEX('Daily Sale entry '!$S$1:$S$1501,$J2256-1499))-'Opening Balance'!$B$15*(N(INDEX('Daily Sale entry '!$S$1:$S$1501,$J2256-1499))-TRUNC(N(INDEX('Daily Sale entry '!$S$1:$S$1501,$J2256-1499))))))</f>
        <v/>
      </c>
      <c r="G2256" s="6">
        <f>IF($J2256="","",IF($J2256&lt;=1500,N(INDEX('Daily Sale entry '!$AD$1:$AD$1501,$J2256+1)),0))</f>
        <v/>
      </c>
      <c r="H2256" s="6">
        <f>IF($J2256="","",ROUND('Opening Balance'!$B$4+SUM($F$2:F2256)-SUM($G$2:G2256),2))</f>
        <v/>
      </c>
      <c r="J2256" s="21">
        <f>IFERROR(MATCH(ROW()-1,$L$2:$L$3001,0),"")</f>
        <v/>
      </c>
      <c r="K2256" s="34">
        <f>IF(AND('Daily Sale entry '!Q756="Collection 收款",'Daily Sale entry '!R756="Cheque 支票",'Daily Sale entry '!V756&lt;&gt;""),'Daily Sale entry '!V756+ROW()/10000000,"")</f>
        <v/>
      </c>
      <c r="L2256" s="21">
        <f>IF(K2256="","",COUNTIF($K$2:$K$3001,"&lt;"&amp;K2256)+1)</f>
        <v/>
      </c>
    </row>
    <row r="2257">
      <c r="A2257" s="5">
        <f>IF($J2257="","",IF($J2257&lt;=1500,INDEX('Daily Sale entry '!$X$1:$X$1501,$J2257+1),INDEX('Daily Sale entry '!$V$1:$V$1501,$J2257-1499)))</f>
        <v/>
      </c>
      <c r="B2257">
        <f>IF($J2257="","",IF($J2257&lt;=1500,INDEX('Daily Sale entry '!$Y$1:$Y$1501,$J2257+1)&amp;"","Buyer cheque banked 买家支票存入"&amp;IF(INDEX('Daily Sale entry '!$U$1:$U$1501,$J2257-1499)="","", " - "&amp;INDEX('Daily Sale entry '!$U$1:$U$1501,$J2257-1499))))</f>
        <v/>
      </c>
      <c r="C2257">
        <f>IF($J2257="","",IF($J2257&lt;=1500,INDEX('Daily Sale entry '!$Z$1:$Z$1501,$J2257+1)&amp;"","Cheque deposit 支票存入 (buyer 买家)"))</f>
        <v/>
      </c>
      <c r="D2257">
        <f>IF($J2257="","",IF($J2257&lt;=1500,INDEX('Daily Sale entry '!$AA$1:$AA$1501,$J2257+1)&amp;"",INDEX('Daily Sale entry '!$P$1:$P$1501,$J2257-1499)&amp;""))</f>
        <v/>
      </c>
      <c r="E2257">
        <f>IF($J2257="","",IF($J2257&lt;=1500,IF(N(INDEX('Daily Sale entry '!$AB$1:$AB$1501,$J2257+1))=0,"",INDEX('Daily Sale entry '!$AB$1:$AB$1501,$J2257+1)),1))</f>
        <v/>
      </c>
      <c r="F2257" s="6">
        <f>IF($J2257="","",IF($J2257&lt;=1500,N(INDEX('Daily Sale entry '!$AC$1:$AC$1501,$J2257+1))-IF(AND('Opening Balance'!$B$15=1,INDEX('Daily Sale entry '!$Z$1:$Z$1501,$J2257+1)="Online collection 网上收款",INDEX('Daily Sale entry '!$AA$1:$AA$1501,$J2257+1)&lt;&gt;""),N(INDEX('Daily Sale entry '!$AC$1:$AC$1501,$J2257+1))-TRUNC(N(INDEX('Daily Sale entry '!$AC$1:$AC$1501,$J2257+1))),0),N(INDEX('Daily Sale entry '!$S$1:$S$1501,$J2257-1499))-'Opening Balance'!$B$15*(N(INDEX('Daily Sale entry '!$S$1:$S$1501,$J2257-1499))-TRUNC(N(INDEX('Daily Sale entry '!$S$1:$S$1501,$J2257-1499))))))</f>
        <v/>
      </c>
      <c r="G2257" s="6">
        <f>IF($J2257="","",IF($J2257&lt;=1500,N(INDEX('Daily Sale entry '!$AD$1:$AD$1501,$J2257+1)),0))</f>
        <v/>
      </c>
      <c r="H2257" s="6">
        <f>IF($J2257="","",ROUND('Opening Balance'!$B$4+SUM($F$2:F2257)-SUM($G$2:G2257),2))</f>
        <v/>
      </c>
      <c r="J2257" s="21">
        <f>IFERROR(MATCH(ROW()-1,$L$2:$L$3001,0),"")</f>
        <v/>
      </c>
      <c r="K2257" s="34">
        <f>IF(AND('Daily Sale entry '!Q757="Collection 收款",'Daily Sale entry '!R757="Cheque 支票",'Daily Sale entry '!V757&lt;&gt;""),'Daily Sale entry '!V757+ROW()/10000000,"")</f>
        <v/>
      </c>
      <c r="L2257" s="21">
        <f>IF(K2257="","",COUNTIF($K$2:$K$3001,"&lt;"&amp;K2257)+1)</f>
        <v/>
      </c>
    </row>
    <row r="2258">
      <c r="A2258" s="5">
        <f>IF($J2258="","",IF($J2258&lt;=1500,INDEX('Daily Sale entry '!$X$1:$X$1501,$J2258+1),INDEX('Daily Sale entry '!$V$1:$V$1501,$J2258-1499)))</f>
        <v/>
      </c>
      <c r="B2258">
        <f>IF($J2258="","",IF($J2258&lt;=1500,INDEX('Daily Sale entry '!$Y$1:$Y$1501,$J2258+1)&amp;"","Buyer cheque banked 买家支票存入"&amp;IF(INDEX('Daily Sale entry '!$U$1:$U$1501,$J2258-1499)="","", " - "&amp;INDEX('Daily Sale entry '!$U$1:$U$1501,$J2258-1499))))</f>
        <v/>
      </c>
      <c r="C2258">
        <f>IF($J2258="","",IF($J2258&lt;=1500,INDEX('Daily Sale entry '!$Z$1:$Z$1501,$J2258+1)&amp;"","Cheque deposit 支票存入 (buyer 买家)"))</f>
        <v/>
      </c>
      <c r="D2258">
        <f>IF($J2258="","",IF($J2258&lt;=1500,INDEX('Daily Sale entry '!$AA$1:$AA$1501,$J2258+1)&amp;"",INDEX('Daily Sale entry '!$P$1:$P$1501,$J2258-1499)&amp;""))</f>
        <v/>
      </c>
      <c r="E2258">
        <f>IF($J2258="","",IF($J2258&lt;=1500,IF(N(INDEX('Daily Sale entry '!$AB$1:$AB$1501,$J2258+1))=0,"",INDEX('Daily Sale entry '!$AB$1:$AB$1501,$J2258+1)),1))</f>
        <v/>
      </c>
      <c r="F2258" s="6">
        <f>IF($J2258="","",IF($J2258&lt;=1500,N(INDEX('Daily Sale entry '!$AC$1:$AC$1501,$J2258+1))-IF(AND('Opening Balance'!$B$15=1,INDEX('Daily Sale entry '!$Z$1:$Z$1501,$J2258+1)="Online collection 网上收款",INDEX('Daily Sale entry '!$AA$1:$AA$1501,$J2258+1)&lt;&gt;""),N(INDEX('Daily Sale entry '!$AC$1:$AC$1501,$J2258+1))-TRUNC(N(INDEX('Daily Sale entry '!$AC$1:$AC$1501,$J2258+1))),0),N(INDEX('Daily Sale entry '!$S$1:$S$1501,$J2258-1499))-'Opening Balance'!$B$15*(N(INDEX('Daily Sale entry '!$S$1:$S$1501,$J2258-1499))-TRUNC(N(INDEX('Daily Sale entry '!$S$1:$S$1501,$J2258-1499))))))</f>
        <v/>
      </c>
      <c r="G2258" s="6">
        <f>IF($J2258="","",IF($J2258&lt;=1500,N(INDEX('Daily Sale entry '!$AD$1:$AD$1501,$J2258+1)),0))</f>
        <v/>
      </c>
      <c r="H2258" s="6">
        <f>IF($J2258="","",ROUND('Opening Balance'!$B$4+SUM($F$2:F2258)-SUM($G$2:G2258),2))</f>
        <v/>
      </c>
      <c r="J2258" s="21">
        <f>IFERROR(MATCH(ROW()-1,$L$2:$L$3001,0),"")</f>
        <v/>
      </c>
      <c r="K2258" s="34">
        <f>IF(AND('Daily Sale entry '!Q758="Collection 收款",'Daily Sale entry '!R758="Cheque 支票",'Daily Sale entry '!V758&lt;&gt;""),'Daily Sale entry '!V758+ROW()/10000000,"")</f>
        <v/>
      </c>
      <c r="L2258" s="21">
        <f>IF(K2258="","",COUNTIF($K$2:$K$3001,"&lt;"&amp;K2258)+1)</f>
        <v/>
      </c>
    </row>
    <row r="2259">
      <c r="A2259" s="5">
        <f>IF($J2259="","",IF($J2259&lt;=1500,INDEX('Daily Sale entry '!$X$1:$X$1501,$J2259+1),INDEX('Daily Sale entry '!$V$1:$V$1501,$J2259-1499)))</f>
        <v/>
      </c>
      <c r="B2259">
        <f>IF($J2259="","",IF($J2259&lt;=1500,INDEX('Daily Sale entry '!$Y$1:$Y$1501,$J2259+1)&amp;"","Buyer cheque banked 买家支票存入"&amp;IF(INDEX('Daily Sale entry '!$U$1:$U$1501,$J2259-1499)="","", " - "&amp;INDEX('Daily Sale entry '!$U$1:$U$1501,$J2259-1499))))</f>
        <v/>
      </c>
      <c r="C2259">
        <f>IF($J2259="","",IF($J2259&lt;=1500,INDEX('Daily Sale entry '!$Z$1:$Z$1501,$J2259+1)&amp;"","Cheque deposit 支票存入 (buyer 买家)"))</f>
        <v/>
      </c>
      <c r="D2259">
        <f>IF($J2259="","",IF($J2259&lt;=1500,INDEX('Daily Sale entry '!$AA$1:$AA$1501,$J2259+1)&amp;"",INDEX('Daily Sale entry '!$P$1:$P$1501,$J2259-1499)&amp;""))</f>
        <v/>
      </c>
      <c r="E2259">
        <f>IF($J2259="","",IF($J2259&lt;=1500,IF(N(INDEX('Daily Sale entry '!$AB$1:$AB$1501,$J2259+1))=0,"",INDEX('Daily Sale entry '!$AB$1:$AB$1501,$J2259+1)),1))</f>
        <v/>
      </c>
      <c r="F2259" s="6">
        <f>IF($J2259="","",IF($J2259&lt;=1500,N(INDEX('Daily Sale entry '!$AC$1:$AC$1501,$J2259+1))-IF(AND('Opening Balance'!$B$15=1,INDEX('Daily Sale entry '!$Z$1:$Z$1501,$J2259+1)="Online collection 网上收款",INDEX('Daily Sale entry '!$AA$1:$AA$1501,$J2259+1)&lt;&gt;""),N(INDEX('Daily Sale entry '!$AC$1:$AC$1501,$J2259+1))-TRUNC(N(INDEX('Daily Sale entry '!$AC$1:$AC$1501,$J2259+1))),0),N(INDEX('Daily Sale entry '!$S$1:$S$1501,$J2259-1499))-'Opening Balance'!$B$15*(N(INDEX('Daily Sale entry '!$S$1:$S$1501,$J2259-1499))-TRUNC(N(INDEX('Daily Sale entry '!$S$1:$S$1501,$J2259-1499))))))</f>
        <v/>
      </c>
      <c r="G2259" s="6">
        <f>IF($J2259="","",IF($J2259&lt;=1500,N(INDEX('Daily Sale entry '!$AD$1:$AD$1501,$J2259+1)),0))</f>
        <v/>
      </c>
      <c r="H2259" s="6">
        <f>IF($J2259="","",ROUND('Opening Balance'!$B$4+SUM($F$2:F2259)-SUM($G$2:G2259),2))</f>
        <v/>
      </c>
      <c r="J2259" s="21">
        <f>IFERROR(MATCH(ROW()-1,$L$2:$L$3001,0),"")</f>
        <v/>
      </c>
      <c r="K2259" s="34">
        <f>IF(AND('Daily Sale entry '!Q759="Collection 收款",'Daily Sale entry '!R759="Cheque 支票",'Daily Sale entry '!V759&lt;&gt;""),'Daily Sale entry '!V759+ROW()/10000000,"")</f>
        <v/>
      </c>
      <c r="L2259" s="21">
        <f>IF(K2259="","",COUNTIF($K$2:$K$3001,"&lt;"&amp;K2259)+1)</f>
        <v/>
      </c>
    </row>
    <row r="2260">
      <c r="A2260" s="5">
        <f>IF($J2260="","",IF($J2260&lt;=1500,INDEX('Daily Sale entry '!$X$1:$X$1501,$J2260+1),INDEX('Daily Sale entry '!$V$1:$V$1501,$J2260-1499)))</f>
        <v/>
      </c>
      <c r="B2260">
        <f>IF($J2260="","",IF($J2260&lt;=1500,INDEX('Daily Sale entry '!$Y$1:$Y$1501,$J2260+1)&amp;"","Buyer cheque banked 买家支票存入"&amp;IF(INDEX('Daily Sale entry '!$U$1:$U$1501,$J2260-1499)="","", " - "&amp;INDEX('Daily Sale entry '!$U$1:$U$1501,$J2260-1499))))</f>
        <v/>
      </c>
      <c r="C2260">
        <f>IF($J2260="","",IF($J2260&lt;=1500,INDEX('Daily Sale entry '!$Z$1:$Z$1501,$J2260+1)&amp;"","Cheque deposit 支票存入 (buyer 买家)"))</f>
        <v/>
      </c>
      <c r="D2260">
        <f>IF($J2260="","",IF($J2260&lt;=1500,INDEX('Daily Sale entry '!$AA$1:$AA$1501,$J2260+1)&amp;"",INDEX('Daily Sale entry '!$P$1:$P$1501,$J2260-1499)&amp;""))</f>
        <v/>
      </c>
      <c r="E2260">
        <f>IF($J2260="","",IF($J2260&lt;=1500,IF(N(INDEX('Daily Sale entry '!$AB$1:$AB$1501,$J2260+1))=0,"",INDEX('Daily Sale entry '!$AB$1:$AB$1501,$J2260+1)),1))</f>
        <v/>
      </c>
      <c r="F2260" s="6">
        <f>IF($J2260="","",IF($J2260&lt;=1500,N(INDEX('Daily Sale entry '!$AC$1:$AC$1501,$J2260+1))-IF(AND('Opening Balance'!$B$15=1,INDEX('Daily Sale entry '!$Z$1:$Z$1501,$J2260+1)="Online collection 网上收款",INDEX('Daily Sale entry '!$AA$1:$AA$1501,$J2260+1)&lt;&gt;""),N(INDEX('Daily Sale entry '!$AC$1:$AC$1501,$J2260+1))-TRUNC(N(INDEX('Daily Sale entry '!$AC$1:$AC$1501,$J2260+1))),0),N(INDEX('Daily Sale entry '!$S$1:$S$1501,$J2260-1499))-'Opening Balance'!$B$15*(N(INDEX('Daily Sale entry '!$S$1:$S$1501,$J2260-1499))-TRUNC(N(INDEX('Daily Sale entry '!$S$1:$S$1501,$J2260-1499))))))</f>
        <v/>
      </c>
      <c r="G2260" s="6">
        <f>IF($J2260="","",IF($J2260&lt;=1500,N(INDEX('Daily Sale entry '!$AD$1:$AD$1501,$J2260+1)),0))</f>
        <v/>
      </c>
      <c r="H2260" s="6">
        <f>IF($J2260="","",ROUND('Opening Balance'!$B$4+SUM($F$2:F2260)-SUM($G$2:G2260),2))</f>
        <v/>
      </c>
      <c r="J2260" s="21">
        <f>IFERROR(MATCH(ROW()-1,$L$2:$L$3001,0),"")</f>
        <v/>
      </c>
      <c r="K2260" s="34">
        <f>IF(AND('Daily Sale entry '!Q760="Collection 收款",'Daily Sale entry '!R760="Cheque 支票",'Daily Sale entry '!V760&lt;&gt;""),'Daily Sale entry '!V760+ROW()/10000000,"")</f>
        <v/>
      </c>
      <c r="L2260" s="21">
        <f>IF(K2260="","",COUNTIF($K$2:$K$3001,"&lt;"&amp;K2260)+1)</f>
        <v/>
      </c>
    </row>
    <row r="2261">
      <c r="A2261" s="5">
        <f>IF($J2261="","",IF($J2261&lt;=1500,INDEX('Daily Sale entry '!$X$1:$X$1501,$J2261+1),INDEX('Daily Sale entry '!$V$1:$V$1501,$J2261-1499)))</f>
        <v/>
      </c>
      <c r="B2261">
        <f>IF($J2261="","",IF($J2261&lt;=1500,INDEX('Daily Sale entry '!$Y$1:$Y$1501,$J2261+1)&amp;"","Buyer cheque banked 买家支票存入"&amp;IF(INDEX('Daily Sale entry '!$U$1:$U$1501,$J2261-1499)="","", " - "&amp;INDEX('Daily Sale entry '!$U$1:$U$1501,$J2261-1499))))</f>
        <v/>
      </c>
      <c r="C2261">
        <f>IF($J2261="","",IF($J2261&lt;=1500,INDEX('Daily Sale entry '!$Z$1:$Z$1501,$J2261+1)&amp;"","Cheque deposit 支票存入 (buyer 买家)"))</f>
        <v/>
      </c>
      <c r="D2261">
        <f>IF($J2261="","",IF($J2261&lt;=1500,INDEX('Daily Sale entry '!$AA$1:$AA$1501,$J2261+1)&amp;"",INDEX('Daily Sale entry '!$P$1:$P$1501,$J2261-1499)&amp;""))</f>
        <v/>
      </c>
      <c r="E2261">
        <f>IF($J2261="","",IF($J2261&lt;=1500,IF(N(INDEX('Daily Sale entry '!$AB$1:$AB$1501,$J2261+1))=0,"",INDEX('Daily Sale entry '!$AB$1:$AB$1501,$J2261+1)),1))</f>
        <v/>
      </c>
      <c r="F2261" s="6">
        <f>IF($J2261="","",IF($J2261&lt;=1500,N(INDEX('Daily Sale entry '!$AC$1:$AC$1501,$J2261+1))-IF(AND('Opening Balance'!$B$15=1,INDEX('Daily Sale entry '!$Z$1:$Z$1501,$J2261+1)="Online collection 网上收款",INDEX('Daily Sale entry '!$AA$1:$AA$1501,$J2261+1)&lt;&gt;""),N(INDEX('Daily Sale entry '!$AC$1:$AC$1501,$J2261+1))-TRUNC(N(INDEX('Daily Sale entry '!$AC$1:$AC$1501,$J2261+1))),0),N(INDEX('Daily Sale entry '!$S$1:$S$1501,$J2261-1499))-'Opening Balance'!$B$15*(N(INDEX('Daily Sale entry '!$S$1:$S$1501,$J2261-1499))-TRUNC(N(INDEX('Daily Sale entry '!$S$1:$S$1501,$J2261-1499))))))</f>
        <v/>
      </c>
      <c r="G2261" s="6">
        <f>IF($J2261="","",IF($J2261&lt;=1500,N(INDEX('Daily Sale entry '!$AD$1:$AD$1501,$J2261+1)),0))</f>
        <v/>
      </c>
      <c r="H2261" s="6">
        <f>IF($J2261="","",ROUND('Opening Balance'!$B$4+SUM($F$2:F2261)-SUM($G$2:G2261),2))</f>
        <v/>
      </c>
      <c r="J2261" s="21">
        <f>IFERROR(MATCH(ROW()-1,$L$2:$L$3001,0),"")</f>
        <v/>
      </c>
      <c r="K2261" s="34">
        <f>IF(AND('Daily Sale entry '!Q761="Collection 收款",'Daily Sale entry '!R761="Cheque 支票",'Daily Sale entry '!V761&lt;&gt;""),'Daily Sale entry '!V761+ROW()/10000000,"")</f>
        <v/>
      </c>
      <c r="L2261" s="21">
        <f>IF(K2261="","",COUNTIF($K$2:$K$3001,"&lt;"&amp;K2261)+1)</f>
        <v/>
      </c>
    </row>
    <row r="2262">
      <c r="A2262" s="5">
        <f>IF($J2262="","",IF($J2262&lt;=1500,INDEX('Daily Sale entry '!$X$1:$X$1501,$J2262+1),INDEX('Daily Sale entry '!$V$1:$V$1501,$J2262-1499)))</f>
        <v/>
      </c>
      <c r="B2262">
        <f>IF($J2262="","",IF($J2262&lt;=1500,INDEX('Daily Sale entry '!$Y$1:$Y$1501,$J2262+1)&amp;"","Buyer cheque banked 买家支票存入"&amp;IF(INDEX('Daily Sale entry '!$U$1:$U$1501,$J2262-1499)="","", " - "&amp;INDEX('Daily Sale entry '!$U$1:$U$1501,$J2262-1499))))</f>
        <v/>
      </c>
      <c r="C2262">
        <f>IF($J2262="","",IF($J2262&lt;=1500,INDEX('Daily Sale entry '!$Z$1:$Z$1501,$J2262+1)&amp;"","Cheque deposit 支票存入 (buyer 买家)"))</f>
        <v/>
      </c>
      <c r="D2262">
        <f>IF($J2262="","",IF($J2262&lt;=1500,INDEX('Daily Sale entry '!$AA$1:$AA$1501,$J2262+1)&amp;"",INDEX('Daily Sale entry '!$P$1:$P$1501,$J2262-1499)&amp;""))</f>
        <v/>
      </c>
      <c r="E2262">
        <f>IF($J2262="","",IF($J2262&lt;=1500,IF(N(INDEX('Daily Sale entry '!$AB$1:$AB$1501,$J2262+1))=0,"",INDEX('Daily Sale entry '!$AB$1:$AB$1501,$J2262+1)),1))</f>
        <v/>
      </c>
      <c r="F2262" s="6">
        <f>IF($J2262="","",IF($J2262&lt;=1500,N(INDEX('Daily Sale entry '!$AC$1:$AC$1501,$J2262+1))-IF(AND('Opening Balance'!$B$15=1,INDEX('Daily Sale entry '!$Z$1:$Z$1501,$J2262+1)="Online collection 网上收款",INDEX('Daily Sale entry '!$AA$1:$AA$1501,$J2262+1)&lt;&gt;""),N(INDEX('Daily Sale entry '!$AC$1:$AC$1501,$J2262+1))-TRUNC(N(INDEX('Daily Sale entry '!$AC$1:$AC$1501,$J2262+1))),0),N(INDEX('Daily Sale entry '!$S$1:$S$1501,$J2262-1499))-'Opening Balance'!$B$15*(N(INDEX('Daily Sale entry '!$S$1:$S$1501,$J2262-1499))-TRUNC(N(INDEX('Daily Sale entry '!$S$1:$S$1501,$J2262-1499))))))</f>
        <v/>
      </c>
      <c r="G2262" s="6">
        <f>IF($J2262="","",IF($J2262&lt;=1500,N(INDEX('Daily Sale entry '!$AD$1:$AD$1501,$J2262+1)),0))</f>
        <v/>
      </c>
      <c r="H2262" s="6">
        <f>IF($J2262="","",ROUND('Opening Balance'!$B$4+SUM($F$2:F2262)-SUM($G$2:G2262),2))</f>
        <v/>
      </c>
      <c r="J2262" s="21">
        <f>IFERROR(MATCH(ROW()-1,$L$2:$L$3001,0),"")</f>
        <v/>
      </c>
      <c r="K2262" s="34">
        <f>IF(AND('Daily Sale entry '!Q762="Collection 收款",'Daily Sale entry '!R762="Cheque 支票",'Daily Sale entry '!V762&lt;&gt;""),'Daily Sale entry '!V762+ROW()/10000000,"")</f>
        <v/>
      </c>
      <c r="L2262" s="21">
        <f>IF(K2262="","",COUNTIF($K$2:$K$3001,"&lt;"&amp;K2262)+1)</f>
        <v/>
      </c>
    </row>
    <row r="2263">
      <c r="A2263" s="5">
        <f>IF($J2263="","",IF($J2263&lt;=1500,INDEX('Daily Sale entry '!$X$1:$X$1501,$J2263+1),INDEX('Daily Sale entry '!$V$1:$V$1501,$J2263-1499)))</f>
        <v/>
      </c>
      <c r="B2263">
        <f>IF($J2263="","",IF($J2263&lt;=1500,INDEX('Daily Sale entry '!$Y$1:$Y$1501,$J2263+1)&amp;"","Buyer cheque banked 买家支票存入"&amp;IF(INDEX('Daily Sale entry '!$U$1:$U$1501,$J2263-1499)="","", " - "&amp;INDEX('Daily Sale entry '!$U$1:$U$1501,$J2263-1499))))</f>
        <v/>
      </c>
      <c r="C2263">
        <f>IF($J2263="","",IF($J2263&lt;=1500,INDEX('Daily Sale entry '!$Z$1:$Z$1501,$J2263+1)&amp;"","Cheque deposit 支票存入 (buyer 买家)"))</f>
        <v/>
      </c>
      <c r="D2263">
        <f>IF($J2263="","",IF($J2263&lt;=1500,INDEX('Daily Sale entry '!$AA$1:$AA$1501,$J2263+1)&amp;"",INDEX('Daily Sale entry '!$P$1:$P$1501,$J2263-1499)&amp;""))</f>
        <v/>
      </c>
      <c r="E2263">
        <f>IF($J2263="","",IF($J2263&lt;=1500,IF(N(INDEX('Daily Sale entry '!$AB$1:$AB$1501,$J2263+1))=0,"",INDEX('Daily Sale entry '!$AB$1:$AB$1501,$J2263+1)),1))</f>
        <v/>
      </c>
      <c r="F2263" s="6">
        <f>IF($J2263="","",IF($J2263&lt;=1500,N(INDEX('Daily Sale entry '!$AC$1:$AC$1501,$J2263+1))-IF(AND('Opening Balance'!$B$15=1,INDEX('Daily Sale entry '!$Z$1:$Z$1501,$J2263+1)="Online collection 网上收款",INDEX('Daily Sale entry '!$AA$1:$AA$1501,$J2263+1)&lt;&gt;""),N(INDEX('Daily Sale entry '!$AC$1:$AC$1501,$J2263+1))-TRUNC(N(INDEX('Daily Sale entry '!$AC$1:$AC$1501,$J2263+1))),0),N(INDEX('Daily Sale entry '!$S$1:$S$1501,$J2263-1499))-'Opening Balance'!$B$15*(N(INDEX('Daily Sale entry '!$S$1:$S$1501,$J2263-1499))-TRUNC(N(INDEX('Daily Sale entry '!$S$1:$S$1501,$J2263-1499))))))</f>
        <v/>
      </c>
      <c r="G2263" s="6">
        <f>IF($J2263="","",IF($J2263&lt;=1500,N(INDEX('Daily Sale entry '!$AD$1:$AD$1501,$J2263+1)),0))</f>
        <v/>
      </c>
      <c r="H2263" s="6">
        <f>IF($J2263="","",ROUND('Opening Balance'!$B$4+SUM($F$2:F2263)-SUM($G$2:G2263),2))</f>
        <v/>
      </c>
      <c r="J2263" s="21">
        <f>IFERROR(MATCH(ROW()-1,$L$2:$L$3001,0),"")</f>
        <v/>
      </c>
      <c r="K2263" s="34">
        <f>IF(AND('Daily Sale entry '!Q763="Collection 收款",'Daily Sale entry '!R763="Cheque 支票",'Daily Sale entry '!V763&lt;&gt;""),'Daily Sale entry '!V763+ROW()/10000000,"")</f>
        <v/>
      </c>
      <c r="L2263" s="21">
        <f>IF(K2263="","",COUNTIF($K$2:$K$3001,"&lt;"&amp;K2263)+1)</f>
        <v/>
      </c>
    </row>
    <row r="2264">
      <c r="A2264" s="5">
        <f>IF($J2264="","",IF($J2264&lt;=1500,INDEX('Daily Sale entry '!$X$1:$X$1501,$J2264+1),INDEX('Daily Sale entry '!$V$1:$V$1501,$J2264-1499)))</f>
        <v/>
      </c>
      <c r="B2264">
        <f>IF($J2264="","",IF($J2264&lt;=1500,INDEX('Daily Sale entry '!$Y$1:$Y$1501,$J2264+1)&amp;"","Buyer cheque banked 买家支票存入"&amp;IF(INDEX('Daily Sale entry '!$U$1:$U$1501,$J2264-1499)="","", " - "&amp;INDEX('Daily Sale entry '!$U$1:$U$1501,$J2264-1499))))</f>
        <v/>
      </c>
      <c r="C2264">
        <f>IF($J2264="","",IF($J2264&lt;=1500,INDEX('Daily Sale entry '!$Z$1:$Z$1501,$J2264+1)&amp;"","Cheque deposit 支票存入 (buyer 买家)"))</f>
        <v/>
      </c>
      <c r="D2264">
        <f>IF($J2264="","",IF($J2264&lt;=1500,INDEX('Daily Sale entry '!$AA$1:$AA$1501,$J2264+1)&amp;"",INDEX('Daily Sale entry '!$P$1:$P$1501,$J2264-1499)&amp;""))</f>
        <v/>
      </c>
      <c r="E2264">
        <f>IF($J2264="","",IF($J2264&lt;=1500,IF(N(INDEX('Daily Sale entry '!$AB$1:$AB$1501,$J2264+1))=0,"",INDEX('Daily Sale entry '!$AB$1:$AB$1501,$J2264+1)),1))</f>
        <v/>
      </c>
      <c r="F2264" s="6">
        <f>IF($J2264="","",IF($J2264&lt;=1500,N(INDEX('Daily Sale entry '!$AC$1:$AC$1501,$J2264+1))-IF(AND('Opening Balance'!$B$15=1,INDEX('Daily Sale entry '!$Z$1:$Z$1501,$J2264+1)="Online collection 网上收款",INDEX('Daily Sale entry '!$AA$1:$AA$1501,$J2264+1)&lt;&gt;""),N(INDEX('Daily Sale entry '!$AC$1:$AC$1501,$J2264+1))-TRUNC(N(INDEX('Daily Sale entry '!$AC$1:$AC$1501,$J2264+1))),0),N(INDEX('Daily Sale entry '!$S$1:$S$1501,$J2264-1499))-'Opening Balance'!$B$15*(N(INDEX('Daily Sale entry '!$S$1:$S$1501,$J2264-1499))-TRUNC(N(INDEX('Daily Sale entry '!$S$1:$S$1501,$J2264-1499))))))</f>
        <v/>
      </c>
      <c r="G2264" s="6">
        <f>IF($J2264="","",IF($J2264&lt;=1500,N(INDEX('Daily Sale entry '!$AD$1:$AD$1501,$J2264+1)),0))</f>
        <v/>
      </c>
      <c r="H2264" s="6">
        <f>IF($J2264="","",ROUND('Opening Balance'!$B$4+SUM($F$2:F2264)-SUM($G$2:G2264),2))</f>
        <v/>
      </c>
      <c r="J2264" s="21">
        <f>IFERROR(MATCH(ROW()-1,$L$2:$L$3001,0),"")</f>
        <v/>
      </c>
      <c r="K2264" s="34">
        <f>IF(AND('Daily Sale entry '!Q764="Collection 收款",'Daily Sale entry '!R764="Cheque 支票",'Daily Sale entry '!V764&lt;&gt;""),'Daily Sale entry '!V764+ROW()/10000000,"")</f>
        <v/>
      </c>
      <c r="L2264" s="21">
        <f>IF(K2264="","",COUNTIF($K$2:$K$3001,"&lt;"&amp;K2264)+1)</f>
        <v/>
      </c>
    </row>
    <row r="2265">
      <c r="A2265" s="5">
        <f>IF($J2265="","",IF($J2265&lt;=1500,INDEX('Daily Sale entry '!$X$1:$X$1501,$J2265+1),INDEX('Daily Sale entry '!$V$1:$V$1501,$J2265-1499)))</f>
        <v/>
      </c>
      <c r="B2265">
        <f>IF($J2265="","",IF($J2265&lt;=1500,INDEX('Daily Sale entry '!$Y$1:$Y$1501,$J2265+1)&amp;"","Buyer cheque banked 买家支票存入"&amp;IF(INDEX('Daily Sale entry '!$U$1:$U$1501,$J2265-1499)="","", " - "&amp;INDEX('Daily Sale entry '!$U$1:$U$1501,$J2265-1499))))</f>
        <v/>
      </c>
      <c r="C2265">
        <f>IF($J2265="","",IF($J2265&lt;=1500,INDEX('Daily Sale entry '!$Z$1:$Z$1501,$J2265+1)&amp;"","Cheque deposit 支票存入 (buyer 买家)"))</f>
        <v/>
      </c>
      <c r="D2265">
        <f>IF($J2265="","",IF($J2265&lt;=1500,INDEX('Daily Sale entry '!$AA$1:$AA$1501,$J2265+1)&amp;"",INDEX('Daily Sale entry '!$P$1:$P$1501,$J2265-1499)&amp;""))</f>
        <v/>
      </c>
      <c r="E2265">
        <f>IF($J2265="","",IF($J2265&lt;=1500,IF(N(INDEX('Daily Sale entry '!$AB$1:$AB$1501,$J2265+1))=0,"",INDEX('Daily Sale entry '!$AB$1:$AB$1501,$J2265+1)),1))</f>
        <v/>
      </c>
      <c r="F2265" s="6">
        <f>IF($J2265="","",IF($J2265&lt;=1500,N(INDEX('Daily Sale entry '!$AC$1:$AC$1501,$J2265+1))-IF(AND('Opening Balance'!$B$15=1,INDEX('Daily Sale entry '!$Z$1:$Z$1501,$J2265+1)="Online collection 网上收款",INDEX('Daily Sale entry '!$AA$1:$AA$1501,$J2265+1)&lt;&gt;""),N(INDEX('Daily Sale entry '!$AC$1:$AC$1501,$J2265+1))-TRUNC(N(INDEX('Daily Sale entry '!$AC$1:$AC$1501,$J2265+1))),0),N(INDEX('Daily Sale entry '!$S$1:$S$1501,$J2265-1499))-'Opening Balance'!$B$15*(N(INDEX('Daily Sale entry '!$S$1:$S$1501,$J2265-1499))-TRUNC(N(INDEX('Daily Sale entry '!$S$1:$S$1501,$J2265-1499))))))</f>
        <v/>
      </c>
      <c r="G2265" s="6">
        <f>IF($J2265="","",IF($J2265&lt;=1500,N(INDEX('Daily Sale entry '!$AD$1:$AD$1501,$J2265+1)),0))</f>
        <v/>
      </c>
      <c r="H2265" s="6">
        <f>IF($J2265="","",ROUND('Opening Balance'!$B$4+SUM($F$2:F2265)-SUM($G$2:G2265),2))</f>
        <v/>
      </c>
      <c r="J2265" s="21">
        <f>IFERROR(MATCH(ROW()-1,$L$2:$L$3001,0),"")</f>
        <v/>
      </c>
      <c r="K2265" s="34">
        <f>IF(AND('Daily Sale entry '!Q765="Collection 收款",'Daily Sale entry '!R765="Cheque 支票",'Daily Sale entry '!V765&lt;&gt;""),'Daily Sale entry '!V765+ROW()/10000000,"")</f>
        <v/>
      </c>
      <c r="L2265" s="21">
        <f>IF(K2265="","",COUNTIF($K$2:$K$3001,"&lt;"&amp;K2265)+1)</f>
        <v/>
      </c>
    </row>
    <row r="2266">
      <c r="A2266" s="5">
        <f>IF($J2266="","",IF($J2266&lt;=1500,INDEX('Daily Sale entry '!$X$1:$X$1501,$J2266+1),INDEX('Daily Sale entry '!$V$1:$V$1501,$J2266-1499)))</f>
        <v/>
      </c>
      <c r="B2266">
        <f>IF($J2266="","",IF($J2266&lt;=1500,INDEX('Daily Sale entry '!$Y$1:$Y$1501,$J2266+1)&amp;"","Buyer cheque banked 买家支票存入"&amp;IF(INDEX('Daily Sale entry '!$U$1:$U$1501,$J2266-1499)="","", " - "&amp;INDEX('Daily Sale entry '!$U$1:$U$1501,$J2266-1499))))</f>
        <v/>
      </c>
      <c r="C2266">
        <f>IF($J2266="","",IF($J2266&lt;=1500,INDEX('Daily Sale entry '!$Z$1:$Z$1501,$J2266+1)&amp;"","Cheque deposit 支票存入 (buyer 买家)"))</f>
        <v/>
      </c>
      <c r="D2266">
        <f>IF($J2266="","",IF($J2266&lt;=1500,INDEX('Daily Sale entry '!$AA$1:$AA$1501,$J2266+1)&amp;"",INDEX('Daily Sale entry '!$P$1:$P$1501,$J2266-1499)&amp;""))</f>
        <v/>
      </c>
      <c r="E2266">
        <f>IF($J2266="","",IF($J2266&lt;=1500,IF(N(INDEX('Daily Sale entry '!$AB$1:$AB$1501,$J2266+1))=0,"",INDEX('Daily Sale entry '!$AB$1:$AB$1501,$J2266+1)),1))</f>
        <v/>
      </c>
      <c r="F2266" s="6">
        <f>IF($J2266="","",IF($J2266&lt;=1500,N(INDEX('Daily Sale entry '!$AC$1:$AC$1501,$J2266+1))-IF(AND('Opening Balance'!$B$15=1,INDEX('Daily Sale entry '!$Z$1:$Z$1501,$J2266+1)="Online collection 网上收款",INDEX('Daily Sale entry '!$AA$1:$AA$1501,$J2266+1)&lt;&gt;""),N(INDEX('Daily Sale entry '!$AC$1:$AC$1501,$J2266+1))-TRUNC(N(INDEX('Daily Sale entry '!$AC$1:$AC$1501,$J2266+1))),0),N(INDEX('Daily Sale entry '!$S$1:$S$1501,$J2266-1499))-'Opening Balance'!$B$15*(N(INDEX('Daily Sale entry '!$S$1:$S$1501,$J2266-1499))-TRUNC(N(INDEX('Daily Sale entry '!$S$1:$S$1501,$J2266-1499))))))</f>
        <v/>
      </c>
      <c r="G2266" s="6">
        <f>IF($J2266="","",IF($J2266&lt;=1500,N(INDEX('Daily Sale entry '!$AD$1:$AD$1501,$J2266+1)),0))</f>
        <v/>
      </c>
      <c r="H2266" s="6">
        <f>IF($J2266="","",ROUND('Opening Balance'!$B$4+SUM($F$2:F2266)-SUM($G$2:G2266),2))</f>
        <v/>
      </c>
      <c r="J2266" s="21">
        <f>IFERROR(MATCH(ROW()-1,$L$2:$L$3001,0),"")</f>
        <v/>
      </c>
      <c r="K2266" s="34">
        <f>IF(AND('Daily Sale entry '!Q766="Collection 收款",'Daily Sale entry '!R766="Cheque 支票",'Daily Sale entry '!V766&lt;&gt;""),'Daily Sale entry '!V766+ROW()/10000000,"")</f>
        <v/>
      </c>
      <c r="L2266" s="21">
        <f>IF(K2266="","",COUNTIF($K$2:$K$3001,"&lt;"&amp;K2266)+1)</f>
        <v/>
      </c>
    </row>
    <row r="2267">
      <c r="A2267" s="5">
        <f>IF($J2267="","",IF($J2267&lt;=1500,INDEX('Daily Sale entry '!$X$1:$X$1501,$J2267+1),INDEX('Daily Sale entry '!$V$1:$V$1501,$J2267-1499)))</f>
        <v/>
      </c>
      <c r="B2267">
        <f>IF($J2267="","",IF($J2267&lt;=1500,INDEX('Daily Sale entry '!$Y$1:$Y$1501,$J2267+1)&amp;"","Buyer cheque banked 买家支票存入"&amp;IF(INDEX('Daily Sale entry '!$U$1:$U$1501,$J2267-1499)="","", " - "&amp;INDEX('Daily Sale entry '!$U$1:$U$1501,$J2267-1499))))</f>
        <v/>
      </c>
      <c r="C2267">
        <f>IF($J2267="","",IF($J2267&lt;=1500,INDEX('Daily Sale entry '!$Z$1:$Z$1501,$J2267+1)&amp;"","Cheque deposit 支票存入 (buyer 买家)"))</f>
        <v/>
      </c>
      <c r="D2267">
        <f>IF($J2267="","",IF($J2267&lt;=1500,INDEX('Daily Sale entry '!$AA$1:$AA$1501,$J2267+1)&amp;"",INDEX('Daily Sale entry '!$P$1:$P$1501,$J2267-1499)&amp;""))</f>
        <v/>
      </c>
      <c r="E2267">
        <f>IF($J2267="","",IF($J2267&lt;=1500,IF(N(INDEX('Daily Sale entry '!$AB$1:$AB$1501,$J2267+1))=0,"",INDEX('Daily Sale entry '!$AB$1:$AB$1501,$J2267+1)),1))</f>
        <v/>
      </c>
      <c r="F2267" s="6">
        <f>IF($J2267="","",IF($J2267&lt;=1500,N(INDEX('Daily Sale entry '!$AC$1:$AC$1501,$J2267+1))-IF(AND('Opening Balance'!$B$15=1,INDEX('Daily Sale entry '!$Z$1:$Z$1501,$J2267+1)="Online collection 网上收款",INDEX('Daily Sale entry '!$AA$1:$AA$1501,$J2267+1)&lt;&gt;""),N(INDEX('Daily Sale entry '!$AC$1:$AC$1501,$J2267+1))-TRUNC(N(INDEX('Daily Sale entry '!$AC$1:$AC$1501,$J2267+1))),0),N(INDEX('Daily Sale entry '!$S$1:$S$1501,$J2267-1499))-'Opening Balance'!$B$15*(N(INDEX('Daily Sale entry '!$S$1:$S$1501,$J2267-1499))-TRUNC(N(INDEX('Daily Sale entry '!$S$1:$S$1501,$J2267-1499))))))</f>
        <v/>
      </c>
      <c r="G2267" s="6">
        <f>IF($J2267="","",IF($J2267&lt;=1500,N(INDEX('Daily Sale entry '!$AD$1:$AD$1501,$J2267+1)),0))</f>
        <v/>
      </c>
      <c r="H2267" s="6">
        <f>IF($J2267="","",ROUND('Opening Balance'!$B$4+SUM($F$2:F2267)-SUM($G$2:G2267),2))</f>
        <v/>
      </c>
      <c r="J2267" s="21">
        <f>IFERROR(MATCH(ROW()-1,$L$2:$L$3001,0),"")</f>
        <v/>
      </c>
      <c r="K2267" s="34">
        <f>IF(AND('Daily Sale entry '!Q767="Collection 收款",'Daily Sale entry '!R767="Cheque 支票",'Daily Sale entry '!V767&lt;&gt;""),'Daily Sale entry '!V767+ROW()/10000000,"")</f>
        <v/>
      </c>
      <c r="L2267" s="21">
        <f>IF(K2267="","",COUNTIF($K$2:$K$3001,"&lt;"&amp;K2267)+1)</f>
        <v/>
      </c>
    </row>
    <row r="2268">
      <c r="A2268" s="5">
        <f>IF($J2268="","",IF($J2268&lt;=1500,INDEX('Daily Sale entry '!$X$1:$X$1501,$J2268+1),INDEX('Daily Sale entry '!$V$1:$V$1501,$J2268-1499)))</f>
        <v/>
      </c>
      <c r="B2268">
        <f>IF($J2268="","",IF($J2268&lt;=1500,INDEX('Daily Sale entry '!$Y$1:$Y$1501,$J2268+1)&amp;"","Buyer cheque banked 买家支票存入"&amp;IF(INDEX('Daily Sale entry '!$U$1:$U$1501,$J2268-1499)="","", " - "&amp;INDEX('Daily Sale entry '!$U$1:$U$1501,$J2268-1499))))</f>
        <v/>
      </c>
      <c r="C2268">
        <f>IF($J2268="","",IF($J2268&lt;=1500,INDEX('Daily Sale entry '!$Z$1:$Z$1501,$J2268+1)&amp;"","Cheque deposit 支票存入 (buyer 买家)"))</f>
        <v/>
      </c>
      <c r="D2268">
        <f>IF($J2268="","",IF($J2268&lt;=1500,INDEX('Daily Sale entry '!$AA$1:$AA$1501,$J2268+1)&amp;"",INDEX('Daily Sale entry '!$P$1:$P$1501,$J2268-1499)&amp;""))</f>
        <v/>
      </c>
      <c r="E2268">
        <f>IF($J2268="","",IF($J2268&lt;=1500,IF(N(INDEX('Daily Sale entry '!$AB$1:$AB$1501,$J2268+1))=0,"",INDEX('Daily Sale entry '!$AB$1:$AB$1501,$J2268+1)),1))</f>
        <v/>
      </c>
      <c r="F2268" s="6">
        <f>IF($J2268="","",IF($J2268&lt;=1500,N(INDEX('Daily Sale entry '!$AC$1:$AC$1501,$J2268+1))-IF(AND('Opening Balance'!$B$15=1,INDEX('Daily Sale entry '!$Z$1:$Z$1501,$J2268+1)="Online collection 网上收款",INDEX('Daily Sale entry '!$AA$1:$AA$1501,$J2268+1)&lt;&gt;""),N(INDEX('Daily Sale entry '!$AC$1:$AC$1501,$J2268+1))-TRUNC(N(INDEX('Daily Sale entry '!$AC$1:$AC$1501,$J2268+1))),0),N(INDEX('Daily Sale entry '!$S$1:$S$1501,$J2268-1499))-'Opening Balance'!$B$15*(N(INDEX('Daily Sale entry '!$S$1:$S$1501,$J2268-1499))-TRUNC(N(INDEX('Daily Sale entry '!$S$1:$S$1501,$J2268-1499))))))</f>
        <v/>
      </c>
      <c r="G2268" s="6">
        <f>IF($J2268="","",IF($J2268&lt;=1500,N(INDEX('Daily Sale entry '!$AD$1:$AD$1501,$J2268+1)),0))</f>
        <v/>
      </c>
      <c r="H2268" s="6">
        <f>IF($J2268="","",ROUND('Opening Balance'!$B$4+SUM($F$2:F2268)-SUM($G$2:G2268),2))</f>
        <v/>
      </c>
      <c r="J2268" s="21">
        <f>IFERROR(MATCH(ROW()-1,$L$2:$L$3001,0),"")</f>
        <v/>
      </c>
      <c r="K2268" s="34">
        <f>IF(AND('Daily Sale entry '!Q768="Collection 收款",'Daily Sale entry '!R768="Cheque 支票",'Daily Sale entry '!V768&lt;&gt;""),'Daily Sale entry '!V768+ROW()/10000000,"")</f>
        <v/>
      </c>
      <c r="L2268" s="21">
        <f>IF(K2268="","",COUNTIF($K$2:$K$3001,"&lt;"&amp;K2268)+1)</f>
        <v/>
      </c>
    </row>
    <row r="2269">
      <c r="A2269" s="5">
        <f>IF($J2269="","",IF($J2269&lt;=1500,INDEX('Daily Sale entry '!$X$1:$X$1501,$J2269+1),INDEX('Daily Sale entry '!$V$1:$V$1501,$J2269-1499)))</f>
        <v/>
      </c>
      <c r="B2269">
        <f>IF($J2269="","",IF($J2269&lt;=1500,INDEX('Daily Sale entry '!$Y$1:$Y$1501,$J2269+1)&amp;"","Buyer cheque banked 买家支票存入"&amp;IF(INDEX('Daily Sale entry '!$U$1:$U$1501,$J2269-1499)="","", " - "&amp;INDEX('Daily Sale entry '!$U$1:$U$1501,$J2269-1499))))</f>
        <v/>
      </c>
      <c r="C2269">
        <f>IF($J2269="","",IF($J2269&lt;=1500,INDEX('Daily Sale entry '!$Z$1:$Z$1501,$J2269+1)&amp;"","Cheque deposit 支票存入 (buyer 买家)"))</f>
        <v/>
      </c>
      <c r="D2269">
        <f>IF($J2269="","",IF($J2269&lt;=1500,INDEX('Daily Sale entry '!$AA$1:$AA$1501,$J2269+1)&amp;"",INDEX('Daily Sale entry '!$P$1:$P$1501,$J2269-1499)&amp;""))</f>
        <v/>
      </c>
      <c r="E2269">
        <f>IF($J2269="","",IF($J2269&lt;=1500,IF(N(INDEX('Daily Sale entry '!$AB$1:$AB$1501,$J2269+1))=0,"",INDEX('Daily Sale entry '!$AB$1:$AB$1501,$J2269+1)),1))</f>
        <v/>
      </c>
      <c r="F2269" s="6">
        <f>IF($J2269="","",IF($J2269&lt;=1500,N(INDEX('Daily Sale entry '!$AC$1:$AC$1501,$J2269+1))-IF(AND('Opening Balance'!$B$15=1,INDEX('Daily Sale entry '!$Z$1:$Z$1501,$J2269+1)="Online collection 网上收款",INDEX('Daily Sale entry '!$AA$1:$AA$1501,$J2269+1)&lt;&gt;""),N(INDEX('Daily Sale entry '!$AC$1:$AC$1501,$J2269+1))-TRUNC(N(INDEX('Daily Sale entry '!$AC$1:$AC$1501,$J2269+1))),0),N(INDEX('Daily Sale entry '!$S$1:$S$1501,$J2269-1499))-'Opening Balance'!$B$15*(N(INDEX('Daily Sale entry '!$S$1:$S$1501,$J2269-1499))-TRUNC(N(INDEX('Daily Sale entry '!$S$1:$S$1501,$J2269-1499))))))</f>
        <v/>
      </c>
      <c r="G2269" s="6">
        <f>IF($J2269="","",IF($J2269&lt;=1500,N(INDEX('Daily Sale entry '!$AD$1:$AD$1501,$J2269+1)),0))</f>
        <v/>
      </c>
      <c r="H2269" s="6">
        <f>IF($J2269="","",ROUND('Opening Balance'!$B$4+SUM($F$2:F2269)-SUM($G$2:G2269),2))</f>
        <v/>
      </c>
      <c r="J2269" s="21">
        <f>IFERROR(MATCH(ROW()-1,$L$2:$L$3001,0),"")</f>
        <v/>
      </c>
      <c r="K2269" s="34">
        <f>IF(AND('Daily Sale entry '!Q769="Collection 收款",'Daily Sale entry '!R769="Cheque 支票",'Daily Sale entry '!V769&lt;&gt;""),'Daily Sale entry '!V769+ROW()/10000000,"")</f>
        <v/>
      </c>
      <c r="L2269" s="21">
        <f>IF(K2269="","",COUNTIF($K$2:$K$3001,"&lt;"&amp;K2269)+1)</f>
        <v/>
      </c>
    </row>
    <row r="2270">
      <c r="A2270" s="5">
        <f>IF($J2270="","",IF($J2270&lt;=1500,INDEX('Daily Sale entry '!$X$1:$X$1501,$J2270+1),INDEX('Daily Sale entry '!$V$1:$V$1501,$J2270-1499)))</f>
        <v/>
      </c>
      <c r="B2270">
        <f>IF($J2270="","",IF($J2270&lt;=1500,INDEX('Daily Sale entry '!$Y$1:$Y$1501,$J2270+1)&amp;"","Buyer cheque banked 买家支票存入"&amp;IF(INDEX('Daily Sale entry '!$U$1:$U$1501,$J2270-1499)="","", " - "&amp;INDEX('Daily Sale entry '!$U$1:$U$1501,$J2270-1499))))</f>
        <v/>
      </c>
      <c r="C2270">
        <f>IF($J2270="","",IF($J2270&lt;=1500,INDEX('Daily Sale entry '!$Z$1:$Z$1501,$J2270+1)&amp;"","Cheque deposit 支票存入 (buyer 买家)"))</f>
        <v/>
      </c>
      <c r="D2270">
        <f>IF($J2270="","",IF($J2270&lt;=1500,INDEX('Daily Sale entry '!$AA$1:$AA$1501,$J2270+1)&amp;"",INDEX('Daily Sale entry '!$P$1:$P$1501,$J2270-1499)&amp;""))</f>
        <v/>
      </c>
      <c r="E2270">
        <f>IF($J2270="","",IF($J2270&lt;=1500,IF(N(INDEX('Daily Sale entry '!$AB$1:$AB$1501,$J2270+1))=0,"",INDEX('Daily Sale entry '!$AB$1:$AB$1501,$J2270+1)),1))</f>
        <v/>
      </c>
      <c r="F2270" s="6">
        <f>IF($J2270="","",IF($J2270&lt;=1500,N(INDEX('Daily Sale entry '!$AC$1:$AC$1501,$J2270+1))-IF(AND('Opening Balance'!$B$15=1,INDEX('Daily Sale entry '!$Z$1:$Z$1501,$J2270+1)="Online collection 网上收款",INDEX('Daily Sale entry '!$AA$1:$AA$1501,$J2270+1)&lt;&gt;""),N(INDEX('Daily Sale entry '!$AC$1:$AC$1501,$J2270+1))-TRUNC(N(INDEX('Daily Sale entry '!$AC$1:$AC$1501,$J2270+1))),0),N(INDEX('Daily Sale entry '!$S$1:$S$1501,$J2270-1499))-'Opening Balance'!$B$15*(N(INDEX('Daily Sale entry '!$S$1:$S$1501,$J2270-1499))-TRUNC(N(INDEX('Daily Sale entry '!$S$1:$S$1501,$J2270-1499))))))</f>
        <v/>
      </c>
      <c r="G2270" s="6">
        <f>IF($J2270="","",IF($J2270&lt;=1500,N(INDEX('Daily Sale entry '!$AD$1:$AD$1501,$J2270+1)),0))</f>
        <v/>
      </c>
      <c r="H2270" s="6">
        <f>IF($J2270="","",ROUND('Opening Balance'!$B$4+SUM($F$2:F2270)-SUM($G$2:G2270),2))</f>
        <v/>
      </c>
      <c r="J2270" s="21">
        <f>IFERROR(MATCH(ROW()-1,$L$2:$L$3001,0),"")</f>
        <v/>
      </c>
      <c r="K2270" s="34">
        <f>IF(AND('Daily Sale entry '!Q770="Collection 收款",'Daily Sale entry '!R770="Cheque 支票",'Daily Sale entry '!V770&lt;&gt;""),'Daily Sale entry '!V770+ROW()/10000000,"")</f>
        <v/>
      </c>
      <c r="L2270" s="21">
        <f>IF(K2270="","",COUNTIF($K$2:$K$3001,"&lt;"&amp;K2270)+1)</f>
        <v/>
      </c>
    </row>
    <row r="2271">
      <c r="A2271" s="5">
        <f>IF($J2271="","",IF($J2271&lt;=1500,INDEX('Daily Sale entry '!$X$1:$X$1501,$J2271+1),INDEX('Daily Sale entry '!$V$1:$V$1501,$J2271-1499)))</f>
        <v/>
      </c>
      <c r="B2271">
        <f>IF($J2271="","",IF($J2271&lt;=1500,INDEX('Daily Sale entry '!$Y$1:$Y$1501,$J2271+1)&amp;"","Buyer cheque banked 买家支票存入"&amp;IF(INDEX('Daily Sale entry '!$U$1:$U$1501,$J2271-1499)="","", " - "&amp;INDEX('Daily Sale entry '!$U$1:$U$1501,$J2271-1499))))</f>
        <v/>
      </c>
      <c r="C2271">
        <f>IF($J2271="","",IF($J2271&lt;=1500,INDEX('Daily Sale entry '!$Z$1:$Z$1501,$J2271+1)&amp;"","Cheque deposit 支票存入 (buyer 买家)"))</f>
        <v/>
      </c>
      <c r="D2271">
        <f>IF($J2271="","",IF($J2271&lt;=1500,INDEX('Daily Sale entry '!$AA$1:$AA$1501,$J2271+1)&amp;"",INDEX('Daily Sale entry '!$P$1:$P$1501,$J2271-1499)&amp;""))</f>
        <v/>
      </c>
      <c r="E2271">
        <f>IF($J2271="","",IF($J2271&lt;=1500,IF(N(INDEX('Daily Sale entry '!$AB$1:$AB$1501,$J2271+1))=0,"",INDEX('Daily Sale entry '!$AB$1:$AB$1501,$J2271+1)),1))</f>
        <v/>
      </c>
      <c r="F2271" s="6">
        <f>IF($J2271="","",IF($J2271&lt;=1500,N(INDEX('Daily Sale entry '!$AC$1:$AC$1501,$J2271+1))-IF(AND('Opening Balance'!$B$15=1,INDEX('Daily Sale entry '!$Z$1:$Z$1501,$J2271+1)="Online collection 网上收款",INDEX('Daily Sale entry '!$AA$1:$AA$1501,$J2271+1)&lt;&gt;""),N(INDEX('Daily Sale entry '!$AC$1:$AC$1501,$J2271+1))-TRUNC(N(INDEX('Daily Sale entry '!$AC$1:$AC$1501,$J2271+1))),0),N(INDEX('Daily Sale entry '!$S$1:$S$1501,$J2271-1499))-'Opening Balance'!$B$15*(N(INDEX('Daily Sale entry '!$S$1:$S$1501,$J2271-1499))-TRUNC(N(INDEX('Daily Sale entry '!$S$1:$S$1501,$J2271-1499))))))</f>
        <v/>
      </c>
      <c r="G2271" s="6">
        <f>IF($J2271="","",IF($J2271&lt;=1500,N(INDEX('Daily Sale entry '!$AD$1:$AD$1501,$J2271+1)),0))</f>
        <v/>
      </c>
      <c r="H2271" s="6">
        <f>IF($J2271="","",ROUND('Opening Balance'!$B$4+SUM($F$2:F2271)-SUM($G$2:G2271),2))</f>
        <v/>
      </c>
      <c r="J2271" s="21">
        <f>IFERROR(MATCH(ROW()-1,$L$2:$L$3001,0),"")</f>
        <v/>
      </c>
      <c r="K2271" s="34">
        <f>IF(AND('Daily Sale entry '!Q771="Collection 收款",'Daily Sale entry '!R771="Cheque 支票",'Daily Sale entry '!V771&lt;&gt;""),'Daily Sale entry '!V771+ROW()/10000000,"")</f>
        <v/>
      </c>
      <c r="L2271" s="21">
        <f>IF(K2271="","",COUNTIF($K$2:$K$3001,"&lt;"&amp;K2271)+1)</f>
        <v/>
      </c>
    </row>
    <row r="2272">
      <c r="A2272" s="5">
        <f>IF($J2272="","",IF($J2272&lt;=1500,INDEX('Daily Sale entry '!$X$1:$X$1501,$J2272+1),INDEX('Daily Sale entry '!$V$1:$V$1501,$J2272-1499)))</f>
        <v/>
      </c>
      <c r="B2272">
        <f>IF($J2272="","",IF($J2272&lt;=1500,INDEX('Daily Sale entry '!$Y$1:$Y$1501,$J2272+1)&amp;"","Buyer cheque banked 买家支票存入"&amp;IF(INDEX('Daily Sale entry '!$U$1:$U$1501,$J2272-1499)="","", " - "&amp;INDEX('Daily Sale entry '!$U$1:$U$1501,$J2272-1499))))</f>
        <v/>
      </c>
      <c r="C2272">
        <f>IF($J2272="","",IF($J2272&lt;=1500,INDEX('Daily Sale entry '!$Z$1:$Z$1501,$J2272+1)&amp;"","Cheque deposit 支票存入 (buyer 买家)"))</f>
        <v/>
      </c>
      <c r="D2272">
        <f>IF($J2272="","",IF($J2272&lt;=1500,INDEX('Daily Sale entry '!$AA$1:$AA$1501,$J2272+1)&amp;"",INDEX('Daily Sale entry '!$P$1:$P$1501,$J2272-1499)&amp;""))</f>
        <v/>
      </c>
      <c r="E2272">
        <f>IF($J2272="","",IF($J2272&lt;=1500,IF(N(INDEX('Daily Sale entry '!$AB$1:$AB$1501,$J2272+1))=0,"",INDEX('Daily Sale entry '!$AB$1:$AB$1501,$J2272+1)),1))</f>
        <v/>
      </c>
      <c r="F2272" s="6">
        <f>IF($J2272="","",IF($J2272&lt;=1500,N(INDEX('Daily Sale entry '!$AC$1:$AC$1501,$J2272+1))-IF(AND('Opening Balance'!$B$15=1,INDEX('Daily Sale entry '!$Z$1:$Z$1501,$J2272+1)="Online collection 网上收款",INDEX('Daily Sale entry '!$AA$1:$AA$1501,$J2272+1)&lt;&gt;""),N(INDEX('Daily Sale entry '!$AC$1:$AC$1501,$J2272+1))-TRUNC(N(INDEX('Daily Sale entry '!$AC$1:$AC$1501,$J2272+1))),0),N(INDEX('Daily Sale entry '!$S$1:$S$1501,$J2272-1499))-'Opening Balance'!$B$15*(N(INDEX('Daily Sale entry '!$S$1:$S$1501,$J2272-1499))-TRUNC(N(INDEX('Daily Sale entry '!$S$1:$S$1501,$J2272-1499))))))</f>
        <v/>
      </c>
      <c r="G2272" s="6">
        <f>IF($J2272="","",IF($J2272&lt;=1500,N(INDEX('Daily Sale entry '!$AD$1:$AD$1501,$J2272+1)),0))</f>
        <v/>
      </c>
      <c r="H2272" s="6">
        <f>IF($J2272="","",ROUND('Opening Balance'!$B$4+SUM($F$2:F2272)-SUM($G$2:G2272),2))</f>
        <v/>
      </c>
      <c r="J2272" s="21">
        <f>IFERROR(MATCH(ROW()-1,$L$2:$L$3001,0),"")</f>
        <v/>
      </c>
      <c r="K2272" s="34">
        <f>IF(AND('Daily Sale entry '!Q772="Collection 收款",'Daily Sale entry '!R772="Cheque 支票",'Daily Sale entry '!V772&lt;&gt;""),'Daily Sale entry '!V772+ROW()/10000000,"")</f>
        <v/>
      </c>
      <c r="L2272" s="21">
        <f>IF(K2272="","",COUNTIF($K$2:$K$3001,"&lt;"&amp;K2272)+1)</f>
        <v/>
      </c>
    </row>
    <row r="2273">
      <c r="A2273" s="5">
        <f>IF($J2273="","",IF($J2273&lt;=1500,INDEX('Daily Sale entry '!$X$1:$X$1501,$J2273+1),INDEX('Daily Sale entry '!$V$1:$V$1501,$J2273-1499)))</f>
        <v/>
      </c>
      <c r="B2273">
        <f>IF($J2273="","",IF($J2273&lt;=1500,INDEX('Daily Sale entry '!$Y$1:$Y$1501,$J2273+1)&amp;"","Buyer cheque banked 买家支票存入"&amp;IF(INDEX('Daily Sale entry '!$U$1:$U$1501,$J2273-1499)="","", " - "&amp;INDEX('Daily Sale entry '!$U$1:$U$1501,$J2273-1499))))</f>
        <v/>
      </c>
      <c r="C2273">
        <f>IF($J2273="","",IF($J2273&lt;=1500,INDEX('Daily Sale entry '!$Z$1:$Z$1501,$J2273+1)&amp;"","Cheque deposit 支票存入 (buyer 买家)"))</f>
        <v/>
      </c>
      <c r="D2273">
        <f>IF($J2273="","",IF($J2273&lt;=1500,INDEX('Daily Sale entry '!$AA$1:$AA$1501,$J2273+1)&amp;"",INDEX('Daily Sale entry '!$P$1:$P$1501,$J2273-1499)&amp;""))</f>
        <v/>
      </c>
      <c r="E2273">
        <f>IF($J2273="","",IF($J2273&lt;=1500,IF(N(INDEX('Daily Sale entry '!$AB$1:$AB$1501,$J2273+1))=0,"",INDEX('Daily Sale entry '!$AB$1:$AB$1501,$J2273+1)),1))</f>
        <v/>
      </c>
      <c r="F2273" s="6">
        <f>IF($J2273="","",IF($J2273&lt;=1500,N(INDEX('Daily Sale entry '!$AC$1:$AC$1501,$J2273+1))-IF(AND('Opening Balance'!$B$15=1,INDEX('Daily Sale entry '!$Z$1:$Z$1501,$J2273+1)="Online collection 网上收款",INDEX('Daily Sale entry '!$AA$1:$AA$1501,$J2273+1)&lt;&gt;""),N(INDEX('Daily Sale entry '!$AC$1:$AC$1501,$J2273+1))-TRUNC(N(INDEX('Daily Sale entry '!$AC$1:$AC$1501,$J2273+1))),0),N(INDEX('Daily Sale entry '!$S$1:$S$1501,$J2273-1499))-'Opening Balance'!$B$15*(N(INDEX('Daily Sale entry '!$S$1:$S$1501,$J2273-1499))-TRUNC(N(INDEX('Daily Sale entry '!$S$1:$S$1501,$J2273-1499))))))</f>
        <v/>
      </c>
      <c r="G2273" s="6">
        <f>IF($J2273="","",IF($J2273&lt;=1500,N(INDEX('Daily Sale entry '!$AD$1:$AD$1501,$J2273+1)),0))</f>
        <v/>
      </c>
      <c r="H2273" s="6">
        <f>IF($J2273="","",ROUND('Opening Balance'!$B$4+SUM($F$2:F2273)-SUM($G$2:G2273),2))</f>
        <v/>
      </c>
      <c r="J2273" s="21">
        <f>IFERROR(MATCH(ROW()-1,$L$2:$L$3001,0),"")</f>
        <v/>
      </c>
      <c r="K2273" s="34">
        <f>IF(AND('Daily Sale entry '!Q773="Collection 收款",'Daily Sale entry '!R773="Cheque 支票",'Daily Sale entry '!V773&lt;&gt;""),'Daily Sale entry '!V773+ROW()/10000000,"")</f>
        <v/>
      </c>
      <c r="L2273" s="21">
        <f>IF(K2273="","",COUNTIF($K$2:$K$3001,"&lt;"&amp;K2273)+1)</f>
        <v/>
      </c>
    </row>
    <row r="2274">
      <c r="A2274" s="5">
        <f>IF($J2274="","",IF($J2274&lt;=1500,INDEX('Daily Sale entry '!$X$1:$X$1501,$J2274+1),INDEX('Daily Sale entry '!$V$1:$V$1501,$J2274-1499)))</f>
        <v/>
      </c>
      <c r="B2274">
        <f>IF($J2274="","",IF($J2274&lt;=1500,INDEX('Daily Sale entry '!$Y$1:$Y$1501,$J2274+1)&amp;"","Buyer cheque banked 买家支票存入"&amp;IF(INDEX('Daily Sale entry '!$U$1:$U$1501,$J2274-1499)="","", " - "&amp;INDEX('Daily Sale entry '!$U$1:$U$1501,$J2274-1499))))</f>
        <v/>
      </c>
      <c r="C2274">
        <f>IF($J2274="","",IF($J2274&lt;=1500,INDEX('Daily Sale entry '!$Z$1:$Z$1501,$J2274+1)&amp;"","Cheque deposit 支票存入 (buyer 买家)"))</f>
        <v/>
      </c>
      <c r="D2274">
        <f>IF($J2274="","",IF($J2274&lt;=1500,INDEX('Daily Sale entry '!$AA$1:$AA$1501,$J2274+1)&amp;"",INDEX('Daily Sale entry '!$P$1:$P$1501,$J2274-1499)&amp;""))</f>
        <v/>
      </c>
      <c r="E2274">
        <f>IF($J2274="","",IF($J2274&lt;=1500,IF(N(INDEX('Daily Sale entry '!$AB$1:$AB$1501,$J2274+1))=0,"",INDEX('Daily Sale entry '!$AB$1:$AB$1501,$J2274+1)),1))</f>
        <v/>
      </c>
      <c r="F2274" s="6">
        <f>IF($J2274="","",IF($J2274&lt;=1500,N(INDEX('Daily Sale entry '!$AC$1:$AC$1501,$J2274+1))-IF(AND('Opening Balance'!$B$15=1,INDEX('Daily Sale entry '!$Z$1:$Z$1501,$J2274+1)="Online collection 网上收款",INDEX('Daily Sale entry '!$AA$1:$AA$1501,$J2274+1)&lt;&gt;""),N(INDEX('Daily Sale entry '!$AC$1:$AC$1501,$J2274+1))-TRUNC(N(INDEX('Daily Sale entry '!$AC$1:$AC$1501,$J2274+1))),0),N(INDEX('Daily Sale entry '!$S$1:$S$1501,$J2274-1499))-'Opening Balance'!$B$15*(N(INDEX('Daily Sale entry '!$S$1:$S$1501,$J2274-1499))-TRUNC(N(INDEX('Daily Sale entry '!$S$1:$S$1501,$J2274-1499))))))</f>
        <v/>
      </c>
      <c r="G2274" s="6">
        <f>IF($J2274="","",IF($J2274&lt;=1500,N(INDEX('Daily Sale entry '!$AD$1:$AD$1501,$J2274+1)),0))</f>
        <v/>
      </c>
      <c r="H2274" s="6">
        <f>IF($J2274="","",ROUND('Opening Balance'!$B$4+SUM($F$2:F2274)-SUM($G$2:G2274),2))</f>
        <v/>
      </c>
      <c r="J2274" s="21">
        <f>IFERROR(MATCH(ROW()-1,$L$2:$L$3001,0),"")</f>
        <v/>
      </c>
      <c r="K2274" s="34">
        <f>IF(AND('Daily Sale entry '!Q774="Collection 收款",'Daily Sale entry '!R774="Cheque 支票",'Daily Sale entry '!V774&lt;&gt;""),'Daily Sale entry '!V774+ROW()/10000000,"")</f>
        <v/>
      </c>
      <c r="L2274" s="21">
        <f>IF(K2274="","",COUNTIF($K$2:$K$3001,"&lt;"&amp;K2274)+1)</f>
        <v/>
      </c>
    </row>
    <row r="2275">
      <c r="A2275" s="5">
        <f>IF($J2275="","",IF($J2275&lt;=1500,INDEX('Daily Sale entry '!$X$1:$X$1501,$J2275+1),INDEX('Daily Sale entry '!$V$1:$V$1501,$J2275-1499)))</f>
        <v/>
      </c>
      <c r="B2275">
        <f>IF($J2275="","",IF($J2275&lt;=1500,INDEX('Daily Sale entry '!$Y$1:$Y$1501,$J2275+1)&amp;"","Buyer cheque banked 买家支票存入"&amp;IF(INDEX('Daily Sale entry '!$U$1:$U$1501,$J2275-1499)="","", " - "&amp;INDEX('Daily Sale entry '!$U$1:$U$1501,$J2275-1499))))</f>
        <v/>
      </c>
      <c r="C2275">
        <f>IF($J2275="","",IF($J2275&lt;=1500,INDEX('Daily Sale entry '!$Z$1:$Z$1501,$J2275+1)&amp;"","Cheque deposit 支票存入 (buyer 买家)"))</f>
        <v/>
      </c>
      <c r="D2275">
        <f>IF($J2275="","",IF($J2275&lt;=1500,INDEX('Daily Sale entry '!$AA$1:$AA$1501,$J2275+1)&amp;"",INDEX('Daily Sale entry '!$P$1:$P$1501,$J2275-1499)&amp;""))</f>
        <v/>
      </c>
      <c r="E2275">
        <f>IF($J2275="","",IF($J2275&lt;=1500,IF(N(INDEX('Daily Sale entry '!$AB$1:$AB$1501,$J2275+1))=0,"",INDEX('Daily Sale entry '!$AB$1:$AB$1501,$J2275+1)),1))</f>
        <v/>
      </c>
      <c r="F2275" s="6">
        <f>IF($J2275="","",IF($J2275&lt;=1500,N(INDEX('Daily Sale entry '!$AC$1:$AC$1501,$J2275+1))-IF(AND('Opening Balance'!$B$15=1,INDEX('Daily Sale entry '!$Z$1:$Z$1501,$J2275+1)="Online collection 网上收款",INDEX('Daily Sale entry '!$AA$1:$AA$1501,$J2275+1)&lt;&gt;""),N(INDEX('Daily Sale entry '!$AC$1:$AC$1501,$J2275+1))-TRUNC(N(INDEX('Daily Sale entry '!$AC$1:$AC$1501,$J2275+1))),0),N(INDEX('Daily Sale entry '!$S$1:$S$1501,$J2275-1499))-'Opening Balance'!$B$15*(N(INDEX('Daily Sale entry '!$S$1:$S$1501,$J2275-1499))-TRUNC(N(INDEX('Daily Sale entry '!$S$1:$S$1501,$J2275-1499))))))</f>
        <v/>
      </c>
      <c r="G2275" s="6">
        <f>IF($J2275="","",IF($J2275&lt;=1500,N(INDEX('Daily Sale entry '!$AD$1:$AD$1501,$J2275+1)),0))</f>
        <v/>
      </c>
      <c r="H2275" s="6">
        <f>IF($J2275="","",ROUND('Opening Balance'!$B$4+SUM($F$2:F2275)-SUM($G$2:G2275),2))</f>
        <v/>
      </c>
      <c r="J2275" s="21">
        <f>IFERROR(MATCH(ROW()-1,$L$2:$L$3001,0),"")</f>
        <v/>
      </c>
      <c r="K2275" s="34">
        <f>IF(AND('Daily Sale entry '!Q775="Collection 收款",'Daily Sale entry '!R775="Cheque 支票",'Daily Sale entry '!V775&lt;&gt;""),'Daily Sale entry '!V775+ROW()/10000000,"")</f>
        <v/>
      </c>
      <c r="L2275" s="21">
        <f>IF(K2275="","",COUNTIF($K$2:$K$3001,"&lt;"&amp;K2275)+1)</f>
        <v/>
      </c>
    </row>
    <row r="2276">
      <c r="A2276" s="5">
        <f>IF($J2276="","",IF($J2276&lt;=1500,INDEX('Daily Sale entry '!$X$1:$X$1501,$J2276+1),INDEX('Daily Sale entry '!$V$1:$V$1501,$J2276-1499)))</f>
        <v/>
      </c>
      <c r="B2276">
        <f>IF($J2276="","",IF($J2276&lt;=1500,INDEX('Daily Sale entry '!$Y$1:$Y$1501,$J2276+1)&amp;"","Buyer cheque banked 买家支票存入"&amp;IF(INDEX('Daily Sale entry '!$U$1:$U$1501,$J2276-1499)="","", " - "&amp;INDEX('Daily Sale entry '!$U$1:$U$1501,$J2276-1499))))</f>
        <v/>
      </c>
      <c r="C2276">
        <f>IF($J2276="","",IF($J2276&lt;=1500,INDEX('Daily Sale entry '!$Z$1:$Z$1501,$J2276+1)&amp;"","Cheque deposit 支票存入 (buyer 买家)"))</f>
        <v/>
      </c>
      <c r="D2276">
        <f>IF($J2276="","",IF($J2276&lt;=1500,INDEX('Daily Sale entry '!$AA$1:$AA$1501,$J2276+1)&amp;"",INDEX('Daily Sale entry '!$P$1:$P$1501,$J2276-1499)&amp;""))</f>
        <v/>
      </c>
      <c r="E2276">
        <f>IF($J2276="","",IF($J2276&lt;=1500,IF(N(INDEX('Daily Sale entry '!$AB$1:$AB$1501,$J2276+1))=0,"",INDEX('Daily Sale entry '!$AB$1:$AB$1501,$J2276+1)),1))</f>
        <v/>
      </c>
      <c r="F2276" s="6">
        <f>IF($J2276="","",IF($J2276&lt;=1500,N(INDEX('Daily Sale entry '!$AC$1:$AC$1501,$J2276+1))-IF(AND('Opening Balance'!$B$15=1,INDEX('Daily Sale entry '!$Z$1:$Z$1501,$J2276+1)="Online collection 网上收款",INDEX('Daily Sale entry '!$AA$1:$AA$1501,$J2276+1)&lt;&gt;""),N(INDEX('Daily Sale entry '!$AC$1:$AC$1501,$J2276+1))-TRUNC(N(INDEX('Daily Sale entry '!$AC$1:$AC$1501,$J2276+1))),0),N(INDEX('Daily Sale entry '!$S$1:$S$1501,$J2276-1499))-'Opening Balance'!$B$15*(N(INDEX('Daily Sale entry '!$S$1:$S$1501,$J2276-1499))-TRUNC(N(INDEX('Daily Sale entry '!$S$1:$S$1501,$J2276-1499))))))</f>
        <v/>
      </c>
      <c r="G2276" s="6">
        <f>IF($J2276="","",IF($J2276&lt;=1500,N(INDEX('Daily Sale entry '!$AD$1:$AD$1501,$J2276+1)),0))</f>
        <v/>
      </c>
      <c r="H2276" s="6">
        <f>IF($J2276="","",ROUND('Opening Balance'!$B$4+SUM($F$2:F2276)-SUM($G$2:G2276),2))</f>
        <v/>
      </c>
      <c r="J2276" s="21">
        <f>IFERROR(MATCH(ROW()-1,$L$2:$L$3001,0),"")</f>
        <v/>
      </c>
      <c r="K2276" s="34">
        <f>IF(AND('Daily Sale entry '!Q776="Collection 收款",'Daily Sale entry '!R776="Cheque 支票",'Daily Sale entry '!V776&lt;&gt;""),'Daily Sale entry '!V776+ROW()/10000000,"")</f>
        <v/>
      </c>
      <c r="L2276" s="21">
        <f>IF(K2276="","",COUNTIF($K$2:$K$3001,"&lt;"&amp;K2276)+1)</f>
        <v/>
      </c>
    </row>
    <row r="2277">
      <c r="A2277" s="5">
        <f>IF($J2277="","",IF($J2277&lt;=1500,INDEX('Daily Sale entry '!$X$1:$X$1501,$J2277+1),INDEX('Daily Sale entry '!$V$1:$V$1501,$J2277-1499)))</f>
        <v/>
      </c>
      <c r="B2277">
        <f>IF($J2277="","",IF($J2277&lt;=1500,INDEX('Daily Sale entry '!$Y$1:$Y$1501,$J2277+1)&amp;"","Buyer cheque banked 买家支票存入"&amp;IF(INDEX('Daily Sale entry '!$U$1:$U$1501,$J2277-1499)="","", " - "&amp;INDEX('Daily Sale entry '!$U$1:$U$1501,$J2277-1499))))</f>
        <v/>
      </c>
      <c r="C2277">
        <f>IF($J2277="","",IF($J2277&lt;=1500,INDEX('Daily Sale entry '!$Z$1:$Z$1501,$J2277+1)&amp;"","Cheque deposit 支票存入 (buyer 买家)"))</f>
        <v/>
      </c>
      <c r="D2277">
        <f>IF($J2277="","",IF($J2277&lt;=1500,INDEX('Daily Sale entry '!$AA$1:$AA$1501,$J2277+1)&amp;"",INDEX('Daily Sale entry '!$P$1:$P$1501,$J2277-1499)&amp;""))</f>
        <v/>
      </c>
      <c r="E2277">
        <f>IF($J2277="","",IF($J2277&lt;=1500,IF(N(INDEX('Daily Sale entry '!$AB$1:$AB$1501,$J2277+1))=0,"",INDEX('Daily Sale entry '!$AB$1:$AB$1501,$J2277+1)),1))</f>
        <v/>
      </c>
      <c r="F2277" s="6">
        <f>IF($J2277="","",IF($J2277&lt;=1500,N(INDEX('Daily Sale entry '!$AC$1:$AC$1501,$J2277+1))-IF(AND('Opening Balance'!$B$15=1,INDEX('Daily Sale entry '!$Z$1:$Z$1501,$J2277+1)="Online collection 网上收款",INDEX('Daily Sale entry '!$AA$1:$AA$1501,$J2277+1)&lt;&gt;""),N(INDEX('Daily Sale entry '!$AC$1:$AC$1501,$J2277+1))-TRUNC(N(INDEX('Daily Sale entry '!$AC$1:$AC$1501,$J2277+1))),0),N(INDEX('Daily Sale entry '!$S$1:$S$1501,$J2277-1499))-'Opening Balance'!$B$15*(N(INDEX('Daily Sale entry '!$S$1:$S$1501,$J2277-1499))-TRUNC(N(INDEX('Daily Sale entry '!$S$1:$S$1501,$J2277-1499))))))</f>
        <v/>
      </c>
      <c r="G2277" s="6">
        <f>IF($J2277="","",IF($J2277&lt;=1500,N(INDEX('Daily Sale entry '!$AD$1:$AD$1501,$J2277+1)),0))</f>
        <v/>
      </c>
      <c r="H2277" s="6">
        <f>IF($J2277="","",ROUND('Opening Balance'!$B$4+SUM($F$2:F2277)-SUM($G$2:G2277),2))</f>
        <v/>
      </c>
      <c r="J2277" s="21">
        <f>IFERROR(MATCH(ROW()-1,$L$2:$L$3001,0),"")</f>
        <v/>
      </c>
      <c r="K2277" s="34">
        <f>IF(AND('Daily Sale entry '!Q777="Collection 收款",'Daily Sale entry '!R777="Cheque 支票",'Daily Sale entry '!V777&lt;&gt;""),'Daily Sale entry '!V777+ROW()/10000000,"")</f>
        <v/>
      </c>
      <c r="L2277" s="21">
        <f>IF(K2277="","",COUNTIF($K$2:$K$3001,"&lt;"&amp;K2277)+1)</f>
        <v/>
      </c>
    </row>
    <row r="2278">
      <c r="A2278" s="5">
        <f>IF($J2278="","",IF($J2278&lt;=1500,INDEX('Daily Sale entry '!$X$1:$X$1501,$J2278+1),INDEX('Daily Sale entry '!$V$1:$V$1501,$J2278-1499)))</f>
        <v/>
      </c>
      <c r="B2278">
        <f>IF($J2278="","",IF($J2278&lt;=1500,INDEX('Daily Sale entry '!$Y$1:$Y$1501,$J2278+1)&amp;"","Buyer cheque banked 买家支票存入"&amp;IF(INDEX('Daily Sale entry '!$U$1:$U$1501,$J2278-1499)="","", " - "&amp;INDEX('Daily Sale entry '!$U$1:$U$1501,$J2278-1499))))</f>
        <v/>
      </c>
      <c r="C2278">
        <f>IF($J2278="","",IF($J2278&lt;=1500,INDEX('Daily Sale entry '!$Z$1:$Z$1501,$J2278+1)&amp;"","Cheque deposit 支票存入 (buyer 买家)"))</f>
        <v/>
      </c>
      <c r="D2278">
        <f>IF($J2278="","",IF($J2278&lt;=1500,INDEX('Daily Sale entry '!$AA$1:$AA$1501,$J2278+1)&amp;"",INDEX('Daily Sale entry '!$P$1:$P$1501,$J2278-1499)&amp;""))</f>
        <v/>
      </c>
      <c r="E2278">
        <f>IF($J2278="","",IF($J2278&lt;=1500,IF(N(INDEX('Daily Sale entry '!$AB$1:$AB$1501,$J2278+1))=0,"",INDEX('Daily Sale entry '!$AB$1:$AB$1501,$J2278+1)),1))</f>
        <v/>
      </c>
      <c r="F2278" s="6">
        <f>IF($J2278="","",IF($J2278&lt;=1500,N(INDEX('Daily Sale entry '!$AC$1:$AC$1501,$J2278+1))-IF(AND('Opening Balance'!$B$15=1,INDEX('Daily Sale entry '!$Z$1:$Z$1501,$J2278+1)="Online collection 网上收款",INDEX('Daily Sale entry '!$AA$1:$AA$1501,$J2278+1)&lt;&gt;""),N(INDEX('Daily Sale entry '!$AC$1:$AC$1501,$J2278+1))-TRUNC(N(INDEX('Daily Sale entry '!$AC$1:$AC$1501,$J2278+1))),0),N(INDEX('Daily Sale entry '!$S$1:$S$1501,$J2278-1499))-'Opening Balance'!$B$15*(N(INDEX('Daily Sale entry '!$S$1:$S$1501,$J2278-1499))-TRUNC(N(INDEX('Daily Sale entry '!$S$1:$S$1501,$J2278-1499))))))</f>
        <v/>
      </c>
      <c r="G2278" s="6">
        <f>IF($J2278="","",IF($J2278&lt;=1500,N(INDEX('Daily Sale entry '!$AD$1:$AD$1501,$J2278+1)),0))</f>
        <v/>
      </c>
      <c r="H2278" s="6">
        <f>IF($J2278="","",ROUND('Opening Balance'!$B$4+SUM($F$2:F2278)-SUM($G$2:G2278),2))</f>
        <v/>
      </c>
      <c r="J2278" s="21">
        <f>IFERROR(MATCH(ROW()-1,$L$2:$L$3001,0),"")</f>
        <v/>
      </c>
      <c r="K2278" s="34">
        <f>IF(AND('Daily Sale entry '!Q778="Collection 收款",'Daily Sale entry '!R778="Cheque 支票",'Daily Sale entry '!V778&lt;&gt;""),'Daily Sale entry '!V778+ROW()/10000000,"")</f>
        <v/>
      </c>
      <c r="L2278" s="21">
        <f>IF(K2278="","",COUNTIF($K$2:$K$3001,"&lt;"&amp;K2278)+1)</f>
        <v/>
      </c>
    </row>
    <row r="2279">
      <c r="A2279" s="5">
        <f>IF($J2279="","",IF($J2279&lt;=1500,INDEX('Daily Sale entry '!$X$1:$X$1501,$J2279+1),INDEX('Daily Sale entry '!$V$1:$V$1501,$J2279-1499)))</f>
        <v/>
      </c>
      <c r="B2279">
        <f>IF($J2279="","",IF($J2279&lt;=1500,INDEX('Daily Sale entry '!$Y$1:$Y$1501,$J2279+1)&amp;"","Buyer cheque banked 买家支票存入"&amp;IF(INDEX('Daily Sale entry '!$U$1:$U$1501,$J2279-1499)="","", " - "&amp;INDEX('Daily Sale entry '!$U$1:$U$1501,$J2279-1499))))</f>
        <v/>
      </c>
      <c r="C2279">
        <f>IF($J2279="","",IF($J2279&lt;=1500,INDEX('Daily Sale entry '!$Z$1:$Z$1501,$J2279+1)&amp;"","Cheque deposit 支票存入 (buyer 买家)"))</f>
        <v/>
      </c>
      <c r="D2279">
        <f>IF($J2279="","",IF($J2279&lt;=1500,INDEX('Daily Sale entry '!$AA$1:$AA$1501,$J2279+1)&amp;"",INDEX('Daily Sale entry '!$P$1:$P$1501,$J2279-1499)&amp;""))</f>
        <v/>
      </c>
      <c r="E2279">
        <f>IF($J2279="","",IF($J2279&lt;=1500,IF(N(INDEX('Daily Sale entry '!$AB$1:$AB$1501,$J2279+1))=0,"",INDEX('Daily Sale entry '!$AB$1:$AB$1501,$J2279+1)),1))</f>
        <v/>
      </c>
      <c r="F2279" s="6">
        <f>IF($J2279="","",IF($J2279&lt;=1500,N(INDEX('Daily Sale entry '!$AC$1:$AC$1501,$J2279+1))-IF(AND('Opening Balance'!$B$15=1,INDEX('Daily Sale entry '!$Z$1:$Z$1501,$J2279+1)="Online collection 网上收款",INDEX('Daily Sale entry '!$AA$1:$AA$1501,$J2279+1)&lt;&gt;""),N(INDEX('Daily Sale entry '!$AC$1:$AC$1501,$J2279+1))-TRUNC(N(INDEX('Daily Sale entry '!$AC$1:$AC$1501,$J2279+1))),0),N(INDEX('Daily Sale entry '!$S$1:$S$1501,$J2279-1499))-'Opening Balance'!$B$15*(N(INDEX('Daily Sale entry '!$S$1:$S$1501,$J2279-1499))-TRUNC(N(INDEX('Daily Sale entry '!$S$1:$S$1501,$J2279-1499))))))</f>
        <v/>
      </c>
      <c r="G2279" s="6">
        <f>IF($J2279="","",IF($J2279&lt;=1500,N(INDEX('Daily Sale entry '!$AD$1:$AD$1501,$J2279+1)),0))</f>
        <v/>
      </c>
      <c r="H2279" s="6">
        <f>IF($J2279="","",ROUND('Opening Balance'!$B$4+SUM($F$2:F2279)-SUM($G$2:G2279),2))</f>
        <v/>
      </c>
      <c r="J2279" s="21">
        <f>IFERROR(MATCH(ROW()-1,$L$2:$L$3001,0),"")</f>
        <v/>
      </c>
      <c r="K2279" s="34">
        <f>IF(AND('Daily Sale entry '!Q779="Collection 收款",'Daily Sale entry '!R779="Cheque 支票",'Daily Sale entry '!V779&lt;&gt;""),'Daily Sale entry '!V779+ROW()/10000000,"")</f>
        <v/>
      </c>
      <c r="L2279" s="21">
        <f>IF(K2279="","",COUNTIF($K$2:$K$3001,"&lt;"&amp;K2279)+1)</f>
        <v/>
      </c>
    </row>
    <row r="2280">
      <c r="A2280" s="5">
        <f>IF($J2280="","",IF($J2280&lt;=1500,INDEX('Daily Sale entry '!$X$1:$X$1501,$J2280+1),INDEX('Daily Sale entry '!$V$1:$V$1501,$J2280-1499)))</f>
        <v/>
      </c>
      <c r="B2280">
        <f>IF($J2280="","",IF($J2280&lt;=1500,INDEX('Daily Sale entry '!$Y$1:$Y$1501,$J2280+1)&amp;"","Buyer cheque banked 买家支票存入"&amp;IF(INDEX('Daily Sale entry '!$U$1:$U$1501,$J2280-1499)="","", " - "&amp;INDEX('Daily Sale entry '!$U$1:$U$1501,$J2280-1499))))</f>
        <v/>
      </c>
      <c r="C2280">
        <f>IF($J2280="","",IF($J2280&lt;=1500,INDEX('Daily Sale entry '!$Z$1:$Z$1501,$J2280+1)&amp;"","Cheque deposit 支票存入 (buyer 买家)"))</f>
        <v/>
      </c>
      <c r="D2280">
        <f>IF($J2280="","",IF($J2280&lt;=1500,INDEX('Daily Sale entry '!$AA$1:$AA$1501,$J2280+1)&amp;"",INDEX('Daily Sale entry '!$P$1:$P$1501,$J2280-1499)&amp;""))</f>
        <v/>
      </c>
      <c r="E2280">
        <f>IF($J2280="","",IF($J2280&lt;=1500,IF(N(INDEX('Daily Sale entry '!$AB$1:$AB$1501,$J2280+1))=0,"",INDEX('Daily Sale entry '!$AB$1:$AB$1501,$J2280+1)),1))</f>
        <v/>
      </c>
      <c r="F2280" s="6">
        <f>IF($J2280="","",IF($J2280&lt;=1500,N(INDEX('Daily Sale entry '!$AC$1:$AC$1501,$J2280+1))-IF(AND('Opening Balance'!$B$15=1,INDEX('Daily Sale entry '!$Z$1:$Z$1501,$J2280+1)="Online collection 网上收款",INDEX('Daily Sale entry '!$AA$1:$AA$1501,$J2280+1)&lt;&gt;""),N(INDEX('Daily Sale entry '!$AC$1:$AC$1501,$J2280+1))-TRUNC(N(INDEX('Daily Sale entry '!$AC$1:$AC$1501,$J2280+1))),0),N(INDEX('Daily Sale entry '!$S$1:$S$1501,$J2280-1499))-'Opening Balance'!$B$15*(N(INDEX('Daily Sale entry '!$S$1:$S$1501,$J2280-1499))-TRUNC(N(INDEX('Daily Sale entry '!$S$1:$S$1501,$J2280-1499))))))</f>
        <v/>
      </c>
      <c r="G2280" s="6">
        <f>IF($J2280="","",IF($J2280&lt;=1500,N(INDEX('Daily Sale entry '!$AD$1:$AD$1501,$J2280+1)),0))</f>
        <v/>
      </c>
      <c r="H2280" s="6">
        <f>IF($J2280="","",ROUND('Opening Balance'!$B$4+SUM($F$2:F2280)-SUM($G$2:G2280),2))</f>
        <v/>
      </c>
      <c r="J2280" s="21">
        <f>IFERROR(MATCH(ROW()-1,$L$2:$L$3001,0),"")</f>
        <v/>
      </c>
      <c r="K2280" s="34">
        <f>IF(AND('Daily Sale entry '!Q780="Collection 收款",'Daily Sale entry '!R780="Cheque 支票",'Daily Sale entry '!V780&lt;&gt;""),'Daily Sale entry '!V780+ROW()/10000000,"")</f>
        <v/>
      </c>
      <c r="L2280" s="21">
        <f>IF(K2280="","",COUNTIF($K$2:$K$3001,"&lt;"&amp;K2280)+1)</f>
        <v/>
      </c>
    </row>
    <row r="2281">
      <c r="A2281" s="5">
        <f>IF($J2281="","",IF($J2281&lt;=1500,INDEX('Daily Sale entry '!$X$1:$X$1501,$J2281+1),INDEX('Daily Sale entry '!$V$1:$V$1501,$J2281-1499)))</f>
        <v/>
      </c>
      <c r="B2281">
        <f>IF($J2281="","",IF($J2281&lt;=1500,INDEX('Daily Sale entry '!$Y$1:$Y$1501,$J2281+1)&amp;"","Buyer cheque banked 买家支票存入"&amp;IF(INDEX('Daily Sale entry '!$U$1:$U$1501,$J2281-1499)="","", " - "&amp;INDEX('Daily Sale entry '!$U$1:$U$1501,$J2281-1499))))</f>
        <v/>
      </c>
      <c r="C2281">
        <f>IF($J2281="","",IF($J2281&lt;=1500,INDEX('Daily Sale entry '!$Z$1:$Z$1501,$J2281+1)&amp;"","Cheque deposit 支票存入 (buyer 买家)"))</f>
        <v/>
      </c>
      <c r="D2281">
        <f>IF($J2281="","",IF($J2281&lt;=1500,INDEX('Daily Sale entry '!$AA$1:$AA$1501,$J2281+1)&amp;"",INDEX('Daily Sale entry '!$P$1:$P$1501,$J2281-1499)&amp;""))</f>
        <v/>
      </c>
      <c r="E2281">
        <f>IF($J2281="","",IF($J2281&lt;=1500,IF(N(INDEX('Daily Sale entry '!$AB$1:$AB$1501,$J2281+1))=0,"",INDEX('Daily Sale entry '!$AB$1:$AB$1501,$J2281+1)),1))</f>
        <v/>
      </c>
      <c r="F2281" s="6">
        <f>IF($J2281="","",IF($J2281&lt;=1500,N(INDEX('Daily Sale entry '!$AC$1:$AC$1501,$J2281+1))-IF(AND('Opening Balance'!$B$15=1,INDEX('Daily Sale entry '!$Z$1:$Z$1501,$J2281+1)="Online collection 网上收款",INDEX('Daily Sale entry '!$AA$1:$AA$1501,$J2281+1)&lt;&gt;""),N(INDEX('Daily Sale entry '!$AC$1:$AC$1501,$J2281+1))-TRUNC(N(INDEX('Daily Sale entry '!$AC$1:$AC$1501,$J2281+1))),0),N(INDEX('Daily Sale entry '!$S$1:$S$1501,$J2281-1499))-'Opening Balance'!$B$15*(N(INDEX('Daily Sale entry '!$S$1:$S$1501,$J2281-1499))-TRUNC(N(INDEX('Daily Sale entry '!$S$1:$S$1501,$J2281-1499))))))</f>
        <v/>
      </c>
      <c r="G2281" s="6">
        <f>IF($J2281="","",IF($J2281&lt;=1500,N(INDEX('Daily Sale entry '!$AD$1:$AD$1501,$J2281+1)),0))</f>
        <v/>
      </c>
      <c r="H2281" s="6">
        <f>IF($J2281="","",ROUND('Opening Balance'!$B$4+SUM($F$2:F2281)-SUM($G$2:G2281),2))</f>
        <v/>
      </c>
      <c r="J2281" s="21">
        <f>IFERROR(MATCH(ROW()-1,$L$2:$L$3001,0),"")</f>
        <v/>
      </c>
      <c r="K2281" s="34">
        <f>IF(AND('Daily Sale entry '!Q781="Collection 收款",'Daily Sale entry '!R781="Cheque 支票",'Daily Sale entry '!V781&lt;&gt;""),'Daily Sale entry '!V781+ROW()/10000000,"")</f>
        <v/>
      </c>
      <c r="L2281" s="21">
        <f>IF(K2281="","",COUNTIF($K$2:$K$3001,"&lt;"&amp;K2281)+1)</f>
        <v/>
      </c>
    </row>
    <row r="2282">
      <c r="A2282" s="5">
        <f>IF($J2282="","",IF($J2282&lt;=1500,INDEX('Daily Sale entry '!$X$1:$X$1501,$J2282+1),INDEX('Daily Sale entry '!$V$1:$V$1501,$J2282-1499)))</f>
        <v/>
      </c>
      <c r="B2282">
        <f>IF($J2282="","",IF($J2282&lt;=1500,INDEX('Daily Sale entry '!$Y$1:$Y$1501,$J2282+1)&amp;"","Buyer cheque banked 买家支票存入"&amp;IF(INDEX('Daily Sale entry '!$U$1:$U$1501,$J2282-1499)="","", " - "&amp;INDEX('Daily Sale entry '!$U$1:$U$1501,$J2282-1499))))</f>
        <v/>
      </c>
      <c r="C2282">
        <f>IF($J2282="","",IF($J2282&lt;=1500,INDEX('Daily Sale entry '!$Z$1:$Z$1501,$J2282+1)&amp;"","Cheque deposit 支票存入 (buyer 买家)"))</f>
        <v/>
      </c>
      <c r="D2282">
        <f>IF($J2282="","",IF($J2282&lt;=1500,INDEX('Daily Sale entry '!$AA$1:$AA$1501,$J2282+1)&amp;"",INDEX('Daily Sale entry '!$P$1:$P$1501,$J2282-1499)&amp;""))</f>
        <v/>
      </c>
      <c r="E2282">
        <f>IF($J2282="","",IF($J2282&lt;=1500,IF(N(INDEX('Daily Sale entry '!$AB$1:$AB$1501,$J2282+1))=0,"",INDEX('Daily Sale entry '!$AB$1:$AB$1501,$J2282+1)),1))</f>
        <v/>
      </c>
      <c r="F2282" s="6">
        <f>IF($J2282="","",IF($J2282&lt;=1500,N(INDEX('Daily Sale entry '!$AC$1:$AC$1501,$J2282+1))-IF(AND('Opening Balance'!$B$15=1,INDEX('Daily Sale entry '!$Z$1:$Z$1501,$J2282+1)="Online collection 网上收款",INDEX('Daily Sale entry '!$AA$1:$AA$1501,$J2282+1)&lt;&gt;""),N(INDEX('Daily Sale entry '!$AC$1:$AC$1501,$J2282+1))-TRUNC(N(INDEX('Daily Sale entry '!$AC$1:$AC$1501,$J2282+1))),0),N(INDEX('Daily Sale entry '!$S$1:$S$1501,$J2282-1499))-'Opening Balance'!$B$15*(N(INDEX('Daily Sale entry '!$S$1:$S$1501,$J2282-1499))-TRUNC(N(INDEX('Daily Sale entry '!$S$1:$S$1501,$J2282-1499))))))</f>
        <v/>
      </c>
      <c r="G2282" s="6">
        <f>IF($J2282="","",IF($J2282&lt;=1500,N(INDEX('Daily Sale entry '!$AD$1:$AD$1501,$J2282+1)),0))</f>
        <v/>
      </c>
      <c r="H2282" s="6">
        <f>IF($J2282="","",ROUND('Opening Balance'!$B$4+SUM($F$2:F2282)-SUM($G$2:G2282),2))</f>
        <v/>
      </c>
      <c r="J2282" s="21">
        <f>IFERROR(MATCH(ROW()-1,$L$2:$L$3001,0),"")</f>
        <v/>
      </c>
      <c r="K2282" s="34">
        <f>IF(AND('Daily Sale entry '!Q782="Collection 收款",'Daily Sale entry '!R782="Cheque 支票",'Daily Sale entry '!V782&lt;&gt;""),'Daily Sale entry '!V782+ROW()/10000000,"")</f>
        <v/>
      </c>
      <c r="L2282" s="21">
        <f>IF(K2282="","",COUNTIF($K$2:$K$3001,"&lt;"&amp;K2282)+1)</f>
        <v/>
      </c>
    </row>
    <row r="2283">
      <c r="A2283" s="5">
        <f>IF($J2283="","",IF($J2283&lt;=1500,INDEX('Daily Sale entry '!$X$1:$X$1501,$J2283+1),INDEX('Daily Sale entry '!$V$1:$V$1501,$J2283-1499)))</f>
        <v/>
      </c>
      <c r="B2283">
        <f>IF($J2283="","",IF($J2283&lt;=1500,INDEX('Daily Sale entry '!$Y$1:$Y$1501,$J2283+1)&amp;"","Buyer cheque banked 买家支票存入"&amp;IF(INDEX('Daily Sale entry '!$U$1:$U$1501,$J2283-1499)="","", " - "&amp;INDEX('Daily Sale entry '!$U$1:$U$1501,$J2283-1499))))</f>
        <v/>
      </c>
      <c r="C2283">
        <f>IF($J2283="","",IF($J2283&lt;=1500,INDEX('Daily Sale entry '!$Z$1:$Z$1501,$J2283+1)&amp;"","Cheque deposit 支票存入 (buyer 买家)"))</f>
        <v/>
      </c>
      <c r="D2283">
        <f>IF($J2283="","",IF($J2283&lt;=1500,INDEX('Daily Sale entry '!$AA$1:$AA$1501,$J2283+1)&amp;"",INDEX('Daily Sale entry '!$P$1:$P$1501,$J2283-1499)&amp;""))</f>
        <v/>
      </c>
      <c r="E2283">
        <f>IF($J2283="","",IF($J2283&lt;=1500,IF(N(INDEX('Daily Sale entry '!$AB$1:$AB$1501,$J2283+1))=0,"",INDEX('Daily Sale entry '!$AB$1:$AB$1501,$J2283+1)),1))</f>
        <v/>
      </c>
      <c r="F2283" s="6">
        <f>IF($J2283="","",IF($J2283&lt;=1500,N(INDEX('Daily Sale entry '!$AC$1:$AC$1501,$J2283+1))-IF(AND('Opening Balance'!$B$15=1,INDEX('Daily Sale entry '!$Z$1:$Z$1501,$J2283+1)="Online collection 网上收款",INDEX('Daily Sale entry '!$AA$1:$AA$1501,$J2283+1)&lt;&gt;""),N(INDEX('Daily Sale entry '!$AC$1:$AC$1501,$J2283+1))-TRUNC(N(INDEX('Daily Sale entry '!$AC$1:$AC$1501,$J2283+1))),0),N(INDEX('Daily Sale entry '!$S$1:$S$1501,$J2283-1499))-'Opening Balance'!$B$15*(N(INDEX('Daily Sale entry '!$S$1:$S$1501,$J2283-1499))-TRUNC(N(INDEX('Daily Sale entry '!$S$1:$S$1501,$J2283-1499))))))</f>
        <v/>
      </c>
      <c r="G2283" s="6">
        <f>IF($J2283="","",IF($J2283&lt;=1500,N(INDEX('Daily Sale entry '!$AD$1:$AD$1501,$J2283+1)),0))</f>
        <v/>
      </c>
      <c r="H2283" s="6">
        <f>IF($J2283="","",ROUND('Opening Balance'!$B$4+SUM($F$2:F2283)-SUM($G$2:G2283),2))</f>
        <v/>
      </c>
      <c r="J2283" s="21">
        <f>IFERROR(MATCH(ROW()-1,$L$2:$L$3001,0),"")</f>
        <v/>
      </c>
      <c r="K2283" s="34">
        <f>IF(AND('Daily Sale entry '!Q783="Collection 收款",'Daily Sale entry '!R783="Cheque 支票",'Daily Sale entry '!V783&lt;&gt;""),'Daily Sale entry '!V783+ROW()/10000000,"")</f>
        <v/>
      </c>
      <c r="L2283" s="21">
        <f>IF(K2283="","",COUNTIF($K$2:$K$3001,"&lt;"&amp;K2283)+1)</f>
        <v/>
      </c>
    </row>
    <row r="2284">
      <c r="A2284" s="5">
        <f>IF($J2284="","",IF($J2284&lt;=1500,INDEX('Daily Sale entry '!$X$1:$X$1501,$J2284+1),INDEX('Daily Sale entry '!$V$1:$V$1501,$J2284-1499)))</f>
        <v/>
      </c>
      <c r="B2284">
        <f>IF($J2284="","",IF($J2284&lt;=1500,INDEX('Daily Sale entry '!$Y$1:$Y$1501,$J2284+1)&amp;"","Buyer cheque banked 买家支票存入"&amp;IF(INDEX('Daily Sale entry '!$U$1:$U$1501,$J2284-1499)="","", " - "&amp;INDEX('Daily Sale entry '!$U$1:$U$1501,$J2284-1499))))</f>
        <v/>
      </c>
      <c r="C2284">
        <f>IF($J2284="","",IF($J2284&lt;=1500,INDEX('Daily Sale entry '!$Z$1:$Z$1501,$J2284+1)&amp;"","Cheque deposit 支票存入 (buyer 买家)"))</f>
        <v/>
      </c>
      <c r="D2284">
        <f>IF($J2284="","",IF($J2284&lt;=1500,INDEX('Daily Sale entry '!$AA$1:$AA$1501,$J2284+1)&amp;"",INDEX('Daily Sale entry '!$P$1:$P$1501,$J2284-1499)&amp;""))</f>
        <v/>
      </c>
      <c r="E2284">
        <f>IF($J2284="","",IF($J2284&lt;=1500,IF(N(INDEX('Daily Sale entry '!$AB$1:$AB$1501,$J2284+1))=0,"",INDEX('Daily Sale entry '!$AB$1:$AB$1501,$J2284+1)),1))</f>
        <v/>
      </c>
      <c r="F2284" s="6">
        <f>IF($J2284="","",IF($J2284&lt;=1500,N(INDEX('Daily Sale entry '!$AC$1:$AC$1501,$J2284+1))-IF(AND('Opening Balance'!$B$15=1,INDEX('Daily Sale entry '!$Z$1:$Z$1501,$J2284+1)="Online collection 网上收款",INDEX('Daily Sale entry '!$AA$1:$AA$1501,$J2284+1)&lt;&gt;""),N(INDEX('Daily Sale entry '!$AC$1:$AC$1501,$J2284+1))-TRUNC(N(INDEX('Daily Sale entry '!$AC$1:$AC$1501,$J2284+1))),0),N(INDEX('Daily Sale entry '!$S$1:$S$1501,$J2284-1499))-'Opening Balance'!$B$15*(N(INDEX('Daily Sale entry '!$S$1:$S$1501,$J2284-1499))-TRUNC(N(INDEX('Daily Sale entry '!$S$1:$S$1501,$J2284-1499))))))</f>
        <v/>
      </c>
      <c r="G2284" s="6">
        <f>IF($J2284="","",IF($J2284&lt;=1500,N(INDEX('Daily Sale entry '!$AD$1:$AD$1501,$J2284+1)),0))</f>
        <v/>
      </c>
      <c r="H2284" s="6">
        <f>IF($J2284="","",ROUND('Opening Balance'!$B$4+SUM($F$2:F2284)-SUM($G$2:G2284),2))</f>
        <v/>
      </c>
      <c r="J2284" s="21">
        <f>IFERROR(MATCH(ROW()-1,$L$2:$L$3001,0),"")</f>
        <v/>
      </c>
      <c r="K2284" s="34">
        <f>IF(AND('Daily Sale entry '!Q784="Collection 收款",'Daily Sale entry '!R784="Cheque 支票",'Daily Sale entry '!V784&lt;&gt;""),'Daily Sale entry '!V784+ROW()/10000000,"")</f>
        <v/>
      </c>
      <c r="L2284" s="21">
        <f>IF(K2284="","",COUNTIF($K$2:$K$3001,"&lt;"&amp;K2284)+1)</f>
        <v/>
      </c>
    </row>
    <row r="2285">
      <c r="A2285" s="5">
        <f>IF($J2285="","",IF($J2285&lt;=1500,INDEX('Daily Sale entry '!$X$1:$X$1501,$J2285+1),INDEX('Daily Sale entry '!$V$1:$V$1501,$J2285-1499)))</f>
        <v/>
      </c>
      <c r="B2285">
        <f>IF($J2285="","",IF($J2285&lt;=1500,INDEX('Daily Sale entry '!$Y$1:$Y$1501,$J2285+1)&amp;"","Buyer cheque banked 买家支票存入"&amp;IF(INDEX('Daily Sale entry '!$U$1:$U$1501,$J2285-1499)="","", " - "&amp;INDEX('Daily Sale entry '!$U$1:$U$1501,$J2285-1499))))</f>
        <v/>
      </c>
      <c r="C2285">
        <f>IF($J2285="","",IF($J2285&lt;=1500,INDEX('Daily Sale entry '!$Z$1:$Z$1501,$J2285+1)&amp;"","Cheque deposit 支票存入 (buyer 买家)"))</f>
        <v/>
      </c>
      <c r="D2285">
        <f>IF($J2285="","",IF($J2285&lt;=1500,INDEX('Daily Sale entry '!$AA$1:$AA$1501,$J2285+1)&amp;"",INDEX('Daily Sale entry '!$P$1:$P$1501,$J2285-1499)&amp;""))</f>
        <v/>
      </c>
      <c r="E2285">
        <f>IF($J2285="","",IF($J2285&lt;=1500,IF(N(INDEX('Daily Sale entry '!$AB$1:$AB$1501,$J2285+1))=0,"",INDEX('Daily Sale entry '!$AB$1:$AB$1501,$J2285+1)),1))</f>
        <v/>
      </c>
      <c r="F2285" s="6">
        <f>IF($J2285="","",IF($J2285&lt;=1500,N(INDEX('Daily Sale entry '!$AC$1:$AC$1501,$J2285+1))-IF(AND('Opening Balance'!$B$15=1,INDEX('Daily Sale entry '!$Z$1:$Z$1501,$J2285+1)="Online collection 网上收款",INDEX('Daily Sale entry '!$AA$1:$AA$1501,$J2285+1)&lt;&gt;""),N(INDEX('Daily Sale entry '!$AC$1:$AC$1501,$J2285+1))-TRUNC(N(INDEX('Daily Sale entry '!$AC$1:$AC$1501,$J2285+1))),0),N(INDEX('Daily Sale entry '!$S$1:$S$1501,$J2285-1499))-'Opening Balance'!$B$15*(N(INDEX('Daily Sale entry '!$S$1:$S$1501,$J2285-1499))-TRUNC(N(INDEX('Daily Sale entry '!$S$1:$S$1501,$J2285-1499))))))</f>
        <v/>
      </c>
      <c r="G2285" s="6">
        <f>IF($J2285="","",IF($J2285&lt;=1500,N(INDEX('Daily Sale entry '!$AD$1:$AD$1501,$J2285+1)),0))</f>
        <v/>
      </c>
      <c r="H2285" s="6">
        <f>IF($J2285="","",ROUND('Opening Balance'!$B$4+SUM($F$2:F2285)-SUM($G$2:G2285),2))</f>
        <v/>
      </c>
      <c r="J2285" s="21">
        <f>IFERROR(MATCH(ROW()-1,$L$2:$L$3001,0),"")</f>
        <v/>
      </c>
      <c r="K2285" s="34">
        <f>IF(AND('Daily Sale entry '!Q785="Collection 收款",'Daily Sale entry '!R785="Cheque 支票",'Daily Sale entry '!V785&lt;&gt;""),'Daily Sale entry '!V785+ROW()/10000000,"")</f>
        <v/>
      </c>
      <c r="L2285" s="21">
        <f>IF(K2285="","",COUNTIF($K$2:$K$3001,"&lt;"&amp;K2285)+1)</f>
        <v/>
      </c>
    </row>
    <row r="2286">
      <c r="A2286" s="5">
        <f>IF($J2286="","",IF($J2286&lt;=1500,INDEX('Daily Sale entry '!$X$1:$X$1501,$J2286+1),INDEX('Daily Sale entry '!$V$1:$V$1501,$J2286-1499)))</f>
        <v/>
      </c>
      <c r="B2286">
        <f>IF($J2286="","",IF($J2286&lt;=1500,INDEX('Daily Sale entry '!$Y$1:$Y$1501,$J2286+1)&amp;"","Buyer cheque banked 买家支票存入"&amp;IF(INDEX('Daily Sale entry '!$U$1:$U$1501,$J2286-1499)="","", " - "&amp;INDEX('Daily Sale entry '!$U$1:$U$1501,$J2286-1499))))</f>
        <v/>
      </c>
      <c r="C2286">
        <f>IF($J2286="","",IF($J2286&lt;=1500,INDEX('Daily Sale entry '!$Z$1:$Z$1501,$J2286+1)&amp;"","Cheque deposit 支票存入 (buyer 买家)"))</f>
        <v/>
      </c>
      <c r="D2286">
        <f>IF($J2286="","",IF($J2286&lt;=1500,INDEX('Daily Sale entry '!$AA$1:$AA$1501,$J2286+1)&amp;"",INDEX('Daily Sale entry '!$P$1:$P$1501,$J2286-1499)&amp;""))</f>
        <v/>
      </c>
      <c r="E2286">
        <f>IF($J2286="","",IF($J2286&lt;=1500,IF(N(INDEX('Daily Sale entry '!$AB$1:$AB$1501,$J2286+1))=0,"",INDEX('Daily Sale entry '!$AB$1:$AB$1501,$J2286+1)),1))</f>
        <v/>
      </c>
      <c r="F2286" s="6">
        <f>IF($J2286="","",IF($J2286&lt;=1500,N(INDEX('Daily Sale entry '!$AC$1:$AC$1501,$J2286+1))-IF(AND('Opening Balance'!$B$15=1,INDEX('Daily Sale entry '!$Z$1:$Z$1501,$J2286+1)="Online collection 网上收款",INDEX('Daily Sale entry '!$AA$1:$AA$1501,$J2286+1)&lt;&gt;""),N(INDEX('Daily Sale entry '!$AC$1:$AC$1501,$J2286+1))-TRUNC(N(INDEX('Daily Sale entry '!$AC$1:$AC$1501,$J2286+1))),0),N(INDEX('Daily Sale entry '!$S$1:$S$1501,$J2286-1499))-'Opening Balance'!$B$15*(N(INDEX('Daily Sale entry '!$S$1:$S$1501,$J2286-1499))-TRUNC(N(INDEX('Daily Sale entry '!$S$1:$S$1501,$J2286-1499))))))</f>
        <v/>
      </c>
      <c r="G2286" s="6">
        <f>IF($J2286="","",IF($J2286&lt;=1500,N(INDEX('Daily Sale entry '!$AD$1:$AD$1501,$J2286+1)),0))</f>
        <v/>
      </c>
      <c r="H2286" s="6">
        <f>IF($J2286="","",ROUND('Opening Balance'!$B$4+SUM($F$2:F2286)-SUM($G$2:G2286),2))</f>
        <v/>
      </c>
      <c r="J2286" s="21">
        <f>IFERROR(MATCH(ROW()-1,$L$2:$L$3001,0),"")</f>
        <v/>
      </c>
      <c r="K2286" s="34">
        <f>IF(AND('Daily Sale entry '!Q786="Collection 收款",'Daily Sale entry '!R786="Cheque 支票",'Daily Sale entry '!V786&lt;&gt;""),'Daily Sale entry '!V786+ROW()/10000000,"")</f>
        <v/>
      </c>
      <c r="L2286" s="21">
        <f>IF(K2286="","",COUNTIF($K$2:$K$3001,"&lt;"&amp;K2286)+1)</f>
        <v/>
      </c>
    </row>
    <row r="2287">
      <c r="A2287" s="5">
        <f>IF($J2287="","",IF($J2287&lt;=1500,INDEX('Daily Sale entry '!$X$1:$X$1501,$J2287+1),INDEX('Daily Sale entry '!$V$1:$V$1501,$J2287-1499)))</f>
        <v/>
      </c>
      <c r="B2287">
        <f>IF($J2287="","",IF($J2287&lt;=1500,INDEX('Daily Sale entry '!$Y$1:$Y$1501,$J2287+1)&amp;"","Buyer cheque banked 买家支票存入"&amp;IF(INDEX('Daily Sale entry '!$U$1:$U$1501,$J2287-1499)="","", " - "&amp;INDEX('Daily Sale entry '!$U$1:$U$1501,$J2287-1499))))</f>
        <v/>
      </c>
      <c r="C2287">
        <f>IF($J2287="","",IF($J2287&lt;=1500,INDEX('Daily Sale entry '!$Z$1:$Z$1501,$J2287+1)&amp;"","Cheque deposit 支票存入 (buyer 买家)"))</f>
        <v/>
      </c>
      <c r="D2287">
        <f>IF($J2287="","",IF($J2287&lt;=1500,INDEX('Daily Sale entry '!$AA$1:$AA$1501,$J2287+1)&amp;"",INDEX('Daily Sale entry '!$P$1:$P$1501,$J2287-1499)&amp;""))</f>
        <v/>
      </c>
      <c r="E2287">
        <f>IF($J2287="","",IF($J2287&lt;=1500,IF(N(INDEX('Daily Sale entry '!$AB$1:$AB$1501,$J2287+1))=0,"",INDEX('Daily Sale entry '!$AB$1:$AB$1501,$J2287+1)),1))</f>
        <v/>
      </c>
      <c r="F2287" s="6">
        <f>IF($J2287="","",IF($J2287&lt;=1500,N(INDEX('Daily Sale entry '!$AC$1:$AC$1501,$J2287+1))-IF(AND('Opening Balance'!$B$15=1,INDEX('Daily Sale entry '!$Z$1:$Z$1501,$J2287+1)="Online collection 网上收款",INDEX('Daily Sale entry '!$AA$1:$AA$1501,$J2287+1)&lt;&gt;""),N(INDEX('Daily Sale entry '!$AC$1:$AC$1501,$J2287+1))-TRUNC(N(INDEX('Daily Sale entry '!$AC$1:$AC$1501,$J2287+1))),0),N(INDEX('Daily Sale entry '!$S$1:$S$1501,$J2287-1499))-'Opening Balance'!$B$15*(N(INDEX('Daily Sale entry '!$S$1:$S$1501,$J2287-1499))-TRUNC(N(INDEX('Daily Sale entry '!$S$1:$S$1501,$J2287-1499))))))</f>
        <v/>
      </c>
      <c r="G2287" s="6">
        <f>IF($J2287="","",IF($J2287&lt;=1500,N(INDEX('Daily Sale entry '!$AD$1:$AD$1501,$J2287+1)),0))</f>
        <v/>
      </c>
      <c r="H2287" s="6">
        <f>IF($J2287="","",ROUND('Opening Balance'!$B$4+SUM($F$2:F2287)-SUM($G$2:G2287),2))</f>
        <v/>
      </c>
      <c r="J2287" s="21">
        <f>IFERROR(MATCH(ROW()-1,$L$2:$L$3001,0),"")</f>
        <v/>
      </c>
      <c r="K2287" s="34">
        <f>IF(AND('Daily Sale entry '!Q787="Collection 收款",'Daily Sale entry '!R787="Cheque 支票",'Daily Sale entry '!V787&lt;&gt;""),'Daily Sale entry '!V787+ROW()/10000000,"")</f>
        <v/>
      </c>
      <c r="L2287" s="21">
        <f>IF(K2287="","",COUNTIF($K$2:$K$3001,"&lt;"&amp;K2287)+1)</f>
        <v/>
      </c>
    </row>
    <row r="2288">
      <c r="A2288" s="5">
        <f>IF($J2288="","",IF($J2288&lt;=1500,INDEX('Daily Sale entry '!$X$1:$X$1501,$J2288+1),INDEX('Daily Sale entry '!$V$1:$V$1501,$J2288-1499)))</f>
        <v/>
      </c>
      <c r="B2288">
        <f>IF($J2288="","",IF($J2288&lt;=1500,INDEX('Daily Sale entry '!$Y$1:$Y$1501,$J2288+1)&amp;"","Buyer cheque banked 买家支票存入"&amp;IF(INDEX('Daily Sale entry '!$U$1:$U$1501,$J2288-1499)="","", " - "&amp;INDEX('Daily Sale entry '!$U$1:$U$1501,$J2288-1499))))</f>
        <v/>
      </c>
      <c r="C2288">
        <f>IF($J2288="","",IF($J2288&lt;=1500,INDEX('Daily Sale entry '!$Z$1:$Z$1501,$J2288+1)&amp;"","Cheque deposit 支票存入 (buyer 买家)"))</f>
        <v/>
      </c>
      <c r="D2288">
        <f>IF($J2288="","",IF($J2288&lt;=1500,INDEX('Daily Sale entry '!$AA$1:$AA$1501,$J2288+1)&amp;"",INDEX('Daily Sale entry '!$P$1:$P$1501,$J2288-1499)&amp;""))</f>
        <v/>
      </c>
      <c r="E2288">
        <f>IF($J2288="","",IF($J2288&lt;=1500,IF(N(INDEX('Daily Sale entry '!$AB$1:$AB$1501,$J2288+1))=0,"",INDEX('Daily Sale entry '!$AB$1:$AB$1501,$J2288+1)),1))</f>
        <v/>
      </c>
      <c r="F2288" s="6">
        <f>IF($J2288="","",IF($J2288&lt;=1500,N(INDEX('Daily Sale entry '!$AC$1:$AC$1501,$J2288+1))-IF(AND('Opening Balance'!$B$15=1,INDEX('Daily Sale entry '!$Z$1:$Z$1501,$J2288+1)="Online collection 网上收款",INDEX('Daily Sale entry '!$AA$1:$AA$1501,$J2288+1)&lt;&gt;""),N(INDEX('Daily Sale entry '!$AC$1:$AC$1501,$J2288+1))-TRUNC(N(INDEX('Daily Sale entry '!$AC$1:$AC$1501,$J2288+1))),0),N(INDEX('Daily Sale entry '!$S$1:$S$1501,$J2288-1499))-'Opening Balance'!$B$15*(N(INDEX('Daily Sale entry '!$S$1:$S$1501,$J2288-1499))-TRUNC(N(INDEX('Daily Sale entry '!$S$1:$S$1501,$J2288-1499))))))</f>
        <v/>
      </c>
      <c r="G2288" s="6">
        <f>IF($J2288="","",IF($J2288&lt;=1500,N(INDEX('Daily Sale entry '!$AD$1:$AD$1501,$J2288+1)),0))</f>
        <v/>
      </c>
      <c r="H2288" s="6">
        <f>IF($J2288="","",ROUND('Opening Balance'!$B$4+SUM($F$2:F2288)-SUM($G$2:G2288),2))</f>
        <v/>
      </c>
      <c r="J2288" s="21">
        <f>IFERROR(MATCH(ROW()-1,$L$2:$L$3001,0),"")</f>
        <v/>
      </c>
      <c r="K2288" s="34">
        <f>IF(AND('Daily Sale entry '!Q788="Collection 收款",'Daily Sale entry '!R788="Cheque 支票",'Daily Sale entry '!V788&lt;&gt;""),'Daily Sale entry '!V788+ROW()/10000000,"")</f>
        <v/>
      </c>
      <c r="L2288" s="21">
        <f>IF(K2288="","",COUNTIF($K$2:$K$3001,"&lt;"&amp;K2288)+1)</f>
        <v/>
      </c>
    </row>
    <row r="2289">
      <c r="A2289" s="5">
        <f>IF($J2289="","",IF($J2289&lt;=1500,INDEX('Daily Sale entry '!$X$1:$X$1501,$J2289+1),INDEX('Daily Sale entry '!$V$1:$V$1501,$J2289-1499)))</f>
        <v/>
      </c>
      <c r="B2289">
        <f>IF($J2289="","",IF($J2289&lt;=1500,INDEX('Daily Sale entry '!$Y$1:$Y$1501,$J2289+1)&amp;"","Buyer cheque banked 买家支票存入"&amp;IF(INDEX('Daily Sale entry '!$U$1:$U$1501,$J2289-1499)="","", " - "&amp;INDEX('Daily Sale entry '!$U$1:$U$1501,$J2289-1499))))</f>
        <v/>
      </c>
      <c r="C2289">
        <f>IF($J2289="","",IF($J2289&lt;=1500,INDEX('Daily Sale entry '!$Z$1:$Z$1501,$J2289+1)&amp;"","Cheque deposit 支票存入 (buyer 买家)"))</f>
        <v/>
      </c>
      <c r="D2289">
        <f>IF($J2289="","",IF($J2289&lt;=1500,INDEX('Daily Sale entry '!$AA$1:$AA$1501,$J2289+1)&amp;"",INDEX('Daily Sale entry '!$P$1:$P$1501,$J2289-1499)&amp;""))</f>
        <v/>
      </c>
      <c r="E2289">
        <f>IF($J2289="","",IF($J2289&lt;=1500,IF(N(INDEX('Daily Sale entry '!$AB$1:$AB$1501,$J2289+1))=0,"",INDEX('Daily Sale entry '!$AB$1:$AB$1501,$J2289+1)),1))</f>
        <v/>
      </c>
      <c r="F2289" s="6">
        <f>IF($J2289="","",IF($J2289&lt;=1500,N(INDEX('Daily Sale entry '!$AC$1:$AC$1501,$J2289+1))-IF(AND('Opening Balance'!$B$15=1,INDEX('Daily Sale entry '!$Z$1:$Z$1501,$J2289+1)="Online collection 网上收款",INDEX('Daily Sale entry '!$AA$1:$AA$1501,$J2289+1)&lt;&gt;""),N(INDEX('Daily Sale entry '!$AC$1:$AC$1501,$J2289+1))-TRUNC(N(INDEX('Daily Sale entry '!$AC$1:$AC$1501,$J2289+1))),0),N(INDEX('Daily Sale entry '!$S$1:$S$1501,$J2289-1499))-'Opening Balance'!$B$15*(N(INDEX('Daily Sale entry '!$S$1:$S$1501,$J2289-1499))-TRUNC(N(INDEX('Daily Sale entry '!$S$1:$S$1501,$J2289-1499))))))</f>
        <v/>
      </c>
      <c r="G2289" s="6">
        <f>IF($J2289="","",IF($J2289&lt;=1500,N(INDEX('Daily Sale entry '!$AD$1:$AD$1501,$J2289+1)),0))</f>
        <v/>
      </c>
      <c r="H2289" s="6">
        <f>IF($J2289="","",ROUND('Opening Balance'!$B$4+SUM($F$2:F2289)-SUM($G$2:G2289),2))</f>
        <v/>
      </c>
      <c r="J2289" s="21">
        <f>IFERROR(MATCH(ROW()-1,$L$2:$L$3001,0),"")</f>
        <v/>
      </c>
      <c r="K2289" s="34">
        <f>IF(AND('Daily Sale entry '!Q789="Collection 收款",'Daily Sale entry '!R789="Cheque 支票",'Daily Sale entry '!V789&lt;&gt;""),'Daily Sale entry '!V789+ROW()/10000000,"")</f>
        <v/>
      </c>
      <c r="L2289" s="21">
        <f>IF(K2289="","",COUNTIF($K$2:$K$3001,"&lt;"&amp;K2289)+1)</f>
        <v/>
      </c>
    </row>
    <row r="2290">
      <c r="A2290" s="5">
        <f>IF($J2290="","",IF($J2290&lt;=1500,INDEX('Daily Sale entry '!$X$1:$X$1501,$J2290+1),INDEX('Daily Sale entry '!$V$1:$V$1501,$J2290-1499)))</f>
        <v/>
      </c>
      <c r="B2290">
        <f>IF($J2290="","",IF($J2290&lt;=1500,INDEX('Daily Sale entry '!$Y$1:$Y$1501,$J2290+1)&amp;"","Buyer cheque banked 买家支票存入"&amp;IF(INDEX('Daily Sale entry '!$U$1:$U$1501,$J2290-1499)="","", " - "&amp;INDEX('Daily Sale entry '!$U$1:$U$1501,$J2290-1499))))</f>
        <v/>
      </c>
      <c r="C2290">
        <f>IF($J2290="","",IF($J2290&lt;=1500,INDEX('Daily Sale entry '!$Z$1:$Z$1501,$J2290+1)&amp;"","Cheque deposit 支票存入 (buyer 买家)"))</f>
        <v/>
      </c>
      <c r="D2290">
        <f>IF($J2290="","",IF($J2290&lt;=1500,INDEX('Daily Sale entry '!$AA$1:$AA$1501,$J2290+1)&amp;"",INDEX('Daily Sale entry '!$P$1:$P$1501,$J2290-1499)&amp;""))</f>
        <v/>
      </c>
      <c r="E2290">
        <f>IF($J2290="","",IF($J2290&lt;=1500,IF(N(INDEX('Daily Sale entry '!$AB$1:$AB$1501,$J2290+1))=0,"",INDEX('Daily Sale entry '!$AB$1:$AB$1501,$J2290+1)),1))</f>
        <v/>
      </c>
      <c r="F2290" s="6">
        <f>IF($J2290="","",IF($J2290&lt;=1500,N(INDEX('Daily Sale entry '!$AC$1:$AC$1501,$J2290+1))-IF(AND('Opening Balance'!$B$15=1,INDEX('Daily Sale entry '!$Z$1:$Z$1501,$J2290+1)="Online collection 网上收款",INDEX('Daily Sale entry '!$AA$1:$AA$1501,$J2290+1)&lt;&gt;""),N(INDEX('Daily Sale entry '!$AC$1:$AC$1501,$J2290+1))-TRUNC(N(INDEX('Daily Sale entry '!$AC$1:$AC$1501,$J2290+1))),0),N(INDEX('Daily Sale entry '!$S$1:$S$1501,$J2290-1499))-'Opening Balance'!$B$15*(N(INDEX('Daily Sale entry '!$S$1:$S$1501,$J2290-1499))-TRUNC(N(INDEX('Daily Sale entry '!$S$1:$S$1501,$J2290-1499))))))</f>
        <v/>
      </c>
      <c r="G2290" s="6">
        <f>IF($J2290="","",IF($J2290&lt;=1500,N(INDEX('Daily Sale entry '!$AD$1:$AD$1501,$J2290+1)),0))</f>
        <v/>
      </c>
      <c r="H2290" s="6">
        <f>IF($J2290="","",ROUND('Opening Balance'!$B$4+SUM($F$2:F2290)-SUM($G$2:G2290),2))</f>
        <v/>
      </c>
      <c r="J2290" s="21">
        <f>IFERROR(MATCH(ROW()-1,$L$2:$L$3001,0),"")</f>
        <v/>
      </c>
      <c r="K2290" s="34">
        <f>IF(AND('Daily Sale entry '!Q790="Collection 收款",'Daily Sale entry '!R790="Cheque 支票",'Daily Sale entry '!V790&lt;&gt;""),'Daily Sale entry '!V790+ROW()/10000000,"")</f>
        <v/>
      </c>
      <c r="L2290" s="21">
        <f>IF(K2290="","",COUNTIF($K$2:$K$3001,"&lt;"&amp;K2290)+1)</f>
        <v/>
      </c>
    </row>
    <row r="2291">
      <c r="A2291" s="5">
        <f>IF($J2291="","",IF($J2291&lt;=1500,INDEX('Daily Sale entry '!$X$1:$X$1501,$J2291+1),INDEX('Daily Sale entry '!$V$1:$V$1501,$J2291-1499)))</f>
        <v/>
      </c>
      <c r="B2291">
        <f>IF($J2291="","",IF($J2291&lt;=1500,INDEX('Daily Sale entry '!$Y$1:$Y$1501,$J2291+1)&amp;"","Buyer cheque banked 买家支票存入"&amp;IF(INDEX('Daily Sale entry '!$U$1:$U$1501,$J2291-1499)="","", " - "&amp;INDEX('Daily Sale entry '!$U$1:$U$1501,$J2291-1499))))</f>
        <v/>
      </c>
      <c r="C2291">
        <f>IF($J2291="","",IF($J2291&lt;=1500,INDEX('Daily Sale entry '!$Z$1:$Z$1501,$J2291+1)&amp;"","Cheque deposit 支票存入 (buyer 买家)"))</f>
        <v/>
      </c>
      <c r="D2291">
        <f>IF($J2291="","",IF($J2291&lt;=1500,INDEX('Daily Sale entry '!$AA$1:$AA$1501,$J2291+1)&amp;"",INDEX('Daily Sale entry '!$P$1:$P$1501,$J2291-1499)&amp;""))</f>
        <v/>
      </c>
      <c r="E2291">
        <f>IF($J2291="","",IF($J2291&lt;=1500,IF(N(INDEX('Daily Sale entry '!$AB$1:$AB$1501,$J2291+1))=0,"",INDEX('Daily Sale entry '!$AB$1:$AB$1501,$J2291+1)),1))</f>
        <v/>
      </c>
      <c r="F2291" s="6">
        <f>IF($J2291="","",IF($J2291&lt;=1500,N(INDEX('Daily Sale entry '!$AC$1:$AC$1501,$J2291+1))-IF(AND('Opening Balance'!$B$15=1,INDEX('Daily Sale entry '!$Z$1:$Z$1501,$J2291+1)="Online collection 网上收款",INDEX('Daily Sale entry '!$AA$1:$AA$1501,$J2291+1)&lt;&gt;""),N(INDEX('Daily Sale entry '!$AC$1:$AC$1501,$J2291+1))-TRUNC(N(INDEX('Daily Sale entry '!$AC$1:$AC$1501,$J2291+1))),0),N(INDEX('Daily Sale entry '!$S$1:$S$1501,$J2291-1499))-'Opening Balance'!$B$15*(N(INDEX('Daily Sale entry '!$S$1:$S$1501,$J2291-1499))-TRUNC(N(INDEX('Daily Sale entry '!$S$1:$S$1501,$J2291-1499))))))</f>
        <v/>
      </c>
      <c r="G2291" s="6">
        <f>IF($J2291="","",IF($J2291&lt;=1500,N(INDEX('Daily Sale entry '!$AD$1:$AD$1501,$J2291+1)),0))</f>
        <v/>
      </c>
      <c r="H2291" s="6">
        <f>IF($J2291="","",ROUND('Opening Balance'!$B$4+SUM($F$2:F2291)-SUM($G$2:G2291),2))</f>
        <v/>
      </c>
      <c r="J2291" s="21">
        <f>IFERROR(MATCH(ROW()-1,$L$2:$L$3001,0),"")</f>
        <v/>
      </c>
      <c r="K2291" s="34">
        <f>IF(AND('Daily Sale entry '!Q791="Collection 收款",'Daily Sale entry '!R791="Cheque 支票",'Daily Sale entry '!V791&lt;&gt;""),'Daily Sale entry '!V791+ROW()/10000000,"")</f>
        <v/>
      </c>
      <c r="L2291" s="21">
        <f>IF(K2291="","",COUNTIF($K$2:$K$3001,"&lt;"&amp;K2291)+1)</f>
        <v/>
      </c>
    </row>
    <row r="2292">
      <c r="A2292" s="5">
        <f>IF($J2292="","",IF($J2292&lt;=1500,INDEX('Daily Sale entry '!$X$1:$X$1501,$J2292+1),INDEX('Daily Sale entry '!$V$1:$V$1501,$J2292-1499)))</f>
        <v/>
      </c>
      <c r="B2292">
        <f>IF($J2292="","",IF($J2292&lt;=1500,INDEX('Daily Sale entry '!$Y$1:$Y$1501,$J2292+1)&amp;"","Buyer cheque banked 买家支票存入"&amp;IF(INDEX('Daily Sale entry '!$U$1:$U$1501,$J2292-1499)="","", " - "&amp;INDEX('Daily Sale entry '!$U$1:$U$1501,$J2292-1499))))</f>
        <v/>
      </c>
      <c r="C2292">
        <f>IF($J2292="","",IF($J2292&lt;=1500,INDEX('Daily Sale entry '!$Z$1:$Z$1501,$J2292+1)&amp;"","Cheque deposit 支票存入 (buyer 买家)"))</f>
        <v/>
      </c>
      <c r="D2292">
        <f>IF($J2292="","",IF($J2292&lt;=1500,INDEX('Daily Sale entry '!$AA$1:$AA$1501,$J2292+1)&amp;"",INDEX('Daily Sale entry '!$P$1:$P$1501,$J2292-1499)&amp;""))</f>
        <v/>
      </c>
      <c r="E2292">
        <f>IF($J2292="","",IF($J2292&lt;=1500,IF(N(INDEX('Daily Sale entry '!$AB$1:$AB$1501,$J2292+1))=0,"",INDEX('Daily Sale entry '!$AB$1:$AB$1501,$J2292+1)),1))</f>
        <v/>
      </c>
      <c r="F2292" s="6">
        <f>IF($J2292="","",IF($J2292&lt;=1500,N(INDEX('Daily Sale entry '!$AC$1:$AC$1501,$J2292+1))-IF(AND('Opening Balance'!$B$15=1,INDEX('Daily Sale entry '!$Z$1:$Z$1501,$J2292+1)="Online collection 网上收款",INDEX('Daily Sale entry '!$AA$1:$AA$1501,$J2292+1)&lt;&gt;""),N(INDEX('Daily Sale entry '!$AC$1:$AC$1501,$J2292+1))-TRUNC(N(INDEX('Daily Sale entry '!$AC$1:$AC$1501,$J2292+1))),0),N(INDEX('Daily Sale entry '!$S$1:$S$1501,$J2292-1499))-'Opening Balance'!$B$15*(N(INDEX('Daily Sale entry '!$S$1:$S$1501,$J2292-1499))-TRUNC(N(INDEX('Daily Sale entry '!$S$1:$S$1501,$J2292-1499))))))</f>
        <v/>
      </c>
      <c r="G2292" s="6">
        <f>IF($J2292="","",IF($J2292&lt;=1500,N(INDEX('Daily Sale entry '!$AD$1:$AD$1501,$J2292+1)),0))</f>
        <v/>
      </c>
      <c r="H2292" s="6">
        <f>IF($J2292="","",ROUND('Opening Balance'!$B$4+SUM($F$2:F2292)-SUM($G$2:G2292),2))</f>
        <v/>
      </c>
      <c r="J2292" s="21">
        <f>IFERROR(MATCH(ROW()-1,$L$2:$L$3001,0),"")</f>
        <v/>
      </c>
      <c r="K2292" s="34">
        <f>IF(AND('Daily Sale entry '!Q792="Collection 收款",'Daily Sale entry '!R792="Cheque 支票",'Daily Sale entry '!V792&lt;&gt;""),'Daily Sale entry '!V792+ROW()/10000000,"")</f>
        <v/>
      </c>
      <c r="L2292" s="21">
        <f>IF(K2292="","",COUNTIF($K$2:$K$3001,"&lt;"&amp;K2292)+1)</f>
        <v/>
      </c>
    </row>
    <row r="2293">
      <c r="A2293" s="5">
        <f>IF($J2293="","",IF($J2293&lt;=1500,INDEX('Daily Sale entry '!$X$1:$X$1501,$J2293+1),INDEX('Daily Sale entry '!$V$1:$V$1501,$J2293-1499)))</f>
        <v/>
      </c>
      <c r="B2293">
        <f>IF($J2293="","",IF($J2293&lt;=1500,INDEX('Daily Sale entry '!$Y$1:$Y$1501,$J2293+1)&amp;"","Buyer cheque banked 买家支票存入"&amp;IF(INDEX('Daily Sale entry '!$U$1:$U$1501,$J2293-1499)="","", " - "&amp;INDEX('Daily Sale entry '!$U$1:$U$1501,$J2293-1499))))</f>
        <v/>
      </c>
      <c r="C2293">
        <f>IF($J2293="","",IF($J2293&lt;=1500,INDEX('Daily Sale entry '!$Z$1:$Z$1501,$J2293+1)&amp;"","Cheque deposit 支票存入 (buyer 买家)"))</f>
        <v/>
      </c>
      <c r="D2293">
        <f>IF($J2293="","",IF($J2293&lt;=1500,INDEX('Daily Sale entry '!$AA$1:$AA$1501,$J2293+1)&amp;"",INDEX('Daily Sale entry '!$P$1:$P$1501,$J2293-1499)&amp;""))</f>
        <v/>
      </c>
      <c r="E2293">
        <f>IF($J2293="","",IF($J2293&lt;=1500,IF(N(INDEX('Daily Sale entry '!$AB$1:$AB$1501,$J2293+1))=0,"",INDEX('Daily Sale entry '!$AB$1:$AB$1501,$J2293+1)),1))</f>
        <v/>
      </c>
      <c r="F2293" s="6">
        <f>IF($J2293="","",IF($J2293&lt;=1500,N(INDEX('Daily Sale entry '!$AC$1:$AC$1501,$J2293+1))-IF(AND('Opening Balance'!$B$15=1,INDEX('Daily Sale entry '!$Z$1:$Z$1501,$J2293+1)="Online collection 网上收款",INDEX('Daily Sale entry '!$AA$1:$AA$1501,$J2293+1)&lt;&gt;""),N(INDEX('Daily Sale entry '!$AC$1:$AC$1501,$J2293+1))-TRUNC(N(INDEX('Daily Sale entry '!$AC$1:$AC$1501,$J2293+1))),0),N(INDEX('Daily Sale entry '!$S$1:$S$1501,$J2293-1499))-'Opening Balance'!$B$15*(N(INDEX('Daily Sale entry '!$S$1:$S$1501,$J2293-1499))-TRUNC(N(INDEX('Daily Sale entry '!$S$1:$S$1501,$J2293-1499))))))</f>
        <v/>
      </c>
      <c r="G2293" s="6">
        <f>IF($J2293="","",IF($J2293&lt;=1500,N(INDEX('Daily Sale entry '!$AD$1:$AD$1501,$J2293+1)),0))</f>
        <v/>
      </c>
      <c r="H2293" s="6">
        <f>IF($J2293="","",ROUND('Opening Balance'!$B$4+SUM($F$2:F2293)-SUM($G$2:G2293),2))</f>
        <v/>
      </c>
      <c r="J2293" s="21">
        <f>IFERROR(MATCH(ROW()-1,$L$2:$L$3001,0),"")</f>
        <v/>
      </c>
      <c r="K2293" s="34">
        <f>IF(AND('Daily Sale entry '!Q793="Collection 收款",'Daily Sale entry '!R793="Cheque 支票",'Daily Sale entry '!V793&lt;&gt;""),'Daily Sale entry '!V793+ROW()/10000000,"")</f>
        <v/>
      </c>
      <c r="L2293" s="21">
        <f>IF(K2293="","",COUNTIF($K$2:$K$3001,"&lt;"&amp;K2293)+1)</f>
        <v/>
      </c>
    </row>
    <row r="2294">
      <c r="A2294" s="5">
        <f>IF($J2294="","",IF($J2294&lt;=1500,INDEX('Daily Sale entry '!$X$1:$X$1501,$J2294+1),INDEX('Daily Sale entry '!$V$1:$V$1501,$J2294-1499)))</f>
        <v/>
      </c>
      <c r="B2294">
        <f>IF($J2294="","",IF($J2294&lt;=1500,INDEX('Daily Sale entry '!$Y$1:$Y$1501,$J2294+1)&amp;"","Buyer cheque banked 买家支票存入"&amp;IF(INDEX('Daily Sale entry '!$U$1:$U$1501,$J2294-1499)="","", " - "&amp;INDEX('Daily Sale entry '!$U$1:$U$1501,$J2294-1499))))</f>
        <v/>
      </c>
      <c r="C2294">
        <f>IF($J2294="","",IF($J2294&lt;=1500,INDEX('Daily Sale entry '!$Z$1:$Z$1501,$J2294+1)&amp;"","Cheque deposit 支票存入 (buyer 买家)"))</f>
        <v/>
      </c>
      <c r="D2294">
        <f>IF($J2294="","",IF($J2294&lt;=1500,INDEX('Daily Sale entry '!$AA$1:$AA$1501,$J2294+1)&amp;"",INDEX('Daily Sale entry '!$P$1:$P$1501,$J2294-1499)&amp;""))</f>
        <v/>
      </c>
      <c r="E2294">
        <f>IF($J2294="","",IF($J2294&lt;=1500,IF(N(INDEX('Daily Sale entry '!$AB$1:$AB$1501,$J2294+1))=0,"",INDEX('Daily Sale entry '!$AB$1:$AB$1501,$J2294+1)),1))</f>
        <v/>
      </c>
      <c r="F2294" s="6">
        <f>IF($J2294="","",IF($J2294&lt;=1500,N(INDEX('Daily Sale entry '!$AC$1:$AC$1501,$J2294+1))-IF(AND('Opening Balance'!$B$15=1,INDEX('Daily Sale entry '!$Z$1:$Z$1501,$J2294+1)="Online collection 网上收款",INDEX('Daily Sale entry '!$AA$1:$AA$1501,$J2294+1)&lt;&gt;""),N(INDEX('Daily Sale entry '!$AC$1:$AC$1501,$J2294+1))-TRUNC(N(INDEX('Daily Sale entry '!$AC$1:$AC$1501,$J2294+1))),0),N(INDEX('Daily Sale entry '!$S$1:$S$1501,$J2294-1499))-'Opening Balance'!$B$15*(N(INDEX('Daily Sale entry '!$S$1:$S$1501,$J2294-1499))-TRUNC(N(INDEX('Daily Sale entry '!$S$1:$S$1501,$J2294-1499))))))</f>
        <v/>
      </c>
      <c r="G2294" s="6">
        <f>IF($J2294="","",IF($J2294&lt;=1500,N(INDEX('Daily Sale entry '!$AD$1:$AD$1501,$J2294+1)),0))</f>
        <v/>
      </c>
      <c r="H2294" s="6">
        <f>IF($J2294="","",ROUND('Opening Balance'!$B$4+SUM($F$2:F2294)-SUM($G$2:G2294),2))</f>
        <v/>
      </c>
      <c r="J2294" s="21">
        <f>IFERROR(MATCH(ROW()-1,$L$2:$L$3001,0),"")</f>
        <v/>
      </c>
      <c r="K2294" s="34">
        <f>IF(AND('Daily Sale entry '!Q794="Collection 收款",'Daily Sale entry '!R794="Cheque 支票",'Daily Sale entry '!V794&lt;&gt;""),'Daily Sale entry '!V794+ROW()/10000000,"")</f>
        <v/>
      </c>
      <c r="L2294" s="21">
        <f>IF(K2294="","",COUNTIF($K$2:$K$3001,"&lt;"&amp;K2294)+1)</f>
        <v/>
      </c>
    </row>
    <row r="2295">
      <c r="A2295" s="5">
        <f>IF($J2295="","",IF($J2295&lt;=1500,INDEX('Daily Sale entry '!$X$1:$X$1501,$J2295+1),INDEX('Daily Sale entry '!$V$1:$V$1501,$J2295-1499)))</f>
        <v/>
      </c>
      <c r="B2295">
        <f>IF($J2295="","",IF($J2295&lt;=1500,INDEX('Daily Sale entry '!$Y$1:$Y$1501,$J2295+1)&amp;"","Buyer cheque banked 买家支票存入"&amp;IF(INDEX('Daily Sale entry '!$U$1:$U$1501,$J2295-1499)="","", " - "&amp;INDEX('Daily Sale entry '!$U$1:$U$1501,$J2295-1499))))</f>
        <v/>
      </c>
      <c r="C2295">
        <f>IF($J2295="","",IF($J2295&lt;=1500,INDEX('Daily Sale entry '!$Z$1:$Z$1501,$J2295+1)&amp;"","Cheque deposit 支票存入 (buyer 买家)"))</f>
        <v/>
      </c>
      <c r="D2295">
        <f>IF($J2295="","",IF($J2295&lt;=1500,INDEX('Daily Sale entry '!$AA$1:$AA$1501,$J2295+1)&amp;"",INDEX('Daily Sale entry '!$P$1:$P$1501,$J2295-1499)&amp;""))</f>
        <v/>
      </c>
      <c r="E2295">
        <f>IF($J2295="","",IF($J2295&lt;=1500,IF(N(INDEX('Daily Sale entry '!$AB$1:$AB$1501,$J2295+1))=0,"",INDEX('Daily Sale entry '!$AB$1:$AB$1501,$J2295+1)),1))</f>
        <v/>
      </c>
      <c r="F2295" s="6">
        <f>IF($J2295="","",IF($J2295&lt;=1500,N(INDEX('Daily Sale entry '!$AC$1:$AC$1501,$J2295+1))-IF(AND('Opening Balance'!$B$15=1,INDEX('Daily Sale entry '!$Z$1:$Z$1501,$J2295+1)="Online collection 网上收款",INDEX('Daily Sale entry '!$AA$1:$AA$1501,$J2295+1)&lt;&gt;""),N(INDEX('Daily Sale entry '!$AC$1:$AC$1501,$J2295+1))-TRUNC(N(INDEX('Daily Sale entry '!$AC$1:$AC$1501,$J2295+1))),0),N(INDEX('Daily Sale entry '!$S$1:$S$1501,$J2295-1499))-'Opening Balance'!$B$15*(N(INDEX('Daily Sale entry '!$S$1:$S$1501,$J2295-1499))-TRUNC(N(INDEX('Daily Sale entry '!$S$1:$S$1501,$J2295-1499))))))</f>
        <v/>
      </c>
      <c r="G2295" s="6">
        <f>IF($J2295="","",IF($J2295&lt;=1500,N(INDEX('Daily Sale entry '!$AD$1:$AD$1501,$J2295+1)),0))</f>
        <v/>
      </c>
      <c r="H2295" s="6">
        <f>IF($J2295="","",ROUND('Opening Balance'!$B$4+SUM($F$2:F2295)-SUM($G$2:G2295),2))</f>
        <v/>
      </c>
      <c r="J2295" s="21">
        <f>IFERROR(MATCH(ROW()-1,$L$2:$L$3001,0),"")</f>
        <v/>
      </c>
      <c r="K2295" s="34">
        <f>IF(AND('Daily Sale entry '!Q795="Collection 收款",'Daily Sale entry '!R795="Cheque 支票",'Daily Sale entry '!V795&lt;&gt;""),'Daily Sale entry '!V795+ROW()/10000000,"")</f>
        <v/>
      </c>
      <c r="L2295" s="21">
        <f>IF(K2295="","",COUNTIF($K$2:$K$3001,"&lt;"&amp;K2295)+1)</f>
        <v/>
      </c>
    </row>
    <row r="2296">
      <c r="A2296" s="5">
        <f>IF($J2296="","",IF($J2296&lt;=1500,INDEX('Daily Sale entry '!$X$1:$X$1501,$J2296+1),INDEX('Daily Sale entry '!$V$1:$V$1501,$J2296-1499)))</f>
        <v/>
      </c>
      <c r="B2296">
        <f>IF($J2296="","",IF($J2296&lt;=1500,INDEX('Daily Sale entry '!$Y$1:$Y$1501,$J2296+1)&amp;"","Buyer cheque banked 买家支票存入"&amp;IF(INDEX('Daily Sale entry '!$U$1:$U$1501,$J2296-1499)="","", " - "&amp;INDEX('Daily Sale entry '!$U$1:$U$1501,$J2296-1499))))</f>
        <v/>
      </c>
      <c r="C2296">
        <f>IF($J2296="","",IF($J2296&lt;=1500,INDEX('Daily Sale entry '!$Z$1:$Z$1501,$J2296+1)&amp;"","Cheque deposit 支票存入 (buyer 买家)"))</f>
        <v/>
      </c>
      <c r="D2296">
        <f>IF($J2296="","",IF($J2296&lt;=1500,INDEX('Daily Sale entry '!$AA$1:$AA$1501,$J2296+1)&amp;"",INDEX('Daily Sale entry '!$P$1:$P$1501,$J2296-1499)&amp;""))</f>
        <v/>
      </c>
      <c r="E2296">
        <f>IF($J2296="","",IF($J2296&lt;=1500,IF(N(INDEX('Daily Sale entry '!$AB$1:$AB$1501,$J2296+1))=0,"",INDEX('Daily Sale entry '!$AB$1:$AB$1501,$J2296+1)),1))</f>
        <v/>
      </c>
      <c r="F2296" s="6">
        <f>IF($J2296="","",IF($J2296&lt;=1500,N(INDEX('Daily Sale entry '!$AC$1:$AC$1501,$J2296+1))-IF(AND('Opening Balance'!$B$15=1,INDEX('Daily Sale entry '!$Z$1:$Z$1501,$J2296+1)="Online collection 网上收款",INDEX('Daily Sale entry '!$AA$1:$AA$1501,$J2296+1)&lt;&gt;""),N(INDEX('Daily Sale entry '!$AC$1:$AC$1501,$J2296+1))-TRUNC(N(INDEX('Daily Sale entry '!$AC$1:$AC$1501,$J2296+1))),0),N(INDEX('Daily Sale entry '!$S$1:$S$1501,$J2296-1499))-'Opening Balance'!$B$15*(N(INDEX('Daily Sale entry '!$S$1:$S$1501,$J2296-1499))-TRUNC(N(INDEX('Daily Sale entry '!$S$1:$S$1501,$J2296-1499))))))</f>
        <v/>
      </c>
      <c r="G2296" s="6">
        <f>IF($J2296="","",IF($J2296&lt;=1500,N(INDEX('Daily Sale entry '!$AD$1:$AD$1501,$J2296+1)),0))</f>
        <v/>
      </c>
      <c r="H2296" s="6">
        <f>IF($J2296="","",ROUND('Opening Balance'!$B$4+SUM($F$2:F2296)-SUM($G$2:G2296),2))</f>
        <v/>
      </c>
      <c r="J2296" s="21">
        <f>IFERROR(MATCH(ROW()-1,$L$2:$L$3001,0),"")</f>
        <v/>
      </c>
      <c r="K2296" s="34">
        <f>IF(AND('Daily Sale entry '!Q796="Collection 收款",'Daily Sale entry '!R796="Cheque 支票",'Daily Sale entry '!V796&lt;&gt;""),'Daily Sale entry '!V796+ROW()/10000000,"")</f>
        <v/>
      </c>
      <c r="L2296" s="21">
        <f>IF(K2296="","",COUNTIF($K$2:$K$3001,"&lt;"&amp;K2296)+1)</f>
        <v/>
      </c>
    </row>
    <row r="2297">
      <c r="A2297" s="5">
        <f>IF($J2297="","",IF($J2297&lt;=1500,INDEX('Daily Sale entry '!$X$1:$X$1501,$J2297+1),INDEX('Daily Sale entry '!$V$1:$V$1501,$J2297-1499)))</f>
        <v/>
      </c>
      <c r="B2297">
        <f>IF($J2297="","",IF($J2297&lt;=1500,INDEX('Daily Sale entry '!$Y$1:$Y$1501,$J2297+1)&amp;"","Buyer cheque banked 买家支票存入"&amp;IF(INDEX('Daily Sale entry '!$U$1:$U$1501,$J2297-1499)="","", " - "&amp;INDEX('Daily Sale entry '!$U$1:$U$1501,$J2297-1499))))</f>
        <v/>
      </c>
      <c r="C2297">
        <f>IF($J2297="","",IF($J2297&lt;=1500,INDEX('Daily Sale entry '!$Z$1:$Z$1501,$J2297+1)&amp;"","Cheque deposit 支票存入 (buyer 买家)"))</f>
        <v/>
      </c>
      <c r="D2297">
        <f>IF($J2297="","",IF($J2297&lt;=1500,INDEX('Daily Sale entry '!$AA$1:$AA$1501,$J2297+1)&amp;"",INDEX('Daily Sale entry '!$P$1:$P$1501,$J2297-1499)&amp;""))</f>
        <v/>
      </c>
      <c r="E2297">
        <f>IF($J2297="","",IF($J2297&lt;=1500,IF(N(INDEX('Daily Sale entry '!$AB$1:$AB$1501,$J2297+1))=0,"",INDEX('Daily Sale entry '!$AB$1:$AB$1501,$J2297+1)),1))</f>
        <v/>
      </c>
      <c r="F2297" s="6">
        <f>IF($J2297="","",IF($J2297&lt;=1500,N(INDEX('Daily Sale entry '!$AC$1:$AC$1501,$J2297+1))-IF(AND('Opening Balance'!$B$15=1,INDEX('Daily Sale entry '!$Z$1:$Z$1501,$J2297+1)="Online collection 网上收款",INDEX('Daily Sale entry '!$AA$1:$AA$1501,$J2297+1)&lt;&gt;""),N(INDEX('Daily Sale entry '!$AC$1:$AC$1501,$J2297+1))-TRUNC(N(INDEX('Daily Sale entry '!$AC$1:$AC$1501,$J2297+1))),0),N(INDEX('Daily Sale entry '!$S$1:$S$1501,$J2297-1499))-'Opening Balance'!$B$15*(N(INDEX('Daily Sale entry '!$S$1:$S$1501,$J2297-1499))-TRUNC(N(INDEX('Daily Sale entry '!$S$1:$S$1501,$J2297-1499))))))</f>
        <v/>
      </c>
      <c r="G2297" s="6">
        <f>IF($J2297="","",IF($J2297&lt;=1500,N(INDEX('Daily Sale entry '!$AD$1:$AD$1501,$J2297+1)),0))</f>
        <v/>
      </c>
      <c r="H2297" s="6">
        <f>IF($J2297="","",ROUND('Opening Balance'!$B$4+SUM($F$2:F2297)-SUM($G$2:G2297),2))</f>
        <v/>
      </c>
      <c r="J2297" s="21">
        <f>IFERROR(MATCH(ROW()-1,$L$2:$L$3001,0),"")</f>
        <v/>
      </c>
      <c r="K2297" s="34">
        <f>IF(AND('Daily Sale entry '!Q797="Collection 收款",'Daily Sale entry '!R797="Cheque 支票",'Daily Sale entry '!V797&lt;&gt;""),'Daily Sale entry '!V797+ROW()/10000000,"")</f>
        <v/>
      </c>
      <c r="L2297" s="21">
        <f>IF(K2297="","",COUNTIF($K$2:$K$3001,"&lt;"&amp;K2297)+1)</f>
        <v/>
      </c>
    </row>
    <row r="2298">
      <c r="A2298" s="5">
        <f>IF($J2298="","",IF($J2298&lt;=1500,INDEX('Daily Sale entry '!$X$1:$X$1501,$J2298+1),INDEX('Daily Sale entry '!$V$1:$V$1501,$J2298-1499)))</f>
        <v/>
      </c>
      <c r="B2298">
        <f>IF($J2298="","",IF($J2298&lt;=1500,INDEX('Daily Sale entry '!$Y$1:$Y$1501,$J2298+1)&amp;"","Buyer cheque banked 买家支票存入"&amp;IF(INDEX('Daily Sale entry '!$U$1:$U$1501,$J2298-1499)="","", " - "&amp;INDEX('Daily Sale entry '!$U$1:$U$1501,$J2298-1499))))</f>
        <v/>
      </c>
      <c r="C2298">
        <f>IF($J2298="","",IF($J2298&lt;=1500,INDEX('Daily Sale entry '!$Z$1:$Z$1501,$J2298+1)&amp;"","Cheque deposit 支票存入 (buyer 买家)"))</f>
        <v/>
      </c>
      <c r="D2298">
        <f>IF($J2298="","",IF($J2298&lt;=1500,INDEX('Daily Sale entry '!$AA$1:$AA$1501,$J2298+1)&amp;"",INDEX('Daily Sale entry '!$P$1:$P$1501,$J2298-1499)&amp;""))</f>
        <v/>
      </c>
      <c r="E2298">
        <f>IF($J2298="","",IF($J2298&lt;=1500,IF(N(INDEX('Daily Sale entry '!$AB$1:$AB$1501,$J2298+1))=0,"",INDEX('Daily Sale entry '!$AB$1:$AB$1501,$J2298+1)),1))</f>
        <v/>
      </c>
      <c r="F2298" s="6">
        <f>IF($J2298="","",IF($J2298&lt;=1500,N(INDEX('Daily Sale entry '!$AC$1:$AC$1501,$J2298+1))-IF(AND('Opening Balance'!$B$15=1,INDEX('Daily Sale entry '!$Z$1:$Z$1501,$J2298+1)="Online collection 网上收款",INDEX('Daily Sale entry '!$AA$1:$AA$1501,$J2298+1)&lt;&gt;""),N(INDEX('Daily Sale entry '!$AC$1:$AC$1501,$J2298+1))-TRUNC(N(INDEX('Daily Sale entry '!$AC$1:$AC$1501,$J2298+1))),0),N(INDEX('Daily Sale entry '!$S$1:$S$1501,$J2298-1499))-'Opening Balance'!$B$15*(N(INDEX('Daily Sale entry '!$S$1:$S$1501,$J2298-1499))-TRUNC(N(INDEX('Daily Sale entry '!$S$1:$S$1501,$J2298-1499))))))</f>
        <v/>
      </c>
      <c r="G2298" s="6">
        <f>IF($J2298="","",IF($J2298&lt;=1500,N(INDEX('Daily Sale entry '!$AD$1:$AD$1501,$J2298+1)),0))</f>
        <v/>
      </c>
      <c r="H2298" s="6">
        <f>IF($J2298="","",ROUND('Opening Balance'!$B$4+SUM($F$2:F2298)-SUM($G$2:G2298),2))</f>
        <v/>
      </c>
      <c r="J2298" s="21">
        <f>IFERROR(MATCH(ROW()-1,$L$2:$L$3001,0),"")</f>
        <v/>
      </c>
      <c r="K2298" s="34">
        <f>IF(AND('Daily Sale entry '!Q798="Collection 收款",'Daily Sale entry '!R798="Cheque 支票",'Daily Sale entry '!V798&lt;&gt;""),'Daily Sale entry '!V798+ROW()/10000000,"")</f>
        <v/>
      </c>
      <c r="L2298" s="21">
        <f>IF(K2298="","",COUNTIF($K$2:$K$3001,"&lt;"&amp;K2298)+1)</f>
        <v/>
      </c>
    </row>
    <row r="2299">
      <c r="A2299" s="5">
        <f>IF($J2299="","",IF($J2299&lt;=1500,INDEX('Daily Sale entry '!$X$1:$X$1501,$J2299+1),INDEX('Daily Sale entry '!$V$1:$V$1501,$J2299-1499)))</f>
        <v/>
      </c>
      <c r="B2299">
        <f>IF($J2299="","",IF($J2299&lt;=1500,INDEX('Daily Sale entry '!$Y$1:$Y$1501,$J2299+1)&amp;"","Buyer cheque banked 买家支票存入"&amp;IF(INDEX('Daily Sale entry '!$U$1:$U$1501,$J2299-1499)="","", " - "&amp;INDEX('Daily Sale entry '!$U$1:$U$1501,$J2299-1499))))</f>
        <v/>
      </c>
      <c r="C2299">
        <f>IF($J2299="","",IF($J2299&lt;=1500,INDEX('Daily Sale entry '!$Z$1:$Z$1501,$J2299+1)&amp;"","Cheque deposit 支票存入 (buyer 买家)"))</f>
        <v/>
      </c>
      <c r="D2299">
        <f>IF($J2299="","",IF($J2299&lt;=1500,INDEX('Daily Sale entry '!$AA$1:$AA$1501,$J2299+1)&amp;"",INDEX('Daily Sale entry '!$P$1:$P$1501,$J2299-1499)&amp;""))</f>
        <v/>
      </c>
      <c r="E2299">
        <f>IF($J2299="","",IF($J2299&lt;=1500,IF(N(INDEX('Daily Sale entry '!$AB$1:$AB$1501,$J2299+1))=0,"",INDEX('Daily Sale entry '!$AB$1:$AB$1501,$J2299+1)),1))</f>
        <v/>
      </c>
      <c r="F2299" s="6">
        <f>IF($J2299="","",IF($J2299&lt;=1500,N(INDEX('Daily Sale entry '!$AC$1:$AC$1501,$J2299+1))-IF(AND('Opening Balance'!$B$15=1,INDEX('Daily Sale entry '!$Z$1:$Z$1501,$J2299+1)="Online collection 网上收款",INDEX('Daily Sale entry '!$AA$1:$AA$1501,$J2299+1)&lt;&gt;""),N(INDEX('Daily Sale entry '!$AC$1:$AC$1501,$J2299+1))-TRUNC(N(INDEX('Daily Sale entry '!$AC$1:$AC$1501,$J2299+1))),0),N(INDEX('Daily Sale entry '!$S$1:$S$1501,$J2299-1499))-'Opening Balance'!$B$15*(N(INDEX('Daily Sale entry '!$S$1:$S$1501,$J2299-1499))-TRUNC(N(INDEX('Daily Sale entry '!$S$1:$S$1501,$J2299-1499))))))</f>
        <v/>
      </c>
      <c r="G2299" s="6">
        <f>IF($J2299="","",IF($J2299&lt;=1500,N(INDEX('Daily Sale entry '!$AD$1:$AD$1501,$J2299+1)),0))</f>
        <v/>
      </c>
      <c r="H2299" s="6">
        <f>IF($J2299="","",ROUND('Opening Balance'!$B$4+SUM($F$2:F2299)-SUM($G$2:G2299),2))</f>
        <v/>
      </c>
      <c r="J2299" s="21">
        <f>IFERROR(MATCH(ROW()-1,$L$2:$L$3001,0),"")</f>
        <v/>
      </c>
      <c r="K2299" s="34">
        <f>IF(AND('Daily Sale entry '!Q799="Collection 收款",'Daily Sale entry '!R799="Cheque 支票",'Daily Sale entry '!V799&lt;&gt;""),'Daily Sale entry '!V799+ROW()/10000000,"")</f>
        <v/>
      </c>
      <c r="L2299" s="21">
        <f>IF(K2299="","",COUNTIF($K$2:$K$3001,"&lt;"&amp;K2299)+1)</f>
        <v/>
      </c>
    </row>
    <row r="2300">
      <c r="A2300" s="5">
        <f>IF($J2300="","",IF($J2300&lt;=1500,INDEX('Daily Sale entry '!$X$1:$X$1501,$J2300+1),INDEX('Daily Sale entry '!$V$1:$V$1501,$J2300-1499)))</f>
        <v/>
      </c>
      <c r="B2300">
        <f>IF($J2300="","",IF($J2300&lt;=1500,INDEX('Daily Sale entry '!$Y$1:$Y$1501,$J2300+1)&amp;"","Buyer cheque banked 买家支票存入"&amp;IF(INDEX('Daily Sale entry '!$U$1:$U$1501,$J2300-1499)="","", " - "&amp;INDEX('Daily Sale entry '!$U$1:$U$1501,$J2300-1499))))</f>
        <v/>
      </c>
      <c r="C2300">
        <f>IF($J2300="","",IF($J2300&lt;=1500,INDEX('Daily Sale entry '!$Z$1:$Z$1501,$J2300+1)&amp;"","Cheque deposit 支票存入 (buyer 买家)"))</f>
        <v/>
      </c>
      <c r="D2300">
        <f>IF($J2300="","",IF($J2300&lt;=1500,INDEX('Daily Sale entry '!$AA$1:$AA$1501,$J2300+1)&amp;"",INDEX('Daily Sale entry '!$P$1:$P$1501,$J2300-1499)&amp;""))</f>
        <v/>
      </c>
      <c r="E2300">
        <f>IF($J2300="","",IF($J2300&lt;=1500,IF(N(INDEX('Daily Sale entry '!$AB$1:$AB$1501,$J2300+1))=0,"",INDEX('Daily Sale entry '!$AB$1:$AB$1501,$J2300+1)),1))</f>
        <v/>
      </c>
      <c r="F2300" s="6">
        <f>IF($J2300="","",IF($J2300&lt;=1500,N(INDEX('Daily Sale entry '!$AC$1:$AC$1501,$J2300+1))-IF(AND('Opening Balance'!$B$15=1,INDEX('Daily Sale entry '!$Z$1:$Z$1501,$J2300+1)="Online collection 网上收款",INDEX('Daily Sale entry '!$AA$1:$AA$1501,$J2300+1)&lt;&gt;""),N(INDEX('Daily Sale entry '!$AC$1:$AC$1501,$J2300+1))-TRUNC(N(INDEX('Daily Sale entry '!$AC$1:$AC$1501,$J2300+1))),0),N(INDEX('Daily Sale entry '!$S$1:$S$1501,$J2300-1499))-'Opening Balance'!$B$15*(N(INDEX('Daily Sale entry '!$S$1:$S$1501,$J2300-1499))-TRUNC(N(INDEX('Daily Sale entry '!$S$1:$S$1501,$J2300-1499))))))</f>
        <v/>
      </c>
      <c r="G2300" s="6">
        <f>IF($J2300="","",IF($J2300&lt;=1500,N(INDEX('Daily Sale entry '!$AD$1:$AD$1501,$J2300+1)),0))</f>
        <v/>
      </c>
      <c r="H2300" s="6">
        <f>IF($J2300="","",ROUND('Opening Balance'!$B$4+SUM($F$2:F2300)-SUM($G$2:G2300),2))</f>
        <v/>
      </c>
      <c r="J2300" s="21">
        <f>IFERROR(MATCH(ROW()-1,$L$2:$L$3001,0),"")</f>
        <v/>
      </c>
      <c r="K2300" s="34">
        <f>IF(AND('Daily Sale entry '!Q800="Collection 收款",'Daily Sale entry '!R800="Cheque 支票",'Daily Sale entry '!V800&lt;&gt;""),'Daily Sale entry '!V800+ROW()/10000000,"")</f>
        <v/>
      </c>
      <c r="L2300" s="21">
        <f>IF(K2300="","",COUNTIF($K$2:$K$3001,"&lt;"&amp;K2300)+1)</f>
        <v/>
      </c>
    </row>
    <row r="2301">
      <c r="A2301" s="5">
        <f>IF($J2301="","",IF($J2301&lt;=1500,INDEX('Daily Sale entry '!$X$1:$X$1501,$J2301+1),INDEX('Daily Sale entry '!$V$1:$V$1501,$J2301-1499)))</f>
        <v/>
      </c>
      <c r="B2301">
        <f>IF($J2301="","",IF($J2301&lt;=1500,INDEX('Daily Sale entry '!$Y$1:$Y$1501,$J2301+1)&amp;"","Buyer cheque banked 买家支票存入"&amp;IF(INDEX('Daily Sale entry '!$U$1:$U$1501,$J2301-1499)="","", " - "&amp;INDEX('Daily Sale entry '!$U$1:$U$1501,$J2301-1499))))</f>
        <v/>
      </c>
      <c r="C2301">
        <f>IF($J2301="","",IF($J2301&lt;=1500,INDEX('Daily Sale entry '!$Z$1:$Z$1501,$J2301+1)&amp;"","Cheque deposit 支票存入 (buyer 买家)"))</f>
        <v/>
      </c>
      <c r="D2301">
        <f>IF($J2301="","",IF($J2301&lt;=1500,INDEX('Daily Sale entry '!$AA$1:$AA$1501,$J2301+1)&amp;"",INDEX('Daily Sale entry '!$P$1:$P$1501,$J2301-1499)&amp;""))</f>
        <v/>
      </c>
      <c r="E2301">
        <f>IF($J2301="","",IF($J2301&lt;=1500,IF(N(INDEX('Daily Sale entry '!$AB$1:$AB$1501,$J2301+1))=0,"",INDEX('Daily Sale entry '!$AB$1:$AB$1501,$J2301+1)),1))</f>
        <v/>
      </c>
      <c r="F2301" s="6">
        <f>IF($J2301="","",IF($J2301&lt;=1500,N(INDEX('Daily Sale entry '!$AC$1:$AC$1501,$J2301+1))-IF(AND('Opening Balance'!$B$15=1,INDEX('Daily Sale entry '!$Z$1:$Z$1501,$J2301+1)="Online collection 网上收款",INDEX('Daily Sale entry '!$AA$1:$AA$1501,$J2301+1)&lt;&gt;""),N(INDEX('Daily Sale entry '!$AC$1:$AC$1501,$J2301+1))-TRUNC(N(INDEX('Daily Sale entry '!$AC$1:$AC$1501,$J2301+1))),0),N(INDEX('Daily Sale entry '!$S$1:$S$1501,$J2301-1499))-'Opening Balance'!$B$15*(N(INDEX('Daily Sale entry '!$S$1:$S$1501,$J2301-1499))-TRUNC(N(INDEX('Daily Sale entry '!$S$1:$S$1501,$J2301-1499))))))</f>
        <v/>
      </c>
      <c r="G2301" s="6">
        <f>IF($J2301="","",IF($J2301&lt;=1500,N(INDEX('Daily Sale entry '!$AD$1:$AD$1501,$J2301+1)),0))</f>
        <v/>
      </c>
      <c r="H2301" s="6">
        <f>IF($J2301="","",ROUND('Opening Balance'!$B$4+SUM($F$2:F2301)-SUM($G$2:G2301),2))</f>
        <v/>
      </c>
      <c r="J2301" s="21">
        <f>IFERROR(MATCH(ROW()-1,$L$2:$L$3001,0),"")</f>
        <v/>
      </c>
      <c r="K2301" s="34">
        <f>IF(AND('Daily Sale entry '!Q801="Collection 收款",'Daily Sale entry '!R801="Cheque 支票",'Daily Sale entry '!V801&lt;&gt;""),'Daily Sale entry '!V801+ROW()/10000000,"")</f>
        <v/>
      </c>
      <c r="L2301" s="21">
        <f>IF(K2301="","",COUNTIF($K$2:$K$3001,"&lt;"&amp;K2301)+1)</f>
        <v/>
      </c>
    </row>
    <row r="2302">
      <c r="A2302" s="5">
        <f>IF($J2302="","",IF($J2302&lt;=1500,INDEX('Daily Sale entry '!$X$1:$X$1501,$J2302+1),INDEX('Daily Sale entry '!$V$1:$V$1501,$J2302-1499)))</f>
        <v/>
      </c>
      <c r="B2302">
        <f>IF($J2302="","",IF($J2302&lt;=1500,INDEX('Daily Sale entry '!$Y$1:$Y$1501,$J2302+1)&amp;"","Buyer cheque banked 买家支票存入"&amp;IF(INDEX('Daily Sale entry '!$U$1:$U$1501,$J2302-1499)="","", " - "&amp;INDEX('Daily Sale entry '!$U$1:$U$1501,$J2302-1499))))</f>
        <v/>
      </c>
      <c r="C2302">
        <f>IF($J2302="","",IF($J2302&lt;=1500,INDEX('Daily Sale entry '!$Z$1:$Z$1501,$J2302+1)&amp;"","Cheque deposit 支票存入 (buyer 买家)"))</f>
        <v/>
      </c>
      <c r="D2302">
        <f>IF($J2302="","",IF($J2302&lt;=1500,INDEX('Daily Sale entry '!$AA$1:$AA$1501,$J2302+1)&amp;"",INDEX('Daily Sale entry '!$P$1:$P$1501,$J2302-1499)&amp;""))</f>
        <v/>
      </c>
      <c r="E2302">
        <f>IF($J2302="","",IF($J2302&lt;=1500,IF(N(INDEX('Daily Sale entry '!$AB$1:$AB$1501,$J2302+1))=0,"",INDEX('Daily Sale entry '!$AB$1:$AB$1501,$J2302+1)),1))</f>
        <v/>
      </c>
      <c r="F2302" s="6">
        <f>IF($J2302="","",IF($J2302&lt;=1500,N(INDEX('Daily Sale entry '!$AC$1:$AC$1501,$J2302+1))-IF(AND('Opening Balance'!$B$15=1,INDEX('Daily Sale entry '!$Z$1:$Z$1501,$J2302+1)="Online collection 网上收款",INDEX('Daily Sale entry '!$AA$1:$AA$1501,$J2302+1)&lt;&gt;""),N(INDEX('Daily Sale entry '!$AC$1:$AC$1501,$J2302+1))-TRUNC(N(INDEX('Daily Sale entry '!$AC$1:$AC$1501,$J2302+1))),0),N(INDEX('Daily Sale entry '!$S$1:$S$1501,$J2302-1499))-'Opening Balance'!$B$15*(N(INDEX('Daily Sale entry '!$S$1:$S$1501,$J2302-1499))-TRUNC(N(INDEX('Daily Sale entry '!$S$1:$S$1501,$J2302-1499))))))</f>
        <v/>
      </c>
      <c r="G2302" s="6">
        <f>IF($J2302="","",IF($J2302&lt;=1500,N(INDEX('Daily Sale entry '!$AD$1:$AD$1501,$J2302+1)),0))</f>
        <v/>
      </c>
      <c r="H2302" s="6">
        <f>IF($J2302="","",ROUND('Opening Balance'!$B$4+SUM($F$2:F2302)-SUM($G$2:G2302),2))</f>
        <v/>
      </c>
      <c r="J2302" s="21">
        <f>IFERROR(MATCH(ROW()-1,$L$2:$L$3001,0),"")</f>
        <v/>
      </c>
      <c r="K2302" s="34">
        <f>IF(AND('Daily Sale entry '!Q802="Collection 收款",'Daily Sale entry '!R802="Cheque 支票",'Daily Sale entry '!V802&lt;&gt;""),'Daily Sale entry '!V802+ROW()/10000000,"")</f>
        <v/>
      </c>
      <c r="L2302" s="21">
        <f>IF(K2302="","",COUNTIF($K$2:$K$3001,"&lt;"&amp;K2302)+1)</f>
        <v/>
      </c>
    </row>
    <row r="2303">
      <c r="A2303" s="5">
        <f>IF($J2303="","",IF($J2303&lt;=1500,INDEX('Daily Sale entry '!$X$1:$X$1501,$J2303+1),INDEX('Daily Sale entry '!$V$1:$V$1501,$J2303-1499)))</f>
        <v/>
      </c>
      <c r="B2303">
        <f>IF($J2303="","",IF($J2303&lt;=1500,INDEX('Daily Sale entry '!$Y$1:$Y$1501,$J2303+1)&amp;"","Buyer cheque banked 买家支票存入"&amp;IF(INDEX('Daily Sale entry '!$U$1:$U$1501,$J2303-1499)="","", " - "&amp;INDEX('Daily Sale entry '!$U$1:$U$1501,$J2303-1499))))</f>
        <v/>
      </c>
      <c r="C2303">
        <f>IF($J2303="","",IF($J2303&lt;=1500,INDEX('Daily Sale entry '!$Z$1:$Z$1501,$J2303+1)&amp;"","Cheque deposit 支票存入 (buyer 买家)"))</f>
        <v/>
      </c>
      <c r="D2303">
        <f>IF($J2303="","",IF($J2303&lt;=1500,INDEX('Daily Sale entry '!$AA$1:$AA$1501,$J2303+1)&amp;"",INDEX('Daily Sale entry '!$P$1:$P$1501,$J2303-1499)&amp;""))</f>
        <v/>
      </c>
      <c r="E2303">
        <f>IF($J2303="","",IF($J2303&lt;=1500,IF(N(INDEX('Daily Sale entry '!$AB$1:$AB$1501,$J2303+1))=0,"",INDEX('Daily Sale entry '!$AB$1:$AB$1501,$J2303+1)),1))</f>
        <v/>
      </c>
      <c r="F2303" s="6">
        <f>IF($J2303="","",IF($J2303&lt;=1500,N(INDEX('Daily Sale entry '!$AC$1:$AC$1501,$J2303+1))-IF(AND('Opening Balance'!$B$15=1,INDEX('Daily Sale entry '!$Z$1:$Z$1501,$J2303+1)="Online collection 网上收款",INDEX('Daily Sale entry '!$AA$1:$AA$1501,$J2303+1)&lt;&gt;""),N(INDEX('Daily Sale entry '!$AC$1:$AC$1501,$J2303+1))-TRUNC(N(INDEX('Daily Sale entry '!$AC$1:$AC$1501,$J2303+1))),0),N(INDEX('Daily Sale entry '!$S$1:$S$1501,$J2303-1499))-'Opening Balance'!$B$15*(N(INDEX('Daily Sale entry '!$S$1:$S$1501,$J2303-1499))-TRUNC(N(INDEX('Daily Sale entry '!$S$1:$S$1501,$J2303-1499))))))</f>
        <v/>
      </c>
      <c r="G2303" s="6">
        <f>IF($J2303="","",IF($J2303&lt;=1500,N(INDEX('Daily Sale entry '!$AD$1:$AD$1501,$J2303+1)),0))</f>
        <v/>
      </c>
      <c r="H2303" s="6">
        <f>IF($J2303="","",ROUND('Opening Balance'!$B$4+SUM($F$2:F2303)-SUM($G$2:G2303),2))</f>
        <v/>
      </c>
      <c r="J2303" s="21">
        <f>IFERROR(MATCH(ROW()-1,$L$2:$L$3001,0),"")</f>
        <v/>
      </c>
      <c r="K2303" s="34">
        <f>IF(AND('Daily Sale entry '!Q803="Collection 收款",'Daily Sale entry '!R803="Cheque 支票",'Daily Sale entry '!V803&lt;&gt;""),'Daily Sale entry '!V803+ROW()/10000000,"")</f>
        <v/>
      </c>
      <c r="L2303" s="21">
        <f>IF(K2303="","",COUNTIF($K$2:$K$3001,"&lt;"&amp;K2303)+1)</f>
        <v/>
      </c>
    </row>
    <row r="2304">
      <c r="A2304" s="5">
        <f>IF($J2304="","",IF($J2304&lt;=1500,INDEX('Daily Sale entry '!$X$1:$X$1501,$J2304+1),INDEX('Daily Sale entry '!$V$1:$V$1501,$J2304-1499)))</f>
        <v/>
      </c>
      <c r="B2304">
        <f>IF($J2304="","",IF($J2304&lt;=1500,INDEX('Daily Sale entry '!$Y$1:$Y$1501,$J2304+1)&amp;"","Buyer cheque banked 买家支票存入"&amp;IF(INDEX('Daily Sale entry '!$U$1:$U$1501,$J2304-1499)="","", " - "&amp;INDEX('Daily Sale entry '!$U$1:$U$1501,$J2304-1499))))</f>
        <v/>
      </c>
      <c r="C2304">
        <f>IF($J2304="","",IF($J2304&lt;=1500,INDEX('Daily Sale entry '!$Z$1:$Z$1501,$J2304+1)&amp;"","Cheque deposit 支票存入 (buyer 买家)"))</f>
        <v/>
      </c>
      <c r="D2304">
        <f>IF($J2304="","",IF($J2304&lt;=1500,INDEX('Daily Sale entry '!$AA$1:$AA$1501,$J2304+1)&amp;"",INDEX('Daily Sale entry '!$P$1:$P$1501,$J2304-1499)&amp;""))</f>
        <v/>
      </c>
      <c r="E2304">
        <f>IF($J2304="","",IF($J2304&lt;=1500,IF(N(INDEX('Daily Sale entry '!$AB$1:$AB$1501,$J2304+1))=0,"",INDEX('Daily Sale entry '!$AB$1:$AB$1501,$J2304+1)),1))</f>
        <v/>
      </c>
      <c r="F2304" s="6">
        <f>IF($J2304="","",IF($J2304&lt;=1500,N(INDEX('Daily Sale entry '!$AC$1:$AC$1501,$J2304+1))-IF(AND('Opening Balance'!$B$15=1,INDEX('Daily Sale entry '!$Z$1:$Z$1501,$J2304+1)="Online collection 网上收款",INDEX('Daily Sale entry '!$AA$1:$AA$1501,$J2304+1)&lt;&gt;""),N(INDEX('Daily Sale entry '!$AC$1:$AC$1501,$J2304+1))-TRUNC(N(INDEX('Daily Sale entry '!$AC$1:$AC$1501,$J2304+1))),0),N(INDEX('Daily Sale entry '!$S$1:$S$1501,$J2304-1499))-'Opening Balance'!$B$15*(N(INDEX('Daily Sale entry '!$S$1:$S$1501,$J2304-1499))-TRUNC(N(INDEX('Daily Sale entry '!$S$1:$S$1501,$J2304-1499))))))</f>
        <v/>
      </c>
      <c r="G2304" s="6">
        <f>IF($J2304="","",IF($J2304&lt;=1500,N(INDEX('Daily Sale entry '!$AD$1:$AD$1501,$J2304+1)),0))</f>
        <v/>
      </c>
      <c r="H2304" s="6">
        <f>IF($J2304="","",ROUND('Opening Balance'!$B$4+SUM($F$2:F2304)-SUM($G$2:G2304),2))</f>
        <v/>
      </c>
      <c r="J2304" s="21">
        <f>IFERROR(MATCH(ROW()-1,$L$2:$L$3001,0),"")</f>
        <v/>
      </c>
      <c r="K2304" s="34">
        <f>IF(AND('Daily Sale entry '!Q804="Collection 收款",'Daily Sale entry '!R804="Cheque 支票",'Daily Sale entry '!V804&lt;&gt;""),'Daily Sale entry '!V804+ROW()/10000000,"")</f>
        <v/>
      </c>
      <c r="L2304" s="21">
        <f>IF(K2304="","",COUNTIF($K$2:$K$3001,"&lt;"&amp;K2304)+1)</f>
        <v/>
      </c>
    </row>
    <row r="2305">
      <c r="A2305" s="5">
        <f>IF($J2305="","",IF($J2305&lt;=1500,INDEX('Daily Sale entry '!$X$1:$X$1501,$J2305+1),INDEX('Daily Sale entry '!$V$1:$V$1501,$J2305-1499)))</f>
        <v/>
      </c>
      <c r="B2305">
        <f>IF($J2305="","",IF($J2305&lt;=1500,INDEX('Daily Sale entry '!$Y$1:$Y$1501,$J2305+1)&amp;"","Buyer cheque banked 买家支票存入"&amp;IF(INDEX('Daily Sale entry '!$U$1:$U$1501,$J2305-1499)="","", " - "&amp;INDEX('Daily Sale entry '!$U$1:$U$1501,$J2305-1499))))</f>
        <v/>
      </c>
      <c r="C2305">
        <f>IF($J2305="","",IF($J2305&lt;=1500,INDEX('Daily Sale entry '!$Z$1:$Z$1501,$J2305+1)&amp;"","Cheque deposit 支票存入 (buyer 买家)"))</f>
        <v/>
      </c>
      <c r="D2305">
        <f>IF($J2305="","",IF($J2305&lt;=1500,INDEX('Daily Sale entry '!$AA$1:$AA$1501,$J2305+1)&amp;"",INDEX('Daily Sale entry '!$P$1:$P$1501,$J2305-1499)&amp;""))</f>
        <v/>
      </c>
      <c r="E2305">
        <f>IF($J2305="","",IF($J2305&lt;=1500,IF(N(INDEX('Daily Sale entry '!$AB$1:$AB$1501,$J2305+1))=0,"",INDEX('Daily Sale entry '!$AB$1:$AB$1501,$J2305+1)),1))</f>
        <v/>
      </c>
      <c r="F2305" s="6">
        <f>IF($J2305="","",IF($J2305&lt;=1500,N(INDEX('Daily Sale entry '!$AC$1:$AC$1501,$J2305+1))-IF(AND('Opening Balance'!$B$15=1,INDEX('Daily Sale entry '!$Z$1:$Z$1501,$J2305+1)="Online collection 网上收款",INDEX('Daily Sale entry '!$AA$1:$AA$1501,$J2305+1)&lt;&gt;""),N(INDEX('Daily Sale entry '!$AC$1:$AC$1501,$J2305+1))-TRUNC(N(INDEX('Daily Sale entry '!$AC$1:$AC$1501,$J2305+1))),0),N(INDEX('Daily Sale entry '!$S$1:$S$1501,$J2305-1499))-'Opening Balance'!$B$15*(N(INDEX('Daily Sale entry '!$S$1:$S$1501,$J2305-1499))-TRUNC(N(INDEX('Daily Sale entry '!$S$1:$S$1501,$J2305-1499))))))</f>
        <v/>
      </c>
      <c r="G2305" s="6">
        <f>IF($J2305="","",IF($J2305&lt;=1500,N(INDEX('Daily Sale entry '!$AD$1:$AD$1501,$J2305+1)),0))</f>
        <v/>
      </c>
      <c r="H2305" s="6">
        <f>IF($J2305="","",ROUND('Opening Balance'!$B$4+SUM($F$2:F2305)-SUM($G$2:G2305),2))</f>
        <v/>
      </c>
      <c r="J2305" s="21">
        <f>IFERROR(MATCH(ROW()-1,$L$2:$L$3001,0),"")</f>
        <v/>
      </c>
      <c r="K2305" s="34">
        <f>IF(AND('Daily Sale entry '!Q805="Collection 收款",'Daily Sale entry '!R805="Cheque 支票",'Daily Sale entry '!V805&lt;&gt;""),'Daily Sale entry '!V805+ROW()/10000000,"")</f>
        <v/>
      </c>
      <c r="L2305" s="21">
        <f>IF(K2305="","",COUNTIF($K$2:$K$3001,"&lt;"&amp;K2305)+1)</f>
        <v/>
      </c>
    </row>
    <row r="2306">
      <c r="A2306" s="5">
        <f>IF($J2306="","",IF($J2306&lt;=1500,INDEX('Daily Sale entry '!$X$1:$X$1501,$J2306+1),INDEX('Daily Sale entry '!$V$1:$V$1501,$J2306-1499)))</f>
        <v/>
      </c>
      <c r="B2306">
        <f>IF($J2306="","",IF($J2306&lt;=1500,INDEX('Daily Sale entry '!$Y$1:$Y$1501,$J2306+1)&amp;"","Buyer cheque banked 买家支票存入"&amp;IF(INDEX('Daily Sale entry '!$U$1:$U$1501,$J2306-1499)="","", " - "&amp;INDEX('Daily Sale entry '!$U$1:$U$1501,$J2306-1499))))</f>
        <v/>
      </c>
      <c r="C2306">
        <f>IF($J2306="","",IF($J2306&lt;=1500,INDEX('Daily Sale entry '!$Z$1:$Z$1501,$J2306+1)&amp;"","Cheque deposit 支票存入 (buyer 买家)"))</f>
        <v/>
      </c>
      <c r="D2306">
        <f>IF($J2306="","",IF($J2306&lt;=1500,INDEX('Daily Sale entry '!$AA$1:$AA$1501,$J2306+1)&amp;"",INDEX('Daily Sale entry '!$P$1:$P$1501,$J2306-1499)&amp;""))</f>
        <v/>
      </c>
      <c r="E2306">
        <f>IF($J2306="","",IF($J2306&lt;=1500,IF(N(INDEX('Daily Sale entry '!$AB$1:$AB$1501,$J2306+1))=0,"",INDEX('Daily Sale entry '!$AB$1:$AB$1501,$J2306+1)),1))</f>
        <v/>
      </c>
      <c r="F2306" s="6">
        <f>IF($J2306="","",IF($J2306&lt;=1500,N(INDEX('Daily Sale entry '!$AC$1:$AC$1501,$J2306+1))-IF(AND('Opening Balance'!$B$15=1,INDEX('Daily Sale entry '!$Z$1:$Z$1501,$J2306+1)="Online collection 网上收款",INDEX('Daily Sale entry '!$AA$1:$AA$1501,$J2306+1)&lt;&gt;""),N(INDEX('Daily Sale entry '!$AC$1:$AC$1501,$J2306+1))-TRUNC(N(INDEX('Daily Sale entry '!$AC$1:$AC$1501,$J2306+1))),0),N(INDEX('Daily Sale entry '!$S$1:$S$1501,$J2306-1499))-'Opening Balance'!$B$15*(N(INDEX('Daily Sale entry '!$S$1:$S$1501,$J2306-1499))-TRUNC(N(INDEX('Daily Sale entry '!$S$1:$S$1501,$J2306-1499))))))</f>
        <v/>
      </c>
      <c r="G2306" s="6">
        <f>IF($J2306="","",IF($J2306&lt;=1500,N(INDEX('Daily Sale entry '!$AD$1:$AD$1501,$J2306+1)),0))</f>
        <v/>
      </c>
      <c r="H2306" s="6">
        <f>IF($J2306="","",ROUND('Opening Balance'!$B$4+SUM($F$2:F2306)-SUM($G$2:G2306),2))</f>
        <v/>
      </c>
      <c r="J2306" s="21">
        <f>IFERROR(MATCH(ROW()-1,$L$2:$L$3001,0),"")</f>
        <v/>
      </c>
      <c r="K2306" s="34">
        <f>IF(AND('Daily Sale entry '!Q806="Collection 收款",'Daily Sale entry '!R806="Cheque 支票",'Daily Sale entry '!V806&lt;&gt;""),'Daily Sale entry '!V806+ROW()/10000000,"")</f>
        <v/>
      </c>
      <c r="L2306" s="21">
        <f>IF(K2306="","",COUNTIF($K$2:$K$3001,"&lt;"&amp;K2306)+1)</f>
        <v/>
      </c>
    </row>
    <row r="2307">
      <c r="A2307" s="5">
        <f>IF($J2307="","",IF($J2307&lt;=1500,INDEX('Daily Sale entry '!$X$1:$X$1501,$J2307+1),INDEX('Daily Sale entry '!$V$1:$V$1501,$J2307-1499)))</f>
        <v/>
      </c>
      <c r="B2307">
        <f>IF($J2307="","",IF($J2307&lt;=1500,INDEX('Daily Sale entry '!$Y$1:$Y$1501,$J2307+1)&amp;"","Buyer cheque banked 买家支票存入"&amp;IF(INDEX('Daily Sale entry '!$U$1:$U$1501,$J2307-1499)="","", " - "&amp;INDEX('Daily Sale entry '!$U$1:$U$1501,$J2307-1499))))</f>
        <v/>
      </c>
      <c r="C2307">
        <f>IF($J2307="","",IF($J2307&lt;=1500,INDEX('Daily Sale entry '!$Z$1:$Z$1501,$J2307+1)&amp;"","Cheque deposit 支票存入 (buyer 买家)"))</f>
        <v/>
      </c>
      <c r="D2307">
        <f>IF($J2307="","",IF($J2307&lt;=1500,INDEX('Daily Sale entry '!$AA$1:$AA$1501,$J2307+1)&amp;"",INDEX('Daily Sale entry '!$P$1:$P$1501,$J2307-1499)&amp;""))</f>
        <v/>
      </c>
      <c r="E2307">
        <f>IF($J2307="","",IF($J2307&lt;=1500,IF(N(INDEX('Daily Sale entry '!$AB$1:$AB$1501,$J2307+1))=0,"",INDEX('Daily Sale entry '!$AB$1:$AB$1501,$J2307+1)),1))</f>
        <v/>
      </c>
      <c r="F2307" s="6">
        <f>IF($J2307="","",IF($J2307&lt;=1500,N(INDEX('Daily Sale entry '!$AC$1:$AC$1501,$J2307+1))-IF(AND('Opening Balance'!$B$15=1,INDEX('Daily Sale entry '!$Z$1:$Z$1501,$J2307+1)="Online collection 网上收款",INDEX('Daily Sale entry '!$AA$1:$AA$1501,$J2307+1)&lt;&gt;""),N(INDEX('Daily Sale entry '!$AC$1:$AC$1501,$J2307+1))-TRUNC(N(INDEX('Daily Sale entry '!$AC$1:$AC$1501,$J2307+1))),0),N(INDEX('Daily Sale entry '!$S$1:$S$1501,$J2307-1499))-'Opening Balance'!$B$15*(N(INDEX('Daily Sale entry '!$S$1:$S$1501,$J2307-1499))-TRUNC(N(INDEX('Daily Sale entry '!$S$1:$S$1501,$J2307-1499))))))</f>
        <v/>
      </c>
      <c r="G2307" s="6">
        <f>IF($J2307="","",IF($J2307&lt;=1500,N(INDEX('Daily Sale entry '!$AD$1:$AD$1501,$J2307+1)),0))</f>
        <v/>
      </c>
      <c r="H2307" s="6">
        <f>IF($J2307="","",ROUND('Opening Balance'!$B$4+SUM($F$2:F2307)-SUM($G$2:G2307),2))</f>
        <v/>
      </c>
      <c r="J2307" s="21">
        <f>IFERROR(MATCH(ROW()-1,$L$2:$L$3001,0),"")</f>
        <v/>
      </c>
      <c r="K2307" s="34">
        <f>IF(AND('Daily Sale entry '!Q807="Collection 收款",'Daily Sale entry '!R807="Cheque 支票",'Daily Sale entry '!V807&lt;&gt;""),'Daily Sale entry '!V807+ROW()/10000000,"")</f>
        <v/>
      </c>
      <c r="L2307" s="21">
        <f>IF(K2307="","",COUNTIF($K$2:$K$3001,"&lt;"&amp;K2307)+1)</f>
        <v/>
      </c>
    </row>
    <row r="2308">
      <c r="A2308" s="5">
        <f>IF($J2308="","",IF($J2308&lt;=1500,INDEX('Daily Sale entry '!$X$1:$X$1501,$J2308+1),INDEX('Daily Sale entry '!$V$1:$V$1501,$J2308-1499)))</f>
        <v/>
      </c>
      <c r="B2308">
        <f>IF($J2308="","",IF($J2308&lt;=1500,INDEX('Daily Sale entry '!$Y$1:$Y$1501,$J2308+1)&amp;"","Buyer cheque banked 买家支票存入"&amp;IF(INDEX('Daily Sale entry '!$U$1:$U$1501,$J2308-1499)="","", " - "&amp;INDEX('Daily Sale entry '!$U$1:$U$1501,$J2308-1499))))</f>
        <v/>
      </c>
      <c r="C2308">
        <f>IF($J2308="","",IF($J2308&lt;=1500,INDEX('Daily Sale entry '!$Z$1:$Z$1501,$J2308+1)&amp;"","Cheque deposit 支票存入 (buyer 买家)"))</f>
        <v/>
      </c>
      <c r="D2308">
        <f>IF($J2308="","",IF($J2308&lt;=1500,INDEX('Daily Sale entry '!$AA$1:$AA$1501,$J2308+1)&amp;"",INDEX('Daily Sale entry '!$P$1:$P$1501,$J2308-1499)&amp;""))</f>
        <v/>
      </c>
      <c r="E2308">
        <f>IF($J2308="","",IF($J2308&lt;=1500,IF(N(INDEX('Daily Sale entry '!$AB$1:$AB$1501,$J2308+1))=0,"",INDEX('Daily Sale entry '!$AB$1:$AB$1501,$J2308+1)),1))</f>
        <v/>
      </c>
      <c r="F2308" s="6">
        <f>IF($J2308="","",IF($J2308&lt;=1500,N(INDEX('Daily Sale entry '!$AC$1:$AC$1501,$J2308+1))-IF(AND('Opening Balance'!$B$15=1,INDEX('Daily Sale entry '!$Z$1:$Z$1501,$J2308+1)="Online collection 网上收款",INDEX('Daily Sale entry '!$AA$1:$AA$1501,$J2308+1)&lt;&gt;""),N(INDEX('Daily Sale entry '!$AC$1:$AC$1501,$J2308+1))-TRUNC(N(INDEX('Daily Sale entry '!$AC$1:$AC$1501,$J2308+1))),0),N(INDEX('Daily Sale entry '!$S$1:$S$1501,$J2308-1499))-'Opening Balance'!$B$15*(N(INDEX('Daily Sale entry '!$S$1:$S$1501,$J2308-1499))-TRUNC(N(INDEX('Daily Sale entry '!$S$1:$S$1501,$J2308-1499))))))</f>
        <v/>
      </c>
      <c r="G2308" s="6">
        <f>IF($J2308="","",IF($J2308&lt;=1500,N(INDEX('Daily Sale entry '!$AD$1:$AD$1501,$J2308+1)),0))</f>
        <v/>
      </c>
      <c r="H2308" s="6">
        <f>IF($J2308="","",ROUND('Opening Balance'!$B$4+SUM($F$2:F2308)-SUM($G$2:G2308),2))</f>
        <v/>
      </c>
      <c r="J2308" s="21">
        <f>IFERROR(MATCH(ROW()-1,$L$2:$L$3001,0),"")</f>
        <v/>
      </c>
      <c r="K2308" s="34">
        <f>IF(AND('Daily Sale entry '!Q808="Collection 收款",'Daily Sale entry '!R808="Cheque 支票",'Daily Sale entry '!V808&lt;&gt;""),'Daily Sale entry '!V808+ROW()/10000000,"")</f>
        <v/>
      </c>
      <c r="L2308" s="21">
        <f>IF(K2308="","",COUNTIF($K$2:$K$3001,"&lt;"&amp;K2308)+1)</f>
        <v/>
      </c>
    </row>
    <row r="2309">
      <c r="A2309" s="5">
        <f>IF($J2309="","",IF($J2309&lt;=1500,INDEX('Daily Sale entry '!$X$1:$X$1501,$J2309+1),INDEX('Daily Sale entry '!$V$1:$V$1501,$J2309-1499)))</f>
        <v/>
      </c>
      <c r="B2309">
        <f>IF($J2309="","",IF($J2309&lt;=1500,INDEX('Daily Sale entry '!$Y$1:$Y$1501,$J2309+1)&amp;"","Buyer cheque banked 买家支票存入"&amp;IF(INDEX('Daily Sale entry '!$U$1:$U$1501,$J2309-1499)="","", " - "&amp;INDEX('Daily Sale entry '!$U$1:$U$1501,$J2309-1499))))</f>
        <v/>
      </c>
      <c r="C2309">
        <f>IF($J2309="","",IF($J2309&lt;=1500,INDEX('Daily Sale entry '!$Z$1:$Z$1501,$J2309+1)&amp;"","Cheque deposit 支票存入 (buyer 买家)"))</f>
        <v/>
      </c>
      <c r="D2309">
        <f>IF($J2309="","",IF($J2309&lt;=1500,INDEX('Daily Sale entry '!$AA$1:$AA$1501,$J2309+1)&amp;"",INDEX('Daily Sale entry '!$P$1:$P$1501,$J2309-1499)&amp;""))</f>
        <v/>
      </c>
      <c r="E2309">
        <f>IF($J2309="","",IF($J2309&lt;=1500,IF(N(INDEX('Daily Sale entry '!$AB$1:$AB$1501,$J2309+1))=0,"",INDEX('Daily Sale entry '!$AB$1:$AB$1501,$J2309+1)),1))</f>
        <v/>
      </c>
      <c r="F2309" s="6">
        <f>IF($J2309="","",IF($J2309&lt;=1500,N(INDEX('Daily Sale entry '!$AC$1:$AC$1501,$J2309+1))-IF(AND('Opening Balance'!$B$15=1,INDEX('Daily Sale entry '!$Z$1:$Z$1501,$J2309+1)="Online collection 网上收款",INDEX('Daily Sale entry '!$AA$1:$AA$1501,$J2309+1)&lt;&gt;""),N(INDEX('Daily Sale entry '!$AC$1:$AC$1501,$J2309+1))-TRUNC(N(INDEX('Daily Sale entry '!$AC$1:$AC$1501,$J2309+1))),0),N(INDEX('Daily Sale entry '!$S$1:$S$1501,$J2309-1499))-'Opening Balance'!$B$15*(N(INDEX('Daily Sale entry '!$S$1:$S$1501,$J2309-1499))-TRUNC(N(INDEX('Daily Sale entry '!$S$1:$S$1501,$J2309-1499))))))</f>
        <v/>
      </c>
      <c r="G2309" s="6">
        <f>IF($J2309="","",IF($J2309&lt;=1500,N(INDEX('Daily Sale entry '!$AD$1:$AD$1501,$J2309+1)),0))</f>
        <v/>
      </c>
      <c r="H2309" s="6">
        <f>IF($J2309="","",ROUND('Opening Balance'!$B$4+SUM($F$2:F2309)-SUM($G$2:G2309),2))</f>
        <v/>
      </c>
      <c r="J2309" s="21">
        <f>IFERROR(MATCH(ROW()-1,$L$2:$L$3001,0),"")</f>
        <v/>
      </c>
      <c r="K2309" s="34">
        <f>IF(AND('Daily Sale entry '!Q809="Collection 收款",'Daily Sale entry '!R809="Cheque 支票",'Daily Sale entry '!V809&lt;&gt;""),'Daily Sale entry '!V809+ROW()/10000000,"")</f>
        <v/>
      </c>
      <c r="L2309" s="21">
        <f>IF(K2309="","",COUNTIF($K$2:$K$3001,"&lt;"&amp;K2309)+1)</f>
        <v/>
      </c>
    </row>
    <row r="2310">
      <c r="A2310" s="5">
        <f>IF($J2310="","",IF($J2310&lt;=1500,INDEX('Daily Sale entry '!$X$1:$X$1501,$J2310+1),INDEX('Daily Sale entry '!$V$1:$V$1501,$J2310-1499)))</f>
        <v/>
      </c>
      <c r="B2310">
        <f>IF($J2310="","",IF($J2310&lt;=1500,INDEX('Daily Sale entry '!$Y$1:$Y$1501,$J2310+1)&amp;"","Buyer cheque banked 买家支票存入"&amp;IF(INDEX('Daily Sale entry '!$U$1:$U$1501,$J2310-1499)="","", " - "&amp;INDEX('Daily Sale entry '!$U$1:$U$1501,$J2310-1499))))</f>
        <v/>
      </c>
      <c r="C2310">
        <f>IF($J2310="","",IF($J2310&lt;=1500,INDEX('Daily Sale entry '!$Z$1:$Z$1501,$J2310+1)&amp;"","Cheque deposit 支票存入 (buyer 买家)"))</f>
        <v/>
      </c>
      <c r="D2310">
        <f>IF($J2310="","",IF($J2310&lt;=1500,INDEX('Daily Sale entry '!$AA$1:$AA$1501,$J2310+1)&amp;"",INDEX('Daily Sale entry '!$P$1:$P$1501,$J2310-1499)&amp;""))</f>
        <v/>
      </c>
      <c r="E2310">
        <f>IF($J2310="","",IF($J2310&lt;=1500,IF(N(INDEX('Daily Sale entry '!$AB$1:$AB$1501,$J2310+1))=0,"",INDEX('Daily Sale entry '!$AB$1:$AB$1501,$J2310+1)),1))</f>
        <v/>
      </c>
      <c r="F2310" s="6">
        <f>IF($J2310="","",IF($J2310&lt;=1500,N(INDEX('Daily Sale entry '!$AC$1:$AC$1501,$J2310+1))-IF(AND('Opening Balance'!$B$15=1,INDEX('Daily Sale entry '!$Z$1:$Z$1501,$J2310+1)="Online collection 网上收款",INDEX('Daily Sale entry '!$AA$1:$AA$1501,$J2310+1)&lt;&gt;""),N(INDEX('Daily Sale entry '!$AC$1:$AC$1501,$J2310+1))-TRUNC(N(INDEX('Daily Sale entry '!$AC$1:$AC$1501,$J2310+1))),0),N(INDEX('Daily Sale entry '!$S$1:$S$1501,$J2310-1499))-'Opening Balance'!$B$15*(N(INDEX('Daily Sale entry '!$S$1:$S$1501,$J2310-1499))-TRUNC(N(INDEX('Daily Sale entry '!$S$1:$S$1501,$J2310-1499))))))</f>
        <v/>
      </c>
      <c r="G2310" s="6">
        <f>IF($J2310="","",IF($J2310&lt;=1500,N(INDEX('Daily Sale entry '!$AD$1:$AD$1501,$J2310+1)),0))</f>
        <v/>
      </c>
      <c r="H2310" s="6">
        <f>IF($J2310="","",ROUND('Opening Balance'!$B$4+SUM($F$2:F2310)-SUM($G$2:G2310),2))</f>
        <v/>
      </c>
      <c r="J2310" s="21">
        <f>IFERROR(MATCH(ROW()-1,$L$2:$L$3001,0),"")</f>
        <v/>
      </c>
      <c r="K2310" s="34">
        <f>IF(AND('Daily Sale entry '!Q810="Collection 收款",'Daily Sale entry '!R810="Cheque 支票",'Daily Sale entry '!V810&lt;&gt;""),'Daily Sale entry '!V810+ROW()/10000000,"")</f>
        <v/>
      </c>
      <c r="L2310" s="21">
        <f>IF(K2310="","",COUNTIF($K$2:$K$3001,"&lt;"&amp;K2310)+1)</f>
        <v/>
      </c>
    </row>
    <row r="2311">
      <c r="A2311" s="5">
        <f>IF($J2311="","",IF($J2311&lt;=1500,INDEX('Daily Sale entry '!$X$1:$X$1501,$J2311+1),INDEX('Daily Sale entry '!$V$1:$V$1501,$J2311-1499)))</f>
        <v/>
      </c>
      <c r="B2311">
        <f>IF($J2311="","",IF($J2311&lt;=1500,INDEX('Daily Sale entry '!$Y$1:$Y$1501,$J2311+1)&amp;"","Buyer cheque banked 买家支票存入"&amp;IF(INDEX('Daily Sale entry '!$U$1:$U$1501,$J2311-1499)="","", " - "&amp;INDEX('Daily Sale entry '!$U$1:$U$1501,$J2311-1499))))</f>
        <v/>
      </c>
      <c r="C2311">
        <f>IF($J2311="","",IF($J2311&lt;=1500,INDEX('Daily Sale entry '!$Z$1:$Z$1501,$J2311+1)&amp;"","Cheque deposit 支票存入 (buyer 买家)"))</f>
        <v/>
      </c>
      <c r="D2311">
        <f>IF($J2311="","",IF($J2311&lt;=1500,INDEX('Daily Sale entry '!$AA$1:$AA$1501,$J2311+1)&amp;"",INDEX('Daily Sale entry '!$P$1:$P$1501,$J2311-1499)&amp;""))</f>
        <v/>
      </c>
      <c r="E2311">
        <f>IF($J2311="","",IF($J2311&lt;=1500,IF(N(INDEX('Daily Sale entry '!$AB$1:$AB$1501,$J2311+1))=0,"",INDEX('Daily Sale entry '!$AB$1:$AB$1501,$J2311+1)),1))</f>
        <v/>
      </c>
      <c r="F2311" s="6">
        <f>IF($J2311="","",IF($J2311&lt;=1500,N(INDEX('Daily Sale entry '!$AC$1:$AC$1501,$J2311+1))-IF(AND('Opening Balance'!$B$15=1,INDEX('Daily Sale entry '!$Z$1:$Z$1501,$J2311+1)="Online collection 网上收款",INDEX('Daily Sale entry '!$AA$1:$AA$1501,$J2311+1)&lt;&gt;""),N(INDEX('Daily Sale entry '!$AC$1:$AC$1501,$J2311+1))-TRUNC(N(INDEX('Daily Sale entry '!$AC$1:$AC$1501,$J2311+1))),0),N(INDEX('Daily Sale entry '!$S$1:$S$1501,$J2311-1499))-'Opening Balance'!$B$15*(N(INDEX('Daily Sale entry '!$S$1:$S$1501,$J2311-1499))-TRUNC(N(INDEX('Daily Sale entry '!$S$1:$S$1501,$J2311-1499))))))</f>
        <v/>
      </c>
      <c r="G2311" s="6">
        <f>IF($J2311="","",IF($J2311&lt;=1500,N(INDEX('Daily Sale entry '!$AD$1:$AD$1501,$J2311+1)),0))</f>
        <v/>
      </c>
      <c r="H2311" s="6">
        <f>IF($J2311="","",ROUND('Opening Balance'!$B$4+SUM($F$2:F2311)-SUM($G$2:G2311),2))</f>
        <v/>
      </c>
      <c r="J2311" s="21">
        <f>IFERROR(MATCH(ROW()-1,$L$2:$L$3001,0),"")</f>
        <v/>
      </c>
      <c r="K2311" s="34">
        <f>IF(AND('Daily Sale entry '!Q811="Collection 收款",'Daily Sale entry '!R811="Cheque 支票",'Daily Sale entry '!V811&lt;&gt;""),'Daily Sale entry '!V811+ROW()/10000000,"")</f>
        <v/>
      </c>
      <c r="L2311" s="21">
        <f>IF(K2311="","",COUNTIF($K$2:$K$3001,"&lt;"&amp;K2311)+1)</f>
        <v/>
      </c>
    </row>
    <row r="2312">
      <c r="A2312" s="5">
        <f>IF($J2312="","",IF($J2312&lt;=1500,INDEX('Daily Sale entry '!$X$1:$X$1501,$J2312+1),INDEX('Daily Sale entry '!$V$1:$V$1501,$J2312-1499)))</f>
        <v/>
      </c>
      <c r="B2312">
        <f>IF($J2312="","",IF($J2312&lt;=1500,INDEX('Daily Sale entry '!$Y$1:$Y$1501,$J2312+1)&amp;"","Buyer cheque banked 买家支票存入"&amp;IF(INDEX('Daily Sale entry '!$U$1:$U$1501,$J2312-1499)="","", " - "&amp;INDEX('Daily Sale entry '!$U$1:$U$1501,$J2312-1499))))</f>
        <v/>
      </c>
      <c r="C2312">
        <f>IF($J2312="","",IF($J2312&lt;=1500,INDEX('Daily Sale entry '!$Z$1:$Z$1501,$J2312+1)&amp;"","Cheque deposit 支票存入 (buyer 买家)"))</f>
        <v/>
      </c>
      <c r="D2312">
        <f>IF($J2312="","",IF($J2312&lt;=1500,INDEX('Daily Sale entry '!$AA$1:$AA$1501,$J2312+1)&amp;"",INDEX('Daily Sale entry '!$P$1:$P$1501,$J2312-1499)&amp;""))</f>
        <v/>
      </c>
      <c r="E2312">
        <f>IF($J2312="","",IF($J2312&lt;=1500,IF(N(INDEX('Daily Sale entry '!$AB$1:$AB$1501,$J2312+1))=0,"",INDEX('Daily Sale entry '!$AB$1:$AB$1501,$J2312+1)),1))</f>
        <v/>
      </c>
      <c r="F2312" s="6">
        <f>IF($J2312="","",IF($J2312&lt;=1500,N(INDEX('Daily Sale entry '!$AC$1:$AC$1501,$J2312+1))-IF(AND('Opening Balance'!$B$15=1,INDEX('Daily Sale entry '!$Z$1:$Z$1501,$J2312+1)="Online collection 网上收款",INDEX('Daily Sale entry '!$AA$1:$AA$1501,$J2312+1)&lt;&gt;""),N(INDEX('Daily Sale entry '!$AC$1:$AC$1501,$J2312+1))-TRUNC(N(INDEX('Daily Sale entry '!$AC$1:$AC$1501,$J2312+1))),0),N(INDEX('Daily Sale entry '!$S$1:$S$1501,$J2312-1499))-'Opening Balance'!$B$15*(N(INDEX('Daily Sale entry '!$S$1:$S$1501,$J2312-1499))-TRUNC(N(INDEX('Daily Sale entry '!$S$1:$S$1501,$J2312-1499))))))</f>
        <v/>
      </c>
      <c r="G2312" s="6">
        <f>IF($J2312="","",IF($J2312&lt;=1500,N(INDEX('Daily Sale entry '!$AD$1:$AD$1501,$J2312+1)),0))</f>
        <v/>
      </c>
      <c r="H2312" s="6">
        <f>IF($J2312="","",ROUND('Opening Balance'!$B$4+SUM($F$2:F2312)-SUM($G$2:G2312),2))</f>
        <v/>
      </c>
      <c r="J2312" s="21">
        <f>IFERROR(MATCH(ROW()-1,$L$2:$L$3001,0),"")</f>
        <v/>
      </c>
      <c r="K2312" s="34">
        <f>IF(AND('Daily Sale entry '!Q812="Collection 收款",'Daily Sale entry '!R812="Cheque 支票",'Daily Sale entry '!V812&lt;&gt;""),'Daily Sale entry '!V812+ROW()/10000000,"")</f>
        <v/>
      </c>
      <c r="L2312" s="21">
        <f>IF(K2312="","",COUNTIF($K$2:$K$3001,"&lt;"&amp;K2312)+1)</f>
        <v/>
      </c>
    </row>
    <row r="2313">
      <c r="A2313" s="5">
        <f>IF($J2313="","",IF($J2313&lt;=1500,INDEX('Daily Sale entry '!$X$1:$X$1501,$J2313+1),INDEX('Daily Sale entry '!$V$1:$V$1501,$J2313-1499)))</f>
        <v/>
      </c>
      <c r="B2313">
        <f>IF($J2313="","",IF($J2313&lt;=1500,INDEX('Daily Sale entry '!$Y$1:$Y$1501,$J2313+1)&amp;"","Buyer cheque banked 买家支票存入"&amp;IF(INDEX('Daily Sale entry '!$U$1:$U$1501,$J2313-1499)="","", " - "&amp;INDEX('Daily Sale entry '!$U$1:$U$1501,$J2313-1499))))</f>
        <v/>
      </c>
      <c r="C2313">
        <f>IF($J2313="","",IF($J2313&lt;=1500,INDEX('Daily Sale entry '!$Z$1:$Z$1501,$J2313+1)&amp;"","Cheque deposit 支票存入 (buyer 买家)"))</f>
        <v/>
      </c>
      <c r="D2313">
        <f>IF($J2313="","",IF($J2313&lt;=1500,INDEX('Daily Sale entry '!$AA$1:$AA$1501,$J2313+1)&amp;"",INDEX('Daily Sale entry '!$P$1:$P$1501,$J2313-1499)&amp;""))</f>
        <v/>
      </c>
      <c r="E2313">
        <f>IF($J2313="","",IF($J2313&lt;=1500,IF(N(INDEX('Daily Sale entry '!$AB$1:$AB$1501,$J2313+1))=0,"",INDEX('Daily Sale entry '!$AB$1:$AB$1501,$J2313+1)),1))</f>
        <v/>
      </c>
      <c r="F2313" s="6">
        <f>IF($J2313="","",IF($J2313&lt;=1500,N(INDEX('Daily Sale entry '!$AC$1:$AC$1501,$J2313+1))-IF(AND('Opening Balance'!$B$15=1,INDEX('Daily Sale entry '!$Z$1:$Z$1501,$J2313+1)="Online collection 网上收款",INDEX('Daily Sale entry '!$AA$1:$AA$1501,$J2313+1)&lt;&gt;""),N(INDEX('Daily Sale entry '!$AC$1:$AC$1501,$J2313+1))-TRUNC(N(INDEX('Daily Sale entry '!$AC$1:$AC$1501,$J2313+1))),0),N(INDEX('Daily Sale entry '!$S$1:$S$1501,$J2313-1499))-'Opening Balance'!$B$15*(N(INDEX('Daily Sale entry '!$S$1:$S$1501,$J2313-1499))-TRUNC(N(INDEX('Daily Sale entry '!$S$1:$S$1501,$J2313-1499))))))</f>
        <v/>
      </c>
      <c r="G2313" s="6">
        <f>IF($J2313="","",IF($J2313&lt;=1500,N(INDEX('Daily Sale entry '!$AD$1:$AD$1501,$J2313+1)),0))</f>
        <v/>
      </c>
      <c r="H2313" s="6">
        <f>IF($J2313="","",ROUND('Opening Balance'!$B$4+SUM($F$2:F2313)-SUM($G$2:G2313),2))</f>
        <v/>
      </c>
      <c r="J2313" s="21">
        <f>IFERROR(MATCH(ROW()-1,$L$2:$L$3001,0),"")</f>
        <v/>
      </c>
      <c r="K2313" s="34">
        <f>IF(AND('Daily Sale entry '!Q813="Collection 收款",'Daily Sale entry '!R813="Cheque 支票",'Daily Sale entry '!V813&lt;&gt;""),'Daily Sale entry '!V813+ROW()/10000000,"")</f>
        <v/>
      </c>
      <c r="L2313" s="21">
        <f>IF(K2313="","",COUNTIF($K$2:$K$3001,"&lt;"&amp;K2313)+1)</f>
        <v/>
      </c>
    </row>
    <row r="2314">
      <c r="A2314" s="5">
        <f>IF($J2314="","",IF($J2314&lt;=1500,INDEX('Daily Sale entry '!$X$1:$X$1501,$J2314+1),INDEX('Daily Sale entry '!$V$1:$V$1501,$J2314-1499)))</f>
        <v/>
      </c>
      <c r="B2314">
        <f>IF($J2314="","",IF($J2314&lt;=1500,INDEX('Daily Sale entry '!$Y$1:$Y$1501,$J2314+1)&amp;"","Buyer cheque banked 买家支票存入"&amp;IF(INDEX('Daily Sale entry '!$U$1:$U$1501,$J2314-1499)="","", " - "&amp;INDEX('Daily Sale entry '!$U$1:$U$1501,$J2314-1499))))</f>
        <v/>
      </c>
      <c r="C2314">
        <f>IF($J2314="","",IF($J2314&lt;=1500,INDEX('Daily Sale entry '!$Z$1:$Z$1501,$J2314+1)&amp;"","Cheque deposit 支票存入 (buyer 买家)"))</f>
        <v/>
      </c>
      <c r="D2314">
        <f>IF($J2314="","",IF($J2314&lt;=1500,INDEX('Daily Sale entry '!$AA$1:$AA$1501,$J2314+1)&amp;"",INDEX('Daily Sale entry '!$P$1:$P$1501,$J2314-1499)&amp;""))</f>
        <v/>
      </c>
      <c r="E2314">
        <f>IF($J2314="","",IF($J2314&lt;=1500,IF(N(INDEX('Daily Sale entry '!$AB$1:$AB$1501,$J2314+1))=0,"",INDEX('Daily Sale entry '!$AB$1:$AB$1501,$J2314+1)),1))</f>
        <v/>
      </c>
      <c r="F2314" s="6">
        <f>IF($J2314="","",IF($J2314&lt;=1500,N(INDEX('Daily Sale entry '!$AC$1:$AC$1501,$J2314+1))-IF(AND('Opening Balance'!$B$15=1,INDEX('Daily Sale entry '!$Z$1:$Z$1501,$J2314+1)="Online collection 网上收款",INDEX('Daily Sale entry '!$AA$1:$AA$1501,$J2314+1)&lt;&gt;""),N(INDEX('Daily Sale entry '!$AC$1:$AC$1501,$J2314+1))-TRUNC(N(INDEX('Daily Sale entry '!$AC$1:$AC$1501,$J2314+1))),0),N(INDEX('Daily Sale entry '!$S$1:$S$1501,$J2314-1499))-'Opening Balance'!$B$15*(N(INDEX('Daily Sale entry '!$S$1:$S$1501,$J2314-1499))-TRUNC(N(INDEX('Daily Sale entry '!$S$1:$S$1501,$J2314-1499))))))</f>
        <v/>
      </c>
      <c r="G2314" s="6">
        <f>IF($J2314="","",IF($J2314&lt;=1500,N(INDEX('Daily Sale entry '!$AD$1:$AD$1501,$J2314+1)),0))</f>
        <v/>
      </c>
      <c r="H2314" s="6">
        <f>IF($J2314="","",ROUND('Opening Balance'!$B$4+SUM($F$2:F2314)-SUM($G$2:G2314),2))</f>
        <v/>
      </c>
      <c r="J2314" s="21">
        <f>IFERROR(MATCH(ROW()-1,$L$2:$L$3001,0),"")</f>
        <v/>
      </c>
      <c r="K2314" s="34">
        <f>IF(AND('Daily Sale entry '!Q814="Collection 收款",'Daily Sale entry '!R814="Cheque 支票",'Daily Sale entry '!V814&lt;&gt;""),'Daily Sale entry '!V814+ROW()/10000000,"")</f>
        <v/>
      </c>
      <c r="L2314" s="21">
        <f>IF(K2314="","",COUNTIF($K$2:$K$3001,"&lt;"&amp;K2314)+1)</f>
        <v/>
      </c>
    </row>
    <row r="2315">
      <c r="A2315" s="5">
        <f>IF($J2315="","",IF($J2315&lt;=1500,INDEX('Daily Sale entry '!$X$1:$X$1501,$J2315+1),INDEX('Daily Sale entry '!$V$1:$V$1501,$J2315-1499)))</f>
        <v/>
      </c>
      <c r="B2315">
        <f>IF($J2315="","",IF($J2315&lt;=1500,INDEX('Daily Sale entry '!$Y$1:$Y$1501,$J2315+1)&amp;"","Buyer cheque banked 买家支票存入"&amp;IF(INDEX('Daily Sale entry '!$U$1:$U$1501,$J2315-1499)="","", " - "&amp;INDEX('Daily Sale entry '!$U$1:$U$1501,$J2315-1499))))</f>
        <v/>
      </c>
      <c r="C2315">
        <f>IF($J2315="","",IF($J2315&lt;=1500,INDEX('Daily Sale entry '!$Z$1:$Z$1501,$J2315+1)&amp;"","Cheque deposit 支票存入 (buyer 买家)"))</f>
        <v/>
      </c>
      <c r="D2315">
        <f>IF($J2315="","",IF($J2315&lt;=1500,INDEX('Daily Sale entry '!$AA$1:$AA$1501,$J2315+1)&amp;"",INDEX('Daily Sale entry '!$P$1:$P$1501,$J2315-1499)&amp;""))</f>
        <v/>
      </c>
      <c r="E2315">
        <f>IF($J2315="","",IF($J2315&lt;=1500,IF(N(INDEX('Daily Sale entry '!$AB$1:$AB$1501,$J2315+1))=0,"",INDEX('Daily Sale entry '!$AB$1:$AB$1501,$J2315+1)),1))</f>
        <v/>
      </c>
      <c r="F2315" s="6">
        <f>IF($J2315="","",IF($J2315&lt;=1500,N(INDEX('Daily Sale entry '!$AC$1:$AC$1501,$J2315+1))-IF(AND('Opening Balance'!$B$15=1,INDEX('Daily Sale entry '!$Z$1:$Z$1501,$J2315+1)="Online collection 网上收款",INDEX('Daily Sale entry '!$AA$1:$AA$1501,$J2315+1)&lt;&gt;""),N(INDEX('Daily Sale entry '!$AC$1:$AC$1501,$J2315+1))-TRUNC(N(INDEX('Daily Sale entry '!$AC$1:$AC$1501,$J2315+1))),0),N(INDEX('Daily Sale entry '!$S$1:$S$1501,$J2315-1499))-'Opening Balance'!$B$15*(N(INDEX('Daily Sale entry '!$S$1:$S$1501,$J2315-1499))-TRUNC(N(INDEX('Daily Sale entry '!$S$1:$S$1501,$J2315-1499))))))</f>
        <v/>
      </c>
      <c r="G2315" s="6">
        <f>IF($J2315="","",IF($J2315&lt;=1500,N(INDEX('Daily Sale entry '!$AD$1:$AD$1501,$J2315+1)),0))</f>
        <v/>
      </c>
      <c r="H2315" s="6">
        <f>IF($J2315="","",ROUND('Opening Balance'!$B$4+SUM($F$2:F2315)-SUM($G$2:G2315),2))</f>
        <v/>
      </c>
      <c r="J2315" s="21">
        <f>IFERROR(MATCH(ROW()-1,$L$2:$L$3001,0),"")</f>
        <v/>
      </c>
      <c r="K2315" s="34">
        <f>IF(AND('Daily Sale entry '!Q815="Collection 收款",'Daily Sale entry '!R815="Cheque 支票",'Daily Sale entry '!V815&lt;&gt;""),'Daily Sale entry '!V815+ROW()/10000000,"")</f>
        <v/>
      </c>
      <c r="L2315" s="21">
        <f>IF(K2315="","",COUNTIF($K$2:$K$3001,"&lt;"&amp;K2315)+1)</f>
        <v/>
      </c>
    </row>
    <row r="2316">
      <c r="A2316" s="5">
        <f>IF($J2316="","",IF($J2316&lt;=1500,INDEX('Daily Sale entry '!$X$1:$X$1501,$J2316+1),INDEX('Daily Sale entry '!$V$1:$V$1501,$J2316-1499)))</f>
        <v/>
      </c>
      <c r="B2316">
        <f>IF($J2316="","",IF($J2316&lt;=1500,INDEX('Daily Sale entry '!$Y$1:$Y$1501,$J2316+1)&amp;"","Buyer cheque banked 买家支票存入"&amp;IF(INDEX('Daily Sale entry '!$U$1:$U$1501,$J2316-1499)="","", " - "&amp;INDEX('Daily Sale entry '!$U$1:$U$1501,$J2316-1499))))</f>
        <v/>
      </c>
      <c r="C2316">
        <f>IF($J2316="","",IF($J2316&lt;=1500,INDEX('Daily Sale entry '!$Z$1:$Z$1501,$J2316+1)&amp;"","Cheque deposit 支票存入 (buyer 买家)"))</f>
        <v/>
      </c>
      <c r="D2316">
        <f>IF($J2316="","",IF($J2316&lt;=1500,INDEX('Daily Sale entry '!$AA$1:$AA$1501,$J2316+1)&amp;"",INDEX('Daily Sale entry '!$P$1:$P$1501,$J2316-1499)&amp;""))</f>
        <v/>
      </c>
      <c r="E2316">
        <f>IF($J2316="","",IF($J2316&lt;=1500,IF(N(INDEX('Daily Sale entry '!$AB$1:$AB$1501,$J2316+1))=0,"",INDEX('Daily Sale entry '!$AB$1:$AB$1501,$J2316+1)),1))</f>
        <v/>
      </c>
      <c r="F2316" s="6">
        <f>IF($J2316="","",IF($J2316&lt;=1500,N(INDEX('Daily Sale entry '!$AC$1:$AC$1501,$J2316+1))-IF(AND('Opening Balance'!$B$15=1,INDEX('Daily Sale entry '!$Z$1:$Z$1501,$J2316+1)="Online collection 网上收款",INDEX('Daily Sale entry '!$AA$1:$AA$1501,$J2316+1)&lt;&gt;""),N(INDEX('Daily Sale entry '!$AC$1:$AC$1501,$J2316+1))-TRUNC(N(INDEX('Daily Sale entry '!$AC$1:$AC$1501,$J2316+1))),0),N(INDEX('Daily Sale entry '!$S$1:$S$1501,$J2316-1499))-'Opening Balance'!$B$15*(N(INDEX('Daily Sale entry '!$S$1:$S$1501,$J2316-1499))-TRUNC(N(INDEX('Daily Sale entry '!$S$1:$S$1501,$J2316-1499))))))</f>
        <v/>
      </c>
      <c r="G2316" s="6">
        <f>IF($J2316="","",IF($J2316&lt;=1500,N(INDEX('Daily Sale entry '!$AD$1:$AD$1501,$J2316+1)),0))</f>
        <v/>
      </c>
      <c r="H2316" s="6">
        <f>IF($J2316="","",ROUND('Opening Balance'!$B$4+SUM($F$2:F2316)-SUM($G$2:G2316),2))</f>
        <v/>
      </c>
      <c r="J2316" s="21">
        <f>IFERROR(MATCH(ROW()-1,$L$2:$L$3001,0),"")</f>
        <v/>
      </c>
      <c r="K2316" s="34">
        <f>IF(AND('Daily Sale entry '!Q816="Collection 收款",'Daily Sale entry '!R816="Cheque 支票",'Daily Sale entry '!V816&lt;&gt;""),'Daily Sale entry '!V816+ROW()/10000000,"")</f>
        <v/>
      </c>
      <c r="L2316" s="21">
        <f>IF(K2316="","",COUNTIF($K$2:$K$3001,"&lt;"&amp;K2316)+1)</f>
        <v/>
      </c>
    </row>
    <row r="2317">
      <c r="A2317" s="5">
        <f>IF($J2317="","",IF($J2317&lt;=1500,INDEX('Daily Sale entry '!$X$1:$X$1501,$J2317+1),INDEX('Daily Sale entry '!$V$1:$V$1501,$J2317-1499)))</f>
        <v/>
      </c>
      <c r="B2317">
        <f>IF($J2317="","",IF($J2317&lt;=1500,INDEX('Daily Sale entry '!$Y$1:$Y$1501,$J2317+1)&amp;"","Buyer cheque banked 买家支票存入"&amp;IF(INDEX('Daily Sale entry '!$U$1:$U$1501,$J2317-1499)="","", " - "&amp;INDEX('Daily Sale entry '!$U$1:$U$1501,$J2317-1499))))</f>
        <v/>
      </c>
      <c r="C2317">
        <f>IF($J2317="","",IF($J2317&lt;=1500,INDEX('Daily Sale entry '!$Z$1:$Z$1501,$J2317+1)&amp;"","Cheque deposit 支票存入 (buyer 买家)"))</f>
        <v/>
      </c>
      <c r="D2317">
        <f>IF($J2317="","",IF($J2317&lt;=1500,INDEX('Daily Sale entry '!$AA$1:$AA$1501,$J2317+1)&amp;"",INDEX('Daily Sale entry '!$P$1:$P$1501,$J2317-1499)&amp;""))</f>
        <v/>
      </c>
      <c r="E2317">
        <f>IF($J2317="","",IF($J2317&lt;=1500,IF(N(INDEX('Daily Sale entry '!$AB$1:$AB$1501,$J2317+1))=0,"",INDEX('Daily Sale entry '!$AB$1:$AB$1501,$J2317+1)),1))</f>
        <v/>
      </c>
      <c r="F2317" s="6">
        <f>IF($J2317="","",IF($J2317&lt;=1500,N(INDEX('Daily Sale entry '!$AC$1:$AC$1501,$J2317+1))-IF(AND('Opening Balance'!$B$15=1,INDEX('Daily Sale entry '!$Z$1:$Z$1501,$J2317+1)="Online collection 网上收款",INDEX('Daily Sale entry '!$AA$1:$AA$1501,$J2317+1)&lt;&gt;""),N(INDEX('Daily Sale entry '!$AC$1:$AC$1501,$J2317+1))-TRUNC(N(INDEX('Daily Sale entry '!$AC$1:$AC$1501,$J2317+1))),0),N(INDEX('Daily Sale entry '!$S$1:$S$1501,$J2317-1499))-'Opening Balance'!$B$15*(N(INDEX('Daily Sale entry '!$S$1:$S$1501,$J2317-1499))-TRUNC(N(INDEX('Daily Sale entry '!$S$1:$S$1501,$J2317-1499))))))</f>
        <v/>
      </c>
      <c r="G2317" s="6">
        <f>IF($J2317="","",IF($J2317&lt;=1500,N(INDEX('Daily Sale entry '!$AD$1:$AD$1501,$J2317+1)),0))</f>
        <v/>
      </c>
      <c r="H2317" s="6">
        <f>IF($J2317="","",ROUND('Opening Balance'!$B$4+SUM($F$2:F2317)-SUM($G$2:G2317),2))</f>
        <v/>
      </c>
      <c r="J2317" s="21">
        <f>IFERROR(MATCH(ROW()-1,$L$2:$L$3001,0),"")</f>
        <v/>
      </c>
      <c r="K2317" s="34">
        <f>IF(AND('Daily Sale entry '!Q817="Collection 收款",'Daily Sale entry '!R817="Cheque 支票",'Daily Sale entry '!V817&lt;&gt;""),'Daily Sale entry '!V817+ROW()/10000000,"")</f>
        <v/>
      </c>
      <c r="L2317" s="21">
        <f>IF(K2317="","",COUNTIF($K$2:$K$3001,"&lt;"&amp;K2317)+1)</f>
        <v/>
      </c>
    </row>
    <row r="2318">
      <c r="A2318" s="5">
        <f>IF($J2318="","",IF($J2318&lt;=1500,INDEX('Daily Sale entry '!$X$1:$X$1501,$J2318+1),INDEX('Daily Sale entry '!$V$1:$V$1501,$J2318-1499)))</f>
        <v/>
      </c>
      <c r="B2318">
        <f>IF($J2318="","",IF($J2318&lt;=1500,INDEX('Daily Sale entry '!$Y$1:$Y$1501,$J2318+1)&amp;"","Buyer cheque banked 买家支票存入"&amp;IF(INDEX('Daily Sale entry '!$U$1:$U$1501,$J2318-1499)="","", " - "&amp;INDEX('Daily Sale entry '!$U$1:$U$1501,$J2318-1499))))</f>
        <v/>
      </c>
      <c r="C2318">
        <f>IF($J2318="","",IF($J2318&lt;=1500,INDEX('Daily Sale entry '!$Z$1:$Z$1501,$J2318+1)&amp;"","Cheque deposit 支票存入 (buyer 买家)"))</f>
        <v/>
      </c>
      <c r="D2318">
        <f>IF($J2318="","",IF($J2318&lt;=1500,INDEX('Daily Sale entry '!$AA$1:$AA$1501,$J2318+1)&amp;"",INDEX('Daily Sale entry '!$P$1:$P$1501,$J2318-1499)&amp;""))</f>
        <v/>
      </c>
      <c r="E2318">
        <f>IF($J2318="","",IF($J2318&lt;=1500,IF(N(INDEX('Daily Sale entry '!$AB$1:$AB$1501,$J2318+1))=0,"",INDEX('Daily Sale entry '!$AB$1:$AB$1501,$J2318+1)),1))</f>
        <v/>
      </c>
      <c r="F2318" s="6">
        <f>IF($J2318="","",IF($J2318&lt;=1500,N(INDEX('Daily Sale entry '!$AC$1:$AC$1501,$J2318+1))-IF(AND('Opening Balance'!$B$15=1,INDEX('Daily Sale entry '!$Z$1:$Z$1501,$J2318+1)="Online collection 网上收款",INDEX('Daily Sale entry '!$AA$1:$AA$1501,$J2318+1)&lt;&gt;""),N(INDEX('Daily Sale entry '!$AC$1:$AC$1501,$J2318+1))-TRUNC(N(INDEX('Daily Sale entry '!$AC$1:$AC$1501,$J2318+1))),0),N(INDEX('Daily Sale entry '!$S$1:$S$1501,$J2318-1499))-'Opening Balance'!$B$15*(N(INDEX('Daily Sale entry '!$S$1:$S$1501,$J2318-1499))-TRUNC(N(INDEX('Daily Sale entry '!$S$1:$S$1501,$J2318-1499))))))</f>
        <v/>
      </c>
      <c r="G2318" s="6">
        <f>IF($J2318="","",IF($J2318&lt;=1500,N(INDEX('Daily Sale entry '!$AD$1:$AD$1501,$J2318+1)),0))</f>
        <v/>
      </c>
      <c r="H2318" s="6">
        <f>IF($J2318="","",ROUND('Opening Balance'!$B$4+SUM($F$2:F2318)-SUM($G$2:G2318),2))</f>
        <v/>
      </c>
      <c r="J2318" s="21">
        <f>IFERROR(MATCH(ROW()-1,$L$2:$L$3001,0),"")</f>
        <v/>
      </c>
      <c r="K2318" s="34">
        <f>IF(AND('Daily Sale entry '!Q818="Collection 收款",'Daily Sale entry '!R818="Cheque 支票",'Daily Sale entry '!V818&lt;&gt;""),'Daily Sale entry '!V818+ROW()/10000000,"")</f>
        <v/>
      </c>
      <c r="L2318" s="21">
        <f>IF(K2318="","",COUNTIF($K$2:$K$3001,"&lt;"&amp;K2318)+1)</f>
        <v/>
      </c>
    </row>
    <row r="2319">
      <c r="A2319" s="5">
        <f>IF($J2319="","",IF($J2319&lt;=1500,INDEX('Daily Sale entry '!$X$1:$X$1501,$J2319+1),INDEX('Daily Sale entry '!$V$1:$V$1501,$J2319-1499)))</f>
        <v/>
      </c>
      <c r="B2319">
        <f>IF($J2319="","",IF($J2319&lt;=1500,INDEX('Daily Sale entry '!$Y$1:$Y$1501,$J2319+1)&amp;"","Buyer cheque banked 买家支票存入"&amp;IF(INDEX('Daily Sale entry '!$U$1:$U$1501,$J2319-1499)="","", " - "&amp;INDEX('Daily Sale entry '!$U$1:$U$1501,$J2319-1499))))</f>
        <v/>
      </c>
      <c r="C2319">
        <f>IF($J2319="","",IF($J2319&lt;=1500,INDEX('Daily Sale entry '!$Z$1:$Z$1501,$J2319+1)&amp;"","Cheque deposit 支票存入 (buyer 买家)"))</f>
        <v/>
      </c>
      <c r="D2319">
        <f>IF($J2319="","",IF($J2319&lt;=1500,INDEX('Daily Sale entry '!$AA$1:$AA$1501,$J2319+1)&amp;"",INDEX('Daily Sale entry '!$P$1:$P$1501,$J2319-1499)&amp;""))</f>
        <v/>
      </c>
      <c r="E2319">
        <f>IF($J2319="","",IF($J2319&lt;=1500,IF(N(INDEX('Daily Sale entry '!$AB$1:$AB$1501,$J2319+1))=0,"",INDEX('Daily Sale entry '!$AB$1:$AB$1501,$J2319+1)),1))</f>
        <v/>
      </c>
      <c r="F2319" s="6">
        <f>IF($J2319="","",IF($J2319&lt;=1500,N(INDEX('Daily Sale entry '!$AC$1:$AC$1501,$J2319+1))-IF(AND('Opening Balance'!$B$15=1,INDEX('Daily Sale entry '!$Z$1:$Z$1501,$J2319+1)="Online collection 网上收款",INDEX('Daily Sale entry '!$AA$1:$AA$1501,$J2319+1)&lt;&gt;""),N(INDEX('Daily Sale entry '!$AC$1:$AC$1501,$J2319+1))-TRUNC(N(INDEX('Daily Sale entry '!$AC$1:$AC$1501,$J2319+1))),0),N(INDEX('Daily Sale entry '!$S$1:$S$1501,$J2319-1499))-'Opening Balance'!$B$15*(N(INDEX('Daily Sale entry '!$S$1:$S$1501,$J2319-1499))-TRUNC(N(INDEX('Daily Sale entry '!$S$1:$S$1501,$J2319-1499))))))</f>
        <v/>
      </c>
      <c r="G2319" s="6">
        <f>IF($J2319="","",IF($J2319&lt;=1500,N(INDEX('Daily Sale entry '!$AD$1:$AD$1501,$J2319+1)),0))</f>
        <v/>
      </c>
      <c r="H2319" s="6">
        <f>IF($J2319="","",ROUND('Opening Balance'!$B$4+SUM($F$2:F2319)-SUM($G$2:G2319),2))</f>
        <v/>
      </c>
      <c r="J2319" s="21">
        <f>IFERROR(MATCH(ROW()-1,$L$2:$L$3001,0),"")</f>
        <v/>
      </c>
      <c r="K2319" s="34">
        <f>IF(AND('Daily Sale entry '!Q819="Collection 收款",'Daily Sale entry '!R819="Cheque 支票",'Daily Sale entry '!V819&lt;&gt;""),'Daily Sale entry '!V819+ROW()/10000000,"")</f>
        <v/>
      </c>
      <c r="L2319" s="21">
        <f>IF(K2319="","",COUNTIF($K$2:$K$3001,"&lt;"&amp;K2319)+1)</f>
        <v/>
      </c>
    </row>
    <row r="2320">
      <c r="A2320" s="5">
        <f>IF($J2320="","",IF($J2320&lt;=1500,INDEX('Daily Sale entry '!$X$1:$X$1501,$J2320+1),INDEX('Daily Sale entry '!$V$1:$V$1501,$J2320-1499)))</f>
        <v/>
      </c>
      <c r="B2320">
        <f>IF($J2320="","",IF($J2320&lt;=1500,INDEX('Daily Sale entry '!$Y$1:$Y$1501,$J2320+1)&amp;"","Buyer cheque banked 买家支票存入"&amp;IF(INDEX('Daily Sale entry '!$U$1:$U$1501,$J2320-1499)="","", " - "&amp;INDEX('Daily Sale entry '!$U$1:$U$1501,$J2320-1499))))</f>
        <v/>
      </c>
      <c r="C2320">
        <f>IF($J2320="","",IF($J2320&lt;=1500,INDEX('Daily Sale entry '!$Z$1:$Z$1501,$J2320+1)&amp;"","Cheque deposit 支票存入 (buyer 买家)"))</f>
        <v/>
      </c>
      <c r="D2320">
        <f>IF($J2320="","",IF($J2320&lt;=1500,INDEX('Daily Sale entry '!$AA$1:$AA$1501,$J2320+1)&amp;"",INDEX('Daily Sale entry '!$P$1:$P$1501,$J2320-1499)&amp;""))</f>
        <v/>
      </c>
      <c r="E2320">
        <f>IF($J2320="","",IF($J2320&lt;=1500,IF(N(INDEX('Daily Sale entry '!$AB$1:$AB$1501,$J2320+1))=0,"",INDEX('Daily Sale entry '!$AB$1:$AB$1501,$J2320+1)),1))</f>
        <v/>
      </c>
      <c r="F2320" s="6">
        <f>IF($J2320="","",IF($J2320&lt;=1500,N(INDEX('Daily Sale entry '!$AC$1:$AC$1501,$J2320+1))-IF(AND('Opening Balance'!$B$15=1,INDEX('Daily Sale entry '!$Z$1:$Z$1501,$J2320+1)="Online collection 网上收款",INDEX('Daily Sale entry '!$AA$1:$AA$1501,$J2320+1)&lt;&gt;""),N(INDEX('Daily Sale entry '!$AC$1:$AC$1501,$J2320+1))-TRUNC(N(INDEX('Daily Sale entry '!$AC$1:$AC$1501,$J2320+1))),0),N(INDEX('Daily Sale entry '!$S$1:$S$1501,$J2320-1499))-'Opening Balance'!$B$15*(N(INDEX('Daily Sale entry '!$S$1:$S$1501,$J2320-1499))-TRUNC(N(INDEX('Daily Sale entry '!$S$1:$S$1501,$J2320-1499))))))</f>
        <v/>
      </c>
      <c r="G2320" s="6">
        <f>IF($J2320="","",IF($J2320&lt;=1500,N(INDEX('Daily Sale entry '!$AD$1:$AD$1501,$J2320+1)),0))</f>
        <v/>
      </c>
      <c r="H2320" s="6">
        <f>IF($J2320="","",ROUND('Opening Balance'!$B$4+SUM($F$2:F2320)-SUM($G$2:G2320),2))</f>
        <v/>
      </c>
      <c r="J2320" s="21">
        <f>IFERROR(MATCH(ROW()-1,$L$2:$L$3001,0),"")</f>
        <v/>
      </c>
      <c r="K2320" s="34">
        <f>IF(AND('Daily Sale entry '!Q820="Collection 收款",'Daily Sale entry '!R820="Cheque 支票",'Daily Sale entry '!V820&lt;&gt;""),'Daily Sale entry '!V820+ROW()/10000000,"")</f>
        <v/>
      </c>
      <c r="L2320" s="21">
        <f>IF(K2320="","",COUNTIF($K$2:$K$3001,"&lt;"&amp;K2320)+1)</f>
        <v/>
      </c>
    </row>
    <row r="2321">
      <c r="A2321" s="5">
        <f>IF($J2321="","",IF($J2321&lt;=1500,INDEX('Daily Sale entry '!$X$1:$X$1501,$J2321+1),INDEX('Daily Sale entry '!$V$1:$V$1501,$J2321-1499)))</f>
        <v/>
      </c>
      <c r="B2321">
        <f>IF($J2321="","",IF($J2321&lt;=1500,INDEX('Daily Sale entry '!$Y$1:$Y$1501,$J2321+1)&amp;"","Buyer cheque banked 买家支票存入"&amp;IF(INDEX('Daily Sale entry '!$U$1:$U$1501,$J2321-1499)="","", " - "&amp;INDEX('Daily Sale entry '!$U$1:$U$1501,$J2321-1499))))</f>
        <v/>
      </c>
      <c r="C2321">
        <f>IF($J2321="","",IF($J2321&lt;=1500,INDEX('Daily Sale entry '!$Z$1:$Z$1501,$J2321+1)&amp;"","Cheque deposit 支票存入 (buyer 买家)"))</f>
        <v/>
      </c>
      <c r="D2321">
        <f>IF($J2321="","",IF($J2321&lt;=1500,INDEX('Daily Sale entry '!$AA$1:$AA$1501,$J2321+1)&amp;"",INDEX('Daily Sale entry '!$P$1:$P$1501,$J2321-1499)&amp;""))</f>
        <v/>
      </c>
      <c r="E2321">
        <f>IF($J2321="","",IF($J2321&lt;=1500,IF(N(INDEX('Daily Sale entry '!$AB$1:$AB$1501,$J2321+1))=0,"",INDEX('Daily Sale entry '!$AB$1:$AB$1501,$J2321+1)),1))</f>
        <v/>
      </c>
      <c r="F2321" s="6">
        <f>IF($J2321="","",IF($J2321&lt;=1500,N(INDEX('Daily Sale entry '!$AC$1:$AC$1501,$J2321+1))-IF(AND('Opening Balance'!$B$15=1,INDEX('Daily Sale entry '!$Z$1:$Z$1501,$J2321+1)="Online collection 网上收款",INDEX('Daily Sale entry '!$AA$1:$AA$1501,$J2321+1)&lt;&gt;""),N(INDEX('Daily Sale entry '!$AC$1:$AC$1501,$J2321+1))-TRUNC(N(INDEX('Daily Sale entry '!$AC$1:$AC$1501,$J2321+1))),0),N(INDEX('Daily Sale entry '!$S$1:$S$1501,$J2321-1499))-'Opening Balance'!$B$15*(N(INDEX('Daily Sale entry '!$S$1:$S$1501,$J2321-1499))-TRUNC(N(INDEX('Daily Sale entry '!$S$1:$S$1501,$J2321-1499))))))</f>
        <v/>
      </c>
      <c r="G2321" s="6">
        <f>IF($J2321="","",IF($J2321&lt;=1500,N(INDEX('Daily Sale entry '!$AD$1:$AD$1501,$J2321+1)),0))</f>
        <v/>
      </c>
      <c r="H2321" s="6">
        <f>IF($J2321="","",ROUND('Opening Balance'!$B$4+SUM($F$2:F2321)-SUM($G$2:G2321),2))</f>
        <v/>
      </c>
      <c r="J2321" s="21">
        <f>IFERROR(MATCH(ROW()-1,$L$2:$L$3001,0),"")</f>
        <v/>
      </c>
      <c r="K2321" s="34">
        <f>IF(AND('Daily Sale entry '!Q821="Collection 收款",'Daily Sale entry '!R821="Cheque 支票",'Daily Sale entry '!V821&lt;&gt;""),'Daily Sale entry '!V821+ROW()/10000000,"")</f>
        <v/>
      </c>
      <c r="L2321" s="21">
        <f>IF(K2321="","",COUNTIF($K$2:$K$3001,"&lt;"&amp;K2321)+1)</f>
        <v/>
      </c>
    </row>
    <row r="2322">
      <c r="A2322" s="5">
        <f>IF($J2322="","",IF($J2322&lt;=1500,INDEX('Daily Sale entry '!$X$1:$X$1501,$J2322+1),INDEX('Daily Sale entry '!$V$1:$V$1501,$J2322-1499)))</f>
        <v/>
      </c>
      <c r="B2322">
        <f>IF($J2322="","",IF($J2322&lt;=1500,INDEX('Daily Sale entry '!$Y$1:$Y$1501,$J2322+1)&amp;"","Buyer cheque banked 买家支票存入"&amp;IF(INDEX('Daily Sale entry '!$U$1:$U$1501,$J2322-1499)="","", " - "&amp;INDEX('Daily Sale entry '!$U$1:$U$1501,$J2322-1499))))</f>
        <v/>
      </c>
      <c r="C2322">
        <f>IF($J2322="","",IF($J2322&lt;=1500,INDEX('Daily Sale entry '!$Z$1:$Z$1501,$J2322+1)&amp;"","Cheque deposit 支票存入 (buyer 买家)"))</f>
        <v/>
      </c>
      <c r="D2322">
        <f>IF($J2322="","",IF($J2322&lt;=1500,INDEX('Daily Sale entry '!$AA$1:$AA$1501,$J2322+1)&amp;"",INDEX('Daily Sale entry '!$P$1:$P$1501,$J2322-1499)&amp;""))</f>
        <v/>
      </c>
      <c r="E2322">
        <f>IF($J2322="","",IF($J2322&lt;=1500,IF(N(INDEX('Daily Sale entry '!$AB$1:$AB$1501,$J2322+1))=0,"",INDEX('Daily Sale entry '!$AB$1:$AB$1501,$J2322+1)),1))</f>
        <v/>
      </c>
      <c r="F2322" s="6">
        <f>IF($J2322="","",IF($J2322&lt;=1500,N(INDEX('Daily Sale entry '!$AC$1:$AC$1501,$J2322+1))-IF(AND('Opening Balance'!$B$15=1,INDEX('Daily Sale entry '!$Z$1:$Z$1501,$J2322+1)="Online collection 网上收款",INDEX('Daily Sale entry '!$AA$1:$AA$1501,$J2322+1)&lt;&gt;""),N(INDEX('Daily Sale entry '!$AC$1:$AC$1501,$J2322+1))-TRUNC(N(INDEX('Daily Sale entry '!$AC$1:$AC$1501,$J2322+1))),0),N(INDEX('Daily Sale entry '!$S$1:$S$1501,$J2322-1499))-'Opening Balance'!$B$15*(N(INDEX('Daily Sale entry '!$S$1:$S$1501,$J2322-1499))-TRUNC(N(INDEX('Daily Sale entry '!$S$1:$S$1501,$J2322-1499))))))</f>
        <v/>
      </c>
      <c r="G2322" s="6">
        <f>IF($J2322="","",IF($J2322&lt;=1500,N(INDEX('Daily Sale entry '!$AD$1:$AD$1501,$J2322+1)),0))</f>
        <v/>
      </c>
      <c r="H2322" s="6">
        <f>IF($J2322="","",ROUND('Opening Balance'!$B$4+SUM($F$2:F2322)-SUM($G$2:G2322),2))</f>
        <v/>
      </c>
      <c r="J2322" s="21">
        <f>IFERROR(MATCH(ROW()-1,$L$2:$L$3001,0),"")</f>
        <v/>
      </c>
      <c r="K2322" s="34">
        <f>IF(AND('Daily Sale entry '!Q822="Collection 收款",'Daily Sale entry '!R822="Cheque 支票",'Daily Sale entry '!V822&lt;&gt;""),'Daily Sale entry '!V822+ROW()/10000000,"")</f>
        <v/>
      </c>
      <c r="L2322" s="21">
        <f>IF(K2322="","",COUNTIF($K$2:$K$3001,"&lt;"&amp;K2322)+1)</f>
        <v/>
      </c>
    </row>
    <row r="2323">
      <c r="A2323" s="5">
        <f>IF($J2323="","",IF($J2323&lt;=1500,INDEX('Daily Sale entry '!$X$1:$X$1501,$J2323+1),INDEX('Daily Sale entry '!$V$1:$V$1501,$J2323-1499)))</f>
        <v/>
      </c>
      <c r="B2323">
        <f>IF($J2323="","",IF($J2323&lt;=1500,INDEX('Daily Sale entry '!$Y$1:$Y$1501,$J2323+1)&amp;"","Buyer cheque banked 买家支票存入"&amp;IF(INDEX('Daily Sale entry '!$U$1:$U$1501,$J2323-1499)="","", " - "&amp;INDEX('Daily Sale entry '!$U$1:$U$1501,$J2323-1499))))</f>
        <v/>
      </c>
      <c r="C2323">
        <f>IF($J2323="","",IF($J2323&lt;=1500,INDEX('Daily Sale entry '!$Z$1:$Z$1501,$J2323+1)&amp;"","Cheque deposit 支票存入 (buyer 买家)"))</f>
        <v/>
      </c>
      <c r="D2323">
        <f>IF($J2323="","",IF($J2323&lt;=1500,INDEX('Daily Sale entry '!$AA$1:$AA$1501,$J2323+1)&amp;"",INDEX('Daily Sale entry '!$P$1:$P$1501,$J2323-1499)&amp;""))</f>
        <v/>
      </c>
      <c r="E2323">
        <f>IF($J2323="","",IF($J2323&lt;=1500,IF(N(INDEX('Daily Sale entry '!$AB$1:$AB$1501,$J2323+1))=0,"",INDEX('Daily Sale entry '!$AB$1:$AB$1501,$J2323+1)),1))</f>
        <v/>
      </c>
      <c r="F2323" s="6">
        <f>IF($J2323="","",IF($J2323&lt;=1500,N(INDEX('Daily Sale entry '!$AC$1:$AC$1501,$J2323+1))-IF(AND('Opening Balance'!$B$15=1,INDEX('Daily Sale entry '!$Z$1:$Z$1501,$J2323+1)="Online collection 网上收款",INDEX('Daily Sale entry '!$AA$1:$AA$1501,$J2323+1)&lt;&gt;""),N(INDEX('Daily Sale entry '!$AC$1:$AC$1501,$J2323+1))-TRUNC(N(INDEX('Daily Sale entry '!$AC$1:$AC$1501,$J2323+1))),0),N(INDEX('Daily Sale entry '!$S$1:$S$1501,$J2323-1499))-'Opening Balance'!$B$15*(N(INDEX('Daily Sale entry '!$S$1:$S$1501,$J2323-1499))-TRUNC(N(INDEX('Daily Sale entry '!$S$1:$S$1501,$J2323-1499))))))</f>
        <v/>
      </c>
      <c r="G2323" s="6">
        <f>IF($J2323="","",IF($J2323&lt;=1500,N(INDEX('Daily Sale entry '!$AD$1:$AD$1501,$J2323+1)),0))</f>
        <v/>
      </c>
      <c r="H2323" s="6">
        <f>IF($J2323="","",ROUND('Opening Balance'!$B$4+SUM($F$2:F2323)-SUM($G$2:G2323),2))</f>
        <v/>
      </c>
      <c r="J2323" s="21">
        <f>IFERROR(MATCH(ROW()-1,$L$2:$L$3001,0),"")</f>
        <v/>
      </c>
      <c r="K2323" s="34">
        <f>IF(AND('Daily Sale entry '!Q823="Collection 收款",'Daily Sale entry '!R823="Cheque 支票",'Daily Sale entry '!V823&lt;&gt;""),'Daily Sale entry '!V823+ROW()/10000000,"")</f>
        <v/>
      </c>
      <c r="L2323" s="21">
        <f>IF(K2323="","",COUNTIF($K$2:$K$3001,"&lt;"&amp;K2323)+1)</f>
        <v/>
      </c>
    </row>
    <row r="2324">
      <c r="A2324" s="5">
        <f>IF($J2324="","",IF($J2324&lt;=1500,INDEX('Daily Sale entry '!$X$1:$X$1501,$J2324+1),INDEX('Daily Sale entry '!$V$1:$V$1501,$J2324-1499)))</f>
        <v/>
      </c>
      <c r="B2324">
        <f>IF($J2324="","",IF($J2324&lt;=1500,INDEX('Daily Sale entry '!$Y$1:$Y$1501,$J2324+1)&amp;"","Buyer cheque banked 买家支票存入"&amp;IF(INDEX('Daily Sale entry '!$U$1:$U$1501,$J2324-1499)="","", " - "&amp;INDEX('Daily Sale entry '!$U$1:$U$1501,$J2324-1499))))</f>
        <v/>
      </c>
      <c r="C2324">
        <f>IF($J2324="","",IF($J2324&lt;=1500,INDEX('Daily Sale entry '!$Z$1:$Z$1501,$J2324+1)&amp;"","Cheque deposit 支票存入 (buyer 买家)"))</f>
        <v/>
      </c>
      <c r="D2324">
        <f>IF($J2324="","",IF($J2324&lt;=1500,INDEX('Daily Sale entry '!$AA$1:$AA$1501,$J2324+1)&amp;"",INDEX('Daily Sale entry '!$P$1:$P$1501,$J2324-1499)&amp;""))</f>
        <v/>
      </c>
      <c r="E2324">
        <f>IF($J2324="","",IF($J2324&lt;=1500,IF(N(INDEX('Daily Sale entry '!$AB$1:$AB$1501,$J2324+1))=0,"",INDEX('Daily Sale entry '!$AB$1:$AB$1501,$J2324+1)),1))</f>
        <v/>
      </c>
      <c r="F2324" s="6">
        <f>IF($J2324="","",IF($J2324&lt;=1500,N(INDEX('Daily Sale entry '!$AC$1:$AC$1501,$J2324+1))-IF(AND('Opening Balance'!$B$15=1,INDEX('Daily Sale entry '!$Z$1:$Z$1501,$J2324+1)="Online collection 网上收款",INDEX('Daily Sale entry '!$AA$1:$AA$1501,$J2324+1)&lt;&gt;""),N(INDEX('Daily Sale entry '!$AC$1:$AC$1501,$J2324+1))-TRUNC(N(INDEX('Daily Sale entry '!$AC$1:$AC$1501,$J2324+1))),0),N(INDEX('Daily Sale entry '!$S$1:$S$1501,$J2324-1499))-'Opening Balance'!$B$15*(N(INDEX('Daily Sale entry '!$S$1:$S$1501,$J2324-1499))-TRUNC(N(INDEX('Daily Sale entry '!$S$1:$S$1501,$J2324-1499))))))</f>
        <v/>
      </c>
      <c r="G2324" s="6">
        <f>IF($J2324="","",IF($J2324&lt;=1500,N(INDEX('Daily Sale entry '!$AD$1:$AD$1501,$J2324+1)),0))</f>
        <v/>
      </c>
      <c r="H2324" s="6">
        <f>IF($J2324="","",ROUND('Opening Balance'!$B$4+SUM($F$2:F2324)-SUM($G$2:G2324),2))</f>
        <v/>
      </c>
      <c r="J2324" s="21">
        <f>IFERROR(MATCH(ROW()-1,$L$2:$L$3001,0),"")</f>
        <v/>
      </c>
      <c r="K2324" s="34">
        <f>IF(AND('Daily Sale entry '!Q824="Collection 收款",'Daily Sale entry '!R824="Cheque 支票",'Daily Sale entry '!V824&lt;&gt;""),'Daily Sale entry '!V824+ROW()/10000000,"")</f>
        <v/>
      </c>
      <c r="L2324" s="21">
        <f>IF(K2324="","",COUNTIF($K$2:$K$3001,"&lt;"&amp;K2324)+1)</f>
        <v/>
      </c>
    </row>
    <row r="2325">
      <c r="A2325" s="5">
        <f>IF($J2325="","",IF($J2325&lt;=1500,INDEX('Daily Sale entry '!$X$1:$X$1501,$J2325+1),INDEX('Daily Sale entry '!$V$1:$V$1501,$J2325-1499)))</f>
        <v/>
      </c>
      <c r="B2325">
        <f>IF($J2325="","",IF($J2325&lt;=1500,INDEX('Daily Sale entry '!$Y$1:$Y$1501,$J2325+1)&amp;"","Buyer cheque banked 买家支票存入"&amp;IF(INDEX('Daily Sale entry '!$U$1:$U$1501,$J2325-1499)="","", " - "&amp;INDEX('Daily Sale entry '!$U$1:$U$1501,$J2325-1499))))</f>
        <v/>
      </c>
      <c r="C2325">
        <f>IF($J2325="","",IF($J2325&lt;=1500,INDEX('Daily Sale entry '!$Z$1:$Z$1501,$J2325+1)&amp;"","Cheque deposit 支票存入 (buyer 买家)"))</f>
        <v/>
      </c>
      <c r="D2325">
        <f>IF($J2325="","",IF($J2325&lt;=1500,INDEX('Daily Sale entry '!$AA$1:$AA$1501,$J2325+1)&amp;"",INDEX('Daily Sale entry '!$P$1:$P$1501,$J2325-1499)&amp;""))</f>
        <v/>
      </c>
      <c r="E2325">
        <f>IF($J2325="","",IF($J2325&lt;=1500,IF(N(INDEX('Daily Sale entry '!$AB$1:$AB$1501,$J2325+1))=0,"",INDEX('Daily Sale entry '!$AB$1:$AB$1501,$J2325+1)),1))</f>
        <v/>
      </c>
      <c r="F2325" s="6">
        <f>IF($J2325="","",IF($J2325&lt;=1500,N(INDEX('Daily Sale entry '!$AC$1:$AC$1501,$J2325+1))-IF(AND('Opening Balance'!$B$15=1,INDEX('Daily Sale entry '!$Z$1:$Z$1501,$J2325+1)="Online collection 网上收款",INDEX('Daily Sale entry '!$AA$1:$AA$1501,$J2325+1)&lt;&gt;""),N(INDEX('Daily Sale entry '!$AC$1:$AC$1501,$J2325+1))-TRUNC(N(INDEX('Daily Sale entry '!$AC$1:$AC$1501,$J2325+1))),0),N(INDEX('Daily Sale entry '!$S$1:$S$1501,$J2325-1499))-'Opening Balance'!$B$15*(N(INDEX('Daily Sale entry '!$S$1:$S$1501,$J2325-1499))-TRUNC(N(INDEX('Daily Sale entry '!$S$1:$S$1501,$J2325-1499))))))</f>
        <v/>
      </c>
      <c r="G2325" s="6">
        <f>IF($J2325="","",IF($J2325&lt;=1500,N(INDEX('Daily Sale entry '!$AD$1:$AD$1501,$J2325+1)),0))</f>
        <v/>
      </c>
      <c r="H2325" s="6">
        <f>IF($J2325="","",ROUND('Opening Balance'!$B$4+SUM($F$2:F2325)-SUM($G$2:G2325),2))</f>
        <v/>
      </c>
      <c r="J2325" s="21">
        <f>IFERROR(MATCH(ROW()-1,$L$2:$L$3001,0),"")</f>
        <v/>
      </c>
      <c r="K2325" s="34">
        <f>IF(AND('Daily Sale entry '!Q825="Collection 收款",'Daily Sale entry '!R825="Cheque 支票",'Daily Sale entry '!V825&lt;&gt;""),'Daily Sale entry '!V825+ROW()/10000000,"")</f>
        <v/>
      </c>
      <c r="L2325" s="21">
        <f>IF(K2325="","",COUNTIF($K$2:$K$3001,"&lt;"&amp;K2325)+1)</f>
        <v/>
      </c>
    </row>
    <row r="2326">
      <c r="A2326" s="5">
        <f>IF($J2326="","",IF($J2326&lt;=1500,INDEX('Daily Sale entry '!$X$1:$X$1501,$J2326+1),INDEX('Daily Sale entry '!$V$1:$V$1501,$J2326-1499)))</f>
        <v/>
      </c>
      <c r="B2326">
        <f>IF($J2326="","",IF($J2326&lt;=1500,INDEX('Daily Sale entry '!$Y$1:$Y$1501,$J2326+1)&amp;"","Buyer cheque banked 买家支票存入"&amp;IF(INDEX('Daily Sale entry '!$U$1:$U$1501,$J2326-1499)="","", " - "&amp;INDEX('Daily Sale entry '!$U$1:$U$1501,$J2326-1499))))</f>
        <v/>
      </c>
      <c r="C2326">
        <f>IF($J2326="","",IF($J2326&lt;=1500,INDEX('Daily Sale entry '!$Z$1:$Z$1501,$J2326+1)&amp;"","Cheque deposit 支票存入 (buyer 买家)"))</f>
        <v/>
      </c>
      <c r="D2326">
        <f>IF($J2326="","",IF($J2326&lt;=1500,INDEX('Daily Sale entry '!$AA$1:$AA$1501,$J2326+1)&amp;"",INDEX('Daily Sale entry '!$P$1:$P$1501,$J2326-1499)&amp;""))</f>
        <v/>
      </c>
      <c r="E2326">
        <f>IF($J2326="","",IF($J2326&lt;=1500,IF(N(INDEX('Daily Sale entry '!$AB$1:$AB$1501,$J2326+1))=0,"",INDEX('Daily Sale entry '!$AB$1:$AB$1501,$J2326+1)),1))</f>
        <v/>
      </c>
      <c r="F2326" s="6">
        <f>IF($J2326="","",IF($J2326&lt;=1500,N(INDEX('Daily Sale entry '!$AC$1:$AC$1501,$J2326+1))-IF(AND('Opening Balance'!$B$15=1,INDEX('Daily Sale entry '!$Z$1:$Z$1501,$J2326+1)="Online collection 网上收款",INDEX('Daily Sale entry '!$AA$1:$AA$1501,$J2326+1)&lt;&gt;""),N(INDEX('Daily Sale entry '!$AC$1:$AC$1501,$J2326+1))-TRUNC(N(INDEX('Daily Sale entry '!$AC$1:$AC$1501,$J2326+1))),0),N(INDEX('Daily Sale entry '!$S$1:$S$1501,$J2326-1499))-'Opening Balance'!$B$15*(N(INDEX('Daily Sale entry '!$S$1:$S$1501,$J2326-1499))-TRUNC(N(INDEX('Daily Sale entry '!$S$1:$S$1501,$J2326-1499))))))</f>
        <v/>
      </c>
      <c r="G2326" s="6">
        <f>IF($J2326="","",IF($J2326&lt;=1500,N(INDEX('Daily Sale entry '!$AD$1:$AD$1501,$J2326+1)),0))</f>
        <v/>
      </c>
      <c r="H2326" s="6">
        <f>IF($J2326="","",ROUND('Opening Balance'!$B$4+SUM($F$2:F2326)-SUM($G$2:G2326),2))</f>
        <v/>
      </c>
      <c r="J2326" s="21">
        <f>IFERROR(MATCH(ROW()-1,$L$2:$L$3001,0),"")</f>
        <v/>
      </c>
      <c r="K2326" s="34">
        <f>IF(AND('Daily Sale entry '!Q826="Collection 收款",'Daily Sale entry '!R826="Cheque 支票",'Daily Sale entry '!V826&lt;&gt;""),'Daily Sale entry '!V826+ROW()/10000000,"")</f>
        <v/>
      </c>
      <c r="L2326" s="21">
        <f>IF(K2326="","",COUNTIF($K$2:$K$3001,"&lt;"&amp;K2326)+1)</f>
        <v/>
      </c>
    </row>
    <row r="2327">
      <c r="A2327" s="5">
        <f>IF($J2327="","",IF($J2327&lt;=1500,INDEX('Daily Sale entry '!$X$1:$X$1501,$J2327+1),INDEX('Daily Sale entry '!$V$1:$V$1501,$J2327-1499)))</f>
        <v/>
      </c>
      <c r="B2327">
        <f>IF($J2327="","",IF($J2327&lt;=1500,INDEX('Daily Sale entry '!$Y$1:$Y$1501,$J2327+1)&amp;"","Buyer cheque banked 买家支票存入"&amp;IF(INDEX('Daily Sale entry '!$U$1:$U$1501,$J2327-1499)="","", " - "&amp;INDEX('Daily Sale entry '!$U$1:$U$1501,$J2327-1499))))</f>
        <v/>
      </c>
      <c r="C2327">
        <f>IF($J2327="","",IF($J2327&lt;=1500,INDEX('Daily Sale entry '!$Z$1:$Z$1501,$J2327+1)&amp;"","Cheque deposit 支票存入 (buyer 买家)"))</f>
        <v/>
      </c>
      <c r="D2327">
        <f>IF($J2327="","",IF($J2327&lt;=1500,INDEX('Daily Sale entry '!$AA$1:$AA$1501,$J2327+1)&amp;"",INDEX('Daily Sale entry '!$P$1:$P$1501,$J2327-1499)&amp;""))</f>
        <v/>
      </c>
      <c r="E2327">
        <f>IF($J2327="","",IF($J2327&lt;=1500,IF(N(INDEX('Daily Sale entry '!$AB$1:$AB$1501,$J2327+1))=0,"",INDEX('Daily Sale entry '!$AB$1:$AB$1501,$J2327+1)),1))</f>
        <v/>
      </c>
      <c r="F2327" s="6">
        <f>IF($J2327="","",IF($J2327&lt;=1500,N(INDEX('Daily Sale entry '!$AC$1:$AC$1501,$J2327+1))-IF(AND('Opening Balance'!$B$15=1,INDEX('Daily Sale entry '!$Z$1:$Z$1501,$J2327+1)="Online collection 网上收款",INDEX('Daily Sale entry '!$AA$1:$AA$1501,$J2327+1)&lt;&gt;""),N(INDEX('Daily Sale entry '!$AC$1:$AC$1501,$J2327+1))-TRUNC(N(INDEX('Daily Sale entry '!$AC$1:$AC$1501,$J2327+1))),0),N(INDEX('Daily Sale entry '!$S$1:$S$1501,$J2327-1499))-'Opening Balance'!$B$15*(N(INDEX('Daily Sale entry '!$S$1:$S$1501,$J2327-1499))-TRUNC(N(INDEX('Daily Sale entry '!$S$1:$S$1501,$J2327-1499))))))</f>
        <v/>
      </c>
      <c r="G2327" s="6">
        <f>IF($J2327="","",IF($J2327&lt;=1500,N(INDEX('Daily Sale entry '!$AD$1:$AD$1501,$J2327+1)),0))</f>
        <v/>
      </c>
      <c r="H2327" s="6">
        <f>IF($J2327="","",ROUND('Opening Balance'!$B$4+SUM($F$2:F2327)-SUM($G$2:G2327),2))</f>
        <v/>
      </c>
      <c r="J2327" s="21">
        <f>IFERROR(MATCH(ROW()-1,$L$2:$L$3001,0),"")</f>
        <v/>
      </c>
      <c r="K2327" s="34">
        <f>IF(AND('Daily Sale entry '!Q827="Collection 收款",'Daily Sale entry '!R827="Cheque 支票",'Daily Sale entry '!V827&lt;&gt;""),'Daily Sale entry '!V827+ROW()/10000000,"")</f>
        <v/>
      </c>
      <c r="L2327" s="21">
        <f>IF(K2327="","",COUNTIF($K$2:$K$3001,"&lt;"&amp;K2327)+1)</f>
        <v/>
      </c>
    </row>
    <row r="2328">
      <c r="A2328" s="5">
        <f>IF($J2328="","",IF($J2328&lt;=1500,INDEX('Daily Sale entry '!$X$1:$X$1501,$J2328+1),INDEX('Daily Sale entry '!$V$1:$V$1501,$J2328-1499)))</f>
        <v/>
      </c>
      <c r="B2328">
        <f>IF($J2328="","",IF($J2328&lt;=1500,INDEX('Daily Sale entry '!$Y$1:$Y$1501,$J2328+1)&amp;"","Buyer cheque banked 买家支票存入"&amp;IF(INDEX('Daily Sale entry '!$U$1:$U$1501,$J2328-1499)="","", " - "&amp;INDEX('Daily Sale entry '!$U$1:$U$1501,$J2328-1499))))</f>
        <v/>
      </c>
      <c r="C2328">
        <f>IF($J2328="","",IF($J2328&lt;=1500,INDEX('Daily Sale entry '!$Z$1:$Z$1501,$J2328+1)&amp;"","Cheque deposit 支票存入 (buyer 买家)"))</f>
        <v/>
      </c>
      <c r="D2328">
        <f>IF($J2328="","",IF($J2328&lt;=1500,INDEX('Daily Sale entry '!$AA$1:$AA$1501,$J2328+1)&amp;"",INDEX('Daily Sale entry '!$P$1:$P$1501,$J2328-1499)&amp;""))</f>
        <v/>
      </c>
      <c r="E2328">
        <f>IF($J2328="","",IF($J2328&lt;=1500,IF(N(INDEX('Daily Sale entry '!$AB$1:$AB$1501,$J2328+1))=0,"",INDEX('Daily Sale entry '!$AB$1:$AB$1501,$J2328+1)),1))</f>
        <v/>
      </c>
      <c r="F2328" s="6">
        <f>IF($J2328="","",IF($J2328&lt;=1500,N(INDEX('Daily Sale entry '!$AC$1:$AC$1501,$J2328+1))-IF(AND('Opening Balance'!$B$15=1,INDEX('Daily Sale entry '!$Z$1:$Z$1501,$J2328+1)="Online collection 网上收款",INDEX('Daily Sale entry '!$AA$1:$AA$1501,$J2328+1)&lt;&gt;""),N(INDEX('Daily Sale entry '!$AC$1:$AC$1501,$J2328+1))-TRUNC(N(INDEX('Daily Sale entry '!$AC$1:$AC$1501,$J2328+1))),0),N(INDEX('Daily Sale entry '!$S$1:$S$1501,$J2328-1499))-'Opening Balance'!$B$15*(N(INDEX('Daily Sale entry '!$S$1:$S$1501,$J2328-1499))-TRUNC(N(INDEX('Daily Sale entry '!$S$1:$S$1501,$J2328-1499))))))</f>
        <v/>
      </c>
      <c r="G2328" s="6">
        <f>IF($J2328="","",IF($J2328&lt;=1500,N(INDEX('Daily Sale entry '!$AD$1:$AD$1501,$J2328+1)),0))</f>
        <v/>
      </c>
      <c r="H2328" s="6">
        <f>IF($J2328="","",ROUND('Opening Balance'!$B$4+SUM($F$2:F2328)-SUM($G$2:G2328),2))</f>
        <v/>
      </c>
      <c r="J2328" s="21">
        <f>IFERROR(MATCH(ROW()-1,$L$2:$L$3001,0),"")</f>
        <v/>
      </c>
      <c r="K2328" s="34">
        <f>IF(AND('Daily Sale entry '!Q828="Collection 收款",'Daily Sale entry '!R828="Cheque 支票",'Daily Sale entry '!V828&lt;&gt;""),'Daily Sale entry '!V828+ROW()/10000000,"")</f>
        <v/>
      </c>
      <c r="L2328" s="21">
        <f>IF(K2328="","",COUNTIF($K$2:$K$3001,"&lt;"&amp;K2328)+1)</f>
        <v/>
      </c>
    </row>
    <row r="2329">
      <c r="A2329" s="5">
        <f>IF($J2329="","",IF($J2329&lt;=1500,INDEX('Daily Sale entry '!$X$1:$X$1501,$J2329+1),INDEX('Daily Sale entry '!$V$1:$V$1501,$J2329-1499)))</f>
        <v/>
      </c>
      <c r="B2329">
        <f>IF($J2329="","",IF($J2329&lt;=1500,INDEX('Daily Sale entry '!$Y$1:$Y$1501,$J2329+1)&amp;"","Buyer cheque banked 买家支票存入"&amp;IF(INDEX('Daily Sale entry '!$U$1:$U$1501,$J2329-1499)="","", " - "&amp;INDEX('Daily Sale entry '!$U$1:$U$1501,$J2329-1499))))</f>
        <v/>
      </c>
      <c r="C2329">
        <f>IF($J2329="","",IF($J2329&lt;=1500,INDEX('Daily Sale entry '!$Z$1:$Z$1501,$J2329+1)&amp;"","Cheque deposit 支票存入 (buyer 买家)"))</f>
        <v/>
      </c>
      <c r="D2329">
        <f>IF($J2329="","",IF($J2329&lt;=1500,INDEX('Daily Sale entry '!$AA$1:$AA$1501,$J2329+1)&amp;"",INDEX('Daily Sale entry '!$P$1:$P$1501,$J2329-1499)&amp;""))</f>
        <v/>
      </c>
      <c r="E2329">
        <f>IF($J2329="","",IF($J2329&lt;=1500,IF(N(INDEX('Daily Sale entry '!$AB$1:$AB$1501,$J2329+1))=0,"",INDEX('Daily Sale entry '!$AB$1:$AB$1501,$J2329+1)),1))</f>
        <v/>
      </c>
      <c r="F2329" s="6">
        <f>IF($J2329="","",IF($J2329&lt;=1500,N(INDEX('Daily Sale entry '!$AC$1:$AC$1501,$J2329+1))-IF(AND('Opening Balance'!$B$15=1,INDEX('Daily Sale entry '!$Z$1:$Z$1501,$J2329+1)="Online collection 网上收款",INDEX('Daily Sale entry '!$AA$1:$AA$1501,$J2329+1)&lt;&gt;""),N(INDEX('Daily Sale entry '!$AC$1:$AC$1501,$J2329+1))-TRUNC(N(INDEX('Daily Sale entry '!$AC$1:$AC$1501,$J2329+1))),0),N(INDEX('Daily Sale entry '!$S$1:$S$1501,$J2329-1499))-'Opening Balance'!$B$15*(N(INDEX('Daily Sale entry '!$S$1:$S$1501,$J2329-1499))-TRUNC(N(INDEX('Daily Sale entry '!$S$1:$S$1501,$J2329-1499))))))</f>
        <v/>
      </c>
      <c r="G2329" s="6">
        <f>IF($J2329="","",IF($J2329&lt;=1500,N(INDEX('Daily Sale entry '!$AD$1:$AD$1501,$J2329+1)),0))</f>
        <v/>
      </c>
      <c r="H2329" s="6">
        <f>IF($J2329="","",ROUND('Opening Balance'!$B$4+SUM($F$2:F2329)-SUM($G$2:G2329),2))</f>
        <v/>
      </c>
      <c r="J2329" s="21">
        <f>IFERROR(MATCH(ROW()-1,$L$2:$L$3001,0),"")</f>
        <v/>
      </c>
      <c r="K2329" s="34">
        <f>IF(AND('Daily Sale entry '!Q829="Collection 收款",'Daily Sale entry '!R829="Cheque 支票",'Daily Sale entry '!V829&lt;&gt;""),'Daily Sale entry '!V829+ROW()/10000000,"")</f>
        <v/>
      </c>
      <c r="L2329" s="21">
        <f>IF(K2329="","",COUNTIF($K$2:$K$3001,"&lt;"&amp;K2329)+1)</f>
        <v/>
      </c>
    </row>
    <row r="2330">
      <c r="A2330" s="5">
        <f>IF($J2330="","",IF($J2330&lt;=1500,INDEX('Daily Sale entry '!$X$1:$X$1501,$J2330+1),INDEX('Daily Sale entry '!$V$1:$V$1501,$J2330-1499)))</f>
        <v/>
      </c>
      <c r="B2330">
        <f>IF($J2330="","",IF($J2330&lt;=1500,INDEX('Daily Sale entry '!$Y$1:$Y$1501,$J2330+1)&amp;"","Buyer cheque banked 买家支票存入"&amp;IF(INDEX('Daily Sale entry '!$U$1:$U$1501,$J2330-1499)="","", " - "&amp;INDEX('Daily Sale entry '!$U$1:$U$1501,$J2330-1499))))</f>
        <v/>
      </c>
      <c r="C2330">
        <f>IF($J2330="","",IF($J2330&lt;=1500,INDEX('Daily Sale entry '!$Z$1:$Z$1501,$J2330+1)&amp;"","Cheque deposit 支票存入 (buyer 买家)"))</f>
        <v/>
      </c>
      <c r="D2330">
        <f>IF($J2330="","",IF($J2330&lt;=1500,INDEX('Daily Sale entry '!$AA$1:$AA$1501,$J2330+1)&amp;"",INDEX('Daily Sale entry '!$P$1:$P$1501,$J2330-1499)&amp;""))</f>
        <v/>
      </c>
      <c r="E2330">
        <f>IF($J2330="","",IF($J2330&lt;=1500,IF(N(INDEX('Daily Sale entry '!$AB$1:$AB$1501,$J2330+1))=0,"",INDEX('Daily Sale entry '!$AB$1:$AB$1501,$J2330+1)),1))</f>
        <v/>
      </c>
      <c r="F2330" s="6">
        <f>IF($J2330="","",IF($J2330&lt;=1500,N(INDEX('Daily Sale entry '!$AC$1:$AC$1501,$J2330+1))-IF(AND('Opening Balance'!$B$15=1,INDEX('Daily Sale entry '!$Z$1:$Z$1501,$J2330+1)="Online collection 网上收款",INDEX('Daily Sale entry '!$AA$1:$AA$1501,$J2330+1)&lt;&gt;""),N(INDEX('Daily Sale entry '!$AC$1:$AC$1501,$J2330+1))-TRUNC(N(INDEX('Daily Sale entry '!$AC$1:$AC$1501,$J2330+1))),0),N(INDEX('Daily Sale entry '!$S$1:$S$1501,$J2330-1499))-'Opening Balance'!$B$15*(N(INDEX('Daily Sale entry '!$S$1:$S$1501,$J2330-1499))-TRUNC(N(INDEX('Daily Sale entry '!$S$1:$S$1501,$J2330-1499))))))</f>
        <v/>
      </c>
      <c r="G2330" s="6">
        <f>IF($J2330="","",IF($J2330&lt;=1500,N(INDEX('Daily Sale entry '!$AD$1:$AD$1501,$J2330+1)),0))</f>
        <v/>
      </c>
      <c r="H2330" s="6">
        <f>IF($J2330="","",ROUND('Opening Balance'!$B$4+SUM($F$2:F2330)-SUM($G$2:G2330),2))</f>
        <v/>
      </c>
      <c r="J2330" s="21">
        <f>IFERROR(MATCH(ROW()-1,$L$2:$L$3001,0),"")</f>
        <v/>
      </c>
      <c r="K2330" s="34">
        <f>IF(AND('Daily Sale entry '!Q830="Collection 收款",'Daily Sale entry '!R830="Cheque 支票",'Daily Sale entry '!V830&lt;&gt;""),'Daily Sale entry '!V830+ROW()/10000000,"")</f>
        <v/>
      </c>
      <c r="L2330" s="21">
        <f>IF(K2330="","",COUNTIF($K$2:$K$3001,"&lt;"&amp;K2330)+1)</f>
        <v/>
      </c>
    </row>
    <row r="2331">
      <c r="A2331" s="5">
        <f>IF($J2331="","",IF($J2331&lt;=1500,INDEX('Daily Sale entry '!$X$1:$X$1501,$J2331+1),INDEX('Daily Sale entry '!$V$1:$V$1501,$J2331-1499)))</f>
        <v/>
      </c>
      <c r="B2331">
        <f>IF($J2331="","",IF($J2331&lt;=1500,INDEX('Daily Sale entry '!$Y$1:$Y$1501,$J2331+1)&amp;"","Buyer cheque banked 买家支票存入"&amp;IF(INDEX('Daily Sale entry '!$U$1:$U$1501,$J2331-1499)="","", " - "&amp;INDEX('Daily Sale entry '!$U$1:$U$1501,$J2331-1499))))</f>
        <v/>
      </c>
      <c r="C2331">
        <f>IF($J2331="","",IF($J2331&lt;=1500,INDEX('Daily Sale entry '!$Z$1:$Z$1501,$J2331+1)&amp;"","Cheque deposit 支票存入 (buyer 买家)"))</f>
        <v/>
      </c>
      <c r="D2331">
        <f>IF($J2331="","",IF($J2331&lt;=1500,INDEX('Daily Sale entry '!$AA$1:$AA$1501,$J2331+1)&amp;"",INDEX('Daily Sale entry '!$P$1:$P$1501,$J2331-1499)&amp;""))</f>
        <v/>
      </c>
      <c r="E2331">
        <f>IF($J2331="","",IF($J2331&lt;=1500,IF(N(INDEX('Daily Sale entry '!$AB$1:$AB$1501,$J2331+1))=0,"",INDEX('Daily Sale entry '!$AB$1:$AB$1501,$J2331+1)),1))</f>
        <v/>
      </c>
      <c r="F2331" s="6">
        <f>IF($J2331="","",IF($J2331&lt;=1500,N(INDEX('Daily Sale entry '!$AC$1:$AC$1501,$J2331+1))-IF(AND('Opening Balance'!$B$15=1,INDEX('Daily Sale entry '!$Z$1:$Z$1501,$J2331+1)="Online collection 网上收款",INDEX('Daily Sale entry '!$AA$1:$AA$1501,$J2331+1)&lt;&gt;""),N(INDEX('Daily Sale entry '!$AC$1:$AC$1501,$J2331+1))-TRUNC(N(INDEX('Daily Sale entry '!$AC$1:$AC$1501,$J2331+1))),0),N(INDEX('Daily Sale entry '!$S$1:$S$1501,$J2331-1499))-'Opening Balance'!$B$15*(N(INDEX('Daily Sale entry '!$S$1:$S$1501,$J2331-1499))-TRUNC(N(INDEX('Daily Sale entry '!$S$1:$S$1501,$J2331-1499))))))</f>
        <v/>
      </c>
      <c r="G2331" s="6">
        <f>IF($J2331="","",IF($J2331&lt;=1500,N(INDEX('Daily Sale entry '!$AD$1:$AD$1501,$J2331+1)),0))</f>
        <v/>
      </c>
      <c r="H2331" s="6">
        <f>IF($J2331="","",ROUND('Opening Balance'!$B$4+SUM($F$2:F2331)-SUM($G$2:G2331),2))</f>
        <v/>
      </c>
      <c r="J2331" s="21">
        <f>IFERROR(MATCH(ROW()-1,$L$2:$L$3001,0),"")</f>
        <v/>
      </c>
      <c r="K2331" s="34">
        <f>IF(AND('Daily Sale entry '!Q831="Collection 收款",'Daily Sale entry '!R831="Cheque 支票",'Daily Sale entry '!V831&lt;&gt;""),'Daily Sale entry '!V831+ROW()/10000000,"")</f>
        <v/>
      </c>
      <c r="L2331" s="21">
        <f>IF(K2331="","",COUNTIF($K$2:$K$3001,"&lt;"&amp;K2331)+1)</f>
        <v/>
      </c>
    </row>
    <row r="2332">
      <c r="A2332" s="5">
        <f>IF($J2332="","",IF($J2332&lt;=1500,INDEX('Daily Sale entry '!$X$1:$X$1501,$J2332+1),INDEX('Daily Sale entry '!$V$1:$V$1501,$J2332-1499)))</f>
        <v/>
      </c>
      <c r="B2332">
        <f>IF($J2332="","",IF($J2332&lt;=1500,INDEX('Daily Sale entry '!$Y$1:$Y$1501,$J2332+1)&amp;"","Buyer cheque banked 买家支票存入"&amp;IF(INDEX('Daily Sale entry '!$U$1:$U$1501,$J2332-1499)="","", " - "&amp;INDEX('Daily Sale entry '!$U$1:$U$1501,$J2332-1499))))</f>
        <v/>
      </c>
      <c r="C2332">
        <f>IF($J2332="","",IF($J2332&lt;=1500,INDEX('Daily Sale entry '!$Z$1:$Z$1501,$J2332+1)&amp;"","Cheque deposit 支票存入 (buyer 买家)"))</f>
        <v/>
      </c>
      <c r="D2332">
        <f>IF($J2332="","",IF($J2332&lt;=1500,INDEX('Daily Sale entry '!$AA$1:$AA$1501,$J2332+1)&amp;"",INDEX('Daily Sale entry '!$P$1:$P$1501,$J2332-1499)&amp;""))</f>
        <v/>
      </c>
      <c r="E2332">
        <f>IF($J2332="","",IF($J2332&lt;=1500,IF(N(INDEX('Daily Sale entry '!$AB$1:$AB$1501,$J2332+1))=0,"",INDEX('Daily Sale entry '!$AB$1:$AB$1501,$J2332+1)),1))</f>
        <v/>
      </c>
      <c r="F2332" s="6">
        <f>IF($J2332="","",IF($J2332&lt;=1500,N(INDEX('Daily Sale entry '!$AC$1:$AC$1501,$J2332+1))-IF(AND('Opening Balance'!$B$15=1,INDEX('Daily Sale entry '!$Z$1:$Z$1501,$J2332+1)="Online collection 网上收款",INDEX('Daily Sale entry '!$AA$1:$AA$1501,$J2332+1)&lt;&gt;""),N(INDEX('Daily Sale entry '!$AC$1:$AC$1501,$J2332+1))-TRUNC(N(INDEX('Daily Sale entry '!$AC$1:$AC$1501,$J2332+1))),0),N(INDEX('Daily Sale entry '!$S$1:$S$1501,$J2332-1499))-'Opening Balance'!$B$15*(N(INDEX('Daily Sale entry '!$S$1:$S$1501,$J2332-1499))-TRUNC(N(INDEX('Daily Sale entry '!$S$1:$S$1501,$J2332-1499))))))</f>
        <v/>
      </c>
      <c r="G2332" s="6">
        <f>IF($J2332="","",IF($J2332&lt;=1500,N(INDEX('Daily Sale entry '!$AD$1:$AD$1501,$J2332+1)),0))</f>
        <v/>
      </c>
      <c r="H2332" s="6">
        <f>IF($J2332="","",ROUND('Opening Balance'!$B$4+SUM($F$2:F2332)-SUM($G$2:G2332),2))</f>
        <v/>
      </c>
      <c r="J2332" s="21">
        <f>IFERROR(MATCH(ROW()-1,$L$2:$L$3001,0),"")</f>
        <v/>
      </c>
      <c r="K2332" s="34">
        <f>IF(AND('Daily Sale entry '!Q832="Collection 收款",'Daily Sale entry '!R832="Cheque 支票",'Daily Sale entry '!V832&lt;&gt;""),'Daily Sale entry '!V832+ROW()/10000000,"")</f>
        <v/>
      </c>
      <c r="L2332" s="21">
        <f>IF(K2332="","",COUNTIF($K$2:$K$3001,"&lt;"&amp;K2332)+1)</f>
        <v/>
      </c>
    </row>
    <row r="2333">
      <c r="A2333" s="5">
        <f>IF($J2333="","",IF($J2333&lt;=1500,INDEX('Daily Sale entry '!$X$1:$X$1501,$J2333+1),INDEX('Daily Sale entry '!$V$1:$V$1501,$J2333-1499)))</f>
        <v/>
      </c>
      <c r="B2333">
        <f>IF($J2333="","",IF($J2333&lt;=1500,INDEX('Daily Sale entry '!$Y$1:$Y$1501,$J2333+1)&amp;"","Buyer cheque banked 买家支票存入"&amp;IF(INDEX('Daily Sale entry '!$U$1:$U$1501,$J2333-1499)="","", " - "&amp;INDEX('Daily Sale entry '!$U$1:$U$1501,$J2333-1499))))</f>
        <v/>
      </c>
      <c r="C2333">
        <f>IF($J2333="","",IF($J2333&lt;=1500,INDEX('Daily Sale entry '!$Z$1:$Z$1501,$J2333+1)&amp;"","Cheque deposit 支票存入 (buyer 买家)"))</f>
        <v/>
      </c>
      <c r="D2333">
        <f>IF($J2333="","",IF($J2333&lt;=1500,INDEX('Daily Sale entry '!$AA$1:$AA$1501,$J2333+1)&amp;"",INDEX('Daily Sale entry '!$P$1:$P$1501,$J2333-1499)&amp;""))</f>
        <v/>
      </c>
      <c r="E2333">
        <f>IF($J2333="","",IF($J2333&lt;=1500,IF(N(INDEX('Daily Sale entry '!$AB$1:$AB$1501,$J2333+1))=0,"",INDEX('Daily Sale entry '!$AB$1:$AB$1501,$J2333+1)),1))</f>
        <v/>
      </c>
      <c r="F2333" s="6">
        <f>IF($J2333="","",IF($J2333&lt;=1500,N(INDEX('Daily Sale entry '!$AC$1:$AC$1501,$J2333+1))-IF(AND('Opening Balance'!$B$15=1,INDEX('Daily Sale entry '!$Z$1:$Z$1501,$J2333+1)="Online collection 网上收款",INDEX('Daily Sale entry '!$AA$1:$AA$1501,$J2333+1)&lt;&gt;""),N(INDEX('Daily Sale entry '!$AC$1:$AC$1501,$J2333+1))-TRUNC(N(INDEX('Daily Sale entry '!$AC$1:$AC$1501,$J2333+1))),0),N(INDEX('Daily Sale entry '!$S$1:$S$1501,$J2333-1499))-'Opening Balance'!$B$15*(N(INDEX('Daily Sale entry '!$S$1:$S$1501,$J2333-1499))-TRUNC(N(INDEX('Daily Sale entry '!$S$1:$S$1501,$J2333-1499))))))</f>
        <v/>
      </c>
      <c r="G2333" s="6">
        <f>IF($J2333="","",IF($J2333&lt;=1500,N(INDEX('Daily Sale entry '!$AD$1:$AD$1501,$J2333+1)),0))</f>
        <v/>
      </c>
      <c r="H2333" s="6">
        <f>IF($J2333="","",ROUND('Opening Balance'!$B$4+SUM($F$2:F2333)-SUM($G$2:G2333),2))</f>
        <v/>
      </c>
      <c r="J2333" s="21">
        <f>IFERROR(MATCH(ROW()-1,$L$2:$L$3001,0),"")</f>
        <v/>
      </c>
      <c r="K2333" s="34">
        <f>IF(AND('Daily Sale entry '!Q833="Collection 收款",'Daily Sale entry '!R833="Cheque 支票",'Daily Sale entry '!V833&lt;&gt;""),'Daily Sale entry '!V833+ROW()/10000000,"")</f>
        <v/>
      </c>
      <c r="L2333" s="21">
        <f>IF(K2333="","",COUNTIF($K$2:$K$3001,"&lt;"&amp;K2333)+1)</f>
        <v/>
      </c>
    </row>
    <row r="2334">
      <c r="A2334" s="5">
        <f>IF($J2334="","",IF($J2334&lt;=1500,INDEX('Daily Sale entry '!$X$1:$X$1501,$J2334+1),INDEX('Daily Sale entry '!$V$1:$V$1501,$J2334-1499)))</f>
        <v/>
      </c>
      <c r="B2334">
        <f>IF($J2334="","",IF($J2334&lt;=1500,INDEX('Daily Sale entry '!$Y$1:$Y$1501,$J2334+1)&amp;"","Buyer cheque banked 买家支票存入"&amp;IF(INDEX('Daily Sale entry '!$U$1:$U$1501,$J2334-1499)="","", " - "&amp;INDEX('Daily Sale entry '!$U$1:$U$1501,$J2334-1499))))</f>
        <v/>
      </c>
      <c r="C2334">
        <f>IF($J2334="","",IF($J2334&lt;=1500,INDEX('Daily Sale entry '!$Z$1:$Z$1501,$J2334+1)&amp;"","Cheque deposit 支票存入 (buyer 买家)"))</f>
        <v/>
      </c>
      <c r="D2334">
        <f>IF($J2334="","",IF($J2334&lt;=1500,INDEX('Daily Sale entry '!$AA$1:$AA$1501,$J2334+1)&amp;"",INDEX('Daily Sale entry '!$P$1:$P$1501,$J2334-1499)&amp;""))</f>
        <v/>
      </c>
      <c r="E2334">
        <f>IF($J2334="","",IF($J2334&lt;=1500,IF(N(INDEX('Daily Sale entry '!$AB$1:$AB$1501,$J2334+1))=0,"",INDEX('Daily Sale entry '!$AB$1:$AB$1501,$J2334+1)),1))</f>
        <v/>
      </c>
      <c r="F2334" s="6">
        <f>IF($J2334="","",IF($J2334&lt;=1500,N(INDEX('Daily Sale entry '!$AC$1:$AC$1501,$J2334+1))-IF(AND('Opening Balance'!$B$15=1,INDEX('Daily Sale entry '!$Z$1:$Z$1501,$J2334+1)="Online collection 网上收款",INDEX('Daily Sale entry '!$AA$1:$AA$1501,$J2334+1)&lt;&gt;""),N(INDEX('Daily Sale entry '!$AC$1:$AC$1501,$J2334+1))-TRUNC(N(INDEX('Daily Sale entry '!$AC$1:$AC$1501,$J2334+1))),0),N(INDEX('Daily Sale entry '!$S$1:$S$1501,$J2334-1499))-'Opening Balance'!$B$15*(N(INDEX('Daily Sale entry '!$S$1:$S$1501,$J2334-1499))-TRUNC(N(INDEX('Daily Sale entry '!$S$1:$S$1501,$J2334-1499))))))</f>
        <v/>
      </c>
      <c r="G2334" s="6">
        <f>IF($J2334="","",IF($J2334&lt;=1500,N(INDEX('Daily Sale entry '!$AD$1:$AD$1501,$J2334+1)),0))</f>
        <v/>
      </c>
      <c r="H2334" s="6">
        <f>IF($J2334="","",ROUND('Opening Balance'!$B$4+SUM($F$2:F2334)-SUM($G$2:G2334),2))</f>
        <v/>
      </c>
      <c r="J2334" s="21">
        <f>IFERROR(MATCH(ROW()-1,$L$2:$L$3001,0),"")</f>
        <v/>
      </c>
      <c r="K2334" s="34">
        <f>IF(AND('Daily Sale entry '!Q834="Collection 收款",'Daily Sale entry '!R834="Cheque 支票",'Daily Sale entry '!V834&lt;&gt;""),'Daily Sale entry '!V834+ROW()/10000000,"")</f>
        <v/>
      </c>
      <c r="L2334" s="21">
        <f>IF(K2334="","",COUNTIF($K$2:$K$3001,"&lt;"&amp;K2334)+1)</f>
        <v/>
      </c>
    </row>
    <row r="2335">
      <c r="A2335" s="5">
        <f>IF($J2335="","",IF($J2335&lt;=1500,INDEX('Daily Sale entry '!$X$1:$X$1501,$J2335+1),INDEX('Daily Sale entry '!$V$1:$V$1501,$J2335-1499)))</f>
        <v/>
      </c>
      <c r="B2335">
        <f>IF($J2335="","",IF($J2335&lt;=1500,INDEX('Daily Sale entry '!$Y$1:$Y$1501,$J2335+1)&amp;"","Buyer cheque banked 买家支票存入"&amp;IF(INDEX('Daily Sale entry '!$U$1:$U$1501,$J2335-1499)="","", " - "&amp;INDEX('Daily Sale entry '!$U$1:$U$1501,$J2335-1499))))</f>
        <v/>
      </c>
      <c r="C2335">
        <f>IF($J2335="","",IF($J2335&lt;=1500,INDEX('Daily Sale entry '!$Z$1:$Z$1501,$J2335+1)&amp;"","Cheque deposit 支票存入 (buyer 买家)"))</f>
        <v/>
      </c>
      <c r="D2335">
        <f>IF($J2335="","",IF($J2335&lt;=1500,INDEX('Daily Sale entry '!$AA$1:$AA$1501,$J2335+1)&amp;"",INDEX('Daily Sale entry '!$P$1:$P$1501,$J2335-1499)&amp;""))</f>
        <v/>
      </c>
      <c r="E2335">
        <f>IF($J2335="","",IF($J2335&lt;=1500,IF(N(INDEX('Daily Sale entry '!$AB$1:$AB$1501,$J2335+1))=0,"",INDEX('Daily Sale entry '!$AB$1:$AB$1501,$J2335+1)),1))</f>
        <v/>
      </c>
      <c r="F2335" s="6">
        <f>IF($J2335="","",IF($J2335&lt;=1500,N(INDEX('Daily Sale entry '!$AC$1:$AC$1501,$J2335+1))-IF(AND('Opening Balance'!$B$15=1,INDEX('Daily Sale entry '!$Z$1:$Z$1501,$J2335+1)="Online collection 网上收款",INDEX('Daily Sale entry '!$AA$1:$AA$1501,$J2335+1)&lt;&gt;""),N(INDEX('Daily Sale entry '!$AC$1:$AC$1501,$J2335+1))-TRUNC(N(INDEX('Daily Sale entry '!$AC$1:$AC$1501,$J2335+1))),0),N(INDEX('Daily Sale entry '!$S$1:$S$1501,$J2335-1499))-'Opening Balance'!$B$15*(N(INDEX('Daily Sale entry '!$S$1:$S$1501,$J2335-1499))-TRUNC(N(INDEX('Daily Sale entry '!$S$1:$S$1501,$J2335-1499))))))</f>
        <v/>
      </c>
      <c r="G2335" s="6">
        <f>IF($J2335="","",IF($J2335&lt;=1500,N(INDEX('Daily Sale entry '!$AD$1:$AD$1501,$J2335+1)),0))</f>
        <v/>
      </c>
      <c r="H2335" s="6">
        <f>IF($J2335="","",ROUND('Opening Balance'!$B$4+SUM($F$2:F2335)-SUM($G$2:G2335),2))</f>
        <v/>
      </c>
      <c r="J2335" s="21">
        <f>IFERROR(MATCH(ROW()-1,$L$2:$L$3001,0),"")</f>
        <v/>
      </c>
      <c r="K2335" s="34">
        <f>IF(AND('Daily Sale entry '!Q835="Collection 收款",'Daily Sale entry '!R835="Cheque 支票",'Daily Sale entry '!V835&lt;&gt;""),'Daily Sale entry '!V835+ROW()/10000000,"")</f>
        <v/>
      </c>
      <c r="L2335" s="21">
        <f>IF(K2335="","",COUNTIF($K$2:$K$3001,"&lt;"&amp;K2335)+1)</f>
        <v/>
      </c>
    </row>
    <row r="2336">
      <c r="A2336" s="5">
        <f>IF($J2336="","",IF($J2336&lt;=1500,INDEX('Daily Sale entry '!$X$1:$X$1501,$J2336+1),INDEX('Daily Sale entry '!$V$1:$V$1501,$J2336-1499)))</f>
        <v/>
      </c>
      <c r="B2336">
        <f>IF($J2336="","",IF($J2336&lt;=1500,INDEX('Daily Sale entry '!$Y$1:$Y$1501,$J2336+1)&amp;"","Buyer cheque banked 买家支票存入"&amp;IF(INDEX('Daily Sale entry '!$U$1:$U$1501,$J2336-1499)="","", " - "&amp;INDEX('Daily Sale entry '!$U$1:$U$1501,$J2336-1499))))</f>
        <v/>
      </c>
      <c r="C2336">
        <f>IF($J2336="","",IF($J2336&lt;=1500,INDEX('Daily Sale entry '!$Z$1:$Z$1501,$J2336+1)&amp;"","Cheque deposit 支票存入 (buyer 买家)"))</f>
        <v/>
      </c>
      <c r="D2336">
        <f>IF($J2336="","",IF($J2336&lt;=1500,INDEX('Daily Sale entry '!$AA$1:$AA$1501,$J2336+1)&amp;"",INDEX('Daily Sale entry '!$P$1:$P$1501,$J2336-1499)&amp;""))</f>
        <v/>
      </c>
      <c r="E2336">
        <f>IF($J2336="","",IF($J2336&lt;=1500,IF(N(INDEX('Daily Sale entry '!$AB$1:$AB$1501,$J2336+1))=0,"",INDEX('Daily Sale entry '!$AB$1:$AB$1501,$J2336+1)),1))</f>
        <v/>
      </c>
      <c r="F2336" s="6">
        <f>IF($J2336="","",IF($J2336&lt;=1500,N(INDEX('Daily Sale entry '!$AC$1:$AC$1501,$J2336+1))-IF(AND('Opening Balance'!$B$15=1,INDEX('Daily Sale entry '!$Z$1:$Z$1501,$J2336+1)="Online collection 网上收款",INDEX('Daily Sale entry '!$AA$1:$AA$1501,$J2336+1)&lt;&gt;""),N(INDEX('Daily Sale entry '!$AC$1:$AC$1501,$J2336+1))-TRUNC(N(INDEX('Daily Sale entry '!$AC$1:$AC$1501,$J2336+1))),0),N(INDEX('Daily Sale entry '!$S$1:$S$1501,$J2336-1499))-'Opening Balance'!$B$15*(N(INDEX('Daily Sale entry '!$S$1:$S$1501,$J2336-1499))-TRUNC(N(INDEX('Daily Sale entry '!$S$1:$S$1501,$J2336-1499))))))</f>
        <v/>
      </c>
      <c r="G2336" s="6">
        <f>IF($J2336="","",IF($J2336&lt;=1500,N(INDEX('Daily Sale entry '!$AD$1:$AD$1501,$J2336+1)),0))</f>
        <v/>
      </c>
      <c r="H2336" s="6">
        <f>IF($J2336="","",ROUND('Opening Balance'!$B$4+SUM($F$2:F2336)-SUM($G$2:G2336),2))</f>
        <v/>
      </c>
      <c r="J2336" s="21">
        <f>IFERROR(MATCH(ROW()-1,$L$2:$L$3001,0),"")</f>
        <v/>
      </c>
      <c r="K2336" s="34">
        <f>IF(AND('Daily Sale entry '!Q836="Collection 收款",'Daily Sale entry '!R836="Cheque 支票",'Daily Sale entry '!V836&lt;&gt;""),'Daily Sale entry '!V836+ROW()/10000000,"")</f>
        <v/>
      </c>
      <c r="L2336" s="21">
        <f>IF(K2336="","",COUNTIF($K$2:$K$3001,"&lt;"&amp;K2336)+1)</f>
        <v/>
      </c>
    </row>
    <row r="2337">
      <c r="A2337" s="5">
        <f>IF($J2337="","",IF($J2337&lt;=1500,INDEX('Daily Sale entry '!$X$1:$X$1501,$J2337+1),INDEX('Daily Sale entry '!$V$1:$V$1501,$J2337-1499)))</f>
        <v/>
      </c>
      <c r="B2337">
        <f>IF($J2337="","",IF($J2337&lt;=1500,INDEX('Daily Sale entry '!$Y$1:$Y$1501,$J2337+1)&amp;"","Buyer cheque banked 买家支票存入"&amp;IF(INDEX('Daily Sale entry '!$U$1:$U$1501,$J2337-1499)="","", " - "&amp;INDEX('Daily Sale entry '!$U$1:$U$1501,$J2337-1499))))</f>
        <v/>
      </c>
      <c r="C2337">
        <f>IF($J2337="","",IF($J2337&lt;=1500,INDEX('Daily Sale entry '!$Z$1:$Z$1501,$J2337+1)&amp;"","Cheque deposit 支票存入 (buyer 买家)"))</f>
        <v/>
      </c>
      <c r="D2337">
        <f>IF($J2337="","",IF($J2337&lt;=1500,INDEX('Daily Sale entry '!$AA$1:$AA$1501,$J2337+1)&amp;"",INDEX('Daily Sale entry '!$P$1:$P$1501,$J2337-1499)&amp;""))</f>
        <v/>
      </c>
      <c r="E2337">
        <f>IF($J2337="","",IF($J2337&lt;=1500,IF(N(INDEX('Daily Sale entry '!$AB$1:$AB$1501,$J2337+1))=0,"",INDEX('Daily Sale entry '!$AB$1:$AB$1501,$J2337+1)),1))</f>
        <v/>
      </c>
      <c r="F2337" s="6">
        <f>IF($J2337="","",IF($J2337&lt;=1500,N(INDEX('Daily Sale entry '!$AC$1:$AC$1501,$J2337+1))-IF(AND('Opening Balance'!$B$15=1,INDEX('Daily Sale entry '!$Z$1:$Z$1501,$J2337+1)="Online collection 网上收款",INDEX('Daily Sale entry '!$AA$1:$AA$1501,$J2337+1)&lt;&gt;""),N(INDEX('Daily Sale entry '!$AC$1:$AC$1501,$J2337+1))-TRUNC(N(INDEX('Daily Sale entry '!$AC$1:$AC$1501,$J2337+1))),0),N(INDEX('Daily Sale entry '!$S$1:$S$1501,$J2337-1499))-'Opening Balance'!$B$15*(N(INDEX('Daily Sale entry '!$S$1:$S$1501,$J2337-1499))-TRUNC(N(INDEX('Daily Sale entry '!$S$1:$S$1501,$J2337-1499))))))</f>
        <v/>
      </c>
      <c r="G2337" s="6">
        <f>IF($J2337="","",IF($J2337&lt;=1500,N(INDEX('Daily Sale entry '!$AD$1:$AD$1501,$J2337+1)),0))</f>
        <v/>
      </c>
      <c r="H2337" s="6">
        <f>IF($J2337="","",ROUND('Opening Balance'!$B$4+SUM($F$2:F2337)-SUM($G$2:G2337),2))</f>
        <v/>
      </c>
      <c r="J2337" s="21">
        <f>IFERROR(MATCH(ROW()-1,$L$2:$L$3001,0),"")</f>
        <v/>
      </c>
      <c r="K2337" s="34">
        <f>IF(AND('Daily Sale entry '!Q837="Collection 收款",'Daily Sale entry '!R837="Cheque 支票",'Daily Sale entry '!V837&lt;&gt;""),'Daily Sale entry '!V837+ROW()/10000000,"")</f>
        <v/>
      </c>
      <c r="L2337" s="21">
        <f>IF(K2337="","",COUNTIF($K$2:$K$3001,"&lt;"&amp;K2337)+1)</f>
        <v/>
      </c>
    </row>
    <row r="2338">
      <c r="A2338" s="5">
        <f>IF($J2338="","",IF($J2338&lt;=1500,INDEX('Daily Sale entry '!$X$1:$X$1501,$J2338+1),INDEX('Daily Sale entry '!$V$1:$V$1501,$J2338-1499)))</f>
        <v/>
      </c>
      <c r="B2338">
        <f>IF($J2338="","",IF($J2338&lt;=1500,INDEX('Daily Sale entry '!$Y$1:$Y$1501,$J2338+1)&amp;"","Buyer cheque banked 买家支票存入"&amp;IF(INDEX('Daily Sale entry '!$U$1:$U$1501,$J2338-1499)="","", " - "&amp;INDEX('Daily Sale entry '!$U$1:$U$1501,$J2338-1499))))</f>
        <v/>
      </c>
      <c r="C2338">
        <f>IF($J2338="","",IF($J2338&lt;=1500,INDEX('Daily Sale entry '!$Z$1:$Z$1501,$J2338+1)&amp;"","Cheque deposit 支票存入 (buyer 买家)"))</f>
        <v/>
      </c>
      <c r="D2338">
        <f>IF($J2338="","",IF($J2338&lt;=1500,INDEX('Daily Sale entry '!$AA$1:$AA$1501,$J2338+1)&amp;"",INDEX('Daily Sale entry '!$P$1:$P$1501,$J2338-1499)&amp;""))</f>
        <v/>
      </c>
      <c r="E2338">
        <f>IF($J2338="","",IF($J2338&lt;=1500,IF(N(INDEX('Daily Sale entry '!$AB$1:$AB$1501,$J2338+1))=0,"",INDEX('Daily Sale entry '!$AB$1:$AB$1501,$J2338+1)),1))</f>
        <v/>
      </c>
      <c r="F2338" s="6">
        <f>IF($J2338="","",IF($J2338&lt;=1500,N(INDEX('Daily Sale entry '!$AC$1:$AC$1501,$J2338+1))-IF(AND('Opening Balance'!$B$15=1,INDEX('Daily Sale entry '!$Z$1:$Z$1501,$J2338+1)="Online collection 网上收款",INDEX('Daily Sale entry '!$AA$1:$AA$1501,$J2338+1)&lt;&gt;""),N(INDEX('Daily Sale entry '!$AC$1:$AC$1501,$J2338+1))-TRUNC(N(INDEX('Daily Sale entry '!$AC$1:$AC$1501,$J2338+1))),0),N(INDEX('Daily Sale entry '!$S$1:$S$1501,$J2338-1499))-'Opening Balance'!$B$15*(N(INDEX('Daily Sale entry '!$S$1:$S$1501,$J2338-1499))-TRUNC(N(INDEX('Daily Sale entry '!$S$1:$S$1501,$J2338-1499))))))</f>
        <v/>
      </c>
      <c r="G2338" s="6">
        <f>IF($J2338="","",IF($J2338&lt;=1500,N(INDEX('Daily Sale entry '!$AD$1:$AD$1501,$J2338+1)),0))</f>
        <v/>
      </c>
      <c r="H2338" s="6">
        <f>IF($J2338="","",ROUND('Opening Balance'!$B$4+SUM($F$2:F2338)-SUM($G$2:G2338),2))</f>
        <v/>
      </c>
      <c r="J2338" s="21">
        <f>IFERROR(MATCH(ROW()-1,$L$2:$L$3001,0),"")</f>
        <v/>
      </c>
      <c r="K2338" s="34">
        <f>IF(AND('Daily Sale entry '!Q838="Collection 收款",'Daily Sale entry '!R838="Cheque 支票",'Daily Sale entry '!V838&lt;&gt;""),'Daily Sale entry '!V838+ROW()/10000000,"")</f>
        <v/>
      </c>
      <c r="L2338" s="21">
        <f>IF(K2338="","",COUNTIF($K$2:$K$3001,"&lt;"&amp;K2338)+1)</f>
        <v/>
      </c>
    </row>
    <row r="2339">
      <c r="A2339" s="5">
        <f>IF($J2339="","",IF($J2339&lt;=1500,INDEX('Daily Sale entry '!$X$1:$X$1501,$J2339+1),INDEX('Daily Sale entry '!$V$1:$V$1501,$J2339-1499)))</f>
        <v/>
      </c>
      <c r="B2339">
        <f>IF($J2339="","",IF($J2339&lt;=1500,INDEX('Daily Sale entry '!$Y$1:$Y$1501,$J2339+1)&amp;"","Buyer cheque banked 买家支票存入"&amp;IF(INDEX('Daily Sale entry '!$U$1:$U$1501,$J2339-1499)="","", " - "&amp;INDEX('Daily Sale entry '!$U$1:$U$1501,$J2339-1499))))</f>
        <v/>
      </c>
      <c r="C2339">
        <f>IF($J2339="","",IF($J2339&lt;=1500,INDEX('Daily Sale entry '!$Z$1:$Z$1501,$J2339+1)&amp;"","Cheque deposit 支票存入 (buyer 买家)"))</f>
        <v/>
      </c>
      <c r="D2339">
        <f>IF($J2339="","",IF($J2339&lt;=1500,INDEX('Daily Sale entry '!$AA$1:$AA$1501,$J2339+1)&amp;"",INDEX('Daily Sale entry '!$P$1:$P$1501,$J2339-1499)&amp;""))</f>
        <v/>
      </c>
      <c r="E2339">
        <f>IF($J2339="","",IF($J2339&lt;=1500,IF(N(INDEX('Daily Sale entry '!$AB$1:$AB$1501,$J2339+1))=0,"",INDEX('Daily Sale entry '!$AB$1:$AB$1501,$J2339+1)),1))</f>
        <v/>
      </c>
      <c r="F2339" s="6">
        <f>IF($J2339="","",IF($J2339&lt;=1500,N(INDEX('Daily Sale entry '!$AC$1:$AC$1501,$J2339+1))-IF(AND('Opening Balance'!$B$15=1,INDEX('Daily Sale entry '!$Z$1:$Z$1501,$J2339+1)="Online collection 网上收款",INDEX('Daily Sale entry '!$AA$1:$AA$1501,$J2339+1)&lt;&gt;""),N(INDEX('Daily Sale entry '!$AC$1:$AC$1501,$J2339+1))-TRUNC(N(INDEX('Daily Sale entry '!$AC$1:$AC$1501,$J2339+1))),0),N(INDEX('Daily Sale entry '!$S$1:$S$1501,$J2339-1499))-'Opening Balance'!$B$15*(N(INDEX('Daily Sale entry '!$S$1:$S$1501,$J2339-1499))-TRUNC(N(INDEX('Daily Sale entry '!$S$1:$S$1501,$J2339-1499))))))</f>
        <v/>
      </c>
      <c r="G2339" s="6">
        <f>IF($J2339="","",IF($J2339&lt;=1500,N(INDEX('Daily Sale entry '!$AD$1:$AD$1501,$J2339+1)),0))</f>
        <v/>
      </c>
      <c r="H2339" s="6">
        <f>IF($J2339="","",ROUND('Opening Balance'!$B$4+SUM($F$2:F2339)-SUM($G$2:G2339),2))</f>
        <v/>
      </c>
      <c r="J2339" s="21">
        <f>IFERROR(MATCH(ROW()-1,$L$2:$L$3001,0),"")</f>
        <v/>
      </c>
      <c r="K2339" s="34">
        <f>IF(AND('Daily Sale entry '!Q839="Collection 收款",'Daily Sale entry '!R839="Cheque 支票",'Daily Sale entry '!V839&lt;&gt;""),'Daily Sale entry '!V839+ROW()/10000000,"")</f>
        <v/>
      </c>
      <c r="L2339" s="21">
        <f>IF(K2339="","",COUNTIF($K$2:$K$3001,"&lt;"&amp;K2339)+1)</f>
        <v/>
      </c>
    </row>
    <row r="2340">
      <c r="A2340" s="5">
        <f>IF($J2340="","",IF($J2340&lt;=1500,INDEX('Daily Sale entry '!$X$1:$X$1501,$J2340+1),INDEX('Daily Sale entry '!$V$1:$V$1501,$J2340-1499)))</f>
        <v/>
      </c>
      <c r="B2340">
        <f>IF($J2340="","",IF($J2340&lt;=1500,INDEX('Daily Sale entry '!$Y$1:$Y$1501,$J2340+1)&amp;"","Buyer cheque banked 买家支票存入"&amp;IF(INDEX('Daily Sale entry '!$U$1:$U$1501,$J2340-1499)="","", " - "&amp;INDEX('Daily Sale entry '!$U$1:$U$1501,$J2340-1499))))</f>
        <v/>
      </c>
      <c r="C2340">
        <f>IF($J2340="","",IF($J2340&lt;=1500,INDEX('Daily Sale entry '!$Z$1:$Z$1501,$J2340+1)&amp;"","Cheque deposit 支票存入 (buyer 买家)"))</f>
        <v/>
      </c>
      <c r="D2340">
        <f>IF($J2340="","",IF($J2340&lt;=1500,INDEX('Daily Sale entry '!$AA$1:$AA$1501,$J2340+1)&amp;"",INDEX('Daily Sale entry '!$P$1:$P$1501,$J2340-1499)&amp;""))</f>
        <v/>
      </c>
      <c r="E2340">
        <f>IF($J2340="","",IF($J2340&lt;=1500,IF(N(INDEX('Daily Sale entry '!$AB$1:$AB$1501,$J2340+1))=0,"",INDEX('Daily Sale entry '!$AB$1:$AB$1501,$J2340+1)),1))</f>
        <v/>
      </c>
      <c r="F2340" s="6">
        <f>IF($J2340="","",IF($J2340&lt;=1500,N(INDEX('Daily Sale entry '!$AC$1:$AC$1501,$J2340+1))-IF(AND('Opening Balance'!$B$15=1,INDEX('Daily Sale entry '!$Z$1:$Z$1501,$J2340+1)="Online collection 网上收款",INDEX('Daily Sale entry '!$AA$1:$AA$1501,$J2340+1)&lt;&gt;""),N(INDEX('Daily Sale entry '!$AC$1:$AC$1501,$J2340+1))-TRUNC(N(INDEX('Daily Sale entry '!$AC$1:$AC$1501,$J2340+1))),0),N(INDEX('Daily Sale entry '!$S$1:$S$1501,$J2340-1499))-'Opening Balance'!$B$15*(N(INDEX('Daily Sale entry '!$S$1:$S$1501,$J2340-1499))-TRUNC(N(INDEX('Daily Sale entry '!$S$1:$S$1501,$J2340-1499))))))</f>
        <v/>
      </c>
      <c r="G2340" s="6">
        <f>IF($J2340="","",IF($J2340&lt;=1500,N(INDEX('Daily Sale entry '!$AD$1:$AD$1501,$J2340+1)),0))</f>
        <v/>
      </c>
      <c r="H2340" s="6">
        <f>IF($J2340="","",ROUND('Opening Balance'!$B$4+SUM($F$2:F2340)-SUM($G$2:G2340),2))</f>
        <v/>
      </c>
      <c r="J2340" s="21">
        <f>IFERROR(MATCH(ROW()-1,$L$2:$L$3001,0),"")</f>
        <v/>
      </c>
      <c r="K2340" s="34">
        <f>IF(AND('Daily Sale entry '!Q840="Collection 收款",'Daily Sale entry '!R840="Cheque 支票",'Daily Sale entry '!V840&lt;&gt;""),'Daily Sale entry '!V840+ROW()/10000000,"")</f>
        <v/>
      </c>
      <c r="L2340" s="21">
        <f>IF(K2340="","",COUNTIF($K$2:$K$3001,"&lt;"&amp;K2340)+1)</f>
        <v/>
      </c>
    </row>
    <row r="2341">
      <c r="A2341" s="5">
        <f>IF($J2341="","",IF($J2341&lt;=1500,INDEX('Daily Sale entry '!$X$1:$X$1501,$J2341+1),INDEX('Daily Sale entry '!$V$1:$V$1501,$J2341-1499)))</f>
        <v/>
      </c>
      <c r="B2341">
        <f>IF($J2341="","",IF($J2341&lt;=1500,INDEX('Daily Sale entry '!$Y$1:$Y$1501,$J2341+1)&amp;"","Buyer cheque banked 买家支票存入"&amp;IF(INDEX('Daily Sale entry '!$U$1:$U$1501,$J2341-1499)="","", " - "&amp;INDEX('Daily Sale entry '!$U$1:$U$1501,$J2341-1499))))</f>
        <v/>
      </c>
      <c r="C2341">
        <f>IF($J2341="","",IF($J2341&lt;=1500,INDEX('Daily Sale entry '!$Z$1:$Z$1501,$J2341+1)&amp;"","Cheque deposit 支票存入 (buyer 买家)"))</f>
        <v/>
      </c>
      <c r="D2341">
        <f>IF($J2341="","",IF($J2341&lt;=1500,INDEX('Daily Sale entry '!$AA$1:$AA$1501,$J2341+1)&amp;"",INDEX('Daily Sale entry '!$P$1:$P$1501,$J2341-1499)&amp;""))</f>
        <v/>
      </c>
      <c r="E2341">
        <f>IF($J2341="","",IF($J2341&lt;=1500,IF(N(INDEX('Daily Sale entry '!$AB$1:$AB$1501,$J2341+1))=0,"",INDEX('Daily Sale entry '!$AB$1:$AB$1501,$J2341+1)),1))</f>
        <v/>
      </c>
      <c r="F2341" s="6">
        <f>IF($J2341="","",IF($J2341&lt;=1500,N(INDEX('Daily Sale entry '!$AC$1:$AC$1501,$J2341+1))-IF(AND('Opening Balance'!$B$15=1,INDEX('Daily Sale entry '!$Z$1:$Z$1501,$J2341+1)="Online collection 网上收款",INDEX('Daily Sale entry '!$AA$1:$AA$1501,$J2341+1)&lt;&gt;""),N(INDEX('Daily Sale entry '!$AC$1:$AC$1501,$J2341+1))-TRUNC(N(INDEX('Daily Sale entry '!$AC$1:$AC$1501,$J2341+1))),0),N(INDEX('Daily Sale entry '!$S$1:$S$1501,$J2341-1499))-'Opening Balance'!$B$15*(N(INDEX('Daily Sale entry '!$S$1:$S$1501,$J2341-1499))-TRUNC(N(INDEX('Daily Sale entry '!$S$1:$S$1501,$J2341-1499))))))</f>
        <v/>
      </c>
      <c r="G2341" s="6">
        <f>IF($J2341="","",IF($J2341&lt;=1500,N(INDEX('Daily Sale entry '!$AD$1:$AD$1501,$J2341+1)),0))</f>
        <v/>
      </c>
      <c r="H2341" s="6">
        <f>IF($J2341="","",ROUND('Opening Balance'!$B$4+SUM($F$2:F2341)-SUM($G$2:G2341),2))</f>
        <v/>
      </c>
      <c r="J2341" s="21">
        <f>IFERROR(MATCH(ROW()-1,$L$2:$L$3001,0),"")</f>
        <v/>
      </c>
      <c r="K2341" s="34">
        <f>IF(AND('Daily Sale entry '!Q841="Collection 收款",'Daily Sale entry '!R841="Cheque 支票",'Daily Sale entry '!V841&lt;&gt;""),'Daily Sale entry '!V841+ROW()/10000000,"")</f>
        <v/>
      </c>
      <c r="L2341" s="21">
        <f>IF(K2341="","",COUNTIF($K$2:$K$3001,"&lt;"&amp;K2341)+1)</f>
        <v/>
      </c>
    </row>
    <row r="2342">
      <c r="A2342" s="5">
        <f>IF($J2342="","",IF($J2342&lt;=1500,INDEX('Daily Sale entry '!$X$1:$X$1501,$J2342+1),INDEX('Daily Sale entry '!$V$1:$V$1501,$J2342-1499)))</f>
        <v/>
      </c>
      <c r="B2342">
        <f>IF($J2342="","",IF($J2342&lt;=1500,INDEX('Daily Sale entry '!$Y$1:$Y$1501,$J2342+1)&amp;"","Buyer cheque banked 买家支票存入"&amp;IF(INDEX('Daily Sale entry '!$U$1:$U$1501,$J2342-1499)="","", " - "&amp;INDEX('Daily Sale entry '!$U$1:$U$1501,$J2342-1499))))</f>
        <v/>
      </c>
      <c r="C2342">
        <f>IF($J2342="","",IF($J2342&lt;=1500,INDEX('Daily Sale entry '!$Z$1:$Z$1501,$J2342+1)&amp;"","Cheque deposit 支票存入 (buyer 买家)"))</f>
        <v/>
      </c>
      <c r="D2342">
        <f>IF($J2342="","",IF($J2342&lt;=1500,INDEX('Daily Sale entry '!$AA$1:$AA$1501,$J2342+1)&amp;"",INDEX('Daily Sale entry '!$P$1:$P$1501,$J2342-1499)&amp;""))</f>
        <v/>
      </c>
      <c r="E2342">
        <f>IF($J2342="","",IF($J2342&lt;=1500,IF(N(INDEX('Daily Sale entry '!$AB$1:$AB$1501,$J2342+1))=0,"",INDEX('Daily Sale entry '!$AB$1:$AB$1501,$J2342+1)),1))</f>
        <v/>
      </c>
      <c r="F2342" s="6">
        <f>IF($J2342="","",IF($J2342&lt;=1500,N(INDEX('Daily Sale entry '!$AC$1:$AC$1501,$J2342+1))-IF(AND('Opening Balance'!$B$15=1,INDEX('Daily Sale entry '!$Z$1:$Z$1501,$J2342+1)="Online collection 网上收款",INDEX('Daily Sale entry '!$AA$1:$AA$1501,$J2342+1)&lt;&gt;""),N(INDEX('Daily Sale entry '!$AC$1:$AC$1501,$J2342+1))-TRUNC(N(INDEX('Daily Sale entry '!$AC$1:$AC$1501,$J2342+1))),0),N(INDEX('Daily Sale entry '!$S$1:$S$1501,$J2342-1499))-'Opening Balance'!$B$15*(N(INDEX('Daily Sale entry '!$S$1:$S$1501,$J2342-1499))-TRUNC(N(INDEX('Daily Sale entry '!$S$1:$S$1501,$J2342-1499))))))</f>
        <v/>
      </c>
      <c r="G2342" s="6">
        <f>IF($J2342="","",IF($J2342&lt;=1500,N(INDEX('Daily Sale entry '!$AD$1:$AD$1501,$J2342+1)),0))</f>
        <v/>
      </c>
      <c r="H2342" s="6">
        <f>IF($J2342="","",ROUND('Opening Balance'!$B$4+SUM($F$2:F2342)-SUM($G$2:G2342),2))</f>
        <v/>
      </c>
      <c r="J2342" s="21">
        <f>IFERROR(MATCH(ROW()-1,$L$2:$L$3001,0),"")</f>
        <v/>
      </c>
      <c r="K2342" s="34">
        <f>IF(AND('Daily Sale entry '!Q842="Collection 收款",'Daily Sale entry '!R842="Cheque 支票",'Daily Sale entry '!V842&lt;&gt;""),'Daily Sale entry '!V842+ROW()/10000000,"")</f>
        <v/>
      </c>
      <c r="L2342" s="21">
        <f>IF(K2342="","",COUNTIF($K$2:$K$3001,"&lt;"&amp;K2342)+1)</f>
        <v/>
      </c>
    </row>
    <row r="2343">
      <c r="A2343" s="5">
        <f>IF($J2343="","",IF($J2343&lt;=1500,INDEX('Daily Sale entry '!$X$1:$X$1501,$J2343+1),INDEX('Daily Sale entry '!$V$1:$V$1501,$J2343-1499)))</f>
        <v/>
      </c>
      <c r="B2343">
        <f>IF($J2343="","",IF($J2343&lt;=1500,INDEX('Daily Sale entry '!$Y$1:$Y$1501,$J2343+1)&amp;"","Buyer cheque banked 买家支票存入"&amp;IF(INDEX('Daily Sale entry '!$U$1:$U$1501,$J2343-1499)="","", " - "&amp;INDEX('Daily Sale entry '!$U$1:$U$1501,$J2343-1499))))</f>
        <v/>
      </c>
      <c r="C2343">
        <f>IF($J2343="","",IF($J2343&lt;=1500,INDEX('Daily Sale entry '!$Z$1:$Z$1501,$J2343+1)&amp;"","Cheque deposit 支票存入 (buyer 买家)"))</f>
        <v/>
      </c>
      <c r="D2343">
        <f>IF($J2343="","",IF($J2343&lt;=1500,INDEX('Daily Sale entry '!$AA$1:$AA$1501,$J2343+1)&amp;"",INDEX('Daily Sale entry '!$P$1:$P$1501,$J2343-1499)&amp;""))</f>
        <v/>
      </c>
      <c r="E2343">
        <f>IF($J2343="","",IF($J2343&lt;=1500,IF(N(INDEX('Daily Sale entry '!$AB$1:$AB$1501,$J2343+1))=0,"",INDEX('Daily Sale entry '!$AB$1:$AB$1501,$J2343+1)),1))</f>
        <v/>
      </c>
      <c r="F2343" s="6">
        <f>IF($J2343="","",IF($J2343&lt;=1500,N(INDEX('Daily Sale entry '!$AC$1:$AC$1501,$J2343+1))-IF(AND('Opening Balance'!$B$15=1,INDEX('Daily Sale entry '!$Z$1:$Z$1501,$J2343+1)="Online collection 网上收款",INDEX('Daily Sale entry '!$AA$1:$AA$1501,$J2343+1)&lt;&gt;""),N(INDEX('Daily Sale entry '!$AC$1:$AC$1501,$J2343+1))-TRUNC(N(INDEX('Daily Sale entry '!$AC$1:$AC$1501,$J2343+1))),0),N(INDEX('Daily Sale entry '!$S$1:$S$1501,$J2343-1499))-'Opening Balance'!$B$15*(N(INDEX('Daily Sale entry '!$S$1:$S$1501,$J2343-1499))-TRUNC(N(INDEX('Daily Sale entry '!$S$1:$S$1501,$J2343-1499))))))</f>
        <v/>
      </c>
      <c r="G2343" s="6">
        <f>IF($J2343="","",IF($J2343&lt;=1500,N(INDEX('Daily Sale entry '!$AD$1:$AD$1501,$J2343+1)),0))</f>
        <v/>
      </c>
      <c r="H2343" s="6">
        <f>IF($J2343="","",ROUND('Opening Balance'!$B$4+SUM($F$2:F2343)-SUM($G$2:G2343),2))</f>
        <v/>
      </c>
      <c r="J2343" s="21">
        <f>IFERROR(MATCH(ROW()-1,$L$2:$L$3001,0),"")</f>
        <v/>
      </c>
      <c r="K2343" s="34">
        <f>IF(AND('Daily Sale entry '!Q843="Collection 收款",'Daily Sale entry '!R843="Cheque 支票",'Daily Sale entry '!V843&lt;&gt;""),'Daily Sale entry '!V843+ROW()/10000000,"")</f>
        <v/>
      </c>
      <c r="L2343" s="21">
        <f>IF(K2343="","",COUNTIF($K$2:$K$3001,"&lt;"&amp;K2343)+1)</f>
        <v/>
      </c>
    </row>
    <row r="2344">
      <c r="A2344" s="5">
        <f>IF($J2344="","",IF($J2344&lt;=1500,INDEX('Daily Sale entry '!$X$1:$X$1501,$J2344+1),INDEX('Daily Sale entry '!$V$1:$V$1501,$J2344-1499)))</f>
        <v/>
      </c>
      <c r="B2344">
        <f>IF($J2344="","",IF($J2344&lt;=1500,INDEX('Daily Sale entry '!$Y$1:$Y$1501,$J2344+1)&amp;"","Buyer cheque banked 买家支票存入"&amp;IF(INDEX('Daily Sale entry '!$U$1:$U$1501,$J2344-1499)="","", " - "&amp;INDEX('Daily Sale entry '!$U$1:$U$1501,$J2344-1499))))</f>
        <v/>
      </c>
      <c r="C2344">
        <f>IF($J2344="","",IF($J2344&lt;=1500,INDEX('Daily Sale entry '!$Z$1:$Z$1501,$J2344+1)&amp;"","Cheque deposit 支票存入 (buyer 买家)"))</f>
        <v/>
      </c>
      <c r="D2344">
        <f>IF($J2344="","",IF($J2344&lt;=1500,INDEX('Daily Sale entry '!$AA$1:$AA$1501,$J2344+1)&amp;"",INDEX('Daily Sale entry '!$P$1:$P$1501,$J2344-1499)&amp;""))</f>
        <v/>
      </c>
      <c r="E2344">
        <f>IF($J2344="","",IF($J2344&lt;=1500,IF(N(INDEX('Daily Sale entry '!$AB$1:$AB$1501,$J2344+1))=0,"",INDEX('Daily Sale entry '!$AB$1:$AB$1501,$J2344+1)),1))</f>
        <v/>
      </c>
      <c r="F2344" s="6">
        <f>IF($J2344="","",IF($J2344&lt;=1500,N(INDEX('Daily Sale entry '!$AC$1:$AC$1501,$J2344+1))-IF(AND('Opening Balance'!$B$15=1,INDEX('Daily Sale entry '!$Z$1:$Z$1501,$J2344+1)="Online collection 网上收款",INDEX('Daily Sale entry '!$AA$1:$AA$1501,$J2344+1)&lt;&gt;""),N(INDEX('Daily Sale entry '!$AC$1:$AC$1501,$J2344+1))-TRUNC(N(INDEX('Daily Sale entry '!$AC$1:$AC$1501,$J2344+1))),0),N(INDEX('Daily Sale entry '!$S$1:$S$1501,$J2344-1499))-'Opening Balance'!$B$15*(N(INDEX('Daily Sale entry '!$S$1:$S$1501,$J2344-1499))-TRUNC(N(INDEX('Daily Sale entry '!$S$1:$S$1501,$J2344-1499))))))</f>
        <v/>
      </c>
      <c r="G2344" s="6">
        <f>IF($J2344="","",IF($J2344&lt;=1500,N(INDEX('Daily Sale entry '!$AD$1:$AD$1501,$J2344+1)),0))</f>
        <v/>
      </c>
      <c r="H2344" s="6">
        <f>IF($J2344="","",ROUND('Opening Balance'!$B$4+SUM($F$2:F2344)-SUM($G$2:G2344),2))</f>
        <v/>
      </c>
      <c r="J2344" s="21">
        <f>IFERROR(MATCH(ROW()-1,$L$2:$L$3001,0),"")</f>
        <v/>
      </c>
      <c r="K2344" s="34">
        <f>IF(AND('Daily Sale entry '!Q844="Collection 收款",'Daily Sale entry '!R844="Cheque 支票",'Daily Sale entry '!V844&lt;&gt;""),'Daily Sale entry '!V844+ROW()/10000000,"")</f>
        <v/>
      </c>
      <c r="L2344" s="21">
        <f>IF(K2344="","",COUNTIF($K$2:$K$3001,"&lt;"&amp;K2344)+1)</f>
        <v/>
      </c>
    </row>
    <row r="2345">
      <c r="A2345" s="5">
        <f>IF($J2345="","",IF($J2345&lt;=1500,INDEX('Daily Sale entry '!$X$1:$X$1501,$J2345+1),INDEX('Daily Sale entry '!$V$1:$V$1501,$J2345-1499)))</f>
        <v/>
      </c>
      <c r="B2345">
        <f>IF($J2345="","",IF($J2345&lt;=1500,INDEX('Daily Sale entry '!$Y$1:$Y$1501,$J2345+1)&amp;"","Buyer cheque banked 买家支票存入"&amp;IF(INDEX('Daily Sale entry '!$U$1:$U$1501,$J2345-1499)="","", " - "&amp;INDEX('Daily Sale entry '!$U$1:$U$1501,$J2345-1499))))</f>
        <v/>
      </c>
      <c r="C2345">
        <f>IF($J2345="","",IF($J2345&lt;=1500,INDEX('Daily Sale entry '!$Z$1:$Z$1501,$J2345+1)&amp;"","Cheque deposit 支票存入 (buyer 买家)"))</f>
        <v/>
      </c>
      <c r="D2345">
        <f>IF($J2345="","",IF($J2345&lt;=1500,INDEX('Daily Sale entry '!$AA$1:$AA$1501,$J2345+1)&amp;"",INDEX('Daily Sale entry '!$P$1:$P$1501,$J2345-1499)&amp;""))</f>
        <v/>
      </c>
      <c r="E2345">
        <f>IF($J2345="","",IF($J2345&lt;=1500,IF(N(INDEX('Daily Sale entry '!$AB$1:$AB$1501,$J2345+1))=0,"",INDEX('Daily Sale entry '!$AB$1:$AB$1501,$J2345+1)),1))</f>
        <v/>
      </c>
      <c r="F2345" s="6">
        <f>IF($J2345="","",IF($J2345&lt;=1500,N(INDEX('Daily Sale entry '!$AC$1:$AC$1501,$J2345+1))-IF(AND('Opening Balance'!$B$15=1,INDEX('Daily Sale entry '!$Z$1:$Z$1501,$J2345+1)="Online collection 网上收款",INDEX('Daily Sale entry '!$AA$1:$AA$1501,$J2345+1)&lt;&gt;""),N(INDEX('Daily Sale entry '!$AC$1:$AC$1501,$J2345+1))-TRUNC(N(INDEX('Daily Sale entry '!$AC$1:$AC$1501,$J2345+1))),0),N(INDEX('Daily Sale entry '!$S$1:$S$1501,$J2345-1499))-'Opening Balance'!$B$15*(N(INDEX('Daily Sale entry '!$S$1:$S$1501,$J2345-1499))-TRUNC(N(INDEX('Daily Sale entry '!$S$1:$S$1501,$J2345-1499))))))</f>
        <v/>
      </c>
      <c r="G2345" s="6">
        <f>IF($J2345="","",IF($J2345&lt;=1500,N(INDEX('Daily Sale entry '!$AD$1:$AD$1501,$J2345+1)),0))</f>
        <v/>
      </c>
      <c r="H2345" s="6">
        <f>IF($J2345="","",ROUND('Opening Balance'!$B$4+SUM($F$2:F2345)-SUM($G$2:G2345),2))</f>
        <v/>
      </c>
      <c r="J2345" s="21">
        <f>IFERROR(MATCH(ROW()-1,$L$2:$L$3001,0),"")</f>
        <v/>
      </c>
      <c r="K2345" s="34">
        <f>IF(AND('Daily Sale entry '!Q845="Collection 收款",'Daily Sale entry '!R845="Cheque 支票",'Daily Sale entry '!V845&lt;&gt;""),'Daily Sale entry '!V845+ROW()/10000000,"")</f>
        <v/>
      </c>
      <c r="L2345" s="21">
        <f>IF(K2345="","",COUNTIF($K$2:$K$3001,"&lt;"&amp;K2345)+1)</f>
        <v/>
      </c>
    </row>
    <row r="2346">
      <c r="A2346" s="5">
        <f>IF($J2346="","",IF($J2346&lt;=1500,INDEX('Daily Sale entry '!$X$1:$X$1501,$J2346+1),INDEX('Daily Sale entry '!$V$1:$V$1501,$J2346-1499)))</f>
        <v/>
      </c>
      <c r="B2346">
        <f>IF($J2346="","",IF($J2346&lt;=1500,INDEX('Daily Sale entry '!$Y$1:$Y$1501,$J2346+1)&amp;"","Buyer cheque banked 买家支票存入"&amp;IF(INDEX('Daily Sale entry '!$U$1:$U$1501,$J2346-1499)="","", " - "&amp;INDEX('Daily Sale entry '!$U$1:$U$1501,$J2346-1499))))</f>
        <v/>
      </c>
      <c r="C2346">
        <f>IF($J2346="","",IF($J2346&lt;=1500,INDEX('Daily Sale entry '!$Z$1:$Z$1501,$J2346+1)&amp;"","Cheque deposit 支票存入 (buyer 买家)"))</f>
        <v/>
      </c>
      <c r="D2346">
        <f>IF($J2346="","",IF($J2346&lt;=1500,INDEX('Daily Sale entry '!$AA$1:$AA$1501,$J2346+1)&amp;"",INDEX('Daily Sale entry '!$P$1:$P$1501,$J2346-1499)&amp;""))</f>
        <v/>
      </c>
      <c r="E2346">
        <f>IF($J2346="","",IF($J2346&lt;=1500,IF(N(INDEX('Daily Sale entry '!$AB$1:$AB$1501,$J2346+1))=0,"",INDEX('Daily Sale entry '!$AB$1:$AB$1501,$J2346+1)),1))</f>
        <v/>
      </c>
      <c r="F2346" s="6">
        <f>IF($J2346="","",IF($J2346&lt;=1500,N(INDEX('Daily Sale entry '!$AC$1:$AC$1501,$J2346+1))-IF(AND('Opening Balance'!$B$15=1,INDEX('Daily Sale entry '!$Z$1:$Z$1501,$J2346+1)="Online collection 网上收款",INDEX('Daily Sale entry '!$AA$1:$AA$1501,$J2346+1)&lt;&gt;""),N(INDEX('Daily Sale entry '!$AC$1:$AC$1501,$J2346+1))-TRUNC(N(INDEX('Daily Sale entry '!$AC$1:$AC$1501,$J2346+1))),0),N(INDEX('Daily Sale entry '!$S$1:$S$1501,$J2346-1499))-'Opening Balance'!$B$15*(N(INDEX('Daily Sale entry '!$S$1:$S$1501,$J2346-1499))-TRUNC(N(INDEX('Daily Sale entry '!$S$1:$S$1501,$J2346-1499))))))</f>
        <v/>
      </c>
      <c r="G2346" s="6">
        <f>IF($J2346="","",IF($J2346&lt;=1500,N(INDEX('Daily Sale entry '!$AD$1:$AD$1501,$J2346+1)),0))</f>
        <v/>
      </c>
      <c r="H2346" s="6">
        <f>IF($J2346="","",ROUND('Opening Balance'!$B$4+SUM($F$2:F2346)-SUM($G$2:G2346),2))</f>
        <v/>
      </c>
      <c r="J2346" s="21">
        <f>IFERROR(MATCH(ROW()-1,$L$2:$L$3001,0),"")</f>
        <v/>
      </c>
      <c r="K2346" s="34">
        <f>IF(AND('Daily Sale entry '!Q846="Collection 收款",'Daily Sale entry '!R846="Cheque 支票",'Daily Sale entry '!V846&lt;&gt;""),'Daily Sale entry '!V846+ROW()/10000000,"")</f>
        <v/>
      </c>
      <c r="L2346" s="21">
        <f>IF(K2346="","",COUNTIF($K$2:$K$3001,"&lt;"&amp;K2346)+1)</f>
        <v/>
      </c>
    </row>
    <row r="2347">
      <c r="A2347" s="5">
        <f>IF($J2347="","",IF($J2347&lt;=1500,INDEX('Daily Sale entry '!$X$1:$X$1501,$J2347+1),INDEX('Daily Sale entry '!$V$1:$V$1501,$J2347-1499)))</f>
        <v/>
      </c>
      <c r="B2347">
        <f>IF($J2347="","",IF($J2347&lt;=1500,INDEX('Daily Sale entry '!$Y$1:$Y$1501,$J2347+1)&amp;"","Buyer cheque banked 买家支票存入"&amp;IF(INDEX('Daily Sale entry '!$U$1:$U$1501,$J2347-1499)="","", " - "&amp;INDEX('Daily Sale entry '!$U$1:$U$1501,$J2347-1499))))</f>
        <v/>
      </c>
      <c r="C2347">
        <f>IF($J2347="","",IF($J2347&lt;=1500,INDEX('Daily Sale entry '!$Z$1:$Z$1501,$J2347+1)&amp;"","Cheque deposit 支票存入 (buyer 买家)"))</f>
        <v/>
      </c>
      <c r="D2347">
        <f>IF($J2347="","",IF($J2347&lt;=1500,INDEX('Daily Sale entry '!$AA$1:$AA$1501,$J2347+1)&amp;"",INDEX('Daily Sale entry '!$P$1:$P$1501,$J2347-1499)&amp;""))</f>
        <v/>
      </c>
      <c r="E2347">
        <f>IF($J2347="","",IF($J2347&lt;=1500,IF(N(INDEX('Daily Sale entry '!$AB$1:$AB$1501,$J2347+1))=0,"",INDEX('Daily Sale entry '!$AB$1:$AB$1501,$J2347+1)),1))</f>
        <v/>
      </c>
      <c r="F2347" s="6">
        <f>IF($J2347="","",IF($J2347&lt;=1500,N(INDEX('Daily Sale entry '!$AC$1:$AC$1501,$J2347+1))-IF(AND('Opening Balance'!$B$15=1,INDEX('Daily Sale entry '!$Z$1:$Z$1501,$J2347+1)="Online collection 网上收款",INDEX('Daily Sale entry '!$AA$1:$AA$1501,$J2347+1)&lt;&gt;""),N(INDEX('Daily Sale entry '!$AC$1:$AC$1501,$J2347+1))-TRUNC(N(INDEX('Daily Sale entry '!$AC$1:$AC$1501,$J2347+1))),0),N(INDEX('Daily Sale entry '!$S$1:$S$1501,$J2347-1499))-'Opening Balance'!$B$15*(N(INDEX('Daily Sale entry '!$S$1:$S$1501,$J2347-1499))-TRUNC(N(INDEX('Daily Sale entry '!$S$1:$S$1501,$J2347-1499))))))</f>
        <v/>
      </c>
      <c r="G2347" s="6">
        <f>IF($J2347="","",IF($J2347&lt;=1500,N(INDEX('Daily Sale entry '!$AD$1:$AD$1501,$J2347+1)),0))</f>
        <v/>
      </c>
      <c r="H2347" s="6">
        <f>IF($J2347="","",ROUND('Opening Balance'!$B$4+SUM($F$2:F2347)-SUM($G$2:G2347),2))</f>
        <v/>
      </c>
      <c r="J2347" s="21">
        <f>IFERROR(MATCH(ROW()-1,$L$2:$L$3001,0),"")</f>
        <v/>
      </c>
      <c r="K2347" s="34">
        <f>IF(AND('Daily Sale entry '!Q847="Collection 收款",'Daily Sale entry '!R847="Cheque 支票",'Daily Sale entry '!V847&lt;&gt;""),'Daily Sale entry '!V847+ROW()/10000000,"")</f>
        <v/>
      </c>
      <c r="L2347" s="21">
        <f>IF(K2347="","",COUNTIF($K$2:$K$3001,"&lt;"&amp;K2347)+1)</f>
        <v/>
      </c>
    </row>
    <row r="2348">
      <c r="A2348" s="5">
        <f>IF($J2348="","",IF($J2348&lt;=1500,INDEX('Daily Sale entry '!$X$1:$X$1501,$J2348+1),INDEX('Daily Sale entry '!$V$1:$V$1501,$J2348-1499)))</f>
        <v/>
      </c>
      <c r="B2348">
        <f>IF($J2348="","",IF($J2348&lt;=1500,INDEX('Daily Sale entry '!$Y$1:$Y$1501,$J2348+1)&amp;"","Buyer cheque banked 买家支票存入"&amp;IF(INDEX('Daily Sale entry '!$U$1:$U$1501,$J2348-1499)="","", " - "&amp;INDEX('Daily Sale entry '!$U$1:$U$1501,$J2348-1499))))</f>
        <v/>
      </c>
      <c r="C2348">
        <f>IF($J2348="","",IF($J2348&lt;=1500,INDEX('Daily Sale entry '!$Z$1:$Z$1501,$J2348+1)&amp;"","Cheque deposit 支票存入 (buyer 买家)"))</f>
        <v/>
      </c>
      <c r="D2348">
        <f>IF($J2348="","",IF($J2348&lt;=1500,INDEX('Daily Sale entry '!$AA$1:$AA$1501,$J2348+1)&amp;"",INDEX('Daily Sale entry '!$P$1:$P$1501,$J2348-1499)&amp;""))</f>
        <v/>
      </c>
      <c r="E2348">
        <f>IF($J2348="","",IF($J2348&lt;=1500,IF(N(INDEX('Daily Sale entry '!$AB$1:$AB$1501,$J2348+1))=0,"",INDEX('Daily Sale entry '!$AB$1:$AB$1501,$J2348+1)),1))</f>
        <v/>
      </c>
      <c r="F2348" s="6">
        <f>IF($J2348="","",IF($J2348&lt;=1500,N(INDEX('Daily Sale entry '!$AC$1:$AC$1501,$J2348+1))-IF(AND('Opening Balance'!$B$15=1,INDEX('Daily Sale entry '!$Z$1:$Z$1501,$J2348+1)="Online collection 网上收款",INDEX('Daily Sale entry '!$AA$1:$AA$1501,$J2348+1)&lt;&gt;""),N(INDEX('Daily Sale entry '!$AC$1:$AC$1501,$J2348+1))-TRUNC(N(INDEX('Daily Sale entry '!$AC$1:$AC$1501,$J2348+1))),0),N(INDEX('Daily Sale entry '!$S$1:$S$1501,$J2348-1499))-'Opening Balance'!$B$15*(N(INDEX('Daily Sale entry '!$S$1:$S$1501,$J2348-1499))-TRUNC(N(INDEX('Daily Sale entry '!$S$1:$S$1501,$J2348-1499))))))</f>
        <v/>
      </c>
      <c r="G2348" s="6">
        <f>IF($J2348="","",IF($J2348&lt;=1500,N(INDEX('Daily Sale entry '!$AD$1:$AD$1501,$J2348+1)),0))</f>
        <v/>
      </c>
      <c r="H2348" s="6">
        <f>IF($J2348="","",ROUND('Opening Balance'!$B$4+SUM($F$2:F2348)-SUM($G$2:G2348),2))</f>
        <v/>
      </c>
      <c r="J2348" s="21">
        <f>IFERROR(MATCH(ROW()-1,$L$2:$L$3001,0),"")</f>
        <v/>
      </c>
      <c r="K2348" s="34">
        <f>IF(AND('Daily Sale entry '!Q848="Collection 收款",'Daily Sale entry '!R848="Cheque 支票",'Daily Sale entry '!V848&lt;&gt;""),'Daily Sale entry '!V848+ROW()/10000000,"")</f>
        <v/>
      </c>
      <c r="L2348" s="21">
        <f>IF(K2348="","",COUNTIF($K$2:$K$3001,"&lt;"&amp;K2348)+1)</f>
        <v/>
      </c>
    </row>
    <row r="2349">
      <c r="A2349" s="5">
        <f>IF($J2349="","",IF($J2349&lt;=1500,INDEX('Daily Sale entry '!$X$1:$X$1501,$J2349+1),INDEX('Daily Sale entry '!$V$1:$V$1501,$J2349-1499)))</f>
        <v/>
      </c>
      <c r="B2349">
        <f>IF($J2349="","",IF($J2349&lt;=1500,INDEX('Daily Sale entry '!$Y$1:$Y$1501,$J2349+1)&amp;"","Buyer cheque banked 买家支票存入"&amp;IF(INDEX('Daily Sale entry '!$U$1:$U$1501,$J2349-1499)="","", " - "&amp;INDEX('Daily Sale entry '!$U$1:$U$1501,$J2349-1499))))</f>
        <v/>
      </c>
      <c r="C2349">
        <f>IF($J2349="","",IF($J2349&lt;=1500,INDEX('Daily Sale entry '!$Z$1:$Z$1501,$J2349+1)&amp;"","Cheque deposit 支票存入 (buyer 买家)"))</f>
        <v/>
      </c>
      <c r="D2349">
        <f>IF($J2349="","",IF($J2349&lt;=1500,INDEX('Daily Sale entry '!$AA$1:$AA$1501,$J2349+1)&amp;"",INDEX('Daily Sale entry '!$P$1:$P$1501,$J2349-1499)&amp;""))</f>
        <v/>
      </c>
      <c r="E2349">
        <f>IF($J2349="","",IF($J2349&lt;=1500,IF(N(INDEX('Daily Sale entry '!$AB$1:$AB$1501,$J2349+1))=0,"",INDEX('Daily Sale entry '!$AB$1:$AB$1501,$J2349+1)),1))</f>
        <v/>
      </c>
      <c r="F2349" s="6">
        <f>IF($J2349="","",IF($J2349&lt;=1500,N(INDEX('Daily Sale entry '!$AC$1:$AC$1501,$J2349+1))-IF(AND('Opening Balance'!$B$15=1,INDEX('Daily Sale entry '!$Z$1:$Z$1501,$J2349+1)="Online collection 网上收款",INDEX('Daily Sale entry '!$AA$1:$AA$1501,$J2349+1)&lt;&gt;""),N(INDEX('Daily Sale entry '!$AC$1:$AC$1501,$J2349+1))-TRUNC(N(INDEX('Daily Sale entry '!$AC$1:$AC$1501,$J2349+1))),0),N(INDEX('Daily Sale entry '!$S$1:$S$1501,$J2349-1499))-'Opening Balance'!$B$15*(N(INDEX('Daily Sale entry '!$S$1:$S$1501,$J2349-1499))-TRUNC(N(INDEX('Daily Sale entry '!$S$1:$S$1501,$J2349-1499))))))</f>
        <v/>
      </c>
      <c r="G2349" s="6">
        <f>IF($J2349="","",IF($J2349&lt;=1500,N(INDEX('Daily Sale entry '!$AD$1:$AD$1501,$J2349+1)),0))</f>
        <v/>
      </c>
      <c r="H2349" s="6">
        <f>IF($J2349="","",ROUND('Opening Balance'!$B$4+SUM($F$2:F2349)-SUM($G$2:G2349),2))</f>
        <v/>
      </c>
      <c r="J2349" s="21">
        <f>IFERROR(MATCH(ROW()-1,$L$2:$L$3001,0),"")</f>
        <v/>
      </c>
      <c r="K2349" s="34">
        <f>IF(AND('Daily Sale entry '!Q849="Collection 收款",'Daily Sale entry '!R849="Cheque 支票",'Daily Sale entry '!V849&lt;&gt;""),'Daily Sale entry '!V849+ROW()/10000000,"")</f>
        <v/>
      </c>
      <c r="L2349" s="21">
        <f>IF(K2349="","",COUNTIF($K$2:$K$3001,"&lt;"&amp;K2349)+1)</f>
        <v/>
      </c>
    </row>
    <row r="2350">
      <c r="A2350" s="5">
        <f>IF($J2350="","",IF($J2350&lt;=1500,INDEX('Daily Sale entry '!$X$1:$X$1501,$J2350+1),INDEX('Daily Sale entry '!$V$1:$V$1501,$J2350-1499)))</f>
        <v/>
      </c>
      <c r="B2350">
        <f>IF($J2350="","",IF($J2350&lt;=1500,INDEX('Daily Sale entry '!$Y$1:$Y$1501,$J2350+1)&amp;"","Buyer cheque banked 买家支票存入"&amp;IF(INDEX('Daily Sale entry '!$U$1:$U$1501,$J2350-1499)="","", " - "&amp;INDEX('Daily Sale entry '!$U$1:$U$1501,$J2350-1499))))</f>
        <v/>
      </c>
      <c r="C2350">
        <f>IF($J2350="","",IF($J2350&lt;=1500,INDEX('Daily Sale entry '!$Z$1:$Z$1501,$J2350+1)&amp;"","Cheque deposit 支票存入 (buyer 买家)"))</f>
        <v/>
      </c>
      <c r="D2350">
        <f>IF($J2350="","",IF($J2350&lt;=1500,INDEX('Daily Sale entry '!$AA$1:$AA$1501,$J2350+1)&amp;"",INDEX('Daily Sale entry '!$P$1:$P$1501,$J2350-1499)&amp;""))</f>
        <v/>
      </c>
      <c r="E2350">
        <f>IF($J2350="","",IF($J2350&lt;=1500,IF(N(INDEX('Daily Sale entry '!$AB$1:$AB$1501,$J2350+1))=0,"",INDEX('Daily Sale entry '!$AB$1:$AB$1501,$J2350+1)),1))</f>
        <v/>
      </c>
      <c r="F2350" s="6">
        <f>IF($J2350="","",IF($J2350&lt;=1500,N(INDEX('Daily Sale entry '!$AC$1:$AC$1501,$J2350+1))-IF(AND('Opening Balance'!$B$15=1,INDEX('Daily Sale entry '!$Z$1:$Z$1501,$J2350+1)="Online collection 网上收款",INDEX('Daily Sale entry '!$AA$1:$AA$1501,$J2350+1)&lt;&gt;""),N(INDEX('Daily Sale entry '!$AC$1:$AC$1501,$J2350+1))-TRUNC(N(INDEX('Daily Sale entry '!$AC$1:$AC$1501,$J2350+1))),0),N(INDEX('Daily Sale entry '!$S$1:$S$1501,$J2350-1499))-'Opening Balance'!$B$15*(N(INDEX('Daily Sale entry '!$S$1:$S$1501,$J2350-1499))-TRUNC(N(INDEX('Daily Sale entry '!$S$1:$S$1501,$J2350-1499))))))</f>
        <v/>
      </c>
      <c r="G2350" s="6">
        <f>IF($J2350="","",IF($J2350&lt;=1500,N(INDEX('Daily Sale entry '!$AD$1:$AD$1501,$J2350+1)),0))</f>
        <v/>
      </c>
      <c r="H2350" s="6">
        <f>IF($J2350="","",ROUND('Opening Balance'!$B$4+SUM($F$2:F2350)-SUM($G$2:G2350),2))</f>
        <v/>
      </c>
      <c r="J2350" s="21">
        <f>IFERROR(MATCH(ROW()-1,$L$2:$L$3001,0),"")</f>
        <v/>
      </c>
      <c r="K2350" s="34">
        <f>IF(AND('Daily Sale entry '!Q850="Collection 收款",'Daily Sale entry '!R850="Cheque 支票",'Daily Sale entry '!V850&lt;&gt;""),'Daily Sale entry '!V850+ROW()/10000000,"")</f>
        <v/>
      </c>
      <c r="L2350" s="21">
        <f>IF(K2350="","",COUNTIF($K$2:$K$3001,"&lt;"&amp;K2350)+1)</f>
        <v/>
      </c>
    </row>
    <row r="2351">
      <c r="A2351" s="5">
        <f>IF($J2351="","",IF($J2351&lt;=1500,INDEX('Daily Sale entry '!$X$1:$X$1501,$J2351+1),INDEX('Daily Sale entry '!$V$1:$V$1501,$J2351-1499)))</f>
        <v/>
      </c>
      <c r="B2351">
        <f>IF($J2351="","",IF($J2351&lt;=1500,INDEX('Daily Sale entry '!$Y$1:$Y$1501,$J2351+1)&amp;"","Buyer cheque banked 买家支票存入"&amp;IF(INDEX('Daily Sale entry '!$U$1:$U$1501,$J2351-1499)="","", " - "&amp;INDEX('Daily Sale entry '!$U$1:$U$1501,$J2351-1499))))</f>
        <v/>
      </c>
      <c r="C2351">
        <f>IF($J2351="","",IF($J2351&lt;=1500,INDEX('Daily Sale entry '!$Z$1:$Z$1501,$J2351+1)&amp;"","Cheque deposit 支票存入 (buyer 买家)"))</f>
        <v/>
      </c>
      <c r="D2351">
        <f>IF($J2351="","",IF($J2351&lt;=1500,INDEX('Daily Sale entry '!$AA$1:$AA$1501,$J2351+1)&amp;"",INDEX('Daily Sale entry '!$P$1:$P$1501,$J2351-1499)&amp;""))</f>
        <v/>
      </c>
      <c r="E2351">
        <f>IF($J2351="","",IF($J2351&lt;=1500,IF(N(INDEX('Daily Sale entry '!$AB$1:$AB$1501,$J2351+1))=0,"",INDEX('Daily Sale entry '!$AB$1:$AB$1501,$J2351+1)),1))</f>
        <v/>
      </c>
      <c r="F2351" s="6">
        <f>IF($J2351="","",IF($J2351&lt;=1500,N(INDEX('Daily Sale entry '!$AC$1:$AC$1501,$J2351+1))-IF(AND('Opening Balance'!$B$15=1,INDEX('Daily Sale entry '!$Z$1:$Z$1501,$J2351+1)="Online collection 网上收款",INDEX('Daily Sale entry '!$AA$1:$AA$1501,$J2351+1)&lt;&gt;""),N(INDEX('Daily Sale entry '!$AC$1:$AC$1501,$J2351+1))-TRUNC(N(INDEX('Daily Sale entry '!$AC$1:$AC$1501,$J2351+1))),0),N(INDEX('Daily Sale entry '!$S$1:$S$1501,$J2351-1499))-'Opening Balance'!$B$15*(N(INDEX('Daily Sale entry '!$S$1:$S$1501,$J2351-1499))-TRUNC(N(INDEX('Daily Sale entry '!$S$1:$S$1501,$J2351-1499))))))</f>
        <v/>
      </c>
      <c r="G2351" s="6">
        <f>IF($J2351="","",IF($J2351&lt;=1500,N(INDEX('Daily Sale entry '!$AD$1:$AD$1501,$J2351+1)),0))</f>
        <v/>
      </c>
      <c r="H2351" s="6">
        <f>IF($J2351="","",ROUND('Opening Balance'!$B$4+SUM($F$2:F2351)-SUM($G$2:G2351),2))</f>
        <v/>
      </c>
      <c r="J2351" s="21">
        <f>IFERROR(MATCH(ROW()-1,$L$2:$L$3001,0),"")</f>
        <v/>
      </c>
      <c r="K2351" s="34">
        <f>IF(AND('Daily Sale entry '!Q851="Collection 收款",'Daily Sale entry '!R851="Cheque 支票",'Daily Sale entry '!V851&lt;&gt;""),'Daily Sale entry '!V851+ROW()/10000000,"")</f>
        <v/>
      </c>
      <c r="L2351" s="21">
        <f>IF(K2351="","",COUNTIF($K$2:$K$3001,"&lt;"&amp;K2351)+1)</f>
        <v/>
      </c>
    </row>
    <row r="2352">
      <c r="A2352" s="5">
        <f>IF($J2352="","",IF($J2352&lt;=1500,INDEX('Daily Sale entry '!$X$1:$X$1501,$J2352+1),INDEX('Daily Sale entry '!$V$1:$V$1501,$J2352-1499)))</f>
        <v/>
      </c>
      <c r="B2352">
        <f>IF($J2352="","",IF($J2352&lt;=1500,INDEX('Daily Sale entry '!$Y$1:$Y$1501,$J2352+1)&amp;"","Buyer cheque banked 买家支票存入"&amp;IF(INDEX('Daily Sale entry '!$U$1:$U$1501,$J2352-1499)="","", " - "&amp;INDEX('Daily Sale entry '!$U$1:$U$1501,$J2352-1499))))</f>
        <v/>
      </c>
      <c r="C2352">
        <f>IF($J2352="","",IF($J2352&lt;=1500,INDEX('Daily Sale entry '!$Z$1:$Z$1501,$J2352+1)&amp;"","Cheque deposit 支票存入 (buyer 买家)"))</f>
        <v/>
      </c>
      <c r="D2352">
        <f>IF($J2352="","",IF($J2352&lt;=1500,INDEX('Daily Sale entry '!$AA$1:$AA$1501,$J2352+1)&amp;"",INDEX('Daily Sale entry '!$P$1:$P$1501,$J2352-1499)&amp;""))</f>
        <v/>
      </c>
      <c r="E2352">
        <f>IF($J2352="","",IF($J2352&lt;=1500,IF(N(INDEX('Daily Sale entry '!$AB$1:$AB$1501,$J2352+1))=0,"",INDEX('Daily Sale entry '!$AB$1:$AB$1501,$J2352+1)),1))</f>
        <v/>
      </c>
      <c r="F2352" s="6">
        <f>IF($J2352="","",IF($J2352&lt;=1500,N(INDEX('Daily Sale entry '!$AC$1:$AC$1501,$J2352+1))-IF(AND('Opening Balance'!$B$15=1,INDEX('Daily Sale entry '!$Z$1:$Z$1501,$J2352+1)="Online collection 网上收款",INDEX('Daily Sale entry '!$AA$1:$AA$1501,$J2352+1)&lt;&gt;""),N(INDEX('Daily Sale entry '!$AC$1:$AC$1501,$J2352+1))-TRUNC(N(INDEX('Daily Sale entry '!$AC$1:$AC$1501,$J2352+1))),0),N(INDEX('Daily Sale entry '!$S$1:$S$1501,$J2352-1499))-'Opening Balance'!$B$15*(N(INDEX('Daily Sale entry '!$S$1:$S$1501,$J2352-1499))-TRUNC(N(INDEX('Daily Sale entry '!$S$1:$S$1501,$J2352-1499))))))</f>
        <v/>
      </c>
      <c r="G2352" s="6">
        <f>IF($J2352="","",IF($J2352&lt;=1500,N(INDEX('Daily Sale entry '!$AD$1:$AD$1501,$J2352+1)),0))</f>
        <v/>
      </c>
      <c r="H2352" s="6">
        <f>IF($J2352="","",ROUND('Opening Balance'!$B$4+SUM($F$2:F2352)-SUM($G$2:G2352),2))</f>
        <v/>
      </c>
      <c r="J2352" s="21">
        <f>IFERROR(MATCH(ROW()-1,$L$2:$L$3001,0),"")</f>
        <v/>
      </c>
      <c r="K2352" s="34">
        <f>IF(AND('Daily Sale entry '!Q852="Collection 收款",'Daily Sale entry '!R852="Cheque 支票",'Daily Sale entry '!V852&lt;&gt;""),'Daily Sale entry '!V852+ROW()/10000000,"")</f>
        <v/>
      </c>
      <c r="L2352" s="21">
        <f>IF(K2352="","",COUNTIF($K$2:$K$3001,"&lt;"&amp;K2352)+1)</f>
        <v/>
      </c>
    </row>
    <row r="2353">
      <c r="A2353" s="5">
        <f>IF($J2353="","",IF($J2353&lt;=1500,INDEX('Daily Sale entry '!$X$1:$X$1501,$J2353+1),INDEX('Daily Sale entry '!$V$1:$V$1501,$J2353-1499)))</f>
        <v/>
      </c>
      <c r="B2353">
        <f>IF($J2353="","",IF($J2353&lt;=1500,INDEX('Daily Sale entry '!$Y$1:$Y$1501,$J2353+1)&amp;"","Buyer cheque banked 买家支票存入"&amp;IF(INDEX('Daily Sale entry '!$U$1:$U$1501,$J2353-1499)="","", " - "&amp;INDEX('Daily Sale entry '!$U$1:$U$1501,$J2353-1499))))</f>
        <v/>
      </c>
      <c r="C2353">
        <f>IF($J2353="","",IF($J2353&lt;=1500,INDEX('Daily Sale entry '!$Z$1:$Z$1501,$J2353+1)&amp;"","Cheque deposit 支票存入 (buyer 买家)"))</f>
        <v/>
      </c>
      <c r="D2353">
        <f>IF($J2353="","",IF($J2353&lt;=1500,INDEX('Daily Sale entry '!$AA$1:$AA$1501,$J2353+1)&amp;"",INDEX('Daily Sale entry '!$P$1:$P$1501,$J2353-1499)&amp;""))</f>
        <v/>
      </c>
      <c r="E2353">
        <f>IF($J2353="","",IF($J2353&lt;=1500,IF(N(INDEX('Daily Sale entry '!$AB$1:$AB$1501,$J2353+1))=0,"",INDEX('Daily Sale entry '!$AB$1:$AB$1501,$J2353+1)),1))</f>
        <v/>
      </c>
      <c r="F2353" s="6">
        <f>IF($J2353="","",IF($J2353&lt;=1500,N(INDEX('Daily Sale entry '!$AC$1:$AC$1501,$J2353+1))-IF(AND('Opening Balance'!$B$15=1,INDEX('Daily Sale entry '!$Z$1:$Z$1501,$J2353+1)="Online collection 网上收款",INDEX('Daily Sale entry '!$AA$1:$AA$1501,$J2353+1)&lt;&gt;""),N(INDEX('Daily Sale entry '!$AC$1:$AC$1501,$J2353+1))-TRUNC(N(INDEX('Daily Sale entry '!$AC$1:$AC$1501,$J2353+1))),0),N(INDEX('Daily Sale entry '!$S$1:$S$1501,$J2353-1499))-'Opening Balance'!$B$15*(N(INDEX('Daily Sale entry '!$S$1:$S$1501,$J2353-1499))-TRUNC(N(INDEX('Daily Sale entry '!$S$1:$S$1501,$J2353-1499))))))</f>
        <v/>
      </c>
      <c r="G2353" s="6">
        <f>IF($J2353="","",IF($J2353&lt;=1500,N(INDEX('Daily Sale entry '!$AD$1:$AD$1501,$J2353+1)),0))</f>
        <v/>
      </c>
      <c r="H2353" s="6">
        <f>IF($J2353="","",ROUND('Opening Balance'!$B$4+SUM($F$2:F2353)-SUM($G$2:G2353),2))</f>
        <v/>
      </c>
      <c r="J2353" s="21">
        <f>IFERROR(MATCH(ROW()-1,$L$2:$L$3001,0),"")</f>
        <v/>
      </c>
      <c r="K2353" s="34">
        <f>IF(AND('Daily Sale entry '!Q853="Collection 收款",'Daily Sale entry '!R853="Cheque 支票",'Daily Sale entry '!V853&lt;&gt;""),'Daily Sale entry '!V853+ROW()/10000000,"")</f>
        <v/>
      </c>
      <c r="L2353" s="21">
        <f>IF(K2353="","",COUNTIF($K$2:$K$3001,"&lt;"&amp;K2353)+1)</f>
        <v/>
      </c>
    </row>
    <row r="2354">
      <c r="A2354" s="5">
        <f>IF($J2354="","",IF($J2354&lt;=1500,INDEX('Daily Sale entry '!$X$1:$X$1501,$J2354+1),INDEX('Daily Sale entry '!$V$1:$V$1501,$J2354-1499)))</f>
        <v/>
      </c>
      <c r="B2354">
        <f>IF($J2354="","",IF($J2354&lt;=1500,INDEX('Daily Sale entry '!$Y$1:$Y$1501,$J2354+1)&amp;"","Buyer cheque banked 买家支票存入"&amp;IF(INDEX('Daily Sale entry '!$U$1:$U$1501,$J2354-1499)="","", " - "&amp;INDEX('Daily Sale entry '!$U$1:$U$1501,$J2354-1499))))</f>
        <v/>
      </c>
      <c r="C2354">
        <f>IF($J2354="","",IF($J2354&lt;=1500,INDEX('Daily Sale entry '!$Z$1:$Z$1501,$J2354+1)&amp;"","Cheque deposit 支票存入 (buyer 买家)"))</f>
        <v/>
      </c>
      <c r="D2354">
        <f>IF($J2354="","",IF($J2354&lt;=1500,INDEX('Daily Sale entry '!$AA$1:$AA$1501,$J2354+1)&amp;"",INDEX('Daily Sale entry '!$P$1:$P$1501,$J2354-1499)&amp;""))</f>
        <v/>
      </c>
      <c r="E2354">
        <f>IF($J2354="","",IF($J2354&lt;=1500,IF(N(INDEX('Daily Sale entry '!$AB$1:$AB$1501,$J2354+1))=0,"",INDEX('Daily Sale entry '!$AB$1:$AB$1501,$J2354+1)),1))</f>
        <v/>
      </c>
      <c r="F2354" s="6">
        <f>IF($J2354="","",IF($J2354&lt;=1500,N(INDEX('Daily Sale entry '!$AC$1:$AC$1501,$J2354+1))-IF(AND('Opening Balance'!$B$15=1,INDEX('Daily Sale entry '!$Z$1:$Z$1501,$J2354+1)="Online collection 网上收款",INDEX('Daily Sale entry '!$AA$1:$AA$1501,$J2354+1)&lt;&gt;""),N(INDEX('Daily Sale entry '!$AC$1:$AC$1501,$J2354+1))-TRUNC(N(INDEX('Daily Sale entry '!$AC$1:$AC$1501,$J2354+1))),0),N(INDEX('Daily Sale entry '!$S$1:$S$1501,$J2354-1499))-'Opening Balance'!$B$15*(N(INDEX('Daily Sale entry '!$S$1:$S$1501,$J2354-1499))-TRUNC(N(INDEX('Daily Sale entry '!$S$1:$S$1501,$J2354-1499))))))</f>
        <v/>
      </c>
      <c r="G2354" s="6">
        <f>IF($J2354="","",IF($J2354&lt;=1500,N(INDEX('Daily Sale entry '!$AD$1:$AD$1501,$J2354+1)),0))</f>
        <v/>
      </c>
      <c r="H2354" s="6">
        <f>IF($J2354="","",ROUND('Opening Balance'!$B$4+SUM($F$2:F2354)-SUM($G$2:G2354),2))</f>
        <v/>
      </c>
      <c r="J2354" s="21">
        <f>IFERROR(MATCH(ROW()-1,$L$2:$L$3001,0),"")</f>
        <v/>
      </c>
      <c r="K2354" s="34">
        <f>IF(AND('Daily Sale entry '!Q854="Collection 收款",'Daily Sale entry '!R854="Cheque 支票",'Daily Sale entry '!V854&lt;&gt;""),'Daily Sale entry '!V854+ROW()/10000000,"")</f>
        <v/>
      </c>
      <c r="L2354" s="21">
        <f>IF(K2354="","",COUNTIF($K$2:$K$3001,"&lt;"&amp;K2354)+1)</f>
        <v/>
      </c>
    </row>
    <row r="2355">
      <c r="A2355" s="5">
        <f>IF($J2355="","",IF($J2355&lt;=1500,INDEX('Daily Sale entry '!$X$1:$X$1501,$J2355+1),INDEX('Daily Sale entry '!$V$1:$V$1501,$J2355-1499)))</f>
        <v/>
      </c>
      <c r="B2355">
        <f>IF($J2355="","",IF($J2355&lt;=1500,INDEX('Daily Sale entry '!$Y$1:$Y$1501,$J2355+1)&amp;"","Buyer cheque banked 买家支票存入"&amp;IF(INDEX('Daily Sale entry '!$U$1:$U$1501,$J2355-1499)="","", " - "&amp;INDEX('Daily Sale entry '!$U$1:$U$1501,$J2355-1499))))</f>
        <v/>
      </c>
      <c r="C2355">
        <f>IF($J2355="","",IF($J2355&lt;=1500,INDEX('Daily Sale entry '!$Z$1:$Z$1501,$J2355+1)&amp;"","Cheque deposit 支票存入 (buyer 买家)"))</f>
        <v/>
      </c>
      <c r="D2355">
        <f>IF($J2355="","",IF($J2355&lt;=1500,INDEX('Daily Sale entry '!$AA$1:$AA$1501,$J2355+1)&amp;"",INDEX('Daily Sale entry '!$P$1:$P$1501,$J2355-1499)&amp;""))</f>
        <v/>
      </c>
      <c r="E2355">
        <f>IF($J2355="","",IF($J2355&lt;=1500,IF(N(INDEX('Daily Sale entry '!$AB$1:$AB$1501,$J2355+1))=0,"",INDEX('Daily Sale entry '!$AB$1:$AB$1501,$J2355+1)),1))</f>
        <v/>
      </c>
      <c r="F2355" s="6">
        <f>IF($J2355="","",IF($J2355&lt;=1500,N(INDEX('Daily Sale entry '!$AC$1:$AC$1501,$J2355+1))-IF(AND('Opening Balance'!$B$15=1,INDEX('Daily Sale entry '!$Z$1:$Z$1501,$J2355+1)="Online collection 网上收款",INDEX('Daily Sale entry '!$AA$1:$AA$1501,$J2355+1)&lt;&gt;""),N(INDEX('Daily Sale entry '!$AC$1:$AC$1501,$J2355+1))-TRUNC(N(INDEX('Daily Sale entry '!$AC$1:$AC$1501,$J2355+1))),0),N(INDEX('Daily Sale entry '!$S$1:$S$1501,$J2355-1499))-'Opening Balance'!$B$15*(N(INDEX('Daily Sale entry '!$S$1:$S$1501,$J2355-1499))-TRUNC(N(INDEX('Daily Sale entry '!$S$1:$S$1501,$J2355-1499))))))</f>
        <v/>
      </c>
      <c r="G2355" s="6">
        <f>IF($J2355="","",IF($J2355&lt;=1500,N(INDEX('Daily Sale entry '!$AD$1:$AD$1501,$J2355+1)),0))</f>
        <v/>
      </c>
      <c r="H2355" s="6">
        <f>IF($J2355="","",ROUND('Opening Balance'!$B$4+SUM($F$2:F2355)-SUM($G$2:G2355),2))</f>
        <v/>
      </c>
      <c r="J2355" s="21">
        <f>IFERROR(MATCH(ROW()-1,$L$2:$L$3001,0),"")</f>
        <v/>
      </c>
      <c r="K2355" s="34">
        <f>IF(AND('Daily Sale entry '!Q855="Collection 收款",'Daily Sale entry '!R855="Cheque 支票",'Daily Sale entry '!V855&lt;&gt;""),'Daily Sale entry '!V855+ROW()/10000000,"")</f>
        <v/>
      </c>
      <c r="L2355" s="21">
        <f>IF(K2355="","",COUNTIF($K$2:$K$3001,"&lt;"&amp;K2355)+1)</f>
        <v/>
      </c>
    </row>
    <row r="2356">
      <c r="A2356" s="5">
        <f>IF($J2356="","",IF($J2356&lt;=1500,INDEX('Daily Sale entry '!$X$1:$X$1501,$J2356+1),INDEX('Daily Sale entry '!$V$1:$V$1501,$J2356-1499)))</f>
        <v/>
      </c>
      <c r="B2356">
        <f>IF($J2356="","",IF($J2356&lt;=1500,INDEX('Daily Sale entry '!$Y$1:$Y$1501,$J2356+1)&amp;"","Buyer cheque banked 买家支票存入"&amp;IF(INDEX('Daily Sale entry '!$U$1:$U$1501,$J2356-1499)="","", " - "&amp;INDEX('Daily Sale entry '!$U$1:$U$1501,$J2356-1499))))</f>
        <v/>
      </c>
      <c r="C2356">
        <f>IF($J2356="","",IF($J2356&lt;=1500,INDEX('Daily Sale entry '!$Z$1:$Z$1501,$J2356+1)&amp;"","Cheque deposit 支票存入 (buyer 买家)"))</f>
        <v/>
      </c>
      <c r="D2356">
        <f>IF($J2356="","",IF($J2356&lt;=1500,INDEX('Daily Sale entry '!$AA$1:$AA$1501,$J2356+1)&amp;"",INDEX('Daily Sale entry '!$P$1:$P$1501,$J2356-1499)&amp;""))</f>
        <v/>
      </c>
      <c r="E2356">
        <f>IF($J2356="","",IF($J2356&lt;=1500,IF(N(INDEX('Daily Sale entry '!$AB$1:$AB$1501,$J2356+1))=0,"",INDEX('Daily Sale entry '!$AB$1:$AB$1501,$J2356+1)),1))</f>
        <v/>
      </c>
      <c r="F2356" s="6">
        <f>IF($J2356="","",IF($J2356&lt;=1500,N(INDEX('Daily Sale entry '!$AC$1:$AC$1501,$J2356+1))-IF(AND('Opening Balance'!$B$15=1,INDEX('Daily Sale entry '!$Z$1:$Z$1501,$J2356+1)="Online collection 网上收款",INDEX('Daily Sale entry '!$AA$1:$AA$1501,$J2356+1)&lt;&gt;""),N(INDEX('Daily Sale entry '!$AC$1:$AC$1501,$J2356+1))-TRUNC(N(INDEX('Daily Sale entry '!$AC$1:$AC$1501,$J2356+1))),0),N(INDEX('Daily Sale entry '!$S$1:$S$1501,$J2356-1499))-'Opening Balance'!$B$15*(N(INDEX('Daily Sale entry '!$S$1:$S$1501,$J2356-1499))-TRUNC(N(INDEX('Daily Sale entry '!$S$1:$S$1501,$J2356-1499))))))</f>
        <v/>
      </c>
      <c r="G2356" s="6">
        <f>IF($J2356="","",IF($J2356&lt;=1500,N(INDEX('Daily Sale entry '!$AD$1:$AD$1501,$J2356+1)),0))</f>
        <v/>
      </c>
      <c r="H2356" s="6">
        <f>IF($J2356="","",ROUND('Opening Balance'!$B$4+SUM($F$2:F2356)-SUM($G$2:G2356),2))</f>
        <v/>
      </c>
      <c r="J2356" s="21">
        <f>IFERROR(MATCH(ROW()-1,$L$2:$L$3001,0),"")</f>
        <v/>
      </c>
      <c r="K2356" s="34">
        <f>IF(AND('Daily Sale entry '!Q856="Collection 收款",'Daily Sale entry '!R856="Cheque 支票",'Daily Sale entry '!V856&lt;&gt;""),'Daily Sale entry '!V856+ROW()/10000000,"")</f>
        <v/>
      </c>
      <c r="L2356" s="21">
        <f>IF(K2356="","",COUNTIF($K$2:$K$3001,"&lt;"&amp;K2356)+1)</f>
        <v/>
      </c>
    </row>
    <row r="2357">
      <c r="A2357" s="5">
        <f>IF($J2357="","",IF($J2357&lt;=1500,INDEX('Daily Sale entry '!$X$1:$X$1501,$J2357+1),INDEX('Daily Sale entry '!$V$1:$V$1501,$J2357-1499)))</f>
        <v/>
      </c>
      <c r="B2357">
        <f>IF($J2357="","",IF($J2357&lt;=1500,INDEX('Daily Sale entry '!$Y$1:$Y$1501,$J2357+1)&amp;"","Buyer cheque banked 买家支票存入"&amp;IF(INDEX('Daily Sale entry '!$U$1:$U$1501,$J2357-1499)="","", " - "&amp;INDEX('Daily Sale entry '!$U$1:$U$1501,$J2357-1499))))</f>
        <v/>
      </c>
      <c r="C2357">
        <f>IF($J2357="","",IF($J2357&lt;=1500,INDEX('Daily Sale entry '!$Z$1:$Z$1501,$J2357+1)&amp;"","Cheque deposit 支票存入 (buyer 买家)"))</f>
        <v/>
      </c>
      <c r="D2357">
        <f>IF($J2357="","",IF($J2357&lt;=1500,INDEX('Daily Sale entry '!$AA$1:$AA$1501,$J2357+1)&amp;"",INDEX('Daily Sale entry '!$P$1:$P$1501,$J2357-1499)&amp;""))</f>
        <v/>
      </c>
      <c r="E2357">
        <f>IF($J2357="","",IF($J2357&lt;=1500,IF(N(INDEX('Daily Sale entry '!$AB$1:$AB$1501,$J2357+1))=0,"",INDEX('Daily Sale entry '!$AB$1:$AB$1501,$J2357+1)),1))</f>
        <v/>
      </c>
      <c r="F2357" s="6">
        <f>IF($J2357="","",IF($J2357&lt;=1500,N(INDEX('Daily Sale entry '!$AC$1:$AC$1501,$J2357+1))-IF(AND('Opening Balance'!$B$15=1,INDEX('Daily Sale entry '!$Z$1:$Z$1501,$J2357+1)="Online collection 网上收款",INDEX('Daily Sale entry '!$AA$1:$AA$1501,$J2357+1)&lt;&gt;""),N(INDEX('Daily Sale entry '!$AC$1:$AC$1501,$J2357+1))-TRUNC(N(INDEX('Daily Sale entry '!$AC$1:$AC$1501,$J2357+1))),0),N(INDEX('Daily Sale entry '!$S$1:$S$1501,$J2357-1499))-'Opening Balance'!$B$15*(N(INDEX('Daily Sale entry '!$S$1:$S$1501,$J2357-1499))-TRUNC(N(INDEX('Daily Sale entry '!$S$1:$S$1501,$J2357-1499))))))</f>
        <v/>
      </c>
      <c r="G2357" s="6">
        <f>IF($J2357="","",IF($J2357&lt;=1500,N(INDEX('Daily Sale entry '!$AD$1:$AD$1501,$J2357+1)),0))</f>
        <v/>
      </c>
      <c r="H2357" s="6">
        <f>IF($J2357="","",ROUND('Opening Balance'!$B$4+SUM($F$2:F2357)-SUM($G$2:G2357),2))</f>
        <v/>
      </c>
      <c r="J2357" s="21">
        <f>IFERROR(MATCH(ROW()-1,$L$2:$L$3001,0),"")</f>
        <v/>
      </c>
      <c r="K2357" s="34">
        <f>IF(AND('Daily Sale entry '!Q857="Collection 收款",'Daily Sale entry '!R857="Cheque 支票",'Daily Sale entry '!V857&lt;&gt;""),'Daily Sale entry '!V857+ROW()/10000000,"")</f>
        <v/>
      </c>
      <c r="L2357" s="21">
        <f>IF(K2357="","",COUNTIF($K$2:$K$3001,"&lt;"&amp;K2357)+1)</f>
        <v/>
      </c>
    </row>
    <row r="2358">
      <c r="A2358" s="5">
        <f>IF($J2358="","",IF($J2358&lt;=1500,INDEX('Daily Sale entry '!$X$1:$X$1501,$J2358+1),INDEX('Daily Sale entry '!$V$1:$V$1501,$J2358-1499)))</f>
        <v/>
      </c>
      <c r="B2358">
        <f>IF($J2358="","",IF($J2358&lt;=1500,INDEX('Daily Sale entry '!$Y$1:$Y$1501,$J2358+1)&amp;"","Buyer cheque banked 买家支票存入"&amp;IF(INDEX('Daily Sale entry '!$U$1:$U$1501,$J2358-1499)="","", " - "&amp;INDEX('Daily Sale entry '!$U$1:$U$1501,$J2358-1499))))</f>
        <v/>
      </c>
      <c r="C2358">
        <f>IF($J2358="","",IF($J2358&lt;=1500,INDEX('Daily Sale entry '!$Z$1:$Z$1501,$J2358+1)&amp;"","Cheque deposit 支票存入 (buyer 买家)"))</f>
        <v/>
      </c>
      <c r="D2358">
        <f>IF($J2358="","",IF($J2358&lt;=1500,INDEX('Daily Sale entry '!$AA$1:$AA$1501,$J2358+1)&amp;"",INDEX('Daily Sale entry '!$P$1:$P$1501,$J2358-1499)&amp;""))</f>
        <v/>
      </c>
      <c r="E2358">
        <f>IF($J2358="","",IF($J2358&lt;=1500,IF(N(INDEX('Daily Sale entry '!$AB$1:$AB$1501,$J2358+1))=0,"",INDEX('Daily Sale entry '!$AB$1:$AB$1501,$J2358+1)),1))</f>
        <v/>
      </c>
      <c r="F2358" s="6">
        <f>IF($J2358="","",IF($J2358&lt;=1500,N(INDEX('Daily Sale entry '!$AC$1:$AC$1501,$J2358+1))-IF(AND('Opening Balance'!$B$15=1,INDEX('Daily Sale entry '!$Z$1:$Z$1501,$J2358+1)="Online collection 网上收款",INDEX('Daily Sale entry '!$AA$1:$AA$1501,$J2358+1)&lt;&gt;""),N(INDEX('Daily Sale entry '!$AC$1:$AC$1501,$J2358+1))-TRUNC(N(INDEX('Daily Sale entry '!$AC$1:$AC$1501,$J2358+1))),0),N(INDEX('Daily Sale entry '!$S$1:$S$1501,$J2358-1499))-'Opening Balance'!$B$15*(N(INDEX('Daily Sale entry '!$S$1:$S$1501,$J2358-1499))-TRUNC(N(INDEX('Daily Sale entry '!$S$1:$S$1501,$J2358-1499))))))</f>
        <v/>
      </c>
      <c r="G2358" s="6">
        <f>IF($J2358="","",IF($J2358&lt;=1500,N(INDEX('Daily Sale entry '!$AD$1:$AD$1501,$J2358+1)),0))</f>
        <v/>
      </c>
      <c r="H2358" s="6">
        <f>IF($J2358="","",ROUND('Opening Balance'!$B$4+SUM($F$2:F2358)-SUM($G$2:G2358),2))</f>
        <v/>
      </c>
      <c r="J2358" s="21">
        <f>IFERROR(MATCH(ROW()-1,$L$2:$L$3001,0),"")</f>
        <v/>
      </c>
      <c r="K2358" s="34">
        <f>IF(AND('Daily Sale entry '!Q858="Collection 收款",'Daily Sale entry '!R858="Cheque 支票",'Daily Sale entry '!V858&lt;&gt;""),'Daily Sale entry '!V858+ROW()/10000000,"")</f>
        <v/>
      </c>
      <c r="L2358" s="21">
        <f>IF(K2358="","",COUNTIF($K$2:$K$3001,"&lt;"&amp;K2358)+1)</f>
        <v/>
      </c>
    </row>
    <row r="2359">
      <c r="A2359" s="5">
        <f>IF($J2359="","",IF($J2359&lt;=1500,INDEX('Daily Sale entry '!$X$1:$X$1501,$J2359+1),INDEX('Daily Sale entry '!$V$1:$V$1501,$J2359-1499)))</f>
        <v/>
      </c>
      <c r="B2359">
        <f>IF($J2359="","",IF($J2359&lt;=1500,INDEX('Daily Sale entry '!$Y$1:$Y$1501,$J2359+1)&amp;"","Buyer cheque banked 买家支票存入"&amp;IF(INDEX('Daily Sale entry '!$U$1:$U$1501,$J2359-1499)="","", " - "&amp;INDEX('Daily Sale entry '!$U$1:$U$1501,$J2359-1499))))</f>
        <v/>
      </c>
      <c r="C2359">
        <f>IF($J2359="","",IF($J2359&lt;=1500,INDEX('Daily Sale entry '!$Z$1:$Z$1501,$J2359+1)&amp;"","Cheque deposit 支票存入 (buyer 买家)"))</f>
        <v/>
      </c>
      <c r="D2359">
        <f>IF($J2359="","",IF($J2359&lt;=1500,INDEX('Daily Sale entry '!$AA$1:$AA$1501,$J2359+1)&amp;"",INDEX('Daily Sale entry '!$P$1:$P$1501,$J2359-1499)&amp;""))</f>
        <v/>
      </c>
      <c r="E2359">
        <f>IF($J2359="","",IF($J2359&lt;=1500,IF(N(INDEX('Daily Sale entry '!$AB$1:$AB$1501,$J2359+1))=0,"",INDEX('Daily Sale entry '!$AB$1:$AB$1501,$J2359+1)),1))</f>
        <v/>
      </c>
      <c r="F2359" s="6">
        <f>IF($J2359="","",IF($J2359&lt;=1500,N(INDEX('Daily Sale entry '!$AC$1:$AC$1501,$J2359+1))-IF(AND('Opening Balance'!$B$15=1,INDEX('Daily Sale entry '!$Z$1:$Z$1501,$J2359+1)="Online collection 网上收款",INDEX('Daily Sale entry '!$AA$1:$AA$1501,$J2359+1)&lt;&gt;""),N(INDEX('Daily Sale entry '!$AC$1:$AC$1501,$J2359+1))-TRUNC(N(INDEX('Daily Sale entry '!$AC$1:$AC$1501,$J2359+1))),0),N(INDEX('Daily Sale entry '!$S$1:$S$1501,$J2359-1499))-'Opening Balance'!$B$15*(N(INDEX('Daily Sale entry '!$S$1:$S$1501,$J2359-1499))-TRUNC(N(INDEX('Daily Sale entry '!$S$1:$S$1501,$J2359-1499))))))</f>
        <v/>
      </c>
      <c r="G2359" s="6">
        <f>IF($J2359="","",IF($J2359&lt;=1500,N(INDEX('Daily Sale entry '!$AD$1:$AD$1501,$J2359+1)),0))</f>
        <v/>
      </c>
      <c r="H2359" s="6">
        <f>IF($J2359="","",ROUND('Opening Balance'!$B$4+SUM($F$2:F2359)-SUM($G$2:G2359),2))</f>
        <v/>
      </c>
      <c r="J2359" s="21">
        <f>IFERROR(MATCH(ROW()-1,$L$2:$L$3001,0),"")</f>
        <v/>
      </c>
      <c r="K2359" s="34">
        <f>IF(AND('Daily Sale entry '!Q859="Collection 收款",'Daily Sale entry '!R859="Cheque 支票",'Daily Sale entry '!V859&lt;&gt;""),'Daily Sale entry '!V859+ROW()/10000000,"")</f>
        <v/>
      </c>
      <c r="L2359" s="21">
        <f>IF(K2359="","",COUNTIF($K$2:$K$3001,"&lt;"&amp;K2359)+1)</f>
        <v/>
      </c>
    </row>
    <row r="2360">
      <c r="A2360" s="5">
        <f>IF($J2360="","",IF($J2360&lt;=1500,INDEX('Daily Sale entry '!$X$1:$X$1501,$J2360+1),INDEX('Daily Sale entry '!$V$1:$V$1501,$J2360-1499)))</f>
        <v/>
      </c>
      <c r="B2360">
        <f>IF($J2360="","",IF($J2360&lt;=1500,INDEX('Daily Sale entry '!$Y$1:$Y$1501,$J2360+1)&amp;"","Buyer cheque banked 买家支票存入"&amp;IF(INDEX('Daily Sale entry '!$U$1:$U$1501,$J2360-1499)="","", " - "&amp;INDEX('Daily Sale entry '!$U$1:$U$1501,$J2360-1499))))</f>
        <v/>
      </c>
      <c r="C2360">
        <f>IF($J2360="","",IF($J2360&lt;=1500,INDEX('Daily Sale entry '!$Z$1:$Z$1501,$J2360+1)&amp;"","Cheque deposit 支票存入 (buyer 买家)"))</f>
        <v/>
      </c>
      <c r="D2360">
        <f>IF($J2360="","",IF($J2360&lt;=1500,INDEX('Daily Sale entry '!$AA$1:$AA$1501,$J2360+1)&amp;"",INDEX('Daily Sale entry '!$P$1:$P$1501,$J2360-1499)&amp;""))</f>
        <v/>
      </c>
      <c r="E2360">
        <f>IF($J2360="","",IF($J2360&lt;=1500,IF(N(INDEX('Daily Sale entry '!$AB$1:$AB$1501,$J2360+1))=0,"",INDEX('Daily Sale entry '!$AB$1:$AB$1501,$J2360+1)),1))</f>
        <v/>
      </c>
      <c r="F2360" s="6">
        <f>IF($J2360="","",IF($J2360&lt;=1500,N(INDEX('Daily Sale entry '!$AC$1:$AC$1501,$J2360+1))-IF(AND('Opening Balance'!$B$15=1,INDEX('Daily Sale entry '!$Z$1:$Z$1501,$J2360+1)="Online collection 网上收款",INDEX('Daily Sale entry '!$AA$1:$AA$1501,$J2360+1)&lt;&gt;""),N(INDEX('Daily Sale entry '!$AC$1:$AC$1501,$J2360+1))-TRUNC(N(INDEX('Daily Sale entry '!$AC$1:$AC$1501,$J2360+1))),0),N(INDEX('Daily Sale entry '!$S$1:$S$1501,$J2360-1499))-'Opening Balance'!$B$15*(N(INDEX('Daily Sale entry '!$S$1:$S$1501,$J2360-1499))-TRUNC(N(INDEX('Daily Sale entry '!$S$1:$S$1501,$J2360-1499))))))</f>
        <v/>
      </c>
      <c r="G2360" s="6">
        <f>IF($J2360="","",IF($J2360&lt;=1500,N(INDEX('Daily Sale entry '!$AD$1:$AD$1501,$J2360+1)),0))</f>
        <v/>
      </c>
      <c r="H2360" s="6">
        <f>IF($J2360="","",ROUND('Opening Balance'!$B$4+SUM($F$2:F2360)-SUM($G$2:G2360),2))</f>
        <v/>
      </c>
      <c r="J2360" s="21">
        <f>IFERROR(MATCH(ROW()-1,$L$2:$L$3001,0),"")</f>
        <v/>
      </c>
      <c r="K2360" s="34">
        <f>IF(AND('Daily Sale entry '!Q860="Collection 收款",'Daily Sale entry '!R860="Cheque 支票",'Daily Sale entry '!V860&lt;&gt;""),'Daily Sale entry '!V860+ROW()/10000000,"")</f>
        <v/>
      </c>
      <c r="L2360" s="21">
        <f>IF(K2360="","",COUNTIF($K$2:$K$3001,"&lt;"&amp;K2360)+1)</f>
        <v/>
      </c>
    </row>
    <row r="2361">
      <c r="A2361" s="5">
        <f>IF($J2361="","",IF($J2361&lt;=1500,INDEX('Daily Sale entry '!$X$1:$X$1501,$J2361+1),INDEX('Daily Sale entry '!$V$1:$V$1501,$J2361-1499)))</f>
        <v/>
      </c>
      <c r="B2361">
        <f>IF($J2361="","",IF($J2361&lt;=1500,INDEX('Daily Sale entry '!$Y$1:$Y$1501,$J2361+1)&amp;"","Buyer cheque banked 买家支票存入"&amp;IF(INDEX('Daily Sale entry '!$U$1:$U$1501,$J2361-1499)="","", " - "&amp;INDEX('Daily Sale entry '!$U$1:$U$1501,$J2361-1499))))</f>
        <v/>
      </c>
      <c r="C2361">
        <f>IF($J2361="","",IF($J2361&lt;=1500,INDEX('Daily Sale entry '!$Z$1:$Z$1501,$J2361+1)&amp;"","Cheque deposit 支票存入 (buyer 买家)"))</f>
        <v/>
      </c>
      <c r="D2361">
        <f>IF($J2361="","",IF($J2361&lt;=1500,INDEX('Daily Sale entry '!$AA$1:$AA$1501,$J2361+1)&amp;"",INDEX('Daily Sale entry '!$P$1:$P$1501,$J2361-1499)&amp;""))</f>
        <v/>
      </c>
      <c r="E2361">
        <f>IF($J2361="","",IF($J2361&lt;=1500,IF(N(INDEX('Daily Sale entry '!$AB$1:$AB$1501,$J2361+1))=0,"",INDEX('Daily Sale entry '!$AB$1:$AB$1501,$J2361+1)),1))</f>
        <v/>
      </c>
      <c r="F2361" s="6">
        <f>IF($J2361="","",IF($J2361&lt;=1500,N(INDEX('Daily Sale entry '!$AC$1:$AC$1501,$J2361+1))-IF(AND('Opening Balance'!$B$15=1,INDEX('Daily Sale entry '!$Z$1:$Z$1501,$J2361+1)="Online collection 网上收款",INDEX('Daily Sale entry '!$AA$1:$AA$1501,$J2361+1)&lt;&gt;""),N(INDEX('Daily Sale entry '!$AC$1:$AC$1501,$J2361+1))-TRUNC(N(INDEX('Daily Sale entry '!$AC$1:$AC$1501,$J2361+1))),0),N(INDEX('Daily Sale entry '!$S$1:$S$1501,$J2361-1499))-'Opening Balance'!$B$15*(N(INDEX('Daily Sale entry '!$S$1:$S$1501,$J2361-1499))-TRUNC(N(INDEX('Daily Sale entry '!$S$1:$S$1501,$J2361-1499))))))</f>
        <v/>
      </c>
      <c r="G2361" s="6">
        <f>IF($J2361="","",IF($J2361&lt;=1500,N(INDEX('Daily Sale entry '!$AD$1:$AD$1501,$J2361+1)),0))</f>
        <v/>
      </c>
      <c r="H2361" s="6">
        <f>IF($J2361="","",ROUND('Opening Balance'!$B$4+SUM($F$2:F2361)-SUM($G$2:G2361),2))</f>
        <v/>
      </c>
      <c r="J2361" s="21">
        <f>IFERROR(MATCH(ROW()-1,$L$2:$L$3001,0),"")</f>
        <v/>
      </c>
      <c r="K2361" s="34">
        <f>IF(AND('Daily Sale entry '!Q861="Collection 收款",'Daily Sale entry '!R861="Cheque 支票",'Daily Sale entry '!V861&lt;&gt;""),'Daily Sale entry '!V861+ROW()/10000000,"")</f>
        <v/>
      </c>
      <c r="L2361" s="21">
        <f>IF(K2361="","",COUNTIF($K$2:$K$3001,"&lt;"&amp;K2361)+1)</f>
        <v/>
      </c>
    </row>
    <row r="2362">
      <c r="A2362" s="5">
        <f>IF($J2362="","",IF($J2362&lt;=1500,INDEX('Daily Sale entry '!$X$1:$X$1501,$J2362+1),INDEX('Daily Sale entry '!$V$1:$V$1501,$J2362-1499)))</f>
        <v/>
      </c>
      <c r="B2362">
        <f>IF($J2362="","",IF($J2362&lt;=1500,INDEX('Daily Sale entry '!$Y$1:$Y$1501,$J2362+1)&amp;"","Buyer cheque banked 买家支票存入"&amp;IF(INDEX('Daily Sale entry '!$U$1:$U$1501,$J2362-1499)="","", " - "&amp;INDEX('Daily Sale entry '!$U$1:$U$1501,$J2362-1499))))</f>
        <v/>
      </c>
      <c r="C2362">
        <f>IF($J2362="","",IF($J2362&lt;=1500,INDEX('Daily Sale entry '!$Z$1:$Z$1501,$J2362+1)&amp;"","Cheque deposit 支票存入 (buyer 买家)"))</f>
        <v/>
      </c>
      <c r="D2362">
        <f>IF($J2362="","",IF($J2362&lt;=1500,INDEX('Daily Sale entry '!$AA$1:$AA$1501,$J2362+1)&amp;"",INDEX('Daily Sale entry '!$P$1:$P$1501,$J2362-1499)&amp;""))</f>
        <v/>
      </c>
      <c r="E2362">
        <f>IF($J2362="","",IF($J2362&lt;=1500,IF(N(INDEX('Daily Sale entry '!$AB$1:$AB$1501,$J2362+1))=0,"",INDEX('Daily Sale entry '!$AB$1:$AB$1501,$J2362+1)),1))</f>
        <v/>
      </c>
      <c r="F2362" s="6">
        <f>IF($J2362="","",IF($J2362&lt;=1500,N(INDEX('Daily Sale entry '!$AC$1:$AC$1501,$J2362+1))-IF(AND('Opening Balance'!$B$15=1,INDEX('Daily Sale entry '!$Z$1:$Z$1501,$J2362+1)="Online collection 网上收款",INDEX('Daily Sale entry '!$AA$1:$AA$1501,$J2362+1)&lt;&gt;""),N(INDEX('Daily Sale entry '!$AC$1:$AC$1501,$J2362+1))-TRUNC(N(INDEX('Daily Sale entry '!$AC$1:$AC$1501,$J2362+1))),0),N(INDEX('Daily Sale entry '!$S$1:$S$1501,$J2362-1499))-'Opening Balance'!$B$15*(N(INDEX('Daily Sale entry '!$S$1:$S$1501,$J2362-1499))-TRUNC(N(INDEX('Daily Sale entry '!$S$1:$S$1501,$J2362-1499))))))</f>
        <v/>
      </c>
      <c r="G2362" s="6">
        <f>IF($J2362="","",IF($J2362&lt;=1500,N(INDEX('Daily Sale entry '!$AD$1:$AD$1501,$J2362+1)),0))</f>
        <v/>
      </c>
      <c r="H2362" s="6">
        <f>IF($J2362="","",ROUND('Opening Balance'!$B$4+SUM($F$2:F2362)-SUM($G$2:G2362),2))</f>
        <v/>
      </c>
      <c r="J2362" s="21">
        <f>IFERROR(MATCH(ROW()-1,$L$2:$L$3001,0),"")</f>
        <v/>
      </c>
      <c r="K2362" s="34">
        <f>IF(AND('Daily Sale entry '!Q862="Collection 收款",'Daily Sale entry '!R862="Cheque 支票",'Daily Sale entry '!V862&lt;&gt;""),'Daily Sale entry '!V862+ROW()/10000000,"")</f>
        <v/>
      </c>
      <c r="L2362" s="21">
        <f>IF(K2362="","",COUNTIF($K$2:$K$3001,"&lt;"&amp;K2362)+1)</f>
        <v/>
      </c>
    </row>
    <row r="2363">
      <c r="A2363" s="5">
        <f>IF($J2363="","",IF($J2363&lt;=1500,INDEX('Daily Sale entry '!$X$1:$X$1501,$J2363+1),INDEX('Daily Sale entry '!$V$1:$V$1501,$J2363-1499)))</f>
        <v/>
      </c>
      <c r="B2363">
        <f>IF($J2363="","",IF($J2363&lt;=1500,INDEX('Daily Sale entry '!$Y$1:$Y$1501,$J2363+1)&amp;"","Buyer cheque banked 买家支票存入"&amp;IF(INDEX('Daily Sale entry '!$U$1:$U$1501,$J2363-1499)="","", " - "&amp;INDEX('Daily Sale entry '!$U$1:$U$1501,$J2363-1499))))</f>
        <v/>
      </c>
      <c r="C2363">
        <f>IF($J2363="","",IF($J2363&lt;=1500,INDEX('Daily Sale entry '!$Z$1:$Z$1501,$J2363+1)&amp;"","Cheque deposit 支票存入 (buyer 买家)"))</f>
        <v/>
      </c>
      <c r="D2363">
        <f>IF($J2363="","",IF($J2363&lt;=1500,INDEX('Daily Sale entry '!$AA$1:$AA$1501,$J2363+1)&amp;"",INDEX('Daily Sale entry '!$P$1:$P$1501,$J2363-1499)&amp;""))</f>
        <v/>
      </c>
      <c r="E2363">
        <f>IF($J2363="","",IF($J2363&lt;=1500,IF(N(INDEX('Daily Sale entry '!$AB$1:$AB$1501,$J2363+1))=0,"",INDEX('Daily Sale entry '!$AB$1:$AB$1501,$J2363+1)),1))</f>
        <v/>
      </c>
      <c r="F2363" s="6">
        <f>IF($J2363="","",IF($J2363&lt;=1500,N(INDEX('Daily Sale entry '!$AC$1:$AC$1501,$J2363+1))-IF(AND('Opening Balance'!$B$15=1,INDEX('Daily Sale entry '!$Z$1:$Z$1501,$J2363+1)="Online collection 网上收款",INDEX('Daily Sale entry '!$AA$1:$AA$1501,$J2363+1)&lt;&gt;""),N(INDEX('Daily Sale entry '!$AC$1:$AC$1501,$J2363+1))-TRUNC(N(INDEX('Daily Sale entry '!$AC$1:$AC$1501,$J2363+1))),0),N(INDEX('Daily Sale entry '!$S$1:$S$1501,$J2363-1499))-'Opening Balance'!$B$15*(N(INDEX('Daily Sale entry '!$S$1:$S$1501,$J2363-1499))-TRUNC(N(INDEX('Daily Sale entry '!$S$1:$S$1501,$J2363-1499))))))</f>
        <v/>
      </c>
      <c r="G2363" s="6">
        <f>IF($J2363="","",IF($J2363&lt;=1500,N(INDEX('Daily Sale entry '!$AD$1:$AD$1501,$J2363+1)),0))</f>
        <v/>
      </c>
      <c r="H2363" s="6">
        <f>IF($J2363="","",ROUND('Opening Balance'!$B$4+SUM($F$2:F2363)-SUM($G$2:G2363),2))</f>
        <v/>
      </c>
      <c r="J2363" s="21">
        <f>IFERROR(MATCH(ROW()-1,$L$2:$L$3001,0),"")</f>
        <v/>
      </c>
      <c r="K2363" s="34">
        <f>IF(AND('Daily Sale entry '!Q863="Collection 收款",'Daily Sale entry '!R863="Cheque 支票",'Daily Sale entry '!V863&lt;&gt;""),'Daily Sale entry '!V863+ROW()/10000000,"")</f>
        <v/>
      </c>
      <c r="L2363" s="21">
        <f>IF(K2363="","",COUNTIF($K$2:$K$3001,"&lt;"&amp;K2363)+1)</f>
        <v/>
      </c>
    </row>
    <row r="2364">
      <c r="A2364" s="5">
        <f>IF($J2364="","",IF($J2364&lt;=1500,INDEX('Daily Sale entry '!$X$1:$X$1501,$J2364+1),INDEX('Daily Sale entry '!$V$1:$V$1501,$J2364-1499)))</f>
        <v/>
      </c>
      <c r="B2364">
        <f>IF($J2364="","",IF($J2364&lt;=1500,INDEX('Daily Sale entry '!$Y$1:$Y$1501,$J2364+1)&amp;"","Buyer cheque banked 买家支票存入"&amp;IF(INDEX('Daily Sale entry '!$U$1:$U$1501,$J2364-1499)="","", " - "&amp;INDEX('Daily Sale entry '!$U$1:$U$1501,$J2364-1499))))</f>
        <v/>
      </c>
      <c r="C2364">
        <f>IF($J2364="","",IF($J2364&lt;=1500,INDEX('Daily Sale entry '!$Z$1:$Z$1501,$J2364+1)&amp;"","Cheque deposit 支票存入 (buyer 买家)"))</f>
        <v/>
      </c>
      <c r="D2364">
        <f>IF($J2364="","",IF($J2364&lt;=1500,INDEX('Daily Sale entry '!$AA$1:$AA$1501,$J2364+1)&amp;"",INDEX('Daily Sale entry '!$P$1:$P$1501,$J2364-1499)&amp;""))</f>
        <v/>
      </c>
      <c r="E2364">
        <f>IF($J2364="","",IF($J2364&lt;=1500,IF(N(INDEX('Daily Sale entry '!$AB$1:$AB$1501,$J2364+1))=0,"",INDEX('Daily Sale entry '!$AB$1:$AB$1501,$J2364+1)),1))</f>
        <v/>
      </c>
      <c r="F2364" s="6">
        <f>IF($J2364="","",IF($J2364&lt;=1500,N(INDEX('Daily Sale entry '!$AC$1:$AC$1501,$J2364+1))-IF(AND('Opening Balance'!$B$15=1,INDEX('Daily Sale entry '!$Z$1:$Z$1501,$J2364+1)="Online collection 网上收款",INDEX('Daily Sale entry '!$AA$1:$AA$1501,$J2364+1)&lt;&gt;""),N(INDEX('Daily Sale entry '!$AC$1:$AC$1501,$J2364+1))-TRUNC(N(INDEX('Daily Sale entry '!$AC$1:$AC$1501,$J2364+1))),0),N(INDEX('Daily Sale entry '!$S$1:$S$1501,$J2364-1499))-'Opening Balance'!$B$15*(N(INDEX('Daily Sale entry '!$S$1:$S$1501,$J2364-1499))-TRUNC(N(INDEX('Daily Sale entry '!$S$1:$S$1501,$J2364-1499))))))</f>
        <v/>
      </c>
      <c r="G2364" s="6">
        <f>IF($J2364="","",IF($J2364&lt;=1500,N(INDEX('Daily Sale entry '!$AD$1:$AD$1501,$J2364+1)),0))</f>
        <v/>
      </c>
      <c r="H2364" s="6">
        <f>IF($J2364="","",ROUND('Opening Balance'!$B$4+SUM($F$2:F2364)-SUM($G$2:G2364),2))</f>
        <v/>
      </c>
      <c r="J2364" s="21">
        <f>IFERROR(MATCH(ROW()-1,$L$2:$L$3001,0),"")</f>
        <v/>
      </c>
      <c r="K2364" s="34">
        <f>IF(AND('Daily Sale entry '!Q864="Collection 收款",'Daily Sale entry '!R864="Cheque 支票",'Daily Sale entry '!V864&lt;&gt;""),'Daily Sale entry '!V864+ROW()/10000000,"")</f>
        <v/>
      </c>
      <c r="L2364" s="21">
        <f>IF(K2364="","",COUNTIF($K$2:$K$3001,"&lt;"&amp;K2364)+1)</f>
        <v/>
      </c>
    </row>
    <row r="2365">
      <c r="A2365" s="5">
        <f>IF($J2365="","",IF($J2365&lt;=1500,INDEX('Daily Sale entry '!$X$1:$X$1501,$J2365+1),INDEX('Daily Sale entry '!$V$1:$V$1501,$J2365-1499)))</f>
        <v/>
      </c>
      <c r="B2365">
        <f>IF($J2365="","",IF($J2365&lt;=1500,INDEX('Daily Sale entry '!$Y$1:$Y$1501,$J2365+1)&amp;"","Buyer cheque banked 买家支票存入"&amp;IF(INDEX('Daily Sale entry '!$U$1:$U$1501,$J2365-1499)="","", " - "&amp;INDEX('Daily Sale entry '!$U$1:$U$1501,$J2365-1499))))</f>
        <v/>
      </c>
      <c r="C2365">
        <f>IF($J2365="","",IF($J2365&lt;=1500,INDEX('Daily Sale entry '!$Z$1:$Z$1501,$J2365+1)&amp;"","Cheque deposit 支票存入 (buyer 买家)"))</f>
        <v/>
      </c>
      <c r="D2365">
        <f>IF($J2365="","",IF($J2365&lt;=1500,INDEX('Daily Sale entry '!$AA$1:$AA$1501,$J2365+1)&amp;"",INDEX('Daily Sale entry '!$P$1:$P$1501,$J2365-1499)&amp;""))</f>
        <v/>
      </c>
      <c r="E2365">
        <f>IF($J2365="","",IF($J2365&lt;=1500,IF(N(INDEX('Daily Sale entry '!$AB$1:$AB$1501,$J2365+1))=0,"",INDEX('Daily Sale entry '!$AB$1:$AB$1501,$J2365+1)),1))</f>
        <v/>
      </c>
      <c r="F2365" s="6">
        <f>IF($J2365="","",IF($J2365&lt;=1500,N(INDEX('Daily Sale entry '!$AC$1:$AC$1501,$J2365+1))-IF(AND('Opening Balance'!$B$15=1,INDEX('Daily Sale entry '!$Z$1:$Z$1501,$J2365+1)="Online collection 网上收款",INDEX('Daily Sale entry '!$AA$1:$AA$1501,$J2365+1)&lt;&gt;""),N(INDEX('Daily Sale entry '!$AC$1:$AC$1501,$J2365+1))-TRUNC(N(INDEX('Daily Sale entry '!$AC$1:$AC$1501,$J2365+1))),0),N(INDEX('Daily Sale entry '!$S$1:$S$1501,$J2365-1499))-'Opening Balance'!$B$15*(N(INDEX('Daily Sale entry '!$S$1:$S$1501,$J2365-1499))-TRUNC(N(INDEX('Daily Sale entry '!$S$1:$S$1501,$J2365-1499))))))</f>
        <v/>
      </c>
      <c r="G2365" s="6">
        <f>IF($J2365="","",IF($J2365&lt;=1500,N(INDEX('Daily Sale entry '!$AD$1:$AD$1501,$J2365+1)),0))</f>
        <v/>
      </c>
      <c r="H2365" s="6">
        <f>IF($J2365="","",ROUND('Opening Balance'!$B$4+SUM($F$2:F2365)-SUM($G$2:G2365),2))</f>
        <v/>
      </c>
      <c r="J2365" s="21">
        <f>IFERROR(MATCH(ROW()-1,$L$2:$L$3001,0),"")</f>
        <v/>
      </c>
      <c r="K2365" s="34">
        <f>IF(AND('Daily Sale entry '!Q865="Collection 收款",'Daily Sale entry '!R865="Cheque 支票",'Daily Sale entry '!V865&lt;&gt;""),'Daily Sale entry '!V865+ROW()/10000000,"")</f>
        <v/>
      </c>
      <c r="L2365" s="21">
        <f>IF(K2365="","",COUNTIF($K$2:$K$3001,"&lt;"&amp;K2365)+1)</f>
        <v/>
      </c>
    </row>
    <row r="2366">
      <c r="A2366" s="5">
        <f>IF($J2366="","",IF($J2366&lt;=1500,INDEX('Daily Sale entry '!$X$1:$X$1501,$J2366+1),INDEX('Daily Sale entry '!$V$1:$V$1501,$J2366-1499)))</f>
        <v/>
      </c>
      <c r="B2366">
        <f>IF($J2366="","",IF($J2366&lt;=1500,INDEX('Daily Sale entry '!$Y$1:$Y$1501,$J2366+1)&amp;"","Buyer cheque banked 买家支票存入"&amp;IF(INDEX('Daily Sale entry '!$U$1:$U$1501,$J2366-1499)="","", " - "&amp;INDEX('Daily Sale entry '!$U$1:$U$1501,$J2366-1499))))</f>
        <v/>
      </c>
      <c r="C2366">
        <f>IF($J2366="","",IF($J2366&lt;=1500,INDEX('Daily Sale entry '!$Z$1:$Z$1501,$J2366+1)&amp;"","Cheque deposit 支票存入 (buyer 买家)"))</f>
        <v/>
      </c>
      <c r="D2366">
        <f>IF($J2366="","",IF($J2366&lt;=1500,INDEX('Daily Sale entry '!$AA$1:$AA$1501,$J2366+1)&amp;"",INDEX('Daily Sale entry '!$P$1:$P$1501,$J2366-1499)&amp;""))</f>
        <v/>
      </c>
      <c r="E2366">
        <f>IF($J2366="","",IF($J2366&lt;=1500,IF(N(INDEX('Daily Sale entry '!$AB$1:$AB$1501,$J2366+1))=0,"",INDEX('Daily Sale entry '!$AB$1:$AB$1501,$J2366+1)),1))</f>
        <v/>
      </c>
      <c r="F2366" s="6">
        <f>IF($J2366="","",IF($J2366&lt;=1500,N(INDEX('Daily Sale entry '!$AC$1:$AC$1501,$J2366+1))-IF(AND('Opening Balance'!$B$15=1,INDEX('Daily Sale entry '!$Z$1:$Z$1501,$J2366+1)="Online collection 网上收款",INDEX('Daily Sale entry '!$AA$1:$AA$1501,$J2366+1)&lt;&gt;""),N(INDEX('Daily Sale entry '!$AC$1:$AC$1501,$J2366+1))-TRUNC(N(INDEX('Daily Sale entry '!$AC$1:$AC$1501,$J2366+1))),0),N(INDEX('Daily Sale entry '!$S$1:$S$1501,$J2366-1499))-'Opening Balance'!$B$15*(N(INDEX('Daily Sale entry '!$S$1:$S$1501,$J2366-1499))-TRUNC(N(INDEX('Daily Sale entry '!$S$1:$S$1501,$J2366-1499))))))</f>
        <v/>
      </c>
      <c r="G2366" s="6">
        <f>IF($J2366="","",IF($J2366&lt;=1500,N(INDEX('Daily Sale entry '!$AD$1:$AD$1501,$J2366+1)),0))</f>
        <v/>
      </c>
      <c r="H2366" s="6">
        <f>IF($J2366="","",ROUND('Opening Balance'!$B$4+SUM($F$2:F2366)-SUM($G$2:G2366),2))</f>
        <v/>
      </c>
      <c r="J2366" s="21">
        <f>IFERROR(MATCH(ROW()-1,$L$2:$L$3001,0),"")</f>
        <v/>
      </c>
      <c r="K2366" s="34">
        <f>IF(AND('Daily Sale entry '!Q866="Collection 收款",'Daily Sale entry '!R866="Cheque 支票",'Daily Sale entry '!V866&lt;&gt;""),'Daily Sale entry '!V866+ROW()/10000000,"")</f>
        <v/>
      </c>
      <c r="L2366" s="21">
        <f>IF(K2366="","",COUNTIF($K$2:$K$3001,"&lt;"&amp;K2366)+1)</f>
        <v/>
      </c>
    </row>
    <row r="2367">
      <c r="A2367" s="5">
        <f>IF($J2367="","",IF($J2367&lt;=1500,INDEX('Daily Sale entry '!$X$1:$X$1501,$J2367+1),INDEX('Daily Sale entry '!$V$1:$V$1501,$J2367-1499)))</f>
        <v/>
      </c>
      <c r="B2367">
        <f>IF($J2367="","",IF($J2367&lt;=1500,INDEX('Daily Sale entry '!$Y$1:$Y$1501,$J2367+1)&amp;"","Buyer cheque banked 买家支票存入"&amp;IF(INDEX('Daily Sale entry '!$U$1:$U$1501,$J2367-1499)="","", " - "&amp;INDEX('Daily Sale entry '!$U$1:$U$1501,$J2367-1499))))</f>
        <v/>
      </c>
      <c r="C2367">
        <f>IF($J2367="","",IF($J2367&lt;=1500,INDEX('Daily Sale entry '!$Z$1:$Z$1501,$J2367+1)&amp;"","Cheque deposit 支票存入 (buyer 买家)"))</f>
        <v/>
      </c>
      <c r="D2367">
        <f>IF($J2367="","",IF($J2367&lt;=1500,INDEX('Daily Sale entry '!$AA$1:$AA$1501,$J2367+1)&amp;"",INDEX('Daily Sale entry '!$P$1:$P$1501,$J2367-1499)&amp;""))</f>
        <v/>
      </c>
      <c r="E2367">
        <f>IF($J2367="","",IF($J2367&lt;=1500,IF(N(INDEX('Daily Sale entry '!$AB$1:$AB$1501,$J2367+1))=0,"",INDEX('Daily Sale entry '!$AB$1:$AB$1501,$J2367+1)),1))</f>
        <v/>
      </c>
      <c r="F2367" s="6">
        <f>IF($J2367="","",IF($J2367&lt;=1500,N(INDEX('Daily Sale entry '!$AC$1:$AC$1501,$J2367+1))-IF(AND('Opening Balance'!$B$15=1,INDEX('Daily Sale entry '!$Z$1:$Z$1501,$J2367+1)="Online collection 网上收款",INDEX('Daily Sale entry '!$AA$1:$AA$1501,$J2367+1)&lt;&gt;""),N(INDEX('Daily Sale entry '!$AC$1:$AC$1501,$J2367+1))-TRUNC(N(INDEX('Daily Sale entry '!$AC$1:$AC$1501,$J2367+1))),0),N(INDEX('Daily Sale entry '!$S$1:$S$1501,$J2367-1499))-'Opening Balance'!$B$15*(N(INDEX('Daily Sale entry '!$S$1:$S$1501,$J2367-1499))-TRUNC(N(INDEX('Daily Sale entry '!$S$1:$S$1501,$J2367-1499))))))</f>
        <v/>
      </c>
      <c r="G2367" s="6">
        <f>IF($J2367="","",IF($J2367&lt;=1500,N(INDEX('Daily Sale entry '!$AD$1:$AD$1501,$J2367+1)),0))</f>
        <v/>
      </c>
      <c r="H2367" s="6">
        <f>IF($J2367="","",ROUND('Opening Balance'!$B$4+SUM($F$2:F2367)-SUM($G$2:G2367),2))</f>
        <v/>
      </c>
      <c r="J2367" s="21">
        <f>IFERROR(MATCH(ROW()-1,$L$2:$L$3001,0),"")</f>
        <v/>
      </c>
      <c r="K2367" s="34">
        <f>IF(AND('Daily Sale entry '!Q867="Collection 收款",'Daily Sale entry '!R867="Cheque 支票",'Daily Sale entry '!V867&lt;&gt;""),'Daily Sale entry '!V867+ROW()/10000000,"")</f>
        <v/>
      </c>
      <c r="L2367" s="21">
        <f>IF(K2367="","",COUNTIF($K$2:$K$3001,"&lt;"&amp;K2367)+1)</f>
        <v/>
      </c>
    </row>
    <row r="2368">
      <c r="A2368" s="5">
        <f>IF($J2368="","",IF($J2368&lt;=1500,INDEX('Daily Sale entry '!$X$1:$X$1501,$J2368+1),INDEX('Daily Sale entry '!$V$1:$V$1501,$J2368-1499)))</f>
        <v/>
      </c>
      <c r="B2368">
        <f>IF($J2368="","",IF($J2368&lt;=1500,INDEX('Daily Sale entry '!$Y$1:$Y$1501,$J2368+1)&amp;"","Buyer cheque banked 买家支票存入"&amp;IF(INDEX('Daily Sale entry '!$U$1:$U$1501,$J2368-1499)="","", " - "&amp;INDEX('Daily Sale entry '!$U$1:$U$1501,$J2368-1499))))</f>
        <v/>
      </c>
      <c r="C2368">
        <f>IF($J2368="","",IF($J2368&lt;=1500,INDEX('Daily Sale entry '!$Z$1:$Z$1501,$J2368+1)&amp;"","Cheque deposit 支票存入 (buyer 买家)"))</f>
        <v/>
      </c>
      <c r="D2368">
        <f>IF($J2368="","",IF($J2368&lt;=1500,INDEX('Daily Sale entry '!$AA$1:$AA$1501,$J2368+1)&amp;"",INDEX('Daily Sale entry '!$P$1:$P$1501,$J2368-1499)&amp;""))</f>
        <v/>
      </c>
      <c r="E2368">
        <f>IF($J2368="","",IF($J2368&lt;=1500,IF(N(INDEX('Daily Sale entry '!$AB$1:$AB$1501,$J2368+1))=0,"",INDEX('Daily Sale entry '!$AB$1:$AB$1501,$J2368+1)),1))</f>
        <v/>
      </c>
      <c r="F2368" s="6">
        <f>IF($J2368="","",IF($J2368&lt;=1500,N(INDEX('Daily Sale entry '!$AC$1:$AC$1501,$J2368+1))-IF(AND('Opening Balance'!$B$15=1,INDEX('Daily Sale entry '!$Z$1:$Z$1501,$J2368+1)="Online collection 网上收款",INDEX('Daily Sale entry '!$AA$1:$AA$1501,$J2368+1)&lt;&gt;""),N(INDEX('Daily Sale entry '!$AC$1:$AC$1501,$J2368+1))-TRUNC(N(INDEX('Daily Sale entry '!$AC$1:$AC$1501,$J2368+1))),0),N(INDEX('Daily Sale entry '!$S$1:$S$1501,$J2368-1499))-'Opening Balance'!$B$15*(N(INDEX('Daily Sale entry '!$S$1:$S$1501,$J2368-1499))-TRUNC(N(INDEX('Daily Sale entry '!$S$1:$S$1501,$J2368-1499))))))</f>
        <v/>
      </c>
      <c r="G2368" s="6">
        <f>IF($J2368="","",IF($J2368&lt;=1500,N(INDEX('Daily Sale entry '!$AD$1:$AD$1501,$J2368+1)),0))</f>
        <v/>
      </c>
      <c r="H2368" s="6">
        <f>IF($J2368="","",ROUND('Opening Balance'!$B$4+SUM($F$2:F2368)-SUM($G$2:G2368),2))</f>
        <v/>
      </c>
      <c r="J2368" s="21">
        <f>IFERROR(MATCH(ROW()-1,$L$2:$L$3001,0),"")</f>
        <v/>
      </c>
      <c r="K2368" s="34">
        <f>IF(AND('Daily Sale entry '!Q868="Collection 收款",'Daily Sale entry '!R868="Cheque 支票",'Daily Sale entry '!V868&lt;&gt;""),'Daily Sale entry '!V868+ROW()/10000000,"")</f>
        <v/>
      </c>
      <c r="L2368" s="21">
        <f>IF(K2368="","",COUNTIF($K$2:$K$3001,"&lt;"&amp;K2368)+1)</f>
        <v/>
      </c>
    </row>
    <row r="2369">
      <c r="A2369" s="5">
        <f>IF($J2369="","",IF($J2369&lt;=1500,INDEX('Daily Sale entry '!$X$1:$X$1501,$J2369+1),INDEX('Daily Sale entry '!$V$1:$V$1501,$J2369-1499)))</f>
        <v/>
      </c>
      <c r="B2369">
        <f>IF($J2369="","",IF($J2369&lt;=1500,INDEX('Daily Sale entry '!$Y$1:$Y$1501,$J2369+1)&amp;"","Buyer cheque banked 买家支票存入"&amp;IF(INDEX('Daily Sale entry '!$U$1:$U$1501,$J2369-1499)="","", " - "&amp;INDEX('Daily Sale entry '!$U$1:$U$1501,$J2369-1499))))</f>
        <v/>
      </c>
      <c r="C2369">
        <f>IF($J2369="","",IF($J2369&lt;=1500,INDEX('Daily Sale entry '!$Z$1:$Z$1501,$J2369+1)&amp;"","Cheque deposit 支票存入 (buyer 买家)"))</f>
        <v/>
      </c>
      <c r="D2369">
        <f>IF($J2369="","",IF($J2369&lt;=1500,INDEX('Daily Sale entry '!$AA$1:$AA$1501,$J2369+1)&amp;"",INDEX('Daily Sale entry '!$P$1:$P$1501,$J2369-1499)&amp;""))</f>
        <v/>
      </c>
      <c r="E2369">
        <f>IF($J2369="","",IF($J2369&lt;=1500,IF(N(INDEX('Daily Sale entry '!$AB$1:$AB$1501,$J2369+1))=0,"",INDEX('Daily Sale entry '!$AB$1:$AB$1501,$J2369+1)),1))</f>
        <v/>
      </c>
      <c r="F2369" s="6">
        <f>IF($J2369="","",IF($J2369&lt;=1500,N(INDEX('Daily Sale entry '!$AC$1:$AC$1501,$J2369+1))-IF(AND('Opening Balance'!$B$15=1,INDEX('Daily Sale entry '!$Z$1:$Z$1501,$J2369+1)="Online collection 网上收款",INDEX('Daily Sale entry '!$AA$1:$AA$1501,$J2369+1)&lt;&gt;""),N(INDEX('Daily Sale entry '!$AC$1:$AC$1501,$J2369+1))-TRUNC(N(INDEX('Daily Sale entry '!$AC$1:$AC$1501,$J2369+1))),0),N(INDEX('Daily Sale entry '!$S$1:$S$1501,$J2369-1499))-'Opening Balance'!$B$15*(N(INDEX('Daily Sale entry '!$S$1:$S$1501,$J2369-1499))-TRUNC(N(INDEX('Daily Sale entry '!$S$1:$S$1501,$J2369-1499))))))</f>
        <v/>
      </c>
      <c r="G2369" s="6">
        <f>IF($J2369="","",IF($J2369&lt;=1500,N(INDEX('Daily Sale entry '!$AD$1:$AD$1501,$J2369+1)),0))</f>
        <v/>
      </c>
      <c r="H2369" s="6">
        <f>IF($J2369="","",ROUND('Opening Balance'!$B$4+SUM($F$2:F2369)-SUM($G$2:G2369),2))</f>
        <v/>
      </c>
      <c r="J2369" s="21">
        <f>IFERROR(MATCH(ROW()-1,$L$2:$L$3001,0),"")</f>
        <v/>
      </c>
      <c r="K2369" s="34">
        <f>IF(AND('Daily Sale entry '!Q869="Collection 收款",'Daily Sale entry '!R869="Cheque 支票",'Daily Sale entry '!V869&lt;&gt;""),'Daily Sale entry '!V869+ROW()/10000000,"")</f>
        <v/>
      </c>
      <c r="L2369" s="21">
        <f>IF(K2369="","",COUNTIF($K$2:$K$3001,"&lt;"&amp;K2369)+1)</f>
        <v/>
      </c>
    </row>
    <row r="2370">
      <c r="A2370" s="5">
        <f>IF($J2370="","",IF($J2370&lt;=1500,INDEX('Daily Sale entry '!$X$1:$X$1501,$J2370+1),INDEX('Daily Sale entry '!$V$1:$V$1501,$J2370-1499)))</f>
        <v/>
      </c>
      <c r="B2370">
        <f>IF($J2370="","",IF($J2370&lt;=1500,INDEX('Daily Sale entry '!$Y$1:$Y$1501,$J2370+1)&amp;"","Buyer cheque banked 买家支票存入"&amp;IF(INDEX('Daily Sale entry '!$U$1:$U$1501,$J2370-1499)="","", " - "&amp;INDEX('Daily Sale entry '!$U$1:$U$1501,$J2370-1499))))</f>
        <v/>
      </c>
      <c r="C2370">
        <f>IF($J2370="","",IF($J2370&lt;=1500,INDEX('Daily Sale entry '!$Z$1:$Z$1501,$J2370+1)&amp;"","Cheque deposit 支票存入 (buyer 买家)"))</f>
        <v/>
      </c>
      <c r="D2370">
        <f>IF($J2370="","",IF($J2370&lt;=1500,INDEX('Daily Sale entry '!$AA$1:$AA$1501,$J2370+1)&amp;"",INDEX('Daily Sale entry '!$P$1:$P$1501,$J2370-1499)&amp;""))</f>
        <v/>
      </c>
      <c r="E2370">
        <f>IF($J2370="","",IF($J2370&lt;=1500,IF(N(INDEX('Daily Sale entry '!$AB$1:$AB$1501,$J2370+1))=0,"",INDEX('Daily Sale entry '!$AB$1:$AB$1501,$J2370+1)),1))</f>
        <v/>
      </c>
      <c r="F2370" s="6">
        <f>IF($J2370="","",IF($J2370&lt;=1500,N(INDEX('Daily Sale entry '!$AC$1:$AC$1501,$J2370+1))-IF(AND('Opening Balance'!$B$15=1,INDEX('Daily Sale entry '!$Z$1:$Z$1501,$J2370+1)="Online collection 网上收款",INDEX('Daily Sale entry '!$AA$1:$AA$1501,$J2370+1)&lt;&gt;""),N(INDEX('Daily Sale entry '!$AC$1:$AC$1501,$J2370+1))-TRUNC(N(INDEX('Daily Sale entry '!$AC$1:$AC$1501,$J2370+1))),0),N(INDEX('Daily Sale entry '!$S$1:$S$1501,$J2370-1499))-'Opening Balance'!$B$15*(N(INDEX('Daily Sale entry '!$S$1:$S$1501,$J2370-1499))-TRUNC(N(INDEX('Daily Sale entry '!$S$1:$S$1501,$J2370-1499))))))</f>
        <v/>
      </c>
      <c r="G2370" s="6">
        <f>IF($J2370="","",IF($J2370&lt;=1500,N(INDEX('Daily Sale entry '!$AD$1:$AD$1501,$J2370+1)),0))</f>
        <v/>
      </c>
      <c r="H2370" s="6">
        <f>IF($J2370="","",ROUND('Opening Balance'!$B$4+SUM($F$2:F2370)-SUM($G$2:G2370),2))</f>
        <v/>
      </c>
      <c r="J2370" s="21">
        <f>IFERROR(MATCH(ROW()-1,$L$2:$L$3001,0),"")</f>
        <v/>
      </c>
      <c r="K2370" s="34">
        <f>IF(AND('Daily Sale entry '!Q870="Collection 收款",'Daily Sale entry '!R870="Cheque 支票",'Daily Sale entry '!V870&lt;&gt;""),'Daily Sale entry '!V870+ROW()/10000000,"")</f>
        <v/>
      </c>
      <c r="L2370" s="21">
        <f>IF(K2370="","",COUNTIF($K$2:$K$3001,"&lt;"&amp;K2370)+1)</f>
        <v/>
      </c>
    </row>
    <row r="2371">
      <c r="A2371" s="5">
        <f>IF($J2371="","",IF($J2371&lt;=1500,INDEX('Daily Sale entry '!$X$1:$X$1501,$J2371+1),INDEX('Daily Sale entry '!$V$1:$V$1501,$J2371-1499)))</f>
        <v/>
      </c>
      <c r="B2371">
        <f>IF($J2371="","",IF($J2371&lt;=1500,INDEX('Daily Sale entry '!$Y$1:$Y$1501,$J2371+1)&amp;"","Buyer cheque banked 买家支票存入"&amp;IF(INDEX('Daily Sale entry '!$U$1:$U$1501,$J2371-1499)="","", " - "&amp;INDEX('Daily Sale entry '!$U$1:$U$1501,$J2371-1499))))</f>
        <v/>
      </c>
      <c r="C2371">
        <f>IF($J2371="","",IF($J2371&lt;=1500,INDEX('Daily Sale entry '!$Z$1:$Z$1501,$J2371+1)&amp;"","Cheque deposit 支票存入 (buyer 买家)"))</f>
        <v/>
      </c>
      <c r="D2371">
        <f>IF($J2371="","",IF($J2371&lt;=1500,INDEX('Daily Sale entry '!$AA$1:$AA$1501,$J2371+1)&amp;"",INDEX('Daily Sale entry '!$P$1:$P$1501,$J2371-1499)&amp;""))</f>
        <v/>
      </c>
      <c r="E2371">
        <f>IF($J2371="","",IF($J2371&lt;=1500,IF(N(INDEX('Daily Sale entry '!$AB$1:$AB$1501,$J2371+1))=0,"",INDEX('Daily Sale entry '!$AB$1:$AB$1501,$J2371+1)),1))</f>
        <v/>
      </c>
      <c r="F2371" s="6">
        <f>IF($J2371="","",IF($J2371&lt;=1500,N(INDEX('Daily Sale entry '!$AC$1:$AC$1501,$J2371+1))-IF(AND('Opening Balance'!$B$15=1,INDEX('Daily Sale entry '!$Z$1:$Z$1501,$J2371+1)="Online collection 网上收款",INDEX('Daily Sale entry '!$AA$1:$AA$1501,$J2371+1)&lt;&gt;""),N(INDEX('Daily Sale entry '!$AC$1:$AC$1501,$J2371+1))-TRUNC(N(INDEX('Daily Sale entry '!$AC$1:$AC$1501,$J2371+1))),0),N(INDEX('Daily Sale entry '!$S$1:$S$1501,$J2371-1499))-'Opening Balance'!$B$15*(N(INDEX('Daily Sale entry '!$S$1:$S$1501,$J2371-1499))-TRUNC(N(INDEX('Daily Sale entry '!$S$1:$S$1501,$J2371-1499))))))</f>
        <v/>
      </c>
      <c r="G2371" s="6">
        <f>IF($J2371="","",IF($J2371&lt;=1500,N(INDEX('Daily Sale entry '!$AD$1:$AD$1501,$J2371+1)),0))</f>
        <v/>
      </c>
      <c r="H2371" s="6">
        <f>IF($J2371="","",ROUND('Opening Balance'!$B$4+SUM($F$2:F2371)-SUM($G$2:G2371),2))</f>
        <v/>
      </c>
      <c r="J2371" s="21">
        <f>IFERROR(MATCH(ROW()-1,$L$2:$L$3001,0),"")</f>
        <v/>
      </c>
      <c r="K2371" s="34">
        <f>IF(AND('Daily Sale entry '!Q871="Collection 收款",'Daily Sale entry '!R871="Cheque 支票",'Daily Sale entry '!V871&lt;&gt;""),'Daily Sale entry '!V871+ROW()/10000000,"")</f>
        <v/>
      </c>
      <c r="L2371" s="21">
        <f>IF(K2371="","",COUNTIF($K$2:$K$3001,"&lt;"&amp;K2371)+1)</f>
        <v/>
      </c>
    </row>
    <row r="2372">
      <c r="A2372" s="5">
        <f>IF($J2372="","",IF($J2372&lt;=1500,INDEX('Daily Sale entry '!$X$1:$X$1501,$J2372+1),INDEX('Daily Sale entry '!$V$1:$V$1501,$J2372-1499)))</f>
        <v/>
      </c>
      <c r="B2372">
        <f>IF($J2372="","",IF($J2372&lt;=1500,INDEX('Daily Sale entry '!$Y$1:$Y$1501,$J2372+1)&amp;"","Buyer cheque banked 买家支票存入"&amp;IF(INDEX('Daily Sale entry '!$U$1:$U$1501,$J2372-1499)="","", " - "&amp;INDEX('Daily Sale entry '!$U$1:$U$1501,$J2372-1499))))</f>
        <v/>
      </c>
      <c r="C2372">
        <f>IF($J2372="","",IF($J2372&lt;=1500,INDEX('Daily Sale entry '!$Z$1:$Z$1501,$J2372+1)&amp;"","Cheque deposit 支票存入 (buyer 买家)"))</f>
        <v/>
      </c>
      <c r="D2372">
        <f>IF($J2372="","",IF($J2372&lt;=1500,INDEX('Daily Sale entry '!$AA$1:$AA$1501,$J2372+1)&amp;"",INDEX('Daily Sale entry '!$P$1:$P$1501,$J2372-1499)&amp;""))</f>
        <v/>
      </c>
      <c r="E2372">
        <f>IF($J2372="","",IF($J2372&lt;=1500,IF(N(INDEX('Daily Sale entry '!$AB$1:$AB$1501,$J2372+1))=0,"",INDEX('Daily Sale entry '!$AB$1:$AB$1501,$J2372+1)),1))</f>
        <v/>
      </c>
      <c r="F2372" s="6">
        <f>IF($J2372="","",IF($J2372&lt;=1500,N(INDEX('Daily Sale entry '!$AC$1:$AC$1501,$J2372+1))-IF(AND('Opening Balance'!$B$15=1,INDEX('Daily Sale entry '!$Z$1:$Z$1501,$J2372+1)="Online collection 网上收款",INDEX('Daily Sale entry '!$AA$1:$AA$1501,$J2372+1)&lt;&gt;""),N(INDEX('Daily Sale entry '!$AC$1:$AC$1501,$J2372+1))-TRUNC(N(INDEX('Daily Sale entry '!$AC$1:$AC$1501,$J2372+1))),0),N(INDEX('Daily Sale entry '!$S$1:$S$1501,$J2372-1499))-'Opening Balance'!$B$15*(N(INDEX('Daily Sale entry '!$S$1:$S$1501,$J2372-1499))-TRUNC(N(INDEX('Daily Sale entry '!$S$1:$S$1501,$J2372-1499))))))</f>
        <v/>
      </c>
      <c r="G2372" s="6">
        <f>IF($J2372="","",IF($J2372&lt;=1500,N(INDEX('Daily Sale entry '!$AD$1:$AD$1501,$J2372+1)),0))</f>
        <v/>
      </c>
      <c r="H2372" s="6">
        <f>IF($J2372="","",ROUND('Opening Balance'!$B$4+SUM($F$2:F2372)-SUM($G$2:G2372),2))</f>
        <v/>
      </c>
      <c r="J2372" s="21">
        <f>IFERROR(MATCH(ROW()-1,$L$2:$L$3001,0),"")</f>
        <v/>
      </c>
      <c r="K2372" s="34">
        <f>IF(AND('Daily Sale entry '!Q872="Collection 收款",'Daily Sale entry '!R872="Cheque 支票",'Daily Sale entry '!V872&lt;&gt;""),'Daily Sale entry '!V872+ROW()/10000000,"")</f>
        <v/>
      </c>
      <c r="L2372" s="21">
        <f>IF(K2372="","",COUNTIF($K$2:$K$3001,"&lt;"&amp;K2372)+1)</f>
        <v/>
      </c>
    </row>
    <row r="2373">
      <c r="A2373" s="5">
        <f>IF($J2373="","",IF($J2373&lt;=1500,INDEX('Daily Sale entry '!$X$1:$X$1501,$J2373+1),INDEX('Daily Sale entry '!$V$1:$V$1501,$J2373-1499)))</f>
        <v/>
      </c>
      <c r="B2373">
        <f>IF($J2373="","",IF($J2373&lt;=1500,INDEX('Daily Sale entry '!$Y$1:$Y$1501,$J2373+1)&amp;"","Buyer cheque banked 买家支票存入"&amp;IF(INDEX('Daily Sale entry '!$U$1:$U$1501,$J2373-1499)="","", " - "&amp;INDEX('Daily Sale entry '!$U$1:$U$1501,$J2373-1499))))</f>
        <v/>
      </c>
      <c r="C2373">
        <f>IF($J2373="","",IF($J2373&lt;=1500,INDEX('Daily Sale entry '!$Z$1:$Z$1501,$J2373+1)&amp;"","Cheque deposit 支票存入 (buyer 买家)"))</f>
        <v/>
      </c>
      <c r="D2373">
        <f>IF($J2373="","",IF($J2373&lt;=1500,INDEX('Daily Sale entry '!$AA$1:$AA$1501,$J2373+1)&amp;"",INDEX('Daily Sale entry '!$P$1:$P$1501,$J2373-1499)&amp;""))</f>
        <v/>
      </c>
      <c r="E2373">
        <f>IF($J2373="","",IF($J2373&lt;=1500,IF(N(INDEX('Daily Sale entry '!$AB$1:$AB$1501,$J2373+1))=0,"",INDEX('Daily Sale entry '!$AB$1:$AB$1501,$J2373+1)),1))</f>
        <v/>
      </c>
      <c r="F2373" s="6">
        <f>IF($J2373="","",IF($J2373&lt;=1500,N(INDEX('Daily Sale entry '!$AC$1:$AC$1501,$J2373+1))-IF(AND('Opening Balance'!$B$15=1,INDEX('Daily Sale entry '!$Z$1:$Z$1501,$J2373+1)="Online collection 网上收款",INDEX('Daily Sale entry '!$AA$1:$AA$1501,$J2373+1)&lt;&gt;""),N(INDEX('Daily Sale entry '!$AC$1:$AC$1501,$J2373+1))-TRUNC(N(INDEX('Daily Sale entry '!$AC$1:$AC$1501,$J2373+1))),0),N(INDEX('Daily Sale entry '!$S$1:$S$1501,$J2373-1499))-'Opening Balance'!$B$15*(N(INDEX('Daily Sale entry '!$S$1:$S$1501,$J2373-1499))-TRUNC(N(INDEX('Daily Sale entry '!$S$1:$S$1501,$J2373-1499))))))</f>
        <v/>
      </c>
      <c r="G2373" s="6">
        <f>IF($J2373="","",IF($J2373&lt;=1500,N(INDEX('Daily Sale entry '!$AD$1:$AD$1501,$J2373+1)),0))</f>
        <v/>
      </c>
      <c r="H2373" s="6">
        <f>IF($J2373="","",ROUND('Opening Balance'!$B$4+SUM($F$2:F2373)-SUM($G$2:G2373),2))</f>
        <v/>
      </c>
      <c r="J2373" s="21">
        <f>IFERROR(MATCH(ROW()-1,$L$2:$L$3001,0),"")</f>
        <v/>
      </c>
      <c r="K2373" s="34">
        <f>IF(AND('Daily Sale entry '!Q873="Collection 收款",'Daily Sale entry '!R873="Cheque 支票",'Daily Sale entry '!V873&lt;&gt;""),'Daily Sale entry '!V873+ROW()/10000000,"")</f>
        <v/>
      </c>
      <c r="L2373" s="21">
        <f>IF(K2373="","",COUNTIF($K$2:$K$3001,"&lt;"&amp;K2373)+1)</f>
        <v/>
      </c>
    </row>
    <row r="2374">
      <c r="A2374" s="5">
        <f>IF($J2374="","",IF($J2374&lt;=1500,INDEX('Daily Sale entry '!$X$1:$X$1501,$J2374+1),INDEX('Daily Sale entry '!$V$1:$V$1501,$J2374-1499)))</f>
        <v/>
      </c>
      <c r="B2374">
        <f>IF($J2374="","",IF($J2374&lt;=1500,INDEX('Daily Sale entry '!$Y$1:$Y$1501,$J2374+1)&amp;"","Buyer cheque banked 买家支票存入"&amp;IF(INDEX('Daily Sale entry '!$U$1:$U$1501,$J2374-1499)="","", " - "&amp;INDEX('Daily Sale entry '!$U$1:$U$1501,$J2374-1499))))</f>
        <v/>
      </c>
      <c r="C2374">
        <f>IF($J2374="","",IF($J2374&lt;=1500,INDEX('Daily Sale entry '!$Z$1:$Z$1501,$J2374+1)&amp;"","Cheque deposit 支票存入 (buyer 买家)"))</f>
        <v/>
      </c>
      <c r="D2374">
        <f>IF($J2374="","",IF($J2374&lt;=1500,INDEX('Daily Sale entry '!$AA$1:$AA$1501,$J2374+1)&amp;"",INDEX('Daily Sale entry '!$P$1:$P$1501,$J2374-1499)&amp;""))</f>
        <v/>
      </c>
      <c r="E2374">
        <f>IF($J2374="","",IF($J2374&lt;=1500,IF(N(INDEX('Daily Sale entry '!$AB$1:$AB$1501,$J2374+1))=0,"",INDEX('Daily Sale entry '!$AB$1:$AB$1501,$J2374+1)),1))</f>
        <v/>
      </c>
      <c r="F2374" s="6">
        <f>IF($J2374="","",IF($J2374&lt;=1500,N(INDEX('Daily Sale entry '!$AC$1:$AC$1501,$J2374+1))-IF(AND('Opening Balance'!$B$15=1,INDEX('Daily Sale entry '!$Z$1:$Z$1501,$J2374+1)="Online collection 网上收款",INDEX('Daily Sale entry '!$AA$1:$AA$1501,$J2374+1)&lt;&gt;""),N(INDEX('Daily Sale entry '!$AC$1:$AC$1501,$J2374+1))-TRUNC(N(INDEX('Daily Sale entry '!$AC$1:$AC$1501,$J2374+1))),0),N(INDEX('Daily Sale entry '!$S$1:$S$1501,$J2374-1499))-'Opening Balance'!$B$15*(N(INDEX('Daily Sale entry '!$S$1:$S$1501,$J2374-1499))-TRUNC(N(INDEX('Daily Sale entry '!$S$1:$S$1501,$J2374-1499))))))</f>
        <v/>
      </c>
      <c r="G2374" s="6">
        <f>IF($J2374="","",IF($J2374&lt;=1500,N(INDEX('Daily Sale entry '!$AD$1:$AD$1501,$J2374+1)),0))</f>
        <v/>
      </c>
      <c r="H2374" s="6">
        <f>IF($J2374="","",ROUND('Opening Balance'!$B$4+SUM($F$2:F2374)-SUM($G$2:G2374),2))</f>
        <v/>
      </c>
      <c r="J2374" s="21">
        <f>IFERROR(MATCH(ROW()-1,$L$2:$L$3001,0),"")</f>
        <v/>
      </c>
      <c r="K2374" s="34">
        <f>IF(AND('Daily Sale entry '!Q874="Collection 收款",'Daily Sale entry '!R874="Cheque 支票",'Daily Sale entry '!V874&lt;&gt;""),'Daily Sale entry '!V874+ROW()/10000000,"")</f>
        <v/>
      </c>
      <c r="L2374" s="21">
        <f>IF(K2374="","",COUNTIF($K$2:$K$3001,"&lt;"&amp;K2374)+1)</f>
        <v/>
      </c>
    </row>
    <row r="2375">
      <c r="A2375" s="5">
        <f>IF($J2375="","",IF($J2375&lt;=1500,INDEX('Daily Sale entry '!$X$1:$X$1501,$J2375+1),INDEX('Daily Sale entry '!$V$1:$V$1501,$J2375-1499)))</f>
        <v/>
      </c>
      <c r="B2375">
        <f>IF($J2375="","",IF($J2375&lt;=1500,INDEX('Daily Sale entry '!$Y$1:$Y$1501,$J2375+1)&amp;"","Buyer cheque banked 买家支票存入"&amp;IF(INDEX('Daily Sale entry '!$U$1:$U$1501,$J2375-1499)="","", " - "&amp;INDEX('Daily Sale entry '!$U$1:$U$1501,$J2375-1499))))</f>
        <v/>
      </c>
      <c r="C2375">
        <f>IF($J2375="","",IF($J2375&lt;=1500,INDEX('Daily Sale entry '!$Z$1:$Z$1501,$J2375+1)&amp;"","Cheque deposit 支票存入 (buyer 买家)"))</f>
        <v/>
      </c>
      <c r="D2375">
        <f>IF($J2375="","",IF($J2375&lt;=1500,INDEX('Daily Sale entry '!$AA$1:$AA$1501,$J2375+1)&amp;"",INDEX('Daily Sale entry '!$P$1:$P$1501,$J2375-1499)&amp;""))</f>
        <v/>
      </c>
      <c r="E2375">
        <f>IF($J2375="","",IF($J2375&lt;=1500,IF(N(INDEX('Daily Sale entry '!$AB$1:$AB$1501,$J2375+1))=0,"",INDEX('Daily Sale entry '!$AB$1:$AB$1501,$J2375+1)),1))</f>
        <v/>
      </c>
      <c r="F2375" s="6">
        <f>IF($J2375="","",IF($J2375&lt;=1500,N(INDEX('Daily Sale entry '!$AC$1:$AC$1501,$J2375+1))-IF(AND('Opening Balance'!$B$15=1,INDEX('Daily Sale entry '!$Z$1:$Z$1501,$J2375+1)="Online collection 网上收款",INDEX('Daily Sale entry '!$AA$1:$AA$1501,$J2375+1)&lt;&gt;""),N(INDEX('Daily Sale entry '!$AC$1:$AC$1501,$J2375+1))-TRUNC(N(INDEX('Daily Sale entry '!$AC$1:$AC$1501,$J2375+1))),0),N(INDEX('Daily Sale entry '!$S$1:$S$1501,$J2375-1499))-'Opening Balance'!$B$15*(N(INDEX('Daily Sale entry '!$S$1:$S$1501,$J2375-1499))-TRUNC(N(INDEX('Daily Sale entry '!$S$1:$S$1501,$J2375-1499))))))</f>
        <v/>
      </c>
      <c r="G2375" s="6">
        <f>IF($J2375="","",IF($J2375&lt;=1500,N(INDEX('Daily Sale entry '!$AD$1:$AD$1501,$J2375+1)),0))</f>
        <v/>
      </c>
      <c r="H2375" s="6">
        <f>IF($J2375="","",ROUND('Opening Balance'!$B$4+SUM($F$2:F2375)-SUM($G$2:G2375),2))</f>
        <v/>
      </c>
      <c r="J2375" s="21">
        <f>IFERROR(MATCH(ROW()-1,$L$2:$L$3001,0),"")</f>
        <v/>
      </c>
      <c r="K2375" s="34">
        <f>IF(AND('Daily Sale entry '!Q875="Collection 收款",'Daily Sale entry '!R875="Cheque 支票",'Daily Sale entry '!V875&lt;&gt;""),'Daily Sale entry '!V875+ROW()/10000000,"")</f>
        <v/>
      </c>
      <c r="L2375" s="21">
        <f>IF(K2375="","",COUNTIF($K$2:$K$3001,"&lt;"&amp;K2375)+1)</f>
        <v/>
      </c>
    </row>
    <row r="2376">
      <c r="A2376" s="5">
        <f>IF($J2376="","",IF($J2376&lt;=1500,INDEX('Daily Sale entry '!$X$1:$X$1501,$J2376+1),INDEX('Daily Sale entry '!$V$1:$V$1501,$J2376-1499)))</f>
        <v/>
      </c>
      <c r="B2376">
        <f>IF($J2376="","",IF($J2376&lt;=1500,INDEX('Daily Sale entry '!$Y$1:$Y$1501,$J2376+1)&amp;"","Buyer cheque banked 买家支票存入"&amp;IF(INDEX('Daily Sale entry '!$U$1:$U$1501,$J2376-1499)="","", " - "&amp;INDEX('Daily Sale entry '!$U$1:$U$1501,$J2376-1499))))</f>
        <v/>
      </c>
      <c r="C2376">
        <f>IF($J2376="","",IF($J2376&lt;=1500,INDEX('Daily Sale entry '!$Z$1:$Z$1501,$J2376+1)&amp;"","Cheque deposit 支票存入 (buyer 买家)"))</f>
        <v/>
      </c>
      <c r="D2376">
        <f>IF($J2376="","",IF($J2376&lt;=1500,INDEX('Daily Sale entry '!$AA$1:$AA$1501,$J2376+1)&amp;"",INDEX('Daily Sale entry '!$P$1:$P$1501,$J2376-1499)&amp;""))</f>
        <v/>
      </c>
      <c r="E2376">
        <f>IF($J2376="","",IF($J2376&lt;=1500,IF(N(INDEX('Daily Sale entry '!$AB$1:$AB$1501,$J2376+1))=0,"",INDEX('Daily Sale entry '!$AB$1:$AB$1501,$J2376+1)),1))</f>
        <v/>
      </c>
      <c r="F2376" s="6">
        <f>IF($J2376="","",IF($J2376&lt;=1500,N(INDEX('Daily Sale entry '!$AC$1:$AC$1501,$J2376+1))-IF(AND('Opening Balance'!$B$15=1,INDEX('Daily Sale entry '!$Z$1:$Z$1501,$J2376+1)="Online collection 网上收款",INDEX('Daily Sale entry '!$AA$1:$AA$1501,$J2376+1)&lt;&gt;""),N(INDEX('Daily Sale entry '!$AC$1:$AC$1501,$J2376+1))-TRUNC(N(INDEX('Daily Sale entry '!$AC$1:$AC$1501,$J2376+1))),0),N(INDEX('Daily Sale entry '!$S$1:$S$1501,$J2376-1499))-'Opening Balance'!$B$15*(N(INDEX('Daily Sale entry '!$S$1:$S$1501,$J2376-1499))-TRUNC(N(INDEX('Daily Sale entry '!$S$1:$S$1501,$J2376-1499))))))</f>
        <v/>
      </c>
      <c r="G2376" s="6">
        <f>IF($J2376="","",IF($J2376&lt;=1500,N(INDEX('Daily Sale entry '!$AD$1:$AD$1501,$J2376+1)),0))</f>
        <v/>
      </c>
      <c r="H2376" s="6">
        <f>IF($J2376="","",ROUND('Opening Balance'!$B$4+SUM($F$2:F2376)-SUM($G$2:G2376),2))</f>
        <v/>
      </c>
      <c r="J2376" s="21">
        <f>IFERROR(MATCH(ROW()-1,$L$2:$L$3001,0),"")</f>
        <v/>
      </c>
      <c r="K2376" s="34">
        <f>IF(AND('Daily Sale entry '!Q876="Collection 收款",'Daily Sale entry '!R876="Cheque 支票",'Daily Sale entry '!V876&lt;&gt;""),'Daily Sale entry '!V876+ROW()/10000000,"")</f>
        <v/>
      </c>
      <c r="L2376" s="21">
        <f>IF(K2376="","",COUNTIF($K$2:$K$3001,"&lt;"&amp;K2376)+1)</f>
        <v/>
      </c>
    </row>
    <row r="2377">
      <c r="A2377" s="5">
        <f>IF($J2377="","",IF($J2377&lt;=1500,INDEX('Daily Sale entry '!$X$1:$X$1501,$J2377+1),INDEX('Daily Sale entry '!$V$1:$V$1501,$J2377-1499)))</f>
        <v/>
      </c>
      <c r="B2377">
        <f>IF($J2377="","",IF($J2377&lt;=1500,INDEX('Daily Sale entry '!$Y$1:$Y$1501,$J2377+1)&amp;"","Buyer cheque banked 买家支票存入"&amp;IF(INDEX('Daily Sale entry '!$U$1:$U$1501,$J2377-1499)="","", " - "&amp;INDEX('Daily Sale entry '!$U$1:$U$1501,$J2377-1499))))</f>
        <v/>
      </c>
      <c r="C2377">
        <f>IF($J2377="","",IF($J2377&lt;=1500,INDEX('Daily Sale entry '!$Z$1:$Z$1501,$J2377+1)&amp;"","Cheque deposit 支票存入 (buyer 买家)"))</f>
        <v/>
      </c>
      <c r="D2377">
        <f>IF($J2377="","",IF($J2377&lt;=1500,INDEX('Daily Sale entry '!$AA$1:$AA$1501,$J2377+1)&amp;"",INDEX('Daily Sale entry '!$P$1:$P$1501,$J2377-1499)&amp;""))</f>
        <v/>
      </c>
      <c r="E2377">
        <f>IF($J2377="","",IF($J2377&lt;=1500,IF(N(INDEX('Daily Sale entry '!$AB$1:$AB$1501,$J2377+1))=0,"",INDEX('Daily Sale entry '!$AB$1:$AB$1501,$J2377+1)),1))</f>
        <v/>
      </c>
      <c r="F2377" s="6">
        <f>IF($J2377="","",IF($J2377&lt;=1500,N(INDEX('Daily Sale entry '!$AC$1:$AC$1501,$J2377+1))-IF(AND('Opening Balance'!$B$15=1,INDEX('Daily Sale entry '!$Z$1:$Z$1501,$J2377+1)="Online collection 网上收款",INDEX('Daily Sale entry '!$AA$1:$AA$1501,$J2377+1)&lt;&gt;""),N(INDEX('Daily Sale entry '!$AC$1:$AC$1501,$J2377+1))-TRUNC(N(INDEX('Daily Sale entry '!$AC$1:$AC$1501,$J2377+1))),0),N(INDEX('Daily Sale entry '!$S$1:$S$1501,$J2377-1499))-'Opening Balance'!$B$15*(N(INDEX('Daily Sale entry '!$S$1:$S$1501,$J2377-1499))-TRUNC(N(INDEX('Daily Sale entry '!$S$1:$S$1501,$J2377-1499))))))</f>
        <v/>
      </c>
      <c r="G2377" s="6">
        <f>IF($J2377="","",IF($J2377&lt;=1500,N(INDEX('Daily Sale entry '!$AD$1:$AD$1501,$J2377+1)),0))</f>
        <v/>
      </c>
      <c r="H2377" s="6">
        <f>IF($J2377="","",ROUND('Opening Balance'!$B$4+SUM($F$2:F2377)-SUM($G$2:G2377),2))</f>
        <v/>
      </c>
      <c r="J2377" s="21">
        <f>IFERROR(MATCH(ROW()-1,$L$2:$L$3001,0),"")</f>
        <v/>
      </c>
      <c r="K2377" s="34">
        <f>IF(AND('Daily Sale entry '!Q877="Collection 收款",'Daily Sale entry '!R877="Cheque 支票",'Daily Sale entry '!V877&lt;&gt;""),'Daily Sale entry '!V877+ROW()/10000000,"")</f>
        <v/>
      </c>
      <c r="L2377" s="21">
        <f>IF(K2377="","",COUNTIF($K$2:$K$3001,"&lt;"&amp;K2377)+1)</f>
        <v/>
      </c>
    </row>
    <row r="2378">
      <c r="A2378" s="5">
        <f>IF($J2378="","",IF($J2378&lt;=1500,INDEX('Daily Sale entry '!$X$1:$X$1501,$J2378+1),INDEX('Daily Sale entry '!$V$1:$V$1501,$J2378-1499)))</f>
        <v/>
      </c>
      <c r="B2378">
        <f>IF($J2378="","",IF($J2378&lt;=1500,INDEX('Daily Sale entry '!$Y$1:$Y$1501,$J2378+1)&amp;"","Buyer cheque banked 买家支票存入"&amp;IF(INDEX('Daily Sale entry '!$U$1:$U$1501,$J2378-1499)="","", " - "&amp;INDEX('Daily Sale entry '!$U$1:$U$1501,$J2378-1499))))</f>
        <v/>
      </c>
      <c r="C2378">
        <f>IF($J2378="","",IF($J2378&lt;=1500,INDEX('Daily Sale entry '!$Z$1:$Z$1501,$J2378+1)&amp;"","Cheque deposit 支票存入 (buyer 买家)"))</f>
        <v/>
      </c>
      <c r="D2378">
        <f>IF($J2378="","",IF($J2378&lt;=1500,INDEX('Daily Sale entry '!$AA$1:$AA$1501,$J2378+1)&amp;"",INDEX('Daily Sale entry '!$P$1:$P$1501,$J2378-1499)&amp;""))</f>
        <v/>
      </c>
      <c r="E2378">
        <f>IF($J2378="","",IF($J2378&lt;=1500,IF(N(INDEX('Daily Sale entry '!$AB$1:$AB$1501,$J2378+1))=0,"",INDEX('Daily Sale entry '!$AB$1:$AB$1501,$J2378+1)),1))</f>
        <v/>
      </c>
      <c r="F2378" s="6">
        <f>IF($J2378="","",IF($J2378&lt;=1500,N(INDEX('Daily Sale entry '!$AC$1:$AC$1501,$J2378+1))-IF(AND('Opening Balance'!$B$15=1,INDEX('Daily Sale entry '!$Z$1:$Z$1501,$J2378+1)="Online collection 网上收款",INDEX('Daily Sale entry '!$AA$1:$AA$1501,$J2378+1)&lt;&gt;""),N(INDEX('Daily Sale entry '!$AC$1:$AC$1501,$J2378+1))-TRUNC(N(INDEX('Daily Sale entry '!$AC$1:$AC$1501,$J2378+1))),0),N(INDEX('Daily Sale entry '!$S$1:$S$1501,$J2378-1499))-'Opening Balance'!$B$15*(N(INDEX('Daily Sale entry '!$S$1:$S$1501,$J2378-1499))-TRUNC(N(INDEX('Daily Sale entry '!$S$1:$S$1501,$J2378-1499))))))</f>
        <v/>
      </c>
      <c r="G2378" s="6">
        <f>IF($J2378="","",IF($J2378&lt;=1500,N(INDEX('Daily Sale entry '!$AD$1:$AD$1501,$J2378+1)),0))</f>
        <v/>
      </c>
      <c r="H2378" s="6">
        <f>IF($J2378="","",ROUND('Opening Balance'!$B$4+SUM($F$2:F2378)-SUM($G$2:G2378),2))</f>
        <v/>
      </c>
      <c r="J2378" s="21">
        <f>IFERROR(MATCH(ROW()-1,$L$2:$L$3001,0),"")</f>
        <v/>
      </c>
      <c r="K2378" s="34">
        <f>IF(AND('Daily Sale entry '!Q878="Collection 收款",'Daily Sale entry '!R878="Cheque 支票",'Daily Sale entry '!V878&lt;&gt;""),'Daily Sale entry '!V878+ROW()/10000000,"")</f>
        <v/>
      </c>
      <c r="L2378" s="21">
        <f>IF(K2378="","",COUNTIF($K$2:$K$3001,"&lt;"&amp;K2378)+1)</f>
        <v/>
      </c>
    </row>
    <row r="2379">
      <c r="A2379" s="5">
        <f>IF($J2379="","",IF($J2379&lt;=1500,INDEX('Daily Sale entry '!$X$1:$X$1501,$J2379+1),INDEX('Daily Sale entry '!$V$1:$V$1501,$J2379-1499)))</f>
        <v/>
      </c>
      <c r="B2379">
        <f>IF($J2379="","",IF($J2379&lt;=1500,INDEX('Daily Sale entry '!$Y$1:$Y$1501,$J2379+1)&amp;"","Buyer cheque banked 买家支票存入"&amp;IF(INDEX('Daily Sale entry '!$U$1:$U$1501,$J2379-1499)="","", " - "&amp;INDEX('Daily Sale entry '!$U$1:$U$1501,$J2379-1499))))</f>
        <v/>
      </c>
      <c r="C2379">
        <f>IF($J2379="","",IF($J2379&lt;=1500,INDEX('Daily Sale entry '!$Z$1:$Z$1501,$J2379+1)&amp;"","Cheque deposit 支票存入 (buyer 买家)"))</f>
        <v/>
      </c>
      <c r="D2379">
        <f>IF($J2379="","",IF($J2379&lt;=1500,INDEX('Daily Sale entry '!$AA$1:$AA$1501,$J2379+1)&amp;"",INDEX('Daily Sale entry '!$P$1:$P$1501,$J2379-1499)&amp;""))</f>
        <v/>
      </c>
      <c r="E2379">
        <f>IF($J2379="","",IF($J2379&lt;=1500,IF(N(INDEX('Daily Sale entry '!$AB$1:$AB$1501,$J2379+1))=0,"",INDEX('Daily Sale entry '!$AB$1:$AB$1501,$J2379+1)),1))</f>
        <v/>
      </c>
      <c r="F2379" s="6">
        <f>IF($J2379="","",IF($J2379&lt;=1500,N(INDEX('Daily Sale entry '!$AC$1:$AC$1501,$J2379+1))-IF(AND('Opening Balance'!$B$15=1,INDEX('Daily Sale entry '!$Z$1:$Z$1501,$J2379+1)="Online collection 网上收款",INDEX('Daily Sale entry '!$AA$1:$AA$1501,$J2379+1)&lt;&gt;""),N(INDEX('Daily Sale entry '!$AC$1:$AC$1501,$J2379+1))-TRUNC(N(INDEX('Daily Sale entry '!$AC$1:$AC$1501,$J2379+1))),0),N(INDEX('Daily Sale entry '!$S$1:$S$1501,$J2379-1499))-'Opening Balance'!$B$15*(N(INDEX('Daily Sale entry '!$S$1:$S$1501,$J2379-1499))-TRUNC(N(INDEX('Daily Sale entry '!$S$1:$S$1501,$J2379-1499))))))</f>
        <v/>
      </c>
      <c r="G2379" s="6">
        <f>IF($J2379="","",IF($J2379&lt;=1500,N(INDEX('Daily Sale entry '!$AD$1:$AD$1501,$J2379+1)),0))</f>
        <v/>
      </c>
      <c r="H2379" s="6">
        <f>IF($J2379="","",ROUND('Opening Balance'!$B$4+SUM($F$2:F2379)-SUM($G$2:G2379),2))</f>
        <v/>
      </c>
      <c r="J2379" s="21">
        <f>IFERROR(MATCH(ROW()-1,$L$2:$L$3001,0),"")</f>
        <v/>
      </c>
      <c r="K2379" s="34">
        <f>IF(AND('Daily Sale entry '!Q879="Collection 收款",'Daily Sale entry '!R879="Cheque 支票",'Daily Sale entry '!V879&lt;&gt;""),'Daily Sale entry '!V879+ROW()/10000000,"")</f>
        <v/>
      </c>
      <c r="L2379" s="21">
        <f>IF(K2379="","",COUNTIF($K$2:$K$3001,"&lt;"&amp;K2379)+1)</f>
        <v/>
      </c>
    </row>
    <row r="2380">
      <c r="A2380" s="5">
        <f>IF($J2380="","",IF($J2380&lt;=1500,INDEX('Daily Sale entry '!$X$1:$X$1501,$J2380+1),INDEX('Daily Sale entry '!$V$1:$V$1501,$J2380-1499)))</f>
        <v/>
      </c>
      <c r="B2380">
        <f>IF($J2380="","",IF($J2380&lt;=1500,INDEX('Daily Sale entry '!$Y$1:$Y$1501,$J2380+1)&amp;"","Buyer cheque banked 买家支票存入"&amp;IF(INDEX('Daily Sale entry '!$U$1:$U$1501,$J2380-1499)="","", " - "&amp;INDEX('Daily Sale entry '!$U$1:$U$1501,$J2380-1499))))</f>
        <v/>
      </c>
      <c r="C2380">
        <f>IF($J2380="","",IF($J2380&lt;=1500,INDEX('Daily Sale entry '!$Z$1:$Z$1501,$J2380+1)&amp;"","Cheque deposit 支票存入 (buyer 买家)"))</f>
        <v/>
      </c>
      <c r="D2380">
        <f>IF($J2380="","",IF($J2380&lt;=1500,INDEX('Daily Sale entry '!$AA$1:$AA$1501,$J2380+1)&amp;"",INDEX('Daily Sale entry '!$P$1:$P$1501,$J2380-1499)&amp;""))</f>
        <v/>
      </c>
      <c r="E2380">
        <f>IF($J2380="","",IF($J2380&lt;=1500,IF(N(INDEX('Daily Sale entry '!$AB$1:$AB$1501,$J2380+1))=0,"",INDEX('Daily Sale entry '!$AB$1:$AB$1501,$J2380+1)),1))</f>
        <v/>
      </c>
      <c r="F2380" s="6">
        <f>IF($J2380="","",IF($J2380&lt;=1500,N(INDEX('Daily Sale entry '!$AC$1:$AC$1501,$J2380+1))-IF(AND('Opening Balance'!$B$15=1,INDEX('Daily Sale entry '!$Z$1:$Z$1501,$J2380+1)="Online collection 网上收款",INDEX('Daily Sale entry '!$AA$1:$AA$1501,$J2380+1)&lt;&gt;""),N(INDEX('Daily Sale entry '!$AC$1:$AC$1501,$J2380+1))-TRUNC(N(INDEX('Daily Sale entry '!$AC$1:$AC$1501,$J2380+1))),0),N(INDEX('Daily Sale entry '!$S$1:$S$1501,$J2380-1499))-'Opening Balance'!$B$15*(N(INDEX('Daily Sale entry '!$S$1:$S$1501,$J2380-1499))-TRUNC(N(INDEX('Daily Sale entry '!$S$1:$S$1501,$J2380-1499))))))</f>
        <v/>
      </c>
      <c r="G2380" s="6">
        <f>IF($J2380="","",IF($J2380&lt;=1500,N(INDEX('Daily Sale entry '!$AD$1:$AD$1501,$J2380+1)),0))</f>
        <v/>
      </c>
      <c r="H2380" s="6">
        <f>IF($J2380="","",ROUND('Opening Balance'!$B$4+SUM($F$2:F2380)-SUM($G$2:G2380),2))</f>
        <v/>
      </c>
      <c r="J2380" s="21">
        <f>IFERROR(MATCH(ROW()-1,$L$2:$L$3001,0),"")</f>
        <v/>
      </c>
      <c r="K2380" s="34">
        <f>IF(AND('Daily Sale entry '!Q880="Collection 收款",'Daily Sale entry '!R880="Cheque 支票",'Daily Sale entry '!V880&lt;&gt;""),'Daily Sale entry '!V880+ROW()/10000000,"")</f>
        <v/>
      </c>
      <c r="L2380" s="21">
        <f>IF(K2380="","",COUNTIF($K$2:$K$3001,"&lt;"&amp;K2380)+1)</f>
        <v/>
      </c>
    </row>
    <row r="2381">
      <c r="A2381" s="5">
        <f>IF($J2381="","",IF($J2381&lt;=1500,INDEX('Daily Sale entry '!$X$1:$X$1501,$J2381+1),INDEX('Daily Sale entry '!$V$1:$V$1501,$J2381-1499)))</f>
        <v/>
      </c>
      <c r="B2381">
        <f>IF($J2381="","",IF($J2381&lt;=1500,INDEX('Daily Sale entry '!$Y$1:$Y$1501,$J2381+1)&amp;"","Buyer cheque banked 买家支票存入"&amp;IF(INDEX('Daily Sale entry '!$U$1:$U$1501,$J2381-1499)="","", " - "&amp;INDEX('Daily Sale entry '!$U$1:$U$1501,$J2381-1499))))</f>
        <v/>
      </c>
      <c r="C2381">
        <f>IF($J2381="","",IF($J2381&lt;=1500,INDEX('Daily Sale entry '!$Z$1:$Z$1501,$J2381+1)&amp;"","Cheque deposit 支票存入 (buyer 买家)"))</f>
        <v/>
      </c>
      <c r="D2381">
        <f>IF($J2381="","",IF($J2381&lt;=1500,INDEX('Daily Sale entry '!$AA$1:$AA$1501,$J2381+1)&amp;"",INDEX('Daily Sale entry '!$P$1:$P$1501,$J2381-1499)&amp;""))</f>
        <v/>
      </c>
      <c r="E2381">
        <f>IF($J2381="","",IF($J2381&lt;=1500,IF(N(INDEX('Daily Sale entry '!$AB$1:$AB$1501,$J2381+1))=0,"",INDEX('Daily Sale entry '!$AB$1:$AB$1501,$J2381+1)),1))</f>
        <v/>
      </c>
      <c r="F2381" s="6">
        <f>IF($J2381="","",IF($J2381&lt;=1500,N(INDEX('Daily Sale entry '!$AC$1:$AC$1501,$J2381+1))-IF(AND('Opening Balance'!$B$15=1,INDEX('Daily Sale entry '!$Z$1:$Z$1501,$J2381+1)="Online collection 网上收款",INDEX('Daily Sale entry '!$AA$1:$AA$1501,$J2381+1)&lt;&gt;""),N(INDEX('Daily Sale entry '!$AC$1:$AC$1501,$J2381+1))-TRUNC(N(INDEX('Daily Sale entry '!$AC$1:$AC$1501,$J2381+1))),0),N(INDEX('Daily Sale entry '!$S$1:$S$1501,$J2381-1499))-'Opening Balance'!$B$15*(N(INDEX('Daily Sale entry '!$S$1:$S$1501,$J2381-1499))-TRUNC(N(INDEX('Daily Sale entry '!$S$1:$S$1501,$J2381-1499))))))</f>
        <v/>
      </c>
      <c r="G2381" s="6">
        <f>IF($J2381="","",IF($J2381&lt;=1500,N(INDEX('Daily Sale entry '!$AD$1:$AD$1501,$J2381+1)),0))</f>
        <v/>
      </c>
      <c r="H2381" s="6">
        <f>IF($J2381="","",ROUND('Opening Balance'!$B$4+SUM($F$2:F2381)-SUM($G$2:G2381),2))</f>
        <v/>
      </c>
      <c r="J2381" s="21">
        <f>IFERROR(MATCH(ROW()-1,$L$2:$L$3001,0),"")</f>
        <v/>
      </c>
      <c r="K2381" s="34">
        <f>IF(AND('Daily Sale entry '!Q881="Collection 收款",'Daily Sale entry '!R881="Cheque 支票",'Daily Sale entry '!V881&lt;&gt;""),'Daily Sale entry '!V881+ROW()/10000000,"")</f>
        <v/>
      </c>
      <c r="L2381" s="21">
        <f>IF(K2381="","",COUNTIF($K$2:$K$3001,"&lt;"&amp;K2381)+1)</f>
        <v/>
      </c>
    </row>
    <row r="2382">
      <c r="A2382" s="5">
        <f>IF($J2382="","",IF($J2382&lt;=1500,INDEX('Daily Sale entry '!$X$1:$X$1501,$J2382+1),INDEX('Daily Sale entry '!$V$1:$V$1501,$J2382-1499)))</f>
        <v/>
      </c>
      <c r="B2382">
        <f>IF($J2382="","",IF($J2382&lt;=1500,INDEX('Daily Sale entry '!$Y$1:$Y$1501,$J2382+1)&amp;"","Buyer cheque banked 买家支票存入"&amp;IF(INDEX('Daily Sale entry '!$U$1:$U$1501,$J2382-1499)="","", " - "&amp;INDEX('Daily Sale entry '!$U$1:$U$1501,$J2382-1499))))</f>
        <v/>
      </c>
      <c r="C2382">
        <f>IF($J2382="","",IF($J2382&lt;=1500,INDEX('Daily Sale entry '!$Z$1:$Z$1501,$J2382+1)&amp;"","Cheque deposit 支票存入 (buyer 买家)"))</f>
        <v/>
      </c>
      <c r="D2382">
        <f>IF($J2382="","",IF($J2382&lt;=1500,INDEX('Daily Sale entry '!$AA$1:$AA$1501,$J2382+1)&amp;"",INDEX('Daily Sale entry '!$P$1:$P$1501,$J2382-1499)&amp;""))</f>
        <v/>
      </c>
      <c r="E2382">
        <f>IF($J2382="","",IF($J2382&lt;=1500,IF(N(INDEX('Daily Sale entry '!$AB$1:$AB$1501,$J2382+1))=0,"",INDEX('Daily Sale entry '!$AB$1:$AB$1501,$J2382+1)),1))</f>
        <v/>
      </c>
      <c r="F2382" s="6">
        <f>IF($J2382="","",IF($J2382&lt;=1500,N(INDEX('Daily Sale entry '!$AC$1:$AC$1501,$J2382+1))-IF(AND('Opening Balance'!$B$15=1,INDEX('Daily Sale entry '!$Z$1:$Z$1501,$J2382+1)="Online collection 网上收款",INDEX('Daily Sale entry '!$AA$1:$AA$1501,$J2382+1)&lt;&gt;""),N(INDEX('Daily Sale entry '!$AC$1:$AC$1501,$J2382+1))-TRUNC(N(INDEX('Daily Sale entry '!$AC$1:$AC$1501,$J2382+1))),0),N(INDEX('Daily Sale entry '!$S$1:$S$1501,$J2382-1499))-'Opening Balance'!$B$15*(N(INDEX('Daily Sale entry '!$S$1:$S$1501,$J2382-1499))-TRUNC(N(INDEX('Daily Sale entry '!$S$1:$S$1501,$J2382-1499))))))</f>
        <v/>
      </c>
      <c r="G2382" s="6">
        <f>IF($J2382="","",IF($J2382&lt;=1500,N(INDEX('Daily Sale entry '!$AD$1:$AD$1501,$J2382+1)),0))</f>
        <v/>
      </c>
      <c r="H2382" s="6">
        <f>IF($J2382="","",ROUND('Opening Balance'!$B$4+SUM($F$2:F2382)-SUM($G$2:G2382),2))</f>
        <v/>
      </c>
      <c r="J2382" s="21">
        <f>IFERROR(MATCH(ROW()-1,$L$2:$L$3001,0),"")</f>
        <v/>
      </c>
      <c r="K2382" s="34">
        <f>IF(AND('Daily Sale entry '!Q882="Collection 收款",'Daily Sale entry '!R882="Cheque 支票",'Daily Sale entry '!V882&lt;&gt;""),'Daily Sale entry '!V882+ROW()/10000000,"")</f>
        <v/>
      </c>
      <c r="L2382" s="21">
        <f>IF(K2382="","",COUNTIF($K$2:$K$3001,"&lt;"&amp;K2382)+1)</f>
        <v/>
      </c>
    </row>
    <row r="2383">
      <c r="A2383" s="5">
        <f>IF($J2383="","",IF($J2383&lt;=1500,INDEX('Daily Sale entry '!$X$1:$X$1501,$J2383+1),INDEX('Daily Sale entry '!$V$1:$V$1501,$J2383-1499)))</f>
        <v/>
      </c>
      <c r="B2383">
        <f>IF($J2383="","",IF($J2383&lt;=1500,INDEX('Daily Sale entry '!$Y$1:$Y$1501,$J2383+1)&amp;"","Buyer cheque banked 买家支票存入"&amp;IF(INDEX('Daily Sale entry '!$U$1:$U$1501,$J2383-1499)="","", " - "&amp;INDEX('Daily Sale entry '!$U$1:$U$1501,$J2383-1499))))</f>
        <v/>
      </c>
      <c r="C2383">
        <f>IF($J2383="","",IF($J2383&lt;=1500,INDEX('Daily Sale entry '!$Z$1:$Z$1501,$J2383+1)&amp;"","Cheque deposit 支票存入 (buyer 买家)"))</f>
        <v/>
      </c>
      <c r="D2383">
        <f>IF($J2383="","",IF($J2383&lt;=1500,INDEX('Daily Sale entry '!$AA$1:$AA$1501,$J2383+1)&amp;"",INDEX('Daily Sale entry '!$P$1:$P$1501,$J2383-1499)&amp;""))</f>
        <v/>
      </c>
      <c r="E2383">
        <f>IF($J2383="","",IF($J2383&lt;=1500,IF(N(INDEX('Daily Sale entry '!$AB$1:$AB$1501,$J2383+1))=0,"",INDEX('Daily Sale entry '!$AB$1:$AB$1501,$J2383+1)),1))</f>
        <v/>
      </c>
      <c r="F2383" s="6">
        <f>IF($J2383="","",IF($J2383&lt;=1500,N(INDEX('Daily Sale entry '!$AC$1:$AC$1501,$J2383+1))-IF(AND('Opening Balance'!$B$15=1,INDEX('Daily Sale entry '!$Z$1:$Z$1501,$J2383+1)="Online collection 网上收款",INDEX('Daily Sale entry '!$AA$1:$AA$1501,$J2383+1)&lt;&gt;""),N(INDEX('Daily Sale entry '!$AC$1:$AC$1501,$J2383+1))-TRUNC(N(INDEX('Daily Sale entry '!$AC$1:$AC$1501,$J2383+1))),0),N(INDEX('Daily Sale entry '!$S$1:$S$1501,$J2383-1499))-'Opening Balance'!$B$15*(N(INDEX('Daily Sale entry '!$S$1:$S$1501,$J2383-1499))-TRUNC(N(INDEX('Daily Sale entry '!$S$1:$S$1501,$J2383-1499))))))</f>
        <v/>
      </c>
      <c r="G2383" s="6">
        <f>IF($J2383="","",IF($J2383&lt;=1500,N(INDEX('Daily Sale entry '!$AD$1:$AD$1501,$J2383+1)),0))</f>
        <v/>
      </c>
      <c r="H2383" s="6">
        <f>IF($J2383="","",ROUND('Opening Balance'!$B$4+SUM($F$2:F2383)-SUM($G$2:G2383),2))</f>
        <v/>
      </c>
      <c r="J2383" s="21">
        <f>IFERROR(MATCH(ROW()-1,$L$2:$L$3001,0),"")</f>
        <v/>
      </c>
      <c r="K2383" s="34">
        <f>IF(AND('Daily Sale entry '!Q883="Collection 收款",'Daily Sale entry '!R883="Cheque 支票",'Daily Sale entry '!V883&lt;&gt;""),'Daily Sale entry '!V883+ROW()/10000000,"")</f>
        <v/>
      </c>
      <c r="L2383" s="21">
        <f>IF(K2383="","",COUNTIF($K$2:$K$3001,"&lt;"&amp;K2383)+1)</f>
        <v/>
      </c>
    </row>
    <row r="2384">
      <c r="A2384" s="5">
        <f>IF($J2384="","",IF($J2384&lt;=1500,INDEX('Daily Sale entry '!$X$1:$X$1501,$J2384+1),INDEX('Daily Sale entry '!$V$1:$V$1501,$J2384-1499)))</f>
        <v/>
      </c>
      <c r="B2384">
        <f>IF($J2384="","",IF($J2384&lt;=1500,INDEX('Daily Sale entry '!$Y$1:$Y$1501,$J2384+1)&amp;"","Buyer cheque banked 买家支票存入"&amp;IF(INDEX('Daily Sale entry '!$U$1:$U$1501,$J2384-1499)="","", " - "&amp;INDEX('Daily Sale entry '!$U$1:$U$1501,$J2384-1499))))</f>
        <v/>
      </c>
      <c r="C2384">
        <f>IF($J2384="","",IF($J2384&lt;=1500,INDEX('Daily Sale entry '!$Z$1:$Z$1501,$J2384+1)&amp;"","Cheque deposit 支票存入 (buyer 买家)"))</f>
        <v/>
      </c>
      <c r="D2384">
        <f>IF($J2384="","",IF($J2384&lt;=1500,INDEX('Daily Sale entry '!$AA$1:$AA$1501,$J2384+1)&amp;"",INDEX('Daily Sale entry '!$P$1:$P$1501,$J2384-1499)&amp;""))</f>
        <v/>
      </c>
      <c r="E2384">
        <f>IF($J2384="","",IF($J2384&lt;=1500,IF(N(INDEX('Daily Sale entry '!$AB$1:$AB$1501,$J2384+1))=0,"",INDEX('Daily Sale entry '!$AB$1:$AB$1501,$J2384+1)),1))</f>
        <v/>
      </c>
      <c r="F2384" s="6">
        <f>IF($J2384="","",IF($J2384&lt;=1500,N(INDEX('Daily Sale entry '!$AC$1:$AC$1501,$J2384+1))-IF(AND('Opening Balance'!$B$15=1,INDEX('Daily Sale entry '!$Z$1:$Z$1501,$J2384+1)="Online collection 网上收款",INDEX('Daily Sale entry '!$AA$1:$AA$1501,$J2384+1)&lt;&gt;""),N(INDEX('Daily Sale entry '!$AC$1:$AC$1501,$J2384+1))-TRUNC(N(INDEX('Daily Sale entry '!$AC$1:$AC$1501,$J2384+1))),0),N(INDEX('Daily Sale entry '!$S$1:$S$1501,$J2384-1499))-'Opening Balance'!$B$15*(N(INDEX('Daily Sale entry '!$S$1:$S$1501,$J2384-1499))-TRUNC(N(INDEX('Daily Sale entry '!$S$1:$S$1501,$J2384-1499))))))</f>
        <v/>
      </c>
      <c r="G2384" s="6">
        <f>IF($J2384="","",IF($J2384&lt;=1500,N(INDEX('Daily Sale entry '!$AD$1:$AD$1501,$J2384+1)),0))</f>
        <v/>
      </c>
      <c r="H2384" s="6">
        <f>IF($J2384="","",ROUND('Opening Balance'!$B$4+SUM($F$2:F2384)-SUM($G$2:G2384),2))</f>
        <v/>
      </c>
      <c r="J2384" s="21">
        <f>IFERROR(MATCH(ROW()-1,$L$2:$L$3001,0),"")</f>
        <v/>
      </c>
      <c r="K2384" s="34">
        <f>IF(AND('Daily Sale entry '!Q884="Collection 收款",'Daily Sale entry '!R884="Cheque 支票",'Daily Sale entry '!V884&lt;&gt;""),'Daily Sale entry '!V884+ROW()/10000000,"")</f>
        <v/>
      </c>
      <c r="L2384" s="21">
        <f>IF(K2384="","",COUNTIF($K$2:$K$3001,"&lt;"&amp;K2384)+1)</f>
        <v/>
      </c>
    </row>
    <row r="2385">
      <c r="A2385" s="5">
        <f>IF($J2385="","",IF($J2385&lt;=1500,INDEX('Daily Sale entry '!$X$1:$X$1501,$J2385+1),INDEX('Daily Sale entry '!$V$1:$V$1501,$J2385-1499)))</f>
        <v/>
      </c>
      <c r="B2385">
        <f>IF($J2385="","",IF($J2385&lt;=1500,INDEX('Daily Sale entry '!$Y$1:$Y$1501,$J2385+1)&amp;"","Buyer cheque banked 买家支票存入"&amp;IF(INDEX('Daily Sale entry '!$U$1:$U$1501,$J2385-1499)="","", " - "&amp;INDEX('Daily Sale entry '!$U$1:$U$1501,$J2385-1499))))</f>
        <v/>
      </c>
      <c r="C2385">
        <f>IF($J2385="","",IF($J2385&lt;=1500,INDEX('Daily Sale entry '!$Z$1:$Z$1501,$J2385+1)&amp;"","Cheque deposit 支票存入 (buyer 买家)"))</f>
        <v/>
      </c>
      <c r="D2385">
        <f>IF($J2385="","",IF($J2385&lt;=1500,INDEX('Daily Sale entry '!$AA$1:$AA$1501,$J2385+1)&amp;"",INDEX('Daily Sale entry '!$P$1:$P$1501,$J2385-1499)&amp;""))</f>
        <v/>
      </c>
      <c r="E2385">
        <f>IF($J2385="","",IF($J2385&lt;=1500,IF(N(INDEX('Daily Sale entry '!$AB$1:$AB$1501,$J2385+1))=0,"",INDEX('Daily Sale entry '!$AB$1:$AB$1501,$J2385+1)),1))</f>
        <v/>
      </c>
      <c r="F2385" s="6">
        <f>IF($J2385="","",IF($J2385&lt;=1500,N(INDEX('Daily Sale entry '!$AC$1:$AC$1501,$J2385+1))-IF(AND('Opening Balance'!$B$15=1,INDEX('Daily Sale entry '!$Z$1:$Z$1501,$J2385+1)="Online collection 网上收款",INDEX('Daily Sale entry '!$AA$1:$AA$1501,$J2385+1)&lt;&gt;""),N(INDEX('Daily Sale entry '!$AC$1:$AC$1501,$J2385+1))-TRUNC(N(INDEX('Daily Sale entry '!$AC$1:$AC$1501,$J2385+1))),0),N(INDEX('Daily Sale entry '!$S$1:$S$1501,$J2385-1499))-'Opening Balance'!$B$15*(N(INDEX('Daily Sale entry '!$S$1:$S$1501,$J2385-1499))-TRUNC(N(INDEX('Daily Sale entry '!$S$1:$S$1501,$J2385-1499))))))</f>
        <v/>
      </c>
      <c r="G2385" s="6">
        <f>IF($J2385="","",IF($J2385&lt;=1500,N(INDEX('Daily Sale entry '!$AD$1:$AD$1501,$J2385+1)),0))</f>
        <v/>
      </c>
      <c r="H2385" s="6">
        <f>IF($J2385="","",ROUND('Opening Balance'!$B$4+SUM($F$2:F2385)-SUM($G$2:G2385),2))</f>
        <v/>
      </c>
      <c r="J2385" s="21">
        <f>IFERROR(MATCH(ROW()-1,$L$2:$L$3001,0),"")</f>
        <v/>
      </c>
      <c r="K2385" s="34">
        <f>IF(AND('Daily Sale entry '!Q885="Collection 收款",'Daily Sale entry '!R885="Cheque 支票",'Daily Sale entry '!V885&lt;&gt;""),'Daily Sale entry '!V885+ROW()/10000000,"")</f>
        <v/>
      </c>
      <c r="L2385" s="21">
        <f>IF(K2385="","",COUNTIF($K$2:$K$3001,"&lt;"&amp;K2385)+1)</f>
        <v/>
      </c>
    </row>
    <row r="2386">
      <c r="A2386" s="5">
        <f>IF($J2386="","",IF($J2386&lt;=1500,INDEX('Daily Sale entry '!$X$1:$X$1501,$J2386+1),INDEX('Daily Sale entry '!$V$1:$V$1501,$J2386-1499)))</f>
        <v/>
      </c>
      <c r="B2386">
        <f>IF($J2386="","",IF($J2386&lt;=1500,INDEX('Daily Sale entry '!$Y$1:$Y$1501,$J2386+1)&amp;"","Buyer cheque banked 买家支票存入"&amp;IF(INDEX('Daily Sale entry '!$U$1:$U$1501,$J2386-1499)="","", " - "&amp;INDEX('Daily Sale entry '!$U$1:$U$1501,$J2386-1499))))</f>
        <v/>
      </c>
      <c r="C2386">
        <f>IF($J2386="","",IF($J2386&lt;=1500,INDEX('Daily Sale entry '!$Z$1:$Z$1501,$J2386+1)&amp;"","Cheque deposit 支票存入 (buyer 买家)"))</f>
        <v/>
      </c>
      <c r="D2386">
        <f>IF($J2386="","",IF($J2386&lt;=1500,INDEX('Daily Sale entry '!$AA$1:$AA$1501,$J2386+1)&amp;"",INDEX('Daily Sale entry '!$P$1:$P$1501,$J2386-1499)&amp;""))</f>
        <v/>
      </c>
      <c r="E2386">
        <f>IF($J2386="","",IF($J2386&lt;=1500,IF(N(INDEX('Daily Sale entry '!$AB$1:$AB$1501,$J2386+1))=0,"",INDEX('Daily Sale entry '!$AB$1:$AB$1501,$J2386+1)),1))</f>
        <v/>
      </c>
      <c r="F2386" s="6">
        <f>IF($J2386="","",IF($J2386&lt;=1500,N(INDEX('Daily Sale entry '!$AC$1:$AC$1501,$J2386+1))-IF(AND('Opening Balance'!$B$15=1,INDEX('Daily Sale entry '!$Z$1:$Z$1501,$J2386+1)="Online collection 网上收款",INDEX('Daily Sale entry '!$AA$1:$AA$1501,$J2386+1)&lt;&gt;""),N(INDEX('Daily Sale entry '!$AC$1:$AC$1501,$J2386+1))-TRUNC(N(INDEX('Daily Sale entry '!$AC$1:$AC$1501,$J2386+1))),0),N(INDEX('Daily Sale entry '!$S$1:$S$1501,$J2386-1499))-'Opening Balance'!$B$15*(N(INDEX('Daily Sale entry '!$S$1:$S$1501,$J2386-1499))-TRUNC(N(INDEX('Daily Sale entry '!$S$1:$S$1501,$J2386-1499))))))</f>
        <v/>
      </c>
      <c r="G2386" s="6">
        <f>IF($J2386="","",IF($J2386&lt;=1500,N(INDEX('Daily Sale entry '!$AD$1:$AD$1501,$J2386+1)),0))</f>
        <v/>
      </c>
      <c r="H2386" s="6">
        <f>IF($J2386="","",ROUND('Opening Balance'!$B$4+SUM($F$2:F2386)-SUM($G$2:G2386),2))</f>
        <v/>
      </c>
      <c r="J2386" s="21">
        <f>IFERROR(MATCH(ROW()-1,$L$2:$L$3001,0),"")</f>
        <v/>
      </c>
      <c r="K2386" s="34">
        <f>IF(AND('Daily Sale entry '!Q886="Collection 收款",'Daily Sale entry '!R886="Cheque 支票",'Daily Sale entry '!V886&lt;&gt;""),'Daily Sale entry '!V886+ROW()/10000000,"")</f>
        <v/>
      </c>
      <c r="L2386" s="21">
        <f>IF(K2386="","",COUNTIF($K$2:$K$3001,"&lt;"&amp;K2386)+1)</f>
        <v/>
      </c>
    </row>
    <row r="2387">
      <c r="A2387" s="5">
        <f>IF($J2387="","",IF($J2387&lt;=1500,INDEX('Daily Sale entry '!$X$1:$X$1501,$J2387+1),INDEX('Daily Sale entry '!$V$1:$V$1501,$J2387-1499)))</f>
        <v/>
      </c>
      <c r="B2387">
        <f>IF($J2387="","",IF($J2387&lt;=1500,INDEX('Daily Sale entry '!$Y$1:$Y$1501,$J2387+1)&amp;"","Buyer cheque banked 买家支票存入"&amp;IF(INDEX('Daily Sale entry '!$U$1:$U$1501,$J2387-1499)="","", " - "&amp;INDEX('Daily Sale entry '!$U$1:$U$1501,$J2387-1499))))</f>
        <v/>
      </c>
      <c r="C2387">
        <f>IF($J2387="","",IF($J2387&lt;=1500,INDEX('Daily Sale entry '!$Z$1:$Z$1501,$J2387+1)&amp;"","Cheque deposit 支票存入 (buyer 买家)"))</f>
        <v/>
      </c>
      <c r="D2387">
        <f>IF($J2387="","",IF($J2387&lt;=1500,INDEX('Daily Sale entry '!$AA$1:$AA$1501,$J2387+1)&amp;"",INDEX('Daily Sale entry '!$P$1:$P$1501,$J2387-1499)&amp;""))</f>
        <v/>
      </c>
      <c r="E2387">
        <f>IF($J2387="","",IF($J2387&lt;=1500,IF(N(INDEX('Daily Sale entry '!$AB$1:$AB$1501,$J2387+1))=0,"",INDEX('Daily Sale entry '!$AB$1:$AB$1501,$J2387+1)),1))</f>
        <v/>
      </c>
      <c r="F2387" s="6">
        <f>IF($J2387="","",IF($J2387&lt;=1500,N(INDEX('Daily Sale entry '!$AC$1:$AC$1501,$J2387+1))-IF(AND('Opening Balance'!$B$15=1,INDEX('Daily Sale entry '!$Z$1:$Z$1501,$J2387+1)="Online collection 网上收款",INDEX('Daily Sale entry '!$AA$1:$AA$1501,$J2387+1)&lt;&gt;""),N(INDEX('Daily Sale entry '!$AC$1:$AC$1501,$J2387+1))-TRUNC(N(INDEX('Daily Sale entry '!$AC$1:$AC$1501,$J2387+1))),0),N(INDEX('Daily Sale entry '!$S$1:$S$1501,$J2387-1499))-'Opening Balance'!$B$15*(N(INDEX('Daily Sale entry '!$S$1:$S$1501,$J2387-1499))-TRUNC(N(INDEX('Daily Sale entry '!$S$1:$S$1501,$J2387-1499))))))</f>
        <v/>
      </c>
      <c r="G2387" s="6">
        <f>IF($J2387="","",IF($J2387&lt;=1500,N(INDEX('Daily Sale entry '!$AD$1:$AD$1501,$J2387+1)),0))</f>
        <v/>
      </c>
      <c r="H2387" s="6">
        <f>IF($J2387="","",ROUND('Opening Balance'!$B$4+SUM($F$2:F2387)-SUM($G$2:G2387),2))</f>
        <v/>
      </c>
      <c r="J2387" s="21">
        <f>IFERROR(MATCH(ROW()-1,$L$2:$L$3001,0),"")</f>
        <v/>
      </c>
      <c r="K2387" s="34">
        <f>IF(AND('Daily Sale entry '!Q887="Collection 收款",'Daily Sale entry '!R887="Cheque 支票",'Daily Sale entry '!V887&lt;&gt;""),'Daily Sale entry '!V887+ROW()/10000000,"")</f>
        <v/>
      </c>
      <c r="L2387" s="21">
        <f>IF(K2387="","",COUNTIF($K$2:$K$3001,"&lt;"&amp;K2387)+1)</f>
        <v/>
      </c>
    </row>
    <row r="2388">
      <c r="A2388" s="5">
        <f>IF($J2388="","",IF($J2388&lt;=1500,INDEX('Daily Sale entry '!$X$1:$X$1501,$J2388+1),INDEX('Daily Sale entry '!$V$1:$V$1501,$J2388-1499)))</f>
        <v/>
      </c>
      <c r="B2388">
        <f>IF($J2388="","",IF($J2388&lt;=1500,INDEX('Daily Sale entry '!$Y$1:$Y$1501,$J2388+1)&amp;"","Buyer cheque banked 买家支票存入"&amp;IF(INDEX('Daily Sale entry '!$U$1:$U$1501,$J2388-1499)="","", " - "&amp;INDEX('Daily Sale entry '!$U$1:$U$1501,$J2388-1499))))</f>
        <v/>
      </c>
      <c r="C2388">
        <f>IF($J2388="","",IF($J2388&lt;=1500,INDEX('Daily Sale entry '!$Z$1:$Z$1501,$J2388+1)&amp;"","Cheque deposit 支票存入 (buyer 买家)"))</f>
        <v/>
      </c>
      <c r="D2388">
        <f>IF($J2388="","",IF($J2388&lt;=1500,INDEX('Daily Sale entry '!$AA$1:$AA$1501,$J2388+1)&amp;"",INDEX('Daily Sale entry '!$P$1:$P$1501,$J2388-1499)&amp;""))</f>
        <v/>
      </c>
      <c r="E2388">
        <f>IF($J2388="","",IF($J2388&lt;=1500,IF(N(INDEX('Daily Sale entry '!$AB$1:$AB$1501,$J2388+1))=0,"",INDEX('Daily Sale entry '!$AB$1:$AB$1501,$J2388+1)),1))</f>
        <v/>
      </c>
      <c r="F2388" s="6">
        <f>IF($J2388="","",IF($J2388&lt;=1500,N(INDEX('Daily Sale entry '!$AC$1:$AC$1501,$J2388+1))-IF(AND('Opening Balance'!$B$15=1,INDEX('Daily Sale entry '!$Z$1:$Z$1501,$J2388+1)="Online collection 网上收款",INDEX('Daily Sale entry '!$AA$1:$AA$1501,$J2388+1)&lt;&gt;""),N(INDEX('Daily Sale entry '!$AC$1:$AC$1501,$J2388+1))-TRUNC(N(INDEX('Daily Sale entry '!$AC$1:$AC$1501,$J2388+1))),0),N(INDEX('Daily Sale entry '!$S$1:$S$1501,$J2388-1499))-'Opening Balance'!$B$15*(N(INDEX('Daily Sale entry '!$S$1:$S$1501,$J2388-1499))-TRUNC(N(INDEX('Daily Sale entry '!$S$1:$S$1501,$J2388-1499))))))</f>
        <v/>
      </c>
      <c r="G2388" s="6">
        <f>IF($J2388="","",IF($J2388&lt;=1500,N(INDEX('Daily Sale entry '!$AD$1:$AD$1501,$J2388+1)),0))</f>
        <v/>
      </c>
      <c r="H2388" s="6">
        <f>IF($J2388="","",ROUND('Opening Balance'!$B$4+SUM($F$2:F2388)-SUM($G$2:G2388),2))</f>
        <v/>
      </c>
      <c r="J2388" s="21">
        <f>IFERROR(MATCH(ROW()-1,$L$2:$L$3001,0),"")</f>
        <v/>
      </c>
      <c r="K2388" s="34">
        <f>IF(AND('Daily Sale entry '!Q888="Collection 收款",'Daily Sale entry '!R888="Cheque 支票",'Daily Sale entry '!V888&lt;&gt;""),'Daily Sale entry '!V888+ROW()/10000000,"")</f>
        <v/>
      </c>
      <c r="L2388" s="21">
        <f>IF(K2388="","",COUNTIF($K$2:$K$3001,"&lt;"&amp;K2388)+1)</f>
        <v/>
      </c>
    </row>
    <row r="2389">
      <c r="A2389" s="5">
        <f>IF($J2389="","",IF($J2389&lt;=1500,INDEX('Daily Sale entry '!$X$1:$X$1501,$J2389+1),INDEX('Daily Sale entry '!$V$1:$V$1501,$J2389-1499)))</f>
        <v/>
      </c>
      <c r="B2389">
        <f>IF($J2389="","",IF($J2389&lt;=1500,INDEX('Daily Sale entry '!$Y$1:$Y$1501,$J2389+1)&amp;"","Buyer cheque banked 买家支票存入"&amp;IF(INDEX('Daily Sale entry '!$U$1:$U$1501,$J2389-1499)="","", " - "&amp;INDEX('Daily Sale entry '!$U$1:$U$1501,$J2389-1499))))</f>
        <v/>
      </c>
      <c r="C2389">
        <f>IF($J2389="","",IF($J2389&lt;=1500,INDEX('Daily Sale entry '!$Z$1:$Z$1501,$J2389+1)&amp;"","Cheque deposit 支票存入 (buyer 买家)"))</f>
        <v/>
      </c>
      <c r="D2389">
        <f>IF($J2389="","",IF($J2389&lt;=1500,INDEX('Daily Sale entry '!$AA$1:$AA$1501,$J2389+1)&amp;"",INDEX('Daily Sale entry '!$P$1:$P$1501,$J2389-1499)&amp;""))</f>
        <v/>
      </c>
      <c r="E2389">
        <f>IF($J2389="","",IF($J2389&lt;=1500,IF(N(INDEX('Daily Sale entry '!$AB$1:$AB$1501,$J2389+1))=0,"",INDEX('Daily Sale entry '!$AB$1:$AB$1501,$J2389+1)),1))</f>
        <v/>
      </c>
      <c r="F2389" s="6">
        <f>IF($J2389="","",IF($J2389&lt;=1500,N(INDEX('Daily Sale entry '!$AC$1:$AC$1501,$J2389+1))-IF(AND('Opening Balance'!$B$15=1,INDEX('Daily Sale entry '!$Z$1:$Z$1501,$J2389+1)="Online collection 网上收款",INDEX('Daily Sale entry '!$AA$1:$AA$1501,$J2389+1)&lt;&gt;""),N(INDEX('Daily Sale entry '!$AC$1:$AC$1501,$J2389+1))-TRUNC(N(INDEX('Daily Sale entry '!$AC$1:$AC$1501,$J2389+1))),0),N(INDEX('Daily Sale entry '!$S$1:$S$1501,$J2389-1499))-'Opening Balance'!$B$15*(N(INDEX('Daily Sale entry '!$S$1:$S$1501,$J2389-1499))-TRUNC(N(INDEX('Daily Sale entry '!$S$1:$S$1501,$J2389-1499))))))</f>
        <v/>
      </c>
      <c r="G2389" s="6">
        <f>IF($J2389="","",IF($J2389&lt;=1500,N(INDEX('Daily Sale entry '!$AD$1:$AD$1501,$J2389+1)),0))</f>
        <v/>
      </c>
      <c r="H2389" s="6">
        <f>IF($J2389="","",ROUND('Opening Balance'!$B$4+SUM($F$2:F2389)-SUM($G$2:G2389),2))</f>
        <v/>
      </c>
      <c r="J2389" s="21">
        <f>IFERROR(MATCH(ROW()-1,$L$2:$L$3001,0),"")</f>
        <v/>
      </c>
      <c r="K2389" s="34">
        <f>IF(AND('Daily Sale entry '!Q889="Collection 收款",'Daily Sale entry '!R889="Cheque 支票",'Daily Sale entry '!V889&lt;&gt;""),'Daily Sale entry '!V889+ROW()/10000000,"")</f>
        <v/>
      </c>
      <c r="L2389" s="21">
        <f>IF(K2389="","",COUNTIF($K$2:$K$3001,"&lt;"&amp;K2389)+1)</f>
        <v/>
      </c>
    </row>
    <row r="2390">
      <c r="A2390" s="5">
        <f>IF($J2390="","",IF($J2390&lt;=1500,INDEX('Daily Sale entry '!$X$1:$X$1501,$J2390+1),INDEX('Daily Sale entry '!$V$1:$V$1501,$J2390-1499)))</f>
        <v/>
      </c>
      <c r="B2390">
        <f>IF($J2390="","",IF($J2390&lt;=1500,INDEX('Daily Sale entry '!$Y$1:$Y$1501,$J2390+1)&amp;"","Buyer cheque banked 买家支票存入"&amp;IF(INDEX('Daily Sale entry '!$U$1:$U$1501,$J2390-1499)="","", " - "&amp;INDEX('Daily Sale entry '!$U$1:$U$1501,$J2390-1499))))</f>
        <v/>
      </c>
      <c r="C2390">
        <f>IF($J2390="","",IF($J2390&lt;=1500,INDEX('Daily Sale entry '!$Z$1:$Z$1501,$J2390+1)&amp;"","Cheque deposit 支票存入 (buyer 买家)"))</f>
        <v/>
      </c>
      <c r="D2390">
        <f>IF($J2390="","",IF($J2390&lt;=1500,INDEX('Daily Sale entry '!$AA$1:$AA$1501,$J2390+1)&amp;"",INDEX('Daily Sale entry '!$P$1:$P$1501,$J2390-1499)&amp;""))</f>
        <v/>
      </c>
      <c r="E2390">
        <f>IF($J2390="","",IF($J2390&lt;=1500,IF(N(INDEX('Daily Sale entry '!$AB$1:$AB$1501,$J2390+1))=0,"",INDEX('Daily Sale entry '!$AB$1:$AB$1501,$J2390+1)),1))</f>
        <v/>
      </c>
      <c r="F2390" s="6">
        <f>IF($J2390="","",IF($J2390&lt;=1500,N(INDEX('Daily Sale entry '!$AC$1:$AC$1501,$J2390+1))-IF(AND('Opening Balance'!$B$15=1,INDEX('Daily Sale entry '!$Z$1:$Z$1501,$J2390+1)="Online collection 网上收款",INDEX('Daily Sale entry '!$AA$1:$AA$1501,$J2390+1)&lt;&gt;""),N(INDEX('Daily Sale entry '!$AC$1:$AC$1501,$J2390+1))-TRUNC(N(INDEX('Daily Sale entry '!$AC$1:$AC$1501,$J2390+1))),0),N(INDEX('Daily Sale entry '!$S$1:$S$1501,$J2390-1499))-'Opening Balance'!$B$15*(N(INDEX('Daily Sale entry '!$S$1:$S$1501,$J2390-1499))-TRUNC(N(INDEX('Daily Sale entry '!$S$1:$S$1501,$J2390-1499))))))</f>
        <v/>
      </c>
      <c r="G2390" s="6">
        <f>IF($J2390="","",IF($J2390&lt;=1500,N(INDEX('Daily Sale entry '!$AD$1:$AD$1501,$J2390+1)),0))</f>
        <v/>
      </c>
      <c r="H2390" s="6">
        <f>IF($J2390="","",ROUND('Opening Balance'!$B$4+SUM($F$2:F2390)-SUM($G$2:G2390),2))</f>
        <v/>
      </c>
      <c r="J2390" s="21">
        <f>IFERROR(MATCH(ROW()-1,$L$2:$L$3001,0),"")</f>
        <v/>
      </c>
      <c r="K2390" s="34">
        <f>IF(AND('Daily Sale entry '!Q890="Collection 收款",'Daily Sale entry '!R890="Cheque 支票",'Daily Sale entry '!V890&lt;&gt;""),'Daily Sale entry '!V890+ROW()/10000000,"")</f>
        <v/>
      </c>
      <c r="L2390" s="21">
        <f>IF(K2390="","",COUNTIF($K$2:$K$3001,"&lt;"&amp;K2390)+1)</f>
        <v/>
      </c>
    </row>
    <row r="2391">
      <c r="A2391" s="5">
        <f>IF($J2391="","",IF($J2391&lt;=1500,INDEX('Daily Sale entry '!$X$1:$X$1501,$J2391+1),INDEX('Daily Sale entry '!$V$1:$V$1501,$J2391-1499)))</f>
        <v/>
      </c>
      <c r="B2391">
        <f>IF($J2391="","",IF($J2391&lt;=1500,INDEX('Daily Sale entry '!$Y$1:$Y$1501,$J2391+1)&amp;"","Buyer cheque banked 买家支票存入"&amp;IF(INDEX('Daily Sale entry '!$U$1:$U$1501,$J2391-1499)="","", " - "&amp;INDEX('Daily Sale entry '!$U$1:$U$1501,$J2391-1499))))</f>
        <v/>
      </c>
      <c r="C2391">
        <f>IF($J2391="","",IF($J2391&lt;=1500,INDEX('Daily Sale entry '!$Z$1:$Z$1501,$J2391+1)&amp;"","Cheque deposit 支票存入 (buyer 买家)"))</f>
        <v/>
      </c>
      <c r="D2391">
        <f>IF($J2391="","",IF($J2391&lt;=1500,INDEX('Daily Sale entry '!$AA$1:$AA$1501,$J2391+1)&amp;"",INDEX('Daily Sale entry '!$P$1:$P$1501,$J2391-1499)&amp;""))</f>
        <v/>
      </c>
      <c r="E2391">
        <f>IF($J2391="","",IF($J2391&lt;=1500,IF(N(INDEX('Daily Sale entry '!$AB$1:$AB$1501,$J2391+1))=0,"",INDEX('Daily Sale entry '!$AB$1:$AB$1501,$J2391+1)),1))</f>
        <v/>
      </c>
      <c r="F2391" s="6">
        <f>IF($J2391="","",IF($J2391&lt;=1500,N(INDEX('Daily Sale entry '!$AC$1:$AC$1501,$J2391+1))-IF(AND('Opening Balance'!$B$15=1,INDEX('Daily Sale entry '!$Z$1:$Z$1501,$J2391+1)="Online collection 网上收款",INDEX('Daily Sale entry '!$AA$1:$AA$1501,$J2391+1)&lt;&gt;""),N(INDEX('Daily Sale entry '!$AC$1:$AC$1501,$J2391+1))-TRUNC(N(INDEX('Daily Sale entry '!$AC$1:$AC$1501,$J2391+1))),0),N(INDEX('Daily Sale entry '!$S$1:$S$1501,$J2391-1499))-'Opening Balance'!$B$15*(N(INDEX('Daily Sale entry '!$S$1:$S$1501,$J2391-1499))-TRUNC(N(INDEX('Daily Sale entry '!$S$1:$S$1501,$J2391-1499))))))</f>
        <v/>
      </c>
      <c r="G2391" s="6">
        <f>IF($J2391="","",IF($J2391&lt;=1500,N(INDEX('Daily Sale entry '!$AD$1:$AD$1501,$J2391+1)),0))</f>
        <v/>
      </c>
      <c r="H2391" s="6">
        <f>IF($J2391="","",ROUND('Opening Balance'!$B$4+SUM($F$2:F2391)-SUM($G$2:G2391),2))</f>
        <v/>
      </c>
      <c r="J2391" s="21">
        <f>IFERROR(MATCH(ROW()-1,$L$2:$L$3001,0),"")</f>
        <v/>
      </c>
      <c r="K2391" s="34">
        <f>IF(AND('Daily Sale entry '!Q891="Collection 收款",'Daily Sale entry '!R891="Cheque 支票",'Daily Sale entry '!V891&lt;&gt;""),'Daily Sale entry '!V891+ROW()/10000000,"")</f>
        <v/>
      </c>
      <c r="L2391" s="21">
        <f>IF(K2391="","",COUNTIF($K$2:$K$3001,"&lt;"&amp;K2391)+1)</f>
        <v/>
      </c>
    </row>
    <row r="2392">
      <c r="A2392" s="5">
        <f>IF($J2392="","",IF($J2392&lt;=1500,INDEX('Daily Sale entry '!$X$1:$X$1501,$J2392+1),INDEX('Daily Sale entry '!$V$1:$V$1501,$J2392-1499)))</f>
        <v/>
      </c>
      <c r="B2392">
        <f>IF($J2392="","",IF($J2392&lt;=1500,INDEX('Daily Sale entry '!$Y$1:$Y$1501,$J2392+1)&amp;"","Buyer cheque banked 买家支票存入"&amp;IF(INDEX('Daily Sale entry '!$U$1:$U$1501,$J2392-1499)="","", " - "&amp;INDEX('Daily Sale entry '!$U$1:$U$1501,$J2392-1499))))</f>
        <v/>
      </c>
      <c r="C2392">
        <f>IF($J2392="","",IF($J2392&lt;=1500,INDEX('Daily Sale entry '!$Z$1:$Z$1501,$J2392+1)&amp;"","Cheque deposit 支票存入 (buyer 买家)"))</f>
        <v/>
      </c>
      <c r="D2392">
        <f>IF($J2392="","",IF($J2392&lt;=1500,INDEX('Daily Sale entry '!$AA$1:$AA$1501,$J2392+1)&amp;"",INDEX('Daily Sale entry '!$P$1:$P$1501,$J2392-1499)&amp;""))</f>
        <v/>
      </c>
      <c r="E2392">
        <f>IF($J2392="","",IF($J2392&lt;=1500,IF(N(INDEX('Daily Sale entry '!$AB$1:$AB$1501,$J2392+1))=0,"",INDEX('Daily Sale entry '!$AB$1:$AB$1501,$J2392+1)),1))</f>
        <v/>
      </c>
      <c r="F2392" s="6">
        <f>IF($J2392="","",IF($J2392&lt;=1500,N(INDEX('Daily Sale entry '!$AC$1:$AC$1501,$J2392+1))-IF(AND('Opening Balance'!$B$15=1,INDEX('Daily Sale entry '!$Z$1:$Z$1501,$J2392+1)="Online collection 网上收款",INDEX('Daily Sale entry '!$AA$1:$AA$1501,$J2392+1)&lt;&gt;""),N(INDEX('Daily Sale entry '!$AC$1:$AC$1501,$J2392+1))-TRUNC(N(INDEX('Daily Sale entry '!$AC$1:$AC$1501,$J2392+1))),0),N(INDEX('Daily Sale entry '!$S$1:$S$1501,$J2392-1499))-'Opening Balance'!$B$15*(N(INDEX('Daily Sale entry '!$S$1:$S$1501,$J2392-1499))-TRUNC(N(INDEX('Daily Sale entry '!$S$1:$S$1501,$J2392-1499))))))</f>
        <v/>
      </c>
      <c r="G2392" s="6">
        <f>IF($J2392="","",IF($J2392&lt;=1500,N(INDEX('Daily Sale entry '!$AD$1:$AD$1501,$J2392+1)),0))</f>
        <v/>
      </c>
      <c r="H2392" s="6">
        <f>IF($J2392="","",ROUND('Opening Balance'!$B$4+SUM($F$2:F2392)-SUM($G$2:G2392),2))</f>
        <v/>
      </c>
      <c r="J2392" s="21">
        <f>IFERROR(MATCH(ROW()-1,$L$2:$L$3001,0),"")</f>
        <v/>
      </c>
      <c r="K2392" s="34">
        <f>IF(AND('Daily Sale entry '!Q892="Collection 收款",'Daily Sale entry '!R892="Cheque 支票",'Daily Sale entry '!V892&lt;&gt;""),'Daily Sale entry '!V892+ROW()/10000000,"")</f>
        <v/>
      </c>
      <c r="L2392" s="21">
        <f>IF(K2392="","",COUNTIF($K$2:$K$3001,"&lt;"&amp;K2392)+1)</f>
        <v/>
      </c>
    </row>
    <row r="2393">
      <c r="A2393" s="5">
        <f>IF($J2393="","",IF($J2393&lt;=1500,INDEX('Daily Sale entry '!$X$1:$X$1501,$J2393+1),INDEX('Daily Sale entry '!$V$1:$V$1501,$J2393-1499)))</f>
        <v/>
      </c>
      <c r="B2393">
        <f>IF($J2393="","",IF($J2393&lt;=1500,INDEX('Daily Sale entry '!$Y$1:$Y$1501,$J2393+1)&amp;"","Buyer cheque banked 买家支票存入"&amp;IF(INDEX('Daily Sale entry '!$U$1:$U$1501,$J2393-1499)="","", " - "&amp;INDEX('Daily Sale entry '!$U$1:$U$1501,$J2393-1499))))</f>
        <v/>
      </c>
      <c r="C2393">
        <f>IF($J2393="","",IF($J2393&lt;=1500,INDEX('Daily Sale entry '!$Z$1:$Z$1501,$J2393+1)&amp;"","Cheque deposit 支票存入 (buyer 买家)"))</f>
        <v/>
      </c>
      <c r="D2393">
        <f>IF($J2393="","",IF($J2393&lt;=1500,INDEX('Daily Sale entry '!$AA$1:$AA$1501,$J2393+1)&amp;"",INDEX('Daily Sale entry '!$P$1:$P$1501,$J2393-1499)&amp;""))</f>
        <v/>
      </c>
      <c r="E2393">
        <f>IF($J2393="","",IF($J2393&lt;=1500,IF(N(INDEX('Daily Sale entry '!$AB$1:$AB$1501,$J2393+1))=0,"",INDEX('Daily Sale entry '!$AB$1:$AB$1501,$J2393+1)),1))</f>
        <v/>
      </c>
      <c r="F2393" s="6">
        <f>IF($J2393="","",IF($J2393&lt;=1500,N(INDEX('Daily Sale entry '!$AC$1:$AC$1501,$J2393+1))-IF(AND('Opening Balance'!$B$15=1,INDEX('Daily Sale entry '!$Z$1:$Z$1501,$J2393+1)="Online collection 网上收款",INDEX('Daily Sale entry '!$AA$1:$AA$1501,$J2393+1)&lt;&gt;""),N(INDEX('Daily Sale entry '!$AC$1:$AC$1501,$J2393+1))-TRUNC(N(INDEX('Daily Sale entry '!$AC$1:$AC$1501,$J2393+1))),0),N(INDEX('Daily Sale entry '!$S$1:$S$1501,$J2393-1499))-'Opening Balance'!$B$15*(N(INDEX('Daily Sale entry '!$S$1:$S$1501,$J2393-1499))-TRUNC(N(INDEX('Daily Sale entry '!$S$1:$S$1501,$J2393-1499))))))</f>
        <v/>
      </c>
      <c r="G2393" s="6">
        <f>IF($J2393="","",IF($J2393&lt;=1500,N(INDEX('Daily Sale entry '!$AD$1:$AD$1501,$J2393+1)),0))</f>
        <v/>
      </c>
      <c r="H2393" s="6">
        <f>IF($J2393="","",ROUND('Opening Balance'!$B$4+SUM($F$2:F2393)-SUM($G$2:G2393),2))</f>
        <v/>
      </c>
      <c r="J2393" s="21">
        <f>IFERROR(MATCH(ROW()-1,$L$2:$L$3001,0),"")</f>
        <v/>
      </c>
      <c r="K2393" s="34">
        <f>IF(AND('Daily Sale entry '!Q893="Collection 收款",'Daily Sale entry '!R893="Cheque 支票",'Daily Sale entry '!V893&lt;&gt;""),'Daily Sale entry '!V893+ROW()/10000000,"")</f>
        <v/>
      </c>
      <c r="L2393" s="21">
        <f>IF(K2393="","",COUNTIF($K$2:$K$3001,"&lt;"&amp;K2393)+1)</f>
        <v/>
      </c>
    </row>
    <row r="2394">
      <c r="A2394" s="5">
        <f>IF($J2394="","",IF($J2394&lt;=1500,INDEX('Daily Sale entry '!$X$1:$X$1501,$J2394+1),INDEX('Daily Sale entry '!$V$1:$V$1501,$J2394-1499)))</f>
        <v/>
      </c>
      <c r="B2394">
        <f>IF($J2394="","",IF($J2394&lt;=1500,INDEX('Daily Sale entry '!$Y$1:$Y$1501,$J2394+1)&amp;"","Buyer cheque banked 买家支票存入"&amp;IF(INDEX('Daily Sale entry '!$U$1:$U$1501,$J2394-1499)="","", " - "&amp;INDEX('Daily Sale entry '!$U$1:$U$1501,$J2394-1499))))</f>
        <v/>
      </c>
      <c r="C2394">
        <f>IF($J2394="","",IF($J2394&lt;=1500,INDEX('Daily Sale entry '!$Z$1:$Z$1501,$J2394+1)&amp;"","Cheque deposit 支票存入 (buyer 买家)"))</f>
        <v/>
      </c>
      <c r="D2394">
        <f>IF($J2394="","",IF($J2394&lt;=1500,INDEX('Daily Sale entry '!$AA$1:$AA$1501,$J2394+1)&amp;"",INDEX('Daily Sale entry '!$P$1:$P$1501,$J2394-1499)&amp;""))</f>
        <v/>
      </c>
      <c r="E2394">
        <f>IF($J2394="","",IF($J2394&lt;=1500,IF(N(INDEX('Daily Sale entry '!$AB$1:$AB$1501,$J2394+1))=0,"",INDEX('Daily Sale entry '!$AB$1:$AB$1501,$J2394+1)),1))</f>
        <v/>
      </c>
      <c r="F2394" s="6">
        <f>IF($J2394="","",IF($J2394&lt;=1500,N(INDEX('Daily Sale entry '!$AC$1:$AC$1501,$J2394+1))-IF(AND('Opening Balance'!$B$15=1,INDEX('Daily Sale entry '!$Z$1:$Z$1501,$J2394+1)="Online collection 网上收款",INDEX('Daily Sale entry '!$AA$1:$AA$1501,$J2394+1)&lt;&gt;""),N(INDEX('Daily Sale entry '!$AC$1:$AC$1501,$J2394+1))-TRUNC(N(INDEX('Daily Sale entry '!$AC$1:$AC$1501,$J2394+1))),0),N(INDEX('Daily Sale entry '!$S$1:$S$1501,$J2394-1499))-'Opening Balance'!$B$15*(N(INDEX('Daily Sale entry '!$S$1:$S$1501,$J2394-1499))-TRUNC(N(INDEX('Daily Sale entry '!$S$1:$S$1501,$J2394-1499))))))</f>
        <v/>
      </c>
      <c r="G2394" s="6">
        <f>IF($J2394="","",IF($J2394&lt;=1500,N(INDEX('Daily Sale entry '!$AD$1:$AD$1501,$J2394+1)),0))</f>
        <v/>
      </c>
      <c r="H2394" s="6">
        <f>IF($J2394="","",ROUND('Opening Balance'!$B$4+SUM($F$2:F2394)-SUM($G$2:G2394),2))</f>
        <v/>
      </c>
      <c r="J2394" s="21">
        <f>IFERROR(MATCH(ROW()-1,$L$2:$L$3001,0),"")</f>
        <v/>
      </c>
      <c r="K2394" s="34">
        <f>IF(AND('Daily Sale entry '!Q894="Collection 收款",'Daily Sale entry '!R894="Cheque 支票",'Daily Sale entry '!V894&lt;&gt;""),'Daily Sale entry '!V894+ROW()/10000000,"")</f>
        <v/>
      </c>
      <c r="L2394" s="21">
        <f>IF(K2394="","",COUNTIF($K$2:$K$3001,"&lt;"&amp;K2394)+1)</f>
        <v/>
      </c>
    </row>
    <row r="2395">
      <c r="A2395" s="5">
        <f>IF($J2395="","",IF($J2395&lt;=1500,INDEX('Daily Sale entry '!$X$1:$X$1501,$J2395+1),INDEX('Daily Sale entry '!$V$1:$V$1501,$J2395-1499)))</f>
        <v/>
      </c>
      <c r="B2395">
        <f>IF($J2395="","",IF($J2395&lt;=1500,INDEX('Daily Sale entry '!$Y$1:$Y$1501,$J2395+1)&amp;"","Buyer cheque banked 买家支票存入"&amp;IF(INDEX('Daily Sale entry '!$U$1:$U$1501,$J2395-1499)="","", " - "&amp;INDEX('Daily Sale entry '!$U$1:$U$1501,$J2395-1499))))</f>
        <v/>
      </c>
      <c r="C2395">
        <f>IF($J2395="","",IF($J2395&lt;=1500,INDEX('Daily Sale entry '!$Z$1:$Z$1501,$J2395+1)&amp;"","Cheque deposit 支票存入 (buyer 买家)"))</f>
        <v/>
      </c>
      <c r="D2395">
        <f>IF($J2395="","",IF($J2395&lt;=1500,INDEX('Daily Sale entry '!$AA$1:$AA$1501,$J2395+1)&amp;"",INDEX('Daily Sale entry '!$P$1:$P$1501,$J2395-1499)&amp;""))</f>
        <v/>
      </c>
      <c r="E2395">
        <f>IF($J2395="","",IF($J2395&lt;=1500,IF(N(INDEX('Daily Sale entry '!$AB$1:$AB$1501,$J2395+1))=0,"",INDEX('Daily Sale entry '!$AB$1:$AB$1501,$J2395+1)),1))</f>
        <v/>
      </c>
      <c r="F2395" s="6">
        <f>IF($J2395="","",IF($J2395&lt;=1500,N(INDEX('Daily Sale entry '!$AC$1:$AC$1501,$J2395+1))-IF(AND('Opening Balance'!$B$15=1,INDEX('Daily Sale entry '!$Z$1:$Z$1501,$J2395+1)="Online collection 网上收款",INDEX('Daily Sale entry '!$AA$1:$AA$1501,$J2395+1)&lt;&gt;""),N(INDEX('Daily Sale entry '!$AC$1:$AC$1501,$J2395+1))-TRUNC(N(INDEX('Daily Sale entry '!$AC$1:$AC$1501,$J2395+1))),0),N(INDEX('Daily Sale entry '!$S$1:$S$1501,$J2395-1499))-'Opening Balance'!$B$15*(N(INDEX('Daily Sale entry '!$S$1:$S$1501,$J2395-1499))-TRUNC(N(INDEX('Daily Sale entry '!$S$1:$S$1501,$J2395-1499))))))</f>
        <v/>
      </c>
      <c r="G2395" s="6">
        <f>IF($J2395="","",IF($J2395&lt;=1500,N(INDEX('Daily Sale entry '!$AD$1:$AD$1501,$J2395+1)),0))</f>
        <v/>
      </c>
      <c r="H2395" s="6">
        <f>IF($J2395="","",ROUND('Opening Balance'!$B$4+SUM($F$2:F2395)-SUM($G$2:G2395),2))</f>
        <v/>
      </c>
      <c r="J2395" s="21">
        <f>IFERROR(MATCH(ROW()-1,$L$2:$L$3001,0),"")</f>
        <v/>
      </c>
      <c r="K2395" s="34">
        <f>IF(AND('Daily Sale entry '!Q895="Collection 收款",'Daily Sale entry '!R895="Cheque 支票",'Daily Sale entry '!V895&lt;&gt;""),'Daily Sale entry '!V895+ROW()/10000000,"")</f>
        <v/>
      </c>
      <c r="L2395" s="21">
        <f>IF(K2395="","",COUNTIF($K$2:$K$3001,"&lt;"&amp;K2395)+1)</f>
        <v/>
      </c>
    </row>
    <row r="2396">
      <c r="A2396" s="5">
        <f>IF($J2396="","",IF($J2396&lt;=1500,INDEX('Daily Sale entry '!$X$1:$X$1501,$J2396+1),INDEX('Daily Sale entry '!$V$1:$V$1501,$J2396-1499)))</f>
        <v/>
      </c>
      <c r="B2396">
        <f>IF($J2396="","",IF($J2396&lt;=1500,INDEX('Daily Sale entry '!$Y$1:$Y$1501,$J2396+1)&amp;"","Buyer cheque banked 买家支票存入"&amp;IF(INDEX('Daily Sale entry '!$U$1:$U$1501,$J2396-1499)="","", " - "&amp;INDEX('Daily Sale entry '!$U$1:$U$1501,$J2396-1499))))</f>
        <v/>
      </c>
      <c r="C2396">
        <f>IF($J2396="","",IF($J2396&lt;=1500,INDEX('Daily Sale entry '!$Z$1:$Z$1501,$J2396+1)&amp;"","Cheque deposit 支票存入 (buyer 买家)"))</f>
        <v/>
      </c>
      <c r="D2396">
        <f>IF($J2396="","",IF($J2396&lt;=1500,INDEX('Daily Sale entry '!$AA$1:$AA$1501,$J2396+1)&amp;"",INDEX('Daily Sale entry '!$P$1:$P$1501,$J2396-1499)&amp;""))</f>
        <v/>
      </c>
      <c r="E2396">
        <f>IF($J2396="","",IF($J2396&lt;=1500,IF(N(INDEX('Daily Sale entry '!$AB$1:$AB$1501,$J2396+1))=0,"",INDEX('Daily Sale entry '!$AB$1:$AB$1501,$J2396+1)),1))</f>
        <v/>
      </c>
      <c r="F2396" s="6">
        <f>IF($J2396="","",IF($J2396&lt;=1500,N(INDEX('Daily Sale entry '!$AC$1:$AC$1501,$J2396+1))-IF(AND('Opening Balance'!$B$15=1,INDEX('Daily Sale entry '!$Z$1:$Z$1501,$J2396+1)="Online collection 网上收款",INDEX('Daily Sale entry '!$AA$1:$AA$1501,$J2396+1)&lt;&gt;""),N(INDEX('Daily Sale entry '!$AC$1:$AC$1501,$J2396+1))-TRUNC(N(INDEX('Daily Sale entry '!$AC$1:$AC$1501,$J2396+1))),0),N(INDEX('Daily Sale entry '!$S$1:$S$1501,$J2396-1499))-'Opening Balance'!$B$15*(N(INDEX('Daily Sale entry '!$S$1:$S$1501,$J2396-1499))-TRUNC(N(INDEX('Daily Sale entry '!$S$1:$S$1501,$J2396-1499))))))</f>
        <v/>
      </c>
      <c r="G2396" s="6">
        <f>IF($J2396="","",IF($J2396&lt;=1500,N(INDEX('Daily Sale entry '!$AD$1:$AD$1501,$J2396+1)),0))</f>
        <v/>
      </c>
      <c r="H2396" s="6">
        <f>IF($J2396="","",ROUND('Opening Balance'!$B$4+SUM($F$2:F2396)-SUM($G$2:G2396),2))</f>
        <v/>
      </c>
      <c r="J2396" s="21">
        <f>IFERROR(MATCH(ROW()-1,$L$2:$L$3001,0),"")</f>
        <v/>
      </c>
      <c r="K2396" s="34">
        <f>IF(AND('Daily Sale entry '!Q896="Collection 收款",'Daily Sale entry '!R896="Cheque 支票",'Daily Sale entry '!V896&lt;&gt;""),'Daily Sale entry '!V896+ROW()/10000000,"")</f>
        <v/>
      </c>
      <c r="L2396" s="21">
        <f>IF(K2396="","",COUNTIF($K$2:$K$3001,"&lt;"&amp;K2396)+1)</f>
        <v/>
      </c>
    </row>
    <row r="2397">
      <c r="A2397" s="5">
        <f>IF($J2397="","",IF($J2397&lt;=1500,INDEX('Daily Sale entry '!$X$1:$X$1501,$J2397+1),INDEX('Daily Sale entry '!$V$1:$V$1501,$J2397-1499)))</f>
        <v/>
      </c>
      <c r="B2397">
        <f>IF($J2397="","",IF($J2397&lt;=1500,INDEX('Daily Sale entry '!$Y$1:$Y$1501,$J2397+1)&amp;"","Buyer cheque banked 买家支票存入"&amp;IF(INDEX('Daily Sale entry '!$U$1:$U$1501,$J2397-1499)="","", " - "&amp;INDEX('Daily Sale entry '!$U$1:$U$1501,$J2397-1499))))</f>
        <v/>
      </c>
      <c r="C2397">
        <f>IF($J2397="","",IF($J2397&lt;=1500,INDEX('Daily Sale entry '!$Z$1:$Z$1501,$J2397+1)&amp;"","Cheque deposit 支票存入 (buyer 买家)"))</f>
        <v/>
      </c>
      <c r="D2397">
        <f>IF($J2397="","",IF($J2397&lt;=1500,INDEX('Daily Sale entry '!$AA$1:$AA$1501,$J2397+1)&amp;"",INDEX('Daily Sale entry '!$P$1:$P$1501,$J2397-1499)&amp;""))</f>
        <v/>
      </c>
      <c r="E2397">
        <f>IF($J2397="","",IF($J2397&lt;=1500,IF(N(INDEX('Daily Sale entry '!$AB$1:$AB$1501,$J2397+1))=0,"",INDEX('Daily Sale entry '!$AB$1:$AB$1501,$J2397+1)),1))</f>
        <v/>
      </c>
      <c r="F2397" s="6">
        <f>IF($J2397="","",IF($J2397&lt;=1500,N(INDEX('Daily Sale entry '!$AC$1:$AC$1501,$J2397+1))-IF(AND('Opening Balance'!$B$15=1,INDEX('Daily Sale entry '!$Z$1:$Z$1501,$J2397+1)="Online collection 网上收款",INDEX('Daily Sale entry '!$AA$1:$AA$1501,$J2397+1)&lt;&gt;""),N(INDEX('Daily Sale entry '!$AC$1:$AC$1501,$J2397+1))-TRUNC(N(INDEX('Daily Sale entry '!$AC$1:$AC$1501,$J2397+1))),0),N(INDEX('Daily Sale entry '!$S$1:$S$1501,$J2397-1499))-'Opening Balance'!$B$15*(N(INDEX('Daily Sale entry '!$S$1:$S$1501,$J2397-1499))-TRUNC(N(INDEX('Daily Sale entry '!$S$1:$S$1501,$J2397-1499))))))</f>
        <v/>
      </c>
      <c r="G2397" s="6">
        <f>IF($J2397="","",IF($J2397&lt;=1500,N(INDEX('Daily Sale entry '!$AD$1:$AD$1501,$J2397+1)),0))</f>
        <v/>
      </c>
      <c r="H2397" s="6">
        <f>IF($J2397="","",ROUND('Opening Balance'!$B$4+SUM($F$2:F2397)-SUM($G$2:G2397),2))</f>
        <v/>
      </c>
      <c r="J2397" s="21">
        <f>IFERROR(MATCH(ROW()-1,$L$2:$L$3001,0),"")</f>
        <v/>
      </c>
      <c r="K2397" s="34">
        <f>IF(AND('Daily Sale entry '!Q897="Collection 收款",'Daily Sale entry '!R897="Cheque 支票",'Daily Sale entry '!V897&lt;&gt;""),'Daily Sale entry '!V897+ROW()/10000000,"")</f>
        <v/>
      </c>
      <c r="L2397" s="21">
        <f>IF(K2397="","",COUNTIF($K$2:$K$3001,"&lt;"&amp;K2397)+1)</f>
        <v/>
      </c>
    </row>
    <row r="2398">
      <c r="A2398" s="5">
        <f>IF($J2398="","",IF($J2398&lt;=1500,INDEX('Daily Sale entry '!$X$1:$X$1501,$J2398+1),INDEX('Daily Sale entry '!$V$1:$V$1501,$J2398-1499)))</f>
        <v/>
      </c>
      <c r="B2398">
        <f>IF($J2398="","",IF($J2398&lt;=1500,INDEX('Daily Sale entry '!$Y$1:$Y$1501,$J2398+1)&amp;"","Buyer cheque banked 买家支票存入"&amp;IF(INDEX('Daily Sale entry '!$U$1:$U$1501,$J2398-1499)="","", " - "&amp;INDEX('Daily Sale entry '!$U$1:$U$1501,$J2398-1499))))</f>
        <v/>
      </c>
      <c r="C2398">
        <f>IF($J2398="","",IF($J2398&lt;=1500,INDEX('Daily Sale entry '!$Z$1:$Z$1501,$J2398+1)&amp;"","Cheque deposit 支票存入 (buyer 买家)"))</f>
        <v/>
      </c>
      <c r="D2398">
        <f>IF($J2398="","",IF($J2398&lt;=1500,INDEX('Daily Sale entry '!$AA$1:$AA$1501,$J2398+1)&amp;"",INDEX('Daily Sale entry '!$P$1:$P$1501,$J2398-1499)&amp;""))</f>
        <v/>
      </c>
      <c r="E2398">
        <f>IF($J2398="","",IF($J2398&lt;=1500,IF(N(INDEX('Daily Sale entry '!$AB$1:$AB$1501,$J2398+1))=0,"",INDEX('Daily Sale entry '!$AB$1:$AB$1501,$J2398+1)),1))</f>
        <v/>
      </c>
      <c r="F2398" s="6">
        <f>IF($J2398="","",IF($J2398&lt;=1500,N(INDEX('Daily Sale entry '!$AC$1:$AC$1501,$J2398+1))-IF(AND('Opening Balance'!$B$15=1,INDEX('Daily Sale entry '!$Z$1:$Z$1501,$J2398+1)="Online collection 网上收款",INDEX('Daily Sale entry '!$AA$1:$AA$1501,$J2398+1)&lt;&gt;""),N(INDEX('Daily Sale entry '!$AC$1:$AC$1501,$J2398+1))-TRUNC(N(INDEX('Daily Sale entry '!$AC$1:$AC$1501,$J2398+1))),0),N(INDEX('Daily Sale entry '!$S$1:$S$1501,$J2398-1499))-'Opening Balance'!$B$15*(N(INDEX('Daily Sale entry '!$S$1:$S$1501,$J2398-1499))-TRUNC(N(INDEX('Daily Sale entry '!$S$1:$S$1501,$J2398-1499))))))</f>
        <v/>
      </c>
      <c r="G2398" s="6">
        <f>IF($J2398="","",IF($J2398&lt;=1500,N(INDEX('Daily Sale entry '!$AD$1:$AD$1501,$J2398+1)),0))</f>
        <v/>
      </c>
      <c r="H2398" s="6">
        <f>IF($J2398="","",ROUND('Opening Balance'!$B$4+SUM($F$2:F2398)-SUM($G$2:G2398),2))</f>
        <v/>
      </c>
      <c r="J2398" s="21">
        <f>IFERROR(MATCH(ROW()-1,$L$2:$L$3001,0),"")</f>
        <v/>
      </c>
      <c r="K2398" s="34">
        <f>IF(AND('Daily Sale entry '!Q898="Collection 收款",'Daily Sale entry '!R898="Cheque 支票",'Daily Sale entry '!V898&lt;&gt;""),'Daily Sale entry '!V898+ROW()/10000000,"")</f>
        <v/>
      </c>
      <c r="L2398" s="21">
        <f>IF(K2398="","",COUNTIF($K$2:$K$3001,"&lt;"&amp;K2398)+1)</f>
        <v/>
      </c>
    </row>
    <row r="2399">
      <c r="A2399" s="5">
        <f>IF($J2399="","",IF($J2399&lt;=1500,INDEX('Daily Sale entry '!$X$1:$X$1501,$J2399+1),INDEX('Daily Sale entry '!$V$1:$V$1501,$J2399-1499)))</f>
        <v/>
      </c>
      <c r="B2399">
        <f>IF($J2399="","",IF($J2399&lt;=1500,INDEX('Daily Sale entry '!$Y$1:$Y$1501,$J2399+1)&amp;"","Buyer cheque banked 买家支票存入"&amp;IF(INDEX('Daily Sale entry '!$U$1:$U$1501,$J2399-1499)="","", " - "&amp;INDEX('Daily Sale entry '!$U$1:$U$1501,$J2399-1499))))</f>
        <v/>
      </c>
      <c r="C2399">
        <f>IF($J2399="","",IF($J2399&lt;=1500,INDEX('Daily Sale entry '!$Z$1:$Z$1501,$J2399+1)&amp;"","Cheque deposit 支票存入 (buyer 买家)"))</f>
        <v/>
      </c>
      <c r="D2399">
        <f>IF($J2399="","",IF($J2399&lt;=1500,INDEX('Daily Sale entry '!$AA$1:$AA$1501,$J2399+1)&amp;"",INDEX('Daily Sale entry '!$P$1:$P$1501,$J2399-1499)&amp;""))</f>
        <v/>
      </c>
      <c r="E2399">
        <f>IF($J2399="","",IF($J2399&lt;=1500,IF(N(INDEX('Daily Sale entry '!$AB$1:$AB$1501,$J2399+1))=0,"",INDEX('Daily Sale entry '!$AB$1:$AB$1501,$J2399+1)),1))</f>
        <v/>
      </c>
      <c r="F2399" s="6">
        <f>IF($J2399="","",IF($J2399&lt;=1500,N(INDEX('Daily Sale entry '!$AC$1:$AC$1501,$J2399+1))-IF(AND('Opening Balance'!$B$15=1,INDEX('Daily Sale entry '!$Z$1:$Z$1501,$J2399+1)="Online collection 网上收款",INDEX('Daily Sale entry '!$AA$1:$AA$1501,$J2399+1)&lt;&gt;""),N(INDEX('Daily Sale entry '!$AC$1:$AC$1501,$J2399+1))-TRUNC(N(INDEX('Daily Sale entry '!$AC$1:$AC$1501,$J2399+1))),0),N(INDEX('Daily Sale entry '!$S$1:$S$1501,$J2399-1499))-'Opening Balance'!$B$15*(N(INDEX('Daily Sale entry '!$S$1:$S$1501,$J2399-1499))-TRUNC(N(INDEX('Daily Sale entry '!$S$1:$S$1501,$J2399-1499))))))</f>
        <v/>
      </c>
      <c r="G2399" s="6">
        <f>IF($J2399="","",IF($J2399&lt;=1500,N(INDEX('Daily Sale entry '!$AD$1:$AD$1501,$J2399+1)),0))</f>
        <v/>
      </c>
      <c r="H2399" s="6">
        <f>IF($J2399="","",ROUND('Opening Balance'!$B$4+SUM($F$2:F2399)-SUM($G$2:G2399),2))</f>
        <v/>
      </c>
      <c r="J2399" s="21">
        <f>IFERROR(MATCH(ROW()-1,$L$2:$L$3001,0),"")</f>
        <v/>
      </c>
      <c r="K2399" s="34">
        <f>IF(AND('Daily Sale entry '!Q899="Collection 收款",'Daily Sale entry '!R899="Cheque 支票",'Daily Sale entry '!V899&lt;&gt;""),'Daily Sale entry '!V899+ROW()/10000000,"")</f>
        <v/>
      </c>
      <c r="L2399" s="21">
        <f>IF(K2399="","",COUNTIF($K$2:$K$3001,"&lt;"&amp;K2399)+1)</f>
        <v/>
      </c>
    </row>
    <row r="2400">
      <c r="A2400" s="5">
        <f>IF($J2400="","",IF($J2400&lt;=1500,INDEX('Daily Sale entry '!$X$1:$X$1501,$J2400+1),INDEX('Daily Sale entry '!$V$1:$V$1501,$J2400-1499)))</f>
        <v/>
      </c>
      <c r="B2400">
        <f>IF($J2400="","",IF($J2400&lt;=1500,INDEX('Daily Sale entry '!$Y$1:$Y$1501,$J2400+1)&amp;"","Buyer cheque banked 买家支票存入"&amp;IF(INDEX('Daily Sale entry '!$U$1:$U$1501,$J2400-1499)="","", " - "&amp;INDEX('Daily Sale entry '!$U$1:$U$1501,$J2400-1499))))</f>
        <v/>
      </c>
      <c r="C2400">
        <f>IF($J2400="","",IF($J2400&lt;=1500,INDEX('Daily Sale entry '!$Z$1:$Z$1501,$J2400+1)&amp;"","Cheque deposit 支票存入 (buyer 买家)"))</f>
        <v/>
      </c>
      <c r="D2400">
        <f>IF($J2400="","",IF($J2400&lt;=1500,INDEX('Daily Sale entry '!$AA$1:$AA$1501,$J2400+1)&amp;"",INDEX('Daily Sale entry '!$P$1:$P$1501,$J2400-1499)&amp;""))</f>
        <v/>
      </c>
      <c r="E2400">
        <f>IF($J2400="","",IF($J2400&lt;=1500,IF(N(INDEX('Daily Sale entry '!$AB$1:$AB$1501,$J2400+1))=0,"",INDEX('Daily Sale entry '!$AB$1:$AB$1501,$J2400+1)),1))</f>
        <v/>
      </c>
      <c r="F2400" s="6">
        <f>IF($J2400="","",IF($J2400&lt;=1500,N(INDEX('Daily Sale entry '!$AC$1:$AC$1501,$J2400+1))-IF(AND('Opening Balance'!$B$15=1,INDEX('Daily Sale entry '!$Z$1:$Z$1501,$J2400+1)="Online collection 网上收款",INDEX('Daily Sale entry '!$AA$1:$AA$1501,$J2400+1)&lt;&gt;""),N(INDEX('Daily Sale entry '!$AC$1:$AC$1501,$J2400+1))-TRUNC(N(INDEX('Daily Sale entry '!$AC$1:$AC$1501,$J2400+1))),0),N(INDEX('Daily Sale entry '!$S$1:$S$1501,$J2400-1499))-'Opening Balance'!$B$15*(N(INDEX('Daily Sale entry '!$S$1:$S$1501,$J2400-1499))-TRUNC(N(INDEX('Daily Sale entry '!$S$1:$S$1501,$J2400-1499))))))</f>
        <v/>
      </c>
      <c r="G2400" s="6">
        <f>IF($J2400="","",IF($J2400&lt;=1500,N(INDEX('Daily Sale entry '!$AD$1:$AD$1501,$J2400+1)),0))</f>
        <v/>
      </c>
      <c r="H2400" s="6">
        <f>IF($J2400="","",ROUND('Opening Balance'!$B$4+SUM($F$2:F2400)-SUM($G$2:G2400),2))</f>
        <v/>
      </c>
      <c r="J2400" s="21">
        <f>IFERROR(MATCH(ROW()-1,$L$2:$L$3001,0),"")</f>
        <v/>
      </c>
      <c r="K2400" s="34">
        <f>IF(AND('Daily Sale entry '!Q900="Collection 收款",'Daily Sale entry '!R900="Cheque 支票",'Daily Sale entry '!V900&lt;&gt;""),'Daily Sale entry '!V900+ROW()/10000000,"")</f>
        <v/>
      </c>
      <c r="L2400" s="21">
        <f>IF(K2400="","",COUNTIF($K$2:$K$3001,"&lt;"&amp;K2400)+1)</f>
        <v/>
      </c>
    </row>
    <row r="2401">
      <c r="A2401" s="5">
        <f>IF($J2401="","",IF($J2401&lt;=1500,INDEX('Daily Sale entry '!$X$1:$X$1501,$J2401+1),INDEX('Daily Sale entry '!$V$1:$V$1501,$J2401-1499)))</f>
        <v/>
      </c>
      <c r="B2401">
        <f>IF($J2401="","",IF($J2401&lt;=1500,INDEX('Daily Sale entry '!$Y$1:$Y$1501,$J2401+1)&amp;"","Buyer cheque banked 买家支票存入"&amp;IF(INDEX('Daily Sale entry '!$U$1:$U$1501,$J2401-1499)="","", " - "&amp;INDEX('Daily Sale entry '!$U$1:$U$1501,$J2401-1499))))</f>
        <v/>
      </c>
      <c r="C2401">
        <f>IF($J2401="","",IF($J2401&lt;=1500,INDEX('Daily Sale entry '!$Z$1:$Z$1501,$J2401+1)&amp;"","Cheque deposit 支票存入 (buyer 买家)"))</f>
        <v/>
      </c>
      <c r="D2401">
        <f>IF($J2401="","",IF($J2401&lt;=1500,INDEX('Daily Sale entry '!$AA$1:$AA$1501,$J2401+1)&amp;"",INDEX('Daily Sale entry '!$P$1:$P$1501,$J2401-1499)&amp;""))</f>
        <v/>
      </c>
      <c r="E2401">
        <f>IF($J2401="","",IF($J2401&lt;=1500,IF(N(INDEX('Daily Sale entry '!$AB$1:$AB$1501,$J2401+1))=0,"",INDEX('Daily Sale entry '!$AB$1:$AB$1501,$J2401+1)),1))</f>
        <v/>
      </c>
      <c r="F2401" s="6">
        <f>IF($J2401="","",IF($J2401&lt;=1500,N(INDEX('Daily Sale entry '!$AC$1:$AC$1501,$J2401+1))-IF(AND('Opening Balance'!$B$15=1,INDEX('Daily Sale entry '!$Z$1:$Z$1501,$J2401+1)="Online collection 网上收款",INDEX('Daily Sale entry '!$AA$1:$AA$1501,$J2401+1)&lt;&gt;""),N(INDEX('Daily Sale entry '!$AC$1:$AC$1501,$J2401+1))-TRUNC(N(INDEX('Daily Sale entry '!$AC$1:$AC$1501,$J2401+1))),0),N(INDEX('Daily Sale entry '!$S$1:$S$1501,$J2401-1499))-'Opening Balance'!$B$15*(N(INDEX('Daily Sale entry '!$S$1:$S$1501,$J2401-1499))-TRUNC(N(INDEX('Daily Sale entry '!$S$1:$S$1501,$J2401-1499))))))</f>
        <v/>
      </c>
      <c r="G2401" s="6">
        <f>IF($J2401="","",IF($J2401&lt;=1500,N(INDEX('Daily Sale entry '!$AD$1:$AD$1501,$J2401+1)),0))</f>
        <v/>
      </c>
      <c r="H2401" s="6">
        <f>IF($J2401="","",ROUND('Opening Balance'!$B$4+SUM($F$2:F2401)-SUM($G$2:G2401),2))</f>
        <v/>
      </c>
      <c r="J2401" s="21">
        <f>IFERROR(MATCH(ROW()-1,$L$2:$L$3001,0),"")</f>
        <v/>
      </c>
      <c r="K2401" s="34">
        <f>IF(AND('Daily Sale entry '!Q901="Collection 收款",'Daily Sale entry '!R901="Cheque 支票",'Daily Sale entry '!V901&lt;&gt;""),'Daily Sale entry '!V901+ROW()/10000000,"")</f>
        <v/>
      </c>
      <c r="L2401" s="21">
        <f>IF(K2401="","",COUNTIF($K$2:$K$3001,"&lt;"&amp;K2401)+1)</f>
        <v/>
      </c>
    </row>
    <row r="2402">
      <c r="A2402" s="5">
        <f>IF($J2402="","",IF($J2402&lt;=1500,INDEX('Daily Sale entry '!$X$1:$X$1501,$J2402+1),INDEX('Daily Sale entry '!$V$1:$V$1501,$J2402-1499)))</f>
        <v/>
      </c>
      <c r="B2402">
        <f>IF($J2402="","",IF($J2402&lt;=1500,INDEX('Daily Sale entry '!$Y$1:$Y$1501,$J2402+1)&amp;"","Buyer cheque banked 买家支票存入"&amp;IF(INDEX('Daily Sale entry '!$U$1:$U$1501,$J2402-1499)="","", " - "&amp;INDEX('Daily Sale entry '!$U$1:$U$1501,$J2402-1499))))</f>
        <v/>
      </c>
      <c r="C2402">
        <f>IF($J2402="","",IF($J2402&lt;=1500,INDEX('Daily Sale entry '!$Z$1:$Z$1501,$J2402+1)&amp;"","Cheque deposit 支票存入 (buyer 买家)"))</f>
        <v/>
      </c>
      <c r="D2402">
        <f>IF($J2402="","",IF($J2402&lt;=1500,INDEX('Daily Sale entry '!$AA$1:$AA$1501,$J2402+1)&amp;"",INDEX('Daily Sale entry '!$P$1:$P$1501,$J2402-1499)&amp;""))</f>
        <v/>
      </c>
      <c r="E2402">
        <f>IF($J2402="","",IF($J2402&lt;=1500,IF(N(INDEX('Daily Sale entry '!$AB$1:$AB$1501,$J2402+1))=0,"",INDEX('Daily Sale entry '!$AB$1:$AB$1501,$J2402+1)),1))</f>
        <v/>
      </c>
      <c r="F2402" s="6">
        <f>IF($J2402="","",IF($J2402&lt;=1500,N(INDEX('Daily Sale entry '!$AC$1:$AC$1501,$J2402+1))-IF(AND('Opening Balance'!$B$15=1,INDEX('Daily Sale entry '!$Z$1:$Z$1501,$J2402+1)="Online collection 网上收款",INDEX('Daily Sale entry '!$AA$1:$AA$1501,$J2402+1)&lt;&gt;""),N(INDEX('Daily Sale entry '!$AC$1:$AC$1501,$J2402+1))-TRUNC(N(INDEX('Daily Sale entry '!$AC$1:$AC$1501,$J2402+1))),0),N(INDEX('Daily Sale entry '!$S$1:$S$1501,$J2402-1499))-'Opening Balance'!$B$15*(N(INDEX('Daily Sale entry '!$S$1:$S$1501,$J2402-1499))-TRUNC(N(INDEX('Daily Sale entry '!$S$1:$S$1501,$J2402-1499))))))</f>
        <v/>
      </c>
      <c r="G2402" s="6">
        <f>IF($J2402="","",IF($J2402&lt;=1500,N(INDEX('Daily Sale entry '!$AD$1:$AD$1501,$J2402+1)),0))</f>
        <v/>
      </c>
      <c r="H2402" s="6">
        <f>IF($J2402="","",ROUND('Opening Balance'!$B$4+SUM($F$2:F2402)-SUM($G$2:G2402),2))</f>
        <v/>
      </c>
      <c r="J2402" s="21">
        <f>IFERROR(MATCH(ROW()-1,$L$2:$L$3001,0),"")</f>
        <v/>
      </c>
      <c r="K2402" s="34">
        <f>IF(AND('Daily Sale entry '!Q902="Collection 收款",'Daily Sale entry '!R902="Cheque 支票",'Daily Sale entry '!V902&lt;&gt;""),'Daily Sale entry '!V902+ROW()/10000000,"")</f>
        <v/>
      </c>
      <c r="L2402" s="21">
        <f>IF(K2402="","",COUNTIF($K$2:$K$3001,"&lt;"&amp;K2402)+1)</f>
        <v/>
      </c>
    </row>
    <row r="2403">
      <c r="A2403" s="5">
        <f>IF($J2403="","",IF($J2403&lt;=1500,INDEX('Daily Sale entry '!$X$1:$X$1501,$J2403+1),INDEX('Daily Sale entry '!$V$1:$V$1501,$J2403-1499)))</f>
        <v/>
      </c>
      <c r="B2403">
        <f>IF($J2403="","",IF($J2403&lt;=1500,INDEX('Daily Sale entry '!$Y$1:$Y$1501,$J2403+1)&amp;"","Buyer cheque banked 买家支票存入"&amp;IF(INDEX('Daily Sale entry '!$U$1:$U$1501,$J2403-1499)="","", " - "&amp;INDEX('Daily Sale entry '!$U$1:$U$1501,$J2403-1499))))</f>
        <v/>
      </c>
      <c r="C2403">
        <f>IF($J2403="","",IF($J2403&lt;=1500,INDEX('Daily Sale entry '!$Z$1:$Z$1501,$J2403+1)&amp;"","Cheque deposit 支票存入 (buyer 买家)"))</f>
        <v/>
      </c>
      <c r="D2403">
        <f>IF($J2403="","",IF($J2403&lt;=1500,INDEX('Daily Sale entry '!$AA$1:$AA$1501,$J2403+1)&amp;"",INDEX('Daily Sale entry '!$P$1:$P$1501,$J2403-1499)&amp;""))</f>
        <v/>
      </c>
      <c r="E2403">
        <f>IF($J2403="","",IF($J2403&lt;=1500,IF(N(INDEX('Daily Sale entry '!$AB$1:$AB$1501,$J2403+1))=0,"",INDEX('Daily Sale entry '!$AB$1:$AB$1501,$J2403+1)),1))</f>
        <v/>
      </c>
      <c r="F2403" s="6">
        <f>IF($J2403="","",IF($J2403&lt;=1500,N(INDEX('Daily Sale entry '!$AC$1:$AC$1501,$J2403+1))-IF(AND('Opening Balance'!$B$15=1,INDEX('Daily Sale entry '!$Z$1:$Z$1501,$J2403+1)="Online collection 网上收款",INDEX('Daily Sale entry '!$AA$1:$AA$1501,$J2403+1)&lt;&gt;""),N(INDEX('Daily Sale entry '!$AC$1:$AC$1501,$J2403+1))-TRUNC(N(INDEX('Daily Sale entry '!$AC$1:$AC$1501,$J2403+1))),0),N(INDEX('Daily Sale entry '!$S$1:$S$1501,$J2403-1499))-'Opening Balance'!$B$15*(N(INDEX('Daily Sale entry '!$S$1:$S$1501,$J2403-1499))-TRUNC(N(INDEX('Daily Sale entry '!$S$1:$S$1501,$J2403-1499))))))</f>
        <v/>
      </c>
      <c r="G2403" s="6">
        <f>IF($J2403="","",IF($J2403&lt;=1500,N(INDEX('Daily Sale entry '!$AD$1:$AD$1501,$J2403+1)),0))</f>
        <v/>
      </c>
      <c r="H2403" s="6">
        <f>IF($J2403="","",ROUND('Opening Balance'!$B$4+SUM($F$2:F2403)-SUM($G$2:G2403),2))</f>
        <v/>
      </c>
      <c r="J2403" s="21">
        <f>IFERROR(MATCH(ROW()-1,$L$2:$L$3001,0),"")</f>
        <v/>
      </c>
      <c r="K2403" s="34">
        <f>IF(AND('Daily Sale entry '!Q903="Collection 收款",'Daily Sale entry '!R903="Cheque 支票",'Daily Sale entry '!V903&lt;&gt;""),'Daily Sale entry '!V903+ROW()/10000000,"")</f>
        <v/>
      </c>
      <c r="L2403" s="21">
        <f>IF(K2403="","",COUNTIF($K$2:$K$3001,"&lt;"&amp;K2403)+1)</f>
        <v/>
      </c>
    </row>
    <row r="2404">
      <c r="A2404" s="5">
        <f>IF($J2404="","",IF($J2404&lt;=1500,INDEX('Daily Sale entry '!$X$1:$X$1501,$J2404+1),INDEX('Daily Sale entry '!$V$1:$V$1501,$J2404-1499)))</f>
        <v/>
      </c>
      <c r="B2404">
        <f>IF($J2404="","",IF($J2404&lt;=1500,INDEX('Daily Sale entry '!$Y$1:$Y$1501,$J2404+1)&amp;"","Buyer cheque banked 买家支票存入"&amp;IF(INDEX('Daily Sale entry '!$U$1:$U$1501,$J2404-1499)="","", " - "&amp;INDEX('Daily Sale entry '!$U$1:$U$1501,$J2404-1499))))</f>
        <v/>
      </c>
      <c r="C2404">
        <f>IF($J2404="","",IF($J2404&lt;=1500,INDEX('Daily Sale entry '!$Z$1:$Z$1501,$J2404+1)&amp;"","Cheque deposit 支票存入 (buyer 买家)"))</f>
        <v/>
      </c>
      <c r="D2404">
        <f>IF($J2404="","",IF($J2404&lt;=1500,INDEX('Daily Sale entry '!$AA$1:$AA$1501,$J2404+1)&amp;"",INDEX('Daily Sale entry '!$P$1:$P$1501,$J2404-1499)&amp;""))</f>
        <v/>
      </c>
      <c r="E2404">
        <f>IF($J2404="","",IF($J2404&lt;=1500,IF(N(INDEX('Daily Sale entry '!$AB$1:$AB$1501,$J2404+1))=0,"",INDEX('Daily Sale entry '!$AB$1:$AB$1501,$J2404+1)),1))</f>
        <v/>
      </c>
      <c r="F2404" s="6">
        <f>IF($J2404="","",IF($J2404&lt;=1500,N(INDEX('Daily Sale entry '!$AC$1:$AC$1501,$J2404+1))-IF(AND('Opening Balance'!$B$15=1,INDEX('Daily Sale entry '!$Z$1:$Z$1501,$J2404+1)="Online collection 网上收款",INDEX('Daily Sale entry '!$AA$1:$AA$1501,$J2404+1)&lt;&gt;""),N(INDEX('Daily Sale entry '!$AC$1:$AC$1501,$J2404+1))-TRUNC(N(INDEX('Daily Sale entry '!$AC$1:$AC$1501,$J2404+1))),0),N(INDEX('Daily Sale entry '!$S$1:$S$1501,$J2404-1499))-'Opening Balance'!$B$15*(N(INDEX('Daily Sale entry '!$S$1:$S$1501,$J2404-1499))-TRUNC(N(INDEX('Daily Sale entry '!$S$1:$S$1501,$J2404-1499))))))</f>
        <v/>
      </c>
      <c r="G2404" s="6">
        <f>IF($J2404="","",IF($J2404&lt;=1500,N(INDEX('Daily Sale entry '!$AD$1:$AD$1501,$J2404+1)),0))</f>
        <v/>
      </c>
      <c r="H2404" s="6">
        <f>IF($J2404="","",ROUND('Opening Balance'!$B$4+SUM($F$2:F2404)-SUM($G$2:G2404),2))</f>
        <v/>
      </c>
      <c r="J2404" s="21">
        <f>IFERROR(MATCH(ROW()-1,$L$2:$L$3001,0),"")</f>
        <v/>
      </c>
      <c r="K2404" s="34">
        <f>IF(AND('Daily Sale entry '!Q904="Collection 收款",'Daily Sale entry '!R904="Cheque 支票",'Daily Sale entry '!V904&lt;&gt;""),'Daily Sale entry '!V904+ROW()/10000000,"")</f>
        <v/>
      </c>
      <c r="L2404" s="21">
        <f>IF(K2404="","",COUNTIF($K$2:$K$3001,"&lt;"&amp;K2404)+1)</f>
        <v/>
      </c>
    </row>
    <row r="2405">
      <c r="A2405" s="5">
        <f>IF($J2405="","",IF($J2405&lt;=1500,INDEX('Daily Sale entry '!$X$1:$X$1501,$J2405+1),INDEX('Daily Sale entry '!$V$1:$V$1501,$J2405-1499)))</f>
        <v/>
      </c>
      <c r="B2405">
        <f>IF($J2405="","",IF($J2405&lt;=1500,INDEX('Daily Sale entry '!$Y$1:$Y$1501,$J2405+1)&amp;"","Buyer cheque banked 买家支票存入"&amp;IF(INDEX('Daily Sale entry '!$U$1:$U$1501,$J2405-1499)="","", " - "&amp;INDEX('Daily Sale entry '!$U$1:$U$1501,$J2405-1499))))</f>
        <v/>
      </c>
      <c r="C2405">
        <f>IF($J2405="","",IF($J2405&lt;=1500,INDEX('Daily Sale entry '!$Z$1:$Z$1501,$J2405+1)&amp;"","Cheque deposit 支票存入 (buyer 买家)"))</f>
        <v/>
      </c>
      <c r="D2405">
        <f>IF($J2405="","",IF($J2405&lt;=1500,INDEX('Daily Sale entry '!$AA$1:$AA$1501,$J2405+1)&amp;"",INDEX('Daily Sale entry '!$P$1:$P$1501,$J2405-1499)&amp;""))</f>
        <v/>
      </c>
      <c r="E2405">
        <f>IF($J2405="","",IF($J2405&lt;=1500,IF(N(INDEX('Daily Sale entry '!$AB$1:$AB$1501,$J2405+1))=0,"",INDEX('Daily Sale entry '!$AB$1:$AB$1501,$J2405+1)),1))</f>
        <v/>
      </c>
      <c r="F2405" s="6">
        <f>IF($J2405="","",IF($J2405&lt;=1500,N(INDEX('Daily Sale entry '!$AC$1:$AC$1501,$J2405+1))-IF(AND('Opening Balance'!$B$15=1,INDEX('Daily Sale entry '!$Z$1:$Z$1501,$J2405+1)="Online collection 网上收款",INDEX('Daily Sale entry '!$AA$1:$AA$1501,$J2405+1)&lt;&gt;""),N(INDEX('Daily Sale entry '!$AC$1:$AC$1501,$J2405+1))-TRUNC(N(INDEX('Daily Sale entry '!$AC$1:$AC$1501,$J2405+1))),0),N(INDEX('Daily Sale entry '!$S$1:$S$1501,$J2405-1499))-'Opening Balance'!$B$15*(N(INDEX('Daily Sale entry '!$S$1:$S$1501,$J2405-1499))-TRUNC(N(INDEX('Daily Sale entry '!$S$1:$S$1501,$J2405-1499))))))</f>
        <v/>
      </c>
      <c r="G2405" s="6">
        <f>IF($J2405="","",IF($J2405&lt;=1500,N(INDEX('Daily Sale entry '!$AD$1:$AD$1501,$J2405+1)),0))</f>
        <v/>
      </c>
      <c r="H2405" s="6">
        <f>IF($J2405="","",ROUND('Opening Balance'!$B$4+SUM($F$2:F2405)-SUM($G$2:G2405),2))</f>
        <v/>
      </c>
      <c r="J2405" s="21">
        <f>IFERROR(MATCH(ROW()-1,$L$2:$L$3001,0),"")</f>
        <v/>
      </c>
      <c r="K2405" s="34">
        <f>IF(AND('Daily Sale entry '!Q905="Collection 收款",'Daily Sale entry '!R905="Cheque 支票",'Daily Sale entry '!V905&lt;&gt;""),'Daily Sale entry '!V905+ROW()/10000000,"")</f>
        <v/>
      </c>
      <c r="L2405" s="21">
        <f>IF(K2405="","",COUNTIF($K$2:$K$3001,"&lt;"&amp;K2405)+1)</f>
        <v/>
      </c>
    </row>
    <row r="2406">
      <c r="A2406" s="5">
        <f>IF($J2406="","",IF($J2406&lt;=1500,INDEX('Daily Sale entry '!$X$1:$X$1501,$J2406+1),INDEX('Daily Sale entry '!$V$1:$V$1501,$J2406-1499)))</f>
        <v/>
      </c>
      <c r="B2406">
        <f>IF($J2406="","",IF($J2406&lt;=1500,INDEX('Daily Sale entry '!$Y$1:$Y$1501,$J2406+1)&amp;"","Buyer cheque banked 买家支票存入"&amp;IF(INDEX('Daily Sale entry '!$U$1:$U$1501,$J2406-1499)="","", " - "&amp;INDEX('Daily Sale entry '!$U$1:$U$1501,$J2406-1499))))</f>
        <v/>
      </c>
      <c r="C2406">
        <f>IF($J2406="","",IF($J2406&lt;=1500,INDEX('Daily Sale entry '!$Z$1:$Z$1501,$J2406+1)&amp;"","Cheque deposit 支票存入 (buyer 买家)"))</f>
        <v/>
      </c>
      <c r="D2406">
        <f>IF($J2406="","",IF($J2406&lt;=1500,INDEX('Daily Sale entry '!$AA$1:$AA$1501,$J2406+1)&amp;"",INDEX('Daily Sale entry '!$P$1:$P$1501,$J2406-1499)&amp;""))</f>
        <v/>
      </c>
      <c r="E2406">
        <f>IF($J2406="","",IF($J2406&lt;=1500,IF(N(INDEX('Daily Sale entry '!$AB$1:$AB$1501,$J2406+1))=0,"",INDEX('Daily Sale entry '!$AB$1:$AB$1501,$J2406+1)),1))</f>
        <v/>
      </c>
      <c r="F2406" s="6">
        <f>IF($J2406="","",IF($J2406&lt;=1500,N(INDEX('Daily Sale entry '!$AC$1:$AC$1501,$J2406+1))-IF(AND('Opening Balance'!$B$15=1,INDEX('Daily Sale entry '!$Z$1:$Z$1501,$J2406+1)="Online collection 网上收款",INDEX('Daily Sale entry '!$AA$1:$AA$1501,$J2406+1)&lt;&gt;""),N(INDEX('Daily Sale entry '!$AC$1:$AC$1501,$J2406+1))-TRUNC(N(INDEX('Daily Sale entry '!$AC$1:$AC$1501,$J2406+1))),0),N(INDEX('Daily Sale entry '!$S$1:$S$1501,$J2406-1499))-'Opening Balance'!$B$15*(N(INDEX('Daily Sale entry '!$S$1:$S$1501,$J2406-1499))-TRUNC(N(INDEX('Daily Sale entry '!$S$1:$S$1501,$J2406-1499))))))</f>
        <v/>
      </c>
      <c r="G2406" s="6">
        <f>IF($J2406="","",IF($J2406&lt;=1500,N(INDEX('Daily Sale entry '!$AD$1:$AD$1501,$J2406+1)),0))</f>
        <v/>
      </c>
      <c r="H2406" s="6">
        <f>IF($J2406="","",ROUND('Opening Balance'!$B$4+SUM($F$2:F2406)-SUM($G$2:G2406),2))</f>
        <v/>
      </c>
      <c r="J2406" s="21">
        <f>IFERROR(MATCH(ROW()-1,$L$2:$L$3001,0),"")</f>
        <v/>
      </c>
      <c r="K2406" s="34">
        <f>IF(AND('Daily Sale entry '!Q906="Collection 收款",'Daily Sale entry '!R906="Cheque 支票",'Daily Sale entry '!V906&lt;&gt;""),'Daily Sale entry '!V906+ROW()/10000000,"")</f>
        <v/>
      </c>
      <c r="L2406" s="21">
        <f>IF(K2406="","",COUNTIF($K$2:$K$3001,"&lt;"&amp;K2406)+1)</f>
        <v/>
      </c>
    </row>
    <row r="2407">
      <c r="A2407" s="5">
        <f>IF($J2407="","",IF($J2407&lt;=1500,INDEX('Daily Sale entry '!$X$1:$X$1501,$J2407+1),INDEX('Daily Sale entry '!$V$1:$V$1501,$J2407-1499)))</f>
        <v/>
      </c>
      <c r="B2407">
        <f>IF($J2407="","",IF($J2407&lt;=1500,INDEX('Daily Sale entry '!$Y$1:$Y$1501,$J2407+1)&amp;"","Buyer cheque banked 买家支票存入"&amp;IF(INDEX('Daily Sale entry '!$U$1:$U$1501,$J2407-1499)="","", " - "&amp;INDEX('Daily Sale entry '!$U$1:$U$1501,$J2407-1499))))</f>
        <v/>
      </c>
      <c r="C2407">
        <f>IF($J2407="","",IF($J2407&lt;=1500,INDEX('Daily Sale entry '!$Z$1:$Z$1501,$J2407+1)&amp;"","Cheque deposit 支票存入 (buyer 买家)"))</f>
        <v/>
      </c>
      <c r="D2407">
        <f>IF($J2407="","",IF($J2407&lt;=1500,INDEX('Daily Sale entry '!$AA$1:$AA$1501,$J2407+1)&amp;"",INDEX('Daily Sale entry '!$P$1:$P$1501,$J2407-1499)&amp;""))</f>
        <v/>
      </c>
      <c r="E2407">
        <f>IF($J2407="","",IF($J2407&lt;=1500,IF(N(INDEX('Daily Sale entry '!$AB$1:$AB$1501,$J2407+1))=0,"",INDEX('Daily Sale entry '!$AB$1:$AB$1501,$J2407+1)),1))</f>
        <v/>
      </c>
      <c r="F2407" s="6">
        <f>IF($J2407="","",IF($J2407&lt;=1500,N(INDEX('Daily Sale entry '!$AC$1:$AC$1501,$J2407+1))-IF(AND('Opening Balance'!$B$15=1,INDEX('Daily Sale entry '!$Z$1:$Z$1501,$J2407+1)="Online collection 网上收款",INDEX('Daily Sale entry '!$AA$1:$AA$1501,$J2407+1)&lt;&gt;""),N(INDEX('Daily Sale entry '!$AC$1:$AC$1501,$J2407+1))-TRUNC(N(INDEX('Daily Sale entry '!$AC$1:$AC$1501,$J2407+1))),0),N(INDEX('Daily Sale entry '!$S$1:$S$1501,$J2407-1499))-'Opening Balance'!$B$15*(N(INDEX('Daily Sale entry '!$S$1:$S$1501,$J2407-1499))-TRUNC(N(INDEX('Daily Sale entry '!$S$1:$S$1501,$J2407-1499))))))</f>
        <v/>
      </c>
      <c r="G2407" s="6">
        <f>IF($J2407="","",IF($J2407&lt;=1500,N(INDEX('Daily Sale entry '!$AD$1:$AD$1501,$J2407+1)),0))</f>
        <v/>
      </c>
      <c r="H2407" s="6">
        <f>IF($J2407="","",ROUND('Opening Balance'!$B$4+SUM($F$2:F2407)-SUM($G$2:G2407),2))</f>
        <v/>
      </c>
      <c r="J2407" s="21">
        <f>IFERROR(MATCH(ROW()-1,$L$2:$L$3001,0),"")</f>
        <v/>
      </c>
      <c r="K2407" s="34">
        <f>IF(AND('Daily Sale entry '!Q907="Collection 收款",'Daily Sale entry '!R907="Cheque 支票",'Daily Sale entry '!V907&lt;&gt;""),'Daily Sale entry '!V907+ROW()/10000000,"")</f>
        <v/>
      </c>
      <c r="L2407" s="21">
        <f>IF(K2407="","",COUNTIF($K$2:$K$3001,"&lt;"&amp;K2407)+1)</f>
        <v/>
      </c>
    </row>
    <row r="2408">
      <c r="A2408" s="5">
        <f>IF($J2408="","",IF($J2408&lt;=1500,INDEX('Daily Sale entry '!$X$1:$X$1501,$J2408+1),INDEX('Daily Sale entry '!$V$1:$V$1501,$J2408-1499)))</f>
        <v/>
      </c>
      <c r="B2408">
        <f>IF($J2408="","",IF($J2408&lt;=1500,INDEX('Daily Sale entry '!$Y$1:$Y$1501,$J2408+1)&amp;"","Buyer cheque banked 买家支票存入"&amp;IF(INDEX('Daily Sale entry '!$U$1:$U$1501,$J2408-1499)="","", " - "&amp;INDEX('Daily Sale entry '!$U$1:$U$1501,$J2408-1499))))</f>
        <v/>
      </c>
      <c r="C2408">
        <f>IF($J2408="","",IF($J2408&lt;=1500,INDEX('Daily Sale entry '!$Z$1:$Z$1501,$J2408+1)&amp;"","Cheque deposit 支票存入 (buyer 买家)"))</f>
        <v/>
      </c>
      <c r="D2408">
        <f>IF($J2408="","",IF($J2408&lt;=1500,INDEX('Daily Sale entry '!$AA$1:$AA$1501,$J2408+1)&amp;"",INDEX('Daily Sale entry '!$P$1:$P$1501,$J2408-1499)&amp;""))</f>
        <v/>
      </c>
      <c r="E2408">
        <f>IF($J2408="","",IF($J2408&lt;=1500,IF(N(INDEX('Daily Sale entry '!$AB$1:$AB$1501,$J2408+1))=0,"",INDEX('Daily Sale entry '!$AB$1:$AB$1501,$J2408+1)),1))</f>
        <v/>
      </c>
      <c r="F2408" s="6">
        <f>IF($J2408="","",IF($J2408&lt;=1500,N(INDEX('Daily Sale entry '!$AC$1:$AC$1501,$J2408+1))-IF(AND('Opening Balance'!$B$15=1,INDEX('Daily Sale entry '!$Z$1:$Z$1501,$J2408+1)="Online collection 网上收款",INDEX('Daily Sale entry '!$AA$1:$AA$1501,$J2408+1)&lt;&gt;""),N(INDEX('Daily Sale entry '!$AC$1:$AC$1501,$J2408+1))-TRUNC(N(INDEX('Daily Sale entry '!$AC$1:$AC$1501,$J2408+1))),0),N(INDEX('Daily Sale entry '!$S$1:$S$1501,$J2408-1499))-'Opening Balance'!$B$15*(N(INDEX('Daily Sale entry '!$S$1:$S$1501,$J2408-1499))-TRUNC(N(INDEX('Daily Sale entry '!$S$1:$S$1501,$J2408-1499))))))</f>
        <v/>
      </c>
      <c r="G2408" s="6">
        <f>IF($J2408="","",IF($J2408&lt;=1500,N(INDEX('Daily Sale entry '!$AD$1:$AD$1501,$J2408+1)),0))</f>
        <v/>
      </c>
      <c r="H2408" s="6">
        <f>IF($J2408="","",ROUND('Opening Balance'!$B$4+SUM($F$2:F2408)-SUM($G$2:G2408),2))</f>
        <v/>
      </c>
      <c r="J2408" s="21">
        <f>IFERROR(MATCH(ROW()-1,$L$2:$L$3001,0),"")</f>
        <v/>
      </c>
      <c r="K2408" s="34">
        <f>IF(AND('Daily Sale entry '!Q908="Collection 收款",'Daily Sale entry '!R908="Cheque 支票",'Daily Sale entry '!V908&lt;&gt;""),'Daily Sale entry '!V908+ROW()/10000000,"")</f>
        <v/>
      </c>
      <c r="L2408" s="21">
        <f>IF(K2408="","",COUNTIF($K$2:$K$3001,"&lt;"&amp;K2408)+1)</f>
        <v/>
      </c>
    </row>
    <row r="2409">
      <c r="A2409" s="5">
        <f>IF($J2409="","",IF($J2409&lt;=1500,INDEX('Daily Sale entry '!$X$1:$X$1501,$J2409+1),INDEX('Daily Sale entry '!$V$1:$V$1501,$J2409-1499)))</f>
        <v/>
      </c>
      <c r="B2409">
        <f>IF($J2409="","",IF($J2409&lt;=1500,INDEX('Daily Sale entry '!$Y$1:$Y$1501,$J2409+1)&amp;"","Buyer cheque banked 买家支票存入"&amp;IF(INDEX('Daily Sale entry '!$U$1:$U$1501,$J2409-1499)="","", " - "&amp;INDEX('Daily Sale entry '!$U$1:$U$1501,$J2409-1499))))</f>
        <v/>
      </c>
      <c r="C2409">
        <f>IF($J2409="","",IF($J2409&lt;=1500,INDEX('Daily Sale entry '!$Z$1:$Z$1501,$J2409+1)&amp;"","Cheque deposit 支票存入 (buyer 买家)"))</f>
        <v/>
      </c>
      <c r="D2409">
        <f>IF($J2409="","",IF($J2409&lt;=1500,INDEX('Daily Sale entry '!$AA$1:$AA$1501,$J2409+1)&amp;"",INDEX('Daily Sale entry '!$P$1:$P$1501,$J2409-1499)&amp;""))</f>
        <v/>
      </c>
      <c r="E2409">
        <f>IF($J2409="","",IF($J2409&lt;=1500,IF(N(INDEX('Daily Sale entry '!$AB$1:$AB$1501,$J2409+1))=0,"",INDEX('Daily Sale entry '!$AB$1:$AB$1501,$J2409+1)),1))</f>
        <v/>
      </c>
      <c r="F2409" s="6">
        <f>IF($J2409="","",IF($J2409&lt;=1500,N(INDEX('Daily Sale entry '!$AC$1:$AC$1501,$J2409+1))-IF(AND('Opening Balance'!$B$15=1,INDEX('Daily Sale entry '!$Z$1:$Z$1501,$J2409+1)="Online collection 网上收款",INDEX('Daily Sale entry '!$AA$1:$AA$1501,$J2409+1)&lt;&gt;""),N(INDEX('Daily Sale entry '!$AC$1:$AC$1501,$J2409+1))-TRUNC(N(INDEX('Daily Sale entry '!$AC$1:$AC$1501,$J2409+1))),0),N(INDEX('Daily Sale entry '!$S$1:$S$1501,$J2409-1499))-'Opening Balance'!$B$15*(N(INDEX('Daily Sale entry '!$S$1:$S$1501,$J2409-1499))-TRUNC(N(INDEX('Daily Sale entry '!$S$1:$S$1501,$J2409-1499))))))</f>
        <v/>
      </c>
      <c r="G2409" s="6">
        <f>IF($J2409="","",IF($J2409&lt;=1500,N(INDEX('Daily Sale entry '!$AD$1:$AD$1501,$J2409+1)),0))</f>
        <v/>
      </c>
      <c r="H2409" s="6">
        <f>IF($J2409="","",ROUND('Opening Balance'!$B$4+SUM($F$2:F2409)-SUM($G$2:G2409),2))</f>
        <v/>
      </c>
      <c r="J2409" s="21">
        <f>IFERROR(MATCH(ROW()-1,$L$2:$L$3001,0),"")</f>
        <v/>
      </c>
      <c r="K2409" s="34">
        <f>IF(AND('Daily Sale entry '!Q909="Collection 收款",'Daily Sale entry '!R909="Cheque 支票",'Daily Sale entry '!V909&lt;&gt;""),'Daily Sale entry '!V909+ROW()/10000000,"")</f>
        <v/>
      </c>
      <c r="L2409" s="21">
        <f>IF(K2409="","",COUNTIF($K$2:$K$3001,"&lt;"&amp;K2409)+1)</f>
        <v/>
      </c>
    </row>
    <row r="2410">
      <c r="A2410" s="5">
        <f>IF($J2410="","",IF($J2410&lt;=1500,INDEX('Daily Sale entry '!$X$1:$X$1501,$J2410+1),INDEX('Daily Sale entry '!$V$1:$V$1501,$J2410-1499)))</f>
        <v/>
      </c>
      <c r="B2410">
        <f>IF($J2410="","",IF($J2410&lt;=1500,INDEX('Daily Sale entry '!$Y$1:$Y$1501,$J2410+1)&amp;"","Buyer cheque banked 买家支票存入"&amp;IF(INDEX('Daily Sale entry '!$U$1:$U$1501,$J2410-1499)="","", " - "&amp;INDEX('Daily Sale entry '!$U$1:$U$1501,$J2410-1499))))</f>
        <v/>
      </c>
      <c r="C2410">
        <f>IF($J2410="","",IF($J2410&lt;=1500,INDEX('Daily Sale entry '!$Z$1:$Z$1501,$J2410+1)&amp;"","Cheque deposit 支票存入 (buyer 买家)"))</f>
        <v/>
      </c>
      <c r="D2410">
        <f>IF($J2410="","",IF($J2410&lt;=1500,INDEX('Daily Sale entry '!$AA$1:$AA$1501,$J2410+1)&amp;"",INDEX('Daily Sale entry '!$P$1:$P$1501,$J2410-1499)&amp;""))</f>
        <v/>
      </c>
      <c r="E2410">
        <f>IF($J2410="","",IF($J2410&lt;=1500,IF(N(INDEX('Daily Sale entry '!$AB$1:$AB$1501,$J2410+1))=0,"",INDEX('Daily Sale entry '!$AB$1:$AB$1501,$J2410+1)),1))</f>
        <v/>
      </c>
      <c r="F2410" s="6">
        <f>IF($J2410="","",IF($J2410&lt;=1500,N(INDEX('Daily Sale entry '!$AC$1:$AC$1501,$J2410+1))-IF(AND('Opening Balance'!$B$15=1,INDEX('Daily Sale entry '!$Z$1:$Z$1501,$J2410+1)="Online collection 网上收款",INDEX('Daily Sale entry '!$AA$1:$AA$1501,$J2410+1)&lt;&gt;""),N(INDEX('Daily Sale entry '!$AC$1:$AC$1501,$J2410+1))-TRUNC(N(INDEX('Daily Sale entry '!$AC$1:$AC$1501,$J2410+1))),0),N(INDEX('Daily Sale entry '!$S$1:$S$1501,$J2410-1499))-'Opening Balance'!$B$15*(N(INDEX('Daily Sale entry '!$S$1:$S$1501,$J2410-1499))-TRUNC(N(INDEX('Daily Sale entry '!$S$1:$S$1501,$J2410-1499))))))</f>
        <v/>
      </c>
      <c r="G2410" s="6">
        <f>IF($J2410="","",IF($J2410&lt;=1500,N(INDEX('Daily Sale entry '!$AD$1:$AD$1501,$J2410+1)),0))</f>
        <v/>
      </c>
      <c r="H2410" s="6">
        <f>IF($J2410="","",ROUND('Opening Balance'!$B$4+SUM($F$2:F2410)-SUM($G$2:G2410),2))</f>
        <v/>
      </c>
      <c r="J2410" s="21">
        <f>IFERROR(MATCH(ROW()-1,$L$2:$L$3001,0),"")</f>
        <v/>
      </c>
      <c r="K2410" s="34">
        <f>IF(AND('Daily Sale entry '!Q910="Collection 收款",'Daily Sale entry '!R910="Cheque 支票",'Daily Sale entry '!V910&lt;&gt;""),'Daily Sale entry '!V910+ROW()/10000000,"")</f>
        <v/>
      </c>
      <c r="L2410" s="21">
        <f>IF(K2410="","",COUNTIF($K$2:$K$3001,"&lt;"&amp;K2410)+1)</f>
        <v/>
      </c>
    </row>
    <row r="2411">
      <c r="A2411" s="5">
        <f>IF($J2411="","",IF($J2411&lt;=1500,INDEX('Daily Sale entry '!$X$1:$X$1501,$J2411+1),INDEX('Daily Sale entry '!$V$1:$V$1501,$J2411-1499)))</f>
        <v/>
      </c>
      <c r="B2411">
        <f>IF($J2411="","",IF($J2411&lt;=1500,INDEX('Daily Sale entry '!$Y$1:$Y$1501,$J2411+1)&amp;"","Buyer cheque banked 买家支票存入"&amp;IF(INDEX('Daily Sale entry '!$U$1:$U$1501,$J2411-1499)="","", " - "&amp;INDEX('Daily Sale entry '!$U$1:$U$1501,$J2411-1499))))</f>
        <v/>
      </c>
      <c r="C2411">
        <f>IF($J2411="","",IF($J2411&lt;=1500,INDEX('Daily Sale entry '!$Z$1:$Z$1501,$J2411+1)&amp;"","Cheque deposit 支票存入 (buyer 买家)"))</f>
        <v/>
      </c>
      <c r="D2411">
        <f>IF($J2411="","",IF($J2411&lt;=1500,INDEX('Daily Sale entry '!$AA$1:$AA$1501,$J2411+1)&amp;"",INDEX('Daily Sale entry '!$P$1:$P$1501,$J2411-1499)&amp;""))</f>
        <v/>
      </c>
      <c r="E2411">
        <f>IF($J2411="","",IF($J2411&lt;=1500,IF(N(INDEX('Daily Sale entry '!$AB$1:$AB$1501,$J2411+1))=0,"",INDEX('Daily Sale entry '!$AB$1:$AB$1501,$J2411+1)),1))</f>
        <v/>
      </c>
      <c r="F2411" s="6">
        <f>IF($J2411="","",IF($J2411&lt;=1500,N(INDEX('Daily Sale entry '!$AC$1:$AC$1501,$J2411+1))-IF(AND('Opening Balance'!$B$15=1,INDEX('Daily Sale entry '!$Z$1:$Z$1501,$J2411+1)="Online collection 网上收款",INDEX('Daily Sale entry '!$AA$1:$AA$1501,$J2411+1)&lt;&gt;""),N(INDEX('Daily Sale entry '!$AC$1:$AC$1501,$J2411+1))-TRUNC(N(INDEX('Daily Sale entry '!$AC$1:$AC$1501,$J2411+1))),0),N(INDEX('Daily Sale entry '!$S$1:$S$1501,$J2411-1499))-'Opening Balance'!$B$15*(N(INDEX('Daily Sale entry '!$S$1:$S$1501,$J2411-1499))-TRUNC(N(INDEX('Daily Sale entry '!$S$1:$S$1501,$J2411-1499))))))</f>
        <v/>
      </c>
      <c r="G2411" s="6">
        <f>IF($J2411="","",IF($J2411&lt;=1500,N(INDEX('Daily Sale entry '!$AD$1:$AD$1501,$J2411+1)),0))</f>
        <v/>
      </c>
      <c r="H2411" s="6">
        <f>IF($J2411="","",ROUND('Opening Balance'!$B$4+SUM($F$2:F2411)-SUM($G$2:G2411),2))</f>
        <v/>
      </c>
      <c r="J2411" s="21">
        <f>IFERROR(MATCH(ROW()-1,$L$2:$L$3001,0),"")</f>
        <v/>
      </c>
      <c r="K2411" s="34">
        <f>IF(AND('Daily Sale entry '!Q911="Collection 收款",'Daily Sale entry '!R911="Cheque 支票",'Daily Sale entry '!V911&lt;&gt;""),'Daily Sale entry '!V911+ROW()/10000000,"")</f>
        <v/>
      </c>
      <c r="L2411" s="21">
        <f>IF(K2411="","",COUNTIF($K$2:$K$3001,"&lt;"&amp;K2411)+1)</f>
        <v/>
      </c>
    </row>
    <row r="2412">
      <c r="A2412" s="5">
        <f>IF($J2412="","",IF($J2412&lt;=1500,INDEX('Daily Sale entry '!$X$1:$X$1501,$J2412+1),INDEX('Daily Sale entry '!$V$1:$V$1501,$J2412-1499)))</f>
        <v/>
      </c>
      <c r="B2412">
        <f>IF($J2412="","",IF($J2412&lt;=1500,INDEX('Daily Sale entry '!$Y$1:$Y$1501,$J2412+1)&amp;"","Buyer cheque banked 买家支票存入"&amp;IF(INDEX('Daily Sale entry '!$U$1:$U$1501,$J2412-1499)="","", " - "&amp;INDEX('Daily Sale entry '!$U$1:$U$1501,$J2412-1499))))</f>
        <v/>
      </c>
      <c r="C2412">
        <f>IF($J2412="","",IF($J2412&lt;=1500,INDEX('Daily Sale entry '!$Z$1:$Z$1501,$J2412+1)&amp;"","Cheque deposit 支票存入 (buyer 买家)"))</f>
        <v/>
      </c>
      <c r="D2412">
        <f>IF($J2412="","",IF($J2412&lt;=1500,INDEX('Daily Sale entry '!$AA$1:$AA$1501,$J2412+1)&amp;"",INDEX('Daily Sale entry '!$P$1:$P$1501,$J2412-1499)&amp;""))</f>
        <v/>
      </c>
      <c r="E2412">
        <f>IF($J2412="","",IF($J2412&lt;=1500,IF(N(INDEX('Daily Sale entry '!$AB$1:$AB$1501,$J2412+1))=0,"",INDEX('Daily Sale entry '!$AB$1:$AB$1501,$J2412+1)),1))</f>
        <v/>
      </c>
      <c r="F2412" s="6">
        <f>IF($J2412="","",IF($J2412&lt;=1500,N(INDEX('Daily Sale entry '!$AC$1:$AC$1501,$J2412+1))-IF(AND('Opening Balance'!$B$15=1,INDEX('Daily Sale entry '!$Z$1:$Z$1501,$J2412+1)="Online collection 网上收款",INDEX('Daily Sale entry '!$AA$1:$AA$1501,$J2412+1)&lt;&gt;""),N(INDEX('Daily Sale entry '!$AC$1:$AC$1501,$J2412+1))-TRUNC(N(INDEX('Daily Sale entry '!$AC$1:$AC$1501,$J2412+1))),0),N(INDEX('Daily Sale entry '!$S$1:$S$1501,$J2412-1499))-'Opening Balance'!$B$15*(N(INDEX('Daily Sale entry '!$S$1:$S$1501,$J2412-1499))-TRUNC(N(INDEX('Daily Sale entry '!$S$1:$S$1501,$J2412-1499))))))</f>
        <v/>
      </c>
      <c r="G2412" s="6">
        <f>IF($J2412="","",IF($J2412&lt;=1500,N(INDEX('Daily Sale entry '!$AD$1:$AD$1501,$J2412+1)),0))</f>
        <v/>
      </c>
      <c r="H2412" s="6">
        <f>IF($J2412="","",ROUND('Opening Balance'!$B$4+SUM($F$2:F2412)-SUM($G$2:G2412),2))</f>
        <v/>
      </c>
      <c r="J2412" s="21">
        <f>IFERROR(MATCH(ROW()-1,$L$2:$L$3001,0),"")</f>
        <v/>
      </c>
      <c r="K2412" s="34">
        <f>IF(AND('Daily Sale entry '!Q912="Collection 收款",'Daily Sale entry '!R912="Cheque 支票",'Daily Sale entry '!V912&lt;&gt;""),'Daily Sale entry '!V912+ROW()/10000000,"")</f>
        <v/>
      </c>
      <c r="L2412" s="21">
        <f>IF(K2412="","",COUNTIF($K$2:$K$3001,"&lt;"&amp;K2412)+1)</f>
        <v/>
      </c>
    </row>
    <row r="2413">
      <c r="A2413" s="5">
        <f>IF($J2413="","",IF($J2413&lt;=1500,INDEX('Daily Sale entry '!$X$1:$X$1501,$J2413+1),INDEX('Daily Sale entry '!$V$1:$V$1501,$J2413-1499)))</f>
        <v/>
      </c>
      <c r="B2413">
        <f>IF($J2413="","",IF($J2413&lt;=1500,INDEX('Daily Sale entry '!$Y$1:$Y$1501,$J2413+1)&amp;"","Buyer cheque banked 买家支票存入"&amp;IF(INDEX('Daily Sale entry '!$U$1:$U$1501,$J2413-1499)="","", " - "&amp;INDEX('Daily Sale entry '!$U$1:$U$1501,$J2413-1499))))</f>
        <v/>
      </c>
      <c r="C2413">
        <f>IF($J2413="","",IF($J2413&lt;=1500,INDEX('Daily Sale entry '!$Z$1:$Z$1501,$J2413+1)&amp;"","Cheque deposit 支票存入 (buyer 买家)"))</f>
        <v/>
      </c>
      <c r="D2413">
        <f>IF($J2413="","",IF($J2413&lt;=1500,INDEX('Daily Sale entry '!$AA$1:$AA$1501,$J2413+1)&amp;"",INDEX('Daily Sale entry '!$P$1:$P$1501,$J2413-1499)&amp;""))</f>
        <v/>
      </c>
      <c r="E2413">
        <f>IF($J2413="","",IF($J2413&lt;=1500,IF(N(INDEX('Daily Sale entry '!$AB$1:$AB$1501,$J2413+1))=0,"",INDEX('Daily Sale entry '!$AB$1:$AB$1501,$J2413+1)),1))</f>
        <v/>
      </c>
      <c r="F2413" s="6">
        <f>IF($J2413="","",IF($J2413&lt;=1500,N(INDEX('Daily Sale entry '!$AC$1:$AC$1501,$J2413+1))-IF(AND('Opening Balance'!$B$15=1,INDEX('Daily Sale entry '!$Z$1:$Z$1501,$J2413+1)="Online collection 网上收款",INDEX('Daily Sale entry '!$AA$1:$AA$1501,$J2413+1)&lt;&gt;""),N(INDEX('Daily Sale entry '!$AC$1:$AC$1501,$J2413+1))-TRUNC(N(INDEX('Daily Sale entry '!$AC$1:$AC$1501,$J2413+1))),0),N(INDEX('Daily Sale entry '!$S$1:$S$1501,$J2413-1499))-'Opening Balance'!$B$15*(N(INDEX('Daily Sale entry '!$S$1:$S$1501,$J2413-1499))-TRUNC(N(INDEX('Daily Sale entry '!$S$1:$S$1501,$J2413-1499))))))</f>
        <v/>
      </c>
      <c r="G2413" s="6">
        <f>IF($J2413="","",IF($J2413&lt;=1500,N(INDEX('Daily Sale entry '!$AD$1:$AD$1501,$J2413+1)),0))</f>
        <v/>
      </c>
      <c r="H2413" s="6">
        <f>IF($J2413="","",ROUND('Opening Balance'!$B$4+SUM($F$2:F2413)-SUM($G$2:G2413),2))</f>
        <v/>
      </c>
      <c r="J2413" s="21">
        <f>IFERROR(MATCH(ROW()-1,$L$2:$L$3001,0),"")</f>
        <v/>
      </c>
      <c r="K2413" s="34">
        <f>IF(AND('Daily Sale entry '!Q913="Collection 收款",'Daily Sale entry '!R913="Cheque 支票",'Daily Sale entry '!V913&lt;&gt;""),'Daily Sale entry '!V913+ROW()/10000000,"")</f>
        <v/>
      </c>
      <c r="L2413" s="21">
        <f>IF(K2413="","",COUNTIF($K$2:$K$3001,"&lt;"&amp;K2413)+1)</f>
        <v/>
      </c>
    </row>
    <row r="2414">
      <c r="A2414" s="5">
        <f>IF($J2414="","",IF($J2414&lt;=1500,INDEX('Daily Sale entry '!$X$1:$X$1501,$J2414+1),INDEX('Daily Sale entry '!$V$1:$V$1501,$J2414-1499)))</f>
        <v/>
      </c>
      <c r="B2414">
        <f>IF($J2414="","",IF($J2414&lt;=1500,INDEX('Daily Sale entry '!$Y$1:$Y$1501,$J2414+1)&amp;"","Buyer cheque banked 买家支票存入"&amp;IF(INDEX('Daily Sale entry '!$U$1:$U$1501,$J2414-1499)="","", " - "&amp;INDEX('Daily Sale entry '!$U$1:$U$1501,$J2414-1499))))</f>
        <v/>
      </c>
      <c r="C2414">
        <f>IF($J2414="","",IF($J2414&lt;=1500,INDEX('Daily Sale entry '!$Z$1:$Z$1501,$J2414+1)&amp;"","Cheque deposit 支票存入 (buyer 买家)"))</f>
        <v/>
      </c>
      <c r="D2414">
        <f>IF($J2414="","",IF($J2414&lt;=1500,INDEX('Daily Sale entry '!$AA$1:$AA$1501,$J2414+1)&amp;"",INDEX('Daily Sale entry '!$P$1:$P$1501,$J2414-1499)&amp;""))</f>
        <v/>
      </c>
      <c r="E2414">
        <f>IF($J2414="","",IF($J2414&lt;=1500,IF(N(INDEX('Daily Sale entry '!$AB$1:$AB$1501,$J2414+1))=0,"",INDEX('Daily Sale entry '!$AB$1:$AB$1501,$J2414+1)),1))</f>
        <v/>
      </c>
      <c r="F2414" s="6">
        <f>IF($J2414="","",IF($J2414&lt;=1500,N(INDEX('Daily Sale entry '!$AC$1:$AC$1501,$J2414+1))-IF(AND('Opening Balance'!$B$15=1,INDEX('Daily Sale entry '!$Z$1:$Z$1501,$J2414+1)="Online collection 网上收款",INDEX('Daily Sale entry '!$AA$1:$AA$1501,$J2414+1)&lt;&gt;""),N(INDEX('Daily Sale entry '!$AC$1:$AC$1501,$J2414+1))-TRUNC(N(INDEX('Daily Sale entry '!$AC$1:$AC$1501,$J2414+1))),0),N(INDEX('Daily Sale entry '!$S$1:$S$1501,$J2414-1499))-'Opening Balance'!$B$15*(N(INDEX('Daily Sale entry '!$S$1:$S$1501,$J2414-1499))-TRUNC(N(INDEX('Daily Sale entry '!$S$1:$S$1501,$J2414-1499))))))</f>
        <v/>
      </c>
      <c r="G2414" s="6">
        <f>IF($J2414="","",IF($J2414&lt;=1500,N(INDEX('Daily Sale entry '!$AD$1:$AD$1501,$J2414+1)),0))</f>
        <v/>
      </c>
      <c r="H2414" s="6">
        <f>IF($J2414="","",ROUND('Opening Balance'!$B$4+SUM($F$2:F2414)-SUM($G$2:G2414),2))</f>
        <v/>
      </c>
      <c r="J2414" s="21">
        <f>IFERROR(MATCH(ROW()-1,$L$2:$L$3001,0),"")</f>
        <v/>
      </c>
      <c r="K2414" s="34">
        <f>IF(AND('Daily Sale entry '!Q914="Collection 收款",'Daily Sale entry '!R914="Cheque 支票",'Daily Sale entry '!V914&lt;&gt;""),'Daily Sale entry '!V914+ROW()/10000000,"")</f>
        <v/>
      </c>
      <c r="L2414" s="21">
        <f>IF(K2414="","",COUNTIF($K$2:$K$3001,"&lt;"&amp;K2414)+1)</f>
        <v/>
      </c>
    </row>
    <row r="2415">
      <c r="A2415" s="5">
        <f>IF($J2415="","",IF($J2415&lt;=1500,INDEX('Daily Sale entry '!$X$1:$X$1501,$J2415+1),INDEX('Daily Sale entry '!$V$1:$V$1501,$J2415-1499)))</f>
        <v/>
      </c>
      <c r="B2415">
        <f>IF($J2415="","",IF($J2415&lt;=1500,INDEX('Daily Sale entry '!$Y$1:$Y$1501,$J2415+1)&amp;"","Buyer cheque banked 买家支票存入"&amp;IF(INDEX('Daily Sale entry '!$U$1:$U$1501,$J2415-1499)="","", " - "&amp;INDEX('Daily Sale entry '!$U$1:$U$1501,$J2415-1499))))</f>
        <v/>
      </c>
      <c r="C2415">
        <f>IF($J2415="","",IF($J2415&lt;=1500,INDEX('Daily Sale entry '!$Z$1:$Z$1501,$J2415+1)&amp;"","Cheque deposit 支票存入 (buyer 买家)"))</f>
        <v/>
      </c>
      <c r="D2415">
        <f>IF($J2415="","",IF($J2415&lt;=1500,INDEX('Daily Sale entry '!$AA$1:$AA$1501,$J2415+1)&amp;"",INDEX('Daily Sale entry '!$P$1:$P$1501,$J2415-1499)&amp;""))</f>
        <v/>
      </c>
      <c r="E2415">
        <f>IF($J2415="","",IF($J2415&lt;=1500,IF(N(INDEX('Daily Sale entry '!$AB$1:$AB$1501,$J2415+1))=0,"",INDEX('Daily Sale entry '!$AB$1:$AB$1501,$J2415+1)),1))</f>
        <v/>
      </c>
      <c r="F2415" s="6">
        <f>IF($J2415="","",IF($J2415&lt;=1500,N(INDEX('Daily Sale entry '!$AC$1:$AC$1501,$J2415+1))-IF(AND('Opening Balance'!$B$15=1,INDEX('Daily Sale entry '!$Z$1:$Z$1501,$J2415+1)="Online collection 网上收款",INDEX('Daily Sale entry '!$AA$1:$AA$1501,$J2415+1)&lt;&gt;""),N(INDEX('Daily Sale entry '!$AC$1:$AC$1501,$J2415+1))-TRUNC(N(INDEX('Daily Sale entry '!$AC$1:$AC$1501,$J2415+1))),0),N(INDEX('Daily Sale entry '!$S$1:$S$1501,$J2415-1499))-'Opening Balance'!$B$15*(N(INDEX('Daily Sale entry '!$S$1:$S$1501,$J2415-1499))-TRUNC(N(INDEX('Daily Sale entry '!$S$1:$S$1501,$J2415-1499))))))</f>
        <v/>
      </c>
      <c r="G2415" s="6">
        <f>IF($J2415="","",IF($J2415&lt;=1500,N(INDEX('Daily Sale entry '!$AD$1:$AD$1501,$J2415+1)),0))</f>
        <v/>
      </c>
      <c r="H2415" s="6">
        <f>IF($J2415="","",ROUND('Opening Balance'!$B$4+SUM($F$2:F2415)-SUM($G$2:G2415),2))</f>
        <v/>
      </c>
      <c r="J2415" s="21">
        <f>IFERROR(MATCH(ROW()-1,$L$2:$L$3001,0),"")</f>
        <v/>
      </c>
      <c r="K2415" s="34">
        <f>IF(AND('Daily Sale entry '!Q915="Collection 收款",'Daily Sale entry '!R915="Cheque 支票",'Daily Sale entry '!V915&lt;&gt;""),'Daily Sale entry '!V915+ROW()/10000000,"")</f>
        <v/>
      </c>
      <c r="L2415" s="21">
        <f>IF(K2415="","",COUNTIF($K$2:$K$3001,"&lt;"&amp;K2415)+1)</f>
        <v/>
      </c>
    </row>
    <row r="2416">
      <c r="A2416" s="5">
        <f>IF($J2416="","",IF($J2416&lt;=1500,INDEX('Daily Sale entry '!$X$1:$X$1501,$J2416+1),INDEX('Daily Sale entry '!$V$1:$V$1501,$J2416-1499)))</f>
        <v/>
      </c>
      <c r="B2416">
        <f>IF($J2416="","",IF($J2416&lt;=1500,INDEX('Daily Sale entry '!$Y$1:$Y$1501,$J2416+1)&amp;"","Buyer cheque banked 买家支票存入"&amp;IF(INDEX('Daily Sale entry '!$U$1:$U$1501,$J2416-1499)="","", " - "&amp;INDEX('Daily Sale entry '!$U$1:$U$1501,$J2416-1499))))</f>
        <v/>
      </c>
      <c r="C2416">
        <f>IF($J2416="","",IF($J2416&lt;=1500,INDEX('Daily Sale entry '!$Z$1:$Z$1501,$J2416+1)&amp;"","Cheque deposit 支票存入 (buyer 买家)"))</f>
        <v/>
      </c>
      <c r="D2416">
        <f>IF($J2416="","",IF($J2416&lt;=1500,INDEX('Daily Sale entry '!$AA$1:$AA$1501,$J2416+1)&amp;"",INDEX('Daily Sale entry '!$P$1:$P$1501,$J2416-1499)&amp;""))</f>
        <v/>
      </c>
      <c r="E2416">
        <f>IF($J2416="","",IF($J2416&lt;=1500,IF(N(INDEX('Daily Sale entry '!$AB$1:$AB$1501,$J2416+1))=0,"",INDEX('Daily Sale entry '!$AB$1:$AB$1501,$J2416+1)),1))</f>
        <v/>
      </c>
      <c r="F2416" s="6">
        <f>IF($J2416="","",IF($J2416&lt;=1500,N(INDEX('Daily Sale entry '!$AC$1:$AC$1501,$J2416+1))-IF(AND('Opening Balance'!$B$15=1,INDEX('Daily Sale entry '!$Z$1:$Z$1501,$J2416+1)="Online collection 网上收款",INDEX('Daily Sale entry '!$AA$1:$AA$1501,$J2416+1)&lt;&gt;""),N(INDEX('Daily Sale entry '!$AC$1:$AC$1501,$J2416+1))-TRUNC(N(INDEX('Daily Sale entry '!$AC$1:$AC$1501,$J2416+1))),0),N(INDEX('Daily Sale entry '!$S$1:$S$1501,$J2416-1499))-'Opening Balance'!$B$15*(N(INDEX('Daily Sale entry '!$S$1:$S$1501,$J2416-1499))-TRUNC(N(INDEX('Daily Sale entry '!$S$1:$S$1501,$J2416-1499))))))</f>
        <v/>
      </c>
      <c r="G2416" s="6">
        <f>IF($J2416="","",IF($J2416&lt;=1500,N(INDEX('Daily Sale entry '!$AD$1:$AD$1501,$J2416+1)),0))</f>
        <v/>
      </c>
      <c r="H2416" s="6">
        <f>IF($J2416="","",ROUND('Opening Balance'!$B$4+SUM($F$2:F2416)-SUM($G$2:G2416),2))</f>
        <v/>
      </c>
      <c r="J2416" s="21">
        <f>IFERROR(MATCH(ROW()-1,$L$2:$L$3001,0),"")</f>
        <v/>
      </c>
      <c r="K2416" s="34">
        <f>IF(AND('Daily Sale entry '!Q916="Collection 收款",'Daily Sale entry '!R916="Cheque 支票",'Daily Sale entry '!V916&lt;&gt;""),'Daily Sale entry '!V916+ROW()/10000000,"")</f>
        <v/>
      </c>
      <c r="L2416" s="21">
        <f>IF(K2416="","",COUNTIF($K$2:$K$3001,"&lt;"&amp;K2416)+1)</f>
        <v/>
      </c>
    </row>
    <row r="2417">
      <c r="A2417" s="5">
        <f>IF($J2417="","",IF($J2417&lt;=1500,INDEX('Daily Sale entry '!$X$1:$X$1501,$J2417+1),INDEX('Daily Sale entry '!$V$1:$V$1501,$J2417-1499)))</f>
        <v/>
      </c>
      <c r="B2417">
        <f>IF($J2417="","",IF($J2417&lt;=1500,INDEX('Daily Sale entry '!$Y$1:$Y$1501,$J2417+1)&amp;"","Buyer cheque banked 买家支票存入"&amp;IF(INDEX('Daily Sale entry '!$U$1:$U$1501,$J2417-1499)="","", " - "&amp;INDEX('Daily Sale entry '!$U$1:$U$1501,$J2417-1499))))</f>
        <v/>
      </c>
      <c r="C2417">
        <f>IF($J2417="","",IF($J2417&lt;=1500,INDEX('Daily Sale entry '!$Z$1:$Z$1501,$J2417+1)&amp;"","Cheque deposit 支票存入 (buyer 买家)"))</f>
        <v/>
      </c>
      <c r="D2417">
        <f>IF($J2417="","",IF($J2417&lt;=1500,INDEX('Daily Sale entry '!$AA$1:$AA$1501,$J2417+1)&amp;"",INDEX('Daily Sale entry '!$P$1:$P$1501,$J2417-1499)&amp;""))</f>
        <v/>
      </c>
      <c r="E2417">
        <f>IF($J2417="","",IF($J2417&lt;=1500,IF(N(INDEX('Daily Sale entry '!$AB$1:$AB$1501,$J2417+1))=0,"",INDEX('Daily Sale entry '!$AB$1:$AB$1501,$J2417+1)),1))</f>
        <v/>
      </c>
      <c r="F2417" s="6">
        <f>IF($J2417="","",IF($J2417&lt;=1500,N(INDEX('Daily Sale entry '!$AC$1:$AC$1501,$J2417+1))-IF(AND('Opening Balance'!$B$15=1,INDEX('Daily Sale entry '!$Z$1:$Z$1501,$J2417+1)="Online collection 网上收款",INDEX('Daily Sale entry '!$AA$1:$AA$1501,$J2417+1)&lt;&gt;""),N(INDEX('Daily Sale entry '!$AC$1:$AC$1501,$J2417+1))-TRUNC(N(INDEX('Daily Sale entry '!$AC$1:$AC$1501,$J2417+1))),0),N(INDEX('Daily Sale entry '!$S$1:$S$1501,$J2417-1499))-'Opening Balance'!$B$15*(N(INDEX('Daily Sale entry '!$S$1:$S$1501,$J2417-1499))-TRUNC(N(INDEX('Daily Sale entry '!$S$1:$S$1501,$J2417-1499))))))</f>
        <v/>
      </c>
      <c r="G2417" s="6">
        <f>IF($J2417="","",IF($J2417&lt;=1500,N(INDEX('Daily Sale entry '!$AD$1:$AD$1501,$J2417+1)),0))</f>
        <v/>
      </c>
      <c r="H2417" s="6">
        <f>IF($J2417="","",ROUND('Opening Balance'!$B$4+SUM($F$2:F2417)-SUM($G$2:G2417),2))</f>
        <v/>
      </c>
      <c r="J2417" s="21">
        <f>IFERROR(MATCH(ROW()-1,$L$2:$L$3001,0),"")</f>
        <v/>
      </c>
      <c r="K2417" s="34">
        <f>IF(AND('Daily Sale entry '!Q917="Collection 收款",'Daily Sale entry '!R917="Cheque 支票",'Daily Sale entry '!V917&lt;&gt;""),'Daily Sale entry '!V917+ROW()/10000000,"")</f>
        <v/>
      </c>
      <c r="L2417" s="21">
        <f>IF(K2417="","",COUNTIF($K$2:$K$3001,"&lt;"&amp;K2417)+1)</f>
        <v/>
      </c>
    </row>
    <row r="2418">
      <c r="A2418" s="5">
        <f>IF($J2418="","",IF($J2418&lt;=1500,INDEX('Daily Sale entry '!$X$1:$X$1501,$J2418+1),INDEX('Daily Sale entry '!$V$1:$V$1501,$J2418-1499)))</f>
        <v/>
      </c>
      <c r="B2418">
        <f>IF($J2418="","",IF($J2418&lt;=1500,INDEX('Daily Sale entry '!$Y$1:$Y$1501,$J2418+1)&amp;"","Buyer cheque banked 买家支票存入"&amp;IF(INDEX('Daily Sale entry '!$U$1:$U$1501,$J2418-1499)="","", " - "&amp;INDEX('Daily Sale entry '!$U$1:$U$1501,$J2418-1499))))</f>
        <v/>
      </c>
      <c r="C2418">
        <f>IF($J2418="","",IF($J2418&lt;=1500,INDEX('Daily Sale entry '!$Z$1:$Z$1501,$J2418+1)&amp;"","Cheque deposit 支票存入 (buyer 买家)"))</f>
        <v/>
      </c>
      <c r="D2418">
        <f>IF($J2418="","",IF($J2418&lt;=1500,INDEX('Daily Sale entry '!$AA$1:$AA$1501,$J2418+1)&amp;"",INDEX('Daily Sale entry '!$P$1:$P$1501,$J2418-1499)&amp;""))</f>
        <v/>
      </c>
      <c r="E2418">
        <f>IF($J2418="","",IF($J2418&lt;=1500,IF(N(INDEX('Daily Sale entry '!$AB$1:$AB$1501,$J2418+1))=0,"",INDEX('Daily Sale entry '!$AB$1:$AB$1501,$J2418+1)),1))</f>
        <v/>
      </c>
      <c r="F2418" s="6">
        <f>IF($J2418="","",IF($J2418&lt;=1500,N(INDEX('Daily Sale entry '!$AC$1:$AC$1501,$J2418+1))-IF(AND('Opening Balance'!$B$15=1,INDEX('Daily Sale entry '!$Z$1:$Z$1501,$J2418+1)="Online collection 网上收款",INDEX('Daily Sale entry '!$AA$1:$AA$1501,$J2418+1)&lt;&gt;""),N(INDEX('Daily Sale entry '!$AC$1:$AC$1501,$J2418+1))-TRUNC(N(INDEX('Daily Sale entry '!$AC$1:$AC$1501,$J2418+1))),0),N(INDEX('Daily Sale entry '!$S$1:$S$1501,$J2418-1499))-'Opening Balance'!$B$15*(N(INDEX('Daily Sale entry '!$S$1:$S$1501,$J2418-1499))-TRUNC(N(INDEX('Daily Sale entry '!$S$1:$S$1501,$J2418-1499))))))</f>
        <v/>
      </c>
      <c r="G2418" s="6">
        <f>IF($J2418="","",IF($J2418&lt;=1500,N(INDEX('Daily Sale entry '!$AD$1:$AD$1501,$J2418+1)),0))</f>
        <v/>
      </c>
      <c r="H2418" s="6">
        <f>IF($J2418="","",ROUND('Opening Balance'!$B$4+SUM($F$2:F2418)-SUM($G$2:G2418),2))</f>
        <v/>
      </c>
      <c r="J2418" s="21">
        <f>IFERROR(MATCH(ROW()-1,$L$2:$L$3001,0),"")</f>
        <v/>
      </c>
      <c r="K2418" s="34">
        <f>IF(AND('Daily Sale entry '!Q918="Collection 收款",'Daily Sale entry '!R918="Cheque 支票",'Daily Sale entry '!V918&lt;&gt;""),'Daily Sale entry '!V918+ROW()/10000000,"")</f>
        <v/>
      </c>
      <c r="L2418" s="21">
        <f>IF(K2418="","",COUNTIF($K$2:$K$3001,"&lt;"&amp;K2418)+1)</f>
        <v/>
      </c>
    </row>
    <row r="2419">
      <c r="A2419" s="5">
        <f>IF($J2419="","",IF($J2419&lt;=1500,INDEX('Daily Sale entry '!$X$1:$X$1501,$J2419+1),INDEX('Daily Sale entry '!$V$1:$V$1501,$J2419-1499)))</f>
        <v/>
      </c>
      <c r="B2419">
        <f>IF($J2419="","",IF($J2419&lt;=1500,INDEX('Daily Sale entry '!$Y$1:$Y$1501,$J2419+1)&amp;"","Buyer cheque banked 买家支票存入"&amp;IF(INDEX('Daily Sale entry '!$U$1:$U$1501,$J2419-1499)="","", " - "&amp;INDEX('Daily Sale entry '!$U$1:$U$1501,$J2419-1499))))</f>
        <v/>
      </c>
      <c r="C2419">
        <f>IF($J2419="","",IF($J2419&lt;=1500,INDEX('Daily Sale entry '!$Z$1:$Z$1501,$J2419+1)&amp;"","Cheque deposit 支票存入 (buyer 买家)"))</f>
        <v/>
      </c>
      <c r="D2419">
        <f>IF($J2419="","",IF($J2419&lt;=1500,INDEX('Daily Sale entry '!$AA$1:$AA$1501,$J2419+1)&amp;"",INDEX('Daily Sale entry '!$P$1:$P$1501,$J2419-1499)&amp;""))</f>
        <v/>
      </c>
      <c r="E2419">
        <f>IF($J2419="","",IF($J2419&lt;=1500,IF(N(INDEX('Daily Sale entry '!$AB$1:$AB$1501,$J2419+1))=0,"",INDEX('Daily Sale entry '!$AB$1:$AB$1501,$J2419+1)),1))</f>
        <v/>
      </c>
      <c r="F2419" s="6">
        <f>IF($J2419="","",IF($J2419&lt;=1500,N(INDEX('Daily Sale entry '!$AC$1:$AC$1501,$J2419+1))-IF(AND('Opening Balance'!$B$15=1,INDEX('Daily Sale entry '!$Z$1:$Z$1501,$J2419+1)="Online collection 网上收款",INDEX('Daily Sale entry '!$AA$1:$AA$1501,$J2419+1)&lt;&gt;""),N(INDEX('Daily Sale entry '!$AC$1:$AC$1501,$J2419+1))-TRUNC(N(INDEX('Daily Sale entry '!$AC$1:$AC$1501,$J2419+1))),0),N(INDEX('Daily Sale entry '!$S$1:$S$1501,$J2419-1499))-'Opening Balance'!$B$15*(N(INDEX('Daily Sale entry '!$S$1:$S$1501,$J2419-1499))-TRUNC(N(INDEX('Daily Sale entry '!$S$1:$S$1501,$J2419-1499))))))</f>
        <v/>
      </c>
      <c r="G2419" s="6">
        <f>IF($J2419="","",IF($J2419&lt;=1500,N(INDEX('Daily Sale entry '!$AD$1:$AD$1501,$J2419+1)),0))</f>
        <v/>
      </c>
      <c r="H2419" s="6">
        <f>IF($J2419="","",ROUND('Opening Balance'!$B$4+SUM($F$2:F2419)-SUM($G$2:G2419),2))</f>
        <v/>
      </c>
      <c r="J2419" s="21">
        <f>IFERROR(MATCH(ROW()-1,$L$2:$L$3001,0),"")</f>
        <v/>
      </c>
      <c r="K2419" s="34">
        <f>IF(AND('Daily Sale entry '!Q919="Collection 收款",'Daily Sale entry '!R919="Cheque 支票",'Daily Sale entry '!V919&lt;&gt;""),'Daily Sale entry '!V919+ROW()/10000000,"")</f>
        <v/>
      </c>
      <c r="L2419" s="21">
        <f>IF(K2419="","",COUNTIF($K$2:$K$3001,"&lt;"&amp;K2419)+1)</f>
        <v/>
      </c>
    </row>
    <row r="2420">
      <c r="A2420" s="5">
        <f>IF($J2420="","",IF($J2420&lt;=1500,INDEX('Daily Sale entry '!$X$1:$X$1501,$J2420+1),INDEX('Daily Sale entry '!$V$1:$V$1501,$J2420-1499)))</f>
        <v/>
      </c>
      <c r="B2420">
        <f>IF($J2420="","",IF($J2420&lt;=1500,INDEX('Daily Sale entry '!$Y$1:$Y$1501,$J2420+1)&amp;"","Buyer cheque banked 买家支票存入"&amp;IF(INDEX('Daily Sale entry '!$U$1:$U$1501,$J2420-1499)="","", " - "&amp;INDEX('Daily Sale entry '!$U$1:$U$1501,$J2420-1499))))</f>
        <v/>
      </c>
      <c r="C2420">
        <f>IF($J2420="","",IF($J2420&lt;=1500,INDEX('Daily Sale entry '!$Z$1:$Z$1501,$J2420+1)&amp;"","Cheque deposit 支票存入 (buyer 买家)"))</f>
        <v/>
      </c>
      <c r="D2420">
        <f>IF($J2420="","",IF($J2420&lt;=1500,INDEX('Daily Sale entry '!$AA$1:$AA$1501,$J2420+1)&amp;"",INDEX('Daily Sale entry '!$P$1:$P$1501,$J2420-1499)&amp;""))</f>
        <v/>
      </c>
      <c r="E2420">
        <f>IF($J2420="","",IF($J2420&lt;=1500,IF(N(INDEX('Daily Sale entry '!$AB$1:$AB$1501,$J2420+1))=0,"",INDEX('Daily Sale entry '!$AB$1:$AB$1501,$J2420+1)),1))</f>
        <v/>
      </c>
      <c r="F2420" s="6">
        <f>IF($J2420="","",IF($J2420&lt;=1500,N(INDEX('Daily Sale entry '!$AC$1:$AC$1501,$J2420+1))-IF(AND('Opening Balance'!$B$15=1,INDEX('Daily Sale entry '!$Z$1:$Z$1501,$J2420+1)="Online collection 网上收款",INDEX('Daily Sale entry '!$AA$1:$AA$1501,$J2420+1)&lt;&gt;""),N(INDEX('Daily Sale entry '!$AC$1:$AC$1501,$J2420+1))-TRUNC(N(INDEX('Daily Sale entry '!$AC$1:$AC$1501,$J2420+1))),0),N(INDEX('Daily Sale entry '!$S$1:$S$1501,$J2420-1499))-'Opening Balance'!$B$15*(N(INDEX('Daily Sale entry '!$S$1:$S$1501,$J2420-1499))-TRUNC(N(INDEX('Daily Sale entry '!$S$1:$S$1501,$J2420-1499))))))</f>
        <v/>
      </c>
      <c r="G2420" s="6">
        <f>IF($J2420="","",IF($J2420&lt;=1500,N(INDEX('Daily Sale entry '!$AD$1:$AD$1501,$J2420+1)),0))</f>
        <v/>
      </c>
      <c r="H2420" s="6">
        <f>IF($J2420="","",ROUND('Opening Balance'!$B$4+SUM($F$2:F2420)-SUM($G$2:G2420),2))</f>
        <v/>
      </c>
      <c r="J2420" s="21">
        <f>IFERROR(MATCH(ROW()-1,$L$2:$L$3001,0),"")</f>
        <v/>
      </c>
      <c r="K2420" s="34">
        <f>IF(AND('Daily Sale entry '!Q920="Collection 收款",'Daily Sale entry '!R920="Cheque 支票",'Daily Sale entry '!V920&lt;&gt;""),'Daily Sale entry '!V920+ROW()/10000000,"")</f>
        <v/>
      </c>
      <c r="L2420" s="21">
        <f>IF(K2420="","",COUNTIF($K$2:$K$3001,"&lt;"&amp;K2420)+1)</f>
        <v/>
      </c>
    </row>
    <row r="2421">
      <c r="A2421" s="5">
        <f>IF($J2421="","",IF($J2421&lt;=1500,INDEX('Daily Sale entry '!$X$1:$X$1501,$J2421+1),INDEX('Daily Sale entry '!$V$1:$V$1501,$J2421-1499)))</f>
        <v/>
      </c>
      <c r="B2421">
        <f>IF($J2421="","",IF($J2421&lt;=1500,INDEX('Daily Sale entry '!$Y$1:$Y$1501,$J2421+1)&amp;"","Buyer cheque banked 买家支票存入"&amp;IF(INDEX('Daily Sale entry '!$U$1:$U$1501,$J2421-1499)="","", " - "&amp;INDEX('Daily Sale entry '!$U$1:$U$1501,$J2421-1499))))</f>
        <v/>
      </c>
      <c r="C2421">
        <f>IF($J2421="","",IF($J2421&lt;=1500,INDEX('Daily Sale entry '!$Z$1:$Z$1501,$J2421+1)&amp;"","Cheque deposit 支票存入 (buyer 买家)"))</f>
        <v/>
      </c>
      <c r="D2421">
        <f>IF($J2421="","",IF($J2421&lt;=1500,INDEX('Daily Sale entry '!$AA$1:$AA$1501,$J2421+1)&amp;"",INDEX('Daily Sale entry '!$P$1:$P$1501,$J2421-1499)&amp;""))</f>
        <v/>
      </c>
      <c r="E2421">
        <f>IF($J2421="","",IF($J2421&lt;=1500,IF(N(INDEX('Daily Sale entry '!$AB$1:$AB$1501,$J2421+1))=0,"",INDEX('Daily Sale entry '!$AB$1:$AB$1501,$J2421+1)),1))</f>
        <v/>
      </c>
      <c r="F2421" s="6">
        <f>IF($J2421="","",IF($J2421&lt;=1500,N(INDEX('Daily Sale entry '!$AC$1:$AC$1501,$J2421+1))-IF(AND('Opening Balance'!$B$15=1,INDEX('Daily Sale entry '!$Z$1:$Z$1501,$J2421+1)="Online collection 网上收款",INDEX('Daily Sale entry '!$AA$1:$AA$1501,$J2421+1)&lt;&gt;""),N(INDEX('Daily Sale entry '!$AC$1:$AC$1501,$J2421+1))-TRUNC(N(INDEX('Daily Sale entry '!$AC$1:$AC$1501,$J2421+1))),0),N(INDEX('Daily Sale entry '!$S$1:$S$1501,$J2421-1499))-'Opening Balance'!$B$15*(N(INDEX('Daily Sale entry '!$S$1:$S$1501,$J2421-1499))-TRUNC(N(INDEX('Daily Sale entry '!$S$1:$S$1501,$J2421-1499))))))</f>
        <v/>
      </c>
      <c r="G2421" s="6">
        <f>IF($J2421="","",IF($J2421&lt;=1500,N(INDEX('Daily Sale entry '!$AD$1:$AD$1501,$J2421+1)),0))</f>
        <v/>
      </c>
      <c r="H2421" s="6">
        <f>IF($J2421="","",ROUND('Opening Balance'!$B$4+SUM($F$2:F2421)-SUM($G$2:G2421),2))</f>
        <v/>
      </c>
      <c r="J2421" s="21">
        <f>IFERROR(MATCH(ROW()-1,$L$2:$L$3001,0),"")</f>
        <v/>
      </c>
      <c r="K2421" s="34">
        <f>IF(AND('Daily Sale entry '!Q921="Collection 收款",'Daily Sale entry '!R921="Cheque 支票",'Daily Sale entry '!V921&lt;&gt;""),'Daily Sale entry '!V921+ROW()/10000000,"")</f>
        <v/>
      </c>
      <c r="L2421" s="21">
        <f>IF(K2421="","",COUNTIF($K$2:$K$3001,"&lt;"&amp;K2421)+1)</f>
        <v/>
      </c>
    </row>
    <row r="2422">
      <c r="A2422" s="5">
        <f>IF($J2422="","",IF($J2422&lt;=1500,INDEX('Daily Sale entry '!$X$1:$X$1501,$J2422+1),INDEX('Daily Sale entry '!$V$1:$V$1501,$J2422-1499)))</f>
        <v/>
      </c>
      <c r="B2422">
        <f>IF($J2422="","",IF($J2422&lt;=1500,INDEX('Daily Sale entry '!$Y$1:$Y$1501,$J2422+1)&amp;"","Buyer cheque banked 买家支票存入"&amp;IF(INDEX('Daily Sale entry '!$U$1:$U$1501,$J2422-1499)="","", " - "&amp;INDEX('Daily Sale entry '!$U$1:$U$1501,$J2422-1499))))</f>
        <v/>
      </c>
      <c r="C2422">
        <f>IF($J2422="","",IF($J2422&lt;=1500,INDEX('Daily Sale entry '!$Z$1:$Z$1501,$J2422+1)&amp;"","Cheque deposit 支票存入 (buyer 买家)"))</f>
        <v/>
      </c>
      <c r="D2422">
        <f>IF($J2422="","",IF($J2422&lt;=1500,INDEX('Daily Sale entry '!$AA$1:$AA$1501,$J2422+1)&amp;"",INDEX('Daily Sale entry '!$P$1:$P$1501,$J2422-1499)&amp;""))</f>
        <v/>
      </c>
      <c r="E2422">
        <f>IF($J2422="","",IF($J2422&lt;=1500,IF(N(INDEX('Daily Sale entry '!$AB$1:$AB$1501,$J2422+1))=0,"",INDEX('Daily Sale entry '!$AB$1:$AB$1501,$J2422+1)),1))</f>
        <v/>
      </c>
      <c r="F2422" s="6">
        <f>IF($J2422="","",IF($J2422&lt;=1500,N(INDEX('Daily Sale entry '!$AC$1:$AC$1501,$J2422+1))-IF(AND('Opening Balance'!$B$15=1,INDEX('Daily Sale entry '!$Z$1:$Z$1501,$J2422+1)="Online collection 网上收款",INDEX('Daily Sale entry '!$AA$1:$AA$1501,$J2422+1)&lt;&gt;""),N(INDEX('Daily Sale entry '!$AC$1:$AC$1501,$J2422+1))-TRUNC(N(INDEX('Daily Sale entry '!$AC$1:$AC$1501,$J2422+1))),0),N(INDEX('Daily Sale entry '!$S$1:$S$1501,$J2422-1499))-'Opening Balance'!$B$15*(N(INDEX('Daily Sale entry '!$S$1:$S$1501,$J2422-1499))-TRUNC(N(INDEX('Daily Sale entry '!$S$1:$S$1501,$J2422-1499))))))</f>
        <v/>
      </c>
      <c r="G2422" s="6">
        <f>IF($J2422="","",IF($J2422&lt;=1500,N(INDEX('Daily Sale entry '!$AD$1:$AD$1501,$J2422+1)),0))</f>
        <v/>
      </c>
      <c r="H2422" s="6">
        <f>IF($J2422="","",ROUND('Opening Balance'!$B$4+SUM($F$2:F2422)-SUM($G$2:G2422),2))</f>
        <v/>
      </c>
      <c r="J2422" s="21">
        <f>IFERROR(MATCH(ROW()-1,$L$2:$L$3001,0),"")</f>
        <v/>
      </c>
      <c r="K2422" s="34">
        <f>IF(AND('Daily Sale entry '!Q922="Collection 收款",'Daily Sale entry '!R922="Cheque 支票",'Daily Sale entry '!V922&lt;&gt;""),'Daily Sale entry '!V922+ROW()/10000000,"")</f>
        <v/>
      </c>
      <c r="L2422" s="21">
        <f>IF(K2422="","",COUNTIF($K$2:$K$3001,"&lt;"&amp;K2422)+1)</f>
        <v/>
      </c>
    </row>
    <row r="2423">
      <c r="A2423" s="5">
        <f>IF($J2423="","",IF($J2423&lt;=1500,INDEX('Daily Sale entry '!$X$1:$X$1501,$J2423+1),INDEX('Daily Sale entry '!$V$1:$V$1501,$J2423-1499)))</f>
        <v/>
      </c>
      <c r="B2423">
        <f>IF($J2423="","",IF($J2423&lt;=1500,INDEX('Daily Sale entry '!$Y$1:$Y$1501,$J2423+1)&amp;"","Buyer cheque banked 买家支票存入"&amp;IF(INDEX('Daily Sale entry '!$U$1:$U$1501,$J2423-1499)="","", " - "&amp;INDEX('Daily Sale entry '!$U$1:$U$1501,$J2423-1499))))</f>
        <v/>
      </c>
      <c r="C2423">
        <f>IF($J2423="","",IF($J2423&lt;=1500,INDEX('Daily Sale entry '!$Z$1:$Z$1501,$J2423+1)&amp;"","Cheque deposit 支票存入 (buyer 买家)"))</f>
        <v/>
      </c>
      <c r="D2423">
        <f>IF($J2423="","",IF($J2423&lt;=1500,INDEX('Daily Sale entry '!$AA$1:$AA$1501,$J2423+1)&amp;"",INDEX('Daily Sale entry '!$P$1:$P$1501,$J2423-1499)&amp;""))</f>
        <v/>
      </c>
      <c r="E2423">
        <f>IF($J2423="","",IF($J2423&lt;=1500,IF(N(INDEX('Daily Sale entry '!$AB$1:$AB$1501,$J2423+1))=0,"",INDEX('Daily Sale entry '!$AB$1:$AB$1501,$J2423+1)),1))</f>
        <v/>
      </c>
      <c r="F2423" s="6">
        <f>IF($J2423="","",IF($J2423&lt;=1500,N(INDEX('Daily Sale entry '!$AC$1:$AC$1501,$J2423+1))-IF(AND('Opening Balance'!$B$15=1,INDEX('Daily Sale entry '!$Z$1:$Z$1501,$J2423+1)="Online collection 网上收款",INDEX('Daily Sale entry '!$AA$1:$AA$1501,$J2423+1)&lt;&gt;""),N(INDEX('Daily Sale entry '!$AC$1:$AC$1501,$J2423+1))-TRUNC(N(INDEX('Daily Sale entry '!$AC$1:$AC$1501,$J2423+1))),0),N(INDEX('Daily Sale entry '!$S$1:$S$1501,$J2423-1499))-'Opening Balance'!$B$15*(N(INDEX('Daily Sale entry '!$S$1:$S$1501,$J2423-1499))-TRUNC(N(INDEX('Daily Sale entry '!$S$1:$S$1501,$J2423-1499))))))</f>
        <v/>
      </c>
      <c r="G2423" s="6">
        <f>IF($J2423="","",IF($J2423&lt;=1500,N(INDEX('Daily Sale entry '!$AD$1:$AD$1501,$J2423+1)),0))</f>
        <v/>
      </c>
      <c r="H2423" s="6">
        <f>IF($J2423="","",ROUND('Opening Balance'!$B$4+SUM($F$2:F2423)-SUM($G$2:G2423),2))</f>
        <v/>
      </c>
      <c r="J2423" s="21">
        <f>IFERROR(MATCH(ROW()-1,$L$2:$L$3001,0),"")</f>
        <v/>
      </c>
      <c r="K2423" s="34">
        <f>IF(AND('Daily Sale entry '!Q923="Collection 收款",'Daily Sale entry '!R923="Cheque 支票",'Daily Sale entry '!V923&lt;&gt;""),'Daily Sale entry '!V923+ROW()/10000000,"")</f>
        <v/>
      </c>
      <c r="L2423" s="21">
        <f>IF(K2423="","",COUNTIF($K$2:$K$3001,"&lt;"&amp;K2423)+1)</f>
        <v/>
      </c>
    </row>
    <row r="2424">
      <c r="A2424" s="5">
        <f>IF($J2424="","",IF($J2424&lt;=1500,INDEX('Daily Sale entry '!$X$1:$X$1501,$J2424+1),INDEX('Daily Sale entry '!$V$1:$V$1501,$J2424-1499)))</f>
        <v/>
      </c>
      <c r="B2424">
        <f>IF($J2424="","",IF($J2424&lt;=1500,INDEX('Daily Sale entry '!$Y$1:$Y$1501,$J2424+1)&amp;"","Buyer cheque banked 买家支票存入"&amp;IF(INDEX('Daily Sale entry '!$U$1:$U$1501,$J2424-1499)="","", " - "&amp;INDEX('Daily Sale entry '!$U$1:$U$1501,$J2424-1499))))</f>
        <v/>
      </c>
      <c r="C2424">
        <f>IF($J2424="","",IF($J2424&lt;=1500,INDEX('Daily Sale entry '!$Z$1:$Z$1501,$J2424+1)&amp;"","Cheque deposit 支票存入 (buyer 买家)"))</f>
        <v/>
      </c>
      <c r="D2424">
        <f>IF($J2424="","",IF($J2424&lt;=1500,INDEX('Daily Sale entry '!$AA$1:$AA$1501,$J2424+1)&amp;"",INDEX('Daily Sale entry '!$P$1:$P$1501,$J2424-1499)&amp;""))</f>
        <v/>
      </c>
      <c r="E2424">
        <f>IF($J2424="","",IF($J2424&lt;=1500,IF(N(INDEX('Daily Sale entry '!$AB$1:$AB$1501,$J2424+1))=0,"",INDEX('Daily Sale entry '!$AB$1:$AB$1501,$J2424+1)),1))</f>
        <v/>
      </c>
      <c r="F2424" s="6">
        <f>IF($J2424="","",IF($J2424&lt;=1500,N(INDEX('Daily Sale entry '!$AC$1:$AC$1501,$J2424+1))-IF(AND('Opening Balance'!$B$15=1,INDEX('Daily Sale entry '!$Z$1:$Z$1501,$J2424+1)="Online collection 网上收款",INDEX('Daily Sale entry '!$AA$1:$AA$1501,$J2424+1)&lt;&gt;""),N(INDEX('Daily Sale entry '!$AC$1:$AC$1501,$J2424+1))-TRUNC(N(INDEX('Daily Sale entry '!$AC$1:$AC$1501,$J2424+1))),0),N(INDEX('Daily Sale entry '!$S$1:$S$1501,$J2424-1499))-'Opening Balance'!$B$15*(N(INDEX('Daily Sale entry '!$S$1:$S$1501,$J2424-1499))-TRUNC(N(INDEX('Daily Sale entry '!$S$1:$S$1501,$J2424-1499))))))</f>
        <v/>
      </c>
      <c r="G2424" s="6">
        <f>IF($J2424="","",IF($J2424&lt;=1500,N(INDEX('Daily Sale entry '!$AD$1:$AD$1501,$J2424+1)),0))</f>
        <v/>
      </c>
      <c r="H2424" s="6">
        <f>IF($J2424="","",ROUND('Opening Balance'!$B$4+SUM($F$2:F2424)-SUM($G$2:G2424),2))</f>
        <v/>
      </c>
      <c r="J2424" s="21">
        <f>IFERROR(MATCH(ROW()-1,$L$2:$L$3001,0),"")</f>
        <v/>
      </c>
      <c r="K2424" s="34">
        <f>IF(AND('Daily Sale entry '!Q924="Collection 收款",'Daily Sale entry '!R924="Cheque 支票",'Daily Sale entry '!V924&lt;&gt;""),'Daily Sale entry '!V924+ROW()/10000000,"")</f>
        <v/>
      </c>
      <c r="L2424" s="21">
        <f>IF(K2424="","",COUNTIF($K$2:$K$3001,"&lt;"&amp;K2424)+1)</f>
        <v/>
      </c>
    </row>
    <row r="2425">
      <c r="A2425" s="5">
        <f>IF($J2425="","",IF($J2425&lt;=1500,INDEX('Daily Sale entry '!$X$1:$X$1501,$J2425+1),INDEX('Daily Sale entry '!$V$1:$V$1501,$J2425-1499)))</f>
        <v/>
      </c>
      <c r="B2425">
        <f>IF($J2425="","",IF($J2425&lt;=1500,INDEX('Daily Sale entry '!$Y$1:$Y$1501,$J2425+1)&amp;"","Buyer cheque banked 买家支票存入"&amp;IF(INDEX('Daily Sale entry '!$U$1:$U$1501,$J2425-1499)="","", " - "&amp;INDEX('Daily Sale entry '!$U$1:$U$1501,$J2425-1499))))</f>
        <v/>
      </c>
      <c r="C2425">
        <f>IF($J2425="","",IF($J2425&lt;=1500,INDEX('Daily Sale entry '!$Z$1:$Z$1501,$J2425+1)&amp;"","Cheque deposit 支票存入 (buyer 买家)"))</f>
        <v/>
      </c>
      <c r="D2425">
        <f>IF($J2425="","",IF($J2425&lt;=1500,INDEX('Daily Sale entry '!$AA$1:$AA$1501,$J2425+1)&amp;"",INDEX('Daily Sale entry '!$P$1:$P$1501,$J2425-1499)&amp;""))</f>
        <v/>
      </c>
      <c r="E2425">
        <f>IF($J2425="","",IF($J2425&lt;=1500,IF(N(INDEX('Daily Sale entry '!$AB$1:$AB$1501,$J2425+1))=0,"",INDEX('Daily Sale entry '!$AB$1:$AB$1501,$J2425+1)),1))</f>
        <v/>
      </c>
      <c r="F2425" s="6">
        <f>IF($J2425="","",IF($J2425&lt;=1500,N(INDEX('Daily Sale entry '!$AC$1:$AC$1501,$J2425+1))-IF(AND('Opening Balance'!$B$15=1,INDEX('Daily Sale entry '!$Z$1:$Z$1501,$J2425+1)="Online collection 网上收款",INDEX('Daily Sale entry '!$AA$1:$AA$1501,$J2425+1)&lt;&gt;""),N(INDEX('Daily Sale entry '!$AC$1:$AC$1501,$J2425+1))-TRUNC(N(INDEX('Daily Sale entry '!$AC$1:$AC$1501,$J2425+1))),0),N(INDEX('Daily Sale entry '!$S$1:$S$1501,$J2425-1499))-'Opening Balance'!$B$15*(N(INDEX('Daily Sale entry '!$S$1:$S$1501,$J2425-1499))-TRUNC(N(INDEX('Daily Sale entry '!$S$1:$S$1501,$J2425-1499))))))</f>
        <v/>
      </c>
      <c r="G2425" s="6">
        <f>IF($J2425="","",IF($J2425&lt;=1500,N(INDEX('Daily Sale entry '!$AD$1:$AD$1501,$J2425+1)),0))</f>
        <v/>
      </c>
      <c r="H2425" s="6">
        <f>IF($J2425="","",ROUND('Opening Balance'!$B$4+SUM($F$2:F2425)-SUM($G$2:G2425),2))</f>
        <v/>
      </c>
      <c r="J2425" s="21">
        <f>IFERROR(MATCH(ROW()-1,$L$2:$L$3001,0),"")</f>
        <v/>
      </c>
      <c r="K2425" s="34">
        <f>IF(AND('Daily Sale entry '!Q925="Collection 收款",'Daily Sale entry '!R925="Cheque 支票",'Daily Sale entry '!V925&lt;&gt;""),'Daily Sale entry '!V925+ROW()/10000000,"")</f>
        <v/>
      </c>
      <c r="L2425" s="21">
        <f>IF(K2425="","",COUNTIF($K$2:$K$3001,"&lt;"&amp;K2425)+1)</f>
        <v/>
      </c>
    </row>
    <row r="2426">
      <c r="A2426" s="5">
        <f>IF($J2426="","",IF($J2426&lt;=1500,INDEX('Daily Sale entry '!$X$1:$X$1501,$J2426+1),INDEX('Daily Sale entry '!$V$1:$V$1501,$J2426-1499)))</f>
        <v/>
      </c>
      <c r="B2426">
        <f>IF($J2426="","",IF($J2426&lt;=1500,INDEX('Daily Sale entry '!$Y$1:$Y$1501,$J2426+1)&amp;"","Buyer cheque banked 买家支票存入"&amp;IF(INDEX('Daily Sale entry '!$U$1:$U$1501,$J2426-1499)="","", " - "&amp;INDEX('Daily Sale entry '!$U$1:$U$1501,$J2426-1499))))</f>
        <v/>
      </c>
      <c r="C2426">
        <f>IF($J2426="","",IF($J2426&lt;=1500,INDEX('Daily Sale entry '!$Z$1:$Z$1501,$J2426+1)&amp;"","Cheque deposit 支票存入 (buyer 买家)"))</f>
        <v/>
      </c>
      <c r="D2426">
        <f>IF($J2426="","",IF($J2426&lt;=1500,INDEX('Daily Sale entry '!$AA$1:$AA$1501,$J2426+1)&amp;"",INDEX('Daily Sale entry '!$P$1:$P$1501,$J2426-1499)&amp;""))</f>
        <v/>
      </c>
      <c r="E2426">
        <f>IF($J2426="","",IF($J2426&lt;=1500,IF(N(INDEX('Daily Sale entry '!$AB$1:$AB$1501,$J2426+1))=0,"",INDEX('Daily Sale entry '!$AB$1:$AB$1501,$J2426+1)),1))</f>
        <v/>
      </c>
      <c r="F2426" s="6">
        <f>IF($J2426="","",IF($J2426&lt;=1500,N(INDEX('Daily Sale entry '!$AC$1:$AC$1501,$J2426+1))-IF(AND('Opening Balance'!$B$15=1,INDEX('Daily Sale entry '!$Z$1:$Z$1501,$J2426+1)="Online collection 网上收款",INDEX('Daily Sale entry '!$AA$1:$AA$1501,$J2426+1)&lt;&gt;""),N(INDEX('Daily Sale entry '!$AC$1:$AC$1501,$J2426+1))-TRUNC(N(INDEX('Daily Sale entry '!$AC$1:$AC$1501,$J2426+1))),0),N(INDEX('Daily Sale entry '!$S$1:$S$1501,$J2426-1499))-'Opening Balance'!$B$15*(N(INDEX('Daily Sale entry '!$S$1:$S$1501,$J2426-1499))-TRUNC(N(INDEX('Daily Sale entry '!$S$1:$S$1501,$J2426-1499))))))</f>
        <v/>
      </c>
      <c r="G2426" s="6">
        <f>IF($J2426="","",IF($J2426&lt;=1500,N(INDEX('Daily Sale entry '!$AD$1:$AD$1501,$J2426+1)),0))</f>
        <v/>
      </c>
      <c r="H2426" s="6">
        <f>IF($J2426="","",ROUND('Opening Balance'!$B$4+SUM($F$2:F2426)-SUM($G$2:G2426),2))</f>
        <v/>
      </c>
      <c r="J2426" s="21">
        <f>IFERROR(MATCH(ROW()-1,$L$2:$L$3001,0),"")</f>
        <v/>
      </c>
      <c r="K2426" s="34">
        <f>IF(AND('Daily Sale entry '!Q926="Collection 收款",'Daily Sale entry '!R926="Cheque 支票",'Daily Sale entry '!V926&lt;&gt;""),'Daily Sale entry '!V926+ROW()/10000000,"")</f>
        <v/>
      </c>
      <c r="L2426" s="21">
        <f>IF(K2426="","",COUNTIF($K$2:$K$3001,"&lt;"&amp;K2426)+1)</f>
        <v/>
      </c>
    </row>
    <row r="2427">
      <c r="A2427" s="5">
        <f>IF($J2427="","",IF($J2427&lt;=1500,INDEX('Daily Sale entry '!$X$1:$X$1501,$J2427+1),INDEX('Daily Sale entry '!$V$1:$V$1501,$J2427-1499)))</f>
        <v/>
      </c>
      <c r="B2427">
        <f>IF($J2427="","",IF($J2427&lt;=1500,INDEX('Daily Sale entry '!$Y$1:$Y$1501,$J2427+1)&amp;"","Buyer cheque banked 买家支票存入"&amp;IF(INDEX('Daily Sale entry '!$U$1:$U$1501,$J2427-1499)="","", " - "&amp;INDEX('Daily Sale entry '!$U$1:$U$1501,$J2427-1499))))</f>
        <v/>
      </c>
      <c r="C2427">
        <f>IF($J2427="","",IF($J2427&lt;=1500,INDEX('Daily Sale entry '!$Z$1:$Z$1501,$J2427+1)&amp;"","Cheque deposit 支票存入 (buyer 买家)"))</f>
        <v/>
      </c>
      <c r="D2427">
        <f>IF($J2427="","",IF($J2427&lt;=1500,INDEX('Daily Sale entry '!$AA$1:$AA$1501,$J2427+1)&amp;"",INDEX('Daily Sale entry '!$P$1:$P$1501,$J2427-1499)&amp;""))</f>
        <v/>
      </c>
      <c r="E2427">
        <f>IF($J2427="","",IF($J2427&lt;=1500,IF(N(INDEX('Daily Sale entry '!$AB$1:$AB$1501,$J2427+1))=0,"",INDEX('Daily Sale entry '!$AB$1:$AB$1501,$J2427+1)),1))</f>
        <v/>
      </c>
      <c r="F2427" s="6">
        <f>IF($J2427="","",IF($J2427&lt;=1500,N(INDEX('Daily Sale entry '!$AC$1:$AC$1501,$J2427+1))-IF(AND('Opening Balance'!$B$15=1,INDEX('Daily Sale entry '!$Z$1:$Z$1501,$J2427+1)="Online collection 网上收款",INDEX('Daily Sale entry '!$AA$1:$AA$1501,$J2427+1)&lt;&gt;""),N(INDEX('Daily Sale entry '!$AC$1:$AC$1501,$J2427+1))-TRUNC(N(INDEX('Daily Sale entry '!$AC$1:$AC$1501,$J2427+1))),0),N(INDEX('Daily Sale entry '!$S$1:$S$1501,$J2427-1499))-'Opening Balance'!$B$15*(N(INDEX('Daily Sale entry '!$S$1:$S$1501,$J2427-1499))-TRUNC(N(INDEX('Daily Sale entry '!$S$1:$S$1501,$J2427-1499))))))</f>
        <v/>
      </c>
      <c r="G2427" s="6">
        <f>IF($J2427="","",IF($J2427&lt;=1500,N(INDEX('Daily Sale entry '!$AD$1:$AD$1501,$J2427+1)),0))</f>
        <v/>
      </c>
      <c r="H2427" s="6">
        <f>IF($J2427="","",ROUND('Opening Balance'!$B$4+SUM($F$2:F2427)-SUM($G$2:G2427),2))</f>
        <v/>
      </c>
      <c r="J2427" s="21">
        <f>IFERROR(MATCH(ROW()-1,$L$2:$L$3001,0),"")</f>
        <v/>
      </c>
      <c r="K2427" s="34">
        <f>IF(AND('Daily Sale entry '!Q927="Collection 收款",'Daily Sale entry '!R927="Cheque 支票",'Daily Sale entry '!V927&lt;&gt;""),'Daily Sale entry '!V927+ROW()/10000000,"")</f>
        <v/>
      </c>
      <c r="L2427" s="21">
        <f>IF(K2427="","",COUNTIF($K$2:$K$3001,"&lt;"&amp;K2427)+1)</f>
        <v/>
      </c>
    </row>
    <row r="2428">
      <c r="A2428" s="5">
        <f>IF($J2428="","",IF($J2428&lt;=1500,INDEX('Daily Sale entry '!$X$1:$X$1501,$J2428+1),INDEX('Daily Sale entry '!$V$1:$V$1501,$J2428-1499)))</f>
        <v/>
      </c>
      <c r="B2428">
        <f>IF($J2428="","",IF($J2428&lt;=1500,INDEX('Daily Sale entry '!$Y$1:$Y$1501,$J2428+1)&amp;"","Buyer cheque banked 买家支票存入"&amp;IF(INDEX('Daily Sale entry '!$U$1:$U$1501,$J2428-1499)="","", " - "&amp;INDEX('Daily Sale entry '!$U$1:$U$1501,$J2428-1499))))</f>
        <v/>
      </c>
      <c r="C2428">
        <f>IF($J2428="","",IF($J2428&lt;=1500,INDEX('Daily Sale entry '!$Z$1:$Z$1501,$J2428+1)&amp;"","Cheque deposit 支票存入 (buyer 买家)"))</f>
        <v/>
      </c>
      <c r="D2428">
        <f>IF($J2428="","",IF($J2428&lt;=1500,INDEX('Daily Sale entry '!$AA$1:$AA$1501,$J2428+1)&amp;"",INDEX('Daily Sale entry '!$P$1:$P$1501,$J2428-1499)&amp;""))</f>
        <v/>
      </c>
      <c r="E2428">
        <f>IF($J2428="","",IF($J2428&lt;=1500,IF(N(INDEX('Daily Sale entry '!$AB$1:$AB$1501,$J2428+1))=0,"",INDEX('Daily Sale entry '!$AB$1:$AB$1501,$J2428+1)),1))</f>
        <v/>
      </c>
      <c r="F2428" s="6">
        <f>IF($J2428="","",IF($J2428&lt;=1500,N(INDEX('Daily Sale entry '!$AC$1:$AC$1501,$J2428+1))-IF(AND('Opening Balance'!$B$15=1,INDEX('Daily Sale entry '!$Z$1:$Z$1501,$J2428+1)="Online collection 网上收款",INDEX('Daily Sale entry '!$AA$1:$AA$1501,$J2428+1)&lt;&gt;""),N(INDEX('Daily Sale entry '!$AC$1:$AC$1501,$J2428+1))-TRUNC(N(INDEX('Daily Sale entry '!$AC$1:$AC$1501,$J2428+1))),0),N(INDEX('Daily Sale entry '!$S$1:$S$1501,$J2428-1499))-'Opening Balance'!$B$15*(N(INDEX('Daily Sale entry '!$S$1:$S$1501,$J2428-1499))-TRUNC(N(INDEX('Daily Sale entry '!$S$1:$S$1501,$J2428-1499))))))</f>
        <v/>
      </c>
      <c r="G2428" s="6">
        <f>IF($J2428="","",IF($J2428&lt;=1500,N(INDEX('Daily Sale entry '!$AD$1:$AD$1501,$J2428+1)),0))</f>
        <v/>
      </c>
      <c r="H2428" s="6">
        <f>IF($J2428="","",ROUND('Opening Balance'!$B$4+SUM($F$2:F2428)-SUM($G$2:G2428),2))</f>
        <v/>
      </c>
      <c r="J2428" s="21">
        <f>IFERROR(MATCH(ROW()-1,$L$2:$L$3001,0),"")</f>
        <v/>
      </c>
      <c r="K2428" s="34">
        <f>IF(AND('Daily Sale entry '!Q928="Collection 收款",'Daily Sale entry '!R928="Cheque 支票",'Daily Sale entry '!V928&lt;&gt;""),'Daily Sale entry '!V928+ROW()/10000000,"")</f>
        <v/>
      </c>
      <c r="L2428" s="21">
        <f>IF(K2428="","",COUNTIF($K$2:$K$3001,"&lt;"&amp;K2428)+1)</f>
        <v/>
      </c>
    </row>
    <row r="2429">
      <c r="A2429" s="5">
        <f>IF($J2429="","",IF($J2429&lt;=1500,INDEX('Daily Sale entry '!$X$1:$X$1501,$J2429+1),INDEX('Daily Sale entry '!$V$1:$V$1501,$J2429-1499)))</f>
        <v/>
      </c>
      <c r="B2429">
        <f>IF($J2429="","",IF($J2429&lt;=1500,INDEX('Daily Sale entry '!$Y$1:$Y$1501,$J2429+1)&amp;"","Buyer cheque banked 买家支票存入"&amp;IF(INDEX('Daily Sale entry '!$U$1:$U$1501,$J2429-1499)="","", " - "&amp;INDEX('Daily Sale entry '!$U$1:$U$1501,$J2429-1499))))</f>
        <v/>
      </c>
      <c r="C2429">
        <f>IF($J2429="","",IF($J2429&lt;=1500,INDEX('Daily Sale entry '!$Z$1:$Z$1501,$J2429+1)&amp;"","Cheque deposit 支票存入 (buyer 买家)"))</f>
        <v/>
      </c>
      <c r="D2429">
        <f>IF($J2429="","",IF($J2429&lt;=1500,INDEX('Daily Sale entry '!$AA$1:$AA$1501,$J2429+1)&amp;"",INDEX('Daily Sale entry '!$P$1:$P$1501,$J2429-1499)&amp;""))</f>
        <v/>
      </c>
      <c r="E2429">
        <f>IF($J2429="","",IF($J2429&lt;=1500,IF(N(INDEX('Daily Sale entry '!$AB$1:$AB$1501,$J2429+1))=0,"",INDEX('Daily Sale entry '!$AB$1:$AB$1501,$J2429+1)),1))</f>
        <v/>
      </c>
      <c r="F2429" s="6">
        <f>IF($J2429="","",IF($J2429&lt;=1500,N(INDEX('Daily Sale entry '!$AC$1:$AC$1501,$J2429+1))-IF(AND('Opening Balance'!$B$15=1,INDEX('Daily Sale entry '!$Z$1:$Z$1501,$J2429+1)="Online collection 网上收款",INDEX('Daily Sale entry '!$AA$1:$AA$1501,$J2429+1)&lt;&gt;""),N(INDEX('Daily Sale entry '!$AC$1:$AC$1501,$J2429+1))-TRUNC(N(INDEX('Daily Sale entry '!$AC$1:$AC$1501,$J2429+1))),0),N(INDEX('Daily Sale entry '!$S$1:$S$1501,$J2429-1499))-'Opening Balance'!$B$15*(N(INDEX('Daily Sale entry '!$S$1:$S$1501,$J2429-1499))-TRUNC(N(INDEX('Daily Sale entry '!$S$1:$S$1501,$J2429-1499))))))</f>
        <v/>
      </c>
      <c r="G2429" s="6">
        <f>IF($J2429="","",IF($J2429&lt;=1500,N(INDEX('Daily Sale entry '!$AD$1:$AD$1501,$J2429+1)),0))</f>
        <v/>
      </c>
      <c r="H2429" s="6">
        <f>IF($J2429="","",ROUND('Opening Balance'!$B$4+SUM($F$2:F2429)-SUM($G$2:G2429),2))</f>
        <v/>
      </c>
      <c r="J2429" s="21">
        <f>IFERROR(MATCH(ROW()-1,$L$2:$L$3001,0),"")</f>
        <v/>
      </c>
      <c r="K2429" s="34">
        <f>IF(AND('Daily Sale entry '!Q929="Collection 收款",'Daily Sale entry '!R929="Cheque 支票",'Daily Sale entry '!V929&lt;&gt;""),'Daily Sale entry '!V929+ROW()/10000000,"")</f>
        <v/>
      </c>
      <c r="L2429" s="21">
        <f>IF(K2429="","",COUNTIF($K$2:$K$3001,"&lt;"&amp;K2429)+1)</f>
        <v/>
      </c>
    </row>
    <row r="2430">
      <c r="A2430" s="5">
        <f>IF($J2430="","",IF($J2430&lt;=1500,INDEX('Daily Sale entry '!$X$1:$X$1501,$J2430+1),INDEX('Daily Sale entry '!$V$1:$V$1501,$J2430-1499)))</f>
        <v/>
      </c>
      <c r="B2430">
        <f>IF($J2430="","",IF($J2430&lt;=1500,INDEX('Daily Sale entry '!$Y$1:$Y$1501,$J2430+1)&amp;"","Buyer cheque banked 买家支票存入"&amp;IF(INDEX('Daily Sale entry '!$U$1:$U$1501,$J2430-1499)="","", " - "&amp;INDEX('Daily Sale entry '!$U$1:$U$1501,$J2430-1499))))</f>
        <v/>
      </c>
      <c r="C2430">
        <f>IF($J2430="","",IF($J2430&lt;=1500,INDEX('Daily Sale entry '!$Z$1:$Z$1501,$J2430+1)&amp;"","Cheque deposit 支票存入 (buyer 买家)"))</f>
        <v/>
      </c>
      <c r="D2430">
        <f>IF($J2430="","",IF($J2430&lt;=1500,INDEX('Daily Sale entry '!$AA$1:$AA$1501,$J2430+1)&amp;"",INDEX('Daily Sale entry '!$P$1:$P$1501,$J2430-1499)&amp;""))</f>
        <v/>
      </c>
      <c r="E2430">
        <f>IF($J2430="","",IF($J2430&lt;=1500,IF(N(INDEX('Daily Sale entry '!$AB$1:$AB$1501,$J2430+1))=0,"",INDEX('Daily Sale entry '!$AB$1:$AB$1501,$J2430+1)),1))</f>
        <v/>
      </c>
      <c r="F2430" s="6">
        <f>IF($J2430="","",IF($J2430&lt;=1500,N(INDEX('Daily Sale entry '!$AC$1:$AC$1501,$J2430+1))-IF(AND('Opening Balance'!$B$15=1,INDEX('Daily Sale entry '!$Z$1:$Z$1501,$J2430+1)="Online collection 网上收款",INDEX('Daily Sale entry '!$AA$1:$AA$1501,$J2430+1)&lt;&gt;""),N(INDEX('Daily Sale entry '!$AC$1:$AC$1501,$J2430+1))-TRUNC(N(INDEX('Daily Sale entry '!$AC$1:$AC$1501,$J2430+1))),0),N(INDEX('Daily Sale entry '!$S$1:$S$1501,$J2430-1499))-'Opening Balance'!$B$15*(N(INDEX('Daily Sale entry '!$S$1:$S$1501,$J2430-1499))-TRUNC(N(INDEX('Daily Sale entry '!$S$1:$S$1501,$J2430-1499))))))</f>
        <v/>
      </c>
      <c r="G2430" s="6">
        <f>IF($J2430="","",IF($J2430&lt;=1500,N(INDEX('Daily Sale entry '!$AD$1:$AD$1501,$J2430+1)),0))</f>
        <v/>
      </c>
      <c r="H2430" s="6">
        <f>IF($J2430="","",ROUND('Opening Balance'!$B$4+SUM($F$2:F2430)-SUM($G$2:G2430),2))</f>
        <v/>
      </c>
      <c r="J2430" s="21">
        <f>IFERROR(MATCH(ROW()-1,$L$2:$L$3001,0),"")</f>
        <v/>
      </c>
      <c r="K2430" s="34">
        <f>IF(AND('Daily Sale entry '!Q930="Collection 收款",'Daily Sale entry '!R930="Cheque 支票",'Daily Sale entry '!V930&lt;&gt;""),'Daily Sale entry '!V930+ROW()/10000000,"")</f>
        <v/>
      </c>
      <c r="L2430" s="21">
        <f>IF(K2430="","",COUNTIF($K$2:$K$3001,"&lt;"&amp;K2430)+1)</f>
        <v/>
      </c>
    </row>
    <row r="2431">
      <c r="A2431" s="5">
        <f>IF($J2431="","",IF($J2431&lt;=1500,INDEX('Daily Sale entry '!$X$1:$X$1501,$J2431+1),INDEX('Daily Sale entry '!$V$1:$V$1501,$J2431-1499)))</f>
        <v/>
      </c>
      <c r="B2431">
        <f>IF($J2431="","",IF($J2431&lt;=1500,INDEX('Daily Sale entry '!$Y$1:$Y$1501,$J2431+1)&amp;"","Buyer cheque banked 买家支票存入"&amp;IF(INDEX('Daily Sale entry '!$U$1:$U$1501,$J2431-1499)="","", " - "&amp;INDEX('Daily Sale entry '!$U$1:$U$1501,$J2431-1499))))</f>
        <v/>
      </c>
      <c r="C2431">
        <f>IF($J2431="","",IF($J2431&lt;=1500,INDEX('Daily Sale entry '!$Z$1:$Z$1501,$J2431+1)&amp;"","Cheque deposit 支票存入 (buyer 买家)"))</f>
        <v/>
      </c>
      <c r="D2431">
        <f>IF($J2431="","",IF($J2431&lt;=1500,INDEX('Daily Sale entry '!$AA$1:$AA$1501,$J2431+1)&amp;"",INDEX('Daily Sale entry '!$P$1:$P$1501,$J2431-1499)&amp;""))</f>
        <v/>
      </c>
      <c r="E2431">
        <f>IF($J2431="","",IF($J2431&lt;=1500,IF(N(INDEX('Daily Sale entry '!$AB$1:$AB$1501,$J2431+1))=0,"",INDEX('Daily Sale entry '!$AB$1:$AB$1501,$J2431+1)),1))</f>
        <v/>
      </c>
      <c r="F2431" s="6">
        <f>IF($J2431="","",IF($J2431&lt;=1500,N(INDEX('Daily Sale entry '!$AC$1:$AC$1501,$J2431+1))-IF(AND('Opening Balance'!$B$15=1,INDEX('Daily Sale entry '!$Z$1:$Z$1501,$J2431+1)="Online collection 网上收款",INDEX('Daily Sale entry '!$AA$1:$AA$1501,$J2431+1)&lt;&gt;""),N(INDEX('Daily Sale entry '!$AC$1:$AC$1501,$J2431+1))-TRUNC(N(INDEX('Daily Sale entry '!$AC$1:$AC$1501,$J2431+1))),0),N(INDEX('Daily Sale entry '!$S$1:$S$1501,$J2431-1499))-'Opening Balance'!$B$15*(N(INDEX('Daily Sale entry '!$S$1:$S$1501,$J2431-1499))-TRUNC(N(INDEX('Daily Sale entry '!$S$1:$S$1501,$J2431-1499))))))</f>
        <v/>
      </c>
      <c r="G2431" s="6">
        <f>IF($J2431="","",IF($J2431&lt;=1500,N(INDEX('Daily Sale entry '!$AD$1:$AD$1501,$J2431+1)),0))</f>
        <v/>
      </c>
      <c r="H2431" s="6">
        <f>IF($J2431="","",ROUND('Opening Balance'!$B$4+SUM($F$2:F2431)-SUM($G$2:G2431),2))</f>
        <v/>
      </c>
      <c r="J2431" s="21">
        <f>IFERROR(MATCH(ROW()-1,$L$2:$L$3001,0),"")</f>
        <v/>
      </c>
      <c r="K2431" s="34">
        <f>IF(AND('Daily Sale entry '!Q931="Collection 收款",'Daily Sale entry '!R931="Cheque 支票",'Daily Sale entry '!V931&lt;&gt;""),'Daily Sale entry '!V931+ROW()/10000000,"")</f>
        <v/>
      </c>
      <c r="L2431" s="21">
        <f>IF(K2431="","",COUNTIF($K$2:$K$3001,"&lt;"&amp;K2431)+1)</f>
        <v/>
      </c>
    </row>
    <row r="2432">
      <c r="A2432" s="5">
        <f>IF($J2432="","",IF($J2432&lt;=1500,INDEX('Daily Sale entry '!$X$1:$X$1501,$J2432+1),INDEX('Daily Sale entry '!$V$1:$V$1501,$J2432-1499)))</f>
        <v/>
      </c>
      <c r="B2432">
        <f>IF($J2432="","",IF($J2432&lt;=1500,INDEX('Daily Sale entry '!$Y$1:$Y$1501,$J2432+1)&amp;"","Buyer cheque banked 买家支票存入"&amp;IF(INDEX('Daily Sale entry '!$U$1:$U$1501,$J2432-1499)="","", " - "&amp;INDEX('Daily Sale entry '!$U$1:$U$1501,$J2432-1499))))</f>
        <v/>
      </c>
      <c r="C2432">
        <f>IF($J2432="","",IF($J2432&lt;=1500,INDEX('Daily Sale entry '!$Z$1:$Z$1501,$J2432+1)&amp;"","Cheque deposit 支票存入 (buyer 买家)"))</f>
        <v/>
      </c>
      <c r="D2432">
        <f>IF($J2432="","",IF($J2432&lt;=1500,INDEX('Daily Sale entry '!$AA$1:$AA$1501,$J2432+1)&amp;"",INDEX('Daily Sale entry '!$P$1:$P$1501,$J2432-1499)&amp;""))</f>
        <v/>
      </c>
      <c r="E2432">
        <f>IF($J2432="","",IF($J2432&lt;=1500,IF(N(INDEX('Daily Sale entry '!$AB$1:$AB$1501,$J2432+1))=0,"",INDEX('Daily Sale entry '!$AB$1:$AB$1501,$J2432+1)),1))</f>
        <v/>
      </c>
      <c r="F2432" s="6">
        <f>IF($J2432="","",IF($J2432&lt;=1500,N(INDEX('Daily Sale entry '!$AC$1:$AC$1501,$J2432+1))-IF(AND('Opening Balance'!$B$15=1,INDEX('Daily Sale entry '!$Z$1:$Z$1501,$J2432+1)="Online collection 网上收款",INDEX('Daily Sale entry '!$AA$1:$AA$1501,$J2432+1)&lt;&gt;""),N(INDEX('Daily Sale entry '!$AC$1:$AC$1501,$J2432+1))-TRUNC(N(INDEX('Daily Sale entry '!$AC$1:$AC$1501,$J2432+1))),0),N(INDEX('Daily Sale entry '!$S$1:$S$1501,$J2432-1499))-'Opening Balance'!$B$15*(N(INDEX('Daily Sale entry '!$S$1:$S$1501,$J2432-1499))-TRUNC(N(INDEX('Daily Sale entry '!$S$1:$S$1501,$J2432-1499))))))</f>
        <v/>
      </c>
      <c r="G2432" s="6">
        <f>IF($J2432="","",IF($J2432&lt;=1500,N(INDEX('Daily Sale entry '!$AD$1:$AD$1501,$J2432+1)),0))</f>
        <v/>
      </c>
      <c r="H2432" s="6">
        <f>IF($J2432="","",ROUND('Opening Balance'!$B$4+SUM($F$2:F2432)-SUM($G$2:G2432),2))</f>
        <v/>
      </c>
      <c r="J2432" s="21">
        <f>IFERROR(MATCH(ROW()-1,$L$2:$L$3001,0),"")</f>
        <v/>
      </c>
      <c r="K2432" s="34">
        <f>IF(AND('Daily Sale entry '!Q932="Collection 收款",'Daily Sale entry '!R932="Cheque 支票",'Daily Sale entry '!V932&lt;&gt;""),'Daily Sale entry '!V932+ROW()/10000000,"")</f>
        <v/>
      </c>
      <c r="L2432" s="21">
        <f>IF(K2432="","",COUNTIF($K$2:$K$3001,"&lt;"&amp;K2432)+1)</f>
        <v/>
      </c>
    </row>
    <row r="2433">
      <c r="A2433" s="5">
        <f>IF($J2433="","",IF($J2433&lt;=1500,INDEX('Daily Sale entry '!$X$1:$X$1501,$J2433+1),INDEX('Daily Sale entry '!$V$1:$V$1501,$J2433-1499)))</f>
        <v/>
      </c>
      <c r="B2433">
        <f>IF($J2433="","",IF($J2433&lt;=1500,INDEX('Daily Sale entry '!$Y$1:$Y$1501,$J2433+1)&amp;"","Buyer cheque banked 买家支票存入"&amp;IF(INDEX('Daily Sale entry '!$U$1:$U$1501,$J2433-1499)="","", " - "&amp;INDEX('Daily Sale entry '!$U$1:$U$1501,$J2433-1499))))</f>
        <v/>
      </c>
      <c r="C2433">
        <f>IF($J2433="","",IF($J2433&lt;=1500,INDEX('Daily Sale entry '!$Z$1:$Z$1501,$J2433+1)&amp;"","Cheque deposit 支票存入 (buyer 买家)"))</f>
        <v/>
      </c>
      <c r="D2433">
        <f>IF($J2433="","",IF($J2433&lt;=1500,INDEX('Daily Sale entry '!$AA$1:$AA$1501,$J2433+1)&amp;"",INDEX('Daily Sale entry '!$P$1:$P$1501,$J2433-1499)&amp;""))</f>
        <v/>
      </c>
      <c r="E2433">
        <f>IF($J2433="","",IF($J2433&lt;=1500,IF(N(INDEX('Daily Sale entry '!$AB$1:$AB$1501,$J2433+1))=0,"",INDEX('Daily Sale entry '!$AB$1:$AB$1501,$J2433+1)),1))</f>
        <v/>
      </c>
      <c r="F2433" s="6">
        <f>IF($J2433="","",IF($J2433&lt;=1500,N(INDEX('Daily Sale entry '!$AC$1:$AC$1501,$J2433+1))-IF(AND('Opening Balance'!$B$15=1,INDEX('Daily Sale entry '!$Z$1:$Z$1501,$J2433+1)="Online collection 网上收款",INDEX('Daily Sale entry '!$AA$1:$AA$1501,$J2433+1)&lt;&gt;""),N(INDEX('Daily Sale entry '!$AC$1:$AC$1501,$J2433+1))-TRUNC(N(INDEX('Daily Sale entry '!$AC$1:$AC$1501,$J2433+1))),0),N(INDEX('Daily Sale entry '!$S$1:$S$1501,$J2433-1499))-'Opening Balance'!$B$15*(N(INDEX('Daily Sale entry '!$S$1:$S$1501,$J2433-1499))-TRUNC(N(INDEX('Daily Sale entry '!$S$1:$S$1501,$J2433-1499))))))</f>
        <v/>
      </c>
      <c r="G2433" s="6">
        <f>IF($J2433="","",IF($J2433&lt;=1500,N(INDEX('Daily Sale entry '!$AD$1:$AD$1501,$J2433+1)),0))</f>
        <v/>
      </c>
      <c r="H2433" s="6">
        <f>IF($J2433="","",ROUND('Opening Balance'!$B$4+SUM($F$2:F2433)-SUM($G$2:G2433),2))</f>
        <v/>
      </c>
      <c r="J2433" s="21">
        <f>IFERROR(MATCH(ROW()-1,$L$2:$L$3001,0),"")</f>
        <v/>
      </c>
      <c r="K2433" s="34">
        <f>IF(AND('Daily Sale entry '!Q933="Collection 收款",'Daily Sale entry '!R933="Cheque 支票",'Daily Sale entry '!V933&lt;&gt;""),'Daily Sale entry '!V933+ROW()/10000000,"")</f>
        <v/>
      </c>
      <c r="L2433" s="21">
        <f>IF(K2433="","",COUNTIF($K$2:$K$3001,"&lt;"&amp;K2433)+1)</f>
        <v/>
      </c>
    </row>
    <row r="2434">
      <c r="A2434" s="5">
        <f>IF($J2434="","",IF($J2434&lt;=1500,INDEX('Daily Sale entry '!$X$1:$X$1501,$J2434+1),INDEX('Daily Sale entry '!$V$1:$V$1501,$J2434-1499)))</f>
        <v/>
      </c>
      <c r="B2434">
        <f>IF($J2434="","",IF($J2434&lt;=1500,INDEX('Daily Sale entry '!$Y$1:$Y$1501,$J2434+1)&amp;"","Buyer cheque banked 买家支票存入"&amp;IF(INDEX('Daily Sale entry '!$U$1:$U$1501,$J2434-1499)="","", " - "&amp;INDEX('Daily Sale entry '!$U$1:$U$1501,$J2434-1499))))</f>
        <v/>
      </c>
      <c r="C2434">
        <f>IF($J2434="","",IF($J2434&lt;=1500,INDEX('Daily Sale entry '!$Z$1:$Z$1501,$J2434+1)&amp;"","Cheque deposit 支票存入 (buyer 买家)"))</f>
        <v/>
      </c>
      <c r="D2434">
        <f>IF($J2434="","",IF($J2434&lt;=1500,INDEX('Daily Sale entry '!$AA$1:$AA$1501,$J2434+1)&amp;"",INDEX('Daily Sale entry '!$P$1:$P$1501,$J2434-1499)&amp;""))</f>
        <v/>
      </c>
      <c r="E2434">
        <f>IF($J2434="","",IF($J2434&lt;=1500,IF(N(INDEX('Daily Sale entry '!$AB$1:$AB$1501,$J2434+1))=0,"",INDEX('Daily Sale entry '!$AB$1:$AB$1501,$J2434+1)),1))</f>
        <v/>
      </c>
      <c r="F2434" s="6">
        <f>IF($J2434="","",IF($J2434&lt;=1500,N(INDEX('Daily Sale entry '!$AC$1:$AC$1501,$J2434+1))-IF(AND('Opening Balance'!$B$15=1,INDEX('Daily Sale entry '!$Z$1:$Z$1501,$J2434+1)="Online collection 网上收款",INDEX('Daily Sale entry '!$AA$1:$AA$1501,$J2434+1)&lt;&gt;""),N(INDEX('Daily Sale entry '!$AC$1:$AC$1501,$J2434+1))-TRUNC(N(INDEX('Daily Sale entry '!$AC$1:$AC$1501,$J2434+1))),0),N(INDEX('Daily Sale entry '!$S$1:$S$1501,$J2434-1499))-'Opening Balance'!$B$15*(N(INDEX('Daily Sale entry '!$S$1:$S$1501,$J2434-1499))-TRUNC(N(INDEX('Daily Sale entry '!$S$1:$S$1501,$J2434-1499))))))</f>
        <v/>
      </c>
      <c r="G2434" s="6">
        <f>IF($J2434="","",IF($J2434&lt;=1500,N(INDEX('Daily Sale entry '!$AD$1:$AD$1501,$J2434+1)),0))</f>
        <v/>
      </c>
      <c r="H2434" s="6">
        <f>IF($J2434="","",ROUND('Opening Balance'!$B$4+SUM($F$2:F2434)-SUM($G$2:G2434),2))</f>
        <v/>
      </c>
      <c r="J2434" s="21">
        <f>IFERROR(MATCH(ROW()-1,$L$2:$L$3001,0),"")</f>
        <v/>
      </c>
      <c r="K2434" s="34">
        <f>IF(AND('Daily Sale entry '!Q934="Collection 收款",'Daily Sale entry '!R934="Cheque 支票",'Daily Sale entry '!V934&lt;&gt;""),'Daily Sale entry '!V934+ROW()/10000000,"")</f>
        <v/>
      </c>
      <c r="L2434" s="21">
        <f>IF(K2434="","",COUNTIF($K$2:$K$3001,"&lt;"&amp;K2434)+1)</f>
        <v/>
      </c>
    </row>
    <row r="2435">
      <c r="A2435" s="5">
        <f>IF($J2435="","",IF($J2435&lt;=1500,INDEX('Daily Sale entry '!$X$1:$X$1501,$J2435+1),INDEX('Daily Sale entry '!$V$1:$V$1501,$J2435-1499)))</f>
        <v/>
      </c>
      <c r="B2435">
        <f>IF($J2435="","",IF($J2435&lt;=1500,INDEX('Daily Sale entry '!$Y$1:$Y$1501,$J2435+1)&amp;"","Buyer cheque banked 买家支票存入"&amp;IF(INDEX('Daily Sale entry '!$U$1:$U$1501,$J2435-1499)="","", " - "&amp;INDEX('Daily Sale entry '!$U$1:$U$1501,$J2435-1499))))</f>
        <v/>
      </c>
      <c r="C2435">
        <f>IF($J2435="","",IF($J2435&lt;=1500,INDEX('Daily Sale entry '!$Z$1:$Z$1501,$J2435+1)&amp;"","Cheque deposit 支票存入 (buyer 买家)"))</f>
        <v/>
      </c>
      <c r="D2435">
        <f>IF($J2435="","",IF($J2435&lt;=1500,INDEX('Daily Sale entry '!$AA$1:$AA$1501,$J2435+1)&amp;"",INDEX('Daily Sale entry '!$P$1:$P$1501,$J2435-1499)&amp;""))</f>
        <v/>
      </c>
      <c r="E2435">
        <f>IF($J2435="","",IF($J2435&lt;=1500,IF(N(INDEX('Daily Sale entry '!$AB$1:$AB$1501,$J2435+1))=0,"",INDEX('Daily Sale entry '!$AB$1:$AB$1501,$J2435+1)),1))</f>
        <v/>
      </c>
      <c r="F2435" s="6">
        <f>IF($J2435="","",IF($J2435&lt;=1500,N(INDEX('Daily Sale entry '!$AC$1:$AC$1501,$J2435+1))-IF(AND('Opening Balance'!$B$15=1,INDEX('Daily Sale entry '!$Z$1:$Z$1501,$J2435+1)="Online collection 网上收款",INDEX('Daily Sale entry '!$AA$1:$AA$1501,$J2435+1)&lt;&gt;""),N(INDEX('Daily Sale entry '!$AC$1:$AC$1501,$J2435+1))-TRUNC(N(INDEX('Daily Sale entry '!$AC$1:$AC$1501,$J2435+1))),0),N(INDEX('Daily Sale entry '!$S$1:$S$1501,$J2435-1499))-'Opening Balance'!$B$15*(N(INDEX('Daily Sale entry '!$S$1:$S$1501,$J2435-1499))-TRUNC(N(INDEX('Daily Sale entry '!$S$1:$S$1501,$J2435-1499))))))</f>
        <v/>
      </c>
      <c r="G2435" s="6">
        <f>IF($J2435="","",IF($J2435&lt;=1500,N(INDEX('Daily Sale entry '!$AD$1:$AD$1501,$J2435+1)),0))</f>
        <v/>
      </c>
      <c r="H2435" s="6">
        <f>IF($J2435="","",ROUND('Opening Balance'!$B$4+SUM($F$2:F2435)-SUM($G$2:G2435),2))</f>
        <v/>
      </c>
      <c r="J2435" s="21">
        <f>IFERROR(MATCH(ROW()-1,$L$2:$L$3001,0),"")</f>
        <v/>
      </c>
      <c r="K2435" s="34">
        <f>IF(AND('Daily Sale entry '!Q935="Collection 收款",'Daily Sale entry '!R935="Cheque 支票",'Daily Sale entry '!V935&lt;&gt;""),'Daily Sale entry '!V935+ROW()/10000000,"")</f>
        <v/>
      </c>
      <c r="L2435" s="21">
        <f>IF(K2435="","",COUNTIF($K$2:$K$3001,"&lt;"&amp;K2435)+1)</f>
        <v/>
      </c>
    </row>
    <row r="2436">
      <c r="A2436" s="5">
        <f>IF($J2436="","",IF($J2436&lt;=1500,INDEX('Daily Sale entry '!$X$1:$X$1501,$J2436+1),INDEX('Daily Sale entry '!$V$1:$V$1501,$J2436-1499)))</f>
        <v/>
      </c>
      <c r="B2436">
        <f>IF($J2436="","",IF($J2436&lt;=1500,INDEX('Daily Sale entry '!$Y$1:$Y$1501,$J2436+1)&amp;"","Buyer cheque banked 买家支票存入"&amp;IF(INDEX('Daily Sale entry '!$U$1:$U$1501,$J2436-1499)="","", " - "&amp;INDEX('Daily Sale entry '!$U$1:$U$1501,$J2436-1499))))</f>
        <v/>
      </c>
      <c r="C2436">
        <f>IF($J2436="","",IF($J2436&lt;=1500,INDEX('Daily Sale entry '!$Z$1:$Z$1501,$J2436+1)&amp;"","Cheque deposit 支票存入 (buyer 买家)"))</f>
        <v/>
      </c>
      <c r="D2436">
        <f>IF($J2436="","",IF($J2436&lt;=1500,INDEX('Daily Sale entry '!$AA$1:$AA$1501,$J2436+1)&amp;"",INDEX('Daily Sale entry '!$P$1:$P$1501,$J2436-1499)&amp;""))</f>
        <v/>
      </c>
      <c r="E2436">
        <f>IF($J2436="","",IF($J2436&lt;=1500,IF(N(INDEX('Daily Sale entry '!$AB$1:$AB$1501,$J2436+1))=0,"",INDEX('Daily Sale entry '!$AB$1:$AB$1501,$J2436+1)),1))</f>
        <v/>
      </c>
      <c r="F2436" s="6">
        <f>IF($J2436="","",IF($J2436&lt;=1500,N(INDEX('Daily Sale entry '!$AC$1:$AC$1501,$J2436+1))-IF(AND('Opening Balance'!$B$15=1,INDEX('Daily Sale entry '!$Z$1:$Z$1501,$J2436+1)="Online collection 网上收款",INDEX('Daily Sale entry '!$AA$1:$AA$1501,$J2436+1)&lt;&gt;""),N(INDEX('Daily Sale entry '!$AC$1:$AC$1501,$J2436+1))-TRUNC(N(INDEX('Daily Sale entry '!$AC$1:$AC$1501,$J2436+1))),0),N(INDEX('Daily Sale entry '!$S$1:$S$1501,$J2436-1499))-'Opening Balance'!$B$15*(N(INDEX('Daily Sale entry '!$S$1:$S$1501,$J2436-1499))-TRUNC(N(INDEX('Daily Sale entry '!$S$1:$S$1501,$J2436-1499))))))</f>
        <v/>
      </c>
      <c r="G2436" s="6">
        <f>IF($J2436="","",IF($J2436&lt;=1500,N(INDEX('Daily Sale entry '!$AD$1:$AD$1501,$J2436+1)),0))</f>
        <v/>
      </c>
      <c r="H2436" s="6">
        <f>IF($J2436="","",ROUND('Opening Balance'!$B$4+SUM($F$2:F2436)-SUM($G$2:G2436),2))</f>
        <v/>
      </c>
      <c r="J2436" s="21">
        <f>IFERROR(MATCH(ROW()-1,$L$2:$L$3001,0),"")</f>
        <v/>
      </c>
      <c r="K2436" s="34">
        <f>IF(AND('Daily Sale entry '!Q936="Collection 收款",'Daily Sale entry '!R936="Cheque 支票",'Daily Sale entry '!V936&lt;&gt;""),'Daily Sale entry '!V936+ROW()/10000000,"")</f>
        <v/>
      </c>
      <c r="L2436" s="21">
        <f>IF(K2436="","",COUNTIF($K$2:$K$3001,"&lt;"&amp;K2436)+1)</f>
        <v/>
      </c>
    </row>
    <row r="2437">
      <c r="A2437" s="5">
        <f>IF($J2437="","",IF($J2437&lt;=1500,INDEX('Daily Sale entry '!$X$1:$X$1501,$J2437+1),INDEX('Daily Sale entry '!$V$1:$V$1501,$J2437-1499)))</f>
        <v/>
      </c>
      <c r="B2437">
        <f>IF($J2437="","",IF($J2437&lt;=1500,INDEX('Daily Sale entry '!$Y$1:$Y$1501,$J2437+1)&amp;"","Buyer cheque banked 买家支票存入"&amp;IF(INDEX('Daily Sale entry '!$U$1:$U$1501,$J2437-1499)="","", " - "&amp;INDEX('Daily Sale entry '!$U$1:$U$1501,$J2437-1499))))</f>
        <v/>
      </c>
      <c r="C2437">
        <f>IF($J2437="","",IF($J2437&lt;=1500,INDEX('Daily Sale entry '!$Z$1:$Z$1501,$J2437+1)&amp;"","Cheque deposit 支票存入 (buyer 买家)"))</f>
        <v/>
      </c>
      <c r="D2437">
        <f>IF($J2437="","",IF($J2437&lt;=1500,INDEX('Daily Sale entry '!$AA$1:$AA$1501,$J2437+1)&amp;"",INDEX('Daily Sale entry '!$P$1:$P$1501,$J2437-1499)&amp;""))</f>
        <v/>
      </c>
      <c r="E2437">
        <f>IF($J2437="","",IF($J2437&lt;=1500,IF(N(INDEX('Daily Sale entry '!$AB$1:$AB$1501,$J2437+1))=0,"",INDEX('Daily Sale entry '!$AB$1:$AB$1501,$J2437+1)),1))</f>
        <v/>
      </c>
      <c r="F2437" s="6">
        <f>IF($J2437="","",IF($J2437&lt;=1500,N(INDEX('Daily Sale entry '!$AC$1:$AC$1501,$J2437+1))-IF(AND('Opening Balance'!$B$15=1,INDEX('Daily Sale entry '!$Z$1:$Z$1501,$J2437+1)="Online collection 网上收款",INDEX('Daily Sale entry '!$AA$1:$AA$1501,$J2437+1)&lt;&gt;""),N(INDEX('Daily Sale entry '!$AC$1:$AC$1501,$J2437+1))-TRUNC(N(INDEX('Daily Sale entry '!$AC$1:$AC$1501,$J2437+1))),0),N(INDEX('Daily Sale entry '!$S$1:$S$1501,$J2437-1499))-'Opening Balance'!$B$15*(N(INDEX('Daily Sale entry '!$S$1:$S$1501,$J2437-1499))-TRUNC(N(INDEX('Daily Sale entry '!$S$1:$S$1501,$J2437-1499))))))</f>
        <v/>
      </c>
      <c r="G2437" s="6">
        <f>IF($J2437="","",IF($J2437&lt;=1500,N(INDEX('Daily Sale entry '!$AD$1:$AD$1501,$J2437+1)),0))</f>
        <v/>
      </c>
      <c r="H2437" s="6">
        <f>IF($J2437="","",ROUND('Opening Balance'!$B$4+SUM($F$2:F2437)-SUM($G$2:G2437),2))</f>
        <v/>
      </c>
      <c r="J2437" s="21">
        <f>IFERROR(MATCH(ROW()-1,$L$2:$L$3001,0),"")</f>
        <v/>
      </c>
      <c r="K2437" s="34">
        <f>IF(AND('Daily Sale entry '!Q937="Collection 收款",'Daily Sale entry '!R937="Cheque 支票",'Daily Sale entry '!V937&lt;&gt;""),'Daily Sale entry '!V937+ROW()/10000000,"")</f>
        <v/>
      </c>
      <c r="L2437" s="21">
        <f>IF(K2437="","",COUNTIF($K$2:$K$3001,"&lt;"&amp;K2437)+1)</f>
        <v/>
      </c>
    </row>
    <row r="2438">
      <c r="A2438" s="5">
        <f>IF($J2438="","",IF($J2438&lt;=1500,INDEX('Daily Sale entry '!$X$1:$X$1501,$J2438+1),INDEX('Daily Sale entry '!$V$1:$V$1501,$J2438-1499)))</f>
        <v/>
      </c>
      <c r="B2438">
        <f>IF($J2438="","",IF($J2438&lt;=1500,INDEX('Daily Sale entry '!$Y$1:$Y$1501,$J2438+1)&amp;"","Buyer cheque banked 买家支票存入"&amp;IF(INDEX('Daily Sale entry '!$U$1:$U$1501,$J2438-1499)="","", " - "&amp;INDEX('Daily Sale entry '!$U$1:$U$1501,$J2438-1499))))</f>
        <v/>
      </c>
      <c r="C2438">
        <f>IF($J2438="","",IF($J2438&lt;=1500,INDEX('Daily Sale entry '!$Z$1:$Z$1501,$J2438+1)&amp;"","Cheque deposit 支票存入 (buyer 买家)"))</f>
        <v/>
      </c>
      <c r="D2438">
        <f>IF($J2438="","",IF($J2438&lt;=1500,INDEX('Daily Sale entry '!$AA$1:$AA$1501,$J2438+1)&amp;"",INDEX('Daily Sale entry '!$P$1:$P$1501,$J2438-1499)&amp;""))</f>
        <v/>
      </c>
      <c r="E2438">
        <f>IF($J2438="","",IF($J2438&lt;=1500,IF(N(INDEX('Daily Sale entry '!$AB$1:$AB$1501,$J2438+1))=0,"",INDEX('Daily Sale entry '!$AB$1:$AB$1501,$J2438+1)),1))</f>
        <v/>
      </c>
      <c r="F2438" s="6">
        <f>IF($J2438="","",IF($J2438&lt;=1500,N(INDEX('Daily Sale entry '!$AC$1:$AC$1501,$J2438+1))-IF(AND('Opening Balance'!$B$15=1,INDEX('Daily Sale entry '!$Z$1:$Z$1501,$J2438+1)="Online collection 网上收款",INDEX('Daily Sale entry '!$AA$1:$AA$1501,$J2438+1)&lt;&gt;""),N(INDEX('Daily Sale entry '!$AC$1:$AC$1501,$J2438+1))-TRUNC(N(INDEX('Daily Sale entry '!$AC$1:$AC$1501,$J2438+1))),0),N(INDEX('Daily Sale entry '!$S$1:$S$1501,$J2438-1499))-'Opening Balance'!$B$15*(N(INDEX('Daily Sale entry '!$S$1:$S$1501,$J2438-1499))-TRUNC(N(INDEX('Daily Sale entry '!$S$1:$S$1501,$J2438-1499))))))</f>
        <v/>
      </c>
      <c r="G2438" s="6">
        <f>IF($J2438="","",IF($J2438&lt;=1500,N(INDEX('Daily Sale entry '!$AD$1:$AD$1501,$J2438+1)),0))</f>
        <v/>
      </c>
      <c r="H2438" s="6">
        <f>IF($J2438="","",ROUND('Opening Balance'!$B$4+SUM($F$2:F2438)-SUM($G$2:G2438),2))</f>
        <v/>
      </c>
      <c r="J2438" s="21">
        <f>IFERROR(MATCH(ROW()-1,$L$2:$L$3001,0),"")</f>
        <v/>
      </c>
      <c r="K2438" s="34">
        <f>IF(AND('Daily Sale entry '!Q938="Collection 收款",'Daily Sale entry '!R938="Cheque 支票",'Daily Sale entry '!V938&lt;&gt;""),'Daily Sale entry '!V938+ROW()/10000000,"")</f>
        <v/>
      </c>
      <c r="L2438" s="21">
        <f>IF(K2438="","",COUNTIF($K$2:$K$3001,"&lt;"&amp;K2438)+1)</f>
        <v/>
      </c>
    </row>
    <row r="2439">
      <c r="A2439" s="5">
        <f>IF($J2439="","",IF($J2439&lt;=1500,INDEX('Daily Sale entry '!$X$1:$X$1501,$J2439+1),INDEX('Daily Sale entry '!$V$1:$V$1501,$J2439-1499)))</f>
        <v/>
      </c>
      <c r="B2439">
        <f>IF($J2439="","",IF($J2439&lt;=1500,INDEX('Daily Sale entry '!$Y$1:$Y$1501,$J2439+1)&amp;"","Buyer cheque banked 买家支票存入"&amp;IF(INDEX('Daily Sale entry '!$U$1:$U$1501,$J2439-1499)="","", " - "&amp;INDEX('Daily Sale entry '!$U$1:$U$1501,$J2439-1499))))</f>
        <v/>
      </c>
      <c r="C2439">
        <f>IF($J2439="","",IF($J2439&lt;=1500,INDEX('Daily Sale entry '!$Z$1:$Z$1501,$J2439+1)&amp;"","Cheque deposit 支票存入 (buyer 买家)"))</f>
        <v/>
      </c>
      <c r="D2439">
        <f>IF($J2439="","",IF($J2439&lt;=1500,INDEX('Daily Sale entry '!$AA$1:$AA$1501,$J2439+1)&amp;"",INDEX('Daily Sale entry '!$P$1:$P$1501,$J2439-1499)&amp;""))</f>
        <v/>
      </c>
      <c r="E2439">
        <f>IF($J2439="","",IF($J2439&lt;=1500,IF(N(INDEX('Daily Sale entry '!$AB$1:$AB$1501,$J2439+1))=0,"",INDEX('Daily Sale entry '!$AB$1:$AB$1501,$J2439+1)),1))</f>
        <v/>
      </c>
      <c r="F2439" s="6">
        <f>IF($J2439="","",IF($J2439&lt;=1500,N(INDEX('Daily Sale entry '!$AC$1:$AC$1501,$J2439+1))-IF(AND('Opening Balance'!$B$15=1,INDEX('Daily Sale entry '!$Z$1:$Z$1501,$J2439+1)="Online collection 网上收款",INDEX('Daily Sale entry '!$AA$1:$AA$1501,$J2439+1)&lt;&gt;""),N(INDEX('Daily Sale entry '!$AC$1:$AC$1501,$J2439+1))-TRUNC(N(INDEX('Daily Sale entry '!$AC$1:$AC$1501,$J2439+1))),0),N(INDEX('Daily Sale entry '!$S$1:$S$1501,$J2439-1499))-'Opening Balance'!$B$15*(N(INDEX('Daily Sale entry '!$S$1:$S$1501,$J2439-1499))-TRUNC(N(INDEX('Daily Sale entry '!$S$1:$S$1501,$J2439-1499))))))</f>
        <v/>
      </c>
      <c r="G2439" s="6">
        <f>IF($J2439="","",IF($J2439&lt;=1500,N(INDEX('Daily Sale entry '!$AD$1:$AD$1501,$J2439+1)),0))</f>
        <v/>
      </c>
      <c r="H2439" s="6">
        <f>IF($J2439="","",ROUND('Opening Balance'!$B$4+SUM($F$2:F2439)-SUM($G$2:G2439),2))</f>
        <v/>
      </c>
      <c r="J2439" s="21">
        <f>IFERROR(MATCH(ROW()-1,$L$2:$L$3001,0),"")</f>
        <v/>
      </c>
      <c r="K2439" s="34">
        <f>IF(AND('Daily Sale entry '!Q939="Collection 收款",'Daily Sale entry '!R939="Cheque 支票",'Daily Sale entry '!V939&lt;&gt;""),'Daily Sale entry '!V939+ROW()/10000000,"")</f>
        <v/>
      </c>
      <c r="L2439" s="21">
        <f>IF(K2439="","",COUNTIF($K$2:$K$3001,"&lt;"&amp;K2439)+1)</f>
        <v/>
      </c>
    </row>
    <row r="2440">
      <c r="A2440" s="5">
        <f>IF($J2440="","",IF($J2440&lt;=1500,INDEX('Daily Sale entry '!$X$1:$X$1501,$J2440+1),INDEX('Daily Sale entry '!$V$1:$V$1501,$J2440-1499)))</f>
        <v/>
      </c>
      <c r="B2440">
        <f>IF($J2440="","",IF($J2440&lt;=1500,INDEX('Daily Sale entry '!$Y$1:$Y$1501,$J2440+1)&amp;"","Buyer cheque banked 买家支票存入"&amp;IF(INDEX('Daily Sale entry '!$U$1:$U$1501,$J2440-1499)="","", " - "&amp;INDEX('Daily Sale entry '!$U$1:$U$1501,$J2440-1499))))</f>
        <v/>
      </c>
      <c r="C2440">
        <f>IF($J2440="","",IF($J2440&lt;=1500,INDEX('Daily Sale entry '!$Z$1:$Z$1501,$J2440+1)&amp;"","Cheque deposit 支票存入 (buyer 买家)"))</f>
        <v/>
      </c>
      <c r="D2440">
        <f>IF($J2440="","",IF($J2440&lt;=1500,INDEX('Daily Sale entry '!$AA$1:$AA$1501,$J2440+1)&amp;"",INDEX('Daily Sale entry '!$P$1:$P$1501,$J2440-1499)&amp;""))</f>
        <v/>
      </c>
      <c r="E2440">
        <f>IF($J2440="","",IF($J2440&lt;=1500,IF(N(INDEX('Daily Sale entry '!$AB$1:$AB$1501,$J2440+1))=0,"",INDEX('Daily Sale entry '!$AB$1:$AB$1501,$J2440+1)),1))</f>
        <v/>
      </c>
      <c r="F2440" s="6">
        <f>IF($J2440="","",IF($J2440&lt;=1500,N(INDEX('Daily Sale entry '!$AC$1:$AC$1501,$J2440+1))-IF(AND('Opening Balance'!$B$15=1,INDEX('Daily Sale entry '!$Z$1:$Z$1501,$J2440+1)="Online collection 网上收款",INDEX('Daily Sale entry '!$AA$1:$AA$1501,$J2440+1)&lt;&gt;""),N(INDEX('Daily Sale entry '!$AC$1:$AC$1501,$J2440+1))-TRUNC(N(INDEX('Daily Sale entry '!$AC$1:$AC$1501,$J2440+1))),0),N(INDEX('Daily Sale entry '!$S$1:$S$1501,$J2440-1499))-'Opening Balance'!$B$15*(N(INDEX('Daily Sale entry '!$S$1:$S$1501,$J2440-1499))-TRUNC(N(INDEX('Daily Sale entry '!$S$1:$S$1501,$J2440-1499))))))</f>
        <v/>
      </c>
      <c r="G2440" s="6">
        <f>IF($J2440="","",IF($J2440&lt;=1500,N(INDEX('Daily Sale entry '!$AD$1:$AD$1501,$J2440+1)),0))</f>
        <v/>
      </c>
      <c r="H2440" s="6">
        <f>IF($J2440="","",ROUND('Opening Balance'!$B$4+SUM($F$2:F2440)-SUM($G$2:G2440),2))</f>
        <v/>
      </c>
      <c r="J2440" s="21">
        <f>IFERROR(MATCH(ROW()-1,$L$2:$L$3001,0),"")</f>
        <v/>
      </c>
      <c r="K2440" s="34">
        <f>IF(AND('Daily Sale entry '!Q940="Collection 收款",'Daily Sale entry '!R940="Cheque 支票",'Daily Sale entry '!V940&lt;&gt;""),'Daily Sale entry '!V940+ROW()/10000000,"")</f>
        <v/>
      </c>
      <c r="L2440" s="21">
        <f>IF(K2440="","",COUNTIF($K$2:$K$3001,"&lt;"&amp;K2440)+1)</f>
        <v/>
      </c>
    </row>
    <row r="2441">
      <c r="A2441" s="5">
        <f>IF($J2441="","",IF($J2441&lt;=1500,INDEX('Daily Sale entry '!$X$1:$X$1501,$J2441+1),INDEX('Daily Sale entry '!$V$1:$V$1501,$J2441-1499)))</f>
        <v/>
      </c>
      <c r="B2441">
        <f>IF($J2441="","",IF($J2441&lt;=1500,INDEX('Daily Sale entry '!$Y$1:$Y$1501,$J2441+1)&amp;"","Buyer cheque banked 买家支票存入"&amp;IF(INDEX('Daily Sale entry '!$U$1:$U$1501,$J2441-1499)="","", " - "&amp;INDEX('Daily Sale entry '!$U$1:$U$1501,$J2441-1499))))</f>
        <v/>
      </c>
      <c r="C2441">
        <f>IF($J2441="","",IF($J2441&lt;=1500,INDEX('Daily Sale entry '!$Z$1:$Z$1501,$J2441+1)&amp;"","Cheque deposit 支票存入 (buyer 买家)"))</f>
        <v/>
      </c>
      <c r="D2441">
        <f>IF($J2441="","",IF($J2441&lt;=1500,INDEX('Daily Sale entry '!$AA$1:$AA$1501,$J2441+1)&amp;"",INDEX('Daily Sale entry '!$P$1:$P$1501,$J2441-1499)&amp;""))</f>
        <v/>
      </c>
      <c r="E2441">
        <f>IF($J2441="","",IF($J2441&lt;=1500,IF(N(INDEX('Daily Sale entry '!$AB$1:$AB$1501,$J2441+1))=0,"",INDEX('Daily Sale entry '!$AB$1:$AB$1501,$J2441+1)),1))</f>
        <v/>
      </c>
      <c r="F2441" s="6">
        <f>IF($J2441="","",IF($J2441&lt;=1500,N(INDEX('Daily Sale entry '!$AC$1:$AC$1501,$J2441+1))-IF(AND('Opening Balance'!$B$15=1,INDEX('Daily Sale entry '!$Z$1:$Z$1501,$J2441+1)="Online collection 网上收款",INDEX('Daily Sale entry '!$AA$1:$AA$1501,$J2441+1)&lt;&gt;""),N(INDEX('Daily Sale entry '!$AC$1:$AC$1501,$J2441+1))-TRUNC(N(INDEX('Daily Sale entry '!$AC$1:$AC$1501,$J2441+1))),0),N(INDEX('Daily Sale entry '!$S$1:$S$1501,$J2441-1499))-'Opening Balance'!$B$15*(N(INDEX('Daily Sale entry '!$S$1:$S$1501,$J2441-1499))-TRUNC(N(INDEX('Daily Sale entry '!$S$1:$S$1501,$J2441-1499))))))</f>
        <v/>
      </c>
      <c r="G2441" s="6">
        <f>IF($J2441="","",IF($J2441&lt;=1500,N(INDEX('Daily Sale entry '!$AD$1:$AD$1501,$J2441+1)),0))</f>
        <v/>
      </c>
      <c r="H2441" s="6">
        <f>IF($J2441="","",ROUND('Opening Balance'!$B$4+SUM($F$2:F2441)-SUM($G$2:G2441),2))</f>
        <v/>
      </c>
      <c r="J2441" s="21">
        <f>IFERROR(MATCH(ROW()-1,$L$2:$L$3001,0),"")</f>
        <v/>
      </c>
      <c r="K2441" s="34">
        <f>IF(AND('Daily Sale entry '!Q941="Collection 收款",'Daily Sale entry '!R941="Cheque 支票",'Daily Sale entry '!V941&lt;&gt;""),'Daily Sale entry '!V941+ROW()/10000000,"")</f>
        <v/>
      </c>
      <c r="L2441" s="21">
        <f>IF(K2441="","",COUNTIF($K$2:$K$3001,"&lt;"&amp;K2441)+1)</f>
        <v/>
      </c>
    </row>
    <row r="2442">
      <c r="A2442" s="5">
        <f>IF($J2442="","",IF($J2442&lt;=1500,INDEX('Daily Sale entry '!$X$1:$X$1501,$J2442+1),INDEX('Daily Sale entry '!$V$1:$V$1501,$J2442-1499)))</f>
        <v/>
      </c>
      <c r="B2442">
        <f>IF($J2442="","",IF($J2442&lt;=1500,INDEX('Daily Sale entry '!$Y$1:$Y$1501,$J2442+1)&amp;"","Buyer cheque banked 买家支票存入"&amp;IF(INDEX('Daily Sale entry '!$U$1:$U$1501,$J2442-1499)="","", " - "&amp;INDEX('Daily Sale entry '!$U$1:$U$1501,$J2442-1499))))</f>
        <v/>
      </c>
      <c r="C2442">
        <f>IF($J2442="","",IF($J2442&lt;=1500,INDEX('Daily Sale entry '!$Z$1:$Z$1501,$J2442+1)&amp;"","Cheque deposit 支票存入 (buyer 买家)"))</f>
        <v/>
      </c>
      <c r="D2442">
        <f>IF($J2442="","",IF($J2442&lt;=1500,INDEX('Daily Sale entry '!$AA$1:$AA$1501,$J2442+1)&amp;"",INDEX('Daily Sale entry '!$P$1:$P$1501,$J2442-1499)&amp;""))</f>
        <v/>
      </c>
      <c r="E2442">
        <f>IF($J2442="","",IF($J2442&lt;=1500,IF(N(INDEX('Daily Sale entry '!$AB$1:$AB$1501,$J2442+1))=0,"",INDEX('Daily Sale entry '!$AB$1:$AB$1501,$J2442+1)),1))</f>
        <v/>
      </c>
      <c r="F2442" s="6">
        <f>IF($J2442="","",IF($J2442&lt;=1500,N(INDEX('Daily Sale entry '!$AC$1:$AC$1501,$J2442+1))-IF(AND('Opening Balance'!$B$15=1,INDEX('Daily Sale entry '!$Z$1:$Z$1501,$J2442+1)="Online collection 网上收款",INDEX('Daily Sale entry '!$AA$1:$AA$1501,$J2442+1)&lt;&gt;""),N(INDEX('Daily Sale entry '!$AC$1:$AC$1501,$J2442+1))-TRUNC(N(INDEX('Daily Sale entry '!$AC$1:$AC$1501,$J2442+1))),0),N(INDEX('Daily Sale entry '!$S$1:$S$1501,$J2442-1499))-'Opening Balance'!$B$15*(N(INDEX('Daily Sale entry '!$S$1:$S$1501,$J2442-1499))-TRUNC(N(INDEX('Daily Sale entry '!$S$1:$S$1501,$J2442-1499))))))</f>
        <v/>
      </c>
      <c r="G2442" s="6">
        <f>IF($J2442="","",IF($J2442&lt;=1500,N(INDEX('Daily Sale entry '!$AD$1:$AD$1501,$J2442+1)),0))</f>
        <v/>
      </c>
      <c r="H2442" s="6">
        <f>IF($J2442="","",ROUND('Opening Balance'!$B$4+SUM($F$2:F2442)-SUM($G$2:G2442),2))</f>
        <v/>
      </c>
      <c r="J2442" s="21">
        <f>IFERROR(MATCH(ROW()-1,$L$2:$L$3001,0),"")</f>
        <v/>
      </c>
      <c r="K2442" s="34">
        <f>IF(AND('Daily Sale entry '!Q942="Collection 收款",'Daily Sale entry '!R942="Cheque 支票",'Daily Sale entry '!V942&lt;&gt;""),'Daily Sale entry '!V942+ROW()/10000000,"")</f>
        <v/>
      </c>
      <c r="L2442" s="21">
        <f>IF(K2442="","",COUNTIF($K$2:$K$3001,"&lt;"&amp;K2442)+1)</f>
        <v/>
      </c>
    </row>
    <row r="2443">
      <c r="A2443" s="5">
        <f>IF($J2443="","",IF($J2443&lt;=1500,INDEX('Daily Sale entry '!$X$1:$X$1501,$J2443+1),INDEX('Daily Sale entry '!$V$1:$V$1501,$J2443-1499)))</f>
        <v/>
      </c>
      <c r="B2443">
        <f>IF($J2443="","",IF($J2443&lt;=1500,INDEX('Daily Sale entry '!$Y$1:$Y$1501,$J2443+1)&amp;"","Buyer cheque banked 买家支票存入"&amp;IF(INDEX('Daily Sale entry '!$U$1:$U$1501,$J2443-1499)="","", " - "&amp;INDEX('Daily Sale entry '!$U$1:$U$1501,$J2443-1499))))</f>
        <v/>
      </c>
      <c r="C2443">
        <f>IF($J2443="","",IF($J2443&lt;=1500,INDEX('Daily Sale entry '!$Z$1:$Z$1501,$J2443+1)&amp;"","Cheque deposit 支票存入 (buyer 买家)"))</f>
        <v/>
      </c>
      <c r="D2443">
        <f>IF($J2443="","",IF($J2443&lt;=1500,INDEX('Daily Sale entry '!$AA$1:$AA$1501,$J2443+1)&amp;"",INDEX('Daily Sale entry '!$P$1:$P$1501,$J2443-1499)&amp;""))</f>
        <v/>
      </c>
      <c r="E2443">
        <f>IF($J2443="","",IF($J2443&lt;=1500,IF(N(INDEX('Daily Sale entry '!$AB$1:$AB$1501,$J2443+1))=0,"",INDEX('Daily Sale entry '!$AB$1:$AB$1501,$J2443+1)),1))</f>
        <v/>
      </c>
      <c r="F2443" s="6">
        <f>IF($J2443="","",IF($J2443&lt;=1500,N(INDEX('Daily Sale entry '!$AC$1:$AC$1501,$J2443+1))-IF(AND('Opening Balance'!$B$15=1,INDEX('Daily Sale entry '!$Z$1:$Z$1501,$J2443+1)="Online collection 网上收款",INDEX('Daily Sale entry '!$AA$1:$AA$1501,$J2443+1)&lt;&gt;""),N(INDEX('Daily Sale entry '!$AC$1:$AC$1501,$J2443+1))-TRUNC(N(INDEX('Daily Sale entry '!$AC$1:$AC$1501,$J2443+1))),0),N(INDEX('Daily Sale entry '!$S$1:$S$1501,$J2443-1499))-'Opening Balance'!$B$15*(N(INDEX('Daily Sale entry '!$S$1:$S$1501,$J2443-1499))-TRUNC(N(INDEX('Daily Sale entry '!$S$1:$S$1501,$J2443-1499))))))</f>
        <v/>
      </c>
      <c r="G2443" s="6">
        <f>IF($J2443="","",IF($J2443&lt;=1500,N(INDEX('Daily Sale entry '!$AD$1:$AD$1501,$J2443+1)),0))</f>
        <v/>
      </c>
      <c r="H2443" s="6">
        <f>IF($J2443="","",ROUND('Opening Balance'!$B$4+SUM($F$2:F2443)-SUM($G$2:G2443),2))</f>
        <v/>
      </c>
      <c r="J2443" s="21">
        <f>IFERROR(MATCH(ROW()-1,$L$2:$L$3001,0),"")</f>
        <v/>
      </c>
      <c r="K2443" s="34">
        <f>IF(AND('Daily Sale entry '!Q943="Collection 收款",'Daily Sale entry '!R943="Cheque 支票",'Daily Sale entry '!V943&lt;&gt;""),'Daily Sale entry '!V943+ROW()/10000000,"")</f>
        <v/>
      </c>
      <c r="L2443" s="21">
        <f>IF(K2443="","",COUNTIF($K$2:$K$3001,"&lt;"&amp;K2443)+1)</f>
        <v/>
      </c>
    </row>
    <row r="2444">
      <c r="A2444" s="5">
        <f>IF($J2444="","",IF($J2444&lt;=1500,INDEX('Daily Sale entry '!$X$1:$X$1501,$J2444+1),INDEX('Daily Sale entry '!$V$1:$V$1501,$J2444-1499)))</f>
        <v/>
      </c>
      <c r="B2444">
        <f>IF($J2444="","",IF($J2444&lt;=1500,INDEX('Daily Sale entry '!$Y$1:$Y$1501,$J2444+1)&amp;"","Buyer cheque banked 买家支票存入"&amp;IF(INDEX('Daily Sale entry '!$U$1:$U$1501,$J2444-1499)="","", " - "&amp;INDEX('Daily Sale entry '!$U$1:$U$1501,$J2444-1499))))</f>
        <v/>
      </c>
      <c r="C2444">
        <f>IF($J2444="","",IF($J2444&lt;=1500,INDEX('Daily Sale entry '!$Z$1:$Z$1501,$J2444+1)&amp;"","Cheque deposit 支票存入 (buyer 买家)"))</f>
        <v/>
      </c>
      <c r="D2444">
        <f>IF($J2444="","",IF($J2444&lt;=1500,INDEX('Daily Sale entry '!$AA$1:$AA$1501,$J2444+1)&amp;"",INDEX('Daily Sale entry '!$P$1:$P$1501,$J2444-1499)&amp;""))</f>
        <v/>
      </c>
      <c r="E2444">
        <f>IF($J2444="","",IF($J2444&lt;=1500,IF(N(INDEX('Daily Sale entry '!$AB$1:$AB$1501,$J2444+1))=0,"",INDEX('Daily Sale entry '!$AB$1:$AB$1501,$J2444+1)),1))</f>
        <v/>
      </c>
      <c r="F2444" s="6">
        <f>IF($J2444="","",IF($J2444&lt;=1500,N(INDEX('Daily Sale entry '!$AC$1:$AC$1501,$J2444+1))-IF(AND('Opening Balance'!$B$15=1,INDEX('Daily Sale entry '!$Z$1:$Z$1501,$J2444+1)="Online collection 网上收款",INDEX('Daily Sale entry '!$AA$1:$AA$1501,$J2444+1)&lt;&gt;""),N(INDEX('Daily Sale entry '!$AC$1:$AC$1501,$J2444+1))-TRUNC(N(INDEX('Daily Sale entry '!$AC$1:$AC$1501,$J2444+1))),0),N(INDEX('Daily Sale entry '!$S$1:$S$1501,$J2444-1499))-'Opening Balance'!$B$15*(N(INDEX('Daily Sale entry '!$S$1:$S$1501,$J2444-1499))-TRUNC(N(INDEX('Daily Sale entry '!$S$1:$S$1501,$J2444-1499))))))</f>
        <v/>
      </c>
      <c r="G2444" s="6">
        <f>IF($J2444="","",IF($J2444&lt;=1500,N(INDEX('Daily Sale entry '!$AD$1:$AD$1501,$J2444+1)),0))</f>
        <v/>
      </c>
      <c r="H2444" s="6">
        <f>IF($J2444="","",ROUND('Opening Balance'!$B$4+SUM($F$2:F2444)-SUM($G$2:G2444),2))</f>
        <v/>
      </c>
      <c r="J2444" s="21">
        <f>IFERROR(MATCH(ROW()-1,$L$2:$L$3001,0),"")</f>
        <v/>
      </c>
      <c r="K2444" s="34">
        <f>IF(AND('Daily Sale entry '!Q944="Collection 收款",'Daily Sale entry '!R944="Cheque 支票",'Daily Sale entry '!V944&lt;&gt;""),'Daily Sale entry '!V944+ROW()/10000000,"")</f>
        <v/>
      </c>
      <c r="L2444" s="21">
        <f>IF(K2444="","",COUNTIF($K$2:$K$3001,"&lt;"&amp;K2444)+1)</f>
        <v/>
      </c>
    </row>
    <row r="2445">
      <c r="A2445" s="5">
        <f>IF($J2445="","",IF($J2445&lt;=1500,INDEX('Daily Sale entry '!$X$1:$X$1501,$J2445+1),INDEX('Daily Sale entry '!$V$1:$V$1501,$J2445-1499)))</f>
        <v/>
      </c>
      <c r="B2445">
        <f>IF($J2445="","",IF($J2445&lt;=1500,INDEX('Daily Sale entry '!$Y$1:$Y$1501,$J2445+1)&amp;"","Buyer cheque banked 买家支票存入"&amp;IF(INDEX('Daily Sale entry '!$U$1:$U$1501,$J2445-1499)="","", " - "&amp;INDEX('Daily Sale entry '!$U$1:$U$1501,$J2445-1499))))</f>
        <v/>
      </c>
      <c r="C2445">
        <f>IF($J2445="","",IF($J2445&lt;=1500,INDEX('Daily Sale entry '!$Z$1:$Z$1501,$J2445+1)&amp;"","Cheque deposit 支票存入 (buyer 买家)"))</f>
        <v/>
      </c>
      <c r="D2445">
        <f>IF($J2445="","",IF($J2445&lt;=1500,INDEX('Daily Sale entry '!$AA$1:$AA$1501,$J2445+1)&amp;"",INDEX('Daily Sale entry '!$P$1:$P$1501,$J2445-1499)&amp;""))</f>
        <v/>
      </c>
      <c r="E2445">
        <f>IF($J2445="","",IF($J2445&lt;=1500,IF(N(INDEX('Daily Sale entry '!$AB$1:$AB$1501,$J2445+1))=0,"",INDEX('Daily Sale entry '!$AB$1:$AB$1501,$J2445+1)),1))</f>
        <v/>
      </c>
      <c r="F2445" s="6">
        <f>IF($J2445="","",IF($J2445&lt;=1500,N(INDEX('Daily Sale entry '!$AC$1:$AC$1501,$J2445+1))-IF(AND('Opening Balance'!$B$15=1,INDEX('Daily Sale entry '!$Z$1:$Z$1501,$J2445+1)="Online collection 网上收款",INDEX('Daily Sale entry '!$AA$1:$AA$1501,$J2445+1)&lt;&gt;""),N(INDEX('Daily Sale entry '!$AC$1:$AC$1501,$J2445+1))-TRUNC(N(INDEX('Daily Sale entry '!$AC$1:$AC$1501,$J2445+1))),0),N(INDEX('Daily Sale entry '!$S$1:$S$1501,$J2445-1499))-'Opening Balance'!$B$15*(N(INDEX('Daily Sale entry '!$S$1:$S$1501,$J2445-1499))-TRUNC(N(INDEX('Daily Sale entry '!$S$1:$S$1501,$J2445-1499))))))</f>
        <v/>
      </c>
      <c r="G2445" s="6">
        <f>IF($J2445="","",IF($J2445&lt;=1500,N(INDEX('Daily Sale entry '!$AD$1:$AD$1501,$J2445+1)),0))</f>
        <v/>
      </c>
      <c r="H2445" s="6">
        <f>IF($J2445="","",ROUND('Opening Balance'!$B$4+SUM($F$2:F2445)-SUM($G$2:G2445),2))</f>
        <v/>
      </c>
      <c r="J2445" s="21">
        <f>IFERROR(MATCH(ROW()-1,$L$2:$L$3001,0),"")</f>
        <v/>
      </c>
      <c r="K2445" s="34">
        <f>IF(AND('Daily Sale entry '!Q945="Collection 收款",'Daily Sale entry '!R945="Cheque 支票",'Daily Sale entry '!V945&lt;&gt;""),'Daily Sale entry '!V945+ROW()/10000000,"")</f>
        <v/>
      </c>
      <c r="L2445" s="21">
        <f>IF(K2445="","",COUNTIF($K$2:$K$3001,"&lt;"&amp;K2445)+1)</f>
        <v/>
      </c>
    </row>
    <row r="2446">
      <c r="A2446" s="5">
        <f>IF($J2446="","",IF($J2446&lt;=1500,INDEX('Daily Sale entry '!$X$1:$X$1501,$J2446+1),INDEX('Daily Sale entry '!$V$1:$V$1501,$J2446-1499)))</f>
        <v/>
      </c>
      <c r="B2446">
        <f>IF($J2446="","",IF($J2446&lt;=1500,INDEX('Daily Sale entry '!$Y$1:$Y$1501,$J2446+1)&amp;"","Buyer cheque banked 买家支票存入"&amp;IF(INDEX('Daily Sale entry '!$U$1:$U$1501,$J2446-1499)="","", " - "&amp;INDEX('Daily Sale entry '!$U$1:$U$1501,$J2446-1499))))</f>
        <v/>
      </c>
      <c r="C2446">
        <f>IF($J2446="","",IF($J2446&lt;=1500,INDEX('Daily Sale entry '!$Z$1:$Z$1501,$J2446+1)&amp;"","Cheque deposit 支票存入 (buyer 买家)"))</f>
        <v/>
      </c>
      <c r="D2446">
        <f>IF($J2446="","",IF($J2446&lt;=1500,INDEX('Daily Sale entry '!$AA$1:$AA$1501,$J2446+1)&amp;"",INDEX('Daily Sale entry '!$P$1:$P$1501,$J2446-1499)&amp;""))</f>
        <v/>
      </c>
      <c r="E2446">
        <f>IF($J2446="","",IF($J2446&lt;=1500,IF(N(INDEX('Daily Sale entry '!$AB$1:$AB$1501,$J2446+1))=0,"",INDEX('Daily Sale entry '!$AB$1:$AB$1501,$J2446+1)),1))</f>
        <v/>
      </c>
      <c r="F2446" s="6">
        <f>IF($J2446="","",IF($J2446&lt;=1500,N(INDEX('Daily Sale entry '!$AC$1:$AC$1501,$J2446+1))-IF(AND('Opening Balance'!$B$15=1,INDEX('Daily Sale entry '!$Z$1:$Z$1501,$J2446+1)="Online collection 网上收款",INDEX('Daily Sale entry '!$AA$1:$AA$1501,$J2446+1)&lt;&gt;""),N(INDEX('Daily Sale entry '!$AC$1:$AC$1501,$J2446+1))-TRUNC(N(INDEX('Daily Sale entry '!$AC$1:$AC$1501,$J2446+1))),0),N(INDEX('Daily Sale entry '!$S$1:$S$1501,$J2446-1499))-'Opening Balance'!$B$15*(N(INDEX('Daily Sale entry '!$S$1:$S$1501,$J2446-1499))-TRUNC(N(INDEX('Daily Sale entry '!$S$1:$S$1501,$J2446-1499))))))</f>
        <v/>
      </c>
      <c r="G2446" s="6">
        <f>IF($J2446="","",IF($J2446&lt;=1500,N(INDEX('Daily Sale entry '!$AD$1:$AD$1501,$J2446+1)),0))</f>
        <v/>
      </c>
      <c r="H2446" s="6">
        <f>IF($J2446="","",ROUND('Opening Balance'!$B$4+SUM($F$2:F2446)-SUM($G$2:G2446),2))</f>
        <v/>
      </c>
      <c r="J2446" s="21">
        <f>IFERROR(MATCH(ROW()-1,$L$2:$L$3001,0),"")</f>
        <v/>
      </c>
      <c r="K2446" s="34">
        <f>IF(AND('Daily Sale entry '!Q946="Collection 收款",'Daily Sale entry '!R946="Cheque 支票",'Daily Sale entry '!V946&lt;&gt;""),'Daily Sale entry '!V946+ROW()/10000000,"")</f>
        <v/>
      </c>
      <c r="L2446" s="21">
        <f>IF(K2446="","",COUNTIF($K$2:$K$3001,"&lt;"&amp;K2446)+1)</f>
        <v/>
      </c>
    </row>
    <row r="2447">
      <c r="A2447" s="5">
        <f>IF($J2447="","",IF($J2447&lt;=1500,INDEX('Daily Sale entry '!$X$1:$X$1501,$J2447+1),INDEX('Daily Sale entry '!$V$1:$V$1501,$J2447-1499)))</f>
        <v/>
      </c>
      <c r="B2447">
        <f>IF($J2447="","",IF($J2447&lt;=1500,INDEX('Daily Sale entry '!$Y$1:$Y$1501,$J2447+1)&amp;"","Buyer cheque banked 买家支票存入"&amp;IF(INDEX('Daily Sale entry '!$U$1:$U$1501,$J2447-1499)="","", " - "&amp;INDEX('Daily Sale entry '!$U$1:$U$1501,$J2447-1499))))</f>
        <v/>
      </c>
      <c r="C2447">
        <f>IF($J2447="","",IF($J2447&lt;=1500,INDEX('Daily Sale entry '!$Z$1:$Z$1501,$J2447+1)&amp;"","Cheque deposit 支票存入 (buyer 买家)"))</f>
        <v/>
      </c>
      <c r="D2447">
        <f>IF($J2447="","",IF($J2447&lt;=1500,INDEX('Daily Sale entry '!$AA$1:$AA$1501,$J2447+1)&amp;"",INDEX('Daily Sale entry '!$P$1:$P$1501,$J2447-1499)&amp;""))</f>
        <v/>
      </c>
      <c r="E2447">
        <f>IF($J2447="","",IF($J2447&lt;=1500,IF(N(INDEX('Daily Sale entry '!$AB$1:$AB$1501,$J2447+1))=0,"",INDEX('Daily Sale entry '!$AB$1:$AB$1501,$J2447+1)),1))</f>
        <v/>
      </c>
      <c r="F2447" s="6">
        <f>IF($J2447="","",IF($J2447&lt;=1500,N(INDEX('Daily Sale entry '!$AC$1:$AC$1501,$J2447+1))-IF(AND('Opening Balance'!$B$15=1,INDEX('Daily Sale entry '!$Z$1:$Z$1501,$J2447+1)="Online collection 网上收款",INDEX('Daily Sale entry '!$AA$1:$AA$1501,$J2447+1)&lt;&gt;""),N(INDEX('Daily Sale entry '!$AC$1:$AC$1501,$J2447+1))-TRUNC(N(INDEX('Daily Sale entry '!$AC$1:$AC$1501,$J2447+1))),0),N(INDEX('Daily Sale entry '!$S$1:$S$1501,$J2447-1499))-'Opening Balance'!$B$15*(N(INDEX('Daily Sale entry '!$S$1:$S$1501,$J2447-1499))-TRUNC(N(INDEX('Daily Sale entry '!$S$1:$S$1501,$J2447-1499))))))</f>
        <v/>
      </c>
      <c r="G2447" s="6">
        <f>IF($J2447="","",IF($J2447&lt;=1500,N(INDEX('Daily Sale entry '!$AD$1:$AD$1501,$J2447+1)),0))</f>
        <v/>
      </c>
      <c r="H2447" s="6">
        <f>IF($J2447="","",ROUND('Opening Balance'!$B$4+SUM($F$2:F2447)-SUM($G$2:G2447),2))</f>
        <v/>
      </c>
      <c r="J2447" s="21">
        <f>IFERROR(MATCH(ROW()-1,$L$2:$L$3001,0),"")</f>
        <v/>
      </c>
      <c r="K2447" s="34">
        <f>IF(AND('Daily Sale entry '!Q947="Collection 收款",'Daily Sale entry '!R947="Cheque 支票",'Daily Sale entry '!V947&lt;&gt;""),'Daily Sale entry '!V947+ROW()/10000000,"")</f>
        <v/>
      </c>
      <c r="L2447" s="21">
        <f>IF(K2447="","",COUNTIF($K$2:$K$3001,"&lt;"&amp;K2447)+1)</f>
        <v/>
      </c>
    </row>
    <row r="2448">
      <c r="A2448" s="5">
        <f>IF($J2448="","",IF($J2448&lt;=1500,INDEX('Daily Sale entry '!$X$1:$X$1501,$J2448+1),INDEX('Daily Sale entry '!$V$1:$V$1501,$J2448-1499)))</f>
        <v/>
      </c>
      <c r="B2448">
        <f>IF($J2448="","",IF($J2448&lt;=1500,INDEX('Daily Sale entry '!$Y$1:$Y$1501,$J2448+1)&amp;"","Buyer cheque banked 买家支票存入"&amp;IF(INDEX('Daily Sale entry '!$U$1:$U$1501,$J2448-1499)="","", " - "&amp;INDEX('Daily Sale entry '!$U$1:$U$1501,$J2448-1499))))</f>
        <v/>
      </c>
      <c r="C2448">
        <f>IF($J2448="","",IF($J2448&lt;=1500,INDEX('Daily Sale entry '!$Z$1:$Z$1501,$J2448+1)&amp;"","Cheque deposit 支票存入 (buyer 买家)"))</f>
        <v/>
      </c>
      <c r="D2448">
        <f>IF($J2448="","",IF($J2448&lt;=1500,INDEX('Daily Sale entry '!$AA$1:$AA$1501,$J2448+1)&amp;"",INDEX('Daily Sale entry '!$P$1:$P$1501,$J2448-1499)&amp;""))</f>
        <v/>
      </c>
      <c r="E2448">
        <f>IF($J2448="","",IF($J2448&lt;=1500,IF(N(INDEX('Daily Sale entry '!$AB$1:$AB$1501,$J2448+1))=0,"",INDEX('Daily Sale entry '!$AB$1:$AB$1501,$J2448+1)),1))</f>
        <v/>
      </c>
      <c r="F2448" s="6">
        <f>IF($J2448="","",IF($J2448&lt;=1500,N(INDEX('Daily Sale entry '!$AC$1:$AC$1501,$J2448+1))-IF(AND('Opening Balance'!$B$15=1,INDEX('Daily Sale entry '!$Z$1:$Z$1501,$J2448+1)="Online collection 网上收款",INDEX('Daily Sale entry '!$AA$1:$AA$1501,$J2448+1)&lt;&gt;""),N(INDEX('Daily Sale entry '!$AC$1:$AC$1501,$J2448+1))-TRUNC(N(INDEX('Daily Sale entry '!$AC$1:$AC$1501,$J2448+1))),0),N(INDEX('Daily Sale entry '!$S$1:$S$1501,$J2448-1499))-'Opening Balance'!$B$15*(N(INDEX('Daily Sale entry '!$S$1:$S$1501,$J2448-1499))-TRUNC(N(INDEX('Daily Sale entry '!$S$1:$S$1501,$J2448-1499))))))</f>
        <v/>
      </c>
      <c r="G2448" s="6">
        <f>IF($J2448="","",IF($J2448&lt;=1500,N(INDEX('Daily Sale entry '!$AD$1:$AD$1501,$J2448+1)),0))</f>
        <v/>
      </c>
      <c r="H2448" s="6">
        <f>IF($J2448="","",ROUND('Opening Balance'!$B$4+SUM($F$2:F2448)-SUM($G$2:G2448),2))</f>
        <v/>
      </c>
      <c r="J2448" s="21">
        <f>IFERROR(MATCH(ROW()-1,$L$2:$L$3001,0),"")</f>
        <v/>
      </c>
      <c r="K2448" s="34">
        <f>IF(AND('Daily Sale entry '!Q948="Collection 收款",'Daily Sale entry '!R948="Cheque 支票",'Daily Sale entry '!V948&lt;&gt;""),'Daily Sale entry '!V948+ROW()/10000000,"")</f>
        <v/>
      </c>
      <c r="L2448" s="21">
        <f>IF(K2448="","",COUNTIF($K$2:$K$3001,"&lt;"&amp;K2448)+1)</f>
        <v/>
      </c>
    </row>
    <row r="2449">
      <c r="A2449" s="5">
        <f>IF($J2449="","",IF($J2449&lt;=1500,INDEX('Daily Sale entry '!$X$1:$X$1501,$J2449+1),INDEX('Daily Sale entry '!$V$1:$V$1501,$J2449-1499)))</f>
        <v/>
      </c>
      <c r="B2449">
        <f>IF($J2449="","",IF($J2449&lt;=1500,INDEX('Daily Sale entry '!$Y$1:$Y$1501,$J2449+1)&amp;"","Buyer cheque banked 买家支票存入"&amp;IF(INDEX('Daily Sale entry '!$U$1:$U$1501,$J2449-1499)="","", " - "&amp;INDEX('Daily Sale entry '!$U$1:$U$1501,$J2449-1499))))</f>
        <v/>
      </c>
      <c r="C2449">
        <f>IF($J2449="","",IF($J2449&lt;=1500,INDEX('Daily Sale entry '!$Z$1:$Z$1501,$J2449+1)&amp;"","Cheque deposit 支票存入 (buyer 买家)"))</f>
        <v/>
      </c>
      <c r="D2449">
        <f>IF($J2449="","",IF($J2449&lt;=1500,INDEX('Daily Sale entry '!$AA$1:$AA$1501,$J2449+1)&amp;"",INDEX('Daily Sale entry '!$P$1:$P$1501,$J2449-1499)&amp;""))</f>
        <v/>
      </c>
      <c r="E2449">
        <f>IF($J2449="","",IF($J2449&lt;=1500,IF(N(INDEX('Daily Sale entry '!$AB$1:$AB$1501,$J2449+1))=0,"",INDEX('Daily Sale entry '!$AB$1:$AB$1501,$J2449+1)),1))</f>
        <v/>
      </c>
      <c r="F2449" s="6">
        <f>IF($J2449="","",IF($J2449&lt;=1500,N(INDEX('Daily Sale entry '!$AC$1:$AC$1501,$J2449+1))-IF(AND('Opening Balance'!$B$15=1,INDEX('Daily Sale entry '!$Z$1:$Z$1501,$J2449+1)="Online collection 网上收款",INDEX('Daily Sale entry '!$AA$1:$AA$1501,$J2449+1)&lt;&gt;""),N(INDEX('Daily Sale entry '!$AC$1:$AC$1501,$J2449+1))-TRUNC(N(INDEX('Daily Sale entry '!$AC$1:$AC$1501,$J2449+1))),0),N(INDEX('Daily Sale entry '!$S$1:$S$1501,$J2449-1499))-'Opening Balance'!$B$15*(N(INDEX('Daily Sale entry '!$S$1:$S$1501,$J2449-1499))-TRUNC(N(INDEX('Daily Sale entry '!$S$1:$S$1501,$J2449-1499))))))</f>
        <v/>
      </c>
      <c r="G2449" s="6">
        <f>IF($J2449="","",IF($J2449&lt;=1500,N(INDEX('Daily Sale entry '!$AD$1:$AD$1501,$J2449+1)),0))</f>
        <v/>
      </c>
      <c r="H2449" s="6">
        <f>IF($J2449="","",ROUND('Opening Balance'!$B$4+SUM($F$2:F2449)-SUM($G$2:G2449),2))</f>
        <v/>
      </c>
      <c r="J2449" s="21">
        <f>IFERROR(MATCH(ROW()-1,$L$2:$L$3001,0),"")</f>
        <v/>
      </c>
      <c r="K2449" s="34">
        <f>IF(AND('Daily Sale entry '!Q949="Collection 收款",'Daily Sale entry '!R949="Cheque 支票",'Daily Sale entry '!V949&lt;&gt;""),'Daily Sale entry '!V949+ROW()/10000000,"")</f>
        <v/>
      </c>
      <c r="L2449" s="21">
        <f>IF(K2449="","",COUNTIF($K$2:$K$3001,"&lt;"&amp;K2449)+1)</f>
        <v/>
      </c>
    </row>
    <row r="2450">
      <c r="A2450" s="5">
        <f>IF($J2450="","",IF($J2450&lt;=1500,INDEX('Daily Sale entry '!$X$1:$X$1501,$J2450+1),INDEX('Daily Sale entry '!$V$1:$V$1501,$J2450-1499)))</f>
        <v/>
      </c>
      <c r="B2450">
        <f>IF($J2450="","",IF($J2450&lt;=1500,INDEX('Daily Sale entry '!$Y$1:$Y$1501,$J2450+1)&amp;"","Buyer cheque banked 买家支票存入"&amp;IF(INDEX('Daily Sale entry '!$U$1:$U$1501,$J2450-1499)="","", " - "&amp;INDEX('Daily Sale entry '!$U$1:$U$1501,$J2450-1499))))</f>
        <v/>
      </c>
      <c r="C2450">
        <f>IF($J2450="","",IF($J2450&lt;=1500,INDEX('Daily Sale entry '!$Z$1:$Z$1501,$J2450+1)&amp;"","Cheque deposit 支票存入 (buyer 买家)"))</f>
        <v/>
      </c>
      <c r="D2450">
        <f>IF($J2450="","",IF($J2450&lt;=1500,INDEX('Daily Sale entry '!$AA$1:$AA$1501,$J2450+1)&amp;"",INDEX('Daily Sale entry '!$P$1:$P$1501,$J2450-1499)&amp;""))</f>
        <v/>
      </c>
      <c r="E2450">
        <f>IF($J2450="","",IF($J2450&lt;=1500,IF(N(INDEX('Daily Sale entry '!$AB$1:$AB$1501,$J2450+1))=0,"",INDEX('Daily Sale entry '!$AB$1:$AB$1501,$J2450+1)),1))</f>
        <v/>
      </c>
      <c r="F2450" s="6">
        <f>IF($J2450="","",IF($J2450&lt;=1500,N(INDEX('Daily Sale entry '!$AC$1:$AC$1501,$J2450+1))-IF(AND('Opening Balance'!$B$15=1,INDEX('Daily Sale entry '!$Z$1:$Z$1501,$J2450+1)="Online collection 网上收款",INDEX('Daily Sale entry '!$AA$1:$AA$1501,$J2450+1)&lt;&gt;""),N(INDEX('Daily Sale entry '!$AC$1:$AC$1501,$J2450+1))-TRUNC(N(INDEX('Daily Sale entry '!$AC$1:$AC$1501,$J2450+1))),0),N(INDEX('Daily Sale entry '!$S$1:$S$1501,$J2450-1499))-'Opening Balance'!$B$15*(N(INDEX('Daily Sale entry '!$S$1:$S$1501,$J2450-1499))-TRUNC(N(INDEX('Daily Sale entry '!$S$1:$S$1501,$J2450-1499))))))</f>
        <v/>
      </c>
      <c r="G2450" s="6">
        <f>IF($J2450="","",IF($J2450&lt;=1500,N(INDEX('Daily Sale entry '!$AD$1:$AD$1501,$J2450+1)),0))</f>
        <v/>
      </c>
      <c r="H2450" s="6">
        <f>IF($J2450="","",ROUND('Opening Balance'!$B$4+SUM($F$2:F2450)-SUM($G$2:G2450),2))</f>
        <v/>
      </c>
      <c r="J2450" s="21">
        <f>IFERROR(MATCH(ROW()-1,$L$2:$L$3001,0),"")</f>
        <v/>
      </c>
      <c r="K2450" s="34">
        <f>IF(AND('Daily Sale entry '!Q950="Collection 收款",'Daily Sale entry '!R950="Cheque 支票",'Daily Sale entry '!V950&lt;&gt;""),'Daily Sale entry '!V950+ROW()/10000000,"")</f>
        <v/>
      </c>
      <c r="L2450" s="21">
        <f>IF(K2450="","",COUNTIF($K$2:$K$3001,"&lt;"&amp;K2450)+1)</f>
        <v/>
      </c>
    </row>
    <row r="2451">
      <c r="A2451" s="5">
        <f>IF($J2451="","",IF($J2451&lt;=1500,INDEX('Daily Sale entry '!$X$1:$X$1501,$J2451+1),INDEX('Daily Sale entry '!$V$1:$V$1501,$J2451-1499)))</f>
        <v/>
      </c>
      <c r="B2451">
        <f>IF($J2451="","",IF($J2451&lt;=1500,INDEX('Daily Sale entry '!$Y$1:$Y$1501,$J2451+1)&amp;"","Buyer cheque banked 买家支票存入"&amp;IF(INDEX('Daily Sale entry '!$U$1:$U$1501,$J2451-1499)="","", " - "&amp;INDEX('Daily Sale entry '!$U$1:$U$1501,$J2451-1499))))</f>
        <v/>
      </c>
      <c r="C2451">
        <f>IF($J2451="","",IF($J2451&lt;=1500,INDEX('Daily Sale entry '!$Z$1:$Z$1501,$J2451+1)&amp;"","Cheque deposit 支票存入 (buyer 买家)"))</f>
        <v/>
      </c>
      <c r="D2451">
        <f>IF($J2451="","",IF($J2451&lt;=1500,INDEX('Daily Sale entry '!$AA$1:$AA$1501,$J2451+1)&amp;"",INDEX('Daily Sale entry '!$P$1:$P$1501,$J2451-1499)&amp;""))</f>
        <v/>
      </c>
      <c r="E2451">
        <f>IF($J2451="","",IF($J2451&lt;=1500,IF(N(INDEX('Daily Sale entry '!$AB$1:$AB$1501,$J2451+1))=0,"",INDEX('Daily Sale entry '!$AB$1:$AB$1501,$J2451+1)),1))</f>
        <v/>
      </c>
      <c r="F2451" s="6">
        <f>IF($J2451="","",IF($J2451&lt;=1500,N(INDEX('Daily Sale entry '!$AC$1:$AC$1501,$J2451+1))-IF(AND('Opening Balance'!$B$15=1,INDEX('Daily Sale entry '!$Z$1:$Z$1501,$J2451+1)="Online collection 网上收款",INDEX('Daily Sale entry '!$AA$1:$AA$1501,$J2451+1)&lt;&gt;""),N(INDEX('Daily Sale entry '!$AC$1:$AC$1501,$J2451+1))-TRUNC(N(INDEX('Daily Sale entry '!$AC$1:$AC$1501,$J2451+1))),0),N(INDEX('Daily Sale entry '!$S$1:$S$1501,$J2451-1499))-'Opening Balance'!$B$15*(N(INDEX('Daily Sale entry '!$S$1:$S$1501,$J2451-1499))-TRUNC(N(INDEX('Daily Sale entry '!$S$1:$S$1501,$J2451-1499))))))</f>
        <v/>
      </c>
      <c r="G2451" s="6">
        <f>IF($J2451="","",IF($J2451&lt;=1500,N(INDEX('Daily Sale entry '!$AD$1:$AD$1501,$J2451+1)),0))</f>
        <v/>
      </c>
      <c r="H2451" s="6">
        <f>IF($J2451="","",ROUND('Opening Balance'!$B$4+SUM($F$2:F2451)-SUM($G$2:G2451),2))</f>
        <v/>
      </c>
      <c r="J2451" s="21">
        <f>IFERROR(MATCH(ROW()-1,$L$2:$L$3001,0),"")</f>
        <v/>
      </c>
      <c r="K2451" s="34">
        <f>IF(AND('Daily Sale entry '!Q951="Collection 收款",'Daily Sale entry '!R951="Cheque 支票",'Daily Sale entry '!V951&lt;&gt;""),'Daily Sale entry '!V951+ROW()/10000000,"")</f>
        <v/>
      </c>
      <c r="L2451" s="21">
        <f>IF(K2451="","",COUNTIF($K$2:$K$3001,"&lt;"&amp;K2451)+1)</f>
        <v/>
      </c>
    </row>
    <row r="2452">
      <c r="A2452" s="5">
        <f>IF($J2452="","",IF($J2452&lt;=1500,INDEX('Daily Sale entry '!$X$1:$X$1501,$J2452+1),INDEX('Daily Sale entry '!$V$1:$V$1501,$J2452-1499)))</f>
        <v/>
      </c>
      <c r="B2452">
        <f>IF($J2452="","",IF($J2452&lt;=1500,INDEX('Daily Sale entry '!$Y$1:$Y$1501,$J2452+1)&amp;"","Buyer cheque banked 买家支票存入"&amp;IF(INDEX('Daily Sale entry '!$U$1:$U$1501,$J2452-1499)="","", " - "&amp;INDEX('Daily Sale entry '!$U$1:$U$1501,$J2452-1499))))</f>
        <v/>
      </c>
      <c r="C2452">
        <f>IF($J2452="","",IF($J2452&lt;=1500,INDEX('Daily Sale entry '!$Z$1:$Z$1501,$J2452+1)&amp;"","Cheque deposit 支票存入 (buyer 买家)"))</f>
        <v/>
      </c>
      <c r="D2452">
        <f>IF($J2452="","",IF($J2452&lt;=1500,INDEX('Daily Sale entry '!$AA$1:$AA$1501,$J2452+1)&amp;"",INDEX('Daily Sale entry '!$P$1:$P$1501,$J2452-1499)&amp;""))</f>
        <v/>
      </c>
      <c r="E2452">
        <f>IF($J2452="","",IF($J2452&lt;=1500,IF(N(INDEX('Daily Sale entry '!$AB$1:$AB$1501,$J2452+1))=0,"",INDEX('Daily Sale entry '!$AB$1:$AB$1501,$J2452+1)),1))</f>
        <v/>
      </c>
      <c r="F2452" s="6">
        <f>IF($J2452="","",IF($J2452&lt;=1500,N(INDEX('Daily Sale entry '!$AC$1:$AC$1501,$J2452+1))-IF(AND('Opening Balance'!$B$15=1,INDEX('Daily Sale entry '!$Z$1:$Z$1501,$J2452+1)="Online collection 网上收款",INDEX('Daily Sale entry '!$AA$1:$AA$1501,$J2452+1)&lt;&gt;""),N(INDEX('Daily Sale entry '!$AC$1:$AC$1501,$J2452+1))-TRUNC(N(INDEX('Daily Sale entry '!$AC$1:$AC$1501,$J2452+1))),0),N(INDEX('Daily Sale entry '!$S$1:$S$1501,$J2452-1499))-'Opening Balance'!$B$15*(N(INDEX('Daily Sale entry '!$S$1:$S$1501,$J2452-1499))-TRUNC(N(INDEX('Daily Sale entry '!$S$1:$S$1501,$J2452-1499))))))</f>
        <v/>
      </c>
      <c r="G2452" s="6">
        <f>IF($J2452="","",IF($J2452&lt;=1500,N(INDEX('Daily Sale entry '!$AD$1:$AD$1501,$J2452+1)),0))</f>
        <v/>
      </c>
      <c r="H2452" s="6">
        <f>IF($J2452="","",ROUND('Opening Balance'!$B$4+SUM($F$2:F2452)-SUM($G$2:G2452),2))</f>
        <v/>
      </c>
      <c r="J2452" s="21">
        <f>IFERROR(MATCH(ROW()-1,$L$2:$L$3001,0),"")</f>
        <v/>
      </c>
      <c r="K2452" s="34">
        <f>IF(AND('Daily Sale entry '!Q952="Collection 收款",'Daily Sale entry '!R952="Cheque 支票",'Daily Sale entry '!V952&lt;&gt;""),'Daily Sale entry '!V952+ROW()/10000000,"")</f>
        <v/>
      </c>
      <c r="L2452" s="21">
        <f>IF(K2452="","",COUNTIF($K$2:$K$3001,"&lt;"&amp;K2452)+1)</f>
        <v/>
      </c>
    </row>
    <row r="2453">
      <c r="A2453" s="5">
        <f>IF($J2453="","",IF($J2453&lt;=1500,INDEX('Daily Sale entry '!$X$1:$X$1501,$J2453+1),INDEX('Daily Sale entry '!$V$1:$V$1501,$J2453-1499)))</f>
        <v/>
      </c>
      <c r="B2453">
        <f>IF($J2453="","",IF($J2453&lt;=1500,INDEX('Daily Sale entry '!$Y$1:$Y$1501,$J2453+1)&amp;"","Buyer cheque banked 买家支票存入"&amp;IF(INDEX('Daily Sale entry '!$U$1:$U$1501,$J2453-1499)="","", " - "&amp;INDEX('Daily Sale entry '!$U$1:$U$1501,$J2453-1499))))</f>
        <v/>
      </c>
      <c r="C2453">
        <f>IF($J2453="","",IF($J2453&lt;=1500,INDEX('Daily Sale entry '!$Z$1:$Z$1501,$J2453+1)&amp;"","Cheque deposit 支票存入 (buyer 买家)"))</f>
        <v/>
      </c>
      <c r="D2453">
        <f>IF($J2453="","",IF($J2453&lt;=1500,INDEX('Daily Sale entry '!$AA$1:$AA$1501,$J2453+1)&amp;"",INDEX('Daily Sale entry '!$P$1:$P$1501,$J2453-1499)&amp;""))</f>
        <v/>
      </c>
      <c r="E2453">
        <f>IF($J2453="","",IF($J2453&lt;=1500,IF(N(INDEX('Daily Sale entry '!$AB$1:$AB$1501,$J2453+1))=0,"",INDEX('Daily Sale entry '!$AB$1:$AB$1501,$J2453+1)),1))</f>
        <v/>
      </c>
      <c r="F2453" s="6">
        <f>IF($J2453="","",IF($J2453&lt;=1500,N(INDEX('Daily Sale entry '!$AC$1:$AC$1501,$J2453+1))-IF(AND('Opening Balance'!$B$15=1,INDEX('Daily Sale entry '!$Z$1:$Z$1501,$J2453+1)="Online collection 网上收款",INDEX('Daily Sale entry '!$AA$1:$AA$1501,$J2453+1)&lt;&gt;""),N(INDEX('Daily Sale entry '!$AC$1:$AC$1501,$J2453+1))-TRUNC(N(INDEX('Daily Sale entry '!$AC$1:$AC$1501,$J2453+1))),0),N(INDEX('Daily Sale entry '!$S$1:$S$1501,$J2453-1499))-'Opening Balance'!$B$15*(N(INDEX('Daily Sale entry '!$S$1:$S$1501,$J2453-1499))-TRUNC(N(INDEX('Daily Sale entry '!$S$1:$S$1501,$J2453-1499))))))</f>
        <v/>
      </c>
      <c r="G2453" s="6">
        <f>IF($J2453="","",IF($J2453&lt;=1500,N(INDEX('Daily Sale entry '!$AD$1:$AD$1501,$J2453+1)),0))</f>
        <v/>
      </c>
      <c r="H2453" s="6">
        <f>IF($J2453="","",ROUND('Opening Balance'!$B$4+SUM($F$2:F2453)-SUM($G$2:G2453),2))</f>
        <v/>
      </c>
      <c r="J2453" s="21">
        <f>IFERROR(MATCH(ROW()-1,$L$2:$L$3001,0),"")</f>
        <v/>
      </c>
      <c r="K2453" s="34">
        <f>IF(AND('Daily Sale entry '!Q953="Collection 收款",'Daily Sale entry '!R953="Cheque 支票",'Daily Sale entry '!V953&lt;&gt;""),'Daily Sale entry '!V953+ROW()/10000000,"")</f>
        <v/>
      </c>
      <c r="L2453" s="21">
        <f>IF(K2453="","",COUNTIF($K$2:$K$3001,"&lt;"&amp;K2453)+1)</f>
        <v/>
      </c>
    </row>
    <row r="2454">
      <c r="A2454" s="5">
        <f>IF($J2454="","",IF($J2454&lt;=1500,INDEX('Daily Sale entry '!$X$1:$X$1501,$J2454+1),INDEX('Daily Sale entry '!$V$1:$V$1501,$J2454-1499)))</f>
        <v/>
      </c>
      <c r="B2454">
        <f>IF($J2454="","",IF($J2454&lt;=1500,INDEX('Daily Sale entry '!$Y$1:$Y$1501,$J2454+1)&amp;"","Buyer cheque banked 买家支票存入"&amp;IF(INDEX('Daily Sale entry '!$U$1:$U$1501,$J2454-1499)="","", " - "&amp;INDEX('Daily Sale entry '!$U$1:$U$1501,$J2454-1499))))</f>
        <v/>
      </c>
      <c r="C2454">
        <f>IF($J2454="","",IF($J2454&lt;=1500,INDEX('Daily Sale entry '!$Z$1:$Z$1501,$J2454+1)&amp;"","Cheque deposit 支票存入 (buyer 买家)"))</f>
        <v/>
      </c>
      <c r="D2454">
        <f>IF($J2454="","",IF($J2454&lt;=1500,INDEX('Daily Sale entry '!$AA$1:$AA$1501,$J2454+1)&amp;"",INDEX('Daily Sale entry '!$P$1:$P$1501,$J2454-1499)&amp;""))</f>
        <v/>
      </c>
      <c r="E2454">
        <f>IF($J2454="","",IF($J2454&lt;=1500,IF(N(INDEX('Daily Sale entry '!$AB$1:$AB$1501,$J2454+1))=0,"",INDEX('Daily Sale entry '!$AB$1:$AB$1501,$J2454+1)),1))</f>
        <v/>
      </c>
      <c r="F2454" s="6">
        <f>IF($J2454="","",IF($J2454&lt;=1500,N(INDEX('Daily Sale entry '!$AC$1:$AC$1501,$J2454+1))-IF(AND('Opening Balance'!$B$15=1,INDEX('Daily Sale entry '!$Z$1:$Z$1501,$J2454+1)="Online collection 网上收款",INDEX('Daily Sale entry '!$AA$1:$AA$1501,$J2454+1)&lt;&gt;""),N(INDEX('Daily Sale entry '!$AC$1:$AC$1501,$J2454+1))-TRUNC(N(INDEX('Daily Sale entry '!$AC$1:$AC$1501,$J2454+1))),0),N(INDEX('Daily Sale entry '!$S$1:$S$1501,$J2454-1499))-'Opening Balance'!$B$15*(N(INDEX('Daily Sale entry '!$S$1:$S$1501,$J2454-1499))-TRUNC(N(INDEX('Daily Sale entry '!$S$1:$S$1501,$J2454-1499))))))</f>
        <v/>
      </c>
      <c r="G2454" s="6">
        <f>IF($J2454="","",IF($J2454&lt;=1500,N(INDEX('Daily Sale entry '!$AD$1:$AD$1501,$J2454+1)),0))</f>
        <v/>
      </c>
      <c r="H2454" s="6">
        <f>IF($J2454="","",ROUND('Opening Balance'!$B$4+SUM($F$2:F2454)-SUM($G$2:G2454),2))</f>
        <v/>
      </c>
      <c r="J2454" s="21">
        <f>IFERROR(MATCH(ROW()-1,$L$2:$L$3001,0),"")</f>
        <v/>
      </c>
      <c r="K2454" s="34">
        <f>IF(AND('Daily Sale entry '!Q954="Collection 收款",'Daily Sale entry '!R954="Cheque 支票",'Daily Sale entry '!V954&lt;&gt;""),'Daily Sale entry '!V954+ROW()/10000000,"")</f>
        <v/>
      </c>
      <c r="L2454" s="21">
        <f>IF(K2454="","",COUNTIF($K$2:$K$3001,"&lt;"&amp;K2454)+1)</f>
        <v/>
      </c>
    </row>
    <row r="2455">
      <c r="A2455" s="5">
        <f>IF($J2455="","",IF($J2455&lt;=1500,INDEX('Daily Sale entry '!$X$1:$X$1501,$J2455+1),INDEX('Daily Sale entry '!$V$1:$V$1501,$J2455-1499)))</f>
        <v/>
      </c>
      <c r="B2455">
        <f>IF($J2455="","",IF($J2455&lt;=1500,INDEX('Daily Sale entry '!$Y$1:$Y$1501,$J2455+1)&amp;"","Buyer cheque banked 买家支票存入"&amp;IF(INDEX('Daily Sale entry '!$U$1:$U$1501,$J2455-1499)="","", " - "&amp;INDEX('Daily Sale entry '!$U$1:$U$1501,$J2455-1499))))</f>
        <v/>
      </c>
      <c r="C2455">
        <f>IF($J2455="","",IF($J2455&lt;=1500,INDEX('Daily Sale entry '!$Z$1:$Z$1501,$J2455+1)&amp;"","Cheque deposit 支票存入 (buyer 买家)"))</f>
        <v/>
      </c>
      <c r="D2455">
        <f>IF($J2455="","",IF($J2455&lt;=1500,INDEX('Daily Sale entry '!$AA$1:$AA$1501,$J2455+1)&amp;"",INDEX('Daily Sale entry '!$P$1:$P$1501,$J2455-1499)&amp;""))</f>
        <v/>
      </c>
      <c r="E2455">
        <f>IF($J2455="","",IF($J2455&lt;=1500,IF(N(INDEX('Daily Sale entry '!$AB$1:$AB$1501,$J2455+1))=0,"",INDEX('Daily Sale entry '!$AB$1:$AB$1501,$J2455+1)),1))</f>
        <v/>
      </c>
      <c r="F2455" s="6">
        <f>IF($J2455="","",IF($J2455&lt;=1500,N(INDEX('Daily Sale entry '!$AC$1:$AC$1501,$J2455+1))-IF(AND('Opening Balance'!$B$15=1,INDEX('Daily Sale entry '!$Z$1:$Z$1501,$J2455+1)="Online collection 网上收款",INDEX('Daily Sale entry '!$AA$1:$AA$1501,$J2455+1)&lt;&gt;""),N(INDEX('Daily Sale entry '!$AC$1:$AC$1501,$J2455+1))-TRUNC(N(INDEX('Daily Sale entry '!$AC$1:$AC$1501,$J2455+1))),0),N(INDEX('Daily Sale entry '!$S$1:$S$1501,$J2455-1499))-'Opening Balance'!$B$15*(N(INDEX('Daily Sale entry '!$S$1:$S$1501,$J2455-1499))-TRUNC(N(INDEX('Daily Sale entry '!$S$1:$S$1501,$J2455-1499))))))</f>
        <v/>
      </c>
      <c r="G2455" s="6">
        <f>IF($J2455="","",IF($J2455&lt;=1500,N(INDEX('Daily Sale entry '!$AD$1:$AD$1501,$J2455+1)),0))</f>
        <v/>
      </c>
      <c r="H2455" s="6">
        <f>IF($J2455="","",ROUND('Opening Balance'!$B$4+SUM($F$2:F2455)-SUM($G$2:G2455),2))</f>
        <v/>
      </c>
      <c r="J2455" s="21">
        <f>IFERROR(MATCH(ROW()-1,$L$2:$L$3001,0),"")</f>
        <v/>
      </c>
      <c r="K2455" s="34">
        <f>IF(AND('Daily Sale entry '!Q955="Collection 收款",'Daily Sale entry '!R955="Cheque 支票",'Daily Sale entry '!V955&lt;&gt;""),'Daily Sale entry '!V955+ROW()/10000000,"")</f>
        <v/>
      </c>
      <c r="L2455" s="21">
        <f>IF(K2455="","",COUNTIF($K$2:$K$3001,"&lt;"&amp;K2455)+1)</f>
        <v/>
      </c>
    </row>
    <row r="2456">
      <c r="A2456" s="5">
        <f>IF($J2456="","",IF($J2456&lt;=1500,INDEX('Daily Sale entry '!$X$1:$X$1501,$J2456+1),INDEX('Daily Sale entry '!$V$1:$V$1501,$J2456-1499)))</f>
        <v/>
      </c>
      <c r="B2456">
        <f>IF($J2456="","",IF($J2456&lt;=1500,INDEX('Daily Sale entry '!$Y$1:$Y$1501,$J2456+1)&amp;"","Buyer cheque banked 买家支票存入"&amp;IF(INDEX('Daily Sale entry '!$U$1:$U$1501,$J2456-1499)="","", " - "&amp;INDEX('Daily Sale entry '!$U$1:$U$1501,$J2456-1499))))</f>
        <v/>
      </c>
      <c r="C2456">
        <f>IF($J2456="","",IF($J2456&lt;=1500,INDEX('Daily Sale entry '!$Z$1:$Z$1501,$J2456+1)&amp;"","Cheque deposit 支票存入 (buyer 买家)"))</f>
        <v/>
      </c>
      <c r="D2456">
        <f>IF($J2456="","",IF($J2456&lt;=1500,INDEX('Daily Sale entry '!$AA$1:$AA$1501,$J2456+1)&amp;"",INDEX('Daily Sale entry '!$P$1:$P$1501,$J2456-1499)&amp;""))</f>
        <v/>
      </c>
      <c r="E2456">
        <f>IF($J2456="","",IF($J2456&lt;=1500,IF(N(INDEX('Daily Sale entry '!$AB$1:$AB$1501,$J2456+1))=0,"",INDEX('Daily Sale entry '!$AB$1:$AB$1501,$J2456+1)),1))</f>
        <v/>
      </c>
      <c r="F2456" s="6">
        <f>IF($J2456="","",IF($J2456&lt;=1500,N(INDEX('Daily Sale entry '!$AC$1:$AC$1501,$J2456+1))-IF(AND('Opening Balance'!$B$15=1,INDEX('Daily Sale entry '!$Z$1:$Z$1501,$J2456+1)="Online collection 网上收款",INDEX('Daily Sale entry '!$AA$1:$AA$1501,$J2456+1)&lt;&gt;""),N(INDEX('Daily Sale entry '!$AC$1:$AC$1501,$J2456+1))-TRUNC(N(INDEX('Daily Sale entry '!$AC$1:$AC$1501,$J2456+1))),0),N(INDEX('Daily Sale entry '!$S$1:$S$1501,$J2456-1499))-'Opening Balance'!$B$15*(N(INDEX('Daily Sale entry '!$S$1:$S$1501,$J2456-1499))-TRUNC(N(INDEX('Daily Sale entry '!$S$1:$S$1501,$J2456-1499))))))</f>
        <v/>
      </c>
      <c r="G2456" s="6">
        <f>IF($J2456="","",IF($J2456&lt;=1500,N(INDEX('Daily Sale entry '!$AD$1:$AD$1501,$J2456+1)),0))</f>
        <v/>
      </c>
      <c r="H2456" s="6">
        <f>IF($J2456="","",ROUND('Opening Balance'!$B$4+SUM($F$2:F2456)-SUM($G$2:G2456),2))</f>
        <v/>
      </c>
      <c r="J2456" s="21">
        <f>IFERROR(MATCH(ROW()-1,$L$2:$L$3001,0),"")</f>
        <v/>
      </c>
      <c r="K2456" s="34">
        <f>IF(AND('Daily Sale entry '!Q956="Collection 收款",'Daily Sale entry '!R956="Cheque 支票",'Daily Sale entry '!V956&lt;&gt;""),'Daily Sale entry '!V956+ROW()/10000000,"")</f>
        <v/>
      </c>
      <c r="L2456" s="21">
        <f>IF(K2456="","",COUNTIF($K$2:$K$3001,"&lt;"&amp;K2456)+1)</f>
        <v/>
      </c>
    </row>
    <row r="2457">
      <c r="A2457" s="5">
        <f>IF($J2457="","",IF($J2457&lt;=1500,INDEX('Daily Sale entry '!$X$1:$X$1501,$J2457+1),INDEX('Daily Sale entry '!$V$1:$V$1501,$J2457-1499)))</f>
        <v/>
      </c>
      <c r="B2457">
        <f>IF($J2457="","",IF($J2457&lt;=1500,INDEX('Daily Sale entry '!$Y$1:$Y$1501,$J2457+1)&amp;"","Buyer cheque banked 买家支票存入"&amp;IF(INDEX('Daily Sale entry '!$U$1:$U$1501,$J2457-1499)="","", " - "&amp;INDEX('Daily Sale entry '!$U$1:$U$1501,$J2457-1499))))</f>
        <v/>
      </c>
      <c r="C2457">
        <f>IF($J2457="","",IF($J2457&lt;=1500,INDEX('Daily Sale entry '!$Z$1:$Z$1501,$J2457+1)&amp;"","Cheque deposit 支票存入 (buyer 买家)"))</f>
        <v/>
      </c>
      <c r="D2457">
        <f>IF($J2457="","",IF($J2457&lt;=1500,INDEX('Daily Sale entry '!$AA$1:$AA$1501,$J2457+1)&amp;"",INDEX('Daily Sale entry '!$P$1:$P$1501,$J2457-1499)&amp;""))</f>
        <v/>
      </c>
      <c r="E2457">
        <f>IF($J2457="","",IF($J2457&lt;=1500,IF(N(INDEX('Daily Sale entry '!$AB$1:$AB$1501,$J2457+1))=0,"",INDEX('Daily Sale entry '!$AB$1:$AB$1501,$J2457+1)),1))</f>
        <v/>
      </c>
      <c r="F2457" s="6">
        <f>IF($J2457="","",IF($J2457&lt;=1500,N(INDEX('Daily Sale entry '!$AC$1:$AC$1501,$J2457+1))-IF(AND('Opening Balance'!$B$15=1,INDEX('Daily Sale entry '!$Z$1:$Z$1501,$J2457+1)="Online collection 网上收款",INDEX('Daily Sale entry '!$AA$1:$AA$1501,$J2457+1)&lt;&gt;""),N(INDEX('Daily Sale entry '!$AC$1:$AC$1501,$J2457+1))-TRUNC(N(INDEX('Daily Sale entry '!$AC$1:$AC$1501,$J2457+1))),0),N(INDEX('Daily Sale entry '!$S$1:$S$1501,$J2457-1499))-'Opening Balance'!$B$15*(N(INDEX('Daily Sale entry '!$S$1:$S$1501,$J2457-1499))-TRUNC(N(INDEX('Daily Sale entry '!$S$1:$S$1501,$J2457-1499))))))</f>
        <v/>
      </c>
      <c r="G2457" s="6">
        <f>IF($J2457="","",IF($J2457&lt;=1500,N(INDEX('Daily Sale entry '!$AD$1:$AD$1501,$J2457+1)),0))</f>
        <v/>
      </c>
      <c r="H2457" s="6">
        <f>IF($J2457="","",ROUND('Opening Balance'!$B$4+SUM($F$2:F2457)-SUM($G$2:G2457),2))</f>
        <v/>
      </c>
      <c r="J2457" s="21">
        <f>IFERROR(MATCH(ROW()-1,$L$2:$L$3001,0),"")</f>
        <v/>
      </c>
      <c r="K2457" s="34">
        <f>IF(AND('Daily Sale entry '!Q957="Collection 收款",'Daily Sale entry '!R957="Cheque 支票",'Daily Sale entry '!V957&lt;&gt;""),'Daily Sale entry '!V957+ROW()/10000000,"")</f>
        <v/>
      </c>
      <c r="L2457" s="21">
        <f>IF(K2457="","",COUNTIF($K$2:$K$3001,"&lt;"&amp;K2457)+1)</f>
        <v/>
      </c>
    </row>
    <row r="2458">
      <c r="A2458" s="5">
        <f>IF($J2458="","",IF($J2458&lt;=1500,INDEX('Daily Sale entry '!$X$1:$X$1501,$J2458+1),INDEX('Daily Sale entry '!$V$1:$V$1501,$J2458-1499)))</f>
        <v/>
      </c>
      <c r="B2458">
        <f>IF($J2458="","",IF($J2458&lt;=1500,INDEX('Daily Sale entry '!$Y$1:$Y$1501,$J2458+1)&amp;"","Buyer cheque banked 买家支票存入"&amp;IF(INDEX('Daily Sale entry '!$U$1:$U$1501,$J2458-1499)="","", " - "&amp;INDEX('Daily Sale entry '!$U$1:$U$1501,$J2458-1499))))</f>
        <v/>
      </c>
      <c r="C2458">
        <f>IF($J2458="","",IF($J2458&lt;=1500,INDEX('Daily Sale entry '!$Z$1:$Z$1501,$J2458+1)&amp;"","Cheque deposit 支票存入 (buyer 买家)"))</f>
        <v/>
      </c>
      <c r="D2458">
        <f>IF($J2458="","",IF($J2458&lt;=1500,INDEX('Daily Sale entry '!$AA$1:$AA$1501,$J2458+1)&amp;"",INDEX('Daily Sale entry '!$P$1:$P$1501,$J2458-1499)&amp;""))</f>
        <v/>
      </c>
      <c r="E2458">
        <f>IF($J2458="","",IF($J2458&lt;=1500,IF(N(INDEX('Daily Sale entry '!$AB$1:$AB$1501,$J2458+1))=0,"",INDEX('Daily Sale entry '!$AB$1:$AB$1501,$J2458+1)),1))</f>
        <v/>
      </c>
      <c r="F2458" s="6">
        <f>IF($J2458="","",IF($J2458&lt;=1500,N(INDEX('Daily Sale entry '!$AC$1:$AC$1501,$J2458+1))-IF(AND('Opening Balance'!$B$15=1,INDEX('Daily Sale entry '!$Z$1:$Z$1501,$J2458+1)="Online collection 网上收款",INDEX('Daily Sale entry '!$AA$1:$AA$1501,$J2458+1)&lt;&gt;""),N(INDEX('Daily Sale entry '!$AC$1:$AC$1501,$J2458+1))-TRUNC(N(INDEX('Daily Sale entry '!$AC$1:$AC$1501,$J2458+1))),0),N(INDEX('Daily Sale entry '!$S$1:$S$1501,$J2458-1499))-'Opening Balance'!$B$15*(N(INDEX('Daily Sale entry '!$S$1:$S$1501,$J2458-1499))-TRUNC(N(INDEX('Daily Sale entry '!$S$1:$S$1501,$J2458-1499))))))</f>
        <v/>
      </c>
      <c r="G2458" s="6">
        <f>IF($J2458="","",IF($J2458&lt;=1500,N(INDEX('Daily Sale entry '!$AD$1:$AD$1501,$J2458+1)),0))</f>
        <v/>
      </c>
      <c r="H2458" s="6">
        <f>IF($J2458="","",ROUND('Opening Balance'!$B$4+SUM($F$2:F2458)-SUM($G$2:G2458),2))</f>
        <v/>
      </c>
      <c r="J2458" s="21">
        <f>IFERROR(MATCH(ROW()-1,$L$2:$L$3001,0),"")</f>
        <v/>
      </c>
      <c r="K2458" s="34">
        <f>IF(AND('Daily Sale entry '!Q958="Collection 收款",'Daily Sale entry '!R958="Cheque 支票",'Daily Sale entry '!V958&lt;&gt;""),'Daily Sale entry '!V958+ROW()/10000000,"")</f>
        <v/>
      </c>
      <c r="L2458" s="21">
        <f>IF(K2458="","",COUNTIF($K$2:$K$3001,"&lt;"&amp;K2458)+1)</f>
        <v/>
      </c>
    </row>
    <row r="2459">
      <c r="A2459" s="5">
        <f>IF($J2459="","",IF($J2459&lt;=1500,INDEX('Daily Sale entry '!$X$1:$X$1501,$J2459+1),INDEX('Daily Sale entry '!$V$1:$V$1501,$J2459-1499)))</f>
        <v/>
      </c>
      <c r="B2459">
        <f>IF($J2459="","",IF($J2459&lt;=1500,INDEX('Daily Sale entry '!$Y$1:$Y$1501,$J2459+1)&amp;"","Buyer cheque banked 买家支票存入"&amp;IF(INDEX('Daily Sale entry '!$U$1:$U$1501,$J2459-1499)="","", " - "&amp;INDEX('Daily Sale entry '!$U$1:$U$1501,$J2459-1499))))</f>
        <v/>
      </c>
      <c r="C2459">
        <f>IF($J2459="","",IF($J2459&lt;=1500,INDEX('Daily Sale entry '!$Z$1:$Z$1501,$J2459+1)&amp;"","Cheque deposit 支票存入 (buyer 买家)"))</f>
        <v/>
      </c>
      <c r="D2459">
        <f>IF($J2459="","",IF($J2459&lt;=1500,INDEX('Daily Sale entry '!$AA$1:$AA$1501,$J2459+1)&amp;"",INDEX('Daily Sale entry '!$P$1:$P$1501,$J2459-1499)&amp;""))</f>
        <v/>
      </c>
      <c r="E2459">
        <f>IF($J2459="","",IF($J2459&lt;=1500,IF(N(INDEX('Daily Sale entry '!$AB$1:$AB$1501,$J2459+1))=0,"",INDEX('Daily Sale entry '!$AB$1:$AB$1501,$J2459+1)),1))</f>
        <v/>
      </c>
      <c r="F2459" s="6">
        <f>IF($J2459="","",IF($J2459&lt;=1500,N(INDEX('Daily Sale entry '!$AC$1:$AC$1501,$J2459+1))-IF(AND('Opening Balance'!$B$15=1,INDEX('Daily Sale entry '!$Z$1:$Z$1501,$J2459+1)="Online collection 网上收款",INDEX('Daily Sale entry '!$AA$1:$AA$1501,$J2459+1)&lt;&gt;""),N(INDEX('Daily Sale entry '!$AC$1:$AC$1501,$J2459+1))-TRUNC(N(INDEX('Daily Sale entry '!$AC$1:$AC$1501,$J2459+1))),0),N(INDEX('Daily Sale entry '!$S$1:$S$1501,$J2459-1499))-'Opening Balance'!$B$15*(N(INDEX('Daily Sale entry '!$S$1:$S$1501,$J2459-1499))-TRUNC(N(INDEX('Daily Sale entry '!$S$1:$S$1501,$J2459-1499))))))</f>
        <v/>
      </c>
      <c r="G2459" s="6">
        <f>IF($J2459="","",IF($J2459&lt;=1500,N(INDEX('Daily Sale entry '!$AD$1:$AD$1501,$J2459+1)),0))</f>
        <v/>
      </c>
      <c r="H2459" s="6">
        <f>IF($J2459="","",ROUND('Opening Balance'!$B$4+SUM($F$2:F2459)-SUM($G$2:G2459),2))</f>
        <v/>
      </c>
      <c r="J2459" s="21">
        <f>IFERROR(MATCH(ROW()-1,$L$2:$L$3001,0),"")</f>
        <v/>
      </c>
      <c r="K2459" s="34">
        <f>IF(AND('Daily Sale entry '!Q959="Collection 收款",'Daily Sale entry '!R959="Cheque 支票",'Daily Sale entry '!V959&lt;&gt;""),'Daily Sale entry '!V959+ROW()/10000000,"")</f>
        <v/>
      </c>
      <c r="L2459" s="21">
        <f>IF(K2459="","",COUNTIF($K$2:$K$3001,"&lt;"&amp;K2459)+1)</f>
        <v/>
      </c>
    </row>
    <row r="2460">
      <c r="A2460" s="5">
        <f>IF($J2460="","",IF($J2460&lt;=1500,INDEX('Daily Sale entry '!$X$1:$X$1501,$J2460+1),INDEX('Daily Sale entry '!$V$1:$V$1501,$J2460-1499)))</f>
        <v/>
      </c>
      <c r="B2460">
        <f>IF($J2460="","",IF($J2460&lt;=1500,INDEX('Daily Sale entry '!$Y$1:$Y$1501,$J2460+1)&amp;"","Buyer cheque banked 买家支票存入"&amp;IF(INDEX('Daily Sale entry '!$U$1:$U$1501,$J2460-1499)="","", " - "&amp;INDEX('Daily Sale entry '!$U$1:$U$1501,$J2460-1499))))</f>
        <v/>
      </c>
      <c r="C2460">
        <f>IF($J2460="","",IF($J2460&lt;=1500,INDEX('Daily Sale entry '!$Z$1:$Z$1501,$J2460+1)&amp;"","Cheque deposit 支票存入 (buyer 买家)"))</f>
        <v/>
      </c>
      <c r="D2460">
        <f>IF($J2460="","",IF($J2460&lt;=1500,INDEX('Daily Sale entry '!$AA$1:$AA$1501,$J2460+1)&amp;"",INDEX('Daily Sale entry '!$P$1:$P$1501,$J2460-1499)&amp;""))</f>
        <v/>
      </c>
      <c r="E2460">
        <f>IF($J2460="","",IF($J2460&lt;=1500,IF(N(INDEX('Daily Sale entry '!$AB$1:$AB$1501,$J2460+1))=0,"",INDEX('Daily Sale entry '!$AB$1:$AB$1501,$J2460+1)),1))</f>
        <v/>
      </c>
      <c r="F2460" s="6">
        <f>IF($J2460="","",IF($J2460&lt;=1500,N(INDEX('Daily Sale entry '!$AC$1:$AC$1501,$J2460+1))-IF(AND('Opening Balance'!$B$15=1,INDEX('Daily Sale entry '!$Z$1:$Z$1501,$J2460+1)="Online collection 网上收款",INDEX('Daily Sale entry '!$AA$1:$AA$1501,$J2460+1)&lt;&gt;""),N(INDEX('Daily Sale entry '!$AC$1:$AC$1501,$J2460+1))-TRUNC(N(INDEX('Daily Sale entry '!$AC$1:$AC$1501,$J2460+1))),0),N(INDEX('Daily Sale entry '!$S$1:$S$1501,$J2460-1499))-'Opening Balance'!$B$15*(N(INDEX('Daily Sale entry '!$S$1:$S$1501,$J2460-1499))-TRUNC(N(INDEX('Daily Sale entry '!$S$1:$S$1501,$J2460-1499))))))</f>
        <v/>
      </c>
      <c r="G2460" s="6">
        <f>IF($J2460="","",IF($J2460&lt;=1500,N(INDEX('Daily Sale entry '!$AD$1:$AD$1501,$J2460+1)),0))</f>
        <v/>
      </c>
      <c r="H2460" s="6">
        <f>IF($J2460="","",ROUND('Opening Balance'!$B$4+SUM($F$2:F2460)-SUM($G$2:G2460),2))</f>
        <v/>
      </c>
      <c r="J2460" s="21">
        <f>IFERROR(MATCH(ROW()-1,$L$2:$L$3001,0),"")</f>
        <v/>
      </c>
      <c r="K2460" s="34">
        <f>IF(AND('Daily Sale entry '!Q960="Collection 收款",'Daily Sale entry '!R960="Cheque 支票",'Daily Sale entry '!V960&lt;&gt;""),'Daily Sale entry '!V960+ROW()/10000000,"")</f>
        <v/>
      </c>
      <c r="L2460" s="21">
        <f>IF(K2460="","",COUNTIF($K$2:$K$3001,"&lt;"&amp;K2460)+1)</f>
        <v/>
      </c>
    </row>
    <row r="2461">
      <c r="A2461" s="5">
        <f>IF($J2461="","",IF($J2461&lt;=1500,INDEX('Daily Sale entry '!$X$1:$X$1501,$J2461+1),INDEX('Daily Sale entry '!$V$1:$V$1501,$J2461-1499)))</f>
        <v/>
      </c>
      <c r="B2461">
        <f>IF($J2461="","",IF($J2461&lt;=1500,INDEX('Daily Sale entry '!$Y$1:$Y$1501,$J2461+1)&amp;"","Buyer cheque banked 买家支票存入"&amp;IF(INDEX('Daily Sale entry '!$U$1:$U$1501,$J2461-1499)="","", " - "&amp;INDEX('Daily Sale entry '!$U$1:$U$1501,$J2461-1499))))</f>
        <v/>
      </c>
      <c r="C2461">
        <f>IF($J2461="","",IF($J2461&lt;=1500,INDEX('Daily Sale entry '!$Z$1:$Z$1501,$J2461+1)&amp;"","Cheque deposit 支票存入 (buyer 买家)"))</f>
        <v/>
      </c>
      <c r="D2461">
        <f>IF($J2461="","",IF($J2461&lt;=1500,INDEX('Daily Sale entry '!$AA$1:$AA$1501,$J2461+1)&amp;"",INDEX('Daily Sale entry '!$P$1:$P$1501,$J2461-1499)&amp;""))</f>
        <v/>
      </c>
      <c r="E2461">
        <f>IF($J2461="","",IF($J2461&lt;=1500,IF(N(INDEX('Daily Sale entry '!$AB$1:$AB$1501,$J2461+1))=0,"",INDEX('Daily Sale entry '!$AB$1:$AB$1501,$J2461+1)),1))</f>
        <v/>
      </c>
      <c r="F2461" s="6">
        <f>IF($J2461="","",IF($J2461&lt;=1500,N(INDEX('Daily Sale entry '!$AC$1:$AC$1501,$J2461+1))-IF(AND('Opening Balance'!$B$15=1,INDEX('Daily Sale entry '!$Z$1:$Z$1501,$J2461+1)="Online collection 网上收款",INDEX('Daily Sale entry '!$AA$1:$AA$1501,$J2461+1)&lt;&gt;""),N(INDEX('Daily Sale entry '!$AC$1:$AC$1501,$J2461+1))-TRUNC(N(INDEX('Daily Sale entry '!$AC$1:$AC$1501,$J2461+1))),0),N(INDEX('Daily Sale entry '!$S$1:$S$1501,$J2461-1499))-'Opening Balance'!$B$15*(N(INDEX('Daily Sale entry '!$S$1:$S$1501,$J2461-1499))-TRUNC(N(INDEX('Daily Sale entry '!$S$1:$S$1501,$J2461-1499))))))</f>
        <v/>
      </c>
      <c r="G2461" s="6">
        <f>IF($J2461="","",IF($J2461&lt;=1500,N(INDEX('Daily Sale entry '!$AD$1:$AD$1501,$J2461+1)),0))</f>
        <v/>
      </c>
      <c r="H2461" s="6">
        <f>IF($J2461="","",ROUND('Opening Balance'!$B$4+SUM($F$2:F2461)-SUM($G$2:G2461),2))</f>
        <v/>
      </c>
      <c r="J2461" s="21">
        <f>IFERROR(MATCH(ROW()-1,$L$2:$L$3001,0),"")</f>
        <v/>
      </c>
      <c r="K2461" s="34">
        <f>IF(AND('Daily Sale entry '!Q961="Collection 收款",'Daily Sale entry '!R961="Cheque 支票",'Daily Sale entry '!V961&lt;&gt;""),'Daily Sale entry '!V961+ROW()/10000000,"")</f>
        <v/>
      </c>
      <c r="L2461" s="21">
        <f>IF(K2461="","",COUNTIF($K$2:$K$3001,"&lt;"&amp;K2461)+1)</f>
        <v/>
      </c>
    </row>
    <row r="2462">
      <c r="A2462" s="5">
        <f>IF($J2462="","",IF($J2462&lt;=1500,INDEX('Daily Sale entry '!$X$1:$X$1501,$J2462+1),INDEX('Daily Sale entry '!$V$1:$V$1501,$J2462-1499)))</f>
        <v/>
      </c>
      <c r="B2462">
        <f>IF($J2462="","",IF($J2462&lt;=1500,INDEX('Daily Sale entry '!$Y$1:$Y$1501,$J2462+1)&amp;"","Buyer cheque banked 买家支票存入"&amp;IF(INDEX('Daily Sale entry '!$U$1:$U$1501,$J2462-1499)="","", " - "&amp;INDEX('Daily Sale entry '!$U$1:$U$1501,$J2462-1499))))</f>
        <v/>
      </c>
      <c r="C2462">
        <f>IF($J2462="","",IF($J2462&lt;=1500,INDEX('Daily Sale entry '!$Z$1:$Z$1501,$J2462+1)&amp;"","Cheque deposit 支票存入 (buyer 买家)"))</f>
        <v/>
      </c>
      <c r="D2462">
        <f>IF($J2462="","",IF($J2462&lt;=1500,INDEX('Daily Sale entry '!$AA$1:$AA$1501,$J2462+1)&amp;"",INDEX('Daily Sale entry '!$P$1:$P$1501,$J2462-1499)&amp;""))</f>
        <v/>
      </c>
      <c r="E2462">
        <f>IF($J2462="","",IF($J2462&lt;=1500,IF(N(INDEX('Daily Sale entry '!$AB$1:$AB$1501,$J2462+1))=0,"",INDEX('Daily Sale entry '!$AB$1:$AB$1501,$J2462+1)),1))</f>
        <v/>
      </c>
      <c r="F2462" s="6">
        <f>IF($J2462="","",IF($J2462&lt;=1500,N(INDEX('Daily Sale entry '!$AC$1:$AC$1501,$J2462+1))-IF(AND('Opening Balance'!$B$15=1,INDEX('Daily Sale entry '!$Z$1:$Z$1501,$J2462+1)="Online collection 网上收款",INDEX('Daily Sale entry '!$AA$1:$AA$1501,$J2462+1)&lt;&gt;""),N(INDEX('Daily Sale entry '!$AC$1:$AC$1501,$J2462+1))-TRUNC(N(INDEX('Daily Sale entry '!$AC$1:$AC$1501,$J2462+1))),0),N(INDEX('Daily Sale entry '!$S$1:$S$1501,$J2462-1499))-'Opening Balance'!$B$15*(N(INDEX('Daily Sale entry '!$S$1:$S$1501,$J2462-1499))-TRUNC(N(INDEX('Daily Sale entry '!$S$1:$S$1501,$J2462-1499))))))</f>
        <v/>
      </c>
      <c r="G2462" s="6">
        <f>IF($J2462="","",IF($J2462&lt;=1500,N(INDEX('Daily Sale entry '!$AD$1:$AD$1501,$J2462+1)),0))</f>
        <v/>
      </c>
      <c r="H2462" s="6">
        <f>IF($J2462="","",ROUND('Opening Balance'!$B$4+SUM($F$2:F2462)-SUM($G$2:G2462),2))</f>
        <v/>
      </c>
      <c r="J2462" s="21">
        <f>IFERROR(MATCH(ROW()-1,$L$2:$L$3001,0),"")</f>
        <v/>
      </c>
      <c r="K2462" s="34">
        <f>IF(AND('Daily Sale entry '!Q962="Collection 收款",'Daily Sale entry '!R962="Cheque 支票",'Daily Sale entry '!V962&lt;&gt;""),'Daily Sale entry '!V962+ROW()/10000000,"")</f>
        <v/>
      </c>
      <c r="L2462" s="21">
        <f>IF(K2462="","",COUNTIF($K$2:$K$3001,"&lt;"&amp;K2462)+1)</f>
        <v/>
      </c>
    </row>
    <row r="2463">
      <c r="A2463" s="5">
        <f>IF($J2463="","",IF($J2463&lt;=1500,INDEX('Daily Sale entry '!$X$1:$X$1501,$J2463+1),INDEX('Daily Sale entry '!$V$1:$V$1501,$J2463-1499)))</f>
        <v/>
      </c>
      <c r="B2463">
        <f>IF($J2463="","",IF($J2463&lt;=1500,INDEX('Daily Sale entry '!$Y$1:$Y$1501,$J2463+1)&amp;"","Buyer cheque banked 买家支票存入"&amp;IF(INDEX('Daily Sale entry '!$U$1:$U$1501,$J2463-1499)="","", " - "&amp;INDEX('Daily Sale entry '!$U$1:$U$1501,$J2463-1499))))</f>
        <v/>
      </c>
      <c r="C2463">
        <f>IF($J2463="","",IF($J2463&lt;=1500,INDEX('Daily Sale entry '!$Z$1:$Z$1501,$J2463+1)&amp;"","Cheque deposit 支票存入 (buyer 买家)"))</f>
        <v/>
      </c>
      <c r="D2463">
        <f>IF($J2463="","",IF($J2463&lt;=1500,INDEX('Daily Sale entry '!$AA$1:$AA$1501,$J2463+1)&amp;"",INDEX('Daily Sale entry '!$P$1:$P$1501,$J2463-1499)&amp;""))</f>
        <v/>
      </c>
      <c r="E2463">
        <f>IF($J2463="","",IF($J2463&lt;=1500,IF(N(INDEX('Daily Sale entry '!$AB$1:$AB$1501,$J2463+1))=0,"",INDEX('Daily Sale entry '!$AB$1:$AB$1501,$J2463+1)),1))</f>
        <v/>
      </c>
      <c r="F2463" s="6">
        <f>IF($J2463="","",IF($J2463&lt;=1500,N(INDEX('Daily Sale entry '!$AC$1:$AC$1501,$J2463+1))-IF(AND('Opening Balance'!$B$15=1,INDEX('Daily Sale entry '!$Z$1:$Z$1501,$J2463+1)="Online collection 网上收款",INDEX('Daily Sale entry '!$AA$1:$AA$1501,$J2463+1)&lt;&gt;""),N(INDEX('Daily Sale entry '!$AC$1:$AC$1501,$J2463+1))-TRUNC(N(INDEX('Daily Sale entry '!$AC$1:$AC$1501,$J2463+1))),0),N(INDEX('Daily Sale entry '!$S$1:$S$1501,$J2463-1499))-'Opening Balance'!$B$15*(N(INDEX('Daily Sale entry '!$S$1:$S$1501,$J2463-1499))-TRUNC(N(INDEX('Daily Sale entry '!$S$1:$S$1501,$J2463-1499))))))</f>
        <v/>
      </c>
      <c r="G2463" s="6">
        <f>IF($J2463="","",IF($J2463&lt;=1500,N(INDEX('Daily Sale entry '!$AD$1:$AD$1501,$J2463+1)),0))</f>
        <v/>
      </c>
      <c r="H2463" s="6">
        <f>IF($J2463="","",ROUND('Opening Balance'!$B$4+SUM($F$2:F2463)-SUM($G$2:G2463),2))</f>
        <v/>
      </c>
      <c r="J2463" s="21">
        <f>IFERROR(MATCH(ROW()-1,$L$2:$L$3001,0),"")</f>
        <v/>
      </c>
      <c r="K2463" s="34">
        <f>IF(AND('Daily Sale entry '!Q963="Collection 收款",'Daily Sale entry '!R963="Cheque 支票",'Daily Sale entry '!V963&lt;&gt;""),'Daily Sale entry '!V963+ROW()/10000000,"")</f>
        <v/>
      </c>
      <c r="L2463" s="21">
        <f>IF(K2463="","",COUNTIF($K$2:$K$3001,"&lt;"&amp;K2463)+1)</f>
        <v/>
      </c>
    </row>
    <row r="2464">
      <c r="A2464" s="5">
        <f>IF($J2464="","",IF($J2464&lt;=1500,INDEX('Daily Sale entry '!$X$1:$X$1501,$J2464+1),INDEX('Daily Sale entry '!$V$1:$V$1501,$J2464-1499)))</f>
        <v/>
      </c>
      <c r="B2464">
        <f>IF($J2464="","",IF($J2464&lt;=1500,INDEX('Daily Sale entry '!$Y$1:$Y$1501,$J2464+1)&amp;"","Buyer cheque banked 买家支票存入"&amp;IF(INDEX('Daily Sale entry '!$U$1:$U$1501,$J2464-1499)="","", " - "&amp;INDEX('Daily Sale entry '!$U$1:$U$1501,$J2464-1499))))</f>
        <v/>
      </c>
      <c r="C2464">
        <f>IF($J2464="","",IF($J2464&lt;=1500,INDEX('Daily Sale entry '!$Z$1:$Z$1501,$J2464+1)&amp;"","Cheque deposit 支票存入 (buyer 买家)"))</f>
        <v/>
      </c>
      <c r="D2464">
        <f>IF($J2464="","",IF($J2464&lt;=1500,INDEX('Daily Sale entry '!$AA$1:$AA$1501,$J2464+1)&amp;"",INDEX('Daily Sale entry '!$P$1:$P$1501,$J2464-1499)&amp;""))</f>
        <v/>
      </c>
      <c r="E2464">
        <f>IF($J2464="","",IF($J2464&lt;=1500,IF(N(INDEX('Daily Sale entry '!$AB$1:$AB$1501,$J2464+1))=0,"",INDEX('Daily Sale entry '!$AB$1:$AB$1501,$J2464+1)),1))</f>
        <v/>
      </c>
      <c r="F2464" s="6">
        <f>IF($J2464="","",IF($J2464&lt;=1500,N(INDEX('Daily Sale entry '!$AC$1:$AC$1501,$J2464+1))-IF(AND('Opening Balance'!$B$15=1,INDEX('Daily Sale entry '!$Z$1:$Z$1501,$J2464+1)="Online collection 网上收款",INDEX('Daily Sale entry '!$AA$1:$AA$1501,$J2464+1)&lt;&gt;""),N(INDEX('Daily Sale entry '!$AC$1:$AC$1501,$J2464+1))-TRUNC(N(INDEX('Daily Sale entry '!$AC$1:$AC$1501,$J2464+1))),0),N(INDEX('Daily Sale entry '!$S$1:$S$1501,$J2464-1499))-'Opening Balance'!$B$15*(N(INDEX('Daily Sale entry '!$S$1:$S$1501,$J2464-1499))-TRUNC(N(INDEX('Daily Sale entry '!$S$1:$S$1501,$J2464-1499))))))</f>
        <v/>
      </c>
      <c r="G2464" s="6">
        <f>IF($J2464="","",IF($J2464&lt;=1500,N(INDEX('Daily Sale entry '!$AD$1:$AD$1501,$J2464+1)),0))</f>
        <v/>
      </c>
      <c r="H2464" s="6">
        <f>IF($J2464="","",ROUND('Opening Balance'!$B$4+SUM($F$2:F2464)-SUM($G$2:G2464),2))</f>
        <v/>
      </c>
      <c r="J2464" s="21">
        <f>IFERROR(MATCH(ROW()-1,$L$2:$L$3001,0),"")</f>
        <v/>
      </c>
      <c r="K2464" s="34">
        <f>IF(AND('Daily Sale entry '!Q964="Collection 收款",'Daily Sale entry '!R964="Cheque 支票",'Daily Sale entry '!V964&lt;&gt;""),'Daily Sale entry '!V964+ROW()/10000000,"")</f>
        <v/>
      </c>
      <c r="L2464" s="21">
        <f>IF(K2464="","",COUNTIF($K$2:$K$3001,"&lt;"&amp;K2464)+1)</f>
        <v/>
      </c>
    </row>
    <row r="2465">
      <c r="A2465" s="5">
        <f>IF($J2465="","",IF($J2465&lt;=1500,INDEX('Daily Sale entry '!$X$1:$X$1501,$J2465+1),INDEX('Daily Sale entry '!$V$1:$V$1501,$J2465-1499)))</f>
        <v/>
      </c>
      <c r="B2465">
        <f>IF($J2465="","",IF($J2465&lt;=1500,INDEX('Daily Sale entry '!$Y$1:$Y$1501,$J2465+1)&amp;"","Buyer cheque banked 买家支票存入"&amp;IF(INDEX('Daily Sale entry '!$U$1:$U$1501,$J2465-1499)="","", " - "&amp;INDEX('Daily Sale entry '!$U$1:$U$1501,$J2465-1499))))</f>
        <v/>
      </c>
      <c r="C2465">
        <f>IF($J2465="","",IF($J2465&lt;=1500,INDEX('Daily Sale entry '!$Z$1:$Z$1501,$J2465+1)&amp;"","Cheque deposit 支票存入 (buyer 买家)"))</f>
        <v/>
      </c>
      <c r="D2465">
        <f>IF($J2465="","",IF($J2465&lt;=1500,INDEX('Daily Sale entry '!$AA$1:$AA$1501,$J2465+1)&amp;"",INDEX('Daily Sale entry '!$P$1:$P$1501,$J2465-1499)&amp;""))</f>
        <v/>
      </c>
      <c r="E2465">
        <f>IF($J2465="","",IF($J2465&lt;=1500,IF(N(INDEX('Daily Sale entry '!$AB$1:$AB$1501,$J2465+1))=0,"",INDEX('Daily Sale entry '!$AB$1:$AB$1501,$J2465+1)),1))</f>
        <v/>
      </c>
      <c r="F2465" s="6">
        <f>IF($J2465="","",IF($J2465&lt;=1500,N(INDEX('Daily Sale entry '!$AC$1:$AC$1501,$J2465+1))-IF(AND('Opening Balance'!$B$15=1,INDEX('Daily Sale entry '!$Z$1:$Z$1501,$J2465+1)="Online collection 网上收款",INDEX('Daily Sale entry '!$AA$1:$AA$1501,$J2465+1)&lt;&gt;""),N(INDEX('Daily Sale entry '!$AC$1:$AC$1501,$J2465+1))-TRUNC(N(INDEX('Daily Sale entry '!$AC$1:$AC$1501,$J2465+1))),0),N(INDEX('Daily Sale entry '!$S$1:$S$1501,$J2465-1499))-'Opening Balance'!$B$15*(N(INDEX('Daily Sale entry '!$S$1:$S$1501,$J2465-1499))-TRUNC(N(INDEX('Daily Sale entry '!$S$1:$S$1501,$J2465-1499))))))</f>
        <v/>
      </c>
      <c r="G2465" s="6">
        <f>IF($J2465="","",IF($J2465&lt;=1500,N(INDEX('Daily Sale entry '!$AD$1:$AD$1501,$J2465+1)),0))</f>
        <v/>
      </c>
      <c r="H2465" s="6">
        <f>IF($J2465="","",ROUND('Opening Balance'!$B$4+SUM($F$2:F2465)-SUM($G$2:G2465),2))</f>
        <v/>
      </c>
      <c r="J2465" s="21">
        <f>IFERROR(MATCH(ROW()-1,$L$2:$L$3001,0),"")</f>
        <v/>
      </c>
      <c r="K2465" s="34">
        <f>IF(AND('Daily Sale entry '!Q965="Collection 收款",'Daily Sale entry '!R965="Cheque 支票",'Daily Sale entry '!V965&lt;&gt;""),'Daily Sale entry '!V965+ROW()/10000000,"")</f>
        <v/>
      </c>
      <c r="L2465" s="21">
        <f>IF(K2465="","",COUNTIF($K$2:$K$3001,"&lt;"&amp;K2465)+1)</f>
        <v/>
      </c>
    </row>
    <row r="2466">
      <c r="A2466" s="5">
        <f>IF($J2466="","",IF($J2466&lt;=1500,INDEX('Daily Sale entry '!$X$1:$X$1501,$J2466+1),INDEX('Daily Sale entry '!$V$1:$V$1501,$J2466-1499)))</f>
        <v/>
      </c>
      <c r="B2466">
        <f>IF($J2466="","",IF($J2466&lt;=1500,INDEX('Daily Sale entry '!$Y$1:$Y$1501,$J2466+1)&amp;"","Buyer cheque banked 买家支票存入"&amp;IF(INDEX('Daily Sale entry '!$U$1:$U$1501,$J2466-1499)="","", " - "&amp;INDEX('Daily Sale entry '!$U$1:$U$1501,$J2466-1499))))</f>
        <v/>
      </c>
      <c r="C2466">
        <f>IF($J2466="","",IF($J2466&lt;=1500,INDEX('Daily Sale entry '!$Z$1:$Z$1501,$J2466+1)&amp;"","Cheque deposit 支票存入 (buyer 买家)"))</f>
        <v/>
      </c>
      <c r="D2466">
        <f>IF($J2466="","",IF($J2466&lt;=1500,INDEX('Daily Sale entry '!$AA$1:$AA$1501,$J2466+1)&amp;"",INDEX('Daily Sale entry '!$P$1:$P$1501,$J2466-1499)&amp;""))</f>
        <v/>
      </c>
      <c r="E2466">
        <f>IF($J2466="","",IF($J2466&lt;=1500,IF(N(INDEX('Daily Sale entry '!$AB$1:$AB$1501,$J2466+1))=0,"",INDEX('Daily Sale entry '!$AB$1:$AB$1501,$J2466+1)),1))</f>
        <v/>
      </c>
      <c r="F2466" s="6">
        <f>IF($J2466="","",IF($J2466&lt;=1500,N(INDEX('Daily Sale entry '!$AC$1:$AC$1501,$J2466+1))-IF(AND('Opening Balance'!$B$15=1,INDEX('Daily Sale entry '!$Z$1:$Z$1501,$J2466+1)="Online collection 网上收款",INDEX('Daily Sale entry '!$AA$1:$AA$1501,$J2466+1)&lt;&gt;""),N(INDEX('Daily Sale entry '!$AC$1:$AC$1501,$J2466+1))-TRUNC(N(INDEX('Daily Sale entry '!$AC$1:$AC$1501,$J2466+1))),0),N(INDEX('Daily Sale entry '!$S$1:$S$1501,$J2466-1499))-'Opening Balance'!$B$15*(N(INDEX('Daily Sale entry '!$S$1:$S$1501,$J2466-1499))-TRUNC(N(INDEX('Daily Sale entry '!$S$1:$S$1501,$J2466-1499))))))</f>
        <v/>
      </c>
      <c r="G2466" s="6">
        <f>IF($J2466="","",IF($J2466&lt;=1500,N(INDEX('Daily Sale entry '!$AD$1:$AD$1501,$J2466+1)),0))</f>
        <v/>
      </c>
      <c r="H2466" s="6">
        <f>IF($J2466="","",ROUND('Opening Balance'!$B$4+SUM($F$2:F2466)-SUM($G$2:G2466),2))</f>
        <v/>
      </c>
      <c r="J2466" s="21">
        <f>IFERROR(MATCH(ROW()-1,$L$2:$L$3001,0),"")</f>
        <v/>
      </c>
      <c r="K2466" s="34">
        <f>IF(AND('Daily Sale entry '!Q966="Collection 收款",'Daily Sale entry '!R966="Cheque 支票",'Daily Sale entry '!V966&lt;&gt;""),'Daily Sale entry '!V966+ROW()/10000000,"")</f>
        <v/>
      </c>
      <c r="L2466" s="21">
        <f>IF(K2466="","",COUNTIF($K$2:$K$3001,"&lt;"&amp;K2466)+1)</f>
        <v/>
      </c>
    </row>
    <row r="2467">
      <c r="A2467" s="5">
        <f>IF($J2467="","",IF($J2467&lt;=1500,INDEX('Daily Sale entry '!$X$1:$X$1501,$J2467+1),INDEX('Daily Sale entry '!$V$1:$V$1501,$J2467-1499)))</f>
        <v/>
      </c>
      <c r="B2467">
        <f>IF($J2467="","",IF($J2467&lt;=1500,INDEX('Daily Sale entry '!$Y$1:$Y$1501,$J2467+1)&amp;"","Buyer cheque banked 买家支票存入"&amp;IF(INDEX('Daily Sale entry '!$U$1:$U$1501,$J2467-1499)="","", " - "&amp;INDEX('Daily Sale entry '!$U$1:$U$1501,$J2467-1499))))</f>
        <v/>
      </c>
      <c r="C2467">
        <f>IF($J2467="","",IF($J2467&lt;=1500,INDEX('Daily Sale entry '!$Z$1:$Z$1501,$J2467+1)&amp;"","Cheque deposit 支票存入 (buyer 买家)"))</f>
        <v/>
      </c>
      <c r="D2467">
        <f>IF($J2467="","",IF($J2467&lt;=1500,INDEX('Daily Sale entry '!$AA$1:$AA$1501,$J2467+1)&amp;"",INDEX('Daily Sale entry '!$P$1:$P$1501,$J2467-1499)&amp;""))</f>
        <v/>
      </c>
      <c r="E2467">
        <f>IF($J2467="","",IF($J2467&lt;=1500,IF(N(INDEX('Daily Sale entry '!$AB$1:$AB$1501,$J2467+1))=0,"",INDEX('Daily Sale entry '!$AB$1:$AB$1501,$J2467+1)),1))</f>
        <v/>
      </c>
      <c r="F2467" s="6">
        <f>IF($J2467="","",IF($J2467&lt;=1500,N(INDEX('Daily Sale entry '!$AC$1:$AC$1501,$J2467+1))-IF(AND('Opening Balance'!$B$15=1,INDEX('Daily Sale entry '!$Z$1:$Z$1501,$J2467+1)="Online collection 网上收款",INDEX('Daily Sale entry '!$AA$1:$AA$1501,$J2467+1)&lt;&gt;""),N(INDEX('Daily Sale entry '!$AC$1:$AC$1501,$J2467+1))-TRUNC(N(INDEX('Daily Sale entry '!$AC$1:$AC$1501,$J2467+1))),0),N(INDEX('Daily Sale entry '!$S$1:$S$1501,$J2467-1499))-'Opening Balance'!$B$15*(N(INDEX('Daily Sale entry '!$S$1:$S$1501,$J2467-1499))-TRUNC(N(INDEX('Daily Sale entry '!$S$1:$S$1501,$J2467-1499))))))</f>
        <v/>
      </c>
      <c r="G2467" s="6">
        <f>IF($J2467="","",IF($J2467&lt;=1500,N(INDEX('Daily Sale entry '!$AD$1:$AD$1501,$J2467+1)),0))</f>
        <v/>
      </c>
      <c r="H2467" s="6">
        <f>IF($J2467="","",ROUND('Opening Balance'!$B$4+SUM($F$2:F2467)-SUM($G$2:G2467),2))</f>
        <v/>
      </c>
      <c r="J2467" s="21">
        <f>IFERROR(MATCH(ROW()-1,$L$2:$L$3001,0),"")</f>
        <v/>
      </c>
      <c r="K2467" s="34">
        <f>IF(AND('Daily Sale entry '!Q967="Collection 收款",'Daily Sale entry '!R967="Cheque 支票",'Daily Sale entry '!V967&lt;&gt;""),'Daily Sale entry '!V967+ROW()/10000000,"")</f>
        <v/>
      </c>
      <c r="L2467" s="21">
        <f>IF(K2467="","",COUNTIF($K$2:$K$3001,"&lt;"&amp;K2467)+1)</f>
        <v/>
      </c>
    </row>
    <row r="2468">
      <c r="A2468" s="5">
        <f>IF($J2468="","",IF($J2468&lt;=1500,INDEX('Daily Sale entry '!$X$1:$X$1501,$J2468+1),INDEX('Daily Sale entry '!$V$1:$V$1501,$J2468-1499)))</f>
        <v/>
      </c>
      <c r="B2468">
        <f>IF($J2468="","",IF($J2468&lt;=1500,INDEX('Daily Sale entry '!$Y$1:$Y$1501,$J2468+1)&amp;"","Buyer cheque banked 买家支票存入"&amp;IF(INDEX('Daily Sale entry '!$U$1:$U$1501,$J2468-1499)="","", " - "&amp;INDEX('Daily Sale entry '!$U$1:$U$1501,$J2468-1499))))</f>
        <v/>
      </c>
      <c r="C2468">
        <f>IF($J2468="","",IF($J2468&lt;=1500,INDEX('Daily Sale entry '!$Z$1:$Z$1501,$J2468+1)&amp;"","Cheque deposit 支票存入 (buyer 买家)"))</f>
        <v/>
      </c>
      <c r="D2468">
        <f>IF($J2468="","",IF($J2468&lt;=1500,INDEX('Daily Sale entry '!$AA$1:$AA$1501,$J2468+1)&amp;"",INDEX('Daily Sale entry '!$P$1:$P$1501,$J2468-1499)&amp;""))</f>
        <v/>
      </c>
      <c r="E2468">
        <f>IF($J2468="","",IF($J2468&lt;=1500,IF(N(INDEX('Daily Sale entry '!$AB$1:$AB$1501,$J2468+1))=0,"",INDEX('Daily Sale entry '!$AB$1:$AB$1501,$J2468+1)),1))</f>
        <v/>
      </c>
      <c r="F2468" s="6">
        <f>IF($J2468="","",IF($J2468&lt;=1500,N(INDEX('Daily Sale entry '!$AC$1:$AC$1501,$J2468+1))-IF(AND('Opening Balance'!$B$15=1,INDEX('Daily Sale entry '!$Z$1:$Z$1501,$J2468+1)="Online collection 网上收款",INDEX('Daily Sale entry '!$AA$1:$AA$1501,$J2468+1)&lt;&gt;""),N(INDEX('Daily Sale entry '!$AC$1:$AC$1501,$J2468+1))-TRUNC(N(INDEX('Daily Sale entry '!$AC$1:$AC$1501,$J2468+1))),0),N(INDEX('Daily Sale entry '!$S$1:$S$1501,$J2468-1499))-'Opening Balance'!$B$15*(N(INDEX('Daily Sale entry '!$S$1:$S$1501,$J2468-1499))-TRUNC(N(INDEX('Daily Sale entry '!$S$1:$S$1501,$J2468-1499))))))</f>
        <v/>
      </c>
      <c r="G2468" s="6">
        <f>IF($J2468="","",IF($J2468&lt;=1500,N(INDEX('Daily Sale entry '!$AD$1:$AD$1501,$J2468+1)),0))</f>
        <v/>
      </c>
      <c r="H2468" s="6">
        <f>IF($J2468="","",ROUND('Opening Balance'!$B$4+SUM($F$2:F2468)-SUM($G$2:G2468),2))</f>
        <v/>
      </c>
      <c r="J2468" s="21">
        <f>IFERROR(MATCH(ROW()-1,$L$2:$L$3001,0),"")</f>
        <v/>
      </c>
      <c r="K2468" s="34">
        <f>IF(AND('Daily Sale entry '!Q968="Collection 收款",'Daily Sale entry '!R968="Cheque 支票",'Daily Sale entry '!V968&lt;&gt;""),'Daily Sale entry '!V968+ROW()/10000000,"")</f>
        <v/>
      </c>
      <c r="L2468" s="21">
        <f>IF(K2468="","",COUNTIF($K$2:$K$3001,"&lt;"&amp;K2468)+1)</f>
        <v/>
      </c>
    </row>
    <row r="2469">
      <c r="A2469" s="5">
        <f>IF($J2469="","",IF($J2469&lt;=1500,INDEX('Daily Sale entry '!$X$1:$X$1501,$J2469+1),INDEX('Daily Sale entry '!$V$1:$V$1501,$J2469-1499)))</f>
        <v/>
      </c>
      <c r="B2469">
        <f>IF($J2469="","",IF($J2469&lt;=1500,INDEX('Daily Sale entry '!$Y$1:$Y$1501,$J2469+1)&amp;"","Buyer cheque banked 买家支票存入"&amp;IF(INDEX('Daily Sale entry '!$U$1:$U$1501,$J2469-1499)="","", " - "&amp;INDEX('Daily Sale entry '!$U$1:$U$1501,$J2469-1499))))</f>
        <v/>
      </c>
      <c r="C2469">
        <f>IF($J2469="","",IF($J2469&lt;=1500,INDEX('Daily Sale entry '!$Z$1:$Z$1501,$J2469+1)&amp;"","Cheque deposit 支票存入 (buyer 买家)"))</f>
        <v/>
      </c>
      <c r="D2469">
        <f>IF($J2469="","",IF($J2469&lt;=1500,INDEX('Daily Sale entry '!$AA$1:$AA$1501,$J2469+1)&amp;"",INDEX('Daily Sale entry '!$P$1:$P$1501,$J2469-1499)&amp;""))</f>
        <v/>
      </c>
      <c r="E2469">
        <f>IF($J2469="","",IF($J2469&lt;=1500,IF(N(INDEX('Daily Sale entry '!$AB$1:$AB$1501,$J2469+1))=0,"",INDEX('Daily Sale entry '!$AB$1:$AB$1501,$J2469+1)),1))</f>
        <v/>
      </c>
      <c r="F2469" s="6">
        <f>IF($J2469="","",IF($J2469&lt;=1500,N(INDEX('Daily Sale entry '!$AC$1:$AC$1501,$J2469+1))-IF(AND('Opening Balance'!$B$15=1,INDEX('Daily Sale entry '!$Z$1:$Z$1501,$J2469+1)="Online collection 网上收款",INDEX('Daily Sale entry '!$AA$1:$AA$1501,$J2469+1)&lt;&gt;""),N(INDEX('Daily Sale entry '!$AC$1:$AC$1501,$J2469+1))-TRUNC(N(INDEX('Daily Sale entry '!$AC$1:$AC$1501,$J2469+1))),0),N(INDEX('Daily Sale entry '!$S$1:$S$1501,$J2469-1499))-'Opening Balance'!$B$15*(N(INDEX('Daily Sale entry '!$S$1:$S$1501,$J2469-1499))-TRUNC(N(INDEX('Daily Sale entry '!$S$1:$S$1501,$J2469-1499))))))</f>
        <v/>
      </c>
      <c r="G2469" s="6">
        <f>IF($J2469="","",IF($J2469&lt;=1500,N(INDEX('Daily Sale entry '!$AD$1:$AD$1501,$J2469+1)),0))</f>
        <v/>
      </c>
      <c r="H2469" s="6">
        <f>IF($J2469="","",ROUND('Opening Balance'!$B$4+SUM($F$2:F2469)-SUM($G$2:G2469),2))</f>
        <v/>
      </c>
      <c r="J2469" s="21">
        <f>IFERROR(MATCH(ROW()-1,$L$2:$L$3001,0),"")</f>
        <v/>
      </c>
      <c r="K2469" s="34">
        <f>IF(AND('Daily Sale entry '!Q969="Collection 收款",'Daily Sale entry '!R969="Cheque 支票",'Daily Sale entry '!V969&lt;&gt;""),'Daily Sale entry '!V969+ROW()/10000000,"")</f>
        <v/>
      </c>
      <c r="L2469" s="21">
        <f>IF(K2469="","",COUNTIF($K$2:$K$3001,"&lt;"&amp;K2469)+1)</f>
        <v/>
      </c>
    </row>
    <row r="2470">
      <c r="A2470" s="5">
        <f>IF($J2470="","",IF($J2470&lt;=1500,INDEX('Daily Sale entry '!$X$1:$X$1501,$J2470+1),INDEX('Daily Sale entry '!$V$1:$V$1501,$J2470-1499)))</f>
        <v/>
      </c>
      <c r="B2470">
        <f>IF($J2470="","",IF($J2470&lt;=1500,INDEX('Daily Sale entry '!$Y$1:$Y$1501,$J2470+1)&amp;"","Buyer cheque banked 买家支票存入"&amp;IF(INDEX('Daily Sale entry '!$U$1:$U$1501,$J2470-1499)="","", " - "&amp;INDEX('Daily Sale entry '!$U$1:$U$1501,$J2470-1499))))</f>
        <v/>
      </c>
      <c r="C2470">
        <f>IF($J2470="","",IF($J2470&lt;=1500,INDEX('Daily Sale entry '!$Z$1:$Z$1501,$J2470+1)&amp;"","Cheque deposit 支票存入 (buyer 买家)"))</f>
        <v/>
      </c>
      <c r="D2470">
        <f>IF($J2470="","",IF($J2470&lt;=1500,INDEX('Daily Sale entry '!$AA$1:$AA$1501,$J2470+1)&amp;"",INDEX('Daily Sale entry '!$P$1:$P$1501,$J2470-1499)&amp;""))</f>
        <v/>
      </c>
      <c r="E2470">
        <f>IF($J2470="","",IF($J2470&lt;=1500,IF(N(INDEX('Daily Sale entry '!$AB$1:$AB$1501,$J2470+1))=0,"",INDEX('Daily Sale entry '!$AB$1:$AB$1501,$J2470+1)),1))</f>
        <v/>
      </c>
      <c r="F2470" s="6">
        <f>IF($J2470="","",IF($J2470&lt;=1500,N(INDEX('Daily Sale entry '!$AC$1:$AC$1501,$J2470+1))-IF(AND('Opening Balance'!$B$15=1,INDEX('Daily Sale entry '!$Z$1:$Z$1501,$J2470+1)="Online collection 网上收款",INDEX('Daily Sale entry '!$AA$1:$AA$1501,$J2470+1)&lt;&gt;""),N(INDEX('Daily Sale entry '!$AC$1:$AC$1501,$J2470+1))-TRUNC(N(INDEX('Daily Sale entry '!$AC$1:$AC$1501,$J2470+1))),0),N(INDEX('Daily Sale entry '!$S$1:$S$1501,$J2470-1499))-'Opening Balance'!$B$15*(N(INDEX('Daily Sale entry '!$S$1:$S$1501,$J2470-1499))-TRUNC(N(INDEX('Daily Sale entry '!$S$1:$S$1501,$J2470-1499))))))</f>
        <v/>
      </c>
      <c r="G2470" s="6">
        <f>IF($J2470="","",IF($J2470&lt;=1500,N(INDEX('Daily Sale entry '!$AD$1:$AD$1501,$J2470+1)),0))</f>
        <v/>
      </c>
      <c r="H2470" s="6">
        <f>IF($J2470="","",ROUND('Opening Balance'!$B$4+SUM($F$2:F2470)-SUM($G$2:G2470),2))</f>
        <v/>
      </c>
      <c r="J2470" s="21">
        <f>IFERROR(MATCH(ROW()-1,$L$2:$L$3001,0),"")</f>
        <v/>
      </c>
      <c r="K2470" s="34">
        <f>IF(AND('Daily Sale entry '!Q970="Collection 收款",'Daily Sale entry '!R970="Cheque 支票",'Daily Sale entry '!V970&lt;&gt;""),'Daily Sale entry '!V970+ROW()/10000000,"")</f>
        <v/>
      </c>
      <c r="L2470" s="21">
        <f>IF(K2470="","",COUNTIF($K$2:$K$3001,"&lt;"&amp;K2470)+1)</f>
        <v/>
      </c>
    </row>
    <row r="2471">
      <c r="A2471" s="5">
        <f>IF($J2471="","",IF($J2471&lt;=1500,INDEX('Daily Sale entry '!$X$1:$X$1501,$J2471+1),INDEX('Daily Sale entry '!$V$1:$V$1501,$J2471-1499)))</f>
        <v/>
      </c>
      <c r="B2471">
        <f>IF($J2471="","",IF($J2471&lt;=1500,INDEX('Daily Sale entry '!$Y$1:$Y$1501,$J2471+1)&amp;"","Buyer cheque banked 买家支票存入"&amp;IF(INDEX('Daily Sale entry '!$U$1:$U$1501,$J2471-1499)="","", " - "&amp;INDEX('Daily Sale entry '!$U$1:$U$1501,$J2471-1499))))</f>
        <v/>
      </c>
      <c r="C2471">
        <f>IF($J2471="","",IF($J2471&lt;=1500,INDEX('Daily Sale entry '!$Z$1:$Z$1501,$J2471+1)&amp;"","Cheque deposit 支票存入 (buyer 买家)"))</f>
        <v/>
      </c>
      <c r="D2471">
        <f>IF($J2471="","",IF($J2471&lt;=1500,INDEX('Daily Sale entry '!$AA$1:$AA$1501,$J2471+1)&amp;"",INDEX('Daily Sale entry '!$P$1:$P$1501,$J2471-1499)&amp;""))</f>
        <v/>
      </c>
      <c r="E2471">
        <f>IF($J2471="","",IF($J2471&lt;=1500,IF(N(INDEX('Daily Sale entry '!$AB$1:$AB$1501,$J2471+1))=0,"",INDEX('Daily Sale entry '!$AB$1:$AB$1501,$J2471+1)),1))</f>
        <v/>
      </c>
      <c r="F2471" s="6">
        <f>IF($J2471="","",IF($J2471&lt;=1500,N(INDEX('Daily Sale entry '!$AC$1:$AC$1501,$J2471+1))-IF(AND('Opening Balance'!$B$15=1,INDEX('Daily Sale entry '!$Z$1:$Z$1501,$J2471+1)="Online collection 网上收款",INDEX('Daily Sale entry '!$AA$1:$AA$1501,$J2471+1)&lt;&gt;""),N(INDEX('Daily Sale entry '!$AC$1:$AC$1501,$J2471+1))-TRUNC(N(INDEX('Daily Sale entry '!$AC$1:$AC$1501,$J2471+1))),0),N(INDEX('Daily Sale entry '!$S$1:$S$1501,$J2471-1499))-'Opening Balance'!$B$15*(N(INDEX('Daily Sale entry '!$S$1:$S$1501,$J2471-1499))-TRUNC(N(INDEX('Daily Sale entry '!$S$1:$S$1501,$J2471-1499))))))</f>
        <v/>
      </c>
      <c r="G2471" s="6">
        <f>IF($J2471="","",IF($J2471&lt;=1500,N(INDEX('Daily Sale entry '!$AD$1:$AD$1501,$J2471+1)),0))</f>
        <v/>
      </c>
      <c r="H2471" s="6">
        <f>IF($J2471="","",ROUND('Opening Balance'!$B$4+SUM($F$2:F2471)-SUM($G$2:G2471),2))</f>
        <v/>
      </c>
      <c r="J2471" s="21">
        <f>IFERROR(MATCH(ROW()-1,$L$2:$L$3001,0),"")</f>
        <v/>
      </c>
      <c r="K2471" s="34">
        <f>IF(AND('Daily Sale entry '!Q971="Collection 收款",'Daily Sale entry '!R971="Cheque 支票",'Daily Sale entry '!V971&lt;&gt;""),'Daily Sale entry '!V971+ROW()/10000000,"")</f>
        <v/>
      </c>
      <c r="L2471" s="21">
        <f>IF(K2471="","",COUNTIF($K$2:$K$3001,"&lt;"&amp;K2471)+1)</f>
        <v/>
      </c>
    </row>
    <row r="2472">
      <c r="A2472" s="5">
        <f>IF($J2472="","",IF($J2472&lt;=1500,INDEX('Daily Sale entry '!$X$1:$X$1501,$J2472+1),INDEX('Daily Sale entry '!$V$1:$V$1501,$J2472-1499)))</f>
        <v/>
      </c>
      <c r="B2472">
        <f>IF($J2472="","",IF($J2472&lt;=1500,INDEX('Daily Sale entry '!$Y$1:$Y$1501,$J2472+1)&amp;"","Buyer cheque banked 买家支票存入"&amp;IF(INDEX('Daily Sale entry '!$U$1:$U$1501,$J2472-1499)="","", " - "&amp;INDEX('Daily Sale entry '!$U$1:$U$1501,$J2472-1499))))</f>
        <v/>
      </c>
      <c r="C2472">
        <f>IF($J2472="","",IF($J2472&lt;=1500,INDEX('Daily Sale entry '!$Z$1:$Z$1501,$J2472+1)&amp;"","Cheque deposit 支票存入 (buyer 买家)"))</f>
        <v/>
      </c>
      <c r="D2472">
        <f>IF($J2472="","",IF($J2472&lt;=1500,INDEX('Daily Sale entry '!$AA$1:$AA$1501,$J2472+1)&amp;"",INDEX('Daily Sale entry '!$P$1:$P$1501,$J2472-1499)&amp;""))</f>
        <v/>
      </c>
      <c r="E2472">
        <f>IF($J2472="","",IF($J2472&lt;=1500,IF(N(INDEX('Daily Sale entry '!$AB$1:$AB$1501,$J2472+1))=0,"",INDEX('Daily Sale entry '!$AB$1:$AB$1501,$J2472+1)),1))</f>
        <v/>
      </c>
      <c r="F2472" s="6">
        <f>IF($J2472="","",IF($J2472&lt;=1500,N(INDEX('Daily Sale entry '!$AC$1:$AC$1501,$J2472+1))-IF(AND('Opening Balance'!$B$15=1,INDEX('Daily Sale entry '!$Z$1:$Z$1501,$J2472+1)="Online collection 网上收款",INDEX('Daily Sale entry '!$AA$1:$AA$1501,$J2472+1)&lt;&gt;""),N(INDEX('Daily Sale entry '!$AC$1:$AC$1501,$J2472+1))-TRUNC(N(INDEX('Daily Sale entry '!$AC$1:$AC$1501,$J2472+1))),0),N(INDEX('Daily Sale entry '!$S$1:$S$1501,$J2472-1499))-'Opening Balance'!$B$15*(N(INDEX('Daily Sale entry '!$S$1:$S$1501,$J2472-1499))-TRUNC(N(INDEX('Daily Sale entry '!$S$1:$S$1501,$J2472-1499))))))</f>
        <v/>
      </c>
      <c r="G2472" s="6">
        <f>IF($J2472="","",IF($J2472&lt;=1500,N(INDEX('Daily Sale entry '!$AD$1:$AD$1501,$J2472+1)),0))</f>
        <v/>
      </c>
      <c r="H2472" s="6">
        <f>IF($J2472="","",ROUND('Opening Balance'!$B$4+SUM($F$2:F2472)-SUM($G$2:G2472),2))</f>
        <v/>
      </c>
      <c r="J2472" s="21">
        <f>IFERROR(MATCH(ROW()-1,$L$2:$L$3001,0),"")</f>
        <v/>
      </c>
      <c r="K2472" s="34">
        <f>IF(AND('Daily Sale entry '!Q972="Collection 收款",'Daily Sale entry '!R972="Cheque 支票",'Daily Sale entry '!V972&lt;&gt;""),'Daily Sale entry '!V972+ROW()/10000000,"")</f>
        <v/>
      </c>
      <c r="L2472" s="21">
        <f>IF(K2472="","",COUNTIF($K$2:$K$3001,"&lt;"&amp;K2472)+1)</f>
        <v/>
      </c>
    </row>
    <row r="2473">
      <c r="A2473" s="5">
        <f>IF($J2473="","",IF($J2473&lt;=1500,INDEX('Daily Sale entry '!$X$1:$X$1501,$J2473+1),INDEX('Daily Sale entry '!$V$1:$V$1501,$J2473-1499)))</f>
        <v/>
      </c>
      <c r="B2473">
        <f>IF($J2473="","",IF($J2473&lt;=1500,INDEX('Daily Sale entry '!$Y$1:$Y$1501,$J2473+1)&amp;"","Buyer cheque banked 买家支票存入"&amp;IF(INDEX('Daily Sale entry '!$U$1:$U$1501,$J2473-1499)="","", " - "&amp;INDEX('Daily Sale entry '!$U$1:$U$1501,$J2473-1499))))</f>
        <v/>
      </c>
      <c r="C2473">
        <f>IF($J2473="","",IF($J2473&lt;=1500,INDEX('Daily Sale entry '!$Z$1:$Z$1501,$J2473+1)&amp;"","Cheque deposit 支票存入 (buyer 买家)"))</f>
        <v/>
      </c>
      <c r="D2473">
        <f>IF($J2473="","",IF($J2473&lt;=1500,INDEX('Daily Sale entry '!$AA$1:$AA$1501,$J2473+1)&amp;"",INDEX('Daily Sale entry '!$P$1:$P$1501,$J2473-1499)&amp;""))</f>
        <v/>
      </c>
      <c r="E2473">
        <f>IF($J2473="","",IF($J2473&lt;=1500,IF(N(INDEX('Daily Sale entry '!$AB$1:$AB$1501,$J2473+1))=0,"",INDEX('Daily Sale entry '!$AB$1:$AB$1501,$J2473+1)),1))</f>
        <v/>
      </c>
      <c r="F2473" s="6">
        <f>IF($J2473="","",IF($J2473&lt;=1500,N(INDEX('Daily Sale entry '!$AC$1:$AC$1501,$J2473+1))-IF(AND('Opening Balance'!$B$15=1,INDEX('Daily Sale entry '!$Z$1:$Z$1501,$J2473+1)="Online collection 网上收款",INDEX('Daily Sale entry '!$AA$1:$AA$1501,$J2473+1)&lt;&gt;""),N(INDEX('Daily Sale entry '!$AC$1:$AC$1501,$J2473+1))-TRUNC(N(INDEX('Daily Sale entry '!$AC$1:$AC$1501,$J2473+1))),0),N(INDEX('Daily Sale entry '!$S$1:$S$1501,$J2473-1499))-'Opening Balance'!$B$15*(N(INDEX('Daily Sale entry '!$S$1:$S$1501,$J2473-1499))-TRUNC(N(INDEX('Daily Sale entry '!$S$1:$S$1501,$J2473-1499))))))</f>
        <v/>
      </c>
      <c r="G2473" s="6">
        <f>IF($J2473="","",IF($J2473&lt;=1500,N(INDEX('Daily Sale entry '!$AD$1:$AD$1501,$J2473+1)),0))</f>
        <v/>
      </c>
      <c r="H2473" s="6">
        <f>IF($J2473="","",ROUND('Opening Balance'!$B$4+SUM($F$2:F2473)-SUM($G$2:G2473),2))</f>
        <v/>
      </c>
      <c r="J2473" s="21">
        <f>IFERROR(MATCH(ROW()-1,$L$2:$L$3001,0),"")</f>
        <v/>
      </c>
      <c r="K2473" s="34">
        <f>IF(AND('Daily Sale entry '!Q973="Collection 收款",'Daily Sale entry '!R973="Cheque 支票",'Daily Sale entry '!V973&lt;&gt;""),'Daily Sale entry '!V973+ROW()/10000000,"")</f>
        <v/>
      </c>
      <c r="L2473" s="21">
        <f>IF(K2473="","",COUNTIF($K$2:$K$3001,"&lt;"&amp;K2473)+1)</f>
        <v/>
      </c>
    </row>
    <row r="2474">
      <c r="A2474" s="5">
        <f>IF($J2474="","",IF($J2474&lt;=1500,INDEX('Daily Sale entry '!$X$1:$X$1501,$J2474+1),INDEX('Daily Sale entry '!$V$1:$V$1501,$J2474-1499)))</f>
        <v/>
      </c>
      <c r="B2474">
        <f>IF($J2474="","",IF($J2474&lt;=1500,INDEX('Daily Sale entry '!$Y$1:$Y$1501,$J2474+1)&amp;"","Buyer cheque banked 买家支票存入"&amp;IF(INDEX('Daily Sale entry '!$U$1:$U$1501,$J2474-1499)="","", " - "&amp;INDEX('Daily Sale entry '!$U$1:$U$1501,$J2474-1499))))</f>
        <v/>
      </c>
      <c r="C2474">
        <f>IF($J2474="","",IF($J2474&lt;=1500,INDEX('Daily Sale entry '!$Z$1:$Z$1501,$J2474+1)&amp;"","Cheque deposit 支票存入 (buyer 买家)"))</f>
        <v/>
      </c>
      <c r="D2474">
        <f>IF($J2474="","",IF($J2474&lt;=1500,INDEX('Daily Sale entry '!$AA$1:$AA$1501,$J2474+1)&amp;"",INDEX('Daily Sale entry '!$P$1:$P$1501,$J2474-1499)&amp;""))</f>
        <v/>
      </c>
      <c r="E2474">
        <f>IF($J2474="","",IF($J2474&lt;=1500,IF(N(INDEX('Daily Sale entry '!$AB$1:$AB$1501,$J2474+1))=0,"",INDEX('Daily Sale entry '!$AB$1:$AB$1501,$J2474+1)),1))</f>
        <v/>
      </c>
      <c r="F2474" s="6">
        <f>IF($J2474="","",IF($J2474&lt;=1500,N(INDEX('Daily Sale entry '!$AC$1:$AC$1501,$J2474+1))-IF(AND('Opening Balance'!$B$15=1,INDEX('Daily Sale entry '!$Z$1:$Z$1501,$J2474+1)="Online collection 网上收款",INDEX('Daily Sale entry '!$AA$1:$AA$1501,$J2474+1)&lt;&gt;""),N(INDEX('Daily Sale entry '!$AC$1:$AC$1501,$J2474+1))-TRUNC(N(INDEX('Daily Sale entry '!$AC$1:$AC$1501,$J2474+1))),0),N(INDEX('Daily Sale entry '!$S$1:$S$1501,$J2474-1499))-'Opening Balance'!$B$15*(N(INDEX('Daily Sale entry '!$S$1:$S$1501,$J2474-1499))-TRUNC(N(INDEX('Daily Sale entry '!$S$1:$S$1501,$J2474-1499))))))</f>
        <v/>
      </c>
      <c r="G2474" s="6">
        <f>IF($J2474="","",IF($J2474&lt;=1500,N(INDEX('Daily Sale entry '!$AD$1:$AD$1501,$J2474+1)),0))</f>
        <v/>
      </c>
      <c r="H2474" s="6">
        <f>IF($J2474="","",ROUND('Opening Balance'!$B$4+SUM($F$2:F2474)-SUM($G$2:G2474),2))</f>
        <v/>
      </c>
      <c r="J2474" s="21">
        <f>IFERROR(MATCH(ROW()-1,$L$2:$L$3001,0),"")</f>
        <v/>
      </c>
      <c r="K2474" s="34">
        <f>IF(AND('Daily Sale entry '!Q974="Collection 收款",'Daily Sale entry '!R974="Cheque 支票",'Daily Sale entry '!V974&lt;&gt;""),'Daily Sale entry '!V974+ROW()/10000000,"")</f>
        <v/>
      </c>
      <c r="L2474" s="21">
        <f>IF(K2474="","",COUNTIF($K$2:$K$3001,"&lt;"&amp;K2474)+1)</f>
        <v/>
      </c>
    </row>
    <row r="2475">
      <c r="A2475" s="5">
        <f>IF($J2475="","",IF($J2475&lt;=1500,INDEX('Daily Sale entry '!$X$1:$X$1501,$J2475+1),INDEX('Daily Sale entry '!$V$1:$V$1501,$J2475-1499)))</f>
        <v/>
      </c>
      <c r="B2475">
        <f>IF($J2475="","",IF($J2475&lt;=1500,INDEX('Daily Sale entry '!$Y$1:$Y$1501,$J2475+1)&amp;"","Buyer cheque banked 买家支票存入"&amp;IF(INDEX('Daily Sale entry '!$U$1:$U$1501,$J2475-1499)="","", " - "&amp;INDEX('Daily Sale entry '!$U$1:$U$1501,$J2475-1499))))</f>
        <v/>
      </c>
      <c r="C2475">
        <f>IF($J2475="","",IF($J2475&lt;=1500,INDEX('Daily Sale entry '!$Z$1:$Z$1501,$J2475+1)&amp;"","Cheque deposit 支票存入 (buyer 买家)"))</f>
        <v/>
      </c>
      <c r="D2475">
        <f>IF($J2475="","",IF($J2475&lt;=1500,INDEX('Daily Sale entry '!$AA$1:$AA$1501,$J2475+1)&amp;"",INDEX('Daily Sale entry '!$P$1:$P$1501,$J2475-1499)&amp;""))</f>
        <v/>
      </c>
      <c r="E2475">
        <f>IF($J2475="","",IF($J2475&lt;=1500,IF(N(INDEX('Daily Sale entry '!$AB$1:$AB$1501,$J2475+1))=0,"",INDEX('Daily Sale entry '!$AB$1:$AB$1501,$J2475+1)),1))</f>
        <v/>
      </c>
      <c r="F2475" s="6">
        <f>IF($J2475="","",IF($J2475&lt;=1500,N(INDEX('Daily Sale entry '!$AC$1:$AC$1501,$J2475+1))-IF(AND('Opening Balance'!$B$15=1,INDEX('Daily Sale entry '!$Z$1:$Z$1501,$J2475+1)="Online collection 网上收款",INDEX('Daily Sale entry '!$AA$1:$AA$1501,$J2475+1)&lt;&gt;""),N(INDEX('Daily Sale entry '!$AC$1:$AC$1501,$J2475+1))-TRUNC(N(INDEX('Daily Sale entry '!$AC$1:$AC$1501,$J2475+1))),0),N(INDEX('Daily Sale entry '!$S$1:$S$1501,$J2475-1499))-'Opening Balance'!$B$15*(N(INDEX('Daily Sale entry '!$S$1:$S$1501,$J2475-1499))-TRUNC(N(INDEX('Daily Sale entry '!$S$1:$S$1501,$J2475-1499))))))</f>
        <v/>
      </c>
      <c r="G2475" s="6">
        <f>IF($J2475="","",IF($J2475&lt;=1500,N(INDEX('Daily Sale entry '!$AD$1:$AD$1501,$J2475+1)),0))</f>
        <v/>
      </c>
      <c r="H2475" s="6">
        <f>IF($J2475="","",ROUND('Opening Balance'!$B$4+SUM($F$2:F2475)-SUM($G$2:G2475),2))</f>
        <v/>
      </c>
      <c r="J2475" s="21">
        <f>IFERROR(MATCH(ROW()-1,$L$2:$L$3001,0),"")</f>
        <v/>
      </c>
      <c r="K2475" s="34">
        <f>IF(AND('Daily Sale entry '!Q975="Collection 收款",'Daily Sale entry '!R975="Cheque 支票",'Daily Sale entry '!V975&lt;&gt;""),'Daily Sale entry '!V975+ROW()/10000000,"")</f>
        <v/>
      </c>
      <c r="L2475" s="21">
        <f>IF(K2475="","",COUNTIF($K$2:$K$3001,"&lt;"&amp;K2475)+1)</f>
        <v/>
      </c>
    </row>
    <row r="2476">
      <c r="A2476" s="5">
        <f>IF($J2476="","",IF($J2476&lt;=1500,INDEX('Daily Sale entry '!$X$1:$X$1501,$J2476+1),INDEX('Daily Sale entry '!$V$1:$V$1501,$J2476-1499)))</f>
        <v/>
      </c>
      <c r="B2476">
        <f>IF($J2476="","",IF($J2476&lt;=1500,INDEX('Daily Sale entry '!$Y$1:$Y$1501,$J2476+1)&amp;"","Buyer cheque banked 买家支票存入"&amp;IF(INDEX('Daily Sale entry '!$U$1:$U$1501,$J2476-1499)="","", " - "&amp;INDEX('Daily Sale entry '!$U$1:$U$1501,$J2476-1499))))</f>
        <v/>
      </c>
      <c r="C2476">
        <f>IF($J2476="","",IF($J2476&lt;=1500,INDEX('Daily Sale entry '!$Z$1:$Z$1501,$J2476+1)&amp;"","Cheque deposit 支票存入 (buyer 买家)"))</f>
        <v/>
      </c>
      <c r="D2476">
        <f>IF($J2476="","",IF($J2476&lt;=1500,INDEX('Daily Sale entry '!$AA$1:$AA$1501,$J2476+1)&amp;"",INDEX('Daily Sale entry '!$P$1:$P$1501,$J2476-1499)&amp;""))</f>
        <v/>
      </c>
      <c r="E2476">
        <f>IF($J2476="","",IF($J2476&lt;=1500,IF(N(INDEX('Daily Sale entry '!$AB$1:$AB$1501,$J2476+1))=0,"",INDEX('Daily Sale entry '!$AB$1:$AB$1501,$J2476+1)),1))</f>
        <v/>
      </c>
      <c r="F2476" s="6">
        <f>IF($J2476="","",IF($J2476&lt;=1500,N(INDEX('Daily Sale entry '!$AC$1:$AC$1501,$J2476+1))-IF(AND('Opening Balance'!$B$15=1,INDEX('Daily Sale entry '!$Z$1:$Z$1501,$J2476+1)="Online collection 网上收款",INDEX('Daily Sale entry '!$AA$1:$AA$1501,$J2476+1)&lt;&gt;""),N(INDEX('Daily Sale entry '!$AC$1:$AC$1501,$J2476+1))-TRUNC(N(INDEX('Daily Sale entry '!$AC$1:$AC$1501,$J2476+1))),0),N(INDEX('Daily Sale entry '!$S$1:$S$1501,$J2476-1499))-'Opening Balance'!$B$15*(N(INDEX('Daily Sale entry '!$S$1:$S$1501,$J2476-1499))-TRUNC(N(INDEX('Daily Sale entry '!$S$1:$S$1501,$J2476-1499))))))</f>
        <v/>
      </c>
      <c r="G2476" s="6">
        <f>IF($J2476="","",IF($J2476&lt;=1500,N(INDEX('Daily Sale entry '!$AD$1:$AD$1501,$J2476+1)),0))</f>
        <v/>
      </c>
      <c r="H2476" s="6">
        <f>IF($J2476="","",ROUND('Opening Balance'!$B$4+SUM($F$2:F2476)-SUM($G$2:G2476),2))</f>
        <v/>
      </c>
      <c r="J2476" s="21">
        <f>IFERROR(MATCH(ROW()-1,$L$2:$L$3001,0),"")</f>
        <v/>
      </c>
      <c r="K2476" s="34">
        <f>IF(AND('Daily Sale entry '!Q976="Collection 收款",'Daily Sale entry '!R976="Cheque 支票",'Daily Sale entry '!V976&lt;&gt;""),'Daily Sale entry '!V976+ROW()/10000000,"")</f>
        <v/>
      </c>
      <c r="L2476" s="21">
        <f>IF(K2476="","",COUNTIF($K$2:$K$3001,"&lt;"&amp;K2476)+1)</f>
        <v/>
      </c>
    </row>
    <row r="2477">
      <c r="A2477" s="5">
        <f>IF($J2477="","",IF($J2477&lt;=1500,INDEX('Daily Sale entry '!$X$1:$X$1501,$J2477+1),INDEX('Daily Sale entry '!$V$1:$V$1501,$J2477-1499)))</f>
        <v/>
      </c>
      <c r="B2477">
        <f>IF($J2477="","",IF($J2477&lt;=1500,INDEX('Daily Sale entry '!$Y$1:$Y$1501,$J2477+1)&amp;"","Buyer cheque banked 买家支票存入"&amp;IF(INDEX('Daily Sale entry '!$U$1:$U$1501,$J2477-1499)="","", " - "&amp;INDEX('Daily Sale entry '!$U$1:$U$1501,$J2477-1499))))</f>
        <v/>
      </c>
      <c r="C2477">
        <f>IF($J2477="","",IF($J2477&lt;=1500,INDEX('Daily Sale entry '!$Z$1:$Z$1501,$J2477+1)&amp;"","Cheque deposit 支票存入 (buyer 买家)"))</f>
        <v/>
      </c>
      <c r="D2477">
        <f>IF($J2477="","",IF($J2477&lt;=1500,INDEX('Daily Sale entry '!$AA$1:$AA$1501,$J2477+1)&amp;"",INDEX('Daily Sale entry '!$P$1:$P$1501,$J2477-1499)&amp;""))</f>
        <v/>
      </c>
      <c r="E2477">
        <f>IF($J2477="","",IF($J2477&lt;=1500,IF(N(INDEX('Daily Sale entry '!$AB$1:$AB$1501,$J2477+1))=0,"",INDEX('Daily Sale entry '!$AB$1:$AB$1501,$J2477+1)),1))</f>
        <v/>
      </c>
      <c r="F2477" s="6">
        <f>IF($J2477="","",IF($J2477&lt;=1500,N(INDEX('Daily Sale entry '!$AC$1:$AC$1501,$J2477+1))-IF(AND('Opening Balance'!$B$15=1,INDEX('Daily Sale entry '!$Z$1:$Z$1501,$J2477+1)="Online collection 网上收款",INDEX('Daily Sale entry '!$AA$1:$AA$1501,$J2477+1)&lt;&gt;""),N(INDEX('Daily Sale entry '!$AC$1:$AC$1501,$J2477+1))-TRUNC(N(INDEX('Daily Sale entry '!$AC$1:$AC$1501,$J2477+1))),0),N(INDEX('Daily Sale entry '!$S$1:$S$1501,$J2477-1499))-'Opening Balance'!$B$15*(N(INDEX('Daily Sale entry '!$S$1:$S$1501,$J2477-1499))-TRUNC(N(INDEX('Daily Sale entry '!$S$1:$S$1501,$J2477-1499))))))</f>
        <v/>
      </c>
      <c r="G2477" s="6">
        <f>IF($J2477="","",IF($J2477&lt;=1500,N(INDEX('Daily Sale entry '!$AD$1:$AD$1501,$J2477+1)),0))</f>
        <v/>
      </c>
      <c r="H2477" s="6">
        <f>IF($J2477="","",ROUND('Opening Balance'!$B$4+SUM($F$2:F2477)-SUM($G$2:G2477),2))</f>
        <v/>
      </c>
      <c r="J2477" s="21">
        <f>IFERROR(MATCH(ROW()-1,$L$2:$L$3001,0),"")</f>
        <v/>
      </c>
      <c r="K2477" s="34">
        <f>IF(AND('Daily Sale entry '!Q977="Collection 收款",'Daily Sale entry '!R977="Cheque 支票",'Daily Sale entry '!V977&lt;&gt;""),'Daily Sale entry '!V977+ROW()/10000000,"")</f>
        <v/>
      </c>
      <c r="L2477" s="21">
        <f>IF(K2477="","",COUNTIF($K$2:$K$3001,"&lt;"&amp;K2477)+1)</f>
        <v/>
      </c>
    </row>
    <row r="2478">
      <c r="A2478" s="5">
        <f>IF($J2478="","",IF($J2478&lt;=1500,INDEX('Daily Sale entry '!$X$1:$X$1501,$J2478+1),INDEX('Daily Sale entry '!$V$1:$V$1501,$J2478-1499)))</f>
        <v/>
      </c>
      <c r="B2478">
        <f>IF($J2478="","",IF($J2478&lt;=1500,INDEX('Daily Sale entry '!$Y$1:$Y$1501,$J2478+1)&amp;"","Buyer cheque banked 买家支票存入"&amp;IF(INDEX('Daily Sale entry '!$U$1:$U$1501,$J2478-1499)="","", " - "&amp;INDEX('Daily Sale entry '!$U$1:$U$1501,$J2478-1499))))</f>
        <v/>
      </c>
      <c r="C2478">
        <f>IF($J2478="","",IF($J2478&lt;=1500,INDEX('Daily Sale entry '!$Z$1:$Z$1501,$J2478+1)&amp;"","Cheque deposit 支票存入 (buyer 买家)"))</f>
        <v/>
      </c>
      <c r="D2478">
        <f>IF($J2478="","",IF($J2478&lt;=1500,INDEX('Daily Sale entry '!$AA$1:$AA$1501,$J2478+1)&amp;"",INDEX('Daily Sale entry '!$P$1:$P$1501,$J2478-1499)&amp;""))</f>
        <v/>
      </c>
      <c r="E2478">
        <f>IF($J2478="","",IF($J2478&lt;=1500,IF(N(INDEX('Daily Sale entry '!$AB$1:$AB$1501,$J2478+1))=0,"",INDEX('Daily Sale entry '!$AB$1:$AB$1501,$J2478+1)),1))</f>
        <v/>
      </c>
      <c r="F2478" s="6">
        <f>IF($J2478="","",IF($J2478&lt;=1500,N(INDEX('Daily Sale entry '!$AC$1:$AC$1501,$J2478+1))-IF(AND('Opening Balance'!$B$15=1,INDEX('Daily Sale entry '!$Z$1:$Z$1501,$J2478+1)="Online collection 网上收款",INDEX('Daily Sale entry '!$AA$1:$AA$1501,$J2478+1)&lt;&gt;""),N(INDEX('Daily Sale entry '!$AC$1:$AC$1501,$J2478+1))-TRUNC(N(INDEX('Daily Sale entry '!$AC$1:$AC$1501,$J2478+1))),0),N(INDEX('Daily Sale entry '!$S$1:$S$1501,$J2478-1499))-'Opening Balance'!$B$15*(N(INDEX('Daily Sale entry '!$S$1:$S$1501,$J2478-1499))-TRUNC(N(INDEX('Daily Sale entry '!$S$1:$S$1501,$J2478-1499))))))</f>
        <v/>
      </c>
      <c r="G2478" s="6">
        <f>IF($J2478="","",IF($J2478&lt;=1500,N(INDEX('Daily Sale entry '!$AD$1:$AD$1501,$J2478+1)),0))</f>
        <v/>
      </c>
      <c r="H2478" s="6">
        <f>IF($J2478="","",ROUND('Opening Balance'!$B$4+SUM($F$2:F2478)-SUM($G$2:G2478),2))</f>
        <v/>
      </c>
      <c r="J2478" s="21">
        <f>IFERROR(MATCH(ROW()-1,$L$2:$L$3001,0),"")</f>
        <v/>
      </c>
      <c r="K2478" s="34">
        <f>IF(AND('Daily Sale entry '!Q978="Collection 收款",'Daily Sale entry '!R978="Cheque 支票",'Daily Sale entry '!V978&lt;&gt;""),'Daily Sale entry '!V978+ROW()/10000000,"")</f>
        <v/>
      </c>
      <c r="L2478" s="21">
        <f>IF(K2478="","",COUNTIF($K$2:$K$3001,"&lt;"&amp;K2478)+1)</f>
        <v/>
      </c>
    </row>
    <row r="2479">
      <c r="A2479" s="5">
        <f>IF($J2479="","",IF($J2479&lt;=1500,INDEX('Daily Sale entry '!$X$1:$X$1501,$J2479+1),INDEX('Daily Sale entry '!$V$1:$V$1501,$J2479-1499)))</f>
        <v/>
      </c>
      <c r="B2479">
        <f>IF($J2479="","",IF($J2479&lt;=1500,INDEX('Daily Sale entry '!$Y$1:$Y$1501,$J2479+1)&amp;"","Buyer cheque banked 买家支票存入"&amp;IF(INDEX('Daily Sale entry '!$U$1:$U$1501,$J2479-1499)="","", " - "&amp;INDEX('Daily Sale entry '!$U$1:$U$1501,$J2479-1499))))</f>
        <v/>
      </c>
      <c r="C2479">
        <f>IF($J2479="","",IF($J2479&lt;=1500,INDEX('Daily Sale entry '!$Z$1:$Z$1501,$J2479+1)&amp;"","Cheque deposit 支票存入 (buyer 买家)"))</f>
        <v/>
      </c>
      <c r="D2479">
        <f>IF($J2479="","",IF($J2479&lt;=1500,INDEX('Daily Sale entry '!$AA$1:$AA$1501,$J2479+1)&amp;"",INDEX('Daily Sale entry '!$P$1:$P$1501,$J2479-1499)&amp;""))</f>
        <v/>
      </c>
      <c r="E2479">
        <f>IF($J2479="","",IF($J2479&lt;=1500,IF(N(INDEX('Daily Sale entry '!$AB$1:$AB$1501,$J2479+1))=0,"",INDEX('Daily Sale entry '!$AB$1:$AB$1501,$J2479+1)),1))</f>
        <v/>
      </c>
      <c r="F2479" s="6">
        <f>IF($J2479="","",IF($J2479&lt;=1500,N(INDEX('Daily Sale entry '!$AC$1:$AC$1501,$J2479+1))-IF(AND('Opening Balance'!$B$15=1,INDEX('Daily Sale entry '!$Z$1:$Z$1501,$J2479+1)="Online collection 网上收款",INDEX('Daily Sale entry '!$AA$1:$AA$1501,$J2479+1)&lt;&gt;""),N(INDEX('Daily Sale entry '!$AC$1:$AC$1501,$J2479+1))-TRUNC(N(INDEX('Daily Sale entry '!$AC$1:$AC$1501,$J2479+1))),0),N(INDEX('Daily Sale entry '!$S$1:$S$1501,$J2479-1499))-'Opening Balance'!$B$15*(N(INDEX('Daily Sale entry '!$S$1:$S$1501,$J2479-1499))-TRUNC(N(INDEX('Daily Sale entry '!$S$1:$S$1501,$J2479-1499))))))</f>
        <v/>
      </c>
      <c r="G2479" s="6">
        <f>IF($J2479="","",IF($J2479&lt;=1500,N(INDEX('Daily Sale entry '!$AD$1:$AD$1501,$J2479+1)),0))</f>
        <v/>
      </c>
      <c r="H2479" s="6">
        <f>IF($J2479="","",ROUND('Opening Balance'!$B$4+SUM($F$2:F2479)-SUM($G$2:G2479),2))</f>
        <v/>
      </c>
      <c r="J2479" s="21">
        <f>IFERROR(MATCH(ROW()-1,$L$2:$L$3001,0),"")</f>
        <v/>
      </c>
      <c r="K2479" s="34">
        <f>IF(AND('Daily Sale entry '!Q979="Collection 收款",'Daily Sale entry '!R979="Cheque 支票",'Daily Sale entry '!V979&lt;&gt;""),'Daily Sale entry '!V979+ROW()/10000000,"")</f>
        <v/>
      </c>
      <c r="L2479" s="21">
        <f>IF(K2479="","",COUNTIF($K$2:$K$3001,"&lt;"&amp;K2479)+1)</f>
        <v/>
      </c>
    </row>
    <row r="2480">
      <c r="A2480" s="5">
        <f>IF($J2480="","",IF($J2480&lt;=1500,INDEX('Daily Sale entry '!$X$1:$X$1501,$J2480+1),INDEX('Daily Sale entry '!$V$1:$V$1501,$J2480-1499)))</f>
        <v/>
      </c>
      <c r="B2480">
        <f>IF($J2480="","",IF($J2480&lt;=1500,INDEX('Daily Sale entry '!$Y$1:$Y$1501,$J2480+1)&amp;"","Buyer cheque banked 买家支票存入"&amp;IF(INDEX('Daily Sale entry '!$U$1:$U$1501,$J2480-1499)="","", " - "&amp;INDEX('Daily Sale entry '!$U$1:$U$1501,$J2480-1499))))</f>
        <v/>
      </c>
      <c r="C2480">
        <f>IF($J2480="","",IF($J2480&lt;=1500,INDEX('Daily Sale entry '!$Z$1:$Z$1501,$J2480+1)&amp;"","Cheque deposit 支票存入 (buyer 买家)"))</f>
        <v/>
      </c>
      <c r="D2480">
        <f>IF($J2480="","",IF($J2480&lt;=1500,INDEX('Daily Sale entry '!$AA$1:$AA$1501,$J2480+1)&amp;"",INDEX('Daily Sale entry '!$P$1:$P$1501,$J2480-1499)&amp;""))</f>
        <v/>
      </c>
      <c r="E2480">
        <f>IF($J2480="","",IF($J2480&lt;=1500,IF(N(INDEX('Daily Sale entry '!$AB$1:$AB$1501,$J2480+1))=0,"",INDEX('Daily Sale entry '!$AB$1:$AB$1501,$J2480+1)),1))</f>
        <v/>
      </c>
      <c r="F2480" s="6">
        <f>IF($J2480="","",IF($J2480&lt;=1500,N(INDEX('Daily Sale entry '!$AC$1:$AC$1501,$J2480+1))-IF(AND('Opening Balance'!$B$15=1,INDEX('Daily Sale entry '!$Z$1:$Z$1501,$J2480+1)="Online collection 网上收款",INDEX('Daily Sale entry '!$AA$1:$AA$1501,$J2480+1)&lt;&gt;""),N(INDEX('Daily Sale entry '!$AC$1:$AC$1501,$J2480+1))-TRUNC(N(INDEX('Daily Sale entry '!$AC$1:$AC$1501,$J2480+1))),0),N(INDEX('Daily Sale entry '!$S$1:$S$1501,$J2480-1499))-'Opening Balance'!$B$15*(N(INDEX('Daily Sale entry '!$S$1:$S$1501,$J2480-1499))-TRUNC(N(INDEX('Daily Sale entry '!$S$1:$S$1501,$J2480-1499))))))</f>
        <v/>
      </c>
      <c r="G2480" s="6">
        <f>IF($J2480="","",IF($J2480&lt;=1500,N(INDEX('Daily Sale entry '!$AD$1:$AD$1501,$J2480+1)),0))</f>
        <v/>
      </c>
      <c r="H2480" s="6">
        <f>IF($J2480="","",ROUND('Opening Balance'!$B$4+SUM($F$2:F2480)-SUM($G$2:G2480),2))</f>
        <v/>
      </c>
      <c r="J2480" s="21">
        <f>IFERROR(MATCH(ROW()-1,$L$2:$L$3001,0),"")</f>
        <v/>
      </c>
      <c r="K2480" s="34">
        <f>IF(AND('Daily Sale entry '!Q980="Collection 收款",'Daily Sale entry '!R980="Cheque 支票",'Daily Sale entry '!V980&lt;&gt;""),'Daily Sale entry '!V980+ROW()/10000000,"")</f>
        <v/>
      </c>
      <c r="L2480" s="21">
        <f>IF(K2480="","",COUNTIF($K$2:$K$3001,"&lt;"&amp;K2480)+1)</f>
        <v/>
      </c>
    </row>
    <row r="2481">
      <c r="A2481" s="5">
        <f>IF($J2481="","",IF($J2481&lt;=1500,INDEX('Daily Sale entry '!$X$1:$X$1501,$J2481+1),INDEX('Daily Sale entry '!$V$1:$V$1501,$J2481-1499)))</f>
        <v/>
      </c>
      <c r="B2481">
        <f>IF($J2481="","",IF($J2481&lt;=1500,INDEX('Daily Sale entry '!$Y$1:$Y$1501,$J2481+1)&amp;"","Buyer cheque banked 买家支票存入"&amp;IF(INDEX('Daily Sale entry '!$U$1:$U$1501,$J2481-1499)="","", " - "&amp;INDEX('Daily Sale entry '!$U$1:$U$1501,$J2481-1499))))</f>
        <v/>
      </c>
      <c r="C2481">
        <f>IF($J2481="","",IF($J2481&lt;=1500,INDEX('Daily Sale entry '!$Z$1:$Z$1501,$J2481+1)&amp;"","Cheque deposit 支票存入 (buyer 买家)"))</f>
        <v/>
      </c>
      <c r="D2481">
        <f>IF($J2481="","",IF($J2481&lt;=1500,INDEX('Daily Sale entry '!$AA$1:$AA$1501,$J2481+1)&amp;"",INDEX('Daily Sale entry '!$P$1:$P$1501,$J2481-1499)&amp;""))</f>
        <v/>
      </c>
      <c r="E2481">
        <f>IF($J2481="","",IF($J2481&lt;=1500,IF(N(INDEX('Daily Sale entry '!$AB$1:$AB$1501,$J2481+1))=0,"",INDEX('Daily Sale entry '!$AB$1:$AB$1501,$J2481+1)),1))</f>
        <v/>
      </c>
      <c r="F2481" s="6">
        <f>IF($J2481="","",IF($J2481&lt;=1500,N(INDEX('Daily Sale entry '!$AC$1:$AC$1501,$J2481+1))-IF(AND('Opening Balance'!$B$15=1,INDEX('Daily Sale entry '!$Z$1:$Z$1501,$J2481+1)="Online collection 网上收款",INDEX('Daily Sale entry '!$AA$1:$AA$1501,$J2481+1)&lt;&gt;""),N(INDEX('Daily Sale entry '!$AC$1:$AC$1501,$J2481+1))-TRUNC(N(INDEX('Daily Sale entry '!$AC$1:$AC$1501,$J2481+1))),0),N(INDEX('Daily Sale entry '!$S$1:$S$1501,$J2481-1499))-'Opening Balance'!$B$15*(N(INDEX('Daily Sale entry '!$S$1:$S$1501,$J2481-1499))-TRUNC(N(INDEX('Daily Sale entry '!$S$1:$S$1501,$J2481-1499))))))</f>
        <v/>
      </c>
      <c r="G2481" s="6">
        <f>IF($J2481="","",IF($J2481&lt;=1500,N(INDEX('Daily Sale entry '!$AD$1:$AD$1501,$J2481+1)),0))</f>
        <v/>
      </c>
      <c r="H2481" s="6">
        <f>IF($J2481="","",ROUND('Opening Balance'!$B$4+SUM($F$2:F2481)-SUM($G$2:G2481),2))</f>
        <v/>
      </c>
      <c r="J2481" s="21">
        <f>IFERROR(MATCH(ROW()-1,$L$2:$L$3001,0),"")</f>
        <v/>
      </c>
      <c r="K2481" s="34">
        <f>IF(AND('Daily Sale entry '!Q981="Collection 收款",'Daily Sale entry '!R981="Cheque 支票",'Daily Sale entry '!V981&lt;&gt;""),'Daily Sale entry '!V981+ROW()/10000000,"")</f>
        <v/>
      </c>
      <c r="L2481" s="21">
        <f>IF(K2481="","",COUNTIF($K$2:$K$3001,"&lt;"&amp;K2481)+1)</f>
        <v/>
      </c>
    </row>
    <row r="2482">
      <c r="A2482" s="5">
        <f>IF($J2482="","",IF($J2482&lt;=1500,INDEX('Daily Sale entry '!$X$1:$X$1501,$J2482+1),INDEX('Daily Sale entry '!$V$1:$V$1501,$J2482-1499)))</f>
        <v/>
      </c>
      <c r="B2482">
        <f>IF($J2482="","",IF($J2482&lt;=1500,INDEX('Daily Sale entry '!$Y$1:$Y$1501,$J2482+1)&amp;"","Buyer cheque banked 买家支票存入"&amp;IF(INDEX('Daily Sale entry '!$U$1:$U$1501,$J2482-1499)="","", " - "&amp;INDEX('Daily Sale entry '!$U$1:$U$1501,$J2482-1499))))</f>
        <v/>
      </c>
      <c r="C2482">
        <f>IF($J2482="","",IF($J2482&lt;=1500,INDEX('Daily Sale entry '!$Z$1:$Z$1501,$J2482+1)&amp;"","Cheque deposit 支票存入 (buyer 买家)"))</f>
        <v/>
      </c>
      <c r="D2482">
        <f>IF($J2482="","",IF($J2482&lt;=1500,INDEX('Daily Sale entry '!$AA$1:$AA$1501,$J2482+1)&amp;"",INDEX('Daily Sale entry '!$P$1:$P$1501,$J2482-1499)&amp;""))</f>
        <v/>
      </c>
      <c r="E2482">
        <f>IF($J2482="","",IF($J2482&lt;=1500,IF(N(INDEX('Daily Sale entry '!$AB$1:$AB$1501,$J2482+1))=0,"",INDEX('Daily Sale entry '!$AB$1:$AB$1501,$J2482+1)),1))</f>
        <v/>
      </c>
      <c r="F2482" s="6">
        <f>IF($J2482="","",IF($J2482&lt;=1500,N(INDEX('Daily Sale entry '!$AC$1:$AC$1501,$J2482+1))-IF(AND('Opening Balance'!$B$15=1,INDEX('Daily Sale entry '!$Z$1:$Z$1501,$J2482+1)="Online collection 网上收款",INDEX('Daily Sale entry '!$AA$1:$AA$1501,$J2482+1)&lt;&gt;""),N(INDEX('Daily Sale entry '!$AC$1:$AC$1501,$J2482+1))-TRUNC(N(INDEX('Daily Sale entry '!$AC$1:$AC$1501,$J2482+1))),0),N(INDEX('Daily Sale entry '!$S$1:$S$1501,$J2482-1499))-'Opening Balance'!$B$15*(N(INDEX('Daily Sale entry '!$S$1:$S$1501,$J2482-1499))-TRUNC(N(INDEX('Daily Sale entry '!$S$1:$S$1501,$J2482-1499))))))</f>
        <v/>
      </c>
      <c r="G2482" s="6">
        <f>IF($J2482="","",IF($J2482&lt;=1500,N(INDEX('Daily Sale entry '!$AD$1:$AD$1501,$J2482+1)),0))</f>
        <v/>
      </c>
      <c r="H2482" s="6">
        <f>IF($J2482="","",ROUND('Opening Balance'!$B$4+SUM($F$2:F2482)-SUM($G$2:G2482),2))</f>
        <v/>
      </c>
      <c r="J2482" s="21">
        <f>IFERROR(MATCH(ROW()-1,$L$2:$L$3001,0),"")</f>
        <v/>
      </c>
      <c r="K2482" s="34">
        <f>IF(AND('Daily Sale entry '!Q982="Collection 收款",'Daily Sale entry '!R982="Cheque 支票",'Daily Sale entry '!V982&lt;&gt;""),'Daily Sale entry '!V982+ROW()/10000000,"")</f>
        <v/>
      </c>
      <c r="L2482" s="21">
        <f>IF(K2482="","",COUNTIF($K$2:$K$3001,"&lt;"&amp;K2482)+1)</f>
        <v/>
      </c>
    </row>
    <row r="2483">
      <c r="A2483" s="5">
        <f>IF($J2483="","",IF($J2483&lt;=1500,INDEX('Daily Sale entry '!$X$1:$X$1501,$J2483+1),INDEX('Daily Sale entry '!$V$1:$V$1501,$J2483-1499)))</f>
        <v/>
      </c>
      <c r="B2483">
        <f>IF($J2483="","",IF($J2483&lt;=1500,INDEX('Daily Sale entry '!$Y$1:$Y$1501,$J2483+1)&amp;"","Buyer cheque banked 买家支票存入"&amp;IF(INDEX('Daily Sale entry '!$U$1:$U$1501,$J2483-1499)="","", " - "&amp;INDEX('Daily Sale entry '!$U$1:$U$1501,$J2483-1499))))</f>
        <v/>
      </c>
      <c r="C2483">
        <f>IF($J2483="","",IF($J2483&lt;=1500,INDEX('Daily Sale entry '!$Z$1:$Z$1501,$J2483+1)&amp;"","Cheque deposit 支票存入 (buyer 买家)"))</f>
        <v/>
      </c>
      <c r="D2483">
        <f>IF($J2483="","",IF($J2483&lt;=1500,INDEX('Daily Sale entry '!$AA$1:$AA$1501,$J2483+1)&amp;"",INDEX('Daily Sale entry '!$P$1:$P$1501,$J2483-1499)&amp;""))</f>
        <v/>
      </c>
      <c r="E2483">
        <f>IF($J2483="","",IF($J2483&lt;=1500,IF(N(INDEX('Daily Sale entry '!$AB$1:$AB$1501,$J2483+1))=0,"",INDEX('Daily Sale entry '!$AB$1:$AB$1501,$J2483+1)),1))</f>
        <v/>
      </c>
      <c r="F2483" s="6">
        <f>IF($J2483="","",IF($J2483&lt;=1500,N(INDEX('Daily Sale entry '!$AC$1:$AC$1501,$J2483+1))-IF(AND('Opening Balance'!$B$15=1,INDEX('Daily Sale entry '!$Z$1:$Z$1501,$J2483+1)="Online collection 网上收款",INDEX('Daily Sale entry '!$AA$1:$AA$1501,$J2483+1)&lt;&gt;""),N(INDEX('Daily Sale entry '!$AC$1:$AC$1501,$J2483+1))-TRUNC(N(INDEX('Daily Sale entry '!$AC$1:$AC$1501,$J2483+1))),0),N(INDEX('Daily Sale entry '!$S$1:$S$1501,$J2483-1499))-'Opening Balance'!$B$15*(N(INDEX('Daily Sale entry '!$S$1:$S$1501,$J2483-1499))-TRUNC(N(INDEX('Daily Sale entry '!$S$1:$S$1501,$J2483-1499))))))</f>
        <v/>
      </c>
      <c r="G2483" s="6">
        <f>IF($J2483="","",IF($J2483&lt;=1500,N(INDEX('Daily Sale entry '!$AD$1:$AD$1501,$J2483+1)),0))</f>
        <v/>
      </c>
      <c r="H2483" s="6">
        <f>IF($J2483="","",ROUND('Opening Balance'!$B$4+SUM($F$2:F2483)-SUM($G$2:G2483),2))</f>
        <v/>
      </c>
      <c r="J2483" s="21">
        <f>IFERROR(MATCH(ROW()-1,$L$2:$L$3001,0),"")</f>
        <v/>
      </c>
      <c r="K2483" s="34">
        <f>IF(AND('Daily Sale entry '!Q983="Collection 收款",'Daily Sale entry '!R983="Cheque 支票",'Daily Sale entry '!V983&lt;&gt;""),'Daily Sale entry '!V983+ROW()/10000000,"")</f>
        <v/>
      </c>
      <c r="L2483" s="21">
        <f>IF(K2483="","",COUNTIF($K$2:$K$3001,"&lt;"&amp;K2483)+1)</f>
        <v/>
      </c>
    </row>
    <row r="2484">
      <c r="A2484" s="5">
        <f>IF($J2484="","",IF($J2484&lt;=1500,INDEX('Daily Sale entry '!$X$1:$X$1501,$J2484+1),INDEX('Daily Sale entry '!$V$1:$V$1501,$J2484-1499)))</f>
        <v/>
      </c>
      <c r="B2484">
        <f>IF($J2484="","",IF($J2484&lt;=1500,INDEX('Daily Sale entry '!$Y$1:$Y$1501,$J2484+1)&amp;"","Buyer cheque banked 买家支票存入"&amp;IF(INDEX('Daily Sale entry '!$U$1:$U$1501,$J2484-1499)="","", " - "&amp;INDEX('Daily Sale entry '!$U$1:$U$1501,$J2484-1499))))</f>
        <v/>
      </c>
      <c r="C2484">
        <f>IF($J2484="","",IF($J2484&lt;=1500,INDEX('Daily Sale entry '!$Z$1:$Z$1501,$J2484+1)&amp;"","Cheque deposit 支票存入 (buyer 买家)"))</f>
        <v/>
      </c>
      <c r="D2484">
        <f>IF($J2484="","",IF($J2484&lt;=1500,INDEX('Daily Sale entry '!$AA$1:$AA$1501,$J2484+1)&amp;"",INDEX('Daily Sale entry '!$P$1:$P$1501,$J2484-1499)&amp;""))</f>
        <v/>
      </c>
      <c r="E2484">
        <f>IF($J2484="","",IF($J2484&lt;=1500,IF(N(INDEX('Daily Sale entry '!$AB$1:$AB$1501,$J2484+1))=0,"",INDEX('Daily Sale entry '!$AB$1:$AB$1501,$J2484+1)),1))</f>
        <v/>
      </c>
      <c r="F2484" s="6">
        <f>IF($J2484="","",IF($J2484&lt;=1500,N(INDEX('Daily Sale entry '!$AC$1:$AC$1501,$J2484+1))-IF(AND('Opening Balance'!$B$15=1,INDEX('Daily Sale entry '!$Z$1:$Z$1501,$J2484+1)="Online collection 网上收款",INDEX('Daily Sale entry '!$AA$1:$AA$1501,$J2484+1)&lt;&gt;""),N(INDEX('Daily Sale entry '!$AC$1:$AC$1501,$J2484+1))-TRUNC(N(INDEX('Daily Sale entry '!$AC$1:$AC$1501,$J2484+1))),0),N(INDEX('Daily Sale entry '!$S$1:$S$1501,$J2484-1499))-'Opening Balance'!$B$15*(N(INDEX('Daily Sale entry '!$S$1:$S$1501,$J2484-1499))-TRUNC(N(INDEX('Daily Sale entry '!$S$1:$S$1501,$J2484-1499))))))</f>
        <v/>
      </c>
      <c r="G2484" s="6">
        <f>IF($J2484="","",IF($J2484&lt;=1500,N(INDEX('Daily Sale entry '!$AD$1:$AD$1501,$J2484+1)),0))</f>
        <v/>
      </c>
      <c r="H2484" s="6">
        <f>IF($J2484="","",ROUND('Opening Balance'!$B$4+SUM($F$2:F2484)-SUM($G$2:G2484),2))</f>
        <v/>
      </c>
      <c r="J2484" s="21">
        <f>IFERROR(MATCH(ROW()-1,$L$2:$L$3001,0),"")</f>
        <v/>
      </c>
      <c r="K2484" s="34">
        <f>IF(AND('Daily Sale entry '!Q984="Collection 收款",'Daily Sale entry '!R984="Cheque 支票",'Daily Sale entry '!V984&lt;&gt;""),'Daily Sale entry '!V984+ROW()/10000000,"")</f>
        <v/>
      </c>
      <c r="L2484" s="21">
        <f>IF(K2484="","",COUNTIF($K$2:$K$3001,"&lt;"&amp;K2484)+1)</f>
        <v/>
      </c>
    </row>
    <row r="2485">
      <c r="A2485" s="5">
        <f>IF($J2485="","",IF($J2485&lt;=1500,INDEX('Daily Sale entry '!$X$1:$X$1501,$J2485+1),INDEX('Daily Sale entry '!$V$1:$V$1501,$J2485-1499)))</f>
        <v/>
      </c>
      <c r="B2485">
        <f>IF($J2485="","",IF($J2485&lt;=1500,INDEX('Daily Sale entry '!$Y$1:$Y$1501,$J2485+1)&amp;"","Buyer cheque banked 买家支票存入"&amp;IF(INDEX('Daily Sale entry '!$U$1:$U$1501,$J2485-1499)="","", " - "&amp;INDEX('Daily Sale entry '!$U$1:$U$1501,$J2485-1499))))</f>
        <v/>
      </c>
      <c r="C2485">
        <f>IF($J2485="","",IF($J2485&lt;=1500,INDEX('Daily Sale entry '!$Z$1:$Z$1501,$J2485+1)&amp;"","Cheque deposit 支票存入 (buyer 买家)"))</f>
        <v/>
      </c>
      <c r="D2485">
        <f>IF($J2485="","",IF($J2485&lt;=1500,INDEX('Daily Sale entry '!$AA$1:$AA$1501,$J2485+1)&amp;"",INDEX('Daily Sale entry '!$P$1:$P$1501,$J2485-1499)&amp;""))</f>
        <v/>
      </c>
      <c r="E2485">
        <f>IF($J2485="","",IF($J2485&lt;=1500,IF(N(INDEX('Daily Sale entry '!$AB$1:$AB$1501,$J2485+1))=0,"",INDEX('Daily Sale entry '!$AB$1:$AB$1501,$J2485+1)),1))</f>
        <v/>
      </c>
      <c r="F2485" s="6">
        <f>IF($J2485="","",IF($J2485&lt;=1500,N(INDEX('Daily Sale entry '!$AC$1:$AC$1501,$J2485+1))-IF(AND('Opening Balance'!$B$15=1,INDEX('Daily Sale entry '!$Z$1:$Z$1501,$J2485+1)="Online collection 网上收款",INDEX('Daily Sale entry '!$AA$1:$AA$1501,$J2485+1)&lt;&gt;""),N(INDEX('Daily Sale entry '!$AC$1:$AC$1501,$J2485+1))-TRUNC(N(INDEX('Daily Sale entry '!$AC$1:$AC$1501,$J2485+1))),0),N(INDEX('Daily Sale entry '!$S$1:$S$1501,$J2485-1499))-'Opening Balance'!$B$15*(N(INDEX('Daily Sale entry '!$S$1:$S$1501,$J2485-1499))-TRUNC(N(INDEX('Daily Sale entry '!$S$1:$S$1501,$J2485-1499))))))</f>
        <v/>
      </c>
      <c r="G2485" s="6">
        <f>IF($J2485="","",IF($J2485&lt;=1500,N(INDEX('Daily Sale entry '!$AD$1:$AD$1501,$J2485+1)),0))</f>
        <v/>
      </c>
      <c r="H2485" s="6">
        <f>IF($J2485="","",ROUND('Opening Balance'!$B$4+SUM($F$2:F2485)-SUM($G$2:G2485),2))</f>
        <v/>
      </c>
      <c r="J2485" s="21">
        <f>IFERROR(MATCH(ROW()-1,$L$2:$L$3001,0),"")</f>
        <v/>
      </c>
      <c r="K2485" s="34">
        <f>IF(AND('Daily Sale entry '!Q985="Collection 收款",'Daily Sale entry '!R985="Cheque 支票",'Daily Sale entry '!V985&lt;&gt;""),'Daily Sale entry '!V985+ROW()/10000000,"")</f>
        <v/>
      </c>
      <c r="L2485" s="21">
        <f>IF(K2485="","",COUNTIF($K$2:$K$3001,"&lt;"&amp;K2485)+1)</f>
        <v/>
      </c>
    </row>
    <row r="2486">
      <c r="A2486" s="5">
        <f>IF($J2486="","",IF($J2486&lt;=1500,INDEX('Daily Sale entry '!$X$1:$X$1501,$J2486+1),INDEX('Daily Sale entry '!$V$1:$V$1501,$J2486-1499)))</f>
        <v/>
      </c>
      <c r="B2486">
        <f>IF($J2486="","",IF($J2486&lt;=1500,INDEX('Daily Sale entry '!$Y$1:$Y$1501,$J2486+1)&amp;"","Buyer cheque banked 买家支票存入"&amp;IF(INDEX('Daily Sale entry '!$U$1:$U$1501,$J2486-1499)="","", " - "&amp;INDEX('Daily Sale entry '!$U$1:$U$1501,$J2486-1499))))</f>
        <v/>
      </c>
      <c r="C2486">
        <f>IF($J2486="","",IF($J2486&lt;=1500,INDEX('Daily Sale entry '!$Z$1:$Z$1501,$J2486+1)&amp;"","Cheque deposit 支票存入 (buyer 买家)"))</f>
        <v/>
      </c>
      <c r="D2486">
        <f>IF($J2486="","",IF($J2486&lt;=1500,INDEX('Daily Sale entry '!$AA$1:$AA$1501,$J2486+1)&amp;"",INDEX('Daily Sale entry '!$P$1:$P$1501,$J2486-1499)&amp;""))</f>
        <v/>
      </c>
      <c r="E2486">
        <f>IF($J2486="","",IF($J2486&lt;=1500,IF(N(INDEX('Daily Sale entry '!$AB$1:$AB$1501,$J2486+1))=0,"",INDEX('Daily Sale entry '!$AB$1:$AB$1501,$J2486+1)),1))</f>
        <v/>
      </c>
      <c r="F2486" s="6">
        <f>IF($J2486="","",IF($J2486&lt;=1500,N(INDEX('Daily Sale entry '!$AC$1:$AC$1501,$J2486+1))-IF(AND('Opening Balance'!$B$15=1,INDEX('Daily Sale entry '!$Z$1:$Z$1501,$J2486+1)="Online collection 网上收款",INDEX('Daily Sale entry '!$AA$1:$AA$1501,$J2486+1)&lt;&gt;""),N(INDEX('Daily Sale entry '!$AC$1:$AC$1501,$J2486+1))-TRUNC(N(INDEX('Daily Sale entry '!$AC$1:$AC$1501,$J2486+1))),0),N(INDEX('Daily Sale entry '!$S$1:$S$1501,$J2486-1499))-'Opening Balance'!$B$15*(N(INDEX('Daily Sale entry '!$S$1:$S$1501,$J2486-1499))-TRUNC(N(INDEX('Daily Sale entry '!$S$1:$S$1501,$J2486-1499))))))</f>
        <v/>
      </c>
      <c r="G2486" s="6">
        <f>IF($J2486="","",IF($J2486&lt;=1500,N(INDEX('Daily Sale entry '!$AD$1:$AD$1501,$J2486+1)),0))</f>
        <v/>
      </c>
      <c r="H2486" s="6">
        <f>IF($J2486="","",ROUND('Opening Balance'!$B$4+SUM($F$2:F2486)-SUM($G$2:G2486),2))</f>
        <v/>
      </c>
      <c r="J2486" s="21">
        <f>IFERROR(MATCH(ROW()-1,$L$2:$L$3001,0),"")</f>
        <v/>
      </c>
      <c r="K2486" s="34">
        <f>IF(AND('Daily Sale entry '!Q986="Collection 收款",'Daily Sale entry '!R986="Cheque 支票",'Daily Sale entry '!V986&lt;&gt;""),'Daily Sale entry '!V986+ROW()/10000000,"")</f>
        <v/>
      </c>
      <c r="L2486" s="21">
        <f>IF(K2486="","",COUNTIF($K$2:$K$3001,"&lt;"&amp;K2486)+1)</f>
        <v/>
      </c>
    </row>
    <row r="2487">
      <c r="A2487" s="5">
        <f>IF($J2487="","",IF($J2487&lt;=1500,INDEX('Daily Sale entry '!$X$1:$X$1501,$J2487+1),INDEX('Daily Sale entry '!$V$1:$V$1501,$J2487-1499)))</f>
        <v/>
      </c>
      <c r="B2487">
        <f>IF($J2487="","",IF($J2487&lt;=1500,INDEX('Daily Sale entry '!$Y$1:$Y$1501,$J2487+1)&amp;"","Buyer cheque banked 买家支票存入"&amp;IF(INDEX('Daily Sale entry '!$U$1:$U$1501,$J2487-1499)="","", " - "&amp;INDEX('Daily Sale entry '!$U$1:$U$1501,$J2487-1499))))</f>
        <v/>
      </c>
      <c r="C2487">
        <f>IF($J2487="","",IF($J2487&lt;=1500,INDEX('Daily Sale entry '!$Z$1:$Z$1501,$J2487+1)&amp;"","Cheque deposit 支票存入 (buyer 买家)"))</f>
        <v/>
      </c>
      <c r="D2487">
        <f>IF($J2487="","",IF($J2487&lt;=1500,INDEX('Daily Sale entry '!$AA$1:$AA$1501,$J2487+1)&amp;"",INDEX('Daily Sale entry '!$P$1:$P$1501,$J2487-1499)&amp;""))</f>
        <v/>
      </c>
      <c r="E2487">
        <f>IF($J2487="","",IF($J2487&lt;=1500,IF(N(INDEX('Daily Sale entry '!$AB$1:$AB$1501,$J2487+1))=0,"",INDEX('Daily Sale entry '!$AB$1:$AB$1501,$J2487+1)),1))</f>
        <v/>
      </c>
      <c r="F2487" s="6">
        <f>IF($J2487="","",IF($J2487&lt;=1500,N(INDEX('Daily Sale entry '!$AC$1:$AC$1501,$J2487+1))-IF(AND('Opening Balance'!$B$15=1,INDEX('Daily Sale entry '!$Z$1:$Z$1501,$J2487+1)="Online collection 网上收款",INDEX('Daily Sale entry '!$AA$1:$AA$1501,$J2487+1)&lt;&gt;""),N(INDEX('Daily Sale entry '!$AC$1:$AC$1501,$J2487+1))-TRUNC(N(INDEX('Daily Sale entry '!$AC$1:$AC$1501,$J2487+1))),0),N(INDEX('Daily Sale entry '!$S$1:$S$1501,$J2487-1499))-'Opening Balance'!$B$15*(N(INDEX('Daily Sale entry '!$S$1:$S$1501,$J2487-1499))-TRUNC(N(INDEX('Daily Sale entry '!$S$1:$S$1501,$J2487-1499))))))</f>
        <v/>
      </c>
      <c r="G2487" s="6">
        <f>IF($J2487="","",IF($J2487&lt;=1500,N(INDEX('Daily Sale entry '!$AD$1:$AD$1501,$J2487+1)),0))</f>
        <v/>
      </c>
      <c r="H2487" s="6">
        <f>IF($J2487="","",ROUND('Opening Balance'!$B$4+SUM($F$2:F2487)-SUM($G$2:G2487),2))</f>
        <v/>
      </c>
      <c r="J2487" s="21">
        <f>IFERROR(MATCH(ROW()-1,$L$2:$L$3001,0),"")</f>
        <v/>
      </c>
      <c r="K2487" s="34">
        <f>IF(AND('Daily Sale entry '!Q987="Collection 收款",'Daily Sale entry '!R987="Cheque 支票",'Daily Sale entry '!V987&lt;&gt;""),'Daily Sale entry '!V987+ROW()/10000000,"")</f>
        <v/>
      </c>
      <c r="L2487" s="21">
        <f>IF(K2487="","",COUNTIF($K$2:$K$3001,"&lt;"&amp;K2487)+1)</f>
        <v/>
      </c>
    </row>
    <row r="2488">
      <c r="A2488" s="5">
        <f>IF($J2488="","",IF($J2488&lt;=1500,INDEX('Daily Sale entry '!$X$1:$X$1501,$J2488+1),INDEX('Daily Sale entry '!$V$1:$V$1501,$J2488-1499)))</f>
        <v/>
      </c>
      <c r="B2488">
        <f>IF($J2488="","",IF($J2488&lt;=1500,INDEX('Daily Sale entry '!$Y$1:$Y$1501,$J2488+1)&amp;"","Buyer cheque banked 买家支票存入"&amp;IF(INDEX('Daily Sale entry '!$U$1:$U$1501,$J2488-1499)="","", " - "&amp;INDEX('Daily Sale entry '!$U$1:$U$1501,$J2488-1499))))</f>
        <v/>
      </c>
      <c r="C2488">
        <f>IF($J2488="","",IF($J2488&lt;=1500,INDEX('Daily Sale entry '!$Z$1:$Z$1501,$J2488+1)&amp;"","Cheque deposit 支票存入 (buyer 买家)"))</f>
        <v/>
      </c>
      <c r="D2488">
        <f>IF($J2488="","",IF($J2488&lt;=1500,INDEX('Daily Sale entry '!$AA$1:$AA$1501,$J2488+1)&amp;"",INDEX('Daily Sale entry '!$P$1:$P$1501,$J2488-1499)&amp;""))</f>
        <v/>
      </c>
      <c r="E2488">
        <f>IF($J2488="","",IF($J2488&lt;=1500,IF(N(INDEX('Daily Sale entry '!$AB$1:$AB$1501,$J2488+1))=0,"",INDEX('Daily Sale entry '!$AB$1:$AB$1501,$J2488+1)),1))</f>
        <v/>
      </c>
      <c r="F2488" s="6">
        <f>IF($J2488="","",IF($J2488&lt;=1500,N(INDEX('Daily Sale entry '!$AC$1:$AC$1501,$J2488+1))-IF(AND('Opening Balance'!$B$15=1,INDEX('Daily Sale entry '!$Z$1:$Z$1501,$J2488+1)="Online collection 网上收款",INDEX('Daily Sale entry '!$AA$1:$AA$1501,$J2488+1)&lt;&gt;""),N(INDEX('Daily Sale entry '!$AC$1:$AC$1501,$J2488+1))-TRUNC(N(INDEX('Daily Sale entry '!$AC$1:$AC$1501,$J2488+1))),0),N(INDEX('Daily Sale entry '!$S$1:$S$1501,$J2488-1499))-'Opening Balance'!$B$15*(N(INDEX('Daily Sale entry '!$S$1:$S$1501,$J2488-1499))-TRUNC(N(INDEX('Daily Sale entry '!$S$1:$S$1501,$J2488-1499))))))</f>
        <v/>
      </c>
      <c r="G2488" s="6">
        <f>IF($J2488="","",IF($J2488&lt;=1500,N(INDEX('Daily Sale entry '!$AD$1:$AD$1501,$J2488+1)),0))</f>
        <v/>
      </c>
      <c r="H2488" s="6">
        <f>IF($J2488="","",ROUND('Opening Balance'!$B$4+SUM($F$2:F2488)-SUM($G$2:G2488),2))</f>
        <v/>
      </c>
      <c r="J2488" s="21">
        <f>IFERROR(MATCH(ROW()-1,$L$2:$L$3001,0),"")</f>
        <v/>
      </c>
      <c r="K2488" s="34">
        <f>IF(AND('Daily Sale entry '!Q988="Collection 收款",'Daily Sale entry '!R988="Cheque 支票",'Daily Sale entry '!V988&lt;&gt;""),'Daily Sale entry '!V988+ROW()/10000000,"")</f>
        <v/>
      </c>
      <c r="L2488" s="21">
        <f>IF(K2488="","",COUNTIF($K$2:$K$3001,"&lt;"&amp;K2488)+1)</f>
        <v/>
      </c>
    </row>
    <row r="2489">
      <c r="A2489" s="5">
        <f>IF($J2489="","",IF($J2489&lt;=1500,INDEX('Daily Sale entry '!$X$1:$X$1501,$J2489+1),INDEX('Daily Sale entry '!$V$1:$V$1501,$J2489-1499)))</f>
        <v/>
      </c>
      <c r="B2489">
        <f>IF($J2489="","",IF($J2489&lt;=1500,INDEX('Daily Sale entry '!$Y$1:$Y$1501,$J2489+1)&amp;"","Buyer cheque banked 买家支票存入"&amp;IF(INDEX('Daily Sale entry '!$U$1:$U$1501,$J2489-1499)="","", " - "&amp;INDEX('Daily Sale entry '!$U$1:$U$1501,$J2489-1499))))</f>
        <v/>
      </c>
      <c r="C2489">
        <f>IF($J2489="","",IF($J2489&lt;=1500,INDEX('Daily Sale entry '!$Z$1:$Z$1501,$J2489+1)&amp;"","Cheque deposit 支票存入 (buyer 买家)"))</f>
        <v/>
      </c>
      <c r="D2489">
        <f>IF($J2489="","",IF($J2489&lt;=1500,INDEX('Daily Sale entry '!$AA$1:$AA$1501,$J2489+1)&amp;"",INDEX('Daily Sale entry '!$P$1:$P$1501,$J2489-1499)&amp;""))</f>
        <v/>
      </c>
      <c r="E2489">
        <f>IF($J2489="","",IF($J2489&lt;=1500,IF(N(INDEX('Daily Sale entry '!$AB$1:$AB$1501,$J2489+1))=0,"",INDEX('Daily Sale entry '!$AB$1:$AB$1501,$J2489+1)),1))</f>
        <v/>
      </c>
      <c r="F2489" s="6">
        <f>IF($J2489="","",IF($J2489&lt;=1500,N(INDEX('Daily Sale entry '!$AC$1:$AC$1501,$J2489+1))-IF(AND('Opening Balance'!$B$15=1,INDEX('Daily Sale entry '!$Z$1:$Z$1501,$J2489+1)="Online collection 网上收款",INDEX('Daily Sale entry '!$AA$1:$AA$1501,$J2489+1)&lt;&gt;""),N(INDEX('Daily Sale entry '!$AC$1:$AC$1501,$J2489+1))-TRUNC(N(INDEX('Daily Sale entry '!$AC$1:$AC$1501,$J2489+1))),0),N(INDEX('Daily Sale entry '!$S$1:$S$1501,$J2489-1499))-'Opening Balance'!$B$15*(N(INDEX('Daily Sale entry '!$S$1:$S$1501,$J2489-1499))-TRUNC(N(INDEX('Daily Sale entry '!$S$1:$S$1501,$J2489-1499))))))</f>
        <v/>
      </c>
      <c r="G2489" s="6">
        <f>IF($J2489="","",IF($J2489&lt;=1500,N(INDEX('Daily Sale entry '!$AD$1:$AD$1501,$J2489+1)),0))</f>
        <v/>
      </c>
      <c r="H2489" s="6">
        <f>IF($J2489="","",ROUND('Opening Balance'!$B$4+SUM($F$2:F2489)-SUM($G$2:G2489),2))</f>
        <v/>
      </c>
      <c r="J2489" s="21">
        <f>IFERROR(MATCH(ROW()-1,$L$2:$L$3001,0),"")</f>
        <v/>
      </c>
      <c r="K2489" s="34">
        <f>IF(AND('Daily Sale entry '!Q989="Collection 收款",'Daily Sale entry '!R989="Cheque 支票",'Daily Sale entry '!V989&lt;&gt;""),'Daily Sale entry '!V989+ROW()/10000000,"")</f>
        <v/>
      </c>
      <c r="L2489" s="21">
        <f>IF(K2489="","",COUNTIF($K$2:$K$3001,"&lt;"&amp;K2489)+1)</f>
        <v/>
      </c>
    </row>
    <row r="2490">
      <c r="A2490" s="5">
        <f>IF($J2490="","",IF($J2490&lt;=1500,INDEX('Daily Sale entry '!$X$1:$X$1501,$J2490+1),INDEX('Daily Sale entry '!$V$1:$V$1501,$J2490-1499)))</f>
        <v/>
      </c>
      <c r="B2490">
        <f>IF($J2490="","",IF($J2490&lt;=1500,INDEX('Daily Sale entry '!$Y$1:$Y$1501,$J2490+1)&amp;"","Buyer cheque banked 买家支票存入"&amp;IF(INDEX('Daily Sale entry '!$U$1:$U$1501,$J2490-1499)="","", " - "&amp;INDEX('Daily Sale entry '!$U$1:$U$1501,$J2490-1499))))</f>
        <v/>
      </c>
      <c r="C2490">
        <f>IF($J2490="","",IF($J2490&lt;=1500,INDEX('Daily Sale entry '!$Z$1:$Z$1501,$J2490+1)&amp;"","Cheque deposit 支票存入 (buyer 买家)"))</f>
        <v/>
      </c>
      <c r="D2490">
        <f>IF($J2490="","",IF($J2490&lt;=1500,INDEX('Daily Sale entry '!$AA$1:$AA$1501,$J2490+1)&amp;"",INDEX('Daily Sale entry '!$P$1:$P$1501,$J2490-1499)&amp;""))</f>
        <v/>
      </c>
      <c r="E2490">
        <f>IF($J2490="","",IF($J2490&lt;=1500,IF(N(INDEX('Daily Sale entry '!$AB$1:$AB$1501,$J2490+1))=0,"",INDEX('Daily Sale entry '!$AB$1:$AB$1501,$J2490+1)),1))</f>
        <v/>
      </c>
      <c r="F2490" s="6">
        <f>IF($J2490="","",IF($J2490&lt;=1500,N(INDEX('Daily Sale entry '!$AC$1:$AC$1501,$J2490+1))-IF(AND('Opening Balance'!$B$15=1,INDEX('Daily Sale entry '!$Z$1:$Z$1501,$J2490+1)="Online collection 网上收款",INDEX('Daily Sale entry '!$AA$1:$AA$1501,$J2490+1)&lt;&gt;""),N(INDEX('Daily Sale entry '!$AC$1:$AC$1501,$J2490+1))-TRUNC(N(INDEX('Daily Sale entry '!$AC$1:$AC$1501,$J2490+1))),0),N(INDEX('Daily Sale entry '!$S$1:$S$1501,$J2490-1499))-'Opening Balance'!$B$15*(N(INDEX('Daily Sale entry '!$S$1:$S$1501,$J2490-1499))-TRUNC(N(INDEX('Daily Sale entry '!$S$1:$S$1501,$J2490-1499))))))</f>
        <v/>
      </c>
      <c r="G2490" s="6">
        <f>IF($J2490="","",IF($J2490&lt;=1500,N(INDEX('Daily Sale entry '!$AD$1:$AD$1501,$J2490+1)),0))</f>
        <v/>
      </c>
      <c r="H2490" s="6">
        <f>IF($J2490="","",ROUND('Opening Balance'!$B$4+SUM($F$2:F2490)-SUM($G$2:G2490),2))</f>
        <v/>
      </c>
      <c r="J2490" s="21">
        <f>IFERROR(MATCH(ROW()-1,$L$2:$L$3001,0),"")</f>
        <v/>
      </c>
      <c r="K2490" s="34">
        <f>IF(AND('Daily Sale entry '!Q990="Collection 收款",'Daily Sale entry '!R990="Cheque 支票",'Daily Sale entry '!V990&lt;&gt;""),'Daily Sale entry '!V990+ROW()/10000000,"")</f>
        <v/>
      </c>
      <c r="L2490" s="21">
        <f>IF(K2490="","",COUNTIF($K$2:$K$3001,"&lt;"&amp;K2490)+1)</f>
        <v/>
      </c>
    </row>
    <row r="2491">
      <c r="A2491" s="5">
        <f>IF($J2491="","",IF($J2491&lt;=1500,INDEX('Daily Sale entry '!$X$1:$X$1501,$J2491+1),INDEX('Daily Sale entry '!$V$1:$V$1501,$J2491-1499)))</f>
        <v/>
      </c>
      <c r="B2491">
        <f>IF($J2491="","",IF($J2491&lt;=1500,INDEX('Daily Sale entry '!$Y$1:$Y$1501,$J2491+1)&amp;"","Buyer cheque banked 买家支票存入"&amp;IF(INDEX('Daily Sale entry '!$U$1:$U$1501,$J2491-1499)="","", " - "&amp;INDEX('Daily Sale entry '!$U$1:$U$1501,$J2491-1499))))</f>
        <v/>
      </c>
      <c r="C2491">
        <f>IF($J2491="","",IF($J2491&lt;=1500,INDEX('Daily Sale entry '!$Z$1:$Z$1501,$J2491+1)&amp;"","Cheque deposit 支票存入 (buyer 买家)"))</f>
        <v/>
      </c>
      <c r="D2491">
        <f>IF($J2491="","",IF($J2491&lt;=1500,INDEX('Daily Sale entry '!$AA$1:$AA$1501,$J2491+1)&amp;"",INDEX('Daily Sale entry '!$P$1:$P$1501,$J2491-1499)&amp;""))</f>
        <v/>
      </c>
      <c r="E2491">
        <f>IF($J2491="","",IF($J2491&lt;=1500,IF(N(INDEX('Daily Sale entry '!$AB$1:$AB$1501,$J2491+1))=0,"",INDEX('Daily Sale entry '!$AB$1:$AB$1501,$J2491+1)),1))</f>
        <v/>
      </c>
      <c r="F2491" s="6">
        <f>IF($J2491="","",IF($J2491&lt;=1500,N(INDEX('Daily Sale entry '!$AC$1:$AC$1501,$J2491+1))-IF(AND('Opening Balance'!$B$15=1,INDEX('Daily Sale entry '!$Z$1:$Z$1501,$J2491+1)="Online collection 网上收款",INDEX('Daily Sale entry '!$AA$1:$AA$1501,$J2491+1)&lt;&gt;""),N(INDEX('Daily Sale entry '!$AC$1:$AC$1501,$J2491+1))-TRUNC(N(INDEX('Daily Sale entry '!$AC$1:$AC$1501,$J2491+1))),0),N(INDEX('Daily Sale entry '!$S$1:$S$1501,$J2491-1499))-'Opening Balance'!$B$15*(N(INDEX('Daily Sale entry '!$S$1:$S$1501,$J2491-1499))-TRUNC(N(INDEX('Daily Sale entry '!$S$1:$S$1501,$J2491-1499))))))</f>
        <v/>
      </c>
      <c r="G2491" s="6">
        <f>IF($J2491="","",IF($J2491&lt;=1500,N(INDEX('Daily Sale entry '!$AD$1:$AD$1501,$J2491+1)),0))</f>
        <v/>
      </c>
      <c r="H2491" s="6">
        <f>IF($J2491="","",ROUND('Opening Balance'!$B$4+SUM($F$2:F2491)-SUM($G$2:G2491),2))</f>
        <v/>
      </c>
      <c r="J2491" s="21">
        <f>IFERROR(MATCH(ROW()-1,$L$2:$L$3001,0),"")</f>
        <v/>
      </c>
      <c r="K2491" s="34">
        <f>IF(AND('Daily Sale entry '!Q991="Collection 收款",'Daily Sale entry '!R991="Cheque 支票",'Daily Sale entry '!V991&lt;&gt;""),'Daily Sale entry '!V991+ROW()/10000000,"")</f>
        <v/>
      </c>
      <c r="L2491" s="21">
        <f>IF(K2491="","",COUNTIF($K$2:$K$3001,"&lt;"&amp;K2491)+1)</f>
        <v/>
      </c>
    </row>
    <row r="2492">
      <c r="A2492" s="5">
        <f>IF($J2492="","",IF($J2492&lt;=1500,INDEX('Daily Sale entry '!$X$1:$X$1501,$J2492+1),INDEX('Daily Sale entry '!$V$1:$V$1501,$J2492-1499)))</f>
        <v/>
      </c>
      <c r="B2492">
        <f>IF($J2492="","",IF($J2492&lt;=1500,INDEX('Daily Sale entry '!$Y$1:$Y$1501,$J2492+1)&amp;"","Buyer cheque banked 买家支票存入"&amp;IF(INDEX('Daily Sale entry '!$U$1:$U$1501,$J2492-1499)="","", " - "&amp;INDEX('Daily Sale entry '!$U$1:$U$1501,$J2492-1499))))</f>
        <v/>
      </c>
      <c r="C2492">
        <f>IF($J2492="","",IF($J2492&lt;=1500,INDEX('Daily Sale entry '!$Z$1:$Z$1501,$J2492+1)&amp;"","Cheque deposit 支票存入 (buyer 买家)"))</f>
        <v/>
      </c>
      <c r="D2492">
        <f>IF($J2492="","",IF($J2492&lt;=1500,INDEX('Daily Sale entry '!$AA$1:$AA$1501,$J2492+1)&amp;"",INDEX('Daily Sale entry '!$P$1:$P$1501,$J2492-1499)&amp;""))</f>
        <v/>
      </c>
      <c r="E2492">
        <f>IF($J2492="","",IF($J2492&lt;=1500,IF(N(INDEX('Daily Sale entry '!$AB$1:$AB$1501,$J2492+1))=0,"",INDEX('Daily Sale entry '!$AB$1:$AB$1501,$J2492+1)),1))</f>
        <v/>
      </c>
      <c r="F2492" s="6">
        <f>IF($J2492="","",IF($J2492&lt;=1500,N(INDEX('Daily Sale entry '!$AC$1:$AC$1501,$J2492+1))-IF(AND('Opening Balance'!$B$15=1,INDEX('Daily Sale entry '!$Z$1:$Z$1501,$J2492+1)="Online collection 网上收款",INDEX('Daily Sale entry '!$AA$1:$AA$1501,$J2492+1)&lt;&gt;""),N(INDEX('Daily Sale entry '!$AC$1:$AC$1501,$J2492+1))-TRUNC(N(INDEX('Daily Sale entry '!$AC$1:$AC$1501,$J2492+1))),0),N(INDEX('Daily Sale entry '!$S$1:$S$1501,$J2492-1499))-'Opening Balance'!$B$15*(N(INDEX('Daily Sale entry '!$S$1:$S$1501,$J2492-1499))-TRUNC(N(INDEX('Daily Sale entry '!$S$1:$S$1501,$J2492-1499))))))</f>
        <v/>
      </c>
      <c r="G2492" s="6">
        <f>IF($J2492="","",IF($J2492&lt;=1500,N(INDEX('Daily Sale entry '!$AD$1:$AD$1501,$J2492+1)),0))</f>
        <v/>
      </c>
      <c r="H2492" s="6">
        <f>IF($J2492="","",ROUND('Opening Balance'!$B$4+SUM($F$2:F2492)-SUM($G$2:G2492),2))</f>
        <v/>
      </c>
      <c r="J2492" s="21">
        <f>IFERROR(MATCH(ROW()-1,$L$2:$L$3001,0),"")</f>
        <v/>
      </c>
      <c r="K2492" s="34">
        <f>IF(AND('Daily Sale entry '!Q992="Collection 收款",'Daily Sale entry '!R992="Cheque 支票",'Daily Sale entry '!V992&lt;&gt;""),'Daily Sale entry '!V992+ROW()/10000000,"")</f>
        <v/>
      </c>
      <c r="L2492" s="21">
        <f>IF(K2492="","",COUNTIF($K$2:$K$3001,"&lt;"&amp;K2492)+1)</f>
        <v/>
      </c>
    </row>
    <row r="2493">
      <c r="A2493" s="5">
        <f>IF($J2493="","",IF($J2493&lt;=1500,INDEX('Daily Sale entry '!$X$1:$X$1501,$J2493+1),INDEX('Daily Sale entry '!$V$1:$V$1501,$J2493-1499)))</f>
        <v/>
      </c>
      <c r="B2493">
        <f>IF($J2493="","",IF($J2493&lt;=1500,INDEX('Daily Sale entry '!$Y$1:$Y$1501,$J2493+1)&amp;"","Buyer cheque banked 买家支票存入"&amp;IF(INDEX('Daily Sale entry '!$U$1:$U$1501,$J2493-1499)="","", " - "&amp;INDEX('Daily Sale entry '!$U$1:$U$1501,$J2493-1499))))</f>
        <v/>
      </c>
      <c r="C2493">
        <f>IF($J2493="","",IF($J2493&lt;=1500,INDEX('Daily Sale entry '!$Z$1:$Z$1501,$J2493+1)&amp;"","Cheque deposit 支票存入 (buyer 买家)"))</f>
        <v/>
      </c>
      <c r="D2493">
        <f>IF($J2493="","",IF($J2493&lt;=1500,INDEX('Daily Sale entry '!$AA$1:$AA$1501,$J2493+1)&amp;"",INDEX('Daily Sale entry '!$P$1:$P$1501,$J2493-1499)&amp;""))</f>
        <v/>
      </c>
      <c r="E2493">
        <f>IF($J2493="","",IF($J2493&lt;=1500,IF(N(INDEX('Daily Sale entry '!$AB$1:$AB$1501,$J2493+1))=0,"",INDEX('Daily Sale entry '!$AB$1:$AB$1501,$J2493+1)),1))</f>
        <v/>
      </c>
      <c r="F2493" s="6">
        <f>IF($J2493="","",IF($J2493&lt;=1500,N(INDEX('Daily Sale entry '!$AC$1:$AC$1501,$J2493+1))-IF(AND('Opening Balance'!$B$15=1,INDEX('Daily Sale entry '!$Z$1:$Z$1501,$J2493+1)="Online collection 网上收款",INDEX('Daily Sale entry '!$AA$1:$AA$1501,$J2493+1)&lt;&gt;""),N(INDEX('Daily Sale entry '!$AC$1:$AC$1501,$J2493+1))-TRUNC(N(INDEX('Daily Sale entry '!$AC$1:$AC$1501,$J2493+1))),0),N(INDEX('Daily Sale entry '!$S$1:$S$1501,$J2493-1499))-'Opening Balance'!$B$15*(N(INDEX('Daily Sale entry '!$S$1:$S$1501,$J2493-1499))-TRUNC(N(INDEX('Daily Sale entry '!$S$1:$S$1501,$J2493-1499))))))</f>
        <v/>
      </c>
      <c r="G2493" s="6">
        <f>IF($J2493="","",IF($J2493&lt;=1500,N(INDEX('Daily Sale entry '!$AD$1:$AD$1501,$J2493+1)),0))</f>
        <v/>
      </c>
      <c r="H2493" s="6">
        <f>IF($J2493="","",ROUND('Opening Balance'!$B$4+SUM($F$2:F2493)-SUM($G$2:G2493),2))</f>
        <v/>
      </c>
      <c r="J2493" s="21">
        <f>IFERROR(MATCH(ROW()-1,$L$2:$L$3001,0),"")</f>
        <v/>
      </c>
      <c r="K2493" s="34">
        <f>IF(AND('Daily Sale entry '!Q993="Collection 收款",'Daily Sale entry '!R993="Cheque 支票",'Daily Sale entry '!V993&lt;&gt;""),'Daily Sale entry '!V993+ROW()/10000000,"")</f>
        <v/>
      </c>
      <c r="L2493" s="21">
        <f>IF(K2493="","",COUNTIF($K$2:$K$3001,"&lt;"&amp;K2493)+1)</f>
        <v/>
      </c>
    </row>
    <row r="2494">
      <c r="A2494" s="5">
        <f>IF($J2494="","",IF($J2494&lt;=1500,INDEX('Daily Sale entry '!$X$1:$X$1501,$J2494+1),INDEX('Daily Sale entry '!$V$1:$V$1501,$J2494-1499)))</f>
        <v/>
      </c>
      <c r="B2494">
        <f>IF($J2494="","",IF($J2494&lt;=1500,INDEX('Daily Sale entry '!$Y$1:$Y$1501,$J2494+1)&amp;"","Buyer cheque banked 买家支票存入"&amp;IF(INDEX('Daily Sale entry '!$U$1:$U$1501,$J2494-1499)="","", " - "&amp;INDEX('Daily Sale entry '!$U$1:$U$1501,$J2494-1499))))</f>
        <v/>
      </c>
      <c r="C2494">
        <f>IF($J2494="","",IF($J2494&lt;=1500,INDEX('Daily Sale entry '!$Z$1:$Z$1501,$J2494+1)&amp;"","Cheque deposit 支票存入 (buyer 买家)"))</f>
        <v/>
      </c>
      <c r="D2494">
        <f>IF($J2494="","",IF($J2494&lt;=1500,INDEX('Daily Sale entry '!$AA$1:$AA$1501,$J2494+1)&amp;"",INDEX('Daily Sale entry '!$P$1:$P$1501,$J2494-1499)&amp;""))</f>
        <v/>
      </c>
      <c r="E2494">
        <f>IF($J2494="","",IF($J2494&lt;=1500,IF(N(INDEX('Daily Sale entry '!$AB$1:$AB$1501,$J2494+1))=0,"",INDEX('Daily Sale entry '!$AB$1:$AB$1501,$J2494+1)),1))</f>
        <v/>
      </c>
      <c r="F2494" s="6">
        <f>IF($J2494="","",IF($J2494&lt;=1500,N(INDEX('Daily Sale entry '!$AC$1:$AC$1501,$J2494+1))-IF(AND('Opening Balance'!$B$15=1,INDEX('Daily Sale entry '!$Z$1:$Z$1501,$J2494+1)="Online collection 网上收款",INDEX('Daily Sale entry '!$AA$1:$AA$1501,$J2494+1)&lt;&gt;""),N(INDEX('Daily Sale entry '!$AC$1:$AC$1501,$J2494+1))-TRUNC(N(INDEX('Daily Sale entry '!$AC$1:$AC$1501,$J2494+1))),0),N(INDEX('Daily Sale entry '!$S$1:$S$1501,$J2494-1499))-'Opening Balance'!$B$15*(N(INDEX('Daily Sale entry '!$S$1:$S$1501,$J2494-1499))-TRUNC(N(INDEX('Daily Sale entry '!$S$1:$S$1501,$J2494-1499))))))</f>
        <v/>
      </c>
      <c r="G2494" s="6">
        <f>IF($J2494="","",IF($J2494&lt;=1500,N(INDEX('Daily Sale entry '!$AD$1:$AD$1501,$J2494+1)),0))</f>
        <v/>
      </c>
      <c r="H2494" s="6">
        <f>IF($J2494="","",ROUND('Opening Balance'!$B$4+SUM($F$2:F2494)-SUM($G$2:G2494),2))</f>
        <v/>
      </c>
      <c r="J2494" s="21">
        <f>IFERROR(MATCH(ROW()-1,$L$2:$L$3001,0),"")</f>
        <v/>
      </c>
      <c r="K2494" s="34">
        <f>IF(AND('Daily Sale entry '!Q994="Collection 收款",'Daily Sale entry '!R994="Cheque 支票",'Daily Sale entry '!V994&lt;&gt;""),'Daily Sale entry '!V994+ROW()/10000000,"")</f>
        <v/>
      </c>
      <c r="L2494" s="21">
        <f>IF(K2494="","",COUNTIF($K$2:$K$3001,"&lt;"&amp;K2494)+1)</f>
        <v/>
      </c>
    </row>
    <row r="2495">
      <c r="A2495" s="5">
        <f>IF($J2495="","",IF($J2495&lt;=1500,INDEX('Daily Sale entry '!$X$1:$X$1501,$J2495+1),INDEX('Daily Sale entry '!$V$1:$V$1501,$J2495-1499)))</f>
        <v/>
      </c>
      <c r="B2495">
        <f>IF($J2495="","",IF($J2495&lt;=1500,INDEX('Daily Sale entry '!$Y$1:$Y$1501,$J2495+1)&amp;"","Buyer cheque banked 买家支票存入"&amp;IF(INDEX('Daily Sale entry '!$U$1:$U$1501,$J2495-1499)="","", " - "&amp;INDEX('Daily Sale entry '!$U$1:$U$1501,$J2495-1499))))</f>
        <v/>
      </c>
      <c r="C2495">
        <f>IF($J2495="","",IF($J2495&lt;=1500,INDEX('Daily Sale entry '!$Z$1:$Z$1501,$J2495+1)&amp;"","Cheque deposit 支票存入 (buyer 买家)"))</f>
        <v/>
      </c>
      <c r="D2495">
        <f>IF($J2495="","",IF($J2495&lt;=1500,INDEX('Daily Sale entry '!$AA$1:$AA$1501,$J2495+1)&amp;"",INDEX('Daily Sale entry '!$P$1:$P$1501,$J2495-1499)&amp;""))</f>
        <v/>
      </c>
      <c r="E2495">
        <f>IF($J2495="","",IF($J2495&lt;=1500,IF(N(INDEX('Daily Sale entry '!$AB$1:$AB$1501,$J2495+1))=0,"",INDEX('Daily Sale entry '!$AB$1:$AB$1501,$J2495+1)),1))</f>
        <v/>
      </c>
      <c r="F2495" s="6">
        <f>IF($J2495="","",IF($J2495&lt;=1500,N(INDEX('Daily Sale entry '!$AC$1:$AC$1501,$J2495+1))-IF(AND('Opening Balance'!$B$15=1,INDEX('Daily Sale entry '!$Z$1:$Z$1501,$J2495+1)="Online collection 网上收款",INDEX('Daily Sale entry '!$AA$1:$AA$1501,$J2495+1)&lt;&gt;""),N(INDEX('Daily Sale entry '!$AC$1:$AC$1501,$J2495+1))-TRUNC(N(INDEX('Daily Sale entry '!$AC$1:$AC$1501,$J2495+1))),0),N(INDEX('Daily Sale entry '!$S$1:$S$1501,$J2495-1499))-'Opening Balance'!$B$15*(N(INDEX('Daily Sale entry '!$S$1:$S$1501,$J2495-1499))-TRUNC(N(INDEX('Daily Sale entry '!$S$1:$S$1501,$J2495-1499))))))</f>
        <v/>
      </c>
      <c r="G2495" s="6">
        <f>IF($J2495="","",IF($J2495&lt;=1500,N(INDEX('Daily Sale entry '!$AD$1:$AD$1501,$J2495+1)),0))</f>
        <v/>
      </c>
      <c r="H2495" s="6">
        <f>IF($J2495="","",ROUND('Opening Balance'!$B$4+SUM($F$2:F2495)-SUM($G$2:G2495),2))</f>
        <v/>
      </c>
      <c r="J2495" s="21">
        <f>IFERROR(MATCH(ROW()-1,$L$2:$L$3001,0),"")</f>
        <v/>
      </c>
      <c r="K2495" s="34">
        <f>IF(AND('Daily Sale entry '!Q995="Collection 收款",'Daily Sale entry '!R995="Cheque 支票",'Daily Sale entry '!V995&lt;&gt;""),'Daily Sale entry '!V995+ROW()/10000000,"")</f>
        <v/>
      </c>
      <c r="L2495" s="21">
        <f>IF(K2495="","",COUNTIF($K$2:$K$3001,"&lt;"&amp;K2495)+1)</f>
        <v/>
      </c>
    </row>
    <row r="2496">
      <c r="A2496" s="5">
        <f>IF($J2496="","",IF($J2496&lt;=1500,INDEX('Daily Sale entry '!$X$1:$X$1501,$J2496+1),INDEX('Daily Sale entry '!$V$1:$V$1501,$J2496-1499)))</f>
        <v/>
      </c>
      <c r="B2496">
        <f>IF($J2496="","",IF($J2496&lt;=1500,INDEX('Daily Sale entry '!$Y$1:$Y$1501,$J2496+1)&amp;"","Buyer cheque banked 买家支票存入"&amp;IF(INDEX('Daily Sale entry '!$U$1:$U$1501,$J2496-1499)="","", " - "&amp;INDEX('Daily Sale entry '!$U$1:$U$1501,$J2496-1499))))</f>
        <v/>
      </c>
      <c r="C2496">
        <f>IF($J2496="","",IF($J2496&lt;=1500,INDEX('Daily Sale entry '!$Z$1:$Z$1501,$J2496+1)&amp;"","Cheque deposit 支票存入 (buyer 买家)"))</f>
        <v/>
      </c>
      <c r="D2496">
        <f>IF($J2496="","",IF($J2496&lt;=1500,INDEX('Daily Sale entry '!$AA$1:$AA$1501,$J2496+1)&amp;"",INDEX('Daily Sale entry '!$P$1:$P$1501,$J2496-1499)&amp;""))</f>
        <v/>
      </c>
      <c r="E2496">
        <f>IF($J2496="","",IF($J2496&lt;=1500,IF(N(INDEX('Daily Sale entry '!$AB$1:$AB$1501,$J2496+1))=0,"",INDEX('Daily Sale entry '!$AB$1:$AB$1501,$J2496+1)),1))</f>
        <v/>
      </c>
      <c r="F2496" s="6">
        <f>IF($J2496="","",IF($J2496&lt;=1500,N(INDEX('Daily Sale entry '!$AC$1:$AC$1501,$J2496+1))-IF(AND('Opening Balance'!$B$15=1,INDEX('Daily Sale entry '!$Z$1:$Z$1501,$J2496+1)="Online collection 网上收款",INDEX('Daily Sale entry '!$AA$1:$AA$1501,$J2496+1)&lt;&gt;""),N(INDEX('Daily Sale entry '!$AC$1:$AC$1501,$J2496+1))-TRUNC(N(INDEX('Daily Sale entry '!$AC$1:$AC$1501,$J2496+1))),0),N(INDEX('Daily Sale entry '!$S$1:$S$1501,$J2496-1499))-'Opening Balance'!$B$15*(N(INDEX('Daily Sale entry '!$S$1:$S$1501,$J2496-1499))-TRUNC(N(INDEX('Daily Sale entry '!$S$1:$S$1501,$J2496-1499))))))</f>
        <v/>
      </c>
      <c r="G2496" s="6">
        <f>IF($J2496="","",IF($J2496&lt;=1500,N(INDEX('Daily Sale entry '!$AD$1:$AD$1501,$J2496+1)),0))</f>
        <v/>
      </c>
      <c r="H2496" s="6">
        <f>IF($J2496="","",ROUND('Opening Balance'!$B$4+SUM($F$2:F2496)-SUM($G$2:G2496),2))</f>
        <v/>
      </c>
      <c r="J2496" s="21">
        <f>IFERROR(MATCH(ROW()-1,$L$2:$L$3001,0),"")</f>
        <v/>
      </c>
      <c r="K2496" s="34">
        <f>IF(AND('Daily Sale entry '!Q996="Collection 收款",'Daily Sale entry '!R996="Cheque 支票",'Daily Sale entry '!V996&lt;&gt;""),'Daily Sale entry '!V996+ROW()/10000000,"")</f>
        <v/>
      </c>
      <c r="L2496" s="21">
        <f>IF(K2496="","",COUNTIF($K$2:$K$3001,"&lt;"&amp;K2496)+1)</f>
        <v/>
      </c>
    </row>
    <row r="2497">
      <c r="A2497" s="5">
        <f>IF($J2497="","",IF($J2497&lt;=1500,INDEX('Daily Sale entry '!$X$1:$X$1501,$J2497+1),INDEX('Daily Sale entry '!$V$1:$V$1501,$J2497-1499)))</f>
        <v/>
      </c>
      <c r="B2497">
        <f>IF($J2497="","",IF($J2497&lt;=1500,INDEX('Daily Sale entry '!$Y$1:$Y$1501,$J2497+1)&amp;"","Buyer cheque banked 买家支票存入"&amp;IF(INDEX('Daily Sale entry '!$U$1:$U$1501,$J2497-1499)="","", " - "&amp;INDEX('Daily Sale entry '!$U$1:$U$1501,$J2497-1499))))</f>
        <v/>
      </c>
      <c r="C2497">
        <f>IF($J2497="","",IF($J2497&lt;=1500,INDEX('Daily Sale entry '!$Z$1:$Z$1501,$J2497+1)&amp;"","Cheque deposit 支票存入 (buyer 买家)"))</f>
        <v/>
      </c>
      <c r="D2497">
        <f>IF($J2497="","",IF($J2497&lt;=1500,INDEX('Daily Sale entry '!$AA$1:$AA$1501,$J2497+1)&amp;"",INDEX('Daily Sale entry '!$P$1:$P$1501,$J2497-1499)&amp;""))</f>
        <v/>
      </c>
      <c r="E2497">
        <f>IF($J2497="","",IF($J2497&lt;=1500,IF(N(INDEX('Daily Sale entry '!$AB$1:$AB$1501,$J2497+1))=0,"",INDEX('Daily Sale entry '!$AB$1:$AB$1501,$J2497+1)),1))</f>
        <v/>
      </c>
      <c r="F2497" s="6">
        <f>IF($J2497="","",IF($J2497&lt;=1500,N(INDEX('Daily Sale entry '!$AC$1:$AC$1501,$J2497+1))-IF(AND('Opening Balance'!$B$15=1,INDEX('Daily Sale entry '!$Z$1:$Z$1501,$J2497+1)="Online collection 网上收款",INDEX('Daily Sale entry '!$AA$1:$AA$1501,$J2497+1)&lt;&gt;""),N(INDEX('Daily Sale entry '!$AC$1:$AC$1501,$J2497+1))-TRUNC(N(INDEX('Daily Sale entry '!$AC$1:$AC$1501,$J2497+1))),0),N(INDEX('Daily Sale entry '!$S$1:$S$1501,$J2497-1499))-'Opening Balance'!$B$15*(N(INDEX('Daily Sale entry '!$S$1:$S$1501,$J2497-1499))-TRUNC(N(INDEX('Daily Sale entry '!$S$1:$S$1501,$J2497-1499))))))</f>
        <v/>
      </c>
      <c r="G2497" s="6">
        <f>IF($J2497="","",IF($J2497&lt;=1500,N(INDEX('Daily Sale entry '!$AD$1:$AD$1501,$J2497+1)),0))</f>
        <v/>
      </c>
      <c r="H2497" s="6">
        <f>IF($J2497="","",ROUND('Opening Balance'!$B$4+SUM($F$2:F2497)-SUM($G$2:G2497),2))</f>
        <v/>
      </c>
      <c r="J2497" s="21">
        <f>IFERROR(MATCH(ROW()-1,$L$2:$L$3001,0),"")</f>
        <v/>
      </c>
      <c r="K2497" s="34">
        <f>IF(AND('Daily Sale entry '!Q997="Collection 收款",'Daily Sale entry '!R997="Cheque 支票",'Daily Sale entry '!V997&lt;&gt;""),'Daily Sale entry '!V997+ROW()/10000000,"")</f>
        <v/>
      </c>
      <c r="L2497" s="21">
        <f>IF(K2497="","",COUNTIF($K$2:$K$3001,"&lt;"&amp;K2497)+1)</f>
        <v/>
      </c>
    </row>
    <row r="2498">
      <c r="A2498" s="5">
        <f>IF($J2498="","",IF($J2498&lt;=1500,INDEX('Daily Sale entry '!$X$1:$X$1501,$J2498+1),INDEX('Daily Sale entry '!$V$1:$V$1501,$J2498-1499)))</f>
        <v/>
      </c>
      <c r="B2498">
        <f>IF($J2498="","",IF($J2498&lt;=1500,INDEX('Daily Sale entry '!$Y$1:$Y$1501,$J2498+1)&amp;"","Buyer cheque banked 买家支票存入"&amp;IF(INDEX('Daily Sale entry '!$U$1:$U$1501,$J2498-1499)="","", " - "&amp;INDEX('Daily Sale entry '!$U$1:$U$1501,$J2498-1499))))</f>
        <v/>
      </c>
      <c r="C2498">
        <f>IF($J2498="","",IF($J2498&lt;=1500,INDEX('Daily Sale entry '!$Z$1:$Z$1501,$J2498+1)&amp;"","Cheque deposit 支票存入 (buyer 买家)"))</f>
        <v/>
      </c>
      <c r="D2498">
        <f>IF($J2498="","",IF($J2498&lt;=1500,INDEX('Daily Sale entry '!$AA$1:$AA$1501,$J2498+1)&amp;"",INDEX('Daily Sale entry '!$P$1:$P$1501,$J2498-1499)&amp;""))</f>
        <v/>
      </c>
      <c r="E2498">
        <f>IF($J2498="","",IF($J2498&lt;=1500,IF(N(INDEX('Daily Sale entry '!$AB$1:$AB$1501,$J2498+1))=0,"",INDEX('Daily Sale entry '!$AB$1:$AB$1501,$J2498+1)),1))</f>
        <v/>
      </c>
      <c r="F2498" s="6">
        <f>IF($J2498="","",IF($J2498&lt;=1500,N(INDEX('Daily Sale entry '!$AC$1:$AC$1501,$J2498+1))-IF(AND('Opening Balance'!$B$15=1,INDEX('Daily Sale entry '!$Z$1:$Z$1501,$J2498+1)="Online collection 网上收款",INDEX('Daily Sale entry '!$AA$1:$AA$1501,$J2498+1)&lt;&gt;""),N(INDEX('Daily Sale entry '!$AC$1:$AC$1501,$J2498+1))-TRUNC(N(INDEX('Daily Sale entry '!$AC$1:$AC$1501,$J2498+1))),0),N(INDEX('Daily Sale entry '!$S$1:$S$1501,$J2498-1499))-'Opening Balance'!$B$15*(N(INDEX('Daily Sale entry '!$S$1:$S$1501,$J2498-1499))-TRUNC(N(INDEX('Daily Sale entry '!$S$1:$S$1501,$J2498-1499))))))</f>
        <v/>
      </c>
      <c r="G2498" s="6">
        <f>IF($J2498="","",IF($J2498&lt;=1500,N(INDEX('Daily Sale entry '!$AD$1:$AD$1501,$J2498+1)),0))</f>
        <v/>
      </c>
      <c r="H2498" s="6">
        <f>IF($J2498="","",ROUND('Opening Balance'!$B$4+SUM($F$2:F2498)-SUM($G$2:G2498),2))</f>
        <v/>
      </c>
      <c r="J2498" s="21">
        <f>IFERROR(MATCH(ROW()-1,$L$2:$L$3001,0),"")</f>
        <v/>
      </c>
      <c r="K2498" s="34">
        <f>IF(AND('Daily Sale entry '!Q998="Collection 收款",'Daily Sale entry '!R998="Cheque 支票",'Daily Sale entry '!V998&lt;&gt;""),'Daily Sale entry '!V998+ROW()/10000000,"")</f>
        <v/>
      </c>
      <c r="L2498" s="21">
        <f>IF(K2498="","",COUNTIF($K$2:$K$3001,"&lt;"&amp;K2498)+1)</f>
        <v/>
      </c>
    </row>
    <row r="2499">
      <c r="A2499" s="5">
        <f>IF($J2499="","",IF($J2499&lt;=1500,INDEX('Daily Sale entry '!$X$1:$X$1501,$J2499+1),INDEX('Daily Sale entry '!$V$1:$V$1501,$J2499-1499)))</f>
        <v/>
      </c>
      <c r="B2499">
        <f>IF($J2499="","",IF($J2499&lt;=1500,INDEX('Daily Sale entry '!$Y$1:$Y$1501,$J2499+1)&amp;"","Buyer cheque banked 买家支票存入"&amp;IF(INDEX('Daily Sale entry '!$U$1:$U$1501,$J2499-1499)="","", " - "&amp;INDEX('Daily Sale entry '!$U$1:$U$1501,$J2499-1499))))</f>
        <v/>
      </c>
      <c r="C2499">
        <f>IF($J2499="","",IF($J2499&lt;=1500,INDEX('Daily Sale entry '!$Z$1:$Z$1501,$J2499+1)&amp;"","Cheque deposit 支票存入 (buyer 买家)"))</f>
        <v/>
      </c>
      <c r="D2499">
        <f>IF($J2499="","",IF($J2499&lt;=1500,INDEX('Daily Sale entry '!$AA$1:$AA$1501,$J2499+1)&amp;"",INDEX('Daily Sale entry '!$P$1:$P$1501,$J2499-1499)&amp;""))</f>
        <v/>
      </c>
      <c r="E2499">
        <f>IF($J2499="","",IF($J2499&lt;=1500,IF(N(INDEX('Daily Sale entry '!$AB$1:$AB$1501,$J2499+1))=0,"",INDEX('Daily Sale entry '!$AB$1:$AB$1501,$J2499+1)),1))</f>
        <v/>
      </c>
      <c r="F2499" s="6">
        <f>IF($J2499="","",IF($J2499&lt;=1500,N(INDEX('Daily Sale entry '!$AC$1:$AC$1501,$J2499+1))-IF(AND('Opening Balance'!$B$15=1,INDEX('Daily Sale entry '!$Z$1:$Z$1501,$J2499+1)="Online collection 网上收款",INDEX('Daily Sale entry '!$AA$1:$AA$1501,$J2499+1)&lt;&gt;""),N(INDEX('Daily Sale entry '!$AC$1:$AC$1501,$J2499+1))-TRUNC(N(INDEX('Daily Sale entry '!$AC$1:$AC$1501,$J2499+1))),0),N(INDEX('Daily Sale entry '!$S$1:$S$1501,$J2499-1499))-'Opening Balance'!$B$15*(N(INDEX('Daily Sale entry '!$S$1:$S$1501,$J2499-1499))-TRUNC(N(INDEX('Daily Sale entry '!$S$1:$S$1501,$J2499-1499))))))</f>
        <v/>
      </c>
      <c r="G2499" s="6">
        <f>IF($J2499="","",IF($J2499&lt;=1500,N(INDEX('Daily Sale entry '!$AD$1:$AD$1501,$J2499+1)),0))</f>
        <v/>
      </c>
      <c r="H2499" s="6">
        <f>IF($J2499="","",ROUND('Opening Balance'!$B$4+SUM($F$2:F2499)-SUM($G$2:G2499),2))</f>
        <v/>
      </c>
      <c r="J2499" s="21">
        <f>IFERROR(MATCH(ROW()-1,$L$2:$L$3001,0),"")</f>
        <v/>
      </c>
      <c r="K2499" s="34">
        <f>IF(AND('Daily Sale entry '!Q999="Collection 收款",'Daily Sale entry '!R999="Cheque 支票",'Daily Sale entry '!V999&lt;&gt;""),'Daily Sale entry '!V999+ROW()/10000000,"")</f>
        <v/>
      </c>
      <c r="L2499" s="21">
        <f>IF(K2499="","",COUNTIF($K$2:$K$3001,"&lt;"&amp;K2499)+1)</f>
        <v/>
      </c>
    </row>
    <row r="2500">
      <c r="A2500" s="5">
        <f>IF($J2500="","",IF($J2500&lt;=1500,INDEX('Daily Sale entry '!$X$1:$X$1501,$J2500+1),INDEX('Daily Sale entry '!$V$1:$V$1501,$J2500-1499)))</f>
        <v/>
      </c>
      <c r="B2500">
        <f>IF($J2500="","",IF($J2500&lt;=1500,INDEX('Daily Sale entry '!$Y$1:$Y$1501,$J2500+1)&amp;"","Buyer cheque banked 买家支票存入"&amp;IF(INDEX('Daily Sale entry '!$U$1:$U$1501,$J2500-1499)="","", " - "&amp;INDEX('Daily Sale entry '!$U$1:$U$1501,$J2500-1499))))</f>
        <v/>
      </c>
      <c r="C2500">
        <f>IF($J2500="","",IF($J2500&lt;=1500,INDEX('Daily Sale entry '!$Z$1:$Z$1501,$J2500+1)&amp;"","Cheque deposit 支票存入 (buyer 买家)"))</f>
        <v/>
      </c>
      <c r="D2500">
        <f>IF($J2500="","",IF($J2500&lt;=1500,INDEX('Daily Sale entry '!$AA$1:$AA$1501,$J2500+1)&amp;"",INDEX('Daily Sale entry '!$P$1:$P$1501,$J2500-1499)&amp;""))</f>
        <v/>
      </c>
      <c r="E2500">
        <f>IF($J2500="","",IF($J2500&lt;=1500,IF(N(INDEX('Daily Sale entry '!$AB$1:$AB$1501,$J2500+1))=0,"",INDEX('Daily Sale entry '!$AB$1:$AB$1501,$J2500+1)),1))</f>
        <v/>
      </c>
      <c r="F2500" s="6">
        <f>IF($J2500="","",IF($J2500&lt;=1500,N(INDEX('Daily Sale entry '!$AC$1:$AC$1501,$J2500+1))-IF(AND('Opening Balance'!$B$15=1,INDEX('Daily Sale entry '!$Z$1:$Z$1501,$J2500+1)="Online collection 网上收款",INDEX('Daily Sale entry '!$AA$1:$AA$1501,$J2500+1)&lt;&gt;""),N(INDEX('Daily Sale entry '!$AC$1:$AC$1501,$J2500+1))-TRUNC(N(INDEX('Daily Sale entry '!$AC$1:$AC$1501,$J2500+1))),0),N(INDEX('Daily Sale entry '!$S$1:$S$1501,$J2500-1499))-'Opening Balance'!$B$15*(N(INDEX('Daily Sale entry '!$S$1:$S$1501,$J2500-1499))-TRUNC(N(INDEX('Daily Sale entry '!$S$1:$S$1501,$J2500-1499))))))</f>
        <v/>
      </c>
      <c r="G2500" s="6">
        <f>IF($J2500="","",IF($J2500&lt;=1500,N(INDEX('Daily Sale entry '!$AD$1:$AD$1501,$J2500+1)),0))</f>
        <v/>
      </c>
      <c r="H2500" s="6">
        <f>IF($J2500="","",ROUND('Opening Balance'!$B$4+SUM($F$2:F2500)-SUM($G$2:G2500),2))</f>
        <v/>
      </c>
      <c r="J2500" s="21">
        <f>IFERROR(MATCH(ROW()-1,$L$2:$L$3001,0),"")</f>
        <v/>
      </c>
      <c r="K2500" s="34">
        <f>IF(AND('Daily Sale entry '!Q1000="Collection 收款",'Daily Sale entry '!R1000="Cheque 支票",'Daily Sale entry '!V1000&lt;&gt;""),'Daily Sale entry '!V1000+ROW()/10000000,"")</f>
        <v/>
      </c>
      <c r="L2500" s="21">
        <f>IF(K2500="","",COUNTIF($K$2:$K$3001,"&lt;"&amp;K2500)+1)</f>
        <v/>
      </c>
    </row>
    <row r="2501">
      <c r="A2501" s="5">
        <f>IF($J2501="","",IF($J2501&lt;=1500,INDEX('Daily Sale entry '!$X$1:$X$1501,$J2501+1),INDEX('Daily Sale entry '!$V$1:$V$1501,$J2501-1499)))</f>
        <v/>
      </c>
      <c r="B2501">
        <f>IF($J2501="","",IF($J2501&lt;=1500,INDEX('Daily Sale entry '!$Y$1:$Y$1501,$J2501+1)&amp;"","Buyer cheque banked 买家支票存入"&amp;IF(INDEX('Daily Sale entry '!$U$1:$U$1501,$J2501-1499)="","", " - "&amp;INDEX('Daily Sale entry '!$U$1:$U$1501,$J2501-1499))))</f>
        <v/>
      </c>
      <c r="C2501">
        <f>IF($J2501="","",IF($J2501&lt;=1500,INDEX('Daily Sale entry '!$Z$1:$Z$1501,$J2501+1)&amp;"","Cheque deposit 支票存入 (buyer 买家)"))</f>
        <v/>
      </c>
      <c r="D2501">
        <f>IF($J2501="","",IF($J2501&lt;=1500,INDEX('Daily Sale entry '!$AA$1:$AA$1501,$J2501+1)&amp;"",INDEX('Daily Sale entry '!$P$1:$P$1501,$J2501-1499)&amp;""))</f>
        <v/>
      </c>
      <c r="E2501">
        <f>IF($J2501="","",IF($J2501&lt;=1500,IF(N(INDEX('Daily Sale entry '!$AB$1:$AB$1501,$J2501+1))=0,"",INDEX('Daily Sale entry '!$AB$1:$AB$1501,$J2501+1)),1))</f>
        <v/>
      </c>
      <c r="F2501" s="6">
        <f>IF($J2501="","",IF($J2501&lt;=1500,N(INDEX('Daily Sale entry '!$AC$1:$AC$1501,$J2501+1))-IF(AND('Opening Balance'!$B$15=1,INDEX('Daily Sale entry '!$Z$1:$Z$1501,$J2501+1)="Online collection 网上收款",INDEX('Daily Sale entry '!$AA$1:$AA$1501,$J2501+1)&lt;&gt;""),N(INDEX('Daily Sale entry '!$AC$1:$AC$1501,$J2501+1))-TRUNC(N(INDEX('Daily Sale entry '!$AC$1:$AC$1501,$J2501+1))),0),N(INDEX('Daily Sale entry '!$S$1:$S$1501,$J2501-1499))-'Opening Balance'!$B$15*(N(INDEX('Daily Sale entry '!$S$1:$S$1501,$J2501-1499))-TRUNC(N(INDEX('Daily Sale entry '!$S$1:$S$1501,$J2501-1499))))))</f>
        <v/>
      </c>
      <c r="G2501" s="6">
        <f>IF($J2501="","",IF($J2501&lt;=1500,N(INDEX('Daily Sale entry '!$AD$1:$AD$1501,$J2501+1)),0))</f>
        <v/>
      </c>
      <c r="H2501" s="6">
        <f>IF($J2501="","",ROUND('Opening Balance'!$B$4+SUM($F$2:F2501)-SUM($G$2:G2501),2))</f>
        <v/>
      </c>
      <c r="J2501" s="21">
        <f>IFERROR(MATCH(ROW()-1,$L$2:$L$3001,0),"")</f>
        <v/>
      </c>
      <c r="K2501" s="34">
        <f>IF(AND('Daily Sale entry '!Q1001="Collection 收款",'Daily Sale entry '!R1001="Cheque 支票",'Daily Sale entry '!V1001&lt;&gt;""),'Daily Sale entry '!V1001+ROW()/10000000,"")</f>
        <v/>
      </c>
      <c r="L2501" s="21">
        <f>IF(K2501="","",COUNTIF($K$2:$K$3001,"&lt;"&amp;K2501)+1)</f>
        <v/>
      </c>
    </row>
    <row r="2502">
      <c r="A2502" s="5">
        <f>IF($J2502="","",IF($J2502&lt;=1500,INDEX('Daily Sale entry '!$X$1:$X$1501,$J2502+1),INDEX('Daily Sale entry '!$V$1:$V$1501,$J2502-1499)))</f>
        <v/>
      </c>
      <c r="B2502">
        <f>IF($J2502="","",IF($J2502&lt;=1500,INDEX('Daily Sale entry '!$Y$1:$Y$1501,$J2502+1)&amp;"","Buyer cheque banked 买家支票存入"&amp;IF(INDEX('Daily Sale entry '!$U$1:$U$1501,$J2502-1499)="","", " - "&amp;INDEX('Daily Sale entry '!$U$1:$U$1501,$J2502-1499))))</f>
        <v/>
      </c>
      <c r="C2502">
        <f>IF($J2502="","",IF($J2502&lt;=1500,INDEX('Daily Sale entry '!$Z$1:$Z$1501,$J2502+1)&amp;"","Cheque deposit 支票存入 (buyer 买家)"))</f>
        <v/>
      </c>
      <c r="D2502">
        <f>IF($J2502="","",IF($J2502&lt;=1500,INDEX('Daily Sale entry '!$AA$1:$AA$1501,$J2502+1)&amp;"",INDEX('Daily Sale entry '!$P$1:$P$1501,$J2502-1499)&amp;""))</f>
        <v/>
      </c>
      <c r="E2502">
        <f>IF($J2502="","",IF($J2502&lt;=1500,IF(N(INDEX('Daily Sale entry '!$AB$1:$AB$1501,$J2502+1))=0,"",INDEX('Daily Sale entry '!$AB$1:$AB$1501,$J2502+1)),1))</f>
        <v/>
      </c>
      <c r="F2502" s="6">
        <f>IF($J2502="","",IF($J2502&lt;=1500,N(INDEX('Daily Sale entry '!$AC$1:$AC$1501,$J2502+1))-IF(AND('Opening Balance'!$B$15=1,INDEX('Daily Sale entry '!$Z$1:$Z$1501,$J2502+1)="Online collection 网上收款",INDEX('Daily Sale entry '!$AA$1:$AA$1501,$J2502+1)&lt;&gt;""),N(INDEX('Daily Sale entry '!$AC$1:$AC$1501,$J2502+1))-TRUNC(N(INDEX('Daily Sale entry '!$AC$1:$AC$1501,$J2502+1))),0),N(INDEX('Daily Sale entry '!$S$1:$S$1501,$J2502-1499))-'Opening Balance'!$B$15*(N(INDEX('Daily Sale entry '!$S$1:$S$1501,$J2502-1499))-TRUNC(N(INDEX('Daily Sale entry '!$S$1:$S$1501,$J2502-1499))))))</f>
        <v/>
      </c>
      <c r="G2502" s="6">
        <f>IF($J2502="","",IF($J2502&lt;=1500,N(INDEX('Daily Sale entry '!$AD$1:$AD$1501,$J2502+1)),0))</f>
        <v/>
      </c>
      <c r="H2502" s="6">
        <f>IF($J2502="","",ROUND('Opening Balance'!$B$4+SUM($F$2:F2502)-SUM($G$2:G2502),2))</f>
        <v/>
      </c>
      <c r="J2502" s="21">
        <f>IFERROR(MATCH(ROW()-1,$L$2:$L$3001,0),"")</f>
        <v/>
      </c>
      <c r="K2502" s="34">
        <f>IF(AND('Daily Sale entry '!Q1002="Collection 收款",'Daily Sale entry '!R1002="Cheque 支票",'Daily Sale entry '!V1002&lt;&gt;""),'Daily Sale entry '!V1002+ROW()/10000000,"")</f>
        <v/>
      </c>
      <c r="L2502" s="21">
        <f>IF(K2502="","",COUNTIF($K$2:$K$3001,"&lt;"&amp;K2502)+1)</f>
        <v/>
      </c>
    </row>
    <row r="2503">
      <c r="A2503" s="5">
        <f>IF($J2503="","",IF($J2503&lt;=1500,INDEX('Daily Sale entry '!$X$1:$X$1501,$J2503+1),INDEX('Daily Sale entry '!$V$1:$V$1501,$J2503-1499)))</f>
        <v/>
      </c>
      <c r="B2503">
        <f>IF($J2503="","",IF($J2503&lt;=1500,INDEX('Daily Sale entry '!$Y$1:$Y$1501,$J2503+1)&amp;"","Buyer cheque banked 买家支票存入"&amp;IF(INDEX('Daily Sale entry '!$U$1:$U$1501,$J2503-1499)="","", " - "&amp;INDEX('Daily Sale entry '!$U$1:$U$1501,$J2503-1499))))</f>
        <v/>
      </c>
      <c r="C2503">
        <f>IF($J2503="","",IF($J2503&lt;=1500,INDEX('Daily Sale entry '!$Z$1:$Z$1501,$J2503+1)&amp;"","Cheque deposit 支票存入 (buyer 买家)"))</f>
        <v/>
      </c>
      <c r="D2503">
        <f>IF($J2503="","",IF($J2503&lt;=1500,INDEX('Daily Sale entry '!$AA$1:$AA$1501,$J2503+1)&amp;"",INDEX('Daily Sale entry '!$P$1:$P$1501,$J2503-1499)&amp;""))</f>
        <v/>
      </c>
      <c r="E2503">
        <f>IF($J2503="","",IF($J2503&lt;=1500,IF(N(INDEX('Daily Sale entry '!$AB$1:$AB$1501,$J2503+1))=0,"",INDEX('Daily Sale entry '!$AB$1:$AB$1501,$J2503+1)),1))</f>
        <v/>
      </c>
      <c r="F2503" s="6">
        <f>IF($J2503="","",IF($J2503&lt;=1500,N(INDEX('Daily Sale entry '!$AC$1:$AC$1501,$J2503+1))-IF(AND('Opening Balance'!$B$15=1,INDEX('Daily Sale entry '!$Z$1:$Z$1501,$J2503+1)="Online collection 网上收款",INDEX('Daily Sale entry '!$AA$1:$AA$1501,$J2503+1)&lt;&gt;""),N(INDEX('Daily Sale entry '!$AC$1:$AC$1501,$J2503+1))-TRUNC(N(INDEX('Daily Sale entry '!$AC$1:$AC$1501,$J2503+1))),0),N(INDEX('Daily Sale entry '!$S$1:$S$1501,$J2503-1499))-'Opening Balance'!$B$15*(N(INDEX('Daily Sale entry '!$S$1:$S$1501,$J2503-1499))-TRUNC(N(INDEX('Daily Sale entry '!$S$1:$S$1501,$J2503-1499))))))</f>
        <v/>
      </c>
      <c r="G2503" s="6">
        <f>IF($J2503="","",IF($J2503&lt;=1500,N(INDEX('Daily Sale entry '!$AD$1:$AD$1501,$J2503+1)),0))</f>
        <v/>
      </c>
      <c r="H2503" s="6">
        <f>IF($J2503="","",ROUND('Opening Balance'!$B$4+SUM($F$2:F2503)-SUM($G$2:G2503),2))</f>
        <v/>
      </c>
      <c r="J2503" s="21">
        <f>IFERROR(MATCH(ROW()-1,$L$2:$L$3001,0),"")</f>
        <v/>
      </c>
      <c r="K2503" s="34">
        <f>IF(AND('Daily Sale entry '!Q1003="Collection 收款",'Daily Sale entry '!R1003="Cheque 支票",'Daily Sale entry '!V1003&lt;&gt;""),'Daily Sale entry '!V1003+ROW()/10000000,"")</f>
        <v/>
      </c>
      <c r="L2503" s="21">
        <f>IF(K2503="","",COUNTIF($K$2:$K$3001,"&lt;"&amp;K2503)+1)</f>
        <v/>
      </c>
    </row>
    <row r="2504">
      <c r="A2504" s="5">
        <f>IF($J2504="","",IF($J2504&lt;=1500,INDEX('Daily Sale entry '!$X$1:$X$1501,$J2504+1),INDEX('Daily Sale entry '!$V$1:$V$1501,$J2504-1499)))</f>
        <v/>
      </c>
      <c r="B2504">
        <f>IF($J2504="","",IF($J2504&lt;=1500,INDEX('Daily Sale entry '!$Y$1:$Y$1501,$J2504+1)&amp;"","Buyer cheque banked 买家支票存入"&amp;IF(INDEX('Daily Sale entry '!$U$1:$U$1501,$J2504-1499)="","", " - "&amp;INDEX('Daily Sale entry '!$U$1:$U$1501,$J2504-1499))))</f>
        <v/>
      </c>
      <c r="C2504">
        <f>IF($J2504="","",IF($J2504&lt;=1500,INDEX('Daily Sale entry '!$Z$1:$Z$1501,$J2504+1)&amp;"","Cheque deposit 支票存入 (buyer 买家)"))</f>
        <v/>
      </c>
      <c r="D2504">
        <f>IF($J2504="","",IF($J2504&lt;=1500,INDEX('Daily Sale entry '!$AA$1:$AA$1501,$J2504+1)&amp;"",INDEX('Daily Sale entry '!$P$1:$P$1501,$J2504-1499)&amp;""))</f>
        <v/>
      </c>
      <c r="E2504">
        <f>IF($J2504="","",IF($J2504&lt;=1500,IF(N(INDEX('Daily Sale entry '!$AB$1:$AB$1501,$J2504+1))=0,"",INDEX('Daily Sale entry '!$AB$1:$AB$1501,$J2504+1)),1))</f>
        <v/>
      </c>
      <c r="F2504" s="6">
        <f>IF($J2504="","",IF($J2504&lt;=1500,N(INDEX('Daily Sale entry '!$AC$1:$AC$1501,$J2504+1))-IF(AND('Opening Balance'!$B$15=1,INDEX('Daily Sale entry '!$Z$1:$Z$1501,$J2504+1)="Online collection 网上收款",INDEX('Daily Sale entry '!$AA$1:$AA$1501,$J2504+1)&lt;&gt;""),N(INDEX('Daily Sale entry '!$AC$1:$AC$1501,$J2504+1))-TRUNC(N(INDEX('Daily Sale entry '!$AC$1:$AC$1501,$J2504+1))),0),N(INDEX('Daily Sale entry '!$S$1:$S$1501,$J2504-1499))-'Opening Balance'!$B$15*(N(INDEX('Daily Sale entry '!$S$1:$S$1501,$J2504-1499))-TRUNC(N(INDEX('Daily Sale entry '!$S$1:$S$1501,$J2504-1499))))))</f>
        <v/>
      </c>
      <c r="G2504" s="6">
        <f>IF($J2504="","",IF($J2504&lt;=1500,N(INDEX('Daily Sale entry '!$AD$1:$AD$1501,$J2504+1)),0))</f>
        <v/>
      </c>
      <c r="H2504" s="6">
        <f>IF($J2504="","",ROUND('Opening Balance'!$B$4+SUM($F$2:F2504)-SUM($G$2:G2504),2))</f>
        <v/>
      </c>
      <c r="J2504" s="21">
        <f>IFERROR(MATCH(ROW()-1,$L$2:$L$3001,0),"")</f>
        <v/>
      </c>
      <c r="K2504" s="34">
        <f>IF(AND('Daily Sale entry '!Q1004="Collection 收款",'Daily Sale entry '!R1004="Cheque 支票",'Daily Sale entry '!V1004&lt;&gt;""),'Daily Sale entry '!V1004+ROW()/10000000,"")</f>
        <v/>
      </c>
      <c r="L2504" s="21">
        <f>IF(K2504="","",COUNTIF($K$2:$K$3001,"&lt;"&amp;K2504)+1)</f>
        <v/>
      </c>
    </row>
    <row r="2505">
      <c r="A2505" s="5">
        <f>IF($J2505="","",IF($J2505&lt;=1500,INDEX('Daily Sale entry '!$X$1:$X$1501,$J2505+1),INDEX('Daily Sale entry '!$V$1:$V$1501,$J2505-1499)))</f>
        <v/>
      </c>
      <c r="B2505">
        <f>IF($J2505="","",IF($J2505&lt;=1500,INDEX('Daily Sale entry '!$Y$1:$Y$1501,$J2505+1)&amp;"","Buyer cheque banked 买家支票存入"&amp;IF(INDEX('Daily Sale entry '!$U$1:$U$1501,$J2505-1499)="","", " - "&amp;INDEX('Daily Sale entry '!$U$1:$U$1501,$J2505-1499))))</f>
        <v/>
      </c>
      <c r="C2505">
        <f>IF($J2505="","",IF($J2505&lt;=1500,INDEX('Daily Sale entry '!$Z$1:$Z$1501,$J2505+1)&amp;"","Cheque deposit 支票存入 (buyer 买家)"))</f>
        <v/>
      </c>
      <c r="D2505">
        <f>IF($J2505="","",IF($J2505&lt;=1500,INDEX('Daily Sale entry '!$AA$1:$AA$1501,$J2505+1)&amp;"",INDEX('Daily Sale entry '!$P$1:$P$1501,$J2505-1499)&amp;""))</f>
        <v/>
      </c>
      <c r="E2505">
        <f>IF($J2505="","",IF($J2505&lt;=1500,IF(N(INDEX('Daily Sale entry '!$AB$1:$AB$1501,$J2505+1))=0,"",INDEX('Daily Sale entry '!$AB$1:$AB$1501,$J2505+1)),1))</f>
        <v/>
      </c>
      <c r="F2505" s="6">
        <f>IF($J2505="","",IF($J2505&lt;=1500,N(INDEX('Daily Sale entry '!$AC$1:$AC$1501,$J2505+1))-IF(AND('Opening Balance'!$B$15=1,INDEX('Daily Sale entry '!$Z$1:$Z$1501,$J2505+1)="Online collection 网上收款",INDEX('Daily Sale entry '!$AA$1:$AA$1501,$J2505+1)&lt;&gt;""),N(INDEX('Daily Sale entry '!$AC$1:$AC$1501,$J2505+1))-TRUNC(N(INDEX('Daily Sale entry '!$AC$1:$AC$1501,$J2505+1))),0),N(INDEX('Daily Sale entry '!$S$1:$S$1501,$J2505-1499))-'Opening Balance'!$B$15*(N(INDEX('Daily Sale entry '!$S$1:$S$1501,$J2505-1499))-TRUNC(N(INDEX('Daily Sale entry '!$S$1:$S$1501,$J2505-1499))))))</f>
        <v/>
      </c>
      <c r="G2505" s="6">
        <f>IF($J2505="","",IF($J2505&lt;=1500,N(INDEX('Daily Sale entry '!$AD$1:$AD$1501,$J2505+1)),0))</f>
        <v/>
      </c>
      <c r="H2505" s="6">
        <f>IF($J2505="","",ROUND('Opening Balance'!$B$4+SUM($F$2:F2505)-SUM($G$2:G2505),2))</f>
        <v/>
      </c>
      <c r="J2505" s="21">
        <f>IFERROR(MATCH(ROW()-1,$L$2:$L$3001,0),"")</f>
        <v/>
      </c>
      <c r="K2505" s="34">
        <f>IF(AND('Daily Sale entry '!Q1005="Collection 收款",'Daily Sale entry '!R1005="Cheque 支票",'Daily Sale entry '!V1005&lt;&gt;""),'Daily Sale entry '!V1005+ROW()/10000000,"")</f>
        <v/>
      </c>
      <c r="L2505" s="21">
        <f>IF(K2505="","",COUNTIF($K$2:$K$3001,"&lt;"&amp;K2505)+1)</f>
        <v/>
      </c>
    </row>
    <row r="2506">
      <c r="A2506" s="5">
        <f>IF($J2506="","",IF($J2506&lt;=1500,INDEX('Daily Sale entry '!$X$1:$X$1501,$J2506+1),INDEX('Daily Sale entry '!$V$1:$V$1501,$J2506-1499)))</f>
        <v/>
      </c>
      <c r="B2506">
        <f>IF($J2506="","",IF($J2506&lt;=1500,INDEX('Daily Sale entry '!$Y$1:$Y$1501,$J2506+1)&amp;"","Buyer cheque banked 买家支票存入"&amp;IF(INDEX('Daily Sale entry '!$U$1:$U$1501,$J2506-1499)="","", " - "&amp;INDEX('Daily Sale entry '!$U$1:$U$1501,$J2506-1499))))</f>
        <v/>
      </c>
      <c r="C2506">
        <f>IF($J2506="","",IF($J2506&lt;=1500,INDEX('Daily Sale entry '!$Z$1:$Z$1501,$J2506+1)&amp;"","Cheque deposit 支票存入 (buyer 买家)"))</f>
        <v/>
      </c>
      <c r="D2506">
        <f>IF($J2506="","",IF($J2506&lt;=1500,INDEX('Daily Sale entry '!$AA$1:$AA$1501,$J2506+1)&amp;"",INDEX('Daily Sale entry '!$P$1:$P$1501,$J2506-1499)&amp;""))</f>
        <v/>
      </c>
      <c r="E2506">
        <f>IF($J2506="","",IF($J2506&lt;=1500,IF(N(INDEX('Daily Sale entry '!$AB$1:$AB$1501,$J2506+1))=0,"",INDEX('Daily Sale entry '!$AB$1:$AB$1501,$J2506+1)),1))</f>
        <v/>
      </c>
      <c r="F2506" s="6">
        <f>IF($J2506="","",IF($J2506&lt;=1500,N(INDEX('Daily Sale entry '!$AC$1:$AC$1501,$J2506+1))-IF(AND('Opening Balance'!$B$15=1,INDEX('Daily Sale entry '!$Z$1:$Z$1501,$J2506+1)="Online collection 网上收款",INDEX('Daily Sale entry '!$AA$1:$AA$1501,$J2506+1)&lt;&gt;""),N(INDEX('Daily Sale entry '!$AC$1:$AC$1501,$J2506+1))-TRUNC(N(INDEX('Daily Sale entry '!$AC$1:$AC$1501,$J2506+1))),0),N(INDEX('Daily Sale entry '!$S$1:$S$1501,$J2506-1499))-'Opening Balance'!$B$15*(N(INDEX('Daily Sale entry '!$S$1:$S$1501,$J2506-1499))-TRUNC(N(INDEX('Daily Sale entry '!$S$1:$S$1501,$J2506-1499))))))</f>
        <v/>
      </c>
      <c r="G2506" s="6">
        <f>IF($J2506="","",IF($J2506&lt;=1500,N(INDEX('Daily Sale entry '!$AD$1:$AD$1501,$J2506+1)),0))</f>
        <v/>
      </c>
      <c r="H2506" s="6">
        <f>IF($J2506="","",ROUND('Opening Balance'!$B$4+SUM($F$2:F2506)-SUM($G$2:G2506),2))</f>
        <v/>
      </c>
      <c r="J2506" s="21">
        <f>IFERROR(MATCH(ROW()-1,$L$2:$L$3001,0),"")</f>
        <v/>
      </c>
      <c r="K2506" s="34">
        <f>IF(AND('Daily Sale entry '!Q1006="Collection 收款",'Daily Sale entry '!R1006="Cheque 支票",'Daily Sale entry '!V1006&lt;&gt;""),'Daily Sale entry '!V1006+ROW()/10000000,"")</f>
        <v/>
      </c>
      <c r="L2506" s="21">
        <f>IF(K2506="","",COUNTIF($K$2:$K$3001,"&lt;"&amp;K2506)+1)</f>
        <v/>
      </c>
    </row>
    <row r="2507">
      <c r="A2507" s="5">
        <f>IF($J2507="","",IF($J2507&lt;=1500,INDEX('Daily Sale entry '!$X$1:$X$1501,$J2507+1),INDEX('Daily Sale entry '!$V$1:$V$1501,$J2507-1499)))</f>
        <v/>
      </c>
      <c r="B2507">
        <f>IF($J2507="","",IF($J2507&lt;=1500,INDEX('Daily Sale entry '!$Y$1:$Y$1501,$J2507+1)&amp;"","Buyer cheque banked 买家支票存入"&amp;IF(INDEX('Daily Sale entry '!$U$1:$U$1501,$J2507-1499)="","", " - "&amp;INDEX('Daily Sale entry '!$U$1:$U$1501,$J2507-1499))))</f>
        <v/>
      </c>
      <c r="C2507">
        <f>IF($J2507="","",IF($J2507&lt;=1500,INDEX('Daily Sale entry '!$Z$1:$Z$1501,$J2507+1)&amp;"","Cheque deposit 支票存入 (buyer 买家)"))</f>
        <v/>
      </c>
      <c r="D2507">
        <f>IF($J2507="","",IF($J2507&lt;=1500,INDEX('Daily Sale entry '!$AA$1:$AA$1501,$J2507+1)&amp;"",INDEX('Daily Sale entry '!$P$1:$P$1501,$J2507-1499)&amp;""))</f>
        <v/>
      </c>
      <c r="E2507">
        <f>IF($J2507="","",IF($J2507&lt;=1500,IF(N(INDEX('Daily Sale entry '!$AB$1:$AB$1501,$J2507+1))=0,"",INDEX('Daily Sale entry '!$AB$1:$AB$1501,$J2507+1)),1))</f>
        <v/>
      </c>
      <c r="F2507" s="6">
        <f>IF($J2507="","",IF($J2507&lt;=1500,N(INDEX('Daily Sale entry '!$AC$1:$AC$1501,$J2507+1))-IF(AND('Opening Balance'!$B$15=1,INDEX('Daily Sale entry '!$Z$1:$Z$1501,$J2507+1)="Online collection 网上收款",INDEX('Daily Sale entry '!$AA$1:$AA$1501,$J2507+1)&lt;&gt;""),N(INDEX('Daily Sale entry '!$AC$1:$AC$1501,$J2507+1))-TRUNC(N(INDEX('Daily Sale entry '!$AC$1:$AC$1501,$J2507+1))),0),N(INDEX('Daily Sale entry '!$S$1:$S$1501,$J2507-1499))-'Opening Balance'!$B$15*(N(INDEX('Daily Sale entry '!$S$1:$S$1501,$J2507-1499))-TRUNC(N(INDEX('Daily Sale entry '!$S$1:$S$1501,$J2507-1499))))))</f>
        <v/>
      </c>
      <c r="G2507" s="6">
        <f>IF($J2507="","",IF($J2507&lt;=1500,N(INDEX('Daily Sale entry '!$AD$1:$AD$1501,$J2507+1)),0))</f>
        <v/>
      </c>
      <c r="H2507" s="6">
        <f>IF($J2507="","",ROUND('Opening Balance'!$B$4+SUM($F$2:F2507)-SUM($G$2:G2507),2))</f>
        <v/>
      </c>
      <c r="J2507" s="21">
        <f>IFERROR(MATCH(ROW()-1,$L$2:$L$3001,0),"")</f>
        <v/>
      </c>
      <c r="K2507" s="34">
        <f>IF(AND('Daily Sale entry '!Q1007="Collection 收款",'Daily Sale entry '!R1007="Cheque 支票",'Daily Sale entry '!V1007&lt;&gt;""),'Daily Sale entry '!V1007+ROW()/10000000,"")</f>
        <v/>
      </c>
      <c r="L2507" s="21">
        <f>IF(K2507="","",COUNTIF($K$2:$K$3001,"&lt;"&amp;K2507)+1)</f>
        <v/>
      </c>
    </row>
    <row r="2508">
      <c r="A2508" s="5">
        <f>IF($J2508="","",IF($J2508&lt;=1500,INDEX('Daily Sale entry '!$X$1:$X$1501,$J2508+1),INDEX('Daily Sale entry '!$V$1:$V$1501,$J2508-1499)))</f>
        <v/>
      </c>
      <c r="B2508">
        <f>IF($J2508="","",IF($J2508&lt;=1500,INDEX('Daily Sale entry '!$Y$1:$Y$1501,$J2508+1)&amp;"","Buyer cheque banked 买家支票存入"&amp;IF(INDEX('Daily Sale entry '!$U$1:$U$1501,$J2508-1499)="","", " - "&amp;INDEX('Daily Sale entry '!$U$1:$U$1501,$J2508-1499))))</f>
        <v/>
      </c>
      <c r="C2508">
        <f>IF($J2508="","",IF($J2508&lt;=1500,INDEX('Daily Sale entry '!$Z$1:$Z$1501,$J2508+1)&amp;"","Cheque deposit 支票存入 (buyer 买家)"))</f>
        <v/>
      </c>
      <c r="D2508">
        <f>IF($J2508="","",IF($J2508&lt;=1500,INDEX('Daily Sale entry '!$AA$1:$AA$1501,$J2508+1)&amp;"",INDEX('Daily Sale entry '!$P$1:$P$1501,$J2508-1499)&amp;""))</f>
        <v/>
      </c>
      <c r="E2508">
        <f>IF($J2508="","",IF($J2508&lt;=1500,IF(N(INDEX('Daily Sale entry '!$AB$1:$AB$1501,$J2508+1))=0,"",INDEX('Daily Sale entry '!$AB$1:$AB$1501,$J2508+1)),1))</f>
        <v/>
      </c>
      <c r="F2508" s="6">
        <f>IF($J2508="","",IF($J2508&lt;=1500,N(INDEX('Daily Sale entry '!$AC$1:$AC$1501,$J2508+1))-IF(AND('Opening Balance'!$B$15=1,INDEX('Daily Sale entry '!$Z$1:$Z$1501,$J2508+1)="Online collection 网上收款",INDEX('Daily Sale entry '!$AA$1:$AA$1501,$J2508+1)&lt;&gt;""),N(INDEX('Daily Sale entry '!$AC$1:$AC$1501,$J2508+1))-TRUNC(N(INDEX('Daily Sale entry '!$AC$1:$AC$1501,$J2508+1))),0),N(INDEX('Daily Sale entry '!$S$1:$S$1501,$J2508-1499))-'Opening Balance'!$B$15*(N(INDEX('Daily Sale entry '!$S$1:$S$1501,$J2508-1499))-TRUNC(N(INDEX('Daily Sale entry '!$S$1:$S$1501,$J2508-1499))))))</f>
        <v/>
      </c>
      <c r="G2508" s="6">
        <f>IF($J2508="","",IF($J2508&lt;=1500,N(INDEX('Daily Sale entry '!$AD$1:$AD$1501,$J2508+1)),0))</f>
        <v/>
      </c>
      <c r="H2508" s="6">
        <f>IF($J2508="","",ROUND('Opening Balance'!$B$4+SUM($F$2:F2508)-SUM($G$2:G2508),2))</f>
        <v/>
      </c>
      <c r="J2508" s="21">
        <f>IFERROR(MATCH(ROW()-1,$L$2:$L$3001,0),"")</f>
        <v/>
      </c>
      <c r="K2508" s="34">
        <f>IF(AND('Daily Sale entry '!Q1008="Collection 收款",'Daily Sale entry '!R1008="Cheque 支票",'Daily Sale entry '!V1008&lt;&gt;""),'Daily Sale entry '!V1008+ROW()/10000000,"")</f>
        <v/>
      </c>
      <c r="L2508" s="21">
        <f>IF(K2508="","",COUNTIF($K$2:$K$3001,"&lt;"&amp;K2508)+1)</f>
        <v/>
      </c>
    </row>
    <row r="2509">
      <c r="A2509" s="5">
        <f>IF($J2509="","",IF($J2509&lt;=1500,INDEX('Daily Sale entry '!$X$1:$X$1501,$J2509+1),INDEX('Daily Sale entry '!$V$1:$V$1501,$J2509-1499)))</f>
        <v/>
      </c>
      <c r="B2509">
        <f>IF($J2509="","",IF($J2509&lt;=1500,INDEX('Daily Sale entry '!$Y$1:$Y$1501,$J2509+1)&amp;"","Buyer cheque banked 买家支票存入"&amp;IF(INDEX('Daily Sale entry '!$U$1:$U$1501,$J2509-1499)="","", " - "&amp;INDEX('Daily Sale entry '!$U$1:$U$1501,$J2509-1499))))</f>
        <v/>
      </c>
      <c r="C2509">
        <f>IF($J2509="","",IF($J2509&lt;=1500,INDEX('Daily Sale entry '!$Z$1:$Z$1501,$J2509+1)&amp;"","Cheque deposit 支票存入 (buyer 买家)"))</f>
        <v/>
      </c>
      <c r="D2509">
        <f>IF($J2509="","",IF($J2509&lt;=1500,INDEX('Daily Sale entry '!$AA$1:$AA$1501,$J2509+1)&amp;"",INDEX('Daily Sale entry '!$P$1:$P$1501,$J2509-1499)&amp;""))</f>
        <v/>
      </c>
      <c r="E2509">
        <f>IF($J2509="","",IF($J2509&lt;=1500,IF(N(INDEX('Daily Sale entry '!$AB$1:$AB$1501,$J2509+1))=0,"",INDEX('Daily Sale entry '!$AB$1:$AB$1501,$J2509+1)),1))</f>
        <v/>
      </c>
      <c r="F2509" s="6">
        <f>IF($J2509="","",IF($J2509&lt;=1500,N(INDEX('Daily Sale entry '!$AC$1:$AC$1501,$J2509+1))-IF(AND('Opening Balance'!$B$15=1,INDEX('Daily Sale entry '!$Z$1:$Z$1501,$J2509+1)="Online collection 网上收款",INDEX('Daily Sale entry '!$AA$1:$AA$1501,$J2509+1)&lt;&gt;""),N(INDEX('Daily Sale entry '!$AC$1:$AC$1501,$J2509+1))-TRUNC(N(INDEX('Daily Sale entry '!$AC$1:$AC$1501,$J2509+1))),0),N(INDEX('Daily Sale entry '!$S$1:$S$1501,$J2509-1499))-'Opening Balance'!$B$15*(N(INDEX('Daily Sale entry '!$S$1:$S$1501,$J2509-1499))-TRUNC(N(INDEX('Daily Sale entry '!$S$1:$S$1501,$J2509-1499))))))</f>
        <v/>
      </c>
      <c r="G2509" s="6">
        <f>IF($J2509="","",IF($J2509&lt;=1500,N(INDEX('Daily Sale entry '!$AD$1:$AD$1501,$J2509+1)),0))</f>
        <v/>
      </c>
      <c r="H2509" s="6">
        <f>IF($J2509="","",ROUND('Opening Balance'!$B$4+SUM($F$2:F2509)-SUM($G$2:G2509),2))</f>
        <v/>
      </c>
      <c r="J2509" s="21">
        <f>IFERROR(MATCH(ROW()-1,$L$2:$L$3001,0),"")</f>
        <v/>
      </c>
      <c r="K2509" s="34">
        <f>IF(AND('Daily Sale entry '!Q1009="Collection 收款",'Daily Sale entry '!R1009="Cheque 支票",'Daily Sale entry '!V1009&lt;&gt;""),'Daily Sale entry '!V1009+ROW()/10000000,"")</f>
        <v/>
      </c>
      <c r="L2509" s="21">
        <f>IF(K2509="","",COUNTIF($K$2:$K$3001,"&lt;"&amp;K2509)+1)</f>
        <v/>
      </c>
    </row>
    <row r="2510">
      <c r="A2510" s="5">
        <f>IF($J2510="","",IF($J2510&lt;=1500,INDEX('Daily Sale entry '!$X$1:$X$1501,$J2510+1),INDEX('Daily Sale entry '!$V$1:$V$1501,$J2510-1499)))</f>
        <v/>
      </c>
      <c r="B2510">
        <f>IF($J2510="","",IF($J2510&lt;=1500,INDEX('Daily Sale entry '!$Y$1:$Y$1501,$J2510+1)&amp;"","Buyer cheque banked 买家支票存入"&amp;IF(INDEX('Daily Sale entry '!$U$1:$U$1501,$J2510-1499)="","", " - "&amp;INDEX('Daily Sale entry '!$U$1:$U$1501,$J2510-1499))))</f>
        <v/>
      </c>
      <c r="C2510">
        <f>IF($J2510="","",IF($J2510&lt;=1500,INDEX('Daily Sale entry '!$Z$1:$Z$1501,$J2510+1)&amp;"","Cheque deposit 支票存入 (buyer 买家)"))</f>
        <v/>
      </c>
      <c r="D2510">
        <f>IF($J2510="","",IF($J2510&lt;=1500,INDEX('Daily Sale entry '!$AA$1:$AA$1501,$J2510+1)&amp;"",INDEX('Daily Sale entry '!$P$1:$P$1501,$J2510-1499)&amp;""))</f>
        <v/>
      </c>
      <c r="E2510">
        <f>IF($J2510="","",IF($J2510&lt;=1500,IF(N(INDEX('Daily Sale entry '!$AB$1:$AB$1501,$J2510+1))=0,"",INDEX('Daily Sale entry '!$AB$1:$AB$1501,$J2510+1)),1))</f>
        <v/>
      </c>
      <c r="F2510" s="6">
        <f>IF($J2510="","",IF($J2510&lt;=1500,N(INDEX('Daily Sale entry '!$AC$1:$AC$1501,$J2510+1))-IF(AND('Opening Balance'!$B$15=1,INDEX('Daily Sale entry '!$Z$1:$Z$1501,$J2510+1)="Online collection 网上收款",INDEX('Daily Sale entry '!$AA$1:$AA$1501,$J2510+1)&lt;&gt;""),N(INDEX('Daily Sale entry '!$AC$1:$AC$1501,$J2510+1))-TRUNC(N(INDEX('Daily Sale entry '!$AC$1:$AC$1501,$J2510+1))),0),N(INDEX('Daily Sale entry '!$S$1:$S$1501,$J2510-1499))-'Opening Balance'!$B$15*(N(INDEX('Daily Sale entry '!$S$1:$S$1501,$J2510-1499))-TRUNC(N(INDEX('Daily Sale entry '!$S$1:$S$1501,$J2510-1499))))))</f>
        <v/>
      </c>
      <c r="G2510" s="6">
        <f>IF($J2510="","",IF($J2510&lt;=1500,N(INDEX('Daily Sale entry '!$AD$1:$AD$1501,$J2510+1)),0))</f>
        <v/>
      </c>
      <c r="H2510" s="6">
        <f>IF($J2510="","",ROUND('Opening Balance'!$B$4+SUM($F$2:F2510)-SUM($G$2:G2510),2))</f>
        <v/>
      </c>
      <c r="J2510" s="21">
        <f>IFERROR(MATCH(ROW()-1,$L$2:$L$3001,0),"")</f>
        <v/>
      </c>
      <c r="K2510" s="34">
        <f>IF(AND('Daily Sale entry '!Q1010="Collection 收款",'Daily Sale entry '!R1010="Cheque 支票",'Daily Sale entry '!V1010&lt;&gt;""),'Daily Sale entry '!V1010+ROW()/10000000,"")</f>
        <v/>
      </c>
      <c r="L2510" s="21">
        <f>IF(K2510="","",COUNTIF($K$2:$K$3001,"&lt;"&amp;K2510)+1)</f>
        <v/>
      </c>
    </row>
    <row r="2511">
      <c r="A2511" s="5">
        <f>IF($J2511="","",IF($J2511&lt;=1500,INDEX('Daily Sale entry '!$X$1:$X$1501,$J2511+1),INDEX('Daily Sale entry '!$V$1:$V$1501,$J2511-1499)))</f>
        <v/>
      </c>
      <c r="B2511">
        <f>IF($J2511="","",IF($J2511&lt;=1500,INDEX('Daily Sale entry '!$Y$1:$Y$1501,$J2511+1)&amp;"","Buyer cheque banked 买家支票存入"&amp;IF(INDEX('Daily Sale entry '!$U$1:$U$1501,$J2511-1499)="","", " - "&amp;INDEX('Daily Sale entry '!$U$1:$U$1501,$J2511-1499))))</f>
        <v/>
      </c>
      <c r="C2511">
        <f>IF($J2511="","",IF($J2511&lt;=1500,INDEX('Daily Sale entry '!$Z$1:$Z$1501,$J2511+1)&amp;"","Cheque deposit 支票存入 (buyer 买家)"))</f>
        <v/>
      </c>
      <c r="D2511">
        <f>IF($J2511="","",IF($J2511&lt;=1500,INDEX('Daily Sale entry '!$AA$1:$AA$1501,$J2511+1)&amp;"",INDEX('Daily Sale entry '!$P$1:$P$1501,$J2511-1499)&amp;""))</f>
        <v/>
      </c>
      <c r="E2511">
        <f>IF($J2511="","",IF($J2511&lt;=1500,IF(N(INDEX('Daily Sale entry '!$AB$1:$AB$1501,$J2511+1))=0,"",INDEX('Daily Sale entry '!$AB$1:$AB$1501,$J2511+1)),1))</f>
        <v/>
      </c>
      <c r="F2511" s="6">
        <f>IF($J2511="","",IF($J2511&lt;=1500,N(INDEX('Daily Sale entry '!$AC$1:$AC$1501,$J2511+1))-IF(AND('Opening Balance'!$B$15=1,INDEX('Daily Sale entry '!$Z$1:$Z$1501,$J2511+1)="Online collection 网上收款",INDEX('Daily Sale entry '!$AA$1:$AA$1501,$J2511+1)&lt;&gt;""),N(INDEX('Daily Sale entry '!$AC$1:$AC$1501,$J2511+1))-TRUNC(N(INDEX('Daily Sale entry '!$AC$1:$AC$1501,$J2511+1))),0),N(INDEX('Daily Sale entry '!$S$1:$S$1501,$J2511-1499))-'Opening Balance'!$B$15*(N(INDEX('Daily Sale entry '!$S$1:$S$1501,$J2511-1499))-TRUNC(N(INDEX('Daily Sale entry '!$S$1:$S$1501,$J2511-1499))))))</f>
        <v/>
      </c>
      <c r="G2511" s="6">
        <f>IF($J2511="","",IF($J2511&lt;=1500,N(INDEX('Daily Sale entry '!$AD$1:$AD$1501,$J2511+1)),0))</f>
        <v/>
      </c>
      <c r="H2511" s="6">
        <f>IF($J2511="","",ROUND('Opening Balance'!$B$4+SUM($F$2:F2511)-SUM($G$2:G2511),2))</f>
        <v/>
      </c>
      <c r="J2511" s="21">
        <f>IFERROR(MATCH(ROW()-1,$L$2:$L$3001,0),"")</f>
        <v/>
      </c>
      <c r="K2511" s="34">
        <f>IF(AND('Daily Sale entry '!Q1011="Collection 收款",'Daily Sale entry '!R1011="Cheque 支票",'Daily Sale entry '!V1011&lt;&gt;""),'Daily Sale entry '!V1011+ROW()/10000000,"")</f>
        <v/>
      </c>
      <c r="L2511" s="21">
        <f>IF(K2511="","",COUNTIF($K$2:$K$3001,"&lt;"&amp;K2511)+1)</f>
        <v/>
      </c>
    </row>
    <row r="2512">
      <c r="A2512" s="5">
        <f>IF($J2512="","",IF($J2512&lt;=1500,INDEX('Daily Sale entry '!$X$1:$X$1501,$J2512+1),INDEX('Daily Sale entry '!$V$1:$V$1501,$J2512-1499)))</f>
        <v/>
      </c>
      <c r="B2512">
        <f>IF($J2512="","",IF($J2512&lt;=1500,INDEX('Daily Sale entry '!$Y$1:$Y$1501,$J2512+1)&amp;"","Buyer cheque banked 买家支票存入"&amp;IF(INDEX('Daily Sale entry '!$U$1:$U$1501,$J2512-1499)="","", " - "&amp;INDEX('Daily Sale entry '!$U$1:$U$1501,$J2512-1499))))</f>
        <v/>
      </c>
      <c r="C2512">
        <f>IF($J2512="","",IF($J2512&lt;=1500,INDEX('Daily Sale entry '!$Z$1:$Z$1501,$J2512+1)&amp;"","Cheque deposit 支票存入 (buyer 买家)"))</f>
        <v/>
      </c>
      <c r="D2512">
        <f>IF($J2512="","",IF($J2512&lt;=1500,INDEX('Daily Sale entry '!$AA$1:$AA$1501,$J2512+1)&amp;"",INDEX('Daily Sale entry '!$P$1:$P$1501,$J2512-1499)&amp;""))</f>
        <v/>
      </c>
      <c r="E2512">
        <f>IF($J2512="","",IF($J2512&lt;=1500,IF(N(INDEX('Daily Sale entry '!$AB$1:$AB$1501,$J2512+1))=0,"",INDEX('Daily Sale entry '!$AB$1:$AB$1501,$J2512+1)),1))</f>
        <v/>
      </c>
      <c r="F2512" s="6">
        <f>IF($J2512="","",IF($J2512&lt;=1500,N(INDEX('Daily Sale entry '!$AC$1:$AC$1501,$J2512+1))-IF(AND('Opening Balance'!$B$15=1,INDEX('Daily Sale entry '!$Z$1:$Z$1501,$J2512+1)="Online collection 网上收款",INDEX('Daily Sale entry '!$AA$1:$AA$1501,$J2512+1)&lt;&gt;""),N(INDEX('Daily Sale entry '!$AC$1:$AC$1501,$J2512+1))-TRUNC(N(INDEX('Daily Sale entry '!$AC$1:$AC$1501,$J2512+1))),0),N(INDEX('Daily Sale entry '!$S$1:$S$1501,$J2512-1499))-'Opening Balance'!$B$15*(N(INDEX('Daily Sale entry '!$S$1:$S$1501,$J2512-1499))-TRUNC(N(INDEX('Daily Sale entry '!$S$1:$S$1501,$J2512-1499))))))</f>
        <v/>
      </c>
      <c r="G2512" s="6">
        <f>IF($J2512="","",IF($J2512&lt;=1500,N(INDEX('Daily Sale entry '!$AD$1:$AD$1501,$J2512+1)),0))</f>
        <v/>
      </c>
      <c r="H2512" s="6">
        <f>IF($J2512="","",ROUND('Opening Balance'!$B$4+SUM($F$2:F2512)-SUM($G$2:G2512),2))</f>
        <v/>
      </c>
      <c r="J2512" s="21">
        <f>IFERROR(MATCH(ROW()-1,$L$2:$L$3001,0),"")</f>
        <v/>
      </c>
      <c r="K2512" s="34">
        <f>IF(AND('Daily Sale entry '!Q1012="Collection 收款",'Daily Sale entry '!R1012="Cheque 支票",'Daily Sale entry '!V1012&lt;&gt;""),'Daily Sale entry '!V1012+ROW()/10000000,"")</f>
        <v/>
      </c>
      <c r="L2512" s="21">
        <f>IF(K2512="","",COUNTIF($K$2:$K$3001,"&lt;"&amp;K2512)+1)</f>
        <v/>
      </c>
    </row>
    <row r="2513">
      <c r="A2513" s="5">
        <f>IF($J2513="","",IF($J2513&lt;=1500,INDEX('Daily Sale entry '!$X$1:$X$1501,$J2513+1),INDEX('Daily Sale entry '!$V$1:$V$1501,$J2513-1499)))</f>
        <v/>
      </c>
      <c r="B2513">
        <f>IF($J2513="","",IF($J2513&lt;=1500,INDEX('Daily Sale entry '!$Y$1:$Y$1501,$J2513+1)&amp;"","Buyer cheque banked 买家支票存入"&amp;IF(INDEX('Daily Sale entry '!$U$1:$U$1501,$J2513-1499)="","", " - "&amp;INDEX('Daily Sale entry '!$U$1:$U$1501,$J2513-1499))))</f>
        <v/>
      </c>
      <c r="C2513">
        <f>IF($J2513="","",IF($J2513&lt;=1500,INDEX('Daily Sale entry '!$Z$1:$Z$1501,$J2513+1)&amp;"","Cheque deposit 支票存入 (buyer 买家)"))</f>
        <v/>
      </c>
      <c r="D2513">
        <f>IF($J2513="","",IF($J2513&lt;=1500,INDEX('Daily Sale entry '!$AA$1:$AA$1501,$J2513+1)&amp;"",INDEX('Daily Sale entry '!$P$1:$P$1501,$J2513-1499)&amp;""))</f>
        <v/>
      </c>
      <c r="E2513">
        <f>IF($J2513="","",IF($J2513&lt;=1500,IF(N(INDEX('Daily Sale entry '!$AB$1:$AB$1501,$J2513+1))=0,"",INDEX('Daily Sale entry '!$AB$1:$AB$1501,$J2513+1)),1))</f>
        <v/>
      </c>
      <c r="F2513" s="6">
        <f>IF($J2513="","",IF($J2513&lt;=1500,N(INDEX('Daily Sale entry '!$AC$1:$AC$1501,$J2513+1))-IF(AND('Opening Balance'!$B$15=1,INDEX('Daily Sale entry '!$Z$1:$Z$1501,$J2513+1)="Online collection 网上收款",INDEX('Daily Sale entry '!$AA$1:$AA$1501,$J2513+1)&lt;&gt;""),N(INDEX('Daily Sale entry '!$AC$1:$AC$1501,$J2513+1))-TRUNC(N(INDEX('Daily Sale entry '!$AC$1:$AC$1501,$J2513+1))),0),N(INDEX('Daily Sale entry '!$S$1:$S$1501,$J2513-1499))-'Opening Balance'!$B$15*(N(INDEX('Daily Sale entry '!$S$1:$S$1501,$J2513-1499))-TRUNC(N(INDEX('Daily Sale entry '!$S$1:$S$1501,$J2513-1499))))))</f>
        <v/>
      </c>
      <c r="G2513" s="6">
        <f>IF($J2513="","",IF($J2513&lt;=1500,N(INDEX('Daily Sale entry '!$AD$1:$AD$1501,$J2513+1)),0))</f>
        <v/>
      </c>
      <c r="H2513" s="6">
        <f>IF($J2513="","",ROUND('Opening Balance'!$B$4+SUM($F$2:F2513)-SUM($G$2:G2513),2))</f>
        <v/>
      </c>
      <c r="J2513" s="21">
        <f>IFERROR(MATCH(ROW()-1,$L$2:$L$3001,0),"")</f>
        <v/>
      </c>
      <c r="K2513" s="34">
        <f>IF(AND('Daily Sale entry '!Q1013="Collection 收款",'Daily Sale entry '!R1013="Cheque 支票",'Daily Sale entry '!V1013&lt;&gt;""),'Daily Sale entry '!V1013+ROW()/10000000,"")</f>
        <v/>
      </c>
      <c r="L2513" s="21">
        <f>IF(K2513="","",COUNTIF($K$2:$K$3001,"&lt;"&amp;K2513)+1)</f>
        <v/>
      </c>
    </row>
    <row r="2514">
      <c r="A2514" s="5">
        <f>IF($J2514="","",IF($J2514&lt;=1500,INDEX('Daily Sale entry '!$X$1:$X$1501,$J2514+1),INDEX('Daily Sale entry '!$V$1:$V$1501,$J2514-1499)))</f>
        <v/>
      </c>
      <c r="B2514">
        <f>IF($J2514="","",IF($J2514&lt;=1500,INDEX('Daily Sale entry '!$Y$1:$Y$1501,$J2514+1)&amp;"","Buyer cheque banked 买家支票存入"&amp;IF(INDEX('Daily Sale entry '!$U$1:$U$1501,$J2514-1499)="","", " - "&amp;INDEX('Daily Sale entry '!$U$1:$U$1501,$J2514-1499))))</f>
        <v/>
      </c>
      <c r="C2514">
        <f>IF($J2514="","",IF($J2514&lt;=1500,INDEX('Daily Sale entry '!$Z$1:$Z$1501,$J2514+1)&amp;"","Cheque deposit 支票存入 (buyer 买家)"))</f>
        <v/>
      </c>
      <c r="D2514">
        <f>IF($J2514="","",IF($J2514&lt;=1500,INDEX('Daily Sale entry '!$AA$1:$AA$1501,$J2514+1)&amp;"",INDEX('Daily Sale entry '!$P$1:$P$1501,$J2514-1499)&amp;""))</f>
        <v/>
      </c>
      <c r="E2514">
        <f>IF($J2514="","",IF($J2514&lt;=1500,IF(N(INDEX('Daily Sale entry '!$AB$1:$AB$1501,$J2514+1))=0,"",INDEX('Daily Sale entry '!$AB$1:$AB$1501,$J2514+1)),1))</f>
        <v/>
      </c>
      <c r="F2514" s="6">
        <f>IF($J2514="","",IF($J2514&lt;=1500,N(INDEX('Daily Sale entry '!$AC$1:$AC$1501,$J2514+1))-IF(AND('Opening Balance'!$B$15=1,INDEX('Daily Sale entry '!$Z$1:$Z$1501,$J2514+1)="Online collection 网上收款",INDEX('Daily Sale entry '!$AA$1:$AA$1501,$J2514+1)&lt;&gt;""),N(INDEX('Daily Sale entry '!$AC$1:$AC$1501,$J2514+1))-TRUNC(N(INDEX('Daily Sale entry '!$AC$1:$AC$1501,$J2514+1))),0),N(INDEX('Daily Sale entry '!$S$1:$S$1501,$J2514-1499))-'Opening Balance'!$B$15*(N(INDEX('Daily Sale entry '!$S$1:$S$1501,$J2514-1499))-TRUNC(N(INDEX('Daily Sale entry '!$S$1:$S$1501,$J2514-1499))))))</f>
        <v/>
      </c>
      <c r="G2514" s="6">
        <f>IF($J2514="","",IF($J2514&lt;=1500,N(INDEX('Daily Sale entry '!$AD$1:$AD$1501,$J2514+1)),0))</f>
        <v/>
      </c>
      <c r="H2514" s="6">
        <f>IF($J2514="","",ROUND('Opening Balance'!$B$4+SUM($F$2:F2514)-SUM($G$2:G2514),2))</f>
        <v/>
      </c>
      <c r="J2514" s="21">
        <f>IFERROR(MATCH(ROW()-1,$L$2:$L$3001,0),"")</f>
        <v/>
      </c>
      <c r="K2514" s="34">
        <f>IF(AND('Daily Sale entry '!Q1014="Collection 收款",'Daily Sale entry '!R1014="Cheque 支票",'Daily Sale entry '!V1014&lt;&gt;""),'Daily Sale entry '!V1014+ROW()/10000000,"")</f>
        <v/>
      </c>
      <c r="L2514" s="21">
        <f>IF(K2514="","",COUNTIF($K$2:$K$3001,"&lt;"&amp;K2514)+1)</f>
        <v/>
      </c>
    </row>
    <row r="2515">
      <c r="A2515" s="5">
        <f>IF($J2515="","",IF($J2515&lt;=1500,INDEX('Daily Sale entry '!$X$1:$X$1501,$J2515+1),INDEX('Daily Sale entry '!$V$1:$V$1501,$J2515-1499)))</f>
        <v/>
      </c>
      <c r="B2515">
        <f>IF($J2515="","",IF($J2515&lt;=1500,INDEX('Daily Sale entry '!$Y$1:$Y$1501,$J2515+1)&amp;"","Buyer cheque banked 买家支票存入"&amp;IF(INDEX('Daily Sale entry '!$U$1:$U$1501,$J2515-1499)="","", " - "&amp;INDEX('Daily Sale entry '!$U$1:$U$1501,$J2515-1499))))</f>
        <v/>
      </c>
      <c r="C2515">
        <f>IF($J2515="","",IF($J2515&lt;=1500,INDEX('Daily Sale entry '!$Z$1:$Z$1501,$J2515+1)&amp;"","Cheque deposit 支票存入 (buyer 买家)"))</f>
        <v/>
      </c>
      <c r="D2515">
        <f>IF($J2515="","",IF($J2515&lt;=1500,INDEX('Daily Sale entry '!$AA$1:$AA$1501,$J2515+1)&amp;"",INDEX('Daily Sale entry '!$P$1:$P$1501,$J2515-1499)&amp;""))</f>
        <v/>
      </c>
      <c r="E2515">
        <f>IF($J2515="","",IF($J2515&lt;=1500,IF(N(INDEX('Daily Sale entry '!$AB$1:$AB$1501,$J2515+1))=0,"",INDEX('Daily Sale entry '!$AB$1:$AB$1501,$J2515+1)),1))</f>
        <v/>
      </c>
      <c r="F2515" s="6">
        <f>IF($J2515="","",IF($J2515&lt;=1500,N(INDEX('Daily Sale entry '!$AC$1:$AC$1501,$J2515+1))-IF(AND('Opening Balance'!$B$15=1,INDEX('Daily Sale entry '!$Z$1:$Z$1501,$J2515+1)="Online collection 网上收款",INDEX('Daily Sale entry '!$AA$1:$AA$1501,$J2515+1)&lt;&gt;""),N(INDEX('Daily Sale entry '!$AC$1:$AC$1501,$J2515+1))-TRUNC(N(INDEX('Daily Sale entry '!$AC$1:$AC$1501,$J2515+1))),0),N(INDEX('Daily Sale entry '!$S$1:$S$1501,$J2515-1499))-'Opening Balance'!$B$15*(N(INDEX('Daily Sale entry '!$S$1:$S$1501,$J2515-1499))-TRUNC(N(INDEX('Daily Sale entry '!$S$1:$S$1501,$J2515-1499))))))</f>
        <v/>
      </c>
      <c r="G2515" s="6">
        <f>IF($J2515="","",IF($J2515&lt;=1500,N(INDEX('Daily Sale entry '!$AD$1:$AD$1501,$J2515+1)),0))</f>
        <v/>
      </c>
      <c r="H2515" s="6">
        <f>IF($J2515="","",ROUND('Opening Balance'!$B$4+SUM($F$2:F2515)-SUM($G$2:G2515),2))</f>
        <v/>
      </c>
      <c r="J2515" s="21">
        <f>IFERROR(MATCH(ROW()-1,$L$2:$L$3001,0),"")</f>
        <v/>
      </c>
      <c r="K2515" s="34">
        <f>IF(AND('Daily Sale entry '!Q1015="Collection 收款",'Daily Sale entry '!R1015="Cheque 支票",'Daily Sale entry '!V1015&lt;&gt;""),'Daily Sale entry '!V1015+ROW()/10000000,"")</f>
        <v/>
      </c>
      <c r="L2515" s="21">
        <f>IF(K2515="","",COUNTIF($K$2:$K$3001,"&lt;"&amp;K2515)+1)</f>
        <v/>
      </c>
    </row>
    <row r="2516">
      <c r="A2516" s="5">
        <f>IF($J2516="","",IF($J2516&lt;=1500,INDEX('Daily Sale entry '!$X$1:$X$1501,$J2516+1),INDEX('Daily Sale entry '!$V$1:$V$1501,$J2516-1499)))</f>
        <v/>
      </c>
      <c r="B2516">
        <f>IF($J2516="","",IF($J2516&lt;=1500,INDEX('Daily Sale entry '!$Y$1:$Y$1501,$J2516+1)&amp;"","Buyer cheque banked 买家支票存入"&amp;IF(INDEX('Daily Sale entry '!$U$1:$U$1501,$J2516-1499)="","", " - "&amp;INDEX('Daily Sale entry '!$U$1:$U$1501,$J2516-1499))))</f>
        <v/>
      </c>
      <c r="C2516">
        <f>IF($J2516="","",IF($J2516&lt;=1500,INDEX('Daily Sale entry '!$Z$1:$Z$1501,$J2516+1)&amp;"","Cheque deposit 支票存入 (buyer 买家)"))</f>
        <v/>
      </c>
      <c r="D2516">
        <f>IF($J2516="","",IF($J2516&lt;=1500,INDEX('Daily Sale entry '!$AA$1:$AA$1501,$J2516+1)&amp;"",INDEX('Daily Sale entry '!$P$1:$P$1501,$J2516-1499)&amp;""))</f>
        <v/>
      </c>
      <c r="E2516">
        <f>IF($J2516="","",IF($J2516&lt;=1500,IF(N(INDEX('Daily Sale entry '!$AB$1:$AB$1501,$J2516+1))=0,"",INDEX('Daily Sale entry '!$AB$1:$AB$1501,$J2516+1)),1))</f>
        <v/>
      </c>
      <c r="F2516" s="6">
        <f>IF($J2516="","",IF($J2516&lt;=1500,N(INDEX('Daily Sale entry '!$AC$1:$AC$1501,$J2516+1))-IF(AND('Opening Balance'!$B$15=1,INDEX('Daily Sale entry '!$Z$1:$Z$1501,$J2516+1)="Online collection 网上收款",INDEX('Daily Sale entry '!$AA$1:$AA$1501,$J2516+1)&lt;&gt;""),N(INDEX('Daily Sale entry '!$AC$1:$AC$1501,$J2516+1))-TRUNC(N(INDEX('Daily Sale entry '!$AC$1:$AC$1501,$J2516+1))),0),N(INDEX('Daily Sale entry '!$S$1:$S$1501,$J2516-1499))-'Opening Balance'!$B$15*(N(INDEX('Daily Sale entry '!$S$1:$S$1501,$J2516-1499))-TRUNC(N(INDEX('Daily Sale entry '!$S$1:$S$1501,$J2516-1499))))))</f>
        <v/>
      </c>
      <c r="G2516" s="6">
        <f>IF($J2516="","",IF($J2516&lt;=1500,N(INDEX('Daily Sale entry '!$AD$1:$AD$1501,$J2516+1)),0))</f>
        <v/>
      </c>
      <c r="H2516" s="6">
        <f>IF($J2516="","",ROUND('Opening Balance'!$B$4+SUM($F$2:F2516)-SUM($G$2:G2516),2))</f>
        <v/>
      </c>
      <c r="J2516" s="21">
        <f>IFERROR(MATCH(ROW()-1,$L$2:$L$3001,0),"")</f>
        <v/>
      </c>
      <c r="K2516" s="34">
        <f>IF(AND('Daily Sale entry '!Q1016="Collection 收款",'Daily Sale entry '!R1016="Cheque 支票",'Daily Sale entry '!V1016&lt;&gt;""),'Daily Sale entry '!V1016+ROW()/10000000,"")</f>
        <v/>
      </c>
      <c r="L2516" s="21">
        <f>IF(K2516="","",COUNTIF($K$2:$K$3001,"&lt;"&amp;K2516)+1)</f>
        <v/>
      </c>
    </row>
    <row r="2517">
      <c r="A2517" s="5">
        <f>IF($J2517="","",IF($J2517&lt;=1500,INDEX('Daily Sale entry '!$X$1:$X$1501,$J2517+1),INDEX('Daily Sale entry '!$V$1:$V$1501,$J2517-1499)))</f>
        <v/>
      </c>
      <c r="B2517">
        <f>IF($J2517="","",IF($J2517&lt;=1500,INDEX('Daily Sale entry '!$Y$1:$Y$1501,$J2517+1)&amp;"","Buyer cheque banked 买家支票存入"&amp;IF(INDEX('Daily Sale entry '!$U$1:$U$1501,$J2517-1499)="","", " - "&amp;INDEX('Daily Sale entry '!$U$1:$U$1501,$J2517-1499))))</f>
        <v/>
      </c>
      <c r="C2517">
        <f>IF($J2517="","",IF($J2517&lt;=1500,INDEX('Daily Sale entry '!$Z$1:$Z$1501,$J2517+1)&amp;"","Cheque deposit 支票存入 (buyer 买家)"))</f>
        <v/>
      </c>
      <c r="D2517">
        <f>IF($J2517="","",IF($J2517&lt;=1500,INDEX('Daily Sale entry '!$AA$1:$AA$1501,$J2517+1)&amp;"",INDEX('Daily Sale entry '!$P$1:$P$1501,$J2517-1499)&amp;""))</f>
        <v/>
      </c>
      <c r="E2517">
        <f>IF($J2517="","",IF($J2517&lt;=1500,IF(N(INDEX('Daily Sale entry '!$AB$1:$AB$1501,$J2517+1))=0,"",INDEX('Daily Sale entry '!$AB$1:$AB$1501,$J2517+1)),1))</f>
        <v/>
      </c>
      <c r="F2517" s="6">
        <f>IF($J2517="","",IF($J2517&lt;=1500,N(INDEX('Daily Sale entry '!$AC$1:$AC$1501,$J2517+1))-IF(AND('Opening Balance'!$B$15=1,INDEX('Daily Sale entry '!$Z$1:$Z$1501,$J2517+1)="Online collection 网上收款",INDEX('Daily Sale entry '!$AA$1:$AA$1501,$J2517+1)&lt;&gt;""),N(INDEX('Daily Sale entry '!$AC$1:$AC$1501,$J2517+1))-TRUNC(N(INDEX('Daily Sale entry '!$AC$1:$AC$1501,$J2517+1))),0),N(INDEX('Daily Sale entry '!$S$1:$S$1501,$J2517-1499))-'Opening Balance'!$B$15*(N(INDEX('Daily Sale entry '!$S$1:$S$1501,$J2517-1499))-TRUNC(N(INDEX('Daily Sale entry '!$S$1:$S$1501,$J2517-1499))))))</f>
        <v/>
      </c>
      <c r="G2517" s="6">
        <f>IF($J2517="","",IF($J2517&lt;=1500,N(INDEX('Daily Sale entry '!$AD$1:$AD$1501,$J2517+1)),0))</f>
        <v/>
      </c>
      <c r="H2517" s="6">
        <f>IF($J2517="","",ROUND('Opening Balance'!$B$4+SUM($F$2:F2517)-SUM($G$2:G2517),2))</f>
        <v/>
      </c>
      <c r="J2517" s="21">
        <f>IFERROR(MATCH(ROW()-1,$L$2:$L$3001,0),"")</f>
        <v/>
      </c>
      <c r="K2517" s="34">
        <f>IF(AND('Daily Sale entry '!Q1017="Collection 收款",'Daily Sale entry '!R1017="Cheque 支票",'Daily Sale entry '!V1017&lt;&gt;""),'Daily Sale entry '!V1017+ROW()/10000000,"")</f>
        <v/>
      </c>
      <c r="L2517" s="21">
        <f>IF(K2517="","",COUNTIF($K$2:$K$3001,"&lt;"&amp;K2517)+1)</f>
        <v/>
      </c>
    </row>
    <row r="2518">
      <c r="A2518" s="5">
        <f>IF($J2518="","",IF($J2518&lt;=1500,INDEX('Daily Sale entry '!$X$1:$X$1501,$J2518+1),INDEX('Daily Sale entry '!$V$1:$V$1501,$J2518-1499)))</f>
        <v/>
      </c>
      <c r="B2518">
        <f>IF($J2518="","",IF($J2518&lt;=1500,INDEX('Daily Sale entry '!$Y$1:$Y$1501,$J2518+1)&amp;"","Buyer cheque banked 买家支票存入"&amp;IF(INDEX('Daily Sale entry '!$U$1:$U$1501,$J2518-1499)="","", " - "&amp;INDEX('Daily Sale entry '!$U$1:$U$1501,$J2518-1499))))</f>
        <v/>
      </c>
      <c r="C2518">
        <f>IF($J2518="","",IF($J2518&lt;=1500,INDEX('Daily Sale entry '!$Z$1:$Z$1501,$J2518+1)&amp;"","Cheque deposit 支票存入 (buyer 买家)"))</f>
        <v/>
      </c>
      <c r="D2518">
        <f>IF($J2518="","",IF($J2518&lt;=1500,INDEX('Daily Sale entry '!$AA$1:$AA$1501,$J2518+1)&amp;"",INDEX('Daily Sale entry '!$P$1:$P$1501,$J2518-1499)&amp;""))</f>
        <v/>
      </c>
      <c r="E2518">
        <f>IF($J2518="","",IF($J2518&lt;=1500,IF(N(INDEX('Daily Sale entry '!$AB$1:$AB$1501,$J2518+1))=0,"",INDEX('Daily Sale entry '!$AB$1:$AB$1501,$J2518+1)),1))</f>
        <v/>
      </c>
      <c r="F2518" s="6">
        <f>IF($J2518="","",IF($J2518&lt;=1500,N(INDEX('Daily Sale entry '!$AC$1:$AC$1501,$J2518+1))-IF(AND('Opening Balance'!$B$15=1,INDEX('Daily Sale entry '!$Z$1:$Z$1501,$J2518+1)="Online collection 网上收款",INDEX('Daily Sale entry '!$AA$1:$AA$1501,$J2518+1)&lt;&gt;""),N(INDEX('Daily Sale entry '!$AC$1:$AC$1501,$J2518+1))-TRUNC(N(INDEX('Daily Sale entry '!$AC$1:$AC$1501,$J2518+1))),0),N(INDEX('Daily Sale entry '!$S$1:$S$1501,$J2518-1499))-'Opening Balance'!$B$15*(N(INDEX('Daily Sale entry '!$S$1:$S$1501,$J2518-1499))-TRUNC(N(INDEX('Daily Sale entry '!$S$1:$S$1501,$J2518-1499))))))</f>
        <v/>
      </c>
      <c r="G2518" s="6">
        <f>IF($J2518="","",IF($J2518&lt;=1500,N(INDEX('Daily Sale entry '!$AD$1:$AD$1501,$J2518+1)),0))</f>
        <v/>
      </c>
      <c r="H2518" s="6">
        <f>IF($J2518="","",ROUND('Opening Balance'!$B$4+SUM($F$2:F2518)-SUM($G$2:G2518),2))</f>
        <v/>
      </c>
      <c r="J2518" s="21">
        <f>IFERROR(MATCH(ROW()-1,$L$2:$L$3001,0),"")</f>
        <v/>
      </c>
      <c r="K2518" s="34">
        <f>IF(AND('Daily Sale entry '!Q1018="Collection 收款",'Daily Sale entry '!R1018="Cheque 支票",'Daily Sale entry '!V1018&lt;&gt;""),'Daily Sale entry '!V1018+ROW()/10000000,"")</f>
        <v/>
      </c>
      <c r="L2518" s="21">
        <f>IF(K2518="","",COUNTIF($K$2:$K$3001,"&lt;"&amp;K2518)+1)</f>
        <v/>
      </c>
    </row>
    <row r="2519">
      <c r="A2519" s="5">
        <f>IF($J2519="","",IF($J2519&lt;=1500,INDEX('Daily Sale entry '!$X$1:$X$1501,$J2519+1),INDEX('Daily Sale entry '!$V$1:$V$1501,$J2519-1499)))</f>
        <v/>
      </c>
      <c r="B2519">
        <f>IF($J2519="","",IF($J2519&lt;=1500,INDEX('Daily Sale entry '!$Y$1:$Y$1501,$J2519+1)&amp;"","Buyer cheque banked 买家支票存入"&amp;IF(INDEX('Daily Sale entry '!$U$1:$U$1501,$J2519-1499)="","", " - "&amp;INDEX('Daily Sale entry '!$U$1:$U$1501,$J2519-1499))))</f>
        <v/>
      </c>
      <c r="C2519">
        <f>IF($J2519="","",IF($J2519&lt;=1500,INDEX('Daily Sale entry '!$Z$1:$Z$1501,$J2519+1)&amp;"","Cheque deposit 支票存入 (buyer 买家)"))</f>
        <v/>
      </c>
      <c r="D2519">
        <f>IF($J2519="","",IF($J2519&lt;=1500,INDEX('Daily Sale entry '!$AA$1:$AA$1501,$J2519+1)&amp;"",INDEX('Daily Sale entry '!$P$1:$P$1501,$J2519-1499)&amp;""))</f>
        <v/>
      </c>
      <c r="E2519">
        <f>IF($J2519="","",IF($J2519&lt;=1500,IF(N(INDEX('Daily Sale entry '!$AB$1:$AB$1501,$J2519+1))=0,"",INDEX('Daily Sale entry '!$AB$1:$AB$1501,$J2519+1)),1))</f>
        <v/>
      </c>
      <c r="F2519" s="6">
        <f>IF($J2519="","",IF($J2519&lt;=1500,N(INDEX('Daily Sale entry '!$AC$1:$AC$1501,$J2519+1))-IF(AND('Opening Balance'!$B$15=1,INDEX('Daily Sale entry '!$Z$1:$Z$1501,$J2519+1)="Online collection 网上收款",INDEX('Daily Sale entry '!$AA$1:$AA$1501,$J2519+1)&lt;&gt;""),N(INDEX('Daily Sale entry '!$AC$1:$AC$1501,$J2519+1))-TRUNC(N(INDEX('Daily Sale entry '!$AC$1:$AC$1501,$J2519+1))),0),N(INDEX('Daily Sale entry '!$S$1:$S$1501,$J2519-1499))-'Opening Balance'!$B$15*(N(INDEX('Daily Sale entry '!$S$1:$S$1501,$J2519-1499))-TRUNC(N(INDEX('Daily Sale entry '!$S$1:$S$1501,$J2519-1499))))))</f>
        <v/>
      </c>
      <c r="G2519" s="6">
        <f>IF($J2519="","",IF($J2519&lt;=1500,N(INDEX('Daily Sale entry '!$AD$1:$AD$1501,$J2519+1)),0))</f>
        <v/>
      </c>
      <c r="H2519" s="6">
        <f>IF($J2519="","",ROUND('Opening Balance'!$B$4+SUM($F$2:F2519)-SUM($G$2:G2519),2))</f>
        <v/>
      </c>
      <c r="J2519" s="21">
        <f>IFERROR(MATCH(ROW()-1,$L$2:$L$3001,0),"")</f>
        <v/>
      </c>
      <c r="K2519" s="34">
        <f>IF(AND('Daily Sale entry '!Q1019="Collection 收款",'Daily Sale entry '!R1019="Cheque 支票",'Daily Sale entry '!V1019&lt;&gt;""),'Daily Sale entry '!V1019+ROW()/10000000,"")</f>
        <v/>
      </c>
      <c r="L2519" s="21">
        <f>IF(K2519="","",COUNTIF($K$2:$K$3001,"&lt;"&amp;K2519)+1)</f>
        <v/>
      </c>
    </row>
    <row r="2520">
      <c r="A2520" s="5">
        <f>IF($J2520="","",IF($J2520&lt;=1500,INDEX('Daily Sale entry '!$X$1:$X$1501,$J2520+1),INDEX('Daily Sale entry '!$V$1:$V$1501,$J2520-1499)))</f>
        <v/>
      </c>
      <c r="B2520">
        <f>IF($J2520="","",IF($J2520&lt;=1500,INDEX('Daily Sale entry '!$Y$1:$Y$1501,$J2520+1)&amp;"","Buyer cheque banked 买家支票存入"&amp;IF(INDEX('Daily Sale entry '!$U$1:$U$1501,$J2520-1499)="","", " - "&amp;INDEX('Daily Sale entry '!$U$1:$U$1501,$J2520-1499))))</f>
        <v/>
      </c>
      <c r="C2520">
        <f>IF($J2520="","",IF($J2520&lt;=1500,INDEX('Daily Sale entry '!$Z$1:$Z$1501,$J2520+1)&amp;"","Cheque deposit 支票存入 (buyer 买家)"))</f>
        <v/>
      </c>
      <c r="D2520">
        <f>IF($J2520="","",IF($J2520&lt;=1500,INDEX('Daily Sale entry '!$AA$1:$AA$1501,$J2520+1)&amp;"",INDEX('Daily Sale entry '!$P$1:$P$1501,$J2520-1499)&amp;""))</f>
        <v/>
      </c>
      <c r="E2520">
        <f>IF($J2520="","",IF($J2520&lt;=1500,IF(N(INDEX('Daily Sale entry '!$AB$1:$AB$1501,$J2520+1))=0,"",INDEX('Daily Sale entry '!$AB$1:$AB$1501,$J2520+1)),1))</f>
        <v/>
      </c>
      <c r="F2520" s="6">
        <f>IF($J2520="","",IF($J2520&lt;=1500,N(INDEX('Daily Sale entry '!$AC$1:$AC$1501,$J2520+1))-IF(AND('Opening Balance'!$B$15=1,INDEX('Daily Sale entry '!$Z$1:$Z$1501,$J2520+1)="Online collection 网上收款",INDEX('Daily Sale entry '!$AA$1:$AA$1501,$J2520+1)&lt;&gt;""),N(INDEX('Daily Sale entry '!$AC$1:$AC$1501,$J2520+1))-TRUNC(N(INDEX('Daily Sale entry '!$AC$1:$AC$1501,$J2520+1))),0),N(INDEX('Daily Sale entry '!$S$1:$S$1501,$J2520-1499))-'Opening Balance'!$B$15*(N(INDEX('Daily Sale entry '!$S$1:$S$1501,$J2520-1499))-TRUNC(N(INDEX('Daily Sale entry '!$S$1:$S$1501,$J2520-1499))))))</f>
        <v/>
      </c>
      <c r="G2520" s="6">
        <f>IF($J2520="","",IF($J2520&lt;=1500,N(INDEX('Daily Sale entry '!$AD$1:$AD$1501,$J2520+1)),0))</f>
        <v/>
      </c>
      <c r="H2520" s="6">
        <f>IF($J2520="","",ROUND('Opening Balance'!$B$4+SUM($F$2:F2520)-SUM($G$2:G2520),2))</f>
        <v/>
      </c>
      <c r="J2520" s="21">
        <f>IFERROR(MATCH(ROW()-1,$L$2:$L$3001,0),"")</f>
        <v/>
      </c>
      <c r="K2520" s="34">
        <f>IF(AND('Daily Sale entry '!Q1020="Collection 收款",'Daily Sale entry '!R1020="Cheque 支票",'Daily Sale entry '!V1020&lt;&gt;""),'Daily Sale entry '!V1020+ROW()/10000000,"")</f>
        <v/>
      </c>
      <c r="L2520" s="21">
        <f>IF(K2520="","",COUNTIF($K$2:$K$3001,"&lt;"&amp;K2520)+1)</f>
        <v/>
      </c>
    </row>
    <row r="2521">
      <c r="A2521" s="5">
        <f>IF($J2521="","",IF($J2521&lt;=1500,INDEX('Daily Sale entry '!$X$1:$X$1501,$J2521+1),INDEX('Daily Sale entry '!$V$1:$V$1501,$J2521-1499)))</f>
        <v/>
      </c>
      <c r="B2521">
        <f>IF($J2521="","",IF($J2521&lt;=1500,INDEX('Daily Sale entry '!$Y$1:$Y$1501,$J2521+1)&amp;"","Buyer cheque banked 买家支票存入"&amp;IF(INDEX('Daily Sale entry '!$U$1:$U$1501,$J2521-1499)="","", " - "&amp;INDEX('Daily Sale entry '!$U$1:$U$1501,$J2521-1499))))</f>
        <v/>
      </c>
      <c r="C2521">
        <f>IF($J2521="","",IF($J2521&lt;=1500,INDEX('Daily Sale entry '!$Z$1:$Z$1501,$J2521+1)&amp;"","Cheque deposit 支票存入 (buyer 买家)"))</f>
        <v/>
      </c>
      <c r="D2521">
        <f>IF($J2521="","",IF($J2521&lt;=1500,INDEX('Daily Sale entry '!$AA$1:$AA$1501,$J2521+1)&amp;"",INDEX('Daily Sale entry '!$P$1:$P$1501,$J2521-1499)&amp;""))</f>
        <v/>
      </c>
      <c r="E2521">
        <f>IF($J2521="","",IF($J2521&lt;=1500,IF(N(INDEX('Daily Sale entry '!$AB$1:$AB$1501,$J2521+1))=0,"",INDEX('Daily Sale entry '!$AB$1:$AB$1501,$J2521+1)),1))</f>
        <v/>
      </c>
      <c r="F2521" s="6">
        <f>IF($J2521="","",IF($J2521&lt;=1500,N(INDEX('Daily Sale entry '!$AC$1:$AC$1501,$J2521+1))-IF(AND('Opening Balance'!$B$15=1,INDEX('Daily Sale entry '!$Z$1:$Z$1501,$J2521+1)="Online collection 网上收款",INDEX('Daily Sale entry '!$AA$1:$AA$1501,$J2521+1)&lt;&gt;""),N(INDEX('Daily Sale entry '!$AC$1:$AC$1501,$J2521+1))-TRUNC(N(INDEX('Daily Sale entry '!$AC$1:$AC$1501,$J2521+1))),0),N(INDEX('Daily Sale entry '!$S$1:$S$1501,$J2521-1499))-'Opening Balance'!$B$15*(N(INDEX('Daily Sale entry '!$S$1:$S$1501,$J2521-1499))-TRUNC(N(INDEX('Daily Sale entry '!$S$1:$S$1501,$J2521-1499))))))</f>
        <v/>
      </c>
      <c r="G2521" s="6">
        <f>IF($J2521="","",IF($J2521&lt;=1500,N(INDEX('Daily Sale entry '!$AD$1:$AD$1501,$J2521+1)),0))</f>
        <v/>
      </c>
      <c r="H2521" s="6">
        <f>IF($J2521="","",ROUND('Opening Balance'!$B$4+SUM($F$2:F2521)-SUM($G$2:G2521),2))</f>
        <v/>
      </c>
      <c r="J2521" s="21">
        <f>IFERROR(MATCH(ROW()-1,$L$2:$L$3001,0),"")</f>
        <v/>
      </c>
      <c r="K2521" s="34">
        <f>IF(AND('Daily Sale entry '!Q1021="Collection 收款",'Daily Sale entry '!R1021="Cheque 支票",'Daily Sale entry '!V1021&lt;&gt;""),'Daily Sale entry '!V1021+ROW()/10000000,"")</f>
        <v/>
      </c>
      <c r="L2521" s="21">
        <f>IF(K2521="","",COUNTIF($K$2:$K$3001,"&lt;"&amp;K2521)+1)</f>
        <v/>
      </c>
    </row>
    <row r="2522">
      <c r="A2522" s="5">
        <f>IF($J2522="","",IF($J2522&lt;=1500,INDEX('Daily Sale entry '!$X$1:$X$1501,$J2522+1),INDEX('Daily Sale entry '!$V$1:$V$1501,$J2522-1499)))</f>
        <v/>
      </c>
      <c r="B2522">
        <f>IF($J2522="","",IF($J2522&lt;=1500,INDEX('Daily Sale entry '!$Y$1:$Y$1501,$J2522+1)&amp;"","Buyer cheque banked 买家支票存入"&amp;IF(INDEX('Daily Sale entry '!$U$1:$U$1501,$J2522-1499)="","", " - "&amp;INDEX('Daily Sale entry '!$U$1:$U$1501,$J2522-1499))))</f>
        <v/>
      </c>
      <c r="C2522">
        <f>IF($J2522="","",IF($J2522&lt;=1500,INDEX('Daily Sale entry '!$Z$1:$Z$1501,$J2522+1)&amp;"","Cheque deposit 支票存入 (buyer 买家)"))</f>
        <v/>
      </c>
      <c r="D2522">
        <f>IF($J2522="","",IF($J2522&lt;=1500,INDEX('Daily Sale entry '!$AA$1:$AA$1501,$J2522+1)&amp;"",INDEX('Daily Sale entry '!$P$1:$P$1501,$J2522-1499)&amp;""))</f>
        <v/>
      </c>
      <c r="E2522">
        <f>IF($J2522="","",IF($J2522&lt;=1500,IF(N(INDEX('Daily Sale entry '!$AB$1:$AB$1501,$J2522+1))=0,"",INDEX('Daily Sale entry '!$AB$1:$AB$1501,$J2522+1)),1))</f>
        <v/>
      </c>
      <c r="F2522" s="6">
        <f>IF($J2522="","",IF($J2522&lt;=1500,N(INDEX('Daily Sale entry '!$AC$1:$AC$1501,$J2522+1))-IF(AND('Opening Balance'!$B$15=1,INDEX('Daily Sale entry '!$Z$1:$Z$1501,$J2522+1)="Online collection 网上收款",INDEX('Daily Sale entry '!$AA$1:$AA$1501,$J2522+1)&lt;&gt;""),N(INDEX('Daily Sale entry '!$AC$1:$AC$1501,$J2522+1))-TRUNC(N(INDEX('Daily Sale entry '!$AC$1:$AC$1501,$J2522+1))),0),N(INDEX('Daily Sale entry '!$S$1:$S$1501,$J2522-1499))-'Opening Balance'!$B$15*(N(INDEX('Daily Sale entry '!$S$1:$S$1501,$J2522-1499))-TRUNC(N(INDEX('Daily Sale entry '!$S$1:$S$1501,$J2522-1499))))))</f>
        <v/>
      </c>
      <c r="G2522" s="6">
        <f>IF($J2522="","",IF($J2522&lt;=1500,N(INDEX('Daily Sale entry '!$AD$1:$AD$1501,$J2522+1)),0))</f>
        <v/>
      </c>
      <c r="H2522" s="6">
        <f>IF($J2522="","",ROUND('Opening Balance'!$B$4+SUM($F$2:F2522)-SUM($G$2:G2522),2))</f>
        <v/>
      </c>
      <c r="J2522" s="21">
        <f>IFERROR(MATCH(ROW()-1,$L$2:$L$3001,0),"")</f>
        <v/>
      </c>
      <c r="K2522" s="34">
        <f>IF(AND('Daily Sale entry '!Q1022="Collection 收款",'Daily Sale entry '!R1022="Cheque 支票",'Daily Sale entry '!V1022&lt;&gt;""),'Daily Sale entry '!V1022+ROW()/10000000,"")</f>
        <v/>
      </c>
      <c r="L2522" s="21">
        <f>IF(K2522="","",COUNTIF($K$2:$K$3001,"&lt;"&amp;K2522)+1)</f>
        <v/>
      </c>
    </row>
    <row r="2523">
      <c r="A2523" s="5">
        <f>IF($J2523="","",IF($J2523&lt;=1500,INDEX('Daily Sale entry '!$X$1:$X$1501,$J2523+1),INDEX('Daily Sale entry '!$V$1:$V$1501,$J2523-1499)))</f>
        <v/>
      </c>
      <c r="B2523">
        <f>IF($J2523="","",IF($J2523&lt;=1500,INDEX('Daily Sale entry '!$Y$1:$Y$1501,$J2523+1)&amp;"","Buyer cheque banked 买家支票存入"&amp;IF(INDEX('Daily Sale entry '!$U$1:$U$1501,$J2523-1499)="","", " - "&amp;INDEX('Daily Sale entry '!$U$1:$U$1501,$J2523-1499))))</f>
        <v/>
      </c>
      <c r="C2523">
        <f>IF($J2523="","",IF($J2523&lt;=1500,INDEX('Daily Sale entry '!$Z$1:$Z$1501,$J2523+1)&amp;"","Cheque deposit 支票存入 (buyer 买家)"))</f>
        <v/>
      </c>
      <c r="D2523">
        <f>IF($J2523="","",IF($J2523&lt;=1500,INDEX('Daily Sale entry '!$AA$1:$AA$1501,$J2523+1)&amp;"",INDEX('Daily Sale entry '!$P$1:$P$1501,$J2523-1499)&amp;""))</f>
        <v/>
      </c>
      <c r="E2523">
        <f>IF($J2523="","",IF($J2523&lt;=1500,IF(N(INDEX('Daily Sale entry '!$AB$1:$AB$1501,$J2523+1))=0,"",INDEX('Daily Sale entry '!$AB$1:$AB$1501,$J2523+1)),1))</f>
        <v/>
      </c>
      <c r="F2523" s="6">
        <f>IF($J2523="","",IF($J2523&lt;=1500,N(INDEX('Daily Sale entry '!$AC$1:$AC$1501,$J2523+1))-IF(AND('Opening Balance'!$B$15=1,INDEX('Daily Sale entry '!$Z$1:$Z$1501,$J2523+1)="Online collection 网上收款",INDEX('Daily Sale entry '!$AA$1:$AA$1501,$J2523+1)&lt;&gt;""),N(INDEX('Daily Sale entry '!$AC$1:$AC$1501,$J2523+1))-TRUNC(N(INDEX('Daily Sale entry '!$AC$1:$AC$1501,$J2523+1))),0),N(INDEX('Daily Sale entry '!$S$1:$S$1501,$J2523-1499))-'Opening Balance'!$B$15*(N(INDEX('Daily Sale entry '!$S$1:$S$1501,$J2523-1499))-TRUNC(N(INDEX('Daily Sale entry '!$S$1:$S$1501,$J2523-1499))))))</f>
        <v/>
      </c>
      <c r="G2523" s="6">
        <f>IF($J2523="","",IF($J2523&lt;=1500,N(INDEX('Daily Sale entry '!$AD$1:$AD$1501,$J2523+1)),0))</f>
        <v/>
      </c>
      <c r="H2523" s="6">
        <f>IF($J2523="","",ROUND('Opening Balance'!$B$4+SUM($F$2:F2523)-SUM($G$2:G2523),2))</f>
        <v/>
      </c>
      <c r="J2523" s="21">
        <f>IFERROR(MATCH(ROW()-1,$L$2:$L$3001,0),"")</f>
        <v/>
      </c>
      <c r="K2523" s="34">
        <f>IF(AND('Daily Sale entry '!Q1023="Collection 收款",'Daily Sale entry '!R1023="Cheque 支票",'Daily Sale entry '!V1023&lt;&gt;""),'Daily Sale entry '!V1023+ROW()/10000000,"")</f>
        <v/>
      </c>
      <c r="L2523" s="21">
        <f>IF(K2523="","",COUNTIF($K$2:$K$3001,"&lt;"&amp;K2523)+1)</f>
        <v/>
      </c>
    </row>
    <row r="2524">
      <c r="A2524" s="5">
        <f>IF($J2524="","",IF($J2524&lt;=1500,INDEX('Daily Sale entry '!$X$1:$X$1501,$J2524+1),INDEX('Daily Sale entry '!$V$1:$V$1501,$J2524-1499)))</f>
        <v/>
      </c>
      <c r="B2524">
        <f>IF($J2524="","",IF($J2524&lt;=1500,INDEX('Daily Sale entry '!$Y$1:$Y$1501,$J2524+1)&amp;"","Buyer cheque banked 买家支票存入"&amp;IF(INDEX('Daily Sale entry '!$U$1:$U$1501,$J2524-1499)="","", " - "&amp;INDEX('Daily Sale entry '!$U$1:$U$1501,$J2524-1499))))</f>
        <v/>
      </c>
      <c r="C2524">
        <f>IF($J2524="","",IF($J2524&lt;=1500,INDEX('Daily Sale entry '!$Z$1:$Z$1501,$J2524+1)&amp;"","Cheque deposit 支票存入 (buyer 买家)"))</f>
        <v/>
      </c>
      <c r="D2524">
        <f>IF($J2524="","",IF($J2524&lt;=1500,INDEX('Daily Sale entry '!$AA$1:$AA$1501,$J2524+1)&amp;"",INDEX('Daily Sale entry '!$P$1:$P$1501,$J2524-1499)&amp;""))</f>
        <v/>
      </c>
      <c r="E2524">
        <f>IF($J2524="","",IF($J2524&lt;=1500,IF(N(INDEX('Daily Sale entry '!$AB$1:$AB$1501,$J2524+1))=0,"",INDEX('Daily Sale entry '!$AB$1:$AB$1501,$J2524+1)),1))</f>
        <v/>
      </c>
      <c r="F2524" s="6">
        <f>IF($J2524="","",IF($J2524&lt;=1500,N(INDEX('Daily Sale entry '!$AC$1:$AC$1501,$J2524+1))-IF(AND('Opening Balance'!$B$15=1,INDEX('Daily Sale entry '!$Z$1:$Z$1501,$J2524+1)="Online collection 网上收款",INDEX('Daily Sale entry '!$AA$1:$AA$1501,$J2524+1)&lt;&gt;""),N(INDEX('Daily Sale entry '!$AC$1:$AC$1501,$J2524+1))-TRUNC(N(INDEX('Daily Sale entry '!$AC$1:$AC$1501,$J2524+1))),0),N(INDEX('Daily Sale entry '!$S$1:$S$1501,$J2524-1499))-'Opening Balance'!$B$15*(N(INDEX('Daily Sale entry '!$S$1:$S$1501,$J2524-1499))-TRUNC(N(INDEX('Daily Sale entry '!$S$1:$S$1501,$J2524-1499))))))</f>
        <v/>
      </c>
      <c r="G2524" s="6">
        <f>IF($J2524="","",IF($J2524&lt;=1500,N(INDEX('Daily Sale entry '!$AD$1:$AD$1501,$J2524+1)),0))</f>
        <v/>
      </c>
      <c r="H2524" s="6">
        <f>IF($J2524="","",ROUND('Opening Balance'!$B$4+SUM($F$2:F2524)-SUM($G$2:G2524),2))</f>
        <v/>
      </c>
      <c r="J2524" s="21">
        <f>IFERROR(MATCH(ROW()-1,$L$2:$L$3001,0),"")</f>
        <v/>
      </c>
      <c r="K2524" s="34">
        <f>IF(AND('Daily Sale entry '!Q1024="Collection 收款",'Daily Sale entry '!R1024="Cheque 支票",'Daily Sale entry '!V1024&lt;&gt;""),'Daily Sale entry '!V1024+ROW()/10000000,"")</f>
        <v/>
      </c>
      <c r="L2524" s="21">
        <f>IF(K2524="","",COUNTIF($K$2:$K$3001,"&lt;"&amp;K2524)+1)</f>
        <v/>
      </c>
    </row>
    <row r="2525">
      <c r="A2525" s="5">
        <f>IF($J2525="","",IF($J2525&lt;=1500,INDEX('Daily Sale entry '!$X$1:$X$1501,$J2525+1),INDEX('Daily Sale entry '!$V$1:$V$1501,$J2525-1499)))</f>
        <v/>
      </c>
      <c r="B2525">
        <f>IF($J2525="","",IF($J2525&lt;=1500,INDEX('Daily Sale entry '!$Y$1:$Y$1501,$J2525+1)&amp;"","Buyer cheque banked 买家支票存入"&amp;IF(INDEX('Daily Sale entry '!$U$1:$U$1501,$J2525-1499)="","", " - "&amp;INDEX('Daily Sale entry '!$U$1:$U$1501,$J2525-1499))))</f>
        <v/>
      </c>
      <c r="C2525">
        <f>IF($J2525="","",IF($J2525&lt;=1500,INDEX('Daily Sale entry '!$Z$1:$Z$1501,$J2525+1)&amp;"","Cheque deposit 支票存入 (buyer 买家)"))</f>
        <v/>
      </c>
      <c r="D2525">
        <f>IF($J2525="","",IF($J2525&lt;=1500,INDEX('Daily Sale entry '!$AA$1:$AA$1501,$J2525+1)&amp;"",INDEX('Daily Sale entry '!$P$1:$P$1501,$J2525-1499)&amp;""))</f>
        <v/>
      </c>
      <c r="E2525">
        <f>IF($J2525="","",IF($J2525&lt;=1500,IF(N(INDEX('Daily Sale entry '!$AB$1:$AB$1501,$J2525+1))=0,"",INDEX('Daily Sale entry '!$AB$1:$AB$1501,$J2525+1)),1))</f>
        <v/>
      </c>
      <c r="F2525" s="6">
        <f>IF($J2525="","",IF($J2525&lt;=1500,N(INDEX('Daily Sale entry '!$AC$1:$AC$1501,$J2525+1))-IF(AND('Opening Balance'!$B$15=1,INDEX('Daily Sale entry '!$Z$1:$Z$1501,$J2525+1)="Online collection 网上收款",INDEX('Daily Sale entry '!$AA$1:$AA$1501,$J2525+1)&lt;&gt;""),N(INDEX('Daily Sale entry '!$AC$1:$AC$1501,$J2525+1))-TRUNC(N(INDEX('Daily Sale entry '!$AC$1:$AC$1501,$J2525+1))),0),N(INDEX('Daily Sale entry '!$S$1:$S$1501,$J2525-1499))-'Opening Balance'!$B$15*(N(INDEX('Daily Sale entry '!$S$1:$S$1501,$J2525-1499))-TRUNC(N(INDEX('Daily Sale entry '!$S$1:$S$1501,$J2525-1499))))))</f>
        <v/>
      </c>
      <c r="G2525" s="6">
        <f>IF($J2525="","",IF($J2525&lt;=1500,N(INDEX('Daily Sale entry '!$AD$1:$AD$1501,$J2525+1)),0))</f>
        <v/>
      </c>
      <c r="H2525" s="6">
        <f>IF($J2525="","",ROUND('Opening Balance'!$B$4+SUM($F$2:F2525)-SUM($G$2:G2525),2))</f>
        <v/>
      </c>
      <c r="J2525" s="21">
        <f>IFERROR(MATCH(ROW()-1,$L$2:$L$3001,0),"")</f>
        <v/>
      </c>
      <c r="K2525" s="34">
        <f>IF(AND('Daily Sale entry '!Q1025="Collection 收款",'Daily Sale entry '!R1025="Cheque 支票",'Daily Sale entry '!V1025&lt;&gt;""),'Daily Sale entry '!V1025+ROW()/10000000,"")</f>
        <v/>
      </c>
      <c r="L2525" s="21">
        <f>IF(K2525="","",COUNTIF($K$2:$K$3001,"&lt;"&amp;K2525)+1)</f>
        <v/>
      </c>
    </row>
    <row r="2526">
      <c r="A2526" s="5">
        <f>IF($J2526="","",IF($J2526&lt;=1500,INDEX('Daily Sale entry '!$X$1:$X$1501,$J2526+1),INDEX('Daily Sale entry '!$V$1:$V$1501,$J2526-1499)))</f>
        <v/>
      </c>
      <c r="B2526">
        <f>IF($J2526="","",IF($J2526&lt;=1500,INDEX('Daily Sale entry '!$Y$1:$Y$1501,$J2526+1)&amp;"","Buyer cheque banked 买家支票存入"&amp;IF(INDEX('Daily Sale entry '!$U$1:$U$1501,$J2526-1499)="","", " - "&amp;INDEX('Daily Sale entry '!$U$1:$U$1501,$J2526-1499))))</f>
        <v/>
      </c>
      <c r="C2526">
        <f>IF($J2526="","",IF($J2526&lt;=1500,INDEX('Daily Sale entry '!$Z$1:$Z$1501,$J2526+1)&amp;"","Cheque deposit 支票存入 (buyer 买家)"))</f>
        <v/>
      </c>
      <c r="D2526">
        <f>IF($J2526="","",IF($J2526&lt;=1500,INDEX('Daily Sale entry '!$AA$1:$AA$1501,$J2526+1)&amp;"",INDEX('Daily Sale entry '!$P$1:$P$1501,$J2526-1499)&amp;""))</f>
        <v/>
      </c>
      <c r="E2526">
        <f>IF($J2526="","",IF($J2526&lt;=1500,IF(N(INDEX('Daily Sale entry '!$AB$1:$AB$1501,$J2526+1))=0,"",INDEX('Daily Sale entry '!$AB$1:$AB$1501,$J2526+1)),1))</f>
        <v/>
      </c>
      <c r="F2526" s="6">
        <f>IF($J2526="","",IF($J2526&lt;=1500,N(INDEX('Daily Sale entry '!$AC$1:$AC$1501,$J2526+1))-IF(AND('Opening Balance'!$B$15=1,INDEX('Daily Sale entry '!$Z$1:$Z$1501,$J2526+1)="Online collection 网上收款",INDEX('Daily Sale entry '!$AA$1:$AA$1501,$J2526+1)&lt;&gt;""),N(INDEX('Daily Sale entry '!$AC$1:$AC$1501,$J2526+1))-TRUNC(N(INDEX('Daily Sale entry '!$AC$1:$AC$1501,$J2526+1))),0),N(INDEX('Daily Sale entry '!$S$1:$S$1501,$J2526-1499))-'Opening Balance'!$B$15*(N(INDEX('Daily Sale entry '!$S$1:$S$1501,$J2526-1499))-TRUNC(N(INDEX('Daily Sale entry '!$S$1:$S$1501,$J2526-1499))))))</f>
        <v/>
      </c>
      <c r="G2526" s="6">
        <f>IF($J2526="","",IF($J2526&lt;=1500,N(INDEX('Daily Sale entry '!$AD$1:$AD$1501,$J2526+1)),0))</f>
        <v/>
      </c>
      <c r="H2526" s="6">
        <f>IF($J2526="","",ROUND('Opening Balance'!$B$4+SUM($F$2:F2526)-SUM($G$2:G2526),2))</f>
        <v/>
      </c>
      <c r="J2526" s="21">
        <f>IFERROR(MATCH(ROW()-1,$L$2:$L$3001,0),"")</f>
        <v/>
      </c>
      <c r="K2526" s="34">
        <f>IF(AND('Daily Sale entry '!Q1026="Collection 收款",'Daily Sale entry '!R1026="Cheque 支票",'Daily Sale entry '!V1026&lt;&gt;""),'Daily Sale entry '!V1026+ROW()/10000000,"")</f>
        <v/>
      </c>
      <c r="L2526" s="21">
        <f>IF(K2526="","",COUNTIF($K$2:$K$3001,"&lt;"&amp;K2526)+1)</f>
        <v/>
      </c>
    </row>
    <row r="2527">
      <c r="A2527" s="5">
        <f>IF($J2527="","",IF($J2527&lt;=1500,INDEX('Daily Sale entry '!$X$1:$X$1501,$J2527+1),INDEX('Daily Sale entry '!$V$1:$V$1501,$J2527-1499)))</f>
        <v/>
      </c>
      <c r="B2527">
        <f>IF($J2527="","",IF($J2527&lt;=1500,INDEX('Daily Sale entry '!$Y$1:$Y$1501,$J2527+1)&amp;"","Buyer cheque banked 买家支票存入"&amp;IF(INDEX('Daily Sale entry '!$U$1:$U$1501,$J2527-1499)="","", " - "&amp;INDEX('Daily Sale entry '!$U$1:$U$1501,$J2527-1499))))</f>
        <v/>
      </c>
      <c r="C2527">
        <f>IF($J2527="","",IF($J2527&lt;=1500,INDEX('Daily Sale entry '!$Z$1:$Z$1501,$J2527+1)&amp;"","Cheque deposit 支票存入 (buyer 买家)"))</f>
        <v/>
      </c>
      <c r="D2527">
        <f>IF($J2527="","",IF($J2527&lt;=1500,INDEX('Daily Sale entry '!$AA$1:$AA$1501,$J2527+1)&amp;"",INDEX('Daily Sale entry '!$P$1:$P$1501,$J2527-1499)&amp;""))</f>
        <v/>
      </c>
      <c r="E2527">
        <f>IF($J2527="","",IF($J2527&lt;=1500,IF(N(INDEX('Daily Sale entry '!$AB$1:$AB$1501,$J2527+1))=0,"",INDEX('Daily Sale entry '!$AB$1:$AB$1501,$J2527+1)),1))</f>
        <v/>
      </c>
      <c r="F2527" s="6">
        <f>IF($J2527="","",IF($J2527&lt;=1500,N(INDEX('Daily Sale entry '!$AC$1:$AC$1501,$J2527+1))-IF(AND('Opening Balance'!$B$15=1,INDEX('Daily Sale entry '!$Z$1:$Z$1501,$J2527+1)="Online collection 网上收款",INDEX('Daily Sale entry '!$AA$1:$AA$1501,$J2527+1)&lt;&gt;""),N(INDEX('Daily Sale entry '!$AC$1:$AC$1501,$J2527+1))-TRUNC(N(INDEX('Daily Sale entry '!$AC$1:$AC$1501,$J2527+1))),0),N(INDEX('Daily Sale entry '!$S$1:$S$1501,$J2527-1499))-'Opening Balance'!$B$15*(N(INDEX('Daily Sale entry '!$S$1:$S$1501,$J2527-1499))-TRUNC(N(INDEX('Daily Sale entry '!$S$1:$S$1501,$J2527-1499))))))</f>
        <v/>
      </c>
      <c r="G2527" s="6">
        <f>IF($J2527="","",IF($J2527&lt;=1500,N(INDEX('Daily Sale entry '!$AD$1:$AD$1501,$J2527+1)),0))</f>
        <v/>
      </c>
      <c r="H2527" s="6">
        <f>IF($J2527="","",ROUND('Opening Balance'!$B$4+SUM($F$2:F2527)-SUM($G$2:G2527),2))</f>
        <v/>
      </c>
      <c r="J2527" s="21">
        <f>IFERROR(MATCH(ROW()-1,$L$2:$L$3001,0),"")</f>
        <v/>
      </c>
      <c r="K2527" s="34">
        <f>IF(AND('Daily Sale entry '!Q1027="Collection 收款",'Daily Sale entry '!R1027="Cheque 支票",'Daily Sale entry '!V1027&lt;&gt;""),'Daily Sale entry '!V1027+ROW()/10000000,"")</f>
        <v/>
      </c>
      <c r="L2527" s="21">
        <f>IF(K2527="","",COUNTIF($K$2:$K$3001,"&lt;"&amp;K2527)+1)</f>
        <v/>
      </c>
    </row>
    <row r="2528">
      <c r="A2528" s="5">
        <f>IF($J2528="","",IF($J2528&lt;=1500,INDEX('Daily Sale entry '!$X$1:$X$1501,$J2528+1),INDEX('Daily Sale entry '!$V$1:$V$1501,$J2528-1499)))</f>
        <v/>
      </c>
      <c r="B2528">
        <f>IF($J2528="","",IF($J2528&lt;=1500,INDEX('Daily Sale entry '!$Y$1:$Y$1501,$J2528+1)&amp;"","Buyer cheque banked 买家支票存入"&amp;IF(INDEX('Daily Sale entry '!$U$1:$U$1501,$J2528-1499)="","", " - "&amp;INDEX('Daily Sale entry '!$U$1:$U$1501,$J2528-1499))))</f>
        <v/>
      </c>
      <c r="C2528">
        <f>IF($J2528="","",IF($J2528&lt;=1500,INDEX('Daily Sale entry '!$Z$1:$Z$1501,$J2528+1)&amp;"","Cheque deposit 支票存入 (buyer 买家)"))</f>
        <v/>
      </c>
      <c r="D2528">
        <f>IF($J2528="","",IF($J2528&lt;=1500,INDEX('Daily Sale entry '!$AA$1:$AA$1501,$J2528+1)&amp;"",INDEX('Daily Sale entry '!$P$1:$P$1501,$J2528-1499)&amp;""))</f>
        <v/>
      </c>
      <c r="E2528">
        <f>IF($J2528="","",IF($J2528&lt;=1500,IF(N(INDEX('Daily Sale entry '!$AB$1:$AB$1501,$J2528+1))=0,"",INDEX('Daily Sale entry '!$AB$1:$AB$1501,$J2528+1)),1))</f>
        <v/>
      </c>
      <c r="F2528" s="6">
        <f>IF($J2528="","",IF($J2528&lt;=1500,N(INDEX('Daily Sale entry '!$AC$1:$AC$1501,$J2528+1))-IF(AND('Opening Balance'!$B$15=1,INDEX('Daily Sale entry '!$Z$1:$Z$1501,$J2528+1)="Online collection 网上收款",INDEX('Daily Sale entry '!$AA$1:$AA$1501,$J2528+1)&lt;&gt;""),N(INDEX('Daily Sale entry '!$AC$1:$AC$1501,$J2528+1))-TRUNC(N(INDEX('Daily Sale entry '!$AC$1:$AC$1501,$J2528+1))),0),N(INDEX('Daily Sale entry '!$S$1:$S$1501,$J2528-1499))-'Opening Balance'!$B$15*(N(INDEX('Daily Sale entry '!$S$1:$S$1501,$J2528-1499))-TRUNC(N(INDEX('Daily Sale entry '!$S$1:$S$1501,$J2528-1499))))))</f>
        <v/>
      </c>
      <c r="G2528" s="6">
        <f>IF($J2528="","",IF($J2528&lt;=1500,N(INDEX('Daily Sale entry '!$AD$1:$AD$1501,$J2528+1)),0))</f>
        <v/>
      </c>
      <c r="H2528" s="6">
        <f>IF($J2528="","",ROUND('Opening Balance'!$B$4+SUM($F$2:F2528)-SUM($G$2:G2528),2))</f>
        <v/>
      </c>
      <c r="J2528" s="21">
        <f>IFERROR(MATCH(ROW()-1,$L$2:$L$3001,0),"")</f>
        <v/>
      </c>
      <c r="K2528" s="34">
        <f>IF(AND('Daily Sale entry '!Q1028="Collection 收款",'Daily Sale entry '!R1028="Cheque 支票",'Daily Sale entry '!V1028&lt;&gt;""),'Daily Sale entry '!V1028+ROW()/10000000,"")</f>
        <v/>
      </c>
      <c r="L2528" s="21">
        <f>IF(K2528="","",COUNTIF($K$2:$K$3001,"&lt;"&amp;K2528)+1)</f>
        <v/>
      </c>
    </row>
    <row r="2529">
      <c r="A2529" s="5">
        <f>IF($J2529="","",IF($J2529&lt;=1500,INDEX('Daily Sale entry '!$X$1:$X$1501,$J2529+1),INDEX('Daily Sale entry '!$V$1:$V$1501,$J2529-1499)))</f>
        <v/>
      </c>
      <c r="B2529">
        <f>IF($J2529="","",IF($J2529&lt;=1500,INDEX('Daily Sale entry '!$Y$1:$Y$1501,$J2529+1)&amp;"","Buyer cheque banked 买家支票存入"&amp;IF(INDEX('Daily Sale entry '!$U$1:$U$1501,$J2529-1499)="","", " - "&amp;INDEX('Daily Sale entry '!$U$1:$U$1501,$J2529-1499))))</f>
        <v/>
      </c>
      <c r="C2529">
        <f>IF($J2529="","",IF($J2529&lt;=1500,INDEX('Daily Sale entry '!$Z$1:$Z$1501,$J2529+1)&amp;"","Cheque deposit 支票存入 (buyer 买家)"))</f>
        <v/>
      </c>
      <c r="D2529">
        <f>IF($J2529="","",IF($J2529&lt;=1500,INDEX('Daily Sale entry '!$AA$1:$AA$1501,$J2529+1)&amp;"",INDEX('Daily Sale entry '!$P$1:$P$1501,$J2529-1499)&amp;""))</f>
        <v/>
      </c>
      <c r="E2529">
        <f>IF($J2529="","",IF($J2529&lt;=1500,IF(N(INDEX('Daily Sale entry '!$AB$1:$AB$1501,$J2529+1))=0,"",INDEX('Daily Sale entry '!$AB$1:$AB$1501,$J2529+1)),1))</f>
        <v/>
      </c>
      <c r="F2529" s="6">
        <f>IF($J2529="","",IF($J2529&lt;=1500,N(INDEX('Daily Sale entry '!$AC$1:$AC$1501,$J2529+1))-IF(AND('Opening Balance'!$B$15=1,INDEX('Daily Sale entry '!$Z$1:$Z$1501,$J2529+1)="Online collection 网上收款",INDEX('Daily Sale entry '!$AA$1:$AA$1501,$J2529+1)&lt;&gt;""),N(INDEX('Daily Sale entry '!$AC$1:$AC$1501,$J2529+1))-TRUNC(N(INDEX('Daily Sale entry '!$AC$1:$AC$1501,$J2529+1))),0),N(INDEX('Daily Sale entry '!$S$1:$S$1501,$J2529-1499))-'Opening Balance'!$B$15*(N(INDEX('Daily Sale entry '!$S$1:$S$1501,$J2529-1499))-TRUNC(N(INDEX('Daily Sale entry '!$S$1:$S$1501,$J2529-1499))))))</f>
        <v/>
      </c>
      <c r="G2529" s="6">
        <f>IF($J2529="","",IF($J2529&lt;=1500,N(INDEX('Daily Sale entry '!$AD$1:$AD$1501,$J2529+1)),0))</f>
        <v/>
      </c>
      <c r="H2529" s="6">
        <f>IF($J2529="","",ROUND('Opening Balance'!$B$4+SUM($F$2:F2529)-SUM($G$2:G2529),2))</f>
        <v/>
      </c>
      <c r="J2529" s="21">
        <f>IFERROR(MATCH(ROW()-1,$L$2:$L$3001,0),"")</f>
        <v/>
      </c>
      <c r="K2529" s="34">
        <f>IF(AND('Daily Sale entry '!Q1029="Collection 收款",'Daily Sale entry '!R1029="Cheque 支票",'Daily Sale entry '!V1029&lt;&gt;""),'Daily Sale entry '!V1029+ROW()/10000000,"")</f>
        <v/>
      </c>
      <c r="L2529" s="21">
        <f>IF(K2529="","",COUNTIF($K$2:$K$3001,"&lt;"&amp;K2529)+1)</f>
        <v/>
      </c>
    </row>
    <row r="2530">
      <c r="A2530" s="5">
        <f>IF($J2530="","",IF($J2530&lt;=1500,INDEX('Daily Sale entry '!$X$1:$X$1501,$J2530+1),INDEX('Daily Sale entry '!$V$1:$V$1501,$J2530-1499)))</f>
        <v/>
      </c>
      <c r="B2530">
        <f>IF($J2530="","",IF($J2530&lt;=1500,INDEX('Daily Sale entry '!$Y$1:$Y$1501,$J2530+1)&amp;"","Buyer cheque banked 买家支票存入"&amp;IF(INDEX('Daily Sale entry '!$U$1:$U$1501,$J2530-1499)="","", " - "&amp;INDEX('Daily Sale entry '!$U$1:$U$1501,$J2530-1499))))</f>
        <v/>
      </c>
      <c r="C2530">
        <f>IF($J2530="","",IF($J2530&lt;=1500,INDEX('Daily Sale entry '!$Z$1:$Z$1501,$J2530+1)&amp;"","Cheque deposit 支票存入 (buyer 买家)"))</f>
        <v/>
      </c>
      <c r="D2530">
        <f>IF($J2530="","",IF($J2530&lt;=1500,INDEX('Daily Sale entry '!$AA$1:$AA$1501,$J2530+1)&amp;"",INDEX('Daily Sale entry '!$P$1:$P$1501,$J2530-1499)&amp;""))</f>
        <v/>
      </c>
      <c r="E2530">
        <f>IF($J2530="","",IF($J2530&lt;=1500,IF(N(INDEX('Daily Sale entry '!$AB$1:$AB$1501,$J2530+1))=0,"",INDEX('Daily Sale entry '!$AB$1:$AB$1501,$J2530+1)),1))</f>
        <v/>
      </c>
      <c r="F2530" s="6">
        <f>IF($J2530="","",IF($J2530&lt;=1500,N(INDEX('Daily Sale entry '!$AC$1:$AC$1501,$J2530+1))-IF(AND('Opening Balance'!$B$15=1,INDEX('Daily Sale entry '!$Z$1:$Z$1501,$J2530+1)="Online collection 网上收款",INDEX('Daily Sale entry '!$AA$1:$AA$1501,$J2530+1)&lt;&gt;""),N(INDEX('Daily Sale entry '!$AC$1:$AC$1501,$J2530+1))-TRUNC(N(INDEX('Daily Sale entry '!$AC$1:$AC$1501,$J2530+1))),0),N(INDEX('Daily Sale entry '!$S$1:$S$1501,$J2530-1499))-'Opening Balance'!$B$15*(N(INDEX('Daily Sale entry '!$S$1:$S$1501,$J2530-1499))-TRUNC(N(INDEX('Daily Sale entry '!$S$1:$S$1501,$J2530-1499))))))</f>
        <v/>
      </c>
      <c r="G2530" s="6">
        <f>IF($J2530="","",IF($J2530&lt;=1500,N(INDEX('Daily Sale entry '!$AD$1:$AD$1501,$J2530+1)),0))</f>
        <v/>
      </c>
      <c r="H2530" s="6">
        <f>IF($J2530="","",ROUND('Opening Balance'!$B$4+SUM($F$2:F2530)-SUM($G$2:G2530),2))</f>
        <v/>
      </c>
      <c r="J2530" s="21">
        <f>IFERROR(MATCH(ROW()-1,$L$2:$L$3001,0),"")</f>
        <v/>
      </c>
      <c r="K2530" s="34">
        <f>IF(AND('Daily Sale entry '!Q1030="Collection 收款",'Daily Sale entry '!R1030="Cheque 支票",'Daily Sale entry '!V1030&lt;&gt;""),'Daily Sale entry '!V1030+ROW()/10000000,"")</f>
        <v/>
      </c>
      <c r="L2530" s="21">
        <f>IF(K2530="","",COUNTIF($K$2:$K$3001,"&lt;"&amp;K2530)+1)</f>
        <v/>
      </c>
    </row>
    <row r="2531">
      <c r="A2531" s="5">
        <f>IF($J2531="","",IF($J2531&lt;=1500,INDEX('Daily Sale entry '!$X$1:$X$1501,$J2531+1),INDEX('Daily Sale entry '!$V$1:$V$1501,$J2531-1499)))</f>
        <v/>
      </c>
      <c r="B2531">
        <f>IF($J2531="","",IF($J2531&lt;=1500,INDEX('Daily Sale entry '!$Y$1:$Y$1501,$J2531+1)&amp;"","Buyer cheque banked 买家支票存入"&amp;IF(INDEX('Daily Sale entry '!$U$1:$U$1501,$J2531-1499)="","", " - "&amp;INDEX('Daily Sale entry '!$U$1:$U$1501,$J2531-1499))))</f>
        <v/>
      </c>
      <c r="C2531">
        <f>IF($J2531="","",IF($J2531&lt;=1500,INDEX('Daily Sale entry '!$Z$1:$Z$1501,$J2531+1)&amp;"","Cheque deposit 支票存入 (buyer 买家)"))</f>
        <v/>
      </c>
      <c r="D2531">
        <f>IF($J2531="","",IF($J2531&lt;=1500,INDEX('Daily Sale entry '!$AA$1:$AA$1501,$J2531+1)&amp;"",INDEX('Daily Sale entry '!$P$1:$P$1501,$J2531-1499)&amp;""))</f>
        <v/>
      </c>
      <c r="E2531">
        <f>IF($J2531="","",IF($J2531&lt;=1500,IF(N(INDEX('Daily Sale entry '!$AB$1:$AB$1501,$J2531+1))=0,"",INDEX('Daily Sale entry '!$AB$1:$AB$1501,$J2531+1)),1))</f>
        <v/>
      </c>
      <c r="F2531" s="6">
        <f>IF($J2531="","",IF($J2531&lt;=1500,N(INDEX('Daily Sale entry '!$AC$1:$AC$1501,$J2531+1))-IF(AND('Opening Balance'!$B$15=1,INDEX('Daily Sale entry '!$Z$1:$Z$1501,$J2531+1)="Online collection 网上收款",INDEX('Daily Sale entry '!$AA$1:$AA$1501,$J2531+1)&lt;&gt;""),N(INDEX('Daily Sale entry '!$AC$1:$AC$1501,$J2531+1))-TRUNC(N(INDEX('Daily Sale entry '!$AC$1:$AC$1501,$J2531+1))),0),N(INDEX('Daily Sale entry '!$S$1:$S$1501,$J2531-1499))-'Opening Balance'!$B$15*(N(INDEX('Daily Sale entry '!$S$1:$S$1501,$J2531-1499))-TRUNC(N(INDEX('Daily Sale entry '!$S$1:$S$1501,$J2531-1499))))))</f>
        <v/>
      </c>
      <c r="G2531" s="6">
        <f>IF($J2531="","",IF($J2531&lt;=1500,N(INDEX('Daily Sale entry '!$AD$1:$AD$1501,$J2531+1)),0))</f>
        <v/>
      </c>
      <c r="H2531" s="6">
        <f>IF($J2531="","",ROUND('Opening Balance'!$B$4+SUM($F$2:F2531)-SUM($G$2:G2531),2))</f>
        <v/>
      </c>
      <c r="J2531" s="21">
        <f>IFERROR(MATCH(ROW()-1,$L$2:$L$3001,0),"")</f>
        <v/>
      </c>
      <c r="K2531" s="34">
        <f>IF(AND('Daily Sale entry '!Q1031="Collection 收款",'Daily Sale entry '!R1031="Cheque 支票",'Daily Sale entry '!V1031&lt;&gt;""),'Daily Sale entry '!V1031+ROW()/10000000,"")</f>
        <v/>
      </c>
      <c r="L2531" s="21">
        <f>IF(K2531="","",COUNTIF($K$2:$K$3001,"&lt;"&amp;K2531)+1)</f>
        <v/>
      </c>
    </row>
    <row r="2532">
      <c r="A2532" s="5">
        <f>IF($J2532="","",IF($J2532&lt;=1500,INDEX('Daily Sale entry '!$X$1:$X$1501,$J2532+1),INDEX('Daily Sale entry '!$V$1:$V$1501,$J2532-1499)))</f>
        <v/>
      </c>
      <c r="B2532">
        <f>IF($J2532="","",IF($J2532&lt;=1500,INDEX('Daily Sale entry '!$Y$1:$Y$1501,$J2532+1)&amp;"","Buyer cheque banked 买家支票存入"&amp;IF(INDEX('Daily Sale entry '!$U$1:$U$1501,$J2532-1499)="","", " - "&amp;INDEX('Daily Sale entry '!$U$1:$U$1501,$J2532-1499))))</f>
        <v/>
      </c>
      <c r="C2532">
        <f>IF($J2532="","",IF($J2532&lt;=1500,INDEX('Daily Sale entry '!$Z$1:$Z$1501,$J2532+1)&amp;"","Cheque deposit 支票存入 (buyer 买家)"))</f>
        <v/>
      </c>
      <c r="D2532">
        <f>IF($J2532="","",IF($J2532&lt;=1500,INDEX('Daily Sale entry '!$AA$1:$AA$1501,$J2532+1)&amp;"",INDEX('Daily Sale entry '!$P$1:$P$1501,$J2532-1499)&amp;""))</f>
        <v/>
      </c>
      <c r="E2532">
        <f>IF($J2532="","",IF($J2532&lt;=1500,IF(N(INDEX('Daily Sale entry '!$AB$1:$AB$1501,$J2532+1))=0,"",INDEX('Daily Sale entry '!$AB$1:$AB$1501,$J2532+1)),1))</f>
        <v/>
      </c>
      <c r="F2532" s="6">
        <f>IF($J2532="","",IF($J2532&lt;=1500,N(INDEX('Daily Sale entry '!$AC$1:$AC$1501,$J2532+1))-IF(AND('Opening Balance'!$B$15=1,INDEX('Daily Sale entry '!$Z$1:$Z$1501,$J2532+1)="Online collection 网上收款",INDEX('Daily Sale entry '!$AA$1:$AA$1501,$J2532+1)&lt;&gt;""),N(INDEX('Daily Sale entry '!$AC$1:$AC$1501,$J2532+1))-TRUNC(N(INDEX('Daily Sale entry '!$AC$1:$AC$1501,$J2532+1))),0),N(INDEX('Daily Sale entry '!$S$1:$S$1501,$J2532-1499))-'Opening Balance'!$B$15*(N(INDEX('Daily Sale entry '!$S$1:$S$1501,$J2532-1499))-TRUNC(N(INDEX('Daily Sale entry '!$S$1:$S$1501,$J2532-1499))))))</f>
        <v/>
      </c>
      <c r="G2532" s="6">
        <f>IF($J2532="","",IF($J2532&lt;=1500,N(INDEX('Daily Sale entry '!$AD$1:$AD$1501,$J2532+1)),0))</f>
        <v/>
      </c>
      <c r="H2532" s="6">
        <f>IF($J2532="","",ROUND('Opening Balance'!$B$4+SUM($F$2:F2532)-SUM($G$2:G2532),2))</f>
        <v/>
      </c>
      <c r="J2532" s="21">
        <f>IFERROR(MATCH(ROW()-1,$L$2:$L$3001,0),"")</f>
        <v/>
      </c>
      <c r="K2532" s="34">
        <f>IF(AND('Daily Sale entry '!Q1032="Collection 收款",'Daily Sale entry '!R1032="Cheque 支票",'Daily Sale entry '!V1032&lt;&gt;""),'Daily Sale entry '!V1032+ROW()/10000000,"")</f>
        <v/>
      </c>
      <c r="L2532" s="21">
        <f>IF(K2532="","",COUNTIF($K$2:$K$3001,"&lt;"&amp;K2532)+1)</f>
        <v/>
      </c>
    </row>
    <row r="2533">
      <c r="A2533" s="5">
        <f>IF($J2533="","",IF($J2533&lt;=1500,INDEX('Daily Sale entry '!$X$1:$X$1501,$J2533+1),INDEX('Daily Sale entry '!$V$1:$V$1501,$J2533-1499)))</f>
        <v/>
      </c>
      <c r="B2533">
        <f>IF($J2533="","",IF($J2533&lt;=1500,INDEX('Daily Sale entry '!$Y$1:$Y$1501,$J2533+1)&amp;"","Buyer cheque banked 买家支票存入"&amp;IF(INDEX('Daily Sale entry '!$U$1:$U$1501,$J2533-1499)="","", " - "&amp;INDEX('Daily Sale entry '!$U$1:$U$1501,$J2533-1499))))</f>
        <v/>
      </c>
      <c r="C2533">
        <f>IF($J2533="","",IF($J2533&lt;=1500,INDEX('Daily Sale entry '!$Z$1:$Z$1501,$J2533+1)&amp;"","Cheque deposit 支票存入 (buyer 买家)"))</f>
        <v/>
      </c>
      <c r="D2533">
        <f>IF($J2533="","",IF($J2533&lt;=1500,INDEX('Daily Sale entry '!$AA$1:$AA$1501,$J2533+1)&amp;"",INDEX('Daily Sale entry '!$P$1:$P$1501,$J2533-1499)&amp;""))</f>
        <v/>
      </c>
      <c r="E2533">
        <f>IF($J2533="","",IF($J2533&lt;=1500,IF(N(INDEX('Daily Sale entry '!$AB$1:$AB$1501,$J2533+1))=0,"",INDEX('Daily Sale entry '!$AB$1:$AB$1501,$J2533+1)),1))</f>
        <v/>
      </c>
      <c r="F2533" s="6">
        <f>IF($J2533="","",IF($J2533&lt;=1500,N(INDEX('Daily Sale entry '!$AC$1:$AC$1501,$J2533+1))-IF(AND('Opening Balance'!$B$15=1,INDEX('Daily Sale entry '!$Z$1:$Z$1501,$J2533+1)="Online collection 网上收款",INDEX('Daily Sale entry '!$AA$1:$AA$1501,$J2533+1)&lt;&gt;""),N(INDEX('Daily Sale entry '!$AC$1:$AC$1501,$J2533+1))-TRUNC(N(INDEX('Daily Sale entry '!$AC$1:$AC$1501,$J2533+1))),0),N(INDEX('Daily Sale entry '!$S$1:$S$1501,$J2533-1499))-'Opening Balance'!$B$15*(N(INDEX('Daily Sale entry '!$S$1:$S$1501,$J2533-1499))-TRUNC(N(INDEX('Daily Sale entry '!$S$1:$S$1501,$J2533-1499))))))</f>
        <v/>
      </c>
      <c r="G2533" s="6">
        <f>IF($J2533="","",IF($J2533&lt;=1500,N(INDEX('Daily Sale entry '!$AD$1:$AD$1501,$J2533+1)),0))</f>
        <v/>
      </c>
      <c r="H2533" s="6">
        <f>IF($J2533="","",ROUND('Opening Balance'!$B$4+SUM($F$2:F2533)-SUM($G$2:G2533),2))</f>
        <v/>
      </c>
      <c r="J2533" s="21">
        <f>IFERROR(MATCH(ROW()-1,$L$2:$L$3001,0),"")</f>
        <v/>
      </c>
      <c r="K2533" s="34">
        <f>IF(AND('Daily Sale entry '!Q1033="Collection 收款",'Daily Sale entry '!R1033="Cheque 支票",'Daily Sale entry '!V1033&lt;&gt;""),'Daily Sale entry '!V1033+ROW()/10000000,"")</f>
        <v/>
      </c>
      <c r="L2533" s="21">
        <f>IF(K2533="","",COUNTIF($K$2:$K$3001,"&lt;"&amp;K2533)+1)</f>
        <v/>
      </c>
    </row>
    <row r="2534">
      <c r="A2534" s="5">
        <f>IF($J2534="","",IF($J2534&lt;=1500,INDEX('Daily Sale entry '!$X$1:$X$1501,$J2534+1),INDEX('Daily Sale entry '!$V$1:$V$1501,$J2534-1499)))</f>
        <v/>
      </c>
      <c r="B2534">
        <f>IF($J2534="","",IF($J2534&lt;=1500,INDEX('Daily Sale entry '!$Y$1:$Y$1501,$J2534+1)&amp;"","Buyer cheque banked 买家支票存入"&amp;IF(INDEX('Daily Sale entry '!$U$1:$U$1501,$J2534-1499)="","", " - "&amp;INDEX('Daily Sale entry '!$U$1:$U$1501,$J2534-1499))))</f>
        <v/>
      </c>
      <c r="C2534">
        <f>IF($J2534="","",IF($J2534&lt;=1500,INDEX('Daily Sale entry '!$Z$1:$Z$1501,$J2534+1)&amp;"","Cheque deposit 支票存入 (buyer 买家)"))</f>
        <v/>
      </c>
      <c r="D2534">
        <f>IF($J2534="","",IF($J2534&lt;=1500,INDEX('Daily Sale entry '!$AA$1:$AA$1501,$J2534+1)&amp;"",INDEX('Daily Sale entry '!$P$1:$P$1501,$J2534-1499)&amp;""))</f>
        <v/>
      </c>
      <c r="E2534">
        <f>IF($J2534="","",IF($J2534&lt;=1500,IF(N(INDEX('Daily Sale entry '!$AB$1:$AB$1501,$J2534+1))=0,"",INDEX('Daily Sale entry '!$AB$1:$AB$1501,$J2534+1)),1))</f>
        <v/>
      </c>
      <c r="F2534" s="6">
        <f>IF($J2534="","",IF($J2534&lt;=1500,N(INDEX('Daily Sale entry '!$AC$1:$AC$1501,$J2534+1))-IF(AND('Opening Balance'!$B$15=1,INDEX('Daily Sale entry '!$Z$1:$Z$1501,$J2534+1)="Online collection 网上收款",INDEX('Daily Sale entry '!$AA$1:$AA$1501,$J2534+1)&lt;&gt;""),N(INDEX('Daily Sale entry '!$AC$1:$AC$1501,$J2534+1))-TRUNC(N(INDEX('Daily Sale entry '!$AC$1:$AC$1501,$J2534+1))),0),N(INDEX('Daily Sale entry '!$S$1:$S$1501,$J2534-1499))-'Opening Balance'!$B$15*(N(INDEX('Daily Sale entry '!$S$1:$S$1501,$J2534-1499))-TRUNC(N(INDEX('Daily Sale entry '!$S$1:$S$1501,$J2534-1499))))))</f>
        <v/>
      </c>
      <c r="G2534" s="6">
        <f>IF($J2534="","",IF($J2534&lt;=1500,N(INDEX('Daily Sale entry '!$AD$1:$AD$1501,$J2534+1)),0))</f>
        <v/>
      </c>
      <c r="H2534" s="6">
        <f>IF($J2534="","",ROUND('Opening Balance'!$B$4+SUM($F$2:F2534)-SUM($G$2:G2534),2))</f>
        <v/>
      </c>
      <c r="J2534" s="21">
        <f>IFERROR(MATCH(ROW()-1,$L$2:$L$3001,0),"")</f>
        <v/>
      </c>
      <c r="K2534" s="34">
        <f>IF(AND('Daily Sale entry '!Q1034="Collection 收款",'Daily Sale entry '!R1034="Cheque 支票",'Daily Sale entry '!V1034&lt;&gt;""),'Daily Sale entry '!V1034+ROW()/10000000,"")</f>
        <v/>
      </c>
      <c r="L2534" s="21">
        <f>IF(K2534="","",COUNTIF($K$2:$K$3001,"&lt;"&amp;K2534)+1)</f>
        <v/>
      </c>
    </row>
    <row r="2535">
      <c r="A2535" s="5">
        <f>IF($J2535="","",IF($J2535&lt;=1500,INDEX('Daily Sale entry '!$X$1:$X$1501,$J2535+1),INDEX('Daily Sale entry '!$V$1:$V$1501,$J2535-1499)))</f>
        <v/>
      </c>
      <c r="B2535">
        <f>IF($J2535="","",IF($J2535&lt;=1500,INDEX('Daily Sale entry '!$Y$1:$Y$1501,$J2535+1)&amp;"","Buyer cheque banked 买家支票存入"&amp;IF(INDEX('Daily Sale entry '!$U$1:$U$1501,$J2535-1499)="","", " - "&amp;INDEX('Daily Sale entry '!$U$1:$U$1501,$J2535-1499))))</f>
        <v/>
      </c>
      <c r="C2535">
        <f>IF($J2535="","",IF($J2535&lt;=1500,INDEX('Daily Sale entry '!$Z$1:$Z$1501,$J2535+1)&amp;"","Cheque deposit 支票存入 (buyer 买家)"))</f>
        <v/>
      </c>
      <c r="D2535">
        <f>IF($J2535="","",IF($J2535&lt;=1500,INDEX('Daily Sale entry '!$AA$1:$AA$1501,$J2535+1)&amp;"",INDEX('Daily Sale entry '!$P$1:$P$1501,$J2535-1499)&amp;""))</f>
        <v/>
      </c>
      <c r="E2535">
        <f>IF($J2535="","",IF($J2535&lt;=1500,IF(N(INDEX('Daily Sale entry '!$AB$1:$AB$1501,$J2535+1))=0,"",INDEX('Daily Sale entry '!$AB$1:$AB$1501,$J2535+1)),1))</f>
        <v/>
      </c>
      <c r="F2535" s="6">
        <f>IF($J2535="","",IF($J2535&lt;=1500,N(INDEX('Daily Sale entry '!$AC$1:$AC$1501,$J2535+1))-IF(AND('Opening Balance'!$B$15=1,INDEX('Daily Sale entry '!$Z$1:$Z$1501,$J2535+1)="Online collection 网上收款",INDEX('Daily Sale entry '!$AA$1:$AA$1501,$J2535+1)&lt;&gt;""),N(INDEX('Daily Sale entry '!$AC$1:$AC$1501,$J2535+1))-TRUNC(N(INDEX('Daily Sale entry '!$AC$1:$AC$1501,$J2535+1))),0),N(INDEX('Daily Sale entry '!$S$1:$S$1501,$J2535-1499))-'Opening Balance'!$B$15*(N(INDEX('Daily Sale entry '!$S$1:$S$1501,$J2535-1499))-TRUNC(N(INDEX('Daily Sale entry '!$S$1:$S$1501,$J2535-1499))))))</f>
        <v/>
      </c>
      <c r="G2535" s="6">
        <f>IF($J2535="","",IF($J2535&lt;=1500,N(INDEX('Daily Sale entry '!$AD$1:$AD$1501,$J2535+1)),0))</f>
        <v/>
      </c>
      <c r="H2535" s="6">
        <f>IF($J2535="","",ROUND('Opening Balance'!$B$4+SUM($F$2:F2535)-SUM($G$2:G2535),2))</f>
        <v/>
      </c>
      <c r="J2535" s="21">
        <f>IFERROR(MATCH(ROW()-1,$L$2:$L$3001,0),"")</f>
        <v/>
      </c>
      <c r="K2535" s="34">
        <f>IF(AND('Daily Sale entry '!Q1035="Collection 收款",'Daily Sale entry '!R1035="Cheque 支票",'Daily Sale entry '!V1035&lt;&gt;""),'Daily Sale entry '!V1035+ROW()/10000000,"")</f>
        <v/>
      </c>
      <c r="L2535" s="21">
        <f>IF(K2535="","",COUNTIF($K$2:$K$3001,"&lt;"&amp;K2535)+1)</f>
        <v/>
      </c>
    </row>
    <row r="2536">
      <c r="A2536" s="5">
        <f>IF($J2536="","",IF($J2536&lt;=1500,INDEX('Daily Sale entry '!$X$1:$X$1501,$J2536+1),INDEX('Daily Sale entry '!$V$1:$V$1501,$J2536-1499)))</f>
        <v/>
      </c>
      <c r="B2536">
        <f>IF($J2536="","",IF($J2536&lt;=1500,INDEX('Daily Sale entry '!$Y$1:$Y$1501,$J2536+1)&amp;"","Buyer cheque banked 买家支票存入"&amp;IF(INDEX('Daily Sale entry '!$U$1:$U$1501,$J2536-1499)="","", " - "&amp;INDEX('Daily Sale entry '!$U$1:$U$1501,$J2536-1499))))</f>
        <v/>
      </c>
      <c r="C2536">
        <f>IF($J2536="","",IF($J2536&lt;=1500,INDEX('Daily Sale entry '!$Z$1:$Z$1501,$J2536+1)&amp;"","Cheque deposit 支票存入 (buyer 买家)"))</f>
        <v/>
      </c>
      <c r="D2536">
        <f>IF($J2536="","",IF($J2536&lt;=1500,INDEX('Daily Sale entry '!$AA$1:$AA$1501,$J2536+1)&amp;"",INDEX('Daily Sale entry '!$P$1:$P$1501,$J2536-1499)&amp;""))</f>
        <v/>
      </c>
      <c r="E2536">
        <f>IF($J2536="","",IF($J2536&lt;=1500,IF(N(INDEX('Daily Sale entry '!$AB$1:$AB$1501,$J2536+1))=0,"",INDEX('Daily Sale entry '!$AB$1:$AB$1501,$J2536+1)),1))</f>
        <v/>
      </c>
      <c r="F2536" s="6">
        <f>IF($J2536="","",IF($J2536&lt;=1500,N(INDEX('Daily Sale entry '!$AC$1:$AC$1501,$J2536+1))-IF(AND('Opening Balance'!$B$15=1,INDEX('Daily Sale entry '!$Z$1:$Z$1501,$J2536+1)="Online collection 网上收款",INDEX('Daily Sale entry '!$AA$1:$AA$1501,$J2536+1)&lt;&gt;""),N(INDEX('Daily Sale entry '!$AC$1:$AC$1501,$J2536+1))-TRUNC(N(INDEX('Daily Sale entry '!$AC$1:$AC$1501,$J2536+1))),0),N(INDEX('Daily Sale entry '!$S$1:$S$1501,$J2536-1499))-'Opening Balance'!$B$15*(N(INDEX('Daily Sale entry '!$S$1:$S$1501,$J2536-1499))-TRUNC(N(INDEX('Daily Sale entry '!$S$1:$S$1501,$J2536-1499))))))</f>
        <v/>
      </c>
      <c r="G2536" s="6">
        <f>IF($J2536="","",IF($J2536&lt;=1500,N(INDEX('Daily Sale entry '!$AD$1:$AD$1501,$J2536+1)),0))</f>
        <v/>
      </c>
      <c r="H2536" s="6">
        <f>IF($J2536="","",ROUND('Opening Balance'!$B$4+SUM($F$2:F2536)-SUM($G$2:G2536),2))</f>
        <v/>
      </c>
      <c r="J2536" s="21">
        <f>IFERROR(MATCH(ROW()-1,$L$2:$L$3001,0),"")</f>
        <v/>
      </c>
      <c r="K2536" s="34">
        <f>IF(AND('Daily Sale entry '!Q1036="Collection 收款",'Daily Sale entry '!R1036="Cheque 支票",'Daily Sale entry '!V1036&lt;&gt;""),'Daily Sale entry '!V1036+ROW()/10000000,"")</f>
        <v/>
      </c>
      <c r="L2536" s="21">
        <f>IF(K2536="","",COUNTIF($K$2:$K$3001,"&lt;"&amp;K2536)+1)</f>
        <v/>
      </c>
    </row>
    <row r="2537">
      <c r="A2537" s="5">
        <f>IF($J2537="","",IF($J2537&lt;=1500,INDEX('Daily Sale entry '!$X$1:$X$1501,$J2537+1),INDEX('Daily Sale entry '!$V$1:$V$1501,$J2537-1499)))</f>
        <v/>
      </c>
      <c r="B2537">
        <f>IF($J2537="","",IF($J2537&lt;=1500,INDEX('Daily Sale entry '!$Y$1:$Y$1501,$J2537+1)&amp;"","Buyer cheque banked 买家支票存入"&amp;IF(INDEX('Daily Sale entry '!$U$1:$U$1501,$J2537-1499)="","", " - "&amp;INDEX('Daily Sale entry '!$U$1:$U$1501,$J2537-1499))))</f>
        <v/>
      </c>
      <c r="C2537">
        <f>IF($J2537="","",IF($J2537&lt;=1500,INDEX('Daily Sale entry '!$Z$1:$Z$1501,$J2537+1)&amp;"","Cheque deposit 支票存入 (buyer 买家)"))</f>
        <v/>
      </c>
      <c r="D2537">
        <f>IF($J2537="","",IF($J2537&lt;=1500,INDEX('Daily Sale entry '!$AA$1:$AA$1501,$J2537+1)&amp;"",INDEX('Daily Sale entry '!$P$1:$P$1501,$J2537-1499)&amp;""))</f>
        <v/>
      </c>
      <c r="E2537">
        <f>IF($J2537="","",IF($J2537&lt;=1500,IF(N(INDEX('Daily Sale entry '!$AB$1:$AB$1501,$J2537+1))=0,"",INDEX('Daily Sale entry '!$AB$1:$AB$1501,$J2537+1)),1))</f>
        <v/>
      </c>
      <c r="F2537" s="6">
        <f>IF($J2537="","",IF($J2537&lt;=1500,N(INDEX('Daily Sale entry '!$AC$1:$AC$1501,$J2537+1))-IF(AND('Opening Balance'!$B$15=1,INDEX('Daily Sale entry '!$Z$1:$Z$1501,$J2537+1)="Online collection 网上收款",INDEX('Daily Sale entry '!$AA$1:$AA$1501,$J2537+1)&lt;&gt;""),N(INDEX('Daily Sale entry '!$AC$1:$AC$1501,$J2537+1))-TRUNC(N(INDEX('Daily Sale entry '!$AC$1:$AC$1501,$J2537+1))),0),N(INDEX('Daily Sale entry '!$S$1:$S$1501,$J2537-1499))-'Opening Balance'!$B$15*(N(INDEX('Daily Sale entry '!$S$1:$S$1501,$J2537-1499))-TRUNC(N(INDEX('Daily Sale entry '!$S$1:$S$1501,$J2537-1499))))))</f>
        <v/>
      </c>
      <c r="G2537" s="6">
        <f>IF($J2537="","",IF($J2537&lt;=1500,N(INDEX('Daily Sale entry '!$AD$1:$AD$1501,$J2537+1)),0))</f>
        <v/>
      </c>
      <c r="H2537" s="6">
        <f>IF($J2537="","",ROUND('Opening Balance'!$B$4+SUM($F$2:F2537)-SUM($G$2:G2537),2))</f>
        <v/>
      </c>
      <c r="J2537" s="21">
        <f>IFERROR(MATCH(ROW()-1,$L$2:$L$3001,0),"")</f>
        <v/>
      </c>
      <c r="K2537" s="34">
        <f>IF(AND('Daily Sale entry '!Q1037="Collection 收款",'Daily Sale entry '!R1037="Cheque 支票",'Daily Sale entry '!V1037&lt;&gt;""),'Daily Sale entry '!V1037+ROW()/10000000,"")</f>
        <v/>
      </c>
      <c r="L2537" s="21">
        <f>IF(K2537="","",COUNTIF($K$2:$K$3001,"&lt;"&amp;K2537)+1)</f>
        <v/>
      </c>
    </row>
    <row r="2538">
      <c r="A2538" s="5">
        <f>IF($J2538="","",IF($J2538&lt;=1500,INDEX('Daily Sale entry '!$X$1:$X$1501,$J2538+1),INDEX('Daily Sale entry '!$V$1:$V$1501,$J2538-1499)))</f>
        <v/>
      </c>
      <c r="B2538">
        <f>IF($J2538="","",IF($J2538&lt;=1500,INDEX('Daily Sale entry '!$Y$1:$Y$1501,$J2538+1)&amp;"","Buyer cheque banked 买家支票存入"&amp;IF(INDEX('Daily Sale entry '!$U$1:$U$1501,$J2538-1499)="","", " - "&amp;INDEX('Daily Sale entry '!$U$1:$U$1501,$J2538-1499))))</f>
        <v/>
      </c>
      <c r="C2538">
        <f>IF($J2538="","",IF($J2538&lt;=1500,INDEX('Daily Sale entry '!$Z$1:$Z$1501,$J2538+1)&amp;"","Cheque deposit 支票存入 (buyer 买家)"))</f>
        <v/>
      </c>
      <c r="D2538">
        <f>IF($J2538="","",IF($J2538&lt;=1500,INDEX('Daily Sale entry '!$AA$1:$AA$1501,$J2538+1)&amp;"",INDEX('Daily Sale entry '!$P$1:$P$1501,$J2538-1499)&amp;""))</f>
        <v/>
      </c>
      <c r="E2538">
        <f>IF($J2538="","",IF($J2538&lt;=1500,IF(N(INDEX('Daily Sale entry '!$AB$1:$AB$1501,$J2538+1))=0,"",INDEX('Daily Sale entry '!$AB$1:$AB$1501,$J2538+1)),1))</f>
        <v/>
      </c>
      <c r="F2538" s="6">
        <f>IF($J2538="","",IF($J2538&lt;=1500,N(INDEX('Daily Sale entry '!$AC$1:$AC$1501,$J2538+1))-IF(AND('Opening Balance'!$B$15=1,INDEX('Daily Sale entry '!$Z$1:$Z$1501,$J2538+1)="Online collection 网上收款",INDEX('Daily Sale entry '!$AA$1:$AA$1501,$J2538+1)&lt;&gt;""),N(INDEX('Daily Sale entry '!$AC$1:$AC$1501,$J2538+1))-TRUNC(N(INDEX('Daily Sale entry '!$AC$1:$AC$1501,$J2538+1))),0),N(INDEX('Daily Sale entry '!$S$1:$S$1501,$J2538-1499))-'Opening Balance'!$B$15*(N(INDEX('Daily Sale entry '!$S$1:$S$1501,$J2538-1499))-TRUNC(N(INDEX('Daily Sale entry '!$S$1:$S$1501,$J2538-1499))))))</f>
        <v/>
      </c>
      <c r="G2538" s="6">
        <f>IF($J2538="","",IF($J2538&lt;=1500,N(INDEX('Daily Sale entry '!$AD$1:$AD$1501,$J2538+1)),0))</f>
        <v/>
      </c>
      <c r="H2538" s="6">
        <f>IF($J2538="","",ROUND('Opening Balance'!$B$4+SUM($F$2:F2538)-SUM($G$2:G2538),2))</f>
        <v/>
      </c>
      <c r="J2538" s="21">
        <f>IFERROR(MATCH(ROW()-1,$L$2:$L$3001,0),"")</f>
        <v/>
      </c>
      <c r="K2538" s="34">
        <f>IF(AND('Daily Sale entry '!Q1038="Collection 收款",'Daily Sale entry '!R1038="Cheque 支票",'Daily Sale entry '!V1038&lt;&gt;""),'Daily Sale entry '!V1038+ROW()/10000000,"")</f>
        <v/>
      </c>
      <c r="L2538" s="21">
        <f>IF(K2538="","",COUNTIF($K$2:$K$3001,"&lt;"&amp;K2538)+1)</f>
        <v/>
      </c>
    </row>
    <row r="2539">
      <c r="A2539" s="5">
        <f>IF($J2539="","",IF($J2539&lt;=1500,INDEX('Daily Sale entry '!$X$1:$X$1501,$J2539+1),INDEX('Daily Sale entry '!$V$1:$V$1501,$J2539-1499)))</f>
        <v/>
      </c>
      <c r="B2539">
        <f>IF($J2539="","",IF($J2539&lt;=1500,INDEX('Daily Sale entry '!$Y$1:$Y$1501,$J2539+1)&amp;"","Buyer cheque banked 买家支票存入"&amp;IF(INDEX('Daily Sale entry '!$U$1:$U$1501,$J2539-1499)="","", " - "&amp;INDEX('Daily Sale entry '!$U$1:$U$1501,$J2539-1499))))</f>
        <v/>
      </c>
      <c r="C2539">
        <f>IF($J2539="","",IF($J2539&lt;=1500,INDEX('Daily Sale entry '!$Z$1:$Z$1501,$J2539+1)&amp;"","Cheque deposit 支票存入 (buyer 买家)"))</f>
        <v/>
      </c>
      <c r="D2539">
        <f>IF($J2539="","",IF($J2539&lt;=1500,INDEX('Daily Sale entry '!$AA$1:$AA$1501,$J2539+1)&amp;"",INDEX('Daily Sale entry '!$P$1:$P$1501,$J2539-1499)&amp;""))</f>
        <v/>
      </c>
      <c r="E2539">
        <f>IF($J2539="","",IF($J2539&lt;=1500,IF(N(INDEX('Daily Sale entry '!$AB$1:$AB$1501,$J2539+1))=0,"",INDEX('Daily Sale entry '!$AB$1:$AB$1501,$J2539+1)),1))</f>
        <v/>
      </c>
      <c r="F2539" s="6">
        <f>IF($J2539="","",IF($J2539&lt;=1500,N(INDEX('Daily Sale entry '!$AC$1:$AC$1501,$J2539+1))-IF(AND('Opening Balance'!$B$15=1,INDEX('Daily Sale entry '!$Z$1:$Z$1501,$J2539+1)="Online collection 网上收款",INDEX('Daily Sale entry '!$AA$1:$AA$1501,$J2539+1)&lt;&gt;""),N(INDEX('Daily Sale entry '!$AC$1:$AC$1501,$J2539+1))-TRUNC(N(INDEX('Daily Sale entry '!$AC$1:$AC$1501,$J2539+1))),0),N(INDEX('Daily Sale entry '!$S$1:$S$1501,$J2539-1499))-'Opening Balance'!$B$15*(N(INDEX('Daily Sale entry '!$S$1:$S$1501,$J2539-1499))-TRUNC(N(INDEX('Daily Sale entry '!$S$1:$S$1501,$J2539-1499))))))</f>
        <v/>
      </c>
      <c r="G2539" s="6">
        <f>IF($J2539="","",IF($J2539&lt;=1500,N(INDEX('Daily Sale entry '!$AD$1:$AD$1501,$J2539+1)),0))</f>
        <v/>
      </c>
      <c r="H2539" s="6">
        <f>IF($J2539="","",ROUND('Opening Balance'!$B$4+SUM($F$2:F2539)-SUM($G$2:G2539),2))</f>
        <v/>
      </c>
      <c r="J2539" s="21">
        <f>IFERROR(MATCH(ROW()-1,$L$2:$L$3001,0),"")</f>
        <v/>
      </c>
      <c r="K2539" s="34">
        <f>IF(AND('Daily Sale entry '!Q1039="Collection 收款",'Daily Sale entry '!R1039="Cheque 支票",'Daily Sale entry '!V1039&lt;&gt;""),'Daily Sale entry '!V1039+ROW()/10000000,"")</f>
        <v/>
      </c>
      <c r="L2539" s="21">
        <f>IF(K2539="","",COUNTIF($K$2:$K$3001,"&lt;"&amp;K2539)+1)</f>
        <v/>
      </c>
    </row>
    <row r="2540">
      <c r="A2540" s="5">
        <f>IF($J2540="","",IF($J2540&lt;=1500,INDEX('Daily Sale entry '!$X$1:$X$1501,$J2540+1),INDEX('Daily Sale entry '!$V$1:$V$1501,$J2540-1499)))</f>
        <v/>
      </c>
      <c r="B2540">
        <f>IF($J2540="","",IF($J2540&lt;=1500,INDEX('Daily Sale entry '!$Y$1:$Y$1501,$J2540+1)&amp;"","Buyer cheque banked 买家支票存入"&amp;IF(INDEX('Daily Sale entry '!$U$1:$U$1501,$J2540-1499)="","", " - "&amp;INDEX('Daily Sale entry '!$U$1:$U$1501,$J2540-1499))))</f>
        <v/>
      </c>
      <c r="C2540">
        <f>IF($J2540="","",IF($J2540&lt;=1500,INDEX('Daily Sale entry '!$Z$1:$Z$1501,$J2540+1)&amp;"","Cheque deposit 支票存入 (buyer 买家)"))</f>
        <v/>
      </c>
      <c r="D2540">
        <f>IF($J2540="","",IF($J2540&lt;=1500,INDEX('Daily Sale entry '!$AA$1:$AA$1501,$J2540+1)&amp;"",INDEX('Daily Sale entry '!$P$1:$P$1501,$J2540-1499)&amp;""))</f>
        <v/>
      </c>
      <c r="E2540">
        <f>IF($J2540="","",IF($J2540&lt;=1500,IF(N(INDEX('Daily Sale entry '!$AB$1:$AB$1501,$J2540+1))=0,"",INDEX('Daily Sale entry '!$AB$1:$AB$1501,$J2540+1)),1))</f>
        <v/>
      </c>
      <c r="F2540" s="6">
        <f>IF($J2540="","",IF($J2540&lt;=1500,N(INDEX('Daily Sale entry '!$AC$1:$AC$1501,$J2540+1))-IF(AND('Opening Balance'!$B$15=1,INDEX('Daily Sale entry '!$Z$1:$Z$1501,$J2540+1)="Online collection 网上收款",INDEX('Daily Sale entry '!$AA$1:$AA$1501,$J2540+1)&lt;&gt;""),N(INDEX('Daily Sale entry '!$AC$1:$AC$1501,$J2540+1))-TRUNC(N(INDEX('Daily Sale entry '!$AC$1:$AC$1501,$J2540+1))),0),N(INDEX('Daily Sale entry '!$S$1:$S$1501,$J2540-1499))-'Opening Balance'!$B$15*(N(INDEX('Daily Sale entry '!$S$1:$S$1501,$J2540-1499))-TRUNC(N(INDEX('Daily Sale entry '!$S$1:$S$1501,$J2540-1499))))))</f>
        <v/>
      </c>
      <c r="G2540" s="6">
        <f>IF($J2540="","",IF($J2540&lt;=1500,N(INDEX('Daily Sale entry '!$AD$1:$AD$1501,$J2540+1)),0))</f>
        <v/>
      </c>
      <c r="H2540" s="6">
        <f>IF($J2540="","",ROUND('Opening Balance'!$B$4+SUM($F$2:F2540)-SUM($G$2:G2540),2))</f>
        <v/>
      </c>
      <c r="J2540" s="21">
        <f>IFERROR(MATCH(ROW()-1,$L$2:$L$3001,0),"")</f>
        <v/>
      </c>
      <c r="K2540" s="34">
        <f>IF(AND('Daily Sale entry '!Q1040="Collection 收款",'Daily Sale entry '!R1040="Cheque 支票",'Daily Sale entry '!V1040&lt;&gt;""),'Daily Sale entry '!V1040+ROW()/10000000,"")</f>
        <v/>
      </c>
      <c r="L2540" s="21">
        <f>IF(K2540="","",COUNTIF($K$2:$K$3001,"&lt;"&amp;K2540)+1)</f>
        <v/>
      </c>
    </row>
    <row r="2541">
      <c r="A2541" s="5">
        <f>IF($J2541="","",IF($J2541&lt;=1500,INDEX('Daily Sale entry '!$X$1:$X$1501,$J2541+1),INDEX('Daily Sale entry '!$V$1:$V$1501,$J2541-1499)))</f>
        <v/>
      </c>
      <c r="B2541">
        <f>IF($J2541="","",IF($J2541&lt;=1500,INDEX('Daily Sale entry '!$Y$1:$Y$1501,$J2541+1)&amp;"","Buyer cheque banked 买家支票存入"&amp;IF(INDEX('Daily Sale entry '!$U$1:$U$1501,$J2541-1499)="","", " - "&amp;INDEX('Daily Sale entry '!$U$1:$U$1501,$J2541-1499))))</f>
        <v/>
      </c>
      <c r="C2541">
        <f>IF($J2541="","",IF($J2541&lt;=1500,INDEX('Daily Sale entry '!$Z$1:$Z$1501,$J2541+1)&amp;"","Cheque deposit 支票存入 (buyer 买家)"))</f>
        <v/>
      </c>
      <c r="D2541">
        <f>IF($J2541="","",IF($J2541&lt;=1500,INDEX('Daily Sale entry '!$AA$1:$AA$1501,$J2541+1)&amp;"",INDEX('Daily Sale entry '!$P$1:$P$1501,$J2541-1499)&amp;""))</f>
        <v/>
      </c>
      <c r="E2541">
        <f>IF($J2541="","",IF($J2541&lt;=1500,IF(N(INDEX('Daily Sale entry '!$AB$1:$AB$1501,$J2541+1))=0,"",INDEX('Daily Sale entry '!$AB$1:$AB$1501,$J2541+1)),1))</f>
        <v/>
      </c>
      <c r="F2541" s="6">
        <f>IF($J2541="","",IF($J2541&lt;=1500,N(INDEX('Daily Sale entry '!$AC$1:$AC$1501,$J2541+1))-IF(AND('Opening Balance'!$B$15=1,INDEX('Daily Sale entry '!$Z$1:$Z$1501,$J2541+1)="Online collection 网上收款",INDEX('Daily Sale entry '!$AA$1:$AA$1501,$J2541+1)&lt;&gt;""),N(INDEX('Daily Sale entry '!$AC$1:$AC$1501,$J2541+1))-TRUNC(N(INDEX('Daily Sale entry '!$AC$1:$AC$1501,$J2541+1))),0),N(INDEX('Daily Sale entry '!$S$1:$S$1501,$J2541-1499))-'Opening Balance'!$B$15*(N(INDEX('Daily Sale entry '!$S$1:$S$1501,$J2541-1499))-TRUNC(N(INDEX('Daily Sale entry '!$S$1:$S$1501,$J2541-1499))))))</f>
        <v/>
      </c>
      <c r="G2541" s="6">
        <f>IF($J2541="","",IF($J2541&lt;=1500,N(INDEX('Daily Sale entry '!$AD$1:$AD$1501,$J2541+1)),0))</f>
        <v/>
      </c>
      <c r="H2541" s="6">
        <f>IF($J2541="","",ROUND('Opening Balance'!$B$4+SUM($F$2:F2541)-SUM($G$2:G2541),2))</f>
        <v/>
      </c>
      <c r="J2541" s="21">
        <f>IFERROR(MATCH(ROW()-1,$L$2:$L$3001,0),"")</f>
        <v/>
      </c>
      <c r="K2541" s="34">
        <f>IF(AND('Daily Sale entry '!Q1041="Collection 收款",'Daily Sale entry '!R1041="Cheque 支票",'Daily Sale entry '!V1041&lt;&gt;""),'Daily Sale entry '!V1041+ROW()/10000000,"")</f>
        <v/>
      </c>
      <c r="L2541" s="21">
        <f>IF(K2541="","",COUNTIF($K$2:$K$3001,"&lt;"&amp;K2541)+1)</f>
        <v/>
      </c>
    </row>
    <row r="2542">
      <c r="A2542" s="5">
        <f>IF($J2542="","",IF($J2542&lt;=1500,INDEX('Daily Sale entry '!$X$1:$X$1501,$J2542+1),INDEX('Daily Sale entry '!$V$1:$V$1501,$J2542-1499)))</f>
        <v/>
      </c>
      <c r="B2542">
        <f>IF($J2542="","",IF($J2542&lt;=1500,INDEX('Daily Sale entry '!$Y$1:$Y$1501,$J2542+1)&amp;"","Buyer cheque banked 买家支票存入"&amp;IF(INDEX('Daily Sale entry '!$U$1:$U$1501,$J2542-1499)="","", " - "&amp;INDEX('Daily Sale entry '!$U$1:$U$1501,$J2542-1499))))</f>
        <v/>
      </c>
      <c r="C2542">
        <f>IF($J2542="","",IF($J2542&lt;=1500,INDEX('Daily Sale entry '!$Z$1:$Z$1501,$J2542+1)&amp;"","Cheque deposit 支票存入 (buyer 买家)"))</f>
        <v/>
      </c>
      <c r="D2542">
        <f>IF($J2542="","",IF($J2542&lt;=1500,INDEX('Daily Sale entry '!$AA$1:$AA$1501,$J2542+1)&amp;"",INDEX('Daily Sale entry '!$P$1:$P$1501,$J2542-1499)&amp;""))</f>
        <v/>
      </c>
      <c r="E2542">
        <f>IF($J2542="","",IF($J2542&lt;=1500,IF(N(INDEX('Daily Sale entry '!$AB$1:$AB$1501,$J2542+1))=0,"",INDEX('Daily Sale entry '!$AB$1:$AB$1501,$J2542+1)),1))</f>
        <v/>
      </c>
      <c r="F2542" s="6">
        <f>IF($J2542="","",IF($J2542&lt;=1500,N(INDEX('Daily Sale entry '!$AC$1:$AC$1501,$J2542+1))-IF(AND('Opening Balance'!$B$15=1,INDEX('Daily Sale entry '!$Z$1:$Z$1501,$J2542+1)="Online collection 网上收款",INDEX('Daily Sale entry '!$AA$1:$AA$1501,$J2542+1)&lt;&gt;""),N(INDEX('Daily Sale entry '!$AC$1:$AC$1501,$J2542+1))-TRUNC(N(INDEX('Daily Sale entry '!$AC$1:$AC$1501,$J2542+1))),0),N(INDEX('Daily Sale entry '!$S$1:$S$1501,$J2542-1499))-'Opening Balance'!$B$15*(N(INDEX('Daily Sale entry '!$S$1:$S$1501,$J2542-1499))-TRUNC(N(INDEX('Daily Sale entry '!$S$1:$S$1501,$J2542-1499))))))</f>
        <v/>
      </c>
      <c r="G2542" s="6">
        <f>IF($J2542="","",IF($J2542&lt;=1500,N(INDEX('Daily Sale entry '!$AD$1:$AD$1501,$J2542+1)),0))</f>
        <v/>
      </c>
      <c r="H2542" s="6">
        <f>IF($J2542="","",ROUND('Opening Balance'!$B$4+SUM($F$2:F2542)-SUM($G$2:G2542),2))</f>
        <v/>
      </c>
      <c r="J2542" s="21">
        <f>IFERROR(MATCH(ROW()-1,$L$2:$L$3001,0),"")</f>
        <v/>
      </c>
      <c r="K2542" s="34">
        <f>IF(AND('Daily Sale entry '!Q1042="Collection 收款",'Daily Sale entry '!R1042="Cheque 支票",'Daily Sale entry '!V1042&lt;&gt;""),'Daily Sale entry '!V1042+ROW()/10000000,"")</f>
        <v/>
      </c>
      <c r="L2542" s="21">
        <f>IF(K2542="","",COUNTIF($K$2:$K$3001,"&lt;"&amp;K2542)+1)</f>
        <v/>
      </c>
    </row>
    <row r="2543">
      <c r="A2543" s="5">
        <f>IF($J2543="","",IF($J2543&lt;=1500,INDEX('Daily Sale entry '!$X$1:$X$1501,$J2543+1),INDEX('Daily Sale entry '!$V$1:$V$1501,$J2543-1499)))</f>
        <v/>
      </c>
      <c r="B2543">
        <f>IF($J2543="","",IF($J2543&lt;=1500,INDEX('Daily Sale entry '!$Y$1:$Y$1501,$J2543+1)&amp;"","Buyer cheque banked 买家支票存入"&amp;IF(INDEX('Daily Sale entry '!$U$1:$U$1501,$J2543-1499)="","", " - "&amp;INDEX('Daily Sale entry '!$U$1:$U$1501,$J2543-1499))))</f>
        <v/>
      </c>
      <c r="C2543">
        <f>IF($J2543="","",IF($J2543&lt;=1500,INDEX('Daily Sale entry '!$Z$1:$Z$1501,$J2543+1)&amp;"","Cheque deposit 支票存入 (buyer 买家)"))</f>
        <v/>
      </c>
      <c r="D2543">
        <f>IF($J2543="","",IF($J2543&lt;=1500,INDEX('Daily Sale entry '!$AA$1:$AA$1501,$J2543+1)&amp;"",INDEX('Daily Sale entry '!$P$1:$P$1501,$J2543-1499)&amp;""))</f>
        <v/>
      </c>
      <c r="E2543">
        <f>IF($J2543="","",IF($J2543&lt;=1500,IF(N(INDEX('Daily Sale entry '!$AB$1:$AB$1501,$J2543+1))=0,"",INDEX('Daily Sale entry '!$AB$1:$AB$1501,$J2543+1)),1))</f>
        <v/>
      </c>
      <c r="F2543" s="6">
        <f>IF($J2543="","",IF($J2543&lt;=1500,N(INDEX('Daily Sale entry '!$AC$1:$AC$1501,$J2543+1))-IF(AND('Opening Balance'!$B$15=1,INDEX('Daily Sale entry '!$Z$1:$Z$1501,$J2543+1)="Online collection 网上收款",INDEX('Daily Sale entry '!$AA$1:$AA$1501,$J2543+1)&lt;&gt;""),N(INDEX('Daily Sale entry '!$AC$1:$AC$1501,$J2543+1))-TRUNC(N(INDEX('Daily Sale entry '!$AC$1:$AC$1501,$J2543+1))),0),N(INDEX('Daily Sale entry '!$S$1:$S$1501,$J2543-1499))-'Opening Balance'!$B$15*(N(INDEX('Daily Sale entry '!$S$1:$S$1501,$J2543-1499))-TRUNC(N(INDEX('Daily Sale entry '!$S$1:$S$1501,$J2543-1499))))))</f>
        <v/>
      </c>
      <c r="G2543" s="6">
        <f>IF($J2543="","",IF($J2543&lt;=1500,N(INDEX('Daily Sale entry '!$AD$1:$AD$1501,$J2543+1)),0))</f>
        <v/>
      </c>
      <c r="H2543" s="6">
        <f>IF($J2543="","",ROUND('Opening Balance'!$B$4+SUM($F$2:F2543)-SUM($G$2:G2543),2))</f>
        <v/>
      </c>
      <c r="J2543" s="21">
        <f>IFERROR(MATCH(ROW()-1,$L$2:$L$3001,0),"")</f>
        <v/>
      </c>
      <c r="K2543" s="34">
        <f>IF(AND('Daily Sale entry '!Q1043="Collection 收款",'Daily Sale entry '!R1043="Cheque 支票",'Daily Sale entry '!V1043&lt;&gt;""),'Daily Sale entry '!V1043+ROW()/10000000,"")</f>
        <v/>
      </c>
      <c r="L2543" s="21">
        <f>IF(K2543="","",COUNTIF($K$2:$K$3001,"&lt;"&amp;K2543)+1)</f>
        <v/>
      </c>
    </row>
    <row r="2544">
      <c r="A2544" s="5">
        <f>IF($J2544="","",IF($J2544&lt;=1500,INDEX('Daily Sale entry '!$X$1:$X$1501,$J2544+1),INDEX('Daily Sale entry '!$V$1:$V$1501,$J2544-1499)))</f>
        <v/>
      </c>
      <c r="B2544">
        <f>IF($J2544="","",IF($J2544&lt;=1500,INDEX('Daily Sale entry '!$Y$1:$Y$1501,$J2544+1)&amp;"","Buyer cheque banked 买家支票存入"&amp;IF(INDEX('Daily Sale entry '!$U$1:$U$1501,$J2544-1499)="","", " - "&amp;INDEX('Daily Sale entry '!$U$1:$U$1501,$J2544-1499))))</f>
        <v/>
      </c>
      <c r="C2544">
        <f>IF($J2544="","",IF($J2544&lt;=1500,INDEX('Daily Sale entry '!$Z$1:$Z$1501,$J2544+1)&amp;"","Cheque deposit 支票存入 (buyer 买家)"))</f>
        <v/>
      </c>
      <c r="D2544">
        <f>IF($J2544="","",IF($J2544&lt;=1500,INDEX('Daily Sale entry '!$AA$1:$AA$1501,$J2544+1)&amp;"",INDEX('Daily Sale entry '!$P$1:$P$1501,$J2544-1499)&amp;""))</f>
        <v/>
      </c>
      <c r="E2544">
        <f>IF($J2544="","",IF($J2544&lt;=1500,IF(N(INDEX('Daily Sale entry '!$AB$1:$AB$1501,$J2544+1))=0,"",INDEX('Daily Sale entry '!$AB$1:$AB$1501,$J2544+1)),1))</f>
        <v/>
      </c>
      <c r="F2544" s="6">
        <f>IF($J2544="","",IF($J2544&lt;=1500,N(INDEX('Daily Sale entry '!$AC$1:$AC$1501,$J2544+1))-IF(AND('Opening Balance'!$B$15=1,INDEX('Daily Sale entry '!$Z$1:$Z$1501,$J2544+1)="Online collection 网上收款",INDEX('Daily Sale entry '!$AA$1:$AA$1501,$J2544+1)&lt;&gt;""),N(INDEX('Daily Sale entry '!$AC$1:$AC$1501,$J2544+1))-TRUNC(N(INDEX('Daily Sale entry '!$AC$1:$AC$1501,$J2544+1))),0),N(INDEX('Daily Sale entry '!$S$1:$S$1501,$J2544-1499))-'Opening Balance'!$B$15*(N(INDEX('Daily Sale entry '!$S$1:$S$1501,$J2544-1499))-TRUNC(N(INDEX('Daily Sale entry '!$S$1:$S$1501,$J2544-1499))))))</f>
        <v/>
      </c>
      <c r="G2544" s="6">
        <f>IF($J2544="","",IF($J2544&lt;=1500,N(INDEX('Daily Sale entry '!$AD$1:$AD$1501,$J2544+1)),0))</f>
        <v/>
      </c>
      <c r="H2544" s="6">
        <f>IF($J2544="","",ROUND('Opening Balance'!$B$4+SUM($F$2:F2544)-SUM($G$2:G2544),2))</f>
        <v/>
      </c>
      <c r="J2544" s="21">
        <f>IFERROR(MATCH(ROW()-1,$L$2:$L$3001,0),"")</f>
        <v/>
      </c>
      <c r="K2544" s="34">
        <f>IF(AND('Daily Sale entry '!Q1044="Collection 收款",'Daily Sale entry '!R1044="Cheque 支票",'Daily Sale entry '!V1044&lt;&gt;""),'Daily Sale entry '!V1044+ROW()/10000000,"")</f>
        <v/>
      </c>
      <c r="L2544" s="21">
        <f>IF(K2544="","",COUNTIF($K$2:$K$3001,"&lt;"&amp;K2544)+1)</f>
        <v/>
      </c>
    </row>
    <row r="2545">
      <c r="A2545" s="5">
        <f>IF($J2545="","",IF($J2545&lt;=1500,INDEX('Daily Sale entry '!$X$1:$X$1501,$J2545+1),INDEX('Daily Sale entry '!$V$1:$V$1501,$J2545-1499)))</f>
        <v/>
      </c>
      <c r="B2545">
        <f>IF($J2545="","",IF($J2545&lt;=1500,INDEX('Daily Sale entry '!$Y$1:$Y$1501,$J2545+1)&amp;"","Buyer cheque banked 买家支票存入"&amp;IF(INDEX('Daily Sale entry '!$U$1:$U$1501,$J2545-1499)="","", " - "&amp;INDEX('Daily Sale entry '!$U$1:$U$1501,$J2545-1499))))</f>
        <v/>
      </c>
      <c r="C2545">
        <f>IF($J2545="","",IF($J2545&lt;=1500,INDEX('Daily Sale entry '!$Z$1:$Z$1501,$J2545+1)&amp;"","Cheque deposit 支票存入 (buyer 买家)"))</f>
        <v/>
      </c>
      <c r="D2545">
        <f>IF($J2545="","",IF($J2545&lt;=1500,INDEX('Daily Sale entry '!$AA$1:$AA$1501,$J2545+1)&amp;"",INDEX('Daily Sale entry '!$P$1:$P$1501,$J2545-1499)&amp;""))</f>
        <v/>
      </c>
      <c r="E2545">
        <f>IF($J2545="","",IF($J2545&lt;=1500,IF(N(INDEX('Daily Sale entry '!$AB$1:$AB$1501,$J2545+1))=0,"",INDEX('Daily Sale entry '!$AB$1:$AB$1501,$J2545+1)),1))</f>
        <v/>
      </c>
      <c r="F2545" s="6">
        <f>IF($J2545="","",IF($J2545&lt;=1500,N(INDEX('Daily Sale entry '!$AC$1:$AC$1501,$J2545+1))-IF(AND('Opening Balance'!$B$15=1,INDEX('Daily Sale entry '!$Z$1:$Z$1501,$J2545+1)="Online collection 网上收款",INDEX('Daily Sale entry '!$AA$1:$AA$1501,$J2545+1)&lt;&gt;""),N(INDEX('Daily Sale entry '!$AC$1:$AC$1501,$J2545+1))-TRUNC(N(INDEX('Daily Sale entry '!$AC$1:$AC$1501,$J2545+1))),0),N(INDEX('Daily Sale entry '!$S$1:$S$1501,$J2545-1499))-'Opening Balance'!$B$15*(N(INDEX('Daily Sale entry '!$S$1:$S$1501,$J2545-1499))-TRUNC(N(INDEX('Daily Sale entry '!$S$1:$S$1501,$J2545-1499))))))</f>
        <v/>
      </c>
      <c r="G2545" s="6">
        <f>IF($J2545="","",IF($J2545&lt;=1500,N(INDEX('Daily Sale entry '!$AD$1:$AD$1501,$J2545+1)),0))</f>
        <v/>
      </c>
      <c r="H2545" s="6">
        <f>IF($J2545="","",ROUND('Opening Balance'!$B$4+SUM($F$2:F2545)-SUM($G$2:G2545),2))</f>
        <v/>
      </c>
      <c r="J2545" s="21">
        <f>IFERROR(MATCH(ROW()-1,$L$2:$L$3001,0),"")</f>
        <v/>
      </c>
      <c r="K2545" s="34">
        <f>IF(AND('Daily Sale entry '!Q1045="Collection 收款",'Daily Sale entry '!R1045="Cheque 支票",'Daily Sale entry '!V1045&lt;&gt;""),'Daily Sale entry '!V1045+ROW()/10000000,"")</f>
        <v/>
      </c>
      <c r="L2545" s="21">
        <f>IF(K2545="","",COUNTIF($K$2:$K$3001,"&lt;"&amp;K2545)+1)</f>
        <v/>
      </c>
    </row>
    <row r="2546">
      <c r="A2546" s="5">
        <f>IF($J2546="","",IF($J2546&lt;=1500,INDEX('Daily Sale entry '!$X$1:$X$1501,$J2546+1),INDEX('Daily Sale entry '!$V$1:$V$1501,$J2546-1499)))</f>
        <v/>
      </c>
      <c r="B2546">
        <f>IF($J2546="","",IF($J2546&lt;=1500,INDEX('Daily Sale entry '!$Y$1:$Y$1501,$J2546+1)&amp;"","Buyer cheque banked 买家支票存入"&amp;IF(INDEX('Daily Sale entry '!$U$1:$U$1501,$J2546-1499)="","", " - "&amp;INDEX('Daily Sale entry '!$U$1:$U$1501,$J2546-1499))))</f>
        <v/>
      </c>
      <c r="C2546">
        <f>IF($J2546="","",IF($J2546&lt;=1500,INDEX('Daily Sale entry '!$Z$1:$Z$1501,$J2546+1)&amp;"","Cheque deposit 支票存入 (buyer 买家)"))</f>
        <v/>
      </c>
      <c r="D2546">
        <f>IF($J2546="","",IF($J2546&lt;=1500,INDEX('Daily Sale entry '!$AA$1:$AA$1501,$J2546+1)&amp;"",INDEX('Daily Sale entry '!$P$1:$P$1501,$J2546-1499)&amp;""))</f>
        <v/>
      </c>
      <c r="E2546">
        <f>IF($J2546="","",IF($J2546&lt;=1500,IF(N(INDEX('Daily Sale entry '!$AB$1:$AB$1501,$J2546+1))=0,"",INDEX('Daily Sale entry '!$AB$1:$AB$1501,$J2546+1)),1))</f>
        <v/>
      </c>
      <c r="F2546" s="6">
        <f>IF($J2546="","",IF($J2546&lt;=1500,N(INDEX('Daily Sale entry '!$AC$1:$AC$1501,$J2546+1))-IF(AND('Opening Balance'!$B$15=1,INDEX('Daily Sale entry '!$Z$1:$Z$1501,$J2546+1)="Online collection 网上收款",INDEX('Daily Sale entry '!$AA$1:$AA$1501,$J2546+1)&lt;&gt;""),N(INDEX('Daily Sale entry '!$AC$1:$AC$1501,$J2546+1))-TRUNC(N(INDEX('Daily Sale entry '!$AC$1:$AC$1501,$J2546+1))),0),N(INDEX('Daily Sale entry '!$S$1:$S$1501,$J2546-1499))-'Opening Balance'!$B$15*(N(INDEX('Daily Sale entry '!$S$1:$S$1501,$J2546-1499))-TRUNC(N(INDEX('Daily Sale entry '!$S$1:$S$1501,$J2546-1499))))))</f>
        <v/>
      </c>
      <c r="G2546" s="6">
        <f>IF($J2546="","",IF($J2546&lt;=1500,N(INDEX('Daily Sale entry '!$AD$1:$AD$1501,$J2546+1)),0))</f>
        <v/>
      </c>
      <c r="H2546" s="6">
        <f>IF($J2546="","",ROUND('Opening Balance'!$B$4+SUM($F$2:F2546)-SUM($G$2:G2546),2))</f>
        <v/>
      </c>
      <c r="J2546" s="21">
        <f>IFERROR(MATCH(ROW()-1,$L$2:$L$3001,0),"")</f>
        <v/>
      </c>
      <c r="K2546" s="34">
        <f>IF(AND('Daily Sale entry '!Q1046="Collection 收款",'Daily Sale entry '!R1046="Cheque 支票",'Daily Sale entry '!V1046&lt;&gt;""),'Daily Sale entry '!V1046+ROW()/10000000,"")</f>
        <v/>
      </c>
      <c r="L2546" s="21">
        <f>IF(K2546="","",COUNTIF($K$2:$K$3001,"&lt;"&amp;K2546)+1)</f>
        <v/>
      </c>
    </row>
    <row r="2547">
      <c r="A2547" s="5">
        <f>IF($J2547="","",IF($J2547&lt;=1500,INDEX('Daily Sale entry '!$X$1:$X$1501,$J2547+1),INDEX('Daily Sale entry '!$V$1:$V$1501,$J2547-1499)))</f>
        <v/>
      </c>
      <c r="B2547">
        <f>IF($J2547="","",IF($J2547&lt;=1500,INDEX('Daily Sale entry '!$Y$1:$Y$1501,$J2547+1)&amp;"","Buyer cheque banked 买家支票存入"&amp;IF(INDEX('Daily Sale entry '!$U$1:$U$1501,$J2547-1499)="","", " - "&amp;INDEX('Daily Sale entry '!$U$1:$U$1501,$J2547-1499))))</f>
        <v/>
      </c>
      <c r="C2547">
        <f>IF($J2547="","",IF($J2547&lt;=1500,INDEX('Daily Sale entry '!$Z$1:$Z$1501,$J2547+1)&amp;"","Cheque deposit 支票存入 (buyer 买家)"))</f>
        <v/>
      </c>
      <c r="D2547">
        <f>IF($J2547="","",IF($J2547&lt;=1500,INDEX('Daily Sale entry '!$AA$1:$AA$1501,$J2547+1)&amp;"",INDEX('Daily Sale entry '!$P$1:$P$1501,$J2547-1499)&amp;""))</f>
        <v/>
      </c>
      <c r="E2547">
        <f>IF($J2547="","",IF($J2547&lt;=1500,IF(N(INDEX('Daily Sale entry '!$AB$1:$AB$1501,$J2547+1))=0,"",INDEX('Daily Sale entry '!$AB$1:$AB$1501,$J2547+1)),1))</f>
        <v/>
      </c>
      <c r="F2547" s="6">
        <f>IF($J2547="","",IF($J2547&lt;=1500,N(INDEX('Daily Sale entry '!$AC$1:$AC$1501,$J2547+1))-IF(AND('Opening Balance'!$B$15=1,INDEX('Daily Sale entry '!$Z$1:$Z$1501,$J2547+1)="Online collection 网上收款",INDEX('Daily Sale entry '!$AA$1:$AA$1501,$J2547+1)&lt;&gt;""),N(INDEX('Daily Sale entry '!$AC$1:$AC$1501,$J2547+1))-TRUNC(N(INDEX('Daily Sale entry '!$AC$1:$AC$1501,$J2547+1))),0),N(INDEX('Daily Sale entry '!$S$1:$S$1501,$J2547-1499))-'Opening Balance'!$B$15*(N(INDEX('Daily Sale entry '!$S$1:$S$1501,$J2547-1499))-TRUNC(N(INDEX('Daily Sale entry '!$S$1:$S$1501,$J2547-1499))))))</f>
        <v/>
      </c>
      <c r="G2547" s="6">
        <f>IF($J2547="","",IF($J2547&lt;=1500,N(INDEX('Daily Sale entry '!$AD$1:$AD$1501,$J2547+1)),0))</f>
        <v/>
      </c>
      <c r="H2547" s="6">
        <f>IF($J2547="","",ROUND('Opening Balance'!$B$4+SUM($F$2:F2547)-SUM($G$2:G2547),2))</f>
        <v/>
      </c>
      <c r="J2547" s="21">
        <f>IFERROR(MATCH(ROW()-1,$L$2:$L$3001,0),"")</f>
        <v/>
      </c>
      <c r="K2547" s="34">
        <f>IF(AND('Daily Sale entry '!Q1047="Collection 收款",'Daily Sale entry '!R1047="Cheque 支票",'Daily Sale entry '!V1047&lt;&gt;""),'Daily Sale entry '!V1047+ROW()/10000000,"")</f>
        <v/>
      </c>
      <c r="L2547" s="21">
        <f>IF(K2547="","",COUNTIF($K$2:$K$3001,"&lt;"&amp;K2547)+1)</f>
        <v/>
      </c>
    </row>
    <row r="2548">
      <c r="A2548" s="5">
        <f>IF($J2548="","",IF($J2548&lt;=1500,INDEX('Daily Sale entry '!$X$1:$X$1501,$J2548+1),INDEX('Daily Sale entry '!$V$1:$V$1501,$J2548-1499)))</f>
        <v/>
      </c>
      <c r="B2548">
        <f>IF($J2548="","",IF($J2548&lt;=1500,INDEX('Daily Sale entry '!$Y$1:$Y$1501,$J2548+1)&amp;"","Buyer cheque banked 买家支票存入"&amp;IF(INDEX('Daily Sale entry '!$U$1:$U$1501,$J2548-1499)="","", " - "&amp;INDEX('Daily Sale entry '!$U$1:$U$1501,$J2548-1499))))</f>
        <v/>
      </c>
      <c r="C2548">
        <f>IF($J2548="","",IF($J2548&lt;=1500,INDEX('Daily Sale entry '!$Z$1:$Z$1501,$J2548+1)&amp;"","Cheque deposit 支票存入 (buyer 买家)"))</f>
        <v/>
      </c>
      <c r="D2548">
        <f>IF($J2548="","",IF($J2548&lt;=1500,INDEX('Daily Sale entry '!$AA$1:$AA$1501,$J2548+1)&amp;"",INDEX('Daily Sale entry '!$P$1:$P$1501,$J2548-1499)&amp;""))</f>
        <v/>
      </c>
      <c r="E2548">
        <f>IF($J2548="","",IF($J2548&lt;=1500,IF(N(INDEX('Daily Sale entry '!$AB$1:$AB$1501,$J2548+1))=0,"",INDEX('Daily Sale entry '!$AB$1:$AB$1501,$J2548+1)),1))</f>
        <v/>
      </c>
      <c r="F2548" s="6">
        <f>IF($J2548="","",IF($J2548&lt;=1500,N(INDEX('Daily Sale entry '!$AC$1:$AC$1501,$J2548+1))-IF(AND('Opening Balance'!$B$15=1,INDEX('Daily Sale entry '!$Z$1:$Z$1501,$J2548+1)="Online collection 网上收款",INDEX('Daily Sale entry '!$AA$1:$AA$1501,$J2548+1)&lt;&gt;""),N(INDEX('Daily Sale entry '!$AC$1:$AC$1501,$J2548+1))-TRUNC(N(INDEX('Daily Sale entry '!$AC$1:$AC$1501,$J2548+1))),0),N(INDEX('Daily Sale entry '!$S$1:$S$1501,$J2548-1499))-'Opening Balance'!$B$15*(N(INDEX('Daily Sale entry '!$S$1:$S$1501,$J2548-1499))-TRUNC(N(INDEX('Daily Sale entry '!$S$1:$S$1501,$J2548-1499))))))</f>
        <v/>
      </c>
      <c r="G2548" s="6">
        <f>IF($J2548="","",IF($J2548&lt;=1500,N(INDEX('Daily Sale entry '!$AD$1:$AD$1501,$J2548+1)),0))</f>
        <v/>
      </c>
      <c r="H2548" s="6">
        <f>IF($J2548="","",ROUND('Opening Balance'!$B$4+SUM($F$2:F2548)-SUM($G$2:G2548),2))</f>
        <v/>
      </c>
      <c r="J2548" s="21">
        <f>IFERROR(MATCH(ROW()-1,$L$2:$L$3001,0),"")</f>
        <v/>
      </c>
      <c r="K2548" s="34">
        <f>IF(AND('Daily Sale entry '!Q1048="Collection 收款",'Daily Sale entry '!R1048="Cheque 支票",'Daily Sale entry '!V1048&lt;&gt;""),'Daily Sale entry '!V1048+ROW()/10000000,"")</f>
        <v/>
      </c>
      <c r="L2548" s="21">
        <f>IF(K2548="","",COUNTIF($K$2:$K$3001,"&lt;"&amp;K2548)+1)</f>
        <v/>
      </c>
    </row>
    <row r="2549">
      <c r="A2549" s="5">
        <f>IF($J2549="","",IF($J2549&lt;=1500,INDEX('Daily Sale entry '!$X$1:$X$1501,$J2549+1),INDEX('Daily Sale entry '!$V$1:$V$1501,$J2549-1499)))</f>
        <v/>
      </c>
      <c r="B2549">
        <f>IF($J2549="","",IF($J2549&lt;=1500,INDEX('Daily Sale entry '!$Y$1:$Y$1501,$J2549+1)&amp;"","Buyer cheque banked 买家支票存入"&amp;IF(INDEX('Daily Sale entry '!$U$1:$U$1501,$J2549-1499)="","", " - "&amp;INDEX('Daily Sale entry '!$U$1:$U$1501,$J2549-1499))))</f>
        <v/>
      </c>
      <c r="C2549">
        <f>IF($J2549="","",IF($J2549&lt;=1500,INDEX('Daily Sale entry '!$Z$1:$Z$1501,$J2549+1)&amp;"","Cheque deposit 支票存入 (buyer 买家)"))</f>
        <v/>
      </c>
      <c r="D2549">
        <f>IF($J2549="","",IF($J2549&lt;=1500,INDEX('Daily Sale entry '!$AA$1:$AA$1501,$J2549+1)&amp;"",INDEX('Daily Sale entry '!$P$1:$P$1501,$J2549-1499)&amp;""))</f>
        <v/>
      </c>
      <c r="E2549">
        <f>IF($J2549="","",IF($J2549&lt;=1500,IF(N(INDEX('Daily Sale entry '!$AB$1:$AB$1501,$J2549+1))=0,"",INDEX('Daily Sale entry '!$AB$1:$AB$1501,$J2549+1)),1))</f>
        <v/>
      </c>
      <c r="F2549" s="6">
        <f>IF($J2549="","",IF($J2549&lt;=1500,N(INDEX('Daily Sale entry '!$AC$1:$AC$1501,$J2549+1))-IF(AND('Opening Balance'!$B$15=1,INDEX('Daily Sale entry '!$Z$1:$Z$1501,$J2549+1)="Online collection 网上收款",INDEX('Daily Sale entry '!$AA$1:$AA$1501,$J2549+1)&lt;&gt;""),N(INDEX('Daily Sale entry '!$AC$1:$AC$1501,$J2549+1))-TRUNC(N(INDEX('Daily Sale entry '!$AC$1:$AC$1501,$J2549+1))),0),N(INDEX('Daily Sale entry '!$S$1:$S$1501,$J2549-1499))-'Opening Balance'!$B$15*(N(INDEX('Daily Sale entry '!$S$1:$S$1501,$J2549-1499))-TRUNC(N(INDEX('Daily Sale entry '!$S$1:$S$1501,$J2549-1499))))))</f>
        <v/>
      </c>
      <c r="G2549" s="6">
        <f>IF($J2549="","",IF($J2549&lt;=1500,N(INDEX('Daily Sale entry '!$AD$1:$AD$1501,$J2549+1)),0))</f>
        <v/>
      </c>
      <c r="H2549" s="6">
        <f>IF($J2549="","",ROUND('Opening Balance'!$B$4+SUM($F$2:F2549)-SUM($G$2:G2549),2))</f>
        <v/>
      </c>
      <c r="J2549" s="21">
        <f>IFERROR(MATCH(ROW()-1,$L$2:$L$3001,0),"")</f>
        <v/>
      </c>
      <c r="K2549" s="34">
        <f>IF(AND('Daily Sale entry '!Q1049="Collection 收款",'Daily Sale entry '!R1049="Cheque 支票",'Daily Sale entry '!V1049&lt;&gt;""),'Daily Sale entry '!V1049+ROW()/10000000,"")</f>
        <v/>
      </c>
      <c r="L2549" s="21">
        <f>IF(K2549="","",COUNTIF($K$2:$K$3001,"&lt;"&amp;K2549)+1)</f>
        <v/>
      </c>
    </row>
    <row r="2550">
      <c r="A2550" s="5">
        <f>IF($J2550="","",IF($J2550&lt;=1500,INDEX('Daily Sale entry '!$X$1:$X$1501,$J2550+1),INDEX('Daily Sale entry '!$V$1:$V$1501,$J2550-1499)))</f>
        <v/>
      </c>
      <c r="B2550">
        <f>IF($J2550="","",IF($J2550&lt;=1500,INDEX('Daily Sale entry '!$Y$1:$Y$1501,$J2550+1)&amp;"","Buyer cheque banked 买家支票存入"&amp;IF(INDEX('Daily Sale entry '!$U$1:$U$1501,$J2550-1499)="","", " - "&amp;INDEX('Daily Sale entry '!$U$1:$U$1501,$J2550-1499))))</f>
        <v/>
      </c>
      <c r="C2550">
        <f>IF($J2550="","",IF($J2550&lt;=1500,INDEX('Daily Sale entry '!$Z$1:$Z$1501,$J2550+1)&amp;"","Cheque deposit 支票存入 (buyer 买家)"))</f>
        <v/>
      </c>
      <c r="D2550">
        <f>IF($J2550="","",IF($J2550&lt;=1500,INDEX('Daily Sale entry '!$AA$1:$AA$1501,$J2550+1)&amp;"",INDEX('Daily Sale entry '!$P$1:$P$1501,$J2550-1499)&amp;""))</f>
        <v/>
      </c>
      <c r="E2550">
        <f>IF($J2550="","",IF($J2550&lt;=1500,IF(N(INDEX('Daily Sale entry '!$AB$1:$AB$1501,$J2550+1))=0,"",INDEX('Daily Sale entry '!$AB$1:$AB$1501,$J2550+1)),1))</f>
        <v/>
      </c>
      <c r="F2550" s="6">
        <f>IF($J2550="","",IF($J2550&lt;=1500,N(INDEX('Daily Sale entry '!$AC$1:$AC$1501,$J2550+1))-IF(AND('Opening Balance'!$B$15=1,INDEX('Daily Sale entry '!$Z$1:$Z$1501,$J2550+1)="Online collection 网上收款",INDEX('Daily Sale entry '!$AA$1:$AA$1501,$J2550+1)&lt;&gt;""),N(INDEX('Daily Sale entry '!$AC$1:$AC$1501,$J2550+1))-TRUNC(N(INDEX('Daily Sale entry '!$AC$1:$AC$1501,$J2550+1))),0),N(INDEX('Daily Sale entry '!$S$1:$S$1501,$J2550-1499))-'Opening Balance'!$B$15*(N(INDEX('Daily Sale entry '!$S$1:$S$1501,$J2550-1499))-TRUNC(N(INDEX('Daily Sale entry '!$S$1:$S$1501,$J2550-1499))))))</f>
        <v/>
      </c>
      <c r="G2550" s="6">
        <f>IF($J2550="","",IF($J2550&lt;=1500,N(INDEX('Daily Sale entry '!$AD$1:$AD$1501,$J2550+1)),0))</f>
        <v/>
      </c>
      <c r="H2550" s="6">
        <f>IF($J2550="","",ROUND('Opening Balance'!$B$4+SUM($F$2:F2550)-SUM($G$2:G2550),2))</f>
        <v/>
      </c>
      <c r="J2550" s="21">
        <f>IFERROR(MATCH(ROW()-1,$L$2:$L$3001,0),"")</f>
        <v/>
      </c>
      <c r="K2550" s="34">
        <f>IF(AND('Daily Sale entry '!Q1050="Collection 收款",'Daily Sale entry '!R1050="Cheque 支票",'Daily Sale entry '!V1050&lt;&gt;""),'Daily Sale entry '!V1050+ROW()/10000000,"")</f>
        <v/>
      </c>
      <c r="L2550" s="21">
        <f>IF(K2550="","",COUNTIF($K$2:$K$3001,"&lt;"&amp;K2550)+1)</f>
        <v/>
      </c>
    </row>
    <row r="2551">
      <c r="A2551" s="5">
        <f>IF($J2551="","",IF($J2551&lt;=1500,INDEX('Daily Sale entry '!$X$1:$X$1501,$J2551+1),INDEX('Daily Sale entry '!$V$1:$V$1501,$J2551-1499)))</f>
        <v/>
      </c>
      <c r="B2551">
        <f>IF($J2551="","",IF($J2551&lt;=1500,INDEX('Daily Sale entry '!$Y$1:$Y$1501,$J2551+1)&amp;"","Buyer cheque banked 买家支票存入"&amp;IF(INDEX('Daily Sale entry '!$U$1:$U$1501,$J2551-1499)="","", " - "&amp;INDEX('Daily Sale entry '!$U$1:$U$1501,$J2551-1499))))</f>
        <v/>
      </c>
      <c r="C2551">
        <f>IF($J2551="","",IF($J2551&lt;=1500,INDEX('Daily Sale entry '!$Z$1:$Z$1501,$J2551+1)&amp;"","Cheque deposit 支票存入 (buyer 买家)"))</f>
        <v/>
      </c>
      <c r="D2551">
        <f>IF($J2551="","",IF($J2551&lt;=1500,INDEX('Daily Sale entry '!$AA$1:$AA$1501,$J2551+1)&amp;"",INDEX('Daily Sale entry '!$P$1:$P$1501,$J2551-1499)&amp;""))</f>
        <v/>
      </c>
      <c r="E2551">
        <f>IF($J2551="","",IF($J2551&lt;=1500,IF(N(INDEX('Daily Sale entry '!$AB$1:$AB$1501,$J2551+1))=0,"",INDEX('Daily Sale entry '!$AB$1:$AB$1501,$J2551+1)),1))</f>
        <v/>
      </c>
      <c r="F2551" s="6">
        <f>IF($J2551="","",IF($J2551&lt;=1500,N(INDEX('Daily Sale entry '!$AC$1:$AC$1501,$J2551+1))-IF(AND('Opening Balance'!$B$15=1,INDEX('Daily Sale entry '!$Z$1:$Z$1501,$J2551+1)="Online collection 网上收款",INDEX('Daily Sale entry '!$AA$1:$AA$1501,$J2551+1)&lt;&gt;""),N(INDEX('Daily Sale entry '!$AC$1:$AC$1501,$J2551+1))-TRUNC(N(INDEX('Daily Sale entry '!$AC$1:$AC$1501,$J2551+1))),0),N(INDEX('Daily Sale entry '!$S$1:$S$1501,$J2551-1499))-'Opening Balance'!$B$15*(N(INDEX('Daily Sale entry '!$S$1:$S$1501,$J2551-1499))-TRUNC(N(INDEX('Daily Sale entry '!$S$1:$S$1501,$J2551-1499))))))</f>
        <v/>
      </c>
      <c r="G2551" s="6">
        <f>IF($J2551="","",IF($J2551&lt;=1500,N(INDEX('Daily Sale entry '!$AD$1:$AD$1501,$J2551+1)),0))</f>
        <v/>
      </c>
      <c r="H2551" s="6">
        <f>IF($J2551="","",ROUND('Opening Balance'!$B$4+SUM($F$2:F2551)-SUM($G$2:G2551),2))</f>
        <v/>
      </c>
      <c r="J2551" s="21">
        <f>IFERROR(MATCH(ROW()-1,$L$2:$L$3001,0),"")</f>
        <v/>
      </c>
      <c r="K2551" s="34">
        <f>IF(AND('Daily Sale entry '!Q1051="Collection 收款",'Daily Sale entry '!R1051="Cheque 支票",'Daily Sale entry '!V1051&lt;&gt;""),'Daily Sale entry '!V1051+ROW()/10000000,"")</f>
        <v/>
      </c>
      <c r="L2551" s="21">
        <f>IF(K2551="","",COUNTIF($K$2:$K$3001,"&lt;"&amp;K2551)+1)</f>
        <v/>
      </c>
    </row>
    <row r="2552">
      <c r="A2552" s="5">
        <f>IF($J2552="","",IF($J2552&lt;=1500,INDEX('Daily Sale entry '!$X$1:$X$1501,$J2552+1),INDEX('Daily Sale entry '!$V$1:$V$1501,$J2552-1499)))</f>
        <v/>
      </c>
      <c r="B2552">
        <f>IF($J2552="","",IF($J2552&lt;=1500,INDEX('Daily Sale entry '!$Y$1:$Y$1501,$J2552+1)&amp;"","Buyer cheque banked 买家支票存入"&amp;IF(INDEX('Daily Sale entry '!$U$1:$U$1501,$J2552-1499)="","", " - "&amp;INDEX('Daily Sale entry '!$U$1:$U$1501,$J2552-1499))))</f>
        <v/>
      </c>
      <c r="C2552">
        <f>IF($J2552="","",IF($J2552&lt;=1500,INDEX('Daily Sale entry '!$Z$1:$Z$1501,$J2552+1)&amp;"","Cheque deposit 支票存入 (buyer 买家)"))</f>
        <v/>
      </c>
      <c r="D2552">
        <f>IF($J2552="","",IF($J2552&lt;=1500,INDEX('Daily Sale entry '!$AA$1:$AA$1501,$J2552+1)&amp;"",INDEX('Daily Sale entry '!$P$1:$P$1501,$J2552-1499)&amp;""))</f>
        <v/>
      </c>
      <c r="E2552">
        <f>IF($J2552="","",IF($J2552&lt;=1500,IF(N(INDEX('Daily Sale entry '!$AB$1:$AB$1501,$J2552+1))=0,"",INDEX('Daily Sale entry '!$AB$1:$AB$1501,$J2552+1)),1))</f>
        <v/>
      </c>
      <c r="F2552" s="6">
        <f>IF($J2552="","",IF($J2552&lt;=1500,N(INDEX('Daily Sale entry '!$AC$1:$AC$1501,$J2552+1))-IF(AND('Opening Balance'!$B$15=1,INDEX('Daily Sale entry '!$Z$1:$Z$1501,$J2552+1)="Online collection 网上收款",INDEX('Daily Sale entry '!$AA$1:$AA$1501,$J2552+1)&lt;&gt;""),N(INDEX('Daily Sale entry '!$AC$1:$AC$1501,$J2552+1))-TRUNC(N(INDEX('Daily Sale entry '!$AC$1:$AC$1501,$J2552+1))),0),N(INDEX('Daily Sale entry '!$S$1:$S$1501,$J2552-1499))-'Opening Balance'!$B$15*(N(INDEX('Daily Sale entry '!$S$1:$S$1501,$J2552-1499))-TRUNC(N(INDEX('Daily Sale entry '!$S$1:$S$1501,$J2552-1499))))))</f>
        <v/>
      </c>
      <c r="G2552" s="6">
        <f>IF($J2552="","",IF($J2552&lt;=1500,N(INDEX('Daily Sale entry '!$AD$1:$AD$1501,$J2552+1)),0))</f>
        <v/>
      </c>
      <c r="H2552" s="6">
        <f>IF($J2552="","",ROUND('Opening Balance'!$B$4+SUM($F$2:F2552)-SUM($G$2:G2552),2))</f>
        <v/>
      </c>
      <c r="J2552" s="21">
        <f>IFERROR(MATCH(ROW()-1,$L$2:$L$3001,0),"")</f>
        <v/>
      </c>
      <c r="K2552" s="34">
        <f>IF(AND('Daily Sale entry '!Q1052="Collection 收款",'Daily Sale entry '!R1052="Cheque 支票",'Daily Sale entry '!V1052&lt;&gt;""),'Daily Sale entry '!V1052+ROW()/10000000,"")</f>
        <v/>
      </c>
      <c r="L2552" s="21">
        <f>IF(K2552="","",COUNTIF($K$2:$K$3001,"&lt;"&amp;K2552)+1)</f>
        <v/>
      </c>
    </row>
    <row r="2553">
      <c r="A2553" s="5">
        <f>IF($J2553="","",IF($J2553&lt;=1500,INDEX('Daily Sale entry '!$X$1:$X$1501,$J2553+1),INDEX('Daily Sale entry '!$V$1:$V$1501,$J2553-1499)))</f>
        <v/>
      </c>
      <c r="B2553">
        <f>IF($J2553="","",IF($J2553&lt;=1500,INDEX('Daily Sale entry '!$Y$1:$Y$1501,$J2553+1)&amp;"","Buyer cheque banked 买家支票存入"&amp;IF(INDEX('Daily Sale entry '!$U$1:$U$1501,$J2553-1499)="","", " - "&amp;INDEX('Daily Sale entry '!$U$1:$U$1501,$J2553-1499))))</f>
        <v/>
      </c>
      <c r="C2553">
        <f>IF($J2553="","",IF($J2553&lt;=1500,INDEX('Daily Sale entry '!$Z$1:$Z$1501,$J2553+1)&amp;"","Cheque deposit 支票存入 (buyer 买家)"))</f>
        <v/>
      </c>
      <c r="D2553">
        <f>IF($J2553="","",IF($J2553&lt;=1500,INDEX('Daily Sale entry '!$AA$1:$AA$1501,$J2553+1)&amp;"",INDEX('Daily Sale entry '!$P$1:$P$1501,$J2553-1499)&amp;""))</f>
        <v/>
      </c>
      <c r="E2553">
        <f>IF($J2553="","",IF($J2553&lt;=1500,IF(N(INDEX('Daily Sale entry '!$AB$1:$AB$1501,$J2553+1))=0,"",INDEX('Daily Sale entry '!$AB$1:$AB$1501,$J2553+1)),1))</f>
        <v/>
      </c>
      <c r="F2553" s="6">
        <f>IF($J2553="","",IF($J2553&lt;=1500,N(INDEX('Daily Sale entry '!$AC$1:$AC$1501,$J2553+1))-IF(AND('Opening Balance'!$B$15=1,INDEX('Daily Sale entry '!$Z$1:$Z$1501,$J2553+1)="Online collection 网上收款",INDEX('Daily Sale entry '!$AA$1:$AA$1501,$J2553+1)&lt;&gt;""),N(INDEX('Daily Sale entry '!$AC$1:$AC$1501,$J2553+1))-TRUNC(N(INDEX('Daily Sale entry '!$AC$1:$AC$1501,$J2553+1))),0),N(INDEX('Daily Sale entry '!$S$1:$S$1501,$J2553-1499))-'Opening Balance'!$B$15*(N(INDEX('Daily Sale entry '!$S$1:$S$1501,$J2553-1499))-TRUNC(N(INDEX('Daily Sale entry '!$S$1:$S$1501,$J2553-1499))))))</f>
        <v/>
      </c>
      <c r="G2553" s="6">
        <f>IF($J2553="","",IF($J2553&lt;=1500,N(INDEX('Daily Sale entry '!$AD$1:$AD$1501,$J2553+1)),0))</f>
        <v/>
      </c>
      <c r="H2553" s="6">
        <f>IF($J2553="","",ROUND('Opening Balance'!$B$4+SUM($F$2:F2553)-SUM($G$2:G2553),2))</f>
        <v/>
      </c>
      <c r="J2553" s="21">
        <f>IFERROR(MATCH(ROW()-1,$L$2:$L$3001,0),"")</f>
        <v/>
      </c>
      <c r="K2553" s="34">
        <f>IF(AND('Daily Sale entry '!Q1053="Collection 收款",'Daily Sale entry '!R1053="Cheque 支票",'Daily Sale entry '!V1053&lt;&gt;""),'Daily Sale entry '!V1053+ROW()/10000000,"")</f>
        <v/>
      </c>
      <c r="L2553" s="21">
        <f>IF(K2553="","",COUNTIF($K$2:$K$3001,"&lt;"&amp;K2553)+1)</f>
        <v/>
      </c>
    </row>
    <row r="2554">
      <c r="A2554" s="5">
        <f>IF($J2554="","",IF($J2554&lt;=1500,INDEX('Daily Sale entry '!$X$1:$X$1501,$J2554+1),INDEX('Daily Sale entry '!$V$1:$V$1501,$J2554-1499)))</f>
        <v/>
      </c>
      <c r="B2554">
        <f>IF($J2554="","",IF($J2554&lt;=1500,INDEX('Daily Sale entry '!$Y$1:$Y$1501,$J2554+1)&amp;"","Buyer cheque banked 买家支票存入"&amp;IF(INDEX('Daily Sale entry '!$U$1:$U$1501,$J2554-1499)="","", " - "&amp;INDEX('Daily Sale entry '!$U$1:$U$1501,$J2554-1499))))</f>
        <v/>
      </c>
      <c r="C2554">
        <f>IF($J2554="","",IF($J2554&lt;=1500,INDEX('Daily Sale entry '!$Z$1:$Z$1501,$J2554+1)&amp;"","Cheque deposit 支票存入 (buyer 买家)"))</f>
        <v/>
      </c>
      <c r="D2554">
        <f>IF($J2554="","",IF($J2554&lt;=1500,INDEX('Daily Sale entry '!$AA$1:$AA$1501,$J2554+1)&amp;"",INDEX('Daily Sale entry '!$P$1:$P$1501,$J2554-1499)&amp;""))</f>
        <v/>
      </c>
      <c r="E2554">
        <f>IF($J2554="","",IF($J2554&lt;=1500,IF(N(INDEX('Daily Sale entry '!$AB$1:$AB$1501,$J2554+1))=0,"",INDEX('Daily Sale entry '!$AB$1:$AB$1501,$J2554+1)),1))</f>
        <v/>
      </c>
      <c r="F2554" s="6">
        <f>IF($J2554="","",IF($J2554&lt;=1500,N(INDEX('Daily Sale entry '!$AC$1:$AC$1501,$J2554+1))-IF(AND('Opening Balance'!$B$15=1,INDEX('Daily Sale entry '!$Z$1:$Z$1501,$J2554+1)="Online collection 网上收款",INDEX('Daily Sale entry '!$AA$1:$AA$1501,$J2554+1)&lt;&gt;""),N(INDEX('Daily Sale entry '!$AC$1:$AC$1501,$J2554+1))-TRUNC(N(INDEX('Daily Sale entry '!$AC$1:$AC$1501,$J2554+1))),0),N(INDEX('Daily Sale entry '!$S$1:$S$1501,$J2554-1499))-'Opening Balance'!$B$15*(N(INDEX('Daily Sale entry '!$S$1:$S$1501,$J2554-1499))-TRUNC(N(INDEX('Daily Sale entry '!$S$1:$S$1501,$J2554-1499))))))</f>
        <v/>
      </c>
      <c r="G2554" s="6">
        <f>IF($J2554="","",IF($J2554&lt;=1500,N(INDEX('Daily Sale entry '!$AD$1:$AD$1501,$J2554+1)),0))</f>
        <v/>
      </c>
      <c r="H2554" s="6">
        <f>IF($J2554="","",ROUND('Opening Balance'!$B$4+SUM($F$2:F2554)-SUM($G$2:G2554),2))</f>
        <v/>
      </c>
      <c r="J2554" s="21">
        <f>IFERROR(MATCH(ROW()-1,$L$2:$L$3001,0),"")</f>
        <v/>
      </c>
      <c r="K2554" s="34">
        <f>IF(AND('Daily Sale entry '!Q1054="Collection 收款",'Daily Sale entry '!R1054="Cheque 支票",'Daily Sale entry '!V1054&lt;&gt;""),'Daily Sale entry '!V1054+ROW()/10000000,"")</f>
        <v/>
      </c>
      <c r="L2554" s="21">
        <f>IF(K2554="","",COUNTIF($K$2:$K$3001,"&lt;"&amp;K2554)+1)</f>
        <v/>
      </c>
    </row>
    <row r="2555">
      <c r="A2555" s="5">
        <f>IF($J2555="","",IF($J2555&lt;=1500,INDEX('Daily Sale entry '!$X$1:$X$1501,$J2555+1),INDEX('Daily Sale entry '!$V$1:$V$1501,$J2555-1499)))</f>
        <v/>
      </c>
      <c r="B2555">
        <f>IF($J2555="","",IF($J2555&lt;=1500,INDEX('Daily Sale entry '!$Y$1:$Y$1501,$J2555+1)&amp;"","Buyer cheque banked 买家支票存入"&amp;IF(INDEX('Daily Sale entry '!$U$1:$U$1501,$J2555-1499)="","", " - "&amp;INDEX('Daily Sale entry '!$U$1:$U$1501,$J2555-1499))))</f>
        <v/>
      </c>
      <c r="C2555">
        <f>IF($J2555="","",IF($J2555&lt;=1500,INDEX('Daily Sale entry '!$Z$1:$Z$1501,$J2555+1)&amp;"","Cheque deposit 支票存入 (buyer 买家)"))</f>
        <v/>
      </c>
      <c r="D2555">
        <f>IF($J2555="","",IF($J2555&lt;=1500,INDEX('Daily Sale entry '!$AA$1:$AA$1501,$J2555+1)&amp;"",INDEX('Daily Sale entry '!$P$1:$P$1501,$J2555-1499)&amp;""))</f>
        <v/>
      </c>
      <c r="E2555">
        <f>IF($J2555="","",IF($J2555&lt;=1500,IF(N(INDEX('Daily Sale entry '!$AB$1:$AB$1501,$J2555+1))=0,"",INDEX('Daily Sale entry '!$AB$1:$AB$1501,$J2555+1)),1))</f>
        <v/>
      </c>
      <c r="F2555" s="6">
        <f>IF($J2555="","",IF($J2555&lt;=1500,N(INDEX('Daily Sale entry '!$AC$1:$AC$1501,$J2555+1))-IF(AND('Opening Balance'!$B$15=1,INDEX('Daily Sale entry '!$Z$1:$Z$1501,$J2555+1)="Online collection 网上收款",INDEX('Daily Sale entry '!$AA$1:$AA$1501,$J2555+1)&lt;&gt;""),N(INDEX('Daily Sale entry '!$AC$1:$AC$1501,$J2555+1))-TRUNC(N(INDEX('Daily Sale entry '!$AC$1:$AC$1501,$J2555+1))),0),N(INDEX('Daily Sale entry '!$S$1:$S$1501,$J2555-1499))-'Opening Balance'!$B$15*(N(INDEX('Daily Sale entry '!$S$1:$S$1501,$J2555-1499))-TRUNC(N(INDEX('Daily Sale entry '!$S$1:$S$1501,$J2555-1499))))))</f>
        <v/>
      </c>
      <c r="G2555" s="6">
        <f>IF($J2555="","",IF($J2555&lt;=1500,N(INDEX('Daily Sale entry '!$AD$1:$AD$1501,$J2555+1)),0))</f>
        <v/>
      </c>
      <c r="H2555" s="6">
        <f>IF($J2555="","",ROUND('Opening Balance'!$B$4+SUM($F$2:F2555)-SUM($G$2:G2555),2))</f>
        <v/>
      </c>
      <c r="J2555" s="21">
        <f>IFERROR(MATCH(ROW()-1,$L$2:$L$3001,0),"")</f>
        <v/>
      </c>
      <c r="K2555" s="34">
        <f>IF(AND('Daily Sale entry '!Q1055="Collection 收款",'Daily Sale entry '!R1055="Cheque 支票",'Daily Sale entry '!V1055&lt;&gt;""),'Daily Sale entry '!V1055+ROW()/10000000,"")</f>
        <v/>
      </c>
      <c r="L2555" s="21">
        <f>IF(K2555="","",COUNTIF($K$2:$K$3001,"&lt;"&amp;K2555)+1)</f>
        <v/>
      </c>
    </row>
    <row r="2556">
      <c r="A2556" s="5">
        <f>IF($J2556="","",IF($J2556&lt;=1500,INDEX('Daily Sale entry '!$X$1:$X$1501,$J2556+1),INDEX('Daily Sale entry '!$V$1:$V$1501,$J2556-1499)))</f>
        <v/>
      </c>
      <c r="B2556">
        <f>IF($J2556="","",IF($J2556&lt;=1500,INDEX('Daily Sale entry '!$Y$1:$Y$1501,$J2556+1)&amp;"","Buyer cheque banked 买家支票存入"&amp;IF(INDEX('Daily Sale entry '!$U$1:$U$1501,$J2556-1499)="","", " - "&amp;INDEX('Daily Sale entry '!$U$1:$U$1501,$J2556-1499))))</f>
        <v/>
      </c>
      <c r="C2556">
        <f>IF($J2556="","",IF($J2556&lt;=1500,INDEX('Daily Sale entry '!$Z$1:$Z$1501,$J2556+1)&amp;"","Cheque deposit 支票存入 (buyer 买家)"))</f>
        <v/>
      </c>
      <c r="D2556">
        <f>IF($J2556="","",IF($J2556&lt;=1500,INDEX('Daily Sale entry '!$AA$1:$AA$1501,$J2556+1)&amp;"",INDEX('Daily Sale entry '!$P$1:$P$1501,$J2556-1499)&amp;""))</f>
        <v/>
      </c>
      <c r="E2556">
        <f>IF($J2556="","",IF($J2556&lt;=1500,IF(N(INDEX('Daily Sale entry '!$AB$1:$AB$1501,$J2556+1))=0,"",INDEX('Daily Sale entry '!$AB$1:$AB$1501,$J2556+1)),1))</f>
        <v/>
      </c>
      <c r="F2556" s="6">
        <f>IF($J2556="","",IF($J2556&lt;=1500,N(INDEX('Daily Sale entry '!$AC$1:$AC$1501,$J2556+1))-IF(AND('Opening Balance'!$B$15=1,INDEX('Daily Sale entry '!$Z$1:$Z$1501,$J2556+1)="Online collection 网上收款",INDEX('Daily Sale entry '!$AA$1:$AA$1501,$J2556+1)&lt;&gt;""),N(INDEX('Daily Sale entry '!$AC$1:$AC$1501,$J2556+1))-TRUNC(N(INDEX('Daily Sale entry '!$AC$1:$AC$1501,$J2556+1))),0),N(INDEX('Daily Sale entry '!$S$1:$S$1501,$J2556-1499))-'Opening Balance'!$B$15*(N(INDEX('Daily Sale entry '!$S$1:$S$1501,$J2556-1499))-TRUNC(N(INDEX('Daily Sale entry '!$S$1:$S$1501,$J2556-1499))))))</f>
        <v/>
      </c>
      <c r="G2556" s="6">
        <f>IF($J2556="","",IF($J2556&lt;=1500,N(INDEX('Daily Sale entry '!$AD$1:$AD$1501,$J2556+1)),0))</f>
        <v/>
      </c>
      <c r="H2556" s="6">
        <f>IF($J2556="","",ROUND('Opening Balance'!$B$4+SUM($F$2:F2556)-SUM($G$2:G2556),2))</f>
        <v/>
      </c>
      <c r="J2556" s="21">
        <f>IFERROR(MATCH(ROW()-1,$L$2:$L$3001,0),"")</f>
        <v/>
      </c>
      <c r="K2556" s="34">
        <f>IF(AND('Daily Sale entry '!Q1056="Collection 收款",'Daily Sale entry '!R1056="Cheque 支票",'Daily Sale entry '!V1056&lt;&gt;""),'Daily Sale entry '!V1056+ROW()/10000000,"")</f>
        <v/>
      </c>
      <c r="L2556" s="21">
        <f>IF(K2556="","",COUNTIF($K$2:$K$3001,"&lt;"&amp;K2556)+1)</f>
        <v/>
      </c>
    </row>
    <row r="2557">
      <c r="A2557" s="5">
        <f>IF($J2557="","",IF($J2557&lt;=1500,INDEX('Daily Sale entry '!$X$1:$X$1501,$J2557+1),INDEX('Daily Sale entry '!$V$1:$V$1501,$J2557-1499)))</f>
        <v/>
      </c>
      <c r="B2557">
        <f>IF($J2557="","",IF($J2557&lt;=1500,INDEX('Daily Sale entry '!$Y$1:$Y$1501,$J2557+1)&amp;"","Buyer cheque banked 买家支票存入"&amp;IF(INDEX('Daily Sale entry '!$U$1:$U$1501,$J2557-1499)="","", " - "&amp;INDEX('Daily Sale entry '!$U$1:$U$1501,$J2557-1499))))</f>
        <v/>
      </c>
      <c r="C2557">
        <f>IF($J2557="","",IF($J2557&lt;=1500,INDEX('Daily Sale entry '!$Z$1:$Z$1501,$J2557+1)&amp;"","Cheque deposit 支票存入 (buyer 买家)"))</f>
        <v/>
      </c>
      <c r="D2557">
        <f>IF($J2557="","",IF($J2557&lt;=1500,INDEX('Daily Sale entry '!$AA$1:$AA$1501,$J2557+1)&amp;"",INDEX('Daily Sale entry '!$P$1:$P$1501,$J2557-1499)&amp;""))</f>
        <v/>
      </c>
      <c r="E2557">
        <f>IF($J2557="","",IF($J2557&lt;=1500,IF(N(INDEX('Daily Sale entry '!$AB$1:$AB$1501,$J2557+1))=0,"",INDEX('Daily Sale entry '!$AB$1:$AB$1501,$J2557+1)),1))</f>
        <v/>
      </c>
      <c r="F2557" s="6">
        <f>IF($J2557="","",IF($J2557&lt;=1500,N(INDEX('Daily Sale entry '!$AC$1:$AC$1501,$J2557+1))-IF(AND('Opening Balance'!$B$15=1,INDEX('Daily Sale entry '!$Z$1:$Z$1501,$J2557+1)="Online collection 网上收款",INDEX('Daily Sale entry '!$AA$1:$AA$1501,$J2557+1)&lt;&gt;""),N(INDEX('Daily Sale entry '!$AC$1:$AC$1501,$J2557+1))-TRUNC(N(INDEX('Daily Sale entry '!$AC$1:$AC$1501,$J2557+1))),0),N(INDEX('Daily Sale entry '!$S$1:$S$1501,$J2557-1499))-'Opening Balance'!$B$15*(N(INDEX('Daily Sale entry '!$S$1:$S$1501,$J2557-1499))-TRUNC(N(INDEX('Daily Sale entry '!$S$1:$S$1501,$J2557-1499))))))</f>
        <v/>
      </c>
      <c r="G2557" s="6">
        <f>IF($J2557="","",IF($J2557&lt;=1500,N(INDEX('Daily Sale entry '!$AD$1:$AD$1501,$J2557+1)),0))</f>
        <v/>
      </c>
      <c r="H2557" s="6">
        <f>IF($J2557="","",ROUND('Opening Balance'!$B$4+SUM($F$2:F2557)-SUM($G$2:G2557),2))</f>
        <v/>
      </c>
      <c r="J2557" s="21">
        <f>IFERROR(MATCH(ROW()-1,$L$2:$L$3001,0),"")</f>
        <v/>
      </c>
      <c r="K2557" s="34">
        <f>IF(AND('Daily Sale entry '!Q1057="Collection 收款",'Daily Sale entry '!R1057="Cheque 支票",'Daily Sale entry '!V1057&lt;&gt;""),'Daily Sale entry '!V1057+ROW()/10000000,"")</f>
        <v/>
      </c>
      <c r="L2557" s="21">
        <f>IF(K2557="","",COUNTIF($K$2:$K$3001,"&lt;"&amp;K2557)+1)</f>
        <v/>
      </c>
    </row>
    <row r="2558">
      <c r="A2558" s="5">
        <f>IF($J2558="","",IF($J2558&lt;=1500,INDEX('Daily Sale entry '!$X$1:$X$1501,$J2558+1),INDEX('Daily Sale entry '!$V$1:$V$1501,$J2558-1499)))</f>
        <v/>
      </c>
      <c r="B2558">
        <f>IF($J2558="","",IF($J2558&lt;=1500,INDEX('Daily Sale entry '!$Y$1:$Y$1501,$J2558+1)&amp;"","Buyer cheque banked 买家支票存入"&amp;IF(INDEX('Daily Sale entry '!$U$1:$U$1501,$J2558-1499)="","", " - "&amp;INDEX('Daily Sale entry '!$U$1:$U$1501,$J2558-1499))))</f>
        <v/>
      </c>
      <c r="C2558">
        <f>IF($J2558="","",IF($J2558&lt;=1500,INDEX('Daily Sale entry '!$Z$1:$Z$1501,$J2558+1)&amp;"","Cheque deposit 支票存入 (buyer 买家)"))</f>
        <v/>
      </c>
      <c r="D2558">
        <f>IF($J2558="","",IF($J2558&lt;=1500,INDEX('Daily Sale entry '!$AA$1:$AA$1501,$J2558+1)&amp;"",INDEX('Daily Sale entry '!$P$1:$P$1501,$J2558-1499)&amp;""))</f>
        <v/>
      </c>
      <c r="E2558">
        <f>IF($J2558="","",IF($J2558&lt;=1500,IF(N(INDEX('Daily Sale entry '!$AB$1:$AB$1501,$J2558+1))=0,"",INDEX('Daily Sale entry '!$AB$1:$AB$1501,$J2558+1)),1))</f>
        <v/>
      </c>
      <c r="F2558" s="6">
        <f>IF($J2558="","",IF($J2558&lt;=1500,N(INDEX('Daily Sale entry '!$AC$1:$AC$1501,$J2558+1))-IF(AND('Opening Balance'!$B$15=1,INDEX('Daily Sale entry '!$Z$1:$Z$1501,$J2558+1)="Online collection 网上收款",INDEX('Daily Sale entry '!$AA$1:$AA$1501,$J2558+1)&lt;&gt;""),N(INDEX('Daily Sale entry '!$AC$1:$AC$1501,$J2558+1))-TRUNC(N(INDEX('Daily Sale entry '!$AC$1:$AC$1501,$J2558+1))),0),N(INDEX('Daily Sale entry '!$S$1:$S$1501,$J2558-1499))-'Opening Balance'!$B$15*(N(INDEX('Daily Sale entry '!$S$1:$S$1501,$J2558-1499))-TRUNC(N(INDEX('Daily Sale entry '!$S$1:$S$1501,$J2558-1499))))))</f>
        <v/>
      </c>
      <c r="G2558" s="6">
        <f>IF($J2558="","",IF($J2558&lt;=1500,N(INDEX('Daily Sale entry '!$AD$1:$AD$1501,$J2558+1)),0))</f>
        <v/>
      </c>
      <c r="H2558" s="6">
        <f>IF($J2558="","",ROUND('Opening Balance'!$B$4+SUM($F$2:F2558)-SUM($G$2:G2558),2))</f>
        <v/>
      </c>
      <c r="J2558" s="21">
        <f>IFERROR(MATCH(ROW()-1,$L$2:$L$3001,0),"")</f>
        <v/>
      </c>
      <c r="K2558" s="34">
        <f>IF(AND('Daily Sale entry '!Q1058="Collection 收款",'Daily Sale entry '!R1058="Cheque 支票",'Daily Sale entry '!V1058&lt;&gt;""),'Daily Sale entry '!V1058+ROW()/10000000,"")</f>
        <v/>
      </c>
      <c r="L2558" s="21">
        <f>IF(K2558="","",COUNTIF($K$2:$K$3001,"&lt;"&amp;K2558)+1)</f>
        <v/>
      </c>
    </row>
    <row r="2559">
      <c r="A2559" s="5">
        <f>IF($J2559="","",IF($J2559&lt;=1500,INDEX('Daily Sale entry '!$X$1:$X$1501,$J2559+1),INDEX('Daily Sale entry '!$V$1:$V$1501,$J2559-1499)))</f>
        <v/>
      </c>
      <c r="B2559">
        <f>IF($J2559="","",IF($J2559&lt;=1500,INDEX('Daily Sale entry '!$Y$1:$Y$1501,$J2559+1)&amp;"","Buyer cheque banked 买家支票存入"&amp;IF(INDEX('Daily Sale entry '!$U$1:$U$1501,$J2559-1499)="","", " - "&amp;INDEX('Daily Sale entry '!$U$1:$U$1501,$J2559-1499))))</f>
        <v/>
      </c>
      <c r="C2559">
        <f>IF($J2559="","",IF($J2559&lt;=1500,INDEX('Daily Sale entry '!$Z$1:$Z$1501,$J2559+1)&amp;"","Cheque deposit 支票存入 (buyer 买家)"))</f>
        <v/>
      </c>
      <c r="D2559">
        <f>IF($J2559="","",IF($J2559&lt;=1500,INDEX('Daily Sale entry '!$AA$1:$AA$1501,$J2559+1)&amp;"",INDEX('Daily Sale entry '!$P$1:$P$1501,$J2559-1499)&amp;""))</f>
        <v/>
      </c>
      <c r="E2559">
        <f>IF($J2559="","",IF($J2559&lt;=1500,IF(N(INDEX('Daily Sale entry '!$AB$1:$AB$1501,$J2559+1))=0,"",INDEX('Daily Sale entry '!$AB$1:$AB$1501,$J2559+1)),1))</f>
        <v/>
      </c>
      <c r="F2559" s="6">
        <f>IF($J2559="","",IF($J2559&lt;=1500,N(INDEX('Daily Sale entry '!$AC$1:$AC$1501,$J2559+1))-IF(AND('Opening Balance'!$B$15=1,INDEX('Daily Sale entry '!$Z$1:$Z$1501,$J2559+1)="Online collection 网上收款",INDEX('Daily Sale entry '!$AA$1:$AA$1501,$J2559+1)&lt;&gt;""),N(INDEX('Daily Sale entry '!$AC$1:$AC$1501,$J2559+1))-TRUNC(N(INDEX('Daily Sale entry '!$AC$1:$AC$1501,$J2559+1))),0),N(INDEX('Daily Sale entry '!$S$1:$S$1501,$J2559-1499))-'Opening Balance'!$B$15*(N(INDEX('Daily Sale entry '!$S$1:$S$1501,$J2559-1499))-TRUNC(N(INDEX('Daily Sale entry '!$S$1:$S$1501,$J2559-1499))))))</f>
        <v/>
      </c>
      <c r="G2559" s="6">
        <f>IF($J2559="","",IF($J2559&lt;=1500,N(INDEX('Daily Sale entry '!$AD$1:$AD$1501,$J2559+1)),0))</f>
        <v/>
      </c>
      <c r="H2559" s="6">
        <f>IF($J2559="","",ROUND('Opening Balance'!$B$4+SUM($F$2:F2559)-SUM($G$2:G2559),2))</f>
        <v/>
      </c>
      <c r="J2559" s="21">
        <f>IFERROR(MATCH(ROW()-1,$L$2:$L$3001,0),"")</f>
        <v/>
      </c>
      <c r="K2559" s="34">
        <f>IF(AND('Daily Sale entry '!Q1059="Collection 收款",'Daily Sale entry '!R1059="Cheque 支票",'Daily Sale entry '!V1059&lt;&gt;""),'Daily Sale entry '!V1059+ROW()/10000000,"")</f>
        <v/>
      </c>
      <c r="L2559" s="21">
        <f>IF(K2559="","",COUNTIF($K$2:$K$3001,"&lt;"&amp;K2559)+1)</f>
        <v/>
      </c>
    </row>
    <row r="2560">
      <c r="A2560" s="5">
        <f>IF($J2560="","",IF($J2560&lt;=1500,INDEX('Daily Sale entry '!$X$1:$X$1501,$J2560+1),INDEX('Daily Sale entry '!$V$1:$V$1501,$J2560-1499)))</f>
        <v/>
      </c>
      <c r="B2560">
        <f>IF($J2560="","",IF($J2560&lt;=1500,INDEX('Daily Sale entry '!$Y$1:$Y$1501,$J2560+1)&amp;"","Buyer cheque banked 买家支票存入"&amp;IF(INDEX('Daily Sale entry '!$U$1:$U$1501,$J2560-1499)="","", " - "&amp;INDEX('Daily Sale entry '!$U$1:$U$1501,$J2560-1499))))</f>
        <v/>
      </c>
      <c r="C2560">
        <f>IF($J2560="","",IF($J2560&lt;=1500,INDEX('Daily Sale entry '!$Z$1:$Z$1501,$J2560+1)&amp;"","Cheque deposit 支票存入 (buyer 买家)"))</f>
        <v/>
      </c>
      <c r="D2560">
        <f>IF($J2560="","",IF($J2560&lt;=1500,INDEX('Daily Sale entry '!$AA$1:$AA$1501,$J2560+1)&amp;"",INDEX('Daily Sale entry '!$P$1:$P$1501,$J2560-1499)&amp;""))</f>
        <v/>
      </c>
      <c r="E2560">
        <f>IF($J2560="","",IF($J2560&lt;=1500,IF(N(INDEX('Daily Sale entry '!$AB$1:$AB$1501,$J2560+1))=0,"",INDEX('Daily Sale entry '!$AB$1:$AB$1501,$J2560+1)),1))</f>
        <v/>
      </c>
      <c r="F2560" s="6">
        <f>IF($J2560="","",IF($J2560&lt;=1500,N(INDEX('Daily Sale entry '!$AC$1:$AC$1501,$J2560+1))-IF(AND('Opening Balance'!$B$15=1,INDEX('Daily Sale entry '!$Z$1:$Z$1501,$J2560+1)="Online collection 网上收款",INDEX('Daily Sale entry '!$AA$1:$AA$1501,$J2560+1)&lt;&gt;""),N(INDEX('Daily Sale entry '!$AC$1:$AC$1501,$J2560+1))-TRUNC(N(INDEX('Daily Sale entry '!$AC$1:$AC$1501,$J2560+1))),0),N(INDEX('Daily Sale entry '!$S$1:$S$1501,$J2560-1499))-'Opening Balance'!$B$15*(N(INDEX('Daily Sale entry '!$S$1:$S$1501,$J2560-1499))-TRUNC(N(INDEX('Daily Sale entry '!$S$1:$S$1501,$J2560-1499))))))</f>
        <v/>
      </c>
      <c r="G2560" s="6">
        <f>IF($J2560="","",IF($J2560&lt;=1500,N(INDEX('Daily Sale entry '!$AD$1:$AD$1501,$J2560+1)),0))</f>
        <v/>
      </c>
      <c r="H2560" s="6">
        <f>IF($J2560="","",ROUND('Opening Balance'!$B$4+SUM($F$2:F2560)-SUM($G$2:G2560),2))</f>
        <v/>
      </c>
      <c r="J2560" s="21">
        <f>IFERROR(MATCH(ROW()-1,$L$2:$L$3001,0),"")</f>
        <v/>
      </c>
      <c r="K2560" s="34">
        <f>IF(AND('Daily Sale entry '!Q1060="Collection 收款",'Daily Sale entry '!R1060="Cheque 支票",'Daily Sale entry '!V1060&lt;&gt;""),'Daily Sale entry '!V1060+ROW()/10000000,"")</f>
        <v/>
      </c>
      <c r="L2560" s="21">
        <f>IF(K2560="","",COUNTIF($K$2:$K$3001,"&lt;"&amp;K2560)+1)</f>
        <v/>
      </c>
    </row>
    <row r="2561">
      <c r="A2561" s="5">
        <f>IF($J2561="","",IF($J2561&lt;=1500,INDEX('Daily Sale entry '!$X$1:$X$1501,$J2561+1),INDEX('Daily Sale entry '!$V$1:$V$1501,$J2561-1499)))</f>
        <v/>
      </c>
      <c r="B2561">
        <f>IF($J2561="","",IF($J2561&lt;=1500,INDEX('Daily Sale entry '!$Y$1:$Y$1501,$J2561+1)&amp;"","Buyer cheque banked 买家支票存入"&amp;IF(INDEX('Daily Sale entry '!$U$1:$U$1501,$J2561-1499)="","", " - "&amp;INDEX('Daily Sale entry '!$U$1:$U$1501,$J2561-1499))))</f>
        <v/>
      </c>
      <c r="C2561">
        <f>IF($J2561="","",IF($J2561&lt;=1500,INDEX('Daily Sale entry '!$Z$1:$Z$1501,$J2561+1)&amp;"","Cheque deposit 支票存入 (buyer 买家)"))</f>
        <v/>
      </c>
      <c r="D2561">
        <f>IF($J2561="","",IF($J2561&lt;=1500,INDEX('Daily Sale entry '!$AA$1:$AA$1501,$J2561+1)&amp;"",INDEX('Daily Sale entry '!$P$1:$P$1501,$J2561-1499)&amp;""))</f>
        <v/>
      </c>
      <c r="E2561">
        <f>IF($J2561="","",IF($J2561&lt;=1500,IF(N(INDEX('Daily Sale entry '!$AB$1:$AB$1501,$J2561+1))=0,"",INDEX('Daily Sale entry '!$AB$1:$AB$1501,$J2561+1)),1))</f>
        <v/>
      </c>
      <c r="F2561" s="6">
        <f>IF($J2561="","",IF($J2561&lt;=1500,N(INDEX('Daily Sale entry '!$AC$1:$AC$1501,$J2561+1))-IF(AND('Opening Balance'!$B$15=1,INDEX('Daily Sale entry '!$Z$1:$Z$1501,$J2561+1)="Online collection 网上收款",INDEX('Daily Sale entry '!$AA$1:$AA$1501,$J2561+1)&lt;&gt;""),N(INDEX('Daily Sale entry '!$AC$1:$AC$1501,$J2561+1))-TRUNC(N(INDEX('Daily Sale entry '!$AC$1:$AC$1501,$J2561+1))),0),N(INDEX('Daily Sale entry '!$S$1:$S$1501,$J2561-1499))-'Opening Balance'!$B$15*(N(INDEX('Daily Sale entry '!$S$1:$S$1501,$J2561-1499))-TRUNC(N(INDEX('Daily Sale entry '!$S$1:$S$1501,$J2561-1499))))))</f>
        <v/>
      </c>
      <c r="G2561" s="6">
        <f>IF($J2561="","",IF($J2561&lt;=1500,N(INDEX('Daily Sale entry '!$AD$1:$AD$1501,$J2561+1)),0))</f>
        <v/>
      </c>
      <c r="H2561" s="6">
        <f>IF($J2561="","",ROUND('Opening Balance'!$B$4+SUM($F$2:F2561)-SUM($G$2:G2561),2))</f>
        <v/>
      </c>
      <c r="J2561" s="21">
        <f>IFERROR(MATCH(ROW()-1,$L$2:$L$3001,0),"")</f>
        <v/>
      </c>
      <c r="K2561" s="34">
        <f>IF(AND('Daily Sale entry '!Q1061="Collection 收款",'Daily Sale entry '!R1061="Cheque 支票",'Daily Sale entry '!V1061&lt;&gt;""),'Daily Sale entry '!V1061+ROW()/10000000,"")</f>
        <v/>
      </c>
      <c r="L2561" s="21">
        <f>IF(K2561="","",COUNTIF($K$2:$K$3001,"&lt;"&amp;K2561)+1)</f>
        <v/>
      </c>
    </row>
    <row r="2562">
      <c r="A2562" s="5">
        <f>IF($J2562="","",IF($J2562&lt;=1500,INDEX('Daily Sale entry '!$X$1:$X$1501,$J2562+1),INDEX('Daily Sale entry '!$V$1:$V$1501,$J2562-1499)))</f>
        <v/>
      </c>
      <c r="B2562">
        <f>IF($J2562="","",IF($J2562&lt;=1500,INDEX('Daily Sale entry '!$Y$1:$Y$1501,$J2562+1)&amp;"","Buyer cheque banked 买家支票存入"&amp;IF(INDEX('Daily Sale entry '!$U$1:$U$1501,$J2562-1499)="","", " - "&amp;INDEX('Daily Sale entry '!$U$1:$U$1501,$J2562-1499))))</f>
        <v/>
      </c>
      <c r="C2562">
        <f>IF($J2562="","",IF($J2562&lt;=1500,INDEX('Daily Sale entry '!$Z$1:$Z$1501,$J2562+1)&amp;"","Cheque deposit 支票存入 (buyer 买家)"))</f>
        <v/>
      </c>
      <c r="D2562">
        <f>IF($J2562="","",IF($J2562&lt;=1500,INDEX('Daily Sale entry '!$AA$1:$AA$1501,$J2562+1)&amp;"",INDEX('Daily Sale entry '!$P$1:$P$1501,$J2562-1499)&amp;""))</f>
        <v/>
      </c>
      <c r="E2562">
        <f>IF($J2562="","",IF($J2562&lt;=1500,IF(N(INDEX('Daily Sale entry '!$AB$1:$AB$1501,$J2562+1))=0,"",INDEX('Daily Sale entry '!$AB$1:$AB$1501,$J2562+1)),1))</f>
        <v/>
      </c>
      <c r="F2562" s="6">
        <f>IF($J2562="","",IF($J2562&lt;=1500,N(INDEX('Daily Sale entry '!$AC$1:$AC$1501,$J2562+1))-IF(AND('Opening Balance'!$B$15=1,INDEX('Daily Sale entry '!$Z$1:$Z$1501,$J2562+1)="Online collection 网上收款",INDEX('Daily Sale entry '!$AA$1:$AA$1501,$J2562+1)&lt;&gt;""),N(INDEX('Daily Sale entry '!$AC$1:$AC$1501,$J2562+1))-TRUNC(N(INDEX('Daily Sale entry '!$AC$1:$AC$1501,$J2562+1))),0),N(INDEX('Daily Sale entry '!$S$1:$S$1501,$J2562-1499))-'Opening Balance'!$B$15*(N(INDEX('Daily Sale entry '!$S$1:$S$1501,$J2562-1499))-TRUNC(N(INDEX('Daily Sale entry '!$S$1:$S$1501,$J2562-1499))))))</f>
        <v/>
      </c>
      <c r="G2562" s="6">
        <f>IF($J2562="","",IF($J2562&lt;=1500,N(INDEX('Daily Sale entry '!$AD$1:$AD$1501,$J2562+1)),0))</f>
        <v/>
      </c>
      <c r="H2562" s="6">
        <f>IF($J2562="","",ROUND('Opening Balance'!$B$4+SUM($F$2:F2562)-SUM($G$2:G2562),2))</f>
        <v/>
      </c>
      <c r="J2562" s="21">
        <f>IFERROR(MATCH(ROW()-1,$L$2:$L$3001,0),"")</f>
        <v/>
      </c>
      <c r="K2562" s="34">
        <f>IF(AND('Daily Sale entry '!Q1062="Collection 收款",'Daily Sale entry '!R1062="Cheque 支票",'Daily Sale entry '!V1062&lt;&gt;""),'Daily Sale entry '!V1062+ROW()/10000000,"")</f>
        <v/>
      </c>
      <c r="L2562" s="21">
        <f>IF(K2562="","",COUNTIF($K$2:$K$3001,"&lt;"&amp;K2562)+1)</f>
        <v/>
      </c>
    </row>
    <row r="2563">
      <c r="A2563" s="5">
        <f>IF($J2563="","",IF($J2563&lt;=1500,INDEX('Daily Sale entry '!$X$1:$X$1501,$J2563+1),INDEX('Daily Sale entry '!$V$1:$V$1501,$J2563-1499)))</f>
        <v/>
      </c>
      <c r="B2563">
        <f>IF($J2563="","",IF($J2563&lt;=1500,INDEX('Daily Sale entry '!$Y$1:$Y$1501,$J2563+1)&amp;"","Buyer cheque banked 买家支票存入"&amp;IF(INDEX('Daily Sale entry '!$U$1:$U$1501,$J2563-1499)="","", " - "&amp;INDEX('Daily Sale entry '!$U$1:$U$1501,$J2563-1499))))</f>
        <v/>
      </c>
      <c r="C2563">
        <f>IF($J2563="","",IF($J2563&lt;=1500,INDEX('Daily Sale entry '!$Z$1:$Z$1501,$J2563+1)&amp;"","Cheque deposit 支票存入 (buyer 买家)"))</f>
        <v/>
      </c>
      <c r="D2563">
        <f>IF($J2563="","",IF($J2563&lt;=1500,INDEX('Daily Sale entry '!$AA$1:$AA$1501,$J2563+1)&amp;"",INDEX('Daily Sale entry '!$P$1:$P$1501,$J2563-1499)&amp;""))</f>
        <v/>
      </c>
      <c r="E2563">
        <f>IF($J2563="","",IF($J2563&lt;=1500,IF(N(INDEX('Daily Sale entry '!$AB$1:$AB$1501,$J2563+1))=0,"",INDEX('Daily Sale entry '!$AB$1:$AB$1501,$J2563+1)),1))</f>
        <v/>
      </c>
      <c r="F2563" s="6">
        <f>IF($J2563="","",IF($J2563&lt;=1500,N(INDEX('Daily Sale entry '!$AC$1:$AC$1501,$J2563+1))-IF(AND('Opening Balance'!$B$15=1,INDEX('Daily Sale entry '!$Z$1:$Z$1501,$J2563+1)="Online collection 网上收款",INDEX('Daily Sale entry '!$AA$1:$AA$1501,$J2563+1)&lt;&gt;""),N(INDEX('Daily Sale entry '!$AC$1:$AC$1501,$J2563+1))-TRUNC(N(INDEX('Daily Sale entry '!$AC$1:$AC$1501,$J2563+1))),0),N(INDEX('Daily Sale entry '!$S$1:$S$1501,$J2563-1499))-'Opening Balance'!$B$15*(N(INDEX('Daily Sale entry '!$S$1:$S$1501,$J2563-1499))-TRUNC(N(INDEX('Daily Sale entry '!$S$1:$S$1501,$J2563-1499))))))</f>
        <v/>
      </c>
      <c r="G2563" s="6">
        <f>IF($J2563="","",IF($J2563&lt;=1500,N(INDEX('Daily Sale entry '!$AD$1:$AD$1501,$J2563+1)),0))</f>
        <v/>
      </c>
      <c r="H2563" s="6">
        <f>IF($J2563="","",ROUND('Opening Balance'!$B$4+SUM($F$2:F2563)-SUM($G$2:G2563),2))</f>
        <v/>
      </c>
      <c r="J2563" s="21">
        <f>IFERROR(MATCH(ROW()-1,$L$2:$L$3001,0),"")</f>
        <v/>
      </c>
      <c r="K2563" s="34">
        <f>IF(AND('Daily Sale entry '!Q1063="Collection 收款",'Daily Sale entry '!R1063="Cheque 支票",'Daily Sale entry '!V1063&lt;&gt;""),'Daily Sale entry '!V1063+ROW()/10000000,"")</f>
        <v/>
      </c>
      <c r="L2563" s="21">
        <f>IF(K2563="","",COUNTIF($K$2:$K$3001,"&lt;"&amp;K2563)+1)</f>
        <v/>
      </c>
    </row>
    <row r="2564">
      <c r="A2564" s="5">
        <f>IF($J2564="","",IF($J2564&lt;=1500,INDEX('Daily Sale entry '!$X$1:$X$1501,$J2564+1),INDEX('Daily Sale entry '!$V$1:$V$1501,$J2564-1499)))</f>
        <v/>
      </c>
      <c r="B2564">
        <f>IF($J2564="","",IF($J2564&lt;=1500,INDEX('Daily Sale entry '!$Y$1:$Y$1501,$J2564+1)&amp;"","Buyer cheque banked 买家支票存入"&amp;IF(INDEX('Daily Sale entry '!$U$1:$U$1501,$J2564-1499)="","", " - "&amp;INDEX('Daily Sale entry '!$U$1:$U$1501,$J2564-1499))))</f>
        <v/>
      </c>
      <c r="C2564">
        <f>IF($J2564="","",IF($J2564&lt;=1500,INDEX('Daily Sale entry '!$Z$1:$Z$1501,$J2564+1)&amp;"","Cheque deposit 支票存入 (buyer 买家)"))</f>
        <v/>
      </c>
      <c r="D2564">
        <f>IF($J2564="","",IF($J2564&lt;=1500,INDEX('Daily Sale entry '!$AA$1:$AA$1501,$J2564+1)&amp;"",INDEX('Daily Sale entry '!$P$1:$P$1501,$J2564-1499)&amp;""))</f>
        <v/>
      </c>
      <c r="E2564">
        <f>IF($J2564="","",IF($J2564&lt;=1500,IF(N(INDEX('Daily Sale entry '!$AB$1:$AB$1501,$J2564+1))=0,"",INDEX('Daily Sale entry '!$AB$1:$AB$1501,$J2564+1)),1))</f>
        <v/>
      </c>
      <c r="F2564" s="6">
        <f>IF($J2564="","",IF($J2564&lt;=1500,N(INDEX('Daily Sale entry '!$AC$1:$AC$1501,$J2564+1))-IF(AND('Opening Balance'!$B$15=1,INDEX('Daily Sale entry '!$Z$1:$Z$1501,$J2564+1)="Online collection 网上收款",INDEX('Daily Sale entry '!$AA$1:$AA$1501,$J2564+1)&lt;&gt;""),N(INDEX('Daily Sale entry '!$AC$1:$AC$1501,$J2564+1))-TRUNC(N(INDEX('Daily Sale entry '!$AC$1:$AC$1501,$J2564+1))),0),N(INDEX('Daily Sale entry '!$S$1:$S$1501,$J2564-1499))-'Opening Balance'!$B$15*(N(INDEX('Daily Sale entry '!$S$1:$S$1501,$J2564-1499))-TRUNC(N(INDEX('Daily Sale entry '!$S$1:$S$1501,$J2564-1499))))))</f>
        <v/>
      </c>
      <c r="G2564" s="6">
        <f>IF($J2564="","",IF($J2564&lt;=1500,N(INDEX('Daily Sale entry '!$AD$1:$AD$1501,$J2564+1)),0))</f>
        <v/>
      </c>
      <c r="H2564" s="6">
        <f>IF($J2564="","",ROUND('Opening Balance'!$B$4+SUM($F$2:F2564)-SUM($G$2:G2564),2))</f>
        <v/>
      </c>
      <c r="J2564" s="21">
        <f>IFERROR(MATCH(ROW()-1,$L$2:$L$3001,0),"")</f>
        <v/>
      </c>
      <c r="K2564" s="34">
        <f>IF(AND('Daily Sale entry '!Q1064="Collection 收款",'Daily Sale entry '!R1064="Cheque 支票",'Daily Sale entry '!V1064&lt;&gt;""),'Daily Sale entry '!V1064+ROW()/10000000,"")</f>
        <v/>
      </c>
      <c r="L2564" s="21">
        <f>IF(K2564="","",COUNTIF($K$2:$K$3001,"&lt;"&amp;K2564)+1)</f>
        <v/>
      </c>
    </row>
    <row r="2565">
      <c r="A2565" s="5">
        <f>IF($J2565="","",IF($J2565&lt;=1500,INDEX('Daily Sale entry '!$X$1:$X$1501,$J2565+1),INDEX('Daily Sale entry '!$V$1:$V$1501,$J2565-1499)))</f>
        <v/>
      </c>
      <c r="B2565">
        <f>IF($J2565="","",IF($J2565&lt;=1500,INDEX('Daily Sale entry '!$Y$1:$Y$1501,$J2565+1)&amp;"","Buyer cheque banked 买家支票存入"&amp;IF(INDEX('Daily Sale entry '!$U$1:$U$1501,$J2565-1499)="","", " - "&amp;INDEX('Daily Sale entry '!$U$1:$U$1501,$J2565-1499))))</f>
        <v/>
      </c>
      <c r="C2565">
        <f>IF($J2565="","",IF($J2565&lt;=1500,INDEX('Daily Sale entry '!$Z$1:$Z$1501,$J2565+1)&amp;"","Cheque deposit 支票存入 (buyer 买家)"))</f>
        <v/>
      </c>
      <c r="D2565">
        <f>IF($J2565="","",IF($J2565&lt;=1500,INDEX('Daily Sale entry '!$AA$1:$AA$1501,$J2565+1)&amp;"",INDEX('Daily Sale entry '!$P$1:$P$1501,$J2565-1499)&amp;""))</f>
        <v/>
      </c>
      <c r="E2565">
        <f>IF($J2565="","",IF($J2565&lt;=1500,IF(N(INDEX('Daily Sale entry '!$AB$1:$AB$1501,$J2565+1))=0,"",INDEX('Daily Sale entry '!$AB$1:$AB$1501,$J2565+1)),1))</f>
        <v/>
      </c>
      <c r="F2565" s="6">
        <f>IF($J2565="","",IF($J2565&lt;=1500,N(INDEX('Daily Sale entry '!$AC$1:$AC$1501,$J2565+1))-IF(AND('Opening Balance'!$B$15=1,INDEX('Daily Sale entry '!$Z$1:$Z$1501,$J2565+1)="Online collection 网上收款",INDEX('Daily Sale entry '!$AA$1:$AA$1501,$J2565+1)&lt;&gt;""),N(INDEX('Daily Sale entry '!$AC$1:$AC$1501,$J2565+1))-TRUNC(N(INDEX('Daily Sale entry '!$AC$1:$AC$1501,$J2565+1))),0),N(INDEX('Daily Sale entry '!$S$1:$S$1501,$J2565-1499))-'Opening Balance'!$B$15*(N(INDEX('Daily Sale entry '!$S$1:$S$1501,$J2565-1499))-TRUNC(N(INDEX('Daily Sale entry '!$S$1:$S$1501,$J2565-1499))))))</f>
        <v/>
      </c>
      <c r="G2565" s="6">
        <f>IF($J2565="","",IF($J2565&lt;=1500,N(INDEX('Daily Sale entry '!$AD$1:$AD$1501,$J2565+1)),0))</f>
        <v/>
      </c>
      <c r="H2565" s="6">
        <f>IF($J2565="","",ROUND('Opening Balance'!$B$4+SUM($F$2:F2565)-SUM($G$2:G2565),2))</f>
        <v/>
      </c>
      <c r="J2565" s="21">
        <f>IFERROR(MATCH(ROW()-1,$L$2:$L$3001,0),"")</f>
        <v/>
      </c>
      <c r="K2565" s="34">
        <f>IF(AND('Daily Sale entry '!Q1065="Collection 收款",'Daily Sale entry '!R1065="Cheque 支票",'Daily Sale entry '!V1065&lt;&gt;""),'Daily Sale entry '!V1065+ROW()/10000000,"")</f>
        <v/>
      </c>
      <c r="L2565" s="21">
        <f>IF(K2565="","",COUNTIF($K$2:$K$3001,"&lt;"&amp;K2565)+1)</f>
        <v/>
      </c>
    </row>
    <row r="2566">
      <c r="A2566" s="5">
        <f>IF($J2566="","",IF($J2566&lt;=1500,INDEX('Daily Sale entry '!$X$1:$X$1501,$J2566+1),INDEX('Daily Sale entry '!$V$1:$V$1501,$J2566-1499)))</f>
        <v/>
      </c>
      <c r="B2566">
        <f>IF($J2566="","",IF($J2566&lt;=1500,INDEX('Daily Sale entry '!$Y$1:$Y$1501,$J2566+1)&amp;"","Buyer cheque banked 买家支票存入"&amp;IF(INDEX('Daily Sale entry '!$U$1:$U$1501,$J2566-1499)="","", " - "&amp;INDEX('Daily Sale entry '!$U$1:$U$1501,$J2566-1499))))</f>
        <v/>
      </c>
      <c r="C2566">
        <f>IF($J2566="","",IF($J2566&lt;=1500,INDEX('Daily Sale entry '!$Z$1:$Z$1501,$J2566+1)&amp;"","Cheque deposit 支票存入 (buyer 买家)"))</f>
        <v/>
      </c>
      <c r="D2566">
        <f>IF($J2566="","",IF($J2566&lt;=1500,INDEX('Daily Sale entry '!$AA$1:$AA$1501,$J2566+1)&amp;"",INDEX('Daily Sale entry '!$P$1:$P$1501,$J2566-1499)&amp;""))</f>
        <v/>
      </c>
      <c r="E2566">
        <f>IF($J2566="","",IF($J2566&lt;=1500,IF(N(INDEX('Daily Sale entry '!$AB$1:$AB$1501,$J2566+1))=0,"",INDEX('Daily Sale entry '!$AB$1:$AB$1501,$J2566+1)),1))</f>
        <v/>
      </c>
      <c r="F2566" s="6">
        <f>IF($J2566="","",IF($J2566&lt;=1500,N(INDEX('Daily Sale entry '!$AC$1:$AC$1501,$J2566+1))-IF(AND('Opening Balance'!$B$15=1,INDEX('Daily Sale entry '!$Z$1:$Z$1501,$J2566+1)="Online collection 网上收款",INDEX('Daily Sale entry '!$AA$1:$AA$1501,$J2566+1)&lt;&gt;""),N(INDEX('Daily Sale entry '!$AC$1:$AC$1501,$J2566+1))-TRUNC(N(INDEX('Daily Sale entry '!$AC$1:$AC$1501,$J2566+1))),0),N(INDEX('Daily Sale entry '!$S$1:$S$1501,$J2566-1499))-'Opening Balance'!$B$15*(N(INDEX('Daily Sale entry '!$S$1:$S$1501,$J2566-1499))-TRUNC(N(INDEX('Daily Sale entry '!$S$1:$S$1501,$J2566-1499))))))</f>
        <v/>
      </c>
      <c r="G2566" s="6">
        <f>IF($J2566="","",IF($J2566&lt;=1500,N(INDEX('Daily Sale entry '!$AD$1:$AD$1501,$J2566+1)),0))</f>
        <v/>
      </c>
      <c r="H2566" s="6">
        <f>IF($J2566="","",ROUND('Opening Balance'!$B$4+SUM($F$2:F2566)-SUM($G$2:G2566),2))</f>
        <v/>
      </c>
      <c r="J2566" s="21">
        <f>IFERROR(MATCH(ROW()-1,$L$2:$L$3001,0),"")</f>
        <v/>
      </c>
      <c r="K2566" s="34">
        <f>IF(AND('Daily Sale entry '!Q1066="Collection 收款",'Daily Sale entry '!R1066="Cheque 支票",'Daily Sale entry '!V1066&lt;&gt;""),'Daily Sale entry '!V1066+ROW()/10000000,"")</f>
        <v/>
      </c>
      <c r="L2566" s="21">
        <f>IF(K2566="","",COUNTIF($K$2:$K$3001,"&lt;"&amp;K2566)+1)</f>
        <v/>
      </c>
    </row>
    <row r="2567">
      <c r="A2567" s="5">
        <f>IF($J2567="","",IF($J2567&lt;=1500,INDEX('Daily Sale entry '!$X$1:$X$1501,$J2567+1),INDEX('Daily Sale entry '!$V$1:$V$1501,$J2567-1499)))</f>
        <v/>
      </c>
      <c r="B2567">
        <f>IF($J2567="","",IF($J2567&lt;=1500,INDEX('Daily Sale entry '!$Y$1:$Y$1501,$J2567+1)&amp;"","Buyer cheque banked 买家支票存入"&amp;IF(INDEX('Daily Sale entry '!$U$1:$U$1501,$J2567-1499)="","", " - "&amp;INDEX('Daily Sale entry '!$U$1:$U$1501,$J2567-1499))))</f>
        <v/>
      </c>
      <c r="C2567">
        <f>IF($J2567="","",IF($J2567&lt;=1500,INDEX('Daily Sale entry '!$Z$1:$Z$1501,$J2567+1)&amp;"","Cheque deposit 支票存入 (buyer 买家)"))</f>
        <v/>
      </c>
      <c r="D2567">
        <f>IF($J2567="","",IF($J2567&lt;=1500,INDEX('Daily Sale entry '!$AA$1:$AA$1501,$J2567+1)&amp;"",INDEX('Daily Sale entry '!$P$1:$P$1501,$J2567-1499)&amp;""))</f>
        <v/>
      </c>
      <c r="E2567">
        <f>IF($J2567="","",IF($J2567&lt;=1500,IF(N(INDEX('Daily Sale entry '!$AB$1:$AB$1501,$J2567+1))=0,"",INDEX('Daily Sale entry '!$AB$1:$AB$1501,$J2567+1)),1))</f>
        <v/>
      </c>
      <c r="F2567" s="6">
        <f>IF($J2567="","",IF($J2567&lt;=1500,N(INDEX('Daily Sale entry '!$AC$1:$AC$1501,$J2567+1))-IF(AND('Opening Balance'!$B$15=1,INDEX('Daily Sale entry '!$Z$1:$Z$1501,$J2567+1)="Online collection 网上收款",INDEX('Daily Sale entry '!$AA$1:$AA$1501,$J2567+1)&lt;&gt;""),N(INDEX('Daily Sale entry '!$AC$1:$AC$1501,$J2567+1))-TRUNC(N(INDEX('Daily Sale entry '!$AC$1:$AC$1501,$J2567+1))),0),N(INDEX('Daily Sale entry '!$S$1:$S$1501,$J2567-1499))-'Opening Balance'!$B$15*(N(INDEX('Daily Sale entry '!$S$1:$S$1501,$J2567-1499))-TRUNC(N(INDEX('Daily Sale entry '!$S$1:$S$1501,$J2567-1499))))))</f>
        <v/>
      </c>
      <c r="G2567" s="6">
        <f>IF($J2567="","",IF($J2567&lt;=1500,N(INDEX('Daily Sale entry '!$AD$1:$AD$1501,$J2567+1)),0))</f>
        <v/>
      </c>
      <c r="H2567" s="6">
        <f>IF($J2567="","",ROUND('Opening Balance'!$B$4+SUM($F$2:F2567)-SUM($G$2:G2567),2))</f>
        <v/>
      </c>
      <c r="J2567" s="21">
        <f>IFERROR(MATCH(ROW()-1,$L$2:$L$3001,0),"")</f>
        <v/>
      </c>
      <c r="K2567" s="34">
        <f>IF(AND('Daily Sale entry '!Q1067="Collection 收款",'Daily Sale entry '!R1067="Cheque 支票",'Daily Sale entry '!V1067&lt;&gt;""),'Daily Sale entry '!V1067+ROW()/10000000,"")</f>
        <v/>
      </c>
      <c r="L2567" s="21">
        <f>IF(K2567="","",COUNTIF($K$2:$K$3001,"&lt;"&amp;K2567)+1)</f>
        <v/>
      </c>
    </row>
    <row r="2568">
      <c r="A2568" s="5">
        <f>IF($J2568="","",IF($J2568&lt;=1500,INDEX('Daily Sale entry '!$X$1:$X$1501,$J2568+1),INDEX('Daily Sale entry '!$V$1:$V$1501,$J2568-1499)))</f>
        <v/>
      </c>
      <c r="B2568">
        <f>IF($J2568="","",IF($J2568&lt;=1500,INDEX('Daily Sale entry '!$Y$1:$Y$1501,$J2568+1)&amp;"","Buyer cheque banked 买家支票存入"&amp;IF(INDEX('Daily Sale entry '!$U$1:$U$1501,$J2568-1499)="","", " - "&amp;INDEX('Daily Sale entry '!$U$1:$U$1501,$J2568-1499))))</f>
        <v/>
      </c>
      <c r="C2568">
        <f>IF($J2568="","",IF($J2568&lt;=1500,INDEX('Daily Sale entry '!$Z$1:$Z$1501,$J2568+1)&amp;"","Cheque deposit 支票存入 (buyer 买家)"))</f>
        <v/>
      </c>
      <c r="D2568">
        <f>IF($J2568="","",IF($J2568&lt;=1500,INDEX('Daily Sale entry '!$AA$1:$AA$1501,$J2568+1)&amp;"",INDEX('Daily Sale entry '!$P$1:$P$1501,$J2568-1499)&amp;""))</f>
        <v/>
      </c>
      <c r="E2568">
        <f>IF($J2568="","",IF($J2568&lt;=1500,IF(N(INDEX('Daily Sale entry '!$AB$1:$AB$1501,$J2568+1))=0,"",INDEX('Daily Sale entry '!$AB$1:$AB$1501,$J2568+1)),1))</f>
        <v/>
      </c>
      <c r="F2568" s="6">
        <f>IF($J2568="","",IF($J2568&lt;=1500,N(INDEX('Daily Sale entry '!$AC$1:$AC$1501,$J2568+1))-IF(AND('Opening Balance'!$B$15=1,INDEX('Daily Sale entry '!$Z$1:$Z$1501,$J2568+1)="Online collection 网上收款",INDEX('Daily Sale entry '!$AA$1:$AA$1501,$J2568+1)&lt;&gt;""),N(INDEX('Daily Sale entry '!$AC$1:$AC$1501,$J2568+1))-TRUNC(N(INDEX('Daily Sale entry '!$AC$1:$AC$1501,$J2568+1))),0),N(INDEX('Daily Sale entry '!$S$1:$S$1501,$J2568-1499))-'Opening Balance'!$B$15*(N(INDEX('Daily Sale entry '!$S$1:$S$1501,$J2568-1499))-TRUNC(N(INDEX('Daily Sale entry '!$S$1:$S$1501,$J2568-1499))))))</f>
        <v/>
      </c>
      <c r="G2568" s="6">
        <f>IF($J2568="","",IF($J2568&lt;=1500,N(INDEX('Daily Sale entry '!$AD$1:$AD$1501,$J2568+1)),0))</f>
        <v/>
      </c>
      <c r="H2568" s="6">
        <f>IF($J2568="","",ROUND('Opening Balance'!$B$4+SUM($F$2:F2568)-SUM($G$2:G2568),2))</f>
        <v/>
      </c>
      <c r="J2568" s="21">
        <f>IFERROR(MATCH(ROW()-1,$L$2:$L$3001,0),"")</f>
        <v/>
      </c>
      <c r="K2568" s="34">
        <f>IF(AND('Daily Sale entry '!Q1068="Collection 收款",'Daily Sale entry '!R1068="Cheque 支票",'Daily Sale entry '!V1068&lt;&gt;""),'Daily Sale entry '!V1068+ROW()/10000000,"")</f>
        <v/>
      </c>
      <c r="L2568" s="21">
        <f>IF(K2568="","",COUNTIF($K$2:$K$3001,"&lt;"&amp;K2568)+1)</f>
        <v/>
      </c>
    </row>
    <row r="2569">
      <c r="A2569" s="5">
        <f>IF($J2569="","",IF($J2569&lt;=1500,INDEX('Daily Sale entry '!$X$1:$X$1501,$J2569+1),INDEX('Daily Sale entry '!$V$1:$V$1501,$J2569-1499)))</f>
        <v/>
      </c>
      <c r="B2569">
        <f>IF($J2569="","",IF($J2569&lt;=1500,INDEX('Daily Sale entry '!$Y$1:$Y$1501,$J2569+1)&amp;"","Buyer cheque banked 买家支票存入"&amp;IF(INDEX('Daily Sale entry '!$U$1:$U$1501,$J2569-1499)="","", " - "&amp;INDEX('Daily Sale entry '!$U$1:$U$1501,$J2569-1499))))</f>
        <v/>
      </c>
      <c r="C2569">
        <f>IF($J2569="","",IF($J2569&lt;=1500,INDEX('Daily Sale entry '!$Z$1:$Z$1501,$J2569+1)&amp;"","Cheque deposit 支票存入 (buyer 买家)"))</f>
        <v/>
      </c>
      <c r="D2569">
        <f>IF($J2569="","",IF($J2569&lt;=1500,INDEX('Daily Sale entry '!$AA$1:$AA$1501,$J2569+1)&amp;"",INDEX('Daily Sale entry '!$P$1:$P$1501,$J2569-1499)&amp;""))</f>
        <v/>
      </c>
      <c r="E2569">
        <f>IF($J2569="","",IF($J2569&lt;=1500,IF(N(INDEX('Daily Sale entry '!$AB$1:$AB$1501,$J2569+1))=0,"",INDEX('Daily Sale entry '!$AB$1:$AB$1501,$J2569+1)),1))</f>
        <v/>
      </c>
      <c r="F2569" s="6">
        <f>IF($J2569="","",IF($J2569&lt;=1500,N(INDEX('Daily Sale entry '!$AC$1:$AC$1501,$J2569+1))-IF(AND('Opening Balance'!$B$15=1,INDEX('Daily Sale entry '!$Z$1:$Z$1501,$J2569+1)="Online collection 网上收款",INDEX('Daily Sale entry '!$AA$1:$AA$1501,$J2569+1)&lt;&gt;""),N(INDEX('Daily Sale entry '!$AC$1:$AC$1501,$J2569+1))-TRUNC(N(INDEX('Daily Sale entry '!$AC$1:$AC$1501,$J2569+1))),0),N(INDEX('Daily Sale entry '!$S$1:$S$1501,$J2569-1499))-'Opening Balance'!$B$15*(N(INDEX('Daily Sale entry '!$S$1:$S$1501,$J2569-1499))-TRUNC(N(INDEX('Daily Sale entry '!$S$1:$S$1501,$J2569-1499))))))</f>
        <v/>
      </c>
      <c r="G2569" s="6">
        <f>IF($J2569="","",IF($J2569&lt;=1500,N(INDEX('Daily Sale entry '!$AD$1:$AD$1501,$J2569+1)),0))</f>
        <v/>
      </c>
      <c r="H2569" s="6">
        <f>IF($J2569="","",ROUND('Opening Balance'!$B$4+SUM($F$2:F2569)-SUM($G$2:G2569),2))</f>
        <v/>
      </c>
      <c r="J2569" s="21">
        <f>IFERROR(MATCH(ROW()-1,$L$2:$L$3001,0),"")</f>
        <v/>
      </c>
      <c r="K2569" s="34">
        <f>IF(AND('Daily Sale entry '!Q1069="Collection 收款",'Daily Sale entry '!R1069="Cheque 支票",'Daily Sale entry '!V1069&lt;&gt;""),'Daily Sale entry '!V1069+ROW()/10000000,"")</f>
        <v/>
      </c>
      <c r="L2569" s="21">
        <f>IF(K2569="","",COUNTIF($K$2:$K$3001,"&lt;"&amp;K2569)+1)</f>
        <v/>
      </c>
    </row>
    <row r="2570">
      <c r="A2570" s="5">
        <f>IF($J2570="","",IF($J2570&lt;=1500,INDEX('Daily Sale entry '!$X$1:$X$1501,$J2570+1),INDEX('Daily Sale entry '!$V$1:$V$1501,$J2570-1499)))</f>
        <v/>
      </c>
      <c r="B2570">
        <f>IF($J2570="","",IF($J2570&lt;=1500,INDEX('Daily Sale entry '!$Y$1:$Y$1501,$J2570+1)&amp;"","Buyer cheque banked 买家支票存入"&amp;IF(INDEX('Daily Sale entry '!$U$1:$U$1501,$J2570-1499)="","", " - "&amp;INDEX('Daily Sale entry '!$U$1:$U$1501,$J2570-1499))))</f>
        <v/>
      </c>
      <c r="C2570">
        <f>IF($J2570="","",IF($J2570&lt;=1500,INDEX('Daily Sale entry '!$Z$1:$Z$1501,$J2570+1)&amp;"","Cheque deposit 支票存入 (buyer 买家)"))</f>
        <v/>
      </c>
      <c r="D2570">
        <f>IF($J2570="","",IF($J2570&lt;=1500,INDEX('Daily Sale entry '!$AA$1:$AA$1501,$J2570+1)&amp;"",INDEX('Daily Sale entry '!$P$1:$P$1501,$J2570-1499)&amp;""))</f>
        <v/>
      </c>
      <c r="E2570">
        <f>IF($J2570="","",IF($J2570&lt;=1500,IF(N(INDEX('Daily Sale entry '!$AB$1:$AB$1501,$J2570+1))=0,"",INDEX('Daily Sale entry '!$AB$1:$AB$1501,$J2570+1)),1))</f>
        <v/>
      </c>
      <c r="F2570" s="6">
        <f>IF($J2570="","",IF($J2570&lt;=1500,N(INDEX('Daily Sale entry '!$AC$1:$AC$1501,$J2570+1))-IF(AND('Opening Balance'!$B$15=1,INDEX('Daily Sale entry '!$Z$1:$Z$1501,$J2570+1)="Online collection 网上收款",INDEX('Daily Sale entry '!$AA$1:$AA$1501,$J2570+1)&lt;&gt;""),N(INDEX('Daily Sale entry '!$AC$1:$AC$1501,$J2570+1))-TRUNC(N(INDEX('Daily Sale entry '!$AC$1:$AC$1501,$J2570+1))),0),N(INDEX('Daily Sale entry '!$S$1:$S$1501,$J2570-1499))-'Opening Balance'!$B$15*(N(INDEX('Daily Sale entry '!$S$1:$S$1501,$J2570-1499))-TRUNC(N(INDEX('Daily Sale entry '!$S$1:$S$1501,$J2570-1499))))))</f>
        <v/>
      </c>
      <c r="G2570" s="6">
        <f>IF($J2570="","",IF($J2570&lt;=1500,N(INDEX('Daily Sale entry '!$AD$1:$AD$1501,$J2570+1)),0))</f>
        <v/>
      </c>
      <c r="H2570" s="6">
        <f>IF($J2570="","",ROUND('Opening Balance'!$B$4+SUM($F$2:F2570)-SUM($G$2:G2570),2))</f>
        <v/>
      </c>
      <c r="J2570" s="21">
        <f>IFERROR(MATCH(ROW()-1,$L$2:$L$3001,0),"")</f>
        <v/>
      </c>
      <c r="K2570" s="34">
        <f>IF(AND('Daily Sale entry '!Q1070="Collection 收款",'Daily Sale entry '!R1070="Cheque 支票",'Daily Sale entry '!V1070&lt;&gt;""),'Daily Sale entry '!V1070+ROW()/10000000,"")</f>
        <v/>
      </c>
      <c r="L2570" s="21">
        <f>IF(K2570="","",COUNTIF($K$2:$K$3001,"&lt;"&amp;K2570)+1)</f>
        <v/>
      </c>
    </row>
    <row r="2571">
      <c r="A2571" s="5">
        <f>IF($J2571="","",IF($J2571&lt;=1500,INDEX('Daily Sale entry '!$X$1:$X$1501,$J2571+1),INDEX('Daily Sale entry '!$V$1:$V$1501,$J2571-1499)))</f>
        <v/>
      </c>
      <c r="B2571">
        <f>IF($J2571="","",IF($J2571&lt;=1500,INDEX('Daily Sale entry '!$Y$1:$Y$1501,$J2571+1)&amp;"","Buyer cheque banked 买家支票存入"&amp;IF(INDEX('Daily Sale entry '!$U$1:$U$1501,$J2571-1499)="","", " - "&amp;INDEX('Daily Sale entry '!$U$1:$U$1501,$J2571-1499))))</f>
        <v/>
      </c>
      <c r="C2571">
        <f>IF($J2571="","",IF($J2571&lt;=1500,INDEX('Daily Sale entry '!$Z$1:$Z$1501,$J2571+1)&amp;"","Cheque deposit 支票存入 (buyer 买家)"))</f>
        <v/>
      </c>
      <c r="D2571">
        <f>IF($J2571="","",IF($J2571&lt;=1500,INDEX('Daily Sale entry '!$AA$1:$AA$1501,$J2571+1)&amp;"",INDEX('Daily Sale entry '!$P$1:$P$1501,$J2571-1499)&amp;""))</f>
        <v/>
      </c>
      <c r="E2571">
        <f>IF($J2571="","",IF($J2571&lt;=1500,IF(N(INDEX('Daily Sale entry '!$AB$1:$AB$1501,$J2571+1))=0,"",INDEX('Daily Sale entry '!$AB$1:$AB$1501,$J2571+1)),1))</f>
        <v/>
      </c>
      <c r="F2571" s="6">
        <f>IF($J2571="","",IF($J2571&lt;=1500,N(INDEX('Daily Sale entry '!$AC$1:$AC$1501,$J2571+1))-IF(AND('Opening Balance'!$B$15=1,INDEX('Daily Sale entry '!$Z$1:$Z$1501,$J2571+1)="Online collection 网上收款",INDEX('Daily Sale entry '!$AA$1:$AA$1501,$J2571+1)&lt;&gt;""),N(INDEX('Daily Sale entry '!$AC$1:$AC$1501,$J2571+1))-TRUNC(N(INDEX('Daily Sale entry '!$AC$1:$AC$1501,$J2571+1))),0),N(INDEX('Daily Sale entry '!$S$1:$S$1501,$J2571-1499))-'Opening Balance'!$B$15*(N(INDEX('Daily Sale entry '!$S$1:$S$1501,$J2571-1499))-TRUNC(N(INDEX('Daily Sale entry '!$S$1:$S$1501,$J2571-1499))))))</f>
        <v/>
      </c>
      <c r="G2571" s="6">
        <f>IF($J2571="","",IF($J2571&lt;=1500,N(INDEX('Daily Sale entry '!$AD$1:$AD$1501,$J2571+1)),0))</f>
        <v/>
      </c>
      <c r="H2571" s="6">
        <f>IF($J2571="","",ROUND('Opening Balance'!$B$4+SUM($F$2:F2571)-SUM($G$2:G2571),2))</f>
        <v/>
      </c>
      <c r="J2571" s="21">
        <f>IFERROR(MATCH(ROW()-1,$L$2:$L$3001,0),"")</f>
        <v/>
      </c>
      <c r="K2571" s="34">
        <f>IF(AND('Daily Sale entry '!Q1071="Collection 收款",'Daily Sale entry '!R1071="Cheque 支票",'Daily Sale entry '!V1071&lt;&gt;""),'Daily Sale entry '!V1071+ROW()/10000000,"")</f>
        <v/>
      </c>
      <c r="L2571" s="21">
        <f>IF(K2571="","",COUNTIF($K$2:$K$3001,"&lt;"&amp;K2571)+1)</f>
        <v/>
      </c>
    </row>
    <row r="2572">
      <c r="A2572" s="5">
        <f>IF($J2572="","",IF($J2572&lt;=1500,INDEX('Daily Sale entry '!$X$1:$X$1501,$J2572+1),INDEX('Daily Sale entry '!$V$1:$V$1501,$J2572-1499)))</f>
        <v/>
      </c>
      <c r="B2572">
        <f>IF($J2572="","",IF($J2572&lt;=1500,INDEX('Daily Sale entry '!$Y$1:$Y$1501,$J2572+1)&amp;"","Buyer cheque banked 买家支票存入"&amp;IF(INDEX('Daily Sale entry '!$U$1:$U$1501,$J2572-1499)="","", " - "&amp;INDEX('Daily Sale entry '!$U$1:$U$1501,$J2572-1499))))</f>
        <v/>
      </c>
      <c r="C2572">
        <f>IF($J2572="","",IF($J2572&lt;=1500,INDEX('Daily Sale entry '!$Z$1:$Z$1501,$J2572+1)&amp;"","Cheque deposit 支票存入 (buyer 买家)"))</f>
        <v/>
      </c>
      <c r="D2572">
        <f>IF($J2572="","",IF($J2572&lt;=1500,INDEX('Daily Sale entry '!$AA$1:$AA$1501,$J2572+1)&amp;"",INDEX('Daily Sale entry '!$P$1:$P$1501,$J2572-1499)&amp;""))</f>
        <v/>
      </c>
      <c r="E2572">
        <f>IF($J2572="","",IF($J2572&lt;=1500,IF(N(INDEX('Daily Sale entry '!$AB$1:$AB$1501,$J2572+1))=0,"",INDEX('Daily Sale entry '!$AB$1:$AB$1501,$J2572+1)),1))</f>
        <v/>
      </c>
      <c r="F2572" s="6">
        <f>IF($J2572="","",IF($J2572&lt;=1500,N(INDEX('Daily Sale entry '!$AC$1:$AC$1501,$J2572+1))-IF(AND('Opening Balance'!$B$15=1,INDEX('Daily Sale entry '!$Z$1:$Z$1501,$J2572+1)="Online collection 网上收款",INDEX('Daily Sale entry '!$AA$1:$AA$1501,$J2572+1)&lt;&gt;""),N(INDEX('Daily Sale entry '!$AC$1:$AC$1501,$J2572+1))-TRUNC(N(INDEX('Daily Sale entry '!$AC$1:$AC$1501,$J2572+1))),0),N(INDEX('Daily Sale entry '!$S$1:$S$1501,$J2572-1499))-'Opening Balance'!$B$15*(N(INDEX('Daily Sale entry '!$S$1:$S$1501,$J2572-1499))-TRUNC(N(INDEX('Daily Sale entry '!$S$1:$S$1501,$J2572-1499))))))</f>
        <v/>
      </c>
      <c r="G2572" s="6">
        <f>IF($J2572="","",IF($J2572&lt;=1500,N(INDEX('Daily Sale entry '!$AD$1:$AD$1501,$J2572+1)),0))</f>
        <v/>
      </c>
      <c r="H2572" s="6">
        <f>IF($J2572="","",ROUND('Opening Balance'!$B$4+SUM($F$2:F2572)-SUM($G$2:G2572),2))</f>
        <v/>
      </c>
      <c r="J2572" s="21">
        <f>IFERROR(MATCH(ROW()-1,$L$2:$L$3001,0),"")</f>
        <v/>
      </c>
      <c r="K2572" s="34">
        <f>IF(AND('Daily Sale entry '!Q1072="Collection 收款",'Daily Sale entry '!R1072="Cheque 支票",'Daily Sale entry '!V1072&lt;&gt;""),'Daily Sale entry '!V1072+ROW()/10000000,"")</f>
        <v/>
      </c>
      <c r="L2572" s="21">
        <f>IF(K2572="","",COUNTIF($K$2:$K$3001,"&lt;"&amp;K2572)+1)</f>
        <v/>
      </c>
    </row>
    <row r="2573">
      <c r="A2573" s="5">
        <f>IF($J2573="","",IF($J2573&lt;=1500,INDEX('Daily Sale entry '!$X$1:$X$1501,$J2573+1),INDEX('Daily Sale entry '!$V$1:$V$1501,$J2573-1499)))</f>
        <v/>
      </c>
      <c r="B2573">
        <f>IF($J2573="","",IF($J2573&lt;=1500,INDEX('Daily Sale entry '!$Y$1:$Y$1501,$J2573+1)&amp;"","Buyer cheque banked 买家支票存入"&amp;IF(INDEX('Daily Sale entry '!$U$1:$U$1501,$J2573-1499)="","", " - "&amp;INDEX('Daily Sale entry '!$U$1:$U$1501,$J2573-1499))))</f>
        <v/>
      </c>
      <c r="C2573">
        <f>IF($J2573="","",IF($J2573&lt;=1500,INDEX('Daily Sale entry '!$Z$1:$Z$1501,$J2573+1)&amp;"","Cheque deposit 支票存入 (buyer 买家)"))</f>
        <v/>
      </c>
      <c r="D2573">
        <f>IF($J2573="","",IF($J2573&lt;=1500,INDEX('Daily Sale entry '!$AA$1:$AA$1501,$J2573+1)&amp;"",INDEX('Daily Sale entry '!$P$1:$P$1501,$J2573-1499)&amp;""))</f>
        <v/>
      </c>
      <c r="E2573">
        <f>IF($J2573="","",IF($J2573&lt;=1500,IF(N(INDEX('Daily Sale entry '!$AB$1:$AB$1501,$J2573+1))=0,"",INDEX('Daily Sale entry '!$AB$1:$AB$1501,$J2573+1)),1))</f>
        <v/>
      </c>
      <c r="F2573" s="6">
        <f>IF($J2573="","",IF($J2573&lt;=1500,N(INDEX('Daily Sale entry '!$AC$1:$AC$1501,$J2573+1))-IF(AND('Opening Balance'!$B$15=1,INDEX('Daily Sale entry '!$Z$1:$Z$1501,$J2573+1)="Online collection 网上收款",INDEX('Daily Sale entry '!$AA$1:$AA$1501,$J2573+1)&lt;&gt;""),N(INDEX('Daily Sale entry '!$AC$1:$AC$1501,$J2573+1))-TRUNC(N(INDEX('Daily Sale entry '!$AC$1:$AC$1501,$J2573+1))),0),N(INDEX('Daily Sale entry '!$S$1:$S$1501,$J2573-1499))-'Opening Balance'!$B$15*(N(INDEX('Daily Sale entry '!$S$1:$S$1501,$J2573-1499))-TRUNC(N(INDEX('Daily Sale entry '!$S$1:$S$1501,$J2573-1499))))))</f>
        <v/>
      </c>
      <c r="G2573" s="6">
        <f>IF($J2573="","",IF($J2573&lt;=1500,N(INDEX('Daily Sale entry '!$AD$1:$AD$1501,$J2573+1)),0))</f>
        <v/>
      </c>
      <c r="H2573" s="6">
        <f>IF($J2573="","",ROUND('Opening Balance'!$B$4+SUM($F$2:F2573)-SUM($G$2:G2573),2))</f>
        <v/>
      </c>
      <c r="J2573" s="21">
        <f>IFERROR(MATCH(ROW()-1,$L$2:$L$3001,0),"")</f>
        <v/>
      </c>
      <c r="K2573" s="34">
        <f>IF(AND('Daily Sale entry '!Q1073="Collection 收款",'Daily Sale entry '!R1073="Cheque 支票",'Daily Sale entry '!V1073&lt;&gt;""),'Daily Sale entry '!V1073+ROW()/10000000,"")</f>
        <v/>
      </c>
      <c r="L2573" s="21">
        <f>IF(K2573="","",COUNTIF($K$2:$K$3001,"&lt;"&amp;K2573)+1)</f>
        <v/>
      </c>
    </row>
    <row r="2574">
      <c r="A2574" s="5">
        <f>IF($J2574="","",IF($J2574&lt;=1500,INDEX('Daily Sale entry '!$X$1:$X$1501,$J2574+1),INDEX('Daily Sale entry '!$V$1:$V$1501,$J2574-1499)))</f>
        <v/>
      </c>
      <c r="B2574">
        <f>IF($J2574="","",IF($J2574&lt;=1500,INDEX('Daily Sale entry '!$Y$1:$Y$1501,$J2574+1)&amp;"","Buyer cheque banked 买家支票存入"&amp;IF(INDEX('Daily Sale entry '!$U$1:$U$1501,$J2574-1499)="","", " - "&amp;INDEX('Daily Sale entry '!$U$1:$U$1501,$J2574-1499))))</f>
        <v/>
      </c>
      <c r="C2574">
        <f>IF($J2574="","",IF($J2574&lt;=1500,INDEX('Daily Sale entry '!$Z$1:$Z$1501,$J2574+1)&amp;"","Cheque deposit 支票存入 (buyer 买家)"))</f>
        <v/>
      </c>
      <c r="D2574">
        <f>IF($J2574="","",IF($J2574&lt;=1500,INDEX('Daily Sale entry '!$AA$1:$AA$1501,$J2574+1)&amp;"",INDEX('Daily Sale entry '!$P$1:$P$1501,$J2574-1499)&amp;""))</f>
        <v/>
      </c>
      <c r="E2574">
        <f>IF($J2574="","",IF($J2574&lt;=1500,IF(N(INDEX('Daily Sale entry '!$AB$1:$AB$1501,$J2574+1))=0,"",INDEX('Daily Sale entry '!$AB$1:$AB$1501,$J2574+1)),1))</f>
        <v/>
      </c>
      <c r="F2574" s="6">
        <f>IF($J2574="","",IF($J2574&lt;=1500,N(INDEX('Daily Sale entry '!$AC$1:$AC$1501,$J2574+1))-IF(AND('Opening Balance'!$B$15=1,INDEX('Daily Sale entry '!$Z$1:$Z$1501,$J2574+1)="Online collection 网上收款",INDEX('Daily Sale entry '!$AA$1:$AA$1501,$J2574+1)&lt;&gt;""),N(INDEX('Daily Sale entry '!$AC$1:$AC$1501,$J2574+1))-TRUNC(N(INDEX('Daily Sale entry '!$AC$1:$AC$1501,$J2574+1))),0),N(INDEX('Daily Sale entry '!$S$1:$S$1501,$J2574-1499))-'Opening Balance'!$B$15*(N(INDEX('Daily Sale entry '!$S$1:$S$1501,$J2574-1499))-TRUNC(N(INDEX('Daily Sale entry '!$S$1:$S$1501,$J2574-1499))))))</f>
        <v/>
      </c>
      <c r="G2574" s="6">
        <f>IF($J2574="","",IF($J2574&lt;=1500,N(INDEX('Daily Sale entry '!$AD$1:$AD$1501,$J2574+1)),0))</f>
        <v/>
      </c>
      <c r="H2574" s="6">
        <f>IF($J2574="","",ROUND('Opening Balance'!$B$4+SUM($F$2:F2574)-SUM($G$2:G2574),2))</f>
        <v/>
      </c>
      <c r="J2574" s="21">
        <f>IFERROR(MATCH(ROW()-1,$L$2:$L$3001,0),"")</f>
        <v/>
      </c>
      <c r="K2574" s="34">
        <f>IF(AND('Daily Sale entry '!Q1074="Collection 收款",'Daily Sale entry '!R1074="Cheque 支票",'Daily Sale entry '!V1074&lt;&gt;""),'Daily Sale entry '!V1074+ROW()/10000000,"")</f>
        <v/>
      </c>
      <c r="L2574" s="21">
        <f>IF(K2574="","",COUNTIF($K$2:$K$3001,"&lt;"&amp;K2574)+1)</f>
        <v/>
      </c>
    </row>
    <row r="2575">
      <c r="A2575" s="5">
        <f>IF($J2575="","",IF($J2575&lt;=1500,INDEX('Daily Sale entry '!$X$1:$X$1501,$J2575+1),INDEX('Daily Sale entry '!$V$1:$V$1501,$J2575-1499)))</f>
        <v/>
      </c>
      <c r="B2575">
        <f>IF($J2575="","",IF($J2575&lt;=1500,INDEX('Daily Sale entry '!$Y$1:$Y$1501,$J2575+1)&amp;"","Buyer cheque banked 买家支票存入"&amp;IF(INDEX('Daily Sale entry '!$U$1:$U$1501,$J2575-1499)="","", " - "&amp;INDEX('Daily Sale entry '!$U$1:$U$1501,$J2575-1499))))</f>
        <v/>
      </c>
      <c r="C2575">
        <f>IF($J2575="","",IF($J2575&lt;=1500,INDEX('Daily Sale entry '!$Z$1:$Z$1501,$J2575+1)&amp;"","Cheque deposit 支票存入 (buyer 买家)"))</f>
        <v/>
      </c>
      <c r="D2575">
        <f>IF($J2575="","",IF($J2575&lt;=1500,INDEX('Daily Sale entry '!$AA$1:$AA$1501,$J2575+1)&amp;"",INDEX('Daily Sale entry '!$P$1:$P$1501,$J2575-1499)&amp;""))</f>
        <v/>
      </c>
      <c r="E2575">
        <f>IF($J2575="","",IF($J2575&lt;=1500,IF(N(INDEX('Daily Sale entry '!$AB$1:$AB$1501,$J2575+1))=0,"",INDEX('Daily Sale entry '!$AB$1:$AB$1501,$J2575+1)),1))</f>
        <v/>
      </c>
      <c r="F2575" s="6">
        <f>IF($J2575="","",IF($J2575&lt;=1500,N(INDEX('Daily Sale entry '!$AC$1:$AC$1501,$J2575+1))-IF(AND('Opening Balance'!$B$15=1,INDEX('Daily Sale entry '!$Z$1:$Z$1501,$J2575+1)="Online collection 网上收款",INDEX('Daily Sale entry '!$AA$1:$AA$1501,$J2575+1)&lt;&gt;""),N(INDEX('Daily Sale entry '!$AC$1:$AC$1501,$J2575+1))-TRUNC(N(INDEX('Daily Sale entry '!$AC$1:$AC$1501,$J2575+1))),0),N(INDEX('Daily Sale entry '!$S$1:$S$1501,$J2575-1499))-'Opening Balance'!$B$15*(N(INDEX('Daily Sale entry '!$S$1:$S$1501,$J2575-1499))-TRUNC(N(INDEX('Daily Sale entry '!$S$1:$S$1501,$J2575-1499))))))</f>
        <v/>
      </c>
      <c r="G2575" s="6">
        <f>IF($J2575="","",IF($J2575&lt;=1500,N(INDEX('Daily Sale entry '!$AD$1:$AD$1501,$J2575+1)),0))</f>
        <v/>
      </c>
      <c r="H2575" s="6">
        <f>IF($J2575="","",ROUND('Opening Balance'!$B$4+SUM($F$2:F2575)-SUM($G$2:G2575),2))</f>
        <v/>
      </c>
      <c r="J2575" s="21">
        <f>IFERROR(MATCH(ROW()-1,$L$2:$L$3001,0),"")</f>
        <v/>
      </c>
      <c r="K2575" s="34">
        <f>IF(AND('Daily Sale entry '!Q1075="Collection 收款",'Daily Sale entry '!R1075="Cheque 支票",'Daily Sale entry '!V1075&lt;&gt;""),'Daily Sale entry '!V1075+ROW()/10000000,"")</f>
        <v/>
      </c>
      <c r="L2575" s="21">
        <f>IF(K2575="","",COUNTIF($K$2:$K$3001,"&lt;"&amp;K2575)+1)</f>
        <v/>
      </c>
    </row>
    <row r="2576">
      <c r="A2576" s="5">
        <f>IF($J2576="","",IF($J2576&lt;=1500,INDEX('Daily Sale entry '!$X$1:$X$1501,$J2576+1),INDEX('Daily Sale entry '!$V$1:$V$1501,$J2576-1499)))</f>
        <v/>
      </c>
      <c r="B2576">
        <f>IF($J2576="","",IF($J2576&lt;=1500,INDEX('Daily Sale entry '!$Y$1:$Y$1501,$J2576+1)&amp;"","Buyer cheque banked 买家支票存入"&amp;IF(INDEX('Daily Sale entry '!$U$1:$U$1501,$J2576-1499)="","", " - "&amp;INDEX('Daily Sale entry '!$U$1:$U$1501,$J2576-1499))))</f>
        <v/>
      </c>
      <c r="C2576">
        <f>IF($J2576="","",IF($J2576&lt;=1500,INDEX('Daily Sale entry '!$Z$1:$Z$1501,$J2576+1)&amp;"","Cheque deposit 支票存入 (buyer 买家)"))</f>
        <v/>
      </c>
      <c r="D2576">
        <f>IF($J2576="","",IF($J2576&lt;=1500,INDEX('Daily Sale entry '!$AA$1:$AA$1501,$J2576+1)&amp;"",INDEX('Daily Sale entry '!$P$1:$P$1501,$J2576-1499)&amp;""))</f>
        <v/>
      </c>
      <c r="E2576">
        <f>IF($J2576="","",IF($J2576&lt;=1500,IF(N(INDEX('Daily Sale entry '!$AB$1:$AB$1501,$J2576+1))=0,"",INDEX('Daily Sale entry '!$AB$1:$AB$1501,$J2576+1)),1))</f>
        <v/>
      </c>
      <c r="F2576" s="6">
        <f>IF($J2576="","",IF($J2576&lt;=1500,N(INDEX('Daily Sale entry '!$AC$1:$AC$1501,$J2576+1))-IF(AND('Opening Balance'!$B$15=1,INDEX('Daily Sale entry '!$Z$1:$Z$1501,$J2576+1)="Online collection 网上收款",INDEX('Daily Sale entry '!$AA$1:$AA$1501,$J2576+1)&lt;&gt;""),N(INDEX('Daily Sale entry '!$AC$1:$AC$1501,$J2576+1))-TRUNC(N(INDEX('Daily Sale entry '!$AC$1:$AC$1501,$J2576+1))),0),N(INDEX('Daily Sale entry '!$S$1:$S$1501,$J2576-1499))-'Opening Balance'!$B$15*(N(INDEX('Daily Sale entry '!$S$1:$S$1501,$J2576-1499))-TRUNC(N(INDEX('Daily Sale entry '!$S$1:$S$1501,$J2576-1499))))))</f>
        <v/>
      </c>
      <c r="G2576" s="6">
        <f>IF($J2576="","",IF($J2576&lt;=1500,N(INDEX('Daily Sale entry '!$AD$1:$AD$1501,$J2576+1)),0))</f>
        <v/>
      </c>
      <c r="H2576" s="6">
        <f>IF($J2576="","",ROUND('Opening Balance'!$B$4+SUM($F$2:F2576)-SUM($G$2:G2576),2))</f>
        <v/>
      </c>
      <c r="J2576" s="21">
        <f>IFERROR(MATCH(ROW()-1,$L$2:$L$3001,0),"")</f>
        <v/>
      </c>
      <c r="K2576" s="34">
        <f>IF(AND('Daily Sale entry '!Q1076="Collection 收款",'Daily Sale entry '!R1076="Cheque 支票",'Daily Sale entry '!V1076&lt;&gt;""),'Daily Sale entry '!V1076+ROW()/10000000,"")</f>
        <v/>
      </c>
      <c r="L2576" s="21">
        <f>IF(K2576="","",COUNTIF($K$2:$K$3001,"&lt;"&amp;K2576)+1)</f>
        <v/>
      </c>
    </row>
    <row r="2577">
      <c r="A2577" s="5">
        <f>IF($J2577="","",IF($J2577&lt;=1500,INDEX('Daily Sale entry '!$X$1:$X$1501,$J2577+1),INDEX('Daily Sale entry '!$V$1:$V$1501,$J2577-1499)))</f>
        <v/>
      </c>
      <c r="B2577">
        <f>IF($J2577="","",IF($J2577&lt;=1500,INDEX('Daily Sale entry '!$Y$1:$Y$1501,$J2577+1)&amp;"","Buyer cheque banked 买家支票存入"&amp;IF(INDEX('Daily Sale entry '!$U$1:$U$1501,$J2577-1499)="","", " - "&amp;INDEX('Daily Sale entry '!$U$1:$U$1501,$J2577-1499))))</f>
        <v/>
      </c>
      <c r="C2577">
        <f>IF($J2577="","",IF($J2577&lt;=1500,INDEX('Daily Sale entry '!$Z$1:$Z$1501,$J2577+1)&amp;"","Cheque deposit 支票存入 (buyer 买家)"))</f>
        <v/>
      </c>
      <c r="D2577">
        <f>IF($J2577="","",IF($J2577&lt;=1500,INDEX('Daily Sale entry '!$AA$1:$AA$1501,$J2577+1)&amp;"",INDEX('Daily Sale entry '!$P$1:$P$1501,$J2577-1499)&amp;""))</f>
        <v/>
      </c>
      <c r="E2577">
        <f>IF($J2577="","",IF($J2577&lt;=1500,IF(N(INDEX('Daily Sale entry '!$AB$1:$AB$1501,$J2577+1))=0,"",INDEX('Daily Sale entry '!$AB$1:$AB$1501,$J2577+1)),1))</f>
        <v/>
      </c>
      <c r="F2577" s="6">
        <f>IF($J2577="","",IF($J2577&lt;=1500,N(INDEX('Daily Sale entry '!$AC$1:$AC$1501,$J2577+1))-IF(AND('Opening Balance'!$B$15=1,INDEX('Daily Sale entry '!$Z$1:$Z$1501,$J2577+1)="Online collection 网上收款",INDEX('Daily Sale entry '!$AA$1:$AA$1501,$J2577+1)&lt;&gt;""),N(INDEX('Daily Sale entry '!$AC$1:$AC$1501,$J2577+1))-TRUNC(N(INDEX('Daily Sale entry '!$AC$1:$AC$1501,$J2577+1))),0),N(INDEX('Daily Sale entry '!$S$1:$S$1501,$J2577-1499))-'Opening Balance'!$B$15*(N(INDEX('Daily Sale entry '!$S$1:$S$1501,$J2577-1499))-TRUNC(N(INDEX('Daily Sale entry '!$S$1:$S$1501,$J2577-1499))))))</f>
        <v/>
      </c>
      <c r="G2577" s="6">
        <f>IF($J2577="","",IF($J2577&lt;=1500,N(INDEX('Daily Sale entry '!$AD$1:$AD$1501,$J2577+1)),0))</f>
        <v/>
      </c>
      <c r="H2577" s="6">
        <f>IF($J2577="","",ROUND('Opening Balance'!$B$4+SUM($F$2:F2577)-SUM($G$2:G2577),2))</f>
        <v/>
      </c>
      <c r="J2577" s="21">
        <f>IFERROR(MATCH(ROW()-1,$L$2:$L$3001,0),"")</f>
        <v/>
      </c>
      <c r="K2577" s="34">
        <f>IF(AND('Daily Sale entry '!Q1077="Collection 收款",'Daily Sale entry '!R1077="Cheque 支票",'Daily Sale entry '!V1077&lt;&gt;""),'Daily Sale entry '!V1077+ROW()/10000000,"")</f>
        <v/>
      </c>
      <c r="L2577" s="21">
        <f>IF(K2577="","",COUNTIF($K$2:$K$3001,"&lt;"&amp;K2577)+1)</f>
        <v/>
      </c>
    </row>
    <row r="2578">
      <c r="A2578" s="5">
        <f>IF($J2578="","",IF($J2578&lt;=1500,INDEX('Daily Sale entry '!$X$1:$X$1501,$J2578+1),INDEX('Daily Sale entry '!$V$1:$V$1501,$J2578-1499)))</f>
        <v/>
      </c>
      <c r="B2578">
        <f>IF($J2578="","",IF($J2578&lt;=1500,INDEX('Daily Sale entry '!$Y$1:$Y$1501,$J2578+1)&amp;"","Buyer cheque banked 买家支票存入"&amp;IF(INDEX('Daily Sale entry '!$U$1:$U$1501,$J2578-1499)="","", " - "&amp;INDEX('Daily Sale entry '!$U$1:$U$1501,$J2578-1499))))</f>
        <v/>
      </c>
      <c r="C2578">
        <f>IF($J2578="","",IF($J2578&lt;=1500,INDEX('Daily Sale entry '!$Z$1:$Z$1501,$J2578+1)&amp;"","Cheque deposit 支票存入 (buyer 买家)"))</f>
        <v/>
      </c>
      <c r="D2578">
        <f>IF($J2578="","",IF($J2578&lt;=1500,INDEX('Daily Sale entry '!$AA$1:$AA$1501,$J2578+1)&amp;"",INDEX('Daily Sale entry '!$P$1:$P$1501,$J2578-1499)&amp;""))</f>
        <v/>
      </c>
      <c r="E2578">
        <f>IF($J2578="","",IF($J2578&lt;=1500,IF(N(INDEX('Daily Sale entry '!$AB$1:$AB$1501,$J2578+1))=0,"",INDEX('Daily Sale entry '!$AB$1:$AB$1501,$J2578+1)),1))</f>
        <v/>
      </c>
      <c r="F2578" s="6">
        <f>IF($J2578="","",IF($J2578&lt;=1500,N(INDEX('Daily Sale entry '!$AC$1:$AC$1501,$J2578+1))-IF(AND('Opening Balance'!$B$15=1,INDEX('Daily Sale entry '!$Z$1:$Z$1501,$J2578+1)="Online collection 网上收款",INDEX('Daily Sale entry '!$AA$1:$AA$1501,$J2578+1)&lt;&gt;""),N(INDEX('Daily Sale entry '!$AC$1:$AC$1501,$J2578+1))-TRUNC(N(INDEX('Daily Sale entry '!$AC$1:$AC$1501,$J2578+1))),0),N(INDEX('Daily Sale entry '!$S$1:$S$1501,$J2578-1499))-'Opening Balance'!$B$15*(N(INDEX('Daily Sale entry '!$S$1:$S$1501,$J2578-1499))-TRUNC(N(INDEX('Daily Sale entry '!$S$1:$S$1501,$J2578-1499))))))</f>
        <v/>
      </c>
      <c r="G2578" s="6">
        <f>IF($J2578="","",IF($J2578&lt;=1500,N(INDEX('Daily Sale entry '!$AD$1:$AD$1501,$J2578+1)),0))</f>
        <v/>
      </c>
      <c r="H2578" s="6">
        <f>IF($J2578="","",ROUND('Opening Balance'!$B$4+SUM($F$2:F2578)-SUM($G$2:G2578),2))</f>
        <v/>
      </c>
      <c r="J2578" s="21">
        <f>IFERROR(MATCH(ROW()-1,$L$2:$L$3001,0),"")</f>
        <v/>
      </c>
      <c r="K2578" s="34">
        <f>IF(AND('Daily Sale entry '!Q1078="Collection 收款",'Daily Sale entry '!R1078="Cheque 支票",'Daily Sale entry '!V1078&lt;&gt;""),'Daily Sale entry '!V1078+ROW()/10000000,"")</f>
        <v/>
      </c>
      <c r="L2578" s="21">
        <f>IF(K2578="","",COUNTIF($K$2:$K$3001,"&lt;"&amp;K2578)+1)</f>
        <v/>
      </c>
    </row>
    <row r="2579">
      <c r="A2579" s="5">
        <f>IF($J2579="","",IF($J2579&lt;=1500,INDEX('Daily Sale entry '!$X$1:$X$1501,$J2579+1),INDEX('Daily Sale entry '!$V$1:$V$1501,$J2579-1499)))</f>
        <v/>
      </c>
      <c r="B2579">
        <f>IF($J2579="","",IF($J2579&lt;=1500,INDEX('Daily Sale entry '!$Y$1:$Y$1501,$J2579+1)&amp;"","Buyer cheque banked 买家支票存入"&amp;IF(INDEX('Daily Sale entry '!$U$1:$U$1501,$J2579-1499)="","", " - "&amp;INDEX('Daily Sale entry '!$U$1:$U$1501,$J2579-1499))))</f>
        <v/>
      </c>
      <c r="C2579">
        <f>IF($J2579="","",IF($J2579&lt;=1500,INDEX('Daily Sale entry '!$Z$1:$Z$1501,$J2579+1)&amp;"","Cheque deposit 支票存入 (buyer 买家)"))</f>
        <v/>
      </c>
      <c r="D2579">
        <f>IF($J2579="","",IF($J2579&lt;=1500,INDEX('Daily Sale entry '!$AA$1:$AA$1501,$J2579+1)&amp;"",INDEX('Daily Sale entry '!$P$1:$P$1501,$J2579-1499)&amp;""))</f>
        <v/>
      </c>
      <c r="E2579">
        <f>IF($J2579="","",IF($J2579&lt;=1500,IF(N(INDEX('Daily Sale entry '!$AB$1:$AB$1501,$J2579+1))=0,"",INDEX('Daily Sale entry '!$AB$1:$AB$1501,$J2579+1)),1))</f>
        <v/>
      </c>
      <c r="F2579" s="6">
        <f>IF($J2579="","",IF($J2579&lt;=1500,N(INDEX('Daily Sale entry '!$AC$1:$AC$1501,$J2579+1))-IF(AND('Opening Balance'!$B$15=1,INDEX('Daily Sale entry '!$Z$1:$Z$1501,$J2579+1)="Online collection 网上收款",INDEX('Daily Sale entry '!$AA$1:$AA$1501,$J2579+1)&lt;&gt;""),N(INDEX('Daily Sale entry '!$AC$1:$AC$1501,$J2579+1))-TRUNC(N(INDEX('Daily Sale entry '!$AC$1:$AC$1501,$J2579+1))),0),N(INDEX('Daily Sale entry '!$S$1:$S$1501,$J2579-1499))-'Opening Balance'!$B$15*(N(INDEX('Daily Sale entry '!$S$1:$S$1501,$J2579-1499))-TRUNC(N(INDEX('Daily Sale entry '!$S$1:$S$1501,$J2579-1499))))))</f>
        <v/>
      </c>
      <c r="G2579" s="6">
        <f>IF($J2579="","",IF($J2579&lt;=1500,N(INDEX('Daily Sale entry '!$AD$1:$AD$1501,$J2579+1)),0))</f>
        <v/>
      </c>
      <c r="H2579" s="6">
        <f>IF($J2579="","",ROUND('Opening Balance'!$B$4+SUM($F$2:F2579)-SUM($G$2:G2579),2))</f>
        <v/>
      </c>
      <c r="J2579" s="21">
        <f>IFERROR(MATCH(ROW()-1,$L$2:$L$3001,0),"")</f>
        <v/>
      </c>
      <c r="K2579" s="34">
        <f>IF(AND('Daily Sale entry '!Q1079="Collection 收款",'Daily Sale entry '!R1079="Cheque 支票",'Daily Sale entry '!V1079&lt;&gt;""),'Daily Sale entry '!V1079+ROW()/10000000,"")</f>
        <v/>
      </c>
      <c r="L2579" s="21">
        <f>IF(K2579="","",COUNTIF($K$2:$K$3001,"&lt;"&amp;K2579)+1)</f>
        <v/>
      </c>
    </row>
    <row r="2580">
      <c r="A2580" s="5">
        <f>IF($J2580="","",IF($J2580&lt;=1500,INDEX('Daily Sale entry '!$X$1:$X$1501,$J2580+1),INDEX('Daily Sale entry '!$V$1:$V$1501,$J2580-1499)))</f>
        <v/>
      </c>
      <c r="B2580">
        <f>IF($J2580="","",IF($J2580&lt;=1500,INDEX('Daily Sale entry '!$Y$1:$Y$1501,$J2580+1)&amp;"","Buyer cheque banked 买家支票存入"&amp;IF(INDEX('Daily Sale entry '!$U$1:$U$1501,$J2580-1499)="","", " - "&amp;INDEX('Daily Sale entry '!$U$1:$U$1501,$J2580-1499))))</f>
        <v/>
      </c>
      <c r="C2580">
        <f>IF($J2580="","",IF($J2580&lt;=1500,INDEX('Daily Sale entry '!$Z$1:$Z$1501,$J2580+1)&amp;"","Cheque deposit 支票存入 (buyer 买家)"))</f>
        <v/>
      </c>
      <c r="D2580">
        <f>IF($J2580="","",IF($J2580&lt;=1500,INDEX('Daily Sale entry '!$AA$1:$AA$1501,$J2580+1)&amp;"",INDEX('Daily Sale entry '!$P$1:$P$1501,$J2580-1499)&amp;""))</f>
        <v/>
      </c>
      <c r="E2580">
        <f>IF($J2580="","",IF($J2580&lt;=1500,IF(N(INDEX('Daily Sale entry '!$AB$1:$AB$1501,$J2580+1))=0,"",INDEX('Daily Sale entry '!$AB$1:$AB$1501,$J2580+1)),1))</f>
        <v/>
      </c>
      <c r="F2580" s="6">
        <f>IF($J2580="","",IF($J2580&lt;=1500,N(INDEX('Daily Sale entry '!$AC$1:$AC$1501,$J2580+1))-IF(AND('Opening Balance'!$B$15=1,INDEX('Daily Sale entry '!$Z$1:$Z$1501,$J2580+1)="Online collection 网上收款",INDEX('Daily Sale entry '!$AA$1:$AA$1501,$J2580+1)&lt;&gt;""),N(INDEX('Daily Sale entry '!$AC$1:$AC$1501,$J2580+1))-TRUNC(N(INDEX('Daily Sale entry '!$AC$1:$AC$1501,$J2580+1))),0),N(INDEX('Daily Sale entry '!$S$1:$S$1501,$J2580-1499))-'Opening Balance'!$B$15*(N(INDEX('Daily Sale entry '!$S$1:$S$1501,$J2580-1499))-TRUNC(N(INDEX('Daily Sale entry '!$S$1:$S$1501,$J2580-1499))))))</f>
        <v/>
      </c>
      <c r="G2580" s="6">
        <f>IF($J2580="","",IF($J2580&lt;=1500,N(INDEX('Daily Sale entry '!$AD$1:$AD$1501,$J2580+1)),0))</f>
        <v/>
      </c>
      <c r="H2580" s="6">
        <f>IF($J2580="","",ROUND('Opening Balance'!$B$4+SUM($F$2:F2580)-SUM($G$2:G2580),2))</f>
        <v/>
      </c>
      <c r="J2580" s="21">
        <f>IFERROR(MATCH(ROW()-1,$L$2:$L$3001,0),"")</f>
        <v/>
      </c>
      <c r="K2580" s="34">
        <f>IF(AND('Daily Sale entry '!Q1080="Collection 收款",'Daily Sale entry '!R1080="Cheque 支票",'Daily Sale entry '!V1080&lt;&gt;""),'Daily Sale entry '!V1080+ROW()/10000000,"")</f>
        <v/>
      </c>
      <c r="L2580" s="21">
        <f>IF(K2580="","",COUNTIF($K$2:$K$3001,"&lt;"&amp;K2580)+1)</f>
        <v/>
      </c>
    </row>
    <row r="2581">
      <c r="A2581" s="5">
        <f>IF($J2581="","",IF($J2581&lt;=1500,INDEX('Daily Sale entry '!$X$1:$X$1501,$J2581+1),INDEX('Daily Sale entry '!$V$1:$V$1501,$J2581-1499)))</f>
        <v/>
      </c>
      <c r="B2581">
        <f>IF($J2581="","",IF($J2581&lt;=1500,INDEX('Daily Sale entry '!$Y$1:$Y$1501,$J2581+1)&amp;"","Buyer cheque banked 买家支票存入"&amp;IF(INDEX('Daily Sale entry '!$U$1:$U$1501,$J2581-1499)="","", " - "&amp;INDEX('Daily Sale entry '!$U$1:$U$1501,$J2581-1499))))</f>
        <v/>
      </c>
      <c r="C2581">
        <f>IF($J2581="","",IF($J2581&lt;=1500,INDEX('Daily Sale entry '!$Z$1:$Z$1501,$J2581+1)&amp;"","Cheque deposit 支票存入 (buyer 买家)"))</f>
        <v/>
      </c>
      <c r="D2581">
        <f>IF($J2581="","",IF($J2581&lt;=1500,INDEX('Daily Sale entry '!$AA$1:$AA$1501,$J2581+1)&amp;"",INDEX('Daily Sale entry '!$P$1:$P$1501,$J2581-1499)&amp;""))</f>
        <v/>
      </c>
      <c r="E2581">
        <f>IF($J2581="","",IF($J2581&lt;=1500,IF(N(INDEX('Daily Sale entry '!$AB$1:$AB$1501,$J2581+1))=0,"",INDEX('Daily Sale entry '!$AB$1:$AB$1501,$J2581+1)),1))</f>
        <v/>
      </c>
      <c r="F2581" s="6">
        <f>IF($J2581="","",IF($J2581&lt;=1500,N(INDEX('Daily Sale entry '!$AC$1:$AC$1501,$J2581+1))-IF(AND('Opening Balance'!$B$15=1,INDEX('Daily Sale entry '!$Z$1:$Z$1501,$J2581+1)="Online collection 网上收款",INDEX('Daily Sale entry '!$AA$1:$AA$1501,$J2581+1)&lt;&gt;""),N(INDEX('Daily Sale entry '!$AC$1:$AC$1501,$J2581+1))-TRUNC(N(INDEX('Daily Sale entry '!$AC$1:$AC$1501,$J2581+1))),0),N(INDEX('Daily Sale entry '!$S$1:$S$1501,$J2581-1499))-'Opening Balance'!$B$15*(N(INDEX('Daily Sale entry '!$S$1:$S$1501,$J2581-1499))-TRUNC(N(INDEX('Daily Sale entry '!$S$1:$S$1501,$J2581-1499))))))</f>
        <v/>
      </c>
      <c r="G2581" s="6">
        <f>IF($J2581="","",IF($J2581&lt;=1500,N(INDEX('Daily Sale entry '!$AD$1:$AD$1501,$J2581+1)),0))</f>
        <v/>
      </c>
      <c r="H2581" s="6">
        <f>IF($J2581="","",ROUND('Opening Balance'!$B$4+SUM($F$2:F2581)-SUM($G$2:G2581),2))</f>
        <v/>
      </c>
      <c r="J2581" s="21">
        <f>IFERROR(MATCH(ROW()-1,$L$2:$L$3001,0),"")</f>
        <v/>
      </c>
      <c r="K2581" s="34">
        <f>IF(AND('Daily Sale entry '!Q1081="Collection 收款",'Daily Sale entry '!R1081="Cheque 支票",'Daily Sale entry '!V1081&lt;&gt;""),'Daily Sale entry '!V1081+ROW()/10000000,"")</f>
        <v/>
      </c>
      <c r="L2581" s="21">
        <f>IF(K2581="","",COUNTIF($K$2:$K$3001,"&lt;"&amp;K2581)+1)</f>
        <v/>
      </c>
    </row>
    <row r="2582">
      <c r="A2582" s="5">
        <f>IF($J2582="","",IF($J2582&lt;=1500,INDEX('Daily Sale entry '!$X$1:$X$1501,$J2582+1),INDEX('Daily Sale entry '!$V$1:$V$1501,$J2582-1499)))</f>
        <v/>
      </c>
      <c r="B2582">
        <f>IF($J2582="","",IF($J2582&lt;=1500,INDEX('Daily Sale entry '!$Y$1:$Y$1501,$J2582+1)&amp;"","Buyer cheque banked 买家支票存入"&amp;IF(INDEX('Daily Sale entry '!$U$1:$U$1501,$J2582-1499)="","", " - "&amp;INDEX('Daily Sale entry '!$U$1:$U$1501,$J2582-1499))))</f>
        <v/>
      </c>
      <c r="C2582">
        <f>IF($J2582="","",IF($J2582&lt;=1500,INDEX('Daily Sale entry '!$Z$1:$Z$1501,$J2582+1)&amp;"","Cheque deposit 支票存入 (buyer 买家)"))</f>
        <v/>
      </c>
      <c r="D2582">
        <f>IF($J2582="","",IF($J2582&lt;=1500,INDEX('Daily Sale entry '!$AA$1:$AA$1501,$J2582+1)&amp;"",INDEX('Daily Sale entry '!$P$1:$P$1501,$J2582-1499)&amp;""))</f>
        <v/>
      </c>
      <c r="E2582">
        <f>IF($J2582="","",IF($J2582&lt;=1500,IF(N(INDEX('Daily Sale entry '!$AB$1:$AB$1501,$J2582+1))=0,"",INDEX('Daily Sale entry '!$AB$1:$AB$1501,$J2582+1)),1))</f>
        <v/>
      </c>
      <c r="F2582" s="6">
        <f>IF($J2582="","",IF($J2582&lt;=1500,N(INDEX('Daily Sale entry '!$AC$1:$AC$1501,$J2582+1))-IF(AND('Opening Balance'!$B$15=1,INDEX('Daily Sale entry '!$Z$1:$Z$1501,$J2582+1)="Online collection 网上收款",INDEX('Daily Sale entry '!$AA$1:$AA$1501,$J2582+1)&lt;&gt;""),N(INDEX('Daily Sale entry '!$AC$1:$AC$1501,$J2582+1))-TRUNC(N(INDEX('Daily Sale entry '!$AC$1:$AC$1501,$J2582+1))),0),N(INDEX('Daily Sale entry '!$S$1:$S$1501,$J2582-1499))-'Opening Balance'!$B$15*(N(INDEX('Daily Sale entry '!$S$1:$S$1501,$J2582-1499))-TRUNC(N(INDEX('Daily Sale entry '!$S$1:$S$1501,$J2582-1499))))))</f>
        <v/>
      </c>
      <c r="G2582" s="6">
        <f>IF($J2582="","",IF($J2582&lt;=1500,N(INDEX('Daily Sale entry '!$AD$1:$AD$1501,$J2582+1)),0))</f>
        <v/>
      </c>
      <c r="H2582" s="6">
        <f>IF($J2582="","",ROUND('Opening Balance'!$B$4+SUM($F$2:F2582)-SUM($G$2:G2582),2))</f>
        <v/>
      </c>
      <c r="J2582" s="21">
        <f>IFERROR(MATCH(ROW()-1,$L$2:$L$3001,0),"")</f>
        <v/>
      </c>
      <c r="K2582" s="34">
        <f>IF(AND('Daily Sale entry '!Q1082="Collection 收款",'Daily Sale entry '!R1082="Cheque 支票",'Daily Sale entry '!V1082&lt;&gt;""),'Daily Sale entry '!V1082+ROW()/10000000,"")</f>
        <v/>
      </c>
      <c r="L2582" s="21">
        <f>IF(K2582="","",COUNTIF($K$2:$K$3001,"&lt;"&amp;K2582)+1)</f>
        <v/>
      </c>
    </row>
    <row r="2583">
      <c r="A2583" s="5">
        <f>IF($J2583="","",IF($J2583&lt;=1500,INDEX('Daily Sale entry '!$X$1:$X$1501,$J2583+1),INDEX('Daily Sale entry '!$V$1:$V$1501,$J2583-1499)))</f>
        <v/>
      </c>
      <c r="B2583">
        <f>IF($J2583="","",IF($J2583&lt;=1500,INDEX('Daily Sale entry '!$Y$1:$Y$1501,$J2583+1)&amp;"","Buyer cheque banked 买家支票存入"&amp;IF(INDEX('Daily Sale entry '!$U$1:$U$1501,$J2583-1499)="","", " - "&amp;INDEX('Daily Sale entry '!$U$1:$U$1501,$J2583-1499))))</f>
        <v/>
      </c>
      <c r="C2583">
        <f>IF($J2583="","",IF($J2583&lt;=1500,INDEX('Daily Sale entry '!$Z$1:$Z$1501,$J2583+1)&amp;"","Cheque deposit 支票存入 (buyer 买家)"))</f>
        <v/>
      </c>
      <c r="D2583">
        <f>IF($J2583="","",IF($J2583&lt;=1500,INDEX('Daily Sale entry '!$AA$1:$AA$1501,$J2583+1)&amp;"",INDEX('Daily Sale entry '!$P$1:$P$1501,$J2583-1499)&amp;""))</f>
        <v/>
      </c>
      <c r="E2583">
        <f>IF($J2583="","",IF($J2583&lt;=1500,IF(N(INDEX('Daily Sale entry '!$AB$1:$AB$1501,$J2583+1))=0,"",INDEX('Daily Sale entry '!$AB$1:$AB$1501,$J2583+1)),1))</f>
        <v/>
      </c>
      <c r="F2583" s="6">
        <f>IF($J2583="","",IF($J2583&lt;=1500,N(INDEX('Daily Sale entry '!$AC$1:$AC$1501,$J2583+1))-IF(AND('Opening Balance'!$B$15=1,INDEX('Daily Sale entry '!$Z$1:$Z$1501,$J2583+1)="Online collection 网上收款",INDEX('Daily Sale entry '!$AA$1:$AA$1501,$J2583+1)&lt;&gt;""),N(INDEX('Daily Sale entry '!$AC$1:$AC$1501,$J2583+1))-TRUNC(N(INDEX('Daily Sale entry '!$AC$1:$AC$1501,$J2583+1))),0),N(INDEX('Daily Sale entry '!$S$1:$S$1501,$J2583-1499))-'Opening Balance'!$B$15*(N(INDEX('Daily Sale entry '!$S$1:$S$1501,$J2583-1499))-TRUNC(N(INDEX('Daily Sale entry '!$S$1:$S$1501,$J2583-1499))))))</f>
        <v/>
      </c>
      <c r="G2583" s="6">
        <f>IF($J2583="","",IF($J2583&lt;=1500,N(INDEX('Daily Sale entry '!$AD$1:$AD$1501,$J2583+1)),0))</f>
        <v/>
      </c>
      <c r="H2583" s="6">
        <f>IF($J2583="","",ROUND('Opening Balance'!$B$4+SUM($F$2:F2583)-SUM($G$2:G2583),2))</f>
        <v/>
      </c>
      <c r="J2583" s="21">
        <f>IFERROR(MATCH(ROW()-1,$L$2:$L$3001,0),"")</f>
        <v/>
      </c>
      <c r="K2583" s="34">
        <f>IF(AND('Daily Sale entry '!Q1083="Collection 收款",'Daily Sale entry '!R1083="Cheque 支票",'Daily Sale entry '!V1083&lt;&gt;""),'Daily Sale entry '!V1083+ROW()/10000000,"")</f>
        <v/>
      </c>
      <c r="L2583" s="21">
        <f>IF(K2583="","",COUNTIF($K$2:$K$3001,"&lt;"&amp;K2583)+1)</f>
        <v/>
      </c>
    </row>
    <row r="2584">
      <c r="A2584" s="5">
        <f>IF($J2584="","",IF($J2584&lt;=1500,INDEX('Daily Sale entry '!$X$1:$X$1501,$J2584+1),INDEX('Daily Sale entry '!$V$1:$V$1501,$J2584-1499)))</f>
        <v/>
      </c>
      <c r="B2584">
        <f>IF($J2584="","",IF($J2584&lt;=1500,INDEX('Daily Sale entry '!$Y$1:$Y$1501,$J2584+1)&amp;"","Buyer cheque banked 买家支票存入"&amp;IF(INDEX('Daily Sale entry '!$U$1:$U$1501,$J2584-1499)="","", " - "&amp;INDEX('Daily Sale entry '!$U$1:$U$1501,$J2584-1499))))</f>
        <v/>
      </c>
      <c r="C2584">
        <f>IF($J2584="","",IF($J2584&lt;=1500,INDEX('Daily Sale entry '!$Z$1:$Z$1501,$J2584+1)&amp;"","Cheque deposit 支票存入 (buyer 买家)"))</f>
        <v/>
      </c>
      <c r="D2584">
        <f>IF($J2584="","",IF($J2584&lt;=1500,INDEX('Daily Sale entry '!$AA$1:$AA$1501,$J2584+1)&amp;"",INDEX('Daily Sale entry '!$P$1:$P$1501,$J2584-1499)&amp;""))</f>
        <v/>
      </c>
      <c r="E2584">
        <f>IF($J2584="","",IF($J2584&lt;=1500,IF(N(INDEX('Daily Sale entry '!$AB$1:$AB$1501,$J2584+1))=0,"",INDEX('Daily Sale entry '!$AB$1:$AB$1501,$J2584+1)),1))</f>
        <v/>
      </c>
      <c r="F2584" s="6">
        <f>IF($J2584="","",IF($J2584&lt;=1500,N(INDEX('Daily Sale entry '!$AC$1:$AC$1501,$J2584+1))-IF(AND('Opening Balance'!$B$15=1,INDEX('Daily Sale entry '!$Z$1:$Z$1501,$J2584+1)="Online collection 网上收款",INDEX('Daily Sale entry '!$AA$1:$AA$1501,$J2584+1)&lt;&gt;""),N(INDEX('Daily Sale entry '!$AC$1:$AC$1501,$J2584+1))-TRUNC(N(INDEX('Daily Sale entry '!$AC$1:$AC$1501,$J2584+1))),0),N(INDEX('Daily Sale entry '!$S$1:$S$1501,$J2584-1499))-'Opening Balance'!$B$15*(N(INDEX('Daily Sale entry '!$S$1:$S$1501,$J2584-1499))-TRUNC(N(INDEX('Daily Sale entry '!$S$1:$S$1501,$J2584-1499))))))</f>
        <v/>
      </c>
      <c r="G2584" s="6">
        <f>IF($J2584="","",IF($J2584&lt;=1500,N(INDEX('Daily Sale entry '!$AD$1:$AD$1501,$J2584+1)),0))</f>
        <v/>
      </c>
      <c r="H2584" s="6">
        <f>IF($J2584="","",ROUND('Opening Balance'!$B$4+SUM($F$2:F2584)-SUM($G$2:G2584),2))</f>
        <v/>
      </c>
      <c r="J2584" s="21">
        <f>IFERROR(MATCH(ROW()-1,$L$2:$L$3001,0),"")</f>
        <v/>
      </c>
      <c r="K2584" s="34">
        <f>IF(AND('Daily Sale entry '!Q1084="Collection 收款",'Daily Sale entry '!R1084="Cheque 支票",'Daily Sale entry '!V1084&lt;&gt;""),'Daily Sale entry '!V1084+ROW()/10000000,"")</f>
        <v/>
      </c>
      <c r="L2584" s="21">
        <f>IF(K2584="","",COUNTIF($K$2:$K$3001,"&lt;"&amp;K2584)+1)</f>
        <v/>
      </c>
    </row>
    <row r="2585">
      <c r="A2585" s="5">
        <f>IF($J2585="","",IF($J2585&lt;=1500,INDEX('Daily Sale entry '!$X$1:$X$1501,$J2585+1),INDEX('Daily Sale entry '!$V$1:$V$1501,$J2585-1499)))</f>
        <v/>
      </c>
      <c r="B2585">
        <f>IF($J2585="","",IF($J2585&lt;=1500,INDEX('Daily Sale entry '!$Y$1:$Y$1501,$J2585+1)&amp;"","Buyer cheque banked 买家支票存入"&amp;IF(INDEX('Daily Sale entry '!$U$1:$U$1501,$J2585-1499)="","", " - "&amp;INDEX('Daily Sale entry '!$U$1:$U$1501,$J2585-1499))))</f>
        <v/>
      </c>
      <c r="C2585">
        <f>IF($J2585="","",IF($J2585&lt;=1500,INDEX('Daily Sale entry '!$Z$1:$Z$1501,$J2585+1)&amp;"","Cheque deposit 支票存入 (buyer 买家)"))</f>
        <v/>
      </c>
      <c r="D2585">
        <f>IF($J2585="","",IF($J2585&lt;=1500,INDEX('Daily Sale entry '!$AA$1:$AA$1501,$J2585+1)&amp;"",INDEX('Daily Sale entry '!$P$1:$P$1501,$J2585-1499)&amp;""))</f>
        <v/>
      </c>
      <c r="E2585">
        <f>IF($J2585="","",IF($J2585&lt;=1500,IF(N(INDEX('Daily Sale entry '!$AB$1:$AB$1501,$J2585+1))=0,"",INDEX('Daily Sale entry '!$AB$1:$AB$1501,$J2585+1)),1))</f>
        <v/>
      </c>
      <c r="F2585" s="6">
        <f>IF($J2585="","",IF($J2585&lt;=1500,N(INDEX('Daily Sale entry '!$AC$1:$AC$1501,$J2585+1))-IF(AND('Opening Balance'!$B$15=1,INDEX('Daily Sale entry '!$Z$1:$Z$1501,$J2585+1)="Online collection 网上收款",INDEX('Daily Sale entry '!$AA$1:$AA$1501,$J2585+1)&lt;&gt;""),N(INDEX('Daily Sale entry '!$AC$1:$AC$1501,$J2585+1))-TRUNC(N(INDEX('Daily Sale entry '!$AC$1:$AC$1501,$J2585+1))),0),N(INDEX('Daily Sale entry '!$S$1:$S$1501,$J2585-1499))-'Opening Balance'!$B$15*(N(INDEX('Daily Sale entry '!$S$1:$S$1501,$J2585-1499))-TRUNC(N(INDEX('Daily Sale entry '!$S$1:$S$1501,$J2585-1499))))))</f>
        <v/>
      </c>
      <c r="G2585" s="6">
        <f>IF($J2585="","",IF($J2585&lt;=1500,N(INDEX('Daily Sale entry '!$AD$1:$AD$1501,$J2585+1)),0))</f>
        <v/>
      </c>
      <c r="H2585" s="6">
        <f>IF($J2585="","",ROUND('Opening Balance'!$B$4+SUM($F$2:F2585)-SUM($G$2:G2585),2))</f>
        <v/>
      </c>
      <c r="J2585" s="21">
        <f>IFERROR(MATCH(ROW()-1,$L$2:$L$3001,0),"")</f>
        <v/>
      </c>
      <c r="K2585" s="34">
        <f>IF(AND('Daily Sale entry '!Q1085="Collection 收款",'Daily Sale entry '!R1085="Cheque 支票",'Daily Sale entry '!V1085&lt;&gt;""),'Daily Sale entry '!V1085+ROW()/10000000,"")</f>
        <v/>
      </c>
      <c r="L2585" s="21">
        <f>IF(K2585="","",COUNTIF($K$2:$K$3001,"&lt;"&amp;K2585)+1)</f>
        <v/>
      </c>
    </row>
    <row r="2586">
      <c r="A2586" s="5">
        <f>IF($J2586="","",IF($J2586&lt;=1500,INDEX('Daily Sale entry '!$X$1:$X$1501,$J2586+1),INDEX('Daily Sale entry '!$V$1:$V$1501,$J2586-1499)))</f>
        <v/>
      </c>
      <c r="B2586">
        <f>IF($J2586="","",IF($J2586&lt;=1500,INDEX('Daily Sale entry '!$Y$1:$Y$1501,$J2586+1)&amp;"","Buyer cheque banked 买家支票存入"&amp;IF(INDEX('Daily Sale entry '!$U$1:$U$1501,$J2586-1499)="","", " - "&amp;INDEX('Daily Sale entry '!$U$1:$U$1501,$J2586-1499))))</f>
        <v/>
      </c>
      <c r="C2586">
        <f>IF($J2586="","",IF($J2586&lt;=1500,INDEX('Daily Sale entry '!$Z$1:$Z$1501,$J2586+1)&amp;"","Cheque deposit 支票存入 (buyer 买家)"))</f>
        <v/>
      </c>
      <c r="D2586">
        <f>IF($J2586="","",IF($J2586&lt;=1500,INDEX('Daily Sale entry '!$AA$1:$AA$1501,$J2586+1)&amp;"",INDEX('Daily Sale entry '!$P$1:$P$1501,$J2586-1499)&amp;""))</f>
        <v/>
      </c>
      <c r="E2586">
        <f>IF($J2586="","",IF($J2586&lt;=1500,IF(N(INDEX('Daily Sale entry '!$AB$1:$AB$1501,$J2586+1))=0,"",INDEX('Daily Sale entry '!$AB$1:$AB$1501,$J2586+1)),1))</f>
        <v/>
      </c>
      <c r="F2586" s="6">
        <f>IF($J2586="","",IF($J2586&lt;=1500,N(INDEX('Daily Sale entry '!$AC$1:$AC$1501,$J2586+1))-IF(AND('Opening Balance'!$B$15=1,INDEX('Daily Sale entry '!$Z$1:$Z$1501,$J2586+1)="Online collection 网上收款",INDEX('Daily Sale entry '!$AA$1:$AA$1501,$J2586+1)&lt;&gt;""),N(INDEX('Daily Sale entry '!$AC$1:$AC$1501,$J2586+1))-TRUNC(N(INDEX('Daily Sale entry '!$AC$1:$AC$1501,$J2586+1))),0),N(INDEX('Daily Sale entry '!$S$1:$S$1501,$J2586-1499))-'Opening Balance'!$B$15*(N(INDEX('Daily Sale entry '!$S$1:$S$1501,$J2586-1499))-TRUNC(N(INDEX('Daily Sale entry '!$S$1:$S$1501,$J2586-1499))))))</f>
        <v/>
      </c>
      <c r="G2586" s="6">
        <f>IF($J2586="","",IF($J2586&lt;=1500,N(INDEX('Daily Sale entry '!$AD$1:$AD$1501,$J2586+1)),0))</f>
        <v/>
      </c>
      <c r="H2586" s="6">
        <f>IF($J2586="","",ROUND('Opening Balance'!$B$4+SUM($F$2:F2586)-SUM($G$2:G2586),2))</f>
        <v/>
      </c>
      <c r="J2586" s="21">
        <f>IFERROR(MATCH(ROW()-1,$L$2:$L$3001,0),"")</f>
        <v/>
      </c>
      <c r="K2586" s="34">
        <f>IF(AND('Daily Sale entry '!Q1086="Collection 收款",'Daily Sale entry '!R1086="Cheque 支票",'Daily Sale entry '!V1086&lt;&gt;""),'Daily Sale entry '!V1086+ROW()/10000000,"")</f>
        <v/>
      </c>
      <c r="L2586" s="21">
        <f>IF(K2586="","",COUNTIF($K$2:$K$3001,"&lt;"&amp;K2586)+1)</f>
        <v/>
      </c>
    </row>
    <row r="2587">
      <c r="A2587" s="5">
        <f>IF($J2587="","",IF($J2587&lt;=1500,INDEX('Daily Sale entry '!$X$1:$X$1501,$J2587+1),INDEX('Daily Sale entry '!$V$1:$V$1501,$J2587-1499)))</f>
        <v/>
      </c>
      <c r="B2587">
        <f>IF($J2587="","",IF($J2587&lt;=1500,INDEX('Daily Sale entry '!$Y$1:$Y$1501,$J2587+1)&amp;"","Buyer cheque banked 买家支票存入"&amp;IF(INDEX('Daily Sale entry '!$U$1:$U$1501,$J2587-1499)="","", " - "&amp;INDEX('Daily Sale entry '!$U$1:$U$1501,$J2587-1499))))</f>
        <v/>
      </c>
      <c r="C2587">
        <f>IF($J2587="","",IF($J2587&lt;=1500,INDEX('Daily Sale entry '!$Z$1:$Z$1501,$J2587+1)&amp;"","Cheque deposit 支票存入 (buyer 买家)"))</f>
        <v/>
      </c>
      <c r="D2587">
        <f>IF($J2587="","",IF($J2587&lt;=1500,INDEX('Daily Sale entry '!$AA$1:$AA$1501,$J2587+1)&amp;"",INDEX('Daily Sale entry '!$P$1:$P$1501,$J2587-1499)&amp;""))</f>
        <v/>
      </c>
      <c r="E2587">
        <f>IF($J2587="","",IF($J2587&lt;=1500,IF(N(INDEX('Daily Sale entry '!$AB$1:$AB$1501,$J2587+1))=0,"",INDEX('Daily Sale entry '!$AB$1:$AB$1501,$J2587+1)),1))</f>
        <v/>
      </c>
      <c r="F2587" s="6">
        <f>IF($J2587="","",IF($J2587&lt;=1500,N(INDEX('Daily Sale entry '!$AC$1:$AC$1501,$J2587+1))-IF(AND('Opening Balance'!$B$15=1,INDEX('Daily Sale entry '!$Z$1:$Z$1501,$J2587+1)="Online collection 网上收款",INDEX('Daily Sale entry '!$AA$1:$AA$1501,$J2587+1)&lt;&gt;""),N(INDEX('Daily Sale entry '!$AC$1:$AC$1501,$J2587+1))-TRUNC(N(INDEX('Daily Sale entry '!$AC$1:$AC$1501,$J2587+1))),0),N(INDEX('Daily Sale entry '!$S$1:$S$1501,$J2587-1499))-'Opening Balance'!$B$15*(N(INDEX('Daily Sale entry '!$S$1:$S$1501,$J2587-1499))-TRUNC(N(INDEX('Daily Sale entry '!$S$1:$S$1501,$J2587-1499))))))</f>
        <v/>
      </c>
      <c r="G2587" s="6">
        <f>IF($J2587="","",IF($J2587&lt;=1500,N(INDEX('Daily Sale entry '!$AD$1:$AD$1501,$J2587+1)),0))</f>
        <v/>
      </c>
      <c r="H2587" s="6">
        <f>IF($J2587="","",ROUND('Opening Balance'!$B$4+SUM($F$2:F2587)-SUM($G$2:G2587),2))</f>
        <v/>
      </c>
      <c r="J2587" s="21">
        <f>IFERROR(MATCH(ROW()-1,$L$2:$L$3001,0),"")</f>
        <v/>
      </c>
      <c r="K2587" s="34">
        <f>IF(AND('Daily Sale entry '!Q1087="Collection 收款",'Daily Sale entry '!R1087="Cheque 支票",'Daily Sale entry '!V1087&lt;&gt;""),'Daily Sale entry '!V1087+ROW()/10000000,"")</f>
        <v/>
      </c>
      <c r="L2587" s="21">
        <f>IF(K2587="","",COUNTIF($K$2:$K$3001,"&lt;"&amp;K2587)+1)</f>
        <v/>
      </c>
    </row>
    <row r="2588">
      <c r="A2588" s="5">
        <f>IF($J2588="","",IF($J2588&lt;=1500,INDEX('Daily Sale entry '!$X$1:$X$1501,$J2588+1),INDEX('Daily Sale entry '!$V$1:$V$1501,$J2588-1499)))</f>
        <v/>
      </c>
      <c r="B2588">
        <f>IF($J2588="","",IF($J2588&lt;=1500,INDEX('Daily Sale entry '!$Y$1:$Y$1501,$J2588+1)&amp;"","Buyer cheque banked 买家支票存入"&amp;IF(INDEX('Daily Sale entry '!$U$1:$U$1501,$J2588-1499)="","", " - "&amp;INDEX('Daily Sale entry '!$U$1:$U$1501,$J2588-1499))))</f>
        <v/>
      </c>
      <c r="C2588">
        <f>IF($J2588="","",IF($J2588&lt;=1500,INDEX('Daily Sale entry '!$Z$1:$Z$1501,$J2588+1)&amp;"","Cheque deposit 支票存入 (buyer 买家)"))</f>
        <v/>
      </c>
      <c r="D2588">
        <f>IF($J2588="","",IF($J2588&lt;=1500,INDEX('Daily Sale entry '!$AA$1:$AA$1501,$J2588+1)&amp;"",INDEX('Daily Sale entry '!$P$1:$P$1501,$J2588-1499)&amp;""))</f>
        <v/>
      </c>
      <c r="E2588">
        <f>IF($J2588="","",IF($J2588&lt;=1500,IF(N(INDEX('Daily Sale entry '!$AB$1:$AB$1501,$J2588+1))=0,"",INDEX('Daily Sale entry '!$AB$1:$AB$1501,$J2588+1)),1))</f>
        <v/>
      </c>
      <c r="F2588" s="6">
        <f>IF($J2588="","",IF($J2588&lt;=1500,N(INDEX('Daily Sale entry '!$AC$1:$AC$1501,$J2588+1))-IF(AND('Opening Balance'!$B$15=1,INDEX('Daily Sale entry '!$Z$1:$Z$1501,$J2588+1)="Online collection 网上收款",INDEX('Daily Sale entry '!$AA$1:$AA$1501,$J2588+1)&lt;&gt;""),N(INDEX('Daily Sale entry '!$AC$1:$AC$1501,$J2588+1))-TRUNC(N(INDEX('Daily Sale entry '!$AC$1:$AC$1501,$J2588+1))),0),N(INDEX('Daily Sale entry '!$S$1:$S$1501,$J2588-1499))-'Opening Balance'!$B$15*(N(INDEX('Daily Sale entry '!$S$1:$S$1501,$J2588-1499))-TRUNC(N(INDEX('Daily Sale entry '!$S$1:$S$1501,$J2588-1499))))))</f>
        <v/>
      </c>
      <c r="G2588" s="6">
        <f>IF($J2588="","",IF($J2588&lt;=1500,N(INDEX('Daily Sale entry '!$AD$1:$AD$1501,$J2588+1)),0))</f>
        <v/>
      </c>
      <c r="H2588" s="6">
        <f>IF($J2588="","",ROUND('Opening Balance'!$B$4+SUM($F$2:F2588)-SUM($G$2:G2588),2))</f>
        <v/>
      </c>
      <c r="J2588" s="21">
        <f>IFERROR(MATCH(ROW()-1,$L$2:$L$3001,0),"")</f>
        <v/>
      </c>
      <c r="K2588" s="34">
        <f>IF(AND('Daily Sale entry '!Q1088="Collection 收款",'Daily Sale entry '!R1088="Cheque 支票",'Daily Sale entry '!V1088&lt;&gt;""),'Daily Sale entry '!V1088+ROW()/10000000,"")</f>
        <v/>
      </c>
      <c r="L2588" s="21">
        <f>IF(K2588="","",COUNTIF($K$2:$K$3001,"&lt;"&amp;K2588)+1)</f>
        <v/>
      </c>
    </row>
    <row r="2589">
      <c r="A2589" s="5">
        <f>IF($J2589="","",IF($J2589&lt;=1500,INDEX('Daily Sale entry '!$X$1:$X$1501,$J2589+1),INDEX('Daily Sale entry '!$V$1:$V$1501,$J2589-1499)))</f>
        <v/>
      </c>
      <c r="B2589">
        <f>IF($J2589="","",IF($J2589&lt;=1500,INDEX('Daily Sale entry '!$Y$1:$Y$1501,$J2589+1)&amp;"","Buyer cheque banked 买家支票存入"&amp;IF(INDEX('Daily Sale entry '!$U$1:$U$1501,$J2589-1499)="","", " - "&amp;INDEX('Daily Sale entry '!$U$1:$U$1501,$J2589-1499))))</f>
        <v/>
      </c>
      <c r="C2589">
        <f>IF($J2589="","",IF($J2589&lt;=1500,INDEX('Daily Sale entry '!$Z$1:$Z$1501,$J2589+1)&amp;"","Cheque deposit 支票存入 (buyer 买家)"))</f>
        <v/>
      </c>
      <c r="D2589">
        <f>IF($J2589="","",IF($J2589&lt;=1500,INDEX('Daily Sale entry '!$AA$1:$AA$1501,$J2589+1)&amp;"",INDEX('Daily Sale entry '!$P$1:$P$1501,$J2589-1499)&amp;""))</f>
        <v/>
      </c>
      <c r="E2589">
        <f>IF($J2589="","",IF($J2589&lt;=1500,IF(N(INDEX('Daily Sale entry '!$AB$1:$AB$1501,$J2589+1))=0,"",INDEX('Daily Sale entry '!$AB$1:$AB$1501,$J2589+1)),1))</f>
        <v/>
      </c>
      <c r="F2589" s="6">
        <f>IF($J2589="","",IF($J2589&lt;=1500,N(INDEX('Daily Sale entry '!$AC$1:$AC$1501,$J2589+1))-IF(AND('Opening Balance'!$B$15=1,INDEX('Daily Sale entry '!$Z$1:$Z$1501,$J2589+1)="Online collection 网上收款",INDEX('Daily Sale entry '!$AA$1:$AA$1501,$J2589+1)&lt;&gt;""),N(INDEX('Daily Sale entry '!$AC$1:$AC$1501,$J2589+1))-TRUNC(N(INDEX('Daily Sale entry '!$AC$1:$AC$1501,$J2589+1))),0),N(INDEX('Daily Sale entry '!$S$1:$S$1501,$J2589-1499))-'Opening Balance'!$B$15*(N(INDEX('Daily Sale entry '!$S$1:$S$1501,$J2589-1499))-TRUNC(N(INDEX('Daily Sale entry '!$S$1:$S$1501,$J2589-1499))))))</f>
        <v/>
      </c>
      <c r="G2589" s="6">
        <f>IF($J2589="","",IF($J2589&lt;=1500,N(INDEX('Daily Sale entry '!$AD$1:$AD$1501,$J2589+1)),0))</f>
        <v/>
      </c>
      <c r="H2589" s="6">
        <f>IF($J2589="","",ROUND('Opening Balance'!$B$4+SUM($F$2:F2589)-SUM($G$2:G2589),2))</f>
        <v/>
      </c>
      <c r="J2589" s="21">
        <f>IFERROR(MATCH(ROW()-1,$L$2:$L$3001,0),"")</f>
        <v/>
      </c>
      <c r="K2589" s="34">
        <f>IF(AND('Daily Sale entry '!Q1089="Collection 收款",'Daily Sale entry '!R1089="Cheque 支票",'Daily Sale entry '!V1089&lt;&gt;""),'Daily Sale entry '!V1089+ROW()/10000000,"")</f>
        <v/>
      </c>
      <c r="L2589" s="21">
        <f>IF(K2589="","",COUNTIF($K$2:$K$3001,"&lt;"&amp;K2589)+1)</f>
        <v/>
      </c>
    </row>
    <row r="2590">
      <c r="A2590" s="5">
        <f>IF($J2590="","",IF($J2590&lt;=1500,INDEX('Daily Sale entry '!$X$1:$X$1501,$J2590+1),INDEX('Daily Sale entry '!$V$1:$V$1501,$J2590-1499)))</f>
        <v/>
      </c>
      <c r="B2590">
        <f>IF($J2590="","",IF($J2590&lt;=1500,INDEX('Daily Sale entry '!$Y$1:$Y$1501,$J2590+1)&amp;"","Buyer cheque banked 买家支票存入"&amp;IF(INDEX('Daily Sale entry '!$U$1:$U$1501,$J2590-1499)="","", " - "&amp;INDEX('Daily Sale entry '!$U$1:$U$1501,$J2590-1499))))</f>
        <v/>
      </c>
      <c r="C2590">
        <f>IF($J2590="","",IF($J2590&lt;=1500,INDEX('Daily Sale entry '!$Z$1:$Z$1501,$J2590+1)&amp;"","Cheque deposit 支票存入 (buyer 买家)"))</f>
        <v/>
      </c>
      <c r="D2590">
        <f>IF($J2590="","",IF($J2590&lt;=1500,INDEX('Daily Sale entry '!$AA$1:$AA$1501,$J2590+1)&amp;"",INDEX('Daily Sale entry '!$P$1:$P$1501,$J2590-1499)&amp;""))</f>
        <v/>
      </c>
      <c r="E2590">
        <f>IF($J2590="","",IF($J2590&lt;=1500,IF(N(INDEX('Daily Sale entry '!$AB$1:$AB$1501,$J2590+1))=0,"",INDEX('Daily Sale entry '!$AB$1:$AB$1501,$J2590+1)),1))</f>
        <v/>
      </c>
      <c r="F2590" s="6">
        <f>IF($J2590="","",IF($J2590&lt;=1500,N(INDEX('Daily Sale entry '!$AC$1:$AC$1501,$J2590+1))-IF(AND('Opening Balance'!$B$15=1,INDEX('Daily Sale entry '!$Z$1:$Z$1501,$J2590+1)="Online collection 网上收款",INDEX('Daily Sale entry '!$AA$1:$AA$1501,$J2590+1)&lt;&gt;""),N(INDEX('Daily Sale entry '!$AC$1:$AC$1501,$J2590+1))-TRUNC(N(INDEX('Daily Sale entry '!$AC$1:$AC$1501,$J2590+1))),0),N(INDEX('Daily Sale entry '!$S$1:$S$1501,$J2590-1499))-'Opening Balance'!$B$15*(N(INDEX('Daily Sale entry '!$S$1:$S$1501,$J2590-1499))-TRUNC(N(INDEX('Daily Sale entry '!$S$1:$S$1501,$J2590-1499))))))</f>
        <v/>
      </c>
      <c r="G2590" s="6">
        <f>IF($J2590="","",IF($J2590&lt;=1500,N(INDEX('Daily Sale entry '!$AD$1:$AD$1501,$J2590+1)),0))</f>
        <v/>
      </c>
      <c r="H2590" s="6">
        <f>IF($J2590="","",ROUND('Opening Balance'!$B$4+SUM($F$2:F2590)-SUM($G$2:G2590),2))</f>
        <v/>
      </c>
      <c r="J2590" s="21">
        <f>IFERROR(MATCH(ROW()-1,$L$2:$L$3001,0),"")</f>
        <v/>
      </c>
      <c r="K2590" s="34">
        <f>IF(AND('Daily Sale entry '!Q1090="Collection 收款",'Daily Sale entry '!R1090="Cheque 支票",'Daily Sale entry '!V1090&lt;&gt;""),'Daily Sale entry '!V1090+ROW()/10000000,"")</f>
        <v/>
      </c>
      <c r="L2590" s="21">
        <f>IF(K2590="","",COUNTIF($K$2:$K$3001,"&lt;"&amp;K2590)+1)</f>
        <v/>
      </c>
    </row>
    <row r="2591">
      <c r="A2591" s="5">
        <f>IF($J2591="","",IF($J2591&lt;=1500,INDEX('Daily Sale entry '!$X$1:$X$1501,$J2591+1),INDEX('Daily Sale entry '!$V$1:$V$1501,$J2591-1499)))</f>
        <v/>
      </c>
      <c r="B2591">
        <f>IF($J2591="","",IF($J2591&lt;=1500,INDEX('Daily Sale entry '!$Y$1:$Y$1501,$J2591+1)&amp;"","Buyer cheque banked 买家支票存入"&amp;IF(INDEX('Daily Sale entry '!$U$1:$U$1501,$J2591-1499)="","", " - "&amp;INDEX('Daily Sale entry '!$U$1:$U$1501,$J2591-1499))))</f>
        <v/>
      </c>
      <c r="C2591">
        <f>IF($J2591="","",IF($J2591&lt;=1500,INDEX('Daily Sale entry '!$Z$1:$Z$1501,$J2591+1)&amp;"","Cheque deposit 支票存入 (buyer 买家)"))</f>
        <v/>
      </c>
      <c r="D2591">
        <f>IF($J2591="","",IF($J2591&lt;=1500,INDEX('Daily Sale entry '!$AA$1:$AA$1501,$J2591+1)&amp;"",INDEX('Daily Sale entry '!$P$1:$P$1501,$J2591-1499)&amp;""))</f>
        <v/>
      </c>
      <c r="E2591">
        <f>IF($J2591="","",IF($J2591&lt;=1500,IF(N(INDEX('Daily Sale entry '!$AB$1:$AB$1501,$J2591+1))=0,"",INDEX('Daily Sale entry '!$AB$1:$AB$1501,$J2591+1)),1))</f>
        <v/>
      </c>
      <c r="F2591" s="6">
        <f>IF($J2591="","",IF($J2591&lt;=1500,N(INDEX('Daily Sale entry '!$AC$1:$AC$1501,$J2591+1))-IF(AND('Opening Balance'!$B$15=1,INDEX('Daily Sale entry '!$Z$1:$Z$1501,$J2591+1)="Online collection 网上收款",INDEX('Daily Sale entry '!$AA$1:$AA$1501,$J2591+1)&lt;&gt;""),N(INDEX('Daily Sale entry '!$AC$1:$AC$1501,$J2591+1))-TRUNC(N(INDEX('Daily Sale entry '!$AC$1:$AC$1501,$J2591+1))),0),N(INDEX('Daily Sale entry '!$S$1:$S$1501,$J2591-1499))-'Opening Balance'!$B$15*(N(INDEX('Daily Sale entry '!$S$1:$S$1501,$J2591-1499))-TRUNC(N(INDEX('Daily Sale entry '!$S$1:$S$1501,$J2591-1499))))))</f>
        <v/>
      </c>
      <c r="G2591" s="6">
        <f>IF($J2591="","",IF($J2591&lt;=1500,N(INDEX('Daily Sale entry '!$AD$1:$AD$1501,$J2591+1)),0))</f>
        <v/>
      </c>
      <c r="H2591" s="6">
        <f>IF($J2591="","",ROUND('Opening Balance'!$B$4+SUM($F$2:F2591)-SUM($G$2:G2591),2))</f>
        <v/>
      </c>
      <c r="J2591" s="21">
        <f>IFERROR(MATCH(ROW()-1,$L$2:$L$3001,0),"")</f>
        <v/>
      </c>
      <c r="K2591" s="34">
        <f>IF(AND('Daily Sale entry '!Q1091="Collection 收款",'Daily Sale entry '!R1091="Cheque 支票",'Daily Sale entry '!V1091&lt;&gt;""),'Daily Sale entry '!V1091+ROW()/10000000,"")</f>
        <v/>
      </c>
      <c r="L2591" s="21">
        <f>IF(K2591="","",COUNTIF($K$2:$K$3001,"&lt;"&amp;K2591)+1)</f>
        <v/>
      </c>
    </row>
    <row r="2592">
      <c r="A2592" s="5">
        <f>IF($J2592="","",IF($J2592&lt;=1500,INDEX('Daily Sale entry '!$X$1:$X$1501,$J2592+1),INDEX('Daily Sale entry '!$V$1:$V$1501,$J2592-1499)))</f>
        <v/>
      </c>
      <c r="B2592">
        <f>IF($J2592="","",IF($J2592&lt;=1500,INDEX('Daily Sale entry '!$Y$1:$Y$1501,$J2592+1)&amp;"","Buyer cheque banked 买家支票存入"&amp;IF(INDEX('Daily Sale entry '!$U$1:$U$1501,$J2592-1499)="","", " - "&amp;INDEX('Daily Sale entry '!$U$1:$U$1501,$J2592-1499))))</f>
        <v/>
      </c>
      <c r="C2592">
        <f>IF($J2592="","",IF($J2592&lt;=1500,INDEX('Daily Sale entry '!$Z$1:$Z$1501,$J2592+1)&amp;"","Cheque deposit 支票存入 (buyer 买家)"))</f>
        <v/>
      </c>
      <c r="D2592">
        <f>IF($J2592="","",IF($J2592&lt;=1500,INDEX('Daily Sale entry '!$AA$1:$AA$1501,$J2592+1)&amp;"",INDEX('Daily Sale entry '!$P$1:$P$1501,$J2592-1499)&amp;""))</f>
        <v/>
      </c>
      <c r="E2592">
        <f>IF($J2592="","",IF($J2592&lt;=1500,IF(N(INDEX('Daily Sale entry '!$AB$1:$AB$1501,$J2592+1))=0,"",INDEX('Daily Sale entry '!$AB$1:$AB$1501,$J2592+1)),1))</f>
        <v/>
      </c>
      <c r="F2592" s="6">
        <f>IF($J2592="","",IF($J2592&lt;=1500,N(INDEX('Daily Sale entry '!$AC$1:$AC$1501,$J2592+1))-IF(AND('Opening Balance'!$B$15=1,INDEX('Daily Sale entry '!$Z$1:$Z$1501,$J2592+1)="Online collection 网上收款",INDEX('Daily Sale entry '!$AA$1:$AA$1501,$J2592+1)&lt;&gt;""),N(INDEX('Daily Sale entry '!$AC$1:$AC$1501,$J2592+1))-TRUNC(N(INDEX('Daily Sale entry '!$AC$1:$AC$1501,$J2592+1))),0),N(INDEX('Daily Sale entry '!$S$1:$S$1501,$J2592-1499))-'Opening Balance'!$B$15*(N(INDEX('Daily Sale entry '!$S$1:$S$1501,$J2592-1499))-TRUNC(N(INDEX('Daily Sale entry '!$S$1:$S$1501,$J2592-1499))))))</f>
        <v/>
      </c>
      <c r="G2592" s="6">
        <f>IF($J2592="","",IF($J2592&lt;=1500,N(INDEX('Daily Sale entry '!$AD$1:$AD$1501,$J2592+1)),0))</f>
        <v/>
      </c>
      <c r="H2592" s="6">
        <f>IF($J2592="","",ROUND('Opening Balance'!$B$4+SUM($F$2:F2592)-SUM($G$2:G2592),2))</f>
        <v/>
      </c>
      <c r="J2592" s="21">
        <f>IFERROR(MATCH(ROW()-1,$L$2:$L$3001,0),"")</f>
        <v/>
      </c>
      <c r="K2592" s="34">
        <f>IF(AND('Daily Sale entry '!Q1092="Collection 收款",'Daily Sale entry '!R1092="Cheque 支票",'Daily Sale entry '!V1092&lt;&gt;""),'Daily Sale entry '!V1092+ROW()/10000000,"")</f>
        <v/>
      </c>
      <c r="L2592" s="21">
        <f>IF(K2592="","",COUNTIF($K$2:$K$3001,"&lt;"&amp;K2592)+1)</f>
        <v/>
      </c>
    </row>
    <row r="2593">
      <c r="A2593" s="5">
        <f>IF($J2593="","",IF($J2593&lt;=1500,INDEX('Daily Sale entry '!$X$1:$X$1501,$J2593+1),INDEX('Daily Sale entry '!$V$1:$V$1501,$J2593-1499)))</f>
        <v/>
      </c>
      <c r="B2593">
        <f>IF($J2593="","",IF($J2593&lt;=1500,INDEX('Daily Sale entry '!$Y$1:$Y$1501,$J2593+1)&amp;"","Buyer cheque banked 买家支票存入"&amp;IF(INDEX('Daily Sale entry '!$U$1:$U$1501,$J2593-1499)="","", " - "&amp;INDEX('Daily Sale entry '!$U$1:$U$1501,$J2593-1499))))</f>
        <v/>
      </c>
      <c r="C2593">
        <f>IF($J2593="","",IF($J2593&lt;=1500,INDEX('Daily Sale entry '!$Z$1:$Z$1501,$J2593+1)&amp;"","Cheque deposit 支票存入 (buyer 买家)"))</f>
        <v/>
      </c>
      <c r="D2593">
        <f>IF($J2593="","",IF($J2593&lt;=1500,INDEX('Daily Sale entry '!$AA$1:$AA$1501,$J2593+1)&amp;"",INDEX('Daily Sale entry '!$P$1:$P$1501,$J2593-1499)&amp;""))</f>
        <v/>
      </c>
      <c r="E2593">
        <f>IF($J2593="","",IF($J2593&lt;=1500,IF(N(INDEX('Daily Sale entry '!$AB$1:$AB$1501,$J2593+1))=0,"",INDEX('Daily Sale entry '!$AB$1:$AB$1501,$J2593+1)),1))</f>
        <v/>
      </c>
      <c r="F2593" s="6">
        <f>IF($J2593="","",IF($J2593&lt;=1500,N(INDEX('Daily Sale entry '!$AC$1:$AC$1501,$J2593+1))-IF(AND('Opening Balance'!$B$15=1,INDEX('Daily Sale entry '!$Z$1:$Z$1501,$J2593+1)="Online collection 网上收款",INDEX('Daily Sale entry '!$AA$1:$AA$1501,$J2593+1)&lt;&gt;""),N(INDEX('Daily Sale entry '!$AC$1:$AC$1501,$J2593+1))-TRUNC(N(INDEX('Daily Sale entry '!$AC$1:$AC$1501,$J2593+1))),0),N(INDEX('Daily Sale entry '!$S$1:$S$1501,$J2593-1499))-'Opening Balance'!$B$15*(N(INDEX('Daily Sale entry '!$S$1:$S$1501,$J2593-1499))-TRUNC(N(INDEX('Daily Sale entry '!$S$1:$S$1501,$J2593-1499))))))</f>
        <v/>
      </c>
      <c r="G2593" s="6">
        <f>IF($J2593="","",IF($J2593&lt;=1500,N(INDEX('Daily Sale entry '!$AD$1:$AD$1501,$J2593+1)),0))</f>
        <v/>
      </c>
      <c r="H2593" s="6">
        <f>IF($J2593="","",ROUND('Opening Balance'!$B$4+SUM($F$2:F2593)-SUM($G$2:G2593),2))</f>
        <v/>
      </c>
      <c r="J2593" s="21">
        <f>IFERROR(MATCH(ROW()-1,$L$2:$L$3001,0),"")</f>
        <v/>
      </c>
      <c r="K2593" s="34">
        <f>IF(AND('Daily Sale entry '!Q1093="Collection 收款",'Daily Sale entry '!R1093="Cheque 支票",'Daily Sale entry '!V1093&lt;&gt;""),'Daily Sale entry '!V1093+ROW()/10000000,"")</f>
        <v/>
      </c>
      <c r="L2593" s="21">
        <f>IF(K2593="","",COUNTIF($K$2:$K$3001,"&lt;"&amp;K2593)+1)</f>
        <v/>
      </c>
    </row>
    <row r="2594">
      <c r="A2594" s="5">
        <f>IF($J2594="","",IF($J2594&lt;=1500,INDEX('Daily Sale entry '!$X$1:$X$1501,$J2594+1),INDEX('Daily Sale entry '!$V$1:$V$1501,$J2594-1499)))</f>
        <v/>
      </c>
      <c r="B2594">
        <f>IF($J2594="","",IF($J2594&lt;=1500,INDEX('Daily Sale entry '!$Y$1:$Y$1501,$J2594+1)&amp;"","Buyer cheque banked 买家支票存入"&amp;IF(INDEX('Daily Sale entry '!$U$1:$U$1501,$J2594-1499)="","", " - "&amp;INDEX('Daily Sale entry '!$U$1:$U$1501,$J2594-1499))))</f>
        <v/>
      </c>
      <c r="C2594">
        <f>IF($J2594="","",IF($J2594&lt;=1500,INDEX('Daily Sale entry '!$Z$1:$Z$1501,$J2594+1)&amp;"","Cheque deposit 支票存入 (buyer 买家)"))</f>
        <v/>
      </c>
      <c r="D2594">
        <f>IF($J2594="","",IF($J2594&lt;=1500,INDEX('Daily Sale entry '!$AA$1:$AA$1501,$J2594+1)&amp;"",INDEX('Daily Sale entry '!$P$1:$P$1501,$J2594-1499)&amp;""))</f>
        <v/>
      </c>
      <c r="E2594">
        <f>IF($J2594="","",IF($J2594&lt;=1500,IF(N(INDEX('Daily Sale entry '!$AB$1:$AB$1501,$J2594+1))=0,"",INDEX('Daily Sale entry '!$AB$1:$AB$1501,$J2594+1)),1))</f>
        <v/>
      </c>
      <c r="F2594" s="6">
        <f>IF($J2594="","",IF($J2594&lt;=1500,N(INDEX('Daily Sale entry '!$AC$1:$AC$1501,$J2594+1))-IF(AND('Opening Balance'!$B$15=1,INDEX('Daily Sale entry '!$Z$1:$Z$1501,$J2594+1)="Online collection 网上收款",INDEX('Daily Sale entry '!$AA$1:$AA$1501,$J2594+1)&lt;&gt;""),N(INDEX('Daily Sale entry '!$AC$1:$AC$1501,$J2594+1))-TRUNC(N(INDEX('Daily Sale entry '!$AC$1:$AC$1501,$J2594+1))),0),N(INDEX('Daily Sale entry '!$S$1:$S$1501,$J2594-1499))-'Opening Balance'!$B$15*(N(INDEX('Daily Sale entry '!$S$1:$S$1501,$J2594-1499))-TRUNC(N(INDEX('Daily Sale entry '!$S$1:$S$1501,$J2594-1499))))))</f>
        <v/>
      </c>
      <c r="G2594" s="6">
        <f>IF($J2594="","",IF($J2594&lt;=1500,N(INDEX('Daily Sale entry '!$AD$1:$AD$1501,$J2594+1)),0))</f>
        <v/>
      </c>
      <c r="H2594" s="6">
        <f>IF($J2594="","",ROUND('Opening Balance'!$B$4+SUM($F$2:F2594)-SUM($G$2:G2594),2))</f>
        <v/>
      </c>
      <c r="J2594" s="21">
        <f>IFERROR(MATCH(ROW()-1,$L$2:$L$3001,0),"")</f>
        <v/>
      </c>
      <c r="K2594" s="34">
        <f>IF(AND('Daily Sale entry '!Q1094="Collection 收款",'Daily Sale entry '!R1094="Cheque 支票",'Daily Sale entry '!V1094&lt;&gt;""),'Daily Sale entry '!V1094+ROW()/10000000,"")</f>
        <v/>
      </c>
      <c r="L2594" s="21">
        <f>IF(K2594="","",COUNTIF($K$2:$K$3001,"&lt;"&amp;K2594)+1)</f>
        <v/>
      </c>
    </row>
    <row r="2595">
      <c r="A2595" s="5">
        <f>IF($J2595="","",IF($J2595&lt;=1500,INDEX('Daily Sale entry '!$X$1:$X$1501,$J2595+1),INDEX('Daily Sale entry '!$V$1:$V$1501,$J2595-1499)))</f>
        <v/>
      </c>
      <c r="B2595">
        <f>IF($J2595="","",IF($J2595&lt;=1500,INDEX('Daily Sale entry '!$Y$1:$Y$1501,$J2595+1)&amp;"","Buyer cheque banked 买家支票存入"&amp;IF(INDEX('Daily Sale entry '!$U$1:$U$1501,$J2595-1499)="","", " - "&amp;INDEX('Daily Sale entry '!$U$1:$U$1501,$J2595-1499))))</f>
        <v/>
      </c>
      <c r="C2595">
        <f>IF($J2595="","",IF($J2595&lt;=1500,INDEX('Daily Sale entry '!$Z$1:$Z$1501,$J2595+1)&amp;"","Cheque deposit 支票存入 (buyer 买家)"))</f>
        <v/>
      </c>
      <c r="D2595">
        <f>IF($J2595="","",IF($J2595&lt;=1500,INDEX('Daily Sale entry '!$AA$1:$AA$1501,$J2595+1)&amp;"",INDEX('Daily Sale entry '!$P$1:$P$1501,$J2595-1499)&amp;""))</f>
        <v/>
      </c>
      <c r="E2595">
        <f>IF($J2595="","",IF($J2595&lt;=1500,IF(N(INDEX('Daily Sale entry '!$AB$1:$AB$1501,$J2595+1))=0,"",INDEX('Daily Sale entry '!$AB$1:$AB$1501,$J2595+1)),1))</f>
        <v/>
      </c>
      <c r="F2595" s="6">
        <f>IF($J2595="","",IF($J2595&lt;=1500,N(INDEX('Daily Sale entry '!$AC$1:$AC$1501,$J2595+1))-IF(AND('Opening Balance'!$B$15=1,INDEX('Daily Sale entry '!$Z$1:$Z$1501,$J2595+1)="Online collection 网上收款",INDEX('Daily Sale entry '!$AA$1:$AA$1501,$J2595+1)&lt;&gt;""),N(INDEX('Daily Sale entry '!$AC$1:$AC$1501,$J2595+1))-TRUNC(N(INDEX('Daily Sale entry '!$AC$1:$AC$1501,$J2595+1))),0),N(INDEX('Daily Sale entry '!$S$1:$S$1501,$J2595-1499))-'Opening Balance'!$B$15*(N(INDEX('Daily Sale entry '!$S$1:$S$1501,$J2595-1499))-TRUNC(N(INDEX('Daily Sale entry '!$S$1:$S$1501,$J2595-1499))))))</f>
        <v/>
      </c>
      <c r="G2595" s="6">
        <f>IF($J2595="","",IF($J2595&lt;=1500,N(INDEX('Daily Sale entry '!$AD$1:$AD$1501,$J2595+1)),0))</f>
        <v/>
      </c>
      <c r="H2595" s="6">
        <f>IF($J2595="","",ROUND('Opening Balance'!$B$4+SUM($F$2:F2595)-SUM($G$2:G2595),2))</f>
        <v/>
      </c>
      <c r="J2595" s="21">
        <f>IFERROR(MATCH(ROW()-1,$L$2:$L$3001,0),"")</f>
        <v/>
      </c>
      <c r="K2595" s="34">
        <f>IF(AND('Daily Sale entry '!Q1095="Collection 收款",'Daily Sale entry '!R1095="Cheque 支票",'Daily Sale entry '!V1095&lt;&gt;""),'Daily Sale entry '!V1095+ROW()/10000000,"")</f>
        <v/>
      </c>
      <c r="L2595" s="21">
        <f>IF(K2595="","",COUNTIF($K$2:$K$3001,"&lt;"&amp;K2595)+1)</f>
        <v/>
      </c>
    </row>
    <row r="2596">
      <c r="A2596" s="5">
        <f>IF($J2596="","",IF($J2596&lt;=1500,INDEX('Daily Sale entry '!$X$1:$X$1501,$J2596+1),INDEX('Daily Sale entry '!$V$1:$V$1501,$J2596-1499)))</f>
        <v/>
      </c>
      <c r="B2596">
        <f>IF($J2596="","",IF($J2596&lt;=1500,INDEX('Daily Sale entry '!$Y$1:$Y$1501,$J2596+1)&amp;"","Buyer cheque banked 买家支票存入"&amp;IF(INDEX('Daily Sale entry '!$U$1:$U$1501,$J2596-1499)="","", " - "&amp;INDEX('Daily Sale entry '!$U$1:$U$1501,$J2596-1499))))</f>
        <v/>
      </c>
      <c r="C2596">
        <f>IF($J2596="","",IF($J2596&lt;=1500,INDEX('Daily Sale entry '!$Z$1:$Z$1501,$J2596+1)&amp;"","Cheque deposit 支票存入 (buyer 买家)"))</f>
        <v/>
      </c>
      <c r="D2596">
        <f>IF($J2596="","",IF($J2596&lt;=1500,INDEX('Daily Sale entry '!$AA$1:$AA$1501,$J2596+1)&amp;"",INDEX('Daily Sale entry '!$P$1:$P$1501,$J2596-1499)&amp;""))</f>
        <v/>
      </c>
      <c r="E2596">
        <f>IF($J2596="","",IF($J2596&lt;=1500,IF(N(INDEX('Daily Sale entry '!$AB$1:$AB$1501,$J2596+1))=0,"",INDEX('Daily Sale entry '!$AB$1:$AB$1501,$J2596+1)),1))</f>
        <v/>
      </c>
      <c r="F2596" s="6">
        <f>IF($J2596="","",IF($J2596&lt;=1500,N(INDEX('Daily Sale entry '!$AC$1:$AC$1501,$J2596+1))-IF(AND('Opening Balance'!$B$15=1,INDEX('Daily Sale entry '!$Z$1:$Z$1501,$J2596+1)="Online collection 网上收款",INDEX('Daily Sale entry '!$AA$1:$AA$1501,$J2596+1)&lt;&gt;""),N(INDEX('Daily Sale entry '!$AC$1:$AC$1501,$J2596+1))-TRUNC(N(INDEX('Daily Sale entry '!$AC$1:$AC$1501,$J2596+1))),0),N(INDEX('Daily Sale entry '!$S$1:$S$1501,$J2596-1499))-'Opening Balance'!$B$15*(N(INDEX('Daily Sale entry '!$S$1:$S$1501,$J2596-1499))-TRUNC(N(INDEX('Daily Sale entry '!$S$1:$S$1501,$J2596-1499))))))</f>
        <v/>
      </c>
      <c r="G2596" s="6">
        <f>IF($J2596="","",IF($J2596&lt;=1500,N(INDEX('Daily Sale entry '!$AD$1:$AD$1501,$J2596+1)),0))</f>
        <v/>
      </c>
      <c r="H2596" s="6">
        <f>IF($J2596="","",ROUND('Opening Balance'!$B$4+SUM($F$2:F2596)-SUM($G$2:G2596),2))</f>
        <v/>
      </c>
      <c r="J2596" s="21">
        <f>IFERROR(MATCH(ROW()-1,$L$2:$L$3001,0),"")</f>
        <v/>
      </c>
      <c r="K2596" s="34">
        <f>IF(AND('Daily Sale entry '!Q1096="Collection 收款",'Daily Sale entry '!R1096="Cheque 支票",'Daily Sale entry '!V1096&lt;&gt;""),'Daily Sale entry '!V1096+ROW()/10000000,"")</f>
        <v/>
      </c>
      <c r="L2596" s="21">
        <f>IF(K2596="","",COUNTIF($K$2:$K$3001,"&lt;"&amp;K2596)+1)</f>
        <v/>
      </c>
    </row>
    <row r="2597">
      <c r="A2597" s="5">
        <f>IF($J2597="","",IF($J2597&lt;=1500,INDEX('Daily Sale entry '!$X$1:$X$1501,$J2597+1),INDEX('Daily Sale entry '!$V$1:$V$1501,$J2597-1499)))</f>
        <v/>
      </c>
      <c r="B2597">
        <f>IF($J2597="","",IF($J2597&lt;=1500,INDEX('Daily Sale entry '!$Y$1:$Y$1501,$J2597+1)&amp;"","Buyer cheque banked 买家支票存入"&amp;IF(INDEX('Daily Sale entry '!$U$1:$U$1501,$J2597-1499)="","", " - "&amp;INDEX('Daily Sale entry '!$U$1:$U$1501,$J2597-1499))))</f>
        <v/>
      </c>
      <c r="C2597">
        <f>IF($J2597="","",IF($J2597&lt;=1500,INDEX('Daily Sale entry '!$Z$1:$Z$1501,$J2597+1)&amp;"","Cheque deposit 支票存入 (buyer 买家)"))</f>
        <v/>
      </c>
      <c r="D2597">
        <f>IF($J2597="","",IF($J2597&lt;=1500,INDEX('Daily Sale entry '!$AA$1:$AA$1501,$J2597+1)&amp;"",INDEX('Daily Sale entry '!$P$1:$P$1501,$J2597-1499)&amp;""))</f>
        <v/>
      </c>
      <c r="E2597">
        <f>IF($J2597="","",IF($J2597&lt;=1500,IF(N(INDEX('Daily Sale entry '!$AB$1:$AB$1501,$J2597+1))=0,"",INDEX('Daily Sale entry '!$AB$1:$AB$1501,$J2597+1)),1))</f>
        <v/>
      </c>
      <c r="F2597" s="6">
        <f>IF($J2597="","",IF($J2597&lt;=1500,N(INDEX('Daily Sale entry '!$AC$1:$AC$1501,$J2597+1))-IF(AND('Opening Balance'!$B$15=1,INDEX('Daily Sale entry '!$Z$1:$Z$1501,$J2597+1)="Online collection 网上收款",INDEX('Daily Sale entry '!$AA$1:$AA$1501,$J2597+1)&lt;&gt;""),N(INDEX('Daily Sale entry '!$AC$1:$AC$1501,$J2597+1))-TRUNC(N(INDEX('Daily Sale entry '!$AC$1:$AC$1501,$J2597+1))),0),N(INDEX('Daily Sale entry '!$S$1:$S$1501,$J2597-1499))-'Opening Balance'!$B$15*(N(INDEX('Daily Sale entry '!$S$1:$S$1501,$J2597-1499))-TRUNC(N(INDEX('Daily Sale entry '!$S$1:$S$1501,$J2597-1499))))))</f>
        <v/>
      </c>
      <c r="G2597" s="6">
        <f>IF($J2597="","",IF($J2597&lt;=1500,N(INDEX('Daily Sale entry '!$AD$1:$AD$1501,$J2597+1)),0))</f>
        <v/>
      </c>
      <c r="H2597" s="6">
        <f>IF($J2597="","",ROUND('Opening Balance'!$B$4+SUM($F$2:F2597)-SUM($G$2:G2597),2))</f>
        <v/>
      </c>
      <c r="J2597" s="21">
        <f>IFERROR(MATCH(ROW()-1,$L$2:$L$3001,0),"")</f>
        <v/>
      </c>
      <c r="K2597" s="34">
        <f>IF(AND('Daily Sale entry '!Q1097="Collection 收款",'Daily Sale entry '!R1097="Cheque 支票",'Daily Sale entry '!V1097&lt;&gt;""),'Daily Sale entry '!V1097+ROW()/10000000,"")</f>
        <v/>
      </c>
      <c r="L2597" s="21">
        <f>IF(K2597="","",COUNTIF($K$2:$K$3001,"&lt;"&amp;K2597)+1)</f>
        <v/>
      </c>
    </row>
    <row r="2598">
      <c r="A2598" s="5">
        <f>IF($J2598="","",IF($J2598&lt;=1500,INDEX('Daily Sale entry '!$X$1:$X$1501,$J2598+1),INDEX('Daily Sale entry '!$V$1:$V$1501,$J2598-1499)))</f>
        <v/>
      </c>
      <c r="B2598">
        <f>IF($J2598="","",IF($J2598&lt;=1500,INDEX('Daily Sale entry '!$Y$1:$Y$1501,$J2598+1)&amp;"","Buyer cheque banked 买家支票存入"&amp;IF(INDEX('Daily Sale entry '!$U$1:$U$1501,$J2598-1499)="","", " - "&amp;INDEX('Daily Sale entry '!$U$1:$U$1501,$J2598-1499))))</f>
        <v/>
      </c>
      <c r="C2598">
        <f>IF($J2598="","",IF($J2598&lt;=1500,INDEX('Daily Sale entry '!$Z$1:$Z$1501,$J2598+1)&amp;"","Cheque deposit 支票存入 (buyer 买家)"))</f>
        <v/>
      </c>
      <c r="D2598">
        <f>IF($J2598="","",IF($J2598&lt;=1500,INDEX('Daily Sale entry '!$AA$1:$AA$1501,$J2598+1)&amp;"",INDEX('Daily Sale entry '!$P$1:$P$1501,$J2598-1499)&amp;""))</f>
        <v/>
      </c>
      <c r="E2598">
        <f>IF($J2598="","",IF($J2598&lt;=1500,IF(N(INDEX('Daily Sale entry '!$AB$1:$AB$1501,$J2598+1))=0,"",INDEX('Daily Sale entry '!$AB$1:$AB$1501,$J2598+1)),1))</f>
        <v/>
      </c>
      <c r="F2598" s="6">
        <f>IF($J2598="","",IF($J2598&lt;=1500,N(INDEX('Daily Sale entry '!$AC$1:$AC$1501,$J2598+1))-IF(AND('Opening Balance'!$B$15=1,INDEX('Daily Sale entry '!$Z$1:$Z$1501,$J2598+1)="Online collection 网上收款",INDEX('Daily Sale entry '!$AA$1:$AA$1501,$J2598+1)&lt;&gt;""),N(INDEX('Daily Sale entry '!$AC$1:$AC$1501,$J2598+1))-TRUNC(N(INDEX('Daily Sale entry '!$AC$1:$AC$1501,$J2598+1))),0),N(INDEX('Daily Sale entry '!$S$1:$S$1501,$J2598-1499))-'Opening Balance'!$B$15*(N(INDEX('Daily Sale entry '!$S$1:$S$1501,$J2598-1499))-TRUNC(N(INDEX('Daily Sale entry '!$S$1:$S$1501,$J2598-1499))))))</f>
        <v/>
      </c>
      <c r="G2598" s="6">
        <f>IF($J2598="","",IF($J2598&lt;=1500,N(INDEX('Daily Sale entry '!$AD$1:$AD$1501,$J2598+1)),0))</f>
        <v/>
      </c>
      <c r="H2598" s="6">
        <f>IF($J2598="","",ROUND('Opening Balance'!$B$4+SUM($F$2:F2598)-SUM($G$2:G2598),2))</f>
        <v/>
      </c>
      <c r="J2598" s="21">
        <f>IFERROR(MATCH(ROW()-1,$L$2:$L$3001,0),"")</f>
        <v/>
      </c>
      <c r="K2598" s="34">
        <f>IF(AND('Daily Sale entry '!Q1098="Collection 收款",'Daily Sale entry '!R1098="Cheque 支票",'Daily Sale entry '!V1098&lt;&gt;""),'Daily Sale entry '!V1098+ROW()/10000000,"")</f>
        <v/>
      </c>
      <c r="L2598" s="21">
        <f>IF(K2598="","",COUNTIF($K$2:$K$3001,"&lt;"&amp;K2598)+1)</f>
        <v/>
      </c>
    </row>
    <row r="2599">
      <c r="A2599" s="5">
        <f>IF($J2599="","",IF($J2599&lt;=1500,INDEX('Daily Sale entry '!$X$1:$X$1501,$J2599+1),INDEX('Daily Sale entry '!$V$1:$V$1501,$J2599-1499)))</f>
        <v/>
      </c>
      <c r="B2599">
        <f>IF($J2599="","",IF($J2599&lt;=1500,INDEX('Daily Sale entry '!$Y$1:$Y$1501,$J2599+1)&amp;"","Buyer cheque banked 买家支票存入"&amp;IF(INDEX('Daily Sale entry '!$U$1:$U$1501,$J2599-1499)="","", " - "&amp;INDEX('Daily Sale entry '!$U$1:$U$1501,$J2599-1499))))</f>
        <v/>
      </c>
      <c r="C2599">
        <f>IF($J2599="","",IF($J2599&lt;=1500,INDEX('Daily Sale entry '!$Z$1:$Z$1501,$J2599+1)&amp;"","Cheque deposit 支票存入 (buyer 买家)"))</f>
        <v/>
      </c>
      <c r="D2599">
        <f>IF($J2599="","",IF($J2599&lt;=1500,INDEX('Daily Sale entry '!$AA$1:$AA$1501,$J2599+1)&amp;"",INDEX('Daily Sale entry '!$P$1:$P$1501,$J2599-1499)&amp;""))</f>
        <v/>
      </c>
      <c r="E2599">
        <f>IF($J2599="","",IF($J2599&lt;=1500,IF(N(INDEX('Daily Sale entry '!$AB$1:$AB$1501,$J2599+1))=0,"",INDEX('Daily Sale entry '!$AB$1:$AB$1501,$J2599+1)),1))</f>
        <v/>
      </c>
      <c r="F2599" s="6">
        <f>IF($J2599="","",IF($J2599&lt;=1500,N(INDEX('Daily Sale entry '!$AC$1:$AC$1501,$J2599+1))-IF(AND('Opening Balance'!$B$15=1,INDEX('Daily Sale entry '!$Z$1:$Z$1501,$J2599+1)="Online collection 网上收款",INDEX('Daily Sale entry '!$AA$1:$AA$1501,$J2599+1)&lt;&gt;""),N(INDEX('Daily Sale entry '!$AC$1:$AC$1501,$J2599+1))-TRUNC(N(INDEX('Daily Sale entry '!$AC$1:$AC$1501,$J2599+1))),0),N(INDEX('Daily Sale entry '!$S$1:$S$1501,$J2599-1499))-'Opening Balance'!$B$15*(N(INDEX('Daily Sale entry '!$S$1:$S$1501,$J2599-1499))-TRUNC(N(INDEX('Daily Sale entry '!$S$1:$S$1501,$J2599-1499))))))</f>
        <v/>
      </c>
      <c r="G2599" s="6">
        <f>IF($J2599="","",IF($J2599&lt;=1500,N(INDEX('Daily Sale entry '!$AD$1:$AD$1501,$J2599+1)),0))</f>
        <v/>
      </c>
      <c r="H2599" s="6">
        <f>IF($J2599="","",ROUND('Opening Balance'!$B$4+SUM($F$2:F2599)-SUM($G$2:G2599),2))</f>
        <v/>
      </c>
      <c r="J2599" s="21">
        <f>IFERROR(MATCH(ROW()-1,$L$2:$L$3001,0),"")</f>
        <v/>
      </c>
      <c r="K2599" s="34">
        <f>IF(AND('Daily Sale entry '!Q1099="Collection 收款",'Daily Sale entry '!R1099="Cheque 支票",'Daily Sale entry '!V1099&lt;&gt;""),'Daily Sale entry '!V1099+ROW()/10000000,"")</f>
        <v/>
      </c>
      <c r="L2599" s="21">
        <f>IF(K2599="","",COUNTIF($K$2:$K$3001,"&lt;"&amp;K2599)+1)</f>
        <v/>
      </c>
    </row>
    <row r="2600">
      <c r="A2600" s="5">
        <f>IF($J2600="","",IF($J2600&lt;=1500,INDEX('Daily Sale entry '!$X$1:$X$1501,$J2600+1),INDEX('Daily Sale entry '!$V$1:$V$1501,$J2600-1499)))</f>
        <v/>
      </c>
      <c r="B2600">
        <f>IF($J2600="","",IF($J2600&lt;=1500,INDEX('Daily Sale entry '!$Y$1:$Y$1501,$J2600+1)&amp;"","Buyer cheque banked 买家支票存入"&amp;IF(INDEX('Daily Sale entry '!$U$1:$U$1501,$J2600-1499)="","", " - "&amp;INDEX('Daily Sale entry '!$U$1:$U$1501,$J2600-1499))))</f>
        <v/>
      </c>
      <c r="C2600">
        <f>IF($J2600="","",IF($J2600&lt;=1500,INDEX('Daily Sale entry '!$Z$1:$Z$1501,$J2600+1)&amp;"","Cheque deposit 支票存入 (buyer 买家)"))</f>
        <v/>
      </c>
      <c r="D2600">
        <f>IF($J2600="","",IF($J2600&lt;=1500,INDEX('Daily Sale entry '!$AA$1:$AA$1501,$J2600+1)&amp;"",INDEX('Daily Sale entry '!$P$1:$P$1501,$J2600-1499)&amp;""))</f>
        <v/>
      </c>
      <c r="E2600">
        <f>IF($J2600="","",IF($J2600&lt;=1500,IF(N(INDEX('Daily Sale entry '!$AB$1:$AB$1501,$J2600+1))=0,"",INDEX('Daily Sale entry '!$AB$1:$AB$1501,$J2600+1)),1))</f>
        <v/>
      </c>
      <c r="F2600" s="6">
        <f>IF($J2600="","",IF($J2600&lt;=1500,N(INDEX('Daily Sale entry '!$AC$1:$AC$1501,$J2600+1))-IF(AND('Opening Balance'!$B$15=1,INDEX('Daily Sale entry '!$Z$1:$Z$1501,$J2600+1)="Online collection 网上收款",INDEX('Daily Sale entry '!$AA$1:$AA$1501,$J2600+1)&lt;&gt;""),N(INDEX('Daily Sale entry '!$AC$1:$AC$1501,$J2600+1))-TRUNC(N(INDEX('Daily Sale entry '!$AC$1:$AC$1501,$J2600+1))),0),N(INDEX('Daily Sale entry '!$S$1:$S$1501,$J2600-1499))-'Opening Balance'!$B$15*(N(INDEX('Daily Sale entry '!$S$1:$S$1501,$J2600-1499))-TRUNC(N(INDEX('Daily Sale entry '!$S$1:$S$1501,$J2600-1499))))))</f>
        <v/>
      </c>
      <c r="G2600" s="6">
        <f>IF($J2600="","",IF($J2600&lt;=1500,N(INDEX('Daily Sale entry '!$AD$1:$AD$1501,$J2600+1)),0))</f>
        <v/>
      </c>
      <c r="H2600" s="6">
        <f>IF($J2600="","",ROUND('Opening Balance'!$B$4+SUM($F$2:F2600)-SUM($G$2:G2600),2))</f>
        <v/>
      </c>
      <c r="J2600" s="21">
        <f>IFERROR(MATCH(ROW()-1,$L$2:$L$3001,0),"")</f>
        <v/>
      </c>
      <c r="K2600" s="34">
        <f>IF(AND('Daily Sale entry '!Q1100="Collection 收款",'Daily Sale entry '!R1100="Cheque 支票",'Daily Sale entry '!V1100&lt;&gt;""),'Daily Sale entry '!V1100+ROW()/10000000,"")</f>
        <v/>
      </c>
      <c r="L2600" s="21">
        <f>IF(K2600="","",COUNTIF($K$2:$K$3001,"&lt;"&amp;K2600)+1)</f>
        <v/>
      </c>
    </row>
    <row r="2601">
      <c r="A2601" s="5">
        <f>IF($J2601="","",IF($J2601&lt;=1500,INDEX('Daily Sale entry '!$X$1:$X$1501,$J2601+1),INDEX('Daily Sale entry '!$V$1:$V$1501,$J2601-1499)))</f>
        <v/>
      </c>
      <c r="B2601">
        <f>IF($J2601="","",IF($J2601&lt;=1500,INDEX('Daily Sale entry '!$Y$1:$Y$1501,$J2601+1)&amp;"","Buyer cheque banked 买家支票存入"&amp;IF(INDEX('Daily Sale entry '!$U$1:$U$1501,$J2601-1499)="","", " - "&amp;INDEX('Daily Sale entry '!$U$1:$U$1501,$J2601-1499))))</f>
        <v/>
      </c>
      <c r="C2601">
        <f>IF($J2601="","",IF($J2601&lt;=1500,INDEX('Daily Sale entry '!$Z$1:$Z$1501,$J2601+1)&amp;"","Cheque deposit 支票存入 (buyer 买家)"))</f>
        <v/>
      </c>
      <c r="D2601">
        <f>IF($J2601="","",IF($J2601&lt;=1500,INDEX('Daily Sale entry '!$AA$1:$AA$1501,$J2601+1)&amp;"",INDEX('Daily Sale entry '!$P$1:$P$1501,$J2601-1499)&amp;""))</f>
        <v/>
      </c>
      <c r="E2601">
        <f>IF($J2601="","",IF($J2601&lt;=1500,IF(N(INDEX('Daily Sale entry '!$AB$1:$AB$1501,$J2601+1))=0,"",INDEX('Daily Sale entry '!$AB$1:$AB$1501,$J2601+1)),1))</f>
        <v/>
      </c>
      <c r="F2601" s="6">
        <f>IF($J2601="","",IF($J2601&lt;=1500,N(INDEX('Daily Sale entry '!$AC$1:$AC$1501,$J2601+1))-IF(AND('Opening Balance'!$B$15=1,INDEX('Daily Sale entry '!$Z$1:$Z$1501,$J2601+1)="Online collection 网上收款",INDEX('Daily Sale entry '!$AA$1:$AA$1501,$J2601+1)&lt;&gt;""),N(INDEX('Daily Sale entry '!$AC$1:$AC$1501,$J2601+1))-TRUNC(N(INDEX('Daily Sale entry '!$AC$1:$AC$1501,$J2601+1))),0),N(INDEX('Daily Sale entry '!$S$1:$S$1501,$J2601-1499))-'Opening Balance'!$B$15*(N(INDEX('Daily Sale entry '!$S$1:$S$1501,$J2601-1499))-TRUNC(N(INDEX('Daily Sale entry '!$S$1:$S$1501,$J2601-1499))))))</f>
        <v/>
      </c>
      <c r="G2601" s="6">
        <f>IF($J2601="","",IF($J2601&lt;=1500,N(INDEX('Daily Sale entry '!$AD$1:$AD$1501,$J2601+1)),0))</f>
        <v/>
      </c>
      <c r="H2601" s="6">
        <f>IF($J2601="","",ROUND('Opening Balance'!$B$4+SUM($F$2:F2601)-SUM($G$2:G2601),2))</f>
        <v/>
      </c>
      <c r="J2601" s="21">
        <f>IFERROR(MATCH(ROW()-1,$L$2:$L$3001,0),"")</f>
        <v/>
      </c>
      <c r="K2601" s="34">
        <f>IF(AND('Daily Sale entry '!Q1101="Collection 收款",'Daily Sale entry '!R1101="Cheque 支票",'Daily Sale entry '!V1101&lt;&gt;""),'Daily Sale entry '!V1101+ROW()/10000000,"")</f>
        <v/>
      </c>
      <c r="L2601" s="21">
        <f>IF(K2601="","",COUNTIF($K$2:$K$3001,"&lt;"&amp;K2601)+1)</f>
        <v/>
      </c>
    </row>
    <row r="2602">
      <c r="A2602" s="5">
        <f>IF($J2602="","",IF($J2602&lt;=1500,INDEX('Daily Sale entry '!$X$1:$X$1501,$J2602+1),INDEX('Daily Sale entry '!$V$1:$V$1501,$J2602-1499)))</f>
        <v/>
      </c>
      <c r="B2602">
        <f>IF($J2602="","",IF($J2602&lt;=1500,INDEX('Daily Sale entry '!$Y$1:$Y$1501,$J2602+1)&amp;"","Buyer cheque banked 买家支票存入"&amp;IF(INDEX('Daily Sale entry '!$U$1:$U$1501,$J2602-1499)="","", " - "&amp;INDEX('Daily Sale entry '!$U$1:$U$1501,$J2602-1499))))</f>
        <v/>
      </c>
      <c r="C2602">
        <f>IF($J2602="","",IF($J2602&lt;=1500,INDEX('Daily Sale entry '!$Z$1:$Z$1501,$J2602+1)&amp;"","Cheque deposit 支票存入 (buyer 买家)"))</f>
        <v/>
      </c>
      <c r="D2602">
        <f>IF($J2602="","",IF($J2602&lt;=1500,INDEX('Daily Sale entry '!$AA$1:$AA$1501,$J2602+1)&amp;"",INDEX('Daily Sale entry '!$P$1:$P$1501,$J2602-1499)&amp;""))</f>
        <v/>
      </c>
      <c r="E2602">
        <f>IF($J2602="","",IF($J2602&lt;=1500,IF(N(INDEX('Daily Sale entry '!$AB$1:$AB$1501,$J2602+1))=0,"",INDEX('Daily Sale entry '!$AB$1:$AB$1501,$J2602+1)),1))</f>
        <v/>
      </c>
      <c r="F2602" s="6">
        <f>IF($J2602="","",IF($J2602&lt;=1500,N(INDEX('Daily Sale entry '!$AC$1:$AC$1501,$J2602+1))-IF(AND('Opening Balance'!$B$15=1,INDEX('Daily Sale entry '!$Z$1:$Z$1501,$J2602+1)="Online collection 网上收款",INDEX('Daily Sale entry '!$AA$1:$AA$1501,$J2602+1)&lt;&gt;""),N(INDEX('Daily Sale entry '!$AC$1:$AC$1501,$J2602+1))-TRUNC(N(INDEX('Daily Sale entry '!$AC$1:$AC$1501,$J2602+1))),0),N(INDEX('Daily Sale entry '!$S$1:$S$1501,$J2602-1499))-'Opening Balance'!$B$15*(N(INDEX('Daily Sale entry '!$S$1:$S$1501,$J2602-1499))-TRUNC(N(INDEX('Daily Sale entry '!$S$1:$S$1501,$J2602-1499))))))</f>
        <v/>
      </c>
      <c r="G2602" s="6">
        <f>IF($J2602="","",IF($J2602&lt;=1500,N(INDEX('Daily Sale entry '!$AD$1:$AD$1501,$J2602+1)),0))</f>
        <v/>
      </c>
      <c r="H2602" s="6">
        <f>IF($J2602="","",ROUND('Opening Balance'!$B$4+SUM($F$2:F2602)-SUM($G$2:G2602),2))</f>
        <v/>
      </c>
      <c r="J2602" s="21">
        <f>IFERROR(MATCH(ROW()-1,$L$2:$L$3001,0),"")</f>
        <v/>
      </c>
      <c r="K2602" s="34">
        <f>IF(AND('Daily Sale entry '!Q1102="Collection 收款",'Daily Sale entry '!R1102="Cheque 支票",'Daily Sale entry '!V1102&lt;&gt;""),'Daily Sale entry '!V1102+ROW()/10000000,"")</f>
        <v/>
      </c>
      <c r="L2602" s="21">
        <f>IF(K2602="","",COUNTIF($K$2:$K$3001,"&lt;"&amp;K2602)+1)</f>
        <v/>
      </c>
    </row>
    <row r="2603">
      <c r="A2603" s="5">
        <f>IF($J2603="","",IF($J2603&lt;=1500,INDEX('Daily Sale entry '!$X$1:$X$1501,$J2603+1),INDEX('Daily Sale entry '!$V$1:$V$1501,$J2603-1499)))</f>
        <v/>
      </c>
      <c r="B2603">
        <f>IF($J2603="","",IF($J2603&lt;=1500,INDEX('Daily Sale entry '!$Y$1:$Y$1501,$J2603+1)&amp;"","Buyer cheque banked 买家支票存入"&amp;IF(INDEX('Daily Sale entry '!$U$1:$U$1501,$J2603-1499)="","", " - "&amp;INDEX('Daily Sale entry '!$U$1:$U$1501,$J2603-1499))))</f>
        <v/>
      </c>
      <c r="C2603">
        <f>IF($J2603="","",IF($J2603&lt;=1500,INDEX('Daily Sale entry '!$Z$1:$Z$1501,$J2603+1)&amp;"","Cheque deposit 支票存入 (buyer 买家)"))</f>
        <v/>
      </c>
      <c r="D2603">
        <f>IF($J2603="","",IF($J2603&lt;=1500,INDEX('Daily Sale entry '!$AA$1:$AA$1501,$J2603+1)&amp;"",INDEX('Daily Sale entry '!$P$1:$P$1501,$J2603-1499)&amp;""))</f>
        <v/>
      </c>
      <c r="E2603">
        <f>IF($J2603="","",IF($J2603&lt;=1500,IF(N(INDEX('Daily Sale entry '!$AB$1:$AB$1501,$J2603+1))=0,"",INDEX('Daily Sale entry '!$AB$1:$AB$1501,$J2603+1)),1))</f>
        <v/>
      </c>
      <c r="F2603" s="6">
        <f>IF($J2603="","",IF($J2603&lt;=1500,N(INDEX('Daily Sale entry '!$AC$1:$AC$1501,$J2603+1))-IF(AND('Opening Balance'!$B$15=1,INDEX('Daily Sale entry '!$Z$1:$Z$1501,$J2603+1)="Online collection 网上收款",INDEX('Daily Sale entry '!$AA$1:$AA$1501,$J2603+1)&lt;&gt;""),N(INDEX('Daily Sale entry '!$AC$1:$AC$1501,$J2603+1))-TRUNC(N(INDEX('Daily Sale entry '!$AC$1:$AC$1501,$J2603+1))),0),N(INDEX('Daily Sale entry '!$S$1:$S$1501,$J2603-1499))-'Opening Balance'!$B$15*(N(INDEX('Daily Sale entry '!$S$1:$S$1501,$J2603-1499))-TRUNC(N(INDEX('Daily Sale entry '!$S$1:$S$1501,$J2603-1499))))))</f>
        <v/>
      </c>
      <c r="G2603" s="6">
        <f>IF($J2603="","",IF($J2603&lt;=1500,N(INDEX('Daily Sale entry '!$AD$1:$AD$1501,$J2603+1)),0))</f>
        <v/>
      </c>
      <c r="H2603" s="6">
        <f>IF($J2603="","",ROUND('Opening Balance'!$B$4+SUM($F$2:F2603)-SUM($G$2:G2603),2))</f>
        <v/>
      </c>
      <c r="J2603" s="21">
        <f>IFERROR(MATCH(ROW()-1,$L$2:$L$3001,0),"")</f>
        <v/>
      </c>
      <c r="K2603" s="34">
        <f>IF(AND('Daily Sale entry '!Q1103="Collection 收款",'Daily Sale entry '!R1103="Cheque 支票",'Daily Sale entry '!V1103&lt;&gt;""),'Daily Sale entry '!V1103+ROW()/10000000,"")</f>
        <v/>
      </c>
      <c r="L2603" s="21">
        <f>IF(K2603="","",COUNTIF($K$2:$K$3001,"&lt;"&amp;K2603)+1)</f>
        <v/>
      </c>
    </row>
    <row r="2604">
      <c r="A2604" s="5">
        <f>IF($J2604="","",IF($J2604&lt;=1500,INDEX('Daily Sale entry '!$X$1:$X$1501,$J2604+1),INDEX('Daily Sale entry '!$V$1:$V$1501,$J2604-1499)))</f>
        <v/>
      </c>
      <c r="B2604">
        <f>IF($J2604="","",IF($J2604&lt;=1500,INDEX('Daily Sale entry '!$Y$1:$Y$1501,$J2604+1)&amp;"","Buyer cheque banked 买家支票存入"&amp;IF(INDEX('Daily Sale entry '!$U$1:$U$1501,$J2604-1499)="","", " - "&amp;INDEX('Daily Sale entry '!$U$1:$U$1501,$J2604-1499))))</f>
        <v/>
      </c>
      <c r="C2604">
        <f>IF($J2604="","",IF($J2604&lt;=1500,INDEX('Daily Sale entry '!$Z$1:$Z$1501,$J2604+1)&amp;"","Cheque deposit 支票存入 (buyer 买家)"))</f>
        <v/>
      </c>
      <c r="D2604">
        <f>IF($J2604="","",IF($J2604&lt;=1500,INDEX('Daily Sale entry '!$AA$1:$AA$1501,$J2604+1)&amp;"",INDEX('Daily Sale entry '!$P$1:$P$1501,$J2604-1499)&amp;""))</f>
        <v/>
      </c>
      <c r="E2604">
        <f>IF($J2604="","",IF($J2604&lt;=1500,IF(N(INDEX('Daily Sale entry '!$AB$1:$AB$1501,$J2604+1))=0,"",INDEX('Daily Sale entry '!$AB$1:$AB$1501,$J2604+1)),1))</f>
        <v/>
      </c>
      <c r="F2604" s="6">
        <f>IF($J2604="","",IF($J2604&lt;=1500,N(INDEX('Daily Sale entry '!$AC$1:$AC$1501,$J2604+1))-IF(AND('Opening Balance'!$B$15=1,INDEX('Daily Sale entry '!$Z$1:$Z$1501,$J2604+1)="Online collection 网上收款",INDEX('Daily Sale entry '!$AA$1:$AA$1501,$J2604+1)&lt;&gt;""),N(INDEX('Daily Sale entry '!$AC$1:$AC$1501,$J2604+1))-TRUNC(N(INDEX('Daily Sale entry '!$AC$1:$AC$1501,$J2604+1))),0),N(INDEX('Daily Sale entry '!$S$1:$S$1501,$J2604-1499))-'Opening Balance'!$B$15*(N(INDEX('Daily Sale entry '!$S$1:$S$1501,$J2604-1499))-TRUNC(N(INDEX('Daily Sale entry '!$S$1:$S$1501,$J2604-1499))))))</f>
        <v/>
      </c>
      <c r="G2604" s="6">
        <f>IF($J2604="","",IF($J2604&lt;=1500,N(INDEX('Daily Sale entry '!$AD$1:$AD$1501,$J2604+1)),0))</f>
        <v/>
      </c>
      <c r="H2604" s="6">
        <f>IF($J2604="","",ROUND('Opening Balance'!$B$4+SUM($F$2:F2604)-SUM($G$2:G2604),2))</f>
        <v/>
      </c>
      <c r="J2604" s="21">
        <f>IFERROR(MATCH(ROW()-1,$L$2:$L$3001,0),"")</f>
        <v/>
      </c>
      <c r="K2604" s="34">
        <f>IF(AND('Daily Sale entry '!Q1104="Collection 收款",'Daily Sale entry '!R1104="Cheque 支票",'Daily Sale entry '!V1104&lt;&gt;""),'Daily Sale entry '!V1104+ROW()/10000000,"")</f>
        <v/>
      </c>
      <c r="L2604" s="21">
        <f>IF(K2604="","",COUNTIF($K$2:$K$3001,"&lt;"&amp;K2604)+1)</f>
        <v/>
      </c>
    </row>
    <row r="2605">
      <c r="A2605" s="5">
        <f>IF($J2605="","",IF($J2605&lt;=1500,INDEX('Daily Sale entry '!$X$1:$X$1501,$J2605+1),INDEX('Daily Sale entry '!$V$1:$V$1501,$J2605-1499)))</f>
        <v/>
      </c>
      <c r="B2605">
        <f>IF($J2605="","",IF($J2605&lt;=1500,INDEX('Daily Sale entry '!$Y$1:$Y$1501,$J2605+1)&amp;"","Buyer cheque banked 买家支票存入"&amp;IF(INDEX('Daily Sale entry '!$U$1:$U$1501,$J2605-1499)="","", " - "&amp;INDEX('Daily Sale entry '!$U$1:$U$1501,$J2605-1499))))</f>
        <v/>
      </c>
      <c r="C2605">
        <f>IF($J2605="","",IF($J2605&lt;=1500,INDEX('Daily Sale entry '!$Z$1:$Z$1501,$J2605+1)&amp;"","Cheque deposit 支票存入 (buyer 买家)"))</f>
        <v/>
      </c>
      <c r="D2605">
        <f>IF($J2605="","",IF($J2605&lt;=1500,INDEX('Daily Sale entry '!$AA$1:$AA$1501,$J2605+1)&amp;"",INDEX('Daily Sale entry '!$P$1:$P$1501,$J2605-1499)&amp;""))</f>
        <v/>
      </c>
      <c r="E2605">
        <f>IF($J2605="","",IF($J2605&lt;=1500,IF(N(INDEX('Daily Sale entry '!$AB$1:$AB$1501,$J2605+1))=0,"",INDEX('Daily Sale entry '!$AB$1:$AB$1501,$J2605+1)),1))</f>
        <v/>
      </c>
      <c r="F2605" s="6">
        <f>IF($J2605="","",IF($J2605&lt;=1500,N(INDEX('Daily Sale entry '!$AC$1:$AC$1501,$J2605+1))-IF(AND('Opening Balance'!$B$15=1,INDEX('Daily Sale entry '!$Z$1:$Z$1501,$J2605+1)="Online collection 网上收款",INDEX('Daily Sale entry '!$AA$1:$AA$1501,$J2605+1)&lt;&gt;""),N(INDEX('Daily Sale entry '!$AC$1:$AC$1501,$J2605+1))-TRUNC(N(INDEX('Daily Sale entry '!$AC$1:$AC$1501,$J2605+1))),0),N(INDEX('Daily Sale entry '!$S$1:$S$1501,$J2605-1499))-'Opening Balance'!$B$15*(N(INDEX('Daily Sale entry '!$S$1:$S$1501,$J2605-1499))-TRUNC(N(INDEX('Daily Sale entry '!$S$1:$S$1501,$J2605-1499))))))</f>
        <v/>
      </c>
      <c r="G2605" s="6">
        <f>IF($J2605="","",IF($J2605&lt;=1500,N(INDEX('Daily Sale entry '!$AD$1:$AD$1501,$J2605+1)),0))</f>
        <v/>
      </c>
      <c r="H2605" s="6">
        <f>IF($J2605="","",ROUND('Opening Balance'!$B$4+SUM($F$2:F2605)-SUM($G$2:G2605),2))</f>
        <v/>
      </c>
      <c r="J2605" s="21">
        <f>IFERROR(MATCH(ROW()-1,$L$2:$L$3001,0),"")</f>
        <v/>
      </c>
      <c r="K2605" s="34">
        <f>IF(AND('Daily Sale entry '!Q1105="Collection 收款",'Daily Sale entry '!R1105="Cheque 支票",'Daily Sale entry '!V1105&lt;&gt;""),'Daily Sale entry '!V1105+ROW()/10000000,"")</f>
        <v/>
      </c>
      <c r="L2605" s="21">
        <f>IF(K2605="","",COUNTIF($K$2:$K$3001,"&lt;"&amp;K2605)+1)</f>
        <v/>
      </c>
    </row>
    <row r="2606">
      <c r="A2606" s="5">
        <f>IF($J2606="","",IF($J2606&lt;=1500,INDEX('Daily Sale entry '!$X$1:$X$1501,$J2606+1),INDEX('Daily Sale entry '!$V$1:$V$1501,$J2606-1499)))</f>
        <v/>
      </c>
      <c r="B2606">
        <f>IF($J2606="","",IF($J2606&lt;=1500,INDEX('Daily Sale entry '!$Y$1:$Y$1501,$J2606+1)&amp;"","Buyer cheque banked 买家支票存入"&amp;IF(INDEX('Daily Sale entry '!$U$1:$U$1501,$J2606-1499)="","", " - "&amp;INDEX('Daily Sale entry '!$U$1:$U$1501,$J2606-1499))))</f>
        <v/>
      </c>
      <c r="C2606">
        <f>IF($J2606="","",IF($J2606&lt;=1500,INDEX('Daily Sale entry '!$Z$1:$Z$1501,$J2606+1)&amp;"","Cheque deposit 支票存入 (buyer 买家)"))</f>
        <v/>
      </c>
      <c r="D2606">
        <f>IF($J2606="","",IF($J2606&lt;=1500,INDEX('Daily Sale entry '!$AA$1:$AA$1501,$J2606+1)&amp;"",INDEX('Daily Sale entry '!$P$1:$P$1501,$J2606-1499)&amp;""))</f>
        <v/>
      </c>
      <c r="E2606">
        <f>IF($J2606="","",IF($J2606&lt;=1500,IF(N(INDEX('Daily Sale entry '!$AB$1:$AB$1501,$J2606+1))=0,"",INDEX('Daily Sale entry '!$AB$1:$AB$1501,$J2606+1)),1))</f>
        <v/>
      </c>
      <c r="F2606" s="6">
        <f>IF($J2606="","",IF($J2606&lt;=1500,N(INDEX('Daily Sale entry '!$AC$1:$AC$1501,$J2606+1))-IF(AND('Opening Balance'!$B$15=1,INDEX('Daily Sale entry '!$Z$1:$Z$1501,$J2606+1)="Online collection 网上收款",INDEX('Daily Sale entry '!$AA$1:$AA$1501,$J2606+1)&lt;&gt;""),N(INDEX('Daily Sale entry '!$AC$1:$AC$1501,$J2606+1))-TRUNC(N(INDEX('Daily Sale entry '!$AC$1:$AC$1501,$J2606+1))),0),N(INDEX('Daily Sale entry '!$S$1:$S$1501,$J2606-1499))-'Opening Balance'!$B$15*(N(INDEX('Daily Sale entry '!$S$1:$S$1501,$J2606-1499))-TRUNC(N(INDEX('Daily Sale entry '!$S$1:$S$1501,$J2606-1499))))))</f>
        <v/>
      </c>
      <c r="G2606" s="6">
        <f>IF($J2606="","",IF($J2606&lt;=1500,N(INDEX('Daily Sale entry '!$AD$1:$AD$1501,$J2606+1)),0))</f>
        <v/>
      </c>
      <c r="H2606" s="6">
        <f>IF($J2606="","",ROUND('Opening Balance'!$B$4+SUM($F$2:F2606)-SUM($G$2:G2606),2))</f>
        <v/>
      </c>
      <c r="J2606" s="21">
        <f>IFERROR(MATCH(ROW()-1,$L$2:$L$3001,0),"")</f>
        <v/>
      </c>
      <c r="K2606" s="34">
        <f>IF(AND('Daily Sale entry '!Q1106="Collection 收款",'Daily Sale entry '!R1106="Cheque 支票",'Daily Sale entry '!V1106&lt;&gt;""),'Daily Sale entry '!V1106+ROW()/10000000,"")</f>
        <v/>
      </c>
      <c r="L2606" s="21">
        <f>IF(K2606="","",COUNTIF($K$2:$K$3001,"&lt;"&amp;K2606)+1)</f>
        <v/>
      </c>
    </row>
    <row r="2607">
      <c r="A2607" s="5">
        <f>IF($J2607="","",IF($J2607&lt;=1500,INDEX('Daily Sale entry '!$X$1:$X$1501,$J2607+1),INDEX('Daily Sale entry '!$V$1:$V$1501,$J2607-1499)))</f>
        <v/>
      </c>
      <c r="B2607">
        <f>IF($J2607="","",IF($J2607&lt;=1500,INDEX('Daily Sale entry '!$Y$1:$Y$1501,$J2607+1)&amp;"","Buyer cheque banked 买家支票存入"&amp;IF(INDEX('Daily Sale entry '!$U$1:$U$1501,$J2607-1499)="","", " - "&amp;INDEX('Daily Sale entry '!$U$1:$U$1501,$J2607-1499))))</f>
        <v/>
      </c>
      <c r="C2607">
        <f>IF($J2607="","",IF($J2607&lt;=1500,INDEX('Daily Sale entry '!$Z$1:$Z$1501,$J2607+1)&amp;"","Cheque deposit 支票存入 (buyer 买家)"))</f>
        <v/>
      </c>
      <c r="D2607">
        <f>IF($J2607="","",IF($J2607&lt;=1500,INDEX('Daily Sale entry '!$AA$1:$AA$1501,$J2607+1)&amp;"",INDEX('Daily Sale entry '!$P$1:$P$1501,$J2607-1499)&amp;""))</f>
        <v/>
      </c>
      <c r="E2607">
        <f>IF($J2607="","",IF($J2607&lt;=1500,IF(N(INDEX('Daily Sale entry '!$AB$1:$AB$1501,$J2607+1))=0,"",INDEX('Daily Sale entry '!$AB$1:$AB$1501,$J2607+1)),1))</f>
        <v/>
      </c>
      <c r="F2607" s="6">
        <f>IF($J2607="","",IF($J2607&lt;=1500,N(INDEX('Daily Sale entry '!$AC$1:$AC$1501,$J2607+1))-IF(AND('Opening Balance'!$B$15=1,INDEX('Daily Sale entry '!$Z$1:$Z$1501,$J2607+1)="Online collection 网上收款",INDEX('Daily Sale entry '!$AA$1:$AA$1501,$J2607+1)&lt;&gt;""),N(INDEX('Daily Sale entry '!$AC$1:$AC$1501,$J2607+1))-TRUNC(N(INDEX('Daily Sale entry '!$AC$1:$AC$1501,$J2607+1))),0),N(INDEX('Daily Sale entry '!$S$1:$S$1501,$J2607-1499))-'Opening Balance'!$B$15*(N(INDEX('Daily Sale entry '!$S$1:$S$1501,$J2607-1499))-TRUNC(N(INDEX('Daily Sale entry '!$S$1:$S$1501,$J2607-1499))))))</f>
        <v/>
      </c>
      <c r="G2607" s="6">
        <f>IF($J2607="","",IF($J2607&lt;=1500,N(INDEX('Daily Sale entry '!$AD$1:$AD$1501,$J2607+1)),0))</f>
        <v/>
      </c>
      <c r="H2607" s="6">
        <f>IF($J2607="","",ROUND('Opening Balance'!$B$4+SUM($F$2:F2607)-SUM($G$2:G2607),2))</f>
        <v/>
      </c>
      <c r="J2607" s="21">
        <f>IFERROR(MATCH(ROW()-1,$L$2:$L$3001,0),"")</f>
        <v/>
      </c>
      <c r="K2607" s="34">
        <f>IF(AND('Daily Sale entry '!Q1107="Collection 收款",'Daily Sale entry '!R1107="Cheque 支票",'Daily Sale entry '!V1107&lt;&gt;""),'Daily Sale entry '!V1107+ROW()/10000000,"")</f>
        <v/>
      </c>
      <c r="L2607" s="21">
        <f>IF(K2607="","",COUNTIF($K$2:$K$3001,"&lt;"&amp;K2607)+1)</f>
        <v/>
      </c>
    </row>
    <row r="2608">
      <c r="A2608" s="5">
        <f>IF($J2608="","",IF($J2608&lt;=1500,INDEX('Daily Sale entry '!$X$1:$X$1501,$J2608+1),INDEX('Daily Sale entry '!$V$1:$V$1501,$J2608-1499)))</f>
        <v/>
      </c>
      <c r="B2608">
        <f>IF($J2608="","",IF($J2608&lt;=1500,INDEX('Daily Sale entry '!$Y$1:$Y$1501,$J2608+1)&amp;"","Buyer cheque banked 买家支票存入"&amp;IF(INDEX('Daily Sale entry '!$U$1:$U$1501,$J2608-1499)="","", " - "&amp;INDEX('Daily Sale entry '!$U$1:$U$1501,$J2608-1499))))</f>
        <v/>
      </c>
      <c r="C2608">
        <f>IF($J2608="","",IF($J2608&lt;=1500,INDEX('Daily Sale entry '!$Z$1:$Z$1501,$J2608+1)&amp;"","Cheque deposit 支票存入 (buyer 买家)"))</f>
        <v/>
      </c>
      <c r="D2608">
        <f>IF($J2608="","",IF($J2608&lt;=1500,INDEX('Daily Sale entry '!$AA$1:$AA$1501,$J2608+1)&amp;"",INDEX('Daily Sale entry '!$P$1:$P$1501,$J2608-1499)&amp;""))</f>
        <v/>
      </c>
      <c r="E2608">
        <f>IF($J2608="","",IF($J2608&lt;=1500,IF(N(INDEX('Daily Sale entry '!$AB$1:$AB$1501,$J2608+1))=0,"",INDEX('Daily Sale entry '!$AB$1:$AB$1501,$J2608+1)),1))</f>
        <v/>
      </c>
      <c r="F2608" s="6">
        <f>IF($J2608="","",IF($J2608&lt;=1500,N(INDEX('Daily Sale entry '!$AC$1:$AC$1501,$J2608+1))-IF(AND('Opening Balance'!$B$15=1,INDEX('Daily Sale entry '!$Z$1:$Z$1501,$J2608+1)="Online collection 网上收款",INDEX('Daily Sale entry '!$AA$1:$AA$1501,$J2608+1)&lt;&gt;""),N(INDEX('Daily Sale entry '!$AC$1:$AC$1501,$J2608+1))-TRUNC(N(INDEX('Daily Sale entry '!$AC$1:$AC$1501,$J2608+1))),0),N(INDEX('Daily Sale entry '!$S$1:$S$1501,$J2608-1499))-'Opening Balance'!$B$15*(N(INDEX('Daily Sale entry '!$S$1:$S$1501,$J2608-1499))-TRUNC(N(INDEX('Daily Sale entry '!$S$1:$S$1501,$J2608-1499))))))</f>
        <v/>
      </c>
      <c r="G2608" s="6">
        <f>IF($J2608="","",IF($J2608&lt;=1500,N(INDEX('Daily Sale entry '!$AD$1:$AD$1501,$J2608+1)),0))</f>
        <v/>
      </c>
      <c r="H2608" s="6">
        <f>IF($J2608="","",ROUND('Opening Balance'!$B$4+SUM($F$2:F2608)-SUM($G$2:G2608),2))</f>
        <v/>
      </c>
      <c r="J2608" s="21">
        <f>IFERROR(MATCH(ROW()-1,$L$2:$L$3001,0),"")</f>
        <v/>
      </c>
      <c r="K2608" s="34">
        <f>IF(AND('Daily Sale entry '!Q1108="Collection 收款",'Daily Sale entry '!R1108="Cheque 支票",'Daily Sale entry '!V1108&lt;&gt;""),'Daily Sale entry '!V1108+ROW()/10000000,"")</f>
        <v/>
      </c>
      <c r="L2608" s="21">
        <f>IF(K2608="","",COUNTIF($K$2:$K$3001,"&lt;"&amp;K2608)+1)</f>
        <v/>
      </c>
    </row>
    <row r="2609">
      <c r="A2609" s="5">
        <f>IF($J2609="","",IF($J2609&lt;=1500,INDEX('Daily Sale entry '!$X$1:$X$1501,$J2609+1),INDEX('Daily Sale entry '!$V$1:$V$1501,$J2609-1499)))</f>
        <v/>
      </c>
      <c r="B2609">
        <f>IF($J2609="","",IF($J2609&lt;=1500,INDEX('Daily Sale entry '!$Y$1:$Y$1501,$J2609+1)&amp;"","Buyer cheque banked 买家支票存入"&amp;IF(INDEX('Daily Sale entry '!$U$1:$U$1501,$J2609-1499)="","", " - "&amp;INDEX('Daily Sale entry '!$U$1:$U$1501,$J2609-1499))))</f>
        <v/>
      </c>
      <c r="C2609">
        <f>IF($J2609="","",IF($J2609&lt;=1500,INDEX('Daily Sale entry '!$Z$1:$Z$1501,$J2609+1)&amp;"","Cheque deposit 支票存入 (buyer 买家)"))</f>
        <v/>
      </c>
      <c r="D2609">
        <f>IF($J2609="","",IF($J2609&lt;=1500,INDEX('Daily Sale entry '!$AA$1:$AA$1501,$J2609+1)&amp;"",INDEX('Daily Sale entry '!$P$1:$P$1501,$J2609-1499)&amp;""))</f>
        <v/>
      </c>
      <c r="E2609">
        <f>IF($J2609="","",IF($J2609&lt;=1500,IF(N(INDEX('Daily Sale entry '!$AB$1:$AB$1501,$J2609+1))=0,"",INDEX('Daily Sale entry '!$AB$1:$AB$1501,$J2609+1)),1))</f>
        <v/>
      </c>
      <c r="F2609" s="6">
        <f>IF($J2609="","",IF($J2609&lt;=1500,N(INDEX('Daily Sale entry '!$AC$1:$AC$1501,$J2609+1))-IF(AND('Opening Balance'!$B$15=1,INDEX('Daily Sale entry '!$Z$1:$Z$1501,$J2609+1)="Online collection 网上收款",INDEX('Daily Sale entry '!$AA$1:$AA$1501,$J2609+1)&lt;&gt;""),N(INDEX('Daily Sale entry '!$AC$1:$AC$1501,$J2609+1))-TRUNC(N(INDEX('Daily Sale entry '!$AC$1:$AC$1501,$J2609+1))),0),N(INDEX('Daily Sale entry '!$S$1:$S$1501,$J2609-1499))-'Opening Balance'!$B$15*(N(INDEX('Daily Sale entry '!$S$1:$S$1501,$J2609-1499))-TRUNC(N(INDEX('Daily Sale entry '!$S$1:$S$1501,$J2609-1499))))))</f>
        <v/>
      </c>
      <c r="G2609" s="6">
        <f>IF($J2609="","",IF($J2609&lt;=1500,N(INDEX('Daily Sale entry '!$AD$1:$AD$1501,$J2609+1)),0))</f>
        <v/>
      </c>
      <c r="H2609" s="6">
        <f>IF($J2609="","",ROUND('Opening Balance'!$B$4+SUM($F$2:F2609)-SUM($G$2:G2609),2))</f>
        <v/>
      </c>
      <c r="J2609" s="21">
        <f>IFERROR(MATCH(ROW()-1,$L$2:$L$3001,0),"")</f>
        <v/>
      </c>
      <c r="K2609" s="34">
        <f>IF(AND('Daily Sale entry '!Q1109="Collection 收款",'Daily Sale entry '!R1109="Cheque 支票",'Daily Sale entry '!V1109&lt;&gt;""),'Daily Sale entry '!V1109+ROW()/10000000,"")</f>
        <v/>
      </c>
      <c r="L2609" s="21">
        <f>IF(K2609="","",COUNTIF($K$2:$K$3001,"&lt;"&amp;K2609)+1)</f>
        <v/>
      </c>
    </row>
    <row r="2610">
      <c r="A2610" s="5">
        <f>IF($J2610="","",IF($J2610&lt;=1500,INDEX('Daily Sale entry '!$X$1:$X$1501,$J2610+1),INDEX('Daily Sale entry '!$V$1:$V$1501,$J2610-1499)))</f>
        <v/>
      </c>
      <c r="B2610">
        <f>IF($J2610="","",IF($J2610&lt;=1500,INDEX('Daily Sale entry '!$Y$1:$Y$1501,$J2610+1)&amp;"","Buyer cheque banked 买家支票存入"&amp;IF(INDEX('Daily Sale entry '!$U$1:$U$1501,$J2610-1499)="","", " - "&amp;INDEX('Daily Sale entry '!$U$1:$U$1501,$J2610-1499))))</f>
        <v/>
      </c>
      <c r="C2610">
        <f>IF($J2610="","",IF($J2610&lt;=1500,INDEX('Daily Sale entry '!$Z$1:$Z$1501,$J2610+1)&amp;"","Cheque deposit 支票存入 (buyer 买家)"))</f>
        <v/>
      </c>
      <c r="D2610">
        <f>IF($J2610="","",IF($J2610&lt;=1500,INDEX('Daily Sale entry '!$AA$1:$AA$1501,$J2610+1)&amp;"",INDEX('Daily Sale entry '!$P$1:$P$1501,$J2610-1499)&amp;""))</f>
        <v/>
      </c>
      <c r="E2610">
        <f>IF($J2610="","",IF($J2610&lt;=1500,IF(N(INDEX('Daily Sale entry '!$AB$1:$AB$1501,$J2610+1))=0,"",INDEX('Daily Sale entry '!$AB$1:$AB$1501,$J2610+1)),1))</f>
        <v/>
      </c>
      <c r="F2610" s="6">
        <f>IF($J2610="","",IF($J2610&lt;=1500,N(INDEX('Daily Sale entry '!$AC$1:$AC$1501,$J2610+1))-IF(AND('Opening Balance'!$B$15=1,INDEX('Daily Sale entry '!$Z$1:$Z$1501,$J2610+1)="Online collection 网上收款",INDEX('Daily Sale entry '!$AA$1:$AA$1501,$J2610+1)&lt;&gt;""),N(INDEX('Daily Sale entry '!$AC$1:$AC$1501,$J2610+1))-TRUNC(N(INDEX('Daily Sale entry '!$AC$1:$AC$1501,$J2610+1))),0),N(INDEX('Daily Sale entry '!$S$1:$S$1501,$J2610-1499))-'Opening Balance'!$B$15*(N(INDEX('Daily Sale entry '!$S$1:$S$1501,$J2610-1499))-TRUNC(N(INDEX('Daily Sale entry '!$S$1:$S$1501,$J2610-1499))))))</f>
        <v/>
      </c>
      <c r="G2610" s="6">
        <f>IF($J2610="","",IF($J2610&lt;=1500,N(INDEX('Daily Sale entry '!$AD$1:$AD$1501,$J2610+1)),0))</f>
        <v/>
      </c>
      <c r="H2610" s="6">
        <f>IF($J2610="","",ROUND('Opening Balance'!$B$4+SUM($F$2:F2610)-SUM($G$2:G2610),2))</f>
        <v/>
      </c>
      <c r="J2610" s="21">
        <f>IFERROR(MATCH(ROW()-1,$L$2:$L$3001,0),"")</f>
        <v/>
      </c>
      <c r="K2610" s="34">
        <f>IF(AND('Daily Sale entry '!Q1110="Collection 收款",'Daily Sale entry '!R1110="Cheque 支票",'Daily Sale entry '!V1110&lt;&gt;""),'Daily Sale entry '!V1110+ROW()/10000000,"")</f>
        <v/>
      </c>
      <c r="L2610" s="21">
        <f>IF(K2610="","",COUNTIF($K$2:$K$3001,"&lt;"&amp;K2610)+1)</f>
        <v/>
      </c>
    </row>
    <row r="2611">
      <c r="A2611" s="5">
        <f>IF($J2611="","",IF($J2611&lt;=1500,INDEX('Daily Sale entry '!$X$1:$X$1501,$J2611+1),INDEX('Daily Sale entry '!$V$1:$V$1501,$J2611-1499)))</f>
        <v/>
      </c>
      <c r="B2611">
        <f>IF($J2611="","",IF($J2611&lt;=1500,INDEX('Daily Sale entry '!$Y$1:$Y$1501,$J2611+1)&amp;"","Buyer cheque banked 买家支票存入"&amp;IF(INDEX('Daily Sale entry '!$U$1:$U$1501,$J2611-1499)="","", " - "&amp;INDEX('Daily Sale entry '!$U$1:$U$1501,$J2611-1499))))</f>
        <v/>
      </c>
      <c r="C2611">
        <f>IF($J2611="","",IF($J2611&lt;=1500,INDEX('Daily Sale entry '!$Z$1:$Z$1501,$J2611+1)&amp;"","Cheque deposit 支票存入 (buyer 买家)"))</f>
        <v/>
      </c>
      <c r="D2611">
        <f>IF($J2611="","",IF($J2611&lt;=1500,INDEX('Daily Sale entry '!$AA$1:$AA$1501,$J2611+1)&amp;"",INDEX('Daily Sale entry '!$P$1:$P$1501,$J2611-1499)&amp;""))</f>
        <v/>
      </c>
      <c r="E2611">
        <f>IF($J2611="","",IF($J2611&lt;=1500,IF(N(INDEX('Daily Sale entry '!$AB$1:$AB$1501,$J2611+1))=0,"",INDEX('Daily Sale entry '!$AB$1:$AB$1501,$J2611+1)),1))</f>
        <v/>
      </c>
      <c r="F2611" s="6">
        <f>IF($J2611="","",IF($J2611&lt;=1500,N(INDEX('Daily Sale entry '!$AC$1:$AC$1501,$J2611+1))-IF(AND('Opening Balance'!$B$15=1,INDEX('Daily Sale entry '!$Z$1:$Z$1501,$J2611+1)="Online collection 网上收款",INDEX('Daily Sale entry '!$AA$1:$AA$1501,$J2611+1)&lt;&gt;""),N(INDEX('Daily Sale entry '!$AC$1:$AC$1501,$J2611+1))-TRUNC(N(INDEX('Daily Sale entry '!$AC$1:$AC$1501,$J2611+1))),0),N(INDEX('Daily Sale entry '!$S$1:$S$1501,$J2611-1499))-'Opening Balance'!$B$15*(N(INDEX('Daily Sale entry '!$S$1:$S$1501,$J2611-1499))-TRUNC(N(INDEX('Daily Sale entry '!$S$1:$S$1501,$J2611-1499))))))</f>
        <v/>
      </c>
      <c r="G2611" s="6">
        <f>IF($J2611="","",IF($J2611&lt;=1500,N(INDEX('Daily Sale entry '!$AD$1:$AD$1501,$J2611+1)),0))</f>
        <v/>
      </c>
      <c r="H2611" s="6">
        <f>IF($J2611="","",ROUND('Opening Balance'!$B$4+SUM($F$2:F2611)-SUM($G$2:G2611),2))</f>
        <v/>
      </c>
      <c r="J2611" s="21">
        <f>IFERROR(MATCH(ROW()-1,$L$2:$L$3001,0),"")</f>
        <v/>
      </c>
      <c r="K2611" s="34">
        <f>IF(AND('Daily Sale entry '!Q1111="Collection 收款",'Daily Sale entry '!R1111="Cheque 支票",'Daily Sale entry '!V1111&lt;&gt;""),'Daily Sale entry '!V1111+ROW()/10000000,"")</f>
        <v/>
      </c>
      <c r="L2611" s="21">
        <f>IF(K2611="","",COUNTIF($K$2:$K$3001,"&lt;"&amp;K2611)+1)</f>
        <v/>
      </c>
    </row>
    <row r="2612">
      <c r="A2612" s="5">
        <f>IF($J2612="","",IF($J2612&lt;=1500,INDEX('Daily Sale entry '!$X$1:$X$1501,$J2612+1),INDEX('Daily Sale entry '!$V$1:$V$1501,$J2612-1499)))</f>
        <v/>
      </c>
      <c r="B2612">
        <f>IF($J2612="","",IF($J2612&lt;=1500,INDEX('Daily Sale entry '!$Y$1:$Y$1501,$J2612+1)&amp;"","Buyer cheque banked 买家支票存入"&amp;IF(INDEX('Daily Sale entry '!$U$1:$U$1501,$J2612-1499)="","", " - "&amp;INDEX('Daily Sale entry '!$U$1:$U$1501,$J2612-1499))))</f>
        <v/>
      </c>
      <c r="C2612">
        <f>IF($J2612="","",IF($J2612&lt;=1500,INDEX('Daily Sale entry '!$Z$1:$Z$1501,$J2612+1)&amp;"","Cheque deposit 支票存入 (buyer 买家)"))</f>
        <v/>
      </c>
      <c r="D2612">
        <f>IF($J2612="","",IF($J2612&lt;=1500,INDEX('Daily Sale entry '!$AA$1:$AA$1501,$J2612+1)&amp;"",INDEX('Daily Sale entry '!$P$1:$P$1501,$J2612-1499)&amp;""))</f>
        <v/>
      </c>
      <c r="E2612">
        <f>IF($J2612="","",IF($J2612&lt;=1500,IF(N(INDEX('Daily Sale entry '!$AB$1:$AB$1501,$J2612+1))=0,"",INDEX('Daily Sale entry '!$AB$1:$AB$1501,$J2612+1)),1))</f>
        <v/>
      </c>
      <c r="F2612" s="6">
        <f>IF($J2612="","",IF($J2612&lt;=1500,N(INDEX('Daily Sale entry '!$AC$1:$AC$1501,$J2612+1))-IF(AND('Opening Balance'!$B$15=1,INDEX('Daily Sale entry '!$Z$1:$Z$1501,$J2612+1)="Online collection 网上收款",INDEX('Daily Sale entry '!$AA$1:$AA$1501,$J2612+1)&lt;&gt;""),N(INDEX('Daily Sale entry '!$AC$1:$AC$1501,$J2612+1))-TRUNC(N(INDEX('Daily Sale entry '!$AC$1:$AC$1501,$J2612+1))),0),N(INDEX('Daily Sale entry '!$S$1:$S$1501,$J2612-1499))-'Opening Balance'!$B$15*(N(INDEX('Daily Sale entry '!$S$1:$S$1501,$J2612-1499))-TRUNC(N(INDEX('Daily Sale entry '!$S$1:$S$1501,$J2612-1499))))))</f>
        <v/>
      </c>
      <c r="G2612" s="6">
        <f>IF($J2612="","",IF($J2612&lt;=1500,N(INDEX('Daily Sale entry '!$AD$1:$AD$1501,$J2612+1)),0))</f>
        <v/>
      </c>
      <c r="H2612" s="6">
        <f>IF($J2612="","",ROUND('Opening Balance'!$B$4+SUM($F$2:F2612)-SUM($G$2:G2612),2))</f>
        <v/>
      </c>
      <c r="J2612" s="21">
        <f>IFERROR(MATCH(ROW()-1,$L$2:$L$3001,0),"")</f>
        <v/>
      </c>
      <c r="K2612" s="34">
        <f>IF(AND('Daily Sale entry '!Q1112="Collection 收款",'Daily Sale entry '!R1112="Cheque 支票",'Daily Sale entry '!V1112&lt;&gt;""),'Daily Sale entry '!V1112+ROW()/10000000,"")</f>
        <v/>
      </c>
      <c r="L2612" s="21">
        <f>IF(K2612="","",COUNTIF($K$2:$K$3001,"&lt;"&amp;K2612)+1)</f>
        <v/>
      </c>
    </row>
    <row r="2613">
      <c r="A2613" s="5">
        <f>IF($J2613="","",IF($J2613&lt;=1500,INDEX('Daily Sale entry '!$X$1:$X$1501,$J2613+1),INDEX('Daily Sale entry '!$V$1:$V$1501,$J2613-1499)))</f>
        <v/>
      </c>
      <c r="B2613">
        <f>IF($J2613="","",IF($J2613&lt;=1500,INDEX('Daily Sale entry '!$Y$1:$Y$1501,$J2613+1)&amp;"","Buyer cheque banked 买家支票存入"&amp;IF(INDEX('Daily Sale entry '!$U$1:$U$1501,$J2613-1499)="","", " - "&amp;INDEX('Daily Sale entry '!$U$1:$U$1501,$J2613-1499))))</f>
        <v/>
      </c>
      <c r="C2613">
        <f>IF($J2613="","",IF($J2613&lt;=1500,INDEX('Daily Sale entry '!$Z$1:$Z$1501,$J2613+1)&amp;"","Cheque deposit 支票存入 (buyer 买家)"))</f>
        <v/>
      </c>
      <c r="D2613">
        <f>IF($J2613="","",IF($J2613&lt;=1500,INDEX('Daily Sale entry '!$AA$1:$AA$1501,$J2613+1)&amp;"",INDEX('Daily Sale entry '!$P$1:$P$1501,$J2613-1499)&amp;""))</f>
        <v/>
      </c>
      <c r="E2613">
        <f>IF($J2613="","",IF($J2613&lt;=1500,IF(N(INDEX('Daily Sale entry '!$AB$1:$AB$1501,$J2613+1))=0,"",INDEX('Daily Sale entry '!$AB$1:$AB$1501,$J2613+1)),1))</f>
        <v/>
      </c>
      <c r="F2613" s="6">
        <f>IF($J2613="","",IF($J2613&lt;=1500,N(INDEX('Daily Sale entry '!$AC$1:$AC$1501,$J2613+1))-IF(AND('Opening Balance'!$B$15=1,INDEX('Daily Sale entry '!$Z$1:$Z$1501,$J2613+1)="Online collection 网上收款",INDEX('Daily Sale entry '!$AA$1:$AA$1501,$J2613+1)&lt;&gt;""),N(INDEX('Daily Sale entry '!$AC$1:$AC$1501,$J2613+1))-TRUNC(N(INDEX('Daily Sale entry '!$AC$1:$AC$1501,$J2613+1))),0),N(INDEX('Daily Sale entry '!$S$1:$S$1501,$J2613-1499))-'Opening Balance'!$B$15*(N(INDEX('Daily Sale entry '!$S$1:$S$1501,$J2613-1499))-TRUNC(N(INDEX('Daily Sale entry '!$S$1:$S$1501,$J2613-1499))))))</f>
        <v/>
      </c>
      <c r="G2613" s="6">
        <f>IF($J2613="","",IF($J2613&lt;=1500,N(INDEX('Daily Sale entry '!$AD$1:$AD$1501,$J2613+1)),0))</f>
        <v/>
      </c>
      <c r="H2613" s="6">
        <f>IF($J2613="","",ROUND('Opening Balance'!$B$4+SUM($F$2:F2613)-SUM($G$2:G2613),2))</f>
        <v/>
      </c>
      <c r="J2613" s="21">
        <f>IFERROR(MATCH(ROW()-1,$L$2:$L$3001,0),"")</f>
        <v/>
      </c>
      <c r="K2613" s="34">
        <f>IF(AND('Daily Sale entry '!Q1113="Collection 收款",'Daily Sale entry '!R1113="Cheque 支票",'Daily Sale entry '!V1113&lt;&gt;""),'Daily Sale entry '!V1113+ROW()/10000000,"")</f>
        <v/>
      </c>
      <c r="L2613" s="21">
        <f>IF(K2613="","",COUNTIF($K$2:$K$3001,"&lt;"&amp;K2613)+1)</f>
        <v/>
      </c>
    </row>
    <row r="2614">
      <c r="A2614" s="5">
        <f>IF($J2614="","",IF($J2614&lt;=1500,INDEX('Daily Sale entry '!$X$1:$X$1501,$J2614+1),INDEX('Daily Sale entry '!$V$1:$V$1501,$J2614-1499)))</f>
        <v/>
      </c>
      <c r="B2614">
        <f>IF($J2614="","",IF($J2614&lt;=1500,INDEX('Daily Sale entry '!$Y$1:$Y$1501,$J2614+1)&amp;"","Buyer cheque banked 买家支票存入"&amp;IF(INDEX('Daily Sale entry '!$U$1:$U$1501,$J2614-1499)="","", " - "&amp;INDEX('Daily Sale entry '!$U$1:$U$1501,$J2614-1499))))</f>
        <v/>
      </c>
      <c r="C2614">
        <f>IF($J2614="","",IF($J2614&lt;=1500,INDEX('Daily Sale entry '!$Z$1:$Z$1501,$J2614+1)&amp;"","Cheque deposit 支票存入 (buyer 买家)"))</f>
        <v/>
      </c>
      <c r="D2614">
        <f>IF($J2614="","",IF($J2614&lt;=1500,INDEX('Daily Sale entry '!$AA$1:$AA$1501,$J2614+1)&amp;"",INDEX('Daily Sale entry '!$P$1:$P$1501,$J2614-1499)&amp;""))</f>
        <v/>
      </c>
      <c r="E2614">
        <f>IF($J2614="","",IF($J2614&lt;=1500,IF(N(INDEX('Daily Sale entry '!$AB$1:$AB$1501,$J2614+1))=0,"",INDEX('Daily Sale entry '!$AB$1:$AB$1501,$J2614+1)),1))</f>
        <v/>
      </c>
      <c r="F2614" s="6">
        <f>IF($J2614="","",IF($J2614&lt;=1500,N(INDEX('Daily Sale entry '!$AC$1:$AC$1501,$J2614+1))-IF(AND('Opening Balance'!$B$15=1,INDEX('Daily Sale entry '!$Z$1:$Z$1501,$J2614+1)="Online collection 网上收款",INDEX('Daily Sale entry '!$AA$1:$AA$1501,$J2614+1)&lt;&gt;""),N(INDEX('Daily Sale entry '!$AC$1:$AC$1501,$J2614+1))-TRUNC(N(INDEX('Daily Sale entry '!$AC$1:$AC$1501,$J2614+1))),0),N(INDEX('Daily Sale entry '!$S$1:$S$1501,$J2614-1499))-'Opening Balance'!$B$15*(N(INDEX('Daily Sale entry '!$S$1:$S$1501,$J2614-1499))-TRUNC(N(INDEX('Daily Sale entry '!$S$1:$S$1501,$J2614-1499))))))</f>
        <v/>
      </c>
      <c r="G2614" s="6">
        <f>IF($J2614="","",IF($J2614&lt;=1500,N(INDEX('Daily Sale entry '!$AD$1:$AD$1501,$J2614+1)),0))</f>
        <v/>
      </c>
      <c r="H2614" s="6">
        <f>IF($J2614="","",ROUND('Opening Balance'!$B$4+SUM($F$2:F2614)-SUM($G$2:G2614),2))</f>
        <v/>
      </c>
      <c r="J2614" s="21">
        <f>IFERROR(MATCH(ROW()-1,$L$2:$L$3001,0),"")</f>
        <v/>
      </c>
      <c r="K2614" s="34">
        <f>IF(AND('Daily Sale entry '!Q1114="Collection 收款",'Daily Sale entry '!R1114="Cheque 支票",'Daily Sale entry '!V1114&lt;&gt;""),'Daily Sale entry '!V1114+ROW()/10000000,"")</f>
        <v/>
      </c>
      <c r="L2614" s="21">
        <f>IF(K2614="","",COUNTIF($K$2:$K$3001,"&lt;"&amp;K2614)+1)</f>
        <v/>
      </c>
    </row>
    <row r="2615">
      <c r="A2615" s="5">
        <f>IF($J2615="","",IF($J2615&lt;=1500,INDEX('Daily Sale entry '!$X$1:$X$1501,$J2615+1),INDEX('Daily Sale entry '!$V$1:$V$1501,$J2615-1499)))</f>
        <v/>
      </c>
      <c r="B2615">
        <f>IF($J2615="","",IF($J2615&lt;=1500,INDEX('Daily Sale entry '!$Y$1:$Y$1501,$J2615+1)&amp;"","Buyer cheque banked 买家支票存入"&amp;IF(INDEX('Daily Sale entry '!$U$1:$U$1501,$J2615-1499)="","", " - "&amp;INDEX('Daily Sale entry '!$U$1:$U$1501,$J2615-1499))))</f>
        <v/>
      </c>
      <c r="C2615">
        <f>IF($J2615="","",IF($J2615&lt;=1500,INDEX('Daily Sale entry '!$Z$1:$Z$1501,$J2615+1)&amp;"","Cheque deposit 支票存入 (buyer 买家)"))</f>
        <v/>
      </c>
      <c r="D2615">
        <f>IF($J2615="","",IF($J2615&lt;=1500,INDEX('Daily Sale entry '!$AA$1:$AA$1501,$J2615+1)&amp;"",INDEX('Daily Sale entry '!$P$1:$P$1501,$J2615-1499)&amp;""))</f>
        <v/>
      </c>
      <c r="E2615">
        <f>IF($J2615="","",IF($J2615&lt;=1500,IF(N(INDEX('Daily Sale entry '!$AB$1:$AB$1501,$J2615+1))=0,"",INDEX('Daily Sale entry '!$AB$1:$AB$1501,$J2615+1)),1))</f>
        <v/>
      </c>
      <c r="F2615" s="6">
        <f>IF($J2615="","",IF($J2615&lt;=1500,N(INDEX('Daily Sale entry '!$AC$1:$AC$1501,$J2615+1))-IF(AND('Opening Balance'!$B$15=1,INDEX('Daily Sale entry '!$Z$1:$Z$1501,$J2615+1)="Online collection 网上收款",INDEX('Daily Sale entry '!$AA$1:$AA$1501,$J2615+1)&lt;&gt;""),N(INDEX('Daily Sale entry '!$AC$1:$AC$1501,$J2615+1))-TRUNC(N(INDEX('Daily Sale entry '!$AC$1:$AC$1501,$J2615+1))),0),N(INDEX('Daily Sale entry '!$S$1:$S$1501,$J2615-1499))-'Opening Balance'!$B$15*(N(INDEX('Daily Sale entry '!$S$1:$S$1501,$J2615-1499))-TRUNC(N(INDEX('Daily Sale entry '!$S$1:$S$1501,$J2615-1499))))))</f>
        <v/>
      </c>
      <c r="G2615" s="6">
        <f>IF($J2615="","",IF($J2615&lt;=1500,N(INDEX('Daily Sale entry '!$AD$1:$AD$1501,$J2615+1)),0))</f>
        <v/>
      </c>
      <c r="H2615" s="6">
        <f>IF($J2615="","",ROUND('Opening Balance'!$B$4+SUM($F$2:F2615)-SUM($G$2:G2615),2))</f>
        <v/>
      </c>
      <c r="J2615" s="21">
        <f>IFERROR(MATCH(ROW()-1,$L$2:$L$3001,0),"")</f>
        <v/>
      </c>
      <c r="K2615" s="34">
        <f>IF(AND('Daily Sale entry '!Q1115="Collection 收款",'Daily Sale entry '!R1115="Cheque 支票",'Daily Sale entry '!V1115&lt;&gt;""),'Daily Sale entry '!V1115+ROW()/10000000,"")</f>
        <v/>
      </c>
      <c r="L2615" s="21">
        <f>IF(K2615="","",COUNTIF($K$2:$K$3001,"&lt;"&amp;K2615)+1)</f>
        <v/>
      </c>
    </row>
    <row r="2616">
      <c r="A2616" s="5">
        <f>IF($J2616="","",IF($J2616&lt;=1500,INDEX('Daily Sale entry '!$X$1:$X$1501,$J2616+1),INDEX('Daily Sale entry '!$V$1:$V$1501,$J2616-1499)))</f>
        <v/>
      </c>
      <c r="B2616">
        <f>IF($J2616="","",IF($J2616&lt;=1500,INDEX('Daily Sale entry '!$Y$1:$Y$1501,$J2616+1)&amp;"","Buyer cheque banked 买家支票存入"&amp;IF(INDEX('Daily Sale entry '!$U$1:$U$1501,$J2616-1499)="","", " - "&amp;INDEX('Daily Sale entry '!$U$1:$U$1501,$J2616-1499))))</f>
        <v/>
      </c>
      <c r="C2616">
        <f>IF($J2616="","",IF($J2616&lt;=1500,INDEX('Daily Sale entry '!$Z$1:$Z$1501,$J2616+1)&amp;"","Cheque deposit 支票存入 (buyer 买家)"))</f>
        <v/>
      </c>
      <c r="D2616">
        <f>IF($J2616="","",IF($J2616&lt;=1500,INDEX('Daily Sale entry '!$AA$1:$AA$1501,$J2616+1)&amp;"",INDEX('Daily Sale entry '!$P$1:$P$1501,$J2616-1499)&amp;""))</f>
        <v/>
      </c>
      <c r="E2616">
        <f>IF($J2616="","",IF($J2616&lt;=1500,IF(N(INDEX('Daily Sale entry '!$AB$1:$AB$1501,$J2616+1))=0,"",INDEX('Daily Sale entry '!$AB$1:$AB$1501,$J2616+1)),1))</f>
        <v/>
      </c>
      <c r="F2616" s="6">
        <f>IF($J2616="","",IF($J2616&lt;=1500,N(INDEX('Daily Sale entry '!$AC$1:$AC$1501,$J2616+1))-IF(AND('Opening Balance'!$B$15=1,INDEX('Daily Sale entry '!$Z$1:$Z$1501,$J2616+1)="Online collection 网上收款",INDEX('Daily Sale entry '!$AA$1:$AA$1501,$J2616+1)&lt;&gt;""),N(INDEX('Daily Sale entry '!$AC$1:$AC$1501,$J2616+1))-TRUNC(N(INDEX('Daily Sale entry '!$AC$1:$AC$1501,$J2616+1))),0),N(INDEX('Daily Sale entry '!$S$1:$S$1501,$J2616-1499))-'Opening Balance'!$B$15*(N(INDEX('Daily Sale entry '!$S$1:$S$1501,$J2616-1499))-TRUNC(N(INDEX('Daily Sale entry '!$S$1:$S$1501,$J2616-1499))))))</f>
        <v/>
      </c>
      <c r="G2616" s="6">
        <f>IF($J2616="","",IF($J2616&lt;=1500,N(INDEX('Daily Sale entry '!$AD$1:$AD$1501,$J2616+1)),0))</f>
        <v/>
      </c>
      <c r="H2616" s="6">
        <f>IF($J2616="","",ROUND('Opening Balance'!$B$4+SUM($F$2:F2616)-SUM($G$2:G2616),2))</f>
        <v/>
      </c>
      <c r="J2616" s="21">
        <f>IFERROR(MATCH(ROW()-1,$L$2:$L$3001,0),"")</f>
        <v/>
      </c>
      <c r="K2616" s="34">
        <f>IF(AND('Daily Sale entry '!Q1116="Collection 收款",'Daily Sale entry '!R1116="Cheque 支票",'Daily Sale entry '!V1116&lt;&gt;""),'Daily Sale entry '!V1116+ROW()/10000000,"")</f>
        <v/>
      </c>
      <c r="L2616" s="21">
        <f>IF(K2616="","",COUNTIF($K$2:$K$3001,"&lt;"&amp;K2616)+1)</f>
        <v/>
      </c>
    </row>
    <row r="2617">
      <c r="A2617" s="5">
        <f>IF($J2617="","",IF($J2617&lt;=1500,INDEX('Daily Sale entry '!$X$1:$X$1501,$J2617+1),INDEX('Daily Sale entry '!$V$1:$V$1501,$J2617-1499)))</f>
        <v/>
      </c>
      <c r="B2617">
        <f>IF($J2617="","",IF($J2617&lt;=1500,INDEX('Daily Sale entry '!$Y$1:$Y$1501,$J2617+1)&amp;"","Buyer cheque banked 买家支票存入"&amp;IF(INDEX('Daily Sale entry '!$U$1:$U$1501,$J2617-1499)="","", " - "&amp;INDEX('Daily Sale entry '!$U$1:$U$1501,$J2617-1499))))</f>
        <v/>
      </c>
      <c r="C2617">
        <f>IF($J2617="","",IF($J2617&lt;=1500,INDEX('Daily Sale entry '!$Z$1:$Z$1501,$J2617+1)&amp;"","Cheque deposit 支票存入 (buyer 买家)"))</f>
        <v/>
      </c>
      <c r="D2617">
        <f>IF($J2617="","",IF($J2617&lt;=1500,INDEX('Daily Sale entry '!$AA$1:$AA$1501,$J2617+1)&amp;"",INDEX('Daily Sale entry '!$P$1:$P$1501,$J2617-1499)&amp;""))</f>
        <v/>
      </c>
      <c r="E2617">
        <f>IF($J2617="","",IF($J2617&lt;=1500,IF(N(INDEX('Daily Sale entry '!$AB$1:$AB$1501,$J2617+1))=0,"",INDEX('Daily Sale entry '!$AB$1:$AB$1501,$J2617+1)),1))</f>
        <v/>
      </c>
      <c r="F2617" s="6">
        <f>IF($J2617="","",IF($J2617&lt;=1500,N(INDEX('Daily Sale entry '!$AC$1:$AC$1501,$J2617+1))-IF(AND('Opening Balance'!$B$15=1,INDEX('Daily Sale entry '!$Z$1:$Z$1501,$J2617+1)="Online collection 网上收款",INDEX('Daily Sale entry '!$AA$1:$AA$1501,$J2617+1)&lt;&gt;""),N(INDEX('Daily Sale entry '!$AC$1:$AC$1501,$J2617+1))-TRUNC(N(INDEX('Daily Sale entry '!$AC$1:$AC$1501,$J2617+1))),0),N(INDEX('Daily Sale entry '!$S$1:$S$1501,$J2617-1499))-'Opening Balance'!$B$15*(N(INDEX('Daily Sale entry '!$S$1:$S$1501,$J2617-1499))-TRUNC(N(INDEX('Daily Sale entry '!$S$1:$S$1501,$J2617-1499))))))</f>
        <v/>
      </c>
      <c r="G2617" s="6">
        <f>IF($J2617="","",IF($J2617&lt;=1500,N(INDEX('Daily Sale entry '!$AD$1:$AD$1501,$J2617+1)),0))</f>
        <v/>
      </c>
      <c r="H2617" s="6">
        <f>IF($J2617="","",ROUND('Opening Balance'!$B$4+SUM($F$2:F2617)-SUM($G$2:G2617),2))</f>
        <v/>
      </c>
      <c r="J2617" s="21">
        <f>IFERROR(MATCH(ROW()-1,$L$2:$L$3001,0),"")</f>
        <v/>
      </c>
      <c r="K2617" s="34">
        <f>IF(AND('Daily Sale entry '!Q1117="Collection 收款",'Daily Sale entry '!R1117="Cheque 支票",'Daily Sale entry '!V1117&lt;&gt;""),'Daily Sale entry '!V1117+ROW()/10000000,"")</f>
        <v/>
      </c>
      <c r="L2617" s="21">
        <f>IF(K2617="","",COUNTIF($K$2:$K$3001,"&lt;"&amp;K2617)+1)</f>
        <v/>
      </c>
    </row>
    <row r="2618">
      <c r="A2618" s="5">
        <f>IF($J2618="","",IF($J2618&lt;=1500,INDEX('Daily Sale entry '!$X$1:$X$1501,$J2618+1),INDEX('Daily Sale entry '!$V$1:$V$1501,$J2618-1499)))</f>
        <v/>
      </c>
      <c r="B2618">
        <f>IF($J2618="","",IF($J2618&lt;=1500,INDEX('Daily Sale entry '!$Y$1:$Y$1501,$J2618+1)&amp;"","Buyer cheque banked 买家支票存入"&amp;IF(INDEX('Daily Sale entry '!$U$1:$U$1501,$J2618-1499)="","", " - "&amp;INDEX('Daily Sale entry '!$U$1:$U$1501,$J2618-1499))))</f>
        <v/>
      </c>
      <c r="C2618">
        <f>IF($J2618="","",IF($J2618&lt;=1500,INDEX('Daily Sale entry '!$Z$1:$Z$1501,$J2618+1)&amp;"","Cheque deposit 支票存入 (buyer 买家)"))</f>
        <v/>
      </c>
      <c r="D2618">
        <f>IF($J2618="","",IF($J2618&lt;=1500,INDEX('Daily Sale entry '!$AA$1:$AA$1501,$J2618+1)&amp;"",INDEX('Daily Sale entry '!$P$1:$P$1501,$J2618-1499)&amp;""))</f>
        <v/>
      </c>
      <c r="E2618">
        <f>IF($J2618="","",IF($J2618&lt;=1500,IF(N(INDEX('Daily Sale entry '!$AB$1:$AB$1501,$J2618+1))=0,"",INDEX('Daily Sale entry '!$AB$1:$AB$1501,$J2618+1)),1))</f>
        <v/>
      </c>
      <c r="F2618" s="6">
        <f>IF($J2618="","",IF($J2618&lt;=1500,N(INDEX('Daily Sale entry '!$AC$1:$AC$1501,$J2618+1))-IF(AND('Opening Balance'!$B$15=1,INDEX('Daily Sale entry '!$Z$1:$Z$1501,$J2618+1)="Online collection 网上收款",INDEX('Daily Sale entry '!$AA$1:$AA$1501,$J2618+1)&lt;&gt;""),N(INDEX('Daily Sale entry '!$AC$1:$AC$1501,$J2618+1))-TRUNC(N(INDEX('Daily Sale entry '!$AC$1:$AC$1501,$J2618+1))),0),N(INDEX('Daily Sale entry '!$S$1:$S$1501,$J2618-1499))-'Opening Balance'!$B$15*(N(INDEX('Daily Sale entry '!$S$1:$S$1501,$J2618-1499))-TRUNC(N(INDEX('Daily Sale entry '!$S$1:$S$1501,$J2618-1499))))))</f>
        <v/>
      </c>
      <c r="G2618" s="6">
        <f>IF($J2618="","",IF($J2618&lt;=1500,N(INDEX('Daily Sale entry '!$AD$1:$AD$1501,$J2618+1)),0))</f>
        <v/>
      </c>
      <c r="H2618" s="6">
        <f>IF($J2618="","",ROUND('Opening Balance'!$B$4+SUM($F$2:F2618)-SUM($G$2:G2618),2))</f>
        <v/>
      </c>
      <c r="J2618" s="21">
        <f>IFERROR(MATCH(ROW()-1,$L$2:$L$3001,0),"")</f>
        <v/>
      </c>
      <c r="K2618" s="34">
        <f>IF(AND('Daily Sale entry '!Q1118="Collection 收款",'Daily Sale entry '!R1118="Cheque 支票",'Daily Sale entry '!V1118&lt;&gt;""),'Daily Sale entry '!V1118+ROW()/10000000,"")</f>
        <v/>
      </c>
      <c r="L2618" s="21">
        <f>IF(K2618="","",COUNTIF($K$2:$K$3001,"&lt;"&amp;K2618)+1)</f>
        <v/>
      </c>
    </row>
    <row r="2619">
      <c r="A2619" s="5">
        <f>IF($J2619="","",IF($J2619&lt;=1500,INDEX('Daily Sale entry '!$X$1:$X$1501,$J2619+1),INDEX('Daily Sale entry '!$V$1:$V$1501,$J2619-1499)))</f>
        <v/>
      </c>
      <c r="B2619">
        <f>IF($J2619="","",IF($J2619&lt;=1500,INDEX('Daily Sale entry '!$Y$1:$Y$1501,$J2619+1)&amp;"","Buyer cheque banked 买家支票存入"&amp;IF(INDEX('Daily Sale entry '!$U$1:$U$1501,$J2619-1499)="","", " - "&amp;INDEX('Daily Sale entry '!$U$1:$U$1501,$J2619-1499))))</f>
        <v/>
      </c>
      <c r="C2619">
        <f>IF($J2619="","",IF($J2619&lt;=1500,INDEX('Daily Sale entry '!$Z$1:$Z$1501,$J2619+1)&amp;"","Cheque deposit 支票存入 (buyer 买家)"))</f>
        <v/>
      </c>
      <c r="D2619">
        <f>IF($J2619="","",IF($J2619&lt;=1500,INDEX('Daily Sale entry '!$AA$1:$AA$1501,$J2619+1)&amp;"",INDEX('Daily Sale entry '!$P$1:$P$1501,$J2619-1499)&amp;""))</f>
        <v/>
      </c>
      <c r="E2619">
        <f>IF($J2619="","",IF($J2619&lt;=1500,IF(N(INDEX('Daily Sale entry '!$AB$1:$AB$1501,$J2619+1))=0,"",INDEX('Daily Sale entry '!$AB$1:$AB$1501,$J2619+1)),1))</f>
        <v/>
      </c>
      <c r="F2619" s="6">
        <f>IF($J2619="","",IF($J2619&lt;=1500,N(INDEX('Daily Sale entry '!$AC$1:$AC$1501,$J2619+1))-IF(AND('Opening Balance'!$B$15=1,INDEX('Daily Sale entry '!$Z$1:$Z$1501,$J2619+1)="Online collection 网上收款",INDEX('Daily Sale entry '!$AA$1:$AA$1501,$J2619+1)&lt;&gt;""),N(INDEX('Daily Sale entry '!$AC$1:$AC$1501,$J2619+1))-TRUNC(N(INDEX('Daily Sale entry '!$AC$1:$AC$1501,$J2619+1))),0),N(INDEX('Daily Sale entry '!$S$1:$S$1501,$J2619-1499))-'Opening Balance'!$B$15*(N(INDEX('Daily Sale entry '!$S$1:$S$1501,$J2619-1499))-TRUNC(N(INDEX('Daily Sale entry '!$S$1:$S$1501,$J2619-1499))))))</f>
        <v/>
      </c>
      <c r="G2619" s="6">
        <f>IF($J2619="","",IF($J2619&lt;=1500,N(INDEX('Daily Sale entry '!$AD$1:$AD$1501,$J2619+1)),0))</f>
        <v/>
      </c>
      <c r="H2619" s="6">
        <f>IF($J2619="","",ROUND('Opening Balance'!$B$4+SUM($F$2:F2619)-SUM($G$2:G2619),2))</f>
        <v/>
      </c>
      <c r="J2619" s="21">
        <f>IFERROR(MATCH(ROW()-1,$L$2:$L$3001,0),"")</f>
        <v/>
      </c>
      <c r="K2619" s="34">
        <f>IF(AND('Daily Sale entry '!Q1119="Collection 收款",'Daily Sale entry '!R1119="Cheque 支票",'Daily Sale entry '!V1119&lt;&gt;""),'Daily Sale entry '!V1119+ROW()/10000000,"")</f>
        <v/>
      </c>
      <c r="L2619" s="21">
        <f>IF(K2619="","",COUNTIF($K$2:$K$3001,"&lt;"&amp;K2619)+1)</f>
        <v/>
      </c>
    </row>
    <row r="2620">
      <c r="A2620" s="5">
        <f>IF($J2620="","",IF($J2620&lt;=1500,INDEX('Daily Sale entry '!$X$1:$X$1501,$J2620+1),INDEX('Daily Sale entry '!$V$1:$V$1501,$J2620-1499)))</f>
        <v/>
      </c>
      <c r="B2620">
        <f>IF($J2620="","",IF($J2620&lt;=1500,INDEX('Daily Sale entry '!$Y$1:$Y$1501,$J2620+1)&amp;"","Buyer cheque banked 买家支票存入"&amp;IF(INDEX('Daily Sale entry '!$U$1:$U$1501,$J2620-1499)="","", " - "&amp;INDEX('Daily Sale entry '!$U$1:$U$1501,$J2620-1499))))</f>
        <v/>
      </c>
      <c r="C2620">
        <f>IF($J2620="","",IF($J2620&lt;=1500,INDEX('Daily Sale entry '!$Z$1:$Z$1501,$J2620+1)&amp;"","Cheque deposit 支票存入 (buyer 买家)"))</f>
        <v/>
      </c>
      <c r="D2620">
        <f>IF($J2620="","",IF($J2620&lt;=1500,INDEX('Daily Sale entry '!$AA$1:$AA$1501,$J2620+1)&amp;"",INDEX('Daily Sale entry '!$P$1:$P$1501,$J2620-1499)&amp;""))</f>
        <v/>
      </c>
      <c r="E2620">
        <f>IF($J2620="","",IF($J2620&lt;=1500,IF(N(INDEX('Daily Sale entry '!$AB$1:$AB$1501,$J2620+1))=0,"",INDEX('Daily Sale entry '!$AB$1:$AB$1501,$J2620+1)),1))</f>
        <v/>
      </c>
      <c r="F2620" s="6">
        <f>IF($J2620="","",IF($J2620&lt;=1500,N(INDEX('Daily Sale entry '!$AC$1:$AC$1501,$J2620+1))-IF(AND('Opening Balance'!$B$15=1,INDEX('Daily Sale entry '!$Z$1:$Z$1501,$J2620+1)="Online collection 网上收款",INDEX('Daily Sale entry '!$AA$1:$AA$1501,$J2620+1)&lt;&gt;""),N(INDEX('Daily Sale entry '!$AC$1:$AC$1501,$J2620+1))-TRUNC(N(INDEX('Daily Sale entry '!$AC$1:$AC$1501,$J2620+1))),0),N(INDEX('Daily Sale entry '!$S$1:$S$1501,$J2620-1499))-'Opening Balance'!$B$15*(N(INDEX('Daily Sale entry '!$S$1:$S$1501,$J2620-1499))-TRUNC(N(INDEX('Daily Sale entry '!$S$1:$S$1501,$J2620-1499))))))</f>
        <v/>
      </c>
      <c r="G2620" s="6">
        <f>IF($J2620="","",IF($J2620&lt;=1500,N(INDEX('Daily Sale entry '!$AD$1:$AD$1501,$J2620+1)),0))</f>
        <v/>
      </c>
      <c r="H2620" s="6">
        <f>IF($J2620="","",ROUND('Opening Balance'!$B$4+SUM($F$2:F2620)-SUM($G$2:G2620),2))</f>
        <v/>
      </c>
      <c r="J2620" s="21">
        <f>IFERROR(MATCH(ROW()-1,$L$2:$L$3001,0),"")</f>
        <v/>
      </c>
      <c r="K2620" s="34">
        <f>IF(AND('Daily Sale entry '!Q1120="Collection 收款",'Daily Sale entry '!R1120="Cheque 支票",'Daily Sale entry '!V1120&lt;&gt;""),'Daily Sale entry '!V1120+ROW()/10000000,"")</f>
        <v/>
      </c>
      <c r="L2620" s="21">
        <f>IF(K2620="","",COUNTIF($K$2:$K$3001,"&lt;"&amp;K2620)+1)</f>
        <v/>
      </c>
    </row>
    <row r="2621">
      <c r="A2621" s="5">
        <f>IF($J2621="","",IF($J2621&lt;=1500,INDEX('Daily Sale entry '!$X$1:$X$1501,$J2621+1),INDEX('Daily Sale entry '!$V$1:$V$1501,$J2621-1499)))</f>
        <v/>
      </c>
      <c r="B2621">
        <f>IF($J2621="","",IF($J2621&lt;=1500,INDEX('Daily Sale entry '!$Y$1:$Y$1501,$J2621+1)&amp;"","Buyer cheque banked 买家支票存入"&amp;IF(INDEX('Daily Sale entry '!$U$1:$U$1501,$J2621-1499)="","", " - "&amp;INDEX('Daily Sale entry '!$U$1:$U$1501,$J2621-1499))))</f>
        <v/>
      </c>
      <c r="C2621">
        <f>IF($J2621="","",IF($J2621&lt;=1500,INDEX('Daily Sale entry '!$Z$1:$Z$1501,$J2621+1)&amp;"","Cheque deposit 支票存入 (buyer 买家)"))</f>
        <v/>
      </c>
      <c r="D2621">
        <f>IF($J2621="","",IF($J2621&lt;=1500,INDEX('Daily Sale entry '!$AA$1:$AA$1501,$J2621+1)&amp;"",INDEX('Daily Sale entry '!$P$1:$P$1501,$J2621-1499)&amp;""))</f>
        <v/>
      </c>
      <c r="E2621">
        <f>IF($J2621="","",IF($J2621&lt;=1500,IF(N(INDEX('Daily Sale entry '!$AB$1:$AB$1501,$J2621+1))=0,"",INDEX('Daily Sale entry '!$AB$1:$AB$1501,$J2621+1)),1))</f>
        <v/>
      </c>
      <c r="F2621" s="6">
        <f>IF($J2621="","",IF($J2621&lt;=1500,N(INDEX('Daily Sale entry '!$AC$1:$AC$1501,$J2621+1))-IF(AND('Opening Balance'!$B$15=1,INDEX('Daily Sale entry '!$Z$1:$Z$1501,$J2621+1)="Online collection 网上收款",INDEX('Daily Sale entry '!$AA$1:$AA$1501,$J2621+1)&lt;&gt;""),N(INDEX('Daily Sale entry '!$AC$1:$AC$1501,$J2621+1))-TRUNC(N(INDEX('Daily Sale entry '!$AC$1:$AC$1501,$J2621+1))),0),N(INDEX('Daily Sale entry '!$S$1:$S$1501,$J2621-1499))-'Opening Balance'!$B$15*(N(INDEX('Daily Sale entry '!$S$1:$S$1501,$J2621-1499))-TRUNC(N(INDEX('Daily Sale entry '!$S$1:$S$1501,$J2621-1499))))))</f>
        <v/>
      </c>
      <c r="G2621" s="6">
        <f>IF($J2621="","",IF($J2621&lt;=1500,N(INDEX('Daily Sale entry '!$AD$1:$AD$1501,$J2621+1)),0))</f>
        <v/>
      </c>
      <c r="H2621" s="6">
        <f>IF($J2621="","",ROUND('Opening Balance'!$B$4+SUM($F$2:F2621)-SUM($G$2:G2621),2))</f>
        <v/>
      </c>
      <c r="J2621" s="21">
        <f>IFERROR(MATCH(ROW()-1,$L$2:$L$3001,0),"")</f>
        <v/>
      </c>
      <c r="K2621" s="34">
        <f>IF(AND('Daily Sale entry '!Q1121="Collection 收款",'Daily Sale entry '!R1121="Cheque 支票",'Daily Sale entry '!V1121&lt;&gt;""),'Daily Sale entry '!V1121+ROW()/10000000,"")</f>
        <v/>
      </c>
      <c r="L2621" s="21">
        <f>IF(K2621="","",COUNTIF($K$2:$K$3001,"&lt;"&amp;K2621)+1)</f>
        <v/>
      </c>
    </row>
    <row r="2622">
      <c r="A2622" s="5">
        <f>IF($J2622="","",IF($J2622&lt;=1500,INDEX('Daily Sale entry '!$X$1:$X$1501,$J2622+1),INDEX('Daily Sale entry '!$V$1:$V$1501,$J2622-1499)))</f>
        <v/>
      </c>
      <c r="B2622">
        <f>IF($J2622="","",IF($J2622&lt;=1500,INDEX('Daily Sale entry '!$Y$1:$Y$1501,$J2622+1)&amp;"","Buyer cheque banked 买家支票存入"&amp;IF(INDEX('Daily Sale entry '!$U$1:$U$1501,$J2622-1499)="","", " - "&amp;INDEX('Daily Sale entry '!$U$1:$U$1501,$J2622-1499))))</f>
        <v/>
      </c>
      <c r="C2622">
        <f>IF($J2622="","",IF($J2622&lt;=1500,INDEX('Daily Sale entry '!$Z$1:$Z$1501,$J2622+1)&amp;"","Cheque deposit 支票存入 (buyer 买家)"))</f>
        <v/>
      </c>
      <c r="D2622">
        <f>IF($J2622="","",IF($J2622&lt;=1500,INDEX('Daily Sale entry '!$AA$1:$AA$1501,$J2622+1)&amp;"",INDEX('Daily Sale entry '!$P$1:$P$1501,$J2622-1499)&amp;""))</f>
        <v/>
      </c>
      <c r="E2622">
        <f>IF($J2622="","",IF($J2622&lt;=1500,IF(N(INDEX('Daily Sale entry '!$AB$1:$AB$1501,$J2622+1))=0,"",INDEX('Daily Sale entry '!$AB$1:$AB$1501,$J2622+1)),1))</f>
        <v/>
      </c>
      <c r="F2622" s="6">
        <f>IF($J2622="","",IF($J2622&lt;=1500,N(INDEX('Daily Sale entry '!$AC$1:$AC$1501,$J2622+1))-IF(AND('Opening Balance'!$B$15=1,INDEX('Daily Sale entry '!$Z$1:$Z$1501,$J2622+1)="Online collection 网上收款",INDEX('Daily Sale entry '!$AA$1:$AA$1501,$J2622+1)&lt;&gt;""),N(INDEX('Daily Sale entry '!$AC$1:$AC$1501,$J2622+1))-TRUNC(N(INDEX('Daily Sale entry '!$AC$1:$AC$1501,$J2622+1))),0),N(INDEX('Daily Sale entry '!$S$1:$S$1501,$J2622-1499))-'Opening Balance'!$B$15*(N(INDEX('Daily Sale entry '!$S$1:$S$1501,$J2622-1499))-TRUNC(N(INDEX('Daily Sale entry '!$S$1:$S$1501,$J2622-1499))))))</f>
        <v/>
      </c>
      <c r="G2622" s="6">
        <f>IF($J2622="","",IF($J2622&lt;=1500,N(INDEX('Daily Sale entry '!$AD$1:$AD$1501,$J2622+1)),0))</f>
        <v/>
      </c>
      <c r="H2622" s="6">
        <f>IF($J2622="","",ROUND('Opening Balance'!$B$4+SUM($F$2:F2622)-SUM($G$2:G2622),2))</f>
        <v/>
      </c>
      <c r="J2622" s="21">
        <f>IFERROR(MATCH(ROW()-1,$L$2:$L$3001,0),"")</f>
        <v/>
      </c>
      <c r="K2622" s="34">
        <f>IF(AND('Daily Sale entry '!Q1122="Collection 收款",'Daily Sale entry '!R1122="Cheque 支票",'Daily Sale entry '!V1122&lt;&gt;""),'Daily Sale entry '!V1122+ROW()/10000000,"")</f>
        <v/>
      </c>
      <c r="L2622" s="21">
        <f>IF(K2622="","",COUNTIF($K$2:$K$3001,"&lt;"&amp;K2622)+1)</f>
        <v/>
      </c>
    </row>
    <row r="2623">
      <c r="A2623" s="5">
        <f>IF($J2623="","",IF($J2623&lt;=1500,INDEX('Daily Sale entry '!$X$1:$X$1501,$J2623+1),INDEX('Daily Sale entry '!$V$1:$V$1501,$J2623-1499)))</f>
        <v/>
      </c>
      <c r="B2623">
        <f>IF($J2623="","",IF($J2623&lt;=1500,INDEX('Daily Sale entry '!$Y$1:$Y$1501,$J2623+1)&amp;"","Buyer cheque banked 买家支票存入"&amp;IF(INDEX('Daily Sale entry '!$U$1:$U$1501,$J2623-1499)="","", " - "&amp;INDEX('Daily Sale entry '!$U$1:$U$1501,$J2623-1499))))</f>
        <v/>
      </c>
      <c r="C2623">
        <f>IF($J2623="","",IF($J2623&lt;=1500,INDEX('Daily Sale entry '!$Z$1:$Z$1501,$J2623+1)&amp;"","Cheque deposit 支票存入 (buyer 买家)"))</f>
        <v/>
      </c>
      <c r="D2623">
        <f>IF($J2623="","",IF($J2623&lt;=1500,INDEX('Daily Sale entry '!$AA$1:$AA$1501,$J2623+1)&amp;"",INDEX('Daily Sale entry '!$P$1:$P$1501,$J2623-1499)&amp;""))</f>
        <v/>
      </c>
      <c r="E2623">
        <f>IF($J2623="","",IF($J2623&lt;=1500,IF(N(INDEX('Daily Sale entry '!$AB$1:$AB$1501,$J2623+1))=0,"",INDEX('Daily Sale entry '!$AB$1:$AB$1501,$J2623+1)),1))</f>
        <v/>
      </c>
      <c r="F2623" s="6">
        <f>IF($J2623="","",IF($J2623&lt;=1500,N(INDEX('Daily Sale entry '!$AC$1:$AC$1501,$J2623+1))-IF(AND('Opening Balance'!$B$15=1,INDEX('Daily Sale entry '!$Z$1:$Z$1501,$J2623+1)="Online collection 网上收款",INDEX('Daily Sale entry '!$AA$1:$AA$1501,$J2623+1)&lt;&gt;""),N(INDEX('Daily Sale entry '!$AC$1:$AC$1501,$J2623+1))-TRUNC(N(INDEX('Daily Sale entry '!$AC$1:$AC$1501,$J2623+1))),0),N(INDEX('Daily Sale entry '!$S$1:$S$1501,$J2623-1499))-'Opening Balance'!$B$15*(N(INDEX('Daily Sale entry '!$S$1:$S$1501,$J2623-1499))-TRUNC(N(INDEX('Daily Sale entry '!$S$1:$S$1501,$J2623-1499))))))</f>
        <v/>
      </c>
      <c r="G2623" s="6">
        <f>IF($J2623="","",IF($J2623&lt;=1500,N(INDEX('Daily Sale entry '!$AD$1:$AD$1501,$J2623+1)),0))</f>
        <v/>
      </c>
      <c r="H2623" s="6">
        <f>IF($J2623="","",ROUND('Opening Balance'!$B$4+SUM($F$2:F2623)-SUM($G$2:G2623),2))</f>
        <v/>
      </c>
      <c r="J2623" s="21">
        <f>IFERROR(MATCH(ROW()-1,$L$2:$L$3001,0),"")</f>
        <v/>
      </c>
      <c r="K2623" s="34">
        <f>IF(AND('Daily Sale entry '!Q1123="Collection 收款",'Daily Sale entry '!R1123="Cheque 支票",'Daily Sale entry '!V1123&lt;&gt;""),'Daily Sale entry '!V1123+ROW()/10000000,"")</f>
        <v/>
      </c>
      <c r="L2623" s="21">
        <f>IF(K2623="","",COUNTIF($K$2:$K$3001,"&lt;"&amp;K2623)+1)</f>
        <v/>
      </c>
    </row>
    <row r="2624">
      <c r="A2624" s="5">
        <f>IF($J2624="","",IF($J2624&lt;=1500,INDEX('Daily Sale entry '!$X$1:$X$1501,$J2624+1),INDEX('Daily Sale entry '!$V$1:$V$1501,$J2624-1499)))</f>
        <v/>
      </c>
      <c r="B2624">
        <f>IF($J2624="","",IF($J2624&lt;=1500,INDEX('Daily Sale entry '!$Y$1:$Y$1501,$J2624+1)&amp;"","Buyer cheque banked 买家支票存入"&amp;IF(INDEX('Daily Sale entry '!$U$1:$U$1501,$J2624-1499)="","", " - "&amp;INDEX('Daily Sale entry '!$U$1:$U$1501,$J2624-1499))))</f>
        <v/>
      </c>
      <c r="C2624">
        <f>IF($J2624="","",IF($J2624&lt;=1500,INDEX('Daily Sale entry '!$Z$1:$Z$1501,$J2624+1)&amp;"","Cheque deposit 支票存入 (buyer 买家)"))</f>
        <v/>
      </c>
      <c r="D2624">
        <f>IF($J2624="","",IF($J2624&lt;=1500,INDEX('Daily Sale entry '!$AA$1:$AA$1501,$J2624+1)&amp;"",INDEX('Daily Sale entry '!$P$1:$P$1501,$J2624-1499)&amp;""))</f>
        <v/>
      </c>
      <c r="E2624">
        <f>IF($J2624="","",IF($J2624&lt;=1500,IF(N(INDEX('Daily Sale entry '!$AB$1:$AB$1501,$J2624+1))=0,"",INDEX('Daily Sale entry '!$AB$1:$AB$1501,$J2624+1)),1))</f>
        <v/>
      </c>
      <c r="F2624" s="6">
        <f>IF($J2624="","",IF($J2624&lt;=1500,N(INDEX('Daily Sale entry '!$AC$1:$AC$1501,$J2624+1))-IF(AND('Opening Balance'!$B$15=1,INDEX('Daily Sale entry '!$Z$1:$Z$1501,$J2624+1)="Online collection 网上收款",INDEX('Daily Sale entry '!$AA$1:$AA$1501,$J2624+1)&lt;&gt;""),N(INDEX('Daily Sale entry '!$AC$1:$AC$1501,$J2624+1))-TRUNC(N(INDEX('Daily Sale entry '!$AC$1:$AC$1501,$J2624+1))),0),N(INDEX('Daily Sale entry '!$S$1:$S$1501,$J2624-1499))-'Opening Balance'!$B$15*(N(INDEX('Daily Sale entry '!$S$1:$S$1501,$J2624-1499))-TRUNC(N(INDEX('Daily Sale entry '!$S$1:$S$1501,$J2624-1499))))))</f>
        <v/>
      </c>
      <c r="G2624" s="6">
        <f>IF($J2624="","",IF($J2624&lt;=1500,N(INDEX('Daily Sale entry '!$AD$1:$AD$1501,$J2624+1)),0))</f>
        <v/>
      </c>
      <c r="H2624" s="6">
        <f>IF($J2624="","",ROUND('Opening Balance'!$B$4+SUM($F$2:F2624)-SUM($G$2:G2624),2))</f>
        <v/>
      </c>
      <c r="J2624" s="21">
        <f>IFERROR(MATCH(ROW()-1,$L$2:$L$3001,0),"")</f>
        <v/>
      </c>
      <c r="K2624" s="34">
        <f>IF(AND('Daily Sale entry '!Q1124="Collection 收款",'Daily Sale entry '!R1124="Cheque 支票",'Daily Sale entry '!V1124&lt;&gt;""),'Daily Sale entry '!V1124+ROW()/10000000,"")</f>
        <v/>
      </c>
      <c r="L2624" s="21">
        <f>IF(K2624="","",COUNTIF($K$2:$K$3001,"&lt;"&amp;K2624)+1)</f>
        <v/>
      </c>
    </row>
    <row r="2625">
      <c r="A2625" s="5">
        <f>IF($J2625="","",IF($J2625&lt;=1500,INDEX('Daily Sale entry '!$X$1:$X$1501,$J2625+1),INDEX('Daily Sale entry '!$V$1:$V$1501,$J2625-1499)))</f>
        <v/>
      </c>
      <c r="B2625">
        <f>IF($J2625="","",IF($J2625&lt;=1500,INDEX('Daily Sale entry '!$Y$1:$Y$1501,$J2625+1)&amp;"","Buyer cheque banked 买家支票存入"&amp;IF(INDEX('Daily Sale entry '!$U$1:$U$1501,$J2625-1499)="","", " - "&amp;INDEX('Daily Sale entry '!$U$1:$U$1501,$J2625-1499))))</f>
        <v/>
      </c>
      <c r="C2625">
        <f>IF($J2625="","",IF($J2625&lt;=1500,INDEX('Daily Sale entry '!$Z$1:$Z$1501,$J2625+1)&amp;"","Cheque deposit 支票存入 (buyer 买家)"))</f>
        <v/>
      </c>
      <c r="D2625">
        <f>IF($J2625="","",IF($J2625&lt;=1500,INDEX('Daily Sale entry '!$AA$1:$AA$1501,$J2625+1)&amp;"",INDEX('Daily Sale entry '!$P$1:$P$1501,$J2625-1499)&amp;""))</f>
        <v/>
      </c>
      <c r="E2625">
        <f>IF($J2625="","",IF($J2625&lt;=1500,IF(N(INDEX('Daily Sale entry '!$AB$1:$AB$1501,$J2625+1))=0,"",INDEX('Daily Sale entry '!$AB$1:$AB$1501,$J2625+1)),1))</f>
        <v/>
      </c>
      <c r="F2625" s="6">
        <f>IF($J2625="","",IF($J2625&lt;=1500,N(INDEX('Daily Sale entry '!$AC$1:$AC$1501,$J2625+1))-IF(AND('Opening Balance'!$B$15=1,INDEX('Daily Sale entry '!$Z$1:$Z$1501,$J2625+1)="Online collection 网上收款",INDEX('Daily Sale entry '!$AA$1:$AA$1501,$J2625+1)&lt;&gt;""),N(INDEX('Daily Sale entry '!$AC$1:$AC$1501,$J2625+1))-TRUNC(N(INDEX('Daily Sale entry '!$AC$1:$AC$1501,$J2625+1))),0),N(INDEX('Daily Sale entry '!$S$1:$S$1501,$J2625-1499))-'Opening Balance'!$B$15*(N(INDEX('Daily Sale entry '!$S$1:$S$1501,$J2625-1499))-TRUNC(N(INDEX('Daily Sale entry '!$S$1:$S$1501,$J2625-1499))))))</f>
        <v/>
      </c>
      <c r="G2625" s="6">
        <f>IF($J2625="","",IF($J2625&lt;=1500,N(INDEX('Daily Sale entry '!$AD$1:$AD$1501,$J2625+1)),0))</f>
        <v/>
      </c>
      <c r="H2625" s="6">
        <f>IF($J2625="","",ROUND('Opening Balance'!$B$4+SUM($F$2:F2625)-SUM($G$2:G2625),2))</f>
        <v/>
      </c>
      <c r="J2625" s="21">
        <f>IFERROR(MATCH(ROW()-1,$L$2:$L$3001,0),"")</f>
        <v/>
      </c>
      <c r="K2625" s="34">
        <f>IF(AND('Daily Sale entry '!Q1125="Collection 收款",'Daily Sale entry '!R1125="Cheque 支票",'Daily Sale entry '!V1125&lt;&gt;""),'Daily Sale entry '!V1125+ROW()/10000000,"")</f>
        <v/>
      </c>
      <c r="L2625" s="21">
        <f>IF(K2625="","",COUNTIF($K$2:$K$3001,"&lt;"&amp;K2625)+1)</f>
        <v/>
      </c>
    </row>
    <row r="2626">
      <c r="A2626" s="5">
        <f>IF($J2626="","",IF($J2626&lt;=1500,INDEX('Daily Sale entry '!$X$1:$X$1501,$J2626+1),INDEX('Daily Sale entry '!$V$1:$V$1501,$J2626-1499)))</f>
        <v/>
      </c>
      <c r="B2626">
        <f>IF($J2626="","",IF($J2626&lt;=1500,INDEX('Daily Sale entry '!$Y$1:$Y$1501,$J2626+1)&amp;"","Buyer cheque banked 买家支票存入"&amp;IF(INDEX('Daily Sale entry '!$U$1:$U$1501,$J2626-1499)="","", " - "&amp;INDEX('Daily Sale entry '!$U$1:$U$1501,$J2626-1499))))</f>
        <v/>
      </c>
      <c r="C2626">
        <f>IF($J2626="","",IF($J2626&lt;=1500,INDEX('Daily Sale entry '!$Z$1:$Z$1501,$J2626+1)&amp;"","Cheque deposit 支票存入 (buyer 买家)"))</f>
        <v/>
      </c>
      <c r="D2626">
        <f>IF($J2626="","",IF($J2626&lt;=1500,INDEX('Daily Sale entry '!$AA$1:$AA$1501,$J2626+1)&amp;"",INDEX('Daily Sale entry '!$P$1:$P$1501,$J2626-1499)&amp;""))</f>
        <v/>
      </c>
      <c r="E2626">
        <f>IF($J2626="","",IF($J2626&lt;=1500,IF(N(INDEX('Daily Sale entry '!$AB$1:$AB$1501,$J2626+1))=0,"",INDEX('Daily Sale entry '!$AB$1:$AB$1501,$J2626+1)),1))</f>
        <v/>
      </c>
      <c r="F2626" s="6">
        <f>IF($J2626="","",IF($J2626&lt;=1500,N(INDEX('Daily Sale entry '!$AC$1:$AC$1501,$J2626+1))-IF(AND('Opening Balance'!$B$15=1,INDEX('Daily Sale entry '!$Z$1:$Z$1501,$J2626+1)="Online collection 网上收款",INDEX('Daily Sale entry '!$AA$1:$AA$1501,$J2626+1)&lt;&gt;""),N(INDEX('Daily Sale entry '!$AC$1:$AC$1501,$J2626+1))-TRUNC(N(INDEX('Daily Sale entry '!$AC$1:$AC$1501,$J2626+1))),0),N(INDEX('Daily Sale entry '!$S$1:$S$1501,$J2626-1499))-'Opening Balance'!$B$15*(N(INDEX('Daily Sale entry '!$S$1:$S$1501,$J2626-1499))-TRUNC(N(INDEX('Daily Sale entry '!$S$1:$S$1501,$J2626-1499))))))</f>
        <v/>
      </c>
      <c r="G2626" s="6">
        <f>IF($J2626="","",IF($J2626&lt;=1500,N(INDEX('Daily Sale entry '!$AD$1:$AD$1501,$J2626+1)),0))</f>
        <v/>
      </c>
      <c r="H2626" s="6">
        <f>IF($J2626="","",ROUND('Opening Balance'!$B$4+SUM($F$2:F2626)-SUM($G$2:G2626),2))</f>
        <v/>
      </c>
      <c r="J2626" s="21">
        <f>IFERROR(MATCH(ROW()-1,$L$2:$L$3001,0),"")</f>
        <v/>
      </c>
      <c r="K2626" s="34">
        <f>IF(AND('Daily Sale entry '!Q1126="Collection 收款",'Daily Sale entry '!R1126="Cheque 支票",'Daily Sale entry '!V1126&lt;&gt;""),'Daily Sale entry '!V1126+ROW()/10000000,"")</f>
        <v/>
      </c>
      <c r="L2626" s="21">
        <f>IF(K2626="","",COUNTIF($K$2:$K$3001,"&lt;"&amp;K2626)+1)</f>
        <v/>
      </c>
    </row>
    <row r="2627">
      <c r="A2627" s="5">
        <f>IF($J2627="","",IF($J2627&lt;=1500,INDEX('Daily Sale entry '!$X$1:$X$1501,$J2627+1),INDEX('Daily Sale entry '!$V$1:$V$1501,$J2627-1499)))</f>
        <v/>
      </c>
      <c r="B2627">
        <f>IF($J2627="","",IF($J2627&lt;=1500,INDEX('Daily Sale entry '!$Y$1:$Y$1501,$J2627+1)&amp;"","Buyer cheque banked 买家支票存入"&amp;IF(INDEX('Daily Sale entry '!$U$1:$U$1501,$J2627-1499)="","", " - "&amp;INDEX('Daily Sale entry '!$U$1:$U$1501,$J2627-1499))))</f>
        <v/>
      </c>
      <c r="C2627">
        <f>IF($J2627="","",IF($J2627&lt;=1500,INDEX('Daily Sale entry '!$Z$1:$Z$1501,$J2627+1)&amp;"","Cheque deposit 支票存入 (buyer 买家)"))</f>
        <v/>
      </c>
      <c r="D2627">
        <f>IF($J2627="","",IF($J2627&lt;=1500,INDEX('Daily Sale entry '!$AA$1:$AA$1501,$J2627+1)&amp;"",INDEX('Daily Sale entry '!$P$1:$P$1501,$J2627-1499)&amp;""))</f>
        <v/>
      </c>
      <c r="E2627">
        <f>IF($J2627="","",IF($J2627&lt;=1500,IF(N(INDEX('Daily Sale entry '!$AB$1:$AB$1501,$J2627+1))=0,"",INDEX('Daily Sale entry '!$AB$1:$AB$1501,$J2627+1)),1))</f>
        <v/>
      </c>
      <c r="F2627" s="6">
        <f>IF($J2627="","",IF($J2627&lt;=1500,N(INDEX('Daily Sale entry '!$AC$1:$AC$1501,$J2627+1))-IF(AND('Opening Balance'!$B$15=1,INDEX('Daily Sale entry '!$Z$1:$Z$1501,$J2627+1)="Online collection 网上收款",INDEX('Daily Sale entry '!$AA$1:$AA$1501,$J2627+1)&lt;&gt;""),N(INDEX('Daily Sale entry '!$AC$1:$AC$1501,$J2627+1))-TRUNC(N(INDEX('Daily Sale entry '!$AC$1:$AC$1501,$J2627+1))),0),N(INDEX('Daily Sale entry '!$S$1:$S$1501,$J2627-1499))-'Opening Balance'!$B$15*(N(INDEX('Daily Sale entry '!$S$1:$S$1501,$J2627-1499))-TRUNC(N(INDEX('Daily Sale entry '!$S$1:$S$1501,$J2627-1499))))))</f>
        <v/>
      </c>
      <c r="G2627" s="6">
        <f>IF($J2627="","",IF($J2627&lt;=1500,N(INDEX('Daily Sale entry '!$AD$1:$AD$1501,$J2627+1)),0))</f>
        <v/>
      </c>
      <c r="H2627" s="6">
        <f>IF($J2627="","",ROUND('Opening Balance'!$B$4+SUM($F$2:F2627)-SUM($G$2:G2627),2))</f>
        <v/>
      </c>
      <c r="J2627" s="21">
        <f>IFERROR(MATCH(ROW()-1,$L$2:$L$3001,0),"")</f>
        <v/>
      </c>
      <c r="K2627" s="34">
        <f>IF(AND('Daily Sale entry '!Q1127="Collection 收款",'Daily Sale entry '!R1127="Cheque 支票",'Daily Sale entry '!V1127&lt;&gt;""),'Daily Sale entry '!V1127+ROW()/10000000,"")</f>
        <v/>
      </c>
      <c r="L2627" s="21">
        <f>IF(K2627="","",COUNTIF($K$2:$K$3001,"&lt;"&amp;K2627)+1)</f>
        <v/>
      </c>
    </row>
    <row r="2628">
      <c r="A2628" s="5">
        <f>IF($J2628="","",IF($J2628&lt;=1500,INDEX('Daily Sale entry '!$X$1:$X$1501,$J2628+1),INDEX('Daily Sale entry '!$V$1:$V$1501,$J2628-1499)))</f>
        <v/>
      </c>
      <c r="B2628">
        <f>IF($J2628="","",IF($J2628&lt;=1500,INDEX('Daily Sale entry '!$Y$1:$Y$1501,$J2628+1)&amp;"","Buyer cheque banked 买家支票存入"&amp;IF(INDEX('Daily Sale entry '!$U$1:$U$1501,$J2628-1499)="","", " - "&amp;INDEX('Daily Sale entry '!$U$1:$U$1501,$J2628-1499))))</f>
        <v/>
      </c>
      <c r="C2628">
        <f>IF($J2628="","",IF($J2628&lt;=1500,INDEX('Daily Sale entry '!$Z$1:$Z$1501,$J2628+1)&amp;"","Cheque deposit 支票存入 (buyer 买家)"))</f>
        <v/>
      </c>
      <c r="D2628">
        <f>IF($J2628="","",IF($J2628&lt;=1500,INDEX('Daily Sale entry '!$AA$1:$AA$1501,$J2628+1)&amp;"",INDEX('Daily Sale entry '!$P$1:$P$1501,$J2628-1499)&amp;""))</f>
        <v/>
      </c>
      <c r="E2628">
        <f>IF($J2628="","",IF($J2628&lt;=1500,IF(N(INDEX('Daily Sale entry '!$AB$1:$AB$1501,$J2628+1))=0,"",INDEX('Daily Sale entry '!$AB$1:$AB$1501,$J2628+1)),1))</f>
        <v/>
      </c>
      <c r="F2628" s="6">
        <f>IF($J2628="","",IF($J2628&lt;=1500,N(INDEX('Daily Sale entry '!$AC$1:$AC$1501,$J2628+1))-IF(AND('Opening Balance'!$B$15=1,INDEX('Daily Sale entry '!$Z$1:$Z$1501,$J2628+1)="Online collection 网上收款",INDEX('Daily Sale entry '!$AA$1:$AA$1501,$J2628+1)&lt;&gt;""),N(INDEX('Daily Sale entry '!$AC$1:$AC$1501,$J2628+1))-TRUNC(N(INDEX('Daily Sale entry '!$AC$1:$AC$1501,$J2628+1))),0),N(INDEX('Daily Sale entry '!$S$1:$S$1501,$J2628-1499))-'Opening Balance'!$B$15*(N(INDEX('Daily Sale entry '!$S$1:$S$1501,$J2628-1499))-TRUNC(N(INDEX('Daily Sale entry '!$S$1:$S$1501,$J2628-1499))))))</f>
        <v/>
      </c>
      <c r="G2628" s="6">
        <f>IF($J2628="","",IF($J2628&lt;=1500,N(INDEX('Daily Sale entry '!$AD$1:$AD$1501,$J2628+1)),0))</f>
        <v/>
      </c>
      <c r="H2628" s="6">
        <f>IF($J2628="","",ROUND('Opening Balance'!$B$4+SUM($F$2:F2628)-SUM($G$2:G2628),2))</f>
        <v/>
      </c>
      <c r="J2628" s="21">
        <f>IFERROR(MATCH(ROW()-1,$L$2:$L$3001,0),"")</f>
        <v/>
      </c>
      <c r="K2628" s="34">
        <f>IF(AND('Daily Sale entry '!Q1128="Collection 收款",'Daily Sale entry '!R1128="Cheque 支票",'Daily Sale entry '!V1128&lt;&gt;""),'Daily Sale entry '!V1128+ROW()/10000000,"")</f>
        <v/>
      </c>
      <c r="L2628" s="21">
        <f>IF(K2628="","",COUNTIF($K$2:$K$3001,"&lt;"&amp;K2628)+1)</f>
        <v/>
      </c>
    </row>
    <row r="2629">
      <c r="A2629" s="5">
        <f>IF($J2629="","",IF($J2629&lt;=1500,INDEX('Daily Sale entry '!$X$1:$X$1501,$J2629+1),INDEX('Daily Sale entry '!$V$1:$V$1501,$J2629-1499)))</f>
        <v/>
      </c>
      <c r="B2629">
        <f>IF($J2629="","",IF($J2629&lt;=1500,INDEX('Daily Sale entry '!$Y$1:$Y$1501,$J2629+1)&amp;"","Buyer cheque banked 买家支票存入"&amp;IF(INDEX('Daily Sale entry '!$U$1:$U$1501,$J2629-1499)="","", " - "&amp;INDEX('Daily Sale entry '!$U$1:$U$1501,$J2629-1499))))</f>
        <v/>
      </c>
      <c r="C2629">
        <f>IF($J2629="","",IF($J2629&lt;=1500,INDEX('Daily Sale entry '!$Z$1:$Z$1501,$J2629+1)&amp;"","Cheque deposit 支票存入 (buyer 买家)"))</f>
        <v/>
      </c>
      <c r="D2629">
        <f>IF($J2629="","",IF($J2629&lt;=1500,INDEX('Daily Sale entry '!$AA$1:$AA$1501,$J2629+1)&amp;"",INDEX('Daily Sale entry '!$P$1:$P$1501,$J2629-1499)&amp;""))</f>
        <v/>
      </c>
      <c r="E2629">
        <f>IF($J2629="","",IF($J2629&lt;=1500,IF(N(INDEX('Daily Sale entry '!$AB$1:$AB$1501,$J2629+1))=0,"",INDEX('Daily Sale entry '!$AB$1:$AB$1501,$J2629+1)),1))</f>
        <v/>
      </c>
      <c r="F2629" s="6">
        <f>IF($J2629="","",IF($J2629&lt;=1500,N(INDEX('Daily Sale entry '!$AC$1:$AC$1501,$J2629+1))-IF(AND('Opening Balance'!$B$15=1,INDEX('Daily Sale entry '!$Z$1:$Z$1501,$J2629+1)="Online collection 网上收款",INDEX('Daily Sale entry '!$AA$1:$AA$1501,$J2629+1)&lt;&gt;""),N(INDEX('Daily Sale entry '!$AC$1:$AC$1501,$J2629+1))-TRUNC(N(INDEX('Daily Sale entry '!$AC$1:$AC$1501,$J2629+1))),0),N(INDEX('Daily Sale entry '!$S$1:$S$1501,$J2629-1499))-'Opening Balance'!$B$15*(N(INDEX('Daily Sale entry '!$S$1:$S$1501,$J2629-1499))-TRUNC(N(INDEX('Daily Sale entry '!$S$1:$S$1501,$J2629-1499))))))</f>
        <v/>
      </c>
      <c r="G2629" s="6">
        <f>IF($J2629="","",IF($J2629&lt;=1500,N(INDEX('Daily Sale entry '!$AD$1:$AD$1501,$J2629+1)),0))</f>
        <v/>
      </c>
      <c r="H2629" s="6">
        <f>IF($J2629="","",ROUND('Opening Balance'!$B$4+SUM($F$2:F2629)-SUM($G$2:G2629),2))</f>
        <v/>
      </c>
      <c r="J2629" s="21">
        <f>IFERROR(MATCH(ROW()-1,$L$2:$L$3001,0),"")</f>
        <v/>
      </c>
      <c r="K2629" s="34">
        <f>IF(AND('Daily Sale entry '!Q1129="Collection 收款",'Daily Sale entry '!R1129="Cheque 支票",'Daily Sale entry '!V1129&lt;&gt;""),'Daily Sale entry '!V1129+ROW()/10000000,"")</f>
        <v/>
      </c>
      <c r="L2629" s="21">
        <f>IF(K2629="","",COUNTIF($K$2:$K$3001,"&lt;"&amp;K2629)+1)</f>
        <v/>
      </c>
    </row>
    <row r="2630">
      <c r="A2630" s="5">
        <f>IF($J2630="","",IF($J2630&lt;=1500,INDEX('Daily Sale entry '!$X$1:$X$1501,$J2630+1),INDEX('Daily Sale entry '!$V$1:$V$1501,$J2630-1499)))</f>
        <v/>
      </c>
      <c r="B2630">
        <f>IF($J2630="","",IF($J2630&lt;=1500,INDEX('Daily Sale entry '!$Y$1:$Y$1501,$J2630+1)&amp;"","Buyer cheque banked 买家支票存入"&amp;IF(INDEX('Daily Sale entry '!$U$1:$U$1501,$J2630-1499)="","", " - "&amp;INDEX('Daily Sale entry '!$U$1:$U$1501,$J2630-1499))))</f>
        <v/>
      </c>
      <c r="C2630">
        <f>IF($J2630="","",IF($J2630&lt;=1500,INDEX('Daily Sale entry '!$Z$1:$Z$1501,$J2630+1)&amp;"","Cheque deposit 支票存入 (buyer 买家)"))</f>
        <v/>
      </c>
      <c r="D2630">
        <f>IF($J2630="","",IF($J2630&lt;=1500,INDEX('Daily Sale entry '!$AA$1:$AA$1501,$J2630+1)&amp;"",INDEX('Daily Sale entry '!$P$1:$P$1501,$J2630-1499)&amp;""))</f>
        <v/>
      </c>
      <c r="E2630">
        <f>IF($J2630="","",IF($J2630&lt;=1500,IF(N(INDEX('Daily Sale entry '!$AB$1:$AB$1501,$J2630+1))=0,"",INDEX('Daily Sale entry '!$AB$1:$AB$1501,$J2630+1)),1))</f>
        <v/>
      </c>
      <c r="F2630" s="6">
        <f>IF($J2630="","",IF($J2630&lt;=1500,N(INDEX('Daily Sale entry '!$AC$1:$AC$1501,$J2630+1))-IF(AND('Opening Balance'!$B$15=1,INDEX('Daily Sale entry '!$Z$1:$Z$1501,$J2630+1)="Online collection 网上收款",INDEX('Daily Sale entry '!$AA$1:$AA$1501,$J2630+1)&lt;&gt;""),N(INDEX('Daily Sale entry '!$AC$1:$AC$1501,$J2630+1))-TRUNC(N(INDEX('Daily Sale entry '!$AC$1:$AC$1501,$J2630+1))),0),N(INDEX('Daily Sale entry '!$S$1:$S$1501,$J2630-1499))-'Opening Balance'!$B$15*(N(INDEX('Daily Sale entry '!$S$1:$S$1501,$J2630-1499))-TRUNC(N(INDEX('Daily Sale entry '!$S$1:$S$1501,$J2630-1499))))))</f>
        <v/>
      </c>
      <c r="G2630" s="6">
        <f>IF($J2630="","",IF($J2630&lt;=1500,N(INDEX('Daily Sale entry '!$AD$1:$AD$1501,$J2630+1)),0))</f>
        <v/>
      </c>
      <c r="H2630" s="6">
        <f>IF($J2630="","",ROUND('Opening Balance'!$B$4+SUM($F$2:F2630)-SUM($G$2:G2630),2))</f>
        <v/>
      </c>
      <c r="J2630" s="21">
        <f>IFERROR(MATCH(ROW()-1,$L$2:$L$3001,0),"")</f>
        <v/>
      </c>
      <c r="K2630" s="34">
        <f>IF(AND('Daily Sale entry '!Q1130="Collection 收款",'Daily Sale entry '!R1130="Cheque 支票",'Daily Sale entry '!V1130&lt;&gt;""),'Daily Sale entry '!V1130+ROW()/10000000,"")</f>
        <v/>
      </c>
      <c r="L2630" s="21">
        <f>IF(K2630="","",COUNTIF($K$2:$K$3001,"&lt;"&amp;K2630)+1)</f>
        <v/>
      </c>
    </row>
    <row r="2631">
      <c r="A2631" s="5">
        <f>IF($J2631="","",IF($J2631&lt;=1500,INDEX('Daily Sale entry '!$X$1:$X$1501,$J2631+1),INDEX('Daily Sale entry '!$V$1:$V$1501,$J2631-1499)))</f>
        <v/>
      </c>
      <c r="B2631">
        <f>IF($J2631="","",IF($J2631&lt;=1500,INDEX('Daily Sale entry '!$Y$1:$Y$1501,$J2631+1)&amp;"","Buyer cheque banked 买家支票存入"&amp;IF(INDEX('Daily Sale entry '!$U$1:$U$1501,$J2631-1499)="","", " - "&amp;INDEX('Daily Sale entry '!$U$1:$U$1501,$J2631-1499))))</f>
        <v/>
      </c>
      <c r="C2631">
        <f>IF($J2631="","",IF($J2631&lt;=1500,INDEX('Daily Sale entry '!$Z$1:$Z$1501,$J2631+1)&amp;"","Cheque deposit 支票存入 (buyer 买家)"))</f>
        <v/>
      </c>
      <c r="D2631">
        <f>IF($J2631="","",IF($J2631&lt;=1500,INDEX('Daily Sale entry '!$AA$1:$AA$1501,$J2631+1)&amp;"",INDEX('Daily Sale entry '!$P$1:$P$1501,$J2631-1499)&amp;""))</f>
        <v/>
      </c>
      <c r="E2631">
        <f>IF($J2631="","",IF($J2631&lt;=1500,IF(N(INDEX('Daily Sale entry '!$AB$1:$AB$1501,$J2631+1))=0,"",INDEX('Daily Sale entry '!$AB$1:$AB$1501,$J2631+1)),1))</f>
        <v/>
      </c>
      <c r="F2631" s="6">
        <f>IF($J2631="","",IF($J2631&lt;=1500,N(INDEX('Daily Sale entry '!$AC$1:$AC$1501,$J2631+1))-IF(AND('Opening Balance'!$B$15=1,INDEX('Daily Sale entry '!$Z$1:$Z$1501,$J2631+1)="Online collection 网上收款",INDEX('Daily Sale entry '!$AA$1:$AA$1501,$J2631+1)&lt;&gt;""),N(INDEX('Daily Sale entry '!$AC$1:$AC$1501,$J2631+1))-TRUNC(N(INDEX('Daily Sale entry '!$AC$1:$AC$1501,$J2631+1))),0),N(INDEX('Daily Sale entry '!$S$1:$S$1501,$J2631-1499))-'Opening Balance'!$B$15*(N(INDEX('Daily Sale entry '!$S$1:$S$1501,$J2631-1499))-TRUNC(N(INDEX('Daily Sale entry '!$S$1:$S$1501,$J2631-1499))))))</f>
        <v/>
      </c>
      <c r="G2631" s="6">
        <f>IF($J2631="","",IF($J2631&lt;=1500,N(INDEX('Daily Sale entry '!$AD$1:$AD$1501,$J2631+1)),0))</f>
        <v/>
      </c>
      <c r="H2631" s="6">
        <f>IF($J2631="","",ROUND('Opening Balance'!$B$4+SUM($F$2:F2631)-SUM($G$2:G2631),2))</f>
        <v/>
      </c>
      <c r="J2631" s="21">
        <f>IFERROR(MATCH(ROW()-1,$L$2:$L$3001,0),"")</f>
        <v/>
      </c>
      <c r="K2631" s="34">
        <f>IF(AND('Daily Sale entry '!Q1131="Collection 收款",'Daily Sale entry '!R1131="Cheque 支票",'Daily Sale entry '!V1131&lt;&gt;""),'Daily Sale entry '!V1131+ROW()/10000000,"")</f>
        <v/>
      </c>
      <c r="L2631" s="21">
        <f>IF(K2631="","",COUNTIF($K$2:$K$3001,"&lt;"&amp;K2631)+1)</f>
        <v/>
      </c>
    </row>
    <row r="2632">
      <c r="A2632" s="5">
        <f>IF($J2632="","",IF($J2632&lt;=1500,INDEX('Daily Sale entry '!$X$1:$X$1501,$J2632+1),INDEX('Daily Sale entry '!$V$1:$V$1501,$J2632-1499)))</f>
        <v/>
      </c>
      <c r="B2632">
        <f>IF($J2632="","",IF($J2632&lt;=1500,INDEX('Daily Sale entry '!$Y$1:$Y$1501,$J2632+1)&amp;"","Buyer cheque banked 买家支票存入"&amp;IF(INDEX('Daily Sale entry '!$U$1:$U$1501,$J2632-1499)="","", " - "&amp;INDEX('Daily Sale entry '!$U$1:$U$1501,$J2632-1499))))</f>
        <v/>
      </c>
      <c r="C2632">
        <f>IF($J2632="","",IF($J2632&lt;=1500,INDEX('Daily Sale entry '!$Z$1:$Z$1501,$J2632+1)&amp;"","Cheque deposit 支票存入 (buyer 买家)"))</f>
        <v/>
      </c>
      <c r="D2632">
        <f>IF($J2632="","",IF($J2632&lt;=1500,INDEX('Daily Sale entry '!$AA$1:$AA$1501,$J2632+1)&amp;"",INDEX('Daily Sale entry '!$P$1:$P$1501,$J2632-1499)&amp;""))</f>
        <v/>
      </c>
      <c r="E2632">
        <f>IF($J2632="","",IF($J2632&lt;=1500,IF(N(INDEX('Daily Sale entry '!$AB$1:$AB$1501,$J2632+1))=0,"",INDEX('Daily Sale entry '!$AB$1:$AB$1501,$J2632+1)),1))</f>
        <v/>
      </c>
      <c r="F2632" s="6">
        <f>IF($J2632="","",IF($J2632&lt;=1500,N(INDEX('Daily Sale entry '!$AC$1:$AC$1501,$J2632+1))-IF(AND('Opening Balance'!$B$15=1,INDEX('Daily Sale entry '!$Z$1:$Z$1501,$J2632+1)="Online collection 网上收款",INDEX('Daily Sale entry '!$AA$1:$AA$1501,$J2632+1)&lt;&gt;""),N(INDEX('Daily Sale entry '!$AC$1:$AC$1501,$J2632+1))-TRUNC(N(INDEX('Daily Sale entry '!$AC$1:$AC$1501,$J2632+1))),0),N(INDEX('Daily Sale entry '!$S$1:$S$1501,$J2632-1499))-'Opening Balance'!$B$15*(N(INDEX('Daily Sale entry '!$S$1:$S$1501,$J2632-1499))-TRUNC(N(INDEX('Daily Sale entry '!$S$1:$S$1501,$J2632-1499))))))</f>
        <v/>
      </c>
      <c r="G2632" s="6">
        <f>IF($J2632="","",IF($J2632&lt;=1500,N(INDEX('Daily Sale entry '!$AD$1:$AD$1501,$J2632+1)),0))</f>
        <v/>
      </c>
      <c r="H2632" s="6">
        <f>IF($J2632="","",ROUND('Opening Balance'!$B$4+SUM($F$2:F2632)-SUM($G$2:G2632),2))</f>
        <v/>
      </c>
      <c r="J2632" s="21">
        <f>IFERROR(MATCH(ROW()-1,$L$2:$L$3001,0),"")</f>
        <v/>
      </c>
      <c r="K2632" s="34">
        <f>IF(AND('Daily Sale entry '!Q1132="Collection 收款",'Daily Sale entry '!R1132="Cheque 支票",'Daily Sale entry '!V1132&lt;&gt;""),'Daily Sale entry '!V1132+ROW()/10000000,"")</f>
        <v/>
      </c>
      <c r="L2632" s="21">
        <f>IF(K2632="","",COUNTIF($K$2:$K$3001,"&lt;"&amp;K2632)+1)</f>
        <v/>
      </c>
    </row>
    <row r="2633">
      <c r="A2633" s="5">
        <f>IF($J2633="","",IF($J2633&lt;=1500,INDEX('Daily Sale entry '!$X$1:$X$1501,$J2633+1),INDEX('Daily Sale entry '!$V$1:$V$1501,$J2633-1499)))</f>
        <v/>
      </c>
      <c r="B2633">
        <f>IF($J2633="","",IF($J2633&lt;=1500,INDEX('Daily Sale entry '!$Y$1:$Y$1501,$J2633+1)&amp;"","Buyer cheque banked 买家支票存入"&amp;IF(INDEX('Daily Sale entry '!$U$1:$U$1501,$J2633-1499)="","", " - "&amp;INDEX('Daily Sale entry '!$U$1:$U$1501,$J2633-1499))))</f>
        <v/>
      </c>
      <c r="C2633">
        <f>IF($J2633="","",IF($J2633&lt;=1500,INDEX('Daily Sale entry '!$Z$1:$Z$1501,$J2633+1)&amp;"","Cheque deposit 支票存入 (buyer 买家)"))</f>
        <v/>
      </c>
      <c r="D2633">
        <f>IF($J2633="","",IF($J2633&lt;=1500,INDEX('Daily Sale entry '!$AA$1:$AA$1501,$J2633+1)&amp;"",INDEX('Daily Sale entry '!$P$1:$P$1501,$J2633-1499)&amp;""))</f>
        <v/>
      </c>
      <c r="E2633">
        <f>IF($J2633="","",IF($J2633&lt;=1500,IF(N(INDEX('Daily Sale entry '!$AB$1:$AB$1501,$J2633+1))=0,"",INDEX('Daily Sale entry '!$AB$1:$AB$1501,$J2633+1)),1))</f>
        <v/>
      </c>
      <c r="F2633" s="6">
        <f>IF($J2633="","",IF($J2633&lt;=1500,N(INDEX('Daily Sale entry '!$AC$1:$AC$1501,$J2633+1))-IF(AND('Opening Balance'!$B$15=1,INDEX('Daily Sale entry '!$Z$1:$Z$1501,$J2633+1)="Online collection 网上收款",INDEX('Daily Sale entry '!$AA$1:$AA$1501,$J2633+1)&lt;&gt;""),N(INDEX('Daily Sale entry '!$AC$1:$AC$1501,$J2633+1))-TRUNC(N(INDEX('Daily Sale entry '!$AC$1:$AC$1501,$J2633+1))),0),N(INDEX('Daily Sale entry '!$S$1:$S$1501,$J2633-1499))-'Opening Balance'!$B$15*(N(INDEX('Daily Sale entry '!$S$1:$S$1501,$J2633-1499))-TRUNC(N(INDEX('Daily Sale entry '!$S$1:$S$1501,$J2633-1499))))))</f>
        <v/>
      </c>
      <c r="G2633" s="6">
        <f>IF($J2633="","",IF($J2633&lt;=1500,N(INDEX('Daily Sale entry '!$AD$1:$AD$1501,$J2633+1)),0))</f>
        <v/>
      </c>
      <c r="H2633" s="6">
        <f>IF($J2633="","",ROUND('Opening Balance'!$B$4+SUM($F$2:F2633)-SUM($G$2:G2633),2))</f>
        <v/>
      </c>
      <c r="J2633" s="21">
        <f>IFERROR(MATCH(ROW()-1,$L$2:$L$3001,0),"")</f>
        <v/>
      </c>
      <c r="K2633" s="34">
        <f>IF(AND('Daily Sale entry '!Q1133="Collection 收款",'Daily Sale entry '!R1133="Cheque 支票",'Daily Sale entry '!V1133&lt;&gt;""),'Daily Sale entry '!V1133+ROW()/10000000,"")</f>
        <v/>
      </c>
      <c r="L2633" s="21">
        <f>IF(K2633="","",COUNTIF($K$2:$K$3001,"&lt;"&amp;K2633)+1)</f>
        <v/>
      </c>
    </row>
    <row r="2634">
      <c r="A2634" s="5">
        <f>IF($J2634="","",IF($J2634&lt;=1500,INDEX('Daily Sale entry '!$X$1:$X$1501,$J2634+1),INDEX('Daily Sale entry '!$V$1:$V$1501,$J2634-1499)))</f>
        <v/>
      </c>
      <c r="B2634">
        <f>IF($J2634="","",IF($J2634&lt;=1500,INDEX('Daily Sale entry '!$Y$1:$Y$1501,$J2634+1)&amp;"","Buyer cheque banked 买家支票存入"&amp;IF(INDEX('Daily Sale entry '!$U$1:$U$1501,$J2634-1499)="","", " - "&amp;INDEX('Daily Sale entry '!$U$1:$U$1501,$J2634-1499))))</f>
        <v/>
      </c>
      <c r="C2634">
        <f>IF($J2634="","",IF($J2634&lt;=1500,INDEX('Daily Sale entry '!$Z$1:$Z$1501,$J2634+1)&amp;"","Cheque deposit 支票存入 (buyer 买家)"))</f>
        <v/>
      </c>
      <c r="D2634">
        <f>IF($J2634="","",IF($J2634&lt;=1500,INDEX('Daily Sale entry '!$AA$1:$AA$1501,$J2634+1)&amp;"",INDEX('Daily Sale entry '!$P$1:$P$1501,$J2634-1499)&amp;""))</f>
        <v/>
      </c>
      <c r="E2634">
        <f>IF($J2634="","",IF($J2634&lt;=1500,IF(N(INDEX('Daily Sale entry '!$AB$1:$AB$1501,$J2634+1))=0,"",INDEX('Daily Sale entry '!$AB$1:$AB$1501,$J2634+1)),1))</f>
        <v/>
      </c>
      <c r="F2634" s="6">
        <f>IF($J2634="","",IF($J2634&lt;=1500,N(INDEX('Daily Sale entry '!$AC$1:$AC$1501,$J2634+1))-IF(AND('Opening Balance'!$B$15=1,INDEX('Daily Sale entry '!$Z$1:$Z$1501,$J2634+1)="Online collection 网上收款",INDEX('Daily Sale entry '!$AA$1:$AA$1501,$J2634+1)&lt;&gt;""),N(INDEX('Daily Sale entry '!$AC$1:$AC$1501,$J2634+1))-TRUNC(N(INDEX('Daily Sale entry '!$AC$1:$AC$1501,$J2634+1))),0),N(INDEX('Daily Sale entry '!$S$1:$S$1501,$J2634-1499))-'Opening Balance'!$B$15*(N(INDEX('Daily Sale entry '!$S$1:$S$1501,$J2634-1499))-TRUNC(N(INDEX('Daily Sale entry '!$S$1:$S$1501,$J2634-1499))))))</f>
        <v/>
      </c>
      <c r="G2634" s="6">
        <f>IF($J2634="","",IF($J2634&lt;=1500,N(INDEX('Daily Sale entry '!$AD$1:$AD$1501,$J2634+1)),0))</f>
        <v/>
      </c>
      <c r="H2634" s="6">
        <f>IF($J2634="","",ROUND('Opening Balance'!$B$4+SUM($F$2:F2634)-SUM($G$2:G2634),2))</f>
        <v/>
      </c>
      <c r="J2634" s="21">
        <f>IFERROR(MATCH(ROW()-1,$L$2:$L$3001,0),"")</f>
        <v/>
      </c>
      <c r="K2634" s="34">
        <f>IF(AND('Daily Sale entry '!Q1134="Collection 收款",'Daily Sale entry '!R1134="Cheque 支票",'Daily Sale entry '!V1134&lt;&gt;""),'Daily Sale entry '!V1134+ROW()/10000000,"")</f>
        <v/>
      </c>
      <c r="L2634" s="21">
        <f>IF(K2634="","",COUNTIF($K$2:$K$3001,"&lt;"&amp;K2634)+1)</f>
        <v/>
      </c>
    </row>
    <row r="2635">
      <c r="A2635" s="5">
        <f>IF($J2635="","",IF($J2635&lt;=1500,INDEX('Daily Sale entry '!$X$1:$X$1501,$J2635+1),INDEX('Daily Sale entry '!$V$1:$V$1501,$J2635-1499)))</f>
        <v/>
      </c>
      <c r="B2635">
        <f>IF($J2635="","",IF($J2635&lt;=1500,INDEX('Daily Sale entry '!$Y$1:$Y$1501,$J2635+1)&amp;"","Buyer cheque banked 买家支票存入"&amp;IF(INDEX('Daily Sale entry '!$U$1:$U$1501,$J2635-1499)="","", " - "&amp;INDEX('Daily Sale entry '!$U$1:$U$1501,$J2635-1499))))</f>
        <v/>
      </c>
      <c r="C2635">
        <f>IF($J2635="","",IF($J2635&lt;=1500,INDEX('Daily Sale entry '!$Z$1:$Z$1501,$J2635+1)&amp;"","Cheque deposit 支票存入 (buyer 买家)"))</f>
        <v/>
      </c>
      <c r="D2635">
        <f>IF($J2635="","",IF($J2635&lt;=1500,INDEX('Daily Sale entry '!$AA$1:$AA$1501,$J2635+1)&amp;"",INDEX('Daily Sale entry '!$P$1:$P$1501,$J2635-1499)&amp;""))</f>
        <v/>
      </c>
      <c r="E2635">
        <f>IF($J2635="","",IF($J2635&lt;=1500,IF(N(INDEX('Daily Sale entry '!$AB$1:$AB$1501,$J2635+1))=0,"",INDEX('Daily Sale entry '!$AB$1:$AB$1501,$J2635+1)),1))</f>
        <v/>
      </c>
      <c r="F2635" s="6">
        <f>IF($J2635="","",IF($J2635&lt;=1500,N(INDEX('Daily Sale entry '!$AC$1:$AC$1501,$J2635+1))-IF(AND('Opening Balance'!$B$15=1,INDEX('Daily Sale entry '!$Z$1:$Z$1501,$J2635+1)="Online collection 网上收款",INDEX('Daily Sale entry '!$AA$1:$AA$1501,$J2635+1)&lt;&gt;""),N(INDEX('Daily Sale entry '!$AC$1:$AC$1501,$J2635+1))-TRUNC(N(INDEX('Daily Sale entry '!$AC$1:$AC$1501,$J2635+1))),0),N(INDEX('Daily Sale entry '!$S$1:$S$1501,$J2635-1499))-'Opening Balance'!$B$15*(N(INDEX('Daily Sale entry '!$S$1:$S$1501,$J2635-1499))-TRUNC(N(INDEX('Daily Sale entry '!$S$1:$S$1501,$J2635-1499))))))</f>
        <v/>
      </c>
      <c r="G2635" s="6">
        <f>IF($J2635="","",IF($J2635&lt;=1500,N(INDEX('Daily Sale entry '!$AD$1:$AD$1501,$J2635+1)),0))</f>
        <v/>
      </c>
      <c r="H2635" s="6">
        <f>IF($J2635="","",ROUND('Opening Balance'!$B$4+SUM($F$2:F2635)-SUM($G$2:G2635),2))</f>
        <v/>
      </c>
      <c r="J2635" s="21">
        <f>IFERROR(MATCH(ROW()-1,$L$2:$L$3001,0),"")</f>
        <v/>
      </c>
      <c r="K2635" s="34">
        <f>IF(AND('Daily Sale entry '!Q1135="Collection 收款",'Daily Sale entry '!R1135="Cheque 支票",'Daily Sale entry '!V1135&lt;&gt;""),'Daily Sale entry '!V1135+ROW()/10000000,"")</f>
        <v/>
      </c>
      <c r="L2635" s="21">
        <f>IF(K2635="","",COUNTIF($K$2:$K$3001,"&lt;"&amp;K2635)+1)</f>
        <v/>
      </c>
    </row>
    <row r="2636">
      <c r="A2636" s="5">
        <f>IF($J2636="","",IF($J2636&lt;=1500,INDEX('Daily Sale entry '!$X$1:$X$1501,$J2636+1),INDEX('Daily Sale entry '!$V$1:$V$1501,$J2636-1499)))</f>
        <v/>
      </c>
      <c r="B2636">
        <f>IF($J2636="","",IF($J2636&lt;=1500,INDEX('Daily Sale entry '!$Y$1:$Y$1501,$J2636+1)&amp;"","Buyer cheque banked 买家支票存入"&amp;IF(INDEX('Daily Sale entry '!$U$1:$U$1501,$J2636-1499)="","", " - "&amp;INDEX('Daily Sale entry '!$U$1:$U$1501,$J2636-1499))))</f>
        <v/>
      </c>
      <c r="C2636">
        <f>IF($J2636="","",IF($J2636&lt;=1500,INDEX('Daily Sale entry '!$Z$1:$Z$1501,$J2636+1)&amp;"","Cheque deposit 支票存入 (buyer 买家)"))</f>
        <v/>
      </c>
      <c r="D2636">
        <f>IF($J2636="","",IF($J2636&lt;=1500,INDEX('Daily Sale entry '!$AA$1:$AA$1501,$J2636+1)&amp;"",INDEX('Daily Sale entry '!$P$1:$P$1501,$J2636-1499)&amp;""))</f>
        <v/>
      </c>
      <c r="E2636">
        <f>IF($J2636="","",IF($J2636&lt;=1500,IF(N(INDEX('Daily Sale entry '!$AB$1:$AB$1501,$J2636+1))=0,"",INDEX('Daily Sale entry '!$AB$1:$AB$1501,$J2636+1)),1))</f>
        <v/>
      </c>
      <c r="F2636" s="6">
        <f>IF($J2636="","",IF($J2636&lt;=1500,N(INDEX('Daily Sale entry '!$AC$1:$AC$1501,$J2636+1))-IF(AND('Opening Balance'!$B$15=1,INDEX('Daily Sale entry '!$Z$1:$Z$1501,$J2636+1)="Online collection 网上收款",INDEX('Daily Sale entry '!$AA$1:$AA$1501,$J2636+1)&lt;&gt;""),N(INDEX('Daily Sale entry '!$AC$1:$AC$1501,$J2636+1))-TRUNC(N(INDEX('Daily Sale entry '!$AC$1:$AC$1501,$J2636+1))),0),N(INDEX('Daily Sale entry '!$S$1:$S$1501,$J2636-1499))-'Opening Balance'!$B$15*(N(INDEX('Daily Sale entry '!$S$1:$S$1501,$J2636-1499))-TRUNC(N(INDEX('Daily Sale entry '!$S$1:$S$1501,$J2636-1499))))))</f>
        <v/>
      </c>
      <c r="G2636" s="6">
        <f>IF($J2636="","",IF($J2636&lt;=1500,N(INDEX('Daily Sale entry '!$AD$1:$AD$1501,$J2636+1)),0))</f>
        <v/>
      </c>
      <c r="H2636" s="6">
        <f>IF($J2636="","",ROUND('Opening Balance'!$B$4+SUM($F$2:F2636)-SUM($G$2:G2636),2))</f>
        <v/>
      </c>
      <c r="J2636" s="21">
        <f>IFERROR(MATCH(ROW()-1,$L$2:$L$3001,0),"")</f>
        <v/>
      </c>
      <c r="K2636" s="34">
        <f>IF(AND('Daily Sale entry '!Q1136="Collection 收款",'Daily Sale entry '!R1136="Cheque 支票",'Daily Sale entry '!V1136&lt;&gt;""),'Daily Sale entry '!V1136+ROW()/10000000,"")</f>
        <v/>
      </c>
      <c r="L2636" s="21">
        <f>IF(K2636="","",COUNTIF($K$2:$K$3001,"&lt;"&amp;K2636)+1)</f>
        <v/>
      </c>
    </row>
    <row r="2637">
      <c r="A2637" s="5">
        <f>IF($J2637="","",IF($J2637&lt;=1500,INDEX('Daily Sale entry '!$X$1:$X$1501,$J2637+1),INDEX('Daily Sale entry '!$V$1:$V$1501,$J2637-1499)))</f>
        <v/>
      </c>
      <c r="B2637">
        <f>IF($J2637="","",IF($J2637&lt;=1500,INDEX('Daily Sale entry '!$Y$1:$Y$1501,$J2637+1)&amp;"","Buyer cheque banked 买家支票存入"&amp;IF(INDEX('Daily Sale entry '!$U$1:$U$1501,$J2637-1499)="","", " - "&amp;INDEX('Daily Sale entry '!$U$1:$U$1501,$J2637-1499))))</f>
        <v/>
      </c>
      <c r="C2637">
        <f>IF($J2637="","",IF($J2637&lt;=1500,INDEX('Daily Sale entry '!$Z$1:$Z$1501,$J2637+1)&amp;"","Cheque deposit 支票存入 (buyer 买家)"))</f>
        <v/>
      </c>
      <c r="D2637">
        <f>IF($J2637="","",IF($J2637&lt;=1500,INDEX('Daily Sale entry '!$AA$1:$AA$1501,$J2637+1)&amp;"",INDEX('Daily Sale entry '!$P$1:$P$1501,$J2637-1499)&amp;""))</f>
        <v/>
      </c>
      <c r="E2637">
        <f>IF($J2637="","",IF($J2637&lt;=1500,IF(N(INDEX('Daily Sale entry '!$AB$1:$AB$1501,$J2637+1))=0,"",INDEX('Daily Sale entry '!$AB$1:$AB$1501,$J2637+1)),1))</f>
        <v/>
      </c>
      <c r="F2637" s="6">
        <f>IF($J2637="","",IF($J2637&lt;=1500,N(INDEX('Daily Sale entry '!$AC$1:$AC$1501,$J2637+1))-IF(AND('Opening Balance'!$B$15=1,INDEX('Daily Sale entry '!$Z$1:$Z$1501,$J2637+1)="Online collection 网上收款",INDEX('Daily Sale entry '!$AA$1:$AA$1501,$J2637+1)&lt;&gt;""),N(INDEX('Daily Sale entry '!$AC$1:$AC$1501,$J2637+1))-TRUNC(N(INDEX('Daily Sale entry '!$AC$1:$AC$1501,$J2637+1))),0),N(INDEX('Daily Sale entry '!$S$1:$S$1501,$J2637-1499))-'Opening Balance'!$B$15*(N(INDEX('Daily Sale entry '!$S$1:$S$1501,$J2637-1499))-TRUNC(N(INDEX('Daily Sale entry '!$S$1:$S$1501,$J2637-1499))))))</f>
        <v/>
      </c>
      <c r="G2637" s="6">
        <f>IF($J2637="","",IF($J2637&lt;=1500,N(INDEX('Daily Sale entry '!$AD$1:$AD$1501,$J2637+1)),0))</f>
        <v/>
      </c>
      <c r="H2637" s="6">
        <f>IF($J2637="","",ROUND('Opening Balance'!$B$4+SUM($F$2:F2637)-SUM($G$2:G2637),2))</f>
        <v/>
      </c>
      <c r="J2637" s="21">
        <f>IFERROR(MATCH(ROW()-1,$L$2:$L$3001,0),"")</f>
        <v/>
      </c>
      <c r="K2637" s="34">
        <f>IF(AND('Daily Sale entry '!Q1137="Collection 收款",'Daily Sale entry '!R1137="Cheque 支票",'Daily Sale entry '!V1137&lt;&gt;""),'Daily Sale entry '!V1137+ROW()/10000000,"")</f>
        <v/>
      </c>
      <c r="L2637" s="21">
        <f>IF(K2637="","",COUNTIF($K$2:$K$3001,"&lt;"&amp;K2637)+1)</f>
        <v/>
      </c>
    </row>
    <row r="2638">
      <c r="A2638" s="5">
        <f>IF($J2638="","",IF($J2638&lt;=1500,INDEX('Daily Sale entry '!$X$1:$X$1501,$J2638+1),INDEX('Daily Sale entry '!$V$1:$V$1501,$J2638-1499)))</f>
        <v/>
      </c>
      <c r="B2638">
        <f>IF($J2638="","",IF($J2638&lt;=1500,INDEX('Daily Sale entry '!$Y$1:$Y$1501,$J2638+1)&amp;"","Buyer cheque banked 买家支票存入"&amp;IF(INDEX('Daily Sale entry '!$U$1:$U$1501,$J2638-1499)="","", " - "&amp;INDEX('Daily Sale entry '!$U$1:$U$1501,$J2638-1499))))</f>
        <v/>
      </c>
      <c r="C2638">
        <f>IF($J2638="","",IF($J2638&lt;=1500,INDEX('Daily Sale entry '!$Z$1:$Z$1501,$J2638+1)&amp;"","Cheque deposit 支票存入 (buyer 买家)"))</f>
        <v/>
      </c>
      <c r="D2638">
        <f>IF($J2638="","",IF($J2638&lt;=1500,INDEX('Daily Sale entry '!$AA$1:$AA$1501,$J2638+1)&amp;"",INDEX('Daily Sale entry '!$P$1:$P$1501,$J2638-1499)&amp;""))</f>
        <v/>
      </c>
      <c r="E2638">
        <f>IF($J2638="","",IF($J2638&lt;=1500,IF(N(INDEX('Daily Sale entry '!$AB$1:$AB$1501,$J2638+1))=0,"",INDEX('Daily Sale entry '!$AB$1:$AB$1501,$J2638+1)),1))</f>
        <v/>
      </c>
      <c r="F2638" s="6">
        <f>IF($J2638="","",IF($J2638&lt;=1500,N(INDEX('Daily Sale entry '!$AC$1:$AC$1501,$J2638+1))-IF(AND('Opening Balance'!$B$15=1,INDEX('Daily Sale entry '!$Z$1:$Z$1501,$J2638+1)="Online collection 网上收款",INDEX('Daily Sale entry '!$AA$1:$AA$1501,$J2638+1)&lt;&gt;""),N(INDEX('Daily Sale entry '!$AC$1:$AC$1501,$J2638+1))-TRUNC(N(INDEX('Daily Sale entry '!$AC$1:$AC$1501,$J2638+1))),0),N(INDEX('Daily Sale entry '!$S$1:$S$1501,$J2638-1499))-'Opening Balance'!$B$15*(N(INDEX('Daily Sale entry '!$S$1:$S$1501,$J2638-1499))-TRUNC(N(INDEX('Daily Sale entry '!$S$1:$S$1501,$J2638-1499))))))</f>
        <v/>
      </c>
      <c r="G2638" s="6">
        <f>IF($J2638="","",IF($J2638&lt;=1500,N(INDEX('Daily Sale entry '!$AD$1:$AD$1501,$J2638+1)),0))</f>
        <v/>
      </c>
      <c r="H2638" s="6">
        <f>IF($J2638="","",ROUND('Opening Balance'!$B$4+SUM($F$2:F2638)-SUM($G$2:G2638),2))</f>
        <v/>
      </c>
      <c r="J2638" s="21">
        <f>IFERROR(MATCH(ROW()-1,$L$2:$L$3001,0),"")</f>
        <v/>
      </c>
      <c r="K2638" s="34">
        <f>IF(AND('Daily Sale entry '!Q1138="Collection 收款",'Daily Sale entry '!R1138="Cheque 支票",'Daily Sale entry '!V1138&lt;&gt;""),'Daily Sale entry '!V1138+ROW()/10000000,"")</f>
        <v/>
      </c>
      <c r="L2638" s="21">
        <f>IF(K2638="","",COUNTIF($K$2:$K$3001,"&lt;"&amp;K2638)+1)</f>
        <v/>
      </c>
    </row>
    <row r="2639">
      <c r="A2639" s="5">
        <f>IF($J2639="","",IF($J2639&lt;=1500,INDEX('Daily Sale entry '!$X$1:$X$1501,$J2639+1),INDEX('Daily Sale entry '!$V$1:$V$1501,$J2639-1499)))</f>
        <v/>
      </c>
      <c r="B2639">
        <f>IF($J2639="","",IF($J2639&lt;=1500,INDEX('Daily Sale entry '!$Y$1:$Y$1501,$J2639+1)&amp;"","Buyer cheque banked 买家支票存入"&amp;IF(INDEX('Daily Sale entry '!$U$1:$U$1501,$J2639-1499)="","", " - "&amp;INDEX('Daily Sale entry '!$U$1:$U$1501,$J2639-1499))))</f>
        <v/>
      </c>
      <c r="C2639">
        <f>IF($J2639="","",IF($J2639&lt;=1500,INDEX('Daily Sale entry '!$Z$1:$Z$1501,$J2639+1)&amp;"","Cheque deposit 支票存入 (buyer 买家)"))</f>
        <v/>
      </c>
      <c r="D2639">
        <f>IF($J2639="","",IF($J2639&lt;=1500,INDEX('Daily Sale entry '!$AA$1:$AA$1501,$J2639+1)&amp;"",INDEX('Daily Sale entry '!$P$1:$P$1501,$J2639-1499)&amp;""))</f>
        <v/>
      </c>
      <c r="E2639">
        <f>IF($J2639="","",IF($J2639&lt;=1500,IF(N(INDEX('Daily Sale entry '!$AB$1:$AB$1501,$J2639+1))=0,"",INDEX('Daily Sale entry '!$AB$1:$AB$1501,$J2639+1)),1))</f>
        <v/>
      </c>
      <c r="F2639" s="6">
        <f>IF($J2639="","",IF($J2639&lt;=1500,N(INDEX('Daily Sale entry '!$AC$1:$AC$1501,$J2639+1))-IF(AND('Opening Balance'!$B$15=1,INDEX('Daily Sale entry '!$Z$1:$Z$1501,$J2639+1)="Online collection 网上收款",INDEX('Daily Sale entry '!$AA$1:$AA$1501,$J2639+1)&lt;&gt;""),N(INDEX('Daily Sale entry '!$AC$1:$AC$1501,$J2639+1))-TRUNC(N(INDEX('Daily Sale entry '!$AC$1:$AC$1501,$J2639+1))),0),N(INDEX('Daily Sale entry '!$S$1:$S$1501,$J2639-1499))-'Opening Balance'!$B$15*(N(INDEX('Daily Sale entry '!$S$1:$S$1501,$J2639-1499))-TRUNC(N(INDEX('Daily Sale entry '!$S$1:$S$1501,$J2639-1499))))))</f>
        <v/>
      </c>
      <c r="G2639" s="6">
        <f>IF($J2639="","",IF($J2639&lt;=1500,N(INDEX('Daily Sale entry '!$AD$1:$AD$1501,$J2639+1)),0))</f>
        <v/>
      </c>
      <c r="H2639" s="6">
        <f>IF($J2639="","",ROUND('Opening Balance'!$B$4+SUM($F$2:F2639)-SUM($G$2:G2639),2))</f>
        <v/>
      </c>
      <c r="J2639" s="21">
        <f>IFERROR(MATCH(ROW()-1,$L$2:$L$3001,0),"")</f>
        <v/>
      </c>
      <c r="K2639" s="34">
        <f>IF(AND('Daily Sale entry '!Q1139="Collection 收款",'Daily Sale entry '!R1139="Cheque 支票",'Daily Sale entry '!V1139&lt;&gt;""),'Daily Sale entry '!V1139+ROW()/10000000,"")</f>
        <v/>
      </c>
      <c r="L2639" s="21">
        <f>IF(K2639="","",COUNTIF($K$2:$K$3001,"&lt;"&amp;K2639)+1)</f>
        <v/>
      </c>
    </row>
    <row r="2640">
      <c r="A2640" s="5">
        <f>IF($J2640="","",IF($J2640&lt;=1500,INDEX('Daily Sale entry '!$X$1:$X$1501,$J2640+1),INDEX('Daily Sale entry '!$V$1:$V$1501,$J2640-1499)))</f>
        <v/>
      </c>
      <c r="B2640">
        <f>IF($J2640="","",IF($J2640&lt;=1500,INDEX('Daily Sale entry '!$Y$1:$Y$1501,$J2640+1)&amp;"","Buyer cheque banked 买家支票存入"&amp;IF(INDEX('Daily Sale entry '!$U$1:$U$1501,$J2640-1499)="","", " - "&amp;INDEX('Daily Sale entry '!$U$1:$U$1501,$J2640-1499))))</f>
        <v/>
      </c>
      <c r="C2640">
        <f>IF($J2640="","",IF($J2640&lt;=1500,INDEX('Daily Sale entry '!$Z$1:$Z$1501,$J2640+1)&amp;"","Cheque deposit 支票存入 (buyer 买家)"))</f>
        <v/>
      </c>
      <c r="D2640">
        <f>IF($J2640="","",IF($J2640&lt;=1500,INDEX('Daily Sale entry '!$AA$1:$AA$1501,$J2640+1)&amp;"",INDEX('Daily Sale entry '!$P$1:$P$1501,$J2640-1499)&amp;""))</f>
        <v/>
      </c>
      <c r="E2640">
        <f>IF($J2640="","",IF($J2640&lt;=1500,IF(N(INDEX('Daily Sale entry '!$AB$1:$AB$1501,$J2640+1))=0,"",INDEX('Daily Sale entry '!$AB$1:$AB$1501,$J2640+1)),1))</f>
        <v/>
      </c>
      <c r="F2640" s="6">
        <f>IF($J2640="","",IF($J2640&lt;=1500,N(INDEX('Daily Sale entry '!$AC$1:$AC$1501,$J2640+1))-IF(AND('Opening Balance'!$B$15=1,INDEX('Daily Sale entry '!$Z$1:$Z$1501,$J2640+1)="Online collection 网上收款",INDEX('Daily Sale entry '!$AA$1:$AA$1501,$J2640+1)&lt;&gt;""),N(INDEX('Daily Sale entry '!$AC$1:$AC$1501,$J2640+1))-TRUNC(N(INDEX('Daily Sale entry '!$AC$1:$AC$1501,$J2640+1))),0),N(INDEX('Daily Sale entry '!$S$1:$S$1501,$J2640-1499))-'Opening Balance'!$B$15*(N(INDEX('Daily Sale entry '!$S$1:$S$1501,$J2640-1499))-TRUNC(N(INDEX('Daily Sale entry '!$S$1:$S$1501,$J2640-1499))))))</f>
        <v/>
      </c>
      <c r="G2640" s="6">
        <f>IF($J2640="","",IF($J2640&lt;=1500,N(INDEX('Daily Sale entry '!$AD$1:$AD$1501,$J2640+1)),0))</f>
        <v/>
      </c>
      <c r="H2640" s="6">
        <f>IF($J2640="","",ROUND('Opening Balance'!$B$4+SUM($F$2:F2640)-SUM($G$2:G2640),2))</f>
        <v/>
      </c>
      <c r="J2640" s="21">
        <f>IFERROR(MATCH(ROW()-1,$L$2:$L$3001,0),"")</f>
        <v/>
      </c>
      <c r="K2640" s="34">
        <f>IF(AND('Daily Sale entry '!Q1140="Collection 收款",'Daily Sale entry '!R1140="Cheque 支票",'Daily Sale entry '!V1140&lt;&gt;""),'Daily Sale entry '!V1140+ROW()/10000000,"")</f>
        <v/>
      </c>
      <c r="L2640" s="21">
        <f>IF(K2640="","",COUNTIF($K$2:$K$3001,"&lt;"&amp;K2640)+1)</f>
        <v/>
      </c>
    </row>
    <row r="2641">
      <c r="A2641" s="5">
        <f>IF($J2641="","",IF($J2641&lt;=1500,INDEX('Daily Sale entry '!$X$1:$X$1501,$J2641+1),INDEX('Daily Sale entry '!$V$1:$V$1501,$J2641-1499)))</f>
        <v/>
      </c>
      <c r="B2641">
        <f>IF($J2641="","",IF($J2641&lt;=1500,INDEX('Daily Sale entry '!$Y$1:$Y$1501,$J2641+1)&amp;"","Buyer cheque banked 买家支票存入"&amp;IF(INDEX('Daily Sale entry '!$U$1:$U$1501,$J2641-1499)="","", " - "&amp;INDEX('Daily Sale entry '!$U$1:$U$1501,$J2641-1499))))</f>
        <v/>
      </c>
      <c r="C2641">
        <f>IF($J2641="","",IF($J2641&lt;=1500,INDEX('Daily Sale entry '!$Z$1:$Z$1501,$J2641+1)&amp;"","Cheque deposit 支票存入 (buyer 买家)"))</f>
        <v/>
      </c>
      <c r="D2641">
        <f>IF($J2641="","",IF($J2641&lt;=1500,INDEX('Daily Sale entry '!$AA$1:$AA$1501,$J2641+1)&amp;"",INDEX('Daily Sale entry '!$P$1:$P$1501,$J2641-1499)&amp;""))</f>
        <v/>
      </c>
      <c r="E2641">
        <f>IF($J2641="","",IF($J2641&lt;=1500,IF(N(INDEX('Daily Sale entry '!$AB$1:$AB$1501,$J2641+1))=0,"",INDEX('Daily Sale entry '!$AB$1:$AB$1501,$J2641+1)),1))</f>
        <v/>
      </c>
      <c r="F2641" s="6">
        <f>IF($J2641="","",IF($J2641&lt;=1500,N(INDEX('Daily Sale entry '!$AC$1:$AC$1501,$J2641+1))-IF(AND('Opening Balance'!$B$15=1,INDEX('Daily Sale entry '!$Z$1:$Z$1501,$J2641+1)="Online collection 网上收款",INDEX('Daily Sale entry '!$AA$1:$AA$1501,$J2641+1)&lt;&gt;""),N(INDEX('Daily Sale entry '!$AC$1:$AC$1501,$J2641+1))-TRUNC(N(INDEX('Daily Sale entry '!$AC$1:$AC$1501,$J2641+1))),0),N(INDEX('Daily Sale entry '!$S$1:$S$1501,$J2641-1499))-'Opening Balance'!$B$15*(N(INDEX('Daily Sale entry '!$S$1:$S$1501,$J2641-1499))-TRUNC(N(INDEX('Daily Sale entry '!$S$1:$S$1501,$J2641-1499))))))</f>
        <v/>
      </c>
      <c r="G2641" s="6">
        <f>IF($J2641="","",IF($J2641&lt;=1500,N(INDEX('Daily Sale entry '!$AD$1:$AD$1501,$J2641+1)),0))</f>
        <v/>
      </c>
      <c r="H2641" s="6">
        <f>IF($J2641="","",ROUND('Opening Balance'!$B$4+SUM($F$2:F2641)-SUM($G$2:G2641),2))</f>
        <v/>
      </c>
      <c r="J2641" s="21">
        <f>IFERROR(MATCH(ROW()-1,$L$2:$L$3001,0),"")</f>
        <v/>
      </c>
      <c r="K2641" s="34">
        <f>IF(AND('Daily Sale entry '!Q1141="Collection 收款",'Daily Sale entry '!R1141="Cheque 支票",'Daily Sale entry '!V1141&lt;&gt;""),'Daily Sale entry '!V1141+ROW()/10000000,"")</f>
        <v/>
      </c>
      <c r="L2641" s="21">
        <f>IF(K2641="","",COUNTIF($K$2:$K$3001,"&lt;"&amp;K2641)+1)</f>
        <v/>
      </c>
    </row>
    <row r="2642">
      <c r="A2642" s="5">
        <f>IF($J2642="","",IF($J2642&lt;=1500,INDEX('Daily Sale entry '!$X$1:$X$1501,$J2642+1),INDEX('Daily Sale entry '!$V$1:$V$1501,$J2642-1499)))</f>
        <v/>
      </c>
      <c r="B2642">
        <f>IF($J2642="","",IF($J2642&lt;=1500,INDEX('Daily Sale entry '!$Y$1:$Y$1501,$J2642+1)&amp;"","Buyer cheque banked 买家支票存入"&amp;IF(INDEX('Daily Sale entry '!$U$1:$U$1501,$J2642-1499)="","", " - "&amp;INDEX('Daily Sale entry '!$U$1:$U$1501,$J2642-1499))))</f>
        <v/>
      </c>
      <c r="C2642">
        <f>IF($J2642="","",IF($J2642&lt;=1500,INDEX('Daily Sale entry '!$Z$1:$Z$1501,$J2642+1)&amp;"","Cheque deposit 支票存入 (buyer 买家)"))</f>
        <v/>
      </c>
      <c r="D2642">
        <f>IF($J2642="","",IF($J2642&lt;=1500,INDEX('Daily Sale entry '!$AA$1:$AA$1501,$J2642+1)&amp;"",INDEX('Daily Sale entry '!$P$1:$P$1501,$J2642-1499)&amp;""))</f>
        <v/>
      </c>
      <c r="E2642">
        <f>IF($J2642="","",IF($J2642&lt;=1500,IF(N(INDEX('Daily Sale entry '!$AB$1:$AB$1501,$J2642+1))=0,"",INDEX('Daily Sale entry '!$AB$1:$AB$1501,$J2642+1)),1))</f>
        <v/>
      </c>
      <c r="F2642" s="6">
        <f>IF($J2642="","",IF($J2642&lt;=1500,N(INDEX('Daily Sale entry '!$AC$1:$AC$1501,$J2642+1))-IF(AND('Opening Balance'!$B$15=1,INDEX('Daily Sale entry '!$Z$1:$Z$1501,$J2642+1)="Online collection 网上收款",INDEX('Daily Sale entry '!$AA$1:$AA$1501,$J2642+1)&lt;&gt;""),N(INDEX('Daily Sale entry '!$AC$1:$AC$1501,$J2642+1))-TRUNC(N(INDEX('Daily Sale entry '!$AC$1:$AC$1501,$J2642+1))),0),N(INDEX('Daily Sale entry '!$S$1:$S$1501,$J2642-1499))-'Opening Balance'!$B$15*(N(INDEX('Daily Sale entry '!$S$1:$S$1501,$J2642-1499))-TRUNC(N(INDEX('Daily Sale entry '!$S$1:$S$1501,$J2642-1499))))))</f>
        <v/>
      </c>
      <c r="G2642" s="6">
        <f>IF($J2642="","",IF($J2642&lt;=1500,N(INDEX('Daily Sale entry '!$AD$1:$AD$1501,$J2642+1)),0))</f>
        <v/>
      </c>
      <c r="H2642" s="6">
        <f>IF($J2642="","",ROUND('Opening Balance'!$B$4+SUM($F$2:F2642)-SUM($G$2:G2642),2))</f>
        <v/>
      </c>
      <c r="J2642" s="21">
        <f>IFERROR(MATCH(ROW()-1,$L$2:$L$3001,0),"")</f>
        <v/>
      </c>
      <c r="K2642" s="34">
        <f>IF(AND('Daily Sale entry '!Q1142="Collection 收款",'Daily Sale entry '!R1142="Cheque 支票",'Daily Sale entry '!V1142&lt;&gt;""),'Daily Sale entry '!V1142+ROW()/10000000,"")</f>
        <v/>
      </c>
      <c r="L2642" s="21">
        <f>IF(K2642="","",COUNTIF($K$2:$K$3001,"&lt;"&amp;K2642)+1)</f>
        <v/>
      </c>
    </row>
    <row r="2643">
      <c r="A2643" s="5">
        <f>IF($J2643="","",IF($J2643&lt;=1500,INDEX('Daily Sale entry '!$X$1:$X$1501,$J2643+1),INDEX('Daily Sale entry '!$V$1:$V$1501,$J2643-1499)))</f>
        <v/>
      </c>
      <c r="B2643">
        <f>IF($J2643="","",IF($J2643&lt;=1500,INDEX('Daily Sale entry '!$Y$1:$Y$1501,$J2643+1)&amp;"","Buyer cheque banked 买家支票存入"&amp;IF(INDEX('Daily Sale entry '!$U$1:$U$1501,$J2643-1499)="","", " - "&amp;INDEX('Daily Sale entry '!$U$1:$U$1501,$J2643-1499))))</f>
        <v/>
      </c>
      <c r="C2643">
        <f>IF($J2643="","",IF($J2643&lt;=1500,INDEX('Daily Sale entry '!$Z$1:$Z$1501,$J2643+1)&amp;"","Cheque deposit 支票存入 (buyer 买家)"))</f>
        <v/>
      </c>
      <c r="D2643">
        <f>IF($J2643="","",IF($J2643&lt;=1500,INDEX('Daily Sale entry '!$AA$1:$AA$1501,$J2643+1)&amp;"",INDEX('Daily Sale entry '!$P$1:$P$1501,$J2643-1499)&amp;""))</f>
        <v/>
      </c>
      <c r="E2643">
        <f>IF($J2643="","",IF($J2643&lt;=1500,IF(N(INDEX('Daily Sale entry '!$AB$1:$AB$1501,$J2643+1))=0,"",INDEX('Daily Sale entry '!$AB$1:$AB$1501,$J2643+1)),1))</f>
        <v/>
      </c>
      <c r="F2643" s="6">
        <f>IF($J2643="","",IF($J2643&lt;=1500,N(INDEX('Daily Sale entry '!$AC$1:$AC$1501,$J2643+1))-IF(AND('Opening Balance'!$B$15=1,INDEX('Daily Sale entry '!$Z$1:$Z$1501,$J2643+1)="Online collection 网上收款",INDEX('Daily Sale entry '!$AA$1:$AA$1501,$J2643+1)&lt;&gt;""),N(INDEX('Daily Sale entry '!$AC$1:$AC$1501,$J2643+1))-TRUNC(N(INDEX('Daily Sale entry '!$AC$1:$AC$1501,$J2643+1))),0),N(INDEX('Daily Sale entry '!$S$1:$S$1501,$J2643-1499))-'Opening Balance'!$B$15*(N(INDEX('Daily Sale entry '!$S$1:$S$1501,$J2643-1499))-TRUNC(N(INDEX('Daily Sale entry '!$S$1:$S$1501,$J2643-1499))))))</f>
        <v/>
      </c>
      <c r="G2643" s="6">
        <f>IF($J2643="","",IF($J2643&lt;=1500,N(INDEX('Daily Sale entry '!$AD$1:$AD$1501,$J2643+1)),0))</f>
        <v/>
      </c>
      <c r="H2643" s="6">
        <f>IF($J2643="","",ROUND('Opening Balance'!$B$4+SUM($F$2:F2643)-SUM($G$2:G2643),2))</f>
        <v/>
      </c>
      <c r="J2643" s="21">
        <f>IFERROR(MATCH(ROW()-1,$L$2:$L$3001,0),"")</f>
        <v/>
      </c>
      <c r="K2643" s="34">
        <f>IF(AND('Daily Sale entry '!Q1143="Collection 收款",'Daily Sale entry '!R1143="Cheque 支票",'Daily Sale entry '!V1143&lt;&gt;""),'Daily Sale entry '!V1143+ROW()/10000000,"")</f>
        <v/>
      </c>
      <c r="L2643" s="21">
        <f>IF(K2643="","",COUNTIF($K$2:$K$3001,"&lt;"&amp;K2643)+1)</f>
        <v/>
      </c>
    </row>
    <row r="2644">
      <c r="A2644" s="5">
        <f>IF($J2644="","",IF($J2644&lt;=1500,INDEX('Daily Sale entry '!$X$1:$X$1501,$J2644+1),INDEX('Daily Sale entry '!$V$1:$V$1501,$J2644-1499)))</f>
        <v/>
      </c>
      <c r="B2644">
        <f>IF($J2644="","",IF($J2644&lt;=1500,INDEX('Daily Sale entry '!$Y$1:$Y$1501,$J2644+1)&amp;"","Buyer cheque banked 买家支票存入"&amp;IF(INDEX('Daily Sale entry '!$U$1:$U$1501,$J2644-1499)="","", " - "&amp;INDEX('Daily Sale entry '!$U$1:$U$1501,$J2644-1499))))</f>
        <v/>
      </c>
      <c r="C2644">
        <f>IF($J2644="","",IF($J2644&lt;=1500,INDEX('Daily Sale entry '!$Z$1:$Z$1501,$J2644+1)&amp;"","Cheque deposit 支票存入 (buyer 买家)"))</f>
        <v/>
      </c>
      <c r="D2644">
        <f>IF($J2644="","",IF($J2644&lt;=1500,INDEX('Daily Sale entry '!$AA$1:$AA$1501,$J2644+1)&amp;"",INDEX('Daily Sale entry '!$P$1:$P$1501,$J2644-1499)&amp;""))</f>
        <v/>
      </c>
      <c r="E2644">
        <f>IF($J2644="","",IF($J2644&lt;=1500,IF(N(INDEX('Daily Sale entry '!$AB$1:$AB$1501,$J2644+1))=0,"",INDEX('Daily Sale entry '!$AB$1:$AB$1501,$J2644+1)),1))</f>
        <v/>
      </c>
      <c r="F2644" s="6">
        <f>IF($J2644="","",IF($J2644&lt;=1500,N(INDEX('Daily Sale entry '!$AC$1:$AC$1501,$J2644+1))-IF(AND('Opening Balance'!$B$15=1,INDEX('Daily Sale entry '!$Z$1:$Z$1501,$J2644+1)="Online collection 网上收款",INDEX('Daily Sale entry '!$AA$1:$AA$1501,$J2644+1)&lt;&gt;""),N(INDEX('Daily Sale entry '!$AC$1:$AC$1501,$J2644+1))-TRUNC(N(INDEX('Daily Sale entry '!$AC$1:$AC$1501,$J2644+1))),0),N(INDEX('Daily Sale entry '!$S$1:$S$1501,$J2644-1499))-'Opening Balance'!$B$15*(N(INDEX('Daily Sale entry '!$S$1:$S$1501,$J2644-1499))-TRUNC(N(INDEX('Daily Sale entry '!$S$1:$S$1501,$J2644-1499))))))</f>
        <v/>
      </c>
      <c r="G2644" s="6">
        <f>IF($J2644="","",IF($J2644&lt;=1500,N(INDEX('Daily Sale entry '!$AD$1:$AD$1501,$J2644+1)),0))</f>
        <v/>
      </c>
      <c r="H2644" s="6">
        <f>IF($J2644="","",ROUND('Opening Balance'!$B$4+SUM($F$2:F2644)-SUM($G$2:G2644),2))</f>
        <v/>
      </c>
      <c r="J2644" s="21">
        <f>IFERROR(MATCH(ROW()-1,$L$2:$L$3001,0),"")</f>
        <v/>
      </c>
      <c r="K2644" s="34">
        <f>IF(AND('Daily Sale entry '!Q1144="Collection 收款",'Daily Sale entry '!R1144="Cheque 支票",'Daily Sale entry '!V1144&lt;&gt;""),'Daily Sale entry '!V1144+ROW()/10000000,"")</f>
        <v/>
      </c>
      <c r="L2644" s="21">
        <f>IF(K2644="","",COUNTIF($K$2:$K$3001,"&lt;"&amp;K2644)+1)</f>
        <v/>
      </c>
    </row>
    <row r="2645">
      <c r="A2645" s="5">
        <f>IF($J2645="","",IF($J2645&lt;=1500,INDEX('Daily Sale entry '!$X$1:$X$1501,$J2645+1),INDEX('Daily Sale entry '!$V$1:$V$1501,$J2645-1499)))</f>
        <v/>
      </c>
      <c r="B2645">
        <f>IF($J2645="","",IF($J2645&lt;=1500,INDEX('Daily Sale entry '!$Y$1:$Y$1501,$J2645+1)&amp;"","Buyer cheque banked 买家支票存入"&amp;IF(INDEX('Daily Sale entry '!$U$1:$U$1501,$J2645-1499)="","", " - "&amp;INDEX('Daily Sale entry '!$U$1:$U$1501,$J2645-1499))))</f>
        <v/>
      </c>
      <c r="C2645">
        <f>IF($J2645="","",IF($J2645&lt;=1500,INDEX('Daily Sale entry '!$Z$1:$Z$1501,$J2645+1)&amp;"","Cheque deposit 支票存入 (buyer 买家)"))</f>
        <v/>
      </c>
      <c r="D2645">
        <f>IF($J2645="","",IF($J2645&lt;=1500,INDEX('Daily Sale entry '!$AA$1:$AA$1501,$J2645+1)&amp;"",INDEX('Daily Sale entry '!$P$1:$P$1501,$J2645-1499)&amp;""))</f>
        <v/>
      </c>
      <c r="E2645">
        <f>IF($J2645="","",IF($J2645&lt;=1500,IF(N(INDEX('Daily Sale entry '!$AB$1:$AB$1501,$J2645+1))=0,"",INDEX('Daily Sale entry '!$AB$1:$AB$1501,$J2645+1)),1))</f>
        <v/>
      </c>
      <c r="F2645" s="6">
        <f>IF($J2645="","",IF($J2645&lt;=1500,N(INDEX('Daily Sale entry '!$AC$1:$AC$1501,$J2645+1))-IF(AND('Opening Balance'!$B$15=1,INDEX('Daily Sale entry '!$Z$1:$Z$1501,$J2645+1)="Online collection 网上收款",INDEX('Daily Sale entry '!$AA$1:$AA$1501,$J2645+1)&lt;&gt;""),N(INDEX('Daily Sale entry '!$AC$1:$AC$1501,$J2645+1))-TRUNC(N(INDEX('Daily Sale entry '!$AC$1:$AC$1501,$J2645+1))),0),N(INDEX('Daily Sale entry '!$S$1:$S$1501,$J2645-1499))-'Opening Balance'!$B$15*(N(INDEX('Daily Sale entry '!$S$1:$S$1501,$J2645-1499))-TRUNC(N(INDEX('Daily Sale entry '!$S$1:$S$1501,$J2645-1499))))))</f>
        <v/>
      </c>
      <c r="G2645" s="6">
        <f>IF($J2645="","",IF($J2645&lt;=1500,N(INDEX('Daily Sale entry '!$AD$1:$AD$1501,$J2645+1)),0))</f>
        <v/>
      </c>
      <c r="H2645" s="6">
        <f>IF($J2645="","",ROUND('Opening Balance'!$B$4+SUM($F$2:F2645)-SUM($G$2:G2645),2))</f>
        <v/>
      </c>
      <c r="J2645" s="21">
        <f>IFERROR(MATCH(ROW()-1,$L$2:$L$3001,0),"")</f>
        <v/>
      </c>
      <c r="K2645" s="34">
        <f>IF(AND('Daily Sale entry '!Q1145="Collection 收款",'Daily Sale entry '!R1145="Cheque 支票",'Daily Sale entry '!V1145&lt;&gt;""),'Daily Sale entry '!V1145+ROW()/10000000,"")</f>
        <v/>
      </c>
      <c r="L2645" s="21">
        <f>IF(K2645="","",COUNTIF($K$2:$K$3001,"&lt;"&amp;K2645)+1)</f>
        <v/>
      </c>
    </row>
    <row r="2646">
      <c r="A2646" s="5">
        <f>IF($J2646="","",IF($J2646&lt;=1500,INDEX('Daily Sale entry '!$X$1:$X$1501,$J2646+1),INDEX('Daily Sale entry '!$V$1:$V$1501,$J2646-1499)))</f>
        <v/>
      </c>
      <c r="B2646">
        <f>IF($J2646="","",IF($J2646&lt;=1500,INDEX('Daily Sale entry '!$Y$1:$Y$1501,$J2646+1)&amp;"","Buyer cheque banked 买家支票存入"&amp;IF(INDEX('Daily Sale entry '!$U$1:$U$1501,$J2646-1499)="","", " - "&amp;INDEX('Daily Sale entry '!$U$1:$U$1501,$J2646-1499))))</f>
        <v/>
      </c>
      <c r="C2646">
        <f>IF($J2646="","",IF($J2646&lt;=1500,INDEX('Daily Sale entry '!$Z$1:$Z$1501,$J2646+1)&amp;"","Cheque deposit 支票存入 (buyer 买家)"))</f>
        <v/>
      </c>
      <c r="D2646">
        <f>IF($J2646="","",IF($J2646&lt;=1500,INDEX('Daily Sale entry '!$AA$1:$AA$1501,$J2646+1)&amp;"",INDEX('Daily Sale entry '!$P$1:$P$1501,$J2646-1499)&amp;""))</f>
        <v/>
      </c>
      <c r="E2646">
        <f>IF($J2646="","",IF($J2646&lt;=1500,IF(N(INDEX('Daily Sale entry '!$AB$1:$AB$1501,$J2646+1))=0,"",INDEX('Daily Sale entry '!$AB$1:$AB$1501,$J2646+1)),1))</f>
        <v/>
      </c>
      <c r="F2646" s="6">
        <f>IF($J2646="","",IF($J2646&lt;=1500,N(INDEX('Daily Sale entry '!$AC$1:$AC$1501,$J2646+1))-IF(AND('Opening Balance'!$B$15=1,INDEX('Daily Sale entry '!$Z$1:$Z$1501,$J2646+1)="Online collection 网上收款",INDEX('Daily Sale entry '!$AA$1:$AA$1501,$J2646+1)&lt;&gt;""),N(INDEX('Daily Sale entry '!$AC$1:$AC$1501,$J2646+1))-TRUNC(N(INDEX('Daily Sale entry '!$AC$1:$AC$1501,$J2646+1))),0),N(INDEX('Daily Sale entry '!$S$1:$S$1501,$J2646-1499))-'Opening Balance'!$B$15*(N(INDEX('Daily Sale entry '!$S$1:$S$1501,$J2646-1499))-TRUNC(N(INDEX('Daily Sale entry '!$S$1:$S$1501,$J2646-1499))))))</f>
        <v/>
      </c>
      <c r="G2646" s="6">
        <f>IF($J2646="","",IF($J2646&lt;=1500,N(INDEX('Daily Sale entry '!$AD$1:$AD$1501,$J2646+1)),0))</f>
        <v/>
      </c>
      <c r="H2646" s="6">
        <f>IF($J2646="","",ROUND('Opening Balance'!$B$4+SUM($F$2:F2646)-SUM($G$2:G2646),2))</f>
        <v/>
      </c>
      <c r="J2646" s="21">
        <f>IFERROR(MATCH(ROW()-1,$L$2:$L$3001,0),"")</f>
        <v/>
      </c>
      <c r="K2646" s="34">
        <f>IF(AND('Daily Sale entry '!Q1146="Collection 收款",'Daily Sale entry '!R1146="Cheque 支票",'Daily Sale entry '!V1146&lt;&gt;""),'Daily Sale entry '!V1146+ROW()/10000000,"")</f>
        <v/>
      </c>
      <c r="L2646" s="21">
        <f>IF(K2646="","",COUNTIF($K$2:$K$3001,"&lt;"&amp;K2646)+1)</f>
        <v/>
      </c>
    </row>
    <row r="2647">
      <c r="A2647" s="5">
        <f>IF($J2647="","",IF($J2647&lt;=1500,INDEX('Daily Sale entry '!$X$1:$X$1501,$J2647+1),INDEX('Daily Sale entry '!$V$1:$V$1501,$J2647-1499)))</f>
        <v/>
      </c>
      <c r="B2647">
        <f>IF($J2647="","",IF($J2647&lt;=1500,INDEX('Daily Sale entry '!$Y$1:$Y$1501,$J2647+1)&amp;"","Buyer cheque banked 买家支票存入"&amp;IF(INDEX('Daily Sale entry '!$U$1:$U$1501,$J2647-1499)="","", " - "&amp;INDEX('Daily Sale entry '!$U$1:$U$1501,$J2647-1499))))</f>
        <v/>
      </c>
      <c r="C2647">
        <f>IF($J2647="","",IF($J2647&lt;=1500,INDEX('Daily Sale entry '!$Z$1:$Z$1501,$J2647+1)&amp;"","Cheque deposit 支票存入 (buyer 买家)"))</f>
        <v/>
      </c>
      <c r="D2647">
        <f>IF($J2647="","",IF($J2647&lt;=1500,INDEX('Daily Sale entry '!$AA$1:$AA$1501,$J2647+1)&amp;"",INDEX('Daily Sale entry '!$P$1:$P$1501,$J2647-1499)&amp;""))</f>
        <v/>
      </c>
      <c r="E2647">
        <f>IF($J2647="","",IF($J2647&lt;=1500,IF(N(INDEX('Daily Sale entry '!$AB$1:$AB$1501,$J2647+1))=0,"",INDEX('Daily Sale entry '!$AB$1:$AB$1501,$J2647+1)),1))</f>
        <v/>
      </c>
      <c r="F2647" s="6">
        <f>IF($J2647="","",IF($J2647&lt;=1500,N(INDEX('Daily Sale entry '!$AC$1:$AC$1501,$J2647+1))-IF(AND('Opening Balance'!$B$15=1,INDEX('Daily Sale entry '!$Z$1:$Z$1501,$J2647+1)="Online collection 网上收款",INDEX('Daily Sale entry '!$AA$1:$AA$1501,$J2647+1)&lt;&gt;""),N(INDEX('Daily Sale entry '!$AC$1:$AC$1501,$J2647+1))-TRUNC(N(INDEX('Daily Sale entry '!$AC$1:$AC$1501,$J2647+1))),0),N(INDEX('Daily Sale entry '!$S$1:$S$1501,$J2647-1499))-'Opening Balance'!$B$15*(N(INDEX('Daily Sale entry '!$S$1:$S$1501,$J2647-1499))-TRUNC(N(INDEX('Daily Sale entry '!$S$1:$S$1501,$J2647-1499))))))</f>
        <v/>
      </c>
      <c r="G2647" s="6">
        <f>IF($J2647="","",IF($J2647&lt;=1500,N(INDEX('Daily Sale entry '!$AD$1:$AD$1501,$J2647+1)),0))</f>
        <v/>
      </c>
      <c r="H2647" s="6">
        <f>IF($J2647="","",ROUND('Opening Balance'!$B$4+SUM($F$2:F2647)-SUM($G$2:G2647),2))</f>
        <v/>
      </c>
      <c r="J2647" s="21">
        <f>IFERROR(MATCH(ROW()-1,$L$2:$L$3001,0),"")</f>
        <v/>
      </c>
      <c r="K2647" s="34">
        <f>IF(AND('Daily Sale entry '!Q1147="Collection 收款",'Daily Sale entry '!R1147="Cheque 支票",'Daily Sale entry '!V1147&lt;&gt;""),'Daily Sale entry '!V1147+ROW()/10000000,"")</f>
        <v/>
      </c>
      <c r="L2647" s="21">
        <f>IF(K2647="","",COUNTIF($K$2:$K$3001,"&lt;"&amp;K2647)+1)</f>
        <v/>
      </c>
    </row>
    <row r="2648">
      <c r="A2648" s="5">
        <f>IF($J2648="","",IF($J2648&lt;=1500,INDEX('Daily Sale entry '!$X$1:$X$1501,$J2648+1),INDEX('Daily Sale entry '!$V$1:$V$1501,$J2648-1499)))</f>
        <v/>
      </c>
      <c r="B2648">
        <f>IF($J2648="","",IF($J2648&lt;=1500,INDEX('Daily Sale entry '!$Y$1:$Y$1501,$J2648+1)&amp;"","Buyer cheque banked 买家支票存入"&amp;IF(INDEX('Daily Sale entry '!$U$1:$U$1501,$J2648-1499)="","", " - "&amp;INDEX('Daily Sale entry '!$U$1:$U$1501,$J2648-1499))))</f>
        <v/>
      </c>
      <c r="C2648">
        <f>IF($J2648="","",IF($J2648&lt;=1500,INDEX('Daily Sale entry '!$Z$1:$Z$1501,$J2648+1)&amp;"","Cheque deposit 支票存入 (buyer 买家)"))</f>
        <v/>
      </c>
      <c r="D2648">
        <f>IF($J2648="","",IF($J2648&lt;=1500,INDEX('Daily Sale entry '!$AA$1:$AA$1501,$J2648+1)&amp;"",INDEX('Daily Sale entry '!$P$1:$P$1501,$J2648-1499)&amp;""))</f>
        <v/>
      </c>
      <c r="E2648">
        <f>IF($J2648="","",IF($J2648&lt;=1500,IF(N(INDEX('Daily Sale entry '!$AB$1:$AB$1501,$J2648+1))=0,"",INDEX('Daily Sale entry '!$AB$1:$AB$1501,$J2648+1)),1))</f>
        <v/>
      </c>
      <c r="F2648" s="6">
        <f>IF($J2648="","",IF($J2648&lt;=1500,N(INDEX('Daily Sale entry '!$AC$1:$AC$1501,$J2648+1))-IF(AND('Opening Balance'!$B$15=1,INDEX('Daily Sale entry '!$Z$1:$Z$1501,$J2648+1)="Online collection 网上收款",INDEX('Daily Sale entry '!$AA$1:$AA$1501,$J2648+1)&lt;&gt;""),N(INDEX('Daily Sale entry '!$AC$1:$AC$1501,$J2648+1))-TRUNC(N(INDEX('Daily Sale entry '!$AC$1:$AC$1501,$J2648+1))),0),N(INDEX('Daily Sale entry '!$S$1:$S$1501,$J2648-1499))-'Opening Balance'!$B$15*(N(INDEX('Daily Sale entry '!$S$1:$S$1501,$J2648-1499))-TRUNC(N(INDEX('Daily Sale entry '!$S$1:$S$1501,$J2648-1499))))))</f>
        <v/>
      </c>
      <c r="G2648" s="6">
        <f>IF($J2648="","",IF($J2648&lt;=1500,N(INDEX('Daily Sale entry '!$AD$1:$AD$1501,$J2648+1)),0))</f>
        <v/>
      </c>
      <c r="H2648" s="6">
        <f>IF($J2648="","",ROUND('Opening Balance'!$B$4+SUM($F$2:F2648)-SUM($G$2:G2648),2))</f>
        <v/>
      </c>
      <c r="J2648" s="21">
        <f>IFERROR(MATCH(ROW()-1,$L$2:$L$3001,0),"")</f>
        <v/>
      </c>
      <c r="K2648" s="34">
        <f>IF(AND('Daily Sale entry '!Q1148="Collection 收款",'Daily Sale entry '!R1148="Cheque 支票",'Daily Sale entry '!V1148&lt;&gt;""),'Daily Sale entry '!V1148+ROW()/10000000,"")</f>
        <v/>
      </c>
      <c r="L2648" s="21">
        <f>IF(K2648="","",COUNTIF($K$2:$K$3001,"&lt;"&amp;K2648)+1)</f>
        <v/>
      </c>
    </row>
    <row r="2649">
      <c r="A2649" s="5">
        <f>IF($J2649="","",IF($J2649&lt;=1500,INDEX('Daily Sale entry '!$X$1:$X$1501,$J2649+1),INDEX('Daily Sale entry '!$V$1:$V$1501,$J2649-1499)))</f>
        <v/>
      </c>
      <c r="B2649">
        <f>IF($J2649="","",IF($J2649&lt;=1500,INDEX('Daily Sale entry '!$Y$1:$Y$1501,$J2649+1)&amp;"","Buyer cheque banked 买家支票存入"&amp;IF(INDEX('Daily Sale entry '!$U$1:$U$1501,$J2649-1499)="","", " - "&amp;INDEX('Daily Sale entry '!$U$1:$U$1501,$J2649-1499))))</f>
        <v/>
      </c>
      <c r="C2649">
        <f>IF($J2649="","",IF($J2649&lt;=1500,INDEX('Daily Sale entry '!$Z$1:$Z$1501,$J2649+1)&amp;"","Cheque deposit 支票存入 (buyer 买家)"))</f>
        <v/>
      </c>
      <c r="D2649">
        <f>IF($J2649="","",IF($J2649&lt;=1500,INDEX('Daily Sale entry '!$AA$1:$AA$1501,$J2649+1)&amp;"",INDEX('Daily Sale entry '!$P$1:$P$1501,$J2649-1499)&amp;""))</f>
        <v/>
      </c>
      <c r="E2649">
        <f>IF($J2649="","",IF($J2649&lt;=1500,IF(N(INDEX('Daily Sale entry '!$AB$1:$AB$1501,$J2649+1))=0,"",INDEX('Daily Sale entry '!$AB$1:$AB$1501,$J2649+1)),1))</f>
        <v/>
      </c>
      <c r="F2649" s="6">
        <f>IF($J2649="","",IF($J2649&lt;=1500,N(INDEX('Daily Sale entry '!$AC$1:$AC$1501,$J2649+1))-IF(AND('Opening Balance'!$B$15=1,INDEX('Daily Sale entry '!$Z$1:$Z$1501,$J2649+1)="Online collection 网上收款",INDEX('Daily Sale entry '!$AA$1:$AA$1501,$J2649+1)&lt;&gt;""),N(INDEX('Daily Sale entry '!$AC$1:$AC$1501,$J2649+1))-TRUNC(N(INDEX('Daily Sale entry '!$AC$1:$AC$1501,$J2649+1))),0),N(INDEX('Daily Sale entry '!$S$1:$S$1501,$J2649-1499))-'Opening Balance'!$B$15*(N(INDEX('Daily Sale entry '!$S$1:$S$1501,$J2649-1499))-TRUNC(N(INDEX('Daily Sale entry '!$S$1:$S$1501,$J2649-1499))))))</f>
        <v/>
      </c>
      <c r="G2649" s="6">
        <f>IF($J2649="","",IF($J2649&lt;=1500,N(INDEX('Daily Sale entry '!$AD$1:$AD$1501,$J2649+1)),0))</f>
        <v/>
      </c>
      <c r="H2649" s="6">
        <f>IF($J2649="","",ROUND('Opening Balance'!$B$4+SUM($F$2:F2649)-SUM($G$2:G2649),2))</f>
        <v/>
      </c>
      <c r="J2649" s="21">
        <f>IFERROR(MATCH(ROW()-1,$L$2:$L$3001,0),"")</f>
        <v/>
      </c>
      <c r="K2649" s="34">
        <f>IF(AND('Daily Sale entry '!Q1149="Collection 收款",'Daily Sale entry '!R1149="Cheque 支票",'Daily Sale entry '!V1149&lt;&gt;""),'Daily Sale entry '!V1149+ROW()/10000000,"")</f>
        <v/>
      </c>
      <c r="L2649" s="21">
        <f>IF(K2649="","",COUNTIF($K$2:$K$3001,"&lt;"&amp;K2649)+1)</f>
        <v/>
      </c>
    </row>
    <row r="2650">
      <c r="A2650" s="5">
        <f>IF($J2650="","",IF($J2650&lt;=1500,INDEX('Daily Sale entry '!$X$1:$X$1501,$J2650+1),INDEX('Daily Sale entry '!$V$1:$V$1501,$J2650-1499)))</f>
        <v/>
      </c>
      <c r="B2650">
        <f>IF($J2650="","",IF($J2650&lt;=1500,INDEX('Daily Sale entry '!$Y$1:$Y$1501,$J2650+1)&amp;"","Buyer cheque banked 买家支票存入"&amp;IF(INDEX('Daily Sale entry '!$U$1:$U$1501,$J2650-1499)="","", " - "&amp;INDEX('Daily Sale entry '!$U$1:$U$1501,$J2650-1499))))</f>
        <v/>
      </c>
      <c r="C2650">
        <f>IF($J2650="","",IF($J2650&lt;=1500,INDEX('Daily Sale entry '!$Z$1:$Z$1501,$J2650+1)&amp;"","Cheque deposit 支票存入 (buyer 买家)"))</f>
        <v/>
      </c>
      <c r="D2650">
        <f>IF($J2650="","",IF($J2650&lt;=1500,INDEX('Daily Sale entry '!$AA$1:$AA$1501,$J2650+1)&amp;"",INDEX('Daily Sale entry '!$P$1:$P$1501,$J2650-1499)&amp;""))</f>
        <v/>
      </c>
      <c r="E2650">
        <f>IF($J2650="","",IF($J2650&lt;=1500,IF(N(INDEX('Daily Sale entry '!$AB$1:$AB$1501,$J2650+1))=0,"",INDEX('Daily Sale entry '!$AB$1:$AB$1501,$J2650+1)),1))</f>
        <v/>
      </c>
      <c r="F2650" s="6">
        <f>IF($J2650="","",IF($J2650&lt;=1500,N(INDEX('Daily Sale entry '!$AC$1:$AC$1501,$J2650+1))-IF(AND('Opening Balance'!$B$15=1,INDEX('Daily Sale entry '!$Z$1:$Z$1501,$J2650+1)="Online collection 网上收款",INDEX('Daily Sale entry '!$AA$1:$AA$1501,$J2650+1)&lt;&gt;""),N(INDEX('Daily Sale entry '!$AC$1:$AC$1501,$J2650+1))-TRUNC(N(INDEX('Daily Sale entry '!$AC$1:$AC$1501,$J2650+1))),0),N(INDEX('Daily Sale entry '!$S$1:$S$1501,$J2650-1499))-'Opening Balance'!$B$15*(N(INDEX('Daily Sale entry '!$S$1:$S$1501,$J2650-1499))-TRUNC(N(INDEX('Daily Sale entry '!$S$1:$S$1501,$J2650-1499))))))</f>
        <v/>
      </c>
      <c r="G2650" s="6">
        <f>IF($J2650="","",IF($J2650&lt;=1500,N(INDEX('Daily Sale entry '!$AD$1:$AD$1501,$J2650+1)),0))</f>
        <v/>
      </c>
      <c r="H2650" s="6">
        <f>IF($J2650="","",ROUND('Opening Balance'!$B$4+SUM($F$2:F2650)-SUM($G$2:G2650),2))</f>
        <v/>
      </c>
      <c r="J2650" s="21">
        <f>IFERROR(MATCH(ROW()-1,$L$2:$L$3001,0),"")</f>
        <v/>
      </c>
      <c r="K2650" s="34">
        <f>IF(AND('Daily Sale entry '!Q1150="Collection 收款",'Daily Sale entry '!R1150="Cheque 支票",'Daily Sale entry '!V1150&lt;&gt;""),'Daily Sale entry '!V1150+ROW()/10000000,"")</f>
        <v/>
      </c>
      <c r="L2650" s="21">
        <f>IF(K2650="","",COUNTIF($K$2:$K$3001,"&lt;"&amp;K2650)+1)</f>
        <v/>
      </c>
    </row>
    <row r="2651">
      <c r="A2651" s="5">
        <f>IF($J2651="","",IF($J2651&lt;=1500,INDEX('Daily Sale entry '!$X$1:$X$1501,$J2651+1),INDEX('Daily Sale entry '!$V$1:$V$1501,$J2651-1499)))</f>
        <v/>
      </c>
      <c r="B2651">
        <f>IF($J2651="","",IF($J2651&lt;=1500,INDEX('Daily Sale entry '!$Y$1:$Y$1501,$J2651+1)&amp;"","Buyer cheque banked 买家支票存入"&amp;IF(INDEX('Daily Sale entry '!$U$1:$U$1501,$J2651-1499)="","", " - "&amp;INDEX('Daily Sale entry '!$U$1:$U$1501,$J2651-1499))))</f>
        <v/>
      </c>
      <c r="C2651">
        <f>IF($J2651="","",IF($J2651&lt;=1500,INDEX('Daily Sale entry '!$Z$1:$Z$1501,$J2651+1)&amp;"","Cheque deposit 支票存入 (buyer 买家)"))</f>
        <v/>
      </c>
      <c r="D2651">
        <f>IF($J2651="","",IF($J2651&lt;=1500,INDEX('Daily Sale entry '!$AA$1:$AA$1501,$J2651+1)&amp;"",INDEX('Daily Sale entry '!$P$1:$P$1501,$J2651-1499)&amp;""))</f>
        <v/>
      </c>
      <c r="E2651">
        <f>IF($J2651="","",IF($J2651&lt;=1500,IF(N(INDEX('Daily Sale entry '!$AB$1:$AB$1501,$J2651+1))=0,"",INDEX('Daily Sale entry '!$AB$1:$AB$1501,$J2651+1)),1))</f>
        <v/>
      </c>
      <c r="F2651" s="6">
        <f>IF($J2651="","",IF($J2651&lt;=1500,N(INDEX('Daily Sale entry '!$AC$1:$AC$1501,$J2651+1))-IF(AND('Opening Balance'!$B$15=1,INDEX('Daily Sale entry '!$Z$1:$Z$1501,$J2651+1)="Online collection 网上收款",INDEX('Daily Sale entry '!$AA$1:$AA$1501,$J2651+1)&lt;&gt;""),N(INDEX('Daily Sale entry '!$AC$1:$AC$1501,$J2651+1))-TRUNC(N(INDEX('Daily Sale entry '!$AC$1:$AC$1501,$J2651+1))),0),N(INDEX('Daily Sale entry '!$S$1:$S$1501,$J2651-1499))-'Opening Balance'!$B$15*(N(INDEX('Daily Sale entry '!$S$1:$S$1501,$J2651-1499))-TRUNC(N(INDEX('Daily Sale entry '!$S$1:$S$1501,$J2651-1499))))))</f>
        <v/>
      </c>
      <c r="G2651" s="6">
        <f>IF($J2651="","",IF($J2651&lt;=1500,N(INDEX('Daily Sale entry '!$AD$1:$AD$1501,$J2651+1)),0))</f>
        <v/>
      </c>
      <c r="H2651" s="6">
        <f>IF($J2651="","",ROUND('Opening Balance'!$B$4+SUM($F$2:F2651)-SUM($G$2:G2651),2))</f>
        <v/>
      </c>
      <c r="J2651" s="21">
        <f>IFERROR(MATCH(ROW()-1,$L$2:$L$3001,0),"")</f>
        <v/>
      </c>
      <c r="K2651" s="34">
        <f>IF(AND('Daily Sale entry '!Q1151="Collection 收款",'Daily Sale entry '!R1151="Cheque 支票",'Daily Sale entry '!V1151&lt;&gt;""),'Daily Sale entry '!V1151+ROW()/10000000,"")</f>
        <v/>
      </c>
      <c r="L2651" s="21">
        <f>IF(K2651="","",COUNTIF($K$2:$K$3001,"&lt;"&amp;K2651)+1)</f>
        <v/>
      </c>
    </row>
    <row r="2652">
      <c r="A2652" s="5">
        <f>IF($J2652="","",IF($J2652&lt;=1500,INDEX('Daily Sale entry '!$X$1:$X$1501,$J2652+1),INDEX('Daily Sale entry '!$V$1:$V$1501,$J2652-1499)))</f>
        <v/>
      </c>
      <c r="B2652">
        <f>IF($J2652="","",IF($J2652&lt;=1500,INDEX('Daily Sale entry '!$Y$1:$Y$1501,$J2652+1)&amp;"","Buyer cheque banked 买家支票存入"&amp;IF(INDEX('Daily Sale entry '!$U$1:$U$1501,$J2652-1499)="","", " - "&amp;INDEX('Daily Sale entry '!$U$1:$U$1501,$J2652-1499))))</f>
        <v/>
      </c>
      <c r="C2652">
        <f>IF($J2652="","",IF($J2652&lt;=1500,INDEX('Daily Sale entry '!$Z$1:$Z$1501,$J2652+1)&amp;"","Cheque deposit 支票存入 (buyer 买家)"))</f>
        <v/>
      </c>
      <c r="D2652">
        <f>IF($J2652="","",IF($J2652&lt;=1500,INDEX('Daily Sale entry '!$AA$1:$AA$1501,$J2652+1)&amp;"",INDEX('Daily Sale entry '!$P$1:$P$1501,$J2652-1499)&amp;""))</f>
        <v/>
      </c>
      <c r="E2652">
        <f>IF($J2652="","",IF($J2652&lt;=1500,IF(N(INDEX('Daily Sale entry '!$AB$1:$AB$1501,$J2652+1))=0,"",INDEX('Daily Sale entry '!$AB$1:$AB$1501,$J2652+1)),1))</f>
        <v/>
      </c>
      <c r="F2652" s="6">
        <f>IF($J2652="","",IF($J2652&lt;=1500,N(INDEX('Daily Sale entry '!$AC$1:$AC$1501,$J2652+1))-IF(AND('Opening Balance'!$B$15=1,INDEX('Daily Sale entry '!$Z$1:$Z$1501,$J2652+1)="Online collection 网上收款",INDEX('Daily Sale entry '!$AA$1:$AA$1501,$J2652+1)&lt;&gt;""),N(INDEX('Daily Sale entry '!$AC$1:$AC$1501,$J2652+1))-TRUNC(N(INDEX('Daily Sale entry '!$AC$1:$AC$1501,$J2652+1))),0),N(INDEX('Daily Sale entry '!$S$1:$S$1501,$J2652-1499))-'Opening Balance'!$B$15*(N(INDEX('Daily Sale entry '!$S$1:$S$1501,$J2652-1499))-TRUNC(N(INDEX('Daily Sale entry '!$S$1:$S$1501,$J2652-1499))))))</f>
        <v/>
      </c>
      <c r="G2652" s="6">
        <f>IF($J2652="","",IF($J2652&lt;=1500,N(INDEX('Daily Sale entry '!$AD$1:$AD$1501,$J2652+1)),0))</f>
        <v/>
      </c>
      <c r="H2652" s="6">
        <f>IF($J2652="","",ROUND('Opening Balance'!$B$4+SUM($F$2:F2652)-SUM($G$2:G2652),2))</f>
        <v/>
      </c>
      <c r="J2652" s="21">
        <f>IFERROR(MATCH(ROW()-1,$L$2:$L$3001,0),"")</f>
        <v/>
      </c>
      <c r="K2652" s="34">
        <f>IF(AND('Daily Sale entry '!Q1152="Collection 收款",'Daily Sale entry '!R1152="Cheque 支票",'Daily Sale entry '!V1152&lt;&gt;""),'Daily Sale entry '!V1152+ROW()/10000000,"")</f>
        <v/>
      </c>
      <c r="L2652" s="21">
        <f>IF(K2652="","",COUNTIF($K$2:$K$3001,"&lt;"&amp;K2652)+1)</f>
        <v/>
      </c>
    </row>
    <row r="2653">
      <c r="A2653" s="5">
        <f>IF($J2653="","",IF($J2653&lt;=1500,INDEX('Daily Sale entry '!$X$1:$X$1501,$J2653+1),INDEX('Daily Sale entry '!$V$1:$V$1501,$J2653-1499)))</f>
        <v/>
      </c>
      <c r="B2653">
        <f>IF($J2653="","",IF($J2653&lt;=1500,INDEX('Daily Sale entry '!$Y$1:$Y$1501,$J2653+1)&amp;"","Buyer cheque banked 买家支票存入"&amp;IF(INDEX('Daily Sale entry '!$U$1:$U$1501,$J2653-1499)="","", " - "&amp;INDEX('Daily Sale entry '!$U$1:$U$1501,$J2653-1499))))</f>
        <v/>
      </c>
      <c r="C2653">
        <f>IF($J2653="","",IF($J2653&lt;=1500,INDEX('Daily Sale entry '!$Z$1:$Z$1501,$J2653+1)&amp;"","Cheque deposit 支票存入 (buyer 买家)"))</f>
        <v/>
      </c>
      <c r="D2653">
        <f>IF($J2653="","",IF($J2653&lt;=1500,INDEX('Daily Sale entry '!$AA$1:$AA$1501,$J2653+1)&amp;"",INDEX('Daily Sale entry '!$P$1:$P$1501,$J2653-1499)&amp;""))</f>
        <v/>
      </c>
      <c r="E2653">
        <f>IF($J2653="","",IF($J2653&lt;=1500,IF(N(INDEX('Daily Sale entry '!$AB$1:$AB$1501,$J2653+1))=0,"",INDEX('Daily Sale entry '!$AB$1:$AB$1501,$J2653+1)),1))</f>
        <v/>
      </c>
      <c r="F2653" s="6">
        <f>IF($J2653="","",IF($J2653&lt;=1500,N(INDEX('Daily Sale entry '!$AC$1:$AC$1501,$J2653+1))-IF(AND('Opening Balance'!$B$15=1,INDEX('Daily Sale entry '!$Z$1:$Z$1501,$J2653+1)="Online collection 网上收款",INDEX('Daily Sale entry '!$AA$1:$AA$1501,$J2653+1)&lt;&gt;""),N(INDEX('Daily Sale entry '!$AC$1:$AC$1501,$J2653+1))-TRUNC(N(INDEX('Daily Sale entry '!$AC$1:$AC$1501,$J2653+1))),0),N(INDEX('Daily Sale entry '!$S$1:$S$1501,$J2653-1499))-'Opening Balance'!$B$15*(N(INDEX('Daily Sale entry '!$S$1:$S$1501,$J2653-1499))-TRUNC(N(INDEX('Daily Sale entry '!$S$1:$S$1501,$J2653-1499))))))</f>
        <v/>
      </c>
      <c r="G2653" s="6">
        <f>IF($J2653="","",IF($J2653&lt;=1500,N(INDEX('Daily Sale entry '!$AD$1:$AD$1501,$J2653+1)),0))</f>
        <v/>
      </c>
      <c r="H2653" s="6">
        <f>IF($J2653="","",ROUND('Opening Balance'!$B$4+SUM($F$2:F2653)-SUM($G$2:G2653),2))</f>
        <v/>
      </c>
      <c r="J2653" s="21">
        <f>IFERROR(MATCH(ROW()-1,$L$2:$L$3001,0),"")</f>
        <v/>
      </c>
      <c r="K2653" s="34">
        <f>IF(AND('Daily Sale entry '!Q1153="Collection 收款",'Daily Sale entry '!R1153="Cheque 支票",'Daily Sale entry '!V1153&lt;&gt;""),'Daily Sale entry '!V1153+ROW()/10000000,"")</f>
        <v/>
      </c>
      <c r="L2653" s="21">
        <f>IF(K2653="","",COUNTIF($K$2:$K$3001,"&lt;"&amp;K2653)+1)</f>
        <v/>
      </c>
    </row>
    <row r="2654">
      <c r="A2654" s="5">
        <f>IF($J2654="","",IF($J2654&lt;=1500,INDEX('Daily Sale entry '!$X$1:$X$1501,$J2654+1),INDEX('Daily Sale entry '!$V$1:$V$1501,$J2654-1499)))</f>
        <v/>
      </c>
      <c r="B2654">
        <f>IF($J2654="","",IF($J2654&lt;=1500,INDEX('Daily Sale entry '!$Y$1:$Y$1501,$J2654+1)&amp;"","Buyer cheque banked 买家支票存入"&amp;IF(INDEX('Daily Sale entry '!$U$1:$U$1501,$J2654-1499)="","", " - "&amp;INDEX('Daily Sale entry '!$U$1:$U$1501,$J2654-1499))))</f>
        <v/>
      </c>
      <c r="C2654">
        <f>IF($J2654="","",IF($J2654&lt;=1500,INDEX('Daily Sale entry '!$Z$1:$Z$1501,$J2654+1)&amp;"","Cheque deposit 支票存入 (buyer 买家)"))</f>
        <v/>
      </c>
      <c r="D2654">
        <f>IF($J2654="","",IF($J2654&lt;=1500,INDEX('Daily Sale entry '!$AA$1:$AA$1501,$J2654+1)&amp;"",INDEX('Daily Sale entry '!$P$1:$P$1501,$J2654-1499)&amp;""))</f>
        <v/>
      </c>
      <c r="E2654">
        <f>IF($J2654="","",IF($J2654&lt;=1500,IF(N(INDEX('Daily Sale entry '!$AB$1:$AB$1501,$J2654+1))=0,"",INDEX('Daily Sale entry '!$AB$1:$AB$1501,$J2654+1)),1))</f>
        <v/>
      </c>
      <c r="F2654" s="6">
        <f>IF($J2654="","",IF($J2654&lt;=1500,N(INDEX('Daily Sale entry '!$AC$1:$AC$1501,$J2654+1))-IF(AND('Opening Balance'!$B$15=1,INDEX('Daily Sale entry '!$Z$1:$Z$1501,$J2654+1)="Online collection 网上收款",INDEX('Daily Sale entry '!$AA$1:$AA$1501,$J2654+1)&lt;&gt;""),N(INDEX('Daily Sale entry '!$AC$1:$AC$1501,$J2654+1))-TRUNC(N(INDEX('Daily Sale entry '!$AC$1:$AC$1501,$J2654+1))),0),N(INDEX('Daily Sale entry '!$S$1:$S$1501,$J2654-1499))-'Opening Balance'!$B$15*(N(INDEX('Daily Sale entry '!$S$1:$S$1501,$J2654-1499))-TRUNC(N(INDEX('Daily Sale entry '!$S$1:$S$1501,$J2654-1499))))))</f>
        <v/>
      </c>
      <c r="G2654" s="6">
        <f>IF($J2654="","",IF($J2654&lt;=1500,N(INDEX('Daily Sale entry '!$AD$1:$AD$1501,$J2654+1)),0))</f>
        <v/>
      </c>
      <c r="H2654" s="6">
        <f>IF($J2654="","",ROUND('Opening Balance'!$B$4+SUM($F$2:F2654)-SUM($G$2:G2654),2))</f>
        <v/>
      </c>
      <c r="J2654" s="21">
        <f>IFERROR(MATCH(ROW()-1,$L$2:$L$3001,0),"")</f>
        <v/>
      </c>
      <c r="K2654" s="34">
        <f>IF(AND('Daily Sale entry '!Q1154="Collection 收款",'Daily Sale entry '!R1154="Cheque 支票",'Daily Sale entry '!V1154&lt;&gt;""),'Daily Sale entry '!V1154+ROW()/10000000,"")</f>
        <v/>
      </c>
      <c r="L2654" s="21">
        <f>IF(K2654="","",COUNTIF($K$2:$K$3001,"&lt;"&amp;K2654)+1)</f>
        <v/>
      </c>
    </row>
    <row r="2655">
      <c r="A2655" s="5">
        <f>IF($J2655="","",IF($J2655&lt;=1500,INDEX('Daily Sale entry '!$X$1:$X$1501,$J2655+1),INDEX('Daily Sale entry '!$V$1:$V$1501,$J2655-1499)))</f>
        <v/>
      </c>
      <c r="B2655">
        <f>IF($J2655="","",IF($J2655&lt;=1500,INDEX('Daily Sale entry '!$Y$1:$Y$1501,$J2655+1)&amp;"","Buyer cheque banked 买家支票存入"&amp;IF(INDEX('Daily Sale entry '!$U$1:$U$1501,$J2655-1499)="","", " - "&amp;INDEX('Daily Sale entry '!$U$1:$U$1501,$J2655-1499))))</f>
        <v/>
      </c>
      <c r="C2655">
        <f>IF($J2655="","",IF($J2655&lt;=1500,INDEX('Daily Sale entry '!$Z$1:$Z$1501,$J2655+1)&amp;"","Cheque deposit 支票存入 (buyer 买家)"))</f>
        <v/>
      </c>
      <c r="D2655">
        <f>IF($J2655="","",IF($J2655&lt;=1500,INDEX('Daily Sale entry '!$AA$1:$AA$1501,$J2655+1)&amp;"",INDEX('Daily Sale entry '!$P$1:$P$1501,$J2655-1499)&amp;""))</f>
        <v/>
      </c>
      <c r="E2655">
        <f>IF($J2655="","",IF($J2655&lt;=1500,IF(N(INDEX('Daily Sale entry '!$AB$1:$AB$1501,$J2655+1))=0,"",INDEX('Daily Sale entry '!$AB$1:$AB$1501,$J2655+1)),1))</f>
        <v/>
      </c>
      <c r="F2655" s="6">
        <f>IF($J2655="","",IF($J2655&lt;=1500,N(INDEX('Daily Sale entry '!$AC$1:$AC$1501,$J2655+1))-IF(AND('Opening Balance'!$B$15=1,INDEX('Daily Sale entry '!$Z$1:$Z$1501,$J2655+1)="Online collection 网上收款",INDEX('Daily Sale entry '!$AA$1:$AA$1501,$J2655+1)&lt;&gt;""),N(INDEX('Daily Sale entry '!$AC$1:$AC$1501,$J2655+1))-TRUNC(N(INDEX('Daily Sale entry '!$AC$1:$AC$1501,$J2655+1))),0),N(INDEX('Daily Sale entry '!$S$1:$S$1501,$J2655-1499))-'Opening Balance'!$B$15*(N(INDEX('Daily Sale entry '!$S$1:$S$1501,$J2655-1499))-TRUNC(N(INDEX('Daily Sale entry '!$S$1:$S$1501,$J2655-1499))))))</f>
        <v/>
      </c>
      <c r="G2655" s="6">
        <f>IF($J2655="","",IF($J2655&lt;=1500,N(INDEX('Daily Sale entry '!$AD$1:$AD$1501,$J2655+1)),0))</f>
        <v/>
      </c>
      <c r="H2655" s="6">
        <f>IF($J2655="","",ROUND('Opening Balance'!$B$4+SUM($F$2:F2655)-SUM($G$2:G2655),2))</f>
        <v/>
      </c>
      <c r="J2655" s="21">
        <f>IFERROR(MATCH(ROW()-1,$L$2:$L$3001,0),"")</f>
        <v/>
      </c>
      <c r="K2655" s="34">
        <f>IF(AND('Daily Sale entry '!Q1155="Collection 收款",'Daily Sale entry '!R1155="Cheque 支票",'Daily Sale entry '!V1155&lt;&gt;""),'Daily Sale entry '!V1155+ROW()/10000000,"")</f>
        <v/>
      </c>
      <c r="L2655" s="21">
        <f>IF(K2655="","",COUNTIF($K$2:$K$3001,"&lt;"&amp;K2655)+1)</f>
        <v/>
      </c>
    </row>
    <row r="2656">
      <c r="A2656" s="5">
        <f>IF($J2656="","",IF($J2656&lt;=1500,INDEX('Daily Sale entry '!$X$1:$X$1501,$J2656+1),INDEX('Daily Sale entry '!$V$1:$V$1501,$J2656-1499)))</f>
        <v/>
      </c>
      <c r="B2656">
        <f>IF($J2656="","",IF($J2656&lt;=1500,INDEX('Daily Sale entry '!$Y$1:$Y$1501,$J2656+1)&amp;"","Buyer cheque banked 买家支票存入"&amp;IF(INDEX('Daily Sale entry '!$U$1:$U$1501,$J2656-1499)="","", " - "&amp;INDEX('Daily Sale entry '!$U$1:$U$1501,$J2656-1499))))</f>
        <v/>
      </c>
      <c r="C2656">
        <f>IF($J2656="","",IF($J2656&lt;=1500,INDEX('Daily Sale entry '!$Z$1:$Z$1501,$J2656+1)&amp;"","Cheque deposit 支票存入 (buyer 买家)"))</f>
        <v/>
      </c>
      <c r="D2656">
        <f>IF($J2656="","",IF($J2656&lt;=1500,INDEX('Daily Sale entry '!$AA$1:$AA$1501,$J2656+1)&amp;"",INDEX('Daily Sale entry '!$P$1:$P$1501,$J2656-1499)&amp;""))</f>
        <v/>
      </c>
      <c r="E2656">
        <f>IF($J2656="","",IF($J2656&lt;=1500,IF(N(INDEX('Daily Sale entry '!$AB$1:$AB$1501,$J2656+1))=0,"",INDEX('Daily Sale entry '!$AB$1:$AB$1501,$J2656+1)),1))</f>
        <v/>
      </c>
      <c r="F2656" s="6">
        <f>IF($J2656="","",IF($J2656&lt;=1500,N(INDEX('Daily Sale entry '!$AC$1:$AC$1501,$J2656+1))-IF(AND('Opening Balance'!$B$15=1,INDEX('Daily Sale entry '!$Z$1:$Z$1501,$J2656+1)="Online collection 网上收款",INDEX('Daily Sale entry '!$AA$1:$AA$1501,$J2656+1)&lt;&gt;""),N(INDEX('Daily Sale entry '!$AC$1:$AC$1501,$J2656+1))-TRUNC(N(INDEX('Daily Sale entry '!$AC$1:$AC$1501,$J2656+1))),0),N(INDEX('Daily Sale entry '!$S$1:$S$1501,$J2656-1499))-'Opening Balance'!$B$15*(N(INDEX('Daily Sale entry '!$S$1:$S$1501,$J2656-1499))-TRUNC(N(INDEX('Daily Sale entry '!$S$1:$S$1501,$J2656-1499))))))</f>
        <v/>
      </c>
      <c r="G2656" s="6">
        <f>IF($J2656="","",IF($J2656&lt;=1500,N(INDEX('Daily Sale entry '!$AD$1:$AD$1501,$J2656+1)),0))</f>
        <v/>
      </c>
      <c r="H2656" s="6">
        <f>IF($J2656="","",ROUND('Opening Balance'!$B$4+SUM($F$2:F2656)-SUM($G$2:G2656),2))</f>
        <v/>
      </c>
      <c r="J2656" s="21">
        <f>IFERROR(MATCH(ROW()-1,$L$2:$L$3001,0),"")</f>
        <v/>
      </c>
      <c r="K2656" s="34">
        <f>IF(AND('Daily Sale entry '!Q1156="Collection 收款",'Daily Sale entry '!R1156="Cheque 支票",'Daily Sale entry '!V1156&lt;&gt;""),'Daily Sale entry '!V1156+ROW()/10000000,"")</f>
        <v/>
      </c>
      <c r="L2656" s="21">
        <f>IF(K2656="","",COUNTIF($K$2:$K$3001,"&lt;"&amp;K2656)+1)</f>
        <v/>
      </c>
    </row>
    <row r="2657">
      <c r="A2657" s="5">
        <f>IF($J2657="","",IF($J2657&lt;=1500,INDEX('Daily Sale entry '!$X$1:$X$1501,$J2657+1),INDEX('Daily Sale entry '!$V$1:$V$1501,$J2657-1499)))</f>
        <v/>
      </c>
      <c r="B2657">
        <f>IF($J2657="","",IF($J2657&lt;=1500,INDEX('Daily Sale entry '!$Y$1:$Y$1501,$J2657+1)&amp;"","Buyer cheque banked 买家支票存入"&amp;IF(INDEX('Daily Sale entry '!$U$1:$U$1501,$J2657-1499)="","", " - "&amp;INDEX('Daily Sale entry '!$U$1:$U$1501,$J2657-1499))))</f>
        <v/>
      </c>
      <c r="C2657">
        <f>IF($J2657="","",IF($J2657&lt;=1500,INDEX('Daily Sale entry '!$Z$1:$Z$1501,$J2657+1)&amp;"","Cheque deposit 支票存入 (buyer 买家)"))</f>
        <v/>
      </c>
      <c r="D2657">
        <f>IF($J2657="","",IF($J2657&lt;=1500,INDEX('Daily Sale entry '!$AA$1:$AA$1501,$J2657+1)&amp;"",INDEX('Daily Sale entry '!$P$1:$P$1501,$J2657-1499)&amp;""))</f>
        <v/>
      </c>
      <c r="E2657">
        <f>IF($J2657="","",IF($J2657&lt;=1500,IF(N(INDEX('Daily Sale entry '!$AB$1:$AB$1501,$J2657+1))=0,"",INDEX('Daily Sale entry '!$AB$1:$AB$1501,$J2657+1)),1))</f>
        <v/>
      </c>
      <c r="F2657" s="6">
        <f>IF($J2657="","",IF($J2657&lt;=1500,N(INDEX('Daily Sale entry '!$AC$1:$AC$1501,$J2657+1))-IF(AND('Opening Balance'!$B$15=1,INDEX('Daily Sale entry '!$Z$1:$Z$1501,$J2657+1)="Online collection 网上收款",INDEX('Daily Sale entry '!$AA$1:$AA$1501,$J2657+1)&lt;&gt;""),N(INDEX('Daily Sale entry '!$AC$1:$AC$1501,$J2657+1))-TRUNC(N(INDEX('Daily Sale entry '!$AC$1:$AC$1501,$J2657+1))),0),N(INDEX('Daily Sale entry '!$S$1:$S$1501,$J2657-1499))-'Opening Balance'!$B$15*(N(INDEX('Daily Sale entry '!$S$1:$S$1501,$J2657-1499))-TRUNC(N(INDEX('Daily Sale entry '!$S$1:$S$1501,$J2657-1499))))))</f>
        <v/>
      </c>
      <c r="G2657" s="6">
        <f>IF($J2657="","",IF($J2657&lt;=1500,N(INDEX('Daily Sale entry '!$AD$1:$AD$1501,$J2657+1)),0))</f>
        <v/>
      </c>
      <c r="H2657" s="6">
        <f>IF($J2657="","",ROUND('Opening Balance'!$B$4+SUM($F$2:F2657)-SUM($G$2:G2657),2))</f>
        <v/>
      </c>
      <c r="J2657" s="21">
        <f>IFERROR(MATCH(ROW()-1,$L$2:$L$3001,0),"")</f>
        <v/>
      </c>
      <c r="K2657" s="34">
        <f>IF(AND('Daily Sale entry '!Q1157="Collection 收款",'Daily Sale entry '!R1157="Cheque 支票",'Daily Sale entry '!V1157&lt;&gt;""),'Daily Sale entry '!V1157+ROW()/10000000,"")</f>
        <v/>
      </c>
      <c r="L2657" s="21">
        <f>IF(K2657="","",COUNTIF($K$2:$K$3001,"&lt;"&amp;K2657)+1)</f>
        <v/>
      </c>
    </row>
    <row r="2658">
      <c r="A2658" s="5">
        <f>IF($J2658="","",IF($J2658&lt;=1500,INDEX('Daily Sale entry '!$X$1:$X$1501,$J2658+1),INDEX('Daily Sale entry '!$V$1:$V$1501,$J2658-1499)))</f>
        <v/>
      </c>
      <c r="B2658">
        <f>IF($J2658="","",IF($J2658&lt;=1500,INDEX('Daily Sale entry '!$Y$1:$Y$1501,$J2658+1)&amp;"","Buyer cheque banked 买家支票存入"&amp;IF(INDEX('Daily Sale entry '!$U$1:$U$1501,$J2658-1499)="","", " - "&amp;INDEX('Daily Sale entry '!$U$1:$U$1501,$J2658-1499))))</f>
        <v/>
      </c>
      <c r="C2658">
        <f>IF($J2658="","",IF($J2658&lt;=1500,INDEX('Daily Sale entry '!$Z$1:$Z$1501,$J2658+1)&amp;"","Cheque deposit 支票存入 (buyer 买家)"))</f>
        <v/>
      </c>
      <c r="D2658">
        <f>IF($J2658="","",IF($J2658&lt;=1500,INDEX('Daily Sale entry '!$AA$1:$AA$1501,$J2658+1)&amp;"",INDEX('Daily Sale entry '!$P$1:$P$1501,$J2658-1499)&amp;""))</f>
        <v/>
      </c>
      <c r="E2658">
        <f>IF($J2658="","",IF($J2658&lt;=1500,IF(N(INDEX('Daily Sale entry '!$AB$1:$AB$1501,$J2658+1))=0,"",INDEX('Daily Sale entry '!$AB$1:$AB$1501,$J2658+1)),1))</f>
        <v/>
      </c>
      <c r="F2658" s="6">
        <f>IF($J2658="","",IF($J2658&lt;=1500,N(INDEX('Daily Sale entry '!$AC$1:$AC$1501,$J2658+1))-IF(AND('Opening Balance'!$B$15=1,INDEX('Daily Sale entry '!$Z$1:$Z$1501,$J2658+1)="Online collection 网上收款",INDEX('Daily Sale entry '!$AA$1:$AA$1501,$J2658+1)&lt;&gt;""),N(INDEX('Daily Sale entry '!$AC$1:$AC$1501,$J2658+1))-TRUNC(N(INDEX('Daily Sale entry '!$AC$1:$AC$1501,$J2658+1))),0),N(INDEX('Daily Sale entry '!$S$1:$S$1501,$J2658-1499))-'Opening Balance'!$B$15*(N(INDEX('Daily Sale entry '!$S$1:$S$1501,$J2658-1499))-TRUNC(N(INDEX('Daily Sale entry '!$S$1:$S$1501,$J2658-1499))))))</f>
        <v/>
      </c>
      <c r="G2658" s="6">
        <f>IF($J2658="","",IF($J2658&lt;=1500,N(INDEX('Daily Sale entry '!$AD$1:$AD$1501,$J2658+1)),0))</f>
        <v/>
      </c>
      <c r="H2658" s="6">
        <f>IF($J2658="","",ROUND('Opening Balance'!$B$4+SUM($F$2:F2658)-SUM($G$2:G2658),2))</f>
        <v/>
      </c>
      <c r="J2658" s="21">
        <f>IFERROR(MATCH(ROW()-1,$L$2:$L$3001,0),"")</f>
        <v/>
      </c>
      <c r="K2658" s="34">
        <f>IF(AND('Daily Sale entry '!Q1158="Collection 收款",'Daily Sale entry '!R1158="Cheque 支票",'Daily Sale entry '!V1158&lt;&gt;""),'Daily Sale entry '!V1158+ROW()/10000000,"")</f>
        <v/>
      </c>
      <c r="L2658" s="21">
        <f>IF(K2658="","",COUNTIF($K$2:$K$3001,"&lt;"&amp;K2658)+1)</f>
        <v/>
      </c>
    </row>
    <row r="2659">
      <c r="A2659" s="5">
        <f>IF($J2659="","",IF($J2659&lt;=1500,INDEX('Daily Sale entry '!$X$1:$X$1501,$J2659+1),INDEX('Daily Sale entry '!$V$1:$V$1501,$J2659-1499)))</f>
        <v/>
      </c>
      <c r="B2659">
        <f>IF($J2659="","",IF($J2659&lt;=1500,INDEX('Daily Sale entry '!$Y$1:$Y$1501,$J2659+1)&amp;"","Buyer cheque banked 买家支票存入"&amp;IF(INDEX('Daily Sale entry '!$U$1:$U$1501,$J2659-1499)="","", " - "&amp;INDEX('Daily Sale entry '!$U$1:$U$1501,$J2659-1499))))</f>
        <v/>
      </c>
      <c r="C2659">
        <f>IF($J2659="","",IF($J2659&lt;=1500,INDEX('Daily Sale entry '!$Z$1:$Z$1501,$J2659+1)&amp;"","Cheque deposit 支票存入 (buyer 买家)"))</f>
        <v/>
      </c>
      <c r="D2659">
        <f>IF($J2659="","",IF($J2659&lt;=1500,INDEX('Daily Sale entry '!$AA$1:$AA$1501,$J2659+1)&amp;"",INDEX('Daily Sale entry '!$P$1:$P$1501,$J2659-1499)&amp;""))</f>
        <v/>
      </c>
      <c r="E2659">
        <f>IF($J2659="","",IF($J2659&lt;=1500,IF(N(INDEX('Daily Sale entry '!$AB$1:$AB$1501,$J2659+1))=0,"",INDEX('Daily Sale entry '!$AB$1:$AB$1501,$J2659+1)),1))</f>
        <v/>
      </c>
      <c r="F2659" s="6">
        <f>IF($J2659="","",IF($J2659&lt;=1500,N(INDEX('Daily Sale entry '!$AC$1:$AC$1501,$J2659+1))-IF(AND('Opening Balance'!$B$15=1,INDEX('Daily Sale entry '!$Z$1:$Z$1501,$J2659+1)="Online collection 网上收款",INDEX('Daily Sale entry '!$AA$1:$AA$1501,$J2659+1)&lt;&gt;""),N(INDEX('Daily Sale entry '!$AC$1:$AC$1501,$J2659+1))-TRUNC(N(INDEX('Daily Sale entry '!$AC$1:$AC$1501,$J2659+1))),0),N(INDEX('Daily Sale entry '!$S$1:$S$1501,$J2659-1499))-'Opening Balance'!$B$15*(N(INDEX('Daily Sale entry '!$S$1:$S$1501,$J2659-1499))-TRUNC(N(INDEX('Daily Sale entry '!$S$1:$S$1501,$J2659-1499))))))</f>
        <v/>
      </c>
      <c r="G2659" s="6">
        <f>IF($J2659="","",IF($J2659&lt;=1500,N(INDEX('Daily Sale entry '!$AD$1:$AD$1501,$J2659+1)),0))</f>
        <v/>
      </c>
      <c r="H2659" s="6">
        <f>IF($J2659="","",ROUND('Opening Balance'!$B$4+SUM($F$2:F2659)-SUM($G$2:G2659),2))</f>
        <v/>
      </c>
      <c r="J2659" s="21">
        <f>IFERROR(MATCH(ROW()-1,$L$2:$L$3001,0),"")</f>
        <v/>
      </c>
      <c r="K2659" s="34">
        <f>IF(AND('Daily Sale entry '!Q1159="Collection 收款",'Daily Sale entry '!R1159="Cheque 支票",'Daily Sale entry '!V1159&lt;&gt;""),'Daily Sale entry '!V1159+ROW()/10000000,"")</f>
        <v/>
      </c>
      <c r="L2659" s="21">
        <f>IF(K2659="","",COUNTIF($K$2:$K$3001,"&lt;"&amp;K2659)+1)</f>
        <v/>
      </c>
    </row>
    <row r="2660">
      <c r="A2660" s="5">
        <f>IF($J2660="","",IF($J2660&lt;=1500,INDEX('Daily Sale entry '!$X$1:$X$1501,$J2660+1),INDEX('Daily Sale entry '!$V$1:$V$1501,$J2660-1499)))</f>
        <v/>
      </c>
      <c r="B2660">
        <f>IF($J2660="","",IF($J2660&lt;=1500,INDEX('Daily Sale entry '!$Y$1:$Y$1501,$J2660+1)&amp;"","Buyer cheque banked 买家支票存入"&amp;IF(INDEX('Daily Sale entry '!$U$1:$U$1501,$J2660-1499)="","", " - "&amp;INDEX('Daily Sale entry '!$U$1:$U$1501,$J2660-1499))))</f>
        <v/>
      </c>
      <c r="C2660">
        <f>IF($J2660="","",IF($J2660&lt;=1500,INDEX('Daily Sale entry '!$Z$1:$Z$1501,$J2660+1)&amp;"","Cheque deposit 支票存入 (buyer 买家)"))</f>
        <v/>
      </c>
      <c r="D2660">
        <f>IF($J2660="","",IF($J2660&lt;=1500,INDEX('Daily Sale entry '!$AA$1:$AA$1501,$J2660+1)&amp;"",INDEX('Daily Sale entry '!$P$1:$P$1501,$J2660-1499)&amp;""))</f>
        <v/>
      </c>
      <c r="E2660">
        <f>IF($J2660="","",IF($J2660&lt;=1500,IF(N(INDEX('Daily Sale entry '!$AB$1:$AB$1501,$J2660+1))=0,"",INDEX('Daily Sale entry '!$AB$1:$AB$1501,$J2660+1)),1))</f>
        <v/>
      </c>
      <c r="F2660" s="6">
        <f>IF($J2660="","",IF($J2660&lt;=1500,N(INDEX('Daily Sale entry '!$AC$1:$AC$1501,$J2660+1))-IF(AND('Opening Balance'!$B$15=1,INDEX('Daily Sale entry '!$Z$1:$Z$1501,$J2660+1)="Online collection 网上收款",INDEX('Daily Sale entry '!$AA$1:$AA$1501,$J2660+1)&lt;&gt;""),N(INDEX('Daily Sale entry '!$AC$1:$AC$1501,$J2660+1))-TRUNC(N(INDEX('Daily Sale entry '!$AC$1:$AC$1501,$J2660+1))),0),N(INDEX('Daily Sale entry '!$S$1:$S$1501,$J2660-1499))-'Opening Balance'!$B$15*(N(INDEX('Daily Sale entry '!$S$1:$S$1501,$J2660-1499))-TRUNC(N(INDEX('Daily Sale entry '!$S$1:$S$1501,$J2660-1499))))))</f>
        <v/>
      </c>
      <c r="G2660" s="6">
        <f>IF($J2660="","",IF($J2660&lt;=1500,N(INDEX('Daily Sale entry '!$AD$1:$AD$1501,$J2660+1)),0))</f>
        <v/>
      </c>
      <c r="H2660" s="6">
        <f>IF($J2660="","",ROUND('Opening Balance'!$B$4+SUM($F$2:F2660)-SUM($G$2:G2660),2))</f>
        <v/>
      </c>
      <c r="J2660" s="21">
        <f>IFERROR(MATCH(ROW()-1,$L$2:$L$3001,0),"")</f>
        <v/>
      </c>
      <c r="K2660" s="34">
        <f>IF(AND('Daily Sale entry '!Q1160="Collection 收款",'Daily Sale entry '!R1160="Cheque 支票",'Daily Sale entry '!V1160&lt;&gt;""),'Daily Sale entry '!V1160+ROW()/10000000,"")</f>
        <v/>
      </c>
      <c r="L2660" s="21">
        <f>IF(K2660="","",COUNTIF($K$2:$K$3001,"&lt;"&amp;K2660)+1)</f>
        <v/>
      </c>
    </row>
    <row r="2661">
      <c r="A2661" s="5">
        <f>IF($J2661="","",IF($J2661&lt;=1500,INDEX('Daily Sale entry '!$X$1:$X$1501,$J2661+1),INDEX('Daily Sale entry '!$V$1:$V$1501,$J2661-1499)))</f>
        <v/>
      </c>
      <c r="B2661">
        <f>IF($J2661="","",IF($J2661&lt;=1500,INDEX('Daily Sale entry '!$Y$1:$Y$1501,$J2661+1)&amp;"","Buyer cheque banked 买家支票存入"&amp;IF(INDEX('Daily Sale entry '!$U$1:$U$1501,$J2661-1499)="","", " - "&amp;INDEX('Daily Sale entry '!$U$1:$U$1501,$J2661-1499))))</f>
        <v/>
      </c>
      <c r="C2661">
        <f>IF($J2661="","",IF($J2661&lt;=1500,INDEX('Daily Sale entry '!$Z$1:$Z$1501,$J2661+1)&amp;"","Cheque deposit 支票存入 (buyer 买家)"))</f>
        <v/>
      </c>
      <c r="D2661">
        <f>IF($J2661="","",IF($J2661&lt;=1500,INDEX('Daily Sale entry '!$AA$1:$AA$1501,$J2661+1)&amp;"",INDEX('Daily Sale entry '!$P$1:$P$1501,$J2661-1499)&amp;""))</f>
        <v/>
      </c>
      <c r="E2661">
        <f>IF($J2661="","",IF($J2661&lt;=1500,IF(N(INDEX('Daily Sale entry '!$AB$1:$AB$1501,$J2661+1))=0,"",INDEX('Daily Sale entry '!$AB$1:$AB$1501,$J2661+1)),1))</f>
        <v/>
      </c>
      <c r="F2661" s="6">
        <f>IF($J2661="","",IF($J2661&lt;=1500,N(INDEX('Daily Sale entry '!$AC$1:$AC$1501,$J2661+1))-IF(AND('Opening Balance'!$B$15=1,INDEX('Daily Sale entry '!$Z$1:$Z$1501,$J2661+1)="Online collection 网上收款",INDEX('Daily Sale entry '!$AA$1:$AA$1501,$J2661+1)&lt;&gt;""),N(INDEX('Daily Sale entry '!$AC$1:$AC$1501,$J2661+1))-TRUNC(N(INDEX('Daily Sale entry '!$AC$1:$AC$1501,$J2661+1))),0),N(INDEX('Daily Sale entry '!$S$1:$S$1501,$J2661-1499))-'Opening Balance'!$B$15*(N(INDEX('Daily Sale entry '!$S$1:$S$1501,$J2661-1499))-TRUNC(N(INDEX('Daily Sale entry '!$S$1:$S$1501,$J2661-1499))))))</f>
        <v/>
      </c>
      <c r="G2661" s="6">
        <f>IF($J2661="","",IF($J2661&lt;=1500,N(INDEX('Daily Sale entry '!$AD$1:$AD$1501,$J2661+1)),0))</f>
        <v/>
      </c>
      <c r="H2661" s="6">
        <f>IF($J2661="","",ROUND('Opening Balance'!$B$4+SUM($F$2:F2661)-SUM($G$2:G2661),2))</f>
        <v/>
      </c>
      <c r="J2661" s="21">
        <f>IFERROR(MATCH(ROW()-1,$L$2:$L$3001,0),"")</f>
        <v/>
      </c>
      <c r="K2661" s="34">
        <f>IF(AND('Daily Sale entry '!Q1161="Collection 收款",'Daily Sale entry '!R1161="Cheque 支票",'Daily Sale entry '!V1161&lt;&gt;""),'Daily Sale entry '!V1161+ROW()/10000000,"")</f>
        <v/>
      </c>
      <c r="L2661" s="21">
        <f>IF(K2661="","",COUNTIF($K$2:$K$3001,"&lt;"&amp;K2661)+1)</f>
        <v/>
      </c>
    </row>
    <row r="2662">
      <c r="A2662" s="5">
        <f>IF($J2662="","",IF($J2662&lt;=1500,INDEX('Daily Sale entry '!$X$1:$X$1501,$J2662+1),INDEX('Daily Sale entry '!$V$1:$V$1501,$J2662-1499)))</f>
        <v/>
      </c>
      <c r="B2662">
        <f>IF($J2662="","",IF($J2662&lt;=1500,INDEX('Daily Sale entry '!$Y$1:$Y$1501,$J2662+1)&amp;"","Buyer cheque banked 买家支票存入"&amp;IF(INDEX('Daily Sale entry '!$U$1:$U$1501,$J2662-1499)="","", " - "&amp;INDEX('Daily Sale entry '!$U$1:$U$1501,$J2662-1499))))</f>
        <v/>
      </c>
      <c r="C2662">
        <f>IF($J2662="","",IF($J2662&lt;=1500,INDEX('Daily Sale entry '!$Z$1:$Z$1501,$J2662+1)&amp;"","Cheque deposit 支票存入 (buyer 买家)"))</f>
        <v/>
      </c>
      <c r="D2662">
        <f>IF($J2662="","",IF($J2662&lt;=1500,INDEX('Daily Sale entry '!$AA$1:$AA$1501,$J2662+1)&amp;"",INDEX('Daily Sale entry '!$P$1:$P$1501,$J2662-1499)&amp;""))</f>
        <v/>
      </c>
      <c r="E2662">
        <f>IF($J2662="","",IF($J2662&lt;=1500,IF(N(INDEX('Daily Sale entry '!$AB$1:$AB$1501,$J2662+1))=0,"",INDEX('Daily Sale entry '!$AB$1:$AB$1501,$J2662+1)),1))</f>
        <v/>
      </c>
      <c r="F2662" s="6">
        <f>IF($J2662="","",IF($J2662&lt;=1500,N(INDEX('Daily Sale entry '!$AC$1:$AC$1501,$J2662+1))-IF(AND('Opening Balance'!$B$15=1,INDEX('Daily Sale entry '!$Z$1:$Z$1501,$J2662+1)="Online collection 网上收款",INDEX('Daily Sale entry '!$AA$1:$AA$1501,$J2662+1)&lt;&gt;""),N(INDEX('Daily Sale entry '!$AC$1:$AC$1501,$J2662+1))-TRUNC(N(INDEX('Daily Sale entry '!$AC$1:$AC$1501,$J2662+1))),0),N(INDEX('Daily Sale entry '!$S$1:$S$1501,$J2662-1499))-'Opening Balance'!$B$15*(N(INDEX('Daily Sale entry '!$S$1:$S$1501,$J2662-1499))-TRUNC(N(INDEX('Daily Sale entry '!$S$1:$S$1501,$J2662-1499))))))</f>
        <v/>
      </c>
      <c r="G2662" s="6">
        <f>IF($J2662="","",IF($J2662&lt;=1500,N(INDEX('Daily Sale entry '!$AD$1:$AD$1501,$J2662+1)),0))</f>
        <v/>
      </c>
      <c r="H2662" s="6">
        <f>IF($J2662="","",ROUND('Opening Balance'!$B$4+SUM($F$2:F2662)-SUM($G$2:G2662),2))</f>
        <v/>
      </c>
      <c r="J2662" s="21">
        <f>IFERROR(MATCH(ROW()-1,$L$2:$L$3001,0),"")</f>
        <v/>
      </c>
      <c r="K2662" s="34">
        <f>IF(AND('Daily Sale entry '!Q1162="Collection 收款",'Daily Sale entry '!R1162="Cheque 支票",'Daily Sale entry '!V1162&lt;&gt;""),'Daily Sale entry '!V1162+ROW()/10000000,"")</f>
        <v/>
      </c>
      <c r="L2662" s="21">
        <f>IF(K2662="","",COUNTIF($K$2:$K$3001,"&lt;"&amp;K2662)+1)</f>
        <v/>
      </c>
    </row>
    <row r="2663">
      <c r="A2663" s="5">
        <f>IF($J2663="","",IF($J2663&lt;=1500,INDEX('Daily Sale entry '!$X$1:$X$1501,$J2663+1),INDEX('Daily Sale entry '!$V$1:$V$1501,$J2663-1499)))</f>
        <v/>
      </c>
      <c r="B2663">
        <f>IF($J2663="","",IF($J2663&lt;=1500,INDEX('Daily Sale entry '!$Y$1:$Y$1501,$J2663+1)&amp;"","Buyer cheque banked 买家支票存入"&amp;IF(INDEX('Daily Sale entry '!$U$1:$U$1501,$J2663-1499)="","", " - "&amp;INDEX('Daily Sale entry '!$U$1:$U$1501,$J2663-1499))))</f>
        <v/>
      </c>
      <c r="C2663">
        <f>IF($J2663="","",IF($J2663&lt;=1500,INDEX('Daily Sale entry '!$Z$1:$Z$1501,$J2663+1)&amp;"","Cheque deposit 支票存入 (buyer 买家)"))</f>
        <v/>
      </c>
      <c r="D2663">
        <f>IF($J2663="","",IF($J2663&lt;=1500,INDEX('Daily Sale entry '!$AA$1:$AA$1501,$J2663+1)&amp;"",INDEX('Daily Sale entry '!$P$1:$P$1501,$J2663-1499)&amp;""))</f>
        <v/>
      </c>
      <c r="E2663">
        <f>IF($J2663="","",IF($J2663&lt;=1500,IF(N(INDEX('Daily Sale entry '!$AB$1:$AB$1501,$J2663+1))=0,"",INDEX('Daily Sale entry '!$AB$1:$AB$1501,$J2663+1)),1))</f>
        <v/>
      </c>
      <c r="F2663" s="6">
        <f>IF($J2663="","",IF($J2663&lt;=1500,N(INDEX('Daily Sale entry '!$AC$1:$AC$1501,$J2663+1))-IF(AND('Opening Balance'!$B$15=1,INDEX('Daily Sale entry '!$Z$1:$Z$1501,$J2663+1)="Online collection 网上收款",INDEX('Daily Sale entry '!$AA$1:$AA$1501,$J2663+1)&lt;&gt;""),N(INDEX('Daily Sale entry '!$AC$1:$AC$1501,$J2663+1))-TRUNC(N(INDEX('Daily Sale entry '!$AC$1:$AC$1501,$J2663+1))),0),N(INDEX('Daily Sale entry '!$S$1:$S$1501,$J2663-1499))-'Opening Balance'!$B$15*(N(INDEX('Daily Sale entry '!$S$1:$S$1501,$J2663-1499))-TRUNC(N(INDEX('Daily Sale entry '!$S$1:$S$1501,$J2663-1499))))))</f>
        <v/>
      </c>
      <c r="G2663" s="6">
        <f>IF($J2663="","",IF($J2663&lt;=1500,N(INDEX('Daily Sale entry '!$AD$1:$AD$1501,$J2663+1)),0))</f>
        <v/>
      </c>
      <c r="H2663" s="6">
        <f>IF($J2663="","",ROUND('Opening Balance'!$B$4+SUM($F$2:F2663)-SUM($G$2:G2663),2))</f>
        <v/>
      </c>
      <c r="J2663" s="21">
        <f>IFERROR(MATCH(ROW()-1,$L$2:$L$3001,0),"")</f>
        <v/>
      </c>
      <c r="K2663" s="34">
        <f>IF(AND('Daily Sale entry '!Q1163="Collection 收款",'Daily Sale entry '!R1163="Cheque 支票",'Daily Sale entry '!V1163&lt;&gt;""),'Daily Sale entry '!V1163+ROW()/10000000,"")</f>
        <v/>
      </c>
      <c r="L2663" s="21">
        <f>IF(K2663="","",COUNTIF($K$2:$K$3001,"&lt;"&amp;K2663)+1)</f>
        <v/>
      </c>
    </row>
    <row r="2664">
      <c r="A2664" s="5">
        <f>IF($J2664="","",IF($J2664&lt;=1500,INDEX('Daily Sale entry '!$X$1:$X$1501,$J2664+1),INDEX('Daily Sale entry '!$V$1:$V$1501,$J2664-1499)))</f>
        <v/>
      </c>
      <c r="B2664">
        <f>IF($J2664="","",IF($J2664&lt;=1500,INDEX('Daily Sale entry '!$Y$1:$Y$1501,$J2664+1)&amp;"","Buyer cheque banked 买家支票存入"&amp;IF(INDEX('Daily Sale entry '!$U$1:$U$1501,$J2664-1499)="","", " - "&amp;INDEX('Daily Sale entry '!$U$1:$U$1501,$J2664-1499))))</f>
        <v/>
      </c>
      <c r="C2664">
        <f>IF($J2664="","",IF($J2664&lt;=1500,INDEX('Daily Sale entry '!$Z$1:$Z$1501,$J2664+1)&amp;"","Cheque deposit 支票存入 (buyer 买家)"))</f>
        <v/>
      </c>
      <c r="D2664">
        <f>IF($J2664="","",IF($J2664&lt;=1500,INDEX('Daily Sale entry '!$AA$1:$AA$1501,$J2664+1)&amp;"",INDEX('Daily Sale entry '!$P$1:$P$1501,$J2664-1499)&amp;""))</f>
        <v/>
      </c>
      <c r="E2664">
        <f>IF($J2664="","",IF($J2664&lt;=1500,IF(N(INDEX('Daily Sale entry '!$AB$1:$AB$1501,$J2664+1))=0,"",INDEX('Daily Sale entry '!$AB$1:$AB$1501,$J2664+1)),1))</f>
        <v/>
      </c>
      <c r="F2664" s="6">
        <f>IF($J2664="","",IF($J2664&lt;=1500,N(INDEX('Daily Sale entry '!$AC$1:$AC$1501,$J2664+1))-IF(AND('Opening Balance'!$B$15=1,INDEX('Daily Sale entry '!$Z$1:$Z$1501,$J2664+1)="Online collection 网上收款",INDEX('Daily Sale entry '!$AA$1:$AA$1501,$J2664+1)&lt;&gt;""),N(INDEX('Daily Sale entry '!$AC$1:$AC$1501,$J2664+1))-TRUNC(N(INDEX('Daily Sale entry '!$AC$1:$AC$1501,$J2664+1))),0),N(INDEX('Daily Sale entry '!$S$1:$S$1501,$J2664-1499))-'Opening Balance'!$B$15*(N(INDEX('Daily Sale entry '!$S$1:$S$1501,$J2664-1499))-TRUNC(N(INDEX('Daily Sale entry '!$S$1:$S$1501,$J2664-1499))))))</f>
        <v/>
      </c>
      <c r="G2664" s="6">
        <f>IF($J2664="","",IF($J2664&lt;=1500,N(INDEX('Daily Sale entry '!$AD$1:$AD$1501,$J2664+1)),0))</f>
        <v/>
      </c>
      <c r="H2664" s="6">
        <f>IF($J2664="","",ROUND('Opening Balance'!$B$4+SUM($F$2:F2664)-SUM($G$2:G2664),2))</f>
        <v/>
      </c>
      <c r="J2664" s="21">
        <f>IFERROR(MATCH(ROW()-1,$L$2:$L$3001,0),"")</f>
        <v/>
      </c>
      <c r="K2664" s="34">
        <f>IF(AND('Daily Sale entry '!Q1164="Collection 收款",'Daily Sale entry '!R1164="Cheque 支票",'Daily Sale entry '!V1164&lt;&gt;""),'Daily Sale entry '!V1164+ROW()/10000000,"")</f>
        <v/>
      </c>
      <c r="L2664" s="21">
        <f>IF(K2664="","",COUNTIF($K$2:$K$3001,"&lt;"&amp;K2664)+1)</f>
        <v/>
      </c>
    </row>
    <row r="2665">
      <c r="A2665" s="5">
        <f>IF($J2665="","",IF($J2665&lt;=1500,INDEX('Daily Sale entry '!$X$1:$X$1501,$J2665+1),INDEX('Daily Sale entry '!$V$1:$V$1501,$J2665-1499)))</f>
        <v/>
      </c>
      <c r="B2665">
        <f>IF($J2665="","",IF($J2665&lt;=1500,INDEX('Daily Sale entry '!$Y$1:$Y$1501,$J2665+1)&amp;"","Buyer cheque banked 买家支票存入"&amp;IF(INDEX('Daily Sale entry '!$U$1:$U$1501,$J2665-1499)="","", " - "&amp;INDEX('Daily Sale entry '!$U$1:$U$1501,$J2665-1499))))</f>
        <v/>
      </c>
      <c r="C2665">
        <f>IF($J2665="","",IF($J2665&lt;=1500,INDEX('Daily Sale entry '!$Z$1:$Z$1501,$J2665+1)&amp;"","Cheque deposit 支票存入 (buyer 买家)"))</f>
        <v/>
      </c>
      <c r="D2665">
        <f>IF($J2665="","",IF($J2665&lt;=1500,INDEX('Daily Sale entry '!$AA$1:$AA$1501,$J2665+1)&amp;"",INDEX('Daily Sale entry '!$P$1:$P$1501,$J2665-1499)&amp;""))</f>
        <v/>
      </c>
      <c r="E2665">
        <f>IF($J2665="","",IF($J2665&lt;=1500,IF(N(INDEX('Daily Sale entry '!$AB$1:$AB$1501,$J2665+1))=0,"",INDEX('Daily Sale entry '!$AB$1:$AB$1501,$J2665+1)),1))</f>
        <v/>
      </c>
      <c r="F2665" s="6">
        <f>IF($J2665="","",IF($J2665&lt;=1500,N(INDEX('Daily Sale entry '!$AC$1:$AC$1501,$J2665+1))-IF(AND('Opening Balance'!$B$15=1,INDEX('Daily Sale entry '!$Z$1:$Z$1501,$J2665+1)="Online collection 网上收款",INDEX('Daily Sale entry '!$AA$1:$AA$1501,$J2665+1)&lt;&gt;""),N(INDEX('Daily Sale entry '!$AC$1:$AC$1501,$J2665+1))-TRUNC(N(INDEX('Daily Sale entry '!$AC$1:$AC$1501,$J2665+1))),0),N(INDEX('Daily Sale entry '!$S$1:$S$1501,$J2665-1499))-'Opening Balance'!$B$15*(N(INDEX('Daily Sale entry '!$S$1:$S$1501,$J2665-1499))-TRUNC(N(INDEX('Daily Sale entry '!$S$1:$S$1501,$J2665-1499))))))</f>
        <v/>
      </c>
      <c r="G2665" s="6">
        <f>IF($J2665="","",IF($J2665&lt;=1500,N(INDEX('Daily Sale entry '!$AD$1:$AD$1501,$J2665+1)),0))</f>
        <v/>
      </c>
      <c r="H2665" s="6">
        <f>IF($J2665="","",ROUND('Opening Balance'!$B$4+SUM($F$2:F2665)-SUM($G$2:G2665),2))</f>
        <v/>
      </c>
      <c r="J2665" s="21">
        <f>IFERROR(MATCH(ROW()-1,$L$2:$L$3001,0),"")</f>
        <v/>
      </c>
      <c r="K2665" s="34">
        <f>IF(AND('Daily Sale entry '!Q1165="Collection 收款",'Daily Sale entry '!R1165="Cheque 支票",'Daily Sale entry '!V1165&lt;&gt;""),'Daily Sale entry '!V1165+ROW()/10000000,"")</f>
        <v/>
      </c>
      <c r="L2665" s="21">
        <f>IF(K2665="","",COUNTIF($K$2:$K$3001,"&lt;"&amp;K2665)+1)</f>
        <v/>
      </c>
    </row>
    <row r="2666">
      <c r="A2666" s="5">
        <f>IF($J2666="","",IF($J2666&lt;=1500,INDEX('Daily Sale entry '!$X$1:$X$1501,$J2666+1),INDEX('Daily Sale entry '!$V$1:$V$1501,$J2666-1499)))</f>
        <v/>
      </c>
      <c r="B2666">
        <f>IF($J2666="","",IF($J2666&lt;=1500,INDEX('Daily Sale entry '!$Y$1:$Y$1501,$J2666+1)&amp;"","Buyer cheque banked 买家支票存入"&amp;IF(INDEX('Daily Sale entry '!$U$1:$U$1501,$J2666-1499)="","", " - "&amp;INDEX('Daily Sale entry '!$U$1:$U$1501,$J2666-1499))))</f>
        <v/>
      </c>
      <c r="C2666">
        <f>IF($J2666="","",IF($J2666&lt;=1500,INDEX('Daily Sale entry '!$Z$1:$Z$1501,$J2666+1)&amp;"","Cheque deposit 支票存入 (buyer 买家)"))</f>
        <v/>
      </c>
      <c r="D2666">
        <f>IF($J2666="","",IF($J2666&lt;=1500,INDEX('Daily Sale entry '!$AA$1:$AA$1501,$J2666+1)&amp;"",INDEX('Daily Sale entry '!$P$1:$P$1501,$J2666-1499)&amp;""))</f>
        <v/>
      </c>
      <c r="E2666">
        <f>IF($J2666="","",IF($J2666&lt;=1500,IF(N(INDEX('Daily Sale entry '!$AB$1:$AB$1501,$J2666+1))=0,"",INDEX('Daily Sale entry '!$AB$1:$AB$1501,$J2666+1)),1))</f>
        <v/>
      </c>
      <c r="F2666" s="6">
        <f>IF($J2666="","",IF($J2666&lt;=1500,N(INDEX('Daily Sale entry '!$AC$1:$AC$1501,$J2666+1))-IF(AND('Opening Balance'!$B$15=1,INDEX('Daily Sale entry '!$Z$1:$Z$1501,$J2666+1)="Online collection 网上收款",INDEX('Daily Sale entry '!$AA$1:$AA$1501,$J2666+1)&lt;&gt;""),N(INDEX('Daily Sale entry '!$AC$1:$AC$1501,$J2666+1))-TRUNC(N(INDEX('Daily Sale entry '!$AC$1:$AC$1501,$J2666+1))),0),N(INDEX('Daily Sale entry '!$S$1:$S$1501,$J2666-1499))-'Opening Balance'!$B$15*(N(INDEX('Daily Sale entry '!$S$1:$S$1501,$J2666-1499))-TRUNC(N(INDEX('Daily Sale entry '!$S$1:$S$1501,$J2666-1499))))))</f>
        <v/>
      </c>
      <c r="G2666" s="6">
        <f>IF($J2666="","",IF($J2666&lt;=1500,N(INDEX('Daily Sale entry '!$AD$1:$AD$1501,$J2666+1)),0))</f>
        <v/>
      </c>
      <c r="H2666" s="6">
        <f>IF($J2666="","",ROUND('Opening Balance'!$B$4+SUM($F$2:F2666)-SUM($G$2:G2666),2))</f>
        <v/>
      </c>
      <c r="J2666" s="21">
        <f>IFERROR(MATCH(ROW()-1,$L$2:$L$3001,0),"")</f>
        <v/>
      </c>
      <c r="K2666" s="34">
        <f>IF(AND('Daily Sale entry '!Q1166="Collection 收款",'Daily Sale entry '!R1166="Cheque 支票",'Daily Sale entry '!V1166&lt;&gt;""),'Daily Sale entry '!V1166+ROW()/10000000,"")</f>
        <v/>
      </c>
      <c r="L2666" s="21">
        <f>IF(K2666="","",COUNTIF($K$2:$K$3001,"&lt;"&amp;K2666)+1)</f>
        <v/>
      </c>
    </row>
    <row r="2667">
      <c r="A2667" s="5">
        <f>IF($J2667="","",IF($J2667&lt;=1500,INDEX('Daily Sale entry '!$X$1:$X$1501,$J2667+1),INDEX('Daily Sale entry '!$V$1:$V$1501,$J2667-1499)))</f>
        <v/>
      </c>
      <c r="B2667">
        <f>IF($J2667="","",IF($J2667&lt;=1500,INDEX('Daily Sale entry '!$Y$1:$Y$1501,$J2667+1)&amp;"","Buyer cheque banked 买家支票存入"&amp;IF(INDEX('Daily Sale entry '!$U$1:$U$1501,$J2667-1499)="","", " - "&amp;INDEX('Daily Sale entry '!$U$1:$U$1501,$J2667-1499))))</f>
        <v/>
      </c>
      <c r="C2667">
        <f>IF($J2667="","",IF($J2667&lt;=1500,INDEX('Daily Sale entry '!$Z$1:$Z$1501,$J2667+1)&amp;"","Cheque deposit 支票存入 (buyer 买家)"))</f>
        <v/>
      </c>
      <c r="D2667">
        <f>IF($J2667="","",IF($J2667&lt;=1500,INDEX('Daily Sale entry '!$AA$1:$AA$1501,$J2667+1)&amp;"",INDEX('Daily Sale entry '!$P$1:$P$1501,$J2667-1499)&amp;""))</f>
        <v/>
      </c>
      <c r="E2667">
        <f>IF($J2667="","",IF($J2667&lt;=1500,IF(N(INDEX('Daily Sale entry '!$AB$1:$AB$1501,$J2667+1))=0,"",INDEX('Daily Sale entry '!$AB$1:$AB$1501,$J2667+1)),1))</f>
        <v/>
      </c>
      <c r="F2667" s="6">
        <f>IF($J2667="","",IF($J2667&lt;=1500,N(INDEX('Daily Sale entry '!$AC$1:$AC$1501,$J2667+1))-IF(AND('Opening Balance'!$B$15=1,INDEX('Daily Sale entry '!$Z$1:$Z$1501,$J2667+1)="Online collection 网上收款",INDEX('Daily Sale entry '!$AA$1:$AA$1501,$J2667+1)&lt;&gt;""),N(INDEX('Daily Sale entry '!$AC$1:$AC$1501,$J2667+1))-TRUNC(N(INDEX('Daily Sale entry '!$AC$1:$AC$1501,$J2667+1))),0),N(INDEX('Daily Sale entry '!$S$1:$S$1501,$J2667-1499))-'Opening Balance'!$B$15*(N(INDEX('Daily Sale entry '!$S$1:$S$1501,$J2667-1499))-TRUNC(N(INDEX('Daily Sale entry '!$S$1:$S$1501,$J2667-1499))))))</f>
        <v/>
      </c>
      <c r="G2667" s="6">
        <f>IF($J2667="","",IF($J2667&lt;=1500,N(INDEX('Daily Sale entry '!$AD$1:$AD$1501,$J2667+1)),0))</f>
        <v/>
      </c>
      <c r="H2667" s="6">
        <f>IF($J2667="","",ROUND('Opening Balance'!$B$4+SUM($F$2:F2667)-SUM($G$2:G2667),2))</f>
        <v/>
      </c>
      <c r="J2667" s="21">
        <f>IFERROR(MATCH(ROW()-1,$L$2:$L$3001,0),"")</f>
        <v/>
      </c>
      <c r="K2667" s="34">
        <f>IF(AND('Daily Sale entry '!Q1167="Collection 收款",'Daily Sale entry '!R1167="Cheque 支票",'Daily Sale entry '!V1167&lt;&gt;""),'Daily Sale entry '!V1167+ROW()/10000000,"")</f>
        <v/>
      </c>
      <c r="L2667" s="21">
        <f>IF(K2667="","",COUNTIF($K$2:$K$3001,"&lt;"&amp;K2667)+1)</f>
        <v/>
      </c>
    </row>
    <row r="2668">
      <c r="A2668" s="5">
        <f>IF($J2668="","",IF($J2668&lt;=1500,INDEX('Daily Sale entry '!$X$1:$X$1501,$J2668+1),INDEX('Daily Sale entry '!$V$1:$V$1501,$J2668-1499)))</f>
        <v/>
      </c>
      <c r="B2668">
        <f>IF($J2668="","",IF($J2668&lt;=1500,INDEX('Daily Sale entry '!$Y$1:$Y$1501,$J2668+1)&amp;"","Buyer cheque banked 买家支票存入"&amp;IF(INDEX('Daily Sale entry '!$U$1:$U$1501,$J2668-1499)="","", " - "&amp;INDEX('Daily Sale entry '!$U$1:$U$1501,$J2668-1499))))</f>
        <v/>
      </c>
      <c r="C2668">
        <f>IF($J2668="","",IF($J2668&lt;=1500,INDEX('Daily Sale entry '!$Z$1:$Z$1501,$J2668+1)&amp;"","Cheque deposit 支票存入 (buyer 买家)"))</f>
        <v/>
      </c>
      <c r="D2668">
        <f>IF($J2668="","",IF($J2668&lt;=1500,INDEX('Daily Sale entry '!$AA$1:$AA$1501,$J2668+1)&amp;"",INDEX('Daily Sale entry '!$P$1:$P$1501,$J2668-1499)&amp;""))</f>
        <v/>
      </c>
      <c r="E2668">
        <f>IF($J2668="","",IF($J2668&lt;=1500,IF(N(INDEX('Daily Sale entry '!$AB$1:$AB$1501,$J2668+1))=0,"",INDEX('Daily Sale entry '!$AB$1:$AB$1501,$J2668+1)),1))</f>
        <v/>
      </c>
      <c r="F2668" s="6">
        <f>IF($J2668="","",IF($J2668&lt;=1500,N(INDEX('Daily Sale entry '!$AC$1:$AC$1501,$J2668+1))-IF(AND('Opening Balance'!$B$15=1,INDEX('Daily Sale entry '!$Z$1:$Z$1501,$J2668+1)="Online collection 网上收款",INDEX('Daily Sale entry '!$AA$1:$AA$1501,$J2668+1)&lt;&gt;""),N(INDEX('Daily Sale entry '!$AC$1:$AC$1501,$J2668+1))-TRUNC(N(INDEX('Daily Sale entry '!$AC$1:$AC$1501,$J2668+1))),0),N(INDEX('Daily Sale entry '!$S$1:$S$1501,$J2668-1499))-'Opening Balance'!$B$15*(N(INDEX('Daily Sale entry '!$S$1:$S$1501,$J2668-1499))-TRUNC(N(INDEX('Daily Sale entry '!$S$1:$S$1501,$J2668-1499))))))</f>
        <v/>
      </c>
      <c r="G2668" s="6">
        <f>IF($J2668="","",IF($J2668&lt;=1500,N(INDEX('Daily Sale entry '!$AD$1:$AD$1501,$J2668+1)),0))</f>
        <v/>
      </c>
      <c r="H2668" s="6">
        <f>IF($J2668="","",ROUND('Opening Balance'!$B$4+SUM($F$2:F2668)-SUM($G$2:G2668),2))</f>
        <v/>
      </c>
      <c r="J2668" s="21">
        <f>IFERROR(MATCH(ROW()-1,$L$2:$L$3001,0),"")</f>
        <v/>
      </c>
      <c r="K2668" s="34">
        <f>IF(AND('Daily Sale entry '!Q1168="Collection 收款",'Daily Sale entry '!R1168="Cheque 支票",'Daily Sale entry '!V1168&lt;&gt;""),'Daily Sale entry '!V1168+ROW()/10000000,"")</f>
        <v/>
      </c>
      <c r="L2668" s="21">
        <f>IF(K2668="","",COUNTIF($K$2:$K$3001,"&lt;"&amp;K2668)+1)</f>
        <v/>
      </c>
    </row>
    <row r="2669">
      <c r="A2669" s="5">
        <f>IF($J2669="","",IF($J2669&lt;=1500,INDEX('Daily Sale entry '!$X$1:$X$1501,$J2669+1),INDEX('Daily Sale entry '!$V$1:$V$1501,$J2669-1499)))</f>
        <v/>
      </c>
      <c r="B2669">
        <f>IF($J2669="","",IF($J2669&lt;=1500,INDEX('Daily Sale entry '!$Y$1:$Y$1501,$J2669+1)&amp;"","Buyer cheque banked 买家支票存入"&amp;IF(INDEX('Daily Sale entry '!$U$1:$U$1501,$J2669-1499)="","", " - "&amp;INDEX('Daily Sale entry '!$U$1:$U$1501,$J2669-1499))))</f>
        <v/>
      </c>
      <c r="C2669">
        <f>IF($J2669="","",IF($J2669&lt;=1500,INDEX('Daily Sale entry '!$Z$1:$Z$1501,$J2669+1)&amp;"","Cheque deposit 支票存入 (buyer 买家)"))</f>
        <v/>
      </c>
      <c r="D2669">
        <f>IF($J2669="","",IF($J2669&lt;=1500,INDEX('Daily Sale entry '!$AA$1:$AA$1501,$J2669+1)&amp;"",INDEX('Daily Sale entry '!$P$1:$P$1501,$J2669-1499)&amp;""))</f>
        <v/>
      </c>
      <c r="E2669">
        <f>IF($J2669="","",IF($J2669&lt;=1500,IF(N(INDEX('Daily Sale entry '!$AB$1:$AB$1501,$J2669+1))=0,"",INDEX('Daily Sale entry '!$AB$1:$AB$1501,$J2669+1)),1))</f>
        <v/>
      </c>
      <c r="F2669" s="6">
        <f>IF($J2669="","",IF($J2669&lt;=1500,N(INDEX('Daily Sale entry '!$AC$1:$AC$1501,$J2669+1))-IF(AND('Opening Balance'!$B$15=1,INDEX('Daily Sale entry '!$Z$1:$Z$1501,$J2669+1)="Online collection 网上收款",INDEX('Daily Sale entry '!$AA$1:$AA$1501,$J2669+1)&lt;&gt;""),N(INDEX('Daily Sale entry '!$AC$1:$AC$1501,$J2669+1))-TRUNC(N(INDEX('Daily Sale entry '!$AC$1:$AC$1501,$J2669+1))),0),N(INDEX('Daily Sale entry '!$S$1:$S$1501,$J2669-1499))-'Opening Balance'!$B$15*(N(INDEX('Daily Sale entry '!$S$1:$S$1501,$J2669-1499))-TRUNC(N(INDEX('Daily Sale entry '!$S$1:$S$1501,$J2669-1499))))))</f>
        <v/>
      </c>
      <c r="G2669" s="6">
        <f>IF($J2669="","",IF($J2669&lt;=1500,N(INDEX('Daily Sale entry '!$AD$1:$AD$1501,$J2669+1)),0))</f>
        <v/>
      </c>
      <c r="H2669" s="6">
        <f>IF($J2669="","",ROUND('Opening Balance'!$B$4+SUM($F$2:F2669)-SUM($G$2:G2669),2))</f>
        <v/>
      </c>
      <c r="J2669" s="21">
        <f>IFERROR(MATCH(ROW()-1,$L$2:$L$3001,0),"")</f>
        <v/>
      </c>
      <c r="K2669" s="34">
        <f>IF(AND('Daily Sale entry '!Q1169="Collection 收款",'Daily Sale entry '!R1169="Cheque 支票",'Daily Sale entry '!V1169&lt;&gt;""),'Daily Sale entry '!V1169+ROW()/10000000,"")</f>
        <v/>
      </c>
      <c r="L2669" s="21">
        <f>IF(K2669="","",COUNTIF($K$2:$K$3001,"&lt;"&amp;K2669)+1)</f>
        <v/>
      </c>
    </row>
    <row r="2670">
      <c r="A2670" s="5">
        <f>IF($J2670="","",IF($J2670&lt;=1500,INDEX('Daily Sale entry '!$X$1:$X$1501,$J2670+1),INDEX('Daily Sale entry '!$V$1:$V$1501,$J2670-1499)))</f>
        <v/>
      </c>
      <c r="B2670">
        <f>IF($J2670="","",IF($J2670&lt;=1500,INDEX('Daily Sale entry '!$Y$1:$Y$1501,$J2670+1)&amp;"","Buyer cheque banked 买家支票存入"&amp;IF(INDEX('Daily Sale entry '!$U$1:$U$1501,$J2670-1499)="","", " - "&amp;INDEX('Daily Sale entry '!$U$1:$U$1501,$J2670-1499))))</f>
        <v/>
      </c>
      <c r="C2670">
        <f>IF($J2670="","",IF($J2670&lt;=1500,INDEX('Daily Sale entry '!$Z$1:$Z$1501,$J2670+1)&amp;"","Cheque deposit 支票存入 (buyer 买家)"))</f>
        <v/>
      </c>
      <c r="D2670">
        <f>IF($J2670="","",IF($J2670&lt;=1500,INDEX('Daily Sale entry '!$AA$1:$AA$1501,$J2670+1)&amp;"",INDEX('Daily Sale entry '!$P$1:$P$1501,$J2670-1499)&amp;""))</f>
        <v/>
      </c>
      <c r="E2670">
        <f>IF($J2670="","",IF($J2670&lt;=1500,IF(N(INDEX('Daily Sale entry '!$AB$1:$AB$1501,$J2670+1))=0,"",INDEX('Daily Sale entry '!$AB$1:$AB$1501,$J2670+1)),1))</f>
        <v/>
      </c>
      <c r="F2670" s="6">
        <f>IF($J2670="","",IF($J2670&lt;=1500,N(INDEX('Daily Sale entry '!$AC$1:$AC$1501,$J2670+1))-IF(AND('Opening Balance'!$B$15=1,INDEX('Daily Sale entry '!$Z$1:$Z$1501,$J2670+1)="Online collection 网上收款",INDEX('Daily Sale entry '!$AA$1:$AA$1501,$J2670+1)&lt;&gt;""),N(INDEX('Daily Sale entry '!$AC$1:$AC$1501,$J2670+1))-TRUNC(N(INDEX('Daily Sale entry '!$AC$1:$AC$1501,$J2670+1))),0),N(INDEX('Daily Sale entry '!$S$1:$S$1501,$J2670-1499))-'Opening Balance'!$B$15*(N(INDEX('Daily Sale entry '!$S$1:$S$1501,$J2670-1499))-TRUNC(N(INDEX('Daily Sale entry '!$S$1:$S$1501,$J2670-1499))))))</f>
        <v/>
      </c>
      <c r="G2670" s="6">
        <f>IF($J2670="","",IF($J2670&lt;=1500,N(INDEX('Daily Sale entry '!$AD$1:$AD$1501,$J2670+1)),0))</f>
        <v/>
      </c>
      <c r="H2670" s="6">
        <f>IF($J2670="","",ROUND('Opening Balance'!$B$4+SUM($F$2:F2670)-SUM($G$2:G2670),2))</f>
        <v/>
      </c>
      <c r="J2670" s="21">
        <f>IFERROR(MATCH(ROW()-1,$L$2:$L$3001,0),"")</f>
        <v/>
      </c>
      <c r="K2670" s="34">
        <f>IF(AND('Daily Sale entry '!Q1170="Collection 收款",'Daily Sale entry '!R1170="Cheque 支票",'Daily Sale entry '!V1170&lt;&gt;""),'Daily Sale entry '!V1170+ROW()/10000000,"")</f>
        <v/>
      </c>
      <c r="L2670" s="21">
        <f>IF(K2670="","",COUNTIF($K$2:$K$3001,"&lt;"&amp;K2670)+1)</f>
        <v/>
      </c>
    </row>
    <row r="2671">
      <c r="A2671" s="5">
        <f>IF($J2671="","",IF($J2671&lt;=1500,INDEX('Daily Sale entry '!$X$1:$X$1501,$J2671+1),INDEX('Daily Sale entry '!$V$1:$V$1501,$J2671-1499)))</f>
        <v/>
      </c>
      <c r="B2671">
        <f>IF($J2671="","",IF($J2671&lt;=1500,INDEX('Daily Sale entry '!$Y$1:$Y$1501,$J2671+1)&amp;"","Buyer cheque banked 买家支票存入"&amp;IF(INDEX('Daily Sale entry '!$U$1:$U$1501,$J2671-1499)="","", " - "&amp;INDEX('Daily Sale entry '!$U$1:$U$1501,$J2671-1499))))</f>
        <v/>
      </c>
      <c r="C2671">
        <f>IF($J2671="","",IF($J2671&lt;=1500,INDEX('Daily Sale entry '!$Z$1:$Z$1501,$J2671+1)&amp;"","Cheque deposit 支票存入 (buyer 买家)"))</f>
        <v/>
      </c>
      <c r="D2671">
        <f>IF($J2671="","",IF($J2671&lt;=1500,INDEX('Daily Sale entry '!$AA$1:$AA$1501,$J2671+1)&amp;"",INDEX('Daily Sale entry '!$P$1:$P$1501,$J2671-1499)&amp;""))</f>
        <v/>
      </c>
      <c r="E2671">
        <f>IF($J2671="","",IF($J2671&lt;=1500,IF(N(INDEX('Daily Sale entry '!$AB$1:$AB$1501,$J2671+1))=0,"",INDEX('Daily Sale entry '!$AB$1:$AB$1501,$J2671+1)),1))</f>
        <v/>
      </c>
      <c r="F2671" s="6">
        <f>IF($J2671="","",IF($J2671&lt;=1500,N(INDEX('Daily Sale entry '!$AC$1:$AC$1501,$J2671+1))-IF(AND('Opening Balance'!$B$15=1,INDEX('Daily Sale entry '!$Z$1:$Z$1501,$J2671+1)="Online collection 网上收款",INDEX('Daily Sale entry '!$AA$1:$AA$1501,$J2671+1)&lt;&gt;""),N(INDEX('Daily Sale entry '!$AC$1:$AC$1501,$J2671+1))-TRUNC(N(INDEX('Daily Sale entry '!$AC$1:$AC$1501,$J2671+1))),0),N(INDEX('Daily Sale entry '!$S$1:$S$1501,$J2671-1499))-'Opening Balance'!$B$15*(N(INDEX('Daily Sale entry '!$S$1:$S$1501,$J2671-1499))-TRUNC(N(INDEX('Daily Sale entry '!$S$1:$S$1501,$J2671-1499))))))</f>
        <v/>
      </c>
      <c r="G2671" s="6">
        <f>IF($J2671="","",IF($J2671&lt;=1500,N(INDEX('Daily Sale entry '!$AD$1:$AD$1501,$J2671+1)),0))</f>
        <v/>
      </c>
      <c r="H2671" s="6">
        <f>IF($J2671="","",ROUND('Opening Balance'!$B$4+SUM($F$2:F2671)-SUM($G$2:G2671),2))</f>
        <v/>
      </c>
      <c r="J2671" s="21">
        <f>IFERROR(MATCH(ROW()-1,$L$2:$L$3001,0),"")</f>
        <v/>
      </c>
      <c r="K2671" s="34">
        <f>IF(AND('Daily Sale entry '!Q1171="Collection 收款",'Daily Sale entry '!R1171="Cheque 支票",'Daily Sale entry '!V1171&lt;&gt;""),'Daily Sale entry '!V1171+ROW()/10000000,"")</f>
        <v/>
      </c>
      <c r="L2671" s="21">
        <f>IF(K2671="","",COUNTIF($K$2:$K$3001,"&lt;"&amp;K2671)+1)</f>
        <v/>
      </c>
    </row>
    <row r="2672">
      <c r="A2672" s="5">
        <f>IF($J2672="","",IF($J2672&lt;=1500,INDEX('Daily Sale entry '!$X$1:$X$1501,$J2672+1),INDEX('Daily Sale entry '!$V$1:$V$1501,$J2672-1499)))</f>
        <v/>
      </c>
      <c r="B2672">
        <f>IF($J2672="","",IF($J2672&lt;=1500,INDEX('Daily Sale entry '!$Y$1:$Y$1501,$J2672+1)&amp;"","Buyer cheque banked 买家支票存入"&amp;IF(INDEX('Daily Sale entry '!$U$1:$U$1501,$J2672-1499)="","", " - "&amp;INDEX('Daily Sale entry '!$U$1:$U$1501,$J2672-1499))))</f>
        <v/>
      </c>
      <c r="C2672">
        <f>IF($J2672="","",IF($J2672&lt;=1500,INDEX('Daily Sale entry '!$Z$1:$Z$1501,$J2672+1)&amp;"","Cheque deposit 支票存入 (buyer 买家)"))</f>
        <v/>
      </c>
      <c r="D2672">
        <f>IF($J2672="","",IF($J2672&lt;=1500,INDEX('Daily Sale entry '!$AA$1:$AA$1501,$J2672+1)&amp;"",INDEX('Daily Sale entry '!$P$1:$P$1501,$J2672-1499)&amp;""))</f>
        <v/>
      </c>
      <c r="E2672">
        <f>IF($J2672="","",IF($J2672&lt;=1500,IF(N(INDEX('Daily Sale entry '!$AB$1:$AB$1501,$J2672+1))=0,"",INDEX('Daily Sale entry '!$AB$1:$AB$1501,$J2672+1)),1))</f>
        <v/>
      </c>
      <c r="F2672" s="6">
        <f>IF($J2672="","",IF($J2672&lt;=1500,N(INDEX('Daily Sale entry '!$AC$1:$AC$1501,$J2672+1))-IF(AND('Opening Balance'!$B$15=1,INDEX('Daily Sale entry '!$Z$1:$Z$1501,$J2672+1)="Online collection 网上收款",INDEX('Daily Sale entry '!$AA$1:$AA$1501,$J2672+1)&lt;&gt;""),N(INDEX('Daily Sale entry '!$AC$1:$AC$1501,$J2672+1))-TRUNC(N(INDEX('Daily Sale entry '!$AC$1:$AC$1501,$J2672+1))),0),N(INDEX('Daily Sale entry '!$S$1:$S$1501,$J2672-1499))-'Opening Balance'!$B$15*(N(INDEX('Daily Sale entry '!$S$1:$S$1501,$J2672-1499))-TRUNC(N(INDEX('Daily Sale entry '!$S$1:$S$1501,$J2672-1499))))))</f>
        <v/>
      </c>
      <c r="G2672" s="6">
        <f>IF($J2672="","",IF($J2672&lt;=1500,N(INDEX('Daily Sale entry '!$AD$1:$AD$1501,$J2672+1)),0))</f>
        <v/>
      </c>
      <c r="H2672" s="6">
        <f>IF($J2672="","",ROUND('Opening Balance'!$B$4+SUM($F$2:F2672)-SUM($G$2:G2672),2))</f>
        <v/>
      </c>
      <c r="J2672" s="21">
        <f>IFERROR(MATCH(ROW()-1,$L$2:$L$3001,0),"")</f>
        <v/>
      </c>
      <c r="K2672" s="34">
        <f>IF(AND('Daily Sale entry '!Q1172="Collection 收款",'Daily Sale entry '!R1172="Cheque 支票",'Daily Sale entry '!V1172&lt;&gt;""),'Daily Sale entry '!V1172+ROW()/10000000,"")</f>
        <v/>
      </c>
      <c r="L2672" s="21">
        <f>IF(K2672="","",COUNTIF($K$2:$K$3001,"&lt;"&amp;K2672)+1)</f>
        <v/>
      </c>
    </row>
    <row r="2673">
      <c r="A2673" s="5">
        <f>IF($J2673="","",IF($J2673&lt;=1500,INDEX('Daily Sale entry '!$X$1:$X$1501,$J2673+1),INDEX('Daily Sale entry '!$V$1:$V$1501,$J2673-1499)))</f>
        <v/>
      </c>
      <c r="B2673">
        <f>IF($J2673="","",IF($J2673&lt;=1500,INDEX('Daily Sale entry '!$Y$1:$Y$1501,$J2673+1)&amp;"","Buyer cheque banked 买家支票存入"&amp;IF(INDEX('Daily Sale entry '!$U$1:$U$1501,$J2673-1499)="","", " - "&amp;INDEX('Daily Sale entry '!$U$1:$U$1501,$J2673-1499))))</f>
        <v/>
      </c>
      <c r="C2673">
        <f>IF($J2673="","",IF($J2673&lt;=1500,INDEX('Daily Sale entry '!$Z$1:$Z$1501,$J2673+1)&amp;"","Cheque deposit 支票存入 (buyer 买家)"))</f>
        <v/>
      </c>
      <c r="D2673">
        <f>IF($J2673="","",IF($J2673&lt;=1500,INDEX('Daily Sale entry '!$AA$1:$AA$1501,$J2673+1)&amp;"",INDEX('Daily Sale entry '!$P$1:$P$1501,$J2673-1499)&amp;""))</f>
        <v/>
      </c>
      <c r="E2673">
        <f>IF($J2673="","",IF($J2673&lt;=1500,IF(N(INDEX('Daily Sale entry '!$AB$1:$AB$1501,$J2673+1))=0,"",INDEX('Daily Sale entry '!$AB$1:$AB$1501,$J2673+1)),1))</f>
        <v/>
      </c>
      <c r="F2673" s="6">
        <f>IF($J2673="","",IF($J2673&lt;=1500,N(INDEX('Daily Sale entry '!$AC$1:$AC$1501,$J2673+1))-IF(AND('Opening Balance'!$B$15=1,INDEX('Daily Sale entry '!$Z$1:$Z$1501,$J2673+1)="Online collection 网上收款",INDEX('Daily Sale entry '!$AA$1:$AA$1501,$J2673+1)&lt;&gt;""),N(INDEX('Daily Sale entry '!$AC$1:$AC$1501,$J2673+1))-TRUNC(N(INDEX('Daily Sale entry '!$AC$1:$AC$1501,$J2673+1))),0),N(INDEX('Daily Sale entry '!$S$1:$S$1501,$J2673-1499))-'Opening Balance'!$B$15*(N(INDEX('Daily Sale entry '!$S$1:$S$1501,$J2673-1499))-TRUNC(N(INDEX('Daily Sale entry '!$S$1:$S$1501,$J2673-1499))))))</f>
        <v/>
      </c>
      <c r="G2673" s="6">
        <f>IF($J2673="","",IF($J2673&lt;=1500,N(INDEX('Daily Sale entry '!$AD$1:$AD$1501,$J2673+1)),0))</f>
        <v/>
      </c>
      <c r="H2673" s="6">
        <f>IF($J2673="","",ROUND('Opening Balance'!$B$4+SUM($F$2:F2673)-SUM($G$2:G2673),2))</f>
        <v/>
      </c>
      <c r="J2673" s="21">
        <f>IFERROR(MATCH(ROW()-1,$L$2:$L$3001,0),"")</f>
        <v/>
      </c>
      <c r="K2673" s="34">
        <f>IF(AND('Daily Sale entry '!Q1173="Collection 收款",'Daily Sale entry '!R1173="Cheque 支票",'Daily Sale entry '!V1173&lt;&gt;""),'Daily Sale entry '!V1173+ROW()/10000000,"")</f>
        <v/>
      </c>
      <c r="L2673" s="21">
        <f>IF(K2673="","",COUNTIF($K$2:$K$3001,"&lt;"&amp;K2673)+1)</f>
        <v/>
      </c>
    </row>
    <row r="2674">
      <c r="A2674" s="5">
        <f>IF($J2674="","",IF($J2674&lt;=1500,INDEX('Daily Sale entry '!$X$1:$X$1501,$J2674+1),INDEX('Daily Sale entry '!$V$1:$V$1501,$J2674-1499)))</f>
        <v/>
      </c>
      <c r="B2674">
        <f>IF($J2674="","",IF($J2674&lt;=1500,INDEX('Daily Sale entry '!$Y$1:$Y$1501,$J2674+1)&amp;"","Buyer cheque banked 买家支票存入"&amp;IF(INDEX('Daily Sale entry '!$U$1:$U$1501,$J2674-1499)="","", " - "&amp;INDEX('Daily Sale entry '!$U$1:$U$1501,$J2674-1499))))</f>
        <v/>
      </c>
      <c r="C2674">
        <f>IF($J2674="","",IF($J2674&lt;=1500,INDEX('Daily Sale entry '!$Z$1:$Z$1501,$J2674+1)&amp;"","Cheque deposit 支票存入 (buyer 买家)"))</f>
        <v/>
      </c>
      <c r="D2674">
        <f>IF($J2674="","",IF($J2674&lt;=1500,INDEX('Daily Sale entry '!$AA$1:$AA$1501,$J2674+1)&amp;"",INDEX('Daily Sale entry '!$P$1:$P$1501,$J2674-1499)&amp;""))</f>
        <v/>
      </c>
      <c r="E2674">
        <f>IF($J2674="","",IF($J2674&lt;=1500,IF(N(INDEX('Daily Sale entry '!$AB$1:$AB$1501,$J2674+1))=0,"",INDEX('Daily Sale entry '!$AB$1:$AB$1501,$J2674+1)),1))</f>
        <v/>
      </c>
      <c r="F2674" s="6">
        <f>IF($J2674="","",IF($J2674&lt;=1500,N(INDEX('Daily Sale entry '!$AC$1:$AC$1501,$J2674+1))-IF(AND('Opening Balance'!$B$15=1,INDEX('Daily Sale entry '!$Z$1:$Z$1501,$J2674+1)="Online collection 网上收款",INDEX('Daily Sale entry '!$AA$1:$AA$1501,$J2674+1)&lt;&gt;""),N(INDEX('Daily Sale entry '!$AC$1:$AC$1501,$J2674+1))-TRUNC(N(INDEX('Daily Sale entry '!$AC$1:$AC$1501,$J2674+1))),0),N(INDEX('Daily Sale entry '!$S$1:$S$1501,$J2674-1499))-'Opening Balance'!$B$15*(N(INDEX('Daily Sale entry '!$S$1:$S$1501,$J2674-1499))-TRUNC(N(INDEX('Daily Sale entry '!$S$1:$S$1501,$J2674-1499))))))</f>
        <v/>
      </c>
      <c r="G2674" s="6">
        <f>IF($J2674="","",IF($J2674&lt;=1500,N(INDEX('Daily Sale entry '!$AD$1:$AD$1501,$J2674+1)),0))</f>
        <v/>
      </c>
      <c r="H2674" s="6">
        <f>IF($J2674="","",ROUND('Opening Balance'!$B$4+SUM($F$2:F2674)-SUM($G$2:G2674),2))</f>
        <v/>
      </c>
      <c r="J2674" s="21">
        <f>IFERROR(MATCH(ROW()-1,$L$2:$L$3001,0),"")</f>
        <v/>
      </c>
      <c r="K2674" s="34">
        <f>IF(AND('Daily Sale entry '!Q1174="Collection 收款",'Daily Sale entry '!R1174="Cheque 支票",'Daily Sale entry '!V1174&lt;&gt;""),'Daily Sale entry '!V1174+ROW()/10000000,"")</f>
        <v/>
      </c>
      <c r="L2674" s="21">
        <f>IF(K2674="","",COUNTIF($K$2:$K$3001,"&lt;"&amp;K2674)+1)</f>
        <v/>
      </c>
    </row>
    <row r="2675">
      <c r="A2675" s="5">
        <f>IF($J2675="","",IF($J2675&lt;=1500,INDEX('Daily Sale entry '!$X$1:$X$1501,$J2675+1),INDEX('Daily Sale entry '!$V$1:$V$1501,$J2675-1499)))</f>
        <v/>
      </c>
      <c r="B2675">
        <f>IF($J2675="","",IF($J2675&lt;=1500,INDEX('Daily Sale entry '!$Y$1:$Y$1501,$J2675+1)&amp;"","Buyer cheque banked 买家支票存入"&amp;IF(INDEX('Daily Sale entry '!$U$1:$U$1501,$J2675-1499)="","", " - "&amp;INDEX('Daily Sale entry '!$U$1:$U$1501,$J2675-1499))))</f>
        <v/>
      </c>
      <c r="C2675">
        <f>IF($J2675="","",IF($J2675&lt;=1500,INDEX('Daily Sale entry '!$Z$1:$Z$1501,$J2675+1)&amp;"","Cheque deposit 支票存入 (buyer 买家)"))</f>
        <v/>
      </c>
      <c r="D2675">
        <f>IF($J2675="","",IF($J2675&lt;=1500,INDEX('Daily Sale entry '!$AA$1:$AA$1501,$J2675+1)&amp;"",INDEX('Daily Sale entry '!$P$1:$P$1501,$J2675-1499)&amp;""))</f>
        <v/>
      </c>
      <c r="E2675">
        <f>IF($J2675="","",IF($J2675&lt;=1500,IF(N(INDEX('Daily Sale entry '!$AB$1:$AB$1501,$J2675+1))=0,"",INDEX('Daily Sale entry '!$AB$1:$AB$1501,$J2675+1)),1))</f>
        <v/>
      </c>
      <c r="F2675" s="6">
        <f>IF($J2675="","",IF($J2675&lt;=1500,N(INDEX('Daily Sale entry '!$AC$1:$AC$1501,$J2675+1))-IF(AND('Opening Balance'!$B$15=1,INDEX('Daily Sale entry '!$Z$1:$Z$1501,$J2675+1)="Online collection 网上收款",INDEX('Daily Sale entry '!$AA$1:$AA$1501,$J2675+1)&lt;&gt;""),N(INDEX('Daily Sale entry '!$AC$1:$AC$1501,$J2675+1))-TRUNC(N(INDEX('Daily Sale entry '!$AC$1:$AC$1501,$J2675+1))),0),N(INDEX('Daily Sale entry '!$S$1:$S$1501,$J2675-1499))-'Opening Balance'!$B$15*(N(INDEX('Daily Sale entry '!$S$1:$S$1501,$J2675-1499))-TRUNC(N(INDEX('Daily Sale entry '!$S$1:$S$1501,$J2675-1499))))))</f>
        <v/>
      </c>
      <c r="G2675" s="6">
        <f>IF($J2675="","",IF($J2675&lt;=1500,N(INDEX('Daily Sale entry '!$AD$1:$AD$1501,$J2675+1)),0))</f>
        <v/>
      </c>
      <c r="H2675" s="6">
        <f>IF($J2675="","",ROUND('Opening Balance'!$B$4+SUM($F$2:F2675)-SUM($G$2:G2675),2))</f>
        <v/>
      </c>
      <c r="J2675" s="21">
        <f>IFERROR(MATCH(ROW()-1,$L$2:$L$3001,0),"")</f>
        <v/>
      </c>
      <c r="K2675" s="34">
        <f>IF(AND('Daily Sale entry '!Q1175="Collection 收款",'Daily Sale entry '!R1175="Cheque 支票",'Daily Sale entry '!V1175&lt;&gt;""),'Daily Sale entry '!V1175+ROW()/10000000,"")</f>
        <v/>
      </c>
      <c r="L2675" s="21">
        <f>IF(K2675="","",COUNTIF($K$2:$K$3001,"&lt;"&amp;K2675)+1)</f>
        <v/>
      </c>
    </row>
    <row r="2676">
      <c r="A2676" s="5">
        <f>IF($J2676="","",IF($J2676&lt;=1500,INDEX('Daily Sale entry '!$X$1:$X$1501,$J2676+1),INDEX('Daily Sale entry '!$V$1:$V$1501,$J2676-1499)))</f>
        <v/>
      </c>
      <c r="B2676">
        <f>IF($J2676="","",IF($J2676&lt;=1500,INDEX('Daily Sale entry '!$Y$1:$Y$1501,$J2676+1)&amp;"","Buyer cheque banked 买家支票存入"&amp;IF(INDEX('Daily Sale entry '!$U$1:$U$1501,$J2676-1499)="","", " - "&amp;INDEX('Daily Sale entry '!$U$1:$U$1501,$J2676-1499))))</f>
        <v/>
      </c>
      <c r="C2676">
        <f>IF($J2676="","",IF($J2676&lt;=1500,INDEX('Daily Sale entry '!$Z$1:$Z$1501,$J2676+1)&amp;"","Cheque deposit 支票存入 (buyer 买家)"))</f>
        <v/>
      </c>
      <c r="D2676">
        <f>IF($J2676="","",IF($J2676&lt;=1500,INDEX('Daily Sale entry '!$AA$1:$AA$1501,$J2676+1)&amp;"",INDEX('Daily Sale entry '!$P$1:$P$1501,$J2676-1499)&amp;""))</f>
        <v/>
      </c>
      <c r="E2676">
        <f>IF($J2676="","",IF($J2676&lt;=1500,IF(N(INDEX('Daily Sale entry '!$AB$1:$AB$1501,$J2676+1))=0,"",INDEX('Daily Sale entry '!$AB$1:$AB$1501,$J2676+1)),1))</f>
        <v/>
      </c>
      <c r="F2676" s="6">
        <f>IF($J2676="","",IF($J2676&lt;=1500,N(INDEX('Daily Sale entry '!$AC$1:$AC$1501,$J2676+1))-IF(AND('Opening Balance'!$B$15=1,INDEX('Daily Sale entry '!$Z$1:$Z$1501,$J2676+1)="Online collection 网上收款",INDEX('Daily Sale entry '!$AA$1:$AA$1501,$J2676+1)&lt;&gt;""),N(INDEX('Daily Sale entry '!$AC$1:$AC$1501,$J2676+1))-TRUNC(N(INDEX('Daily Sale entry '!$AC$1:$AC$1501,$J2676+1))),0),N(INDEX('Daily Sale entry '!$S$1:$S$1501,$J2676-1499))-'Opening Balance'!$B$15*(N(INDEX('Daily Sale entry '!$S$1:$S$1501,$J2676-1499))-TRUNC(N(INDEX('Daily Sale entry '!$S$1:$S$1501,$J2676-1499))))))</f>
        <v/>
      </c>
      <c r="G2676" s="6">
        <f>IF($J2676="","",IF($J2676&lt;=1500,N(INDEX('Daily Sale entry '!$AD$1:$AD$1501,$J2676+1)),0))</f>
        <v/>
      </c>
      <c r="H2676" s="6">
        <f>IF($J2676="","",ROUND('Opening Balance'!$B$4+SUM($F$2:F2676)-SUM($G$2:G2676),2))</f>
        <v/>
      </c>
      <c r="J2676" s="21">
        <f>IFERROR(MATCH(ROW()-1,$L$2:$L$3001,0),"")</f>
        <v/>
      </c>
      <c r="K2676" s="34">
        <f>IF(AND('Daily Sale entry '!Q1176="Collection 收款",'Daily Sale entry '!R1176="Cheque 支票",'Daily Sale entry '!V1176&lt;&gt;""),'Daily Sale entry '!V1176+ROW()/10000000,"")</f>
        <v/>
      </c>
      <c r="L2676" s="21">
        <f>IF(K2676="","",COUNTIF($K$2:$K$3001,"&lt;"&amp;K2676)+1)</f>
        <v/>
      </c>
    </row>
    <row r="2677">
      <c r="A2677" s="5">
        <f>IF($J2677="","",IF($J2677&lt;=1500,INDEX('Daily Sale entry '!$X$1:$X$1501,$J2677+1),INDEX('Daily Sale entry '!$V$1:$V$1501,$J2677-1499)))</f>
        <v/>
      </c>
      <c r="B2677">
        <f>IF($J2677="","",IF($J2677&lt;=1500,INDEX('Daily Sale entry '!$Y$1:$Y$1501,$J2677+1)&amp;"","Buyer cheque banked 买家支票存入"&amp;IF(INDEX('Daily Sale entry '!$U$1:$U$1501,$J2677-1499)="","", " - "&amp;INDEX('Daily Sale entry '!$U$1:$U$1501,$J2677-1499))))</f>
        <v/>
      </c>
      <c r="C2677">
        <f>IF($J2677="","",IF($J2677&lt;=1500,INDEX('Daily Sale entry '!$Z$1:$Z$1501,$J2677+1)&amp;"","Cheque deposit 支票存入 (buyer 买家)"))</f>
        <v/>
      </c>
      <c r="D2677">
        <f>IF($J2677="","",IF($J2677&lt;=1500,INDEX('Daily Sale entry '!$AA$1:$AA$1501,$J2677+1)&amp;"",INDEX('Daily Sale entry '!$P$1:$P$1501,$J2677-1499)&amp;""))</f>
        <v/>
      </c>
      <c r="E2677">
        <f>IF($J2677="","",IF($J2677&lt;=1500,IF(N(INDEX('Daily Sale entry '!$AB$1:$AB$1501,$J2677+1))=0,"",INDEX('Daily Sale entry '!$AB$1:$AB$1501,$J2677+1)),1))</f>
        <v/>
      </c>
      <c r="F2677" s="6">
        <f>IF($J2677="","",IF($J2677&lt;=1500,N(INDEX('Daily Sale entry '!$AC$1:$AC$1501,$J2677+1))-IF(AND('Opening Balance'!$B$15=1,INDEX('Daily Sale entry '!$Z$1:$Z$1501,$J2677+1)="Online collection 网上收款",INDEX('Daily Sale entry '!$AA$1:$AA$1501,$J2677+1)&lt;&gt;""),N(INDEX('Daily Sale entry '!$AC$1:$AC$1501,$J2677+1))-TRUNC(N(INDEX('Daily Sale entry '!$AC$1:$AC$1501,$J2677+1))),0),N(INDEX('Daily Sale entry '!$S$1:$S$1501,$J2677-1499))-'Opening Balance'!$B$15*(N(INDEX('Daily Sale entry '!$S$1:$S$1501,$J2677-1499))-TRUNC(N(INDEX('Daily Sale entry '!$S$1:$S$1501,$J2677-1499))))))</f>
        <v/>
      </c>
      <c r="G2677" s="6">
        <f>IF($J2677="","",IF($J2677&lt;=1500,N(INDEX('Daily Sale entry '!$AD$1:$AD$1501,$J2677+1)),0))</f>
        <v/>
      </c>
      <c r="H2677" s="6">
        <f>IF($J2677="","",ROUND('Opening Balance'!$B$4+SUM($F$2:F2677)-SUM($G$2:G2677),2))</f>
        <v/>
      </c>
      <c r="J2677" s="21">
        <f>IFERROR(MATCH(ROW()-1,$L$2:$L$3001,0),"")</f>
        <v/>
      </c>
      <c r="K2677" s="34">
        <f>IF(AND('Daily Sale entry '!Q1177="Collection 收款",'Daily Sale entry '!R1177="Cheque 支票",'Daily Sale entry '!V1177&lt;&gt;""),'Daily Sale entry '!V1177+ROW()/10000000,"")</f>
        <v/>
      </c>
      <c r="L2677" s="21">
        <f>IF(K2677="","",COUNTIF($K$2:$K$3001,"&lt;"&amp;K2677)+1)</f>
        <v/>
      </c>
    </row>
    <row r="2678">
      <c r="A2678" s="5">
        <f>IF($J2678="","",IF($J2678&lt;=1500,INDEX('Daily Sale entry '!$X$1:$X$1501,$J2678+1),INDEX('Daily Sale entry '!$V$1:$V$1501,$J2678-1499)))</f>
        <v/>
      </c>
      <c r="B2678">
        <f>IF($J2678="","",IF($J2678&lt;=1500,INDEX('Daily Sale entry '!$Y$1:$Y$1501,$J2678+1)&amp;"","Buyer cheque banked 买家支票存入"&amp;IF(INDEX('Daily Sale entry '!$U$1:$U$1501,$J2678-1499)="","", " - "&amp;INDEX('Daily Sale entry '!$U$1:$U$1501,$J2678-1499))))</f>
        <v/>
      </c>
      <c r="C2678">
        <f>IF($J2678="","",IF($J2678&lt;=1500,INDEX('Daily Sale entry '!$Z$1:$Z$1501,$J2678+1)&amp;"","Cheque deposit 支票存入 (buyer 买家)"))</f>
        <v/>
      </c>
      <c r="D2678">
        <f>IF($J2678="","",IF($J2678&lt;=1500,INDEX('Daily Sale entry '!$AA$1:$AA$1501,$J2678+1)&amp;"",INDEX('Daily Sale entry '!$P$1:$P$1501,$J2678-1499)&amp;""))</f>
        <v/>
      </c>
      <c r="E2678">
        <f>IF($J2678="","",IF($J2678&lt;=1500,IF(N(INDEX('Daily Sale entry '!$AB$1:$AB$1501,$J2678+1))=0,"",INDEX('Daily Sale entry '!$AB$1:$AB$1501,$J2678+1)),1))</f>
        <v/>
      </c>
      <c r="F2678" s="6">
        <f>IF($J2678="","",IF($J2678&lt;=1500,N(INDEX('Daily Sale entry '!$AC$1:$AC$1501,$J2678+1))-IF(AND('Opening Balance'!$B$15=1,INDEX('Daily Sale entry '!$Z$1:$Z$1501,$J2678+1)="Online collection 网上收款",INDEX('Daily Sale entry '!$AA$1:$AA$1501,$J2678+1)&lt;&gt;""),N(INDEX('Daily Sale entry '!$AC$1:$AC$1501,$J2678+1))-TRUNC(N(INDEX('Daily Sale entry '!$AC$1:$AC$1501,$J2678+1))),0),N(INDEX('Daily Sale entry '!$S$1:$S$1501,$J2678-1499))-'Opening Balance'!$B$15*(N(INDEX('Daily Sale entry '!$S$1:$S$1501,$J2678-1499))-TRUNC(N(INDEX('Daily Sale entry '!$S$1:$S$1501,$J2678-1499))))))</f>
        <v/>
      </c>
      <c r="G2678" s="6">
        <f>IF($J2678="","",IF($J2678&lt;=1500,N(INDEX('Daily Sale entry '!$AD$1:$AD$1501,$J2678+1)),0))</f>
        <v/>
      </c>
      <c r="H2678" s="6">
        <f>IF($J2678="","",ROUND('Opening Balance'!$B$4+SUM($F$2:F2678)-SUM($G$2:G2678),2))</f>
        <v/>
      </c>
      <c r="J2678" s="21">
        <f>IFERROR(MATCH(ROW()-1,$L$2:$L$3001,0),"")</f>
        <v/>
      </c>
      <c r="K2678" s="34">
        <f>IF(AND('Daily Sale entry '!Q1178="Collection 收款",'Daily Sale entry '!R1178="Cheque 支票",'Daily Sale entry '!V1178&lt;&gt;""),'Daily Sale entry '!V1178+ROW()/10000000,"")</f>
        <v/>
      </c>
      <c r="L2678" s="21">
        <f>IF(K2678="","",COUNTIF($K$2:$K$3001,"&lt;"&amp;K2678)+1)</f>
        <v/>
      </c>
    </row>
    <row r="2679">
      <c r="A2679" s="5">
        <f>IF($J2679="","",IF($J2679&lt;=1500,INDEX('Daily Sale entry '!$X$1:$X$1501,$J2679+1),INDEX('Daily Sale entry '!$V$1:$V$1501,$J2679-1499)))</f>
        <v/>
      </c>
      <c r="B2679">
        <f>IF($J2679="","",IF($J2679&lt;=1500,INDEX('Daily Sale entry '!$Y$1:$Y$1501,$J2679+1)&amp;"","Buyer cheque banked 买家支票存入"&amp;IF(INDEX('Daily Sale entry '!$U$1:$U$1501,$J2679-1499)="","", " - "&amp;INDEX('Daily Sale entry '!$U$1:$U$1501,$J2679-1499))))</f>
        <v/>
      </c>
      <c r="C2679">
        <f>IF($J2679="","",IF($J2679&lt;=1500,INDEX('Daily Sale entry '!$Z$1:$Z$1501,$J2679+1)&amp;"","Cheque deposit 支票存入 (buyer 买家)"))</f>
        <v/>
      </c>
      <c r="D2679">
        <f>IF($J2679="","",IF($J2679&lt;=1500,INDEX('Daily Sale entry '!$AA$1:$AA$1501,$J2679+1)&amp;"",INDEX('Daily Sale entry '!$P$1:$P$1501,$J2679-1499)&amp;""))</f>
        <v/>
      </c>
      <c r="E2679">
        <f>IF($J2679="","",IF($J2679&lt;=1500,IF(N(INDEX('Daily Sale entry '!$AB$1:$AB$1501,$J2679+1))=0,"",INDEX('Daily Sale entry '!$AB$1:$AB$1501,$J2679+1)),1))</f>
        <v/>
      </c>
      <c r="F2679" s="6">
        <f>IF($J2679="","",IF($J2679&lt;=1500,N(INDEX('Daily Sale entry '!$AC$1:$AC$1501,$J2679+1))-IF(AND('Opening Balance'!$B$15=1,INDEX('Daily Sale entry '!$Z$1:$Z$1501,$J2679+1)="Online collection 网上收款",INDEX('Daily Sale entry '!$AA$1:$AA$1501,$J2679+1)&lt;&gt;""),N(INDEX('Daily Sale entry '!$AC$1:$AC$1501,$J2679+1))-TRUNC(N(INDEX('Daily Sale entry '!$AC$1:$AC$1501,$J2679+1))),0),N(INDEX('Daily Sale entry '!$S$1:$S$1501,$J2679-1499))-'Opening Balance'!$B$15*(N(INDEX('Daily Sale entry '!$S$1:$S$1501,$J2679-1499))-TRUNC(N(INDEX('Daily Sale entry '!$S$1:$S$1501,$J2679-1499))))))</f>
        <v/>
      </c>
      <c r="G2679" s="6">
        <f>IF($J2679="","",IF($J2679&lt;=1500,N(INDEX('Daily Sale entry '!$AD$1:$AD$1501,$J2679+1)),0))</f>
        <v/>
      </c>
      <c r="H2679" s="6">
        <f>IF($J2679="","",ROUND('Opening Balance'!$B$4+SUM($F$2:F2679)-SUM($G$2:G2679),2))</f>
        <v/>
      </c>
      <c r="J2679" s="21">
        <f>IFERROR(MATCH(ROW()-1,$L$2:$L$3001,0),"")</f>
        <v/>
      </c>
      <c r="K2679" s="34">
        <f>IF(AND('Daily Sale entry '!Q1179="Collection 收款",'Daily Sale entry '!R1179="Cheque 支票",'Daily Sale entry '!V1179&lt;&gt;""),'Daily Sale entry '!V1179+ROW()/10000000,"")</f>
        <v/>
      </c>
      <c r="L2679" s="21">
        <f>IF(K2679="","",COUNTIF($K$2:$K$3001,"&lt;"&amp;K2679)+1)</f>
        <v/>
      </c>
    </row>
    <row r="2680">
      <c r="A2680" s="5">
        <f>IF($J2680="","",IF($J2680&lt;=1500,INDEX('Daily Sale entry '!$X$1:$X$1501,$J2680+1),INDEX('Daily Sale entry '!$V$1:$V$1501,$J2680-1499)))</f>
        <v/>
      </c>
      <c r="B2680">
        <f>IF($J2680="","",IF($J2680&lt;=1500,INDEX('Daily Sale entry '!$Y$1:$Y$1501,$J2680+1)&amp;"","Buyer cheque banked 买家支票存入"&amp;IF(INDEX('Daily Sale entry '!$U$1:$U$1501,$J2680-1499)="","", " - "&amp;INDEX('Daily Sale entry '!$U$1:$U$1501,$J2680-1499))))</f>
        <v/>
      </c>
      <c r="C2680">
        <f>IF($J2680="","",IF($J2680&lt;=1500,INDEX('Daily Sale entry '!$Z$1:$Z$1501,$J2680+1)&amp;"","Cheque deposit 支票存入 (buyer 买家)"))</f>
        <v/>
      </c>
      <c r="D2680">
        <f>IF($J2680="","",IF($J2680&lt;=1500,INDEX('Daily Sale entry '!$AA$1:$AA$1501,$J2680+1)&amp;"",INDEX('Daily Sale entry '!$P$1:$P$1501,$J2680-1499)&amp;""))</f>
        <v/>
      </c>
      <c r="E2680">
        <f>IF($J2680="","",IF($J2680&lt;=1500,IF(N(INDEX('Daily Sale entry '!$AB$1:$AB$1501,$J2680+1))=0,"",INDEX('Daily Sale entry '!$AB$1:$AB$1501,$J2680+1)),1))</f>
        <v/>
      </c>
      <c r="F2680" s="6">
        <f>IF($J2680="","",IF($J2680&lt;=1500,N(INDEX('Daily Sale entry '!$AC$1:$AC$1501,$J2680+1))-IF(AND('Opening Balance'!$B$15=1,INDEX('Daily Sale entry '!$Z$1:$Z$1501,$J2680+1)="Online collection 网上收款",INDEX('Daily Sale entry '!$AA$1:$AA$1501,$J2680+1)&lt;&gt;""),N(INDEX('Daily Sale entry '!$AC$1:$AC$1501,$J2680+1))-TRUNC(N(INDEX('Daily Sale entry '!$AC$1:$AC$1501,$J2680+1))),0),N(INDEX('Daily Sale entry '!$S$1:$S$1501,$J2680-1499))-'Opening Balance'!$B$15*(N(INDEX('Daily Sale entry '!$S$1:$S$1501,$J2680-1499))-TRUNC(N(INDEX('Daily Sale entry '!$S$1:$S$1501,$J2680-1499))))))</f>
        <v/>
      </c>
      <c r="G2680" s="6">
        <f>IF($J2680="","",IF($J2680&lt;=1500,N(INDEX('Daily Sale entry '!$AD$1:$AD$1501,$J2680+1)),0))</f>
        <v/>
      </c>
      <c r="H2680" s="6">
        <f>IF($J2680="","",ROUND('Opening Balance'!$B$4+SUM($F$2:F2680)-SUM($G$2:G2680),2))</f>
        <v/>
      </c>
      <c r="J2680" s="21">
        <f>IFERROR(MATCH(ROW()-1,$L$2:$L$3001,0),"")</f>
        <v/>
      </c>
      <c r="K2680" s="34">
        <f>IF(AND('Daily Sale entry '!Q1180="Collection 收款",'Daily Sale entry '!R1180="Cheque 支票",'Daily Sale entry '!V1180&lt;&gt;""),'Daily Sale entry '!V1180+ROW()/10000000,"")</f>
        <v/>
      </c>
      <c r="L2680" s="21">
        <f>IF(K2680="","",COUNTIF($K$2:$K$3001,"&lt;"&amp;K2680)+1)</f>
        <v/>
      </c>
    </row>
    <row r="2681">
      <c r="A2681" s="5">
        <f>IF($J2681="","",IF($J2681&lt;=1500,INDEX('Daily Sale entry '!$X$1:$X$1501,$J2681+1),INDEX('Daily Sale entry '!$V$1:$V$1501,$J2681-1499)))</f>
        <v/>
      </c>
      <c r="B2681">
        <f>IF($J2681="","",IF($J2681&lt;=1500,INDEX('Daily Sale entry '!$Y$1:$Y$1501,$J2681+1)&amp;"","Buyer cheque banked 买家支票存入"&amp;IF(INDEX('Daily Sale entry '!$U$1:$U$1501,$J2681-1499)="","", " - "&amp;INDEX('Daily Sale entry '!$U$1:$U$1501,$J2681-1499))))</f>
        <v/>
      </c>
      <c r="C2681">
        <f>IF($J2681="","",IF($J2681&lt;=1500,INDEX('Daily Sale entry '!$Z$1:$Z$1501,$J2681+1)&amp;"","Cheque deposit 支票存入 (buyer 买家)"))</f>
        <v/>
      </c>
      <c r="D2681">
        <f>IF($J2681="","",IF($J2681&lt;=1500,INDEX('Daily Sale entry '!$AA$1:$AA$1501,$J2681+1)&amp;"",INDEX('Daily Sale entry '!$P$1:$P$1501,$J2681-1499)&amp;""))</f>
        <v/>
      </c>
      <c r="E2681">
        <f>IF($J2681="","",IF($J2681&lt;=1500,IF(N(INDEX('Daily Sale entry '!$AB$1:$AB$1501,$J2681+1))=0,"",INDEX('Daily Sale entry '!$AB$1:$AB$1501,$J2681+1)),1))</f>
        <v/>
      </c>
      <c r="F2681" s="6">
        <f>IF($J2681="","",IF($J2681&lt;=1500,N(INDEX('Daily Sale entry '!$AC$1:$AC$1501,$J2681+1))-IF(AND('Opening Balance'!$B$15=1,INDEX('Daily Sale entry '!$Z$1:$Z$1501,$J2681+1)="Online collection 网上收款",INDEX('Daily Sale entry '!$AA$1:$AA$1501,$J2681+1)&lt;&gt;""),N(INDEX('Daily Sale entry '!$AC$1:$AC$1501,$J2681+1))-TRUNC(N(INDEX('Daily Sale entry '!$AC$1:$AC$1501,$J2681+1))),0),N(INDEX('Daily Sale entry '!$S$1:$S$1501,$J2681-1499))-'Opening Balance'!$B$15*(N(INDEX('Daily Sale entry '!$S$1:$S$1501,$J2681-1499))-TRUNC(N(INDEX('Daily Sale entry '!$S$1:$S$1501,$J2681-1499))))))</f>
        <v/>
      </c>
      <c r="G2681" s="6">
        <f>IF($J2681="","",IF($J2681&lt;=1500,N(INDEX('Daily Sale entry '!$AD$1:$AD$1501,$J2681+1)),0))</f>
        <v/>
      </c>
      <c r="H2681" s="6">
        <f>IF($J2681="","",ROUND('Opening Balance'!$B$4+SUM($F$2:F2681)-SUM($G$2:G2681),2))</f>
        <v/>
      </c>
      <c r="J2681" s="21">
        <f>IFERROR(MATCH(ROW()-1,$L$2:$L$3001,0),"")</f>
        <v/>
      </c>
      <c r="K2681" s="34">
        <f>IF(AND('Daily Sale entry '!Q1181="Collection 收款",'Daily Sale entry '!R1181="Cheque 支票",'Daily Sale entry '!V1181&lt;&gt;""),'Daily Sale entry '!V1181+ROW()/10000000,"")</f>
        <v/>
      </c>
      <c r="L2681" s="21">
        <f>IF(K2681="","",COUNTIF($K$2:$K$3001,"&lt;"&amp;K2681)+1)</f>
        <v/>
      </c>
    </row>
    <row r="2682">
      <c r="A2682" s="5">
        <f>IF($J2682="","",IF($J2682&lt;=1500,INDEX('Daily Sale entry '!$X$1:$X$1501,$J2682+1),INDEX('Daily Sale entry '!$V$1:$V$1501,$J2682-1499)))</f>
        <v/>
      </c>
      <c r="B2682">
        <f>IF($J2682="","",IF($J2682&lt;=1500,INDEX('Daily Sale entry '!$Y$1:$Y$1501,$J2682+1)&amp;"","Buyer cheque banked 买家支票存入"&amp;IF(INDEX('Daily Sale entry '!$U$1:$U$1501,$J2682-1499)="","", " - "&amp;INDEX('Daily Sale entry '!$U$1:$U$1501,$J2682-1499))))</f>
        <v/>
      </c>
      <c r="C2682">
        <f>IF($J2682="","",IF($J2682&lt;=1500,INDEX('Daily Sale entry '!$Z$1:$Z$1501,$J2682+1)&amp;"","Cheque deposit 支票存入 (buyer 买家)"))</f>
        <v/>
      </c>
      <c r="D2682">
        <f>IF($J2682="","",IF($J2682&lt;=1500,INDEX('Daily Sale entry '!$AA$1:$AA$1501,$J2682+1)&amp;"",INDEX('Daily Sale entry '!$P$1:$P$1501,$J2682-1499)&amp;""))</f>
        <v/>
      </c>
      <c r="E2682">
        <f>IF($J2682="","",IF($J2682&lt;=1500,IF(N(INDEX('Daily Sale entry '!$AB$1:$AB$1501,$J2682+1))=0,"",INDEX('Daily Sale entry '!$AB$1:$AB$1501,$J2682+1)),1))</f>
        <v/>
      </c>
      <c r="F2682" s="6">
        <f>IF($J2682="","",IF($J2682&lt;=1500,N(INDEX('Daily Sale entry '!$AC$1:$AC$1501,$J2682+1))-IF(AND('Opening Balance'!$B$15=1,INDEX('Daily Sale entry '!$Z$1:$Z$1501,$J2682+1)="Online collection 网上收款",INDEX('Daily Sale entry '!$AA$1:$AA$1501,$J2682+1)&lt;&gt;""),N(INDEX('Daily Sale entry '!$AC$1:$AC$1501,$J2682+1))-TRUNC(N(INDEX('Daily Sale entry '!$AC$1:$AC$1501,$J2682+1))),0),N(INDEX('Daily Sale entry '!$S$1:$S$1501,$J2682-1499))-'Opening Balance'!$B$15*(N(INDEX('Daily Sale entry '!$S$1:$S$1501,$J2682-1499))-TRUNC(N(INDEX('Daily Sale entry '!$S$1:$S$1501,$J2682-1499))))))</f>
        <v/>
      </c>
      <c r="G2682" s="6">
        <f>IF($J2682="","",IF($J2682&lt;=1500,N(INDEX('Daily Sale entry '!$AD$1:$AD$1501,$J2682+1)),0))</f>
        <v/>
      </c>
      <c r="H2682" s="6">
        <f>IF($J2682="","",ROUND('Opening Balance'!$B$4+SUM($F$2:F2682)-SUM($G$2:G2682),2))</f>
        <v/>
      </c>
      <c r="J2682" s="21">
        <f>IFERROR(MATCH(ROW()-1,$L$2:$L$3001,0),"")</f>
        <v/>
      </c>
      <c r="K2682" s="34">
        <f>IF(AND('Daily Sale entry '!Q1182="Collection 收款",'Daily Sale entry '!R1182="Cheque 支票",'Daily Sale entry '!V1182&lt;&gt;""),'Daily Sale entry '!V1182+ROW()/10000000,"")</f>
        <v/>
      </c>
      <c r="L2682" s="21">
        <f>IF(K2682="","",COUNTIF($K$2:$K$3001,"&lt;"&amp;K2682)+1)</f>
        <v/>
      </c>
    </row>
    <row r="2683">
      <c r="A2683" s="5">
        <f>IF($J2683="","",IF($J2683&lt;=1500,INDEX('Daily Sale entry '!$X$1:$X$1501,$J2683+1),INDEX('Daily Sale entry '!$V$1:$V$1501,$J2683-1499)))</f>
        <v/>
      </c>
      <c r="B2683">
        <f>IF($J2683="","",IF($J2683&lt;=1500,INDEX('Daily Sale entry '!$Y$1:$Y$1501,$J2683+1)&amp;"","Buyer cheque banked 买家支票存入"&amp;IF(INDEX('Daily Sale entry '!$U$1:$U$1501,$J2683-1499)="","", " - "&amp;INDEX('Daily Sale entry '!$U$1:$U$1501,$J2683-1499))))</f>
        <v/>
      </c>
      <c r="C2683">
        <f>IF($J2683="","",IF($J2683&lt;=1500,INDEX('Daily Sale entry '!$Z$1:$Z$1501,$J2683+1)&amp;"","Cheque deposit 支票存入 (buyer 买家)"))</f>
        <v/>
      </c>
      <c r="D2683">
        <f>IF($J2683="","",IF($J2683&lt;=1500,INDEX('Daily Sale entry '!$AA$1:$AA$1501,$J2683+1)&amp;"",INDEX('Daily Sale entry '!$P$1:$P$1501,$J2683-1499)&amp;""))</f>
        <v/>
      </c>
      <c r="E2683">
        <f>IF($J2683="","",IF($J2683&lt;=1500,IF(N(INDEX('Daily Sale entry '!$AB$1:$AB$1501,$J2683+1))=0,"",INDEX('Daily Sale entry '!$AB$1:$AB$1501,$J2683+1)),1))</f>
        <v/>
      </c>
      <c r="F2683" s="6">
        <f>IF($J2683="","",IF($J2683&lt;=1500,N(INDEX('Daily Sale entry '!$AC$1:$AC$1501,$J2683+1))-IF(AND('Opening Balance'!$B$15=1,INDEX('Daily Sale entry '!$Z$1:$Z$1501,$J2683+1)="Online collection 网上收款",INDEX('Daily Sale entry '!$AA$1:$AA$1501,$J2683+1)&lt;&gt;""),N(INDEX('Daily Sale entry '!$AC$1:$AC$1501,$J2683+1))-TRUNC(N(INDEX('Daily Sale entry '!$AC$1:$AC$1501,$J2683+1))),0),N(INDEX('Daily Sale entry '!$S$1:$S$1501,$J2683-1499))-'Opening Balance'!$B$15*(N(INDEX('Daily Sale entry '!$S$1:$S$1501,$J2683-1499))-TRUNC(N(INDEX('Daily Sale entry '!$S$1:$S$1501,$J2683-1499))))))</f>
        <v/>
      </c>
      <c r="G2683" s="6">
        <f>IF($J2683="","",IF($J2683&lt;=1500,N(INDEX('Daily Sale entry '!$AD$1:$AD$1501,$J2683+1)),0))</f>
        <v/>
      </c>
      <c r="H2683" s="6">
        <f>IF($J2683="","",ROUND('Opening Balance'!$B$4+SUM($F$2:F2683)-SUM($G$2:G2683),2))</f>
        <v/>
      </c>
      <c r="J2683" s="21">
        <f>IFERROR(MATCH(ROW()-1,$L$2:$L$3001,0),"")</f>
        <v/>
      </c>
      <c r="K2683" s="34">
        <f>IF(AND('Daily Sale entry '!Q1183="Collection 收款",'Daily Sale entry '!R1183="Cheque 支票",'Daily Sale entry '!V1183&lt;&gt;""),'Daily Sale entry '!V1183+ROW()/10000000,"")</f>
        <v/>
      </c>
      <c r="L2683" s="21">
        <f>IF(K2683="","",COUNTIF($K$2:$K$3001,"&lt;"&amp;K2683)+1)</f>
        <v/>
      </c>
    </row>
    <row r="2684">
      <c r="A2684" s="5">
        <f>IF($J2684="","",IF($J2684&lt;=1500,INDEX('Daily Sale entry '!$X$1:$X$1501,$J2684+1),INDEX('Daily Sale entry '!$V$1:$V$1501,$J2684-1499)))</f>
        <v/>
      </c>
      <c r="B2684">
        <f>IF($J2684="","",IF($J2684&lt;=1500,INDEX('Daily Sale entry '!$Y$1:$Y$1501,$J2684+1)&amp;"","Buyer cheque banked 买家支票存入"&amp;IF(INDEX('Daily Sale entry '!$U$1:$U$1501,$J2684-1499)="","", " - "&amp;INDEX('Daily Sale entry '!$U$1:$U$1501,$J2684-1499))))</f>
        <v/>
      </c>
      <c r="C2684">
        <f>IF($J2684="","",IF($J2684&lt;=1500,INDEX('Daily Sale entry '!$Z$1:$Z$1501,$J2684+1)&amp;"","Cheque deposit 支票存入 (buyer 买家)"))</f>
        <v/>
      </c>
      <c r="D2684">
        <f>IF($J2684="","",IF($J2684&lt;=1500,INDEX('Daily Sale entry '!$AA$1:$AA$1501,$J2684+1)&amp;"",INDEX('Daily Sale entry '!$P$1:$P$1501,$J2684-1499)&amp;""))</f>
        <v/>
      </c>
      <c r="E2684">
        <f>IF($J2684="","",IF($J2684&lt;=1500,IF(N(INDEX('Daily Sale entry '!$AB$1:$AB$1501,$J2684+1))=0,"",INDEX('Daily Sale entry '!$AB$1:$AB$1501,$J2684+1)),1))</f>
        <v/>
      </c>
      <c r="F2684" s="6">
        <f>IF($J2684="","",IF($J2684&lt;=1500,N(INDEX('Daily Sale entry '!$AC$1:$AC$1501,$J2684+1))-IF(AND('Opening Balance'!$B$15=1,INDEX('Daily Sale entry '!$Z$1:$Z$1501,$J2684+1)="Online collection 网上收款",INDEX('Daily Sale entry '!$AA$1:$AA$1501,$J2684+1)&lt;&gt;""),N(INDEX('Daily Sale entry '!$AC$1:$AC$1501,$J2684+1))-TRUNC(N(INDEX('Daily Sale entry '!$AC$1:$AC$1501,$J2684+1))),0),N(INDEX('Daily Sale entry '!$S$1:$S$1501,$J2684-1499))-'Opening Balance'!$B$15*(N(INDEX('Daily Sale entry '!$S$1:$S$1501,$J2684-1499))-TRUNC(N(INDEX('Daily Sale entry '!$S$1:$S$1501,$J2684-1499))))))</f>
        <v/>
      </c>
      <c r="G2684" s="6">
        <f>IF($J2684="","",IF($J2684&lt;=1500,N(INDEX('Daily Sale entry '!$AD$1:$AD$1501,$J2684+1)),0))</f>
        <v/>
      </c>
      <c r="H2684" s="6">
        <f>IF($J2684="","",ROUND('Opening Balance'!$B$4+SUM($F$2:F2684)-SUM($G$2:G2684),2))</f>
        <v/>
      </c>
      <c r="J2684" s="21">
        <f>IFERROR(MATCH(ROW()-1,$L$2:$L$3001,0),"")</f>
        <v/>
      </c>
      <c r="K2684" s="34">
        <f>IF(AND('Daily Sale entry '!Q1184="Collection 收款",'Daily Sale entry '!R1184="Cheque 支票",'Daily Sale entry '!V1184&lt;&gt;""),'Daily Sale entry '!V1184+ROW()/10000000,"")</f>
        <v/>
      </c>
      <c r="L2684" s="21">
        <f>IF(K2684="","",COUNTIF($K$2:$K$3001,"&lt;"&amp;K2684)+1)</f>
        <v/>
      </c>
    </row>
    <row r="2685">
      <c r="A2685" s="5">
        <f>IF($J2685="","",IF($J2685&lt;=1500,INDEX('Daily Sale entry '!$X$1:$X$1501,$J2685+1),INDEX('Daily Sale entry '!$V$1:$V$1501,$J2685-1499)))</f>
        <v/>
      </c>
      <c r="B2685">
        <f>IF($J2685="","",IF($J2685&lt;=1500,INDEX('Daily Sale entry '!$Y$1:$Y$1501,$J2685+1)&amp;"","Buyer cheque banked 买家支票存入"&amp;IF(INDEX('Daily Sale entry '!$U$1:$U$1501,$J2685-1499)="","", " - "&amp;INDEX('Daily Sale entry '!$U$1:$U$1501,$J2685-1499))))</f>
        <v/>
      </c>
      <c r="C2685">
        <f>IF($J2685="","",IF($J2685&lt;=1500,INDEX('Daily Sale entry '!$Z$1:$Z$1501,$J2685+1)&amp;"","Cheque deposit 支票存入 (buyer 买家)"))</f>
        <v/>
      </c>
      <c r="D2685">
        <f>IF($J2685="","",IF($J2685&lt;=1500,INDEX('Daily Sale entry '!$AA$1:$AA$1501,$J2685+1)&amp;"",INDEX('Daily Sale entry '!$P$1:$P$1501,$J2685-1499)&amp;""))</f>
        <v/>
      </c>
      <c r="E2685">
        <f>IF($J2685="","",IF($J2685&lt;=1500,IF(N(INDEX('Daily Sale entry '!$AB$1:$AB$1501,$J2685+1))=0,"",INDEX('Daily Sale entry '!$AB$1:$AB$1501,$J2685+1)),1))</f>
        <v/>
      </c>
      <c r="F2685" s="6">
        <f>IF($J2685="","",IF($J2685&lt;=1500,N(INDEX('Daily Sale entry '!$AC$1:$AC$1501,$J2685+1))-IF(AND('Opening Balance'!$B$15=1,INDEX('Daily Sale entry '!$Z$1:$Z$1501,$J2685+1)="Online collection 网上收款",INDEX('Daily Sale entry '!$AA$1:$AA$1501,$J2685+1)&lt;&gt;""),N(INDEX('Daily Sale entry '!$AC$1:$AC$1501,$J2685+1))-TRUNC(N(INDEX('Daily Sale entry '!$AC$1:$AC$1501,$J2685+1))),0),N(INDEX('Daily Sale entry '!$S$1:$S$1501,$J2685-1499))-'Opening Balance'!$B$15*(N(INDEX('Daily Sale entry '!$S$1:$S$1501,$J2685-1499))-TRUNC(N(INDEX('Daily Sale entry '!$S$1:$S$1501,$J2685-1499))))))</f>
        <v/>
      </c>
      <c r="G2685" s="6">
        <f>IF($J2685="","",IF($J2685&lt;=1500,N(INDEX('Daily Sale entry '!$AD$1:$AD$1501,$J2685+1)),0))</f>
        <v/>
      </c>
      <c r="H2685" s="6">
        <f>IF($J2685="","",ROUND('Opening Balance'!$B$4+SUM($F$2:F2685)-SUM($G$2:G2685),2))</f>
        <v/>
      </c>
      <c r="J2685" s="21">
        <f>IFERROR(MATCH(ROW()-1,$L$2:$L$3001,0),"")</f>
        <v/>
      </c>
      <c r="K2685" s="34">
        <f>IF(AND('Daily Sale entry '!Q1185="Collection 收款",'Daily Sale entry '!R1185="Cheque 支票",'Daily Sale entry '!V1185&lt;&gt;""),'Daily Sale entry '!V1185+ROW()/10000000,"")</f>
        <v/>
      </c>
      <c r="L2685" s="21">
        <f>IF(K2685="","",COUNTIF($K$2:$K$3001,"&lt;"&amp;K2685)+1)</f>
        <v/>
      </c>
    </row>
    <row r="2686">
      <c r="A2686" s="5">
        <f>IF($J2686="","",IF($J2686&lt;=1500,INDEX('Daily Sale entry '!$X$1:$X$1501,$J2686+1),INDEX('Daily Sale entry '!$V$1:$V$1501,$J2686-1499)))</f>
        <v/>
      </c>
      <c r="B2686">
        <f>IF($J2686="","",IF($J2686&lt;=1500,INDEX('Daily Sale entry '!$Y$1:$Y$1501,$J2686+1)&amp;"","Buyer cheque banked 买家支票存入"&amp;IF(INDEX('Daily Sale entry '!$U$1:$U$1501,$J2686-1499)="","", " - "&amp;INDEX('Daily Sale entry '!$U$1:$U$1501,$J2686-1499))))</f>
        <v/>
      </c>
      <c r="C2686">
        <f>IF($J2686="","",IF($J2686&lt;=1500,INDEX('Daily Sale entry '!$Z$1:$Z$1501,$J2686+1)&amp;"","Cheque deposit 支票存入 (buyer 买家)"))</f>
        <v/>
      </c>
      <c r="D2686">
        <f>IF($J2686="","",IF($J2686&lt;=1500,INDEX('Daily Sale entry '!$AA$1:$AA$1501,$J2686+1)&amp;"",INDEX('Daily Sale entry '!$P$1:$P$1501,$J2686-1499)&amp;""))</f>
        <v/>
      </c>
      <c r="E2686">
        <f>IF($J2686="","",IF($J2686&lt;=1500,IF(N(INDEX('Daily Sale entry '!$AB$1:$AB$1501,$J2686+1))=0,"",INDEX('Daily Sale entry '!$AB$1:$AB$1501,$J2686+1)),1))</f>
        <v/>
      </c>
      <c r="F2686" s="6">
        <f>IF($J2686="","",IF($J2686&lt;=1500,N(INDEX('Daily Sale entry '!$AC$1:$AC$1501,$J2686+1))-IF(AND('Opening Balance'!$B$15=1,INDEX('Daily Sale entry '!$Z$1:$Z$1501,$J2686+1)="Online collection 网上收款",INDEX('Daily Sale entry '!$AA$1:$AA$1501,$J2686+1)&lt;&gt;""),N(INDEX('Daily Sale entry '!$AC$1:$AC$1501,$J2686+1))-TRUNC(N(INDEX('Daily Sale entry '!$AC$1:$AC$1501,$J2686+1))),0),N(INDEX('Daily Sale entry '!$S$1:$S$1501,$J2686-1499))-'Opening Balance'!$B$15*(N(INDEX('Daily Sale entry '!$S$1:$S$1501,$J2686-1499))-TRUNC(N(INDEX('Daily Sale entry '!$S$1:$S$1501,$J2686-1499))))))</f>
        <v/>
      </c>
      <c r="G2686" s="6">
        <f>IF($J2686="","",IF($J2686&lt;=1500,N(INDEX('Daily Sale entry '!$AD$1:$AD$1501,$J2686+1)),0))</f>
        <v/>
      </c>
      <c r="H2686" s="6">
        <f>IF($J2686="","",ROUND('Opening Balance'!$B$4+SUM($F$2:F2686)-SUM($G$2:G2686),2))</f>
        <v/>
      </c>
      <c r="J2686" s="21">
        <f>IFERROR(MATCH(ROW()-1,$L$2:$L$3001,0),"")</f>
        <v/>
      </c>
      <c r="K2686" s="34">
        <f>IF(AND('Daily Sale entry '!Q1186="Collection 收款",'Daily Sale entry '!R1186="Cheque 支票",'Daily Sale entry '!V1186&lt;&gt;""),'Daily Sale entry '!V1186+ROW()/10000000,"")</f>
        <v/>
      </c>
      <c r="L2686" s="21">
        <f>IF(K2686="","",COUNTIF($K$2:$K$3001,"&lt;"&amp;K2686)+1)</f>
        <v/>
      </c>
    </row>
    <row r="2687">
      <c r="A2687" s="5">
        <f>IF($J2687="","",IF($J2687&lt;=1500,INDEX('Daily Sale entry '!$X$1:$X$1501,$J2687+1),INDEX('Daily Sale entry '!$V$1:$V$1501,$J2687-1499)))</f>
        <v/>
      </c>
      <c r="B2687">
        <f>IF($J2687="","",IF($J2687&lt;=1500,INDEX('Daily Sale entry '!$Y$1:$Y$1501,$J2687+1)&amp;"","Buyer cheque banked 买家支票存入"&amp;IF(INDEX('Daily Sale entry '!$U$1:$U$1501,$J2687-1499)="","", " - "&amp;INDEX('Daily Sale entry '!$U$1:$U$1501,$J2687-1499))))</f>
        <v/>
      </c>
      <c r="C2687">
        <f>IF($J2687="","",IF($J2687&lt;=1500,INDEX('Daily Sale entry '!$Z$1:$Z$1501,$J2687+1)&amp;"","Cheque deposit 支票存入 (buyer 买家)"))</f>
        <v/>
      </c>
      <c r="D2687">
        <f>IF($J2687="","",IF($J2687&lt;=1500,INDEX('Daily Sale entry '!$AA$1:$AA$1501,$J2687+1)&amp;"",INDEX('Daily Sale entry '!$P$1:$P$1501,$J2687-1499)&amp;""))</f>
        <v/>
      </c>
      <c r="E2687">
        <f>IF($J2687="","",IF($J2687&lt;=1500,IF(N(INDEX('Daily Sale entry '!$AB$1:$AB$1501,$J2687+1))=0,"",INDEX('Daily Sale entry '!$AB$1:$AB$1501,$J2687+1)),1))</f>
        <v/>
      </c>
      <c r="F2687" s="6">
        <f>IF($J2687="","",IF($J2687&lt;=1500,N(INDEX('Daily Sale entry '!$AC$1:$AC$1501,$J2687+1))-IF(AND('Opening Balance'!$B$15=1,INDEX('Daily Sale entry '!$Z$1:$Z$1501,$J2687+1)="Online collection 网上收款",INDEX('Daily Sale entry '!$AA$1:$AA$1501,$J2687+1)&lt;&gt;""),N(INDEX('Daily Sale entry '!$AC$1:$AC$1501,$J2687+1))-TRUNC(N(INDEX('Daily Sale entry '!$AC$1:$AC$1501,$J2687+1))),0),N(INDEX('Daily Sale entry '!$S$1:$S$1501,$J2687-1499))-'Opening Balance'!$B$15*(N(INDEX('Daily Sale entry '!$S$1:$S$1501,$J2687-1499))-TRUNC(N(INDEX('Daily Sale entry '!$S$1:$S$1501,$J2687-1499))))))</f>
        <v/>
      </c>
      <c r="G2687" s="6">
        <f>IF($J2687="","",IF($J2687&lt;=1500,N(INDEX('Daily Sale entry '!$AD$1:$AD$1501,$J2687+1)),0))</f>
        <v/>
      </c>
      <c r="H2687" s="6">
        <f>IF($J2687="","",ROUND('Opening Balance'!$B$4+SUM($F$2:F2687)-SUM($G$2:G2687),2))</f>
        <v/>
      </c>
      <c r="J2687" s="21">
        <f>IFERROR(MATCH(ROW()-1,$L$2:$L$3001,0),"")</f>
        <v/>
      </c>
      <c r="K2687" s="34">
        <f>IF(AND('Daily Sale entry '!Q1187="Collection 收款",'Daily Sale entry '!R1187="Cheque 支票",'Daily Sale entry '!V1187&lt;&gt;""),'Daily Sale entry '!V1187+ROW()/10000000,"")</f>
        <v/>
      </c>
      <c r="L2687" s="21">
        <f>IF(K2687="","",COUNTIF($K$2:$K$3001,"&lt;"&amp;K2687)+1)</f>
        <v/>
      </c>
    </row>
    <row r="2688">
      <c r="A2688" s="5">
        <f>IF($J2688="","",IF($J2688&lt;=1500,INDEX('Daily Sale entry '!$X$1:$X$1501,$J2688+1),INDEX('Daily Sale entry '!$V$1:$V$1501,$J2688-1499)))</f>
        <v/>
      </c>
      <c r="B2688">
        <f>IF($J2688="","",IF($J2688&lt;=1500,INDEX('Daily Sale entry '!$Y$1:$Y$1501,$J2688+1)&amp;"","Buyer cheque banked 买家支票存入"&amp;IF(INDEX('Daily Sale entry '!$U$1:$U$1501,$J2688-1499)="","", " - "&amp;INDEX('Daily Sale entry '!$U$1:$U$1501,$J2688-1499))))</f>
        <v/>
      </c>
      <c r="C2688">
        <f>IF($J2688="","",IF($J2688&lt;=1500,INDEX('Daily Sale entry '!$Z$1:$Z$1501,$J2688+1)&amp;"","Cheque deposit 支票存入 (buyer 买家)"))</f>
        <v/>
      </c>
      <c r="D2688">
        <f>IF($J2688="","",IF($J2688&lt;=1500,INDEX('Daily Sale entry '!$AA$1:$AA$1501,$J2688+1)&amp;"",INDEX('Daily Sale entry '!$P$1:$P$1501,$J2688-1499)&amp;""))</f>
        <v/>
      </c>
      <c r="E2688">
        <f>IF($J2688="","",IF($J2688&lt;=1500,IF(N(INDEX('Daily Sale entry '!$AB$1:$AB$1501,$J2688+1))=0,"",INDEX('Daily Sale entry '!$AB$1:$AB$1501,$J2688+1)),1))</f>
        <v/>
      </c>
      <c r="F2688" s="6">
        <f>IF($J2688="","",IF($J2688&lt;=1500,N(INDEX('Daily Sale entry '!$AC$1:$AC$1501,$J2688+1))-IF(AND('Opening Balance'!$B$15=1,INDEX('Daily Sale entry '!$Z$1:$Z$1501,$J2688+1)="Online collection 网上收款",INDEX('Daily Sale entry '!$AA$1:$AA$1501,$J2688+1)&lt;&gt;""),N(INDEX('Daily Sale entry '!$AC$1:$AC$1501,$J2688+1))-TRUNC(N(INDEX('Daily Sale entry '!$AC$1:$AC$1501,$J2688+1))),0),N(INDEX('Daily Sale entry '!$S$1:$S$1501,$J2688-1499))-'Opening Balance'!$B$15*(N(INDEX('Daily Sale entry '!$S$1:$S$1501,$J2688-1499))-TRUNC(N(INDEX('Daily Sale entry '!$S$1:$S$1501,$J2688-1499))))))</f>
        <v/>
      </c>
      <c r="G2688" s="6">
        <f>IF($J2688="","",IF($J2688&lt;=1500,N(INDEX('Daily Sale entry '!$AD$1:$AD$1501,$J2688+1)),0))</f>
        <v/>
      </c>
      <c r="H2688" s="6">
        <f>IF($J2688="","",ROUND('Opening Balance'!$B$4+SUM($F$2:F2688)-SUM($G$2:G2688),2))</f>
        <v/>
      </c>
      <c r="J2688" s="21">
        <f>IFERROR(MATCH(ROW()-1,$L$2:$L$3001,0),"")</f>
        <v/>
      </c>
      <c r="K2688" s="34">
        <f>IF(AND('Daily Sale entry '!Q1188="Collection 收款",'Daily Sale entry '!R1188="Cheque 支票",'Daily Sale entry '!V1188&lt;&gt;""),'Daily Sale entry '!V1188+ROW()/10000000,"")</f>
        <v/>
      </c>
      <c r="L2688" s="21">
        <f>IF(K2688="","",COUNTIF($K$2:$K$3001,"&lt;"&amp;K2688)+1)</f>
        <v/>
      </c>
    </row>
    <row r="2689">
      <c r="A2689" s="5">
        <f>IF($J2689="","",IF($J2689&lt;=1500,INDEX('Daily Sale entry '!$X$1:$X$1501,$J2689+1),INDEX('Daily Sale entry '!$V$1:$V$1501,$J2689-1499)))</f>
        <v/>
      </c>
      <c r="B2689">
        <f>IF($J2689="","",IF($J2689&lt;=1500,INDEX('Daily Sale entry '!$Y$1:$Y$1501,$J2689+1)&amp;"","Buyer cheque banked 买家支票存入"&amp;IF(INDEX('Daily Sale entry '!$U$1:$U$1501,$J2689-1499)="","", " - "&amp;INDEX('Daily Sale entry '!$U$1:$U$1501,$J2689-1499))))</f>
        <v/>
      </c>
      <c r="C2689">
        <f>IF($J2689="","",IF($J2689&lt;=1500,INDEX('Daily Sale entry '!$Z$1:$Z$1501,$J2689+1)&amp;"","Cheque deposit 支票存入 (buyer 买家)"))</f>
        <v/>
      </c>
      <c r="D2689">
        <f>IF($J2689="","",IF($J2689&lt;=1500,INDEX('Daily Sale entry '!$AA$1:$AA$1501,$J2689+1)&amp;"",INDEX('Daily Sale entry '!$P$1:$P$1501,$J2689-1499)&amp;""))</f>
        <v/>
      </c>
      <c r="E2689">
        <f>IF($J2689="","",IF($J2689&lt;=1500,IF(N(INDEX('Daily Sale entry '!$AB$1:$AB$1501,$J2689+1))=0,"",INDEX('Daily Sale entry '!$AB$1:$AB$1501,$J2689+1)),1))</f>
        <v/>
      </c>
      <c r="F2689" s="6">
        <f>IF($J2689="","",IF($J2689&lt;=1500,N(INDEX('Daily Sale entry '!$AC$1:$AC$1501,$J2689+1))-IF(AND('Opening Balance'!$B$15=1,INDEX('Daily Sale entry '!$Z$1:$Z$1501,$J2689+1)="Online collection 网上收款",INDEX('Daily Sale entry '!$AA$1:$AA$1501,$J2689+1)&lt;&gt;""),N(INDEX('Daily Sale entry '!$AC$1:$AC$1501,$J2689+1))-TRUNC(N(INDEX('Daily Sale entry '!$AC$1:$AC$1501,$J2689+1))),0),N(INDEX('Daily Sale entry '!$S$1:$S$1501,$J2689-1499))-'Opening Balance'!$B$15*(N(INDEX('Daily Sale entry '!$S$1:$S$1501,$J2689-1499))-TRUNC(N(INDEX('Daily Sale entry '!$S$1:$S$1501,$J2689-1499))))))</f>
        <v/>
      </c>
      <c r="G2689" s="6">
        <f>IF($J2689="","",IF($J2689&lt;=1500,N(INDEX('Daily Sale entry '!$AD$1:$AD$1501,$J2689+1)),0))</f>
        <v/>
      </c>
      <c r="H2689" s="6">
        <f>IF($J2689="","",ROUND('Opening Balance'!$B$4+SUM($F$2:F2689)-SUM($G$2:G2689),2))</f>
        <v/>
      </c>
      <c r="J2689" s="21">
        <f>IFERROR(MATCH(ROW()-1,$L$2:$L$3001,0),"")</f>
        <v/>
      </c>
      <c r="K2689" s="34">
        <f>IF(AND('Daily Sale entry '!Q1189="Collection 收款",'Daily Sale entry '!R1189="Cheque 支票",'Daily Sale entry '!V1189&lt;&gt;""),'Daily Sale entry '!V1189+ROW()/10000000,"")</f>
        <v/>
      </c>
      <c r="L2689" s="21">
        <f>IF(K2689="","",COUNTIF($K$2:$K$3001,"&lt;"&amp;K2689)+1)</f>
        <v/>
      </c>
    </row>
    <row r="2690">
      <c r="A2690" s="5">
        <f>IF($J2690="","",IF($J2690&lt;=1500,INDEX('Daily Sale entry '!$X$1:$X$1501,$J2690+1),INDEX('Daily Sale entry '!$V$1:$V$1501,$J2690-1499)))</f>
        <v/>
      </c>
      <c r="B2690">
        <f>IF($J2690="","",IF($J2690&lt;=1500,INDEX('Daily Sale entry '!$Y$1:$Y$1501,$J2690+1)&amp;"","Buyer cheque banked 买家支票存入"&amp;IF(INDEX('Daily Sale entry '!$U$1:$U$1501,$J2690-1499)="","", " - "&amp;INDEX('Daily Sale entry '!$U$1:$U$1501,$J2690-1499))))</f>
        <v/>
      </c>
      <c r="C2690">
        <f>IF($J2690="","",IF($J2690&lt;=1500,INDEX('Daily Sale entry '!$Z$1:$Z$1501,$J2690+1)&amp;"","Cheque deposit 支票存入 (buyer 买家)"))</f>
        <v/>
      </c>
      <c r="D2690">
        <f>IF($J2690="","",IF($J2690&lt;=1500,INDEX('Daily Sale entry '!$AA$1:$AA$1501,$J2690+1)&amp;"",INDEX('Daily Sale entry '!$P$1:$P$1501,$J2690-1499)&amp;""))</f>
        <v/>
      </c>
      <c r="E2690">
        <f>IF($J2690="","",IF($J2690&lt;=1500,IF(N(INDEX('Daily Sale entry '!$AB$1:$AB$1501,$J2690+1))=0,"",INDEX('Daily Sale entry '!$AB$1:$AB$1501,$J2690+1)),1))</f>
        <v/>
      </c>
      <c r="F2690" s="6">
        <f>IF($J2690="","",IF($J2690&lt;=1500,N(INDEX('Daily Sale entry '!$AC$1:$AC$1501,$J2690+1))-IF(AND('Opening Balance'!$B$15=1,INDEX('Daily Sale entry '!$Z$1:$Z$1501,$J2690+1)="Online collection 网上收款",INDEX('Daily Sale entry '!$AA$1:$AA$1501,$J2690+1)&lt;&gt;""),N(INDEX('Daily Sale entry '!$AC$1:$AC$1501,$J2690+1))-TRUNC(N(INDEX('Daily Sale entry '!$AC$1:$AC$1501,$J2690+1))),0),N(INDEX('Daily Sale entry '!$S$1:$S$1501,$J2690-1499))-'Opening Balance'!$B$15*(N(INDEX('Daily Sale entry '!$S$1:$S$1501,$J2690-1499))-TRUNC(N(INDEX('Daily Sale entry '!$S$1:$S$1501,$J2690-1499))))))</f>
        <v/>
      </c>
      <c r="G2690" s="6">
        <f>IF($J2690="","",IF($J2690&lt;=1500,N(INDEX('Daily Sale entry '!$AD$1:$AD$1501,$J2690+1)),0))</f>
        <v/>
      </c>
      <c r="H2690" s="6">
        <f>IF($J2690="","",ROUND('Opening Balance'!$B$4+SUM($F$2:F2690)-SUM($G$2:G2690),2))</f>
        <v/>
      </c>
      <c r="J2690" s="21">
        <f>IFERROR(MATCH(ROW()-1,$L$2:$L$3001,0),"")</f>
        <v/>
      </c>
      <c r="K2690" s="34">
        <f>IF(AND('Daily Sale entry '!Q1190="Collection 收款",'Daily Sale entry '!R1190="Cheque 支票",'Daily Sale entry '!V1190&lt;&gt;""),'Daily Sale entry '!V1190+ROW()/10000000,"")</f>
        <v/>
      </c>
      <c r="L2690" s="21">
        <f>IF(K2690="","",COUNTIF($K$2:$K$3001,"&lt;"&amp;K2690)+1)</f>
        <v/>
      </c>
    </row>
    <row r="2691">
      <c r="A2691" s="5">
        <f>IF($J2691="","",IF($J2691&lt;=1500,INDEX('Daily Sale entry '!$X$1:$X$1501,$J2691+1),INDEX('Daily Sale entry '!$V$1:$V$1501,$J2691-1499)))</f>
        <v/>
      </c>
      <c r="B2691">
        <f>IF($J2691="","",IF($J2691&lt;=1500,INDEX('Daily Sale entry '!$Y$1:$Y$1501,$J2691+1)&amp;"","Buyer cheque banked 买家支票存入"&amp;IF(INDEX('Daily Sale entry '!$U$1:$U$1501,$J2691-1499)="","", " - "&amp;INDEX('Daily Sale entry '!$U$1:$U$1501,$J2691-1499))))</f>
        <v/>
      </c>
      <c r="C2691">
        <f>IF($J2691="","",IF($J2691&lt;=1500,INDEX('Daily Sale entry '!$Z$1:$Z$1501,$J2691+1)&amp;"","Cheque deposit 支票存入 (buyer 买家)"))</f>
        <v/>
      </c>
      <c r="D2691">
        <f>IF($J2691="","",IF($J2691&lt;=1500,INDEX('Daily Sale entry '!$AA$1:$AA$1501,$J2691+1)&amp;"",INDEX('Daily Sale entry '!$P$1:$P$1501,$J2691-1499)&amp;""))</f>
        <v/>
      </c>
      <c r="E2691">
        <f>IF($J2691="","",IF($J2691&lt;=1500,IF(N(INDEX('Daily Sale entry '!$AB$1:$AB$1501,$J2691+1))=0,"",INDEX('Daily Sale entry '!$AB$1:$AB$1501,$J2691+1)),1))</f>
        <v/>
      </c>
      <c r="F2691" s="6">
        <f>IF($J2691="","",IF($J2691&lt;=1500,N(INDEX('Daily Sale entry '!$AC$1:$AC$1501,$J2691+1))-IF(AND('Opening Balance'!$B$15=1,INDEX('Daily Sale entry '!$Z$1:$Z$1501,$J2691+1)="Online collection 网上收款",INDEX('Daily Sale entry '!$AA$1:$AA$1501,$J2691+1)&lt;&gt;""),N(INDEX('Daily Sale entry '!$AC$1:$AC$1501,$J2691+1))-TRUNC(N(INDEX('Daily Sale entry '!$AC$1:$AC$1501,$J2691+1))),0),N(INDEX('Daily Sale entry '!$S$1:$S$1501,$J2691-1499))-'Opening Balance'!$B$15*(N(INDEX('Daily Sale entry '!$S$1:$S$1501,$J2691-1499))-TRUNC(N(INDEX('Daily Sale entry '!$S$1:$S$1501,$J2691-1499))))))</f>
        <v/>
      </c>
      <c r="G2691" s="6">
        <f>IF($J2691="","",IF($J2691&lt;=1500,N(INDEX('Daily Sale entry '!$AD$1:$AD$1501,$J2691+1)),0))</f>
        <v/>
      </c>
      <c r="H2691" s="6">
        <f>IF($J2691="","",ROUND('Opening Balance'!$B$4+SUM($F$2:F2691)-SUM($G$2:G2691),2))</f>
        <v/>
      </c>
      <c r="J2691" s="21">
        <f>IFERROR(MATCH(ROW()-1,$L$2:$L$3001,0),"")</f>
        <v/>
      </c>
      <c r="K2691" s="34">
        <f>IF(AND('Daily Sale entry '!Q1191="Collection 收款",'Daily Sale entry '!R1191="Cheque 支票",'Daily Sale entry '!V1191&lt;&gt;""),'Daily Sale entry '!V1191+ROW()/10000000,"")</f>
        <v/>
      </c>
      <c r="L2691" s="21">
        <f>IF(K2691="","",COUNTIF($K$2:$K$3001,"&lt;"&amp;K2691)+1)</f>
        <v/>
      </c>
    </row>
    <row r="2692">
      <c r="A2692" s="5">
        <f>IF($J2692="","",IF($J2692&lt;=1500,INDEX('Daily Sale entry '!$X$1:$X$1501,$J2692+1),INDEX('Daily Sale entry '!$V$1:$V$1501,$J2692-1499)))</f>
        <v/>
      </c>
      <c r="B2692">
        <f>IF($J2692="","",IF($J2692&lt;=1500,INDEX('Daily Sale entry '!$Y$1:$Y$1501,$J2692+1)&amp;"","Buyer cheque banked 买家支票存入"&amp;IF(INDEX('Daily Sale entry '!$U$1:$U$1501,$J2692-1499)="","", " - "&amp;INDEX('Daily Sale entry '!$U$1:$U$1501,$J2692-1499))))</f>
        <v/>
      </c>
      <c r="C2692">
        <f>IF($J2692="","",IF($J2692&lt;=1500,INDEX('Daily Sale entry '!$Z$1:$Z$1501,$J2692+1)&amp;"","Cheque deposit 支票存入 (buyer 买家)"))</f>
        <v/>
      </c>
      <c r="D2692">
        <f>IF($J2692="","",IF($J2692&lt;=1500,INDEX('Daily Sale entry '!$AA$1:$AA$1501,$J2692+1)&amp;"",INDEX('Daily Sale entry '!$P$1:$P$1501,$J2692-1499)&amp;""))</f>
        <v/>
      </c>
      <c r="E2692">
        <f>IF($J2692="","",IF($J2692&lt;=1500,IF(N(INDEX('Daily Sale entry '!$AB$1:$AB$1501,$J2692+1))=0,"",INDEX('Daily Sale entry '!$AB$1:$AB$1501,$J2692+1)),1))</f>
        <v/>
      </c>
      <c r="F2692" s="6">
        <f>IF($J2692="","",IF($J2692&lt;=1500,N(INDEX('Daily Sale entry '!$AC$1:$AC$1501,$J2692+1))-IF(AND('Opening Balance'!$B$15=1,INDEX('Daily Sale entry '!$Z$1:$Z$1501,$J2692+1)="Online collection 网上收款",INDEX('Daily Sale entry '!$AA$1:$AA$1501,$J2692+1)&lt;&gt;""),N(INDEX('Daily Sale entry '!$AC$1:$AC$1501,$J2692+1))-TRUNC(N(INDEX('Daily Sale entry '!$AC$1:$AC$1501,$J2692+1))),0),N(INDEX('Daily Sale entry '!$S$1:$S$1501,$J2692-1499))-'Opening Balance'!$B$15*(N(INDEX('Daily Sale entry '!$S$1:$S$1501,$J2692-1499))-TRUNC(N(INDEX('Daily Sale entry '!$S$1:$S$1501,$J2692-1499))))))</f>
        <v/>
      </c>
      <c r="G2692" s="6">
        <f>IF($J2692="","",IF($J2692&lt;=1500,N(INDEX('Daily Sale entry '!$AD$1:$AD$1501,$J2692+1)),0))</f>
        <v/>
      </c>
      <c r="H2692" s="6">
        <f>IF($J2692="","",ROUND('Opening Balance'!$B$4+SUM($F$2:F2692)-SUM($G$2:G2692),2))</f>
        <v/>
      </c>
      <c r="J2692" s="21">
        <f>IFERROR(MATCH(ROW()-1,$L$2:$L$3001,0),"")</f>
        <v/>
      </c>
      <c r="K2692" s="34">
        <f>IF(AND('Daily Sale entry '!Q1192="Collection 收款",'Daily Sale entry '!R1192="Cheque 支票",'Daily Sale entry '!V1192&lt;&gt;""),'Daily Sale entry '!V1192+ROW()/10000000,"")</f>
        <v/>
      </c>
      <c r="L2692" s="21">
        <f>IF(K2692="","",COUNTIF($K$2:$K$3001,"&lt;"&amp;K2692)+1)</f>
        <v/>
      </c>
    </row>
    <row r="2693">
      <c r="A2693" s="5">
        <f>IF($J2693="","",IF($J2693&lt;=1500,INDEX('Daily Sale entry '!$X$1:$X$1501,$J2693+1),INDEX('Daily Sale entry '!$V$1:$V$1501,$J2693-1499)))</f>
        <v/>
      </c>
      <c r="B2693">
        <f>IF($J2693="","",IF($J2693&lt;=1500,INDEX('Daily Sale entry '!$Y$1:$Y$1501,$J2693+1)&amp;"","Buyer cheque banked 买家支票存入"&amp;IF(INDEX('Daily Sale entry '!$U$1:$U$1501,$J2693-1499)="","", " - "&amp;INDEX('Daily Sale entry '!$U$1:$U$1501,$J2693-1499))))</f>
        <v/>
      </c>
      <c r="C2693">
        <f>IF($J2693="","",IF($J2693&lt;=1500,INDEX('Daily Sale entry '!$Z$1:$Z$1501,$J2693+1)&amp;"","Cheque deposit 支票存入 (buyer 买家)"))</f>
        <v/>
      </c>
      <c r="D2693">
        <f>IF($J2693="","",IF($J2693&lt;=1500,INDEX('Daily Sale entry '!$AA$1:$AA$1501,$J2693+1)&amp;"",INDEX('Daily Sale entry '!$P$1:$P$1501,$J2693-1499)&amp;""))</f>
        <v/>
      </c>
      <c r="E2693">
        <f>IF($J2693="","",IF($J2693&lt;=1500,IF(N(INDEX('Daily Sale entry '!$AB$1:$AB$1501,$J2693+1))=0,"",INDEX('Daily Sale entry '!$AB$1:$AB$1501,$J2693+1)),1))</f>
        <v/>
      </c>
      <c r="F2693" s="6">
        <f>IF($J2693="","",IF($J2693&lt;=1500,N(INDEX('Daily Sale entry '!$AC$1:$AC$1501,$J2693+1))-IF(AND('Opening Balance'!$B$15=1,INDEX('Daily Sale entry '!$Z$1:$Z$1501,$J2693+1)="Online collection 网上收款",INDEX('Daily Sale entry '!$AA$1:$AA$1501,$J2693+1)&lt;&gt;""),N(INDEX('Daily Sale entry '!$AC$1:$AC$1501,$J2693+1))-TRUNC(N(INDEX('Daily Sale entry '!$AC$1:$AC$1501,$J2693+1))),0),N(INDEX('Daily Sale entry '!$S$1:$S$1501,$J2693-1499))-'Opening Balance'!$B$15*(N(INDEX('Daily Sale entry '!$S$1:$S$1501,$J2693-1499))-TRUNC(N(INDEX('Daily Sale entry '!$S$1:$S$1501,$J2693-1499))))))</f>
        <v/>
      </c>
      <c r="G2693" s="6">
        <f>IF($J2693="","",IF($J2693&lt;=1500,N(INDEX('Daily Sale entry '!$AD$1:$AD$1501,$J2693+1)),0))</f>
        <v/>
      </c>
      <c r="H2693" s="6">
        <f>IF($J2693="","",ROUND('Opening Balance'!$B$4+SUM($F$2:F2693)-SUM($G$2:G2693),2))</f>
        <v/>
      </c>
      <c r="J2693" s="21">
        <f>IFERROR(MATCH(ROW()-1,$L$2:$L$3001,0),"")</f>
        <v/>
      </c>
      <c r="K2693" s="34">
        <f>IF(AND('Daily Sale entry '!Q1193="Collection 收款",'Daily Sale entry '!R1193="Cheque 支票",'Daily Sale entry '!V1193&lt;&gt;""),'Daily Sale entry '!V1193+ROW()/10000000,"")</f>
        <v/>
      </c>
      <c r="L2693" s="21">
        <f>IF(K2693="","",COUNTIF($K$2:$K$3001,"&lt;"&amp;K2693)+1)</f>
        <v/>
      </c>
    </row>
    <row r="2694">
      <c r="A2694" s="5">
        <f>IF($J2694="","",IF($J2694&lt;=1500,INDEX('Daily Sale entry '!$X$1:$X$1501,$J2694+1),INDEX('Daily Sale entry '!$V$1:$V$1501,$J2694-1499)))</f>
        <v/>
      </c>
      <c r="B2694">
        <f>IF($J2694="","",IF($J2694&lt;=1500,INDEX('Daily Sale entry '!$Y$1:$Y$1501,$J2694+1)&amp;"","Buyer cheque banked 买家支票存入"&amp;IF(INDEX('Daily Sale entry '!$U$1:$U$1501,$J2694-1499)="","", " - "&amp;INDEX('Daily Sale entry '!$U$1:$U$1501,$J2694-1499))))</f>
        <v/>
      </c>
      <c r="C2694">
        <f>IF($J2694="","",IF($J2694&lt;=1500,INDEX('Daily Sale entry '!$Z$1:$Z$1501,$J2694+1)&amp;"","Cheque deposit 支票存入 (buyer 买家)"))</f>
        <v/>
      </c>
      <c r="D2694">
        <f>IF($J2694="","",IF($J2694&lt;=1500,INDEX('Daily Sale entry '!$AA$1:$AA$1501,$J2694+1)&amp;"",INDEX('Daily Sale entry '!$P$1:$P$1501,$J2694-1499)&amp;""))</f>
        <v/>
      </c>
      <c r="E2694">
        <f>IF($J2694="","",IF($J2694&lt;=1500,IF(N(INDEX('Daily Sale entry '!$AB$1:$AB$1501,$J2694+1))=0,"",INDEX('Daily Sale entry '!$AB$1:$AB$1501,$J2694+1)),1))</f>
        <v/>
      </c>
      <c r="F2694" s="6">
        <f>IF($J2694="","",IF($J2694&lt;=1500,N(INDEX('Daily Sale entry '!$AC$1:$AC$1501,$J2694+1))-IF(AND('Opening Balance'!$B$15=1,INDEX('Daily Sale entry '!$Z$1:$Z$1501,$J2694+1)="Online collection 网上收款",INDEX('Daily Sale entry '!$AA$1:$AA$1501,$J2694+1)&lt;&gt;""),N(INDEX('Daily Sale entry '!$AC$1:$AC$1501,$J2694+1))-TRUNC(N(INDEX('Daily Sale entry '!$AC$1:$AC$1501,$J2694+1))),0),N(INDEX('Daily Sale entry '!$S$1:$S$1501,$J2694-1499))-'Opening Balance'!$B$15*(N(INDEX('Daily Sale entry '!$S$1:$S$1501,$J2694-1499))-TRUNC(N(INDEX('Daily Sale entry '!$S$1:$S$1501,$J2694-1499))))))</f>
        <v/>
      </c>
      <c r="G2694" s="6">
        <f>IF($J2694="","",IF($J2694&lt;=1500,N(INDEX('Daily Sale entry '!$AD$1:$AD$1501,$J2694+1)),0))</f>
        <v/>
      </c>
      <c r="H2694" s="6">
        <f>IF($J2694="","",ROUND('Opening Balance'!$B$4+SUM($F$2:F2694)-SUM($G$2:G2694),2))</f>
        <v/>
      </c>
      <c r="J2694" s="21">
        <f>IFERROR(MATCH(ROW()-1,$L$2:$L$3001,0),"")</f>
        <v/>
      </c>
      <c r="K2694" s="34">
        <f>IF(AND('Daily Sale entry '!Q1194="Collection 收款",'Daily Sale entry '!R1194="Cheque 支票",'Daily Sale entry '!V1194&lt;&gt;""),'Daily Sale entry '!V1194+ROW()/10000000,"")</f>
        <v/>
      </c>
      <c r="L2694" s="21">
        <f>IF(K2694="","",COUNTIF($K$2:$K$3001,"&lt;"&amp;K2694)+1)</f>
        <v/>
      </c>
    </row>
    <row r="2695">
      <c r="A2695" s="5">
        <f>IF($J2695="","",IF($J2695&lt;=1500,INDEX('Daily Sale entry '!$X$1:$X$1501,$J2695+1),INDEX('Daily Sale entry '!$V$1:$V$1501,$J2695-1499)))</f>
        <v/>
      </c>
      <c r="B2695">
        <f>IF($J2695="","",IF($J2695&lt;=1500,INDEX('Daily Sale entry '!$Y$1:$Y$1501,$J2695+1)&amp;"","Buyer cheque banked 买家支票存入"&amp;IF(INDEX('Daily Sale entry '!$U$1:$U$1501,$J2695-1499)="","", " - "&amp;INDEX('Daily Sale entry '!$U$1:$U$1501,$J2695-1499))))</f>
        <v/>
      </c>
      <c r="C2695">
        <f>IF($J2695="","",IF($J2695&lt;=1500,INDEX('Daily Sale entry '!$Z$1:$Z$1501,$J2695+1)&amp;"","Cheque deposit 支票存入 (buyer 买家)"))</f>
        <v/>
      </c>
      <c r="D2695">
        <f>IF($J2695="","",IF($J2695&lt;=1500,INDEX('Daily Sale entry '!$AA$1:$AA$1501,$J2695+1)&amp;"",INDEX('Daily Sale entry '!$P$1:$P$1501,$J2695-1499)&amp;""))</f>
        <v/>
      </c>
      <c r="E2695">
        <f>IF($J2695="","",IF($J2695&lt;=1500,IF(N(INDEX('Daily Sale entry '!$AB$1:$AB$1501,$J2695+1))=0,"",INDEX('Daily Sale entry '!$AB$1:$AB$1501,$J2695+1)),1))</f>
        <v/>
      </c>
      <c r="F2695" s="6">
        <f>IF($J2695="","",IF($J2695&lt;=1500,N(INDEX('Daily Sale entry '!$AC$1:$AC$1501,$J2695+1))-IF(AND('Opening Balance'!$B$15=1,INDEX('Daily Sale entry '!$Z$1:$Z$1501,$J2695+1)="Online collection 网上收款",INDEX('Daily Sale entry '!$AA$1:$AA$1501,$J2695+1)&lt;&gt;""),N(INDEX('Daily Sale entry '!$AC$1:$AC$1501,$J2695+1))-TRUNC(N(INDEX('Daily Sale entry '!$AC$1:$AC$1501,$J2695+1))),0),N(INDEX('Daily Sale entry '!$S$1:$S$1501,$J2695-1499))-'Opening Balance'!$B$15*(N(INDEX('Daily Sale entry '!$S$1:$S$1501,$J2695-1499))-TRUNC(N(INDEX('Daily Sale entry '!$S$1:$S$1501,$J2695-1499))))))</f>
        <v/>
      </c>
      <c r="G2695" s="6">
        <f>IF($J2695="","",IF($J2695&lt;=1500,N(INDEX('Daily Sale entry '!$AD$1:$AD$1501,$J2695+1)),0))</f>
        <v/>
      </c>
      <c r="H2695" s="6">
        <f>IF($J2695="","",ROUND('Opening Balance'!$B$4+SUM($F$2:F2695)-SUM($G$2:G2695),2))</f>
        <v/>
      </c>
      <c r="J2695" s="21">
        <f>IFERROR(MATCH(ROW()-1,$L$2:$L$3001,0),"")</f>
        <v/>
      </c>
      <c r="K2695" s="34">
        <f>IF(AND('Daily Sale entry '!Q1195="Collection 收款",'Daily Sale entry '!R1195="Cheque 支票",'Daily Sale entry '!V1195&lt;&gt;""),'Daily Sale entry '!V1195+ROW()/10000000,"")</f>
        <v/>
      </c>
      <c r="L2695" s="21">
        <f>IF(K2695="","",COUNTIF($K$2:$K$3001,"&lt;"&amp;K2695)+1)</f>
        <v/>
      </c>
    </row>
    <row r="2696">
      <c r="A2696" s="5">
        <f>IF($J2696="","",IF($J2696&lt;=1500,INDEX('Daily Sale entry '!$X$1:$X$1501,$J2696+1),INDEX('Daily Sale entry '!$V$1:$V$1501,$J2696-1499)))</f>
        <v/>
      </c>
      <c r="B2696">
        <f>IF($J2696="","",IF($J2696&lt;=1500,INDEX('Daily Sale entry '!$Y$1:$Y$1501,$J2696+1)&amp;"","Buyer cheque banked 买家支票存入"&amp;IF(INDEX('Daily Sale entry '!$U$1:$U$1501,$J2696-1499)="","", " - "&amp;INDEX('Daily Sale entry '!$U$1:$U$1501,$J2696-1499))))</f>
        <v/>
      </c>
      <c r="C2696">
        <f>IF($J2696="","",IF($J2696&lt;=1500,INDEX('Daily Sale entry '!$Z$1:$Z$1501,$J2696+1)&amp;"","Cheque deposit 支票存入 (buyer 买家)"))</f>
        <v/>
      </c>
      <c r="D2696">
        <f>IF($J2696="","",IF($J2696&lt;=1500,INDEX('Daily Sale entry '!$AA$1:$AA$1501,$J2696+1)&amp;"",INDEX('Daily Sale entry '!$P$1:$P$1501,$J2696-1499)&amp;""))</f>
        <v/>
      </c>
      <c r="E2696">
        <f>IF($J2696="","",IF($J2696&lt;=1500,IF(N(INDEX('Daily Sale entry '!$AB$1:$AB$1501,$J2696+1))=0,"",INDEX('Daily Sale entry '!$AB$1:$AB$1501,$J2696+1)),1))</f>
        <v/>
      </c>
      <c r="F2696" s="6">
        <f>IF($J2696="","",IF($J2696&lt;=1500,N(INDEX('Daily Sale entry '!$AC$1:$AC$1501,$J2696+1))-IF(AND('Opening Balance'!$B$15=1,INDEX('Daily Sale entry '!$Z$1:$Z$1501,$J2696+1)="Online collection 网上收款",INDEX('Daily Sale entry '!$AA$1:$AA$1501,$J2696+1)&lt;&gt;""),N(INDEX('Daily Sale entry '!$AC$1:$AC$1501,$J2696+1))-TRUNC(N(INDEX('Daily Sale entry '!$AC$1:$AC$1501,$J2696+1))),0),N(INDEX('Daily Sale entry '!$S$1:$S$1501,$J2696-1499))-'Opening Balance'!$B$15*(N(INDEX('Daily Sale entry '!$S$1:$S$1501,$J2696-1499))-TRUNC(N(INDEX('Daily Sale entry '!$S$1:$S$1501,$J2696-1499))))))</f>
        <v/>
      </c>
      <c r="G2696" s="6">
        <f>IF($J2696="","",IF($J2696&lt;=1500,N(INDEX('Daily Sale entry '!$AD$1:$AD$1501,$J2696+1)),0))</f>
        <v/>
      </c>
      <c r="H2696" s="6">
        <f>IF($J2696="","",ROUND('Opening Balance'!$B$4+SUM($F$2:F2696)-SUM($G$2:G2696),2))</f>
        <v/>
      </c>
      <c r="J2696" s="21">
        <f>IFERROR(MATCH(ROW()-1,$L$2:$L$3001,0),"")</f>
        <v/>
      </c>
      <c r="K2696" s="34">
        <f>IF(AND('Daily Sale entry '!Q1196="Collection 收款",'Daily Sale entry '!R1196="Cheque 支票",'Daily Sale entry '!V1196&lt;&gt;""),'Daily Sale entry '!V1196+ROW()/10000000,"")</f>
        <v/>
      </c>
      <c r="L2696" s="21">
        <f>IF(K2696="","",COUNTIF($K$2:$K$3001,"&lt;"&amp;K2696)+1)</f>
        <v/>
      </c>
    </row>
    <row r="2697">
      <c r="A2697" s="5">
        <f>IF($J2697="","",IF($J2697&lt;=1500,INDEX('Daily Sale entry '!$X$1:$X$1501,$J2697+1),INDEX('Daily Sale entry '!$V$1:$V$1501,$J2697-1499)))</f>
        <v/>
      </c>
      <c r="B2697">
        <f>IF($J2697="","",IF($J2697&lt;=1500,INDEX('Daily Sale entry '!$Y$1:$Y$1501,$J2697+1)&amp;"","Buyer cheque banked 买家支票存入"&amp;IF(INDEX('Daily Sale entry '!$U$1:$U$1501,$J2697-1499)="","", " - "&amp;INDEX('Daily Sale entry '!$U$1:$U$1501,$J2697-1499))))</f>
        <v/>
      </c>
      <c r="C2697">
        <f>IF($J2697="","",IF($J2697&lt;=1500,INDEX('Daily Sale entry '!$Z$1:$Z$1501,$J2697+1)&amp;"","Cheque deposit 支票存入 (buyer 买家)"))</f>
        <v/>
      </c>
      <c r="D2697">
        <f>IF($J2697="","",IF($J2697&lt;=1500,INDEX('Daily Sale entry '!$AA$1:$AA$1501,$J2697+1)&amp;"",INDEX('Daily Sale entry '!$P$1:$P$1501,$J2697-1499)&amp;""))</f>
        <v/>
      </c>
      <c r="E2697">
        <f>IF($J2697="","",IF($J2697&lt;=1500,IF(N(INDEX('Daily Sale entry '!$AB$1:$AB$1501,$J2697+1))=0,"",INDEX('Daily Sale entry '!$AB$1:$AB$1501,$J2697+1)),1))</f>
        <v/>
      </c>
      <c r="F2697" s="6">
        <f>IF($J2697="","",IF($J2697&lt;=1500,N(INDEX('Daily Sale entry '!$AC$1:$AC$1501,$J2697+1))-IF(AND('Opening Balance'!$B$15=1,INDEX('Daily Sale entry '!$Z$1:$Z$1501,$J2697+1)="Online collection 网上收款",INDEX('Daily Sale entry '!$AA$1:$AA$1501,$J2697+1)&lt;&gt;""),N(INDEX('Daily Sale entry '!$AC$1:$AC$1501,$J2697+1))-TRUNC(N(INDEX('Daily Sale entry '!$AC$1:$AC$1501,$J2697+1))),0),N(INDEX('Daily Sale entry '!$S$1:$S$1501,$J2697-1499))-'Opening Balance'!$B$15*(N(INDEX('Daily Sale entry '!$S$1:$S$1501,$J2697-1499))-TRUNC(N(INDEX('Daily Sale entry '!$S$1:$S$1501,$J2697-1499))))))</f>
        <v/>
      </c>
      <c r="G2697" s="6">
        <f>IF($J2697="","",IF($J2697&lt;=1500,N(INDEX('Daily Sale entry '!$AD$1:$AD$1501,$J2697+1)),0))</f>
        <v/>
      </c>
      <c r="H2697" s="6">
        <f>IF($J2697="","",ROUND('Opening Balance'!$B$4+SUM($F$2:F2697)-SUM($G$2:G2697),2))</f>
        <v/>
      </c>
      <c r="J2697" s="21">
        <f>IFERROR(MATCH(ROW()-1,$L$2:$L$3001,0),"")</f>
        <v/>
      </c>
      <c r="K2697" s="34">
        <f>IF(AND('Daily Sale entry '!Q1197="Collection 收款",'Daily Sale entry '!R1197="Cheque 支票",'Daily Sale entry '!V1197&lt;&gt;""),'Daily Sale entry '!V1197+ROW()/10000000,"")</f>
        <v/>
      </c>
      <c r="L2697" s="21">
        <f>IF(K2697="","",COUNTIF($K$2:$K$3001,"&lt;"&amp;K2697)+1)</f>
        <v/>
      </c>
    </row>
    <row r="2698">
      <c r="A2698" s="5">
        <f>IF($J2698="","",IF($J2698&lt;=1500,INDEX('Daily Sale entry '!$X$1:$X$1501,$J2698+1),INDEX('Daily Sale entry '!$V$1:$V$1501,$J2698-1499)))</f>
        <v/>
      </c>
      <c r="B2698">
        <f>IF($J2698="","",IF($J2698&lt;=1500,INDEX('Daily Sale entry '!$Y$1:$Y$1501,$J2698+1)&amp;"","Buyer cheque banked 买家支票存入"&amp;IF(INDEX('Daily Sale entry '!$U$1:$U$1501,$J2698-1499)="","", " - "&amp;INDEX('Daily Sale entry '!$U$1:$U$1501,$J2698-1499))))</f>
        <v/>
      </c>
      <c r="C2698">
        <f>IF($J2698="","",IF($J2698&lt;=1500,INDEX('Daily Sale entry '!$Z$1:$Z$1501,$J2698+1)&amp;"","Cheque deposit 支票存入 (buyer 买家)"))</f>
        <v/>
      </c>
      <c r="D2698">
        <f>IF($J2698="","",IF($J2698&lt;=1500,INDEX('Daily Sale entry '!$AA$1:$AA$1501,$J2698+1)&amp;"",INDEX('Daily Sale entry '!$P$1:$P$1501,$J2698-1499)&amp;""))</f>
        <v/>
      </c>
      <c r="E2698">
        <f>IF($J2698="","",IF($J2698&lt;=1500,IF(N(INDEX('Daily Sale entry '!$AB$1:$AB$1501,$J2698+1))=0,"",INDEX('Daily Sale entry '!$AB$1:$AB$1501,$J2698+1)),1))</f>
        <v/>
      </c>
      <c r="F2698" s="6">
        <f>IF($J2698="","",IF($J2698&lt;=1500,N(INDEX('Daily Sale entry '!$AC$1:$AC$1501,$J2698+1))-IF(AND('Opening Balance'!$B$15=1,INDEX('Daily Sale entry '!$Z$1:$Z$1501,$J2698+1)="Online collection 网上收款",INDEX('Daily Sale entry '!$AA$1:$AA$1501,$J2698+1)&lt;&gt;""),N(INDEX('Daily Sale entry '!$AC$1:$AC$1501,$J2698+1))-TRUNC(N(INDEX('Daily Sale entry '!$AC$1:$AC$1501,$J2698+1))),0),N(INDEX('Daily Sale entry '!$S$1:$S$1501,$J2698-1499))-'Opening Balance'!$B$15*(N(INDEX('Daily Sale entry '!$S$1:$S$1501,$J2698-1499))-TRUNC(N(INDEX('Daily Sale entry '!$S$1:$S$1501,$J2698-1499))))))</f>
        <v/>
      </c>
      <c r="G2698" s="6">
        <f>IF($J2698="","",IF($J2698&lt;=1500,N(INDEX('Daily Sale entry '!$AD$1:$AD$1501,$J2698+1)),0))</f>
        <v/>
      </c>
      <c r="H2698" s="6">
        <f>IF($J2698="","",ROUND('Opening Balance'!$B$4+SUM($F$2:F2698)-SUM($G$2:G2698),2))</f>
        <v/>
      </c>
      <c r="J2698" s="21">
        <f>IFERROR(MATCH(ROW()-1,$L$2:$L$3001,0),"")</f>
        <v/>
      </c>
      <c r="K2698" s="34">
        <f>IF(AND('Daily Sale entry '!Q1198="Collection 收款",'Daily Sale entry '!R1198="Cheque 支票",'Daily Sale entry '!V1198&lt;&gt;""),'Daily Sale entry '!V1198+ROW()/10000000,"")</f>
        <v/>
      </c>
      <c r="L2698" s="21">
        <f>IF(K2698="","",COUNTIF($K$2:$K$3001,"&lt;"&amp;K2698)+1)</f>
        <v/>
      </c>
    </row>
    <row r="2699">
      <c r="A2699" s="5">
        <f>IF($J2699="","",IF($J2699&lt;=1500,INDEX('Daily Sale entry '!$X$1:$X$1501,$J2699+1),INDEX('Daily Sale entry '!$V$1:$V$1501,$J2699-1499)))</f>
        <v/>
      </c>
      <c r="B2699">
        <f>IF($J2699="","",IF($J2699&lt;=1500,INDEX('Daily Sale entry '!$Y$1:$Y$1501,$J2699+1)&amp;"","Buyer cheque banked 买家支票存入"&amp;IF(INDEX('Daily Sale entry '!$U$1:$U$1501,$J2699-1499)="","", " - "&amp;INDEX('Daily Sale entry '!$U$1:$U$1501,$J2699-1499))))</f>
        <v/>
      </c>
      <c r="C2699">
        <f>IF($J2699="","",IF($J2699&lt;=1500,INDEX('Daily Sale entry '!$Z$1:$Z$1501,$J2699+1)&amp;"","Cheque deposit 支票存入 (buyer 买家)"))</f>
        <v/>
      </c>
      <c r="D2699">
        <f>IF($J2699="","",IF($J2699&lt;=1500,INDEX('Daily Sale entry '!$AA$1:$AA$1501,$J2699+1)&amp;"",INDEX('Daily Sale entry '!$P$1:$P$1501,$J2699-1499)&amp;""))</f>
        <v/>
      </c>
      <c r="E2699">
        <f>IF($J2699="","",IF($J2699&lt;=1500,IF(N(INDEX('Daily Sale entry '!$AB$1:$AB$1501,$J2699+1))=0,"",INDEX('Daily Sale entry '!$AB$1:$AB$1501,$J2699+1)),1))</f>
        <v/>
      </c>
      <c r="F2699" s="6">
        <f>IF($J2699="","",IF($J2699&lt;=1500,N(INDEX('Daily Sale entry '!$AC$1:$AC$1501,$J2699+1))-IF(AND('Opening Balance'!$B$15=1,INDEX('Daily Sale entry '!$Z$1:$Z$1501,$J2699+1)="Online collection 网上收款",INDEX('Daily Sale entry '!$AA$1:$AA$1501,$J2699+1)&lt;&gt;""),N(INDEX('Daily Sale entry '!$AC$1:$AC$1501,$J2699+1))-TRUNC(N(INDEX('Daily Sale entry '!$AC$1:$AC$1501,$J2699+1))),0),N(INDEX('Daily Sale entry '!$S$1:$S$1501,$J2699-1499))-'Opening Balance'!$B$15*(N(INDEX('Daily Sale entry '!$S$1:$S$1501,$J2699-1499))-TRUNC(N(INDEX('Daily Sale entry '!$S$1:$S$1501,$J2699-1499))))))</f>
        <v/>
      </c>
      <c r="G2699" s="6">
        <f>IF($J2699="","",IF($J2699&lt;=1500,N(INDEX('Daily Sale entry '!$AD$1:$AD$1501,$J2699+1)),0))</f>
        <v/>
      </c>
      <c r="H2699" s="6">
        <f>IF($J2699="","",ROUND('Opening Balance'!$B$4+SUM($F$2:F2699)-SUM($G$2:G2699),2))</f>
        <v/>
      </c>
      <c r="J2699" s="21">
        <f>IFERROR(MATCH(ROW()-1,$L$2:$L$3001,0),"")</f>
        <v/>
      </c>
      <c r="K2699" s="34">
        <f>IF(AND('Daily Sale entry '!Q1199="Collection 收款",'Daily Sale entry '!R1199="Cheque 支票",'Daily Sale entry '!V1199&lt;&gt;""),'Daily Sale entry '!V1199+ROW()/10000000,"")</f>
        <v/>
      </c>
      <c r="L2699" s="21">
        <f>IF(K2699="","",COUNTIF($K$2:$K$3001,"&lt;"&amp;K2699)+1)</f>
        <v/>
      </c>
    </row>
    <row r="2700">
      <c r="A2700" s="5">
        <f>IF($J2700="","",IF($J2700&lt;=1500,INDEX('Daily Sale entry '!$X$1:$X$1501,$J2700+1),INDEX('Daily Sale entry '!$V$1:$V$1501,$J2700-1499)))</f>
        <v/>
      </c>
      <c r="B2700">
        <f>IF($J2700="","",IF($J2700&lt;=1500,INDEX('Daily Sale entry '!$Y$1:$Y$1501,$J2700+1)&amp;"","Buyer cheque banked 买家支票存入"&amp;IF(INDEX('Daily Sale entry '!$U$1:$U$1501,$J2700-1499)="","", " - "&amp;INDEX('Daily Sale entry '!$U$1:$U$1501,$J2700-1499))))</f>
        <v/>
      </c>
      <c r="C2700">
        <f>IF($J2700="","",IF($J2700&lt;=1500,INDEX('Daily Sale entry '!$Z$1:$Z$1501,$J2700+1)&amp;"","Cheque deposit 支票存入 (buyer 买家)"))</f>
        <v/>
      </c>
      <c r="D2700">
        <f>IF($J2700="","",IF($J2700&lt;=1500,INDEX('Daily Sale entry '!$AA$1:$AA$1501,$J2700+1)&amp;"",INDEX('Daily Sale entry '!$P$1:$P$1501,$J2700-1499)&amp;""))</f>
        <v/>
      </c>
      <c r="E2700">
        <f>IF($J2700="","",IF($J2700&lt;=1500,IF(N(INDEX('Daily Sale entry '!$AB$1:$AB$1501,$J2700+1))=0,"",INDEX('Daily Sale entry '!$AB$1:$AB$1501,$J2700+1)),1))</f>
        <v/>
      </c>
      <c r="F2700" s="6">
        <f>IF($J2700="","",IF($J2700&lt;=1500,N(INDEX('Daily Sale entry '!$AC$1:$AC$1501,$J2700+1))-IF(AND('Opening Balance'!$B$15=1,INDEX('Daily Sale entry '!$Z$1:$Z$1501,$J2700+1)="Online collection 网上收款",INDEX('Daily Sale entry '!$AA$1:$AA$1501,$J2700+1)&lt;&gt;""),N(INDEX('Daily Sale entry '!$AC$1:$AC$1501,$J2700+1))-TRUNC(N(INDEX('Daily Sale entry '!$AC$1:$AC$1501,$J2700+1))),0),N(INDEX('Daily Sale entry '!$S$1:$S$1501,$J2700-1499))-'Opening Balance'!$B$15*(N(INDEX('Daily Sale entry '!$S$1:$S$1501,$J2700-1499))-TRUNC(N(INDEX('Daily Sale entry '!$S$1:$S$1501,$J2700-1499))))))</f>
        <v/>
      </c>
      <c r="G2700" s="6">
        <f>IF($J2700="","",IF($J2700&lt;=1500,N(INDEX('Daily Sale entry '!$AD$1:$AD$1501,$J2700+1)),0))</f>
        <v/>
      </c>
      <c r="H2700" s="6">
        <f>IF($J2700="","",ROUND('Opening Balance'!$B$4+SUM($F$2:F2700)-SUM($G$2:G2700),2))</f>
        <v/>
      </c>
      <c r="J2700" s="21">
        <f>IFERROR(MATCH(ROW()-1,$L$2:$L$3001,0),"")</f>
        <v/>
      </c>
      <c r="K2700" s="34">
        <f>IF(AND('Daily Sale entry '!Q1200="Collection 收款",'Daily Sale entry '!R1200="Cheque 支票",'Daily Sale entry '!V1200&lt;&gt;""),'Daily Sale entry '!V1200+ROW()/10000000,"")</f>
        <v/>
      </c>
      <c r="L2700" s="21">
        <f>IF(K2700="","",COUNTIF($K$2:$K$3001,"&lt;"&amp;K2700)+1)</f>
        <v/>
      </c>
    </row>
    <row r="2701">
      <c r="A2701" s="5">
        <f>IF($J2701="","",IF($J2701&lt;=1500,INDEX('Daily Sale entry '!$X$1:$X$1501,$J2701+1),INDEX('Daily Sale entry '!$V$1:$V$1501,$J2701-1499)))</f>
        <v/>
      </c>
      <c r="B2701">
        <f>IF($J2701="","",IF($J2701&lt;=1500,INDEX('Daily Sale entry '!$Y$1:$Y$1501,$J2701+1)&amp;"","Buyer cheque banked 买家支票存入"&amp;IF(INDEX('Daily Sale entry '!$U$1:$U$1501,$J2701-1499)="","", " - "&amp;INDEX('Daily Sale entry '!$U$1:$U$1501,$J2701-1499))))</f>
        <v/>
      </c>
      <c r="C2701">
        <f>IF($J2701="","",IF($J2701&lt;=1500,INDEX('Daily Sale entry '!$Z$1:$Z$1501,$J2701+1)&amp;"","Cheque deposit 支票存入 (buyer 买家)"))</f>
        <v/>
      </c>
      <c r="D2701">
        <f>IF($J2701="","",IF($J2701&lt;=1500,INDEX('Daily Sale entry '!$AA$1:$AA$1501,$J2701+1)&amp;"",INDEX('Daily Sale entry '!$P$1:$P$1501,$J2701-1499)&amp;""))</f>
        <v/>
      </c>
      <c r="E2701">
        <f>IF($J2701="","",IF($J2701&lt;=1500,IF(N(INDEX('Daily Sale entry '!$AB$1:$AB$1501,$J2701+1))=0,"",INDEX('Daily Sale entry '!$AB$1:$AB$1501,$J2701+1)),1))</f>
        <v/>
      </c>
      <c r="F2701" s="6">
        <f>IF($J2701="","",IF($J2701&lt;=1500,N(INDEX('Daily Sale entry '!$AC$1:$AC$1501,$J2701+1))-IF(AND('Opening Balance'!$B$15=1,INDEX('Daily Sale entry '!$Z$1:$Z$1501,$J2701+1)="Online collection 网上收款",INDEX('Daily Sale entry '!$AA$1:$AA$1501,$J2701+1)&lt;&gt;""),N(INDEX('Daily Sale entry '!$AC$1:$AC$1501,$J2701+1))-TRUNC(N(INDEX('Daily Sale entry '!$AC$1:$AC$1501,$J2701+1))),0),N(INDEX('Daily Sale entry '!$S$1:$S$1501,$J2701-1499))-'Opening Balance'!$B$15*(N(INDEX('Daily Sale entry '!$S$1:$S$1501,$J2701-1499))-TRUNC(N(INDEX('Daily Sale entry '!$S$1:$S$1501,$J2701-1499))))))</f>
        <v/>
      </c>
      <c r="G2701" s="6">
        <f>IF($J2701="","",IF($J2701&lt;=1500,N(INDEX('Daily Sale entry '!$AD$1:$AD$1501,$J2701+1)),0))</f>
        <v/>
      </c>
      <c r="H2701" s="6">
        <f>IF($J2701="","",ROUND('Opening Balance'!$B$4+SUM($F$2:F2701)-SUM($G$2:G2701),2))</f>
        <v/>
      </c>
      <c r="J2701" s="21">
        <f>IFERROR(MATCH(ROW()-1,$L$2:$L$3001,0),"")</f>
        <v/>
      </c>
      <c r="K2701" s="34">
        <f>IF(AND('Daily Sale entry '!Q1201="Collection 收款",'Daily Sale entry '!R1201="Cheque 支票",'Daily Sale entry '!V1201&lt;&gt;""),'Daily Sale entry '!V1201+ROW()/10000000,"")</f>
        <v/>
      </c>
      <c r="L2701" s="21">
        <f>IF(K2701="","",COUNTIF($K$2:$K$3001,"&lt;"&amp;K2701)+1)</f>
        <v/>
      </c>
    </row>
    <row r="2702">
      <c r="A2702" s="5">
        <f>IF($J2702="","",IF($J2702&lt;=1500,INDEX('Daily Sale entry '!$X$1:$X$1501,$J2702+1),INDEX('Daily Sale entry '!$V$1:$V$1501,$J2702-1499)))</f>
        <v/>
      </c>
      <c r="B2702">
        <f>IF($J2702="","",IF($J2702&lt;=1500,INDEX('Daily Sale entry '!$Y$1:$Y$1501,$J2702+1)&amp;"","Buyer cheque banked 买家支票存入"&amp;IF(INDEX('Daily Sale entry '!$U$1:$U$1501,$J2702-1499)="","", " - "&amp;INDEX('Daily Sale entry '!$U$1:$U$1501,$J2702-1499))))</f>
        <v/>
      </c>
      <c r="C2702">
        <f>IF($J2702="","",IF($J2702&lt;=1500,INDEX('Daily Sale entry '!$Z$1:$Z$1501,$J2702+1)&amp;"","Cheque deposit 支票存入 (buyer 买家)"))</f>
        <v/>
      </c>
      <c r="D2702">
        <f>IF($J2702="","",IF($J2702&lt;=1500,INDEX('Daily Sale entry '!$AA$1:$AA$1501,$J2702+1)&amp;"",INDEX('Daily Sale entry '!$P$1:$P$1501,$J2702-1499)&amp;""))</f>
        <v/>
      </c>
      <c r="E2702">
        <f>IF($J2702="","",IF($J2702&lt;=1500,IF(N(INDEX('Daily Sale entry '!$AB$1:$AB$1501,$J2702+1))=0,"",INDEX('Daily Sale entry '!$AB$1:$AB$1501,$J2702+1)),1))</f>
        <v/>
      </c>
      <c r="F2702" s="6">
        <f>IF($J2702="","",IF($J2702&lt;=1500,N(INDEX('Daily Sale entry '!$AC$1:$AC$1501,$J2702+1))-IF(AND('Opening Balance'!$B$15=1,INDEX('Daily Sale entry '!$Z$1:$Z$1501,$J2702+1)="Online collection 网上收款",INDEX('Daily Sale entry '!$AA$1:$AA$1501,$J2702+1)&lt;&gt;""),N(INDEX('Daily Sale entry '!$AC$1:$AC$1501,$J2702+1))-TRUNC(N(INDEX('Daily Sale entry '!$AC$1:$AC$1501,$J2702+1))),0),N(INDEX('Daily Sale entry '!$S$1:$S$1501,$J2702-1499))-'Opening Balance'!$B$15*(N(INDEX('Daily Sale entry '!$S$1:$S$1501,$J2702-1499))-TRUNC(N(INDEX('Daily Sale entry '!$S$1:$S$1501,$J2702-1499))))))</f>
        <v/>
      </c>
      <c r="G2702" s="6">
        <f>IF($J2702="","",IF($J2702&lt;=1500,N(INDEX('Daily Sale entry '!$AD$1:$AD$1501,$J2702+1)),0))</f>
        <v/>
      </c>
      <c r="H2702" s="6">
        <f>IF($J2702="","",ROUND('Opening Balance'!$B$4+SUM($F$2:F2702)-SUM($G$2:G2702),2))</f>
        <v/>
      </c>
      <c r="J2702" s="21">
        <f>IFERROR(MATCH(ROW()-1,$L$2:$L$3001,0),"")</f>
        <v/>
      </c>
      <c r="K2702" s="34">
        <f>IF(AND('Daily Sale entry '!Q1202="Collection 收款",'Daily Sale entry '!R1202="Cheque 支票",'Daily Sale entry '!V1202&lt;&gt;""),'Daily Sale entry '!V1202+ROW()/10000000,"")</f>
        <v/>
      </c>
      <c r="L2702" s="21">
        <f>IF(K2702="","",COUNTIF($K$2:$K$3001,"&lt;"&amp;K2702)+1)</f>
        <v/>
      </c>
    </row>
    <row r="2703">
      <c r="A2703" s="5">
        <f>IF($J2703="","",IF($J2703&lt;=1500,INDEX('Daily Sale entry '!$X$1:$X$1501,$J2703+1),INDEX('Daily Sale entry '!$V$1:$V$1501,$J2703-1499)))</f>
        <v/>
      </c>
      <c r="B2703">
        <f>IF($J2703="","",IF($J2703&lt;=1500,INDEX('Daily Sale entry '!$Y$1:$Y$1501,$J2703+1)&amp;"","Buyer cheque banked 买家支票存入"&amp;IF(INDEX('Daily Sale entry '!$U$1:$U$1501,$J2703-1499)="","", " - "&amp;INDEX('Daily Sale entry '!$U$1:$U$1501,$J2703-1499))))</f>
        <v/>
      </c>
      <c r="C2703">
        <f>IF($J2703="","",IF($J2703&lt;=1500,INDEX('Daily Sale entry '!$Z$1:$Z$1501,$J2703+1)&amp;"","Cheque deposit 支票存入 (buyer 买家)"))</f>
        <v/>
      </c>
      <c r="D2703">
        <f>IF($J2703="","",IF($J2703&lt;=1500,INDEX('Daily Sale entry '!$AA$1:$AA$1501,$J2703+1)&amp;"",INDEX('Daily Sale entry '!$P$1:$P$1501,$J2703-1499)&amp;""))</f>
        <v/>
      </c>
      <c r="E2703">
        <f>IF($J2703="","",IF($J2703&lt;=1500,IF(N(INDEX('Daily Sale entry '!$AB$1:$AB$1501,$J2703+1))=0,"",INDEX('Daily Sale entry '!$AB$1:$AB$1501,$J2703+1)),1))</f>
        <v/>
      </c>
      <c r="F2703" s="6">
        <f>IF($J2703="","",IF($J2703&lt;=1500,N(INDEX('Daily Sale entry '!$AC$1:$AC$1501,$J2703+1))-IF(AND('Opening Balance'!$B$15=1,INDEX('Daily Sale entry '!$Z$1:$Z$1501,$J2703+1)="Online collection 网上收款",INDEX('Daily Sale entry '!$AA$1:$AA$1501,$J2703+1)&lt;&gt;""),N(INDEX('Daily Sale entry '!$AC$1:$AC$1501,$J2703+1))-TRUNC(N(INDEX('Daily Sale entry '!$AC$1:$AC$1501,$J2703+1))),0),N(INDEX('Daily Sale entry '!$S$1:$S$1501,$J2703-1499))-'Opening Balance'!$B$15*(N(INDEX('Daily Sale entry '!$S$1:$S$1501,$J2703-1499))-TRUNC(N(INDEX('Daily Sale entry '!$S$1:$S$1501,$J2703-1499))))))</f>
        <v/>
      </c>
      <c r="G2703" s="6">
        <f>IF($J2703="","",IF($J2703&lt;=1500,N(INDEX('Daily Sale entry '!$AD$1:$AD$1501,$J2703+1)),0))</f>
        <v/>
      </c>
      <c r="H2703" s="6">
        <f>IF($J2703="","",ROUND('Opening Balance'!$B$4+SUM($F$2:F2703)-SUM($G$2:G2703),2))</f>
        <v/>
      </c>
      <c r="J2703" s="21">
        <f>IFERROR(MATCH(ROW()-1,$L$2:$L$3001,0),"")</f>
        <v/>
      </c>
      <c r="K2703" s="34">
        <f>IF(AND('Daily Sale entry '!Q1203="Collection 收款",'Daily Sale entry '!R1203="Cheque 支票",'Daily Sale entry '!V1203&lt;&gt;""),'Daily Sale entry '!V1203+ROW()/10000000,"")</f>
        <v/>
      </c>
      <c r="L2703" s="21">
        <f>IF(K2703="","",COUNTIF($K$2:$K$3001,"&lt;"&amp;K2703)+1)</f>
        <v/>
      </c>
    </row>
    <row r="2704">
      <c r="A2704" s="5">
        <f>IF($J2704="","",IF($J2704&lt;=1500,INDEX('Daily Sale entry '!$X$1:$X$1501,$J2704+1),INDEX('Daily Sale entry '!$V$1:$V$1501,$J2704-1499)))</f>
        <v/>
      </c>
      <c r="B2704">
        <f>IF($J2704="","",IF($J2704&lt;=1500,INDEX('Daily Sale entry '!$Y$1:$Y$1501,$J2704+1)&amp;"","Buyer cheque banked 买家支票存入"&amp;IF(INDEX('Daily Sale entry '!$U$1:$U$1501,$J2704-1499)="","", " - "&amp;INDEX('Daily Sale entry '!$U$1:$U$1501,$J2704-1499))))</f>
        <v/>
      </c>
      <c r="C2704">
        <f>IF($J2704="","",IF($J2704&lt;=1500,INDEX('Daily Sale entry '!$Z$1:$Z$1501,$J2704+1)&amp;"","Cheque deposit 支票存入 (buyer 买家)"))</f>
        <v/>
      </c>
      <c r="D2704">
        <f>IF($J2704="","",IF($J2704&lt;=1500,INDEX('Daily Sale entry '!$AA$1:$AA$1501,$J2704+1)&amp;"",INDEX('Daily Sale entry '!$P$1:$P$1501,$J2704-1499)&amp;""))</f>
        <v/>
      </c>
      <c r="E2704">
        <f>IF($J2704="","",IF($J2704&lt;=1500,IF(N(INDEX('Daily Sale entry '!$AB$1:$AB$1501,$J2704+1))=0,"",INDEX('Daily Sale entry '!$AB$1:$AB$1501,$J2704+1)),1))</f>
        <v/>
      </c>
      <c r="F2704" s="6">
        <f>IF($J2704="","",IF($J2704&lt;=1500,N(INDEX('Daily Sale entry '!$AC$1:$AC$1501,$J2704+1))-IF(AND('Opening Balance'!$B$15=1,INDEX('Daily Sale entry '!$Z$1:$Z$1501,$J2704+1)="Online collection 网上收款",INDEX('Daily Sale entry '!$AA$1:$AA$1501,$J2704+1)&lt;&gt;""),N(INDEX('Daily Sale entry '!$AC$1:$AC$1501,$J2704+1))-TRUNC(N(INDEX('Daily Sale entry '!$AC$1:$AC$1501,$J2704+1))),0),N(INDEX('Daily Sale entry '!$S$1:$S$1501,$J2704-1499))-'Opening Balance'!$B$15*(N(INDEX('Daily Sale entry '!$S$1:$S$1501,$J2704-1499))-TRUNC(N(INDEX('Daily Sale entry '!$S$1:$S$1501,$J2704-1499))))))</f>
        <v/>
      </c>
      <c r="G2704" s="6">
        <f>IF($J2704="","",IF($J2704&lt;=1500,N(INDEX('Daily Sale entry '!$AD$1:$AD$1501,$J2704+1)),0))</f>
        <v/>
      </c>
      <c r="H2704" s="6">
        <f>IF($J2704="","",ROUND('Opening Balance'!$B$4+SUM($F$2:F2704)-SUM($G$2:G2704),2))</f>
        <v/>
      </c>
      <c r="J2704" s="21">
        <f>IFERROR(MATCH(ROW()-1,$L$2:$L$3001,0),"")</f>
        <v/>
      </c>
      <c r="K2704" s="34">
        <f>IF(AND('Daily Sale entry '!Q1204="Collection 收款",'Daily Sale entry '!R1204="Cheque 支票",'Daily Sale entry '!V1204&lt;&gt;""),'Daily Sale entry '!V1204+ROW()/10000000,"")</f>
        <v/>
      </c>
      <c r="L2704" s="21">
        <f>IF(K2704="","",COUNTIF($K$2:$K$3001,"&lt;"&amp;K2704)+1)</f>
        <v/>
      </c>
    </row>
    <row r="2705">
      <c r="A2705" s="5">
        <f>IF($J2705="","",IF($J2705&lt;=1500,INDEX('Daily Sale entry '!$X$1:$X$1501,$J2705+1),INDEX('Daily Sale entry '!$V$1:$V$1501,$J2705-1499)))</f>
        <v/>
      </c>
      <c r="B2705">
        <f>IF($J2705="","",IF($J2705&lt;=1500,INDEX('Daily Sale entry '!$Y$1:$Y$1501,$J2705+1)&amp;"","Buyer cheque banked 买家支票存入"&amp;IF(INDEX('Daily Sale entry '!$U$1:$U$1501,$J2705-1499)="","", " - "&amp;INDEX('Daily Sale entry '!$U$1:$U$1501,$J2705-1499))))</f>
        <v/>
      </c>
      <c r="C2705">
        <f>IF($J2705="","",IF($J2705&lt;=1500,INDEX('Daily Sale entry '!$Z$1:$Z$1501,$J2705+1)&amp;"","Cheque deposit 支票存入 (buyer 买家)"))</f>
        <v/>
      </c>
      <c r="D2705">
        <f>IF($J2705="","",IF($J2705&lt;=1500,INDEX('Daily Sale entry '!$AA$1:$AA$1501,$J2705+1)&amp;"",INDEX('Daily Sale entry '!$P$1:$P$1501,$J2705-1499)&amp;""))</f>
        <v/>
      </c>
      <c r="E2705">
        <f>IF($J2705="","",IF($J2705&lt;=1500,IF(N(INDEX('Daily Sale entry '!$AB$1:$AB$1501,$J2705+1))=0,"",INDEX('Daily Sale entry '!$AB$1:$AB$1501,$J2705+1)),1))</f>
        <v/>
      </c>
      <c r="F2705" s="6">
        <f>IF($J2705="","",IF($J2705&lt;=1500,N(INDEX('Daily Sale entry '!$AC$1:$AC$1501,$J2705+1))-IF(AND('Opening Balance'!$B$15=1,INDEX('Daily Sale entry '!$Z$1:$Z$1501,$J2705+1)="Online collection 网上收款",INDEX('Daily Sale entry '!$AA$1:$AA$1501,$J2705+1)&lt;&gt;""),N(INDEX('Daily Sale entry '!$AC$1:$AC$1501,$J2705+1))-TRUNC(N(INDEX('Daily Sale entry '!$AC$1:$AC$1501,$J2705+1))),0),N(INDEX('Daily Sale entry '!$S$1:$S$1501,$J2705-1499))-'Opening Balance'!$B$15*(N(INDEX('Daily Sale entry '!$S$1:$S$1501,$J2705-1499))-TRUNC(N(INDEX('Daily Sale entry '!$S$1:$S$1501,$J2705-1499))))))</f>
        <v/>
      </c>
      <c r="G2705" s="6">
        <f>IF($J2705="","",IF($J2705&lt;=1500,N(INDEX('Daily Sale entry '!$AD$1:$AD$1501,$J2705+1)),0))</f>
        <v/>
      </c>
      <c r="H2705" s="6">
        <f>IF($J2705="","",ROUND('Opening Balance'!$B$4+SUM($F$2:F2705)-SUM($G$2:G2705),2))</f>
        <v/>
      </c>
      <c r="J2705" s="21">
        <f>IFERROR(MATCH(ROW()-1,$L$2:$L$3001,0),"")</f>
        <v/>
      </c>
      <c r="K2705" s="34">
        <f>IF(AND('Daily Sale entry '!Q1205="Collection 收款",'Daily Sale entry '!R1205="Cheque 支票",'Daily Sale entry '!V1205&lt;&gt;""),'Daily Sale entry '!V1205+ROW()/10000000,"")</f>
        <v/>
      </c>
      <c r="L2705" s="21">
        <f>IF(K2705="","",COUNTIF($K$2:$K$3001,"&lt;"&amp;K2705)+1)</f>
        <v/>
      </c>
    </row>
    <row r="2706">
      <c r="A2706" s="5">
        <f>IF($J2706="","",IF($J2706&lt;=1500,INDEX('Daily Sale entry '!$X$1:$X$1501,$J2706+1),INDEX('Daily Sale entry '!$V$1:$V$1501,$J2706-1499)))</f>
        <v/>
      </c>
      <c r="B2706">
        <f>IF($J2706="","",IF($J2706&lt;=1500,INDEX('Daily Sale entry '!$Y$1:$Y$1501,$J2706+1)&amp;"","Buyer cheque banked 买家支票存入"&amp;IF(INDEX('Daily Sale entry '!$U$1:$U$1501,$J2706-1499)="","", " - "&amp;INDEX('Daily Sale entry '!$U$1:$U$1501,$J2706-1499))))</f>
        <v/>
      </c>
      <c r="C2706">
        <f>IF($J2706="","",IF($J2706&lt;=1500,INDEX('Daily Sale entry '!$Z$1:$Z$1501,$J2706+1)&amp;"","Cheque deposit 支票存入 (buyer 买家)"))</f>
        <v/>
      </c>
      <c r="D2706">
        <f>IF($J2706="","",IF($J2706&lt;=1500,INDEX('Daily Sale entry '!$AA$1:$AA$1501,$J2706+1)&amp;"",INDEX('Daily Sale entry '!$P$1:$P$1501,$J2706-1499)&amp;""))</f>
        <v/>
      </c>
      <c r="E2706">
        <f>IF($J2706="","",IF($J2706&lt;=1500,IF(N(INDEX('Daily Sale entry '!$AB$1:$AB$1501,$J2706+1))=0,"",INDEX('Daily Sale entry '!$AB$1:$AB$1501,$J2706+1)),1))</f>
        <v/>
      </c>
      <c r="F2706" s="6">
        <f>IF($J2706="","",IF($J2706&lt;=1500,N(INDEX('Daily Sale entry '!$AC$1:$AC$1501,$J2706+1))-IF(AND('Opening Balance'!$B$15=1,INDEX('Daily Sale entry '!$Z$1:$Z$1501,$J2706+1)="Online collection 网上收款",INDEX('Daily Sale entry '!$AA$1:$AA$1501,$J2706+1)&lt;&gt;""),N(INDEX('Daily Sale entry '!$AC$1:$AC$1501,$J2706+1))-TRUNC(N(INDEX('Daily Sale entry '!$AC$1:$AC$1501,$J2706+1))),0),N(INDEX('Daily Sale entry '!$S$1:$S$1501,$J2706-1499))-'Opening Balance'!$B$15*(N(INDEX('Daily Sale entry '!$S$1:$S$1501,$J2706-1499))-TRUNC(N(INDEX('Daily Sale entry '!$S$1:$S$1501,$J2706-1499))))))</f>
        <v/>
      </c>
      <c r="G2706" s="6">
        <f>IF($J2706="","",IF($J2706&lt;=1500,N(INDEX('Daily Sale entry '!$AD$1:$AD$1501,$J2706+1)),0))</f>
        <v/>
      </c>
      <c r="H2706" s="6">
        <f>IF($J2706="","",ROUND('Opening Balance'!$B$4+SUM($F$2:F2706)-SUM($G$2:G2706),2))</f>
        <v/>
      </c>
      <c r="J2706" s="21">
        <f>IFERROR(MATCH(ROW()-1,$L$2:$L$3001,0),"")</f>
        <v/>
      </c>
      <c r="K2706" s="34">
        <f>IF(AND('Daily Sale entry '!Q1206="Collection 收款",'Daily Sale entry '!R1206="Cheque 支票",'Daily Sale entry '!V1206&lt;&gt;""),'Daily Sale entry '!V1206+ROW()/10000000,"")</f>
        <v/>
      </c>
      <c r="L2706" s="21">
        <f>IF(K2706="","",COUNTIF($K$2:$K$3001,"&lt;"&amp;K2706)+1)</f>
        <v/>
      </c>
    </row>
    <row r="2707">
      <c r="A2707" s="5">
        <f>IF($J2707="","",IF($J2707&lt;=1500,INDEX('Daily Sale entry '!$X$1:$X$1501,$J2707+1),INDEX('Daily Sale entry '!$V$1:$V$1501,$J2707-1499)))</f>
        <v/>
      </c>
      <c r="B2707">
        <f>IF($J2707="","",IF($J2707&lt;=1500,INDEX('Daily Sale entry '!$Y$1:$Y$1501,$J2707+1)&amp;"","Buyer cheque banked 买家支票存入"&amp;IF(INDEX('Daily Sale entry '!$U$1:$U$1501,$J2707-1499)="","", " - "&amp;INDEX('Daily Sale entry '!$U$1:$U$1501,$J2707-1499))))</f>
        <v/>
      </c>
      <c r="C2707">
        <f>IF($J2707="","",IF($J2707&lt;=1500,INDEX('Daily Sale entry '!$Z$1:$Z$1501,$J2707+1)&amp;"","Cheque deposit 支票存入 (buyer 买家)"))</f>
        <v/>
      </c>
      <c r="D2707">
        <f>IF($J2707="","",IF($J2707&lt;=1500,INDEX('Daily Sale entry '!$AA$1:$AA$1501,$J2707+1)&amp;"",INDEX('Daily Sale entry '!$P$1:$P$1501,$J2707-1499)&amp;""))</f>
        <v/>
      </c>
      <c r="E2707">
        <f>IF($J2707="","",IF($J2707&lt;=1500,IF(N(INDEX('Daily Sale entry '!$AB$1:$AB$1501,$J2707+1))=0,"",INDEX('Daily Sale entry '!$AB$1:$AB$1501,$J2707+1)),1))</f>
        <v/>
      </c>
      <c r="F2707" s="6">
        <f>IF($J2707="","",IF($J2707&lt;=1500,N(INDEX('Daily Sale entry '!$AC$1:$AC$1501,$J2707+1))-IF(AND('Opening Balance'!$B$15=1,INDEX('Daily Sale entry '!$Z$1:$Z$1501,$J2707+1)="Online collection 网上收款",INDEX('Daily Sale entry '!$AA$1:$AA$1501,$J2707+1)&lt;&gt;""),N(INDEX('Daily Sale entry '!$AC$1:$AC$1501,$J2707+1))-TRUNC(N(INDEX('Daily Sale entry '!$AC$1:$AC$1501,$J2707+1))),0),N(INDEX('Daily Sale entry '!$S$1:$S$1501,$J2707-1499))-'Opening Balance'!$B$15*(N(INDEX('Daily Sale entry '!$S$1:$S$1501,$J2707-1499))-TRUNC(N(INDEX('Daily Sale entry '!$S$1:$S$1501,$J2707-1499))))))</f>
        <v/>
      </c>
      <c r="G2707" s="6">
        <f>IF($J2707="","",IF($J2707&lt;=1500,N(INDEX('Daily Sale entry '!$AD$1:$AD$1501,$J2707+1)),0))</f>
        <v/>
      </c>
      <c r="H2707" s="6">
        <f>IF($J2707="","",ROUND('Opening Balance'!$B$4+SUM($F$2:F2707)-SUM($G$2:G2707),2))</f>
        <v/>
      </c>
      <c r="J2707" s="21">
        <f>IFERROR(MATCH(ROW()-1,$L$2:$L$3001,0),"")</f>
        <v/>
      </c>
      <c r="K2707" s="34">
        <f>IF(AND('Daily Sale entry '!Q1207="Collection 收款",'Daily Sale entry '!R1207="Cheque 支票",'Daily Sale entry '!V1207&lt;&gt;""),'Daily Sale entry '!V1207+ROW()/10000000,"")</f>
        <v/>
      </c>
      <c r="L2707" s="21">
        <f>IF(K2707="","",COUNTIF($K$2:$K$3001,"&lt;"&amp;K2707)+1)</f>
        <v/>
      </c>
    </row>
    <row r="2708">
      <c r="A2708" s="5">
        <f>IF($J2708="","",IF($J2708&lt;=1500,INDEX('Daily Sale entry '!$X$1:$X$1501,$J2708+1),INDEX('Daily Sale entry '!$V$1:$V$1501,$J2708-1499)))</f>
        <v/>
      </c>
      <c r="B2708">
        <f>IF($J2708="","",IF($J2708&lt;=1500,INDEX('Daily Sale entry '!$Y$1:$Y$1501,$J2708+1)&amp;"","Buyer cheque banked 买家支票存入"&amp;IF(INDEX('Daily Sale entry '!$U$1:$U$1501,$J2708-1499)="","", " - "&amp;INDEX('Daily Sale entry '!$U$1:$U$1501,$J2708-1499))))</f>
        <v/>
      </c>
      <c r="C2708">
        <f>IF($J2708="","",IF($J2708&lt;=1500,INDEX('Daily Sale entry '!$Z$1:$Z$1501,$J2708+1)&amp;"","Cheque deposit 支票存入 (buyer 买家)"))</f>
        <v/>
      </c>
      <c r="D2708">
        <f>IF($J2708="","",IF($J2708&lt;=1500,INDEX('Daily Sale entry '!$AA$1:$AA$1501,$J2708+1)&amp;"",INDEX('Daily Sale entry '!$P$1:$P$1501,$J2708-1499)&amp;""))</f>
        <v/>
      </c>
      <c r="E2708">
        <f>IF($J2708="","",IF($J2708&lt;=1500,IF(N(INDEX('Daily Sale entry '!$AB$1:$AB$1501,$J2708+1))=0,"",INDEX('Daily Sale entry '!$AB$1:$AB$1501,$J2708+1)),1))</f>
        <v/>
      </c>
      <c r="F2708" s="6">
        <f>IF($J2708="","",IF($J2708&lt;=1500,N(INDEX('Daily Sale entry '!$AC$1:$AC$1501,$J2708+1))-IF(AND('Opening Balance'!$B$15=1,INDEX('Daily Sale entry '!$Z$1:$Z$1501,$J2708+1)="Online collection 网上收款",INDEX('Daily Sale entry '!$AA$1:$AA$1501,$J2708+1)&lt;&gt;""),N(INDEX('Daily Sale entry '!$AC$1:$AC$1501,$J2708+1))-TRUNC(N(INDEX('Daily Sale entry '!$AC$1:$AC$1501,$J2708+1))),0),N(INDEX('Daily Sale entry '!$S$1:$S$1501,$J2708-1499))-'Opening Balance'!$B$15*(N(INDEX('Daily Sale entry '!$S$1:$S$1501,$J2708-1499))-TRUNC(N(INDEX('Daily Sale entry '!$S$1:$S$1501,$J2708-1499))))))</f>
        <v/>
      </c>
      <c r="G2708" s="6">
        <f>IF($J2708="","",IF($J2708&lt;=1500,N(INDEX('Daily Sale entry '!$AD$1:$AD$1501,$J2708+1)),0))</f>
        <v/>
      </c>
      <c r="H2708" s="6">
        <f>IF($J2708="","",ROUND('Opening Balance'!$B$4+SUM($F$2:F2708)-SUM($G$2:G2708),2))</f>
        <v/>
      </c>
      <c r="J2708" s="21">
        <f>IFERROR(MATCH(ROW()-1,$L$2:$L$3001,0),"")</f>
        <v/>
      </c>
      <c r="K2708" s="34">
        <f>IF(AND('Daily Sale entry '!Q1208="Collection 收款",'Daily Sale entry '!R1208="Cheque 支票",'Daily Sale entry '!V1208&lt;&gt;""),'Daily Sale entry '!V1208+ROW()/10000000,"")</f>
        <v/>
      </c>
      <c r="L2708" s="21">
        <f>IF(K2708="","",COUNTIF($K$2:$K$3001,"&lt;"&amp;K2708)+1)</f>
        <v/>
      </c>
    </row>
    <row r="2709">
      <c r="A2709" s="5">
        <f>IF($J2709="","",IF($J2709&lt;=1500,INDEX('Daily Sale entry '!$X$1:$X$1501,$J2709+1),INDEX('Daily Sale entry '!$V$1:$V$1501,$J2709-1499)))</f>
        <v/>
      </c>
      <c r="B2709">
        <f>IF($J2709="","",IF($J2709&lt;=1500,INDEX('Daily Sale entry '!$Y$1:$Y$1501,$J2709+1)&amp;"","Buyer cheque banked 买家支票存入"&amp;IF(INDEX('Daily Sale entry '!$U$1:$U$1501,$J2709-1499)="","", " - "&amp;INDEX('Daily Sale entry '!$U$1:$U$1501,$J2709-1499))))</f>
        <v/>
      </c>
      <c r="C2709">
        <f>IF($J2709="","",IF($J2709&lt;=1500,INDEX('Daily Sale entry '!$Z$1:$Z$1501,$J2709+1)&amp;"","Cheque deposit 支票存入 (buyer 买家)"))</f>
        <v/>
      </c>
      <c r="D2709">
        <f>IF($J2709="","",IF($J2709&lt;=1500,INDEX('Daily Sale entry '!$AA$1:$AA$1501,$J2709+1)&amp;"",INDEX('Daily Sale entry '!$P$1:$P$1501,$J2709-1499)&amp;""))</f>
        <v/>
      </c>
      <c r="E2709">
        <f>IF($J2709="","",IF($J2709&lt;=1500,IF(N(INDEX('Daily Sale entry '!$AB$1:$AB$1501,$J2709+1))=0,"",INDEX('Daily Sale entry '!$AB$1:$AB$1501,$J2709+1)),1))</f>
        <v/>
      </c>
      <c r="F2709" s="6">
        <f>IF($J2709="","",IF($J2709&lt;=1500,N(INDEX('Daily Sale entry '!$AC$1:$AC$1501,$J2709+1))-IF(AND('Opening Balance'!$B$15=1,INDEX('Daily Sale entry '!$Z$1:$Z$1501,$J2709+1)="Online collection 网上收款",INDEX('Daily Sale entry '!$AA$1:$AA$1501,$J2709+1)&lt;&gt;""),N(INDEX('Daily Sale entry '!$AC$1:$AC$1501,$J2709+1))-TRUNC(N(INDEX('Daily Sale entry '!$AC$1:$AC$1501,$J2709+1))),0),N(INDEX('Daily Sale entry '!$S$1:$S$1501,$J2709-1499))-'Opening Balance'!$B$15*(N(INDEX('Daily Sale entry '!$S$1:$S$1501,$J2709-1499))-TRUNC(N(INDEX('Daily Sale entry '!$S$1:$S$1501,$J2709-1499))))))</f>
        <v/>
      </c>
      <c r="G2709" s="6">
        <f>IF($J2709="","",IF($J2709&lt;=1500,N(INDEX('Daily Sale entry '!$AD$1:$AD$1501,$J2709+1)),0))</f>
        <v/>
      </c>
      <c r="H2709" s="6">
        <f>IF($J2709="","",ROUND('Opening Balance'!$B$4+SUM($F$2:F2709)-SUM($G$2:G2709),2))</f>
        <v/>
      </c>
      <c r="J2709" s="21">
        <f>IFERROR(MATCH(ROW()-1,$L$2:$L$3001,0),"")</f>
        <v/>
      </c>
      <c r="K2709" s="34">
        <f>IF(AND('Daily Sale entry '!Q1209="Collection 收款",'Daily Sale entry '!R1209="Cheque 支票",'Daily Sale entry '!V1209&lt;&gt;""),'Daily Sale entry '!V1209+ROW()/10000000,"")</f>
        <v/>
      </c>
      <c r="L2709" s="21">
        <f>IF(K2709="","",COUNTIF($K$2:$K$3001,"&lt;"&amp;K2709)+1)</f>
        <v/>
      </c>
    </row>
    <row r="2710">
      <c r="A2710" s="5">
        <f>IF($J2710="","",IF($J2710&lt;=1500,INDEX('Daily Sale entry '!$X$1:$X$1501,$J2710+1),INDEX('Daily Sale entry '!$V$1:$V$1501,$J2710-1499)))</f>
        <v/>
      </c>
      <c r="B2710">
        <f>IF($J2710="","",IF($J2710&lt;=1500,INDEX('Daily Sale entry '!$Y$1:$Y$1501,$J2710+1)&amp;"","Buyer cheque banked 买家支票存入"&amp;IF(INDEX('Daily Sale entry '!$U$1:$U$1501,$J2710-1499)="","", " - "&amp;INDEX('Daily Sale entry '!$U$1:$U$1501,$J2710-1499))))</f>
        <v/>
      </c>
      <c r="C2710">
        <f>IF($J2710="","",IF($J2710&lt;=1500,INDEX('Daily Sale entry '!$Z$1:$Z$1501,$J2710+1)&amp;"","Cheque deposit 支票存入 (buyer 买家)"))</f>
        <v/>
      </c>
      <c r="D2710">
        <f>IF($J2710="","",IF($J2710&lt;=1500,INDEX('Daily Sale entry '!$AA$1:$AA$1501,$J2710+1)&amp;"",INDEX('Daily Sale entry '!$P$1:$P$1501,$J2710-1499)&amp;""))</f>
        <v/>
      </c>
      <c r="E2710">
        <f>IF($J2710="","",IF($J2710&lt;=1500,IF(N(INDEX('Daily Sale entry '!$AB$1:$AB$1501,$J2710+1))=0,"",INDEX('Daily Sale entry '!$AB$1:$AB$1501,$J2710+1)),1))</f>
        <v/>
      </c>
      <c r="F2710" s="6">
        <f>IF($J2710="","",IF($J2710&lt;=1500,N(INDEX('Daily Sale entry '!$AC$1:$AC$1501,$J2710+1))-IF(AND('Opening Balance'!$B$15=1,INDEX('Daily Sale entry '!$Z$1:$Z$1501,$J2710+1)="Online collection 网上收款",INDEX('Daily Sale entry '!$AA$1:$AA$1501,$J2710+1)&lt;&gt;""),N(INDEX('Daily Sale entry '!$AC$1:$AC$1501,$J2710+1))-TRUNC(N(INDEX('Daily Sale entry '!$AC$1:$AC$1501,$J2710+1))),0),N(INDEX('Daily Sale entry '!$S$1:$S$1501,$J2710-1499))-'Opening Balance'!$B$15*(N(INDEX('Daily Sale entry '!$S$1:$S$1501,$J2710-1499))-TRUNC(N(INDEX('Daily Sale entry '!$S$1:$S$1501,$J2710-1499))))))</f>
        <v/>
      </c>
      <c r="G2710" s="6">
        <f>IF($J2710="","",IF($J2710&lt;=1500,N(INDEX('Daily Sale entry '!$AD$1:$AD$1501,$J2710+1)),0))</f>
        <v/>
      </c>
      <c r="H2710" s="6">
        <f>IF($J2710="","",ROUND('Opening Balance'!$B$4+SUM($F$2:F2710)-SUM($G$2:G2710),2))</f>
        <v/>
      </c>
      <c r="J2710" s="21">
        <f>IFERROR(MATCH(ROW()-1,$L$2:$L$3001,0),"")</f>
        <v/>
      </c>
      <c r="K2710" s="34">
        <f>IF(AND('Daily Sale entry '!Q1210="Collection 收款",'Daily Sale entry '!R1210="Cheque 支票",'Daily Sale entry '!V1210&lt;&gt;""),'Daily Sale entry '!V1210+ROW()/10000000,"")</f>
        <v/>
      </c>
      <c r="L2710" s="21">
        <f>IF(K2710="","",COUNTIF($K$2:$K$3001,"&lt;"&amp;K2710)+1)</f>
        <v/>
      </c>
    </row>
    <row r="2711">
      <c r="A2711" s="5">
        <f>IF($J2711="","",IF($J2711&lt;=1500,INDEX('Daily Sale entry '!$X$1:$X$1501,$J2711+1),INDEX('Daily Sale entry '!$V$1:$V$1501,$J2711-1499)))</f>
        <v/>
      </c>
      <c r="B2711">
        <f>IF($J2711="","",IF($J2711&lt;=1500,INDEX('Daily Sale entry '!$Y$1:$Y$1501,$J2711+1)&amp;"","Buyer cheque banked 买家支票存入"&amp;IF(INDEX('Daily Sale entry '!$U$1:$U$1501,$J2711-1499)="","", " - "&amp;INDEX('Daily Sale entry '!$U$1:$U$1501,$J2711-1499))))</f>
        <v/>
      </c>
      <c r="C2711">
        <f>IF($J2711="","",IF($J2711&lt;=1500,INDEX('Daily Sale entry '!$Z$1:$Z$1501,$J2711+1)&amp;"","Cheque deposit 支票存入 (buyer 买家)"))</f>
        <v/>
      </c>
      <c r="D2711">
        <f>IF($J2711="","",IF($J2711&lt;=1500,INDEX('Daily Sale entry '!$AA$1:$AA$1501,$J2711+1)&amp;"",INDEX('Daily Sale entry '!$P$1:$P$1501,$J2711-1499)&amp;""))</f>
        <v/>
      </c>
      <c r="E2711">
        <f>IF($J2711="","",IF($J2711&lt;=1500,IF(N(INDEX('Daily Sale entry '!$AB$1:$AB$1501,$J2711+1))=0,"",INDEX('Daily Sale entry '!$AB$1:$AB$1501,$J2711+1)),1))</f>
        <v/>
      </c>
      <c r="F2711" s="6">
        <f>IF($J2711="","",IF($J2711&lt;=1500,N(INDEX('Daily Sale entry '!$AC$1:$AC$1501,$J2711+1))-IF(AND('Opening Balance'!$B$15=1,INDEX('Daily Sale entry '!$Z$1:$Z$1501,$J2711+1)="Online collection 网上收款",INDEX('Daily Sale entry '!$AA$1:$AA$1501,$J2711+1)&lt;&gt;""),N(INDEX('Daily Sale entry '!$AC$1:$AC$1501,$J2711+1))-TRUNC(N(INDEX('Daily Sale entry '!$AC$1:$AC$1501,$J2711+1))),0),N(INDEX('Daily Sale entry '!$S$1:$S$1501,$J2711-1499))-'Opening Balance'!$B$15*(N(INDEX('Daily Sale entry '!$S$1:$S$1501,$J2711-1499))-TRUNC(N(INDEX('Daily Sale entry '!$S$1:$S$1501,$J2711-1499))))))</f>
        <v/>
      </c>
      <c r="G2711" s="6">
        <f>IF($J2711="","",IF($J2711&lt;=1500,N(INDEX('Daily Sale entry '!$AD$1:$AD$1501,$J2711+1)),0))</f>
        <v/>
      </c>
      <c r="H2711" s="6">
        <f>IF($J2711="","",ROUND('Opening Balance'!$B$4+SUM($F$2:F2711)-SUM($G$2:G2711),2))</f>
        <v/>
      </c>
      <c r="J2711" s="21">
        <f>IFERROR(MATCH(ROW()-1,$L$2:$L$3001,0),"")</f>
        <v/>
      </c>
      <c r="K2711" s="34">
        <f>IF(AND('Daily Sale entry '!Q1211="Collection 收款",'Daily Sale entry '!R1211="Cheque 支票",'Daily Sale entry '!V1211&lt;&gt;""),'Daily Sale entry '!V1211+ROW()/10000000,"")</f>
        <v/>
      </c>
      <c r="L2711" s="21">
        <f>IF(K2711="","",COUNTIF($K$2:$K$3001,"&lt;"&amp;K2711)+1)</f>
        <v/>
      </c>
    </row>
    <row r="2712">
      <c r="A2712" s="5">
        <f>IF($J2712="","",IF($J2712&lt;=1500,INDEX('Daily Sale entry '!$X$1:$X$1501,$J2712+1),INDEX('Daily Sale entry '!$V$1:$V$1501,$J2712-1499)))</f>
        <v/>
      </c>
      <c r="B2712">
        <f>IF($J2712="","",IF($J2712&lt;=1500,INDEX('Daily Sale entry '!$Y$1:$Y$1501,$J2712+1)&amp;"","Buyer cheque banked 买家支票存入"&amp;IF(INDEX('Daily Sale entry '!$U$1:$U$1501,$J2712-1499)="","", " - "&amp;INDEX('Daily Sale entry '!$U$1:$U$1501,$J2712-1499))))</f>
        <v/>
      </c>
      <c r="C2712">
        <f>IF($J2712="","",IF($J2712&lt;=1500,INDEX('Daily Sale entry '!$Z$1:$Z$1501,$J2712+1)&amp;"","Cheque deposit 支票存入 (buyer 买家)"))</f>
        <v/>
      </c>
      <c r="D2712">
        <f>IF($J2712="","",IF($J2712&lt;=1500,INDEX('Daily Sale entry '!$AA$1:$AA$1501,$J2712+1)&amp;"",INDEX('Daily Sale entry '!$P$1:$P$1501,$J2712-1499)&amp;""))</f>
        <v/>
      </c>
      <c r="E2712">
        <f>IF($J2712="","",IF($J2712&lt;=1500,IF(N(INDEX('Daily Sale entry '!$AB$1:$AB$1501,$J2712+1))=0,"",INDEX('Daily Sale entry '!$AB$1:$AB$1501,$J2712+1)),1))</f>
        <v/>
      </c>
      <c r="F2712" s="6">
        <f>IF($J2712="","",IF($J2712&lt;=1500,N(INDEX('Daily Sale entry '!$AC$1:$AC$1501,$J2712+1))-IF(AND('Opening Balance'!$B$15=1,INDEX('Daily Sale entry '!$Z$1:$Z$1501,$J2712+1)="Online collection 网上收款",INDEX('Daily Sale entry '!$AA$1:$AA$1501,$J2712+1)&lt;&gt;""),N(INDEX('Daily Sale entry '!$AC$1:$AC$1501,$J2712+1))-TRUNC(N(INDEX('Daily Sale entry '!$AC$1:$AC$1501,$J2712+1))),0),N(INDEX('Daily Sale entry '!$S$1:$S$1501,$J2712-1499))-'Opening Balance'!$B$15*(N(INDEX('Daily Sale entry '!$S$1:$S$1501,$J2712-1499))-TRUNC(N(INDEX('Daily Sale entry '!$S$1:$S$1501,$J2712-1499))))))</f>
        <v/>
      </c>
      <c r="G2712" s="6">
        <f>IF($J2712="","",IF($J2712&lt;=1500,N(INDEX('Daily Sale entry '!$AD$1:$AD$1501,$J2712+1)),0))</f>
        <v/>
      </c>
      <c r="H2712" s="6">
        <f>IF($J2712="","",ROUND('Opening Balance'!$B$4+SUM($F$2:F2712)-SUM($G$2:G2712),2))</f>
        <v/>
      </c>
      <c r="J2712" s="21">
        <f>IFERROR(MATCH(ROW()-1,$L$2:$L$3001,0),"")</f>
        <v/>
      </c>
      <c r="K2712" s="34">
        <f>IF(AND('Daily Sale entry '!Q1212="Collection 收款",'Daily Sale entry '!R1212="Cheque 支票",'Daily Sale entry '!V1212&lt;&gt;""),'Daily Sale entry '!V1212+ROW()/10000000,"")</f>
        <v/>
      </c>
      <c r="L2712" s="21">
        <f>IF(K2712="","",COUNTIF($K$2:$K$3001,"&lt;"&amp;K2712)+1)</f>
        <v/>
      </c>
    </row>
    <row r="2713">
      <c r="A2713" s="5">
        <f>IF($J2713="","",IF($J2713&lt;=1500,INDEX('Daily Sale entry '!$X$1:$X$1501,$J2713+1),INDEX('Daily Sale entry '!$V$1:$V$1501,$J2713-1499)))</f>
        <v/>
      </c>
      <c r="B2713">
        <f>IF($J2713="","",IF($J2713&lt;=1500,INDEX('Daily Sale entry '!$Y$1:$Y$1501,$J2713+1)&amp;"","Buyer cheque banked 买家支票存入"&amp;IF(INDEX('Daily Sale entry '!$U$1:$U$1501,$J2713-1499)="","", " - "&amp;INDEX('Daily Sale entry '!$U$1:$U$1501,$J2713-1499))))</f>
        <v/>
      </c>
      <c r="C2713">
        <f>IF($J2713="","",IF($J2713&lt;=1500,INDEX('Daily Sale entry '!$Z$1:$Z$1501,$J2713+1)&amp;"","Cheque deposit 支票存入 (buyer 买家)"))</f>
        <v/>
      </c>
      <c r="D2713">
        <f>IF($J2713="","",IF($J2713&lt;=1500,INDEX('Daily Sale entry '!$AA$1:$AA$1501,$J2713+1)&amp;"",INDEX('Daily Sale entry '!$P$1:$P$1501,$J2713-1499)&amp;""))</f>
        <v/>
      </c>
      <c r="E2713">
        <f>IF($J2713="","",IF($J2713&lt;=1500,IF(N(INDEX('Daily Sale entry '!$AB$1:$AB$1501,$J2713+1))=0,"",INDEX('Daily Sale entry '!$AB$1:$AB$1501,$J2713+1)),1))</f>
        <v/>
      </c>
      <c r="F2713" s="6">
        <f>IF($J2713="","",IF($J2713&lt;=1500,N(INDEX('Daily Sale entry '!$AC$1:$AC$1501,$J2713+1))-IF(AND('Opening Balance'!$B$15=1,INDEX('Daily Sale entry '!$Z$1:$Z$1501,$J2713+1)="Online collection 网上收款",INDEX('Daily Sale entry '!$AA$1:$AA$1501,$J2713+1)&lt;&gt;""),N(INDEX('Daily Sale entry '!$AC$1:$AC$1501,$J2713+1))-TRUNC(N(INDEX('Daily Sale entry '!$AC$1:$AC$1501,$J2713+1))),0),N(INDEX('Daily Sale entry '!$S$1:$S$1501,$J2713-1499))-'Opening Balance'!$B$15*(N(INDEX('Daily Sale entry '!$S$1:$S$1501,$J2713-1499))-TRUNC(N(INDEX('Daily Sale entry '!$S$1:$S$1501,$J2713-1499))))))</f>
        <v/>
      </c>
      <c r="G2713" s="6">
        <f>IF($J2713="","",IF($J2713&lt;=1500,N(INDEX('Daily Sale entry '!$AD$1:$AD$1501,$J2713+1)),0))</f>
        <v/>
      </c>
      <c r="H2713" s="6">
        <f>IF($J2713="","",ROUND('Opening Balance'!$B$4+SUM($F$2:F2713)-SUM($G$2:G2713),2))</f>
        <v/>
      </c>
      <c r="J2713" s="21">
        <f>IFERROR(MATCH(ROW()-1,$L$2:$L$3001,0),"")</f>
        <v/>
      </c>
      <c r="K2713" s="34">
        <f>IF(AND('Daily Sale entry '!Q1213="Collection 收款",'Daily Sale entry '!R1213="Cheque 支票",'Daily Sale entry '!V1213&lt;&gt;""),'Daily Sale entry '!V1213+ROW()/10000000,"")</f>
        <v/>
      </c>
      <c r="L2713" s="21">
        <f>IF(K2713="","",COUNTIF($K$2:$K$3001,"&lt;"&amp;K2713)+1)</f>
        <v/>
      </c>
    </row>
    <row r="2714">
      <c r="A2714" s="5">
        <f>IF($J2714="","",IF($J2714&lt;=1500,INDEX('Daily Sale entry '!$X$1:$X$1501,$J2714+1),INDEX('Daily Sale entry '!$V$1:$V$1501,$J2714-1499)))</f>
        <v/>
      </c>
      <c r="B2714">
        <f>IF($J2714="","",IF($J2714&lt;=1500,INDEX('Daily Sale entry '!$Y$1:$Y$1501,$J2714+1)&amp;"","Buyer cheque banked 买家支票存入"&amp;IF(INDEX('Daily Sale entry '!$U$1:$U$1501,$J2714-1499)="","", " - "&amp;INDEX('Daily Sale entry '!$U$1:$U$1501,$J2714-1499))))</f>
        <v/>
      </c>
      <c r="C2714">
        <f>IF($J2714="","",IF($J2714&lt;=1500,INDEX('Daily Sale entry '!$Z$1:$Z$1501,$J2714+1)&amp;"","Cheque deposit 支票存入 (buyer 买家)"))</f>
        <v/>
      </c>
      <c r="D2714">
        <f>IF($J2714="","",IF($J2714&lt;=1500,INDEX('Daily Sale entry '!$AA$1:$AA$1501,$J2714+1)&amp;"",INDEX('Daily Sale entry '!$P$1:$P$1501,$J2714-1499)&amp;""))</f>
        <v/>
      </c>
      <c r="E2714">
        <f>IF($J2714="","",IF($J2714&lt;=1500,IF(N(INDEX('Daily Sale entry '!$AB$1:$AB$1501,$J2714+1))=0,"",INDEX('Daily Sale entry '!$AB$1:$AB$1501,$J2714+1)),1))</f>
        <v/>
      </c>
      <c r="F2714" s="6">
        <f>IF($J2714="","",IF($J2714&lt;=1500,N(INDEX('Daily Sale entry '!$AC$1:$AC$1501,$J2714+1))-IF(AND('Opening Balance'!$B$15=1,INDEX('Daily Sale entry '!$Z$1:$Z$1501,$J2714+1)="Online collection 网上收款",INDEX('Daily Sale entry '!$AA$1:$AA$1501,$J2714+1)&lt;&gt;""),N(INDEX('Daily Sale entry '!$AC$1:$AC$1501,$J2714+1))-TRUNC(N(INDEX('Daily Sale entry '!$AC$1:$AC$1501,$J2714+1))),0),N(INDEX('Daily Sale entry '!$S$1:$S$1501,$J2714-1499))-'Opening Balance'!$B$15*(N(INDEX('Daily Sale entry '!$S$1:$S$1501,$J2714-1499))-TRUNC(N(INDEX('Daily Sale entry '!$S$1:$S$1501,$J2714-1499))))))</f>
        <v/>
      </c>
      <c r="G2714" s="6">
        <f>IF($J2714="","",IF($J2714&lt;=1500,N(INDEX('Daily Sale entry '!$AD$1:$AD$1501,$J2714+1)),0))</f>
        <v/>
      </c>
      <c r="H2714" s="6">
        <f>IF($J2714="","",ROUND('Opening Balance'!$B$4+SUM($F$2:F2714)-SUM($G$2:G2714),2))</f>
        <v/>
      </c>
      <c r="J2714" s="21">
        <f>IFERROR(MATCH(ROW()-1,$L$2:$L$3001,0),"")</f>
        <v/>
      </c>
      <c r="K2714" s="34">
        <f>IF(AND('Daily Sale entry '!Q1214="Collection 收款",'Daily Sale entry '!R1214="Cheque 支票",'Daily Sale entry '!V1214&lt;&gt;""),'Daily Sale entry '!V1214+ROW()/10000000,"")</f>
        <v/>
      </c>
      <c r="L2714" s="21">
        <f>IF(K2714="","",COUNTIF($K$2:$K$3001,"&lt;"&amp;K2714)+1)</f>
        <v/>
      </c>
    </row>
    <row r="2715">
      <c r="A2715" s="5">
        <f>IF($J2715="","",IF($J2715&lt;=1500,INDEX('Daily Sale entry '!$X$1:$X$1501,$J2715+1),INDEX('Daily Sale entry '!$V$1:$V$1501,$J2715-1499)))</f>
        <v/>
      </c>
      <c r="B2715">
        <f>IF($J2715="","",IF($J2715&lt;=1500,INDEX('Daily Sale entry '!$Y$1:$Y$1501,$J2715+1)&amp;"","Buyer cheque banked 买家支票存入"&amp;IF(INDEX('Daily Sale entry '!$U$1:$U$1501,$J2715-1499)="","", " - "&amp;INDEX('Daily Sale entry '!$U$1:$U$1501,$J2715-1499))))</f>
        <v/>
      </c>
      <c r="C2715">
        <f>IF($J2715="","",IF($J2715&lt;=1500,INDEX('Daily Sale entry '!$Z$1:$Z$1501,$J2715+1)&amp;"","Cheque deposit 支票存入 (buyer 买家)"))</f>
        <v/>
      </c>
      <c r="D2715">
        <f>IF($J2715="","",IF($J2715&lt;=1500,INDEX('Daily Sale entry '!$AA$1:$AA$1501,$J2715+1)&amp;"",INDEX('Daily Sale entry '!$P$1:$P$1501,$J2715-1499)&amp;""))</f>
        <v/>
      </c>
      <c r="E2715">
        <f>IF($J2715="","",IF($J2715&lt;=1500,IF(N(INDEX('Daily Sale entry '!$AB$1:$AB$1501,$J2715+1))=0,"",INDEX('Daily Sale entry '!$AB$1:$AB$1501,$J2715+1)),1))</f>
        <v/>
      </c>
      <c r="F2715" s="6">
        <f>IF($J2715="","",IF($J2715&lt;=1500,N(INDEX('Daily Sale entry '!$AC$1:$AC$1501,$J2715+1))-IF(AND('Opening Balance'!$B$15=1,INDEX('Daily Sale entry '!$Z$1:$Z$1501,$J2715+1)="Online collection 网上收款",INDEX('Daily Sale entry '!$AA$1:$AA$1501,$J2715+1)&lt;&gt;""),N(INDEX('Daily Sale entry '!$AC$1:$AC$1501,$J2715+1))-TRUNC(N(INDEX('Daily Sale entry '!$AC$1:$AC$1501,$J2715+1))),0),N(INDEX('Daily Sale entry '!$S$1:$S$1501,$J2715-1499))-'Opening Balance'!$B$15*(N(INDEX('Daily Sale entry '!$S$1:$S$1501,$J2715-1499))-TRUNC(N(INDEX('Daily Sale entry '!$S$1:$S$1501,$J2715-1499))))))</f>
        <v/>
      </c>
      <c r="G2715" s="6">
        <f>IF($J2715="","",IF($J2715&lt;=1500,N(INDEX('Daily Sale entry '!$AD$1:$AD$1501,$J2715+1)),0))</f>
        <v/>
      </c>
      <c r="H2715" s="6">
        <f>IF($J2715="","",ROUND('Opening Balance'!$B$4+SUM($F$2:F2715)-SUM($G$2:G2715),2))</f>
        <v/>
      </c>
      <c r="J2715" s="21">
        <f>IFERROR(MATCH(ROW()-1,$L$2:$L$3001,0),"")</f>
        <v/>
      </c>
      <c r="K2715" s="34">
        <f>IF(AND('Daily Sale entry '!Q1215="Collection 收款",'Daily Sale entry '!R1215="Cheque 支票",'Daily Sale entry '!V1215&lt;&gt;""),'Daily Sale entry '!V1215+ROW()/10000000,"")</f>
        <v/>
      </c>
      <c r="L2715" s="21">
        <f>IF(K2715="","",COUNTIF($K$2:$K$3001,"&lt;"&amp;K2715)+1)</f>
        <v/>
      </c>
    </row>
    <row r="2716">
      <c r="A2716" s="5">
        <f>IF($J2716="","",IF($J2716&lt;=1500,INDEX('Daily Sale entry '!$X$1:$X$1501,$J2716+1),INDEX('Daily Sale entry '!$V$1:$V$1501,$J2716-1499)))</f>
        <v/>
      </c>
      <c r="B2716">
        <f>IF($J2716="","",IF($J2716&lt;=1500,INDEX('Daily Sale entry '!$Y$1:$Y$1501,$J2716+1)&amp;"","Buyer cheque banked 买家支票存入"&amp;IF(INDEX('Daily Sale entry '!$U$1:$U$1501,$J2716-1499)="","", " - "&amp;INDEX('Daily Sale entry '!$U$1:$U$1501,$J2716-1499))))</f>
        <v/>
      </c>
      <c r="C2716">
        <f>IF($J2716="","",IF($J2716&lt;=1500,INDEX('Daily Sale entry '!$Z$1:$Z$1501,$J2716+1)&amp;"","Cheque deposit 支票存入 (buyer 买家)"))</f>
        <v/>
      </c>
      <c r="D2716">
        <f>IF($J2716="","",IF($J2716&lt;=1500,INDEX('Daily Sale entry '!$AA$1:$AA$1501,$J2716+1)&amp;"",INDEX('Daily Sale entry '!$P$1:$P$1501,$J2716-1499)&amp;""))</f>
        <v/>
      </c>
      <c r="E2716">
        <f>IF($J2716="","",IF($J2716&lt;=1500,IF(N(INDEX('Daily Sale entry '!$AB$1:$AB$1501,$J2716+1))=0,"",INDEX('Daily Sale entry '!$AB$1:$AB$1501,$J2716+1)),1))</f>
        <v/>
      </c>
      <c r="F2716" s="6">
        <f>IF($J2716="","",IF($J2716&lt;=1500,N(INDEX('Daily Sale entry '!$AC$1:$AC$1501,$J2716+1))-IF(AND('Opening Balance'!$B$15=1,INDEX('Daily Sale entry '!$Z$1:$Z$1501,$J2716+1)="Online collection 网上收款",INDEX('Daily Sale entry '!$AA$1:$AA$1501,$J2716+1)&lt;&gt;""),N(INDEX('Daily Sale entry '!$AC$1:$AC$1501,$J2716+1))-TRUNC(N(INDEX('Daily Sale entry '!$AC$1:$AC$1501,$J2716+1))),0),N(INDEX('Daily Sale entry '!$S$1:$S$1501,$J2716-1499))-'Opening Balance'!$B$15*(N(INDEX('Daily Sale entry '!$S$1:$S$1501,$J2716-1499))-TRUNC(N(INDEX('Daily Sale entry '!$S$1:$S$1501,$J2716-1499))))))</f>
        <v/>
      </c>
      <c r="G2716" s="6">
        <f>IF($J2716="","",IF($J2716&lt;=1500,N(INDEX('Daily Sale entry '!$AD$1:$AD$1501,$J2716+1)),0))</f>
        <v/>
      </c>
      <c r="H2716" s="6">
        <f>IF($J2716="","",ROUND('Opening Balance'!$B$4+SUM($F$2:F2716)-SUM($G$2:G2716),2))</f>
        <v/>
      </c>
      <c r="J2716" s="21">
        <f>IFERROR(MATCH(ROW()-1,$L$2:$L$3001,0),"")</f>
        <v/>
      </c>
      <c r="K2716" s="34">
        <f>IF(AND('Daily Sale entry '!Q1216="Collection 收款",'Daily Sale entry '!R1216="Cheque 支票",'Daily Sale entry '!V1216&lt;&gt;""),'Daily Sale entry '!V1216+ROW()/10000000,"")</f>
        <v/>
      </c>
      <c r="L2716" s="21">
        <f>IF(K2716="","",COUNTIF($K$2:$K$3001,"&lt;"&amp;K2716)+1)</f>
        <v/>
      </c>
    </row>
    <row r="2717">
      <c r="A2717" s="5">
        <f>IF($J2717="","",IF($J2717&lt;=1500,INDEX('Daily Sale entry '!$X$1:$X$1501,$J2717+1),INDEX('Daily Sale entry '!$V$1:$V$1501,$J2717-1499)))</f>
        <v/>
      </c>
      <c r="B2717">
        <f>IF($J2717="","",IF($J2717&lt;=1500,INDEX('Daily Sale entry '!$Y$1:$Y$1501,$J2717+1)&amp;"","Buyer cheque banked 买家支票存入"&amp;IF(INDEX('Daily Sale entry '!$U$1:$U$1501,$J2717-1499)="","", " - "&amp;INDEX('Daily Sale entry '!$U$1:$U$1501,$J2717-1499))))</f>
        <v/>
      </c>
      <c r="C2717">
        <f>IF($J2717="","",IF($J2717&lt;=1500,INDEX('Daily Sale entry '!$Z$1:$Z$1501,$J2717+1)&amp;"","Cheque deposit 支票存入 (buyer 买家)"))</f>
        <v/>
      </c>
      <c r="D2717">
        <f>IF($J2717="","",IF($J2717&lt;=1500,INDEX('Daily Sale entry '!$AA$1:$AA$1501,$J2717+1)&amp;"",INDEX('Daily Sale entry '!$P$1:$P$1501,$J2717-1499)&amp;""))</f>
        <v/>
      </c>
      <c r="E2717">
        <f>IF($J2717="","",IF($J2717&lt;=1500,IF(N(INDEX('Daily Sale entry '!$AB$1:$AB$1501,$J2717+1))=0,"",INDEX('Daily Sale entry '!$AB$1:$AB$1501,$J2717+1)),1))</f>
        <v/>
      </c>
      <c r="F2717" s="6">
        <f>IF($J2717="","",IF($J2717&lt;=1500,N(INDEX('Daily Sale entry '!$AC$1:$AC$1501,$J2717+1))-IF(AND('Opening Balance'!$B$15=1,INDEX('Daily Sale entry '!$Z$1:$Z$1501,$J2717+1)="Online collection 网上收款",INDEX('Daily Sale entry '!$AA$1:$AA$1501,$J2717+1)&lt;&gt;""),N(INDEX('Daily Sale entry '!$AC$1:$AC$1501,$J2717+1))-TRUNC(N(INDEX('Daily Sale entry '!$AC$1:$AC$1501,$J2717+1))),0),N(INDEX('Daily Sale entry '!$S$1:$S$1501,$J2717-1499))-'Opening Balance'!$B$15*(N(INDEX('Daily Sale entry '!$S$1:$S$1501,$J2717-1499))-TRUNC(N(INDEX('Daily Sale entry '!$S$1:$S$1501,$J2717-1499))))))</f>
        <v/>
      </c>
      <c r="G2717" s="6">
        <f>IF($J2717="","",IF($J2717&lt;=1500,N(INDEX('Daily Sale entry '!$AD$1:$AD$1501,$J2717+1)),0))</f>
        <v/>
      </c>
      <c r="H2717" s="6">
        <f>IF($J2717="","",ROUND('Opening Balance'!$B$4+SUM($F$2:F2717)-SUM($G$2:G2717),2))</f>
        <v/>
      </c>
      <c r="J2717" s="21">
        <f>IFERROR(MATCH(ROW()-1,$L$2:$L$3001,0),"")</f>
        <v/>
      </c>
      <c r="K2717" s="34">
        <f>IF(AND('Daily Sale entry '!Q1217="Collection 收款",'Daily Sale entry '!R1217="Cheque 支票",'Daily Sale entry '!V1217&lt;&gt;""),'Daily Sale entry '!V1217+ROW()/10000000,"")</f>
        <v/>
      </c>
      <c r="L2717" s="21">
        <f>IF(K2717="","",COUNTIF($K$2:$K$3001,"&lt;"&amp;K2717)+1)</f>
        <v/>
      </c>
    </row>
    <row r="2718">
      <c r="A2718" s="5">
        <f>IF($J2718="","",IF($J2718&lt;=1500,INDEX('Daily Sale entry '!$X$1:$X$1501,$J2718+1),INDEX('Daily Sale entry '!$V$1:$V$1501,$J2718-1499)))</f>
        <v/>
      </c>
      <c r="B2718">
        <f>IF($J2718="","",IF($J2718&lt;=1500,INDEX('Daily Sale entry '!$Y$1:$Y$1501,$J2718+1)&amp;"","Buyer cheque banked 买家支票存入"&amp;IF(INDEX('Daily Sale entry '!$U$1:$U$1501,$J2718-1499)="","", " - "&amp;INDEX('Daily Sale entry '!$U$1:$U$1501,$J2718-1499))))</f>
        <v/>
      </c>
      <c r="C2718">
        <f>IF($J2718="","",IF($J2718&lt;=1500,INDEX('Daily Sale entry '!$Z$1:$Z$1501,$J2718+1)&amp;"","Cheque deposit 支票存入 (buyer 买家)"))</f>
        <v/>
      </c>
      <c r="D2718">
        <f>IF($J2718="","",IF($J2718&lt;=1500,INDEX('Daily Sale entry '!$AA$1:$AA$1501,$J2718+1)&amp;"",INDEX('Daily Sale entry '!$P$1:$P$1501,$J2718-1499)&amp;""))</f>
        <v/>
      </c>
      <c r="E2718">
        <f>IF($J2718="","",IF($J2718&lt;=1500,IF(N(INDEX('Daily Sale entry '!$AB$1:$AB$1501,$J2718+1))=0,"",INDEX('Daily Sale entry '!$AB$1:$AB$1501,$J2718+1)),1))</f>
        <v/>
      </c>
      <c r="F2718" s="6">
        <f>IF($J2718="","",IF($J2718&lt;=1500,N(INDEX('Daily Sale entry '!$AC$1:$AC$1501,$J2718+1))-IF(AND('Opening Balance'!$B$15=1,INDEX('Daily Sale entry '!$Z$1:$Z$1501,$J2718+1)="Online collection 网上收款",INDEX('Daily Sale entry '!$AA$1:$AA$1501,$J2718+1)&lt;&gt;""),N(INDEX('Daily Sale entry '!$AC$1:$AC$1501,$J2718+1))-TRUNC(N(INDEX('Daily Sale entry '!$AC$1:$AC$1501,$J2718+1))),0),N(INDEX('Daily Sale entry '!$S$1:$S$1501,$J2718-1499))-'Opening Balance'!$B$15*(N(INDEX('Daily Sale entry '!$S$1:$S$1501,$J2718-1499))-TRUNC(N(INDEX('Daily Sale entry '!$S$1:$S$1501,$J2718-1499))))))</f>
        <v/>
      </c>
      <c r="G2718" s="6">
        <f>IF($J2718="","",IF($J2718&lt;=1500,N(INDEX('Daily Sale entry '!$AD$1:$AD$1501,$J2718+1)),0))</f>
        <v/>
      </c>
      <c r="H2718" s="6">
        <f>IF($J2718="","",ROUND('Opening Balance'!$B$4+SUM($F$2:F2718)-SUM($G$2:G2718),2))</f>
        <v/>
      </c>
      <c r="J2718" s="21">
        <f>IFERROR(MATCH(ROW()-1,$L$2:$L$3001,0),"")</f>
        <v/>
      </c>
      <c r="K2718" s="34">
        <f>IF(AND('Daily Sale entry '!Q1218="Collection 收款",'Daily Sale entry '!R1218="Cheque 支票",'Daily Sale entry '!V1218&lt;&gt;""),'Daily Sale entry '!V1218+ROW()/10000000,"")</f>
        <v/>
      </c>
      <c r="L2718" s="21">
        <f>IF(K2718="","",COUNTIF($K$2:$K$3001,"&lt;"&amp;K2718)+1)</f>
        <v/>
      </c>
    </row>
    <row r="2719">
      <c r="A2719" s="5">
        <f>IF($J2719="","",IF($J2719&lt;=1500,INDEX('Daily Sale entry '!$X$1:$X$1501,$J2719+1),INDEX('Daily Sale entry '!$V$1:$V$1501,$J2719-1499)))</f>
        <v/>
      </c>
      <c r="B2719">
        <f>IF($J2719="","",IF($J2719&lt;=1500,INDEX('Daily Sale entry '!$Y$1:$Y$1501,$J2719+1)&amp;"","Buyer cheque banked 买家支票存入"&amp;IF(INDEX('Daily Sale entry '!$U$1:$U$1501,$J2719-1499)="","", " - "&amp;INDEX('Daily Sale entry '!$U$1:$U$1501,$J2719-1499))))</f>
        <v/>
      </c>
      <c r="C2719">
        <f>IF($J2719="","",IF($J2719&lt;=1500,INDEX('Daily Sale entry '!$Z$1:$Z$1501,$J2719+1)&amp;"","Cheque deposit 支票存入 (buyer 买家)"))</f>
        <v/>
      </c>
      <c r="D2719">
        <f>IF($J2719="","",IF($J2719&lt;=1500,INDEX('Daily Sale entry '!$AA$1:$AA$1501,$J2719+1)&amp;"",INDEX('Daily Sale entry '!$P$1:$P$1501,$J2719-1499)&amp;""))</f>
        <v/>
      </c>
      <c r="E2719">
        <f>IF($J2719="","",IF($J2719&lt;=1500,IF(N(INDEX('Daily Sale entry '!$AB$1:$AB$1501,$J2719+1))=0,"",INDEX('Daily Sale entry '!$AB$1:$AB$1501,$J2719+1)),1))</f>
        <v/>
      </c>
      <c r="F2719" s="6">
        <f>IF($J2719="","",IF($J2719&lt;=1500,N(INDEX('Daily Sale entry '!$AC$1:$AC$1501,$J2719+1))-IF(AND('Opening Balance'!$B$15=1,INDEX('Daily Sale entry '!$Z$1:$Z$1501,$J2719+1)="Online collection 网上收款",INDEX('Daily Sale entry '!$AA$1:$AA$1501,$J2719+1)&lt;&gt;""),N(INDEX('Daily Sale entry '!$AC$1:$AC$1501,$J2719+1))-TRUNC(N(INDEX('Daily Sale entry '!$AC$1:$AC$1501,$J2719+1))),0),N(INDEX('Daily Sale entry '!$S$1:$S$1501,$J2719-1499))-'Opening Balance'!$B$15*(N(INDEX('Daily Sale entry '!$S$1:$S$1501,$J2719-1499))-TRUNC(N(INDEX('Daily Sale entry '!$S$1:$S$1501,$J2719-1499))))))</f>
        <v/>
      </c>
      <c r="G2719" s="6">
        <f>IF($J2719="","",IF($J2719&lt;=1500,N(INDEX('Daily Sale entry '!$AD$1:$AD$1501,$J2719+1)),0))</f>
        <v/>
      </c>
      <c r="H2719" s="6">
        <f>IF($J2719="","",ROUND('Opening Balance'!$B$4+SUM($F$2:F2719)-SUM($G$2:G2719),2))</f>
        <v/>
      </c>
      <c r="J2719" s="21">
        <f>IFERROR(MATCH(ROW()-1,$L$2:$L$3001,0),"")</f>
        <v/>
      </c>
      <c r="K2719" s="34">
        <f>IF(AND('Daily Sale entry '!Q1219="Collection 收款",'Daily Sale entry '!R1219="Cheque 支票",'Daily Sale entry '!V1219&lt;&gt;""),'Daily Sale entry '!V1219+ROW()/10000000,"")</f>
        <v/>
      </c>
      <c r="L2719" s="21">
        <f>IF(K2719="","",COUNTIF($K$2:$K$3001,"&lt;"&amp;K2719)+1)</f>
        <v/>
      </c>
    </row>
    <row r="2720">
      <c r="A2720" s="5">
        <f>IF($J2720="","",IF($J2720&lt;=1500,INDEX('Daily Sale entry '!$X$1:$X$1501,$J2720+1),INDEX('Daily Sale entry '!$V$1:$V$1501,$J2720-1499)))</f>
        <v/>
      </c>
      <c r="B2720">
        <f>IF($J2720="","",IF($J2720&lt;=1500,INDEX('Daily Sale entry '!$Y$1:$Y$1501,$J2720+1)&amp;"","Buyer cheque banked 买家支票存入"&amp;IF(INDEX('Daily Sale entry '!$U$1:$U$1501,$J2720-1499)="","", " - "&amp;INDEX('Daily Sale entry '!$U$1:$U$1501,$J2720-1499))))</f>
        <v/>
      </c>
      <c r="C2720">
        <f>IF($J2720="","",IF($J2720&lt;=1500,INDEX('Daily Sale entry '!$Z$1:$Z$1501,$J2720+1)&amp;"","Cheque deposit 支票存入 (buyer 买家)"))</f>
        <v/>
      </c>
      <c r="D2720">
        <f>IF($J2720="","",IF($J2720&lt;=1500,INDEX('Daily Sale entry '!$AA$1:$AA$1501,$J2720+1)&amp;"",INDEX('Daily Sale entry '!$P$1:$P$1501,$J2720-1499)&amp;""))</f>
        <v/>
      </c>
      <c r="E2720">
        <f>IF($J2720="","",IF($J2720&lt;=1500,IF(N(INDEX('Daily Sale entry '!$AB$1:$AB$1501,$J2720+1))=0,"",INDEX('Daily Sale entry '!$AB$1:$AB$1501,$J2720+1)),1))</f>
        <v/>
      </c>
      <c r="F2720" s="6">
        <f>IF($J2720="","",IF($J2720&lt;=1500,N(INDEX('Daily Sale entry '!$AC$1:$AC$1501,$J2720+1))-IF(AND('Opening Balance'!$B$15=1,INDEX('Daily Sale entry '!$Z$1:$Z$1501,$J2720+1)="Online collection 网上收款",INDEX('Daily Sale entry '!$AA$1:$AA$1501,$J2720+1)&lt;&gt;""),N(INDEX('Daily Sale entry '!$AC$1:$AC$1501,$J2720+1))-TRUNC(N(INDEX('Daily Sale entry '!$AC$1:$AC$1501,$J2720+1))),0),N(INDEX('Daily Sale entry '!$S$1:$S$1501,$J2720-1499))-'Opening Balance'!$B$15*(N(INDEX('Daily Sale entry '!$S$1:$S$1501,$J2720-1499))-TRUNC(N(INDEX('Daily Sale entry '!$S$1:$S$1501,$J2720-1499))))))</f>
        <v/>
      </c>
      <c r="G2720" s="6">
        <f>IF($J2720="","",IF($J2720&lt;=1500,N(INDEX('Daily Sale entry '!$AD$1:$AD$1501,$J2720+1)),0))</f>
        <v/>
      </c>
      <c r="H2720" s="6">
        <f>IF($J2720="","",ROUND('Opening Balance'!$B$4+SUM($F$2:F2720)-SUM($G$2:G2720),2))</f>
        <v/>
      </c>
      <c r="J2720" s="21">
        <f>IFERROR(MATCH(ROW()-1,$L$2:$L$3001,0),"")</f>
        <v/>
      </c>
      <c r="K2720" s="34">
        <f>IF(AND('Daily Sale entry '!Q1220="Collection 收款",'Daily Sale entry '!R1220="Cheque 支票",'Daily Sale entry '!V1220&lt;&gt;""),'Daily Sale entry '!V1220+ROW()/10000000,"")</f>
        <v/>
      </c>
      <c r="L2720" s="21">
        <f>IF(K2720="","",COUNTIF($K$2:$K$3001,"&lt;"&amp;K2720)+1)</f>
        <v/>
      </c>
    </row>
    <row r="2721">
      <c r="A2721" s="5">
        <f>IF($J2721="","",IF($J2721&lt;=1500,INDEX('Daily Sale entry '!$X$1:$X$1501,$J2721+1),INDEX('Daily Sale entry '!$V$1:$V$1501,$J2721-1499)))</f>
        <v/>
      </c>
      <c r="B2721">
        <f>IF($J2721="","",IF($J2721&lt;=1500,INDEX('Daily Sale entry '!$Y$1:$Y$1501,$J2721+1)&amp;"","Buyer cheque banked 买家支票存入"&amp;IF(INDEX('Daily Sale entry '!$U$1:$U$1501,$J2721-1499)="","", " - "&amp;INDEX('Daily Sale entry '!$U$1:$U$1501,$J2721-1499))))</f>
        <v/>
      </c>
      <c r="C2721">
        <f>IF($J2721="","",IF($J2721&lt;=1500,INDEX('Daily Sale entry '!$Z$1:$Z$1501,$J2721+1)&amp;"","Cheque deposit 支票存入 (buyer 买家)"))</f>
        <v/>
      </c>
      <c r="D2721">
        <f>IF($J2721="","",IF($J2721&lt;=1500,INDEX('Daily Sale entry '!$AA$1:$AA$1501,$J2721+1)&amp;"",INDEX('Daily Sale entry '!$P$1:$P$1501,$J2721-1499)&amp;""))</f>
        <v/>
      </c>
      <c r="E2721">
        <f>IF($J2721="","",IF($J2721&lt;=1500,IF(N(INDEX('Daily Sale entry '!$AB$1:$AB$1501,$J2721+1))=0,"",INDEX('Daily Sale entry '!$AB$1:$AB$1501,$J2721+1)),1))</f>
        <v/>
      </c>
      <c r="F2721" s="6">
        <f>IF($J2721="","",IF($J2721&lt;=1500,N(INDEX('Daily Sale entry '!$AC$1:$AC$1501,$J2721+1))-IF(AND('Opening Balance'!$B$15=1,INDEX('Daily Sale entry '!$Z$1:$Z$1501,$J2721+1)="Online collection 网上收款",INDEX('Daily Sale entry '!$AA$1:$AA$1501,$J2721+1)&lt;&gt;""),N(INDEX('Daily Sale entry '!$AC$1:$AC$1501,$J2721+1))-TRUNC(N(INDEX('Daily Sale entry '!$AC$1:$AC$1501,$J2721+1))),0),N(INDEX('Daily Sale entry '!$S$1:$S$1501,$J2721-1499))-'Opening Balance'!$B$15*(N(INDEX('Daily Sale entry '!$S$1:$S$1501,$J2721-1499))-TRUNC(N(INDEX('Daily Sale entry '!$S$1:$S$1501,$J2721-1499))))))</f>
        <v/>
      </c>
      <c r="G2721" s="6">
        <f>IF($J2721="","",IF($J2721&lt;=1500,N(INDEX('Daily Sale entry '!$AD$1:$AD$1501,$J2721+1)),0))</f>
        <v/>
      </c>
      <c r="H2721" s="6">
        <f>IF($J2721="","",ROUND('Opening Balance'!$B$4+SUM($F$2:F2721)-SUM($G$2:G2721),2))</f>
        <v/>
      </c>
      <c r="J2721" s="21">
        <f>IFERROR(MATCH(ROW()-1,$L$2:$L$3001,0),"")</f>
        <v/>
      </c>
      <c r="K2721" s="34">
        <f>IF(AND('Daily Sale entry '!Q1221="Collection 收款",'Daily Sale entry '!R1221="Cheque 支票",'Daily Sale entry '!V1221&lt;&gt;""),'Daily Sale entry '!V1221+ROW()/10000000,"")</f>
        <v/>
      </c>
      <c r="L2721" s="21">
        <f>IF(K2721="","",COUNTIF($K$2:$K$3001,"&lt;"&amp;K2721)+1)</f>
        <v/>
      </c>
    </row>
    <row r="2722">
      <c r="A2722" s="5">
        <f>IF($J2722="","",IF($J2722&lt;=1500,INDEX('Daily Sale entry '!$X$1:$X$1501,$J2722+1),INDEX('Daily Sale entry '!$V$1:$V$1501,$J2722-1499)))</f>
        <v/>
      </c>
      <c r="B2722">
        <f>IF($J2722="","",IF($J2722&lt;=1500,INDEX('Daily Sale entry '!$Y$1:$Y$1501,$J2722+1)&amp;"","Buyer cheque banked 买家支票存入"&amp;IF(INDEX('Daily Sale entry '!$U$1:$U$1501,$J2722-1499)="","", " - "&amp;INDEX('Daily Sale entry '!$U$1:$U$1501,$J2722-1499))))</f>
        <v/>
      </c>
      <c r="C2722">
        <f>IF($J2722="","",IF($J2722&lt;=1500,INDEX('Daily Sale entry '!$Z$1:$Z$1501,$J2722+1)&amp;"","Cheque deposit 支票存入 (buyer 买家)"))</f>
        <v/>
      </c>
      <c r="D2722">
        <f>IF($J2722="","",IF($J2722&lt;=1500,INDEX('Daily Sale entry '!$AA$1:$AA$1501,$J2722+1)&amp;"",INDEX('Daily Sale entry '!$P$1:$P$1501,$J2722-1499)&amp;""))</f>
        <v/>
      </c>
      <c r="E2722">
        <f>IF($J2722="","",IF($J2722&lt;=1500,IF(N(INDEX('Daily Sale entry '!$AB$1:$AB$1501,$J2722+1))=0,"",INDEX('Daily Sale entry '!$AB$1:$AB$1501,$J2722+1)),1))</f>
        <v/>
      </c>
      <c r="F2722" s="6">
        <f>IF($J2722="","",IF($J2722&lt;=1500,N(INDEX('Daily Sale entry '!$AC$1:$AC$1501,$J2722+1))-IF(AND('Opening Balance'!$B$15=1,INDEX('Daily Sale entry '!$Z$1:$Z$1501,$J2722+1)="Online collection 网上收款",INDEX('Daily Sale entry '!$AA$1:$AA$1501,$J2722+1)&lt;&gt;""),N(INDEX('Daily Sale entry '!$AC$1:$AC$1501,$J2722+1))-TRUNC(N(INDEX('Daily Sale entry '!$AC$1:$AC$1501,$J2722+1))),0),N(INDEX('Daily Sale entry '!$S$1:$S$1501,$J2722-1499))-'Opening Balance'!$B$15*(N(INDEX('Daily Sale entry '!$S$1:$S$1501,$J2722-1499))-TRUNC(N(INDEX('Daily Sale entry '!$S$1:$S$1501,$J2722-1499))))))</f>
        <v/>
      </c>
      <c r="G2722" s="6">
        <f>IF($J2722="","",IF($J2722&lt;=1500,N(INDEX('Daily Sale entry '!$AD$1:$AD$1501,$J2722+1)),0))</f>
        <v/>
      </c>
      <c r="H2722" s="6">
        <f>IF($J2722="","",ROUND('Opening Balance'!$B$4+SUM($F$2:F2722)-SUM($G$2:G2722),2))</f>
        <v/>
      </c>
      <c r="J2722" s="21">
        <f>IFERROR(MATCH(ROW()-1,$L$2:$L$3001,0),"")</f>
        <v/>
      </c>
      <c r="K2722" s="34">
        <f>IF(AND('Daily Sale entry '!Q1222="Collection 收款",'Daily Sale entry '!R1222="Cheque 支票",'Daily Sale entry '!V1222&lt;&gt;""),'Daily Sale entry '!V1222+ROW()/10000000,"")</f>
        <v/>
      </c>
      <c r="L2722" s="21">
        <f>IF(K2722="","",COUNTIF($K$2:$K$3001,"&lt;"&amp;K2722)+1)</f>
        <v/>
      </c>
    </row>
    <row r="2723">
      <c r="A2723" s="5">
        <f>IF($J2723="","",IF($J2723&lt;=1500,INDEX('Daily Sale entry '!$X$1:$X$1501,$J2723+1),INDEX('Daily Sale entry '!$V$1:$V$1501,$J2723-1499)))</f>
        <v/>
      </c>
      <c r="B2723">
        <f>IF($J2723="","",IF($J2723&lt;=1500,INDEX('Daily Sale entry '!$Y$1:$Y$1501,$J2723+1)&amp;"","Buyer cheque banked 买家支票存入"&amp;IF(INDEX('Daily Sale entry '!$U$1:$U$1501,$J2723-1499)="","", " - "&amp;INDEX('Daily Sale entry '!$U$1:$U$1501,$J2723-1499))))</f>
        <v/>
      </c>
      <c r="C2723">
        <f>IF($J2723="","",IF($J2723&lt;=1500,INDEX('Daily Sale entry '!$Z$1:$Z$1501,$J2723+1)&amp;"","Cheque deposit 支票存入 (buyer 买家)"))</f>
        <v/>
      </c>
      <c r="D2723">
        <f>IF($J2723="","",IF($J2723&lt;=1500,INDEX('Daily Sale entry '!$AA$1:$AA$1501,$J2723+1)&amp;"",INDEX('Daily Sale entry '!$P$1:$P$1501,$J2723-1499)&amp;""))</f>
        <v/>
      </c>
      <c r="E2723">
        <f>IF($J2723="","",IF($J2723&lt;=1500,IF(N(INDEX('Daily Sale entry '!$AB$1:$AB$1501,$J2723+1))=0,"",INDEX('Daily Sale entry '!$AB$1:$AB$1501,$J2723+1)),1))</f>
        <v/>
      </c>
      <c r="F2723" s="6">
        <f>IF($J2723="","",IF($J2723&lt;=1500,N(INDEX('Daily Sale entry '!$AC$1:$AC$1501,$J2723+1))-IF(AND('Opening Balance'!$B$15=1,INDEX('Daily Sale entry '!$Z$1:$Z$1501,$J2723+1)="Online collection 网上收款",INDEX('Daily Sale entry '!$AA$1:$AA$1501,$J2723+1)&lt;&gt;""),N(INDEX('Daily Sale entry '!$AC$1:$AC$1501,$J2723+1))-TRUNC(N(INDEX('Daily Sale entry '!$AC$1:$AC$1501,$J2723+1))),0),N(INDEX('Daily Sale entry '!$S$1:$S$1501,$J2723-1499))-'Opening Balance'!$B$15*(N(INDEX('Daily Sale entry '!$S$1:$S$1501,$J2723-1499))-TRUNC(N(INDEX('Daily Sale entry '!$S$1:$S$1501,$J2723-1499))))))</f>
        <v/>
      </c>
      <c r="G2723" s="6">
        <f>IF($J2723="","",IF($J2723&lt;=1500,N(INDEX('Daily Sale entry '!$AD$1:$AD$1501,$J2723+1)),0))</f>
        <v/>
      </c>
      <c r="H2723" s="6">
        <f>IF($J2723="","",ROUND('Opening Balance'!$B$4+SUM($F$2:F2723)-SUM($G$2:G2723),2))</f>
        <v/>
      </c>
      <c r="J2723" s="21">
        <f>IFERROR(MATCH(ROW()-1,$L$2:$L$3001,0),"")</f>
        <v/>
      </c>
      <c r="K2723" s="34">
        <f>IF(AND('Daily Sale entry '!Q1223="Collection 收款",'Daily Sale entry '!R1223="Cheque 支票",'Daily Sale entry '!V1223&lt;&gt;""),'Daily Sale entry '!V1223+ROW()/10000000,"")</f>
        <v/>
      </c>
      <c r="L2723" s="21">
        <f>IF(K2723="","",COUNTIF($K$2:$K$3001,"&lt;"&amp;K2723)+1)</f>
        <v/>
      </c>
    </row>
    <row r="2724">
      <c r="A2724" s="5">
        <f>IF($J2724="","",IF($J2724&lt;=1500,INDEX('Daily Sale entry '!$X$1:$X$1501,$J2724+1),INDEX('Daily Sale entry '!$V$1:$V$1501,$J2724-1499)))</f>
        <v/>
      </c>
      <c r="B2724">
        <f>IF($J2724="","",IF($J2724&lt;=1500,INDEX('Daily Sale entry '!$Y$1:$Y$1501,$J2724+1)&amp;"","Buyer cheque banked 买家支票存入"&amp;IF(INDEX('Daily Sale entry '!$U$1:$U$1501,$J2724-1499)="","", " - "&amp;INDEX('Daily Sale entry '!$U$1:$U$1501,$J2724-1499))))</f>
        <v/>
      </c>
      <c r="C2724">
        <f>IF($J2724="","",IF($J2724&lt;=1500,INDEX('Daily Sale entry '!$Z$1:$Z$1501,$J2724+1)&amp;"","Cheque deposit 支票存入 (buyer 买家)"))</f>
        <v/>
      </c>
      <c r="D2724">
        <f>IF($J2724="","",IF($J2724&lt;=1500,INDEX('Daily Sale entry '!$AA$1:$AA$1501,$J2724+1)&amp;"",INDEX('Daily Sale entry '!$P$1:$P$1501,$J2724-1499)&amp;""))</f>
        <v/>
      </c>
      <c r="E2724">
        <f>IF($J2724="","",IF($J2724&lt;=1500,IF(N(INDEX('Daily Sale entry '!$AB$1:$AB$1501,$J2724+1))=0,"",INDEX('Daily Sale entry '!$AB$1:$AB$1501,$J2724+1)),1))</f>
        <v/>
      </c>
      <c r="F2724" s="6">
        <f>IF($J2724="","",IF($J2724&lt;=1500,N(INDEX('Daily Sale entry '!$AC$1:$AC$1501,$J2724+1))-IF(AND('Opening Balance'!$B$15=1,INDEX('Daily Sale entry '!$Z$1:$Z$1501,$J2724+1)="Online collection 网上收款",INDEX('Daily Sale entry '!$AA$1:$AA$1501,$J2724+1)&lt;&gt;""),N(INDEX('Daily Sale entry '!$AC$1:$AC$1501,$J2724+1))-TRUNC(N(INDEX('Daily Sale entry '!$AC$1:$AC$1501,$J2724+1))),0),N(INDEX('Daily Sale entry '!$S$1:$S$1501,$J2724-1499))-'Opening Balance'!$B$15*(N(INDEX('Daily Sale entry '!$S$1:$S$1501,$J2724-1499))-TRUNC(N(INDEX('Daily Sale entry '!$S$1:$S$1501,$J2724-1499))))))</f>
        <v/>
      </c>
      <c r="G2724" s="6">
        <f>IF($J2724="","",IF($J2724&lt;=1500,N(INDEX('Daily Sale entry '!$AD$1:$AD$1501,$J2724+1)),0))</f>
        <v/>
      </c>
      <c r="H2724" s="6">
        <f>IF($J2724="","",ROUND('Opening Balance'!$B$4+SUM($F$2:F2724)-SUM($G$2:G2724),2))</f>
        <v/>
      </c>
      <c r="J2724" s="21">
        <f>IFERROR(MATCH(ROW()-1,$L$2:$L$3001,0),"")</f>
        <v/>
      </c>
      <c r="K2724" s="34">
        <f>IF(AND('Daily Sale entry '!Q1224="Collection 收款",'Daily Sale entry '!R1224="Cheque 支票",'Daily Sale entry '!V1224&lt;&gt;""),'Daily Sale entry '!V1224+ROW()/10000000,"")</f>
        <v/>
      </c>
      <c r="L2724" s="21">
        <f>IF(K2724="","",COUNTIF($K$2:$K$3001,"&lt;"&amp;K2724)+1)</f>
        <v/>
      </c>
    </row>
    <row r="2725">
      <c r="A2725" s="5">
        <f>IF($J2725="","",IF($J2725&lt;=1500,INDEX('Daily Sale entry '!$X$1:$X$1501,$J2725+1),INDEX('Daily Sale entry '!$V$1:$V$1501,$J2725-1499)))</f>
        <v/>
      </c>
      <c r="B2725">
        <f>IF($J2725="","",IF($J2725&lt;=1500,INDEX('Daily Sale entry '!$Y$1:$Y$1501,$J2725+1)&amp;"","Buyer cheque banked 买家支票存入"&amp;IF(INDEX('Daily Sale entry '!$U$1:$U$1501,$J2725-1499)="","", " - "&amp;INDEX('Daily Sale entry '!$U$1:$U$1501,$J2725-1499))))</f>
        <v/>
      </c>
      <c r="C2725">
        <f>IF($J2725="","",IF($J2725&lt;=1500,INDEX('Daily Sale entry '!$Z$1:$Z$1501,$J2725+1)&amp;"","Cheque deposit 支票存入 (buyer 买家)"))</f>
        <v/>
      </c>
      <c r="D2725">
        <f>IF($J2725="","",IF($J2725&lt;=1500,INDEX('Daily Sale entry '!$AA$1:$AA$1501,$J2725+1)&amp;"",INDEX('Daily Sale entry '!$P$1:$P$1501,$J2725-1499)&amp;""))</f>
        <v/>
      </c>
      <c r="E2725">
        <f>IF($J2725="","",IF($J2725&lt;=1500,IF(N(INDEX('Daily Sale entry '!$AB$1:$AB$1501,$J2725+1))=0,"",INDEX('Daily Sale entry '!$AB$1:$AB$1501,$J2725+1)),1))</f>
        <v/>
      </c>
      <c r="F2725" s="6">
        <f>IF($J2725="","",IF($J2725&lt;=1500,N(INDEX('Daily Sale entry '!$AC$1:$AC$1501,$J2725+1))-IF(AND('Opening Balance'!$B$15=1,INDEX('Daily Sale entry '!$Z$1:$Z$1501,$J2725+1)="Online collection 网上收款",INDEX('Daily Sale entry '!$AA$1:$AA$1501,$J2725+1)&lt;&gt;""),N(INDEX('Daily Sale entry '!$AC$1:$AC$1501,$J2725+1))-TRUNC(N(INDEX('Daily Sale entry '!$AC$1:$AC$1501,$J2725+1))),0),N(INDEX('Daily Sale entry '!$S$1:$S$1501,$J2725-1499))-'Opening Balance'!$B$15*(N(INDEX('Daily Sale entry '!$S$1:$S$1501,$J2725-1499))-TRUNC(N(INDEX('Daily Sale entry '!$S$1:$S$1501,$J2725-1499))))))</f>
        <v/>
      </c>
      <c r="G2725" s="6">
        <f>IF($J2725="","",IF($J2725&lt;=1500,N(INDEX('Daily Sale entry '!$AD$1:$AD$1501,$J2725+1)),0))</f>
        <v/>
      </c>
      <c r="H2725" s="6">
        <f>IF($J2725="","",ROUND('Opening Balance'!$B$4+SUM($F$2:F2725)-SUM($G$2:G2725),2))</f>
        <v/>
      </c>
      <c r="J2725" s="21">
        <f>IFERROR(MATCH(ROW()-1,$L$2:$L$3001,0),"")</f>
        <v/>
      </c>
      <c r="K2725" s="34">
        <f>IF(AND('Daily Sale entry '!Q1225="Collection 收款",'Daily Sale entry '!R1225="Cheque 支票",'Daily Sale entry '!V1225&lt;&gt;""),'Daily Sale entry '!V1225+ROW()/10000000,"")</f>
        <v/>
      </c>
      <c r="L2725" s="21">
        <f>IF(K2725="","",COUNTIF($K$2:$K$3001,"&lt;"&amp;K2725)+1)</f>
        <v/>
      </c>
    </row>
    <row r="2726">
      <c r="A2726" s="5">
        <f>IF($J2726="","",IF($J2726&lt;=1500,INDEX('Daily Sale entry '!$X$1:$X$1501,$J2726+1),INDEX('Daily Sale entry '!$V$1:$V$1501,$J2726-1499)))</f>
        <v/>
      </c>
      <c r="B2726">
        <f>IF($J2726="","",IF($J2726&lt;=1500,INDEX('Daily Sale entry '!$Y$1:$Y$1501,$J2726+1)&amp;"","Buyer cheque banked 买家支票存入"&amp;IF(INDEX('Daily Sale entry '!$U$1:$U$1501,$J2726-1499)="","", " - "&amp;INDEX('Daily Sale entry '!$U$1:$U$1501,$J2726-1499))))</f>
        <v/>
      </c>
      <c r="C2726">
        <f>IF($J2726="","",IF($J2726&lt;=1500,INDEX('Daily Sale entry '!$Z$1:$Z$1501,$J2726+1)&amp;"","Cheque deposit 支票存入 (buyer 买家)"))</f>
        <v/>
      </c>
      <c r="D2726">
        <f>IF($J2726="","",IF($J2726&lt;=1500,INDEX('Daily Sale entry '!$AA$1:$AA$1501,$J2726+1)&amp;"",INDEX('Daily Sale entry '!$P$1:$P$1501,$J2726-1499)&amp;""))</f>
        <v/>
      </c>
      <c r="E2726">
        <f>IF($J2726="","",IF($J2726&lt;=1500,IF(N(INDEX('Daily Sale entry '!$AB$1:$AB$1501,$J2726+1))=0,"",INDEX('Daily Sale entry '!$AB$1:$AB$1501,$J2726+1)),1))</f>
        <v/>
      </c>
      <c r="F2726" s="6">
        <f>IF($J2726="","",IF($J2726&lt;=1500,N(INDEX('Daily Sale entry '!$AC$1:$AC$1501,$J2726+1))-IF(AND('Opening Balance'!$B$15=1,INDEX('Daily Sale entry '!$Z$1:$Z$1501,$J2726+1)="Online collection 网上收款",INDEX('Daily Sale entry '!$AA$1:$AA$1501,$J2726+1)&lt;&gt;""),N(INDEX('Daily Sale entry '!$AC$1:$AC$1501,$J2726+1))-TRUNC(N(INDEX('Daily Sale entry '!$AC$1:$AC$1501,$J2726+1))),0),N(INDEX('Daily Sale entry '!$S$1:$S$1501,$J2726-1499))-'Opening Balance'!$B$15*(N(INDEX('Daily Sale entry '!$S$1:$S$1501,$J2726-1499))-TRUNC(N(INDEX('Daily Sale entry '!$S$1:$S$1501,$J2726-1499))))))</f>
        <v/>
      </c>
      <c r="G2726" s="6">
        <f>IF($J2726="","",IF($J2726&lt;=1500,N(INDEX('Daily Sale entry '!$AD$1:$AD$1501,$J2726+1)),0))</f>
        <v/>
      </c>
      <c r="H2726" s="6">
        <f>IF($J2726="","",ROUND('Opening Balance'!$B$4+SUM($F$2:F2726)-SUM($G$2:G2726),2))</f>
        <v/>
      </c>
      <c r="J2726" s="21">
        <f>IFERROR(MATCH(ROW()-1,$L$2:$L$3001,0),"")</f>
        <v/>
      </c>
      <c r="K2726" s="34">
        <f>IF(AND('Daily Sale entry '!Q1226="Collection 收款",'Daily Sale entry '!R1226="Cheque 支票",'Daily Sale entry '!V1226&lt;&gt;""),'Daily Sale entry '!V1226+ROW()/10000000,"")</f>
        <v/>
      </c>
      <c r="L2726" s="21">
        <f>IF(K2726="","",COUNTIF($K$2:$K$3001,"&lt;"&amp;K2726)+1)</f>
        <v/>
      </c>
    </row>
    <row r="2727">
      <c r="A2727" s="5">
        <f>IF($J2727="","",IF($J2727&lt;=1500,INDEX('Daily Sale entry '!$X$1:$X$1501,$J2727+1),INDEX('Daily Sale entry '!$V$1:$V$1501,$J2727-1499)))</f>
        <v/>
      </c>
      <c r="B2727">
        <f>IF($J2727="","",IF($J2727&lt;=1500,INDEX('Daily Sale entry '!$Y$1:$Y$1501,$J2727+1)&amp;"","Buyer cheque banked 买家支票存入"&amp;IF(INDEX('Daily Sale entry '!$U$1:$U$1501,$J2727-1499)="","", " - "&amp;INDEX('Daily Sale entry '!$U$1:$U$1501,$J2727-1499))))</f>
        <v/>
      </c>
      <c r="C2727">
        <f>IF($J2727="","",IF($J2727&lt;=1500,INDEX('Daily Sale entry '!$Z$1:$Z$1501,$J2727+1)&amp;"","Cheque deposit 支票存入 (buyer 买家)"))</f>
        <v/>
      </c>
      <c r="D2727">
        <f>IF($J2727="","",IF($J2727&lt;=1500,INDEX('Daily Sale entry '!$AA$1:$AA$1501,$J2727+1)&amp;"",INDEX('Daily Sale entry '!$P$1:$P$1501,$J2727-1499)&amp;""))</f>
        <v/>
      </c>
      <c r="E2727">
        <f>IF($J2727="","",IF($J2727&lt;=1500,IF(N(INDEX('Daily Sale entry '!$AB$1:$AB$1501,$J2727+1))=0,"",INDEX('Daily Sale entry '!$AB$1:$AB$1501,$J2727+1)),1))</f>
        <v/>
      </c>
      <c r="F2727" s="6">
        <f>IF($J2727="","",IF($J2727&lt;=1500,N(INDEX('Daily Sale entry '!$AC$1:$AC$1501,$J2727+1))-IF(AND('Opening Balance'!$B$15=1,INDEX('Daily Sale entry '!$Z$1:$Z$1501,$J2727+1)="Online collection 网上收款",INDEX('Daily Sale entry '!$AA$1:$AA$1501,$J2727+1)&lt;&gt;""),N(INDEX('Daily Sale entry '!$AC$1:$AC$1501,$J2727+1))-TRUNC(N(INDEX('Daily Sale entry '!$AC$1:$AC$1501,$J2727+1))),0),N(INDEX('Daily Sale entry '!$S$1:$S$1501,$J2727-1499))-'Opening Balance'!$B$15*(N(INDEX('Daily Sale entry '!$S$1:$S$1501,$J2727-1499))-TRUNC(N(INDEX('Daily Sale entry '!$S$1:$S$1501,$J2727-1499))))))</f>
        <v/>
      </c>
      <c r="G2727" s="6">
        <f>IF($J2727="","",IF($J2727&lt;=1500,N(INDEX('Daily Sale entry '!$AD$1:$AD$1501,$J2727+1)),0))</f>
        <v/>
      </c>
      <c r="H2727" s="6">
        <f>IF($J2727="","",ROUND('Opening Balance'!$B$4+SUM($F$2:F2727)-SUM($G$2:G2727),2))</f>
        <v/>
      </c>
      <c r="J2727" s="21">
        <f>IFERROR(MATCH(ROW()-1,$L$2:$L$3001,0),"")</f>
        <v/>
      </c>
      <c r="K2727" s="34">
        <f>IF(AND('Daily Sale entry '!Q1227="Collection 收款",'Daily Sale entry '!R1227="Cheque 支票",'Daily Sale entry '!V1227&lt;&gt;""),'Daily Sale entry '!V1227+ROW()/10000000,"")</f>
        <v/>
      </c>
      <c r="L2727" s="21">
        <f>IF(K2727="","",COUNTIF($K$2:$K$3001,"&lt;"&amp;K2727)+1)</f>
        <v/>
      </c>
    </row>
    <row r="2728">
      <c r="A2728" s="5">
        <f>IF($J2728="","",IF($J2728&lt;=1500,INDEX('Daily Sale entry '!$X$1:$X$1501,$J2728+1),INDEX('Daily Sale entry '!$V$1:$V$1501,$J2728-1499)))</f>
        <v/>
      </c>
      <c r="B2728">
        <f>IF($J2728="","",IF($J2728&lt;=1500,INDEX('Daily Sale entry '!$Y$1:$Y$1501,$J2728+1)&amp;"","Buyer cheque banked 买家支票存入"&amp;IF(INDEX('Daily Sale entry '!$U$1:$U$1501,$J2728-1499)="","", " - "&amp;INDEX('Daily Sale entry '!$U$1:$U$1501,$J2728-1499))))</f>
        <v/>
      </c>
      <c r="C2728">
        <f>IF($J2728="","",IF($J2728&lt;=1500,INDEX('Daily Sale entry '!$Z$1:$Z$1501,$J2728+1)&amp;"","Cheque deposit 支票存入 (buyer 买家)"))</f>
        <v/>
      </c>
      <c r="D2728">
        <f>IF($J2728="","",IF($J2728&lt;=1500,INDEX('Daily Sale entry '!$AA$1:$AA$1501,$J2728+1)&amp;"",INDEX('Daily Sale entry '!$P$1:$P$1501,$J2728-1499)&amp;""))</f>
        <v/>
      </c>
      <c r="E2728">
        <f>IF($J2728="","",IF($J2728&lt;=1500,IF(N(INDEX('Daily Sale entry '!$AB$1:$AB$1501,$J2728+1))=0,"",INDEX('Daily Sale entry '!$AB$1:$AB$1501,$J2728+1)),1))</f>
        <v/>
      </c>
      <c r="F2728" s="6">
        <f>IF($J2728="","",IF($J2728&lt;=1500,N(INDEX('Daily Sale entry '!$AC$1:$AC$1501,$J2728+1))-IF(AND('Opening Balance'!$B$15=1,INDEX('Daily Sale entry '!$Z$1:$Z$1501,$J2728+1)="Online collection 网上收款",INDEX('Daily Sale entry '!$AA$1:$AA$1501,$J2728+1)&lt;&gt;""),N(INDEX('Daily Sale entry '!$AC$1:$AC$1501,$J2728+1))-TRUNC(N(INDEX('Daily Sale entry '!$AC$1:$AC$1501,$J2728+1))),0),N(INDEX('Daily Sale entry '!$S$1:$S$1501,$J2728-1499))-'Opening Balance'!$B$15*(N(INDEX('Daily Sale entry '!$S$1:$S$1501,$J2728-1499))-TRUNC(N(INDEX('Daily Sale entry '!$S$1:$S$1501,$J2728-1499))))))</f>
        <v/>
      </c>
      <c r="G2728" s="6">
        <f>IF($J2728="","",IF($J2728&lt;=1500,N(INDEX('Daily Sale entry '!$AD$1:$AD$1501,$J2728+1)),0))</f>
        <v/>
      </c>
      <c r="H2728" s="6">
        <f>IF($J2728="","",ROUND('Opening Balance'!$B$4+SUM($F$2:F2728)-SUM($G$2:G2728),2))</f>
        <v/>
      </c>
      <c r="J2728" s="21">
        <f>IFERROR(MATCH(ROW()-1,$L$2:$L$3001,0),"")</f>
        <v/>
      </c>
      <c r="K2728" s="34">
        <f>IF(AND('Daily Sale entry '!Q1228="Collection 收款",'Daily Sale entry '!R1228="Cheque 支票",'Daily Sale entry '!V1228&lt;&gt;""),'Daily Sale entry '!V1228+ROW()/10000000,"")</f>
        <v/>
      </c>
      <c r="L2728" s="21">
        <f>IF(K2728="","",COUNTIF($K$2:$K$3001,"&lt;"&amp;K2728)+1)</f>
        <v/>
      </c>
    </row>
    <row r="2729">
      <c r="A2729" s="5">
        <f>IF($J2729="","",IF($J2729&lt;=1500,INDEX('Daily Sale entry '!$X$1:$X$1501,$J2729+1),INDEX('Daily Sale entry '!$V$1:$V$1501,$J2729-1499)))</f>
        <v/>
      </c>
      <c r="B2729">
        <f>IF($J2729="","",IF($J2729&lt;=1500,INDEX('Daily Sale entry '!$Y$1:$Y$1501,$J2729+1)&amp;"","Buyer cheque banked 买家支票存入"&amp;IF(INDEX('Daily Sale entry '!$U$1:$U$1501,$J2729-1499)="","", " - "&amp;INDEX('Daily Sale entry '!$U$1:$U$1501,$J2729-1499))))</f>
        <v/>
      </c>
      <c r="C2729">
        <f>IF($J2729="","",IF($J2729&lt;=1500,INDEX('Daily Sale entry '!$Z$1:$Z$1501,$J2729+1)&amp;"","Cheque deposit 支票存入 (buyer 买家)"))</f>
        <v/>
      </c>
      <c r="D2729">
        <f>IF($J2729="","",IF($J2729&lt;=1500,INDEX('Daily Sale entry '!$AA$1:$AA$1501,$J2729+1)&amp;"",INDEX('Daily Sale entry '!$P$1:$P$1501,$J2729-1499)&amp;""))</f>
        <v/>
      </c>
      <c r="E2729">
        <f>IF($J2729="","",IF($J2729&lt;=1500,IF(N(INDEX('Daily Sale entry '!$AB$1:$AB$1501,$J2729+1))=0,"",INDEX('Daily Sale entry '!$AB$1:$AB$1501,$J2729+1)),1))</f>
        <v/>
      </c>
      <c r="F2729" s="6">
        <f>IF($J2729="","",IF($J2729&lt;=1500,N(INDEX('Daily Sale entry '!$AC$1:$AC$1501,$J2729+1))-IF(AND('Opening Balance'!$B$15=1,INDEX('Daily Sale entry '!$Z$1:$Z$1501,$J2729+1)="Online collection 网上收款",INDEX('Daily Sale entry '!$AA$1:$AA$1501,$J2729+1)&lt;&gt;""),N(INDEX('Daily Sale entry '!$AC$1:$AC$1501,$J2729+1))-TRUNC(N(INDEX('Daily Sale entry '!$AC$1:$AC$1501,$J2729+1))),0),N(INDEX('Daily Sale entry '!$S$1:$S$1501,$J2729-1499))-'Opening Balance'!$B$15*(N(INDEX('Daily Sale entry '!$S$1:$S$1501,$J2729-1499))-TRUNC(N(INDEX('Daily Sale entry '!$S$1:$S$1501,$J2729-1499))))))</f>
        <v/>
      </c>
      <c r="G2729" s="6">
        <f>IF($J2729="","",IF($J2729&lt;=1500,N(INDEX('Daily Sale entry '!$AD$1:$AD$1501,$J2729+1)),0))</f>
        <v/>
      </c>
      <c r="H2729" s="6">
        <f>IF($J2729="","",ROUND('Opening Balance'!$B$4+SUM($F$2:F2729)-SUM($G$2:G2729),2))</f>
        <v/>
      </c>
      <c r="J2729" s="21">
        <f>IFERROR(MATCH(ROW()-1,$L$2:$L$3001,0),"")</f>
        <v/>
      </c>
      <c r="K2729" s="34">
        <f>IF(AND('Daily Sale entry '!Q1229="Collection 收款",'Daily Sale entry '!R1229="Cheque 支票",'Daily Sale entry '!V1229&lt;&gt;""),'Daily Sale entry '!V1229+ROW()/10000000,"")</f>
        <v/>
      </c>
      <c r="L2729" s="21">
        <f>IF(K2729="","",COUNTIF($K$2:$K$3001,"&lt;"&amp;K2729)+1)</f>
        <v/>
      </c>
    </row>
    <row r="2730">
      <c r="A2730" s="5">
        <f>IF($J2730="","",IF($J2730&lt;=1500,INDEX('Daily Sale entry '!$X$1:$X$1501,$J2730+1),INDEX('Daily Sale entry '!$V$1:$V$1501,$J2730-1499)))</f>
        <v/>
      </c>
      <c r="B2730">
        <f>IF($J2730="","",IF($J2730&lt;=1500,INDEX('Daily Sale entry '!$Y$1:$Y$1501,$J2730+1)&amp;"","Buyer cheque banked 买家支票存入"&amp;IF(INDEX('Daily Sale entry '!$U$1:$U$1501,$J2730-1499)="","", " - "&amp;INDEX('Daily Sale entry '!$U$1:$U$1501,$J2730-1499))))</f>
        <v/>
      </c>
      <c r="C2730">
        <f>IF($J2730="","",IF($J2730&lt;=1500,INDEX('Daily Sale entry '!$Z$1:$Z$1501,$J2730+1)&amp;"","Cheque deposit 支票存入 (buyer 买家)"))</f>
        <v/>
      </c>
      <c r="D2730">
        <f>IF($J2730="","",IF($J2730&lt;=1500,INDEX('Daily Sale entry '!$AA$1:$AA$1501,$J2730+1)&amp;"",INDEX('Daily Sale entry '!$P$1:$P$1501,$J2730-1499)&amp;""))</f>
        <v/>
      </c>
      <c r="E2730">
        <f>IF($J2730="","",IF($J2730&lt;=1500,IF(N(INDEX('Daily Sale entry '!$AB$1:$AB$1501,$J2730+1))=0,"",INDEX('Daily Sale entry '!$AB$1:$AB$1501,$J2730+1)),1))</f>
        <v/>
      </c>
      <c r="F2730" s="6">
        <f>IF($J2730="","",IF($J2730&lt;=1500,N(INDEX('Daily Sale entry '!$AC$1:$AC$1501,$J2730+1))-IF(AND('Opening Balance'!$B$15=1,INDEX('Daily Sale entry '!$Z$1:$Z$1501,$J2730+1)="Online collection 网上收款",INDEX('Daily Sale entry '!$AA$1:$AA$1501,$J2730+1)&lt;&gt;""),N(INDEX('Daily Sale entry '!$AC$1:$AC$1501,$J2730+1))-TRUNC(N(INDEX('Daily Sale entry '!$AC$1:$AC$1501,$J2730+1))),0),N(INDEX('Daily Sale entry '!$S$1:$S$1501,$J2730-1499))-'Opening Balance'!$B$15*(N(INDEX('Daily Sale entry '!$S$1:$S$1501,$J2730-1499))-TRUNC(N(INDEX('Daily Sale entry '!$S$1:$S$1501,$J2730-1499))))))</f>
        <v/>
      </c>
      <c r="G2730" s="6">
        <f>IF($J2730="","",IF($J2730&lt;=1500,N(INDEX('Daily Sale entry '!$AD$1:$AD$1501,$J2730+1)),0))</f>
        <v/>
      </c>
      <c r="H2730" s="6">
        <f>IF($J2730="","",ROUND('Opening Balance'!$B$4+SUM($F$2:F2730)-SUM($G$2:G2730),2))</f>
        <v/>
      </c>
      <c r="J2730" s="21">
        <f>IFERROR(MATCH(ROW()-1,$L$2:$L$3001,0),"")</f>
        <v/>
      </c>
      <c r="K2730" s="34">
        <f>IF(AND('Daily Sale entry '!Q1230="Collection 收款",'Daily Sale entry '!R1230="Cheque 支票",'Daily Sale entry '!V1230&lt;&gt;""),'Daily Sale entry '!V1230+ROW()/10000000,"")</f>
        <v/>
      </c>
      <c r="L2730" s="21">
        <f>IF(K2730="","",COUNTIF($K$2:$K$3001,"&lt;"&amp;K2730)+1)</f>
        <v/>
      </c>
    </row>
    <row r="2731">
      <c r="A2731" s="5">
        <f>IF($J2731="","",IF($J2731&lt;=1500,INDEX('Daily Sale entry '!$X$1:$X$1501,$J2731+1),INDEX('Daily Sale entry '!$V$1:$V$1501,$J2731-1499)))</f>
        <v/>
      </c>
      <c r="B2731">
        <f>IF($J2731="","",IF($J2731&lt;=1500,INDEX('Daily Sale entry '!$Y$1:$Y$1501,$J2731+1)&amp;"","Buyer cheque banked 买家支票存入"&amp;IF(INDEX('Daily Sale entry '!$U$1:$U$1501,$J2731-1499)="","", " - "&amp;INDEX('Daily Sale entry '!$U$1:$U$1501,$J2731-1499))))</f>
        <v/>
      </c>
      <c r="C2731">
        <f>IF($J2731="","",IF($J2731&lt;=1500,INDEX('Daily Sale entry '!$Z$1:$Z$1501,$J2731+1)&amp;"","Cheque deposit 支票存入 (buyer 买家)"))</f>
        <v/>
      </c>
      <c r="D2731">
        <f>IF($J2731="","",IF($J2731&lt;=1500,INDEX('Daily Sale entry '!$AA$1:$AA$1501,$J2731+1)&amp;"",INDEX('Daily Sale entry '!$P$1:$P$1501,$J2731-1499)&amp;""))</f>
        <v/>
      </c>
      <c r="E2731">
        <f>IF($J2731="","",IF($J2731&lt;=1500,IF(N(INDEX('Daily Sale entry '!$AB$1:$AB$1501,$J2731+1))=0,"",INDEX('Daily Sale entry '!$AB$1:$AB$1501,$J2731+1)),1))</f>
        <v/>
      </c>
      <c r="F2731" s="6">
        <f>IF($J2731="","",IF($J2731&lt;=1500,N(INDEX('Daily Sale entry '!$AC$1:$AC$1501,$J2731+1))-IF(AND('Opening Balance'!$B$15=1,INDEX('Daily Sale entry '!$Z$1:$Z$1501,$J2731+1)="Online collection 网上收款",INDEX('Daily Sale entry '!$AA$1:$AA$1501,$J2731+1)&lt;&gt;""),N(INDEX('Daily Sale entry '!$AC$1:$AC$1501,$J2731+1))-TRUNC(N(INDEX('Daily Sale entry '!$AC$1:$AC$1501,$J2731+1))),0),N(INDEX('Daily Sale entry '!$S$1:$S$1501,$J2731-1499))-'Opening Balance'!$B$15*(N(INDEX('Daily Sale entry '!$S$1:$S$1501,$J2731-1499))-TRUNC(N(INDEX('Daily Sale entry '!$S$1:$S$1501,$J2731-1499))))))</f>
        <v/>
      </c>
      <c r="G2731" s="6">
        <f>IF($J2731="","",IF($J2731&lt;=1500,N(INDEX('Daily Sale entry '!$AD$1:$AD$1501,$J2731+1)),0))</f>
        <v/>
      </c>
      <c r="H2731" s="6">
        <f>IF($J2731="","",ROUND('Opening Balance'!$B$4+SUM($F$2:F2731)-SUM($G$2:G2731),2))</f>
        <v/>
      </c>
      <c r="J2731" s="21">
        <f>IFERROR(MATCH(ROW()-1,$L$2:$L$3001,0),"")</f>
        <v/>
      </c>
      <c r="K2731" s="34">
        <f>IF(AND('Daily Sale entry '!Q1231="Collection 收款",'Daily Sale entry '!R1231="Cheque 支票",'Daily Sale entry '!V1231&lt;&gt;""),'Daily Sale entry '!V1231+ROW()/10000000,"")</f>
        <v/>
      </c>
      <c r="L2731" s="21">
        <f>IF(K2731="","",COUNTIF($K$2:$K$3001,"&lt;"&amp;K2731)+1)</f>
        <v/>
      </c>
    </row>
    <row r="2732">
      <c r="A2732" s="5">
        <f>IF($J2732="","",IF($J2732&lt;=1500,INDEX('Daily Sale entry '!$X$1:$X$1501,$J2732+1),INDEX('Daily Sale entry '!$V$1:$V$1501,$J2732-1499)))</f>
        <v/>
      </c>
      <c r="B2732">
        <f>IF($J2732="","",IF($J2732&lt;=1500,INDEX('Daily Sale entry '!$Y$1:$Y$1501,$J2732+1)&amp;"","Buyer cheque banked 买家支票存入"&amp;IF(INDEX('Daily Sale entry '!$U$1:$U$1501,$J2732-1499)="","", " - "&amp;INDEX('Daily Sale entry '!$U$1:$U$1501,$J2732-1499))))</f>
        <v/>
      </c>
      <c r="C2732">
        <f>IF($J2732="","",IF($J2732&lt;=1500,INDEX('Daily Sale entry '!$Z$1:$Z$1501,$J2732+1)&amp;"","Cheque deposit 支票存入 (buyer 买家)"))</f>
        <v/>
      </c>
      <c r="D2732">
        <f>IF($J2732="","",IF($J2732&lt;=1500,INDEX('Daily Sale entry '!$AA$1:$AA$1501,$J2732+1)&amp;"",INDEX('Daily Sale entry '!$P$1:$P$1501,$J2732-1499)&amp;""))</f>
        <v/>
      </c>
      <c r="E2732">
        <f>IF($J2732="","",IF($J2732&lt;=1500,IF(N(INDEX('Daily Sale entry '!$AB$1:$AB$1501,$J2732+1))=0,"",INDEX('Daily Sale entry '!$AB$1:$AB$1501,$J2732+1)),1))</f>
        <v/>
      </c>
      <c r="F2732" s="6">
        <f>IF($J2732="","",IF($J2732&lt;=1500,N(INDEX('Daily Sale entry '!$AC$1:$AC$1501,$J2732+1))-IF(AND('Opening Balance'!$B$15=1,INDEX('Daily Sale entry '!$Z$1:$Z$1501,$J2732+1)="Online collection 网上收款",INDEX('Daily Sale entry '!$AA$1:$AA$1501,$J2732+1)&lt;&gt;""),N(INDEX('Daily Sale entry '!$AC$1:$AC$1501,$J2732+1))-TRUNC(N(INDEX('Daily Sale entry '!$AC$1:$AC$1501,$J2732+1))),0),N(INDEX('Daily Sale entry '!$S$1:$S$1501,$J2732-1499))-'Opening Balance'!$B$15*(N(INDEX('Daily Sale entry '!$S$1:$S$1501,$J2732-1499))-TRUNC(N(INDEX('Daily Sale entry '!$S$1:$S$1501,$J2732-1499))))))</f>
        <v/>
      </c>
      <c r="G2732" s="6">
        <f>IF($J2732="","",IF($J2732&lt;=1500,N(INDEX('Daily Sale entry '!$AD$1:$AD$1501,$J2732+1)),0))</f>
        <v/>
      </c>
      <c r="H2732" s="6">
        <f>IF($J2732="","",ROUND('Opening Balance'!$B$4+SUM($F$2:F2732)-SUM($G$2:G2732),2))</f>
        <v/>
      </c>
      <c r="J2732" s="21">
        <f>IFERROR(MATCH(ROW()-1,$L$2:$L$3001,0),"")</f>
        <v/>
      </c>
      <c r="K2732" s="34">
        <f>IF(AND('Daily Sale entry '!Q1232="Collection 收款",'Daily Sale entry '!R1232="Cheque 支票",'Daily Sale entry '!V1232&lt;&gt;""),'Daily Sale entry '!V1232+ROW()/10000000,"")</f>
        <v/>
      </c>
      <c r="L2732" s="21">
        <f>IF(K2732="","",COUNTIF($K$2:$K$3001,"&lt;"&amp;K2732)+1)</f>
        <v/>
      </c>
    </row>
    <row r="2733">
      <c r="A2733" s="5">
        <f>IF($J2733="","",IF($J2733&lt;=1500,INDEX('Daily Sale entry '!$X$1:$X$1501,$J2733+1),INDEX('Daily Sale entry '!$V$1:$V$1501,$J2733-1499)))</f>
        <v/>
      </c>
      <c r="B2733">
        <f>IF($J2733="","",IF($J2733&lt;=1500,INDEX('Daily Sale entry '!$Y$1:$Y$1501,$J2733+1)&amp;"","Buyer cheque banked 买家支票存入"&amp;IF(INDEX('Daily Sale entry '!$U$1:$U$1501,$J2733-1499)="","", " - "&amp;INDEX('Daily Sale entry '!$U$1:$U$1501,$J2733-1499))))</f>
        <v/>
      </c>
      <c r="C2733">
        <f>IF($J2733="","",IF($J2733&lt;=1500,INDEX('Daily Sale entry '!$Z$1:$Z$1501,$J2733+1)&amp;"","Cheque deposit 支票存入 (buyer 买家)"))</f>
        <v/>
      </c>
      <c r="D2733">
        <f>IF($J2733="","",IF($J2733&lt;=1500,INDEX('Daily Sale entry '!$AA$1:$AA$1501,$J2733+1)&amp;"",INDEX('Daily Sale entry '!$P$1:$P$1501,$J2733-1499)&amp;""))</f>
        <v/>
      </c>
      <c r="E2733">
        <f>IF($J2733="","",IF($J2733&lt;=1500,IF(N(INDEX('Daily Sale entry '!$AB$1:$AB$1501,$J2733+1))=0,"",INDEX('Daily Sale entry '!$AB$1:$AB$1501,$J2733+1)),1))</f>
        <v/>
      </c>
      <c r="F2733" s="6">
        <f>IF($J2733="","",IF($J2733&lt;=1500,N(INDEX('Daily Sale entry '!$AC$1:$AC$1501,$J2733+1))-IF(AND('Opening Balance'!$B$15=1,INDEX('Daily Sale entry '!$Z$1:$Z$1501,$J2733+1)="Online collection 网上收款",INDEX('Daily Sale entry '!$AA$1:$AA$1501,$J2733+1)&lt;&gt;""),N(INDEX('Daily Sale entry '!$AC$1:$AC$1501,$J2733+1))-TRUNC(N(INDEX('Daily Sale entry '!$AC$1:$AC$1501,$J2733+1))),0),N(INDEX('Daily Sale entry '!$S$1:$S$1501,$J2733-1499))-'Opening Balance'!$B$15*(N(INDEX('Daily Sale entry '!$S$1:$S$1501,$J2733-1499))-TRUNC(N(INDEX('Daily Sale entry '!$S$1:$S$1501,$J2733-1499))))))</f>
        <v/>
      </c>
      <c r="G2733" s="6">
        <f>IF($J2733="","",IF($J2733&lt;=1500,N(INDEX('Daily Sale entry '!$AD$1:$AD$1501,$J2733+1)),0))</f>
        <v/>
      </c>
      <c r="H2733" s="6">
        <f>IF($J2733="","",ROUND('Opening Balance'!$B$4+SUM($F$2:F2733)-SUM($G$2:G2733),2))</f>
        <v/>
      </c>
      <c r="J2733" s="21">
        <f>IFERROR(MATCH(ROW()-1,$L$2:$L$3001,0),"")</f>
        <v/>
      </c>
      <c r="K2733" s="34">
        <f>IF(AND('Daily Sale entry '!Q1233="Collection 收款",'Daily Sale entry '!R1233="Cheque 支票",'Daily Sale entry '!V1233&lt;&gt;""),'Daily Sale entry '!V1233+ROW()/10000000,"")</f>
        <v/>
      </c>
      <c r="L2733" s="21">
        <f>IF(K2733="","",COUNTIF($K$2:$K$3001,"&lt;"&amp;K2733)+1)</f>
        <v/>
      </c>
    </row>
    <row r="2734">
      <c r="A2734" s="5">
        <f>IF($J2734="","",IF($J2734&lt;=1500,INDEX('Daily Sale entry '!$X$1:$X$1501,$J2734+1),INDEX('Daily Sale entry '!$V$1:$V$1501,$J2734-1499)))</f>
        <v/>
      </c>
      <c r="B2734">
        <f>IF($J2734="","",IF($J2734&lt;=1500,INDEX('Daily Sale entry '!$Y$1:$Y$1501,$J2734+1)&amp;"","Buyer cheque banked 买家支票存入"&amp;IF(INDEX('Daily Sale entry '!$U$1:$U$1501,$J2734-1499)="","", " - "&amp;INDEX('Daily Sale entry '!$U$1:$U$1501,$J2734-1499))))</f>
        <v/>
      </c>
      <c r="C2734">
        <f>IF($J2734="","",IF($J2734&lt;=1500,INDEX('Daily Sale entry '!$Z$1:$Z$1501,$J2734+1)&amp;"","Cheque deposit 支票存入 (buyer 买家)"))</f>
        <v/>
      </c>
      <c r="D2734">
        <f>IF($J2734="","",IF($J2734&lt;=1500,INDEX('Daily Sale entry '!$AA$1:$AA$1501,$J2734+1)&amp;"",INDEX('Daily Sale entry '!$P$1:$P$1501,$J2734-1499)&amp;""))</f>
        <v/>
      </c>
      <c r="E2734">
        <f>IF($J2734="","",IF($J2734&lt;=1500,IF(N(INDEX('Daily Sale entry '!$AB$1:$AB$1501,$J2734+1))=0,"",INDEX('Daily Sale entry '!$AB$1:$AB$1501,$J2734+1)),1))</f>
        <v/>
      </c>
      <c r="F2734" s="6">
        <f>IF($J2734="","",IF($J2734&lt;=1500,N(INDEX('Daily Sale entry '!$AC$1:$AC$1501,$J2734+1))-IF(AND('Opening Balance'!$B$15=1,INDEX('Daily Sale entry '!$Z$1:$Z$1501,$J2734+1)="Online collection 网上收款",INDEX('Daily Sale entry '!$AA$1:$AA$1501,$J2734+1)&lt;&gt;""),N(INDEX('Daily Sale entry '!$AC$1:$AC$1501,$J2734+1))-TRUNC(N(INDEX('Daily Sale entry '!$AC$1:$AC$1501,$J2734+1))),0),N(INDEX('Daily Sale entry '!$S$1:$S$1501,$J2734-1499))-'Opening Balance'!$B$15*(N(INDEX('Daily Sale entry '!$S$1:$S$1501,$J2734-1499))-TRUNC(N(INDEX('Daily Sale entry '!$S$1:$S$1501,$J2734-1499))))))</f>
        <v/>
      </c>
      <c r="G2734" s="6">
        <f>IF($J2734="","",IF($J2734&lt;=1500,N(INDEX('Daily Sale entry '!$AD$1:$AD$1501,$J2734+1)),0))</f>
        <v/>
      </c>
      <c r="H2734" s="6">
        <f>IF($J2734="","",ROUND('Opening Balance'!$B$4+SUM($F$2:F2734)-SUM($G$2:G2734),2))</f>
        <v/>
      </c>
      <c r="J2734" s="21">
        <f>IFERROR(MATCH(ROW()-1,$L$2:$L$3001,0),"")</f>
        <v/>
      </c>
      <c r="K2734" s="34">
        <f>IF(AND('Daily Sale entry '!Q1234="Collection 收款",'Daily Sale entry '!R1234="Cheque 支票",'Daily Sale entry '!V1234&lt;&gt;""),'Daily Sale entry '!V1234+ROW()/10000000,"")</f>
        <v/>
      </c>
      <c r="L2734" s="21">
        <f>IF(K2734="","",COUNTIF($K$2:$K$3001,"&lt;"&amp;K2734)+1)</f>
        <v/>
      </c>
    </row>
    <row r="2735">
      <c r="A2735" s="5">
        <f>IF($J2735="","",IF($J2735&lt;=1500,INDEX('Daily Sale entry '!$X$1:$X$1501,$J2735+1),INDEX('Daily Sale entry '!$V$1:$V$1501,$J2735-1499)))</f>
        <v/>
      </c>
      <c r="B2735">
        <f>IF($J2735="","",IF($J2735&lt;=1500,INDEX('Daily Sale entry '!$Y$1:$Y$1501,$J2735+1)&amp;"","Buyer cheque banked 买家支票存入"&amp;IF(INDEX('Daily Sale entry '!$U$1:$U$1501,$J2735-1499)="","", " - "&amp;INDEX('Daily Sale entry '!$U$1:$U$1501,$J2735-1499))))</f>
        <v/>
      </c>
      <c r="C2735">
        <f>IF($J2735="","",IF($J2735&lt;=1500,INDEX('Daily Sale entry '!$Z$1:$Z$1501,$J2735+1)&amp;"","Cheque deposit 支票存入 (buyer 买家)"))</f>
        <v/>
      </c>
      <c r="D2735">
        <f>IF($J2735="","",IF($J2735&lt;=1500,INDEX('Daily Sale entry '!$AA$1:$AA$1501,$J2735+1)&amp;"",INDEX('Daily Sale entry '!$P$1:$P$1501,$J2735-1499)&amp;""))</f>
        <v/>
      </c>
      <c r="E2735">
        <f>IF($J2735="","",IF($J2735&lt;=1500,IF(N(INDEX('Daily Sale entry '!$AB$1:$AB$1501,$J2735+1))=0,"",INDEX('Daily Sale entry '!$AB$1:$AB$1501,$J2735+1)),1))</f>
        <v/>
      </c>
      <c r="F2735" s="6">
        <f>IF($J2735="","",IF($J2735&lt;=1500,N(INDEX('Daily Sale entry '!$AC$1:$AC$1501,$J2735+1))-IF(AND('Opening Balance'!$B$15=1,INDEX('Daily Sale entry '!$Z$1:$Z$1501,$J2735+1)="Online collection 网上收款",INDEX('Daily Sale entry '!$AA$1:$AA$1501,$J2735+1)&lt;&gt;""),N(INDEX('Daily Sale entry '!$AC$1:$AC$1501,$J2735+1))-TRUNC(N(INDEX('Daily Sale entry '!$AC$1:$AC$1501,$J2735+1))),0),N(INDEX('Daily Sale entry '!$S$1:$S$1501,$J2735-1499))-'Opening Balance'!$B$15*(N(INDEX('Daily Sale entry '!$S$1:$S$1501,$J2735-1499))-TRUNC(N(INDEX('Daily Sale entry '!$S$1:$S$1501,$J2735-1499))))))</f>
        <v/>
      </c>
      <c r="G2735" s="6">
        <f>IF($J2735="","",IF($J2735&lt;=1500,N(INDEX('Daily Sale entry '!$AD$1:$AD$1501,$J2735+1)),0))</f>
        <v/>
      </c>
      <c r="H2735" s="6">
        <f>IF($J2735="","",ROUND('Opening Balance'!$B$4+SUM($F$2:F2735)-SUM($G$2:G2735),2))</f>
        <v/>
      </c>
      <c r="J2735" s="21">
        <f>IFERROR(MATCH(ROW()-1,$L$2:$L$3001,0),"")</f>
        <v/>
      </c>
      <c r="K2735" s="34">
        <f>IF(AND('Daily Sale entry '!Q1235="Collection 收款",'Daily Sale entry '!R1235="Cheque 支票",'Daily Sale entry '!V1235&lt;&gt;""),'Daily Sale entry '!V1235+ROW()/10000000,"")</f>
        <v/>
      </c>
      <c r="L2735" s="21">
        <f>IF(K2735="","",COUNTIF($K$2:$K$3001,"&lt;"&amp;K2735)+1)</f>
        <v/>
      </c>
    </row>
    <row r="2736">
      <c r="A2736" s="5">
        <f>IF($J2736="","",IF($J2736&lt;=1500,INDEX('Daily Sale entry '!$X$1:$X$1501,$J2736+1),INDEX('Daily Sale entry '!$V$1:$V$1501,$J2736-1499)))</f>
        <v/>
      </c>
      <c r="B2736">
        <f>IF($J2736="","",IF($J2736&lt;=1500,INDEX('Daily Sale entry '!$Y$1:$Y$1501,$J2736+1)&amp;"","Buyer cheque banked 买家支票存入"&amp;IF(INDEX('Daily Sale entry '!$U$1:$U$1501,$J2736-1499)="","", " - "&amp;INDEX('Daily Sale entry '!$U$1:$U$1501,$J2736-1499))))</f>
        <v/>
      </c>
      <c r="C2736">
        <f>IF($J2736="","",IF($J2736&lt;=1500,INDEX('Daily Sale entry '!$Z$1:$Z$1501,$J2736+1)&amp;"","Cheque deposit 支票存入 (buyer 买家)"))</f>
        <v/>
      </c>
      <c r="D2736">
        <f>IF($J2736="","",IF($J2736&lt;=1500,INDEX('Daily Sale entry '!$AA$1:$AA$1501,$J2736+1)&amp;"",INDEX('Daily Sale entry '!$P$1:$P$1501,$J2736-1499)&amp;""))</f>
        <v/>
      </c>
      <c r="E2736">
        <f>IF($J2736="","",IF($J2736&lt;=1500,IF(N(INDEX('Daily Sale entry '!$AB$1:$AB$1501,$J2736+1))=0,"",INDEX('Daily Sale entry '!$AB$1:$AB$1501,$J2736+1)),1))</f>
        <v/>
      </c>
      <c r="F2736" s="6">
        <f>IF($J2736="","",IF($J2736&lt;=1500,N(INDEX('Daily Sale entry '!$AC$1:$AC$1501,$J2736+1))-IF(AND('Opening Balance'!$B$15=1,INDEX('Daily Sale entry '!$Z$1:$Z$1501,$J2736+1)="Online collection 网上收款",INDEX('Daily Sale entry '!$AA$1:$AA$1501,$J2736+1)&lt;&gt;""),N(INDEX('Daily Sale entry '!$AC$1:$AC$1501,$J2736+1))-TRUNC(N(INDEX('Daily Sale entry '!$AC$1:$AC$1501,$J2736+1))),0),N(INDEX('Daily Sale entry '!$S$1:$S$1501,$J2736-1499))-'Opening Balance'!$B$15*(N(INDEX('Daily Sale entry '!$S$1:$S$1501,$J2736-1499))-TRUNC(N(INDEX('Daily Sale entry '!$S$1:$S$1501,$J2736-1499))))))</f>
        <v/>
      </c>
      <c r="G2736" s="6">
        <f>IF($J2736="","",IF($J2736&lt;=1500,N(INDEX('Daily Sale entry '!$AD$1:$AD$1501,$J2736+1)),0))</f>
        <v/>
      </c>
      <c r="H2736" s="6">
        <f>IF($J2736="","",ROUND('Opening Balance'!$B$4+SUM($F$2:F2736)-SUM($G$2:G2736),2))</f>
        <v/>
      </c>
      <c r="J2736" s="21">
        <f>IFERROR(MATCH(ROW()-1,$L$2:$L$3001,0),"")</f>
        <v/>
      </c>
      <c r="K2736" s="34">
        <f>IF(AND('Daily Sale entry '!Q1236="Collection 收款",'Daily Sale entry '!R1236="Cheque 支票",'Daily Sale entry '!V1236&lt;&gt;""),'Daily Sale entry '!V1236+ROW()/10000000,"")</f>
        <v/>
      </c>
      <c r="L2736" s="21">
        <f>IF(K2736="","",COUNTIF($K$2:$K$3001,"&lt;"&amp;K2736)+1)</f>
        <v/>
      </c>
    </row>
    <row r="2737">
      <c r="A2737" s="5">
        <f>IF($J2737="","",IF($J2737&lt;=1500,INDEX('Daily Sale entry '!$X$1:$X$1501,$J2737+1),INDEX('Daily Sale entry '!$V$1:$V$1501,$J2737-1499)))</f>
        <v/>
      </c>
      <c r="B2737">
        <f>IF($J2737="","",IF($J2737&lt;=1500,INDEX('Daily Sale entry '!$Y$1:$Y$1501,$J2737+1)&amp;"","Buyer cheque banked 买家支票存入"&amp;IF(INDEX('Daily Sale entry '!$U$1:$U$1501,$J2737-1499)="","", " - "&amp;INDEX('Daily Sale entry '!$U$1:$U$1501,$J2737-1499))))</f>
        <v/>
      </c>
      <c r="C2737">
        <f>IF($J2737="","",IF($J2737&lt;=1500,INDEX('Daily Sale entry '!$Z$1:$Z$1501,$J2737+1)&amp;"","Cheque deposit 支票存入 (buyer 买家)"))</f>
        <v/>
      </c>
      <c r="D2737">
        <f>IF($J2737="","",IF($J2737&lt;=1500,INDEX('Daily Sale entry '!$AA$1:$AA$1501,$J2737+1)&amp;"",INDEX('Daily Sale entry '!$P$1:$P$1501,$J2737-1499)&amp;""))</f>
        <v/>
      </c>
      <c r="E2737">
        <f>IF($J2737="","",IF($J2737&lt;=1500,IF(N(INDEX('Daily Sale entry '!$AB$1:$AB$1501,$J2737+1))=0,"",INDEX('Daily Sale entry '!$AB$1:$AB$1501,$J2737+1)),1))</f>
        <v/>
      </c>
      <c r="F2737" s="6">
        <f>IF($J2737="","",IF($J2737&lt;=1500,N(INDEX('Daily Sale entry '!$AC$1:$AC$1501,$J2737+1))-IF(AND('Opening Balance'!$B$15=1,INDEX('Daily Sale entry '!$Z$1:$Z$1501,$J2737+1)="Online collection 网上收款",INDEX('Daily Sale entry '!$AA$1:$AA$1501,$J2737+1)&lt;&gt;""),N(INDEX('Daily Sale entry '!$AC$1:$AC$1501,$J2737+1))-TRUNC(N(INDEX('Daily Sale entry '!$AC$1:$AC$1501,$J2737+1))),0),N(INDEX('Daily Sale entry '!$S$1:$S$1501,$J2737-1499))-'Opening Balance'!$B$15*(N(INDEX('Daily Sale entry '!$S$1:$S$1501,$J2737-1499))-TRUNC(N(INDEX('Daily Sale entry '!$S$1:$S$1501,$J2737-1499))))))</f>
        <v/>
      </c>
      <c r="G2737" s="6">
        <f>IF($J2737="","",IF($J2737&lt;=1500,N(INDEX('Daily Sale entry '!$AD$1:$AD$1501,$J2737+1)),0))</f>
        <v/>
      </c>
      <c r="H2737" s="6">
        <f>IF($J2737="","",ROUND('Opening Balance'!$B$4+SUM($F$2:F2737)-SUM($G$2:G2737),2))</f>
        <v/>
      </c>
      <c r="J2737" s="21">
        <f>IFERROR(MATCH(ROW()-1,$L$2:$L$3001,0),"")</f>
        <v/>
      </c>
      <c r="K2737" s="34">
        <f>IF(AND('Daily Sale entry '!Q1237="Collection 收款",'Daily Sale entry '!R1237="Cheque 支票",'Daily Sale entry '!V1237&lt;&gt;""),'Daily Sale entry '!V1237+ROW()/10000000,"")</f>
        <v/>
      </c>
      <c r="L2737" s="21">
        <f>IF(K2737="","",COUNTIF($K$2:$K$3001,"&lt;"&amp;K2737)+1)</f>
        <v/>
      </c>
    </row>
    <row r="2738">
      <c r="A2738" s="5">
        <f>IF($J2738="","",IF($J2738&lt;=1500,INDEX('Daily Sale entry '!$X$1:$X$1501,$J2738+1),INDEX('Daily Sale entry '!$V$1:$V$1501,$J2738-1499)))</f>
        <v/>
      </c>
      <c r="B2738">
        <f>IF($J2738="","",IF($J2738&lt;=1500,INDEX('Daily Sale entry '!$Y$1:$Y$1501,$J2738+1)&amp;"","Buyer cheque banked 买家支票存入"&amp;IF(INDEX('Daily Sale entry '!$U$1:$U$1501,$J2738-1499)="","", " - "&amp;INDEX('Daily Sale entry '!$U$1:$U$1501,$J2738-1499))))</f>
        <v/>
      </c>
      <c r="C2738">
        <f>IF($J2738="","",IF($J2738&lt;=1500,INDEX('Daily Sale entry '!$Z$1:$Z$1501,$J2738+1)&amp;"","Cheque deposit 支票存入 (buyer 买家)"))</f>
        <v/>
      </c>
      <c r="D2738">
        <f>IF($J2738="","",IF($J2738&lt;=1500,INDEX('Daily Sale entry '!$AA$1:$AA$1501,$J2738+1)&amp;"",INDEX('Daily Sale entry '!$P$1:$P$1501,$J2738-1499)&amp;""))</f>
        <v/>
      </c>
      <c r="E2738">
        <f>IF($J2738="","",IF($J2738&lt;=1500,IF(N(INDEX('Daily Sale entry '!$AB$1:$AB$1501,$J2738+1))=0,"",INDEX('Daily Sale entry '!$AB$1:$AB$1501,$J2738+1)),1))</f>
        <v/>
      </c>
      <c r="F2738" s="6">
        <f>IF($J2738="","",IF($J2738&lt;=1500,N(INDEX('Daily Sale entry '!$AC$1:$AC$1501,$J2738+1))-IF(AND('Opening Balance'!$B$15=1,INDEX('Daily Sale entry '!$Z$1:$Z$1501,$J2738+1)="Online collection 网上收款",INDEX('Daily Sale entry '!$AA$1:$AA$1501,$J2738+1)&lt;&gt;""),N(INDEX('Daily Sale entry '!$AC$1:$AC$1501,$J2738+1))-TRUNC(N(INDEX('Daily Sale entry '!$AC$1:$AC$1501,$J2738+1))),0),N(INDEX('Daily Sale entry '!$S$1:$S$1501,$J2738-1499))-'Opening Balance'!$B$15*(N(INDEX('Daily Sale entry '!$S$1:$S$1501,$J2738-1499))-TRUNC(N(INDEX('Daily Sale entry '!$S$1:$S$1501,$J2738-1499))))))</f>
        <v/>
      </c>
      <c r="G2738" s="6">
        <f>IF($J2738="","",IF($J2738&lt;=1500,N(INDEX('Daily Sale entry '!$AD$1:$AD$1501,$J2738+1)),0))</f>
        <v/>
      </c>
      <c r="H2738" s="6">
        <f>IF($J2738="","",ROUND('Opening Balance'!$B$4+SUM($F$2:F2738)-SUM($G$2:G2738),2))</f>
        <v/>
      </c>
      <c r="J2738" s="21">
        <f>IFERROR(MATCH(ROW()-1,$L$2:$L$3001,0),"")</f>
        <v/>
      </c>
      <c r="K2738" s="34">
        <f>IF(AND('Daily Sale entry '!Q1238="Collection 收款",'Daily Sale entry '!R1238="Cheque 支票",'Daily Sale entry '!V1238&lt;&gt;""),'Daily Sale entry '!V1238+ROW()/10000000,"")</f>
        <v/>
      </c>
      <c r="L2738" s="21">
        <f>IF(K2738="","",COUNTIF($K$2:$K$3001,"&lt;"&amp;K2738)+1)</f>
        <v/>
      </c>
    </row>
    <row r="2739">
      <c r="A2739" s="5">
        <f>IF($J2739="","",IF($J2739&lt;=1500,INDEX('Daily Sale entry '!$X$1:$X$1501,$J2739+1),INDEX('Daily Sale entry '!$V$1:$V$1501,$J2739-1499)))</f>
        <v/>
      </c>
      <c r="B2739">
        <f>IF($J2739="","",IF($J2739&lt;=1500,INDEX('Daily Sale entry '!$Y$1:$Y$1501,$J2739+1)&amp;"","Buyer cheque banked 买家支票存入"&amp;IF(INDEX('Daily Sale entry '!$U$1:$U$1501,$J2739-1499)="","", " - "&amp;INDEX('Daily Sale entry '!$U$1:$U$1501,$J2739-1499))))</f>
        <v/>
      </c>
      <c r="C2739">
        <f>IF($J2739="","",IF($J2739&lt;=1500,INDEX('Daily Sale entry '!$Z$1:$Z$1501,$J2739+1)&amp;"","Cheque deposit 支票存入 (buyer 买家)"))</f>
        <v/>
      </c>
      <c r="D2739">
        <f>IF($J2739="","",IF($J2739&lt;=1500,INDEX('Daily Sale entry '!$AA$1:$AA$1501,$J2739+1)&amp;"",INDEX('Daily Sale entry '!$P$1:$P$1501,$J2739-1499)&amp;""))</f>
        <v/>
      </c>
      <c r="E2739">
        <f>IF($J2739="","",IF($J2739&lt;=1500,IF(N(INDEX('Daily Sale entry '!$AB$1:$AB$1501,$J2739+1))=0,"",INDEX('Daily Sale entry '!$AB$1:$AB$1501,$J2739+1)),1))</f>
        <v/>
      </c>
      <c r="F2739" s="6">
        <f>IF($J2739="","",IF($J2739&lt;=1500,N(INDEX('Daily Sale entry '!$AC$1:$AC$1501,$J2739+1))-IF(AND('Opening Balance'!$B$15=1,INDEX('Daily Sale entry '!$Z$1:$Z$1501,$J2739+1)="Online collection 网上收款",INDEX('Daily Sale entry '!$AA$1:$AA$1501,$J2739+1)&lt;&gt;""),N(INDEX('Daily Sale entry '!$AC$1:$AC$1501,$J2739+1))-TRUNC(N(INDEX('Daily Sale entry '!$AC$1:$AC$1501,$J2739+1))),0),N(INDEX('Daily Sale entry '!$S$1:$S$1501,$J2739-1499))-'Opening Balance'!$B$15*(N(INDEX('Daily Sale entry '!$S$1:$S$1501,$J2739-1499))-TRUNC(N(INDEX('Daily Sale entry '!$S$1:$S$1501,$J2739-1499))))))</f>
        <v/>
      </c>
      <c r="G2739" s="6">
        <f>IF($J2739="","",IF($J2739&lt;=1500,N(INDEX('Daily Sale entry '!$AD$1:$AD$1501,$J2739+1)),0))</f>
        <v/>
      </c>
      <c r="H2739" s="6">
        <f>IF($J2739="","",ROUND('Opening Balance'!$B$4+SUM($F$2:F2739)-SUM($G$2:G2739),2))</f>
        <v/>
      </c>
      <c r="J2739" s="21">
        <f>IFERROR(MATCH(ROW()-1,$L$2:$L$3001,0),"")</f>
        <v/>
      </c>
      <c r="K2739" s="34">
        <f>IF(AND('Daily Sale entry '!Q1239="Collection 收款",'Daily Sale entry '!R1239="Cheque 支票",'Daily Sale entry '!V1239&lt;&gt;""),'Daily Sale entry '!V1239+ROW()/10000000,"")</f>
        <v/>
      </c>
      <c r="L2739" s="21">
        <f>IF(K2739="","",COUNTIF($K$2:$K$3001,"&lt;"&amp;K2739)+1)</f>
        <v/>
      </c>
    </row>
    <row r="2740">
      <c r="A2740" s="5">
        <f>IF($J2740="","",IF($J2740&lt;=1500,INDEX('Daily Sale entry '!$X$1:$X$1501,$J2740+1),INDEX('Daily Sale entry '!$V$1:$V$1501,$J2740-1499)))</f>
        <v/>
      </c>
      <c r="B2740">
        <f>IF($J2740="","",IF($J2740&lt;=1500,INDEX('Daily Sale entry '!$Y$1:$Y$1501,$J2740+1)&amp;"","Buyer cheque banked 买家支票存入"&amp;IF(INDEX('Daily Sale entry '!$U$1:$U$1501,$J2740-1499)="","", " - "&amp;INDEX('Daily Sale entry '!$U$1:$U$1501,$J2740-1499))))</f>
        <v/>
      </c>
      <c r="C2740">
        <f>IF($J2740="","",IF($J2740&lt;=1500,INDEX('Daily Sale entry '!$Z$1:$Z$1501,$J2740+1)&amp;"","Cheque deposit 支票存入 (buyer 买家)"))</f>
        <v/>
      </c>
      <c r="D2740">
        <f>IF($J2740="","",IF($J2740&lt;=1500,INDEX('Daily Sale entry '!$AA$1:$AA$1501,$J2740+1)&amp;"",INDEX('Daily Sale entry '!$P$1:$P$1501,$J2740-1499)&amp;""))</f>
        <v/>
      </c>
      <c r="E2740">
        <f>IF($J2740="","",IF($J2740&lt;=1500,IF(N(INDEX('Daily Sale entry '!$AB$1:$AB$1501,$J2740+1))=0,"",INDEX('Daily Sale entry '!$AB$1:$AB$1501,$J2740+1)),1))</f>
        <v/>
      </c>
      <c r="F2740" s="6">
        <f>IF($J2740="","",IF($J2740&lt;=1500,N(INDEX('Daily Sale entry '!$AC$1:$AC$1501,$J2740+1))-IF(AND('Opening Balance'!$B$15=1,INDEX('Daily Sale entry '!$Z$1:$Z$1501,$J2740+1)="Online collection 网上收款",INDEX('Daily Sale entry '!$AA$1:$AA$1501,$J2740+1)&lt;&gt;""),N(INDEX('Daily Sale entry '!$AC$1:$AC$1501,$J2740+1))-TRUNC(N(INDEX('Daily Sale entry '!$AC$1:$AC$1501,$J2740+1))),0),N(INDEX('Daily Sale entry '!$S$1:$S$1501,$J2740-1499))-'Opening Balance'!$B$15*(N(INDEX('Daily Sale entry '!$S$1:$S$1501,$J2740-1499))-TRUNC(N(INDEX('Daily Sale entry '!$S$1:$S$1501,$J2740-1499))))))</f>
        <v/>
      </c>
      <c r="G2740" s="6">
        <f>IF($J2740="","",IF($J2740&lt;=1500,N(INDEX('Daily Sale entry '!$AD$1:$AD$1501,$J2740+1)),0))</f>
        <v/>
      </c>
      <c r="H2740" s="6">
        <f>IF($J2740="","",ROUND('Opening Balance'!$B$4+SUM($F$2:F2740)-SUM($G$2:G2740),2))</f>
        <v/>
      </c>
      <c r="J2740" s="21">
        <f>IFERROR(MATCH(ROW()-1,$L$2:$L$3001,0),"")</f>
        <v/>
      </c>
      <c r="K2740" s="34">
        <f>IF(AND('Daily Sale entry '!Q1240="Collection 收款",'Daily Sale entry '!R1240="Cheque 支票",'Daily Sale entry '!V1240&lt;&gt;""),'Daily Sale entry '!V1240+ROW()/10000000,"")</f>
        <v/>
      </c>
      <c r="L2740" s="21">
        <f>IF(K2740="","",COUNTIF($K$2:$K$3001,"&lt;"&amp;K2740)+1)</f>
        <v/>
      </c>
    </row>
    <row r="2741">
      <c r="A2741" s="5">
        <f>IF($J2741="","",IF($J2741&lt;=1500,INDEX('Daily Sale entry '!$X$1:$X$1501,$J2741+1),INDEX('Daily Sale entry '!$V$1:$V$1501,$J2741-1499)))</f>
        <v/>
      </c>
      <c r="B2741">
        <f>IF($J2741="","",IF($J2741&lt;=1500,INDEX('Daily Sale entry '!$Y$1:$Y$1501,$J2741+1)&amp;"","Buyer cheque banked 买家支票存入"&amp;IF(INDEX('Daily Sale entry '!$U$1:$U$1501,$J2741-1499)="","", " - "&amp;INDEX('Daily Sale entry '!$U$1:$U$1501,$J2741-1499))))</f>
        <v/>
      </c>
      <c r="C2741">
        <f>IF($J2741="","",IF($J2741&lt;=1500,INDEX('Daily Sale entry '!$Z$1:$Z$1501,$J2741+1)&amp;"","Cheque deposit 支票存入 (buyer 买家)"))</f>
        <v/>
      </c>
      <c r="D2741">
        <f>IF($J2741="","",IF($J2741&lt;=1500,INDEX('Daily Sale entry '!$AA$1:$AA$1501,$J2741+1)&amp;"",INDEX('Daily Sale entry '!$P$1:$P$1501,$J2741-1499)&amp;""))</f>
        <v/>
      </c>
      <c r="E2741">
        <f>IF($J2741="","",IF($J2741&lt;=1500,IF(N(INDEX('Daily Sale entry '!$AB$1:$AB$1501,$J2741+1))=0,"",INDEX('Daily Sale entry '!$AB$1:$AB$1501,$J2741+1)),1))</f>
        <v/>
      </c>
      <c r="F2741" s="6">
        <f>IF($J2741="","",IF($J2741&lt;=1500,N(INDEX('Daily Sale entry '!$AC$1:$AC$1501,$J2741+1))-IF(AND('Opening Balance'!$B$15=1,INDEX('Daily Sale entry '!$Z$1:$Z$1501,$J2741+1)="Online collection 网上收款",INDEX('Daily Sale entry '!$AA$1:$AA$1501,$J2741+1)&lt;&gt;""),N(INDEX('Daily Sale entry '!$AC$1:$AC$1501,$J2741+1))-TRUNC(N(INDEX('Daily Sale entry '!$AC$1:$AC$1501,$J2741+1))),0),N(INDEX('Daily Sale entry '!$S$1:$S$1501,$J2741-1499))-'Opening Balance'!$B$15*(N(INDEX('Daily Sale entry '!$S$1:$S$1501,$J2741-1499))-TRUNC(N(INDEX('Daily Sale entry '!$S$1:$S$1501,$J2741-1499))))))</f>
        <v/>
      </c>
      <c r="G2741" s="6">
        <f>IF($J2741="","",IF($J2741&lt;=1500,N(INDEX('Daily Sale entry '!$AD$1:$AD$1501,$J2741+1)),0))</f>
        <v/>
      </c>
      <c r="H2741" s="6">
        <f>IF($J2741="","",ROUND('Opening Balance'!$B$4+SUM($F$2:F2741)-SUM($G$2:G2741),2))</f>
        <v/>
      </c>
      <c r="J2741" s="21">
        <f>IFERROR(MATCH(ROW()-1,$L$2:$L$3001,0),"")</f>
        <v/>
      </c>
      <c r="K2741" s="34">
        <f>IF(AND('Daily Sale entry '!Q1241="Collection 收款",'Daily Sale entry '!R1241="Cheque 支票",'Daily Sale entry '!V1241&lt;&gt;""),'Daily Sale entry '!V1241+ROW()/10000000,"")</f>
        <v/>
      </c>
      <c r="L2741" s="21">
        <f>IF(K2741="","",COUNTIF($K$2:$K$3001,"&lt;"&amp;K2741)+1)</f>
        <v/>
      </c>
    </row>
    <row r="2742">
      <c r="A2742" s="5">
        <f>IF($J2742="","",IF($J2742&lt;=1500,INDEX('Daily Sale entry '!$X$1:$X$1501,$J2742+1),INDEX('Daily Sale entry '!$V$1:$V$1501,$J2742-1499)))</f>
        <v/>
      </c>
      <c r="B2742">
        <f>IF($J2742="","",IF($J2742&lt;=1500,INDEX('Daily Sale entry '!$Y$1:$Y$1501,$J2742+1)&amp;"","Buyer cheque banked 买家支票存入"&amp;IF(INDEX('Daily Sale entry '!$U$1:$U$1501,$J2742-1499)="","", " - "&amp;INDEX('Daily Sale entry '!$U$1:$U$1501,$J2742-1499))))</f>
        <v/>
      </c>
      <c r="C2742">
        <f>IF($J2742="","",IF($J2742&lt;=1500,INDEX('Daily Sale entry '!$Z$1:$Z$1501,$J2742+1)&amp;"","Cheque deposit 支票存入 (buyer 买家)"))</f>
        <v/>
      </c>
      <c r="D2742">
        <f>IF($J2742="","",IF($J2742&lt;=1500,INDEX('Daily Sale entry '!$AA$1:$AA$1501,$J2742+1)&amp;"",INDEX('Daily Sale entry '!$P$1:$P$1501,$J2742-1499)&amp;""))</f>
        <v/>
      </c>
      <c r="E2742">
        <f>IF($J2742="","",IF($J2742&lt;=1500,IF(N(INDEX('Daily Sale entry '!$AB$1:$AB$1501,$J2742+1))=0,"",INDEX('Daily Sale entry '!$AB$1:$AB$1501,$J2742+1)),1))</f>
        <v/>
      </c>
      <c r="F2742" s="6">
        <f>IF($J2742="","",IF($J2742&lt;=1500,N(INDEX('Daily Sale entry '!$AC$1:$AC$1501,$J2742+1))-IF(AND('Opening Balance'!$B$15=1,INDEX('Daily Sale entry '!$Z$1:$Z$1501,$J2742+1)="Online collection 网上收款",INDEX('Daily Sale entry '!$AA$1:$AA$1501,$J2742+1)&lt;&gt;""),N(INDEX('Daily Sale entry '!$AC$1:$AC$1501,$J2742+1))-TRUNC(N(INDEX('Daily Sale entry '!$AC$1:$AC$1501,$J2742+1))),0),N(INDEX('Daily Sale entry '!$S$1:$S$1501,$J2742-1499))-'Opening Balance'!$B$15*(N(INDEX('Daily Sale entry '!$S$1:$S$1501,$J2742-1499))-TRUNC(N(INDEX('Daily Sale entry '!$S$1:$S$1501,$J2742-1499))))))</f>
        <v/>
      </c>
      <c r="G2742" s="6">
        <f>IF($J2742="","",IF($J2742&lt;=1500,N(INDEX('Daily Sale entry '!$AD$1:$AD$1501,$J2742+1)),0))</f>
        <v/>
      </c>
      <c r="H2742" s="6">
        <f>IF($J2742="","",ROUND('Opening Balance'!$B$4+SUM($F$2:F2742)-SUM($G$2:G2742),2))</f>
        <v/>
      </c>
      <c r="J2742" s="21">
        <f>IFERROR(MATCH(ROW()-1,$L$2:$L$3001,0),"")</f>
        <v/>
      </c>
      <c r="K2742" s="34">
        <f>IF(AND('Daily Sale entry '!Q1242="Collection 收款",'Daily Sale entry '!R1242="Cheque 支票",'Daily Sale entry '!V1242&lt;&gt;""),'Daily Sale entry '!V1242+ROW()/10000000,"")</f>
        <v/>
      </c>
      <c r="L2742" s="21">
        <f>IF(K2742="","",COUNTIF($K$2:$K$3001,"&lt;"&amp;K2742)+1)</f>
        <v/>
      </c>
    </row>
    <row r="2743">
      <c r="A2743" s="5">
        <f>IF($J2743="","",IF($J2743&lt;=1500,INDEX('Daily Sale entry '!$X$1:$X$1501,$J2743+1),INDEX('Daily Sale entry '!$V$1:$V$1501,$J2743-1499)))</f>
        <v/>
      </c>
      <c r="B2743">
        <f>IF($J2743="","",IF($J2743&lt;=1500,INDEX('Daily Sale entry '!$Y$1:$Y$1501,$J2743+1)&amp;"","Buyer cheque banked 买家支票存入"&amp;IF(INDEX('Daily Sale entry '!$U$1:$U$1501,$J2743-1499)="","", " - "&amp;INDEX('Daily Sale entry '!$U$1:$U$1501,$J2743-1499))))</f>
        <v/>
      </c>
      <c r="C2743">
        <f>IF($J2743="","",IF($J2743&lt;=1500,INDEX('Daily Sale entry '!$Z$1:$Z$1501,$J2743+1)&amp;"","Cheque deposit 支票存入 (buyer 买家)"))</f>
        <v/>
      </c>
      <c r="D2743">
        <f>IF($J2743="","",IF($J2743&lt;=1500,INDEX('Daily Sale entry '!$AA$1:$AA$1501,$J2743+1)&amp;"",INDEX('Daily Sale entry '!$P$1:$P$1501,$J2743-1499)&amp;""))</f>
        <v/>
      </c>
      <c r="E2743">
        <f>IF($J2743="","",IF($J2743&lt;=1500,IF(N(INDEX('Daily Sale entry '!$AB$1:$AB$1501,$J2743+1))=0,"",INDEX('Daily Sale entry '!$AB$1:$AB$1501,$J2743+1)),1))</f>
        <v/>
      </c>
      <c r="F2743" s="6">
        <f>IF($J2743="","",IF($J2743&lt;=1500,N(INDEX('Daily Sale entry '!$AC$1:$AC$1501,$J2743+1))-IF(AND('Opening Balance'!$B$15=1,INDEX('Daily Sale entry '!$Z$1:$Z$1501,$J2743+1)="Online collection 网上收款",INDEX('Daily Sale entry '!$AA$1:$AA$1501,$J2743+1)&lt;&gt;""),N(INDEX('Daily Sale entry '!$AC$1:$AC$1501,$J2743+1))-TRUNC(N(INDEX('Daily Sale entry '!$AC$1:$AC$1501,$J2743+1))),0),N(INDEX('Daily Sale entry '!$S$1:$S$1501,$J2743-1499))-'Opening Balance'!$B$15*(N(INDEX('Daily Sale entry '!$S$1:$S$1501,$J2743-1499))-TRUNC(N(INDEX('Daily Sale entry '!$S$1:$S$1501,$J2743-1499))))))</f>
        <v/>
      </c>
      <c r="G2743" s="6">
        <f>IF($J2743="","",IF($J2743&lt;=1500,N(INDEX('Daily Sale entry '!$AD$1:$AD$1501,$J2743+1)),0))</f>
        <v/>
      </c>
      <c r="H2743" s="6">
        <f>IF($J2743="","",ROUND('Opening Balance'!$B$4+SUM($F$2:F2743)-SUM($G$2:G2743),2))</f>
        <v/>
      </c>
      <c r="J2743" s="21">
        <f>IFERROR(MATCH(ROW()-1,$L$2:$L$3001,0),"")</f>
        <v/>
      </c>
      <c r="K2743" s="34">
        <f>IF(AND('Daily Sale entry '!Q1243="Collection 收款",'Daily Sale entry '!R1243="Cheque 支票",'Daily Sale entry '!V1243&lt;&gt;""),'Daily Sale entry '!V1243+ROW()/10000000,"")</f>
        <v/>
      </c>
      <c r="L2743" s="21">
        <f>IF(K2743="","",COUNTIF($K$2:$K$3001,"&lt;"&amp;K2743)+1)</f>
        <v/>
      </c>
    </row>
    <row r="2744">
      <c r="A2744" s="5">
        <f>IF($J2744="","",IF($J2744&lt;=1500,INDEX('Daily Sale entry '!$X$1:$X$1501,$J2744+1),INDEX('Daily Sale entry '!$V$1:$V$1501,$J2744-1499)))</f>
        <v/>
      </c>
      <c r="B2744">
        <f>IF($J2744="","",IF($J2744&lt;=1500,INDEX('Daily Sale entry '!$Y$1:$Y$1501,$J2744+1)&amp;"","Buyer cheque banked 买家支票存入"&amp;IF(INDEX('Daily Sale entry '!$U$1:$U$1501,$J2744-1499)="","", " - "&amp;INDEX('Daily Sale entry '!$U$1:$U$1501,$J2744-1499))))</f>
        <v/>
      </c>
      <c r="C2744">
        <f>IF($J2744="","",IF($J2744&lt;=1500,INDEX('Daily Sale entry '!$Z$1:$Z$1501,$J2744+1)&amp;"","Cheque deposit 支票存入 (buyer 买家)"))</f>
        <v/>
      </c>
      <c r="D2744">
        <f>IF($J2744="","",IF($J2744&lt;=1500,INDEX('Daily Sale entry '!$AA$1:$AA$1501,$J2744+1)&amp;"",INDEX('Daily Sale entry '!$P$1:$P$1501,$J2744-1499)&amp;""))</f>
        <v/>
      </c>
      <c r="E2744">
        <f>IF($J2744="","",IF($J2744&lt;=1500,IF(N(INDEX('Daily Sale entry '!$AB$1:$AB$1501,$J2744+1))=0,"",INDEX('Daily Sale entry '!$AB$1:$AB$1501,$J2744+1)),1))</f>
        <v/>
      </c>
      <c r="F2744" s="6">
        <f>IF($J2744="","",IF($J2744&lt;=1500,N(INDEX('Daily Sale entry '!$AC$1:$AC$1501,$J2744+1))-IF(AND('Opening Balance'!$B$15=1,INDEX('Daily Sale entry '!$Z$1:$Z$1501,$J2744+1)="Online collection 网上收款",INDEX('Daily Sale entry '!$AA$1:$AA$1501,$J2744+1)&lt;&gt;""),N(INDEX('Daily Sale entry '!$AC$1:$AC$1501,$J2744+1))-TRUNC(N(INDEX('Daily Sale entry '!$AC$1:$AC$1501,$J2744+1))),0),N(INDEX('Daily Sale entry '!$S$1:$S$1501,$J2744-1499))-'Opening Balance'!$B$15*(N(INDEX('Daily Sale entry '!$S$1:$S$1501,$J2744-1499))-TRUNC(N(INDEX('Daily Sale entry '!$S$1:$S$1501,$J2744-1499))))))</f>
        <v/>
      </c>
      <c r="G2744" s="6">
        <f>IF($J2744="","",IF($J2744&lt;=1500,N(INDEX('Daily Sale entry '!$AD$1:$AD$1501,$J2744+1)),0))</f>
        <v/>
      </c>
      <c r="H2744" s="6">
        <f>IF($J2744="","",ROUND('Opening Balance'!$B$4+SUM($F$2:F2744)-SUM($G$2:G2744),2))</f>
        <v/>
      </c>
      <c r="J2744" s="21">
        <f>IFERROR(MATCH(ROW()-1,$L$2:$L$3001,0),"")</f>
        <v/>
      </c>
      <c r="K2744" s="34">
        <f>IF(AND('Daily Sale entry '!Q1244="Collection 收款",'Daily Sale entry '!R1244="Cheque 支票",'Daily Sale entry '!V1244&lt;&gt;""),'Daily Sale entry '!V1244+ROW()/10000000,"")</f>
        <v/>
      </c>
      <c r="L2744" s="21">
        <f>IF(K2744="","",COUNTIF($K$2:$K$3001,"&lt;"&amp;K2744)+1)</f>
        <v/>
      </c>
    </row>
    <row r="2745">
      <c r="A2745" s="5">
        <f>IF($J2745="","",IF($J2745&lt;=1500,INDEX('Daily Sale entry '!$X$1:$X$1501,$J2745+1),INDEX('Daily Sale entry '!$V$1:$V$1501,$J2745-1499)))</f>
        <v/>
      </c>
      <c r="B2745">
        <f>IF($J2745="","",IF($J2745&lt;=1500,INDEX('Daily Sale entry '!$Y$1:$Y$1501,$J2745+1)&amp;"","Buyer cheque banked 买家支票存入"&amp;IF(INDEX('Daily Sale entry '!$U$1:$U$1501,$J2745-1499)="","", " - "&amp;INDEX('Daily Sale entry '!$U$1:$U$1501,$J2745-1499))))</f>
        <v/>
      </c>
      <c r="C2745">
        <f>IF($J2745="","",IF($J2745&lt;=1500,INDEX('Daily Sale entry '!$Z$1:$Z$1501,$J2745+1)&amp;"","Cheque deposit 支票存入 (buyer 买家)"))</f>
        <v/>
      </c>
      <c r="D2745">
        <f>IF($J2745="","",IF($J2745&lt;=1500,INDEX('Daily Sale entry '!$AA$1:$AA$1501,$J2745+1)&amp;"",INDEX('Daily Sale entry '!$P$1:$P$1501,$J2745-1499)&amp;""))</f>
        <v/>
      </c>
      <c r="E2745">
        <f>IF($J2745="","",IF($J2745&lt;=1500,IF(N(INDEX('Daily Sale entry '!$AB$1:$AB$1501,$J2745+1))=0,"",INDEX('Daily Sale entry '!$AB$1:$AB$1501,$J2745+1)),1))</f>
        <v/>
      </c>
      <c r="F2745" s="6">
        <f>IF($J2745="","",IF($J2745&lt;=1500,N(INDEX('Daily Sale entry '!$AC$1:$AC$1501,$J2745+1))-IF(AND('Opening Balance'!$B$15=1,INDEX('Daily Sale entry '!$Z$1:$Z$1501,$J2745+1)="Online collection 网上收款",INDEX('Daily Sale entry '!$AA$1:$AA$1501,$J2745+1)&lt;&gt;""),N(INDEX('Daily Sale entry '!$AC$1:$AC$1501,$J2745+1))-TRUNC(N(INDEX('Daily Sale entry '!$AC$1:$AC$1501,$J2745+1))),0),N(INDEX('Daily Sale entry '!$S$1:$S$1501,$J2745-1499))-'Opening Balance'!$B$15*(N(INDEX('Daily Sale entry '!$S$1:$S$1501,$J2745-1499))-TRUNC(N(INDEX('Daily Sale entry '!$S$1:$S$1501,$J2745-1499))))))</f>
        <v/>
      </c>
      <c r="G2745" s="6">
        <f>IF($J2745="","",IF($J2745&lt;=1500,N(INDEX('Daily Sale entry '!$AD$1:$AD$1501,$J2745+1)),0))</f>
        <v/>
      </c>
      <c r="H2745" s="6">
        <f>IF($J2745="","",ROUND('Opening Balance'!$B$4+SUM($F$2:F2745)-SUM($G$2:G2745),2))</f>
        <v/>
      </c>
      <c r="J2745" s="21">
        <f>IFERROR(MATCH(ROW()-1,$L$2:$L$3001,0),"")</f>
        <v/>
      </c>
      <c r="K2745" s="34">
        <f>IF(AND('Daily Sale entry '!Q1245="Collection 收款",'Daily Sale entry '!R1245="Cheque 支票",'Daily Sale entry '!V1245&lt;&gt;""),'Daily Sale entry '!V1245+ROW()/10000000,"")</f>
        <v/>
      </c>
      <c r="L2745" s="21">
        <f>IF(K2745="","",COUNTIF($K$2:$K$3001,"&lt;"&amp;K2745)+1)</f>
        <v/>
      </c>
    </row>
    <row r="2746">
      <c r="A2746" s="5">
        <f>IF($J2746="","",IF($J2746&lt;=1500,INDEX('Daily Sale entry '!$X$1:$X$1501,$J2746+1),INDEX('Daily Sale entry '!$V$1:$V$1501,$J2746-1499)))</f>
        <v/>
      </c>
      <c r="B2746">
        <f>IF($J2746="","",IF($J2746&lt;=1500,INDEX('Daily Sale entry '!$Y$1:$Y$1501,$J2746+1)&amp;"","Buyer cheque banked 买家支票存入"&amp;IF(INDEX('Daily Sale entry '!$U$1:$U$1501,$J2746-1499)="","", " - "&amp;INDEX('Daily Sale entry '!$U$1:$U$1501,$J2746-1499))))</f>
        <v/>
      </c>
      <c r="C2746">
        <f>IF($J2746="","",IF($J2746&lt;=1500,INDEX('Daily Sale entry '!$Z$1:$Z$1501,$J2746+1)&amp;"","Cheque deposit 支票存入 (buyer 买家)"))</f>
        <v/>
      </c>
      <c r="D2746">
        <f>IF($J2746="","",IF($J2746&lt;=1500,INDEX('Daily Sale entry '!$AA$1:$AA$1501,$J2746+1)&amp;"",INDEX('Daily Sale entry '!$P$1:$P$1501,$J2746-1499)&amp;""))</f>
        <v/>
      </c>
      <c r="E2746">
        <f>IF($J2746="","",IF($J2746&lt;=1500,IF(N(INDEX('Daily Sale entry '!$AB$1:$AB$1501,$J2746+1))=0,"",INDEX('Daily Sale entry '!$AB$1:$AB$1501,$J2746+1)),1))</f>
        <v/>
      </c>
      <c r="F2746" s="6">
        <f>IF($J2746="","",IF($J2746&lt;=1500,N(INDEX('Daily Sale entry '!$AC$1:$AC$1501,$J2746+1))-IF(AND('Opening Balance'!$B$15=1,INDEX('Daily Sale entry '!$Z$1:$Z$1501,$J2746+1)="Online collection 网上收款",INDEX('Daily Sale entry '!$AA$1:$AA$1501,$J2746+1)&lt;&gt;""),N(INDEX('Daily Sale entry '!$AC$1:$AC$1501,$J2746+1))-TRUNC(N(INDEX('Daily Sale entry '!$AC$1:$AC$1501,$J2746+1))),0),N(INDEX('Daily Sale entry '!$S$1:$S$1501,$J2746-1499))-'Opening Balance'!$B$15*(N(INDEX('Daily Sale entry '!$S$1:$S$1501,$J2746-1499))-TRUNC(N(INDEX('Daily Sale entry '!$S$1:$S$1501,$J2746-1499))))))</f>
        <v/>
      </c>
      <c r="G2746" s="6">
        <f>IF($J2746="","",IF($J2746&lt;=1500,N(INDEX('Daily Sale entry '!$AD$1:$AD$1501,$J2746+1)),0))</f>
        <v/>
      </c>
      <c r="H2746" s="6">
        <f>IF($J2746="","",ROUND('Opening Balance'!$B$4+SUM($F$2:F2746)-SUM($G$2:G2746),2))</f>
        <v/>
      </c>
      <c r="J2746" s="21">
        <f>IFERROR(MATCH(ROW()-1,$L$2:$L$3001,0),"")</f>
        <v/>
      </c>
      <c r="K2746" s="34">
        <f>IF(AND('Daily Sale entry '!Q1246="Collection 收款",'Daily Sale entry '!R1246="Cheque 支票",'Daily Sale entry '!V1246&lt;&gt;""),'Daily Sale entry '!V1246+ROW()/10000000,"")</f>
        <v/>
      </c>
      <c r="L2746" s="21">
        <f>IF(K2746="","",COUNTIF($K$2:$K$3001,"&lt;"&amp;K2746)+1)</f>
        <v/>
      </c>
    </row>
    <row r="2747">
      <c r="A2747" s="5">
        <f>IF($J2747="","",IF($J2747&lt;=1500,INDEX('Daily Sale entry '!$X$1:$X$1501,$J2747+1),INDEX('Daily Sale entry '!$V$1:$V$1501,$J2747-1499)))</f>
        <v/>
      </c>
      <c r="B2747">
        <f>IF($J2747="","",IF($J2747&lt;=1500,INDEX('Daily Sale entry '!$Y$1:$Y$1501,$J2747+1)&amp;"","Buyer cheque banked 买家支票存入"&amp;IF(INDEX('Daily Sale entry '!$U$1:$U$1501,$J2747-1499)="","", " - "&amp;INDEX('Daily Sale entry '!$U$1:$U$1501,$J2747-1499))))</f>
        <v/>
      </c>
      <c r="C2747">
        <f>IF($J2747="","",IF($J2747&lt;=1500,INDEX('Daily Sale entry '!$Z$1:$Z$1501,$J2747+1)&amp;"","Cheque deposit 支票存入 (buyer 买家)"))</f>
        <v/>
      </c>
      <c r="D2747">
        <f>IF($J2747="","",IF($J2747&lt;=1500,INDEX('Daily Sale entry '!$AA$1:$AA$1501,$J2747+1)&amp;"",INDEX('Daily Sale entry '!$P$1:$P$1501,$J2747-1499)&amp;""))</f>
        <v/>
      </c>
      <c r="E2747">
        <f>IF($J2747="","",IF($J2747&lt;=1500,IF(N(INDEX('Daily Sale entry '!$AB$1:$AB$1501,$J2747+1))=0,"",INDEX('Daily Sale entry '!$AB$1:$AB$1501,$J2747+1)),1))</f>
        <v/>
      </c>
      <c r="F2747" s="6">
        <f>IF($J2747="","",IF($J2747&lt;=1500,N(INDEX('Daily Sale entry '!$AC$1:$AC$1501,$J2747+1))-IF(AND('Opening Balance'!$B$15=1,INDEX('Daily Sale entry '!$Z$1:$Z$1501,$J2747+1)="Online collection 网上收款",INDEX('Daily Sale entry '!$AA$1:$AA$1501,$J2747+1)&lt;&gt;""),N(INDEX('Daily Sale entry '!$AC$1:$AC$1501,$J2747+1))-TRUNC(N(INDEX('Daily Sale entry '!$AC$1:$AC$1501,$J2747+1))),0),N(INDEX('Daily Sale entry '!$S$1:$S$1501,$J2747-1499))-'Opening Balance'!$B$15*(N(INDEX('Daily Sale entry '!$S$1:$S$1501,$J2747-1499))-TRUNC(N(INDEX('Daily Sale entry '!$S$1:$S$1501,$J2747-1499))))))</f>
        <v/>
      </c>
      <c r="G2747" s="6">
        <f>IF($J2747="","",IF($J2747&lt;=1500,N(INDEX('Daily Sale entry '!$AD$1:$AD$1501,$J2747+1)),0))</f>
        <v/>
      </c>
      <c r="H2747" s="6">
        <f>IF($J2747="","",ROUND('Opening Balance'!$B$4+SUM($F$2:F2747)-SUM($G$2:G2747),2))</f>
        <v/>
      </c>
      <c r="J2747" s="21">
        <f>IFERROR(MATCH(ROW()-1,$L$2:$L$3001,0),"")</f>
        <v/>
      </c>
      <c r="K2747" s="34">
        <f>IF(AND('Daily Sale entry '!Q1247="Collection 收款",'Daily Sale entry '!R1247="Cheque 支票",'Daily Sale entry '!V1247&lt;&gt;""),'Daily Sale entry '!V1247+ROW()/10000000,"")</f>
        <v/>
      </c>
      <c r="L2747" s="21">
        <f>IF(K2747="","",COUNTIF($K$2:$K$3001,"&lt;"&amp;K2747)+1)</f>
        <v/>
      </c>
    </row>
    <row r="2748">
      <c r="A2748" s="5">
        <f>IF($J2748="","",IF($J2748&lt;=1500,INDEX('Daily Sale entry '!$X$1:$X$1501,$J2748+1),INDEX('Daily Sale entry '!$V$1:$V$1501,$J2748-1499)))</f>
        <v/>
      </c>
      <c r="B2748">
        <f>IF($J2748="","",IF($J2748&lt;=1500,INDEX('Daily Sale entry '!$Y$1:$Y$1501,$J2748+1)&amp;"","Buyer cheque banked 买家支票存入"&amp;IF(INDEX('Daily Sale entry '!$U$1:$U$1501,$J2748-1499)="","", " - "&amp;INDEX('Daily Sale entry '!$U$1:$U$1501,$J2748-1499))))</f>
        <v/>
      </c>
      <c r="C2748">
        <f>IF($J2748="","",IF($J2748&lt;=1500,INDEX('Daily Sale entry '!$Z$1:$Z$1501,$J2748+1)&amp;"","Cheque deposit 支票存入 (buyer 买家)"))</f>
        <v/>
      </c>
      <c r="D2748">
        <f>IF($J2748="","",IF($J2748&lt;=1500,INDEX('Daily Sale entry '!$AA$1:$AA$1501,$J2748+1)&amp;"",INDEX('Daily Sale entry '!$P$1:$P$1501,$J2748-1499)&amp;""))</f>
        <v/>
      </c>
      <c r="E2748">
        <f>IF($J2748="","",IF($J2748&lt;=1500,IF(N(INDEX('Daily Sale entry '!$AB$1:$AB$1501,$J2748+1))=0,"",INDEX('Daily Sale entry '!$AB$1:$AB$1501,$J2748+1)),1))</f>
        <v/>
      </c>
      <c r="F2748" s="6">
        <f>IF($J2748="","",IF($J2748&lt;=1500,N(INDEX('Daily Sale entry '!$AC$1:$AC$1501,$J2748+1))-IF(AND('Opening Balance'!$B$15=1,INDEX('Daily Sale entry '!$Z$1:$Z$1501,$J2748+1)="Online collection 网上收款",INDEX('Daily Sale entry '!$AA$1:$AA$1501,$J2748+1)&lt;&gt;""),N(INDEX('Daily Sale entry '!$AC$1:$AC$1501,$J2748+1))-TRUNC(N(INDEX('Daily Sale entry '!$AC$1:$AC$1501,$J2748+1))),0),N(INDEX('Daily Sale entry '!$S$1:$S$1501,$J2748-1499))-'Opening Balance'!$B$15*(N(INDEX('Daily Sale entry '!$S$1:$S$1501,$J2748-1499))-TRUNC(N(INDEX('Daily Sale entry '!$S$1:$S$1501,$J2748-1499))))))</f>
        <v/>
      </c>
      <c r="G2748" s="6">
        <f>IF($J2748="","",IF($J2748&lt;=1500,N(INDEX('Daily Sale entry '!$AD$1:$AD$1501,$J2748+1)),0))</f>
        <v/>
      </c>
      <c r="H2748" s="6">
        <f>IF($J2748="","",ROUND('Opening Balance'!$B$4+SUM($F$2:F2748)-SUM($G$2:G2748),2))</f>
        <v/>
      </c>
      <c r="J2748" s="21">
        <f>IFERROR(MATCH(ROW()-1,$L$2:$L$3001,0),"")</f>
        <v/>
      </c>
      <c r="K2748" s="34">
        <f>IF(AND('Daily Sale entry '!Q1248="Collection 收款",'Daily Sale entry '!R1248="Cheque 支票",'Daily Sale entry '!V1248&lt;&gt;""),'Daily Sale entry '!V1248+ROW()/10000000,"")</f>
        <v/>
      </c>
      <c r="L2748" s="21">
        <f>IF(K2748="","",COUNTIF($K$2:$K$3001,"&lt;"&amp;K2748)+1)</f>
        <v/>
      </c>
    </row>
    <row r="2749">
      <c r="A2749" s="5">
        <f>IF($J2749="","",IF($J2749&lt;=1500,INDEX('Daily Sale entry '!$X$1:$X$1501,$J2749+1),INDEX('Daily Sale entry '!$V$1:$V$1501,$J2749-1499)))</f>
        <v/>
      </c>
      <c r="B2749">
        <f>IF($J2749="","",IF($J2749&lt;=1500,INDEX('Daily Sale entry '!$Y$1:$Y$1501,$J2749+1)&amp;"","Buyer cheque banked 买家支票存入"&amp;IF(INDEX('Daily Sale entry '!$U$1:$U$1501,$J2749-1499)="","", " - "&amp;INDEX('Daily Sale entry '!$U$1:$U$1501,$J2749-1499))))</f>
        <v/>
      </c>
      <c r="C2749">
        <f>IF($J2749="","",IF($J2749&lt;=1500,INDEX('Daily Sale entry '!$Z$1:$Z$1501,$J2749+1)&amp;"","Cheque deposit 支票存入 (buyer 买家)"))</f>
        <v/>
      </c>
      <c r="D2749">
        <f>IF($J2749="","",IF($J2749&lt;=1500,INDEX('Daily Sale entry '!$AA$1:$AA$1501,$J2749+1)&amp;"",INDEX('Daily Sale entry '!$P$1:$P$1501,$J2749-1499)&amp;""))</f>
        <v/>
      </c>
      <c r="E2749">
        <f>IF($J2749="","",IF($J2749&lt;=1500,IF(N(INDEX('Daily Sale entry '!$AB$1:$AB$1501,$J2749+1))=0,"",INDEX('Daily Sale entry '!$AB$1:$AB$1501,$J2749+1)),1))</f>
        <v/>
      </c>
      <c r="F2749" s="6">
        <f>IF($J2749="","",IF($J2749&lt;=1500,N(INDEX('Daily Sale entry '!$AC$1:$AC$1501,$J2749+1))-IF(AND('Opening Balance'!$B$15=1,INDEX('Daily Sale entry '!$Z$1:$Z$1501,$J2749+1)="Online collection 网上收款",INDEX('Daily Sale entry '!$AA$1:$AA$1501,$J2749+1)&lt;&gt;""),N(INDEX('Daily Sale entry '!$AC$1:$AC$1501,$J2749+1))-TRUNC(N(INDEX('Daily Sale entry '!$AC$1:$AC$1501,$J2749+1))),0),N(INDEX('Daily Sale entry '!$S$1:$S$1501,$J2749-1499))-'Opening Balance'!$B$15*(N(INDEX('Daily Sale entry '!$S$1:$S$1501,$J2749-1499))-TRUNC(N(INDEX('Daily Sale entry '!$S$1:$S$1501,$J2749-1499))))))</f>
        <v/>
      </c>
      <c r="G2749" s="6">
        <f>IF($J2749="","",IF($J2749&lt;=1500,N(INDEX('Daily Sale entry '!$AD$1:$AD$1501,$J2749+1)),0))</f>
        <v/>
      </c>
      <c r="H2749" s="6">
        <f>IF($J2749="","",ROUND('Opening Balance'!$B$4+SUM($F$2:F2749)-SUM($G$2:G2749),2))</f>
        <v/>
      </c>
      <c r="J2749" s="21">
        <f>IFERROR(MATCH(ROW()-1,$L$2:$L$3001,0),"")</f>
        <v/>
      </c>
      <c r="K2749" s="34">
        <f>IF(AND('Daily Sale entry '!Q1249="Collection 收款",'Daily Sale entry '!R1249="Cheque 支票",'Daily Sale entry '!V1249&lt;&gt;""),'Daily Sale entry '!V1249+ROW()/10000000,"")</f>
        <v/>
      </c>
      <c r="L2749" s="21">
        <f>IF(K2749="","",COUNTIF($K$2:$K$3001,"&lt;"&amp;K2749)+1)</f>
        <v/>
      </c>
    </row>
    <row r="2750">
      <c r="A2750" s="5">
        <f>IF($J2750="","",IF($J2750&lt;=1500,INDEX('Daily Sale entry '!$X$1:$X$1501,$J2750+1),INDEX('Daily Sale entry '!$V$1:$V$1501,$J2750-1499)))</f>
        <v/>
      </c>
      <c r="B2750">
        <f>IF($J2750="","",IF($J2750&lt;=1500,INDEX('Daily Sale entry '!$Y$1:$Y$1501,$J2750+1)&amp;"","Buyer cheque banked 买家支票存入"&amp;IF(INDEX('Daily Sale entry '!$U$1:$U$1501,$J2750-1499)="","", " - "&amp;INDEX('Daily Sale entry '!$U$1:$U$1501,$J2750-1499))))</f>
        <v/>
      </c>
      <c r="C2750">
        <f>IF($J2750="","",IF($J2750&lt;=1500,INDEX('Daily Sale entry '!$Z$1:$Z$1501,$J2750+1)&amp;"","Cheque deposit 支票存入 (buyer 买家)"))</f>
        <v/>
      </c>
      <c r="D2750">
        <f>IF($J2750="","",IF($J2750&lt;=1500,INDEX('Daily Sale entry '!$AA$1:$AA$1501,$J2750+1)&amp;"",INDEX('Daily Sale entry '!$P$1:$P$1501,$J2750-1499)&amp;""))</f>
        <v/>
      </c>
      <c r="E2750">
        <f>IF($J2750="","",IF($J2750&lt;=1500,IF(N(INDEX('Daily Sale entry '!$AB$1:$AB$1501,$J2750+1))=0,"",INDEX('Daily Sale entry '!$AB$1:$AB$1501,$J2750+1)),1))</f>
        <v/>
      </c>
      <c r="F2750" s="6">
        <f>IF($J2750="","",IF($J2750&lt;=1500,N(INDEX('Daily Sale entry '!$AC$1:$AC$1501,$J2750+1))-IF(AND('Opening Balance'!$B$15=1,INDEX('Daily Sale entry '!$Z$1:$Z$1501,$J2750+1)="Online collection 网上收款",INDEX('Daily Sale entry '!$AA$1:$AA$1501,$J2750+1)&lt;&gt;""),N(INDEX('Daily Sale entry '!$AC$1:$AC$1501,$J2750+1))-TRUNC(N(INDEX('Daily Sale entry '!$AC$1:$AC$1501,$J2750+1))),0),N(INDEX('Daily Sale entry '!$S$1:$S$1501,$J2750-1499))-'Opening Balance'!$B$15*(N(INDEX('Daily Sale entry '!$S$1:$S$1501,$J2750-1499))-TRUNC(N(INDEX('Daily Sale entry '!$S$1:$S$1501,$J2750-1499))))))</f>
        <v/>
      </c>
      <c r="G2750" s="6">
        <f>IF($J2750="","",IF($J2750&lt;=1500,N(INDEX('Daily Sale entry '!$AD$1:$AD$1501,$J2750+1)),0))</f>
        <v/>
      </c>
      <c r="H2750" s="6">
        <f>IF($J2750="","",ROUND('Opening Balance'!$B$4+SUM($F$2:F2750)-SUM($G$2:G2750),2))</f>
        <v/>
      </c>
      <c r="J2750" s="21">
        <f>IFERROR(MATCH(ROW()-1,$L$2:$L$3001,0),"")</f>
        <v/>
      </c>
      <c r="K2750" s="34">
        <f>IF(AND('Daily Sale entry '!Q1250="Collection 收款",'Daily Sale entry '!R1250="Cheque 支票",'Daily Sale entry '!V1250&lt;&gt;""),'Daily Sale entry '!V1250+ROW()/10000000,"")</f>
        <v/>
      </c>
      <c r="L2750" s="21">
        <f>IF(K2750="","",COUNTIF($K$2:$K$3001,"&lt;"&amp;K2750)+1)</f>
        <v/>
      </c>
    </row>
    <row r="2751">
      <c r="A2751" s="5">
        <f>IF($J2751="","",IF($J2751&lt;=1500,INDEX('Daily Sale entry '!$X$1:$X$1501,$J2751+1),INDEX('Daily Sale entry '!$V$1:$V$1501,$J2751-1499)))</f>
        <v/>
      </c>
      <c r="B2751">
        <f>IF($J2751="","",IF($J2751&lt;=1500,INDEX('Daily Sale entry '!$Y$1:$Y$1501,$J2751+1)&amp;"","Buyer cheque banked 买家支票存入"&amp;IF(INDEX('Daily Sale entry '!$U$1:$U$1501,$J2751-1499)="","", " - "&amp;INDEX('Daily Sale entry '!$U$1:$U$1501,$J2751-1499))))</f>
        <v/>
      </c>
      <c r="C2751">
        <f>IF($J2751="","",IF($J2751&lt;=1500,INDEX('Daily Sale entry '!$Z$1:$Z$1501,$J2751+1)&amp;"","Cheque deposit 支票存入 (buyer 买家)"))</f>
        <v/>
      </c>
      <c r="D2751">
        <f>IF($J2751="","",IF($J2751&lt;=1500,INDEX('Daily Sale entry '!$AA$1:$AA$1501,$J2751+1)&amp;"",INDEX('Daily Sale entry '!$P$1:$P$1501,$J2751-1499)&amp;""))</f>
        <v/>
      </c>
      <c r="E2751">
        <f>IF($J2751="","",IF($J2751&lt;=1500,IF(N(INDEX('Daily Sale entry '!$AB$1:$AB$1501,$J2751+1))=0,"",INDEX('Daily Sale entry '!$AB$1:$AB$1501,$J2751+1)),1))</f>
        <v/>
      </c>
      <c r="F2751" s="6">
        <f>IF($J2751="","",IF($J2751&lt;=1500,N(INDEX('Daily Sale entry '!$AC$1:$AC$1501,$J2751+1))-IF(AND('Opening Balance'!$B$15=1,INDEX('Daily Sale entry '!$Z$1:$Z$1501,$J2751+1)="Online collection 网上收款",INDEX('Daily Sale entry '!$AA$1:$AA$1501,$J2751+1)&lt;&gt;""),N(INDEX('Daily Sale entry '!$AC$1:$AC$1501,$J2751+1))-TRUNC(N(INDEX('Daily Sale entry '!$AC$1:$AC$1501,$J2751+1))),0),N(INDEX('Daily Sale entry '!$S$1:$S$1501,$J2751-1499))-'Opening Balance'!$B$15*(N(INDEX('Daily Sale entry '!$S$1:$S$1501,$J2751-1499))-TRUNC(N(INDEX('Daily Sale entry '!$S$1:$S$1501,$J2751-1499))))))</f>
        <v/>
      </c>
      <c r="G2751" s="6">
        <f>IF($J2751="","",IF($J2751&lt;=1500,N(INDEX('Daily Sale entry '!$AD$1:$AD$1501,$J2751+1)),0))</f>
        <v/>
      </c>
      <c r="H2751" s="6">
        <f>IF($J2751="","",ROUND('Opening Balance'!$B$4+SUM($F$2:F2751)-SUM($G$2:G2751),2))</f>
        <v/>
      </c>
      <c r="J2751" s="21">
        <f>IFERROR(MATCH(ROW()-1,$L$2:$L$3001,0),"")</f>
        <v/>
      </c>
      <c r="K2751" s="34">
        <f>IF(AND('Daily Sale entry '!Q1251="Collection 收款",'Daily Sale entry '!R1251="Cheque 支票",'Daily Sale entry '!V1251&lt;&gt;""),'Daily Sale entry '!V1251+ROW()/10000000,"")</f>
        <v/>
      </c>
      <c r="L2751" s="21">
        <f>IF(K2751="","",COUNTIF($K$2:$K$3001,"&lt;"&amp;K2751)+1)</f>
        <v/>
      </c>
    </row>
    <row r="2752">
      <c r="A2752" s="5">
        <f>IF($J2752="","",IF($J2752&lt;=1500,INDEX('Daily Sale entry '!$X$1:$X$1501,$J2752+1),INDEX('Daily Sale entry '!$V$1:$V$1501,$J2752-1499)))</f>
        <v/>
      </c>
      <c r="B2752">
        <f>IF($J2752="","",IF($J2752&lt;=1500,INDEX('Daily Sale entry '!$Y$1:$Y$1501,$J2752+1)&amp;"","Buyer cheque banked 买家支票存入"&amp;IF(INDEX('Daily Sale entry '!$U$1:$U$1501,$J2752-1499)="","", " - "&amp;INDEX('Daily Sale entry '!$U$1:$U$1501,$J2752-1499))))</f>
        <v/>
      </c>
      <c r="C2752">
        <f>IF($J2752="","",IF($J2752&lt;=1500,INDEX('Daily Sale entry '!$Z$1:$Z$1501,$J2752+1)&amp;"","Cheque deposit 支票存入 (buyer 买家)"))</f>
        <v/>
      </c>
      <c r="D2752">
        <f>IF($J2752="","",IF($J2752&lt;=1500,INDEX('Daily Sale entry '!$AA$1:$AA$1501,$J2752+1)&amp;"",INDEX('Daily Sale entry '!$P$1:$P$1501,$J2752-1499)&amp;""))</f>
        <v/>
      </c>
      <c r="E2752">
        <f>IF($J2752="","",IF($J2752&lt;=1500,IF(N(INDEX('Daily Sale entry '!$AB$1:$AB$1501,$J2752+1))=0,"",INDEX('Daily Sale entry '!$AB$1:$AB$1501,$J2752+1)),1))</f>
        <v/>
      </c>
      <c r="F2752" s="6">
        <f>IF($J2752="","",IF($J2752&lt;=1500,N(INDEX('Daily Sale entry '!$AC$1:$AC$1501,$J2752+1))-IF(AND('Opening Balance'!$B$15=1,INDEX('Daily Sale entry '!$Z$1:$Z$1501,$J2752+1)="Online collection 网上收款",INDEX('Daily Sale entry '!$AA$1:$AA$1501,$J2752+1)&lt;&gt;""),N(INDEX('Daily Sale entry '!$AC$1:$AC$1501,$J2752+1))-TRUNC(N(INDEX('Daily Sale entry '!$AC$1:$AC$1501,$J2752+1))),0),N(INDEX('Daily Sale entry '!$S$1:$S$1501,$J2752-1499))-'Opening Balance'!$B$15*(N(INDEX('Daily Sale entry '!$S$1:$S$1501,$J2752-1499))-TRUNC(N(INDEX('Daily Sale entry '!$S$1:$S$1501,$J2752-1499))))))</f>
        <v/>
      </c>
      <c r="G2752" s="6">
        <f>IF($J2752="","",IF($J2752&lt;=1500,N(INDEX('Daily Sale entry '!$AD$1:$AD$1501,$J2752+1)),0))</f>
        <v/>
      </c>
      <c r="H2752" s="6">
        <f>IF($J2752="","",ROUND('Opening Balance'!$B$4+SUM($F$2:F2752)-SUM($G$2:G2752),2))</f>
        <v/>
      </c>
      <c r="J2752" s="21">
        <f>IFERROR(MATCH(ROW()-1,$L$2:$L$3001,0),"")</f>
        <v/>
      </c>
      <c r="K2752" s="34">
        <f>IF(AND('Daily Sale entry '!Q1252="Collection 收款",'Daily Sale entry '!R1252="Cheque 支票",'Daily Sale entry '!V1252&lt;&gt;""),'Daily Sale entry '!V1252+ROW()/10000000,"")</f>
        <v/>
      </c>
      <c r="L2752" s="21">
        <f>IF(K2752="","",COUNTIF($K$2:$K$3001,"&lt;"&amp;K2752)+1)</f>
        <v/>
      </c>
    </row>
    <row r="2753">
      <c r="A2753" s="5">
        <f>IF($J2753="","",IF($J2753&lt;=1500,INDEX('Daily Sale entry '!$X$1:$X$1501,$J2753+1),INDEX('Daily Sale entry '!$V$1:$V$1501,$J2753-1499)))</f>
        <v/>
      </c>
      <c r="B2753">
        <f>IF($J2753="","",IF($J2753&lt;=1500,INDEX('Daily Sale entry '!$Y$1:$Y$1501,$J2753+1)&amp;"","Buyer cheque banked 买家支票存入"&amp;IF(INDEX('Daily Sale entry '!$U$1:$U$1501,$J2753-1499)="","", " - "&amp;INDEX('Daily Sale entry '!$U$1:$U$1501,$J2753-1499))))</f>
        <v/>
      </c>
      <c r="C2753">
        <f>IF($J2753="","",IF($J2753&lt;=1500,INDEX('Daily Sale entry '!$Z$1:$Z$1501,$J2753+1)&amp;"","Cheque deposit 支票存入 (buyer 买家)"))</f>
        <v/>
      </c>
      <c r="D2753">
        <f>IF($J2753="","",IF($J2753&lt;=1500,INDEX('Daily Sale entry '!$AA$1:$AA$1501,$J2753+1)&amp;"",INDEX('Daily Sale entry '!$P$1:$P$1501,$J2753-1499)&amp;""))</f>
        <v/>
      </c>
      <c r="E2753">
        <f>IF($J2753="","",IF($J2753&lt;=1500,IF(N(INDEX('Daily Sale entry '!$AB$1:$AB$1501,$J2753+1))=0,"",INDEX('Daily Sale entry '!$AB$1:$AB$1501,$J2753+1)),1))</f>
        <v/>
      </c>
      <c r="F2753" s="6">
        <f>IF($J2753="","",IF($J2753&lt;=1500,N(INDEX('Daily Sale entry '!$AC$1:$AC$1501,$J2753+1))-IF(AND('Opening Balance'!$B$15=1,INDEX('Daily Sale entry '!$Z$1:$Z$1501,$J2753+1)="Online collection 网上收款",INDEX('Daily Sale entry '!$AA$1:$AA$1501,$J2753+1)&lt;&gt;""),N(INDEX('Daily Sale entry '!$AC$1:$AC$1501,$J2753+1))-TRUNC(N(INDEX('Daily Sale entry '!$AC$1:$AC$1501,$J2753+1))),0),N(INDEX('Daily Sale entry '!$S$1:$S$1501,$J2753-1499))-'Opening Balance'!$B$15*(N(INDEX('Daily Sale entry '!$S$1:$S$1501,$J2753-1499))-TRUNC(N(INDEX('Daily Sale entry '!$S$1:$S$1501,$J2753-1499))))))</f>
        <v/>
      </c>
      <c r="G2753" s="6">
        <f>IF($J2753="","",IF($J2753&lt;=1500,N(INDEX('Daily Sale entry '!$AD$1:$AD$1501,$J2753+1)),0))</f>
        <v/>
      </c>
      <c r="H2753" s="6">
        <f>IF($J2753="","",ROUND('Opening Balance'!$B$4+SUM($F$2:F2753)-SUM($G$2:G2753),2))</f>
        <v/>
      </c>
      <c r="J2753" s="21">
        <f>IFERROR(MATCH(ROW()-1,$L$2:$L$3001,0),"")</f>
        <v/>
      </c>
      <c r="K2753" s="34">
        <f>IF(AND('Daily Sale entry '!Q1253="Collection 收款",'Daily Sale entry '!R1253="Cheque 支票",'Daily Sale entry '!V1253&lt;&gt;""),'Daily Sale entry '!V1253+ROW()/10000000,"")</f>
        <v/>
      </c>
      <c r="L2753" s="21">
        <f>IF(K2753="","",COUNTIF($K$2:$K$3001,"&lt;"&amp;K2753)+1)</f>
        <v/>
      </c>
    </row>
    <row r="2754">
      <c r="A2754" s="5">
        <f>IF($J2754="","",IF($J2754&lt;=1500,INDEX('Daily Sale entry '!$X$1:$X$1501,$J2754+1),INDEX('Daily Sale entry '!$V$1:$V$1501,$J2754-1499)))</f>
        <v/>
      </c>
      <c r="B2754">
        <f>IF($J2754="","",IF($J2754&lt;=1500,INDEX('Daily Sale entry '!$Y$1:$Y$1501,$J2754+1)&amp;"","Buyer cheque banked 买家支票存入"&amp;IF(INDEX('Daily Sale entry '!$U$1:$U$1501,$J2754-1499)="","", " - "&amp;INDEX('Daily Sale entry '!$U$1:$U$1501,$J2754-1499))))</f>
        <v/>
      </c>
      <c r="C2754">
        <f>IF($J2754="","",IF($J2754&lt;=1500,INDEX('Daily Sale entry '!$Z$1:$Z$1501,$J2754+1)&amp;"","Cheque deposit 支票存入 (buyer 买家)"))</f>
        <v/>
      </c>
      <c r="D2754">
        <f>IF($J2754="","",IF($J2754&lt;=1500,INDEX('Daily Sale entry '!$AA$1:$AA$1501,$J2754+1)&amp;"",INDEX('Daily Sale entry '!$P$1:$P$1501,$J2754-1499)&amp;""))</f>
        <v/>
      </c>
      <c r="E2754">
        <f>IF($J2754="","",IF($J2754&lt;=1500,IF(N(INDEX('Daily Sale entry '!$AB$1:$AB$1501,$J2754+1))=0,"",INDEX('Daily Sale entry '!$AB$1:$AB$1501,$J2754+1)),1))</f>
        <v/>
      </c>
      <c r="F2754" s="6">
        <f>IF($J2754="","",IF($J2754&lt;=1500,N(INDEX('Daily Sale entry '!$AC$1:$AC$1501,$J2754+1))-IF(AND('Opening Balance'!$B$15=1,INDEX('Daily Sale entry '!$Z$1:$Z$1501,$J2754+1)="Online collection 网上收款",INDEX('Daily Sale entry '!$AA$1:$AA$1501,$J2754+1)&lt;&gt;""),N(INDEX('Daily Sale entry '!$AC$1:$AC$1501,$J2754+1))-TRUNC(N(INDEX('Daily Sale entry '!$AC$1:$AC$1501,$J2754+1))),0),N(INDEX('Daily Sale entry '!$S$1:$S$1501,$J2754-1499))-'Opening Balance'!$B$15*(N(INDEX('Daily Sale entry '!$S$1:$S$1501,$J2754-1499))-TRUNC(N(INDEX('Daily Sale entry '!$S$1:$S$1501,$J2754-1499))))))</f>
        <v/>
      </c>
      <c r="G2754" s="6">
        <f>IF($J2754="","",IF($J2754&lt;=1500,N(INDEX('Daily Sale entry '!$AD$1:$AD$1501,$J2754+1)),0))</f>
        <v/>
      </c>
      <c r="H2754" s="6">
        <f>IF($J2754="","",ROUND('Opening Balance'!$B$4+SUM($F$2:F2754)-SUM($G$2:G2754),2))</f>
        <v/>
      </c>
      <c r="J2754" s="21">
        <f>IFERROR(MATCH(ROW()-1,$L$2:$L$3001,0),"")</f>
        <v/>
      </c>
      <c r="K2754" s="34">
        <f>IF(AND('Daily Sale entry '!Q1254="Collection 收款",'Daily Sale entry '!R1254="Cheque 支票",'Daily Sale entry '!V1254&lt;&gt;""),'Daily Sale entry '!V1254+ROW()/10000000,"")</f>
        <v/>
      </c>
      <c r="L2754" s="21">
        <f>IF(K2754="","",COUNTIF($K$2:$K$3001,"&lt;"&amp;K2754)+1)</f>
        <v/>
      </c>
    </row>
    <row r="2755">
      <c r="A2755" s="5">
        <f>IF($J2755="","",IF($J2755&lt;=1500,INDEX('Daily Sale entry '!$X$1:$X$1501,$J2755+1),INDEX('Daily Sale entry '!$V$1:$V$1501,$J2755-1499)))</f>
        <v/>
      </c>
      <c r="B2755">
        <f>IF($J2755="","",IF($J2755&lt;=1500,INDEX('Daily Sale entry '!$Y$1:$Y$1501,$J2755+1)&amp;"","Buyer cheque banked 买家支票存入"&amp;IF(INDEX('Daily Sale entry '!$U$1:$U$1501,$J2755-1499)="","", " - "&amp;INDEX('Daily Sale entry '!$U$1:$U$1501,$J2755-1499))))</f>
        <v/>
      </c>
      <c r="C2755">
        <f>IF($J2755="","",IF($J2755&lt;=1500,INDEX('Daily Sale entry '!$Z$1:$Z$1501,$J2755+1)&amp;"","Cheque deposit 支票存入 (buyer 买家)"))</f>
        <v/>
      </c>
      <c r="D2755">
        <f>IF($J2755="","",IF($J2755&lt;=1500,INDEX('Daily Sale entry '!$AA$1:$AA$1501,$J2755+1)&amp;"",INDEX('Daily Sale entry '!$P$1:$P$1501,$J2755-1499)&amp;""))</f>
        <v/>
      </c>
      <c r="E2755">
        <f>IF($J2755="","",IF($J2755&lt;=1500,IF(N(INDEX('Daily Sale entry '!$AB$1:$AB$1501,$J2755+1))=0,"",INDEX('Daily Sale entry '!$AB$1:$AB$1501,$J2755+1)),1))</f>
        <v/>
      </c>
      <c r="F2755" s="6">
        <f>IF($J2755="","",IF($J2755&lt;=1500,N(INDEX('Daily Sale entry '!$AC$1:$AC$1501,$J2755+1))-IF(AND('Opening Balance'!$B$15=1,INDEX('Daily Sale entry '!$Z$1:$Z$1501,$J2755+1)="Online collection 网上收款",INDEX('Daily Sale entry '!$AA$1:$AA$1501,$J2755+1)&lt;&gt;""),N(INDEX('Daily Sale entry '!$AC$1:$AC$1501,$J2755+1))-TRUNC(N(INDEX('Daily Sale entry '!$AC$1:$AC$1501,$J2755+1))),0),N(INDEX('Daily Sale entry '!$S$1:$S$1501,$J2755-1499))-'Opening Balance'!$B$15*(N(INDEX('Daily Sale entry '!$S$1:$S$1501,$J2755-1499))-TRUNC(N(INDEX('Daily Sale entry '!$S$1:$S$1501,$J2755-1499))))))</f>
        <v/>
      </c>
      <c r="G2755" s="6">
        <f>IF($J2755="","",IF($J2755&lt;=1500,N(INDEX('Daily Sale entry '!$AD$1:$AD$1501,$J2755+1)),0))</f>
        <v/>
      </c>
      <c r="H2755" s="6">
        <f>IF($J2755="","",ROUND('Opening Balance'!$B$4+SUM($F$2:F2755)-SUM($G$2:G2755),2))</f>
        <v/>
      </c>
      <c r="J2755" s="21">
        <f>IFERROR(MATCH(ROW()-1,$L$2:$L$3001,0),"")</f>
        <v/>
      </c>
      <c r="K2755" s="34">
        <f>IF(AND('Daily Sale entry '!Q1255="Collection 收款",'Daily Sale entry '!R1255="Cheque 支票",'Daily Sale entry '!V1255&lt;&gt;""),'Daily Sale entry '!V1255+ROW()/10000000,"")</f>
        <v/>
      </c>
      <c r="L2755" s="21">
        <f>IF(K2755="","",COUNTIF($K$2:$K$3001,"&lt;"&amp;K2755)+1)</f>
        <v/>
      </c>
    </row>
    <row r="2756">
      <c r="A2756" s="5">
        <f>IF($J2756="","",IF($J2756&lt;=1500,INDEX('Daily Sale entry '!$X$1:$X$1501,$J2756+1),INDEX('Daily Sale entry '!$V$1:$V$1501,$J2756-1499)))</f>
        <v/>
      </c>
      <c r="B2756">
        <f>IF($J2756="","",IF($J2756&lt;=1500,INDEX('Daily Sale entry '!$Y$1:$Y$1501,$J2756+1)&amp;"","Buyer cheque banked 买家支票存入"&amp;IF(INDEX('Daily Sale entry '!$U$1:$U$1501,$J2756-1499)="","", " - "&amp;INDEX('Daily Sale entry '!$U$1:$U$1501,$J2756-1499))))</f>
        <v/>
      </c>
      <c r="C2756">
        <f>IF($J2756="","",IF($J2756&lt;=1500,INDEX('Daily Sale entry '!$Z$1:$Z$1501,$J2756+1)&amp;"","Cheque deposit 支票存入 (buyer 买家)"))</f>
        <v/>
      </c>
      <c r="D2756">
        <f>IF($J2756="","",IF($J2756&lt;=1500,INDEX('Daily Sale entry '!$AA$1:$AA$1501,$J2756+1)&amp;"",INDEX('Daily Sale entry '!$P$1:$P$1501,$J2756-1499)&amp;""))</f>
        <v/>
      </c>
      <c r="E2756">
        <f>IF($J2756="","",IF($J2756&lt;=1500,IF(N(INDEX('Daily Sale entry '!$AB$1:$AB$1501,$J2756+1))=0,"",INDEX('Daily Sale entry '!$AB$1:$AB$1501,$J2756+1)),1))</f>
        <v/>
      </c>
      <c r="F2756" s="6">
        <f>IF($J2756="","",IF($J2756&lt;=1500,N(INDEX('Daily Sale entry '!$AC$1:$AC$1501,$J2756+1))-IF(AND('Opening Balance'!$B$15=1,INDEX('Daily Sale entry '!$Z$1:$Z$1501,$J2756+1)="Online collection 网上收款",INDEX('Daily Sale entry '!$AA$1:$AA$1501,$J2756+1)&lt;&gt;""),N(INDEX('Daily Sale entry '!$AC$1:$AC$1501,$J2756+1))-TRUNC(N(INDEX('Daily Sale entry '!$AC$1:$AC$1501,$J2756+1))),0),N(INDEX('Daily Sale entry '!$S$1:$S$1501,$J2756-1499))-'Opening Balance'!$B$15*(N(INDEX('Daily Sale entry '!$S$1:$S$1501,$J2756-1499))-TRUNC(N(INDEX('Daily Sale entry '!$S$1:$S$1501,$J2756-1499))))))</f>
        <v/>
      </c>
      <c r="G2756" s="6">
        <f>IF($J2756="","",IF($J2756&lt;=1500,N(INDEX('Daily Sale entry '!$AD$1:$AD$1501,$J2756+1)),0))</f>
        <v/>
      </c>
      <c r="H2756" s="6">
        <f>IF($J2756="","",ROUND('Opening Balance'!$B$4+SUM($F$2:F2756)-SUM($G$2:G2756),2))</f>
        <v/>
      </c>
      <c r="J2756" s="21">
        <f>IFERROR(MATCH(ROW()-1,$L$2:$L$3001,0),"")</f>
        <v/>
      </c>
      <c r="K2756" s="34">
        <f>IF(AND('Daily Sale entry '!Q1256="Collection 收款",'Daily Sale entry '!R1256="Cheque 支票",'Daily Sale entry '!V1256&lt;&gt;""),'Daily Sale entry '!V1256+ROW()/10000000,"")</f>
        <v/>
      </c>
      <c r="L2756" s="21">
        <f>IF(K2756="","",COUNTIF($K$2:$K$3001,"&lt;"&amp;K2756)+1)</f>
        <v/>
      </c>
    </row>
    <row r="2757">
      <c r="A2757" s="5">
        <f>IF($J2757="","",IF($J2757&lt;=1500,INDEX('Daily Sale entry '!$X$1:$X$1501,$J2757+1),INDEX('Daily Sale entry '!$V$1:$V$1501,$J2757-1499)))</f>
        <v/>
      </c>
      <c r="B2757">
        <f>IF($J2757="","",IF($J2757&lt;=1500,INDEX('Daily Sale entry '!$Y$1:$Y$1501,$J2757+1)&amp;"","Buyer cheque banked 买家支票存入"&amp;IF(INDEX('Daily Sale entry '!$U$1:$U$1501,$J2757-1499)="","", " - "&amp;INDEX('Daily Sale entry '!$U$1:$U$1501,$J2757-1499))))</f>
        <v/>
      </c>
      <c r="C2757">
        <f>IF($J2757="","",IF($J2757&lt;=1500,INDEX('Daily Sale entry '!$Z$1:$Z$1501,$J2757+1)&amp;"","Cheque deposit 支票存入 (buyer 买家)"))</f>
        <v/>
      </c>
      <c r="D2757">
        <f>IF($J2757="","",IF($J2757&lt;=1500,INDEX('Daily Sale entry '!$AA$1:$AA$1501,$J2757+1)&amp;"",INDEX('Daily Sale entry '!$P$1:$P$1501,$J2757-1499)&amp;""))</f>
        <v/>
      </c>
      <c r="E2757">
        <f>IF($J2757="","",IF($J2757&lt;=1500,IF(N(INDEX('Daily Sale entry '!$AB$1:$AB$1501,$J2757+1))=0,"",INDEX('Daily Sale entry '!$AB$1:$AB$1501,$J2757+1)),1))</f>
        <v/>
      </c>
      <c r="F2757" s="6">
        <f>IF($J2757="","",IF($J2757&lt;=1500,N(INDEX('Daily Sale entry '!$AC$1:$AC$1501,$J2757+1))-IF(AND('Opening Balance'!$B$15=1,INDEX('Daily Sale entry '!$Z$1:$Z$1501,$J2757+1)="Online collection 网上收款",INDEX('Daily Sale entry '!$AA$1:$AA$1501,$J2757+1)&lt;&gt;""),N(INDEX('Daily Sale entry '!$AC$1:$AC$1501,$J2757+1))-TRUNC(N(INDEX('Daily Sale entry '!$AC$1:$AC$1501,$J2757+1))),0),N(INDEX('Daily Sale entry '!$S$1:$S$1501,$J2757-1499))-'Opening Balance'!$B$15*(N(INDEX('Daily Sale entry '!$S$1:$S$1501,$J2757-1499))-TRUNC(N(INDEX('Daily Sale entry '!$S$1:$S$1501,$J2757-1499))))))</f>
        <v/>
      </c>
      <c r="G2757" s="6">
        <f>IF($J2757="","",IF($J2757&lt;=1500,N(INDEX('Daily Sale entry '!$AD$1:$AD$1501,$J2757+1)),0))</f>
        <v/>
      </c>
      <c r="H2757" s="6">
        <f>IF($J2757="","",ROUND('Opening Balance'!$B$4+SUM($F$2:F2757)-SUM($G$2:G2757),2))</f>
        <v/>
      </c>
      <c r="J2757" s="21">
        <f>IFERROR(MATCH(ROW()-1,$L$2:$L$3001,0),"")</f>
        <v/>
      </c>
      <c r="K2757" s="34">
        <f>IF(AND('Daily Sale entry '!Q1257="Collection 收款",'Daily Sale entry '!R1257="Cheque 支票",'Daily Sale entry '!V1257&lt;&gt;""),'Daily Sale entry '!V1257+ROW()/10000000,"")</f>
        <v/>
      </c>
      <c r="L2757" s="21">
        <f>IF(K2757="","",COUNTIF($K$2:$K$3001,"&lt;"&amp;K2757)+1)</f>
        <v/>
      </c>
    </row>
    <row r="2758">
      <c r="A2758" s="5">
        <f>IF($J2758="","",IF($J2758&lt;=1500,INDEX('Daily Sale entry '!$X$1:$X$1501,$J2758+1),INDEX('Daily Sale entry '!$V$1:$V$1501,$J2758-1499)))</f>
        <v/>
      </c>
      <c r="B2758">
        <f>IF($J2758="","",IF($J2758&lt;=1500,INDEX('Daily Sale entry '!$Y$1:$Y$1501,$J2758+1)&amp;"","Buyer cheque banked 买家支票存入"&amp;IF(INDEX('Daily Sale entry '!$U$1:$U$1501,$J2758-1499)="","", " - "&amp;INDEX('Daily Sale entry '!$U$1:$U$1501,$J2758-1499))))</f>
        <v/>
      </c>
      <c r="C2758">
        <f>IF($J2758="","",IF($J2758&lt;=1500,INDEX('Daily Sale entry '!$Z$1:$Z$1501,$J2758+1)&amp;"","Cheque deposit 支票存入 (buyer 买家)"))</f>
        <v/>
      </c>
      <c r="D2758">
        <f>IF($J2758="","",IF($J2758&lt;=1500,INDEX('Daily Sale entry '!$AA$1:$AA$1501,$J2758+1)&amp;"",INDEX('Daily Sale entry '!$P$1:$P$1501,$J2758-1499)&amp;""))</f>
        <v/>
      </c>
      <c r="E2758">
        <f>IF($J2758="","",IF($J2758&lt;=1500,IF(N(INDEX('Daily Sale entry '!$AB$1:$AB$1501,$J2758+1))=0,"",INDEX('Daily Sale entry '!$AB$1:$AB$1501,$J2758+1)),1))</f>
        <v/>
      </c>
      <c r="F2758" s="6">
        <f>IF($J2758="","",IF($J2758&lt;=1500,N(INDEX('Daily Sale entry '!$AC$1:$AC$1501,$J2758+1))-IF(AND('Opening Balance'!$B$15=1,INDEX('Daily Sale entry '!$Z$1:$Z$1501,$J2758+1)="Online collection 网上收款",INDEX('Daily Sale entry '!$AA$1:$AA$1501,$J2758+1)&lt;&gt;""),N(INDEX('Daily Sale entry '!$AC$1:$AC$1501,$J2758+1))-TRUNC(N(INDEX('Daily Sale entry '!$AC$1:$AC$1501,$J2758+1))),0),N(INDEX('Daily Sale entry '!$S$1:$S$1501,$J2758-1499))-'Opening Balance'!$B$15*(N(INDEX('Daily Sale entry '!$S$1:$S$1501,$J2758-1499))-TRUNC(N(INDEX('Daily Sale entry '!$S$1:$S$1501,$J2758-1499))))))</f>
        <v/>
      </c>
      <c r="G2758" s="6">
        <f>IF($J2758="","",IF($J2758&lt;=1500,N(INDEX('Daily Sale entry '!$AD$1:$AD$1501,$J2758+1)),0))</f>
        <v/>
      </c>
      <c r="H2758" s="6">
        <f>IF($J2758="","",ROUND('Opening Balance'!$B$4+SUM($F$2:F2758)-SUM($G$2:G2758),2))</f>
        <v/>
      </c>
      <c r="J2758" s="21">
        <f>IFERROR(MATCH(ROW()-1,$L$2:$L$3001,0),"")</f>
        <v/>
      </c>
      <c r="K2758" s="34">
        <f>IF(AND('Daily Sale entry '!Q1258="Collection 收款",'Daily Sale entry '!R1258="Cheque 支票",'Daily Sale entry '!V1258&lt;&gt;""),'Daily Sale entry '!V1258+ROW()/10000000,"")</f>
        <v/>
      </c>
      <c r="L2758" s="21">
        <f>IF(K2758="","",COUNTIF($K$2:$K$3001,"&lt;"&amp;K2758)+1)</f>
        <v/>
      </c>
    </row>
    <row r="2759">
      <c r="A2759" s="5">
        <f>IF($J2759="","",IF($J2759&lt;=1500,INDEX('Daily Sale entry '!$X$1:$X$1501,$J2759+1),INDEX('Daily Sale entry '!$V$1:$V$1501,$J2759-1499)))</f>
        <v/>
      </c>
      <c r="B2759">
        <f>IF($J2759="","",IF($J2759&lt;=1500,INDEX('Daily Sale entry '!$Y$1:$Y$1501,$J2759+1)&amp;"","Buyer cheque banked 买家支票存入"&amp;IF(INDEX('Daily Sale entry '!$U$1:$U$1501,$J2759-1499)="","", " - "&amp;INDEX('Daily Sale entry '!$U$1:$U$1501,$J2759-1499))))</f>
        <v/>
      </c>
      <c r="C2759">
        <f>IF($J2759="","",IF($J2759&lt;=1500,INDEX('Daily Sale entry '!$Z$1:$Z$1501,$J2759+1)&amp;"","Cheque deposit 支票存入 (buyer 买家)"))</f>
        <v/>
      </c>
      <c r="D2759">
        <f>IF($J2759="","",IF($J2759&lt;=1500,INDEX('Daily Sale entry '!$AA$1:$AA$1501,$J2759+1)&amp;"",INDEX('Daily Sale entry '!$P$1:$P$1501,$J2759-1499)&amp;""))</f>
        <v/>
      </c>
      <c r="E2759">
        <f>IF($J2759="","",IF($J2759&lt;=1500,IF(N(INDEX('Daily Sale entry '!$AB$1:$AB$1501,$J2759+1))=0,"",INDEX('Daily Sale entry '!$AB$1:$AB$1501,$J2759+1)),1))</f>
        <v/>
      </c>
      <c r="F2759" s="6">
        <f>IF($J2759="","",IF($J2759&lt;=1500,N(INDEX('Daily Sale entry '!$AC$1:$AC$1501,$J2759+1))-IF(AND('Opening Balance'!$B$15=1,INDEX('Daily Sale entry '!$Z$1:$Z$1501,$J2759+1)="Online collection 网上收款",INDEX('Daily Sale entry '!$AA$1:$AA$1501,$J2759+1)&lt;&gt;""),N(INDEX('Daily Sale entry '!$AC$1:$AC$1501,$J2759+1))-TRUNC(N(INDEX('Daily Sale entry '!$AC$1:$AC$1501,$J2759+1))),0),N(INDEX('Daily Sale entry '!$S$1:$S$1501,$J2759-1499))-'Opening Balance'!$B$15*(N(INDEX('Daily Sale entry '!$S$1:$S$1501,$J2759-1499))-TRUNC(N(INDEX('Daily Sale entry '!$S$1:$S$1501,$J2759-1499))))))</f>
        <v/>
      </c>
      <c r="G2759" s="6">
        <f>IF($J2759="","",IF($J2759&lt;=1500,N(INDEX('Daily Sale entry '!$AD$1:$AD$1501,$J2759+1)),0))</f>
        <v/>
      </c>
      <c r="H2759" s="6">
        <f>IF($J2759="","",ROUND('Opening Balance'!$B$4+SUM($F$2:F2759)-SUM($G$2:G2759),2))</f>
        <v/>
      </c>
      <c r="J2759" s="21">
        <f>IFERROR(MATCH(ROW()-1,$L$2:$L$3001,0),"")</f>
        <v/>
      </c>
      <c r="K2759" s="34">
        <f>IF(AND('Daily Sale entry '!Q1259="Collection 收款",'Daily Sale entry '!R1259="Cheque 支票",'Daily Sale entry '!V1259&lt;&gt;""),'Daily Sale entry '!V1259+ROW()/10000000,"")</f>
        <v/>
      </c>
      <c r="L2759" s="21">
        <f>IF(K2759="","",COUNTIF($K$2:$K$3001,"&lt;"&amp;K2759)+1)</f>
        <v/>
      </c>
    </row>
    <row r="2760">
      <c r="A2760" s="5">
        <f>IF($J2760="","",IF($J2760&lt;=1500,INDEX('Daily Sale entry '!$X$1:$X$1501,$J2760+1),INDEX('Daily Sale entry '!$V$1:$V$1501,$J2760-1499)))</f>
        <v/>
      </c>
      <c r="B2760">
        <f>IF($J2760="","",IF($J2760&lt;=1500,INDEX('Daily Sale entry '!$Y$1:$Y$1501,$J2760+1)&amp;"","Buyer cheque banked 买家支票存入"&amp;IF(INDEX('Daily Sale entry '!$U$1:$U$1501,$J2760-1499)="","", " - "&amp;INDEX('Daily Sale entry '!$U$1:$U$1501,$J2760-1499))))</f>
        <v/>
      </c>
      <c r="C2760">
        <f>IF($J2760="","",IF($J2760&lt;=1500,INDEX('Daily Sale entry '!$Z$1:$Z$1501,$J2760+1)&amp;"","Cheque deposit 支票存入 (buyer 买家)"))</f>
        <v/>
      </c>
      <c r="D2760">
        <f>IF($J2760="","",IF($J2760&lt;=1500,INDEX('Daily Sale entry '!$AA$1:$AA$1501,$J2760+1)&amp;"",INDEX('Daily Sale entry '!$P$1:$P$1501,$J2760-1499)&amp;""))</f>
        <v/>
      </c>
      <c r="E2760">
        <f>IF($J2760="","",IF($J2760&lt;=1500,IF(N(INDEX('Daily Sale entry '!$AB$1:$AB$1501,$J2760+1))=0,"",INDEX('Daily Sale entry '!$AB$1:$AB$1501,$J2760+1)),1))</f>
        <v/>
      </c>
      <c r="F2760" s="6">
        <f>IF($J2760="","",IF($J2760&lt;=1500,N(INDEX('Daily Sale entry '!$AC$1:$AC$1501,$J2760+1))-IF(AND('Opening Balance'!$B$15=1,INDEX('Daily Sale entry '!$Z$1:$Z$1501,$J2760+1)="Online collection 网上收款",INDEX('Daily Sale entry '!$AA$1:$AA$1501,$J2760+1)&lt;&gt;""),N(INDEX('Daily Sale entry '!$AC$1:$AC$1501,$J2760+1))-TRUNC(N(INDEX('Daily Sale entry '!$AC$1:$AC$1501,$J2760+1))),0),N(INDEX('Daily Sale entry '!$S$1:$S$1501,$J2760-1499))-'Opening Balance'!$B$15*(N(INDEX('Daily Sale entry '!$S$1:$S$1501,$J2760-1499))-TRUNC(N(INDEX('Daily Sale entry '!$S$1:$S$1501,$J2760-1499))))))</f>
        <v/>
      </c>
      <c r="G2760" s="6">
        <f>IF($J2760="","",IF($J2760&lt;=1500,N(INDEX('Daily Sale entry '!$AD$1:$AD$1501,$J2760+1)),0))</f>
        <v/>
      </c>
      <c r="H2760" s="6">
        <f>IF($J2760="","",ROUND('Opening Balance'!$B$4+SUM($F$2:F2760)-SUM($G$2:G2760),2))</f>
        <v/>
      </c>
      <c r="J2760" s="21">
        <f>IFERROR(MATCH(ROW()-1,$L$2:$L$3001,0),"")</f>
        <v/>
      </c>
      <c r="K2760" s="34">
        <f>IF(AND('Daily Sale entry '!Q1260="Collection 收款",'Daily Sale entry '!R1260="Cheque 支票",'Daily Sale entry '!V1260&lt;&gt;""),'Daily Sale entry '!V1260+ROW()/10000000,"")</f>
        <v/>
      </c>
      <c r="L2760" s="21">
        <f>IF(K2760="","",COUNTIF($K$2:$K$3001,"&lt;"&amp;K2760)+1)</f>
        <v/>
      </c>
    </row>
    <row r="2761">
      <c r="A2761" s="5">
        <f>IF($J2761="","",IF($J2761&lt;=1500,INDEX('Daily Sale entry '!$X$1:$X$1501,$J2761+1),INDEX('Daily Sale entry '!$V$1:$V$1501,$J2761-1499)))</f>
        <v/>
      </c>
      <c r="B2761">
        <f>IF($J2761="","",IF($J2761&lt;=1500,INDEX('Daily Sale entry '!$Y$1:$Y$1501,$J2761+1)&amp;"","Buyer cheque banked 买家支票存入"&amp;IF(INDEX('Daily Sale entry '!$U$1:$U$1501,$J2761-1499)="","", " - "&amp;INDEX('Daily Sale entry '!$U$1:$U$1501,$J2761-1499))))</f>
        <v/>
      </c>
      <c r="C2761">
        <f>IF($J2761="","",IF($J2761&lt;=1500,INDEX('Daily Sale entry '!$Z$1:$Z$1501,$J2761+1)&amp;"","Cheque deposit 支票存入 (buyer 买家)"))</f>
        <v/>
      </c>
      <c r="D2761">
        <f>IF($J2761="","",IF($J2761&lt;=1500,INDEX('Daily Sale entry '!$AA$1:$AA$1501,$J2761+1)&amp;"",INDEX('Daily Sale entry '!$P$1:$P$1501,$J2761-1499)&amp;""))</f>
        <v/>
      </c>
      <c r="E2761">
        <f>IF($J2761="","",IF($J2761&lt;=1500,IF(N(INDEX('Daily Sale entry '!$AB$1:$AB$1501,$J2761+1))=0,"",INDEX('Daily Sale entry '!$AB$1:$AB$1501,$J2761+1)),1))</f>
        <v/>
      </c>
      <c r="F2761" s="6">
        <f>IF($J2761="","",IF($J2761&lt;=1500,N(INDEX('Daily Sale entry '!$AC$1:$AC$1501,$J2761+1))-IF(AND('Opening Balance'!$B$15=1,INDEX('Daily Sale entry '!$Z$1:$Z$1501,$J2761+1)="Online collection 网上收款",INDEX('Daily Sale entry '!$AA$1:$AA$1501,$J2761+1)&lt;&gt;""),N(INDEX('Daily Sale entry '!$AC$1:$AC$1501,$J2761+1))-TRUNC(N(INDEX('Daily Sale entry '!$AC$1:$AC$1501,$J2761+1))),0),N(INDEX('Daily Sale entry '!$S$1:$S$1501,$J2761-1499))-'Opening Balance'!$B$15*(N(INDEX('Daily Sale entry '!$S$1:$S$1501,$J2761-1499))-TRUNC(N(INDEX('Daily Sale entry '!$S$1:$S$1501,$J2761-1499))))))</f>
        <v/>
      </c>
      <c r="G2761" s="6">
        <f>IF($J2761="","",IF($J2761&lt;=1500,N(INDEX('Daily Sale entry '!$AD$1:$AD$1501,$J2761+1)),0))</f>
        <v/>
      </c>
      <c r="H2761" s="6">
        <f>IF($J2761="","",ROUND('Opening Balance'!$B$4+SUM($F$2:F2761)-SUM($G$2:G2761),2))</f>
        <v/>
      </c>
      <c r="J2761" s="21">
        <f>IFERROR(MATCH(ROW()-1,$L$2:$L$3001,0),"")</f>
        <v/>
      </c>
      <c r="K2761" s="34">
        <f>IF(AND('Daily Sale entry '!Q1261="Collection 收款",'Daily Sale entry '!R1261="Cheque 支票",'Daily Sale entry '!V1261&lt;&gt;""),'Daily Sale entry '!V1261+ROW()/10000000,"")</f>
        <v/>
      </c>
      <c r="L2761" s="21">
        <f>IF(K2761="","",COUNTIF($K$2:$K$3001,"&lt;"&amp;K2761)+1)</f>
        <v/>
      </c>
    </row>
    <row r="2762">
      <c r="A2762" s="5">
        <f>IF($J2762="","",IF($J2762&lt;=1500,INDEX('Daily Sale entry '!$X$1:$X$1501,$J2762+1),INDEX('Daily Sale entry '!$V$1:$V$1501,$J2762-1499)))</f>
        <v/>
      </c>
      <c r="B2762">
        <f>IF($J2762="","",IF($J2762&lt;=1500,INDEX('Daily Sale entry '!$Y$1:$Y$1501,$J2762+1)&amp;"","Buyer cheque banked 买家支票存入"&amp;IF(INDEX('Daily Sale entry '!$U$1:$U$1501,$J2762-1499)="","", " - "&amp;INDEX('Daily Sale entry '!$U$1:$U$1501,$J2762-1499))))</f>
        <v/>
      </c>
      <c r="C2762">
        <f>IF($J2762="","",IF($J2762&lt;=1500,INDEX('Daily Sale entry '!$Z$1:$Z$1501,$J2762+1)&amp;"","Cheque deposit 支票存入 (buyer 买家)"))</f>
        <v/>
      </c>
      <c r="D2762">
        <f>IF($J2762="","",IF($J2762&lt;=1500,INDEX('Daily Sale entry '!$AA$1:$AA$1501,$J2762+1)&amp;"",INDEX('Daily Sale entry '!$P$1:$P$1501,$J2762-1499)&amp;""))</f>
        <v/>
      </c>
      <c r="E2762">
        <f>IF($J2762="","",IF($J2762&lt;=1500,IF(N(INDEX('Daily Sale entry '!$AB$1:$AB$1501,$J2762+1))=0,"",INDEX('Daily Sale entry '!$AB$1:$AB$1501,$J2762+1)),1))</f>
        <v/>
      </c>
      <c r="F2762" s="6">
        <f>IF($J2762="","",IF($J2762&lt;=1500,N(INDEX('Daily Sale entry '!$AC$1:$AC$1501,$J2762+1))-IF(AND('Opening Balance'!$B$15=1,INDEX('Daily Sale entry '!$Z$1:$Z$1501,$J2762+1)="Online collection 网上收款",INDEX('Daily Sale entry '!$AA$1:$AA$1501,$J2762+1)&lt;&gt;""),N(INDEX('Daily Sale entry '!$AC$1:$AC$1501,$J2762+1))-TRUNC(N(INDEX('Daily Sale entry '!$AC$1:$AC$1501,$J2762+1))),0),N(INDEX('Daily Sale entry '!$S$1:$S$1501,$J2762-1499))-'Opening Balance'!$B$15*(N(INDEX('Daily Sale entry '!$S$1:$S$1501,$J2762-1499))-TRUNC(N(INDEX('Daily Sale entry '!$S$1:$S$1501,$J2762-1499))))))</f>
        <v/>
      </c>
      <c r="G2762" s="6">
        <f>IF($J2762="","",IF($J2762&lt;=1500,N(INDEX('Daily Sale entry '!$AD$1:$AD$1501,$J2762+1)),0))</f>
        <v/>
      </c>
      <c r="H2762" s="6">
        <f>IF($J2762="","",ROUND('Opening Balance'!$B$4+SUM($F$2:F2762)-SUM($G$2:G2762),2))</f>
        <v/>
      </c>
      <c r="J2762" s="21">
        <f>IFERROR(MATCH(ROW()-1,$L$2:$L$3001,0),"")</f>
        <v/>
      </c>
      <c r="K2762" s="34">
        <f>IF(AND('Daily Sale entry '!Q1262="Collection 收款",'Daily Sale entry '!R1262="Cheque 支票",'Daily Sale entry '!V1262&lt;&gt;""),'Daily Sale entry '!V1262+ROW()/10000000,"")</f>
        <v/>
      </c>
      <c r="L2762" s="21">
        <f>IF(K2762="","",COUNTIF($K$2:$K$3001,"&lt;"&amp;K2762)+1)</f>
        <v/>
      </c>
    </row>
    <row r="2763">
      <c r="A2763" s="5">
        <f>IF($J2763="","",IF($J2763&lt;=1500,INDEX('Daily Sale entry '!$X$1:$X$1501,$J2763+1),INDEX('Daily Sale entry '!$V$1:$V$1501,$J2763-1499)))</f>
        <v/>
      </c>
      <c r="B2763">
        <f>IF($J2763="","",IF($J2763&lt;=1500,INDEX('Daily Sale entry '!$Y$1:$Y$1501,$J2763+1)&amp;"","Buyer cheque banked 买家支票存入"&amp;IF(INDEX('Daily Sale entry '!$U$1:$U$1501,$J2763-1499)="","", " - "&amp;INDEX('Daily Sale entry '!$U$1:$U$1501,$J2763-1499))))</f>
        <v/>
      </c>
      <c r="C2763">
        <f>IF($J2763="","",IF($J2763&lt;=1500,INDEX('Daily Sale entry '!$Z$1:$Z$1501,$J2763+1)&amp;"","Cheque deposit 支票存入 (buyer 买家)"))</f>
        <v/>
      </c>
      <c r="D2763">
        <f>IF($J2763="","",IF($J2763&lt;=1500,INDEX('Daily Sale entry '!$AA$1:$AA$1501,$J2763+1)&amp;"",INDEX('Daily Sale entry '!$P$1:$P$1501,$J2763-1499)&amp;""))</f>
        <v/>
      </c>
      <c r="E2763">
        <f>IF($J2763="","",IF($J2763&lt;=1500,IF(N(INDEX('Daily Sale entry '!$AB$1:$AB$1501,$J2763+1))=0,"",INDEX('Daily Sale entry '!$AB$1:$AB$1501,$J2763+1)),1))</f>
        <v/>
      </c>
      <c r="F2763" s="6">
        <f>IF($J2763="","",IF($J2763&lt;=1500,N(INDEX('Daily Sale entry '!$AC$1:$AC$1501,$J2763+1))-IF(AND('Opening Balance'!$B$15=1,INDEX('Daily Sale entry '!$Z$1:$Z$1501,$J2763+1)="Online collection 网上收款",INDEX('Daily Sale entry '!$AA$1:$AA$1501,$J2763+1)&lt;&gt;""),N(INDEX('Daily Sale entry '!$AC$1:$AC$1501,$J2763+1))-TRUNC(N(INDEX('Daily Sale entry '!$AC$1:$AC$1501,$J2763+1))),0),N(INDEX('Daily Sale entry '!$S$1:$S$1501,$J2763-1499))-'Opening Balance'!$B$15*(N(INDEX('Daily Sale entry '!$S$1:$S$1501,$J2763-1499))-TRUNC(N(INDEX('Daily Sale entry '!$S$1:$S$1501,$J2763-1499))))))</f>
        <v/>
      </c>
      <c r="G2763" s="6">
        <f>IF($J2763="","",IF($J2763&lt;=1500,N(INDEX('Daily Sale entry '!$AD$1:$AD$1501,$J2763+1)),0))</f>
        <v/>
      </c>
      <c r="H2763" s="6">
        <f>IF($J2763="","",ROUND('Opening Balance'!$B$4+SUM($F$2:F2763)-SUM($G$2:G2763),2))</f>
        <v/>
      </c>
      <c r="J2763" s="21">
        <f>IFERROR(MATCH(ROW()-1,$L$2:$L$3001,0),"")</f>
        <v/>
      </c>
      <c r="K2763" s="34">
        <f>IF(AND('Daily Sale entry '!Q1263="Collection 收款",'Daily Sale entry '!R1263="Cheque 支票",'Daily Sale entry '!V1263&lt;&gt;""),'Daily Sale entry '!V1263+ROW()/10000000,"")</f>
        <v/>
      </c>
      <c r="L2763" s="21">
        <f>IF(K2763="","",COUNTIF($K$2:$K$3001,"&lt;"&amp;K2763)+1)</f>
        <v/>
      </c>
    </row>
    <row r="2764">
      <c r="A2764" s="5">
        <f>IF($J2764="","",IF($J2764&lt;=1500,INDEX('Daily Sale entry '!$X$1:$X$1501,$J2764+1),INDEX('Daily Sale entry '!$V$1:$V$1501,$J2764-1499)))</f>
        <v/>
      </c>
      <c r="B2764">
        <f>IF($J2764="","",IF($J2764&lt;=1500,INDEX('Daily Sale entry '!$Y$1:$Y$1501,$J2764+1)&amp;"","Buyer cheque banked 买家支票存入"&amp;IF(INDEX('Daily Sale entry '!$U$1:$U$1501,$J2764-1499)="","", " - "&amp;INDEX('Daily Sale entry '!$U$1:$U$1501,$J2764-1499))))</f>
        <v/>
      </c>
      <c r="C2764">
        <f>IF($J2764="","",IF($J2764&lt;=1500,INDEX('Daily Sale entry '!$Z$1:$Z$1501,$J2764+1)&amp;"","Cheque deposit 支票存入 (buyer 买家)"))</f>
        <v/>
      </c>
      <c r="D2764">
        <f>IF($J2764="","",IF($J2764&lt;=1500,INDEX('Daily Sale entry '!$AA$1:$AA$1501,$J2764+1)&amp;"",INDEX('Daily Sale entry '!$P$1:$P$1501,$J2764-1499)&amp;""))</f>
        <v/>
      </c>
      <c r="E2764">
        <f>IF($J2764="","",IF($J2764&lt;=1500,IF(N(INDEX('Daily Sale entry '!$AB$1:$AB$1501,$J2764+1))=0,"",INDEX('Daily Sale entry '!$AB$1:$AB$1501,$J2764+1)),1))</f>
        <v/>
      </c>
      <c r="F2764" s="6">
        <f>IF($J2764="","",IF($J2764&lt;=1500,N(INDEX('Daily Sale entry '!$AC$1:$AC$1501,$J2764+1))-IF(AND('Opening Balance'!$B$15=1,INDEX('Daily Sale entry '!$Z$1:$Z$1501,$J2764+1)="Online collection 网上收款",INDEX('Daily Sale entry '!$AA$1:$AA$1501,$J2764+1)&lt;&gt;""),N(INDEX('Daily Sale entry '!$AC$1:$AC$1501,$J2764+1))-TRUNC(N(INDEX('Daily Sale entry '!$AC$1:$AC$1501,$J2764+1))),0),N(INDEX('Daily Sale entry '!$S$1:$S$1501,$J2764-1499))-'Opening Balance'!$B$15*(N(INDEX('Daily Sale entry '!$S$1:$S$1501,$J2764-1499))-TRUNC(N(INDEX('Daily Sale entry '!$S$1:$S$1501,$J2764-1499))))))</f>
        <v/>
      </c>
      <c r="G2764" s="6">
        <f>IF($J2764="","",IF($J2764&lt;=1500,N(INDEX('Daily Sale entry '!$AD$1:$AD$1501,$J2764+1)),0))</f>
        <v/>
      </c>
      <c r="H2764" s="6">
        <f>IF($J2764="","",ROUND('Opening Balance'!$B$4+SUM($F$2:F2764)-SUM($G$2:G2764),2))</f>
        <v/>
      </c>
      <c r="J2764" s="21">
        <f>IFERROR(MATCH(ROW()-1,$L$2:$L$3001,0),"")</f>
        <v/>
      </c>
      <c r="K2764" s="34">
        <f>IF(AND('Daily Sale entry '!Q1264="Collection 收款",'Daily Sale entry '!R1264="Cheque 支票",'Daily Sale entry '!V1264&lt;&gt;""),'Daily Sale entry '!V1264+ROW()/10000000,"")</f>
        <v/>
      </c>
      <c r="L2764" s="21">
        <f>IF(K2764="","",COUNTIF($K$2:$K$3001,"&lt;"&amp;K2764)+1)</f>
        <v/>
      </c>
    </row>
    <row r="2765">
      <c r="A2765" s="5">
        <f>IF($J2765="","",IF($J2765&lt;=1500,INDEX('Daily Sale entry '!$X$1:$X$1501,$J2765+1),INDEX('Daily Sale entry '!$V$1:$V$1501,$J2765-1499)))</f>
        <v/>
      </c>
      <c r="B2765">
        <f>IF($J2765="","",IF($J2765&lt;=1500,INDEX('Daily Sale entry '!$Y$1:$Y$1501,$J2765+1)&amp;"","Buyer cheque banked 买家支票存入"&amp;IF(INDEX('Daily Sale entry '!$U$1:$U$1501,$J2765-1499)="","", " - "&amp;INDEX('Daily Sale entry '!$U$1:$U$1501,$J2765-1499))))</f>
        <v/>
      </c>
      <c r="C2765">
        <f>IF($J2765="","",IF($J2765&lt;=1500,INDEX('Daily Sale entry '!$Z$1:$Z$1501,$J2765+1)&amp;"","Cheque deposit 支票存入 (buyer 买家)"))</f>
        <v/>
      </c>
      <c r="D2765">
        <f>IF($J2765="","",IF($J2765&lt;=1500,INDEX('Daily Sale entry '!$AA$1:$AA$1501,$J2765+1)&amp;"",INDEX('Daily Sale entry '!$P$1:$P$1501,$J2765-1499)&amp;""))</f>
        <v/>
      </c>
      <c r="E2765">
        <f>IF($J2765="","",IF($J2765&lt;=1500,IF(N(INDEX('Daily Sale entry '!$AB$1:$AB$1501,$J2765+1))=0,"",INDEX('Daily Sale entry '!$AB$1:$AB$1501,$J2765+1)),1))</f>
        <v/>
      </c>
      <c r="F2765" s="6">
        <f>IF($J2765="","",IF($J2765&lt;=1500,N(INDEX('Daily Sale entry '!$AC$1:$AC$1501,$J2765+1))-IF(AND('Opening Balance'!$B$15=1,INDEX('Daily Sale entry '!$Z$1:$Z$1501,$J2765+1)="Online collection 网上收款",INDEX('Daily Sale entry '!$AA$1:$AA$1501,$J2765+1)&lt;&gt;""),N(INDEX('Daily Sale entry '!$AC$1:$AC$1501,$J2765+1))-TRUNC(N(INDEX('Daily Sale entry '!$AC$1:$AC$1501,$J2765+1))),0),N(INDEX('Daily Sale entry '!$S$1:$S$1501,$J2765-1499))-'Opening Balance'!$B$15*(N(INDEX('Daily Sale entry '!$S$1:$S$1501,$J2765-1499))-TRUNC(N(INDEX('Daily Sale entry '!$S$1:$S$1501,$J2765-1499))))))</f>
        <v/>
      </c>
      <c r="G2765" s="6">
        <f>IF($J2765="","",IF($J2765&lt;=1500,N(INDEX('Daily Sale entry '!$AD$1:$AD$1501,$J2765+1)),0))</f>
        <v/>
      </c>
      <c r="H2765" s="6">
        <f>IF($J2765="","",ROUND('Opening Balance'!$B$4+SUM($F$2:F2765)-SUM($G$2:G2765),2))</f>
        <v/>
      </c>
      <c r="J2765" s="21">
        <f>IFERROR(MATCH(ROW()-1,$L$2:$L$3001,0),"")</f>
        <v/>
      </c>
      <c r="K2765" s="34">
        <f>IF(AND('Daily Sale entry '!Q1265="Collection 收款",'Daily Sale entry '!R1265="Cheque 支票",'Daily Sale entry '!V1265&lt;&gt;""),'Daily Sale entry '!V1265+ROW()/10000000,"")</f>
        <v/>
      </c>
      <c r="L2765" s="21">
        <f>IF(K2765="","",COUNTIF($K$2:$K$3001,"&lt;"&amp;K2765)+1)</f>
        <v/>
      </c>
    </row>
    <row r="2766">
      <c r="A2766" s="5">
        <f>IF($J2766="","",IF($J2766&lt;=1500,INDEX('Daily Sale entry '!$X$1:$X$1501,$J2766+1),INDEX('Daily Sale entry '!$V$1:$V$1501,$J2766-1499)))</f>
        <v/>
      </c>
      <c r="B2766">
        <f>IF($J2766="","",IF($J2766&lt;=1500,INDEX('Daily Sale entry '!$Y$1:$Y$1501,$J2766+1)&amp;"","Buyer cheque banked 买家支票存入"&amp;IF(INDEX('Daily Sale entry '!$U$1:$U$1501,$J2766-1499)="","", " - "&amp;INDEX('Daily Sale entry '!$U$1:$U$1501,$J2766-1499))))</f>
        <v/>
      </c>
      <c r="C2766">
        <f>IF($J2766="","",IF($J2766&lt;=1500,INDEX('Daily Sale entry '!$Z$1:$Z$1501,$J2766+1)&amp;"","Cheque deposit 支票存入 (buyer 买家)"))</f>
        <v/>
      </c>
      <c r="D2766">
        <f>IF($J2766="","",IF($J2766&lt;=1500,INDEX('Daily Sale entry '!$AA$1:$AA$1501,$J2766+1)&amp;"",INDEX('Daily Sale entry '!$P$1:$P$1501,$J2766-1499)&amp;""))</f>
        <v/>
      </c>
      <c r="E2766">
        <f>IF($J2766="","",IF($J2766&lt;=1500,IF(N(INDEX('Daily Sale entry '!$AB$1:$AB$1501,$J2766+1))=0,"",INDEX('Daily Sale entry '!$AB$1:$AB$1501,$J2766+1)),1))</f>
        <v/>
      </c>
      <c r="F2766" s="6">
        <f>IF($J2766="","",IF($J2766&lt;=1500,N(INDEX('Daily Sale entry '!$AC$1:$AC$1501,$J2766+1))-IF(AND('Opening Balance'!$B$15=1,INDEX('Daily Sale entry '!$Z$1:$Z$1501,$J2766+1)="Online collection 网上收款",INDEX('Daily Sale entry '!$AA$1:$AA$1501,$J2766+1)&lt;&gt;""),N(INDEX('Daily Sale entry '!$AC$1:$AC$1501,$J2766+1))-TRUNC(N(INDEX('Daily Sale entry '!$AC$1:$AC$1501,$J2766+1))),0),N(INDEX('Daily Sale entry '!$S$1:$S$1501,$J2766-1499))-'Opening Balance'!$B$15*(N(INDEX('Daily Sale entry '!$S$1:$S$1501,$J2766-1499))-TRUNC(N(INDEX('Daily Sale entry '!$S$1:$S$1501,$J2766-1499))))))</f>
        <v/>
      </c>
      <c r="G2766" s="6">
        <f>IF($J2766="","",IF($J2766&lt;=1500,N(INDEX('Daily Sale entry '!$AD$1:$AD$1501,$J2766+1)),0))</f>
        <v/>
      </c>
      <c r="H2766" s="6">
        <f>IF($J2766="","",ROUND('Opening Balance'!$B$4+SUM($F$2:F2766)-SUM($G$2:G2766),2))</f>
        <v/>
      </c>
      <c r="J2766" s="21">
        <f>IFERROR(MATCH(ROW()-1,$L$2:$L$3001,0),"")</f>
        <v/>
      </c>
      <c r="K2766" s="34">
        <f>IF(AND('Daily Sale entry '!Q1266="Collection 收款",'Daily Sale entry '!R1266="Cheque 支票",'Daily Sale entry '!V1266&lt;&gt;""),'Daily Sale entry '!V1266+ROW()/10000000,"")</f>
        <v/>
      </c>
      <c r="L2766" s="21">
        <f>IF(K2766="","",COUNTIF($K$2:$K$3001,"&lt;"&amp;K2766)+1)</f>
        <v/>
      </c>
    </row>
    <row r="2767">
      <c r="A2767" s="5">
        <f>IF($J2767="","",IF($J2767&lt;=1500,INDEX('Daily Sale entry '!$X$1:$X$1501,$J2767+1),INDEX('Daily Sale entry '!$V$1:$V$1501,$J2767-1499)))</f>
        <v/>
      </c>
      <c r="B2767">
        <f>IF($J2767="","",IF($J2767&lt;=1500,INDEX('Daily Sale entry '!$Y$1:$Y$1501,$J2767+1)&amp;"","Buyer cheque banked 买家支票存入"&amp;IF(INDEX('Daily Sale entry '!$U$1:$U$1501,$J2767-1499)="","", " - "&amp;INDEX('Daily Sale entry '!$U$1:$U$1501,$J2767-1499))))</f>
        <v/>
      </c>
      <c r="C2767">
        <f>IF($J2767="","",IF($J2767&lt;=1500,INDEX('Daily Sale entry '!$Z$1:$Z$1501,$J2767+1)&amp;"","Cheque deposit 支票存入 (buyer 买家)"))</f>
        <v/>
      </c>
      <c r="D2767">
        <f>IF($J2767="","",IF($J2767&lt;=1500,INDEX('Daily Sale entry '!$AA$1:$AA$1501,$J2767+1)&amp;"",INDEX('Daily Sale entry '!$P$1:$P$1501,$J2767-1499)&amp;""))</f>
        <v/>
      </c>
      <c r="E2767">
        <f>IF($J2767="","",IF($J2767&lt;=1500,IF(N(INDEX('Daily Sale entry '!$AB$1:$AB$1501,$J2767+1))=0,"",INDEX('Daily Sale entry '!$AB$1:$AB$1501,$J2767+1)),1))</f>
        <v/>
      </c>
      <c r="F2767" s="6">
        <f>IF($J2767="","",IF($J2767&lt;=1500,N(INDEX('Daily Sale entry '!$AC$1:$AC$1501,$J2767+1))-IF(AND('Opening Balance'!$B$15=1,INDEX('Daily Sale entry '!$Z$1:$Z$1501,$J2767+1)="Online collection 网上收款",INDEX('Daily Sale entry '!$AA$1:$AA$1501,$J2767+1)&lt;&gt;""),N(INDEX('Daily Sale entry '!$AC$1:$AC$1501,$J2767+1))-TRUNC(N(INDEX('Daily Sale entry '!$AC$1:$AC$1501,$J2767+1))),0),N(INDEX('Daily Sale entry '!$S$1:$S$1501,$J2767-1499))-'Opening Balance'!$B$15*(N(INDEX('Daily Sale entry '!$S$1:$S$1501,$J2767-1499))-TRUNC(N(INDEX('Daily Sale entry '!$S$1:$S$1501,$J2767-1499))))))</f>
        <v/>
      </c>
      <c r="G2767" s="6">
        <f>IF($J2767="","",IF($J2767&lt;=1500,N(INDEX('Daily Sale entry '!$AD$1:$AD$1501,$J2767+1)),0))</f>
        <v/>
      </c>
      <c r="H2767" s="6">
        <f>IF($J2767="","",ROUND('Opening Balance'!$B$4+SUM($F$2:F2767)-SUM($G$2:G2767),2))</f>
        <v/>
      </c>
      <c r="J2767" s="21">
        <f>IFERROR(MATCH(ROW()-1,$L$2:$L$3001,0),"")</f>
        <v/>
      </c>
      <c r="K2767" s="34">
        <f>IF(AND('Daily Sale entry '!Q1267="Collection 收款",'Daily Sale entry '!R1267="Cheque 支票",'Daily Sale entry '!V1267&lt;&gt;""),'Daily Sale entry '!V1267+ROW()/10000000,"")</f>
        <v/>
      </c>
      <c r="L2767" s="21">
        <f>IF(K2767="","",COUNTIF($K$2:$K$3001,"&lt;"&amp;K2767)+1)</f>
        <v/>
      </c>
    </row>
    <row r="2768">
      <c r="A2768" s="5">
        <f>IF($J2768="","",IF($J2768&lt;=1500,INDEX('Daily Sale entry '!$X$1:$X$1501,$J2768+1),INDEX('Daily Sale entry '!$V$1:$V$1501,$J2768-1499)))</f>
        <v/>
      </c>
      <c r="B2768">
        <f>IF($J2768="","",IF($J2768&lt;=1500,INDEX('Daily Sale entry '!$Y$1:$Y$1501,$J2768+1)&amp;"","Buyer cheque banked 买家支票存入"&amp;IF(INDEX('Daily Sale entry '!$U$1:$U$1501,$J2768-1499)="","", " - "&amp;INDEX('Daily Sale entry '!$U$1:$U$1501,$J2768-1499))))</f>
        <v/>
      </c>
      <c r="C2768">
        <f>IF($J2768="","",IF($J2768&lt;=1500,INDEX('Daily Sale entry '!$Z$1:$Z$1501,$J2768+1)&amp;"","Cheque deposit 支票存入 (buyer 买家)"))</f>
        <v/>
      </c>
      <c r="D2768">
        <f>IF($J2768="","",IF($J2768&lt;=1500,INDEX('Daily Sale entry '!$AA$1:$AA$1501,$J2768+1)&amp;"",INDEX('Daily Sale entry '!$P$1:$P$1501,$J2768-1499)&amp;""))</f>
        <v/>
      </c>
      <c r="E2768">
        <f>IF($J2768="","",IF($J2768&lt;=1500,IF(N(INDEX('Daily Sale entry '!$AB$1:$AB$1501,$J2768+1))=0,"",INDEX('Daily Sale entry '!$AB$1:$AB$1501,$J2768+1)),1))</f>
        <v/>
      </c>
      <c r="F2768" s="6">
        <f>IF($J2768="","",IF($J2768&lt;=1500,N(INDEX('Daily Sale entry '!$AC$1:$AC$1501,$J2768+1))-IF(AND('Opening Balance'!$B$15=1,INDEX('Daily Sale entry '!$Z$1:$Z$1501,$J2768+1)="Online collection 网上收款",INDEX('Daily Sale entry '!$AA$1:$AA$1501,$J2768+1)&lt;&gt;""),N(INDEX('Daily Sale entry '!$AC$1:$AC$1501,$J2768+1))-TRUNC(N(INDEX('Daily Sale entry '!$AC$1:$AC$1501,$J2768+1))),0),N(INDEX('Daily Sale entry '!$S$1:$S$1501,$J2768-1499))-'Opening Balance'!$B$15*(N(INDEX('Daily Sale entry '!$S$1:$S$1501,$J2768-1499))-TRUNC(N(INDEX('Daily Sale entry '!$S$1:$S$1501,$J2768-1499))))))</f>
        <v/>
      </c>
      <c r="G2768" s="6">
        <f>IF($J2768="","",IF($J2768&lt;=1500,N(INDEX('Daily Sale entry '!$AD$1:$AD$1501,$J2768+1)),0))</f>
        <v/>
      </c>
      <c r="H2768" s="6">
        <f>IF($J2768="","",ROUND('Opening Balance'!$B$4+SUM($F$2:F2768)-SUM($G$2:G2768),2))</f>
        <v/>
      </c>
      <c r="J2768" s="21">
        <f>IFERROR(MATCH(ROW()-1,$L$2:$L$3001,0),"")</f>
        <v/>
      </c>
      <c r="K2768" s="34">
        <f>IF(AND('Daily Sale entry '!Q1268="Collection 收款",'Daily Sale entry '!R1268="Cheque 支票",'Daily Sale entry '!V1268&lt;&gt;""),'Daily Sale entry '!V1268+ROW()/10000000,"")</f>
        <v/>
      </c>
      <c r="L2768" s="21">
        <f>IF(K2768="","",COUNTIF($K$2:$K$3001,"&lt;"&amp;K2768)+1)</f>
        <v/>
      </c>
    </row>
    <row r="2769">
      <c r="A2769" s="5">
        <f>IF($J2769="","",IF($J2769&lt;=1500,INDEX('Daily Sale entry '!$X$1:$X$1501,$J2769+1),INDEX('Daily Sale entry '!$V$1:$V$1501,$J2769-1499)))</f>
        <v/>
      </c>
      <c r="B2769">
        <f>IF($J2769="","",IF($J2769&lt;=1500,INDEX('Daily Sale entry '!$Y$1:$Y$1501,$J2769+1)&amp;"","Buyer cheque banked 买家支票存入"&amp;IF(INDEX('Daily Sale entry '!$U$1:$U$1501,$J2769-1499)="","", " - "&amp;INDEX('Daily Sale entry '!$U$1:$U$1501,$J2769-1499))))</f>
        <v/>
      </c>
      <c r="C2769">
        <f>IF($J2769="","",IF($J2769&lt;=1500,INDEX('Daily Sale entry '!$Z$1:$Z$1501,$J2769+1)&amp;"","Cheque deposit 支票存入 (buyer 买家)"))</f>
        <v/>
      </c>
      <c r="D2769">
        <f>IF($J2769="","",IF($J2769&lt;=1500,INDEX('Daily Sale entry '!$AA$1:$AA$1501,$J2769+1)&amp;"",INDEX('Daily Sale entry '!$P$1:$P$1501,$J2769-1499)&amp;""))</f>
        <v/>
      </c>
      <c r="E2769">
        <f>IF($J2769="","",IF($J2769&lt;=1500,IF(N(INDEX('Daily Sale entry '!$AB$1:$AB$1501,$J2769+1))=0,"",INDEX('Daily Sale entry '!$AB$1:$AB$1501,$J2769+1)),1))</f>
        <v/>
      </c>
      <c r="F2769" s="6">
        <f>IF($J2769="","",IF($J2769&lt;=1500,N(INDEX('Daily Sale entry '!$AC$1:$AC$1501,$J2769+1))-IF(AND('Opening Balance'!$B$15=1,INDEX('Daily Sale entry '!$Z$1:$Z$1501,$J2769+1)="Online collection 网上收款",INDEX('Daily Sale entry '!$AA$1:$AA$1501,$J2769+1)&lt;&gt;""),N(INDEX('Daily Sale entry '!$AC$1:$AC$1501,$J2769+1))-TRUNC(N(INDEX('Daily Sale entry '!$AC$1:$AC$1501,$J2769+1))),0),N(INDEX('Daily Sale entry '!$S$1:$S$1501,$J2769-1499))-'Opening Balance'!$B$15*(N(INDEX('Daily Sale entry '!$S$1:$S$1501,$J2769-1499))-TRUNC(N(INDEX('Daily Sale entry '!$S$1:$S$1501,$J2769-1499))))))</f>
        <v/>
      </c>
      <c r="G2769" s="6">
        <f>IF($J2769="","",IF($J2769&lt;=1500,N(INDEX('Daily Sale entry '!$AD$1:$AD$1501,$J2769+1)),0))</f>
        <v/>
      </c>
      <c r="H2769" s="6">
        <f>IF($J2769="","",ROUND('Opening Balance'!$B$4+SUM($F$2:F2769)-SUM($G$2:G2769),2))</f>
        <v/>
      </c>
      <c r="J2769" s="21">
        <f>IFERROR(MATCH(ROW()-1,$L$2:$L$3001,0),"")</f>
        <v/>
      </c>
      <c r="K2769" s="34">
        <f>IF(AND('Daily Sale entry '!Q1269="Collection 收款",'Daily Sale entry '!R1269="Cheque 支票",'Daily Sale entry '!V1269&lt;&gt;""),'Daily Sale entry '!V1269+ROW()/10000000,"")</f>
        <v/>
      </c>
      <c r="L2769" s="21">
        <f>IF(K2769="","",COUNTIF($K$2:$K$3001,"&lt;"&amp;K2769)+1)</f>
        <v/>
      </c>
    </row>
    <row r="2770">
      <c r="A2770" s="5">
        <f>IF($J2770="","",IF($J2770&lt;=1500,INDEX('Daily Sale entry '!$X$1:$X$1501,$J2770+1),INDEX('Daily Sale entry '!$V$1:$V$1501,$J2770-1499)))</f>
        <v/>
      </c>
      <c r="B2770">
        <f>IF($J2770="","",IF($J2770&lt;=1500,INDEX('Daily Sale entry '!$Y$1:$Y$1501,$J2770+1)&amp;"","Buyer cheque banked 买家支票存入"&amp;IF(INDEX('Daily Sale entry '!$U$1:$U$1501,$J2770-1499)="","", " - "&amp;INDEX('Daily Sale entry '!$U$1:$U$1501,$J2770-1499))))</f>
        <v/>
      </c>
      <c r="C2770">
        <f>IF($J2770="","",IF($J2770&lt;=1500,INDEX('Daily Sale entry '!$Z$1:$Z$1501,$J2770+1)&amp;"","Cheque deposit 支票存入 (buyer 买家)"))</f>
        <v/>
      </c>
      <c r="D2770">
        <f>IF($J2770="","",IF($J2770&lt;=1500,INDEX('Daily Sale entry '!$AA$1:$AA$1501,$J2770+1)&amp;"",INDEX('Daily Sale entry '!$P$1:$P$1501,$J2770-1499)&amp;""))</f>
        <v/>
      </c>
      <c r="E2770">
        <f>IF($J2770="","",IF($J2770&lt;=1500,IF(N(INDEX('Daily Sale entry '!$AB$1:$AB$1501,$J2770+1))=0,"",INDEX('Daily Sale entry '!$AB$1:$AB$1501,$J2770+1)),1))</f>
        <v/>
      </c>
      <c r="F2770" s="6">
        <f>IF($J2770="","",IF($J2770&lt;=1500,N(INDEX('Daily Sale entry '!$AC$1:$AC$1501,$J2770+1))-IF(AND('Opening Balance'!$B$15=1,INDEX('Daily Sale entry '!$Z$1:$Z$1501,$J2770+1)="Online collection 网上收款",INDEX('Daily Sale entry '!$AA$1:$AA$1501,$J2770+1)&lt;&gt;""),N(INDEX('Daily Sale entry '!$AC$1:$AC$1501,$J2770+1))-TRUNC(N(INDEX('Daily Sale entry '!$AC$1:$AC$1501,$J2770+1))),0),N(INDEX('Daily Sale entry '!$S$1:$S$1501,$J2770-1499))-'Opening Balance'!$B$15*(N(INDEX('Daily Sale entry '!$S$1:$S$1501,$J2770-1499))-TRUNC(N(INDEX('Daily Sale entry '!$S$1:$S$1501,$J2770-1499))))))</f>
        <v/>
      </c>
      <c r="G2770" s="6">
        <f>IF($J2770="","",IF($J2770&lt;=1500,N(INDEX('Daily Sale entry '!$AD$1:$AD$1501,$J2770+1)),0))</f>
        <v/>
      </c>
      <c r="H2770" s="6">
        <f>IF($J2770="","",ROUND('Opening Balance'!$B$4+SUM($F$2:F2770)-SUM($G$2:G2770),2))</f>
        <v/>
      </c>
      <c r="J2770" s="21">
        <f>IFERROR(MATCH(ROW()-1,$L$2:$L$3001,0),"")</f>
        <v/>
      </c>
      <c r="K2770" s="34">
        <f>IF(AND('Daily Sale entry '!Q1270="Collection 收款",'Daily Sale entry '!R1270="Cheque 支票",'Daily Sale entry '!V1270&lt;&gt;""),'Daily Sale entry '!V1270+ROW()/10000000,"")</f>
        <v/>
      </c>
      <c r="L2770" s="21">
        <f>IF(K2770="","",COUNTIF($K$2:$K$3001,"&lt;"&amp;K2770)+1)</f>
        <v/>
      </c>
    </row>
    <row r="2771">
      <c r="A2771" s="5">
        <f>IF($J2771="","",IF($J2771&lt;=1500,INDEX('Daily Sale entry '!$X$1:$X$1501,$J2771+1),INDEX('Daily Sale entry '!$V$1:$V$1501,$J2771-1499)))</f>
        <v/>
      </c>
      <c r="B2771">
        <f>IF($J2771="","",IF($J2771&lt;=1500,INDEX('Daily Sale entry '!$Y$1:$Y$1501,$J2771+1)&amp;"","Buyer cheque banked 买家支票存入"&amp;IF(INDEX('Daily Sale entry '!$U$1:$U$1501,$J2771-1499)="","", " - "&amp;INDEX('Daily Sale entry '!$U$1:$U$1501,$J2771-1499))))</f>
        <v/>
      </c>
      <c r="C2771">
        <f>IF($J2771="","",IF($J2771&lt;=1500,INDEX('Daily Sale entry '!$Z$1:$Z$1501,$J2771+1)&amp;"","Cheque deposit 支票存入 (buyer 买家)"))</f>
        <v/>
      </c>
      <c r="D2771">
        <f>IF($J2771="","",IF($J2771&lt;=1500,INDEX('Daily Sale entry '!$AA$1:$AA$1501,$J2771+1)&amp;"",INDEX('Daily Sale entry '!$P$1:$P$1501,$J2771-1499)&amp;""))</f>
        <v/>
      </c>
      <c r="E2771">
        <f>IF($J2771="","",IF($J2771&lt;=1500,IF(N(INDEX('Daily Sale entry '!$AB$1:$AB$1501,$J2771+1))=0,"",INDEX('Daily Sale entry '!$AB$1:$AB$1501,$J2771+1)),1))</f>
        <v/>
      </c>
      <c r="F2771" s="6">
        <f>IF($J2771="","",IF($J2771&lt;=1500,N(INDEX('Daily Sale entry '!$AC$1:$AC$1501,$J2771+1))-IF(AND('Opening Balance'!$B$15=1,INDEX('Daily Sale entry '!$Z$1:$Z$1501,$J2771+1)="Online collection 网上收款",INDEX('Daily Sale entry '!$AA$1:$AA$1501,$J2771+1)&lt;&gt;""),N(INDEX('Daily Sale entry '!$AC$1:$AC$1501,$J2771+1))-TRUNC(N(INDEX('Daily Sale entry '!$AC$1:$AC$1501,$J2771+1))),0),N(INDEX('Daily Sale entry '!$S$1:$S$1501,$J2771-1499))-'Opening Balance'!$B$15*(N(INDEX('Daily Sale entry '!$S$1:$S$1501,$J2771-1499))-TRUNC(N(INDEX('Daily Sale entry '!$S$1:$S$1501,$J2771-1499))))))</f>
        <v/>
      </c>
      <c r="G2771" s="6">
        <f>IF($J2771="","",IF($J2771&lt;=1500,N(INDEX('Daily Sale entry '!$AD$1:$AD$1501,$J2771+1)),0))</f>
        <v/>
      </c>
      <c r="H2771" s="6">
        <f>IF($J2771="","",ROUND('Opening Balance'!$B$4+SUM($F$2:F2771)-SUM($G$2:G2771),2))</f>
        <v/>
      </c>
      <c r="J2771" s="21">
        <f>IFERROR(MATCH(ROW()-1,$L$2:$L$3001,0),"")</f>
        <v/>
      </c>
      <c r="K2771" s="34">
        <f>IF(AND('Daily Sale entry '!Q1271="Collection 收款",'Daily Sale entry '!R1271="Cheque 支票",'Daily Sale entry '!V1271&lt;&gt;""),'Daily Sale entry '!V1271+ROW()/10000000,"")</f>
        <v/>
      </c>
      <c r="L2771" s="21">
        <f>IF(K2771="","",COUNTIF($K$2:$K$3001,"&lt;"&amp;K2771)+1)</f>
        <v/>
      </c>
    </row>
    <row r="2772">
      <c r="A2772" s="5">
        <f>IF($J2772="","",IF($J2772&lt;=1500,INDEX('Daily Sale entry '!$X$1:$X$1501,$J2772+1),INDEX('Daily Sale entry '!$V$1:$V$1501,$J2772-1499)))</f>
        <v/>
      </c>
      <c r="B2772">
        <f>IF($J2772="","",IF($J2772&lt;=1500,INDEX('Daily Sale entry '!$Y$1:$Y$1501,$J2772+1)&amp;"","Buyer cheque banked 买家支票存入"&amp;IF(INDEX('Daily Sale entry '!$U$1:$U$1501,$J2772-1499)="","", " - "&amp;INDEX('Daily Sale entry '!$U$1:$U$1501,$J2772-1499))))</f>
        <v/>
      </c>
      <c r="C2772">
        <f>IF($J2772="","",IF($J2772&lt;=1500,INDEX('Daily Sale entry '!$Z$1:$Z$1501,$J2772+1)&amp;"","Cheque deposit 支票存入 (buyer 买家)"))</f>
        <v/>
      </c>
      <c r="D2772">
        <f>IF($J2772="","",IF($J2772&lt;=1500,INDEX('Daily Sale entry '!$AA$1:$AA$1501,$J2772+1)&amp;"",INDEX('Daily Sale entry '!$P$1:$P$1501,$J2772-1499)&amp;""))</f>
        <v/>
      </c>
      <c r="E2772">
        <f>IF($J2772="","",IF($J2772&lt;=1500,IF(N(INDEX('Daily Sale entry '!$AB$1:$AB$1501,$J2772+1))=0,"",INDEX('Daily Sale entry '!$AB$1:$AB$1501,$J2772+1)),1))</f>
        <v/>
      </c>
      <c r="F2772" s="6">
        <f>IF($J2772="","",IF($J2772&lt;=1500,N(INDEX('Daily Sale entry '!$AC$1:$AC$1501,$J2772+1))-IF(AND('Opening Balance'!$B$15=1,INDEX('Daily Sale entry '!$Z$1:$Z$1501,$J2772+1)="Online collection 网上收款",INDEX('Daily Sale entry '!$AA$1:$AA$1501,$J2772+1)&lt;&gt;""),N(INDEX('Daily Sale entry '!$AC$1:$AC$1501,$J2772+1))-TRUNC(N(INDEX('Daily Sale entry '!$AC$1:$AC$1501,$J2772+1))),0),N(INDEX('Daily Sale entry '!$S$1:$S$1501,$J2772-1499))-'Opening Balance'!$B$15*(N(INDEX('Daily Sale entry '!$S$1:$S$1501,$J2772-1499))-TRUNC(N(INDEX('Daily Sale entry '!$S$1:$S$1501,$J2772-1499))))))</f>
        <v/>
      </c>
      <c r="G2772" s="6">
        <f>IF($J2772="","",IF($J2772&lt;=1500,N(INDEX('Daily Sale entry '!$AD$1:$AD$1501,$J2772+1)),0))</f>
        <v/>
      </c>
      <c r="H2772" s="6">
        <f>IF($J2772="","",ROUND('Opening Balance'!$B$4+SUM($F$2:F2772)-SUM($G$2:G2772),2))</f>
        <v/>
      </c>
      <c r="J2772" s="21">
        <f>IFERROR(MATCH(ROW()-1,$L$2:$L$3001,0),"")</f>
        <v/>
      </c>
      <c r="K2772" s="34">
        <f>IF(AND('Daily Sale entry '!Q1272="Collection 收款",'Daily Sale entry '!R1272="Cheque 支票",'Daily Sale entry '!V1272&lt;&gt;""),'Daily Sale entry '!V1272+ROW()/10000000,"")</f>
        <v/>
      </c>
      <c r="L2772" s="21">
        <f>IF(K2772="","",COUNTIF($K$2:$K$3001,"&lt;"&amp;K2772)+1)</f>
        <v/>
      </c>
    </row>
    <row r="2773">
      <c r="A2773" s="5">
        <f>IF($J2773="","",IF($J2773&lt;=1500,INDEX('Daily Sale entry '!$X$1:$X$1501,$J2773+1),INDEX('Daily Sale entry '!$V$1:$V$1501,$J2773-1499)))</f>
        <v/>
      </c>
      <c r="B2773">
        <f>IF($J2773="","",IF($J2773&lt;=1500,INDEX('Daily Sale entry '!$Y$1:$Y$1501,$J2773+1)&amp;"","Buyer cheque banked 买家支票存入"&amp;IF(INDEX('Daily Sale entry '!$U$1:$U$1501,$J2773-1499)="","", " - "&amp;INDEX('Daily Sale entry '!$U$1:$U$1501,$J2773-1499))))</f>
        <v/>
      </c>
      <c r="C2773">
        <f>IF($J2773="","",IF($J2773&lt;=1500,INDEX('Daily Sale entry '!$Z$1:$Z$1501,$J2773+1)&amp;"","Cheque deposit 支票存入 (buyer 买家)"))</f>
        <v/>
      </c>
      <c r="D2773">
        <f>IF($J2773="","",IF($J2773&lt;=1500,INDEX('Daily Sale entry '!$AA$1:$AA$1501,$J2773+1)&amp;"",INDEX('Daily Sale entry '!$P$1:$P$1501,$J2773-1499)&amp;""))</f>
        <v/>
      </c>
      <c r="E2773">
        <f>IF($J2773="","",IF($J2773&lt;=1500,IF(N(INDEX('Daily Sale entry '!$AB$1:$AB$1501,$J2773+1))=0,"",INDEX('Daily Sale entry '!$AB$1:$AB$1501,$J2773+1)),1))</f>
        <v/>
      </c>
      <c r="F2773" s="6">
        <f>IF($J2773="","",IF($J2773&lt;=1500,N(INDEX('Daily Sale entry '!$AC$1:$AC$1501,$J2773+1))-IF(AND('Opening Balance'!$B$15=1,INDEX('Daily Sale entry '!$Z$1:$Z$1501,$J2773+1)="Online collection 网上收款",INDEX('Daily Sale entry '!$AA$1:$AA$1501,$J2773+1)&lt;&gt;""),N(INDEX('Daily Sale entry '!$AC$1:$AC$1501,$J2773+1))-TRUNC(N(INDEX('Daily Sale entry '!$AC$1:$AC$1501,$J2773+1))),0),N(INDEX('Daily Sale entry '!$S$1:$S$1501,$J2773-1499))-'Opening Balance'!$B$15*(N(INDEX('Daily Sale entry '!$S$1:$S$1501,$J2773-1499))-TRUNC(N(INDEX('Daily Sale entry '!$S$1:$S$1501,$J2773-1499))))))</f>
        <v/>
      </c>
      <c r="G2773" s="6">
        <f>IF($J2773="","",IF($J2773&lt;=1500,N(INDEX('Daily Sale entry '!$AD$1:$AD$1501,$J2773+1)),0))</f>
        <v/>
      </c>
      <c r="H2773" s="6">
        <f>IF($J2773="","",ROUND('Opening Balance'!$B$4+SUM($F$2:F2773)-SUM($G$2:G2773),2))</f>
        <v/>
      </c>
      <c r="J2773" s="21">
        <f>IFERROR(MATCH(ROW()-1,$L$2:$L$3001,0),"")</f>
        <v/>
      </c>
      <c r="K2773" s="34">
        <f>IF(AND('Daily Sale entry '!Q1273="Collection 收款",'Daily Sale entry '!R1273="Cheque 支票",'Daily Sale entry '!V1273&lt;&gt;""),'Daily Sale entry '!V1273+ROW()/10000000,"")</f>
        <v/>
      </c>
      <c r="L2773" s="21">
        <f>IF(K2773="","",COUNTIF($K$2:$K$3001,"&lt;"&amp;K2773)+1)</f>
        <v/>
      </c>
    </row>
    <row r="2774">
      <c r="A2774" s="5">
        <f>IF($J2774="","",IF($J2774&lt;=1500,INDEX('Daily Sale entry '!$X$1:$X$1501,$J2774+1),INDEX('Daily Sale entry '!$V$1:$V$1501,$J2774-1499)))</f>
        <v/>
      </c>
      <c r="B2774">
        <f>IF($J2774="","",IF($J2774&lt;=1500,INDEX('Daily Sale entry '!$Y$1:$Y$1501,$J2774+1)&amp;"","Buyer cheque banked 买家支票存入"&amp;IF(INDEX('Daily Sale entry '!$U$1:$U$1501,$J2774-1499)="","", " - "&amp;INDEX('Daily Sale entry '!$U$1:$U$1501,$J2774-1499))))</f>
        <v/>
      </c>
      <c r="C2774">
        <f>IF($J2774="","",IF($J2774&lt;=1500,INDEX('Daily Sale entry '!$Z$1:$Z$1501,$J2774+1)&amp;"","Cheque deposit 支票存入 (buyer 买家)"))</f>
        <v/>
      </c>
      <c r="D2774">
        <f>IF($J2774="","",IF($J2774&lt;=1500,INDEX('Daily Sale entry '!$AA$1:$AA$1501,$J2774+1)&amp;"",INDEX('Daily Sale entry '!$P$1:$P$1501,$J2774-1499)&amp;""))</f>
        <v/>
      </c>
      <c r="E2774">
        <f>IF($J2774="","",IF($J2774&lt;=1500,IF(N(INDEX('Daily Sale entry '!$AB$1:$AB$1501,$J2774+1))=0,"",INDEX('Daily Sale entry '!$AB$1:$AB$1501,$J2774+1)),1))</f>
        <v/>
      </c>
      <c r="F2774" s="6">
        <f>IF($J2774="","",IF($J2774&lt;=1500,N(INDEX('Daily Sale entry '!$AC$1:$AC$1501,$J2774+1))-IF(AND('Opening Balance'!$B$15=1,INDEX('Daily Sale entry '!$Z$1:$Z$1501,$J2774+1)="Online collection 网上收款",INDEX('Daily Sale entry '!$AA$1:$AA$1501,$J2774+1)&lt;&gt;""),N(INDEX('Daily Sale entry '!$AC$1:$AC$1501,$J2774+1))-TRUNC(N(INDEX('Daily Sale entry '!$AC$1:$AC$1501,$J2774+1))),0),N(INDEX('Daily Sale entry '!$S$1:$S$1501,$J2774-1499))-'Opening Balance'!$B$15*(N(INDEX('Daily Sale entry '!$S$1:$S$1501,$J2774-1499))-TRUNC(N(INDEX('Daily Sale entry '!$S$1:$S$1501,$J2774-1499))))))</f>
        <v/>
      </c>
      <c r="G2774" s="6">
        <f>IF($J2774="","",IF($J2774&lt;=1500,N(INDEX('Daily Sale entry '!$AD$1:$AD$1501,$J2774+1)),0))</f>
        <v/>
      </c>
      <c r="H2774" s="6">
        <f>IF($J2774="","",ROUND('Opening Balance'!$B$4+SUM($F$2:F2774)-SUM($G$2:G2774),2))</f>
        <v/>
      </c>
      <c r="J2774" s="21">
        <f>IFERROR(MATCH(ROW()-1,$L$2:$L$3001,0),"")</f>
        <v/>
      </c>
      <c r="K2774" s="34">
        <f>IF(AND('Daily Sale entry '!Q1274="Collection 收款",'Daily Sale entry '!R1274="Cheque 支票",'Daily Sale entry '!V1274&lt;&gt;""),'Daily Sale entry '!V1274+ROW()/10000000,"")</f>
        <v/>
      </c>
      <c r="L2774" s="21">
        <f>IF(K2774="","",COUNTIF($K$2:$K$3001,"&lt;"&amp;K2774)+1)</f>
        <v/>
      </c>
    </row>
    <row r="2775">
      <c r="A2775" s="5">
        <f>IF($J2775="","",IF($J2775&lt;=1500,INDEX('Daily Sale entry '!$X$1:$X$1501,$J2775+1),INDEX('Daily Sale entry '!$V$1:$V$1501,$J2775-1499)))</f>
        <v/>
      </c>
      <c r="B2775">
        <f>IF($J2775="","",IF($J2775&lt;=1500,INDEX('Daily Sale entry '!$Y$1:$Y$1501,$J2775+1)&amp;"","Buyer cheque banked 买家支票存入"&amp;IF(INDEX('Daily Sale entry '!$U$1:$U$1501,$J2775-1499)="","", " - "&amp;INDEX('Daily Sale entry '!$U$1:$U$1501,$J2775-1499))))</f>
        <v/>
      </c>
      <c r="C2775">
        <f>IF($J2775="","",IF($J2775&lt;=1500,INDEX('Daily Sale entry '!$Z$1:$Z$1501,$J2775+1)&amp;"","Cheque deposit 支票存入 (buyer 买家)"))</f>
        <v/>
      </c>
      <c r="D2775">
        <f>IF($J2775="","",IF($J2775&lt;=1500,INDEX('Daily Sale entry '!$AA$1:$AA$1501,$J2775+1)&amp;"",INDEX('Daily Sale entry '!$P$1:$P$1501,$J2775-1499)&amp;""))</f>
        <v/>
      </c>
      <c r="E2775">
        <f>IF($J2775="","",IF($J2775&lt;=1500,IF(N(INDEX('Daily Sale entry '!$AB$1:$AB$1501,$J2775+1))=0,"",INDEX('Daily Sale entry '!$AB$1:$AB$1501,$J2775+1)),1))</f>
        <v/>
      </c>
      <c r="F2775" s="6">
        <f>IF($J2775="","",IF($J2775&lt;=1500,N(INDEX('Daily Sale entry '!$AC$1:$AC$1501,$J2775+1))-IF(AND('Opening Balance'!$B$15=1,INDEX('Daily Sale entry '!$Z$1:$Z$1501,$J2775+1)="Online collection 网上收款",INDEX('Daily Sale entry '!$AA$1:$AA$1501,$J2775+1)&lt;&gt;""),N(INDEX('Daily Sale entry '!$AC$1:$AC$1501,$J2775+1))-TRUNC(N(INDEX('Daily Sale entry '!$AC$1:$AC$1501,$J2775+1))),0),N(INDEX('Daily Sale entry '!$S$1:$S$1501,$J2775-1499))-'Opening Balance'!$B$15*(N(INDEX('Daily Sale entry '!$S$1:$S$1501,$J2775-1499))-TRUNC(N(INDEX('Daily Sale entry '!$S$1:$S$1501,$J2775-1499))))))</f>
        <v/>
      </c>
      <c r="G2775" s="6">
        <f>IF($J2775="","",IF($J2775&lt;=1500,N(INDEX('Daily Sale entry '!$AD$1:$AD$1501,$J2775+1)),0))</f>
        <v/>
      </c>
      <c r="H2775" s="6">
        <f>IF($J2775="","",ROUND('Opening Balance'!$B$4+SUM($F$2:F2775)-SUM($G$2:G2775),2))</f>
        <v/>
      </c>
      <c r="J2775" s="21">
        <f>IFERROR(MATCH(ROW()-1,$L$2:$L$3001,0),"")</f>
        <v/>
      </c>
      <c r="K2775" s="34">
        <f>IF(AND('Daily Sale entry '!Q1275="Collection 收款",'Daily Sale entry '!R1275="Cheque 支票",'Daily Sale entry '!V1275&lt;&gt;""),'Daily Sale entry '!V1275+ROW()/10000000,"")</f>
        <v/>
      </c>
      <c r="L2775" s="21">
        <f>IF(K2775="","",COUNTIF($K$2:$K$3001,"&lt;"&amp;K2775)+1)</f>
        <v/>
      </c>
    </row>
    <row r="2776">
      <c r="A2776" s="5">
        <f>IF($J2776="","",IF($J2776&lt;=1500,INDEX('Daily Sale entry '!$X$1:$X$1501,$J2776+1),INDEX('Daily Sale entry '!$V$1:$V$1501,$J2776-1499)))</f>
        <v/>
      </c>
      <c r="B2776">
        <f>IF($J2776="","",IF($J2776&lt;=1500,INDEX('Daily Sale entry '!$Y$1:$Y$1501,$J2776+1)&amp;"","Buyer cheque banked 买家支票存入"&amp;IF(INDEX('Daily Sale entry '!$U$1:$U$1501,$J2776-1499)="","", " - "&amp;INDEX('Daily Sale entry '!$U$1:$U$1501,$J2776-1499))))</f>
        <v/>
      </c>
      <c r="C2776">
        <f>IF($J2776="","",IF($J2776&lt;=1500,INDEX('Daily Sale entry '!$Z$1:$Z$1501,$J2776+1)&amp;"","Cheque deposit 支票存入 (buyer 买家)"))</f>
        <v/>
      </c>
      <c r="D2776">
        <f>IF($J2776="","",IF($J2776&lt;=1500,INDEX('Daily Sale entry '!$AA$1:$AA$1501,$J2776+1)&amp;"",INDEX('Daily Sale entry '!$P$1:$P$1501,$J2776-1499)&amp;""))</f>
        <v/>
      </c>
      <c r="E2776">
        <f>IF($J2776="","",IF($J2776&lt;=1500,IF(N(INDEX('Daily Sale entry '!$AB$1:$AB$1501,$J2776+1))=0,"",INDEX('Daily Sale entry '!$AB$1:$AB$1501,$J2776+1)),1))</f>
        <v/>
      </c>
      <c r="F2776" s="6">
        <f>IF($J2776="","",IF($J2776&lt;=1500,N(INDEX('Daily Sale entry '!$AC$1:$AC$1501,$J2776+1))-IF(AND('Opening Balance'!$B$15=1,INDEX('Daily Sale entry '!$Z$1:$Z$1501,$J2776+1)="Online collection 网上收款",INDEX('Daily Sale entry '!$AA$1:$AA$1501,$J2776+1)&lt;&gt;""),N(INDEX('Daily Sale entry '!$AC$1:$AC$1501,$J2776+1))-TRUNC(N(INDEX('Daily Sale entry '!$AC$1:$AC$1501,$J2776+1))),0),N(INDEX('Daily Sale entry '!$S$1:$S$1501,$J2776-1499))-'Opening Balance'!$B$15*(N(INDEX('Daily Sale entry '!$S$1:$S$1501,$J2776-1499))-TRUNC(N(INDEX('Daily Sale entry '!$S$1:$S$1501,$J2776-1499))))))</f>
        <v/>
      </c>
      <c r="G2776" s="6">
        <f>IF($J2776="","",IF($J2776&lt;=1500,N(INDEX('Daily Sale entry '!$AD$1:$AD$1501,$J2776+1)),0))</f>
        <v/>
      </c>
      <c r="H2776" s="6">
        <f>IF($J2776="","",ROUND('Opening Balance'!$B$4+SUM($F$2:F2776)-SUM($G$2:G2776),2))</f>
        <v/>
      </c>
      <c r="J2776" s="21">
        <f>IFERROR(MATCH(ROW()-1,$L$2:$L$3001,0),"")</f>
        <v/>
      </c>
      <c r="K2776" s="34">
        <f>IF(AND('Daily Sale entry '!Q1276="Collection 收款",'Daily Sale entry '!R1276="Cheque 支票",'Daily Sale entry '!V1276&lt;&gt;""),'Daily Sale entry '!V1276+ROW()/10000000,"")</f>
        <v/>
      </c>
      <c r="L2776" s="21">
        <f>IF(K2776="","",COUNTIF($K$2:$K$3001,"&lt;"&amp;K2776)+1)</f>
        <v/>
      </c>
    </row>
    <row r="2777">
      <c r="A2777" s="5">
        <f>IF($J2777="","",IF($J2777&lt;=1500,INDEX('Daily Sale entry '!$X$1:$X$1501,$J2777+1),INDEX('Daily Sale entry '!$V$1:$V$1501,$J2777-1499)))</f>
        <v/>
      </c>
      <c r="B2777">
        <f>IF($J2777="","",IF($J2777&lt;=1500,INDEX('Daily Sale entry '!$Y$1:$Y$1501,$J2777+1)&amp;"","Buyer cheque banked 买家支票存入"&amp;IF(INDEX('Daily Sale entry '!$U$1:$U$1501,$J2777-1499)="","", " - "&amp;INDEX('Daily Sale entry '!$U$1:$U$1501,$J2777-1499))))</f>
        <v/>
      </c>
      <c r="C2777">
        <f>IF($J2777="","",IF($J2777&lt;=1500,INDEX('Daily Sale entry '!$Z$1:$Z$1501,$J2777+1)&amp;"","Cheque deposit 支票存入 (buyer 买家)"))</f>
        <v/>
      </c>
      <c r="D2777">
        <f>IF($J2777="","",IF($J2777&lt;=1500,INDEX('Daily Sale entry '!$AA$1:$AA$1501,$J2777+1)&amp;"",INDEX('Daily Sale entry '!$P$1:$P$1501,$J2777-1499)&amp;""))</f>
        <v/>
      </c>
      <c r="E2777">
        <f>IF($J2777="","",IF($J2777&lt;=1500,IF(N(INDEX('Daily Sale entry '!$AB$1:$AB$1501,$J2777+1))=0,"",INDEX('Daily Sale entry '!$AB$1:$AB$1501,$J2777+1)),1))</f>
        <v/>
      </c>
      <c r="F2777" s="6">
        <f>IF($J2777="","",IF($J2777&lt;=1500,N(INDEX('Daily Sale entry '!$AC$1:$AC$1501,$J2777+1))-IF(AND('Opening Balance'!$B$15=1,INDEX('Daily Sale entry '!$Z$1:$Z$1501,$J2777+1)="Online collection 网上收款",INDEX('Daily Sale entry '!$AA$1:$AA$1501,$J2777+1)&lt;&gt;""),N(INDEX('Daily Sale entry '!$AC$1:$AC$1501,$J2777+1))-TRUNC(N(INDEX('Daily Sale entry '!$AC$1:$AC$1501,$J2777+1))),0),N(INDEX('Daily Sale entry '!$S$1:$S$1501,$J2777-1499))-'Opening Balance'!$B$15*(N(INDEX('Daily Sale entry '!$S$1:$S$1501,$J2777-1499))-TRUNC(N(INDEX('Daily Sale entry '!$S$1:$S$1501,$J2777-1499))))))</f>
        <v/>
      </c>
      <c r="G2777" s="6">
        <f>IF($J2777="","",IF($J2777&lt;=1500,N(INDEX('Daily Sale entry '!$AD$1:$AD$1501,$J2777+1)),0))</f>
        <v/>
      </c>
      <c r="H2777" s="6">
        <f>IF($J2777="","",ROUND('Opening Balance'!$B$4+SUM($F$2:F2777)-SUM($G$2:G2777),2))</f>
        <v/>
      </c>
      <c r="J2777" s="21">
        <f>IFERROR(MATCH(ROW()-1,$L$2:$L$3001,0),"")</f>
        <v/>
      </c>
      <c r="K2777" s="34">
        <f>IF(AND('Daily Sale entry '!Q1277="Collection 收款",'Daily Sale entry '!R1277="Cheque 支票",'Daily Sale entry '!V1277&lt;&gt;""),'Daily Sale entry '!V1277+ROW()/10000000,"")</f>
        <v/>
      </c>
      <c r="L2777" s="21">
        <f>IF(K2777="","",COUNTIF($K$2:$K$3001,"&lt;"&amp;K2777)+1)</f>
        <v/>
      </c>
    </row>
    <row r="2778">
      <c r="A2778" s="5">
        <f>IF($J2778="","",IF($J2778&lt;=1500,INDEX('Daily Sale entry '!$X$1:$X$1501,$J2778+1),INDEX('Daily Sale entry '!$V$1:$V$1501,$J2778-1499)))</f>
        <v/>
      </c>
      <c r="B2778">
        <f>IF($J2778="","",IF($J2778&lt;=1500,INDEX('Daily Sale entry '!$Y$1:$Y$1501,$J2778+1)&amp;"","Buyer cheque banked 买家支票存入"&amp;IF(INDEX('Daily Sale entry '!$U$1:$U$1501,$J2778-1499)="","", " - "&amp;INDEX('Daily Sale entry '!$U$1:$U$1501,$J2778-1499))))</f>
        <v/>
      </c>
      <c r="C2778">
        <f>IF($J2778="","",IF($J2778&lt;=1500,INDEX('Daily Sale entry '!$Z$1:$Z$1501,$J2778+1)&amp;"","Cheque deposit 支票存入 (buyer 买家)"))</f>
        <v/>
      </c>
      <c r="D2778">
        <f>IF($J2778="","",IF($J2778&lt;=1500,INDEX('Daily Sale entry '!$AA$1:$AA$1501,$J2778+1)&amp;"",INDEX('Daily Sale entry '!$P$1:$P$1501,$J2778-1499)&amp;""))</f>
        <v/>
      </c>
      <c r="E2778">
        <f>IF($J2778="","",IF($J2778&lt;=1500,IF(N(INDEX('Daily Sale entry '!$AB$1:$AB$1501,$J2778+1))=0,"",INDEX('Daily Sale entry '!$AB$1:$AB$1501,$J2778+1)),1))</f>
        <v/>
      </c>
      <c r="F2778" s="6">
        <f>IF($J2778="","",IF($J2778&lt;=1500,N(INDEX('Daily Sale entry '!$AC$1:$AC$1501,$J2778+1))-IF(AND('Opening Balance'!$B$15=1,INDEX('Daily Sale entry '!$Z$1:$Z$1501,$J2778+1)="Online collection 网上收款",INDEX('Daily Sale entry '!$AA$1:$AA$1501,$J2778+1)&lt;&gt;""),N(INDEX('Daily Sale entry '!$AC$1:$AC$1501,$J2778+1))-TRUNC(N(INDEX('Daily Sale entry '!$AC$1:$AC$1501,$J2778+1))),0),N(INDEX('Daily Sale entry '!$S$1:$S$1501,$J2778-1499))-'Opening Balance'!$B$15*(N(INDEX('Daily Sale entry '!$S$1:$S$1501,$J2778-1499))-TRUNC(N(INDEX('Daily Sale entry '!$S$1:$S$1501,$J2778-1499))))))</f>
        <v/>
      </c>
      <c r="G2778" s="6">
        <f>IF($J2778="","",IF($J2778&lt;=1500,N(INDEX('Daily Sale entry '!$AD$1:$AD$1501,$J2778+1)),0))</f>
        <v/>
      </c>
      <c r="H2778" s="6">
        <f>IF($J2778="","",ROUND('Opening Balance'!$B$4+SUM($F$2:F2778)-SUM($G$2:G2778),2))</f>
        <v/>
      </c>
      <c r="J2778" s="21">
        <f>IFERROR(MATCH(ROW()-1,$L$2:$L$3001,0),"")</f>
        <v/>
      </c>
      <c r="K2778" s="34">
        <f>IF(AND('Daily Sale entry '!Q1278="Collection 收款",'Daily Sale entry '!R1278="Cheque 支票",'Daily Sale entry '!V1278&lt;&gt;""),'Daily Sale entry '!V1278+ROW()/10000000,"")</f>
        <v/>
      </c>
      <c r="L2778" s="21">
        <f>IF(K2778="","",COUNTIF($K$2:$K$3001,"&lt;"&amp;K2778)+1)</f>
        <v/>
      </c>
    </row>
    <row r="2779">
      <c r="A2779" s="5">
        <f>IF($J2779="","",IF($J2779&lt;=1500,INDEX('Daily Sale entry '!$X$1:$X$1501,$J2779+1),INDEX('Daily Sale entry '!$V$1:$V$1501,$J2779-1499)))</f>
        <v/>
      </c>
      <c r="B2779">
        <f>IF($J2779="","",IF($J2779&lt;=1500,INDEX('Daily Sale entry '!$Y$1:$Y$1501,$J2779+1)&amp;"","Buyer cheque banked 买家支票存入"&amp;IF(INDEX('Daily Sale entry '!$U$1:$U$1501,$J2779-1499)="","", " - "&amp;INDEX('Daily Sale entry '!$U$1:$U$1501,$J2779-1499))))</f>
        <v/>
      </c>
      <c r="C2779">
        <f>IF($J2779="","",IF($J2779&lt;=1500,INDEX('Daily Sale entry '!$Z$1:$Z$1501,$J2779+1)&amp;"","Cheque deposit 支票存入 (buyer 买家)"))</f>
        <v/>
      </c>
      <c r="D2779">
        <f>IF($J2779="","",IF($J2779&lt;=1500,INDEX('Daily Sale entry '!$AA$1:$AA$1501,$J2779+1)&amp;"",INDEX('Daily Sale entry '!$P$1:$P$1501,$J2779-1499)&amp;""))</f>
        <v/>
      </c>
      <c r="E2779">
        <f>IF($J2779="","",IF($J2779&lt;=1500,IF(N(INDEX('Daily Sale entry '!$AB$1:$AB$1501,$J2779+1))=0,"",INDEX('Daily Sale entry '!$AB$1:$AB$1501,$J2779+1)),1))</f>
        <v/>
      </c>
      <c r="F2779" s="6">
        <f>IF($J2779="","",IF($J2779&lt;=1500,N(INDEX('Daily Sale entry '!$AC$1:$AC$1501,$J2779+1))-IF(AND('Opening Balance'!$B$15=1,INDEX('Daily Sale entry '!$Z$1:$Z$1501,$J2779+1)="Online collection 网上收款",INDEX('Daily Sale entry '!$AA$1:$AA$1501,$J2779+1)&lt;&gt;""),N(INDEX('Daily Sale entry '!$AC$1:$AC$1501,$J2779+1))-TRUNC(N(INDEX('Daily Sale entry '!$AC$1:$AC$1501,$J2779+1))),0),N(INDEX('Daily Sale entry '!$S$1:$S$1501,$J2779-1499))-'Opening Balance'!$B$15*(N(INDEX('Daily Sale entry '!$S$1:$S$1501,$J2779-1499))-TRUNC(N(INDEX('Daily Sale entry '!$S$1:$S$1501,$J2779-1499))))))</f>
        <v/>
      </c>
      <c r="G2779" s="6">
        <f>IF($J2779="","",IF($J2779&lt;=1500,N(INDEX('Daily Sale entry '!$AD$1:$AD$1501,$J2779+1)),0))</f>
        <v/>
      </c>
      <c r="H2779" s="6">
        <f>IF($J2779="","",ROUND('Opening Balance'!$B$4+SUM($F$2:F2779)-SUM($G$2:G2779),2))</f>
        <v/>
      </c>
      <c r="J2779" s="21">
        <f>IFERROR(MATCH(ROW()-1,$L$2:$L$3001,0),"")</f>
        <v/>
      </c>
      <c r="K2779" s="34">
        <f>IF(AND('Daily Sale entry '!Q1279="Collection 收款",'Daily Sale entry '!R1279="Cheque 支票",'Daily Sale entry '!V1279&lt;&gt;""),'Daily Sale entry '!V1279+ROW()/10000000,"")</f>
        <v/>
      </c>
      <c r="L2779" s="21">
        <f>IF(K2779="","",COUNTIF($K$2:$K$3001,"&lt;"&amp;K2779)+1)</f>
        <v/>
      </c>
    </row>
    <row r="2780">
      <c r="A2780" s="5">
        <f>IF($J2780="","",IF($J2780&lt;=1500,INDEX('Daily Sale entry '!$X$1:$X$1501,$J2780+1),INDEX('Daily Sale entry '!$V$1:$V$1501,$J2780-1499)))</f>
        <v/>
      </c>
      <c r="B2780">
        <f>IF($J2780="","",IF($J2780&lt;=1500,INDEX('Daily Sale entry '!$Y$1:$Y$1501,$J2780+1)&amp;"","Buyer cheque banked 买家支票存入"&amp;IF(INDEX('Daily Sale entry '!$U$1:$U$1501,$J2780-1499)="","", " - "&amp;INDEX('Daily Sale entry '!$U$1:$U$1501,$J2780-1499))))</f>
        <v/>
      </c>
      <c r="C2780">
        <f>IF($J2780="","",IF($J2780&lt;=1500,INDEX('Daily Sale entry '!$Z$1:$Z$1501,$J2780+1)&amp;"","Cheque deposit 支票存入 (buyer 买家)"))</f>
        <v/>
      </c>
      <c r="D2780">
        <f>IF($J2780="","",IF($J2780&lt;=1500,INDEX('Daily Sale entry '!$AA$1:$AA$1501,$J2780+1)&amp;"",INDEX('Daily Sale entry '!$P$1:$P$1501,$J2780-1499)&amp;""))</f>
        <v/>
      </c>
      <c r="E2780">
        <f>IF($J2780="","",IF($J2780&lt;=1500,IF(N(INDEX('Daily Sale entry '!$AB$1:$AB$1501,$J2780+1))=0,"",INDEX('Daily Sale entry '!$AB$1:$AB$1501,$J2780+1)),1))</f>
        <v/>
      </c>
      <c r="F2780" s="6">
        <f>IF($J2780="","",IF($J2780&lt;=1500,N(INDEX('Daily Sale entry '!$AC$1:$AC$1501,$J2780+1))-IF(AND('Opening Balance'!$B$15=1,INDEX('Daily Sale entry '!$Z$1:$Z$1501,$J2780+1)="Online collection 网上收款",INDEX('Daily Sale entry '!$AA$1:$AA$1501,$J2780+1)&lt;&gt;""),N(INDEX('Daily Sale entry '!$AC$1:$AC$1501,$J2780+1))-TRUNC(N(INDEX('Daily Sale entry '!$AC$1:$AC$1501,$J2780+1))),0),N(INDEX('Daily Sale entry '!$S$1:$S$1501,$J2780-1499))-'Opening Balance'!$B$15*(N(INDEX('Daily Sale entry '!$S$1:$S$1501,$J2780-1499))-TRUNC(N(INDEX('Daily Sale entry '!$S$1:$S$1501,$J2780-1499))))))</f>
        <v/>
      </c>
      <c r="G2780" s="6">
        <f>IF($J2780="","",IF($J2780&lt;=1500,N(INDEX('Daily Sale entry '!$AD$1:$AD$1501,$J2780+1)),0))</f>
        <v/>
      </c>
      <c r="H2780" s="6">
        <f>IF($J2780="","",ROUND('Opening Balance'!$B$4+SUM($F$2:F2780)-SUM($G$2:G2780),2))</f>
        <v/>
      </c>
      <c r="J2780" s="21">
        <f>IFERROR(MATCH(ROW()-1,$L$2:$L$3001,0),"")</f>
        <v/>
      </c>
      <c r="K2780" s="34">
        <f>IF(AND('Daily Sale entry '!Q1280="Collection 收款",'Daily Sale entry '!R1280="Cheque 支票",'Daily Sale entry '!V1280&lt;&gt;""),'Daily Sale entry '!V1280+ROW()/10000000,"")</f>
        <v/>
      </c>
      <c r="L2780" s="21">
        <f>IF(K2780="","",COUNTIF($K$2:$K$3001,"&lt;"&amp;K2780)+1)</f>
        <v/>
      </c>
    </row>
    <row r="2781">
      <c r="A2781" s="5">
        <f>IF($J2781="","",IF($J2781&lt;=1500,INDEX('Daily Sale entry '!$X$1:$X$1501,$J2781+1),INDEX('Daily Sale entry '!$V$1:$V$1501,$J2781-1499)))</f>
        <v/>
      </c>
      <c r="B2781">
        <f>IF($J2781="","",IF($J2781&lt;=1500,INDEX('Daily Sale entry '!$Y$1:$Y$1501,$J2781+1)&amp;"","Buyer cheque banked 买家支票存入"&amp;IF(INDEX('Daily Sale entry '!$U$1:$U$1501,$J2781-1499)="","", " - "&amp;INDEX('Daily Sale entry '!$U$1:$U$1501,$J2781-1499))))</f>
        <v/>
      </c>
      <c r="C2781">
        <f>IF($J2781="","",IF($J2781&lt;=1500,INDEX('Daily Sale entry '!$Z$1:$Z$1501,$J2781+1)&amp;"","Cheque deposit 支票存入 (buyer 买家)"))</f>
        <v/>
      </c>
      <c r="D2781">
        <f>IF($J2781="","",IF($J2781&lt;=1500,INDEX('Daily Sale entry '!$AA$1:$AA$1501,$J2781+1)&amp;"",INDEX('Daily Sale entry '!$P$1:$P$1501,$J2781-1499)&amp;""))</f>
        <v/>
      </c>
      <c r="E2781">
        <f>IF($J2781="","",IF($J2781&lt;=1500,IF(N(INDEX('Daily Sale entry '!$AB$1:$AB$1501,$J2781+1))=0,"",INDEX('Daily Sale entry '!$AB$1:$AB$1501,$J2781+1)),1))</f>
        <v/>
      </c>
      <c r="F2781" s="6">
        <f>IF($J2781="","",IF($J2781&lt;=1500,N(INDEX('Daily Sale entry '!$AC$1:$AC$1501,$J2781+1))-IF(AND('Opening Balance'!$B$15=1,INDEX('Daily Sale entry '!$Z$1:$Z$1501,$J2781+1)="Online collection 网上收款",INDEX('Daily Sale entry '!$AA$1:$AA$1501,$J2781+1)&lt;&gt;""),N(INDEX('Daily Sale entry '!$AC$1:$AC$1501,$J2781+1))-TRUNC(N(INDEX('Daily Sale entry '!$AC$1:$AC$1501,$J2781+1))),0),N(INDEX('Daily Sale entry '!$S$1:$S$1501,$J2781-1499))-'Opening Balance'!$B$15*(N(INDEX('Daily Sale entry '!$S$1:$S$1501,$J2781-1499))-TRUNC(N(INDEX('Daily Sale entry '!$S$1:$S$1501,$J2781-1499))))))</f>
        <v/>
      </c>
      <c r="G2781" s="6">
        <f>IF($J2781="","",IF($J2781&lt;=1500,N(INDEX('Daily Sale entry '!$AD$1:$AD$1501,$J2781+1)),0))</f>
        <v/>
      </c>
      <c r="H2781" s="6">
        <f>IF($J2781="","",ROUND('Opening Balance'!$B$4+SUM($F$2:F2781)-SUM($G$2:G2781),2))</f>
        <v/>
      </c>
      <c r="J2781" s="21">
        <f>IFERROR(MATCH(ROW()-1,$L$2:$L$3001,0),"")</f>
        <v/>
      </c>
      <c r="K2781" s="34">
        <f>IF(AND('Daily Sale entry '!Q1281="Collection 收款",'Daily Sale entry '!R1281="Cheque 支票",'Daily Sale entry '!V1281&lt;&gt;""),'Daily Sale entry '!V1281+ROW()/10000000,"")</f>
        <v/>
      </c>
      <c r="L2781" s="21">
        <f>IF(K2781="","",COUNTIF($K$2:$K$3001,"&lt;"&amp;K2781)+1)</f>
        <v/>
      </c>
    </row>
    <row r="2782">
      <c r="A2782" s="5">
        <f>IF($J2782="","",IF($J2782&lt;=1500,INDEX('Daily Sale entry '!$X$1:$X$1501,$J2782+1),INDEX('Daily Sale entry '!$V$1:$V$1501,$J2782-1499)))</f>
        <v/>
      </c>
      <c r="B2782">
        <f>IF($J2782="","",IF($J2782&lt;=1500,INDEX('Daily Sale entry '!$Y$1:$Y$1501,$J2782+1)&amp;"","Buyer cheque banked 买家支票存入"&amp;IF(INDEX('Daily Sale entry '!$U$1:$U$1501,$J2782-1499)="","", " - "&amp;INDEX('Daily Sale entry '!$U$1:$U$1501,$J2782-1499))))</f>
        <v/>
      </c>
      <c r="C2782">
        <f>IF($J2782="","",IF($J2782&lt;=1500,INDEX('Daily Sale entry '!$Z$1:$Z$1501,$J2782+1)&amp;"","Cheque deposit 支票存入 (buyer 买家)"))</f>
        <v/>
      </c>
      <c r="D2782">
        <f>IF($J2782="","",IF($J2782&lt;=1500,INDEX('Daily Sale entry '!$AA$1:$AA$1501,$J2782+1)&amp;"",INDEX('Daily Sale entry '!$P$1:$P$1501,$J2782-1499)&amp;""))</f>
        <v/>
      </c>
      <c r="E2782">
        <f>IF($J2782="","",IF($J2782&lt;=1500,IF(N(INDEX('Daily Sale entry '!$AB$1:$AB$1501,$J2782+1))=0,"",INDEX('Daily Sale entry '!$AB$1:$AB$1501,$J2782+1)),1))</f>
        <v/>
      </c>
      <c r="F2782" s="6">
        <f>IF($J2782="","",IF($J2782&lt;=1500,N(INDEX('Daily Sale entry '!$AC$1:$AC$1501,$J2782+1))-IF(AND('Opening Balance'!$B$15=1,INDEX('Daily Sale entry '!$Z$1:$Z$1501,$J2782+1)="Online collection 网上收款",INDEX('Daily Sale entry '!$AA$1:$AA$1501,$J2782+1)&lt;&gt;""),N(INDEX('Daily Sale entry '!$AC$1:$AC$1501,$J2782+1))-TRUNC(N(INDEX('Daily Sale entry '!$AC$1:$AC$1501,$J2782+1))),0),N(INDEX('Daily Sale entry '!$S$1:$S$1501,$J2782-1499))-'Opening Balance'!$B$15*(N(INDEX('Daily Sale entry '!$S$1:$S$1501,$J2782-1499))-TRUNC(N(INDEX('Daily Sale entry '!$S$1:$S$1501,$J2782-1499))))))</f>
        <v/>
      </c>
      <c r="G2782" s="6">
        <f>IF($J2782="","",IF($J2782&lt;=1500,N(INDEX('Daily Sale entry '!$AD$1:$AD$1501,$J2782+1)),0))</f>
        <v/>
      </c>
      <c r="H2782" s="6">
        <f>IF($J2782="","",ROUND('Opening Balance'!$B$4+SUM($F$2:F2782)-SUM($G$2:G2782),2))</f>
        <v/>
      </c>
      <c r="J2782" s="21">
        <f>IFERROR(MATCH(ROW()-1,$L$2:$L$3001,0),"")</f>
        <v/>
      </c>
      <c r="K2782" s="34">
        <f>IF(AND('Daily Sale entry '!Q1282="Collection 收款",'Daily Sale entry '!R1282="Cheque 支票",'Daily Sale entry '!V1282&lt;&gt;""),'Daily Sale entry '!V1282+ROW()/10000000,"")</f>
        <v/>
      </c>
      <c r="L2782" s="21">
        <f>IF(K2782="","",COUNTIF($K$2:$K$3001,"&lt;"&amp;K2782)+1)</f>
        <v/>
      </c>
    </row>
    <row r="2783">
      <c r="A2783" s="5">
        <f>IF($J2783="","",IF($J2783&lt;=1500,INDEX('Daily Sale entry '!$X$1:$X$1501,$J2783+1),INDEX('Daily Sale entry '!$V$1:$V$1501,$J2783-1499)))</f>
        <v/>
      </c>
      <c r="B2783">
        <f>IF($J2783="","",IF($J2783&lt;=1500,INDEX('Daily Sale entry '!$Y$1:$Y$1501,$J2783+1)&amp;"","Buyer cheque banked 买家支票存入"&amp;IF(INDEX('Daily Sale entry '!$U$1:$U$1501,$J2783-1499)="","", " - "&amp;INDEX('Daily Sale entry '!$U$1:$U$1501,$J2783-1499))))</f>
        <v/>
      </c>
      <c r="C2783">
        <f>IF($J2783="","",IF($J2783&lt;=1500,INDEX('Daily Sale entry '!$Z$1:$Z$1501,$J2783+1)&amp;"","Cheque deposit 支票存入 (buyer 买家)"))</f>
        <v/>
      </c>
      <c r="D2783">
        <f>IF($J2783="","",IF($J2783&lt;=1500,INDEX('Daily Sale entry '!$AA$1:$AA$1501,$J2783+1)&amp;"",INDEX('Daily Sale entry '!$P$1:$P$1501,$J2783-1499)&amp;""))</f>
        <v/>
      </c>
      <c r="E2783">
        <f>IF($J2783="","",IF($J2783&lt;=1500,IF(N(INDEX('Daily Sale entry '!$AB$1:$AB$1501,$J2783+1))=0,"",INDEX('Daily Sale entry '!$AB$1:$AB$1501,$J2783+1)),1))</f>
        <v/>
      </c>
      <c r="F2783" s="6">
        <f>IF($J2783="","",IF($J2783&lt;=1500,N(INDEX('Daily Sale entry '!$AC$1:$AC$1501,$J2783+1))-IF(AND('Opening Balance'!$B$15=1,INDEX('Daily Sale entry '!$Z$1:$Z$1501,$J2783+1)="Online collection 网上收款",INDEX('Daily Sale entry '!$AA$1:$AA$1501,$J2783+1)&lt;&gt;""),N(INDEX('Daily Sale entry '!$AC$1:$AC$1501,$J2783+1))-TRUNC(N(INDEX('Daily Sale entry '!$AC$1:$AC$1501,$J2783+1))),0),N(INDEX('Daily Sale entry '!$S$1:$S$1501,$J2783-1499))-'Opening Balance'!$B$15*(N(INDEX('Daily Sale entry '!$S$1:$S$1501,$J2783-1499))-TRUNC(N(INDEX('Daily Sale entry '!$S$1:$S$1501,$J2783-1499))))))</f>
        <v/>
      </c>
      <c r="G2783" s="6">
        <f>IF($J2783="","",IF($J2783&lt;=1500,N(INDEX('Daily Sale entry '!$AD$1:$AD$1501,$J2783+1)),0))</f>
        <v/>
      </c>
      <c r="H2783" s="6">
        <f>IF($J2783="","",ROUND('Opening Balance'!$B$4+SUM($F$2:F2783)-SUM($G$2:G2783),2))</f>
        <v/>
      </c>
      <c r="J2783" s="21">
        <f>IFERROR(MATCH(ROW()-1,$L$2:$L$3001,0),"")</f>
        <v/>
      </c>
      <c r="K2783" s="34">
        <f>IF(AND('Daily Sale entry '!Q1283="Collection 收款",'Daily Sale entry '!R1283="Cheque 支票",'Daily Sale entry '!V1283&lt;&gt;""),'Daily Sale entry '!V1283+ROW()/10000000,"")</f>
        <v/>
      </c>
      <c r="L2783" s="21">
        <f>IF(K2783="","",COUNTIF($K$2:$K$3001,"&lt;"&amp;K2783)+1)</f>
        <v/>
      </c>
    </row>
    <row r="2784">
      <c r="A2784" s="5">
        <f>IF($J2784="","",IF($J2784&lt;=1500,INDEX('Daily Sale entry '!$X$1:$X$1501,$J2784+1),INDEX('Daily Sale entry '!$V$1:$V$1501,$J2784-1499)))</f>
        <v/>
      </c>
      <c r="B2784">
        <f>IF($J2784="","",IF($J2784&lt;=1500,INDEX('Daily Sale entry '!$Y$1:$Y$1501,$J2784+1)&amp;"","Buyer cheque banked 买家支票存入"&amp;IF(INDEX('Daily Sale entry '!$U$1:$U$1501,$J2784-1499)="","", " - "&amp;INDEX('Daily Sale entry '!$U$1:$U$1501,$J2784-1499))))</f>
        <v/>
      </c>
      <c r="C2784">
        <f>IF($J2784="","",IF($J2784&lt;=1500,INDEX('Daily Sale entry '!$Z$1:$Z$1501,$J2784+1)&amp;"","Cheque deposit 支票存入 (buyer 买家)"))</f>
        <v/>
      </c>
      <c r="D2784">
        <f>IF($J2784="","",IF($J2784&lt;=1500,INDEX('Daily Sale entry '!$AA$1:$AA$1501,$J2784+1)&amp;"",INDEX('Daily Sale entry '!$P$1:$P$1501,$J2784-1499)&amp;""))</f>
        <v/>
      </c>
      <c r="E2784">
        <f>IF($J2784="","",IF($J2784&lt;=1500,IF(N(INDEX('Daily Sale entry '!$AB$1:$AB$1501,$J2784+1))=0,"",INDEX('Daily Sale entry '!$AB$1:$AB$1501,$J2784+1)),1))</f>
        <v/>
      </c>
      <c r="F2784" s="6">
        <f>IF($J2784="","",IF($J2784&lt;=1500,N(INDEX('Daily Sale entry '!$AC$1:$AC$1501,$J2784+1))-IF(AND('Opening Balance'!$B$15=1,INDEX('Daily Sale entry '!$Z$1:$Z$1501,$J2784+1)="Online collection 网上收款",INDEX('Daily Sale entry '!$AA$1:$AA$1501,$J2784+1)&lt;&gt;""),N(INDEX('Daily Sale entry '!$AC$1:$AC$1501,$J2784+1))-TRUNC(N(INDEX('Daily Sale entry '!$AC$1:$AC$1501,$J2784+1))),0),N(INDEX('Daily Sale entry '!$S$1:$S$1501,$J2784-1499))-'Opening Balance'!$B$15*(N(INDEX('Daily Sale entry '!$S$1:$S$1501,$J2784-1499))-TRUNC(N(INDEX('Daily Sale entry '!$S$1:$S$1501,$J2784-1499))))))</f>
        <v/>
      </c>
      <c r="G2784" s="6">
        <f>IF($J2784="","",IF($J2784&lt;=1500,N(INDEX('Daily Sale entry '!$AD$1:$AD$1501,$J2784+1)),0))</f>
        <v/>
      </c>
      <c r="H2784" s="6">
        <f>IF($J2784="","",ROUND('Opening Balance'!$B$4+SUM($F$2:F2784)-SUM($G$2:G2784),2))</f>
        <v/>
      </c>
      <c r="J2784" s="21">
        <f>IFERROR(MATCH(ROW()-1,$L$2:$L$3001,0),"")</f>
        <v/>
      </c>
      <c r="K2784" s="34">
        <f>IF(AND('Daily Sale entry '!Q1284="Collection 收款",'Daily Sale entry '!R1284="Cheque 支票",'Daily Sale entry '!V1284&lt;&gt;""),'Daily Sale entry '!V1284+ROW()/10000000,"")</f>
        <v/>
      </c>
      <c r="L2784" s="21">
        <f>IF(K2784="","",COUNTIF($K$2:$K$3001,"&lt;"&amp;K2784)+1)</f>
        <v/>
      </c>
    </row>
    <row r="2785">
      <c r="A2785" s="5">
        <f>IF($J2785="","",IF($J2785&lt;=1500,INDEX('Daily Sale entry '!$X$1:$X$1501,$J2785+1),INDEX('Daily Sale entry '!$V$1:$V$1501,$J2785-1499)))</f>
        <v/>
      </c>
      <c r="B2785">
        <f>IF($J2785="","",IF($J2785&lt;=1500,INDEX('Daily Sale entry '!$Y$1:$Y$1501,$J2785+1)&amp;"","Buyer cheque banked 买家支票存入"&amp;IF(INDEX('Daily Sale entry '!$U$1:$U$1501,$J2785-1499)="","", " - "&amp;INDEX('Daily Sale entry '!$U$1:$U$1501,$J2785-1499))))</f>
        <v/>
      </c>
      <c r="C2785">
        <f>IF($J2785="","",IF($J2785&lt;=1500,INDEX('Daily Sale entry '!$Z$1:$Z$1501,$J2785+1)&amp;"","Cheque deposit 支票存入 (buyer 买家)"))</f>
        <v/>
      </c>
      <c r="D2785">
        <f>IF($J2785="","",IF($J2785&lt;=1500,INDEX('Daily Sale entry '!$AA$1:$AA$1501,$J2785+1)&amp;"",INDEX('Daily Sale entry '!$P$1:$P$1501,$J2785-1499)&amp;""))</f>
        <v/>
      </c>
      <c r="E2785">
        <f>IF($J2785="","",IF($J2785&lt;=1500,IF(N(INDEX('Daily Sale entry '!$AB$1:$AB$1501,$J2785+1))=0,"",INDEX('Daily Sale entry '!$AB$1:$AB$1501,$J2785+1)),1))</f>
        <v/>
      </c>
      <c r="F2785" s="6">
        <f>IF($J2785="","",IF($J2785&lt;=1500,N(INDEX('Daily Sale entry '!$AC$1:$AC$1501,$J2785+1))-IF(AND('Opening Balance'!$B$15=1,INDEX('Daily Sale entry '!$Z$1:$Z$1501,$J2785+1)="Online collection 网上收款",INDEX('Daily Sale entry '!$AA$1:$AA$1501,$J2785+1)&lt;&gt;""),N(INDEX('Daily Sale entry '!$AC$1:$AC$1501,$J2785+1))-TRUNC(N(INDEX('Daily Sale entry '!$AC$1:$AC$1501,$J2785+1))),0),N(INDEX('Daily Sale entry '!$S$1:$S$1501,$J2785-1499))-'Opening Balance'!$B$15*(N(INDEX('Daily Sale entry '!$S$1:$S$1501,$J2785-1499))-TRUNC(N(INDEX('Daily Sale entry '!$S$1:$S$1501,$J2785-1499))))))</f>
        <v/>
      </c>
      <c r="G2785" s="6">
        <f>IF($J2785="","",IF($J2785&lt;=1500,N(INDEX('Daily Sale entry '!$AD$1:$AD$1501,$J2785+1)),0))</f>
        <v/>
      </c>
      <c r="H2785" s="6">
        <f>IF($J2785="","",ROUND('Opening Balance'!$B$4+SUM($F$2:F2785)-SUM($G$2:G2785),2))</f>
        <v/>
      </c>
      <c r="J2785" s="21">
        <f>IFERROR(MATCH(ROW()-1,$L$2:$L$3001,0),"")</f>
        <v/>
      </c>
      <c r="K2785" s="34">
        <f>IF(AND('Daily Sale entry '!Q1285="Collection 收款",'Daily Sale entry '!R1285="Cheque 支票",'Daily Sale entry '!V1285&lt;&gt;""),'Daily Sale entry '!V1285+ROW()/10000000,"")</f>
        <v/>
      </c>
      <c r="L2785" s="21">
        <f>IF(K2785="","",COUNTIF($K$2:$K$3001,"&lt;"&amp;K2785)+1)</f>
        <v/>
      </c>
    </row>
    <row r="2786">
      <c r="A2786" s="5">
        <f>IF($J2786="","",IF($J2786&lt;=1500,INDEX('Daily Sale entry '!$X$1:$X$1501,$J2786+1),INDEX('Daily Sale entry '!$V$1:$V$1501,$J2786-1499)))</f>
        <v/>
      </c>
      <c r="B2786">
        <f>IF($J2786="","",IF($J2786&lt;=1500,INDEX('Daily Sale entry '!$Y$1:$Y$1501,$J2786+1)&amp;"","Buyer cheque banked 买家支票存入"&amp;IF(INDEX('Daily Sale entry '!$U$1:$U$1501,$J2786-1499)="","", " - "&amp;INDEX('Daily Sale entry '!$U$1:$U$1501,$J2786-1499))))</f>
        <v/>
      </c>
      <c r="C2786">
        <f>IF($J2786="","",IF($J2786&lt;=1500,INDEX('Daily Sale entry '!$Z$1:$Z$1501,$J2786+1)&amp;"","Cheque deposit 支票存入 (buyer 买家)"))</f>
        <v/>
      </c>
      <c r="D2786">
        <f>IF($J2786="","",IF($J2786&lt;=1500,INDEX('Daily Sale entry '!$AA$1:$AA$1501,$J2786+1)&amp;"",INDEX('Daily Sale entry '!$P$1:$P$1501,$J2786-1499)&amp;""))</f>
        <v/>
      </c>
      <c r="E2786">
        <f>IF($J2786="","",IF($J2786&lt;=1500,IF(N(INDEX('Daily Sale entry '!$AB$1:$AB$1501,$J2786+1))=0,"",INDEX('Daily Sale entry '!$AB$1:$AB$1501,$J2786+1)),1))</f>
        <v/>
      </c>
      <c r="F2786" s="6">
        <f>IF($J2786="","",IF($J2786&lt;=1500,N(INDEX('Daily Sale entry '!$AC$1:$AC$1501,$J2786+1))-IF(AND('Opening Balance'!$B$15=1,INDEX('Daily Sale entry '!$Z$1:$Z$1501,$J2786+1)="Online collection 网上收款",INDEX('Daily Sale entry '!$AA$1:$AA$1501,$J2786+1)&lt;&gt;""),N(INDEX('Daily Sale entry '!$AC$1:$AC$1501,$J2786+1))-TRUNC(N(INDEX('Daily Sale entry '!$AC$1:$AC$1501,$J2786+1))),0),N(INDEX('Daily Sale entry '!$S$1:$S$1501,$J2786-1499))-'Opening Balance'!$B$15*(N(INDEX('Daily Sale entry '!$S$1:$S$1501,$J2786-1499))-TRUNC(N(INDEX('Daily Sale entry '!$S$1:$S$1501,$J2786-1499))))))</f>
        <v/>
      </c>
      <c r="G2786" s="6">
        <f>IF($J2786="","",IF($J2786&lt;=1500,N(INDEX('Daily Sale entry '!$AD$1:$AD$1501,$J2786+1)),0))</f>
        <v/>
      </c>
      <c r="H2786" s="6">
        <f>IF($J2786="","",ROUND('Opening Balance'!$B$4+SUM($F$2:F2786)-SUM($G$2:G2786),2))</f>
        <v/>
      </c>
      <c r="J2786" s="21">
        <f>IFERROR(MATCH(ROW()-1,$L$2:$L$3001,0),"")</f>
        <v/>
      </c>
      <c r="K2786" s="34">
        <f>IF(AND('Daily Sale entry '!Q1286="Collection 收款",'Daily Sale entry '!R1286="Cheque 支票",'Daily Sale entry '!V1286&lt;&gt;""),'Daily Sale entry '!V1286+ROW()/10000000,"")</f>
        <v/>
      </c>
      <c r="L2786" s="21">
        <f>IF(K2786="","",COUNTIF($K$2:$K$3001,"&lt;"&amp;K2786)+1)</f>
        <v/>
      </c>
    </row>
    <row r="2787">
      <c r="A2787" s="5">
        <f>IF($J2787="","",IF($J2787&lt;=1500,INDEX('Daily Sale entry '!$X$1:$X$1501,$J2787+1),INDEX('Daily Sale entry '!$V$1:$V$1501,$J2787-1499)))</f>
        <v/>
      </c>
      <c r="B2787">
        <f>IF($J2787="","",IF($J2787&lt;=1500,INDEX('Daily Sale entry '!$Y$1:$Y$1501,$J2787+1)&amp;"","Buyer cheque banked 买家支票存入"&amp;IF(INDEX('Daily Sale entry '!$U$1:$U$1501,$J2787-1499)="","", " - "&amp;INDEX('Daily Sale entry '!$U$1:$U$1501,$J2787-1499))))</f>
        <v/>
      </c>
      <c r="C2787">
        <f>IF($J2787="","",IF($J2787&lt;=1500,INDEX('Daily Sale entry '!$Z$1:$Z$1501,$J2787+1)&amp;"","Cheque deposit 支票存入 (buyer 买家)"))</f>
        <v/>
      </c>
      <c r="D2787">
        <f>IF($J2787="","",IF($J2787&lt;=1500,INDEX('Daily Sale entry '!$AA$1:$AA$1501,$J2787+1)&amp;"",INDEX('Daily Sale entry '!$P$1:$P$1501,$J2787-1499)&amp;""))</f>
        <v/>
      </c>
      <c r="E2787">
        <f>IF($J2787="","",IF($J2787&lt;=1500,IF(N(INDEX('Daily Sale entry '!$AB$1:$AB$1501,$J2787+1))=0,"",INDEX('Daily Sale entry '!$AB$1:$AB$1501,$J2787+1)),1))</f>
        <v/>
      </c>
      <c r="F2787" s="6">
        <f>IF($J2787="","",IF($J2787&lt;=1500,N(INDEX('Daily Sale entry '!$AC$1:$AC$1501,$J2787+1))-IF(AND('Opening Balance'!$B$15=1,INDEX('Daily Sale entry '!$Z$1:$Z$1501,$J2787+1)="Online collection 网上收款",INDEX('Daily Sale entry '!$AA$1:$AA$1501,$J2787+1)&lt;&gt;""),N(INDEX('Daily Sale entry '!$AC$1:$AC$1501,$J2787+1))-TRUNC(N(INDEX('Daily Sale entry '!$AC$1:$AC$1501,$J2787+1))),0),N(INDEX('Daily Sale entry '!$S$1:$S$1501,$J2787-1499))-'Opening Balance'!$B$15*(N(INDEX('Daily Sale entry '!$S$1:$S$1501,$J2787-1499))-TRUNC(N(INDEX('Daily Sale entry '!$S$1:$S$1501,$J2787-1499))))))</f>
        <v/>
      </c>
      <c r="G2787" s="6">
        <f>IF($J2787="","",IF($J2787&lt;=1500,N(INDEX('Daily Sale entry '!$AD$1:$AD$1501,$J2787+1)),0))</f>
        <v/>
      </c>
      <c r="H2787" s="6">
        <f>IF($J2787="","",ROUND('Opening Balance'!$B$4+SUM($F$2:F2787)-SUM($G$2:G2787),2))</f>
        <v/>
      </c>
      <c r="J2787" s="21">
        <f>IFERROR(MATCH(ROW()-1,$L$2:$L$3001,0),"")</f>
        <v/>
      </c>
      <c r="K2787" s="34">
        <f>IF(AND('Daily Sale entry '!Q1287="Collection 收款",'Daily Sale entry '!R1287="Cheque 支票",'Daily Sale entry '!V1287&lt;&gt;""),'Daily Sale entry '!V1287+ROW()/10000000,"")</f>
        <v/>
      </c>
      <c r="L2787" s="21">
        <f>IF(K2787="","",COUNTIF($K$2:$K$3001,"&lt;"&amp;K2787)+1)</f>
        <v/>
      </c>
    </row>
    <row r="2788">
      <c r="A2788" s="5">
        <f>IF($J2788="","",IF($J2788&lt;=1500,INDEX('Daily Sale entry '!$X$1:$X$1501,$J2788+1),INDEX('Daily Sale entry '!$V$1:$V$1501,$J2788-1499)))</f>
        <v/>
      </c>
      <c r="B2788">
        <f>IF($J2788="","",IF($J2788&lt;=1500,INDEX('Daily Sale entry '!$Y$1:$Y$1501,$J2788+1)&amp;"","Buyer cheque banked 买家支票存入"&amp;IF(INDEX('Daily Sale entry '!$U$1:$U$1501,$J2788-1499)="","", " - "&amp;INDEX('Daily Sale entry '!$U$1:$U$1501,$J2788-1499))))</f>
        <v/>
      </c>
      <c r="C2788">
        <f>IF($J2788="","",IF($J2788&lt;=1500,INDEX('Daily Sale entry '!$Z$1:$Z$1501,$J2788+1)&amp;"","Cheque deposit 支票存入 (buyer 买家)"))</f>
        <v/>
      </c>
      <c r="D2788">
        <f>IF($J2788="","",IF($J2788&lt;=1500,INDEX('Daily Sale entry '!$AA$1:$AA$1501,$J2788+1)&amp;"",INDEX('Daily Sale entry '!$P$1:$P$1501,$J2788-1499)&amp;""))</f>
        <v/>
      </c>
      <c r="E2788">
        <f>IF($J2788="","",IF($J2788&lt;=1500,IF(N(INDEX('Daily Sale entry '!$AB$1:$AB$1501,$J2788+1))=0,"",INDEX('Daily Sale entry '!$AB$1:$AB$1501,$J2788+1)),1))</f>
        <v/>
      </c>
      <c r="F2788" s="6">
        <f>IF($J2788="","",IF($J2788&lt;=1500,N(INDEX('Daily Sale entry '!$AC$1:$AC$1501,$J2788+1))-IF(AND('Opening Balance'!$B$15=1,INDEX('Daily Sale entry '!$Z$1:$Z$1501,$J2788+1)="Online collection 网上收款",INDEX('Daily Sale entry '!$AA$1:$AA$1501,$J2788+1)&lt;&gt;""),N(INDEX('Daily Sale entry '!$AC$1:$AC$1501,$J2788+1))-TRUNC(N(INDEX('Daily Sale entry '!$AC$1:$AC$1501,$J2788+1))),0),N(INDEX('Daily Sale entry '!$S$1:$S$1501,$J2788-1499))-'Opening Balance'!$B$15*(N(INDEX('Daily Sale entry '!$S$1:$S$1501,$J2788-1499))-TRUNC(N(INDEX('Daily Sale entry '!$S$1:$S$1501,$J2788-1499))))))</f>
        <v/>
      </c>
      <c r="G2788" s="6">
        <f>IF($J2788="","",IF($J2788&lt;=1500,N(INDEX('Daily Sale entry '!$AD$1:$AD$1501,$J2788+1)),0))</f>
        <v/>
      </c>
      <c r="H2788" s="6">
        <f>IF($J2788="","",ROUND('Opening Balance'!$B$4+SUM($F$2:F2788)-SUM($G$2:G2788),2))</f>
        <v/>
      </c>
      <c r="J2788" s="21">
        <f>IFERROR(MATCH(ROW()-1,$L$2:$L$3001,0),"")</f>
        <v/>
      </c>
      <c r="K2788" s="34">
        <f>IF(AND('Daily Sale entry '!Q1288="Collection 收款",'Daily Sale entry '!R1288="Cheque 支票",'Daily Sale entry '!V1288&lt;&gt;""),'Daily Sale entry '!V1288+ROW()/10000000,"")</f>
        <v/>
      </c>
      <c r="L2788" s="21">
        <f>IF(K2788="","",COUNTIF($K$2:$K$3001,"&lt;"&amp;K2788)+1)</f>
        <v/>
      </c>
    </row>
    <row r="2789">
      <c r="A2789" s="5">
        <f>IF($J2789="","",IF($J2789&lt;=1500,INDEX('Daily Sale entry '!$X$1:$X$1501,$J2789+1),INDEX('Daily Sale entry '!$V$1:$V$1501,$J2789-1499)))</f>
        <v/>
      </c>
      <c r="B2789">
        <f>IF($J2789="","",IF($J2789&lt;=1500,INDEX('Daily Sale entry '!$Y$1:$Y$1501,$J2789+1)&amp;"","Buyer cheque banked 买家支票存入"&amp;IF(INDEX('Daily Sale entry '!$U$1:$U$1501,$J2789-1499)="","", " - "&amp;INDEX('Daily Sale entry '!$U$1:$U$1501,$J2789-1499))))</f>
        <v/>
      </c>
      <c r="C2789">
        <f>IF($J2789="","",IF($J2789&lt;=1500,INDEX('Daily Sale entry '!$Z$1:$Z$1501,$J2789+1)&amp;"","Cheque deposit 支票存入 (buyer 买家)"))</f>
        <v/>
      </c>
      <c r="D2789">
        <f>IF($J2789="","",IF($J2789&lt;=1500,INDEX('Daily Sale entry '!$AA$1:$AA$1501,$J2789+1)&amp;"",INDEX('Daily Sale entry '!$P$1:$P$1501,$J2789-1499)&amp;""))</f>
        <v/>
      </c>
      <c r="E2789">
        <f>IF($J2789="","",IF($J2789&lt;=1500,IF(N(INDEX('Daily Sale entry '!$AB$1:$AB$1501,$J2789+1))=0,"",INDEX('Daily Sale entry '!$AB$1:$AB$1501,$J2789+1)),1))</f>
        <v/>
      </c>
      <c r="F2789" s="6">
        <f>IF($J2789="","",IF($J2789&lt;=1500,N(INDEX('Daily Sale entry '!$AC$1:$AC$1501,$J2789+1))-IF(AND('Opening Balance'!$B$15=1,INDEX('Daily Sale entry '!$Z$1:$Z$1501,$J2789+1)="Online collection 网上收款",INDEX('Daily Sale entry '!$AA$1:$AA$1501,$J2789+1)&lt;&gt;""),N(INDEX('Daily Sale entry '!$AC$1:$AC$1501,$J2789+1))-TRUNC(N(INDEX('Daily Sale entry '!$AC$1:$AC$1501,$J2789+1))),0),N(INDEX('Daily Sale entry '!$S$1:$S$1501,$J2789-1499))-'Opening Balance'!$B$15*(N(INDEX('Daily Sale entry '!$S$1:$S$1501,$J2789-1499))-TRUNC(N(INDEX('Daily Sale entry '!$S$1:$S$1501,$J2789-1499))))))</f>
        <v/>
      </c>
      <c r="G2789" s="6">
        <f>IF($J2789="","",IF($J2789&lt;=1500,N(INDEX('Daily Sale entry '!$AD$1:$AD$1501,$J2789+1)),0))</f>
        <v/>
      </c>
      <c r="H2789" s="6">
        <f>IF($J2789="","",ROUND('Opening Balance'!$B$4+SUM($F$2:F2789)-SUM($G$2:G2789),2))</f>
        <v/>
      </c>
      <c r="J2789" s="21">
        <f>IFERROR(MATCH(ROW()-1,$L$2:$L$3001,0),"")</f>
        <v/>
      </c>
      <c r="K2789" s="34">
        <f>IF(AND('Daily Sale entry '!Q1289="Collection 收款",'Daily Sale entry '!R1289="Cheque 支票",'Daily Sale entry '!V1289&lt;&gt;""),'Daily Sale entry '!V1289+ROW()/10000000,"")</f>
        <v/>
      </c>
      <c r="L2789" s="21">
        <f>IF(K2789="","",COUNTIF($K$2:$K$3001,"&lt;"&amp;K2789)+1)</f>
        <v/>
      </c>
    </row>
    <row r="2790">
      <c r="A2790" s="5">
        <f>IF($J2790="","",IF($J2790&lt;=1500,INDEX('Daily Sale entry '!$X$1:$X$1501,$J2790+1),INDEX('Daily Sale entry '!$V$1:$V$1501,$J2790-1499)))</f>
        <v/>
      </c>
      <c r="B2790">
        <f>IF($J2790="","",IF($J2790&lt;=1500,INDEX('Daily Sale entry '!$Y$1:$Y$1501,$J2790+1)&amp;"","Buyer cheque banked 买家支票存入"&amp;IF(INDEX('Daily Sale entry '!$U$1:$U$1501,$J2790-1499)="","", " - "&amp;INDEX('Daily Sale entry '!$U$1:$U$1501,$J2790-1499))))</f>
        <v/>
      </c>
      <c r="C2790">
        <f>IF($J2790="","",IF($J2790&lt;=1500,INDEX('Daily Sale entry '!$Z$1:$Z$1501,$J2790+1)&amp;"","Cheque deposit 支票存入 (buyer 买家)"))</f>
        <v/>
      </c>
      <c r="D2790">
        <f>IF($J2790="","",IF($J2790&lt;=1500,INDEX('Daily Sale entry '!$AA$1:$AA$1501,$J2790+1)&amp;"",INDEX('Daily Sale entry '!$P$1:$P$1501,$J2790-1499)&amp;""))</f>
        <v/>
      </c>
      <c r="E2790">
        <f>IF($J2790="","",IF($J2790&lt;=1500,IF(N(INDEX('Daily Sale entry '!$AB$1:$AB$1501,$J2790+1))=0,"",INDEX('Daily Sale entry '!$AB$1:$AB$1501,$J2790+1)),1))</f>
        <v/>
      </c>
      <c r="F2790" s="6">
        <f>IF($J2790="","",IF($J2790&lt;=1500,N(INDEX('Daily Sale entry '!$AC$1:$AC$1501,$J2790+1))-IF(AND('Opening Balance'!$B$15=1,INDEX('Daily Sale entry '!$Z$1:$Z$1501,$J2790+1)="Online collection 网上收款",INDEX('Daily Sale entry '!$AA$1:$AA$1501,$J2790+1)&lt;&gt;""),N(INDEX('Daily Sale entry '!$AC$1:$AC$1501,$J2790+1))-TRUNC(N(INDEX('Daily Sale entry '!$AC$1:$AC$1501,$J2790+1))),0),N(INDEX('Daily Sale entry '!$S$1:$S$1501,$J2790-1499))-'Opening Balance'!$B$15*(N(INDEX('Daily Sale entry '!$S$1:$S$1501,$J2790-1499))-TRUNC(N(INDEX('Daily Sale entry '!$S$1:$S$1501,$J2790-1499))))))</f>
        <v/>
      </c>
      <c r="G2790" s="6">
        <f>IF($J2790="","",IF($J2790&lt;=1500,N(INDEX('Daily Sale entry '!$AD$1:$AD$1501,$J2790+1)),0))</f>
        <v/>
      </c>
      <c r="H2790" s="6">
        <f>IF($J2790="","",ROUND('Opening Balance'!$B$4+SUM($F$2:F2790)-SUM($G$2:G2790),2))</f>
        <v/>
      </c>
      <c r="J2790" s="21">
        <f>IFERROR(MATCH(ROW()-1,$L$2:$L$3001,0),"")</f>
        <v/>
      </c>
      <c r="K2790" s="34">
        <f>IF(AND('Daily Sale entry '!Q1290="Collection 收款",'Daily Sale entry '!R1290="Cheque 支票",'Daily Sale entry '!V1290&lt;&gt;""),'Daily Sale entry '!V1290+ROW()/10000000,"")</f>
        <v/>
      </c>
      <c r="L2790" s="21">
        <f>IF(K2790="","",COUNTIF($K$2:$K$3001,"&lt;"&amp;K2790)+1)</f>
        <v/>
      </c>
    </row>
    <row r="2791">
      <c r="A2791" s="5">
        <f>IF($J2791="","",IF($J2791&lt;=1500,INDEX('Daily Sale entry '!$X$1:$X$1501,$J2791+1),INDEX('Daily Sale entry '!$V$1:$V$1501,$J2791-1499)))</f>
        <v/>
      </c>
      <c r="B2791">
        <f>IF($J2791="","",IF($J2791&lt;=1500,INDEX('Daily Sale entry '!$Y$1:$Y$1501,$J2791+1)&amp;"","Buyer cheque banked 买家支票存入"&amp;IF(INDEX('Daily Sale entry '!$U$1:$U$1501,$J2791-1499)="","", " - "&amp;INDEX('Daily Sale entry '!$U$1:$U$1501,$J2791-1499))))</f>
        <v/>
      </c>
      <c r="C2791">
        <f>IF($J2791="","",IF($J2791&lt;=1500,INDEX('Daily Sale entry '!$Z$1:$Z$1501,$J2791+1)&amp;"","Cheque deposit 支票存入 (buyer 买家)"))</f>
        <v/>
      </c>
      <c r="D2791">
        <f>IF($J2791="","",IF($J2791&lt;=1500,INDEX('Daily Sale entry '!$AA$1:$AA$1501,$J2791+1)&amp;"",INDEX('Daily Sale entry '!$P$1:$P$1501,$J2791-1499)&amp;""))</f>
        <v/>
      </c>
      <c r="E2791">
        <f>IF($J2791="","",IF($J2791&lt;=1500,IF(N(INDEX('Daily Sale entry '!$AB$1:$AB$1501,$J2791+1))=0,"",INDEX('Daily Sale entry '!$AB$1:$AB$1501,$J2791+1)),1))</f>
        <v/>
      </c>
      <c r="F2791" s="6">
        <f>IF($J2791="","",IF($J2791&lt;=1500,N(INDEX('Daily Sale entry '!$AC$1:$AC$1501,$J2791+1))-IF(AND('Opening Balance'!$B$15=1,INDEX('Daily Sale entry '!$Z$1:$Z$1501,$J2791+1)="Online collection 网上收款",INDEX('Daily Sale entry '!$AA$1:$AA$1501,$J2791+1)&lt;&gt;""),N(INDEX('Daily Sale entry '!$AC$1:$AC$1501,$J2791+1))-TRUNC(N(INDEX('Daily Sale entry '!$AC$1:$AC$1501,$J2791+1))),0),N(INDEX('Daily Sale entry '!$S$1:$S$1501,$J2791-1499))-'Opening Balance'!$B$15*(N(INDEX('Daily Sale entry '!$S$1:$S$1501,$J2791-1499))-TRUNC(N(INDEX('Daily Sale entry '!$S$1:$S$1501,$J2791-1499))))))</f>
        <v/>
      </c>
      <c r="G2791" s="6">
        <f>IF($J2791="","",IF($J2791&lt;=1500,N(INDEX('Daily Sale entry '!$AD$1:$AD$1501,$J2791+1)),0))</f>
        <v/>
      </c>
      <c r="H2791" s="6">
        <f>IF($J2791="","",ROUND('Opening Balance'!$B$4+SUM($F$2:F2791)-SUM($G$2:G2791),2))</f>
        <v/>
      </c>
      <c r="J2791" s="21">
        <f>IFERROR(MATCH(ROW()-1,$L$2:$L$3001,0),"")</f>
        <v/>
      </c>
      <c r="K2791" s="34">
        <f>IF(AND('Daily Sale entry '!Q1291="Collection 收款",'Daily Sale entry '!R1291="Cheque 支票",'Daily Sale entry '!V1291&lt;&gt;""),'Daily Sale entry '!V1291+ROW()/10000000,"")</f>
        <v/>
      </c>
      <c r="L2791" s="21">
        <f>IF(K2791="","",COUNTIF($K$2:$K$3001,"&lt;"&amp;K2791)+1)</f>
        <v/>
      </c>
    </row>
    <row r="2792">
      <c r="A2792" s="5">
        <f>IF($J2792="","",IF($J2792&lt;=1500,INDEX('Daily Sale entry '!$X$1:$X$1501,$J2792+1),INDEX('Daily Sale entry '!$V$1:$V$1501,$J2792-1499)))</f>
        <v/>
      </c>
      <c r="B2792">
        <f>IF($J2792="","",IF($J2792&lt;=1500,INDEX('Daily Sale entry '!$Y$1:$Y$1501,$J2792+1)&amp;"","Buyer cheque banked 买家支票存入"&amp;IF(INDEX('Daily Sale entry '!$U$1:$U$1501,$J2792-1499)="","", " - "&amp;INDEX('Daily Sale entry '!$U$1:$U$1501,$J2792-1499))))</f>
        <v/>
      </c>
      <c r="C2792">
        <f>IF($J2792="","",IF($J2792&lt;=1500,INDEX('Daily Sale entry '!$Z$1:$Z$1501,$J2792+1)&amp;"","Cheque deposit 支票存入 (buyer 买家)"))</f>
        <v/>
      </c>
      <c r="D2792">
        <f>IF($J2792="","",IF($J2792&lt;=1500,INDEX('Daily Sale entry '!$AA$1:$AA$1501,$J2792+1)&amp;"",INDEX('Daily Sale entry '!$P$1:$P$1501,$J2792-1499)&amp;""))</f>
        <v/>
      </c>
      <c r="E2792">
        <f>IF($J2792="","",IF($J2792&lt;=1500,IF(N(INDEX('Daily Sale entry '!$AB$1:$AB$1501,$J2792+1))=0,"",INDEX('Daily Sale entry '!$AB$1:$AB$1501,$J2792+1)),1))</f>
        <v/>
      </c>
      <c r="F2792" s="6">
        <f>IF($J2792="","",IF($J2792&lt;=1500,N(INDEX('Daily Sale entry '!$AC$1:$AC$1501,$J2792+1))-IF(AND('Opening Balance'!$B$15=1,INDEX('Daily Sale entry '!$Z$1:$Z$1501,$J2792+1)="Online collection 网上收款",INDEX('Daily Sale entry '!$AA$1:$AA$1501,$J2792+1)&lt;&gt;""),N(INDEX('Daily Sale entry '!$AC$1:$AC$1501,$J2792+1))-TRUNC(N(INDEX('Daily Sale entry '!$AC$1:$AC$1501,$J2792+1))),0),N(INDEX('Daily Sale entry '!$S$1:$S$1501,$J2792-1499))-'Opening Balance'!$B$15*(N(INDEX('Daily Sale entry '!$S$1:$S$1501,$J2792-1499))-TRUNC(N(INDEX('Daily Sale entry '!$S$1:$S$1501,$J2792-1499))))))</f>
        <v/>
      </c>
      <c r="G2792" s="6">
        <f>IF($J2792="","",IF($J2792&lt;=1500,N(INDEX('Daily Sale entry '!$AD$1:$AD$1501,$J2792+1)),0))</f>
        <v/>
      </c>
      <c r="H2792" s="6">
        <f>IF($J2792="","",ROUND('Opening Balance'!$B$4+SUM($F$2:F2792)-SUM($G$2:G2792),2))</f>
        <v/>
      </c>
      <c r="J2792" s="21">
        <f>IFERROR(MATCH(ROW()-1,$L$2:$L$3001,0),"")</f>
        <v/>
      </c>
      <c r="K2792" s="34">
        <f>IF(AND('Daily Sale entry '!Q1292="Collection 收款",'Daily Sale entry '!R1292="Cheque 支票",'Daily Sale entry '!V1292&lt;&gt;""),'Daily Sale entry '!V1292+ROW()/10000000,"")</f>
        <v/>
      </c>
      <c r="L2792" s="21">
        <f>IF(K2792="","",COUNTIF($K$2:$K$3001,"&lt;"&amp;K2792)+1)</f>
        <v/>
      </c>
    </row>
    <row r="2793">
      <c r="A2793" s="5">
        <f>IF($J2793="","",IF($J2793&lt;=1500,INDEX('Daily Sale entry '!$X$1:$X$1501,$J2793+1),INDEX('Daily Sale entry '!$V$1:$V$1501,$J2793-1499)))</f>
        <v/>
      </c>
      <c r="B2793">
        <f>IF($J2793="","",IF($J2793&lt;=1500,INDEX('Daily Sale entry '!$Y$1:$Y$1501,$J2793+1)&amp;"","Buyer cheque banked 买家支票存入"&amp;IF(INDEX('Daily Sale entry '!$U$1:$U$1501,$J2793-1499)="","", " - "&amp;INDEX('Daily Sale entry '!$U$1:$U$1501,$J2793-1499))))</f>
        <v/>
      </c>
      <c r="C2793">
        <f>IF($J2793="","",IF($J2793&lt;=1500,INDEX('Daily Sale entry '!$Z$1:$Z$1501,$J2793+1)&amp;"","Cheque deposit 支票存入 (buyer 买家)"))</f>
        <v/>
      </c>
      <c r="D2793">
        <f>IF($J2793="","",IF($J2793&lt;=1500,INDEX('Daily Sale entry '!$AA$1:$AA$1501,$J2793+1)&amp;"",INDEX('Daily Sale entry '!$P$1:$P$1501,$J2793-1499)&amp;""))</f>
        <v/>
      </c>
      <c r="E2793">
        <f>IF($J2793="","",IF($J2793&lt;=1500,IF(N(INDEX('Daily Sale entry '!$AB$1:$AB$1501,$J2793+1))=0,"",INDEX('Daily Sale entry '!$AB$1:$AB$1501,$J2793+1)),1))</f>
        <v/>
      </c>
      <c r="F2793" s="6">
        <f>IF($J2793="","",IF($J2793&lt;=1500,N(INDEX('Daily Sale entry '!$AC$1:$AC$1501,$J2793+1))-IF(AND('Opening Balance'!$B$15=1,INDEX('Daily Sale entry '!$Z$1:$Z$1501,$J2793+1)="Online collection 网上收款",INDEX('Daily Sale entry '!$AA$1:$AA$1501,$J2793+1)&lt;&gt;""),N(INDEX('Daily Sale entry '!$AC$1:$AC$1501,$J2793+1))-TRUNC(N(INDEX('Daily Sale entry '!$AC$1:$AC$1501,$J2793+1))),0),N(INDEX('Daily Sale entry '!$S$1:$S$1501,$J2793-1499))-'Opening Balance'!$B$15*(N(INDEX('Daily Sale entry '!$S$1:$S$1501,$J2793-1499))-TRUNC(N(INDEX('Daily Sale entry '!$S$1:$S$1501,$J2793-1499))))))</f>
        <v/>
      </c>
      <c r="G2793" s="6">
        <f>IF($J2793="","",IF($J2793&lt;=1500,N(INDEX('Daily Sale entry '!$AD$1:$AD$1501,$J2793+1)),0))</f>
        <v/>
      </c>
      <c r="H2793" s="6">
        <f>IF($J2793="","",ROUND('Opening Balance'!$B$4+SUM($F$2:F2793)-SUM($G$2:G2793),2))</f>
        <v/>
      </c>
      <c r="J2793" s="21">
        <f>IFERROR(MATCH(ROW()-1,$L$2:$L$3001,0),"")</f>
        <v/>
      </c>
      <c r="K2793" s="34">
        <f>IF(AND('Daily Sale entry '!Q1293="Collection 收款",'Daily Sale entry '!R1293="Cheque 支票",'Daily Sale entry '!V1293&lt;&gt;""),'Daily Sale entry '!V1293+ROW()/10000000,"")</f>
        <v/>
      </c>
      <c r="L2793" s="21">
        <f>IF(K2793="","",COUNTIF($K$2:$K$3001,"&lt;"&amp;K2793)+1)</f>
        <v/>
      </c>
    </row>
    <row r="2794">
      <c r="A2794" s="5">
        <f>IF($J2794="","",IF($J2794&lt;=1500,INDEX('Daily Sale entry '!$X$1:$X$1501,$J2794+1),INDEX('Daily Sale entry '!$V$1:$V$1501,$J2794-1499)))</f>
        <v/>
      </c>
      <c r="B2794">
        <f>IF($J2794="","",IF($J2794&lt;=1500,INDEX('Daily Sale entry '!$Y$1:$Y$1501,$J2794+1)&amp;"","Buyer cheque banked 买家支票存入"&amp;IF(INDEX('Daily Sale entry '!$U$1:$U$1501,$J2794-1499)="","", " - "&amp;INDEX('Daily Sale entry '!$U$1:$U$1501,$J2794-1499))))</f>
        <v/>
      </c>
      <c r="C2794">
        <f>IF($J2794="","",IF($J2794&lt;=1500,INDEX('Daily Sale entry '!$Z$1:$Z$1501,$J2794+1)&amp;"","Cheque deposit 支票存入 (buyer 买家)"))</f>
        <v/>
      </c>
      <c r="D2794">
        <f>IF($J2794="","",IF($J2794&lt;=1500,INDEX('Daily Sale entry '!$AA$1:$AA$1501,$J2794+1)&amp;"",INDEX('Daily Sale entry '!$P$1:$P$1501,$J2794-1499)&amp;""))</f>
        <v/>
      </c>
      <c r="E2794">
        <f>IF($J2794="","",IF($J2794&lt;=1500,IF(N(INDEX('Daily Sale entry '!$AB$1:$AB$1501,$J2794+1))=0,"",INDEX('Daily Sale entry '!$AB$1:$AB$1501,$J2794+1)),1))</f>
        <v/>
      </c>
      <c r="F2794" s="6">
        <f>IF($J2794="","",IF($J2794&lt;=1500,N(INDEX('Daily Sale entry '!$AC$1:$AC$1501,$J2794+1))-IF(AND('Opening Balance'!$B$15=1,INDEX('Daily Sale entry '!$Z$1:$Z$1501,$J2794+1)="Online collection 网上收款",INDEX('Daily Sale entry '!$AA$1:$AA$1501,$J2794+1)&lt;&gt;""),N(INDEX('Daily Sale entry '!$AC$1:$AC$1501,$J2794+1))-TRUNC(N(INDEX('Daily Sale entry '!$AC$1:$AC$1501,$J2794+1))),0),N(INDEX('Daily Sale entry '!$S$1:$S$1501,$J2794-1499))-'Opening Balance'!$B$15*(N(INDEX('Daily Sale entry '!$S$1:$S$1501,$J2794-1499))-TRUNC(N(INDEX('Daily Sale entry '!$S$1:$S$1501,$J2794-1499))))))</f>
        <v/>
      </c>
      <c r="G2794" s="6">
        <f>IF($J2794="","",IF($J2794&lt;=1500,N(INDEX('Daily Sale entry '!$AD$1:$AD$1501,$J2794+1)),0))</f>
        <v/>
      </c>
      <c r="H2794" s="6">
        <f>IF($J2794="","",ROUND('Opening Balance'!$B$4+SUM($F$2:F2794)-SUM($G$2:G2794),2))</f>
        <v/>
      </c>
      <c r="J2794" s="21">
        <f>IFERROR(MATCH(ROW()-1,$L$2:$L$3001,0),"")</f>
        <v/>
      </c>
      <c r="K2794" s="34">
        <f>IF(AND('Daily Sale entry '!Q1294="Collection 收款",'Daily Sale entry '!R1294="Cheque 支票",'Daily Sale entry '!V1294&lt;&gt;""),'Daily Sale entry '!V1294+ROW()/10000000,"")</f>
        <v/>
      </c>
      <c r="L2794" s="21">
        <f>IF(K2794="","",COUNTIF($K$2:$K$3001,"&lt;"&amp;K2794)+1)</f>
        <v/>
      </c>
    </row>
    <row r="2795">
      <c r="A2795" s="5">
        <f>IF($J2795="","",IF($J2795&lt;=1500,INDEX('Daily Sale entry '!$X$1:$X$1501,$J2795+1),INDEX('Daily Sale entry '!$V$1:$V$1501,$J2795-1499)))</f>
        <v/>
      </c>
      <c r="B2795">
        <f>IF($J2795="","",IF($J2795&lt;=1500,INDEX('Daily Sale entry '!$Y$1:$Y$1501,$J2795+1)&amp;"","Buyer cheque banked 买家支票存入"&amp;IF(INDEX('Daily Sale entry '!$U$1:$U$1501,$J2795-1499)="","", " - "&amp;INDEX('Daily Sale entry '!$U$1:$U$1501,$J2795-1499))))</f>
        <v/>
      </c>
      <c r="C2795">
        <f>IF($J2795="","",IF($J2795&lt;=1500,INDEX('Daily Sale entry '!$Z$1:$Z$1501,$J2795+1)&amp;"","Cheque deposit 支票存入 (buyer 买家)"))</f>
        <v/>
      </c>
      <c r="D2795">
        <f>IF($J2795="","",IF($J2795&lt;=1500,INDEX('Daily Sale entry '!$AA$1:$AA$1501,$J2795+1)&amp;"",INDEX('Daily Sale entry '!$P$1:$P$1501,$J2795-1499)&amp;""))</f>
        <v/>
      </c>
      <c r="E2795">
        <f>IF($J2795="","",IF($J2795&lt;=1500,IF(N(INDEX('Daily Sale entry '!$AB$1:$AB$1501,$J2795+1))=0,"",INDEX('Daily Sale entry '!$AB$1:$AB$1501,$J2795+1)),1))</f>
        <v/>
      </c>
      <c r="F2795" s="6">
        <f>IF($J2795="","",IF($J2795&lt;=1500,N(INDEX('Daily Sale entry '!$AC$1:$AC$1501,$J2795+1))-IF(AND('Opening Balance'!$B$15=1,INDEX('Daily Sale entry '!$Z$1:$Z$1501,$J2795+1)="Online collection 网上收款",INDEX('Daily Sale entry '!$AA$1:$AA$1501,$J2795+1)&lt;&gt;""),N(INDEX('Daily Sale entry '!$AC$1:$AC$1501,$J2795+1))-TRUNC(N(INDEX('Daily Sale entry '!$AC$1:$AC$1501,$J2795+1))),0),N(INDEX('Daily Sale entry '!$S$1:$S$1501,$J2795-1499))-'Opening Balance'!$B$15*(N(INDEX('Daily Sale entry '!$S$1:$S$1501,$J2795-1499))-TRUNC(N(INDEX('Daily Sale entry '!$S$1:$S$1501,$J2795-1499))))))</f>
        <v/>
      </c>
      <c r="G2795" s="6">
        <f>IF($J2795="","",IF($J2795&lt;=1500,N(INDEX('Daily Sale entry '!$AD$1:$AD$1501,$J2795+1)),0))</f>
        <v/>
      </c>
      <c r="H2795" s="6">
        <f>IF($J2795="","",ROUND('Opening Balance'!$B$4+SUM($F$2:F2795)-SUM($G$2:G2795),2))</f>
        <v/>
      </c>
      <c r="J2795" s="21">
        <f>IFERROR(MATCH(ROW()-1,$L$2:$L$3001,0),"")</f>
        <v/>
      </c>
      <c r="K2795" s="34">
        <f>IF(AND('Daily Sale entry '!Q1295="Collection 收款",'Daily Sale entry '!R1295="Cheque 支票",'Daily Sale entry '!V1295&lt;&gt;""),'Daily Sale entry '!V1295+ROW()/10000000,"")</f>
        <v/>
      </c>
      <c r="L2795" s="21">
        <f>IF(K2795="","",COUNTIF($K$2:$K$3001,"&lt;"&amp;K2795)+1)</f>
        <v/>
      </c>
    </row>
    <row r="2796">
      <c r="A2796" s="5">
        <f>IF($J2796="","",IF($J2796&lt;=1500,INDEX('Daily Sale entry '!$X$1:$X$1501,$J2796+1),INDEX('Daily Sale entry '!$V$1:$V$1501,$J2796-1499)))</f>
        <v/>
      </c>
      <c r="B2796">
        <f>IF($J2796="","",IF($J2796&lt;=1500,INDEX('Daily Sale entry '!$Y$1:$Y$1501,$J2796+1)&amp;"","Buyer cheque banked 买家支票存入"&amp;IF(INDEX('Daily Sale entry '!$U$1:$U$1501,$J2796-1499)="","", " - "&amp;INDEX('Daily Sale entry '!$U$1:$U$1501,$J2796-1499))))</f>
        <v/>
      </c>
      <c r="C2796">
        <f>IF($J2796="","",IF($J2796&lt;=1500,INDEX('Daily Sale entry '!$Z$1:$Z$1501,$J2796+1)&amp;"","Cheque deposit 支票存入 (buyer 买家)"))</f>
        <v/>
      </c>
      <c r="D2796">
        <f>IF($J2796="","",IF($J2796&lt;=1500,INDEX('Daily Sale entry '!$AA$1:$AA$1501,$J2796+1)&amp;"",INDEX('Daily Sale entry '!$P$1:$P$1501,$J2796-1499)&amp;""))</f>
        <v/>
      </c>
      <c r="E2796">
        <f>IF($J2796="","",IF($J2796&lt;=1500,IF(N(INDEX('Daily Sale entry '!$AB$1:$AB$1501,$J2796+1))=0,"",INDEX('Daily Sale entry '!$AB$1:$AB$1501,$J2796+1)),1))</f>
        <v/>
      </c>
      <c r="F2796" s="6">
        <f>IF($J2796="","",IF($J2796&lt;=1500,N(INDEX('Daily Sale entry '!$AC$1:$AC$1501,$J2796+1))-IF(AND('Opening Balance'!$B$15=1,INDEX('Daily Sale entry '!$Z$1:$Z$1501,$J2796+1)="Online collection 网上收款",INDEX('Daily Sale entry '!$AA$1:$AA$1501,$J2796+1)&lt;&gt;""),N(INDEX('Daily Sale entry '!$AC$1:$AC$1501,$J2796+1))-TRUNC(N(INDEX('Daily Sale entry '!$AC$1:$AC$1501,$J2796+1))),0),N(INDEX('Daily Sale entry '!$S$1:$S$1501,$J2796-1499))-'Opening Balance'!$B$15*(N(INDEX('Daily Sale entry '!$S$1:$S$1501,$J2796-1499))-TRUNC(N(INDEX('Daily Sale entry '!$S$1:$S$1501,$J2796-1499))))))</f>
        <v/>
      </c>
      <c r="G2796" s="6">
        <f>IF($J2796="","",IF($J2796&lt;=1500,N(INDEX('Daily Sale entry '!$AD$1:$AD$1501,$J2796+1)),0))</f>
        <v/>
      </c>
      <c r="H2796" s="6">
        <f>IF($J2796="","",ROUND('Opening Balance'!$B$4+SUM($F$2:F2796)-SUM($G$2:G2796),2))</f>
        <v/>
      </c>
      <c r="J2796" s="21">
        <f>IFERROR(MATCH(ROW()-1,$L$2:$L$3001,0),"")</f>
        <v/>
      </c>
      <c r="K2796" s="34">
        <f>IF(AND('Daily Sale entry '!Q1296="Collection 收款",'Daily Sale entry '!R1296="Cheque 支票",'Daily Sale entry '!V1296&lt;&gt;""),'Daily Sale entry '!V1296+ROW()/10000000,"")</f>
        <v/>
      </c>
      <c r="L2796" s="21">
        <f>IF(K2796="","",COUNTIF($K$2:$K$3001,"&lt;"&amp;K2796)+1)</f>
        <v/>
      </c>
    </row>
    <row r="2797">
      <c r="A2797" s="5">
        <f>IF($J2797="","",IF($J2797&lt;=1500,INDEX('Daily Sale entry '!$X$1:$X$1501,$J2797+1),INDEX('Daily Sale entry '!$V$1:$V$1501,$J2797-1499)))</f>
        <v/>
      </c>
      <c r="B2797">
        <f>IF($J2797="","",IF($J2797&lt;=1500,INDEX('Daily Sale entry '!$Y$1:$Y$1501,$J2797+1)&amp;"","Buyer cheque banked 买家支票存入"&amp;IF(INDEX('Daily Sale entry '!$U$1:$U$1501,$J2797-1499)="","", " - "&amp;INDEX('Daily Sale entry '!$U$1:$U$1501,$J2797-1499))))</f>
        <v/>
      </c>
      <c r="C2797">
        <f>IF($J2797="","",IF($J2797&lt;=1500,INDEX('Daily Sale entry '!$Z$1:$Z$1501,$J2797+1)&amp;"","Cheque deposit 支票存入 (buyer 买家)"))</f>
        <v/>
      </c>
      <c r="D2797">
        <f>IF($J2797="","",IF($J2797&lt;=1500,INDEX('Daily Sale entry '!$AA$1:$AA$1501,$J2797+1)&amp;"",INDEX('Daily Sale entry '!$P$1:$P$1501,$J2797-1499)&amp;""))</f>
        <v/>
      </c>
      <c r="E2797">
        <f>IF($J2797="","",IF($J2797&lt;=1500,IF(N(INDEX('Daily Sale entry '!$AB$1:$AB$1501,$J2797+1))=0,"",INDEX('Daily Sale entry '!$AB$1:$AB$1501,$J2797+1)),1))</f>
        <v/>
      </c>
      <c r="F2797" s="6">
        <f>IF($J2797="","",IF($J2797&lt;=1500,N(INDEX('Daily Sale entry '!$AC$1:$AC$1501,$J2797+1))-IF(AND('Opening Balance'!$B$15=1,INDEX('Daily Sale entry '!$Z$1:$Z$1501,$J2797+1)="Online collection 网上收款",INDEX('Daily Sale entry '!$AA$1:$AA$1501,$J2797+1)&lt;&gt;""),N(INDEX('Daily Sale entry '!$AC$1:$AC$1501,$J2797+1))-TRUNC(N(INDEX('Daily Sale entry '!$AC$1:$AC$1501,$J2797+1))),0),N(INDEX('Daily Sale entry '!$S$1:$S$1501,$J2797-1499))-'Opening Balance'!$B$15*(N(INDEX('Daily Sale entry '!$S$1:$S$1501,$J2797-1499))-TRUNC(N(INDEX('Daily Sale entry '!$S$1:$S$1501,$J2797-1499))))))</f>
        <v/>
      </c>
      <c r="G2797" s="6">
        <f>IF($J2797="","",IF($J2797&lt;=1500,N(INDEX('Daily Sale entry '!$AD$1:$AD$1501,$J2797+1)),0))</f>
        <v/>
      </c>
      <c r="H2797" s="6">
        <f>IF($J2797="","",ROUND('Opening Balance'!$B$4+SUM($F$2:F2797)-SUM($G$2:G2797),2))</f>
        <v/>
      </c>
      <c r="J2797" s="21">
        <f>IFERROR(MATCH(ROW()-1,$L$2:$L$3001,0),"")</f>
        <v/>
      </c>
      <c r="K2797" s="34">
        <f>IF(AND('Daily Sale entry '!Q1297="Collection 收款",'Daily Sale entry '!R1297="Cheque 支票",'Daily Sale entry '!V1297&lt;&gt;""),'Daily Sale entry '!V1297+ROW()/10000000,"")</f>
        <v/>
      </c>
      <c r="L2797" s="21">
        <f>IF(K2797="","",COUNTIF($K$2:$K$3001,"&lt;"&amp;K2797)+1)</f>
        <v/>
      </c>
    </row>
    <row r="2798">
      <c r="A2798" s="5">
        <f>IF($J2798="","",IF($J2798&lt;=1500,INDEX('Daily Sale entry '!$X$1:$X$1501,$J2798+1),INDEX('Daily Sale entry '!$V$1:$V$1501,$J2798-1499)))</f>
        <v/>
      </c>
      <c r="B2798">
        <f>IF($J2798="","",IF($J2798&lt;=1500,INDEX('Daily Sale entry '!$Y$1:$Y$1501,$J2798+1)&amp;"","Buyer cheque banked 买家支票存入"&amp;IF(INDEX('Daily Sale entry '!$U$1:$U$1501,$J2798-1499)="","", " - "&amp;INDEX('Daily Sale entry '!$U$1:$U$1501,$J2798-1499))))</f>
        <v/>
      </c>
      <c r="C2798">
        <f>IF($J2798="","",IF($J2798&lt;=1500,INDEX('Daily Sale entry '!$Z$1:$Z$1501,$J2798+1)&amp;"","Cheque deposit 支票存入 (buyer 买家)"))</f>
        <v/>
      </c>
      <c r="D2798">
        <f>IF($J2798="","",IF($J2798&lt;=1500,INDEX('Daily Sale entry '!$AA$1:$AA$1501,$J2798+1)&amp;"",INDEX('Daily Sale entry '!$P$1:$P$1501,$J2798-1499)&amp;""))</f>
        <v/>
      </c>
      <c r="E2798">
        <f>IF($J2798="","",IF($J2798&lt;=1500,IF(N(INDEX('Daily Sale entry '!$AB$1:$AB$1501,$J2798+1))=0,"",INDEX('Daily Sale entry '!$AB$1:$AB$1501,$J2798+1)),1))</f>
        <v/>
      </c>
      <c r="F2798" s="6">
        <f>IF($J2798="","",IF($J2798&lt;=1500,N(INDEX('Daily Sale entry '!$AC$1:$AC$1501,$J2798+1))-IF(AND('Opening Balance'!$B$15=1,INDEX('Daily Sale entry '!$Z$1:$Z$1501,$J2798+1)="Online collection 网上收款",INDEX('Daily Sale entry '!$AA$1:$AA$1501,$J2798+1)&lt;&gt;""),N(INDEX('Daily Sale entry '!$AC$1:$AC$1501,$J2798+1))-TRUNC(N(INDEX('Daily Sale entry '!$AC$1:$AC$1501,$J2798+1))),0),N(INDEX('Daily Sale entry '!$S$1:$S$1501,$J2798-1499))-'Opening Balance'!$B$15*(N(INDEX('Daily Sale entry '!$S$1:$S$1501,$J2798-1499))-TRUNC(N(INDEX('Daily Sale entry '!$S$1:$S$1501,$J2798-1499))))))</f>
        <v/>
      </c>
      <c r="G2798" s="6">
        <f>IF($J2798="","",IF($J2798&lt;=1500,N(INDEX('Daily Sale entry '!$AD$1:$AD$1501,$J2798+1)),0))</f>
        <v/>
      </c>
      <c r="H2798" s="6">
        <f>IF($J2798="","",ROUND('Opening Balance'!$B$4+SUM($F$2:F2798)-SUM($G$2:G2798),2))</f>
        <v/>
      </c>
      <c r="J2798" s="21">
        <f>IFERROR(MATCH(ROW()-1,$L$2:$L$3001,0),"")</f>
        <v/>
      </c>
      <c r="K2798" s="34">
        <f>IF(AND('Daily Sale entry '!Q1298="Collection 收款",'Daily Sale entry '!R1298="Cheque 支票",'Daily Sale entry '!V1298&lt;&gt;""),'Daily Sale entry '!V1298+ROW()/10000000,"")</f>
        <v/>
      </c>
      <c r="L2798" s="21">
        <f>IF(K2798="","",COUNTIF($K$2:$K$3001,"&lt;"&amp;K2798)+1)</f>
        <v/>
      </c>
    </row>
    <row r="2799">
      <c r="A2799" s="5">
        <f>IF($J2799="","",IF($J2799&lt;=1500,INDEX('Daily Sale entry '!$X$1:$X$1501,$J2799+1),INDEX('Daily Sale entry '!$V$1:$V$1501,$J2799-1499)))</f>
        <v/>
      </c>
      <c r="B2799">
        <f>IF($J2799="","",IF($J2799&lt;=1500,INDEX('Daily Sale entry '!$Y$1:$Y$1501,$J2799+1)&amp;"","Buyer cheque banked 买家支票存入"&amp;IF(INDEX('Daily Sale entry '!$U$1:$U$1501,$J2799-1499)="","", " - "&amp;INDEX('Daily Sale entry '!$U$1:$U$1501,$J2799-1499))))</f>
        <v/>
      </c>
      <c r="C2799">
        <f>IF($J2799="","",IF($J2799&lt;=1500,INDEX('Daily Sale entry '!$Z$1:$Z$1501,$J2799+1)&amp;"","Cheque deposit 支票存入 (buyer 买家)"))</f>
        <v/>
      </c>
      <c r="D2799">
        <f>IF($J2799="","",IF($J2799&lt;=1500,INDEX('Daily Sale entry '!$AA$1:$AA$1501,$J2799+1)&amp;"",INDEX('Daily Sale entry '!$P$1:$P$1501,$J2799-1499)&amp;""))</f>
        <v/>
      </c>
      <c r="E2799">
        <f>IF($J2799="","",IF($J2799&lt;=1500,IF(N(INDEX('Daily Sale entry '!$AB$1:$AB$1501,$J2799+1))=0,"",INDEX('Daily Sale entry '!$AB$1:$AB$1501,$J2799+1)),1))</f>
        <v/>
      </c>
      <c r="F2799" s="6">
        <f>IF($J2799="","",IF($J2799&lt;=1500,N(INDEX('Daily Sale entry '!$AC$1:$AC$1501,$J2799+1))-IF(AND('Opening Balance'!$B$15=1,INDEX('Daily Sale entry '!$Z$1:$Z$1501,$J2799+1)="Online collection 网上收款",INDEX('Daily Sale entry '!$AA$1:$AA$1501,$J2799+1)&lt;&gt;""),N(INDEX('Daily Sale entry '!$AC$1:$AC$1501,$J2799+1))-TRUNC(N(INDEX('Daily Sale entry '!$AC$1:$AC$1501,$J2799+1))),0),N(INDEX('Daily Sale entry '!$S$1:$S$1501,$J2799-1499))-'Opening Balance'!$B$15*(N(INDEX('Daily Sale entry '!$S$1:$S$1501,$J2799-1499))-TRUNC(N(INDEX('Daily Sale entry '!$S$1:$S$1501,$J2799-1499))))))</f>
        <v/>
      </c>
      <c r="G2799" s="6">
        <f>IF($J2799="","",IF($J2799&lt;=1500,N(INDEX('Daily Sale entry '!$AD$1:$AD$1501,$J2799+1)),0))</f>
        <v/>
      </c>
      <c r="H2799" s="6">
        <f>IF($J2799="","",ROUND('Opening Balance'!$B$4+SUM($F$2:F2799)-SUM($G$2:G2799),2))</f>
        <v/>
      </c>
      <c r="J2799" s="21">
        <f>IFERROR(MATCH(ROW()-1,$L$2:$L$3001,0),"")</f>
        <v/>
      </c>
      <c r="K2799" s="34">
        <f>IF(AND('Daily Sale entry '!Q1299="Collection 收款",'Daily Sale entry '!R1299="Cheque 支票",'Daily Sale entry '!V1299&lt;&gt;""),'Daily Sale entry '!V1299+ROW()/10000000,"")</f>
        <v/>
      </c>
      <c r="L2799" s="21">
        <f>IF(K2799="","",COUNTIF($K$2:$K$3001,"&lt;"&amp;K2799)+1)</f>
        <v/>
      </c>
    </row>
    <row r="2800">
      <c r="A2800" s="5">
        <f>IF($J2800="","",IF($J2800&lt;=1500,INDEX('Daily Sale entry '!$X$1:$X$1501,$J2800+1),INDEX('Daily Sale entry '!$V$1:$V$1501,$J2800-1499)))</f>
        <v/>
      </c>
      <c r="B2800">
        <f>IF($J2800="","",IF($J2800&lt;=1500,INDEX('Daily Sale entry '!$Y$1:$Y$1501,$J2800+1)&amp;"","Buyer cheque banked 买家支票存入"&amp;IF(INDEX('Daily Sale entry '!$U$1:$U$1501,$J2800-1499)="","", " - "&amp;INDEX('Daily Sale entry '!$U$1:$U$1501,$J2800-1499))))</f>
        <v/>
      </c>
      <c r="C2800">
        <f>IF($J2800="","",IF($J2800&lt;=1500,INDEX('Daily Sale entry '!$Z$1:$Z$1501,$J2800+1)&amp;"","Cheque deposit 支票存入 (buyer 买家)"))</f>
        <v/>
      </c>
      <c r="D2800">
        <f>IF($J2800="","",IF($J2800&lt;=1500,INDEX('Daily Sale entry '!$AA$1:$AA$1501,$J2800+1)&amp;"",INDEX('Daily Sale entry '!$P$1:$P$1501,$J2800-1499)&amp;""))</f>
        <v/>
      </c>
      <c r="E2800">
        <f>IF($J2800="","",IF($J2800&lt;=1500,IF(N(INDEX('Daily Sale entry '!$AB$1:$AB$1501,$J2800+1))=0,"",INDEX('Daily Sale entry '!$AB$1:$AB$1501,$J2800+1)),1))</f>
        <v/>
      </c>
      <c r="F2800" s="6">
        <f>IF($J2800="","",IF($J2800&lt;=1500,N(INDEX('Daily Sale entry '!$AC$1:$AC$1501,$J2800+1))-IF(AND('Opening Balance'!$B$15=1,INDEX('Daily Sale entry '!$Z$1:$Z$1501,$J2800+1)="Online collection 网上收款",INDEX('Daily Sale entry '!$AA$1:$AA$1501,$J2800+1)&lt;&gt;""),N(INDEX('Daily Sale entry '!$AC$1:$AC$1501,$J2800+1))-TRUNC(N(INDEX('Daily Sale entry '!$AC$1:$AC$1501,$J2800+1))),0),N(INDEX('Daily Sale entry '!$S$1:$S$1501,$J2800-1499))-'Opening Balance'!$B$15*(N(INDEX('Daily Sale entry '!$S$1:$S$1501,$J2800-1499))-TRUNC(N(INDEX('Daily Sale entry '!$S$1:$S$1501,$J2800-1499))))))</f>
        <v/>
      </c>
      <c r="G2800" s="6">
        <f>IF($J2800="","",IF($J2800&lt;=1500,N(INDEX('Daily Sale entry '!$AD$1:$AD$1501,$J2800+1)),0))</f>
        <v/>
      </c>
      <c r="H2800" s="6">
        <f>IF($J2800="","",ROUND('Opening Balance'!$B$4+SUM($F$2:F2800)-SUM($G$2:G2800),2))</f>
        <v/>
      </c>
      <c r="J2800" s="21">
        <f>IFERROR(MATCH(ROW()-1,$L$2:$L$3001,0),"")</f>
        <v/>
      </c>
      <c r="K2800" s="34">
        <f>IF(AND('Daily Sale entry '!Q1300="Collection 收款",'Daily Sale entry '!R1300="Cheque 支票",'Daily Sale entry '!V1300&lt;&gt;""),'Daily Sale entry '!V1300+ROW()/10000000,"")</f>
        <v/>
      </c>
      <c r="L2800" s="21">
        <f>IF(K2800="","",COUNTIF($K$2:$K$3001,"&lt;"&amp;K2800)+1)</f>
        <v/>
      </c>
    </row>
    <row r="2801">
      <c r="A2801" s="5">
        <f>IF($J2801="","",IF($J2801&lt;=1500,INDEX('Daily Sale entry '!$X$1:$X$1501,$J2801+1),INDEX('Daily Sale entry '!$V$1:$V$1501,$J2801-1499)))</f>
        <v/>
      </c>
      <c r="B2801">
        <f>IF($J2801="","",IF($J2801&lt;=1500,INDEX('Daily Sale entry '!$Y$1:$Y$1501,$J2801+1)&amp;"","Buyer cheque banked 买家支票存入"&amp;IF(INDEX('Daily Sale entry '!$U$1:$U$1501,$J2801-1499)="","", " - "&amp;INDEX('Daily Sale entry '!$U$1:$U$1501,$J2801-1499))))</f>
        <v/>
      </c>
      <c r="C2801">
        <f>IF($J2801="","",IF($J2801&lt;=1500,INDEX('Daily Sale entry '!$Z$1:$Z$1501,$J2801+1)&amp;"","Cheque deposit 支票存入 (buyer 买家)"))</f>
        <v/>
      </c>
      <c r="D2801">
        <f>IF($J2801="","",IF($J2801&lt;=1500,INDEX('Daily Sale entry '!$AA$1:$AA$1501,$J2801+1)&amp;"",INDEX('Daily Sale entry '!$P$1:$P$1501,$J2801-1499)&amp;""))</f>
        <v/>
      </c>
      <c r="E2801">
        <f>IF($J2801="","",IF($J2801&lt;=1500,IF(N(INDEX('Daily Sale entry '!$AB$1:$AB$1501,$J2801+1))=0,"",INDEX('Daily Sale entry '!$AB$1:$AB$1501,$J2801+1)),1))</f>
        <v/>
      </c>
      <c r="F2801" s="6">
        <f>IF($J2801="","",IF($J2801&lt;=1500,N(INDEX('Daily Sale entry '!$AC$1:$AC$1501,$J2801+1))-IF(AND('Opening Balance'!$B$15=1,INDEX('Daily Sale entry '!$Z$1:$Z$1501,$J2801+1)="Online collection 网上收款",INDEX('Daily Sale entry '!$AA$1:$AA$1501,$J2801+1)&lt;&gt;""),N(INDEX('Daily Sale entry '!$AC$1:$AC$1501,$J2801+1))-TRUNC(N(INDEX('Daily Sale entry '!$AC$1:$AC$1501,$J2801+1))),0),N(INDEX('Daily Sale entry '!$S$1:$S$1501,$J2801-1499))-'Opening Balance'!$B$15*(N(INDEX('Daily Sale entry '!$S$1:$S$1501,$J2801-1499))-TRUNC(N(INDEX('Daily Sale entry '!$S$1:$S$1501,$J2801-1499))))))</f>
        <v/>
      </c>
      <c r="G2801" s="6">
        <f>IF($J2801="","",IF($J2801&lt;=1500,N(INDEX('Daily Sale entry '!$AD$1:$AD$1501,$J2801+1)),0))</f>
        <v/>
      </c>
      <c r="H2801" s="6">
        <f>IF($J2801="","",ROUND('Opening Balance'!$B$4+SUM($F$2:F2801)-SUM($G$2:G2801),2))</f>
        <v/>
      </c>
      <c r="J2801" s="21">
        <f>IFERROR(MATCH(ROW()-1,$L$2:$L$3001,0),"")</f>
        <v/>
      </c>
      <c r="K2801" s="34">
        <f>IF(AND('Daily Sale entry '!Q1301="Collection 收款",'Daily Sale entry '!R1301="Cheque 支票",'Daily Sale entry '!V1301&lt;&gt;""),'Daily Sale entry '!V1301+ROW()/10000000,"")</f>
        <v/>
      </c>
      <c r="L2801" s="21">
        <f>IF(K2801="","",COUNTIF($K$2:$K$3001,"&lt;"&amp;K2801)+1)</f>
        <v/>
      </c>
    </row>
    <row r="2802">
      <c r="A2802" s="5">
        <f>IF($J2802="","",IF($J2802&lt;=1500,INDEX('Daily Sale entry '!$X$1:$X$1501,$J2802+1),INDEX('Daily Sale entry '!$V$1:$V$1501,$J2802-1499)))</f>
        <v/>
      </c>
      <c r="B2802">
        <f>IF($J2802="","",IF($J2802&lt;=1500,INDEX('Daily Sale entry '!$Y$1:$Y$1501,$J2802+1)&amp;"","Buyer cheque banked 买家支票存入"&amp;IF(INDEX('Daily Sale entry '!$U$1:$U$1501,$J2802-1499)="","", " - "&amp;INDEX('Daily Sale entry '!$U$1:$U$1501,$J2802-1499))))</f>
        <v/>
      </c>
      <c r="C2802">
        <f>IF($J2802="","",IF($J2802&lt;=1500,INDEX('Daily Sale entry '!$Z$1:$Z$1501,$J2802+1)&amp;"","Cheque deposit 支票存入 (buyer 买家)"))</f>
        <v/>
      </c>
      <c r="D2802">
        <f>IF($J2802="","",IF($J2802&lt;=1500,INDEX('Daily Sale entry '!$AA$1:$AA$1501,$J2802+1)&amp;"",INDEX('Daily Sale entry '!$P$1:$P$1501,$J2802-1499)&amp;""))</f>
        <v/>
      </c>
      <c r="E2802">
        <f>IF($J2802="","",IF($J2802&lt;=1500,IF(N(INDEX('Daily Sale entry '!$AB$1:$AB$1501,$J2802+1))=0,"",INDEX('Daily Sale entry '!$AB$1:$AB$1501,$J2802+1)),1))</f>
        <v/>
      </c>
      <c r="F2802" s="6">
        <f>IF($J2802="","",IF($J2802&lt;=1500,N(INDEX('Daily Sale entry '!$AC$1:$AC$1501,$J2802+1))-IF(AND('Opening Balance'!$B$15=1,INDEX('Daily Sale entry '!$Z$1:$Z$1501,$J2802+1)="Online collection 网上收款",INDEX('Daily Sale entry '!$AA$1:$AA$1501,$J2802+1)&lt;&gt;""),N(INDEX('Daily Sale entry '!$AC$1:$AC$1501,$J2802+1))-TRUNC(N(INDEX('Daily Sale entry '!$AC$1:$AC$1501,$J2802+1))),0),N(INDEX('Daily Sale entry '!$S$1:$S$1501,$J2802-1499))-'Opening Balance'!$B$15*(N(INDEX('Daily Sale entry '!$S$1:$S$1501,$J2802-1499))-TRUNC(N(INDEX('Daily Sale entry '!$S$1:$S$1501,$J2802-1499))))))</f>
        <v/>
      </c>
      <c r="G2802" s="6">
        <f>IF($J2802="","",IF($J2802&lt;=1500,N(INDEX('Daily Sale entry '!$AD$1:$AD$1501,$J2802+1)),0))</f>
        <v/>
      </c>
      <c r="H2802" s="6">
        <f>IF($J2802="","",ROUND('Opening Balance'!$B$4+SUM($F$2:F2802)-SUM($G$2:G2802),2))</f>
        <v/>
      </c>
      <c r="J2802" s="21">
        <f>IFERROR(MATCH(ROW()-1,$L$2:$L$3001,0),"")</f>
        <v/>
      </c>
      <c r="K2802" s="34">
        <f>IF(AND('Daily Sale entry '!Q1302="Collection 收款",'Daily Sale entry '!R1302="Cheque 支票",'Daily Sale entry '!V1302&lt;&gt;""),'Daily Sale entry '!V1302+ROW()/10000000,"")</f>
        <v/>
      </c>
      <c r="L2802" s="21">
        <f>IF(K2802="","",COUNTIF($K$2:$K$3001,"&lt;"&amp;K2802)+1)</f>
        <v/>
      </c>
    </row>
    <row r="2803">
      <c r="A2803" s="5">
        <f>IF($J2803="","",IF($J2803&lt;=1500,INDEX('Daily Sale entry '!$X$1:$X$1501,$J2803+1),INDEX('Daily Sale entry '!$V$1:$V$1501,$J2803-1499)))</f>
        <v/>
      </c>
      <c r="B2803">
        <f>IF($J2803="","",IF($J2803&lt;=1500,INDEX('Daily Sale entry '!$Y$1:$Y$1501,$J2803+1)&amp;"","Buyer cheque banked 买家支票存入"&amp;IF(INDEX('Daily Sale entry '!$U$1:$U$1501,$J2803-1499)="","", " - "&amp;INDEX('Daily Sale entry '!$U$1:$U$1501,$J2803-1499))))</f>
        <v/>
      </c>
      <c r="C2803">
        <f>IF($J2803="","",IF($J2803&lt;=1500,INDEX('Daily Sale entry '!$Z$1:$Z$1501,$J2803+1)&amp;"","Cheque deposit 支票存入 (buyer 买家)"))</f>
        <v/>
      </c>
      <c r="D2803">
        <f>IF($J2803="","",IF($J2803&lt;=1500,INDEX('Daily Sale entry '!$AA$1:$AA$1501,$J2803+1)&amp;"",INDEX('Daily Sale entry '!$P$1:$P$1501,$J2803-1499)&amp;""))</f>
        <v/>
      </c>
      <c r="E2803">
        <f>IF($J2803="","",IF($J2803&lt;=1500,IF(N(INDEX('Daily Sale entry '!$AB$1:$AB$1501,$J2803+1))=0,"",INDEX('Daily Sale entry '!$AB$1:$AB$1501,$J2803+1)),1))</f>
        <v/>
      </c>
      <c r="F2803" s="6">
        <f>IF($J2803="","",IF($J2803&lt;=1500,N(INDEX('Daily Sale entry '!$AC$1:$AC$1501,$J2803+1))-IF(AND('Opening Balance'!$B$15=1,INDEX('Daily Sale entry '!$Z$1:$Z$1501,$J2803+1)="Online collection 网上收款",INDEX('Daily Sale entry '!$AA$1:$AA$1501,$J2803+1)&lt;&gt;""),N(INDEX('Daily Sale entry '!$AC$1:$AC$1501,$J2803+1))-TRUNC(N(INDEX('Daily Sale entry '!$AC$1:$AC$1501,$J2803+1))),0),N(INDEX('Daily Sale entry '!$S$1:$S$1501,$J2803-1499))-'Opening Balance'!$B$15*(N(INDEX('Daily Sale entry '!$S$1:$S$1501,$J2803-1499))-TRUNC(N(INDEX('Daily Sale entry '!$S$1:$S$1501,$J2803-1499))))))</f>
        <v/>
      </c>
      <c r="G2803" s="6">
        <f>IF($J2803="","",IF($J2803&lt;=1500,N(INDEX('Daily Sale entry '!$AD$1:$AD$1501,$J2803+1)),0))</f>
        <v/>
      </c>
      <c r="H2803" s="6">
        <f>IF($J2803="","",ROUND('Opening Balance'!$B$4+SUM($F$2:F2803)-SUM($G$2:G2803),2))</f>
        <v/>
      </c>
      <c r="J2803" s="21">
        <f>IFERROR(MATCH(ROW()-1,$L$2:$L$3001,0),"")</f>
        <v/>
      </c>
      <c r="K2803" s="34">
        <f>IF(AND('Daily Sale entry '!Q1303="Collection 收款",'Daily Sale entry '!R1303="Cheque 支票",'Daily Sale entry '!V1303&lt;&gt;""),'Daily Sale entry '!V1303+ROW()/10000000,"")</f>
        <v/>
      </c>
      <c r="L2803" s="21">
        <f>IF(K2803="","",COUNTIF($K$2:$K$3001,"&lt;"&amp;K2803)+1)</f>
        <v/>
      </c>
    </row>
    <row r="2804">
      <c r="A2804" s="5">
        <f>IF($J2804="","",IF($J2804&lt;=1500,INDEX('Daily Sale entry '!$X$1:$X$1501,$J2804+1),INDEX('Daily Sale entry '!$V$1:$V$1501,$J2804-1499)))</f>
        <v/>
      </c>
      <c r="B2804">
        <f>IF($J2804="","",IF($J2804&lt;=1500,INDEX('Daily Sale entry '!$Y$1:$Y$1501,$J2804+1)&amp;"","Buyer cheque banked 买家支票存入"&amp;IF(INDEX('Daily Sale entry '!$U$1:$U$1501,$J2804-1499)="","", " - "&amp;INDEX('Daily Sale entry '!$U$1:$U$1501,$J2804-1499))))</f>
        <v/>
      </c>
      <c r="C2804">
        <f>IF($J2804="","",IF($J2804&lt;=1500,INDEX('Daily Sale entry '!$Z$1:$Z$1501,$J2804+1)&amp;"","Cheque deposit 支票存入 (buyer 买家)"))</f>
        <v/>
      </c>
      <c r="D2804">
        <f>IF($J2804="","",IF($J2804&lt;=1500,INDEX('Daily Sale entry '!$AA$1:$AA$1501,$J2804+1)&amp;"",INDEX('Daily Sale entry '!$P$1:$P$1501,$J2804-1499)&amp;""))</f>
        <v/>
      </c>
      <c r="E2804">
        <f>IF($J2804="","",IF($J2804&lt;=1500,IF(N(INDEX('Daily Sale entry '!$AB$1:$AB$1501,$J2804+1))=0,"",INDEX('Daily Sale entry '!$AB$1:$AB$1501,$J2804+1)),1))</f>
        <v/>
      </c>
      <c r="F2804" s="6">
        <f>IF($J2804="","",IF($J2804&lt;=1500,N(INDEX('Daily Sale entry '!$AC$1:$AC$1501,$J2804+1))-IF(AND('Opening Balance'!$B$15=1,INDEX('Daily Sale entry '!$Z$1:$Z$1501,$J2804+1)="Online collection 网上收款",INDEX('Daily Sale entry '!$AA$1:$AA$1501,$J2804+1)&lt;&gt;""),N(INDEX('Daily Sale entry '!$AC$1:$AC$1501,$J2804+1))-TRUNC(N(INDEX('Daily Sale entry '!$AC$1:$AC$1501,$J2804+1))),0),N(INDEX('Daily Sale entry '!$S$1:$S$1501,$J2804-1499))-'Opening Balance'!$B$15*(N(INDEX('Daily Sale entry '!$S$1:$S$1501,$J2804-1499))-TRUNC(N(INDEX('Daily Sale entry '!$S$1:$S$1501,$J2804-1499))))))</f>
        <v/>
      </c>
      <c r="G2804" s="6">
        <f>IF($J2804="","",IF($J2804&lt;=1500,N(INDEX('Daily Sale entry '!$AD$1:$AD$1501,$J2804+1)),0))</f>
        <v/>
      </c>
      <c r="H2804" s="6">
        <f>IF($J2804="","",ROUND('Opening Balance'!$B$4+SUM($F$2:F2804)-SUM($G$2:G2804),2))</f>
        <v/>
      </c>
      <c r="J2804" s="21">
        <f>IFERROR(MATCH(ROW()-1,$L$2:$L$3001,0),"")</f>
        <v/>
      </c>
      <c r="K2804" s="34">
        <f>IF(AND('Daily Sale entry '!Q1304="Collection 收款",'Daily Sale entry '!R1304="Cheque 支票",'Daily Sale entry '!V1304&lt;&gt;""),'Daily Sale entry '!V1304+ROW()/10000000,"")</f>
        <v/>
      </c>
      <c r="L2804" s="21">
        <f>IF(K2804="","",COUNTIF($K$2:$K$3001,"&lt;"&amp;K2804)+1)</f>
        <v/>
      </c>
    </row>
    <row r="2805">
      <c r="A2805" s="5">
        <f>IF($J2805="","",IF($J2805&lt;=1500,INDEX('Daily Sale entry '!$X$1:$X$1501,$J2805+1),INDEX('Daily Sale entry '!$V$1:$V$1501,$J2805-1499)))</f>
        <v/>
      </c>
      <c r="B2805">
        <f>IF($J2805="","",IF($J2805&lt;=1500,INDEX('Daily Sale entry '!$Y$1:$Y$1501,$J2805+1)&amp;"","Buyer cheque banked 买家支票存入"&amp;IF(INDEX('Daily Sale entry '!$U$1:$U$1501,$J2805-1499)="","", " - "&amp;INDEX('Daily Sale entry '!$U$1:$U$1501,$J2805-1499))))</f>
        <v/>
      </c>
      <c r="C2805">
        <f>IF($J2805="","",IF($J2805&lt;=1500,INDEX('Daily Sale entry '!$Z$1:$Z$1501,$J2805+1)&amp;"","Cheque deposit 支票存入 (buyer 买家)"))</f>
        <v/>
      </c>
      <c r="D2805">
        <f>IF($J2805="","",IF($J2805&lt;=1500,INDEX('Daily Sale entry '!$AA$1:$AA$1501,$J2805+1)&amp;"",INDEX('Daily Sale entry '!$P$1:$P$1501,$J2805-1499)&amp;""))</f>
        <v/>
      </c>
      <c r="E2805">
        <f>IF($J2805="","",IF($J2805&lt;=1500,IF(N(INDEX('Daily Sale entry '!$AB$1:$AB$1501,$J2805+1))=0,"",INDEX('Daily Sale entry '!$AB$1:$AB$1501,$J2805+1)),1))</f>
        <v/>
      </c>
      <c r="F2805" s="6">
        <f>IF($J2805="","",IF($J2805&lt;=1500,N(INDEX('Daily Sale entry '!$AC$1:$AC$1501,$J2805+1))-IF(AND('Opening Balance'!$B$15=1,INDEX('Daily Sale entry '!$Z$1:$Z$1501,$J2805+1)="Online collection 网上收款",INDEX('Daily Sale entry '!$AA$1:$AA$1501,$J2805+1)&lt;&gt;""),N(INDEX('Daily Sale entry '!$AC$1:$AC$1501,$J2805+1))-TRUNC(N(INDEX('Daily Sale entry '!$AC$1:$AC$1501,$J2805+1))),0),N(INDEX('Daily Sale entry '!$S$1:$S$1501,$J2805-1499))-'Opening Balance'!$B$15*(N(INDEX('Daily Sale entry '!$S$1:$S$1501,$J2805-1499))-TRUNC(N(INDEX('Daily Sale entry '!$S$1:$S$1501,$J2805-1499))))))</f>
        <v/>
      </c>
      <c r="G2805" s="6">
        <f>IF($J2805="","",IF($J2805&lt;=1500,N(INDEX('Daily Sale entry '!$AD$1:$AD$1501,$J2805+1)),0))</f>
        <v/>
      </c>
      <c r="H2805" s="6">
        <f>IF($J2805="","",ROUND('Opening Balance'!$B$4+SUM($F$2:F2805)-SUM($G$2:G2805),2))</f>
        <v/>
      </c>
      <c r="J2805" s="21">
        <f>IFERROR(MATCH(ROW()-1,$L$2:$L$3001,0),"")</f>
        <v/>
      </c>
      <c r="K2805" s="34">
        <f>IF(AND('Daily Sale entry '!Q1305="Collection 收款",'Daily Sale entry '!R1305="Cheque 支票",'Daily Sale entry '!V1305&lt;&gt;""),'Daily Sale entry '!V1305+ROW()/10000000,"")</f>
        <v/>
      </c>
      <c r="L2805" s="21">
        <f>IF(K2805="","",COUNTIF($K$2:$K$3001,"&lt;"&amp;K2805)+1)</f>
        <v/>
      </c>
    </row>
    <row r="2806">
      <c r="A2806" s="5">
        <f>IF($J2806="","",IF($J2806&lt;=1500,INDEX('Daily Sale entry '!$X$1:$X$1501,$J2806+1),INDEX('Daily Sale entry '!$V$1:$V$1501,$J2806-1499)))</f>
        <v/>
      </c>
      <c r="B2806">
        <f>IF($J2806="","",IF($J2806&lt;=1500,INDEX('Daily Sale entry '!$Y$1:$Y$1501,$J2806+1)&amp;"","Buyer cheque banked 买家支票存入"&amp;IF(INDEX('Daily Sale entry '!$U$1:$U$1501,$J2806-1499)="","", " - "&amp;INDEX('Daily Sale entry '!$U$1:$U$1501,$J2806-1499))))</f>
        <v/>
      </c>
      <c r="C2806">
        <f>IF($J2806="","",IF($J2806&lt;=1500,INDEX('Daily Sale entry '!$Z$1:$Z$1501,$J2806+1)&amp;"","Cheque deposit 支票存入 (buyer 买家)"))</f>
        <v/>
      </c>
      <c r="D2806">
        <f>IF($J2806="","",IF($J2806&lt;=1500,INDEX('Daily Sale entry '!$AA$1:$AA$1501,$J2806+1)&amp;"",INDEX('Daily Sale entry '!$P$1:$P$1501,$J2806-1499)&amp;""))</f>
        <v/>
      </c>
      <c r="E2806">
        <f>IF($J2806="","",IF($J2806&lt;=1500,IF(N(INDEX('Daily Sale entry '!$AB$1:$AB$1501,$J2806+1))=0,"",INDEX('Daily Sale entry '!$AB$1:$AB$1501,$J2806+1)),1))</f>
        <v/>
      </c>
      <c r="F2806" s="6">
        <f>IF($J2806="","",IF($J2806&lt;=1500,N(INDEX('Daily Sale entry '!$AC$1:$AC$1501,$J2806+1))-IF(AND('Opening Balance'!$B$15=1,INDEX('Daily Sale entry '!$Z$1:$Z$1501,$J2806+1)="Online collection 网上收款",INDEX('Daily Sale entry '!$AA$1:$AA$1501,$J2806+1)&lt;&gt;""),N(INDEX('Daily Sale entry '!$AC$1:$AC$1501,$J2806+1))-TRUNC(N(INDEX('Daily Sale entry '!$AC$1:$AC$1501,$J2806+1))),0),N(INDEX('Daily Sale entry '!$S$1:$S$1501,$J2806-1499))-'Opening Balance'!$B$15*(N(INDEX('Daily Sale entry '!$S$1:$S$1501,$J2806-1499))-TRUNC(N(INDEX('Daily Sale entry '!$S$1:$S$1501,$J2806-1499))))))</f>
        <v/>
      </c>
      <c r="G2806" s="6">
        <f>IF($J2806="","",IF($J2806&lt;=1500,N(INDEX('Daily Sale entry '!$AD$1:$AD$1501,$J2806+1)),0))</f>
        <v/>
      </c>
      <c r="H2806" s="6">
        <f>IF($J2806="","",ROUND('Opening Balance'!$B$4+SUM($F$2:F2806)-SUM($G$2:G2806),2))</f>
        <v/>
      </c>
      <c r="J2806" s="21">
        <f>IFERROR(MATCH(ROW()-1,$L$2:$L$3001,0),"")</f>
        <v/>
      </c>
      <c r="K2806" s="34">
        <f>IF(AND('Daily Sale entry '!Q1306="Collection 收款",'Daily Sale entry '!R1306="Cheque 支票",'Daily Sale entry '!V1306&lt;&gt;""),'Daily Sale entry '!V1306+ROW()/10000000,"")</f>
        <v/>
      </c>
      <c r="L2806" s="21">
        <f>IF(K2806="","",COUNTIF($K$2:$K$3001,"&lt;"&amp;K2806)+1)</f>
        <v/>
      </c>
    </row>
    <row r="2807">
      <c r="A2807" s="5">
        <f>IF($J2807="","",IF($J2807&lt;=1500,INDEX('Daily Sale entry '!$X$1:$X$1501,$J2807+1),INDEX('Daily Sale entry '!$V$1:$V$1501,$J2807-1499)))</f>
        <v/>
      </c>
      <c r="B2807">
        <f>IF($J2807="","",IF($J2807&lt;=1500,INDEX('Daily Sale entry '!$Y$1:$Y$1501,$J2807+1)&amp;"","Buyer cheque banked 买家支票存入"&amp;IF(INDEX('Daily Sale entry '!$U$1:$U$1501,$J2807-1499)="","", " - "&amp;INDEX('Daily Sale entry '!$U$1:$U$1501,$J2807-1499))))</f>
        <v/>
      </c>
      <c r="C2807">
        <f>IF($J2807="","",IF($J2807&lt;=1500,INDEX('Daily Sale entry '!$Z$1:$Z$1501,$J2807+1)&amp;"","Cheque deposit 支票存入 (buyer 买家)"))</f>
        <v/>
      </c>
      <c r="D2807">
        <f>IF($J2807="","",IF($J2807&lt;=1500,INDEX('Daily Sale entry '!$AA$1:$AA$1501,$J2807+1)&amp;"",INDEX('Daily Sale entry '!$P$1:$P$1501,$J2807-1499)&amp;""))</f>
        <v/>
      </c>
      <c r="E2807">
        <f>IF($J2807="","",IF($J2807&lt;=1500,IF(N(INDEX('Daily Sale entry '!$AB$1:$AB$1501,$J2807+1))=0,"",INDEX('Daily Sale entry '!$AB$1:$AB$1501,$J2807+1)),1))</f>
        <v/>
      </c>
      <c r="F2807" s="6">
        <f>IF($J2807="","",IF($J2807&lt;=1500,N(INDEX('Daily Sale entry '!$AC$1:$AC$1501,$J2807+1))-IF(AND('Opening Balance'!$B$15=1,INDEX('Daily Sale entry '!$Z$1:$Z$1501,$J2807+1)="Online collection 网上收款",INDEX('Daily Sale entry '!$AA$1:$AA$1501,$J2807+1)&lt;&gt;""),N(INDEX('Daily Sale entry '!$AC$1:$AC$1501,$J2807+1))-TRUNC(N(INDEX('Daily Sale entry '!$AC$1:$AC$1501,$J2807+1))),0),N(INDEX('Daily Sale entry '!$S$1:$S$1501,$J2807-1499))-'Opening Balance'!$B$15*(N(INDEX('Daily Sale entry '!$S$1:$S$1501,$J2807-1499))-TRUNC(N(INDEX('Daily Sale entry '!$S$1:$S$1501,$J2807-1499))))))</f>
        <v/>
      </c>
      <c r="G2807" s="6">
        <f>IF($J2807="","",IF($J2807&lt;=1500,N(INDEX('Daily Sale entry '!$AD$1:$AD$1501,$J2807+1)),0))</f>
        <v/>
      </c>
      <c r="H2807" s="6">
        <f>IF($J2807="","",ROUND('Opening Balance'!$B$4+SUM($F$2:F2807)-SUM($G$2:G2807),2))</f>
        <v/>
      </c>
      <c r="J2807" s="21">
        <f>IFERROR(MATCH(ROW()-1,$L$2:$L$3001,0),"")</f>
        <v/>
      </c>
      <c r="K2807" s="34">
        <f>IF(AND('Daily Sale entry '!Q1307="Collection 收款",'Daily Sale entry '!R1307="Cheque 支票",'Daily Sale entry '!V1307&lt;&gt;""),'Daily Sale entry '!V1307+ROW()/10000000,"")</f>
        <v/>
      </c>
      <c r="L2807" s="21">
        <f>IF(K2807="","",COUNTIF($K$2:$K$3001,"&lt;"&amp;K2807)+1)</f>
        <v/>
      </c>
    </row>
    <row r="2808">
      <c r="A2808" s="5">
        <f>IF($J2808="","",IF($J2808&lt;=1500,INDEX('Daily Sale entry '!$X$1:$X$1501,$J2808+1),INDEX('Daily Sale entry '!$V$1:$V$1501,$J2808-1499)))</f>
        <v/>
      </c>
      <c r="B2808">
        <f>IF($J2808="","",IF($J2808&lt;=1500,INDEX('Daily Sale entry '!$Y$1:$Y$1501,$J2808+1)&amp;"","Buyer cheque banked 买家支票存入"&amp;IF(INDEX('Daily Sale entry '!$U$1:$U$1501,$J2808-1499)="","", " - "&amp;INDEX('Daily Sale entry '!$U$1:$U$1501,$J2808-1499))))</f>
        <v/>
      </c>
      <c r="C2808">
        <f>IF($J2808="","",IF($J2808&lt;=1500,INDEX('Daily Sale entry '!$Z$1:$Z$1501,$J2808+1)&amp;"","Cheque deposit 支票存入 (buyer 买家)"))</f>
        <v/>
      </c>
      <c r="D2808">
        <f>IF($J2808="","",IF($J2808&lt;=1500,INDEX('Daily Sale entry '!$AA$1:$AA$1501,$J2808+1)&amp;"",INDEX('Daily Sale entry '!$P$1:$P$1501,$J2808-1499)&amp;""))</f>
        <v/>
      </c>
      <c r="E2808">
        <f>IF($J2808="","",IF($J2808&lt;=1500,IF(N(INDEX('Daily Sale entry '!$AB$1:$AB$1501,$J2808+1))=0,"",INDEX('Daily Sale entry '!$AB$1:$AB$1501,$J2808+1)),1))</f>
        <v/>
      </c>
      <c r="F2808" s="6">
        <f>IF($J2808="","",IF($J2808&lt;=1500,N(INDEX('Daily Sale entry '!$AC$1:$AC$1501,$J2808+1))-IF(AND('Opening Balance'!$B$15=1,INDEX('Daily Sale entry '!$Z$1:$Z$1501,$J2808+1)="Online collection 网上收款",INDEX('Daily Sale entry '!$AA$1:$AA$1501,$J2808+1)&lt;&gt;""),N(INDEX('Daily Sale entry '!$AC$1:$AC$1501,$J2808+1))-TRUNC(N(INDEX('Daily Sale entry '!$AC$1:$AC$1501,$J2808+1))),0),N(INDEX('Daily Sale entry '!$S$1:$S$1501,$J2808-1499))-'Opening Balance'!$B$15*(N(INDEX('Daily Sale entry '!$S$1:$S$1501,$J2808-1499))-TRUNC(N(INDEX('Daily Sale entry '!$S$1:$S$1501,$J2808-1499))))))</f>
        <v/>
      </c>
      <c r="G2808" s="6">
        <f>IF($J2808="","",IF($J2808&lt;=1500,N(INDEX('Daily Sale entry '!$AD$1:$AD$1501,$J2808+1)),0))</f>
        <v/>
      </c>
      <c r="H2808" s="6">
        <f>IF($J2808="","",ROUND('Opening Balance'!$B$4+SUM($F$2:F2808)-SUM($G$2:G2808),2))</f>
        <v/>
      </c>
      <c r="J2808" s="21">
        <f>IFERROR(MATCH(ROW()-1,$L$2:$L$3001,0),"")</f>
        <v/>
      </c>
      <c r="K2808" s="34">
        <f>IF(AND('Daily Sale entry '!Q1308="Collection 收款",'Daily Sale entry '!R1308="Cheque 支票",'Daily Sale entry '!V1308&lt;&gt;""),'Daily Sale entry '!V1308+ROW()/10000000,"")</f>
        <v/>
      </c>
      <c r="L2808" s="21">
        <f>IF(K2808="","",COUNTIF($K$2:$K$3001,"&lt;"&amp;K2808)+1)</f>
        <v/>
      </c>
    </row>
    <row r="2809">
      <c r="A2809" s="5">
        <f>IF($J2809="","",IF($J2809&lt;=1500,INDEX('Daily Sale entry '!$X$1:$X$1501,$J2809+1),INDEX('Daily Sale entry '!$V$1:$V$1501,$J2809-1499)))</f>
        <v/>
      </c>
      <c r="B2809">
        <f>IF($J2809="","",IF($J2809&lt;=1500,INDEX('Daily Sale entry '!$Y$1:$Y$1501,$J2809+1)&amp;"","Buyer cheque banked 买家支票存入"&amp;IF(INDEX('Daily Sale entry '!$U$1:$U$1501,$J2809-1499)="","", " - "&amp;INDEX('Daily Sale entry '!$U$1:$U$1501,$J2809-1499))))</f>
        <v/>
      </c>
      <c r="C2809">
        <f>IF($J2809="","",IF($J2809&lt;=1500,INDEX('Daily Sale entry '!$Z$1:$Z$1501,$J2809+1)&amp;"","Cheque deposit 支票存入 (buyer 买家)"))</f>
        <v/>
      </c>
      <c r="D2809">
        <f>IF($J2809="","",IF($J2809&lt;=1500,INDEX('Daily Sale entry '!$AA$1:$AA$1501,$J2809+1)&amp;"",INDEX('Daily Sale entry '!$P$1:$P$1501,$J2809-1499)&amp;""))</f>
        <v/>
      </c>
      <c r="E2809">
        <f>IF($J2809="","",IF($J2809&lt;=1500,IF(N(INDEX('Daily Sale entry '!$AB$1:$AB$1501,$J2809+1))=0,"",INDEX('Daily Sale entry '!$AB$1:$AB$1501,$J2809+1)),1))</f>
        <v/>
      </c>
      <c r="F2809" s="6">
        <f>IF($J2809="","",IF($J2809&lt;=1500,N(INDEX('Daily Sale entry '!$AC$1:$AC$1501,$J2809+1))-IF(AND('Opening Balance'!$B$15=1,INDEX('Daily Sale entry '!$Z$1:$Z$1501,$J2809+1)="Online collection 网上收款",INDEX('Daily Sale entry '!$AA$1:$AA$1501,$J2809+1)&lt;&gt;""),N(INDEX('Daily Sale entry '!$AC$1:$AC$1501,$J2809+1))-TRUNC(N(INDEX('Daily Sale entry '!$AC$1:$AC$1501,$J2809+1))),0),N(INDEX('Daily Sale entry '!$S$1:$S$1501,$J2809-1499))-'Opening Balance'!$B$15*(N(INDEX('Daily Sale entry '!$S$1:$S$1501,$J2809-1499))-TRUNC(N(INDEX('Daily Sale entry '!$S$1:$S$1501,$J2809-1499))))))</f>
        <v/>
      </c>
      <c r="G2809" s="6">
        <f>IF($J2809="","",IF($J2809&lt;=1500,N(INDEX('Daily Sale entry '!$AD$1:$AD$1501,$J2809+1)),0))</f>
        <v/>
      </c>
      <c r="H2809" s="6">
        <f>IF($J2809="","",ROUND('Opening Balance'!$B$4+SUM($F$2:F2809)-SUM($G$2:G2809),2))</f>
        <v/>
      </c>
      <c r="J2809" s="21">
        <f>IFERROR(MATCH(ROW()-1,$L$2:$L$3001,0),"")</f>
        <v/>
      </c>
      <c r="K2809" s="34">
        <f>IF(AND('Daily Sale entry '!Q1309="Collection 收款",'Daily Sale entry '!R1309="Cheque 支票",'Daily Sale entry '!V1309&lt;&gt;""),'Daily Sale entry '!V1309+ROW()/10000000,"")</f>
        <v/>
      </c>
      <c r="L2809" s="21">
        <f>IF(K2809="","",COUNTIF($K$2:$K$3001,"&lt;"&amp;K2809)+1)</f>
        <v/>
      </c>
    </row>
    <row r="2810">
      <c r="A2810" s="5">
        <f>IF($J2810="","",IF($J2810&lt;=1500,INDEX('Daily Sale entry '!$X$1:$X$1501,$J2810+1),INDEX('Daily Sale entry '!$V$1:$V$1501,$J2810-1499)))</f>
        <v/>
      </c>
      <c r="B2810">
        <f>IF($J2810="","",IF($J2810&lt;=1500,INDEX('Daily Sale entry '!$Y$1:$Y$1501,$J2810+1)&amp;"","Buyer cheque banked 买家支票存入"&amp;IF(INDEX('Daily Sale entry '!$U$1:$U$1501,$J2810-1499)="","", " - "&amp;INDEX('Daily Sale entry '!$U$1:$U$1501,$J2810-1499))))</f>
        <v/>
      </c>
      <c r="C2810">
        <f>IF($J2810="","",IF($J2810&lt;=1500,INDEX('Daily Sale entry '!$Z$1:$Z$1501,$J2810+1)&amp;"","Cheque deposit 支票存入 (buyer 买家)"))</f>
        <v/>
      </c>
      <c r="D2810">
        <f>IF($J2810="","",IF($J2810&lt;=1500,INDEX('Daily Sale entry '!$AA$1:$AA$1501,$J2810+1)&amp;"",INDEX('Daily Sale entry '!$P$1:$P$1501,$J2810-1499)&amp;""))</f>
        <v/>
      </c>
      <c r="E2810">
        <f>IF($J2810="","",IF($J2810&lt;=1500,IF(N(INDEX('Daily Sale entry '!$AB$1:$AB$1501,$J2810+1))=0,"",INDEX('Daily Sale entry '!$AB$1:$AB$1501,$J2810+1)),1))</f>
        <v/>
      </c>
      <c r="F2810" s="6">
        <f>IF($J2810="","",IF($J2810&lt;=1500,N(INDEX('Daily Sale entry '!$AC$1:$AC$1501,$J2810+1))-IF(AND('Opening Balance'!$B$15=1,INDEX('Daily Sale entry '!$Z$1:$Z$1501,$J2810+1)="Online collection 网上收款",INDEX('Daily Sale entry '!$AA$1:$AA$1501,$J2810+1)&lt;&gt;""),N(INDEX('Daily Sale entry '!$AC$1:$AC$1501,$J2810+1))-TRUNC(N(INDEX('Daily Sale entry '!$AC$1:$AC$1501,$J2810+1))),0),N(INDEX('Daily Sale entry '!$S$1:$S$1501,$J2810-1499))-'Opening Balance'!$B$15*(N(INDEX('Daily Sale entry '!$S$1:$S$1501,$J2810-1499))-TRUNC(N(INDEX('Daily Sale entry '!$S$1:$S$1501,$J2810-1499))))))</f>
        <v/>
      </c>
      <c r="G2810" s="6">
        <f>IF($J2810="","",IF($J2810&lt;=1500,N(INDEX('Daily Sale entry '!$AD$1:$AD$1501,$J2810+1)),0))</f>
        <v/>
      </c>
      <c r="H2810" s="6">
        <f>IF($J2810="","",ROUND('Opening Balance'!$B$4+SUM($F$2:F2810)-SUM($G$2:G2810),2))</f>
        <v/>
      </c>
      <c r="J2810" s="21">
        <f>IFERROR(MATCH(ROW()-1,$L$2:$L$3001,0),"")</f>
        <v/>
      </c>
      <c r="K2810" s="34">
        <f>IF(AND('Daily Sale entry '!Q1310="Collection 收款",'Daily Sale entry '!R1310="Cheque 支票",'Daily Sale entry '!V1310&lt;&gt;""),'Daily Sale entry '!V1310+ROW()/10000000,"")</f>
        <v/>
      </c>
      <c r="L2810" s="21">
        <f>IF(K2810="","",COUNTIF($K$2:$K$3001,"&lt;"&amp;K2810)+1)</f>
        <v/>
      </c>
    </row>
    <row r="2811">
      <c r="A2811" s="5">
        <f>IF($J2811="","",IF($J2811&lt;=1500,INDEX('Daily Sale entry '!$X$1:$X$1501,$J2811+1),INDEX('Daily Sale entry '!$V$1:$V$1501,$J2811-1499)))</f>
        <v/>
      </c>
      <c r="B2811">
        <f>IF($J2811="","",IF($J2811&lt;=1500,INDEX('Daily Sale entry '!$Y$1:$Y$1501,$J2811+1)&amp;"","Buyer cheque banked 买家支票存入"&amp;IF(INDEX('Daily Sale entry '!$U$1:$U$1501,$J2811-1499)="","", " - "&amp;INDEX('Daily Sale entry '!$U$1:$U$1501,$J2811-1499))))</f>
        <v/>
      </c>
      <c r="C2811">
        <f>IF($J2811="","",IF($J2811&lt;=1500,INDEX('Daily Sale entry '!$Z$1:$Z$1501,$J2811+1)&amp;"","Cheque deposit 支票存入 (buyer 买家)"))</f>
        <v/>
      </c>
      <c r="D2811">
        <f>IF($J2811="","",IF($J2811&lt;=1500,INDEX('Daily Sale entry '!$AA$1:$AA$1501,$J2811+1)&amp;"",INDEX('Daily Sale entry '!$P$1:$P$1501,$J2811-1499)&amp;""))</f>
        <v/>
      </c>
      <c r="E2811">
        <f>IF($J2811="","",IF($J2811&lt;=1500,IF(N(INDEX('Daily Sale entry '!$AB$1:$AB$1501,$J2811+1))=0,"",INDEX('Daily Sale entry '!$AB$1:$AB$1501,$J2811+1)),1))</f>
        <v/>
      </c>
      <c r="F2811" s="6">
        <f>IF($J2811="","",IF($J2811&lt;=1500,N(INDEX('Daily Sale entry '!$AC$1:$AC$1501,$J2811+1))-IF(AND('Opening Balance'!$B$15=1,INDEX('Daily Sale entry '!$Z$1:$Z$1501,$J2811+1)="Online collection 网上收款",INDEX('Daily Sale entry '!$AA$1:$AA$1501,$J2811+1)&lt;&gt;""),N(INDEX('Daily Sale entry '!$AC$1:$AC$1501,$J2811+1))-TRUNC(N(INDEX('Daily Sale entry '!$AC$1:$AC$1501,$J2811+1))),0),N(INDEX('Daily Sale entry '!$S$1:$S$1501,$J2811-1499))-'Opening Balance'!$B$15*(N(INDEX('Daily Sale entry '!$S$1:$S$1501,$J2811-1499))-TRUNC(N(INDEX('Daily Sale entry '!$S$1:$S$1501,$J2811-1499))))))</f>
        <v/>
      </c>
      <c r="G2811" s="6">
        <f>IF($J2811="","",IF($J2811&lt;=1500,N(INDEX('Daily Sale entry '!$AD$1:$AD$1501,$J2811+1)),0))</f>
        <v/>
      </c>
      <c r="H2811" s="6">
        <f>IF($J2811="","",ROUND('Opening Balance'!$B$4+SUM($F$2:F2811)-SUM($G$2:G2811),2))</f>
        <v/>
      </c>
      <c r="J2811" s="21">
        <f>IFERROR(MATCH(ROW()-1,$L$2:$L$3001,0),"")</f>
        <v/>
      </c>
      <c r="K2811" s="34">
        <f>IF(AND('Daily Sale entry '!Q1311="Collection 收款",'Daily Sale entry '!R1311="Cheque 支票",'Daily Sale entry '!V1311&lt;&gt;""),'Daily Sale entry '!V1311+ROW()/10000000,"")</f>
        <v/>
      </c>
      <c r="L2811" s="21">
        <f>IF(K2811="","",COUNTIF($K$2:$K$3001,"&lt;"&amp;K2811)+1)</f>
        <v/>
      </c>
    </row>
    <row r="2812">
      <c r="A2812" s="5">
        <f>IF($J2812="","",IF($J2812&lt;=1500,INDEX('Daily Sale entry '!$X$1:$X$1501,$J2812+1),INDEX('Daily Sale entry '!$V$1:$V$1501,$J2812-1499)))</f>
        <v/>
      </c>
      <c r="B2812">
        <f>IF($J2812="","",IF($J2812&lt;=1500,INDEX('Daily Sale entry '!$Y$1:$Y$1501,$J2812+1)&amp;"","Buyer cheque banked 买家支票存入"&amp;IF(INDEX('Daily Sale entry '!$U$1:$U$1501,$J2812-1499)="","", " - "&amp;INDEX('Daily Sale entry '!$U$1:$U$1501,$J2812-1499))))</f>
        <v/>
      </c>
      <c r="C2812">
        <f>IF($J2812="","",IF($J2812&lt;=1500,INDEX('Daily Sale entry '!$Z$1:$Z$1501,$J2812+1)&amp;"","Cheque deposit 支票存入 (buyer 买家)"))</f>
        <v/>
      </c>
      <c r="D2812">
        <f>IF($J2812="","",IF($J2812&lt;=1500,INDEX('Daily Sale entry '!$AA$1:$AA$1501,$J2812+1)&amp;"",INDEX('Daily Sale entry '!$P$1:$P$1501,$J2812-1499)&amp;""))</f>
        <v/>
      </c>
      <c r="E2812">
        <f>IF($J2812="","",IF($J2812&lt;=1500,IF(N(INDEX('Daily Sale entry '!$AB$1:$AB$1501,$J2812+1))=0,"",INDEX('Daily Sale entry '!$AB$1:$AB$1501,$J2812+1)),1))</f>
        <v/>
      </c>
      <c r="F2812" s="6">
        <f>IF($J2812="","",IF($J2812&lt;=1500,N(INDEX('Daily Sale entry '!$AC$1:$AC$1501,$J2812+1))-IF(AND('Opening Balance'!$B$15=1,INDEX('Daily Sale entry '!$Z$1:$Z$1501,$J2812+1)="Online collection 网上收款",INDEX('Daily Sale entry '!$AA$1:$AA$1501,$J2812+1)&lt;&gt;""),N(INDEX('Daily Sale entry '!$AC$1:$AC$1501,$J2812+1))-TRUNC(N(INDEX('Daily Sale entry '!$AC$1:$AC$1501,$J2812+1))),0),N(INDEX('Daily Sale entry '!$S$1:$S$1501,$J2812-1499))-'Opening Balance'!$B$15*(N(INDEX('Daily Sale entry '!$S$1:$S$1501,$J2812-1499))-TRUNC(N(INDEX('Daily Sale entry '!$S$1:$S$1501,$J2812-1499))))))</f>
        <v/>
      </c>
      <c r="G2812" s="6">
        <f>IF($J2812="","",IF($J2812&lt;=1500,N(INDEX('Daily Sale entry '!$AD$1:$AD$1501,$J2812+1)),0))</f>
        <v/>
      </c>
      <c r="H2812" s="6">
        <f>IF($J2812="","",ROUND('Opening Balance'!$B$4+SUM($F$2:F2812)-SUM($G$2:G2812),2))</f>
        <v/>
      </c>
      <c r="J2812" s="21">
        <f>IFERROR(MATCH(ROW()-1,$L$2:$L$3001,0),"")</f>
        <v/>
      </c>
      <c r="K2812" s="34">
        <f>IF(AND('Daily Sale entry '!Q1312="Collection 收款",'Daily Sale entry '!R1312="Cheque 支票",'Daily Sale entry '!V1312&lt;&gt;""),'Daily Sale entry '!V1312+ROW()/10000000,"")</f>
        <v/>
      </c>
      <c r="L2812" s="21">
        <f>IF(K2812="","",COUNTIF($K$2:$K$3001,"&lt;"&amp;K2812)+1)</f>
        <v/>
      </c>
    </row>
    <row r="2813">
      <c r="A2813" s="5">
        <f>IF($J2813="","",IF($J2813&lt;=1500,INDEX('Daily Sale entry '!$X$1:$X$1501,$J2813+1),INDEX('Daily Sale entry '!$V$1:$V$1501,$J2813-1499)))</f>
        <v/>
      </c>
      <c r="B2813">
        <f>IF($J2813="","",IF($J2813&lt;=1500,INDEX('Daily Sale entry '!$Y$1:$Y$1501,$J2813+1)&amp;"","Buyer cheque banked 买家支票存入"&amp;IF(INDEX('Daily Sale entry '!$U$1:$U$1501,$J2813-1499)="","", " - "&amp;INDEX('Daily Sale entry '!$U$1:$U$1501,$J2813-1499))))</f>
        <v/>
      </c>
      <c r="C2813">
        <f>IF($J2813="","",IF($J2813&lt;=1500,INDEX('Daily Sale entry '!$Z$1:$Z$1501,$J2813+1)&amp;"","Cheque deposit 支票存入 (buyer 买家)"))</f>
        <v/>
      </c>
      <c r="D2813">
        <f>IF($J2813="","",IF($J2813&lt;=1500,INDEX('Daily Sale entry '!$AA$1:$AA$1501,$J2813+1)&amp;"",INDEX('Daily Sale entry '!$P$1:$P$1501,$J2813-1499)&amp;""))</f>
        <v/>
      </c>
      <c r="E2813">
        <f>IF($J2813="","",IF($J2813&lt;=1500,IF(N(INDEX('Daily Sale entry '!$AB$1:$AB$1501,$J2813+1))=0,"",INDEX('Daily Sale entry '!$AB$1:$AB$1501,$J2813+1)),1))</f>
        <v/>
      </c>
      <c r="F2813" s="6">
        <f>IF($J2813="","",IF($J2813&lt;=1500,N(INDEX('Daily Sale entry '!$AC$1:$AC$1501,$J2813+1))-IF(AND('Opening Balance'!$B$15=1,INDEX('Daily Sale entry '!$Z$1:$Z$1501,$J2813+1)="Online collection 网上收款",INDEX('Daily Sale entry '!$AA$1:$AA$1501,$J2813+1)&lt;&gt;""),N(INDEX('Daily Sale entry '!$AC$1:$AC$1501,$J2813+1))-TRUNC(N(INDEX('Daily Sale entry '!$AC$1:$AC$1501,$J2813+1))),0),N(INDEX('Daily Sale entry '!$S$1:$S$1501,$J2813-1499))-'Opening Balance'!$B$15*(N(INDEX('Daily Sale entry '!$S$1:$S$1501,$J2813-1499))-TRUNC(N(INDEX('Daily Sale entry '!$S$1:$S$1501,$J2813-1499))))))</f>
        <v/>
      </c>
      <c r="G2813" s="6">
        <f>IF($J2813="","",IF($J2813&lt;=1500,N(INDEX('Daily Sale entry '!$AD$1:$AD$1501,$J2813+1)),0))</f>
        <v/>
      </c>
      <c r="H2813" s="6">
        <f>IF($J2813="","",ROUND('Opening Balance'!$B$4+SUM($F$2:F2813)-SUM($G$2:G2813),2))</f>
        <v/>
      </c>
      <c r="J2813" s="21">
        <f>IFERROR(MATCH(ROW()-1,$L$2:$L$3001,0),"")</f>
        <v/>
      </c>
      <c r="K2813" s="34">
        <f>IF(AND('Daily Sale entry '!Q1313="Collection 收款",'Daily Sale entry '!R1313="Cheque 支票",'Daily Sale entry '!V1313&lt;&gt;""),'Daily Sale entry '!V1313+ROW()/10000000,"")</f>
        <v/>
      </c>
      <c r="L2813" s="21">
        <f>IF(K2813="","",COUNTIF($K$2:$K$3001,"&lt;"&amp;K2813)+1)</f>
        <v/>
      </c>
    </row>
    <row r="2814">
      <c r="A2814" s="5">
        <f>IF($J2814="","",IF($J2814&lt;=1500,INDEX('Daily Sale entry '!$X$1:$X$1501,$J2814+1),INDEX('Daily Sale entry '!$V$1:$V$1501,$J2814-1499)))</f>
        <v/>
      </c>
      <c r="B2814">
        <f>IF($J2814="","",IF($J2814&lt;=1500,INDEX('Daily Sale entry '!$Y$1:$Y$1501,$J2814+1)&amp;"","Buyer cheque banked 买家支票存入"&amp;IF(INDEX('Daily Sale entry '!$U$1:$U$1501,$J2814-1499)="","", " - "&amp;INDEX('Daily Sale entry '!$U$1:$U$1501,$J2814-1499))))</f>
        <v/>
      </c>
      <c r="C2814">
        <f>IF($J2814="","",IF($J2814&lt;=1500,INDEX('Daily Sale entry '!$Z$1:$Z$1501,$J2814+1)&amp;"","Cheque deposit 支票存入 (buyer 买家)"))</f>
        <v/>
      </c>
      <c r="D2814">
        <f>IF($J2814="","",IF($J2814&lt;=1500,INDEX('Daily Sale entry '!$AA$1:$AA$1501,$J2814+1)&amp;"",INDEX('Daily Sale entry '!$P$1:$P$1501,$J2814-1499)&amp;""))</f>
        <v/>
      </c>
      <c r="E2814">
        <f>IF($J2814="","",IF($J2814&lt;=1500,IF(N(INDEX('Daily Sale entry '!$AB$1:$AB$1501,$J2814+1))=0,"",INDEX('Daily Sale entry '!$AB$1:$AB$1501,$J2814+1)),1))</f>
        <v/>
      </c>
      <c r="F2814" s="6">
        <f>IF($J2814="","",IF($J2814&lt;=1500,N(INDEX('Daily Sale entry '!$AC$1:$AC$1501,$J2814+1))-IF(AND('Opening Balance'!$B$15=1,INDEX('Daily Sale entry '!$Z$1:$Z$1501,$J2814+1)="Online collection 网上收款",INDEX('Daily Sale entry '!$AA$1:$AA$1501,$J2814+1)&lt;&gt;""),N(INDEX('Daily Sale entry '!$AC$1:$AC$1501,$J2814+1))-TRUNC(N(INDEX('Daily Sale entry '!$AC$1:$AC$1501,$J2814+1))),0),N(INDEX('Daily Sale entry '!$S$1:$S$1501,$J2814-1499))-'Opening Balance'!$B$15*(N(INDEX('Daily Sale entry '!$S$1:$S$1501,$J2814-1499))-TRUNC(N(INDEX('Daily Sale entry '!$S$1:$S$1501,$J2814-1499))))))</f>
        <v/>
      </c>
      <c r="G2814" s="6">
        <f>IF($J2814="","",IF($J2814&lt;=1500,N(INDEX('Daily Sale entry '!$AD$1:$AD$1501,$J2814+1)),0))</f>
        <v/>
      </c>
      <c r="H2814" s="6">
        <f>IF($J2814="","",ROUND('Opening Balance'!$B$4+SUM($F$2:F2814)-SUM($G$2:G2814),2))</f>
        <v/>
      </c>
      <c r="J2814" s="21">
        <f>IFERROR(MATCH(ROW()-1,$L$2:$L$3001,0),"")</f>
        <v/>
      </c>
      <c r="K2814" s="34">
        <f>IF(AND('Daily Sale entry '!Q1314="Collection 收款",'Daily Sale entry '!R1314="Cheque 支票",'Daily Sale entry '!V1314&lt;&gt;""),'Daily Sale entry '!V1314+ROW()/10000000,"")</f>
        <v/>
      </c>
      <c r="L2814" s="21">
        <f>IF(K2814="","",COUNTIF($K$2:$K$3001,"&lt;"&amp;K2814)+1)</f>
        <v/>
      </c>
    </row>
    <row r="2815">
      <c r="A2815" s="5">
        <f>IF($J2815="","",IF($J2815&lt;=1500,INDEX('Daily Sale entry '!$X$1:$X$1501,$J2815+1),INDEX('Daily Sale entry '!$V$1:$V$1501,$J2815-1499)))</f>
        <v/>
      </c>
      <c r="B2815">
        <f>IF($J2815="","",IF($J2815&lt;=1500,INDEX('Daily Sale entry '!$Y$1:$Y$1501,$J2815+1)&amp;"","Buyer cheque banked 买家支票存入"&amp;IF(INDEX('Daily Sale entry '!$U$1:$U$1501,$J2815-1499)="","", " - "&amp;INDEX('Daily Sale entry '!$U$1:$U$1501,$J2815-1499))))</f>
        <v/>
      </c>
      <c r="C2815">
        <f>IF($J2815="","",IF($J2815&lt;=1500,INDEX('Daily Sale entry '!$Z$1:$Z$1501,$J2815+1)&amp;"","Cheque deposit 支票存入 (buyer 买家)"))</f>
        <v/>
      </c>
      <c r="D2815">
        <f>IF($J2815="","",IF($J2815&lt;=1500,INDEX('Daily Sale entry '!$AA$1:$AA$1501,$J2815+1)&amp;"",INDEX('Daily Sale entry '!$P$1:$P$1501,$J2815-1499)&amp;""))</f>
        <v/>
      </c>
      <c r="E2815">
        <f>IF($J2815="","",IF($J2815&lt;=1500,IF(N(INDEX('Daily Sale entry '!$AB$1:$AB$1501,$J2815+1))=0,"",INDEX('Daily Sale entry '!$AB$1:$AB$1501,$J2815+1)),1))</f>
        <v/>
      </c>
      <c r="F2815" s="6">
        <f>IF($J2815="","",IF($J2815&lt;=1500,N(INDEX('Daily Sale entry '!$AC$1:$AC$1501,$J2815+1))-IF(AND('Opening Balance'!$B$15=1,INDEX('Daily Sale entry '!$Z$1:$Z$1501,$J2815+1)="Online collection 网上收款",INDEX('Daily Sale entry '!$AA$1:$AA$1501,$J2815+1)&lt;&gt;""),N(INDEX('Daily Sale entry '!$AC$1:$AC$1501,$J2815+1))-TRUNC(N(INDEX('Daily Sale entry '!$AC$1:$AC$1501,$J2815+1))),0),N(INDEX('Daily Sale entry '!$S$1:$S$1501,$J2815-1499))-'Opening Balance'!$B$15*(N(INDEX('Daily Sale entry '!$S$1:$S$1501,$J2815-1499))-TRUNC(N(INDEX('Daily Sale entry '!$S$1:$S$1501,$J2815-1499))))))</f>
        <v/>
      </c>
      <c r="G2815" s="6">
        <f>IF($J2815="","",IF($J2815&lt;=1500,N(INDEX('Daily Sale entry '!$AD$1:$AD$1501,$J2815+1)),0))</f>
        <v/>
      </c>
      <c r="H2815" s="6">
        <f>IF($J2815="","",ROUND('Opening Balance'!$B$4+SUM($F$2:F2815)-SUM($G$2:G2815),2))</f>
        <v/>
      </c>
      <c r="J2815" s="21">
        <f>IFERROR(MATCH(ROW()-1,$L$2:$L$3001,0),"")</f>
        <v/>
      </c>
      <c r="K2815" s="34">
        <f>IF(AND('Daily Sale entry '!Q1315="Collection 收款",'Daily Sale entry '!R1315="Cheque 支票",'Daily Sale entry '!V1315&lt;&gt;""),'Daily Sale entry '!V1315+ROW()/10000000,"")</f>
        <v/>
      </c>
      <c r="L2815" s="21">
        <f>IF(K2815="","",COUNTIF($K$2:$K$3001,"&lt;"&amp;K2815)+1)</f>
        <v/>
      </c>
    </row>
    <row r="2816">
      <c r="A2816" s="5">
        <f>IF($J2816="","",IF($J2816&lt;=1500,INDEX('Daily Sale entry '!$X$1:$X$1501,$J2816+1),INDEX('Daily Sale entry '!$V$1:$V$1501,$J2816-1499)))</f>
        <v/>
      </c>
      <c r="B2816">
        <f>IF($J2816="","",IF($J2816&lt;=1500,INDEX('Daily Sale entry '!$Y$1:$Y$1501,$J2816+1)&amp;"","Buyer cheque banked 买家支票存入"&amp;IF(INDEX('Daily Sale entry '!$U$1:$U$1501,$J2816-1499)="","", " - "&amp;INDEX('Daily Sale entry '!$U$1:$U$1501,$J2816-1499))))</f>
        <v/>
      </c>
      <c r="C2816">
        <f>IF($J2816="","",IF($J2816&lt;=1500,INDEX('Daily Sale entry '!$Z$1:$Z$1501,$J2816+1)&amp;"","Cheque deposit 支票存入 (buyer 买家)"))</f>
        <v/>
      </c>
      <c r="D2816">
        <f>IF($J2816="","",IF($J2816&lt;=1500,INDEX('Daily Sale entry '!$AA$1:$AA$1501,$J2816+1)&amp;"",INDEX('Daily Sale entry '!$P$1:$P$1501,$J2816-1499)&amp;""))</f>
        <v/>
      </c>
      <c r="E2816">
        <f>IF($J2816="","",IF($J2816&lt;=1500,IF(N(INDEX('Daily Sale entry '!$AB$1:$AB$1501,$J2816+1))=0,"",INDEX('Daily Sale entry '!$AB$1:$AB$1501,$J2816+1)),1))</f>
        <v/>
      </c>
      <c r="F2816" s="6">
        <f>IF($J2816="","",IF($J2816&lt;=1500,N(INDEX('Daily Sale entry '!$AC$1:$AC$1501,$J2816+1))-IF(AND('Opening Balance'!$B$15=1,INDEX('Daily Sale entry '!$Z$1:$Z$1501,$J2816+1)="Online collection 网上收款",INDEX('Daily Sale entry '!$AA$1:$AA$1501,$J2816+1)&lt;&gt;""),N(INDEX('Daily Sale entry '!$AC$1:$AC$1501,$J2816+1))-TRUNC(N(INDEX('Daily Sale entry '!$AC$1:$AC$1501,$J2816+1))),0),N(INDEX('Daily Sale entry '!$S$1:$S$1501,$J2816-1499))-'Opening Balance'!$B$15*(N(INDEX('Daily Sale entry '!$S$1:$S$1501,$J2816-1499))-TRUNC(N(INDEX('Daily Sale entry '!$S$1:$S$1501,$J2816-1499))))))</f>
        <v/>
      </c>
      <c r="G2816" s="6">
        <f>IF($J2816="","",IF($J2816&lt;=1500,N(INDEX('Daily Sale entry '!$AD$1:$AD$1501,$J2816+1)),0))</f>
        <v/>
      </c>
      <c r="H2816" s="6">
        <f>IF($J2816="","",ROUND('Opening Balance'!$B$4+SUM($F$2:F2816)-SUM($G$2:G2816),2))</f>
        <v/>
      </c>
      <c r="J2816" s="21">
        <f>IFERROR(MATCH(ROW()-1,$L$2:$L$3001,0),"")</f>
        <v/>
      </c>
      <c r="K2816" s="34">
        <f>IF(AND('Daily Sale entry '!Q1316="Collection 收款",'Daily Sale entry '!R1316="Cheque 支票",'Daily Sale entry '!V1316&lt;&gt;""),'Daily Sale entry '!V1316+ROW()/10000000,"")</f>
        <v/>
      </c>
      <c r="L2816" s="21">
        <f>IF(K2816="","",COUNTIF($K$2:$K$3001,"&lt;"&amp;K2816)+1)</f>
        <v/>
      </c>
    </row>
    <row r="2817">
      <c r="A2817" s="5">
        <f>IF($J2817="","",IF($J2817&lt;=1500,INDEX('Daily Sale entry '!$X$1:$X$1501,$J2817+1),INDEX('Daily Sale entry '!$V$1:$V$1501,$J2817-1499)))</f>
        <v/>
      </c>
      <c r="B2817">
        <f>IF($J2817="","",IF($J2817&lt;=1500,INDEX('Daily Sale entry '!$Y$1:$Y$1501,$J2817+1)&amp;"","Buyer cheque banked 买家支票存入"&amp;IF(INDEX('Daily Sale entry '!$U$1:$U$1501,$J2817-1499)="","", " - "&amp;INDEX('Daily Sale entry '!$U$1:$U$1501,$J2817-1499))))</f>
        <v/>
      </c>
      <c r="C2817">
        <f>IF($J2817="","",IF($J2817&lt;=1500,INDEX('Daily Sale entry '!$Z$1:$Z$1501,$J2817+1)&amp;"","Cheque deposit 支票存入 (buyer 买家)"))</f>
        <v/>
      </c>
      <c r="D2817">
        <f>IF($J2817="","",IF($J2817&lt;=1500,INDEX('Daily Sale entry '!$AA$1:$AA$1501,$J2817+1)&amp;"",INDEX('Daily Sale entry '!$P$1:$P$1501,$J2817-1499)&amp;""))</f>
        <v/>
      </c>
      <c r="E2817">
        <f>IF($J2817="","",IF($J2817&lt;=1500,IF(N(INDEX('Daily Sale entry '!$AB$1:$AB$1501,$J2817+1))=0,"",INDEX('Daily Sale entry '!$AB$1:$AB$1501,$J2817+1)),1))</f>
        <v/>
      </c>
      <c r="F2817" s="6">
        <f>IF($J2817="","",IF($J2817&lt;=1500,N(INDEX('Daily Sale entry '!$AC$1:$AC$1501,$J2817+1))-IF(AND('Opening Balance'!$B$15=1,INDEX('Daily Sale entry '!$Z$1:$Z$1501,$J2817+1)="Online collection 网上收款",INDEX('Daily Sale entry '!$AA$1:$AA$1501,$J2817+1)&lt;&gt;""),N(INDEX('Daily Sale entry '!$AC$1:$AC$1501,$J2817+1))-TRUNC(N(INDEX('Daily Sale entry '!$AC$1:$AC$1501,$J2817+1))),0),N(INDEX('Daily Sale entry '!$S$1:$S$1501,$J2817-1499))-'Opening Balance'!$B$15*(N(INDEX('Daily Sale entry '!$S$1:$S$1501,$J2817-1499))-TRUNC(N(INDEX('Daily Sale entry '!$S$1:$S$1501,$J2817-1499))))))</f>
        <v/>
      </c>
      <c r="G2817" s="6">
        <f>IF($J2817="","",IF($J2817&lt;=1500,N(INDEX('Daily Sale entry '!$AD$1:$AD$1501,$J2817+1)),0))</f>
        <v/>
      </c>
      <c r="H2817" s="6">
        <f>IF($J2817="","",ROUND('Opening Balance'!$B$4+SUM($F$2:F2817)-SUM($G$2:G2817),2))</f>
        <v/>
      </c>
      <c r="J2817" s="21">
        <f>IFERROR(MATCH(ROW()-1,$L$2:$L$3001,0),"")</f>
        <v/>
      </c>
      <c r="K2817" s="34">
        <f>IF(AND('Daily Sale entry '!Q1317="Collection 收款",'Daily Sale entry '!R1317="Cheque 支票",'Daily Sale entry '!V1317&lt;&gt;""),'Daily Sale entry '!V1317+ROW()/10000000,"")</f>
        <v/>
      </c>
      <c r="L2817" s="21">
        <f>IF(K2817="","",COUNTIF($K$2:$K$3001,"&lt;"&amp;K2817)+1)</f>
        <v/>
      </c>
    </row>
    <row r="2818">
      <c r="A2818" s="5">
        <f>IF($J2818="","",IF($J2818&lt;=1500,INDEX('Daily Sale entry '!$X$1:$X$1501,$J2818+1),INDEX('Daily Sale entry '!$V$1:$V$1501,$J2818-1499)))</f>
        <v/>
      </c>
      <c r="B2818">
        <f>IF($J2818="","",IF($J2818&lt;=1500,INDEX('Daily Sale entry '!$Y$1:$Y$1501,$J2818+1)&amp;"","Buyer cheque banked 买家支票存入"&amp;IF(INDEX('Daily Sale entry '!$U$1:$U$1501,$J2818-1499)="","", " - "&amp;INDEX('Daily Sale entry '!$U$1:$U$1501,$J2818-1499))))</f>
        <v/>
      </c>
      <c r="C2818">
        <f>IF($J2818="","",IF($J2818&lt;=1500,INDEX('Daily Sale entry '!$Z$1:$Z$1501,$J2818+1)&amp;"","Cheque deposit 支票存入 (buyer 买家)"))</f>
        <v/>
      </c>
      <c r="D2818">
        <f>IF($J2818="","",IF($J2818&lt;=1500,INDEX('Daily Sale entry '!$AA$1:$AA$1501,$J2818+1)&amp;"",INDEX('Daily Sale entry '!$P$1:$P$1501,$J2818-1499)&amp;""))</f>
        <v/>
      </c>
      <c r="E2818">
        <f>IF($J2818="","",IF($J2818&lt;=1500,IF(N(INDEX('Daily Sale entry '!$AB$1:$AB$1501,$J2818+1))=0,"",INDEX('Daily Sale entry '!$AB$1:$AB$1501,$J2818+1)),1))</f>
        <v/>
      </c>
      <c r="F2818" s="6">
        <f>IF($J2818="","",IF($J2818&lt;=1500,N(INDEX('Daily Sale entry '!$AC$1:$AC$1501,$J2818+1))-IF(AND('Opening Balance'!$B$15=1,INDEX('Daily Sale entry '!$Z$1:$Z$1501,$J2818+1)="Online collection 网上收款",INDEX('Daily Sale entry '!$AA$1:$AA$1501,$J2818+1)&lt;&gt;""),N(INDEX('Daily Sale entry '!$AC$1:$AC$1501,$J2818+1))-TRUNC(N(INDEX('Daily Sale entry '!$AC$1:$AC$1501,$J2818+1))),0),N(INDEX('Daily Sale entry '!$S$1:$S$1501,$J2818-1499))-'Opening Balance'!$B$15*(N(INDEX('Daily Sale entry '!$S$1:$S$1501,$J2818-1499))-TRUNC(N(INDEX('Daily Sale entry '!$S$1:$S$1501,$J2818-1499))))))</f>
        <v/>
      </c>
      <c r="G2818" s="6">
        <f>IF($J2818="","",IF($J2818&lt;=1500,N(INDEX('Daily Sale entry '!$AD$1:$AD$1501,$J2818+1)),0))</f>
        <v/>
      </c>
      <c r="H2818" s="6">
        <f>IF($J2818="","",ROUND('Opening Balance'!$B$4+SUM($F$2:F2818)-SUM($G$2:G2818),2))</f>
        <v/>
      </c>
      <c r="J2818" s="21">
        <f>IFERROR(MATCH(ROW()-1,$L$2:$L$3001,0),"")</f>
        <v/>
      </c>
      <c r="K2818" s="34">
        <f>IF(AND('Daily Sale entry '!Q1318="Collection 收款",'Daily Sale entry '!R1318="Cheque 支票",'Daily Sale entry '!V1318&lt;&gt;""),'Daily Sale entry '!V1318+ROW()/10000000,"")</f>
        <v/>
      </c>
      <c r="L2818" s="21">
        <f>IF(K2818="","",COUNTIF($K$2:$K$3001,"&lt;"&amp;K2818)+1)</f>
        <v/>
      </c>
    </row>
    <row r="2819">
      <c r="A2819" s="5">
        <f>IF($J2819="","",IF($J2819&lt;=1500,INDEX('Daily Sale entry '!$X$1:$X$1501,$J2819+1),INDEX('Daily Sale entry '!$V$1:$V$1501,$J2819-1499)))</f>
        <v/>
      </c>
      <c r="B2819">
        <f>IF($J2819="","",IF($J2819&lt;=1500,INDEX('Daily Sale entry '!$Y$1:$Y$1501,$J2819+1)&amp;"","Buyer cheque banked 买家支票存入"&amp;IF(INDEX('Daily Sale entry '!$U$1:$U$1501,$J2819-1499)="","", " - "&amp;INDEX('Daily Sale entry '!$U$1:$U$1501,$J2819-1499))))</f>
        <v/>
      </c>
      <c r="C2819">
        <f>IF($J2819="","",IF($J2819&lt;=1500,INDEX('Daily Sale entry '!$Z$1:$Z$1501,$J2819+1)&amp;"","Cheque deposit 支票存入 (buyer 买家)"))</f>
        <v/>
      </c>
      <c r="D2819">
        <f>IF($J2819="","",IF($J2819&lt;=1500,INDEX('Daily Sale entry '!$AA$1:$AA$1501,$J2819+1)&amp;"",INDEX('Daily Sale entry '!$P$1:$P$1501,$J2819-1499)&amp;""))</f>
        <v/>
      </c>
      <c r="E2819">
        <f>IF($J2819="","",IF($J2819&lt;=1500,IF(N(INDEX('Daily Sale entry '!$AB$1:$AB$1501,$J2819+1))=0,"",INDEX('Daily Sale entry '!$AB$1:$AB$1501,$J2819+1)),1))</f>
        <v/>
      </c>
      <c r="F2819" s="6">
        <f>IF($J2819="","",IF($J2819&lt;=1500,N(INDEX('Daily Sale entry '!$AC$1:$AC$1501,$J2819+1))-IF(AND('Opening Balance'!$B$15=1,INDEX('Daily Sale entry '!$Z$1:$Z$1501,$J2819+1)="Online collection 网上收款",INDEX('Daily Sale entry '!$AA$1:$AA$1501,$J2819+1)&lt;&gt;""),N(INDEX('Daily Sale entry '!$AC$1:$AC$1501,$J2819+1))-TRUNC(N(INDEX('Daily Sale entry '!$AC$1:$AC$1501,$J2819+1))),0),N(INDEX('Daily Sale entry '!$S$1:$S$1501,$J2819-1499))-'Opening Balance'!$B$15*(N(INDEX('Daily Sale entry '!$S$1:$S$1501,$J2819-1499))-TRUNC(N(INDEX('Daily Sale entry '!$S$1:$S$1501,$J2819-1499))))))</f>
        <v/>
      </c>
      <c r="G2819" s="6">
        <f>IF($J2819="","",IF($J2819&lt;=1500,N(INDEX('Daily Sale entry '!$AD$1:$AD$1501,$J2819+1)),0))</f>
        <v/>
      </c>
      <c r="H2819" s="6">
        <f>IF($J2819="","",ROUND('Opening Balance'!$B$4+SUM($F$2:F2819)-SUM($G$2:G2819),2))</f>
        <v/>
      </c>
      <c r="J2819" s="21">
        <f>IFERROR(MATCH(ROW()-1,$L$2:$L$3001,0),"")</f>
        <v/>
      </c>
      <c r="K2819" s="34">
        <f>IF(AND('Daily Sale entry '!Q1319="Collection 收款",'Daily Sale entry '!R1319="Cheque 支票",'Daily Sale entry '!V1319&lt;&gt;""),'Daily Sale entry '!V1319+ROW()/10000000,"")</f>
        <v/>
      </c>
      <c r="L2819" s="21">
        <f>IF(K2819="","",COUNTIF($K$2:$K$3001,"&lt;"&amp;K2819)+1)</f>
        <v/>
      </c>
    </row>
    <row r="2820">
      <c r="A2820" s="5">
        <f>IF($J2820="","",IF($J2820&lt;=1500,INDEX('Daily Sale entry '!$X$1:$X$1501,$J2820+1),INDEX('Daily Sale entry '!$V$1:$V$1501,$J2820-1499)))</f>
        <v/>
      </c>
      <c r="B2820">
        <f>IF($J2820="","",IF($J2820&lt;=1500,INDEX('Daily Sale entry '!$Y$1:$Y$1501,$J2820+1)&amp;"","Buyer cheque banked 买家支票存入"&amp;IF(INDEX('Daily Sale entry '!$U$1:$U$1501,$J2820-1499)="","", " - "&amp;INDEX('Daily Sale entry '!$U$1:$U$1501,$J2820-1499))))</f>
        <v/>
      </c>
      <c r="C2820">
        <f>IF($J2820="","",IF($J2820&lt;=1500,INDEX('Daily Sale entry '!$Z$1:$Z$1501,$J2820+1)&amp;"","Cheque deposit 支票存入 (buyer 买家)"))</f>
        <v/>
      </c>
      <c r="D2820">
        <f>IF($J2820="","",IF($J2820&lt;=1500,INDEX('Daily Sale entry '!$AA$1:$AA$1501,$J2820+1)&amp;"",INDEX('Daily Sale entry '!$P$1:$P$1501,$J2820-1499)&amp;""))</f>
        <v/>
      </c>
      <c r="E2820">
        <f>IF($J2820="","",IF($J2820&lt;=1500,IF(N(INDEX('Daily Sale entry '!$AB$1:$AB$1501,$J2820+1))=0,"",INDEX('Daily Sale entry '!$AB$1:$AB$1501,$J2820+1)),1))</f>
        <v/>
      </c>
      <c r="F2820" s="6">
        <f>IF($J2820="","",IF($J2820&lt;=1500,N(INDEX('Daily Sale entry '!$AC$1:$AC$1501,$J2820+1))-IF(AND('Opening Balance'!$B$15=1,INDEX('Daily Sale entry '!$Z$1:$Z$1501,$J2820+1)="Online collection 网上收款",INDEX('Daily Sale entry '!$AA$1:$AA$1501,$J2820+1)&lt;&gt;""),N(INDEX('Daily Sale entry '!$AC$1:$AC$1501,$J2820+1))-TRUNC(N(INDEX('Daily Sale entry '!$AC$1:$AC$1501,$J2820+1))),0),N(INDEX('Daily Sale entry '!$S$1:$S$1501,$J2820-1499))-'Opening Balance'!$B$15*(N(INDEX('Daily Sale entry '!$S$1:$S$1501,$J2820-1499))-TRUNC(N(INDEX('Daily Sale entry '!$S$1:$S$1501,$J2820-1499))))))</f>
        <v/>
      </c>
      <c r="G2820" s="6">
        <f>IF($J2820="","",IF($J2820&lt;=1500,N(INDEX('Daily Sale entry '!$AD$1:$AD$1501,$J2820+1)),0))</f>
        <v/>
      </c>
      <c r="H2820" s="6">
        <f>IF($J2820="","",ROUND('Opening Balance'!$B$4+SUM($F$2:F2820)-SUM($G$2:G2820),2))</f>
        <v/>
      </c>
      <c r="J2820" s="21">
        <f>IFERROR(MATCH(ROW()-1,$L$2:$L$3001,0),"")</f>
        <v/>
      </c>
      <c r="K2820" s="34">
        <f>IF(AND('Daily Sale entry '!Q1320="Collection 收款",'Daily Sale entry '!R1320="Cheque 支票",'Daily Sale entry '!V1320&lt;&gt;""),'Daily Sale entry '!V1320+ROW()/10000000,"")</f>
        <v/>
      </c>
      <c r="L2820" s="21">
        <f>IF(K2820="","",COUNTIF($K$2:$K$3001,"&lt;"&amp;K2820)+1)</f>
        <v/>
      </c>
    </row>
    <row r="2821">
      <c r="A2821" s="5">
        <f>IF($J2821="","",IF($J2821&lt;=1500,INDEX('Daily Sale entry '!$X$1:$X$1501,$J2821+1),INDEX('Daily Sale entry '!$V$1:$V$1501,$J2821-1499)))</f>
        <v/>
      </c>
      <c r="B2821">
        <f>IF($J2821="","",IF($J2821&lt;=1500,INDEX('Daily Sale entry '!$Y$1:$Y$1501,$J2821+1)&amp;"","Buyer cheque banked 买家支票存入"&amp;IF(INDEX('Daily Sale entry '!$U$1:$U$1501,$J2821-1499)="","", " - "&amp;INDEX('Daily Sale entry '!$U$1:$U$1501,$J2821-1499))))</f>
        <v/>
      </c>
      <c r="C2821">
        <f>IF($J2821="","",IF($J2821&lt;=1500,INDEX('Daily Sale entry '!$Z$1:$Z$1501,$J2821+1)&amp;"","Cheque deposit 支票存入 (buyer 买家)"))</f>
        <v/>
      </c>
      <c r="D2821">
        <f>IF($J2821="","",IF($J2821&lt;=1500,INDEX('Daily Sale entry '!$AA$1:$AA$1501,$J2821+1)&amp;"",INDEX('Daily Sale entry '!$P$1:$P$1501,$J2821-1499)&amp;""))</f>
        <v/>
      </c>
      <c r="E2821">
        <f>IF($J2821="","",IF($J2821&lt;=1500,IF(N(INDEX('Daily Sale entry '!$AB$1:$AB$1501,$J2821+1))=0,"",INDEX('Daily Sale entry '!$AB$1:$AB$1501,$J2821+1)),1))</f>
        <v/>
      </c>
      <c r="F2821" s="6">
        <f>IF($J2821="","",IF($J2821&lt;=1500,N(INDEX('Daily Sale entry '!$AC$1:$AC$1501,$J2821+1))-IF(AND('Opening Balance'!$B$15=1,INDEX('Daily Sale entry '!$Z$1:$Z$1501,$J2821+1)="Online collection 网上收款",INDEX('Daily Sale entry '!$AA$1:$AA$1501,$J2821+1)&lt;&gt;""),N(INDEX('Daily Sale entry '!$AC$1:$AC$1501,$J2821+1))-TRUNC(N(INDEX('Daily Sale entry '!$AC$1:$AC$1501,$J2821+1))),0),N(INDEX('Daily Sale entry '!$S$1:$S$1501,$J2821-1499))-'Opening Balance'!$B$15*(N(INDEX('Daily Sale entry '!$S$1:$S$1501,$J2821-1499))-TRUNC(N(INDEX('Daily Sale entry '!$S$1:$S$1501,$J2821-1499))))))</f>
        <v/>
      </c>
      <c r="G2821" s="6">
        <f>IF($J2821="","",IF($J2821&lt;=1500,N(INDEX('Daily Sale entry '!$AD$1:$AD$1501,$J2821+1)),0))</f>
        <v/>
      </c>
      <c r="H2821" s="6">
        <f>IF($J2821="","",ROUND('Opening Balance'!$B$4+SUM($F$2:F2821)-SUM($G$2:G2821),2))</f>
        <v/>
      </c>
      <c r="J2821" s="21">
        <f>IFERROR(MATCH(ROW()-1,$L$2:$L$3001,0),"")</f>
        <v/>
      </c>
      <c r="K2821" s="34">
        <f>IF(AND('Daily Sale entry '!Q1321="Collection 收款",'Daily Sale entry '!R1321="Cheque 支票",'Daily Sale entry '!V1321&lt;&gt;""),'Daily Sale entry '!V1321+ROW()/10000000,"")</f>
        <v/>
      </c>
      <c r="L2821" s="21">
        <f>IF(K2821="","",COUNTIF($K$2:$K$3001,"&lt;"&amp;K2821)+1)</f>
        <v/>
      </c>
    </row>
    <row r="2822">
      <c r="A2822" s="5">
        <f>IF($J2822="","",IF($J2822&lt;=1500,INDEX('Daily Sale entry '!$X$1:$X$1501,$J2822+1),INDEX('Daily Sale entry '!$V$1:$V$1501,$J2822-1499)))</f>
        <v/>
      </c>
      <c r="B2822">
        <f>IF($J2822="","",IF($J2822&lt;=1500,INDEX('Daily Sale entry '!$Y$1:$Y$1501,$J2822+1)&amp;"","Buyer cheque banked 买家支票存入"&amp;IF(INDEX('Daily Sale entry '!$U$1:$U$1501,$J2822-1499)="","", " - "&amp;INDEX('Daily Sale entry '!$U$1:$U$1501,$J2822-1499))))</f>
        <v/>
      </c>
      <c r="C2822">
        <f>IF($J2822="","",IF($J2822&lt;=1500,INDEX('Daily Sale entry '!$Z$1:$Z$1501,$J2822+1)&amp;"","Cheque deposit 支票存入 (buyer 买家)"))</f>
        <v/>
      </c>
      <c r="D2822">
        <f>IF($J2822="","",IF($J2822&lt;=1500,INDEX('Daily Sale entry '!$AA$1:$AA$1501,$J2822+1)&amp;"",INDEX('Daily Sale entry '!$P$1:$P$1501,$J2822-1499)&amp;""))</f>
        <v/>
      </c>
      <c r="E2822">
        <f>IF($J2822="","",IF($J2822&lt;=1500,IF(N(INDEX('Daily Sale entry '!$AB$1:$AB$1501,$J2822+1))=0,"",INDEX('Daily Sale entry '!$AB$1:$AB$1501,$J2822+1)),1))</f>
        <v/>
      </c>
      <c r="F2822" s="6">
        <f>IF($J2822="","",IF($J2822&lt;=1500,N(INDEX('Daily Sale entry '!$AC$1:$AC$1501,$J2822+1))-IF(AND('Opening Balance'!$B$15=1,INDEX('Daily Sale entry '!$Z$1:$Z$1501,$J2822+1)="Online collection 网上收款",INDEX('Daily Sale entry '!$AA$1:$AA$1501,$J2822+1)&lt;&gt;""),N(INDEX('Daily Sale entry '!$AC$1:$AC$1501,$J2822+1))-TRUNC(N(INDEX('Daily Sale entry '!$AC$1:$AC$1501,$J2822+1))),0),N(INDEX('Daily Sale entry '!$S$1:$S$1501,$J2822-1499))-'Opening Balance'!$B$15*(N(INDEX('Daily Sale entry '!$S$1:$S$1501,$J2822-1499))-TRUNC(N(INDEX('Daily Sale entry '!$S$1:$S$1501,$J2822-1499))))))</f>
        <v/>
      </c>
      <c r="G2822" s="6">
        <f>IF($J2822="","",IF($J2822&lt;=1500,N(INDEX('Daily Sale entry '!$AD$1:$AD$1501,$J2822+1)),0))</f>
        <v/>
      </c>
      <c r="H2822" s="6">
        <f>IF($J2822="","",ROUND('Opening Balance'!$B$4+SUM($F$2:F2822)-SUM($G$2:G2822),2))</f>
        <v/>
      </c>
      <c r="J2822" s="21">
        <f>IFERROR(MATCH(ROW()-1,$L$2:$L$3001,0),"")</f>
        <v/>
      </c>
      <c r="K2822" s="34">
        <f>IF(AND('Daily Sale entry '!Q1322="Collection 收款",'Daily Sale entry '!R1322="Cheque 支票",'Daily Sale entry '!V1322&lt;&gt;""),'Daily Sale entry '!V1322+ROW()/10000000,"")</f>
        <v/>
      </c>
      <c r="L2822" s="21">
        <f>IF(K2822="","",COUNTIF($K$2:$K$3001,"&lt;"&amp;K2822)+1)</f>
        <v/>
      </c>
    </row>
    <row r="2823">
      <c r="A2823" s="5">
        <f>IF($J2823="","",IF($J2823&lt;=1500,INDEX('Daily Sale entry '!$X$1:$X$1501,$J2823+1),INDEX('Daily Sale entry '!$V$1:$V$1501,$J2823-1499)))</f>
        <v/>
      </c>
      <c r="B2823">
        <f>IF($J2823="","",IF($J2823&lt;=1500,INDEX('Daily Sale entry '!$Y$1:$Y$1501,$J2823+1)&amp;"","Buyer cheque banked 买家支票存入"&amp;IF(INDEX('Daily Sale entry '!$U$1:$U$1501,$J2823-1499)="","", " - "&amp;INDEX('Daily Sale entry '!$U$1:$U$1501,$J2823-1499))))</f>
        <v/>
      </c>
      <c r="C2823">
        <f>IF($J2823="","",IF($J2823&lt;=1500,INDEX('Daily Sale entry '!$Z$1:$Z$1501,$J2823+1)&amp;"","Cheque deposit 支票存入 (buyer 买家)"))</f>
        <v/>
      </c>
      <c r="D2823">
        <f>IF($J2823="","",IF($J2823&lt;=1500,INDEX('Daily Sale entry '!$AA$1:$AA$1501,$J2823+1)&amp;"",INDEX('Daily Sale entry '!$P$1:$P$1501,$J2823-1499)&amp;""))</f>
        <v/>
      </c>
      <c r="E2823">
        <f>IF($J2823="","",IF($J2823&lt;=1500,IF(N(INDEX('Daily Sale entry '!$AB$1:$AB$1501,$J2823+1))=0,"",INDEX('Daily Sale entry '!$AB$1:$AB$1501,$J2823+1)),1))</f>
        <v/>
      </c>
      <c r="F2823" s="6">
        <f>IF($J2823="","",IF($J2823&lt;=1500,N(INDEX('Daily Sale entry '!$AC$1:$AC$1501,$J2823+1))-IF(AND('Opening Balance'!$B$15=1,INDEX('Daily Sale entry '!$Z$1:$Z$1501,$J2823+1)="Online collection 网上收款",INDEX('Daily Sale entry '!$AA$1:$AA$1501,$J2823+1)&lt;&gt;""),N(INDEX('Daily Sale entry '!$AC$1:$AC$1501,$J2823+1))-TRUNC(N(INDEX('Daily Sale entry '!$AC$1:$AC$1501,$J2823+1))),0),N(INDEX('Daily Sale entry '!$S$1:$S$1501,$J2823-1499))-'Opening Balance'!$B$15*(N(INDEX('Daily Sale entry '!$S$1:$S$1501,$J2823-1499))-TRUNC(N(INDEX('Daily Sale entry '!$S$1:$S$1501,$J2823-1499))))))</f>
        <v/>
      </c>
      <c r="G2823" s="6">
        <f>IF($J2823="","",IF($J2823&lt;=1500,N(INDEX('Daily Sale entry '!$AD$1:$AD$1501,$J2823+1)),0))</f>
        <v/>
      </c>
      <c r="H2823" s="6">
        <f>IF($J2823="","",ROUND('Opening Balance'!$B$4+SUM($F$2:F2823)-SUM($G$2:G2823),2))</f>
        <v/>
      </c>
      <c r="J2823" s="21">
        <f>IFERROR(MATCH(ROW()-1,$L$2:$L$3001,0),"")</f>
        <v/>
      </c>
      <c r="K2823" s="34">
        <f>IF(AND('Daily Sale entry '!Q1323="Collection 收款",'Daily Sale entry '!R1323="Cheque 支票",'Daily Sale entry '!V1323&lt;&gt;""),'Daily Sale entry '!V1323+ROW()/10000000,"")</f>
        <v/>
      </c>
      <c r="L2823" s="21">
        <f>IF(K2823="","",COUNTIF($K$2:$K$3001,"&lt;"&amp;K2823)+1)</f>
        <v/>
      </c>
    </row>
    <row r="2824">
      <c r="A2824" s="5">
        <f>IF($J2824="","",IF($J2824&lt;=1500,INDEX('Daily Sale entry '!$X$1:$X$1501,$J2824+1),INDEX('Daily Sale entry '!$V$1:$V$1501,$J2824-1499)))</f>
        <v/>
      </c>
      <c r="B2824">
        <f>IF($J2824="","",IF($J2824&lt;=1500,INDEX('Daily Sale entry '!$Y$1:$Y$1501,$J2824+1)&amp;"","Buyer cheque banked 买家支票存入"&amp;IF(INDEX('Daily Sale entry '!$U$1:$U$1501,$J2824-1499)="","", " - "&amp;INDEX('Daily Sale entry '!$U$1:$U$1501,$J2824-1499))))</f>
        <v/>
      </c>
      <c r="C2824">
        <f>IF($J2824="","",IF($J2824&lt;=1500,INDEX('Daily Sale entry '!$Z$1:$Z$1501,$J2824+1)&amp;"","Cheque deposit 支票存入 (buyer 买家)"))</f>
        <v/>
      </c>
      <c r="D2824">
        <f>IF($J2824="","",IF($J2824&lt;=1500,INDEX('Daily Sale entry '!$AA$1:$AA$1501,$J2824+1)&amp;"",INDEX('Daily Sale entry '!$P$1:$P$1501,$J2824-1499)&amp;""))</f>
        <v/>
      </c>
      <c r="E2824">
        <f>IF($J2824="","",IF($J2824&lt;=1500,IF(N(INDEX('Daily Sale entry '!$AB$1:$AB$1501,$J2824+1))=0,"",INDEX('Daily Sale entry '!$AB$1:$AB$1501,$J2824+1)),1))</f>
        <v/>
      </c>
      <c r="F2824" s="6">
        <f>IF($J2824="","",IF($J2824&lt;=1500,N(INDEX('Daily Sale entry '!$AC$1:$AC$1501,$J2824+1))-IF(AND('Opening Balance'!$B$15=1,INDEX('Daily Sale entry '!$Z$1:$Z$1501,$J2824+1)="Online collection 网上收款",INDEX('Daily Sale entry '!$AA$1:$AA$1501,$J2824+1)&lt;&gt;""),N(INDEX('Daily Sale entry '!$AC$1:$AC$1501,$J2824+1))-TRUNC(N(INDEX('Daily Sale entry '!$AC$1:$AC$1501,$J2824+1))),0),N(INDEX('Daily Sale entry '!$S$1:$S$1501,$J2824-1499))-'Opening Balance'!$B$15*(N(INDEX('Daily Sale entry '!$S$1:$S$1501,$J2824-1499))-TRUNC(N(INDEX('Daily Sale entry '!$S$1:$S$1501,$J2824-1499))))))</f>
        <v/>
      </c>
      <c r="G2824" s="6">
        <f>IF($J2824="","",IF($J2824&lt;=1500,N(INDEX('Daily Sale entry '!$AD$1:$AD$1501,$J2824+1)),0))</f>
        <v/>
      </c>
      <c r="H2824" s="6">
        <f>IF($J2824="","",ROUND('Opening Balance'!$B$4+SUM($F$2:F2824)-SUM($G$2:G2824),2))</f>
        <v/>
      </c>
      <c r="J2824" s="21">
        <f>IFERROR(MATCH(ROW()-1,$L$2:$L$3001,0),"")</f>
        <v/>
      </c>
      <c r="K2824" s="34">
        <f>IF(AND('Daily Sale entry '!Q1324="Collection 收款",'Daily Sale entry '!R1324="Cheque 支票",'Daily Sale entry '!V1324&lt;&gt;""),'Daily Sale entry '!V1324+ROW()/10000000,"")</f>
        <v/>
      </c>
      <c r="L2824" s="21">
        <f>IF(K2824="","",COUNTIF($K$2:$K$3001,"&lt;"&amp;K2824)+1)</f>
        <v/>
      </c>
    </row>
    <row r="2825">
      <c r="A2825" s="5">
        <f>IF($J2825="","",IF($J2825&lt;=1500,INDEX('Daily Sale entry '!$X$1:$X$1501,$J2825+1),INDEX('Daily Sale entry '!$V$1:$V$1501,$J2825-1499)))</f>
        <v/>
      </c>
      <c r="B2825">
        <f>IF($J2825="","",IF($J2825&lt;=1500,INDEX('Daily Sale entry '!$Y$1:$Y$1501,$J2825+1)&amp;"","Buyer cheque banked 买家支票存入"&amp;IF(INDEX('Daily Sale entry '!$U$1:$U$1501,$J2825-1499)="","", " - "&amp;INDEX('Daily Sale entry '!$U$1:$U$1501,$J2825-1499))))</f>
        <v/>
      </c>
      <c r="C2825">
        <f>IF($J2825="","",IF($J2825&lt;=1500,INDEX('Daily Sale entry '!$Z$1:$Z$1501,$J2825+1)&amp;"","Cheque deposit 支票存入 (buyer 买家)"))</f>
        <v/>
      </c>
      <c r="D2825">
        <f>IF($J2825="","",IF($J2825&lt;=1500,INDEX('Daily Sale entry '!$AA$1:$AA$1501,$J2825+1)&amp;"",INDEX('Daily Sale entry '!$P$1:$P$1501,$J2825-1499)&amp;""))</f>
        <v/>
      </c>
      <c r="E2825">
        <f>IF($J2825="","",IF($J2825&lt;=1500,IF(N(INDEX('Daily Sale entry '!$AB$1:$AB$1501,$J2825+1))=0,"",INDEX('Daily Sale entry '!$AB$1:$AB$1501,$J2825+1)),1))</f>
        <v/>
      </c>
      <c r="F2825" s="6">
        <f>IF($J2825="","",IF($J2825&lt;=1500,N(INDEX('Daily Sale entry '!$AC$1:$AC$1501,$J2825+1))-IF(AND('Opening Balance'!$B$15=1,INDEX('Daily Sale entry '!$Z$1:$Z$1501,$J2825+1)="Online collection 网上收款",INDEX('Daily Sale entry '!$AA$1:$AA$1501,$J2825+1)&lt;&gt;""),N(INDEX('Daily Sale entry '!$AC$1:$AC$1501,$J2825+1))-TRUNC(N(INDEX('Daily Sale entry '!$AC$1:$AC$1501,$J2825+1))),0),N(INDEX('Daily Sale entry '!$S$1:$S$1501,$J2825-1499))-'Opening Balance'!$B$15*(N(INDEX('Daily Sale entry '!$S$1:$S$1501,$J2825-1499))-TRUNC(N(INDEX('Daily Sale entry '!$S$1:$S$1501,$J2825-1499))))))</f>
        <v/>
      </c>
      <c r="G2825" s="6">
        <f>IF($J2825="","",IF($J2825&lt;=1500,N(INDEX('Daily Sale entry '!$AD$1:$AD$1501,$J2825+1)),0))</f>
        <v/>
      </c>
      <c r="H2825" s="6">
        <f>IF($J2825="","",ROUND('Opening Balance'!$B$4+SUM($F$2:F2825)-SUM($G$2:G2825),2))</f>
        <v/>
      </c>
      <c r="J2825" s="21">
        <f>IFERROR(MATCH(ROW()-1,$L$2:$L$3001,0),"")</f>
        <v/>
      </c>
      <c r="K2825" s="34">
        <f>IF(AND('Daily Sale entry '!Q1325="Collection 收款",'Daily Sale entry '!R1325="Cheque 支票",'Daily Sale entry '!V1325&lt;&gt;""),'Daily Sale entry '!V1325+ROW()/10000000,"")</f>
        <v/>
      </c>
      <c r="L2825" s="21">
        <f>IF(K2825="","",COUNTIF($K$2:$K$3001,"&lt;"&amp;K2825)+1)</f>
        <v/>
      </c>
    </row>
    <row r="2826">
      <c r="A2826" s="5">
        <f>IF($J2826="","",IF($J2826&lt;=1500,INDEX('Daily Sale entry '!$X$1:$X$1501,$J2826+1),INDEX('Daily Sale entry '!$V$1:$V$1501,$J2826-1499)))</f>
        <v/>
      </c>
      <c r="B2826">
        <f>IF($J2826="","",IF($J2826&lt;=1500,INDEX('Daily Sale entry '!$Y$1:$Y$1501,$J2826+1)&amp;"","Buyer cheque banked 买家支票存入"&amp;IF(INDEX('Daily Sale entry '!$U$1:$U$1501,$J2826-1499)="","", " - "&amp;INDEX('Daily Sale entry '!$U$1:$U$1501,$J2826-1499))))</f>
        <v/>
      </c>
      <c r="C2826">
        <f>IF($J2826="","",IF($J2826&lt;=1500,INDEX('Daily Sale entry '!$Z$1:$Z$1501,$J2826+1)&amp;"","Cheque deposit 支票存入 (buyer 买家)"))</f>
        <v/>
      </c>
      <c r="D2826">
        <f>IF($J2826="","",IF($J2826&lt;=1500,INDEX('Daily Sale entry '!$AA$1:$AA$1501,$J2826+1)&amp;"",INDEX('Daily Sale entry '!$P$1:$P$1501,$J2826-1499)&amp;""))</f>
        <v/>
      </c>
      <c r="E2826">
        <f>IF($J2826="","",IF($J2826&lt;=1500,IF(N(INDEX('Daily Sale entry '!$AB$1:$AB$1501,$J2826+1))=0,"",INDEX('Daily Sale entry '!$AB$1:$AB$1501,$J2826+1)),1))</f>
        <v/>
      </c>
      <c r="F2826" s="6">
        <f>IF($J2826="","",IF($J2826&lt;=1500,N(INDEX('Daily Sale entry '!$AC$1:$AC$1501,$J2826+1))-IF(AND('Opening Balance'!$B$15=1,INDEX('Daily Sale entry '!$Z$1:$Z$1501,$J2826+1)="Online collection 网上收款",INDEX('Daily Sale entry '!$AA$1:$AA$1501,$J2826+1)&lt;&gt;""),N(INDEX('Daily Sale entry '!$AC$1:$AC$1501,$J2826+1))-TRUNC(N(INDEX('Daily Sale entry '!$AC$1:$AC$1501,$J2826+1))),0),N(INDEX('Daily Sale entry '!$S$1:$S$1501,$J2826-1499))-'Opening Balance'!$B$15*(N(INDEX('Daily Sale entry '!$S$1:$S$1501,$J2826-1499))-TRUNC(N(INDEX('Daily Sale entry '!$S$1:$S$1501,$J2826-1499))))))</f>
        <v/>
      </c>
      <c r="G2826" s="6">
        <f>IF($J2826="","",IF($J2826&lt;=1500,N(INDEX('Daily Sale entry '!$AD$1:$AD$1501,$J2826+1)),0))</f>
        <v/>
      </c>
      <c r="H2826" s="6">
        <f>IF($J2826="","",ROUND('Opening Balance'!$B$4+SUM($F$2:F2826)-SUM($G$2:G2826),2))</f>
        <v/>
      </c>
      <c r="J2826" s="21">
        <f>IFERROR(MATCH(ROW()-1,$L$2:$L$3001,0),"")</f>
        <v/>
      </c>
      <c r="K2826" s="34">
        <f>IF(AND('Daily Sale entry '!Q1326="Collection 收款",'Daily Sale entry '!R1326="Cheque 支票",'Daily Sale entry '!V1326&lt;&gt;""),'Daily Sale entry '!V1326+ROW()/10000000,"")</f>
        <v/>
      </c>
      <c r="L2826" s="21">
        <f>IF(K2826="","",COUNTIF($K$2:$K$3001,"&lt;"&amp;K2826)+1)</f>
        <v/>
      </c>
    </row>
    <row r="2827">
      <c r="A2827" s="5">
        <f>IF($J2827="","",IF($J2827&lt;=1500,INDEX('Daily Sale entry '!$X$1:$X$1501,$J2827+1),INDEX('Daily Sale entry '!$V$1:$V$1501,$J2827-1499)))</f>
        <v/>
      </c>
      <c r="B2827">
        <f>IF($J2827="","",IF($J2827&lt;=1500,INDEX('Daily Sale entry '!$Y$1:$Y$1501,$J2827+1)&amp;"","Buyer cheque banked 买家支票存入"&amp;IF(INDEX('Daily Sale entry '!$U$1:$U$1501,$J2827-1499)="","", " - "&amp;INDEX('Daily Sale entry '!$U$1:$U$1501,$J2827-1499))))</f>
        <v/>
      </c>
      <c r="C2827">
        <f>IF($J2827="","",IF($J2827&lt;=1500,INDEX('Daily Sale entry '!$Z$1:$Z$1501,$J2827+1)&amp;"","Cheque deposit 支票存入 (buyer 买家)"))</f>
        <v/>
      </c>
      <c r="D2827">
        <f>IF($J2827="","",IF($J2827&lt;=1500,INDEX('Daily Sale entry '!$AA$1:$AA$1501,$J2827+1)&amp;"",INDEX('Daily Sale entry '!$P$1:$P$1501,$J2827-1499)&amp;""))</f>
        <v/>
      </c>
      <c r="E2827">
        <f>IF($J2827="","",IF($J2827&lt;=1500,IF(N(INDEX('Daily Sale entry '!$AB$1:$AB$1501,$J2827+1))=0,"",INDEX('Daily Sale entry '!$AB$1:$AB$1501,$J2827+1)),1))</f>
        <v/>
      </c>
      <c r="F2827" s="6">
        <f>IF($J2827="","",IF($J2827&lt;=1500,N(INDEX('Daily Sale entry '!$AC$1:$AC$1501,$J2827+1))-IF(AND('Opening Balance'!$B$15=1,INDEX('Daily Sale entry '!$Z$1:$Z$1501,$J2827+1)="Online collection 网上收款",INDEX('Daily Sale entry '!$AA$1:$AA$1501,$J2827+1)&lt;&gt;""),N(INDEX('Daily Sale entry '!$AC$1:$AC$1501,$J2827+1))-TRUNC(N(INDEX('Daily Sale entry '!$AC$1:$AC$1501,$J2827+1))),0),N(INDEX('Daily Sale entry '!$S$1:$S$1501,$J2827-1499))-'Opening Balance'!$B$15*(N(INDEX('Daily Sale entry '!$S$1:$S$1501,$J2827-1499))-TRUNC(N(INDEX('Daily Sale entry '!$S$1:$S$1501,$J2827-1499))))))</f>
        <v/>
      </c>
      <c r="G2827" s="6">
        <f>IF($J2827="","",IF($J2827&lt;=1500,N(INDEX('Daily Sale entry '!$AD$1:$AD$1501,$J2827+1)),0))</f>
        <v/>
      </c>
      <c r="H2827" s="6">
        <f>IF($J2827="","",ROUND('Opening Balance'!$B$4+SUM($F$2:F2827)-SUM($G$2:G2827),2))</f>
        <v/>
      </c>
      <c r="J2827" s="21">
        <f>IFERROR(MATCH(ROW()-1,$L$2:$L$3001,0),"")</f>
        <v/>
      </c>
      <c r="K2827" s="34">
        <f>IF(AND('Daily Sale entry '!Q1327="Collection 收款",'Daily Sale entry '!R1327="Cheque 支票",'Daily Sale entry '!V1327&lt;&gt;""),'Daily Sale entry '!V1327+ROW()/10000000,"")</f>
        <v/>
      </c>
      <c r="L2827" s="21">
        <f>IF(K2827="","",COUNTIF($K$2:$K$3001,"&lt;"&amp;K2827)+1)</f>
        <v/>
      </c>
    </row>
    <row r="2828">
      <c r="A2828" s="5">
        <f>IF($J2828="","",IF($J2828&lt;=1500,INDEX('Daily Sale entry '!$X$1:$X$1501,$J2828+1),INDEX('Daily Sale entry '!$V$1:$V$1501,$J2828-1499)))</f>
        <v/>
      </c>
      <c r="B2828">
        <f>IF($J2828="","",IF($J2828&lt;=1500,INDEX('Daily Sale entry '!$Y$1:$Y$1501,$J2828+1)&amp;"","Buyer cheque banked 买家支票存入"&amp;IF(INDEX('Daily Sale entry '!$U$1:$U$1501,$J2828-1499)="","", " - "&amp;INDEX('Daily Sale entry '!$U$1:$U$1501,$J2828-1499))))</f>
        <v/>
      </c>
      <c r="C2828">
        <f>IF($J2828="","",IF($J2828&lt;=1500,INDEX('Daily Sale entry '!$Z$1:$Z$1501,$J2828+1)&amp;"","Cheque deposit 支票存入 (buyer 买家)"))</f>
        <v/>
      </c>
      <c r="D2828">
        <f>IF($J2828="","",IF($J2828&lt;=1500,INDEX('Daily Sale entry '!$AA$1:$AA$1501,$J2828+1)&amp;"",INDEX('Daily Sale entry '!$P$1:$P$1501,$J2828-1499)&amp;""))</f>
        <v/>
      </c>
      <c r="E2828">
        <f>IF($J2828="","",IF($J2828&lt;=1500,IF(N(INDEX('Daily Sale entry '!$AB$1:$AB$1501,$J2828+1))=0,"",INDEX('Daily Sale entry '!$AB$1:$AB$1501,$J2828+1)),1))</f>
        <v/>
      </c>
      <c r="F2828" s="6">
        <f>IF($J2828="","",IF($J2828&lt;=1500,N(INDEX('Daily Sale entry '!$AC$1:$AC$1501,$J2828+1))-IF(AND('Opening Balance'!$B$15=1,INDEX('Daily Sale entry '!$Z$1:$Z$1501,$J2828+1)="Online collection 网上收款",INDEX('Daily Sale entry '!$AA$1:$AA$1501,$J2828+1)&lt;&gt;""),N(INDEX('Daily Sale entry '!$AC$1:$AC$1501,$J2828+1))-TRUNC(N(INDEX('Daily Sale entry '!$AC$1:$AC$1501,$J2828+1))),0),N(INDEX('Daily Sale entry '!$S$1:$S$1501,$J2828-1499))-'Opening Balance'!$B$15*(N(INDEX('Daily Sale entry '!$S$1:$S$1501,$J2828-1499))-TRUNC(N(INDEX('Daily Sale entry '!$S$1:$S$1501,$J2828-1499))))))</f>
        <v/>
      </c>
      <c r="G2828" s="6">
        <f>IF($J2828="","",IF($J2828&lt;=1500,N(INDEX('Daily Sale entry '!$AD$1:$AD$1501,$J2828+1)),0))</f>
        <v/>
      </c>
      <c r="H2828" s="6">
        <f>IF($J2828="","",ROUND('Opening Balance'!$B$4+SUM($F$2:F2828)-SUM($G$2:G2828),2))</f>
        <v/>
      </c>
      <c r="J2828" s="21">
        <f>IFERROR(MATCH(ROW()-1,$L$2:$L$3001,0),"")</f>
        <v/>
      </c>
      <c r="K2828" s="34">
        <f>IF(AND('Daily Sale entry '!Q1328="Collection 收款",'Daily Sale entry '!R1328="Cheque 支票",'Daily Sale entry '!V1328&lt;&gt;""),'Daily Sale entry '!V1328+ROW()/10000000,"")</f>
        <v/>
      </c>
      <c r="L2828" s="21">
        <f>IF(K2828="","",COUNTIF($K$2:$K$3001,"&lt;"&amp;K2828)+1)</f>
        <v/>
      </c>
    </row>
    <row r="2829">
      <c r="A2829" s="5">
        <f>IF($J2829="","",IF($J2829&lt;=1500,INDEX('Daily Sale entry '!$X$1:$X$1501,$J2829+1),INDEX('Daily Sale entry '!$V$1:$V$1501,$J2829-1499)))</f>
        <v/>
      </c>
      <c r="B2829">
        <f>IF($J2829="","",IF($J2829&lt;=1500,INDEX('Daily Sale entry '!$Y$1:$Y$1501,$J2829+1)&amp;"","Buyer cheque banked 买家支票存入"&amp;IF(INDEX('Daily Sale entry '!$U$1:$U$1501,$J2829-1499)="","", " - "&amp;INDEX('Daily Sale entry '!$U$1:$U$1501,$J2829-1499))))</f>
        <v/>
      </c>
      <c r="C2829">
        <f>IF($J2829="","",IF($J2829&lt;=1500,INDEX('Daily Sale entry '!$Z$1:$Z$1501,$J2829+1)&amp;"","Cheque deposit 支票存入 (buyer 买家)"))</f>
        <v/>
      </c>
      <c r="D2829">
        <f>IF($J2829="","",IF($J2829&lt;=1500,INDEX('Daily Sale entry '!$AA$1:$AA$1501,$J2829+1)&amp;"",INDEX('Daily Sale entry '!$P$1:$P$1501,$J2829-1499)&amp;""))</f>
        <v/>
      </c>
      <c r="E2829">
        <f>IF($J2829="","",IF($J2829&lt;=1500,IF(N(INDEX('Daily Sale entry '!$AB$1:$AB$1501,$J2829+1))=0,"",INDEX('Daily Sale entry '!$AB$1:$AB$1501,$J2829+1)),1))</f>
        <v/>
      </c>
      <c r="F2829" s="6">
        <f>IF($J2829="","",IF($J2829&lt;=1500,N(INDEX('Daily Sale entry '!$AC$1:$AC$1501,$J2829+1))-IF(AND('Opening Balance'!$B$15=1,INDEX('Daily Sale entry '!$Z$1:$Z$1501,$J2829+1)="Online collection 网上收款",INDEX('Daily Sale entry '!$AA$1:$AA$1501,$J2829+1)&lt;&gt;""),N(INDEX('Daily Sale entry '!$AC$1:$AC$1501,$J2829+1))-TRUNC(N(INDEX('Daily Sale entry '!$AC$1:$AC$1501,$J2829+1))),0),N(INDEX('Daily Sale entry '!$S$1:$S$1501,$J2829-1499))-'Opening Balance'!$B$15*(N(INDEX('Daily Sale entry '!$S$1:$S$1501,$J2829-1499))-TRUNC(N(INDEX('Daily Sale entry '!$S$1:$S$1501,$J2829-1499))))))</f>
        <v/>
      </c>
      <c r="G2829" s="6">
        <f>IF($J2829="","",IF($J2829&lt;=1500,N(INDEX('Daily Sale entry '!$AD$1:$AD$1501,$J2829+1)),0))</f>
        <v/>
      </c>
      <c r="H2829" s="6">
        <f>IF($J2829="","",ROUND('Opening Balance'!$B$4+SUM($F$2:F2829)-SUM($G$2:G2829),2))</f>
        <v/>
      </c>
      <c r="J2829" s="21">
        <f>IFERROR(MATCH(ROW()-1,$L$2:$L$3001,0),"")</f>
        <v/>
      </c>
      <c r="K2829" s="34">
        <f>IF(AND('Daily Sale entry '!Q1329="Collection 收款",'Daily Sale entry '!R1329="Cheque 支票",'Daily Sale entry '!V1329&lt;&gt;""),'Daily Sale entry '!V1329+ROW()/10000000,"")</f>
        <v/>
      </c>
      <c r="L2829" s="21">
        <f>IF(K2829="","",COUNTIF($K$2:$K$3001,"&lt;"&amp;K2829)+1)</f>
        <v/>
      </c>
    </row>
    <row r="2830">
      <c r="A2830" s="5">
        <f>IF($J2830="","",IF($J2830&lt;=1500,INDEX('Daily Sale entry '!$X$1:$X$1501,$J2830+1),INDEX('Daily Sale entry '!$V$1:$V$1501,$J2830-1499)))</f>
        <v/>
      </c>
      <c r="B2830">
        <f>IF($J2830="","",IF($J2830&lt;=1500,INDEX('Daily Sale entry '!$Y$1:$Y$1501,$J2830+1)&amp;"","Buyer cheque banked 买家支票存入"&amp;IF(INDEX('Daily Sale entry '!$U$1:$U$1501,$J2830-1499)="","", " - "&amp;INDEX('Daily Sale entry '!$U$1:$U$1501,$J2830-1499))))</f>
        <v/>
      </c>
      <c r="C2830">
        <f>IF($J2830="","",IF($J2830&lt;=1500,INDEX('Daily Sale entry '!$Z$1:$Z$1501,$J2830+1)&amp;"","Cheque deposit 支票存入 (buyer 买家)"))</f>
        <v/>
      </c>
      <c r="D2830">
        <f>IF($J2830="","",IF($J2830&lt;=1500,INDEX('Daily Sale entry '!$AA$1:$AA$1501,$J2830+1)&amp;"",INDEX('Daily Sale entry '!$P$1:$P$1501,$J2830-1499)&amp;""))</f>
        <v/>
      </c>
      <c r="E2830">
        <f>IF($J2830="","",IF($J2830&lt;=1500,IF(N(INDEX('Daily Sale entry '!$AB$1:$AB$1501,$J2830+1))=0,"",INDEX('Daily Sale entry '!$AB$1:$AB$1501,$J2830+1)),1))</f>
        <v/>
      </c>
      <c r="F2830" s="6">
        <f>IF($J2830="","",IF($J2830&lt;=1500,N(INDEX('Daily Sale entry '!$AC$1:$AC$1501,$J2830+1))-IF(AND('Opening Balance'!$B$15=1,INDEX('Daily Sale entry '!$Z$1:$Z$1501,$J2830+1)="Online collection 网上收款",INDEX('Daily Sale entry '!$AA$1:$AA$1501,$J2830+1)&lt;&gt;""),N(INDEX('Daily Sale entry '!$AC$1:$AC$1501,$J2830+1))-TRUNC(N(INDEX('Daily Sale entry '!$AC$1:$AC$1501,$J2830+1))),0),N(INDEX('Daily Sale entry '!$S$1:$S$1501,$J2830-1499))-'Opening Balance'!$B$15*(N(INDEX('Daily Sale entry '!$S$1:$S$1501,$J2830-1499))-TRUNC(N(INDEX('Daily Sale entry '!$S$1:$S$1501,$J2830-1499))))))</f>
        <v/>
      </c>
      <c r="G2830" s="6">
        <f>IF($J2830="","",IF($J2830&lt;=1500,N(INDEX('Daily Sale entry '!$AD$1:$AD$1501,$J2830+1)),0))</f>
        <v/>
      </c>
      <c r="H2830" s="6">
        <f>IF($J2830="","",ROUND('Opening Balance'!$B$4+SUM($F$2:F2830)-SUM($G$2:G2830),2))</f>
        <v/>
      </c>
      <c r="J2830" s="21">
        <f>IFERROR(MATCH(ROW()-1,$L$2:$L$3001,0),"")</f>
        <v/>
      </c>
      <c r="K2830" s="34">
        <f>IF(AND('Daily Sale entry '!Q1330="Collection 收款",'Daily Sale entry '!R1330="Cheque 支票",'Daily Sale entry '!V1330&lt;&gt;""),'Daily Sale entry '!V1330+ROW()/10000000,"")</f>
        <v/>
      </c>
      <c r="L2830" s="21">
        <f>IF(K2830="","",COUNTIF($K$2:$K$3001,"&lt;"&amp;K2830)+1)</f>
        <v/>
      </c>
    </row>
    <row r="2831">
      <c r="A2831" s="5">
        <f>IF($J2831="","",IF($J2831&lt;=1500,INDEX('Daily Sale entry '!$X$1:$X$1501,$J2831+1),INDEX('Daily Sale entry '!$V$1:$V$1501,$J2831-1499)))</f>
        <v/>
      </c>
      <c r="B2831">
        <f>IF($J2831="","",IF($J2831&lt;=1500,INDEX('Daily Sale entry '!$Y$1:$Y$1501,$J2831+1)&amp;"","Buyer cheque banked 买家支票存入"&amp;IF(INDEX('Daily Sale entry '!$U$1:$U$1501,$J2831-1499)="","", " - "&amp;INDEX('Daily Sale entry '!$U$1:$U$1501,$J2831-1499))))</f>
        <v/>
      </c>
      <c r="C2831">
        <f>IF($J2831="","",IF($J2831&lt;=1500,INDEX('Daily Sale entry '!$Z$1:$Z$1501,$J2831+1)&amp;"","Cheque deposit 支票存入 (buyer 买家)"))</f>
        <v/>
      </c>
      <c r="D2831">
        <f>IF($J2831="","",IF($J2831&lt;=1500,INDEX('Daily Sale entry '!$AA$1:$AA$1501,$J2831+1)&amp;"",INDEX('Daily Sale entry '!$P$1:$P$1501,$J2831-1499)&amp;""))</f>
        <v/>
      </c>
      <c r="E2831">
        <f>IF($J2831="","",IF($J2831&lt;=1500,IF(N(INDEX('Daily Sale entry '!$AB$1:$AB$1501,$J2831+1))=0,"",INDEX('Daily Sale entry '!$AB$1:$AB$1501,$J2831+1)),1))</f>
        <v/>
      </c>
      <c r="F2831" s="6">
        <f>IF($J2831="","",IF($J2831&lt;=1500,N(INDEX('Daily Sale entry '!$AC$1:$AC$1501,$J2831+1))-IF(AND('Opening Balance'!$B$15=1,INDEX('Daily Sale entry '!$Z$1:$Z$1501,$J2831+1)="Online collection 网上收款",INDEX('Daily Sale entry '!$AA$1:$AA$1501,$J2831+1)&lt;&gt;""),N(INDEX('Daily Sale entry '!$AC$1:$AC$1501,$J2831+1))-TRUNC(N(INDEX('Daily Sale entry '!$AC$1:$AC$1501,$J2831+1))),0),N(INDEX('Daily Sale entry '!$S$1:$S$1501,$J2831-1499))-'Opening Balance'!$B$15*(N(INDEX('Daily Sale entry '!$S$1:$S$1501,$J2831-1499))-TRUNC(N(INDEX('Daily Sale entry '!$S$1:$S$1501,$J2831-1499))))))</f>
        <v/>
      </c>
      <c r="G2831" s="6">
        <f>IF($J2831="","",IF($J2831&lt;=1500,N(INDEX('Daily Sale entry '!$AD$1:$AD$1501,$J2831+1)),0))</f>
        <v/>
      </c>
      <c r="H2831" s="6">
        <f>IF($J2831="","",ROUND('Opening Balance'!$B$4+SUM($F$2:F2831)-SUM($G$2:G2831),2))</f>
        <v/>
      </c>
      <c r="J2831" s="21">
        <f>IFERROR(MATCH(ROW()-1,$L$2:$L$3001,0),"")</f>
        <v/>
      </c>
      <c r="K2831" s="34">
        <f>IF(AND('Daily Sale entry '!Q1331="Collection 收款",'Daily Sale entry '!R1331="Cheque 支票",'Daily Sale entry '!V1331&lt;&gt;""),'Daily Sale entry '!V1331+ROW()/10000000,"")</f>
        <v/>
      </c>
      <c r="L2831" s="21">
        <f>IF(K2831="","",COUNTIF($K$2:$K$3001,"&lt;"&amp;K2831)+1)</f>
        <v/>
      </c>
    </row>
    <row r="2832">
      <c r="A2832" s="5">
        <f>IF($J2832="","",IF($J2832&lt;=1500,INDEX('Daily Sale entry '!$X$1:$X$1501,$J2832+1),INDEX('Daily Sale entry '!$V$1:$V$1501,$J2832-1499)))</f>
        <v/>
      </c>
      <c r="B2832">
        <f>IF($J2832="","",IF($J2832&lt;=1500,INDEX('Daily Sale entry '!$Y$1:$Y$1501,$J2832+1)&amp;"","Buyer cheque banked 买家支票存入"&amp;IF(INDEX('Daily Sale entry '!$U$1:$U$1501,$J2832-1499)="","", " - "&amp;INDEX('Daily Sale entry '!$U$1:$U$1501,$J2832-1499))))</f>
        <v/>
      </c>
      <c r="C2832">
        <f>IF($J2832="","",IF($J2832&lt;=1500,INDEX('Daily Sale entry '!$Z$1:$Z$1501,$J2832+1)&amp;"","Cheque deposit 支票存入 (buyer 买家)"))</f>
        <v/>
      </c>
      <c r="D2832">
        <f>IF($J2832="","",IF($J2832&lt;=1500,INDEX('Daily Sale entry '!$AA$1:$AA$1501,$J2832+1)&amp;"",INDEX('Daily Sale entry '!$P$1:$P$1501,$J2832-1499)&amp;""))</f>
        <v/>
      </c>
      <c r="E2832">
        <f>IF($J2832="","",IF($J2832&lt;=1500,IF(N(INDEX('Daily Sale entry '!$AB$1:$AB$1501,$J2832+1))=0,"",INDEX('Daily Sale entry '!$AB$1:$AB$1501,$J2832+1)),1))</f>
        <v/>
      </c>
      <c r="F2832" s="6">
        <f>IF($J2832="","",IF($J2832&lt;=1500,N(INDEX('Daily Sale entry '!$AC$1:$AC$1501,$J2832+1))-IF(AND('Opening Balance'!$B$15=1,INDEX('Daily Sale entry '!$Z$1:$Z$1501,$J2832+1)="Online collection 网上收款",INDEX('Daily Sale entry '!$AA$1:$AA$1501,$J2832+1)&lt;&gt;""),N(INDEX('Daily Sale entry '!$AC$1:$AC$1501,$J2832+1))-TRUNC(N(INDEX('Daily Sale entry '!$AC$1:$AC$1501,$J2832+1))),0),N(INDEX('Daily Sale entry '!$S$1:$S$1501,$J2832-1499))-'Opening Balance'!$B$15*(N(INDEX('Daily Sale entry '!$S$1:$S$1501,$J2832-1499))-TRUNC(N(INDEX('Daily Sale entry '!$S$1:$S$1501,$J2832-1499))))))</f>
        <v/>
      </c>
      <c r="G2832" s="6">
        <f>IF($J2832="","",IF($J2832&lt;=1500,N(INDEX('Daily Sale entry '!$AD$1:$AD$1501,$J2832+1)),0))</f>
        <v/>
      </c>
      <c r="H2832" s="6">
        <f>IF($J2832="","",ROUND('Opening Balance'!$B$4+SUM($F$2:F2832)-SUM($G$2:G2832),2))</f>
        <v/>
      </c>
      <c r="J2832" s="21">
        <f>IFERROR(MATCH(ROW()-1,$L$2:$L$3001,0),"")</f>
        <v/>
      </c>
      <c r="K2832" s="34">
        <f>IF(AND('Daily Sale entry '!Q1332="Collection 收款",'Daily Sale entry '!R1332="Cheque 支票",'Daily Sale entry '!V1332&lt;&gt;""),'Daily Sale entry '!V1332+ROW()/10000000,"")</f>
        <v/>
      </c>
      <c r="L2832" s="21">
        <f>IF(K2832="","",COUNTIF($K$2:$K$3001,"&lt;"&amp;K2832)+1)</f>
        <v/>
      </c>
    </row>
    <row r="2833">
      <c r="A2833" s="5">
        <f>IF($J2833="","",IF($J2833&lt;=1500,INDEX('Daily Sale entry '!$X$1:$X$1501,$J2833+1),INDEX('Daily Sale entry '!$V$1:$V$1501,$J2833-1499)))</f>
        <v/>
      </c>
      <c r="B2833">
        <f>IF($J2833="","",IF($J2833&lt;=1500,INDEX('Daily Sale entry '!$Y$1:$Y$1501,$J2833+1)&amp;"","Buyer cheque banked 买家支票存入"&amp;IF(INDEX('Daily Sale entry '!$U$1:$U$1501,$J2833-1499)="","", " - "&amp;INDEX('Daily Sale entry '!$U$1:$U$1501,$J2833-1499))))</f>
        <v/>
      </c>
      <c r="C2833">
        <f>IF($J2833="","",IF($J2833&lt;=1500,INDEX('Daily Sale entry '!$Z$1:$Z$1501,$J2833+1)&amp;"","Cheque deposit 支票存入 (buyer 买家)"))</f>
        <v/>
      </c>
      <c r="D2833">
        <f>IF($J2833="","",IF($J2833&lt;=1500,INDEX('Daily Sale entry '!$AA$1:$AA$1501,$J2833+1)&amp;"",INDEX('Daily Sale entry '!$P$1:$P$1501,$J2833-1499)&amp;""))</f>
        <v/>
      </c>
      <c r="E2833">
        <f>IF($J2833="","",IF($J2833&lt;=1500,IF(N(INDEX('Daily Sale entry '!$AB$1:$AB$1501,$J2833+1))=0,"",INDEX('Daily Sale entry '!$AB$1:$AB$1501,$J2833+1)),1))</f>
        <v/>
      </c>
      <c r="F2833" s="6">
        <f>IF($J2833="","",IF($J2833&lt;=1500,N(INDEX('Daily Sale entry '!$AC$1:$AC$1501,$J2833+1))-IF(AND('Opening Balance'!$B$15=1,INDEX('Daily Sale entry '!$Z$1:$Z$1501,$J2833+1)="Online collection 网上收款",INDEX('Daily Sale entry '!$AA$1:$AA$1501,$J2833+1)&lt;&gt;""),N(INDEX('Daily Sale entry '!$AC$1:$AC$1501,$J2833+1))-TRUNC(N(INDEX('Daily Sale entry '!$AC$1:$AC$1501,$J2833+1))),0),N(INDEX('Daily Sale entry '!$S$1:$S$1501,$J2833-1499))-'Opening Balance'!$B$15*(N(INDEX('Daily Sale entry '!$S$1:$S$1501,$J2833-1499))-TRUNC(N(INDEX('Daily Sale entry '!$S$1:$S$1501,$J2833-1499))))))</f>
        <v/>
      </c>
      <c r="G2833" s="6">
        <f>IF($J2833="","",IF($J2833&lt;=1500,N(INDEX('Daily Sale entry '!$AD$1:$AD$1501,$J2833+1)),0))</f>
        <v/>
      </c>
      <c r="H2833" s="6">
        <f>IF($J2833="","",ROUND('Opening Balance'!$B$4+SUM($F$2:F2833)-SUM($G$2:G2833),2))</f>
        <v/>
      </c>
      <c r="J2833" s="21">
        <f>IFERROR(MATCH(ROW()-1,$L$2:$L$3001,0),"")</f>
        <v/>
      </c>
      <c r="K2833" s="34">
        <f>IF(AND('Daily Sale entry '!Q1333="Collection 收款",'Daily Sale entry '!R1333="Cheque 支票",'Daily Sale entry '!V1333&lt;&gt;""),'Daily Sale entry '!V1333+ROW()/10000000,"")</f>
        <v/>
      </c>
      <c r="L2833" s="21">
        <f>IF(K2833="","",COUNTIF($K$2:$K$3001,"&lt;"&amp;K2833)+1)</f>
        <v/>
      </c>
    </row>
    <row r="2834">
      <c r="A2834" s="5">
        <f>IF($J2834="","",IF($J2834&lt;=1500,INDEX('Daily Sale entry '!$X$1:$X$1501,$J2834+1),INDEX('Daily Sale entry '!$V$1:$V$1501,$J2834-1499)))</f>
        <v/>
      </c>
      <c r="B2834">
        <f>IF($J2834="","",IF($J2834&lt;=1500,INDEX('Daily Sale entry '!$Y$1:$Y$1501,$J2834+1)&amp;"","Buyer cheque banked 买家支票存入"&amp;IF(INDEX('Daily Sale entry '!$U$1:$U$1501,$J2834-1499)="","", " - "&amp;INDEX('Daily Sale entry '!$U$1:$U$1501,$J2834-1499))))</f>
        <v/>
      </c>
      <c r="C2834">
        <f>IF($J2834="","",IF($J2834&lt;=1500,INDEX('Daily Sale entry '!$Z$1:$Z$1501,$J2834+1)&amp;"","Cheque deposit 支票存入 (buyer 买家)"))</f>
        <v/>
      </c>
      <c r="D2834">
        <f>IF($J2834="","",IF($J2834&lt;=1500,INDEX('Daily Sale entry '!$AA$1:$AA$1501,$J2834+1)&amp;"",INDEX('Daily Sale entry '!$P$1:$P$1501,$J2834-1499)&amp;""))</f>
        <v/>
      </c>
      <c r="E2834">
        <f>IF($J2834="","",IF($J2834&lt;=1500,IF(N(INDEX('Daily Sale entry '!$AB$1:$AB$1501,$J2834+1))=0,"",INDEX('Daily Sale entry '!$AB$1:$AB$1501,$J2834+1)),1))</f>
        <v/>
      </c>
      <c r="F2834" s="6">
        <f>IF($J2834="","",IF($J2834&lt;=1500,N(INDEX('Daily Sale entry '!$AC$1:$AC$1501,$J2834+1))-IF(AND('Opening Balance'!$B$15=1,INDEX('Daily Sale entry '!$Z$1:$Z$1501,$J2834+1)="Online collection 网上收款",INDEX('Daily Sale entry '!$AA$1:$AA$1501,$J2834+1)&lt;&gt;""),N(INDEX('Daily Sale entry '!$AC$1:$AC$1501,$J2834+1))-TRUNC(N(INDEX('Daily Sale entry '!$AC$1:$AC$1501,$J2834+1))),0),N(INDEX('Daily Sale entry '!$S$1:$S$1501,$J2834-1499))-'Opening Balance'!$B$15*(N(INDEX('Daily Sale entry '!$S$1:$S$1501,$J2834-1499))-TRUNC(N(INDEX('Daily Sale entry '!$S$1:$S$1501,$J2834-1499))))))</f>
        <v/>
      </c>
      <c r="G2834" s="6">
        <f>IF($J2834="","",IF($J2834&lt;=1500,N(INDEX('Daily Sale entry '!$AD$1:$AD$1501,$J2834+1)),0))</f>
        <v/>
      </c>
      <c r="H2834" s="6">
        <f>IF($J2834="","",ROUND('Opening Balance'!$B$4+SUM($F$2:F2834)-SUM($G$2:G2834),2))</f>
        <v/>
      </c>
      <c r="J2834" s="21">
        <f>IFERROR(MATCH(ROW()-1,$L$2:$L$3001,0),"")</f>
        <v/>
      </c>
      <c r="K2834" s="34">
        <f>IF(AND('Daily Sale entry '!Q1334="Collection 收款",'Daily Sale entry '!R1334="Cheque 支票",'Daily Sale entry '!V1334&lt;&gt;""),'Daily Sale entry '!V1334+ROW()/10000000,"")</f>
        <v/>
      </c>
      <c r="L2834" s="21">
        <f>IF(K2834="","",COUNTIF($K$2:$K$3001,"&lt;"&amp;K2834)+1)</f>
        <v/>
      </c>
    </row>
    <row r="2835">
      <c r="A2835" s="5">
        <f>IF($J2835="","",IF($J2835&lt;=1500,INDEX('Daily Sale entry '!$X$1:$X$1501,$J2835+1),INDEX('Daily Sale entry '!$V$1:$V$1501,$J2835-1499)))</f>
        <v/>
      </c>
      <c r="B2835">
        <f>IF($J2835="","",IF($J2835&lt;=1500,INDEX('Daily Sale entry '!$Y$1:$Y$1501,$J2835+1)&amp;"","Buyer cheque banked 买家支票存入"&amp;IF(INDEX('Daily Sale entry '!$U$1:$U$1501,$J2835-1499)="","", " - "&amp;INDEX('Daily Sale entry '!$U$1:$U$1501,$J2835-1499))))</f>
        <v/>
      </c>
      <c r="C2835">
        <f>IF($J2835="","",IF($J2835&lt;=1500,INDEX('Daily Sale entry '!$Z$1:$Z$1501,$J2835+1)&amp;"","Cheque deposit 支票存入 (buyer 买家)"))</f>
        <v/>
      </c>
      <c r="D2835">
        <f>IF($J2835="","",IF($J2835&lt;=1500,INDEX('Daily Sale entry '!$AA$1:$AA$1501,$J2835+1)&amp;"",INDEX('Daily Sale entry '!$P$1:$P$1501,$J2835-1499)&amp;""))</f>
        <v/>
      </c>
      <c r="E2835">
        <f>IF($J2835="","",IF($J2835&lt;=1500,IF(N(INDEX('Daily Sale entry '!$AB$1:$AB$1501,$J2835+1))=0,"",INDEX('Daily Sale entry '!$AB$1:$AB$1501,$J2835+1)),1))</f>
        <v/>
      </c>
      <c r="F2835" s="6">
        <f>IF($J2835="","",IF($J2835&lt;=1500,N(INDEX('Daily Sale entry '!$AC$1:$AC$1501,$J2835+1))-IF(AND('Opening Balance'!$B$15=1,INDEX('Daily Sale entry '!$Z$1:$Z$1501,$J2835+1)="Online collection 网上收款",INDEX('Daily Sale entry '!$AA$1:$AA$1501,$J2835+1)&lt;&gt;""),N(INDEX('Daily Sale entry '!$AC$1:$AC$1501,$J2835+1))-TRUNC(N(INDEX('Daily Sale entry '!$AC$1:$AC$1501,$J2835+1))),0),N(INDEX('Daily Sale entry '!$S$1:$S$1501,$J2835-1499))-'Opening Balance'!$B$15*(N(INDEX('Daily Sale entry '!$S$1:$S$1501,$J2835-1499))-TRUNC(N(INDEX('Daily Sale entry '!$S$1:$S$1501,$J2835-1499))))))</f>
        <v/>
      </c>
      <c r="G2835" s="6">
        <f>IF($J2835="","",IF($J2835&lt;=1500,N(INDEX('Daily Sale entry '!$AD$1:$AD$1501,$J2835+1)),0))</f>
        <v/>
      </c>
      <c r="H2835" s="6">
        <f>IF($J2835="","",ROUND('Opening Balance'!$B$4+SUM($F$2:F2835)-SUM($G$2:G2835),2))</f>
        <v/>
      </c>
      <c r="J2835" s="21">
        <f>IFERROR(MATCH(ROW()-1,$L$2:$L$3001,0),"")</f>
        <v/>
      </c>
      <c r="K2835" s="34">
        <f>IF(AND('Daily Sale entry '!Q1335="Collection 收款",'Daily Sale entry '!R1335="Cheque 支票",'Daily Sale entry '!V1335&lt;&gt;""),'Daily Sale entry '!V1335+ROW()/10000000,"")</f>
        <v/>
      </c>
      <c r="L2835" s="21">
        <f>IF(K2835="","",COUNTIF($K$2:$K$3001,"&lt;"&amp;K2835)+1)</f>
        <v/>
      </c>
    </row>
    <row r="2836">
      <c r="A2836" s="5">
        <f>IF($J2836="","",IF($J2836&lt;=1500,INDEX('Daily Sale entry '!$X$1:$X$1501,$J2836+1),INDEX('Daily Sale entry '!$V$1:$V$1501,$J2836-1499)))</f>
        <v/>
      </c>
      <c r="B2836">
        <f>IF($J2836="","",IF($J2836&lt;=1500,INDEX('Daily Sale entry '!$Y$1:$Y$1501,$J2836+1)&amp;"","Buyer cheque banked 买家支票存入"&amp;IF(INDEX('Daily Sale entry '!$U$1:$U$1501,$J2836-1499)="","", " - "&amp;INDEX('Daily Sale entry '!$U$1:$U$1501,$J2836-1499))))</f>
        <v/>
      </c>
      <c r="C2836">
        <f>IF($J2836="","",IF($J2836&lt;=1500,INDEX('Daily Sale entry '!$Z$1:$Z$1501,$J2836+1)&amp;"","Cheque deposit 支票存入 (buyer 买家)"))</f>
        <v/>
      </c>
      <c r="D2836">
        <f>IF($J2836="","",IF($J2836&lt;=1500,INDEX('Daily Sale entry '!$AA$1:$AA$1501,$J2836+1)&amp;"",INDEX('Daily Sale entry '!$P$1:$P$1501,$J2836-1499)&amp;""))</f>
        <v/>
      </c>
      <c r="E2836">
        <f>IF($J2836="","",IF($J2836&lt;=1500,IF(N(INDEX('Daily Sale entry '!$AB$1:$AB$1501,$J2836+1))=0,"",INDEX('Daily Sale entry '!$AB$1:$AB$1501,$J2836+1)),1))</f>
        <v/>
      </c>
      <c r="F2836" s="6">
        <f>IF($J2836="","",IF($J2836&lt;=1500,N(INDEX('Daily Sale entry '!$AC$1:$AC$1501,$J2836+1))-IF(AND('Opening Balance'!$B$15=1,INDEX('Daily Sale entry '!$Z$1:$Z$1501,$J2836+1)="Online collection 网上收款",INDEX('Daily Sale entry '!$AA$1:$AA$1501,$J2836+1)&lt;&gt;""),N(INDEX('Daily Sale entry '!$AC$1:$AC$1501,$J2836+1))-TRUNC(N(INDEX('Daily Sale entry '!$AC$1:$AC$1501,$J2836+1))),0),N(INDEX('Daily Sale entry '!$S$1:$S$1501,$J2836-1499))-'Opening Balance'!$B$15*(N(INDEX('Daily Sale entry '!$S$1:$S$1501,$J2836-1499))-TRUNC(N(INDEX('Daily Sale entry '!$S$1:$S$1501,$J2836-1499))))))</f>
        <v/>
      </c>
      <c r="G2836" s="6">
        <f>IF($J2836="","",IF($J2836&lt;=1500,N(INDEX('Daily Sale entry '!$AD$1:$AD$1501,$J2836+1)),0))</f>
        <v/>
      </c>
      <c r="H2836" s="6">
        <f>IF($J2836="","",ROUND('Opening Balance'!$B$4+SUM($F$2:F2836)-SUM($G$2:G2836),2))</f>
        <v/>
      </c>
      <c r="J2836" s="21">
        <f>IFERROR(MATCH(ROW()-1,$L$2:$L$3001,0),"")</f>
        <v/>
      </c>
      <c r="K2836" s="34">
        <f>IF(AND('Daily Sale entry '!Q1336="Collection 收款",'Daily Sale entry '!R1336="Cheque 支票",'Daily Sale entry '!V1336&lt;&gt;""),'Daily Sale entry '!V1336+ROW()/10000000,"")</f>
        <v/>
      </c>
      <c r="L2836" s="21">
        <f>IF(K2836="","",COUNTIF($K$2:$K$3001,"&lt;"&amp;K2836)+1)</f>
        <v/>
      </c>
    </row>
    <row r="2837">
      <c r="A2837" s="5">
        <f>IF($J2837="","",IF($J2837&lt;=1500,INDEX('Daily Sale entry '!$X$1:$X$1501,$J2837+1),INDEX('Daily Sale entry '!$V$1:$V$1501,$J2837-1499)))</f>
        <v/>
      </c>
      <c r="B2837">
        <f>IF($J2837="","",IF($J2837&lt;=1500,INDEX('Daily Sale entry '!$Y$1:$Y$1501,$J2837+1)&amp;"","Buyer cheque banked 买家支票存入"&amp;IF(INDEX('Daily Sale entry '!$U$1:$U$1501,$J2837-1499)="","", " - "&amp;INDEX('Daily Sale entry '!$U$1:$U$1501,$J2837-1499))))</f>
        <v/>
      </c>
      <c r="C2837">
        <f>IF($J2837="","",IF($J2837&lt;=1500,INDEX('Daily Sale entry '!$Z$1:$Z$1501,$J2837+1)&amp;"","Cheque deposit 支票存入 (buyer 买家)"))</f>
        <v/>
      </c>
      <c r="D2837">
        <f>IF($J2837="","",IF($J2837&lt;=1500,INDEX('Daily Sale entry '!$AA$1:$AA$1501,$J2837+1)&amp;"",INDEX('Daily Sale entry '!$P$1:$P$1501,$J2837-1499)&amp;""))</f>
        <v/>
      </c>
      <c r="E2837">
        <f>IF($J2837="","",IF($J2837&lt;=1500,IF(N(INDEX('Daily Sale entry '!$AB$1:$AB$1501,$J2837+1))=0,"",INDEX('Daily Sale entry '!$AB$1:$AB$1501,$J2837+1)),1))</f>
        <v/>
      </c>
      <c r="F2837" s="6">
        <f>IF($J2837="","",IF($J2837&lt;=1500,N(INDEX('Daily Sale entry '!$AC$1:$AC$1501,$J2837+1))-IF(AND('Opening Balance'!$B$15=1,INDEX('Daily Sale entry '!$Z$1:$Z$1501,$J2837+1)="Online collection 网上收款",INDEX('Daily Sale entry '!$AA$1:$AA$1501,$J2837+1)&lt;&gt;""),N(INDEX('Daily Sale entry '!$AC$1:$AC$1501,$J2837+1))-TRUNC(N(INDEX('Daily Sale entry '!$AC$1:$AC$1501,$J2837+1))),0),N(INDEX('Daily Sale entry '!$S$1:$S$1501,$J2837-1499))-'Opening Balance'!$B$15*(N(INDEX('Daily Sale entry '!$S$1:$S$1501,$J2837-1499))-TRUNC(N(INDEX('Daily Sale entry '!$S$1:$S$1501,$J2837-1499))))))</f>
        <v/>
      </c>
      <c r="G2837" s="6">
        <f>IF($J2837="","",IF($J2837&lt;=1500,N(INDEX('Daily Sale entry '!$AD$1:$AD$1501,$J2837+1)),0))</f>
        <v/>
      </c>
      <c r="H2837" s="6">
        <f>IF($J2837="","",ROUND('Opening Balance'!$B$4+SUM($F$2:F2837)-SUM($G$2:G2837),2))</f>
        <v/>
      </c>
      <c r="J2837" s="21">
        <f>IFERROR(MATCH(ROW()-1,$L$2:$L$3001,0),"")</f>
        <v/>
      </c>
      <c r="K2837" s="34">
        <f>IF(AND('Daily Sale entry '!Q1337="Collection 收款",'Daily Sale entry '!R1337="Cheque 支票",'Daily Sale entry '!V1337&lt;&gt;""),'Daily Sale entry '!V1337+ROW()/10000000,"")</f>
        <v/>
      </c>
      <c r="L2837" s="21">
        <f>IF(K2837="","",COUNTIF($K$2:$K$3001,"&lt;"&amp;K2837)+1)</f>
        <v/>
      </c>
    </row>
    <row r="2838">
      <c r="A2838" s="5">
        <f>IF($J2838="","",IF($J2838&lt;=1500,INDEX('Daily Sale entry '!$X$1:$X$1501,$J2838+1),INDEX('Daily Sale entry '!$V$1:$V$1501,$J2838-1499)))</f>
        <v/>
      </c>
      <c r="B2838">
        <f>IF($J2838="","",IF($J2838&lt;=1500,INDEX('Daily Sale entry '!$Y$1:$Y$1501,$J2838+1)&amp;"","Buyer cheque banked 买家支票存入"&amp;IF(INDEX('Daily Sale entry '!$U$1:$U$1501,$J2838-1499)="","", " - "&amp;INDEX('Daily Sale entry '!$U$1:$U$1501,$J2838-1499))))</f>
        <v/>
      </c>
      <c r="C2838">
        <f>IF($J2838="","",IF($J2838&lt;=1500,INDEX('Daily Sale entry '!$Z$1:$Z$1501,$J2838+1)&amp;"","Cheque deposit 支票存入 (buyer 买家)"))</f>
        <v/>
      </c>
      <c r="D2838">
        <f>IF($J2838="","",IF($J2838&lt;=1500,INDEX('Daily Sale entry '!$AA$1:$AA$1501,$J2838+1)&amp;"",INDEX('Daily Sale entry '!$P$1:$P$1501,$J2838-1499)&amp;""))</f>
        <v/>
      </c>
      <c r="E2838">
        <f>IF($J2838="","",IF($J2838&lt;=1500,IF(N(INDEX('Daily Sale entry '!$AB$1:$AB$1501,$J2838+1))=0,"",INDEX('Daily Sale entry '!$AB$1:$AB$1501,$J2838+1)),1))</f>
        <v/>
      </c>
      <c r="F2838" s="6">
        <f>IF($J2838="","",IF($J2838&lt;=1500,N(INDEX('Daily Sale entry '!$AC$1:$AC$1501,$J2838+1))-IF(AND('Opening Balance'!$B$15=1,INDEX('Daily Sale entry '!$Z$1:$Z$1501,$J2838+1)="Online collection 网上收款",INDEX('Daily Sale entry '!$AA$1:$AA$1501,$J2838+1)&lt;&gt;""),N(INDEX('Daily Sale entry '!$AC$1:$AC$1501,$J2838+1))-TRUNC(N(INDEX('Daily Sale entry '!$AC$1:$AC$1501,$J2838+1))),0),N(INDEX('Daily Sale entry '!$S$1:$S$1501,$J2838-1499))-'Opening Balance'!$B$15*(N(INDEX('Daily Sale entry '!$S$1:$S$1501,$J2838-1499))-TRUNC(N(INDEX('Daily Sale entry '!$S$1:$S$1501,$J2838-1499))))))</f>
        <v/>
      </c>
      <c r="G2838" s="6">
        <f>IF($J2838="","",IF($J2838&lt;=1500,N(INDEX('Daily Sale entry '!$AD$1:$AD$1501,$J2838+1)),0))</f>
        <v/>
      </c>
      <c r="H2838" s="6">
        <f>IF($J2838="","",ROUND('Opening Balance'!$B$4+SUM($F$2:F2838)-SUM($G$2:G2838),2))</f>
        <v/>
      </c>
      <c r="J2838" s="21">
        <f>IFERROR(MATCH(ROW()-1,$L$2:$L$3001,0),"")</f>
        <v/>
      </c>
      <c r="K2838" s="34">
        <f>IF(AND('Daily Sale entry '!Q1338="Collection 收款",'Daily Sale entry '!R1338="Cheque 支票",'Daily Sale entry '!V1338&lt;&gt;""),'Daily Sale entry '!V1338+ROW()/10000000,"")</f>
        <v/>
      </c>
      <c r="L2838" s="21">
        <f>IF(K2838="","",COUNTIF($K$2:$K$3001,"&lt;"&amp;K2838)+1)</f>
        <v/>
      </c>
    </row>
    <row r="2839">
      <c r="A2839" s="5">
        <f>IF($J2839="","",IF($J2839&lt;=1500,INDEX('Daily Sale entry '!$X$1:$X$1501,$J2839+1),INDEX('Daily Sale entry '!$V$1:$V$1501,$J2839-1499)))</f>
        <v/>
      </c>
      <c r="B2839">
        <f>IF($J2839="","",IF($J2839&lt;=1500,INDEX('Daily Sale entry '!$Y$1:$Y$1501,$J2839+1)&amp;"","Buyer cheque banked 买家支票存入"&amp;IF(INDEX('Daily Sale entry '!$U$1:$U$1501,$J2839-1499)="","", " - "&amp;INDEX('Daily Sale entry '!$U$1:$U$1501,$J2839-1499))))</f>
        <v/>
      </c>
      <c r="C2839">
        <f>IF($J2839="","",IF($J2839&lt;=1500,INDEX('Daily Sale entry '!$Z$1:$Z$1501,$J2839+1)&amp;"","Cheque deposit 支票存入 (buyer 买家)"))</f>
        <v/>
      </c>
      <c r="D2839">
        <f>IF($J2839="","",IF($J2839&lt;=1500,INDEX('Daily Sale entry '!$AA$1:$AA$1501,$J2839+1)&amp;"",INDEX('Daily Sale entry '!$P$1:$P$1501,$J2839-1499)&amp;""))</f>
        <v/>
      </c>
      <c r="E2839">
        <f>IF($J2839="","",IF($J2839&lt;=1500,IF(N(INDEX('Daily Sale entry '!$AB$1:$AB$1501,$J2839+1))=0,"",INDEX('Daily Sale entry '!$AB$1:$AB$1501,$J2839+1)),1))</f>
        <v/>
      </c>
      <c r="F2839" s="6">
        <f>IF($J2839="","",IF($J2839&lt;=1500,N(INDEX('Daily Sale entry '!$AC$1:$AC$1501,$J2839+1))-IF(AND('Opening Balance'!$B$15=1,INDEX('Daily Sale entry '!$Z$1:$Z$1501,$J2839+1)="Online collection 网上收款",INDEX('Daily Sale entry '!$AA$1:$AA$1501,$J2839+1)&lt;&gt;""),N(INDEX('Daily Sale entry '!$AC$1:$AC$1501,$J2839+1))-TRUNC(N(INDEX('Daily Sale entry '!$AC$1:$AC$1501,$J2839+1))),0),N(INDEX('Daily Sale entry '!$S$1:$S$1501,$J2839-1499))-'Opening Balance'!$B$15*(N(INDEX('Daily Sale entry '!$S$1:$S$1501,$J2839-1499))-TRUNC(N(INDEX('Daily Sale entry '!$S$1:$S$1501,$J2839-1499))))))</f>
        <v/>
      </c>
      <c r="G2839" s="6">
        <f>IF($J2839="","",IF($J2839&lt;=1500,N(INDEX('Daily Sale entry '!$AD$1:$AD$1501,$J2839+1)),0))</f>
        <v/>
      </c>
      <c r="H2839" s="6">
        <f>IF($J2839="","",ROUND('Opening Balance'!$B$4+SUM($F$2:F2839)-SUM($G$2:G2839),2))</f>
        <v/>
      </c>
      <c r="J2839" s="21">
        <f>IFERROR(MATCH(ROW()-1,$L$2:$L$3001,0),"")</f>
        <v/>
      </c>
      <c r="K2839" s="34">
        <f>IF(AND('Daily Sale entry '!Q1339="Collection 收款",'Daily Sale entry '!R1339="Cheque 支票",'Daily Sale entry '!V1339&lt;&gt;""),'Daily Sale entry '!V1339+ROW()/10000000,"")</f>
        <v/>
      </c>
      <c r="L2839" s="21">
        <f>IF(K2839="","",COUNTIF($K$2:$K$3001,"&lt;"&amp;K2839)+1)</f>
        <v/>
      </c>
    </row>
    <row r="2840">
      <c r="A2840" s="5">
        <f>IF($J2840="","",IF($J2840&lt;=1500,INDEX('Daily Sale entry '!$X$1:$X$1501,$J2840+1),INDEX('Daily Sale entry '!$V$1:$V$1501,$J2840-1499)))</f>
        <v/>
      </c>
      <c r="B2840">
        <f>IF($J2840="","",IF($J2840&lt;=1500,INDEX('Daily Sale entry '!$Y$1:$Y$1501,$J2840+1)&amp;"","Buyer cheque banked 买家支票存入"&amp;IF(INDEX('Daily Sale entry '!$U$1:$U$1501,$J2840-1499)="","", " - "&amp;INDEX('Daily Sale entry '!$U$1:$U$1501,$J2840-1499))))</f>
        <v/>
      </c>
      <c r="C2840">
        <f>IF($J2840="","",IF($J2840&lt;=1500,INDEX('Daily Sale entry '!$Z$1:$Z$1501,$J2840+1)&amp;"","Cheque deposit 支票存入 (buyer 买家)"))</f>
        <v/>
      </c>
      <c r="D2840">
        <f>IF($J2840="","",IF($J2840&lt;=1500,INDEX('Daily Sale entry '!$AA$1:$AA$1501,$J2840+1)&amp;"",INDEX('Daily Sale entry '!$P$1:$P$1501,$J2840-1499)&amp;""))</f>
        <v/>
      </c>
      <c r="E2840">
        <f>IF($J2840="","",IF($J2840&lt;=1500,IF(N(INDEX('Daily Sale entry '!$AB$1:$AB$1501,$J2840+1))=0,"",INDEX('Daily Sale entry '!$AB$1:$AB$1501,$J2840+1)),1))</f>
        <v/>
      </c>
      <c r="F2840" s="6">
        <f>IF($J2840="","",IF($J2840&lt;=1500,N(INDEX('Daily Sale entry '!$AC$1:$AC$1501,$J2840+1))-IF(AND('Opening Balance'!$B$15=1,INDEX('Daily Sale entry '!$Z$1:$Z$1501,$J2840+1)="Online collection 网上收款",INDEX('Daily Sale entry '!$AA$1:$AA$1501,$J2840+1)&lt;&gt;""),N(INDEX('Daily Sale entry '!$AC$1:$AC$1501,$J2840+1))-TRUNC(N(INDEX('Daily Sale entry '!$AC$1:$AC$1501,$J2840+1))),0),N(INDEX('Daily Sale entry '!$S$1:$S$1501,$J2840-1499))-'Opening Balance'!$B$15*(N(INDEX('Daily Sale entry '!$S$1:$S$1501,$J2840-1499))-TRUNC(N(INDEX('Daily Sale entry '!$S$1:$S$1501,$J2840-1499))))))</f>
        <v/>
      </c>
      <c r="G2840" s="6">
        <f>IF($J2840="","",IF($J2840&lt;=1500,N(INDEX('Daily Sale entry '!$AD$1:$AD$1501,$J2840+1)),0))</f>
        <v/>
      </c>
      <c r="H2840" s="6">
        <f>IF($J2840="","",ROUND('Opening Balance'!$B$4+SUM($F$2:F2840)-SUM($G$2:G2840),2))</f>
        <v/>
      </c>
      <c r="J2840" s="21">
        <f>IFERROR(MATCH(ROW()-1,$L$2:$L$3001,0),"")</f>
        <v/>
      </c>
      <c r="K2840" s="34">
        <f>IF(AND('Daily Sale entry '!Q1340="Collection 收款",'Daily Sale entry '!R1340="Cheque 支票",'Daily Sale entry '!V1340&lt;&gt;""),'Daily Sale entry '!V1340+ROW()/10000000,"")</f>
        <v/>
      </c>
      <c r="L2840" s="21">
        <f>IF(K2840="","",COUNTIF($K$2:$K$3001,"&lt;"&amp;K2840)+1)</f>
        <v/>
      </c>
    </row>
    <row r="2841">
      <c r="A2841" s="5">
        <f>IF($J2841="","",IF($J2841&lt;=1500,INDEX('Daily Sale entry '!$X$1:$X$1501,$J2841+1),INDEX('Daily Sale entry '!$V$1:$V$1501,$J2841-1499)))</f>
        <v/>
      </c>
      <c r="B2841">
        <f>IF($J2841="","",IF($J2841&lt;=1500,INDEX('Daily Sale entry '!$Y$1:$Y$1501,$J2841+1)&amp;"","Buyer cheque banked 买家支票存入"&amp;IF(INDEX('Daily Sale entry '!$U$1:$U$1501,$J2841-1499)="","", " - "&amp;INDEX('Daily Sale entry '!$U$1:$U$1501,$J2841-1499))))</f>
        <v/>
      </c>
      <c r="C2841">
        <f>IF($J2841="","",IF($J2841&lt;=1500,INDEX('Daily Sale entry '!$Z$1:$Z$1501,$J2841+1)&amp;"","Cheque deposit 支票存入 (buyer 买家)"))</f>
        <v/>
      </c>
      <c r="D2841">
        <f>IF($J2841="","",IF($J2841&lt;=1500,INDEX('Daily Sale entry '!$AA$1:$AA$1501,$J2841+1)&amp;"",INDEX('Daily Sale entry '!$P$1:$P$1501,$J2841-1499)&amp;""))</f>
        <v/>
      </c>
      <c r="E2841">
        <f>IF($J2841="","",IF($J2841&lt;=1500,IF(N(INDEX('Daily Sale entry '!$AB$1:$AB$1501,$J2841+1))=0,"",INDEX('Daily Sale entry '!$AB$1:$AB$1501,$J2841+1)),1))</f>
        <v/>
      </c>
      <c r="F2841" s="6">
        <f>IF($J2841="","",IF($J2841&lt;=1500,N(INDEX('Daily Sale entry '!$AC$1:$AC$1501,$J2841+1))-IF(AND('Opening Balance'!$B$15=1,INDEX('Daily Sale entry '!$Z$1:$Z$1501,$J2841+1)="Online collection 网上收款",INDEX('Daily Sale entry '!$AA$1:$AA$1501,$J2841+1)&lt;&gt;""),N(INDEX('Daily Sale entry '!$AC$1:$AC$1501,$J2841+1))-TRUNC(N(INDEX('Daily Sale entry '!$AC$1:$AC$1501,$J2841+1))),0),N(INDEX('Daily Sale entry '!$S$1:$S$1501,$J2841-1499))-'Opening Balance'!$B$15*(N(INDEX('Daily Sale entry '!$S$1:$S$1501,$J2841-1499))-TRUNC(N(INDEX('Daily Sale entry '!$S$1:$S$1501,$J2841-1499))))))</f>
        <v/>
      </c>
      <c r="G2841" s="6">
        <f>IF($J2841="","",IF($J2841&lt;=1500,N(INDEX('Daily Sale entry '!$AD$1:$AD$1501,$J2841+1)),0))</f>
        <v/>
      </c>
      <c r="H2841" s="6">
        <f>IF($J2841="","",ROUND('Opening Balance'!$B$4+SUM($F$2:F2841)-SUM($G$2:G2841),2))</f>
        <v/>
      </c>
      <c r="J2841" s="21">
        <f>IFERROR(MATCH(ROW()-1,$L$2:$L$3001,0),"")</f>
        <v/>
      </c>
      <c r="K2841" s="34">
        <f>IF(AND('Daily Sale entry '!Q1341="Collection 收款",'Daily Sale entry '!R1341="Cheque 支票",'Daily Sale entry '!V1341&lt;&gt;""),'Daily Sale entry '!V1341+ROW()/10000000,"")</f>
        <v/>
      </c>
      <c r="L2841" s="21">
        <f>IF(K2841="","",COUNTIF($K$2:$K$3001,"&lt;"&amp;K2841)+1)</f>
        <v/>
      </c>
    </row>
    <row r="2842">
      <c r="A2842" s="5">
        <f>IF($J2842="","",IF($J2842&lt;=1500,INDEX('Daily Sale entry '!$X$1:$X$1501,$J2842+1),INDEX('Daily Sale entry '!$V$1:$V$1501,$J2842-1499)))</f>
        <v/>
      </c>
      <c r="B2842">
        <f>IF($J2842="","",IF($J2842&lt;=1500,INDEX('Daily Sale entry '!$Y$1:$Y$1501,$J2842+1)&amp;"","Buyer cheque banked 买家支票存入"&amp;IF(INDEX('Daily Sale entry '!$U$1:$U$1501,$J2842-1499)="","", " - "&amp;INDEX('Daily Sale entry '!$U$1:$U$1501,$J2842-1499))))</f>
        <v/>
      </c>
      <c r="C2842">
        <f>IF($J2842="","",IF($J2842&lt;=1500,INDEX('Daily Sale entry '!$Z$1:$Z$1501,$J2842+1)&amp;"","Cheque deposit 支票存入 (buyer 买家)"))</f>
        <v/>
      </c>
      <c r="D2842">
        <f>IF($J2842="","",IF($J2842&lt;=1500,INDEX('Daily Sale entry '!$AA$1:$AA$1501,$J2842+1)&amp;"",INDEX('Daily Sale entry '!$P$1:$P$1501,$J2842-1499)&amp;""))</f>
        <v/>
      </c>
      <c r="E2842">
        <f>IF($J2842="","",IF($J2842&lt;=1500,IF(N(INDEX('Daily Sale entry '!$AB$1:$AB$1501,$J2842+1))=0,"",INDEX('Daily Sale entry '!$AB$1:$AB$1501,$J2842+1)),1))</f>
        <v/>
      </c>
      <c r="F2842" s="6">
        <f>IF($J2842="","",IF($J2842&lt;=1500,N(INDEX('Daily Sale entry '!$AC$1:$AC$1501,$J2842+1))-IF(AND('Opening Balance'!$B$15=1,INDEX('Daily Sale entry '!$Z$1:$Z$1501,$J2842+1)="Online collection 网上收款",INDEX('Daily Sale entry '!$AA$1:$AA$1501,$J2842+1)&lt;&gt;""),N(INDEX('Daily Sale entry '!$AC$1:$AC$1501,$J2842+1))-TRUNC(N(INDEX('Daily Sale entry '!$AC$1:$AC$1501,$J2842+1))),0),N(INDEX('Daily Sale entry '!$S$1:$S$1501,$J2842-1499))-'Opening Balance'!$B$15*(N(INDEX('Daily Sale entry '!$S$1:$S$1501,$J2842-1499))-TRUNC(N(INDEX('Daily Sale entry '!$S$1:$S$1501,$J2842-1499))))))</f>
        <v/>
      </c>
      <c r="G2842" s="6">
        <f>IF($J2842="","",IF($J2842&lt;=1500,N(INDEX('Daily Sale entry '!$AD$1:$AD$1501,$J2842+1)),0))</f>
        <v/>
      </c>
      <c r="H2842" s="6">
        <f>IF($J2842="","",ROUND('Opening Balance'!$B$4+SUM($F$2:F2842)-SUM($G$2:G2842),2))</f>
        <v/>
      </c>
      <c r="J2842" s="21">
        <f>IFERROR(MATCH(ROW()-1,$L$2:$L$3001,0),"")</f>
        <v/>
      </c>
      <c r="K2842" s="34">
        <f>IF(AND('Daily Sale entry '!Q1342="Collection 收款",'Daily Sale entry '!R1342="Cheque 支票",'Daily Sale entry '!V1342&lt;&gt;""),'Daily Sale entry '!V1342+ROW()/10000000,"")</f>
        <v/>
      </c>
      <c r="L2842" s="21">
        <f>IF(K2842="","",COUNTIF($K$2:$K$3001,"&lt;"&amp;K2842)+1)</f>
        <v/>
      </c>
    </row>
    <row r="2843">
      <c r="A2843" s="5">
        <f>IF($J2843="","",IF($J2843&lt;=1500,INDEX('Daily Sale entry '!$X$1:$X$1501,$J2843+1),INDEX('Daily Sale entry '!$V$1:$V$1501,$J2843-1499)))</f>
        <v/>
      </c>
      <c r="B2843">
        <f>IF($J2843="","",IF($J2843&lt;=1500,INDEX('Daily Sale entry '!$Y$1:$Y$1501,$J2843+1)&amp;"","Buyer cheque banked 买家支票存入"&amp;IF(INDEX('Daily Sale entry '!$U$1:$U$1501,$J2843-1499)="","", " - "&amp;INDEX('Daily Sale entry '!$U$1:$U$1501,$J2843-1499))))</f>
        <v/>
      </c>
      <c r="C2843">
        <f>IF($J2843="","",IF($J2843&lt;=1500,INDEX('Daily Sale entry '!$Z$1:$Z$1501,$J2843+1)&amp;"","Cheque deposit 支票存入 (buyer 买家)"))</f>
        <v/>
      </c>
      <c r="D2843">
        <f>IF($J2843="","",IF($J2843&lt;=1500,INDEX('Daily Sale entry '!$AA$1:$AA$1501,$J2843+1)&amp;"",INDEX('Daily Sale entry '!$P$1:$P$1501,$J2843-1499)&amp;""))</f>
        <v/>
      </c>
      <c r="E2843">
        <f>IF($J2843="","",IF($J2843&lt;=1500,IF(N(INDEX('Daily Sale entry '!$AB$1:$AB$1501,$J2843+1))=0,"",INDEX('Daily Sale entry '!$AB$1:$AB$1501,$J2843+1)),1))</f>
        <v/>
      </c>
      <c r="F2843" s="6">
        <f>IF($J2843="","",IF($J2843&lt;=1500,N(INDEX('Daily Sale entry '!$AC$1:$AC$1501,$J2843+1))-IF(AND('Opening Balance'!$B$15=1,INDEX('Daily Sale entry '!$Z$1:$Z$1501,$J2843+1)="Online collection 网上收款",INDEX('Daily Sale entry '!$AA$1:$AA$1501,$J2843+1)&lt;&gt;""),N(INDEX('Daily Sale entry '!$AC$1:$AC$1501,$J2843+1))-TRUNC(N(INDEX('Daily Sale entry '!$AC$1:$AC$1501,$J2843+1))),0),N(INDEX('Daily Sale entry '!$S$1:$S$1501,$J2843-1499))-'Opening Balance'!$B$15*(N(INDEX('Daily Sale entry '!$S$1:$S$1501,$J2843-1499))-TRUNC(N(INDEX('Daily Sale entry '!$S$1:$S$1501,$J2843-1499))))))</f>
        <v/>
      </c>
      <c r="G2843" s="6">
        <f>IF($J2843="","",IF($J2843&lt;=1500,N(INDEX('Daily Sale entry '!$AD$1:$AD$1501,$J2843+1)),0))</f>
        <v/>
      </c>
      <c r="H2843" s="6">
        <f>IF($J2843="","",ROUND('Opening Balance'!$B$4+SUM($F$2:F2843)-SUM($G$2:G2843),2))</f>
        <v/>
      </c>
      <c r="J2843" s="21">
        <f>IFERROR(MATCH(ROW()-1,$L$2:$L$3001,0),"")</f>
        <v/>
      </c>
      <c r="K2843" s="34">
        <f>IF(AND('Daily Sale entry '!Q1343="Collection 收款",'Daily Sale entry '!R1343="Cheque 支票",'Daily Sale entry '!V1343&lt;&gt;""),'Daily Sale entry '!V1343+ROW()/10000000,"")</f>
        <v/>
      </c>
      <c r="L2843" s="21">
        <f>IF(K2843="","",COUNTIF($K$2:$K$3001,"&lt;"&amp;K2843)+1)</f>
        <v/>
      </c>
    </row>
    <row r="2844">
      <c r="A2844" s="5">
        <f>IF($J2844="","",IF($J2844&lt;=1500,INDEX('Daily Sale entry '!$X$1:$X$1501,$J2844+1),INDEX('Daily Sale entry '!$V$1:$V$1501,$J2844-1499)))</f>
        <v/>
      </c>
      <c r="B2844">
        <f>IF($J2844="","",IF($J2844&lt;=1500,INDEX('Daily Sale entry '!$Y$1:$Y$1501,$J2844+1)&amp;"","Buyer cheque banked 买家支票存入"&amp;IF(INDEX('Daily Sale entry '!$U$1:$U$1501,$J2844-1499)="","", " - "&amp;INDEX('Daily Sale entry '!$U$1:$U$1501,$J2844-1499))))</f>
        <v/>
      </c>
      <c r="C2844">
        <f>IF($J2844="","",IF($J2844&lt;=1500,INDEX('Daily Sale entry '!$Z$1:$Z$1501,$J2844+1)&amp;"","Cheque deposit 支票存入 (buyer 买家)"))</f>
        <v/>
      </c>
      <c r="D2844">
        <f>IF($J2844="","",IF($J2844&lt;=1500,INDEX('Daily Sale entry '!$AA$1:$AA$1501,$J2844+1)&amp;"",INDEX('Daily Sale entry '!$P$1:$P$1501,$J2844-1499)&amp;""))</f>
        <v/>
      </c>
      <c r="E2844">
        <f>IF($J2844="","",IF($J2844&lt;=1500,IF(N(INDEX('Daily Sale entry '!$AB$1:$AB$1501,$J2844+1))=0,"",INDEX('Daily Sale entry '!$AB$1:$AB$1501,$J2844+1)),1))</f>
        <v/>
      </c>
      <c r="F2844" s="6">
        <f>IF($J2844="","",IF($J2844&lt;=1500,N(INDEX('Daily Sale entry '!$AC$1:$AC$1501,$J2844+1))-IF(AND('Opening Balance'!$B$15=1,INDEX('Daily Sale entry '!$Z$1:$Z$1501,$J2844+1)="Online collection 网上收款",INDEX('Daily Sale entry '!$AA$1:$AA$1501,$J2844+1)&lt;&gt;""),N(INDEX('Daily Sale entry '!$AC$1:$AC$1501,$J2844+1))-TRUNC(N(INDEX('Daily Sale entry '!$AC$1:$AC$1501,$J2844+1))),0),N(INDEX('Daily Sale entry '!$S$1:$S$1501,$J2844-1499))-'Opening Balance'!$B$15*(N(INDEX('Daily Sale entry '!$S$1:$S$1501,$J2844-1499))-TRUNC(N(INDEX('Daily Sale entry '!$S$1:$S$1501,$J2844-1499))))))</f>
        <v/>
      </c>
      <c r="G2844" s="6">
        <f>IF($J2844="","",IF($J2844&lt;=1500,N(INDEX('Daily Sale entry '!$AD$1:$AD$1501,$J2844+1)),0))</f>
        <v/>
      </c>
      <c r="H2844" s="6">
        <f>IF($J2844="","",ROUND('Opening Balance'!$B$4+SUM($F$2:F2844)-SUM($G$2:G2844),2))</f>
        <v/>
      </c>
      <c r="J2844" s="21">
        <f>IFERROR(MATCH(ROW()-1,$L$2:$L$3001,0),"")</f>
        <v/>
      </c>
      <c r="K2844" s="34">
        <f>IF(AND('Daily Sale entry '!Q1344="Collection 收款",'Daily Sale entry '!R1344="Cheque 支票",'Daily Sale entry '!V1344&lt;&gt;""),'Daily Sale entry '!V1344+ROW()/10000000,"")</f>
        <v/>
      </c>
      <c r="L2844" s="21">
        <f>IF(K2844="","",COUNTIF($K$2:$K$3001,"&lt;"&amp;K2844)+1)</f>
        <v/>
      </c>
    </row>
    <row r="2845">
      <c r="A2845" s="5">
        <f>IF($J2845="","",IF($J2845&lt;=1500,INDEX('Daily Sale entry '!$X$1:$X$1501,$J2845+1),INDEX('Daily Sale entry '!$V$1:$V$1501,$J2845-1499)))</f>
        <v/>
      </c>
      <c r="B2845">
        <f>IF($J2845="","",IF($J2845&lt;=1500,INDEX('Daily Sale entry '!$Y$1:$Y$1501,$J2845+1)&amp;"","Buyer cheque banked 买家支票存入"&amp;IF(INDEX('Daily Sale entry '!$U$1:$U$1501,$J2845-1499)="","", " - "&amp;INDEX('Daily Sale entry '!$U$1:$U$1501,$J2845-1499))))</f>
        <v/>
      </c>
      <c r="C2845">
        <f>IF($J2845="","",IF($J2845&lt;=1500,INDEX('Daily Sale entry '!$Z$1:$Z$1501,$J2845+1)&amp;"","Cheque deposit 支票存入 (buyer 买家)"))</f>
        <v/>
      </c>
      <c r="D2845">
        <f>IF($J2845="","",IF($J2845&lt;=1500,INDEX('Daily Sale entry '!$AA$1:$AA$1501,$J2845+1)&amp;"",INDEX('Daily Sale entry '!$P$1:$P$1501,$J2845-1499)&amp;""))</f>
        <v/>
      </c>
      <c r="E2845">
        <f>IF($J2845="","",IF($J2845&lt;=1500,IF(N(INDEX('Daily Sale entry '!$AB$1:$AB$1501,$J2845+1))=0,"",INDEX('Daily Sale entry '!$AB$1:$AB$1501,$J2845+1)),1))</f>
        <v/>
      </c>
      <c r="F2845" s="6">
        <f>IF($J2845="","",IF($J2845&lt;=1500,N(INDEX('Daily Sale entry '!$AC$1:$AC$1501,$J2845+1))-IF(AND('Opening Balance'!$B$15=1,INDEX('Daily Sale entry '!$Z$1:$Z$1501,$J2845+1)="Online collection 网上收款",INDEX('Daily Sale entry '!$AA$1:$AA$1501,$J2845+1)&lt;&gt;""),N(INDEX('Daily Sale entry '!$AC$1:$AC$1501,$J2845+1))-TRUNC(N(INDEX('Daily Sale entry '!$AC$1:$AC$1501,$J2845+1))),0),N(INDEX('Daily Sale entry '!$S$1:$S$1501,$J2845-1499))-'Opening Balance'!$B$15*(N(INDEX('Daily Sale entry '!$S$1:$S$1501,$J2845-1499))-TRUNC(N(INDEX('Daily Sale entry '!$S$1:$S$1501,$J2845-1499))))))</f>
        <v/>
      </c>
      <c r="G2845" s="6">
        <f>IF($J2845="","",IF($J2845&lt;=1500,N(INDEX('Daily Sale entry '!$AD$1:$AD$1501,$J2845+1)),0))</f>
        <v/>
      </c>
      <c r="H2845" s="6">
        <f>IF($J2845="","",ROUND('Opening Balance'!$B$4+SUM($F$2:F2845)-SUM($G$2:G2845),2))</f>
        <v/>
      </c>
      <c r="J2845" s="21">
        <f>IFERROR(MATCH(ROW()-1,$L$2:$L$3001,0),"")</f>
        <v/>
      </c>
      <c r="K2845" s="34">
        <f>IF(AND('Daily Sale entry '!Q1345="Collection 收款",'Daily Sale entry '!R1345="Cheque 支票",'Daily Sale entry '!V1345&lt;&gt;""),'Daily Sale entry '!V1345+ROW()/10000000,"")</f>
        <v/>
      </c>
      <c r="L2845" s="21">
        <f>IF(K2845="","",COUNTIF($K$2:$K$3001,"&lt;"&amp;K2845)+1)</f>
        <v/>
      </c>
    </row>
    <row r="2846">
      <c r="A2846" s="5">
        <f>IF($J2846="","",IF($J2846&lt;=1500,INDEX('Daily Sale entry '!$X$1:$X$1501,$J2846+1),INDEX('Daily Sale entry '!$V$1:$V$1501,$J2846-1499)))</f>
        <v/>
      </c>
      <c r="B2846">
        <f>IF($J2846="","",IF($J2846&lt;=1500,INDEX('Daily Sale entry '!$Y$1:$Y$1501,$J2846+1)&amp;"","Buyer cheque banked 买家支票存入"&amp;IF(INDEX('Daily Sale entry '!$U$1:$U$1501,$J2846-1499)="","", " - "&amp;INDEX('Daily Sale entry '!$U$1:$U$1501,$J2846-1499))))</f>
        <v/>
      </c>
      <c r="C2846">
        <f>IF($J2846="","",IF($J2846&lt;=1500,INDEX('Daily Sale entry '!$Z$1:$Z$1501,$J2846+1)&amp;"","Cheque deposit 支票存入 (buyer 买家)"))</f>
        <v/>
      </c>
      <c r="D2846">
        <f>IF($J2846="","",IF($J2846&lt;=1500,INDEX('Daily Sale entry '!$AA$1:$AA$1501,$J2846+1)&amp;"",INDEX('Daily Sale entry '!$P$1:$P$1501,$J2846-1499)&amp;""))</f>
        <v/>
      </c>
      <c r="E2846">
        <f>IF($J2846="","",IF($J2846&lt;=1500,IF(N(INDEX('Daily Sale entry '!$AB$1:$AB$1501,$J2846+1))=0,"",INDEX('Daily Sale entry '!$AB$1:$AB$1501,$J2846+1)),1))</f>
        <v/>
      </c>
      <c r="F2846" s="6">
        <f>IF($J2846="","",IF($J2846&lt;=1500,N(INDEX('Daily Sale entry '!$AC$1:$AC$1501,$J2846+1))-IF(AND('Opening Balance'!$B$15=1,INDEX('Daily Sale entry '!$Z$1:$Z$1501,$J2846+1)="Online collection 网上收款",INDEX('Daily Sale entry '!$AA$1:$AA$1501,$J2846+1)&lt;&gt;""),N(INDEX('Daily Sale entry '!$AC$1:$AC$1501,$J2846+1))-TRUNC(N(INDEX('Daily Sale entry '!$AC$1:$AC$1501,$J2846+1))),0),N(INDEX('Daily Sale entry '!$S$1:$S$1501,$J2846-1499))-'Opening Balance'!$B$15*(N(INDEX('Daily Sale entry '!$S$1:$S$1501,$J2846-1499))-TRUNC(N(INDEX('Daily Sale entry '!$S$1:$S$1501,$J2846-1499))))))</f>
        <v/>
      </c>
      <c r="G2846" s="6">
        <f>IF($J2846="","",IF($J2846&lt;=1500,N(INDEX('Daily Sale entry '!$AD$1:$AD$1501,$J2846+1)),0))</f>
        <v/>
      </c>
      <c r="H2846" s="6">
        <f>IF($J2846="","",ROUND('Opening Balance'!$B$4+SUM($F$2:F2846)-SUM($G$2:G2846),2))</f>
        <v/>
      </c>
      <c r="J2846" s="21">
        <f>IFERROR(MATCH(ROW()-1,$L$2:$L$3001,0),"")</f>
        <v/>
      </c>
      <c r="K2846" s="34">
        <f>IF(AND('Daily Sale entry '!Q1346="Collection 收款",'Daily Sale entry '!R1346="Cheque 支票",'Daily Sale entry '!V1346&lt;&gt;""),'Daily Sale entry '!V1346+ROW()/10000000,"")</f>
        <v/>
      </c>
      <c r="L2846" s="21">
        <f>IF(K2846="","",COUNTIF($K$2:$K$3001,"&lt;"&amp;K2846)+1)</f>
        <v/>
      </c>
    </row>
    <row r="2847">
      <c r="A2847" s="5">
        <f>IF($J2847="","",IF($J2847&lt;=1500,INDEX('Daily Sale entry '!$X$1:$X$1501,$J2847+1),INDEX('Daily Sale entry '!$V$1:$V$1501,$J2847-1499)))</f>
        <v/>
      </c>
      <c r="B2847">
        <f>IF($J2847="","",IF($J2847&lt;=1500,INDEX('Daily Sale entry '!$Y$1:$Y$1501,$J2847+1)&amp;"","Buyer cheque banked 买家支票存入"&amp;IF(INDEX('Daily Sale entry '!$U$1:$U$1501,$J2847-1499)="","", " - "&amp;INDEX('Daily Sale entry '!$U$1:$U$1501,$J2847-1499))))</f>
        <v/>
      </c>
      <c r="C2847">
        <f>IF($J2847="","",IF($J2847&lt;=1500,INDEX('Daily Sale entry '!$Z$1:$Z$1501,$J2847+1)&amp;"","Cheque deposit 支票存入 (buyer 买家)"))</f>
        <v/>
      </c>
      <c r="D2847">
        <f>IF($J2847="","",IF($J2847&lt;=1500,INDEX('Daily Sale entry '!$AA$1:$AA$1501,$J2847+1)&amp;"",INDEX('Daily Sale entry '!$P$1:$P$1501,$J2847-1499)&amp;""))</f>
        <v/>
      </c>
      <c r="E2847">
        <f>IF($J2847="","",IF($J2847&lt;=1500,IF(N(INDEX('Daily Sale entry '!$AB$1:$AB$1501,$J2847+1))=0,"",INDEX('Daily Sale entry '!$AB$1:$AB$1501,$J2847+1)),1))</f>
        <v/>
      </c>
      <c r="F2847" s="6">
        <f>IF($J2847="","",IF($J2847&lt;=1500,N(INDEX('Daily Sale entry '!$AC$1:$AC$1501,$J2847+1))-IF(AND('Opening Balance'!$B$15=1,INDEX('Daily Sale entry '!$Z$1:$Z$1501,$J2847+1)="Online collection 网上收款",INDEX('Daily Sale entry '!$AA$1:$AA$1501,$J2847+1)&lt;&gt;""),N(INDEX('Daily Sale entry '!$AC$1:$AC$1501,$J2847+1))-TRUNC(N(INDEX('Daily Sale entry '!$AC$1:$AC$1501,$J2847+1))),0),N(INDEX('Daily Sale entry '!$S$1:$S$1501,$J2847-1499))-'Opening Balance'!$B$15*(N(INDEX('Daily Sale entry '!$S$1:$S$1501,$J2847-1499))-TRUNC(N(INDEX('Daily Sale entry '!$S$1:$S$1501,$J2847-1499))))))</f>
        <v/>
      </c>
      <c r="G2847" s="6">
        <f>IF($J2847="","",IF($J2847&lt;=1500,N(INDEX('Daily Sale entry '!$AD$1:$AD$1501,$J2847+1)),0))</f>
        <v/>
      </c>
      <c r="H2847" s="6">
        <f>IF($J2847="","",ROUND('Opening Balance'!$B$4+SUM($F$2:F2847)-SUM($G$2:G2847),2))</f>
        <v/>
      </c>
      <c r="J2847" s="21">
        <f>IFERROR(MATCH(ROW()-1,$L$2:$L$3001,0),"")</f>
        <v/>
      </c>
      <c r="K2847" s="34">
        <f>IF(AND('Daily Sale entry '!Q1347="Collection 收款",'Daily Sale entry '!R1347="Cheque 支票",'Daily Sale entry '!V1347&lt;&gt;""),'Daily Sale entry '!V1347+ROW()/10000000,"")</f>
        <v/>
      </c>
      <c r="L2847" s="21">
        <f>IF(K2847="","",COUNTIF($K$2:$K$3001,"&lt;"&amp;K2847)+1)</f>
        <v/>
      </c>
    </row>
    <row r="2848">
      <c r="A2848" s="5">
        <f>IF($J2848="","",IF($J2848&lt;=1500,INDEX('Daily Sale entry '!$X$1:$X$1501,$J2848+1),INDEX('Daily Sale entry '!$V$1:$V$1501,$J2848-1499)))</f>
        <v/>
      </c>
      <c r="B2848">
        <f>IF($J2848="","",IF($J2848&lt;=1500,INDEX('Daily Sale entry '!$Y$1:$Y$1501,$J2848+1)&amp;"","Buyer cheque banked 买家支票存入"&amp;IF(INDEX('Daily Sale entry '!$U$1:$U$1501,$J2848-1499)="","", " - "&amp;INDEX('Daily Sale entry '!$U$1:$U$1501,$J2848-1499))))</f>
        <v/>
      </c>
      <c r="C2848">
        <f>IF($J2848="","",IF($J2848&lt;=1500,INDEX('Daily Sale entry '!$Z$1:$Z$1501,$J2848+1)&amp;"","Cheque deposit 支票存入 (buyer 买家)"))</f>
        <v/>
      </c>
      <c r="D2848">
        <f>IF($J2848="","",IF($J2848&lt;=1500,INDEX('Daily Sale entry '!$AA$1:$AA$1501,$J2848+1)&amp;"",INDEX('Daily Sale entry '!$P$1:$P$1501,$J2848-1499)&amp;""))</f>
        <v/>
      </c>
      <c r="E2848">
        <f>IF($J2848="","",IF($J2848&lt;=1500,IF(N(INDEX('Daily Sale entry '!$AB$1:$AB$1501,$J2848+1))=0,"",INDEX('Daily Sale entry '!$AB$1:$AB$1501,$J2848+1)),1))</f>
        <v/>
      </c>
      <c r="F2848" s="6">
        <f>IF($J2848="","",IF($J2848&lt;=1500,N(INDEX('Daily Sale entry '!$AC$1:$AC$1501,$J2848+1))-IF(AND('Opening Balance'!$B$15=1,INDEX('Daily Sale entry '!$Z$1:$Z$1501,$J2848+1)="Online collection 网上收款",INDEX('Daily Sale entry '!$AA$1:$AA$1501,$J2848+1)&lt;&gt;""),N(INDEX('Daily Sale entry '!$AC$1:$AC$1501,$J2848+1))-TRUNC(N(INDEX('Daily Sale entry '!$AC$1:$AC$1501,$J2848+1))),0),N(INDEX('Daily Sale entry '!$S$1:$S$1501,$J2848-1499))-'Opening Balance'!$B$15*(N(INDEX('Daily Sale entry '!$S$1:$S$1501,$J2848-1499))-TRUNC(N(INDEX('Daily Sale entry '!$S$1:$S$1501,$J2848-1499))))))</f>
        <v/>
      </c>
      <c r="G2848" s="6">
        <f>IF($J2848="","",IF($J2848&lt;=1500,N(INDEX('Daily Sale entry '!$AD$1:$AD$1501,$J2848+1)),0))</f>
        <v/>
      </c>
      <c r="H2848" s="6">
        <f>IF($J2848="","",ROUND('Opening Balance'!$B$4+SUM($F$2:F2848)-SUM($G$2:G2848),2))</f>
        <v/>
      </c>
      <c r="J2848" s="21">
        <f>IFERROR(MATCH(ROW()-1,$L$2:$L$3001,0),"")</f>
        <v/>
      </c>
      <c r="K2848" s="34">
        <f>IF(AND('Daily Sale entry '!Q1348="Collection 收款",'Daily Sale entry '!R1348="Cheque 支票",'Daily Sale entry '!V1348&lt;&gt;""),'Daily Sale entry '!V1348+ROW()/10000000,"")</f>
        <v/>
      </c>
      <c r="L2848" s="21">
        <f>IF(K2848="","",COUNTIF($K$2:$K$3001,"&lt;"&amp;K2848)+1)</f>
        <v/>
      </c>
    </row>
    <row r="2849">
      <c r="A2849" s="5">
        <f>IF($J2849="","",IF($J2849&lt;=1500,INDEX('Daily Sale entry '!$X$1:$X$1501,$J2849+1),INDEX('Daily Sale entry '!$V$1:$V$1501,$J2849-1499)))</f>
        <v/>
      </c>
      <c r="B2849">
        <f>IF($J2849="","",IF($J2849&lt;=1500,INDEX('Daily Sale entry '!$Y$1:$Y$1501,$J2849+1)&amp;"","Buyer cheque banked 买家支票存入"&amp;IF(INDEX('Daily Sale entry '!$U$1:$U$1501,$J2849-1499)="","", " - "&amp;INDEX('Daily Sale entry '!$U$1:$U$1501,$J2849-1499))))</f>
        <v/>
      </c>
      <c r="C2849">
        <f>IF($J2849="","",IF($J2849&lt;=1500,INDEX('Daily Sale entry '!$Z$1:$Z$1501,$J2849+1)&amp;"","Cheque deposit 支票存入 (buyer 买家)"))</f>
        <v/>
      </c>
      <c r="D2849">
        <f>IF($J2849="","",IF($J2849&lt;=1500,INDEX('Daily Sale entry '!$AA$1:$AA$1501,$J2849+1)&amp;"",INDEX('Daily Sale entry '!$P$1:$P$1501,$J2849-1499)&amp;""))</f>
        <v/>
      </c>
      <c r="E2849">
        <f>IF($J2849="","",IF($J2849&lt;=1500,IF(N(INDEX('Daily Sale entry '!$AB$1:$AB$1501,$J2849+1))=0,"",INDEX('Daily Sale entry '!$AB$1:$AB$1501,$J2849+1)),1))</f>
        <v/>
      </c>
      <c r="F2849" s="6">
        <f>IF($J2849="","",IF($J2849&lt;=1500,N(INDEX('Daily Sale entry '!$AC$1:$AC$1501,$J2849+1))-IF(AND('Opening Balance'!$B$15=1,INDEX('Daily Sale entry '!$Z$1:$Z$1501,$J2849+1)="Online collection 网上收款",INDEX('Daily Sale entry '!$AA$1:$AA$1501,$J2849+1)&lt;&gt;""),N(INDEX('Daily Sale entry '!$AC$1:$AC$1501,$J2849+1))-TRUNC(N(INDEX('Daily Sale entry '!$AC$1:$AC$1501,$J2849+1))),0),N(INDEX('Daily Sale entry '!$S$1:$S$1501,$J2849-1499))-'Opening Balance'!$B$15*(N(INDEX('Daily Sale entry '!$S$1:$S$1501,$J2849-1499))-TRUNC(N(INDEX('Daily Sale entry '!$S$1:$S$1501,$J2849-1499))))))</f>
        <v/>
      </c>
      <c r="G2849" s="6">
        <f>IF($J2849="","",IF($J2849&lt;=1500,N(INDEX('Daily Sale entry '!$AD$1:$AD$1501,$J2849+1)),0))</f>
        <v/>
      </c>
      <c r="H2849" s="6">
        <f>IF($J2849="","",ROUND('Opening Balance'!$B$4+SUM($F$2:F2849)-SUM($G$2:G2849),2))</f>
        <v/>
      </c>
      <c r="J2849" s="21">
        <f>IFERROR(MATCH(ROW()-1,$L$2:$L$3001,0),"")</f>
        <v/>
      </c>
      <c r="K2849" s="34">
        <f>IF(AND('Daily Sale entry '!Q1349="Collection 收款",'Daily Sale entry '!R1349="Cheque 支票",'Daily Sale entry '!V1349&lt;&gt;""),'Daily Sale entry '!V1349+ROW()/10000000,"")</f>
        <v/>
      </c>
      <c r="L2849" s="21">
        <f>IF(K2849="","",COUNTIF($K$2:$K$3001,"&lt;"&amp;K2849)+1)</f>
        <v/>
      </c>
    </row>
    <row r="2850">
      <c r="A2850" s="5">
        <f>IF($J2850="","",IF($J2850&lt;=1500,INDEX('Daily Sale entry '!$X$1:$X$1501,$J2850+1),INDEX('Daily Sale entry '!$V$1:$V$1501,$J2850-1499)))</f>
        <v/>
      </c>
      <c r="B2850">
        <f>IF($J2850="","",IF($J2850&lt;=1500,INDEX('Daily Sale entry '!$Y$1:$Y$1501,$J2850+1)&amp;"","Buyer cheque banked 买家支票存入"&amp;IF(INDEX('Daily Sale entry '!$U$1:$U$1501,$J2850-1499)="","", " - "&amp;INDEX('Daily Sale entry '!$U$1:$U$1501,$J2850-1499))))</f>
        <v/>
      </c>
      <c r="C2850">
        <f>IF($J2850="","",IF($J2850&lt;=1500,INDEX('Daily Sale entry '!$Z$1:$Z$1501,$J2850+1)&amp;"","Cheque deposit 支票存入 (buyer 买家)"))</f>
        <v/>
      </c>
      <c r="D2850">
        <f>IF($J2850="","",IF($J2850&lt;=1500,INDEX('Daily Sale entry '!$AA$1:$AA$1501,$J2850+1)&amp;"",INDEX('Daily Sale entry '!$P$1:$P$1501,$J2850-1499)&amp;""))</f>
        <v/>
      </c>
      <c r="E2850">
        <f>IF($J2850="","",IF($J2850&lt;=1500,IF(N(INDEX('Daily Sale entry '!$AB$1:$AB$1501,$J2850+1))=0,"",INDEX('Daily Sale entry '!$AB$1:$AB$1501,$J2850+1)),1))</f>
        <v/>
      </c>
      <c r="F2850" s="6">
        <f>IF($J2850="","",IF($J2850&lt;=1500,N(INDEX('Daily Sale entry '!$AC$1:$AC$1501,$J2850+1))-IF(AND('Opening Balance'!$B$15=1,INDEX('Daily Sale entry '!$Z$1:$Z$1501,$J2850+1)="Online collection 网上收款",INDEX('Daily Sale entry '!$AA$1:$AA$1501,$J2850+1)&lt;&gt;""),N(INDEX('Daily Sale entry '!$AC$1:$AC$1501,$J2850+1))-TRUNC(N(INDEX('Daily Sale entry '!$AC$1:$AC$1501,$J2850+1))),0),N(INDEX('Daily Sale entry '!$S$1:$S$1501,$J2850-1499))-'Opening Balance'!$B$15*(N(INDEX('Daily Sale entry '!$S$1:$S$1501,$J2850-1499))-TRUNC(N(INDEX('Daily Sale entry '!$S$1:$S$1501,$J2850-1499))))))</f>
        <v/>
      </c>
      <c r="G2850" s="6">
        <f>IF($J2850="","",IF($J2850&lt;=1500,N(INDEX('Daily Sale entry '!$AD$1:$AD$1501,$J2850+1)),0))</f>
        <v/>
      </c>
      <c r="H2850" s="6">
        <f>IF($J2850="","",ROUND('Opening Balance'!$B$4+SUM($F$2:F2850)-SUM($G$2:G2850),2))</f>
        <v/>
      </c>
      <c r="J2850" s="21">
        <f>IFERROR(MATCH(ROW()-1,$L$2:$L$3001,0),"")</f>
        <v/>
      </c>
      <c r="K2850" s="34">
        <f>IF(AND('Daily Sale entry '!Q1350="Collection 收款",'Daily Sale entry '!R1350="Cheque 支票",'Daily Sale entry '!V1350&lt;&gt;""),'Daily Sale entry '!V1350+ROW()/10000000,"")</f>
        <v/>
      </c>
      <c r="L2850" s="21">
        <f>IF(K2850="","",COUNTIF($K$2:$K$3001,"&lt;"&amp;K2850)+1)</f>
        <v/>
      </c>
    </row>
    <row r="2851">
      <c r="A2851" s="5">
        <f>IF($J2851="","",IF($J2851&lt;=1500,INDEX('Daily Sale entry '!$X$1:$X$1501,$J2851+1),INDEX('Daily Sale entry '!$V$1:$V$1501,$J2851-1499)))</f>
        <v/>
      </c>
      <c r="B2851">
        <f>IF($J2851="","",IF($J2851&lt;=1500,INDEX('Daily Sale entry '!$Y$1:$Y$1501,$J2851+1)&amp;"","Buyer cheque banked 买家支票存入"&amp;IF(INDEX('Daily Sale entry '!$U$1:$U$1501,$J2851-1499)="","", " - "&amp;INDEX('Daily Sale entry '!$U$1:$U$1501,$J2851-1499))))</f>
        <v/>
      </c>
      <c r="C2851">
        <f>IF($J2851="","",IF($J2851&lt;=1500,INDEX('Daily Sale entry '!$Z$1:$Z$1501,$J2851+1)&amp;"","Cheque deposit 支票存入 (buyer 买家)"))</f>
        <v/>
      </c>
      <c r="D2851">
        <f>IF($J2851="","",IF($J2851&lt;=1500,INDEX('Daily Sale entry '!$AA$1:$AA$1501,$J2851+1)&amp;"",INDEX('Daily Sale entry '!$P$1:$P$1501,$J2851-1499)&amp;""))</f>
        <v/>
      </c>
      <c r="E2851">
        <f>IF($J2851="","",IF($J2851&lt;=1500,IF(N(INDEX('Daily Sale entry '!$AB$1:$AB$1501,$J2851+1))=0,"",INDEX('Daily Sale entry '!$AB$1:$AB$1501,$J2851+1)),1))</f>
        <v/>
      </c>
      <c r="F2851" s="6">
        <f>IF($J2851="","",IF($J2851&lt;=1500,N(INDEX('Daily Sale entry '!$AC$1:$AC$1501,$J2851+1))-IF(AND('Opening Balance'!$B$15=1,INDEX('Daily Sale entry '!$Z$1:$Z$1501,$J2851+1)="Online collection 网上收款",INDEX('Daily Sale entry '!$AA$1:$AA$1501,$J2851+1)&lt;&gt;""),N(INDEX('Daily Sale entry '!$AC$1:$AC$1501,$J2851+1))-TRUNC(N(INDEX('Daily Sale entry '!$AC$1:$AC$1501,$J2851+1))),0),N(INDEX('Daily Sale entry '!$S$1:$S$1501,$J2851-1499))-'Opening Balance'!$B$15*(N(INDEX('Daily Sale entry '!$S$1:$S$1501,$J2851-1499))-TRUNC(N(INDEX('Daily Sale entry '!$S$1:$S$1501,$J2851-1499))))))</f>
        <v/>
      </c>
      <c r="G2851" s="6">
        <f>IF($J2851="","",IF($J2851&lt;=1500,N(INDEX('Daily Sale entry '!$AD$1:$AD$1501,$J2851+1)),0))</f>
        <v/>
      </c>
      <c r="H2851" s="6">
        <f>IF($J2851="","",ROUND('Opening Balance'!$B$4+SUM($F$2:F2851)-SUM($G$2:G2851),2))</f>
        <v/>
      </c>
      <c r="J2851" s="21">
        <f>IFERROR(MATCH(ROW()-1,$L$2:$L$3001,0),"")</f>
        <v/>
      </c>
      <c r="K2851" s="34">
        <f>IF(AND('Daily Sale entry '!Q1351="Collection 收款",'Daily Sale entry '!R1351="Cheque 支票",'Daily Sale entry '!V1351&lt;&gt;""),'Daily Sale entry '!V1351+ROW()/10000000,"")</f>
        <v/>
      </c>
      <c r="L2851" s="21">
        <f>IF(K2851="","",COUNTIF($K$2:$K$3001,"&lt;"&amp;K2851)+1)</f>
        <v/>
      </c>
    </row>
    <row r="2852">
      <c r="A2852" s="5">
        <f>IF($J2852="","",IF($J2852&lt;=1500,INDEX('Daily Sale entry '!$X$1:$X$1501,$J2852+1),INDEX('Daily Sale entry '!$V$1:$V$1501,$J2852-1499)))</f>
        <v/>
      </c>
      <c r="B2852">
        <f>IF($J2852="","",IF($J2852&lt;=1500,INDEX('Daily Sale entry '!$Y$1:$Y$1501,$J2852+1)&amp;"","Buyer cheque banked 买家支票存入"&amp;IF(INDEX('Daily Sale entry '!$U$1:$U$1501,$J2852-1499)="","", " - "&amp;INDEX('Daily Sale entry '!$U$1:$U$1501,$J2852-1499))))</f>
        <v/>
      </c>
      <c r="C2852">
        <f>IF($J2852="","",IF($J2852&lt;=1500,INDEX('Daily Sale entry '!$Z$1:$Z$1501,$J2852+1)&amp;"","Cheque deposit 支票存入 (buyer 买家)"))</f>
        <v/>
      </c>
      <c r="D2852">
        <f>IF($J2852="","",IF($J2852&lt;=1500,INDEX('Daily Sale entry '!$AA$1:$AA$1501,$J2852+1)&amp;"",INDEX('Daily Sale entry '!$P$1:$P$1501,$J2852-1499)&amp;""))</f>
        <v/>
      </c>
      <c r="E2852">
        <f>IF($J2852="","",IF($J2852&lt;=1500,IF(N(INDEX('Daily Sale entry '!$AB$1:$AB$1501,$J2852+1))=0,"",INDEX('Daily Sale entry '!$AB$1:$AB$1501,$J2852+1)),1))</f>
        <v/>
      </c>
      <c r="F2852" s="6">
        <f>IF($J2852="","",IF($J2852&lt;=1500,N(INDEX('Daily Sale entry '!$AC$1:$AC$1501,$J2852+1))-IF(AND('Opening Balance'!$B$15=1,INDEX('Daily Sale entry '!$Z$1:$Z$1501,$J2852+1)="Online collection 网上收款",INDEX('Daily Sale entry '!$AA$1:$AA$1501,$J2852+1)&lt;&gt;""),N(INDEX('Daily Sale entry '!$AC$1:$AC$1501,$J2852+1))-TRUNC(N(INDEX('Daily Sale entry '!$AC$1:$AC$1501,$J2852+1))),0),N(INDEX('Daily Sale entry '!$S$1:$S$1501,$J2852-1499))-'Opening Balance'!$B$15*(N(INDEX('Daily Sale entry '!$S$1:$S$1501,$J2852-1499))-TRUNC(N(INDEX('Daily Sale entry '!$S$1:$S$1501,$J2852-1499))))))</f>
        <v/>
      </c>
      <c r="G2852" s="6">
        <f>IF($J2852="","",IF($J2852&lt;=1500,N(INDEX('Daily Sale entry '!$AD$1:$AD$1501,$J2852+1)),0))</f>
        <v/>
      </c>
      <c r="H2852" s="6">
        <f>IF($J2852="","",ROUND('Opening Balance'!$B$4+SUM($F$2:F2852)-SUM($G$2:G2852),2))</f>
        <v/>
      </c>
      <c r="J2852" s="21">
        <f>IFERROR(MATCH(ROW()-1,$L$2:$L$3001,0),"")</f>
        <v/>
      </c>
      <c r="K2852" s="34">
        <f>IF(AND('Daily Sale entry '!Q1352="Collection 收款",'Daily Sale entry '!R1352="Cheque 支票",'Daily Sale entry '!V1352&lt;&gt;""),'Daily Sale entry '!V1352+ROW()/10000000,"")</f>
        <v/>
      </c>
      <c r="L2852" s="21">
        <f>IF(K2852="","",COUNTIF($K$2:$K$3001,"&lt;"&amp;K2852)+1)</f>
        <v/>
      </c>
    </row>
    <row r="2853">
      <c r="A2853" s="5">
        <f>IF($J2853="","",IF($J2853&lt;=1500,INDEX('Daily Sale entry '!$X$1:$X$1501,$J2853+1),INDEX('Daily Sale entry '!$V$1:$V$1501,$J2853-1499)))</f>
        <v/>
      </c>
      <c r="B2853">
        <f>IF($J2853="","",IF($J2853&lt;=1500,INDEX('Daily Sale entry '!$Y$1:$Y$1501,$J2853+1)&amp;"","Buyer cheque banked 买家支票存入"&amp;IF(INDEX('Daily Sale entry '!$U$1:$U$1501,$J2853-1499)="","", " - "&amp;INDEX('Daily Sale entry '!$U$1:$U$1501,$J2853-1499))))</f>
        <v/>
      </c>
      <c r="C2853">
        <f>IF($J2853="","",IF($J2853&lt;=1500,INDEX('Daily Sale entry '!$Z$1:$Z$1501,$J2853+1)&amp;"","Cheque deposit 支票存入 (buyer 买家)"))</f>
        <v/>
      </c>
      <c r="D2853">
        <f>IF($J2853="","",IF($J2853&lt;=1500,INDEX('Daily Sale entry '!$AA$1:$AA$1501,$J2853+1)&amp;"",INDEX('Daily Sale entry '!$P$1:$P$1501,$J2853-1499)&amp;""))</f>
        <v/>
      </c>
      <c r="E2853">
        <f>IF($J2853="","",IF($J2853&lt;=1500,IF(N(INDEX('Daily Sale entry '!$AB$1:$AB$1501,$J2853+1))=0,"",INDEX('Daily Sale entry '!$AB$1:$AB$1501,$J2853+1)),1))</f>
        <v/>
      </c>
      <c r="F2853" s="6">
        <f>IF($J2853="","",IF($J2853&lt;=1500,N(INDEX('Daily Sale entry '!$AC$1:$AC$1501,$J2853+1))-IF(AND('Opening Balance'!$B$15=1,INDEX('Daily Sale entry '!$Z$1:$Z$1501,$J2853+1)="Online collection 网上收款",INDEX('Daily Sale entry '!$AA$1:$AA$1501,$J2853+1)&lt;&gt;""),N(INDEX('Daily Sale entry '!$AC$1:$AC$1501,$J2853+1))-TRUNC(N(INDEX('Daily Sale entry '!$AC$1:$AC$1501,$J2853+1))),0),N(INDEX('Daily Sale entry '!$S$1:$S$1501,$J2853-1499))-'Opening Balance'!$B$15*(N(INDEX('Daily Sale entry '!$S$1:$S$1501,$J2853-1499))-TRUNC(N(INDEX('Daily Sale entry '!$S$1:$S$1501,$J2853-1499))))))</f>
        <v/>
      </c>
      <c r="G2853" s="6">
        <f>IF($J2853="","",IF($J2853&lt;=1500,N(INDEX('Daily Sale entry '!$AD$1:$AD$1501,$J2853+1)),0))</f>
        <v/>
      </c>
      <c r="H2853" s="6">
        <f>IF($J2853="","",ROUND('Opening Balance'!$B$4+SUM($F$2:F2853)-SUM($G$2:G2853),2))</f>
        <v/>
      </c>
      <c r="J2853" s="21">
        <f>IFERROR(MATCH(ROW()-1,$L$2:$L$3001,0),"")</f>
        <v/>
      </c>
      <c r="K2853" s="34">
        <f>IF(AND('Daily Sale entry '!Q1353="Collection 收款",'Daily Sale entry '!R1353="Cheque 支票",'Daily Sale entry '!V1353&lt;&gt;""),'Daily Sale entry '!V1353+ROW()/10000000,"")</f>
        <v/>
      </c>
      <c r="L2853" s="21">
        <f>IF(K2853="","",COUNTIF($K$2:$K$3001,"&lt;"&amp;K2853)+1)</f>
        <v/>
      </c>
    </row>
    <row r="2854">
      <c r="A2854" s="5">
        <f>IF($J2854="","",IF($J2854&lt;=1500,INDEX('Daily Sale entry '!$X$1:$X$1501,$J2854+1),INDEX('Daily Sale entry '!$V$1:$V$1501,$J2854-1499)))</f>
        <v/>
      </c>
      <c r="B2854">
        <f>IF($J2854="","",IF($J2854&lt;=1500,INDEX('Daily Sale entry '!$Y$1:$Y$1501,$J2854+1)&amp;"","Buyer cheque banked 买家支票存入"&amp;IF(INDEX('Daily Sale entry '!$U$1:$U$1501,$J2854-1499)="","", " - "&amp;INDEX('Daily Sale entry '!$U$1:$U$1501,$J2854-1499))))</f>
        <v/>
      </c>
      <c r="C2854">
        <f>IF($J2854="","",IF($J2854&lt;=1500,INDEX('Daily Sale entry '!$Z$1:$Z$1501,$J2854+1)&amp;"","Cheque deposit 支票存入 (buyer 买家)"))</f>
        <v/>
      </c>
      <c r="D2854">
        <f>IF($J2854="","",IF($J2854&lt;=1500,INDEX('Daily Sale entry '!$AA$1:$AA$1501,$J2854+1)&amp;"",INDEX('Daily Sale entry '!$P$1:$P$1501,$J2854-1499)&amp;""))</f>
        <v/>
      </c>
      <c r="E2854">
        <f>IF($J2854="","",IF($J2854&lt;=1500,IF(N(INDEX('Daily Sale entry '!$AB$1:$AB$1501,$J2854+1))=0,"",INDEX('Daily Sale entry '!$AB$1:$AB$1501,$J2854+1)),1))</f>
        <v/>
      </c>
      <c r="F2854" s="6">
        <f>IF($J2854="","",IF($J2854&lt;=1500,N(INDEX('Daily Sale entry '!$AC$1:$AC$1501,$J2854+1))-IF(AND('Opening Balance'!$B$15=1,INDEX('Daily Sale entry '!$Z$1:$Z$1501,$J2854+1)="Online collection 网上收款",INDEX('Daily Sale entry '!$AA$1:$AA$1501,$J2854+1)&lt;&gt;""),N(INDEX('Daily Sale entry '!$AC$1:$AC$1501,$J2854+1))-TRUNC(N(INDEX('Daily Sale entry '!$AC$1:$AC$1501,$J2854+1))),0),N(INDEX('Daily Sale entry '!$S$1:$S$1501,$J2854-1499))-'Opening Balance'!$B$15*(N(INDEX('Daily Sale entry '!$S$1:$S$1501,$J2854-1499))-TRUNC(N(INDEX('Daily Sale entry '!$S$1:$S$1501,$J2854-1499))))))</f>
        <v/>
      </c>
      <c r="G2854" s="6">
        <f>IF($J2854="","",IF($J2854&lt;=1500,N(INDEX('Daily Sale entry '!$AD$1:$AD$1501,$J2854+1)),0))</f>
        <v/>
      </c>
      <c r="H2854" s="6">
        <f>IF($J2854="","",ROUND('Opening Balance'!$B$4+SUM($F$2:F2854)-SUM($G$2:G2854),2))</f>
        <v/>
      </c>
      <c r="J2854" s="21">
        <f>IFERROR(MATCH(ROW()-1,$L$2:$L$3001,0),"")</f>
        <v/>
      </c>
      <c r="K2854" s="34">
        <f>IF(AND('Daily Sale entry '!Q1354="Collection 收款",'Daily Sale entry '!R1354="Cheque 支票",'Daily Sale entry '!V1354&lt;&gt;""),'Daily Sale entry '!V1354+ROW()/10000000,"")</f>
        <v/>
      </c>
      <c r="L2854" s="21">
        <f>IF(K2854="","",COUNTIF($K$2:$K$3001,"&lt;"&amp;K2854)+1)</f>
        <v/>
      </c>
    </row>
    <row r="2855">
      <c r="A2855" s="5">
        <f>IF($J2855="","",IF($J2855&lt;=1500,INDEX('Daily Sale entry '!$X$1:$X$1501,$J2855+1),INDEX('Daily Sale entry '!$V$1:$V$1501,$J2855-1499)))</f>
        <v/>
      </c>
      <c r="B2855">
        <f>IF($J2855="","",IF($J2855&lt;=1500,INDEX('Daily Sale entry '!$Y$1:$Y$1501,$J2855+1)&amp;"","Buyer cheque banked 买家支票存入"&amp;IF(INDEX('Daily Sale entry '!$U$1:$U$1501,$J2855-1499)="","", " - "&amp;INDEX('Daily Sale entry '!$U$1:$U$1501,$J2855-1499))))</f>
        <v/>
      </c>
      <c r="C2855">
        <f>IF($J2855="","",IF($J2855&lt;=1500,INDEX('Daily Sale entry '!$Z$1:$Z$1501,$J2855+1)&amp;"","Cheque deposit 支票存入 (buyer 买家)"))</f>
        <v/>
      </c>
      <c r="D2855">
        <f>IF($J2855="","",IF($J2855&lt;=1500,INDEX('Daily Sale entry '!$AA$1:$AA$1501,$J2855+1)&amp;"",INDEX('Daily Sale entry '!$P$1:$P$1501,$J2855-1499)&amp;""))</f>
        <v/>
      </c>
      <c r="E2855">
        <f>IF($J2855="","",IF($J2855&lt;=1500,IF(N(INDEX('Daily Sale entry '!$AB$1:$AB$1501,$J2855+1))=0,"",INDEX('Daily Sale entry '!$AB$1:$AB$1501,$J2855+1)),1))</f>
        <v/>
      </c>
      <c r="F2855" s="6">
        <f>IF($J2855="","",IF($J2855&lt;=1500,N(INDEX('Daily Sale entry '!$AC$1:$AC$1501,$J2855+1))-IF(AND('Opening Balance'!$B$15=1,INDEX('Daily Sale entry '!$Z$1:$Z$1501,$J2855+1)="Online collection 网上收款",INDEX('Daily Sale entry '!$AA$1:$AA$1501,$J2855+1)&lt;&gt;""),N(INDEX('Daily Sale entry '!$AC$1:$AC$1501,$J2855+1))-TRUNC(N(INDEX('Daily Sale entry '!$AC$1:$AC$1501,$J2855+1))),0),N(INDEX('Daily Sale entry '!$S$1:$S$1501,$J2855-1499))-'Opening Balance'!$B$15*(N(INDEX('Daily Sale entry '!$S$1:$S$1501,$J2855-1499))-TRUNC(N(INDEX('Daily Sale entry '!$S$1:$S$1501,$J2855-1499))))))</f>
        <v/>
      </c>
      <c r="G2855" s="6">
        <f>IF($J2855="","",IF($J2855&lt;=1500,N(INDEX('Daily Sale entry '!$AD$1:$AD$1501,$J2855+1)),0))</f>
        <v/>
      </c>
      <c r="H2855" s="6">
        <f>IF($J2855="","",ROUND('Opening Balance'!$B$4+SUM($F$2:F2855)-SUM($G$2:G2855),2))</f>
        <v/>
      </c>
      <c r="J2855" s="21">
        <f>IFERROR(MATCH(ROW()-1,$L$2:$L$3001,0),"")</f>
        <v/>
      </c>
      <c r="K2855" s="34">
        <f>IF(AND('Daily Sale entry '!Q1355="Collection 收款",'Daily Sale entry '!R1355="Cheque 支票",'Daily Sale entry '!V1355&lt;&gt;""),'Daily Sale entry '!V1355+ROW()/10000000,"")</f>
        <v/>
      </c>
      <c r="L2855" s="21">
        <f>IF(K2855="","",COUNTIF($K$2:$K$3001,"&lt;"&amp;K2855)+1)</f>
        <v/>
      </c>
    </row>
    <row r="2856">
      <c r="A2856" s="5">
        <f>IF($J2856="","",IF($J2856&lt;=1500,INDEX('Daily Sale entry '!$X$1:$X$1501,$J2856+1),INDEX('Daily Sale entry '!$V$1:$V$1501,$J2856-1499)))</f>
        <v/>
      </c>
      <c r="B2856">
        <f>IF($J2856="","",IF($J2856&lt;=1500,INDEX('Daily Sale entry '!$Y$1:$Y$1501,$J2856+1)&amp;"","Buyer cheque banked 买家支票存入"&amp;IF(INDEX('Daily Sale entry '!$U$1:$U$1501,$J2856-1499)="","", " - "&amp;INDEX('Daily Sale entry '!$U$1:$U$1501,$J2856-1499))))</f>
        <v/>
      </c>
      <c r="C2856">
        <f>IF($J2856="","",IF($J2856&lt;=1500,INDEX('Daily Sale entry '!$Z$1:$Z$1501,$J2856+1)&amp;"","Cheque deposit 支票存入 (buyer 买家)"))</f>
        <v/>
      </c>
      <c r="D2856">
        <f>IF($J2856="","",IF($J2856&lt;=1500,INDEX('Daily Sale entry '!$AA$1:$AA$1501,$J2856+1)&amp;"",INDEX('Daily Sale entry '!$P$1:$P$1501,$J2856-1499)&amp;""))</f>
        <v/>
      </c>
      <c r="E2856">
        <f>IF($J2856="","",IF($J2856&lt;=1500,IF(N(INDEX('Daily Sale entry '!$AB$1:$AB$1501,$J2856+1))=0,"",INDEX('Daily Sale entry '!$AB$1:$AB$1501,$J2856+1)),1))</f>
        <v/>
      </c>
      <c r="F2856" s="6">
        <f>IF($J2856="","",IF($J2856&lt;=1500,N(INDEX('Daily Sale entry '!$AC$1:$AC$1501,$J2856+1))-IF(AND('Opening Balance'!$B$15=1,INDEX('Daily Sale entry '!$Z$1:$Z$1501,$J2856+1)="Online collection 网上收款",INDEX('Daily Sale entry '!$AA$1:$AA$1501,$J2856+1)&lt;&gt;""),N(INDEX('Daily Sale entry '!$AC$1:$AC$1501,$J2856+1))-TRUNC(N(INDEX('Daily Sale entry '!$AC$1:$AC$1501,$J2856+1))),0),N(INDEX('Daily Sale entry '!$S$1:$S$1501,$J2856-1499))-'Opening Balance'!$B$15*(N(INDEX('Daily Sale entry '!$S$1:$S$1501,$J2856-1499))-TRUNC(N(INDEX('Daily Sale entry '!$S$1:$S$1501,$J2856-1499))))))</f>
        <v/>
      </c>
      <c r="G2856" s="6">
        <f>IF($J2856="","",IF($J2856&lt;=1500,N(INDEX('Daily Sale entry '!$AD$1:$AD$1501,$J2856+1)),0))</f>
        <v/>
      </c>
      <c r="H2856" s="6">
        <f>IF($J2856="","",ROUND('Opening Balance'!$B$4+SUM($F$2:F2856)-SUM($G$2:G2856),2))</f>
        <v/>
      </c>
      <c r="J2856" s="21">
        <f>IFERROR(MATCH(ROW()-1,$L$2:$L$3001,0),"")</f>
        <v/>
      </c>
      <c r="K2856" s="34">
        <f>IF(AND('Daily Sale entry '!Q1356="Collection 收款",'Daily Sale entry '!R1356="Cheque 支票",'Daily Sale entry '!V1356&lt;&gt;""),'Daily Sale entry '!V1356+ROW()/10000000,"")</f>
        <v/>
      </c>
      <c r="L2856" s="21">
        <f>IF(K2856="","",COUNTIF($K$2:$K$3001,"&lt;"&amp;K2856)+1)</f>
        <v/>
      </c>
    </row>
    <row r="2857">
      <c r="A2857" s="5">
        <f>IF($J2857="","",IF($J2857&lt;=1500,INDEX('Daily Sale entry '!$X$1:$X$1501,$J2857+1),INDEX('Daily Sale entry '!$V$1:$V$1501,$J2857-1499)))</f>
        <v/>
      </c>
      <c r="B2857">
        <f>IF($J2857="","",IF($J2857&lt;=1500,INDEX('Daily Sale entry '!$Y$1:$Y$1501,$J2857+1)&amp;"","Buyer cheque banked 买家支票存入"&amp;IF(INDEX('Daily Sale entry '!$U$1:$U$1501,$J2857-1499)="","", " - "&amp;INDEX('Daily Sale entry '!$U$1:$U$1501,$J2857-1499))))</f>
        <v/>
      </c>
      <c r="C2857">
        <f>IF($J2857="","",IF($J2857&lt;=1500,INDEX('Daily Sale entry '!$Z$1:$Z$1501,$J2857+1)&amp;"","Cheque deposit 支票存入 (buyer 买家)"))</f>
        <v/>
      </c>
      <c r="D2857">
        <f>IF($J2857="","",IF($J2857&lt;=1500,INDEX('Daily Sale entry '!$AA$1:$AA$1501,$J2857+1)&amp;"",INDEX('Daily Sale entry '!$P$1:$P$1501,$J2857-1499)&amp;""))</f>
        <v/>
      </c>
      <c r="E2857">
        <f>IF($J2857="","",IF($J2857&lt;=1500,IF(N(INDEX('Daily Sale entry '!$AB$1:$AB$1501,$J2857+1))=0,"",INDEX('Daily Sale entry '!$AB$1:$AB$1501,$J2857+1)),1))</f>
        <v/>
      </c>
      <c r="F2857" s="6">
        <f>IF($J2857="","",IF($J2857&lt;=1500,N(INDEX('Daily Sale entry '!$AC$1:$AC$1501,$J2857+1))-IF(AND('Opening Balance'!$B$15=1,INDEX('Daily Sale entry '!$Z$1:$Z$1501,$J2857+1)="Online collection 网上收款",INDEX('Daily Sale entry '!$AA$1:$AA$1501,$J2857+1)&lt;&gt;""),N(INDEX('Daily Sale entry '!$AC$1:$AC$1501,$J2857+1))-TRUNC(N(INDEX('Daily Sale entry '!$AC$1:$AC$1501,$J2857+1))),0),N(INDEX('Daily Sale entry '!$S$1:$S$1501,$J2857-1499))-'Opening Balance'!$B$15*(N(INDEX('Daily Sale entry '!$S$1:$S$1501,$J2857-1499))-TRUNC(N(INDEX('Daily Sale entry '!$S$1:$S$1501,$J2857-1499))))))</f>
        <v/>
      </c>
      <c r="G2857" s="6">
        <f>IF($J2857="","",IF($J2857&lt;=1500,N(INDEX('Daily Sale entry '!$AD$1:$AD$1501,$J2857+1)),0))</f>
        <v/>
      </c>
      <c r="H2857" s="6">
        <f>IF($J2857="","",ROUND('Opening Balance'!$B$4+SUM($F$2:F2857)-SUM($G$2:G2857),2))</f>
        <v/>
      </c>
      <c r="J2857" s="21">
        <f>IFERROR(MATCH(ROW()-1,$L$2:$L$3001,0),"")</f>
        <v/>
      </c>
      <c r="K2857" s="34">
        <f>IF(AND('Daily Sale entry '!Q1357="Collection 收款",'Daily Sale entry '!R1357="Cheque 支票",'Daily Sale entry '!V1357&lt;&gt;""),'Daily Sale entry '!V1357+ROW()/10000000,"")</f>
        <v/>
      </c>
      <c r="L2857" s="21">
        <f>IF(K2857="","",COUNTIF($K$2:$K$3001,"&lt;"&amp;K2857)+1)</f>
        <v/>
      </c>
    </row>
    <row r="2858">
      <c r="A2858" s="5">
        <f>IF($J2858="","",IF($J2858&lt;=1500,INDEX('Daily Sale entry '!$X$1:$X$1501,$J2858+1),INDEX('Daily Sale entry '!$V$1:$V$1501,$J2858-1499)))</f>
        <v/>
      </c>
      <c r="B2858">
        <f>IF($J2858="","",IF($J2858&lt;=1500,INDEX('Daily Sale entry '!$Y$1:$Y$1501,$J2858+1)&amp;"","Buyer cheque banked 买家支票存入"&amp;IF(INDEX('Daily Sale entry '!$U$1:$U$1501,$J2858-1499)="","", " - "&amp;INDEX('Daily Sale entry '!$U$1:$U$1501,$J2858-1499))))</f>
        <v/>
      </c>
      <c r="C2858">
        <f>IF($J2858="","",IF($J2858&lt;=1500,INDEX('Daily Sale entry '!$Z$1:$Z$1501,$J2858+1)&amp;"","Cheque deposit 支票存入 (buyer 买家)"))</f>
        <v/>
      </c>
      <c r="D2858">
        <f>IF($J2858="","",IF($J2858&lt;=1500,INDEX('Daily Sale entry '!$AA$1:$AA$1501,$J2858+1)&amp;"",INDEX('Daily Sale entry '!$P$1:$P$1501,$J2858-1499)&amp;""))</f>
        <v/>
      </c>
      <c r="E2858">
        <f>IF($J2858="","",IF($J2858&lt;=1500,IF(N(INDEX('Daily Sale entry '!$AB$1:$AB$1501,$J2858+1))=0,"",INDEX('Daily Sale entry '!$AB$1:$AB$1501,$J2858+1)),1))</f>
        <v/>
      </c>
      <c r="F2858" s="6">
        <f>IF($J2858="","",IF($J2858&lt;=1500,N(INDEX('Daily Sale entry '!$AC$1:$AC$1501,$J2858+1))-IF(AND('Opening Balance'!$B$15=1,INDEX('Daily Sale entry '!$Z$1:$Z$1501,$J2858+1)="Online collection 网上收款",INDEX('Daily Sale entry '!$AA$1:$AA$1501,$J2858+1)&lt;&gt;""),N(INDEX('Daily Sale entry '!$AC$1:$AC$1501,$J2858+1))-TRUNC(N(INDEX('Daily Sale entry '!$AC$1:$AC$1501,$J2858+1))),0),N(INDEX('Daily Sale entry '!$S$1:$S$1501,$J2858-1499))-'Opening Balance'!$B$15*(N(INDEX('Daily Sale entry '!$S$1:$S$1501,$J2858-1499))-TRUNC(N(INDEX('Daily Sale entry '!$S$1:$S$1501,$J2858-1499))))))</f>
        <v/>
      </c>
      <c r="G2858" s="6">
        <f>IF($J2858="","",IF($J2858&lt;=1500,N(INDEX('Daily Sale entry '!$AD$1:$AD$1501,$J2858+1)),0))</f>
        <v/>
      </c>
      <c r="H2858" s="6">
        <f>IF($J2858="","",ROUND('Opening Balance'!$B$4+SUM($F$2:F2858)-SUM($G$2:G2858),2))</f>
        <v/>
      </c>
      <c r="J2858" s="21">
        <f>IFERROR(MATCH(ROW()-1,$L$2:$L$3001,0),"")</f>
        <v/>
      </c>
      <c r="K2858" s="34">
        <f>IF(AND('Daily Sale entry '!Q1358="Collection 收款",'Daily Sale entry '!R1358="Cheque 支票",'Daily Sale entry '!V1358&lt;&gt;""),'Daily Sale entry '!V1358+ROW()/10000000,"")</f>
        <v/>
      </c>
      <c r="L2858" s="21">
        <f>IF(K2858="","",COUNTIF($K$2:$K$3001,"&lt;"&amp;K2858)+1)</f>
        <v/>
      </c>
    </row>
    <row r="2859">
      <c r="A2859" s="5">
        <f>IF($J2859="","",IF($J2859&lt;=1500,INDEX('Daily Sale entry '!$X$1:$X$1501,$J2859+1),INDEX('Daily Sale entry '!$V$1:$V$1501,$J2859-1499)))</f>
        <v/>
      </c>
      <c r="B2859">
        <f>IF($J2859="","",IF($J2859&lt;=1500,INDEX('Daily Sale entry '!$Y$1:$Y$1501,$J2859+1)&amp;"","Buyer cheque banked 买家支票存入"&amp;IF(INDEX('Daily Sale entry '!$U$1:$U$1501,$J2859-1499)="","", " - "&amp;INDEX('Daily Sale entry '!$U$1:$U$1501,$J2859-1499))))</f>
        <v/>
      </c>
      <c r="C2859">
        <f>IF($J2859="","",IF($J2859&lt;=1500,INDEX('Daily Sale entry '!$Z$1:$Z$1501,$J2859+1)&amp;"","Cheque deposit 支票存入 (buyer 买家)"))</f>
        <v/>
      </c>
      <c r="D2859">
        <f>IF($J2859="","",IF($J2859&lt;=1500,INDEX('Daily Sale entry '!$AA$1:$AA$1501,$J2859+1)&amp;"",INDEX('Daily Sale entry '!$P$1:$P$1501,$J2859-1499)&amp;""))</f>
        <v/>
      </c>
      <c r="E2859">
        <f>IF($J2859="","",IF($J2859&lt;=1500,IF(N(INDEX('Daily Sale entry '!$AB$1:$AB$1501,$J2859+1))=0,"",INDEX('Daily Sale entry '!$AB$1:$AB$1501,$J2859+1)),1))</f>
        <v/>
      </c>
      <c r="F2859" s="6">
        <f>IF($J2859="","",IF($J2859&lt;=1500,N(INDEX('Daily Sale entry '!$AC$1:$AC$1501,$J2859+1))-IF(AND('Opening Balance'!$B$15=1,INDEX('Daily Sale entry '!$Z$1:$Z$1501,$J2859+1)="Online collection 网上收款",INDEX('Daily Sale entry '!$AA$1:$AA$1501,$J2859+1)&lt;&gt;""),N(INDEX('Daily Sale entry '!$AC$1:$AC$1501,$J2859+1))-TRUNC(N(INDEX('Daily Sale entry '!$AC$1:$AC$1501,$J2859+1))),0),N(INDEX('Daily Sale entry '!$S$1:$S$1501,$J2859-1499))-'Opening Balance'!$B$15*(N(INDEX('Daily Sale entry '!$S$1:$S$1501,$J2859-1499))-TRUNC(N(INDEX('Daily Sale entry '!$S$1:$S$1501,$J2859-1499))))))</f>
        <v/>
      </c>
      <c r="G2859" s="6">
        <f>IF($J2859="","",IF($J2859&lt;=1500,N(INDEX('Daily Sale entry '!$AD$1:$AD$1501,$J2859+1)),0))</f>
        <v/>
      </c>
      <c r="H2859" s="6">
        <f>IF($J2859="","",ROUND('Opening Balance'!$B$4+SUM($F$2:F2859)-SUM($G$2:G2859),2))</f>
        <v/>
      </c>
      <c r="J2859" s="21">
        <f>IFERROR(MATCH(ROW()-1,$L$2:$L$3001,0),"")</f>
        <v/>
      </c>
      <c r="K2859" s="34">
        <f>IF(AND('Daily Sale entry '!Q1359="Collection 收款",'Daily Sale entry '!R1359="Cheque 支票",'Daily Sale entry '!V1359&lt;&gt;""),'Daily Sale entry '!V1359+ROW()/10000000,"")</f>
        <v/>
      </c>
      <c r="L2859" s="21">
        <f>IF(K2859="","",COUNTIF($K$2:$K$3001,"&lt;"&amp;K2859)+1)</f>
        <v/>
      </c>
    </row>
    <row r="2860">
      <c r="A2860" s="5">
        <f>IF($J2860="","",IF($J2860&lt;=1500,INDEX('Daily Sale entry '!$X$1:$X$1501,$J2860+1),INDEX('Daily Sale entry '!$V$1:$V$1501,$J2860-1499)))</f>
        <v/>
      </c>
      <c r="B2860">
        <f>IF($J2860="","",IF($J2860&lt;=1500,INDEX('Daily Sale entry '!$Y$1:$Y$1501,$J2860+1)&amp;"","Buyer cheque banked 买家支票存入"&amp;IF(INDEX('Daily Sale entry '!$U$1:$U$1501,$J2860-1499)="","", " - "&amp;INDEX('Daily Sale entry '!$U$1:$U$1501,$J2860-1499))))</f>
        <v/>
      </c>
      <c r="C2860">
        <f>IF($J2860="","",IF($J2860&lt;=1500,INDEX('Daily Sale entry '!$Z$1:$Z$1501,$J2860+1)&amp;"","Cheque deposit 支票存入 (buyer 买家)"))</f>
        <v/>
      </c>
      <c r="D2860">
        <f>IF($J2860="","",IF($J2860&lt;=1500,INDEX('Daily Sale entry '!$AA$1:$AA$1501,$J2860+1)&amp;"",INDEX('Daily Sale entry '!$P$1:$P$1501,$J2860-1499)&amp;""))</f>
        <v/>
      </c>
      <c r="E2860">
        <f>IF($J2860="","",IF($J2860&lt;=1500,IF(N(INDEX('Daily Sale entry '!$AB$1:$AB$1501,$J2860+1))=0,"",INDEX('Daily Sale entry '!$AB$1:$AB$1501,$J2860+1)),1))</f>
        <v/>
      </c>
      <c r="F2860" s="6">
        <f>IF($J2860="","",IF($J2860&lt;=1500,N(INDEX('Daily Sale entry '!$AC$1:$AC$1501,$J2860+1))-IF(AND('Opening Balance'!$B$15=1,INDEX('Daily Sale entry '!$Z$1:$Z$1501,$J2860+1)="Online collection 网上收款",INDEX('Daily Sale entry '!$AA$1:$AA$1501,$J2860+1)&lt;&gt;""),N(INDEX('Daily Sale entry '!$AC$1:$AC$1501,$J2860+1))-TRUNC(N(INDEX('Daily Sale entry '!$AC$1:$AC$1501,$J2860+1))),0),N(INDEX('Daily Sale entry '!$S$1:$S$1501,$J2860-1499))-'Opening Balance'!$B$15*(N(INDEX('Daily Sale entry '!$S$1:$S$1501,$J2860-1499))-TRUNC(N(INDEX('Daily Sale entry '!$S$1:$S$1501,$J2860-1499))))))</f>
        <v/>
      </c>
      <c r="G2860" s="6">
        <f>IF($J2860="","",IF($J2860&lt;=1500,N(INDEX('Daily Sale entry '!$AD$1:$AD$1501,$J2860+1)),0))</f>
        <v/>
      </c>
      <c r="H2860" s="6">
        <f>IF($J2860="","",ROUND('Opening Balance'!$B$4+SUM($F$2:F2860)-SUM($G$2:G2860),2))</f>
        <v/>
      </c>
      <c r="J2860" s="21">
        <f>IFERROR(MATCH(ROW()-1,$L$2:$L$3001,0),"")</f>
        <v/>
      </c>
      <c r="K2860" s="34">
        <f>IF(AND('Daily Sale entry '!Q1360="Collection 收款",'Daily Sale entry '!R1360="Cheque 支票",'Daily Sale entry '!V1360&lt;&gt;""),'Daily Sale entry '!V1360+ROW()/10000000,"")</f>
        <v/>
      </c>
      <c r="L2860" s="21">
        <f>IF(K2860="","",COUNTIF($K$2:$K$3001,"&lt;"&amp;K2860)+1)</f>
        <v/>
      </c>
    </row>
    <row r="2861">
      <c r="A2861" s="5">
        <f>IF($J2861="","",IF($J2861&lt;=1500,INDEX('Daily Sale entry '!$X$1:$X$1501,$J2861+1),INDEX('Daily Sale entry '!$V$1:$V$1501,$J2861-1499)))</f>
        <v/>
      </c>
      <c r="B2861">
        <f>IF($J2861="","",IF($J2861&lt;=1500,INDEX('Daily Sale entry '!$Y$1:$Y$1501,$J2861+1)&amp;"","Buyer cheque banked 买家支票存入"&amp;IF(INDEX('Daily Sale entry '!$U$1:$U$1501,$J2861-1499)="","", " - "&amp;INDEX('Daily Sale entry '!$U$1:$U$1501,$J2861-1499))))</f>
        <v/>
      </c>
      <c r="C2861">
        <f>IF($J2861="","",IF($J2861&lt;=1500,INDEX('Daily Sale entry '!$Z$1:$Z$1501,$J2861+1)&amp;"","Cheque deposit 支票存入 (buyer 买家)"))</f>
        <v/>
      </c>
      <c r="D2861">
        <f>IF($J2861="","",IF($J2861&lt;=1500,INDEX('Daily Sale entry '!$AA$1:$AA$1501,$J2861+1)&amp;"",INDEX('Daily Sale entry '!$P$1:$P$1501,$J2861-1499)&amp;""))</f>
        <v/>
      </c>
      <c r="E2861">
        <f>IF($J2861="","",IF($J2861&lt;=1500,IF(N(INDEX('Daily Sale entry '!$AB$1:$AB$1501,$J2861+1))=0,"",INDEX('Daily Sale entry '!$AB$1:$AB$1501,$J2861+1)),1))</f>
        <v/>
      </c>
      <c r="F2861" s="6">
        <f>IF($J2861="","",IF($J2861&lt;=1500,N(INDEX('Daily Sale entry '!$AC$1:$AC$1501,$J2861+1))-IF(AND('Opening Balance'!$B$15=1,INDEX('Daily Sale entry '!$Z$1:$Z$1501,$J2861+1)="Online collection 网上收款",INDEX('Daily Sale entry '!$AA$1:$AA$1501,$J2861+1)&lt;&gt;""),N(INDEX('Daily Sale entry '!$AC$1:$AC$1501,$J2861+1))-TRUNC(N(INDEX('Daily Sale entry '!$AC$1:$AC$1501,$J2861+1))),0),N(INDEX('Daily Sale entry '!$S$1:$S$1501,$J2861-1499))-'Opening Balance'!$B$15*(N(INDEX('Daily Sale entry '!$S$1:$S$1501,$J2861-1499))-TRUNC(N(INDEX('Daily Sale entry '!$S$1:$S$1501,$J2861-1499))))))</f>
        <v/>
      </c>
      <c r="G2861" s="6">
        <f>IF($J2861="","",IF($J2861&lt;=1500,N(INDEX('Daily Sale entry '!$AD$1:$AD$1501,$J2861+1)),0))</f>
        <v/>
      </c>
      <c r="H2861" s="6">
        <f>IF($J2861="","",ROUND('Opening Balance'!$B$4+SUM($F$2:F2861)-SUM($G$2:G2861),2))</f>
        <v/>
      </c>
      <c r="J2861" s="21">
        <f>IFERROR(MATCH(ROW()-1,$L$2:$L$3001,0),"")</f>
        <v/>
      </c>
      <c r="K2861" s="34">
        <f>IF(AND('Daily Sale entry '!Q1361="Collection 收款",'Daily Sale entry '!R1361="Cheque 支票",'Daily Sale entry '!V1361&lt;&gt;""),'Daily Sale entry '!V1361+ROW()/10000000,"")</f>
        <v/>
      </c>
      <c r="L2861" s="21">
        <f>IF(K2861="","",COUNTIF($K$2:$K$3001,"&lt;"&amp;K2861)+1)</f>
        <v/>
      </c>
    </row>
    <row r="2862">
      <c r="A2862" s="5">
        <f>IF($J2862="","",IF($J2862&lt;=1500,INDEX('Daily Sale entry '!$X$1:$X$1501,$J2862+1),INDEX('Daily Sale entry '!$V$1:$V$1501,$J2862-1499)))</f>
        <v/>
      </c>
      <c r="B2862">
        <f>IF($J2862="","",IF($J2862&lt;=1500,INDEX('Daily Sale entry '!$Y$1:$Y$1501,$J2862+1)&amp;"","Buyer cheque banked 买家支票存入"&amp;IF(INDEX('Daily Sale entry '!$U$1:$U$1501,$J2862-1499)="","", " - "&amp;INDEX('Daily Sale entry '!$U$1:$U$1501,$J2862-1499))))</f>
        <v/>
      </c>
      <c r="C2862">
        <f>IF($J2862="","",IF($J2862&lt;=1500,INDEX('Daily Sale entry '!$Z$1:$Z$1501,$J2862+1)&amp;"","Cheque deposit 支票存入 (buyer 买家)"))</f>
        <v/>
      </c>
      <c r="D2862">
        <f>IF($J2862="","",IF($J2862&lt;=1500,INDEX('Daily Sale entry '!$AA$1:$AA$1501,$J2862+1)&amp;"",INDEX('Daily Sale entry '!$P$1:$P$1501,$J2862-1499)&amp;""))</f>
        <v/>
      </c>
      <c r="E2862">
        <f>IF($J2862="","",IF($J2862&lt;=1500,IF(N(INDEX('Daily Sale entry '!$AB$1:$AB$1501,$J2862+1))=0,"",INDEX('Daily Sale entry '!$AB$1:$AB$1501,$J2862+1)),1))</f>
        <v/>
      </c>
      <c r="F2862" s="6">
        <f>IF($J2862="","",IF($J2862&lt;=1500,N(INDEX('Daily Sale entry '!$AC$1:$AC$1501,$J2862+1))-IF(AND('Opening Balance'!$B$15=1,INDEX('Daily Sale entry '!$Z$1:$Z$1501,$J2862+1)="Online collection 网上收款",INDEX('Daily Sale entry '!$AA$1:$AA$1501,$J2862+1)&lt;&gt;""),N(INDEX('Daily Sale entry '!$AC$1:$AC$1501,$J2862+1))-TRUNC(N(INDEX('Daily Sale entry '!$AC$1:$AC$1501,$J2862+1))),0),N(INDEX('Daily Sale entry '!$S$1:$S$1501,$J2862-1499))-'Opening Balance'!$B$15*(N(INDEX('Daily Sale entry '!$S$1:$S$1501,$J2862-1499))-TRUNC(N(INDEX('Daily Sale entry '!$S$1:$S$1501,$J2862-1499))))))</f>
        <v/>
      </c>
      <c r="G2862" s="6">
        <f>IF($J2862="","",IF($J2862&lt;=1500,N(INDEX('Daily Sale entry '!$AD$1:$AD$1501,$J2862+1)),0))</f>
        <v/>
      </c>
      <c r="H2862" s="6">
        <f>IF($J2862="","",ROUND('Opening Balance'!$B$4+SUM($F$2:F2862)-SUM($G$2:G2862),2))</f>
        <v/>
      </c>
      <c r="J2862" s="21">
        <f>IFERROR(MATCH(ROW()-1,$L$2:$L$3001,0),"")</f>
        <v/>
      </c>
      <c r="K2862" s="34">
        <f>IF(AND('Daily Sale entry '!Q1362="Collection 收款",'Daily Sale entry '!R1362="Cheque 支票",'Daily Sale entry '!V1362&lt;&gt;""),'Daily Sale entry '!V1362+ROW()/10000000,"")</f>
        <v/>
      </c>
      <c r="L2862" s="21">
        <f>IF(K2862="","",COUNTIF($K$2:$K$3001,"&lt;"&amp;K2862)+1)</f>
        <v/>
      </c>
    </row>
    <row r="2863">
      <c r="A2863" s="5">
        <f>IF($J2863="","",IF($J2863&lt;=1500,INDEX('Daily Sale entry '!$X$1:$X$1501,$J2863+1),INDEX('Daily Sale entry '!$V$1:$V$1501,$J2863-1499)))</f>
        <v/>
      </c>
      <c r="B2863">
        <f>IF($J2863="","",IF($J2863&lt;=1500,INDEX('Daily Sale entry '!$Y$1:$Y$1501,$J2863+1)&amp;"","Buyer cheque banked 买家支票存入"&amp;IF(INDEX('Daily Sale entry '!$U$1:$U$1501,$J2863-1499)="","", " - "&amp;INDEX('Daily Sale entry '!$U$1:$U$1501,$J2863-1499))))</f>
        <v/>
      </c>
      <c r="C2863">
        <f>IF($J2863="","",IF($J2863&lt;=1500,INDEX('Daily Sale entry '!$Z$1:$Z$1501,$J2863+1)&amp;"","Cheque deposit 支票存入 (buyer 买家)"))</f>
        <v/>
      </c>
      <c r="D2863">
        <f>IF($J2863="","",IF($J2863&lt;=1500,INDEX('Daily Sale entry '!$AA$1:$AA$1501,$J2863+1)&amp;"",INDEX('Daily Sale entry '!$P$1:$P$1501,$J2863-1499)&amp;""))</f>
        <v/>
      </c>
      <c r="E2863">
        <f>IF($J2863="","",IF($J2863&lt;=1500,IF(N(INDEX('Daily Sale entry '!$AB$1:$AB$1501,$J2863+1))=0,"",INDEX('Daily Sale entry '!$AB$1:$AB$1501,$J2863+1)),1))</f>
        <v/>
      </c>
      <c r="F2863" s="6">
        <f>IF($J2863="","",IF($J2863&lt;=1500,N(INDEX('Daily Sale entry '!$AC$1:$AC$1501,$J2863+1))-IF(AND('Opening Balance'!$B$15=1,INDEX('Daily Sale entry '!$Z$1:$Z$1501,$J2863+1)="Online collection 网上收款",INDEX('Daily Sale entry '!$AA$1:$AA$1501,$J2863+1)&lt;&gt;""),N(INDEX('Daily Sale entry '!$AC$1:$AC$1501,$J2863+1))-TRUNC(N(INDEX('Daily Sale entry '!$AC$1:$AC$1501,$J2863+1))),0),N(INDEX('Daily Sale entry '!$S$1:$S$1501,$J2863-1499))-'Opening Balance'!$B$15*(N(INDEX('Daily Sale entry '!$S$1:$S$1501,$J2863-1499))-TRUNC(N(INDEX('Daily Sale entry '!$S$1:$S$1501,$J2863-1499))))))</f>
        <v/>
      </c>
      <c r="G2863" s="6">
        <f>IF($J2863="","",IF($J2863&lt;=1500,N(INDEX('Daily Sale entry '!$AD$1:$AD$1501,$J2863+1)),0))</f>
        <v/>
      </c>
      <c r="H2863" s="6">
        <f>IF($J2863="","",ROUND('Opening Balance'!$B$4+SUM($F$2:F2863)-SUM($G$2:G2863),2))</f>
        <v/>
      </c>
      <c r="J2863" s="21">
        <f>IFERROR(MATCH(ROW()-1,$L$2:$L$3001,0),"")</f>
        <v/>
      </c>
      <c r="K2863" s="34">
        <f>IF(AND('Daily Sale entry '!Q1363="Collection 收款",'Daily Sale entry '!R1363="Cheque 支票",'Daily Sale entry '!V1363&lt;&gt;""),'Daily Sale entry '!V1363+ROW()/10000000,"")</f>
        <v/>
      </c>
      <c r="L2863" s="21">
        <f>IF(K2863="","",COUNTIF($K$2:$K$3001,"&lt;"&amp;K2863)+1)</f>
        <v/>
      </c>
    </row>
    <row r="2864">
      <c r="A2864" s="5">
        <f>IF($J2864="","",IF($J2864&lt;=1500,INDEX('Daily Sale entry '!$X$1:$X$1501,$J2864+1),INDEX('Daily Sale entry '!$V$1:$V$1501,$J2864-1499)))</f>
        <v/>
      </c>
      <c r="B2864">
        <f>IF($J2864="","",IF($J2864&lt;=1500,INDEX('Daily Sale entry '!$Y$1:$Y$1501,$J2864+1)&amp;"","Buyer cheque banked 买家支票存入"&amp;IF(INDEX('Daily Sale entry '!$U$1:$U$1501,$J2864-1499)="","", " - "&amp;INDEX('Daily Sale entry '!$U$1:$U$1501,$J2864-1499))))</f>
        <v/>
      </c>
      <c r="C2864">
        <f>IF($J2864="","",IF($J2864&lt;=1500,INDEX('Daily Sale entry '!$Z$1:$Z$1501,$J2864+1)&amp;"","Cheque deposit 支票存入 (buyer 买家)"))</f>
        <v/>
      </c>
      <c r="D2864">
        <f>IF($J2864="","",IF($J2864&lt;=1500,INDEX('Daily Sale entry '!$AA$1:$AA$1501,$J2864+1)&amp;"",INDEX('Daily Sale entry '!$P$1:$P$1501,$J2864-1499)&amp;""))</f>
        <v/>
      </c>
      <c r="E2864">
        <f>IF($J2864="","",IF($J2864&lt;=1500,IF(N(INDEX('Daily Sale entry '!$AB$1:$AB$1501,$J2864+1))=0,"",INDEX('Daily Sale entry '!$AB$1:$AB$1501,$J2864+1)),1))</f>
        <v/>
      </c>
      <c r="F2864" s="6">
        <f>IF($J2864="","",IF($J2864&lt;=1500,N(INDEX('Daily Sale entry '!$AC$1:$AC$1501,$J2864+1))-IF(AND('Opening Balance'!$B$15=1,INDEX('Daily Sale entry '!$Z$1:$Z$1501,$J2864+1)="Online collection 网上收款",INDEX('Daily Sale entry '!$AA$1:$AA$1501,$J2864+1)&lt;&gt;""),N(INDEX('Daily Sale entry '!$AC$1:$AC$1501,$J2864+1))-TRUNC(N(INDEX('Daily Sale entry '!$AC$1:$AC$1501,$J2864+1))),0),N(INDEX('Daily Sale entry '!$S$1:$S$1501,$J2864-1499))-'Opening Balance'!$B$15*(N(INDEX('Daily Sale entry '!$S$1:$S$1501,$J2864-1499))-TRUNC(N(INDEX('Daily Sale entry '!$S$1:$S$1501,$J2864-1499))))))</f>
        <v/>
      </c>
      <c r="G2864" s="6">
        <f>IF($J2864="","",IF($J2864&lt;=1500,N(INDEX('Daily Sale entry '!$AD$1:$AD$1501,$J2864+1)),0))</f>
        <v/>
      </c>
      <c r="H2864" s="6">
        <f>IF($J2864="","",ROUND('Opening Balance'!$B$4+SUM($F$2:F2864)-SUM($G$2:G2864),2))</f>
        <v/>
      </c>
      <c r="J2864" s="21">
        <f>IFERROR(MATCH(ROW()-1,$L$2:$L$3001,0),"")</f>
        <v/>
      </c>
      <c r="K2864" s="34">
        <f>IF(AND('Daily Sale entry '!Q1364="Collection 收款",'Daily Sale entry '!R1364="Cheque 支票",'Daily Sale entry '!V1364&lt;&gt;""),'Daily Sale entry '!V1364+ROW()/10000000,"")</f>
        <v/>
      </c>
      <c r="L2864" s="21">
        <f>IF(K2864="","",COUNTIF($K$2:$K$3001,"&lt;"&amp;K2864)+1)</f>
        <v/>
      </c>
    </row>
    <row r="2865">
      <c r="A2865" s="5">
        <f>IF($J2865="","",IF($J2865&lt;=1500,INDEX('Daily Sale entry '!$X$1:$X$1501,$J2865+1),INDEX('Daily Sale entry '!$V$1:$V$1501,$J2865-1499)))</f>
        <v/>
      </c>
      <c r="B2865">
        <f>IF($J2865="","",IF($J2865&lt;=1500,INDEX('Daily Sale entry '!$Y$1:$Y$1501,$J2865+1)&amp;"","Buyer cheque banked 买家支票存入"&amp;IF(INDEX('Daily Sale entry '!$U$1:$U$1501,$J2865-1499)="","", " - "&amp;INDEX('Daily Sale entry '!$U$1:$U$1501,$J2865-1499))))</f>
        <v/>
      </c>
      <c r="C2865">
        <f>IF($J2865="","",IF($J2865&lt;=1500,INDEX('Daily Sale entry '!$Z$1:$Z$1501,$J2865+1)&amp;"","Cheque deposit 支票存入 (buyer 买家)"))</f>
        <v/>
      </c>
      <c r="D2865">
        <f>IF($J2865="","",IF($J2865&lt;=1500,INDEX('Daily Sale entry '!$AA$1:$AA$1501,$J2865+1)&amp;"",INDEX('Daily Sale entry '!$P$1:$P$1501,$J2865-1499)&amp;""))</f>
        <v/>
      </c>
      <c r="E2865">
        <f>IF($J2865="","",IF($J2865&lt;=1500,IF(N(INDEX('Daily Sale entry '!$AB$1:$AB$1501,$J2865+1))=0,"",INDEX('Daily Sale entry '!$AB$1:$AB$1501,$J2865+1)),1))</f>
        <v/>
      </c>
      <c r="F2865" s="6">
        <f>IF($J2865="","",IF($J2865&lt;=1500,N(INDEX('Daily Sale entry '!$AC$1:$AC$1501,$J2865+1))-IF(AND('Opening Balance'!$B$15=1,INDEX('Daily Sale entry '!$Z$1:$Z$1501,$J2865+1)="Online collection 网上收款",INDEX('Daily Sale entry '!$AA$1:$AA$1501,$J2865+1)&lt;&gt;""),N(INDEX('Daily Sale entry '!$AC$1:$AC$1501,$J2865+1))-TRUNC(N(INDEX('Daily Sale entry '!$AC$1:$AC$1501,$J2865+1))),0),N(INDEX('Daily Sale entry '!$S$1:$S$1501,$J2865-1499))-'Opening Balance'!$B$15*(N(INDEX('Daily Sale entry '!$S$1:$S$1501,$J2865-1499))-TRUNC(N(INDEX('Daily Sale entry '!$S$1:$S$1501,$J2865-1499))))))</f>
        <v/>
      </c>
      <c r="G2865" s="6">
        <f>IF($J2865="","",IF($J2865&lt;=1500,N(INDEX('Daily Sale entry '!$AD$1:$AD$1501,$J2865+1)),0))</f>
        <v/>
      </c>
      <c r="H2865" s="6">
        <f>IF($J2865="","",ROUND('Opening Balance'!$B$4+SUM($F$2:F2865)-SUM($G$2:G2865),2))</f>
        <v/>
      </c>
      <c r="J2865" s="21">
        <f>IFERROR(MATCH(ROW()-1,$L$2:$L$3001,0),"")</f>
        <v/>
      </c>
      <c r="K2865" s="34">
        <f>IF(AND('Daily Sale entry '!Q1365="Collection 收款",'Daily Sale entry '!R1365="Cheque 支票",'Daily Sale entry '!V1365&lt;&gt;""),'Daily Sale entry '!V1365+ROW()/10000000,"")</f>
        <v/>
      </c>
      <c r="L2865" s="21">
        <f>IF(K2865="","",COUNTIF($K$2:$K$3001,"&lt;"&amp;K2865)+1)</f>
        <v/>
      </c>
    </row>
    <row r="2866">
      <c r="A2866" s="5">
        <f>IF($J2866="","",IF($J2866&lt;=1500,INDEX('Daily Sale entry '!$X$1:$X$1501,$J2866+1),INDEX('Daily Sale entry '!$V$1:$V$1501,$J2866-1499)))</f>
        <v/>
      </c>
      <c r="B2866">
        <f>IF($J2866="","",IF($J2866&lt;=1500,INDEX('Daily Sale entry '!$Y$1:$Y$1501,$J2866+1)&amp;"","Buyer cheque banked 买家支票存入"&amp;IF(INDEX('Daily Sale entry '!$U$1:$U$1501,$J2866-1499)="","", " - "&amp;INDEX('Daily Sale entry '!$U$1:$U$1501,$J2866-1499))))</f>
        <v/>
      </c>
      <c r="C2866">
        <f>IF($J2866="","",IF($J2866&lt;=1500,INDEX('Daily Sale entry '!$Z$1:$Z$1501,$J2866+1)&amp;"","Cheque deposit 支票存入 (buyer 买家)"))</f>
        <v/>
      </c>
      <c r="D2866">
        <f>IF($J2866="","",IF($J2866&lt;=1500,INDEX('Daily Sale entry '!$AA$1:$AA$1501,$J2866+1)&amp;"",INDEX('Daily Sale entry '!$P$1:$P$1501,$J2866-1499)&amp;""))</f>
        <v/>
      </c>
      <c r="E2866">
        <f>IF($J2866="","",IF($J2866&lt;=1500,IF(N(INDEX('Daily Sale entry '!$AB$1:$AB$1501,$J2866+1))=0,"",INDEX('Daily Sale entry '!$AB$1:$AB$1501,$J2866+1)),1))</f>
        <v/>
      </c>
      <c r="F2866" s="6">
        <f>IF($J2866="","",IF($J2866&lt;=1500,N(INDEX('Daily Sale entry '!$AC$1:$AC$1501,$J2866+1))-IF(AND('Opening Balance'!$B$15=1,INDEX('Daily Sale entry '!$Z$1:$Z$1501,$J2866+1)="Online collection 网上收款",INDEX('Daily Sale entry '!$AA$1:$AA$1501,$J2866+1)&lt;&gt;""),N(INDEX('Daily Sale entry '!$AC$1:$AC$1501,$J2866+1))-TRUNC(N(INDEX('Daily Sale entry '!$AC$1:$AC$1501,$J2866+1))),0),N(INDEX('Daily Sale entry '!$S$1:$S$1501,$J2866-1499))-'Opening Balance'!$B$15*(N(INDEX('Daily Sale entry '!$S$1:$S$1501,$J2866-1499))-TRUNC(N(INDEX('Daily Sale entry '!$S$1:$S$1501,$J2866-1499))))))</f>
        <v/>
      </c>
      <c r="G2866" s="6">
        <f>IF($J2866="","",IF($J2866&lt;=1500,N(INDEX('Daily Sale entry '!$AD$1:$AD$1501,$J2866+1)),0))</f>
        <v/>
      </c>
      <c r="H2866" s="6">
        <f>IF($J2866="","",ROUND('Opening Balance'!$B$4+SUM($F$2:F2866)-SUM($G$2:G2866),2))</f>
        <v/>
      </c>
      <c r="J2866" s="21">
        <f>IFERROR(MATCH(ROW()-1,$L$2:$L$3001,0),"")</f>
        <v/>
      </c>
      <c r="K2866" s="34">
        <f>IF(AND('Daily Sale entry '!Q1366="Collection 收款",'Daily Sale entry '!R1366="Cheque 支票",'Daily Sale entry '!V1366&lt;&gt;""),'Daily Sale entry '!V1366+ROW()/10000000,"")</f>
        <v/>
      </c>
      <c r="L2866" s="21">
        <f>IF(K2866="","",COUNTIF($K$2:$K$3001,"&lt;"&amp;K2866)+1)</f>
        <v/>
      </c>
    </row>
    <row r="2867">
      <c r="A2867" s="5">
        <f>IF($J2867="","",IF($J2867&lt;=1500,INDEX('Daily Sale entry '!$X$1:$X$1501,$J2867+1),INDEX('Daily Sale entry '!$V$1:$V$1501,$J2867-1499)))</f>
        <v/>
      </c>
      <c r="B2867">
        <f>IF($J2867="","",IF($J2867&lt;=1500,INDEX('Daily Sale entry '!$Y$1:$Y$1501,$J2867+1)&amp;"","Buyer cheque banked 买家支票存入"&amp;IF(INDEX('Daily Sale entry '!$U$1:$U$1501,$J2867-1499)="","", " - "&amp;INDEX('Daily Sale entry '!$U$1:$U$1501,$J2867-1499))))</f>
        <v/>
      </c>
      <c r="C2867">
        <f>IF($J2867="","",IF($J2867&lt;=1500,INDEX('Daily Sale entry '!$Z$1:$Z$1501,$J2867+1)&amp;"","Cheque deposit 支票存入 (buyer 买家)"))</f>
        <v/>
      </c>
      <c r="D2867">
        <f>IF($J2867="","",IF($J2867&lt;=1500,INDEX('Daily Sale entry '!$AA$1:$AA$1501,$J2867+1)&amp;"",INDEX('Daily Sale entry '!$P$1:$P$1501,$J2867-1499)&amp;""))</f>
        <v/>
      </c>
      <c r="E2867">
        <f>IF($J2867="","",IF($J2867&lt;=1500,IF(N(INDEX('Daily Sale entry '!$AB$1:$AB$1501,$J2867+1))=0,"",INDEX('Daily Sale entry '!$AB$1:$AB$1501,$J2867+1)),1))</f>
        <v/>
      </c>
      <c r="F2867" s="6">
        <f>IF($J2867="","",IF($J2867&lt;=1500,N(INDEX('Daily Sale entry '!$AC$1:$AC$1501,$J2867+1))-IF(AND('Opening Balance'!$B$15=1,INDEX('Daily Sale entry '!$Z$1:$Z$1501,$J2867+1)="Online collection 网上收款",INDEX('Daily Sale entry '!$AA$1:$AA$1501,$J2867+1)&lt;&gt;""),N(INDEX('Daily Sale entry '!$AC$1:$AC$1501,$J2867+1))-TRUNC(N(INDEX('Daily Sale entry '!$AC$1:$AC$1501,$J2867+1))),0),N(INDEX('Daily Sale entry '!$S$1:$S$1501,$J2867-1499))-'Opening Balance'!$B$15*(N(INDEX('Daily Sale entry '!$S$1:$S$1501,$J2867-1499))-TRUNC(N(INDEX('Daily Sale entry '!$S$1:$S$1501,$J2867-1499))))))</f>
        <v/>
      </c>
      <c r="G2867" s="6">
        <f>IF($J2867="","",IF($J2867&lt;=1500,N(INDEX('Daily Sale entry '!$AD$1:$AD$1501,$J2867+1)),0))</f>
        <v/>
      </c>
      <c r="H2867" s="6">
        <f>IF($J2867="","",ROUND('Opening Balance'!$B$4+SUM($F$2:F2867)-SUM($G$2:G2867),2))</f>
        <v/>
      </c>
      <c r="J2867" s="21">
        <f>IFERROR(MATCH(ROW()-1,$L$2:$L$3001,0),"")</f>
        <v/>
      </c>
      <c r="K2867" s="34">
        <f>IF(AND('Daily Sale entry '!Q1367="Collection 收款",'Daily Sale entry '!R1367="Cheque 支票",'Daily Sale entry '!V1367&lt;&gt;""),'Daily Sale entry '!V1367+ROW()/10000000,"")</f>
        <v/>
      </c>
      <c r="L2867" s="21">
        <f>IF(K2867="","",COUNTIF($K$2:$K$3001,"&lt;"&amp;K2867)+1)</f>
        <v/>
      </c>
    </row>
    <row r="2868">
      <c r="A2868" s="5">
        <f>IF($J2868="","",IF($J2868&lt;=1500,INDEX('Daily Sale entry '!$X$1:$X$1501,$J2868+1),INDEX('Daily Sale entry '!$V$1:$V$1501,$J2868-1499)))</f>
        <v/>
      </c>
      <c r="B2868">
        <f>IF($J2868="","",IF($J2868&lt;=1500,INDEX('Daily Sale entry '!$Y$1:$Y$1501,$J2868+1)&amp;"","Buyer cheque banked 买家支票存入"&amp;IF(INDEX('Daily Sale entry '!$U$1:$U$1501,$J2868-1499)="","", " - "&amp;INDEX('Daily Sale entry '!$U$1:$U$1501,$J2868-1499))))</f>
        <v/>
      </c>
      <c r="C2868">
        <f>IF($J2868="","",IF($J2868&lt;=1500,INDEX('Daily Sale entry '!$Z$1:$Z$1501,$J2868+1)&amp;"","Cheque deposit 支票存入 (buyer 买家)"))</f>
        <v/>
      </c>
      <c r="D2868">
        <f>IF($J2868="","",IF($J2868&lt;=1500,INDEX('Daily Sale entry '!$AA$1:$AA$1501,$J2868+1)&amp;"",INDEX('Daily Sale entry '!$P$1:$P$1501,$J2868-1499)&amp;""))</f>
        <v/>
      </c>
      <c r="E2868">
        <f>IF($J2868="","",IF($J2868&lt;=1500,IF(N(INDEX('Daily Sale entry '!$AB$1:$AB$1501,$J2868+1))=0,"",INDEX('Daily Sale entry '!$AB$1:$AB$1501,$J2868+1)),1))</f>
        <v/>
      </c>
      <c r="F2868" s="6">
        <f>IF($J2868="","",IF($J2868&lt;=1500,N(INDEX('Daily Sale entry '!$AC$1:$AC$1501,$J2868+1))-IF(AND('Opening Balance'!$B$15=1,INDEX('Daily Sale entry '!$Z$1:$Z$1501,$J2868+1)="Online collection 网上收款",INDEX('Daily Sale entry '!$AA$1:$AA$1501,$J2868+1)&lt;&gt;""),N(INDEX('Daily Sale entry '!$AC$1:$AC$1501,$J2868+1))-TRUNC(N(INDEX('Daily Sale entry '!$AC$1:$AC$1501,$J2868+1))),0),N(INDEX('Daily Sale entry '!$S$1:$S$1501,$J2868-1499))-'Opening Balance'!$B$15*(N(INDEX('Daily Sale entry '!$S$1:$S$1501,$J2868-1499))-TRUNC(N(INDEX('Daily Sale entry '!$S$1:$S$1501,$J2868-1499))))))</f>
        <v/>
      </c>
      <c r="G2868" s="6">
        <f>IF($J2868="","",IF($J2868&lt;=1500,N(INDEX('Daily Sale entry '!$AD$1:$AD$1501,$J2868+1)),0))</f>
        <v/>
      </c>
      <c r="H2868" s="6">
        <f>IF($J2868="","",ROUND('Opening Balance'!$B$4+SUM($F$2:F2868)-SUM($G$2:G2868),2))</f>
        <v/>
      </c>
      <c r="J2868" s="21">
        <f>IFERROR(MATCH(ROW()-1,$L$2:$L$3001,0),"")</f>
        <v/>
      </c>
      <c r="K2868" s="34">
        <f>IF(AND('Daily Sale entry '!Q1368="Collection 收款",'Daily Sale entry '!R1368="Cheque 支票",'Daily Sale entry '!V1368&lt;&gt;""),'Daily Sale entry '!V1368+ROW()/10000000,"")</f>
        <v/>
      </c>
      <c r="L2868" s="21">
        <f>IF(K2868="","",COUNTIF($K$2:$K$3001,"&lt;"&amp;K2868)+1)</f>
        <v/>
      </c>
    </row>
    <row r="2869">
      <c r="A2869" s="5">
        <f>IF($J2869="","",IF($J2869&lt;=1500,INDEX('Daily Sale entry '!$X$1:$X$1501,$J2869+1),INDEX('Daily Sale entry '!$V$1:$V$1501,$J2869-1499)))</f>
        <v/>
      </c>
      <c r="B2869">
        <f>IF($J2869="","",IF($J2869&lt;=1500,INDEX('Daily Sale entry '!$Y$1:$Y$1501,$J2869+1)&amp;"","Buyer cheque banked 买家支票存入"&amp;IF(INDEX('Daily Sale entry '!$U$1:$U$1501,$J2869-1499)="","", " - "&amp;INDEX('Daily Sale entry '!$U$1:$U$1501,$J2869-1499))))</f>
        <v/>
      </c>
      <c r="C2869">
        <f>IF($J2869="","",IF($J2869&lt;=1500,INDEX('Daily Sale entry '!$Z$1:$Z$1501,$J2869+1)&amp;"","Cheque deposit 支票存入 (buyer 买家)"))</f>
        <v/>
      </c>
      <c r="D2869">
        <f>IF($J2869="","",IF($J2869&lt;=1500,INDEX('Daily Sale entry '!$AA$1:$AA$1501,$J2869+1)&amp;"",INDEX('Daily Sale entry '!$P$1:$P$1501,$J2869-1499)&amp;""))</f>
        <v/>
      </c>
      <c r="E2869">
        <f>IF($J2869="","",IF($J2869&lt;=1500,IF(N(INDEX('Daily Sale entry '!$AB$1:$AB$1501,$J2869+1))=0,"",INDEX('Daily Sale entry '!$AB$1:$AB$1501,$J2869+1)),1))</f>
        <v/>
      </c>
      <c r="F2869" s="6">
        <f>IF($J2869="","",IF($J2869&lt;=1500,N(INDEX('Daily Sale entry '!$AC$1:$AC$1501,$J2869+1))-IF(AND('Opening Balance'!$B$15=1,INDEX('Daily Sale entry '!$Z$1:$Z$1501,$J2869+1)="Online collection 网上收款",INDEX('Daily Sale entry '!$AA$1:$AA$1501,$J2869+1)&lt;&gt;""),N(INDEX('Daily Sale entry '!$AC$1:$AC$1501,$J2869+1))-TRUNC(N(INDEX('Daily Sale entry '!$AC$1:$AC$1501,$J2869+1))),0),N(INDEX('Daily Sale entry '!$S$1:$S$1501,$J2869-1499))-'Opening Balance'!$B$15*(N(INDEX('Daily Sale entry '!$S$1:$S$1501,$J2869-1499))-TRUNC(N(INDEX('Daily Sale entry '!$S$1:$S$1501,$J2869-1499))))))</f>
        <v/>
      </c>
      <c r="G2869" s="6">
        <f>IF($J2869="","",IF($J2869&lt;=1500,N(INDEX('Daily Sale entry '!$AD$1:$AD$1501,$J2869+1)),0))</f>
        <v/>
      </c>
      <c r="H2869" s="6">
        <f>IF($J2869="","",ROUND('Opening Balance'!$B$4+SUM($F$2:F2869)-SUM($G$2:G2869),2))</f>
        <v/>
      </c>
      <c r="J2869" s="21">
        <f>IFERROR(MATCH(ROW()-1,$L$2:$L$3001,0),"")</f>
        <v/>
      </c>
      <c r="K2869" s="34">
        <f>IF(AND('Daily Sale entry '!Q1369="Collection 收款",'Daily Sale entry '!R1369="Cheque 支票",'Daily Sale entry '!V1369&lt;&gt;""),'Daily Sale entry '!V1369+ROW()/10000000,"")</f>
        <v/>
      </c>
      <c r="L2869" s="21">
        <f>IF(K2869="","",COUNTIF($K$2:$K$3001,"&lt;"&amp;K2869)+1)</f>
        <v/>
      </c>
    </row>
    <row r="2870">
      <c r="A2870" s="5">
        <f>IF($J2870="","",IF($J2870&lt;=1500,INDEX('Daily Sale entry '!$X$1:$X$1501,$J2870+1),INDEX('Daily Sale entry '!$V$1:$V$1501,$J2870-1499)))</f>
        <v/>
      </c>
      <c r="B2870">
        <f>IF($J2870="","",IF($J2870&lt;=1500,INDEX('Daily Sale entry '!$Y$1:$Y$1501,$J2870+1)&amp;"","Buyer cheque banked 买家支票存入"&amp;IF(INDEX('Daily Sale entry '!$U$1:$U$1501,$J2870-1499)="","", " - "&amp;INDEX('Daily Sale entry '!$U$1:$U$1501,$J2870-1499))))</f>
        <v/>
      </c>
      <c r="C2870">
        <f>IF($J2870="","",IF($J2870&lt;=1500,INDEX('Daily Sale entry '!$Z$1:$Z$1501,$J2870+1)&amp;"","Cheque deposit 支票存入 (buyer 买家)"))</f>
        <v/>
      </c>
      <c r="D2870">
        <f>IF($J2870="","",IF($J2870&lt;=1500,INDEX('Daily Sale entry '!$AA$1:$AA$1501,$J2870+1)&amp;"",INDEX('Daily Sale entry '!$P$1:$P$1501,$J2870-1499)&amp;""))</f>
        <v/>
      </c>
      <c r="E2870">
        <f>IF($J2870="","",IF($J2870&lt;=1500,IF(N(INDEX('Daily Sale entry '!$AB$1:$AB$1501,$J2870+1))=0,"",INDEX('Daily Sale entry '!$AB$1:$AB$1501,$J2870+1)),1))</f>
        <v/>
      </c>
      <c r="F2870" s="6">
        <f>IF($J2870="","",IF($J2870&lt;=1500,N(INDEX('Daily Sale entry '!$AC$1:$AC$1501,$J2870+1))-IF(AND('Opening Balance'!$B$15=1,INDEX('Daily Sale entry '!$Z$1:$Z$1501,$J2870+1)="Online collection 网上收款",INDEX('Daily Sale entry '!$AA$1:$AA$1501,$J2870+1)&lt;&gt;""),N(INDEX('Daily Sale entry '!$AC$1:$AC$1501,$J2870+1))-TRUNC(N(INDEX('Daily Sale entry '!$AC$1:$AC$1501,$J2870+1))),0),N(INDEX('Daily Sale entry '!$S$1:$S$1501,$J2870-1499))-'Opening Balance'!$B$15*(N(INDEX('Daily Sale entry '!$S$1:$S$1501,$J2870-1499))-TRUNC(N(INDEX('Daily Sale entry '!$S$1:$S$1501,$J2870-1499))))))</f>
        <v/>
      </c>
      <c r="G2870" s="6">
        <f>IF($J2870="","",IF($J2870&lt;=1500,N(INDEX('Daily Sale entry '!$AD$1:$AD$1501,$J2870+1)),0))</f>
        <v/>
      </c>
      <c r="H2870" s="6">
        <f>IF($J2870="","",ROUND('Opening Balance'!$B$4+SUM($F$2:F2870)-SUM($G$2:G2870),2))</f>
        <v/>
      </c>
      <c r="J2870" s="21">
        <f>IFERROR(MATCH(ROW()-1,$L$2:$L$3001,0),"")</f>
        <v/>
      </c>
      <c r="K2870" s="34">
        <f>IF(AND('Daily Sale entry '!Q1370="Collection 收款",'Daily Sale entry '!R1370="Cheque 支票",'Daily Sale entry '!V1370&lt;&gt;""),'Daily Sale entry '!V1370+ROW()/10000000,"")</f>
        <v/>
      </c>
      <c r="L2870" s="21">
        <f>IF(K2870="","",COUNTIF($K$2:$K$3001,"&lt;"&amp;K2870)+1)</f>
        <v/>
      </c>
    </row>
    <row r="2871">
      <c r="A2871" s="5">
        <f>IF($J2871="","",IF($J2871&lt;=1500,INDEX('Daily Sale entry '!$X$1:$X$1501,$J2871+1),INDEX('Daily Sale entry '!$V$1:$V$1501,$J2871-1499)))</f>
        <v/>
      </c>
      <c r="B2871">
        <f>IF($J2871="","",IF($J2871&lt;=1500,INDEX('Daily Sale entry '!$Y$1:$Y$1501,$J2871+1)&amp;"","Buyer cheque banked 买家支票存入"&amp;IF(INDEX('Daily Sale entry '!$U$1:$U$1501,$J2871-1499)="","", " - "&amp;INDEX('Daily Sale entry '!$U$1:$U$1501,$J2871-1499))))</f>
        <v/>
      </c>
      <c r="C2871">
        <f>IF($J2871="","",IF($J2871&lt;=1500,INDEX('Daily Sale entry '!$Z$1:$Z$1501,$J2871+1)&amp;"","Cheque deposit 支票存入 (buyer 买家)"))</f>
        <v/>
      </c>
      <c r="D2871">
        <f>IF($J2871="","",IF($J2871&lt;=1500,INDEX('Daily Sale entry '!$AA$1:$AA$1501,$J2871+1)&amp;"",INDEX('Daily Sale entry '!$P$1:$P$1501,$J2871-1499)&amp;""))</f>
        <v/>
      </c>
      <c r="E2871">
        <f>IF($J2871="","",IF($J2871&lt;=1500,IF(N(INDEX('Daily Sale entry '!$AB$1:$AB$1501,$J2871+1))=0,"",INDEX('Daily Sale entry '!$AB$1:$AB$1501,$J2871+1)),1))</f>
        <v/>
      </c>
      <c r="F2871" s="6">
        <f>IF($J2871="","",IF($J2871&lt;=1500,N(INDEX('Daily Sale entry '!$AC$1:$AC$1501,$J2871+1))-IF(AND('Opening Balance'!$B$15=1,INDEX('Daily Sale entry '!$Z$1:$Z$1501,$J2871+1)="Online collection 网上收款",INDEX('Daily Sale entry '!$AA$1:$AA$1501,$J2871+1)&lt;&gt;""),N(INDEX('Daily Sale entry '!$AC$1:$AC$1501,$J2871+1))-TRUNC(N(INDEX('Daily Sale entry '!$AC$1:$AC$1501,$J2871+1))),0),N(INDEX('Daily Sale entry '!$S$1:$S$1501,$J2871-1499))-'Opening Balance'!$B$15*(N(INDEX('Daily Sale entry '!$S$1:$S$1501,$J2871-1499))-TRUNC(N(INDEX('Daily Sale entry '!$S$1:$S$1501,$J2871-1499))))))</f>
        <v/>
      </c>
      <c r="G2871" s="6">
        <f>IF($J2871="","",IF($J2871&lt;=1500,N(INDEX('Daily Sale entry '!$AD$1:$AD$1501,$J2871+1)),0))</f>
        <v/>
      </c>
      <c r="H2871" s="6">
        <f>IF($J2871="","",ROUND('Opening Balance'!$B$4+SUM($F$2:F2871)-SUM($G$2:G2871),2))</f>
        <v/>
      </c>
      <c r="J2871" s="21">
        <f>IFERROR(MATCH(ROW()-1,$L$2:$L$3001,0),"")</f>
        <v/>
      </c>
      <c r="K2871" s="34">
        <f>IF(AND('Daily Sale entry '!Q1371="Collection 收款",'Daily Sale entry '!R1371="Cheque 支票",'Daily Sale entry '!V1371&lt;&gt;""),'Daily Sale entry '!V1371+ROW()/10000000,"")</f>
        <v/>
      </c>
      <c r="L2871" s="21">
        <f>IF(K2871="","",COUNTIF($K$2:$K$3001,"&lt;"&amp;K2871)+1)</f>
        <v/>
      </c>
    </row>
    <row r="2872">
      <c r="A2872" s="5">
        <f>IF($J2872="","",IF($J2872&lt;=1500,INDEX('Daily Sale entry '!$X$1:$X$1501,$J2872+1),INDEX('Daily Sale entry '!$V$1:$V$1501,$J2872-1499)))</f>
        <v/>
      </c>
      <c r="B2872">
        <f>IF($J2872="","",IF($J2872&lt;=1500,INDEX('Daily Sale entry '!$Y$1:$Y$1501,$J2872+1)&amp;"","Buyer cheque banked 买家支票存入"&amp;IF(INDEX('Daily Sale entry '!$U$1:$U$1501,$J2872-1499)="","", " - "&amp;INDEX('Daily Sale entry '!$U$1:$U$1501,$J2872-1499))))</f>
        <v/>
      </c>
      <c r="C2872">
        <f>IF($J2872="","",IF($J2872&lt;=1500,INDEX('Daily Sale entry '!$Z$1:$Z$1501,$J2872+1)&amp;"","Cheque deposit 支票存入 (buyer 买家)"))</f>
        <v/>
      </c>
      <c r="D2872">
        <f>IF($J2872="","",IF($J2872&lt;=1500,INDEX('Daily Sale entry '!$AA$1:$AA$1501,$J2872+1)&amp;"",INDEX('Daily Sale entry '!$P$1:$P$1501,$J2872-1499)&amp;""))</f>
        <v/>
      </c>
      <c r="E2872">
        <f>IF($J2872="","",IF($J2872&lt;=1500,IF(N(INDEX('Daily Sale entry '!$AB$1:$AB$1501,$J2872+1))=0,"",INDEX('Daily Sale entry '!$AB$1:$AB$1501,$J2872+1)),1))</f>
        <v/>
      </c>
      <c r="F2872" s="6">
        <f>IF($J2872="","",IF($J2872&lt;=1500,N(INDEX('Daily Sale entry '!$AC$1:$AC$1501,$J2872+1))-IF(AND('Opening Balance'!$B$15=1,INDEX('Daily Sale entry '!$Z$1:$Z$1501,$J2872+1)="Online collection 网上收款",INDEX('Daily Sale entry '!$AA$1:$AA$1501,$J2872+1)&lt;&gt;""),N(INDEX('Daily Sale entry '!$AC$1:$AC$1501,$J2872+1))-TRUNC(N(INDEX('Daily Sale entry '!$AC$1:$AC$1501,$J2872+1))),0),N(INDEX('Daily Sale entry '!$S$1:$S$1501,$J2872-1499))-'Opening Balance'!$B$15*(N(INDEX('Daily Sale entry '!$S$1:$S$1501,$J2872-1499))-TRUNC(N(INDEX('Daily Sale entry '!$S$1:$S$1501,$J2872-1499))))))</f>
        <v/>
      </c>
      <c r="G2872" s="6">
        <f>IF($J2872="","",IF($J2872&lt;=1500,N(INDEX('Daily Sale entry '!$AD$1:$AD$1501,$J2872+1)),0))</f>
        <v/>
      </c>
      <c r="H2872" s="6">
        <f>IF($J2872="","",ROUND('Opening Balance'!$B$4+SUM($F$2:F2872)-SUM($G$2:G2872),2))</f>
        <v/>
      </c>
      <c r="J2872" s="21">
        <f>IFERROR(MATCH(ROW()-1,$L$2:$L$3001,0),"")</f>
        <v/>
      </c>
      <c r="K2872" s="34">
        <f>IF(AND('Daily Sale entry '!Q1372="Collection 收款",'Daily Sale entry '!R1372="Cheque 支票",'Daily Sale entry '!V1372&lt;&gt;""),'Daily Sale entry '!V1372+ROW()/10000000,"")</f>
        <v/>
      </c>
      <c r="L2872" s="21">
        <f>IF(K2872="","",COUNTIF($K$2:$K$3001,"&lt;"&amp;K2872)+1)</f>
        <v/>
      </c>
    </row>
    <row r="2873">
      <c r="A2873" s="5">
        <f>IF($J2873="","",IF($J2873&lt;=1500,INDEX('Daily Sale entry '!$X$1:$X$1501,$J2873+1),INDEX('Daily Sale entry '!$V$1:$V$1501,$J2873-1499)))</f>
        <v/>
      </c>
      <c r="B2873">
        <f>IF($J2873="","",IF($J2873&lt;=1500,INDEX('Daily Sale entry '!$Y$1:$Y$1501,$J2873+1)&amp;"","Buyer cheque banked 买家支票存入"&amp;IF(INDEX('Daily Sale entry '!$U$1:$U$1501,$J2873-1499)="","", " - "&amp;INDEX('Daily Sale entry '!$U$1:$U$1501,$J2873-1499))))</f>
        <v/>
      </c>
      <c r="C2873">
        <f>IF($J2873="","",IF($J2873&lt;=1500,INDEX('Daily Sale entry '!$Z$1:$Z$1501,$J2873+1)&amp;"","Cheque deposit 支票存入 (buyer 买家)"))</f>
        <v/>
      </c>
      <c r="D2873">
        <f>IF($J2873="","",IF($J2873&lt;=1500,INDEX('Daily Sale entry '!$AA$1:$AA$1501,$J2873+1)&amp;"",INDEX('Daily Sale entry '!$P$1:$P$1501,$J2873-1499)&amp;""))</f>
        <v/>
      </c>
      <c r="E2873">
        <f>IF($J2873="","",IF($J2873&lt;=1500,IF(N(INDEX('Daily Sale entry '!$AB$1:$AB$1501,$J2873+1))=0,"",INDEX('Daily Sale entry '!$AB$1:$AB$1501,$J2873+1)),1))</f>
        <v/>
      </c>
      <c r="F2873" s="6">
        <f>IF($J2873="","",IF($J2873&lt;=1500,N(INDEX('Daily Sale entry '!$AC$1:$AC$1501,$J2873+1))-IF(AND('Opening Balance'!$B$15=1,INDEX('Daily Sale entry '!$Z$1:$Z$1501,$J2873+1)="Online collection 网上收款",INDEX('Daily Sale entry '!$AA$1:$AA$1501,$J2873+1)&lt;&gt;""),N(INDEX('Daily Sale entry '!$AC$1:$AC$1501,$J2873+1))-TRUNC(N(INDEX('Daily Sale entry '!$AC$1:$AC$1501,$J2873+1))),0),N(INDEX('Daily Sale entry '!$S$1:$S$1501,$J2873-1499))-'Opening Balance'!$B$15*(N(INDEX('Daily Sale entry '!$S$1:$S$1501,$J2873-1499))-TRUNC(N(INDEX('Daily Sale entry '!$S$1:$S$1501,$J2873-1499))))))</f>
        <v/>
      </c>
      <c r="G2873" s="6">
        <f>IF($J2873="","",IF($J2873&lt;=1500,N(INDEX('Daily Sale entry '!$AD$1:$AD$1501,$J2873+1)),0))</f>
        <v/>
      </c>
      <c r="H2873" s="6">
        <f>IF($J2873="","",ROUND('Opening Balance'!$B$4+SUM($F$2:F2873)-SUM($G$2:G2873),2))</f>
        <v/>
      </c>
      <c r="J2873" s="21">
        <f>IFERROR(MATCH(ROW()-1,$L$2:$L$3001,0),"")</f>
        <v/>
      </c>
      <c r="K2873" s="34">
        <f>IF(AND('Daily Sale entry '!Q1373="Collection 收款",'Daily Sale entry '!R1373="Cheque 支票",'Daily Sale entry '!V1373&lt;&gt;""),'Daily Sale entry '!V1373+ROW()/10000000,"")</f>
        <v/>
      </c>
      <c r="L2873" s="21">
        <f>IF(K2873="","",COUNTIF($K$2:$K$3001,"&lt;"&amp;K2873)+1)</f>
        <v/>
      </c>
    </row>
    <row r="2874">
      <c r="A2874" s="5">
        <f>IF($J2874="","",IF($J2874&lt;=1500,INDEX('Daily Sale entry '!$X$1:$X$1501,$J2874+1),INDEX('Daily Sale entry '!$V$1:$V$1501,$J2874-1499)))</f>
        <v/>
      </c>
      <c r="B2874">
        <f>IF($J2874="","",IF($J2874&lt;=1500,INDEX('Daily Sale entry '!$Y$1:$Y$1501,$J2874+1)&amp;"","Buyer cheque banked 买家支票存入"&amp;IF(INDEX('Daily Sale entry '!$U$1:$U$1501,$J2874-1499)="","", " - "&amp;INDEX('Daily Sale entry '!$U$1:$U$1501,$J2874-1499))))</f>
        <v/>
      </c>
      <c r="C2874">
        <f>IF($J2874="","",IF($J2874&lt;=1500,INDEX('Daily Sale entry '!$Z$1:$Z$1501,$J2874+1)&amp;"","Cheque deposit 支票存入 (buyer 买家)"))</f>
        <v/>
      </c>
      <c r="D2874">
        <f>IF($J2874="","",IF($J2874&lt;=1500,INDEX('Daily Sale entry '!$AA$1:$AA$1501,$J2874+1)&amp;"",INDEX('Daily Sale entry '!$P$1:$P$1501,$J2874-1499)&amp;""))</f>
        <v/>
      </c>
      <c r="E2874">
        <f>IF($J2874="","",IF($J2874&lt;=1500,IF(N(INDEX('Daily Sale entry '!$AB$1:$AB$1501,$J2874+1))=0,"",INDEX('Daily Sale entry '!$AB$1:$AB$1501,$J2874+1)),1))</f>
        <v/>
      </c>
      <c r="F2874" s="6">
        <f>IF($J2874="","",IF($J2874&lt;=1500,N(INDEX('Daily Sale entry '!$AC$1:$AC$1501,$J2874+1))-IF(AND('Opening Balance'!$B$15=1,INDEX('Daily Sale entry '!$Z$1:$Z$1501,$J2874+1)="Online collection 网上收款",INDEX('Daily Sale entry '!$AA$1:$AA$1501,$J2874+1)&lt;&gt;""),N(INDEX('Daily Sale entry '!$AC$1:$AC$1501,$J2874+1))-TRUNC(N(INDEX('Daily Sale entry '!$AC$1:$AC$1501,$J2874+1))),0),N(INDEX('Daily Sale entry '!$S$1:$S$1501,$J2874-1499))-'Opening Balance'!$B$15*(N(INDEX('Daily Sale entry '!$S$1:$S$1501,$J2874-1499))-TRUNC(N(INDEX('Daily Sale entry '!$S$1:$S$1501,$J2874-1499))))))</f>
        <v/>
      </c>
      <c r="G2874" s="6">
        <f>IF($J2874="","",IF($J2874&lt;=1500,N(INDEX('Daily Sale entry '!$AD$1:$AD$1501,$J2874+1)),0))</f>
        <v/>
      </c>
      <c r="H2874" s="6">
        <f>IF($J2874="","",ROUND('Opening Balance'!$B$4+SUM($F$2:F2874)-SUM($G$2:G2874),2))</f>
        <v/>
      </c>
      <c r="J2874" s="21">
        <f>IFERROR(MATCH(ROW()-1,$L$2:$L$3001,0),"")</f>
        <v/>
      </c>
      <c r="K2874" s="34">
        <f>IF(AND('Daily Sale entry '!Q1374="Collection 收款",'Daily Sale entry '!R1374="Cheque 支票",'Daily Sale entry '!V1374&lt;&gt;""),'Daily Sale entry '!V1374+ROW()/10000000,"")</f>
        <v/>
      </c>
      <c r="L2874" s="21">
        <f>IF(K2874="","",COUNTIF($K$2:$K$3001,"&lt;"&amp;K2874)+1)</f>
        <v/>
      </c>
    </row>
    <row r="2875">
      <c r="A2875" s="5">
        <f>IF($J2875="","",IF($J2875&lt;=1500,INDEX('Daily Sale entry '!$X$1:$X$1501,$J2875+1),INDEX('Daily Sale entry '!$V$1:$V$1501,$J2875-1499)))</f>
        <v/>
      </c>
      <c r="B2875">
        <f>IF($J2875="","",IF($J2875&lt;=1500,INDEX('Daily Sale entry '!$Y$1:$Y$1501,$J2875+1)&amp;"","Buyer cheque banked 买家支票存入"&amp;IF(INDEX('Daily Sale entry '!$U$1:$U$1501,$J2875-1499)="","", " - "&amp;INDEX('Daily Sale entry '!$U$1:$U$1501,$J2875-1499))))</f>
        <v/>
      </c>
      <c r="C2875">
        <f>IF($J2875="","",IF($J2875&lt;=1500,INDEX('Daily Sale entry '!$Z$1:$Z$1501,$J2875+1)&amp;"","Cheque deposit 支票存入 (buyer 买家)"))</f>
        <v/>
      </c>
      <c r="D2875">
        <f>IF($J2875="","",IF($J2875&lt;=1500,INDEX('Daily Sale entry '!$AA$1:$AA$1501,$J2875+1)&amp;"",INDEX('Daily Sale entry '!$P$1:$P$1501,$J2875-1499)&amp;""))</f>
        <v/>
      </c>
      <c r="E2875">
        <f>IF($J2875="","",IF($J2875&lt;=1500,IF(N(INDEX('Daily Sale entry '!$AB$1:$AB$1501,$J2875+1))=0,"",INDEX('Daily Sale entry '!$AB$1:$AB$1501,$J2875+1)),1))</f>
        <v/>
      </c>
      <c r="F2875" s="6">
        <f>IF($J2875="","",IF($J2875&lt;=1500,N(INDEX('Daily Sale entry '!$AC$1:$AC$1501,$J2875+1))-IF(AND('Opening Balance'!$B$15=1,INDEX('Daily Sale entry '!$Z$1:$Z$1501,$J2875+1)="Online collection 网上收款",INDEX('Daily Sale entry '!$AA$1:$AA$1501,$J2875+1)&lt;&gt;""),N(INDEX('Daily Sale entry '!$AC$1:$AC$1501,$J2875+1))-TRUNC(N(INDEX('Daily Sale entry '!$AC$1:$AC$1501,$J2875+1))),0),N(INDEX('Daily Sale entry '!$S$1:$S$1501,$J2875-1499))-'Opening Balance'!$B$15*(N(INDEX('Daily Sale entry '!$S$1:$S$1501,$J2875-1499))-TRUNC(N(INDEX('Daily Sale entry '!$S$1:$S$1501,$J2875-1499))))))</f>
        <v/>
      </c>
      <c r="G2875" s="6">
        <f>IF($J2875="","",IF($J2875&lt;=1500,N(INDEX('Daily Sale entry '!$AD$1:$AD$1501,$J2875+1)),0))</f>
        <v/>
      </c>
      <c r="H2875" s="6">
        <f>IF($J2875="","",ROUND('Opening Balance'!$B$4+SUM($F$2:F2875)-SUM($G$2:G2875),2))</f>
        <v/>
      </c>
      <c r="J2875" s="21">
        <f>IFERROR(MATCH(ROW()-1,$L$2:$L$3001,0),"")</f>
        <v/>
      </c>
      <c r="K2875" s="34">
        <f>IF(AND('Daily Sale entry '!Q1375="Collection 收款",'Daily Sale entry '!R1375="Cheque 支票",'Daily Sale entry '!V1375&lt;&gt;""),'Daily Sale entry '!V1375+ROW()/10000000,"")</f>
        <v/>
      </c>
      <c r="L2875" s="21">
        <f>IF(K2875="","",COUNTIF($K$2:$K$3001,"&lt;"&amp;K2875)+1)</f>
        <v/>
      </c>
    </row>
    <row r="2876">
      <c r="A2876" s="5">
        <f>IF($J2876="","",IF($J2876&lt;=1500,INDEX('Daily Sale entry '!$X$1:$X$1501,$J2876+1),INDEX('Daily Sale entry '!$V$1:$V$1501,$J2876-1499)))</f>
        <v/>
      </c>
      <c r="B2876">
        <f>IF($J2876="","",IF($J2876&lt;=1500,INDEX('Daily Sale entry '!$Y$1:$Y$1501,$J2876+1)&amp;"","Buyer cheque banked 买家支票存入"&amp;IF(INDEX('Daily Sale entry '!$U$1:$U$1501,$J2876-1499)="","", " - "&amp;INDEX('Daily Sale entry '!$U$1:$U$1501,$J2876-1499))))</f>
        <v/>
      </c>
      <c r="C2876">
        <f>IF($J2876="","",IF($J2876&lt;=1500,INDEX('Daily Sale entry '!$Z$1:$Z$1501,$J2876+1)&amp;"","Cheque deposit 支票存入 (buyer 买家)"))</f>
        <v/>
      </c>
      <c r="D2876">
        <f>IF($J2876="","",IF($J2876&lt;=1500,INDEX('Daily Sale entry '!$AA$1:$AA$1501,$J2876+1)&amp;"",INDEX('Daily Sale entry '!$P$1:$P$1501,$J2876-1499)&amp;""))</f>
        <v/>
      </c>
      <c r="E2876">
        <f>IF($J2876="","",IF($J2876&lt;=1500,IF(N(INDEX('Daily Sale entry '!$AB$1:$AB$1501,$J2876+1))=0,"",INDEX('Daily Sale entry '!$AB$1:$AB$1501,$J2876+1)),1))</f>
        <v/>
      </c>
      <c r="F2876" s="6">
        <f>IF($J2876="","",IF($J2876&lt;=1500,N(INDEX('Daily Sale entry '!$AC$1:$AC$1501,$J2876+1))-IF(AND('Opening Balance'!$B$15=1,INDEX('Daily Sale entry '!$Z$1:$Z$1501,$J2876+1)="Online collection 网上收款",INDEX('Daily Sale entry '!$AA$1:$AA$1501,$J2876+1)&lt;&gt;""),N(INDEX('Daily Sale entry '!$AC$1:$AC$1501,$J2876+1))-TRUNC(N(INDEX('Daily Sale entry '!$AC$1:$AC$1501,$J2876+1))),0),N(INDEX('Daily Sale entry '!$S$1:$S$1501,$J2876-1499))-'Opening Balance'!$B$15*(N(INDEX('Daily Sale entry '!$S$1:$S$1501,$J2876-1499))-TRUNC(N(INDEX('Daily Sale entry '!$S$1:$S$1501,$J2876-1499))))))</f>
        <v/>
      </c>
      <c r="G2876" s="6">
        <f>IF($J2876="","",IF($J2876&lt;=1500,N(INDEX('Daily Sale entry '!$AD$1:$AD$1501,$J2876+1)),0))</f>
        <v/>
      </c>
      <c r="H2876" s="6">
        <f>IF($J2876="","",ROUND('Opening Balance'!$B$4+SUM($F$2:F2876)-SUM($G$2:G2876),2))</f>
        <v/>
      </c>
      <c r="J2876" s="21">
        <f>IFERROR(MATCH(ROW()-1,$L$2:$L$3001,0),"")</f>
        <v/>
      </c>
      <c r="K2876" s="34">
        <f>IF(AND('Daily Sale entry '!Q1376="Collection 收款",'Daily Sale entry '!R1376="Cheque 支票",'Daily Sale entry '!V1376&lt;&gt;""),'Daily Sale entry '!V1376+ROW()/10000000,"")</f>
        <v/>
      </c>
      <c r="L2876" s="21">
        <f>IF(K2876="","",COUNTIF($K$2:$K$3001,"&lt;"&amp;K2876)+1)</f>
        <v/>
      </c>
    </row>
    <row r="2877">
      <c r="A2877" s="5">
        <f>IF($J2877="","",IF($J2877&lt;=1500,INDEX('Daily Sale entry '!$X$1:$X$1501,$J2877+1),INDEX('Daily Sale entry '!$V$1:$V$1501,$J2877-1499)))</f>
        <v/>
      </c>
      <c r="B2877">
        <f>IF($J2877="","",IF($J2877&lt;=1500,INDEX('Daily Sale entry '!$Y$1:$Y$1501,$J2877+1)&amp;"","Buyer cheque banked 买家支票存入"&amp;IF(INDEX('Daily Sale entry '!$U$1:$U$1501,$J2877-1499)="","", " - "&amp;INDEX('Daily Sale entry '!$U$1:$U$1501,$J2877-1499))))</f>
        <v/>
      </c>
      <c r="C2877">
        <f>IF($J2877="","",IF($J2877&lt;=1500,INDEX('Daily Sale entry '!$Z$1:$Z$1501,$J2877+1)&amp;"","Cheque deposit 支票存入 (buyer 买家)"))</f>
        <v/>
      </c>
      <c r="D2877">
        <f>IF($J2877="","",IF($J2877&lt;=1500,INDEX('Daily Sale entry '!$AA$1:$AA$1501,$J2877+1)&amp;"",INDEX('Daily Sale entry '!$P$1:$P$1501,$J2877-1499)&amp;""))</f>
        <v/>
      </c>
      <c r="E2877">
        <f>IF($J2877="","",IF($J2877&lt;=1500,IF(N(INDEX('Daily Sale entry '!$AB$1:$AB$1501,$J2877+1))=0,"",INDEX('Daily Sale entry '!$AB$1:$AB$1501,$J2877+1)),1))</f>
        <v/>
      </c>
      <c r="F2877" s="6">
        <f>IF($J2877="","",IF($J2877&lt;=1500,N(INDEX('Daily Sale entry '!$AC$1:$AC$1501,$J2877+1))-IF(AND('Opening Balance'!$B$15=1,INDEX('Daily Sale entry '!$Z$1:$Z$1501,$J2877+1)="Online collection 网上收款",INDEX('Daily Sale entry '!$AA$1:$AA$1501,$J2877+1)&lt;&gt;""),N(INDEX('Daily Sale entry '!$AC$1:$AC$1501,$J2877+1))-TRUNC(N(INDEX('Daily Sale entry '!$AC$1:$AC$1501,$J2877+1))),0),N(INDEX('Daily Sale entry '!$S$1:$S$1501,$J2877-1499))-'Opening Balance'!$B$15*(N(INDEX('Daily Sale entry '!$S$1:$S$1501,$J2877-1499))-TRUNC(N(INDEX('Daily Sale entry '!$S$1:$S$1501,$J2877-1499))))))</f>
        <v/>
      </c>
      <c r="G2877" s="6">
        <f>IF($J2877="","",IF($J2877&lt;=1500,N(INDEX('Daily Sale entry '!$AD$1:$AD$1501,$J2877+1)),0))</f>
        <v/>
      </c>
      <c r="H2877" s="6">
        <f>IF($J2877="","",ROUND('Opening Balance'!$B$4+SUM($F$2:F2877)-SUM($G$2:G2877),2))</f>
        <v/>
      </c>
      <c r="J2877" s="21">
        <f>IFERROR(MATCH(ROW()-1,$L$2:$L$3001,0),"")</f>
        <v/>
      </c>
      <c r="K2877" s="34">
        <f>IF(AND('Daily Sale entry '!Q1377="Collection 收款",'Daily Sale entry '!R1377="Cheque 支票",'Daily Sale entry '!V1377&lt;&gt;""),'Daily Sale entry '!V1377+ROW()/10000000,"")</f>
        <v/>
      </c>
      <c r="L2877" s="21">
        <f>IF(K2877="","",COUNTIF($K$2:$K$3001,"&lt;"&amp;K2877)+1)</f>
        <v/>
      </c>
    </row>
    <row r="2878">
      <c r="A2878" s="5">
        <f>IF($J2878="","",IF($J2878&lt;=1500,INDEX('Daily Sale entry '!$X$1:$X$1501,$J2878+1),INDEX('Daily Sale entry '!$V$1:$V$1501,$J2878-1499)))</f>
        <v/>
      </c>
      <c r="B2878">
        <f>IF($J2878="","",IF($J2878&lt;=1500,INDEX('Daily Sale entry '!$Y$1:$Y$1501,$J2878+1)&amp;"","Buyer cheque banked 买家支票存入"&amp;IF(INDEX('Daily Sale entry '!$U$1:$U$1501,$J2878-1499)="","", " - "&amp;INDEX('Daily Sale entry '!$U$1:$U$1501,$J2878-1499))))</f>
        <v/>
      </c>
      <c r="C2878">
        <f>IF($J2878="","",IF($J2878&lt;=1500,INDEX('Daily Sale entry '!$Z$1:$Z$1501,$J2878+1)&amp;"","Cheque deposit 支票存入 (buyer 买家)"))</f>
        <v/>
      </c>
      <c r="D2878">
        <f>IF($J2878="","",IF($J2878&lt;=1500,INDEX('Daily Sale entry '!$AA$1:$AA$1501,$J2878+1)&amp;"",INDEX('Daily Sale entry '!$P$1:$P$1501,$J2878-1499)&amp;""))</f>
        <v/>
      </c>
      <c r="E2878">
        <f>IF($J2878="","",IF($J2878&lt;=1500,IF(N(INDEX('Daily Sale entry '!$AB$1:$AB$1501,$J2878+1))=0,"",INDEX('Daily Sale entry '!$AB$1:$AB$1501,$J2878+1)),1))</f>
        <v/>
      </c>
      <c r="F2878" s="6">
        <f>IF($J2878="","",IF($J2878&lt;=1500,N(INDEX('Daily Sale entry '!$AC$1:$AC$1501,$J2878+1))-IF(AND('Opening Balance'!$B$15=1,INDEX('Daily Sale entry '!$Z$1:$Z$1501,$J2878+1)="Online collection 网上收款",INDEX('Daily Sale entry '!$AA$1:$AA$1501,$J2878+1)&lt;&gt;""),N(INDEX('Daily Sale entry '!$AC$1:$AC$1501,$J2878+1))-TRUNC(N(INDEX('Daily Sale entry '!$AC$1:$AC$1501,$J2878+1))),0),N(INDEX('Daily Sale entry '!$S$1:$S$1501,$J2878-1499))-'Opening Balance'!$B$15*(N(INDEX('Daily Sale entry '!$S$1:$S$1501,$J2878-1499))-TRUNC(N(INDEX('Daily Sale entry '!$S$1:$S$1501,$J2878-1499))))))</f>
        <v/>
      </c>
      <c r="G2878" s="6">
        <f>IF($J2878="","",IF($J2878&lt;=1500,N(INDEX('Daily Sale entry '!$AD$1:$AD$1501,$J2878+1)),0))</f>
        <v/>
      </c>
      <c r="H2878" s="6">
        <f>IF($J2878="","",ROUND('Opening Balance'!$B$4+SUM($F$2:F2878)-SUM($G$2:G2878),2))</f>
        <v/>
      </c>
      <c r="J2878" s="21">
        <f>IFERROR(MATCH(ROW()-1,$L$2:$L$3001,0),"")</f>
        <v/>
      </c>
      <c r="K2878" s="34">
        <f>IF(AND('Daily Sale entry '!Q1378="Collection 收款",'Daily Sale entry '!R1378="Cheque 支票",'Daily Sale entry '!V1378&lt;&gt;""),'Daily Sale entry '!V1378+ROW()/10000000,"")</f>
        <v/>
      </c>
      <c r="L2878" s="21">
        <f>IF(K2878="","",COUNTIF($K$2:$K$3001,"&lt;"&amp;K2878)+1)</f>
        <v/>
      </c>
    </row>
    <row r="2879">
      <c r="A2879" s="5">
        <f>IF($J2879="","",IF($J2879&lt;=1500,INDEX('Daily Sale entry '!$X$1:$X$1501,$J2879+1),INDEX('Daily Sale entry '!$V$1:$V$1501,$J2879-1499)))</f>
        <v/>
      </c>
      <c r="B2879">
        <f>IF($J2879="","",IF($J2879&lt;=1500,INDEX('Daily Sale entry '!$Y$1:$Y$1501,$J2879+1)&amp;"","Buyer cheque banked 买家支票存入"&amp;IF(INDEX('Daily Sale entry '!$U$1:$U$1501,$J2879-1499)="","", " - "&amp;INDEX('Daily Sale entry '!$U$1:$U$1501,$J2879-1499))))</f>
        <v/>
      </c>
      <c r="C2879">
        <f>IF($J2879="","",IF($J2879&lt;=1500,INDEX('Daily Sale entry '!$Z$1:$Z$1501,$J2879+1)&amp;"","Cheque deposit 支票存入 (buyer 买家)"))</f>
        <v/>
      </c>
      <c r="D2879">
        <f>IF($J2879="","",IF($J2879&lt;=1500,INDEX('Daily Sale entry '!$AA$1:$AA$1501,$J2879+1)&amp;"",INDEX('Daily Sale entry '!$P$1:$P$1501,$J2879-1499)&amp;""))</f>
        <v/>
      </c>
      <c r="E2879">
        <f>IF($J2879="","",IF($J2879&lt;=1500,IF(N(INDEX('Daily Sale entry '!$AB$1:$AB$1501,$J2879+1))=0,"",INDEX('Daily Sale entry '!$AB$1:$AB$1501,$J2879+1)),1))</f>
        <v/>
      </c>
      <c r="F2879" s="6">
        <f>IF($J2879="","",IF($J2879&lt;=1500,N(INDEX('Daily Sale entry '!$AC$1:$AC$1501,$J2879+1))-IF(AND('Opening Balance'!$B$15=1,INDEX('Daily Sale entry '!$Z$1:$Z$1501,$J2879+1)="Online collection 网上收款",INDEX('Daily Sale entry '!$AA$1:$AA$1501,$J2879+1)&lt;&gt;""),N(INDEX('Daily Sale entry '!$AC$1:$AC$1501,$J2879+1))-TRUNC(N(INDEX('Daily Sale entry '!$AC$1:$AC$1501,$J2879+1))),0),N(INDEX('Daily Sale entry '!$S$1:$S$1501,$J2879-1499))-'Opening Balance'!$B$15*(N(INDEX('Daily Sale entry '!$S$1:$S$1501,$J2879-1499))-TRUNC(N(INDEX('Daily Sale entry '!$S$1:$S$1501,$J2879-1499))))))</f>
        <v/>
      </c>
      <c r="G2879" s="6">
        <f>IF($J2879="","",IF($J2879&lt;=1500,N(INDEX('Daily Sale entry '!$AD$1:$AD$1501,$J2879+1)),0))</f>
        <v/>
      </c>
      <c r="H2879" s="6">
        <f>IF($J2879="","",ROUND('Opening Balance'!$B$4+SUM($F$2:F2879)-SUM($G$2:G2879),2))</f>
        <v/>
      </c>
      <c r="J2879" s="21">
        <f>IFERROR(MATCH(ROW()-1,$L$2:$L$3001,0),"")</f>
        <v/>
      </c>
      <c r="K2879" s="34">
        <f>IF(AND('Daily Sale entry '!Q1379="Collection 收款",'Daily Sale entry '!R1379="Cheque 支票",'Daily Sale entry '!V1379&lt;&gt;""),'Daily Sale entry '!V1379+ROW()/10000000,"")</f>
        <v/>
      </c>
      <c r="L2879" s="21">
        <f>IF(K2879="","",COUNTIF($K$2:$K$3001,"&lt;"&amp;K2879)+1)</f>
        <v/>
      </c>
    </row>
    <row r="2880">
      <c r="A2880" s="5">
        <f>IF($J2880="","",IF($J2880&lt;=1500,INDEX('Daily Sale entry '!$X$1:$X$1501,$J2880+1),INDEX('Daily Sale entry '!$V$1:$V$1501,$J2880-1499)))</f>
        <v/>
      </c>
      <c r="B2880">
        <f>IF($J2880="","",IF($J2880&lt;=1500,INDEX('Daily Sale entry '!$Y$1:$Y$1501,$J2880+1)&amp;"","Buyer cheque banked 买家支票存入"&amp;IF(INDEX('Daily Sale entry '!$U$1:$U$1501,$J2880-1499)="","", " - "&amp;INDEX('Daily Sale entry '!$U$1:$U$1501,$J2880-1499))))</f>
        <v/>
      </c>
      <c r="C2880">
        <f>IF($J2880="","",IF($J2880&lt;=1500,INDEX('Daily Sale entry '!$Z$1:$Z$1501,$J2880+1)&amp;"","Cheque deposit 支票存入 (buyer 买家)"))</f>
        <v/>
      </c>
      <c r="D2880">
        <f>IF($J2880="","",IF($J2880&lt;=1500,INDEX('Daily Sale entry '!$AA$1:$AA$1501,$J2880+1)&amp;"",INDEX('Daily Sale entry '!$P$1:$P$1501,$J2880-1499)&amp;""))</f>
        <v/>
      </c>
      <c r="E2880">
        <f>IF($J2880="","",IF($J2880&lt;=1500,IF(N(INDEX('Daily Sale entry '!$AB$1:$AB$1501,$J2880+1))=0,"",INDEX('Daily Sale entry '!$AB$1:$AB$1501,$J2880+1)),1))</f>
        <v/>
      </c>
      <c r="F2880" s="6">
        <f>IF($J2880="","",IF($J2880&lt;=1500,N(INDEX('Daily Sale entry '!$AC$1:$AC$1501,$J2880+1))-IF(AND('Opening Balance'!$B$15=1,INDEX('Daily Sale entry '!$Z$1:$Z$1501,$J2880+1)="Online collection 网上收款",INDEX('Daily Sale entry '!$AA$1:$AA$1501,$J2880+1)&lt;&gt;""),N(INDEX('Daily Sale entry '!$AC$1:$AC$1501,$J2880+1))-TRUNC(N(INDEX('Daily Sale entry '!$AC$1:$AC$1501,$J2880+1))),0),N(INDEX('Daily Sale entry '!$S$1:$S$1501,$J2880-1499))-'Opening Balance'!$B$15*(N(INDEX('Daily Sale entry '!$S$1:$S$1501,$J2880-1499))-TRUNC(N(INDEX('Daily Sale entry '!$S$1:$S$1501,$J2880-1499))))))</f>
        <v/>
      </c>
      <c r="G2880" s="6">
        <f>IF($J2880="","",IF($J2880&lt;=1500,N(INDEX('Daily Sale entry '!$AD$1:$AD$1501,$J2880+1)),0))</f>
        <v/>
      </c>
      <c r="H2880" s="6">
        <f>IF($J2880="","",ROUND('Opening Balance'!$B$4+SUM($F$2:F2880)-SUM($G$2:G2880),2))</f>
        <v/>
      </c>
      <c r="J2880" s="21">
        <f>IFERROR(MATCH(ROW()-1,$L$2:$L$3001,0),"")</f>
        <v/>
      </c>
      <c r="K2880" s="34">
        <f>IF(AND('Daily Sale entry '!Q1380="Collection 收款",'Daily Sale entry '!R1380="Cheque 支票",'Daily Sale entry '!V1380&lt;&gt;""),'Daily Sale entry '!V1380+ROW()/10000000,"")</f>
        <v/>
      </c>
      <c r="L2880" s="21">
        <f>IF(K2880="","",COUNTIF($K$2:$K$3001,"&lt;"&amp;K2880)+1)</f>
        <v/>
      </c>
    </row>
    <row r="2881">
      <c r="A2881" s="5">
        <f>IF($J2881="","",IF($J2881&lt;=1500,INDEX('Daily Sale entry '!$X$1:$X$1501,$J2881+1),INDEX('Daily Sale entry '!$V$1:$V$1501,$J2881-1499)))</f>
        <v/>
      </c>
      <c r="B2881">
        <f>IF($J2881="","",IF($J2881&lt;=1500,INDEX('Daily Sale entry '!$Y$1:$Y$1501,$J2881+1)&amp;"","Buyer cheque banked 买家支票存入"&amp;IF(INDEX('Daily Sale entry '!$U$1:$U$1501,$J2881-1499)="","", " - "&amp;INDEX('Daily Sale entry '!$U$1:$U$1501,$J2881-1499))))</f>
        <v/>
      </c>
      <c r="C2881">
        <f>IF($J2881="","",IF($J2881&lt;=1500,INDEX('Daily Sale entry '!$Z$1:$Z$1501,$J2881+1)&amp;"","Cheque deposit 支票存入 (buyer 买家)"))</f>
        <v/>
      </c>
      <c r="D2881">
        <f>IF($J2881="","",IF($J2881&lt;=1500,INDEX('Daily Sale entry '!$AA$1:$AA$1501,$J2881+1)&amp;"",INDEX('Daily Sale entry '!$P$1:$P$1501,$J2881-1499)&amp;""))</f>
        <v/>
      </c>
      <c r="E2881">
        <f>IF($J2881="","",IF($J2881&lt;=1500,IF(N(INDEX('Daily Sale entry '!$AB$1:$AB$1501,$J2881+1))=0,"",INDEX('Daily Sale entry '!$AB$1:$AB$1501,$J2881+1)),1))</f>
        <v/>
      </c>
      <c r="F2881" s="6">
        <f>IF($J2881="","",IF($J2881&lt;=1500,N(INDEX('Daily Sale entry '!$AC$1:$AC$1501,$J2881+1))-IF(AND('Opening Balance'!$B$15=1,INDEX('Daily Sale entry '!$Z$1:$Z$1501,$J2881+1)="Online collection 网上收款",INDEX('Daily Sale entry '!$AA$1:$AA$1501,$J2881+1)&lt;&gt;""),N(INDEX('Daily Sale entry '!$AC$1:$AC$1501,$J2881+1))-TRUNC(N(INDEX('Daily Sale entry '!$AC$1:$AC$1501,$J2881+1))),0),N(INDEX('Daily Sale entry '!$S$1:$S$1501,$J2881-1499))-'Opening Balance'!$B$15*(N(INDEX('Daily Sale entry '!$S$1:$S$1501,$J2881-1499))-TRUNC(N(INDEX('Daily Sale entry '!$S$1:$S$1501,$J2881-1499))))))</f>
        <v/>
      </c>
      <c r="G2881" s="6">
        <f>IF($J2881="","",IF($J2881&lt;=1500,N(INDEX('Daily Sale entry '!$AD$1:$AD$1501,$J2881+1)),0))</f>
        <v/>
      </c>
      <c r="H2881" s="6">
        <f>IF($J2881="","",ROUND('Opening Balance'!$B$4+SUM($F$2:F2881)-SUM($G$2:G2881),2))</f>
        <v/>
      </c>
      <c r="J2881" s="21">
        <f>IFERROR(MATCH(ROW()-1,$L$2:$L$3001,0),"")</f>
        <v/>
      </c>
      <c r="K2881" s="34">
        <f>IF(AND('Daily Sale entry '!Q1381="Collection 收款",'Daily Sale entry '!R1381="Cheque 支票",'Daily Sale entry '!V1381&lt;&gt;""),'Daily Sale entry '!V1381+ROW()/10000000,"")</f>
        <v/>
      </c>
      <c r="L2881" s="21">
        <f>IF(K2881="","",COUNTIF($K$2:$K$3001,"&lt;"&amp;K2881)+1)</f>
        <v/>
      </c>
    </row>
    <row r="2882">
      <c r="A2882" s="5">
        <f>IF($J2882="","",IF($J2882&lt;=1500,INDEX('Daily Sale entry '!$X$1:$X$1501,$J2882+1),INDEX('Daily Sale entry '!$V$1:$V$1501,$J2882-1499)))</f>
        <v/>
      </c>
      <c r="B2882">
        <f>IF($J2882="","",IF($J2882&lt;=1500,INDEX('Daily Sale entry '!$Y$1:$Y$1501,$J2882+1)&amp;"","Buyer cheque banked 买家支票存入"&amp;IF(INDEX('Daily Sale entry '!$U$1:$U$1501,$J2882-1499)="","", " - "&amp;INDEX('Daily Sale entry '!$U$1:$U$1501,$J2882-1499))))</f>
        <v/>
      </c>
      <c r="C2882">
        <f>IF($J2882="","",IF($J2882&lt;=1500,INDEX('Daily Sale entry '!$Z$1:$Z$1501,$J2882+1)&amp;"","Cheque deposit 支票存入 (buyer 买家)"))</f>
        <v/>
      </c>
      <c r="D2882">
        <f>IF($J2882="","",IF($J2882&lt;=1500,INDEX('Daily Sale entry '!$AA$1:$AA$1501,$J2882+1)&amp;"",INDEX('Daily Sale entry '!$P$1:$P$1501,$J2882-1499)&amp;""))</f>
        <v/>
      </c>
      <c r="E2882">
        <f>IF($J2882="","",IF($J2882&lt;=1500,IF(N(INDEX('Daily Sale entry '!$AB$1:$AB$1501,$J2882+1))=0,"",INDEX('Daily Sale entry '!$AB$1:$AB$1501,$J2882+1)),1))</f>
        <v/>
      </c>
      <c r="F2882" s="6">
        <f>IF($J2882="","",IF($J2882&lt;=1500,N(INDEX('Daily Sale entry '!$AC$1:$AC$1501,$J2882+1))-IF(AND('Opening Balance'!$B$15=1,INDEX('Daily Sale entry '!$Z$1:$Z$1501,$J2882+1)="Online collection 网上收款",INDEX('Daily Sale entry '!$AA$1:$AA$1501,$J2882+1)&lt;&gt;""),N(INDEX('Daily Sale entry '!$AC$1:$AC$1501,$J2882+1))-TRUNC(N(INDEX('Daily Sale entry '!$AC$1:$AC$1501,$J2882+1))),0),N(INDEX('Daily Sale entry '!$S$1:$S$1501,$J2882-1499))-'Opening Balance'!$B$15*(N(INDEX('Daily Sale entry '!$S$1:$S$1501,$J2882-1499))-TRUNC(N(INDEX('Daily Sale entry '!$S$1:$S$1501,$J2882-1499))))))</f>
        <v/>
      </c>
      <c r="G2882" s="6">
        <f>IF($J2882="","",IF($J2882&lt;=1500,N(INDEX('Daily Sale entry '!$AD$1:$AD$1501,$J2882+1)),0))</f>
        <v/>
      </c>
      <c r="H2882" s="6">
        <f>IF($J2882="","",ROUND('Opening Balance'!$B$4+SUM($F$2:F2882)-SUM($G$2:G2882),2))</f>
        <v/>
      </c>
      <c r="J2882" s="21">
        <f>IFERROR(MATCH(ROW()-1,$L$2:$L$3001,0),"")</f>
        <v/>
      </c>
      <c r="K2882" s="34">
        <f>IF(AND('Daily Sale entry '!Q1382="Collection 收款",'Daily Sale entry '!R1382="Cheque 支票",'Daily Sale entry '!V1382&lt;&gt;""),'Daily Sale entry '!V1382+ROW()/10000000,"")</f>
        <v/>
      </c>
      <c r="L2882" s="21">
        <f>IF(K2882="","",COUNTIF($K$2:$K$3001,"&lt;"&amp;K2882)+1)</f>
        <v/>
      </c>
    </row>
    <row r="2883">
      <c r="A2883" s="5">
        <f>IF($J2883="","",IF($J2883&lt;=1500,INDEX('Daily Sale entry '!$X$1:$X$1501,$J2883+1),INDEX('Daily Sale entry '!$V$1:$V$1501,$J2883-1499)))</f>
        <v/>
      </c>
      <c r="B2883">
        <f>IF($J2883="","",IF($J2883&lt;=1500,INDEX('Daily Sale entry '!$Y$1:$Y$1501,$J2883+1)&amp;"","Buyer cheque banked 买家支票存入"&amp;IF(INDEX('Daily Sale entry '!$U$1:$U$1501,$J2883-1499)="","", " - "&amp;INDEX('Daily Sale entry '!$U$1:$U$1501,$J2883-1499))))</f>
        <v/>
      </c>
      <c r="C2883">
        <f>IF($J2883="","",IF($J2883&lt;=1500,INDEX('Daily Sale entry '!$Z$1:$Z$1501,$J2883+1)&amp;"","Cheque deposit 支票存入 (buyer 买家)"))</f>
        <v/>
      </c>
      <c r="D2883">
        <f>IF($J2883="","",IF($J2883&lt;=1500,INDEX('Daily Sale entry '!$AA$1:$AA$1501,$J2883+1)&amp;"",INDEX('Daily Sale entry '!$P$1:$P$1501,$J2883-1499)&amp;""))</f>
        <v/>
      </c>
      <c r="E2883">
        <f>IF($J2883="","",IF($J2883&lt;=1500,IF(N(INDEX('Daily Sale entry '!$AB$1:$AB$1501,$J2883+1))=0,"",INDEX('Daily Sale entry '!$AB$1:$AB$1501,$J2883+1)),1))</f>
        <v/>
      </c>
      <c r="F2883" s="6">
        <f>IF($J2883="","",IF($J2883&lt;=1500,N(INDEX('Daily Sale entry '!$AC$1:$AC$1501,$J2883+1))-IF(AND('Opening Balance'!$B$15=1,INDEX('Daily Sale entry '!$Z$1:$Z$1501,$J2883+1)="Online collection 网上收款",INDEX('Daily Sale entry '!$AA$1:$AA$1501,$J2883+1)&lt;&gt;""),N(INDEX('Daily Sale entry '!$AC$1:$AC$1501,$J2883+1))-TRUNC(N(INDEX('Daily Sale entry '!$AC$1:$AC$1501,$J2883+1))),0),N(INDEX('Daily Sale entry '!$S$1:$S$1501,$J2883-1499))-'Opening Balance'!$B$15*(N(INDEX('Daily Sale entry '!$S$1:$S$1501,$J2883-1499))-TRUNC(N(INDEX('Daily Sale entry '!$S$1:$S$1501,$J2883-1499))))))</f>
        <v/>
      </c>
      <c r="G2883" s="6">
        <f>IF($J2883="","",IF($J2883&lt;=1500,N(INDEX('Daily Sale entry '!$AD$1:$AD$1501,$J2883+1)),0))</f>
        <v/>
      </c>
      <c r="H2883" s="6">
        <f>IF($J2883="","",ROUND('Opening Balance'!$B$4+SUM($F$2:F2883)-SUM($G$2:G2883),2))</f>
        <v/>
      </c>
      <c r="J2883" s="21">
        <f>IFERROR(MATCH(ROW()-1,$L$2:$L$3001,0),"")</f>
        <v/>
      </c>
      <c r="K2883" s="34">
        <f>IF(AND('Daily Sale entry '!Q1383="Collection 收款",'Daily Sale entry '!R1383="Cheque 支票",'Daily Sale entry '!V1383&lt;&gt;""),'Daily Sale entry '!V1383+ROW()/10000000,"")</f>
        <v/>
      </c>
      <c r="L2883" s="21">
        <f>IF(K2883="","",COUNTIF($K$2:$K$3001,"&lt;"&amp;K2883)+1)</f>
        <v/>
      </c>
    </row>
    <row r="2884">
      <c r="A2884" s="5">
        <f>IF($J2884="","",IF($J2884&lt;=1500,INDEX('Daily Sale entry '!$X$1:$X$1501,$J2884+1),INDEX('Daily Sale entry '!$V$1:$V$1501,$J2884-1499)))</f>
        <v/>
      </c>
      <c r="B2884">
        <f>IF($J2884="","",IF($J2884&lt;=1500,INDEX('Daily Sale entry '!$Y$1:$Y$1501,$J2884+1)&amp;"","Buyer cheque banked 买家支票存入"&amp;IF(INDEX('Daily Sale entry '!$U$1:$U$1501,$J2884-1499)="","", " - "&amp;INDEX('Daily Sale entry '!$U$1:$U$1501,$J2884-1499))))</f>
        <v/>
      </c>
      <c r="C2884">
        <f>IF($J2884="","",IF($J2884&lt;=1500,INDEX('Daily Sale entry '!$Z$1:$Z$1501,$J2884+1)&amp;"","Cheque deposit 支票存入 (buyer 买家)"))</f>
        <v/>
      </c>
      <c r="D2884">
        <f>IF($J2884="","",IF($J2884&lt;=1500,INDEX('Daily Sale entry '!$AA$1:$AA$1501,$J2884+1)&amp;"",INDEX('Daily Sale entry '!$P$1:$P$1501,$J2884-1499)&amp;""))</f>
        <v/>
      </c>
      <c r="E2884">
        <f>IF($J2884="","",IF($J2884&lt;=1500,IF(N(INDEX('Daily Sale entry '!$AB$1:$AB$1501,$J2884+1))=0,"",INDEX('Daily Sale entry '!$AB$1:$AB$1501,$J2884+1)),1))</f>
        <v/>
      </c>
      <c r="F2884" s="6">
        <f>IF($J2884="","",IF($J2884&lt;=1500,N(INDEX('Daily Sale entry '!$AC$1:$AC$1501,$J2884+1))-IF(AND('Opening Balance'!$B$15=1,INDEX('Daily Sale entry '!$Z$1:$Z$1501,$J2884+1)="Online collection 网上收款",INDEX('Daily Sale entry '!$AA$1:$AA$1501,$J2884+1)&lt;&gt;""),N(INDEX('Daily Sale entry '!$AC$1:$AC$1501,$J2884+1))-TRUNC(N(INDEX('Daily Sale entry '!$AC$1:$AC$1501,$J2884+1))),0),N(INDEX('Daily Sale entry '!$S$1:$S$1501,$J2884-1499))-'Opening Balance'!$B$15*(N(INDEX('Daily Sale entry '!$S$1:$S$1501,$J2884-1499))-TRUNC(N(INDEX('Daily Sale entry '!$S$1:$S$1501,$J2884-1499))))))</f>
        <v/>
      </c>
      <c r="G2884" s="6">
        <f>IF($J2884="","",IF($J2884&lt;=1500,N(INDEX('Daily Sale entry '!$AD$1:$AD$1501,$J2884+1)),0))</f>
        <v/>
      </c>
      <c r="H2884" s="6">
        <f>IF($J2884="","",ROUND('Opening Balance'!$B$4+SUM($F$2:F2884)-SUM($G$2:G2884),2))</f>
        <v/>
      </c>
      <c r="J2884" s="21">
        <f>IFERROR(MATCH(ROW()-1,$L$2:$L$3001,0),"")</f>
        <v/>
      </c>
      <c r="K2884" s="34">
        <f>IF(AND('Daily Sale entry '!Q1384="Collection 收款",'Daily Sale entry '!R1384="Cheque 支票",'Daily Sale entry '!V1384&lt;&gt;""),'Daily Sale entry '!V1384+ROW()/10000000,"")</f>
        <v/>
      </c>
      <c r="L2884" s="21">
        <f>IF(K2884="","",COUNTIF($K$2:$K$3001,"&lt;"&amp;K2884)+1)</f>
        <v/>
      </c>
    </row>
    <row r="2885">
      <c r="A2885" s="5">
        <f>IF($J2885="","",IF($J2885&lt;=1500,INDEX('Daily Sale entry '!$X$1:$X$1501,$J2885+1),INDEX('Daily Sale entry '!$V$1:$V$1501,$J2885-1499)))</f>
        <v/>
      </c>
      <c r="B2885">
        <f>IF($J2885="","",IF($J2885&lt;=1500,INDEX('Daily Sale entry '!$Y$1:$Y$1501,$J2885+1)&amp;"","Buyer cheque banked 买家支票存入"&amp;IF(INDEX('Daily Sale entry '!$U$1:$U$1501,$J2885-1499)="","", " - "&amp;INDEX('Daily Sale entry '!$U$1:$U$1501,$J2885-1499))))</f>
        <v/>
      </c>
      <c r="C2885">
        <f>IF($J2885="","",IF($J2885&lt;=1500,INDEX('Daily Sale entry '!$Z$1:$Z$1501,$J2885+1)&amp;"","Cheque deposit 支票存入 (buyer 买家)"))</f>
        <v/>
      </c>
      <c r="D2885">
        <f>IF($J2885="","",IF($J2885&lt;=1500,INDEX('Daily Sale entry '!$AA$1:$AA$1501,$J2885+1)&amp;"",INDEX('Daily Sale entry '!$P$1:$P$1501,$J2885-1499)&amp;""))</f>
        <v/>
      </c>
      <c r="E2885">
        <f>IF($J2885="","",IF($J2885&lt;=1500,IF(N(INDEX('Daily Sale entry '!$AB$1:$AB$1501,$J2885+1))=0,"",INDEX('Daily Sale entry '!$AB$1:$AB$1501,$J2885+1)),1))</f>
        <v/>
      </c>
      <c r="F2885" s="6">
        <f>IF($J2885="","",IF($J2885&lt;=1500,N(INDEX('Daily Sale entry '!$AC$1:$AC$1501,$J2885+1))-IF(AND('Opening Balance'!$B$15=1,INDEX('Daily Sale entry '!$Z$1:$Z$1501,$J2885+1)="Online collection 网上收款",INDEX('Daily Sale entry '!$AA$1:$AA$1501,$J2885+1)&lt;&gt;""),N(INDEX('Daily Sale entry '!$AC$1:$AC$1501,$J2885+1))-TRUNC(N(INDEX('Daily Sale entry '!$AC$1:$AC$1501,$J2885+1))),0),N(INDEX('Daily Sale entry '!$S$1:$S$1501,$J2885-1499))-'Opening Balance'!$B$15*(N(INDEX('Daily Sale entry '!$S$1:$S$1501,$J2885-1499))-TRUNC(N(INDEX('Daily Sale entry '!$S$1:$S$1501,$J2885-1499))))))</f>
        <v/>
      </c>
      <c r="G2885" s="6">
        <f>IF($J2885="","",IF($J2885&lt;=1500,N(INDEX('Daily Sale entry '!$AD$1:$AD$1501,$J2885+1)),0))</f>
        <v/>
      </c>
      <c r="H2885" s="6">
        <f>IF($J2885="","",ROUND('Opening Balance'!$B$4+SUM($F$2:F2885)-SUM($G$2:G2885),2))</f>
        <v/>
      </c>
      <c r="J2885" s="21">
        <f>IFERROR(MATCH(ROW()-1,$L$2:$L$3001,0),"")</f>
        <v/>
      </c>
      <c r="K2885" s="34">
        <f>IF(AND('Daily Sale entry '!Q1385="Collection 收款",'Daily Sale entry '!R1385="Cheque 支票",'Daily Sale entry '!V1385&lt;&gt;""),'Daily Sale entry '!V1385+ROW()/10000000,"")</f>
        <v/>
      </c>
      <c r="L2885" s="21">
        <f>IF(K2885="","",COUNTIF($K$2:$K$3001,"&lt;"&amp;K2885)+1)</f>
        <v/>
      </c>
    </row>
    <row r="2886">
      <c r="A2886" s="5">
        <f>IF($J2886="","",IF($J2886&lt;=1500,INDEX('Daily Sale entry '!$X$1:$X$1501,$J2886+1),INDEX('Daily Sale entry '!$V$1:$V$1501,$J2886-1499)))</f>
        <v/>
      </c>
      <c r="B2886">
        <f>IF($J2886="","",IF($J2886&lt;=1500,INDEX('Daily Sale entry '!$Y$1:$Y$1501,$J2886+1)&amp;"","Buyer cheque banked 买家支票存入"&amp;IF(INDEX('Daily Sale entry '!$U$1:$U$1501,$J2886-1499)="","", " - "&amp;INDEX('Daily Sale entry '!$U$1:$U$1501,$J2886-1499))))</f>
        <v/>
      </c>
      <c r="C2886">
        <f>IF($J2886="","",IF($J2886&lt;=1500,INDEX('Daily Sale entry '!$Z$1:$Z$1501,$J2886+1)&amp;"","Cheque deposit 支票存入 (buyer 买家)"))</f>
        <v/>
      </c>
      <c r="D2886">
        <f>IF($J2886="","",IF($J2886&lt;=1500,INDEX('Daily Sale entry '!$AA$1:$AA$1501,$J2886+1)&amp;"",INDEX('Daily Sale entry '!$P$1:$P$1501,$J2886-1499)&amp;""))</f>
        <v/>
      </c>
      <c r="E2886">
        <f>IF($J2886="","",IF($J2886&lt;=1500,IF(N(INDEX('Daily Sale entry '!$AB$1:$AB$1501,$J2886+1))=0,"",INDEX('Daily Sale entry '!$AB$1:$AB$1501,$J2886+1)),1))</f>
        <v/>
      </c>
      <c r="F2886" s="6">
        <f>IF($J2886="","",IF($J2886&lt;=1500,N(INDEX('Daily Sale entry '!$AC$1:$AC$1501,$J2886+1))-IF(AND('Opening Balance'!$B$15=1,INDEX('Daily Sale entry '!$Z$1:$Z$1501,$J2886+1)="Online collection 网上收款",INDEX('Daily Sale entry '!$AA$1:$AA$1501,$J2886+1)&lt;&gt;""),N(INDEX('Daily Sale entry '!$AC$1:$AC$1501,$J2886+1))-TRUNC(N(INDEX('Daily Sale entry '!$AC$1:$AC$1501,$J2886+1))),0),N(INDEX('Daily Sale entry '!$S$1:$S$1501,$J2886-1499))-'Opening Balance'!$B$15*(N(INDEX('Daily Sale entry '!$S$1:$S$1501,$J2886-1499))-TRUNC(N(INDEX('Daily Sale entry '!$S$1:$S$1501,$J2886-1499))))))</f>
        <v/>
      </c>
      <c r="G2886" s="6">
        <f>IF($J2886="","",IF($J2886&lt;=1500,N(INDEX('Daily Sale entry '!$AD$1:$AD$1501,$J2886+1)),0))</f>
        <v/>
      </c>
      <c r="H2886" s="6">
        <f>IF($J2886="","",ROUND('Opening Balance'!$B$4+SUM($F$2:F2886)-SUM($G$2:G2886),2))</f>
        <v/>
      </c>
      <c r="J2886" s="21">
        <f>IFERROR(MATCH(ROW()-1,$L$2:$L$3001,0),"")</f>
        <v/>
      </c>
      <c r="K2886" s="34">
        <f>IF(AND('Daily Sale entry '!Q1386="Collection 收款",'Daily Sale entry '!R1386="Cheque 支票",'Daily Sale entry '!V1386&lt;&gt;""),'Daily Sale entry '!V1386+ROW()/10000000,"")</f>
        <v/>
      </c>
      <c r="L2886" s="21">
        <f>IF(K2886="","",COUNTIF($K$2:$K$3001,"&lt;"&amp;K2886)+1)</f>
        <v/>
      </c>
    </row>
    <row r="2887">
      <c r="A2887" s="5">
        <f>IF($J2887="","",IF($J2887&lt;=1500,INDEX('Daily Sale entry '!$X$1:$X$1501,$J2887+1),INDEX('Daily Sale entry '!$V$1:$V$1501,$J2887-1499)))</f>
        <v/>
      </c>
      <c r="B2887">
        <f>IF($J2887="","",IF($J2887&lt;=1500,INDEX('Daily Sale entry '!$Y$1:$Y$1501,$J2887+1)&amp;"","Buyer cheque banked 买家支票存入"&amp;IF(INDEX('Daily Sale entry '!$U$1:$U$1501,$J2887-1499)="","", " - "&amp;INDEX('Daily Sale entry '!$U$1:$U$1501,$J2887-1499))))</f>
        <v/>
      </c>
      <c r="C2887">
        <f>IF($J2887="","",IF($J2887&lt;=1500,INDEX('Daily Sale entry '!$Z$1:$Z$1501,$J2887+1)&amp;"","Cheque deposit 支票存入 (buyer 买家)"))</f>
        <v/>
      </c>
      <c r="D2887">
        <f>IF($J2887="","",IF($J2887&lt;=1500,INDEX('Daily Sale entry '!$AA$1:$AA$1501,$J2887+1)&amp;"",INDEX('Daily Sale entry '!$P$1:$P$1501,$J2887-1499)&amp;""))</f>
        <v/>
      </c>
      <c r="E2887">
        <f>IF($J2887="","",IF($J2887&lt;=1500,IF(N(INDEX('Daily Sale entry '!$AB$1:$AB$1501,$J2887+1))=0,"",INDEX('Daily Sale entry '!$AB$1:$AB$1501,$J2887+1)),1))</f>
        <v/>
      </c>
      <c r="F2887" s="6">
        <f>IF($J2887="","",IF($J2887&lt;=1500,N(INDEX('Daily Sale entry '!$AC$1:$AC$1501,$J2887+1))-IF(AND('Opening Balance'!$B$15=1,INDEX('Daily Sale entry '!$Z$1:$Z$1501,$J2887+1)="Online collection 网上收款",INDEX('Daily Sale entry '!$AA$1:$AA$1501,$J2887+1)&lt;&gt;""),N(INDEX('Daily Sale entry '!$AC$1:$AC$1501,$J2887+1))-TRUNC(N(INDEX('Daily Sale entry '!$AC$1:$AC$1501,$J2887+1))),0),N(INDEX('Daily Sale entry '!$S$1:$S$1501,$J2887-1499))-'Opening Balance'!$B$15*(N(INDEX('Daily Sale entry '!$S$1:$S$1501,$J2887-1499))-TRUNC(N(INDEX('Daily Sale entry '!$S$1:$S$1501,$J2887-1499))))))</f>
        <v/>
      </c>
      <c r="G2887" s="6">
        <f>IF($J2887="","",IF($J2887&lt;=1500,N(INDEX('Daily Sale entry '!$AD$1:$AD$1501,$J2887+1)),0))</f>
        <v/>
      </c>
      <c r="H2887" s="6">
        <f>IF($J2887="","",ROUND('Opening Balance'!$B$4+SUM($F$2:F2887)-SUM($G$2:G2887),2))</f>
        <v/>
      </c>
      <c r="J2887" s="21">
        <f>IFERROR(MATCH(ROW()-1,$L$2:$L$3001,0),"")</f>
        <v/>
      </c>
      <c r="K2887" s="34">
        <f>IF(AND('Daily Sale entry '!Q1387="Collection 收款",'Daily Sale entry '!R1387="Cheque 支票",'Daily Sale entry '!V1387&lt;&gt;""),'Daily Sale entry '!V1387+ROW()/10000000,"")</f>
        <v/>
      </c>
      <c r="L2887" s="21">
        <f>IF(K2887="","",COUNTIF($K$2:$K$3001,"&lt;"&amp;K2887)+1)</f>
        <v/>
      </c>
    </row>
    <row r="2888">
      <c r="A2888" s="5">
        <f>IF($J2888="","",IF($J2888&lt;=1500,INDEX('Daily Sale entry '!$X$1:$X$1501,$J2888+1),INDEX('Daily Sale entry '!$V$1:$V$1501,$J2888-1499)))</f>
        <v/>
      </c>
      <c r="B2888">
        <f>IF($J2888="","",IF($J2888&lt;=1500,INDEX('Daily Sale entry '!$Y$1:$Y$1501,$J2888+1)&amp;"","Buyer cheque banked 买家支票存入"&amp;IF(INDEX('Daily Sale entry '!$U$1:$U$1501,$J2888-1499)="","", " - "&amp;INDEX('Daily Sale entry '!$U$1:$U$1501,$J2888-1499))))</f>
        <v/>
      </c>
      <c r="C2888">
        <f>IF($J2888="","",IF($J2888&lt;=1500,INDEX('Daily Sale entry '!$Z$1:$Z$1501,$J2888+1)&amp;"","Cheque deposit 支票存入 (buyer 买家)"))</f>
        <v/>
      </c>
      <c r="D2888">
        <f>IF($J2888="","",IF($J2888&lt;=1500,INDEX('Daily Sale entry '!$AA$1:$AA$1501,$J2888+1)&amp;"",INDEX('Daily Sale entry '!$P$1:$P$1501,$J2888-1499)&amp;""))</f>
        <v/>
      </c>
      <c r="E2888">
        <f>IF($J2888="","",IF($J2888&lt;=1500,IF(N(INDEX('Daily Sale entry '!$AB$1:$AB$1501,$J2888+1))=0,"",INDEX('Daily Sale entry '!$AB$1:$AB$1501,$J2888+1)),1))</f>
        <v/>
      </c>
      <c r="F2888" s="6">
        <f>IF($J2888="","",IF($J2888&lt;=1500,N(INDEX('Daily Sale entry '!$AC$1:$AC$1501,$J2888+1))-IF(AND('Opening Balance'!$B$15=1,INDEX('Daily Sale entry '!$Z$1:$Z$1501,$J2888+1)="Online collection 网上收款",INDEX('Daily Sale entry '!$AA$1:$AA$1501,$J2888+1)&lt;&gt;""),N(INDEX('Daily Sale entry '!$AC$1:$AC$1501,$J2888+1))-TRUNC(N(INDEX('Daily Sale entry '!$AC$1:$AC$1501,$J2888+1))),0),N(INDEX('Daily Sale entry '!$S$1:$S$1501,$J2888-1499))-'Opening Balance'!$B$15*(N(INDEX('Daily Sale entry '!$S$1:$S$1501,$J2888-1499))-TRUNC(N(INDEX('Daily Sale entry '!$S$1:$S$1501,$J2888-1499))))))</f>
        <v/>
      </c>
      <c r="G2888" s="6">
        <f>IF($J2888="","",IF($J2888&lt;=1500,N(INDEX('Daily Sale entry '!$AD$1:$AD$1501,$J2888+1)),0))</f>
        <v/>
      </c>
      <c r="H2888" s="6">
        <f>IF($J2888="","",ROUND('Opening Balance'!$B$4+SUM($F$2:F2888)-SUM($G$2:G2888),2))</f>
        <v/>
      </c>
      <c r="J2888" s="21">
        <f>IFERROR(MATCH(ROW()-1,$L$2:$L$3001,0),"")</f>
        <v/>
      </c>
      <c r="K2888" s="34">
        <f>IF(AND('Daily Sale entry '!Q1388="Collection 收款",'Daily Sale entry '!R1388="Cheque 支票",'Daily Sale entry '!V1388&lt;&gt;""),'Daily Sale entry '!V1388+ROW()/10000000,"")</f>
        <v/>
      </c>
      <c r="L2888" s="21">
        <f>IF(K2888="","",COUNTIF($K$2:$K$3001,"&lt;"&amp;K2888)+1)</f>
        <v/>
      </c>
    </row>
    <row r="2889">
      <c r="A2889" s="5">
        <f>IF($J2889="","",IF($J2889&lt;=1500,INDEX('Daily Sale entry '!$X$1:$X$1501,$J2889+1),INDEX('Daily Sale entry '!$V$1:$V$1501,$J2889-1499)))</f>
        <v/>
      </c>
      <c r="B2889">
        <f>IF($J2889="","",IF($J2889&lt;=1500,INDEX('Daily Sale entry '!$Y$1:$Y$1501,$J2889+1)&amp;"","Buyer cheque banked 买家支票存入"&amp;IF(INDEX('Daily Sale entry '!$U$1:$U$1501,$J2889-1499)="","", " - "&amp;INDEX('Daily Sale entry '!$U$1:$U$1501,$J2889-1499))))</f>
        <v/>
      </c>
      <c r="C2889">
        <f>IF($J2889="","",IF($J2889&lt;=1500,INDEX('Daily Sale entry '!$Z$1:$Z$1501,$J2889+1)&amp;"","Cheque deposit 支票存入 (buyer 买家)"))</f>
        <v/>
      </c>
      <c r="D2889">
        <f>IF($J2889="","",IF($J2889&lt;=1500,INDEX('Daily Sale entry '!$AA$1:$AA$1501,$J2889+1)&amp;"",INDEX('Daily Sale entry '!$P$1:$P$1501,$J2889-1499)&amp;""))</f>
        <v/>
      </c>
      <c r="E2889">
        <f>IF($J2889="","",IF($J2889&lt;=1500,IF(N(INDEX('Daily Sale entry '!$AB$1:$AB$1501,$J2889+1))=0,"",INDEX('Daily Sale entry '!$AB$1:$AB$1501,$J2889+1)),1))</f>
        <v/>
      </c>
      <c r="F2889" s="6">
        <f>IF($J2889="","",IF($J2889&lt;=1500,N(INDEX('Daily Sale entry '!$AC$1:$AC$1501,$J2889+1))-IF(AND('Opening Balance'!$B$15=1,INDEX('Daily Sale entry '!$Z$1:$Z$1501,$J2889+1)="Online collection 网上收款",INDEX('Daily Sale entry '!$AA$1:$AA$1501,$J2889+1)&lt;&gt;""),N(INDEX('Daily Sale entry '!$AC$1:$AC$1501,$J2889+1))-TRUNC(N(INDEX('Daily Sale entry '!$AC$1:$AC$1501,$J2889+1))),0),N(INDEX('Daily Sale entry '!$S$1:$S$1501,$J2889-1499))-'Opening Balance'!$B$15*(N(INDEX('Daily Sale entry '!$S$1:$S$1501,$J2889-1499))-TRUNC(N(INDEX('Daily Sale entry '!$S$1:$S$1501,$J2889-1499))))))</f>
        <v/>
      </c>
      <c r="G2889" s="6">
        <f>IF($J2889="","",IF($J2889&lt;=1500,N(INDEX('Daily Sale entry '!$AD$1:$AD$1501,$J2889+1)),0))</f>
        <v/>
      </c>
      <c r="H2889" s="6">
        <f>IF($J2889="","",ROUND('Opening Balance'!$B$4+SUM($F$2:F2889)-SUM($G$2:G2889),2))</f>
        <v/>
      </c>
      <c r="J2889" s="21">
        <f>IFERROR(MATCH(ROW()-1,$L$2:$L$3001,0),"")</f>
        <v/>
      </c>
      <c r="K2889" s="34">
        <f>IF(AND('Daily Sale entry '!Q1389="Collection 收款",'Daily Sale entry '!R1389="Cheque 支票",'Daily Sale entry '!V1389&lt;&gt;""),'Daily Sale entry '!V1389+ROW()/10000000,"")</f>
        <v/>
      </c>
      <c r="L2889" s="21">
        <f>IF(K2889="","",COUNTIF($K$2:$K$3001,"&lt;"&amp;K2889)+1)</f>
        <v/>
      </c>
    </row>
    <row r="2890">
      <c r="A2890" s="5">
        <f>IF($J2890="","",IF($J2890&lt;=1500,INDEX('Daily Sale entry '!$X$1:$X$1501,$J2890+1),INDEX('Daily Sale entry '!$V$1:$V$1501,$J2890-1499)))</f>
        <v/>
      </c>
      <c r="B2890">
        <f>IF($J2890="","",IF($J2890&lt;=1500,INDEX('Daily Sale entry '!$Y$1:$Y$1501,$J2890+1)&amp;"","Buyer cheque banked 买家支票存入"&amp;IF(INDEX('Daily Sale entry '!$U$1:$U$1501,$J2890-1499)="","", " - "&amp;INDEX('Daily Sale entry '!$U$1:$U$1501,$J2890-1499))))</f>
        <v/>
      </c>
      <c r="C2890">
        <f>IF($J2890="","",IF($J2890&lt;=1500,INDEX('Daily Sale entry '!$Z$1:$Z$1501,$J2890+1)&amp;"","Cheque deposit 支票存入 (buyer 买家)"))</f>
        <v/>
      </c>
      <c r="D2890">
        <f>IF($J2890="","",IF($J2890&lt;=1500,INDEX('Daily Sale entry '!$AA$1:$AA$1501,$J2890+1)&amp;"",INDEX('Daily Sale entry '!$P$1:$P$1501,$J2890-1499)&amp;""))</f>
        <v/>
      </c>
      <c r="E2890">
        <f>IF($J2890="","",IF($J2890&lt;=1500,IF(N(INDEX('Daily Sale entry '!$AB$1:$AB$1501,$J2890+1))=0,"",INDEX('Daily Sale entry '!$AB$1:$AB$1501,$J2890+1)),1))</f>
        <v/>
      </c>
      <c r="F2890" s="6">
        <f>IF($J2890="","",IF($J2890&lt;=1500,N(INDEX('Daily Sale entry '!$AC$1:$AC$1501,$J2890+1))-IF(AND('Opening Balance'!$B$15=1,INDEX('Daily Sale entry '!$Z$1:$Z$1501,$J2890+1)="Online collection 网上收款",INDEX('Daily Sale entry '!$AA$1:$AA$1501,$J2890+1)&lt;&gt;""),N(INDEX('Daily Sale entry '!$AC$1:$AC$1501,$J2890+1))-TRUNC(N(INDEX('Daily Sale entry '!$AC$1:$AC$1501,$J2890+1))),0),N(INDEX('Daily Sale entry '!$S$1:$S$1501,$J2890-1499))-'Opening Balance'!$B$15*(N(INDEX('Daily Sale entry '!$S$1:$S$1501,$J2890-1499))-TRUNC(N(INDEX('Daily Sale entry '!$S$1:$S$1501,$J2890-1499))))))</f>
        <v/>
      </c>
      <c r="G2890" s="6">
        <f>IF($J2890="","",IF($J2890&lt;=1500,N(INDEX('Daily Sale entry '!$AD$1:$AD$1501,$J2890+1)),0))</f>
        <v/>
      </c>
      <c r="H2890" s="6">
        <f>IF($J2890="","",ROUND('Opening Balance'!$B$4+SUM($F$2:F2890)-SUM($G$2:G2890),2))</f>
        <v/>
      </c>
      <c r="J2890" s="21">
        <f>IFERROR(MATCH(ROW()-1,$L$2:$L$3001,0),"")</f>
        <v/>
      </c>
      <c r="K2890" s="34">
        <f>IF(AND('Daily Sale entry '!Q1390="Collection 收款",'Daily Sale entry '!R1390="Cheque 支票",'Daily Sale entry '!V1390&lt;&gt;""),'Daily Sale entry '!V1390+ROW()/10000000,"")</f>
        <v/>
      </c>
      <c r="L2890" s="21">
        <f>IF(K2890="","",COUNTIF($K$2:$K$3001,"&lt;"&amp;K2890)+1)</f>
        <v/>
      </c>
    </row>
    <row r="2891">
      <c r="A2891" s="5">
        <f>IF($J2891="","",IF($J2891&lt;=1500,INDEX('Daily Sale entry '!$X$1:$X$1501,$J2891+1),INDEX('Daily Sale entry '!$V$1:$V$1501,$J2891-1499)))</f>
        <v/>
      </c>
      <c r="B2891">
        <f>IF($J2891="","",IF($J2891&lt;=1500,INDEX('Daily Sale entry '!$Y$1:$Y$1501,$J2891+1)&amp;"","Buyer cheque banked 买家支票存入"&amp;IF(INDEX('Daily Sale entry '!$U$1:$U$1501,$J2891-1499)="","", " - "&amp;INDEX('Daily Sale entry '!$U$1:$U$1501,$J2891-1499))))</f>
        <v/>
      </c>
      <c r="C2891">
        <f>IF($J2891="","",IF($J2891&lt;=1500,INDEX('Daily Sale entry '!$Z$1:$Z$1501,$J2891+1)&amp;"","Cheque deposit 支票存入 (buyer 买家)"))</f>
        <v/>
      </c>
      <c r="D2891">
        <f>IF($J2891="","",IF($J2891&lt;=1500,INDEX('Daily Sale entry '!$AA$1:$AA$1501,$J2891+1)&amp;"",INDEX('Daily Sale entry '!$P$1:$P$1501,$J2891-1499)&amp;""))</f>
        <v/>
      </c>
      <c r="E2891">
        <f>IF($J2891="","",IF($J2891&lt;=1500,IF(N(INDEX('Daily Sale entry '!$AB$1:$AB$1501,$J2891+1))=0,"",INDEX('Daily Sale entry '!$AB$1:$AB$1501,$J2891+1)),1))</f>
        <v/>
      </c>
      <c r="F2891" s="6">
        <f>IF($J2891="","",IF($J2891&lt;=1500,N(INDEX('Daily Sale entry '!$AC$1:$AC$1501,$J2891+1))-IF(AND('Opening Balance'!$B$15=1,INDEX('Daily Sale entry '!$Z$1:$Z$1501,$J2891+1)="Online collection 网上收款",INDEX('Daily Sale entry '!$AA$1:$AA$1501,$J2891+1)&lt;&gt;""),N(INDEX('Daily Sale entry '!$AC$1:$AC$1501,$J2891+1))-TRUNC(N(INDEX('Daily Sale entry '!$AC$1:$AC$1501,$J2891+1))),0),N(INDEX('Daily Sale entry '!$S$1:$S$1501,$J2891-1499))-'Opening Balance'!$B$15*(N(INDEX('Daily Sale entry '!$S$1:$S$1501,$J2891-1499))-TRUNC(N(INDEX('Daily Sale entry '!$S$1:$S$1501,$J2891-1499))))))</f>
        <v/>
      </c>
      <c r="G2891" s="6">
        <f>IF($J2891="","",IF($J2891&lt;=1500,N(INDEX('Daily Sale entry '!$AD$1:$AD$1501,$J2891+1)),0))</f>
        <v/>
      </c>
      <c r="H2891" s="6">
        <f>IF($J2891="","",ROUND('Opening Balance'!$B$4+SUM($F$2:F2891)-SUM($G$2:G2891),2))</f>
        <v/>
      </c>
      <c r="J2891" s="21">
        <f>IFERROR(MATCH(ROW()-1,$L$2:$L$3001,0),"")</f>
        <v/>
      </c>
      <c r="K2891" s="34">
        <f>IF(AND('Daily Sale entry '!Q1391="Collection 收款",'Daily Sale entry '!R1391="Cheque 支票",'Daily Sale entry '!V1391&lt;&gt;""),'Daily Sale entry '!V1391+ROW()/10000000,"")</f>
        <v/>
      </c>
      <c r="L2891" s="21">
        <f>IF(K2891="","",COUNTIF($K$2:$K$3001,"&lt;"&amp;K2891)+1)</f>
        <v/>
      </c>
    </row>
    <row r="2892">
      <c r="A2892" s="5">
        <f>IF($J2892="","",IF($J2892&lt;=1500,INDEX('Daily Sale entry '!$X$1:$X$1501,$J2892+1),INDEX('Daily Sale entry '!$V$1:$V$1501,$J2892-1499)))</f>
        <v/>
      </c>
      <c r="B2892">
        <f>IF($J2892="","",IF($J2892&lt;=1500,INDEX('Daily Sale entry '!$Y$1:$Y$1501,$J2892+1)&amp;"","Buyer cheque banked 买家支票存入"&amp;IF(INDEX('Daily Sale entry '!$U$1:$U$1501,$J2892-1499)="","", " - "&amp;INDEX('Daily Sale entry '!$U$1:$U$1501,$J2892-1499))))</f>
        <v/>
      </c>
      <c r="C2892">
        <f>IF($J2892="","",IF($J2892&lt;=1500,INDEX('Daily Sale entry '!$Z$1:$Z$1501,$J2892+1)&amp;"","Cheque deposit 支票存入 (buyer 买家)"))</f>
        <v/>
      </c>
      <c r="D2892">
        <f>IF($J2892="","",IF($J2892&lt;=1500,INDEX('Daily Sale entry '!$AA$1:$AA$1501,$J2892+1)&amp;"",INDEX('Daily Sale entry '!$P$1:$P$1501,$J2892-1499)&amp;""))</f>
        <v/>
      </c>
      <c r="E2892">
        <f>IF($J2892="","",IF($J2892&lt;=1500,IF(N(INDEX('Daily Sale entry '!$AB$1:$AB$1501,$J2892+1))=0,"",INDEX('Daily Sale entry '!$AB$1:$AB$1501,$J2892+1)),1))</f>
        <v/>
      </c>
      <c r="F2892" s="6">
        <f>IF($J2892="","",IF($J2892&lt;=1500,N(INDEX('Daily Sale entry '!$AC$1:$AC$1501,$J2892+1))-IF(AND('Opening Balance'!$B$15=1,INDEX('Daily Sale entry '!$Z$1:$Z$1501,$J2892+1)="Online collection 网上收款",INDEX('Daily Sale entry '!$AA$1:$AA$1501,$J2892+1)&lt;&gt;""),N(INDEX('Daily Sale entry '!$AC$1:$AC$1501,$J2892+1))-TRUNC(N(INDEX('Daily Sale entry '!$AC$1:$AC$1501,$J2892+1))),0),N(INDEX('Daily Sale entry '!$S$1:$S$1501,$J2892-1499))-'Opening Balance'!$B$15*(N(INDEX('Daily Sale entry '!$S$1:$S$1501,$J2892-1499))-TRUNC(N(INDEX('Daily Sale entry '!$S$1:$S$1501,$J2892-1499))))))</f>
        <v/>
      </c>
      <c r="G2892" s="6">
        <f>IF($J2892="","",IF($J2892&lt;=1500,N(INDEX('Daily Sale entry '!$AD$1:$AD$1501,$J2892+1)),0))</f>
        <v/>
      </c>
      <c r="H2892" s="6">
        <f>IF($J2892="","",ROUND('Opening Balance'!$B$4+SUM($F$2:F2892)-SUM($G$2:G2892),2))</f>
        <v/>
      </c>
      <c r="J2892" s="21">
        <f>IFERROR(MATCH(ROW()-1,$L$2:$L$3001,0),"")</f>
        <v/>
      </c>
      <c r="K2892" s="34">
        <f>IF(AND('Daily Sale entry '!Q1392="Collection 收款",'Daily Sale entry '!R1392="Cheque 支票",'Daily Sale entry '!V1392&lt;&gt;""),'Daily Sale entry '!V1392+ROW()/10000000,"")</f>
        <v/>
      </c>
      <c r="L2892" s="21">
        <f>IF(K2892="","",COUNTIF($K$2:$K$3001,"&lt;"&amp;K2892)+1)</f>
        <v/>
      </c>
    </row>
    <row r="2893">
      <c r="A2893" s="5">
        <f>IF($J2893="","",IF($J2893&lt;=1500,INDEX('Daily Sale entry '!$X$1:$X$1501,$J2893+1),INDEX('Daily Sale entry '!$V$1:$V$1501,$J2893-1499)))</f>
        <v/>
      </c>
      <c r="B2893">
        <f>IF($J2893="","",IF($J2893&lt;=1500,INDEX('Daily Sale entry '!$Y$1:$Y$1501,$J2893+1)&amp;"","Buyer cheque banked 买家支票存入"&amp;IF(INDEX('Daily Sale entry '!$U$1:$U$1501,$J2893-1499)="","", " - "&amp;INDEX('Daily Sale entry '!$U$1:$U$1501,$J2893-1499))))</f>
        <v/>
      </c>
      <c r="C2893">
        <f>IF($J2893="","",IF($J2893&lt;=1500,INDEX('Daily Sale entry '!$Z$1:$Z$1501,$J2893+1)&amp;"","Cheque deposit 支票存入 (buyer 买家)"))</f>
        <v/>
      </c>
      <c r="D2893">
        <f>IF($J2893="","",IF($J2893&lt;=1500,INDEX('Daily Sale entry '!$AA$1:$AA$1501,$J2893+1)&amp;"",INDEX('Daily Sale entry '!$P$1:$P$1501,$J2893-1499)&amp;""))</f>
        <v/>
      </c>
      <c r="E2893">
        <f>IF($J2893="","",IF($J2893&lt;=1500,IF(N(INDEX('Daily Sale entry '!$AB$1:$AB$1501,$J2893+1))=0,"",INDEX('Daily Sale entry '!$AB$1:$AB$1501,$J2893+1)),1))</f>
        <v/>
      </c>
      <c r="F2893" s="6">
        <f>IF($J2893="","",IF($J2893&lt;=1500,N(INDEX('Daily Sale entry '!$AC$1:$AC$1501,$J2893+1))-IF(AND('Opening Balance'!$B$15=1,INDEX('Daily Sale entry '!$Z$1:$Z$1501,$J2893+1)="Online collection 网上收款",INDEX('Daily Sale entry '!$AA$1:$AA$1501,$J2893+1)&lt;&gt;""),N(INDEX('Daily Sale entry '!$AC$1:$AC$1501,$J2893+1))-TRUNC(N(INDEX('Daily Sale entry '!$AC$1:$AC$1501,$J2893+1))),0),N(INDEX('Daily Sale entry '!$S$1:$S$1501,$J2893-1499))-'Opening Balance'!$B$15*(N(INDEX('Daily Sale entry '!$S$1:$S$1501,$J2893-1499))-TRUNC(N(INDEX('Daily Sale entry '!$S$1:$S$1501,$J2893-1499))))))</f>
        <v/>
      </c>
      <c r="G2893" s="6">
        <f>IF($J2893="","",IF($J2893&lt;=1500,N(INDEX('Daily Sale entry '!$AD$1:$AD$1501,$J2893+1)),0))</f>
        <v/>
      </c>
      <c r="H2893" s="6">
        <f>IF($J2893="","",ROUND('Opening Balance'!$B$4+SUM($F$2:F2893)-SUM($G$2:G2893),2))</f>
        <v/>
      </c>
      <c r="J2893" s="21">
        <f>IFERROR(MATCH(ROW()-1,$L$2:$L$3001,0),"")</f>
        <v/>
      </c>
      <c r="K2893" s="34">
        <f>IF(AND('Daily Sale entry '!Q1393="Collection 收款",'Daily Sale entry '!R1393="Cheque 支票",'Daily Sale entry '!V1393&lt;&gt;""),'Daily Sale entry '!V1393+ROW()/10000000,"")</f>
        <v/>
      </c>
      <c r="L2893" s="21">
        <f>IF(K2893="","",COUNTIF($K$2:$K$3001,"&lt;"&amp;K2893)+1)</f>
        <v/>
      </c>
    </row>
    <row r="2894">
      <c r="A2894" s="5">
        <f>IF($J2894="","",IF($J2894&lt;=1500,INDEX('Daily Sale entry '!$X$1:$X$1501,$J2894+1),INDEX('Daily Sale entry '!$V$1:$V$1501,$J2894-1499)))</f>
        <v/>
      </c>
      <c r="B2894">
        <f>IF($J2894="","",IF($J2894&lt;=1500,INDEX('Daily Sale entry '!$Y$1:$Y$1501,$J2894+1)&amp;"","Buyer cheque banked 买家支票存入"&amp;IF(INDEX('Daily Sale entry '!$U$1:$U$1501,$J2894-1499)="","", " - "&amp;INDEX('Daily Sale entry '!$U$1:$U$1501,$J2894-1499))))</f>
        <v/>
      </c>
      <c r="C2894">
        <f>IF($J2894="","",IF($J2894&lt;=1500,INDEX('Daily Sale entry '!$Z$1:$Z$1501,$J2894+1)&amp;"","Cheque deposit 支票存入 (buyer 买家)"))</f>
        <v/>
      </c>
      <c r="D2894">
        <f>IF($J2894="","",IF($J2894&lt;=1500,INDEX('Daily Sale entry '!$AA$1:$AA$1501,$J2894+1)&amp;"",INDEX('Daily Sale entry '!$P$1:$P$1501,$J2894-1499)&amp;""))</f>
        <v/>
      </c>
      <c r="E2894">
        <f>IF($J2894="","",IF($J2894&lt;=1500,IF(N(INDEX('Daily Sale entry '!$AB$1:$AB$1501,$J2894+1))=0,"",INDEX('Daily Sale entry '!$AB$1:$AB$1501,$J2894+1)),1))</f>
        <v/>
      </c>
      <c r="F2894" s="6">
        <f>IF($J2894="","",IF($J2894&lt;=1500,N(INDEX('Daily Sale entry '!$AC$1:$AC$1501,$J2894+1))-IF(AND('Opening Balance'!$B$15=1,INDEX('Daily Sale entry '!$Z$1:$Z$1501,$J2894+1)="Online collection 网上收款",INDEX('Daily Sale entry '!$AA$1:$AA$1501,$J2894+1)&lt;&gt;""),N(INDEX('Daily Sale entry '!$AC$1:$AC$1501,$J2894+1))-TRUNC(N(INDEX('Daily Sale entry '!$AC$1:$AC$1501,$J2894+1))),0),N(INDEX('Daily Sale entry '!$S$1:$S$1501,$J2894-1499))-'Opening Balance'!$B$15*(N(INDEX('Daily Sale entry '!$S$1:$S$1501,$J2894-1499))-TRUNC(N(INDEX('Daily Sale entry '!$S$1:$S$1501,$J2894-1499))))))</f>
        <v/>
      </c>
      <c r="G2894" s="6">
        <f>IF($J2894="","",IF($J2894&lt;=1500,N(INDEX('Daily Sale entry '!$AD$1:$AD$1501,$J2894+1)),0))</f>
        <v/>
      </c>
      <c r="H2894" s="6">
        <f>IF($J2894="","",ROUND('Opening Balance'!$B$4+SUM($F$2:F2894)-SUM($G$2:G2894),2))</f>
        <v/>
      </c>
      <c r="J2894" s="21">
        <f>IFERROR(MATCH(ROW()-1,$L$2:$L$3001,0),"")</f>
        <v/>
      </c>
      <c r="K2894" s="34">
        <f>IF(AND('Daily Sale entry '!Q1394="Collection 收款",'Daily Sale entry '!R1394="Cheque 支票",'Daily Sale entry '!V1394&lt;&gt;""),'Daily Sale entry '!V1394+ROW()/10000000,"")</f>
        <v/>
      </c>
      <c r="L2894" s="21">
        <f>IF(K2894="","",COUNTIF($K$2:$K$3001,"&lt;"&amp;K2894)+1)</f>
        <v/>
      </c>
    </row>
    <row r="2895">
      <c r="A2895" s="5">
        <f>IF($J2895="","",IF($J2895&lt;=1500,INDEX('Daily Sale entry '!$X$1:$X$1501,$J2895+1),INDEX('Daily Sale entry '!$V$1:$V$1501,$J2895-1499)))</f>
        <v/>
      </c>
      <c r="B2895">
        <f>IF($J2895="","",IF($J2895&lt;=1500,INDEX('Daily Sale entry '!$Y$1:$Y$1501,$J2895+1)&amp;"","Buyer cheque banked 买家支票存入"&amp;IF(INDEX('Daily Sale entry '!$U$1:$U$1501,$J2895-1499)="","", " - "&amp;INDEX('Daily Sale entry '!$U$1:$U$1501,$J2895-1499))))</f>
        <v/>
      </c>
      <c r="C2895">
        <f>IF($J2895="","",IF($J2895&lt;=1500,INDEX('Daily Sale entry '!$Z$1:$Z$1501,$J2895+1)&amp;"","Cheque deposit 支票存入 (buyer 买家)"))</f>
        <v/>
      </c>
      <c r="D2895">
        <f>IF($J2895="","",IF($J2895&lt;=1500,INDEX('Daily Sale entry '!$AA$1:$AA$1501,$J2895+1)&amp;"",INDEX('Daily Sale entry '!$P$1:$P$1501,$J2895-1499)&amp;""))</f>
        <v/>
      </c>
      <c r="E2895">
        <f>IF($J2895="","",IF($J2895&lt;=1500,IF(N(INDEX('Daily Sale entry '!$AB$1:$AB$1501,$J2895+1))=0,"",INDEX('Daily Sale entry '!$AB$1:$AB$1501,$J2895+1)),1))</f>
        <v/>
      </c>
      <c r="F2895" s="6">
        <f>IF($J2895="","",IF($J2895&lt;=1500,N(INDEX('Daily Sale entry '!$AC$1:$AC$1501,$J2895+1))-IF(AND('Opening Balance'!$B$15=1,INDEX('Daily Sale entry '!$Z$1:$Z$1501,$J2895+1)="Online collection 网上收款",INDEX('Daily Sale entry '!$AA$1:$AA$1501,$J2895+1)&lt;&gt;""),N(INDEX('Daily Sale entry '!$AC$1:$AC$1501,$J2895+1))-TRUNC(N(INDEX('Daily Sale entry '!$AC$1:$AC$1501,$J2895+1))),0),N(INDEX('Daily Sale entry '!$S$1:$S$1501,$J2895-1499))-'Opening Balance'!$B$15*(N(INDEX('Daily Sale entry '!$S$1:$S$1501,$J2895-1499))-TRUNC(N(INDEX('Daily Sale entry '!$S$1:$S$1501,$J2895-1499))))))</f>
        <v/>
      </c>
      <c r="G2895" s="6">
        <f>IF($J2895="","",IF($J2895&lt;=1500,N(INDEX('Daily Sale entry '!$AD$1:$AD$1501,$J2895+1)),0))</f>
        <v/>
      </c>
      <c r="H2895" s="6">
        <f>IF($J2895="","",ROUND('Opening Balance'!$B$4+SUM($F$2:F2895)-SUM($G$2:G2895),2))</f>
        <v/>
      </c>
      <c r="J2895" s="21">
        <f>IFERROR(MATCH(ROW()-1,$L$2:$L$3001,0),"")</f>
        <v/>
      </c>
      <c r="K2895" s="34">
        <f>IF(AND('Daily Sale entry '!Q1395="Collection 收款",'Daily Sale entry '!R1395="Cheque 支票",'Daily Sale entry '!V1395&lt;&gt;""),'Daily Sale entry '!V1395+ROW()/10000000,"")</f>
        <v/>
      </c>
      <c r="L2895" s="21">
        <f>IF(K2895="","",COUNTIF($K$2:$K$3001,"&lt;"&amp;K2895)+1)</f>
        <v/>
      </c>
    </row>
    <row r="2896">
      <c r="A2896" s="5">
        <f>IF($J2896="","",IF($J2896&lt;=1500,INDEX('Daily Sale entry '!$X$1:$X$1501,$J2896+1),INDEX('Daily Sale entry '!$V$1:$V$1501,$J2896-1499)))</f>
        <v/>
      </c>
      <c r="B2896">
        <f>IF($J2896="","",IF($J2896&lt;=1500,INDEX('Daily Sale entry '!$Y$1:$Y$1501,$J2896+1)&amp;"","Buyer cheque banked 买家支票存入"&amp;IF(INDEX('Daily Sale entry '!$U$1:$U$1501,$J2896-1499)="","", " - "&amp;INDEX('Daily Sale entry '!$U$1:$U$1501,$J2896-1499))))</f>
        <v/>
      </c>
      <c r="C2896">
        <f>IF($J2896="","",IF($J2896&lt;=1500,INDEX('Daily Sale entry '!$Z$1:$Z$1501,$J2896+1)&amp;"","Cheque deposit 支票存入 (buyer 买家)"))</f>
        <v/>
      </c>
      <c r="D2896">
        <f>IF($J2896="","",IF($J2896&lt;=1500,INDEX('Daily Sale entry '!$AA$1:$AA$1501,$J2896+1)&amp;"",INDEX('Daily Sale entry '!$P$1:$P$1501,$J2896-1499)&amp;""))</f>
        <v/>
      </c>
      <c r="E2896">
        <f>IF($J2896="","",IF($J2896&lt;=1500,IF(N(INDEX('Daily Sale entry '!$AB$1:$AB$1501,$J2896+1))=0,"",INDEX('Daily Sale entry '!$AB$1:$AB$1501,$J2896+1)),1))</f>
        <v/>
      </c>
      <c r="F2896" s="6">
        <f>IF($J2896="","",IF($J2896&lt;=1500,N(INDEX('Daily Sale entry '!$AC$1:$AC$1501,$J2896+1))-IF(AND('Opening Balance'!$B$15=1,INDEX('Daily Sale entry '!$Z$1:$Z$1501,$J2896+1)="Online collection 网上收款",INDEX('Daily Sale entry '!$AA$1:$AA$1501,$J2896+1)&lt;&gt;""),N(INDEX('Daily Sale entry '!$AC$1:$AC$1501,$J2896+1))-TRUNC(N(INDEX('Daily Sale entry '!$AC$1:$AC$1501,$J2896+1))),0),N(INDEX('Daily Sale entry '!$S$1:$S$1501,$J2896-1499))-'Opening Balance'!$B$15*(N(INDEX('Daily Sale entry '!$S$1:$S$1501,$J2896-1499))-TRUNC(N(INDEX('Daily Sale entry '!$S$1:$S$1501,$J2896-1499))))))</f>
        <v/>
      </c>
      <c r="G2896" s="6">
        <f>IF($J2896="","",IF($J2896&lt;=1500,N(INDEX('Daily Sale entry '!$AD$1:$AD$1501,$J2896+1)),0))</f>
        <v/>
      </c>
      <c r="H2896" s="6">
        <f>IF($J2896="","",ROUND('Opening Balance'!$B$4+SUM($F$2:F2896)-SUM($G$2:G2896),2))</f>
        <v/>
      </c>
      <c r="J2896" s="21">
        <f>IFERROR(MATCH(ROW()-1,$L$2:$L$3001,0),"")</f>
        <v/>
      </c>
      <c r="K2896" s="34">
        <f>IF(AND('Daily Sale entry '!Q1396="Collection 收款",'Daily Sale entry '!R1396="Cheque 支票",'Daily Sale entry '!V1396&lt;&gt;""),'Daily Sale entry '!V1396+ROW()/10000000,"")</f>
        <v/>
      </c>
      <c r="L2896" s="21">
        <f>IF(K2896="","",COUNTIF($K$2:$K$3001,"&lt;"&amp;K2896)+1)</f>
        <v/>
      </c>
    </row>
    <row r="2897">
      <c r="A2897" s="5">
        <f>IF($J2897="","",IF($J2897&lt;=1500,INDEX('Daily Sale entry '!$X$1:$X$1501,$J2897+1),INDEX('Daily Sale entry '!$V$1:$V$1501,$J2897-1499)))</f>
        <v/>
      </c>
      <c r="B2897">
        <f>IF($J2897="","",IF($J2897&lt;=1500,INDEX('Daily Sale entry '!$Y$1:$Y$1501,$J2897+1)&amp;"","Buyer cheque banked 买家支票存入"&amp;IF(INDEX('Daily Sale entry '!$U$1:$U$1501,$J2897-1499)="","", " - "&amp;INDEX('Daily Sale entry '!$U$1:$U$1501,$J2897-1499))))</f>
        <v/>
      </c>
      <c r="C2897">
        <f>IF($J2897="","",IF($J2897&lt;=1500,INDEX('Daily Sale entry '!$Z$1:$Z$1501,$J2897+1)&amp;"","Cheque deposit 支票存入 (buyer 买家)"))</f>
        <v/>
      </c>
      <c r="D2897">
        <f>IF($J2897="","",IF($J2897&lt;=1500,INDEX('Daily Sale entry '!$AA$1:$AA$1501,$J2897+1)&amp;"",INDEX('Daily Sale entry '!$P$1:$P$1501,$J2897-1499)&amp;""))</f>
        <v/>
      </c>
      <c r="E2897">
        <f>IF($J2897="","",IF($J2897&lt;=1500,IF(N(INDEX('Daily Sale entry '!$AB$1:$AB$1501,$J2897+1))=0,"",INDEX('Daily Sale entry '!$AB$1:$AB$1501,$J2897+1)),1))</f>
        <v/>
      </c>
      <c r="F2897" s="6">
        <f>IF($J2897="","",IF($J2897&lt;=1500,N(INDEX('Daily Sale entry '!$AC$1:$AC$1501,$J2897+1))-IF(AND('Opening Balance'!$B$15=1,INDEX('Daily Sale entry '!$Z$1:$Z$1501,$J2897+1)="Online collection 网上收款",INDEX('Daily Sale entry '!$AA$1:$AA$1501,$J2897+1)&lt;&gt;""),N(INDEX('Daily Sale entry '!$AC$1:$AC$1501,$J2897+1))-TRUNC(N(INDEX('Daily Sale entry '!$AC$1:$AC$1501,$J2897+1))),0),N(INDEX('Daily Sale entry '!$S$1:$S$1501,$J2897-1499))-'Opening Balance'!$B$15*(N(INDEX('Daily Sale entry '!$S$1:$S$1501,$J2897-1499))-TRUNC(N(INDEX('Daily Sale entry '!$S$1:$S$1501,$J2897-1499))))))</f>
        <v/>
      </c>
      <c r="G2897" s="6">
        <f>IF($J2897="","",IF($J2897&lt;=1500,N(INDEX('Daily Sale entry '!$AD$1:$AD$1501,$J2897+1)),0))</f>
        <v/>
      </c>
      <c r="H2897" s="6">
        <f>IF($J2897="","",ROUND('Opening Balance'!$B$4+SUM($F$2:F2897)-SUM($G$2:G2897),2))</f>
        <v/>
      </c>
      <c r="J2897" s="21">
        <f>IFERROR(MATCH(ROW()-1,$L$2:$L$3001,0),"")</f>
        <v/>
      </c>
      <c r="K2897" s="34">
        <f>IF(AND('Daily Sale entry '!Q1397="Collection 收款",'Daily Sale entry '!R1397="Cheque 支票",'Daily Sale entry '!V1397&lt;&gt;""),'Daily Sale entry '!V1397+ROW()/10000000,"")</f>
        <v/>
      </c>
      <c r="L2897" s="21">
        <f>IF(K2897="","",COUNTIF($K$2:$K$3001,"&lt;"&amp;K2897)+1)</f>
        <v/>
      </c>
    </row>
    <row r="2898">
      <c r="A2898" s="5">
        <f>IF($J2898="","",IF($J2898&lt;=1500,INDEX('Daily Sale entry '!$X$1:$X$1501,$J2898+1),INDEX('Daily Sale entry '!$V$1:$V$1501,$J2898-1499)))</f>
        <v/>
      </c>
      <c r="B2898">
        <f>IF($J2898="","",IF($J2898&lt;=1500,INDEX('Daily Sale entry '!$Y$1:$Y$1501,$J2898+1)&amp;"","Buyer cheque banked 买家支票存入"&amp;IF(INDEX('Daily Sale entry '!$U$1:$U$1501,$J2898-1499)="","", " - "&amp;INDEX('Daily Sale entry '!$U$1:$U$1501,$J2898-1499))))</f>
        <v/>
      </c>
      <c r="C2898">
        <f>IF($J2898="","",IF($J2898&lt;=1500,INDEX('Daily Sale entry '!$Z$1:$Z$1501,$J2898+1)&amp;"","Cheque deposit 支票存入 (buyer 买家)"))</f>
        <v/>
      </c>
      <c r="D2898">
        <f>IF($J2898="","",IF($J2898&lt;=1500,INDEX('Daily Sale entry '!$AA$1:$AA$1501,$J2898+1)&amp;"",INDEX('Daily Sale entry '!$P$1:$P$1501,$J2898-1499)&amp;""))</f>
        <v/>
      </c>
      <c r="E2898">
        <f>IF($J2898="","",IF($J2898&lt;=1500,IF(N(INDEX('Daily Sale entry '!$AB$1:$AB$1501,$J2898+1))=0,"",INDEX('Daily Sale entry '!$AB$1:$AB$1501,$J2898+1)),1))</f>
        <v/>
      </c>
      <c r="F2898" s="6">
        <f>IF($J2898="","",IF($J2898&lt;=1500,N(INDEX('Daily Sale entry '!$AC$1:$AC$1501,$J2898+1))-IF(AND('Opening Balance'!$B$15=1,INDEX('Daily Sale entry '!$Z$1:$Z$1501,$J2898+1)="Online collection 网上收款",INDEX('Daily Sale entry '!$AA$1:$AA$1501,$J2898+1)&lt;&gt;""),N(INDEX('Daily Sale entry '!$AC$1:$AC$1501,$J2898+1))-TRUNC(N(INDEX('Daily Sale entry '!$AC$1:$AC$1501,$J2898+1))),0),N(INDEX('Daily Sale entry '!$S$1:$S$1501,$J2898-1499))-'Opening Balance'!$B$15*(N(INDEX('Daily Sale entry '!$S$1:$S$1501,$J2898-1499))-TRUNC(N(INDEX('Daily Sale entry '!$S$1:$S$1501,$J2898-1499))))))</f>
        <v/>
      </c>
      <c r="G2898" s="6">
        <f>IF($J2898="","",IF($J2898&lt;=1500,N(INDEX('Daily Sale entry '!$AD$1:$AD$1501,$J2898+1)),0))</f>
        <v/>
      </c>
      <c r="H2898" s="6">
        <f>IF($J2898="","",ROUND('Opening Balance'!$B$4+SUM($F$2:F2898)-SUM($G$2:G2898),2))</f>
        <v/>
      </c>
      <c r="J2898" s="21">
        <f>IFERROR(MATCH(ROW()-1,$L$2:$L$3001,0),"")</f>
        <v/>
      </c>
      <c r="K2898" s="34">
        <f>IF(AND('Daily Sale entry '!Q1398="Collection 收款",'Daily Sale entry '!R1398="Cheque 支票",'Daily Sale entry '!V1398&lt;&gt;""),'Daily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IF($J2899="","",IF($J2899&lt;=1500,INDEX('Daily Sale entry '!$X$1:$X$1501,$J2899+1),INDEX('Daily Sale entry '!$V$1:$V$1501,$J2899-1499)))</f>
        <v/>
      </c>
      <c r="B2899">
        <f>IF($J2899="","",IF($J2899&lt;=1500,INDEX('Daily Sale entry '!$Y$1:$Y$1501,$J2899+1)&amp;"","Buyer cheque banked 买家支票存入"&amp;IF(INDEX('Daily Sale entry '!$U$1:$U$1501,$J2899-1499)="","", " - "&amp;INDEX('Daily Sale entry '!$U$1:$U$1501,$J2899-1499))))</f>
        <v/>
      </c>
      <c r="C2899">
        <f>IF($J2899="","",IF($J2899&lt;=1500,INDEX('Daily Sale entry '!$Z$1:$Z$1501,$J2899+1)&amp;"","Cheque deposit 支票存入 (buyer 买家)"))</f>
        <v/>
      </c>
      <c r="D2899">
        <f>IF($J2899="","",IF($J2899&lt;=1500,INDEX('Daily Sale entry '!$AA$1:$AA$1501,$J2899+1)&amp;"",INDEX('Daily Sale entry '!$P$1:$P$1501,$J2899-1499)&amp;""))</f>
        <v/>
      </c>
      <c r="E2899">
        <f>IF($J2899="","",IF($J2899&lt;=1500,IF(N(INDEX('Daily Sale entry '!$AB$1:$AB$1501,$J2899+1))=0,"",INDEX('Daily Sale entry '!$AB$1:$AB$1501,$J2899+1)),1))</f>
        <v/>
      </c>
      <c r="F2899" s="6">
        <f>IF($J2899="","",IF($J2899&lt;=1500,N(INDEX('Daily Sale entry '!$AC$1:$AC$1501,$J2899+1))-IF(AND('Opening Balance'!$B$15=1,INDEX('Daily Sale entry '!$Z$1:$Z$1501,$J2899+1)="Online collection 网上收款",INDEX('Daily Sale entry '!$AA$1:$AA$1501,$J2899+1)&lt;&gt;""),N(INDEX('Daily Sale entry '!$AC$1:$AC$1501,$J2899+1))-TRUNC(N(INDEX('Daily Sale entry '!$AC$1:$AC$1501,$J2899+1))),0),N(INDEX('Daily Sale entry '!$S$1:$S$1501,$J2899-1499))-'Opening Balance'!$B$15*(N(INDEX('Daily Sale entry '!$S$1:$S$1501,$J2899-1499))-TRUNC(N(INDEX('Daily Sale entry '!$S$1:$S$1501,$J2899-1499))))))</f>
        <v/>
      </c>
      <c r="G2899" s="6">
        <f>IF($J2899="","",IF($J2899&lt;=1500,N(INDEX('Daily Sale entry '!$AD$1:$AD$1501,$J2899+1)),0))</f>
        <v/>
      </c>
      <c r="H2899" s="6">
        <f>IF($J2899="","",ROUND('Opening Balance'!$B$4+SUM($F$2:F2899)-SUM($G$2:G2899),2))</f>
        <v/>
      </c>
      <c r="J2899" s="21">
        <f>IFERROR(MATCH(ROW()-1,$L$2:$L$3001,0),"")</f>
        <v/>
      </c>
      <c r="K2899" s="34">
        <f>IF(AND('Daily Sale entry '!Q1399="Collection 收款",'Daily Sale entry '!R1399="Cheque 支票",'Daily Sale entry '!V1399&lt;&gt;""),'Daily Sale entry '!V1399+ROW()/10000000,"")</f>
        <v/>
      </c>
      <c r="L2899" s="21">
        <f>IF(K2899="","",COUNTIF($K$2:$K$3001,"&lt;"&amp;K2899)+1)</f>
        <v/>
      </c>
    </row>
    <row r="2900">
      <c r="A2900" s="5">
        <f>IF($J2900="","",IF($J2900&lt;=1500,INDEX('Daily Sale entry '!$X$1:$X$1501,$J2900+1),INDEX('Daily Sale entry '!$V$1:$V$1501,$J2900-1499)))</f>
        <v/>
      </c>
      <c r="B2900">
        <f>IF($J2900="","",IF($J2900&lt;=1500,INDEX('Daily Sale entry '!$Y$1:$Y$1501,$J2900+1)&amp;"","Buyer cheque banked 买家支票存入"&amp;IF(INDEX('Daily Sale entry '!$U$1:$U$1501,$J2900-1499)="","", " - "&amp;INDEX('Daily Sale entry '!$U$1:$U$1501,$J2900-1499))))</f>
        <v/>
      </c>
      <c r="C2900">
        <f>IF($J2900="","",IF($J2900&lt;=1500,INDEX('Daily Sale entry '!$Z$1:$Z$1501,$J2900+1)&amp;"","Cheque deposit 支票存入 (buyer 买家)"))</f>
        <v/>
      </c>
      <c r="D2900">
        <f>IF($J2900="","",IF($J2900&lt;=1500,INDEX('Daily Sale entry '!$AA$1:$AA$1501,$J2900+1)&amp;"",INDEX('Daily Sale entry '!$P$1:$P$1501,$J2900-1499)&amp;""))</f>
        <v/>
      </c>
      <c r="E2900">
        <f>IF($J2900="","",IF($J2900&lt;=1500,IF(N(INDEX('Daily Sale entry '!$AB$1:$AB$1501,$J2900+1))=0,"",INDEX('Daily Sale entry '!$AB$1:$AB$1501,$J2900+1)),1))</f>
        <v/>
      </c>
      <c r="F2900" s="6">
        <f>IF($J2900="","",IF($J2900&lt;=1500,N(INDEX('Daily Sale entry '!$AC$1:$AC$1501,$J2900+1))-IF(AND('Opening Balance'!$B$15=1,INDEX('Daily Sale entry '!$Z$1:$Z$1501,$J2900+1)="Online collection 网上收款",INDEX('Daily Sale entry '!$AA$1:$AA$1501,$J2900+1)&lt;&gt;""),N(INDEX('Daily Sale entry '!$AC$1:$AC$1501,$J2900+1))-TRUNC(N(INDEX('Daily Sale entry '!$AC$1:$AC$1501,$J2900+1))),0),N(INDEX('Daily Sale entry '!$S$1:$S$1501,$J2900-1499))-'Opening Balance'!$B$15*(N(INDEX('Daily Sale entry '!$S$1:$S$1501,$J2900-1499))-TRUNC(N(INDEX('Daily Sale entry '!$S$1:$S$1501,$J2900-1499))))))</f>
        <v/>
      </c>
      <c r="G2900" s="6">
        <f>IF($J2900="","",IF($J2900&lt;=1500,N(INDEX('Daily Sale entry '!$AD$1:$AD$1501,$J2900+1)),0))</f>
        <v/>
      </c>
      <c r="H2900" s="6">
        <f>IF($J2900="","",ROUND('Opening Balance'!$B$4+SUM($F$2:F2900)-SUM($G$2:G2900),2))</f>
        <v/>
      </c>
      <c r="J2900" s="21">
        <f>IFERROR(MATCH(ROW()-1,$L$2:$L$3001,0),"")</f>
        <v/>
      </c>
      <c r="K2900" s="34">
        <f>IF(AND('Daily Sale entry '!Q1400="Collection 收款",'Daily Sale entry '!R1400="Cheque 支票",'Daily Sale entry '!V1400&lt;&gt;""),'Daily Sale entry '!V1400+ROW()/10000000,"")</f>
        <v/>
      </c>
      <c r="L2900" s="21">
        <f>IF(K2900="","",COUNTIF($K$2:$K$3001,"&lt;"&amp;K2900)+1)</f>
        <v/>
      </c>
    </row>
    <row r="2901">
      <c r="A2901" s="5">
        <f>IF($J2901="","",IF($J2901&lt;=1500,INDEX('Daily Sale entry '!$X$1:$X$1501,$J2901+1),INDEX('Daily Sale entry '!$V$1:$V$1501,$J2901-1499)))</f>
        <v/>
      </c>
      <c r="B2901">
        <f>IF($J2901="","",IF($J2901&lt;=1500,INDEX('Daily Sale entry '!$Y$1:$Y$1501,$J2901+1)&amp;"","Buyer cheque banked 买家支票存入"&amp;IF(INDEX('Daily Sale entry '!$U$1:$U$1501,$J2901-1499)="","", " - "&amp;INDEX('Daily Sale entry '!$U$1:$U$1501,$J2901-1499))))</f>
        <v/>
      </c>
      <c r="C2901">
        <f>IF($J2901="","",IF($J2901&lt;=1500,INDEX('Daily Sale entry '!$Z$1:$Z$1501,$J2901+1)&amp;"","Cheque deposit 支票存入 (buyer 买家)"))</f>
        <v/>
      </c>
      <c r="D2901">
        <f>IF($J2901="","",IF($J2901&lt;=1500,INDEX('Daily Sale entry '!$AA$1:$AA$1501,$J2901+1)&amp;"",INDEX('Daily Sale entry '!$P$1:$P$1501,$J2901-1499)&amp;""))</f>
        <v/>
      </c>
      <c r="E2901">
        <f>IF($J2901="","",IF($J2901&lt;=1500,IF(N(INDEX('Daily Sale entry '!$AB$1:$AB$1501,$J2901+1))=0,"",INDEX('Daily Sale entry '!$AB$1:$AB$1501,$J2901+1)),1))</f>
        <v/>
      </c>
      <c r="F2901" s="6">
        <f>IF($J2901="","",IF($J2901&lt;=1500,N(INDEX('Daily Sale entry '!$AC$1:$AC$1501,$J2901+1))-IF(AND('Opening Balance'!$B$15=1,INDEX('Daily Sale entry '!$Z$1:$Z$1501,$J2901+1)="Online collection 网上收款",INDEX('Daily Sale entry '!$AA$1:$AA$1501,$J2901+1)&lt;&gt;""),N(INDEX('Daily Sale entry '!$AC$1:$AC$1501,$J2901+1))-TRUNC(N(INDEX('Daily Sale entry '!$AC$1:$AC$1501,$J2901+1))),0),N(INDEX('Daily Sale entry '!$S$1:$S$1501,$J2901-1499))-'Opening Balance'!$B$15*(N(INDEX('Daily Sale entry '!$S$1:$S$1501,$J2901-1499))-TRUNC(N(INDEX('Daily Sale entry '!$S$1:$S$1501,$J2901-1499))))))</f>
        <v/>
      </c>
      <c r="G2901" s="6">
        <f>IF($J2901="","",IF($J2901&lt;=1500,N(INDEX('Daily Sale entry '!$AD$1:$AD$1501,$J2901+1)),0))</f>
        <v/>
      </c>
      <c r="H2901" s="6">
        <f>IF($J2901="","",ROUND('Opening Balance'!$B$4+SUM($F$2:F2901)-SUM($G$2:G2901),2))</f>
        <v/>
      </c>
      <c r="J2901" s="21">
        <f>IFERROR(MATCH(ROW()-1,$L$2:$L$3001,0),"")</f>
        <v/>
      </c>
      <c r="K2901" s="34">
        <f>IF(AND('Daily Sale entry '!Q1401="Collection 收款",'Daily Sale entry '!R1401="Cheque 支票",'Daily Sale entry '!V1401&lt;&gt;""),'Daily Sale entry '!V1401+ROW()/10000000,"")</f>
        <v/>
      </c>
      <c r="L2901" s="21">
        <f>IF(K2901="","",COUNTIF($K$2:$K$3001,"&lt;"&amp;K2901)+1)</f>
        <v/>
      </c>
    </row>
    <row r="2902">
      <c r="A2902" s="5">
        <f>IF($J2902="","",IF($J2902&lt;=1500,INDEX('Daily Sale entry '!$X$1:$X$1501,$J2902+1),INDEX('Daily Sale entry '!$V$1:$V$1501,$J2902-1499)))</f>
        <v/>
      </c>
      <c r="B2902">
        <f>IF($J2902="","",IF($J2902&lt;=1500,INDEX('Daily Sale entry '!$Y$1:$Y$1501,$J2902+1)&amp;"","Buyer cheque banked 买家支票存入"&amp;IF(INDEX('Daily Sale entry '!$U$1:$U$1501,$J2902-1499)="","", " - "&amp;INDEX('Daily Sale entry '!$U$1:$U$1501,$J2902-1499))))</f>
        <v/>
      </c>
      <c r="C2902">
        <f>IF($J2902="","",IF($J2902&lt;=1500,INDEX('Daily Sale entry '!$Z$1:$Z$1501,$J2902+1)&amp;"","Cheque deposit 支票存入 (buyer 买家)"))</f>
        <v/>
      </c>
      <c r="D2902">
        <f>IF($J2902="","",IF($J2902&lt;=1500,INDEX('Daily Sale entry '!$AA$1:$AA$1501,$J2902+1)&amp;"",INDEX('Daily Sale entry '!$P$1:$P$1501,$J2902-1499)&amp;""))</f>
        <v/>
      </c>
      <c r="E2902">
        <f>IF($J2902="","",IF($J2902&lt;=1500,IF(N(INDEX('Daily Sale entry '!$AB$1:$AB$1501,$J2902+1))=0,"",INDEX('Daily Sale entry '!$AB$1:$AB$1501,$J2902+1)),1))</f>
        <v/>
      </c>
      <c r="F2902" s="6">
        <f>IF($J2902="","",IF($J2902&lt;=1500,N(INDEX('Daily Sale entry '!$AC$1:$AC$1501,$J2902+1))-IF(AND('Opening Balance'!$B$15=1,INDEX('Daily Sale entry '!$Z$1:$Z$1501,$J2902+1)="Online collection 网上收款",INDEX('Daily Sale entry '!$AA$1:$AA$1501,$J2902+1)&lt;&gt;""),N(INDEX('Daily Sale entry '!$AC$1:$AC$1501,$J2902+1))-TRUNC(N(INDEX('Daily Sale entry '!$AC$1:$AC$1501,$J2902+1))),0),N(INDEX('Daily Sale entry '!$S$1:$S$1501,$J2902-1499))-'Opening Balance'!$B$15*(N(INDEX('Daily Sale entry '!$S$1:$S$1501,$J2902-1499))-TRUNC(N(INDEX('Daily Sale entry '!$S$1:$S$1501,$J2902-1499))))))</f>
        <v/>
      </c>
      <c r="G2902" s="6">
        <f>IF($J2902="","",IF($J2902&lt;=1500,N(INDEX('Daily Sale entry '!$AD$1:$AD$1501,$J2902+1)),0))</f>
        <v/>
      </c>
      <c r="H2902" s="6">
        <f>IF($J2902="","",ROUND('Opening Balance'!$B$4+SUM($F$2:F2902)-SUM($G$2:G2902),2))</f>
        <v/>
      </c>
      <c r="J2902" s="21">
        <f>IFERROR(MATCH(ROW()-1,$L$2:$L$3001,0),"")</f>
        <v/>
      </c>
      <c r="K2902" s="34">
        <f>IF(AND('Daily Sale entry '!Q1402="Collection 收款",'Daily Sale entry '!R1402="Cheque 支票",'Daily Sale entry '!V1402&lt;&gt;""),'Daily Sale entry '!V1402+ROW()/10000000,"")</f>
        <v/>
      </c>
      <c r="L2902" s="21">
        <f>IF(K2902="","",COUNTIF($K$2:$K$3001,"&lt;"&amp;K2902)+1)</f>
        <v/>
      </c>
    </row>
    <row r="2903">
      <c r="A2903" s="5">
        <f>IF($J2903="","",IF($J2903&lt;=1500,INDEX('Daily Sale entry '!$X$1:$X$1501,$J2903+1),INDEX('Daily Sale entry '!$V$1:$V$1501,$J2903-1499)))</f>
        <v/>
      </c>
      <c r="B2903">
        <f>IF($J2903="","",IF($J2903&lt;=1500,INDEX('Daily Sale entry '!$Y$1:$Y$1501,$J2903+1)&amp;"","Buyer cheque banked 买家支票存入"&amp;IF(INDEX('Daily Sale entry '!$U$1:$U$1501,$J2903-1499)="","", " - "&amp;INDEX('Daily Sale entry '!$U$1:$U$1501,$J2903-1499))))</f>
        <v/>
      </c>
      <c r="C2903">
        <f>IF($J2903="","",IF($J2903&lt;=1500,INDEX('Daily Sale entry '!$Z$1:$Z$1501,$J2903+1)&amp;"","Cheque deposit 支票存入 (buyer 买家)"))</f>
        <v/>
      </c>
      <c r="D2903">
        <f>IF($J2903="","",IF($J2903&lt;=1500,INDEX('Daily Sale entry '!$AA$1:$AA$1501,$J2903+1)&amp;"",INDEX('Daily Sale entry '!$P$1:$P$1501,$J2903-1499)&amp;""))</f>
        <v/>
      </c>
      <c r="E2903">
        <f>IF($J2903="","",IF($J2903&lt;=1500,IF(N(INDEX('Daily Sale entry '!$AB$1:$AB$1501,$J2903+1))=0,"",INDEX('Daily Sale entry '!$AB$1:$AB$1501,$J2903+1)),1))</f>
        <v/>
      </c>
      <c r="F2903" s="6">
        <f>IF($J2903="","",IF($J2903&lt;=1500,N(INDEX('Daily Sale entry '!$AC$1:$AC$1501,$J2903+1))-IF(AND('Opening Balance'!$B$15=1,INDEX('Daily Sale entry '!$Z$1:$Z$1501,$J2903+1)="Online collection 网上收款",INDEX('Daily Sale entry '!$AA$1:$AA$1501,$J2903+1)&lt;&gt;""),N(INDEX('Daily Sale entry '!$AC$1:$AC$1501,$J2903+1))-TRUNC(N(INDEX('Daily Sale entry '!$AC$1:$AC$1501,$J2903+1))),0),N(INDEX('Daily Sale entry '!$S$1:$S$1501,$J2903-1499))-'Opening Balance'!$B$15*(N(INDEX('Daily Sale entry '!$S$1:$S$1501,$J2903-1499))-TRUNC(N(INDEX('Daily Sale entry '!$S$1:$S$1501,$J2903-1499))))))</f>
        <v/>
      </c>
      <c r="G2903" s="6">
        <f>IF($J2903="","",IF($J2903&lt;=1500,N(INDEX('Daily Sale entry '!$AD$1:$AD$1501,$J2903+1)),0))</f>
        <v/>
      </c>
      <c r="H2903" s="6">
        <f>IF($J2903="","",ROUND('Opening Balance'!$B$4+SUM($F$2:F2903)-SUM($G$2:G2903),2))</f>
        <v/>
      </c>
      <c r="J2903" s="21">
        <f>IFERROR(MATCH(ROW()-1,$L$2:$L$3001,0),"")</f>
        <v/>
      </c>
      <c r="K2903" s="34">
        <f>IF(AND('Daily Sale entry '!Q1403="Collection 收款",'Daily Sale entry '!R1403="Cheque 支票",'Daily Sale entry '!V1403&lt;&gt;""),'Daily Sale entry '!V1403+ROW()/10000000,"")</f>
        <v/>
      </c>
      <c r="L2903" s="21">
        <f>IF(K2903="","",COUNTIF($K$2:$K$3001,"&lt;"&amp;K2903)+1)</f>
        <v/>
      </c>
    </row>
    <row r="2904">
      <c r="A2904" s="5">
        <f>IF($J2904="","",IF($J2904&lt;=1500,INDEX('Daily Sale entry '!$X$1:$X$1501,$J2904+1),INDEX('Daily Sale entry '!$V$1:$V$1501,$J2904-1499)))</f>
        <v/>
      </c>
      <c r="B2904">
        <f>IF($J2904="","",IF($J2904&lt;=1500,INDEX('Daily Sale entry '!$Y$1:$Y$1501,$J2904+1)&amp;"","Buyer cheque banked 买家支票存入"&amp;IF(INDEX('Daily Sale entry '!$U$1:$U$1501,$J2904-1499)="","", " - "&amp;INDEX('Daily Sale entry '!$U$1:$U$1501,$J2904-1499))))</f>
        <v/>
      </c>
      <c r="C2904">
        <f>IF($J2904="","",IF($J2904&lt;=1500,INDEX('Daily Sale entry '!$Z$1:$Z$1501,$J2904+1)&amp;"","Cheque deposit 支票存入 (buyer 买家)"))</f>
        <v/>
      </c>
      <c r="D2904">
        <f>IF($J2904="","",IF($J2904&lt;=1500,INDEX('Daily Sale entry '!$AA$1:$AA$1501,$J2904+1)&amp;"",INDEX('Daily Sale entry '!$P$1:$P$1501,$J2904-1499)&amp;""))</f>
        <v/>
      </c>
      <c r="E2904">
        <f>IF($J2904="","",IF($J2904&lt;=1500,IF(N(INDEX('Daily Sale entry '!$AB$1:$AB$1501,$J2904+1))=0,"",INDEX('Daily Sale entry '!$AB$1:$AB$1501,$J2904+1)),1))</f>
        <v/>
      </c>
      <c r="F2904" s="6">
        <f>IF($J2904="","",IF($J2904&lt;=1500,N(INDEX('Daily Sale entry '!$AC$1:$AC$1501,$J2904+1))-IF(AND('Opening Balance'!$B$15=1,INDEX('Daily Sale entry '!$Z$1:$Z$1501,$J2904+1)="Online collection 网上收款",INDEX('Daily Sale entry '!$AA$1:$AA$1501,$J2904+1)&lt;&gt;""),N(INDEX('Daily Sale entry '!$AC$1:$AC$1501,$J2904+1))-TRUNC(N(INDEX('Daily Sale entry '!$AC$1:$AC$1501,$J2904+1))),0),N(INDEX('Daily Sale entry '!$S$1:$S$1501,$J2904-1499))-'Opening Balance'!$B$15*(N(INDEX('Daily Sale entry '!$S$1:$S$1501,$J2904-1499))-TRUNC(N(INDEX('Daily Sale entry '!$S$1:$S$1501,$J2904-1499))))))</f>
        <v/>
      </c>
      <c r="G2904" s="6">
        <f>IF($J2904="","",IF($J2904&lt;=1500,N(INDEX('Daily Sale entry '!$AD$1:$AD$1501,$J2904+1)),0))</f>
        <v/>
      </c>
      <c r="H2904" s="6">
        <f>IF($J2904="","",ROUND('Opening Balance'!$B$4+SUM($F$2:F2904)-SUM($G$2:G2904),2))</f>
        <v/>
      </c>
      <c r="J2904" s="21">
        <f>IFERROR(MATCH(ROW()-1,$L$2:$L$3001,0),"")</f>
        <v/>
      </c>
      <c r="K2904" s="34">
        <f>IF(AND('Daily Sale entry '!Q1404="Collection 收款",'Daily Sale entry '!R1404="Cheque 支票",'Daily Sale entry '!V1404&lt;&gt;""),'Daily Sale entry '!V1404+ROW()/10000000,"")</f>
        <v/>
      </c>
      <c r="L2904" s="21">
        <f>IF(K2904="","",COUNTIF($K$2:$K$3001,"&lt;"&amp;K2904)+1)</f>
        <v/>
      </c>
    </row>
    <row r="2905">
      <c r="A2905" s="5">
        <f>IF($J2905="","",IF($J2905&lt;=1500,INDEX('Daily Sale entry '!$X$1:$X$1501,$J2905+1),INDEX('Daily Sale entry '!$V$1:$V$1501,$J2905-1499)))</f>
        <v/>
      </c>
      <c r="B2905">
        <f>IF($J2905="","",IF($J2905&lt;=1500,INDEX('Daily Sale entry '!$Y$1:$Y$1501,$J2905+1)&amp;"","Buyer cheque banked 买家支票存入"&amp;IF(INDEX('Daily Sale entry '!$U$1:$U$1501,$J2905-1499)="","", " - "&amp;INDEX('Daily Sale entry '!$U$1:$U$1501,$J2905-1499))))</f>
        <v/>
      </c>
      <c r="C2905">
        <f>IF($J2905="","",IF($J2905&lt;=1500,INDEX('Daily Sale entry '!$Z$1:$Z$1501,$J2905+1)&amp;"","Cheque deposit 支票存入 (buyer 买家)"))</f>
        <v/>
      </c>
      <c r="D2905">
        <f>IF($J2905="","",IF($J2905&lt;=1500,INDEX('Daily Sale entry '!$AA$1:$AA$1501,$J2905+1)&amp;"",INDEX('Daily Sale entry '!$P$1:$P$1501,$J2905-1499)&amp;""))</f>
        <v/>
      </c>
      <c r="E2905">
        <f>IF($J2905="","",IF($J2905&lt;=1500,IF(N(INDEX('Daily Sale entry '!$AB$1:$AB$1501,$J2905+1))=0,"",INDEX('Daily Sale entry '!$AB$1:$AB$1501,$J2905+1)),1))</f>
        <v/>
      </c>
      <c r="F2905" s="6">
        <f>IF($J2905="","",IF($J2905&lt;=1500,N(INDEX('Daily Sale entry '!$AC$1:$AC$1501,$J2905+1))-IF(AND('Opening Balance'!$B$15=1,INDEX('Daily Sale entry '!$Z$1:$Z$1501,$J2905+1)="Online collection 网上收款",INDEX('Daily Sale entry '!$AA$1:$AA$1501,$J2905+1)&lt;&gt;""),N(INDEX('Daily Sale entry '!$AC$1:$AC$1501,$J2905+1))-TRUNC(N(INDEX('Daily Sale entry '!$AC$1:$AC$1501,$J2905+1))),0),N(INDEX('Daily Sale entry '!$S$1:$S$1501,$J2905-1499))-'Opening Balance'!$B$15*(N(INDEX('Daily Sale entry '!$S$1:$S$1501,$J2905-1499))-TRUNC(N(INDEX('Daily Sale entry '!$S$1:$S$1501,$J2905-1499))))))</f>
        <v/>
      </c>
      <c r="G2905" s="6">
        <f>IF($J2905="","",IF($J2905&lt;=1500,N(INDEX('Daily Sale entry '!$AD$1:$AD$1501,$J2905+1)),0))</f>
        <v/>
      </c>
      <c r="H2905" s="6">
        <f>IF($J2905="","",ROUND('Opening Balance'!$B$4+SUM($F$2:F2905)-SUM($G$2:G2905),2))</f>
        <v/>
      </c>
      <c r="J2905" s="21">
        <f>IFERROR(MATCH(ROW()-1,$L$2:$L$3001,0),"")</f>
        <v/>
      </c>
      <c r="K2905" s="34">
        <f>IF(AND('Daily Sale entry '!Q1405="Collection 收款",'Daily Sale entry '!R1405="Cheque 支票",'Daily Sale entry '!V1405&lt;&gt;""),'Daily Sale entry '!V1405+ROW()/10000000,"")</f>
        <v/>
      </c>
      <c r="L2905" s="21">
        <f>IF(K2905="","",COUNTIF($K$2:$K$3001,"&lt;"&amp;K2905)+1)</f>
        <v/>
      </c>
    </row>
    <row r="2906">
      <c r="A2906" s="5">
        <f>IF($J2906="","",IF($J2906&lt;=1500,INDEX('Daily Sale entry '!$X$1:$X$1501,$J2906+1),INDEX('Daily Sale entry '!$V$1:$V$1501,$J2906-1499)))</f>
        <v/>
      </c>
      <c r="B2906">
        <f>IF($J2906="","",IF($J2906&lt;=1500,INDEX('Daily Sale entry '!$Y$1:$Y$1501,$J2906+1)&amp;"","Buyer cheque banked 买家支票存入"&amp;IF(INDEX('Daily Sale entry '!$U$1:$U$1501,$J2906-1499)="","", " - "&amp;INDEX('Daily Sale entry '!$U$1:$U$1501,$J2906-1499))))</f>
        <v/>
      </c>
      <c r="C2906">
        <f>IF($J2906="","",IF($J2906&lt;=1500,INDEX('Daily Sale entry '!$Z$1:$Z$1501,$J2906+1)&amp;"","Cheque deposit 支票存入 (buyer 买家)"))</f>
        <v/>
      </c>
      <c r="D2906">
        <f>IF($J2906="","",IF($J2906&lt;=1500,INDEX('Daily Sale entry '!$AA$1:$AA$1501,$J2906+1)&amp;"",INDEX('Daily Sale entry '!$P$1:$P$1501,$J2906-1499)&amp;""))</f>
        <v/>
      </c>
      <c r="E2906">
        <f>IF($J2906="","",IF($J2906&lt;=1500,IF(N(INDEX('Daily Sale entry '!$AB$1:$AB$1501,$J2906+1))=0,"",INDEX('Daily Sale entry '!$AB$1:$AB$1501,$J2906+1)),1))</f>
        <v/>
      </c>
      <c r="F2906" s="6">
        <f>IF($J2906="","",IF($J2906&lt;=1500,N(INDEX('Daily Sale entry '!$AC$1:$AC$1501,$J2906+1))-IF(AND('Opening Balance'!$B$15=1,INDEX('Daily Sale entry '!$Z$1:$Z$1501,$J2906+1)="Online collection 网上收款",INDEX('Daily Sale entry '!$AA$1:$AA$1501,$J2906+1)&lt;&gt;""),N(INDEX('Daily Sale entry '!$AC$1:$AC$1501,$J2906+1))-TRUNC(N(INDEX('Daily Sale entry '!$AC$1:$AC$1501,$J2906+1))),0),N(INDEX('Daily Sale entry '!$S$1:$S$1501,$J2906-1499))-'Opening Balance'!$B$15*(N(INDEX('Daily Sale entry '!$S$1:$S$1501,$J2906-1499))-TRUNC(N(INDEX('Daily Sale entry '!$S$1:$S$1501,$J2906-1499))))))</f>
        <v/>
      </c>
      <c r="G2906" s="6">
        <f>IF($J2906="","",IF($J2906&lt;=1500,N(INDEX('Daily Sale entry '!$AD$1:$AD$1501,$J2906+1)),0))</f>
        <v/>
      </c>
      <c r="H2906" s="6">
        <f>IF($J2906="","",ROUND('Opening Balance'!$B$4+SUM($F$2:F2906)-SUM($G$2:G2906),2))</f>
        <v/>
      </c>
      <c r="J2906" s="21">
        <f>IFERROR(MATCH(ROW()-1,$L$2:$L$3001,0),"")</f>
        <v/>
      </c>
      <c r="K2906" s="34">
        <f>IF(AND('Daily Sale entry '!Q1406="Collection 收款",'Daily Sale entry '!R1406="Cheque 支票",'Daily Sale entry '!V1406&lt;&gt;""),'Daily Sale entry '!V1406+ROW()/10000000,"")</f>
        <v/>
      </c>
      <c r="L2906" s="21">
        <f>IF(K2906="","",COUNTIF($K$2:$K$3001,"&lt;"&amp;K2906)+1)</f>
        <v/>
      </c>
    </row>
    <row r="2907">
      <c r="A2907" s="5">
        <f>IF($J2907="","",IF($J2907&lt;=1500,INDEX('Daily Sale entry '!$X$1:$X$1501,$J2907+1),INDEX('Daily Sale entry '!$V$1:$V$1501,$J2907-1499)))</f>
        <v/>
      </c>
      <c r="B2907">
        <f>IF($J2907="","",IF($J2907&lt;=1500,INDEX('Daily Sale entry '!$Y$1:$Y$1501,$J2907+1)&amp;"","Buyer cheque banked 买家支票存入"&amp;IF(INDEX('Daily Sale entry '!$U$1:$U$1501,$J2907-1499)="","", " - "&amp;INDEX('Daily Sale entry '!$U$1:$U$1501,$J2907-1499))))</f>
        <v/>
      </c>
      <c r="C2907">
        <f>IF($J2907="","",IF($J2907&lt;=1500,INDEX('Daily Sale entry '!$Z$1:$Z$1501,$J2907+1)&amp;"","Cheque deposit 支票存入 (buyer 买家)"))</f>
        <v/>
      </c>
      <c r="D2907">
        <f>IF($J2907="","",IF($J2907&lt;=1500,INDEX('Daily Sale entry '!$AA$1:$AA$1501,$J2907+1)&amp;"",INDEX('Daily Sale entry '!$P$1:$P$1501,$J2907-1499)&amp;""))</f>
        <v/>
      </c>
      <c r="E2907">
        <f>IF($J2907="","",IF($J2907&lt;=1500,IF(N(INDEX('Daily Sale entry '!$AB$1:$AB$1501,$J2907+1))=0,"",INDEX('Daily Sale entry '!$AB$1:$AB$1501,$J2907+1)),1))</f>
        <v/>
      </c>
      <c r="F2907" s="6">
        <f>IF($J2907="","",IF($J2907&lt;=1500,N(INDEX('Daily Sale entry '!$AC$1:$AC$1501,$J2907+1))-IF(AND('Opening Balance'!$B$15=1,INDEX('Daily Sale entry '!$Z$1:$Z$1501,$J2907+1)="Online collection 网上收款",INDEX('Daily Sale entry '!$AA$1:$AA$1501,$J2907+1)&lt;&gt;""),N(INDEX('Daily Sale entry '!$AC$1:$AC$1501,$J2907+1))-TRUNC(N(INDEX('Daily Sale entry '!$AC$1:$AC$1501,$J2907+1))),0),N(INDEX('Daily Sale entry '!$S$1:$S$1501,$J2907-1499))-'Opening Balance'!$B$15*(N(INDEX('Daily Sale entry '!$S$1:$S$1501,$J2907-1499))-TRUNC(N(INDEX('Daily Sale entry '!$S$1:$S$1501,$J2907-1499))))))</f>
        <v/>
      </c>
      <c r="G2907" s="6">
        <f>IF($J2907="","",IF($J2907&lt;=1500,N(INDEX('Daily Sale entry '!$AD$1:$AD$1501,$J2907+1)),0))</f>
        <v/>
      </c>
      <c r="H2907" s="6">
        <f>IF($J2907="","",ROUND('Opening Balance'!$B$4+SUM($F$2:F2907)-SUM($G$2:G2907),2))</f>
        <v/>
      </c>
      <c r="J2907" s="21">
        <f>IFERROR(MATCH(ROW()-1,$L$2:$L$3001,0),"")</f>
        <v/>
      </c>
      <c r="K2907" s="34">
        <f>IF(AND('Daily Sale entry '!Q1407="Collection 收款",'Daily Sale entry '!R1407="Cheque 支票",'Daily Sale entry '!V1407&lt;&gt;""),'Daily Sale entry '!V1407+ROW()/10000000,"")</f>
        <v/>
      </c>
      <c r="L2907" s="21">
        <f>IF(K2907="","",COUNTIF($K$2:$K$3001,"&lt;"&amp;K2907)+1)</f>
        <v/>
      </c>
    </row>
    <row r="2908">
      <c r="A2908" s="5">
        <f>IF($J2908="","",IF($J2908&lt;=1500,INDEX('Daily Sale entry '!$X$1:$X$1501,$J2908+1),INDEX('Daily Sale entry '!$V$1:$V$1501,$J2908-1499)))</f>
        <v/>
      </c>
      <c r="B2908">
        <f>IF($J2908="","",IF($J2908&lt;=1500,INDEX('Daily Sale entry '!$Y$1:$Y$1501,$J2908+1)&amp;"","Buyer cheque banked 买家支票存入"&amp;IF(INDEX('Daily Sale entry '!$U$1:$U$1501,$J2908-1499)="","", " - "&amp;INDEX('Daily Sale entry '!$U$1:$U$1501,$J2908-1499))))</f>
        <v/>
      </c>
      <c r="C2908">
        <f>IF($J2908="","",IF($J2908&lt;=1500,INDEX('Daily Sale entry '!$Z$1:$Z$1501,$J2908+1)&amp;"","Cheque deposit 支票存入 (buyer 买家)"))</f>
        <v/>
      </c>
      <c r="D2908">
        <f>IF($J2908="","",IF($J2908&lt;=1500,INDEX('Daily Sale entry '!$AA$1:$AA$1501,$J2908+1)&amp;"",INDEX('Daily Sale entry '!$P$1:$P$1501,$J2908-1499)&amp;""))</f>
        <v/>
      </c>
      <c r="E2908">
        <f>IF($J2908="","",IF($J2908&lt;=1500,IF(N(INDEX('Daily Sale entry '!$AB$1:$AB$1501,$J2908+1))=0,"",INDEX('Daily Sale entry '!$AB$1:$AB$1501,$J2908+1)),1))</f>
        <v/>
      </c>
      <c r="F2908" s="6">
        <f>IF($J2908="","",IF($J2908&lt;=1500,N(INDEX('Daily Sale entry '!$AC$1:$AC$1501,$J2908+1))-IF(AND('Opening Balance'!$B$15=1,INDEX('Daily Sale entry '!$Z$1:$Z$1501,$J2908+1)="Online collection 网上收款",INDEX('Daily Sale entry '!$AA$1:$AA$1501,$J2908+1)&lt;&gt;""),N(INDEX('Daily Sale entry '!$AC$1:$AC$1501,$J2908+1))-TRUNC(N(INDEX('Daily Sale entry '!$AC$1:$AC$1501,$J2908+1))),0),N(INDEX('Daily Sale entry '!$S$1:$S$1501,$J2908-1499))-'Opening Balance'!$B$15*(N(INDEX('Daily Sale entry '!$S$1:$S$1501,$J2908-1499))-TRUNC(N(INDEX('Daily Sale entry '!$S$1:$S$1501,$J2908-1499))))))</f>
        <v/>
      </c>
      <c r="G2908" s="6">
        <f>IF($J2908="","",IF($J2908&lt;=1500,N(INDEX('Daily Sale entry '!$AD$1:$AD$1501,$J2908+1)),0))</f>
        <v/>
      </c>
      <c r="H2908" s="6">
        <f>IF($J2908="","",ROUND('Opening Balance'!$B$4+SUM($F$2:F2908)-SUM($G$2:G2908),2))</f>
        <v/>
      </c>
      <c r="J2908" s="21">
        <f>IFERROR(MATCH(ROW()-1,$L$2:$L$3001,0),"")</f>
        <v/>
      </c>
      <c r="K2908" s="34">
        <f>IF(AND('Daily Sale entry '!Q1408="Collection 收款",'Daily Sale entry '!R1408="Cheque 支票",'Daily Sale entry '!V1408&lt;&gt;""),'Daily Sale entry '!V1408+ROW()/10000000,"")</f>
        <v/>
      </c>
      <c r="L2908" s="21">
        <f>IF(K2908="","",COUNTIF($K$2:$K$3001,"&lt;"&amp;K2908)+1)</f>
        <v/>
      </c>
    </row>
    <row r="2909">
      <c r="A2909" s="5">
        <f>IF($J2909="","",IF($J2909&lt;=1500,INDEX('Daily Sale entry '!$X$1:$X$1501,$J2909+1),INDEX('Daily Sale entry '!$V$1:$V$1501,$J2909-1499)))</f>
        <v/>
      </c>
      <c r="B2909">
        <f>IF($J2909="","",IF($J2909&lt;=1500,INDEX('Daily Sale entry '!$Y$1:$Y$1501,$J2909+1)&amp;"","Buyer cheque banked 买家支票存入"&amp;IF(INDEX('Daily Sale entry '!$U$1:$U$1501,$J2909-1499)="","", " - "&amp;INDEX('Daily Sale entry '!$U$1:$U$1501,$J2909-1499))))</f>
        <v/>
      </c>
      <c r="C2909">
        <f>IF($J2909="","",IF($J2909&lt;=1500,INDEX('Daily Sale entry '!$Z$1:$Z$1501,$J2909+1)&amp;"","Cheque deposit 支票存入 (buyer 买家)"))</f>
        <v/>
      </c>
      <c r="D2909">
        <f>IF($J2909="","",IF($J2909&lt;=1500,INDEX('Daily Sale entry '!$AA$1:$AA$1501,$J2909+1)&amp;"",INDEX('Daily Sale entry '!$P$1:$P$1501,$J2909-1499)&amp;""))</f>
        <v/>
      </c>
      <c r="E2909">
        <f>IF($J2909="","",IF($J2909&lt;=1500,IF(N(INDEX('Daily Sale entry '!$AB$1:$AB$1501,$J2909+1))=0,"",INDEX('Daily Sale entry '!$AB$1:$AB$1501,$J2909+1)),1))</f>
        <v/>
      </c>
      <c r="F2909" s="6">
        <f>IF($J2909="","",IF($J2909&lt;=1500,N(INDEX('Daily Sale entry '!$AC$1:$AC$1501,$J2909+1))-IF(AND('Opening Balance'!$B$15=1,INDEX('Daily Sale entry '!$Z$1:$Z$1501,$J2909+1)="Online collection 网上收款",INDEX('Daily Sale entry '!$AA$1:$AA$1501,$J2909+1)&lt;&gt;""),N(INDEX('Daily Sale entry '!$AC$1:$AC$1501,$J2909+1))-TRUNC(N(INDEX('Daily Sale entry '!$AC$1:$AC$1501,$J2909+1))),0),N(INDEX('Daily Sale entry '!$S$1:$S$1501,$J2909-1499))-'Opening Balance'!$B$15*(N(INDEX('Daily Sale entry '!$S$1:$S$1501,$J2909-1499))-TRUNC(N(INDEX('Daily Sale entry '!$S$1:$S$1501,$J2909-1499))))))</f>
        <v/>
      </c>
      <c r="G2909" s="6">
        <f>IF($J2909="","",IF($J2909&lt;=1500,N(INDEX('Daily Sale entry '!$AD$1:$AD$1501,$J2909+1)),0))</f>
        <v/>
      </c>
      <c r="H2909" s="6">
        <f>IF($J2909="","",ROUND('Opening Balance'!$B$4+SUM($F$2:F2909)-SUM($G$2:G2909),2))</f>
        <v/>
      </c>
      <c r="J2909" s="21">
        <f>IFERROR(MATCH(ROW()-1,$L$2:$L$3001,0),"")</f>
        <v/>
      </c>
      <c r="K2909" s="34">
        <f>IF(AND('Daily Sale entry '!Q1409="Collection 收款",'Daily Sale entry '!R1409="Cheque 支票",'Daily Sale entry '!V1409&lt;&gt;""),'Daily Sale entry '!V1409+ROW()/10000000,"")</f>
        <v/>
      </c>
      <c r="L2909" s="21">
        <f>IF(K2909="","",COUNTIF($K$2:$K$3001,"&lt;"&amp;K2909)+1)</f>
        <v/>
      </c>
    </row>
    <row r="2910">
      <c r="A2910" s="5">
        <f>IF($J2910="","",IF($J2910&lt;=1500,INDEX('Daily Sale entry '!$X$1:$X$1501,$J2910+1),INDEX('Daily Sale entry '!$V$1:$V$1501,$J2910-1499)))</f>
        <v/>
      </c>
      <c r="B2910">
        <f>IF($J2910="","",IF($J2910&lt;=1500,INDEX('Daily Sale entry '!$Y$1:$Y$1501,$J2910+1)&amp;"","Buyer cheque banked 买家支票存入"&amp;IF(INDEX('Daily Sale entry '!$U$1:$U$1501,$J2910-1499)="","", " - "&amp;INDEX('Daily Sale entry '!$U$1:$U$1501,$J2910-1499))))</f>
        <v/>
      </c>
      <c r="C2910">
        <f>IF($J2910="","",IF($J2910&lt;=1500,INDEX('Daily Sale entry '!$Z$1:$Z$1501,$J2910+1)&amp;"","Cheque deposit 支票存入 (buyer 买家)"))</f>
        <v/>
      </c>
      <c r="D2910">
        <f>IF($J2910="","",IF($J2910&lt;=1500,INDEX('Daily Sale entry '!$AA$1:$AA$1501,$J2910+1)&amp;"",INDEX('Daily Sale entry '!$P$1:$P$1501,$J2910-1499)&amp;""))</f>
        <v/>
      </c>
      <c r="E2910">
        <f>IF($J2910="","",IF($J2910&lt;=1500,IF(N(INDEX('Daily Sale entry '!$AB$1:$AB$1501,$J2910+1))=0,"",INDEX('Daily Sale entry '!$AB$1:$AB$1501,$J2910+1)),1))</f>
        <v/>
      </c>
      <c r="F2910" s="6">
        <f>IF($J2910="","",IF($J2910&lt;=1500,N(INDEX('Daily Sale entry '!$AC$1:$AC$1501,$J2910+1))-IF(AND('Opening Balance'!$B$15=1,INDEX('Daily Sale entry '!$Z$1:$Z$1501,$J2910+1)="Online collection 网上收款",INDEX('Daily Sale entry '!$AA$1:$AA$1501,$J2910+1)&lt;&gt;""),N(INDEX('Daily Sale entry '!$AC$1:$AC$1501,$J2910+1))-TRUNC(N(INDEX('Daily Sale entry '!$AC$1:$AC$1501,$J2910+1))),0),N(INDEX('Daily Sale entry '!$S$1:$S$1501,$J2910-1499))-'Opening Balance'!$B$15*(N(INDEX('Daily Sale entry '!$S$1:$S$1501,$J2910-1499))-TRUNC(N(INDEX('Daily Sale entry '!$S$1:$S$1501,$J2910-1499))))))</f>
        <v/>
      </c>
      <c r="G2910" s="6">
        <f>IF($J2910="","",IF($J2910&lt;=1500,N(INDEX('Daily Sale entry '!$AD$1:$AD$1501,$J2910+1)),0))</f>
        <v/>
      </c>
      <c r="H2910" s="6">
        <f>IF($J2910="","",ROUND('Opening Balance'!$B$4+SUM($F$2:F2910)-SUM($G$2:G2910),2))</f>
        <v/>
      </c>
      <c r="J2910" s="21">
        <f>IFERROR(MATCH(ROW()-1,$L$2:$L$3001,0),"")</f>
        <v/>
      </c>
      <c r="K2910" s="34">
        <f>IF(AND('Daily Sale entry '!Q1410="Collection 收款",'Daily Sale entry '!R1410="Cheque 支票",'Daily Sale entry '!V1410&lt;&gt;""),'Daily Sale entry '!V1410+ROW()/10000000,"")</f>
        <v/>
      </c>
      <c r="L2910" s="21">
        <f>IF(K2910="","",COUNTIF($K$2:$K$3001,"&lt;"&amp;K2910)+1)</f>
        <v/>
      </c>
    </row>
    <row r="2911">
      <c r="A2911" s="5">
        <f>IF($J2911="","",IF($J2911&lt;=1500,INDEX('Daily Sale entry '!$X$1:$X$1501,$J2911+1),INDEX('Daily Sale entry '!$V$1:$V$1501,$J2911-1499)))</f>
        <v/>
      </c>
      <c r="B2911">
        <f>IF($J2911="","",IF($J2911&lt;=1500,INDEX('Daily Sale entry '!$Y$1:$Y$1501,$J2911+1)&amp;"","Buyer cheque banked 买家支票存入"&amp;IF(INDEX('Daily Sale entry '!$U$1:$U$1501,$J2911-1499)="","", " - "&amp;INDEX('Daily Sale entry '!$U$1:$U$1501,$J2911-1499))))</f>
        <v/>
      </c>
      <c r="C2911">
        <f>IF($J2911="","",IF($J2911&lt;=1500,INDEX('Daily Sale entry '!$Z$1:$Z$1501,$J2911+1)&amp;"","Cheque deposit 支票存入 (buyer 买家)"))</f>
        <v/>
      </c>
      <c r="D2911">
        <f>IF($J2911="","",IF($J2911&lt;=1500,INDEX('Daily Sale entry '!$AA$1:$AA$1501,$J2911+1)&amp;"",INDEX('Daily Sale entry '!$P$1:$P$1501,$J2911-1499)&amp;""))</f>
        <v/>
      </c>
      <c r="E2911">
        <f>IF($J2911="","",IF($J2911&lt;=1500,IF(N(INDEX('Daily Sale entry '!$AB$1:$AB$1501,$J2911+1))=0,"",INDEX('Daily Sale entry '!$AB$1:$AB$1501,$J2911+1)),1))</f>
        <v/>
      </c>
      <c r="F2911" s="6">
        <f>IF($J2911="","",IF($J2911&lt;=1500,N(INDEX('Daily Sale entry '!$AC$1:$AC$1501,$J2911+1))-IF(AND('Opening Balance'!$B$15=1,INDEX('Daily Sale entry '!$Z$1:$Z$1501,$J2911+1)="Online collection 网上收款",INDEX('Daily Sale entry '!$AA$1:$AA$1501,$J2911+1)&lt;&gt;""),N(INDEX('Daily Sale entry '!$AC$1:$AC$1501,$J2911+1))-TRUNC(N(INDEX('Daily Sale entry '!$AC$1:$AC$1501,$J2911+1))),0),N(INDEX('Daily Sale entry '!$S$1:$S$1501,$J2911-1499))-'Opening Balance'!$B$15*(N(INDEX('Daily Sale entry '!$S$1:$S$1501,$J2911-1499))-TRUNC(N(INDEX('Daily Sale entry '!$S$1:$S$1501,$J2911-1499))))))</f>
        <v/>
      </c>
      <c r="G2911" s="6">
        <f>IF($J2911="","",IF($J2911&lt;=1500,N(INDEX('Daily Sale entry '!$AD$1:$AD$1501,$J2911+1)),0))</f>
        <v/>
      </c>
      <c r="H2911" s="6">
        <f>IF($J2911="","",ROUND('Opening Balance'!$B$4+SUM($F$2:F2911)-SUM($G$2:G2911),2))</f>
        <v/>
      </c>
      <c r="J2911" s="21">
        <f>IFERROR(MATCH(ROW()-1,$L$2:$L$3001,0),"")</f>
        <v/>
      </c>
      <c r="K2911" s="34">
        <f>IF(AND('Daily Sale entry '!Q1411="Collection 收款",'Daily Sale entry '!R1411="Cheque 支票",'Daily Sale entry '!V1411&lt;&gt;""),'Daily Sale entry '!V1411+ROW()/10000000,"")</f>
        <v/>
      </c>
      <c r="L2911" s="21">
        <f>IF(K2911="","",COUNTIF($K$2:$K$3001,"&lt;"&amp;K2911)+1)</f>
        <v/>
      </c>
    </row>
    <row r="2912">
      <c r="A2912" s="5">
        <f>IF($J2912="","",IF($J2912&lt;=1500,INDEX('Daily Sale entry '!$X$1:$X$1501,$J2912+1),INDEX('Daily Sale entry '!$V$1:$V$1501,$J2912-1499)))</f>
        <v/>
      </c>
      <c r="B2912">
        <f>IF($J2912="","",IF($J2912&lt;=1500,INDEX('Daily Sale entry '!$Y$1:$Y$1501,$J2912+1)&amp;"","Buyer cheque banked 买家支票存入"&amp;IF(INDEX('Daily Sale entry '!$U$1:$U$1501,$J2912-1499)="","", " - "&amp;INDEX('Daily Sale entry '!$U$1:$U$1501,$J2912-1499))))</f>
        <v/>
      </c>
      <c r="C2912">
        <f>IF($J2912="","",IF($J2912&lt;=1500,INDEX('Daily Sale entry '!$Z$1:$Z$1501,$J2912+1)&amp;"","Cheque deposit 支票存入 (buyer 买家)"))</f>
        <v/>
      </c>
      <c r="D2912">
        <f>IF($J2912="","",IF($J2912&lt;=1500,INDEX('Daily Sale entry '!$AA$1:$AA$1501,$J2912+1)&amp;"",INDEX('Daily Sale entry '!$P$1:$P$1501,$J2912-1499)&amp;""))</f>
        <v/>
      </c>
      <c r="E2912">
        <f>IF($J2912="","",IF($J2912&lt;=1500,IF(N(INDEX('Daily Sale entry '!$AB$1:$AB$1501,$J2912+1))=0,"",INDEX('Daily Sale entry '!$AB$1:$AB$1501,$J2912+1)),1))</f>
        <v/>
      </c>
      <c r="F2912" s="6">
        <f>IF($J2912="","",IF($J2912&lt;=1500,N(INDEX('Daily Sale entry '!$AC$1:$AC$1501,$J2912+1))-IF(AND('Opening Balance'!$B$15=1,INDEX('Daily Sale entry '!$Z$1:$Z$1501,$J2912+1)="Online collection 网上收款",INDEX('Daily Sale entry '!$AA$1:$AA$1501,$J2912+1)&lt;&gt;""),N(INDEX('Daily Sale entry '!$AC$1:$AC$1501,$J2912+1))-TRUNC(N(INDEX('Daily Sale entry '!$AC$1:$AC$1501,$J2912+1))),0),N(INDEX('Daily Sale entry '!$S$1:$S$1501,$J2912-1499))-'Opening Balance'!$B$15*(N(INDEX('Daily Sale entry '!$S$1:$S$1501,$J2912-1499))-TRUNC(N(INDEX('Daily Sale entry '!$S$1:$S$1501,$J2912-1499))))))</f>
        <v/>
      </c>
      <c r="G2912" s="6">
        <f>IF($J2912="","",IF($J2912&lt;=1500,N(INDEX('Daily Sale entry '!$AD$1:$AD$1501,$J2912+1)),0))</f>
        <v/>
      </c>
      <c r="H2912" s="6">
        <f>IF($J2912="","",ROUND('Opening Balance'!$B$4+SUM($F$2:F2912)-SUM($G$2:G2912),2))</f>
        <v/>
      </c>
      <c r="J2912" s="21">
        <f>IFERROR(MATCH(ROW()-1,$L$2:$L$3001,0),"")</f>
        <v/>
      </c>
      <c r="K2912" s="34">
        <f>IF(AND('Daily Sale entry '!Q1412="Collection 收款",'Daily Sale entry '!R1412="Cheque 支票",'Daily Sale entry '!V1412&lt;&gt;""),'Daily Sale entry '!V1412+ROW()/10000000,"")</f>
        <v/>
      </c>
      <c r="L2912" s="21">
        <f>IF(K2912="","",COUNTIF($K$2:$K$3001,"&lt;"&amp;K2912)+1)</f>
        <v/>
      </c>
    </row>
    <row r="2913">
      <c r="A2913" s="5">
        <f>IF($J2913="","",IF($J2913&lt;=1500,INDEX('Daily Sale entry '!$X$1:$X$1501,$J2913+1),INDEX('Daily Sale entry '!$V$1:$V$1501,$J2913-1499)))</f>
        <v/>
      </c>
      <c r="B2913">
        <f>IF($J2913="","",IF($J2913&lt;=1500,INDEX('Daily Sale entry '!$Y$1:$Y$1501,$J2913+1)&amp;"","Buyer cheque banked 买家支票存入"&amp;IF(INDEX('Daily Sale entry '!$U$1:$U$1501,$J2913-1499)="","", " - "&amp;INDEX('Daily Sale entry '!$U$1:$U$1501,$J2913-1499))))</f>
        <v/>
      </c>
      <c r="C2913">
        <f>IF($J2913="","",IF($J2913&lt;=1500,INDEX('Daily Sale entry '!$Z$1:$Z$1501,$J2913+1)&amp;"","Cheque deposit 支票存入 (buyer 买家)"))</f>
        <v/>
      </c>
      <c r="D2913">
        <f>IF($J2913="","",IF($J2913&lt;=1500,INDEX('Daily Sale entry '!$AA$1:$AA$1501,$J2913+1)&amp;"",INDEX('Daily Sale entry '!$P$1:$P$1501,$J2913-1499)&amp;""))</f>
        <v/>
      </c>
      <c r="E2913">
        <f>IF($J2913="","",IF($J2913&lt;=1500,IF(N(INDEX('Daily Sale entry '!$AB$1:$AB$1501,$J2913+1))=0,"",INDEX('Daily Sale entry '!$AB$1:$AB$1501,$J2913+1)),1))</f>
        <v/>
      </c>
      <c r="F2913" s="6">
        <f>IF($J2913="","",IF($J2913&lt;=1500,N(INDEX('Daily Sale entry '!$AC$1:$AC$1501,$J2913+1))-IF(AND('Opening Balance'!$B$15=1,INDEX('Daily Sale entry '!$Z$1:$Z$1501,$J2913+1)="Online collection 网上收款",INDEX('Daily Sale entry '!$AA$1:$AA$1501,$J2913+1)&lt;&gt;""),N(INDEX('Daily Sale entry '!$AC$1:$AC$1501,$J2913+1))-TRUNC(N(INDEX('Daily Sale entry '!$AC$1:$AC$1501,$J2913+1))),0),N(INDEX('Daily Sale entry '!$S$1:$S$1501,$J2913-1499))-'Opening Balance'!$B$15*(N(INDEX('Daily Sale entry '!$S$1:$S$1501,$J2913-1499))-TRUNC(N(INDEX('Daily Sale entry '!$S$1:$S$1501,$J2913-1499))))))</f>
        <v/>
      </c>
      <c r="G2913" s="6">
        <f>IF($J2913="","",IF($J2913&lt;=1500,N(INDEX('Daily Sale entry '!$AD$1:$AD$1501,$J2913+1)),0))</f>
        <v/>
      </c>
      <c r="H2913" s="6">
        <f>IF($J2913="","",ROUND('Opening Balance'!$B$4+SUM($F$2:F2913)-SUM($G$2:G2913),2))</f>
        <v/>
      </c>
      <c r="J2913" s="21">
        <f>IFERROR(MATCH(ROW()-1,$L$2:$L$3001,0),"")</f>
        <v/>
      </c>
      <c r="K2913" s="34">
        <f>IF(AND('Daily Sale entry '!Q1413="Collection 收款",'Daily Sale entry '!R1413="Cheque 支票",'Daily Sale entry '!V1413&lt;&gt;""),'Daily Sale entry '!V1413+ROW()/10000000,"")</f>
        <v/>
      </c>
      <c r="L2913" s="21">
        <f>IF(K2913="","",COUNTIF($K$2:$K$3001,"&lt;"&amp;K2913)+1)</f>
        <v/>
      </c>
    </row>
    <row r="2914">
      <c r="A2914" s="5">
        <f>IF($J2914="","",IF($J2914&lt;=1500,INDEX('Daily Sale entry '!$X$1:$X$1501,$J2914+1),INDEX('Daily Sale entry '!$V$1:$V$1501,$J2914-1499)))</f>
        <v/>
      </c>
      <c r="B2914">
        <f>IF($J2914="","",IF($J2914&lt;=1500,INDEX('Daily Sale entry '!$Y$1:$Y$1501,$J2914+1)&amp;"","Buyer cheque banked 买家支票存入"&amp;IF(INDEX('Daily Sale entry '!$U$1:$U$1501,$J2914-1499)="","", " - "&amp;INDEX('Daily Sale entry '!$U$1:$U$1501,$J2914-1499))))</f>
        <v/>
      </c>
      <c r="C2914">
        <f>IF($J2914="","",IF($J2914&lt;=1500,INDEX('Daily Sale entry '!$Z$1:$Z$1501,$J2914+1)&amp;"","Cheque deposit 支票存入 (buyer 买家)"))</f>
        <v/>
      </c>
      <c r="D2914">
        <f>IF($J2914="","",IF($J2914&lt;=1500,INDEX('Daily Sale entry '!$AA$1:$AA$1501,$J2914+1)&amp;"",INDEX('Daily Sale entry '!$P$1:$P$1501,$J2914-1499)&amp;""))</f>
        <v/>
      </c>
      <c r="E2914">
        <f>IF($J2914="","",IF($J2914&lt;=1500,IF(N(INDEX('Daily Sale entry '!$AB$1:$AB$1501,$J2914+1))=0,"",INDEX('Daily Sale entry '!$AB$1:$AB$1501,$J2914+1)),1))</f>
        <v/>
      </c>
      <c r="F2914" s="6">
        <f>IF($J2914="","",IF($J2914&lt;=1500,N(INDEX('Daily Sale entry '!$AC$1:$AC$1501,$J2914+1))-IF(AND('Opening Balance'!$B$15=1,INDEX('Daily Sale entry '!$Z$1:$Z$1501,$J2914+1)="Online collection 网上收款",INDEX('Daily Sale entry '!$AA$1:$AA$1501,$J2914+1)&lt;&gt;""),N(INDEX('Daily Sale entry '!$AC$1:$AC$1501,$J2914+1))-TRUNC(N(INDEX('Daily Sale entry '!$AC$1:$AC$1501,$J2914+1))),0),N(INDEX('Daily Sale entry '!$S$1:$S$1501,$J2914-1499))-'Opening Balance'!$B$15*(N(INDEX('Daily Sale entry '!$S$1:$S$1501,$J2914-1499))-TRUNC(N(INDEX('Daily Sale entry '!$S$1:$S$1501,$J2914-1499))))))</f>
        <v/>
      </c>
      <c r="G2914" s="6">
        <f>IF($J2914="","",IF($J2914&lt;=1500,N(INDEX('Daily Sale entry '!$AD$1:$AD$1501,$J2914+1)),0))</f>
        <v/>
      </c>
      <c r="H2914" s="6">
        <f>IF($J2914="","",ROUND('Opening Balance'!$B$4+SUM($F$2:F2914)-SUM($G$2:G2914),2))</f>
        <v/>
      </c>
      <c r="J2914" s="21">
        <f>IFERROR(MATCH(ROW()-1,$L$2:$L$3001,0),"")</f>
        <v/>
      </c>
      <c r="K2914" s="34">
        <f>IF(AND('Daily Sale entry '!Q1414="Collection 收款",'Daily Sale entry '!R1414="Cheque 支票",'Daily Sale entry '!V1414&lt;&gt;""),'Daily Sale entry '!V1414+ROW()/10000000,"")</f>
        <v/>
      </c>
      <c r="L2914" s="21">
        <f>IF(K2914="","",COUNTIF($K$2:$K$3001,"&lt;"&amp;K2914)+1)</f>
        <v/>
      </c>
    </row>
    <row r="2915">
      <c r="A2915" s="5">
        <f>IF($J2915="","",IF($J2915&lt;=1500,INDEX('Daily Sale entry '!$X$1:$X$1501,$J2915+1),INDEX('Daily Sale entry '!$V$1:$V$1501,$J2915-1499)))</f>
        <v/>
      </c>
      <c r="B2915">
        <f>IF($J2915="","",IF($J2915&lt;=1500,INDEX('Daily Sale entry '!$Y$1:$Y$1501,$J2915+1)&amp;"","Buyer cheque banked 买家支票存入"&amp;IF(INDEX('Daily Sale entry '!$U$1:$U$1501,$J2915-1499)="","", " - "&amp;INDEX('Daily Sale entry '!$U$1:$U$1501,$J2915-1499))))</f>
        <v/>
      </c>
      <c r="C2915">
        <f>IF($J2915="","",IF($J2915&lt;=1500,INDEX('Daily Sale entry '!$Z$1:$Z$1501,$J2915+1)&amp;"","Cheque deposit 支票存入 (buyer 买家)"))</f>
        <v/>
      </c>
      <c r="D2915">
        <f>IF($J2915="","",IF($J2915&lt;=1500,INDEX('Daily Sale entry '!$AA$1:$AA$1501,$J2915+1)&amp;"",INDEX('Daily Sale entry '!$P$1:$P$1501,$J2915-1499)&amp;""))</f>
        <v/>
      </c>
      <c r="E2915">
        <f>IF($J2915="","",IF($J2915&lt;=1500,IF(N(INDEX('Daily Sale entry '!$AB$1:$AB$1501,$J2915+1))=0,"",INDEX('Daily Sale entry '!$AB$1:$AB$1501,$J2915+1)),1))</f>
        <v/>
      </c>
      <c r="F2915" s="6">
        <f>IF($J2915="","",IF($J2915&lt;=1500,N(INDEX('Daily Sale entry '!$AC$1:$AC$1501,$J2915+1))-IF(AND('Opening Balance'!$B$15=1,INDEX('Daily Sale entry '!$Z$1:$Z$1501,$J2915+1)="Online collection 网上收款",INDEX('Daily Sale entry '!$AA$1:$AA$1501,$J2915+1)&lt;&gt;""),N(INDEX('Daily Sale entry '!$AC$1:$AC$1501,$J2915+1))-TRUNC(N(INDEX('Daily Sale entry '!$AC$1:$AC$1501,$J2915+1))),0),N(INDEX('Daily Sale entry '!$S$1:$S$1501,$J2915-1499))-'Opening Balance'!$B$15*(N(INDEX('Daily Sale entry '!$S$1:$S$1501,$J2915-1499))-TRUNC(N(INDEX('Daily Sale entry '!$S$1:$S$1501,$J2915-1499))))))</f>
        <v/>
      </c>
      <c r="G2915" s="6">
        <f>IF($J2915="","",IF($J2915&lt;=1500,N(INDEX('Daily Sale entry '!$AD$1:$AD$1501,$J2915+1)),0))</f>
        <v/>
      </c>
      <c r="H2915" s="6">
        <f>IF($J2915="","",ROUND('Opening Balance'!$B$4+SUM($F$2:F2915)-SUM($G$2:G2915),2))</f>
        <v/>
      </c>
      <c r="J2915" s="21">
        <f>IFERROR(MATCH(ROW()-1,$L$2:$L$3001,0),"")</f>
        <v/>
      </c>
      <c r="K2915" s="34">
        <f>IF(AND('Daily Sale entry '!Q1415="Collection 收款",'Daily Sale entry '!R1415="Cheque 支票",'Daily Sale entry '!V1415&lt;&gt;""),'Daily Sale entry '!V1415+ROW()/10000000,"")</f>
        <v/>
      </c>
      <c r="L2915" s="21">
        <f>IF(K2915="","",COUNTIF($K$2:$K$3001,"&lt;"&amp;K2915)+1)</f>
        <v/>
      </c>
    </row>
    <row r="2916">
      <c r="A2916" s="5">
        <f>IF($J2916="","",IF($J2916&lt;=1500,INDEX('Daily Sale entry '!$X$1:$X$1501,$J2916+1),INDEX('Daily Sale entry '!$V$1:$V$1501,$J2916-1499)))</f>
        <v/>
      </c>
      <c r="B2916">
        <f>IF($J2916="","",IF($J2916&lt;=1500,INDEX('Daily Sale entry '!$Y$1:$Y$1501,$J2916+1)&amp;"","Buyer cheque banked 买家支票存入"&amp;IF(INDEX('Daily Sale entry '!$U$1:$U$1501,$J2916-1499)="","", " - "&amp;INDEX('Daily Sale entry '!$U$1:$U$1501,$J2916-1499))))</f>
        <v/>
      </c>
      <c r="C2916">
        <f>IF($J2916="","",IF($J2916&lt;=1500,INDEX('Daily Sale entry '!$Z$1:$Z$1501,$J2916+1)&amp;"","Cheque deposit 支票存入 (buyer 买家)"))</f>
        <v/>
      </c>
      <c r="D2916">
        <f>IF($J2916="","",IF($J2916&lt;=1500,INDEX('Daily Sale entry '!$AA$1:$AA$1501,$J2916+1)&amp;"",INDEX('Daily Sale entry '!$P$1:$P$1501,$J2916-1499)&amp;""))</f>
        <v/>
      </c>
      <c r="E2916">
        <f>IF($J2916="","",IF($J2916&lt;=1500,IF(N(INDEX('Daily Sale entry '!$AB$1:$AB$1501,$J2916+1))=0,"",INDEX('Daily Sale entry '!$AB$1:$AB$1501,$J2916+1)),1))</f>
        <v/>
      </c>
      <c r="F2916" s="6">
        <f>IF($J2916="","",IF($J2916&lt;=1500,N(INDEX('Daily Sale entry '!$AC$1:$AC$1501,$J2916+1))-IF(AND('Opening Balance'!$B$15=1,INDEX('Daily Sale entry '!$Z$1:$Z$1501,$J2916+1)="Online collection 网上收款",INDEX('Daily Sale entry '!$AA$1:$AA$1501,$J2916+1)&lt;&gt;""),N(INDEX('Daily Sale entry '!$AC$1:$AC$1501,$J2916+1))-TRUNC(N(INDEX('Daily Sale entry '!$AC$1:$AC$1501,$J2916+1))),0),N(INDEX('Daily Sale entry '!$S$1:$S$1501,$J2916-1499))-'Opening Balance'!$B$15*(N(INDEX('Daily Sale entry '!$S$1:$S$1501,$J2916-1499))-TRUNC(N(INDEX('Daily Sale entry '!$S$1:$S$1501,$J2916-1499))))))</f>
        <v/>
      </c>
      <c r="G2916" s="6">
        <f>IF($J2916="","",IF($J2916&lt;=1500,N(INDEX('Daily Sale entry '!$AD$1:$AD$1501,$J2916+1)),0))</f>
        <v/>
      </c>
      <c r="H2916" s="6">
        <f>IF($J2916="","",ROUND('Opening Balance'!$B$4+SUM($F$2:F2916)-SUM($G$2:G2916),2))</f>
        <v/>
      </c>
      <c r="J2916" s="21">
        <f>IFERROR(MATCH(ROW()-1,$L$2:$L$3001,0),"")</f>
        <v/>
      </c>
      <c r="K2916" s="34">
        <f>IF(AND('Daily Sale entry '!Q1416="Collection 收款",'Daily Sale entry '!R1416="Cheque 支票",'Daily Sale entry '!V1416&lt;&gt;""),'Daily Sale entry '!V1416+ROW()/10000000,"")</f>
        <v/>
      </c>
      <c r="L2916" s="21">
        <f>IF(K2916="","",COUNTIF($K$2:$K$3001,"&lt;"&amp;K2916)+1)</f>
        <v/>
      </c>
    </row>
    <row r="2917">
      <c r="A2917" s="5">
        <f>IF($J2917="","",IF($J2917&lt;=1500,INDEX('Daily Sale entry '!$X$1:$X$1501,$J2917+1),INDEX('Daily Sale entry '!$V$1:$V$1501,$J2917-1499)))</f>
        <v/>
      </c>
      <c r="B2917">
        <f>IF($J2917="","",IF($J2917&lt;=1500,INDEX('Daily Sale entry '!$Y$1:$Y$1501,$J2917+1)&amp;"","Buyer cheque banked 买家支票存入"&amp;IF(INDEX('Daily Sale entry '!$U$1:$U$1501,$J2917-1499)="","", " - "&amp;INDEX('Daily Sale entry '!$U$1:$U$1501,$J2917-1499))))</f>
        <v/>
      </c>
      <c r="C2917">
        <f>IF($J2917="","",IF($J2917&lt;=1500,INDEX('Daily Sale entry '!$Z$1:$Z$1501,$J2917+1)&amp;"","Cheque deposit 支票存入 (buyer 买家)"))</f>
        <v/>
      </c>
      <c r="D2917">
        <f>IF($J2917="","",IF($J2917&lt;=1500,INDEX('Daily Sale entry '!$AA$1:$AA$1501,$J2917+1)&amp;"",INDEX('Daily Sale entry '!$P$1:$P$1501,$J2917-1499)&amp;""))</f>
        <v/>
      </c>
      <c r="E2917">
        <f>IF($J2917="","",IF($J2917&lt;=1500,IF(N(INDEX('Daily Sale entry '!$AB$1:$AB$1501,$J2917+1))=0,"",INDEX('Daily Sale entry '!$AB$1:$AB$1501,$J2917+1)),1))</f>
        <v/>
      </c>
      <c r="F2917" s="6">
        <f>IF($J2917="","",IF($J2917&lt;=1500,N(INDEX('Daily Sale entry '!$AC$1:$AC$1501,$J2917+1))-IF(AND('Opening Balance'!$B$15=1,INDEX('Daily Sale entry '!$Z$1:$Z$1501,$J2917+1)="Online collection 网上收款",INDEX('Daily Sale entry '!$AA$1:$AA$1501,$J2917+1)&lt;&gt;""),N(INDEX('Daily Sale entry '!$AC$1:$AC$1501,$J2917+1))-TRUNC(N(INDEX('Daily Sale entry '!$AC$1:$AC$1501,$J2917+1))),0),N(INDEX('Daily Sale entry '!$S$1:$S$1501,$J2917-1499))-'Opening Balance'!$B$15*(N(INDEX('Daily Sale entry '!$S$1:$S$1501,$J2917-1499))-TRUNC(N(INDEX('Daily Sale entry '!$S$1:$S$1501,$J2917-1499))))))</f>
        <v/>
      </c>
      <c r="G2917" s="6">
        <f>IF($J2917="","",IF($J2917&lt;=1500,N(INDEX('Daily Sale entry '!$AD$1:$AD$1501,$J2917+1)),0))</f>
        <v/>
      </c>
      <c r="H2917" s="6">
        <f>IF($J2917="","",ROUND('Opening Balance'!$B$4+SUM($F$2:F2917)-SUM($G$2:G2917),2))</f>
        <v/>
      </c>
      <c r="J2917" s="21">
        <f>IFERROR(MATCH(ROW()-1,$L$2:$L$3001,0),"")</f>
        <v/>
      </c>
      <c r="K2917" s="34">
        <f>IF(AND('Daily Sale entry '!Q1417="Collection 收款",'Daily Sale entry '!R1417="Cheque 支票",'Daily Sale entry '!V1417&lt;&gt;""),'Daily Sale entry '!V1417+ROW()/10000000,"")</f>
        <v/>
      </c>
      <c r="L2917" s="21">
        <f>IF(K2917="","",COUNTIF($K$2:$K$3001,"&lt;"&amp;K2917)+1)</f>
        <v/>
      </c>
    </row>
    <row r="2918">
      <c r="A2918" s="5">
        <f>IF($J2918="","",IF($J2918&lt;=1500,INDEX('Daily Sale entry '!$X$1:$X$1501,$J2918+1),INDEX('Daily Sale entry '!$V$1:$V$1501,$J2918-1499)))</f>
        <v/>
      </c>
      <c r="B2918">
        <f>IF($J2918="","",IF($J2918&lt;=1500,INDEX('Daily Sale entry '!$Y$1:$Y$1501,$J2918+1)&amp;"","Buyer cheque banked 买家支票存入"&amp;IF(INDEX('Daily Sale entry '!$U$1:$U$1501,$J2918-1499)="","", " - "&amp;INDEX('Daily Sale entry '!$U$1:$U$1501,$J2918-1499))))</f>
        <v/>
      </c>
      <c r="C2918">
        <f>IF($J2918="","",IF($J2918&lt;=1500,INDEX('Daily Sale entry '!$Z$1:$Z$1501,$J2918+1)&amp;"","Cheque deposit 支票存入 (buyer 买家)"))</f>
        <v/>
      </c>
      <c r="D2918">
        <f>IF($J2918="","",IF($J2918&lt;=1500,INDEX('Daily Sale entry '!$AA$1:$AA$1501,$J2918+1)&amp;"",INDEX('Daily Sale entry '!$P$1:$P$1501,$J2918-1499)&amp;""))</f>
        <v/>
      </c>
      <c r="E2918">
        <f>IF($J2918="","",IF($J2918&lt;=1500,IF(N(INDEX('Daily Sale entry '!$AB$1:$AB$1501,$J2918+1))=0,"",INDEX('Daily Sale entry '!$AB$1:$AB$1501,$J2918+1)),1))</f>
        <v/>
      </c>
      <c r="F2918" s="6">
        <f>IF($J2918="","",IF($J2918&lt;=1500,N(INDEX('Daily Sale entry '!$AC$1:$AC$1501,$J2918+1))-IF(AND('Opening Balance'!$B$15=1,INDEX('Daily Sale entry '!$Z$1:$Z$1501,$J2918+1)="Online collection 网上收款",INDEX('Daily Sale entry '!$AA$1:$AA$1501,$J2918+1)&lt;&gt;""),N(INDEX('Daily Sale entry '!$AC$1:$AC$1501,$J2918+1))-TRUNC(N(INDEX('Daily Sale entry '!$AC$1:$AC$1501,$J2918+1))),0),N(INDEX('Daily Sale entry '!$S$1:$S$1501,$J2918-1499))-'Opening Balance'!$B$15*(N(INDEX('Daily Sale entry '!$S$1:$S$1501,$J2918-1499))-TRUNC(N(INDEX('Daily Sale entry '!$S$1:$S$1501,$J2918-1499))))))</f>
        <v/>
      </c>
      <c r="G2918" s="6">
        <f>IF($J2918="","",IF($J2918&lt;=1500,N(INDEX('Daily Sale entry '!$AD$1:$AD$1501,$J2918+1)),0))</f>
        <v/>
      </c>
      <c r="H2918" s="6">
        <f>IF($J2918="","",ROUND('Opening Balance'!$B$4+SUM($F$2:F2918)-SUM($G$2:G2918),2))</f>
        <v/>
      </c>
      <c r="J2918" s="21">
        <f>IFERROR(MATCH(ROW()-1,$L$2:$L$3001,0),"")</f>
        <v/>
      </c>
      <c r="K2918" s="34">
        <f>IF(AND('Daily Sale entry '!Q1418="Collection 收款",'Daily Sale entry '!R1418="Cheque 支票",'Daily Sale entry '!V1418&lt;&gt;""),'Daily Sale entry '!V1418+ROW()/10000000,"")</f>
        <v/>
      </c>
      <c r="L2918" s="21">
        <f>IF(K2918="","",COUNTIF($K$2:$K$3001,"&lt;"&amp;K2918)+1)</f>
        <v/>
      </c>
    </row>
    <row r="2919">
      <c r="A2919" s="5">
        <f>IF($J2919="","",IF($J2919&lt;=1500,INDEX('Daily Sale entry '!$X$1:$X$1501,$J2919+1),INDEX('Daily Sale entry '!$V$1:$V$1501,$J2919-1499)))</f>
        <v/>
      </c>
      <c r="B2919">
        <f>IF($J2919="","",IF($J2919&lt;=1500,INDEX('Daily Sale entry '!$Y$1:$Y$1501,$J2919+1)&amp;"","Buyer cheque banked 买家支票存入"&amp;IF(INDEX('Daily Sale entry '!$U$1:$U$1501,$J2919-1499)="","", " - "&amp;INDEX('Daily Sale entry '!$U$1:$U$1501,$J2919-1499))))</f>
        <v/>
      </c>
      <c r="C2919">
        <f>IF($J2919="","",IF($J2919&lt;=1500,INDEX('Daily Sale entry '!$Z$1:$Z$1501,$J2919+1)&amp;"","Cheque deposit 支票存入 (buyer 买家)"))</f>
        <v/>
      </c>
      <c r="D2919">
        <f>IF($J2919="","",IF($J2919&lt;=1500,INDEX('Daily Sale entry '!$AA$1:$AA$1501,$J2919+1)&amp;"",INDEX('Daily Sale entry '!$P$1:$P$1501,$J2919-1499)&amp;""))</f>
        <v/>
      </c>
      <c r="E2919">
        <f>IF($J2919="","",IF($J2919&lt;=1500,IF(N(INDEX('Daily Sale entry '!$AB$1:$AB$1501,$J2919+1))=0,"",INDEX('Daily Sale entry '!$AB$1:$AB$1501,$J2919+1)),1))</f>
        <v/>
      </c>
      <c r="F2919" s="6">
        <f>IF($J2919="","",IF($J2919&lt;=1500,N(INDEX('Daily Sale entry '!$AC$1:$AC$1501,$J2919+1))-IF(AND('Opening Balance'!$B$15=1,INDEX('Daily Sale entry '!$Z$1:$Z$1501,$J2919+1)="Online collection 网上收款",INDEX('Daily Sale entry '!$AA$1:$AA$1501,$J2919+1)&lt;&gt;""),N(INDEX('Daily Sale entry '!$AC$1:$AC$1501,$J2919+1))-TRUNC(N(INDEX('Daily Sale entry '!$AC$1:$AC$1501,$J2919+1))),0),N(INDEX('Daily Sale entry '!$S$1:$S$1501,$J2919-1499))-'Opening Balance'!$B$15*(N(INDEX('Daily Sale entry '!$S$1:$S$1501,$J2919-1499))-TRUNC(N(INDEX('Daily Sale entry '!$S$1:$S$1501,$J2919-1499))))))</f>
        <v/>
      </c>
      <c r="G2919" s="6">
        <f>IF($J2919="","",IF($J2919&lt;=1500,N(INDEX('Daily Sale entry '!$AD$1:$AD$1501,$J2919+1)),0))</f>
        <v/>
      </c>
      <c r="H2919" s="6">
        <f>IF($J2919="","",ROUND('Opening Balance'!$B$4+SUM($F$2:F2919)-SUM($G$2:G2919),2))</f>
        <v/>
      </c>
      <c r="J2919" s="21">
        <f>IFERROR(MATCH(ROW()-1,$L$2:$L$3001,0),"")</f>
        <v/>
      </c>
      <c r="K2919" s="34">
        <f>IF(AND('Daily Sale entry '!Q1419="Collection 收款",'Daily Sale entry '!R1419="Cheque 支票",'Daily Sale entry '!V1419&lt;&gt;""),'Daily Sale entry '!V1419+ROW()/10000000,"")</f>
        <v/>
      </c>
      <c r="L2919" s="21">
        <f>IF(K2919="","",COUNTIF($K$2:$K$3001,"&lt;"&amp;K2919)+1)</f>
        <v/>
      </c>
    </row>
    <row r="2920">
      <c r="A2920" s="5">
        <f>IF($J2920="","",IF($J2920&lt;=1500,INDEX('Daily Sale entry '!$X$1:$X$1501,$J2920+1),INDEX('Daily Sale entry '!$V$1:$V$1501,$J2920-1499)))</f>
        <v/>
      </c>
      <c r="B2920">
        <f>IF($J2920="","",IF($J2920&lt;=1500,INDEX('Daily Sale entry '!$Y$1:$Y$1501,$J2920+1)&amp;"","Buyer cheque banked 买家支票存入"&amp;IF(INDEX('Daily Sale entry '!$U$1:$U$1501,$J2920-1499)="","", " - "&amp;INDEX('Daily Sale entry '!$U$1:$U$1501,$J2920-1499))))</f>
        <v/>
      </c>
      <c r="C2920">
        <f>IF($J2920="","",IF($J2920&lt;=1500,INDEX('Daily Sale entry '!$Z$1:$Z$1501,$J2920+1)&amp;"","Cheque deposit 支票存入 (buyer 买家)"))</f>
        <v/>
      </c>
      <c r="D2920">
        <f>IF($J2920="","",IF($J2920&lt;=1500,INDEX('Daily Sale entry '!$AA$1:$AA$1501,$J2920+1)&amp;"",INDEX('Daily Sale entry '!$P$1:$P$1501,$J2920-1499)&amp;""))</f>
        <v/>
      </c>
      <c r="E2920">
        <f>IF($J2920="","",IF($J2920&lt;=1500,IF(N(INDEX('Daily Sale entry '!$AB$1:$AB$1501,$J2920+1))=0,"",INDEX('Daily Sale entry '!$AB$1:$AB$1501,$J2920+1)),1))</f>
        <v/>
      </c>
      <c r="F2920" s="6">
        <f>IF($J2920="","",IF($J2920&lt;=1500,N(INDEX('Daily Sale entry '!$AC$1:$AC$1501,$J2920+1))-IF(AND('Opening Balance'!$B$15=1,INDEX('Daily Sale entry '!$Z$1:$Z$1501,$J2920+1)="Online collection 网上收款",INDEX('Daily Sale entry '!$AA$1:$AA$1501,$J2920+1)&lt;&gt;""),N(INDEX('Daily Sale entry '!$AC$1:$AC$1501,$J2920+1))-TRUNC(N(INDEX('Daily Sale entry '!$AC$1:$AC$1501,$J2920+1))),0),N(INDEX('Daily Sale entry '!$S$1:$S$1501,$J2920-1499))-'Opening Balance'!$B$15*(N(INDEX('Daily Sale entry '!$S$1:$S$1501,$J2920-1499))-TRUNC(N(INDEX('Daily Sale entry '!$S$1:$S$1501,$J2920-1499))))))</f>
        <v/>
      </c>
      <c r="G2920" s="6">
        <f>IF($J2920="","",IF($J2920&lt;=1500,N(INDEX('Daily Sale entry '!$AD$1:$AD$1501,$J2920+1)),0))</f>
        <v/>
      </c>
      <c r="H2920" s="6">
        <f>IF($J2920="","",ROUND('Opening Balance'!$B$4+SUM($F$2:F2920)-SUM($G$2:G2920),2))</f>
        <v/>
      </c>
      <c r="J2920" s="21">
        <f>IFERROR(MATCH(ROW()-1,$L$2:$L$3001,0),"")</f>
        <v/>
      </c>
      <c r="K2920" s="34">
        <f>IF(AND('Daily Sale entry '!Q1420="Collection 收款",'Daily Sale entry '!R1420="Cheque 支票",'Daily Sale entry '!V1420&lt;&gt;""),'Daily Sale entry '!V1420+ROW()/10000000,"")</f>
        <v/>
      </c>
      <c r="L2920" s="21">
        <f>IF(K2920="","",COUNTIF($K$2:$K$3001,"&lt;"&amp;K2920)+1)</f>
        <v/>
      </c>
    </row>
    <row r="2921">
      <c r="A2921" s="5">
        <f>IF($J2921="","",IF($J2921&lt;=1500,INDEX('Daily Sale entry '!$X$1:$X$1501,$J2921+1),INDEX('Daily Sale entry '!$V$1:$V$1501,$J2921-1499)))</f>
        <v/>
      </c>
      <c r="B2921">
        <f>IF($J2921="","",IF($J2921&lt;=1500,INDEX('Daily Sale entry '!$Y$1:$Y$1501,$J2921+1)&amp;"","Buyer cheque banked 买家支票存入"&amp;IF(INDEX('Daily Sale entry '!$U$1:$U$1501,$J2921-1499)="","", " - "&amp;INDEX('Daily Sale entry '!$U$1:$U$1501,$J2921-1499))))</f>
        <v/>
      </c>
      <c r="C2921">
        <f>IF($J2921="","",IF($J2921&lt;=1500,INDEX('Daily Sale entry '!$Z$1:$Z$1501,$J2921+1)&amp;"","Cheque deposit 支票存入 (buyer 买家)"))</f>
        <v/>
      </c>
      <c r="D2921">
        <f>IF($J2921="","",IF($J2921&lt;=1500,INDEX('Daily Sale entry '!$AA$1:$AA$1501,$J2921+1)&amp;"",INDEX('Daily Sale entry '!$P$1:$P$1501,$J2921-1499)&amp;""))</f>
        <v/>
      </c>
      <c r="E2921">
        <f>IF($J2921="","",IF($J2921&lt;=1500,IF(N(INDEX('Daily Sale entry '!$AB$1:$AB$1501,$J2921+1))=0,"",INDEX('Daily Sale entry '!$AB$1:$AB$1501,$J2921+1)),1))</f>
        <v/>
      </c>
      <c r="F2921" s="6">
        <f>IF($J2921="","",IF($J2921&lt;=1500,N(INDEX('Daily Sale entry '!$AC$1:$AC$1501,$J2921+1))-IF(AND('Opening Balance'!$B$15=1,INDEX('Daily Sale entry '!$Z$1:$Z$1501,$J2921+1)="Online collection 网上收款",INDEX('Daily Sale entry '!$AA$1:$AA$1501,$J2921+1)&lt;&gt;""),N(INDEX('Daily Sale entry '!$AC$1:$AC$1501,$J2921+1))-TRUNC(N(INDEX('Daily Sale entry '!$AC$1:$AC$1501,$J2921+1))),0),N(INDEX('Daily Sale entry '!$S$1:$S$1501,$J2921-1499))-'Opening Balance'!$B$15*(N(INDEX('Daily Sale entry '!$S$1:$S$1501,$J2921-1499))-TRUNC(N(INDEX('Daily Sale entry '!$S$1:$S$1501,$J2921-1499))))))</f>
        <v/>
      </c>
      <c r="G2921" s="6">
        <f>IF($J2921="","",IF($J2921&lt;=1500,N(INDEX('Daily Sale entry '!$AD$1:$AD$1501,$J2921+1)),0))</f>
        <v/>
      </c>
      <c r="H2921" s="6">
        <f>IF($J2921="","",ROUND('Opening Balance'!$B$4+SUM($F$2:F2921)-SUM($G$2:G2921),2))</f>
        <v/>
      </c>
      <c r="J2921" s="21">
        <f>IFERROR(MATCH(ROW()-1,$L$2:$L$3001,0),"")</f>
        <v/>
      </c>
      <c r="K2921" s="34">
        <f>IF(AND('Daily Sale entry '!Q1421="Collection 收款",'Daily Sale entry '!R1421="Cheque 支票",'Daily Sale entry '!V1421&lt;&gt;""),'Daily Sale entry '!V1421+ROW()/10000000,"")</f>
        <v/>
      </c>
      <c r="L2921" s="21">
        <f>IF(K2921="","",COUNTIF($K$2:$K$3001,"&lt;"&amp;K2921)+1)</f>
        <v/>
      </c>
    </row>
    <row r="2922">
      <c r="A2922" s="5">
        <f>IF($J2922="","",IF($J2922&lt;=1500,INDEX('Daily Sale entry '!$X$1:$X$1501,$J2922+1),INDEX('Daily Sale entry '!$V$1:$V$1501,$J2922-1499)))</f>
        <v/>
      </c>
      <c r="B2922">
        <f>IF($J2922="","",IF($J2922&lt;=1500,INDEX('Daily Sale entry '!$Y$1:$Y$1501,$J2922+1)&amp;"","Buyer cheque banked 买家支票存入"&amp;IF(INDEX('Daily Sale entry '!$U$1:$U$1501,$J2922-1499)="","", " - "&amp;INDEX('Daily Sale entry '!$U$1:$U$1501,$J2922-1499))))</f>
        <v/>
      </c>
      <c r="C2922">
        <f>IF($J2922="","",IF($J2922&lt;=1500,INDEX('Daily Sale entry '!$Z$1:$Z$1501,$J2922+1)&amp;"","Cheque deposit 支票存入 (buyer 买家)"))</f>
        <v/>
      </c>
      <c r="D2922">
        <f>IF($J2922="","",IF($J2922&lt;=1500,INDEX('Daily Sale entry '!$AA$1:$AA$1501,$J2922+1)&amp;"",INDEX('Daily Sale entry '!$P$1:$P$1501,$J2922-1499)&amp;""))</f>
        <v/>
      </c>
      <c r="E2922">
        <f>IF($J2922="","",IF($J2922&lt;=1500,IF(N(INDEX('Daily Sale entry '!$AB$1:$AB$1501,$J2922+1))=0,"",INDEX('Daily Sale entry '!$AB$1:$AB$1501,$J2922+1)),1))</f>
        <v/>
      </c>
      <c r="F2922" s="6">
        <f>IF($J2922="","",IF($J2922&lt;=1500,N(INDEX('Daily Sale entry '!$AC$1:$AC$1501,$J2922+1))-IF(AND('Opening Balance'!$B$15=1,INDEX('Daily Sale entry '!$Z$1:$Z$1501,$J2922+1)="Online collection 网上收款",INDEX('Daily Sale entry '!$AA$1:$AA$1501,$J2922+1)&lt;&gt;""),N(INDEX('Daily Sale entry '!$AC$1:$AC$1501,$J2922+1))-TRUNC(N(INDEX('Daily Sale entry '!$AC$1:$AC$1501,$J2922+1))),0),N(INDEX('Daily Sale entry '!$S$1:$S$1501,$J2922-1499))-'Opening Balance'!$B$15*(N(INDEX('Daily Sale entry '!$S$1:$S$1501,$J2922-1499))-TRUNC(N(INDEX('Daily Sale entry '!$S$1:$S$1501,$J2922-1499))))))</f>
        <v/>
      </c>
      <c r="G2922" s="6">
        <f>IF($J2922="","",IF($J2922&lt;=1500,N(INDEX('Daily Sale entry '!$AD$1:$AD$1501,$J2922+1)),0))</f>
        <v/>
      </c>
      <c r="H2922" s="6">
        <f>IF($J2922="","",ROUND('Opening Balance'!$B$4+SUM($F$2:F2922)-SUM($G$2:G2922),2))</f>
        <v/>
      </c>
      <c r="J2922" s="21">
        <f>IFERROR(MATCH(ROW()-1,$L$2:$L$3001,0),"")</f>
        <v/>
      </c>
      <c r="K2922" s="34">
        <f>IF(AND('Daily Sale entry '!Q1422="Collection 收款",'Daily Sale entry '!R1422="Cheque 支票",'Daily Sale entry '!V1422&lt;&gt;""),'Daily Sale entry '!V1422+ROW()/10000000,"")</f>
        <v/>
      </c>
      <c r="L2922" s="21">
        <f>IF(K2922="","",COUNTIF($K$2:$K$3001,"&lt;"&amp;K2922)+1)</f>
        <v/>
      </c>
    </row>
    <row r="2923">
      <c r="A2923" s="5">
        <f>IF($J2923="","",IF($J2923&lt;=1500,INDEX('Daily Sale entry '!$X$1:$X$1501,$J2923+1),INDEX('Daily Sale entry '!$V$1:$V$1501,$J2923-1499)))</f>
        <v/>
      </c>
      <c r="B2923">
        <f>IF($J2923="","",IF($J2923&lt;=1500,INDEX('Daily Sale entry '!$Y$1:$Y$1501,$J2923+1)&amp;"","Buyer cheque banked 买家支票存入"&amp;IF(INDEX('Daily Sale entry '!$U$1:$U$1501,$J2923-1499)="","", " - "&amp;INDEX('Daily Sale entry '!$U$1:$U$1501,$J2923-1499))))</f>
        <v/>
      </c>
      <c r="C2923">
        <f>IF($J2923="","",IF($J2923&lt;=1500,INDEX('Daily Sale entry '!$Z$1:$Z$1501,$J2923+1)&amp;"","Cheque deposit 支票存入 (buyer 买家)"))</f>
        <v/>
      </c>
      <c r="D2923">
        <f>IF($J2923="","",IF($J2923&lt;=1500,INDEX('Daily Sale entry '!$AA$1:$AA$1501,$J2923+1)&amp;"",INDEX('Daily Sale entry '!$P$1:$P$1501,$J2923-1499)&amp;""))</f>
        <v/>
      </c>
      <c r="E2923">
        <f>IF($J2923="","",IF($J2923&lt;=1500,IF(N(INDEX('Daily Sale entry '!$AB$1:$AB$1501,$J2923+1))=0,"",INDEX('Daily Sale entry '!$AB$1:$AB$1501,$J2923+1)),1))</f>
        <v/>
      </c>
      <c r="F2923" s="6">
        <f>IF($J2923="","",IF($J2923&lt;=1500,N(INDEX('Daily Sale entry '!$AC$1:$AC$1501,$J2923+1))-IF(AND('Opening Balance'!$B$15=1,INDEX('Daily Sale entry '!$Z$1:$Z$1501,$J2923+1)="Online collection 网上收款",INDEX('Daily Sale entry '!$AA$1:$AA$1501,$J2923+1)&lt;&gt;""),N(INDEX('Daily Sale entry '!$AC$1:$AC$1501,$J2923+1))-TRUNC(N(INDEX('Daily Sale entry '!$AC$1:$AC$1501,$J2923+1))),0),N(INDEX('Daily Sale entry '!$S$1:$S$1501,$J2923-1499))-'Opening Balance'!$B$15*(N(INDEX('Daily Sale entry '!$S$1:$S$1501,$J2923-1499))-TRUNC(N(INDEX('Daily Sale entry '!$S$1:$S$1501,$J2923-1499))))))</f>
        <v/>
      </c>
      <c r="G2923" s="6">
        <f>IF($J2923="","",IF($J2923&lt;=1500,N(INDEX('Daily Sale entry '!$AD$1:$AD$1501,$J2923+1)),0))</f>
        <v/>
      </c>
      <c r="H2923" s="6">
        <f>IF($J2923="","",ROUND('Opening Balance'!$B$4+SUM($F$2:F2923)-SUM($G$2:G2923),2))</f>
        <v/>
      </c>
      <c r="J2923" s="21">
        <f>IFERROR(MATCH(ROW()-1,$L$2:$L$3001,0),"")</f>
        <v/>
      </c>
      <c r="K2923" s="34">
        <f>IF(AND('Daily Sale entry '!Q1423="Collection 收款",'Daily Sale entry '!R1423="Cheque 支票",'Daily Sale entry '!V1423&lt;&gt;""),'Daily Sale entry '!V1423+ROW()/10000000,"")</f>
        <v/>
      </c>
      <c r="L2923" s="21">
        <f>IF(K2923="","",COUNTIF($K$2:$K$3001,"&lt;"&amp;K2923)+1)</f>
        <v/>
      </c>
    </row>
    <row r="2924">
      <c r="A2924" s="5">
        <f>IF($J2924="","",IF($J2924&lt;=1500,INDEX('Daily Sale entry '!$X$1:$X$1501,$J2924+1),INDEX('Daily Sale entry '!$V$1:$V$1501,$J2924-1499)))</f>
        <v/>
      </c>
      <c r="B2924">
        <f>IF($J2924="","",IF($J2924&lt;=1500,INDEX('Daily Sale entry '!$Y$1:$Y$1501,$J2924+1)&amp;"","Buyer cheque banked 买家支票存入"&amp;IF(INDEX('Daily Sale entry '!$U$1:$U$1501,$J2924-1499)="","", " - "&amp;INDEX('Daily Sale entry '!$U$1:$U$1501,$J2924-1499))))</f>
        <v/>
      </c>
      <c r="C2924">
        <f>IF($J2924="","",IF($J2924&lt;=1500,INDEX('Daily Sale entry '!$Z$1:$Z$1501,$J2924+1)&amp;"","Cheque deposit 支票存入 (buyer 买家)"))</f>
        <v/>
      </c>
      <c r="D2924">
        <f>IF($J2924="","",IF($J2924&lt;=1500,INDEX('Daily Sale entry '!$AA$1:$AA$1501,$J2924+1)&amp;"",INDEX('Daily Sale entry '!$P$1:$P$1501,$J2924-1499)&amp;""))</f>
        <v/>
      </c>
      <c r="E2924">
        <f>IF($J2924="","",IF($J2924&lt;=1500,IF(N(INDEX('Daily Sale entry '!$AB$1:$AB$1501,$J2924+1))=0,"",INDEX('Daily Sale entry '!$AB$1:$AB$1501,$J2924+1)),1))</f>
        <v/>
      </c>
      <c r="F2924" s="6">
        <f>IF($J2924="","",IF($J2924&lt;=1500,N(INDEX('Daily Sale entry '!$AC$1:$AC$1501,$J2924+1))-IF(AND('Opening Balance'!$B$15=1,INDEX('Daily Sale entry '!$Z$1:$Z$1501,$J2924+1)="Online collection 网上收款",INDEX('Daily Sale entry '!$AA$1:$AA$1501,$J2924+1)&lt;&gt;""),N(INDEX('Daily Sale entry '!$AC$1:$AC$1501,$J2924+1))-TRUNC(N(INDEX('Daily Sale entry '!$AC$1:$AC$1501,$J2924+1))),0),N(INDEX('Daily Sale entry '!$S$1:$S$1501,$J2924-1499))-'Opening Balance'!$B$15*(N(INDEX('Daily Sale entry '!$S$1:$S$1501,$J2924-1499))-TRUNC(N(INDEX('Daily Sale entry '!$S$1:$S$1501,$J2924-1499))))))</f>
        <v/>
      </c>
      <c r="G2924" s="6">
        <f>IF($J2924="","",IF($J2924&lt;=1500,N(INDEX('Daily Sale entry '!$AD$1:$AD$1501,$J2924+1)),0))</f>
        <v/>
      </c>
      <c r="H2924" s="6">
        <f>IF($J2924="","",ROUND('Opening Balance'!$B$4+SUM($F$2:F2924)-SUM($G$2:G2924),2))</f>
        <v/>
      </c>
      <c r="J2924" s="21">
        <f>IFERROR(MATCH(ROW()-1,$L$2:$L$3001,0),"")</f>
        <v/>
      </c>
      <c r="K2924" s="34">
        <f>IF(AND('Daily Sale entry '!Q1424="Collection 收款",'Daily Sale entry '!R1424="Cheque 支票",'Daily Sale entry '!V1424&lt;&gt;""),'Daily Sale entry '!V1424+ROW()/10000000,"")</f>
        <v/>
      </c>
      <c r="L2924" s="21">
        <f>IF(K2924="","",COUNTIF($K$2:$K$3001,"&lt;"&amp;K2924)+1)</f>
        <v/>
      </c>
    </row>
    <row r="2925">
      <c r="A2925" s="5">
        <f>IF($J2925="","",IF($J2925&lt;=1500,INDEX('Daily Sale entry '!$X$1:$X$1501,$J2925+1),INDEX('Daily Sale entry '!$V$1:$V$1501,$J2925-1499)))</f>
        <v/>
      </c>
      <c r="B2925">
        <f>IF($J2925="","",IF($J2925&lt;=1500,INDEX('Daily Sale entry '!$Y$1:$Y$1501,$J2925+1)&amp;"","Buyer cheque banked 买家支票存入"&amp;IF(INDEX('Daily Sale entry '!$U$1:$U$1501,$J2925-1499)="","", " - "&amp;INDEX('Daily Sale entry '!$U$1:$U$1501,$J2925-1499))))</f>
        <v/>
      </c>
      <c r="C2925">
        <f>IF($J2925="","",IF($J2925&lt;=1500,INDEX('Daily Sale entry '!$Z$1:$Z$1501,$J2925+1)&amp;"","Cheque deposit 支票存入 (buyer 买家)"))</f>
        <v/>
      </c>
      <c r="D2925">
        <f>IF($J2925="","",IF($J2925&lt;=1500,INDEX('Daily Sale entry '!$AA$1:$AA$1501,$J2925+1)&amp;"",INDEX('Daily Sale entry '!$P$1:$P$1501,$J2925-1499)&amp;""))</f>
        <v/>
      </c>
      <c r="E2925">
        <f>IF($J2925="","",IF($J2925&lt;=1500,IF(N(INDEX('Daily Sale entry '!$AB$1:$AB$1501,$J2925+1))=0,"",INDEX('Daily Sale entry '!$AB$1:$AB$1501,$J2925+1)),1))</f>
        <v/>
      </c>
      <c r="F2925" s="6">
        <f>IF($J2925="","",IF($J2925&lt;=1500,N(INDEX('Daily Sale entry '!$AC$1:$AC$1501,$J2925+1))-IF(AND('Opening Balance'!$B$15=1,INDEX('Daily Sale entry '!$Z$1:$Z$1501,$J2925+1)="Online collection 网上收款",INDEX('Daily Sale entry '!$AA$1:$AA$1501,$J2925+1)&lt;&gt;""),N(INDEX('Daily Sale entry '!$AC$1:$AC$1501,$J2925+1))-TRUNC(N(INDEX('Daily Sale entry '!$AC$1:$AC$1501,$J2925+1))),0),N(INDEX('Daily Sale entry '!$S$1:$S$1501,$J2925-1499))-'Opening Balance'!$B$15*(N(INDEX('Daily Sale entry '!$S$1:$S$1501,$J2925-1499))-TRUNC(N(INDEX('Daily Sale entry '!$S$1:$S$1501,$J2925-1499))))))</f>
        <v/>
      </c>
      <c r="G2925" s="6">
        <f>IF($J2925="","",IF($J2925&lt;=1500,N(INDEX('Daily Sale entry '!$AD$1:$AD$1501,$J2925+1)),0))</f>
        <v/>
      </c>
      <c r="H2925" s="6">
        <f>IF($J2925="","",ROUND('Opening Balance'!$B$4+SUM($F$2:F2925)-SUM($G$2:G2925),2))</f>
        <v/>
      </c>
      <c r="J2925" s="21">
        <f>IFERROR(MATCH(ROW()-1,$L$2:$L$3001,0),"")</f>
        <v/>
      </c>
      <c r="K2925" s="34">
        <f>IF(AND('Daily Sale entry '!Q1425="Collection 收款",'Daily Sale entry '!R1425="Cheque 支票",'Daily Sale entry '!V1425&lt;&gt;""),'Daily Sale entry '!V1425+ROW()/10000000,"")</f>
        <v/>
      </c>
      <c r="L2925" s="21">
        <f>IF(K2925="","",COUNTIF($K$2:$K$3001,"&lt;"&amp;K2925)+1)</f>
        <v/>
      </c>
    </row>
    <row r="2926">
      <c r="A2926" s="5">
        <f>IF($J2926="","",IF($J2926&lt;=1500,INDEX('Daily Sale entry '!$X$1:$X$1501,$J2926+1),INDEX('Daily Sale entry '!$V$1:$V$1501,$J2926-1499)))</f>
        <v/>
      </c>
      <c r="B2926">
        <f>IF($J2926="","",IF($J2926&lt;=1500,INDEX('Daily Sale entry '!$Y$1:$Y$1501,$J2926+1)&amp;"","Buyer cheque banked 买家支票存入"&amp;IF(INDEX('Daily Sale entry '!$U$1:$U$1501,$J2926-1499)="","", " - "&amp;INDEX('Daily Sale entry '!$U$1:$U$1501,$J2926-1499))))</f>
        <v/>
      </c>
      <c r="C2926">
        <f>IF($J2926="","",IF($J2926&lt;=1500,INDEX('Daily Sale entry '!$Z$1:$Z$1501,$J2926+1)&amp;"","Cheque deposit 支票存入 (buyer 买家)"))</f>
        <v/>
      </c>
      <c r="D2926">
        <f>IF($J2926="","",IF($J2926&lt;=1500,INDEX('Daily Sale entry '!$AA$1:$AA$1501,$J2926+1)&amp;"",INDEX('Daily Sale entry '!$P$1:$P$1501,$J2926-1499)&amp;""))</f>
        <v/>
      </c>
      <c r="E2926">
        <f>IF($J2926="","",IF($J2926&lt;=1500,IF(N(INDEX('Daily Sale entry '!$AB$1:$AB$1501,$J2926+1))=0,"",INDEX('Daily Sale entry '!$AB$1:$AB$1501,$J2926+1)),1))</f>
        <v/>
      </c>
      <c r="F2926" s="6">
        <f>IF($J2926="","",IF($J2926&lt;=1500,N(INDEX('Daily Sale entry '!$AC$1:$AC$1501,$J2926+1))-IF(AND('Opening Balance'!$B$15=1,INDEX('Daily Sale entry '!$Z$1:$Z$1501,$J2926+1)="Online collection 网上收款",INDEX('Daily Sale entry '!$AA$1:$AA$1501,$J2926+1)&lt;&gt;""),N(INDEX('Daily Sale entry '!$AC$1:$AC$1501,$J2926+1))-TRUNC(N(INDEX('Daily Sale entry '!$AC$1:$AC$1501,$J2926+1))),0),N(INDEX('Daily Sale entry '!$S$1:$S$1501,$J2926-1499))-'Opening Balance'!$B$15*(N(INDEX('Daily Sale entry '!$S$1:$S$1501,$J2926-1499))-TRUNC(N(INDEX('Daily Sale entry '!$S$1:$S$1501,$J2926-1499))))))</f>
        <v/>
      </c>
      <c r="G2926" s="6">
        <f>IF($J2926="","",IF($J2926&lt;=1500,N(INDEX('Daily Sale entry '!$AD$1:$AD$1501,$J2926+1)),0))</f>
        <v/>
      </c>
      <c r="H2926" s="6">
        <f>IF($J2926="","",ROUND('Opening Balance'!$B$4+SUM($F$2:F2926)-SUM($G$2:G2926),2))</f>
        <v/>
      </c>
      <c r="J2926" s="21">
        <f>IFERROR(MATCH(ROW()-1,$L$2:$L$3001,0),"")</f>
        <v/>
      </c>
      <c r="K2926" s="34">
        <f>IF(AND('Daily Sale entry '!Q1426="Collection 收款",'Daily Sale entry '!R1426="Cheque 支票",'Daily Sale entry '!V1426&lt;&gt;""),'Daily Sale entry '!V1426+ROW()/10000000,"")</f>
        <v/>
      </c>
      <c r="L2926" s="21">
        <f>IF(K2926="","",COUNTIF($K$2:$K$3001,"&lt;"&amp;K2926)+1)</f>
        <v/>
      </c>
    </row>
    <row r="2927">
      <c r="A2927" s="5">
        <f>IF($J2927="","",IF($J2927&lt;=1500,INDEX('Daily Sale entry '!$X$1:$X$1501,$J2927+1),INDEX('Daily Sale entry '!$V$1:$V$1501,$J2927-1499)))</f>
        <v/>
      </c>
      <c r="B2927">
        <f>IF($J2927="","",IF($J2927&lt;=1500,INDEX('Daily Sale entry '!$Y$1:$Y$1501,$J2927+1)&amp;"","Buyer cheque banked 买家支票存入"&amp;IF(INDEX('Daily Sale entry '!$U$1:$U$1501,$J2927-1499)="","", " - "&amp;INDEX('Daily Sale entry '!$U$1:$U$1501,$J2927-1499))))</f>
        <v/>
      </c>
      <c r="C2927">
        <f>IF($J2927="","",IF($J2927&lt;=1500,INDEX('Daily Sale entry '!$Z$1:$Z$1501,$J2927+1)&amp;"","Cheque deposit 支票存入 (buyer 买家)"))</f>
        <v/>
      </c>
      <c r="D2927">
        <f>IF($J2927="","",IF($J2927&lt;=1500,INDEX('Daily Sale entry '!$AA$1:$AA$1501,$J2927+1)&amp;"",INDEX('Daily Sale entry '!$P$1:$P$1501,$J2927-1499)&amp;""))</f>
        <v/>
      </c>
      <c r="E2927">
        <f>IF($J2927="","",IF($J2927&lt;=1500,IF(N(INDEX('Daily Sale entry '!$AB$1:$AB$1501,$J2927+1))=0,"",INDEX('Daily Sale entry '!$AB$1:$AB$1501,$J2927+1)),1))</f>
        <v/>
      </c>
      <c r="F2927" s="6">
        <f>IF($J2927="","",IF($J2927&lt;=1500,N(INDEX('Daily Sale entry '!$AC$1:$AC$1501,$J2927+1))-IF(AND('Opening Balance'!$B$15=1,INDEX('Daily Sale entry '!$Z$1:$Z$1501,$J2927+1)="Online collection 网上收款",INDEX('Daily Sale entry '!$AA$1:$AA$1501,$J2927+1)&lt;&gt;""),N(INDEX('Daily Sale entry '!$AC$1:$AC$1501,$J2927+1))-TRUNC(N(INDEX('Daily Sale entry '!$AC$1:$AC$1501,$J2927+1))),0),N(INDEX('Daily Sale entry '!$S$1:$S$1501,$J2927-1499))-'Opening Balance'!$B$15*(N(INDEX('Daily Sale entry '!$S$1:$S$1501,$J2927-1499))-TRUNC(N(INDEX('Daily Sale entry '!$S$1:$S$1501,$J2927-1499))))))</f>
        <v/>
      </c>
      <c r="G2927" s="6">
        <f>IF($J2927="","",IF($J2927&lt;=1500,N(INDEX('Daily Sale entry '!$AD$1:$AD$1501,$J2927+1)),0))</f>
        <v/>
      </c>
      <c r="H2927" s="6">
        <f>IF($J2927="","",ROUND('Opening Balance'!$B$4+SUM($F$2:F2927)-SUM($G$2:G2927),2))</f>
        <v/>
      </c>
      <c r="J2927" s="21">
        <f>IFERROR(MATCH(ROW()-1,$L$2:$L$3001,0),"")</f>
        <v/>
      </c>
      <c r="K2927" s="34">
        <f>IF(AND('Daily Sale entry '!Q1427="Collection 收款",'Daily Sale entry '!R1427="Cheque 支票",'Daily Sale entry '!V1427&lt;&gt;""),'Daily Sale entry '!V1427+ROW()/10000000,"")</f>
        <v/>
      </c>
      <c r="L2927" s="21">
        <f>IF(K2927="","",COUNTIF($K$2:$K$3001,"&lt;"&amp;K2927)+1)</f>
        <v/>
      </c>
    </row>
    <row r="2928">
      <c r="A2928" s="5">
        <f>IF($J2928="","",IF($J2928&lt;=1500,INDEX('Daily Sale entry '!$X$1:$X$1501,$J2928+1),INDEX('Daily Sale entry '!$V$1:$V$1501,$J2928-1499)))</f>
        <v/>
      </c>
      <c r="B2928">
        <f>IF($J2928="","",IF($J2928&lt;=1500,INDEX('Daily Sale entry '!$Y$1:$Y$1501,$J2928+1)&amp;"","Buyer cheque banked 买家支票存入"&amp;IF(INDEX('Daily Sale entry '!$U$1:$U$1501,$J2928-1499)="","", " - "&amp;INDEX('Daily Sale entry '!$U$1:$U$1501,$J2928-1499))))</f>
        <v/>
      </c>
      <c r="C2928">
        <f>IF($J2928="","",IF($J2928&lt;=1500,INDEX('Daily Sale entry '!$Z$1:$Z$1501,$J2928+1)&amp;"","Cheque deposit 支票存入 (buyer 买家)"))</f>
        <v/>
      </c>
      <c r="D2928">
        <f>IF($J2928="","",IF($J2928&lt;=1500,INDEX('Daily Sale entry '!$AA$1:$AA$1501,$J2928+1)&amp;"",INDEX('Daily Sale entry '!$P$1:$P$1501,$J2928-1499)&amp;""))</f>
        <v/>
      </c>
      <c r="E2928">
        <f>IF($J2928="","",IF($J2928&lt;=1500,IF(N(INDEX('Daily Sale entry '!$AB$1:$AB$1501,$J2928+1))=0,"",INDEX('Daily Sale entry '!$AB$1:$AB$1501,$J2928+1)),1))</f>
        <v/>
      </c>
      <c r="F2928" s="6">
        <f>IF($J2928="","",IF($J2928&lt;=1500,N(INDEX('Daily Sale entry '!$AC$1:$AC$1501,$J2928+1))-IF(AND('Opening Balance'!$B$15=1,INDEX('Daily Sale entry '!$Z$1:$Z$1501,$J2928+1)="Online collection 网上收款",INDEX('Daily Sale entry '!$AA$1:$AA$1501,$J2928+1)&lt;&gt;""),N(INDEX('Daily Sale entry '!$AC$1:$AC$1501,$J2928+1))-TRUNC(N(INDEX('Daily Sale entry '!$AC$1:$AC$1501,$J2928+1))),0),N(INDEX('Daily Sale entry '!$S$1:$S$1501,$J2928-1499))-'Opening Balance'!$B$15*(N(INDEX('Daily Sale entry '!$S$1:$S$1501,$J2928-1499))-TRUNC(N(INDEX('Daily Sale entry '!$S$1:$S$1501,$J2928-1499))))))</f>
        <v/>
      </c>
      <c r="G2928" s="6">
        <f>IF($J2928="","",IF($J2928&lt;=1500,N(INDEX('Daily Sale entry '!$AD$1:$AD$1501,$J2928+1)),0))</f>
        <v/>
      </c>
      <c r="H2928" s="6">
        <f>IF($J2928="","",ROUND('Opening Balance'!$B$4+SUM($F$2:F2928)-SUM($G$2:G2928),2))</f>
        <v/>
      </c>
      <c r="J2928" s="21">
        <f>IFERROR(MATCH(ROW()-1,$L$2:$L$3001,0),"")</f>
        <v/>
      </c>
      <c r="K2928" s="34">
        <f>IF(AND('Daily Sale entry '!Q1428="Collection 收款",'Daily Sale entry '!R1428="Cheque 支票",'Daily Sale entry '!V1428&lt;&gt;""),'Daily Sale entry '!V1428+ROW()/10000000,"")</f>
        <v/>
      </c>
      <c r="L2928" s="21">
        <f>IF(K2928="","",COUNTIF($K$2:$K$3001,"&lt;"&amp;K2928)+1)</f>
        <v/>
      </c>
    </row>
    <row r="2929">
      <c r="A2929" s="5">
        <f>IF($J2929="","",IF($J2929&lt;=1500,INDEX('Daily Sale entry '!$X$1:$X$1501,$J2929+1),INDEX('Daily Sale entry '!$V$1:$V$1501,$J2929-1499)))</f>
        <v/>
      </c>
      <c r="B2929">
        <f>IF($J2929="","",IF($J2929&lt;=1500,INDEX('Daily Sale entry '!$Y$1:$Y$1501,$J2929+1)&amp;"","Buyer cheque banked 买家支票存入"&amp;IF(INDEX('Daily Sale entry '!$U$1:$U$1501,$J2929-1499)="","", " - "&amp;INDEX('Daily Sale entry '!$U$1:$U$1501,$J2929-1499))))</f>
        <v/>
      </c>
      <c r="C2929">
        <f>IF($J2929="","",IF($J2929&lt;=1500,INDEX('Daily Sale entry '!$Z$1:$Z$1501,$J2929+1)&amp;"","Cheque deposit 支票存入 (buyer 买家)"))</f>
        <v/>
      </c>
      <c r="D2929">
        <f>IF($J2929="","",IF($J2929&lt;=1500,INDEX('Daily Sale entry '!$AA$1:$AA$1501,$J2929+1)&amp;"",INDEX('Daily Sale entry '!$P$1:$P$1501,$J2929-1499)&amp;""))</f>
        <v/>
      </c>
      <c r="E2929">
        <f>IF($J2929="","",IF($J2929&lt;=1500,IF(N(INDEX('Daily Sale entry '!$AB$1:$AB$1501,$J2929+1))=0,"",INDEX('Daily Sale entry '!$AB$1:$AB$1501,$J2929+1)),1))</f>
        <v/>
      </c>
      <c r="F2929" s="6">
        <f>IF($J2929="","",IF($J2929&lt;=1500,N(INDEX('Daily Sale entry '!$AC$1:$AC$1501,$J2929+1))-IF(AND('Opening Balance'!$B$15=1,INDEX('Daily Sale entry '!$Z$1:$Z$1501,$J2929+1)="Online collection 网上收款",INDEX('Daily Sale entry '!$AA$1:$AA$1501,$J2929+1)&lt;&gt;""),N(INDEX('Daily Sale entry '!$AC$1:$AC$1501,$J2929+1))-TRUNC(N(INDEX('Daily Sale entry '!$AC$1:$AC$1501,$J2929+1))),0),N(INDEX('Daily Sale entry '!$S$1:$S$1501,$J2929-1499))-'Opening Balance'!$B$15*(N(INDEX('Daily Sale entry '!$S$1:$S$1501,$J2929-1499))-TRUNC(N(INDEX('Daily Sale entry '!$S$1:$S$1501,$J2929-1499))))))</f>
        <v/>
      </c>
      <c r="G2929" s="6">
        <f>IF($J2929="","",IF($J2929&lt;=1500,N(INDEX('Daily Sale entry '!$AD$1:$AD$1501,$J2929+1)),0))</f>
        <v/>
      </c>
      <c r="H2929" s="6">
        <f>IF($J2929="","",ROUND('Opening Balance'!$B$4+SUM($F$2:F2929)-SUM($G$2:G2929),2))</f>
        <v/>
      </c>
      <c r="J2929" s="21">
        <f>IFERROR(MATCH(ROW()-1,$L$2:$L$3001,0),"")</f>
        <v/>
      </c>
      <c r="K2929" s="34">
        <f>IF(AND('Daily Sale entry '!Q1429="Collection 收款",'Daily Sale entry '!R1429="Cheque 支票",'Daily Sale entry '!V1429&lt;&gt;""),'Daily Sale entry '!V1429+ROW()/10000000,"")</f>
        <v/>
      </c>
      <c r="L2929" s="21">
        <f>IF(K2929="","",COUNTIF($K$2:$K$3001,"&lt;"&amp;K2929)+1)</f>
        <v/>
      </c>
    </row>
    <row r="2930">
      <c r="A2930" s="5">
        <f>IF($J2930="","",IF($J2930&lt;=1500,INDEX('Daily Sale entry '!$X$1:$X$1501,$J2930+1),INDEX('Daily Sale entry '!$V$1:$V$1501,$J2930-1499)))</f>
        <v/>
      </c>
      <c r="B2930">
        <f>IF($J2930="","",IF($J2930&lt;=1500,INDEX('Daily Sale entry '!$Y$1:$Y$1501,$J2930+1)&amp;"","Buyer cheque banked 买家支票存入"&amp;IF(INDEX('Daily Sale entry '!$U$1:$U$1501,$J2930-1499)="","", " - "&amp;INDEX('Daily Sale entry '!$U$1:$U$1501,$J2930-1499))))</f>
        <v/>
      </c>
      <c r="C2930">
        <f>IF($J2930="","",IF($J2930&lt;=1500,INDEX('Daily Sale entry '!$Z$1:$Z$1501,$J2930+1)&amp;"","Cheque deposit 支票存入 (buyer 买家)"))</f>
        <v/>
      </c>
      <c r="D2930">
        <f>IF($J2930="","",IF($J2930&lt;=1500,INDEX('Daily Sale entry '!$AA$1:$AA$1501,$J2930+1)&amp;"",INDEX('Daily Sale entry '!$P$1:$P$1501,$J2930-1499)&amp;""))</f>
        <v/>
      </c>
      <c r="E2930">
        <f>IF($J2930="","",IF($J2930&lt;=1500,IF(N(INDEX('Daily Sale entry '!$AB$1:$AB$1501,$J2930+1))=0,"",INDEX('Daily Sale entry '!$AB$1:$AB$1501,$J2930+1)),1))</f>
        <v/>
      </c>
      <c r="F2930" s="6">
        <f>IF($J2930="","",IF($J2930&lt;=1500,N(INDEX('Daily Sale entry '!$AC$1:$AC$1501,$J2930+1))-IF(AND('Opening Balance'!$B$15=1,INDEX('Daily Sale entry '!$Z$1:$Z$1501,$J2930+1)="Online collection 网上收款",INDEX('Daily Sale entry '!$AA$1:$AA$1501,$J2930+1)&lt;&gt;""),N(INDEX('Daily Sale entry '!$AC$1:$AC$1501,$J2930+1))-TRUNC(N(INDEX('Daily Sale entry '!$AC$1:$AC$1501,$J2930+1))),0),N(INDEX('Daily Sale entry '!$S$1:$S$1501,$J2930-1499))-'Opening Balance'!$B$15*(N(INDEX('Daily Sale entry '!$S$1:$S$1501,$J2930-1499))-TRUNC(N(INDEX('Daily Sale entry '!$S$1:$S$1501,$J2930-1499))))))</f>
        <v/>
      </c>
      <c r="G2930" s="6">
        <f>IF($J2930="","",IF($J2930&lt;=1500,N(INDEX('Daily Sale entry '!$AD$1:$AD$1501,$J2930+1)),0))</f>
        <v/>
      </c>
      <c r="H2930" s="6">
        <f>IF($J2930="","",ROUND('Opening Balance'!$B$4+SUM($F$2:F2930)-SUM($G$2:G2930),2))</f>
        <v/>
      </c>
      <c r="J2930" s="21">
        <f>IFERROR(MATCH(ROW()-1,$L$2:$L$3001,0),"")</f>
        <v/>
      </c>
      <c r="K2930" s="34">
        <f>IF(AND('Daily Sale entry '!Q1430="Collection 收款",'Daily Sale entry '!R1430="Cheque 支票",'Daily Sale entry '!V1430&lt;&gt;""),'Daily Sale entry '!V1430+ROW()/10000000,"")</f>
        <v/>
      </c>
      <c r="L2930" s="21">
        <f>IF(K2930="","",COUNTIF($K$2:$K$3001,"&lt;"&amp;K2930)+1)</f>
        <v/>
      </c>
    </row>
    <row r="2931">
      <c r="A2931" s="5">
        <f>IF($J2931="","",IF($J2931&lt;=1500,INDEX('Daily Sale entry '!$X$1:$X$1501,$J2931+1),INDEX('Daily Sale entry '!$V$1:$V$1501,$J2931-1499)))</f>
        <v/>
      </c>
      <c r="B2931">
        <f>IF($J2931="","",IF($J2931&lt;=1500,INDEX('Daily Sale entry '!$Y$1:$Y$1501,$J2931+1)&amp;"","Buyer cheque banked 买家支票存入"&amp;IF(INDEX('Daily Sale entry '!$U$1:$U$1501,$J2931-1499)="","", " - "&amp;INDEX('Daily Sale entry '!$U$1:$U$1501,$J2931-1499))))</f>
        <v/>
      </c>
      <c r="C2931">
        <f>IF($J2931="","",IF($J2931&lt;=1500,INDEX('Daily Sale entry '!$Z$1:$Z$1501,$J2931+1)&amp;"","Cheque deposit 支票存入 (buyer 买家)"))</f>
        <v/>
      </c>
      <c r="D2931">
        <f>IF($J2931="","",IF($J2931&lt;=1500,INDEX('Daily Sale entry '!$AA$1:$AA$1501,$J2931+1)&amp;"",INDEX('Daily Sale entry '!$P$1:$P$1501,$J2931-1499)&amp;""))</f>
        <v/>
      </c>
      <c r="E2931">
        <f>IF($J2931="","",IF($J2931&lt;=1500,IF(N(INDEX('Daily Sale entry '!$AB$1:$AB$1501,$J2931+1))=0,"",INDEX('Daily Sale entry '!$AB$1:$AB$1501,$J2931+1)),1))</f>
        <v/>
      </c>
      <c r="F2931" s="6">
        <f>IF($J2931="","",IF($J2931&lt;=1500,N(INDEX('Daily Sale entry '!$AC$1:$AC$1501,$J2931+1))-IF(AND('Opening Balance'!$B$15=1,INDEX('Daily Sale entry '!$Z$1:$Z$1501,$J2931+1)="Online collection 网上收款",INDEX('Daily Sale entry '!$AA$1:$AA$1501,$J2931+1)&lt;&gt;""),N(INDEX('Daily Sale entry '!$AC$1:$AC$1501,$J2931+1))-TRUNC(N(INDEX('Daily Sale entry '!$AC$1:$AC$1501,$J2931+1))),0),N(INDEX('Daily Sale entry '!$S$1:$S$1501,$J2931-1499))-'Opening Balance'!$B$15*(N(INDEX('Daily Sale entry '!$S$1:$S$1501,$J2931-1499))-TRUNC(N(INDEX('Daily Sale entry '!$S$1:$S$1501,$J2931-1499))))))</f>
        <v/>
      </c>
      <c r="G2931" s="6">
        <f>IF($J2931="","",IF($J2931&lt;=1500,N(INDEX('Daily Sale entry '!$AD$1:$AD$1501,$J2931+1)),0))</f>
        <v/>
      </c>
      <c r="H2931" s="6">
        <f>IF($J2931="","",ROUND('Opening Balance'!$B$4+SUM($F$2:F2931)-SUM($G$2:G2931),2))</f>
        <v/>
      </c>
      <c r="J2931" s="21">
        <f>IFERROR(MATCH(ROW()-1,$L$2:$L$3001,0),"")</f>
        <v/>
      </c>
      <c r="K2931" s="34">
        <f>IF(AND('Daily Sale entry '!Q1431="Collection 收款",'Daily Sale entry '!R1431="Cheque 支票",'Daily Sale entry '!V1431&lt;&gt;""),'Daily Sale entry '!V1431+ROW()/10000000,"")</f>
        <v/>
      </c>
      <c r="L2931" s="21">
        <f>IF(K2931="","",COUNTIF($K$2:$K$3001,"&lt;"&amp;K2931)+1)</f>
        <v/>
      </c>
    </row>
    <row r="2932">
      <c r="A2932" s="5">
        <f>IF($J2932="","",IF($J2932&lt;=1500,INDEX('Daily Sale entry '!$X$1:$X$1501,$J2932+1),INDEX('Daily Sale entry '!$V$1:$V$1501,$J2932-1499)))</f>
        <v/>
      </c>
      <c r="B2932">
        <f>IF($J2932="","",IF($J2932&lt;=1500,INDEX('Daily Sale entry '!$Y$1:$Y$1501,$J2932+1)&amp;"","Buyer cheque banked 买家支票存入"&amp;IF(INDEX('Daily Sale entry '!$U$1:$U$1501,$J2932-1499)="","", " - "&amp;INDEX('Daily Sale entry '!$U$1:$U$1501,$J2932-1499))))</f>
        <v/>
      </c>
      <c r="C2932">
        <f>IF($J2932="","",IF($J2932&lt;=1500,INDEX('Daily Sale entry '!$Z$1:$Z$1501,$J2932+1)&amp;"","Cheque deposit 支票存入 (buyer 买家)"))</f>
        <v/>
      </c>
      <c r="D2932">
        <f>IF($J2932="","",IF($J2932&lt;=1500,INDEX('Daily Sale entry '!$AA$1:$AA$1501,$J2932+1)&amp;"",INDEX('Daily Sale entry '!$P$1:$P$1501,$J2932-1499)&amp;""))</f>
        <v/>
      </c>
      <c r="E2932">
        <f>IF($J2932="","",IF($J2932&lt;=1500,IF(N(INDEX('Daily Sale entry '!$AB$1:$AB$1501,$J2932+1))=0,"",INDEX('Daily Sale entry '!$AB$1:$AB$1501,$J2932+1)),1))</f>
        <v/>
      </c>
      <c r="F2932" s="6">
        <f>IF($J2932="","",IF($J2932&lt;=1500,N(INDEX('Daily Sale entry '!$AC$1:$AC$1501,$J2932+1))-IF(AND('Opening Balance'!$B$15=1,INDEX('Daily Sale entry '!$Z$1:$Z$1501,$J2932+1)="Online collection 网上收款",INDEX('Daily Sale entry '!$AA$1:$AA$1501,$J2932+1)&lt;&gt;""),N(INDEX('Daily Sale entry '!$AC$1:$AC$1501,$J2932+1))-TRUNC(N(INDEX('Daily Sale entry '!$AC$1:$AC$1501,$J2932+1))),0),N(INDEX('Daily Sale entry '!$S$1:$S$1501,$J2932-1499))-'Opening Balance'!$B$15*(N(INDEX('Daily Sale entry '!$S$1:$S$1501,$J2932-1499))-TRUNC(N(INDEX('Daily Sale entry '!$S$1:$S$1501,$J2932-1499))))))</f>
        <v/>
      </c>
      <c r="G2932" s="6">
        <f>IF($J2932="","",IF($J2932&lt;=1500,N(INDEX('Daily Sale entry '!$AD$1:$AD$1501,$J2932+1)),0))</f>
        <v/>
      </c>
      <c r="H2932" s="6">
        <f>IF($J2932="","",ROUND('Opening Balance'!$B$4+SUM($F$2:F2932)-SUM($G$2:G2932),2))</f>
        <v/>
      </c>
      <c r="J2932" s="21">
        <f>IFERROR(MATCH(ROW()-1,$L$2:$L$3001,0),"")</f>
        <v/>
      </c>
      <c r="K2932" s="34">
        <f>IF(AND('Daily Sale entry '!Q1432="Collection 收款",'Daily Sale entry '!R1432="Cheque 支票",'Daily Sale entry '!V1432&lt;&gt;""),'Daily Sale entry '!V1432+ROW()/10000000,"")</f>
        <v/>
      </c>
      <c r="L2932" s="21">
        <f>IF(K2932="","",COUNTIF($K$2:$K$3001,"&lt;"&amp;K2932)+1)</f>
        <v/>
      </c>
    </row>
    <row r="2933">
      <c r="A2933" s="5">
        <f>IF($J2933="","",IF($J2933&lt;=1500,INDEX('Daily Sale entry '!$X$1:$X$1501,$J2933+1),INDEX('Daily Sale entry '!$V$1:$V$1501,$J2933-1499)))</f>
        <v/>
      </c>
      <c r="B2933">
        <f>IF($J2933="","",IF($J2933&lt;=1500,INDEX('Daily Sale entry '!$Y$1:$Y$1501,$J2933+1)&amp;"","Buyer cheque banked 买家支票存入"&amp;IF(INDEX('Daily Sale entry '!$U$1:$U$1501,$J2933-1499)="","", " - "&amp;INDEX('Daily Sale entry '!$U$1:$U$1501,$J2933-1499))))</f>
        <v/>
      </c>
      <c r="C2933">
        <f>IF($J2933="","",IF($J2933&lt;=1500,INDEX('Daily Sale entry '!$Z$1:$Z$1501,$J2933+1)&amp;"","Cheque deposit 支票存入 (buyer 买家)"))</f>
        <v/>
      </c>
      <c r="D2933">
        <f>IF($J2933="","",IF($J2933&lt;=1500,INDEX('Daily Sale entry '!$AA$1:$AA$1501,$J2933+1)&amp;"",INDEX('Daily Sale entry '!$P$1:$P$1501,$J2933-1499)&amp;""))</f>
        <v/>
      </c>
      <c r="E2933">
        <f>IF($J2933="","",IF($J2933&lt;=1500,IF(N(INDEX('Daily Sale entry '!$AB$1:$AB$1501,$J2933+1))=0,"",INDEX('Daily Sale entry '!$AB$1:$AB$1501,$J2933+1)),1))</f>
        <v/>
      </c>
      <c r="F2933" s="6">
        <f>IF($J2933="","",IF($J2933&lt;=1500,N(INDEX('Daily Sale entry '!$AC$1:$AC$1501,$J2933+1))-IF(AND('Opening Balance'!$B$15=1,INDEX('Daily Sale entry '!$Z$1:$Z$1501,$J2933+1)="Online collection 网上收款",INDEX('Daily Sale entry '!$AA$1:$AA$1501,$J2933+1)&lt;&gt;""),N(INDEX('Daily Sale entry '!$AC$1:$AC$1501,$J2933+1))-TRUNC(N(INDEX('Daily Sale entry '!$AC$1:$AC$1501,$J2933+1))),0),N(INDEX('Daily Sale entry '!$S$1:$S$1501,$J2933-1499))-'Opening Balance'!$B$15*(N(INDEX('Daily Sale entry '!$S$1:$S$1501,$J2933-1499))-TRUNC(N(INDEX('Daily Sale entry '!$S$1:$S$1501,$J2933-1499))))))</f>
        <v/>
      </c>
      <c r="G2933" s="6">
        <f>IF($J2933="","",IF($J2933&lt;=1500,N(INDEX('Daily Sale entry '!$AD$1:$AD$1501,$J2933+1)),0))</f>
        <v/>
      </c>
      <c r="H2933" s="6">
        <f>IF($J2933="","",ROUND('Opening Balance'!$B$4+SUM($F$2:F2933)-SUM($G$2:G2933),2))</f>
        <v/>
      </c>
      <c r="J2933" s="21">
        <f>IFERROR(MATCH(ROW()-1,$L$2:$L$3001,0),"")</f>
        <v/>
      </c>
      <c r="K2933" s="34">
        <f>IF(AND('Daily Sale entry '!Q1433="Collection 收款",'Daily Sale entry '!R1433="Cheque 支票",'Daily Sale entry '!V1433&lt;&gt;""),'Daily Sale entry '!V1433+ROW()/10000000,"")</f>
        <v/>
      </c>
      <c r="L2933" s="21">
        <f>IF(K2933="","",COUNTIF($K$2:$K$3001,"&lt;"&amp;K2933)+1)</f>
        <v/>
      </c>
    </row>
    <row r="2934">
      <c r="A2934" s="5">
        <f>IF($J2934="","",IF($J2934&lt;=1500,INDEX('Daily Sale entry '!$X$1:$X$1501,$J2934+1),INDEX('Daily Sale entry '!$V$1:$V$1501,$J2934-1499)))</f>
        <v/>
      </c>
      <c r="B2934">
        <f>IF($J2934="","",IF($J2934&lt;=1500,INDEX('Daily Sale entry '!$Y$1:$Y$1501,$J2934+1)&amp;"","Buyer cheque banked 买家支票存入"&amp;IF(INDEX('Daily Sale entry '!$U$1:$U$1501,$J2934-1499)="","", " - "&amp;INDEX('Daily Sale entry '!$U$1:$U$1501,$J2934-1499))))</f>
        <v/>
      </c>
      <c r="C2934">
        <f>IF($J2934="","",IF($J2934&lt;=1500,INDEX('Daily Sale entry '!$Z$1:$Z$1501,$J2934+1)&amp;"","Cheque deposit 支票存入 (buyer 买家)"))</f>
        <v/>
      </c>
      <c r="D2934">
        <f>IF($J2934="","",IF($J2934&lt;=1500,INDEX('Daily Sale entry '!$AA$1:$AA$1501,$J2934+1)&amp;"",INDEX('Daily Sale entry '!$P$1:$P$1501,$J2934-1499)&amp;""))</f>
        <v/>
      </c>
      <c r="E2934">
        <f>IF($J2934="","",IF($J2934&lt;=1500,IF(N(INDEX('Daily Sale entry '!$AB$1:$AB$1501,$J2934+1))=0,"",INDEX('Daily Sale entry '!$AB$1:$AB$1501,$J2934+1)),1))</f>
        <v/>
      </c>
      <c r="F2934" s="6">
        <f>IF($J2934="","",IF($J2934&lt;=1500,N(INDEX('Daily Sale entry '!$AC$1:$AC$1501,$J2934+1))-IF(AND('Opening Balance'!$B$15=1,INDEX('Daily Sale entry '!$Z$1:$Z$1501,$J2934+1)="Online collection 网上收款",INDEX('Daily Sale entry '!$AA$1:$AA$1501,$J2934+1)&lt;&gt;""),N(INDEX('Daily Sale entry '!$AC$1:$AC$1501,$J2934+1))-TRUNC(N(INDEX('Daily Sale entry '!$AC$1:$AC$1501,$J2934+1))),0),N(INDEX('Daily Sale entry '!$S$1:$S$1501,$J2934-1499))-'Opening Balance'!$B$15*(N(INDEX('Daily Sale entry '!$S$1:$S$1501,$J2934-1499))-TRUNC(N(INDEX('Daily Sale entry '!$S$1:$S$1501,$J2934-1499))))))</f>
        <v/>
      </c>
      <c r="G2934" s="6">
        <f>IF($J2934="","",IF($J2934&lt;=1500,N(INDEX('Daily Sale entry '!$AD$1:$AD$1501,$J2934+1)),0))</f>
        <v/>
      </c>
      <c r="H2934" s="6">
        <f>IF($J2934="","",ROUND('Opening Balance'!$B$4+SUM($F$2:F2934)-SUM($G$2:G2934),2))</f>
        <v/>
      </c>
      <c r="J2934" s="21">
        <f>IFERROR(MATCH(ROW()-1,$L$2:$L$3001,0),"")</f>
        <v/>
      </c>
      <c r="K2934" s="34">
        <f>IF(AND('Daily Sale entry '!Q1434="Collection 收款",'Daily Sale entry '!R1434="Cheque 支票",'Daily Sale entry '!V1434&lt;&gt;""),'Daily Sale entry '!V1434+ROW()/10000000,"")</f>
        <v/>
      </c>
      <c r="L2934" s="21">
        <f>IF(K2934="","",COUNTIF($K$2:$K$3001,"&lt;"&amp;K2934)+1)</f>
        <v/>
      </c>
    </row>
    <row r="2935">
      <c r="A2935" s="5">
        <f>IF($J2935="","",IF($J2935&lt;=1500,INDEX('Daily Sale entry '!$X$1:$X$1501,$J2935+1),INDEX('Daily Sale entry '!$V$1:$V$1501,$J2935-1499)))</f>
        <v/>
      </c>
      <c r="B2935">
        <f>IF($J2935="","",IF($J2935&lt;=1500,INDEX('Daily Sale entry '!$Y$1:$Y$1501,$J2935+1)&amp;"","Buyer cheque banked 买家支票存入"&amp;IF(INDEX('Daily Sale entry '!$U$1:$U$1501,$J2935-1499)="","", " - "&amp;INDEX('Daily Sale entry '!$U$1:$U$1501,$J2935-1499))))</f>
        <v/>
      </c>
      <c r="C2935">
        <f>IF($J2935="","",IF($J2935&lt;=1500,INDEX('Daily Sale entry '!$Z$1:$Z$1501,$J2935+1)&amp;"","Cheque deposit 支票存入 (buyer 买家)"))</f>
        <v/>
      </c>
      <c r="D2935">
        <f>IF($J2935="","",IF($J2935&lt;=1500,INDEX('Daily Sale entry '!$AA$1:$AA$1501,$J2935+1)&amp;"",INDEX('Daily Sale entry '!$P$1:$P$1501,$J2935-1499)&amp;""))</f>
        <v/>
      </c>
      <c r="E2935">
        <f>IF($J2935="","",IF($J2935&lt;=1500,IF(N(INDEX('Daily Sale entry '!$AB$1:$AB$1501,$J2935+1))=0,"",INDEX('Daily Sale entry '!$AB$1:$AB$1501,$J2935+1)),1))</f>
        <v/>
      </c>
      <c r="F2935" s="6">
        <f>IF($J2935="","",IF($J2935&lt;=1500,N(INDEX('Daily Sale entry '!$AC$1:$AC$1501,$J2935+1))-IF(AND('Opening Balance'!$B$15=1,INDEX('Daily Sale entry '!$Z$1:$Z$1501,$J2935+1)="Online collection 网上收款",INDEX('Daily Sale entry '!$AA$1:$AA$1501,$J2935+1)&lt;&gt;""),N(INDEX('Daily Sale entry '!$AC$1:$AC$1501,$J2935+1))-TRUNC(N(INDEX('Daily Sale entry '!$AC$1:$AC$1501,$J2935+1))),0),N(INDEX('Daily Sale entry '!$S$1:$S$1501,$J2935-1499))-'Opening Balance'!$B$15*(N(INDEX('Daily Sale entry '!$S$1:$S$1501,$J2935-1499))-TRUNC(N(INDEX('Daily Sale entry '!$S$1:$S$1501,$J2935-1499))))))</f>
        <v/>
      </c>
      <c r="G2935" s="6">
        <f>IF($J2935="","",IF($J2935&lt;=1500,N(INDEX('Daily Sale entry '!$AD$1:$AD$1501,$J2935+1)),0))</f>
        <v/>
      </c>
      <c r="H2935" s="6">
        <f>IF($J2935="","",ROUND('Opening Balance'!$B$4+SUM($F$2:F2935)-SUM($G$2:G2935),2))</f>
        <v/>
      </c>
      <c r="J2935" s="21">
        <f>IFERROR(MATCH(ROW()-1,$L$2:$L$3001,0),"")</f>
        <v/>
      </c>
      <c r="K2935" s="34">
        <f>IF(AND('Daily Sale entry '!Q1435="Collection 收款",'Daily Sale entry '!R1435="Cheque 支票",'Daily Sale entry '!V1435&lt;&gt;""),'Daily Sale entry '!V1435+ROW()/10000000,"")</f>
        <v/>
      </c>
      <c r="L2935" s="21">
        <f>IF(K2935="","",COUNTIF($K$2:$K$3001,"&lt;"&amp;K2935)+1)</f>
        <v/>
      </c>
    </row>
    <row r="2936">
      <c r="A2936" s="5">
        <f>IF($J2936="","",IF($J2936&lt;=1500,INDEX('Daily Sale entry '!$X$1:$X$1501,$J2936+1),INDEX('Daily Sale entry '!$V$1:$V$1501,$J2936-1499)))</f>
        <v/>
      </c>
      <c r="B2936">
        <f>IF($J2936="","",IF($J2936&lt;=1500,INDEX('Daily Sale entry '!$Y$1:$Y$1501,$J2936+1)&amp;"","Buyer cheque banked 买家支票存入"&amp;IF(INDEX('Daily Sale entry '!$U$1:$U$1501,$J2936-1499)="","", " - "&amp;INDEX('Daily Sale entry '!$U$1:$U$1501,$J2936-1499))))</f>
        <v/>
      </c>
      <c r="C2936">
        <f>IF($J2936="","",IF($J2936&lt;=1500,INDEX('Daily Sale entry '!$Z$1:$Z$1501,$J2936+1)&amp;"","Cheque deposit 支票存入 (buyer 买家)"))</f>
        <v/>
      </c>
      <c r="D2936">
        <f>IF($J2936="","",IF($J2936&lt;=1500,INDEX('Daily Sale entry '!$AA$1:$AA$1501,$J2936+1)&amp;"",INDEX('Daily Sale entry '!$P$1:$P$1501,$J2936-1499)&amp;""))</f>
        <v/>
      </c>
      <c r="E2936">
        <f>IF($J2936="","",IF($J2936&lt;=1500,IF(N(INDEX('Daily Sale entry '!$AB$1:$AB$1501,$J2936+1))=0,"",INDEX('Daily Sale entry '!$AB$1:$AB$1501,$J2936+1)),1))</f>
        <v/>
      </c>
      <c r="F2936" s="6">
        <f>IF($J2936="","",IF($J2936&lt;=1500,N(INDEX('Daily Sale entry '!$AC$1:$AC$1501,$J2936+1))-IF(AND('Opening Balance'!$B$15=1,INDEX('Daily Sale entry '!$Z$1:$Z$1501,$J2936+1)="Online collection 网上收款",INDEX('Daily Sale entry '!$AA$1:$AA$1501,$J2936+1)&lt;&gt;""),N(INDEX('Daily Sale entry '!$AC$1:$AC$1501,$J2936+1))-TRUNC(N(INDEX('Daily Sale entry '!$AC$1:$AC$1501,$J2936+1))),0),N(INDEX('Daily Sale entry '!$S$1:$S$1501,$J2936-1499))-'Opening Balance'!$B$15*(N(INDEX('Daily Sale entry '!$S$1:$S$1501,$J2936-1499))-TRUNC(N(INDEX('Daily Sale entry '!$S$1:$S$1501,$J2936-1499))))))</f>
        <v/>
      </c>
      <c r="G2936" s="6">
        <f>IF($J2936="","",IF($J2936&lt;=1500,N(INDEX('Daily Sale entry '!$AD$1:$AD$1501,$J2936+1)),0))</f>
        <v/>
      </c>
      <c r="H2936" s="6">
        <f>IF($J2936="","",ROUND('Opening Balance'!$B$4+SUM($F$2:F2936)-SUM($G$2:G2936),2))</f>
        <v/>
      </c>
      <c r="J2936" s="21">
        <f>IFERROR(MATCH(ROW()-1,$L$2:$L$3001,0),"")</f>
        <v/>
      </c>
      <c r="K2936" s="34">
        <f>IF(AND('Daily Sale entry '!Q1436="Collection 收款",'Daily Sale entry '!R1436="Cheque 支票",'Daily Sale entry '!V1436&lt;&gt;""),'Daily Sale entry '!V1436+ROW()/10000000,"")</f>
        <v/>
      </c>
      <c r="L2936" s="21">
        <f>IF(K2936="","",COUNTIF($K$2:$K$3001,"&lt;"&amp;K2936)+1)</f>
        <v/>
      </c>
    </row>
    <row r="2937">
      <c r="A2937" s="5">
        <f>IF($J2937="","",IF($J2937&lt;=1500,INDEX('Daily Sale entry '!$X$1:$X$1501,$J2937+1),INDEX('Daily Sale entry '!$V$1:$V$1501,$J2937-1499)))</f>
        <v/>
      </c>
      <c r="B2937">
        <f>IF($J2937="","",IF($J2937&lt;=1500,INDEX('Daily Sale entry '!$Y$1:$Y$1501,$J2937+1)&amp;"","Buyer cheque banked 买家支票存入"&amp;IF(INDEX('Daily Sale entry '!$U$1:$U$1501,$J2937-1499)="","", " - "&amp;INDEX('Daily Sale entry '!$U$1:$U$1501,$J2937-1499))))</f>
        <v/>
      </c>
      <c r="C2937">
        <f>IF($J2937="","",IF($J2937&lt;=1500,INDEX('Daily Sale entry '!$Z$1:$Z$1501,$J2937+1)&amp;"","Cheque deposit 支票存入 (buyer 买家)"))</f>
        <v/>
      </c>
      <c r="D2937">
        <f>IF($J2937="","",IF($J2937&lt;=1500,INDEX('Daily Sale entry '!$AA$1:$AA$1501,$J2937+1)&amp;"",INDEX('Daily Sale entry '!$P$1:$P$1501,$J2937-1499)&amp;""))</f>
        <v/>
      </c>
      <c r="E2937">
        <f>IF($J2937="","",IF($J2937&lt;=1500,IF(N(INDEX('Daily Sale entry '!$AB$1:$AB$1501,$J2937+1))=0,"",INDEX('Daily Sale entry '!$AB$1:$AB$1501,$J2937+1)),1))</f>
        <v/>
      </c>
      <c r="F2937" s="6">
        <f>IF($J2937="","",IF($J2937&lt;=1500,N(INDEX('Daily Sale entry '!$AC$1:$AC$1501,$J2937+1))-IF(AND('Opening Balance'!$B$15=1,INDEX('Daily Sale entry '!$Z$1:$Z$1501,$J2937+1)="Online collection 网上收款",INDEX('Daily Sale entry '!$AA$1:$AA$1501,$J2937+1)&lt;&gt;""),N(INDEX('Daily Sale entry '!$AC$1:$AC$1501,$J2937+1))-TRUNC(N(INDEX('Daily Sale entry '!$AC$1:$AC$1501,$J2937+1))),0),N(INDEX('Daily Sale entry '!$S$1:$S$1501,$J2937-1499))-'Opening Balance'!$B$15*(N(INDEX('Daily Sale entry '!$S$1:$S$1501,$J2937-1499))-TRUNC(N(INDEX('Daily Sale entry '!$S$1:$S$1501,$J2937-1499))))))</f>
        <v/>
      </c>
      <c r="G2937" s="6">
        <f>IF($J2937="","",IF($J2937&lt;=1500,N(INDEX('Daily Sale entry '!$AD$1:$AD$1501,$J2937+1)),0))</f>
        <v/>
      </c>
      <c r="H2937" s="6">
        <f>IF($J2937="","",ROUND('Opening Balance'!$B$4+SUM($F$2:F2937)-SUM($G$2:G2937),2))</f>
        <v/>
      </c>
      <c r="J2937" s="21">
        <f>IFERROR(MATCH(ROW()-1,$L$2:$L$3001,0),"")</f>
        <v/>
      </c>
      <c r="K2937" s="34">
        <f>IF(AND('Daily Sale entry '!Q1437="Collection 收款",'Daily Sale entry '!R1437="Cheque 支票",'Daily Sale entry '!V1437&lt;&gt;""),'Daily Sale entry '!V1437+ROW()/10000000,"")</f>
        <v/>
      </c>
      <c r="L2937" s="21">
        <f>IF(K2937="","",COUNTIF($K$2:$K$3001,"&lt;"&amp;K2937)+1)</f>
        <v/>
      </c>
    </row>
    <row r="2938">
      <c r="A2938" s="5">
        <f>IF($J2938="","",IF($J2938&lt;=1500,INDEX('Daily Sale entry '!$X$1:$X$1501,$J2938+1),INDEX('Daily Sale entry '!$V$1:$V$1501,$J2938-1499)))</f>
        <v/>
      </c>
      <c r="B2938">
        <f>IF($J2938="","",IF($J2938&lt;=1500,INDEX('Daily Sale entry '!$Y$1:$Y$1501,$J2938+1)&amp;"","Buyer cheque banked 买家支票存入"&amp;IF(INDEX('Daily Sale entry '!$U$1:$U$1501,$J2938-1499)="","", " - "&amp;INDEX('Daily Sale entry '!$U$1:$U$1501,$J2938-1499))))</f>
        <v/>
      </c>
      <c r="C2938">
        <f>IF($J2938="","",IF($J2938&lt;=1500,INDEX('Daily Sale entry '!$Z$1:$Z$1501,$J2938+1)&amp;"","Cheque deposit 支票存入 (buyer 买家)"))</f>
        <v/>
      </c>
      <c r="D2938">
        <f>IF($J2938="","",IF($J2938&lt;=1500,INDEX('Daily Sale entry '!$AA$1:$AA$1501,$J2938+1)&amp;"",INDEX('Daily Sale entry '!$P$1:$P$1501,$J2938-1499)&amp;""))</f>
        <v/>
      </c>
      <c r="E2938">
        <f>IF($J2938="","",IF($J2938&lt;=1500,IF(N(INDEX('Daily Sale entry '!$AB$1:$AB$1501,$J2938+1))=0,"",INDEX('Daily Sale entry '!$AB$1:$AB$1501,$J2938+1)),1))</f>
        <v/>
      </c>
      <c r="F2938" s="6">
        <f>IF($J2938="","",IF($J2938&lt;=1500,N(INDEX('Daily Sale entry '!$AC$1:$AC$1501,$J2938+1))-IF(AND('Opening Balance'!$B$15=1,INDEX('Daily Sale entry '!$Z$1:$Z$1501,$J2938+1)="Online collection 网上收款",INDEX('Daily Sale entry '!$AA$1:$AA$1501,$J2938+1)&lt;&gt;""),N(INDEX('Daily Sale entry '!$AC$1:$AC$1501,$J2938+1))-TRUNC(N(INDEX('Daily Sale entry '!$AC$1:$AC$1501,$J2938+1))),0),N(INDEX('Daily Sale entry '!$S$1:$S$1501,$J2938-1499))-'Opening Balance'!$B$15*(N(INDEX('Daily Sale entry '!$S$1:$S$1501,$J2938-1499))-TRUNC(N(INDEX('Daily Sale entry '!$S$1:$S$1501,$J2938-1499))))))</f>
        <v/>
      </c>
      <c r="G2938" s="6">
        <f>IF($J2938="","",IF($J2938&lt;=1500,N(INDEX('Daily Sale entry '!$AD$1:$AD$1501,$J2938+1)),0))</f>
        <v/>
      </c>
      <c r="H2938" s="6">
        <f>IF($J2938="","",ROUND('Opening Balance'!$B$4+SUM($F$2:F2938)-SUM($G$2:G2938),2))</f>
        <v/>
      </c>
      <c r="J2938" s="21">
        <f>IFERROR(MATCH(ROW()-1,$L$2:$L$3001,0),"")</f>
        <v/>
      </c>
      <c r="K2938" s="34">
        <f>IF(AND('Daily Sale entry '!Q1438="Collection 收款",'Daily Sale entry '!R1438="Cheque 支票",'Daily Sale entry '!V1438&lt;&gt;""),'Daily Sale entry '!V1438+ROW()/10000000,"")</f>
        <v/>
      </c>
      <c r="L2938" s="21">
        <f>IF(K2938="","",COUNTIF($K$2:$K$3001,"&lt;"&amp;K2938)+1)</f>
        <v/>
      </c>
    </row>
    <row r="2939">
      <c r="A2939" s="5">
        <f>IF($J2939="","",IF($J2939&lt;=1500,INDEX('Daily Sale entry '!$X$1:$X$1501,$J2939+1),INDEX('Daily Sale entry '!$V$1:$V$1501,$J2939-1499)))</f>
        <v/>
      </c>
      <c r="B2939">
        <f>IF($J2939="","",IF($J2939&lt;=1500,INDEX('Daily Sale entry '!$Y$1:$Y$1501,$J2939+1)&amp;"","Buyer cheque banked 买家支票存入"&amp;IF(INDEX('Daily Sale entry '!$U$1:$U$1501,$J2939-1499)="","", " - "&amp;INDEX('Daily Sale entry '!$U$1:$U$1501,$J2939-1499))))</f>
        <v/>
      </c>
      <c r="C2939">
        <f>IF($J2939="","",IF($J2939&lt;=1500,INDEX('Daily Sale entry '!$Z$1:$Z$1501,$J2939+1)&amp;"","Cheque deposit 支票存入 (buyer 买家)"))</f>
        <v/>
      </c>
      <c r="D2939">
        <f>IF($J2939="","",IF($J2939&lt;=1500,INDEX('Daily Sale entry '!$AA$1:$AA$1501,$J2939+1)&amp;"",INDEX('Daily Sale entry '!$P$1:$P$1501,$J2939-1499)&amp;""))</f>
        <v/>
      </c>
      <c r="E2939">
        <f>IF($J2939="","",IF($J2939&lt;=1500,IF(N(INDEX('Daily Sale entry '!$AB$1:$AB$1501,$J2939+1))=0,"",INDEX('Daily Sale entry '!$AB$1:$AB$1501,$J2939+1)),1))</f>
        <v/>
      </c>
      <c r="F2939" s="6">
        <f>IF($J2939="","",IF($J2939&lt;=1500,N(INDEX('Daily Sale entry '!$AC$1:$AC$1501,$J2939+1))-IF(AND('Opening Balance'!$B$15=1,INDEX('Daily Sale entry '!$Z$1:$Z$1501,$J2939+1)="Online collection 网上收款",INDEX('Daily Sale entry '!$AA$1:$AA$1501,$J2939+1)&lt;&gt;""),N(INDEX('Daily Sale entry '!$AC$1:$AC$1501,$J2939+1))-TRUNC(N(INDEX('Daily Sale entry '!$AC$1:$AC$1501,$J2939+1))),0),N(INDEX('Daily Sale entry '!$S$1:$S$1501,$J2939-1499))-'Opening Balance'!$B$15*(N(INDEX('Daily Sale entry '!$S$1:$S$1501,$J2939-1499))-TRUNC(N(INDEX('Daily Sale entry '!$S$1:$S$1501,$J2939-1499))))))</f>
        <v/>
      </c>
      <c r="G2939" s="6">
        <f>IF($J2939="","",IF($J2939&lt;=1500,N(INDEX('Daily Sale entry '!$AD$1:$AD$1501,$J2939+1)),0))</f>
        <v/>
      </c>
      <c r="H2939" s="6">
        <f>IF($J2939="","",ROUND('Opening Balance'!$B$4+SUM($F$2:F2939)-SUM($G$2:G2939),2))</f>
        <v/>
      </c>
      <c r="J2939" s="21">
        <f>IFERROR(MATCH(ROW()-1,$L$2:$L$3001,0),"")</f>
        <v/>
      </c>
      <c r="K2939" s="34">
        <f>IF(AND('Daily Sale entry '!Q1439="Collection 收款",'Daily Sale entry '!R1439="Cheque 支票",'Daily Sale entry '!V1439&lt;&gt;""),'Daily Sale entry '!V1439+ROW()/10000000,"")</f>
        <v/>
      </c>
      <c r="L2939" s="21">
        <f>IF(K2939="","",COUNTIF($K$2:$K$3001,"&lt;"&amp;K2939)+1)</f>
        <v/>
      </c>
    </row>
    <row r="2940">
      <c r="A2940" s="5">
        <f>IF($J2940="","",IF($J2940&lt;=1500,INDEX('Daily Sale entry '!$X$1:$X$1501,$J2940+1),INDEX('Daily Sale entry '!$V$1:$V$1501,$J2940-1499)))</f>
        <v/>
      </c>
      <c r="B2940">
        <f>IF($J2940="","",IF($J2940&lt;=1500,INDEX('Daily Sale entry '!$Y$1:$Y$1501,$J2940+1)&amp;"","Buyer cheque banked 买家支票存入"&amp;IF(INDEX('Daily Sale entry '!$U$1:$U$1501,$J2940-1499)="","", " - "&amp;INDEX('Daily Sale entry '!$U$1:$U$1501,$J2940-1499))))</f>
        <v/>
      </c>
      <c r="C2940">
        <f>IF($J2940="","",IF($J2940&lt;=1500,INDEX('Daily Sale entry '!$Z$1:$Z$1501,$J2940+1)&amp;"","Cheque deposit 支票存入 (buyer 买家)"))</f>
        <v/>
      </c>
      <c r="D2940">
        <f>IF($J2940="","",IF($J2940&lt;=1500,INDEX('Daily Sale entry '!$AA$1:$AA$1501,$J2940+1)&amp;"",INDEX('Daily Sale entry '!$P$1:$P$1501,$J2940-1499)&amp;""))</f>
        <v/>
      </c>
      <c r="E2940">
        <f>IF($J2940="","",IF($J2940&lt;=1500,IF(N(INDEX('Daily Sale entry '!$AB$1:$AB$1501,$J2940+1))=0,"",INDEX('Daily Sale entry '!$AB$1:$AB$1501,$J2940+1)),1))</f>
        <v/>
      </c>
      <c r="F2940" s="6">
        <f>IF($J2940="","",IF($J2940&lt;=1500,N(INDEX('Daily Sale entry '!$AC$1:$AC$1501,$J2940+1))-IF(AND('Opening Balance'!$B$15=1,INDEX('Daily Sale entry '!$Z$1:$Z$1501,$J2940+1)="Online collection 网上收款",INDEX('Daily Sale entry '!$AA$1:$AA$1501,$J2940+1)&lt;&gt;""),N(INDEX('Daily Sale entry '!$AC$1:$AC$1501,$J2940+1))-TRUNC(N(INDEX('Daily Sale entry '!$AC$1:$AC$1501,$J2940+1))),0),N(INDEX('Daily Sale entry '!$S$1:$S$1501,$J2940-1499))-'Opening Balance'!$B$15*(N(INDEX('Daily Sale entry '!$S$1:$S$1501,$J2940-1499))-TRUNC(N(INDEX('Daily Sale entry '!$S$1:$S$1501,$J2940-1499))))))</f>
        <v/>
      </c>
      <c r="G2940" s="6">
        <f>IF($J2940="","",IF($J2940&lt;=1500,N(INDEX('Daily Sale entry '!$AD$1:$AD$1501,$J2940+1)),0))</f>
        <v/>
      </c>
      <c r="H2940" s="6">
        <f>IF($J2940="","",ROUND('Opening Balance'!$B$4+SUM($F$2:F2940)-SUM($G$2:G2940),2))</f>
        <v/>
      </c>
      <c r="J2940" s="21">
        <f>IFERROR(MATCH(ROW()-1,$L$2:$L$3001,0),"")</f>
        <v/>
      </c>
      <c r="K2940" s="34">
        <f>IF(AND('Daily Sale entry '!Q1440="Collection 收款",'Daily Sale entry '!R1440="Cheque 支票",'Daily Sale entry '!V1440&lt;&gt;""),'Daily Sale entry '!V1440+ROW()/10000000,"")</f>
        <v/>
      </c>
      <c r="L2940" s="21">
        <f>IF(K2940="","",COUNTIF($K$2:$K$3001,"&lt;"&amp;K2940)+1)</f>
        <v/>
      </c>
    </row>
    <row r="2941">
      <c r="A2941" s="5">
        <f>IF($J2941="","",IF($J2941&lt;=1500,INDEX('Daily Sale entry '!$X$1:$X$1501,$J2941+1),INDEX('Daily Sale entry '!$V$1:$V$1501,$J2941-1499)))</f>
        <v/>
      </c>
      <c r="B2941">
        <f>IF($J2941="","",IF($J2941&lt;=1500,INDEX('Daily Sale entry '!$Y$1:$Y$1501,$J2941+1)&amp;"","Buyer cheque banked 买家支票存入"&amp;IF(INDEX('Daily Sale entry '!$U$1:$U$1501,$J2941-1499)="","", " - "&amp;INDEX('Daily Sale entry '!$U$1:$U$1501,$J2941-1499))))</f>
        <v/>
      </c>
      <c r="C2941">
        <f>IF($J2941="","",IF($J2941&lt;=1500,INDEX('Daily Sale entry '!$Z$1:$Z$1501,$J2941+1)&amp;"","Cheque deposit 支票存入 (buyer 买家)"))</f>
        <v/>
      </c>
      <c r="D2941">
        <f>IF($J2941="","",IF($J2941&lt;=1500,INDEX('Daily Sale entry '!$AA$1:$AA$1501,$J2941+1)&amp;"",INDEX('Daily Sale entry '!$P$1:$P$1501,$J2941-1499)&amp;""))</f>
        <v/>
      </c>
      <c r="E2941">
        <f>IF($J2941="","",IF($J2941&lt;=1500,IF(N(INDEX('Daily Sale entry '!$AB$1:$AB$1501,$J2941+1))=0,"",INDEX('Daily Sale entry '!$AB$1:$AB$1501,$J2941+1)),1))</f>
        <v/>
      </c>
      <c r="F2941" s="6">
        <f>IF($J2941="","",IF($J2941&lt;=1500,N(INDEX('Daily Sale entry '!$AC$1:$AC$1501,$J2941+1))-IF(AND('Opening Balance'!$B$15=1,INDEX('Daily Sale entry '!$Z$1:$Z$1501,$J2941+1)="Online collection 网上收款",INDEX('Daily Sale entry '!$AA$1:$AA$1501,$J2941+1)&lt;&gt;""),N(INDEX('Daily Sale entry '!$AC$1:$AC$1501,$J2941+1))-TRUNC(N(INDEX('Daily Sale entry '!$AC$1:$AC$1501,$J2941+1))),0),N(INDEX('Daily Sale entry '!$S$1:$S$1501,$J2941-1499))-'Opening Balance'!$B$15*(N(INDEX('Daily Sale entry '!$S$1:$S$1501,$J2941-1499))-TRUNC(N(INDEX('Daily Sale entry '!$S$1:$S$1501,$J2941-1499))))))</f>
        <v/>
      </c>
      <c r="G2941" s="6">
        <f>IF($J2941="","",IF($J2941&lt;=1500,N(INDEX('Daily Sale entry '!$AD$1:$AD$1501,$J2941+1)),0))</f>
        <v/>
      </c>
      <c r="H2941" s="6">
        <f>IF($J2941="","",ROUND('Opening Balance'!$B$4+SUM($F$2:F2941)-SUM($G$2:G2941),2))</f>
        <v/>
      </c>
      <c r="J2941" s="21">
        <f>IFERROR(MATCH(ROW()-1,$L$2:$L$3001,0),"")</f>
        <v/>
      </c>
      <c r="K2941" s="34">
        <f>IF(AND('Daily Sale entry '!Q1441="Collection 收款",'Daily Sale entry '!R1441="Cheque 支票",'Daily Sale entry '!V1441&lt;&gt;""),'Daily Sale entry '!V1441+ROW()/10000000,"")</f>
        <v/>
      </c>
      <c r="L2941" s="21">
        <f>IF(K2941="","",COUNTIF($K$2:$K$3001,"&lt;"&amp;K2941)+1)</f>
        <v/>
      </c>
    </row>
    <row r="2942">
      <c r="A2942" s="5">
        <f>IF($J2942="","",IF($J2942&lt;=1500,INDEX('Daily Sale entry '!$X$1:$X$1501,$J2942+1),INDEX('Daily Sale entry '!$V$1:$V$1501,$J2942-1499)))</f>
        <v/>
      </c>
      <c r="B2942">
        <f>IF($J2942="","",IF($J2942&lt;=1500,INDEX('Daily Sale entry '!$Y$1:$Y$1501,$J2942+1)&amp;"","Buyer cheque banked 买家支票存入"&amp;IF(INDEX('Daily Sale entry '!$U$1:$U$1501,$J2942-1499)="","", " - "&amp;INDEX('Daily Sale entry '!$U$1:$U$1501,$J2942-1499))))</f>
        <v/>
      </c>
      <c r="C2942">
        <f>IF($J2942="","",IF($J2942&lt;=1500,INDEX('Daily Sale entry '!$Z$1:$Z$1501,$J2942+1)&amp;"","Cheque deposit 支票存入 (buyer 买家)"))</f>
        <v/>
      </c>
      <c r="D2942">
        <f>IF($J2942="","",IF($J2942&lt;=1500,INDEX('Daily Sale entry '!$AA$1:$AA$1501,$J2942+1)&amp;"",INDEX('Daily Sale entry '!$P$1:$P$1501,$J2942-1499)&amp;""))</f>
        <v/>
      </c>
      <c r="E2942">
        <f>IF($J2942="","",IF($J2942&lt;=1500,IF(N(INDEX('Daily Sale entry '!$AB$1:$AB$1501,$J2942+1))=0,"",INDEX('Daily Sale entry '!$AB$1:$AB$1501,$J2942+1)),1))</f>
        <v/>
      </c>
      <c r="F2942" s="6">
        <f>IF($J2942="","",IF($J2942&lt;=1500,N(INDEX('Daily Sale entry '!$AC$1:$AC$1501,$J2942+1))-IF(AND('Opening Balance'!$B$15=1,INDEX('Daily Sale entry '!$Z$1:$Z$1501,$J2942+1)="Online collection 网上收款",INDEX('Daily Sale entry '!$AA$1:$AA$1501,$J2942+1)&lt;&gt;""),N(INDEX('Daily Sale entry '!$AC$1:$AC$1501,$J2942+1))-TRUNC(N(INDEX('Daily Sale entry '!$AC$1:$AC$1501,$J2942+1))),0),N(INDEX('Daily Sale entry '!$S$1:$S$1501,$J2942-1499))-'Opening Balance'!$B$15*(N(INDEX('Daily Sale entry '!$S$1:$S$1501,$J2942-1499))-TRUNC(N(INDEX('Daily Sale entry '!$S$1:$S$1501,$J2942-1499))))))</f>
        <v/>
      </c>
      <c r="G2942" s="6">
        <f>IF($J2942="","",IF($J2942&lt;=1500,N(INDEX('Daily Sale entry '!$AD$1:$AD$1501,$J2942+1)),0))</f>
        <v/>
      </c>
      <c r="H2942" s="6">
        <f>IF($J2942="","",ROUND('Opening Balance'!$B$4+SUM($F$2:F2942)-SUM($G$2:G2942),2))</f>
        <v/>
      </c>
      <c r="J2942" s="21">
        <f>IFERROR(MATCH(ROW()-1,$L$2:$L$3001,0),"")</f>
        <v/>
      </c>
      <c r="K2942" s="34">
        <f>IF(AND('Daily Sale entry '!Q1442="Collection 收款",'Daily Sale entry '!R1442="Cheque 支票",'Daily Sale entry '!V1442&lt;&gt;""),'Daily Sale entry '!V1442+ROW()/10000000,"")</f>
        <v/>
      </c>
      <c r="L2942" s="21">
        <f>IF(K2942="","",COUNTIF($K$2:$K$3001,"&lt;"&amp;K2942)+1)</f>
        <v/>
      </c>
    </row>
    <row r="2943">
      <c r="A2943" s="5">
        <f>IF($J2943="","",IF($J2943&lt;=1500,INDEX('Daily Sale entry '!$X$1:$X$1501,$J2943+1),INDEX('Daily Sale entry '!$V$1:$V$1501,$J2943-1499)))</f>
        <v/>
      </c>
      <c r="B2943">
        <f>IF($J2943="","",IF($J2943&lt;=1500,INDEX('Daily Sale entry '!$Y$1:$Y$1501,$J2943+1)&amp;"","Buyer cheque banked 买家支票存入"&amp;IF(INDEX('Daily Sale entry '!$U$1:$U$1501,$J2943-1499)="","", " - "&amp;INDEX('Daily Sale entry '!$U$1:$U$1501,$J2943-1499))))</f>
        <v/>
      </c>
      <c r="C2943">
        <f>IF($J2943="","",IF($J2943&lt;=1500,INDEX('Daily Sale entry '!$Z$1:$Z$1501,$J2943+1)&amp;"","Cheque deposit 支票存入 (buyer 买家)"))</f>
        <v/>
      </c>
      <c r="D2943">
        <f>IF($J2943="","",IF($J2943&lt;=1500,INDEX('Daily Sale entry '!$AA$1:$AA$1501,$J2943+1)&amp;"",INDEX('Daily Sale entry '!$P$1:$P$1501,$J2943-1499)&amp;""))</f>
        <v/>
      </c>
      <c r="E2943">
        <f>IF($J2943="","",IF($J2943&lt;=1500,IF(N(INDEX('Daily Sale entry '!$AB$1:$AB$1501,$J2943+1))=0,"",INDEX('Daily Sale entry '!$AB$1:$AB$1501,$J2943+1)),1))</f>
        <v/>
      </c>
      <c r="F2943" s="6">
        <f>IF($J2943="","",IF($J2943&lt;=1500,N(INDEX('Daily Sale entry '!$AC$1:$AC$1501,$J2943+1))-IF(AND('Opening Balance'!$B$15=1,INDEX('Daily Sale entry '!$Z$1:$Z$1501,$J2943+1)="Online collection 网上收款",INDEX('Daily Sale entry '!$AA$1:$AA$1501,$J2943+1)&lt;&gt;""),N(INDEX('Daily Sale entry '!$AC$1:$AC$1501,$J2943+1))-TRUNC(N(INDEX('Daily Sale entry '!$AC$1:$AC$1501,$J2943+1))),0),N(INDEX('Daily Sale entry '!$S$1:$S$1501,$J2943-1499))-'Opening Balance'!$B$15*(N(INDEX('Daily Sale entry '!$S$1:$S$1501,$J2943-1499))-TRUNC(N(INDEX('Daily Sale entry '!$S$1:$S$1501,$J2943-1499))))))</f>
        <v/>
      </c>
      <c r="G2943" s="6">
        <f>IF($J2943="","",IF($J2943&lt;=1500,N(INDEX('Daily Sale entry '!$AD$1:$AD$1501,$J2943+1)),0))</f>
        <v/>
      </c>
      <c r="H2943" s="6">
        <f>IF($J2943="","",ROUND('Opening Balance'!$B$4+SUM($F$2:F2943)-SUM($G$2:G2943),2))</f>
        <v/>
      </c>
      <c r="J2943" s="21">
        <f>IFERROR(MATCH(ROW()-1,$L$2:$L$3001,0),"")</f>
        <v/>
      </c>
      <c r="K2943" s="34">
        <f>IF(AND('Daily Sale entry '!Q1443="Collection 收款",'Daily Sale entry '!R1443="Cheque 支票",'Daily Sale entry '!V1443&lt;&gt;""),'Daily Sale entry '!V1443+ROW()/10000000,"")</f>
        <v/>
      </c>
      <c r="L2943" s="21">
        <f>IF(K2943="","",COUNTIF($K$2:$K$3001,"&lt;"&amp;K2943)+1)</f>
        <v/>
      </c>
    </row>
    <row r="2944">
      <c r="A2944" s="5">
        <f>IF($J2944="","",IF($J2944&lt;=1500,INDEX('Daily Sale entry '!$X$1:$X$1501,$J2944+1),INDEX('Daily Sale entry '!$V$1:$V$1501,$J2944-1499)))</f>
        <v/>
      </c>
      <c r="B2944">
        <f>IF($J2944="","",IF($J2944&lt;=1500,INDEX('Daily Sale entry '!$Y$1:$Y$1501,$J2944+1)&amp;"","Buyer cheque banked 买家支票存入"&amp;IF(INDEX('Daily Sale entry '!$U$1:$U$1501,$J2944-1499)="","", " - "&amp;INDEX('Daily Sale entry '!$U$1:$U$1501,$J2944-1499))))</f>
        <v/>
      </c>
      <c r="C2944">
        <f>IF($J2944="","",IF($J2944&lt;=1500,INDEX('Daily Sale entry '!$Z$1:$Z$1501,$J2944+1)&amp;"","Cheque deposit 支票存入 (buyer 买家)"))</f>
        <v/>
      </c>
      <c r="D2944">
        <f>IF($J2944="","",IF($J2944&lt;=1500,INDEX('Daily Sale entry '!$AA$1:$AA$1501,$J2944+1)&amp;"",INDEX('Daily Sale entry '!$P$1:$P$1501,$J2944-1499)&amp;""))</f>
        <v/>
      </c>
      <c r="E2944">
        <f>IF($J2944="","",IF($J2944&lt;=1500,IF(N(INDEX('Daily Sale entry '!$AB$1:$AB$1501,$J2944+1))=0,"",INDEX('Daily Sale entry '!$AB$1:$AB$1501,$J2944+1)),1))</f>
        <v/>
      </c>
      <c r="F2944" s="6">
        <f>IF($J2944="","",IF($J2944&lt;=1500,N(INDEX('Daily Sale entry '!$AC$1:$AC$1501,$J2944+1))-IF(AND('Opening Balance'!$B$15=1,INDEX('Daily Sale entry '!$Z$1:$Z$1501,$J2944+1)="Online collection 网上收款",INDEX('Daily Sale entry '!$AA$1:$AA$1501,$J2944+1)&lt;&gt;""),N(INDEX('Daily Sale entry '!$AC$1:$AC$1501,$J2944+1))-TRUNC(N(INDEX('Daily Sale entry '!$AC$1:$AC$1501,$J2944+1))),0),N(INDEX('Daily Sale entry '!$S$1:$S$1501,$J2944-1499))-'Opening Balance'!$B$15*(N(INDEX('Daily Sale entry '!$S$1:$S$1501,$J2944-1499))-TRUNC(N(INDEX('Daily Sale entry '!$S$1:$S$1501,$J2944-1499))))))</f>
        <v/>
      </c>
      <c r="G2944" s="6">
        <f>IF($J2944="","",IF($J2944&lt;=1500,N(INDEX('Daily Sale entry '!$AD$1:$AD$1501,$J2944+1)),0))</f>
        <v/>
      </c>
      <c r="H2944" s="6">
        <f>IF($J2944="","",ROUND('Opening Balance'!$B$4+SUM($F$2:F2944)-SUM($G$2:G2944),2))</f>
        <v/>
      </c>
      <c r="J2944" s="21">
        <f>IFERROR(MATCH(ROW()-1,$L$2:$L$3001,0),"")</f>
        <v/>
      </c>
      <c r="K2944" s="34">
        <f>IF(AND('Daily Sale entry '!Q1444="Collection 收款",'Daily Sale entry '!R1444="Cheque 支票",'Daily Sale entry '!V1444&lt;&gt;""),'Daily Sale entry '!V1444+ROW()/10000000,"")</f>
        <v/>
      </c>
      <c r="L2944" s="21">
        <f>IF(K2944="","",COUNTIF($K$2:$K$3001,"&lt;"&amp;K2944)+1)</f>
        <v/>
      </c>
    </row>
    <row r="2945">
      <c r="A2945" s="5">
        <f>IF($J2945="","",IF($J2945&lt;=1500,INDEX('Daily Sale entry '!$X$1:$X$1501,$J2945+1),INDEX('Daily Sale entry '!$V$1:$V$1501,$J2945-1499)))</f>
        <v/>
      </c>
      <c r="B2945">
        <f>IF($J2945="","",IF($J2945&lt;=1500,INDEX('Daily Sale entry '!$Y$1:$Y$1501,$J2945+1)&amp;"","Buyer cheque banked 买家支票存入"&amp;IF(INDEX('Daily Sale entry '!$U$1:$U$1501,$J2945-1499)="","", " - "&amp;INDEX('Daily Sale entry '!$U$1:$U$1501,$J2945-1499))))</f>
        <v/>
      </c>
      <c r="C2945">
        <f>IF($J2945="","",IF($J2945&lt;=1500,INDEX('Daily Sale entry '!$Z$1:$Z$1501,$J2945+1)&amp;"","Cheque deposit 支票存入 (buyer 买家)"))</f>
        <v/>
      </c>
      <c r="D2945">
        <f>IF($J2945="","",IF($J2945&lt;=1500,INDEX('Daily Sale entry '!$AA$1:$AA$1501,$J2945+1)&amp;"",INDEX('Daily Sale entry '!$P$1:$P$1501,$J2945-1499)&amp;""))</f>
        <v/>
      </c>
      <c r="E2945">
        <f>IF($J2945="","",IF($J2945&lt;=1500,IF(N(INDEX('Daily Sale entry '!$AB$1:$AB$1501,$J2945+1))=0,"",INDEX('Daily Sale entry '!$AB$1:$AB$1501,$J2945+1)),1))</f>
        <v/>
      </c>
      <c r="F2945" s="6">
        <f>IF($J2945="","",IF($J2945&lt;=1500,N(INDEX('Daily Sale entry '!$AC$1:$AC$1501,$J2945+1))-IF(AND('Opening Balance'!$B$15=1,INDEX('Daily Sale entry '!$Z$1:$Z$1501,$J2945+1)="Online collection 网上收款",INDEX('Daily Sale entry '!$AA$1:$AA$1501,$J2945+1)&lt;&gt;""),N(INDEX('Daily Sale entry '!$AC$1:$AC$1501,$J2945+1))-TRUNC(N(INDEX('Daily Sale entry '!$AC$1:$AC$1501,$J2945+1))),0),N(INDEX('Daily Sale entry '!$S$1:$S$1501,$J2945-1499))-'Opening Balance'!$B$15*(N(INDEX('Daily Sale entry '!$S$1:$S$1501,$J2945-1499))-TRUNC(N(INDEX('Daily Sale entry '!$S$1:$S$1501,$J2945-1499))))))</f>
        <v/>
      </c>
      <c r="G2945" s="6">
        <f>IF($J2945="","",IF($J2945&lt;=1500,N(INDEX('Daily Sale entry '!$AD$1:$AD$1501,$J2945+1)),0))</f>
        <v/>
      </c>
      <c r="H2945" s="6">
        <f>IF($J2945="","",ROUND('Opening Balance'!$B$4+SUM($F$2:F2945)-SUM($G$2:G2945),2))</f>
        <v/>
      </c>
      <c r="J2945" s="21">
        <f>IFERROR(MATCH(ROW()-1,$L$2:$L$3001,0),"")</f>
        <v/>
      </c>
      <c r="K2945" s="34">
        <f>IF(AND('Daily Sale entry '!Q1445="Collection 收款",'Daily Sale entry '!R1445="Cheque 支票",'Daily Sale entry '!V1445&lt;&gt;""),'Daily Sale entry '!V1445+ROW()/10000000,"")</f>
        <v/>
      </c>
      <c r="L2945" s="21">
        <f>IF(K2945="","",COUNTIF($K$2:$K$3001,"&lt;"&amp;K2945)+1)</f>
        <v/>
      </c>
    </row>
    <row r="2946">
      <c r="A2946" s="5">
        <f>IF($J2946="","",IF($J2946&lt;=1500,INDEX('Daily Sale entry '!$X$1:$X$1501,$J2946+1),INDEX('Daily Sale entry '!$V$1:$V$1501,$J2946-1499)))</f>
        <v/>
      </c>
      <c r="B2946">
        <f>IF($J2946="","",IF($J2946&lt;=1500,INDEX('Daily Sale entry '!$Y$1:$Y$1501,$J2946+1)&amp;"","Buyer cheque banked 买家支票存入"&amp;IF(INDEX('Daily Sale entry '!$U$1:$U$1501,$J2946-1499)="","", " - "&amp;INDEX('Daily Sale entry '!$U$1:$U$1501,$J2946-1499))))</f>
        <v/>
      </c>
      <c r="C2946">
        <f>IF($J2946="","",IF($J2946&lt;=1500,INDEX('Daily Sale entry '!$Z$1:$Z$1501,$J2946+1)&amp;"","Cheque deposit 支票存入 (buyer 买家)"))</f>
        <v/>
      </c>
      <c r="D2946">
        <f>IF($J2946="","",IF($J2946&lt;=1500,INDEX('Daily Sale entry '!$AA$1:$AA$1501,$J2946+1)&amp;"",INDEX('Daily Sale entry '!$P$1:$P$1501,$J2946-1499)&amp;""))</f>
        <v/>
      </c>
      <c r="E2946">
        <f>IF($J2946="","",IF($J2946&lt;=1500,IF(N(INDEX('Daily Sale entry '!$AB$1:$AB$1501,$J2946+1))=0,"",INDEX('Daily Sale entry '!$AB$1:$AB$1501,$J2946+1)),1))</f>
        <v/>
      </c>
      <c r="F2946" s="6">
        <f>IF($J2946="","",IF($J2946&lt;=1500,N(INDEX('Daily Sale entry '!$AC$1:$AC$1501,$J2946+1))-IF(AND('Opening Balance'!$B$15=1,INDEX('Daily Sale entry '!$Z$1:$Z$1501,$J2946+1)="Online collection 网上收款",INDEX('Daily Sale entry '!$AA$1:$AA$1501,$J2946+1)&lt;&gt;""),N(INDEX('Daily Sale entry '!$AC$1:$AC$1501,$J2946+1))-TRUNC(N(INDEX('Daily Sale entry '!$AC$1:$AC$1501,$J2946+1))),0),N(INDEX('Daily Sale entry '!$S$1:$S$1501,$J2946-1499))-'Opening Balance'!$B$15*(N(INDEX('Daily Sale entry '!$S$1:$S$1501,$J2946-1499))-TRUNC(N(INDEX('Daily Sale entry '!$S$1:$S$1501,$J2946-1499))))))</f>
        <v/>
      </c>
      <c r="G2946" s="6">
        <f>IF($J2946="","",IF($J2946&lt;=1500,N(INDEX('Daily Sale entry '!$AD$1:$AD$1501,$J2946+1)),0))</f>
        <v/>
      </c>
      <c r="H2946" s="6">
        <f>IF($J2946="","",ROUND('Opening Balance'!$B$4+SUM($F$2:F2946)-SUM($G$2:G2946),2))</f>
        <v/>
      </c>
      <c r="J2946" s="21">
        <f>IFERROR(MATCH(ROW()-1,$L$2:$L$3001,0),"")</f>
        <v/>
      </c>
      <c r="K2946" s="34">
        <f>IF(AND('Daily Sale entry '!Q1446="Collection 收款",'Daily Sale entry '!R1446="Cheque 支票",'Daily Sale entry '!V1446&lt;&gt;""),'Daily Sale entry '!V1446+ROW()/10000000,"")</f>
        <v/>
      </c>
      <c r="L2946" s="21">
        <f>IF(K2946="","",COUNTIF($K$2:$K$3001,"&lt;"&amp;K2946)+1)</f>
        <v/>
      </c>
    </row>
    <row r="2947">
      <c r="A2947" s="5">
        <f>IF($J2947="","",IF($J2947&lt;=1500,INDEX('Daily Sale entry '!$X$1:$X$1501,$J2947+1),INDEX('Daily Sale entry '!$V$1:$V$1501,$J2947-1499)))</f>
        <v/>
      </c>
      <c r="B2947">
        <f>IF($J2947="","",IF($J2947&lt;=1500,INDEX('Daily Sale entry '!$Y$1:$Y$1501,$J2947+1)&amp;"","Buyer cheque banked 买家支票存入"&amp;IF(INDEX('Daily Sale entry '!$U$1:$U$1501,$J2947-1499)="","", " - "&amp;INDEX('Daily Sale entry '!$U$1:$U$1501,$J2947-1499))))</f>
        <v/>
      </c>
      <c r="C2947">
        <f>IF($J2947="","",IF($J2947&lt;=1500,INDEX('Daily Sale entry '!$Z$1:$Z$1501,$J2947+1)&amp;"","Cheque deposit 支票存入 (buyer 买家)"))</f>
        <v/>
      </c>
      <c r="D2947">
        <f>IF($J2947="","",IF($J2947&lt;=1500,INDEX('Daily Sale entry '!$AA$1:$AA$1501,$J2947+1)&amp;"",INDEX('Daily Sale entry '!$P$1:$P$1501,$J2947-1499)&amp;""))</f>
        <v/>
      </c>
      <c r="E2947">
        <f>IF($J2947="","",IF($J2947&lt;=1500,IF(N(INDEX('Daily Sale entry '!$AB$1:$AB$1501,$J2947+1))=0,"",INDEX('Daily Sale entry '!$AB$1:$AB$1501,$J2947+1)),1))</f>
        <v/>
      </c>
      <c r="F2947" s="6">
        <f>IF($J2947="","",IF($J2947&lt;=1500,N(INDEX('Daily Sale entry '!$AC$1:$AC$1501,$J2947+1))-IF(AND('Opening Balance'!$B$15=1,INDEX('Daily Sale entry '!$Z$1:$Z$1501,$J2947+1)="Online collection 网上收款",INDEX('Daily Sale entry '!$AA$1:$AA$1501,$J2947+1)&lt;&gt;""),N(INDEX('Daily Sale entry '!$AC$1:$AC$1501,$J2947+1))-TRUNC(N(INDEX('Daily Sale entry '!$AC$1:$AC$1501,$J2947+1))),0),N(INDEX('Daily Sale entry '!$S$1:$S$1501,$J2947-1499))-'Opening Balance'!$B$15*(N(INDEX('Daily Sale entry '!$S$1:$S$1501,$J2947-1499))-TRUNC(N(INDEX('Daily Sale entry '!$S$1:$S$1501,$J2947-1499))))))</f>
        <v/>
      </c>
      <c r="G2947" s="6">
        <f>IF($J2947="","",IF($J2947&lt;=1500,N(INDEX('Daily Sale entry '!$AD$1:$AD$1501,$J2947+1)),0))</f>
        <v/>
      </c>
      <c r="H2947" s="6">
        <f>IF($J2947="","",ROUND('Opening Balance'!$B$4+SUM($F$2:F2947)-SUM($G$2:G2947),2))</f>
        <v/>
      </c>
      <c r="J2947" s="21">
        <f>IFERROR(MATCH(ROW()-1,$L$2:$L$3001,0),"")</f>
        <v/>
      </c>
      <c r="K2947" s="34">
        <f>IF(AND('Daily Sale entry '!Q1447="Collection 收款",'Daily Sale entry '!R1447="Cheque 支票",'Daily Sale entry '!V1447&lt;&gt;""),'Daily Sale entry '!V1447+ROW()/10000000,"")</f>
        <v/>
      </c>
      <c r="L2947" s="21">
        <f>IF(K2947="","",COUNTIF($K$2:$K$3001,"&lt;"&amp;K2947)+1)</f>
        <v/>
      </c>
    </row>
    <row r="2948">
      <c r="A2948" s="5">
        <f>IF($J2948="","",IF($J2948&lt;=1500,INDEX('Daily Sale entry '!$X$1:$X$1501,$J2948+1),INDEX('Daily Sale entry '!$V$1:$V$1501,$J2948-1499)))</f>
        <v/>
      </c>
      <c r="B2948">
        <f>IF($J2948="","",IF($J2948&lt;=1500,INDEX('Daily Sale entry '!$Y$1:$Y$1501,$J2948+1)&amp;"","Buyer cheque banked 买家支票存入"&amp;IF(INDEX('Daily Sale entry '!$U$1:$U$1501,$J2948-1499)="","", " - "&amp;INDEX('Daily Sale entry '!$U$1:$U$1501,$J2948-1499))))</f>
        <v/>
      </c>
      <c r="C2948">
        <f>IF($J2948="","",IF($J2948&lt;=1500,INDEX('Daily Sale entry '!$Z$1:$Z$1501,$J2948+1)&amp;"","Cheque deposit 支票存入 (buyer 买家)"))</f>
        <v/>
      </c>
      <c r="D2948">
        <f>IF($J2948="","",IF($J2948&lt;=1500,INDEX('Daily Sale entry '!$AA$1:$AA$1501,$J2948+1)&amp;"",INDEX('Daily Sale entry '!$P$1:$P$1501,$J2948-1499)&amp;""))</f>
        <v/>
      </c>
      <c r="E2948">
        <f>IF($J2948="","",IF($J2948&lt;=1500,IF(N(INDEX('Daily Sale entry '!$AB$1:$AB$1501,$J2948+1))=0,"",INDEX('Daily Sale entry '!$AB$1:$AB$1501,$J2948+1)),1))</f>
        <v/>
      </c>
      <c r="F2948" s="6">
        <f>IF($J2948="","",IF($J2948&lt;=1500,N(INDEX('Daily Sale entry '!$AC$1:$AC$1501,$J2948+1))-IF(AND('Opening Balance'!$B$15=1,INDEX('Daily Sale entry '!$Z$1:$Z$1501,$J2948+1)="Online collection 网上收款",INDEX('Daily Sale entry '!$AA$1:$AA$1501,$J2948+1)&lt;&gt;""),N(INDEX('Daily Sale entry '!$AC$1:$AC$1501,$J2948+1))-TRUNC(N(INDEX('Daily Sale entry '!$AC$1:$AC$1501,$J2948+1))),0),N(INDEX('Daily Sale entry '!$S$1:$S$1501,$J2948-1499))-'Opening Balance'!$B$15*(N(INDEX('Daily Sale entry '!$S$1:$S$1501,$J2948-1499))-TRUNC(N(INDEX('Daily Sale entry '!$S$1:$S$1501,$J2948-1499))))))</f>
        <v/>
      </c>
      <c r="G2948" s="6">
        <f>IF($J2948="","",IF($J2948&lt;=1500,N(INDEX('Daily Sale entry '!$AD$1:$AD$1501,$J2948+1)),0))</f>
        <v/>
      </c>
      <c r="H2948" s="6">
        <f>IF($J2948="","",ROUND('Opening Balance'!$B$4+SUM($F$2:F2948)-SUM($G$2:G2948),2))</f>
        <v/>
      </c>
      <c r="J2948" s="21">
        <f>IFERROR(MATCH(ROW()-1,$L$2:$L$3001,0),"")</f>
        <v/>
      </c>
      <c r="K2948" s="34">
        <f>IF(AND('Daily Sale entry '!Q1448="Collection 收款",'Daily Sale entry '!R1448="Cheque 支票",'Daily Sale entry '!V1448&lt;&gt;""),'Daily Sale entry '!V1448+ROW()/10000000,"")</f>
        <v/>
      </c>
      <c r="L2948" s="21">
        <f>IF(K2948="","",COUNTIF($K$2:$K$3001,"&lt;"&amp;K2948)+1)</f>
        <v/>
      </c>
    </row>
    <row r="2949">
      <c r="A2949" s="5">
        <f>IF($J2949="","",IF($J2949&lt;=1500,INDEX('Daily Sale entry '!$X$1:$X$1501,$J2949+1),INDEX('Daily Sale entry '!$V$1:$V$1501,$J2949-1499)))</f>
        <v/>
      </c>
      <c r="B2949">
        <f>IF($J2949="","",IF($J2949&lt;=1500,INDEX('Daily Sale entry '!$Y$1:$Y$1501,$J2949+1)&amp;"","Buyer cheque banked 买家支票存入"&amp;IF(INDEX('Daily Sale entry '!$U$1:$U$1501,$J2949-1499)="","", " - "&amp;INDEX('Daily Sale entry '!$U$1:$U$1501,$J2949-1499))))</f>
        <v/>
      </c>
      <c r="C2949">
        <f>IF($J2949="","",IF($J2949&lt;=1500,INDEX('Daily Sale entry '!$Z$1:$Z$1501,$J2949+1)&amp;"","Cheque deposit 支票存入 (buyer 买家)"))</f>
        <v/>
      </c>
      <c r="D2949">
        <f>IF($J2949="","",IF($J2949&lt;=1500,INDEX('Daily Sale entry '!$AA$1:$AA$1501,$J2949+1)&amp;"",INDEX('Daily Sale entry '!$P$1:$P$1501,$J2949-1499)&amp;""))</f>
        <v/>
      </c>
      <c r="E2949">
        <f>IF($J2949="","",IF($J2949&lt;=1500,IF(N(INDEX('Daily Sale entry '!$AB$1:$AB$1501,$J2949+1))=0,"",INDEX('Daily Sale entry '!$AB$1:$AB$1501,$J2949+1)),1))</f>
        <v/>
      </c>
      <c r="F2949" s="6">
        <f>IF($J2949="","",IF($J2949&lt;=1500,N(INDEX('Daily Sale entry '!$AC$1:$AC$1501,$J2949+1))-IF(AND('Opening Balance'!$B$15=1,INDEX('Daily Sale entry '!$Z$1:$Z$1501,$J2949+1)="Online collection 网上收款",INDEX('Daily Sale entry '!$AA$1:$AA$1501,$J2949+1)&lt;&gt;""),N(INDEX('Daily Sale entry '!$AC$1:$AC$1501,$J2949+1))-TRUNC(N(INDEX('Daily Sale entry '!$AC$1:$AC$1501,$J2949+1))),0),N(INDEX('Daily Sale entry '!$S$1:$S$1501,$J2949-1499))-'Opening Balance'!$B$15*(N(INDEX('Daily Sale entry '!$S$1:$S$1501,$J2949-1499))-TRUNC(N(INDEX('Daily Sale entry '!$S$1:$S$1501,$J2949-1499))))))</f>
        <v/>
      </c>
      <c r="G2949" s="6">
        <f>IF($J2949="","",IF($J2949&lt;=1500,N(INDEX('Daily Sale entry '!$AD$1:$AD$1501,$J2949+1)),0))</f>
        <v/>
      </c>
      <c r="H2949" s="6">
        <f>IF($J2949="","",ROUND('Opening Balance'!$B$4+SUM($F$2:F2949)-SUM($G$2:G2949),2))</f>
        <v/>
      </c>
      <c r="J2949" s="21">
        <f>IFERROR(MATCH(ROW()-1,$L$2:$L$3001,0),"")</f>
        <v/>
      </c>
      <c r="K2949" s="34">
        <f>IF(AND('Daily Sale entry '!Q1449="Collection 收款",'Daily Sale entry '!R1449="Cheque 支票",'Daily Sale entry '!V1449&lt;&gt;""),'Daily Sale entry '!V1449+ROW()/10000000,"")</f>
        <v/>
      </c>
      <c r="L2949" s="21">
        <f>IF(K2949="","",COUNTIF($K$2:$K$3001,"&lt;"&amp;K2949)+1)</f>
        <v/>
      </c>
    </row>
    <row r="2950">
      <c r="A2950" s="5">
        <f>IF($J2950="","",IF($J2950&lt;=1500,INDEX('Daily Sale entry '!$X$1:$X$1501,$J2950+1),INDEX('Daily Sale entry '!$V$1:$V$1501,$J2950-1499)))</f>
        <v/>
      </c>
      <c r="B2950">
        <f>IF($J2950="","",IF($J2950&lt;=1500,INDEX('Daily Sale entry '!$Y$1:$Y$1501,$J2950+1)&amp;"","Buyer cheque banked 买家支票存入"&amp;IF(INDEX('Daily Sale entry '!$U$1:$U$1501,$J2950-1499)="","", " - "&amp;INDEX('Daily Sale entry '!$U$1:$U$1501,$J2950-1499))))</f>
        <v/>
      </c>
      <c r="C2950">
        <f>IF($J2950="","",IF($J2950&lt;=1500,INDEX('Daily Sale entry '!$Z$1:$Z$1501,$J2950+1)&amp;"","Cheque deposit 支票存入 (buyer 买家)"))</f>
        <v/>
      </c>
      <c r="D2950">
        <f>IF($J2950="","",IF($J2950&lt;=1500,INDEX('Daily Sale entry '!$AA$1:$AA$1501,$J2950+1)&amp;"",INDEX('Daily Sale entry '!$P$1:$P$1501,$J2950-1499)&amp;""))</f>
        <v/>
      </c>
      <c r="E2950">
        <f>IF($J2950="","",IF($J2950&lt;=1500,IF(N(INDEX('Daily Sale entry '!$AB$1:$AB$1501,$J2950+1))=0,"",INDEX('Daily Sale entry '!$AB$1:$AB$1501,$J2950+1)),1))</f>
        <v/>
      </c>
      <c r="F2950" s="6">
        <f>IF($J2950="","",IF($J2950&lt;=1500,N(INDEX('Daily Sale entry '!$AC$1:$AC$1501,$J2950+1))-IF(AND('Opening Balance'!$B$15=1,INDEX('Daily Sale entry '!$Z$1:$Z$1501,$J2950+1)="Online collection 网上收款",INDEX('Daily Sale entry '!$AA$1:$AA$1501,$J2950+1)&lt;&gt;""),N(INDEX('Daily Sale entry '!$AC$1:$AC$1501,$J2950+1))-TRUNC(N(INDEX('Daily Sale entry '!$AC$1:$AC$1501,$J2950+1))),0),N(INDEX('Daily Sale entry '!$S$1:$S$1501,$J2950-1499))-'Opening Balance'!$B$15*(N(INDEX('Daily Sale entry '!$S$1:$S$1501,$J2950-1499))-TRUNC(N(INDEX('Daily Sale entry '!$S$1:$S$1501,$J2950-1499))))))</f>
        <v/>
      </c>
      <c r="G2950" s="6">
        <f>IF($J2950="","",IF($J2950&lt;=1500,N(INDEX('Daily Sale entry '!$AD$1:$AD$1501,$J2950+1)),0))</f>
        <v/>
      </c>
      <c r="H2950" s="6">
        <f>IF($J2950="","",ROUND('Opening Balance'!$B$4+SUM($F$2:F2950)-SUM($G$2:G2950),2))</f>
        <v/>
      </c>
      <c r="J2950" s="21">
        <f>IFERROR(MATCH(ROW()-1,$L$2:$L$3001,0),"")</f>
        <v/>
      </c>
      <c r="K2950" s="34">
        <f>IF(AND('Daily Sale entry '!Q1450="Collection 收款",'Daily Sale entry '!R1450="Cheque 支票",'Daily Sale entry '!V1450&lt;&gt;""),'Daily Sale entry '!V1450+ROW()/10000000,"")</f>
        <v/>
      </c>
      <c r="L2950" s="21">
        <f>IF(K2950="","",COUNTIF($K$2:$K$3001,"&lt;"&amp;K2950)+1)</f>
        <v/>
      </c>
    </row>
    <row r="2951">
      <c r="A2951" s="5">
        <f>IF($J2951="","",IF($J2951&lt;=1500,INDEX('Daily Sale entry '!$X$1:$X$1501,$J2951+1),INDEX('Daily Sale entry '!$V$1:$V$1501,$J2951-1499)))</f>
        <v/>
      </c>
      <c r="B2951">
        <f>IF($J2951="","",IF($J2951&lt;=1500,INDEX('Daily Sale entry '!$Y$1:$Y$1501,$J2951+1)&amp;"","Buyer cheque banked 买家支票存入"&amp;IF(INDEX('Daily Sale entry '!$U$1:$U$1501,$J2951-1499)="","", " - "&amp;INDEX('Daily Sale entry '!$U$1:$U$1501,$J2951-1499))))</f>
        <v/>
      </c>
      <c r="C2951">
        <f>IF($J2951="","",IF($J2951&lt;=1500,INDEX('Daily Sale entry '!$Z$1:$Z$1501,$J2951+1)&amp;"","Cheque deposit 支票存入 (buyer 买家)"))</f>
        <v/>
      </c>
      <c r="D2951">
        <f>IF($J2951="","",IF($J2951&lt;=1500,INDEX('Daily Sale entry '!$AA$1:$AA$1501,$J2951+1)&amp;"",INDEX('Daily Sale entry '!$P$1:$P$1501,$J2951-1499)&amp;""))</f>
        <v/>
      </c>
      <c r="E2951">
        <f>IF($J2951="","",IF($J2951&lt;=1500,IF(N(INDEX('Daily Sale entry '!$AB$1:$AB$1501,$J2951+1))=0,"",INDEX('Daily Sale entry '!$AB$1:$AB$1501,$J2951+1)),1))</f>
        <v/>
      </c>
      <c r="F2951" s="6">
        <f>IF($J2951="","",IF($J2951&lt;=1500,N(INDEX('Daily Sale entry '!$AC$1:$AC$1501,$J2951+1))-IF(AND('Opening Balance'!$B$15=1,INDEX('Daily Sale entry '!$Z$1:$Z$1501,$J2951+1)="Online collection 网上收款",INDEX('Daily Sale entry '!$AA$1:$AA$1501,$J2951+1)&lt;&gt;""),N(INDEX('Daily Sale entry '!$AC$1:$AC$1501,$J2951+1))-TRUNC(N(INDEX('Daily Sale entry '!$AC$1:$AC$1501,$J2951+1))),0),N(INDEX('Daily Sale entry '!$S$1:$S$1501,$J2951-1499))-'Opening Balance'!$B$15*(N(INDEX('Daily Sale entry '!$S$1:$S$1501,$J2951-1499))-TRUNC(N(INDEX('Daily Sale entry '!$S$1:$S$1501,$J2951-1499))))))</f>
        <v/>
      </c>
      <c r="G2951" s="6">
        <f>IF($J2951="","",IF($J2951&lt;=1500,N(INDEX('Daily Sale entry '!$AD$1:$AD$1501,$J2951+1)),0))</f>
        <v/>
      </c>
      <c r="H2951" s="6">
        <f>IF($J2951="","",ROUND('Opening Balance'!$B$4+SUM($F$2:F2951)-SUM($G$2:G2951),2))</f>
        <v/>
      </c>
      <c r="J2951" s="21">
        <f>IFERROR(MATCH(ROW()-1,$L$2:$L$3001,0),"")</f>
        <v/>
      </c>
      <c r="K2951" s="34">
        <f>IF(AND('Daily Sale entry '!Q1451="Collection 收款",'Daily Sale entry '!R1451="Cheque 支票",'Daily Sale entry '!V1451&lt;&gt;""),'Daily Sale entry '!V1451+ROW()/10000000,"")</f>
        <v/>
      </c>
      <c r="L2951" s="21">
        <f>IF(K2951="","",COUNTIF($K$2:$K$3001,"&lt;"&amp;K2951)+1)</f>
        <v/>
      </c>
    </row>
    <row r="2952">
      <c r="A2952" s="5">
        <f>IF($J2952="","",IF($J2952&lt;=1500,INDEX('Daily Sale entry '!$X$1:$X$1501,$J2952+1),INDEX('Daily Sale entry '!$V$1:$V$1501,$J2952-1499)))</f>
        <v/>
      </c>
      <c r="B2952">
        <f>IF($J2952="","",IF($J2952&lt;=1500,INDEX('Daily Sale entry '!$Y$1:$Y$1501,$J2952+1)&amp;"","Buyer cheque banked 买家支票存入"&amp;IF(INDEX('Daily Sale entry '!$U$1:$U$1501,$J2952-1499)="","", " - "&amp;INDEX('Daily Sale entry '!$U$1:$U$1501,$J2952-1499))))</f>
        <v/>
      </c>
      <c r="C2952">
        <f>IF($J2952="","",IF($J2952&lt;=1500,INDEX('Daily Sale entry '!$Z$1:$Z$1501,$J2952+1)&amp;"","Cheque deposit 支票存入 (buyer 买家)"))</f>
        <v/>
      </c>
      <c r="D2952">
        <f>IF($J2952="","",IF($J2952&lt;=1500,INDEX('Daily Sale entry '!$AA$1:$AA$1501,$J2952+1)&amp;"",INDEX('Daily Sale entry '!$P$1:$P$1501,$J2952-1499)&amp;""))</f>
        <v/>
      </c>
      <c r="E2952">
        <f>IF($J2952="","",IF($J2952&lt;=1500,IF(N(INDEX('Daily Sale entry '!$AB$1:$AB$1501,$J2952+1))=0,"",INDEX('Daily Sale entry '!$AB$1:$AB$1501,$J2952+1)),1))</f>
        <v/>
      </c>
      <c r="F2952" s="6">
        <f>IF($J2952="","",IF($J2952&lt;=1500,N(INDEX('Daily Sale entry '!$AC$1:$AC$1501,$J2952+1))-IF(AND('Opening Balance'!$B$15=1,INDEX('Daily Sale entry '!$Z$1:$Z$1501,$J2952+1)="Online collection 网上收款",INDEX('Daily Sale entry '!$AA$1:$AA$1501,$J2952+1)&lt;&gt;""),N(INDEX('Daily Sale entry '!$AC$1:$AC$1501,$J2952+1))-TRUNC(N(INDEX('Daily Sale entry '!$AC$1:$AC$1501,$J2952+1))),0),N(INDEX('Daily Sale entry '!$S$1:$S$1501,$J2952-1499))-'Opening Balance'!$B$15*(N(INDEX('Daily Sale entry '!$S$1:$S$1501,$J2952-1499))-TRUNC(N(INDEX('Daily Sale entry '!$S$1:$S$1501,$J2952-1499))))))</f>
        <v/>
      </c>
      <c r="G2952" s="6">
        <f>IF($J2952="","",IF($J2952&lt;=1500,N(INDEX('Daily Sale entry '!$AD$1:$AD$1501,$J2952+1)),0))</f>
        <v/>
      </c>
      <c r="H2952" s="6">
        <f>IF($J2952="","",ROUND('Opening Balance'!$B$4+SUM($F$2:F2952)-SUM($G$2:G2952),2))</f>
        <v/>
      </c>
      <c r="J2952" s="21">
        <f>IFERROR(MATCH(ROW()-1,$L$2:$L$3001,0),"")</f>
        <v/>
      </c>
      <c r="K2952" s="34">
        <f>IF(AND('Daily Sale entry '!Q1452="Collection 收款",'Daily Sale entry '!R1452="Cheque 支票",'Daily Sale entry '!V1452&lt;&gt;""),'Daily Sale entry '!V1452+ROW()/10000000,"")</f>
        <v/>
      </c>
      <c r="L2952" s="21">
        <f>IF(K2952="","",COUNTIF($K$2:$K$3001,"&lt;"&amp;K2952)+1)</f>
        <v/>
      </c>
    </row>
    <row r="2953">
      <c r="A2953" s="5">
        <f>IF($J2953="","",IF($J2953&lt;=1500,INDEX('Daily Sale entry '!$X$1:$X$1501,$J2953+1),INDEX('Daily Sale entry '!$V$1:$V$1501,$J2953-1499)))</f>
        <v/>
      </c>
      <c r="B2953">
        <f>IF($J2953="","",IF($J2953&lt;=1500,INDEX('Daily Sale entry '!$Y$1:$Y$1501,$J2953+1)&amp;"","Buyer cheque banked 买家支票存入"&amp;IF(INDEX('Daily Sale entry '!$U$1:$U$1501,$J2953-1499)="","", " - "&amp;INDEX('Daily Sale entry '!$U$1:$U$1501,$J2953-1499))))</f>
        <v/>
      </c>
      <c r="C2953">
        <f>IF($J2953="","",IF($J2953&lt;=1500,INDEX('Daily Sale entry '!$Z$1:$Z$1501,$J2953+1)&amp;"","Cheque deposit 支票存入 (buyer 买家)"))</f>
        <v/>
      </c>
      <c r="D2953">
        <f>IF($J2953="","",IF($J2953&lt;=1500,INDEX('Daily Sale entry '!$AA$1:$AA$1501,$J2953+1)&amp;"",INDEX('Daily Sale entry '!$P$1:$P$1501,$J2953-1499)&amp;""))</f>
        <v/>
      </c>
      <c r="E2953">
        <f>IF($J2953="","",IF($J2953&lt;=1500,IF(N(INDEX('Daily Sale entry '!$AB$1:$AB$1501,$J2953+1))=0,"",INDEX('Daily Sale entry '!$AB$1:$AB$1501,$J2953+1)),1))</f>
        <v/>
      </c>
      <c r="F2953" s="6">
        <f>IF($J2953="","",IF($J2953&lt;=1500,N(INDEX('Daily Sale entry '!$AC$1:$AC$1501,$J2953+1))-IF(AND('Opening Balance'!$B$15=1,INDEX('Daily Sale entry '!$Z$1:$Z$1501,$J2953+1)="Online collection 网上收款",INDEX('Daily Sale entry '!$AA$1:$AA$1501,$J2953+1)&lt;&gt;""),N(INDEX('Daily Sale entry '!$AC$1:$AC$1501,$J2953+1))-TRUNC(N(INDEX('Daily Sale entry '!$AC$1:$AC$1501,$J2953+1))),0),N(INDEX('Daily Sale entry '!$S$1:$S$1501,$J2953-1499))-'Opening Balance'!$B$15*(N(INDEX('Daily Sale entry '!$S$1:$S$1501,$J2953-1499))-TRUNC(N(INDEX('Daily Sale entry '!$S$1:$S$1501,$J2953-1499))))))</f>
        <v/>
      </c>
      <c r="G2953" s="6">
        <f>IF($J2953="","",IF($J2953&lt;=1500,N(INDEX('Daily Sale entry '!$AD$1:$AD$1501,$J2953+1)),0))</f>
        <v/>
      </c>
      <c r="H2953" s="6">
        <f>IF($J2953="","",ROUND('Opening Balance'!$B$4+SUM($F$2:F2953)-SUM($G$2:G2953),2))</f>
        <v/>
      </c>
      <c r="J2953" s="21">
        <f>IFERROR(MATCH(ROW()-1,$L$2:$L$3001,0),"")</f>
        <v/>
      </c>
      <c r="K2953" s="34">
        <f>IF(AND('Daily Sale entry '!Q1453="Collection 收款",'Daily Sale entry '!R1453="Cheque 支票",'Daily Sale entry '!V1453&lt;&gt;""),'Daily Sale entry '!V1453+ROW()/10000000,"")</f>
        <v/>
      </c>
      <c r="L2953" s="21">
        <f>IF(K2953="","",COUNTIF($K$2:$K$3001,"&lt;"&amp;K2953)+1)</f>
        <v/>
      </c>
    </row>
    <row r="2954">
      <c r="A2954" s="5">
        <f>IF($J2954="","",IF($J2954&lt;=1500,INDEX('Daily Sale entry '!$X$1:$X$1501,$J2954+1),INDEX('Daily Sale entry '!$V$1:$V$1501,$J2954-1499)))</f>
        <v/>
      </c>
      <c r="B2954">
        <f>IF($J2954="","",IF($J2954&lt;=1500,INDEX('Daily Sale entry '!$Y$1:$Y$1501,$J2954+1)&amp;"","Buyer cheque banked 买家支票存入"&amp;IF(INDEX('Daily Sale entry '!$U$1:$U$1501,$J2954-1499)="","", " - "&amp;INDEX('Daily Sale entry '!$U$1:$U$1501,$J2954-1499))))</f>
        <v/>
      </c>
      <c r="C2954">
        <f>IF($J2954="","",IF($J2954&lt;=1500,INDEX('Daily Sale entry '!$Z$1:$Z$1501,$J2954+1)&amp;"","Cheque deposit 支票存入 (buyer 买家)"))</f>
        <v/>
      </c>
      <c r="D2954">
        <f>IF($J2954="","",IF($J2954&lt;=1500,INDEX('Daily Sale entry '!$AA$1:$AA$1501,$J2954+1)&amp;"",INDEX('Daily Sale entry '!$P$1:$P$1501,$J2954-1499)&amp;""))</f>
        <v/>
      </c>
      <c r="E2954">
        <f>IF($J2954="","",IF($J2954&lt;=1500,IF(N(INDEX('Daily Sale entry '!$AB$1:$AB$1501,$J2954+1))=0,"",INDEX('Daily Sale entry '!$AB$1:$AB$1501,$J2954+1)),1))</f>
        <v/>
      </c>
      <c r="F2954" s="6">
        <f>IF($J2954="","",IF($J2954&lt;=1500,N(INDEX('Daily Sale entry '!$AC$1:$AC$1501,$J2954+1))-IF(AND('Opening Balance'!$B$15=1,INDEX('Daily Sale entry '!$Z$1:$Z$1501,$J2954+1)="Online collection 网上收款",INDEX('Daily Sale entry '!$AA$1:$AA$1501,$J2954+1)&lt;&gt;""),N(INDEX('Daily Sale entry '!$AC$1:$AC$1501,$J2954+1))-TRUNC(N(INDEX('Daily Sale entry '!$AC$1:$AC$1501,$J2954+1))),0),N(INDEX('Daily Sale entry '!$S$1:$S$1501,$J2954-1499))-'Opening Balance'!$B$15*(N(INDEX('Daily Sale entry '!$S$1:$S$1501,$J2954-1499))-TRUNC(N(INDEX('Daily Sale entry '!$S$1:$S$1501,$J2954-1499))))))</f>
        <v/>
      </c>
      <c r="G2954" s="6">
        <f>IF($J2954="","",IF($J2954&lt;=1500,N(INDEX('Daily Sale entry '!$AD$1:$AD$1501,$J2954+1)),0))</f>
        <v/>
      </c>
      <c r="H2954" s="6">
        <f>IF($J2954="","",ROUND('Opening Balance'!$B$4+SUM($F$2:F2954)-SUM($G$2:G2954),2))</f>
        <v/>
      </c>
      <c r="J2954" s="21">
        <f>IFERROR(MATCH(ROW()-1,$L$2:$L$3001,0),"")</f>
        <v/>
      </c>
      <c r="K2954" s="34">
        <f>IF(AND('Daily Sale entry '!Q1454="Collection 收款",'Daily Sale entry '!R1454="Cheque 支票",'Daily Sale entry '!V1454&lt;&gt;""),'Daily Sale entry '!V1454+ROW()/10000000,"")</f>
        <v/>
      </c>
      <c r="L2954" s="21">
        <f>IF(K2954="","",COUNTIF($K$2:$K$3001,"&lt;"&amp;K2954)+1)</f>
        <v/>
      </c>
    </row>
    <row r="2955">
      <c r="A2955" s="5">
        <f>IF($J2955="","",IF($J2955&lt;=1500,INDEX('Daily Sale entry '!$X$1:$X$1501,$J2955+1),INDEX('Daily Sale entry '!$V$1:$V$1501,$J2955-1499)))</f>
        <v/>
      </c>
      <c r="B2955">
        <f>IF($J2955="","",IF($J2955&lt;=1500,INDEX('Daily Sale entry '!$Y$1:$Y$1501,$J2955+1)&amp;"","Buyer cheque banked 买家支票存入"&amp;IF(INDEX('Daily Sale entry '!$U$1:$U$1501,$J2955-1499)="","", " - "&amp;INDEX('Daily Sale entry '!$U$1:$U$1501,$J2955-1499))))</f>
        <v/>
      </c>
      <c r="C2955">
        <f>IF($J2955="","",IF($J2955&lt;=1500,INDEX('Daily Sale entry '!$Z$1:$Z$1501,$J2955+1)&amp;"","Cheque deposit 支票存入 (buyer 买家)"))</f>
        <v/>
      </c>
      <c r="D2955">
        <f>IF($J2955="","",IF($J2955&lt;=1500,INDEX('Daily Sale entry '!$AA$1:$AA$1501,$J2955+1)&amp;"",INDEX('Daily Sale entry '!$P$1:$P$1501,$J2955-1499)&amp;""))</f>
        <v/>
      </c>
      <c r="E2955">
        <f>IF($J2955="","",IF($J2955&lt;=1500,IF(N(INDEX('Daily Sale entry '!$AB$1:$AB$1501,$J2955+1))=0,"",INDEX('Daily Sale entry '!$AB$1:$AB$1501,$J2955+1)),1))</f>
        <v/>
      </c>
      <c r="F2955" s="6">
        <f>IF($J2955="","",IF($J2955&lt;=1500,N(INDEX('Daily Sale entry '!$AC$1:$AC$1501,$J2955+1))-IF(AND('Opening Balance'!$B$15=1,INDEX('Daily Sale entry '!$Z$1:$Z$1501,$J2955+1)="Online collection 网上收款",INDEX('Daily Sale entry '!$AA$1:$AA$1501,$J2955+1)&lt;&gt;""),N(INDEX('Daily Sale entry '!$AC$1:$AC$1501,$J2955+1))-TRUNC(N(INDEX('Daily Sale entry '!$AC$1:$AC$1501,$J2955+1))),0),N(INDEX('Daily Sale entry '!$S$1:$S$1501,$J2955-1499))-'Opening Balance'!$B$15*(N(INDEX('Daily Sale entry '!$S$1:$S$1501,$J2955-1499))-TRUNC(N(INDEX('Daily Sale entry '!$S$1:$S$1501,$J2955-1499))))))</f>
        <v/>
      </c>
      <c r="G2955" s="6">
        <f>IF($J2955="","",IF($J2955&lt;=1500,N(INDEX('Daily Sale entry '!$AD$1:$AD$1501,$J2955+1)),0))</f>
        <v/>
      </c>
      <c r="H2955" s="6">
        <f>IF($J2955="","",ROUND('Opening Balance'!$B$4+SUM($F$2:F2955)-SUM($G$2:G2955),2))</f>
        <v/>
      </c>
      <c r="J2955" s="21">
        <f>IFERROR(MATCH(ROW()-1,$L$2:$L$3001,0),"")</f>
        <v/>
      </c>
      <c r="K2955" s="34">
        <f>IF(AND('Daily Sale entry '!Q1455="Collection 收款",'Daily Sale entry '!R1455="Cheque 支票",'Daily Sale entry '!V1455&lt;&gt;""),'Daily Sale entry '!V1455+ROW()/10000000,"")</f>
        <v/>
      </c>
      <c r="L2955" s="21">
        <f>IF(K2955="","",COUNTIF($K$2:$K$3001,"&lt;"&amp;K2955)+1)</f>
        <v/>
      </c>
    </row>
    <row r="2956">
      <c r="A2956" s="5">
        <f>IF($J2956="","",IF($J2956&lt;=1500,INDEX('Daily Sale entry '!$X$1:$X$1501,$J2956+1),INDEX('Daily Sale entry '!$V$1:$V$1501,$J2956-1499)))</f>
        <v/>
      </c>
      <c r="B2956">
        <f>IF($J2956="","",IF($J2956&lt;=1500,INDEX('Daily Sale entry '!$Y$1:$Y$1501,$J2956+1)&amp;"","Buyer cheque banked 买家支票存入"&amp;IF(INDEX('Daily Sale entry '!$U$1:$U$1501,$J2956-1499)="","", " - "&amp;INDEX('Daily Sale entry '!$U$1:$U$1501,$J2956-1499))))</f>
        <v/>
      </c>
      <c r="C2956">
        <f>IF($J2956="","",IF($J2956&lt;=1500,INDEX('Daily Sale entry '!$Z$1:$Z$1501,$J2956+1)&amp;"","Cheque deposit 支票存入 (buyer 买家)"))</f>
        <v/>
      </c>
      <c r="D2956">
        <f>IF($J2956="","",IF($J2956&lt;=1500,INDEX('Daily Sale entry '!$AA$1:$AA$1501,$J2956+1)&amp;"",INDEX('Daily Sale entry '!$P$1:$P$1501,$J2956-1499)&amp;""))</f>
        <v/>
      </c>
      <c r="E2956">
        <f>IF($J2956="","",IF($J2956&lt;=1500,IF(N(INDEX('Daily Sale entry '!$AB$1:$AB$1501,$J2956+1))=0,"",INDEX('Daily Sale entry '!$AB$1:$AB$1501,$J2956+1)),1))</f>
        <v/>
      </c>
      <c r="F2956" s="6">
        <f>IF($J2956="","",IF($J2956&lt;=1500,N(INDEX('Daily Sale entry '!$AC$1:$AC$1501,$J2956+1))-IF(AND('Opening Balance'!$B$15=1,INDEX('Daily Sale entry '!$Z$1:$Z$1501,$J2956+1)="Online collection 网上收款",INDEX('Daily Sale entry '!$AA$1:$AA$1501,$J2956+1)&lt;&gt;""),N(INDEX('Daily Sale entry '!$AC$1:$AC$1501,$J2956+1))-TRUNC(N(INDEX('Daily Sale entry '!$AC$1:$AC$1501,$J2956+1))),0),N(INDEX('Daily Sale entry '!$S$1:$S$1501,$J2956-1499))-'Opening Balance'!$B$15*(N(INDEX('Daily Sale entry '!$S$1:$S$1501,$J2956-1499))-TRUNC(N(INDEX('Daily Sale entry '!$S$1:$S$1501,$J2956-1499))))))</f>
        <v/>
      </c>
      <c r="G2956" s="6">
        <f>IF($J2956="","",IF($J2956&lt;=1500,N(INDEX('Daily Sale entry '!$AD$1:$AD$1501,$J2956+1)),0))</f>
        <v/>
      </c>
      <c r="H2956" s="6">
        <f>IF($J2956="","",ROUND('Opening Balance'!$B$4+SUM($F$2:F2956)-SUM($G$2:G2956),2))</f>
        <v/>
      </c>
      <c r="J2956" s="21">
        <f>IFERROR(MATCH(ROW()-1,$L$2:$L$3001,0),"")</f>
        <v/>
      </c>
      <c r="K2956" s="34">
        <f>IF(AND('Daily Sale entry '!Q1456="Collection 收款",'Daily Sale entry '!R1456="Cheque 支票",'Daily Sale entry '!V1456&lt;&gt;""),'Daily Sale entry '!V1456+ROW()/10000000,"")</f>
        <v/>
      </c>
      <c r="L2956" s="21">
        <f>IF(K2956="","",COUNTIF($K$2:$K$3001,"&lt;"&amp;K2956)+1)</f>
        <v/>
      </c>
    </row>
    <row r="2957">
      <c r="A2957" s="5">
        <f>IF($J2957="","",IF($J2957&lt;=1500,INDEX('Daily Sale entry '!$X$1:$X$1501,$J2957+1),INDEX('Daily Sale entry '!$V$1:$V$1501,$J2957-1499)))</f>
        <v/>
      </c>
      <c r="B2957">
        <f>IF($J2957="","",IF($J2957&lt;=1500,INDEX('Daily Sale entry '!$Y$1:$Y$1501,$J2957+1)&amp;"","Buyer cheque banked 买家支票存入"&amp;IF(INDEX('Daily Sale entry '!$U$1:$U$1501,$J2957-1499)="","", " - "&amp;INDEX('Daily Sale entry '!$U$1:$U$1501,$J2957-1499))))</f>
        <v/>
      </c>
      <c r="C2957">
        <f>IF($J2957="","",IF($J2957&lt;=1500,INDEX('Daily Sale entry '!$Z$1:$Z$1501,$J2957+1)&amp;"","Cheque deposit 支票存入 (buyer 买家)"))</f>
        <v/>
      </c>
      <c r="D2957">
        <f>IF($J2957="","",IF($J2957&lt;=1500,INDEX('Daily Sale entry '!$AA$1:$AA$1501,$J2957+1)&amp;"",INDEX('Daily Sale entry '!$P$1:$P$1501,$J2957-1499)&amp;""))</f>
        <v/>
      </c>
      <c r="E2957">
        <f>IF($J2957="","",IF($J2957&lt;=1500,IF(N(INDEX('Daily Sale entry '!$AB$1:$AB$1501,$J2957+1))=0,"",INDEX('Daily Sale entry '!$AB$1:$AB$1501,$J2957+1)),1))</f>
        <v/>
      </c>
      <c r="F2957" s="6">
        <f>IF($J2957="","",IF($J2957&lt;=1500,N(INDEX('Daily Sale entry '!$AC$1:$AC$1501,$J2957+1))-IF(AND('Opening Balance'!$B$15=1,INDEX('Daily Sale entry '!$Z$1:$Z$1501,$J2957+1)="Online collection 网上收款",INDEX('Daily Sale entry '!$AA$1:$AA$1501,$J2957+1)&lt;&gt;""),N(INDEX('Daily Sale entry '!$AC$1:$AC$1501,$J2957+1))-TRUNC(N(INDEX('Daily Sale entry '!$AC$1:$AC$1501,$J2957+1))),0),N(INDEX('Daily Sale entry '!$S$1:$S$1501,$J2957-1499))-'Opening Balance'!$B$15*(N(INDEX('Daily Sale entry '!$S$1:$S$1501,$J2957-1499))-TRUNC(N(INDEX('Daily Sale entry '!$S$1:$S$1501,$J2957-1499))))))</f>
        <v/>
      </c>
      <c r="G2957" s="6">
        <f>IF($J2957="","",IF($J2957&lt;=1500,N(INDEX('Daily Sale entry '!$AD$1:$AD$1501,$J2957+1)),0))</f>
        <v/>
      </c>
      <c r="H2957" s="6">
        <f>IF($J2957="","",ROUND('Opening Balance'!$B$4+SUM($F$2:F2957)-SUM($G$2:G2957),2))</f>
        <v/>
      </c>
      <c r="J2957" s="21">
        <f>IFERROR(MATCH(ROW()-1,$L$2:$L$3001,0),"")</f>
        <v/>
      </c>
      <c r="K2957" s="34">
        <f>IF(AND('Daily Sale entry '!Q1457="Collection 收款",'Daily Sale entry '!R1457="Cheque 支票",'Daily Sale entry '!V1457&lt;&gt;""),'Daily Sale entry '!V1457+ROW()/10000000,"")</f>
        <v/>
      </c>
      <c r="L2957" s="21">
        <f>IF(K2957="","",COUNTIF($K$2:$K$3001,"&lt;"&amp;K2957)+1)</f>
        <v/>
      </c>
    </row>
    <row r="2958">
      <c r="A2958" s="5">
        <f>IF($J2958="","",IF($J2958&lt;=1500,INDEX('Daily Sale entry '!$X$1:$X$1501,$J2958+1),INDEX('Daily Sale entry '!$V$1:$V$1501,$J2958-1499)))</f>
        <v/>
      </c>
      <c r="B2958">
        <f>IF($J2958="","",IF($J2958&lt;=1500,INDEX('Daily Sale entry '!$Y$1:$Y$1501,$J2958+1)&amp;"","Buyer cheque banked 买家支票存入"&amp;IF(INDEX('Daily Sale entry '!$U$1:$U$1501,$J2958-1499)="","", " - "&amp;INDEX('Daily Sale entry '!$U$1:$U$1501,$J2958-1499))))</f>
        <v/>
      </c>
      <c r="C2958">
        <f>IF($J2958="","",IF($J2958&lt;=1500,INDEX('Daily Sale entry '!$Z$1:$Z$1501,$J2958+1)&amp;"","Cheque deposit 支票存入 (buyer 买家)"))</f>
        <v/>
      </c>
      <c r="D2958">
        <f>IF($J2958="","",IF($J2958&lt;=1500,INDEX('Daily Sale entry '!$AA$1:$AA$1501,$J2958+1)&amp;"",INDEX('Daily Sale entry '!$P$1:$P$1501,$J2958-1499)&amp;""))</f>
        <v/>
      </c>
      <c r="E2958">
        <f>IF($J2958="","",IF($J2958&lt;=1500,IF(N(INDEX('Daily Sale entry '!$AB$1:$AB$1501,$J2958+1))=0,"",INDEX('Daily Sale entry '!$AB$1:$AB$1501,$J2958+1)),1))</f>
        <v/>
      </c>
      <c r="F2958" s="6">
        <f>IF($J2958="","",IF($J2958&lt;=1500,N(INDEX('Daily Sale entry '!$AC$1:$AC$1501,$J2958+1))-IF(AND('Opening Balance'!$B$15=1,INDEX('Daily Sale entry '!$Z$1:$Z$1501,$J2958+1)="Online collection 网上收款",INDEX('Daily Sale entry '!$AA$1:$AA$1501,$J2958+1)&lt;&gt;""),N(INDEX('Daily Sale entry '!$AC$1:$AC$1501,$J2958+1))-TRUNC(N(INDEX('Daily Sale entry '!$AC$1:$AC$1501,$J2958+1))),0),N(INDEX('Daily Sale entry '!$S$1:$S$1501,$J2958-1499))-'Opening Balance'!$B$15*(N(INDEX('Daily Sale entry '!$S$1:$S$1501,$J2958-1499))-TRUNC(N(INDEX('Daily Sale entry '!$S$1:$S$1501,$J2958-1499))))))</f>
        <v/>
      </c>
      <c r="G2958" s="6">
        <f>IF($J2958="","",IF($J2958&lt;=1500,N(INDEX('Daily Sale entry '!$AD$1:$AD$1501,$J2958+1)),0))</f>
        <v/>
      </c>
      <c r="H2958" s="6">
        <f>IF($J2958="","",ROUND('Opening Balance'!$B$4+SUM($F$2:F2958)-SUM($G$2:G2958),2))</f>
        <v/>
      </c>
      <c r="J2958" s="21">
        <f>IFERROR(MATCH(ROW()-1,$L$2:$L$3001,0),"")</f>
        <v/>
      </c>
      <c r="K2958" s="34">
        <f>IF(AND('Daily Sale entry '!Q1458="Collection 收款",'Daily Sale entry '!R1458="Cheque 支票",'Daily Sale entry '!V1458&lt;&gt;""),'Daily Sale entry '!V1458+ROW()/10000000,"")</f>
        <v/>
      </c>
      <c r="L2958" s="21">
        <f>IF(K2958="","",COUNTIF($K$2:$K$3001,"&lt;"&amp;K2958)+1)</f>
        <v/>
      </c>
    </row>
    <row r="2959">
      <c r="A2959" s="5">
        <f>IF($J2959="","",IF($J2959&lt;=1500,INDEX('Daily Sale entry '!$X$1:$X$1501,$J2959+1),INDEX('Daily Sale entry '!$V$1:$V$1501,$J2959-1499)))</f>
        <v/>
      </c>
      <c r="B2959">
        <f>IF($J2959="","",IF($J2959&lt;=1500,INDEX('Daily Sale entry '!$Y$1:$Y$1501,$J2959+1)&amp;"","Buyer cheque banked 买家支票存入"&amp;IF(INDEX('Daily Sale entry '!$U$1:$U$1501,$J2959-1499)="","", " - "&amp;INDEX('Daily Sale entry '!$U$1:$U$1501,$J2959-1499))))</f>
        <v/>
      </c>
      <c r="C2959">
        <f>IF($J2959="","",IF($J2959&lt;=1500,INDEX('Daily Sale entry '!$Z$1:$Z$1501,$J2959+1)&amp;"","Cheque deposit 支票存入 (buyer 买家)"))</f>
        <v/>
      </c>
      <c r="D2959">
        <f>IF($J2959="","",IF($J2959&lt;=1500,INDEX('Daily Sale entry '!$AA$1:$AA$1501,$J2959+1)&amp;"",INDEX('Daily Sale entry '!$P$1:$P$1501,$J2959-1499)&amp;""))</f>
        <v/>
      </c>
      <c r="E2959">
        <f>IF($J2959="","",IF($J2959&lt;=1500,IF(N(INDEX('Daily Sale entry '!$AB$1:$AB$1501,$J2959+1))=0,"",INDEX('Daily Sale entry '!$AB$1:$AB$1501,$J2959+1)),1))</f>
        <v/>
      </c>
      <c r="F2959" s="6">
        <f>IF($J2959="","",IF($J2959&lt;=1500,N(INDEX('Daily Sale entry '!$AC$1:$AC$1501,$J2959+1))-IF(AND('Opening Balance'!$B$15=1,INDEX('Daily Sale entry '!$Z$1:$Z$1501,$J2959+1)="Online collection 网上收款",INDEX('Daily Sale entry '!$AA$1:$AA$1501,$J2959+1)&lt;&gt;""),N(INDEX('Daily Sale entry '!$AC$1:$AC$1501,$J2959+1))-TRUNC(N(INDEX('Daily Sale entry '!$AC$1:$AC$1501,$J2959+1))),0),N(INDEX('Daily Sale entry '!$S$1:$S$1501,$J2959-1499))-'Opening Balance'!$B$15*(N(INDEX('Daily Sale entry '!$S$1:$S$1501,$J2959-1499))-TRUNC(N(INDEX('Daily Sale entry '!$S$1:$S$1501,$J2959-1499))))))</f>
        <v/>
      </c>
      <c r="G2959" s="6">
        <f>IF($J2959="","",IF($J2959&lt;=1500,N(INDEX('Daily Sale entry '!$AD$1:$AD$1501,$J2959+1)),0))</f>
        <v/>
      </c>
      <c r="H2959" s="6">
        <f>IF($J2959="","",ROUND('Opening Balance'!$B$4+SUM($F$2:F2959)-SUM($G$2:G2959),2))</f>
        <v/>
      </c>
      <c r="J2959" s="21">
        <f>IFERROR(MATCH(ROW()-1,$L$2:$L$3001,0),"")</f>
        <v/>
      </c>
      <c r="K2959" s="34">
        <f>IF(AND('Daily Sale entry '!Q1459="Collection 收款",'Daily Sale entry '!R1459="Cheque 支票",'Daily Sale entry '!V1459&lt;&gt;""),'Daily Sale entry '!V1459+ROW()/10000000,"")</f>
        <v/>
      </c>
      <c r="L2959" s="21">
        <f>IF(K2959="","",COUNTIF($K$2:$K$3001,"&lt;"&amp;K2959)+1)</f>
        <v/>
      </c>
    </row>
    <row r="2960">
      <c r="A2960" s="5">
        <f>IF($J2960="","",IF($J2960&lt;=1500,INDEX('Daily Sale entry '!$X$1:$X$1501,$J2960+1),INDEX('Daily Sale entry '!$V$1:$V$1501,$J2960-1499)))</f>
        <v/>
      </c>
      <c r="B2960">
        <f>IF($J2960="","",IF($J2960&lt;=1500,INDEX('Daily Sale entry '!$Y$1:$Y$1501,$J2960+1)&amp;"","Buyer cheque banked 买家支票存入"&amp;IF(INDEX('Daily Sale entry '!$U$1:$U$1501,$J2960-1499)="","", " - "&amp;INDEX('Daily Sale entry '!$U$1:$U$1501,$J2960-1499))))</f>
        <v/>
      </c>
      <c r="C2960">
        <f>IF($J2960="","",IF($J2960&lt;=1500,INDEX('Daily Sale entry '!$Z$1:$Z$1501,$J2960+1)&amp;"","Cheque deposit 支票存入 (buyer 买家)"))</f>
        <v/>
      </c>
      <c r="D2960">
        <f>IF($J2960="","",IF($J2960&lt;=1500,INDEX('Daily Sale entry '!$AA$1:$AA$1501,$J2960+1)&amp;"",INDEX('Daily Sale entry '!$P$1:$P$1501,$J2960-1499)&amp;""))</f>
        <v/>
      </c>
      <c r="E2960">
        <f>IF($J2960="","",IF($J2960&lt;=1500,IF(N(INDEX('Daily Sale entry '!$AB$1:$AB$1501,$J2960+1))=0,"",INDEX('Daily Sale entry '!$AB$1:$AB$1501,$J2960+1)),1))</f>
        <v/>
      </c>
      <c r="F2960" s="6">
        <f>IF($J2960="","",IF($J2960&lt;=1500,N(INDEX('Daily Sale entry '!$AC$1:$AC$1501,$J2960+1))-IF(AND('Opening Balance'!$B$15=1,INDEX('Daily Sale entry '!$Z$1:$Z$1501,$J2960+1)="Online collection 网上收款",INDEX('Daily Sale entry '!$AA$1:$AA$1501,$J2960+1)&lt;&gt;""),N(INDEX('Daily Sale entry '!$AC$1:$AC$1501,$J2960+1))-TRUNC(N(INDEX('Daily Sale entry '!$AC$1:$AC$1501,$J2960+1))),0),N(INDEX('Daily Sale entry '!$S$1:$S$1501,$J2960-1499))-'Opening Balance'!$B$15*(N(INDEX('Daily Sale entry '!$S$1:$S$1501,$J2960-1499))-TRUNC(N(INDEX('Daily Sale entry '!$S$1:$S$1501,$J2960-1499))))))</f>
        <v/>
      </c>
      <c r="G2960" s="6">
        <f>IF($J2960="","",IF($J2960&lt;=1500,N(INDEX('Daily Sale entry '!$AD$1:$AD$1501,$J2960+1)),0))</f>
        <v/>
      </c>
      <c r="H2960" s="6">
        <f>IF($J2960="","",ROUND('Opening Balance'!$B$4+SUM($F$2:F2960)-SUM($G$2:G2960),2))</f>
        <v/>
      </c>
      <c r="J2960" s="21">
        <f>IFERROR(MATCH(ROW()-1,$L$2:$L$3001,0),"")</f>
        <v/>
      </c>
      <c r="K2960" s="34">
        <f>IF(AND('Daily Sale entry '!Q1460="Collection 收款",'Daily Sale entry '!R1460="Cheque 支票",'Daily Sale entry '!V1460&lt;&gt;""),'Daily Sale entry '!V1460+ROW()/10000000,"")</f>
        <v/>
      </c>
      <c r="L2960" s="21">
        <f>IF(K2960="","",COUNTIF($K$2:$K$3001,"&lt;"&amp;K2960)+1)</f>
        <v/>
      </c>
    </row>
    <row r="2961">
      <c r="A2961" s="5">
        <f>IF($J2961="","",IF($J2961&lt;=1500,INDEX('Daily Sale entry '!$X$1:$X$1501,$J2961+1),INDEX('Daily Sale entry '!$V$1:$V$1501,$J2961-1499)))</f>
        <v/>
      </c>
      <c r="B2961">
        <f>IF($J2961="","",IF($J2961&lt;=1500,INDEX('Daily Sale entry '!$Y$1:$Y$1501,$J2961+1)&amp;"","Buyer cheque banked 买家支票存入"&amp;IF(INDEX('Daily Sale entry '!$U$1:$U$1501,$J2961-1499)="","", " - "&amp;INDEX('Daily Sale entry '!$U$1:$U$1501,$J2961-1499))))</f>
        <v/>
      </c>
      <c r="C2961">
        <f>IF($J2961="","",IF($J2961&lt;=1500,INDEX('Daily Sale entry '!$Z$1:$Z$1501,$J2961+1)&amp;"","Cheque deposit 支票存入 (buyer 买家)"))</f>
        <v/>
      </c>
      <c r="D2961">
        <f>IF($J2961="","",IF($J2961&lt;=1500,INDEX('Daily Sale entry '!$AA$1:$AA$1501,$J2961+1)&amp;"",INDEX('Daily Sale entry '!$P$1:$P$1501,$J2961-1499)&amp;""))</f>
        <v/>
      </c>
      <c r="E2961">
        <f>IF($J2961="","",IF($J2961&lt;=1500,IF(N(INDEX('Daily Sale entry '!$AB$1:$AB$1501,$J2961+1))=0,"",INDEX('Daily Sale entry '!$AB$1:$AB$1501,$J2961+1)),1))</f>
        <v/>
      </c>
      <c r="F2961" s="6">
        <f>IF($J2961="","",IF($J2961&lt;=1500,N(INDEX('Daily Sale entry '!$AC$1:$AC$1501,$J2961+1))-IF(AND('Opening Balance'!$B$15=1,INDEX('Daily Sale entry '!$Z$1:$Z$1501,$J2961+1)="Online collection 网上收款",INDEX('Daily Sale entry '!$AA$1:$AA$1501,$J2961+1)&lt;&gt;""),N(INDEX('Daily Sale entry '!$AC$1:$AC$1501,$J2961+1))-TRUNC(N(INDEX('Daily Sale entry '!$AC$1:$AC$1501,$J2961+1))),0),N(INDEX('Daily Sale entry '!$S$1:$S$1501,$J2961-1499))-'Opening Balance'!$B$15*(N(INDEX('Daily Sale entry '!$S$1:$S$1501,$J2961-1499))-TRUNC(N(INDEX('Daily Sale entry '!$S$1:$S$1501,$J2961-1499))))))</f>
        <v/>
      </c>
      <c r="G2961" s="6">
        <f>IF($J2961="","",IF($J2961&lt;=1500,N(INDEX('Daily Sale entry '!$AD$1:$AD$1501,$J2961+1)),0))</f>
        <v/>
      </c>
      <c r="H2961" s="6">
        <f>IF($J2961="","",ROUND('Opening Balance'!$B$4+SUM($F$2:F2961)-SUM($G$2:G2961),2))</f>
        <v/>
      </c>
      <c r="J2961" s="21">
        <f>IFERROR(MATCH(ROW()-1,$L$2:$L$3001,0),"")</f>
        <v/>
      </c>
      <c r="K2961" s="34">
        <f>IF(AND('Daily Sale entry '!Q1461="Collection 收款",'Daily Sale entry '!R1461="Cheque 支票",'Daily Sale entry '!V1461&lt;&gt;""),'Daily Sale entry '!V1461+ROW()/10000000,"")</f>
        <v/>
      </c>
      <c r="L2961" s="21">
        <f>IF(K2961="","",COUNTIF($K$2:$K$3001,"&lt;"&amp;K2961)+1)</f>
        <v/>
      </c>
    </row>
    <row r="2962">
      <c r="A2962" s="5">
        <f>IF($J2962="","",IF($J2962&lt;=1500,INDEX('Daily Sale entry '!$X$1:$X$1501,$J2962+1),INDEX('Daily Sale entry '!$V$1:$V$1501,$J2962-1499)))</f>
        <v/>
      </c>
      <c r="B2962">
        <f>IF($J2962="","",IF($J2962&lt;=1500,INDEX('Daily Sale entry '!$Y$1:$Y$1501,$J2962+1)&amp;"","Buyer cheque banked 买家支票存入"&amp;IF(INDEX('Daily Sale entry '!$U$1:$U$1501,$J2962-1499)="","", " - "&amp;INDEX('Daily Sale entry '!$U$1:$U$1501,$J2962-1499))))</f>
        <v/>
      </c>
      <c r="C2962">
        <f>IF($J2962="","",IF($J2962&lt;=1500,INDEX('Daily Sale entry '!$Z$1:$Z$1501,$J2962+1)&amp;"","Cheque deposit 支票存入 (buyer 买家)"))</f>
        <v/>
      </c>
      <c r="D2962">
        <f>IF($J2962="","",IF($J2962&lt;=1500,INDEX('Daily Sale entry '!$AA$1:$AA$1501,$J2962+1)&amp;"",INDEX('Daily Sale entry '!$P$1:$P$1501,$J2962-1499)&amp;""))</f>
        <v/>
      </c>
      <c r="E2962">
        <f>IF($J2962="","",IF($J2962&lt;=1500,IF(N(INDEX('Daily Sale entry '!$AB$1:$AB$1501,$J2962+1))=0,"",INDEX('Daily Sale entry '!$AB$1:$AB$1501,$J2962+1)),1))</f>
        <v/>
      </c>
      <c r="F2962" s="6">
        <f>IF($J2962="","",IF($J2962&lt;=1500,N(INDEX('Daily Sale entry '!$AC$1:$AC$1501,$J2962+1))-IF(AND('Opening Balance'!$B$15=1,INDEX('Daily Sale entry '!$Z$1:$Z$1501,$J2962+1)="Online collection 网上收款",INDEX('Daily Sale entry '!$AA$1:$AA$1501,$J2962+1)&lt;&gt;""),N(INDEX('Daily Sale entry '!$AC$1:$AC$1501,$J2962+1))-TRUNC(N(INDEX('Daily Sale entry '!$AC$1:$AC$1501,$J2962+1))),0),N(INDEX('Daily Sale entry '!$S$1:$S$1501,$J2962-1499))-'Opening Balance'!$B$15*(N(INDEX('Daily Sale entry '!$S$1:$S$1501,$J2962-1499))-TRUNC(N(INDEX('Daily Sale entry '!$S$1:$S$1501,$J2962-1499))))))</f>
        <v/>
      </c>
      <c r="G2962" s="6">
        <f>IF($J2962="","",IF($J2962&lt;=1500,N(INDEX('Daily Sale entry '!$AD$1:$AD$1501,$J2962+1)),0))</f>
        <v/>
      </c>
      <c r="H2962" s="6">
        <f>IF($J2962="","",ROUND('Opening Balance'!$B$4+SUM($F$2:F2962)-SUM($G$2:G2962),2))</f>
        <v/>
      </c>
      <c r="J2962" s="21">
        <f>IFERROR(MATCH(ROW()-1,$L$2:$L$3001,0),"")</f>
        <v/>
      </c>
      <c r="K2962" s="34">
        <f>IF(AND('Daily Sale entry '!Q1462="Collection 收款",'Daily Sale entry '!R1462="Cheque 支票",'Daily Sale entry '!V1462&lt;&gt;""),'Daily Sale entry '!V1462+ROW()/10000000,"")</f>
        <v/>
      </c>
      <c r="L2962" s="21">
        <f>IF(K2962="","",COUNTIF($K$2:$K$3001,"&lt;"&amp;K2962)+1)</f>
        <v/>
      </c>
    </row>
    <row r="2963">
      <c r="A2963" s="5">
        <f>IF($J2963="","",IF($J2963&lt;=1500,INDEX('Daily Sale entry '!$X$1:$X$1501,$J2963+1),INDEX('Daily Sale entry '!$V$1:$V$1501,$J2963-1499)))</f>
        <v/>
      </c>
      <c r="B2963">
        <f>IF($J2963="","",IF($J2963&lt;=1500,INDEX('Daily Sale entry '!$Y$1:$Y$1501,$J2963+1)&amp;"","Buyer cheque banked 买家支票存入"&amp;IF(INDEX('Daily Sale entry '!$U$1:$U$1501,$J2963-1499)="","", " - "&amp;INDEX('Daily Sale entry '!$U$1:$U$1501,$J2963-1499))))</f>
        <v/>
      </c>
      <c r="C2963">
        <f>IF($J2963="","",IF($J2963&lt;=1500,INDEX('Daily Sale entry '!$Z$1:$Z$1501,$J2963+1)&amp;"","Cheque deposit 支票存入 (buyer 买家)"))</f>
        <v/>
      </c>
      <c r="D2963">
        <f>IF($J2963="","",IF($J2963&lt;=1500,INDEX('Daily Sale entry '!$AA$1:$AA$1501,$J2963+1)&amp;"",INDEX('Daily Sale entry '!$P$1:$P$1501,$J2963-1499)&amp;""))</f>
        <v/>
      </c>
      <c r="E2963">
        <f>IF($J2963="","",IF($J2963&lt;=1500,IF(N(INDEX('Daily Sale entry '!$AB$1:$AB$1501,$J2963+1))=0,"",INDEX('Daily Sale entry '!$AB$1:$AB$1501,$J2963+1)),1))</f>
        <v/>
      </c>
      <c r="F2963" s="6">
        <f>IF($J2963="","",IF($J2963&lt;=1500,N(INDEX('Daily Sale entry '!$AC$1:$AC$1501,$J2963+1))-IF(AND('Opening Balance'!$B$15=1,INDEX('Daily Sale entry '!$Z$1:$Z$1501,$J2963+1)="Online collection 网上收款",INDEX('Daily Sale entry '!$AA$1:$AA$1501,$J2963+1)&lt;&gt;""),N(INDEX('Daily Sale entry '!$AC$1:$AC$1501,$J2963+1))-TRUNC(N(INDEX('Daily Sale entry '!$AC$1:$AC$1501,$J2963+1))),0),N(INDEX('Daily Sale entry '!$S$1:$S$1501,$J2963-1499))-'Opening Balance'!$B$15*(N(INDEX('Daily Sale entry '!$S$1:$S$1501,$J2963-1499))-TRUNC(N(INDEX('Daily Sale entry '!$S$1:$S$1501,$J2963-1499))))))</f>
        <v/>
      </c>
      <c r="G2963" s="6">
        <f>IF($J2963="","",IF($J2963&lt;=1500,N(INDEX('Daily Sale entry '!$AD$1:$AD$1501,$J2963+1)),0))</f>
        <v/>
      </c>
      <c r="H2963" s="6">
        <f>IF($J2963="","",ROUND('Opening Balance'!$B$4+SUM($F$2:F2963)-SUM($G$2:G2963),2))</f>
        <v/>
      </c>
      <c r="J2963" s="21">
        <f>IFERROR(MATCH(ROW()-1,$L$2:$L$3001,0),"")</f>
        <v/>
      </c>
      <c r="K2963" s="34">
        <f>IF(AND('Daily Sale entry '!Q1463="Collection 收款",'Daily Sale entry '!R1463="Cheque 支票",'Daily Sale entry '!V1463&lt;&gt;""),'Daily Sale entry '!V1463+ROW()/10000000,"")</f>
        <v/>
      </c>
      <c r="L2963" s="21">
        <f>IF(K2963="","",COUNTIF($K$2:$K$3001,"&lt;"&amp;K2963)+1)</f>
        <v/>
      </c>
    </row>
    <row r="2964">
      <c r="A2964" s="5">
        <f>IF($J2964="","",IF($J2964&lt;=1500,INDEX('Daily Sale entry '!$X$1:$X$1501,$J2964+1),INDEX('Daily Sale entry '!$V$1:$V$1501,$J2964-1499)))</f>
        <v/>
      </c>
      <c r="B2964">
        <f>IF($J2964="","",IF($J2964&lt;=1500,INDEX('Daily Sale entry '!$Y$1:$Y$1501,$J2964+1)&amp;"","Buyer cheque banked 买家支票存入"&amp;IF(INDEX('Daily Sale entry '!$U$1:$U$1501,$J2964-1499)="","", " - "&amp;INDEX('Daily Sale entry '!$U$1:$U$1501,$J2964-1499))))</f>
        <v/>
      </c>
      <c r="C2964">
        <f>IF($J2964="","",IF($J2964&lt;=1500,INDEX('Daily Sale entry '!$Z$1:$Z$1501,$J2964+1)&amp;"","Cheque deposit 支票存入 (buyer 买家)"))</f>
        <v/>
      </c>
      <c r="D2964">
        <f>IF($J2964="","",IF($J2964&lt;=1500,INDEX('Daily Sale entry '!$AA$1:$AA$1501,$J2964+1)&amp;"",INDEX('Daily Sale entry '!$P$1:$P$1501,$J2964-1499)&amp;""))</f>
        <v/>
      </c>
      <c r="E2964">
        <f>IF($J2964="","",IF($J2964&lt;=1500,IF(N(INDEX('Daily Sale entry '!$AB$1:$AB$1501,$J2964+1))=0,"",INDEX('Daily Sale entry '!$AB$1:$AB$1501,$J2964+1)),1))</f>
        <v/>
      </c>
      <c r="F2964" s="6">
        <f>IF($J2964="","",IF($J2964&lt;=1500,N(INDEX('Daily Sale entry '!$AC$1:$AC$1501,$J2964+1))-IF(AND('Opening Balance'!$B$15=1,INDEX('Daily Sale entry '!$Z$1:$Z$1501,$J2964+1)="Online collection 网上收款",INDEX('Daily Sale entry '!$AA$1:$AA$1501,$J2964+1)&lt;&gt;""),N(INDEX('Daily Sale entry '!$AC$1:$AC$1501,$J2964+1))-TRUNC(N(INDEX('Daily Sale entry '!$AC$1:$AC$1501,$J2964+1))),0),N(INDEX('Daily Sale entry '!$S$1:$S$1501,$J2964-1499))-'Opening Balance'!$B$15*(N(INDEX('Daily Sale entry '!$S$1:$S$1501,$J2964-1499))-TRUNC(N(INDEX('Daily Sale entry '!$S$1:$S$1501,$J2964-1499))))))</f>
        <v/>
      </c>
      <c r="G2964" s="6">
        <f>IF($J2964="","",IF($J2964&lt;=1500,N(INDEX('Daily Sale entry '!$AD$1:$AD$1501,$J2964+1)),0))</f>
        <v/>
      </c>
      <c r="H2964" s="6">
        <f>IF($J2964="","",ROUND('Opening Balance'!$B$4+SUM($F$2:F2964)-SUM($G$2:G2964),2))</f>
        <v/>
      </c>
      <c r="J2964" s="21">
        <f>IFERROR(MATCH(ROW()-1,$L$2:$L$3001,0),"")</f>
        <v/>
      </c>
      <c r="K2964" s="34">
        <f>IF(AND('Daily Sale entry '!Q1464="Collection 收款",'Daily Sale entry '!R1464="Cheque 支票",'Daily Sale entry '!V1464&lt;&gt;""),'Daily Sale entry '!V1464+ROW()/10000000,"")</f>
        <v/>
      </c>
      <c r="L2964" s="21">
        <f>IF(K2964="","",COUNTIF($K$2:$K$3001,"&lt;"&amp;K2964)+1)</f>
        <v/>
      </c>
    </row>
    <row r="2965">
      <c r="A2965" s="5">
        <f>IF($J2965="","",IF($J2965&lt;=1500,INDEX('Daily Sale entry '!$X$1:$X$1501,$J2965+1),INDEX('Daily Sale entry '!$V$1:$V$1501,$J2965-1499)))</f>
        <v/>
      </c>
      <c r="B2965">
        <f>IF($J2965="","",IF($J2965&lt;=1500,INDEX('Daily Sale entry '!$Y$1:$Y$1501,$J2965+1)&amp;"","Buyer cheque banked 买家支票存入"&amp;IF(INDEX('Daily Sale entry '!$U$1:$U$1501,$J2965-1499)="","", " - "&amp;INDEX('Daily Sale entry '!$U$1:$U$1501,$J2965-1499))))</f>
        <v/>
      </c>
      <c r="C2965">
        <f>IF($J2965="","",IF($J2965&lt;=1500,INDEX('Daily Sale entry '!$Z$1:$Z$1501,$J2965+1)&amp;"","Cheque deposit 支票存入 (buyer 买家)"))</f>
        <v/>
      </c>
      <c r="D2965">
        <f>IF($J2965="","",IF($J2965&lt;=1500,INDEX('Daily Sale entry '!$AA$1:$AA$1501,$J2965+1)&amp;"",INDEX('Daily Sale entry '!$P$1:$P$1501,$J2965-1499)&amp;""))</f>
        <v/>
      </c>
      <c r="E2965">
        <f>IF($J2965="","",IF($J2965&lt;=1500,IF(N(INDEX('Daily Sale entry '!$AB$1:$AB$1501,$J2965+1))=0,"",INDEX('Daily Sale entry '!$AB$1:$AB$1501,$J2965+1)),1))</f>
        <v/>
      </c>
      <c r="F2965" s="6">
        <f>IF($J2965="","",IF($J2965&lt;=1500,N(INDEX('Daily Sale entry '!$AC$1:$AC$1501,$J2965+1))-IF(AND('Opening Balance'!$B$15=1,INDEX('Daily Sale entry '!$Z$1:$Z$1501,$J2965+1)="Online collection 网上收款",INDEX('Daily Sale entry '!$AA$1:$AA$1501,$J2965+1)&lt;&gt;""),N(INDEX('Daily Sale entry '!$AC$1:$AC$1501,$J2965+1))-TRUNC(N(INDEX('Daily Sale entry '!$AC$1:$AC$1501,$J2965+1))),0),N(INDEX('Daily Sale entry '!$S$1:$S$1501,$J2965-1499))-'Opening Balance'!$B$15*(N(INDEX('Daily Sale entry '!$S$1:$S$1501,$J2965-1499))-TRUNC(N(INDEX('Daily Sale entry '!$S$1:$S$1501,$J2965-1499))))))</f>
        <v/>
      </c>
      <c r="G2965" s="6">
        <f>IF($J2965="","",IF($J2965&lt;=1500,N(INDEX('Daily Sale entry '!$AD$1:$AD$1501,$J2965+1)),0))</f>
        <v/>
      </c>
      <c r="H2965" s="6">
        <f>IF($J2965="","",ROUND('Opening Balance'!$B$4+SUM($F$2:F2965)-SUM($G$2:G2965),2))</f>
        <v/>
      </c>
      <c r="J2965" s="21">
        <f>IFERROR(MATCH(ROW()-1,$L$2:$L$3001,0),"")</f>
        <v/>
      </c>
      <c r="K2965" s="34">
        <f>IF(AND('Daily Sale entry '!Q1465="Collection 收款",'Daily Sale entry '!R1465="Cheque 支票",'Daily Sale entry '!V1465&lt;&gt;""),'Daily Sale entry '!V1465+ROW()/10000000,"")</f>
        <v/>
      </c>
      <c r="L2965" s="21">
        <f>IF(K2965="","",COUNTIF($K$2:$K$3001,"&lt;"&amp;K2965)+1)</f>
        <v/>
      </c>
    </row>
    <row r="2966">
      <c r="A2966" s="5">
        <f>IF($J2966="","",IF($J2966&lt;=1500,INDEX('Daily Sale entry '!$X$1:$X$1501,$J2966+1),INDEX('Daily Sale entry '!$V$1:$V$1501,$J2966-1499)))</f>
        <v/>
      </c>
      <c r="B2966">
        <f>IF($J2966="","",IF($J2966&lt;=1500,INDEX('Daily Sale entry '!$Y$1:$Y$1501,$J2966+1)&amp;"","Buyer cheque banked 买家支票存入"&amp;IF(INDEX('Daily Sale entry '!$U$1:$U$1501,$J2966-1499)="","", " - "&amp;INDEX('Daily Sale entry '!$U$1:$U$1501,$J2966-1499))))</f>
        <v/>
      </c>
      <c r="C2966">
        <f>IF($J2966="","",IF($J2966&lt;=1500,INDEX('Daily Sale entry '!$Z$1:$Z$1501,$J2966+1)&amp;"","Cheque deposit 支票存入 (buyer 买家)"))</f>
        <v/>
      </c>
      <c r="D2966">
        <f>IF($J2966="","",IF($J2966&lt;=1500,INDEX('Daily Sale entry '!$AA$1:$AA$1501,$J2966+1)&amp;"",INDEX('Daily Sale entry '!$P$1:$P$1501,$J2966-1499)&amp;""))</f>
        <v/>
      </c>
      <c r="E2966">
        <f>IF($J2966="","",IF($J2966&lt;=1500,IF(N(INDEX('Daily Sale entry '!$AB$1:$AB$1501,$J2966+1))=0,"",INDEX('Daily Sale entry '!$AB$1:$AB$1501,$J2966+1)),1))</f>
        <v/>
      </c>
      <c r="F2966" s="6">
        <f>IF($J2966="","",IF($J2966&lt;=1500,N(INDEX('Daily Sale entry '!$AC$1:$AC$1501,$J2966+1))-IF(AND('Opening Balance'!$B$15=1,INDEX('Daily Sale entry '!$Z$1:$Z$1501,$J2966+1)="Online collection 网上收款",INDEX('Daily Sale entry '!$AA$1:$AA$1501,$J2966+1)&lt;&gt;""),N(INDEX('Daily Sale entry '!$AC$1:$AC$1501,$J2966+1))-TRUNC(N(INDEX('Daily Sale entry '!$AC$1:$AC$1501,$J2966+1))),0),N(INDEX('Daily Sale entry '!$S$1:$S$1501,$J2966-1499))-'Opening Balance'!$B$15*(N(INDEX('Daily Sale entry '!$S$1:$S$1501,$J2966-1499))-TRUNC(N(INDEX('Daily Sale entry '!$S$1:$S$1501,$J2966-1499))))))</f>
        <v/>
      </c>
      <c r="G2966" s="6">
        <f>IF($J2966="","",IF($J2966&lt;=1500,N(INDEX('Daily Sale entry '!$AD$1:$AD$1501,$J2966+1)),0))</f>
        <v/>
      </c>
      <c r="H2966" s="6">
        <f>IF($J2966="","",ROUND('Opening Balance'!$B$4+SUM($F$2:F2966)-SUM($G$2:G2966),2))</f>
        <v/>
      </c>
      <c r="J2966" s="21">
        <f>IFERROR(MATCH(ROW()-1,$L$2:$L$3001,0),"")</f>
        <v/>
      </c>
      <c r="K2966" s="34">
        <f>IF(AND('Daily Sale entry '!Q1466="Collection 收款",'Daily Sale entry '!R1466="Cheque 支票",'Daily Sale entry '!V1466&lt;&gt;""),'Daily Sale entry '!V1466+ROW()/10000000,"")</f>
        <v/>
      </c>
      <c r="L2966" s="21">
        <f>IF(K2966="","",COUNTIF($K$2:$K$3001,"&lt;"&amp;K2966)+1)</f>
        <v/>
      </c>
    </row>
    <row r="2967">
      <c r="A2967" s="5">
        <f>IF($J2967="","",IF($J2967&lt;=1500,INDEX('Daily Sale entry '!$X$1:$X$1501,$J2967+1),INDEX('Daily Sale entry '!$V$1:$V$1501,$J2967-1499)))</f>
        <v/>
      </c>
      <c r="B2967">
        <f>IF($J2967="","",IF($J2967&lt;=1500,INDEX('Daily Sale entry '!$Y$1:$Y$1501,$J2967+1)&amp;"","Buyer cheque banked 买家支票存入"&amp;IF(INDEX('Daily Sale entry '!$U$1:$U$1501,$J2967-1499)="","", " - "&amp;INDEX('Daily Sale entry '!$U$1:$U$1501,$J2967-1499))))</f>
        <v/>
      </c>
      <c r="C2967">
        <f>IF($J2967="","",IF($J2967&lt;=1500,INDEX('Daily Sale entry '!$Z$1:$Z$1501,$J2967+1)&amp;"","Cheque deposit 支票存入 (buyer 买家)"))</f>
        <v/>
      </c>
      <c r="D2967">
        <f>IF($J2967="","",IF($J2967&lt;=1500,INDEX('Daily Sale entry '!$AA$1:$AA$1501,$J2967+1)&amp;"",INDEX('Daily Sale entry '!$P$1:$P$1501,$J2967-1499)&amp;""))</f>
        <v/>
      </c>
      <c r="E2967">
        <f>IF($J2967="","",IF($J2967&lt;=1500,IF(N(INDEX('Daily Sale entry '!$AB$1:$AB$1501,$J2967+1))=0,"",INDEX('Daily Sale entry '!$AB$1:$AB$1501,$J2967+1)),1))</f>
        <v/>
      </c>
      <c r="F2967" s="6">
        <f>IF($J2967="","",IF($J2967&lt;=1500,N(INDEX('Daily Sale entry '!$AC$1:$AC$1501,$J2967+1))-IF(AND('Opening Balance'!$B$15=1,INDEX('Daily Sale entry '!$Z$1:$Z$1501,$J2967+1)="Online collection 网上收款",INDEX('Daily Sale entry '!$AA$1:$AA$1501,$J2967+1)&lt;&gt;""),N(INDEX('Daily Sale entry '!$AC$1:$AC$1501,$J2967+1))-TRUNC(N(INDEX('Daily Sale entry '!$AC$1:$AC$1501,$J2967+1))),0),N(INDEX('Daily Sale entry '!$S$1:$S$1501,$J2967-1499))-'Opening Balance'!$B$15*(N(INDEX('Daily Sale entry '!$S$1:$S$1501,$J2967-1499))-TRUNC(N(INDEX('Daily Sale entry '!$S$1:$S$1501,$J2967-1499))))))</f>
        <v/>
      </c>
      <c r="G2967" s="6">
        <f>IF($J2967="","",IF($J2967&lt;=1500,N(INDEX('Daily Sale entry '!$AD$1:$AD$1501,$J2967+1)),0))</f>
        <v/>
      </c>
      <c r="H2967" s="6">
        <f>IF($J2967="","",ROUND('Opening Balance'!$B$4+SUM($F$2:F2967)-SUM($G$2:G2967),2))</f>
        <v/>
      </c>
      <c r="J2967" s="21">
        <f>IFERROR(MATCH(ROW()-1,$L$2:$L$3001,0),"")</f>
        <v/>
      </c>
      <c r="K2967" s="34">
        <f>IF(AND('Daily Sale entry '!Q1467="Collection 收款",'Daily Sale entry '!R1467="Cheque 支票",'Daily Sale entry '!V1467&lt;&gt;""),'Daily Sale entry '!V1467+ROW()/10000000,"")</f>
        <v/>
      </c>
      <c r="L2967" s="21">
        <f>IF(K2967="","",COUNTIF($K$2:$K$3001,"&lt;"&amp;K2967)+1)</f>
        <v/>
      </c>
    </row>
    <row r="2968">
      <c r="A2968" s="5">
        <f>IF($J2968="","",IF($J2968&lt;=1500,INDEX('Daily Sale entry '!$X$1:$X$1501,$J2968+1),INDEX('Daily Sale entry '!$V$1:$V$1501,$J2968-1499)))</f>
        <v/>
      </c>
      <c r="B2968">
        <f>IF($J2968="","",IF($J2968&lt;=1500,INDEX('Daily Sale entry '!$Y$1:$Y$1501,$J2968+1)&amp;"","Buyer cheque banked 买家支票存入"&amp;IF(INDEX('Daily Sale entry '!$U$1:$U$1501,$J2968-1499)="","", " - "&amp;INDEX('Daily Sale entry '!$U$1:$U$1501,$J2968-1499))))</f>
        <v/>
      </c>
      <c r="C2968">
        <f>IF($J2968="","",IF($J2968&lt;=1500,INDEX('Daily Sale entry '!$Z$1:$Z$1501,$J2968+1)&amp;"","Cheque deposit 支票存入 (buyer 买家)"))</f>
        <v/>
      </c>
      <c r="D2968">
        <f>IF($J2968="","",IF($J2968&lt;=1500,INDEX('Daily Sale entry '!$AA$1:$AA$1501,$J2968+1)&amp;"",INDEX('Daily Sale entry '!$P$1:$P$1501,$J2968-1499)&amp;""))</f>
        <v/>
      </c>
      <c r="E2968">
        <f>IF($J2968="","",IF($J2968&lt;=1500,IF(N(INDEX('Daily Sale entry '!$AB$1:$AB$1501,$J2968+1))=0,"",INDEX('Daily Sale entry '!$AB$1:$AB$1501,$J2968+1)),1))</f>
        <v/>
      </c>
      <c r="F2968" s="6">
        <f>IF($J2968="","",IF($J2968&lt;=1500,N(INDEX('Daily Sale entry '!$AC$1:$AC$1501,$J2968+1))-IF(AND('Opening Balance'!$B$15=1,INDEX('Daily Sale entry '!$Z$1:$Z$1501,$J2968+1)="Online collection 网上收款",INDEX('Daily Sale entry '!$AA$1:$AA$1501,$J2968+1)&lt;&gt;""),N(INDEX('Daily Sale entry '!$AC$1:$AC$1501,$J2968+1))-TRUNC(N(INDEX('Daily Sale entry '!$AC$1:$AC$1501,$J2968+1))),0),N(INDEX('Daily Sale entry '!$S$1:$S$1501,$J2968-1499))-'Opening Balance'!$B$15*(N(INDEX('Daily Sale entry '!$S$1:$S$1501,$J2968-1499))-TRUNC(N(INDEX('Daily Sale entry '!$S$1:$S$1501,$J2968-1499))))))</f>
        <v/>
      </c>
      <c r="G2968" s="6">
        <f>IF($J2968="","",IF($J2968&lt;=1500,N(INDEX('Daily Sale entry '!$AD$1:$AD$1501,$J2968+1)),0))</f>
        <v/>
      </c>
      <c r="H2968" s="6">
        <f>IF($J2968="","",ROUND('Opening Balance'!$B$4+SUM($F$2:F2968)-SUM($G$2:G2968),2))</f>
        <v/>
      </c>
      <c r="J2968" s="21">
        <f>IFERROR(MATCH(ROW()-1,$L$2:$L$3001,0),"")</f>
        <v/>
      </c>
      <c r="K2968" s="34">
        <f>IF(AND('Daily Sale entry '!Q1468="Collection 收款",'Daily Sale entry '!R1468="Cheque 支票",'Daily Sale entry '!V1468&lt;&gt;""),'Daily Sale entry '!V1468+ROW()/10000000,"")</f>
        <v/>
      </c>
      <c r="L2968" s="21">
        <f>IF(K2968="","",COUNTIF($K$2:$K$3001,"&lt;"&amp;K2968)+1)</f>
        <v/>
      </c>
    </row>
    <row r="2969">
      <c r="A2969" s="5">
        <f>IF($J2969="","",IF($J2969&lt;=1500,INDEX('Daily Sale entry '!$X$1:$X$1501,$J2969+1),INDEX('Daily Sale entry '!$V$1:$V$1501,$J2969-1499)))</f>
        <v/>
      </c>
      <c r="B2969">
        <f>IF($J2969="","",IF($J2969&lt;=1500,INDEX('Daily Sale entry '!$Y$1:$Y$1501,$J2969+1)&amp;"","Buyer cheque banked 买家支票存入"&amp;IF(INDEX('Daily Sale entry '!$U$1:$U$1501,$J2969-1499)="","", " - "&amp;INDEX('Daily Sale entry '!$U$1:$U$1501,$J2969-1499))))</f>
        <v/>
      </c>
      <c r="C2969">
        <f>IF($J2969="","",IF($J2969&lt;=1500,INDEX('Daily Sale entry '!$Z$1:$Z$1501,$J2969+1)&amp;"","Cheque deposit 支票存入 (buyer 买家)"))</f>
        <v/>
      </c>
      <c r="D2969">
        <f>IF($J2969="","",IF($J2969&lt;=1500,INDEX('Daily Sale entry '!$AA$1:$AA$1501,$J2969+1)&amp;"",INDEX('Daily Sale entry '!$P$1:$P$1501,$J2969-1499)&amp;""))</f>
        <v/>
      </c>
      <c r="E2969">
        <f>IF($J2969="","",IF($J2969&lt;=1500,IF(N(INDEX('Daily Sale entry '!$AB$1:$AB$1501,$J2969+1))=0,"",INDEX('Daily Sale entry '!$AB$1:$AB$1501,$J2969+1)),1))</f>
        <v/>
      </c>
      <c r="F2969" s="6">
        <f>IF($J2969="","",IF($J2969&lt;=1500,N(INDEX('Daily Sale entry '!$AC$1:$AC$1501,$J2969+1))-IF(AND('Opening Balance'!$B$15=1,INDEX('Daily Sale entry '!$Z$1:$Z$1501,$J2969+1)="Online collection 网上收款",INDEX('Daily Sale entry '!$AA$1:$AA$1501,$J2969+1)&lt;&gt;""),N(INDEX('Daily Sale entry '!$AC$1:$AC$1501,$J2969+1))-TRUNC(N(INDEX('Daily Sale entry '!$AC$1:$AC$1501,$J2969+1))),0),N(INDEX('Daily Sale entry '!$S$1:$S$1501,$J2969-1499))-'Opening Balance'!$B$15*(N(INDEX('Daily Sale entry '!$S$1:$S$1501,$J2969-1499))-TRUNC(N(INDEX('Daily Sale entry '!$S$1:$S$1501,$J2969-1499))))))</f>
        <v/>
      </c>
      <c r="G2969" s="6">
        <f>IF($J2969="","",IF($J2969&lt;=1500,N(INDEX('Daily Sale entry '!$AD$1:$AD$1501,$J2969+1)),0))</f>
        <v/>
      </c>
      <c r="H2969" s="6">
        <f>IF($J2969="","",ROUND('Opening Balance'!$B$4+SUM($F$2:F2969)-SUM($G$2:G2969),2))</f>
        <v/>
      </c>
      <c r="J2969" s="21">
        <f>IFERROR(MATCH(ROW()-1,$L$2:$L$3001,0),"")</f>
        <v/>
      </c>
      <c r="K2969" s="34">
        <f>IF(AND('Daily Sale entry '!Q1469="Collection 收款",'Daily Sale entry '!R1469="Cheque 支票",'Daily Sale entry '!V1469&lt;&gt;""),'Daily Sale entry '!V1469+ROW()/10000000,"")</f>
        <v/>
      </c>
      <c r="L2969" s="21">
        <f>IF(K2969="","",COUNTIF($K$2:$K$3001,"&lt;"&amp;K2969)+1)</f>
        <v/>
      </c>
    </row>
    <row r="2970">
      <c r="A2970" s="5">
        <f>IF($J2970="","",IF($J2970&lt;=1500,INDEX('Daily Sale entry '!$X$1:$X$1501,$J2970+1),INDEX('Daily Sale entry '!$V$1:$V$1501,$J2970-1499)))</f>
        <v/>
      </c>
      <c r="B2970">
        <f>IF($J2970="","",IF($J2970&lt;=1500,INDEX('Daily Sale entry '!$Y$1:$Y$1501,$J2970+1)&amp;"","Buyer cheque banked 买家支票存入"&amp;IF(INDEX('Daily Sale entry '!$U$1:$U$1501,$J2970-1499)="","", " - "&amp;INDEX('Daily Sale entry '!$U$1:$U$1501,$J2970-1499))))</f>
        <v/>
      </c>
      <c r="C2970">
        <f>IF($J2970="","",IF($J2970&lt;=1500,INDEX('Daily Sale entry '!$Z$1:$Z$1501,$J2970+1)&amp;"","Cheque deposit 支票存入 (buyer 买家)"))</f>
        <v/>
      </c>
      <c r="D2970">
        <f>IF($J2970="","",IF($J2970&lt;=1500,INDEX('Daily Sale entry '!$AA$1:$AA$1501,$J2970+1)&amp;"",INDEX('Daily Sale entry '!$P$1:$P$1501,$J2970-1499)&amp;""))</f>
        <v/>
      </c>
      <c r="E2970">
        <f>IF($J2970="","",IF($J2970&lt;=1500,IF(N(INDEX('Daily Sale entry '!$AB$1:$AB$1501,$J2970+1))=0,"",INDEX('Daily Sale entry '!$AB$1:$AB$1501,$J2970+1)),1))</f>
        <v/>
      </c>
      <c r="F2970" s="6">
        <f>IF($J2970="","",IF($J2970&lt;=1500,N(INDEX('Daily Sale entry '!$AC$1:$AC$1501,$J2970+1))-IF(AND('Opening Balance'!$B$15=1,INDEX('Daily Sale entry '!$Z$1:$Z$1501,$J2970+1)="Online collection 网上收款",INDEX('Daily Sale entry '!$AA$1:$AA$1501,$J2970+1)&lt;&gt;""),N(INDEX('Daily Sale entry '!$AC$1:$AC$1501,$J2970+1))-TRUNC(N(INDEX('Daily Sale entry '!$AC$1:$AC$1501,$J2970+1))),0),N(INDEX('Daily Sale entry '!$S$1:$S$1501,$J2970-1499))-'Opening Balance'!$B$15*(N(INDEX('Daily Sale entry '!$S$1:$S$1501,$J2970-1499))-TRUNC(N(INDEX('Daily Sale entry '!$S$1:$S$1501,$J2970-1499))))))</f>
        <v/>
      </c>
      <c r="G2970" s="6">
        <f>IF($J2970="","",IF($J2970&lt;=1500,N(INDEX('Daily Sale entry '!$AD$1:$AD$1501,$J2970+1)),0))</f>
        <v/>
      </c>
      <c r="H2970" s="6">
        <f>IF($J2970="","",ROUND('Opening Balance'!$B$4+SUM($F$2:F2970)-SUM($G$2:G2970),2))</f>
        <v/>
      </c>
      <c r="J2970" s="21">
        <f>IFERROR(MATCH(ROW()-1,$L$2:$L$3001,0),"")</f>
        <v/>
      </c>
      <c r="K2970" s="34">
        <f>IF(AND('Daily Sale entry '!Q1470="Collection 收款",'Daily Sale entry '!R1470="Cheque 支票",'Daily Sale entry '!V1470&lt;&gt;""),'Daily Sale entry '!V1470+ROW()/10000000,"")</f>
        <v/>
      </c>
      <c r="L2970" s="21">
        <f>IF(K2970="","",COUNTIF($K$2:$K$3001,"&lt;"&amp;K2970)+1)</f>
        <v/>
      </c>
    </row>
    <row r="2971">
      <c r="A2971" s="5">
        <f>IF($J2971="","",IF($J2971&lt;=1500,INDEX('Daily Sale entry '!$X$1:$X$1501,$J2971+1),INDEX('Daily Sale entry '!$V$1:$V$1501,$J2971-1499)))</f>
        <v/>
      </c>
      <c r="B2971">
        <f>IF($J2971="","",IF($J2971&lt;=1500,INDEX('Daily Sale entry '!$Y$1:$Y$1501,$J2971+1)&amp;"","Buyer cheque banked 买家支票存入"&amp;IF(INDEX('Daily Sale entry '!$U$1:$U$1501,$J2971-1499)="","", " - "&amp;INDEX('Daily Sale entry '!$U$1:$U$1501,$J2971-1499))))</f>
        <v/>
      </c>
      <c r="C2971">
        <f>IF($J2971="","",IF($J2971&lt;=1500,INDEX('Daily Sale entry '!$Z$1:$Z$1501,$J2971+1)&amp;"","Cheque deposit 支票存入 (buyer 买家)"))</f>
        <v/>
      </c>
      <c r="D2971">
        <f>IF($J2971="","",IF($J2971&lt;=1500,INDEX('Daily Sale entry '!$AA$1:$AA$1501,$J2971+1)&amp;"",INDEX('Daily Sale entry '!$P$1:$P$1501,$J2971-1499)&amp;""))</f>
        <v/>
      </c>
      <c r="E2971">
        <f>IF($J2971="","",IF($J2971&lt;=1500,IF(N(INDEX('Daily Sale entry '!$AB$1:$AB$1501,$J2971+1))=0,"",INDEX('Daily Sale entry '!$AB$1:$AB$1501,$J2971+1)),1))</f>
        <v/>
      </c>
      <c r="F2971" s="6">
        <f>IF($J2971="","",IF($J2971&lt;=1500,N(INDEX('Daily Sale entry '!$AC$1:$AC$1501,$J2971+1))-IF(AND('Opening Balance'!$B$15=1,INDEX('Daily Sale entry '!$Z$1:$Z$1501,$J2971+1)="Online collection 网上收款",INDEX('Daily Sale entry '!$AA$1:$AA$1501,$J2971+1)&lt;&gt;""),N(INDEX('Daily Sale entry '!$AC$1:$AC$1501,$J2971+1))-TRUNC(N(INDEX('Daily Sale entry '!$AC$1:$AC$1501,$J2971+1))),0),N(INDEX('Daily Sale entry '!$S$1:$S$1501,$J2971-1499))-'Opening Balance'!$B$15*(N(INDEX('Daily Sale entry '!$S$1:$S$1501,$J2971-1499))-TRUNC(N(INDEX('Daily Sale entry '!$S$1:$S$1501,$J2971-1499))))))</f>
        <v/>
      </c>
      <c r="G2971" s="6">
        <f>IF($J2971="","",IF($J2971&lt;=1500,N(INDEX('Daily Sale entry '!$AD$1:$AD$1501,$J2971+1)),0))</f>
        <v/>
      </c>
      <c r="H2971" s="6">
        <f>IF($J2971="","",ROUND('Opening Balance'!$B$4+SUM($F$2:F2971)-SUM($G$2:G2971),2))</f>
        <v/>
      </c>
      <c r="J2971" s="21">
        <f>IFERROR(MATCH(ROW()-1,$L$2:$L$3001,0),"")</f>
        <v/>
      </c>
      <c r="K2971" s="34">
        <f>IF(AND('Daily Sale entry '!Q1471="Collection 收款",'Daily Sale entry '!R1471="Cheque 支票",'Daily Sale entry '!V1471&lt;&gt;""),'Daily Sale entry '!V1471+ROW()/10000000,"")</f>
        <v/>
      </c>
      <c r="L2971" s="21">
        <f>IF(K2971="","",COUNTIF($K$2:$K$3001,"&lt;"&amp;K2971)+1)</f>
        <v/>
      </c>
    </row>
    <row r="2972">
      <c r="A2972" s="5">
        <f>IF($J2972="","",IF($J2972&lt;=1500,INDEX('Daily Sale entry '!$X$1:$X$1501,$J2972+1),INDEX('Daily Sale entry '!$V$1:$V$1501,$J2972-1499)))</f>
        <v/>
      </c>
      <c r="B2972">
        <f>IF($J2972="","",IF($J2972&lt;=1500,INDEX('Daily Sale entry '!$Y$1:$Y$1501,$J2972+1)&amp;"","Buyer cheque banked 买家支票存入"&amp;IF(INDEX('Daily Sale entry '!$U$1:$U$1501,$J2972-1499)="","", " - "&amp;INDEX('Daily Sale entry '!$U$1:$U$1501,$J2972-1499))))</f>
        <v/>
      </c>
      <c r="C2972">
        <f>IF($J2972="","",IF($J2972&lt;=1500,INDEX('Daily Sale entry '!$Z$1:$Z$1501,$J2972+1)&amp;"","Cheque deposit 支票存入 (buyer 买家)"))</f>
        <v/>
      </c>
      <c r="D2972">
        <f>IF($J2972="","",IF($J2972&lt;=1500,INDEX('Daily Sale entry '!$AA$1:$AA$1501,$J2972+1)&amp;"",INDEX('Daily Sale entry '!$P$1:$P$1501,$J2972-1499)&amp;""))</f>
        <v/>
      </c>
      <c r="E2972">
        <f>IF($J2972="","",IF($J2972&lt;=1500,IF(N(INDEX('Daily Sale entry '!$AB$1:$AB$1501,$J2972+1))=0,"",INDEX('Daily Sale entry '!$AB$1:$AB$1501,$J2972+1)),1))</f>
        <v/>
      </c>
      <c r="F2972" s="6">
        <f>IF($J2972="","",IF($J2972&lt;=1500,N(INDEX('Daily Sale entry '!$AC$1:$AC$1501,$J2972+1))-IF(AND('Opening Balance'!$B$15=1,INDEX('Daily Sale entry '!$Z$1:$Z$1501,$J2972+1)="Online collection 网上收款",INDEX('Daily Sale entry '!$AA$1:$AA$1501,$J2972+1)&lt;&gt;""),N(INDEX('Daily Sale entry '!$AC$1:$AC$1501,$J2972+1))-TRUNC(N(INDEX('Daily Sale entry '!$AC$1:$AC$1501,$J2972+1))),0),N(INDEX('Daily Sale entry '!$S$1:$S$1501,$J2972-1499))-'Opening Balance'!$B$15*(N(INDEX('Daily Sale entry '!$S$1:$S$1501,$J2972-1499))-TRUNC(N(INDEX('Daily Sale entry '!$S$1:$S$1501,$J2972-1499))))))</f>
        <v/>
      </c>
      <c r="G2972" s="6">
        <f>IF($J2972="","",IF($J2972&lt;=1500,N(INDEX('Daily Sale entry '!$AD$1:$AD$1501,$J2972+1)),0))</f>
        <v/>
      </c>
      <c r="H2972" s="6">
        <f>IF($J2972="","",ROUND('Opening Balance'!$B$4+SUM($F$2:F2972)-SUM($G$2:G2972),2))</f>
        <v/>
      </c>
      <c r="J2972" s="21">
        <f>IFERROR(MATCH(ROW()-1,$L$2:$L$3001,0),"")</f>
        <v/>
      </c>
      <c r="K2972" s="34">
        <f>IF(AND('Daily Sale entry '!Q1472="Collection 收款",'Daily Sale entry '!R1472="Cheque 支票",'Daily Sale entry '!V1472&lt;&gt;""),'Daily Sale entry '!V1472+ROW()/10000000,"")</f>
        <v/>
      </c>
      <c r="L2972" s="21">
        <f>IF(K2972="","",COUNTIF($K$2:$K$3001,"&lt;"&amp;K2972)+1)</f>
        <v/>
      </c>
    </row>
    <row r="2973">
      <c r="A2973" s="5">
        <f>IF($J2973="","",IF($J2973&lt;=1500,INDEX('Daily Sale entry '!$X$1:$X$1501,$J2973+1),INDEX('Daily Sale entry '!$V$1:$V$1501,$J2973-1499)))</f>
        <v/>
      </c>
      <c r="B2973">
        <f>IF($J2973="","",IF($J2973&lt;=1500,INDEX('Daily Sale entry '!$Y$1:$Y$1501,$J2973+1)&amp;"","Buyer cheque banked 买家支票存入"&amp;IF(INDEX('Daily Sale entry '!$U$1:$U$1501,$J2973-1499)="","", " - "&amp;INDEX('Daily Sale entry '!$U$1:$U$1501,$J2973-1499))))</f>
        <v/>
      </c>
      <c r="C2973">
        <f>IF($J2973="","",IF($J2973&lt;=1500,INDEX('Daily Sale entry '!$Z$1:$Z$1501,$J2973+1)&amp;"","Cheque deposit 支票存入 (buyer 买家)"))</f>
        <v/>
      </c>
      <c r="D2973">
        <f>IF($J2973="","",IF($J2973&lt;=1500,INDEX('Daily Sale entry '!$AA$1:$AA$1501,$J2973+1)&amp;"",INDEX('Daily Sale entry '!$P$1:$P$1501,$J2973-1499)&amp;""))</f>
        <v/>
      </c>
      <c r="E2973">
        <f>IF($J2973="","",IF($J2973&lt;=1500,IF(N(INDEX('Daily Sale entry '!$AB$1:$AB$1501,$J2973+1))=0,"",INDEX('Daily Sale entry '!$AB$1:$AB$1501,$J2973+1)),1))</f>
        <v/>
      </c>
      <c r="F2973" s="6">
        <f>IF($J2973="","",IF($J2973&lt;=1500,N(INDEX('Daily Sale entry '!$AC$1:$AC$1501,$J2973+1))-IF(AND('Opening Balance'!$B$15=1,INDEX('Daily Sale entry '!$Z$1:$Z$1501,$J2973+1)="Online collection 网上收款",INDEX('Daily Sale entry '!$AA$1:$AA$1501,$J2973+1)&lt;&gt;""),N(INDEX('Daily Sale entry '!$AC$1:$AC$1501,$J2973+1))-TRUNC(N(INDEX('Daily Sale entry '!$AC$1:$AC$1501,$J2973+1))),0),N(INDEX('Daily Sale entry '!$S$1:$S$1501,$J2973-1499))-'Opening Balance'!$B$15*(N(INDEX('Daily Sale entry '!$S$1:$S$1501,$J2973-1499))-TRUNC(N(INDEX('Daily Sale entry '!$S$1:$S$1501,$J2973-1499))))))</f>
        <v/>
      </c>
      <c r="G2973" s="6">
        <f>IF($J2973="","",IF($J2973&lt;=1500,N(INDEX('Daily Sale entry '!$AD$1:$AD$1501,$J2973+1)),0))</f>
        <v/>
      </c>
      <c r="H2973" s="6">
        <f>IF($J2973="","",ROUND('Opening Balance'!$B$4+SUM($F$2:F2973)-SUM($G$2:G2973),2))</f>
        <v/>
      </c>
      <c r="J2973" s="21">
        <f>IFERROR(MATCH(ROW()-1,$L$2:$L$3001,0),"")</f>
        <v/>
      </c>
      <c r="K2973" s="34">
        <f>IF(AND('Daily Sale entry '!Q1473="Collection 收款",'Daily Sale entry '!R1473="Cheque 支票",'Daily Sale entry '!V1473&lt;&gt;""),'Daily Sale entry '!V1473+ROW()/10000000,"")</f>
        <v/>
      </c>
      <c r="L2973" s="21">
        <f>IF(K2973="","",COUNTIF($K$2:$K$3001,"&lt;"&amp;K2973)+1)</f>
        <v/>
      </c>
    </row>
    <row r="2974">
      <c r="A2974" s="5">
        <f>IF($J2974="","",IF($J2974&lt;=1500,INDEX('Daily Sale entry '!$X$1:$X$1501,$J2974+1),INDEX('Daily Sale entry '!$V$1:$V$1501,$J2974-1499)))</f>
        <v/>
      </c>
      <c r="B2974">
        <f>IF($J2974="","",IF($J2974&lt;=1500,INDEX('Daily Sale entry '!$Y$1:$Y$1501,$J2974+1)&amp;"","Buyer cheque banked 买家支票存入"&amp;IF(INDEX('Daily Sale entry '!$U$1:$U$1501,$J2974-1499)="","", " - "&amp;INDEX('Daily Sale entry '!$U$1:$U$1501,$J2974-1499))))</f>
        <v/>
      </c>
      <c r="C2974">
        <f>IF($J2974="","",IF($J2974&lt;=1500,INDEX('Daily Sale entry '!$Z$1:$Z$1501,$J2974+1)&amp;"","Cheque deposit 支票存入 (buyer 买家)"))</f>
        <v/>
      </c>
      <c r="D2974">
        <f>IF($J2974="","",IF($J2974&lt;=1500,INDEX('Daily Sale entry '!$AA$1:$AA$1501,$J2974+1)&amp;"",INDEX('Daily Sale entry '!$P$1:$P$1501,$J2974-1499)&amp;""))</f>
        <v/>
      </c>
      <c r="E2974">
        <f>IF($J2974="","",IF($J2974&lt;=1500,IF(N(INDEX('Daily Sale entry '!$AB$1:$AB$1501,$J2974+1))=0,"",INDEX('Daily Sale entry '!$AB$1:$AB$1501,$J2974+1)),1))</f>
        <v/>
      </c>
      <c r="F2974" s="6">
        <f>IF($J2974="","",IF($J2974&lt;=1500,N(INDEX('Daily Sale entry '!$AC$1:$AC$1501,$J2974+1))-IF(AND('Opening Balance'!$B$15=1,INDEX('Daily Sale entry '!$Z$1:$Z$1501,$J2974+1)="Online collection 网上收款",INDEX('Daily Sale entry '!$AA$1:$AA$1501,$J2974+1)&lt;&gt;""),N(INDEX('Daily Sale entry '!$AC$1:$AC$1501,$J2974+1))-TRUNC(N(INDEX('Daily Sale entry '!$AC$1:$AC$1501,$J2974+1))),0),N(INDEX('Daily Sale entry '!$S$1:$S$1501,$J2974-1499))-'Opening Balance'!$B$15*(N(INDEX('Daily Sale entry '!$S$1:$S$1501,$J2974-1499))-TRUNC(N(INDEX('Daily Sale entry '!$S$1:$S$1501,$J2974-1499))))))</f>
        <v/>
      </c>
      <c r="G2974" s="6">
        <f>IF($J2974="","",IF($J2974&lt;=1500,N(INDEX('Daily Sale entry '!$AD$1:$AD$1501,$J2974+1)),0))</f>
        <v/>
      </c>
      <c r="H2974" s="6">
        <f>IF($J2974="","",ROUND('Opening Balance'!$B$4+SUM($F$2:F2974)-SUM($G$2:G2974),2))</f>
        <v/>
      </c>
      <c r="J2974" s="21">
        <f>IFERROR(MATCH(ROW()-1,$L$2:$L$3001,0),"")</f>
        <v/>
      </c>
      <c r="K2974" s="34">
        <f>IF(AND('Daily Sale entry '!Q1474="Collection 收款",'Daily Sale entry '!R1474="Cheque 支票",'Daily Sale entry '!V1474&lt;&gt;""),'Daily Sale entry '!V1474+ROW()/10000000,"")</f>
        <v/>
      </c>
      <c r="L2974" s="21">
        <f>IF(K2974="","",COUNTIF($K$2:$K$3001,"&lt;"&amp;K2974)+1)</f>
        <v/>
      </c>
    </row>
    <row r="2975">
      <c r="A2975" s="5">
        <f>IF($J2975="","",IF($J2975&lt;=1500,INDEX('Daily Sale entry '!$X$1:$X$1501,$J2975+1),INDEX('Daily Sale entry '!$V$1:$V$1501,$J2975-1499)))</f>
        <v/>
      </c>
      <c r="B2975">
        <f>IF($J2975="","",IF($J2975&lt;=1500,INDEX('Daily Sale entry '!$Y$1:$Y$1501,$J2975+1)&amp;"","Buyer cheque banked 买家支票存入"&amp;IF(INDEX('Daily Sale entry '!$U$1:$U$1501,$J2975-1499)="","", " - "&amp;INDEX('Daily Sale entry '!$U$1:$U$1501,$J2975-1499))))</f>
        <v/>
      </c>
      <c r="C2975">
        <f>IF($J2975="","",IF($J2975&lt;=1500,INDEX('Daily Sale entry '!$Z$1:$Z$1501,$J2975+1)&amp;"","Cheque deposit 支票存入 (buyer 买家)"))</f>
        <v/>
      </c>
      <c r="D2975">
        <f>IF($J2975="","",IF($J2975&lt;=1500,INDEX('Daily Sale entry '!$AA$1:$AA$1501,$J2975+1)&amp;"",INDEX('Daily Sale entry '!$P$1:$P$1501,$J2975-1499)&amp;""))</f>
        <v/>
      </c>
      <c r="E2975">
        <f>IF($J2975="","",IF($J2975&lt;=1500,IF(N(INDEX('Daily Sale entry '!$AB$1:$AB$1501,$J2975+1))=0,"",INDEX('Daily Sale entry '!$AB$1:$AB$1501,$J2975+1)),1))</f>
        <v/>
      </c>
      <c r="F2975" s="6">
        <f>IF($J2975="","",IF($J2975&lt;=1500,N(INDEX('Daily Sale entry '!$AC$1:$AC$1501,$J2975+1))-IF(AND('Opening Balance'!$B$15=1,INDEX('Daily Sale entry '!$Z$1:$Z$1501,$J2975+1)="Online collection 网上收款",INDEX('Daily Sale entry '!$AA$1:$AA$1501,$J2975+1)&lt;&gt;""),N(INDEX('Daily Sale entry '!$AC$1:$AC$1501,$J2975+1))-TRUNC(N(INDEX('Daily Sale entry '!$AC$1:$AC$1501,$J2975+1))),0),N(INDEX('Daily Sale entry '!$S$1:$S$1501,$J2975-1499))-'Opening Balance'!$B$15*(N(INDEX('Daily Sale entry '!$S$1:$S$1501,$J2975-1499))-TRUNC(N(INDEX('Daily Sale entry '!$S$1:$S$1501,$J2975-1499))))))</f>
        <v/>
      </c>
      <c r="G2975" s="6">
        <f>IF($J2975="","",IF($J2975&lt;=1500,N(INDEX('Daily Sale entry '!$AD$1:$AD$1501,$J2975+1)),0))</f>
        <v/>
      </c>
      <c r="H2975" s="6">
        <f>IF($J2975="","",ROUND('Opening Balance'!$B$4+SUM($F$2:F2975)-SUM($G$2:G2975),2))</f>
        <v/>
      </c>
      <c r="J2975" s="21">
        <f>IFERROR(MATCH(ROW()-1,$L$2:$L$3001,0),"")</f>
        <v/>
      </c>
      <c r="K2975" s="34">
        <f>IF(AND('Daily Sale entry '!Q1475="Collection 收款",'Daily Sale entry '!R1475="Cheque 支票",'Daily Sale entry '!V1475&lt;&gt;""),'Daily Sale entry '!V1475+ROW()/10000000,"")</f>
        <v/>
      </c>
      <c r="L2975" s="21">
        <f>IF(K2975="","",COUNTIF($K$2:$K$3001,"&lt;"&amp;K2975)+1)</f>
        <v/>
      </c>
    </row>
    <row r="2976">
      <c r="A2976" s="5">
        <f>IF($J2976="","",IF($J2976&lt;=1500,INDEX('Daily Sale entry '!$X$1:$X$1501,$J2976+1),INDEX('Daily Sale entry '!$V$1:$V$1501,$J2976-1499)))</f>
        <v/>
      </c>
      <c r="B2976">
        <f>IF($J2976="","",IF($J2976&lt;=1500,INDEX('Daily Sale entry '!$Y$1:$Y$1501,$J2976+1)&amp;"","Buyer cheque banked 买家支票存入"&amp;IF(INDEX('Daily Sale entry '!$U$1:$U$1501,$J2976-1499)="","", " - "&amp;INDEX('Daily Sale entry '!$U$1:$U$1501,$J2976-1499))))</f>
        <v/>
      </c>
      <c r="C2976">
        <f>IF($J2976="","",IF($J2976&lt;=1500,INDEX('Daily Sale entry '!$Z$1:$Z$1501,$J2976+1)&amp;"","Cheque deposit 支票存入 (buyer 买家)"))</f>
        <v/>
      </c>
      <c r="D2976">
        <f>IF($J2976="","",IF($J2976&lt;=1500,INDEX('Daily Sale entry '!$AA$1:$AA$1501,$J2976+1)&amp;"",INDEX('Daily Sale entry '!$P$1:$P$1501,$J2976-1499)&amp;""))</f>
        <v/>
      </c>
      <c r="E2976">
        <f>IF($J2976="","",IF($J2976&lt;=1500,IF(N(INDEX('Daily Sale entry '!$AB$1:$AB$1501,$J2976+1))=0,"",INDEX('Daily Sale entry '!$AB$1:$AB$1501,$J2976+1)),1))</f>
        <v/>
      </c>
      <c r="F2976" s="6">
        <f>IF($J2976="","",IF($J2976&lt;=1500,N(INDEX('Daily Sale entry '!$AC$1:$AC$1501,$J2976+1))-IF(AND('Opening Balance'!$B$15=1,INDEX('Daily Sale entry '!$Z$1:$Z$1501,$J2976+1)="Online collection 网上收款",INDEX('Daily Sale entry '!$AA$1:$AA$1501,$J2976+1)&lt;&gt;""),N(INDEX('Daily Sale entry '!$AC$1:$AC$1501,$J2976+1))-TRUNC(N(INDEX('Daily Sale entry '!$AC$1:$AC$1501,$J2976+1))),0),N(INDEX('Daily Sale entry '!$S$1:$S$1501,$J2976-1499))-'Opening Balance'!$B$15*(N(INDEX('Daily Sale entry '!$S$1:$S$1501,$J2976-1499))-TRUNC(N(INDEX('Daily Sale entry '!$S$1:$S$1501,$J2976-1499))))))</f>
        <v/>
      </c>
      <c r="G2976" s="6">
        <f>IF($J2976="","",IF($J2976&lt;=1500,N(INDEX('Daily Sale entry '!$AD$1:$AD$1501,$J2976+1)),0))</f>
        <v/>
      </c>
      <c r="H2976" s="6">
        <f>IF($J2976="","",ROUND('Opening Balance'!$B$4+SUM($F$2:F2976)-SUM($G$2:G2976),2))</f>
        <v/>
      </c>
      <c r="J2976" s="21">
        <f>IFERROR(MATCH(ROW()-1,$L$2:$L$3001,0),"")</f>
        <v/>
      </c>
      <c r="K2976" s="34">
        <f>IF(AND('Daily Sale entry '!Q1476="Collection 收款",'Daily Sale entry '!R1476="Cheque 支票",'Daily Sale entry '!V1476&lt;&gt;""),'Daily Sale entry '!V1476+ROW()/10000000,"")</f>
        <v/>
      </c>
      <c r="L2976" s="21">
        <f>IF(K2976="","",COUNTIF($K$2:$K$3001,"&lt;"&amp;K2976)+1)</f>
        <v/>
      </c>
    </row>
    <row r="2977">
      <c r="A2977" s="5">
        <f>IF($J2977="","",IF($J2977&lt;=1500,INDEX('Daily Sale entry '!$X$1:$X$1501,$J2977+1),INDEX('Daily Sale entry '!$V$1:$V$1501,$J2977-1499)))</f>
        <v/>
      </c>
      <c r="B2977">
        <f>IF($J2977="","",IF($J2977&lt;=1500,INDEX('Daily Sale entry '!$Y$1:$Y$1501,$J2977+1)&amp;"","Buyer cheque banked 买家支票存入"&amp;IF(INDEX('Daily Sale entry '!$U$1:$U$1501,$J2977-1499)="","", " - "&amp;INDEX('Daily Sale entry '!$U$1:$U$1501,$J2977-1499))))</f>
        <v/>
      </c>
      <c r="C2977">
        <f>IF($J2977="","",IF($J2977&lt;=1500,INDEX('Daily Sale entry '!$Z$1:$Z$1501,$J2977+1)&amp;"","Cheque deposit 支票存入 (buyer 买家)"))</f>
        <v/>
      </c>
      <c r="D2977">
        <f>IF($J2977="","",IF($J2977&lt;=1500,INDEX('Daily Sale entry '!$AA$1:$AA$1501,$J2977+1)&amp;"",INDEX('Daily Sale entry '!$P$1:$P$1501,$J2977-1499)&amp;""))</f>
        <v/>
      </c>
      <c r="E2977">
        <f>IF($J2977="","",IF($J2977&lt;=1500,IF(N(INDEX('Daily Sale entry '!$AB$1:$AB$1501,$J2977+1))=0,"",INDEX('Daily Sale entry '!$AB$1:$AB$1501,$J2977+1)),1))</f>
        <v/>
      </c>
      <c r="F2977" s="6">
        <f>IF($J2977="","",IF($J2977&lt;=1500,N(INDEX('Daily Sale entry '!$AC$1:$AC$1501,$J2977+1))-IF(AND('Opening Balance'!$B$15=1,INDEX('Daily Sale entry '!$Z$1:$Z$1501,$J2977+1)="Online collection 网上收款",INDEX('Daily Sale entry '!$AA$1:$AA$1501,$J2977+1)&lt;&gt;""),N(INDEX('Daily Sale entry '!$AC$1:$AC$1501,$J2977+1))-TRUNC(N(INDEX('Daily Sale entry '!$AC$1:$AC$1501,$J2977+1))),0),N(INDEX('Daily Sale entry '!$S$1:$S$1501,$J2977-1499))-'Opening Balance'!$B$15*(N(INDEX('Daily Sale entry '!$S$1:$S$1501,$J2977-1499))-TRUNC(N(INDEX('Daily Sale entry '!$S$1:$S$1501,$J2977-1499))))))</f>
        <v/>
      </c>
      <c r="G2977" s="6">
        <f>IF($J2977="","",IF($J2977&lt;=1500,N(INDEX('Daily Sale entry '!$AD$1:$AD$1501,$J2977+1)),0))</f>
        <v/>
      </c>
      <c r="H2977" s="6">
        <f>IF($J2977="","",ROUND('Opening Balance'!$B$4+SUM($F$2:F2977)-SUM($G$2:G2977),2))</f>
        <v/>
      </c>
      <c r="J2977" s="21">
        <f>IFERROR(MATCH(ROW()-1,$L$2:$L$3001,0),"")</f>
        <v/>
      </c>
      <c r="K2977" s="34">
        <f>IF(AND('Daily Sale entry '!Q1477="Collection 收款",'Daily Sale entry '!R1477="Cheque 支票",'Daily Sale entry '!V1477&lt;&gt;""),'Daily Sale entry '!V1477+ROW()/10000000,"")</f>
        <v/>
      </c>
      <c r="L2977" s="21">
        <f>IF(K2977="","",COUNTIF($K$2:$K$3001,"&lt;"&amp;K2977)+1)</f>
        <v/>
      </c>
    </row>
    <row r="2978">
      <c r="A2978" s="5">
        <f>IF($J2978="","",IF($J2978&lt;=1500,INDEX('Daily Sale entry '!$X$1:$X$1501,$J2978+1),INDEX('Daily Sale entry '!$V$1:$V$1501,$J2978-1499)))</f>
        <v/>
      </c>
      <c r="B2978">
        <f>IF($J2978="","",IF($J2978&lt;=1500,INDEX('Daily Sale entry '!$Y$1:$Y$1501,$J2978+1)&amp;"","Buyer cheque banked 买家支票存入"&amp;IF(INDEX('Daily Sale entry '!$U$1:$U$1501,$J2978-1499)="","", " - "&amp;INDEX('Daily Sale entry '!$U$1:$U$1501,$J2978-1499))))</f>
        <v/>
      </c>
      <c r="C2978">
        <f>IF($J2978="","",IF($J2978&lt;=1500,INDEX('Daily Sale entry '!$Z$1:$Z$1501,$J2978+1)&amp;"","Cheque deposit 支票存入 (buyer 买家)"))</f>
        <v/>
      </c>
      <c r="D2978">
        <f>IF($J2978="","",IF($J2978&lt;=1500,INDEX('Daily Sale entry '!$AA$1:$AA$1501,$J2978+1)&amp;"",INDEX('Daily Sale entry '!$P$1:$P$1501,$J2978-1499)&amp;""))</f>
        <v/>
      </c>
      <c r="E2978">
        <f>IF($J2978="","",IF($J2978&lt;=1500,IF(N(INDEX('Daily Sale entry '!$AB$1:$AB$1501,$J2978+1))=0,"",INDEX('Daily Sale entry '!$AB$1:$AB$1501,$J2978+1)),1))</f>
        <v/>
      </c>
      <c r="F2978" s="6">
        <f>IF($J2978="","",IF($J2978&lt;=1500,N(INDEX('Daily Sale entry '!$AC$1:$AC$1501,$J2978+1))-IF(AND('Opening Balance'!$B$15=1,INDEX('Daily Sale entry '!$Z$1:$Z$1501,$J2978+1)="Online collection 网上收款",INDEX('Daily Sale entry '!$AA$1:$AA$1501,$J2978+1)&lt;&gt;""),N(INDEX('Daily Sale entry '!$AC$1:$AC$1501,$J2978+1))-TRUNC(N(INDEX('Daily Sale entry '!$AC$1:$AC$1501,$J2978+1))),0),N(INDEX('Daily Sale entry '!$S$1:$S$1501,$J2978-1499))-'Opening Balance'!$B$15*(N(INDEX('Daily Sale entry '!$S$1:$S$1501,$J2978-1499))-TRUNC(N(INDEX('Daily Sale entry '!$S$1:$S$1501,$J2978-1499))))))</f>
        <v/>
      </c>
      <c r="G2978" s="6">
        <f>IF($J2978="","",IF($J2978&lt;=1500,N(INDEX('Daily Sale entry '!$AD$1:$AD$1501,$J2978+1)),0))</f>
        <v/>
      </c>
      <c r="H2978" s="6">
        <f>IF($J2978="","",ROUND('Opening Balance'!$B$4+SUM($F$2:F2978)-SUM($G$2:G2978),2))</f>
        <v/>
      </c>
      <c r="J2978" s="21">
        <f>IFERROR(MATCH(ROW()-1,$L$2:$L$3001,0),"")</f>
        <v/>
      </c>
      <c r="K2978" s="34">
        <f>IF(AND('Daily Sale entry '!Q1478="Collection 收款",'Daily Sale entry '!R1478="Cheque 支票",'Daily Sale entry '!V1478&lt;&gt;""),'Daily Sale entry '!V1478+ROW()/10000000,"")</f>
        <v/>
      </c>
      <c r="L2978" s="21">
        <f>IF(K2978="","",COUNTIF($K$2:$K$3001,"&lt;"&amp;K2978)+1)</f>
        <v/>
      </c>
    </row>
    <row r="2979">
      <c r="A2979" s="5">
        <f>IF($J2979="","",IF($J2979&lt;=1500,INDEX('Daily Sale entry '!$X$1:$X$1501,$J2979+1),INDEX('Daily Sale entry '!$V$1:$V$1501,$J2979-1499)))</f>
        <v/>
      </c>
      <c r="B2979">
        <f>IF($J2979="","",IF($J2979&lt;=1500,INDEX('Daily Sale entry '!$Y$1:$Y$1501,$J2979+1)&amp;"","Buyer cheque banked 买家支票存入"&amp;IF(INDEX('Daily Sale entry '!$U$1:$U$1501,$J2979-1499)="","", " - "&amp;INDEX('Daily Sale entry '!$U$1:$U$1501,$J2979-1499))))</f>
        <v/>
      </c>
      <c r="C2979">
        <f>IF($J2979="","",IF($J2979&lt;=1500,INDEX('Daily Sale entry '!$Z$1:$Z$1501,$J2979+1)&amp;"","Cheque deposit 支票存入 (buyer 买家)"))</f>
        <v/>
      </c>
      <c r="D2979">
        <f>IF($J2979="","",IF($J2979&lt;=1500,INDEX('Daily Sale entry '!$AA$1:$AA$1501,$J2979+1)&amp;"",INDEX('Daily Sale entry '!$P$1:$P$1501,$J2979-1499)&amp;""))</f>
        <v/>
      </c>
      <c r="E2979">
        <f>IF($J2979="","",IF($J2979&lt;=1500,IF(N(INDEX('Daily Sale entry '!$AB$1:$AB$1501,$J2979+1))=0,"",INDEX('Daily Sale entry '!$AB$1:$AB$1501,$J2979+1)),1))</f>
        <v/>
      </c>
      <c r="F2979" s="6">
        <f>IF($J2979="","",IF($J2979&lt;=1500,N(INDEX('Daily Sale entry '!$AC$1:$AC$1501,$J2979+1))-IF(AND('Opening Balance'!$B$15=1,INDEX('Daily Sale entry '!$Z$1:$Z$1501,$J2979+1)="Online collection 网上收款",INDEX('Daily Sale entry '!$AA$1:$AA$1501,$J2979+1)&lt;&gt;""),N(INDEX('Daily Sale entry '!$AC$1:$AC$1501,$J2979+1))-TRUNC(N(INDEX('Daily Sale entry '!$AC$1:$AC$1501,$J2979+1))),0),N(INDEX('Daily Sale entry '!$S$1:$S$1501,$J2979-1499))-'Opening Balance'!$B$15*(N(INDEX('Daily Sale entry '!$S$1:$S$1501,$J2979-1499))-TRUNC(N(INDEX('Daily Sale entry '!$S$1:$S$1501,$J2979-1499))))))</f>
        <v/>
      </c>
      <c r="G2979" s="6">
        <f>IF($J2979="","",IF($J2979&lt;=1500,N(INDEX('Daily Sale entry '!$AD$1:$AD$1501,$J2979+1)),0))</f>
        <v/>
      </c>
      <c r="H2979" s="6">
        <f>IF($J2979="","",ROUND('Opening Balance'!$B$4+SUM($F$2:F2979)-SUM($G$2:G2979),2))</f>
        <v/>
      </c>
      <c r="J2979" s="21">
        <f>IFERROR(MATCH(ROW()-1,$L$2:$L$3001,0),"")</f>
        <v/>
      </c>
      <c r="K2979" s="34">
        <f>IF(AND('Daily Sale entry '!Q1479="Collection 收款",'Daily Sale entry '!R1479="Cheque 支票",'Daily Sale entry '!V1479&lt;&gt;""),'Daily Sale entry '!V1479+ROW()/10000000,"")</f>
        <v/>
      </c>
      <c r="L2979" s="21">
        <f>IF(K2979="","",COUNTIF($K$2:$K$3001,"&lt;"&amp;K2979)+1)</f>
        <v/>
      </c>
    </row>
    <row r="2980">
      <c r="A2980" s="5">
        <f>IF($J2980="","",IF($J2980&lt;=1500,INDEX('Daily Sale entry '!$X$1:$X$1501,$J2980+1),INDEX('Daily Sale entry '!$V$1:$V$1501,$J2980-1499)))</f>
        <v/>
      </c>
      <c r="B2980">
        <f>IF($J2980="","",IF($J2980&lt;=1500,INDEX('Daily Sale entry '!$Y$1:$Y$1501,$J2980+1)&amp;"","Buyer cheque banked 买家支票存入"&amp;IF(INDEX('Daily Sale entry '!$U$1:$U$1501,$J2980-1499)="","", " - "&amp;INDEX('Daily Sale entry '!$U$1:$U$1501,$J2980-1499))))</f>
        <v/>
      </c>
      <c r="C2980">
        <f>IF($J2980="","",IF($J2980&lt;=1500,INDEX('Daily Sale entry '!$Z$1:$Z$1501,$J2980+1)&amp;"","Cheque deposit 支票存入 (buyer 买家)"))</f>
        <v/>
      </c>
      <c r="D2980">
        <f>IF($J2980="","",IF($J2980&lt;=1500,INDEX('Daily Sale entry '!$AA$1:$AA$1501,$J2980+1)&amp;"",INDEX('Daily Sale entry '!$P$1:$P$1501,$J2980-1499)&amp;""))</f>
        <v/>
      </c>
      <c r="E2980">
        <f>IF($J2980="","",IF($J2980&lt;=1500,IF(N(INDEX('Daily Sale entry '!$AB$1:$AB$1501,$J2980+1))=0,"",INDEX('Daily Sale entry '!$AB$1:$AB$1501,$J2980+1)),1))</f>
        <v/>
      </c>
      <c r="F2980" s="6">
        <f>IF($J2980="","",IF($J2980&lt;=1500,N(INDEX('Daily Sale entry '!$AC$1:$AC$1501,$J2980+1))-IF(AND('Opening Balance'!$B$15=1,INDEX('Daily Sale entry '!$Z$1:$Z$1501,$J2980+1)="Online collection 网上收款",INDEX('Daily Sale entry '!$AA$1:$AA$1501,$J2980+1)&lt;&gt;""),N(INDEX('Daily Sale entry '!$AC$1:$AC$1501,$J2980+1))-TRUNC(N(INDEX('Daily Sale entry '!$AC$1:$AC$1501,$J2980+1))),0),N(INDEX('Daily Sale entry '!$S$1:$S$1501,$J2980-1499))-'Opening Balance'!$B$15*(N(INDEX('Daily Sale entry '!$S$1:$S$1501,$J2980-1499))-TRUNC(N(INDEX('Daily Sale entry '!$S$1:$S$1501,$J2980-1499))))))</f>
        <v/>
      </c>
      <c r="G2980" s="6">
        <f>IF($J2980="","",IF($J2980&lt;=1500,N(INDEX('Daily Sale entry '!$AD$1:$AD$1501,$J2980+1)),0))</f>
        <v/>
      </c>
      <c r="H2980" s="6">
        <f>IF($J2980="","",ROUND('Opening Balance'!$B$4+SUM($F$2:F2980)-SUM($G$2:G2980),2))</f>
        <v/>
      </c>
      <c r="J2980" s="21">
        <f>IFERROR(MATCH(ROW()-1,$L$2:$L$3001,0),"")</f>
        <v/>
      </c>
      <c r="K2980" s="34">
        <f>IF(AND('Daily Sale entry '!Q1480="Collection 收款",'Daily Sale entry '!R1480="Cheque 支票",'Daily Sale entry '!V1480&lt;&gt;""),'Daily Sale entry '!V1480+ROW()/10000000,"")</f>
        <v/>
      </c>
      <c r="L2980" s="21">
        <f>IF(K2980="","",COUNTIF($K$2:$K$3001,"&lt;"&amp;K2980)+1)</f>
        <v/>
      </c>
    </row>
    <row r="2981">
      <c r="A2981" s="5">
        <f>IF($J2981="","",IF($J2981&lt;=1500,INDEX('Daily Sale entry '!$X$1:$X$1501,$J2981+1),INDEX('Daily Sale entry '!$V$1:$V$1501,$J2981-1499)))</f>
        <v/>
      </c>
      <c r="B2981">
        <f>IF($J2981="","",IF($J2981&lt;=1500,INDEX('Daily Sale entry '!$Y$1:$Y$1501,$J2981+1)&amp;"","Buyer cheque banked 买家支票存入"&amp;IF(INDEX('Daily Sale entry '!$U$1:$U$1501,$J2981-1499)="","", " - "&amp;INDEX('Daily Sale entry '!$U$1:$U$1501,$J2981-1499))))</f>
        <v/>
      </c>
      <c r="C2981">
        <f>IF($J2981="","",IF($J2981&lt;=1500,INDEX('Daily Sale entry '!$Z$1:$Z$1501,$J2981+1)&amp;"","Cheque deposit 支票存入 (buyer 买家)"))</f>
        <v/>
      </c>
      <c r="D2981">
        <f>IF($J2981="","",IF($J2981&lt;=1500,INDEX('Daily Sale entry '!$AA$1:$AA$1501,$J2981+1)&amp;"",INDEX('Daily Sale entry '!$P$1:$P$1501,$J2981-1499)&amp;""))</f>
        <v/>
      </c>
      <c r="E2981">
        <f>IF($J2981="","",IF($J2981&lt;=1500,IF(N(INDEX('Daily Sale entry '!$AB$1:$AB$1501,$J2981+1))=0,"",INDEX('Daily Sale entry '!$AB$1:$AB$1501,$J2981+1)),1))</f>
        <v/>
      </c>
      <c r="F2981" s="6">
        <f>IF($J2981="","",IF($J2981&lt;=1500,N(INDEX('Daily Sale entry '!$AC$1:$AC$1501,$J2981+1))-IF(AND('Opening Balance'!$B$15=1,INDEX('Daily Sale entry '!$Z$1:$Z$1501,$J2981+1)="Online collection 网上收款",INDEX('Daily Sale entry '!$AA$1:$AA$1501,$J2981+1)&lt;&gt;""),N(INDEX('Daily Sale entry '!$AC$1:$AC$1501,$J2981+1))-TRUNC(N(INDEX('Daily Sale entry '!$AC$1:$AC$1501,$J2981+1))),0),N(INDEX('Daily Sale entry '!$S$1:$S$1501,$J2981-1499))-'Opening Balance'!$B$15*(N(INDEX('Daily Sale entry '!$S$1:$S$1501,$J2981-1499))-TRUNC(N(INDEX('Daily Sale entry '!$S$1:$S$1501,$J2981-1499))))))</f>
        <v/>
      </c>
      <c r="G2981" s="6">
        <f>IF($J2981="","",IF($J2981&lt;=1500,N(INDEX('Daily Sale entry '!$AD$1:$AD$1501,$J2981+1)),0))</f>
        <v/>
      </c>
      <c r="H2981" s="6">
        <f>IF($J2981="","",ROUND('Opening Balance'!$B$4+SUM($F$2:F2981)-SUM($G$2:G2981),2))</f>
        <v/>
      </c>
      <c r="J2981" s="21">
        <f>IFERROR(MATCH(ROW()-1,$L$2:$L$3001,0),"")</f>
        <v/>
      </c>
      <c r="K2981" s="34">
        <f>IF(AND('Daily Sale entry '!Q1481="Collection 收款",'Daily Sale entry '!R1481="Cheque 支票",'Daily Sale entry '!V1481&lt;&gt;""),'Daily Sale entry '!V1481+ROW()/10000000,"")</f>
        <v/>
      </c>
      <c r="L2981" s="21">
        <f>IF(K2981="","",COUNTIF($K$2:$K$3001,"&lt;"&amp;K2981)+1)</f>
        <v/>
      </c>
    </row>
    <row r="2982">
      <c r="A2982" s="5">
        <f>IF($J2982="","",IF($J2982&lt;=1500,INDEX('Daily Sale entry '!$X$1:$X$1501,$J2982+1),INDEX('Daily Sale entry '!$V$1:$V$1501,$J2982-1499)))</f>
        <v/>
      </c>
      <c r="B2982">
        <f>IF($J2982="","",IF($J2982&lt;=1500,INDEX('Daily Sale entry '!$Y$1:$Y$1501,$J2982+1)&amp;"","Buyer cheque banked 买家支票存入"&amp;IF(INDEX('Daily Sale entry '!$U$1:$U$1501,$J2982-1499)="","", " - "&amp;INDEX('Daily Sale entry '!$U$1:$U$1501,$J2982-1499))))</f>
        <v/>
      </c>
      <c r="C2982">
        <f>IF($J2982="","",IF($J2982&lt;=1500,INDEX('Daily Sale entry '!$Z$1:$Z$1501,$J2982+1)&amp;"","Cheque deposit 支票存入 (buyer 买家)"))</f>
        <v/>
      </c>
      <c r="D2982">
        <f>IF($J2982="","",IF($J2982&lt;=1500,INDEX('Daily Sale entry '!$AA$1:$AA$1501,$J2982+1)&amp;"",INDEX('Daily Sale entry '!$P$1:$P$1501,$J2982-1499)&amp;""))</f>
        <v/>
      </c>
      <c r="E2982">
        <f>IF($J2982="","",IF($J2982&lt;=1500,IF(N(INDEX('Daily Sale entry '!$AB$1:$AB$1501,$J2982+1))=0,"",INDEX('Daily Sale entry '!$AB$1:$AB$1501,$J2982+1)),1))</f>
        <v/>
      </c>
      <c r="F2982" s="6">
        <f>IF($J2982="","",IF($J2982&lt;=1500,N(INDEX('Daily Sale entry '!$AC$1:$AC$1501,$J2982+1))-IF(AND('Opening Balance'!$B$15=1,INDEX('Daily Sale entry '!$Z$1:$Z$1501,$J2982+1)="Online collection 网上收款",INDEX('Daily Sale entry '!$AA$1:$AA$1501,$J2982+1)&lt;&gt;""),N(INDEX('Daily Sale entry '!$AC$1:$AC$1501,$J2982+1))-TRUNC(N(INDEX('Daily Sale entry '!$AC$1:$AC$1501,$J2982+1))),0),N(INDEX('Daily Sale entry '!$S$1:$S$1501,$J2982-1499))-'Opening Balance'!$B$15*(N(INDEX('Daily Sale entry '!$S$1:$S$1501,$J2982-1499))-TRUNC(N(INDEX('Daily Sale entry '!$S$1:$S$1501,$J2982-1499))))))</f>
        <v/>
      </c>
      <c r="G2982" s="6">
        <f>IF($J2982="","",IF($J2982&lt;=1500,N(INDEX('Daily Sale entry '!$AD$1:$AD$1501,$J2982+1)),0))</f>
        <v/>
      </c>
      <c r="H2982" s="6">
        <f>IF($J2982="","",ROUND('Opening Balance'!$B$4+SUM($F$2:F2982)-SUM($G$2:G2982),2))</f>
        <v/>
      </c>
      <c r="J2982" s="21">
        <f>IFERROR(MATCH(ROW()-1,$L$2:$L$3001,0),"")</f>
        <v/>
      </c>
      <c r="K2982" s="34">
        <f>IF(AND('Daily Sale entry '!Q1482="Collection 收款",'Daily Sale entry '!R1482="Cheque 支票",'Daily Sale entry '!V1482&lt;&gt;""),'Daily Sale entry '!V1482+ROW()/10000000,"")</f>
        <v/>
      </c>
      <c r="L2982" s="21">
        <f>IF(K2982="","",COUNTIF($K$2:$K$3001,"&lt;"&amp;K2982)+1)</f>
        <v/>
      </c>
    </row>
    <row r="2983">
      <c r="A2983" s="5">
        <f>IF($J2983="","",IF($J2983&lt;=1500,INDEX('Daily Sale entry '!$X$1:$X$1501,$J2983+1),INDEX('Daily Sale entry '!$V$1:$V$1501,$J2983-1499)))</f>
        <v/>
      </c>
      <c r="B2983">
        <f>IF($J2983="","",IF($J2983&lt;=1500,INDEX('Daily Sale entry '!$Y$1:$Y$1501,$J2983+1)&amp;"","Buyer cheque banked 买家支票存入"&amp;IF(INDEX('Daily Sale entry '!$U$1:$U$1501,$J2983-1499)="","", " - "&amp;INDEX('Daily Sale entry '!$U$1:$U$1501,$J2983-1499))))</f>
        <v/>
      </c>
      <c r="C2983">
        <f>IF($J2983="","",IF($J2983&lt;=1500,INDEX('Daily Sale entry '!$Z$1:$Z$1501,$J2983+1)&amp;"","Cheque deposit 支票存入 (buyer 买家)"))</f>
        <v/>
      </c>
      <c r="D2983">
        <f>IF($J2983="","",IF($J2983&lt;=1500,INDEX('Daily Sale entry '!$AA$1:$AA$1501,$J2983+1)&amp;"",INDEX('Daily Sale entry '!$P$1:$P$1501,$J2983-1499)&amp;""))</f>
        <v/>
      </c>
      <c r="E2983">
        <f>IF($J2983="","",IF($J2983&lt;=1500,IF(N(INDEX('Daily Sale entry '!$AB$1:$AB$1501,$J2983+1))=0,"",INDEX('Daily Sale entry '!$AB$1:$AB$1501,$J2983+1)),1))</f>
        <v/>
      </c>
      <c r="F2983" s="6">
        <f>IF($J2983="","",IF($J2983&lt;=1500,N(INDEX('Daily Sale entry '!$AC$1:$AC$1501,$J2983+1))-IF(AND('Opening Balance'!$B$15=1,INDEX('Daily Sale entry '!$Z$1:$Z$1501,$J2983+1)="Online collection 网上收款",INDEX('Daily Sale entry '!$AA$1:$AA$1501,$J2983+1)&lt;&gt;""),N(INDEX('Daily Sale entry '!$AC$1:$AC$1501,$J2983+1))-TRUNC(N(INDEX('Daily Sale entry '!$AC$1:$AC$1501,$J2983+1))),0),N(INDEX('Daily Sale entry '!$S$1:$S$1501,$J2983-1499))-'Opening Balance'!$B$15*(N(INDEX('Daily Sale entry '!$S$1:$S$1501,$J2983-1499))-TRUNC(N(INDEX('Daily Sale entry '!$S$1:$S$1501,$J2983-1499))))))</f>
        <v/>
      </c>
      <c r="G2983" s="6">
        <f>IF($J2983="","",IF($J2983&lt;=1500,N(INDEX('Daily Sale entry '!$AD$1:$AD$1501,$J2983+1)),0))</f>
        <v/>
      </c>
      <c r="H2983" s="6">
        <f>IF($J2983="","",ROUND('Opening Balance'!$B$4+SUM($F$2:F2983)-SUM($G$2:G2983),2))</f>
        <v/>
      </c>
      <c r="J2983" s="21">
        <f>IFERROR(MATCH(ROW()-1,$L$2:$L$3001,0),"")</f>
        <v/>
      </c>
      <c r="K2983" s="34">
        <f>IF(AND('Daily Sale entry '!Q1483="Collection 收款",'Daily Sale entry '!R1483="Cheque 支票",'Daily Sale entry '!V1483&lt;&gt;""),'Daily Sale entry '!V1483+ROW()/10000000,"")</f>
        <v/>
      </c>
      <c r="L2983" s="21">
        <f>IF(K2983="","",COUNTIF($K$2:$K$3001,"&lt;"&amp;K2983)+1)</f>
        <v/>
      </c>
    </row>
    <row r="2984">
      <c r="A2984" s="5">
        <f>IF($J2984="","",IF($J2984&lt;=1500,INDEX('Daily Sale entry '!$X$1:$X$1501,$J2984+1),INDEX('Daily Sale entry '!$V$1:$V$1501,$J2984-1499)))</f>
        <v/>
      </c>
      <c r="B2984">
        <f>IF($J2984="","",IF($J2984&lt;=1500,INDEX('Daily Sale entry '!$Y$1:$Y$1501,$J2984+1)&amp;"","Buyer cheque banked 买家支票存入"&amp;IF(INDEX('Daily Sale entry '!$U$1:$U$1501,$J2984-1499)="","", " - "&amp;INDEX('Daily Sale entry '!$U$1:$U$1501,$J2984-1499))))</f>
        <v/>
      </c>
      <c r="C2984">
        <f>IF($J2984="","",IF($J2984&lt;=1500,INDEX('Daily Sale entry '!$Z$1:$Z$1501,$J2984+1)&amp;"","Cheque deposit 支票存入 (buyer 买家)"))</f>
        <v/>
      </c>
      <c r="D2984">
        <f>IF($J2984="","",IF($J2984&lt;=1500,INDEX('Daily Sale entry '!$AA$1:$AA$1501,$J2984+1)&amp;"",INDEX('Daily Sale entry '!$P$1:$P$1501,$J2984-1499)&amp;""))</f>
        <v/>
      </c>
      <c r="E2984">
        <f>IF($J2984="","",IF($J2984&lt;=1500,IF(N(INDEX('Daily Sale entry '!$AB$1:$AB$1501,$J2984+1))=0,"",INDEX('Daily Sale entry '!$AB$1:$AB$1501,$J2984+1)),1))</f>
        <v/>
      </c>
      <c r="F2984" s="6">
        <f>IF($J2984="","",IF($J2984&lt;=1500,N(INDEX('Daily Sale entry '!$AC$1:$AC$1501,$J2984+1))-IF(AND('Opening Balance'!$B$15=1,INDEX('Daily Sale entry '!$Z$1:$Z$1501,$J2984+1)="Online collection 网上收款",INDEX('Daily Sale entry '!$AA$1:$AA$1501,$J2984+1)&lt;&gt;""),N(INDEX('Daily Sale entry '!$AC$1:$AC$1501,$J2984+1))-TRUNC(N(INDEX('Daily Sale entry '!$AC$1:$AC$1501,$J2984+1))),0),N(INDEX('Daily Sale entry '!$S$1:$S$1501,$J2984-1499))-'Opening Balance'!$B$15*(N(INDEX('Daily Sale entry '!$S$1:$S$1501,$J2984-1499))-TRUNC(N(INDEX('Daily Sale entry '!$S$1:$S$1501,$J2984-1499))))))</f>
        <v/>
      </c>
      <c r="G2984" s="6">
        <f>IF($J2984="","",IF($J2984&lt;=1500,N(INDEX('Daily Sale entry '!$AD$1:$AD$1501,$J2984+1)),0))</f>
        <v/>
      </c>
      <c r="H2984" s="6">
        <f>IF($J2984="","",ROUND('Opening Balance'!$B$4+SUM($F$2:F2984)-SUM($G$2:G2984),2))</f>
        <v/>
      </c>
      <c r="J2984" s="21">
        <f>IFERROR(MATCH(ROW()-1,$L$2:$L$3001,0),"")</f>
        <v/>
      </c>
      <c r="K2984" s="34">
        <f>IF(AND('Daily Sale entry '!Q1484="Collection 收款",'Daily Sale entry '!R1484="Cheque 支票",'Daily Sale entry '!V1484&lt;&gt;""),'Daily Sale entry '!V1484+ROW()/10000000,"")</f>
        <v/>
      </c>
      <c r="L2984" s="21">
        <f>IF(K2984="","",COUNTIF($K$2:$K$3001,"&lt;"&amp;K2984)+1)</f>
        <v/>
      </c>
    </row>
    <row r="2985">
      <c r="A2985" s="5">
        <f>IF($J2985="","",IF($J2985&lt;=1500,INDEX('Daily Sale entry '!$X$1:$X$1501,$J2985+1),INDEX('Daily Sale entry '!$V$1:$V$1501,$J2985-1499)))</f>
        <v/>
      </c>
      <c r="B2985">
        <f>IF($J2985="","",IF($J2985&lt;=1500,INDEX('Daily Sale entry '!$Y$1:$Y$1501,$J2985+1)&amp;"","Buyer cheque banked 买家支票存入"&amp;IF(INDEX('Daily Sale entry '!$U$1:$U$1501,$J2985-1499)="","", " - "&amp;INDEX('Daily Sale entry '!$U$1:$U$1501,$J2985-1499))))</f>
        <v/>
      </c>
      <c r="C2985">
        <f>IF($J2985="","",IF($J2985&lt;=1500,INDEX('Daily Sale entry '!$Z$1:$Z$1501,$J2985+1)&amp;"","Cheque deposit 支票存入 (buyer 买家)"))</f>
        <v/>
      </c>
      <c r="D2985">
        <f>IF($J2985="","",IF($J2985&lt;=1500,INDEX('Daily Sale entry '!$AA$1:$AA$1501,$J2985+1)&amp;"",INDEX('Daily Sale entry '!$P$1:$P$1501,$J2985-1499)&amp;""))</f>
        <v/>
      </c>
      <c r="E2985">
        <f>IF($J2985="","",IF($J2985&lt;=1500,IF(N(INDEX('Daily Sale entry '!$AB$1:$AB$1501,$J2985+1))=0,"",INDEX('Daily Sale entry '!$AB$1:$AB$1501,$J2985+1)),1))</f>
        <v/>
      </c>
      <c r="F2985" s="6">
        <f>IF($J2985="","",IF($J2985&lt;=1500,N(INDEX('Daily Sale entry '!$AC$1:$AC$1501,$J2985+1))-IF(AND('Opening Balance'!$B$15=1,INDEX('Daily Sale entry '!$Z$1:$Z$1501,$J2985+1)="Online collection 网上收款",INDEX('Daily Sale entry '!$AA$1:$AA$1501,$J2985+1)&lt;&gt;""),N(INDEX('Daily Sale entry '!$AC$1:$AC$1501,$J2985+1))-TRUNC(N(INDEX('Daily Sale entry '!$AC$1:$AC$1501,$J2985+1))),0),N(INDEX('Daily Sale entry '!$S$1:$S$1501,$J2985-1499))-'Opening Balance'!$B$15*(N(INDEX('Daily Sale entry '!$S$1:$S$1501,$J2985-1499))-TRUNC(N(INDEX('Daily Sale entry '!$S$1:$S$1501,$J2985-1499))))))</f>
        <v/>
      </c>
      <c r="G2985" s="6">
        <f>IF($J2985="","",IF($J2985&lt;=1500,N(INDEX('Daily Sale entry '!$AD$1:$AD$1501,$J2985+1)),0))</f>
        <v/>
      </c>
      <c r="H2985" s="6">
        <f>IF($J2985="","",ROUND('Opening Balance'!$B$4+SUM($F$2:F2985)-SUM($G$2:G2985),2))</f>
        <v/>
      </c>
      <c r="J2985" s="21">
        <f>IFERROR(MATCH(ROW()-1,$L$2:$L$3001,0),"")</f>
        <v/>
      </c>
      <c r="K2985" s="34">
        <f>IF(AND('Daily Sale entry '!Q1485="Collection 收款",'Daily Sale entry '!R1485="Cheque 支票",'Daily Sale entry '!V1485&lt;&gt;""),'Daily Sale entry '!V1485+ROW()/10000000,"")</f>
        <v/>
      </c>
      <c r="L2985" s="21">
        <f>IF(K2985="","",COUNTIF($K$2:$K$3001,"&lt;"&amp;K2985)+1)</f>
        <v/>
      </c>
    </row>
    <row r="2986">
      <c r="A2986" s="5">
        <f>IF($J2986="","",IF($J2986&lt;=1500,INDEX('Daily Sale entry '!$X$1:$X$1501,$J2986+1),INDEX('Daily Sale entry '!$V$1:$V$1501,$J2986-1499)))</f>
        <v/>
      </c>
      <c r="B2986">
        <f>IF($J2986="","",IF($J2986&lt;=1500,INDEX('Daily Sale entry '!$Y$1:$Y$1501,$J2986+1)&amp;"","Buyer cheque banked 买家支票存入"&amp;IF(INDEX('Daily Sale entry '!$U$1:$U$1501,$J2986-1499)="","", " - "&amp;INDEX('Daily Sale entry '!$U$1:$U$1501,$J2986-1499))))</f>
        <v/>
      </c>
      <c r="C2986">
        <f>IF($J2986="","",IF($J2986&lt;=1500,INDEX('Daily Sale entry '!$Z$1:$Z$1501,$J2986+1)&amp;"","Cheque deposit 支票存入 (buyer 买家)"))</f>
        <v/>
      </c>
      <c r="D2986">
        <f>IF($J2986="","",IF($J2986&lt;=1500,INDEX('Daily Sale entry '!$AA$1:$AA$1501,$J2986+1)&amp;"",INDEX('Daily Sale entry '!$P$1:$P$1501,$J2986-1499)&amp;""))</f>
        <v/>
      </c>
      <c r="E2986">
        <f>IF($J2986="","",IF($J2986&lt;=1500,IF(N(INDEX('Daily Sale entry '!$AB$1:$AB$1501,$J2986+1))=0,"",INDEX('Daily Sale entry '!$AB$1:$AB$1501,$J2986+1)),1))</f>
        <v/>
      </c>
      <c r="F2986" s="6">
        <f>IF($J2986="","",IF($J2986&lt;=1500,N(INDEX('Daily Sale entry '!$AC$1:$AC$1501,$J2986+1))-IF(AND('Opening Balance'!$B$15=1,INDEX('Daily Sale entry '!$Z$1:$Z$1501,$J2986+1)="Online collection 网上收款",INDEX('Daily Sale entry '!$AA$1:$AA$1501,$J2986+1)&lt;&gt;""),N(INDEX('Daily Sale entry '!$AC$1:$AC$1501,$J2986+1))-TRUNC(N(INDEX('Daily Sale entry '!$AC$1:$AC$1501,$J2986+1))),0),N(INDEX('Daily Sale entry '!$S$1:$S$1501,$J2986-1499))-'Opening Balance'!$B$15*(N(INDEX('Daily Sale entry '!$S$1:$S$1501,$J2986-1499))-TRUNC(N(INDEX('Daily Sale entry '!$S$1:$S$1501,$J2986-1499))))))</f>
        <v/>
      </c>
      <c r="G2986" s="6">
        <f>IF($J2986="","",IF($J2986&lt;=1500,N(INDEX('Daily Sale entry '!$AD$1:$AD$1501,$J2986+1)),0))</f>
        <v/>
      </c>
      <c r="H2986" s="6">
        <f>IF($J2986="","",ROUND('Opening Balance'!$B$4+SUM($F$2:F2986)-SUM($G$2:G2986),2))</f>
        <v/>
      </c>
      <c r="J2986" s="21">
        <f>IFERROR(MATCH(ROW()-1,$L$2:$L$3001,0),"")</f>
        <v/>
      </c>
      <c r="K2986" s="34">
        <f>IF(AND('Daily Sale entry '!Q1486="Collection 收款",'Daily Sale entry '!R1486="Cheque 支票",'Daily Sale entry '!V1486&lt;&gt;""),'Daily Sale entry '!V1486+ROW()/10000000,"")</f>
        <v/>
      </c>
      <c r="L2986" s="21">
        <f>IF(K2986="","",COUNTIF($K$2:$K$3001,"&lt;"&amp;K2986)+1)</f>
        <v/>
      </c>
    </row>
    <row r="2987">
      <c r="A2987" s="5">
        <f>IF($J2987="","",IF($J2987&lt;=1500,INDEX('Daily Sale entry '!$X$1:$X$1501,$J2987+1),INDEX('Daily Sale entry '!$V$1:$V$1501,$J2987-1499)))</f>
        <v/>
      </c>
      <c r="B2987">
        <f>IF($J2987="","",IF($J2987&lt;=1500,INDEX('Daily Sale entry '!$Y$1:$Y$1501,$J2987+1)&amp;"","Buyer cheque banked 买家支票存入"&amp;IF(INDEX('Daily Sale entry '!$U$1:$U$1501,$J2987-1499)="","", " - "&amp;INDEX('Daily Sale entry '!$U$1:$U$1501,$J2987-1499))))</f>
        <v/>
      </c>
      <c r="C2987">
        <f>IF($J2987="","",IF($J2987&lt;=1500,INDEX('Daily Sale entry '!$Z$1:$Z$1501,$J2987+1)&amp;"","Cheque deposit 支票存入 (buyer 买家)"))</f>
        <v/>
      </c>
      <c r="D2987">
        <f>IF($J2987="","",IF($J2987&lt;=1500,INDEX('Daily Sale entry '!$AA$1:$AA$1501,$J2987+1)&amp;"",INDEX('Daily Sale entry '!$P$1:$P$1501,$J2987-1499)&amp;""))</f>
        <v/>
      </c>
      <c r="E2987">
        <f>IF($J2987="","",IF($J2987&lt;=1500,IF(N(INDEX('Daily Sale entry '!$AB$1:$AB$1501,$J2987+1))=0,"",INDEX('Daily Sale entry '!$AB$1:$AB$1501,$J2987+1)),1))</f>
        <v/>
      </c>
      <c r="F2987" s="6">
        <f>IF($J2987="","",IF($J2987&lt;=1500,N(INDEX('Daily Sale entry '!$AC$1:$AC$1501,$J2987+1))-IF(AND('Opening Balance'!$B$15=1,INDEX('Daily Sale entry '!$Z$1:$Z$1501,$J2987+1)="Online collection 网上收款",INDEX('Daily Sale entry '!$AA$1:$AA$1501,$J2987+1)&lt;&gt;""),N(INDEX('Daily Sale entry '!$AC$1:$AC$1501,$J2987+1))-TRUNC(N(INDEX('Daily Sale entry '!$AC$1:$AC$1501,$J2987+1))),0),N(INDEX('Daily Sale entry '!$S$1:$S$1501,$J2987-1499))-'Opening Balance'!$B$15*(N(INDEX('Daily Sale entry '!$S$1:$S$1501,$J2987-1499))-TRUNC(N(INDEX('Daily Sale entry '!$S$1:$S$1501,$J2987-1499))))))</f>
        <v/>
      </c>
      <c r="G2987" s="6">
        <f>IF($J2987="","",IF($J2987&lt;=1500,N(INDEX('Daily Sale entry '!$AD$1:$AD$1501,$J2987+1)),0))</f>
        <v/>
      </c>
      <c r="H2987" s="6">
        <f>IF($J2987="","",ROUND('Opening Balance'!$B$4+SUM($F$2:F2987)-SUM($G$2:G2987),2))</f>
        <v/>
      </c>
      <c r="J2987" s="21">
        <f>IFERROR(MATCH(ROW()-1,$L$2:$L$3001,0),"")</f>
        <v/>
      </c>
      <c r="K2987" s="34">
        <f>IF(AND('Daily Sale entry '!Q1487="Collection 收款",'Daily Sale entry '!R1487="Cheque 支票",'Daily Sale entry '!V1487&lt;&gt;""),'Daily Sale entry '!V1487+ROW()/10000000,"")</f>
        <v/>
      </c>
      <c r="L2987" s="21">
        <f>IF(K2987="","",COUNTIF($K$2:$K$3001,"&lt;"&amp;K2987)+1)</f>
        <v/>
      </c>
    </row>
    <row r="2988">
      <c r="A2988" s="5">
        <f>IF($J2988="","",IF($J2988&lt;=1500,INDEX('Daily Sale entry '!$X$1:$X$1501,$J2988+1),INDEX('Daily Sale entry '!$V$1:$V$1501,$J2988-1499)))</f>
        <v/>
      </c>
      <c r="B2988">
        <f>IF($J2988="","",IF($J2988&lt;=1500,INDEX('Daily Sale entry '!$Y$1:$Y$1501,$J2988+1)&amp;"","Buyer cheque banked 买家支票存入"&amp;IF(INDEX('Daily Sale entry '!$U$1:$U$1501,$J2988-1499)="","", " - "&amp;INDEX('Daily Sale entry '!$U$1:$U$1501,$J2988-1499))))</f>
        <v/>
      </c>
      <c r="C2988">
        <f>IF($J2988="","",IF($J2988&lt;=1500,INDEX('Daily Sale entry '!$Z$1:$Z$1501,$J2988+1)&amp;"","Cheque deposit 支票存入 (buyer 买家)"))</f>
        <v/>
      </c>
      <c r="D2988">
        <f>IF($J2988="","",IF($J2988&lt;=1500,INDEX('Daily Sale entry '!$AA$1:$AA$1501,$J2988+1)&amp;"",INDEX('Daily Sale entry '!$P$1:$P$1501,$J2988-1499)&amp;""))</f>
        <v/>
      </c>
      <c r="E2988">
        <f>IF($J2988="","",IF($J2988&lt;=1500,IF(N(INDEX('Daily Sale entry '!$AB$1:$AB$1501,$J2988+1))=0,"",INDEX('Daily Sale entry '!$AB$1:$AB$1501,$J2988+1)),1))</f>
        <v/>
      </c>
      <c r="F2988" s="6">
        <f>IF($J2988="","",IF($J2988&lt;=1500,N(INDEX('Daily Sale entry '!$AC$1:$AC$1501,$J2988+1))-IF(AND('Opening Balance'!$B$15=1,INDEX('Daily Sale entry '!$Z$1:$Z$1501,$J2988+1)="Online collection 网上收款",INDEX('Daily Sale entry '!$AA$1:$AA$1501,$J2988+1)&lt;&gt;""),N(INDEX('Daily Sale entry '!$AC$1:$AC$1501,$J2988+1))-TRUNC(N(INDEX('Daily Sale entry '!$AC$1:$AC$1501,$J2988+1))),0),N(INDEX('Daily Sale entry '!$S$1:$S$1501,$J2988-1499))-'Opening Balance'!$B$15*(N(INDEX('Daily Sale entry '!$S$1:$S$1501,$J2988-1499))-TRUNC(N(INDEX('Daily Sale entry '!$S$1:$S$1501,$J2988-1499))))))</f>
        <v/>
      </c>
      <c r="G2988" s="6">
        <f>IF($J2988="","",IF($J2988&lt;=1500,N(INDEX('Daily Sale entry '!$AD$1:$AD$1501,$J2988+1)),0))</f>
        <v/>
      </c>
      <c r="H2988" s="6">
        <f>IF($J2988="","",ROUND('Opening Balance'!$B$4+SUM($F$2:F2988)-SUM($G$2:G2988),2))</f>
        <v/>
      </c>
      <c r="J2988" s="21">
        <f>IFERROR(MATCH(ROW()-1,$L$2:$L$3001,0),"")</f>
        <v/>
      </c>
      <c r="K2988" s="34">
        <f>IF(AND('Daily Sale entry '!Q1488="Collection 收款",'Daily Sale entry '!R1488="Cheque 支票",'Daily Sale entry '!V1488&lt;&gt;""),'Daily Sale entry '!V1488+ROW()/10000000,"")</f>
        <v/>
      </c>
      <c r="L2988" s="21">
        <f>IF(K2988="","",COUNTIF($K$2:$K$3001,"&lt;"&amp;K2988)+1)</f>
        <v/>
      </c>
    </row>
    <row r="2989">
      <c r="A2989" s="5">
        <f>IF($J2989="","",IF($J2989&lt;=1500,INDEX('Daily Sale entry '!$X$1:$X$1501,$J2989+1),INDEX('Daily Sale entry '!$V$1:$V$1501,$J2989-1499)))</f>
        <v/>
      </c>
      <c r="B2989">
        <f>IF($J2989="","",IF($J2989&lt;=1500,INDEX('Daily Sale entry '!$Y$1:$Y$1501,$J2989+1)&amp;"","Buyer cheque banked 买家支票存入"&amp;IF(INDEX('Daily Sale entry '!$U$1:$U$1501,$J2989-1499)="","", " - "&amp;INDEX('Daily Sale entry '!$U$1:$U$1501,$J2989-1499))))</f>
        <v/>
      </c>
      <c r="C2989">
        <f>IF($J2989="","",IF($J2989&lt;=1500,INDEX('Daily Sale entry '!$Z$1:$Z$1501,$J2989+1)&amp;"","Cheque deposit 支票存入 (buyer 买家)"))</f>
        <v/>
      </c>
      <c r="D2989">
        <f>IF($J2989="","",IF($J2989&lt;=1500,INDEX('Daily Sale entry '!$AA$1:$AA$1501,$J2989+1)&amp;"",INDEX('Daily Sale entry '!$P$1:$P$1501,$J2989-1499)&amp;""))</f>
        <v/>
      </c>
      <c r="E2989">
        <f>IF($J2989="","",IF($J2989&lt;=1500,IF(N(INDEX('Daily Sale entry '!$AB$1:$AB$1501,$J2989+1))=0,"",INDEX('Daily Sale entry '!$AB$1:$AB$1501,$J2989+1)),1))</f>
        <v/>
      </c>
      <c r="F2989" s="6">
        <f>IF($J2989="","",IF($J2989&lt;=1500,N(INDEX('Daily Sale entry '!$AC$1:$AC$1501,$J2989+1))-IF(AND('Opening Balance'!$B$15=1,INDEX('Daily Sale entry '!$Z$1:$Z$1501,$J2989+1)="Online collection 网上收款",INDEX('Daily Sale entry '!$AA$1:$AA$1501,$J2989+1)&lt;&gt;""),N(INDEX('Daily Sale entry '!$AC$1:$AC$1501,$J2989+1))-TRUNC(N(INDEX('Daily Sale entry '!$AC$1:$AC$1501,$J2989+1))),0),N(INDEX('Daily Sale entry '!$S$1:$S$1501,$J2989-1499))-'Opening Balance'!$B$15*(N(INDEX('Daily Sale entry '!$S$1:$S$1501,$J2989-1499))-TRUNC(N(INDEX('Daily Sale entry '!$S$1:$S$1501,$J2989-1499))))))</f>
        <v/>
      </c>
      <c r="G2989" s="6">
        <f>IF($J2989="","",IF($J2989&lt;=1500,N(INDEX('Daily Sale entry '!$AD$1:$AD$1501,$J2989+1)),0))</f>
        <v/>
      </c>
      <c r="H2989" s="6">
        <f>IF($J2989="","",ROUND('Opening Balance'!$B$4+SUM($F$2:F2989)-SUM($G$2:G2989),2))</f>
        <v/>
      </c>
      <c r="J2989" s="21">
        <f>IFERROR(MATCH(ROW()-1,$L$2:$L$3001,0),"")</f>
        <v/>
      </c>
      <c r="K2989" s="34">
        <f>IF(AND('Daily Sale entry '!Q1489="Collection 收款",'Daily Sale entry '!R1489="Cheque 支票",'Daily Sale entry '!V1489&lt;&gt;""),'Daily Sale entry '!V1489+ROW()/10000000,"")</f>
        <v/>
      </c>
      <c r="L2989" s="21">
        <f>IF(K2989="","",COUNTIF($K$2:$K$3001,"&lt;"&amp;K2989)+1)</f>
        <v/>
      </c>
    </row>
    <row r="2990">
      <c r="A2990" s="5">
        <f>IF($J2990="","",IF($J2990&lt;=1500,INDEX('Daily Sale entry '!$X$1:$X$1501,$J2990+1),INDEX('Daily Sale entry '!$V$1:$V$1501,$J2990-1499)))</f>
        <v/>
      </c>
      <c r="B2990">
        <f>IF($J2990="","",IF($J2990&lt;=1500,INDEX('Daily Sale entry '!$Y$1:$Y$1501,$J2990+1)&amp;"","Buyer cheque banked 买家支票存入"&amp;IF(INDEX('Daily Sale entry '!$U$1:$U$1501,$J2990-1499)="","", " - "&amp;INDEX('Daily Sale entry '!$U$1:$U$1501,$J2990-1499))))</f>
        <v/>
      </c>
      <c r="C2990">
        <f>IF($J2990="","",IF($J2990&lt;=1500,INDEX('Daily Sale entry '!$Z$1:$Z$1501,$J2990+1)&amp;"","Cheque deposit 支票存入 (buyer 买家)"))</f>
        <v/>
      </c>
      <c r="D2990">
        <f>IF($J2990="","",IF($J2990&lt;=1500,INDEX('Daily Sale entry '!$AA$1:$AA$1501,$J2990+1)&amp;"",INDEX('Daily Sale entry '!$P$1:$P$1501,$J2990-1499)&amp;""))</f>
        <v/>
      </c>
      <c r="E2990">
        <f>IF($J2990="","",IF($J2990&lt;=1500,IF(N(INDEX('Daily Sale entry '!$AB$1:$AB$1501,$J2990+1))=0,"",INDEX('Daily Sale entry '!$AB$1:$AB$1501,$J2990+1)),1))</f>
        <v/>
      </c>
      <c r="F2990" s="6">
        <f>IF($J2990="","",IF($J2990&lt;=1500,N(INDEX('Daily Sale entry '!$AC$1:$AC$1501,$J2990+1))-IF(AND('Opening Balance'!$B$15=1,INDEX('Daily Sale entry '!$Z$1:$Z$1501,$J2990+1)="Online collection 网上收款",INDEX('Daily Sale entry '!$AA$1:$AA$1501,$J2990+1)&lt;&gt;""),N(INDEX('Daily Sale entry '!$AC$1:$AC$1501,$J2990+1))-TRUNC(N(INDEX('Daily Sale entry '!$AC$1:$AC$1501,$J2990+1))),0),N(INDEX('Daily Sale entry '!$S$1:$S$1501,$J2990-1499))-'Opening Balance'!$B$15*(N(INDEX('Daily Sale entry '!$S$1:$S$1501,$J2990-1499))-TRUNC(N(INDEX('Daily Sale entry '!$S$1:$S$1501,$J2990-1499))))))</f>
        <v/>
      </c>
      <c r="G2990" s="6">
        <f>IF($J2990="","",IF($J2990&lt;=1500,N(INDEX('Daily Sale entry '!$AD$1:$AD$1501,$J2990+1)),0))</f>
        <v/>
      </c>
      <c r="H2990" s="6">
        <f>IF($J2990="","",ROUND('Opening Balance'!$B$4+SUM($F$2:F2990)-SUM($G$2:G2990),2))</f>
        <v/>
      </c>
      <c r="J2990" s="21">
        <f>IFERROR(MATCH(ROW()-1,$L$2:$L$3001,0),"")</f>
        <v/>
      </c>
      <c r="K2990" s="34">
        <f>IF(AND('Daily Sale entry '!Q1490="Collection 收款",'Daily Sale entry '!R1490="Cheque 支票",'Daily Sale entry '!V1490&lt;&gt;""),'Daily Sale entry '!V1490+ROW()/10000000,"")</f>
        <v/>
      </c>
      <c r="L2990" s="21">
        <f>IF(K2990="","",COUNTIF($K$2:$K$3001,"&lt;"&amp;K2990)+1)</f>
        <v/>
      </c>
    </row>
    <row r="2991">
      <c r="A2991" s="5">
        <f>IF($J2991="","",IF($J2991&lt;=1500,INDEX('Daily Sale entry '!$X$1:$X$1501,$J2991+1),INDEX('Daily Sale entry '!$V$1:$V$1501,$J2991-1499)))</f>
        <v/>
      </c>
      <c r="B2991">
        <f>IF($J2991="","",IF($J2991&lt;=1500,INDEX('Daily Sale entry '!$Y$1:$Y$1501,$J2991+1)&amp;"","Buyer cheque banked 买家支票存入"&amp;IF(INDEX('Daily Sale entry '!$U$1:$U$1501,$J2991-1499)="","", " - "&amp;INDEX('Daily Sale entry '!$U$1:$U$1501,$J2991-1499))))</f>
        <v/>
      </c>
      <c r="C2991">
        <f>IF($J2991="","",IF($J2991&lt;=1500,INDEX('Daily Sale entry '!$Z$1:$Z$1501,$J2991+1)&amp;"","Cheque deposit 支票存入 (buyer 买家)"))</f>
        <v/>
      </c>
      <c r="D2991">
        <f>IF($J2991="","",IF($J2991&lt;=1500,INDEX('Daily Sale entry '!$AA$1:$AA$1501,$J2991+1)&amp;"",INDEX('Daily Sale entry '!$P$1:$P$1501,$J2991-1499)&amp;""))</f>
        <v/>
      </c>
      <c r="E2991">
        <f>IF($J2991="","",IF($J2991&lt;=1500,IF(N(INDEX('Daily Sale entry '!$AB$1:$AB$1501,$J2991+1))=0,"",INDEX('Daily Sale entry '!$AB$1:$AB$1501,$J2991+1)),1))</f>
        <v/>
      </c>
      <c r="F2991" s="6">
        <f>IF($J2991="","",IF($J2991&lt;=1500,N(INDEX('Daily Sale entry '!$AC$1:$AC$1501,$J2991+1))-IF(AND('Opening Balance'!$B$15=1,INDEX('Daily Sale entry '!$Z$1:$Z$1501,$J2991+1)="Online collection 网上收款",INDEX('Daily Sale entry '!$AA$1:$AA$1501,$J2991+1)&lt;&gt;""),N(INDEX('Daily Sale entry '!$AC$1:$AC$1501,$J2991+1))-TRUNC(N(INDEX('Daily Sale entry '!$AC$1:$AC$1501,$J2991+1))),0),N(INDEX('Daily Sale entry '!$S$1:$S$1501,$J2991-1499))-'Opening Balance'!$B$15*(N(INDEX('Daily Sale entry '!$S$1:$S$1501,$J2991-1499))-TRUNC(N(INDEX('Daily Sale entry '!$S$1:$S$1501,$J2991-1499))))))</f>
        <v/>
      </c>
      <c r="G2991" s="6">
        <f>IF($J2991="","",IF($J2991&lt;=1500,N(INDEX('Daily Sale entry '!$AD$1:$AD$1501,$J2991+1)),0))</f>
        <v/>
      </c>
      <c r="H2991" s="6">
        <f>IF($J2991="","",ROUND('Opening Balance'!$B$4+SUM($F$2:F2991)-SUM($G$2:G2991),2))</f>
        <v/>
      </c>
      <c r="J2991" s="21">
        <f>IFERROR(MATCH(ROW()-1,$L$2:$L$3001,0),"")</f>
        <v/>
      </c>
      <c r="K2991" s="34">
        <f>IF(AND('Daily Sale entry '!Q1491="Collection 收款",'Daily Sale entry '!R1491="Cheque 支票",'Daily Sale entry '!V1491&lt;&gt;""),'Daily Sale entry '!V1491+ROW()/10000000,"")</f>
        <v/>
      </c>
      <c r="L2991" s="21">
        <f>IF(K2991="","",COUNTIF($K$2:$K$3001,"&lt;"&amp;K2991)+1)</f>
        <v/>
      </c>
    </row>
    <row r="2992">
      <c r="A2992" s="5">
        <f>IF($J2992="","",IF($J2992&lt;=1500,INDEX('Daily Sale entry '!$X$1:$X$1501,$J2992+1),INDEX('Daily Sale entry '!$V$1:$V$1501,$J2992-1499)))</f>
        <v/>
      </c>
      <c r="B2992">
        <f>IF($J2992="","",IF($J2992&lt;=1500,INDEX('Daily Sale entry '!$Y$1:$Y$1501,$J2992+1)&amp;"","Buyer cheque banked 买家支票存入"&amp;IF(INDEX('Daily Sale entry '!$U$1:$U$1501,$J2992-1499)="","", " - "&amp;INDEX('Daily Sale entry '!$U$1:$U$1501,$J2992-1499))))</f>
        <v/>
      </c>
      <c r="C2992">
        <f>IF($J2992="","",IF($J2992&lt;=1500,INDEX('Daily Sale entry '!$Z$1:$Z$1501,$J2992+1)&amp;"","Cheque deposit 支票存入 (buyer 买家)"))</f>
        <v/>
      </c>
      <c r="D2992">
        <f>IF($J2992="","",IF($J2992&lt;=1500,INDEX('Daily Sale entry '!$AA$1:$AA$1501,$J2992+1)&amp;"",INDEX('Daily Sale entry '!$P$1:$P$1501,$J2992-1499)&amp;""))</f>
        <v/>
      </c>
      <c r="E2992">
        <f>IF($J2992="","",IF($J2992&lt;=1500,IF(N(INDEX('Daily Sale entry '!$AB$1:$AB$1501,$J2992+1))=0,"",INDEX('Daily Sale entry '!$AB$1:$AB$1501,$J2992+1)),1))</f>
        <v/>
      </c>
      <c r="F2992" s="6">
        <f>IF($J2992="","",IF($J2992&lt;=1500,N(INDEX('Daily Sale entry '!$AC$1:$AC$1501,$J2992+1))-IF(AND('Opening Balance'!$B$15=1,INDEX('Daily Sale entry '!$Z$1:$Z$1501,$J2992+1)="Online collection 网上收款",INDEX('Daily Sale entry '!$AA$1:$AA$1501,$J2992+1)&lt;&gt;""),N(INDEX('Daily Sale entry '!$AC$1:$AC$1501,$J2992+1))-TRUNC(N(INDEX('Daily Sale entry '!$AC$1:$AC$1501,$J2992+1))),0),N(INDEX('Daily Sale entry '!$S$1:$S$1501,$J2992-1499))-'Opening Balance'!$B$15*(N(INDEX('Daily Sale entry '!$S$1:$S$1501,$J2992-1499))-TRUNC(N(INDEX('Daily Sale entry '!$S$1:$S$1501,$J2992-1499))))))</f>
        <v/>
      </c>
      <c r="G2992" s="6">
        <f>IF($J2992="","",IF($J2992&lt;=1500,N(INDEX('Daily Sale entry '!$AD$1:$AD$1501,$J2992+1)),0))</f>
        <v/>
      </c>
      <c r="H2992" s="6">
        <f>IF($J2992="","",ROUND('Opening Balance'!$B$4+SUM($F$2:F2992)-SUM($G$2:G2992),2))</f>
        <v/>
      </c>
      <c r="J2992" s="21">
        <f>IFERROR(MATCH(ROW()-1,$L$2:$L$3001,0),"")</f>
        <v/>
      </c>
      <c r="K2992" s="34">
        <f>IF(AND('Daily Sale entry '!Q1492="Collection 收款",'Daily Sale entry '!R1492="Cheque 支票",'Daily Sale entry '!V1492&lt;&gt;""),'Daily Sale entry '!V1492+ROW()/10000000,"")</f>
        <v/>
      </c>
      <c r="L2992" s="21">
        <f>IF(K2992="","",COUNTIF($K$2:$K$3001,"&lt;"&amp;K2992)+1)</f>
        <v/>
      </c>
    </row>
    <row r="2993">
      <c r="A2993" s="5">
        <f>IF($J2993="","",IF($J2993&lt;=1500,INDEX('Daily Sale entry '!$X$1:$X$1501,$J2993+1),INDEX('Daily Sale entry '!$V$1:$V$1501,$J2993-1499)))</f>
        <v/>
      </c>
      <c r="B2993">
        <f>IF($J2993="","",IF($J2993&lt;=1500,INDEX('Daily Sale entry '!$Y$1:$Y$1501,$J2993+1)&amp;"","Buyer cheque banked 买家支票存入"&amp;IF(INDEX('Daily Sale entry '!$U$1:$U$1501,$J2993-1499)="","", " - "&amp;INDEX('Daily Sale entry '!$U$1:$U$1501,$J2993-1499))))</f>
        <v/>
      </c>
      <c r="C2993">
        <f>IF($J2993="","",IF($J2993&lt;=1500,INDEX('Daily Sale entry '!$Z$1:$Z$1501,$J2993+1)&amp;"","Cheque deposit 支票存入 (buyer 买家)"))</f>
        <v/>
      </c>
      <c r="D2993">
        <f>IF($J2993="","",IF($J2993&lt;=1500,INDEX('Daily Sale entry '!$AA$1:$AA$1501,$J2993+1)&amp;"",INDEX('Daily Sale entry '!$P$1:$P$1501,$J2993-1499)&amp;""))</f>
        <v/>
      </c>
      <c r="E2993">
        <f>IF($J2993="","",IF($J2993&lt;=1500,IF(N(INDEX('Daily Sale entry '!$AB$1:$AB$1501,$J2993+1))=0,"",INDEX('Daily Sale entry '!$AB$1:$AB$1501,$J2993+1)),1))</f>
        <v/>
      </c>
      <c r="F2993" s="6">
        <f>IF($J2993="","",IF($J2993&lt;=1500,N(INDEX('Daily Sale entry '!$AC$1:$AC$1501,$J2993+1))-IF(AND('Opening Balance'!$B$15=1,INDEX('Daily Sale entry '!$Z$1:$Z$1501,$J2993+1)="Online collection 网上收款",INDEX('Daily Sale entry '!$AA$1:$AA$1501,$J2993+1)&lt;&gt;""),N(INDEX('Daily Sale entry '!$AC$1:$AC$1501,$J2993+1))-TRUNC(N(INDEX('Daily Sale entry '!$AC$1:$AC$1501,$J2993+1))),0),N(INDEX('Daily Sale entry '!$S$1:$S$1501,$J2993-1499))-'Opening Balance'!$B$15*(N(INDEX('Daily Sale entry '!$S$1:$S$1501,$J2993-1499))-TRUNC(N(INDEX('Daily Sale entry '!$S$1:$S$1501,$J2993-1499))))))</f>
        <v/>
      </c>
      <c r="G2993" s="6">
        <f>IF($J2993="","",IF($J2993&lt;=1500,N(INDEX('Daily Sale entry '!$AD$1:$AD$1501,$J2993+1)),0))</f>
        <v/>
      </c>
      <c r="H2993" s="6">
        <f>IF($J2993="","",ROUND('Opening Balance'!$B$4+SUM($F$2:F2993)-SUM($G$2:G2993),2))</f>
        <v/>
      </c>
      <c r="J2993" s="21">
        <f>IFERROR(MATCH(ROW()-1,$L$2:$L$3001,0),"")</f>
        <v/>
      </c>
      <c r="K2993" s="34">
        <f>IF(AND('Daily Sale entry '!Q1493="Collection 收款",'Daily Sale entry '!R1493="Cheque 支票",'Daily Sale entry '!V1493&lt;&gt;""),'Daily Sale entry '!V1493+ROW()/10000000,"")</f>
        <v/>
      </c>
      <c r="L2993" s="21">
        <f>IF(K2993="","",COUNTIF($K$2:$K$3001,"&lt;"&amp;K2993)+1)</f>
        <v/>
      </c>
    </row>
    <row r="2994">
      <c r="A2994" s="5">
        <f>IF($J2994="","",IF($J2994&lt;=1500,INDEX('Daily Sale entry '!$X$1:$X$1501,$J2994+1),INDEX('Daily Sale entry '!$V$1:$V$1501,$J2994-1499)))</f>
        <v/>
      </c>
      <c r="B2994">
        <f>IF($J2994="","",IF($J2994&lt;=1500,INDEX('Daily Sale entry '!$Y$1:$Y$1501,$J2994+1)&amp;"","Buyer cheque banked 买家支票存入"&amp;IF(INDEX('Daily Sale entry '!$U$1:$U$1501,$J2994-1499)="","", " - "&amp;INDEX('Daily Sale entry '!$U$1:$U$1501,$J2994-1499))))</f>
        <v/>
      </c>
      <c r="C2994">
        <f>IF($J2994="","",IF($J2994&lt;=1500,INDEX('Daily Sale entry '!$Z$1:$Z$1501,$J2994+1)&amp;"","Cheque deposit 支票存入 (buyer 买家)"))</f>
        <v/>
      </c>
      <c r="D2994">
        <f>IF($J2994="","",IF($J2994&lt;=1500,INDEX('Daily Sale entry '!$AA$1:$AA$1501,$J2994+1)&amp;"",INDEX('Daily Sale entry '!$P$1:$P$1501,$J2994-1499)&amp;""))</f>
        <v/>
      </c>
      <c r="E2994">
        <f>IF($J2994="","",IF($J2994&lt;=1500,IF(N(INDEX('Daily Sale entry '!$AB$1:$AB$1501,$J2994+1))=0,"",INDEX('Daily Sale entry '!$AB$1:$AB$1501,$J2994+1)),1))</f>
        <v/>
      </c>
      <c r="F2994" s="6">
        <f>IF($J2994="","",IF($J2994&lt;=1500,N(INDEX('Daily Sale entry '!$AC$1:$AC$1501,$J2994+1))-IF(AND('Opening Balance'!$B$15=1,INDEX('Daily Sale entry '!$Z$1:$Z$1501,$J2994+1)="Online collection 网上收款",INDEX('Daily Sale entry '!$AA$1:$AA$1501,$J2994+1)&lt;&gt;""),N(INDEX('Daily Sale entry '!$AC$1:$AC$1501,$J2994+1))-TRUNC(N(INDEX('Daily Sale entry '!$AC$1:$AC$1501,$J2994+1))),0),N(INDEX('Daily Sale entry '!$S$1:$S$1501,$J2994-1499))-'Opening Balance'!$B$15*(N(INDEX('Daily Sale entry '!$S$1:$S$1501,$J2994-1499))-TRUNC(N(INDEX('Daily Sale entry '!$S$1:$S$1501,$J2994-1499))))))</f>
        <v/>
      </c>
      <c r="G2994" s="6">
        <f>IF($J2994="","",IF($J2994&lt;=1500,N(INDEX('Daily Sale entry '!$AD$1:$AD$1501,$J2994+1)),0))</f>
        <v/>
      </c>
      <c r="H2994" s="6">
        <f>IF($J2994="","",ROUND('Opening Balance'!$B$4+SUM($F$2:F2994)-SUM($G$2:G2994),2))</f>
        <v/>
      </c>
      <c r="J2994" s="21">
        <f>IFERROR(MATCH(ROW()-1,$L$2:$L$3001,0),"")</f>
        <v/>
      </c>
      <c r="K2994" s="34">
        <f>IF(AND('Daily Sale entry '!Q1494="Collection 收款",'Daily Sale entry '!R1494="Cheque 支票",'Daily Sale entry '!V1494&lt;&gt;""),'Daily Sale entry '!V1494+ROW()/10000000,"")</f>
        <v/>
      </c>
      <c r="L2994" s="21">
        <f>IF(K2994="","",COUNTIF($K$2:$K$3001,"&lt;"&amp;K2994)+1)</f>
        <v/>
      </c>
    </row>
    <row r="2995">
      <c r="A2995" s="5">
        <f>IF($J2995="","",IF($J2995&lt;=1500,INDEX('Daily Sale entry '!$X$1:$X$1501,$J2995+1),INDEX('Daily Sale entry '!$V$1:$V$1501,$J2995-1499)))</f>
        <v/>
      </c>
      <c r="B2995">
        <f>IF($J2995="","",IF($J2995&lt;=1500,INDEX('Daily Sale entry '!$Y$1:$Y$1501,$J2995+1)&amp;"","Buyer cheque banked 买家支票存入"&amp;IF(INDEX('Daily Sale entry '!$U$1:$U$1501,$J2995-1499)="","", " - "&amp;INDEX('Daily Sale entry '!$U$1:$U$1501,$J2995-1499))))</f>
        <v/>
      </c>
      <c r="C2995">
        <f>IF($J2995="","",IF($J2995&lt;=1500,INDEX('Daily Sale entry '!$Z$1:$Z$1501,$J2995+1)&amp;"","Cheque deposit 支票存入 (buyer 买家)"))</f>
        <v/>
      </c>
      <c r="D2995">
        <f>IF($J2995="","",IF($J2995&lt;=1500,INDEX('Daily Sale entry '!$AA$1:$AA$1501,$J2995+1)&amp;"",INDEX('Daily Sale entry '!$P$1:$P$1501,$J2995-1499)&amp;""))</f>
        <v/>
      </c>
      <c r="E2995">
        <f>IF($J2995="","",IF($J2995&lt;=1500,IF(N(INDEX('Daily Sale entry '!$AB$1:$AB$1501,$J2995+1))=0,"",INDEX('Daily Sale entry '!$AB$1:$AB$1501,$J2995+1)),1))</f>
        <v/>
      </c>
      <c r="F2995" s="6">
        <f>IF($J2995="","",IF($J2995&lt;=1500,N(INDEX('Daily Sale entry '!$AC$1:$AC$1501,$J2995+1))-IF(AND('Opening Balance'!$B$15=1,INDEX('Daily Sale entry '!$Z$1:$Z$1501,$J2995+1)="Online collection 网上收款",INDEX('Daily Sale entry '!$AA$1:$AA$1501,$J2995+1)&lt;&gt;""),N(INDEX('Daily Sale entry '!$AC$1:$AC$1501,$J2995+1))-TRUNC(N(INDEX('Daily Sale entry '!$AC$1:$AC$1501,$J2995+1))),0),N(INDEX('Daily Sale entry '!$S$1:$S$1501,$J2995-1499))-'Opening Balance'!$B$15*(N(INDEX('Daily Sale entry '!$S$1:$S$1501,$J2995-1499))-TRUNC(N(INDEX('Daily Sale entry '!$S$1:$S$1501,$J2995-1499))))))</f>
        <v/>
      </c>
      <c r="G2995" s="6">
        <f>IF($J2995="","",IF($J2995&lt;=1500,N(INDEX('Daily Sale entry '!$AD$1:$AD$1501,$J2995+1)),0))</f>
        <v/>
      </c>
      <c r="H2995" s="6">
        <f>IF($J2995="","",ROUND('Opening Balance'!$B$4+SUM($F$2:F2995)-SUM($G$2:G2995),2))</f>
        <v/>
      </c>
      <c r="J2995" s="21">
        <f>IFERROR(MATCH(ROW()-1,$L$2:$L$3001,0),"")</f>
        <v/>
      </c>
      <c r="K2995" s="34">
        <f>IF(AND('Daily Sale entry '!Q1495="Collection 收款",'Daily Sale entry '!R1495="Cheque 支票",'Daily Sale entry '!V1495&lt;&gt;""),'Daily Sale entry '!V1495+ROW()/10000000,"")</f>
        <v/>
      </c>
      <c r="L2995" s="21">
        <f>IF(K2995="","",COUNTIF($K$2:$K$3001,"&lt;"&amp;K2995)+1)</f>
        <v/>
      </c>
    </row>
    <row r="2996">
      <c r="A2996" s="5">
        <f>IF($J2996="","",IF($J2996&lt;=1500,INDEX('Daily Sale entry '!$X$1:$X$1501,$J2996+1),INDEX('Daily Sale entry '!$V$1:$V$1501,$J2996-1499)))</f>
        <v/>
      </c>
      <c r="B2996">
        <f>IF($J2996="","",IF($J2996&lt;=1500,INDEX('Daily Sale entry '!$Y$1:$Y$1501,$J2996+1)&amp;"","Buyer cheque banked 买家支票存入"&amp;IF(INDEX('Daily Sale entry '!$U$1:$U$1501,$J2996-1499)="","", " - "&amp;INDEX('Daily Sale entry '!$U$1:$U$1501,$J2996-1499))))</f>
        <v/>
      </c>
      <c r="C2996">
        <f>IF($J2996="","",IF($J2996&lt;=1500,INDEX('Daily Sale entry '!$Z$1:$Z$1501,$J2996+1)&amp;"","Cheque deposit 支票存入 (buyer 买家)"))</f>
        <v/>
      </c>
      <c r="D2996">
        <f>IF($J2996="","",IF($J2996&lt;=1500,INDEX('Daily Sale entry '!$AA$1:$AA$1501,$J2996+1)&amp;"",INDEX('Daily Sale entry '!$P$1:$P$1501,$J2996-1499)&amp;""))</f>
        <v/>
      </c>
      <c r="E2996">
        <f>IF($J2996="","",IF($J2996&lt;=1500,IF(N(INDEX('Daily Sale entry '!$AB$1:$AB$1501,$J2996+1))=0,"",INDEX('Daily Sale entry '!$AB$1:$AB$1501,$J2996+1)),1))</f>
        <v/>
      </c>
      <c r="F2996" s="6">
        <f>IF($J2996="","",IF($J2996&lt;=1500,N(INDEX('Daily Sale entry '!$AC$1:$AC$1501,$J2996+1))-IF(AND('Opening Balance'!$B$15=1,INDEX('Daily Sale entry '!$Z$1:$Z$1501,$J2996+1)="Online collection 网上收款",INDEX('Daily Sale entry '!$AA$1:$AA$1501,$J2996+1)&lt;&gt;""),N(INDEX('Daily Sale entry '!$AC$1:$AC$1501,$J2996+1))-TRUNC(N(INDEX('Daily Sale entry '!$AC$1:$AC$1501,$J2996+1))),0),N(INDEX('Daily Sale entry '!$S$1:$S$1501,$J2996-1499))-'Opening Balance'!$B$15*(N(INDEX('Daily Sale entry '!$S$1:$S$1501,$J2996-1499))-TRUNC(N(INDEX('Daily Sale entry '!$S$1:$S$1501,$J2996-1499))))))</f>
        <v/>
      </c>
      <c r="G2996" s="6">
        <f>IF($J2996="","",IF($J2996&lt;=1500,N(INDEX('Daily Sale entry '!$AD$1:$AD$1501,$J2996+1)),0))</f>
        <v/>
      </c>
      <c r="H2996" s="6">
        <f>IF($J2996="","",ROUND('Opening Balance'!$B$4+SUM($F$2:F2996)-SUM($G$2:G2996),2))</f>
        <v/>
      </c>
      <c r="J2996" s="21">
        <f>IFERROR(MATCH(ROW()-1,$L$2:$L$3001,0),"")</f>
        <v/>
      </c>
      <c r="K2996" s="34">
        <f>IF(AND('Daily Sale entry '!Q1496="Collection 收款",'Daily Sale entry '!R1496="Cheque 支票",'Daily Sale entry '!V1496&lt;&gt;""),'Daily Sale entry '!V1496+ROW()/10000000,"")</f>
        <v/>
      </c>
      <c r="L2996" s="21">
        <f>IF(K2996="","",COUNTIF($K$2:$K$3001,"&lt;"&amp;K2996)+1)</f>
        <v/>
      </c>
    </row>
    <row r="2997">
      <c r="A2997" s="5">
        <f>IF($J2997="","",IF($J2997&lt;=1500,INDEX('Daily Sale entry '!$X$1:$X$1501,$J2997+1),INDEX('Daily Sale entry '!$V$1:$V$1501,$J2997-1499)))</f>
        <v/>
      </c>
      <c r="B2997">
        <f>IF($J2997="","",IF($J2997&lt;=1500,INDEX('Daily Sale entry '!$Y$1:$Y$1501,$J2997+1)&amp;"","Buyer cheque banked 买家支票存入"&amp;IF(INDEX('Daily Sale entry '!$U$1:$U$1501,$J2997-1499)="","", " - "&amp;INDEX('Daily Sale entry '!$U$1:$U$1501,$J2997-1499))))</f>
        <v/>
      </c>
      <c r="C2997">
        <f>IF($J2997="","",IF($J2997&lt;=1500,INDEX('Daily Sale entry '!$Z$1:$Z$1501,$J2997+1)&amp;"","Cheque deposit 支票存入 (buyer 买家)"))</f>
        <v/>
      </c>
      <c r="D2997">
        <f>IF($J2997="","",IF($J2997&lt;=1500,INDEX('Daily Sale entry '!$AA$1:$AA$1501,$J2997+1)&amp;"",INDEX('Daily Sale entry '!$P$1:$P$1501,$J2997-1499)&amp;""))</f>
        <v/>
      </c>
      <c r="E2997">
        <f>IF($J2997="","",IF($J2997&lt;=1500,IF(N(INDEX('Daily Sale entry '!$AB$1:$AB$1501,$J2997+1))=0,"",INDEX('Daily Sale entry '!$AB$1:$AB$1501,$J2997+1)),1))</f>
        <v/>
      </c>
      <c r="F2997" s="6">
        <f>IF($J2997="","",IF($J2997&lt;=1500,N(INDEX('Daily Sale entry '!$AC$1:$AC$1501,$J2997+1))-IF(AND('Opening Balance'!$B$15=1,INDEX('Daily Sale entry '!$Z$1:$Z$1501,$J2997+1)="Online collection 网上收款",INDEX('Daily Sale entry '!$AA$1:$AA$1501,$J2997+1)&lt;&gt;""),N(INDEX('Daily Sale entry '!$AC$1:$AC$1501,$J2997+1))-TRUNC(N(INDEX('Daily Sale entry '!$AC$1:$AC$1501,$J2997+1))),0),N(INDEX('Daily Sale entry '!$S$1:$S$1501,$J2997-1499))-'Opening Balance'!$B$15*(N(INDEX('Daily Sale entry '!$S$1:$S$1501,$J2997-1499))-TRUNC(N(INDEX('Daily Sale entry '!$S$1:$S$1501,$J2997-1499))))))</f>
        <v/>
      </c>
      <c r="G2997" s="6">
        <f>IF($J2997="","",IF($J2997&lt;=1500,N(INDEX('Daily Sale entry '!$AD$1:$AD$1501,$J2997+1)),0))</f>
        <v/>
      </c>
      <c r="H2997" s="6">
        <f>IF($J2997="","",ROUND('Opening Balance'!$B$4+SUM($F$2:F2997)-SUM($G$2:G2997),2))</f>
        <v/>
      </c>
      <c r="J2997" s="21">
        <f>IFERROR(MATCH(ROW()-1,$L$2:$L$3001,0),"")</f>
        <v/>
      </c>
      <c r="K2997" s="34">
        <f>IF(AND('Daily Sale entry '!Q1497="Collection 收款",'Daily Sale entry '!R1497="Cheque 支票",'Daily Sale entry '!V1497&lt;&gt;""),'Daily Sale entry '!V1497+ROW()/10000000,"")</f>
        <v/>
      </c>
      <c r="L2997" s="21">
        <f>IF(K2997="","",COUNTIF($K$2:$K$3001,"&lt;"&amp;K2997)+1)</f>
        <v/>
      </c>
    </row>
    <row r="2998">
      <c r="A2998" s="5">
        <f>IF($J2998="","",IF($J2998&lt;=1500,INDEX('Daily Sale entry '!$X$1:$X$1501,$J2998+1),INDEX('Daily Sale entry '!$V$1:$V$1501,$J2998-1499)))</f>
        <v/>
      </c>
      <c r="B2998">
        <f>IF($J2998="","",IF($J2998&lt;=1500,INDEX('Daily Sale entry '!$Y$1:$Y$1501,$J2998+1)&amp;"","Buyer cheque banked 买家支票存入"&amp;IF(INDEX('Daily Sale entry '!$U$1:$U$1501,$J2998-1499)="","", " - "&amp;INDEX('Daily Sale entry '!$U$1:$U$1501,$J2998-1499))))</f>
        <v/>
      </c>
      <c r="C2998">
        <f>IF($J2998="","",IF($J2998&lt;=1500,INDEX('Daily Sale entry '!$Z$1:$Z$1501,$J2998+1)&amp;"","Cheque deposit 支票存入 (buyer 买家)"))</f>
        <v/>
      </c>
      <c r="D2998">
        <f>IF($J2998="","",IF($J2998&lt;=1500,INDEX('Daily Sale entry '!$AA$1:$AA$1501,$J2998+1)&amp;"",INDEX('Daily Sale entry '!$P$1:$P$1501,$J2998-1499)&amp;""))</f>
        <v/>
      </c>
      <c r="E2998">
        <f>IF($J2998="","",IF($J2998&lt;=1500,IF(N(INDEX('Daily Sale entry '!$AB$1:$AB$1501,$J2998+1))=0,"",INDEX('Daily Sale entry '!$AB$1:$AB$1501,$J2998+1)),1))</f>
        <v/>
      </c>
      <c r="F2998" s="6">
        <f>IF($J2998="","",IF($J2998&lt;=1500,N(INDEX('Daily Sale entry '!$AC$1:$AC$1501,$J2998+1))-IF(AND('Opening Balance'!$B$15=1,INDEX('Daily Sale entry '!$Z$1:$Z$1501,$J2998+1)="Online collection 网上收款",INDEX('Daily Sale entry '!$AA$1:$AA$1501,$J2998+1)&lt;&gt;""),N(INDEX('Daily Sale entry '!$AC$1:$AC$1501,$J2998+1))-TRUNC(N(INDEX('Daily Sale entry '!$AC$1:$AC$1501,$J2998+1))),0),N(INDEX('Daily Sale entry '!$S$1:$S$1501,$J2998-1499))-'Opening Balance'!$B$15*(N(INDEX('Daily Sale entry '!$S$1:$S$1501,$J2998-1499))-TRUNC(N(INDEX('Daily Sale entry '!$S$1:$S$1501,$J2998-1499))))))</f>
        <v/>
      </c>
      <c r="G2998" s="6">
        <f>IF($J2998="","",IF($J2998&lt;=1500,N(INDEX('Daily Sale entry '!$AD$1:$AD$1501,$J2998+1)),0))</f>
        <v/>
      </c>
      <c r="H2998" s="6">
        <f>IF($J2998="","",ROUND('Opening Balance'!$B$4+SUM($F$2:F2998)-SUM($G$2:G2998),2))</f>
        <v/>
      </c>
      <c r="J2998" s="21">
        <f>IFERROR(MATCH(ROW()-1,$L$2:$L$3001,0),"")</f>
        <v/>
      </c>
      <c r="K2998" s="34">
        <f>IF(AND('Daily Sale entry '!Q1498="Collection 收款",'Daily Sale entry '!R1498="Cheque 支票",'Daily Sale entry '!V1498&lt;&gt;""),'Daily Sale entry '!V1498+ROW()/10000000,"")</f>
        <v/>
      </c>
      <c r="L2998" s="21">
        <f>IF(K2998="","",COUNTIF($K$2:$K$3001,"&lt;"&amp;K2998)+1)</f>
        <v/>
      </c>
    </row>
    <row r="2999">
      <c r="A2999" s="5">
        <f>IF($J2999="","",IF($J2999&lt;=1500,INDEX('Daily Sale entry '!$X$1:$X$1501,$J2999+1),INDEX('Daily Sale entry '!$V$1:$V$1501,$J2999-1499)))</f>
        <v/>
      </c>
      <c r="B2999">
        <f>IF($J2999="","",IF($J2999&lt;=1500,INDEX('Daily Sale entry '!$Y$1:$Y$1501,$J2999+1)&amp;"","Buyer cheque banked 买家支票存入"&amp;IF(INDEX('Daily Sale entry '!$U$1:$U$1501,$J2999-1499)="","", " - "&amp;INDEX('Daily Sale entry '!$U$1:$U$1501,$J2999-1499))))</f>
        <v/>
      </c>
      <c r="C2999">
        <f>IF($J2999="","",IF($J2999&lt;=1500,INDEX('Daily Sale entry '!$Z$1:$Z$1501,$J2999+1)&amp;"","Cheque deposit 支票存入 (buyer 买家)"))</f>
        <v/>
      </c>
      <c r="D2999">
        <f>IF($J2999="","",IF($J2999&lt;=1500,INDEX('Daily Sale entry '!$AA$1:$AA$1501,$J2999+1)&amp;"",INDEX('Daily Sale entry '!$P$1:$P$1501,$J2999-1499)&amp;""))</f>
        <v/>
      </c>
      <c r="E2999">
        <f>IF($J2999="","",IF($J2999&lt;=1500,IF(N(INDEX('Daily Sale entry '!$AB$1:$AB$1501,$J2999+1))=0,"",INDEX('Daily Sale entry '!$AB$1:$AB$1501,$J2999+1)),1))</f>
        <v/>
      </c>
      <c r="F2999" s="6">
        <f>IF($J2999="","",IF($J2999&lt;=1500,N(INDEX('Daily Sale entry '!$AC$1:$AC$1501,$J2999+1))-IF(AND('Opening Balance'!$B$15=1,INDEX('Daily Sale entry '!$Z$1:$Z$1501,$J2999+1)="Online collection 网上收款",INDEX('Daily Sale entry '!$AA$1:$AA$1501,$J2999+1)&lt;&gt;""),N(INDEX('Daily Sale entry '!$AC$1:$AC$1501,$J2999+1))-TRUNC(N(INDEX('Daily Sale entry '!$AC$1:$AC$1501,$J2999+1))),0),N(INDEX('Daily Sale entry '!$S$1:$S$1501,$J2999-1499))-'Opening Balance'!$B$15*(N(INDEX('Daily Sale entry '!$S$1:$S$1501,$J2999-1499))-TRUNC(N(INDEX('Daily Sale entry '!$S$1:$S$1501,$J2999-1499))))))</f>
        <v/>
      </c>
      <c r="G2999" s="6">
        <f>IF($J2999="","",IF($J2999&lt;=1500,N(INDEX('Daily Sale entry '!$AD$1:$AD$1501,$J2999+1)),0))</f>
        <v/>
      </c>
      <c r="H2999" s="6">
        <f>IF($J2999="","",ROUND('Opening Balance'!$B$4+SUM($F$2:F2999)-SUM($G$2:G2999),2))</f>
        <v/>
      </c>
      <c r="J2999" s="21">
        <f>IFERROR(MATCH(ROW()-1,$L$2:$L$3001,0),"")</f>
        <v/>
      </c>
      <c r="K2999" s="34">
        <f>IF(AND('Daily Sale entry '!Q1499="Collection 收款",'Daily Sale entry '!R1499="Cheque 支票",'Daily Sale entry '!V1499&lt;&gt;""),'Daily Sale entry '!V1499+ROW()/10000000,"")</f>
        <v/>
      </c>
      <c r="L2999" s="21">
        <f>IF(K2999="","",COUNTIF($K$2:$K$3001,"&lt;"&amp;K2999)+1)</f>
        <v/>
      </c>
    </row>
    <row r="3000">
      <c r="A3000" s="5">
        <f>IF($J3000="","",IF($J3000&lt;=1500,INDEX('Daily Sale entry '!$X$1:$X$1501,$J3000+1),INDEX('Daily Sale entry '!$V$1:$V$1501,$J3000-1499)))</f>
        <v/>
      </c>
      <c r="B3000">
        <f>IF($J3000="","",IF($J3000&lt;=1500,INDEX('Daily Sale entry '!$Y$1:$Y$1501,$J3000+1)&amp;"","Buyer cheque banked 买家支票存入"&amp;IF(INDEX('Daily Sale entry '!$U$1:$U$1501,$J3000-1499)="","", " - "&amp;INDEX('Daily Sale entry '!$U$1:$U$1501,$J3000-1499))))</f>
        <v/>
      </c>
      <c r="C3000">
        <f>IF($J3000="","",IF($J3000&lt;=1500,INDEX('Daily Sale entry '!$Z$1:$Z$1501,$J3000+1)&amp;"","Cheque deposit 支票存入 (buyer 买家)"))</f>
        <v/>
      </c>
      <c r="D3000">
        <f>IF($J3000="","",IF($J3000&lt;=1500,INDEX('Daily Sale entry '!$AA$1:$AA$1501,$J3000+1)&amp;"",INDEX('Daily Sale entry '!$P$1:$P$1501,$J3000-1499)&amp;""))</f>
        <v/>
      </c>
      <c r="E3000">
        <f>IF($J3000="","",IF($J3000&lt;=1500,IF(N(INDEX('Daily Sale entry '!$AB$1:$AB$1501,$J3000+1))=0,"",INDEX('Daily Sale entry '!$AB$1:$AB$1501,$J3000+1)),1))</f>
        <v/>
      </c>
      <c r="F3000" s="6">
        <f>IF($J3000="","",IF($J3000&lt;=1500,N(INDEX('Daily Sale entry '!$AC$1:$AC$1501,$J3000+1))-IF(AND('Opening Balance'!$B$15=1,INDEX('Daily Sale entry '!$Z$1:$Z$1501,$J3000+1)="Online collection 网上收款",INDEX('Daily Sale entry '!$AA$1:$AA$1501,$J3000+1)&lt;&gt;""),N(INDEX('Daily Sale entry '!$AC$1:$AC$1501,$J3000+1))-TRUNC(N(INDEX('Daily Sale entry '!$AC$1:$AC$1501,$J3000+1))),0),N(INDEX('Daily Sale entry '!$S$1:$S$1501,$J3000-1499))-'Opening Balance'!$B$15*(N(INDEX('Daily Sale entry '!$S$1:$S$1501,$J3000-1499))-TRUNC(N(INDEX('Daily Sale entry '!$S$1:$S$1501,$J3000-1499))))))</f>
        <v/>
      </c>
      <c r="G3000" s="6">
        <f>IF($J3000="","",IF($J3000&lt;=1500,N(INDEX('Daily Sale entry '!$AD$1:$AD$1501,$J3000+1)),0))</f>
        <v/>
      </c>
      <c r="H3000" s="6">
        <f>IF($J3000="","",ROUND('Opening Balance'!$B$4+SUM($F$2:F3000)-SUM($G$2:G3000),2))</f>
        <v/>
      </c>
      <c r="J3000" s="21">
        <f>IFERROR(MATCH(ROW()-1,$L$2:$L$3001,0),"")</f>
        <v/>
      </c>
      <c r="K3000" s="34">
        <f>IF(AND('Daily Sale entry '!Q1500="Collection 收款",'Daily Sale entry '!R1500="Cheque 支票",'Daily Sale entry '!V1500&lt;&gt;""),'Daily Sale entry '!V1500+ROW()/10000000,"")</f>
        <v/>
      </c>
      <c r="L3000" s="21">
        <f>IF(K3000="","",COUNTIF($K$2:$K$3001,"&lt;"&amp;K3000)+1)</f>
        <v/>
      </c>
    </row>
    <row r="3001">
      <c r="A3001" s="5">
        <f>IF($J3001="","",IF($J3001&lt;=1500,INDEX('Daily Sale entry '!$X$1:$X$1501,$J3001+1),INDEX('Daily Sale entry '!$V$1:$V$1501,$J3001-1499)))</f>
        <v/>
      </c>
      <c r="B3001">
        <f>IF($J3001="","",IF($J3001&lt;=1500,INDEX('Daily Sale entry '!$Y$1:$Y$1501,$J3001+1)&amp;"","Buyer cheque banked 买家支票存入"&amp;IF(INDEX('Daily Sale entry '!$U$1:$U$1501,$J3001-1499)="","", " - "&amp;INDEX('Daily Sale entry '!$U$1:$U$1501,$J3001-1499))))</f>
        <v/>
      </c>
      <c r="C3001">
        <f>IF($J3001="","",IF($J3001&lt;=1500,INDEX('Daily Sale entry '!$Z$1:$Z$1501,$J3001+1)&amp;"","Cheque deposit 支票存入 (buyer 买家)"))</f>
        <v/>
      </c>
      <c r="D3001">
        <f>IF($J3001="","",IF($J3001&lt;=1500,INDEX('Daily Sale entry '!$AA$1:$AA$1501,$J3001+1)&amp;"",INDEX('Daily Sale entry '!$P$1:$P$1501,$J3001-1499)&amp;""))</f>
        <v/>
      </c>
      <c r="E3001">
        <f>IF($J3001="","",IF($J3001&lt;=1500,IF(N(INDEX('Daily Sale entry '!$AB$1:$AB$1501,$J3001+1))=0,"",INDEX('Daily Sale entry '!$AB$1:$AB$1501,$J3001+1)),1))</f>
        <v/>
      </c>
      <c r="F3001" s="6">
        <f>IF($J3001="","",IF($J3001&lt;=1500,N(INDEX('Daily Sale entry '!$AC$1:$AC$1501,$J3001+1))-IF(AND('Opening Balance'!$B$15=1,INDEX('Daily Sale entry '!$Z$1:$Z$1501,$J3001+1)="Online collection 网上收款",INDEX('Daily Sale entry '!$AA$1:$AA$1501,$J3001+1)&lt;&gt;""),N(INDEX('Daily Sale entry '!$AC$1:$AC$1501,$J3001+1))-TRUNC(N(INDEX('Daily Sale entry '!$AC$1:$AC$1501,$J3001+1))),0),N(INDEX('Daily Sale entry '!$S$1:$S$1501,$J3001-1499))-'Opening Balance'!$B$15*(N(INDEX('Daily Sale entry '!$S$1:$S$1501,$J3001-1499))-TRUNC(N(INDEX('Daily Sale entry '!$S$1:$S$1501,$J3001-1499))))))</f>
        <v/>
      </c>
      <c r="G3001" s="6">
        <f>IF($J3001="","",IF($J3001&lt;=1500,N(INDEX('Daily Sale entry '!$AD$1:$AD$1501,$J3001+1)),0))</f>
        <v/>
      </c>
      <c r="H3001" s="6">
        <f>IF($J3001="","",ROUND('Opening Balance'!$B$4+SUM($F$2:F3001)-SUM($G$2:G3001),2))</f>
        <v/>
      </c>
      <c r="J3001" s="21">
        <f>IFERROR(MATCH(ROW()-1,$L$2:$L$3001,0),"")</f>
        <v/>
      </c>
      <c r="K3001" s="34">
        <f>IF(AND('Daily Sale entry '!Q1501="Collection 收款",'Daily Sale entry '!R1501="Cheque 支票",'Daily Sale entry '!V1501&lt;&gt;""),'Daily Sale entry '!V1501+ROW()/10000000,"")</f>
        <v/>
      </c>
      <c r="L3001" s="21">
        <f>IF(K3001="","",COUNTIF($K$2:$K$3001,"&lt;"&amp;K3001)+1)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G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6" customWidth="1" min="4" max="4"/>
    <col width="20" customWidth="1" min="5" max="5"/>
    <col width="4" customWidth="1" min="6" max="6"/>
    <col width="8" customWidth="1" min="7" max="7"/>
  </cols>
  <sheetData>
    <row r="1">
      <c r="A1" s="15" t="inlineStr">
        <is>
          <t>CHEQUE ON HAND 手头支票 - buyer cheques not yet banked in 买家支票(未存入)</t>
        </is>
      </c>
    </row>
    <row r="2">
      <c r="A2" s="18" t="inlineStr">
        <is>
          <t>A cheque leaves this list when you fill its Bank-in date in the peach table. 在桃色表填写存入日期后,支票自动从此名单移除。</t>
        </is>
      </c>
    </row>
    <row r="3">
      <c r="A3" s="16" t="inlineStr">
        <is>
          <t>Total 总额:</t>
        </is>
      </c>
      <c r="B3" s="16">
        <f>COUNT(G7:G206)</f>
        <v/>
      </c>
      <c r="C3" t="inlineStr">
        <is>
          <t>cheques 张</t>
        </is>
      </c>
      <c r="D3" s="32">
        <f>SUM(D7:D206)</f>
        <v/>
      </c>
    </row>
    <row r="4"/>
    <row r="5"/>
    <row r="6">
      <c r="A6" s="27" t="inlineStr">
        <is>
          <t>No
序</t>
        </is>
      </c>
      <c r="B6" s="27" t="inlineStr">
        <is>
          <t>Date received
收到日期</t>
        </is>
      </c>
      <c r="C6" s="27" t="inlineStr">
        <is>
          <t>Buyer
买家</t>
        </is>
      </c>
      <c r="D6" s="27" t="inlineStr">
        <is>
          <t>Amount
金额</t>
        </is>
      </c>
      <c r="E6" s="27" t="inlineStr">
        <is>
          <t>Remarks
备注</t>
        </is>
      </c>
      <c r="G6" s="21" t="inlineStr">
        <is>
          <t>row 行</t>
        </is>
      </c>
    </row>
    <row r="7">
      <c r="A7">
        <f>IF(G7="","",1)</f>
        <v/>
      </c>
      <c r="B7" s="5">
        <f>IF(G7="","",INDEX('Daily Sale entry '!$O$1:$O$1501,G7))</f>
        <v/>
      </c>
      <c r="C7">
        <f>IF(G7="","",INDEX('Daily Sale entry '!$P$1:$P$1501,G7))</f>
        <v/>
      </c>
      <c r="D7" s="6">
        <f>IF(G7="","",INDEX('Daily Sale entry '!$S$1:$S$1501,G7))</f>
        <v/>
      </c>
      <c r="E7">
        <f>IF(G7="","",INDEX('Daily Sale entry '!$U$1:$U$1501,G7)&amp;"")</f>
        <v/>
      </c>
      <c r="G7" s="21">
        <f t="array" ref="G7">IFERROR(SMALL(IF(('Daily Sale entry '!$Q$2:$Q$1501="Collection 收款")*('Daily Sale entry '!$R$2:$R$1501="Cheque 支票")*('Daily Sale entry '!$V$2:$V$1501=""),ROW('Daily Sale entry '!$Q$2:$Q$1501)),1),"")</f>
        <v/>
      </c>
    </row>
    <row r="8">
      <c r="A8">
        <f>IF(G8="","",2)</f>
        <v/>
      </c>
      <c r="B8" s="5">
        <f>IF(G8="","",INDEX('Daily Sale entry '!$O$1:$O$1501,G8))</f>
        <v/>
      </c>
      <c r="C8">
        <f>IF(G8="","",INDEX('Daily Sale entry '!$P$1:$P$1501,G8))</f>
        <v/>
      </c>
      <c r="D8" s="6">
        <f>IF(G8="","",INDEX('Daily Sale entry '!$S$1:$S$1501,G8))</f>
        <v/>
      </c>
      <c r="E8">
        <f>IF(G8="","",INDEX('Daily Sale entry '!$U$1:$U$1501,G8)&amp;"")</f>
        <v/>
      </c>
      <c r="G8" s="21">
        <f t="array" ref="G8">IFERROR(SMALL(IF(('Daily Sale entry '!$Q$2:$Q$1501="Collection 收款")*('Daily Sale entry '!$R$2:$R$1501="Cheque 支票")*('Daily Sale entry '!$V$2:$V$1501=""),ROW('Daily Sale entry '!$Q$2:$Q$1501)),2),"")</f>
        <v/>
      </c>
    </row>
    <row r="9">
      <c r="A9">
        <f>IF(G9="","",3)</f>
        <v/>
      </c>
      <c r="B9" s="5">
        <f>IF(G9="","",INDEX('Daily Sale entry '!$O$1:$O$1501,G9))</f>
        <v/>
      </c>
      <c r="C9">
        <f>IF(G9="","",INDEX('Daily Sale entry '!$P$1:$P$1501,G9))</f>
        <v/>
      </c>
      <c r="D9" s="6">
        <f>IF(G9="","",INDEX('Daily Sale entry '!$S$1:$S$1501,G9))</f>
        <v/>
      </c>
      <c r="E9">
        <f>IF(G9="","",INDEX('Daily Sale entry '!$U$1:$U$1501,G9)&amp;"")</f>
        <v/>
      </c>
      <c r="G9" s="21">
        <f t="array" ref="G9">IFERROR(SMALL(IF(('Daily Sale entry '!$Q$2:$Q$1501="Collection 收款")*('Daily Sale entry '!$R$2:$R$1501="Cheque 支票")*('Daily Sale entry '!$V$2:$V$1501=""),ROW('Daily Sale entry '!$Q$2:$Q$1501)),3),"")</f>
        <v/>
      </c>
    </row>
    <row r="10">
      <c r="A10">
        <f>IF(G10="","",4)</f>
        <v/>
      </c>
      <c r="B10" s="5">
        <f>IF(G10="","",INDEX('Daily Sale entry '!$O$1:$O$1501,G10))</f>
        <v/>
      </c>
      <c r="C10">
        <f>IF(G10="","",INDEX('Daily Sale entry '!$P$1:$P$1501,G10))</f>
        <v/>
      </c>
      <c r="D10" s="6">
        <f>IF(G10="","",INDEX('Daily Sale entry '!$S$1:$S$1501,G10))</f>
        <v/>
      </c>
      <c r="E10">
        <f>IF(G10="","",INDEX('Daily Sale entry '!$U$1:$U$1501,G10)&amp;"")</f>
        <v/>
      </c>
      <c r="G10" s="21">
        <f t="array" ref="G10">IFERROR(SMALL(IF(('Daily Sale entry '!$Q$2:$Q$1501="Collection 收款")*('Daily Sale entry '!$R$2:$R$1501="Cheque 支票")*('Daily Sale entry '!$V$2:$V$1501=""),ROW('Daily Sale entry '!$Q$2:$Q$1501)),4),"")</f>
        <v/>
      </c>
    </row>
    <row r="11">
      <c r="A11">
        <f>IF(G11="","",5)</f>
        <v/>
      </c>
      <c r="B11" s="5">
        <f>IF(G11="","",INDEX('Daily Sale entry '!$O$1:$O$1501,G11))</f>
        <v/>
      </c>
      <c r="C11">
        <f>IF(G11="","",INDEX('Daily Sale entry '!$P$1:$P$1501,G11))</f>
        <v/>
      </c>
      <c r="D11" s="6">
        <f>IF(G11="","",INDEX('Daily Sale entry '!$S$1:$S$1501,G11))</f>
        <v/>
      </c>
      <c r="E11">
        <f>IF(G11="","",INDEX('Daily Sale entry '!$U$1:$U$1501,G11)&amp;"")</f>
        <v/>
      </c>
      <c r="G11" s="21">
        <f t="array" ref="G11">IFERROR(SMALL(IF(('Daily Sale entry '!$Q$2:$Q$1501="Collection 收款")*('Daily Sale entry '!$R$2:$R$1501="Cheque 支票")*('Daily Sale entry '!$V$2:$V$1501=""),ROW('Daily Sale entry '!$Q$2:$Q$1501)),5),"")</f>
        <v/>
      </c>
    </row>
    <row r="12">
      <c r="A12">
        <f>IF(G12="","",6)</f>
        <v/>
      </c>
      <c r="B12" s="5">
        <f>IF(G12="","",INDEX('Daily Sale entry '!$O$1:$O$1501,G12))</f>
        <v/>
      </c>
      <c r="C12">
        <f>IF(G12="","",INDEX('Daily Sale entry '!$P$1:$P$1501,G12))</f>
        <v/>
      </c>
      <c r="D12" s="6">
        <f>IF(G12="","",INDEX('Daily Sale entry '!$S$1:$S$1501,G12))</f>
        <v/>
      </c>
      <c r="E12">
        <f>IF(G12="","",INDEX('Daily Sale entry '!$U$1:$U$1501,G12)&amp;"")</f>
        <v/>
      </c>
      <c r="G12" s="21">
        <f t="array" ref="G12">IFERROR(SMALL(IF(('Daily Sale entry '!$Q$2:$Q$1501="Collection 收款")*('Daily Sale entry '!$R$2:$R$1501="Cheque 支票")*('Daily Sale entry '!$V$2:$V$1501=""),ROW('Daily Sale entry '!$Q$2:$Q$1501)),6),"")</f>
        <v/>
      </c>
    </row>
    <row r="13">
      <c r="A13">
        <f>IF(G13="","",7)</f>
        <v/>
      </c>
      <c r="B13" s="5">
        <f>IF(G13="","",INDEX('Daily Sale entry '!$O$1:$O$1501,G13))</f>
        <v/>
      </c>
      <c r="C13">
        <f>IF(G13="","",INDEX('Daily Sale entry '!$P$1:$P$1501,G13))</f>
        <v/>
      </c>
      <c r="D13" s="6">
        <f>IF(G13="","",INDEX('Daily Sale entry '!$S$1:$S$1501,G13))</f>
        <v/>
      </c>
      <c r="E13">
        <f>IF(G13="","",INDEX('Daily Sale entry '!$U$1:$U$1501,G13)&amp;"")</f>
        <v/>
      </c>
      <c r="G13" s="21">
        <f t="array" ref="G13">IFERROR(SMALL(IF(('Daily Sale entry '!$Q$2:$Q$1501="Collection 收款")*('Daily Sale entry '!$R$2:$R$1501="Cheque 支票")*('Daily Sale entry '!$V$2:$V$1501=""),ROW('Daily Sale entry '!$Q$2:$Q$1501)),7),"")</f>
        <v/>
      </c>
    </row>
    <row r="14">
      <c r="A14">
        <f>IF(G14="","",8)</f>
        <v/>
      </c>
      <c r="B14" s="5">
        <f>IF(G14="","",INDEX('Daily Sale entry '!$O$1:$O$1501,G14))</f>
        <v/>
      </c>
      <c r="C14">
        <f>IF(G14="","",INDEX('Daily Sale entry '!$P$1:$P$1501,G14))</f>
        <v/>
      </c>
      <c r="D14" s="6">
        <f>IF(G14="","",INDEX('Daily Sale entry '!$S$1:$S$1501,G14))</f>
        <v/>
      </c>
      <c r="E14">
        <f>IF(G14="","",INDEX('Daily Sale entry '!$U$1:$U$1501,G14)&amp;"")</f>
        <v/>
      </c>
      <c r="G14" s="21">
        <f t="array" ref="G14">IFERROR(SMALL(IF(('Daily Sale entry '!$Q$2:$Q$1501="Collection 收款")*('Daily Sale entry '!$R$2:$R$1501="Cheque 支票")*('Daily Sale entry '!$V$2:$V$1501=""),ROW('Daily Sale entry '!$Q$2:$Q$1501)),8),"")</f>
        <v/>
      </c>
    </row>
    <row r="15">
      <c r="A15">
        <f>IF(G15="","",9)</f>
        <v/>
      </c>
      <c r="B15" s="5">
        <f>IF(G15="","",INDEX('Daily Sale entry '!$O$1:$O$1501,G15))</f>
        <v/>
      </c>
      <c r="C15">
        <f>IF(G15="","",INDEX('Daily Sale entry '!$P$1:$P$1501,G15))</f>
        <v/>
      </c>
      <c r="D15" s="6">
        <f>IF(G15="","",INDEX('Daily Sale entry '!$S$1:$S$1501,G15))</f>
        <v/>
      </c>
      <c r="E15">
        <f>IF(G15="","",INDEX('Daily Sale entry '!$U$1:$U$1501,G15)&amp;"")</f>
        <v/>
      </c>
      <c r="G15" s="21">
        <f t="array" ref="G15">IFERROR(SMALL(IF(('Daily Sale entry '!$Q$2:$Q$1501="Collection 收款")*('Daily Sale entry '!$R$2:$R$1501="Cheque 支票")*('Daily Sale entry '!$V$2:$V$1501=""),ROW('Daily Sale entry '!$Q$2:$Q$1501)),9),"")</f>
        <v/>
      </c>
    </row>
    <row r="16">
      <c r="A16">
        <f>IF(G16="","",10)</f>
        <v/>
      </c>
      <c r="B16" s="5">
        <f>IF(G16="","",INDEX('Daily Sale entry '!$O$1:$O$1501,G16))</f>
        <v/>
      </c>
      <c r="C16">
        <f>IF(G16="","",INDEX('Daily Sale entry '!$P$1:$P$1501,G16))</f>
        <v/>
      </c>
      <c r="D16" s="6">
        <f>IF(G16="","",INDEX('Daily Sale entry '!$S$1:$S$1501,G16))</f>
        <v/>
      </c>
      <c r="E16">
        <f>IF(G16="","",INDEX('Daily Sale entry '!$U$1:$U$1501,G16)&amp;"")</f>
        <v/>
      </c>
      <c r="G16" s="21">
        <f t="array" ref="G16">IFERROR(SMALL(IF(('Daily Sale entry '!$Q$2:$Q$1501="Collection 收款")*('Daily Sale entry '!$R$2:$R$1501="Cheque 支票")*('Daily Sale entry '!$V$2:$V$1501=""),ROW('Daily Sale entry '!$Q$2:$Q$1501)),10),"")</f>
        <v/>
      </c>
    </row>
    <row r="17">
      <c r="A17">
        <f>IF(G17="","",11)</f>
        <v/>
      </c>
      <c r="B17" s="5">
        <f>IF(G17="","",INDEX('Daily Sale entry '!$O$1:$O$1501,G17))</f>
        <v/>
      </c>
      <c r="C17">
        <f>IF(G17="","",INDEX('Daily Sale entry '!$P$1:$P$1501,G17))</f>
        <v/>
      </c>
      <c r="D17" s="6">
        <f>IF(G17="","",INDEX('Daily Sale entry '!$S$1:$S$1501,G17))</f>
        <v/>
      </c>
      <c r="E17">
        <f>IF(G17="","",INDEX('Daily Sale entry '!$U$1:$U$1501,G17)&amp;"")</f>
        <v/>
      </c>
      <c r="G17" s="21">
        <f t="array" ref="G17">IFERROR(SMALL(IF(('Daily Sale entry '!$Q$2:$Q$1501="Collection 收款")*('Daily Sale entry '!$R$2:$R$1501="Cheque 支票")*('Daily Sale entry '!$V$2:$V$1501=""),ROW('Daily Sale entry '!$Q$2:$Q$1501)),11),"")</f>
        <v/>
      </c>
    </row>
    <row r="18">
      <c r="A18">
        <f>IF(G18="","",12)</f>
        <v/>
      </c>
      <c r="B18" s="5">
        <f>IF(G18="","",INDEX('Daily Sale entry '!$O$1:$O$1501,G18))</f>
        <v/>
      </c>
      <c r="C18">
        <f>IF(G18="","",INDEX('Daily Sale entry '!$P$1:$P$1501,G18))</f>
        <v/>
      </c>
      <c r="D18" s="6">
        <f>IF(G18="","",INDEX('Daily Sale entry '!$S$1:$S$1501,G18))</f>
        <v/>
      </c>
      <c r="E18">
        <f>IF(G18="","",INDEX('Daily Sale entry '!$U$1:$U$1501,G18)&amp;"")</f>
        <v/>
      </c>
      <c r="G18" s="21">
        <f t="array" ref="G18">IFERROR(SMALL(IF(('Daily Sale entry '!$Q$2:$Q$1501="Collection 收款")*('Daily Sale entry '!$R$2:$R$1501="Cheque 支票")*('Daily Sale entry '!$V$2:$V$1501=""),ROW('Daily Sale entry '!$Q$2:$Q$1501)),12),"")</f>
        <v/>
      </c>
    </row>
    <row r="19">
      <c r="A19">
        <f>IF(G19="","",13)</f>
        <v/>
      </c>
      <c r="B19" s="5">
        <f>IF(G19="","",INDEX('Daily Sale entry '!$O$1:$O$1501,G19))</f>
        <v/>
      </c>
      <c r="C19">
        <f>IF(G19="","",INDEX('Daily Sale entry '!$P$1:$P$1501,G19))</f>
        <v/>
      </c>
      <c r="D19" s="6">
        <f>IF(G19="","",INDEX('Daily Sale entry '!$S$1:$S$1501,G19))</f>
        <v/>
      </c>
      <c r="E19">
        <f>IF(G19="","",INDEX('Daily Sale entry '!$U$1:$U$1501,G19)&amp;"")</f>
        <v/>
      </c>
      <c r="G19" s="21">
        <f t="array" ref="G19">IFERROR(SMALL(IF(('Daily Sale entry '!$Q$2:$Q$1501="Collection 收款")*('Daily Sale entry '!$R$2:$R$1501="Cheque 支票")*('Daily Sale entry '!$V$2:$V$1501=""),ROW('Daily Sale entry '!$Q$2:$Q$1501)),13),"")</f>
        <v/>
      </c>
    </row>
    <row r="20">
      <c r="A20">
        <f>IF(G20="","",14)</f>
        <v/>
      </c>
      <c r="B20" s="5">
        <f>IF(G20="","",INDEX('Daily Sale entry '!$O$1:$O$1501,G20))</f>
        <v/>
      </c>
      <c r="C20">
        <f>IF(G20="","",INDEX('Daily Sale entry '!$P$1:$P$1501,G20))</f>
        <v/>
      </c>
      <c r="D20" s="6">
        <f>IF(G20="","",INDEX('Daily Sale entry '!$S$1:$S$1501,G20))</f>
        <v/>
      </c>
      <c r="E20">
        <f>IF(G20="","",INDEX('Daily Sale entry '!$U$1:$U$1501,G20)&amp;"")</f>
        <v/>
      </c>
      <c r="G20" s="21">
        <f t="array" ref="G20">IFERROR(SMALL(IF(('Daily Sale entry '!$Q$2:$Q$1501="Collection 收款")*('Daily Sale entry '!$R$2:$R$1501="Cheque 支票")*('Daily Sale entry '!$V$2:$V$1501=""),ROW('Daily Sale entry '!$Q$2:$Q$1501)),14),"")</f>
        <v/>
      </c>
    </row>
    <row r="21">
      <c r="A21">
        <f>IF(G21="","",15)</f>
        <v/>
      </c>
      <c r="B21" s="5">
        <f>IF(G21="","",INDEX('Daily Sale entry '!$O$1:$O$1501,G21))</f>
        <v/>
      </c>
      <c r="C21">
        <f>IF(G21="","",INDEX('Daily Sale entry '!$P$1:$P$1501,G21))</f>
        <v/>
      </c>
      <c r="D21" s="6">
        <f>IF(G21="","",INDEX('Daily Sale entry '!$S$1:$S$1501,G21))</f>
        <v/>
      </c>
      <c r="E21">
        <f>IF(G21="","",INDEX('Daily Sale entry '!$U$1:$U$1501,G21)&amp;"")</f>
        <v/>
      </c>
      <c r="G21" s="21">
        <f t="array" ref="G21">IFERROR(SMALL(IF(('Daily Sale entry '!$Q$2:$Q$1501="Collection 收款")*('Daily Sale entry '!$R$2:$R$1501="Cheque 支票")*('Daily Sale entry '!$V$2:$V$1501=""),ROW('Daily Sale entry '!$Q$2:$Q$1501)),15),"")</f>
        <v/>
      </c>
    </row>
    <row r="22">
      <c r="A22">
        <f>IF(G22="","",16)</f>
        <v/>
      </c>
      <c r="B22" s="5">
        <f>IF(G22="","",INDEX('Daily Sale entry '!$O$1:$O$1501,G22))</f>
        <v/>
      </c>
      <c r="C22">
        <f>IF(G22="","",INDEX('Daily Sale entry '!$P$1:$P$1501,G22))</f>
        <v/>
      </c>
      <c r="D22" s="6">
        <f>IF(G22="","",INDEX('Daily Sale entry '!$S$1:$S$1501,G22))</f>
        <v/>
      </c>
      <c r="E22">
        <f>IF(G22="","",INDEX('Daily Sale entry '!$U$1:$U$1501,G22)&amp;"")</f>
        <v/>
      </c>
      <c r="G22" s="21">
        <f t="array" ref="G22">IFERROR(SMALL(IF(('Daily Sale entry '!$Q$2:$Q$1501="Collection 收款")*('Daily Sale entry '!$R$2:$R$1501="Cheque 支票")*('Daily Sale entry '!$V$2:$V$1501=""),ROW('Daily Sale entry '!$Q$2:$Q$1501)),16),"")</f>
        <v/>
      </c>
    </row>
    <row r="23">
      <c r="A23">
        <f>IF(G23="","",17)</f>
        <v/>
      </c>
      <c r="B23" s="5">
        <f>IF(G23="","",INDEX('Daily Sale entry '!$O$1:$O$1501,G23))</f>
        <v/>
      </c>
      <c r="C23">
        <f>IF(G23="","",INDEX('Daily Sale entry '!$P$1:$P$1501,G23))</f>
        <v/>
      </c>
      <c r="D23" s="6">
        <f>IF(G23="","",INDEX('Daily Sale entry '!$S$1:$S$1501,G23))</f>
        <v/>
      </c>
      <c r="E23">
        <f>IF(G23="","",INDEX('Daily Sale entry '!$U$1:$U$1501,G23)&amp;"")</f>
        <v/>
      </c>
      <c r="G23" s="21">
        <f t="array" ref="G23">IFERROR(SMALL(IF(('Daily Sale entry '!$Q$2:$Q$1501="Collection 收款")*('Daily Sale entry '!$R$2:$R$1501="Cheque 支票")*('Daily Sale entry '!$V$2:$V$1501=""),ROW('Daily Sale entry '!$Q$2:$Q$1501)),17),"")</f>
        <v/>
      </c>
    </row>
    <row r="24">
      <c r="A24">
        <f>IF(G24="","",18)</f>
        <v/>
      </c>
      <c r="B24" s="5">
        <f>IF(G24="","",INDEX('Daily Sale entry '!$O$1:$O$1501,G24))</f>
        <v/>
      </c>
      <c r="C24">
        <f>IF(G24="","",INDEX('Daily Sale entry '!$P$1:$P$1501,G24))</f>
        <v/>
      </c>
      <c r="D24" s="6">
        <f>IF(G24="","",INDEX('Daily Sale entry '!$S$1:$S$1501,G24))</f>
        <v/>
      </c>
      <c r="E24">
        <f>IF(G24="","",INDEX('Daily Sale entry '!$U$1:$U$1501,G24)&amp;"")</f>
        <v/>
      </c>
      <c r="G24" s="21">
        <f t="array" ref="G24">IFERROR(SMALL(IF(('Daily Sale entry '!$Q$2:$Q$1501="Collection 收款")*('Daily Sale entry '!$R$2:$R$1501="Cheque 支票")*('Daily Sale entry '!$V$2:$V$1501=""),ROW('Daily Sale entry '!$Q$2:$Q$1501)),18),"")</f>
        <v/>
      </c>
    </row>
    <row r="25">
      <c r="A25">
        <f>IF(G25="","",19)</f>
        <v/>
      </c>
      <c r="B25" s="5">
        <f>IF(G25="","",INDEX('Daily Sale entry '!$O$1:$O$1501,G25))</f>
        <v/>
      </c>
      <c r="C25">
        <f>IF(G25="","",INDEX('Daily Sale entry '!$P$1:$P$1501,G25))</f>
        <v/>
      </c>
      <c r="D25" s="6">
        <f>IF(G25="","",INDEX('Daily Sale entry '!$S$1:$S$1501,G25))</f>
        <v/>
      </c>
      <c r="E25">
        <f>IF(G25="","",INDEX('Daily Sale entry '!$U$1:$U$1501,G25)&amp;"")</f>
        <v/>
      </c>
      <c r="G25" s="21">
        <f t="array" ref="G25">IFERROR(SMALL(IF(('Daily Sale entry '!$Q$2:$Q$1501="Collection 收款")*('Daily Sale entry '!$R$2:$R$1501="Cheque 支票")*('Daily Sale entry '!$V$2:$V$1501=""),ROW('Daily Sale entry '!$Q$2:$Q$1501)),19),"")</f>
        <v/>
      </c>
    </row>
    <row r="26">
      <c r="A26">
        <f>IF(G26="","",20)</f>
        <v/>
      </c>
      <c r="B26" s="5">
        <f>IF(G26="","",INDEX('Daily Sale entry '!$O$1:$O$1501,G26))</f>
        <v/>
      </c>
      <c r="C26">
        <f>IF(G26="","",INDEX('Daily Sale entry '!$P$1:$P$1501,G26))</f>
        <v/>
      </c>
      <c r="D26" s="6">
        <f>IF(G26="","",INDEX('Daily Sale entry '!$S$1:$S$1501,G26))</f>
        <v/>
      </c>
      <c r="E26">
        <f>IF(G26="","",INDEX('Daily Sale entry '!$U$1:$U$1501,G26)&amp;"")</f>
        <v/>
      </c>
      <c r="G26" s="21">
        <f t="array" ref="G26">IFERROR(SMALL(IF(('Daily Sale entry '!$Q$2:$Q$1501="Collection 收款")*('Daily Sale entry '!$R$2:$R$1501="Cheque 支票")*('Daily Sale entry '!$V$2:$V$1501=""),ROW('Daily Sale entry '!$Q$2:$Q$1501)),20),"")</f>
        <v/>
      </c>
    </row>
    <row r="27">
      <c r="A27">
        <f>IF(G27="","",21)</f>
        <v/>
      </c>
      <c r="B27" s="5">
        <f>IF(G27="","",INDEX('Daily Sale entry '!$O$1:$O$1501,G27))</f>
        <v/>
      </c>
      <c r="C27">
        <f>IF(G27="","",INDEX('Daily Sale entry '!$P$1:$P$1501,G27))</f>
        <v/>
      </c>
      <c r="D27" s="6">
        <f>IF(G27="","",INDEX('Daily Sale entry '!$S$1:$S$1501,G27))</f>
        <v/>
      </c>
      <c r="E27">
        <f>IF(G27="","",INDEX('Daily Sale entry '!$U$1:$U$1501,G27)&amp;"")</f>
        <v/>
      </c>
      <c r="G27" s="21">
        <f t="array" ref="G27">IFERROR(SMALL(IF(('Daily Sale entry '!$Q$2:$Q$1501="Collection 收款")*('Daily Sale entry '!$R$2:$R$1501="Cheque 支票")*('Daily Sale entry '!$V$2:$V$1501=""),ROW('Daily Sale entry '!$Q$2:$Q$1501)),21),"")</f>
        <v/>
      </c>
    </row>
    <row r="28">
      <c r="A28">
        <f>IF(G28="","",22)</f>
        <v/>
      </c>
      <c r="B28" s="5">
        <f>IF(G28="","",INDEX('Daily Sale entry '!$O$1:$O$1501,G28))</f>
        <v/>
      </c>
      <c r="C28">
        <f>IF(G28="","",INDEX('Daily Sale entry '!$P$1:$P$1501,G28))</f>
        <v/>
      </c>
      <c r="D28" s="6">
        <f>IF(G28="","",INDEX('Daily Sale entry '!$S$1:$S$1501,G28))</f>
        <v/>
      </c>
      <c r="E28">
        <f>IF(G28="","",INDEX('Daily Sale entry '!$U$1:$U$1501,G28)&amp;"")</f>
        <v/>
      </c>
      <c r="G28" s="21">
        <f t="array" ref="G28">IFERROR(SMALL(IF(('Daily Sale entry '!$Q$2:$Q$1501="Collection 收款")*('Daily Sale entry '!$R$2:$R$1501="Cheque 支票")*('Daily Sale entry '!$V$2:$V$1501=""),ROW('Daily Sale entry '!$Q$2:$Q$1501)),22),"")</f>
        <v/>
      </c>
    </row>
    <row r="29">
      <c r="A29">
        <f>IF(G29="","",23)</f>
        <v/>
      </c>
      <c r="B29" s="5">
        <f>IF(G29="","",INDEX('Daily Sale entry '!$O$1:$O$1501,G29))</f>
        <v/>
      </c>
      <c r="C29">
        <f>IF(G29="","",INDEX('Daily Sale entry '!$P$1:$P$1501,G29))</f>
        <v/>
      </c>
      <c r="D29" s="6">
        <f>IF(G29="","",INDEX('Daily Sale entry '!$S$1:$S$1501,G29))</f>
        <v/>
      </c>
      <c r="E29">
        <f>IF(G29="","",INDEX('Daily Sale entry '!$U$1:$U$1501,G29)&amp;"")</f>
        <v/>
      </c>
      <c r="G29" s="21">
        <f t="array" ref="G29">IFERROR(SMALL(IF(('Daily Sale entry '!$Q$2:$Q$1501="Collection 收款")*('Daily Sale entry '!$R$2:$R$1501="Cheque 支票")*('Daily Sale entry '!$V$2:$V$1501=""),ROW('Daily Sale entry '!$Q$2:$Q$1501)),23),"")</f>
        <v/>
      </c>
    </row>
    <row r="30">
      <c r="A30">
        <f>IF(G30="","",24)</f>
        <v/>
      </c>
      <c r="B30" s="5">
        <f>IF(G30="","",INDEX('Daily Sale entry '!$O$1:$O$1501,G30))</f>
        <v/>
      </c>
      <c r="C30">
        <f>IF(G30="","",INDEX('Daily Sale entry '!$P$1:$P$1501,G30))</f>
        <v/>
      </c>
      <c r="D30" s="6">
        <f>IF(G30="","",INDEX('Daily Sale entry '!$S$1:$S$1501,G30))</f>
        <v/>
      </c>
      <c r="E30">
        <f>IF(G30="","",INDEX('Daily Sale entry '!$U$1:$U$1501,G30)&amp;"")</f>
        <v/>
      </c>
      <c r="G30" s="21">
        <f t="array" ref="G30">IFERROR(SMALL(IF(('Daily Sale entry '!$Q$2:$Q$1501="Collection 收款")*('Daily Sale entry '!$R$2:$R$1501="Cheque 支票")*('Daily Sale entry '!$V$2:$V$1501=""),ROW('Daily Sale entry '!$Q$2:$Q$1501)),24),"")</f>
        <v/>
      </c>
    </row>
    <row r="31">
      <c r="A31">
        <f>IF(G31="","",25)</f>
        <v/>
      </c>
      <c r="B31" s="5">
        <f>IF(G31="","",INDEX('Daily Sale entry '!$O$1:$O$1501,G31))</f>
        <v/>
      </c>
      <c r="C31">
        <f>IF(G31="","",INDEX('Daily Sale entry '!$P$1:$P$1501,G31))</f>
        <v/>
      </c>
      <c r="D31" s="6">
        <f>IF(G31="","",INDEX('Daily Sale entry '!$S$1:$S$1501,G31))</f>
        <v/>
      </c>
      <c r="E31">
        <f>IF(G31="","",INDEX('Daily Sale entry '!$U$1:$U$1501,G31)&amp;"")</f>
        <v/>
      </c>
      <c r="G31" s="21">
        <f t="array" ref="G31">IFERROR(SMALL(IF(('Daily Sale entry '!$Q$2:$Q$1501="Collection 收款")*('Daily Sale entry '!$R$2:$R$1501="Cheque 支票")*('Daily Sale entry '!$V$2:$V$1501=""),ROW('Daily Sale entry '!$Q$2:$Q$1501)),25),"")</f>
        <v/>
      </c>
    </row>
    <row r="32">
      <c r="A32">
        <f>IF(G32="","",26)</f>
        <v/>
      </c>
      <c r="B32" s="5">
        <f>IF(G32="","",INDEX('Daily Sale entry '!$O$1:$O$1501,G32))</f>
        <v/>
      </c>
      <c r="C32">
        <f>IF(G32="","",INDEX('Daily Sale entry '!$P$1:$P$1501,G32))</f>
        <v/>
      </c>
      <c r="D32" s="6">
        <f>IF(G32="","",INDEX('Daily Sale entry '!$S$1:$S$1501,G32))</f>
        <v/>
      </c>
      <c r="E32">
        <f>IF(G32="","",INDEX('Daily Sale entry '!$U$1:$U$1501,G32)&amp;"")</f>
        <v/>
      </c>
      <c r="G32" s="21">
        <f t="array" ref="G32">IFERROR(SMALL(IF(('Daily Sale entry '!$Q$2:$Q$1501="Collection 收款")*('Daily Sale entry '!$R$2:$R$1501="Cheque 支票")*('Daily Sale entry '!$V$2:$V$1501=""),ROW('Daily Sale entry '!$Q$2:$Q$1501)),26),"")</f>
        <v/>
      </c>
    </row>
    <row r="33">
      <c r="A33">
        <f>IF(G33="","",27)</f>
        <v/>
      </c>
      <c r="B33" s="5">
        <f>IF(G33="","",INDEX('Daily Sale entry '!$O$1:$O$1501,G33))</f>
        <v/>
      </c>
      <c r="C33">
        <f>IF(G33="","",INDEX('Daily Sale entry '!$P$1:$P$1501,G33))</f>
        <v/>
      </c>
      <c r="D33" s="6">
        <f>IF(G33="","",INDEX('Daily Sale entry '!$S$1:$S$1501,G33))</f>
        <v/>
      </c>
      <c r="E33">
        <f>IF(G33="","",INDEX('Daily Sale entry '!$U$1:$U$1501,G33)&amp;"")</f>
        <v/>
      </c>
      <c r="G33" s="21">
        <f t="array" ref="G33">IFERROR(SMALL(IF(('Daily Sale entry '!$Q$2:$Q$1501="Collection 收款")*('Daily Sale entry '!$R$2:$R$1501="Cheque 支票")*('Daily Sale entry '!$V$2:$V$1501=""),ROW('Daily Sale entry '!$Q$2:$Q$1501)),27),"")</f>
        <v/>
      </c>
    </row>
    <row r="34">
      <c r="A34">
        <f>IF(G34="","",28)</f>
        <v/>
      </c>
      <c r="B34" s="5">
        <f>IF(G34="","",INDEX('Daily Sale entry '!$O$1:$O$1501,G34))</f>
        <v/>
      </c>
      <c r="C34">
        <f>IF(G34="","",INDEX('Daily Sale entry '!$P$1:$P$1501,G34))</f>
        <v/>
      </c>
      <c r="D34" s="6">
        <f>IF(G34="","",INDEX('Daily Sale entry '!$S$1:$S$1501,G34))</f>
        <v/>
      </c>
      <c r="E34">
        <f>IF(G34="","",INDEX('Daily Sale entry '!$U$1:$U$1501,G34)&amp;"")</f>
        <v/>
      </c>
      <c r="G34" s="21">
        <f t="array" ref="G34">IFERROR(SMALL(IF(('Daily Sale entry '!$Q$2:$Q$1501="Collection 收款")*('Daily Sale entry '!$R$2:$R$1501="Cheque 支票")*('Daily Sale entry '!$V$2:$V$1501=""),ROW('Daily Sale entry '!$Q$2:$Q$1501)),28),"")</f>
        <v/>
      </c>
    </row>
    <row r="35">
      <c r="A35">
        <f>IF(G35="","",29)</f>
        <v/>
      </c>
      <c r="B35" s="5">
        <f>IF(G35="","",INDEX('Daily Sale entry '!$O$1:$O$1501,G35))</f>
        <v/>
      </c>
      <c r="C35">
        <f>IF(G35="","",INDEX('Daily Sale entry '!$P$1:$P$1501,G35))</f>
        <v/>
      </c>
      <c r="D35" s="6">
        <f>IF(G35="","",INDEX('Daily Sale entry '!$S$1:$S$1501,G35))</f>
        <v/>
      </c>
      <c r="E35">
        <f>IF(G35="","",INDEX('Daily Sale entry '!$U$1:$U$1501,G35)&amp;"")</f>
        <v/>
      </c>
      <c r="G35" s="21">
        <f t="array" ref="G35">IFERROR(SMALL(IF(('Daily Sale entry '!$Q$2:$Q$1501="Collection 收款")*('Daily Sale entry '!$R$2:$R$1501="Cheque 支票")*('Daily Sale entry '!$V$2:$V$1501=""),ROW('Daily Sale entry '!$Q$2:$Q$1501)),29),"")</f>
        <v/>
      </c>
    </row>
    <row r="36">
      <c r="A36">
        <f>IF(G36="","",30)</f>
        <v/>
      </c>
      <c r="B36" s="5">
        <f>IF(G36="","",INDEX('Daily Sale entry '!$O$1:$O$1501,G36))</f>
        <v/>
      </c>
      <c r="C36">
        <f>IF(G36="","",INDEX('Daily Sale entry '!$P$1:$P$1501,G36))</f>
        <v/>
      </c>
      <c r="D36" s="6">
        <f>IF(G36="","",INDEX('Daily Sale entry '!$S$1:$S$1501,G36))</f>
        <v/>
      </c>
      <c r="E36">
        <f>IF(G36="","",INDEX('Daily Sale entry '!$U$1:$U$1501,G36)&amp;"")</f>
        <v/>
      </c>
      <c r="G36" s="21">
        <f t="array" ref="G36">IFERROR(SMALL(IF(('Daily Sale entry '!$Q$2:$Q$1501="Collection 收款")*('Daily Sale entry '!$R$2:$R$1501="Cheque 支票")*('Daily Sale entry '!$V$2:$V$1501=""),ROW('Daily Sale entry '!$Q$2:$Q$1501)),30),"")</f>
        <v/>
      </c>
    </row>
    <row r="37">
      <c r="A37">
        <f>IF(G37="","",31)</f>
        <v/>
      </c>
      <c r="B37" s="5">
        <f>IF(G37="","",INDEX('Daily Sale entry '!$O$1:$O$1501,G37))</f>
        <v/>
      </c>
      <c r="C37">
        <f>IF(G37="","",INDEX('Daily Sale entry '!$P$1:$P$1501,G37))</f>
        <v/>
      </c>
      <c r="D37" s="6">
        <f>IF(G37="","",INDEX('Daily Sale entry '!$S$1:$S$1501,G37))</f>
        <v/>
      </c>
      <c r="E37">
        <f>IF(G37="","",INDEX('Daily Sale entry '!$U$1:$U$1501,G37)&amp;"")</f>
        <v/>
      </c>
      <c r="G37" s="21">
        <f t="array" ref="G37">IFERROR(SMALL(IF(('Daily Sale entry '!$Q$2:$Q$1501="Collection 收款")*('Daily Sale entry '!$R$2:$R$1501="Cheque 支票")*('Daily Sale entry '!$V$2:$V$1501=""),ROW('Daily Sale entry '!$Q$2:$Q$1501)),31),"")</f>
        <v/>
      </c>
    </row>
    <row r="38">
      <c r="A38">
        <f>IF(G38="","",32)</f>
        <v/>
      </c>
      <c r="B38" s="5">
        <f>IF(G38="","",INDEX('Daily Sale entry '!$O$1:$O$1501,G38))</f>
        <v/>
      </c>
      <c r="C38">
        <f>IF(G38="","",INDEX('Daily Sale entry '!$P$1:$P$1501,G38))</f>
        <v/>
      </c>
      <c r="D38" s="6">
        <f>IF(G38="","",INDEX('Daily Sale entry '!$S$1:$S$1501,G38))</f>
        <v/>
      </c>
      <c r="E38">
        <f>IF(G38="","",INDEX('Daily Sale entry '!$U$1:$U$1501,G38)&amp;"")</f>
        <v/>
      </c>
      <c r="G38" s="21">
        <f t="array" ref="G38">IFERROR(SMALL(IF(('Daily Sale entry '!$Q$2:$Q$1501="Collection 收款")*('Daily Sale entry '!$R$2:$R$1501="Cheque 支票")*('Daily Sale entry '!$V$2:$V$1501=""),ROW('Daily Sale entry '!$Q$2:$Q$1501)),32),"")</f>
        <v/>
      </c>
    </row>
    <row r="39">
      <c r="A39">
        <f>IF(G39="","",33)</f>
        <v/>
      </c>
      <c r="B39" s="5">
        <f>IF(G39="","",INDEX('Daily Sale entry '!$O$1:$O$1501,G39))</f>
        <v/>
      </c>
      <c r="C39">
        <f>IF(G39="","",INDEX('Daily Sale entry '!$P$1:$P$1501,G39))</f>
        <v/>
      </c>
      <c r="D39" s="6">
        <f>IF(G39="","",INDEX('Daily Sale entry '!$S$1:$S$1501,G39))</f>
        <v/>
      </c>
      <c r="E39">
        <f>IF(G39="","",INDEX('Daily Sale entry '!$U$1:$U$1501,G39)&amp;"")</f>
        <v/>
      </c>
      <c r="G39" s="21">
        <f t="array" ref="G39">IFERROR(SMALL(IF(('Daily Sale entry '!$Q$2:$Q$1501="Collection 收款")*('Daily Sale entry '!$R$2:$R$1501="Cheque 支票")*('Daily Sale entry '!$V$2:$V$1501=""),ROW('Daily Sale entry '!$Q$2:$Q$1501)),33),"")</f>
        <v/>
      </c>
    </row>
    <row r="40">
      <c r="A40">
        <f>IF(G40="","",34)</f>
        <v/>
      </c>
      <c r="B40" s="5">
        <f>IF(G40="","",INDEX('Daily Sale entry '!$O$1:$O$1501,G40))</f>
        <v/>
      </c>
      <c r="C40">
        <f>IF(G40="","",INDEX('Daily Sale entry '!$P$1:$P$1501,G40))</f>
        <v/>
      </c>
      <c r="D40" s="6">
        <f>IF(G40="","",INDEX('Daily Sale entry '!$S$1:$S$1501,G40))</f>
        <v/>
      </c>
      <c r="E40">
        <f>IF(G40="","",INDEX('Daily Sale entry '!$U$1:$U$1501,G40)&amp;"")</f>
        <v/>
      </c>
      <c r="G40" s="21">
        <f t="array" ref="G40">IFERROR(SMALL(IF(('Daily Sale entry '!$Q$2:$Q$1501="Collection 收款")*('Daily Sale entry '!$R$2:$R$1501="Cheque 支票")*('Daily Sale entry '!$V$2:$V$1501=""),ROW('Daily Sale entry '!$Q$2:$Q$1501)),34),"")</f>
        <v/>
      </c>
    </row>
    <row r="41">
      <c r="A41">
        <f>IF(G41="","",35)</f>
        <v/>
      </c>
      <c r="B41" s="5">
        <f>IF(G41="","",INDEX('Daily Sale entry '!$O$1:$O$1501,G41))</f>
        <v/>
      </c>
      <c r="C41">
        <f>IF(G41="","",INDEX('Daily Sale entry '!$P$1:$P$1501,G41))</f>
        <v/>
      </c>
      <c r="D41" s="6">
        <f>IF(G41="","",INDEX('Daily Sale entry '!$S$1:$S$1501,G41))</f>
        <v/>
      </c>
      <c r="E41">
        <f>IF(G41="","",INDEX('Daily Sale entry '!$U$1:$U$1501,G41)&amp;"")</f>
        <v/>
      </c>
      <c r="G41" s="21">
        <f t="array" ref="G41">IFERROR(SMALL(IF(('Daily Sale entry '!$Q$2:$Q$1501="Collection 收款")*('Daily Sale entry '!$R$2:$R$1501="Cheque 支票")*('Daily Sale entry '!$V$2:$V$1501=""),ROW('Daily Sale entry '!$Q$2:$Q$1501)),35),"")</f>
        <v/>
      </c>
    </row>
    <row r="42">
      <c r="A42">
        <f>IF(G42="","",36)</f>
        <v/>
      </c>
      <c r="B42" s="5">
        <f>IF(G42="","",INDEX('Daily Sale entry '!$O$1:$O$1501,G42))</f>
        <v/>
      </c>
      <c r="C42">
        <f>IF(G42="","",INDEX('Daily Sale entry '!$P$1:$P$1501,G42))</f>
        <v/>
      </c>
      <c r="D42" s="6">
        <f>IF(G42="","",INDEX('Daily Sale entry '!$S$1:$S$1501,G42))</f>
        <v/>
      </c>
      <c r="E42">
        <f>IF(G42="","",INDEX('Daily Sale entry '!$U$1:$U$1501,G42)&amp;"")</f>
        <v/>
      </c>
      <c r="G42" s="21">
        <f t="array" ref="G42">IFERROR(SMALL(IF(('Daily Sale entry '!$Q$2:$Q$1501="Collection 收款")*('Daily Sale entry '!$R$2:$R$1501="Cheque 支票")*('Daily Sale entry '!$V$2:$V$1501=""),ROW('Daily Sale entry '!$Q$2:$Q$1501)),36),"")</f>
        <v/>
      </c>
    </row>
    <row r="43">
      <c r="A43">
        <f>IF(G43="","",37)</f>
        <v/>
      </c>
      <c r="B43" s="5">
        <f>IF(G43="","",INDEX('Daily Sale entry '!$O$1:$O$1501,G43))</f>
        <v/>
      </c>
      <c r="C43">
        <f>IF(G43="","",INDEX('Daily Sale entry '!$P$1:$P$1501,G43))</f>
        <v/>
      </c>
      <c r="D43" s="6">
        <f>IF(G43="","",INDEX('Daily Sale entry '!$S$1:$S$1501,G43))</f>
        <v/>
      </c>
      <c r="E43">
        <f>IF(G43="","",INDEX('Daily Sale entry '!$U$1:$U$1501,G43)&amp;"")</f>
        <v/>
      </c>
      <c r="G43" s="21">
        <f t="array" ref="G43">IFERROR(SMALL(IF(('Daily Sale entry '!$Q$2:$Q$1501="Collection 收款")*('Daily Sale entry '!$R$2:$R$1501="Cheque 支票")*('Daily Sale entry '!$V$2:$V$1501=""),ROW('Daily Sale entry '!$Q$2:$Q$1501)),37),"")</f>
        <v/>
      </c>
    </row>
    <row r="44">
      <c r="A44">
        <f>IF(G44="","",38)</f>
        <v/>
      </c>
      <c r="B44" s="5">
        <f>IF(G44="","",INDEX('Daily Sale entry '!$O$1:$O$1501,G44))</f>
        <v/>
      </c>
      <c r="C44">
        <f>IF(G44="","",INDEX('Daily Sale entry '!$P$1:$P$1501,G44))</f>
        <v/>
      </c>
      <c r="D44" s="6">
        <f>IF(G44="","",INDEX('Daily Sale entry '!$S$1:$S$1501,G44))</f>
        <v/>
      </c>
      <c r="E44">
        <f>IF(G44="","",INDEX('Daily Sale entry '!$U$1:$U$1501,G44)&amp;"")</f>
        <v/>
      </c>
      <c r="G44" s="21">
        <f t="array" ref="G44">IFERROR(SMALL(IF(('Daily Sale entry '!$Q$2:$Q$1501="Collection 收款")*('Daily Sale entry '!$R$2:$R$1501="Cheque 支票")*('Daily Sale entry '!$V$2:$V$1501=""),ROW('Daily Sale entry '!$Q$2:$Q$1501)),38),"")</f>
        <v/>
      </c>
    </row>
    <row r="45">
      <c r="A45">
        <f>IF(G45="","",39)</f>
        <v/>
      </c>
      <c r="B45" s="5">
        <f>IF(G45="","",INDEX('Daily Sale entry '!$O$1:$O$1501,G45))</f>
        <v/>
      </c>
      <c r="C45">
        <f>IF(G45="","",INDEX('Daily Sale entry '!$P$1:$P$1501,G45))</f>
        <v/>
      </c>
      <c r="D45" s="6">
        <f>IF(G45="","",INDEX('Daily Sale entry '!$S$1:$S$1501,G45))</f>
        <v/>
      </c>
      <c r="E45">
        <f>IF(G45="","",INDEX('Daily Sale entry '!$U$1:$U$1501,G45)&amp;"")</f>
        <v/>
      </c>
      <c r="G45" s="21">
        <f t="array" ref="G45">IFERROR(SMALL(IF(('Daily Sale entry '!$Q$2:$Q$1501="Collection 收款")*('Daily Sale entry '!$R$2:$R$1501="Cheque 支票")*('Daily Sale entry '!$V$2:$V$1501=""),ROW('Daily Sale entry '!$Q$2:$Q$1501)),39),"")</f>
        <v/>
      </c>
    </row>
    <row r="46">
      <c r="A46">
        <f>IF(G46="","",40)</f>
        <v/>
      </c>
      <c r="B46" s="5">
        <f>IF(G46="","",INDEX('Daily Sale entry '!$O$1:$O$1501,G46))</f>
        <v/>
      </c>
      <c r="C46">
        <f>IF(G46="","",INDEX('Daily Sale entry '!$P$1:$P$1501,G46))</f>
        <v/>
      </c>
      <c r="D46" s="6">
        <f>IF(G46="","",INDEX('Daily Sale entry '!$S$1:$S$1501,G46))</f>
        <v/>
      </c>
      <c r="E46">
        <f>IF(G46="","",INDEX('Daily Sale entry '!$U$1:$U$1501,G46)&amp;"")</f>
        <v/>
      </c>
      <c r="G46" s="21">
        <f t="array" ref="G46">IFERROR(SMALL(IF(('Daily Sale entry '!$Q$2:$Q$1501="Collection 收款")*('Daily Sale entry '!$R$2:$R$1501="Cheque 支票")*('Daily Sale entry '!$V$2:$V$1501=""),ROW('Daily Sale entry '!$Q$2:$Q$1501)),40),"")</f>
        <v/>
      </c>
    </row>
    <row r="47">
      <c r="A47">
        <f>IF(G47="","",41)</f>
        <v/>
      </c>
      <c r="B47" s="5">
        <f>IF(G47="","",INDEX('Daily Sale entry '!$O$1:$O$1501,G47))</f>
        <v/>
      </c>
      <c r="C47">
        <f>IF(G47="","",INDEX('Daily Sale entry '!$P$1:$P$1501,G47))</f>
        <v/>
      </c>
      <c r="D47" s="6">
        <f>IF(G47="","",INDEX('Daily Sale entry '!$S$1:$S$1501,G47))</f>
        <v/>
      </c>
      <c r="E47">
        <f>IF(G47="","",INDEX('Daily Sale entry '!$U$1:$U$1501,G47)&amp;"")</f>
        <v/>
      </c>
      <c r="G47" s="21">
        <f t="array" ref="G47">IFERROR(SMALL(IF(('Daily Sale entry '!$Q$2:$Q$1501="Collection 收款")*('Daily Sale entry '!$R$2:$R$1501="Cheque 支票")*('Daily Sale entry '!$V$2:$V$1501=""),ROW('Daily Sale entry '!$Q$2:$Q$1501)),41),"")</f>
        <v/>
      </c>
    </row>
    <row r="48">
      <c r="A48">
        <f>IF(G48="","",42)</f>
        <v/>
      </c>
      <c r="B48" s="5">
        <f>IF(G48="","",INDEX('Daily Sale entry '!$O$1:$O$1501,G48))</f>
        <v/>
      </c>
      <c r="C48">
        <f>IF(G48="","",INDEX('Daily Sale entry '!$P$1:$P$1501,G48))</f>
        <v/>
      </c>
      <c r="D48" s="6">
        <f>IF(G48="","",INDEX('Daily Sale entry '!$S$1:$S$1501,G48))</f>
        <v/>
      </c>
      <c r="E48">
        <f>IF(G48="","",INDEX('Daily Sale entry '!$U$1:$U$1501,G48)&amp;"")</f>
        <v/>
      </c>
      <c r="G48" s="21">
        <f t="array" ref="G48">IFERROR(SMALL(IF(('Daily Sale entry '!$Q$2:$Q$1501="Collection 收款")*('Daily Sale entry '!$R$2:$R$1501="Cheque 支票")*('Daily Sale entry '!$V$2:$V$1501=""),ROW('Daily Sale entry '!$Q$2:$Q$1501)),42),"")</f>
        <v/>
      </c>
    </row>
    <row r="49">
      <c r="A49">
        <f>IF(G49="","",43)</f>
        <v/>
      </c>
      <c r="B49" s="5">
        <f>IF(G49="","",INDEX('Daily Sale entry '!$O$1:$O$1501,G49))</f>
        <v/>
      </c>
      <c r="C49">
        <f>IF(G49="","",INDEX('Daily Sale entry '!$P$1:$P$1501,G49))</f>
        <v/>
      </c>
      <c r="D49" s="6">
        <f>IF(G49="","",INDEX('Daily Sale entry '!$S$1:$S$1501,G49))</f>
        <v/>
      </c>
      <c r="E49">
        <f>IF(G49="","",INDEX('Daily Sale entry '!$U$1:$U$1501,G49)&amp;"")</f>
        <v/>
      </c>
      <c r="G49" s="21">
        <f t="array" ref="G49">IFERROR(SMALL(IF(('Daily Sale entry '!$Q$2:$Q$1501="Collection 收款")*('Daily Sale entry '!$R$2:$R$1501="Cheque 支票")*('Daily Sale entry '!$V$2:$V$1501=""),ROW('Daily Sale entry '!$Q$2:$Q$1501)),43),"")</f>
        <v/>
      </c>
    </row>
    <row r="50">
      <c r="A50">
        <f>IF(G50="","",44)</f>
        <v/>
      </c>
      <c r="B50" s="5">
        <f>IF(G50="","",INDEX('Daily Sale entry '!$O$1:$O$1501,G50))</f>
        <v/>
      </c>
      <c r="C50">
        <f>IF(G50="","",INDEX('Daily Sale entry '!$P$1:$P$1501,G50))</f>
        <v/>
      </c>
      <c r="D50" s="6">
        <f>IF(G50="","",INDEX('Daily Sale entry '!$S$1:$S$1501,G50))</f>
        <v/>
      </c>
      <c r="E50">
        <f>IF(G50="","",INDEX('Daily Sale entry '!$U$1:$U$1501,G50)&amp;"")</f>
        <v/>
      </c>
      <c r="G50" s="21">
        <f t="array" ref="G50">IFERROR(SMALL(IF(('Daily Sale entry '!$Q$2:$Q$1501="Collection 收款")*('Daily Sale entry '!$R$2:$R$1501="Cheque 支票")*('Daily Sale entry '!$V$2:$V$1501=""),ROW('Daily Sale entry '!$Q$2:$Q$1501)),44),"")</f>
        <v/>
      </c>
    </row>
    <row r="51">
      <c r="A51">
        <f>IF(G51="","",45)</f>
        <v/>
      </c>
      <c r="B51" s="5">
        <f>IF(G51="","",INDEX('Daily Sale entry '!$O$1:$O$1501,G51))</f>
        <v/>
      </c>
      <c r="C51">
        <f>IF(G51="","",INDEX('Daily Sale entry '!$P$1:$P$1501,G51))</f>
        <v/>
      </c>
      <c r="D51" s="6">
        <f>IF(G51="","",INDEX('Daily Sale entry '!$S$1:$S$1501,G51))</f>
        <v/>
      </c>
      <c r="E51">
        <f>IF(G51="","",INDEX('Daily Sale entry '!$U$1:$U$1501,G51)&amp;"")</f>
        <v/>
      </c>
      <c r="G51" s="21">
        <f t="array" ref="G51">IFERROR(SMALL(IF(('Daily Sale entry '!$Q$2:$Q$1501="Collection 收款")*('Daily Sale entry '!$R$2:$R$1501="Cheque 支票")*('Daily Sale entry '!$V$2:$V$1501=""),ROW('Daily Sale entry '!$Q$2:$Q$1501)),45),"")</f>
        <v/>
      </c>
    </row>
    <row r="52">
      <c r="A52">
        <f>IF(G52="","",46)</f>
        <v/>
      </c>
      <c r="B52" s="5">
        <f>IF(G52="","",INDEX('Daily Sale entry '!$O$1:$O$1501,G52))</f>
        <v/>
      </c>
      <c r="C52">
        <f>IF(G52="","",INDEX('Daily Sale entry '!$P$1:$P$1501,G52))</f>
        <v/>
      </c>
      <c r="D52" s="6">
        <f>IF(G52="","",INDEX('Daily Sale entry '!$S$1:$S$1501,G52))</f>
        <v/>
      </c>
      <c r="E52">
        <f>IF(G52="","",INDEX('Daily Sale entry '!$U$1:$U$1501,G52)&amp;"")</f>
        <v/>
      </c>
      <c r="G52" s="21">
        <f t="array" ref="G52">IFERROR(SMALL(IF(('Daily Sale entry '!$Q$2:$Q$1501="Collection 收款")*('Daily Sale entry '!$R$2:$R$1501="Cheque 支票")*('Daily Sale entry '!$V$2:$V$1501=""),ROW('Daily Sale entry '!$Q$2:$Q$1501)),46),"")</f>
        <v/>
      </c>
    </row>
    <row r="53">
      <c r="A53">
        <f>IF(G53="","",47)</f>
        <v/>
      </c>
      <c r="B53" s="5">
        <f>IF(G53="","",INDEX('Daily Sale entry '!$O$1:$O$1501,G53))</f>
        <v/>
      </c>
      <c r="C53">
        <f>IF(G53="","",INDEX('Daily Sale entry '!$P$1:$P$1501,G53))</f>
        <v/>
      </c>
      <c r="D53" s="6">
        <f>IF(G53="","",INDEX('Daily Sale entry '!$S$1:$S$1501,G53))</f>
        <v/>
      </c>
      <c r="E53">
        <f>IF(G53="","",INDEX('Daily Sale entry '!$U$1:$U$1501,G53)&amp;"")</f>
        <v/>
      </c>
      <c r="G53" s="21">
        <f t="array" ref="G53">IFERROR(SMALL(IF(('Daily Sale entry '!$Q$2:$Q$1501="Collection 收款")*('Daily Sale entry '!$R$2:$R$1501="Cheque 支票")*('Daily Sale entry '!$V$2:$V$1501=""),ROW('Daily Sale entry '!$Q$2:$Q$1501)),47),"")</f>
        <v/>
      </c>
    </row>
    <row r="54">
      <c r="A54">
        <f>IF(G54="","",48)</f>
        <v/>
      </c>
      <c r="B54" s="5">
        <f>IF(G54="","",INDEX('Daily Sale entry '!$O$1:$O$1501,G54))</f>
        <v/>
      </c>
      <c r="C54">
        <f>IF(G54="","",INDEX('Daily Sale entry '!$P$1:$P$1501,G54))</f>
        <v/>
      </c>
      <c r="D54" s="6">
        <f>IF(G54="","",INDEX('Daily Sale entry '!$S$1:$S$1501,G54))</f>
        <v/>
      </c>
      <c r="E54">
        <f>IF(G54="","",INDEX('Daily Sale entry '!$U$1:$U$1501,G54)&amp;"")</f>
        <v/>
      </c>
      <c r="G54" s="21">
        <f t="array" ref="G54">IFERROR(SMALL(IF(('Daily Sale entry '!$Q$2:$Q$1501="Collection 收款")*('Daily Sale entry '!$R$2:$R$1501="Cheque 支票")*('Daily Sale entry '!$V$2:$V$1501=""),ROW('Daily Sale entry '!$Q$2:$Q$1501)),48),"")</f>
        <v/>
      </c>
    </row>
    <row r="55">
      <c r="A55">
        <f>IF(G55="","",49)</f>
        <v/>
      </c>
      <c r="B55" s="5">
        <f>IF(G55="","",INDEX('Daily Sale entry '!$O$1:$O$1501,G55))</f>
        <v/>
      </c>
      <c r="C55">
        <f>IF(G55="","",INDEX('Daily Sale entry '!$P$1:$P$1501,G55))</f>
        <v/>
      </c>
      <c r="D55" s="6">
        <f>IF(G55="","",INDEX('Daily Sale entry '!$S$1:$S$1501,G55))</f>
        <v/>
      </c>
      <c r="E55">
        <f>IF(G55="","",INDEX('Daily Sale entry '!$U$1:$U$1501,G55)&amp;"")</f>
        <v/>
      </c>
      <c r="G55" s="21">
        <f t="array" ref="G55">IFERROR(SMALL(IF(('Daily Sale entry '!$Q$2:$Q$1501="Collection 收款")*('Daily Sale entry '!$R$2:$R$1501="Cheque 支票")*('Daily Sale entry '!$V$2:$V$1501=""),ROW('Daily Sale entry '!$Q$2:$Q$1501)),49),"")</f>
        <v/>
      </c>
    </row>
    <row r="56">
      <c r="A56">
        <f>IF(G56="","",50)</f>
        <v/>
      </c>
      <c r="B56" s="5">
        <f>IF(G56="","",INDEX('Daily Sale entry '!$O$1:$O$1501,G56))</f>
        <v/>
      </c>
      <c r="C56">
        <f>IF(G56="","",INDEX('Daily Sale entry '!$P$1:$P$1501,G56))</f>
        <v/>
      </c>
      <c r="D56" s="6">
        <f>IF(G56="","",INDEX('Daily Sale entry '!$S$1:$S$1501,G56))</f>
        <v/>
      </c>
      <c r="E56">
        <f>IF(G56="","",INDEX('Daily Sale entry '!$U$1:$U$1501,G56)&amp;"")</f>
        <v/>
      </c>
      <c r="G56" s="21">
        <f t="array" ref="G56">IFERROR(SMALL(IF(('Daily Sale entry '!$Q$2:$Q$1501="Collection 收款")*('Daily Sale entry '!$R$2:$R$1501="Cheque 支票")*('Daily Sale entry '!$V$2:$V$1501=""),ROW('Daily Sale entry '!$Q$2:$Q$1501)),50),"")</f>
        <v/>
      </c>
    </row>
    <row r="57">
      <c r="A57">
        <f>IF(G57="","",51)</f>
        <v/>
      </c>
      <c r="B57" s="5">
        <f>IF(G57="","",INDEX('Daily Sale entry '!$O$1:$O$1501,G57))</f>
        <v/>
      </c>
      <c r="C57">
        <f>IF(G57="","",INDEX('Daily Sale entry '!$P$1:$P$1501,G57))</f>
        <v/>
      </c>
      <c r="D57" s="6">
        <f>IF(G57="","",INDEX('Daily Sale entry '!$S$1:$S$1501,G57))</f>
        <v/>
      </c>
      <c r="E57">
        <f>IF(G57="","",INDEX('Daily Sale entry '!$U$1:$U$1501,G57)&amp;"")</f>
        <v/>
      </c>
      <c r="G57" s="21">
        <f t="array" ref="G57">IFERROR(SMALL(IF(('Daily Sale entry '!$Q$2:$Q$1501="Collection 收款")*('Daily Sale entry '!$R$2:$R$1501="Cheque 支票")*('Daily Sale entry '!$V$2:$V$1501=""),ROW('Daily Sale entry '!$Q$2:$Q$1501)),51),"")</f>
        <v/>
      </c>
    </row>
    <row r="58">
      <c r="A58">
        <f>IF(G58="","",52)</f>
        <v/>
      </c>
      <c r="B58" s="5">
        <f>IF(G58="","",INDEX('Daily Sale entry '!$O$1:$O$1501,G58))</f>
        <v/>
      </c>
      <c r="C58">
        <f>IF(G58="","",INDEX('Daily Sale entry '!$P$1:$P$1501,G58))</f>
        <v/>
      </c>
      <c r="D58" s="6">
        <f>IF(G58="","",INDEX('Daily Sale entry '!$S$1:$S$1501,G58))</f>
        <v/>
      </c>
      <c r="E58">
        <f>IF(G58="","",INDEX('Daily Sale entry '!$U$1:$U$1501,G58)&amp;"")</f>
        <v/>
      </c>
      <c r="G58" s="21">
        <f t="array" ref="G58">IFERROR(SMALL(IF(('Daily Sale entry '!$Q$2:$Q$1501="Collection 收款")*('Daily Sale entry '!$R$2:$R$1501="Cheque 支票")*('Daily Sale entry '!$V$2:$V$1501=""),ROW('Daily Sale entry '!$Q$2:$Q$1501)),52),"")</f>
        <v/>
      </c>
    </row>
    <row r="59">
      <c r="A59">
        <f>IF(G59="","",53)</f>
        <v/>
      </c>
      <c r="B59" s="5">
        <f>IF(G59="","",INDEX('Daily Sale entry '!$O$1:$O$1501,G59))</f>
        <v/>
      </c>
      <c r="C59">
        <f>IF(G59="","",INDEX('Daily Sale entry '!$P$1:$P$1501,G59))</f>
        <v/>
      </c>
      <c r="D59" s="6">
        <f>IF(G59="","",INDEX('Daily Sale entry '!$S$1:$S$1501,G59))</f>
        <v/>
      </c>
      <c r="E59">
        <f>IF(G59="","",INDEX('Daily Sale entry '!$U$1:$U$1501,G59)&amp;"")</f>
        <v/>
      </c>
      <c r="G59" s="21">
        <f t="array" ref="G59">IFERROR(SMALL(IF(('Daily Sale entry '!$Q$2:$Q$1501="Collection 收款")*('Daily Sale entry '!$R$2:$R$1501="Cheque 支票")*('Daily Sale entry '!$V$2:$V$1501=""),ROW('Daily Sale entry '!$Q$2:$Q$1501)),53),"")</f>
        <v/>
      </c>
    </row>
    <row r="60">
      <c r="A60">
        <f>IF(G60="","",54)</f>
        <v/>
      </c>
      <c r="B60" s="5">
        <f>IF(G60="","",INDEX('Daily Sale entry '!$O$1:$O$1501,G60))</f>
        <v/>
      </c>
      <c r="C60">
        <f>IF(G60="","",INDEX('Daily Sale entry '!$P$1:$P$1501,G60))</f>
        <v/>
      </c>
      <c r="D60" s="6">
        <f>IF(G60="","",INDEX('Daily Sale entry '!$S$1:$S$1501,G60))</f>
        <v/>
      </c>
      <c r="E60">
        <f>IF(G60="","",INDEX('Daily Sale entry '!$U$1:$U$1501,G60)&amp;"")</f>
        <v/>
      </c>
      <c r="G60" s="21">
        <f t="array" ref="G60">IFERROR(SMALL(IF(('Daily Sale entry '!$Q$2:$Q$1501="Collection 收款")*('Daily Sale entry '!$R$2:$R$1501="Cheque 支票")*('Daily Sale entry '!$V$2:$V$1501=""),ROW('Daily Sale entry '!$Q$2:$Q$1501)),54),"")</f>
        <v/>
      </c>
    </row>
    <row r="61">
      <c r="A61">
        <f>IF(G61="","",55)</f>
        <v/>
      </c>
      <c r="B61" s="5">
        <f>IF(G61="","",INDEX('Daily Sale entry '!$O$1:$O$1501,G61))</f>
        <v/>
      </c>
      <c r="C61">
        <f>IF(G61="","",INDEX('Daily Sale entry '!$P$1:$P$1501,G61))</f>
        <v/>
      </c>
      <c r="D61" s="6">
        <f>IF(G61="","",INDEX('Daily Sale entry '!$S$1:$S$1501,G61))</f>
        <v/>
      </c>
      <c r="E61">
        <f>IF(G61="","",INDEX('Daily Sale entry '!$U$1:$U$1501,G61)&amp;"")</f>
        <v/>
      </c>
      <c r="G61" s="21">
        <f t="array" ref="G61">IFERROR(SMALL(IF(('Daily Sale entry '!$Q$2:$Q$1501="Collection 收款")*('Daily Sale entry '!$R$2:$R$1501="Cheque 支票")*('Daily Sale entry '!$V$2:$V$1501=""),ROW('Daily Sale entry '!$Q$2:$Q$1501)),55),"")</f>
        <v/>
      </c>
    </row>
    <row r="62">
      <c r="A62">
        <f>IF(G62="","",56)</f>
        <v/>
      </c>
      <c r="B62" s="5">
        <f>IF(G62="","",INDEX('Daily Sale entry '!$O$1:$O$1501,G62))</f>
        <v/>
      </c>
      <c r="C62">
        <f>IF(G62="","",INDEX('Daily Sale entry '!$P$1:$P$1501,G62))</f>
        <v/>
      </c>
      <c r="D62" s="6">
        <f>IF(G62="","",INDEX('Daily Sale entry '!$S$1:$S$1501,G62))</f>
        <v/>
      </c>
      <c r="E62">
        <f>IF(G62="","",INDEX('Daily Sale entry '!$U$1:$U$1501,G62)&amp;"")</f>
        <v/>
      </c>
      <c r="G62" s="21">
        <f t="array" ref="G62">IFERROR(SMALL(IF(('Daily Sale entry '!$Q$2:$Q$1501="Collection 收款")*('Daily Sale entry '!$R$2:$R$1501="Cheque 支票")*('Daily Sale entry '!$V$2:$V$1501=""),ROW('Daily Sale entry '!$Q$2:$Q$1501)),56),"")</f>
        <v/>
      </c>
    </row>
    <row r="63">
      <c r="A63">
        <f>IF(G63="","",57)</f>
        <v/>
      </c>
      <c r="B63" s="5">
        <f>IF(G63="","",INDEX('Daily Sale entry '!$O$1:$O$1501,G63))</f>
        <v/>
      </c>
      <c r="C63">
        <f>IF(G63="","",INDEX('Daily Sale entry '!$P$1:$P$1501,G63))</f>
        <v/>
      </c>
      <c r="D63" s="6">
        <f>IF(G63="","",INDEX('Daily Sale entry '!$S$1:$S$1501,G63))</f>
        <v/>
      </c>
      <c r="E63">
        <f>IF(G63="","",INDEX('Daily Sale entry '!$U$1:$U$1501,G63)&amp;"")</f>
        <v/>
      </c>
      <c r="G63" s="21">
        <f t="array" ref="G63">IFERROR(SMALL(IF(('Daily Sale entry '!$Q$2:$Q$1501="Collection 收款")*('Daily Sale entry '!$R$2:$R$1501="Cheque 支票")*('Daily Sale entry '!$V$2:$V$1501=""),ROW('Daily Sale entry '!$Q$2:$Q$1501)),57),"")</f>
        <v/>
      </c>
    </row>
    <row r="64">
      <c r="A64">
        <f>IF(G64="","",58)</f>
        <v/>
      </c>
      <c r="B64" s="5">
        <f>IF(G64="","",INDEX('Daily Sale entry '!$O$1:$O$1501,G64))</f>
        <v/>
      </c>
      <c r="C64">
        <f>IF(G64="","",INDEX('Daily Sale entry '!$P$1:$P$1501,G64))</f>
        <v/>
      </c>
      <c r="D64" s="6">
        <f>IF(G64="","",INDEX('Daily Sale entry '!$S$1:$S$1501,G64))</f>
        <v/>
      </c>
      <c r="E64">
        <f>IF(G64="","",INDEX('Daily Sale entry '!$U$1:$U$1501,G64)&amp;"")</f>
        <v/>
      </c>
      <c r="G64" s="21">
        <f t="array" ref="G64">IFERROR(SMALL(IF(('Daily Sale entry '!$Q$2:$Q$1501="Collection 收款")*('Daily Sale entry '!$R$2:$R$1501="Cheque 支票")*('Daily Sale entry '!$V$2:$V$1501=""),ROW('Daily Sale entry '!$Q$2:$Q$1501)),58),"")</f>
        <v/>
      </c>
    </row>
    <row r="65">
      <c r="A65">
        <f>IF(G65="","",59)</f>
        <v/>
      </c>
      <c r="B65" s="5">
        <f>IF(G65="","",INDEX('Daily Sale entry '!$O$1:$O$1501,G65))</f>
        <v/>
      </c>
      <c r="C65">
        <f>IF(G65="","",INDEX('Daily Sale entry '!$P$1:$P$1501,G65))</f>
        <v/>
      </c>
      <c r="D65" s="6">
        <f>IF(G65="","",INDEX('Daily Sale entry '!$S$1:$S$1501,G65))</f>
        <v/>
      </c>
      <c r="E65">
        <f>IF(G65="","",INDEX('Daily Sale entry '!$U$1:$U$1501,G65)&amp;"")</f>
        <v/>
      </c>
      <c r="G65" s="21">
        <f t="array" ref="G65">IFERROR(SMALL(IF(('Daily Sale entry '!$Q$2:$Q$1501="Collection 收款")*('Daily Sale entry '!$R$2:$R$1501="Cheque 支票")*('Daily Sale entry '!$V$2:$V$1501=""),ROW('Daily Sale entry '!$Q$2:$Q$1501)),59),"")</f>
        <v/>
      </c>
    </row>
    <row r="66">
      <c r="A66">
        <f>IF(G66="","",60)</f>
        <v/>
      </c>
      <c r="B66" s="5">
        <f>IF(G66="","",INDEX('Daily Sale entry '!$O$1:$O$1501,G66))</f>
        <v/>
      </c>
      <c r="C66">
        <f>IF(G66="","",INDEX('Daily Sale entry '!$P$1:$P$1501,G66))</f>
        <v/>
      </c>
      <c r="D66" s="6">
        <f>IF(G66="","",INDEX('Daily Sale entry '!$S$1:$S$1501,G66))</f>
        <v/>
      </c>
      <c r="E66">
        <f>IF(G66="","",INDEX('Daily Sale entry '!$U$1:$U$1501,G66)&amp;"")</f>
        <v/>
      </c>
      <c r="G66" s="21">
        <f t="array" ref="G66">IFERROR(SMALL(IF(('Daily Sale entry '!$Q$2:$Q$1501="Collection 收款")*('Daily Sale entry '!$R$2:$R$1501="Cheque 支票")*('Daily Sale entry '!$V$2:$V$1501=""),ROW('Daily Sale entry '!$Q$2:$Q$1501)),60),"")</f>
        <v/>
      </c>
    </row>
    <row r="67">
      <c r="A67">
        <f>IF(G67="","",61)</f>
        <v/>
      </c>
      <c r="B67" s="5">
        <f>IF(G67="","",INDEX('Daily Sale entry '!$O$1:$O$1501,G67))</f>
        <v/>
      </c>
      <c r="C67">
        <f>IF(G67="","",INDEX('Daily Sale entry '!$P$1:$P$1501,G67))</f>
        <v/>
      </c>
      <c r="D67" s="6">
        <f>IF(G67="","",INDEX('Daily Sale entry '!$S$1:$S$1501,G67))</f>
        <v/>
      </c>
      <c r="E67">
        <f>IF(G67="","",INDEX('Daily Sale entry '!$U$1:$U$1501,G67)&amp;"")</f>
        <v/>
      </c>
      <c r="G67" s="21">
        <f t="array" ref="G67">IFERROR(SMALL(IF(('Daily Sale entry '!$Q$2:$Q$1501="Collection 收款")*('Daily Sale entry '!$R$2:$R$1501="Cheque 支票")*('Daily Sale entry '!$V$2:$V$1501=""),ROW('Daily Sale entry '!$Q$2:$Q$1501)),61),"")</f>
        <v/>
      </c>
    </row>
    <row r="68">
      <c r="A68">
        <f>IF(G68="","",62)</f>
        <v/>
      </c>
      <c r="B68" s="5">
        <f>IF(G68="","",INDEX('Daily Sale entry '!$O$1:$O$1501,G68))</f>
        <v/>
      </c>
      <c r="C68">
        <f>IF(G68="","",INDEX('Daily Sale entry '!$P$1:$P$1501,G68))</f>
        <v/>
      </c>
      <c r="D68" s="6">
        <f>IF(G68="","",INDEX('Daily Sale entry '!$S$1:$S$1501,G68))</f>
        <v/>
      </c>
      <c r="E68">
        <f>IF(G68="","",INDEX('Daily Sale entry '!$U$1:$U$1501,G68)&amp;"")</f>
        <v/>
      </c>
      <c r="G68" s="21">
        <f t="array" ref="G68">IFERROR(SMALL(IF(('Daily Sale entry '!$Q$2:$Q$1501="Collection 收款")*('Daily Sale entry '!$R$2:$R$1501="Cheque 支票")*('Daily Sale entry '!$V$2:$V$1501=""),ROW('Daily Sale entry '!$Q$2:$Q$1501)),62),"")</f>
        <v/>
      </c>
    </row>
    <row r="69">
      <c r="A69">
        <f>IF(G69="","",63)</f>
        <v/>
      </c>
      <c r="B69" s="5">
        <f>IF(G69="","",INDEX('Daily Sale entry '!$O$1:$O$1501,G69))</f>
        <v/>
      </c>
      <c r="C69">
        <f>IF(G69="","",INDEX('Daily Sale entry '!$P$1:$P$1501,G69))</f>
        <v/>
      </c>
      <c r="D69" s="6">
        <f>IF(G69="","",INDEX('Daily Sale entry '!$S$1:$S$1501,G69))</f>
        <v/>
      </c>
      <c r="E69">
        <f>IF(G69="","",INDEX('Daily Sale entry '!$U$1:$U$1501,G69)&amp;"")</f>
        <v/>
      </c>
      <c r="G69" s="21">
        <f t="array" ref="G69">IFERROR(SMALL(IF(('Daily Sale entry '!$Q$2:$Q$1501="Collection 收款")*('Daily Sale entry '!$R$2:$R$1501="Cheque 支票")*('Daily Sale entry '!$V$2:$V$1501=""),ROW('Daily Sale entry '!$Q$2:$Q$1501)),63),"")</f>
        <v/>
      </c>
    </row>
    <row r="70">
      <c r="A70">
        <f>IF(G70="","",64)</f>
        <v/>
      </c>
      <c r="B70" s="5">
        <f>IF(G70="","",INDEX('Daily Sale entry '!$O$1:$O$1501,G70))</f>
        <v/>
      </c>
      <c r="C70">
        <f>IF(G70="","",INDEX('Daily Sale entry '!$P$1:$P$1501,G70))</f>
        <v/>
      </c>
      <c r="D70" s="6">
        <f>IF(G70="","",INDEX('Daily Sale entry '!$S$1:$S$1501,G70))</f>
        <v/>
      </c>
      <c r="E70">
        <f>IF(G70="","",INDEX('Daily Sale entry '!$U$1:$U$1501,G70)&amp;"")</f>
        <v/>
      </c>
      <c r="G70" s="21">
        <f t="array" ref="G70">IFERROR(SMALL(IF(('Daily Sale entry '!$Q$2:$Q$1501="Collection 收款")*('Daily Sale entry '!$R$2:$R$1501="Cheque 支票")*('Daily Sale entry '!$V$2:$V$1501=""),ROW('Daily Sale entry '!$Q$2:$Q$1501)),64),"")</f>
        <v/>
      </c>
    </row>
    <row r="71">
      <c r="A71">
        <f>IF(G71="","",65)</f>
        <v/>
      </c>
      <c r="B71" s="5">
        <f>IF(G71="","",INDEX('Daily Sale entry '!$O$1:$O$1501,G71))</f>
        <v/>
      </c>
      <c r="C71">
        <f>IF(G71="","",INDEX('Daily Sale entry '!$P$1:$P$1501,G71))</f>
        <v/>
      </c>
      <c r="D71" s="6">
        <f>IF(G71="","",INDEX('Daily Sale entry '!$S$1:$S$1501,G71))</f>
        <v/>
      </c>
      <c r="E71">
        <f>IF(G71="","",INDEX('Daily Sale entry '!$U$1:$U$1501,G71)&amp;"")</f>
        <v/>
      </c>
      <c r="G71" s="21">
        <f t="array" ref="G71">IFERROR(SMALL(IF(('Daily Sale entry '!$Q$2:$Q$1501="Collection 收款")*('Daily Sale entry '!$R$2:$R$1501="Cheque 支票")*('Daily Sale entry '!$V$2:$V$1501=""),ROW('Daily Sale entry '!$Q$2:$Q$1501)),65),"")</f>
        <v/>
      </c>
    </row>
    <row r="72">
      <c r="A72">
        <f>IF(G72="","",66)</f>
        <v/>
      </c>
      <c r="B72" s="5">
        <f>IF(G72="","",INDEX('Daily Sale entry '!$O$1:$O$1501,G72))</f>
        <v/>
      </c>
      <c r="C72">
        <f>IF(G72="","",INDEX('Daily Sale entry '!$P$1:$P$1501,G72))</f>
        <v/>
      </c>
      <c r="D72" s="6">
        <f>IF(G72="","",INDEX('Daily Sale entry '!$S$1:$S$1501,G72))</f>
        <v/>
      </c>
      <c r="E72">
        <f>IF(G72="","",INDEX('Daily Sale entry '!$U$1:$U$1501,G72)&amp;"")</f>
        <v/>
      </c>
      <c r="G72" s="21">
        <f t="array" ref="G72">IFERROR(SMALL(IF(('Daily Sale entry '!$Q$2:$Q$1501="Collection 收款")*('Daily Sale entry '!$R$2:$R$1501="Cheque 支票")*('Daily Sale entry '!$V$2:$V$1501=""),ROW('Daily Sale entry '!$Q$2:$Q$1501)),66),"")</f>
        <v/>
      </c>
    </row>
    <row r="73">
      <c r="A73">
        <f>IF(G73="","",67)</f>
        <v/>
      </c>
      <c r="B73" s="5">
        <f>IF(G73="","",INDEX('Daily Sale entry '!$O$1:$O$1501,G73))</f>
        <v/>
      </c>
      <c r="C73">
        <f>IF(G73="","",INDEX('Daily Sale entry '!$P$1:$P$1501,G73))</f>
        <v/>
      </c>
      <c r="D73" s="6">
        <f>IF(G73="","",INDEX('Daily Sale entry '!$S$1:$S$1501,G73))</f>
        <v/>
      </c>
      <c r="E73">
        <f>IF(G73="","",INDEX('Daily Sale entry '!$U$1:$U$1501,G73)&amp;"")</f>
        <v/>
      </c>
      <c r="G73" s="21">
        <f t="array" ref="G73">IFERROR(SMALL(IF(('Daily Sale entry '!$Q$2:$Q$1501="Collection 收款")*('Daily Sale entry '!$R$2:$R$1501="Cheque 支票")*('Daily Sale entry '!$V$2:$V$1501=""),ROW('Daily Sale entry '!$Q$2:$Q$1501)),67),"")</f>
        <v/>
      </c>
    </row>
    <row r="74">
      <c r="A74">
        <f>IF(G74="","",68)</f>
        <v/>
      </c>
      <c r="B74" s="5">
        <f>IF(G74="","",INDEX('Daily Sale entry '!$O$1:$O$1501,G74))</f>
        <v/>
      </c>
      <c r="C74">
        <f>IF(G74="","",INDEX('Daily Sale entry '!$P$1:$P$1501,G74))</f>
        <v/>
      </c>
      <c r="D74" s="6">
        <f>IF(G74="","",INDEX('Daily Sale entry '!$S$1:$S$1501,G74))</f>
        <v/>
      </c>
      <c r="E74">
        <f>IF(G74="","",INDEX('Daily Sale entry '!$U$1:$U$1501,G74)&amp;"")</f>
        <v/>
      </c>
      <c r="G74" s="21">
        <f t="array" ref="G74">IFERROR(SMALL(IF(('Daily Sale entry '!$Q$2:$Q$1501="Collection 收款")*('Daily Sale entry '!$R$2:$R$1501="Cheque 支票")*('Daily Sale entry '!$V$2:$V$1501=""),ROW('Daily Sale entry '!$Q$2:$Q$1501)),68),"")</f>
        <v/>
      </c>
    </row>
    <row r="75">
      <c r="A75">
        <f>IF(G75="","",69)</f>
        <v/>
      </c>
      <c r="B75" s="5">
        <f>IF(G75="","",INDEX('Daily Sale entry '!$O$1:$O$1501,G75))</f>
        <v/>
      </c>
      <c r="C75">
        <f>IF(G75="","",INDEX('Daily Sale entry '!$P$1:$P$1501,G75))</f>
        <v/>
      </c>
      <c r="D75" s="6">
        <f>IF(G75="","",INDEX('Daily Sale entry '!$S$1:$S$1501,G75))</f>
        <v/>
      </c>
      <c r="E75">
        <f>IF(G75="","",INDEX('Daily Sale entry '!$U$1:$U$1501,G75)&amp;"")</f>
        <v/>
      </c>
      <c r="G75" s="21">
        <f t="array" ref="G75">IFERROR(SMALL(IF(('Daily Sale entry '!$Q$2:$Q$1501="Collection 收款")*('Daily Sale entry '!$R$2:$R$1501="Cheque 支票")*('Daily Sale entry '!$V$2:$V$1501=""),ROW('Daily Sale entry '!$Q$2:$Q$1501)),69),"")</f>
        <v/>
      </c>
    </row>
    <row r="76">
      <c r="A76">
        <f>IF(G76="","",70)</f>
        <v/>
      </c>
      <c r="B76" s="5">
        <f>IF(G76="","",INDEX('Daily Sale entry '!$O$1:$O$1501,G76))</f>
        <v/>
      </c>
      <c r="C76">
        <f>IF(G76="","",INDEX('Daily Sale entry '!$P$1:$P$1501,G76))</f>
        <v/>
      </c>
      <c r="D76" s="6">
        <f>IF(G76="","",INDEX('Daily Sale entry '!$S$1:$S$1501,G76))</f>
        <v/>
      </c>
      <c r="E76">
        <f>IF(G76="","",INDEX('Daily Sale entry '!$U$1:$U$1501,G76)&amp;"")</f>
        <v/>
      </c>
      <c r="G76" s="21">
        <f t="array" ref="G76">IFERROR(SMALL(IF(('Daily Sale entry '!$Q$2:$Q$1501="Collection 收款")*('Daily Sale entry '!$R$2:$R$1501="Cheque 支票")*('Daily Sale entry '!$V$2:$V$1501=""),ROW('Daily Sale entry '!$Q$2:$Q$1501)),70),"")</f>
        <v/>
      </c>
    </row>
    <row r="77">
      <c r="A77">
        <f>IF(G77="","",71)</f>
        <v/>
      </c>
      <c r="B77" s="5">
        <f>IF(G77="","",INDEX('Daily Sale entry '!$O$1:$O$1501,G77))</f>
        <v/>
      </c>
      <c r="C77">
        <f>IF(G77="","",INDEX('Daily Sale entry '!$P$1:$P$1501,G77))</f>
        <v/>
      </c>
      <c r="D77" s="6">
        <f>IF(G77="","",INDEX('Daily Sale entry '!$S$1:$S$1501,G77))</f>
        <v/>
      </c>
      <c r="E77">
        <f>IF(G77="","",INDEX('Daily Sale entry '!$U$1:$U$1501,G77)&amp;"")</f>
        <v/>
      </c>
      <c r="G77" s="21">
        <f t="array" ref="G77">IFERROR(SMALL(IF(('Daily Sale entry '!$Q$2:$Q$1501="Collection 收款")*('Daily Sale entry '!$R$2:$R$1501="Cheque 支票")*('Daily Sale entry '!$V$2:$V$1501=""),ROW('Daily Sale entry '!$Q$2:$Q$1501)),71),"")</f>
        <v/>
      </c>
    </row>
    <row r="78">
      <c r="A78">
        <f>IF(G78="","",72)</f>
        <v/>
      </c>
      <c r="B78" s="5">
        <f>IF(G78="","",INDEX('Daily Sale entry '!$O$1:$O$1501,G78))</f>
        <v/>
      </c>
      <c r="C78">
        <f>IF(G78="","",INDEX('Daily Sale entry '!$P$1:$P$1501,G78))</f>
        <v/>
      </c>
      <c r="D78" s="6">
        <f>IF(G78="","",INDEX('Daily Sale entry '!$S$1:$S$1501,G78))</f>
        <v/>
      </c>
      <c r="E78">
        <f>IF(G78="","",INDEX('Daily Sale entry '!$U$1:$U$1501,G78)&amp;"")</f>
        <v/>
      </c>
      <c r="G78" s="21">
        <f t="array" ref="G78">IFERROR(SMALL(IF(('Daily Sale entry '!$Q$2:$Q$1501="Collection 收款")*('Daily Sale entry '!$R$2:$R$1501="Cheque 支票")*('Daily Sale entry '!$V$2:$V$1501=""),ROW('Daily Sale entry '!$Q$2:$Q$1501)),72),"")</f>
        <v/>
      </c>
    </row>
    <row r="79">
      <c r="A79">
        <f>IF(G79="","",73)</f>
        <v/>
      </c>
      <c r="B79" s="5">
        <f>IF(G79="","",INDEX('Daily Sale entry '!$O$1:$O$1501,G79))</f>
        <v/>
      </c>
      <c r="C79">
        <f>IF(G79="","",INDEX('Daily Sale entry '!$P$1:$P$1501,G79))</f>
        <v/>
      </c>
      <c r="D79" s="6">
        <f>IF(G79="","",INDEX('Daily Sale entry '!$S$1:$S$1501,G79))</f>
        <v/>
      </c>
      <c r="E79">
        <f>IF(G79="","",INDEX('Daily Sale entry '!$U$1:$U$1501,G79)&amp;"")</f>
        <v/>
      </c>
      <c r="G79" s="21">
        <f t="array" ref="G79">IFERROR(SMALL(IF(('Daily Sale entry '!$Q$2:$Q$1501="Collection 收款")*('Daily Sale entry '!$R$2:$R$1501="Cheque 支票")*('Daily Sale entry '!$V$2:$V$1501=""),ROW('Daily Sale entry '!$Q$2:$Q$1501)),73),"")</f>
        <v/>
      </c>
    </row>
    <row r="80">
      <c r="A80">
        <f>IF(G80="","",74)</f>
        <v/>
      </c>
      <c r="B80" s="5">
        <f>IF(G80="","",INDEX('Daily Sale entry '!$O$1:$O$1501,G80))</f>
        <v/>
      </c>
      <c r="C80">
        <f>IF(G80="","",INDEX('Daily Sale entry '!$P$1:$P$1501,G80))</f>
        <v/>
      </c>
      <c r="D80" s="6">
        <f>IF(G80="","",INDEX('Daily Sale entry '!$S$1:$S$1501,G80))</f>
        <v/>
      </c>
      <c r="E80">
        <f>IF(G80="","",INDEX('Daily Sale entry '!$U$1:$U$1501,G80)&amp;"")</f>
        <v/>
      </c>
      <c r="G80" s="21">
        <f t="array" ref="G80">IFERROR(SMALL(IF(('Daily Sale entry '!$Q$2:$Q$1501="Collection 收款")*('Daily Sale entry '!$R$2:$R$1501="Cheque 支票")*('Daily Sale entry '!$V$2:$V$1501=""),ROW('Daily Sale entry '!$Q$2:$Q$1501)),74),"")</f>
        <v/>
      </c>
    </row>
    <row r="81">
      <c r="A81">
        <f>IF(G81="","",75)</f>
        <v/>
      </c>
      <c r="B81" s="5">
        <f>IF(G81="","",INDEX('Daily Sale entry '!$O$1:$O$1501,G81))</f>
        <v/>
      </c>
      <c r="C81">
        <f>IF(G81="","",INDEX('Daily Sale entry '!$P$1:$P$1501,G81))</f>
        <v/>
      </c>
      <c r="D81" s="6">
        <f>IF(G81="","",INDEX('Daily Sale entry '!$S$1:$S$1501,G81))</f>
        <v/>
      </c>
      <c r="E81">
        <f>IF(G81="","",INDEX('Daily Sale entry '!$U$1:$U$1501,G81)&amp;"")</f>
        <v/>
      </c>
      <c r="G81" s="21">
        <f t="array" ref="G81">IFERROR(SMALL(IF(('Daily Sale entry '!$Q$2:$Q$1501="Collection 收款")*('Daily Sale entry '!$R$2:$R$1501="Cheque 支票")*('Daily Sale entry '!$V$2:$V$1501=""),ROW('Daily Sale entry '!$Q$2:$Q$1501)),75),"")</f>
        <v/>
      </c>
    </row>
    <row r="82">
      <c r="A82">
        <f>IF(G82="","",76)</f>
        <v/>
      </c>
      <c r="B82" s="5">
        <f>IF(G82="","",INDEX('Daily Sale entry '!$O$1:$O$1501,G82))</f>
        <v/>
      </c>
      <c r="C82">
        <f>IF(G82="","",INDEX('Daily Sale entry '!$P$1:$P$1501,G82))</f>
        <v/>
      </c>
      <c r="D82" s="6">
        <f>IF(G82="","",INDEX('Daily Sale entry '!$S$1:$S$1501,G82))</f>
        <v/>
      </c>
      <c r="E82">
        <f>IF(G82="","",INDEX('Daily Sale entry '!$U$1:$U$1501,G82)&amp;"")</f>
        <v/>
      </c>
      <c r="G82" s="21">
        <f t="array" ref="G82">IFERROR(SMALL(IF(('Daily Sale entry '!$Q$2:$Q$1501="Collection 收款")*('Daily Sale entry '!$R$2:$R$1501="Cheque 支票")*('Daily Sale entry '!$V$2:$V$1501=""),ROW('Daily Sale entry '!$Q$2:$Q$1501)),76),"")</f>
        <v/>
      </c>
    </row>
    <row r="83">
      <c r="A83">
        <f>IF(G83="","",77)</f>
        <v/>
      </c>
      <c r="B83" s="5">
        <f>IF(G83="","",INDEX('Daily Sale entry '!$O$1:$O$1501,G83))</f>
        <v/>
      </c>
      <c r="C83">
        <f>IF(G83="","",INDEX('Daily Sale entry '!$P$1:$P$1501,G83))</f>
        <v/>
      </c>
      <c r="D83" s="6">
        <f>IF(G83="","",INDEX('Daily Sale entry '!$S$1:$S$1501,G83))</f>
        <v/>
      </c>
      <c r="E83">
        <f>IF(G83="","",INDEX('Daily Sale entry '!$U$1:$U$1501,G83)&amp;"")</f>
        <v/>
      </c>
      <c r="G83" s="21">
        <f t="array" ref="G83">IFERROR(SMALL(IF(('Daily Sale entry '!$Q$2:$Q$1501="Collection 收款")*('Daily Sale entry '!$R$2:$R$1501="Cheque 支票")*('Daily Sale entry '!$V$2:$V$1501=""),ROW('Daily Sale entry '!$Q$2:$Q$1501)),77),"")</f>
        <v/>
      </c>
    </row>
    <row r="84">
      <c r="A84">
        <f>IF(G84="","",78)</f>
        <v/>
      </c>
      <c r="B84" s="5">
        <f>IF(G84="","",INDEX('Daily Sale entry '!$O$1:$O$1501,G84))</f>
        <v/>
      </c>
      <c r="C84">
        <f>IF(G84="","",INDEX('Daily Sale entry '!$P$1:$P$1501,G84))</f>
        <v/>
      </c>
      <c r="D84" s="6">
        <f>IF(G84="","",INDEX('Daily Sale entry '!$S$1:$S$1501,G84))</f>
        <v/>
      </c>
      <c r="E84">
        <f>IF(G84="","",INDEX('Daily Sale entry '!$U$1:$U$1501,G84)&amp;"")</f>
        <v/>
      </c>
      <c r="G84" s="21">
        <f t="array" ref="G84">IFERROR(SMALL(IF(('Daily Sale entry '!$Q$2:$Q$1501="Collection 收款")*('Daily Sale entry '!$R$2:$R$1501="Cheque 支票")*('Daily Sale entry '!$V$2:$V$1501=""),ROW('Daily Sale entry '!$Q$2:$Q$1501)),78),"")</f>
        <v/>
      </c>
    </row>
    <row r="85">
      <c r="A85">
        <f>IF(G85="","",79)</f>
        <v/>
      </c>
      <c r="B85" s="5">
        <f>IF(G85="","",INDEX('Daily Sale entry '!$O$1:$O$1501,G85))</f>
        <v/>
      </c>
      <c r="C85">
        <f>IF(G85="","",INDEX('Daily Sale entry '!$P$1:$P$1501,G85))</f>
        <v/>
      </c>
      <c r="D85" s="6">
        <f>IF(G85="","",INDEX('Daily Sale entry '!$S$1:$S$1501,G85))</f>
        <v/>
      </c>
      <c r="E85">
        <f>IF(G85="","",INDEX('Daily Sale entry '!$U$1:$U$1501,G85)&amp;"")</f>
        <v/>
      </c>
      <c r="G85" s="21">
        <f t="array" ref="G85">IFERROR(SMALL(IF(('Daily Sale entry '!$Q$2:$Q$1501="Collection 收款")*('Daily Sale entry '!$R$2:$R$1501="Cheque 支票")*('Daily Sale entry '!$V$2:$V$1501=""),ROW('Daily Sale entry '!$Q$2:$Q$1501)),79),"")</f>
        <v/>
      </c>
    </row>
    <row r="86">
      <c r="A86">
        <f>IF(G86="","",80)</f>
        <v/>
      </c>
      <c r="B86" s="5">
        <f>IF(G86="","",INDEX('Daily Sale entry '!$O$1:$O$1501,G86))</f>
        <v/>
      </c>
      <c r="C86">
        <f>IF(G86="","",INDEX('Daily Sale entry '!$P$1:$P$1501,G86))</f>
        <v/>
      </c>
      <c r="D86" s="6">
        <f>IF(G86="","",INDEX('Daily Sale entry '!$S$1:$S$1501,G86))</f>
        <v/>
      </c>
      <c r="E86">
        <f>IF(G86="","",INDEX('Daily Sale entry '!$U$1:$U$1501,G86)&amp;"")</f>
        <v/>
      </c>
      <c r="G86" s="21">
        <f t="array" ref="G86">IFERROR(SMALL(IF(('Daily Sale entry '!$Q$2:$Q$1501="Collection 收款")*('Daily Sale entry '!$R$2:$R$1501="Cheque 支票")*('Daily Sale entry '!$V$2:$V$1501=""),ROW('Daily Sale entry '!$Q$2:$Q$1501)),80),"")</f>
        <v/>
      </c>
    </row>
    <row r="87">
      <c r="A87">
        <f>IF(G87="","",81)</f>
        <v/>
      </c>
      <c r="B87" s="5">
        <f>IF(G87="","",INDEX('Daily Sale entry '!$O$1:$O$1501,G87))</f>
        <v/>
      </c>
      <c r="C87">
        <f>IF(G87="","",INDEX('Daily Sale entry '!$P$1:$P$1501,G87))</f>
        <v/>
      </c>
      <c r="D87" s="6">
        <f>IF(G87="","",INDEX('Daily Sale entry '!$S$1:$S$1501,G87))</f>
        <v/>
      </c>
      <c r="E87">
        <f>IF(G87="","",INDEX('Daily Sale entry '!$U$1:$U$1501,G87)&amp;"")</f>
        <v/>
      </c>
      <c r="G87" s="21">
        <f t="array" ref="G87">IFERROR(SMALL(IF(('Daily Sale entry '!$Q$2:$Q$1501="Collection 收款")*('Daily Sale entry '!$R$2:$R$1501="Cheque 支票")*('Daily Sale entry '!$V$2:$V$1501=""),ROW('Daily Sale entry '!$Q$2:$Q$1501)),81),"")</f>
        <v/>
      </c>
    </row>
    <row r="88">
      <c r="A88">
        <f>IF(G88="","",82)</f>
        <v/>
      </c>
      <c r="B88" s="5">
        <f>IF(G88="","",INDEX('Daily Sale entry '!$O$1:$O$1501,G88))</f>
        <v/>
      </c>
      <c r="C88">
        <f>IF(G88="","",INDEX('Daily Sale entry '!$P$1:$P$1501,G88))</f>
        <v/>
      </c>
      <c r="D88" s="6">
        <f>IF(G88="","",INDEX('Daily Sale entry '!$S$1:$S$1501,G88))</f>
        <v/>
      </c>
      <c r="E88">
        <f>IF(G88="","",INDEX('Daily Sale entry '!$U$1:$U$1501,G88)&amp;"")</f>
        <v/>
      </c>
      <c r="G88" s="21">
        <f t="array" ref="G88">IFERROR(SMALL(IF(('Daily Sale entry '!$Q$2:$Q$1501="Collection 收款")*('Daily Sale entry '!$R$2:$R$1501="Cheque 支票")*('Daily Sale entry '!$V$2:$V$1501=""),ROW('Daily Sale entry '!$Q$2:$Q$1501)),82),"")</f>
        <v/>
      </c>
    </row>
    <row r="89">
      <c r="A89">
        <f>IF(G89="","",83)</f>
        <v/>
      </c>
      <c r="B89" s="5">
        <f>IF(G89="","",INDEX('Daily Sale entry '!$O$1:$O$1501,G89))</f>
        <v/>
      </c>
      <c r="C89">
        <f>IF(G89="","",INDEX('Daily Sale entry '!$P$1:$P$1501,G89))</f>
        <v/>
      </c>
      <c r="D89" s="6">
        <f>IF(G89="","",INDEX('Daily Sale entry '!$S$1:$S$1501,G89))</f>
        <v/>
      </c>
      <c r="E89">
        <f>IF(G89="","",INDEX('Daily Sale entry '!$U$1:$U$1501,G89)&amp;"")</f>
        <v/>
      </c>
      <c r="G89" s="21">
        <f t="array" ref="G89">IFERROR(SMALL(IF(('Daily Sale entry '!$Q$2:$Q$1501="Collection 收款")*('Daily Sale entry '!$R$2:$R$1501="Cheque 支票")*('Daily Sale entry '!$V$2:$V$1501=""),ROW('Daily Sale entry '!$Q$2:$Q$1501)),83),"")</f>
        <v/>
      </c>
    </row>
    <row r="90">
      <c r="A90">
        <f>IF(G90="","",84)</f>
        <v/>
      </c>
      <c r="B90" s="5">
        <f>IF(G90="","",INDEX('Daily Sale entry '!$O$1:$O$1501,G90))</f>
        <v/>
      </c>
      <c r="C90">
        <f>IF(G90="","",INDEX('Daily Sale entry '!$P$1:$P$1501,G90))</f>
        <v/>
      </c>
      <c r="D90" s="6">
        <f>IF(G90="","",INDEX('Daily Sale entry '!$S$1:$S$1501,G90))</f>
        <v/>
      </c>
      <c r="E90">
        <f>IF(G90="","",INDEX('Daily Sale entry '!$U$1:$U$1501,G90)&amp;"")</f>
        <v/>
      </c>
      <c r="G90" s="21">
        <f t="array" ref="G90">IFERROR(SMALL(IF(('Daily Sale entry '!$Q$2:$Q$1501="Collection 收款")*('Daily Sale entry '!$R$2:$R$1501="Cheque 支票")*('Daily Sale entry '!$V$2:$V$1501=""),ROW('Daily Sale entry '!$Q$2:$Q$1501)),84),"")</f>
        <v/>
      </c>
    </row>
    <row r="91">
      <c r="A91">
        <f>IF(G91="","",85)</f>
        <v/>
      </c>
      <c r="B91" s="5">
        <f>IF(G91="","",INDEX('Daily Sale entry '!$O$1:$O$1501,G91))</f>
        <v/>
      </c>
      <c r="C91">
        <f>IF(G91="","",INDEX('Daily Sale entry '!$P$1:$P$1501,G91))</f>
        <v/>
      </c>
      <c r="D91" s="6">
        <f>IF(G91="","",INDEX('Daily Sale entry '!$S$1:$S$1501,G91))</f>
        <v/>
      </c>
      <c r="E91">
        <f>IF(G91="","",INDEX('Daily Sale entry '!$U$1:$U$1501,G91)&amp;"")</f>
        <v/>
      </c>
      <c r="G91" s="21">
        <f t="array" ref="G91">IFERROR(SMALL(IF(('Daily Sale entry '!$Q$2:$Q$1501="Collection 收款")*('Daily Sale entry '!$R$2:$R$1501="Cheque 支票")*('Daily Sale entry '!$V$2:$V$1501=""),ROW('Daily Sale entry '!$Q$2:$Q$1501)),85),"")</f>
        <v/>
      </c>
    </row>
    <row r="92">
      <c r="A92">
        <f>IF(G92="","",86)</f>
        <v/>
      </c>
      <c r="B92" s="5">
        <f>IF(G92="","",INDEX('Daily Sale entry '!$O$1:$O$1501,G92))</f>
        <v/>
      </c>
      <c r="C92">
        <f>IF(G92="","",INDEX('Daily Sale entry '!$P$1:$P$1501,G92))</f>
        <v/>
      </c>
      <c r="D92" s="6">
        <f>IF(G92="","",INDEX('Daily Sale entry '!$S$1:$S$1501,G92))</f>
        <v/>
      </c>
      <c r="E92">
        <f>IF(G92="","",INDEX('Daily Sale entry '!$U$1:$U$1501,G92)&amp;"")</f>
        <v/>
      </c>
      <c r="G92" s="21">
        <f t="array" ref="G92">IFERROR(SMALL(IF(('Daily Sale entry '!$Q$2:$Q$1501="Collection 收款")*('Daily Sale entry '!$R$2:$R$1501="Cheque 支票")*('Daily Sale entry '!$V$2:$V$1501=""),ROW('Daily Sale entry '!$Q$2:$Q$1501)),86),"")</f>
        <v/>
      </c>
    </row>
    <row r="93">
      <c r="A93">
        <f>IF(G93="","",87)</f>
        <v/>
      </c>
      <c r="B93" s="5">
        <f>IF(G93="","",INDEX('Daily Sale entry '!$O$1:$O$1501,G93))</f>
        <v/>
      </c>
      <c r="C93">
        <f>IF(G93="","",INDEX('Daily Sale entry '!$P$1:$P$1501,G93))</f>
        <v/>
      </c>
      <c r="D93" s="6">
        <f>IF(G93="","",INDEX('Daily Sale entry '!$S$1:$S$1501,G93))</f>
        <v/>
      </c>
      <c r="E93">
        <f>IF(G93="","",INDEX('Daily Sale entry '!$U$1:$U$1501,G93)&amp;"")</f>
        <v/>
      </c>
      <c r="G93" s="21">
        <f t="array" ref="G93">IFERROR(SMALL(IF(('Daily Sale entry '!$Q$2:$Q$1501="Collection 收款")*('Daily Sale entry '!$R$2:$R$1501="Cheque 支票")*('Daily Sale entry '!$V$2:$V$1501=""),ROW('Daily Sale entry '!$Q$2:$Q$1501)),87),"")</f>
        <v/>
      </c>
    </row>
    <row r="94">
      <c r="A94">
        <f>IF(G94="","",88)</f>
        <v/>
      </c>
      <c r="B94" s="5">
        <f>IF(G94="","",INDEX('Daily Sale entry '!$O$1:$O$1501,G94))</f>
        <v/>
      </c>
      <c r="C94">
        <f>IF(G94="","",INDEX('Daily Sale entry '!$P$1:$P$1501,G94))</f>
        <v/>
      </c>
      <c r="D94" s="6">
        <f>IF(G94="","",INDEX('Daily Sale entry '!$S$1:$S$1501,G94))</f>
        <v/>
      </c>
      <c r="E94">
        <f>IF(G94="","",INDEX('Daily Sale entry '!$U$1:$U$1501,G94)&amp;"")</f>
        <v/>
      </c>
      <c r="G94" s="21">
        <f t="array" ref="G94">IFERROR(SMALL(IF(('Daily Sale entry '!$Q$2:$Q$1501="Collection 收款")*('Daily Sale entry '!$R$2:$R$1501="Cheque 支票")*('Daily Sale entry '!$V$2:$V$1501=""),ROW('Daily Sale entry '!$Q$2:$Q$1501)),88),"")</f>
        <v/>
      </c>
    </row>
    <row r="95">
      <c r="A95">
        <f>IF(G95="","",89)</f>
        <v/>
      </c>
      <c r="B95" s="5">
        <f>IF(G95="","",INDEX('Daily Sale entry '!$O$1:$O$1501,G95))</f>
        <v/>
      </c>
      <c r="C95">
        <f>IF(G95="","",INDEX('Daily Sale entry '!$P$1:$P$1501,G95))</f>
        <v/>
      </c>
      <c r="D95" s="6">
        <f>IF(G95="","",INDEX('Daily Sale entry '!$S$1:$S$1501,G95))</f>
        <v/>
      </c>
      <c r="E95">
        <f>IF(G95="","",INDEX('Daily Sale entry '!$U$1:$U$1501,G95)&amp;"")</f>
        <v/>
      </c>
      <c r="G95" s="21">
        <f t="array" ref="G95">IFERROR(SMALL(IF(('Daily Sale entry '!$Q$2:$Q$1501="Collection 收款")*('Daily Sale entry '!$R$2:$R$1501="Cheque 支票")*('Daily Sale entry '!$V$2:$V$1501=""),ROW('Daily Sale entry '!$Q$2:$Q$1501)),89),"")</f>
        <v/>
      </c>
    </row>
    <row r="96">
      <c r="A96">
        <f>IF(G96="","",90)</f>
        <v/>
      </c>
      <c r="B96" s="5">
        <f>IF(G96="","",INDEX('Daily Sale entry '!$O$1:$O$1501,G96))</f>
        <v/>
      </c>
      <c r="C96">
        <f>IF(G96="","",INDEX('Daily Sale entry '!$P$1:$P$1501,G96))</f>
        <v/>
      </c>
      <c r="D96" s="6">
        <f>IF(G96="","",INDEX('Daily Sale entry '!$S$1:$S$1501,G96))</f>
        <v/>
      </c>
      <c r="E96">
        <f>IF(G96="","",INDEX('Daily Sale entry '!$U$1:$U$1501,G96)&amp;"")</f>
        <v/>
      </c>
      <c r="G96" s="21">
        <f t="array" ref="G96">IFERROR(SMALL(IF(('Daily Sale entry '!$Q$2:$Q$1501="Collection 收款")*('Daily Sale entry '!$R$2:$R$1501="Cheque 支票")*('Daily Sale entry '!$V$2:$V$1501=""),ROW('Daily Sale entry '!$Q$2:$Q$1501)),90),"")</f>
        <v/>
      </c>
    </row>
    <row r="97">
      <c r="A97">
        <f>IF(G97="","",91)</f>
        <v/>
      </c>
      <c r="B97" s="5">
        <f>IF(G97="","",INDEX('Daily Sale entry '!$O$1:$O$1501,G97))</f>
        <v/>
      </c>
      <c r="C97">
        <f>IF(G97="","",INDEX('Daily Sale entry '!$P$1:$P$1501,G97))</f>
        <v/>
      </c>
      <c r="D97" s="6">
        <f>IF(G97="","",INDEX('Daily Sale entry '!$S$1:$S$1501,G97))</f>
        <v/>
      </c>
      <c r="E97">
        <f>IF(G97="","",INDEX('Daily Sale entry '!$U$1:$U$1501,G97)&amp;"")</f>
        <v/>
      </c>
      <c r="G97" s="21">
        <f t="array" ref="G97">IFERROR(SMALL(IF(('Daily Sale entry '!$Q$2:$Q$1501="Collection 收款")*('Daily Sale entry '!$R$2:$R$1501="Cheque 支票")*('Daily Sale entry '!$V$2:$V$1501=""),ROW('Daily Sale entry '!$Q$2:$Q$1501)),91),"")</f>
        <v/>
      </c>
    </row>
    <row r="98">
      <c r="A98">
        <f>IF(G98="","",92)</f>
        <v/>
      </c>
      <c r="B98" s="5">
        <f>IF(G98="","",INDEX('Daily Sale entry '!$O$1:$O$1501,G98))</f>
        <v/>
      </c>
      <c r="C98">
        <f>IF(G98="","",INDEX('Daily Sale entry '!$P$1:$P$1501,G98))</f>
        <v/>
      </c>
      <c r="D98" s="6">
        <f>IF(G98="","",INDEX('Daily Sale entry '!$S$1:$S$1501,G98))</f>
        <v/>
      </c>
      <c r="E98">
        <f>IF(G98="","",INDEX('Daily Sale entry '!$U$1:$U$1501,G98)&amp;"")</f>
        <v/>
      </c>
      <c r="G98" s="21">
        <f t="array" ref="G98">IFERROR(SMALL(IF(('Daily Sale entry '!$Q$2:$Q$1501="Collection 收款")*('Daily Sale entry '!$R$2:$R$1501="Cheque 支票")*('Daily Sale entry '!$V$2:$V$1501=""),ROW('Daily Sale entry '!$Q$2:$Q$1501)),92),"")</f>
        <v/>
      </c>
    </row>
    <row r="99">
      <c r="A99">
        <f>IF(G99="","",93)</f>
        <v/>
      </c>
      <c r="B99" s="5">
        <f>IF(G99="","",INDEX('Daily Sale entry '!$O$1:$O$1501,G99))</f>
        <v/>
      </c>
      <c r="C99">
        <f>IF(G99="","",INDEX('Daily Sale entry '!$P$1:$P$1501,G99))</f>
        <v/>
      </c>
      <c r="D99" s="6">
        <f>IF(G99="","",INDEX('Daily Sale entry '!$S$1:$S$1501,G99))</f>
        <v/>
      </c>
      <c r="E99">
        <f>IF(G99="","",INDEX('Daily Sale entry '!$U$1:$U$1501,G99)&amp;"")</f>
        <v/>
      </c>
      <c r="G99" s="21">
        <f t="array" ref="G99">IFERROR(SMALL(IF(('Daily Sale entry '!$Q$2:$Q$1501="Collection 收款")*('Daily Sale entry '!$R$2:$R$1501="Cheque 支票")*('Daily Sale entry '!$V$2:$V$1501=""),ROW('Daily Sale entry '!$Q$2:$Q$1501)),93),"")</f>
        <v/>
      </c>
    </row>
    <row r="100">
      <c r="A100">
        <f>IF(G100="","",94)</f>
        <v/>
      </c>
      <c r="B100" s="5">
        <f>IF(G100="","",INDEX('Daily Sale entry '!$O$1:$O$1501,G100))</f>
        <v/>
      </c>
      <c r="C100">
        <f>IF(G100="","",INDEX('Daily Sale entry '!$P$1:$P$1501,G100))</f>
        <v/>
      </c>
      <c r="D100" s="6">
        <f>IF(G100="","",INDEX('Daily Sale entry '!$S$1:$S$1501,G100))</f>
        <v/>
      </c>
      <c r="E100">
        <f>IF(G100="","",INDEX('Daily Sale entry '!$U$1:$U$1501,G100)&amp;"")</f>
        <v/>
      </c>
      <c r="G100" s="21">
        <f t="array" ref="G100">IFERROR(SMALL(IF(('Daily Sale entry '!$Q$2:$Q$1501="Collection 收款")*('Daily Sale entry '!$R$2:$R$1501="Cheque 支票")*('Daily Sale entry '!$V$2:$V$1501=""),ROW('Daily Sale entry '!$Q$2:$Q$1501)),94),"")</f>
        <v/>
      </c>
    </row>
    <row r="101">
      <c r="A101">
        <f>IF(G101="","",95)</f>
        <v/>
      </c>
      <c r="B101" s="5">
        <f>IF(G101="","",INDEX('Daily Sale entry '!$O$1:$O$1501,G101))</f>
        <v/>
      </c>
      <c r="C101">
        <f>IF(G101="","",INDEX('Daily Sale entry '!$P$1:$P$1501,G101))</f>
        <v/>
      </c>
      <c r="D101" s="6">
        <f>IF(G101="","",INDEX('Daily Sale entry '!$S$1:$S$1501,G101))</f>
        <v/>
      </c>
      <c r="E101">
        <f>IF(G101="","",INDEX('Daily Sale entry '!$U$1:$U$1501,G101)&amp;"")</f>
        <v/>
      </c>
      <c r="G101" s="21">
        <f t="array" ref="G101">IFERROR(SMALL(IF(('Daily Sale entry '!$Q$2:$Q$1501="Collection 收款")*('Daily Sale entry '!$R$2:$R$1501="Cheque 支票")*('Daily Sale entry '!$V$2:$V$1501=""),ROW('Daily Sale entry '!$Q$2:$Q$1501)),95),"")</f>
        <v/>
      </c>
    </row>
    <row r="102">
      <c r="A102">
        <f>IF(G102="","",96)</f>
        <v/>
      </c>
      <c r="B102" s="5">
        <f>IF(G102="","",INDEX('Daily Sale entry '!$O$1:$O$1501,G102))</f>
        <v/>
      </c>
      <c r="C102">
        <f>IF(G102="","",INDEX('Daily Sale entry '!$P$1:$P$1501,G102))</f>
        <v/>
      </c>
      <c r="D102" s="6">
        <f>IF(G102="","",INDEX('Daily Sale entry '!$S$1:$S$1501,G102))</f>
        <v/>
      </c>
      <c r="E102">
        <f>IF(G102="","",INDEX('Daily Sale entry '!$U$1:$U$1501,G102)&amp;"")</f>
        <v/>
      </c>
      <c r="G102" s="21">
        <f t="array" ref="G102">IFERROR(SMALL(IF(('Daily Sale entry '!$Q$2:$Q$1501="Collection 收款")*('Daily Sale entry '!$R$2:$R$1501="Cheque 支票")*('Daily Sale entry '!$V$2:$V$1501=""),ROW('Daily Sale entry '!$Q$2:$Q$1501)),96),"")</f>
        <v/>
      </c>
    </row>
    <row r="103">
      <c r="A103">
        <f>IF(G103="","",97)</f>
        <v/>
      </c>
      <c r="B103" s="5">
        <f>IF(G103="","",INDEX('Daily Sale entry '!$O$1:$O$1501,G103))</f>
        <v/>
      </c>
      <c r="C103">
        <f>IF(G103="","",INDEX('Daily Sale entry '!$P$1:$P$1501,G103))</f>
        <v/>
      </c>
      <c r="D103" s="6">
        <f>IF(G103="","",INDEX('Daily Sale entry '!$S$1:$S$1501,G103))</f>
        <v/>
      </c>
      <c r="E103">
        <f>IF(G103="","",INDEX('Daily Sale entry '!$U$1:$U$1501,G103)&amp;"")</f>
        <v/>
      </c>
      <c r="G103" s="21">
        <f t="array" ref="G103">IFERROR(SMALL(IF(('Daily Sale entry '!$Q$2:$Q$1501="Collection 收款")*('Daily Sale entry '!$R$2:$R$1501="Cheque 支票")*('Daily Sale entry '!$V$2:$V$1501=""),ROW('Daily Sale entry '!$Q$2:$Q$1501)),97),"")</f>
        <v/>
      </c>
    </row>
    <row r="104">
      <c r="A104">
        <f>IF(G104="","",98)</f>
        <v/>
      </c>
      <c r="B104" s="5">
        <f>IF(G104="","",INDEX('Daily Sale entry '!$O$1:$O$1501,G104))</f>
        <v/>
      </c>
      <c r="C104">
        <f>IF(G104="","",INDEX('Daily Sale entry '!$P$1:$P$1501,G104))</f>
        <v/>
      </c>
      <c r="D104" s="6">
        <f>IF(G104="","",INDEX('Daily Sale entry '!$S$1:$S$1501,G104))</f>
        <v/>
      </c>
      <c r="E104">
        <f>IF(G104="","",INDEX('Daily Sale entry '!$U$1:$U$1501,G104)&amp;"")</f>
        <v/>
      </c>
      <c r="G104" s="21">
        <f t="array" ref="G104">IFERROR(SMALL(IF(('Daily Sale entry '!$Q$2:$Q$1501="Collection 收款")*('Daily Sale entry '!$R$2:$R$1501="Cheque 支票")*('Daily Sale entry '!$V$2:$V$1501=""),ROW('Daily Sale entry '!$Q$2:$Q$1501)),98),"")</f>
        <v/>
      </c>
    </row>
    <row r="105">
      <c r="A105">
        <f>IF(G105="","",99)</f>
        <v/>
      </c>
      <c r="B105" s="5">
        <f>IF(G105="","",INDEX('Daily Sale entry '!$O$1:$O$1501,G105))</f>
        <v/>
      </c>
      <c r="C105">
        <f>IF(G105="","",INDEX('Daily Sale entry '!$P$1:$P$1501,G105))</f>
        <v/>
      </c>
      <c r="D105" s="6">
        <f>IF(G105="","",INDEX('Daily Sale entry '!$S$1:$S$1501,G105))</f>
        <v/>
      </c>
      <c r="E105">
        <f>IF(G105="","",INDEX('Daily Sale entry '!$U$1:$U$1501,G105)&amp;"")</f>
        <v/>
      </c>
      <c r="G105" s="21">
        <f t="array" ref="G105">IFERROR(SMALL(IF(('Daily Sale entry '!$Q$2:$Q$1501="Collection 收款")*('Daily Sale entry '!$R$2:$R$1501="Cheque 支票")*('Daily Sale entry '!$V$2:$V$1501=""),ROW('Daily Sale entry '!$Q$2:$Q$1501)),99),"")</f>
        <v/>
      </c>
    </row>
    <row r="106">
      <c r="A106">
        <f>IF(G106="","",100)</f>
        <v/>
      </c>
      <c r="B106" s="5">
        <f>IF(G106="","",INDEX('Daily Sale entry '!$O$1:$O$1501,G106))</f>
        <v/>
      </c>
      <c r="C106">
        <f>IF(G106="","",INDEX('Daily Sale entry '!$P$1:$P$1501,G106))</f>
        <v/>
      </c>
      <c r="D106" s="6">
        <f>IF(G106="","",INDEX('Daily Sale entry '!$S$1:$S$1501,G106))</f>
        <v/>
      </c>
      <c r="E106">
        <f>IF(G106="","",INDEX('Daily Sale entry '!$U$1:$U$1501,G106)&amp;"")</f>
        <v/>
      </c>
      <c r="G106" s="21">
        <f t="array" ref="G106">IFERROR(SMALL(IF(('Daily Sale entry '!$Q$2:$Q$1501="Collection 收款")*('Daily Sale entry '!$R$2:$R$1501="Cheque 支票")*('Daily Sale entry '!$V$2:$V$1501=""),ROW('Daily Sale entry '!$Q$2:$Q$1501)),100),"")</f>
        <v/>
      </c>
    </row>
    <row r="107">
      <c r="A107">
        <f>IF(G107="","",101)</f>
        <v/>
      </c>
      <c r="B107" s="5">
        <f>IF(G107="","",INDEX('Daily Sale entry '!$O$1:$O$1501,G107))</f>
        <v/>
      </c>
      <c r="C107">
        <f>IF(G107="","",INDEX('Daily Sale entry '!$P$1:$P$1501,G107))</f>
        <v/>
      </c>
      <c r="D107" s="6">
        <f>IF(G107="","",INDEX('Daily Sale entry '!$S$1:$S$1501,G107))</f>
        <v/>
      </c>
      <c r="E107">
        <f>IF(G107="","",INDEX('Daily Sale entry '!$U$1:$U$1501,G107)&amp;"")</f>
        <v/>
      </c>
      <c r="G107" s="21">
        <f t="array" ref="G107">IFERROR(SMALL(IF(('Daily Sale entry '!$Q$2:$Q$1501="Collection 收款")*('Daily Sale entry '!$R$2:$R$1501="Cheque 支票")*('Daily Sale entry '!$V$2:$V$1501=""),ROW('Daily Sale entry '!$Q$2:$Q$1501)),101),"")</f>
        <v/>
      </c>
    </row>
    <row r="108">
      <c r="A108">
        <f>IF(G108="","",102)</f>
        <v/>
      </c>
      <c r="B108" s="5">
        <f>IF(G108="","",INDEX('Daily Sale entry '!$O$1:$O$1501,G108))</f>
        <v/>
      </c>
      <c r="C108">
        <f>IF(G108="","",INDEX('Daily Sale entry '!$P$1:$P$1501,G108))</f>
        <v/>
      </c>
      <c r="D108" s="6">
        <f>IF(G108="","",INDEX('Daily Sale entry '!$S$1:$S$1501,G108))</f>
        <v/>
      </c>
      <c r="E108">
        <f>IF(G108="","",INDEX('Daily Sale entry '!$U$1:$U$1501,G108)&amp;"")</f>
        <v/>
      </c>
      <c r="G108" s="21">
        <f t="array" ref="G108">IFERROR(SMALL(IF(('Daily Sale entry '!$Q$2:$Q$1501="Collection 收款")*('Daily Sale entry '!$R$2:$R$1501="Cheque 支票")*('Daily Sale entry '!$V$2:$V$1501=""),ROW('Daily Sale entry '!$Q$2:$Q$1501)),102),"")</f>
        <v/>
      </c>
    </row>
    <row r="109">
      <c r="A109">
        <f>IF(G109="","",103)</f>
        <v/>
      </c>
      <c r="B109" s="5">
        <f>IF(G109="","",INDEX('Daily Sale entry '!$O$1:$O$1501,G109))</f>
        <v/>
      </c>
      <c r="C109">
        <f>IF(G109="","",INDEX('Daily Sale entry '!$P$1:$P$1501,G109))</f>
        <v/>
      </c>
      <c r="D109" s="6">
        <f>IF(G109="","",INDEX('Daily Sale entry '!$S$1:$S$1501,G109))</f>
        <v/>
      </c>
      <c r="E109">
        <f>IF(G109="","",INDEX('Daily Sale entry '!$U$1:$U$1501,G109)&amp;"")</f>
        <v/>
      </c>
      <c r="G109" s="21">
        <f t="array" ref="G109">IFERROR(SMALL(IF(('Daily Sale entry '!$Q$2:$Q$1501="Collection 收款")*('Daily Sale entry '!$R$2:$R$1501="Cheque 支票")*('Daily Sale entry '!$V$2:$V$1501=""),ROW('Daily Sale entry '!$Q$2:$Q$1501)),103),"")</f>
        <v/>
      </c>
    </row>
    <row r="110">
      <c r="A110">
        <f>IF(G110="","",104)</f>
        <v/>
      </c>
      <c r="B110" s="5">
        <f>IF(G110="","",INDEX('Daily Sale entry '!$O$1:$O$1501,G110))</f>
        <v/>
      </c>
      <c r="C110">
        <f>IF(G110="","",INDEX('Daily Sale entry '!$P$1:$P$1501,G110))</f>
        <v/>
      </c>
      <c r="D110" s="6">
        <f>IF(G110="","",INDEX('Daily Sale entry '!$S$1:$S$1501,G110))</f>
        <v/>
      </c>
      <c r="E110">
        <f>IF(G110="","",INDEX('Daily Sale entry '!$U$1:$U$1501,G110)&amp;"")</f>
        <v/>
      </c>
      <c r="G110" s="21">
        <f t="array" ref="G110">IFERROR(SMALL(IF(('Daily Sale entry '!$Q$2:$Q$1501="Collection 收款")*('Daily Sale entry '!$R$2:$R$1501="Cheque 支票")*('Daily Sale entry '!$V$2:$V$1501=""),ROW('Daily Sale entry '!$Q$2:$Q$1501)),104),"")</f>
        <v/>
      </c>
    </row>
    <row r="111">
      <c r="A111">
        <f>IF(G111="","",105)</f>
        <v/>
      </c>
      <c r="B111" s="5">
        <f>IF(G111="","",INDEX('Daily Sale entry '!$O$1:$O$1501,G111))</f>
        <v/>
      </c>
      <c r="C111">
        <f>IF(G111="","",INDEX('Daily Sale entry '!$P$1:$P$1501,G111))</f>
        <v/>
      </c>
      <c r="D111" s="6">
        <f>IF(G111="","",INDEX('Daily Sale entry '!$S$1:$S$1501,G111))</f>
        <v/>
      </c>
      <c r="E111">
        <f>IF(G111="","",INDEX('Daily Sale entry '!$U$1:$U$1501,G111)&amp;"")</f>
        <v/>
      </c>
      <c r="G111" s="21">
        <f t="array" ref="G111">IFERROR(SMALL(IF(('Daily Sale entry '!$Q$2:$Q$1501="Collection 收款")*('Daily Sale entry '!$R$2:$R$1501="Cheque 支票")*('Daily Sale entry '!$V$2:$V$1501=""),ROW('Daily Sale entry '!$Q$2:$Q$1501)),105),"")</f>
        <v/>
      </c>
    </row>
    <row r="112">
      <c r="A112">
        <f>IF(G112="","",106)</f>
        <v/>
      </c>
      <c r="B112" s="5">
        <f>IF(G112="","",INDEX('Daily Sale entry '!$O$1:$O$1501,G112))</f>
        <v/>
      </c>
      <c r="C112">
        <f>IF(G112="","",INDEX('Daily Sale entry '!$P$1:$P$1501,G112))</f>
        <v/>
      </c>
      <c r="D112" s="6">
        <f>IF(G112="","",INDEX('Daily Sale entry '!$S$1:$S$1501,G112))</f>
        <v/>
      </c>
      <c r="E112">
        <f>IF(G112="","",INDEX('Daily Sale entry '!$U$1:$U$1501,G112)&amp;"")</f>
        <v/>
      </c>
      <c r="G112" s="21">
        <f t="array" ref="G112">IFERROR(SMALL(IF(('Daily Sale entry '!$Q$2:$Q$1501="Collection 收款")*('Daily Sale entry '!$R$2:$R$1501="Cheque 支票")*('Daily Sale entry '!$V$2:$V$1501=""),ROW('Daily Sale entry '!$Q$2:$Q$1501)),106),"")</f>
        <v/>
      </c>
    </row>
    <row r="113">
      <c r="A113">
        <f>IF(G113="","",107)</f>
        <v/>
      </c>
      <c r="B113" s="5">
        <f>IF(G113="","",INDEX('Daily Sale entry '!$O$1:$O$1501,G113))</f>
        <v/>
      </c>
      <c r="C113">
        <f>IF(G113="","",INDEX('Daily Sale entry '!$P$1:$P$1501,G113))</f>
        <v/>
      </c>
      <c r="D113" s="6">
        <f>IF(G113="","",INDEX('Daily Sale entry '!$S$1:$S$1501,G113))</f>
        <v/>
      </c>
      <c r="E113">
        <f>IF(G113="","",INDEX('Daily Sale entry '!$U$1:$U$1501,G113)&amp;"")</f>
        <v/>
      </c>
      <c r="G113" s="21">
        <f t="array" ref="G113">IFERROR(SMALL(IF(('Daily Sale entry '!$Q$2:$Q$1501="Collection 收款")*('Daily Sale entry '!$R$2:$R$1501="Cheque 支票")*('Daily Sale entry '!$V$2:$V$1501=""),ROW('Daily Sale entry '!$Q$2:$Q$1501)),107),"")</f>
        <v/>
      </c>
    </row>
    <row r="114">
      <c r="A114">
        <f>IF(G114="","",108)</f>
        <v/>
      </c>
      <c r="B114" s="5">
        <f>IF(G114="","",INDEX('Daily Sale entry '!$O$1:$O$1501,G114))</f>
        <v/>
      </c>
      <c r="C114">
        <f>IF(G114="","",INDEX('Daily Sale entry '!$P$1:$P$1501,G114))</f>
        <v/>
      </c>
      <c r="D114" s="6">
        <f>IF(G114="","",INDEX('Daily Sale entry '!$S$1:$S$1501,G114))</f>
        <v/>
      </c>
      <c r="E114">
        <f>IF(G114="","",INDEX('Daily Sale entry '!$U$1:$U$1501,G114)&amp;"")</f>
        <v/>
      </c>
      <c r="G114" s="21">
        <f t="array" ref="G114">IFERROR(SMALL(IF(('Daily Sale entry '!$Q$2:$Q$1501="Collection 收款")*('Daily Sale entry '!$R$2:$R$1501="Cheque 支票")*('Daily Sale entry '!$V$2:$V$1501=""),ROW('Daily Sale entry '!$Q$2:$Q$1501)),108),"")</f>
        <v/>
      </c>
    </row>
    <row r="115">
      <c r="A115">
        <f>IF(G115="","",109)</f>
        <v/>
      </c>
      <c r="B115" s="5">
        <f>IF(G115="","",INDEX('Daily Sale entry '!$O$1:$O$1501,G115))</f>
        <v/>
      </c>
      <c r="C115">
        <f>IF(G115="","",INDEX('Daily Sale entry '!$P$1:$P$1501,G115))</f>
        <v/>
      </c>
      <c r="D115" s="6">
        <f>IF(G115="","",INDEX('Daily Sale entry '!$S$1:$S$1501,G115))</f>
        <v/>
      </c>
      <c r="E115">
        <f>IF(G115="","",INDEX('Daily Sale entry '!$U$1:$U$1501,G115)&amp;"")</f>
        <v/>
      </c>
      <c r="G115" s="21">
        <f t="array" ref="G115">IFERROR(SMALL(IF(('Daily Sale entry '!$Q$2:$Q$1501="Collection 收款")*('Daily Sale entry '!$R$2:$R$1501="Cheque 支票")*('Daily Sale entry '!$V$2:$V$1501=""),ROW('Daily Sale entry '!$Q$2:$Q$1501)),109),"")</f>
        <v/>
      </c>
    </row>
    <row r="116">
      <c r="A116">
        <f>IF(G116="","",110)</f>
        <v/>
      </c>
      <c r="B116" s="5">
        <f>IF(G116="","",INDEX('Daily Sale entry '!$O$1:$O$1501,G116))</f>
        <v/>
      </c>
      <c r="C116">
        <f>IF(G116="","",INDEX('Daily Sale entry '!$P$1:$P$1501,G116))</f>
        <v/>
      </c>
      <c r="D116" s="6">
        <f>IF(G116="","",INDEX('Daily Sale entry '!$S$1:$S$1501,G116))</f>
        <v/>
      </c>
      <c r="E116">
        <f>IF(G116="","",INDEX('Daily Sale entry '!$U$1:$U$1501,G116)&amp;"")</f>
        <v/>
      </c>
      <c r="G116" s="21">
        <f t="array" ref="G116">IFERROR(SMALL(IF(('Daily Sale entry '!$Q$2:$Q$1501="Collection 收款")*('Daily Sale entry '!$R$2:$R$1501="Cheque 支票")*('Daily Sale entry '!$V$2:$V$1501=""),ROW('Daily Sale entry '!$Q$2:$Q$1501)),110),"")</f>
        <v/>
      </c>
    </row>
    <row r="117">
      <c r="A117">
        <f>IF(G117="","",111)</f>
        <v/>
      </c>
      <c r="B117" s="5">
        <f>IF(G117="","",INDEX('Daily Sale entry '!$O$1:$O$1501,G117))</f>
        <v/>
      </c>
      <c r="C117">
        <f>IF(G117="","",INDEX('Daily Sale entry '!$P$1:$P$1501,G117))</f>
        <v/>
      </c>
      <c r="D117" s="6">
        <f>IF(G117="","",INDEX('Daily Sale entry '!$S$1:$S$1501,G117))</f>
        <v/>
      </c>
      <c r="E117">
        <f>IF(G117="","",INDEX('Daily Sale entry '!$U$1:$U$1501,G117)&amp;"")</f>
        <v/>
      </c>
      <c r="G117" s="21">
        <f t="array" ref="G117">IFERROR(SMALL(IF(('Daily Sale entry '!$Q$2:$Q$1501="Collection 收款")*('Daily Sale entry '!$R$2:$R$1501="Cheque 支票")*('Daily Sale entry '!$V$2:$V$1501=""),ROW('Daily Sale entry '!$Q$2:$Q$1501)),111),"")</f>
        <v/>
      </c>
    </row>
    <row r="118">
      <c r="A118">
        <f>IF(G118="","",112)</f>
        <v/>
      </c>
      <c r="B118" s="5">
        <f>IF(G118="","",INDEX('Daily Sale entry '!$O$1:$O$1501,G118))</f>
        <v/>
      </c>
      <c r="C118">
        <f>IF(G118="","",INDEX('Daily Sale entry '!$P$1:$P$1501,G118))</f>
        <v/>
      </c>
      <c r="D118" s="6">
        <f>IF(G118="","",INDEX('Daily Sale entry '!$S$1:$S$1501,G118))</f>
        <v/>
      </c>
      <c r="E118">
        <f>IF(G118="","",INDEX('Daily Sale entry '!$U$1:$U$1501,G118)&amp;"")</f>
        <v/>
      </c>
      <c r="G118" s="21">
        <f t="array" ref="G118">IFERROR(SMALL(IF(('Daily Sale entry '!$Q$2:$Q$1501="Collection 收款")*('Daily Sale entry '!$R$2:$R$1501="Cheque 支票")*('Daily Sale entry '!$V$2:$V$1501=""),ROW('Daily Sale entry '!$Q$2:$Q$1501)),112),"")</f>
        <v/>
      </c>
    </row>
    <row r="119">
      <c r="A119">
        <f>IF(G119="","",113)</f>
        <v/>
      </c>
      <c r="B119" s="5">
        <f>IF(G119="","",INDEX('Daily Sale entry '!$O$1:$O$1501,G119))</f>
        <v/>
      </c>
      <c r="C119">
        <f>IF(G119="","",INDEX('Daily Sale entry '!$P$1:$P$1501,G119))</f>
        <v/>
      </c>
      <c r="D119" s="6">
        <f>IF(G119="","",INDEX('Daily Sale entry '!$S$1:$S$1501,G119))</f>
        <v/>
      </c>
      <c r="E119">
        <f>IF(G119="","",INDEX('Daily Sale entry '!$U$1:$U$1501,G119)&amp;"")</f>
        <v/>
      </c>
      <c r="G119" s="21">
        <f t="array" ref="G119">IFERROR(SMALL(IF(('Daily Sale entry '!$Q$2:$Q$1501="Collection 收款")*('Daily Sale entry '!$R$2:$R$1501="Cheque 支票")*('Daily Sale entry '!$V$2:$V$1501=""),ROW('Daily Sale entry '!$Q$2:$Q$1501)),113),"")</f>
        <v/>
      </c>
    </row>
    <row r="120">
      <c r="A120">
        <f>IF(G120="","",114)</f>
        <v/>
      </c>
      <c r="B120" s="5">
        <f>IF(G120="","",INDEX('Daily Sale entry '!$O$1:$O$1501,G120))</f>
        <v/>
      </c>
      <c r="C120">
        <f>IF(G120="","",INDEX('Daily Sale entry '!$P$1:$P$1501,G120))</f>
        <v/>
      </c>
      <c r="D120" s="6">
        <f>IF(G120="","",INDEX('Daily Sale entry '!$S$1:$S$1501,G120))</f>
        <v/>
      </c>
      <c r="E120">
        <f>IF(G120="","",INDEX('Daily Sale entry '!$U$1:$U$1501,G120)&amp;"")</f>
        <v/>
      </c>
      <c r="G120" s="21">
        <f t="array" ref="G120">IFERROR(SMALL(IF(('Daily Sale entry '!$Q$2:$Q$1501="Collection 收款")*('Daily Sale entry '!$R$2:$R$1501="Cheque 支票")*('Daily Sale entry '!$V$2:$V$1501=""),ROW('Daily Sale entry '!$Q$2:$Q$1501)),114),"")</f>
        <v/>
      </c>
    </row>
    <row r="121">
      <c r="A121">
        <f>IF(G121="","",115)</f>
        <v/>
      </c>
      <c r="B121" s="5">
        <f>IF(G121="","",INDEX('Daily Sale entry '!$O$1:$O$1501,G121))</f>
        <v/>
      </c>
      <c r="C121">
        <f>IF(G121="","",INDEX('Daily Sale entry '!$P$1:$P$1501,G121))</f>
        <v/>
      </c>
      <c r="D121" s="6">
        <f>IF(G121="","",INDEX('Daily Sale entry '!$S$1:$S$1501,G121))</f>
        <v/>
      </c>
      <c r="E121">
        <f>IF(G121="","",INDEX('Daily Sale entry '!$U$1:$U$1501,G121)&amp;"")</f>
        <v/>
      </c>
      <c r="G121" s="21">
        <f t="array" ref="G121">IFERROR(SMALL(IF(('Daily Sale entry '!$Q$2:$Q$1501="Collection 收款")*('Daily Sale entry '!$R$2:$R$1501="Cheque 支票")*('Daily Sale entry '!$V$2:$V$1501=""),ROW('Daily Sale entry '!$Q$2:$Q$1501)),115),"")</f>
        <v/>
      </c>
    </row>
    <row r="122">
      <c r="A122">
        <f>IF(G122="","",116)</f>
        <v/>
      </c>
      <c r="B122" s="5">
        <f>IF(G122="","",INDEX('Daily Sale entry '!$O$1:$O$1501,G122))</f>
        <v/>
      </c>
      <c r="C122">
        <f>IF(G122="","",INDEX('Daily Sale entry '!$P$1:$P$1501,G122))</f>
        <v/>
      </c>
      <c r="D122" s="6">
        <f>IF(G122="","",INDEX('Daily Sale entry '!$S$1:$S$1501,G122))</f>
        <v/>
      </c>
      <c r="E122">
        <f>IF(G122="","",INDEX('Daily Sale entry '!$U$1:$U$1501,G122)&amp;"")</f>
        <v/>
      </c>
      <c r="G122" s="21">
        <f t="array" ref="G122">IFERROR(SMALL(IF(('Daily Sale entry '!$Q$2:$Q$1501="Collection 收款")*('Daily Sale entry '!$R$2:$R$1501="Cheque 支票")*('Daily Sale entry '!$V$2:$V$1501=""),ROW('Daily Sale entry '!$Q$2:$Q$1501)),116),"")</f>
        <v/>
      </c>
    </row>
    <row r="123">
      <c r="A123">
        <f>IF(G123="","",117)</f>
        <v/>
      </c>
      <c r="B123" s="5">
        <f>IF(G123="","",INDEX('Daily Sale entry '!$O$1:$O$1501,G123))</f>
        <v/>
      </c>
      <c r="C123">
        <f>IF(G123="","",INDEX('Daily Sale entry '!$P$1:$P$1501,G123))</f>
        <v/>
      </c>
      <c r="D123" s="6">
        <f>IF(G123="","",INDEX('Daily Sale entry '!$S$1:$S$1501,G123))</f>
        <v/>
      </c>
      <c r="E123">
        <f>IF(G123="","",INDEX('Daily Sale entry '!$U$1:$U$1501,G123)&amp;"")</f>
        <v/>
      </c>
      <c r="G123" s="21">
        <f t="array" ref="G123">IFERROR(SMALL(IF(('Daily Sale entry '!$Q$2:$Q$1501="Collection 收款")*('Daily Sale entry '!$R$2:$R$1501="Cheque 支票")*('Daily Sale entry '!$V$2:$V$1501=""),ROW('Daily Sale entry '!$Q$2:$Q$1501)),117),"")</f>
        <v/>
      </c>
    </row>
    <row r="124">
      <c r="A124">
        <f>IF(G124="","",118)</f>
        <v/>
      </c>
      <c r="B124" s="5">
        <f>IF(G124="","",INDEX('Daily Sale entry '!$O$1:$O$1501,G124))</f>
        <v/>
      </c>
      <c r="C124">
        <f>IF(G124="","",INDEX('Daily Sale entry '!$P$1:$P$1501,G124))</f>
        <v/>
      </c>
      <c r="D124" s="6">
        <f>IF(G124="","",INDEX('Daily Sale entry '!$S$1:$S$1501,G124))</f>
        <v/>
      </c>
      <c r="E124">
        <f>IF(G124="","",INDEX('Daily Sale entry '!$U$1:$U$1501,G124)&amp;"")</f>
        <v/>
      </c>
      <c r="G124" s="21">
        <f t="array" ref="G124">IFERROR(SMALL(IF(('Daily Sale entry '!$Q$2:$Q$1501="Collection 收款")*('Daily Sale entry '!$R$2:$R$1501="Cheque 支票")*('Daily Sale entry '!$V$2:$V$1501=""),ROW('Daily Sale entry '!$Q$2:$Q$1501)),118),"")</f>
        <v/>
      </c>
    </row>
    <row r="125">
      <c r="A125">
        <f>IF(G125="","",119)</f>
        <v/>
      </c>
      <c r="B125" s="5">
        <f>IF(G125="","",INDEX('Daily Sale entry '!$O$1:$O$1501,G125))</f>
        <v/>
      </c>
      <c r="C125">
        <f>IF(G125="","",INDEX('Daily Sale entry '!$P$1:$P$1501,G125))</f>
        <v/>
      </c>
      <c r="D125" s="6">
        <f>IF(G125="","",INDEX('Daily Sale entry '!$S$1:$S$1501,G125))</f>
        <v/>
      </c>
      <c r="E125">
        <f>IF(G125="","",INDEX('Daily Sale entry '!$U$1:$U$1501,G125)&amp;"")</f>
        <v/>
      </c>
      <c r="G125" s="21">
        <f t="array" ref="G125">IFERROR(SMALL(IF(('Daily Sale entry '!$Q$2:$Q$1501="Collection 收款")*('Daily Sale entry '!$R$2:$R$1501="Cheque 支票")*('Daily Sale entry '!$V$2:$V$1501=""),ROW('Daily Sale entry '!$Q$2:$Q$1501)),119),"")</f>
        <v/>
      </c>
    </row>
    <row r="126">
      <c r="A126">
        <f>IF(G126="","",120)</f>
        <v/>
      </c>
      <c r="B126" s="5">
        <f>IF(G126="","",INDEX('Daily Sale entry '!$O$1:$O$1501,G126))</f>
        <v/>
      </c>
      <c r="C126">
        <f>IF(G126="","",INDEX('Daily Sale entry '!$P$1:$P$1501,G126))</f>
        <v/>
      </c>
      <c r="D126" s="6">
        <f>IF(G126="","",INDEX('Daily Sale entry '!$S$1:$S$1501,G126))</f>
        <v/>
      </c>
      <c r="E126">
        <f>IF(G126="","",INDEX('Daily Sale entry '!$U$1:$U$1501,G126)&amp;"")</f>
        <v/>
      </c>
      <c r="G126" s="21">
        <f t="array" ref="G126">IFERROR(SMALL(IF(('Daily Sale entry '!$Q$2:$Q$1501="Collection 收款")*('Daily Sale entry '!$R$2:$R$1501="Cheque 支票")*('Daily Sale entry '!$V$2:$V$1501=""),ROW('Daily Sale entry '!$Q$2:$Q$1501)),120),"")</f>
        <v/>
      </c>
    </row>
    <row r="127">
      <c r="A127">
        <f>IF(G127="","",121)</f>
        <v/>
      </c>
      <c r="B127" s="5">
        <f>IF(G127="","",INDEX('Daily Sale entry '!$O$1:$O$1501,G127))</f>
        <v/>
      </c>
      <c r="C127">
        <f>IF(G127="","",INDEX('Daily Sale entry '!$P$1:$P$1501,G127))</f>
        <v/>
      </c>
      <c r="D127" s="6">
        <f>IF(G127="","",INDEX('Daily Sale entry '!$S$1:$S$1501,G127))</f>
        <v/>
      </c>
      <c r="E127">
        <f>IF(G127="","",INDEX('Daily Sale entry '!$U$1:$U$1501,G127)&amp;"")</f>
        <v/>
      </c>
      <c r="G127" s="21">
        <f t="array" ref="G127">IFERROR(SMALL(IF(('Daily Sale entry '!$Q$2:$Q$1501="Collection 收款")*('Daily Sale entry '!$R$2:$R$1501="Cheque 支票")*('Daily Sale entry '!$V$2:$V$1501=""),ROW('Daily Sale entry '!$Q$2:$Q$1501)),121),"")</f>
        <v/>
      </c>
    </row>
    <row r="128">
      <c r="A128">
        <f>IF(G128="","",122)</f>
        <v/>
      </c>
      <c r="B128" s="5">
        <f>IF(G128="","",INDEX('Daily Sale entry '!$O$1:$O$1501,G128))</f>
        <v/>
      </c>
      <c r="C128">
        <f>IF(G128="","",INDEX('Daily Sale entry '!$P$1:$P$1501,G128))</f>
        <v/>
      </c>
      <c r="D128" s="6">
        <f>IF(G128="","",INDEX('Daily Sale entry '!$S$1:$S$1501,G128))</f>
        <v/>
      </c>
      <c r="E128">
        <f>IF(G128="","",INDEX('Daily Sale entry '!$U$1:$U$1501,G128)&amp;"")</f>
        <v/>
      </c>
      <c r="G128" s="21">
        <f t="array" ref="G128">IFERROR(SMALL(IF(('Daily Sale entry '!$Q$2:$Q$1501="Collection 收款")*('Daily Sale entry '!$R$2:$R$1501="Cheque 支票")*('Daily Sale entry '!$V$2:$V$1501=""),ROW('Daily Sale entry '!$Q$2:$Q$1501)),122),"")</f>
        <v/>
      </c>
    </row>
    <row r="129">
      <c r="A129">
        <f>IF(G129="","",123)</f>
        <v/>
      </c>
      <c r="B129" s="5">
        <f>IF(G129="","",INDEX('Daily Sale entry '!$O$1:$O$1501,G129))</f>
        <v/>
      </c>
      <c r="C129">
        <f>IF(G129="","",INDEX('Daily Sale entry '!$P$1:$P$1501,G129))</f>
        <v/>
      </c>
      <c r="D129" s="6">
        <f>IF(G129="","",INDEX('Daily Sale entry '!$S$1:$S$1501,G129))</f>
        <v/>
      </c>
      <c r="E129">
        <f>IF(G129="","",INDEX('Daily Sale entry '!$U$1:$U$1501,G129)&amp;"")</f>
        <v/>
      </c>
      <c r="G129" s="21">
        <f t="array" ref="G129">IFERROR(SMALL(IF(('Daily Sale entry '!$Q$2:$Q$1501="Collection 收款")*('Daily Sale entry '!$R$2:$R$1501="Cheque 支票")*('Daily Sale entry '!$V$2:$V$1501=""),ROW('Daily Sale entry '!$Q$2:$Q$1501)),123),"")</f>
        <v/>
      </c>
    </row>
    <row r="130">
      <c r="A130">
        <f>IF(G130="","",124)</f>
        <v/>
      </c>
      <c r="B130" s="5">
        <f>IF(G130="","",INDEX('Daily Sale entry '!$O$1:$O$1501,G130))</f>
        <v/>
      </c>
      <c r="C130">
        <f>IF(G130="","",INDEX('Daily Sale entry '!$P$1:$P$1501,G130))</f>
        <v/>
      </c>
      <c r="D130" s="6">
        <f>IF(G130="","",INDEX('Daily Sale entry '!$S$1:$S$1501,G130))</f>
        <v/>
      </c>
      <c r="E130">
        <f>IF(G130="","",INDEX('Daily Sale entry '!$U$1:$U$1501,G130)&amp;"")</f>
        <v/>
      </c>
      <c r="G130" s="21">
        <f t="array" ref="G130">IFERROR(SMALL(IF(('Daily Sale entry '!$Q$2:$Q$1501="Collection 收款")*('Daily Sale entry '!$R$2:$R$1501="Cheque 支票")*('Daily Sale entry '!$V$2:$V$1501=""),ROW('Daily Sale entry '!$Q$2:$Q$1501)),124),"")</f>
        <v/>
      </c>
    </row>
    <row r="131">
      <c r="A131">
        <f>IF(G131="","",125)</f>
        <v/>
      </c>
      <c r="B131" s="5">
        <f>IF(G131="","",INDEX('Daily Sale entry '!$O$1:$O$1501,G131))</f>
        <v/>
      </c>
      <c r="C131">
        <f>IF(G131="","",INDEX('Daily Sale entry '!$P$1:$P$1501,G131))</f>
        <v/>
      </c>
      <c r="D131" s="6">
        <f>IF(G131="","",INDEX('Daily Sale entry '!$S$1:$S$1501,G131))</f>
        <v/>
      </c>
      <c r="E131">
        <f>IF(G131="","",INDEX('Daily Sale entry '!$U$1:$U$1501,G131)&amp;"")</f>
        <v/>
      </c>
      <c r="G131" s="21">
        <f t="array" ref="G131">IFERROR(SMALL(IF(('Daily Sale entry '!$Q$2:$Q$1501="Collection 收款")*('Daily Sale entry '!$R$2:$R$1501="Cheque 支票")*('Daily Sale entry '!$V$2:$V$1501=""),ROW('Daily Sale entry '!$Q$2:$Q$1501)),125),"")</f>
        <v/>
      </c>
    </row>
    <row r="132">
      <c r="A132">
        <f>IF(G132="","",126)</f>
        <v/>
      </c>
      <c r="B132" s="5">
        <f>IF(G132="","",INDEX('Daily Sale entry '!$O$1:$O$1501,G132))</f>
        <v/>
      </c>
      <c r="C132">
        <f>IF(G132="","",INDEX('Daily Sale entry '!$P$1:$P$1501,G132))</f>
        <v/>
      </c>
      <c r="D132" s="6">
        <f>IF(G132="","",INDEX('Daily Sale entry '!$S$1:$S$1501,G132))</f>
        <v/>
      </c>
      <c r="E132">
        <f>IF(G132="","",INDEX('Daily Sale entry '!$U$1:$U$1501,G132)&amp;"")</f>
        <v/>
      </c>
      <c r="G132" s="21">
        <f t="array" ref="G132">IFERROR(SMALL(IF(('Daily Sale entry '!$Q$2:$Q$1501="Collection 收款")*('Daily Sale entry '!$R$2:$R$1501="Cheque 支票")*('Daily Sale entry '!$V$2:$V$1501=""),ROW('Daily Sale entry '!$Q$2:$Q$1501)),126),"")</f>
        <v/>
      </c>
    </row>
    <row r="133">
      <c r="A133">
        <f>IF(G133="","",127)</f>
        <v/>
      </c>
      <c r="B133" s="5">
        <f>IF(G133="","",INDEX('Daily Sale entry '!$O$1:$O$1501,G133))</f>
        <v/>
      </c>
      <c r="C133">
        <f>IF(G133="","",INDEX('Daily Sale entry '!$P$1:$P$1501,G133))</f>
        <v/>
      </c>
      <c r="D133" s="6">
        <f>IF(G133="","",INDEX('Daily Sale entry '!$S$1:$S$1501,G133))</f>
        <v/>
      </c>
      <c r="E133">
        <f>IF(G133="","",INDEX('Daily Sale entry '!$U$1:$U$1501,G133)&amp;"")</f>
        <v/>
      </c>
      <c r="G133" s="21">
        <f t="array" ref="G133">IFERROR(SMALL(IF(('Daily Sale entry '!$Q$2:$Q$1501="Collection 收款")*('Daily Sale entry '!$R$2:$R$1501="Cheque 支票")*('Daily Sale entry '!$V$2:$V$1501=""),ROW('Daily Sale entry '!$Q$2:$Q$1501)),127),"")</f>
        <v/>
      </c>
    </row>
    <row r="134">
      <c r="A134">
        <f>IF(G134="","",128)</f>
        <v/>
      </c>
      <c r="B134" s="5">
        <f>IF(G134="","",INDEX('Daily Sale entry '!$O$1:$O$1501,G134))</f>
        <v/>
      </c>
      <c r="C134">
        <f>IF(G134="","",INDEX('Daily Sale entry '!$P$1:$P$1501,G134))</f>
        <v/>
      </c>
      <c r="D134" s="6">
        <f>IF(G134="","",INDEX('Daily Sale entry '!$S$1:$S$1501,G134))</f>
        <v/>
      </c>
      <c r="E134">
        <f>IF(G134="","",INDEX('Daily Sale entry '!$U$1:$U$1501,G134)&amp;"")</f>
        <v/>
      </c>
      <c r="G134" s="21">
        <f t="array" ref="G134">IFERROR(SMALL(IF(('Daily Sale entry '!$Q$2:$Q$1501="Collection 收款")*('Daily Sale entry '!$R$2:$R$1501="Cheque 支票")*('Daily Sale entry '!$V$2:$V$1501=""),ROW('Daily Sale entry '!$Q$2:$Q$1501)),128),"")</f>
        <v/>
      </c>
    </row>
    <row r="135">
      <c r="A135">
        <f>IF(G135="","",129)</f>
        <v/>
      </c>
      <c r="B135" s="5">
        <f>IF(G135="","",INDEX('Daily Sale entry '!$O$1:$O$1501,G135))</f>
        <v/>
      </c>
      <c r="C135">
        <f>IF(G135="","",INDEX('Daily Sale entry '!$P$1:$P$1501,G135))</f>
        <v/>
      </c>
      <c r="D135" s="6">
        <f>IF(G135="","",INDEX('Daily Sale entry '!$S$1:$S$1501,G135))</f>
        <v/>
      </c>
      <c r="E135">
        <f>IF(G135="","",INDEX('Daily Sale entry '!$U$1:$U$1501,G135)&amp;"")</f>
        <v/>
      </c>
      <c r="G135" s="21">
        <f t="array" ref="G135">IFERROR(SMALL(IF(('Daily Sale entry '!$Q$2:$Q$1501="Collection 收款")*('Daily Sale entry '!$R$2:$R$1501="Cheque 支票")*('Daily Sale entry '!$V$2:$V$1501=""),ROW('Daily Sale entry '!$Q$2:$Q$1501)),129),"")</f>
        <v/>
      </c>
    </row>
    <row r="136">
      <c r="A136">
        <f>IF(G136="","",130)</f>
        <v/>
      </c>
      <c r="B136" s="5">
        <f>IF(G136="","",INDEX('Daily Sale entry '!$O$1:$O$1501,G136))</f>
        <v/>
      </c>
      <c r="C136">
        <f>IF(G136="","",INDEX('Daily Sale entry '!$P$1:$P$1501,G136))</f>
        <v/>
      </c>
      <c r="D136" s="6">
        <f>IF(G136="","",INDEX('Daily Sale entry '!$S$1:$S$1501,G136))</f>
        <v/>
      </c>
      <c r="E136">
        <f>IF(G136="","",INDEX('Daily Sale entry '!$U$1:$U$1501,G136)&amp;"")</f>
        <v/>
      </c>
      <c r="G136" s="21">
        <f t="array" ref="G136">IFERROR(SMALL(IF(('Daily Sale entry '!$Q$2:$Q$1501="Collection 收款")*('Daily Sale entry '!$R$2:$R$1501="Cheque 支票")*('Daily Sale entry '!$V$2:$V$1501=""),ROW('Daily Sale entry '!$Q$2:$Q$1501)),130),"")</f>
        <v/>
      </c>
    </row>
    <row r="137">
      <c r="A137">
        <f>IF(G137="","",131)</f>
        <v/>
      </c>
      <c r="B137" s="5">
        <f>IF(G137="","",INDEX('Daily Sale entry '!$O$1:$O$1501,G137))</f>
        <v/>
      </c>
      <c r="C137">
        <f>IF(G137="","",INDEX('Daily Sale entry '!$P$1:$P$1501,G137))</f>
        <v/>
      </c>
      <c r="D137" s="6">
        <f>IF(G137="","",INDEX('Daily Sale entry '!$S$1:$S$1501,G137))</f>
        <v/>
      </c>
      <c r="E137">
        <f>IF(G137="","",INDEX('Daily Sale entry '!$U$1:$U$1501,G137)&amp;"")</f>
        <v/>
      </c>
      <c r="G137" s="21">
        <f t="array" ref="G137">IFERROR(SMALL(IF(('Daily Sale entry '!$Q$2:$Q$1501="Collection 收款")*('Daily Sale entry '!$R$2:$R$1501="Cheque 支票")*('Daily Sale entry '!$V$2:$V$1501=""),ROW('Daily Sale entry '!$Q$2:$Q$1501)),131),"")</f>
        <v/>
      </c>
    </row>
    <row r="138">
      <c r="A138">
        <f>IF(G138="","",132)</f>
        <v/>
      </c>
      <c r="B138" s="5">
        <f>IF(G138="","",INDEX('Daily Sale entry '!$O$1:$O$1501,G138))</f>
        <v/>
      </c>
      <c r="C138">
        <f>IF(G138="","",INDEX('Daily Sale entry '!$P$1:$P$1501,G138))</f>
        <v/>
      </c>
      <c r="D138" s="6">
        <f>IF(G138="","",INDEX('Daily Sale entry '!$S$1:$S$1501,G138))</f>
        <v/>
      </c>
      <c r="E138">
        <f>IF(G138="","",INDEX('Daily Sale entry '!$U$1:$U$1501,G138)&amp;"")</f>
        <v/>
      </c>
      <c r="G138" s="21">
        <f t="array" ref="G138">IFERROR(SMALL(IF(('Daily Sale entry '!$Q$2:$Q$1501="Collection 收款")*('Daily Sale entry '!$R$2:$R$1501="Cheque 支票")*('Daily Sale entry '!$V$2:$V$1501=""),ROW('Daily Sale entry '!$Q$2:$Q$1501)),132),"")</f>
        <v/>
      </c>
    </row>
    <row r="139">
      <c r="A139">
        <f>IF(G139="","",133)</f>
        <v/>
      </c>
      <c r="B139" s="5">
        <f>IF(G139="","",INDEX('Daily Sale entry '!$O$1:$O$1501,G139))</f>
        <v/>
      </c>
      <c r="C139">
        <f>IF(G139="","",INDEX('Daily Sale entry '!$P$1:$P$1501,G139))</f>
        <v/>
      </c>
      <c r="D139" s="6">
        <f>IF(G139="","",INDEX('Daily Sale entry '!$S$1:$S$1501,G139))</f>
        <v/>
      </c>
      <c r="E139">
        <f>IF(G139="","",INDEX('Daily Sale entry '!$U$1:$U$1501,G139)&amp;"")</f>
        <v/>
      </c>
      <c r="G139" s="21">
        <f t="array" ref="G139">IFERROR(SMALL(IF(('Daily Sale entry '!$Q$2:$Q$1501="Collection 收款")*('Daily Sale entry '!$R$2:$R$1501="Cheque 支票")*('Daily Sale entry '!$V$2:$V$1501=""),ROW('Daily Sale entry '!$Q$2:$Q$1501)),133),"")</f>
        <v/>
      </c>
    </row>
    <row r="140">
      <c r="A140">
        <f>IF(G140="","",134)</f>
        <v/>
      </c>
      <c r="B140" s="5">
        <f>IF(G140="","",INDEX('Daily Sale entry '!$O$1:$O$1501,G140))</f>
        <v/>
      </c>
      <c r="C140">
        <f>IF(G140="","",INDEX('Daily Sale entry '!$P$1:$P$1501,G140))</f>
        <v/>
      </c>
      <c r="D140" s="6">
        <f>IF(G140="","",INDEX('Daily Sale entry '!$S$1:$S$1501,G140))</f>
        <v/>
      </c>
      <c r="E140">
        <f>IF(G140="","",INDEX('Daily Sale entry '!$U$1:$U$1501,G140)&amp;"")</f>
        <v/>
      </c>
      <c r="G140" s="21">
        <f t="array" ref="G140">IFERROR(SMALL(IF(('Daily Sale entry '!$Q$2:$Q$1501="Collection 收款")*('Daily Sale entry '!$R$2:$R$1501="Cheque 支票")*('Daily Sale entry '!$V$2:$V$1501=""),ROW('Daily Sale entry '!$Q$2:$Q$1501)),134),"")</f>
        <v/>
      </c>
    </row>
    <row r="141">
      <c r="A141">
        <f>IF(G141="","",135)</f>
        <v/>
      </c>
      <c r="B141" s="5">
        <f>IF(G141="","",INDEX('Daily Sale entry '!$O$1:$O$1501,G141))</f>
        <v/>
      </c>
      <c r="C141">
        <f>IF(G141="","",INDEX('Daily Sale entry '!$P$1:$P$1501,G141))</f>
        <v/>
      </c>
      <c r="D141" s="6">
        <f>IF(G141="","",INDEX('Daily Sale entry '!$S$1:$S$1501,G141))</f>
        <v/>
      </c>
      <c r="E141">
        <f>IF(G141="","",INDEX('Daily Sale entry '!$U$1:$U$1501,G141)&amp;"")</f>
        <v/>
      </c>
      <c r="G141" s="21">
        <f t="array" ref="G141">IFERROR(SMALL(IF(('Daily Sale entry '!$Q$2:$Q$1501="Collection 收款")*('Daily Sale entry '!$R$2:$R$1501="Cheque 支票")*('Daily Sale entry '!$V$2:$V$1501=""),ROW('Daily Sale entry '!$Q$2:$Q$1501)),135),"")</f>
        <v/>
      </c>
    </row>
    <row r="142">
      <c r="A142">
        <f>IF(G142="","",136)</f>
        <v/>
      </c>
      <c r="B142" s="5">
        <f>IF(G142="","",INDEX('Daily Sale entry '!$O$1:$O$1501,G142))</f>
        <v/>
      </c>
      <c r="C142">
        <f>IF(G142="","",INDEX('Daily Sale entry '!$P$1:$P$1501,G142))</f>
        <v/>
      </c>
      <c r="D142" s="6">
        <f>IF(G142="","",INDEX('Daily Sale entry '!$S$1:$S$1501,G142))</f>
        <v/>
      </c>
      <c r="E142">
        <f>IF(G142="","",INDEX('Daily Sale entry '!$U$1:$U$1501,G142)&amp;"")</f>
        <v/>
      </c>
      <c r="G142" s="21">
        <f t="array" ref="G142">IFERROR(SMALL(IF(('Daily Sale entry '!$Q$2:$Q$1501="Collection 收款")*('Daily Sale entry '!$R$2:$R$1501="Cheque 支票")*('Daily Sale entry '!$V$2:$V$1501=""),ROW('Daily Sale entry '!$Q$2:$Q$1501)),136),"")</f>
        <v/>
      </c>
    </row>
    <row r="143">
      <c r="A143">
        <f>IF(G143="","",137)</f>
        <v/>
      </c>
      <c r="B143" s="5">
        <f>IF(G143="","",INDEX('Daily Sale entry '!$O$1:$O$1501,G143))</f>
        <v/>
      </c>
      <c r="C143">
        <f>IF(G143="","",INDEX('Daily Sale entry '!$P$1:$P$1501,G143))</f>
        <v/>
      </c>
      <c r="D143" s="6">
        <f>IF(G143="","",INDEX('Daily Sale entry '!$S$1:$S$1501,G143))</f>
        <v/>
      </c>
      <c r="E143">
        <f>IF(G143="","",INDEX('Daily Sale entry '!$U$1:$U$1501,G143)&amp;"")</f>
        <v/>
      </c>
      <c r="G143" s="21">
        <f t="array" ref="G143">IFERROR(SMALL(IF(('Daily Sale entry '!$Q$2:$Q$1501="Collection 收款")*('Daily Sale entry '!$R$2:$R$1501="Cheque 支票")*('Daily Sale entry '!$V$2:$V$1501=""),ROW('Daily Sale entry '!$Q$2:$Q$1501)),137),"")</f>
        <v/>
      </c>
    </row>
    <row r="144">
      <c r="A144">
        <f>IF(G144="","",138)</f>
        <v/>
      </c>
      <c r="B144" s="5">
        <f>IF(G144="","",INDEX('Daily Sale entry '!$O$1:$O$1501,G144))</f>
        <v/>
      </c>
      <c r="C144">
        <f>IF(G144="","",INDEX('Daily Sale entry '!$P$1:$P$1501,G144))</f>
        <v/>
      </c>
      <c r="D144" s="6">
        <f>IF(G144="","",INDEX('Daily Sale entry '!$S$1:$S$1501,G144))</f>
        <v/>
      </c>
      <c r="E144">
        <f>IF(G144="","",INDEX('Daily Sale entry '!$U$1:$U$1501,G144)&amp;"")</f>
        <v/>
      </c>
      <c r="G144" s="21">
        <f t="array" ref="G144">IFERROR(SMALL(IF(('Daily Sale entry '!$Q$2:$Q$1501="Collection 收款")*('Daily Sale entry '!$R$2:$R$1501="Cheque 支票")*('Daily Sale entry '!$V$2:$V$1501=""),ROW('Daily Sale entry '!$Q$2:$Q$1501)),138),"")</f>
        <v/>
      </c>
    </row>
    <row r="145">
      <c r="A145">
        <f>IF(G145="","",139)</f>
        <v/>
      </c>
      <c r="B145" s="5">
        <f>IF(G145="","",INDEX('Daily Sale entry '!$O$1:$O$1501,G145))</f>
        <v/>
      </c>
      <c r="C145">
        <f>IF(G145="","",INDEX('Daily Sale entry '!$P$1:$P$1501,G145))</f>
        <v/>
      </c>
      <c r="D145" s="6">
        <f>IF(G145="","",INDEX('Daily Sale entry '!$S$1:$S$1501,G145))</f>
        <v/>
      </c>
      <c r="E145">
        <f>IF(G145="","",INDEX('Daily Sale entry '!$U$1:$U$1501,G145)&amp;"")</f>
        <v/>
      </c>
      <c r="G145" s="21">
        <f t="array" ref="G145">IFERROR(SMALL(IF(('Daily Sale entry '!$Q$2:$Q$1501="Collection 收款")*('Daily Sale entry '!$R$2:$R$1501="Cheque 支票")*('Daily Sale entry '!$V$2:$V$1501=""),ROW('Daily Sale entry '!$Q$2:$Q$1501)),139),"")</f>
        <v/>
      </c>
    </row>
    <row r="146">
      <c r="A146">
        <f>IF(G146="","",140)</f>
        <v/>
      </c>
      <c r="B146" s="5">
        <f>IF(G146="","",INDEX('Daily Sale entry '!$O$1:$O$1501,G146))</f>
        <v/>
      </c>
      <c r="C146">
        <f>IF(G146="","",INDEX('Daily Sale entry '!$P$1:$P$1501,G146))</f>
        <v/>
      </c>
      <c r="D146" s="6">
        <f>IF(G146="","",INDEX('Daily Sale entry '!$S$1:$S$1501,G146))</f>
        <v/>
      </c>
      <c r="E146">
        <f>IF(G146="","",INDEX('Daily Sale entry '!$U$1:$U$1501,G146)&amp;"")</f>
        <v/>
      </c>
      <c r="G146" s="21">
        <f t="array" ref="G146">IFERROR(SMALL(IF(('Daily Sale entry '!$Q$2:$Q$1501="Collection 收款")*('Daily Sale entry '!$R$2:$R$1501="Cheque 支票")*('Daily Sale entry '!$V$2:$V$1501=""),ROW('Daily Sale entry '!$Q$2:$Q$1501)),140),"")</f>
        <v/>
      </c>
    </row>
    <row r="147">
      <c r="A147">
        <f>IF(G147="","",141)</f>
        <v/>
      </c>
      <c r="B147" s="5">
        <f>IF(G147="","",INDEX('Daily Sale entry '!$O$1:$O$1501,G147))</f>
        <v/>
      </c>
      <c r="C147">
        <f>IF(G147="","",INDEX('Daily Sale entry '!$P$1:$P$1501,G147))</f>
        <v/>
      </c>
      <c r="D147" s="6">
        <f>IF(G147="","",INDEX('Daily Sale entry '!$S$1:$S$1501,G147))</f>
        <v/>
      </c>
      <c r="E147">
        <f>IF(G147="","",INDEX('Daily Sale entry '!$U$1:$U$1501,G147)&amp;"")</f>
        <v/>
      </c>
      <c r="G147" s="21">
        <f t="array" ref="G147">IFERROR(SMALL(IF(('Daily Sale entry '!$Q$2:$Q$1501="Collection 收款")*('Daily Sale entry '!$R$2:$R$1501="Cheque 支票")*('Daily Sale entry '!$V$2:$V$1501=""),ROW('Daily Sale entry '!$Q$2:$Q$1501)),141),"")</f>
        <v/>
      </c>
    </row>
    <row r="148">
      <c r="A148">
        <f>IF(G148="","",142)</f>
        <v/>
      </c>
      <c r="B148" s="5">
        <f>IF(G148="","",INDEX('Daily Sale entry '!$O$1:$O$1501,G148))</f>
        <v/>
      </c>
      <c r="C148">
        <f>IF(G148="","",INDEX('Daily Sale entry '!$P$1:$P$1501,G148))</f>
        <v/>
      </c>
      <c r="D148" s="6">
        <f>IF(G148="","",INDEX('Daily Sale entry '!$S$1:$S$1501,G148))</f>
        <v/>
      </c>
      <c r="E148">
        <f>IF(G148="","",INDEX('Daily Sale entry '!$U$1:$U$1501,G148)&amp;"")</f>
        <v/>
      </c>
      <c r="G148" s="21">
        <f t="array" ref="G148">IFERROR(SMALL(IF(('Daily Sale entry '!$Q$2:$Q$1501="Collection 收款")*('Daily Sale entry '!$R$2:$R$1501="Cheque 支票")*('Daily Sale entry '!$V$2:$V$1501=""),ROW('Daily Sale entry '!$Q$2:$Q$1501)),142),"")</f>
        <v/>
      </c>
    </row>
    <row r="149">
      <c r="A149">
        <f>IF(G149="","",143)</f>
        <v/>
      </c>
      <c r="B149" s="5">
        <f>IF(G149="","",INDEX('Daily Sale entry '!$O$1:$O$1501,G149))</f>
        <v/>
      </c>
      <c r="C149">
        <f>IF(G149="","",INDEX('Daily Sale entry '!$P$1:$P$1501,G149))</f>
        <v/>
      </c>
      <c r="D149" s="6">
        <f>IF(G149="","",INDEX('Daily Sale entry '!$S$1:$S$1501,G149))</f>
        <v/>
      </c>
      <c r="E149">
        <f>IF(G149="","",INDEX('Daily Sale entry '!$U$1:$U$1501,G149)&amp;"")</f>
        <v/>
      </c>
      <c r="G149" s="21">
        <f t="array" ref="G149">IFERROR(SMALL(IF(('Daily Sale entry '!$Q$2:$Q$1501="Collection 收款")*('Daily Sale entry '!$R$2:$R$1501="Cheque 支票")*('Daily Sale entry '!$V$2:$V$1501=""),ROW('Daily Sale entry '!$Q$2:$Q$1501)),143),"")</f>
        <v/>
      </c>
    </row>
    <row r="150">
      <c r="A150">
        <f>IF(G150="","",144)</f>
        <v/>
      </c>
      <c r="B150" s="5">
        <f>IF(G150="","",INDEX('Daily Sale entry '!$O$1:$O$1501,G150))</f>
        <v/>
      </c>
      <c r="C150">
        <f>IF(G150="","",INDEX('Daily Sale entry '!$P$1:$P$1501,G150))</f>
        <v/>
      </c>
      <c r="D150" s="6">
        <f>IF(G150="","",INDEX('Daily Sale entry '!$S$1:$S$1501,G150))</f>
        <v/>
      </c>
      <c r="E150">
        <f>IF(G150="","",INDEX('Daily Sale entry '!$U$1:$U$1501,G150)&amp;"")</f>
        <v/>
      </c>
      <c r="G150" s="21">
        <f t="array" ref="G150">IFERROR(SMALL(IF(('Daily Sale entry '!$Q$2:$Q$1501="Collection 收款")*('Daily Sale entry '!$R$2:$R$1501="Cheque 支票")*('Daily Sale entry '!$V$2:$V$1501=""),ROW('Daily Sale entry '!$Q$2:$Q$1501)),144),"")</f>
        <v/>
      </c>
    </row>
    <row r="151">
      <c r="A151">
        <f>IF(G151="","",145)</f>
        <v/>
      </c>
      <c r="B151" s="5">
        <f>IF(G151="","",INDEX('Daily Sale entry '!$O$1:$O$1501,G151))</f>
        <v/>
      </c>
      <c r="C151">
        <f>IF(G151="","",INDEX('Daily Sale entry '!$P$1:$P$1501,G151))</f>
        <v/>
      </c>
      <c r="D151" s="6">
        <f>IF(G151="","",INDEX('Daily Sale entry '!$S$1:$S$1501,G151))</f>
        <v/>
      </c>
      <c r="E151">
        <f>IF(G151="","",INDEX('Daily Sale entry '!$U$1:$U$1501,G151)&amp;"")</f>
        <v/>
      </c>
      <c r="G151" s="21">
        <f t="array" ref="G151">IFERROR(SMALL(IF(('Daily Sale entry '!$Q$2:$Q$1501="Collection 收款")*('Daily Sale entry '!$R$2:$R$1501="Cheque 支票")*('Daily Sale entry '!$V$2:$V$1501=""),ROW('Daily Sale entry '!$Q$2:$Q$1501)),145),"")</f>
        <v/>
      </c>
    </row>
    <row r="152">
      <c r="A152">
        <f>IF(G152="","",146)</f>
        <v/>
      </c>
      <c r="B152" s="5">
        <f>IF(G152="","",INDEX('Daily Sale entry '!$O$1:$O$1501,G152))</f>
        <v/>
      </c>
      <c r="C152">
        <f>IF(G152="","",INDEX('Daily Sale entry '!$P$1:$P$1501,G152))</f>
        <v/>
      </c>
      <c r="D152" s="6">
        <f>IF(G152="","",INDEX('Daily Sale entry '!$S$1:$S$1501,G152))</f>
        <v/>
      </c>
      <c r="E152">
        <f>IF(G152="","",INDEX('Daily Sale entry '!$U$1:$U$1501,G152)&amp;"")</f>
        <v/>
      </c>
      <c r="G152" s="21">
        <f t="array" ref="G152">IFERROR(SMALL(IF(('Daily Sale entry '!$Q$2:$Q$1501="Collection 收款")*('Daily Sale entry '!$R$2:$R$1501="Cheque 支票")*('Daily Sale entry '!$V$2:$V$1501=""),ROW('Daily Sale entry '!$Q$2:$Q$1501)),146),"")</f>
        <v/>
      </c>
    </row>
    <row r="153">
      <c r="A153">
        <f>IF(G153="","",147)</f>
        <v/>
      </c>
      <c r="B153" s="5">
        <f>IF(G153="","",INDEX('Daily Sale entry '!$O$1:$O$1501,G153))</f>
        <v/>
      </c>
      <c r="C153">
        <f>IF(G153="","",INDEX('Daily Sale entry '!$P$1:$P$1501,G153))</f>
        <v/>
      </c>
      <c r="D153" s="6">
        <f>IF(G153="","",INDEX('Daily Sale entry '!$S$1:$S$1501,G153))</f>
        <v/>
      </c>
      <c r="E153">
        <f>IF(G153="","",INDEX('Daily Sale entry '!$U$1:$U$1501,G153)&amp;"")</f>
        <v/>
      </c>
      <c r="G153" s="21">
        <f t="array" ref="G153">IFERROR(SMALL(IF(('Daily Sale entry '!$Q$2:$Q$1501="Collection 收款")*('Daily Sale entry '!$R$2:$R$1501="Cheque 支票")*('Daily Sale entry '!$V$2:$V$1501=""),ROW('Daily Sale entry '!$Q$2:$Q$1501)),147),"")</f>
        <v/>
      </c>
    </row>
    <row r="154">
      <c r="A154">
        <f>IF(G154="","",148)</f>
        <v/>
      </c>
      <c r="B154" s="5">
        <f>IF(G154="","",INDEX('Daily Sale entry '!$O$1:$O$1501,G154))</f>
        <v/>
      </c>
      <c r="C154">
        <f>IF(G154="","",INDEX('Daily Sale entry '!$P$1:$P$1501,G154))</f>
        <v/>
      </c>
      <c r="D154" s="6">
        <f>IF(G154="","",INDEX('Daily Sale entry '!$S$1:$S$1501,G154))</f>
        <v/>
      </c>
      <c r="E154">
        <f>IF(G154="","",INDEX('Daily Sale entry '!$U$1:$U$1501,G154)&amp;"")</f>
        <v/>
      </c>
      <c r="G154" s="21">
        <f t="array" ref="G154">IFERROR(SMALL(IF(('Daily Sale entry '!$Q$2:$Q$1501="Collection 收款")*('Daily Sale entry '!$R$2:$R$1501="Cheque 支票")*('Daily Sale entry '!$V$2:$V$1501=""),ROW('Daily Sale entry '!$Q$2:$Q$1501)),148),"")</f>
        <v/>
      </c>
    </row>
    <row r="155">
      <c r="A155">
        <f>IF(G155="","",149)</f>
        <v/>
      </c>
      <c r="B155" s="5">
        <f>IF(G155="","",INDEX('Daily Sale entry '!$O$1:$O$1501,G155))</f>
        <v/>
      </c>
      <c r="C155">
        <f>IF(G155="","",INDEX('Daily Sale entry '!$P$1:$P$1501,G155))</f>
        <v/>
      </c>
      <c r="D155" s="6">
        <f>IF(G155="","",INDEX('Daily Sale entry '!$S$1:$S$1501,G155))</f>
        <v/>
      </c>
      <c r="E155">
        <f>IF(G155="","",INDEX('Daily Sale entry '!$U$1:$U$1501,G155)&amp;"")</f>
        <v/>
      </c>
      <c r="G155" s="21">
        <f t="array" ref="G155">IFERROR(SMALL(IF(('Daily Sale entry '!$Q$2:$Q$1501="Collection 收款")*('Daily Sale entry '!$R$2:$R$1501="Cheque 支票")*('Daily Sale entry '!$V$2:$V$1501=""),ROW('Daily Sale entry '!$Q$2:$Q$1501)),149),"")</f>
        <v/>
      </c>
    </row>
    <row r="156">
      <c r="A156">
        <f>IF(G156="","",150)</f>
        <v/>
      </c>
      <c r="B156" s="5">
        <f>IF(G156="","",INDEX('Daily Sale entry '!$O$1:$O$1501,G156))</f>
        <v/>
      </c>
      <c r="C156">
        <f>IF(G156="","",INDEX('Daily Sale entry '!$P$1:$P$1501,G156))</f>
        <v/>
      </c>
      <c r="D156" s="6">
        <f>IF(G156="","",INDEX('Daily Sale entry '!$S$1:$S$1501,G156))</f>
        <v/>
      </c>
      <c r="E156">
        <f>IF(G156="","",INDEX('Daily Sale entry '!$U$1:$U$1501,G156)&amp;"")</f>
        <v/>
      </c>
      <c r="G156" s="21">
        <f t="array" ref="G156">IFERROR(SMALL(IF(('Daily Sale entry '!$Q$2:$Q$1501="Collection 收款")*('Daily Sale entry '!$R$2:$R$1501="Cheque 支票")*('Daily Sale entry '!$V$2:$V$1501=""),ROW('Daily Sale entry '!$Q$2:$Q$1501)),150),"")</f>
        <v/>
      </c>
    </row>
    <row r="157">
      <c r="A157">
        <f>IF(G157="","",151)</f>
        <v/>
      </c>
      <c r="B157" s="5">
        <f>IF(G157="","",INDEX('Daily Sale entry '!$O$1:$O$1501,G157))</f>
        <v/>
      </c>
      <c r="C157">
        <f>IF(G157="","",INDEX('Daily Sale entry '!$P$1:$P$1501,G157))</f>
        <v/>
      </c>
      <c r="D157" s="6">
        <f>IF(G157="","",INDEX('Daily Sale entry '!$S$1:$S$1501,G157))</f>
        <v/>
      </c>
      <c r="E157">
        <f>IF(G157="","",INDEX('Daily Sale entry '!$U$1:$U$1501,G157)&amp;"")</f>
        <v/>
      </c>
      <c r="G157" s="21">
        <f t="array" ref="G157">IFERROR(SMALL(IF(('Daily Sale entry '!$Q$2:$Q$1501="Collection 收款")*('Daily Sale entry '!$R$2:$R$1501="Cheque 支票")*('Daily Sale entry '!$V$2:$V$1501=""),ROW('Daily Sale entry '!$Q$2:$Q$1501)),151),"")</f>
        <v/>
      </c>
    </row>
    <row r="158">
      <c r="A158">
        <f>IF(G158="","",152)</f>
        <v/>
      </c>
      <c r="B158" s="5">
        <f>IF(G158="","",INDEX('Daily Sale entry '!$O$1:$O$1501,G158))</f>
        <v/>
      </c>
      <c r="C158">
        <f>IF(G158="","",INDEX('Daily Sale entry '!$P$1:$P$1501,G158))</f>
        <v/>
      </c>
      <c r="D158" s="6">
        <f>IF(G158="","",INDEX('Daily Sale entry '!$S$1:$S$1501,G158))</f>
        <v/>
      </c>
      <c r="E158">
        <f>IF(G158="","",INDEX('Daily Sale entry '!$U$1:$U$1501,G158)&amp;"")</f>
        <v/>
      </c>
      <c r="G158" s="21">
        <f t="array" ref="G158">IFERROR(SMALL(IF(('Daily Sale entry '!$Q$2:$Q$1501="Collection 收款")*('Daily Sale entry '!$R$2:$R$1501="Cheque 支票")*('Daily Sale entry '!$V$2:$V$1501=""),ROW('Daily Sale entry '!$Q$2:$Q$1501)),152),"")</f>
        <v/>
      </c>
    </row>
    <row r="159">
      <c r="A159">
        <f>IF(G159="","",153)</f>
        <v/>
      </c>
      <c r="B159" s="5">
        <f>IF(G159="","",INDEX('Daily Sale entry '!$O$1:$O$1501,G159))</f>
        <v/>
      </c>
      <c r="C159">
        <f>IF(G159="","",INDEX('Daily Sale entry '!$P$1:$P$1501,G159))</f>
        <v/>
      </c>
      <c r="D159" s="6">
        <f>IF(G159="","",INDEX('Daily Sale entry '!$S$1:$S$1501,G159))</f>
        <v/>
      </c>
      <c r="E159">
        <f>IF(G159="","",INDEX('Daily Sale entry '!$U$1:$U$1501,G159)&amp;"")</f>
        <v/>
      </c>
      <c r="G159" s="21">
        <f t="array" ref="G159">IFERROR(SMALL(IF(('Daily Sale entry '!$Q$2:$Q$1501="Collection 收款")*('Daily Sale entry '!$R$2:$R$1501="Cheque 支票")*('Daily Sale entry '!$V$2:$V$1501=""),ROW('Daily Sale entry '!$Q$2:$Q$1501)),153),"")</f>
        <v/>
      </c>
    </row>
    <row r="160">
      <c r="A160">
        <f>IF(G160="","",154)</f>
        <v/>
      </c>
      <c r="B160" s="5">
        <f>IF(G160="","",INDEX('Daily Sale entry '!$O$1:$O$1501,G160))</f>
        <v/>
      </c>
      <c r="C160">
        <f>IF(G160="","",INDEX('Daily Sale entry '!$P$1:$P$1501,G160))</f>
        <v/>
      </c>
      <c r="D160" s="6">
        <f>IF(G160="","",INDEX('Daily Sale entry '!$S$1:$S$1501,G160))</f>
        <v/>
      </c>
      <c r="E160">
        <f>IF(G160="","",INDEX('Daily Sale entry '!$U$1:$U$1501,G160)&amp;"")</f>
        <v/>
      </c>
      <c r="G160" s="21">
        <f t="array" ref="G160">IFERROR(SMALL(IF(('Daily Sale entry '!$Q$2:$Q$1501="Collection 收款")*('Daily Sale entry '!$R$2:$R$1501="Cheque 支票")*('Daily Sale entry '!$V$2:$V$1501=""),ROW('Daily Sale entry '!$Q$2:$Q$1501)),154),"")</f>
        <v/>
      </c>
    </row>
    <row r="161">
      <c r="A161">
        <f>IF(G161="","",155)</f>
        <v/>
      </c>
      <c r="B161" s="5">
        <f>IF(G161="","",INDEX('Daily Sale entry '!$O$1:$O$1501,G161))</f>
        <v/>
      </c>
      <c r="C161">
        <f>IF(G161="","",INDEX('Daily Sale entry '!$P$1:$P$1501,G161))</f>
        <v/>
      </c>
      <c r="D161" s="6">
        <f>IF(G161="","",INDEX('Daily Sale entry '!$S$1:$S$1501,G161))</f>
        <v/>
      </c>
      <c r="E161">
        <f>IF(G161="","",INDEX('Daily Sale entry '!$U$1:$U$1501,G161)&amp;"")</f>
        <v/>
      </c>
      <c r="G161" s="21">
        <f t="array" ref="G161">IFERROR(SMALL(IF(('Daily Sale entry '!$Q$2:$Q$1501="Collection 收款")*('Daily Sale entry '!$R$2:$R$1501="Cheque 支票")*('Daily Sale entry '!$V$2:$V$1501=""),ROW('Daily Sale entry '!$Q$2:$Q$1501)),155),"")</f>
        <v/>
      </c>
    </row>
    <row r="162">
      <c r="A162">
        <f>IF(G162="","",156)</f>
        <v/>
      </c>
      <c r="B162" s="5">
        <f>IF(G162="","",INDEX('Daily Sale entry '!$O$1:$O$1501,G162))</f>
        <v/>
      </c>
      <c r="C162">
        <f>IF(G162="","",INDEX('Daily Sale entry '!$P$1:$P$1501,G162))</f>
        <v/>
      </c>
      <c r="D162" s="6">
        <f>IF(G162="","",INDEX('Daily Sale entry '!$S$1:$S$1501,G162))</f>
        <v/>
      </c>
      <c r="E162">
        <f>IF(G162="","",INDEX('Daily Sale entry '!$U$1:$U$1501,G162)&amp;"")</f>
        <v/>
      </c>
      <c r="G162" s="21">
        <f t="array" ref="G162">IFERROR(SMALL(IF(('Daily Sale entry '!$Q$2:$Q$1501="Collection 收款")*('Daily Sale entry '!$R$2:$R$1501="Cheque 支票")*('Daily Sale entry '!$V$2:$V$1501=""),ROW('Daily Sale entry '!$Q$2:$Q$1501)),156),"")</f>
        <v/>
      </c>
    </row>
    <row r="163">
      <c r="A163">
        <f>IF(G163="","",157)</f>
        <v/>
      </c>
      <c r="B163" s="5">
        <f>IF(G163="","",INDEX('Daily Sale entry '!$O$1:$O$1501,G163))</f>
        <v/>
      </c>
      <c r="C163">
        <f>IF(G163="","",INDEX('Daily Sale entry '!$P$1:$P$1501,G163))</f>
        <v/>
      </c>
      <c r="D163" s="6">
        <f>IF(G163="","",INDEX('Daily Sale entry '!$S$1:$S$1501,G163))</f>
        <v/>
      </c>
      <c r="E163">
        <f>IF(G163="","",INDEX('Daily Sale entry '!$U$1:$U$1501,G163)&amp;"")</f>
        <v/>
      </c>
      <c r="G163" s="21">
        <f t="array" ref="G163">IFERROR(SMALL(IF(('Daily Sale entry '!$Q$2:$Q$1501="Collection 收款")*('Daily Sale entry '!$R$2:$R$1501="Cheque 支票")*('Daily Sale entry '!$V$2:$V$1501=""),ROW('Daily Sale entry '!$Q$2:$Q$1501)),157),"")</f>
        <v/>
      </c>
    </row>
    <row r="164">
      <c r="A164">
        <f>IF(G164="","",158)</f>
        <v/>
      </c>
      <c r="B164" s="5">
        <f>IF(G164="","",INDEX('Daily Sale entry '!$O$1:$O$1501,G164))</f>
        <v/>
      </c>
      <c r="C164">
        <f>IF(G164="","",INDEX('Daily Sale entry '!$P$1:$P$1501,G164))</f>
        <v/>
      </c>
      <c r="D164" s="6">
        <f>IF(G164="","",INDEX('Daily Sale entry '!$S$1:$S$1501,G164))</f>
        <v/>
      </c>
      <c r="E164">
        <f>IF(G164="","",INDEX('Daily Sale entry '!$U$1:$U$1501,G164)&amp;"")</f>
        <v/>
      </c>
      <c r="G164" s="21">
        <f t="array" ref="G164">IFERROR(SMALL(IF(('Daily Sale entry '!$Q$2:$Q$1501="Collection 收款")*('Daily Sale entry '!$R$2:$R$1501="Cheque 支票")*('Daily Sale entry '!$V$2:$V$1501=""),ROW('Daily Sale entry '!$Q$2:$Q$1501)),158),"")</f>
        <v/>
      </c>
    </row>
    <row r="165">
      <c r="A165">
        <f>IF(G165="","",159)</f>
        <v/>
      </c>
      <c r="B165" s="5">
        <f>IF(G165="","",INDEX('Daily Sale entry '!$O$1:$O$1501,G165))</f>
        <v/>
      </c>
      <c r="C165">
        <f>IF(G165="","",INDEX('Daily Sale entry '!$P$1:$P$1501,G165))</f>
        <v/>
      </c>
      <c r="D165" s="6">
        <f>IF(G165="","",INDEX('Daily Sale entry '!$S$1:$S$1501,G165))</f>
        <v/>
      </c>
      <c r="E165">
        <f>IF(G165="","",INDEX('Daily Sale entry '!$U$1:$U$1501,G165)&amp;"")</f>
        <v/>
      </c>
      <c r="G165" s="21">
        <f t="array" ref="G165">IFERROR(SMALL(IF(('Daily Sale entry '!$Q$2:$Q$1501="Collection 收款")*('Daily Sale entry '!$R$2:$R$1501="Cheque 支票")*('Daily Sale entry '!$V$2:$V$1501=""),ROW('Daily Sale entry '!$Q$2:$Q$1501)),159),"")</f>
        <v/>
      </c>
    </row>
    <row r="166">
      <c r="A166">
        <f>IF(G166="","",160)</f>
        <v/>
      </c>
      <c r="B166" s="5">
        <f>IF(G166="","",INDEX('Daily Sale entry '!$O$1:$O$1501,G166))</f>
        <v/>
      </c>
      <c r="C166">
        <f>IF(G166="","",INDEX('Daily Sale entry '!$P$1:$P$1501,G166))</f>
        <v/>
      </c>
      <c r="D166" s="6">
        <f>IF(G166="","",INDEX('Daily Sale entry '!$S$1:$S$1501,G166))</f>
        <v/>
      </c>
      <c r="E166">
        <f>IF(G166="","",INDEX('Daily Sale entry '!$U$1:$U$1501,G166)&amp;"")</f>
        <v/>
      </c>
      <c r="G166" s="21">
        <f t="array" ref="G166">IFERROR(SMALL(IF(('Daily Sale entry '!$Q$2:$Q$1501="Collection 收款")*('Daily Sale entry '!$R$2:$R$1501="Cheque 支票")*('Daily Sale entry '!$V$2:$V$1501=""),ROW('Daily Sale entry '!$Q$2:$Q$1501)),160),"")</f>
        <v/>
      </c>
    </row>
    <row r="167">
      <c r="A167">
        <f>IF(G167="","",161)</f>
        <v/>
      </c>
      <c r="B167" s="5">
        <f>IF(G167="","",INDEX('Daily Sale entry '!$O$1:$O$1501,G167))</f>
        <v/>
      </c>
      <c r="C167">
        <f>IF(G167="","",INDEX('Daily Sale entry '!$P$1:$P$1501,G167))</f>
        <v/>
      </c>
      <c r="D167" s="6">
        <f>IF(G167="","",INDEX('Daily Sale entry '!$S$1:$S$1501,G167))</f>
        <v/>
      </c>
      <c r="E167">
        <f>IF(G167="","",INDEX('Daily Sale entry '!$U$1:$U$1501,G167)&amp;"")</f>
        <v/>
      </c>
      <c r="G167" s="21">
        <f t="array" ref="G167">IFERROR(SMALL(IF(('Daily Sale entry '!$Q$2:$Q$1501="Collection 收款")*('Daily Sale entry '!$R$2:$R$1501="Cheque 支票")*('Daily Sale entry '!$V$2:$V$1501=""),ROW('Daily Sale entry '!$Q$2:$Q$1501)),161),"")</f>
        <v/>
      </c>
    </row>
    <row r="168">
      <c r="A168">
        <f>IF(G168="","",162)</f>
        <v/>
      </c>
      <c r="B168" s="5">
        <f>IF(G168="","",INDEX('Daily Sale entry '!$O$1:$O$1501,G168))</f>
        <v/>
      </c>
      <c r="C168">
        <f>IF(G168="","",INDEX('Daily Sale entry '!$P$1:$P$1501,G168))</f>
        <v/>
      </c>
      <c r="D168" s="6">
        <f>IF(G168="","",INDEX('Daily Sale entry '!$S$1:$S$1501,G168))</f>
        <v/>
      </c>
      <c r="E168">
        <f>IF(G168="","",INDEX('Daily Sale entry '!$U$1:$U$1501,G168)&amp;"")</f>
        <v/>
      </c>
      <c r="G168" s="21">
        <f t="array" ref="G168">IFERROR(SMALL(IF(('Daily Sale entry '!$Q$2:$Q$1501="Collection 收款")*('Daily Sale entry '!$R$2:$R$1501="Cheque 支票")*('Daily Sale entry '!$V$2:$V$1501=""),ROW('Daily Sale entry '!$Q$2:$Q$1501)),162),"")</f>
        <v/>
      </c>
    </row>
    <row r="169">
      <c r="A169">
        <f>IF(G169="","",163)</f>
        <v/>
      </c>
      <c r="B169" s="5">
        <f>IF(G169="","",INDEX('Daily Sale entry '!$O$1:$O$1501,G169))</f>
        <v/>
      </c>
      <c r="C169">
        <f>IF(G169="","",INDEX('Daily Sale entry '!$P$1:$P$1501,G169))</f>
        <v/>
      </c>
      <c r="D169" s="6">
        <f>IF(G169="","",INDEX('Daily Sale entry '!$S$1:$S$1501,G169))</f>
        <v/>
      </c>
      <c r="E169">
        <f>IF(G169="","",INDEX('Daily Sale entry '!$U$1:$U$1501,G169)&amp;"")</f>
        <v/>
      </c>
      <c r="G169" s="21">
        <f t="array" ref="G169">IFERROR(SMALL(IF(('Daily Sale entry '!$Q$2:$Q$1501="Collection 收款")*('Daily Sale entry '!$R$2:$R$1501="Cheque 支票")*('Daily Sale entry '!$V$2:$V$1501=""),ROW('Daily Sale entry '!$Q$2:$Q$1501)),163),"")</f>
        <v/>
      </c>
    </row>
    <row r="170">
      <c r="A170">
        <f>IF(G170="","",164)</f>
        <v/>
      </c>
      <c r="B170" s="5">
        <f>IF(G170="","",INDEX('Daily Sale entry '!$O$1:$O$1501,G170))</f>
        <v/>
      </c>
      <c r="C170">
        <f>IF(G170="","",INDEX('Daily Sale entry '!$P$1:$P$1501,G170))</f>
        <v/>
      </c>
      <c r="D170" s="6">
        <f>IF(G170="","",INDEX('Daily Sale entry '!$S$1:$S$1501,G170))</f>
        <v/>
      </c>
      <c r="E170">
        <f>IF(G170="","",INDEX('Daily Sale entry '!$U$1:$U$1501,G170)&amp;"")</f>
        <v/>
      </c>
      <c r="G170" s="21">
        <f t="array" ref="G170">IFERROR(SMALL(IF(('Daily Sale entry '!$Q$2:$Q$1501="Collection 收款")*('Daily Sale entry '!$R$2:$R$1501="Cheque 支票")*('Daily Sale entry '!$V$2:$V$1501=""),ROW('Daily Sale entry '!$Q$2:$Q$1501)),164),"")</f>
        <v/>
      </c>
    </row>
    <row r="171">
      <c r="A171">
        <f>IF(G171="","",165)</f>
        <v/>
      </c>
      <c r="B171" s="5">
        <f>IF(G171="","",INDEX('Daily Sale entry '!$O$1:$O$1501,G171))</f>
        <v/>
      </c>
      <c r="C171">
        <f>IF(G171="","",INDEX('Daily Sale entry '!$P$1:$P$1501,G171))</f>
        <v/>
      </c>
      <c r="D171" s="6">
        <f>IF(G171="","",INDEX('Daily Sale entry '!$S$1:$S$1501,G171))</f>
        <v/>
      </c>
      <c r="E171">
        <f>IF(G171="","",INDEX('Daily Sale entry '!$U$1:$U$1501,G171)&amp;"")</f>
        <v/>
      </c>
      <c r="G171" s="21">
        <f t="array" ref="G171">IFERROR(SMALL(IF(('Daily Sale entry '!$Q$2:$Q$1501="Collection 收款")*('Daily Sale entry '!$R$2:$R$1501="Cheque 支票")*('Daily Sale entry '!$V$2:$V$1501=""),ROW('Daily Sale entry '!$Q$2:$Q$1501)),165),"")</f>
        <v/>
      </c>
    </row>
    <row r="172">
      <c r="A172">
        <f>IF(G172="","",166)</f>
        <v/>
      </c>
      <c r="B172" s="5">
        <f>IF(G172="","",INDEX('Daily Sale entry '!$O$1:$O$1501,G172))</f>
        <v/>
      </c>
      <c r="C172">
        <f>IF(G172="","",INDEX('Daily Sale entry '!$P$1:$P$1501,G172))</f>
        <v/>
      </c>
      <c r="D172" s="6">
        <f>IF(G172="","",INDEX('Daily Sale entry '!$S$1:$S$1501,G172))</f>
        <v/>
      </c>
      <c r="E172">
        <f>IF(G172="","",INDEX('Daily Sale entry '!$U$1:$U$1501,G172)&amp;"")</f>
        <v/>
      </c>
      <c r="G172" s="21">
        <f t="array" ref="G172">IFERROR(SMALL(IF(('Daily Sale entry '!$Q$2:$Q$1501="Collection 收款")*('Daily Sale entry '!$R$2:$R$1501="Cheque 支票")*('Daily Sale entry '!$V$2:$V$1501=""),ROW('Daily Sale entry '!$Q$2:$Q$1501)),166),"")</f>
        <v/>
      </c>
    </row>
    <row r="173">
      <c r="A173">
        <f>IF(G173="","",167)</f>
        <v/>
      </c>
      <c r="B173" s="5">
        <f>IF(G173="","",INDEX('Daily Sale entry '!$O$1:$O$1501,G173))</f>
        <v/>
      </c>
      <c r="C173">
        <f>IF(G173="","",INDEX('Daily Sale entry '!$P$1:$P$1501,G173))</f>
        <v/>
      </c>
      <c r="D173" s="6">
        <f>IF(G173="","",INDEX('Daily Sale entry '!$S$1:$S$1501,G173))</f>
        <v/>
      </c>
      <c r="E173">
        <f>IF(G173="","",INDEX('Daily Sale entry '!$U$1:$U$1501,G173)&amp;"")</f>
        <v/>
      </c>
      <c r="G173" s="21">
        <f t="array" ref="G173">IFERROR(SMALL(IF(('Daily Sale entry '!$Q$2:$Q$1501="Collection 收款")*('Daily Sale entry '!$R$2:$R$1501="Cheque 支票")*('Daily Sale entry '!$V$2:$V$1501=""),ROW('Daily Sale entry '!$Q$2:$Q$1501)),167),"")</f>
        <v/>
      </c>
    </row>
    <row r="174">
      <c r="A174">
        <f>IF(G174="","",168)</f>
        <v/>
      </c>
      <c r="B174" s="5">
        <f>IF(G174="","",INDEX('Daily Sale entry '!$O$1:$O$1501,G174))</f>
        <v/>
      </c>
      <c r="C174">
        <f>IF(G174="","",INDEX('Daily Sale entry '!$P$1:$P$1501,G174))</f>
        <v/>
      </c>
      <c r="D174" s="6">
        <f>IF(G174="","",INDEX('Daily Sale entry '!$S$1:$S$1501,G174))</f>
        <v/>
      </c>
      <c r="E174">
        <f>IF(G174="","",INDEX('Daily Sale entry '!$U$1:$U$1501,G174)&amp;"")</f>
        <v/>
      </c>
      <c r="G174" s="21">
        <f t="array" ref="G174">IFERROR(SMALL(IF(('Daily Sale entry '!$Q$2:$Q$1501="Collection 收款")*('Daily Sale entry '!$R$2:$R$1501="Cheque 支票")*('Daily Sale entry '!$V$2:$V$1501=""),ROW('Daily Sale entry '!$Q$2:$Q$1501)),168),"")</f>
        <v/>
      </c>
    </row>
    <row r="175">
      <c r="A175">
        <f>IF(G175="","",169)</f>
        <v/>
      </c>
      <c r="B175" s="5">
        <f>IF(G175="","",INDEX('Daily Sale entry '!$O$1:$O$1501,G175))</f>
        <v/>
      </c>
      <c r="C175">
        <f>IF(G175="","",INDEX('Daily Sale entry '!$P$1:$P$1501,G175))</f>
        <v/>
      </c>
      <c r="D175" s="6">
        <f>IF(G175="","",INDEX('Daily Sale entry '!$S$1:$S$1501,G175))</f>
        <v/>
      </c>
      <c r="E175">
        <f>IF(G175="","",INDEX('Daily Sale entry '!$U$1:$U$1501,G175)&amp;"")</f>
        <v/>
      </c>
      <c r="G175" s="21">
        <f t="array" ref="G175">IFERROR(SMALL(IF(('Daily Sale entry '!$Q$2:$Q$1501="Collection 收款")*('Daily Sale entry '!$R$2:$R$1501="Cheque 支票")*('Daily Sale entry '!$V$2:$V$1501=""),ROW('Daily Sale entry '!$Q$2:$Q$1501)),169),"")</f>
        <v/>
      </c>
    </row>
    <row r="176">
      <c r="A176">
        <f>IF(G176="","",170)</f>
        <v/>
      </c>
      <c r="B176" s="5">
        <f>IF(G176="","",INDEX('Daily Sale entry '!$O$1:$O$1501,G176))</f>
        <v/>
      </c>
      <c r="C176">
        <f>IF(G176="","",INDEX('Daily Sale entry '!$P$1:$P$1501,G176))</f>
        <v/>
      </c>
      <c r="D176" s="6">
        <f>IF(G176="","",INDEX('Daily Sale entry '!$S$1:$S$1501,G176))</f>
        <v/>
      </c>
      <c r="E176">
        <f>IF(G176="","",INDEX('Daily Sale entry '!$U$1:$U$1501,G176)&amp;"")</f>
        <v/>
      </c>
      <c r="G176" s="21">
        <f t="array" ref="G176">IFERROR(SMALL(IF(('Daily Sale entry '!$Q$2:$Q$1501="Collection 收款")*('Daily Sale entry '!$R$2:$R$1501="Cheque 支票")*('Daily Sale entry '!$V$2:$V$1501=""),ROW('Daily Sale entry '!$Q$2:$Q$1501)),170),"")</f>
        <v/>
      </c>
    </row>
    <row r="177">
      <c r="A177">
        <f>IF(G177="","",171)</f>
        <v/>
      </c>
      <c r="B177" s="5">
        <f>IF(G177="","",INDEX('Daily Sale entry '!$O$1:$O$1501,G177))</f>
        <v/>
      </c>
      <c r="C177">
        <f>IF(G177="","",INDEX('Daily Sale entry '!$P$1:$P$1501,G177))</f>
        <v/>
      </c>
      <c r="D177" s="6">
        <f>IF(G177="","",INDEX('Daily Sale entry '!$S$1:$S$1501,G177))</f>
        <v/>
      </c>
      <c r="E177">
        <f>IF(G177="","",INDEX('Daily Sale entry '!$U$1:$U$1501,G177)&amp;"")</f>
        <v/>
      </c>
      <c r="G177" s="21">
        <f t="array" ref="G177">IFERROR(SMALL(IF(('Daily Sale entry '!$Q$2:$Q$1501="Collection 收款")*('Daily Sale entry '!$R$2:$R$1501="Cheque 支票")*('Daily Sale entry '!$V$2:$V$1501=""),ROW('Daily Sale entry '!$Q$2:$Q$1501)),171),"")</f>
        <v/>
      </c>
    </row>
    <row r="178">
      <c r="A178">
        <f>IF(G178="","",172)</f>
        <v/>
      </c>
      <c r="B178" s="5">
        <f>IF(G178="","",INDEX('Daily Sale entry '!$O$1:$O$1501,G178))</f>
        <v/>
      </c>
      <c r="C178">
        <f>IF(G178="","",INDEX('Daily Sale entry '!$P$1:$P$1501,G178))</f>
        <v/>
      </c>
      <c r="D178" s="6">
        <f>IF(G178="","",INDEX('Daily Sale entry '!$S$1:$S$1501,G178))</f>
        <v/>
      </c>
      <c r="E178">
        <f>IF(G178="","",INDEX('Daily Sale entry '!$U$1:$U$1501,G178)&amp;"")</f>
        <v/>
      </c>
      <c r="G178" s="21">
        <f t="array" ref="G178">IFERROR(SMALL(IF(('Daily Sale entry '!$Q$2:$Q$1501="Collection 收款")*('Daily Sale entry '!$R$2:$R$1501="Cheque 支票")*('Daily Sale entry '!$V$2:$V$1501=""),ROW('Daily Sale entry '!$Q$2:$Q$1501)),172),"")</f>
        <v/>
      </c>
    </row>
    <row r="179">
      <c r="A179">
        <f>IF(G179="","",173)</f>
        <v/>
      </c>
      <c r="B179" s="5">
        <f>IF(G179="","",INDEX('Daily Sale entry '!$O$1:$O$1501,G179))</f>
        <v/>
      </c>
      <c r="C179">
        <f>IF(G179="","",INDEX('Daily Sale entry '!$P$1:$P$1501,G179))</f>
        <v/>
      </c>
      <c r="D179" s="6">
        <f>IF(G179="","",INDEX('Daily Sale entry '!$S$1:$S$1501,G179))</f>
        <v/>
      </c>
      <c r="E179">
        <f>IF(G179="","",INDEX('Daily Sale entry '!$U$1:$U$1501,G179)&amp;"")</f>
        <v/>
      </c>
      <c r="G179" s="21">
        <f t="array" ref="G179">IFERROR(SMALL(IF(('Daily Sale entry '!$Q$2:$Q$1501="Collection 收款")*('Daily Sale entry '!$R$2:$R$1501="Cheque 支票")*('Daily Sale entry '!$V$2:$V$1501=""),ROW('Daily Sale entry '!$Q$2:$Q$1501)),173),"")</f>
        <v/>
      </c>
    </row>
    <row r="180">
      <c r="A180">
        <f>IF(G180="","",174)</f>
        <v/>
      </c>
      <c r="B180" s="5">
        <f>IF(G180="","",INDEX('Daily Sale entry '!$O$1:$O$1501,G180))</f>
        <v/>
      </c>
      <c r="C180">
        <f>IF(G180="","",INDEX('Daily Sale entry '!$P$1:$P$1501,G180))</f>
        <v/>
      </c>
      <c r="D180" s="6">
        <f>IF(G180="","",INDEX('Daily Sale entry '!$S$1:$S$1501,G180))</f>
        <v/>
      </c>
      <c r="E180">
        <f>IF(G180="","",INDEX('Daily Sale entry '!$U$1:$U$1501,G180)&amp;"")</f>
        <v/>
      </c>
      <c r="G180" s="21">
        <f t="array" ref="G180">IFERROR(SMALL(IF(('Daily Sale entry '!$Q$2:$Q$1501="Collection 收款")*('Daily Sale entry '!$R$2:$R$1501="Cheque 支票")*('Daily Sale entry '!$V$2:$V$1501=""),ROW('Daily Sale entry '!$Q$2:$Q$1501)),174),"")</f>
        <v/>
      </c>
    </row>
    <row r="181">
      <c r="A181">
        <f>IF(G181="","",175)</f>
        <v/>
      </c>
      <c r="B181" s="5">
        <f>IF(G181="","",INDEX('Daily Sale entry '!$O$1:$O$1501,G181))</f>
        <v/>
      </c>
      <c r="C181">
        <f>IF(G181="","",INDEX('Daily Sale entry '!$P$1:$P$1501,G181))</f>
        <v/>
      </c>
      <c r="D181" s="6">
        <f>IF(G181="","",INDEX('Daily Sale entry '!$S$1:$S$1501,G181))</f>
        <v/>
      </c>
      <c r="E181">
        <f>IF(G181="","",INDEX('Daily Sale entry '!$U$1:$U$1501,G181)&amp;"")</f>
        <v/>
      </c>
      <c r="G181" s="21">
        <f t="array" ref="G181">IFERROR(SMALL(IF(('Daily Sale entry '!$Q$2:$Q$1501="Collection 收款")*('Daily Sale entry '!$R$2:$R$1501="Cheque 支票")*('Daily Sale entry '!$V$2:$V$1501=""),ROW('Daily Sale entry '!$Q$2:$Q$1501)),175),"")</f>
        <v/>
      </c>
    </row>
    <row r="182">
      <c r="A182">
        <f>IF(G182="","",176)</f>
        <v/>
      </c>
      <c r="B182" s="5">
        <f>IF(G182="","",INDEX('Daily Sale entry '!$O$1:$O$1501,G182))</f>
        <v/>
      </c>
      <c r="C182">
        <f>IF(G182="","",INDEX('Daily Sale entry '!$P$1:$P$1501,G182))</f>
        <v/>
      </c>
      <c r="D182" s="6">
        <f>IF(G182="","",INDEX('Daily Sale entry '!$S$1:$S$1501,G182))</f>
        <v/>
      </c>
      <c r="E182">
        <f>IF(G182="","",INDEX('Daily Sale entry '!$U$1:$U$1501,G182)&amp;"")</f>
        <v/>
      </c>
      <c r="G182" s="21">
        <f t="array" ref="G182">IFERROR(SMALL(IF(('Daily Sale entry '!$Q$2:$Q$1501="Collection 收款")*('Daily Sale entry '!$R$2:$R$1501="Cheque 支票")*('Daily Sale entry '!$V$2:$V$1501=""),ROW('Daily Sale entry '!$Q$2:$Q$1501)),176),"")</f>
        <v/>
      </c>
    </row>
    <row r="183">
      <c r="A183">
        <f>IF(G183="","",177)</f>
        <v/>
      </c>
      <c r="B183" s="5">
        <f>IF(G183="","",INDEX('Daily Sale entry '!$O$1:$O$1501,G183))</f>
        <v/>
      </c>
      <c r="C183">
        <f>IF(G183="","",INDEX('Daily Sale entry '!$P$1:$P$1501,G183))</f>
        <v/>
      </c>
      <c r="D183" s="6">
        <f>IF(G183="","",INDEX('Daily Sale entry '!$S$1:$S$1501,G183))</f>
        <v/>
      </c>
      <c r="E183">
        <f>IF(G183="","",INDEX('Daily Sale entry '!$U$1:$U$1501,G183)&amp;"")</f>
        <v/>
      </c>
      <c r="G183" s="21">
        <f t="array" ref="G183">IFERROR(SMALL(IF(('Daily Sale entry '!$Q$2:$Q$1501="Collection 收款")*('Daily Sale entry '!$R$2:$R$1501="Cheque 支票")*('Daily Sale entry '!$V$2:$V$1501=""),ROW('Daily Sale entry '!$Q$2:$Q$1501)),177),"")</f>
        <v/>
      </c>
    </row>
    <row r="184">
      <c r="A184">
        <f>IF(G184="","",178)</f>
        <v/>
      </c>
      <c r="B184" s="5">
        <f>IF(G184="","",INDEX('Daily Sale entry '!$O$1:$O$1501,G184))</f>
        <v/>
      </c>
      <c r="C184">
        <f>IF(G184="","",INDEX('Daily Sale entry '!$P$1:$P$1501,G184))</f>
        <v/>
      </c>
      <c r="D184" s="6">
        <f>IF(G184="","",INDEX('Daily Sale entry '!$S$1:$S$1501,G184))</f>
        <v/>
      </c>
      <c r="E184">
        <f>IF(G184="","",INDEX('Daily Sale entry '!$U$1:$U$1501,G184)&amp;"")</f>
        <v/>
      </c>
      <c r="G184" s="21">
        <f t="array" ref="G184">IFERROR(SMALL(IF(('Daily Sale entry '!$Q$2:$Q$1501="Collection 收款")*('Daily Sale entry '!$R$2:$R$1501="Cheque 支票")*('Daily Sale entry '!$V$2:$V$1501=""),ROW('Daily Sale entry '!$Q$2:$Q$1501)),178),"")</f>
        <v/>
      </c>
    </row>
    <row r="185">
      <c r="A185">
        <f>IF(G185="","",179)</f>
        <v/>
      </c>
      <c r="B185" s="5">
        <f>IF(G185="","",INDEX('Daily Sale entry '!$O$1:$O$1501,G185))</f>
        <v/>
      </c>
      <c r="C185">
        <f>IF(G185="","",INDEX('Daily Sale entry '!$P$1:$P$1501,G185))</f>
        <v/>
      </c>
      <c r="D185" s="6">
        <f>IF(G185="","",INDEX('Daily Sale entry '!$S$1:$S$1501,G185))</f>
        <v/>
      </c>
      <c r="E185">
        <f>IF(G185="","",INDEX('Daily Sale entry '!$U$1:$U$1501,G185)&amp;"")</f>
        <v/>
      </c>
      <c r="G185" s="21">
        <f t="array" ref="G185">IFERROR(SMALL(IF(('Daily Sale entry '!$Q$2:$Q$1501="Collection 收款")*('Daily Sale entry '!$R$2:$R$1501="Cheque 支票")*('Daily Sale entry '!$V$2:$V$1501=""),ROW('Daily Sale entry '!$Q$2:$Q$1501)),179),"")</f>
        <v/>
      </c>
    </row>
    <row r="186">
      <c r="A186">
        <f>IF(G186="","",180)</f>
        <v/>
      </c>
      <c r="B186" s="5">
        <f>IF(G186="","",INDEX('Daily Sale entry '!$O$1:$O$1501,G186))</f>
        <v/>
      </c>
      <c r="C186">
        <f>IF(G186="","",INDEX('Daily Sale entry '!$P$1:$P$1501,G186))</f>
        <v/>
      </c>
      <c r="D186" s="6">
        <f>IF(G186="","",INDEX('Daily Sale entry '!$S$1:$S$1501,G186))</f>
        <v/>
      </c>
      <c r="E186">
        <f>IF(G186="","",INDEX('Daily Sale entry '!$U$1:$U$1501,G186)&amp;"")</f>
        <v/>
      </c>
      <c r="G186" s="21">
        <f t="array" ref="G186">IFERROR(SMALL(IF(('Daily Sale entry '!$Q$2:$Q$1501="Collection 收款")*('Daily Sale entry '!$R$2:$R$1501="Cheque 支票")*('Daily Sale entry '!$V$2:$V$1501=""),ROW('Daily Sale entry '!$Q$2:$Q$1501)),180),"")</f>
        <v/>
      </c>
    </row>
    <row r="187">
      <c r="A187">
        <f>IF(G187="","",181)</f>
        <v/>
      </c>
      <c r="B187" s="5">
        <f>IF(G187="","",INDEX('Daily Sale entry '!$O$1:$O$1501,G187))</f>
        <v/>
      </c>
      <c r="C187">
        <f>IF(G187="","",INDEX('Daily Sale entry '!$P$1:$P$1501,G187))</f>
        <v/>
      </c>
      <c r="D187" s="6">
        <f>IF(G187="","",INDEX('Daily Sale entry '!$S$1:$S$1501,G187))</f>
        <v/>
      </c>
      <c r="E187">
        <f>IF(G187="","",INDEX('Daily Sale entry '!$U$1:$U$1501,G187)&amp;"")</f>
        <v/>
      </c>
      <c r="G187" s="21">
        <f t="array" ref="G187">IFERROR(SMALL(IF(('Daily Sale entry '!$Q$2:$Q$1501="Collection 收款")*('Daily Sale entry '!$R$2:$R$1501="Cheque 支票")*('Daily Sale entry '!$V$2:$V$1501=""),ROW('Daily Sale entry '!$Q$2:$Q$1501)),181),"")</f>
        <v/>
      </c>
    </row>
    <row r="188">
      <c r="A188">
        <f>IF(G188="","",182)</f>
        <v/>
      </c>
      <c r="B188" s="5">
        <f>IF(G188="","",INDEX('Daily Sale entry '!$O$1:$O$1501,G188))</f>
        <v/>
      </c>
      <c r="C188">
        <f>IF(G188="","",INDEX('Daily Sale entry '!$P$1:$P$1501,G188))</f>
        <v/>
      </c>
      <c r="D188" s="6">
        <f>IF(G188="","",INDEX('Daily Sale entry '!$S$1:$S$1501,G188))</f>
        <v/>
      </c>
      <c r="E188">
        <f>IF(G188="","",INDEX('Daily Sale entry '!$U$1:$U$1501,G188)&amp;"")</f>
        <v/>
      </c>
      <c r="G188" s="21">
        <f t="array" ref="G188">IFERROR(SMALL(IF(('Daily Sale entry '!$Q$2:$Q$1501="Collection 收款")*('Daily Sale entry '!$R$2:$R$1501="Cheque 支票")*('Daily Sale entry '!$V$2:$V$1501=""),ROW('Daily Sale entry '!$Q$2:$Q$1501)),182),"")</f>
        <v/>
      </c>
    </row>
    <row r="189">
      <c r="A189">
        <f>IF(G189="","",183)</f>
        <v/>
      </c>
      <c r="B189" s="5">
        <f>IF(G189="","",INDEX('Daily Sale entry '!$O$1:$O$1501,G189))</f>
        <v/>
      </c>
      <c r="C189">
        <f>IF(G189="","",INDEX('Daily Sale entry '!$P$1:$P$1501,G189))</f>
        <v/>
      </c>
      <c r="D189" s="6">
        <f>IF(G189="","",INDEX('Daily Sale entry '!$S$1:$S$1501,G189))</f>
        <v/>
      </c>
      <c r="E189">
        <f>IF(G189="","",INDEX('Daily Sale entry '!$U$1:$U$1501,G189)&amp;"")</f>
        <v/>
      </c>
      <c r="G189" s="21">
        <f t="array" ref="G189">IFERROR(SMALL(IF(('Daily Sale entry '!$Q$2:$Q$1501="Collection 收款")*('Daily Sale entry '!$R$2:$R$1501="Cheque 支票")*('Daily Sale entry '!$V$2:$V$1501=""),ROW('Daily Sale entry '!$Q$2:$Q$1501)),183),"")</f>
        <v/>
      </c>
    </row>
    <row r="190">
      <c r="A190">
        <f>IF(G190="","",184)</f>
        <v/>
      </c>
      <c r="B190" s="5">
        <f>IF(G190="","",INDEX('Daily Sale entry '!$O$1:$O$1501,G190))</f>
        <v/>
      </c>
      <c r="C190">
        <f>IF(G190="","",INDEX('Daily Sale entry '!$P$1:$P$1501,G190))</f>
        <v/>
      </c>
      <c r="D190" s="6">
        <f>IF(G190="","",INDEX('Daily Sale entry '!$S$1:$S$1501,G190))</f>
        <v/>
      </c>
      <c r="E190">
        <f>IF(G190="","",INDEX('Daily Sale entry '!$U$1:$U$1501,G190)&amp;"")</f>
        <v/>
      </c>
      <c r="G190" s="21">
        <f t="array" ref="G190">IFERROR(SMALL(IF(('Daily Sale entry '!$Q$2:$Q$1501="Collection 收款")*('Daily Sale entry '!$R$2:$R$1501="Cheque 支票")*('Daily Sale entry '!$V$2:$V$1501=""),ROW('Daily Sale entry '!$Q$2:$Q$1501)),184),"")</f>
        <v/>
      </c>
    </row>
    <row r="191">
      <c r="A191">
        <f>IF(G191="","",185)</f>
        <v/>
      </c>
      <c r="B191" s="5">
        <f>IF(G191="","",INDEX('Daily Sale entry '!$O$1:$O$1501,G191))</f>
        <v/>
      </c>
      <c r="C191">
        <f>IF(G191="","",INDEX('Daily Sale entry '!$P$1:$P$1501,G191))</f>
        <v/>
      </c>
      <c r="D191" s="6">
        <f>IF(G191="","",INDEX('Daily Sale entry '!$S$1:$S$1501,G191))</f>
        <v/>
      </c>
      <c r="E191">
        <f>IF(G191="","",INDEX('Daily Sale entry '!$U$1:$U$1501,G191)&amp;"")</f>
        <v/>
      </c>
      <c r="G191" s="21">
        <f t="array" ref="G191">IFERROR(SMALL(IF(('Daily Sale entry '!$Q$2:$Q$1501="Collection 收款")*('Daily Sale entry '!$R$2:$R$1501="Cheque 支票")*('Daily Sale entry '!$V$2:$V$1501=""),ROW('Daily Sale entry '!$Q$2:$Q$1501)),185),"")</f>
        <v/>
      </c>
    </row>
    <row r="192">
      <c r="A192">
        <f>IF(G192="","",186)</f>
        <v/>
      </c>
      <c r="B192" s="5">
        <f>IF(G192="","",INDEX('Daily Sale entry '!$O$1:$O$1501,G192))</f>
        <v/>
      </c>
      <c r="C192">
        <f>IF(G192="","",INDEX('Daily Sale entry '!$P$1:$P$1501,G192))</f>
        <v/>
      </c>
      <c r="D192" s="6">
        <f>IF(G192="","",INDEX('Daily Sale entry '!$S$1:$S$1501,G192))</f>
        <v/>
      </c>
      <c r="E192">
        <f>IF(G192="","",INDEX('Daily Sale entry '!$U$1:$U$1501,G192)&amp;"")</f>
        <v/>
      </c>
      <c r="G192" s="21">
        <f t="array" ref="G192">IFERROR(SMALL(IF(('Daily Sale entry '!$Q$2:$Q$1501="Collection 收款")*('Daily Sale entry '!$R$2:$R$1501="Cheque 支票")*('Daily Sale entry '!$V$2:$V$1501=""),ROW('Daily Sale entry '!$Q$2:$Q$1501)),186),"")</f>
        <v/>
      </c>
    </row>
    <row r="193">
      <c r="A193">
        <f>IF(G193="","",187)</f>
        <v/>
      </c>
      <c r="B193" s="5">
        <f>IF(G193="","",INDEX('Daily Sale entry '!$O$1:$O$1501,G193))</f>
        <v/>
      </c>
      <c r="C193">
        <f>IF(G193="","",INDEX('Daily Sale entry '!$P$1:$P$1501,G193))</f>
        <v/>
      </c>
      <c r="D193" s="6">
        <f>IF(G193="","",INDEX('Daily Sale entry '!$S$1:$S$1501,G193))</f>
        <v/>
      </c>
      <c r="E193">
        <f>IF(G193="","",INDEX('Daily Sale entry '!$U$1:$U$1501,G193)&amp;"")</f>
        <v/>
      </c>
      <c r="G193" s="21">
        <f t="array" ref="G193">IFERROR(SMALL(IF(('Daily Sale entry '!$Q$2:$Q$1501="Collection 收款")*('Daily Sale entry '!$R$2:$R$1501="Cheque 支票")*('Daily Sale entry '!$V$2:$V$1501=""),ROW('Daily Sale entry '!$Q$2:$Q$1501)),187),"")</f>
        <v/>
      </c>
    </row>
    <row r="194">
      <c r="A194">
        <f>IF(G194="","",188)</f>
        <v/>
      </c>
      <c r="B194" s="5">
        <f>IF(G194="","",INDEX('Daily Sale entry '!$O$1:$O$1501,G194))</f>
        <v/>
      </c>
      <c r="C194">
        <f>IF(G194="","",INDEX('Daily Sale entry '!$P$1:$P$1501,G194))</f>
        <v/>
      </c>
      <c r="D194" s="6">
        <f>IF(G194="","",INDEX('Daily Sale entry '!$S$1:$S$1501,G194))</f>
        <v/>
      </c>
      <c r="E194">
        <f>IF(G194="","",INDEX('Daily Sale entry '!$U$1:$U$1501,G194)&amp;"")</f>
        <v/>
      </c>
      <c r="G194" s="21">
        <f t="array" ref="G194">IFERROR(SMALL(IF(('Daily Sale entry '!$Q$2:$Q$1501="Collection 收款")*('Daily Sale entry '!$R$2:$R$1501="Cheque 支票")*('Daily Sale entry '!$V$2:$V$1501=""),ROW('Daily Sale entry '!$Q$2:$Q$1501)),188),"")</f>
        <v/>
      </c>
    </row>
    <row r="195">
      <c r="A195">
        <f>IF(G195="","",189)</f>
        <v/>
      </c>
      <c r="B195" s="5">
        <f>IF(G195="","",INDEX('Daily Sale entry '!$O$1:$O$1501,G195))</f>
        <v/>
      </c>
      <c r="C195">
        <f>IF(G195="","",INDEX('Daily Sale entry '!$P$1:$P$1501,G195))</f>
        <v/>
      </c>
      <c r="D195" s="6">
        <f>IF(G195="","",INDEX('Daily Sale entry '!$S$1:$S$1501,G195))</f>
        <v/>
      </c>
      <c r="E195">
        <f>IF(G195="","",INDEX('Daily Sale entry '!$U$1:$U$1501,G195)&amp;"")</f>
        <v/>
      </c>
      <c r="G195" s="21">
        <f t="array" ref="G195">IFERROR(SMALL(IF(('Daily Sale entry '!$Q$2:$Q$1501="Collection 收款")*('Daily Sale entry '!$R$2:$R$1501="Cheque 支票")*('Daily Sale entry '!$V$2:$V$1501=""),ROW('Daily Sale entry '!$Q$2:$Q$1501)),189),"")</f>
        <v/>
      </c>
    </row>
    <row r="196">
      <c r="A196">
        <f>IF(G196="","",190)</f>
        <v/>
      </c>
      <c r="B196" s="5">
        <f>IF(G196="","",INDEX('Daily Sale entry '!$O$1:$O$1501,G196))</f>
        <v/>
      </c>
      <c r="C196">
        <f>IF(G196="","",INDEX('Daily Sale entry '!$P$1:$P$1501,G196))</f>
        <v/>
      </c>
      <c r="D196" s="6">
        <f>IF(G196="","",INDEX('Daily Sale entry '!$S$1:$S$1501,G196))</f>
        <v/>
      </c>
      <c r="E196">
        <f>IF(G196="","",INDEX('Daily Sale entry '!$U$1:$U$1501,G196)&amp;"")</f>
        <v/>
      </c>
      <c r="G196" s="21">
        <f t="array" ref="G196">IFERROR(SMALL(IF(('Daily Sale entry '!$Q$2:$Q$1501="Collection 收款")*('Daily Sale entry '!$R$2:$R$1501="Cheque 支票")*('Daily Sale entry '!$V$2:$V$1501=""),ROW('Daily Sale entry '!$Q$2:$Q$1501)),190),"")</f>
        <v/>
      </c>
    </row>
    <row r="197">
      <c r="A197">
        <f>IF(G197="","",191)</f>
        <v/>
      </c>
      <c r="B197" s="5">
        <f>IF(G197="","",INDEX('Daily Sale entry '!$O$1:$O$1501,G197))</f>
        <v/>
      </c>
      <c r="C197">
        <f>IF(G197="","",INDEX('Daily Sale entry '!$P$1:$P$1501,G197))</f>
        <v/>
      </c>
      <c r="D197" s="6">
        <f>IF(G197="","",INDEX('Daily Sale entry '!$S$1:$S$1501,G197))</f>
        <v/>
      </c>
      <c r="E197">
        <f>IF(G197="","",INDEX('Daily Sale entry '!$U$1:$U$1501,G197)&amp;"")</f>
        <v/>
      </c>
      <c r="G197" s="21">
        <f t="array" ref="G197">IFERROR(SMALL(IF(('Daily Sale entry '!$Q$2:$Q$1501="Collection 收款")*('Daily Sale entry '!$R$2:$R$1501="Cheque 支票")*('Daily Sale entry '!$V$2:$V$1501=""),ROW('Daily Sale entry '!$Q$2:$Q$1501)),191),"")</f>
        <v/>
      </c>
    </row>
    <row r="198">
      <c r="A198">
        <f>IF(G198="","",192)</f>
        <v/>
      </c>
      <c r="B198" s="5">
        <f>IF(G198="","",INDEX('Daily Sale entry '!$O$1:$O$1501,G198))</f>
        <v/>
      </c>
      <c r="C198">
        <f>IF(G198="","",INDEX('Daily Sale entry '!$P$1:$P$1501,G198))</f>
        <v/>
      </c>
      <c r="D198" s="6">
        <f>IF(G198="","",INDEX('Daily Sale entry '!$S$1:$S$1501,G198))</f>
        <v/>
      </c>
      <c r="E198">
        <f>IF(G198="","",INDEX('Daily Sale entry '!$U$1:$U$1501,G198)&amp;"")</f>
        <v/>
      </c>
      <c r="G198" s="21">
        <f t="array" ref="G198">IFERROR(SMALL(IF(('Daily Sale entry '!$Q$2:$Q$1501="Collection 收款")*('Daily Sale entry '!$R$2:$R$1501="Cheque 支票")*('Daily Sale entry '!$V$2:$V$1501=""),ROW('Daily Sale entry '!$Q$2:$Q$1501)),192),"")</f>
        <v/>
      </c>
    </row>
    <row r="199">
      <c r="A199">
        <f>IF(G199="","",193)</f>
        <v/>
      </c>
      <c r="B199" s="5">
        <f>IF(G199="","",INDEX('Daily Sale entry '!$O$1:$O$1501,G199))</f>
        <v/>
      </c>
      <c r="C199">
        <f>IF(G199="","",INDEX('Daily Sale entry '!$P$1:$P$1501,G199))</f>
        <v/>
      </c>
      <c r="D199" s="6">
        <f>IF(G199="","",INDEX('Daily Sale entry '!$S$1:$S$1501,G199))</f>
        <v/>
      </c>
      <c r="E199">
        <f>IF(G199="","",INDEX('Daily Sale entry '!$U$1:$U$1501,G199)&amp;"")</f>
        <v/>
      </c>
      <c r="G199" s="21">
        <f t="array" ref="G199">IFERROR(SMALL(IF(('Daily Sale entry '!$Q$2:$Q$1501="Collection 收款")*('Daily Sale entry '!$R$2:$R$1501="Cheque 支票")*('Daily Sale entry '!$V$2:$V$1501=""),ROW('Daily Sale entry '!$Q$2:$Q$1501)),193),"")</f>
        <v/>
      </c>
    </row>
    <row r="200">
      <c r="A200">
        <f>IF(G200="","",194)</f>
        <v/>
      </c>
      <c r="B200" s="5">
        <f>IF(G200="","",INDEX('Daily Sale entry '!$O$1:$O$1501,G200))</f>
        <v/>
      </c>
      <c r="C200">
        <f>IF(G200="","",INDEX('Daily Sale entry '!$P$1:$P$1501,G200))</f>
        <v/>
      </c>
      <c r="D200" s="6">
        <f>IF(G200="","",INDEX('Daily Sale entry '!$S$1:$S$1501,G200))</f>
        <v/>
      </c>
      <c r="E200">
        <f>IF(G200="","",INDEX('Daily Sale entry '!$U$1:$U$1501,G200)&amp;"")</f>
        <v/>
      </c>
      <c r="G200" s="21">
        <f t="array" ref="G200">IFERROR(SMALL(IF(('Daily Sale entry '!$Q$2:$Q$1501="Collection 收款")*('Daily Sale entry '!$R$2:$R$1501="Cheque 支票")*('Daily Sale entry '!$V$2:$V$1501=""),ROW('Daily Sale entry '!$Q$2:$Q$1501)),194),"")</f>
        <v/>
      </c>
    </row>
    <row r="201">
      <c r="A201">
        <f>IF(G201="","",195)</f>
        <v/>
      </c>
      <c r="B201" s="5">
        <f>IF(G201="","",INDEX('Daily Sale entry '!$O$1:$O$1501,G201))</f>
        <v/>
      </c>
      <c r="C201">
        <f>IF(G201="","",INDEX('Daily Sale entry '!$P$1:$P$1501,G201))</f>
        <v/>
      </c>
      <c r="D201" s="6">
        <f>IF(G201="","",INDEX('Daily Sale entry '!$S$1:$S$1501,G201))</f>
        <v/>
      </c>
      <c r="E201">
        <f>IF(G201="","",INDEX('Daily Sale entry '!$U$1:$U$1501,G201)&amp;"")</f>
        <v/>
      </c>
      <c r="G201" s="21">
        <f t="array" ref="G201">IFERROR(SMALL(IF(('Daily Sale entry '!$Q$2:$Q$1501="Collection 收款")*('Daily Sale entry '!$R$2:$R$1501="Cheque 支票")*('Daily Sale entry '!$V$2:$V$1501=""),ROW('Daily Sale entry '!$Q$2:$Q$1501)),195),"")</f>
        <v/>
      </c>
    </row>
    <row r="202">
      <c r="A202">
        <f>IF(G202="","",196)</f>
        <v/>
      </c>
      <c r="B202" s="5">
        <f>IF(G202="","",INDEX('Daily Sale entry '!$O$1:$O$1501,G202))</f>
        <v/>
      </c>
      <c r="C202">
        <f>IF(G202="","",INDEX('Daily Sale entry '!$P$1:$P$1501,G202))</f>
        <v/>
      </c>
      <c r="D202" s="6">
        <f>IF(G202="","",INDEX('Daily Sale entry '!$S$1:$S$1501,G202))</f>
        <v/>
      </c>
      <c r="E202">
        <f>IF(G202="","",INDEX('Daily Sale entry '!$U$1:$U$1501,G202)&amp;"")</f>
        <v/>
      </c>
      <c r="G202" s="21">
        <f t="array" ref="G202">IFERROR(SMALL(IF(('Daily Sale entry '!$Q$2:$Q$1501="Collection 收款")*('Daily Sale entry '!$R$2:$R$1501="Cheque 支票")*('Daily Sale entry '!$V$2:$V$1501=""),ROW('Daily Sale entry '!$Q$2:$Q$1501)),196),"")</f>
        <v/>
      </c>
    </row>
    <row r="203">
      <c r="A203">
        <f>IF(G203="","",197)</f>
        <v/>
      </c>
      <c r="B203" s="5">
        <f>IF(G203="","",INDEX('Daily Sale entry '!$O$1:$O$1501,G203))</f>
        <v/>
      </c>
      <c r="C203">
        <f>IF(G203="","",INDEX('Daily Sale entry '!$P$1:$P$1501,G203))</f>
        <v/>
      </c>
      <c r="D203" s="6">
        <f>IF(G203="","",INDEX('Daily Sale entry '!$S$1:$S$1501,G203))</f>
        <v/>
      </c>
      <c r="E203">
        <f>IF(G203="","",INDEX('Daily Sale entry '!$U$1:$U$1501,G203)&amp;"")</f>
        <v/>
      </c>
      <c r="G203" s="21">
        <f t="array" ref="G203">IFERROR(SMALL(IF(('Daily Sale entry '!$Q$2:$Q$1501="Collection 收款")*('Daily Sale entry '!$R$2:$R$1501="Cheque 支票")*('Daily Sale entry '!$V$2:$V$1501=""),ROW('Daily Sale entry '!$Q$2:$Q$1501)),197),"")</f>
        <v/>
      </c>
    </row>
    <row r="204">
      <c r="A204">
        <f>IF(G204="","",198)</f>
        <v/>
      </c>
      <c r="B204" s="5">
        <f>IF(G204="","",INDEX('Daily Sale entry '!$O$1:$O$1501,G204))</f>
        <v/>
      </c>
      <c r="C204">
        <f>IF(G204="","",INDEX('Daily Sale entry '!$P$1:$P$1501,G204))</f>
        <v/>
      </c>
      <c r="D204" s="6">
        <f>IF(G204="","",INDEX('Daily Sale entry '!$S$1:$S$1501,G204))</f>
        <v/>
      </c>
      <c r="E204">
        <f>IF(G204="","",INDEX('Daily Sale entry '!$U$1:$U$1501,G204)&amp;"")</f>
        <v/>
      </c>
      <c r="G204" s="21">
        <f t="array" ref="G204">IFERROR(SMALL(IF(('Daily Sale entry '!$Q$2:$Q$1501="Collection 收款")*('Daily Sale entry '!$R$2:$R$1501="Cheque 支票")*('Daily Sale entry '!$V$2:$V$1501=""),ROW('Daily Sale entry '!$Q$2:$Q$1501)),198),"")</f>
        <v/>
      </c>
    </row>
    <row r="205">
      <c r="A205">
        <f>IF(G205="","",199)</f>
        <v/>
      </c>
      <c r="B205" s="5">
        <f>IF(G205="","",INDEX('Daily Sale entry '!$O$1:$O$1501,G205))</f>
        <v/>
      </c>
      <c r="C205">
        <f>IF(G205="","",INDEX('Daily Sale entry '!$P$1:$P$1501,G205))</f>
        <v/>
      </c>
      <c r="D205" s="6">
        <f>IF(G205="","",INDEX('Daily Sale entry '!$S$1:$S$1501,G205))</f>
        <v/>
      </c>
      <c r="E205">
        <f>IF(G205="","",INDEX('Daily Sale entry '!$U$1:$U$1501,G205)&amp;"")</f>
        <v/>
      </c>
      <c r="G205" s="21">
        <f t="array" ref="G205">IFERROR(SMALL(IF(('Daily Sale entry '!$Q$2:$Q$1501="Collection 收款")*('Daily Sale entry '!$R$2:$R$1501="Cheque 支票")*('Daily Sale entry '!$V$2:$V$1501=""),ROW('Daily Sale entry '!$Q$2:$Q$1501)),199),"")</f>
        <v/>
      </c>
    </row>
    <row r="206">
      <c r="A206">
        <f>IF(G206="","",200)</f>
        <v/>
      </c>
      <c r="B206" s="5">
        <f>IF(G206="","",INDEX('Daily Sale entry '!$O$1:$O$1501,G206))</f>
        <v/>
      </c>
      <c r="C206">
        <f>IF(G206="","",INDEX('Daily Sale entry '!$P$1:$P$1501,G206))</f>
        <v/>
      </c>
      <c r="D206" s="6">
        <f>IF(G206="","",INDEX('Daily Sale entry '!$S$1:$S$1501,G206))</f>
        <v/>
      </c>
      <c r="E206">
        <f>IF(G206="","",INDEX('Daily Sale entry '!$U$1:$U$1501,G206)&amp;"")</f>
        <v/>
      </c>
      <c r="G206" s="21">
        <f t="array" ref="G206">IFERROR(SMALL(IF(('Daily Sale entry '!$Q$2:$Q$1501="Collection 收款")*('Daily Sale entry '!$R$2:$R$1501="Cheque 支票")*('Daily Sale entry '!$V$2:$V$1501=""),ROW('Daily Sale entry '!$Q$2:$Q$1501)),200),"")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G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</cols>
  <sheetData>
    <row r="1">
      <c r="A1" s="15" t="inlineStr">
        <is>
          <t>DEBTOR SUMMARY 债务人总表 - all buyers 所有买家</t>
        </is>
      </c>
    </row>
    <row r="2">
      <c r="A2" t="inlineStr">
        <is>
          <t>All automatic. Buyer names &amp; opening balances are keyed in sheet Opening Balance. 全部自动,买家名称及期初欠款请填在 Opening Balance 表。</t>
        </is>
      </c>
    </row>
    <row r="3">
      <c r="A3" s="20" t="inlineStr">
        <is>
          <t>Buyer
买家</t>
        </is>
      </c>
      <c r="B3" s="20" t="inlineStr">
        <is>
          <t>Opening balance
期初欠款</t>
        </is>
      </c>
      <c r="C3" s="20" t="inlineStr">
        <is>
          <t>Credit sales
赊销</t>
        </is>
      </c>
      <c r="D3" s="20" t="inlineStr">
        <is>
          <t>Collections (cash/cheque)
收款(现金/支票)</t>
        </is>
      </c>
      <c r="E3" s="20" t="inlineStr">
        <is>
          <t>Online collections
网上收款</t>
        </is>
      </c>
      <c r="F3" s="20" t="inlineStr">
        <is>
          <t>Discount
折扣</t>
        </is>
      </c>
      <c r="G3" s="20" t="inlineStr">
        <is>
          <t>Balance owing
欠款余额</t>
        </is>
      </c>
    </row>
    <row r="4">
      <c r="A4" s="22" t="inlineStr">
        <is>
          <t>TOTAL 总计</t>
        </is>
      </c>
      <c r="B4" s="23">
        <f>SUM(B5:B304)</f>
        <v/>
      </c>
      <c r="C4" s="23">
        <f>SUM(C5:C304)</f>
        <v/>
      </c>
      <c r="D4" s="23">
        <f>SUM(D5:D304)</f>
        <v/>
      </c>
      <c r="E4" s="23">
        <f>SUM(E5:E304)</f>
        <v/>
      </c>
      <c r="F4" s="23">
        <f>SUM(F5:F304)</f>
        <v/>
      </c>
      <c r="G4" s="23">
        <f>SUM(G5:G304)</f>
        <v/>
      </c>
    </row>
    <row r="5">
      <c r="A5">
        <f>IF('Opening Balance'!I4="","",'Opening Balance'!I4)</f>
        <v/>
      </c>
      <c r="B5" s="6">
        <f>IF($A5="","",SUMIFS('Opening Balance'!$F$4:$F$303,'Opening Balance'!$G$4:$G$303,$A5))</f>
        <v/>
      </c>
      <c r="C5" s="6">
        <f>IF($A5="","",SUMIFS('Daily Sale entry '!$S$2:$S$1501,'Daily Sale entry '!$P$2:$P$1501,$A5,'Daily Sale entry '!$Q$2:$Q$1501,"Credit Sale 赊销"))</f>
        <v/>
      </c>
      <c r="D5" s="6">
        <f>IF($A5="","",SUMIFS('Daily Sale entry '!$S$2:$S$1501,'Daily Sale entry '!$P$2:$P$1501,$A5,'Daily Sale entry '!$Q$2:$Q$1501,"Collection 收款"))</f>
        <v/>
      </c>
      <c r="E5" s="6">
        <f>IF($A5="","",SUMIFS('Daily Sale entry '!$AC$2:$AC$1501,'Daily Sale entry '!$AA$2:$AA$1501,$A5,'Daily Sale entry '!$Z$2:$Z$1501,"Online collection 网上收款"))</f>
        <v/>
      </c>
      <c r="F5" s="6">
        <f>IF($A5="","",SUMIFS('Debtor Ledger'!$K$2:$K$3001,'Debtor Ledger'!$C$2:$C$3001,$A5))</f>
        <v/>
      </c>
      <c r="G5" s="6">
        <f>IF($A5="","",ROUND(B5+C5-D5-E5-F5,2))</f>
        <v/>
      </c>
    </row>
    <row r="6">
      <c r="A6">
        <f>IF('Opening Balance'!I5="","",'Opening Balance'!I5)</f>
        <v/>
      </c>
      <c r="B6" s="6">
        <f>IF($A6="","",SUMIFS('Opening Balance'!$F$4:$F$303,'Opening Balance'!$G$4:$G$303,$A6))</f>
        <v/>
      </c>
      <c r="C6" s="6">
        <f>IF($A6="","",SUMIFS('Daily Sale entry '!$S$2:$S$1501,'Daily Sale entry '!$P$2:$P$1501,$A6,'Daily Sale entry '!$Q$2:$Q$1501,"Credit Sale 赊销"))</f>
        <v/>
      </c>
      <c r="D6" s="6">
        <f>IF($A6="","",SUMIFS('Daily Sale entry '!$S$2:$S$1501,'Daily Sale entry '!$P$2:$P$1501,$A6,'Daily Sale entry '!$Q$2:$Q$1501,"Collection 收款"))</f>
        <v/>
      </c>
      <c r="E6" s="6">
        <f>IF($A6="","",SUMIFS('Daily Sale entry '!$AC$2:$AC$1501,'Daily Sale entry '!$AA$2:$AA$1501,$A6,'Daily Sale entry '!$Z$2:$Z$1501,"Online collection 网上收款"))</f>
        <v/>
      </c>
      <c r="F6" s="6">
        <f>IF($A6="","",SUMIFS('Debtor Ledger'!$K$2:$K$3001,'Debtor Ledger'!$C$2:$C$3001,$A6))</f>
        <v/>
      </c>
      <c r="G6" s="6">
        <f>IF($A6="","",ROUND(B6+C6-D6-E6-F6,2))</f>
        <v/>
      </c>
    </row>
    <row r="7">
      <c r="A7">
        <f>IF('Opening Balance'!I6="","",'Opening Balance'!I6)</f>
        <v/>
      </c>
      <c r="B7" s="6">
        <f>IF($A7="","",SUMIFS('Opening Balance'!$F$4:$F$303,'Opening Balance'!$G$4:$G$303,$A7))</f>
        <v/>
      </c>
      <c r="C7" s="6">
        <f>IF($A7="","",SUMIFS('Daily Sale entry '!$S$2:$S$1501,'Daily Sale entry '!$P$2:$P$1501,$A7,'Daily Sale entry '!$Q$2:$Q$1501,"Credit Sale 赊销"))</f>
        <v/>
      </c>
      <c r="D7" s="6">
        <f>IF($A7="","",SUMIFS('Daily Sale entry '!$S$2:$S$1501,'Daily Sale entry '!$P$2:$P$1501,$A7,'Daily Sale entry '!$Q$2:$Q$1501,"Collection 收款"))</f>
        <v/>
      </c>
      <c r="E7" s="6">
        <f>IF($A7="","",SUMIFS('Daily Sale entry '!$AC$2:$AC$1501,'Daily Sale entry '!$AA$2:$AA$1501,$A7,'Daily Sale entry '!$Z$2:$Z$1501,"Online collection 网上收款"))</f>
        <v/>
      </c>
      <c r="F7" s="6">
        <f>IF($A7="","",SUMIFS('Debtor Ledger'!$K$2:$K$3001,'Debtor Ledger'!$C$2:$C$3001,$A7))</f>
        <v/>
      </c>
      <c r="G7" s="6">
        <f>IF($A7="","",ROUND(B7+C7-D7-E7-F7,2))</f>
        <v/>
      </c>
    </row>
    <row r="8">
      <c r="A8">
        <f>IF('Opening Balance'!I7="","",'Opening Balance'!I7)</f>
        <v/>
      </c>
      <c r="B8" s="6">
        <f>IF($A8="","",SUMIFS('Opening Balance'!$F$4:$F$303,'Opening Balance'!$G$4:$G$303,$A8))</f>
        <v/>
      </c>
      <c r="C8" s="6">
        <f>IF($A8="","",SUMIFS('Daily Sale entry '!$S$2:$S$1501,'Daily Sale entry '!$P$2:$P$1501,$A8,'Daily Sale entry '!$Q$2:$Q$1501,"Credit Sale 赊销"))</f>
        <v/>
      </c>
      <c r="D8" s="6">
        <f>IF($A8="","",SUMIFS('Daily Sale entry '!$S$2:$S$1501,'Daily Sale entry '!$P$2:$P$1501,$A8,'Daily Sale entry '!$Q$2:$Q$1501,"Collection 收款"))</f>
        <v/>
      </c>
      <c r="E8" s="6">
        <f>IF($A8="","",SUMIFS('Daily Sale entry '!$AC$2:$AC$1501,'Daily Sale entry '!$AA$2:$AA$1501,$A8,'Daily Sale entry '!$Z$2:$Z$1501,"Online collection 网上收款"))</f>
        <v/>
      </c>
      <c r="F8" s="6">
        <f>IF($A8="","",SUMIFS('Debtor Ledger'!$K$2:$K$3001,'Debtor Ledger'!$C$2:$C$3001,$A8))</f>
        <v/>
      </c>
      <c r="G8" s="6">
        <f>IF($A8="","",ROUND(B8+C8-D8-E8-F8,2))</f>
        <v/>
      </c>
    </row>
    <row r="9">
      <c r="A9">
        <f>IF('Opening Balance'!I8="","",'Opening Balance'!I8)</f>
        <v/>
      </c>
      <c r="B9" s="6">
        <f>IF($A9="","",SUMIFS('Opening Balance'!$F$4:$F$303,'Opening Balance'!$G$4:$G$303,$A9))</f>
        <v/>
      </c>
      <c r="C9" s="6">
        <f>IF($A9="","",SUMIFS('Daily Sale entry '!$S$2:$S$1501,'Daily Sale entry '!$P$2:$P$1501,$A9,'Daily Sale entry '!$Q$2:$Q$1501,"Credit Sale 赊销"))</f>
        <v/>
      </c>
      <c r="D9" s="6">
        <f>IF($A9="","",SUMIFS('Daily Sale entry '!$S$2:$S$1501,'Daily Sale entry '!$P$2:$P$1501,$A9,'Daily Sale entry '!$Q$2:$Q$1501,"Collection 收款"))</f>
        <v/>
      </c>
      <c r="E9" s="6">
        <f>IF($A9="","",SUMIFS('Daily Sale entry '!$AC$2:$AC$1501,'Daily Sale entry '!$AA$2:$AA$1501,$A9,'Daily Sale entry '!$Z$2:$Z$1501,"Online collection 网上收款"))</f>
        <v/>
      </c>
      <c r="F9" s="6">
        <f>IF($A9="","",SUMIFS('Debtor Ledger'!$K$2:$K$3001,'Debtor Ledger'!$C$2:$C$3001,$A9))</f>
        <v/>
      </c>
      <c r="G9" s="6">
        <f>IF($A9="","",ROUND(B9+C9-D9-E9-F9,2))</f>
        <v/>
      </c>
    </row>
    <row r="10">
      <c r="A10">
        <f>IF('Opening Balance'!I9="","",'Opening Balance'!I9)</f>
        <v/>
      </c>
      <c r="B10" s="6">
        <f>IF($A10="","",SUMIFS('Opening Balance'!$F$4:$F$303,'Opening Balance'!$G$4:$G$303,$A10))</f>
        <v/>
      </c>
      <c r="C10" s="6">
        <f>IF($A10="","",SUMIFS('Daily Sale entry '!$S$2:$S$1501,'Daily Sale entry '!$P$2:$P$1501,$A10,'Daily Sale entry '!$Q$2:$Q$1501,"Credit Sale 赊销"))</f>
        <v/>
      </c>
      <c r="D10" s="6">
        <f>IF($A10="","",SUMIFS('Daily Sale entry '!$S$2:$S$1501,'Daily Sale entry '!$P$2:$P$1501,$A10,'Daily Sale entry '!$Q$2:$Q$1501,"Collection 收款"))</f>
        <v/>
      </c>
      <c r="E10" s="6">
        <f>IF($A10="","",SUMIFS('Daily Sale entry '!$AC$2:$AC$1501,'Daily Sale entry '!$AA$2:$AA$1501,$A10,'Daily Sale entry '!$Z$2:$Z$1501,"Online collection 网上收款"))</f>
        <v/>
      </c>
      <c r="F10" s="6">
        <f>IF($A10="","",SUMIFS('Debtor Ledger'!$K$2:$K$3001,'Debtor Ledger'!$C$2:$C$3001,$A10))</f>
        <v/>
      </c>
      <c r="G10" s="6">
        <f>IF($A10="","",ROUND(B10+C10-D10-E10-F10,2))</f>
        <v/>
      </c>
    </row>
    <row r="11">
      <c r="A11">
        <f>IF('Opening Balance'!I10="","",'Opening Balance'!I10)</f>
        <v/>
      </c>
      <c r="B11" s="6">
        <f>IF($A11="","",SUMIFS('Opening Balance'!$F$4:$F$303,'Opening Balance'!$G$4:$G$303,$A11))</f>
        <v/>
      </c>
      <c r="C11" s="6">
        <f>IF($A11="","",SUMIFS('Daily Sale entry '!$S$2:$S$1501,'Daily Sale entry '!$P$2:$P$1501,$A11,'Daily Sale entry '!$Q$2:$Q$1501,"Credit Sale 赊销"))</f>
        <v/>
      </c>
      <c r="D11" s="6">
        <f>IF($A11="","",SUMIFS('Daily Sale entry '!$S$2:$S$1501,'Daily Sale entry '!$P$2:$P$1501,$A11,'Daily Sale entry '!$Q$2:$Q$1501,"Collection 收款"))</f>
        <v/>
      </c>
      <c r="E11" s="6">
        <f>IF($A11="","",SUMIFS('Daily Sale entry '!$AC$2:$AC$1501,'Daily Sale entry '!$AA$2:$AA$1501,$A11,'Daily Sale entry '!$Z$2:$Z$1501,"Online collection 网上收款"))</f>
        <v/>
      </c>
      <c r="F11" s="6">
        <f>IF($A11="","",SUMIFS('Debtor Ledger'!$K$2:$K$3001,'Debtor Ledger'!$C$2:$C$3001,$A11))</f>
        <v/>
      </c>
      <c r="G11" s="6">
        <f>IF($A11="","",ROUND(B11+C11-D11-E11-F11,2))</f>
        <v/>
      </c>
    </row>
    <row r="12">
      <c r="A12">
        <f>IF('Opening Balance'!I11="","",'Opening Balance'!I11)</f>
        <v/>
      </c>
      <c r="B12" s="6">
        <f>IF($A12="","",SUMIFS('Opening Balance'!$F$4:$F$303,'Opening Balance'!$G$4:$G$303,$A12))</f>
        <v/>
      </c>
      <c r="C12" s="6">
        <f>IF($A12="","",SUMIFS('Daily Sale entry '!$S$2:$S$1501,'Daily Sale entry '!$P$2:$P$1501,$A12,'Daily Sale entry '!$Q$2:$Q$1501,"Credit Sale 赊销"))</f>
        <v/>
      </c>
      <c r="D12" s="6">
        <f>IF($A12="","",SUMIFS('Daily Sale entry '!$S$2:$S$1501,'Daily Sale entry '!$P$2:$P$1501,$A12,'Daily Sale entry '!$Q$2:$Q$1501,"Collection 收款"))</f>
        <v/>
      </c>
      <c r="E12" s="6">
        <f>IF($A12="","",SUMIFS('Daily Sale entry '!$AC$2:$AC$1501,'Daily Sale entry '!$AA$2:$AA$1501,$A12,'Daily Sale entry '!$Z$2:$Z$1501,"Online collection 网上收款"))</f>
        <v/>
      </c>
      <c r="F12" s="6">
        <f>IF($A12="","",SUMIFS('Debtor Ledger'!$K$2:$K$3001,'Debtor Ledger'!$C$2:$C$3001,$A12))</f>
        <v/>
      </c>
      <c r="G12" s="6">
        <f>IF($A12="","",ROUND(B12+C12-D12-E12-F12,2))</f>
        <v/>
      </c>
    </row>
    <row r="13">
      <c r="A13">
        <f>IF('Opening Balance'!I12="","",'Opening Balance'!I12)</f>
        <v/>
      </c>
      <c r="B13" s="6">
        <f>IF($A13="","",SUMIFS('Opening Balance'!$F$4:$F$303,'Opening Balance'!$G$4:$G$303,$A13))</f>
        <v/>
      </c>
      <c r="C13" s="6">
        <f>IF($A13="","",SUMIFS('Daily Sale entry '!$S$2:$S$1501,'Daily Sale entry '!$P$2:$P$1501,$A13,'Daily Sale entry '!$Q$2:$Q$1501,"Credit Sale 赊销"))</f>
        <v/>
      </c>
      <c r="D13" s="6">
        <f>IF($A13="","",SUMIFS('Daily Sale entry '!$S$2:$S$1501,'Daily Sale entry '!$P$2:$P$1501,$A13,'Daily Sale entry '!$Q$2:$Q$1501,"Collection 收款"))</f>
        <v/>
      </c>
      <c r="E13" s="6">
        <f>IF($A13="","",SUMIFS('Daily Sale entry '!$AC$2:$AC$1501,'Daily Sale entry '!$AA$2:$AA$1501,$A13,'Daily Sale entry '!$Z$2:$Z$1501,"Online collection 网上收款"))</f>
        <v/>
      </c>
      <c r="F13" s="6">
        <f>IF($A13="","",SUMIFS('Debtor Ledger'!$K$2:$K$3001,'Debtor Ledger'!$C$2:$C$3001,$A13))</f>
        <v/>
      </c>
      <c r="G13" s="6">
        <f>IF($A13="","",ROUND(B13+C13-D13-E13-F13,2))</f>
        <v/>
      </c>
    </row>
    <row r="14">
      <c r="A14">
        <f>IF('Opening Balance'!I13="","",'Opening Balance'!I13)</f>
        <v/>
      </c>
      <c r="B14" s="6">
        <f>IF($A14="","",SUMIFS('Opening Balance'!$F$4:$F$303,'Opening Balance'!$G$4:$G$303,$A14))</f>
        <v/>
      </c>
      <c r="C14" s="6">
        <f>IF($A14="","",SUMIFS('Daily Sale entry '!$S$2:$S$1501,'Daily Sale entry '!$P$2:$P$1501,$A14,'Daily Sale entry '!$Q$2:$Q$1501,"Credit Sale 赊销"))</f>
        <v/>
      </c>
      <c r="D14" s="6">
        <f>IF($A14="","",SUMIFS('Daily Sale entry '!$S$2:$S$1501,'Daily Sale entry '!$P$2:$P$1501,$A14,'Daily Sale entry '!$Q$2:$Q$1501,"Collection 收款"))</f>
        <v/>
      </c>
      <c r="E14" s="6">
        <f>IF($A14="","",SUMIFS('Daily Sale entry '!$AC$2:$AC$1501,'Daily Sale entry '!$AA$2:$AA$1501,$A14,'Daily Sale entry '!$Z$2:$Z$1501,"Online collection 网上收款"))</f>
        <v/>
      </c>
      <c r="F14" s="6">
        <f>IF($A14="","",SUMIFS('Debtor Ledger'!$K$2:$K$3001,'Debtor Ledger'!$C$2:$C$3001,$A14))</f>
        <v/>
      </c>
      <c r="G14" s="6">
        <f>IF($A14="","",ROUND(B14+C14-D14-E14-F14,2))</f>
        <v/>
      </c>
    </row>
    <row r="15">
      <c r="A15">
        <f>IF('Opening Balance'!I14="","",'Opening Balance'!I14)</f>
        <v/>
      </c>
      <c r="B15" s="6">
        <f>IF($A15="","",SUMIFS('Opening Balance'!$F$4:$F$303,'Opening Balance'!$G$4:$G$303,$A15))</f>
        <v/>
      </c>
      <c r="C15" s="6">
        <f>IF($A15="","",SUMIFS('Daily Sale entry '!$S$2:$S$1501,'Daily Sale entry '!$P$2:$P$1501,$A15,'Daily Sale entry '!$Q$2:$Q$1501,"Credit Sale 赊销"))</f>
        <v/>
      </c>
      <c r="D15" s="6">
        <f>IF($A15="","",SUMIFS('Daily Sale entry '!$S$2:$S$1501,'Daily Sale entry '!$P$2:$P$1501,$A15,'Daily Sale entry '!$Q$2:$Q$1501,"Collection 收款"))</f>
        <v/>
      </c>
      <c r="E15" s="6">
        <f>IF($A15="","",SUMIFS('Daily Sale entry '!$AC$2:$AC$1501,'Daily Sale entry '!$AA$2:$AA$1501,$A15,'Daily Sale entry '!$Z$2:$Z$1501,"Online collection 网上收款"))</f>
        <v/>
      </c>
      <c r="F15" s="6">
        <f>IF($A15="","",SUMIFS('Debtor Ledger'!$K$2:$K$3001,'Debtor Ledger'!$C$2:$C$3001,$A15))</f>
        <v/>
      </c>
      <c r="G15" s="6">
        <f>IF($A15="","",ROUND(B15+C15-D15-E15-F15,2))</f>
        <v/>
      </c>
    </row>
    <row r="16">
      <c r="A16">
        <f>IF('Opening Balance'!I15="","",'Opening Balance'!I15)</f>
        <v/>
      </c>
      <c r="B16" s="6">
        <f>IF($A16="","",SUMIFS('Opening Balance'!$F$4:$F$303,'Opening Balance'!$G$4:$G$303,$A16))</f>
        <v/>
      </c>
      <c r="C16" s="6">
        <f>IF($A16="","",SUMIFS('Daily Sale entry '!$S$2:$S$1501,'Daily Sale entry '!$P$2:$P$1501,$A16,'Daily Sale entry '!$Q$2:$Q$1501,"Credit Sale 赊销"))</f>
        <v/>
      </c>
      <c r="D16" s="6">
        <f>IF($A16="","",SUMIFS('Daily Sale entry '!$S$2:$S$1501,'Daily Sale entry '!$P$2:$P$1501,$A16,'Daily Sale entry '!$Q$2:$Q$1501,"Collection 收款"))</f>
        <v/>
      </c>
      <c r="E16" s="6">
        <f>IF($A16="","",SUMIFS('Daily Sale entry '!$AC$2:$AC$1501,'Daily Sale entry '!$AA$2:$AA$1501,$A16,'Daily Sale entry '!$Z$2:$Z$1501,"Online collection 网上收款"))</f>
        <v/>
      </c>
      <c r="F16" s="6">
        <f>IF($A16="","",SUMIFS('Debtor Ledger'!$K$2:$K$3001,'Debtor Ledger'!$C$2:$C$3001,$A16))</f>
        <v/>
      </c>
      <c r="G16" s="6">
        <f>IF($A16="","",ROUND(B16+C16-D16-E16-F16,2))</f>
        <v/>
      </c>
    </row>
    <row r="17">
      <c r="A17">
        <f>IF('Opening Balance'!I16="","",'Opening Balance'!I16)</f>
        <v/>
      </c>
      <c r="B17" s="6">
        <f>IF($A17="","",SUMIFS('Opening Balance'!$F$4:$F$303,'Opening Balance'!$G$4:$G$303,$A17))</f>
        <v/>
      </c>
      <c r="C17" s="6">
        <f>IF($A17="","",SUMIFS('Daily Sale entry '!$S$2:$S$1501,'Daily Sale entry '!$P$2:$P$1501,$A17,'Daily Sale entry '!$Q$2:$Q$1501,"Credit Sale 赊销"))</f>
        <v/>
      </c>
      <c r="D17" s="6">
        <f>IF($A17="","",SUMIFS('Daily Sale entry '!$S$2:$S$1501,'Daily Sale entry '!$P$2:$P$1501,$A17,'Daily Sale entry '!$Q$2:$Q$1501,"Collection 收款"))</f>
        <v/>
      </c>
      <c r="E17" s="6">
        <f>IF($A17="","",SUMIFS('Daily Sale entry '!$AC$2:$AC$1501,'Daily Sale entry '!$AA$2:$AA$1501,$A17,'Daily Sale entry '!$Z$2:$Z$1501,"Online collection 网上收款"))</f>
        <v/>
      </c>
      <c r="F17" s="6">
        <f>IF($A17="","",SUMIFS('Debtor Ledger'!$K$2:$K$3001,'Debtor Ledger'!$C$2:$C$3001,$A17))</f>
        <v/>
      </c>
      <c r="G17" s="6">
        <f>IF($A17="","",ROUND(B17+C17-D17-E17-F17,2))</f>
        <v/>
      </c>
    </row>
    <row r="18">
      <c r="A18">
        <f>IF('Opening Balance'!I17="","",'Opening Balance'!I17)</f>
        <v/>
      </c>
      <c r="B18" s="6">
        <f>IF($A18="","",SUMIFS('Opening Balance'!$F$4:$F$303,'Opening Balance'!$G$4:$G$303,$A18))</f>
        <v/>
      </c>
      <c r="C18" s="6">
        <f>IF($A18="","",SUMIFS('Daily Sale entry '!$S$2:$S$1501,'Daily Sale entry '!$P$2:$P$1501,$A18,'Daily Sale entry '!$Q$2:$Q$1501,"Credit Sale 赊销"))</f>
        <v/>
      </c>
      <c r="D18" s="6">
        <f>IF($A18="","",SUMIFS('Daily Sale entry '!$S$2:$S$1501,'Daily Sale entry '!$P$2:$P$1501,$A18,'Daily Sale entry '!$Q$2:$Q$1501,"Collection 收款"))</f>
        <v/>
      </c>
      <c r="E18" s="6">
        <f>IF($A18="","",SUMIFS('Daily Sale entry '!$AC$2:$AC$1501,'Daily Sale entry '!$AA$2:$AA$1501,$A18,'Daily Sale entry '!$Z$2:$Z$1501,"Online collection 网上收款"))</f>
        <v/>
      </c>
      <c r="F18" s="6">
        <f>IF($A18="","",SUMIFS('Debtor Ledger'!$K$2:$K$3001,'Debtor Ledger'!$C$2:$C$3001,$A18))</f>
        <v/>
      </c>
      <c r="G18" s="6">
        <f>IF($A18="","",ROUND(B18+C18-D18-E18-F18,2))</f>
        <v/>
      </c>
    </row>
    <row r="19">
      <c r="A19">
        <f>IF('Opening Balance'!I18="","",'Opening Balance'!I18)</f>
        <v/>
      </c>
      <c r="B19" s="6">
        <f>IF($A19="","",SUMIFS('Opening Balance'!$F$4:$F$303,'Opening Balance'!$G$4:$G$303,$A19))</f>
        <v/>
      </c>
      <c r="C19" s="6">
        <f>IF($A19="","",SUMIFS('Daily Sale entry '!$S$2:$S$1501,'Daily Sale entry '!$P$2:$P$1501,$A19,'Daily Sale entry '!$Q$2:$Q$1501,"Credit Sale 赊销"))</f>
        <v/>
      </c>
      <c r="D19" s="6">
        <f>IF($A19="","",SUMIFS('Daily Sale entry '!$S$2:$S$1501,'Daily Sale entry '!$P$2:$P$1501,$A19,'Daily Sale entry '!$Q$2:$Q$1501,"Collection 收款"))</f>
        <v/>
      </c>
      <c r="E19" s="6">
        <f>IF($A19="","",SUMIFS('Daily Sale entry '!$AC$2:$AC$1501,'Daily Sale entry '!$AA$2:$AA$1501,$A19,'Daily Sale entry '!$Z$2:$Z$1501,"Online collection 网上收款"))</f>
        <v/>
      </c>
      <c r="F19" s="6">
        <f>IF($A19="","",SUMIFS('Debtor Ledger'!$K$2:$K$3001,'Debtor Ledger'!$C$2:$C$3001,$A19))</f>
        <v/>
      </c>
      <c r="G19" s="6">
        <f>IF($A19="","",ROUND(B19+C19-D19-E19-F19,2))</f>
        <v/>
      </c>
    </row>
    <row r="20">
      <c r="A20">
        <f>IF('Opening Balance'!I19="","",'Opening Balance'!I19)</f>
        <v/>
      </c>
      <c r="B20" s="6">
        <f>IF($A20="","",SUMIFS('Opening Balance'!$F$4:$F$303,'Opening Balance'!$G$4:$G$303,$A20))</f>
        <v/>
      </c>
      <c r="C20" s="6">
        <f>IF($A20="","",SUMIFS('Daily Sale entry '!$S$2:$S$1501,'Daily Sale entry '!$P$2:$P$1501,$A20,'Daily Sale entry '!$Q$2:$Q$1501,"Credit Sale 赊销"))</f>
        <v/>
      </c>
      <c r="D20" s="6">
        <f>IF($A20="","",SUMIFS('Daily Sale entry '!$S$2:$S$1501,'Daily Sale entry '!$P$2:$P$1501,$A20,'Daily Sale entry '!$Q$2:$Q$1501,"Collection 收款"))</f>
        <v/>
      </c>
      <c r="E20" s="6">
        <f>IF($A20="","",SUMIFS('Daily Sale entry '!$AC$2:$AC$1501,'Daily Sale entry '!$AA$2:$AA$1501,$A20,'Daily Sale entry '!$Z$2:$Z$1501,"Online collection 网上收款"))</f>
        <v/>
      </c>
      <c r="F20" s="6">
        <f>IF($A20="","",SUMIFS('Debtor Ledger'!$K$2:$K$3001,'Debtor Ledger'!$C$2:$C$3001,$A20))</f>
        <v/>
      </c>
      <c r="G20" s="6">
        <f>IF($A20="","",ROUND(B20+C20-D20-E20-F20,2))</f>
        <v/>
      </c>
    </row>
    <row r="21">
      <c r="A21">
        <f>IF('Opening Balance'!I20="","",'Opening Balance'!I20)</f>
        <v/>
      </c>
      <c r="B21" s="6">
        <f>IF($A21="","",SUMIFS('Opening Balance'!$F$4:$F$303,'Opening Balance'!$G$4:$G$303,$A21))</f>
        <v/>
      </c>
      <c r="C21" s="6">
        <f>IF($A21="","",SUMIFS('Daily Sale entry '!$S$2:$S$1501,'Daily Sale entry '!$P$2:$P$1501,$A21,'Daily Sale entry '!$Q$2:$Q$1501,"Credit Sale 赊销"))</f>
        <v/>
      </c>
      <c r="D21" s="6">
        <f>IF($A21="","",SUMIFS('Daily Sale entry '!$S$2:$S$1501,'Daily Sale entry '!$P$2:$P$1501,$A21,'Daily Sale entry '!$Q$2:$Q$1501,"Collection 收款"))</f>
        <v/>
      </c>
      <c r="E21" s="6">
        <f>IF($A21="","",SUMIFS('Daily Sale entry '!$AC$2:$AC$1501,'Daily Sale entry '!$AA$2:$AA$1501,$A21,'Daily Sale entry '!$Z$2:$Z$1501,"Online collection 网上收款"))</f>
        <v/>
      </c>
      <c r="F21" s="6">
        <f>IF($A21="","",SUMIFS('Debtor Ledger'!$K$2:$K$3001,'Debtor Ledger'!$C$2:$C$3001,$A21))</f>
        <v/>
      </c>
      <c r="G21" s="6">
        <f>IF($A21="","",ROUND(B21+C21-D21-E21-F21,2))</f>
        <v/>
      </c>
    </row>
    <row r="22">
      <c r="A22">
        <f>IF('Opening Balance'!I21="","",'Opening Balance'!I21)</f>
        <v/>
      </c>
      <c r="B22" s="6">
        <f>IF($A22="","",SUMIFS('Opening Balance'!$F$4:$F$303,'Opening Balance'!$G$4:$G$303,$A22))</f>
        <v/>
      </c>
      <c r="C22" s="6">
        <f>IF($A22="","",SUMIFS('Daily Sale entry '!$S$2:$S$1501,'Daily Sale entry '!$P$2:$P$1501,$A22,'Daily Sale entry '!$Q$2:$Q$1501,"Credit Sale 赊销"))</f>
        <v/>
      </c>
      <c r="D22" s="6">
        <f>IF($A22="","",SUMIFS('Daily Sale entry '!$S$2:$S$1501,'Daily Sale entry '!$P$2:$P$1501,$A22,'Daily Sale entry '!$Q$2:$Q$1501,"Collection 收款"))</f>
        <v/>
      </c>
      <c r="E22" s="6">
        <f>IF($A22="","",SUMIFS('Daily Sale entry '!$AC$2:$AC$1501,'Daily Sale entry '!$AA$2:$AA$1501,$A22,'Daily Sale entry '!$Z$2:$Z$1501,"Online collection 网上收款"))</f>
        <v/>
      </c>
      <c r="F22" s="6">
        <f>IF($A22="","",SUMIFS('Debtor Ledger'!$K$2:$K$3001,'Debtor Ledger'!$C$2:$C$3001,$A22))</f>
        <v/>
      </c>
      <c r="G22" s="6">
        <f>IF($A22="","",ROUND(B22+C22-D22-E22-F22,2))</f>
        <v/>
      </c>
    </row>
    <row r="23">
      <c r="A23">
        <f>IF('Opening Balance'!I22="","",'Opening Balance'!I22)</f>
        <v/>
      </c>
      <c r="B23" s="6">
        <f>IF($A23="","",SUMIFS('Opening Balance'!$F$4:$F$303,'Opening Balance'!$G$4:$G$303,$A23))</f>
        <v/>
      </c>
      <c r="C23" s="6">
        <f>IF($A23="","",SUMIFS('Daily Sale entry '!$S$2:$S$1501,'Daily Sale entry '!$P$2:$P$1501,$A23,'Daily Sale entry '!$Q$2:$Q$1501,"Credit Sale 赊销"))</f>
        <v/>
      </c>
      <c r="D23" s="6">
        <f>IF($A23="","",SUMIFS('Daily Sale entry '!$S$2:$S$1501,'Daily Sale entry '!$P$2:$P$1501,$A23,'Daily Sale entry '!$Q$2:$Q$1501,"Collection 收款"))</f>
        <v/>
      </c>
      <c r="E23" s="6">
        <f>IF($A23="","",SUMIFS('Daily Sale entry '!$AC$2:$AC$1501,'Daily Sale entry '!$AA$2:$AA$1501,$A23,'Daily Sale entry '!$Z$2:$Z$1501,"Online collection 网上收款"))</f>
        <v/>
      </c>
      <c r="F23" s="6">
        <f>IF($A23="","",SUMIFS('Debtor Ledger'!$K$2:$K$3001,'Debtor Ledger'!$C$2:$C$3001,$A23))</f>
        <v/>
      </c>
      <c r="G23" s="6">
        <f>IF($A23="","",ROUND(B23+C23-D23-E23-F23,2))</f>
        <v/>
      </c>
    </row>
    <row r="24">
      <c r="A24">
        <f>IF('Opening Balance'!I23="","",'Opening Balance'!I23)</f>
        <v/>
      </c>
      <c r="B24" s="6">
        <f>IF($A24="","",SUMIFS('Opening Balance'!$F$4:$F$303,'Opening Balance'!$G$4:$G$303,$A24))</f>
        <v/>
      </c>
      <c r="C24" s="6">
        <f>IF($A24="","",SUMIFS('Daily Sale entry '!$S$2:$S$1501,'Daily Sale entry '!$P$2:$P$1501,$A24,'Daily Sale entry '!$Q$2:$Q$1501,"Credit Sale 赊销"))</f>
        <v/>
      </c>
      <c r="D24" s="6">
        <f>IF($A24="","",SUMIFS('Daily Sale entry '!$S$2:$S$1501,'Daily Sale entry '!$P$2:$P$1501,$A24,'Daily Sale entry '!$Q$2:$Q$1501,"Collection 收款"))</f>
        <v/>
      </c>
      <c r="E24" s="6">
        <f>IF($A24="","",SUMIFS('Daily Sale entry '!$AC$2:$AC$1501,'Daily Sale entry '!$AA$2:$AA$1501,$A24,'Daily Sale entry '!$Z$2:$Z$1501,"Online collection 网上收款"))</f>
        <v/>
      </c>
      <c r="F24" s="6">
        <f>IF($A24="","",SUMIFS('Debtor Ledger'!$K$2:$K$3001,'Debtor Ledger'!$C$2:$C$3001,$A24))</f>
        <v/>
      </c>
      <c r="G24" s="6">
        <f>IF($A24="","",ROUND(B24+C24-D24-E24-F24,2))</f>
        <v/>
      </c>
    </row>
    <row r="25">
      <c r="A25">
        <f>IF('Opening Balance'!I24="","",'Opening Balance'!I24)</f>
        <v/>
      </c>
      <c r="B25" s="6">
        <f>IF($A25="","",SUMIFS('Opening Balance'!$F$4:$F$303,'Opening Balance'!$G$4:$G$303,$A25))</f>
        <v/>
      </c>
      <c r="C25" s="6">
        <f>IF($A25="","",SUMIFS('Daily Sale entry '!$S$2:$S$1501,'Daily Sale entry '!$P$2:$P$1501,$A25,'Daily Sale entry '!$Q$2:$Q$1501,"Credit Sale 赊销"))</f>
        <v/>
      </c>
      <c r="D25" s="6">
        <f>IF($A25="","",SUMIFS('Daily Sale entry '!$S$2:$S$1501,'Daily Sale entry '!$P$2:$P$1501,$A25,'Daily Sale entry '!$Q$2:$Q$1501,"Collection 收款"))</f>
        <v/>
      </c>
      <c r="E25" s="6">
        <f>IF($A25="","",SUMIFS('Daily Sale entry '!$AC$2:$AC$1501,'Daily Sale entry '!$AA$2:$AA$1501,$A25,'Daily Sale entry '!$Z$2:$Z$1501,"Online collection 网上收款"))</f>
        <v/>
      </c>
      <c r="F25" s="6">
        <f>IF($A25="","",SUMIFS('Debtor Ledger'!$K$2:$K$3001,'Debtor Ledger'!$C$2:$C$3001,$A25))</f>
        <v/>
      </c>
      <c r="G25" s="6">
        <f>IF($A25="","",ROUND(B25+C25-D25-E25-F25,2))</f>
        <v/>
      </c>
    </row>
    <row r="26">
      <c r="A26">
        <f>IF('Opening Balance'!I25="","",'Opening Balance'!I25)</f>
        <v/>
      </c>
      <c r="B26" s="6">
        <f>IF($A26="","",SUMIFS('Opening Balance'!$F$4:$F$303,'Opening Balance'!$G$4:$G$303,$A26))</f>
        <v/>
      </c>
      <c r="C26" s="6">
        <f>IF($A26="","",SUMIFS('Daily Sale entry '!$S$2:$S$1501,'Daily Sale entry '!$P$2:$P$1501,$A26,'Daily Sale entry '!$Q$2:$Q$1501,"Credit Sale 赊销"))</f>
        <v/>
      </c>
      <c r="D26" s="6">
        <f>IF($A26="","",SUMIFS('Daily Sale entry '!$S$2:$S$1501,'Daily Sale entry '!$P$2:$P$1501,$A26,'Daily Sale entry '!$Q$2:$Q$1501,"Collection 收款"))</f>
        <v/>
      </c>
      <c r="E26" s="6">
        <f>IF($A26="","",SUMIFS('Daily Sale entry '!$AC$2:$AC$1501,'Daily Sale entry '!$AA$2:$AA$1501,$A26,'Daily Sale entry '!$Z$2:$Z$1501,"Online collection 网上收款"))</f>
        <v/>
      </c>
      <c r="F26" s="6">
        <f>IF($A26="","",SUMIFS('Debtor Ledger'!$K$2:$K$3001,'Debtor Ledger'!$C$2:$C$3001,$A26))</f>
        <v/>
      </c>
      <c r="G26" s="6">
        <f>IF($A26="","",ROUND(B26+C26-D26-E26-F26,2))</f>
        <v/>
      </c>
    </row>
    <row r="27">
      <c r="A27">
        <f>IF('Opening Balance'!I26="","",'Opening Balance'!I26)</f>
        <v/>
      </c>
      <c r="B27" s="6">
        <f>IF($A27="","",SUMIFS('Opening Balance'!$F$4:$F$303,'Opening Balance'!$G$4:$G$303,$A27))</f>
        <v/>
      </c>
      <c r="C27" s="6">
        <f>IF($A27="","",SUMIFS('Daily Sale entry '!$S$2:$S$1501,'Daily Sale entry '!$P$2:$P$1501,$A27,'Daily Sale entry '!$Q$2:$Q$1501,"Credit Sale 赊销"))</f>
        <v/>
      </c>
      <c r="D27" s="6">
        <f>IF($A27="","",SUMIFS('Daily Sale entry '!$S$2:$S$1501,'Daily Sale entry '!$P$2:$P$1501,$A27,'Daily Sale entry '!$Q$2:$Q$1501,"Collection 收款"))</f>
        <v/>
      </c>
      <c r="E27" s="6">
        <f>IF($A27="","",SUMIFS('Daily Sale entry '!$AC$2:$AC$1501,'Daily Sale entry '!$AA$2:$AA$1501,$A27,'Daily Sale entry '!$Z$2:$Z$1501,"Online collection 网上收款"))</f>
        <v/>
      </c>
      <c r="F27" s="6">
        <f>IF($A27="","",SUMIFS('Debtor Ledger'!$K$2:$K$3001,'Debtor Ledger'!$C$2:$C$3001,$A27))</f>
        <v/>
      </c>
      <c r="G27" s="6">
        <f>IF($A27="","",ROUND(B27+C27-D27-E27-F27,2))</f>
        <v/>
      </c>
    </row>
    <row r="28">
      <c r="A28">
        <f>IF('Opening Balance'!I27="","",'Opening Balance'!I27)</f>
        <v/>
      </c>
      <c r="B28" s="6">
        <f>IF($A28="","",SUMIFS('Opening Balance'!$F$4:$F$303,'Opening Balance'!$G$4:$G$303,$A28))</f>
        <v/>
      </c>
      <c r="C28" s="6">
        <f>IF($A28="","",SUMIFS('Daily Sale entry '!$S$2:$S$1501,'Daily Sale entry '!$P$2:$P$1501,$A28,'Daily Sale entry '!$Q$2:$Q$1501,"Credit Sale 赊销"))</f>
        <v/>
      </c>
      <c r="D28" s="6">
        <f>IF($A28="","",SUMIFS('Daily Sale entry '!$S$2:$S$1501,'Daily Sale entry '!$P$2:$P$1501,$A28,'Daily Sale entry '!$Q$2:$Q$1501,"Collection 收款"))</f>
        <v/>
      </c>
      <c r="E28" s="6">
        <f>IF($A28="","",SUMIFS('Daily Sale entry '!$AC$2:$AC$1501,'Daily Sale entry '!$AA$2:$AA$1501,$A28,'Daily Sale entry '!$Z$2:$Z$1501,"Online collection 网上收款"))</f>
        <v/>
      </c>
      <c r="F28" s="6">
        <f>IF($A28="","",SUMIFS('Debtor Ledger'!$K$2:$K$3001,'Debtor Ledger'!$C$2:$C$3001,$A28))</f>
        <v/>
      </c>
      <c r="G28" s="6">
        <f>IF($A28="","",ROUND(B28+C28-D28-E28-F28,2))</f>
        <v/>
      </c>
    </row>
    <row r="29">
      <c r="A29">
        <f>IF('Opening Balance'!I28="","",'Opening Balance'!I28)</f>
        <v/>
      </c>
      <c r="B29" s="6">
        <f>IF($A29="","",SUMIFS('Opening Balance'!$F$4:$F$303,'Opening Balance'!$G$4:$G$303,$A29))</f>
        <v/>
      </c>
      <c r="C29" s="6">
        <f>IF($A29="","",SUMIFS('Daily Sale entry '!$S$2:$S$1501,'Daily Sale entry '!$P$2:$P$1501,$A29,'Daily Sale entry '!$Q$2:$Q$1501,"Credit Sale 赊销"))</f>
        <v/>
      </c>
      <c r="D29" s="6">
        <f>IF($A29="","",SUMIFS('Daily Sale entry '!$S$2:$S$1501,'Daily Sale entry '!$P$2:$P$1501,$A29,'Daily Sale entry '!$Q$2:$Q$1501,"Collection 收款"))</f>
        <v/>
      </c>
      <c r="E29" s="6">
        <f>IF($A29="","",SUMIFS('Daily Sale entry '!$AC$2:$AC$1501,'Daily Sale entry '!$AA$2:$AA$1501,$A29,'Daily Sale entry '!$Z$2:$Z$1501,"Online collection 网上收款"))</f>
        <v/>
      </c>
      <c r="F29" s="6">
        <f>IF($A29="","",SUMIFS('Debtor Ledger'!$K$2:$K$3001,'Debtor Ledger'!$C$2:$C$3001,$A29))</f>
        <v/>
      </c>
      <c r="G29" s="6">
        <f>IF($A29="","",ROUND(B29+C29-D29-E29-F29,2))</f>
        <v/>
      </c>
    </row>
    <row r="30">
      <c r="A30">
        <f>IF('Opening Balance'!I29="","",'Opening Balance'!I29)</f>
        <v/>
      </c>
      <c r="B30" s="6">
        <f>IF($A30="","",SUMIFS('Opening Balance'!$F$4:$F$303,'Opening Balance'!$G$4:$G$303,$A30))</f>
        <v/>
      </c>
      <c r="C30" s="6">
        <f>IF($A30="","",SUMIFS('Daily Sale entry '!$S$2:$S$1501,'Daily Sale entry '!$P$2:$P$1501,$A30,'Daily Sale entry '!$Q$2:$Q$1501,"Credit Sale 赊销"))</f>
        <v/>
      </c>
      <c r="D30" s="6">
        <f>IF($A30="","",SUMIFS('Daily Sale entry '!$S$2:$S$1501,'Daily Sale entry '!$P$2:$P$1501,$A30,'Daily Sale entry '!$Q$2:$Q$1501,"Collection 收款"))</f>
        <v/>
      </c>
      <c r="E30" s="6">
        <f>IF($A30="","",SUMIFS('Daily Sale entry '!$AC$2:$AC$1501,'Daily Sale entry '!$AA$2:$AA$1501,$A30,'Daily Sale entry '!$Z$2:$Z$1501,"Online collection 网上收款"))</f>
        <v/>
      </c>
      <c r="F30" s="6">
        <f>IF($A30="","",SUMIFS('Debtor Ledger'!$K$2:$K$3001,'Debtor Ledger'!$C$2:$C$3001,$A30))</f>
        <v/>
      </c>
      <c r="G30" s="6">
        <f>IF($A30="","",ROUND(B30+C30-D30-E30-F30,2))</f>
        <v/>
      </c>
    </row>
    <row r="31">
      <c r="A31">
        <f>IF('Opening Balance'!I30="","",'Opening Balance'!I30)</f>
        <v/>
      </c>
      <c r="B31" s="6">
        <f>IF($A31="","",SUMIFS('Opening Balance'!$F$4:$F$303,'Opening Balance'!$G$4:$G$303,$A31))</f>
        <v/>
      </c>
      <c r="C31" s="6">
        <f>IF($A31="","",SUMIFS('Daily Sale entry '!$S$2:$S$1501,'Daily Sale entry '!$P$2:$P$1501,$A31,'Daily Sale entry '!$Q$2:$Q$1501,"Credit Sale 赊销"))</f>
        <v/>
      </c>
      <c r="D31" s="6">
        <f>IF($A31="","",SUMIFS('Daily Sale entry '!$S$2:$S$1501,'Daily Sale entry '!$P$2:$P$1501,$A31,'Daily Sale entry '!$Q$2:$Q$1501,"Collection 收款"))</f>
        <v/>
      </c>
      <c r="E31" s="6">
        <f>IF($A31="","",SUMIFS('Daily Sale entry '!$AC$2:$AC$1501,'Daily Sale entry '!$AA$2:$AA$1501,$A31,'Daily Sale entry '!$Z$2:$Z$1501,"Online collection 网上收款"))</f>
        <v/>
      </c>
      <c r="F31" s="6">
        <f>IF($A31="","",SUMIFS('Debtor Ledger'!$K$2:$K$3001,'Debtor Ledger'!$C$2:$C$3001,$A31))</f>
        <v/>
      </c>
      <c r="G31" s="6">
        <f>IF($A31="","",ROUND(B31+C31-D31-E31-F31,2))</f>
        <v/>
      </c>
    </row>
    <row r="32">
      <c r="A32">
        <f>IF('Opening Balance'!I31="","",'Opening Balance'!I31)</f>
        <v/>
      </c>
      <c r="B32" s="6">
        <f>IF($A32="","",SUMIFS('Opening Balance'!$F$4:$F$303,'Opening Balance'!$G$4:$G$303,$A32))</f>
        <v/>
      </c>
      <c r="C32" s="6">
        <f>IF($A32="","",SUMIFS('Daily Sale entry '!$S$2:$S$1501,'Daily Sale entry '!$P$2:$P$1501,$A32,'Daily Sale entry '!$Q$2:$Q$1501,"Credit Sale 赊销"))</f>
        <v/>
      </c>
      <c r="D32" s="6">
        <f>IF($A32="","",SUMIFS('Daily Sale entry '!$S$2:$S$1501,'Daily Sale entry '!$P$2:$P$1501,$A32,'Daily Sale entry '!$Q$2:$Q$1501,"Collection 收款"))</f>
        <v/>
      </c>
      <c r="E32" s="6">
        <f>IF($A32="","",SUMIFS('Daily Sale entry '!$AC$2:$AC$1501,'Daily Sale entry '!$AA$2:$AA$1501,$A32,'Daily Sale entry '!$Z$2:$Z$1501,"Online collection 网上收款"))</f>
        <v/>
      </c>
      <c r="F32" s="6">
        <f>IF($A32="","",SUMIFS('Debtor Ledger'!$K$2:$K$3001,'Debtor Ledger'!$C$2:$C$3001,$A32))</f>
        <v/>
      </c>
      <c r="G32" s="6">
        <f>IF($A32="","",ROUND(B32+C32-D32-E32-F32,2))</f>
        <v/>
      </c>
    </row>
    <row r="33">
      <c r="A33">
        <f>IF('Opening Balance'!I32="","",'Opening Balance'!I32)</f>
        <v/>
      </c>
      <c r="B33" s="6">
        <f>IF($A33="","",SUMIFS('Opening Balance'!$F$4:$F$303,'Opening Balance'!$G$4:$G$303,$A33))</f>
        <v/>
      </c>
      <c r="C33" s="6">
        <f>IF($A33="","",SUMIFS('Daily Sale entry '!$S$2:$S$1501,'Daily Sale entry '!$P$2:$P$1501,$A33,'Daily Sale entry '!$Q$2:$Q$1501,"Credit Sale 赊销"))</f>
        <v/>
      </c>
      <c r="D33" s="6">
        <f>IF($A33="","",SUMIFS('Daily Sale entry '!$S$2:$S$1501,'Daily Sale entry '!$P$2:$P$1501,$A33,'Daily Sale entry '!$Q$2:$Q$1501,"Collection 收款"))</f>
        <v/>
      </c>
      <c r="E33" s="6">
        <f>IF($A33="","",SUMIFS('Daily Sale entry '!$AC$2:$AC$1501,'Daily Sale entry '!$AA$2:$AA$1501,$A33,'Daily Sale entry '!$Z$2:$Z$1501,"Online collection 网上收款"))</f>
        <v/>
      </c>
      <c r="F33" s="6">
        <f>IF($A33="","",SUMIFS('Debtor Ledger'!$K$2:$K$3001,'Debtor Ledger'!$C$2:$C$3001,$A33))</f>
        <v/>
      </c>
      <c r="G33" s="6">
        <f>IF($A33="","",ROUND(B33+C33-D33-E33-F33,2))</f>
        <v/>
      </c>
    </row>
    <row r="34">
      <c r="A34">
        <f>IF('Opening Balance'!I33="","",'Opening Balance'!I33)</f>
        <v/>
      </c>
      <c r="B34" s="6">
        <f>IF($A34="","",SUMIFS('Opening Balance'!$F$4:$F$303,'Opening Balance'!$G$4:$G$303,$A34))</f>
        <v/>
      </c>
      <c r="C34" s="6">
        <f>IF($A34="","",SUMIFS('Daily Sale entry '!$S$2:$S$1501,'Daily Sale entry '!$P$2:$P$1501,$A34,'Daily Sale entry '!$Q$2:$Q$1501,"Credit Sale 赊销"))</f>
        <v/>
      </c>
      <c r="D34" s="6">
        <f>IF($A34="","",SUMIFS('Daily Sale entry '!$S$2:$S$1501,'Daily Sale entry '!$P$2:$P$1501,$A34,'Daily Sale entry '!$Q$2:$Q$1501,"Collection 收款"))</f>
        <v/>
      </c>
      <c r="E34" s="6">
        <f>IF($A34="","",SUMIFS('Daily Sale entry '!$AC$2:$AC$1501,'Daily Sale entry '!$AA$2:$AA$1501,$A34,'Daily Sale entry '!$Z$2:$Z$1501,"Online collection 网上收款"))</f>
        <v/>
      </c>
      <c r="F34" s="6">
        <f>IF($A34="","",SUMIFS('Debtor Ledger'!$K$2:$K$3001,'Debtor Ledger'!$C$2:$C$3001,$A34))</f>
        <v/>
      </c>
      <c r="G34" s="6">
        <f>IF($A34="","",ROUND(B34+C34-D34-E34-F34,2))</f>
        <v/>
      </c>
    </row>
    <row r="35">
      <c r="A35">
        <f>IF('Opening Balance'!I34="","",'Opening Balance'!I34)</f>
        <v/>
      </c>
      <c r="B35" s="6">
        <f>IF($A35="","",SUMIFS('Opening Balance'!$F$4:$F$303,'Opening Balance'!$G$4:$G$303,$A35))</f>
        <v/>
      </c>
      <c r="C35" s="6">
        <f>IF($A35="","",SUMIFS('Daily Sale entry '!$S$2:$S$1501,'Daily Sale entry '!$P$2:$P$1501,$A35,'Daily Sale entry '!$Q$2:$Q$1501,"Credit Sale 赊销"))</f>
        <v/>
      </c>
      <c r="D35" s="6">
        <f>IF($A35="","",SUMIFS('Daily Sale entry '!$S$2:$S$1501,'Daily Sale entry '!$P$2:$P$1501,$A35,'Daily Sale entry '!$Q$2:$Q$1501,"Collection 收款"))</f>
        <v/>
      </c>
      <c r="E35" s="6">
        <f>IF($A35="","",SUMIFS('Daily Sale entry '!$AC$2:$AC$1501,'Daily Sale entry '!$AA$2:$AA$1501,$A35,'Daily Sale entry '!$Z$2:$Z$1501,"Online collection 网上收款"))</f>
        <v/>
      </c>
      <c r="F35" s="6">
        <f>IF($A35="","",SUMIFS('Debtor Ledger'!$K$2:$K$3001,'Debtor Ledger'!$C$2:$C$3001,$A35))</f>
        <v/>
      </c>
      <c r="G35" s="6">
        <f>IF($A35="","",ROUND(B35+C35-D35-E35-F35,2))</f>
        <v/>
      </c>
    </row>
    <row r="36">
      <c r="A36">
        <f>IF('Opening Balance'!I35="","",'Opening Balance'!I35)</f>
        <v/>
      </c>
      <c r="B36" s="6">
        <f>IF($A36="","",SUMIFS('Opening Balance'!$F$4:$F$303,'Opening Balance'!$G$4:$G$303,$A36))</f>
        <v/>
      </c>
      <c r="C36" s="6">
        <f>IF($A36="","",SUMIFS('Daily Sale entry '!$S$2:$S$1501,'Daily Sale entry '!$P$2:$P$1501,$A36,'Daily Sale entry '!$Q$2:$Q$1501,"Credit Sale 赊销"))</f>
        <v/>
      </c>
      <c r="D36" s="6">
        <f>IF($A36="","",SUMIFS('Daily Sale entry '!$S$2:$S$1501,'Daily Sale entry '!$P$2:$P$1501,$A36,'Daily Sale entry '!$Q$2:$Q$1501,"Collection 收款"))</f>
        <v/>
      </c>
      <c r="E36" s="6">
        <f>IF($A36="","",SUMIFS('Daily Sale entry '!$AC$2:$AC$1501,'Daily Sale entry '!$AA$2:$AA$1501,$A36,'Daily Sale entry '!$Z$2:$Z$1501,"Online collection 网上收款"))</f>
        <v/>
      </c>
      <c r="F36" s="6">
        <f>IF($A36="","",SUMIFS('Debtor Ledger'!$K$2:$K$3001,'Debtor Ledger'!$C$2:$C$3001,$A36))</f>
        <v/>
      </c>
      <c r="G36" s="6">
        <f>IF($A36="","",ROUND(B36+C36-D36-E36-F36,2))</f>
        <v/>
      </c>
    </row>
    <row r="37">
      <c r="A37">
        <f>IF('Opening Balance'!I36="","",'Opening Balance'!I36)</f>
        <v/>
      </c>
      <c r="B37" s="6">
        <f>IF($A37="","",SUMIFS('Opening Balance'!$F$4:$F$303,'Opening Balance'!$G$4:$G$303,$A37))</f>
        <v/>
      </c>
      <c r="C37" s="6">
        <f>IF($A37="","",SUMIFS('Daily Sale entry '!$S$2:$S$1501,'Daily Sale entry '!$P$2:$P$1501,$A37,'Daily Sale entry '!$Q$2:$Q$1501,"Credit Sale 赊销"))</f>
        <v/>
      </c>
      <c r="D37" s="6">
        <f>IF($A37="","",SUMIFS('Daily Sale entry '!$S$2:$S$1501,'Daily Sale entry '!$P$2:$P$1501,$A37,'Daily Sale entry '!$Q$2:$Q$1501,"Collection 收款"))</f>
        <v/>
      </c>
      <c r="E37" s="6">
        <f>IF($A37="","",SUMIFS('Daily Sale entry '!$AC$2:$AC$1501,'Daily Sale entry '!$AA$2:$AA$1501,$A37,'Daily Sale entry '!$Z$2:$Z$1501,"Online collection 网上收款"))</f>
        <v/>
      </c>
      <c r="F37" s="6">
        <f>IF($A37="","",SUMIFS('Debtor Ledger'!$K$2:$K$3001,'Debtor Ledger'!$C$2:$C$3001,$A37))</f>
        <v/>
      </c>
      <c r="G37" s="6">
        <f>IF($A37="","",ROUND(B37+C37-D37-E37-F37,2))</f>
        <v/>
      </c>
    </row>
    <row r="38">
      <c r="A38">
        <f>IF('Opening Balance'!I37="","",'Opening Balance'!I37)</f>
        <v/>
      </c>
      <c r="B38" s="6">
        <f>IF($A38="","",SUMIFS('Opening Balance'!$F$4:$F$303,'Opening Balance'!$G$4:$G$303,$A38))</f>
        <v/>
      </c>
      <c r="C38" s="6">
        <f>IF($A38="","",SUMIFS('Daily Sale entry '!$S$2:$S$1501,'Daily Sale entry '!$P$2:$P$1501,$A38,'Daily Sale entry '!$Q$2:$Q$1501,"Credit Sale 赊销"))</f>
        <v/>
      </c>
      <c r="D38" s="6">
        <f>IF($A38="","",SUMIFS('Daily Sale entry '!$S$2:$S$1501,'Daily Sale entry '!$P$2:$P$1501,$A38,'Daily Sale entry '!$Q$2:$Q$1501,"Collection 收款"))</f>
        <v/>
      </c>
      <c r="E38" s="6">
        <f>IF($A38="","",SUMIFS('Daily Sale entry '!$AC$2:$AC$1501,'Daily Sale entry '!$AA$2:$AA$1501,$A38,'Daily Sale entry '!$Z$2:$Z$1501,"Online collection 网上收款"))</f>
        <v/>
      </c>
      <c r="F38" s="6">
        <f>IF($A38="","",SUMIFS('Debtor Ledger'!$K$2:$K$3001,'Debtor Ledger'!$C$2:$C$3001,$A38))</f>
        <v/>
      </c>
      <c r="G38" s="6">
        <f>IF($A38="","",ROUND(B38+C38-D38-E38-F38,2))</f>
        <v/>
      </c>
    </row>
    <row r="39">
      <c r="A39">
        <f>IF('Opening Balance'!I38="","",'Opening Balance'!I38)</f>
        <v/>
      </c>
      <c r="B39" s="6">
        <f>IF($A39="","",SUMIFS('Opening Balance'!$F$4:$F$303,'Opening Balance'!$G$4:$G$303,$A39))</f>
        <v/>
      </c>
      <c r="C39" s="6">
        <f>IF($A39="","",SUMIFS('Daily Sale entry '!$S$2:$S$1501,'Daily Sale entry '!$P$2:$P$1501,$A39,'Daily Sale entry '!$Q$2:$Q$1501,"Credit Sale 赊销"))</f>
        <v/>
      </c>
      <c r="D39" s="6">
        <f>IF($A39="","",SUMIFS('Daily Sale entry '!$S$2:$S$1501,'Daily Sale entry '!$P$2:$P$1501,$A39,'Daily Sale entry '!$Q$2:$Q$1501,"Collection 收款"))</f>
        <v/>
      </c>
      <c r="E39" s="6">
        <f>IF($A39="","",SUMIFS('Daily Sale entry '!$AC$2:$AC$1501,'Daily Sale entry '!$AA$2:$AA$1501,$A39,'Daily Sale entry '!$Z$2:$Z$1501,"Online collection 网上收款"))</f>
        <v/>
      </c>
      <c r="F39" s="6">
        <f>IF($A39="","",SUMIFS('Debtor Ledger'!$K$2:$K$3001,'Debtor Ledger'!$C$2:$C$3001,$A39))</f>
        <v/>
      </c>
      <c r="G39" s="6">
        <f>IF($A39="","",ROUND(B39+C39-D39-E39-F39,2))</f>
        <v/>
      </c>
    </row>
    <row r="40">
      <c r="A40">
        <f>IF('Opening Balance'!I39="","",'Opening Balance'!I39)</f>
        <v/>
      </c>
      <c r="B40" s="6">
        <f>IF($A40="","",SUMIFS('Opening Balance'!$F$4:$F$303,'Opening Balance'!$G$4:$G$303,$A40))</f>
        <v/>
      </c>
      <c r="C40" s="6">
        <f>IF($A40="","",SUMIFS('Daily Sale entry '!$S$2:$S$1501,'Daily Sale entry '!$P$2:$P$1501,$A40,'Daily Sale entry '!$Q$2:$Q$1501,"Credit Sale 赊销"))</f>
        <v/>
      </c>
      <c r="D40" s="6">
        <f>IF($A40="","",SUMIFS('Daily Sale entry '!$S$2:$S$1501,'Daily Sale entry '!$P$2:$P$1501,$A40,'Daily Sale entry '!$Q$2:$Q$1501,"Collection 收款"))</f>
        <v/>
      </c>
      <c r="E40" s="6">
        <f>IF($A40="","",SUMIFS('Daily Sale entry '!$AC$2:$AC$1501,'Daily Sale entry '!$AA$2:$AA$1501,$A40,'Daily Sale entry '!$Z$2:$Z$1501,"Online collection 网上收款"))</f>
        <v/>
      </c>
      <c r="F40" s="6">
        <f>IF($A40="","",SUMIFS('Debtor Ledger'!$K$2:$K$3001,'Debtor Ledger'!$C$2:$C$3001,$A40))</f>
        <v/>
      </c>
      <c r="G40" s="6">
        <f>IF($A40="","",ROUND(B40+C40-D40-E40-F40,2))</f>
        <v/>
      </c>
    </row>
    <row r="41">
      <c r="A41">
        <f>IF('Opening Balance'!I40="","",'Opening Balance'!I40)</f>
        <v/>
      </c>
      <c r="B41" s="6">
        <f>IF($A41="","",SUMIFS('Opening Balance'!$F$4:$F$303,'Opening Balance'!$G$4:$G$303,$A41))</f>
        <v/>
      </c>
      <c r="C41" s="6">
        <f>IF($A41="","",SUMIFS('Daily Sale entry '!$S$2:$S$1501,'Daily Sale entry '!$P$2:$P$1501,$A41,'Daily Sale entry '!$Q$2:$Q$1501,"Credit Sale 赊销"))</f>
        <v/>
      </c>
      <c r="D41" s="6">
        <f>IF($A41="","",SUMIFS('Daily Sale entry '!$S$2:$S$1501,'Daily Sale entry '!$P$2:$P$1501,$A41,'Daily Sale entry '!$Q$2:$Q$1501,"Collection 收款"))</f>
        <v/>
      </c>
      <c r="E41" s="6">
        <f>IF($A41="","",SUMIFS('Daily Sale entry '!$AC$2:$AC$1501,'Daily Sale entry '!$AA$2:$AA$1501,$A41,'Daily Sale entry '!$Z$2:$Z$1501,"Online collection 网上收款"))</f>
        <v/>
      </c>
      <c r="F41" s="6">
        <f>IF($A41="","",SUMIFS('Debtor Ledger'!$K$2:$K$3001,'Debtor Ledger'!$C$2:$C$3001,$A41))</f>
        <v/>
      </c>
      <c r="G41" s="6">
        <f>IF($A41="","",ROUND(B41+C41-D41-E41-F41,2))</f>
        <v/>
      </c>
    </row>
    <row r="42">
      <c r="A42">
        <f>IF('Opening Balance'!I41="","",'Opening Balance'!I41)</f>
        <v/>
      </c>
      <c r="B42" s="6">
        <f>IF($A42="","",SUMIFS('Opening Balance'!$F$4:$F$303,'Opening Balance'!$G$4:$G$303,$A42))</f>
        <v/>
      </c>
      <c r="C42" s="6">
        <f>IF($A42="","",SUMIFS('Daily Sale entry '!$S$2:$S$1501,'Daily Sale entry '!$P$2:$P$1501,$A42,'Daily Sale entry '!$Q$2:$Q$1501,"Credit Sale 赊销"))</f>
        <v/>
      </c>
      <c r="D42" s="6">
        <f>IF($A42="","",SUMIFS('Daily Sale entry '!$S$2:$S$1501,'Daily Sale entry '!$P$2:$P$1501,$A42,'Daily Sale entry '!$Q$2:$Q$1501,"Collection 收款"))</f>
        <v/>
      </c>
      <c r="E42" s="6">
        <f>IF($A42="","",SUMIFS('Daily Sale entry '!$AC$2:$AC$1501,'Daily Sale entry '!$AA$2:$AA$1501,$A42,'Daily Sale entry '!$Z$2:$Z$1501,"Online collection 网上收款"))</f>
        <v/>
      </c>
      <c r="F42" s="6">
        <f>IF($A42="","",SUMIFS('Debtor Ledger'!$K$2:$K$3001,'Debtor Ledger'!$C$2:$C$3001,$A42))</f>
        <v/>
      </c>
      <c r="G42" s="6">
        <f>IF($A42="","",ROUND(B42+C42-D42-E42-F42,2))</f>
        <v/>
      </c>
    </row>
    <row r="43">
      <c r="A43">
        <f>IF('Opening Balance'!I42="","",'Opening Balance'!I42)</f>
        <v/>
      </c>
      <c r="B43" s="6">
        <f>IF($A43="","",SUMIFS('Opening Balance'!$F$4:$F$303,'Opening Balance'!$G$4:$G$303,$A43))</f>
        <v/>
      </c>
      <c r="C43" s="6">
        <f>IF($A43="","",SUMIFS('Daily Sale entry '!$S$2:$S$1501,'Daily Sale entry '!$P$2:$P$1501,$A43,'Daily Sale entry '!$Q$2:$Q$1501,"Credit Sale 赊销"))</f>
        <v/>
      </c>
      <c r="D43" s="6">
        <f>IF($A43="","",SUMIFS('Daily Sale entry '!$S$2:$S$1501,'Daily Sale entry '!$P$2:$P$1501,$A43,'Daily Sale entry '!$Q$2:$Q$1501,"Collection 收款"))</f>
        <v/>
      </c>
      <c r="E43" s="6">
        <f>IF($A43="","",SUMIFS('Daily Sale entry '!$AC$2:$AC$1501,'Daily Sale entry '!$AA$2:$AA$1501,$A43,'Daily Sale entry '!$Z$2:$Z$1501,"Online collection 网上收款"))</f>
        <v/>
      </c>
      <c r="F43" s="6">
        <f>IF($A43="","",SUMIFS('Debtor Ledger'!$K$2:$K$3001,'Debtor Ledger'!$C$2:$C$3001,$A43))</f>
        <v/>
      </c>
      <c r="G43" s="6">
        <f>IF($A43="","",ROUND(B43+C43-D43-E43-F43,2))</f>
        <v/>
      </c>
    </row>
    <row r="44">
      <c r="A44">
        <f>IF('Opening Balance'!I43="","",'Opening Balance'!I43)</f>
        <v/>
      </c>
      <c r="B44" s="6">
        <f>IF($A44="","",SUMIFS('Opening Balance'!$F$4:$F$303,'Opening Balance'!$G$4:$G$303,$A44))</f>
        <v/>
      </c>
      <c r="C44" s="6">
        <f>IF($A44="","",SUMIFS('Daily Sale entry '!$S$2:$S$1501,'Daily Sale entry '!$P$2:$P$1501,$A44,'Daily Sale entry '!$Q$2:$Q$1501,"Credit Sale 赊销"))</f>
        <v/>
      </c>
      <c r="D44" s="6">
        <f>IF($A44="","",SUMIFS('Daily Sale entry '!$S$2:$S$1501,'Daily Sale entry '!$P$2:$P$1501,$A44,'Daily Sale entry '!$Q$2:$Q$1501,"Collection 收款"))</f>
        <v/>
      </c>
      <c r="E44" s="6">
        <f>IF($A44="","",SUMIFS('Daily Sale entry '!$AC$2:$AC$1501,'Daily Sale entry '!$AA$2:$AA$1501,$A44,'Daily Sale entry '!$Z$2:$Z$1501,"Online collection 网上收款"))</f>
        <v/>
      </c>
      <c r="F44" s="6">
        <f>IF($A44="","",SUMIFS('Debtor Ledger'!$K$2:$K$3001,'Debtor Ledger'!$C$2:$C$3001,$A44))</f>
        <v/>
      </c>
      <c r="G44" s="6">
        <f>IF($A44="","",ROUND(B44+C44-D44-E44-F44,2))</f>
        <v/>
      </c>
    </row>
    <row r="45">
      <c r="A45">
        <f>IF('Opening Balance'!I44="","",'Opening Balance'!I44)</f>
        <v/>
      </c>
      <c r="B45" s="6">
        <f>IF($A45="","",SUMIFS('Opening Balance'!$F$4:$F$303,'Opening Balance'!$G$4:$G$303,$A45))</f>
        <v/>
      </c>
      <c r="C45" s="6">
        <f>IF($A45="","",SUMIFS('Daily Sale entry '!$S$2:$S$1501,'Daily Sale entry '!$P$2:$P$1501,$A45,'Daily Sale entry '!$Q$2:$Q$1501,"Credit Sale 赊销"))</f>
        <v/>
      </c>
      <c r="D45" s="6">
        <f>IF($A45="","",SUMIFS('Daily Sale entry '!$S$2:$S$1501,'Daily Sale entry '!$P$2:$P$1501,$A45,'Daily Sale entry '!$Q$2:$Q$1501,"Collection 收款"))</f>
        <v/>
      </c>
      <c r="E45" s="6">
        <f>IF($A45="","",SUMIFS('Daily Sale entry '!$AC$2:$AC$1501,'Daily Sale entry '!$AA$2:$AA$1501,$A45,'Daily Sale entry '!$Z$2:$Z$1501,"Online collection 网上收款"))</f>
        <v/>
      </c>
      <c r="F45" s="6">
        <f>IF($A45="","",SUMIFS('Debtor Ledger'!$K$2:$K$3001,'Debtor Ledger'!$C$2:$C$3001,$A45))</f>
        <v/>
      </c>
      <c r="G45" s="6">
        <f>IF($A45="","",ROUND(B45+C45-D45-E45-F45,2))</f>
        <v/>
      </c>
    </row>
    <row r="46">
      <c r="A46">
        <f>IF('Opening Balance'!I45="","",'Opening Balance'!I45)</f>
        <v/>
      </c>
      <c r="B46" s="6">
        <f>IF($A46="","",SUMIFS('Opening Balance'!$F$4:$F$303,'Opening Balance'!$G$4:$G$303,$A46))</f>
        <v/>
      </c>
      <c r="C46" s="6">
        <f>IF($A46="","",SUMIFS('Daily Sale entry '!$S$2:$S$1501,'Daily Sale entry '!$P$2:$P$1501,$A46,'Daily Sale entry '!$Q$2:$Q$1501,"Credit Sale 赊销"))</f>
        <v/>
      </c>
      <c r="D46" s="6">
        <f>IF($A46="","",SUMIFS('Daily Sale entry '!$S$2:$S$1501,'Daily Sale entry '!$P$2:$P$1501,$A46,'Daily Sale entry '!$Q$2:$Q$1501,"Collection 收款"))</f>
        <v/>
      </c>
      <c r="E46" s="6">
        <f>IF($A46="","",SUMIFS('Daily Sale entry '!$AC$2:$AC$1501,'Daily Sale entry '!$AA$2:$AA$1501,$A46,'Daily Sale entry '!$Z$2:$Z$1501,"Online collection 网上收款"))</f>
        <v/>
      </c>
      <c r="F46" s="6">
        <f>IF($A46="","",SUMIFS('Debtor Ledger'!$K$2:$K$3001,'Debtor Ledger'!$C$2:$C$3001,$A46))</f>
        <v/>
      </c>
      <c r="G46" s="6">
        <f>IF($A46="","",ROUND(B46+C46-D46-E46-F46,2))</f>
        <v/>
      </c>
    </row>
    <row r="47">
      <c r="A47">
        <f>IF('Opening Balance'!I46="","",'Opening Balance'!I46)</f>
        <v/>
      </c>
      <c r="B47" s="6">
        <f>IF($A47="","",SUMIFS('Opening Balance'!$F$4:$F$303,'Opening Balance'!$G$4:$G$303,$A47))</f>
        <v/>
      </c>
      <c r="C47" s="6">
        <f>IF($A47="","",SUMIFS('Daily Sale entry '!$S$2:$S$1501,'Daily Sale entry '!$P$2:$P$1501,$A47,'Daily Sale entry '!$Q$2:$Q$1501,"Credit Sale 赊销"))</f>
        <v/>
      </c>
      <c r="D47" s="6">
        <f>IF($A47="","",SUMIFS('Daily Sale entry '!$S$2:$S$1501,'Daily Sale entry '!$P$2:$P$1501,$A47,'Daily Sale entry '!$Q$2:$Q$1501,"Collection 收款"))</f>
        <v/>
      </c>
      <c r="E47" s="6">
        <f>IF($A47="","",SUMIFS('Daily Sale entry '!$AC$2:$AC$1501,'Daily Sale entry '!$AA$2:$AA$1501,$A47,'Daily Sale entry '!$Z$2:$Z$1501,"Online collection 网上收款"))</f>
        <v/>
      </c>
      <c r="F47" s="6">
        <f>IF($A47="","",SUMIFS('Debtor Ledger'!$K$2:$K$3001,'Debtor Ledger'!$C$2:$C$3001,$A47))</f>
        <v/>
      </c>
      <c r="G47" s="6">
        <f>IF($A47="","",ROUND(B47+C47-D47-E47-F47,2))</f>
        <v/>
      </c>
    </row>
    <row r="48">
      <c r="A48">
        <f>IF('Opening Balance'!I47="","",'Opening Balance'!I47)</f>
        <v/>
      </c>
      <c r="B48" s="6">
        <f>IF($A48="","",SUMIFS('Opening Balance'!$F$4:$F$303,'Opening Balance'!$G$4:$G$303,$A48))</f>
        <v/>
      </c>
      <c r="C48" s="6">
        <f>IF($A48="","",SUMIFS('Daily Sale entry '!$S$2:$S$1501,'Daily Sale entry '!$P$2:$P$1501,$A48,'Daily Sale entry '!$Q$2:$Q$1501,"Credit Sale 赊销"))</f>
        <v/>
      </c>
      <c r="D48" s="6">
        <f>IF($A48="","",SUMIFS('Daily Sale entry '!$S$2:$S$1501,'Daily Sale entry '!$P$2:$P$1501,$A48,'Daily Sale entry '!$Q$2:$Q$1501,"Collection 收款"))</f>
        <v/>
      </c>
      <c r="E48" s="6">
        <f>IF($A48="","",SUMIFS('Daily Sale entry '!$AC$2:$AC$1501,'Daily Sale entry '!$AA$2:$AA$1501,$A48,'Daily Sale entry '!$Z$2:$Z$1501,"Online collection 网上收款"))</f>
        <v/>
      </c>
      <c r="F48" s="6">
        <f>IF($A48="","",SUMIFS('Debtor Ledger'!$K$2:$K$3001,'Debtor Ledger'!$C$2:$C$3001,$A48))</f>
        <v/>
      </c>
      <c r="G48" s="6">
        <f>IF($A48="","",ROUND(B48+C48-D48-E48-F48,2))</f>
        <v/>
      </c>
    </row>
    <row r="49">
      <c r="A49">
        <f>IF('Opening Balance'!I48="","",'Opening Balance'!I48)</f>
        <v/>
      </c>
      <c r="B49" s="6">
        <f>IF($A49="","",SUMIFS('Opening Balance'!$F$4:$F$303,'Opening Balance'!$G$4:$G$303,$A49))</f>
        <v/>
      </c>
      <c r="C49" s="6">
        <f>IF($A49="","",SUMIFS('Daily Sale entry '!$S$2:$S$1501,'Daily Sale entry '!$P$2:$P$1501,$A49,'Daily Sale entry '!$Q$2:$Q$1501,"Credit Sale 赊销"))</f>
        <v/>
      </c>
      <c r="D49" s="6">
        <f>IF($A49="","",SUMIFS('Daily Sale entry '!$S$2:$S$1501,'Daily Sale entry '!$P$2:$P$1501,$A49,'Daily Sale entry '!$Q$2:$Q$1501,"Collection 收款"))</f>
        <v/>
      </c>
      <c r="E49" s="6">
        <f>IF($A49="","",SUMIFS('Daily Sale entry '!$AC$2:$AC$1501,'Daily Sale entry '!$AA$2:$AA$1501,$A49,'Daily Sale entry '!$Z$2:$Z$1501,"Online collection 网上收款"))</f>
        <v/>
      </c>
      <c r="F49" s="6">
        <f>IF($A49="","",SUMIFS('Debtor Ledger'!$K$2:$K$3001,'Debtor Ledger'!$C$2:$C$3001,$A49))</f>
        <v/>
      </c>
      <c r="G49" s="6">
        <f>IF($A49="","",ROUND(B49+C49-D49-E49-F49,2))</f>
        <v/>
      </c>
    </row>
    <row r="50">
      <c r="A50">
        <f>IF('Opening Balance'!I49="","",'Opening Balance'!I49)</f>
        <v/>
      </c>
      <c r="B50" s="6">
        <f>IF($A50="","",SUMIFS('Opening Balance'!$F$4:$F$303,'Opening Balance'!$G$4:$G$303,$A50))</f>
        <v/>
      </c>
      <c r="C50" s="6">
        <f>IF($A50="","",SUMIFS('Daily Sale entry '!$S$2:$S$1501,'Daily Sale entry '!$P$2:$P$1501,$A50,'Daily Sale entry '!$Q$2:$Q$1501,"Credit Sale 赊销"))</f>
        <v/>
      </c>
      <c r="D50" s="6">
        <f>IF($A50="","",SUMIFS('Daily Sale entry '!$S$2:$S$1501,'Daily Sale entry '!$P$2:$P$1501,$A50,'Daily Sale entry '!$Q$2:$Q$1501,"Collection 收款"))</f>
        <v/>
      </c>
      <c r="E50" s="6">
        <f>IF($A50="","",SUMIFS('Daily Sale entry '!$AC$2:$AC$1501,'Daily Sale entry '!$AA$2:$AA$1501,$A50,'Daily Sale entry '!$Z$2:$Z$1501,"Online collection 网上收款"))</f>
        <v/>
      </c>
      <c r="F50" s="6">
        <f>IF($A50="","",SUMIFS('Debtor Ledger'!$K$2:$K$3001,'Debtor Ledger'!$C$2:$C$3001,$A50))</f>
        <v/>
      </c>
      <c r="G50" s="6">
        <f>IF($A50="","",ROUND(B50+C50-D50-E50-F50,2))</f>
        <v/>
      </c>
    </row>
    <row r="51">
      <c r="A51">
        <f>IF('Opening Balance'!I50="","",'Opening Balance'!I50)</f>
        <v/>
      </c>
      <c r="B51" s="6">
        <f>IF($A51="","",SUMIFS('Opening Balance'!$F$4:$F$303,'Opening Balance'!$G$4:$G$303,$A51))</f>
        <v/>
      </c>
      <c r="C51" s="6">
        <f>IF($A51="","",SUMIFS('Daily Sale entry '!$S$2:$S$1501,'Daily Sale entry '!$P$2:$P$1501,$A51,'Daily Sale entry '!$Q$2:$Q$1501,"Credit Sale 赊销"))</f>
        <v/>
      </c>
      <c r="D51" s="6">
        <f>IF($A51="","",SUMIFS('Daily Sale entry '!$S$2:$S$1501,'Daily Sale entry '!$P$2:$P$1501,$A51,'Daily Sale entry '!$Q$2:$Q$1501,"Collection 收款"))</f>
        <v/>
      </c>
      <c r="E51" s="6">
        <f>IF($A51="","",SUMIFS('Daily Sale entry '!$AC$2:$AC$1501,'Daily Sale entry '!$AA$2:$AA$1501,$A51,'Daily Sale entry '!$Z$2:$Z$1501,"Online collection 网上收款"))</f>
        <v/>
      </c>
      <c r="F51" s="6">
        <f>IF($A51="","",SUMIFS('Debtor Ledger'!$K$2:$K$3001,'Debtor Ledger'!$C$2:$C$3001,$A51))</f>
        <v/>
      </c>
      <c r="G51" s="6">
        <f>IF($A51="","",ROUND(B51+C51-D51-E51-F51,2))</f>
        <v/>
      </c>
    </row>
    <row r="52">
      <c r="A52">
        <f>IF('Opening Balance'!I51="","",'Opening Balance'!I51)</f>
        <v/>
      </c>
      <c r="B52" s="6">
        <f>IF($A52="","",SUMIFS('Opening Balance'!$F$4:$F$303,'Opening Balance'!$G$4:$G$303,$A52))</f>
        <v/>
      </c>
      <c r="C52" s="6">
        <f>IF($A52="","",SUMIFS('Daily Sale entry '!$S$2:$S$1501,'Daily Sale entry '!$P$2:$P$1501,$A52,'Daily Sale entry '!$Q$2:$Q$1501,"Credit Sale 赊销"))</f>
        <v/>
      </c>
      <c r="D52" s="6">
        <f>IF($A52="","",SUMIFS('Daily Sale entry '!$S$2:$S$1501,'Daily Sale entry '!$P$2:$P$1501,$A52,'Daily Sale entry '!$Q$2:$Q$1501,"Collection 收款"))</f>
        <v/>
      </c>
      <c r="E52" s="6">
        <f>IF($A52="","",SUMIFS('Daily Sale entry '!$AC$2:$AC$1501,'Daily Sale entry '!$AA$2:$AA$1501,$A52,'Daily Sale entry '!$Z$2:$Z$1501,"Online collection 网上收款"))</f>
        <v/>
      </c>
      <c r="F52" s="6">
        <f>IF($A52="","",SUMIFS('Debtor Ledger'!$K$2:$K$3001,'Debtor Ledger'!$C$2:$C$3001,$A52))</f>
        <v/>
      </c>
      <c r="G52" s="6">
        <f>IF($A52="","",ROUND(B52+C52-D52-E52-F52,2))</f>
        <v/>
      </c>
    </row>
    <row r="53">
      <c r="A53">
        <f>IF('Opening Balance'!I52="","",'Opening Balance'!I52)</f>
        <v/>
      </c>
      <c r="B53" s="6">
        <f>IF($A53="","",SUMIFS('Opening Balance'!$F$4:$F$303,'Opening Balance'!$G$4:$G$303,$A53))</f>
        <v/>
      </c>
      <c r="C53" s="6">
        <f>IF($A53="","",SUMIFS('Daily Sale entry '!$S$2:$S$1501,'Daily Sale entry '!$P$2:$P$1501,$A53,'Daily Sale entry '!$Q$2:$Q$1501,"Credit Sale 赊销"))</f>
        <v/>
      </c>
      <c r="D53" s="6">
        <f>IF($A53="","",SUMIFS('Daily Sale entry '!$S$2:$S$1501,'Daily Sale entry '!$P$2:$P$1501,$A53,'Daily Sale entry '!$Q$2:$Q$1501,"Collection 收款"))</f>
        <v/>
      </c>
      <c r="E53" s="6">
        <f>IF($A53="","",SUMIFS('Daily Sale entry '!$AC$2:$AC$1501,'Daily Sale entry '!$AA$2:$AA$1501,$A53,'Daily Sale entry '!$Z$2:$Z$1501,"Online collection 网上收款"))</f>
        <v/>
      </c>
      <c r="F53" s="6">
        <f>IF($A53="","",SUMIFS('Debtor Ledger'!$K$2:$K$3001,'Debtor Ledger'!$C$2:$C$3001,$A53))</f>
        <v/>
      </c>
      <c r="G53" s="6">
        <f>IF($A53="","",ROUND(B53+C53-D53-E53-F53,2))</f>
        <v/>
      </c>
    </row>
    <row r="54">
      <c r="A54">
        <f>IF('Opening Balance'!I53="","",'Opening Balance'!I53)</f>
        <v/>
      </c>
      <c r="B54" s="6">
        <f>IF($A54="","",SUMIFS('Opening Balance'!$F$4:$F$303,'Opening Balance'!$G$4:$G$303,$A54))</f>
        <v/>
      </c>
      <c r="C54" s="6">
        <f>IF($A54="","",SUMIFS('Daily Sale entry '!$S$2:$S$1501,'Daily Sale entry '!$P$2:$P$1501,$A54,'Daily Sale entry '!$Q$2:$Q$1501,"Credit Sale 赊销"))</f>
        <v/>
      </c>
      <c r="D54" s="6">
        <f>IF($A54="","",SUMIFS('Daily Sale entry '!$S$2:$S$1501,'Daily Sale entry '!$P$2:$P$1501,$A54,'Daily Sale entry '!$Q$2:$Q$1501,"Collection 收款"))</f>
        <v/>
      </c>
      <c r="E54" s="6">
        <f>IF($A54="","",SUMIFS('Daily Sale entry '!$AC$2:$AC$1501,'Daily Sale entry '!$AA$2:$AA$1501,$A54,'Daily Sale entry '!$Z$2:$Z$1501,"Online collection 网上收款"))</f>
        <v/>
      </c>
      <c r="F54" s="6">
        <f>IF($A54="","",SUMIFS('Debtor Ledger'!$K$2:$K$3001,'Debtor Ledger'!$C$2:$C$3001,$A54))</f>
        <v/>
      </c>
      <c r="G54" s="6">
        <f>IF($A54="","",ROUND(B54+C54-D54-E54-F54,2))</f>
        <v/>
      </c>
    </row>
    <row r="55">
      <c r="A55">
        <f>IF('Opening Balance'!I54="","",'Opening Balance'!I54)</f>
        <v/>
      </c>
      <c r="B55" s="6">
        <f>IF($A55="","",SUMIFS('Opening Balance'!$F$4:$F$303,'Opening Balance'!$G$4:$G$303,$A55))</f>
        <v/>
      </c>
      <c r="C55" s="6">
        <f>IF($A55="","",SUMIFS('Daily Sale entry '!$S$2:$S$1501,'Daily Sale entry '!$P$2:$P$1501,$A55,'Daily Sale entry '!$Q$2:$Q$1501,"Credit Sale 赊销"))</f>
        <v/>
      </c>
      <c r="D55" s="6">
        <f>IF($A55="","",SUMIFS('Daily Sale entry '!$S$2:$S$1501,'Daily Sale entry '!$P$2:$P$1501,$A55,'Daily Sale entry '!$Q$2:$Q$1501,"Collection 收款"))</f>
        <v/>
      </c>
      <c r="E55" s="6">
        <f>IF($A55="","",SUMIFS('Daily Sale entry '!$AC$2:$AC$1501,'Daily Sale entry '!$AA$2:$AA$1501,$A55,'Daily Sale entry '!$Z$2:$Z$1501,"Online collection 网上收款"))</f>
        <v/>
      </c>
      <c r="F55" s="6">
        <f>IF($A55="","",SUMIFS('Debtor Ledger'!$K$2:$K$3001,'Debtor Ledger'!$C$2:$C$3001,$A55))</f>
        <v/>
      </c>
      <c r="G55" s="6">
        <f>IF($A55="","",ROUND(B55+C55-D55-E55-F55,2))</f>
        <v/>
      </c>
    </row>
    <row r="56">
      <c r="A56">
        <f>IF('Opening Balance'!I55="","",'Opening Balance'!I55)</f>
        <v/>
      </c>
      <c r="B56" s="6">
        <f>IF($A56="","",SUMIFS('Opening Balance'!$F$4:$F$303,'Opening Balance'!$G$4:$G$303,$A56))</f>
        <v/>
      </c>
      <c r="C56" s="6">
        <f>IF($A56="","",SUMIFS('Daily Sale entry '!$S$2:$S$1501,'Daily Sale entry '!$P$2:$P$1501,$A56,'Daily Sale entry '!$Q$2:$Q$1501,"Credit Sale 赊销"))</f>
        <v/>
      </c>
      <c r="D56" s="6">
        <f>IF($A56="","",SUMIFS('Daily Sale entry '!$S$2:$S$1501,'Daily Sale entry '!$P$2:$P$1501,$A56,'Daily Sale entry '!$Q$2:$Q$1501,"Collection 收款"))</f>
        <v/>
      </c>
      <c r="E56" s="6">
        <f>IF($A56="","",SUMIFS('Daily Sale entry '!$AC$2:$AC$1501,'Daily Sale entry '!$AA$2:$AA$1501,$A56,'Daily Sale entry '!$Z$2:$Z$1501,"Online collection 网上收款"))</f>
        <v/>
      </c>
      <c r="F56" s="6">
        <f>IF($A56="","",SUMIFS('Debtor Ledger'!$K$2:$K$3001,'Debtor Ledger'!$C$2:$C$3001,$A56))</f>
        <v/>
      </c>
      <c r="G56" s="6">
        <f>IF($A56="","",ROUND(B56+C56-D56-E56-F56,2))</f>
        <v/>
      </c>
    </row>
    <row r="57">
      <c r="A57">
        <f>IF('Opening Balance'!I56="","",'Opening Balance'!I56)</f>
        <v/>
      </c>
      <c r="B57" s="6">
        <f>IF($A57="","",SUMIFS('Opening Balance'!$F$4:$F$303,'Opening Balance'!$G$4:$G$303,$A57))</f>
        <v/>
      </c>
      <c r="C57" s="6">
        <f>IF($A57="","",SUMIFS('Daily Sale entry '!$S$2:$S$1501,'Daily Sale entry '!$P$2:$P$1501,$A57,'Daily Sale entry '!$Q$2:$Q$1501,"Credit Sale 赊销"))</f>
        <v/>
      </c>
      <c r="D57" s="6">
        <f>IF($A57="","",SUMIFS('Daily Sale entry '!$S$2:$S$1501,'Daily Sale entry '!$P$2:$P$1501,$A57,'Daily Sale entry '!$Q$2:$Q$1501,"Collection 收款"))</f>
        <v/>
      </c>
      <c r="E57" s="6">
        <f>IF($A57="","",SUMIFS('Daily Sale entry '!$AC$2:$AC$1501,'Daily Sale entry '!$AA$2:$AA$1501,$A57,'Daily Sale entry '!$Z$2:$Z$1501,"Online collection 网上收款"))</f>
        <v/>
      </c>
      <c r="F57" s="6">
        <f>IF($A57="","",SUMIFS('Debtor Ledger'!$K$2:$K$3001,'Debtor Ledger'!$C$2:$C$3001,$A57))</f>
        <v/>
      </c>
      <c r="G57" s="6">
        <f>IF($A57="","",ROUND(B57+C57-D57-E57-F57,2))</f>
        <v/>
      </c>
    </row>
    <row r="58">
      <c r="A58">
        <f>IF('Opening Balance'!I57="","",'Opening Balance'!I57)</f>
        <v/>
      </c>
      <c r="B58" s="6">
        <f>IF($A58="","",SUMIFS('Opening Balance'!$F$4:$F$303,'Opening Balance'!$G$4:$G$303,$A58))</f>
        <v/>
      </c>
      <c r="C58" s="6">
        <f>IF($A58="","",SUMIFS('Daily Sale entry '!$S$2:$S$1501,'Daily Sale entry '!$P$2:$P$1501,$A58,'Daily Sale entry '!$Q$2:$Q$1501,"Credit Sale 赊销"))</f>
        <v/>
      </c>
      <c r="D58" s="6">
        <f>IF($A58="","",SUMIFS('Daily Sale entry '!$S$2:$S$1501,'Daily Sale entry '!$P$2:$P$1501,$A58,'Daily Sale entry '!$Q$2:$Q$1501,"Collection 收款"))</f>
        <v/>
      </c>
      <c r="E58" s="6">
        <f>IF($A58="","",SUMIFS('Daily Sale entry '!$AC$2:$AC$1501,'Daily Sale entry '!$AA$2:$AA$1501,$A58,'Daily Sale entry '!$Z$2:$Z$1501,"Online collection 网上收款"))</f>
        <v/>
      </c>
      <c r="F58" s="6">
        <f>IF($A58="","",SUMIFS('Debtor Ledger'!$K$2:$K$3001,'Debtor Ledger'!$C$2:$C$3001,$A58))</f>
        <v/>
      </c>
      <c r="G58" s="6">
        <f>IF($A58="","",ROUND(B58+C58-D58-E58-F58,2))</f>
        <v/>
      </c>
    </row>
    <row r="59">
      <c r="A59">
        <f>IF('Opening Balance'!I58="","",'Opening Balance'!I58)</f>
        <v/>
      </c>
      <c r="B59" s="6">
        <f>IF($A59="","",SUMIFS('Opening Balance'!$F$4:$F$303,'Opening Balance'!$G$4:$G$303,$A59))</f>
        <v/>
      </c>
      <c r="C59" s="6">
        <f>IF($A59="","",SUMIFS('Daily Sale entry '!$S$2:$S$1501,'Daily Sale entry '!$P$2:$P$1501,$A59,'Daily Sale entry '!$Q$2:$Q$1501,"Credit Sale 赊销"))</f>
        <v/>
      </c>
      <c r="D59" s="6">
        <f>IF($A59="","",SUMIFS('Daily Sale entry '!$S$2:$S$1501,'Daily Sale entry '!$P$2:$P$1501,$A59,'Daily Sale entry '!$Q$2:$Q$1501,"Collection 收款"))</f>
        <v/>
      </c>
      <c r="E59" s="6">
        <f>IF($A59="","",SUMIFS('Daily Sale entry '!$AC$2:$AC$1501,'Daily Sale entry '!$AA$2:$AA$1501,$A59,'Daily Sale entry '!$Z$2:$Z$1501,"Online collection 网上收款"))</f>
        <v/>
      </c>
      <c r="F59" s="6">
        <f>IF($A59="","",SUMIFS('Debtor Ledger'!$K$2:$K$3001,'Debtor Ledger'!$C$2:$C$3001,$A59))</f>
        <v/>
      </c>
      <c r="G59" s="6">
        <f>IF($A59="","",ROUND(B59+C59-D59-E59-F59,2))</f>
        <v/>
      </c>
    </row>
    <row r="60">
      <c r="A60">
        <f>IF('Opening Balance'!I59="","",'Opening Balance'!I59)</f>
        <v/>
      </c>
      <c r="B60" s="6">
        <f>IF($A60="","",SUMIFS('Opening Balance'!$F$4:$F$303,'Opening Balance'!$G$4:$G$303,$A60))</f>
        <v/>
      </c>
      <c r="C60" s="6">
        <f>IF($A60="","",SUMIFS('Daily Sale entry '!$S$2:$S$1501,'Daily Sale entry '!$P$2:$P$1501,$A60,'Daily Sale entry '!$Q$2:$Q$1501,"Credit Sale 赊销"))</f>
        <v/>
      </c>
      <c r="D60" s="6">
        <f>IF($A60="","",SUMIFS('Daily Sale entry '!$S$2:$S$1501,'Daily Sale entry '!$P$2:$P$1501,$A60,'Daily Sale entry '!$Q$2:$Q$1501,"Collection 收款"))</f>
        <v/>
      </c>
      <c r="E60" s="6">
        <f>IF($A60="","",SUMIFS('Daily Sale entry '!$AC$2:$AC$1501,'Daily Sale entry '!$AA$2:$AA$1501,$A60,'Daily Sale entry '!$Z$2:$Z$1501,"Online collection 网上收款"))</f>
        <v/>
      </c>
      <c r="F60" s="6">
        <f>IF($A60="","",SUMIFS('Debtor Ledger'!$K$2:$K$3001,'Debtor Ledger'!$C$2:$C$3001,$A60))</f>
        <v/>
      </c>
      <c r="G60" s="6">
        <f>IF($A60="","",ROUND(B60+C60-D60-E60-F60,2))</f>
        <v/>
      </c>
    </row>
    <row r="61">
      <c r="A61">
        <f>IF('Opening Balance'!I60="","",'Opening Balance'!I60)</f>
        <v/>
      </c>
      <c r="B61" s="6">
        <f>IF($A61="","",SUMIFS('Opening Balance'!$F$4:$F$303,'Opening Balance'!$G$4:$G$303,$A61))</f>
        <v/>
      </c>
      <c r="C61" s="6">
        <f>IF($A61="","",SUMIFS('Daily Sale entry '!$S$2:$S$1501,'Daily Sale entry '!$P$2:$P$1501,$A61,'Daily Sale entry '!$Q$2:$Q$1501,"Credit Sale 赊销"))</f>
        <v/>
      </c>
      <c r="D61" s="6">
        <f>IF($A61="","",SUMIFS('Daily Sale entry '!$S$2:$S$1501,'Daily Sale entry '!$P$2:$P$1501,$A61,'Daily Sale entry '!$Q$2:$Q$1501,"Collection 收款"))</f>
        <v/>
      </c>
      <c r="E61" s="6">
        <f>IF($A61="","",SUMIFS('Daily Sale entry '!$AC$2:$AC$1501,'Daily Sale entry '!$AA$2:$AA$1501,$A61,'Daily Sale entry '!$Z$2:$Z$1501,"Online collection 网上收款"))</f>
        <v/>
      </c>
      <c r="F61" s="6">
        <f>IF($A61="","",SUMIFS('Debtor Ledger'!$K$2:$K$3001,'Debtor Ledger'!$C$2:$C$3001,$A61))</f>
        <v/>
      </c>
      <c r="G61" s="6">
        <f>IF($A61="","",ROUND(B61+C61-D61-E61-F61,2))</f>
        <v/>
      </c>
    </row>
    <row r="62">
      <c r="A62">
        <f>IF('Opening Balance'!I61="","",'Opening Balance'!I61)</f>
        <v/>
      </c>
      <c r="B62" s="6">
        <f>IF($A62="","",SUMIFS('Opening Balance'!$F$4:$F$303,'Opening Balance'!$G$4:$G$303,$A62))</f>
        <v/>
      </c>
      <c r="C62" s="6">
        <f>IF($A62="","",SUMIFS('Daily Sale entry '!$S$2:$S$1501,'Daily Sale entry '!$P$2:$P$1501,$A62,'Daily Sale entry '!$Q$2:$Q$1501,"Credit Sale 赊销"))</f>
        <v/>
      </c>
      <c r="D62" s="6">
        <f>IF($A62="","",SUMIFS('Daily Sale entry '!$S$2:$S$1501,'Daily Sale entry '!$P$2:$P$1501,$A62,'Daily Sale entry '!$Q$2:$Q$1501,"Collection 收款"))</f>
        <v/>
      </c>
      <c r="E62" s="6">
        <f>IF($A62="","",SUMIFS('Daily Sale entry '!$AC$2:$AC$1501,'Daily Sale entry '!$AA$2:$AA$1501,$A62,'Daily Sale entry '!$Z$2:$Z$1501,"Online collection 网上收款"))</f>
        <v/>
      </c>
      <c r="F62" s="6">
        <f>IF($A62="","",SUMIFS('Debtor Ledger'!$K$2:$K$3001,'Debtor Ledger'!$C$2:$C$3001,$A62))</f>
        <v/>
      </c>
      <c r="G62" s="6">
        <f>IF($A62="","",ROUND(B62+C62-D62-E62-F62,2))</f>
        <v/>
      </c>
    </row>
    <row r="63">
      <c r="A63">
        <f>IF('Opening Balance'!I62="","",'Opening Balance'!I62)</f>
        <v/>
      </c>
      <c r="B63" s="6">
        <f>IF($A63="","",SUMIFS('Opening Balance'!$F$4:$F$303,'Opening Balance'!$G$4:$G$303,$A63))</f>
        <v/>
      </c>
      <c r="C63" s="6">
        <f>IF($A63="","",SUMIFS('Daily Sale entry '!$S$2:$S$1501,'Daily Sale entry '!$P$2:$P$1501,$A63,'Daily Sale entry '!$Q$2:$Q$1501,"Credit Sale 赊销"))</f>
        <v/>
      </c>
      <c r="D63" s="6">
        <f>IF($A63="","",SUMIFS('Daily Sale entry '!$S$2:$S$1501,'Daily Sale entry '!$P$2:$P$1501,$A63,'Daily Sale entry '!$Q$2:$Q$1501,"Collection 收款"))</f>
        <v/>
      </c>
      <c r="E63" s="6">
        <f>IF($A63="","",SUMIFS('Daily Sale entry '!$AC$2:$AC$1501,'Daily Sale entry '!$AA$2:$AA$1501,$A63,'Daily Sale entry '!$Z$2:$Z$1501,"Online collection 网上收款"))</f>
        <v/>
      </c>
      <c r="F63" s="6">
        <f>IF($A63="","",SUMIFS('Debtor Ledger'!$K$2:$K$3001,'Debtor Ledger'!$C$2:$C$3001,$A63))</f>
        <v/>
      </c>
      <c r="G63" s="6">
        <f>IF($A63="","",ROUND(B63+C63-D63-E63-F63,2))</f>
        <v/>
      </c>
    </row>
    <row r="64">
      <c r="A64">
        <f>IF('Opening Balance'!I63="","",'Opening Balance'!I63)</f>
        <v/>
      </c>
      <c r="B64" s="6">
        <f>IF($A64="","",SUMIFS('Opening Balance'!$F$4:$F$303,'Opening Balance'!$G$4:$G$303,$A64))</f>
        <v/>
      </c>
      <c r="C64" s="6">
        <f>IF($A64="","",SUMIFS('Daily Sale entry '!$S$2:$S$1501,'Daily Sale entry '!$P$2:$P$1501,$A64,'Daily Sale entry '!$Q$2:$Q$1501,"Credit Sale 赊销"))</f>
        <v/>
      </c>
      <c r="D64" s="6">
        <f>IF($A64="","",SUMIFS('Daily Sale entry '!$S$2:$S$1501,'Daily Sale entry '!$P$2:$P$1501,$A64,'Daily Sale entry '!$Q$2:$Q$1501,"Collection 收款"))</f>
        <v/>
      </c>
      <c r="E64" s="6">
        <f>IF($A64="","",SUMIFS('Daily Sale entry '!$AC$2:$AC$1501,'Daily Sale entry '!$AA$2:$AA$1501,$A64,'Daily Sale entry '!$Z$2:$Z$1501,"Online collection 网上收款"))</f>
        <v/>
      </c>
      <c r="F64" s="6">
        <f>IF($A64="","",SUMIFS('Debtor Ledger'!$K$2:$K$3001,'Debtor Ledger'!$C$2:$C$3001,$A64))</f>
        <v/>
      </c>
      <c r="G64" s="6">
        <f>IF($A64="","",ROUND(B64+C64-D64-E64-F64,2))</f>
        <v/>
      </c>
    </row>
    <row r="65">
      <c r="A65">
        <f>IF('Opening Balance'!I64="","",'Opening Balance'!I64)</f>
        <v/>
      </c>
      <c r="B65" s="6">
        <f>IF($A65="","",SUMIFS('Opening Balance'!$F$4:$F$303,'Opening Balance'!$G$4:$G$303,$A65))</f>
        <v/>
      </c>
      <c r="C65" s="6">
        <f>IF($A65="","",SUMIFS('Daily Sale entry '!$S$2:$S$1501,'Daily Sale entry '!$P$2:$P$1501,$A65,'Daily Sale entry '!$Q$2:$Q$1501,"Credit Sale 赊销"))</f>
        <v/>
      </c>
      <c r="D65" s="6">
        <f>IF($A65="","",SUMIFS('Daily Sale entry '!$S$2:$S$1501,'Daily Sale entry '!$P$2:$P$1501,$A65,'Daily Sale entry '!$Q$2:$Q$1501,"Collection 收款"))</f>
        <v/>
      </c>
      <c r="E65" s="6">
        <f>IF($A65="","",SUMIFS('Daily Sale entry '!$AC$2:$AC$1501,'Daily Sale entry '!$AA$2:$AA$1501,$A65,'Daily Sale entry '!$Z$2:$Z$1501,"Online collection 网上收款"))</f>
        <v/>
      </c>
      <c r="F65" s="6">
        <f>IF($A65="","",SUMIFS('Debtor Ledger'!$K$2:$K$3001,'Debtor Ledger'!$C$2:$C$3001,$A65))</f>
        <v/>
      </c>
      <c r="G65" s="6">
        <f>IF($A65="","",ROUND(B65+C65-D65-E65-F65,2))</f>
        <v/>
      </c>
    </row>
    <row r="66">
      <c r="A66">
        <f>IF('Opening Balance'!I65="","",'Opening Balance'!I65)</f>
        <v/>
      </c>
      <c r="B66" s="6">
        <f>IF($A66="","",SUMIFS('Opening Balance'!$F$4:$F$303,'Opening Balance'!$G$4:$G$303,$A66))</f>
        <v/>
      </c>
      <c r="C66" s="6">
        <f>IF($A66="","",SUMIFS('Daily Sale entry '!$S$2:$S$1501,'Daily Sale entry '!$P$2:$P$1501,$A66,'Daily Sale entry '!$Q$2:$Q$1501,"Credit Sale 赊销"))</f>
        <v/>
      </c>
      <c r="D66" s="6">
        <f>IF($A66="","",SUMIFS('Daily Sale entry '!$S$2:$S$1501,'Daily Sale entry '!$P$2:$P$1501,$A66,'Daily Sale entry '!$Q$2:$Q$1501,"Collection 收款"))</f>
        <v/>
      </c>
      <c r="E66" s="6">
        <f>IF($A66="","",SUMIFS('Daily Sale entry '!$AC$2:$AC$1501,'Daily Sale entry '!$AA$2:$AA$1501,$A66,'Daily Sale entry '!$Z$2:$Z$1501,"Online collection 网上收款"))</f>
        <v/>
      </c>
      <c r="F66" s="6">
        <f>IF($A66="","",SUMIFS('Debtor Ledger'!$K$2:$K$3001,'Debtor Ledger'!$C$2:$C$3001,$A66))</f>
        <v/>
      </c>
      <c r="G66" s="6">
        <f>IF($A66="","",ROUND(B66+C66-D66-E66-F66,2))</f>
        <v/>
      </c>
    </row>
    <row r="67">
      <c r="A67">
        <f>IF('Opening Balance'!I66="","",'Opening Balance'!I66)</f>
        <v/>
      </c>
      <c r="B67" s="6">
        <f>IF($A67="","",SUMIFS('Opening Balance'!$F$4:$F$303,'Opening Balance'!$G$4:$G$303,$A67))</f>
        <v/>
      </c>
      <c r="C67" s="6">
        <f>IF($A67="","",SUMIFS('Daily Sale entry '!$S$2:$S$1501,'Daily Sale entry '!$P$2:$P$1501,$A67,'Daily Sale entry '!$Q$2:$Q$1501,"Credit Sale 赊销"))</f>
        <v/>
      </c>
      <c r="D67" s="6">
        <f>IF($A67="","",SUMIFS('Daily Sale entry '!$S$2:$S$1501,'Daily Sale entry '!$P$2:$P$1501,$A67,'Daily Sale entry '!$Q$2:$Q$1501,"Collection 收款"))</f>
        <v/>
      </c>
      <c r="E67" s="6">
        <f>IF($A67="","",SUMIFS('Daily Sale entry '!$AC$2:$AC$1501,'Daily Sale entry '!$AA$2:$AA$1501,$A67,'Daily Sale entry '!$Z$2:$Z$1501,"Online collection 网上收款"))</f>
        <v/>
      </c>
      <c r="F67" s="6">
        <f>IF($A67="","",SUMIFS('Debtor Ledger'!$K$2:$K$3001,'Debtor Ledger'!$C$2:$C$3001,$A67))</f>
        <v/>
      </c>
      <c r="G67" s="6">
        <f>IF($A67="","",ROUND(B67+C67-D67-E67-F67,2))</f>
        <v/>
      </c>
    </row>
    <row r="68">
      <c r="A68">
        <f>IF('Opening Balance'!I67="","",'Opening Balance'!I67)</f>
        <v/>
      </c>
      <c r="B68" s="6">
        <f>IF($A68="","",SUMIFS('Opening Balance'!$F$4:$F$303,'Opening Balance'!$G$4:$G$303,$A68))</f>
        <v/>
      </c>
      <c r="C68" s="6">
        <f>IF($A68="","",SUMIFS('Daily Sale entry '!$S$2:$S$1501,'Daily Sale entry '!$P$2:$P$1501,$A68,'Daily Sale entry '!$Q$2:$Q$1501,"Credit Sale 赊销"))</f>
        <v/>
      </c>
      <c r="D68" s="6">
        <f>IF($A68="","",SUMIFS('Daily Sale entry '!$S$2:$S$1501,'Daily Sale entry '!$P$2:$P$1501,$A68,'Daily Sale entry '!$Q$2:$Q$1501,"Collection 收款"))</f>
        <v/>
      </c>
      <c r="E68" s="6">
        <f>IF($A68="","",SUMIFS('Daily Sale entry '!$AC$2:$AC$1501,'Daily Sale entry '!$AA$2:$AA$1501,$A68,'Daily Sale entry '!$Z$2:$Z$1501,"Online collection 网上收款"))</f>
        <v/>
      </c>
      <c r="F68" s="6">
        <f>IF($A68="","",SUMIFS('Debtor Ledger'!$K$2:$K$3001,'Debtor Ledger'!$C$2:$C$3001,$A68))</f>
        <v/>
      </c>
      <c r="G68" s="6">
        <f>IF($A68="","",ROUND(B68+C68-D68-E68-F68,2))</f>
        <v/>
      </c>
    </row>
    <row r="69">
      <c r="A69">
        <f>IF('Opening Balance'!I68="","",'Opening Balance'!I68)</f>
        <v/>
      </c>
      <c r="B69" s="6">
        <f>IF($A69="","",SUMIFS('Opening Balance'!$F$4:$F$303,'Opening Balance'!$G$4:$G$303,$A69))</f>
        <v/>
      </c>
      <c r="C69" s="6">
        <f>IF($A69="","",SUMIFS('Daily Sale entry '!$S$2:$S$1501,'Daily Sale entry '!$P$2:$P$1501,$A69,'Daily Sale entry '!$Q$2:$Q$1501,"Credit Sale 赊销"))</f>
        <v/>
      </c>
      <c r="D69" s="6">
        <f>IF($A69="","",SUMIFS('Daily Sale entry '!$S$2:$S$1501,'Daily Sale entry '!$P$2:$P$1501,$A69,'Daily Sale entry '!$Q$2:$Q$1501,"Collection 收款"))</f>
        <v/>
      </c>
      <c r="E69" s="6">
        <f>IF($A69="","",SUMIFS('Daily Sale entry '!$AC$2:$AC$1501,'Daily Sale entry '!$AA$2:$AA$1501,$A69,'Daily Sale entry '!$Z$2:$Z$1501,"Online collection 网上收款"))</f>
        <v/>
      </c>
      <c r="F69" s="6">
        <f>IF($A69="","",SUMIFS('Debtor Ledger'!$K$2:$K$3001,'Debtor Ledger'!$C$2:$C$3001,$A69))</f>
        <v/>
      </c>
      <c r="G69" s="6">
        <f>IF($A69="","",ROUND(B69+C69-D69-E69-F69,2))</f>
        <v/>
      </c>
    </row>
    <row r="70">
      <c r="A70">
        <f>IF('Opening Balance'!I69="","",'Opening Balance'!I69)</f>
        <v/>
      </c>
      <c r="B70" s="6">
        <f>IF($A70="","",SUMIFS('Opening Balance'!$F$4:$F$303,'Opening Balance'!$G$4:$G$303,$A70))</f>
        <v/>
      </c>
      <c r="C70" s="6">
        <f>IF($A70="","",SUMIFS('Daily Sale entry '!$S$2:$S$1501,'Daily Sale entry '!$P$2:$P$1501,$A70,'Daily Sale entry '!$Q$2:$Q$1501,"Credit Sale 赊销"))</f>
        <v/>
      </c>
      <c r="D70" s="6">
        <f>IF($A70="","",SUMIFS('Daily Sale entry '!$S$2:$S$1501,'Daily Sale entry '!$P$2:$P$1501,$A70,'Daily Sale entry '!$Q$2:$Q$1501,"Collection 收款"))</f>
        <v/>
      </c>
      <c r="E70" s="6">
        <f>IF($A70="","",SUMIFS('Daily Sale entry '!$AC$2:$AC$1501,'Daily Sale entry '!$AA$2:$AA$1501,$A70,'Daily Sale entry '!$Z$2:$Z$1501,"Online collection 网上收款"))</f>
        <v/>
      </c>
      <c r="F70" s="6">
        <f>IF($A70="","",SUMIFS('Debtor Ledger'!$K$2:$K$3001,'Debtor Ledger'!$C$2:$C$3001,$A70))</f>
        <v/>
      </c>
      <c r="G70" s="6">
        <f>IF($A70="","",ROUND(B70+C70-D70-E70-F70,2))</f>
        <v/>
      </c>
    </row>
    <row r="71">
      <c r="A71">
        <f>IF('Opening Balance'!I70="","",'Opening Balance'!I70)</f>
        <v/>
      </c>
      <c r="B71" s="6">
        <f>IF($A71="","",SUMIFS('Opening Balance'!$F$4:$F$303,'Opening Balance'!$G$4:$G$303,$A71))</f>
        <v/>
      </c>
      <c r="C71" s="6">
        <f>IF($A71="","",SUMIFS('Daily Sale entry '!$S$2:$S$1501,'Daily Sale entry '!$P$2:$P$1501,$A71,'Daily Sale entry '!$Q$2:$Q$1501,"Credit Sale 赊销"))</f>
        <v/>
      </c>
      <c r="D71" s="6">
        <f>IF($A71="","",SUMIFS('Daily Sale entry '!$S$2:$S$1501,'Daily Sale entry '!$P$2:$P$1501,$A71,'Daily Sale entry '!$Q$2:$Q$1501,"Collection 收款"))</f>
        <v/>
      </c>
      <c r="E71" s="6">
        <f>IF($A71="","",SUMIFS('Daily Sale entry '!$AC$2:$AC$1501,'Daily Sale entry '!$AA$2:$AA$1501,$A71,'Daily Sale entry '!$Z$2:$Z$1501,"Online collection 网上收款"))</f>
        <v/>
      </c>
      <c r="F71" s="6">
        <f>IF($A71="","",SUMIFS('Debtor Ledger'!$K$2:$K$3001,'Debtor Ledger'!$C$2:$C$3001,$A71))</f>
        <v/>
      </c>
      <c r="G71" s="6">
        <f>IF($A71="","",ROUND(B71+C71-D71-E71-F71,2))</f>
        <v/>
      </c>
    </row>
    <row r="72">
      <c r="A72">
        <f>IF('Opening Balance'!I71="","",'Opening Balance'!I71)</f>
        <v/>
      </c>
      <c r="B72" s="6">
        <f>IF($A72="","",SUMIFS('Opening Balance'!$F$4:$F$303,'Opening Balance'!$G$4:$G$303,$A72))</f>
        <v/>
      </c>
      <c r="C72" s="6">
        <f>IF($A72="","",SUMIFS('Daily Sale entry '!$S$2:$S$1501,'Daily Sale entry '!$P$2:$P$1501,$A72,'Daily Sale entry '!$Q$2:$Q$1501,"Credit Sale 赊销"))</f>
        <v/>
      </c>
      <c r="D72" s="6">
        <f>IF($A72="","",SUMIFS('Daily Sale entry '!$S$2:$S$1501,'Daily Sale entry '!$P$2:$P$1501,$A72,'Daily Sale entry '!$Q$2:$Q$1501,"Collection 收款"))</f>
        <v/>
      </c>
      <c r="E72" s="6">
        <f>IF($A72="","",SUMIFS('Daily Sale entry '!$AC$2:$AC$1501,'Daily Sale entry '!$AA$2:$AA$1501,$A72,'Daily Sale entry '!$Z$2:$Z$1501,"Online collection 网上收款"))</f>
        <v/>
      </c>
      <c r="F72" s="6">
        <f>IF($A72="","",SUMIFS('Debtor Ledger'!$K$2:$K$3001,'Debtor Ledger'!$C$2:$C$3001,$A72))</f>
        <v/>
      </c>
      <c r="G72" s="6">
        <f>IF($A72="","",ROUND(B72+C72-D72-E72-F72,2))</f>
        <v/>
      </c>
    </row>
    <row r="73">
      <c r="A73">
        <f>IF('Opening Balance'!I72="","",'Opening Balance'!I72)</f>
        <v/>
      </c>
      <c r="B73" s="6">
        <f>IF($A73="","",SUMIFS('Opening Balance'!$F$4:$F$303,'Opening Balance'!$G$4:$G$303,$A73))</f>
        <v/>
      </c>
      <c r="C73" s="6">
        <f>IF($A73="","",SUMIFS('Daily Sale entry '!$S$2:$S$1501,'Daily Sale entry '!$P$2:$P$1501,$A73,'Daily Sale entry '!$Q$2:$Q$1501,"Credit Sale 赊销"))</f>
        <v/>
      </c>
      <c r="D73" s="6">
        <f>IF($A73="","",SUMIFS('Daily Sale entry '!$S$2:$S$1501,'Daily Sale entry '!$P$2:$P$1501,$A73,'Daily Sale entry '!$Q$2:$Q$1501,"Collection 收款"))</f>
        <v/>
      </c>
      <c r="E73" s="6">
        <f>IF($A73="","",SUMIFS('Daily Sale entry '!$AC$2:$AC$1501,'Daily Sale entry '!$AA$2:$AA$1501,$A73,'Daily Sale entry '!$Z$2:$Z$1501,"Online collection 网上收款"))</f>
        <v/>
      </c>
      <c r="F73" s="6">
        <f>IF($A73="","",SUMIFS('Debtor Ledger'!$K$2:$K$3001,'Debtor Ledger'!$C$2:$C$3001,$A73))</f>
        <v/>
      </c>
      <c r="G73" s="6">
        <f>IF($A73="","",ROUND(B73+C73-D73-E73-F73,2))</f>
        <v/>
      </c>
    </row>
    <row r="74">
      <c r="A74">
        <f>IF('Opening Balance'!I73="","",'Opening Balance'!I73)</f>
        <v/>
      </c>
      <c r="B74" s="6">
        <f>IF($A74="","",SUMIFS('Opening Balance'!$F$4:$F$303,'Opening Balance'!$G$4:$G$303,$A74))</f>
        <v/>
      </c>
      <c r="C74" s="6">
        <f>IF($A74="","",SUMIFS('Daily Sale entry '!$S$2:$S$1501,'Daily Sale entry '!$P$2:$P$1501,$A74,'Daily Sale entry '!$Q$2:$Q$1501,"Credit Sale 赊销"))</f>
        <v/>
      </c>
      <c r="D74" s="6">
        <f>IF($A74="","",SUMIFS('Daily Sale entry '!$S$2:$S$1501,'Daily Sale entry '!$P$2:$P$1501,$A74,'Daily Sale entry '!$Q$2:$Q$1501,"Collection 收款"))</f>
        <v/>
      </c>
      <c r="E74" s="6">
        <f>IF($A74="","",SUMIFS('Daily Sale entry '!$AC$2:$AC$1501,'Daily Sale entry '!$AA$2:$AA$1501,$A74,'Daily Sale entry '!$Z$2:$Z$1501,"Online collection 网上收款"))</f>
        <v/>
      </c>
      <c r="F74" s="6">
        <f>IF($A74="","",SUMIFS('Debtor Ledger'!$K$2:$K$3001,'Debtor Ledger'!$C$2:$C$3001,$A74))</f>
        <v/>
      </c>
      <c r="G74" s="6">
        <f>IF($A74="","",ROUND(B74+C74-D74-E74-F74,2))</f>
        <v/>
      </c>
    </row>
    <row r="75">
      <c r="A75">
        <f>IF('Opening Balance'!I74="","",'Opening Balance'!I74)</f>
        <v/>
      </c>
      <c r="B75" s="6">
        <f>IF($A75="","",SUMIFS('Opening Balance'!$F$4:$F$303,'Opening Balance'!$G$4:$G$303,$A75))</f>
        <v/>
      </c>
      <c r="C75" s="6">
        <f>IF($A75="","",SUMIFS('Daily Sale entry '!$S$2:$S$1501,'Daily Sale entry '!$P$2:$P$1501,$A75,'Daily Sale entry '!$Q$2:$Q$1501,"Credit Sale 赊销"))</f>
        <v/>
      </c>
      <c r="D75" s="6">
        <f>IF($A75="","",SUMIFS('Daily Sale entry '!$S$2:$S$1501,'Daily Sale entry '!$P$2:$P$1501,$A75,'Daily Sale entry '!$Q$2:$Q$1501,"Collection 收款"))</f>
        <v/>
      </c>
      <c r="E75" s="6">
        <f>IF($A75="","",SUMIFS('Daily Sale entry '!$AC$2:$AC$1501,'Daily Sale entry '!$AA$2:$AA$1501,$A75,'Daily Sale entry '!$Z$2:$Z$1501,"Online collection 网上收款"))</f>
        <v/>
      </c>
      <c r="F75" s="6">
        <f>IF($A75="","",SUMIFS('Debtor Ledger'!$K$2:$K$3001,'Debtor Ledger'!$C$2:$C$3001,$A75))</f>
        <v/>
      </c>
      <c r="G75" s="6">
        <f>IF($A75="","",ROUND(B75+C75-D75-E75-F75,2))</f>
        <v/>
      </c>
    </row>
    <row r="76">
      <c r="A76">
        <f>IF('Opening Balance'!I75="","",'Opening Balance'!I75)</f>
        <v/>
      </c>
      <c r="B76" s="6">
        <f>IF($A76="","",SUMIFS('Opening Balance'!$F$4:$F$303,'Opening Balance'!$G$4:$G$303,$A76))</f>
        <v/>
      </c>
      <c r="C76" s="6">
        <f>IF($A76="","",SUMIFS('Daily Sale entry '!$S$2:$S$1501,'Daily Sale entry '!$P$2:$P$1501,$A76,'Daily Sale entry '!$Q$2:$Q$1501,"Credit Sale 赊销"))</f>
        <v/>
      </c>
      <c r="D76" s="6">
        <f>IF($A76="","",SUMIFS('Daily Sale entry '!$S$2:$S$1501,'Daily Sale entry '!$P$2:$P$1501,$A76,'Daily Sale entry '!$Q$2:$Q$1501,"Collection 收款"))</f>
        <v/>
      </c>
      <c r="E76" s="6">
        <f>IF($A76="","",SUMIFS('Daily Sale entry '!$AC$2:$AC$1501,'Daily Sale entry '!$AA$2:$AA$1501,$A76,'Daily Sale entry '!$Z$2:$Z$1501,"Online collection 网上收款"))</f>
        <v/>
      </c>
      <c r="F76" s="6">
        <f>IF($A76="","",SUMIFS('Debtor Ledger'!$K$2:$K$3001,'Debtor Ledger'!$C$2:$C$3001,$A76))</f>
        <v/>
      </c>
      <c r="G76" s="6">
        <f>IF($A76="","",ROUND(B76+C76-D76-E76-F76,2))</f>
        <v/>
      </c>
    </row>
    <row r="77">
      <c r="A77">
        <f>IF('Opening Balance'!I76="","",'Opening Balance'!I76)</f>
        <v/>
      </c>
      <c r="B77" s="6">
        <f>IF($A77="","",SUMIFS('Opening Balance'!$F$4:$F$303,'Opening Balance'!$G$4:$G$303,$A77))</f>
        <v/>
      </c>
      <c r="C77" s="6">
        <f>IF($A77="","",SUMIFS('Daily Sale entry '!$S$2:$S$1501,'Daily Sale entry '!$P$2:$P$1501,$A77,'Daily Sale entry '!$Q$2:$Q$1501,"Credit Sale 赊销"))</f>
        <v/>
      </c>
      <c r="D77" s="6">
        <f>IF($A77="","",SUMIFS('Daily Sale entry '!$S$2:$S$1501,'Daily Sale entry '!$P$2:$P$1501,$A77,'Daily Sale entry '!$Q$2:$Q$1501,"Collection 收款"))</f>
        <v/>
      </c>
      <c r="E77" s="6">
        <f>IF($A77="","",SUMIFS('Daily Sale entry '!$AC$2:$AC$1501,'Daily Sale entry '!$AA$2:$AA$1501,$A77,'Daily Sale entry '!$Z$2:$Z$1501,"Online collection 网上收款"))</f>
        <v/>
      </c>
      <c r="F77" s="6">
        <f>IF($A77="","",SUMIFS('Debtor Ledger'!$K$2:$K$3001,'Debtor Ledger'!$C$2:$C$3001,$A77))</f>
        <v/>
      </c>
      <c r="G77" s="6">
        <f>IF($A77="","",ROUND(B77+C77-D77-E77-F77,2))</f>
        <v/>
      </c>
    </row>
    <row r="78">
      <c r="A78">
        <f>IF('Opening Balance'!I77="","",'Opening Balance'!I77)</f>
        <v/>
      </c>
      <c r="B78" s="6">
        <f>IF($A78="","",SUMIFS('Opening Balance'!$F$4:$F$303,'Opening Balance'!$G$4:$G$303,$A78))</f>
        <v/>
      </c>
      <c r="C78" s="6">
        <f>IF($A78="","",SUMIFS('Daily Sale entry '!$S$2:$S$1501,'Daily Sale entry '!$P$2:$P$1501,$A78,'Daily Sale entry '!$Q$2:$Q$1501,"Credit Sale 赊销"))</f>
        <v/>
      </c>
      <c r="D78" s="6">
        <f>IF($A78="","",SUMIFS('Daily Sale entry '!$S$2:$S$1501,'Daily Sale entry '!$P$2:$P$1501,$A78,'Daily Sale entry '!$Q$2:$Q$1501,"Collection 收款"))</f>
        <v/>
      </c>
      <c r="E78" s="6">
        <f>IF($A78="","",SUMIFS('Daily Sale entry '!$AC$2:$AC$1501,'Daily Sale entry '!$AA$2:$AA$1501,$A78,'Daily Sale entry '!$Z$2:$Z$1501,"Online collection 网上收款"))</f>
        <v/>
      </c>
      <c r="F78" s="6">
        <f>IF($A78="","",SUMIFS('Debtor Ledger'!$K$2:$K$3001,'Debtor Ledger'!$C$2:$C$3001,$A78))</f>
        <v/>
      </c>
      <c r="G78" s="6">
        <f>IF($A78="","",ROUND(B78+C78-D78-E78-F78,2))</f>
        <v/>
      </c>
    </row>
    <row r="79">
      <c r="A79">
        <f>IF('Opening Balance'!I78="","",'Opening Balance'!I78)</f>
        <v/>
      </c>
      <c r="B79" s="6">
        <f>IF($A79="","",SUMIFS('Opening Balance'!$F$4:$F$303,'Opening Balance'!$G$4:$G$303,$A79))</f>
        <v/>
      </c>
      <c r="C79" s="6">
        <f>IF($A79="","",SUMIFS('Daily Sale entry '!$S$2:$S$1501,'Daily Sale entry '!$P$2:$P$1501,$A79,'Daily Sale entry '!$Q$2:$Q$1501,"Credit Sale 赊销"))</f>
        <v/>
      </c>
      <c r="D79" s="6">
        <f>IF($A79="","",SUMIFS('Daily Sale entry '!$S$2:$S$1501,'Daily Sale entry '!$P$2:$P$1501,$A79,'Daily Sale entry '!$Q$2:$Q$1501,"Collection 收款"))</f>
        <v/>
      </c>
      <c r="E79" s="6">
        <f>IF($A79="","",SUMIFS('Daily Sale entry '!$AC$2:$AC$1501,'Daily Sale entry '!$AA$2:$AA$1501,$A79,'Daily Sale entry '!$Z$2:$Z$1501,"Online collection 网上收款"))</f>
        <v/>
      </c>
      <c r="F79" s="6">
        <f>IF($A79="","",SUMIFS('Debtor Ledger'!$K$2:$K$3001,'Debtor Ledger'!$C$2:$C$3001,$A79))</f>
        <v/>
      </c>
      <c r="G79" s="6">
        <f>IF($A79="","",ROUND(B79+C79-D79-E79-F79,2))</f>
        <v/>
      </c>
    </row>
    <row r="80">
      <c r="A80">
        <f>IF('Opening Balance'!I79="","",'Opening Balance'!I79)</f>
        <v/>
      </c>
      <c r="B80" s="6">
        <f>IF($A80="","",SUMIFS('Opening Balance'!$F$4:$F$303,'Opening Balance'!$G$4:$G$303,$A80))</f>
        <v/>
      </c>
      <c r="C80" s="6">
        <f>IF($A80="","",SUMIFS('Daily Sale entry '!$S$2:$S$1501,'Daily Sale entry '!$P$2:$P$1501,$A80,'Daily Sale entry '!$Q$2:$Q$1501,"Credit Sale 赊销"))</f>
        <v/>
      </c>
      <c r="D80" s="6">
        <f>IF($A80="","",SUMIFS('Daily Sale entry '!$S$2:$S$1501,'Daily Sale entry '!$P$2:$P$1501,$A80,'Daily Sale entry '!$Q$2:$Q$1501,"Collection 收款"))</f>
        <v/>
      </c>
      <c r="E80" s="6">
        <f>IF($A80="","",SUMIFS('Daily Sale entry '!$AC$2:$AC$1501,'Daily Sale entry '!$AA$2:$AA$1501,$A80,'Daily Sale entry '!$Z$2:$Z$1501,"Online collection 网上收款"))</f>
        <v/>
      </c>
      <c r="F80" s="6">
        <f>IF($A80="","",SUMIFS('Debtor Ledger'!$K$2:$K$3001,'Debtor Ledger'!$C$2:$C$3001,$A80))</f>
        <v/>
      </c>
      <c r="G80" s="6">
        <f>IF($A80="","",ROUND(B80+C80-D80-E80-F80,2))</f>
        <v/>
      </c>
    </row>
    <row r="81">
      <c r="A81">
        <f>IF('Opening Balance'!I80="","",'Opening Balance'!I80)</f>
        <v/>
      </c>
      <c r="B81" s="6">
        <f>IF($A81="","",SUMIFS('Opening Balance'!$F$4:$F$303,'Opening Balance'!$G$4:$G$303,$A81))</f>
        <v/>
      </c>
      <c r="C81" s="6">
        <f>IF($A81="","",SUMIFS('Daily Sale entry '!$S$2:$S$1501,'Daily Sale entry '!$P$2:$P$1501,$A81,'Daily Sale entry '!$Q$2:$Q$1501,"Credit Sale 赊销"))</f>
        <v/>
      </c>
      <c r="D81" s="6">
        <f>IF($A81="","",SUMIFS('Daily Sale entry '!$S$2:$S$1501,'Daily Sale entry '!$P$2:$P$1501,$A81,'Daily Sale entry '!$Q$2:$Q$1501,"Collection 收款"))</f>
        <v/>
      </c>
      <c r="E81" s="6">
        <f>IF($A81="","",SUMIFS('Daily Sale entry '!$AC$2:$AC$1501,'Daily Sale entry '!$AA$2:$AA$1501,$A81,'Daily Sale entry '!$Z$2:$Z$1501,"Online collection 网上收款"))</f>
        <v/>
      </c>
      <c r="F81" s="6">
        <f>IF($A81="","",SUMIFS('Debtor Ledger'!$K$2:$K$3001,'Debtor Ledger'!$C$2:$C$3001,$A81))</f>
        <v/>
      </c>
      <c r="G81" s="6">
        <f>IF($A81="","",ROUND(B81+C81-D81-E81-F81,2))</f>
        <v/>
      </c>
    </row>
    <row r="82">
      <c r="A82">
        <f>IF('Opening Balance'!I81="","",'Opening Balance'!I81)</f>
        <v/>
      </c>
      <c r="B82" s="6">
        <f>IF($A82="","",SUMIFS('Opening Balance'!$F$4:$F$303,'Opening Balance'!$G$4:$G$303,$A82))</f>
        <v/>
      </c>
      <c r="C82" s="6">
        <f>IF($A82="","",SUMIFS('Daily Sale entry '!$S$2:$S$1501,'Daily Sale entry '!$P$2:$P$1501,$A82,'Daily Sale entry '!$Q$2:$Q$1501,"Credit Sale 赊销"))</f>
        <v/>
      </c>
      <c r="D82" s="6">
        <f>IF($A82="","",SUMIFS('Daily Sale entry '!$S$2:$S$1501,'Daily Sale entry '!$P$2:$P$1501,$A82,'Daily Sale entry '!$Q$2:$Q$1501,"Collection 收款"))</f>
        <v/>
      </c>
      <c r="E82" s="6">
        <f>IF($A82="","",SUMIFS('Daily Sale entry '!$AC$2:$AC$1501,'Daily Sale entry '!$AA$2:$AA$1501,$A82,'Daily Sale entry '!$Z$2:$Z$1501,"Online collection 网上收款"))</f>
        <v/>
      </c>
      <c r="F82" s="6">
        <f>IF($A82="","",SUMIFS('Debtor Ledger'!$K$2:$K$3001,'Debtor Ledger'!$C$2:$C$3001,$A82))</f>
        <v/>
      </c>
      <c r="G82" s="6">
        <f>IF($A82="","",ROUND(B82+C82-D82-E82-F82,2))</f>
        <v/>
      </c>
    </row>
    <row r="83">
      <c r="A83">
        <f>IF('Opening Balance'!I82="","",'Opening Balance'!I82)</f>
        <v/>
      </c>
      <c r="B83" s="6">
        <f>IF($A83="","",SUMIFS('Opening Balance'!$F$4:$F$303,'Opening Balance'!$G$4:$G$303,$A83))</f>
        <v/>
      </c>
      <c r="C83" s="6">
        <f>IF($A83="","",SUMIFS('Daily Sale entry '!$S$2:$S$1501,'Daily Sale entry '!$P$2:$P$1501,$A83,'Daily Sale entry '!$Q$2:$Q$1501,"Credit Sale 赊销"))</f>
        <v/>
      </c>
      <c r="D83" s="6">
        <f>IF($A83="","",SUMIFS('Daily Sale entry '!$S$2:$S$1501,'Daily Sale entry '!$P$2:$P$1501,$A83,'Daily Sale entry '!$Q$2:$Q$1501,"Collection 收款"))</f>
        <v/>
      </c>
      <c r="E83" s="6">
        <f>IF($A83="","",SUMIFS('Daily Sale entry '!$AC$2:$AC$1501,'Daily Sale entry '!$AA$2:$AA$1501,$A83,'Daily Sale entry '!$Z$2:$Z$1501,"Online collection 网上收款"))</f>
        <v/>
      </c>
      <c r="F83" s="6">
        <f>IF($A83="","",SUMIFS('Debtor Ledger'!$K$2:$K$3001,'Debtor Ledger'!$C$2:$C$3001,$A83))</f>
        <v/>
      </c>
      <c r="G83" s="6">
        <f>IF($A83="","",ROUND(B83+C83-D83-E83-F83,2))</f>
        <v/>
      </c>
    </row>
    <row r="84">
      <c r="A84">
        <f>IF('Opening Balance'!I83="","",'Opening Balance'!I83)</f>
        <v/>
      </c>
      <c r="B84" s="6">
        <f>IF($A84="","",SUMIFS('Opening Balance'!$F$4:$F$303,'Opening Balance'!$G$4:$G$303,$A84))</f>
        <v/>
      </c>
      <c r="C84" s="6">
        <f>IF($A84="","",SUMIFS('Daily Sale entry '!$S$2:$S$1501,'Daily Sale entry '!$P$2:$P$1501,$A84,'Daily Sale entry '!$Q$2:$Q$1501,"Credit Sale 赊销"))</f>
        <v/>
      </c>
      <c r="D84" s="6">
        <f>IF($A84="","",SUMIFS('Daily Sale entry '!$S$2:$S$1501,'Daily Sale entry '!$P$2:$P$1501,$A84,'Daily Sale entry '!$Q$2:$Q$1501,"Collection 收款"))</f>
        <v/>
      </c>
      <c r="E84" s="6">
        <f>IF($A84="","",SUMIFS('Daily Sale entry '!$AC$2:$AC$1501,'Daily Sale entry '!$AA$2:$AA$1501,$A84,'Daily Sale entry '!$Z$2:$Z$1501,"Online collection 网上收款"))</f>
        <v/>
      </c>
      <c r="F84" s="6">
        <f>IF($A84="","",SUMIFS('Debtor Ledger'!$K$2:$K$3001,'Debtor Ledger'!$C$2:$C$3001,$A84))</f>
        <v/>
      </c>
      <c r="G84" s="6">
        <f>IF($A84="","",ROUND(B84+C84-D84-E84-F84,2))</f>
        <v/>
      </c>
    </row>
    <row r="85">
      <c r="A85">
        <f>IF('Opening Balance'!I84="","",'Opening Balance'!I84)</f>
        <v/>
      </c>
      <c r="B85" s="6">
        <f>IF($A85="","",SUMIFS('Opening Balance'!$F$4:$F$303,'Opening Balance'!$G$4:$G$303,$A85))</f>
        <v/>
      </c>
      <c r="C85" s="6">
        <f>IF($A85="","",SUMIFS('Daily Sale entry '!$S$2:$S$1501,'Daily Sale entry '!$P$2:$P$1501,$A85,'Daily Sale entry '!$Q$2:$Q$1501,"Credit Sale 赊销"))</f>
        <v/>
      </c>
      <c r="D85" s="6">
        <f>IF($A85="","",SUMIFS('Daily Sale entry '!$S$2:$S$1501,'Daily Sale entry '!$P$2:$P$1501,$A85,'Daily Sale entry '!$Q$2:$Q$1501,"Collection 收款"))</f>
        <v/>
      </c>
      <c r="E85" s="6">
        <f>IF($A85="","",SUMIFS('Daily Sale entry '!$AC$2:$AC$1501,'Daily Sale entry '!$AA$2:$AA$1501,$A85,'Daily Sale entry '!$Z$2:$Z$1501,"Online collection 网上收款"))</f>
        <v/>
      </c>
      <c r="F85" s="6">
        <f>IF($A85="","",SUMIFS('Debtor Ledger'!$K$2:$K$3001,'Debtor Ledger'!$C$2:$C$3001,$A85))</f>
        <v/>
      </c>
      <c r="G85" s="6">
        <f>IF($A85="","",ROUND(B85+C85-D85-E85-F85,2))</f>
        <v/>
      </c>
    </row>
    <row r="86">
      <c r="A86">
        <f>IF('Opening Balance'!I85="","",'Opening Balance'!I85)</f>
        <v/>
      </c>
      <c r="B86" s="6">
        <f>IF($A86="","",SUMIFS('Opening Balance'!$F$4:$F$303,'Opening Balance'!$G$4:$G$303,$A86))</f>
        <v/>
      </c>
      <c r="C86" s="6">
        <f>IF($A86="","",SUMIFS('Daily Sale entry '!$S$2:$S$1501,'Daily Sale entry '!$P$2:$P$1501,$A86,'Daily Sale entry '!$Q$2:$Q$1501,"Credit Sale 赊销"))</f>
        <v/>
      </c>
      <c r="D86" s="6">
        <f>IF($A86="","",SUMIFS('Daily Sale entry '!$S$2:$S$1501,'Daily Sale entry '!$P$2:$P$1501,$A86,'Daily Sale entry '!$Q$2:$Q$1501,"Collection 收款"))</f>
        <v/>
      </c>
      <c r="E86" s="6">
        <f>IF($A86="","",SUMIFS('Daily Sale entry '!$AC$2:$AC$1501,'Daily Sale entry '!$AA$2:$AA$1501,$A86,'Daily Sale entry '!$Z$2:$Z$1501,"Online collection 网上收款"))</f>
        <v/>
      </c>
      <c r="F86" s="6">
        <f>IF($A86="","",SUMIFS('Debtor Ledger'!$K$2:$K$3001,'Debtor Ledger'!$C$2:$C$3001,$A86))</f>
        <v/>
      </c>
      <c r="G86" s="6">
        <f>IF($A86="","",ROUND(B86+C86-D86-E86-F86,2))</f>
        <v/>
      </c>
    </row>
    <row r="87">
      <c r="A87">
        <f>IF('Opening Balance'!I86="","",'Opening Balance'!I86)</f>
        <v/>
      </c>
      <c r="B87" s="6">
        <f>IF($A87="","",SUMIFS('Opening Balance'!$F$4:$F$303,'Opening Balance'!$G$4:$G$303,$A87))</f>
        <v/>
      </c>
      <c r="C87" s="6">
        <f>IF($A87="","",SUMIFS('Daily Sale entry '!$S$2:$S$1501,'Daily Sale entry '!$P$2:$P$1501,$A87,'Daily Sale entry '!$Q$2:$Q$1501,"Credit Sale 赊销"))</f>
        <v/>
      </c>
      <c r="D87" s="6">
        <f>IF($A87="","",SUMIFS('Daily Sale entry '!$S$2:$S$1501,'Daily Sale entry '!$P$2:$P$1501,$A87,'Daily Sale entry '!$Q$2:$Q$1501,"Collection 收款"))</f>
        <v/>
      </c>
      <c r="E87" s="6">
        <f>IF($A87="","",SUMIFS('Daily Sale entry '!$AC$2:$AC$1501,'Daily Sale entry '!$AA$2:$AA$1501,$A87,'Daily Sale entry '!$Z$2:$Z$1501,"Online collection 网上收款"))</f>
        <v/>
      </c>
      <c r="F87" s="6">
        <f>IF($A87="","",SUMIFS('Debtor Ledger'!$K$2:$K$3001,'Debtor Ledger'!$C$2:$C$3001,$A87))</f>
        <v/>
      </c>
      <c r="G87" s="6">
        <f>IF($A87="","",ROUND(B87+C87-D87-E87-F87,2))</f>
        <v/>
      </c>
    </row>
    <row r="88">
      <c r="A88">
        <f>IF('Opening Balance'!I87="","",'Opening Balance'!I87)</f>
        <v/>
      </c>
      <c r="B88" s="6">
        <f>IF($A88="","",SUMIFS('Opening Balance'!$F$4:$F$303,'Opening Balance'!$G$4:$G$303,$A88))</f>
        <v/>
      </c>
      <c r="C88" s="6">
        <f>IF($A88="","",SUMIFS('Daily Sale entry '!$S$2:$S$1501,'Daily Sale entry '!$P$2:$P$1501,$A88,'Daily Sale entry '!$Q$2:$Q$1501,"Credit Sale 赊销"))</f>
        <v/>
      </c>
      <c r="D88" s="6">
        <f>IF($A88="","",SUMIFS('Daily Sale entry '!$S$2:$S$1501,'Daily Sale entry '!$P$2:$P$1501,$A88,'Daily Sale entry '!$Q$2:$Q$1501,"Collection 收款"))</f>
        <v/>
      </c>
      <c r="E88" s="6">
        <f>IF($A88="","",SUMIFS('Daily Sale entry '!$AC$2:$AC$1501,'Daily Sale entry '!$AA$2:$AA$1501,$A88,'Daily Sale entry '!$Z$2:$Z$1501,"Online collection 网上收款"))</f>
        <v/>
      </c>
      <c r="F88" s="6">
        <f>IF($A88="","",SUMIFS('Debtor Ledger'!$K$2:$K$3001,'Debtor Ledger'!$C$2:$C$3001,$A88))</f>
        <v/>
      </c>
      <c r="G88" s="6">
        <f>IF($A88="","",ROUND(B88+C88-D88-E88-F88,2))</f>
        <v/>
      </c>
    </row>
    <row r="89">
      <c r="A89">
        <f>IF('Opening Balance'!I88="","",'Opening Balance'!I88)</f>
        <v/>
      </c>
      <c r="B89" s="6">
        <f>IF($A89="","",SUMIFS('Opening Balance'!$F$4:$F$303,'Opening Balance'!$G$4:$G$303,$A89))</f>
        <v/>
      </c>
      <c r="C89" s="6">
        <f>IF($A89="","",SUMIFS('Daily Sale entry '!$S$2:$S$1501,'Daily Sale entry '!$P$2:$P$1501,$A89,'Daily Sale entry '!$Q$2:$Q$1501,"Credit Sale 赊销"))</f>
        <v/>
      </c>
      <c r="D89" s="6">
        <f>IF($A89="","",SUMIFS('Daily Sale entry '!$S$2:$S$1501,'Daily Sale entry '!$P$2:$P$1501,$A89,'Daily Sale entry '!$Q$2:$Q$1501,"Collection 收款"))</f>
        <v/>
      </c>
      <c r="E89" s="6">
        <f>IF($A89="","",SUMIFS('Daily Sale entry '!$AC$2:$AC$1501,'Daily Sale entry '!$AA$2:$AA$1501,$A89,'Daily Sale entry '!$Z$2:$Z$1501,"Online collection 网上收款"))</f>
        <v/>
      </c>
      <c r="F89" s="6">
        <f>IF($A89="","",SUMIFS('Debtor Ledger'!$K$2:$K$3001,'Debtor Ledger'!$C$2:$C$3001,$A89))</f>
        <v/>
      </c>
      <c r="G89" s="6">
        <f>IF($A89="","",ROUND(B89+C89-D89-E89-F89,2))</f>
        <v/>
      </c>
    </row>
    <row r="90">
      <c r="A90">
        <f>IF('Opening Balance'!I89="","",'Opening Balance'!I89)</f>
        <v/>
      </c>
      <c r="B90" s="6">
        <f>IF($A90="","",SUMIFS('Opening Balance'!$F$4:$F$303,'Opening Balance'!$G$4:$G$303,$A90))</f>
        <v/>
      </c>
      <c r="C90" s="6">
        <f>IF($A90="","",SUMIFS('Daily Sale entry '!$S$2:$S$1501,'Daily Sale entry '!$P$2:$P$1501,$A90,'Daily Sale entry '!$Q$2:$Q$1501,"Credit Sale 赊销"))</f>
        <v/>
      </c>
      <c r="D90" s="6">
        <f>IF($A90="","",SUMIFS('Daily Sale entry '!$S$2:$S$1501,'Daily Sale entry '!$P$2:$P$1501,$A90,'Daily Sale entry '!$Q$2:$Q$1501,"Collection 收款"))</f>
        <v/>
      </c>
      <c r="E90" s="6">
        <f>IF($A90="","",SUMIFS('Daily Sale entry '!$AC$2:$AC$1501,'Daily Sale entry '!$AA$2:$AA$1501,$A90,'Daily Sale entry '!$Z$2:$Z$1501,"Online collection 网上收款"))</f>
        <v/>
      </c>
      <c r="F90" s="6">
        <f>IF($A90="","",SUMIFS('Debtor Ledger'!$K$2:$K$3001,'Debtor Ledger'!$C$2:$C$3001,$A90))</f>
        <v/>
      </c>
      <c r="G90" s="6">
        <f>IF($A90="","",ROUND(B90+C90-D90-E90-F90,2))</f>
        <v/>
      </c>
    </row>
    <row r="91">
      <c r="A91">
        <f>IF('Opening Balance'!I90="","",'Opening Balance'!I90)</f>
        <v/>
      </c>
      <c r="B91" s="6">
        <f>IF($A91="","",SUMIFS('Opening Balance'!$F$4:$F$303,'Opening Balance'!$G$4:$G$303,$A91))</f>
        <v/>
      </c>
      <c r="C91" s="6">
        <f>IF($A91="","",SUMIFS('Daily Sale entry '!$S$2:$S$1501,'Daily Sale entry '!$P$2:$P$1501,$A91,'Daily Sale entry '!$Q$2:$Q$1501,"Credit Sale 赊销"))</f>
        <v/>
      </c>
      <c r="D91" s="6">
        <f>IF($A91="","",SUMIFS('Daily Sale entry '!$S$2:$S$1501,'Daily Sale entry '!$P$2:$P$1501,$A91,'Daily Sale entry '!$Q$2:$Q$1501,"Collection 收款"))</f>
        <v/>
      </c>
      <c r="E91" s="6">
        <f>IF($A91="","",SUMIFS('Daily Sale entry '!$AC$2:$AC$1501,'Daily Sale entry '!$AA$2:$AA$1501,$A91,'Daily Sale entry '!$Z$2:$Z$1501,"Online collection 网上收款"))</f>
        <v/>
      </c>
      <c r="F91" s="6">
        <f>IF($A91="","",SUMIFS('Debtor Ledger'!$K$2:$K$3001,'Debtor Ledger'!$C$2:$C$3001,$A91))</f>
        <v/>
      </c>
      <c r="G91" s="6">
        <f>IF($A91="","",ROUND(B91+C91-D91-E91-F91,2))</f>
        <v/>
      </c>
    </row>
    <row r="92">
      <c r="A92">
        <f>IF('Opening Balance'!I91="","",'Opening Balance'!I91)</f>
        <v/>
      </c>
      <c r="B92" s="6">
        <f>IF($A92="","",SUMIFS('Opening Balance'!$F$4:$F$303,'Opening Balance'!$G$4:$G$303,$A92))</f>
        <v/>
      </c>
      <c r="C92" s="6">
        <f>IF($A92="","",SUMIFS('Daily Sale entry '!$S$2:$S$1501,'Daily Sale entry '!$P$2:$P$1501,$A92,'Daily Sale entry '!$Q$2:$Q$1501,"Credit Sale 赊销"))</f>
        <v/>
      </c>
      <c r="D92" s="6">
        <f>IF($A92="","",SUMIFS('Daily Sale entry '!$S$2:$S$1501,'Daily Sale entry '!$P$2:$P$1501,$A92,'Daily Sale entry '!$Q$2:$Q$1501,"Collection 收款"))</f>
        <v/>
      </c>
      <c r="E92" s="6">
        <f>IF($A92="","",SUMIFS('Daily Sale entry '!$AC$2:$AC$1501,'Daily Sale entry '!$AA$2:$AA$1501,$A92,'Daily Sale entry '!$Z$2:$Z$1501,"Online collection 网上收款"))</f>
        <v/>
      </c>
      <c r="F92" s="6">
        <f>IF($A92="","",SUMIFS('Debtor Ledger'!$K$2:$K$3001,'Debtor Ledger'!$C$2:$C$3001,$A92))</f>
        <v/>
      </c>
      <c r="G92" s="6">
        <f>IF($A92="","",ROUND(B92+C92-D92-E92-F92,2))</f>
        <v/>
      </c>
    </row>
    <row r="93">
      <c r="A93">
        <f>IF('Opening Balance'!I92="","",'Opening Balance'!I92)</f>
        <v/>
      </c>
      <c r="B93" s="6">
        <f>IF($A93="","",SUMIFS('Opening Balance'!$F$4:$F$303,'Opening Balance'!$G$4:$G$303,$A93))</f>
        <v/>
      </c>
      <c r="C93" s="6">
        <f>IF($A93="","",SUMIFS('Daily Sale entry '!$S$2:$S$1501,'Daily Sale entry '!$P$2:$P$1501,$A93,'Daily Sale entry '!$Q$2:$Q$1501,"Credit Sale 赊销"))</f>
        <v/>
      </c>
      <c r="D93" s="6">
        <f>IF($A93="","",SUMIFS('Daily Sale entry '!$S$2:$S$1501,'Daily Sale entry '!$P$2:$P$1501,$A93,'Daily Sale entry '!$Q$2:$Q$1501,"Collection 收款"))</f>
        <v/>
      </c>
      <c r="E93" s="6">
        <f>IF($A93="","",SUMIFS('Daily Sale entry '!$AC$2:$AC$1501,'Daily Sale entry '!$AA$2:$AA$1501,$A93,'Daily Sale entry '!$Z$2:$Z$1501,"Online collection 网上收款"))</f>
        <v/>
      </c>
      <c r="F93" s="6">
        <f>IF($A93="","",SUMIFS('Debtor Ledger'!$K$2:$K$3001,'Debtor Ledger'!$C$2:$C$3001,$A93))</f>
        <v/>
      </c>
      <c r="G93" s="6">
        <f>IF($A93="","",ROUND(B93+C93-D93-E93-F93,2))</f>
        <v/>
      </c>
    </row>
    <row r="94">
      <c r="A94">
        <f>IF('Opening Balance'!I93="","",'Opening Balance'!I93)</f>
        <v/>
      </c>
      <c r="B94" s="6">
        <f>IF($A94="","",SUMIFS('Opening Balance'!$F$4:$F$303,'Opening Balance'!$G$4:$G$303,$A94))</f>
        <v/>
      </c>
      <c r="C94" s="6">
        <f>IF($A94="","",SUMIFS('Daily Sale entry '!$S$2:$S$1501,'Daily Sale entry '!$P$2:$P$1501,$A94,'Daily Sale entry '!$Q$2:$Q$1501,"Credit Sale 赊销"))</f>
        <v/>
      </c>
      <c r="D94" s="6">
        <f>IF($A94="","",SUMIFS('Daily Sale entry '!$S$2:$S$1501,'Daily Sale entry '!$P$2:$P$1501,$A94,'Daily Sale entry '!$Q$2:$Q$1501,"Collection 收款"))</f>
        <v/>
      </c>
      <c r="E94" s="6">
        <f>IF($A94="","",SUMIFS('Daily Sale entry '!$AC$2:$AC$1501,'Daily Sale entry '!$AA$2:$AA$1501,$A94,'Daily Sale entry '!$Z$2:$Z$1501,"Online collection 网上收款"))</f>
        <v/>
      </c>
      <c r="F94" s="6">
        <f>IF($A94="","",SUMIFS('Debtor Ledger'!$K$2:$K$3001,'Debtor Ledger'!$C$2:$C$3001,$A94))</f>
        <v/>
      </c>
      <c r="G94" s="6">
        <f>IF($A94="","",ROUND(B94+C94-D94-E94-F94,2))</f>
        <v/>
      </c>
    </row>
    <row r="95">
      <c r="A95">
        <f>IF('Opening Balance'!I94="","",'Opening Balance'!I94)</f>
        <v/>
      </c>
      <c r="B95" s="6">
        <f>IF($A95="","",SUMIFS('Opening Balance'!$F$4:$F$303,'Opening Balance'!$G$4:$G$303,$A95))</f>
        <v/>
      </c>
      <c r="C95" s="6">
        <f>IF($A95="","",SUMIFS('Daily Sale entry '!$S$2:$S$1501,'Daily Sale entry '!$P$2:$P$1501,$A95,'Daily Sale entry '!$Q$2:$Q$1501,"Credit Sale 赊销"))</f>
        <v/>
      </c>
      <c r="D95" s="6">
        <f>IF($A95="","",SUMIFS('Daily Sale entry '!$S$2:$S$1501,'Daily Sale entry '!$P$2:$P$1501,$A95,'Daily Sale entry '!$Q$2:$Q$1501,"Collection 收款"))</f>
        <v/>
      </c>
      <c r="E95" s="6">
        <f>IF($A95="","",SUMIFS('Daily Sale entry '!$AC$2:$AC$1501,'Daily Sale entry '!$AA$2:$AA$1501,$A95,'Daily Sale entry '!$Z$2:$Z$1501,"Online collection 网上收款"))</f>
        <v/>
      </c>
      <c r="F95" s="6">
        <f>IF($A95="","",SUMIFS('Debtor Ledger'!$K$2:$K$3001,'Debtor Ledger'!$C$2:$C$3001,$A95))</f>
        <v/>
      </c>
      <c r="G95" s="6">
        <f>IF($A95="","",ROUND(B95+C95-D95-E95-F95,2))</f>
        <v/>
      </c>
    </row>
    <row r="96">
      <c r="A96">
        <f>IF('Opening Balance'!I95="","",'Opening Balance'!I95)</f>
        <v/>
      </c>
      <c r="B96" s="6">
        <f>IF($A96="","",SUMIFS('Opening Balance'!$F$4:$F$303,'Opening Balance'!$G$4:$G$303,$A96))</f>
        <v/>
      </c>
      <c r="C96" s="6">
        <f>IF($A96="","",SUMIFS('Daily Sale entry '!$S$2:$S$1501,'Daily Sale entry '!$P$2:$P$1501,$A96,'Daily Sale entry '!$Q$2:$Q$1501,"Credit Sale 赊销"))</f>
        <v/>
      </c>
      <c r="D96" s="6">
        <f>IF($A96="","",SUMIFS('Daily Sale entry '!$S$2:$S$1501,'Daily Sale entry '!$P$2:$P$1501,$A96,'Daily Sale entry '!$Q$2:$Q$1501,"Collection 收款"))</f>
        <v/>
      </c>
      <c r="E96" s="6">
        <f>IF($A96="","",SUMIFS('Daily Sale entry '!$AC$2:$AC$1501,'Daily Sale entry '!$AA$2:$AA$1501,$A96,'Daily Sale entry '!$Z$2:$Z$1501,"Online collection 网上收款"))</f>
        <v/>
      </c>
      <c r="F96" s="6">
        <f>IF($A96="","",SUMIFS('Debtor Ledger'!$K$2:$K$3001,'Debtor Ledger'!$C$2:$C$3001,$A96))</f>
        <v/>
      </c>
      <c r="G96" s="6">
        <f>IF($A96="","",ROUND(B96+C96-D96-E96-F96,2))</f>
        <v/>
      </c>
    </row>
    <row r="97">
      <c r="A97">
        <f>IF('Opening Balance'!I96="","",'Opening Balance'!I96)</f>
        <v/>
      </c>
      <c r="B97" s="6">
        <f>IF($A97="","",SUMIFS('Opening Balance'!$F$4:$F$303,'Opening Balance'!$G$4:$G$303,$A97))</f>
        <v/>
      </c>
      <c r="C97" s="6">
        <f>IF($A97="","",SUMIFS('Daily Sale entry '!$S$2:$S$1501,'Daily Sale entry '!$P$2:$P$1501,$A97,'Daily Sale entry '!$Q$2:$Q$1501,"Credit Sale 赊销"))</f>
        <v/>
      </c>
      <c r="D97" s="6">
        <f>IF($A97="","",SUMIFS('Daily Sale entry '!$S$2:$S$1501,'Daily Sale entry '!$P$2:$P$1501,$A97,'Daily Sale entry '!$Q$2:$Q$1501,"Collection 收款"))</f>
        <v/>
      </c>
      <c r="E97" s="6">
        <f>IF($A97="","",SUMIFS('Daily Sale entry '!$AC$2:$AC$1501,'Daily Sale entry '!$AA$2:$AA$1501,$A97,'Daily Sale entry '!$Z$2:$Z$1501,"Online collection 网上收款"))</f>
        <v/>
      </c>
      <c r="F97" s="6">
        <f>IF($A97="","",SUMIFS('Debtor Ledger'!$K$2:$K$3001,'Debtor Ledger'!$C$2:$C$3001,$A97))</f>
        <v/>
      </c>
      <c r="G97" s="6">
        <f>IF($A97="","",ROUND(B97+C97-D97-E97-F97,2))</f>
        <v/>
      </c>
    </row>
    <row r="98">
      <c r="A98">
        <f>IF('Opening Balance'!I97="","",'Opening Balance'!I97)</f>
        <v/>
      </c>
      <c r="B98" s="6">
        <f>IF($A98="","",SUMIFS('Opening Balance'!$F$4:$F$303,'Opening Balance'!$G$4:$G$303,$A98))</f>
        <v/>
      </c>
      <c r="C98" s="6">
        <f>IF($A98="","",SUMIFS('Daily Sale entry '!$S$2:$S$1501,'Daily Sale entry '!$P$2:$P$1501,$A98,'Daily Sale entry '!$Q$2:$Q$1501,"Credit Sale 赊销"))</f>
        <v/>
      </c>
      <c r="D98" s="6">
        <f>IF($A98="","",SUMIFS('Daily Sale entry '!$S$2:$S$1501,'Daily Sale entry '!$P$2:$P$1501,$A98,'Daily Sale entry '!$Q$2:$Q$1501,"Collection 收款"))</f>
        <v/>
      </c>
      <c r="E98" s="6">
        <f>IF($A98="","",SUMIFS('Daily Sale entry '!$AC$2:$AC$1501,'Daily Sale entry '!$AA$2:$AA$1501,$A98,'Daily Sale entry '!$Z$2:$Z$1501,"Online collection 网上收款"))</f>
        <v/>
      </c>
      <c r="F98" s="6">
        <f>IF($A98="","",SUMIFS('Debtor Ledger'!$K$2:$K$3001,'Debtor Ledger'!$C$2:$C$3001,$A98))</f>
        <v/>
      </c>
      <c r="G98" s="6">
        <f>IF($A98="","",ROUND(B98+C98-D98-E98-F98,2))</f>
        <v/>
      </c>
    </row>
    <row r="99">
      <c r="A99">
        <f>IF('Opening Balance'!I98="","",'Opening Balance'!I98)</f>
        <v/>
      </c>
      <c r="B99" s="6">
        <f>IF($A99="","",SUMIFS('Opening Balance'!$F$4:$F$303,'Opening Balance'!$G$4:$G$303,$A99))</f>
        <v/>
      </c>
      <c r="C99" s="6">
        <f>IF($A99="","",SUMIFS('Daily Sale entry '!$S$2:$S$1501,'Daily Sale entry '!$P$2:$P$1501,$A99,'Daily Sale entry '!$Q$2:$Q$1501,"Credit Sale 赊销"))</f>
        <v/>
      </c>
      <c r="D99" s="6">
        <f>IF($A99="","",SUMIFS('Daily Sale entry '!$S$2:$S$1501,'Daily Sale entry '!$P$2:$P$1501,$A99,'Daily Sale entry '!$Q$2:$Q$1501,"Collection 收款"))</f>
        <v/>
      </c>
      <c r="E99" s="6">
        <f>IF($A99="","",SUMIFS('Daily Sale entry '!$AC$2:$AC$1501,'Daily Sale entry '!$AA$2:$AA$1501,$A99,'Daily Sale entry '!$Z$2:$Z$1501,"Online collection 网上收款"))</f>
        <v/>
      </c>
      <c r="F99" s="6">
        <f>IF($A99="","",SUMIFS('Debtor Ledger'!$K$2:$K$3001,'Debtor Ledger'!$C$2:$C$3001,$A99))</f>
        <v/>
      </c>
      <c r="G99" s="6">
        <f>IF($A99="","",ROUND(B99+C99-D99-E99-F99,2))</f>
        <v/>
      </c>
    </row>
    <row r="100">
      <c r="A100">
        <f>IF('Opening Balance'!I99="","",'Opening Balance'!I99)</f>
        <v/>
      </c>
      <c r="B100" s="6">
        <f>IF($A100="","",SUMIFS('Opening Balance'!$F$4:$F$303,'Opening Balance'!$G$4:$G$303,$A100))</f>
        <v/>
      </c>
      <c r="C100" s="6">
        <f>IF($A100="","",SUMIFS('Daily Sale entry '!$S$2:$S$1501,'Daily Sale entry '!$P$2:$P$1501,$A100,'Daily Sale entry '!$Q$2:$Q$1501,"Credit Sale 赊销"))</f>
        <v/>
      </c>
      <c r="D100" s="6">
        <f>IF($A100="","",SUMIFS('Daily Sale entry '!$S$2:$S$1501,'Daily Sale entry '!$P$2:$P$1501,$A100,'Daily Sale entry '!$Q$2:$Q$1501,"Collection 收款"))</f>
        <v/>
      </c>
      <c r="E100" s="6">
        <f>IF($A100="","",SUMIFS('Daily Sale entry '!$AC$2:$AC$1501,'Daily Sale entry '!$AA$2:$AA$1501,$A100,'Daily Sale entry '!$Z$2:$Z$1501,"Online collection 网上收款"))</f>
        <v/>
      </c>
      <c r="F100" s="6">
        <f>IF($A100="","",SUMIFS('Debtor Ledger'!$K$2:$K$3001,'Debtor Ledger'!$C$2:$C$3001,$A100))</f>
        <v/>
      </c>
      <c r="G100" s="6">
        <f>IF($A100="","",ROUND(B100+C100-D100-E100-F100,2))</f>
        <v/>
      </c>
    </row>
    <row r="101">
      <c r="A101">
        <f>IF('Opening Balance'!I100="","",'Opening Balance'!I100)</f>
        <v/>
      </c>
      <c r="B101" s="6">
        <f>IF($A101="","",SUMIFS('Opening Balance'!$F$4:$F$303,'Opening Balance'!$G$4:$G$303,$A101))</f>
        <v/>
      </c>
      <c r="C101" s="6">
        <f>IF($A101="","",SUMIFS('Daily Sale entry '!$S$2:$S$1501,'Daily Sale entry '!$P$2:$P$1501,$A101,'Daily Sale entry '!$Q$2:$Q$1501,"Credit Sale 赊销"))</f>
        <v/>
      </c>
      <c r="D101" s="6">
        <f>IF($A101="","",SUMIFS('Daily Sale entry '!$S$2:$S$1501,'Daily Sale entry '!$P$2:$P$1501,$A101,'Daily Sale entry '!$Q$2:$Q$1501,"Collection 收款"))</f>
        <v/>
      </c>
      <c r="E101" s="6">
        <f>IF($A101="","",SUMIFS('Daily Sale entry '!$AC$2:$AC$1501,'Daily Sale entry '!$AA$2:$AA$1501,$A101,'Daily Sale entry '!$Z$2:$Z$1501,"Online collection 网上收款"))</f>
        <v/>
      </c>
      <c r="F101" s="6">
        <f>IF($A101="","",SUMIFS('Debtor Ledger'!$K$2:$K$3001,'Debtor Ledger'!$C$2:$C$3001,$A101))</f>
        <v/>
      </c>
      <c r="G101" s="6">
        <f>IF($A101="","",ROUND(B101+C101-D101-E101-F101,2))</f>
        <v/>
      </c>
    </row>
    <row r="102">
      <c r="A102">
        <f>IF('Opening Balance'!I101="","",'Opening Balance'!I101)</f>
        <v/>
      </c>
      <c r="B102" s="6">
        <f>IF($A102="","",SUMIFS('Opening Balance'!$F$4:$F$303,'Opening Balance'!$G$4:$G$303,$A102))</f>
        <v/>
      </c>
      <c r="C102" s="6">
        <f>IF($A102="","",SUMIFS('Daily Sale entry '!$S$2:$S$1501,'Daily Sale entry '!$P$2:$P$1501,$A102,'Daily Sale entry '!$Q$2:$Q$1501,"Credit Sale 赊销"))</f>
        <v/>
      </c>
      <c r="D102" s="6">
        <f>IF($A102="","",SUMIFS('Daily Sale entry '!$S$2:$S$1501,'Daily Sale entry '!$P$2:$P$1501,$A102,'Daily Sale entry '!$Q$2:$Q$1501,"Collection 收款"))</f>
        <v/>
      </c>
      <c r="E102" s="6">
        <f>IF($A102="","",SUMIFS('Daily Sale entry '!$AC$2:$AC$1501,'Daily Sale entry '!$AA$2:$AA$1501,$A102,'Daily Sale entry '!$Z$2:$Z$1501,"Online collection 网上收款"))</f>
        <v/>
      </c>
      <c r="F102" s="6">
        <f>IF($A102="","",SUMIFS('Debtor Ledger'!$K$2:$K$3001,'Debtor Ledger'!$C$2:$C$3001,$A102))</f>
        <v/>
      </c>
      <c r="G102" s="6">
        <f>IF($A102="","",ROUND(B102+C102-D102-E102-F102,2))</f>
        <v/>
      </c>
    </row>
    <row r="103">
      <c r="A103">
        <f>IF('Opening Balance'!I102="","",'Opening Balance'!I102)</f>
        <v/>
      </c>
      <c r="B103" s="6">
        <f>IF($A103="","",SUMIFS('Opening Balance'!$F$4:$F$303,'Opening Balance'!$G$4:$G$303,$A103))</f>
        <v/>
      </c>
      <c r="C103" s="6">
        <f>IF($A103="","",SUMIFS('Daily Sale entry '!$S$2:$S$1501,'Daily Sale entry '!$P$2:$P$1501,$A103,'Daily Sale entry '!$Q$2:$Q$1501,"Credit Sale 赊销"))</f>
        <v/>
      </c>
      <c r="D103" s="6">
        <f>IF($A103="","",SUMIFS('Daily Sale entry '!$S$2:$S$1501,'Daily Sale entry '!$P$2:$P$1501,$A103,'Daily Sale entry '!$Q$2:$Q$1501,"Collection 收款"))</f>
        <v/>
      </c>
      <c r="E103" s="6">
        <f>IF($A103="","",SUMIFS('Daily Sale entry '!$AC$2:$AC$1501,'Daily Sale entry '!$AA$2:$AA$1501,$A103,'Daily Sale entry '!$Z$2:$Z$1501,"Online collection 网上收款"))</f>
        <v/>
      </c>
      <c r="F103" s="6">
        <f>IF($A103="","",SUMIFS('Debtor Ledger'!$K$2:$K$3001,'Debtor Ledger'!$C$2:$C$3001,$A103))</f>
        <v/>
      </c>
      <c r="G103" s="6">
        <f>IF($A103="","",ROUND(B103+C103-D103-E103-F103,2))</f>
        <v/>
      </c>
    </row>
    <row r="104">
      <c r="A104">
        <f>IF('Opening Balance'!I103="","",'Opening Balance'!I103)</f>
        <v/>
      </c>
      <c r="B104" s="6">
        <f>IF($A104="","",SUMIFS('Opening Balance'!$F$4:$F$303,'Opening Balance'!$G$4:$G$303,$A104))</f>
        <v/>
      </c>
      <c r="C104" s="6">
        <f>IF($A104="","",SUMIFS('Daily Sale entry '!$S$2:$S$1501,'Daily Sale entry '!$P$2:$P$1501,$A104,'Daily Sale entry '!$Q$2:$Q$1501,"Credit Sale 赊销"))</f>
        <v/>
      </c>
      <c r="D104" s="6">
        <f>IF($A104="","",SUMIFS('Daily Sale entry '!$S$2:$S$1501,'Daily Sale entry '!$P$2:$P$1501,$A104,'Daily Sale entry '!$Q$2:$Q$1501,"Collection 收款"))</f>
        <v/>
      </c>
      <c r="E104" s="6">
        <f>IF($A104="","",SUMIFS('Daily Sale entry '!$AC$2:$AC$1501,'Daily Sale entry '!$AA$2:$AA$1501,$A104,'Daily Sale entry '!$Z$2:$Z$1501,"Online collection 网上收款"))</f>
        <v/>
      </c>
      <c r="F104" s="6">
        <f>IF($A104="","",SUMIFS('Debtor Ledger'!$K$2:$K$3001,'Debtor Ledger'!$C$2:$C$3001,$A104))</f>
        <v/>
      </c>
      <c r="G104" s="6">
        <f>IF($A104="","",ROUND(B104+C104-D104-E104-F104,2))</f>
        <v/>
      </c>
    </row>
    <row r="105">
      <c r="A105">
        <f>IF('Opening Balance'!I104="","",'Opening Balance'!I104)</f>
        <v/>
      </c>
      <c r="B105" s="6">
        <f>IF($A105="","",SUMIFS('Opening Balance'!$F$4:$F$303,'Opening Balance'!$G$4:$G$303,$A105))</f>
        <v/>
      </c>
      <c r="C105" s="6">
        <f>IF($A105="","",SUMIFS('Daily Sale entry '!$S$2:$S$1501,'Daily Sale entry '!$P$2:$P$1501,$A105,'Daily Sale entry '!$Q$2:$Q$1501,"Credit Sale 赊销"))</f>
        <v/>
      </c>
      <c r="D105" s="6">
        <f>IF($A105="","",SUMIFS('Daily Sale entry '!$S$2:$S$1501,'Daily Sale entry '!$P$2:$P$1501,$A105,'Daily Sale entry '!$Q$2:$Q$1501,"Collection 收款"))</f>
        <v/>
      </c>
      <c r="E105" s="6">
        <f>IF($A105="","",SUMIFS('Daily Sale entry '!$AC$2:$AC$1501,'Daily Sale entry '!$AA$2:$AA$1501,$A105,'Daily Sale entry '!$Z$2:$Z$1501,"Online collection 网上收款"))</f>
        <v/>
      </c>
      <c r="F105" s="6">
        <f>IF($A105="","",SUMIFS('Debtor Ledger'!$K$2:$K$3001,'Debtor Ledger'!$C$2:$C$3001,$A105))</f>
        <v/>
      </c>
      <c r="G105" s="6">
        <f>IF($A105="","",ROUND(B105+C105-D105-E105-F105,2))</f>
        <v/>
      </c>
    </row>
    <row r="106">
      <c r="A106">
        <f>IF('Opening Balance'!I105="","",'Opening Balance'!I105)</f>
        <v/>
      </c>
      <c r="B106" s="6">
        <f>IF($A106="","",SUMIFS('Opening Balance'!$F$4:$F$303,'Opening Balance'!$G$4:$G$303,$A106))</f>
        <v/>
      </c>
      <c r="C106" s="6">
        <f>IF($A106="","",SUMIFS('Daily Sale entry '!$S$2:$S$1501,'Daily Sale entry '!$P$2:$P$1501,$A106,'Daily Sale entry '!$Q$2:$Q$1501,"Credit Sale 赊销"))</f>
        <v/>
      </c>
      <c r="D106" s="6">
        <f>IF($A106="","",SUMIFS('Daily Sale entry '!$S$2:$S$1501,'Daily Sale entry '!$P$2:$P$1501,$A106,'Daily Sale entry '!$Q$2:$Q$1501,"Collection 收款"))</f>
        <v/>
      </c>
      <c r="E106" s="6">
        <f>IF($A106="","",SUMIFS('Daily Sale entry '!$AC$2:$AC$1501,'Daily Sale entry '!$AA$2:$AA$1501,$A106,'Daily Sale entry '!$Z$2:$Z$1501,"Online collection 网上收款"))</f>
        <v/>
      </c>
      <c r="F106" s="6">
        <f>IF($A106="","",SUMIFS('Debtor Ledger'!$K$2:$K$3001,'Debtor Ledger'!$C$2:$C$3001,$A106))</f>
        <v/>
      </c>
      <c r="G106" s="6">
        <f>IF($A106="","",ROUND(B106+C106-D106-E106-F106,2))</f>
        <v/>
      </c>
    </row>
    <row r="107">
      <c r="A107">
        <f>IF('Opening Balance'!I106="","",'Opening Balance'!I106)</f>
        <v/>
      </c>
      <c r="B107" s="6">
        <f>IF($A107="","",SUMIFS('Opening Balance'!$F$4:$F$303,'Opening Balance'!$G$4:$G$303,$A107))</f>
        <v/>
      </c>
      <c r="C107" s="6">
        <f>IF($A107="","",SUMIFS('Daily Sale entry '!$S$2:$S$1501,'Daily Sale entry '!$P$2:$P$1501,$A107,'Daily Sale entry '!$Q$2:$Q$1501,"Credit Sale 赊销"))</f>
        <v/>
      </c>
      <c r="D107" s="6">
        <f>IF($A107="","",SUMIFS('Daily Sale entry '!$S$2:$S$1501,'Daily Sale entry '!$P$2:$P$1501,$A107,'Daily Sale entry '!$Q$2:$Q$1501,"Collection 收款"))</f>
        <v/>
      </c>
      <c r="E107" s="6">
        <f>IF($A107="","",SUMIFS('Daily Sale entry '!$AC$2:$AC$1501,'Daily Sale entry '!$AA$2:$AA$1501,$A107,'Daily Sale entry '!$Z$2:$Z$1501,"Online collection 网上收款"))</f>
        <v/>
      </c>
      <c r="F107" s="6">
        <f>IF($A107="","",SUMIFS('Debtor Ledger'!$K$2:$K$3001,'Debtor Ledger'!$C$2:$C$3001,$A107))</f>
        <v/>
      </c>
      <c r="G107" s="6">
        <f>IF($A107="","",ROUND(B107+C107-D107-E107-F107,2))</f>
        <v/>
      </c>
    </row>
    <row r="108">
      <c r="A108">
        <f>IF('Opening Balance'!I107="","",'Opening Balance'!I107)</f>
        <v/>
      </c>
      <c r="B108" s="6">
        <f>IF($A108="","",SUMIFS('Opening Balance'!$F$4:$F$303,'Opening Balance'!$G$4:$G$303,$A108))</f>
        <v/>
      </c>
      <c r="C108" s="6">
        <f>IF($A108="","",SUMIFS('Daily Sale entry '!$S$2:$S$1501,'Daily Sale entry '!$P$2:$P$1501,$A108,'Daily Sale entry '!$Q$2:$Q$1501,"Credit Sale 赊销"))</f>
        <v/>
      </c>
      <c r="D108" s="6">
        <f>IF($A108="","",SUMIFS('Daily Sale entry '!$S$2:$S$1501,'Daily Sale entry '!$P$2:$P$1501,$A108,'Daily Sale entry '!$Q$2:$Q$1501,"Collection 收款"))</f>
        <v/>
      </c>
      <c r="E108" s="6">
        <f>IF($A108="","",SUMIFS('Daily Sale entry '!$AC$2:$AC$1501,'Daily Sale entry '!$AA$2:$AA$1501,$A108,'Daily Sale entry '!$Z$2:$Z$1501,"Online collection 网上收款"))</f>
        <v/>
      </c>
      <c r="F108" s="6">
        <f>IF($A108="","",SUMIFS('Debtor Ledger'!$K$2:$K$3001,'Debtor Ledger'!$C$2:$C$3001,$A108))</f>
        <v/>
      </c>
      <c r="G108" s="6">
        <f>IF($A108="","",ROUND(B108+C108-D108-E108-F108,2))</f>
        <v/>
      </c>
    </row>
    <row r="109">
      <c r="A109">
        <f>IF('Opening Balance'!I108="","",'Opening Balance'!I108)</f>
        <v/>
      </c>
      <c r="B109" s="6">
        <f>IF($A109="","",SUMIFS('Opening Balance'!$F$4:$F$303,'Opening Balance'!$G$4:$G$303,$A109))</f>
        <v/>
      </c>
      <c r="C109" s="6">
        <f>IF($A109="","",SUMIFS('Daily Sale entry '!$S$2:$S$1501,'Daily Sale entry '!$P$2:$P$1501,$A109,'Daily Sale entry '!$Q$2:$Q$1501,"Credit Sale 赊销"))</f>
        <v/>
      </c>
      <c r="D109" s="6">
        <f>IF($A109="","",SUMIFS('Daily Sale entry '!$S$2:$S$1501,'Daily Sale entry '!$P$2:$P$1501,$A109,'Daily Sale entry '!$Q$2:$Q$1501,"Collection 收款"))</f>
        <v/>
      </c>
      <c r="E109" s="6">
        <f>IF($A109="","",SUMIFS('Daily Sale entry '!$AC$2:$AC$1501,'Daily Sale entry '!$AA$2:$AA$1501,$A109,'Daily Sale entry '!$Z$2:$Z$1501,"Online collection 网上收款"))</f>
        <v/>
      </c>
      <c r="F109" s="6">
        <f>IF($A109="","",SUMIFS('Debtor Ledger'!$K$2:$K$3001,'Debtor Ledger'!$C$2:$C$3001,$A109))</f>
        <v/>
      </c>
      <c r="G109" s="6">
        <f>IF($A109="","",ROUND(B109+C109-D109-E109-F109,2))</f>
        <v/>
      </c>
    </row>
    <row r="110">
      <c r="A110">
        <f>IF('Opening Balance'!I109="","",'Opening Balance'!I109)</f>
        <v/>
      </c>
      <c r="B110" s="6">
        <f>IF($A110="","",SUMIFS('Opening Balance'!$F$4:$F$303,'Opening Balance'!$G$4:$G$303,$A110))</f>
        <v/>
      </c>
      <c r="C110" s="6">
        <f>IF($A110="","",SUMIFS('Daily Sale entry '!$S$2:$S$1501,'Daily Sale entry '!$P$2:$P$1501,$A110,'Daily Sale entry '!$Q$2:$Q$1501,"Credit Sale 赊销"))</f>
        <v/>
      </c>
      <c r="D110" s="6">
        <f>IF($A110="","",SUMIFS('Daily Sale entry '!$S$2:$S$1501,'Daily Sale entry '!$P$2:$P$1501,$A110,'Daily Sale entry '!$Q$2:$Q$1501,"Collection 收款"))</f>
        <v/>
      </c>
      <c r="E110" s="6">
        <f>IF($A110="","",SUMIFS('Daily Sale entry '!$AC$2:$AC$1501,'Daily Sale entry '!$AA$2:$AA$1501,$A110,'Daily Sale entry '!$Z$2:$Z$1501,"Online collection 网上收款"))</f>
        <v/>
      </c>
      <c r="F110" s="6">
        <f>IF($A110="","",SUMIFS('Debtor Ledger'!$K$2:$K$3001,'Debtor Ledger'!$C$2:$C$3001,$A110))</f>
        <v/>
      </c>
      <c r="G110" s="6">
        <f>IF($A110="","",ROUND(B110+C110-D110-E110-F110,2))</f>
        <v/>
      </c>
    </row>
    <row r="111">
      <c r="A111">
        <f>IF('Opening Balance'!I110="","",'Opening Balance'!I110)</f>
        <v/>
      </c>
      <c r="B111" s="6">
        <f>IF($A111="","",SUMIFS('Opening Balance'!$F$4:$F$303,'Opening Balance'!$G$4:$G$303,$A111))</f>
        <v/>
      </c>
      <c r="C111" s="6">
        <f>IF($A111="","",SUMIFS('Daily Sale entry '!$S$2:$S$1501,'Daily Sale entry '!$P$2:$P$1501,$A111,'Daily Sale entry '!$Q$2:$Q$1501,"Credit Sale 赊销"))</f>
        <v/>
      </c>
      <c r="D111" s="6">
        <f>IF($A111="","",SUMIFS('Daily Sale entry '!$S$2:$S$1501,'Daily Sale entry '!$P$2:$P$1501,$A111,'Daily Sale entry '!$Q$2:$Q$1501,"Collection 收款"))</f>
        <v/>
      </c>
      <c r="E111" s="6">
        <f>IF($A111="","",SUMIFS('Daily Sale entry '!$AC$2:$AC$1501,'Daily Sale entry '!$AA$2:$AA$1501,$A111,'Daily Sale entry '!$Z$2:$Z$1501,"Online collection 网上收款"))</f>
        <v/>
      </c>
      <c r="F111" s="6">
        <f>IF($A111="","",SUMIFS('Debtor Ledger'!$K$2:$K$3001,'Debtor Ledger'!$C$2:$C$3001,$A111))</f>
        <v/>
      </c>
      <c r="G111" s="6">
        <f>IF($A111="","",ROUND(B111+C111-D111-E111-F111,2))</f>
        <v/>
      </c>
    </row>
    <row r="112">
      <c r="A112">
        <f>IF('Opening Balance'!I111="","",'Opening Balance'!I111)</f>
        <v/>
      </c>
      <c r="B112" s="6">
        <f>IF($A112="","",SUMIFS('Opening Balance'!$F$4:$F$303,'Opening Balance'!$G$4:$G$303,$A112))</f>
        <v/>
      </c>
      <c r="C112" s="6">
        <f>IF($A112="","",SUMIFS('Daily Sale entry '!$S$2:$S$1501,'Daily Sale entry '!$P$2:$P$1501,$A112,'Daily Sale entry '!$Q$2:$Q$1501,"Credit Sale 赊销"))</f>
        <v/>
      </c>
      <c r="D112" s="6">
        <f>IF($A112="","",SUMIFS('Daily Sale entry '!$S$2:$S$1501,'Daily Sale entry '!$P$2:$P$1501,$A112,'Daily Sale entry '!$Q$2:$Q$1501,"Collection 收款"))</f>
        <v/>
      </c>
      <c r="E112" s="6">
        <f>IF($A112="","",SUMIFS('Daily Sale entry '!$AC$2:$AC$1501,'Daily Sale entry '!$AA$2:$AA$1501,$A112,'Daily Sale entry '!$Z$2:$Z$1501,"Online collection 网上收款"))</f>
        <v/>
      </c>
      <c r="F112" s="6">
        <f>IF($A112="","",SUMIFS('Debtor Ledger'!$K$2:$K$3001,'Debtor Ledger'!$C$2:$C$3001,$A112))</f>
        <v/>
      </c>
      <c r="G112" s="6">
        <f>IF($A112="","",ROUND(B112+C112-D112-E112-F112,2))</f>
        <v/>
      </c>
    </row>
    <row r="113">
      <c r="A113">
        <f>IF('Opening Balance'!I112="","",'Opening Balance'!I112)</f>
        <v/>
      </c>
      <c r="B113" s="6">
        <f>IF($A113="","",SUMIFS('Opening Balance'!$F$4:$F$303,'Opening Balance'!$G$4:$G$303,$A113))</f>
        <v/>
      </c>
      <c r="C113" s="6">
        <f>IF($A113="","",SUMIFS('Daily Sale entry '!$S$2:$S$1501,'Daily Sale entry '!$P$2:$P$1501,$A113,'Daily Sale entry '!$Q$2:$Q$1501,"Credit Sale 赊销"))</f>
        <v/>
      </c>
      <c r="D113" s="6">
        <f>IF($A113="","",SUMIFS('Daily Sale entry '!$S$2:$S$1501,'Daily Sale entry '!$P$2:$P$1501,$A113,'Daily Sale entry '!$Q$2:$Q$1501,"Collection 收款"))</f>
        <v/>
      </c>
      <c r="E113" s="6">
        <f>IF($A113="","",SUMIFS('Daily Sale entry '!$AC$2:$AC$1501,'Daily Sale entry '!$AA$2:$AA$1501,$A113,'Daily Sale entry '!$Z$2:$Z$1501,"Online collection 网上收款"))</f>
        <v/>
      </c>
      <c r="F113" s="6">
        <f>IF($A113="","",SUMIFS('Debtor Ledger'!$K$2:$K$3001,'Debtor Ledger'!$C$2:$C$3001,$A113))</f>
        <v/>
      </c>
      <c r="G113" s="6">
        <f>IF($A113="","",ROUND(B113+C113-D113-E113-F113,2))</f>
        <v/>
      </c>
    </row>
    <row r="114">
      <c r="A114">
        <f>IF('Opening Balance'!I113="","",'Opening Balance'!I113)</f>
        <v/>
      </c>
      <c r="B114" s="6">
        <f>IF($A114="","",SUMIFS('Opening Balance'!$F$4:$F$303,'Opening Balance'!$G$4:$G$303,$A114))</f>
        <v/>
      </c>
      <c r="C114" s="6">
        <f>IF($A114="","",SUMIFS('Daily Sale entry '!$S$2:$S$1501,'Daily Sale entry '!$P$2:$P$1501,$A114,'Daily Sale entry '!$Q$2:$Q$1501,"Credit Sale 赊销"))</f>
        <v/>
      </c>
      <c r="D114" s="6">
        <f>IF($A114="","",SUMIFS('Daily Sale entry '!$S$2:$S$1501,'Daily Sale entry '!$P$2:$P$1501,$A114,'Daily Sale entry '!$Q$2:$Q$1501,"Collection 收款"))</f>
        <v/>
      </c>
      <c r="E114" s="6">
        <f>IF($A114="","",SUMIFS('Daily Sale entry '!$AC$2:$AC$1501,'Daily Sale entry '!$AA$2:$AA$1501,$A114,'Daily Sale entry '!$Z$2:$Z$1501,"Online collection 网上收款"))</f>
        <v/>
      </c>
      <c r="F114" s="6">
        <f>IF($A114="","",SUMIFS('Debtor Ledger'!$K$2:$K$3001,'Debtor Ledger'!$C$2:$C$3001,$A114))</f>
        <v/>
      </c>
      <c r="G114" s="6">
        <f>IF($A114="","",ROUND(B114+C114-D114-E114-F114,2))</f>
        <v/>
      </c>
    </row>
    <row r="115">
      <c r="A115">
        <f>IF('Opening Balance'!I114="","",'Opening Balance'!I114)</f>
        <v/>
      </c>
      <c r="B115" s="6">
        <f>IF($A115="","",SUMIFS('Opening Balance'!$F$4:$F$303,'Opening Balance'!$G$4:$G$303,$A115))</f>
        <v/>
      </c>
      <c r="C115" s="6">
        <f>IF($A115="","",SUMIFS('Daily Sale entry '!$S$2:$S$1501,'Daily Sale entry '!$P$2:$P$1501,$A115,'Daily Sale entry '!$Q$2:$Q$1501,"Credit Sale 赊销"))</f>
        <v/>
      </c>
      <c r="D115" s="6">
        <f>IF($A115="","",SUMIFS('Daily Sale entry '!$S$2:$S$1501,'Daily Sale entry '!$P$2:$P$1501,$A115,'Daily Sale entry '!$Q$2:$Q$1501,"Collection 收款"))</f>
        <v/>
      </c>
      <c r="E115" s="6">
        <f>IF($A115="","",SUMIFS('Daily Sale entry '!$AC$2:$AC$1501,'Daily Sale entry '!$AA$2:$AA$1501,$A115,'Daily Sale entry '!$Z$2:$Z$1501,"Online collection 网上收款"))</f>
        <v/>
      </c>
      <c r="F115" s="6">
        <f>IF($A115="","",SUMIFS('Debtor Ledger'!$K$2:$K$3001,'Debtor Ledger'!$C$2:$C$3001,$A115))</f>
        <v/>
      </c>
      <c r="G115" s="6">
        <f>IF($A115="","",ROUND(B115+C115-D115-E115-F115,2))</f>
        <v/>
      </c>
    </row>
    <row r="116">
      <c r="A116">
        <f>IF('Opening Balance'!I115="","",'Opening Balance'!I115)</f>
        <v/>
      </c>
      <c r="B116" s="6">
        <f>IF($A116="","",SUMIFS('Opening Balance'!$F$4:$F$303,'Opening Balance'!$G$4:$G$303,$A116))</f>
        <v/>
      </c>
      <c r="C116" s="6">
        <f>IF($A116="","",SUMIFS('Daily Sale entry '!$S$2:$S$1501,'Daily Sale entry '!$P$2:$P$1501,$A116,'Daily Sale entry '!$Q$2:$Q$1501,"Credit Sale 赊销"))</f>
        <v/>
      </c>
      <c r="D116" s="6">
        <f>IF($A116="","",SUMIFS('Daily Sale entry '!$S$2:$S$1501,'Daily Sale entry '!$P$2:$P$1501,$A116,'Daily Sale entry '!$Q$2:$Q$1501,"Collection 收款"))</f>
        <v/>
      </c>
      <c r="E116" s="6">
        <f>IF($A116="","",SUMIFS('Daily Sale entry '!$AC$2:$AC$1501,'Daily Sale entry '!$AA$2:$AA$1501,$A116,'Daily Sale entry '!$Z$2:$Z$1501,"Online collection 网上收款"))</f>
        <v/>
      </c>
      <c r="F116" s="6">
        <f>IF($A116="","",SUMIFS('Debtor Ledger'!$K$2:$K$3001,'Debtor Ledger'!$C$2:$C$3001,$A116))</f>
        <v/>
      </c>
      <c r="G116" s="6">
        <f>IF($A116="","",ROUND(B116+C116-D116-E116-F116,2))</f>
        <v/>
      </c>
    </row>
    <row r="117">
      <c r="A117">
        <f>IF('Opening Balance'!I116="","",'Opening Balance'!I116)</f>
        <v/>
      </c>
      <c r="B117" s="6">
        <f>IF($A117="","",SUMIFS('Opening Balance'!$F$4:$F$303,'Opening Balance'!$G$4:$G$303,$A117))</f>
        <v/>
      </c>
      <c r="C117" s="6">
        <f>IF($A117="","",SUMIFS('Daily Sale entry '!$S$2:$S$1501,'Daily Sale entry '!$P$2:$P$1501,$A117,'Daily Sale entry '!$Q$2:$Q$1501,"Credit Sale 赊销"))</f>
        <v/>
      </c>
      <c r="D117" s="6">
        <f>IF($A117="","",SUMIFS('Daily Sale entry '!$S$2:$S$1501,'Daily Sale entry '!$P$2:$P$1501,$A117,'Daily Sale entry '!$Q$2:$Q$1501,"Collection 收款"))</f>
        <v/>
      </c>
      <c r="E117" s="6">
        <f>IF($A117="","",SUMIFS('Daily Sale entry '!$AC$2:$AC$1501,'Daily Sale entry '!$AA$2:$AA$1501,$A117,'Daily Sale entry '!$Z$2:$Z$1501,"Online collection 网上收款"))</f>
        <v/>
      </c>
      <c r="F117" s="6">
        <f>IF($A117="","",SUMIFS('Debtor Ledger'!$K$2:$K$3001,'Debtor Ledger'!$C$2:$C$3001,$A117))</f>
        <v/>
      </c>
      <c r="G117" s="6">
        <f>IF($A117="","",ROUND(B117+C117-D117-E117-F117,2))</f>
        <v/>
      </c>
    </row>
    <row r="118">
      <c r="A118">
        <f>IF('Opening Balance'!I117="","",'Opening Balance'!I117)</f>
        <v/>
      </c>
      <c r="B118" s="6">
        <f>IF($A118="","",SUMIFS('Opening Balance'!$F$4:$F$303,'Opening Balance'!$G$4:$G$303,$A118))</f>
        <v/>
      </c>
      <c r="C118" s="6">
        <f>IF($A118="","",SUMIFS('Daily Sale entry '!$S$2:$S$1501,'Daily Sale entry '!$P$2:$P$1501,$A118,'Daily Sale entry '!$Q$2:$Q$1501,"Credit Sale 赊销"))</f>
        <v/>
      </c>
      <c r="D118" s="6">
        <f>IF($A118="","",SUMIFS('Daily Sale entry '!$S$2:$S$1501,'Daily Sale entry '!$P$2:$P$1501,$A118,'Daily Sale entry '!$Q$2:$Q$1501,"Collection 收款"))</f>
        <v/>
      </c>
      <c r="E118" s="6">
        <f>IF($A118="","",SUMIFS('Daily Sale entry '!$AC$2:$AC$1501,'Daily Sale entry '!$AA$2:$AA$1501,$A118,'Daily Sale entry '!$Z$2:$Z$1501,"Online collection 网上收款"))</f>
        <v/>
      </c>
      <c r="F118" s="6">
        <f>IF($A118="","",SUMIFS('Debtor Ledger'!$K$2:$K$3001,'Debtor Ledger'!$C$2:$C$3001,$A118))</f>
        <v/>
      </c>
      <c r="G118" s="6">
        <f>IF($A118="","",ROUND(B118+C118-D118-E118-F118,2))</f>
        <v/>
      </c>
    </row>
    <row r="119">
      <c r="A119">
        <f>IF('Opening Balance'!I118="","",'Opening Balance'!I118)</f>
        <v/>
      </c>
      <c r="B119" s="6">
        <f>IF($A119="","",SUMIFS('Opening Balance'!$F$4:$F$303,'Opening Balance'!$G$4:$G$303,$A119))</f>
        <v/>
      </c>
      <c r="C119" s="6">
        <f>IF($A119="","",SUMIFS('Daily Sale entry '!$S$2:$S$1501,'Daily Sale entry '!$P$2:$P$1501,$A119,'Daily Sale entry '!$Q$2:$Q$1501,"Credit Sale 赊销"))</f>
        <v/>
      </c>
      <c r="D119" s="6">
        <f>IF($A119="","",SUMIFS('Daily Sale entry '!$S$2:$S$1501,'Daily Sale entry '!$P$2:$P$1501,$A119,'Daily Sale entry '!$Q$2:$Q$1501,"Collection 收款"))</f>
        <v/>
      </c>
      <c r="E119" s="6">
        <f>IF($A119="","",SUMIFS('Daily Sale entry '!$AC$2:$AC$1501,'Daily Sale entry '!$AA$2:$AA$1501,$A119,'Daily Sale entry '!$Z$2:$Z$1501,"Online collection 网上收款"))</f>
        <v/>
      </c>
      <c r="F119" s="6">
        <f>IF($A119="","",SUMIFS('Debtor Ledger'!$K$2:$K$3001,'Debtor Ledger'!$C$2:$C$3001,$A119))</f>
        <v/>
      </c>
      <c r="G119" s="6">
        <f>IF($A119="","",ROUND(B119+C119-D119-E119-F119,2))</f>
        <v/>
      </c>
    </row>
    <row r="120">
      <c r="A120">
        <f>IF('Opening Balance'!I119="","",'Opening Balance'!I119)</f>
        <v/>
      </c>
      <c r="B120" s="6">
        <f>IF($A120="","",SUMIFS('Opening Balance'!$F$4:$F$303,'Opening Balance'!$G$4:$G$303,$A120))</f>
        <v/>
      </c>
      <c r="C120" s="6">
        <f>IF($A120="","",SUMIFS('Daily Sale entry '!$S$2:$S$1501,'Daily Sale entry '!$P$2:$P$1501,$A120,'Daily Sale entry '!$Q$2:$Q$1501,"Credit Sale 赊销"))</f>
        <v/>
      </c>
      <c r="D120" s="6">
        <f>IF($A120="","",SUMIFS('Daily Sale entry '!$S$2:$S$1501,'Daily Sale entry '!$P$2:$P$1501,$A120,'Daily Sale entry '!$Q$2:$Q$1501,"Collection 收款"))</f>
        <v/>
      </c>
      <c r="E120" s="6">
        <f>IF($A120="","",SUMIFS('Daily Sale entry '!$AC$2:$AC$1501,'Daily Sale entry '!$AA$2:$AA$1501,$A120,'Daily Sale entry '!$Z$2:$Z$1501,"Online collection 网上收款"))</f>
        <v/>
      </c>
      <c r="F120" s="6">
        <f>IF($A120="","",SUMIFS('Debtor Ledger'!$K$2:$K$3001,'Debtor Ledger'!$C$2:$C$3001,$A120))</f>
        <v/>
      </c>
      <c r="G120" s="6">
        <f>IF($A120="","",ROUND(B120+C120-D120-E120-F120,2))</f>
        <v/>
      </c>
    </row>
    <row r="121">
      <c r="A121">
        <f>IF('Opening Balance'!I120="","",'Opening Balance'!I120)</f>
        <v/>
      </c>
      <c r="B121" s="6">
        <f>IF($A121="","",SUMIFS('Opening Balance'!$F$4:$F$303,'Opening Balance'!$G$4:$G$303,$A121))</f>
        <v/>
      </c>
      <c r="C121" s="6">
        <f>IF($A121="","",SUMIFS('Daily Sale entry '!$S$2:$S$1501,'Daily Sale entry '!$P$2:$P$1501,$A121,'Daily Sale entry '!$Q$2:$Q$1501,"Credit Sale 赊销"))</f>
        <v/>
      </c>
      <c r="D121" s="6">
        <f>IF($A121="","",SUMIFS('Daily Sale entry '!$S$2:$S$1501,'Daily Sale entry '!$P$2:$P$1501,$A121,'Daily Sale entry '!$Q$2:$Q$1501,"Collection 收款"))</f>
        <v/>
      </c>
      <c r="E121" s="6">
        <f>IF($A121="","",SUMIFS('Daily Sale entry '!$AC$2:$AC$1501,'Daily Sale entry '!$AA$2:$AA$1501,$A121,'Daily Sale entry '!$Z$2:$Z$1501,"Online collection 网上收款"))</f>
        <v/>
      </c>
      <c r="F121" s="6">
        <f>IF($A121="","",SUMIFS('Debtor Ledger'!$K$2:$K$3001,'Debtor Ledger'!$C$2:$C$3001,$A121))</f>
        <v/>
      </c>
      <c r="G121" s="6">
        <f>IF($A121="","",ROUND(B121+C121-D121-E121-F121,2))</f>
        <v/>
      </c>
    </row>
    <row r="122">
      <c r="A122">
        <f>IF('Opening Balance'!I121="","",'Opening Balance'!I121)</f>
        <v/>
      </c>
      <c r="B122" s="6">
        <f>IF($A122="","",SUMIFS('Opening Balance'!$F$4:$F$303,'Opening Balance'!$G$4:$G$303,$A122))</f>
        <v/>
      </c>
      <c r="C122" s="6">
        <f>IF($A122="","",SUMIFS('Daily Sale entry '!$S$2:$S$1501,'Daily Sale entry '!$P$2:$P$1501,$A122,'Daily Sale entry '!$Q$2:$Q$1501,"Credit Sale 赊销"))</f>
        <v/>
      </c>
      <c r="D122" s="6">
        <f>IF($A122="","",SUMIFS('Daily Sale entry '!$S$2:$S$1501,'Daily Sale entry '!$P$2:$P$1501,$A122,'Daily Sale entry '!$Q$2:$Q$1501,"Collection 收款"))</f>
        <v/>
      </c>
      <c r="E122" s="6">
        <f>IF($A122="","",SUMIFS('Daily Sale entry '!$AC$2:$AC$1501,'Daily Sale entry '!$AA$2:$AA$1501,$A122,'Daily Sale entry '!$Z$2:$Z$1501,"Online collection 网上收款"))</f>
        <v/>
      </c>
      <c r="F122" s="6">
        <f>IF($A122="","",SUMIFS('Debtor Ledger'!$K$2:$K$3001,'Debtor Ledger'!$C$2:$C$3001,$A122))</f>
        <v/>
      </c>
      <c r="G122" s="6">
        <f>IF($A122="","",ROUND(B122+C122-D122-E122-F122,2))</f>
        <v/>
      </c>
    </row>
    <row r="123">
      <c r="A123">
        <f>IF('Opening Balance'!I122="","",'Opening Balance'!I122)</f>
        <v/>
      </c>
      <c r="B123" s="6">
        <f>IF($A123="","",SUMIFS('Opening Balance'!$F$4:$F$303,'Opening Balance'!$G$4:$G$303,$A123))</f>
        <v/>
      </c>
      <c r="C123" s="6">
        <f>IF($A123="","",SUMIFS('Daily Sale entry '!$S$2:$S$1501,'Daily Sale entry '!$P$2:$P$1501,$A123,'Daily Sale entry '!$Q$2:$Q$1501,"Credit Sale 赊销"))</f>
        <v/>
      </c>
      <c r="D123" s="6">
        <f>IF($A123="","",SUMIFS('Daily Sale entry '!$S$2:$S$1501,'Daily Sale entry '!$P$2:$P$1501,$A123,'Daily Sale entry '!$Q$2:$Q$1501,"Collection 收款"))</f>
        <v/>
      </c>
      <c r="E123" s="6">
        <f>IF($A123="","",SUMIFS('Daily Sale entry '!$AC$2:$AC$1501,'Daily Sale entry '!$AA$2:$AA$1501,$A123,'Daily Sale entry '!$Z$2:$Z$1501,"Online collection 网上收款"))</f>
        <v/>
      </c>
      <c r="F123" s="6">
        <f>IF($A123="","",SUMIFS('Debtor Ledger'!$K$2:$K$3001,'Debtor Ledger'!$C$2:$C$3001,$A123))</f>
        <v/>
      </c>
      <c r="G123" s="6">
        <f>IF($A123="","",ROUND(B123+C123-D123-E123-F123,2))</f>
        <v/>
      </c>
    </row>
    <row r="124">
      <c r="A124">
        <f>IF('Opening Balance'!I123="","",'Opening Balance'!I123)</f>
        <v/>
      </c>
      <c r="B124" s="6">
        <f>IF($A124="","",SUMIFS('Opening Balance'!$F$4:$F$303,'Opening Balance'!$G$4:$G$303,$A124))</f>
        <v/>
      </c>
      <c r="C124" s="6">
        <f>IF($A124="","",SUMIFS('Daily Sale entry '!$S$2:$S$1501,'Daily Sale entry '!$P$2:$P$1501,$A124,'Daily Sale entry '!$Q$2:$Q$1501,"Credit Sale 赊销"))</f>
        <v/>
      </c>
      <c r="D124" s="6">
        <f>IF($A124="","",SUMIFS('Daily Sale entry '!$S$2:$S$1501,'Daily Sale entry '!$P$2:$P$1501,$A124,'Daily Sale entry '!$Q$2:$Q$1501,"Collection 收款"))</f>
        <v/>
      </c>
      <c r="E124" s="6">
        <f>IF($A124="","",SUMIFS('Daily Sale entry '!$AC$2:$AC$1501,'Daily Sale entry '!$AA$2:$AA$1501,$A124,'Daily Sale entry '!$Z$2:$Z$1501,"Online collection 网上收款"))</f>
        <v/>
      </c>
      <c r="F124" s="6">
        <f>IF($A124="","",SUMIFS('Debtor Ledger'!$K$2:$K$3001,'Debtor Ledger'!$C$2:$C$3001,$A124))</f>
        <v/>
      </c>
      <c r="G124" s="6">
        <f>IF($A124="","",ROUND(B124+C124-D124-E124-F124,2))</f>
        <v/>
      </c>
    </row>
    <row r="125">
      <c r="A125">
        <f>IF('Opening Balance'!I124="","",'Opening Balance'!I124)</f>
        <v/>
      </c>
      <c r="B125" s="6">
        <f>IF($A125="","",SUMIFS('Opening Balance'!$F$4:$F$303,'Opening Balance'!$G$4:$G$303,$A125))</f>
        <v/>
      </c>
      <c r="C125" s="6">
        <f>IF($A125="","",SUMIFS('Daily Sale entry '!$S$2:$S$1501,'Daily Sale entry '!$P$2:$P$1501,$A125,'Daily Sale entry '!$Q$2:$Q$1501,"Credit Sale 赊销"))</f>
        <v/>
      </c>
      <c r="D125" s="6">
        <f>IF($A125="","",SUMIFS('Daily Sale entry '!$S$2:$S$1501,'Daily Sale entry '!$P$2:$P$1501,$A125,'Daily Sale entry '!$Q$2:$Q$1501,"Collection 收款"))</f>
        <v/>
      </c>
      <c r="E125" s="6">
        <f>IF($A125="","",SUMIFS('Daily Sale entry '!$AC$2:$AC$1501,'Daily Sale entry '!$AA$2:$AA$1501,$A125,'Daily Sale entry '!$Z$2:$Z$1501,"Online collection 网上收款"))</f>
        <v/>
      </c>
      <c r="F125" s="6">
        <f>IF($A125="","",SUMIFS('Debtor Ledger'!$K$2:$K$3001,'Debtor Ledger'!$C$2:$C$3001,$A125))</f>
        <v/>
      </c>
      <c r="G125" s="6">
        <f>IF($A125="","",ROUND(B125+C125-D125-E125-F125,2))</f>
        <v/>
      </c>
    </row>
    <row r="126">
      <c r="A126">
        <f>IF('Opening Balance'!I125="","",'Opening Balance'!I125)</f>
        <v/>
      </c>
      <c r="B126" s="6">
        <f>IF($A126="","",SUMIFS('Opening Balance'!$F$4:$F$303,'Opening Balance'!$G$4:$G$303,$A126))</f>
        <v/>
      </c>
      <c r="C126" s="6">
        <f>IF($A126="","",SUMIFS('Daily Sale entry '!$S$2:$S$1501,'Daily Sale entry '!$P$2:$P$1501,$A126,'Daily Sale entry '!$Q$2:$Q$1501,"Credit Sale 赊销"))</f>
        <v/>
      </c>
      <c r="D126" s="6">
        <f>IF($A126="","",SUMIFS('Daily Sale entry '!$S$2:$S$1501,'Daily Sale entry '!$P$2:$P$1501,$A126,'Daily Sale entry '!$Q$2:$Q$1501,"Collection 收款"))</f>
        <v/>
      </c>
      <c r="E126" s="6">
        <f>IF($A126="","",SUMIFS('Daily Sale entry '!$AC$2:$AC$1501,'Daily Sale entry '!$AA$2:$AA$1501,$A126,'Daily Sale entry '!$Z$2:$Z$1501,"Online collection 网上收款"))</f>
        <v/>
      </c>
      <c r="F126" s="6">
        <f>IF($A126="","",SUMIFS('Debtor Ledger'!$K$2:$K$3001,'Debtor Ledger'!$C$2:$C$3001,$A126))</f>
        <v/>
      </c>
      <c r="G126" s="6">
        <f>IF($A126="","",ROUND(B126+C126-D126-E126-F126,2))</f>
        <v/>
      </c>
    </row>
    <row r="127">
      <c r="A127">
        <f>IF('Opening Balance'!I126="","",'Opening Balance'!I126)</f>
        <v/>
      </c>
      <c r="B127" s="6">
        <f>IF($A127="","",SUMIFS('Opening Balance'!$F$4:$F$303,'Opening Balance'!$G$4:$G$303,$A127))</f>
        <v/>
      </c>
      <c r="C127" s="6">
        <f>IF($A127="","",SUMIFS('Daily Sale entry '!$S$2:$S$1501,'Daily Sale entry '!$P$2:$P$1501,$A127,'Daily Sale entry '!$Q$2:$Q$1501,"Credit Sale 赊销"))</f>
        <v/>
      </c>
      <c r="D127" s="6">
        <f>IF($A127="","",SUMIFS('Daily Sale entry '!$S$2:$S$1501,'Daily Sale entry '!$P$2:$P$1501,$A127,'Daily Sale entry '!$Q$2:$Q$1501,"Collection 收款"))</f>
        <v/>
      </c>
      <c r="E127" s="6">
        <f>IF($A127="","",SUMIFS('Daily Sale entry '!$AC$2:$AC$1501,'Daily Sale entry '!$AA$2:$AA$1501,$A127,'Daily Sale entry '!$Z$2:$Z$1501,"Online collection 网上收款"))</f>
        <v/>
      </c>
      <c r="F127" s="6">
        <f>IF($A127="","",SUMIFS('Debtor Ledger'!$K$2:$K$3001,'Debtor Ledger'!$C$2:$C$3001,$A127))</f>
        <v/>
      </c>
      <c r="G127" s="6">
        <f>IF($A127="","",ROUND(B127+C127-D127-E127-F127,2))</f>
        <v/>
      </c>
    </row>
    <row r="128">
      <c r="A128">
        <f>IF('Opening Balance'!I127="","",'Opening Balance'!I127)</f>
        <v/>
      </c>
      <c r="B128" s="6">
        <f>IF($A128="","",SUMIFS('Opening Balance'!$F$4:$F$303,'Opening Balance'!$G$4:$G$303,$A128))</f>
        <v/>
      </c>
      <c r="C128" s="6">
        <f>IF($A128="","",SUMIFS('Daily Sale entry '!$S$2:$S$1501,'Daily Sale entry '!$P$2:$P$1501,$A128,'Daily Sale entry '!$Q$2:$Q$1501,"Credit Sale 赊销"))</f>
        <v/>
      </c>
      <c r="D128" s="6">
        <f>IF($A128="","",SUMIFS('Daily Sale entry '!$S$2:$S$1501,'Daily Sale entry '!$P$2:$P$1501,$A128,'Daily Sale entry '!$Q$2:$Q$1501,"Collection 收款"))</f>
        <v/>
      </c>
      <c r="E128" s="6">
        <f>IF($A128="","",SUMIFS('Daily Sale entry '!$AC$2:$AC$1501,'Daily Sale entry '!$AA$2:$AA$1501,$A128,'Daily Sale entry '!$Z$2:$Z$1501,"Online collection 网上收款"))</f>
        <v/>
      </c>
      <c r="F128" s="6">
        <f>IF($A128="","",SUMIFS('Debtor Ledger'!$K$2:$K$3001,'Debtor Ledger'!$C$2:$C$3001,$A128))</f>
        <v/>
      </c>
      <c r="G128" s="6">
        <f>IF($A128="","",ROUND(B128+C128-D128-E128-F128,2))</f>
        <v/>
      </c>
    </row>
    <row r="129">
      <c r="A129">
        <f>IF('Opening Balance'!I128="","",'Opening Balance'!I128)</f>
        <v/>
      </c>
      <c r="B129" s="6">
        <f>IF($A129="","",SUMIFS('Opening Balance'!$F$4:$F$303,'Opening Balance'!$G$4:$G$303,$A129))</f>
        <v/>
      </c>
      <c r="C129" s="6">
        <f>IF($A129="","",SUMIFS('Daily Sale entry '!$S$2:$S$1501,'Daily Sale entry '!$P$2:$P$1501,$A129,'Daily Sale entry '!$Q$2:$Q$1501,"Credit Sale 赊销"))</f>
        <v/>
      </c>
      <c r="D129" s="6">
        <f>IF($A129="","",SUMIFS('Daily Sale entry '!$S$2:$S$1501,'Daily Sale entry '!$P$2:$P$1501,$A129,'Daily Sale entry '!$Q$2:$Q$1501,"Collection 收款"))</f>
        <v/>
      </c>
      <c r="E129" s="6">
        <f>IF($A129="","",SUMIFS('Daily Sale entry '!$AC$2:$AC$1501,'Daily Sale entry '!$AA$2:$AA$1501,$A129,'Daily Sale entry '!$Z$2:$Z$1501,"Online collection 网上收款"))</f>
        <v/>
      </c>
      <c r="F129" s="6">
        <f>IF($A129="","",SUMIFS('Debtor Ledger'!$K$2:$K$3001,'Debtor Ledger'!$C$2:$C$3001,$A129))</f>
        <v/>
      </c>
      <c r="G129" s="6">
        <f>IF($A129="","",ROUND(B129+C129-D129-E129-F129,2))</f>
        <v/>
      </c>
    </row>
    <row r="130">
      <c r="A130">
        <f>IF('Opening Balance'!I129="","",'Opening Balance'!I129)</f>
        <v/>
      </c>
      <c r="B130" s="6">
        <f>IF($A130="","",SUMIFS('Opening Balance'!$F$4:$F$303,'Opening Balance'!$G$4:$G$303,$A130))</f>
        <v/>
      </c>
      <c r="C130" s="6">
        <f>IF($A130="","",SUMIFS('Daily Sale entry '!$S$2:$S$1501,'Daily Sale entry '!$P$2:$P$1501,$A130,'Daily Sale entry '!$Q$2:$Q$1501,"Credit Sale 赊销"))</f>
        <v/>
      </c>
      <c r="D130" s="6">
        <f>IF($A130="","",SUMIFS('Daily Sale entry '!$S$2:$S$1501,'Daily Sale entry '!$P$2:$P$1501,$A130,'Daily Sale entry '!$Q$2:$Q$1501,"Collection 收款"))</f>
        <v/>
      </c>
      <c r="E130" s="6">
        <f>IF($A130="","",SUMIFS('Daily Sale entry '!$AC$2:$AC$1501,'Daily Sale entry '!$AA$2:$AA$1501,$A130,'Daily Sale entry '!$Z$2:$Z$1501,"Online collection 网上收款"))</f>
        <v/>
      </c>
      <c r="F130" s="6">
        <f>IF($A130="","",SUMIFS('Debtor Ledger'!$K$2:$K$3001,'Debtor Ledger'!$C$2:$C$3001,$A130))</f>
        <v/>
      </c>
      <c r="G130" s="6">
        <f>IF($A130="","",ROUND(B130+C130-D130-E130-F130,2))</f>
        <v/>
      </c>
    </row>
    <row r="131">
      <c r="A131">
        <f>IF('Opening Balance'!I130="","",'Opening Balance'!I130)</f>
        <v/>
      </c>
      <c r="B131" s="6">
        <f>IF($A131="","",SUMIFS('Opening Balance'!$F$4:$F$303,'Opening Balance'!$G$4:$G$303,$A131))</f>
        <v/>
      </c>
      <c r="C131" s="6">
        <f>IF($A131="","",SUMIFS('Daily Sale entry '!$S$2:$S$1501,'Daily Sale entry '!$P$2:$P$1501,$A131,'Daily Sale entry '!$Q$2:$Q$1501,"Credit Sale 赊销"))</f>
        <v/>
      </c>
      <c r="D131" s="6">
        <f>IF($A131="","",SUMIFS('Daily Sale entry '!$S$2:$S$1501,'Daily Sale entry '!$P$2:$P$1501,$A131,'Daily Sale entry '!$Q$2:$Q$1501,"Collection 收款"))</f>
        <v/>
      </c>
      <c r="E131" s="6">
        <f>IF($A131="","",SUMIFS('Daily Sale entry '!$AC$2:$AC$1501,'Daily Sale entry '!$AA$2:$AA$1501,$A131,'Daily Sale entry '!$Z$2:$Z$1501,"Online collection 网上收款"))</f>
        <v/>
      </c>
      <c r="F131" s="6">
        <f>IF($A131="","",SUMIFS('Debtor Ledger'!$K$2:$K$3001,'Debtor Ledger'!$C$2:$C$3001,$A131))</f>
        <v/>
      </c>
      <c r="G131" s="6">
        <f>IF($A131="","",ROUND(B131+C131-D131-E131-F131,2))</f>
        <v/>
      </c>
    </row>
    <row r="132">
      <c r="A132">
        <f>IF('Opening Balance'!I131="","",'Opening Balance'!I131)</f>
        <v/>
      </c>
      <c r="B132" s="6">
        <f>IF($A132="","",SUMIFS('Opening Balance'!$F$4:$F$303,'Opening Balance'!$G$4:$G$303,$A132))</f>
        <v/>
      </c>
      <c r="C132" s="6">
        <f>IF($A132="","",SUMIFS('Daily Sale entry '!$S$2:$S$1501,'Daily Sale entry '!$P$2:$P$1501,$A132,'Daily Sale entry '!$Q$2:$Q$1501,"Credit Sale 赊销"))</f>
        <v/>
      </c>
      <c r="D132" s="6">
        <f>IF($A132="","",SUMIFS('Daily Sale entry '!$S$2:$S$1501,'Daily Sale entry '!$P$2:$P$1501,$A132,'Daily Sale entry '!$Q$2:$Q$1501,"Collection 收款"))</f>
        <v/>
      </c>
      <c r="E132" s="6">
        <f>IF($A132="","",SUMIFS('Daily Sale entry '!$AC$2:$AC$1501,'Daily Sale entry '!$AA$2:$AA$1501,$A132,'Daily Sale entry '!$Z$2:$Z$1501,"Online collection 网上收款"))</f>
        <v/>
      </c>
      <c r="F132" s="6">
        <f>IF($A132="","",SUMIFS('Debtor Ledger'!$K$2:$K$3001,'Debtor Ledger'!$C$2:$C$3001,$A132))</f>
        <v/>
      </c>
      <c r="G132" s="6">
        <f>IF($A132="","",ROUND(B132+C132-D132-E132-F132,2))</f>
        <v/>
      </c>
    </row>
    <row r="133">
      <c r="A133">
        <f>IF('Opening Balance'!I132="","",'Opening Balance'!I132)</f>
        <v/>
      </c>
      <c r="B133" s="6">
        <f>IF($A133="","",SUMIFS('Opening Balance'!$F$4:$F$303,'Opening Balance'!$G$4:$G$303,$A133))</f>
        <v/>
      </c>
      <c r="C133" s="6">
        <f>IF($A133="","",SUMIFS('Daily Sale entry '!$S$2:$S$1501,'Daily Sale entry '!$P$2:$P$1501,$A133,'Daily Sale entry '!$Q$2:$Q$1501,"Credit Sale 赊销"))</f>
        <v/>
      </c>
      <c r="D133" s="6">
        <f>IF($A133="","",SUMIFS('Daily Sale entry '!$S$2:$S$1501,'Daily Sale entry '!$P$2:$P$1501,$A133,'Daily Sale entry '!$Q$2:$Q$1501,"Collection 收款"))</f>
        <v/>
      </c>
      <c r="E133" s="6">
        <f>IF($A133="","",SUMIFS('Daily Sale entry '!$AC$2:$AC$1501,'Daily Sale entry '!$AA$2:$AA$1501,$A133,'Daily Sale entry '!$Z$2:$Z$1501,"Online collection 网上收款"))</f>
        <v/>
      </c>
      <c r="F133" s="6">
        <f>IF($A133="","",SUMIFS('Debtor Ledger'!$K$2:$K$3001,'Debtor Ledger'!$C$2:$C$3001,$A133))</f>
        <v/>
      </c>
      <c r="G133" s="6">
        <f>IF($A133="","",ROUND(B133+C133-D133-E133-F133,2))</f>
        <v/>
      </c>
    </row>
    <row r="134">
      <c r="A134">
        <f>IF('Opening Balance'!I133="","",'Opening Balance'!I133)</f>
        <v/>
      </c>
      <c r="B134" s="6">
        <f>IF($A134="","",SUMIFS('Opening Balance'!$F$4:$F$303,'Opening Balance'!$G$4:$G$303,$A134))</f>
        <v/>
      </c>
      <c r="C134" s="6">
        <f>IF($A134="","",SUMIFS('Daily Sale entry '!$S$2:$S$1501,'Daily Sale entry '!$P$2:$P$1501,$A134,'Daily Sale entry '!$Q$2:$Q$1501,"Credit Sale 赊销"))</f>
        <v/>
      </c>
      <c r="D134" s="6">
        <f>IF($A134="","",SUMIFS('Daily Sale entry '!$S$2:$S$1501,'Daily Sale entry '!$P$2:$P$1501,$A134,'Daily Sale entry '!$Q$2:$Q$1501,"Collection 收款"))</f>
        <v/>
      </c>
      <c r="E134" s="6">
        <f>IF($A134="","",SUMIFS('Daily Sale entry '!$AC$2:$AC$1501,'Daily Sale entry '!$AA$2:$AA$1501,$A134,'Daily Sale entry '!$Z$2:$Z$1501,"Online collection 网上收款"))</f>
        <v/>
      </c>
      <c r="F134" s="6">
        <f>IF($A134="","",SUMIFS('Debtor Ledger'!$K$2:$K$3001,'Debtor Ledger'!$C$2:$C$3001,$A134))</f>
        <v/>
      </c>
      <c r="G134" s="6">
        <f>IF($A134="","",ROUND(B134+C134-D134-E134-F134,2))</f>
        <v/>
      </c>
    </row>
    <row r="135">
      <c r="A135">
        <f>IF('Opening Balance'!I134="","",'Opening Balance'!I134)</f>
        <v/>
      </c>
      <c r="B135" s="6">
        <f>IF($A135="","",SUMIFS('Opening Balance'!$F$4:$F$303,'Opening Balance'!$G$4:$G$303,$A135))</f>
        <v/>
      </c>
      <c r="C135" s="6">
        <f>IF($A135="","",SUMIFS('Daily Sale entry '!$S$2:$S$1501,'Daily Sale entry '!$P$2:$P$1501,$A135,'Daily Sale entry '!$Q$2:$Q$1501,"Credit Sale 赊销"))</f>
        <v/>
      </c>
      <c r="D135" s="6">
        <f>IF($A135="","",SUMIFS('Daily Sale entry '!$S$2:$S$1501,'Daily Sale entry '!$P$2:$P$1501,$A135,'Daily Sale entry '!$Q$2:$Q$1501,"Collection 收款"))</f>
        <v/>
      </c>
      <c r="E135" s="6">
        <f>IF($A135="","",SUMIFS('Daily Sale entry '!$AC$2:$AC$1501,'Daily Sale entry '!$AA$2:$AA$1501,$A135,'Daily Sale entry '!$Z$2:$Z$1501,"Online collection 网上收款"))</f>
        <v/>
      </c>
      <c r="F135" s="6">
        <f>IF($A135="","",SUMIFS('Debtor Ledger'!$K$2:$K$3001,'Debtor Ledger'!$C$2:$C$3001,$A135))</f>
        <v/>
      </c>
      <c r="G135" s="6">
        <f>IF($A135="","",ROUND(B135+C135-D135-E135-F135,2))</f>
        <v/>
      </c>
    </row>
    <row r="136">
      <c r="A136">
        <f>IF('Opening Balance'!I135="","",'Opening Balance'!I135)</f>
        <v/>
      </c>
      <c r="B136" s="6">
        <f>IF($A136="","",SUMIFS('Opening Balance'!$F$4:$F$303,'Opening Balance'!$G$4:$G$303,$A136))</f>
        <v/>
      </c>
      <c r="C136" s="6">
        <f>IF($A136="","",SUMIFS('Daily Sale entry '!$S$2:$S$1501,'Daily Sale entry '!$P$2:$P$1501,$A136,'Daily Sale entry '!$Q$2:$Q$1501,"Credit Sale 赊销"))</f>
        <v/>
      </c>
      <c r="D136" s="6">
        <f>IF($A136="","",SUMIFS('Daily Sale entry '!$S$2:$S$1501,'Daily Sale entry '!$P$2:$P$1501,$A136,'Daily Sale entry '!$Q$2:$Q$1501,"Collection 收款"))</f>
        <v/>
      </c>
      <c r="E136" s="6">
        <f>IF($A136="","",SUMIFS('Daily Sale entry '!$AC$2:$AC$1501,'Daily Sale entry '!$AA$2:$AA$1501,$A136,'Daily Sale entry '!$Z$2:$Z$1501,"Online collection 网上收款"))</f>
        <v/>
      </c>
      <c r="F136" s="6">
        <f>IF($A136="","",SUMIFS('Debtor Ledger'!$K$2:$K$3001,'Debtor Ledger'!$C$2:$C$3001,$A136))</f>
        <v/>
      </c>
      <c r="G136" s="6">
        <f>IF($A136="","",ROUND(B136+C136-D136-E136-F136,2))</f>
        <v/>
      </c>
    </row>
    <row r="137">
      <c r="A137">
        <f>IF('Opening Balance'!I136="","",'Opening Balance'!I136)</f>
        <v/>
      </c>
      <c r="B137" s="6">
        <f>IF($A137="","",SUMIFS('Opening Balance'!$F$4:$F$303,'Opening Balance'!$G$4:$G$303,$A137))</f>
        <v/>
      </c>
      <c r="C137" s="6">
        <f>IF($A137="","",SUMIFS('Daily Sale entry '!$S$2:$S$1501,'Daily Sale entry '!$P$2:$P$1501,$A137,'Daily Sale entry '!$Q$2:$Q$1501,"Credit Sale 赊销"))</f>
        <v/>
      </c>
      <c r="D137" s="6">
        <f>IF($A137="","",SUMIFS('Daily Sale entry '!$S$2:$S$1501,'Daily Sale entry '!$P$2:$P$1501,$A137,'Daily Sale entry '!$Q$2:$Q$1501,"Collection 收款"))</f>
        <v/>
      </c>
      <c r="E137" s="6">
        <f>IF($A137="","",SUMIFS('Daily Sale entry '!$AC$2:$AC$1501,'Daily Sale entry '!$AA$2:$AA$1501,$A137,'Daily Sale entry '!$Z$2:$Z$1501,"Online collection 网上收款"))</f>
        <v/>
      </c>
      <c r="F137" s="6">
        <f>IF($A137="","",SUMIFS('Debtor Ledger'!$K$2:$K$3001,'Debtor Ledger'!$C$2:$C$3001,$A137))</f>
        <v/>
      </c>
      <c r="G137" s="6">
        <f>IF($A137="","",ROUND(B137+C137-D137-E137-F137,2))</f>
        <v/>
      </c>
    </row>
    <row r="138">
      <c r="A138">
        <f>IF('Opening Balance'!I137="","",'Opening Balance'!I137)</f>
        <v/>
      </c>
      <c r="B138" s="6">
        <f>IF($A138="","",SUMIFS('Opening Balance'!$F$4:$F$303,'Opening Balance'!$G$4:$G$303,$A138))</f>
        <v/>
      </c>
      <c r="C138" s="6">
        <f>IF($A138="","",SUMIFS('Daily Sale entry '!$S$2:$S$1501,'Daily Sale entry '!$P$2:$P$1501,$A138,'Daily Sale entry '!$Q$2:$Q$1501,"Credit Sale 赊销"))</f>
        <v/>
      </c>
      <c r="D138" s="6">
        <f>IF($A138="","",SUMIFS('Daily Sale entry '!$S$2:$S$1501,'Daily Sale entry '!$P$2:$P$1501,$A138,'Daily Sale entry '!$Q$2:$Q$1501,"Collection 收款"))</f>
        <v/>
      </c>
      <c r="E138" s="6">
        <f>IF($A138="","",SUMIFS('Daily Sale entry '!$AC$2:$AC$1501,'Daily Sale entry '!$AA$2:$AA$1501,$A138,'Daily Sale entry '!$Z$2:$Z$1501,"Online collection 网上收款"))</f>
        <v/>
      </c>
      <c r="F138" s="6">
        <f>IF($A138="","",SUMIFS('Debtor Ledger'!$K$2:$K$3001,'Debtor Ledger'!$C$2:$C$3001,$A138))</f>
        <v/>
      </c>
      <c r="G138" s="6">
        <f>IF($A138="","",ROUND(B138+C138-D138-E138-F138,2))</f>
        <v/>
      </c>
    </row>
    <row r="139">
      <c r="A139">
        <f>IF('Opening Balance'!I138="","",'Opening Balance'!I138)</f>
        <v/>
      </c>
      <c r="B139" s="6">
        <f>IF($A139="","",SUMIFS('Opening Balance'!$F$4:$F$303,'Opening Balance'!$G$4:$G$303,$A139))</f>
        <v/>
      </c>
      <c r="C139" s="6">
        <f>IF($A139="","",SUMIFS('Daily Sale entry '!$S$2:$S$1501,'Daily Sale entry '!$P$2:$P$1501,$A139,'Daily Sale entry '!$Q$2:$Q$1501,"Credit Sale 赊销"))</f>
        <v/>
      </c>
      <c r="D139" s="6">
        <f>IF($A139="","",SUMIFS('Daily Sale entry '!$S$2:$S$1501,'Daily Sale entry '!$P$2:$P$1501,$A139,'Daily Sale entry '!$Q$2:$Q$1501,"Collection 收款"))</f>
        <v/>
      </c>
      <c r="E139" s="6">
        <f>IF($A139="","",SUMIFS('Daily Sale entry '!$AC$2:$AC$1501,'Daily Sale entry '!$AA$2:$AA$1501,$A139,'Daily Sale entry '!$Z$2:$Z$1501,"Online collection 网上收款"))</f>
        <v/>
      </c>
      <c r="F139" s="6">
        <f>IF($A139="","",SUMIFS('Debtor Ledger'!$K$2:$K$3001,'Debtor Ledger'!$C$2:$C$3001,$A139))</f>
        <v/>
      </c>
      <c r="G139" s="6">
        <f>IF($A139="","",ROUND(B139+C139-D139-E139-F139,2))</f>
        <v/>
      </c>
    </row>
    <row r="140">
      <c r="A140">
        <f>IF('Opening Balance'!I139="","",'Opening Balance'!I139)</f>
        <v/>
      </c>
      <c r="B140" s="6">
        <f>IF($A140="","",SUMIFS('Opening Balance'!$F$4:$F$303,'Opening Balance'!$G$4:$G$303,$A140))</f>
        <v/>
      </c>
      <c r="C140" s="6">
        <f>IF($A140="","",SUMIFS('Daily Sale entry '!$S$2:$S$1501,'Daily Sale entry '!$P$2:$P$1501,$A140,'Daily Sale entry '!$Q$2:$Q$1501,"Credit Sale 赊销"))</f>
        <v/>
      </c>
      <c r="D140" s="6">
        <f>IF($A140="","",SUMIFS('Daily Sale entry '!$S$2:$S$1501,'Daily Sale entry '!$P$2:$P$1501,$A140,'Daily Sale entry '!$Q$2:$Q$1501,"Collection 收款"))</f>
        <v/>
      </c>
      <c r="E140" s="6">
        <f>IF($A140="","",SUMIFS('Daily Sale entry '!$AC$2:$AC$1501,'Daily Sale entry '!$AA$2:$AA$1501,$A140,'Daily Sale entry '!$Z$2:$Z$1501,"Online collection 网上收款"))</f>
        <v/>
      </c>
      <c r="F140" s="6">
        <f>IF($A140="","",SUMIFS('Debtor Ledger'!$K$2:$K$3001,'Debtor Ledger'!$C$2:$C$3001,$A140))</f>
        <v/>
      </c>
      <c r="G140" s="6">
        <f>IF($A140="","",ROUND(B140+C140-D140-E140-F140,2))</f>
        <v/>
      </c>
    </row>
    <row r="141">
      <c r="A141">
        <f>IF('Opening Balance'!I140="","",'Opening Balance'!I140)</f>
        <v/>
      </c>
      <c r="B141" s="6">
        <f>IF($A141="","",SUMIFS('Opening Balance'!$F$4:$F$303,'Opening Balance'!$G$4:$G$303,$A141))</f>
        <v/>
      </c>
      <c r="C141" s="6">
        <f>IF($A141="","",SUMIFS('Daily Sale entry '!$S$2:$S$1501,'Daily Sale entry '!$P$2:$P$1501,$A141,'Daily Sale entry '!$Q$2:$Q$1501,"Credit Sale 赊销"))</f>
        <v/>
      </c>
      <c r="D141" s="6">
        <f>IF($A141="","",SUMIFS('Daily Sale entry '!$S$2:$S$1501,'Daily Sale entry '!$P$2:$P$1501,$A141,'Daily Sale entry '!$Q$2:$Q$1501,"Collection 收款"))</f>
        <v/>
      </c>
      <c r="E141" s="6">
        <f>IF($A141="","",SUMIFS('Daily Sale entry '!$AC$2:$AC$1501,'Daily Sale entry '!$AA$2:$AA$1501,$A141,'Daily Sale entry '!$Z$2:$Z$1501,"Online collection 网上收款"))</f>
        <v/>
      </c>
      <c r="F141" s="6">
        <f>IF($A141="","",SUMIFS('Debtor Ledger'!$K$2:$K$3001,'Debtor Ledger'!$C$2:$C$3001,$A141))</f>
        <v/>
      </c>
      <c r="G141" s="6">
        <f>IF($A141="","",ROUND(B141+C141-D141-E141-F141,2))</f>
        <v/>
      </c>
    </row>
    <row r="142">
      <c r="A142">
        <f>IF('Opening Balance'!I141="","",'Opening Balance'!I141)</f>
        <v/>
      </c>
      <c r="B142" s="6">
        <f>IF($A142="","",SUMIFS('Opening Balance'!$F$4:$F$303,'Opening Balance'!$G$4:$G$303,$A142))</f>
        <v/>
      </c>
      <c r="C142" s="6">
        <f>IF($A142="","",SUMIFS('Daily Sale entry '!$S$2:$S$1501,'Daily Sale entry '!$P$2:$P$1501,$A142,'Daily Sale entry '!$Q$2:$Q$1501,"Credit Sale 赊销"))</f>
        <v/>
      </c>
      <c r="D142" s="6">
        <f>IF($A142="","",SUMIFS('Daily Sale entry '!$S$2:$S$1501,'Daily Sale entry '!$P$2:$P$1501,$A142,'Daily Sale entry '!$Q$2:$Q$1501,"Collection 收款"))</f>
        <v/>
      </c>
      <c r="E142" s="6">
        <f>IF($A142="","",SUMIFS('Daily Sale entry '!$AC$2:$AC$1501,'Daily Sale entry '!$AA$2:$AA$1501,$A142,'Daily Sale entry '!$Z$2:$Z$1501,"Online collection 网上收款"))</f>
        <v/>
      </c>
      <c r="F142" s="6">
        <f>IF($A142="","",SUMIFS('Debtor Ledger'!$K$2:$K$3001,'Debtor Ledger'!$C$2:$C$3001,$A142))</f>
        <v/>
      </c>
      <c r="G142" s="6">
        <f>IF($A142="","",ROUND(B142+C142-D142-E142-F142,2))</f>
        <v/>
      </c>
    </row>
    <row r="143">
      <c r="A143">
        <f>IF('Opening Balance'!I142="","",'Opening Balance'!I142)</f>
        <v/>
      </c>
      <c r="B143" s="6">
        <f>IF($A143="","",SUMIFS('Opening Balance'!$F$4:$F$303,'Opening Balance'!$G$4:$G$303,$A143))</f>
        <v/>
      </c>
      <c r="C143" s="6">
        <f>IF($A143="","",SUMIFS('Daily Sale entry '!$S$2:$S$1501,'Daily Sale entry '!$P$2:$P$1501,$A143,'Daily Sale entry '!$Q$2:$Q$1501,"Credit Sale 赊销"))</f>
        <v/>
      </c>
      <c r="D143" s="6">
        <f>IF($A143="","",SUMIFS('Daily Sale entry '!$S$2:$S$1501,'Daily Sale entry '!$P$2:$P$1501,$A143,'Daily Sale entry '!$Q$2:$Q$1501,"Collection 收款"))</f>
        <v/>
      </c>
      <c r="E143" s="6">
        <f>IF($A143="","",SUMIFS('Daily Sale entry '!$AC$2:$AC$1501,'Daily Sale entry '!$AA$2:$AA$1501,$A143,'Daily Sale entry '!$Z$2:$Z$1501,"Online collection 网上收款"))</f>
        <v/>
      </c>
      <c r="F143" s="6">
        <f>IF($A143="","",SUMIFS('Debtor Ledger'!$K$2:$K$3001,'Debtor Ledger'!$C$2:$C$3001,$A143))</f>
        <v/>
      </c>
      <c r="G143" s="6">
        <f>IF($A143="","",ROUND(B143+C143-D143-E143-F143,2))</f>
        <v/>
      </c>
    </row>
    <row r="144">
      <c r="A144">
        <f>IF('Opening Balance'!I143="","",'Opening Balance'!I143)</f>
        <v/>
      </c>
      <c r="B144" s="6">
        <f>IF($A144="","",SUMIFS('Opening Balance'!$F$4:$F$303,'Opening Balance'!$G$4:$G$303,$A144))</f>
        <v/>
      </c>
      <c r="C144" s="6">
        <f>IF($A144="","",SUMIFS('Daily Sale entry '!$S$2:$S$1501,'Daily Sale entry '!$P$2:$P$1501,$A144,'Daily Sale entry '!$Q$2:$Q$1501,"Credit Sale 赊销"))</f>
        <v/>
      </c>
      <c r="D144" s="6">
        <f>IF($A144="","",SUMIFS('Daily Sale entry '!$S$2:$S$1501,'Daily Sale entry '!$P$2:$P$1501,$A144,'Daily Sale entry '!$Q$2:$Q$1501,"Collection 收款"))</f>
        <v/>
      </c>
      <c r="E144" s="6">
        <f>IF($A144="","",SUMIFS('Daily Sale entry '!$AC$2:$AC$1501,'Daily Sale entry '!$AA$2:$AA$1501,$A144,'Daily Sale entry '!$Z$2:$Z$1501,"Online collection 网上收款"))</f>
        <v/>
      </c>
      <c r="F144" s="6">
        <f>IF($A144="","",SUMIFS('Debtor Ledger'!$K$2:$K$3001,'Debtor Ledger'!$C$2:$C$3001,$A144))</f>
        <v/>
      </c>
      <c r="G144" s="6">
        <f>IF($A144="","",ROUND(B144+C144-D144-E144-F144,2))</f>
        <v/>
      </c>
    </row>
    <row r="145">
      <c r="A145">
        <f>IF('Opening Balance'!I144="","",'Opening Balance'!I144)</f>
        <v/>
      </c>
      <c r="B145" s="6">
        <f>IF($A145="","",SUMIFS('Opening Balance'!$F$4:$F$303,'Opening Balance'!$G$4:$G$303,$A145))</f>
        <v/>
      </c>
      <c r="C145" s="6">
        <f>IF($A145="","",SUMIFS('Daily Sale entry '!$S$2:$S$1501,'Daily Sale entry '!$P$2:$P$1501,$A145,'Daily Sale entry '!$Q$2:$Q$1501,"Credit Sale 赊销"))</f>
        <v/>
      </c>
      <c r="D145" s="6">
        <f>IF($A145="","",SUMIFS('Daily Sale entry '!$S$2:$S$1501,'Daily Sale entry '!$P$2:$P$1501,$A145,'Daily Sale entry '!$Q$2:$Q$1501,"Collection 收款"))</f>
        <v/>
      </c>
      <c r="E145" s="6">
        <f>IF($A145="","",SUMIFS('Daily Sale entry '!$AC$2:$AC$1501,'Daily Sale entry '!$AA$2:$AA$1501,$A145,'Daily Sale entry '!$Z$2:$Z$1501,"Online collection 网上收款"))</f>
        <v/>
      </c>
      <c r="F145" s="6">
        <f>IF($A145="","",SUMIFS('Debtor Ledger'!$K$2:$K$3001,'Debtor Ledger'!$C$2:$C$3001,$A145))</f>
        <v/>
      </c>
      <c r="G145" s="6">
        <f>IF($A145="","",ROUND(B145+C145-D145-E145-F145,2))</f>
        <v/>
      </c>
    </row>
    <row r="146">
      <c r="A146">
        <f>IF('Opening Balance'!I145="","",'Opening Balance'!I145)</f>
        <v/>
      </c>
      <c r="B146" s="6">
        <f>IF($A146="","",SUMIFS('Opening Balance'!$F$4:$F$303,'Opening Balance'!$G$4:$G$303,$A146))</f>
        <v/>
      </c>
      <c r="C146" s="6">
        <f>IF($A146="","",SUMIFS('Daily Sale entry '!$S$2:$S$1501,'Daily Sale entry '!$P$2:$P$1501,$A146,'Daily Sale entry '!$Q$2:$Q$1501,"Credit Sale 赊销"))</f>
        <v/>
      </c>
      <c r="D146" s="6">
        <f>IF($A146="","",SUMIFS('Daily Sale entry '!$S$2:$S$1501,'Daily Sale entry '!$P$2:$P$1501,$A146,'Daily Sale entry '!$Q$2:$Q$1501,"Collection 收款"))</f>
        <v/>
      </c>
      <c r="E146" s="6">
        <f>IF($A146="","",SUMIFS('Daily Sale entry '!$AC$2:$AC$1501,'Daily Sale entry '!$AA$2:$AA$1501,$A146,'Daily Sale entry '!$Z$2:$Z$1501,"Online collection 网上收款"))</f>
        <v/>
      </c>
      <c r="F146" s="6">
        <f>IF($A146="","",SUMIFS('Debtor Ledger'!$K$2:$K$3001,'Debtor Ledger'!$C$2:$C$3001,$A146))</f>
        <v/>
      </c>
      <c r="G146" s="6">
        <f>IF($A146="","",ROUND(B146+C146-D146-E146-F146,2))</f>
        <v/>
      </c>
    </row>
    <row r="147">
      <c r="A147">
        <f>IF('Opening Balance'!I146="","",'Opening Balance'!I146)</f>
        <v/>
      </c>
      <c r="B147" s="6">
        <f>IF($A147="","",SUMIFS('Opening Balance'!$F$4:$F$303,'Opening Balance'!$G$4:$G$303,$A147))</f>
        <v/>
      </c>
      <c r="C147" s="6">
        <f>IF($A147="","",SUMIFS('Daily Sale entry '!$S$2:$S$1501,'Daily Sale entry '!$P$2:$P$1501,$A147,'Daily Sale entry '!$Q$2:$Q$1501,"Credit Sale 赊销"))</f>
        <v/>
      </c>
      <c r="D147" s="6">
        <f>IF($A147="","",SUMIFS('Daily Sale entry '!$S$2:$S$1501,'Daily Sale entry '!$P$2:$P$1501,$A147,'Daily Sale entry '!$Q$2:$Q$1501,"Collection 收款"))</f>
        <v/>
      </c>
      <c r="E147" s="6">
        <f>IF($A147="","",SUMIFS('Daily Sale entry '!$AC$2:$AC$1501,'Daily Sale entry '!$AA$2:$AA$1501,$A147,'Daily Sale entry '!$Z$2:$Z$1501,"Online collection 网上收款"))</f>
        <v/>
      </c>
      <c r="F147" s="6">
        <f>IF($A147="","",SUMIFS('Debtor Ledger'!$K$2:$K$3001,'Debtor Ledger'!$C$2:$C$3001,$A147))</f>
        <v/>
      </c>
      <c r="G147" s="6">
        <f>IF($A147="","",ROUND(B147+C147-D147-E147-F147,2))</f>
        <v/>
      </c>
    </row>
    <row r="148">
      <c r="A148">
        <f>IF('Opening Balance'!I147="","",'Opening Balance'!I147)</f>
        <v/>
      </c>
      <c r="B148" s="6">
        <f>IF($A148="","",SUMIFS('Opening Balance'!$F$4:$F$303,'Opening Balance'!$G$4:$G$303,$A148))</f>
        <v/>
      </c>
      <c r="C148" s="6">
        <f>IF($A148="","",SUMIFS('Daily Sale entry '!$S$2:$S$1501,'Daily Sale entry '!$P$2:$P$1501,$A148,'Daily Sale entry '!$Q$2:$Q$1501,"Credit Sale 赊销"))</f>
        <v/>
      </c>
      <c r="D148" s="6">
        <f>IF($A148="","",SUMIFS('Daily Sale entry '!$S$2:$S$1501,'Daily Sale entry '!$P$2:$P$1501,$A148,'Daily Sale entry '!$Q$2:$Q$1501,"Collection 收款"))</f>
        <v/>
      </c>
      <c r="E148" s="6">
        <f>IF($A148="","",SUMIFS('Daily Sale entry '!$AC$2:$AC$1501,'Daily Sale entry '!$AA$2:$AA$1501,$A148,'Daily Sale entry '!$Z$2:$Z$1501,"Online collection 网上收款"))</f>
        <v/>
      </c>
      <c r="F148" s="6">
        <f>IF($A148="","",SUMIFS('Debtor Ledger'!$K$2:$K$3001,'Debtor Ledger'!$C$2:$C$3001,$A148))</f>
        <v/>
      </c>
      <c r="G148" s="6">
        <f>IF($A148="","",ROUND(B148+C148-D148-E148-F148,2))</f>
        <v/>
      </c>
    </row>
    <row r="149">
      <c r="A149">
        <f>IF('Opening Balance'!I148="","",'Opening Balance'!I148)</f>
        <v/>
      </c>
      <c r="B149" s="6">
        <f>IF($A149="","",SUMIFS('Opening Balance'!$F$4:$F$303,'Opening Balance'!$G$4:$G$303,$A149))</f>
        <v/>
      </c>
      <c r="C149" s="6">
        <f>IF($A149="","",SUMIFS('Daily Sale entry '!$S$2:$S$1501,'Daily Sale entry '!$P$2:$P$1501,$A149,'Daily Sale entry '!$Q$2:$Q$1501,"Credit Sale 赊销"))</f>
        <v/>
      </c>
      <c r="D149" s="6">
        <f>IF($A149="","",SUMIFS('Daily Sale entry '!$S$2:$S$1501,'Daily Sale entry '!$P$2:$P$1501,$A149,'Daily Sale entry '!$Q$2:$Q$1501,"Collection 收款"))</f>
        <v/>
      </c>
      <c r="E149" s="6">
        <f>IF($A149="","",SUMIFS('Daily Sale entry '!$AC$2:$AC$1501,'Daily Sale entry '!$AA$2:$AA$1501,$A149,'Daily Sale entry '!$Z$2:$Z$1501,"Online collection 网上收款"))</f>
        <v/>
      </c>
      <c r="F149" s="6">
        <f>IF($A149="","",SUMIFS('Debtor Ledger'!$K$2:$K$3001,'Debtor Ledger'!$C$2:$C$3001,$A149))</f>
        <v/>
      </c>
      <c r="G149" s="6">
        <f>IF($A149="","",ROUND(B149+C149-D149-E149-F149,2))</f>
        <v/>
      </c>
    </row>
    <row r="150">
      <c r="A150">
        <f>IF('Opening Balance'!I149="","",'Opening Balance'!I149)</f>
        <v/>
      </c>
      <c r="B150" s="6">
        <f>IF($A150="","",SUMIFS('Opening Balance'!$F$4:$F$303,'Opening Balance'!$G$4:$G$303,$A150))</f>
        <v/>
      </c>
      <c r="C150" s="6">
        <f>IF($A150="","",SUMIFS('Daily Sale entry '!$S$2:$S$1501,'Daily Sale entry '!$P$2:$P$1501,$A150,'Daily Sale entry '!$Q$2:$Q$1501,"Credit Sale 赊销"))</f>
        <v/>
      </c>
      <c r="D150" s="6">
        <f>IF($A150="","",SUMIFS('Daily Sale entry '!$S$2:$S$1501,'Daily Sale entry '!$P$2:$P$1501,$A150,'Daily Sale entry '!$Q$2:$Q$1501,"Collection 收款"))</f>
        <v/>
      </c>
      <c r="E150" s="6">
        <f>IF($A150="","",SUMIFS('Daily Sale entry '!$AC$2:$AC$1501,'Daily Sale entry '!$AA$2:$AA$1501,$A150,'Daily Sale entry '!$Z$2:$Z$1501,"Online collection 网上收款"))</f>
        <v/>
      </c>
      <c r="F150" s="6">
        <f>IF($A150="","",SUMIFS('Debtor Ledger'!$K$2:$K$3001,'Debtor Ledger'!$C$2:$C$3001,$A150))</f>
        <v/>
      </c>
      <c r="G150" s="6">
        <f>IF($A150="","",ROUND(B150+C150-D150-E150-F150,2))</f>
        <v/>
      </c>
    </row>
    <row r="151">
      <c r="A151">
        <f>IF('Opening Balance'!I150="","",'Opening Balance'!I150)</f>
        <v/>
      </c>
      <c r="B151" s="6">
        <f>IF($A151="","",SUMIFS('Opening Balance'!$F$4:$F$303,'Opening Balance'!$G$4:$G$303,$A151))</f>
        <v/>
      </c>
      <c r="C151" s="6">
        <f>IF($A151="","",SUMIFS('Daily Sale entry '!$S$2:$S$1501,'Daily Sale entry '!$P$2:$P$1501,$A151,'Daily Sale entry '!$Q$2:$Q$1501,"Credit Sale 赊销"))</f>
        <v/>
      </c>
      <c r="D151" s="6">
        <f>IF($A151="","",SUMIFS('Daily Sale entry '!$S$2:$S$1501,'Daily Sale entry '!$P$2:$P$1501,$A151,'Daily Sale entry '!$Q$2:$Q$1501,"Collection 收款"))</f>
        <v/>
      </c>
      <c r="E151" s="6">
        <f>IF($A151="","",SUMIFS('Daily Sale entry '!$AC$2:$AC$1501,'Daily Sale entry '!$AA$2:$AA$1501,$A151,'Daily Sale entry '!$Z$2:$Z$1501,"Online collection 网上收款"))</f>
        <v/>
      </c>
      <c r="F151" s="6">
        <f>IF($A151="","",SUMIFS('Debtor Ledger'!$K$2:$K$3001,'Debtor Ledger'!$C$2:$C$3001,$A151))</f>
        <v/>
      </c>
      <c r="G151" s="6">
        <f>IF($A151="","",ROUND(B151+C151-D151-E151-F151,2))</f>
        <v/>
      </c>
    </row>
    <row r="152">
      <c r="A152">
        <f>IF('Opening Balance'!I151="","",'Opening Balance'!I151)</f>
        <v/>
      </c>
      <c r="B152" s="6">
        <f>IF($A152="","",SUMIFS('Opening Balance'!$F$4:$F$303,'Opening Balance'!$G$4:$G$303,$A152))</f>
        <v/>
      </c>
      <c r="C152" s="6">
        <f>IF($A152="","",SUMIFS('Daily Sale entry '!$S$2:$S$1501,'Daily Sale entry '!$P$2:$P$1501,$A152,'Daily Sale entry '!$Q$2:$Q$1501,"Credit Sale 赊销"))</f>
        <v/>
      </c>
      <c r="D152" s="6">
        <f>IF($A152="","",SUMIFS('Daily Sale entry '!$S$2:$S$1501,'Daily Sale entry '!$P$2:$P$1501,$A152,'Daily Sale entry '!$Q$2:$Q$1501,"Collection 收款"))</f>
        <v/>
      </c>
      <c r="E152" s="6">
        <f>IF($A152="","",SUMIFS('Daily Sale entry '!$AC$2:$AC$1501,'Daily Sale entry '!$AA$2:$AA$1501,$A152,'Daily Sale entry '!$Z$2:$Z$1501,"Online collection 网上收款"))</f>
        <v/>
      </c>
      <c r="F152" s="6">
        <f>IF($A152="","",SUMIFS('Debtor Ledger'!$K$2:$K$3001,'Debtor Ledger'!$C$2:$C$3001,$A152))</f>
        <v/>
      </c>
      <c r="G152" s="6">
        <f>IF($A152="","",ROUND(B152+C152-D152-E152-F152,2))</f>
        <v/>
      </c>
    </row>
    <row r="153">
      <c r="A153">
        <f>IF('Opening Balance'!I152="","",'Opening Balance'!I152)</f>
        <v/>
      </c>
      <c r="B153" s="6">
        <f>IF($A153="","",SUMIFS('Opening Balance'!$F$4:$F$303,'Opening Balance'!$G$4:$G$303,$A153))</f>
        <v/>
      </c>
      <c r="C153" s="6">
        <f>IF($A153="","",SUMIFS('Daily Sale entry '!$S$2:$S$1501,'Daily Sale entry '!$P$2:$P$1501,$A153,'Daily Sale entry '!$Q$2:$Q$1501,"Credit Sale 赊销"))</f>
        <v/>
      </c>
      <c r="D153" s="6">
        <f>IF($A153="","",SUMIFS('Daily Sale entry '!$S$2:$S$1501,'Daily Sale entry '!$P$2:$P$1501,$A153,'Daily Sale entry '!$Q$2:$Q$1501,"Collection 收款"))</f>
        <v/>
      </c>
      <c r="E153" s="6">
        <f>IF($A153="","",SUMIFS('Daily Sale entry '!$AC$2:$AC$1501,'Daily Sale entry '!$AA$2:$AA$1501,$A153,'Daily Sale entry '!$Z$2:$Z$1501,"Online collection 网上收款"))</f>
        <v/>
      </c>
      <c r="F153" s="6">
        <f>IF($A153="","",SUMIFS('Debtor Ledger'!$K$2:$K$3001,'Debtor Ledger'!$C$2:$C$3001,$A153))</f>
        <v/>
      </c>
      <c r="G153" s="6">
        <f>IF($A153="","",ROUND(B153+C153-D153-E153-F153,2))</f>
        <v/>
      </c>
    </row>
    <row r="154">
      <c r="A154">
        <f>IF('Opening Balance'!I153="","",'Opening Balance'!I153)</f>
        <v/>
      </c>
      <c r="B154" s="6">
        <f>IF($A154="","",SUMIFS('Opening Balance'!$F$4:$F$303,'Opening Balance'!$G$4:$G$303,$A154))</f>
        <v/>
      </c>
      <c r="C154" s="6">
        <f>IF($A154="","",SUMIFS('Daily Sale entry '!$S$2:$S$1501,'Daily Sale entry '!$P$2:$P$1501,$A154,'Daily Sale entry '!$Q$2:$Q$1501,"Credit Sale 赊销"))</f>
        <v/>
      </c>
      <c r="D154" s="6">
        <f>IF($A154="","",SUMIFS('Daily Sale entry '!$S$2:$S$1501,'Daily Sale entry '!$P$2:$P$1501,$A154,'Daily Sale entry '!$Q$2:$Q$1501,"Collection 收款"))</f>
        <v/>
      </c>
      <c r="E154" s="6">
        <f>IF($A154="","",SUMIFS('Daily Sale entry '!$AC$2:$AC$1501,'Daily Sale entry '!$AA$2:$AA$1501,$A154,'Daily Sale entry '!$Z$2:$Z$1501,"Online collection 网上收款"))</f>
        <v/>
      </c>
      <c r="F154" s="6">
        <f>IF($A154="","",SUMIFS('Debtor Ledger'!$K$2:$K$3001,'Debtor Ledger'!$C$2:$C$3001,$A154))</f>
        <v/>
      </c>
      <c r="G154" s="6">
        <f>IF($A154="","",ROUND(B154+C154-D154-E154-F154,2))</f>
        <v/>
      </c>
    </row>
    <row r="155">
      <c r="A155">
        <f>IF('Opening Balance'!I154="","",'Opening Balance'!I154)</f>
        <v/>
      </c>
      <c r="B155" s="6">
        <f>IF($A155="","",SUMIFS('Opening Balance'!$F$4:$F$303,'Opening Balance'!$G$4:$G$303,$A155))</f>
        <v/>
      </c>
      <c r="C155" s="6">
        <f>IF($A155="","",SUMIFS('Daily Sale entry '!$S$2:$S$1501,'Daily Sale entry '!$P$2:$P$1501,$A155,'Daily Sale entry '!$Q$2:$Q$1501,"Credit Sale 赊销"))</f>
        <v/>
      </c>
      <c r="D155" s="6">
        <f>IF($A155="","",SUMIFS('Daily Sale entry '!$S$2:$S$1501,'Daily Sale entry '!$P$2:$P$1501,$A155,'Daily Sale entry '!$Q$2:$Q$1501,"Collection 收款"))</f>
        <v/>
      </c>
      <c r="E155" s="6">
        <f>IF($A155="","",SUMIFS('Daily Sale entry '!$AC$2:$AC$1501,'Daily Sale entry '!$AA$2:$AA$1501,$A155,'Daily Sale entry '!$Z$2:$Z$1501,"Online collection 网上收款"))</f>
        <v/>
      </c>
      <c r="F155" s="6">
        <f>IF($A155="","",SUMIFS('Debtor Ledger'!$K$2:$K$3001,'Debtor Ledger'!$C$2:$C$3001,$A155))</f>
        <v/>
      </c>
      <c r="G155" s="6">
        <f>IF($A155="","",ROUND(B155+C155-D155-E155-F155,2))</f>
        <v/>
      </c>
    </row>
    <row r="156">
      <c r="A156">
        <f>IF('Opening Balance'!I155="","",'Opening Balance'!I155)</f>
        <v/>
      </c>
      <c r="B156" s="6">
        <f>IF($A156="","",SUMIFS('Opening Balance'!$F$4:$F$303,'Opening Balance'!$G$4:$G$303,$A156))</f>
        <v/>
      </c>
      <c r="C156" s="6">
        <f>IF($A156="","",SUMIFS('Daily Sale entry '!$S$2:$S$1501,'Daily Sale entry '!$P$2:$P$1501,$A156,'Daily Sale entry '!$Q$2:$Q$1501,"Credit Sale 赊销"))</f>
        <v/>
      </c>
      <c r="D156" s="6">
        <f>IF($A156="","",SUMIFS('Daily Sale entry '!$S$2:$S$1501,'Daily Sale entry '!$P$2:$P$1501,$A156,'Daily Sale entry '!$Q$2:$Q$1501,"Collection 收款"))</f>
        <v/>
      </c>
      <c r="E156" s="6">
        <f>IF($A156="","",SUMIFS('Daily Sale entry '!$AC$2:$AC$1501,'Daily Sale entry '!$AA$2:$AA$1501,$A156,'Daily Sale entry '!$Z$2:$Z$1501,"Online collection 网上收款"))</f>
        <v/>
      </c>
      <c r="F156" s="6">
        <f>IF($A156="","",SUMIFS('Debtor Ledger'!$K$2:$K$3001,'Debtor Ledger'!$C$2:$C$3001,$A156))</f>
        <v/>
      </c>
      <c r="G156" s="6">
        <f>IF($A156="","",ROUND(B156+C156-D156-E156-F156,2))</f>
        <v/>
      </c>
    </row>
    <row r="157">
      <c r="A157">
        <f>IF('Opening Balance'!I156="","",'Opening Balance'!I156)</f>
        <v/>
      </c>
      <c r="B157" s="6">
        <f>IF($A157="","",SUMIFS('Opening Balance'!$F$4:$F$303,'Opening Balance'!$G$4:$G$303,$A157))</f>
        <v/>
      </c>
      <c r="C157" s="6">
        <f>IF($A157="","",SUMIFS('Daily Sale entry '!$S$2:$S$1501,'Daily Sale entry '!$P$2:$P$1501,$A157,'Daily Sale entry '!$Q$2:$Q$1501,"Credit Sale 赊销"))</f>
        <v/>
      </c>
      <c r="D157" s="6">
        <f>IF($A157="","",SUMIFS('Daily Sale entry '!$S$2:$S$1501,'Daily Sale entry '!$P$2:$P$1501,$A157,'Daily Sale entry '!$Q$2:$Q$1501,"Collection 收款"))</f>
        <v/>
      </c>
      <c r="E157" s="6">
        <f>IF($A157="","",SUMIFS('Daily Sale entry '!$AC$2:$AC$1501,'Daily Sale entry '!$AA$2:$AA$1501,$A157,'Daily Sale entry '!$Z$2:$Z$1501,"Online collection 网上收款"))</f>
        <v/>
      </c>
      <c r="F157" s="6">
        <f>IF($A157="","",SUMIFS('Debtor Ledger'!$K$2:$K$3001,'Debtor Ledger'!$C$2:$C$3001,$A157))</f>
        <v/>
      </c>
      <c r="G157" s="6">
        <f>IF($A157="","",ROUND(B157+C157-D157-E157-F157,2))</f>
        <v/>
      </c>
    </row>
    <row r="158">
      <c r="A158">
        <f>IF('Opening Balance'!I157="","",'Opening Balance'!I157)</f>
        <v/>
      </c>
      <c r="B158" s="6">
        <f>IF($A158="","",SUMIFS('Opening Balance'!$F$4:$F$303,'Opening Balance'!$G$4:$G$303,$A158))</f>
        <v/>
      </c>
      <c r="C158" s="6">
        <f>IF($A158="","",SUMIFS('Daily Sale entry '!$S$2:$S$1501,'Daily Sale entry '!$P$2:$P$1501,$A158,'Daily Sale entry '!$Q$2:$Q$1501,"Credit Sale 赊销"))</f>
        <v/>
      </c>
      <c r="D158" s="6">
        <f>IF($A158="","",SUMIFS('Daily Sale entry '!$S$2:$S$1501,'Daily Sale entry '!$P$2:$P$1501,$A158,'Daily Sale entry '!$Q$2:$Q$1501,"Collection 收款"))</f>
        <v/>
      </c>
      <c r="E158" s="6">
        <f>IF($A158="","",SUMIFS('Daily Sale entry '!$AC$2:$AC$1501,'Daily Sale entry '!$AA$2:$AA$1501,$A158,'Daily Sale entry '!$Z$2:$Z$1501,"Online collection 网上收款"))</f>
        <v/>
      </c>
      <c r="F158" s="6">
        <f>IF($A158="","",SUMIFS('Debtor Ledger'!$K$2:$K$3001,'Debtor Ledger'!$C$2:$C$3001,$A158))</f>
        <v/>
      </c>
      <c r="G158" s="6">
        <f>IF($A158="","",ROUND(B158+C158-D158-E158-F158,2))</f>
        <v/>
      </c>
    </row>
    <row r="159">
      <c r="A159">
        <f>IF('Opening Balance'!I158="","",'Opening Balance'!I158)</f>
        <v/>
      </c>
      <c r="B159" s="6">
        <f>IF($A159="","",SUMIFS('Opening Balance'!$F$4:$F$303,'Opening Balance'!$G$4:$G$303,$A159))</f>
        <v/>
      </c>
      <c r="C159" s="6">
        <f>IF($A159="","",SUMIFS('Daily Sale entry '!$S$2:$S$1501,'Daily Sale entry '!$P$2:$P$1501,$A159,'Daily Sale entry '!$Q$2:$Q$1501,"Credit Sale 赊销"))</f>
        <v/>
      </c>
      <c r="D159" s="6">
        <f>IF($A159="","",SUMIFS('Daily Sale entry '!$S$2:$S$1501,'Daily Sale entry '!$P$2:$P$1501,$A159,'Daily Sale entry '!$Q$2:$Q$1501,"Collection 收款"))</f>
        <v/>
      </c>
      <c r="E159" s="6">
        <f>IF($A159="","",SUMIFS('Daily Sale entry '!$AC$2:$AC$1501,'Daily Sale entry '!$AA$2:$AA$1501,$A159,'Daily Sale entry '!$Z$2:$Z$1501,"Online collection 网上收款"))</f>
        <v/>
      </c>
      <c r="F159" s="6">
        <f>IF($A159="","",SUMIFS('Debtor Ledger'!$K$2:$K$3001,'Debtor Ledger'!$C$2:$C$3001,$A159))</f>
        <v/>
      </c>
      <c r="G159" s="6">
        <f>IF($A159="","",ROUND(B159+C159-D159-E159-F159,2))</f>
        <v/>
      </c>
    </row>
    <row r="160">
      <c r="A160">
        <f>IF('Opening Balance'!I159="","",'Opening Balance'!I159)</f>
        <v/>
      </c>
      <c r="B160" s="6">
        <f>IF($A160="","",SUMIFS('Opening Balance'!$F$4:$F$303,'Opening Balance'!$G$4:$G$303,$A160))</f>
        <v/>
      </c>
      <c r="C160" s="6">
        <f>IF($A160="","",SUMIFS('Daily Sale entry '!$S$2:$S$1501,'Daily Sale entry '!$P$2:$P$1501,$A160,'Daily Sale entry '!$Q$2:$Q$1501,"Credit Sale 赊销"))</f>
        <v/>
      </c>
      <c r="D160" s="6">
        <f>IF($A160="","",SUMIFS('Daily Sale entry '!$S$2:$S$1501,'Daily Sale entry '!$P$2:$P$1501,$A160,'Daily Sale entry '!$Q$2:$Q$1501,"Collection 收款"))</f>
        <v/>
      </c>
      <c r="E160" s="6">
        <f>IF($A160="","",SUMIFS('Daily Sale entry '!$AC$2:$AC$1501,'Daily Sale entry '!$AA$2:$AA$1501,$A160,'Daily Sale entry '!$Z$2:$Z$1501,"Online collection 网上收款"))</f>
        <v/>
      </c>
      <c r="F160" s="6">
        <f>IF($A160="","",SUMIFS('Debtor Ledger'!$K$2:$K$3001,'Debtor Ledger'!$C$2:$C$3001,$A160))</f>
        <v/>
      </c>
      <c r="G160" s="6">
        <f>IF($A160="","",ROUND(B160+C160-D160-E160-F160,2))</f>
        <v/>
      </c>
    </row>
    <row r="161">
      <c r="A161">
        <f>IF('Opening Balance'!I160="","",'Opening Balance'!I160)</f>
        <v/>
      </c>
      <c r="B161" s="6">
        <f>IF($A161="","",SUMIFS('Opening Balance'!$F$4:$F$303,'Opening Balance'!$G$4:$G$303,$A161))</f>
        <v/>
      </c>
      <c r="C161" s="6">
        <f>IF($A161="","",SUMIFS('Daily Sale entry '!$S$2:$S$1501,'Daily Sale entry '!$P$2:$P$1501,$A161,'Daily Sale entry '!$Q$2:$Q$1501,"Credit Sale 赊销"))</f>
        <v/>
      </c>
      <c r="D161" s="6">
        <f>IF($A161="","",SUMIFS('Daily Sale entry '!$S$2:$S$1501,'Daily Sale entry '!$P$2:$P$1501,$A161,'Daily Sale entry '!$Q$2:$Q$1501,"Collection 收款"))</f>
        <v/>
      </c>
      <c r="E161" s="6">
        <f>IF($A161="","",SUMIFS('Daily Sale entry '!$AC$2:$AC$1501,'Daily Sale entry '!$AA$2:$AA$1501,$A161,'Daily Sale entry '!$Z$2:$Z$1501,"Online collection 网上收款"))</f>
        <v/>
      </c>
      <c r="F161" s="6">
        <f>IF($A161="","",SUMIFS('Debtor Ledger'!$K$2:$K$3001,'Debtor Ledger'!$C$2:$C$3001,$A161))</f>
        <v/>
      </c>
      <c r="G161" s="6">
        <f>IF($A161="","",ROUND(B161+C161-D161-E161-F161,2))</f>
        <v/>
      </c>
    </row>
    <row r="162">
      <c r="A162">
        <f>IF('Opening Balance'!I161="","",'Opening Balance'!I161)</f>
        <v/>
      </c>
      <c r="B162" s="6">
        <f>IF($A162="","",SUMIFS('Opening Balance'!$F$4:$F$303,'Opening Balance'!$G$4:$G$303,$A162))</f>
        <v/>
      </c>
      <c r="C162" s="6">
        <f>IF($A162="","",SUMIFS('Daily Sale entry '!$S$2:$S$1501,'Daily Sale entry '!$P$2:$P$1501,$A162,'Daily Sale entry '!$Q$2:$Q$1501,"Credit Sale 赊销"))</f>
        <v/>
      </c>
      <c r="D162" s="6">
        <f>IF($A162="","",SUMIFS('Daily Sale entry '!$S$2:$S$1501,'Daily Sale entry '!$P$2:$P$1501,$A162,'Daily Sale entry '!$Q$2:$Q$1501,"Collection 收款"))</f>
        <v/>
      </c>
      <c r="E162" s="6">
        <f>IF($A162="","",SUMIFS('Daily Sale entry '!$AC$2:$AC$1501,'Daily Sale entry '!$AA$2:$AA$1501,$A162,'Daily Sale entry '!$Z$2:$Z$1501,"Online collection 网上收款"))</f>
        <v/>
      </c>
      <c r="F162" s="6">
        <f>IF($A162="","",SUMIFS('Debtor Ledger'!$K$2:$K$3001,'Debtor Ledger'!$C$2:$C$3001,$A162))</f>
        <v/>
      </c>
      <c r="G162" s="6">
        <f>IF($A162="","",ROUND(B162+C162-D162-E162-F162,2))</f>
        <v/>
      </c>
    </row>
    <row r="163">
      <c r="A163">
        <f>IF('Opening Balance'!I162="","",'Opening Balance'!I162)</f>
        <v/>
      </c>
      <c r="B163" s="6">
        <f>IF($A163="","",SUMIFS('Opening Balance'!$F$4:$F$303,'Opening Balance'!$G$4:$G$303,$A163))</f>
        <v/>
      </c>
      <c r="C163" s="6">
        <f>IF($A163="","",SUMIFS('Daily Sale entry '!$S$2:$S$1501,'Daily Sale entry '!$P$2:$P$1501,$A163,'Daily Sale entry '!$Q$2:$Q$1501,"Credit Sale 赊销"))</f>
        <v/>
      </c>
      <c r="D163" s="6">
        <f>IF($A163="","",SUMIFS('Daily Sale entry '!$S$2:$S$1501,'Daily Sale entry '!$P$2:$P$1501,$A163,'Daily Sale entry '!$Q$2:$Q$1501,"Collection 收款"))</f>
        <v/>
      </c>
      <c r="E163" s="6">
        <f>IF($A163="","",SUMIFS('Daily Sale entry '!$AC$2:$AC$1501,'Daily Sale entry '!$AA$2:$AA$1501,$A163,'Daily Sale entry '!$Z$2:$Z$1501,"Online collection 网上收款"))</f>
        <v/>
      </c>
      <c r="F163" s="6">
        <f>IF($A163="","",SUMIFS('Debtor Ledger'!$K$2:$K$3001,'Debtor Ledger'!$C$2:$C$3001,$A163))</f>
        <v/>
      </c>
      <c r="G163" s="6">
        <f>IF($A163="","",ROUND(B163+C163-D163-E163-F163,2))</f>
        <v/>
      </c>
    </row>
    <row r="164">
      <c r="A164">
        <f>IF('Opening Balance'!I163="","",'Opening Balance'!I163)</f>
        <v/>
      </c>
      <c r="B164" s="6">
        <f>IF($A164="","",SUMIFS('Opening Balance'!$F$4:$F$303,'Opening Balance'!$G$4:$G$303,$A164))</f>
        <v/>
      </c>
      <c r="C164" s="6">
        <f>IF($A164="","",SUMIFS('Daily Sale entry '!$S$2:$S$1501,'Daily Sale entry '!$P$2:$P$1501,$A164,'Daily Sale entry '!$Q$2:$Q$1501,"Credit Sale 赊销"))</f>
        <v/>
      </c>
      <c r="D164" s="6">
        <f>IF($A164="","",SUMIFS('Daily Sale entry '!$S$2:$S$1501,'Daily Sale entry '!$P$2:$P$1501,$A164,'Daily Sale entry '!$Q$2:$Q$1501,"Collection 收款"))</f>
        <v/>
      </c>
      <c r="E164" s="6">
        <f>IF($A164="","",SUMIFS('Daily Sale entry '!$AC$2:$AC$1501,'Daily Sale entry '!$AA$2:$AA$1501,$A164,'Daily Sale entry '!$Z$2:$Z$1501,"Online collection 网上收款"))</f>
        <v/>
      </c>
      <c r="F164" s="6">
        <f>IF($A164="","",SUMIFS('Debtor Ledger'!$K$2:$K$3001,'Debtor Ledger'!$C$2:$C$3001,$A164))</f>
        <v/>
      </c>
      <c r="G164" s="6">
        <f>IF($A164="","",ROUND(B164+C164-D164-E164-F164,2))</f>
        <v/>
      </c>
    </row>
    <row r="165">
      <c r="A165">
        <f>IF('Opening Balance'!I164="","",'Opening Balance'!I164)</f>
        <v/>
      </c>
      <c r="B165" s="6">
        <f>IF($A165="","",SUMIFS('Opening Balance'!$F$4:$F$303,'Opening Balance'!$G$4:$G$303,$A165))</f>
        <v/>
      </c>
      <c r="C165" s="6">
        <f>IF($A165="","",SUMIFS('Daily Sale entry '!$S$2:$S$1501,'Daily Sale entry '!$P$2:$P$1501,$A165,'Daily Sale entry '!$Q$2:$Q$1501,"Credit Sale 赊销"))</f>
        <v/>
      </c>
      <c r="D165" s="6">
        <f>IF($A165="","",SUMIFS('Daily Sale entry '!$S$2:$S$1501,'Daily Sale entry '!$P$2:$P$1501,$A165,'Daily Sale entry '!$Q$2:$Q$1501,"Collection 收款"))</f>
        <v/>
      </c>
      <c r="E165" s="6">
        <f>IF($A165="","",SUMIFS('Daily Sale entry '!$AC$2:$AC$1501,'Daily Sale entry '!$AA$2:$AA$1501,$A165,'Daily Sale entry '!$Z$2:$Z$1501,"Online collection 网上收款"))</f>
        <v/>
      </c>
      <c r="F165" s="6">
        <f>IF($A165="","",SUMIFS('Debtor Ledger'!$K$2:$K$3001,'Debtor Ledger'!$C$2:$C$3001,$A165))</f>
        <v/>
      </c>
      <c r="G165" s="6">
        <f>IF($A165="","",ROUND(B165+C165-D165-E165-F165,2))</f>
        <v/>
      </c>
    </row>
    <row r="166">
      <c r="A166">
        <f>IF('Opening Balance'!I165="","",'Opening Balance'!I165)</f>
        <v/>
      </c>
      <c r="B166" s="6">
        <f>IF($A166="","",SUMIFS('Opening Balance'!$F$4:$F$303,'Opening Balance'!$G$4:$G$303,$A166))</f>
        <v/>
      </c>
      <c r="C166" s="6">
        <f>IF($A166="","",SUMIFS('Daily Sale entry '!$S$2:$S$1501,'Daily Sale entry '!$P$2:$P$1501,$A166,'Daily Sale entry '!$Q$2:$Q$1501,"Credit Sale 赊销"))</f>
        <v/>
      </c>
      <c r="D166" s="6">
        <f>IF($A166="","",SUMIFS('Daily Sale entry '!$S$2:$S$1501,'Daily Sale entry '!$P$2:$P$1501,$A166,'Daily Sale entry '!$Q$2:$Q$1501,"Collection 收款"))</f>
        <v/>
      </c>
      <c r="E166" s="6">
        <f>IF($A166="","",SUMIFS('Daily Sale entry '!$AC$2:$AC$1501,'Daily Sale entry '!$AA$2:$AA$1501,$A166,'Daily Sale entry '!$Z$2:$Z$1501,"Online collection 网上收款"))</f>
        <v/>
      </c>
      <c r="F166" s="6">
        <f>IF($A166="","",SUMIFS('Debtor Ledger'!$K$2:$K$3001,'Debtor Ledger'!$C$2:$C$3001,$A166))</f>
        <v/>
      </c>
      <c r="G166" s="6">
        <f>IF($A166="","",ROUND(B166+C166-D166-E166-F166,2))</f>
        <v/>
      </c>
    </row>
    <row r="167">
      <c r="A167">
        <f>IF('Opening Balance'!I166="","",'Opening Balance'!I166)</f>
        <v/>
      </c>
      <c r="B167" s="6">
        <f>IF($A167="","",SUMIFS('Opening Balance'!$F$4:$F$303,'Opening Balance'!$G$4:$G$303,$A167))</f>
        <v/>
      </c>
      <c r="C167" s="6">
        <f>IF($A167="","",SUMIFS('Daily Sale entry '!$S$2:$S$1501,'Daily Sale entry '!$P$2:$P$1501,$A167,'Daily Sale entry '!$Q$2:$Q$1501,"Credit Sale 赊销"))</f>
        <v/>
      </c>
      <c r="D167" s="6">
        <f>IF($A167="","",SUMIFS('Daily Sale entry '!$S$2:$S$1501,'Daily Sale entry '!$P$2:$P$1501,$A167,'Daily Sale entry '!$Q$2:$Q$1501,"Collection 收款"))</f>
        <v/>
      </c>
      <c r="E167" s="6">
        <f>IF($A167="","",SUMIFS('Daily Sale entry '!$AC$2:$AC$1501,'Daily Sale entry '!$AA$2:$AA$1501,$A167,'Daily Sale entry '!$Z$2:$Z$1501,"Online collection 网上收款"))</f>
        <v/>
      </c>
      <c r="F167" s="6">
        <f>IF($A167="","",SUMIFS('Debtor Ledger'!$K$2:$K$3001,'Debtor Ledger'!$C$2:$C$3001,$A167))</f>
        <v/>
      </c>
      <c r="G167" s="6">
        <f>IF($A167="","",ROUND(B167+C167-D167-E167-F167,2))</f>
        <v/>
      </c>
    </row>
    <row r="168">
      <c r="A168">
        <f>IF('Opening Balance'!I167="","",'Opening Balance'!I167)</f>
        <v/>
      </c>
      <c r="B168" s="6">
        <f>IF($A168="","",SUMIFS('Opening Balance'!$F$4:$F$303,'Opening Balance'!$G$4:$G$303,$A168))</f>
        <v/>
      </c>
      <c r="C168" s="6">
        <f>IF($A168="","",SUMIFS('Daily Sale entry '!$S$2:$S$1501,'Daily Sale entry '!$P$2:$P$1501,$A168,'Daily Sale entry '!$Q$2:$Q$1501,"Credit Sale 赊销"))</f>
        <v/>
      </c>
      <c r="D168" s="6">
        <f>IF($A168="","",SUMIFS('Daily Sale entry '!$S$2:$S$1501,'Daily Sale entry '!$P$2:$P$1501,$A168,'Daily Sale entry '!$Q$2:$Q$1501,"Collection 收款"))</f>
        <v/>
      </c>
      <c r="E168" s="6">
        <f>IF($A168="","",SUMIFS('Daily Sale entry '!$AC$2:$AC$1501,'Daily Sale entry '!$AA$2:$AA$1501,$A168,'Daily Sale entry '!$Z$2:$Z$1501,"Online collection 网上收款"))</f>
        <v/>
      </c>
      <c r="F168" s="6">
        <f>IF($A168="","",SUMIFS('Debtor Ledger'!$K$2:$K$3001,'Debtor Ledger'!$C$2:$C$3001,$A168))</f>
        <v/>
      </c>
      <c r="G168" s="6">
        <f>IF($A168="","",ROUND(B168+C168-D168-E168-F168,2))</f>
        <v/>
      </c>
    </row>
    <row r="169">
      <c r="A169">
        <f>IF('Opening Balance'!I168="","",'Opening Balance'!I168)</f>
        <v/>
      </c>
      <c r="B169" s="6">
        <f>IF($A169="","",SUMIFS('Opening Balance'!$F$4:$F$303,'Opening Balance'!$G$4:$G$303,$A169))</f>
        <v/>
      </c>
      <c r="C169" s="6">
        <f>IF($A169="","",SUMIFS('Daily Sale entry '!$S$2:$S$1501,'Daily Sale entry '!$P$2:$P$1501,$A169,'Daily Sale entry '!$Q$2:$Q$1501,"Credit Sale 赊销"))</f>
        <v/>
      </c>
      <c r="D169" s="6">
        <f>IF($A169="","",SUMIFS('Daily Sale entry '!$S$2:$S$1501,'Daily Sale entry '!$P$2:$P$1501,$A169,'Daily Sale entry '!$Q$2:$Q$1501,"Collection 收款"))</f>
        <v/>
      </c>
      <c r="E169" s="6">
        <f>IF($A169="","",SUMIFS('Daily Sale entry '!$AC$2:$AC$1501,'Daily Sale entry '!$AA$2:$AA$1501,$A169,'Daily Sale entry '!$Z$2:$Z$1501,"Online collection 网上收款"))</f>
        <v/>
      </c>
      <c r="F169" s="6">
        <f>IF($A169="","",SUMIFS('Debtor Ledger'!$K$2:$K$3001,'Debtor Ledger'!$C$2:$C$3001,$A169))</f>
        <v/>
      </c>
      <c r="G169" s="6">
        <f>IF($A169="","",ROUND(B169+C169-D169-E169-F169,2))</f>
        <v/>
      </c>
    </row>
    <row r="170">
      <c r="A170">
        <f>IF('Opening Balance'!I169="","",'Opening Balance'!I169)</f>
        <v/>
      </c>
      <c r="B170" s="6">
        <f>IF($A170="","",SUMIFS('Opening Balance'!$F$4:$F$303,'Opening Balance'!$G$4:$G$303,$A170))</f>
        <v/>
      </c>
      <c r="C170" s="6">
        <f>IF($A170="","",SUMIFS('Daily Sale entry '!$S$2:$S$1501,'Daily Sale entry '!$P$2:$P$1501,$A170,'Daily Sale entry '!$Q$2:$Q$1501,"Credit Sale 赊销"))</f>
        <v/>
      </c>
      <c r="D170" s="6">
        <f>IF($A170="","",SUMIFS('Daily Sale entry '!$S$2:$S$1501,'Daily Sale entry '!$P$2:$P$1501,$A170,'Daily Sale entry '!$Q$2:$Q$1501,"Collection 收款"))</f>
        <v/>
      </c>
      <c r="E170" s="6">
        <f>IF($A170="","",SUMIFS('Daily Sale entry '!$AC$2:$AC$1501,'Daily Sale entry '!$AA$2:$AA$1501,$A170,'Daily Sale entry '!$Z$2:$Z$1501,"Online collection 网上收款"))</f>
        <v/>
      </c>
      <c r="F170" s="6">
        <f>IF($A170="","",SUMIFS('Debtor Ledger'!$K$2:$K$3001,'Debtor Ledger'!$C$2:$C$3001,$A170))</f>
        <v/>
      </c>
      <c r="G170" s="6">
        <f>IF($A170="","",ROUND(B170+C170-D170-E170-F170,2))</f>
        <v/>
      </c>
    </row>
    <row r="171">
      <c r="A171">
        <f>IF('Opening Balance'!I170="","",'Opening Balance'!I170)</f>
        <v/>
      </c>
      <c r="B171" s="6">
        <f>IF($A171="","",SUMIFS('Opening Balance'!$F$4:$F$303,'Opening Balance'!$G$4:$G$303,$A171))</f>
        <v/>
      </c>
      <c r="C171" s="6">
        <f>IF($A171="","",SUMIFS('Daily Sale entry '!$S$2:$S$1501,'Daily Sale entry '!$P$2:$P$1501,$A171,'Daily Sale entry '!$Q$2:$Q$1501,"Credit Sale 赊销"))</f>
        <v/>
      </c>
      <c r="D171" s="6">
        <f>IF($A171="","",SUMIFS('Daily Sale entry '!$S$2:$S$1501,'Daily Sale entry '!$P$2:$P$1501,$A171,'Daily Sale entry '!$Q$2:$Q$1501,"Collection 收款"))</f>
        <v/>
      </c>
      <c r="E171" s="6">
        <f>IF($A171="","",SUMIFS('Daily Sale entry '!$AC$2:$AC$1501,'Daily Sale entry '!$AA$2:$AA$1501,$A171,'Daily Sale entry '!$Z$2:$Z$1501,"Online collection 网上收款"))</f>
        <v/>
      </c>
      <c r="F171" s="6">
        <f>IF($A171="","",SUMIFS('Debtor Ledger'!$K$2:$K$3001,'Debtor Ledger'!$C$2:$C$3001,$A171))</f>
        <v/>
      </c>
      <c r="G171" s="6">
        <f>IF($A171="","",ROUND(B171+C171-D171-E171-F171,2))</f>
        <v/>
      </c>
    </row>
    <row r="172">
      <c r="A172">
        <f>IF('Opening Balance'!I171="","",'Opening Balance'!I171)</f>
        <v/>
      </c>
      <c r="B172" s="6">
        <f>IF($A172="","",SUMIFS('Opening Balance'!$F$4:$F$303,'Opening Balance'!$G$4:$G$303,$A172))</f>
        <v/>
      </c>
      <c r="C172" s="6">
        <f>IF($A172="","",SUMIFS('Daily Sale entry '!$S$2:$S$1501,'Daily Sale entry '!$P$2:$P$1501,$A172,'Daily Sale entry '!$Q$2:$Q$1501,"Credit Sale 赊销"))</f>
        <v/>
      </c>
      <c r="D172" s="6">
        <f>IF($A172="","",SUMIFS('Daily Sale entry '!$S$2:$S$1501,'Daily Sale entry '!$P$2:$P$1501,$A172,'Daily Sale entry '!$Q$2:$Q$1501,"Collection 收款"))</f>
        <v/>
      </c>
      <c r="E172" s="6">
        <f>IF($A172="","",SUMIFS('Daily Sale entry '!$AC$2:$AC$1501,'Daily Sale entry '!$AA$2:$AA$1501,$A172,'Daily Sale entry '!$Z$2:$Z$1501,"Online collection 网上收款"))</f>
        <v/>
      </c>
      <c r="F172" s="6">
        <f>IF($A172="","",SUMIFS('Debtor Ledger'!$K$2:$K$3001,'Debtor Ledger'!$C$2:$C$3001,$A172))</f>
        <v/>
      </c>
      <c r="G172" s="6">
        <f>IF($A172="","",ROUND(B172+C172-D172-E172-F172,2))</f>
        <v/>
      </c>
    </row>
    <row r="173">
      <c r="A173">
        <f>IF('Opening Balance'!I172="","",'Opening Balance'!I172)</f>
        <v/>
      </c>
      <c r="B173" s="6">
        <f>IF($A173="","",SUMIFS('Opening Balance'!$F$4:$F$303,'Opening Balance'!$G$4:$G$303,$A173))</f>
        <v/>
      </c>
      <c r="C173" s="6">
        <f>IF($A173="","",SUMIFS('Daily Sale entry '!$S$2:$S$1501,'Daily Sale entry '!$P$2:$P$1501,$A173,'Daily Sale entry '!$Q$2:$Q$1501,"Credit Sale 赊销"))</f>
        <v/>
      </c>
      <c r="D173" s="6">
        <f>IF($A173="","",SUMIFS('Daily Sale entry '!$S$2:$S$1501,'Daily Sale entry '!$P$2:$P$1501,$A173,'Daily Sale entry '!$Q$2:$Q$1501,"Collection 收款"))</f>
        <v/>
      </c>
      <c r="E173" s="6">
        <f>IF($A173="","",SUMIFS('Daily Sale entry '!$AC$2:$AC$1501,'Daily Sale entry '!$AA$2:$AA$1501,$A173,'Daily Sale entry '!$Z$2:$Z$1501,"Online collection 网上收款"))</f>
        <v/>
      </c>
      <c r="F173" s="6">
        <f>IF($A173="","",SUMIFS('Debtor Ledger'!$K$2:$K$3001,'Debtor Ledger'!$C$2:$C$3001,$A173))</f>
        <v/>
      </c>
      <c r="G173" s="6">
        <f>IF($A173="","",ROUND(B173+C173-D173-E173-F173,2))</f>
        <v/>
      </c>
    </row>
    <row r="174">
      <c r="A174">
        <f>IF('Opening Balance'!I173="","",'Opening Balance'!I173)</f>
        <v/>
      </c>
      <c r="B174" s="6">
        <f>IF($A174="","",SUMIFS('Opening Balance'!$F$4:$F$303,'Opening Balance'!$G$4:$G$303,$A174))</f>
        <v/>
      </c>
      <c r="C174" s="6">
        <f>IF($A174="","",SUMIFS('Daily Sale entry '!$S$2:$S$1501,'Daily Sale entry '!$P$2:$P$1501,$A174,'Daily Sale entry '!$Q$2:$Q$1501,"Credit Sale 赊销"))</f>
        <v/>
      </c>
      <c r="D174" s="6">
        <f>IF($A174="","",SUMIFS('Daily Sale entry '!$S$2:$S$1501,'Daily Sale entry '!$P$2:$P$1501,$A174,'Daily Sale entry '!$Q$2:$Q$1501,"Collection 收款"))</f>
        <v/>
      </c>
      <c r="E174" s="6">
        <f>IF($A174="","",SUMIFS('Daily Sale entry '!$AC$2:$AC$1501,'Daily Sale entry '!$AA$2:$AA$1501,$A174,'Daily Sale entry '!$Z$2:$Z$1501,"Online collection 网上收款"))</f>
        <v/>
      </c>
      <c r="F174" s="6">
        <f>IF($A174="","",SUMIFS('Debtor Ledger'!$K$2:$K$3001,'Debtor Ledger'!$C$2:$C$3001,$A174))</f>
        <v/>
      </c>
      <c r="G174" s="6">
        <f>IF($A174="","",ROUND(B174+C174-D174-E174-F174,2))</f>
        <v/>
      </c>
    </row>
    <row r="175">
      <c r="A175">
        <f>IF('Opening Balance'!I174="","",'Opening Balance'!I174)</f>
        <v/>
      </c>
      <c r="B175" s="6">
        <f>IF($A175="","",SUMIFS('Opening Balance'!$F$4:$F$303,'Opening Balance'!$G$4:$G$303,$A175))</f>
        <v/>
      </c>
      <c r="C175" s="6">
        <f>IF($A175="","",SUMIFS('Daily Sale entry '!$S$2:$S$1501,'Daily Sale entry '!$P$2:$P$1501,$A175,'Daily Sale entry '!$Q$2:$Q$1501,"Credit Sale 赊销"))</f>
        <v/>
      </c>
      <c r="D175" s="6">
        <f>IF($A175="","",SUMIFS('Daily Sale entry '!$S$2:$S$1501,'Daily Sale entry '!$P$2:$P$1501,$A175,'Daily Sale entry '!$Q$2:$Q$1501,"Collection 收款"))</f>
        <v/>
      </c>
      <c r="E175" s="6">
        <f>IF($A175="","",SUMIFS('Daily Sale entry '!$AC$2:$AC$1501,'Daily Sale entry '!$AA$2:$AA$1501,$A175,'Daily Sale entry '!$Z$2:$Z$1501,"Online collection 网上收款"))</f>
        <v/>
      </c>
      <c r="F175" s="6">
        <f>IF($A175="","",SUMIFS('Debtor Ledger'!$K$2:$K$3001,'Debtor Ledger'!$C$2:$C$3001,$A175))</f>
        <v/>
      </c>
      <c r="G175" s="6">
        <f>IF($A175="","",ROUND(B175+C175-D175-E175-F175,2))</f>
        <v/>
      </c>
    </row>
    <row r="176">
      <c r="A176">
        <f>IF('Opening Balance'!I175="","",'Opening Balance'!I175)</f>
        <v/>
      </c>
      <c r="B176" s="6">
        <f>IF($A176="","",SUMIFS('Opening Balance'!$F$4:$F$303,'Opening Balance'!$G$4:$G$303,$A176))</f>
        <v/>
      </c>
      <c r="C176" s="6">
        <f>IF($A176="","",SUMIFS('Daily Sale entry '!$S$2:$S$1501,'Daily Sale entry '!$P$2:$P$1501,$A176,'Daily Sale entry '!$Q$2:$Q$1501,"Credit Sale 赊销"))</f>
        <v/>
      </c>
      <c r="D176" s="6">
        <f>IF($A176="","",SUMIFS('Daily Sale entry '!$S$2:$S$1501,'Daily Sale entry '!$P$2:$P$1501,$A176,'Daily Sale entry '!$Q$2:$Q$1501,"Collection 收款"))</f>
        <v/>
      </c>
      <c r="E176" s="6">
        <f>IF($A176="","",SUMIFS('Daily Sale entry '!$AC$2:$AC$1501,'Daily Sale entry '!$AA$2:$AA$1501,$A176,'Daily Sale entry '!$Z$2:$Z$1501,"Online collection 网上收款"))</f>
        <v/>
      </c>
      <c r="F176" s="6">
        <f>IF($A176="","",SUMIFS('Debtor Ledger'!$K$2:$K$3001,'Debtor Ledger'!$C$2:$C$3001,$A176))</f>
        <v/>
      </c>
      <c r="G176" s="6">
        <f>IF($A176="","",ROUND(B176+C176-D176-E176-F176,2))</f>
        <v/>
      </c>
    </row>
    <row r="177">
      <c r="A177">
        <f>IF('Opening Balance'!I176="","",'Opening Balance'!I176)</f>
        <v/>
      </c>
      <c r="B177" s="6">
        <f>IF($A177="","",SUMIFS('Opening Balance'!$F$4:$F$303,'Opening Balance'!$G$4:$G$303,$A177))</f>
        <v/>
      </c>
      <c r="C177" s="6">
        <f>IF($A177="","",SUMIFS('Daily Sale entry '!$S$2:$S$1501,'Daily Sale entry '!$P$2:$P$1501,$A177,'Daily Sale entry '!$Q$2:$Q$1501,"Credit Sale 赊销"))</f>
        <v/>
      </c>
      <c r="D177" s="6">
        <f>IF($A177="","",SUMIFS('Daily Sale entry '!$S$2:$S$1501,'Daily Sale entry '!$P$2:$P$1501,$A177,'Daily Sale entry '!$Q$2:$Q$1501,"Collection 收款"))</f>
        <v/>
      </c>
      <c r="E177" s="6">
        <f>IF($A177="","",SUMIFS('Daily Sale entry '!$AC$2:$AC$1501,'Daily Sale entry '!$AA$2:$AA$1501,$A177,'Daily Sale entry '!$Z$2:$Z$1501,"Online collection 网上收款"))</f>
        <v/>
      </c>
      <c r="F177" s="6">
        <f>IF($A177="","",SUMIFS('Debtor Ledger'!$K$2:$K$3001,'Debtor Ledger'!$C$2:$C$3001,$A177))</f>
        <v/>
      </c>
      <c r="G177" s="6">
        <f>IF($A177="","",ROUND(B177+C177-D177-E177-F177,2))</f>
        <v/>
      </c>
    </row>
    <row r="178">
      <c r="A178">
        <f>IF('Opening Balance'!I177="","",'Opening Balance'!I177)</f>
        <v/>
      </c>
      <c r="B178" s="6">
        <f>IF($A178="","",SUMIFS('Opening Balance'!$F$4:$F$303,'Opening Balance'!$G$4:$G$303,$A178))</f>
        <v/>
      </c>
      <c r="C178" s="6">
        <f>IF($A178="","",SUMIFS('Daily Sale entry '!$S$2:$S$1501,'Daily Sale entry '!$P$2:$P$1501,$A178,'Daily Sale entry '!$Q$2:$Q$1501,"Credit Sale 赊销"))</f>
        <v/>
      </c>
      <c r="D178" s="6">
        <f>IF($A178="","",SUMIFS('Daily Sale entry '!$S$2:$S$1501,'Daily Sale entry '!$P$2:$P$1501,$A178,'Daily Sale entry '!$Q$2:$Q$1501,"Collection 收款"))</f>
        <v/>
      </c>
      <c r="E178" s="6">
        <f>IF($A178="","",SUMIFS('Daily Sale entry '!$AC$2:$AC$1501,'Daily Sale entry '!$AA$2:$AA$1501,$A178,'Daily Sale entry '!$Z$2:$Z$1501,"Online collection 网上收款"))</f>
        <v/>
      </c>
      <c r="F178" s="6">
        <f>IF($A178="","",SUMIFS('Debtor Ledger'!$K$2:$K$3001,'Debtor Ledger'!$C$2:$C$3001,$A178))</f>
        <v/>
      </c>
      <c r="G178" s="6">
        <f>IF($A178="","",ROUND(B178+C178-D178-E178-F178,2))</f>
        <v/>
      </c>
    </row>
    <row r="179">
      <c r="A179">
        <f>IF('Opening Balance'!I178="","",'Opening Balance'!I178)</f>
        <v/>
      </c>
      <c r="B179" s="6">
        <f>IF($A179="","",SUMIFS('Opening Balance'!$F$4:$F$303,'Opening Balance'!$G$4:$G$303,$A179))</f>
        <v/>
      </c>
      <c r="C179" s="6">
        <f>IF($A179="","",SUMIFS('Daily Sale entry '!$S$2:$S$1501,'Daily Sale entry '!$P$2:$P$1501,$A179,'Daily Sale entry '!$Q$2:$Q$1501,"Credit Sale 赊销"))</f>
        <v/>
      </c>
      <c r="D179" s="6">
        <f>IF($A179="","",SUMIFS('Daily Sale entry '!$S$2:$S$1501,'Daily Sale entry '!$P$2:$P$1501,$A179,'Daily Sale entry '!$Q$2:$Q$1501,"Collection 收款"))</f>
        <v/>
      </c>
      <c r="E179" s="6">
        <f>IF($A179="","",SUMIFS('Daily Sale entry '!$AC$2:$AC$1501,'Daily Sale entry '!$AA$2:$AA$1501,$A179,'Daily Sale entry '!$Z$2:$Z$1501,"Online collection 网上收款"))</f>
        <v/>
      </c>
      <c r="F179" s="6">
        <f>IF($A179="","",SUMIFS('Debtor Ledger'!$K$2:$K$3001,'Debtor Ledger'!$C$2:$C$3001,$A179))</f>
        <v/>
      </c>
      <c r="G179" s="6">
        <f>IF($A179="","",ROUND(B179+C179-D179-E179-F179,2))</f>
        <v/>
      </c>
    </row>
    <row r="180">
      <c r="A180">
        <f>IF('Opening Balance'!I179="","",'Opening Balance'!I179)</f>
        <v/>
      </c>
      <c r="B180" s="6">
        <f>IF($A180="","",SUMIFS('Opening Balance'!$F$4:$F$303,'Opening Balance'!$G$4:$G$303,$A180))</f>
        <v/>
      </c>
      <c r="C180" s="6">
        <f>IF($A180="","",SUMIFS('Daily Sale entry '!$S$2:$S$1501,'Daily Sale entry '!$P$2:$P$1501,$A180,'Daily Sale entry '!$Q$2:$Q$1501,"Credit Sale 赊销"))</f>
        <v/>
      </c>
      <c r="D180" s="6">
        <f>IF($A180="","",SUMIFS('Daily Sale entry '!$S$2:$S$1501,'Daily Sale entry '!$P$2:$P$1501,$A180,'Daily Sale entry '!$Q$2:$Q$1501,"Collection 收款"))</f>
        <v/>
      </c>
      <c r="E180" s="6">
        <f>IF($A180="","",SUMIFS('Daily Sale entry '!$AC$2:$AC$1501,'Daily Sale entry '!$AA$2:$AA$1501,$A180,'Daily Sale entry '!$Z$2:$Z$1501,"Online collection 网上收款"))</f>
        <v/>
      </c>
      <c r="F180" s="6">
        <f>IF($A180="","",SUMIFS('Debtor Ledger'!$K$2:$K$3001,'Debtor Ledger'!$C$2:$C$3001,$A180))</f>
        <v/>
      </c>
      <c r="G180" s="6">
        <f>IF($A180="","",ROUND(B180+C180-D180-E180-F180,2))</f>
        <v/>
      </c>
    </row>
    <row r="181">
      <c r="A181">
        <f>IF('Opening Balance'!I180="","",'Opening Balance'!I180)</f>
        <v/>
      </c>
      <c r="B181" s="6">
        <f>IF($A181="","",SUMIFS('Opening Balance'!$F$4:$F$303,'Opening Balance'!$G$4:$G$303,$A181))</f>
        <v/>
      </c>
      <c r="C181" s="6">
        <f>IF($A181="","",SUMIFS('Daily Sale entry '!$S$2:$S$1501,'Daily Sale entry '!$P$2:$P$1501,$A181,'Daily Sale entry '!$Q$2:$Q$1501,"Credit Sale 赊销"))</f>
        <v/>
      </c>
      <c r="D181" s="6">
        <f>IF($A181="","",SUMIFS('Daily Sale entry '!$S$2:$S$1501,'Daily Sale entry '!$P$2:$P$1501,$A181,'Daily Sale entry '!$Q$2:$Q$1501,"Collection 收款"))</f>
        <v/>
      </c>
      <c r="E181" s="6">
        <f>IF($A181="","",SUMIFS('Daily Sale entry '!$AC$2:$AC$1501,'Daily Sale entry '!$AA$2:$AA$1501,$A181,'Daily Sale entry '!$Z$2:$Z$1501,"Online collection 网上收款"))</f>
        <v/>
      </c>
      <c r="F181" s="6">
        <f>IF($A181="","",SUMIFS('Debtor Ledger'!$K$2:$K$3001,'Debtor Ledger'!$C$2:$C$3001,$A181))</f>
        <v/>
      </c>
      <c r="G181" s="6">
        <f>IF($A181="","",ROUND(B181+C181-D181-E181-F181,2))</f>
        <v/>
      </c>
    </row>
    <row r="182">
      <c r="A182">
        <f>IF('Opening Balance'!I181="","",'Opening Balance'!I181)</f>
        <v/>
      </c>
      <c r="B182" s="6">
        <f>IF($A182="","",SUMIFS('Opening Balance'!$F$4:$F$303,'Opening Balance'!$G$4:$G$303,$A182))</f>
        <v/>
      </c>
      <c r="C182" s="6">
        <f>IF($A182="","",SUMIFS('Daily Sale entry '!$S$2:$S$1501,'Daily Sale entry '!$P$2:$P$1501,$A182,'Daily Sale entry '!$Q$2:$Q$1501,"Credit Sale 赊销"))</f>
        <v/>
      </c>
      <c r="D182" s="6">
        <f>IF($A182="","",SUMIFS('Daily Sale entry '!$S$2:$S$1501,'Daily Sale entry '!$P$2:$P$1501,$A182,'Daily Sale entry '!$Q$2:$Q$1501,"Collection 收款"))</f>
        <v/>
      </c>
      <c r="E182" s="6">
        <f>IF($A182="","",SUMIFS('Daily Sale entry '!$AC$2:$AC$1501,'Daily Sale entry '!$AA$2:$AA$1501,$A182,'Daily Sale entry '!$Z$2:$Z$1501,"Online collection 网上收款"))</f>
        <v/>
      </c>
      <c r="F182" s="6">
        <f>IF($A182="","",SUMIFS('Debtor Ledger'!$K$2:$K$3001,'Debtor Ledger'!$C$2:$C$3001,$A182))</f>
        <v/>
      </c>
      <c r="G182" s="6">
        <f>IF($A182="","",ROUND(B182+C182-D182-E182-F182,2))</f>
        <v/>
      </c>
    </row>
    <row r="183">
      <c r="A183">
        <f>IF('Opening Balance'!I182="","",'Opening Balance'!I182)</f>
        <v/>
      </c>
      <c r="B183" s="6">
        <f>IF($A183="","",SUMIFS('Opening Balance'!$F$4:$F$303,'Opening Balance'!$G$4:$G$303,$A183))</f>
        <v/>
      </c>
      <c r="C183" s="6">
        <f>IF($A183="","",SUMIFS('Daily Sale entry '!$S$2:$S$1501,'Daily Sale entry '!$P$2:$P$1501,$A183,'Daily Sale entry '!$Q$2:$Q$1501,"Credit Sale 赊销"))</f>
        <v/>
      </c>
      <c r="D183" s="6">
        <f>IF($A183="","",SUMIFS('Daily Sale entry '!$S$2:$S$1501,'Daily Sale entry '!$P$2:$P$1501,$A183,'Daily Sale entry '!$Q$2:$Q$1501,"Collection 收款"))</f>
        <v/>
      </c>
      <c r="E183" s="6">
        <f>IF($A183="","",SUMIFS('Daily Sale entry '!$AC$2:$AC$1501,'Daily Sale entry '!$AA$2:$AA$1501,$A183,'Daily Sale entry '!$Z$2:$Z$1501,"Online collection 网上收款"))</f>
        <v/>
      </c>
      <c r="F183" s="6">
        <f>IF($A183="","",SUMIFS('Debtor Ledger'!$K$2:$K$3001,'Debtor Ledger'!$C$2:$C$3001,$A183))</f>
        <v/>
      </c>
      <c r="G183" s="6">
        <f>IF($A183="","",ROUND(B183+C183-D183-E183-F183,2))</f>
        <v/>
      </c>
    </row>
    <row r="184">
      <c r="A184">
        <f>IF('Opening Balance'!I183="","",'Opening Balance'!I183)</f>
        <v/>
      </c>
      <c r="B184" s="6">
        <f>IF($A184="","",SUMIFS('Opening Balance'!$F$4:$F$303,'Opening Balance'!$G$4:$G$303,$A184))</f>
        <v/>
      </c>
      <c r="C184" s="6">
        <f>IF($A184="","",SUMIFS('Daily Sale entry '!$S$2:$S$1501,'Daily Sale entry '!$P$2:$P$1501,$A184,'Daily Sale entry '!$Q$2:$Q$1501,"Credit Sale 赊销"))</f>
        <v/>
      </c>
      <c r="D184" s="6">
        <f>IF($A184="","",SUMIFS('Daily Sale entry '!$S$2:$S$1501,'Daily Sale entry '!$P$2:$P$1501,$A184,'Daily Sale entry '!$Q$2:$Q$1501,"Collection 收款"))</f>
        <v/>
      </c>
      <c r="E184" s="6">
        <f>IF($A184="","",SUMIFS('Daily Sale entry '!$AC$2:$AC$1501,'Daily Sale entry '!$AA$2:$AA$1501,$A184,'Daily Sale entry '!$Z$2:$Z$1501,"Online collection 网上收款"))</f>
        <v/>
      </c>
      <c r="F184" s="6">
        <f>IF($A184="","",SUMIFS('Debtor Ledger'!$K$2:$K$3001,'Debtor Ledger'!$C$2:$C$3001,$A184))</f>
        <v/>
      </c>
      <c r="G184" s="6">
        <f>IF($A184="","",ROUND(B184+C184-D184-E184-F184,2))</f>
        <v/>
      </c>
    </row>
    <row r="185">
      <c r="A185">
        <f>IF('Opening Balance'!I184="","",'Opening Balance'!I184)</f>
        <v/>
      </c>
      <c r="B185" s="6">
        <f>IF($A185="","",SUMIFS('Opening Balance'!$F$4:$F$303,'Opening Balance'!$G$4:$G$303,$A185))</f>
        <v/>
      </c>
      <c r="C185" s="6">
        <f>IF($A185="","",SUMIFS('Daily Sale entry '!$S$2:$S$1501,'Daily Sale entry '!$P$2:$P$1501,$A185,'Daily Sale entry '!$Q$2:$Q$1501,"Credit Sale 赊销"))</f>
        <v/>
      </c>
      <c r="D185" s="6">
        <f>IF($A185="","",SUMIFS('Daily Sale entry '!$S$2:$S$1501,'Daily Sale entry '!$P$2:$P$1501,$A185,'Daily Sale entry '!$Q$2:$Q$1501,"Collection 收款"))</f>
        <v/>
      </c>
      <c r="E185" s="6">
        <f>IF($A185="","",SUMIFS('Daily Sale entry '!$AC$2:$AC$1501,'Daily Sale entry '!$AA$2:$AA$1501,$A185,'Daily Sale entry '!$Z$2:$Z$1501,"Online collection 网上收款"))</f>
        <v/>
      </c>
      <c r="F185" s="6">
        <f>IF($A185="","",SUMIFS('Debtor Ledger'!$K$2:$K$3001,'Debtor Ledger'!$C$2:$C$3001,$A185))</f>
        <v/>
      </c>
      <c r="G185" s="6">
        <f>IF($A185="","",ROUND(B185+C185-D185-E185-F185,2))</f>
        <v/>
      </c>
    </row>
    <row r="186">
      <c r="A186">
        <f>IF('Opening Balance'!I185="","",'Opening Balance'!I185)</f>
        <v/>
      </c>
      <c r="B186" s="6">
        <f>IF($A186="","",SUMIFS('Opening Balance'!$F$4:$F$303,'Opening Balance'!$G$4:$G$303,$A186))</f>
        <v/>
      </c>
      <c r="C186" s="6">
        <f>IF($A186="","",SUMIFS('Daily Sale entry '!$S$2:$S$1501,'Daily Sale entry '!$P$2:$P$1501,$A186,'Daily Sale entry '!$Q$2:$Q$1501,"Credit Sale 赊销"))</f>
        <v/>
      </c>
      <c r="D186" s="6">
        <f>IF($A186="","",SUMIFS('Daily Sale entry '!$S$2:$S$1501,'Daily Sale entry '!$P$2:$P$1501,$A186,'Daily Sale entry '!$Q$2:$Q$1501,"Collection 收款"))</f>
        <v/>
      </c>
      <c r="E186" s="6">
        <f>IF($A186="","",SUMIFS('Daily Sale entry '!$AC$2:$AC$1501,'Daily Sale entry '!$AA$2:$AA$1501,$A186,'Daily Sale entry '!$Z$2:$Z$1501,"Online collection 网上收款"))</f>
        <v/>
      </c>
      <c r="F186" s="6">
        <f>IF($A186="","",SUMIFS('Debtor Ledger'!$K$2:$K$3001,'Debtor Ledger'!$C$2:$C$3001,$A186))</f>
        <v/>
      </c>
      <c r="G186" s="6">
        <f>IF($A186="","",ROUND(B186+C186-D186-E186-F186,2))</f>
        <v/>
      </c>
    </row>
    <row r="187">
      <c r="A187">
        <f>IF('Opening Balance'!I186="","",'Opening Balance'!I186)</f>
        <v/>
      </c>
      <c r="B187" s="6">
        <f>IF($A187="","",SUMIFS('Opening Balance'!$F$4:$F$303,'Opening Balance'!$G$4:$G$303,$A187))</f>
        <v/>
      </c>
      <c r="C187" s="6">
        <f>IF($A187="","",SUMIFS('Daily Sale entry '!$S$2:$S$1501,'Daily Sale entry '!$P$2:$P$1501,$A187,'Daily Sale entry '!$Q$2:$Q$1501,"Credit Sale 赊销"))</f>
        <v/>
      </c>
      <c r="D187" s="6">
        <f>IF($A187="","",SUMIFS('Daily Sale entry '!$S$2:$S$1501,'Daily Sale entry '!$P$2:$P$1501,$A187,'Daily Sale entry '!$Q$2:$Q$1501,"Collection 收款"))</f>
        <v/>
      </c>
      <c r="E187" s="6">
        <f>IF($A187="","",SUMIFS('Daily Sale entry '!$AC$2:$AC$1501,'Daily Sale entry '!$AA$2:$AA$1501,$A187,'Daily Sale entry '!$Z$2:$Z$1501,"Online collection 网上收款"))</f>
        <v/>
      </c>
      <c r="F187" s="6">
        <f>IF($A187="","",SUMIFS('Debtor Ledger'!$K$2:$K$3001,'Debtor Ledger'!$C$2:$C$3001,$A187))</f>
        <v/>
      </c>
      <c r="G187" s="6">
        <f>IF($A187="","",ROUND(B187+C187-D187-E187-F187,2))</f>
        <v/>
      </c>
    </row>
    <row r="188">
      <c r="A188">
        <f>IF('Opening Balance'!I187="","",'Opening Balance'!I187)</f>
        <v/>
      </c>
      <c r="B188" s="6">
        <f>IF($A188="","",SUMIFS('Opening Balance'!$F$4:$F$303,'Opening Balance'!$G$4:$G$303,$A188))</f>
        <v/>
      </c>
      <c r="C188" s="6">
        <f>IF($A188="","",SUMIFS('Daily Sale entry '!$S$2:$S$1501,'Daily Sale entry '!$P$2:$P$1501,$A188,'Daily Sale entry '!$Q$2:$Q$1501,"Credit Sale 赊销"))</f>
        <v/>
      </c>
      <c r="D188" s="6">
        <f>IF($A188="","",SUMIFS('Daily Sale entry '!$S$2:$S$1501,'Daily Sale entry '!$P$2:$P$1501,$A188,'Daily Sale entry '!$Q$2:$Q$1501,"Collection 收款"))</f>
        <v/>
      </c>
      <c r="E188" s="6">
        <f>IF($A188="","",SUMIFS('Daily Sale entry '!$AC$2:$AC$1501,'Daily Sale entry '!$AA$2:$AA$1501,$A188,'Daily Sale entry '!$Z$2:$Z$1501,"Online collection 网上收款"))</f>
        <v/>
      </c>
      <c r="F188" s="6">
        <f>IF($A188="","",SUMIFS('Debtor Ledger'!$K$2:$K$3001,'Debtor Ledger'!$C$2:$C$3001,$A188))</f>
        <v/>
      </c>
      <c r="G188" s="6">
        <f>IF($A188="","",ROUND(B188+C188-D188-E188-F188,2))</f>
        <v/>
      </c>
    </row>
    <row r="189">
      <c r="A189">
        <f>IF('Opening Balance'!I188="","",'Opening Balance'!I188)</f>
        <v/>
      </c>
      <c r="B189" s="6">
        <f>IF($A189="","",SUMIFS('Opening Balance'!$F$4:$F$303,'Opening Balance'!$G$4:$G$303,$A189))</f>
        <v/>
      </c>
      <c r="C189" s="6">
        <f>IF($A189="","",SUMIFS('Daily Sale entry '!$S$2:$S$1501,'Daily Sale entry '!$P$2:$P$1501,$A189,'Daily Sale entry '!$Q$2:$Q$1501,"Credit Sale 赊销"))</f>
        <v/>
      </c>
      <c r="D189" s="6">
        <f>IF($A189="","",SUMIFS('Daily Sale entry '!$S$2:$S$1501,'Daily Sale entry '!$P$2:$P$1501,$A189,'Daily Sale entry '!$Q$2:$Q$1501,"Collection 收款"))</f>
        <v/>
      </c>
      <c r="E189" s="6">
        <f>IF($A189="","",SUMIFS('Daily Sale entry '!$AC$2:$AC$1501,'Daily Sale entry '!$AA$2:$AA$1501,$A189,'Daily Sale entry '!$Z$2:$Z$1501,"Online collection 网上收款"))</f>
        <v/>
      </c>
      <c r="F189" s="6">
        <f>IF($A189="","",SUMIFS('Debtor Ledger'!$K$2:$K$3001,'Debtor Ledger'!$C$2:$C$3001,$A189))</f>
        <v/>
      </c>
      <c r="G189" s="6">
        <f>IF($A189="","",ROUND(B189+C189-D189-E189-F189,2))</f>
        <v/>
      </c>
    </row>
    <row r="190">
      <c r="A190">
        <f>IF('Opening Balance'!I189="","",'Opening Balance'!I189)</f>
        <v/>
      </c>
      <c r="B190" s="6">
        <f>IF($A190="","",SUMIFS('Opening Balance'!$F$4:$F$303,'Opening Balance'!$G$4:$G$303,$A190))</f>
        <v/>
      </c>
      <c r="C190" s="6">
        <f>IF($A190="","",SUMIFS('Daily Sale entry '!$S$2:$S$1501,'Daily Sale entry '!$P$2:$P$1501,$A190,'Daily Sale entry '!$Q$2:$Q$1501,"Credit Sale 赊销"))</f>
        <v/>
      </c>
      <c r="D190" s="6">
        <f>IF($A190="","",SUMIFS('Daily Sale entry '!$S$2:$S$1501,'Daily Sale entry '!$P$2:$P$1501,$A190,'Daily Sale entry '!$Q$2:$Q$1501,"Collection 收款"))</f>
        <v/>
      </c>
      <c r="E190" s="6">
        <f>IF($A190="","",SUMIFS('Daily Sale entry '!$AC$2:$AC$1501,'Daily Sale entry '!$AA$2:$AA$1501,$A190,'Daily Sale entry '!$Z$2:$Z$1501,"Online collection 网上收款"))</f>
        <v/>
      </c>
      <c r="F190" s="6">
        <f>IF($A190="","",SUMIFS('Debtor Ledger'!$K$2:$K$3001,'Debtor Ledger'!$C$2:$C$3001,$A190))</f>
        <v/>
      </c>
      <c r="G190" s="6">
        <f>IF($A190="","",ROUND(B190+C190-D190-E190-F190,2))</f>
        <v/>
      </c>
    </row>
    <row r="191">
      <c r="A191">
        <f>IF('Opening Balance'!I190="","",'Opening Balance'!I190)</f>
        <v/>
      </c>
      <c r="B191" s="6">
        <f>IF($A191="","",SUMIFS('Opening Balance'!$F$4:$F$303,'Opening Balance'!$G$4:$G$303,$A191))</f>
        <v/>
      </c>
      <c r="C191" s="6">
        <f>IF($A191="","",SUMIFS('Daily Sale entry '!$S$2:$S$1501,'Daily Sale entry '!$P$2:$P$1501,$A191,'Daily Sale entry '!$Q$2:$Q$1501,"Credit Sale 赊销"))</f>
        <v/>
      </c>
      <c r="D191" s="6">
        <f>IF($A191="","",SUMIFS('Daily Sale entry '!$S$2:$S$1501,'Daily Sale entry '!$P$2:$P$1501,$A191,'Daily Sale entry '!$Q$2:$Q$1501,"Collection 收款"))</f>
        <v/>
      </c>
      <c r="E191" s="6">
        <f>IF($A191="","",SUMIFS('Daily Sale entry '!$AC$2:$AC$1501,'Daily Sale entry '!$AA$2:$AA$1501,$A191,'Daily Sale entry '!$Z$2:$Z$1501,"Online collection 网上收款"))</f>
        <v/>
      </c>
      <c r="F191" s="6">
        <f>IF($A191="","",SUMIFS('Debtor Ledger'!$K$2:$K$3001,'Debtor Ledger'!$C$2:$C$3001,$A191))</f>
        <v/>
      </c>
      <c r="G191" s="6">
        <f>IF($A191="","",ROUND(B191+C191-D191-E191-F191,2))</f>
        <v/>
      </c>
    </row>
    <row r="192">
      <c r="A192">
        <f>IF('Opening Balance'!I191="","",'Opening Balance'!I191)</f>
        <v/>
      </c>
      <c r="B192" s="6">
        <f>IF($A192="","",SUMIFS('Opening Balance'!$F$4:$F$303,'Opening Balance'!$G$4:$G$303,$A192))</f>
        <v/>
      </c>
      <c r="C192" s="6">
        <f>IF($A192="","",SUMIFS('Daily Sale entry '!$S$2:$S$1501,'Daily Sale entry '!$P$2:$P$1501,$A192,'Daily Sale entry '!$Q$2:$Q$1501,"Credit Sale 赊销"))</f>
        <v/>
      </c>
      <c r="D192" s="6">
        <f>IF($A192="","",SUMIFS('Daily Sale entry '!$S$2:$S$1501,'Daily Sale entry '!$P$2:$P$1501,$A192,'Daily Sale entry '!$Q$2:$Q$1501,"Collection 收款"))</f>
        <v/>
      </c>
      <c r="E192" s="6">
        <f>IF($A192="","",SUMIFS('Daily Sale entry '!$AC$2:$AC$1501,'Daily Sale entry '!$AA$2:$AA$1501,$A192,'Daily Sale entry '!$Z$2:$Z$1501,"Online collection 网上收款"))</f>
        <v/>
      </c>
      <c r="F192" s="6">
        <f>IF($A192="","",SUMIFS('Debtor Ledger'!$K$2:$K$3001,'Debtor Ledger'!$C$2:$C$3001,$A192))</f>
        <v/>
      </c>
      <c r="G192" s="6">
        <f>IF($A192="","",ROUND(B192+C192-D192-E192-F192,2))</f>
        <v/>
      </c>
    </row>
    <row r="193">
      <c r="A193">
        <f>IF('Opening Balance'!I192="","",'Opening Balance'!I192)</f>
        <v/>
      </c>
      <c r="B193" s="6">
        <f>IF($A193="","",SUMIFS('Opening Balance'!$F$4:$F$303,'Opening Balance'!$G$4:$G$303,$A193))</f>
        <v/>
      </c>
      <c r="C193" s="6">
        <f>IF($A193="","",SUMIFS('Daily Sale entry '!$S$2:$S$1501,'Daily Sale entry '!$P$2:$P$1501,$A193,'Daily Sale entry '!$Q$2:$Q$1501,"Credit Sale 赊销"))</f>
        <v/>
      </c>
      <c r="D193" s="6">
        <f>IF($A193="","",SUMIFS('Daily Sale entry '!$S$2:$S$1501,'Daily Sale entry '!$P$2:$P$1501,$A193,'Daily Sale entry '!$Q$2:$Q$1501,"Collection 收款"))</f>
        <v/>
      </c>
      <c r="E193" s="6">
        <f>IF($A193="","",SUMIFS('Daily Sale entry '!$AC$2:$AC$1501,'Daily Sale entry '!$AA$2:$AA$1501,$A193,'Daily Sale entry '!$Z$2:$Z$1501,"Online collection 网上收款"))</f>
        <v/>
      </c>
      <c r="F193" s="6">
        <f>IF($A193="","",SUMIFS('Debtor Ledger'!$K$2:$K$3001,'Debtor Ledger'!$C$2:$C$3001,$A193))</f>
        <v/>
      </c>
      <c r="G193" s="6">
        <f>IF($A193="","",ROUND(B193+C193-D193-E193-F193,2))</f>
        <v/>
      </c>
    </row>
    <row r="194">
      <c r="A194">
        <f>IF('Opening Balance'!I193="","",'Opening Balance'!I193)</f>
        <v/>
      </c>
      <c r="B194" s="6">
        <f>IF($A194="","",SUMIFS('Opening Balance'!$F$4:$F$303,'Opening Balance'!$G$4:$G$303,$A194))</f>
        <v/>
      </c>
      <c r="C194" s="6">
        <f>IF($A194="","",SUMIFS('Daily Sale entry '!$S$2:$S$1501,'Daily Sale entry '!$P$2:$P$1501,$A194,'Daily Sale entry '!$Q$2:$Q$1501,"Credit Sale 赊销"))</f>
        <v/>
      </c>
      <c r="D194" s="6">
        <f>IF($A194="","",SUMIFS('Daily Sale entry '!$S$2:$S$1501,'Daily Sale entry '!$P$2:$P$1501,$A194,'Daily Sale entry '!$Q$2:$Q$1501,"Collection 收款"))</f>
        <v/>
      </c>
      <c r="E194" s="6">
        <f>IF($A194="","",SUMIFS('Daily Sale entry '!$AC$2:$AC$1501,'Daily Sale entry '!$AA$2:$AA$1501,$A194,'Daily Sale entry '!$Z$2:$Z$1501,"Online collection 网上收款"))</f>
        <v/>
      </c>
      <c r="F194" s="6">
        <f>IF($A194="","",SUMIFS('Debtor Ledger'!$K$2:$K$3001,'Debtor Ledger'!$C$2:$C$3001,$A194))</f>
        <v/>
      </c>
      <c r="G194" s="6">
        <f>IF($A194="","",ROUND(B194+C194-D194-E194-F194,2))</f>
        <v/>
      </c>
    </row>
    <row r="195">
      <c r="A195">
        <f>IF('Opening Balance'!I194="","",'Opening Balance'!I194)</f>
        <v/>
      </c>
      <c r="B195" s="6">
        <f>IF($A195="","",SUMIFS('Opening Balance'!$F$4:$F$303,'Opening Balance'!$G$4:$G$303,$A195))</f>
        <v/>
      </c>
      <c r="C195" s="6">
        <f>IF($A195="","",SUMIFS('Daily Sale entry '!$S$2:$S$1501,'Daily Sale entry '!$P$2:$P$1501,$A195,'Daily Sale entry '!$Q$2:$Q$1501,"Credit Sale 赊销"))</f>
        <v/>
      </c>
      <c r="D195" s="6">
        <f>IF($A195="","",SUMIFS('Daily Sale entry '!$S$2:$S$1501,'Daily Sale entry '!$P$2:$P$1501,$A195,'Daily Sale entry '!$Q$2:$Q$1501,"Collection 收款"))</f>
        <v/>
      </c>
      <c r="E195" s="6">
        <f>IF($A195="","",SUMIFS('Daily Sale entry '!$AC$2:$AC$1501,'Daily Sale entry '!$AA$2:$AA$1501,$A195,'Daily Sale entry '!$Z$2:$Z$1501,"Online collection 网上收款"))</f>
        <v/>
      </c>
      <c r="F195" s="6">
        <f>IF($A195="","",SUMIFS('Debtor Ledger'!$K$2:$K$3001,'Debtor Ledger'!$C$2:$C$3001,$A195))</f>
        <v/>
      </c>
      <c r="G195" s="6">
        <f>IF($A195="","",ROUND(B195+C195-D195-E195-F195,2))</f>
        <v/>
      </c>
    </row>
    <row r="196">
      <c r="A196">
        <f>IF('Opening Balance'!I195="","",'Opening Balance'!I195)</f>
        <v/>
      </c>
      <c r="B196" s="6">
        <f>IF($A196="","",SUMIFS('Opening Balance'!$F$4:$F$303,'Opening Balance'!$G$4:$G$303,$A196))</f>
        <v/>
      </c>
      <c r="C196" s="6">
        <f>IF($A196="","",SUMIFS('Daily Sale entry '!$S$2:$S$1501,'Daily Sale entry '!$P$2:$P$1501,$A196,'Daily Sale entry '!$Q$2:$Q$1501,"Credit Sale 赊销"))</f>
        <v/>
      </c>
      <c r="D196" s="6">
        <f>IF($A196="","",SUMIFS('Daily Sale entry '!$S$2:$S$1501,'Daily Sale entry '!$P$2:$P$1501,$A196,'Daily Sale entry '!$Q$2:$Q$1501,"Collection 收款"))</f>
        <v/>
      </c>
      <c r="E196" s="6">
        <f>IF($A196="","",SUMIFS('Daily Sale entry '!$AC$2:$AC$1501,'Daily Sale entry '!$AA$2:$AA$1501,$A196,'Daily Sale entry '!$Z$2:$Z$1501,"Online collection 网上收款"))</f>
        <v/>
      </c>
      <c r="F196" s="6">
        <f>IF($A196="","",SUMIFS('Debtor Ledger'!$K$2:$K$3001,'Debtor Ledger'!$C$2:$C$3001,$A196))</f>
        <v/>
      </c>
      <c r="G196" s="6">
        <f>IF($A196="","",ROUND(B196+C196-D196-E196-F196,2))</f>
        <v/>
      </c>
    </row>
    <row r="197">
      <c r="A197">
        <f>IF('Opening Balance'!I196="","",'Opening Balance'!I196)</f>
        <v/>
      </c>
      <c r="B197" s="6">
        <f>IF($A197="","",SUMIFS('Opening Balance'!$F$4:$F$303,'Opening Balance'!$G$4:$G$303,$A197))</f>
        <v/>
      </c>
      <c r="C197" s="6">
        <f>IF($A197="","",SUMIFS('Daily Sale entry '!$S$2:$S$1501,'Daily Sale entry '!$P$2:$P$1501,$A197,'Daily Sale entry '!$Q$2:$Q$1501,"Credit Sale 赊销"))</f>
        <v/>
      </c>
      <c r="D197" s="6">
        <f>IF($A197="","",SUMIFS('Daily Sale entry '!$S$2:$S$1501,'Daily Sale entry '!$P$2:$P$1501,$A197,'Daily Sale entry '!$Q$2:$Q$1501,"Collection 收款"))</f>
        <v/>
      </c>
      <c r="E197" s="6">
        <f>IF($A197="","",SUMIFS('Daily Sale entry '!$AC$2:$AC$1501,'Daily Sale entry '!$AA$2:$AA$1501,$A197,'Daily Sale entry '!$Z$2:$Z$1501,"Online collection 网上收款"))</f>
        <v/>
      </c>
      <c r="F197" s="6">
        <f>IF($A197="","",SUMIFS('Debtor Ledger'!$K$2:$K$3001,'Debtor Ledger'!$C$2:$C$3001,$A197))</f>
        <v/>
      </c>
      <c r="G197" s="6">
        <f>IF($A197="","",ROUND(B197+C197-D197-E197-F197,2))</f>
        <v/>
      </c>
    </row>
    <row r="198">
      <c r="A198">
        <f>IF('Opening Balance'!I197="","",'Opening Balance'!I197)</f>
        <v/>
      </c>
      <c r="B198" s="6">
        <f>IF($A198="","",SUMIFS('Opening Balance'!$F$4:$F$303,'Opening Balance'!$G$4:$G$303,$A198))</f>
        <v/>
      </c>
      <c r="C198" s="6">
        <f>IF($A198="","",SUMIFS('Daily Sale entry '!$S$2:$S$1501,'Daily Sale entry '!$P$2:$P$1501,$A198,'Daily Sale entry '!$Q$2:$Q$1501,"Credit Sale 赊销"))</f>
        <v/>
      </c>
      <c r="D198" s="6">
        <f>IF($A198="","",SUMIFS('Daily Sale entry '!$S$2:$S$1501,'Daily Sale entry '!$P$2:$P$1501,$A198,'Daily Sale entry '!$Q$2:$Q$1501,"Collection 收款"))</f>
        <v/>
      </c>
      <c r="E198" s="6">
        <f>IF($A198="","",SUMIFS('Daily Sale entry '!$AC$2:$AC$1501,'Daily Sale entry '!$AA$2:$AA$1501,$A198,'Daily Sale entry '!$Z$2:$Z$1501,"Online collection 网上收款"))</f>
        <v/>
      </c>
      <c r="F198" s="6">
        <f>IF($A198="","",SUMIFS('Debtor Ledger'!$K$2:$K$3001,'Debtor Ledger'!$C$2:$C$3001,$A198))</f>
        <v/>
      </c>
      <c r="G198" s="6">
        <f>IF($A198="","",ROUND(B198+C198-D198-E198-F198,2))</f>
        <v/>
      </c>
    </row>
    <row r="199">
      <c r="A199">
        <f>IF('Opening Balance'!I198="","",'Opening Balance'!I198)</f>
        <v/>
      </c>
      <c r="B199" s="6">
        <f>IF($A199="","",SUMIFS('Opening Balance'!$F$4:$F$303,'Opening Balance'!$G$4:$G$303,$A199))</f>
        <v/>
      </c>
      <c r="C199" s="6">
        <f>IF($A199="","",SUMIFS('Daily Sale entry '!$S$2:$S$1501,'Daily Sale entry '!$P$2:$P$1501,$A199,'Daily Sale entry '!$Q$2:$Q$1501,"Credit Sale 赊销"))</f>
        <v/>
      </c>
      <c r="D199" s="6">
        <f>IF($A199="","",SUMIFS('Daily Sale entry '!$S$2:$S$1501,'Daily Sale entry '!$P$2:$P$1501,$A199,'Daily Sale entry '!$Q$2:$Q$1501,"Collection 收款"))</f>
        <v/>
      </c>
      <c r="E199" s="6">
        <f>IF($A199="","",SUMIFS('Daily Sale entry '!$AC$2:$AC$1501,'Daily Sale entry '!$AA$2:$AA$1501,$A199,'Daily Sale entry '!$Z$2:$Z$1501,"Online collection 网上收款"))</f>
        <v/>
      </c>
      <c r="F199" s="6">
        <f>IF($A199="","",SUMIFS('Debtor Ledger'!$K$2:$K$3001,'Debtor Ledger'!$C$2:$C$3001,$A199))</f>
        <v/>
      </c>
      <c r="G199" s="6">
        <f>IF($A199="","",ROUND(B199+C199-D199-E199-F199,2))</f>
        <v/>
      </c>
    </row>
    <row r="200">
      <c r="A200">
        <f>IF('Opening Balance'!I199="","",'Opening Balance'!I199)</f>
        <v/>
      </c>
      <c r="B200" s="6">
        <f>IF($A200="","",SUMIFS('Opening Balance'!$F$4:$F$303,'Opening Balance'!$G$4:$G$303,$A200))</f>
        <v/>
      </c>
      <c r="C200" s="6">
        <f>IF($A200="","",SUMIFS('Daily Sale entry '!$S$2:$S$1501,'Daily Sale entry '!$P$2:$P$1501,$A200,'Daily Sale entry '!$Q$2:$Q$1501,"Credit Sale 赊销"))</f>
        <v/>
      </c>
      <c r="D200" s="6">
        <f>IF($A200="","",SUMIFS('Daily Sale entry '!$S$2:$S$1501,'Daily Sale entry '!$P$2:$P$1501,$A200,'Daily Sale entry '!$Q$2:$Q$1501,"Collection 收款"))</f>
        <v/>
      </c>
      <c r="E200" s="6">
        <f>IF($A200="","",SUMIFS('Daily Sale entry '!$AC$2:$AC$1501,'Daily Sale entry '!$AA$2:$AA$1501,$A200,'Daily Sale entry '!$Z$2:$Z$1501,"Online collection 网上收款"))</f>
        <v/>
      </c>
      <c r="F200" s="6">
        <f>IF($A200="","",SUMIFS('Debtor Ledger'!$K$2:$K$3001,'Debtor Ledger'!$C$2:$C$3001,$A200))</f>
        <v/>
      </c>
      <c r="G200" s="6">
        <f>IF($A200="","",ROUND(B200+C200-D200-E200-F200,2))</f>
        <v/>
      </c>
    </row>
    <row r="201">
      <c r="A201">
        <f>IF('Opening Balance'!I200="","",'Opening Balance'!I200)</f>
        <v/>
      </c>
      <c r="B201" s="6">
        <f>IF($A201="","",SUMIFS('Opening Balance'!$F$4:$F$303,'Opening Balance'!$G$4:$G$303,$A201))</f>
        <v/>
      </c>
      <c r="C201" s="6">
        <f>IF($A201="","",SUMIFS('Daily Sale entry '!$S$2:$S$1501,'Daily Sale entry '!$P$2:$P$1501,$A201,'Daily Sale entry '!$Q$2:$Q$1501,"Credit Sale 赊销"))</f>
        <v/>
      </c>
      <c r="D201" s="6">
        <f>IF($A201="","",SUMIFS('Daily Sale entry '!$S$2:$S$1501,'Daily Sale entry '!$P$2:$P$1501,$A201,'Daily Sale entry '!$Q$2:$Q$1501,"Collection 收款"))</f>
        <v/>
      </c>
      <c r="E201" s="6">
        <f>IF($A201="","",SUMIFS('Daily Sale entry '!$AC$2:$AC$1501,'Daily Sale entry '!$AA$2:$AA$1501,$A201,'Daily Sale entry '!$Z$2:$Z$1501,"Online collection 网上收款"))</f>
        <v/>
      </c>
      <c r="F201" s="6">
        <f>IF($A201="","",SUMIFS('Debtor Ledger'!$K$2:$K$3001,'Debtor Ledger'!$C$2:$C$3001,$A201))</f>
        <v/>
      </c>
      <c r="G201" s="6">
        <f>IF($A201="","",ROUND(B201+C201-D201-E201-F201,2))</f>
        <v/>
      </c>
    </row>
    <row r="202">
      <c r="A202">
        <f>IF('Opening Balance'!I201="","",'Opening Balance'!I201)</f>
        <v/>
      </c>
      <c r="B202" s="6">
        <f>IF($A202="","",SUMIFS('Opening Balance'!$F$4:$F$303,'Opening Balance'!$G$4:$G$303,$A202))</f>
        <v/>
      </c>
      <c r="C202" s="6">
        <f>IF($A202="","",SUMIFS('Daily Sale entry '!$S$2:$S$1501,'Daily Sale entry '!$P$2:$P$1501,$A202,'Daily Sale entry '!$Q$2:$Q$1501,"Credit Sale 赊销"))</f>
        <v/>
      </c>
      <c r="D202" s="6">
        <f>IF($A202="","",SUMIFS('Daily Sale entry '!$S$2:$S$1501,'Daily Sale entry '!$P$2:$P$1501,$A202,'Daily Sale entry '!$Q$2:$Q$1501,"Collection 收款"))</f>
        <v/>
      </c>
      <c r="E202" s="6">
        <f>IF($A202="","",SUMIFS('Daily Sale entry '!$AC$2:$AC$1501,'Daily Sale entry '!$AA$2:$AA$1501,$A202,'Daily Sale entry '!$Z$2:$Z$1501,"Online collection 网上收款"))</f>
        <v/>
      </c>
      <c r="F202" s="6">
        <f>IF($A202="","",SUMIFS('Debtor Ledger'!$K$2:$K$3001,'Debtor Ledger'!$C$2:$C$3001,$A202))</f>
        <v/>
      </c>
      <c r="G202" s="6">
        <f>IF($A202="","",ROUND(B202+C202-D202-E202-F202,2))</f>
        <v/>
      </c>
    </row>
    <row r="203">
      <c r="A203">
        <f>IF('Opening Balance'!I202="","",'Opening Balance'!I202)</f>
        <v/>
      </c>
      <c r="B203" s="6">
        <f>IF($A203="","",SUMIFS('Opening Balance'!$F$4:$F$303,'Opening Balance'!$G$4:$G$303,$A203))</f>
        <v/>
      </c>
      <c r="C203" s="6">
        <f>IF($A203="","",SUMIFS('Daily Sale entry '!$S$2:$S$1501,'Daily Sale entry '!$P$2:$P$1501,$A203,'Daily Sale entry '!$Q$2:$Q$1501,"Credit Sale 赊销"))</f>
        <v/>
      </c>
      <c r="D203" s="6">
        <f>IF($A203="","",SUMIFS('Daily Sale entry '!$S$2:$S$1501,'Daily Sale entry '!$P$2:$P$1501,$A203,'Daily Sale entry '!$Q$2:$Q$1501,"Collection 收款"))</f>
        <v/>
      </c>
      <c r="E203" s="6">
        <f>IF($A203="","",SUMIFS('Daily Sale entry '!$AC$2:$AC$1501,'Daily Sale entry '!$AA$2:$AA$1501,$A203,'Daily Sale entry '!$Z$2:$Z$1501,"Online collection 网上收款"))</f>
        <v/>
      </c>
      <c r="F203" s="6">
        <f>IF($A203="","",SUMIFS('Debtor Ledger'!$K$2:$K$3001,'Debtor Ledger'!$C$2:$C$3001,$A203))</f>
        <v/>
      </c>
      <c r="G203" s="6">
        <f>IF($A203="","",ROUND(B203+C203-D203-E203-F203,2))</f>
        <v/>
      </c>
    </row>
    <row r="204">
      <c r="A204">
        <f>IF('Opening Balance'!I203="","",'Opening Balance'!I203)</f>
        <v/>
      </c>
      <c r="B204" s="6">
        <f>IF($A204="","",SUMIFS('Opening Balance'!$F$4:$F$303,'Opening Balance'!$G$4:$G$303,$A204))</f>
        <v/>
      </c>
      <c r="C204" s="6">
        <f>IF($A204="","",SUMIFS('Daily Sale entry '!$S$2:$S$1501,'Daily Sale entry '!$P$2:$P$1501,$A204,'Daily Sale entry '!$Q$2:$Q$1501,"Credit Sale 赊销"))</f>
        <v/>
      </c>
      <c r="D204" s="6">
        <f>IF($A204="","",SUMIFS('Daily Sale entry '!$S$2:$S$1501,'Daily Sale entry '!$P$2:$P$1501,$A204,'Daily Sale entry '!$Q$2:$Q$1501,"Collection 收款"))</f>
        <v/>
      </c>
      <c r="E204" s="6">
        <f>IF($A204="","",SUMIFS('Daily Sale entry '!$AC$2:$AC$1501,'Daily Sale entry '!$AA$2:$AA$1501,$A204,'Daily Sale entry '!$Z$2:$Z$1501,"Online collection 网上收款"))</f>
        <v/>
      </c>
      <c r="F204" s="6">
        <f>IF($A204="","",SUMIFS('Debtor Ledger'!$K$2:$K$3001,'Debtor Ledger'!$C$2:$C$3001,$A204))</f>
        <v/>
      </c>
      <c r="G204" s="6">
        <f>IF($A204="","",ROUND(B204+C204-D204-E204-F204,2))</f>
        <v/>
      </c>
    </row>
    <row r="205">
      <c r="A205">
        <f>IF('Opening Balance'!I204="","",'Opening Balance'!I204)</f>
        <v/>
      </c>
      <c r="B205" s="6">
        <f>IF($A205="","",SUMIFS('Opening Balance'!$F$4:$F$303,'Opening Balance'!$G$4:$G$303,$A205))</f>
        <v/>
      </c>
      <c r="C205" s="6">
        <f>IF($A205="","",SUMIFS('Daily Sale entry '!$S$2:$S$1501,'Daily Sale entry '!$P$2:$P$1501,$A205,'Daily Sale entry '!$Q$2:$Q$1501,"Credit Sale 赊销"))</f>
        <v/>
      </c>
      <c r="D205" s="6">
        <f>IF($A205="","",SUMIFS('Daily Sale entry '!$S$2:$S$1501,'Daily Sale entry '!$P$2:$P$1501,$A205,'Daily Sale entry '!$Q$2:$Q$1501,"Collection 收款"))</f>
        <v/>
      </c>
      <c r="E205" s="6">
        <f>IF($A205="","",SUMIFS('Daily Sale entry '!$AC$2:$AC$1501,'Daily Sale entry '!$AA$2:$AA$1501,$A205,'Daily Sale entry '!$Z$2:$Z$1501,"Online collection 网上收款"))</f>
        <v/>
      </c>
      <c r="F205" s="6">
        <f>IF($A205="","",SUMIFS('Debtor Ledger'!$K$2:$K$3001,'Debtor Ledger'!$C$2:$C$3001,$A205))</f>
        <v/>
      </c>
      <c r="G205" s="6">
        <f>IF($A205="","",ROUND(B205+C205-D205-E205-F205,2))</f>
        <v/>
      </c>
    </row>
    <row r="206">
      <c r="A206">
        <f>IF('Opening Balance'!I205="","",'Opening Balance'!I205)</f>
        <v/>
      </c>
      <c r="B206" s="6">
        <f>IF($A206="","",SUMIFS('Opening Balance'!$F$4:$F$303,'Opening Balance'!$G$4:$G$303,$A206))</f>
        <v/>
      </c>
      <c r="C206" s="6">
        <f>IF($A206="","",SUMIFS('Daily Sale entry '!$S$2:$S$1501,'Daily Sale entry '!$P$2:$P$1501,$A206,'Daily Sale entry '!$Q$2:$Q$1501,"Credit Sale 赊销"))</f>
        <v/>
      </c>
      <c r="D206" s="6">
        <f>IF($A206="","",SUMIFS('Daily Sale entry '!$S$2:$S$1501,'Daily Sale entry '!$P$2:$P$1501,$A206,'Daily Sale entry '!$Q$2:$Q$1501,"Collection 收款"))</f>
        <v/>
      </c>
      <c r="E206" s="6">
        <f>IF($A206="","",SUMIFS('Daily Sale entry '!$AC$2:$AC$1501,'Daily Sale entry '!$AA$2:$AA$1501,$A206,'Daily Sale entry '!$Z$2:$Z$1501,"Online collection 网上收款"))</f>
        <v/>
      </c>
      <c r="F206" s="6">
        <f>IF($A206="","",SUMIFS('Debtor Ledger'!$K$2:$K$3001,'Debtor Ledger'!$C$2:$C$3001,$A206))</f>
        <v/>
      </c>
      <c r="G206" s="6">
        <f>IF($A206="","",ROUND(B206+C206-D206-E206-F206,2))</f>
        <v/>
      </c>
    </row>
    <row r="207">
      <c r="A207">
        <f>IF('Opening Balance'!I206="","",'Opening Balance'!I206)</f>
        <v/>
      </c>
      <c r="B207" s="6">
        <f>IF($A207="","",SUMIFS('Opening Balance'!$F$4:$F$303,'Opening Balance'!$G$4:$G$303,$A207))</f>
        <v/>
      </c>
      <c r="C207" s="6">
        <f>IF($A207="","",SUMIFS('Daily Sale entry '!$S$2:$S$1501,'Daily Sale entry '!$P$2:$P$1501,$A207,'Daily Sale entry '!$Q$2:$Q$1501,"Credit Sale 赊销"))</f>
        <v/>
      </c>
      <c r="D207" s="6">
        <f>IF($A207="","",SUMIFS('Daily Sale entry '!$S$2:$S$1501,'Daily Sale entry '!$P$2:$P$1501,$A207,'Daily Sale entry '!$Q$2:$Q$1501,"Collection 收款"))</f>
        <v/>
      </c>
      <c r="E207" s="6">
        <f>IF($A207="","",SUMIFS('Daily Sale entry '!$AC$2:$AC$1501,'Daily Sale entry '!$AA$2:$AA$1501,$A207,'Daily Sale entry '!$Z$2:$Z$1501,"Online collection 网上收款"))</f>
        <v/>
      </c>
      <c r="F207" s="6">
        <f>IF($A207="","",SUMIFS('Debtor Ledger'!$K$2:$K$3001,'Debtor Ledger'!$C$2:$C$3001,$A207))</f>
        <v/>
      </c>
      <c r="G207" s="6">
        <f>IF($A207="","",ROUND(B207+C207-D207-E207-F207,2))</f>
        <v/>
      </c>
    </row>
    <row r="208">
      <c r="A208">
        <f>IF('Opening Balance'!I207="","",'Opening Balance'!I207)</f>
        <v/>
      </c>
      <c r="B208" s="6">
        <f>IF($A208="","",SUMIFS('Opening Balance'!$F$4:$F$303,'Opening Balance'!$G$4:$G$303,$A208))</f>
        <v/>
      </c>
      <c r="C208" s="6">
        <f>IF($A208="","",SUMIFS('Daily Sale entry '!$S$2:$S$1501,'Daily Sale entry '!$P$2:$P$1501,$A208,'Daily Sale entry '!$Q$2:$Q$1501,"Credit Sale 赊销"))</f>
        <v/>
      </c>
      <c r="D208" s="6">
        <f>IF($A208="","",SUMIFS('Daily Sale entry '!$S$2:$S$1501,'Daily Sale entry '!$P$2:$P$1501,$A208,'Daily Sale entry '!$Q$2:$Q$1501,"Collection 收款"))</f>
        <v/>
      </c>
      <c r="E208" s="6">
        <f>IF($A208="","",SUMIFS('Daily Sale entry '!$AC$2:$AC$1501,'Daily Sale entry '!$AA$2:$AA$1501,$A208,'Daily Sale entry '!$Z$2:$Z$1501,"Online collection 网上收款"))</f>
        <v/>
      </c>
      <c r="F208" s="6">
        <f>IF($A208="","",SUMIFS('Debtor Ledger'!$K$2:$K$3001,'Debtor Ledger'!$C$2:$C$3001,$A208))</f>
        <v/>
      </c>
      <c r="G208" s="6">
        <f>IF($A208="","",ROUND(B208+C208-D208-E208-F208,2))</f>
        <v/>
      </c>
    </row>
    <row r="209">
      <c r="A209">
        <f>IF('Opening Balance'!I208="","",'Opening Balance'!I208)</f>
        <v/>
      </c>
      <c r="B209" s="6">
        <f>IF($A209="","",SUMIFS('Opening Balance'!$F$4:$F$303,'Opening Balance'!$G$4:$G$303,$A209))</f>
        <v/>
      </c>
      <c r="C209" s="6">
        <f>IF($A209="","",SUMIFS('Daily Sale entry '!$S$2:$S$1501,'Daily Sale entry '!$P$2:$P$1501,$A209,'Daily Sale entry '!$Q$2:$Q$1501,"Credit Sale 赊销"))</f>
        <v/>
      </c>
      <c r="D209" s="6">
        <f>IF($A209="","",SUMIFS('Daily Sale entry '!$S$2:$S$1501,'Daily Sale entry '!$P$2:$P$1501,$A209,'Daily Sale entry '!$Q$2:$Q$1501,"Collection 收款"))</f>
        <v/>
      </c>
      <c r="E209" s="6">
        <f>IF($A209="","",SUMIFS('Daily Sale entry '!$AC$2:$AC$1501,'Daily Sale entry '!$AA$2:$AA$1501,$A209,'Daily Sale entry '!$Z$2:$Z$1501,"Online collection 网上收款"))</f>
        <v/>
      </c>
      <c r="F209" s="6">
        <f>IF($A209="","",SUMIFS('Debtor Ledger'!$K$2:$K$3001,'Debtor Ledger'!$C$2:$C$3001,$A209))</f>
        <v/>
      </c>
      <c r="G209" s="6">
        <f>IF($A209="","",ROUND(B209+C209-D209-E209-F209,2))</f>
        <v/>
      </c>
    </row>
    <row r="210">
      <c r="A210">
        <f>IF('Opening Balance'!I209="","",'Opening Balance'!I209)</f>
        <v/>
      </c>
      <c r="B210" s="6">
        <f>IF($A210="","",SUMIFS('Opening Balance'!$F$4:$F$303,'Opening Balance'!$G$4:$G$303,$A210))</f>
        <v/>
      </c>
      <c r="C210" s="6">
        <f>IF($A210="","",SUMIFS('Daily Sale entry '!$S$2:$S$1501,'Daily Sale entry '!$P$2:$P$1501,$A210,'Daily Sale entry '!$Q$2:$Q$1501,"Credit Sale 赊销"))</f>
        <v/>
      </c>
      <c r="D210" s="6">
        <f>IF($A210="","",SUMIFS('Daily Sale entry '!$S$2:$S$1501,'Daily Sale entry '!$P$2:$P$1501,$A210,'Daily Sale entry '!$Q$2:$Q$1501,"Collection 收款"))</f>
        <v/>
      </c>
      <c r="E210" s="6">
        <f>IF($A210="","",SUMIFS('Daily Sale entry '!$AC$2:$AC$1501,'Daily Sale entry '!$AA$2:$AA$1501,$A210,'Daily Sale entry '!$Z$2:$Z$1501,"Online collection 网上收款"))</f>
        <v/>
      </c>
      <c r="F210" s="6">
        <f>IF($A210="","",SUMIFS('Debtor Ledger'!$K$2:$K$3001,'Debtor Ledger'!$C$2:$C$3001,$A210))</f>
        <v/>
      </c>
      <c r="G210" s="6">
        <f>IF($A210="","",ROUND(B210+C210-D210-E210-F210,2))</f>
        <v/>
      </c>
    </row>
    <row r="211">
      <c r="A211">
        <f>IF('Opening Balance'!I210="","",'Opening Balance'!I210)</f>
        <v/>
      </c>
      <c r="B211" s="6">
        <f>IF($A211="","",SUMIFS('Opening Balance'!$F$4:$F$303,'Opening Balance'!$G$4:$G$303,$A211))</f>
        <v/>
      </c>
      <c r="C211" s="6">
        <f>IF($A211="","",SUMIFS('Daily Sale entry '!$S$2:$S$1501,'Daily Sale entry '!$P$2:$P$1501,$A211,'Daily Sale entry '!$Q$2:$Q$1501,"Credit Sale 赊销"))</f>
        <v/>
      </c>
      <c r="D211" s="6">
        <f>IF($A211="","",SUMIFS('Daily Sale entry '!$S$2:$S$1501,'Daily Sale entry '!$P$2:$P$1501,$A211,'Daily Sale entry '!$Q$2:$Q$1501,"Collection 收款"))</f>
        <v/>
      </c>
      <c r="E211" s="6">
        <f>IF($A211="","",SUMIFS('Daily Sale entry '!$AC$2:$AC$1501,'Daily Sale entry '!$AA$2:$AA$1501,$A211,'Daily Sale entry '!$Z$2:$Z$1501,"Online collection 网上收款"))</f>
        <v/>
      </c>
      <c r="F211" s="6">
        <f>IF($A211="","",SUMIFS('Debtor Ledger'!$K$2:$K$3001,'Debtor Ledger'!$C$2:$C$3001,$A211))</f>
        <v/>
      </c>
      <c r="G211" s="6">
        <f>IF($A211="","",ROUND(B211+C211-D211-E211-F211,2))</f>
        <v/>
      </c>
    </row>
    <row r="212">
      <c r="A212">
        <f>IF('Opening Balance'!I211="","",'Opening Balance'!I211)</f>
        <v/>
      </c>
      <c r="B212" s="6">
        <f>IF($A212="","",SUMIFS('Opening Balance'!$F$4:$F$303,'Opening Balance'!$G$4:$G$303,$A212))</f>
        <v/>
      </c>
      <c r="C212" s="6">
        <f>IF($A212="","",SUMIFS('Daily Sale entry '!$S$2:$S$1501,'Daily Sale entry '!$P$2:$P$1501,$A212,'Daily Sale entry '!$Q$2:$Q$1501,"Credit Sale 赊销"))</f>
        <v/>
      </c>
      <c r="D212" s="6">
        <f>IF($A212="","",SUMIFS('Daily Sale entry '!$S$2:$S$1501,'Daily Sale entry '!$P$2:$P$1501,$A212,'Daily Sale entry '!$Q$2:$Q$1501,"Collection 收款"))</f>
        <v/>
      </c>
      <c r="E212" s="6">
        <f>IF($A212="","",SUMIFS('Daily Sale entry '!$AC$2:$AC$1501,'Daily Sale entry '!$AA$2:$AA$1501,$A212,'Daily Sale entry '!$Z$2:$Z$1501,"Online collection 网上收款"))</f>
        <v/>
      </c>
      <c r="F212" s="6">
        <f>IF($A212="","",SUMIFS('Debtor Ledger'!$K$2:$K$3001,'Debtor Ledger'!$C$2:$C$3001,$A212))</f>
        <v/>
      </c>
      <c r="G212" s="6">
        <f>IF($A212="","",ROUND(B212+C212-D212-E212-F212,2))</f>
        <v/>
      </c>
    </row>
    <row r="213">
      <c r="A213">
        <f>IF('Opening Balance'!I212="","",'Opening Balance'!I212)</f>
        <v/>
      </c>
      <c r="B213" s="6">
        <f>IF($A213="","",SUMIFS('Opening Balance'!$F$4:$F$303,'Opening Balance'!$G$4:$G$303,$A213))</f>
        <v/>
      </c>
      <c r="C213" s="6">
        <f>IF($A213="","",SUMIFS('Daily Sale entry '!$S$2:$S$1501,'Daily Sale entry '!$P$2:$P$1501,$A213,'Daily Sale entry '!$Q$2:$Q$1501,"Credit Sale 赊销"))</f>
        <v/>
      </c>
      <c r="D213" s="6">
        <f>IF($A213="","",SUMIFS('Daily Sale entry '!$S$2:$S$1501,'Daily Sale entry '!$P$2:$P$1501,$A213,'Daily Sale entry '!$Q$2:$Q$1501,"Collection 收款"))</f>
        <v/>
      </c>
      <c r="E213" s="6">
        <f>IF($A213="","",SUMIFS('Daily Sale entry '!$AC$2:$AC$1501,'Daily Sale entry '!$AA$2:$AA$1501,$A213,'Daily Sale entry '!$Z$2:$Z$1501,"Online collection 网上收款"))</f>
        <v/>
      </c>
      <c r="F213" s="6">
        <f>IF($A213="","",SUMIFS('Debtor Ledger'!$K$2:$K$3001,'Debtor Ledger'!$C$2:$C$3001,$A213))</f>
        <v/>
      </c>
      <c r="G213" s="6">
        <f>IF($A213="","",ROUND(B213+C213-D213-E213-F213,2))</f>
        <v/>
      </c>
    </row>
    <row r="214">
      <c r="A214">
        <f>IF('Opening Balance'!I213="","",'Opening Balance'!I213)</f>
        <v/>
      </c>
      <c r="B214" s="6">
        <f>IF($A214="","",SUMIFS('Opening Balance'!$F$4:$F$303,'Opening Balance'!$G$4:$G$303,$A214))</f>
        <v/>
      </c>
      <c r="C214" s="6">
        <f>IF($A214="","",SUMIFS('Daily Sale entry '!$S$2:$S$1501,'Daily Sale entry '!$P$2:$P$1501,$A214,'Daily Sale entry '!$Q$2:$Q$1501,"Credit Sale 赊销"))</f>
        <v/>
      </c>
      <c r="D214" s="6">
        <f>IF($A214="","",SUMIFS('Daily Sale entry '!$S$2:$S$1501,'Daily Sale entry '!$P$2:$P$1501,$A214,'Daily Sale entry '!$Q$2:$Q$1501,"Collection 收款"))</f>
        <v/>
      </c>
      <c r="E214" s="6">
        <f>IF($A214="","",SUMIFS('Daily Sale entry '!$AC$2:$AC$1501,'Daily Sale entry '!$AA$2:$AA$1501,$A214,'Daily Sale entry '!$Z$2:$Z$1501,"Online collection 网上收款"))</f>
        <v/>
      </c>
      <c r="F214" s="6">
        <f>IF($A214="","",SUMIFS('Debtor Ledger'!$K$2:$K$3001,'Debtor Ledger'!$C$2:$C$3001,$A214))</f>
        <v/>
      </c>
      <c r="G214" s="6">
        <f>IF($A214="","",ROUND(B214+C214-D214-E214-F214,2))</f>
        <v/>
      </c>
    </row>
    <row r="215">
      <c r="A215">
        <f>IF('Opening Balance'!I214="","",'Opening Balance'!I214)</f>
        <v/>
      </c>
      <c r="B215" s="6">
        <f>IF($A215="","",SUMIFS('Opening Balance'!$F$4:$F$303,'Opening Balance'!$G$4:$G$303,$A215))</f>
        <v/>
      </c>
      <c r="C215" s="6">
        <f>IF($A215="","",SUMIFS('Daily Sale entry '!$S$2:$S$1501,'Daily Sale entry '!$P$2:$P$1501,$A215,'Daily Sale entry '!$Q$2:$Q$1501,"Credit Sale 赊销"))</f>
        <v/>
      </c>
      <c r="D215" s="6">
        <f>IF($A215="","",SUMIFS('Daily Sale entry '!$S$2:$S$1501,'Daily Sale entry '!$P$2:$P$1501,$A215,'Daily Sale entry '!$Q$2:$Q$1501,"Collection 收款"))</f>
        <v/>
      </c>
      <c r="E215" s="6">
        <f>IF($A215="","",SUMIFS('Daily Sale entry '!$AC$2:$AC$1501,'Daily Sale entry '!$AA$2:$AA$1501,$A215,'Daily Sale entry '!$Z$2:$Z$1501,"Online collection 网上收款"))</f>
        <v/>
      </c>
      <c r="F215" s="6">
        <f>IF($A215="","",SUMIFS('Debtor Ledger'!$K$2:$K$3001,'Debtor Ledger'!$C$2:$C$3001,$A215))</f>
        <v/>
      </c>
      <c r="G215" s="6">
        <f>IF($A215="","",ROUND(B215+C215-D215-E215-F215,2))</f>
        <v/>
      </c>
    </row>
    <row r="216">
      <c r="A216">
        <f>IF('Opening Balance'!I215="","",'Opening Balance'!I215)</f>
        <v/>
      </c>
      <c r="B216" s="6">
        <f>IF($A216="","",SUMIFS('Opening Balance'!$F$4:$F$303,'Opening Balance'!$G$4:$G$303,$A216))</f>
        <v/>
      </c>
      <c r="C216" s="6">
        <f>IF($A216="","",SUMIFS('Daily Sale entry '!$S$2:$S$1501,'Daily Sale entry '!$P$2:$P$1501,$A216,'Daily Sale entry '!$Q$2:$Q$1501,"Credit Sale 赊销"))</f>
        <v/>
      </c>
      <c r="D216" s="6">
        <f>IF($A216="","",SUMIFS('Daily Sale entry '!$S$2:$S$1501,'Daily Sale entry '!$P$2:$P$1501,$A216,'Daily Sale entry '!$Q$2:$Q$1501,"Collection 收款"))</f>
        <v/>
      </c>
      <c r="E216" s="6">
        <f>IF($A216="","",SUMIFS('Daily Sale entry '!$AC$2:$AC$1501,'Daily Sale entry '!$AA$2:$AA$1501,$A216,'Daily Sale entry '!$Z$2:$Z$1501,"Online collection 网上收款"))</f>
        <v/>
      </c>
      <c r="F216" s="6">
        <f>IF($A216="","",SUMIFS('Debtor Ledger'!$K$2:$K$3001,'Debtor Ledger'!$C$2:$C$3001,$A216))</f>
        <v/>
      </c>
      <c r="G216" s="6">
        <f>IF($A216="","",ROUND(B216+C216-D216-E216-F216,2))</f>
        <v/>
      </c>
    </row>
    <row r="217">
      <c r="A217">
        <f>IF('Opening Balance'!I216="","",'Opening Balance'!I216)</f>
        <v/>
      </c>
      <c r="B217" s="6">
        <f>IF($A217="","",SUMIFS('Opening Balance'!$F$4:$F$303,'Opening Balance'!$G$4:$G$303,$A217))</f>
        <v/>
      </c>
      <c r="C217" s="6">
        <f>IF($A217="","",SUMIFS('Daily Sale entry '!$S$2:$S$1501,'Daily Sale entry '!$P$2:$P$1501,$A217,'Daily Sale entry '!$Q$2:$Q$1501,"Credit Sale 赊销"))</f>
        <v/>
      </c>
      <c r="D217" s="6">
        <f>IF($A217="","",SUMIFS('Daily Sale entry '!$S$2:$S$1501,'Daily Sale entry '!$P$2:$P$1501,$A217,'Daily Sale entry '!$Q$2:$Q$1501,"Collection 收款"))</f>
        <v/>
      </c>
      <c r="E217" s="6">
        <f>IF($A217="","",SUMIFS('Daily Sale entry '!$AC$2:$AC$1501,'Daily Sale entry '!$AA$2:$AA$1501,$A217,'Daily Sale entry '!$Z$2:$Z$1501,"Online collection 网上收款"))</f>
        <v/>
      </c>
      <c r="F217" s="6">
        <f>IF($A217="","",SUMIFS('Debtor Ledger'!$K$2:$K$3001,'Debtor Ledger'!$C$2:$C$3001,$A217))</f>
        <v/>
      </c>
      <c r="G217" s="6">
        <f>IF($A217="","",ROUND(B217+C217-D217-E217-F217,2))</f>
        <v/>
      </c>
    </row>
    <row r="218">
      <c r="A218">
        <f>IF('Opening Balance'!I217="","",'Opening Balance'!I217)</f>
        <v/>
      </c>
      <c r="B218" s="6">
        <f>IF($A218="","",SUMIFS('Opening Balance'!$F$4:$F$303,'Opening Balance'!$G$4:$G$303,$A218))</f>
        <v/>
      </c>
      <c r="C218" s="6">
        <f>IF($A218="","",SUMIFS('Daily Sale entry '!$S$2:$S$1501,'Daily Sale entry '!$P$2:$P$1501,$A218,'Daily Sale entry '!$Q$2:$Q$1501,"Credit Sale 赊销"))</f>
        <v/>
      </c>
      <c r="D218" s="6">
        <f>IF($A218="","",SUMIFS('Daily Sale entry '!$S$2:$S$1501,'Daily Sale entry '!$P$2:$P$1501,$A218,'Daily Sale entry '!$Q$2:$Q$1501,"Collection 收款"))</f>
        <v/>
      </c>
      <c r="E218" s="6">
        <f>IF($A218="","",SUMIFS('Daily Sale entry '!$AC$2:$AC$1501,'Daily Sale entry '!$AA$2:$AA$1501,$A218,'Daily Sale entry '!$Z$2:$Z$1501,"Online collection 网上收款"))</f>
        <v/>
      </c>
      <c r="F218" s="6">
        <f>IF($A218="","",SUMIFS('Debtor Ledger'!$K$2:$K$3001,'Debtor Ledger'!$C$2:$C$3001,$A218))</f>
        <v/>
      </c>
      <c r="G218" s="6">
        <f>IF($A218="","",ROUND(B218+C218-D218-E218-F218,2))</f>
        <v/>
      </c>
    </row>
    <row r="219">
      <c r="A219">
        <f>IF('Opening Balance'!I218="","",'Opening Balance'!I218)</f>
        <v/>
      </c>
      <c r="B219" s="6">
        <f>IF($A219="","",SUMIFS('Opening Balance'!$F$4:$F$303,'Opening Balance'!$G$4:$G$303,$A219))</f>
        <v/>
      </c>
      <c r="C219" s="6">
        <f>IF($A219="","",SUMIFS('Daily Sale entry '!$S$2:$S$1501,'Daily Sale entry '!$P$2:$P$1501,$A219,'Daily Sale entry '!$Q$2:$Q$1501,"Credit Sale 赊销"))</f>
        <v/>
      </c>
      <c r="D219" s="6">
        <f>IF($A219="","",SUMIFS('Daily Sale entry '!$S$2:$S$1501,'Daily Sale entry '!$P$2:$P$1501,$A219,'Daily Sale entry '!$Q$2:$Q$1501,"Collection 收款"))</f>
        <v/>
      </c>
      <c r="E219" s="6">
        <f>IF($A219="","",SUMIFS('Daily Sale entry '!$AC$2:$AC$1501,'Daily Sale entry '!$AA$2:$AA$1501,$A219,'Daily Sale entry '!$Z$2:$Z$1501,"Online collection 网上收款"))</f>
        <v/>
      </c>
      <c r="F219" s="6">
        <f>IF($A219="","",SUMIFS('Debtor Ledger'!$K$2:$K$3001,'Debtor Ledger'!$C$2:$C$3001,$A219))</f>
        <v/>
      </c>
      <c r="G219" s="6">
        <f>IF($A219="","",ROUND(B219+C219-D219-E219-F219,2))</f>
        <v/>
      </c>
    </row>
    <row r="220">
      <c r="A220">
        <f>IF('Opening Balance'!I219="","",'Opening Balance'!I219)</f>
        <v/>
      </c>
      <c r="B220" s="6">
        <f>IF($A220="","",SUMIFS('Opening Balance'!$F$4:$F$303,'Opening Balance'!$G$4:$G$303,$A220))</f>
        <v/>
      </c>
      <c r="C220" s="6">
        <f>IF($A220="","",SUMIFS('Daily Sale entry '!$S$2:$S$1501,'Daily Sale entry '!$P$2:$P$1501,$A220,'Daily Sale entry '!$Q$2:$Q$1501,"Credit Sale 赊销"))</f>
        <v/>
      </c>
      <c r="D220" s="6">
        <f>IF($A220="","",SUMIFS('Daily Sale entry '!$S$2:$S$1501,'Daily Sale entry '!$P$2:$P$1501,$A220,'Daily Sale entry '!$Q$2:$Q$1501,"Collection 收款"))</f>
        <v/>
      </c>
      <c r="E220" s="6">
        <f>IF($A220="","",SUMIFS('Daily Sale entry '!$AC$2:$AC$1501,'Daily Sale entry '!$AA$2:$AA$1501,$A220,'Daily Sale entry '!$Z$2:$Z$1501,"Online collection 网上收款"))</f>
        <v/>
      </c>
      <c r="F220" s="6">
        <f>IF($A220="","",SUMIFS('Debtor Ledger'!$K$2:$K$3001,'Debtor Ledger'!$C$2:$C$3001,$A220))</f>
        <v/>
      </c>
      <c r="G220" s="6">
        <f>IF($A220="","",ROUND(B220+C220-D220-E220-F220,2))</f>
        <v/>
      </c>
    </row>
    <row r="221">
      <c r="A221">
        <f>IF('Opening Balance'!I220="","",'Opening Balance'!I220)</f>
        <v/>
      </c>
      <c r="B221" s="6">
        <f>IF($A221="","",SUMIFS('Opening Balance'!$F$4:$F$303,'Opening Balance'!$G$4:$G$303,$A221))</f>
        <v/>
      </c>
      <c r="C221" s="6">
        <f>IF($A221="","",SUMIFS('Daily Sale entry '!$S$2:$S$1501,'Daily Sale entry '!$P$2:$P$1501,$A221,'Daily Sale entry '!$Q$2:$Q$1501,"Credit Sale 赊销"))</f>
        <v/>
      </c>
      <c r="D221" s="6">
        <f>IF($A221="","",SUMIFS('Daily Sale entry '!$S$2:$S$1501,'Daily Sale entry '!$P$2:$P$1501,$A221,'Daily Sale entry '!$Q$2:$Q$1501,"Collection 收款"))</f>
        <v/>
      </c>
      <c r="E221" s="6">
        <f>IF($A221="","",SUMIFS('Daily Sale entry '!$AC$2:$AC$1501,'Daily Sale entry '!$AA$2:$AA$1501,$A221,'Daily Sale entry '!$Z$2:$Z$1501,"Online collection 网上收款"))</f>
        <v/>
      </c>
      <c r="F221" s="6">
        <f>IF($A221="","",SUMIFS('Debtor Ledger'!$K$2:$K$3001,'Debtor Ledger'!$C$2:$C$3001,$A221))</f>
        <v/>
      </c>
      <c r="G221" s="6">
        <f>IF($A221="","",ROUND(B221+C221-D221-E221-F221,2))</f>
        <v/>
      </c>
    </row>
    <row r="222">
      <c r="A222">
        <f>IF('Opening Balance'!I221="","",'Opening Balance'!I221)</f>
        <v/>
      </c>
      <c r="B222" s="6">
        <f>IF($A222="","",SUMIFS('Opening Balance'!$F$4:$F$303,'Opening Balance'!$G$4:$G$303,$A222))</f>
        <v/>
      </c>
      <c r="C222" s="6">
        <f>IF($A222="","",SUMIFS('Daily Sale entry '!$S$2:$S$1501,'Daily Sale entry '!$P$2:$P$1501,$A222,'Daily Sale entry '!$Q$2:$Q$1501,"Credit Sale 赊销"))</f>
        <v/>
      </c>
      <c r="D222" s="6">
        <f>IF($A222="","",SUMIFS('Daily Sale entry '!$S$2:$S$1501,'Daily Sale entry '!$P$2:$P$1501,$A222,'Daily Sale entry '!$Q$2:$Q$1501,"Collection 收款"))</f>
        <v/>
      </c>
      <c r="E222" s="6">
        <f>IF($A222="","",SUMIFS('Daily Sale entry '!$AC$2:$AC$1501,'Daily Sale entry '!$AA$2:$AA$1501,$A222,'Daily Sale entry '!$Z$2:$Z$1501,"Online collection 网上收款"))</f>
        <v/>
      </c>
      <c r="F222" s="6">
        <f>IF($A222="","",SUMIFS('Debtor Ledger'!$K$2:$K$3001,'Debtor Ledger'!$C$2:$C$3001,$A222))</f>
        <v/>
      </c>
      <c r="G222" s="6">
        <f>IF($A222="","",ROUND(B222+C222-D222-E222-F222,2))</f>
        <v/>
      </c>
    </row>
    <row r="223">
      <c r="A223">
        <f>IF('Opening Balance'!I222="","",'Opening Balance'!I222)</f>
        <v/>
      </c>
      <c r="B223" s="6">
        <f>IF($A223="","",SUMIFS('Opening Balance'!$F$4:$F$303,'Opening Balance'!$G$4:$G$303,$A223))</f>
        <v/>
      </c>
      <c r="C223" s="6">
        <f>IF($A223="","",SUMIFS('Daily Sale entry '!$S$2:$S$1501,'Daily Sale entry '!$P$2:$P$1501,$A223,'Daily Sale entry '!$Q$2:$Q$1501,"Credit Sale 赊销"))</f>
        <v/>
      </c>
      <c r="D223" s="6">
        <f>IF($A223="","",SUMIFS('Daily Sale entry '!$S$2:$S$1501,'Daily Sale entry '!$P$2:$P$1501,$A223,'Daily Sale entry '!$Q$2:$Q$1501,"Collection 收款"))</f>
        <v/>
      </c>
      <c r="E223" s="6">
        <f>IF($A223="","",SUMIFS('Daily Sale entry '!$AC$2:$AC$1501,'Daily Sale entry '!$AA$2:$AA$1501,$A223,'Daily Sale entry '!$Z$2:$Z$1501,"Online collection 网上收款"))</f>
        <v/>
      </c>
      <c r="F223" s="6">
        <f>IF($A223="","",SUMIFS('Debtor Ledger'!$K$2:$K$3001,'Debtor Ledger'!$C$2:$C$3001,$A223))</f>
        <v/>
      </c>
      <c r="G223" s="6">
        <f>IF($A223="","",ROUND(B223+C223-D223-E223-F223,2))</f>
        <v/>
      </c>
    </row>
    <row r="224">
      <c r="A224">
        <f>IF('Opening Balance'!I223="","",'Opening Balance'!I223)</f>
        <v/>
      </c>
      <c r="B224" s="6">
        <f>IF($A224="","",SUMIFS('Opening Balance'!$F$4:$F$303,'Opening Balance'!$G$4:$G$303,$A224))</f>
        <v/>
      </c>
      <c r="C224" s="6">
        <f>IF($A224="","",SUMIFS('Daily Sale entry '!$S$2:$S$1501,'Daily Sale entry '!$P$2:$P$1501,$A224,'Daily Sale entry '!$Q$2:$Q$1501,"Credit Sale 赊销"))</f>
        <v/>
      </c>
      <c r="D224" s="6">
        <f>IF($A224="","",SUMIFS('Daily Sale entry '!$S$2:$S$1501,'Daily Sale entry '!$P$2:$P$1501,$A224,'Daily Sale entry '!$Q$2:$Q$1501,"Collection 收款"))</f>
        <v/>
      </c>
      <c r="E224" s="6">
        <f>IF($A224="","",SUMIFS('Daily Sale entry '!$AC$2:$AC$1501,'Daily Sale entry '!$AA$2:$AA$1501,$A224,'Daily Sale entry '!$Z$2:$Z$1501,"Online collection 网上收款"))</f>
        <v/>
      </c>
      <c r="F224" s="6">
        <f>IF($A224="","",SUMIFS('Debtor Ledger'!$K$2:$K$3001,'Debtor Ledger'!$C$2:$C$3001,$A224))</f>
        <v/>
      </c>
      <c r="G224" s="6">
        <f>IF($A224="","",ROUND(B224+C224-D224-E224-F224,2))</f>
        <v/>
      </c>
    </row>
    <row r="225">
      <c r="A225">
        <f>IF('Opening Balance'!I224="","",'Opening Balance'!I224)</f>
        <v/>
      </c>
      <c r="B225" s="6">
        <f>IF($A225="","",SUMIFS('Opening Balance'!$F$4:$F$303,'Opening Balance'!$G$4:$G$303,$A225))</f>
        <v/>
      </c>
      <c r="C225" s="6">
        <f>IF($A225="","",SUMIFS('Daily Sale entry '!$S$2:$S$1501,'Daily Sale entry '!$P$2:$P$1501,$A225,'Daily Sale entry '!$Q$2:$Q$1501,"Credit Sale 赊销"))</f>
        <v/>
      </c>
      <c r="D225" s="6">
        <f>IF($A225="","",SUMIFS('Daily Sale entry '!$S$2:$S$1501,'Daily Sale entry '!$P$2:$P$1501,$A225,'Daily Sale entry '!$Q$2:$Q$1501,"Collection 收款"))</f>
        <v/>
      </c>
      <c r="E225" s="6">
        <f>IF($A225="","",SUMIFS('Daily Sale entry '!$AC$2:$AC$1501,'Daily Sale entry '!$AA$2:$AA$1501,$A225,'Daily Sale entry '!$Z$2:$Z$1501,"Online collection 网上收款"))</f>
        <v/>
      </c>
      <c r="F225" s="6">
        <f>IF($A225="","",SUMIFS('Debtor Ledger'!$K$2:$K$3001,'Debtor Ledger'!$C$2:$C$3001,$A225))</f>
        <v/>
      </c>
      <c r="G225" s="6">
        <f>IF($A225="","",ROUND(B225+C225-D225-E225-F225,2))</f>
        <v/>
      </c>
    </row>
    <row r="226">
      <c r="A226">
        <f>IF('Opening Balance'!I225="","",'Opening Balance'!I225)</f>
        <v/>
      </c>
      <c r="B226" s="6">
        <f>IF($A226="","",SUMIFS('Opening Balance'!$F$4:$F$303,'Opening Balance'!$G$4:$G$303,$A226))</f>
        <v/>
      </c>
      <c r="C226" s="6">
        <f>IF($A226="","",SUMIFS('Daily Sale entry '!$S$2:$S$1501,'Daily Sale entry '!$P$2:$P$1501,$A226,'Daily Sale entry '!$Q$2:$Q$1501,"Credit Sale 赊销"))</f>
        <v/>
      </c>
      <c r="D226" s="6">
        <f>IF($A226="","",SUMIFS('Daily Sale entry '!$S$2:$S$1501,'Daily Sale entry '!$P$2:$P$1501,$A226,'Daily Sale entry '!$Q$2:$Q$1501,"Collection 收款"))</f>
        <v/>
      </c>
      <c r="E226" s="6">
        <f>IF($A226="","",SUMIFS('Daily Sale entry '!$AC$2:$AC$1501,'Daily Sale entry '!$AA$2:$AA$1501,$A226,'Daily Sale entry '!$Z$2:$Z$1501,"Online collection 网上收款"))</f>
        <v/>
      </c>
      <c r="F226" s="6">
        <f>IF($A226="","",SUMIFS('Debtor Ledger'!$K$2:$K$3001,'Debtor Ledger'!$C$2:$C$3001,$A226))</f>
        <v/>
      </c>
      <c r="G226" s="6">
        <f>IF($A226="","",ROUND(B226+C226-D226-E226-F226,2))</f>
        <v/>
      </c>
    </row>
    <row r="227">
      <c r="A227">
        <f>IF('Opening Balance'!I226="","",'Opening Balance'!I226)</f>
        <v/>
      </c>
      <c r="B227" s="6">
        <f>IF($A227="","",SUMIFS('Opening Balance'!$F$4:$F$303,'Opening Balance'!$G$4:$G$303,$A227))</f>
        <v/>
      </c>
      <c r="C227" s="6">
        <f>IF($A227="","",SUMIFS('Daily Sale entry '!$S$2:$S$1501,'Daily Sale entry '!$P$2:$P$1501,$A227,'Daily Sale entry '!$Q$2:$Q$1501,"Credit Sale 赊销"))</f>
        <v/>
      </c>
      <c r="D227" s="6">
        <f>IF($A227="","",SUMIFS('Daily Sale entry '!$S$2:$S$1501,'Daily Sale entry '!$P$2:$P$1501,$A227,'Daily Sale entry '!$Q$2:$Q$1501,"Collection 收款"))</f>
        <v/>
      </c>
      <c r="E227" s="6">
        <f>IF($A227="","",SUMIFS('Daily Sale entry '!$AC$2:$AC$1501,'Daily Sale entry '!$AA$2:$AA$1501,$A227,'Daily Sale entry '!$Z$2:$Z$1501,"Online collection 网上收款"))</f>
        <v/>
      </c>
      <c r="F227" s="6">
        <f>IF($A227="","",SUMIFS('Debtor Ledger'!$K$2:$K$3001,'Debtor Ledger'!$C$2:$C$3001,$A227))</f>
        <v/>
      </c>
      <c r="G227" s="6">
        <f>IF($A227="","",ROUND(B227+C227-D227-E227-F227,2))</f>
        <v/>
      </c>
    </row>
    <row r="228">
      <c r="A228">
        <f>IF('Opening Balance'!I227="","",'Opening Balance'!I227)</f>
        <v/>
      </c>
      <c r="B228" s="6">
        <f>IF($A228="","",SUMIFS('Opening Balance'!$F$4:$F$303,'Opening Balance'!$G$4:$G$303,$A228))</f>
        <v/>
      </c>
      <c r="C228" s="6">
        <f>IF($A228="","",SUMIFS('Daily Sale entry '!$S$2:$S$1501,'Daily Sale entry '!$P$2:$P$1501,$A228,'Daily Sale entry '!$Q$2:$Q$1501,"Credit Sale 赊销"))</f>
        <v/>
      </c>
      <c r="D228" s="6">
        <f>IF($A228="","",SUMIFS('Daily Sale entry '!$S$2:$S$1501,'Daily Sale entry '!$P$2:$P$1501,$A228,'Daily Sale entry '!$Q$2:$Q$1501,"Collection 收款"))</f>
        <v/>
      </c>
      <c r="E228" s="6">
        <f>IF($A228="","",SUMIFS('Daily Sale entry '!$AC$2:$AC$1501,'Daily Sale entry '!$AA$2:$AA$1501,$A228,'Daily Sale entry '!$Z$2:$Z$1501,"Online collection 网上收款"))</f>
        <v/>
      </c>
      <c r="F228" s="6">
        <f>IF($A228="","",SUMIFS('Debtor Ledger'!$K$2:$K$3001,'Debtor Ledger'!$C$2:$C$3001,$A228))</f>
        <v/>
      </c>
      <c r="G228" s="6">
        <f>IF($A228="","",ROUND(B228+C228-D228-E228-F228,2))</f>
        <v/>
      </c>
    </row>
    <row r="229">
      <c r="A229">
        <f>IF('Opening Balance'!I228="","",'Opening Balance'!I228)</f>
        <v/>
      </c>
      <c r="B229" s="6">
        <f>IF($A229="","",SUMIFS('Opening Balance'!$F$4:$F$303,'Opening Balance'!$G$4:$G$303,$A229))</f>
        <v/>
      </c>
      <c r="C229" s="6">
        <f>IF($A229="","",SUMIFS('Daily Sale entry '!$S$2:$S$1501,'Daily Sale entry '!$P$2:$P$1501,$A229,'Daily Sale entry '!$Q$2:$Q$1501,"Credit Sale 赊销"))</f>
        <v/>
      </c>
      <c r="D229" s="6">
        <f>IF($A229="","",SUMIFS('Daily Sale entry '!$S$2:$S$1501,'Daily Sale entry '!$P$2:$P$1501,$A229,'Daily Sale entry '!$Q$2:$Q$1501,"Collection 收款"))</f>
        <v/>
      </c>
      <c r="E229" s="6">
        <f>IF($A229="","",SUMIFS('Daily Sale entry '!$AC$2:$AC$1501,'Daily Sale entry '!$AA$2:$AA$1501,$A229,'Daily Sale entry '!$Z$2:$Z$1501,"Online collection 网上收款"))</f>
        <v/>
      </c>
      <c r="F229" s="6">
        <f>IF($A229="","",SUMIFS('Debtor Ledger'!$K$2:$K$3001,'Debtor Ledger'!$C$2:$C$3001,$A229))</f>
        <v/>
      </c>
      <c r="G229" s="6">
        <f>IF($A229="","",ROUND(B229+C229-D229-E229-F229,2))</f>
        <v/>
      </c>
    </row>
    <row r="230">
      <c r="A230">
        <f>IF('Opening Balance'!I229="","",'Opening Balance'!I229)</f>
        <v/>
      </c>
      <c r="B230" s="6">
        <f>IF($A230="","",SUMIFS('Opening Balance'!$F$4:$F$303,'Opening Balance'!$G$4:$G$303,$A230))</f>
        <v/>
      </c>
      <c r="C230" s="6">
        <f>IF($A230="","",SUMIFS('Daily Sale entry '!$S$2:$S$1501,'Daily Sale entry '!$P$2:$P$1501,$A230,'Daily Sale entry '!$Q$2:$Q$1501,"Credit Sale 赊销"))</f>
        <v/>
      </c>
      <c r="D230" s="6">
        <f>IF($A230="","",SUMIFS('Daily Sale entry '!$S$2:$S$1501,'Daily Sale entry '!$P$2:$P$1501,$A230,'Daily Sale entry '!$Q$2:$Q$1501,"Collection 收款"))</f>
        <v/>
      </c>
      <c r="E230" s="6">
        <f>IF($A230="","",SUMIFS('Daily Sale entry '!$AC$2:$AC$1501,'Daily Sale entry '!$AA$2:$AA$1501,$A230,'Daily Sale entry '!$Z$2:$Z$1501,"Online collection 网上收款"))</f>
        <v/>
      </c>
      <c r="F230" s="6">
        <f>IF($A230="","",SUMIFS('Debtor Ledger'!$K$2:$K$3001,'Debtor Ledger'!$C$2:$C$3001,$A230))</f>
        <v/>
      </c>
      <c r="G230" s="6">
        <f>IF($A230="","",ROUND(B230+C230-D230-E230-F230,2))</f>
        <v/>
      </c>
    </row>
    <row r="231">
      <c r="A231">
        <f>IF('Opening Balance'!I230="","",'Opening Balance'!I230)</f>
        <v/>
      </c>
      <c r="B231" s="6">
        <f>IF($A231="","",SUMIFS('Opening Balance'!$F$4:$F$303,'Opening Balance'!$G$4:$G$303,$A231))</f>
        <v/>
      </c>
      <c r="C231" s="6">
        <f>IF($A231="","",SUMIFS('Daily Sale entry '!$S$2:$S$1501,'Daily Sale entry '!$P$2:$P$1501,$A231,'Daily Sale entry '!$Q$2:$Q$1501,"Credit Sale 赊销"))</f>
        <v/>
      </c>
      <c r="D231" s="6">
        <f>IF($A231="","",SUMIFS('Daily Sale entry '!$S$2:$S$1501,'Daily Sale entry '!$P$2:$P$1501,$A231,'Daily Sale entry '!$Q$2:$Q$1501,"Collection 收款"))</f>
        <v/>
      </c>
      <c r="E231" s="6">
        <f>IF($A231="","",SUMIFS('Daily Sale entry '!$AC$2:$AC$1501,'Daily Sale entry '!$AA$2:$AA$1501,$A231,'Daily Sale entry '!$Z$2:$Z$1501,"Online collection 网上收款"))</f>
        <v/>
      </c>
      <c r="F231" s="6">
        <f>IF($A231="","",SUMIFS('Debtor Ledger'!$K$2:$K$3001,'Debtor Ledger'!$C$2:$C$3001,$A231))</f>
        <v/>
      </c>
      <c r="G231" s="6">
        <f>IF($A231="","",ROUND(B231+C231-D231-E231-F231,2))</f>
        <v/>
      </c>
    </row>
    <row r="232">
      <c r="A232">
        <f>IF('Opening Balance'!I231="","",'Opening Balance'!I231)</f>
        <v/>
      </c>
      <c r="B232" s="6">
        <f>IF($A232="","",SUMIFS('Opening Balance'!$F$4:$F$303,'Opening Balance'!$G$4:$G$303,$A232))</f>
        <v/>
      </c>
      <c r="C232" s="6">
        <f>IF($A232="","",SUMIFS('Daily Sale entry '!$S$2:$S$1501,'Daily Sale entry '!$P$2:$P$1501,$A232,'Daily Sale entry '!$Q$2:$Q$1501,"Credit Sale 赊销"))</f>
        <v/>
      </c>
      <c r="D232" s="6">
        <f>IF($A232="","",SUMIFS('Daily Sale entry '!$S$2:$S$1501,'Daily Sale entry '!$P$2:$P$1501,$A232,'Daily Sale entry '!$Q$2:$Q$1501,"Collection 收款"))</f>
        <v/>
      </c>
      <c r="E232" s="6">
        <f>IF($A232="","",SUMIFS('Daily Sale entry '!$AC$2:$AC$1501,'Daily Sale entry '!$AA$2:$AA$1501,$A232,'Daily Sale entry '!$Z$2:$Z$1501,"Online collection 网上收款"))</f>
        <v/>
      </c>
      <c r="F232" s="6">
        <f>IF($A232="","",SUMIFS('Debtor Ledger'!$K$2:$K$3001,'Debtor Ledger'!$C$2:$C$3001,$A232))</f>
        <v/>
      </c>
      <c r="G232" s="6">
        <f>IF($A232="","",ROUND(B232+C232-D232-E232-F232,2))</f>
        <v/>
      </c>
    </row>
    <row r="233">
      <c r="A233">
        <f>IF('Opening Balance'!I232="","",'Opening Balance'!I232)</f>
        <v/>
      </c>
      <c r="B233" s="6">
        <f>IF($A233="","",SUMIFS('Opening Balance'!$F$4:$F$303,'Opening Balance'!$G$4:$G$303,$A233))</f>
        <v/>
      </c>
      <c r="C233" s="6">
        <f>IF($A233="","",SUMIFS('Daily Sale entry '!$S$2:$S$1501,'Daily Sale entry '!$P$2:$P$1501,$A233,'Daily Sale entry '!$Q$2:$Q$1501,"Credit Sale 赊销"))</f>
        <v/>
      </c>
      <c r="D233" s="6">
        <f>IF($A233="","",SUMIFS('Daily Sale entry '!$S$2:$S$1501,'Daily Sale entry '!$P$2:$P$1501,$A233,'Daily Sale entry '!$Q$2:$Q$1501,"Collection 收款"))</f>
        <v/>
      </c>
      <c r="E233" s="6">
        <f>IF($A233="","",SUMIFS('Daily Sale entry '!$AC$2:$AC$1501,'Daily Sale entry '!$AA$2:$AA$1501,$A233,'Daily Sale entry '!$Z$2:$Z$1501,"Online collection 网上收款"))</f>
        <v/>
      </c>
      <c r="F233" s="6">
        <f>IF($A233="","",SUMIFS('Debtor Ledger'!$K$2:$K$3001,'Debtor Ledger'!$C$2:$C$3001,$A233))</f>
        <v/>
      </c>
      <c r="G233" s="6">
        <f>IF($A233="","",ROUND(B233+C233-D233-E233-F233,2))</f>
        <v/>
      </c>
    </row>
    <row r="234">
      <c r="A234">
        <f>IF('Opening Balance'!I233="","",'Opening Balance'!I233)</f>
        <v/>
      </c>
      <c r="B234" s="6">
        <f>IF($A234="","",SUMIFS('Opening Balance'!$F$4:$F$303,'Opening Balance'!$G$4:$G$303,$A234))</f>
        <v/>
      </c>
      <c r="C234" s="6">
        <f>IF($A234="","",SUMIFS('Daily Sale entry '!$S$2:$S$1501,'Daily Sale entry '!$P$2:$P$1501,$A234,'Daily Sale entry '!$Q$2:$Q$1501,"Credit Sale 赊销"))</f>
        <v/>
      </c>
      <c r="D234" s="6">
        <f>IF($A234="","",SUMIFS('Daily Sale entry '!$S$2:$S$1501,'Daily Sale entry '!$P$2:$P$1501,$A234,'Daily Sale entry '!$Q$2:$Q$1501,"Collection 收款"))</f>
        <v/>
      </c>
      <c r="E234" s="6">
        <f>IF($A234="","",SUMIFS('Daily Sale entry '!$AC$2:$AC$1501,'Daily Sale entry '!$AA$2:$AA$1501,$A234,'Daily Sale entry '!$Z$2:$Z$1501,"Online collection 网上收款"))</f>
        <v/>
      </c>
      <c r="F234" s="6">
        <f>IF($A234="","",SUMIFS('Debtor Ledger'!$K$2:$K$3001,'Debtor Ledger'!$C$2:$C$3001,$A234))</f>
        <v/>
      </c>
      <c r="G234" s="6">
        <f>IF($A234="","",ROUND(B234+C234-D234-E234-F234,2))</f>
        <v/>
      </c>
    </row>
    <row r="235">
      <c r="A235">
        <f>IF('Opening Balance'!I234="","",'Opening Balance'!I234)</f>
        <v/>
      </c>
      <c r="B235" s="6">
        <f>IF($A235="","",SUMIFS('Opening Balance'!$F$4:$F$303,'Opening Balance'!$G$4:$G$303,$A235))</f>
        <v/>
      </c>
      <c r="C235" s="6">
        <f>IF($A235="","",SUMIFS('Daily Sale entry '!$S$2:$S$1501,'Daily Sale entry '!$P$2:$P$1501,$A235,'Daily Sale entry '!$Q$2:$Q$1501,"Credit Sale 赊销"))</f>
        <v/>
      </c>
      <c r="D235" s="6">
        <f>IF($A235="","",SUMIFS('Daily Sale entry '!$S$2:$S$1501,'Daily Sale entry '!$P$2:$P$1501,$A235,'Daily Sale entry '!$Q$2:$Q$1501,"Collection 收款"))</f>
        <v/>
      </c>
      <c r="E235" s="6">
        <f>IF($A235="","",SUMIFS('Daily Sale entry '!$AC$2:$AC$1501,'Daily Sale entry '!$AA$2:$AA$1501,$A235,'Daily Sale entry '!$Z$2:$Z$1501,"Online collection 网上收款"))</f>
        <v/>
      </c>
      <c r="F235" s="6">
        <f>IF($A235="","",SUMIFS('Debtor Ledger'!$K$2:$K$3001,'Debtor Ledger'!$C$2:$C$3001,$A235))</f>
        <v/>
      </c>
      <c r="G235" s="6">
        <f>IF($A235="","",ROUND(B235+C235-D235-E235-F235,2))</f>
        <v/>
      </c>
    </row>
    <row r="236">
      <c r="A236">
        <f>IF('Opening Balance'!I235="","",'Opening Balance'!I235)</f>
        <v/>
      </c>
      <c r="B236" s="6">
        <f>IF($A236="","",SUMIFS('Opening Balance'!$F$4:$F$303,'Opening Balance'!$G$4:$G$303,$A236))</f>
        <v/>
      </c>
      <c r="C236" s="6">
        <f>IF($A236="","",SUMIFS('Daily Sale entry '!$S$2:$S$1501,'Daily Sale entry '!$P$2:$P$1501,$A236,'Daily Sale entry '!$Q$2:$Q$1501,"Credit Sale 赊销"))</f>
        <v/>
      </c>
      <c r="D236" s="6">
        <f>IF($A236="","",SUMIFS('Daily Sale entry '!$S$2:$S$1501,'Daily Sale entry '!$P$2:$P$1501,$A236,'Daily Sale entry '!$Q$2:$Q$1501,"Collection 收款"))</f>
        <v/>
      </c>
      <c r="E236" s="6">
        <f>IF($A236="","",SUMIFS('Daily Sale entry '!$AC$2:$AC$1501,'Daily Sale entry '!$AA$2:$AA$1501,$A236,'Daily Sale entry '!$Z$2:$Z$1501,"Online collection 网上收款"))</f>
        <v/>
      </c>
      <c r="F236" s="6">
        <f>IF($A236="","",SUMIFS('Debtor Ledger'!$K$2:$K$3001,'Debtor Ledger'!$C$2:$C$3001,$A236))</f>
        <v/>
      </c>
      <c r="G236" s="6">
        <f>IF($A236="","",ROUND(B236+C236-D236-E236-F236,2))</f>
        <v/>
      </c>
    </row>
    <row r="237">
      <c r="A237">
        <f>IF('Opening Balance'!I236="","",'Opening Balance'!I236)</f>
        <v/>
      </c>
      <c r="B237" s="6">
        <f>IF($A237="","",SUMIFS('Opening Balance'!$F$4:$F$303,'Opening Balance'!$G$4:$G$303,$A237))</f>
        <v/>
      </c>
      <c r="C237" s="6">
        <f>IF($A237="","",SUMIFS('Daily Sale entry '!$S$2:$S$1501,'Daily Sale entry '!$P$2:$P$1501,$A237,'Daily Sale entry '!$Q$2:$Q$1501,"Credit Sale 赊销"))</f>
        <v/>
      </c>
      <c r="D237" s="6">
        <f>IF($A237="","",SUMIFS('Daily Sale entry '!$S$2:$S$1501,'Daily Sale entry '!$P$2:$P$1501,$A237,'Daily Sale entry '!$Q$2:$Q$1501,"Collection 收款"))</f>
        <v/>
      </c>
      <c r="E237" s="6">
        <f>IF($A237="","",SUMIFS('Daily Sale entry '!$AC$2:$AC$1501,'Daily Sale entry '!$AA$2:$AA$1501,$A237,'Daily Sale entry '!$Z$2:$Z$1501,"Online collection 网上收款"))</f>
        <v/>
      </c>
      <c r="F237" s="6">
        <f>IF($A237="","",SUMIFS('Debtor Ledger'!$K$2:$K$3001,'Debtor Ledger'!$C$2:$C$3001,$A237))</f>
        <v/>
      </c>
      <c r="G237" s="6">
        <f>IF($A237="","",ROUND(B237+C237-D237-E237-F237,2))</f>
        <v/>
      </c>
    </row>
    <row r="238">
      <c r="A238">
        <f>IF('Opening Balance'!I237="","",'Opening Balance'!I237)</f>
        <v/>
      </c>
      <c r="B238" s="6">
        <f>IF($A238="","",SUMIFS('Opening Balance'!$F$4:$F$303,'Opening Balance'!$G$4:$G$303,$A238))</f>
        <v/>
      </c>
      <c r="C238" s="6">
        <f>IF($A238="","",SUMIFS('Daily Sale entry '!$S$2:$S$1501,'Daily Sale entry '!$P$2:$P$1501,$A238,'Daily Sale entry '!$Q$2:$Q$1501,"Credit Sale 赊销"))</f>
        <v/>
      </c>
      <c r="D238" s="6">
        <f>IF($A238="","",SUMIFS('Daily Sale entry '!$S$2:$S$1501,'Daily Sale entry '!$P$2:$P$1501,$A238,'Daily Sale entry '!$Q$2:$Q$1501,"Collection 收款"))</f>
        <v/>
      </c>
      <c r="E238" s="6">
        <f>IF($A238="","",SUMIFS('Daily Sale entry '!$AC$2:$AC$1501,'Daily Sale entry '!$AA$2:$AA$1501,$A238,'Daily Sale entry '!$Z$2:$Z$1501,"Online collection 网上收款"))</f>
        <v/>
      </c>
      <c r="F238" s="6">
        <f>IF($A238="","",SUMIFS('Debtor Ledger'!$K$2:$K$3001,'Debtor Ledger'!$C$2:$C$3001,$A238))</f>
        <v/>
      </c>
      <c r="G238" s="6">
        <f>IF($A238="","",ROUND(B238+C238-D238-E238-F238,2))</f>
        <v/>
      </c>
    </row>
    <row r="239">
      <c r="A239">
        <f>IF('Opening Balance'!I238="","",'Opening Balance'!I238)</f>
        <v/>
      </c>
      <c r="B239" s="6">
        <f>IF($A239="","",SUMIFS('Opening Balance'!$F$4:$F$303,'Opening Balance'!$G$4:$G$303,$A239))</f>
        <v/>
      </c>
      <c r="C239" s="6">
        <f>IF($A239="","",SUMIFS('Daily Sale entry '!$S$2:$S$1501,'Daily Sale entry '!$P$2:$P$1501,$A239,'Daily Sale entry '!$Q$2:$Q$1501,"Credit Sale 赊销"))</f>
        <v/>
      </c>
      <c r="D239" s="6">
        <f>IF($A239="","",SUMIFS('Daily Sale entry '!$S$2:$S$1501,'Daily Sale entry '!$P$2:$P$1501,$A239,'Daily Sale entry '!$Q$2:$Q$1501,"Collection 收款"))</f>
        <v/>
      </c>
      <c r="E239" s="6">
        <f>IF($A239="","",SUMIFS('Daily Sale entry '!$AC$2:$AC$1501,'Daily Sale entry '!$AA$2:$AA$1501,$A239,'Daily Sale entry '!$Z$2:$Z$1501,"Online collection 网上收款"))</f>
        <v/>
      </c>
      <c r="F239" s="6">
        <f>IF($A239="","",SUMIFS('Debtor Ledger'!$K$2:$K$3001,'Debtor Ledger'!$C$2:$C$3001,$A239))</f>
        <v/>
      </c>
      <c r="G239" s="6">
        <f>IF($A239="","",ROUND(B239+C239-D239-E239-F239,2))</f>
        <v/>
      </c>
    </row>
    <row r="240">
      <c r="A240">
        <f>IF('Opening Balance'!I239="","",'Opening Balance'!I239)</f>
        <v/>
      </c>
      <c r="B240" s="6">
        <f>IF($A240="","",SUMIFS('Opening Balance'!$F$4:$F$303,'Opening Balance'!$G$4:$G$303,$A240))</f>
        <v/>
      </c>
      <c r="C240" s="6">
        <f>IF($A240="","",SUMIFS('Daily Sale entry '!$S$2:$S$1501,'Daily Sale entry '!$P$2:$P$1501,$A240,'Daily Sale entry '!$Q$2:$Q$1501,"Credit Sale 赊销"))</f>
        <v/>
      </c>
      <c r="D240" s="6">
        <f>IF($A240="","",SUMIFS('Daily Sale entry '!$S$2:$S$1501,'Daily Sale entry '!$P$2:$P$1501,$A240,'Daily Sale entry '!$Q$2:$Q$1501,"Collection 收款"))</f>
        <v/>
      </c>
      <c r="E240" s="6">
        <f>IF($A240="","",SUMIFS('Daily Sale entry '!$AC$2:$AC$1501,'Daily Sale entry '!$AA$2:$AA$1501,$A240,'Daily Sale entry '!$Z$2:$Z$1501,"Online collection 网上收款"))</f>
        <v/>
      </c>
      <c r="F240" s="6">
        <f>IF($A240="","",SUMIFS('Debtor Ledger'!$K$2:$K$3001,'Debtor Ledger'!$C$2:$C$3001,$A240))</f>
        <v/>
      </c>
      <c r="G240" s="6">
        <f>IF($A240="","",ROUND(B240+C240-D240-E240-F240,2))</f>
        <v/>
      </c>
    </row>
    <row r="241">
      <c r="A241">
        <f>IF('Opening Balance'!I240="","",'Opening Balance'!I240)</f>
        <v/>
      </c>
      <c r="B241" s="6">
        <f>IF($A241="","",SUMIFS('Opening Balance'!$F$4:$F$303,'Opening Balance'!$G$4:$G$303,$A241))</f>
        <v/>
      </c>
      <c r="C241" s="6">
        <f>IF($A241="","",SUMIFS('Daily Sale entry '!$S$2:$S$1501,'Daily Sale entry '!$P$2:$P$1501,$A241,'Daily Sale entry '!$Q$2:$Q$1501,"Credit Sale 赊销"))</f>
        <v/>
      </c>
      <c r="D241" s="6">
        <f>IF($A241="","",SUMIFS('Daily Sale entry '!$S$2:$S$1501,'Daily Sale entry '!$P$2:$P$1501,$A241,'Daily Sale entry '!$Q$2:$Q$1501,"Collection 收款"))</f>
        <v/>
      </c>
      <c r="E241" s="6">
        <f>IF($A241="","",SUMIFS('Daily Sale entry '!$AC$2:$AC$1501,'Daily Sale entry '!$AA$2:$AA$1501,$A241,'Daily Sale entry '!$Z$2:$Z$1501,"Online collection 网上收款"))</f>
        <v/>
      </c>
      <c r="F241" s="6">
        <f>IF($A241="","",SUMIFS('Debtor Ledger'!$K$2:$K$3001,'Debtor Ledger'!$C$2:$C$3001,$A241))</f>
        <v/>
      </c>
      <c r="G241" s="6">
        <f>IF($A241="","",ROUND(B241+C241-D241-E241-F241,2))</f>
        <v/>
      </c>
    </row>
    <row r="242">
      <c r="A242">
        <f>IF('Opening Balance'!I241="","",'Opening Balance'!I241)</f>
        <v/>
      </c>
      <c r="B242" s="6">
        <f>IF($A242="","",SUMIFS('Opening Balance'!$F$4:$F$303,'Opening Balance'!$G$4:$G$303,$A242))</f>
        <v/>
      </c>
      <c r="C242" s="6">
        <f>IF($A242="","",SUMIFS('Daily Sale entry '!$S$2:$S$1501,'Daily Sale entry '!$P$2:$P$1501,$A242,'Daily Sale entry '!$Q$2:$Q$1501,"Credit Sale 赊销"))</f>
        <v/>
      </c>
      <c r="D242" s="6">
        <f>IF($A242="","",SUMIFS('Daily Sale entry '!$S$2:$S$1501,'Daily Sale entry '!$P$2:$P$1501,$A242,'Daily Sale entry '!$Q$2:$Q$1501,"Collection 收款"))</f>
        <v/>
      </c>
      <c r="E242" s="6">
        <f>IF($A242="","",SUMIFS('Daily Sale entry '!$AC$2:$AC$1501,'Daily Sale entry '!$AA$2:$AA$1501,$A242,'Daily Sale entry '!$Z$2:$Z$1501,"Online collection 网上收款"))</f>
        <v/>
      </c>
      <c r="F242" s="6">
        <f>IF($A242="","",SUMIFS('Debtor Ledger'!$K$2:$K$3001,'Debtor Ledger'!$C$2:$C$3001,$A242))</f>
        <v/>
      </c>
      <c r="G242" s="6">
        <f>IF($A242="","",ROUND(B242+C242-D242-E242-F242,2))</f>
        <v/>
      </c>
    </row>
    <row r="243">
      <c r="A243">
        <f>IF('Opening Balance'!I242="","",'Opening Balance'!I242)</f>
        <v/>
      </c>
      <c r="B243" s="6">
        <f>IF($A243="","",SUMIFS('Opening Balance'!$F$4:$F$303,'Opening Balance'!$G$4:$G$303,$A243))</f>
        <v/>
      </c>
      <c r="C243" s="6">
        <f>IF($A243="","",SUMIFS('Daily Sale entry '!$S$2:$S$1501,'Daily Sale entry '!$P$2:$P$1501,$A243,'Daily Sale entry '!$Q$2:$Q$1501,"Credit Sale 赊销"))</f>
        <v/>
      </c>
      <c r="D243" s="6">
        <f>IF($A243="","",SUMIFS('Daily Sale entry '!$S$2:$S$1501,'Daily Sale entry '!$P$2:$P$1501,$A243,'Daily Sale entry '!$Q$2:$Q$1501,"Collection 收款"))</f>
        <v/>
      </c>
      <c r="E243" s="6">
        <f>IF($A243="","",SUMIFS('Daily Sale entry '!$AC$2:$AC$1501,'Daily Sale entry '!$AA$2:$AA$1501,$A243,'Daily Sale entry '!$Z$2:$Z$1501,"Online collection 网上收款"))</f>
        <v/>
      </c>
      <c r="F243" s="6">
        <f>IF($A243="","",SUMIFS('Debtor Ledger'!$K$2:$K$3001,'Debtor Ledger'!$C$2:$C$3001,$A243))</f>
        <v/>
      </c>
      <c r="G243" s="6">
        <f>IF($A243="","",ROUND(B243+C243-D243-E243-F243,2))</f>
        <v/>
      </c>
    </row>
    <row r="244">
      <c r="A244">
        <f>IF('Opening Balance'!I243="","",'Opening Balance'!I243)</f>
        <v/>
      </c>
      <c r="B244" s="6">
        <f>IF($A244="","",SUMIFS('Opening Balance'!$F$4:$F$303,'Opening Balance'!$G$4:$G$303,$A244))</f>
        <v/>
      </c>
      <c r="C244" s="6">
        <f>IF($A244="","",SUMIFS('Daily Sale entry '!$S$2:$S$1501,'Daily Sale entry '!$P$2:$P$1501,$A244,'Daily Sale entry '!$Q$2:$Q$1501,"Credit Sale 赊销"))</f>
        <v/>
      </c>
      <c r="D244" s="6">
        <f>IF($A244="","",SUMIFS('Daily Sale entry '!$S$2:$S$1501,'Daily Sale entry '!$P$2:$P$1501,$A244,'Daily Sale entry '!$Q$2:$Q$1501,"Collection 收款"))</f>
        <v/>
      </c>
      <c r="E244" s="6">
        <f>IF($A244="","",SUMIFS('Daily Sale entry '!$AC$2:$AC$1501,'Daily Sale entry '!$AA$2:$AA$1501,$A244,'Daily Sale entry '!$Z$2:$Z$1501,"Online collection 网上收款"))</f>
        <v/>
      </c>
      <c r="F244" s="6">
        <f>IF($A244="","",SUMIFS('Debtor Ledger'!$K$2:$K$3001,'Debtor Ledger'!$C$2:$C$3001,$A244))</f>
        <v/>
      </c>
      <c r="G244" s="6">
        <f>IF($A244="","",ROUND(B244+C244-D244-E244-F244,2))</f>
        <v/>
      </c>
    </row>
    <row r="245">
      <c r="A245">
        <f>IF('Opening Balance'!I244="","",'Opening Balance'!I244)</f>
        <v/>
      </c>
      <c r="B245" s="6">
        <f>IF($A245="","",SUMIFS('Opening Balance'!$F$4:$F$303,'Opening Balance'!$G$4:$G$303,$A245))</f>
        <v/>
      </c>
      <c r="C245" s="6">
        <f>IF($A245="","",SUMIFS('Daily Sale entry '!$S$2:$S$1501,'Daily Sale entry '!$P$2:$P$1501,$A245,'Daily Sale entry '!$Q$2:$Q$1501,"Credit Sale 赊销"))</f>
        <v/>
      </c>
      <c r="D245" s="6">
        <f>IF($A245="","",SUMIFS('Daily Sale entry '!$S$2:$S$1501,'Daily Sale entry '!$P$2:$P$1501,$A245,'Daily Sale entry '!$Q$2:$Q$1501,"Collection 收款"))</f>
        <v/>
      </c>
      <c r="E245" s="6">
        <f>IF($A245="","",SUMIFS('Daily Sale entry '!$AC$2:$AC$1501,'Daily Sale entry '!$AA$2:$AA$1501,$A245,'Daily Sale entry '!$Z$2:$Z$1501,"Online collection 网上收款"))</f>
        <v/>
      </c>
      <c r="F245" s="6">
        <f>IF($A245="","",SUMIFS('Debtor Ledger'!$K$2:$K$3001,'Debtor Ledger'!$C$2:$C$3001,$A245))</f>
        <v/>
      </c>
      <c r="G245" s="6">
        <f>IF($A245="","",ROUND(B245+C245-D245-E245-F245,2))</f>
        <v/>
      </c>
    </row>
    <row r="246">
      <c r="A246">
        <f>IF('Opening Balance'!I245="","",'Opening Balance'!I245)</f>
        <v/>
      </c>
      <c r="B246" s="6">
        <f>IF($A246="","",SUMIFS('Opening Balance'!$F$4:$F$303,'Opening Balance'!$G$4:$G$303,$A246))</f>
        <v/>
      </c>
      <c r="C246" s="6">
        <f>IF($A246="","",SUMIFS('Daily Sale entry '!$S$2:$S$1501,'Daily Sale entry '!$P$2:$P$1501,$A246,'Daily Sale entry '!$Q$2:$Q$1501,"Credit Sale 赊销"))</f>
        <v/>
      </c>
      <c r="D246" s="6">
        <f>IF($A246="","",SUMIFS('Daily Sale entry '!$S$2:$S$1501,'Daily Sale entry '!$P$2:$P$1501,$A246,'Daily Sale entry '!$Q$2:$Q$1501,"Collection 收款"))</f>
        <v/>
      </c>
      <c r="E246" s="6">
        <f>IF($A246="","",SUMIFS('Daily Sale entry '!$AC$2:$AC$1501,'Daily Sale entry '!$AA$2:$AA$1501,$A246,'Daily Sale entry '!$Z$2:$Z$1501,"Online collection 网上收款"))</f>
        <v/>
      </c>
      <c r="F246" s="6">
        <f>IF($A246="","",SUMIFS('Debtor Ledger'!$K$2:$K$3001,'Debtor Ledger'!$C$2:$C$3001,$A246))</f>
        <v/>
      </c>
      <c r="G246" s="6">
        <f>IF($A246="","",ROUND(B246+C246-D246-E246-F246,2))</f>
        <v/>
      </c>
    </row>
    <row r="247">
      <c r="A247">
        <f>IF('Opening Balance'!I246="","",'Opening Balance'!I246)</f>
        <v/>
      </c>
      <c r="B247" s="6">
        <f>IF($A247="","",SUMIFS('Opening Balance'!$F$4:$F$303,'Opening Balance'!$G$4:$G$303,$A247))</f>
        <v/>
      </c>
      <c r="C247" s="6">
        <f>IF($A247="","",SUMIFS('Daily Sale entry '!$S$2:$S$1501,'Daily Sale entry '!$P$2:$P$1501,$A247,'Daily Sale entry '!$Q$2:$Q$1501,"Credit Sale 赊销"))</f>
        <v/>
      </c>
      <c r="D247" s="6">
        <f>IF($A247="","",SUMIFS('Daily Sale entry '!$S$2:$S$1501,'Daily Sale entry '!$P$2:$P$1501,$A247,'Daily Sale entry '!$Q$2:$Q$1501,"Collection 收款"))</f>
        <v/>
      </c>
      <c r="E247" s="6">
        <f>IF($A247="","",SUMIFS('Daily Sale entry '!$AC$2:$AC$1501,'Daily Sale entry '!$AA$2:$AA$1501,$A247,'Daily Sale entry '!$Z$2:$Z$1501,"Online collection 网上收款"))</f>
        <v/>
      </c>
      <c r="F247" s="6">
        <f>IF($A247="","",SUMIFS('Debtor Ledger'!$K$2:$K$3001,'Debtor Ledger'!$C$2:$C$3001,$A247))</f>
        <v/>
      </c>
      <c r="G247" s="6">
        <f>IF($A247="","",ROUND(B247+C247-D247-E247-F247,2))</f>
        <v/>
      </c>
    </row>
    <row r="248">
      <c r="A248">
        <f>IF('Opening Balance'!I247="","",'Opening Balance'!I247)</f>
        <v/>
      </c>
      <c r="B248" s="6">
        <f>IF($A248="","",SUMIFS('Opening Balance'!$F$4:$F$303,'Opening Balance'!$G$4:$G$303,$A248))</f>
        <v/>
      </c>
      <c r="C248" s="6">
        <f>IF($A248="","",SUMIFS('Daily Sale entry '!$S$2:$S$1501,'Daily Sale entry '!$P$2:$P$1501,$A248,'Daily Sale entry '!$Q$2:$Q$1501,"Credit Sale 赊销"))</f>
        <v/>
      </c>
      <c r="D248" s="6">
        <f>IF($A248="","",SUMIFS('Daily Sale entry '!$S$2:$S$1501,'Daily Sale entry '!$P$2:$P$1501,$A248,'Daily Sale entry '!$Q$2:$Q$1501,"Collection 收款"))</f>
        <v/>
      </c>
      <c r="E248" s="6">
        <f>IF($A248="","",SUMIFS('Daily Sale entry '!$AC$2:$AC$1501,'Daily Sale entry '!$AA$2:$AA$1501,$A248,'Daily Sale entry '!$Z$2:$Z$1501,"Online collection 网上收款"))</f>
        <v/>
      </c>
      <c r="F248" s="6">
        <f>IF($A248="","",SUMIFS('Debtor Ledger'!$K$2:$K$3001,'Debtor Ledger'!$C$2:$C$3001,$A248))</f>
        <v/>
      </c>
      <c r="G248" s="6">
        <f>IF($A248="","",ROUND(B248+C248-D248-E248-F248,2))</f>
        <v/>
      </c>
    </row>
    <row r="249">
      <c r="A249">
        <f>IF('Opening Balance'!I248="","",'Opening Balance'!I248)</f>
        <v/>
      </c>
      <c r="B249" s="6">
        <f>IF($A249="","",SUMIFS('Opening Balance'!$F$4:$F$303,'Opening Balance'!$G$4:$G$303,$A249))</f>
        <v/>
      </c>
      <c r="C249" s="6">
        <f>IF($A249="","",SUMIFS('Daily Sale entry '!$S$2:$S$1501,'Daily Sale entry '!$P$2:$P$1501,$A249,'Daily Sale entry '!$Q$2:$Q$1501,"Credit Sale 赊销"))</f>
        <v/>
      </c>
      <c r="D249" s="6">
        <f>IF($A249="","",SUMIFS('Daily Sale entry '!$S$2:$S$1501,'Daily Sale entry '!$P$2:$P$1501,$A249,'Daily Sale entry '!$Q$2:$Q$1501,"Collection 收款"))</f>
        <v/>
      </c>
      <c r="E249" s="6">
        <f>IF($A249="","",SUMIFS('Daily Sale entry '!$AC$2:$AC$1501,'Daily Sale entry '!$AA$2:$AA$1501,$A249,'Daily Sale entry '!$Z$2:$Z$1501,"Online collection 网上收款"))</f>
        <v/>
      </c>
      <c r="F249" s="6">
        <f>IF($A249="","",SUMIFS('Debtor Ledger'!$K$2:$K$3001,'Debtor Ledger'!$C$2:$C$3001,$A249))</f>
        <v/>
      </c>
      <c r="G249" s="6">
        <f>IF($A249="","",ROUND(B249+C249-D249-E249-F249,2))</f>
        <v/>
      </c>
    </row>
    <row r="250">
      <c r="A250">
        <f>IF('Opening Balance'!I249="","",'Opening Balance'!I249)</f>
        <v/>
      </c>
      <c r="B250" s="6">
        <f>IF($A250="","",SUMIFS('Opening Balance'!$F$4:$F$303,'Opening Balance'!$G$4:$G$303,$A250))</f>
        <v/>
      </c>
      <c r="C250" s="6">
        <f>IF($A250="","",SUMIFS('Daily Sale entry '!$S$2:$S$1501,'Daily Sale entry '!$P$2:$P$1501,$A250,'Daily Sale entry '!$Q$2:$Q$1501,"Credit Sale 赊销"))</f>
        <v/>
      </c>
      <c r="D250" s="6">
        <f>IF($A250="","",SUMIFS('Daily Sale entry '!$S$2:$S$1501,'Daily Sale entry '!$P$2:$P$1501,$A250,'Daily Sale entry '!$Q$2:$Q$1501,"Collection 收款"))</f>
        <v/>
      </c>
      <c r="E250" s="6">
        <f>IF($A250="","",SUMIFS('Daily Sale entry '!$AC$2:$AC$1501,'Daily Sale entry '!$AA$2:$AA$1501,$A250,'Daily Sale entry '!$Z$2:$Z$1501,"Online collection 网上收款"))</f>
        <v/>
      </c>
      <c r="F250" s="6">
        <f>IF($A250="","",SUMIFS('Debtor Ledger'!$K$2:$K$3001,'Debtor Ledger'!$C$2:$C$3001,$A250))</f>
        <v/>
      </c>
      <c r="G250" s="6">
        <f>IF($A250="","",ROUND(B250+C250-D250-E250-F250,2))</f>
        <v/>
      </c>
    </row>
    <row r="251">
      <c r="A251">
        <f>IF('Opening Balance'!I250="","",'Opening Balance'!I250)</f>
        <v/>
      </c>
      <c r="B251" s="6">
        <f>IF($A251="","",SUMIFS('Opening Balance'!$F$4:$F$303,'Opening Balance'!$G$4:$G$303,$A251))</f>
        <v/>
      </c>
      <c r="C251" s="6">
        <f>IF($A251="","",SUMIFS('Daily Sale entry '!$S$2:$S$1501,'Daily Sale entry '!$P$2:$P$1501,$A251,'Daily Sale entry '!$Q$2:$Q$1501,"Credit Sale 赊销"))</f>
        <v/>
      </c>
      <c r="D251" s="6">
        <f>IF($A251="","",SUMIFS('Daily Sale entry '!$S$2:$S$1501,'Daily Sale entry '!$P$2:$P$1501,$A251,'Daily Sale entry '!$Q$2:$Q$1501,"Collection 收款"))</f>
        <v/>
      </c>
      <c r="E251" s="6">
        <f>IF($A251="","",SUMIFS('Daily Sale entry '!$AC$2:$AC$1501,'Daily Sale entry '!$AA$2:$AA$1501,$A251,'Daily Sale entry '!$Z$2:$Z$1501,"Online collection 网上收款"))</f>
        <v/>
      </c>
      <c r="F251" s="6">
        <f>IF($A251="","",SUMIFS('Debtor Ledger'!$K$2:$K$3001,'Debtor Ledger'!$C$2:$C$3001,$A251))</f>
        <v/>
      </c>
      <c r="G251" s="6">
        <f>IF($A251="","",ROUND(B251+C251-D251-E251-F251,2))</f>
        <v/>
      </c>
    </row>
    <row r="252">
      <c r="A252">
        <f>IF('Opening Balance'!I251="","",'Opening Balance'!I251)</f>
        <v/>
      </c>
      <c r="B252" s="6">
        <f>IF($A252="","",SUMIFS('Opening Balance'!$F$4:$F$303,'Opening Balance'!$G$4:$G$303,$A252))</f>
        <v/>
      </c>
      <c r="C252" s="6">
        <f>IF($A252="","",SUMIFS('Daily Sale entry '!$S$2:$S$1501,'Daily Sale entry '!$P$2:$P$1501,$A252,'Daily Sale entry '!$Q$2:$Q$1501,"Credit Sale 赊销"))</f>
        <v/>
      </c>
      <c r="D252" s="6">
        <f>IF($A252="","",SUMIFS('Daily Sale entry '!$S$2:$S$1501,'Daily Sale entry '!$P$2:$P$1501,$A252,'Daily Sale entry '!$Q$2:$Q$1501,"Collection 收款"))</f>
        <v/>
      </c>
      <c r="E252" s="6">
        <f>IF($A252="","",SUMIFS('Daily Sale entry '!$AC$2:$AC$1501,'Daily Sale entry '!$AA$2:$AA$1501,$A252,'Daily Sale entry '!$Z$2:$Z$1501,"Online collection 网上收款"))</f>
        <v/>
      </c>
      <c r="F252" s="6">
        <f>IF($A252="","",SUMIFS('Debtor Ledger'!$K$2:$K$3001,'Debtor Ledger'!$C$2:$C$3001,$A252))</f>
        <v/>
      </c>
      <c r="G252" s="6">
        <f>IF($A252="","",ROUND(B252+C252-D252-E252-F252,2))</f>
        <v/>
      </c>
    </row>
    <row r="253">
      <c r="A253">
        <f>IF('Opening Balance'!I252="","",'Opening Balance'!I252)</f>
        <v/>
      </c>
      <c r="B253" s="6">
        <f>IF($A253="","",SUMIFS('Opening Balance'!$F$4:$F$303,'Opening Balance'!$G$4:$G$303,$A253))</f>
        <v/>
      </c>
      <c r="C253" s="6">
        <f>IF($A253="","",SUMIFS('Daily Sale entry '!$S$2:$S$1501,'Daily Sale entry '!$P$2:$P$1501,$A253,'Daily Sale entry '!$Q$2:$Q$1501,"Credit Sale 赊销"))</f>
        <v/>
      </c>
      <c r="D253" s="6">
        <f>IF($A253="","",SUMIFS('Daily Sale entry '!$S$2:$S$1501,'Daily Sale entry '!$P$2:$P$1501,$A253,'Daily Sale entry '!$Q$2:$Q$1501,"Collection 收款"))</f>
        <v/>
      </c>
      <c r="E253" s="6">
        <f>IF($A253="","",SUMIFS('Daily Sale entry '!$AC$2:$AC$1501,'Daily Sale entry '!$AA$2:$AA$1501,$A253,'Daily Sale entry '!$Z$2:$Z$1501,"Online collection 网上收款"))</f>
        <v/>
      </c>
      <c r="F253" s="6">
        <f>IF($A253="","",SUMIFS('Debtor Ledger'!$K$2:$K$3001,'Debtor Ledger'!$C$2:$C$3001,$A253))</f>
        <v/>
      </c>
      <c r="G253" s="6">
        <f>IF($A253="","",ROUND(B253+C253-D253-E253-F253,2))</f>
        <v/>
      </c>
    </row>
    <row r="254">
      <c r="A254">
        <f>IF('Opening Balance'!I253="","",'Opening Balance'!I253)</f>
        <v/>
      </c>
      <c r="B254" s="6">
        <f>IF($A254="","",SUMIFS('Opening Balance'!$F$4:$F$303,'Opening Balance'!$G$4:$G$303,$A254))</f>
        <v/>
      </c>
      <c r="C254" s="6">
        <f>IF($A254="","",SUMIFS('Daily Sale entry '!$S$2:$S$1501,'Daily Sale entry '!$P$2:$P$1501,$A254,'Daily Sale entry '!$Q$2:$Q$1501,"Credit Sale 赊销"))</f>
        <v/>
      </c>
      <c r="D254" s="6">
        <f>IF($A254="","",SUMIFS('Daily Sale entry '!$S$2:$S$1501,'Daily Sale entry '!$P$2:$P$1501,$A254,'Daily Sale entry '!$Q$2:$Q$1501,"Collection 收款"))</f>
        <v/>
      </c>
      <c r="E254" s="6">
        <f>IF($A254="","",SUMIFS('Daily Sale entry '!$AC$2:$AC$1501,'Daily Sale entry '!$AA$2:$AA$1501,$A254,'Daily Sale entry '!$Z$2:$Z$1501,"Online collection 网上收款"))</f>
        <v/>
      </c>
      <c r="F254" s="6">
        <f>IF($A254="","",SUMIFS('Debtor Ledger'!$K$2:$K$3001,'Debtor Ledger'!$C$2:$C$3001,$A254))</f>
        <v/>
      </c>
      <c r="G254" s="6">
        <f>IF($A254="","",ROUND(B254+C254-D254-E254-F254,2))</f>
        <v/>
      </c>
    </row>
    <row r="255">
      <c r="A255">
        <f>IF('Opening Balance'!I254="","",'Opening Balance'!I254)</f>
        <v/>
      </c>
      <c r="B255" s="6">
        <f>IF($A255="","",SUMIFS('Opening Balance'!$F$4:$F$303,'Opening Balance'!$G$4:$G$303,$A255))</f>
        <v/>
      </c>
      <c r="C255" s="6">
        <f>IF($A255="","",SUMIFS('Daily Sale entry '!$S$2:$S$1501,'Daily Sale entry '!$P$2:$P$1501,$A255,'Daily Sale entry '!$Q$2:$Q$1501,"Credit Sale 赊销"))</f>
        <v/>
      </c>
      <c r="D255" s="6">
        <f>IF($A255="","",SUMIFS('Daily Sale entry '!$S$2:$S$1501,'Daily Sale entry '!$P$2:$P$1501,$A255,'Daily Sale entry '!$Q$2:$Q$1501,"Collection 收款"))</f>
        <v/>
      </c>
      <c r="E255" s="6">
        <f>IF($A255="","",SUMIFS('Daily Sale entry '!$AC$2:$AC$1501,'Daily Sale entry '!$AA$2:$AA$1501,$A255,'Daily Sale entry '!$Z$2:$Z$1501,"Online collection 网上收款"))</f>
        <v/>
      </c>
      <c r="F255" s="6">
        <f>IF($A255="","",SUMIFS('Debtor Ledger'!$K$2:$K$3001,'Debtor Ledger'!$C$2:$C$3001,$A255))</f>
        <v/>
      </c>
      <c r="G255" s="6">
        <f>IF($A255="","",ROUND(B255+C255-D255-E255-F255,2))</f>
        <v/>
      </c>
    </row>
    <row r="256">
      <c r="A256">
        <f>IF('Opening Balance'!I255="","",'Opening Balance'!I255)</f>
        <v/>
      </c>
      <c r="B256" s="6">
        <f>IF($A256="","",SUMIFS('Opening Balance'!$F$4:$F$303,'Opening Balance'!$G$4:$G$303,$A256))</f>
        <v/>
      </c>
      <c r="C256" s="6">
        <f>IF($A256="","",SUMIFS('Daily Sale entry '!$S$2:$S$1501,'Daily Sale entry '!$P$2:$P$1501,$A256,'Daily Sale entry '!$Q$2:$Q$1501,"Credit Sale 赊销"))</f>
        <v/>
      </c>
      <c r="D256" s="6">
        <f>IF($A256="","",SUMIFS('Daily Sale entry '!$S$2:$S$1501,'Daily Sale entry '!$P$2:$P$1501,$A256,'Daily Sale entry '!$Q$2:$Q$1501,"Collection 收款"))</f>
        <v/>
      </c>
      <c r="E256" s="6">
        <f>IF($A256="","",SUMIFS('Daily Sale entry '!$AC$2:$AC$1501,'Daily Sale entry '!$AA$2:$AA$1501,$A256,'Daily Sale entry '!$Z$2:$Z$1501,"Online collection 网上收款"))</f>
        <v/>
      </c>
      <c r="F256" s="6">
        <f>IF($A256="","",SUMIFS('Debtor Ledger'!$K$2:$K$3001,'Debtor Ledger'!$C$2:$C$3001,$A256))</f>
        <v/>
      </c>
      <c r="G256" s="6">
        <f>IF($A256="","",ROUND(B256+C256-D256-E256-F256,2))</f>
        <v/>
      </c>
    </row>
    <row r="257">
      <c r="A257">
        <f>IF('Opening Balance'!I256="","",'Opening Balance'!I256)</f>
        <v/>
      </c>
      <c r="B257" s="6">
        <f>IF($A257="","",SUMIFS('Opening Balance'!$F$4:$F$303,'Opening Balance'!$G$4:$G$303,$A257))</f>
        <v/>
      </c>
      <c r="C257" s="6">
        <f>IF($A257="","",SUMIFS('Daily Sale entry '!$S$2:$S$1501,'Daily Sale entry '!$P$2:$P$1501,$A257,'Daily Sale entry '!$Q$2:$Q$1501,"Credit Sale 赊销"))</f>
        <v/>
      </c>
      <c r="D257" s="6">
        <f>IF($A257="","",SUMIFS('Daily Sale entry '!$S$2:$S$1501,'Daily Sale entry '!$P$2:$P$1501,$A257,'Daily Sale entry '!$Q$2:$Q$1501,"Collection 收款"))</f>
        <v/>
      </c>
      <c r="E257" s="6">
        <f>IF($A257="","",SUMIFS('Daily Sale entry '!$AC$2:$AC$1501,'Daily Sale entry '!$AA$2:$AA$1501,$A257,'Daily Sale entry '!$Z$2:$Z$1501,"Online collection 网上收款"))</f>
        <v/>
      </c>
      <c r="F257" s="6">
        <f>IF($A257="","",SUMIFS('Debtor Ledger'!$K$2:$K$3001,'Debtor Ledger'!$C$2:$C$3001,$A257))</f>
        <v/>
      </c>
      <c r="G257" s="6">
        <f>IF($A257="","",ROUND(B257+C257-D257-E257-F257,2))</f>
        <v/>
      </c>
    </row>
    <row r="258">
      <c r="A258">
        <f>IF('Opening Balance'!I257="","",'Opening Balance'!I257)</f>
        <v/>
      </c>
      <c r="B258" s="6">
        <f>IF($A258="","",SUMIFS('Opening Balance'!$F$4:$F$303,'Opening Balance'!$G$4:$G$303,$A258))</f>
        <v/>
      </c>
      <c r="C258" s="6">
        <f>IF($A258="","",SUMIFS('Daily Sale entry '!$S$2:$S$1501,'Daily Sale entry '!$P$2:$P$1501,$A258,'Daily Sale entry '!$Q$2:$Q$1501,"Credit Sale 赊销"))</f>
        <v/>
      </c>
      <c r="D258" s="6">
        <f>IF($A258="","",SUMIFS('Daily Sale entry '!$S$2:$S$1501,'Daily Sale entry '!$P$2:$P$1501,$A258,'Daily Sale entry '!$Q$2:$Q$1501,"Collection 收款"))</f>
        <v/>
      </c>
      <c r="E258" s="6">
        <f>IF($A258="","",SUMIFS('Daily Sale entry '!$AC$2:$AC$1501,'Daily Sale entry '!$AA$2:$AA$1501,$A258,'Daily Sale entry '!$Z$2:$Z$1501,"Online collection 网上收款"))</f>
        <v/>
      </c>
      <c r="F258" s="6">
        <f>IF($A258="","",SUMIFS('Debtor Ledger'!$K$2:$K$3001,'Debtor Ledger'!$C$2:$C$3001,$A258))</f>
        <v/>
      </c>
      <c r="G258" s="6">
        <f>IF($A258="","",ROUND(B258+C258-D258-E258-F258,2))</f>
        <v/>
      </c>
    </row>
    <row r="259">
      <c r="A259">
        <f>IF('Opening Balance'!I258="","",'Opening Balance'!I258)</f>
        <v/>
      </c>
      <c r="B259" s="6">
        <f>IF($A259="","",SUMIFS('Opening Balance'!$F$4:$F$303,'Opening Balance'!$G$4:$G$303,$A259))</f>
        <v/>
      </c>
      <c r="C259" s="6">
        <f>IF($A259="","",SUMIFS('Daily Sale entry '!$S$2:$S$1501,'Daily Sale entry '!$P$2:$P$1501,$A259,'Daily Sale entry '!$Q$2:$Q$1501,"Credit Sale 赊销"))</f>
        <v/>
      </c>
      <c r="D259" s="6">
        <f>IF($A259="","",SUMIFS('Daily Sale entry '!$S$2:$S$1501,'Daily Sale entry '!$P$2:$P$1501,$A259,'Daily Sale entry '!$Q$2:$Q$1501,"Collection 收款"))</f>
        <v/>
      </c>
      <c r="E259" s="6">
        <f>IF($A259="","",SUMIFS('Daily Sale entry '!$AC$2:$AC$1501,'Daily Sale entry '!$AA$2:$AA$1501,$A259,'Daily Sale entry '!$Z$2:$Z$1501,"Online collection 网上收款"))</f>
        <v/>
      </c>
      <c r="F259" s="6">
        <f>IF($A259="","",SUMIFS('Debtor Ledger'!$K$2:$K$3001,'Debtor Ledger'!$C$2:$C$3001,$A259))</f>
        <v/>
      </c>
      <c r="G259" s="6">
        <f>IF($A259="","",ROUND(B259+C259-D259-E259-F259,2))</f>
        <v/>
      </c>
    </row>
    <row r="260">
      <c r="A260">
        <f>IF('Opening Balance'!I259="","",'Opening Balance'!I259)</f>
        <v/>
      </c>
      <c r="B260" s="6">
        <f>IF($A260="","",SUMIFS('Opening Balance'!$F$4:$F$303,'Opening Balance'!$G$4:$G$303,$A260))</f>
        <v/>
      </c>
      <c r="C260" s="6">
        <f>IF($A260="","",SUMIFS('Daily Sale entry '!$S$2:$S$1501,'Daily Sale entry '!$P$2:$P$1501,$A260,'Daily Sale entry '!$Q$2:$Q$1501,"Credit Sale 赊销"))</f>
        <v/>
      </c>
      <c r="D260" s="6">
        <f>IF($A260="","",SUMIFS('Daily Sale entry '!$S$2:$S$1501,'Daily Sale entry '!$P$2:$P$1501,$A260,'Daily Sale entry '!$Q$2:$Q$1501,"Collection 收款"))</f>
        <v/>
      </c>
      <c r="E260" s="6">
        <f>IF($A260="","",SUMIFS('Daily Sale entry '!$AC$2:$AC$1501,'Daily Sale entry '!$AA$2:$AA$1501,$A260,'Daily Sale entry '!$Z$2:$Z$1501,"Online collection 网上收款"))</f>
        <v/>
      </c>
      <c r="F260" s="6">
        <f>IF($A260="","",SUMIFS('Debtor Ledger'!$K$2:$K$3001,'Debtor Ledger'!$C$2:$C$3001,$A260))</f>
        <v/>
      </c>
      <c r="G260" s="6">
        <f>IF($A260="","",ROUND(B260+C260-D260-E260-F260,2))</f>
        <v/>
      </c>
    </row>
    <row r="261">
      <c r="A261">
        <f>IF('Opening Balance'!I260="","",'Opening Balance'!I260)</f>
        <v/>
      </c>
      <c r="B261" s="6">
        <f>IF($A261="","",SUMIFS('Opening Balance'!$F$4:$F$303,'Opening Balance'!$G$4:$G$303,$A261))</f>
        <v/>
      </c>
      <c r="C261" s="6">
        <f>IF($A261="","",SUMIFS('Daily Sale entry '!$S$2:$S$1501,'Daily Sale entry '!$P$2:$P$1501,$A261,'Daily Sale entry '!$Q$2:$Q$1501,"Credit Sale 赊销"))</f>
        <v/>
      </c>
      <c r="D261" s="6">
        <f>IF($A261="","",SUMIFS('Daily Sale entry '!$S$2:$S$1501,'Daily Sale entry '!$P$2:$P$1501,$A261,'Daily Sale entry '!$Q$2:$Q$1501,"Collection 收款"))</f>
        <v/>
      </c>
      <c r="E261" s="6">
        <f>IF($A261="","",SUMIFS('Daily Sale entry '!$AC$2:$AC$1501,'Daily Sale entry '!$AA$2:$AA$1501,$A261,'Daily Sale entry '!$Z$2:$Z$1501,"Online collection 网上收款"))</f>
        <v/>
      </c>
      <c r="F261" s="6">
        <f>IF($A261="","",SUMIFS('Debtor Ledger'!$K$2:$K$3001,'Debtor Ledger'!$C$2:$C$3001,$A261))</f>
        <v/>
      </c>
      <c r="G261" s="6">
        <f>IF($A261="","",ROUND(B261+C261-D261-E261-F261,2))</f>
        <v/>
      </c>
    </row>
    <row r="262">
      <c r="A262">
        <f>IF('Opening Balance'!I261="","",'Opening Balance'!I261)</f>
        <v/>
      </c>
      <c r="B262" s="6">
        <f>IF($A262="","",SUMIFS('Opening Balance'!$F$4:$F$303,'Opening Balance'!$G$4:$G$303,$A262))</f>
        <v/>
      </c>
      <c r="C262" s="6">
        <f>IF($A262="","",SUMIFS('Daily Sale entry '!$S$2:$S$1501,'Daily Sale entry '!$P$2:$P$1501,$A262,'Daily Sale entry '!$Q$2:$Q$1501,"Credit Sale 赊销"))</f>
        <v/>
      </c>
      <c r="D262" s="6">
        <f>IF($A262="","",SUMIFS('Daily Sale entry '!$S$2:$S$1501,'Daily Sale entry '!$P$2:$P$1501,$A262,'Daily Sale entry '!$Q$2:$Q$1501,"Collection 收款"))</f>
        <v/>
      </c>
      <c r="E262" s="6">
        <f>IF($A262="","",SUMIFS('Daily Sale entry '!$AC$2:$AC$1501,'Daily Sale entry '!$AA$2:$AA$1501,$A262,'Daily Sale entry '!$Z$2:$Z$1501,"Online collection 网上收款"))</f>
        <v/>
      </c>
      <c r="F262" s="6">
        <f>IF($A262="","",SUMIFS('Debtor Ledger'!$K$2:$K$3001,'Debtor Ledger'!$C$2:$C$3001,$A262))</f>
        <v/>
      </c>
      <c r="G262" s="6">
        <f>IF($A262="","",ROUND(B262+C262-D262-E262-F262,2))</f>
        <v/>
      </c>
    </row>
    <row r="263">
      <c r="A263">
        <f>IF('Opening Balance'!I262="","",'Opening Balance'!I262)</f>
        <v/>
      </c>
      <c r="B263" s="6">
        <f>IF($A263="","",SUMIFS('Opening Balance'!$F$4:$F$303,'Opening Balance'!$G$4:$G$303,$A263))</f>
        <v/>
      </c>
      <c r="C263" s="6">
        <f>IF($A263="","",SUMIFS('Daily Sale entry '!$S$2:$S$1501,'Daily Sale entry '!$P$2:$P$1501,$A263,'Daily Sale entry '!$Q$2:$Q$1501,"Credit Sale 赊销"))</f>
        <v/>
      </c>
      <c r="D263" s="6">
        <f>IF($A263="","",SUMIFS('Daily Sale entry '!$S$2:$S$1501,'Daily Sale entry '!$P$2:$P$1501,$A263,'Daily Sale entry '!$Q$2:$Q$1501,"Collection 收款"))</f>
        <v/>
      </c>
      <c r="E263" s="6">
        <f>IF($A263="","",SUMIFS('Daily Sale entry '!$AC$2:$AC$1501,'Daily Sale entry '!$AA$2:$AA$1501,$A263,'Daily Sale entry '!$Z$2:$Z$1501,"Online collection 网上收款"))</f>
        <v/>
      </c>
      <c r="F263" s="6">
        <f>IF($A263="","",SUMIFS('Debtor Ledger'!$K$2:$K$3001,'Debtor Ledger'!$C$2:$C$3001,$A263))</f>
        <v/>
      </c>
      <c r="G263" s="6">
        <f>IF($A263="","",ROUND(B263+C263-D263-E263-F263,2))</f>
        <v/>
      </c>
    </row>
    <row r="264">
      <c r="A264">
        <f>IF('Opening Balance'!I263="","",'Opening Balance'!I263)</f>
        <v/>
      </c>
      <c r="B264" s="6">
        <f>IF($A264="","",SUMIFS('Opening Balance'!$F$4:$F$303,'Opening Balance'!$G$4:$G$303,$A264))</f>
        <v/>
      </c>
      <c r="C264" s="6">
        <f>IF($A264="","",SUMIFS('Daily Sale entry '!$S$2:$S$1501,'Daily Sale entry '!$P$2:$P$1501,$A264,'Daily Sale entry '!$Q$2:$Q$1501,"Credit Sale 赊销"))</f>
        <v/>
      </c>
      <c r="D264" s="6">
        <f>IF($A264="","",SUMIFS('Daily Sale entry '!$S$2:$S$1501,'Daily Sale entry '!$P$2:$P$1501,$A264,'Daily Sale entry '!$Q$2:$Q$1501,"Collection 收款"))</f>
        <v/>
      </c>
      <c r="E264" s="6">
        <f>IF($A264="","",SUMIFS('Daily Sale entry '!$AC$2:$AC$1501,'Daily Sale entry '!$AA$2:$AA$1501,$A264,'Daily Sale entry '!$Z$2:$Z$1501,"Online collection 网上收款"))</f>
        <v/>
      </c>
      <c r="F264" s="6">
        <f>IF($A264="","",SUMIFS('Debtor Ledger'!$K$2:$K$3001,'Debtor Ledger'!$C$2:$C$3001,$A264))</f>
        <v/>
      </c>
      <c r="G264" s="6">
        <f>IF($A264="","",ROUND(B264+C264-D264-E264-F264,2))</f>
        <v/>
      </c>
    </row>
    <row r="265">
      <c r="A265">
        <f>IF('Opening Balance'!I264="","",'Opening Balance'!I264)</f>
        <v/>
      </c>
      <c r="B265" s="6">
        <f>IF($A265="","",SUMIFS('Opening Balance'!$F$4:$F$303,'Opening Balance'!$G$4:$G$303,$A265))</f>
        <v/>
      </c>
      <c r="C265" s="6">
        <f>IF($A265="","",SUMIFS('Daily Sale entry '!$S$2:$S$1501,'Daily Sale entry '!$P$2:$P$1501,$A265,'Daily Sale entry '!$Q$2:$Q$1501,"Credit Sale 赊销"))</f>
        <v/>
      </c>
      <c r="D265" s="6">
        <f>IF($A265="","",SUMIFS('Daily Sale entry '!$S$2:$S$1501,'Daily Sale entry '!$P$2:$P$1501,$A265,'Daily Sale entry '!$Q$2:$Q$1501,"Collection 收款"))</f>
        <v/>
      </c>
      <c r="E265" s="6">
        <f>IF($A265="","",SUMIFS('Daily Sale entry '!$AC$2:$AC$1501,'Daily Sale entry '!$AA$2:$AA$1501,$A265,'Daily Sale entry '!$Z$2:$Z$1501,"Online collection 网上收款"))</f>
        <v/>
      </c>
      <c r="F265" s="6">
        <f>IF($A265="","",SUMIFS('Debtor Ledger'!$K$2:$K$3001,'Debtor Ledger'!$C$2:$C$3001,$A265))</f>
        <v/>
      </c>
      <c r="G265" s="6">
        <f>IF($A265="","",ROUND(B265+C265-D265-E265-F265,2))</f>
        <v/>
      </c>
    </row>
    <row r="266">
      <c r="A266">
        <f>IF('Opening Balance'!I265="","",'Opening Balance'!I265)</f>
        <v/>
      </c>
      <c r="B266" s="6">
        <f>IF($A266="","",SUMIFS('Opening Balance'!$F$4:$F$303,'Opening Balance'!$G$4:$G$303,$A266))</f>
        <v/>
      </c>
      <c r="C266" s="6">
        <f>IF($A266="","",SUMIFS('Daily Sale entry '!$S$2:$S$1501,'Daily Sale entry '!$P$2:$P$1501,$A266,'Daily Sale entry '!$Q$2:$Q$1501,"Credit Sale 赊销"))</f>
        <v/>
      </c>
      <c r="D266" s="6">
        <f>IF($A266="","",SUMIFS('Daily Sale entry '!$S$2:$S$1501,'Daily Sale entry '!$P$2:$P$1501,$A266,'Daily Sale entry '!$Q$2:$Q$1501,"Collection 收款"))</f>
        <v/>
      </c>
      <c r="E266" s="6">
        <f>IF($A266="","",SUMIFS('Daily Sale entry '!$AC$2:$AC$1501,'Daily Sale entry '!$AA$2:$AA$1501,$A266,'Daily Sale entry '!$Z$2:$Z$1501,"Online collection 网上收款"))</f>
        <v/>
      </c>
      <c r="F266" s="6">
        <f>IF($A266="","",SUMIFS('Debtor Ledger'!$K$2:$K$3001,'Debtor Ledger'!$C$2:$C$3001,$A266))</f>
        <v/>
      </c>
      <c r="G266" s="6">
        <f>IF($A266="","",ROUND(B266+C266-D266-E266-F266,2))</f>
        <v/>
      </c>
    </row>
    <row r="267">
      <c r="A267">
        <f>IF('Opening Balance'!I266="","",'Opening Balance'!I266)</f>
        <v/>
      </c>
      <c r="B267" s="6">
        <f>IF($A267="","",SUMIFS('Opening Balance'!$F$4:$F$303,'Opening Balance'!$G$4:$G$303,$A267))</f>
        <v/>
      </c>
      <c r="C267" s="6">
        <f>IF($A267="","",SUMIFS('Daily Sale entry '!$S$2:$S$1501,'Daily Sale entry '!$P$2:$P$1501,$A267,'Daily Sale entry '!$Q$2:$Q$1501,"Credit Sale 赊销"))</f>
        <v/>
      </c>
      <c r="D267" s="6">
        <f>IF($A267="","",SUMIFS('Daily Sale entry '!$S$2:$S$1501,'Daily Sale entry '!$P$2:$P$1501,$A267,'Daily Sale entry '!$Q$2:$Q$1501,"Collection 收款"))</f>
        <v/>
      </c>
      <c r="E267" s="6">
        <f>IF($A267="","",SUMIFS('Daily Sale entry '!$AC$2:$AC$1501,'Daily Sale entry '!$AA$2:$AA$1501,$A267,'Daily Sale entry '!$Z$2:$Z$1501,"Online collection 网上收款"))</f>
        <v/>
      </c>
      <c r="F267" s="6">
        <f>IF($A267="","",SUMIFS('Debtor Ledger'!$K$2:$K$3001,'Debtor Ledger'!$C$2:$C$3001,$A267))</f>
        <v/>
      </c>
      <c r="G267" s="6">
        <f>IF($A267="","",ROUND(B267+C267-D267-E267-F267,2))</f>
        <v/>
      </c>
    </row>
    <row r="268">
      <c r="A268">
        <f>IF('Opening Balance'!I267="","",'Opening Balance'!I267)</f>
        <v/>
      </c>
      <c r="B268" s="6">
        <f>IF($A268="","",SUMIFS('Opening Balance'!$F$4:$F$303,'Opening Balance'!$G$4:$G$303,$A268))</f>
        <v/>
      </c>
      <c r="C268" s="6">
        <f>IF($A268="","",SUMIFS('Daily Sale entry '!$S$2:$S$1501,'Daily Sale entry '!$P$2:$P$1501,$A268,'Daily Sale entry '!$Q$2:$Q$1501,"Credit Sale 赊销"))</f>
        <v/>
      </c>
      <c r="D268" s="6">
        <f>IF($A268="","",SUMIFS('Daily Sale entry '!$S$2:$S$1501,'Daily Sale entry '!$P$2:$P$1501,$A268,'Daily Sale entry '!$Q$2:$Q$1501,"Collection 收款"))</f>
        <v/>
      </c>
      <c r="E268" s="6">
        <f>IF($A268="","",SUMIFS('Daily Sale entry '!$AC$2:$AC$1501,'Daily Sale entry '!$AA$2:$AA$1501,$A268,'Daily Sale entry '!$Z$2:$Z$1501,"Online collection 网上收款"))</f>
        <v/>
      </c>
      <c r="F268" s="6">
        <f>IF($A268="","",SUMIFS('Debtor Ledger'!$K$2:$K$3001,'Debtor Ledger'!$C$2:$C$3001,$A268))</f>
        <v/>
      </c>
      <c r="G268" s="6">
        <f>IF($A268="","",ROUND(B268+C268-D268-E268-F268,2))</f>
        <v/>
      </c>
    </row>
    <row r="269">
      <c r="A269">
        <f>IF('Opening Balance'!I268="","",'Opening Balance'!I268)</f>
        <v/>
      </c>
      <c r="B269" s="6">
        <f>IF($A269="","",SUMIFS('Opening Balance'!$F$4:$F$303,'Opening Balance'!$G$4:$G$303,$A269))</f>
        <v/>
      </c>
      <c r="C269" s="6">
        <f>IF($A269="","",SUMIFS('Daily Sale entry '!$S$2:$S$1501,'Daily Sale entry '!$P$2:$P$1501,$A269,'Daily Sale entry '!$Q$2:$Q$1501,"Credit Sale 赊销"))</f>
        <v/>
      </c>
      <c r="D269" s="6">
        <f>IF($A269="","",SUMIFS('Daily Sale entry '!$S$2:$S$1501,'Daily Sale entry '!$P$2:$P$1501,$A269,'Daily Sale entry '!$Q$2:$Q$1501,"Collection 收款"))</f>
        <v/>
      </c>
      <c r="E269" s="6">
        <f>IF($A269="","",SUMIFS('Daily Sale entry '!$AC$2:$AC$1501,'Daily Sale entry '!$AA$2:$AA$1501,$A269,'Daily Sale entry '!$Z$2:$Z$1501,"Online collection 网上收款"))</f>
        <v/>
      </c>
      <c r="F269" s="6">
        <f>IF($A269="","",SUMIFS('Debtor Ledger'!$K$2:$K$3001,'Debtor Ledger'!$C$2:$C$3001,$A269))</f>
        <v/>
      </c>
      <c r="G269" s="6">
        <f>IF($A269="","",ROUND(B269+C269-D269-E269-F269,2))</f>
        <v/>
      </c>
    </row>
    <row r="270">
      <c r="A270">
        <f>IF('Opening Balance'!I269="","",'Opening Balance'!I269)</f>
        <v/>
      </c>
      <c r="B270" s="6">
        <f>IF($A270="","",SUMIFS('Opening Balance'!$F$4:$F$303,'Opening Balance'!$G$4:$G$303,$A270))</f>
        <v/>
      </c>
      <c r="C270" s="6">
        <f>IF($A270="","",SUMIFS('Daily Sale entry '!$S$2:$S$1501,'Daily Sale entry '!$P$2:$P$1501,$A270,'Daily Sale entry '!$Q$2:$Q$1501,"Credit Sale 赊销"))</f>
        <v/>
      </c>
      <c r="D270" s="6">
        <f>IF($A270="","",SUMIFS('Daily Sale entry '!$S$2:$S$1501,'Daily Sale entry '!$P$2:$P$1501,$A270,'Daily Sale entry '!$Q$2:$Q$1501,"Collection 收款"))</f>
        <v/>
      </c>
      <c r="E270" s="6">
        <f>IF($A270="","",SUMIFS('Daily Sale entry '!$AC$2:$AC$1501,'Daily Sale entry '!$AA$2:$AA$1501,$A270,'Daily Sale entry '!$Z$2:$Z$1501,"Online collection 网上收款"))</f>
        <v/>
      </c>
      <c r="F270" s="6">
        <f>IF($A270="","",SUMIFS('Debtor Ledger'!$K$2:$K$3001,'Debtor Ledger'!$C$2:$C$3001,$A270))</f>
        <v/>
      </c>
      <c r="G270" s="6">
        <f>IF($A270="","",ROUND(B270+C270-D270-E270-F270,2))</f>
        <v/>
      </c>
    </row>
    <row r="271">
      <c r="A271">
        <f>IF('Opening Balance'!I270="","",'Opening Balance'!I270)</f>
        <v/>
      </c>
      <c r="B271" s="6">
        <f>IF($A271="","",SUMIFS('Opening Balance'!$F$4:$F$303,'Opening Balance'!$G$4:$G$303,$A271))</f>
        <v/>
      </c>
      <c r="C271" s="6">
        <f>IF($A271="","",SUMIFS('Daily Sale entry '!$S$2:$S$1501,'Daily Sale entry '!$P$2:$P$1501,$A271,'Daily Sale entry '!$Q$2:$Q$1501,"Credit Sale 赊销"))</f>
        <v/>
      </c>
      <c r="D271" s="6">
        <f>IF($A271="","",SUMIFS('Daily Sale entry '!$S$2:$S$1501,'Daily Sale entry '!$P$2:$P$1501,$A271,'Daily Sale entry '!$Q$2:$Q$1501,"Collection 收款"))</f>
        <v/>
      </c>
      <c r="E271" s="6">
        <f>IF($A271="","",SUMIFS('Daily Sale entry '!$AC$2:$AC$1501,'Daily Sale entry '!$AA$2:$AA$1501,$A271,'Daily Sale entry '!$Z$2:$Z$1501,"Online collection 网上收款"))</f>
        <v/>
      </c>
      <c r="F271" s="6">
        <f>IF($A271="","",SUMIFS('Debtor Ledger'!$K$2:$K$3001,'Debtor Ledger'!$C$2:$C$3001,$A271))</f>
        <v/>
      </c>
      <c r="G271" s="6">
        <f>IF($A271="","",ROUND(B271+C271-D271-E271-F271,2))</f>
        <v/>
      </c>
    </row>
    <row r="272">
      <c r="A272">
        <f>IF('Opening Balance'!I271="","",'Opening Balance'!I271)</f>
        <v/>
      </c>
      <c r="B272" s="6">
        <f>IF($A272="","",SUMIFS('Opening Balance'!$F$4:$F$303,'Opening Balance'!$G$4:$G$303,$A272))</f>
        <v/>
      </c>
      <c r="C272" s="6">
        <f>IF($A272="","",SUMIFS('Daily Sale entry '!$S$2:$S$1501,'Daily Sale entry '!$P$2:$P$1501,$A272,'Daily Sale entry '!$Q$2:$Q$1501,"Credit Sale 赊销"))</f>
        <v/>
      </c>
      <c r="D272" s="6">
        <f>IF($A272="","",SUMIFS('Daily Sale entry '!$S$2:$S$1501,'Daily Sale entry '!$P$2:$P$1501,$A272,'Daily Sale entry '!$Q$2:$Q$1501,"Collection 收款"))</f>
        <v/>
      </c>
      <c r="E272" s="6">
        <f>IF($A272="","",SUMIFS('Daily Sale entry '!$AC$2:$AC$1501,'Daily Sale entry '!$AA$2:$AA$1501,$A272,'Daily Sale entry '!$Z$2:$Z$1501,"Online collection 网上收款"))</f>
        <v/>
      </c>
      <c r="F272" s="6">
        <f>IF($A272="","",SUMIFS('Debtor Ledger'!$K$2:$K$3001,'Debtor Ledger'!$C$2:$C$3001,$A272))</f>
        <v/>
      </c>
      <c r="G272" s="6">
        <f>IF($A272="","",ROUND(B272+C272-D272-E272-F272,2))</f>
        <v/>
      </c>
    </row>
    <row r="273">
      <c r="A273">
        <f>IF('Opening Balance'!I272="","",'Opening Balance'!I272)</f>
        <v/>
      </c>
      <c r="B273" s="6">
        <f>IF($A273="","",SUMIFS('Opening Balance'!$F$4:$F$303,'Opening Balance'!$G$4:$G$303,$A273))</f>
        <v/>
      </c>
      <c r="C273" s="6">
        <f>IF($A273="","",SUMIFS('Daily Sale entry '!$S$2:$S$1501,'Daily Sale entry '!$P$2:$P$1501,$A273,'Daily Sale entry '!$Q$2:$Q$1501,"Credit Sale 赊销"))</f>
        <v/>
      </c>
      <c r="D273" s="6">
        <f>IF($A273="","",SUMIFS('Daily Sale entry '!$S$2:$S$1501,'Daily Sale entry '!$P$2:$P$1501,$A273,'Daily Sale entry '!$Q$2:$Q$1501,"Collection 收款"))</f>
        <v/>
      </c>
      <c r="E273" s="6">
        <f>IF($A273="","",SUMIFS('Daily Sale entry '!$AC$2:$AC$1501,'Daily Sale entry '!$AA$2:$AA$1501,$A273,'Daily Sale entry '!$Z$2:$Z$1501,"Online collection 网上收款"))</f>
        <v/>
      </c>
      <c r="F273" s="6">
        <f>IF($A273="","",SUMIFS('Debtor Ledger'!$K$2:$K$3001,'Debtor Ledger'!$C$2:$C$3001,$A273))</f>
        <v/>
      </c>
      <c r="G273" s="6">
        <f>IF($A273="","",ROUND(B273+C273-D273-E273-F273,2))</f>
        <v/>
      </c>
    </row>
    <row r="274">
      <c r="A274">
        <f>IF('Opening Balance'!I273="","",'Opening Balance'!I273)</f>
        <v/>
      </c>
      <c r="B274" s="6">
        <f>IF($A274="","",SUMIFS('Opening Balance'!$F$4:$F$303,'Opening Balance'!$G$4:$G$303,$A274))</f>
        <v/>
      </c>
      <c r="C274" s="6">
        <f>IF($A274="","",SUMIFS('Daily Sale entry '!$S$2:$S$1501,'Daily Sale entry '!$P$2:$P$1501,$A274,'Daily Sale entry '!$Q$2:$Q$1501,"Credit Sale 赊销"))</f>
        <v/>
      </c>
      <c r="D274" s="6">
        <f>IF($A274="","",SUMIFS('Daily Sale entry '!$S$2:$S$1501,'Daily Sale entry '!$P$2:$P$1501,$A274,'Daily Sale entry '!$Q$2:$Q$1501,"Collection 收款"))</f>
        <v/>
      </c>
      <c r="E274" s="6">
        <f>IF($A274="","",SUMIFS('Daily Sale entry '!$AC$2:$AC$1501,'Daily Sale entry '!$AA$2:$AA$1501,$A274,'Daily Sale entry '!$Z$2:$Z$1501,"Online collection 网上收款"))</f>
        <v/>
      </c>
      <c r="F274" s="6">
        <f>IF($A274="","",SUMIFS('Debtor Ledger'!$K$2:$K$3001,'Debtor Ledger'!$C$2:$C$3001,$A274))</f>
        <v/>
      </c>
      <c r="G274" s="6">
        <f>IF($A274="","",ROUND(B274+C274-D274-E274-F274,2))</f>
        <v/>
      </c>
    </row>
    <row r="275">
      <c r="A275">
        <f>IF('Opening Balance'!I274="","",'Opening Balance'!I274)</f>
        <v/>
      </c>
      <c r="B275" s="6">
        <f>IF($A275="","",SUMIFS('Opening Balance'!$F$4:$F$303,'Opening Balance'!$G$4:$G$303,$A275))</f>
        <v/>
      </c>
      <c r="C275" s="6">
        <f>IF($A275="","",SUMIFS('Daily Sale entry '!$S$2:$S$1501,'Daily Sale entry '!$P$2:$P$1501,$A275,'Daily Sale entry '!$Q$2:$Q$1501,"Credit Sale 赊销"))</f>
        <v/>
      </c>
      <c r="D275" s="6">
        <f>IF($A275="","",SUMIFS('Daily Sale entry '!$S$2:$S$1501,'Daily Sale entry '!$P$2:$P$1501,$A275,'Daily Sale entry '!$Q$2:$Q$1501,"Collection 收款"))</f>
        <v/>
      </c>
      <c r="E275" s="6">
        <f>IF($A275="","",SUMIFS('Daily Sale entry '!$AC$2:$AC$1501,'Daily Sale entry '!$AA$2:$AA$1501,$A275,'Daily Sale entry '!$Z$2:$Z$1501,"Online collection 网上收款"))</f>
        <v/>
      </c>
      <c r="F275" s="6">
        <f>IF($A275="","",SUMIFS('Debtor Ledger'!$K$2:$K$3001,'Debtor Ledger'!$C$2:$C$3001,$A275))</f>
        <v/>
      </c>
      <c r="G275" s="6">
        <f>IF($A275="","",ROUND(B275+C275-D275-E275-F275,2))</f>
        <v/>
      </c>
    </row>
    <row r="276">
      <c r="A276">
        <f>IF('Opening Balance'!I275="","",'Opening Balance'!I275)</f>
        <v/>
      </c>
      <c r="B276" s="6">
        <f>IF($A276="","",SUMIFS('Opening Balance'!$F$4:$F$303,'Opening Balance'!$G$4:$G$303,$A276))</f>
        <v/>
      </c>
      <c r="C276" s="6">
        <f>IF($A276="","",SUMIFS('Daily Sale entry '!$S$2:$S$1501,'Daily Sale entry '!$P$2:$P$1501,$A276,'Daily Sale entry '!$Q$2:$Q$1501,"Credit Sale 赊销"))</f>
        <v/>
      </c>
      <c r="D276" s="6">
        <f>IF($A276="","",SUMIFS('Daily Sale entry '!$S$2:$S$1501,'Daily Sale entry '!$P$2:$P$1501,$A276,'Daily Sale entry '!$Q$2:$Q$1501,"Collection 收款"))</f>
        <v/>
      </c>
      <c r="E276" s="6">
        <f>IF($A276="","",SUMIFS('Daily Sale entry '!$AC$2:$AC$1501,'Daily Sale entry '!$AA$2:$AA$1501,$A276,'Daily Sale entry '!$Z$2:$Z$1501,"Online collection 网上收款"))</f>
        <v/>
      </c>
      <c r="F276" s="6">
        <f>IF($A276="","",SUMIFS('Debtor Ledger'!$K$2:$K$3001,'Debtor Ledger'!$C$2:$C$3001,$A276))</f>
        <v/>
      </c>
      <c r="G276" s="6">
        <f>IF($A276="","",ROUND(B276+C276-D276-E276-F276,2))</f>
        <v/>
      </c>
    </row>
    <row r="277">
      <c r="A277">
        <f>IF('Opening Balance'!I276="","",'Opening Balance'!I276)</f>
        <v/>
      </c>
      <c r="B277" s="6">
        <f>IF($A277="","",SUMIFS('Opening Balance'!$F$4:$F$303,'Opening Balance'!$G$4:$G$303,$A277))</f>
        <v/>
      </c>
      <c r="C277" s="6">
        <f>IF($A277="","",SUMIFS('Daily Sale entry '!$S$2:$S$1501,'Daily Sale entry '!$P$2:$P$1501,$A277,'Daily Sale entry '!$Q$2:$Q$1501,"Credit Sale 赊销"))</f>
        <v/>
      </c>
      <c r="D277" s="6">
        <f>IF($A277="","",SUMIFS('Daily Sale entry '!$S$2:$S$1501,'Daily Sale entry '!$P$2:$P$1501,$A277,'Daily Sale entry '!$Q$2:$Q$1501,"Collection 收款"))</f>
        <v/>
      </c>
      <c r="E277" s="6">
        <f>IF($A277="","",SUMIFS('Daily Sale entry '!$AC$2:$AC$1501,'Daily Sale entry '!$AA$2:$AA$1501,$A277,'Daily Sale entry '!$Z$2:$Z$1501,"Online collection 网上收款"))</f>
        <v/>
      </c>
      <c r="F277" s="6">
        <f>IF($A277="","",SUMIFS('Debtor Ledger'!$K$2:$K$3001,'Debtor Ledger'!$C$2:$C$3001,$A277))</f>
        <v/>
      </c>
      <c r="G277" s="6">
        <f>IF($A277="","",ROUND(B277+C277-D277-E277-F277,2))</f>
        <v/>
      </c>
    </row>
    <row r="278">
      <c r="A278">
        <f>IF('Opening Balance'!I277="","",'Opening Balance'!I277)</f>
        <v/>
      </c>
      <c r="B278" s="6">
        <f>IF($A278="","",SUMIFS('Opening Balance'!$F$4:$F$303,'Opening Balance'!$G$4:$G$303,$A278))</f>
        <v/>
      </c>
      <c r="C278" s="6">
        <f>IF($A278="","",SUMIFS('Daily Sale entry '!$S$2:$S$1501,'Daily Sale entry '!$P$2:$P$1501,$A278,'Daily Sale entry '!$Q$2:$Q$1501,"Credit Sale 赊销"))</f>
        <v/>
      </c>
      <c r="D278" s="6">
        <f>IF($A278="","",SUMIFS('Daily Sale entry '!$S$2:$S$1501,'Daily Sale entry '!$P$2:$P$1501,$A278,'Daily Sale entry '!$Q$2:$Q$1501,"Collection 收款"))</f>
        <v/>
      </c>
      <c r="E278" s="6">
        <f>IF($A278="","",SUMIFS('Daily Sale entry '!$AC$2:$AC$1501,'Daily Sale entry '!$AA$2:$AA$1501,$A278,'Daily Sale entry '!$Z$2:$Z$1501,"Online collection 网上收款"))</f>
        <v/>
      </c>
      <c r="F278" s="6">
        <f>IF($A278="","",SUMIFS('Debtor Ledger'!$K$2:$K$3001,'Debtor Ledger'!$C$2:$C$3001,$A278))</f>
        <v/>
      </c>
      <c r="G278" s="6">
        <f>IF($A278="","",ROUND(B278+C278-D278-E278-F278,2))</f>
        <v/>
      </c>
    </row>
    <row r="279">
      <c r="A279">
        <f>IF('Opening Balance'!I278="","",'Opening Balance'!I278)</f>
        <v/>
      </c>
      <c r="B279" s="6">
        <f>IF($A279="","",SUMIFS('Opening Balance'!$F$4:$F$303,'Opening Balance'!$G$4:$G$303,$A279))</f>
        <v/>
      </c>
      <c r="C279" s="6">
        <f>IF($A279="","",SUMIFS('Daily Sale entry '!$S$2:$S$1501,'Daily Sale entry '!$P$2:$P$1501,$A279,'Daily Sale entry '!$Q$2:$Q$1501,"Credit Sale 赊销"))</f>
        <v/>
      </c>
      <c r="D279" s="6">
        <f>IF($A279="","",SUMIFS('Daily Sale entry '!$S$2:$S$1501,'Daily Sale entry '!$P$2:$P$1501,$A279,'Daily Sale entry '!$Q$2:$Q$1501,"Collection 收款"))</f>
        <v/>
      </c>
      <c r="E279" s="6">
        <f>IF($A279="","",SUMIFS('Daily Sale entry '!$AC$2:$AC$1501,'Daily Sale entry '!$AA$2:$AA$1501,$A279,'Daily Sale entry '!$Z$2:$Z$1501,"Online collection 网上收款"))</f>
        <v/>
      </c>
      <c r="F279" s="6">
        <f>IF($A279="","",SUMIFS('Debtor Ledger'!$K$2:$K$3001,'Debtor Ledger'!$C$2:$C$3001,$A279))</f>
        <v/>
      </c>
      <c r="G279" s="6">
        <f>IF($A279="","",ROUND(B279+C279-D279-E279-F279,2))</f>
        <v/>
      </c>
    </row>
    <row r="280">
      <c r="A280">
        <f>IF('Opening Balance'!I279="","",'Opening Balance'!I279)</f>
        <v/>
      </c>
      <c r="B280" s="6">
        <f>IF($A280="","",SUMIFS('Opening Balance'!$F$4:$F$303,'Opening Balance'!$G$4:$G$303,$A280))</f>
        <v/>
      </c>
      <c r="C280" s="6">
        <f>IF($A280="","",SUMIFS('Daily Sale entry '!$S$2:$S$1501,'Daily Sale entry '!$P$2:$P$1501,$A280,'Daily Sale entry '!$Q$2:$Q$1501,"Credit Sale 赊销"))</f>
        <v/>
      </c>
      <c r="D280" s="6">
        <f>IF($A280="","",SUMIFS('Daily Sale entry '!$S$2:$S$1501,'Daily Sale entry '!$P$2:$P$1501,$A280,'Daily Sale entry '!$Q$2:$Q$1501,"Collection 收款"))</f>
        <v/>
      </c>
      <c r="E280" s="6">
        <f>IF($A280="","",SUMIFS('Daily Sale entry '!$AC$2:$AC$1501,'Daily Sale entry '!$AA$2:$AA$1501,$A280,'Daily Sale entry '!$Z$2:$Z$1501,"Online collection 网上收款"))</f>
        <v/>
      </c>
      <c r="F280" s="6">
        <f>IF($A280="","",SUMIFS('Debtor Ledger'!$K$2:$K$3001,'Debtor Ledger'!$C$2:$C$3001,$A280))</f>
        <v/>
      </c>
      <c r="G280" s="6">
        <f>IF($A280="","",ROUND(B280+C280-D280-E280-F280,2))</f>
        <v/>
      </c>
    </row>
    <row r="281">
      <c r="A281">
        <f>IF('Opening Balance'!I280="","",'Opening Balance'!I280)</f>
        <v/>
      </c>
      <c r="B281" s="6">
        <f>IF($A281="","",SUMIFS('Opening Balance'!$F$4:$F$303,'Opening Balance'!$G$4:$G$303,$A281))</f>
        <v/>
      </c>
      <c r="C281" s="6">
        <f>IF($A281="","",SUMIFS('Daily Sale entry '!$S$2:$S$1501,'Daily Sale entry '!$P$2:$P$1501,$A281,'Daily Sale entry '!$Q$2:$Q$1501,"Credit Sale 赊销"))</f>
        <v/>
      </c>
      <c r="D281" s="6">
        <f>IF($A281="","",SUMIFS('Daily Sale entry '!$S$2:$S$1501,'Daily Sale entry '!$P$2:$P$1501,$A281,'Daily Sale entry '!$Q$2:$Q$1501,"Collection 收款"))</f>
        <v/>
      </c>
      <c r="E281" s="6">
        <f>IF($A281="","",SUMIFS('Daily Sale entry '!$AC$2:$AC$1501,'Daily Sale entry '!$AA$2:$AA$1501,$A281,'Daily Sale entry '!$Z$2:$Z$1501,"Online collection 网上收款"))</f>
        <v/>
      </c>
      <c r="F281" s="6">
        <f>IF($A281="","",SUMIFS('Debtor Ledger'!$K$2:$K$3001,'Debtor Ledger'!$C$2:$C$3001,$A281))</f>
        <v/>
      </c>
      <c r="G281" s="6">
        <f>IF($A281="","",ROUND(B281+C281-D281-E281-F281,2))</f>
        <v/>
      </c>
    </row>
    <row r="282">
      <c r="A282">
        <f>IF('Opening Balance'!I281="","",'Opening Balance'!I281)</f>
        <v/>
      </c>
      <c r="B282" s="6">
        <f>IF($A282="","",SUMIFS('Opening Balance'!$F$4:$F$303,'Opening Balance'!$G$4:$G$303,$A282))</f>
        <v/>
      </c>
      <c r="C282" s="6">
        <f>IF($A282="","",SUMIFS('Daily Sale entry '!$S$2:$S$1501,'Daily Sale entry '!$P$2:$P$1501,$A282,'Daily Sale entry '!$Q$2:$Q$1501,"Credit Sale 赊销"))</f>
        <v/>
      </c>
      <c r="D282" s="6">
        <f>IF($A282="","",SUMIFS('Daily Sale entry '!$S$2:$S$1501,'Daily Sale entry '!$P$2:$P$1501,$A282,'Daily Sale entry '!$Q$2:$Q$1501,"Collection 收款"))</f>
        <v/>
      </c>
      <c r="E282" s="6">
        <f>IF($A282="","",SUMIFS('Daily Sale entry '!$AC$2:$AC$1501,'Daily Sale entry '!$AA$2:$AA$1501,$A282,'Daily Sale entry '!$Z$2:$Z$1501,"Online collection 网上收款"))</f>
        <v/>
      </c>
      <c r="F282" s="6">
        <f>IF($A282="","",SUMIFS('Debtor Ledger'!$K$2:$K$3001,'Debtor Ledger'!$C$2:$C$3001,$A282))</f>
        <v/>
      </c>
      <c r="G282" s="6">
        <f>IF($A282="","",ROUND(B282+C282-D282-E282-F282,2))</f>
        <v/>
      </c>
    </row>
    <row r="283">
      <c r="A283">
        <f>IF('Opening Balance'!I282="","",'Opening Balance'!I282)</f>
        <v/>
      </c>
      <c r="B283" s="6">
        <f>IF($A283="","",SUMIFS('Opening Balance'!$F$4:$F$303,'Opening Balance'!$G$4:$G$303,$A283))</f>
        <v/>
      </c>
      <c r="C283" s="6">
        <f>IF($A283="","",SUMIFS('Daily Sale entry '!$S$2:$S$1501,'Daily Sale entry '!$P$2:$P$1501,$A283,'Daily Sale entry '!$Q$2:$Q$1501,"Credit Sale 赊销"))</f>
        <v/>
      </c>
      <c r="D283" s="6">
        <f>IF($A283="","",SUMIFS('Daily Sale entry '!$S$2:$S$1501,'Daily Sale entry '!$P$2:$P$1501,$A283,'Daily Sale entry '!$Q$2:$Q$1501,"Collection 收款"))</f>
        <v/>
      </c>
      <c r="E283" s="6">
        <f>IF($A283="","",SUMIFS('Daily Sale entry '!$AC$2:$AC$1501,'Daily Sale entry '!$AA$2:$AA$1501,$A283,'Daily Sale entry '!$Z$2:$Z$1501,"Online collection 网上收款"))</f>
        <v/>
      </c>
      <c r="F283" s="6">
        <f>IF($A283="","",SUMIFS('Debtor Ledger'!$K$2:$K$3001,'Debtor Ledger'!$C$2:$C$3001,$A283))</f>
        <v/>
      </c>
      <c r="G283" s="6">
        <f>IF($A283="","",ROUND(B283+C283-D283-E283-F283,2))</f>
        <v/>
      </c>
    </row>
    <row r="284">
      <c r="A284">
        <f>IF('Opening Balance'!I283="","",'Opening Balance'!I283)</f>
        <v/>
      </c>
      <c r="B284" s="6">
        <f>IF($A284="","",SUMIFS('Opening Balance'!$F$4:$F$303,'Opening Balance'!$G$4:$G$303,$A284))</f>
        <v/>
      </c>
      <c r="C284" s="6">
        <f>IF($A284="","",SUMIFS('Daily Sale entry '!$S$2:$S$1501,'Daily Sale entry '!$P$2:$P$1501,$A284,'Daily Sale entry '!$Q$2:$Q$1501,"Credit Sale 赊销"))</f>
        <v/>
      </c>
      <c r="D284" s="6">
        <f>IF($A284="","",SUMIFS('Daily Sale entry '!$S$2:$S$1501,'Daily Sale entry '!$P$2:$P$1501,$A284,'Daily Sale entry '!$Q$2:$Q$1501,"Collection 收款"))</f>
        <v/>
      </c>
      <c r="E284" s="6">
        <f>IF($A284="","",SUMIFS('Daily Sale entry '!$AC$2:$AC$1501,'Daily Sale entry '!$AA$2:$AA$1501,$A284,'Daily Sale entry '!$Z$2:$Z$1501,"Online collection 网上收款"))</f>
        <v/>
      </c>
      <c r="F284" s="6">
        <f>IF($A284="","",SUMIFS('Debtor Ledger'!$K$2:$K$3001,'Debtor Ledger'!$C$2:$C$3001,$A284))</f>
        <v/>
      </c>
      <c r="G284" s="6">
        <f>IF($A284="","",ROUND(B284+C284-D284-E284-F284,2))</f>
        <v/>
      </c>
    </row>
    <row r="285">
      <c r="A285">
        <f>IF('Opening Balance'!I284="","",'Opening Balance'!I284)</f>
        <v/>
      </c>
      <c r="B285" s="6">
        <f>IF($A285="","",SUMIFS('Opening Balance'!$F$4:$F$303,'Opening Balance'!$G$4:$G$303,$A285))</f>
        <v/>
      </c>
      <c r="C285" s="6">
        <f>IF($A285="","",SUMIFS('Daily Sale entry '!$S$2:$S$1501,'Daily Sale entry '!$P$2:$P$1501,$A285,'Daily Sale entry '!$Q$2:$Q$1501,"Credit Sale 赊销"))</f>
        <v/>
      </c>
      <c r="D285" s="6">
        <f>IF($A285="","",SUMIFS('Daily Sale entry '!$S$2:$S$1501,'Daily Sale entry '!$P$2:$P$1501,$A285,'Daily Sale entry '!$Q$2:$Q$1501,"Collection 收款"))</f>
        <v/>
      </c>
      <c r="E285" s="6">
        <f>IF($A285="","",SUMIFS('Daily Sale entry '!$AC$2:$AC$1501,'Daily Sale entry '!$AA$2:$AA$1501,$A285,'Daily Sale entry '!$Z$2:$Z$1501,"Online collection 网上收款"))</f>
        <v/>
      </c>
      <c r="F285" s="6">
        <f>IF($A285="","",SUMIFS('Debtor Ledger'!$K$2:$K$3001,'Debtor Ledger'!$C$2:$C$3001,$A285))</f>
        <v/>
      </c>
      <c r="G285" s="6">
        <f>IF($A285="","",ROUND(B285+C285-D285-E285-F285,2))</f>
        <v/>
      </c>
    </row>
    <row r="286">
      <c r="A286">
        <f>IF('Opening Balance'!I285="","",'Opening Balance'!I285)</f>
        <v/>
      </c>
      <c r="B286" s="6">
        <f>IF($A286="","",SUMIFS('Opening Balance'!$F$4:$F$303,'Opening Balance'!$G$4:$G$303,$A286))</f>
        <v/>
      </c>
      <c r="C286" s="6">
        <f>IF($A286="","",SUMIFS('Daily Sale entry '!$S$2:$S$1501,'Daily Sale entry '!$P$2:$P$1501,$A286,'Daily Sale entry '!$Q$2:$Q$1501,"Credit Sale 赊销"))</f>
        <v/>
      </c>
      <c r="D286" s="6">
        <f>IF($A286="","",SUMIFS('Daily Sale entry '!$S$2:$S$1501,'Daily Sale entry '!$P$2:$P$1501,$A286,'Daily Sale entry '!$Q$2:$Q$1501,"Collection 收款"))</f>
        <v/>
      </c>
      <c r="E286" s="6">
        <f>IF($A286="","",SUMIFS('Daily Sale entry '!$AC$2:$AC$1501,'Daily Sale entry '!$AA$2:$AA$1501,$A286,'Daily Sale entry '!$Z$2:$Z$1501,"Online collection 网上收款"))</f>
        <v/>
      </c>
      <c r="F286" s="6">
        <f>IF($A286="","",SUMIFS('Debtor Ledger'!$K$2:$K$3001,'Debtor Ledger'!$C$2:$C$3001,$A286))</f>
        <v/>
      </c>
      <c r="G286" s="6">
        <f>IF($A286="","",ROUND(B286+C286-D286-E286-F286,2))</f>
        <v/>
      </c>
    </row>
    <row r="287">
      <c r="A287">
        <f>IF('Opening Balance'!I286="","",'Opening Balance'!I286)</f>
        <v/>
      </c>
      <c r="B287" s="6">
        <f>IF($A287="","",SUMIFS('Opening Balance'!$F$4:$F$303,'Opening Balance'!$G$4:$G$303,$A287))</f>
        <v/>
      </c>
      <c r="C287" s="6">
        <f>IF($A287="","",SUMIFS('Daily Sale entry '!$S$2:$S$1501,'Daily Sale entry '!$P$2:$P$1501,$A287,'Daily Sale entry '!$Q$2:$Q$1501,"Credit Sale 赊销"))</f>
        <v/>
      </c>
      <c r="D287" s="6">
        <f>IF($A287="","",SUMIFS('Daily Sale entry '!$S$2:$S$1501,'Daily Sale entry '!$P$2:$P$1501,$A287,'Daily Sale entry '!$Q$2:$Q$1501,"Collection 收款"))</f>
        <v/>
      </c>
      <c r="E287" s="6">
        <f>IF($A287="","",SUMIFS('Daily Sale entry '!$AC$2:$AC$1501,'Daily Sale entry '!$AA$2:$AA$1501,$A287,'Daily Sale entry '!$Z$2:$Z$1501,"Online collection 网上收款"))</f>
        <v/>
      </c>
      <c r="F287" s="6">
        <f>IF($A287="","",SUMIFS('Debtor Ledger'!$K$2:$K$3001,'Debtor Ledger'!$C$2:$C$3001,$A287))</f>
        <v/>
      </c>
      <c r="G287" s="6">
        <f>IF($A287="","",ROUND(B287+C287-D287-E287-F287,2))</f>
        <v/>
      </c>
    </row>
    <row r="288">
      <c r="A288">
        <f>IF('Opening Balance'!I287="","",'Opening Balance'!I287)</f>
        <v/>
      </c>
      <c r="B288" s="6">
        <f>IF($A288="","",SUMIFS('Opening Balance'!$F$4:$F$303,'Opening Balance'!$G$4:$G$303,$A288))</f>
        <v/>
      </c>
      <c r="C288" s="6">
        <f>IF($A288="","",SUMIFS('Daily Sale entry '!$S$2:$S$1501,'Daily Sale entry '!$P$2:$P$1501,$A288,'Daily Sale entry '!$Q$2:$Q$1501,"Credit Sale 赊销"))</f>
        <v/>
      </c>
      <c r="D288" s="6">
        <f>IF($A288="","",SUMIFS('Daily Sale entry '!$S$2:$S$1501,'Daily Sale entry '!$P$2:$P$1501,$A288,'Daily Sale entry '!$Q$2:$Q$1501,"Collection 收款"))</f>
        <v/>
      </c>
      <c r="E288" s="6">
        <f>IF($A288="","",SUMIFS('Daily Sale entry '!$AC$2:$AC$1501,'Daily Sale entry '!$AA$2:$AA$1501,$A288,'Daily Sale entry '!$Z$2:$Z$1501,"Online collection 网上收款"))</f>
        <v/>
      </c>
      <c r="F288" s="6">
        <f>IF($A288="","",SUMIFS('Debtor Ledger'!$K$2:$K$3001,'Debtor Ledger'!$C$2:$C$3001,$A288))</f>
        <v/>
      </c>
      <c r="G288" s="6">
        <f>IF($A288="","",ROUND(B288+C288-D288-E288-F288,2))</f>
        <v/>
      </c>
    </row>
    <row r="289">
      <c r="A289">
        <f>IF('Opening Balance'!I288="","",'Opening Balance'!I288)</f>
        <v/>
      </c>
      <c r="B289" s="6">
        <f>IF($A289="","",SUMIFS('Opening Balance'!$F$4:$F$303,'Opening Balance'!$G$4:$G$303,$A289))</f>
        <v/>
      </c>
      <c r="C289" s="6">
        <f>IF($A289="","",SUMIFS('Daily Sale entry '!$S$2:$S$1501,'Daily Sale entry '!$P$2:$P$1501,$A289,'Daily Sale entry '!$Q$2:$Q$1501,"Credit Sale 赊销"))</f>
        <v/>
      </c>
      <c r="D289" s="6">
        <f>IF($A289="","",SUMIFS('Daily Sale entry '!$S$2:$S$1501,'Daily Sale entry '!$P$2:$P$1501,$A289,'Daily Sale entry '!$Q$2:$Q$1501,"Collection 收款"))</f>
        <v/>
      </c>
      <c r="E289" s="6">
        <f>IF($A289="","",SUMIFS('Daily Sale entry '!$AC$2:$AC$1501,'Daily Sale entry '!$AA$2:$AA$1501,$A289,'Daily Sale entry '!$Z$2:$Z$1501,"Online collection 网上收款"))</f>
        <v/>
      </c>
      <c r="F289" s="6">
        <f>IF($A289="","",SUMIFS('Debtor Ledger'!$K$2:$K$3001,'Debtor Ledger'!$C$2:$C$3001,$A289))</f>
        <v/>
      </c>
      <c r="G289" s="6">
        <f>IF($A289="","",ROUND(B289+C289-D289-E289-F289,2))</f>
        <v/>
      </c>
    </row>
    <row r="290">
      <c r="A290">
        <f>IF('Opening Balance'!I289="","",'Opening Balance'!I289)</f>
        <v/>
      </c>
      <c r="B290" s="6">
        <f>IF($A290="","",SUMIFS('Opening Balance'!$F$4:$F$303,'Opening Balance'!$G$4:$G$303,$A290))</f>
        <v/>
      </c>
      <c r="C290" s="6">
        <f>IF($A290="","",SUMIFS('Daily Sale entry '!$S$2:$S$1501,'Daily Sale entry '!$P$2:$P$1501,$A290,'Daily Sale entry '!$Q$2:$Q$1501,"Credit Sale 赊销"))</f>
        <v/>
      </c>
      <c r="D290" s="6">
        <f>IF($A290="","",SUMIFS('Daily Sale entry '!$S$2:$S$1501,'Daily Sale entry '!$P$2:$P$1501,$A290,'Daily Sale entry '!$Q$2:$Q$1501,"Collection 收款"))</f>
        <v/>
      </c>
      <c r="E290" s="6">
        <f>IF($A290="","",SUMIFS('Daily Sale entry '!$AC$2:$AC$1501,'Daily Sale entry '!$AA$2:$AA$1501,$A290,'Daily Sale entry '!$Z$2:$Z$1501,"Online collection 网上收款"))</f>
        <v/>
      </c>
      <c r="F290" s="6">
        <f>IF($A290="","",SUMIFS('Debtor Ledger'!$K$2:$K$3001,'Debtor Ledger'!$C$2:$C$3001,$A290))</f>
        <v/>
      </c>
      <c r="G290" s="6">
        <f>IF($A290="","",ROUND(B290+C290-D290-E290-F290,2))</f>
        <v/>
      </c>
    </row>
    <row r="291">
      <c r="A291">
        <f>IF('Opening Balance'!I290="","",'Opening Balance'!I290)</f>
        <v/>
      </c>
      <c r="B291" s="6">
        <f>IF($A291="","",SUMIFS('Opening Balance'!$F$4:$F$303,'Opening Balance'!$G$4:$G$303,$A291))</f>
        <v/>
      </c>
      <c r="C291" s="6">
        <f>IF($A291="","",SUMIFS('Daily Sale entry '!$S$2:$S$1501,'Daily Sale entry '!$P$2:$P$1501,$A291,'Daily Sale entry '!$Q$2:$Q$1501,"Credit Sale 赊销"))</f>
        <v/>
      </c>
      <c r="D291" s="6">
        <f>IF($A291="","",SUMIFS('Daily Sale entry '!$S$2:$S$1501,'Daily Sale entry '!$P$2:$P$1501,$A291,'Daily Sale entry '!$Q$2:$Q$1501,"Collection 收款"))</f>
        <v/>
      </c>
      <c r="E291" s="6">
        <f>IF($A291="","",SUMIFS('Daily Sale entry '!$AC$2:$AC$1501,'Daily Sale entry '!$AA$2:$AA$1501,$A291,'Daily Sale entry '!$Z$2:$Z$1501,"Online collection 网上收款"))</f>
        <v/>
      </c>
      <c r="F291" s="6">
        <f>IF($A291="","",SUMIFS('Debtor Ledger'!$K$2:$K$3001,'Debtor Ledger'!$C$2:$C$3001,$A291))</f>
        <v/>
      </c>
      <c r="G291" s="6">
        <f>IF($A291="","",ROUND(B291+C291-D291-E291-F291,2))</f>
        <v/>
      </c>
    </row>
    <row r="292">
      <c r="A292">
        <f>IF('Opening Balance'!I291="","",'Opening Balance'!I291)</f>
        <v/>
      </c>
      <c r="B292" s="6">
        <f>IF($A292="","",SUMIFS('Opening Balance'!$F$4:$F$303,'Opening Balance'!$G$4:$G$303,$A292))</f>
        <v/>
      </c>
      <c r="C292" s="6">
        <f>IF($A292="","",SUMIFS('Daily Sale entry '!$S$2:$S$1501,'Daily Sale entry '!$P$2:$P$1501,$A292,'Daily Sale entry '!$Q$2:$Q$1501,"Credit Sale 赊销"))</f>
        <v/>
      </c>
      <c r="D292" s="6">
        <f>IF($A292="","",SUMIFS('Daily Sale entry '!$S$2:$S$1501,'Daily Sale entry '!$P$2:$P$1501,$A292,'Daily Sale entry '!$Q$2:$Q$1501,"Collection 收款"))</f>
        <v/>
      </c>
      <c r="E292" s="6">
        <f>IF($A292="","",SUMIFS('Daily Sale entry '!$AC$2:$AC$1501,'Daily Sale entry '!$AA$2:$AA$1501,$A292,'Daily Sale entry '!$Z$2:$Z$1501,"Online collection 网上收款"))</f>
        <v/>
      </c>
      <c r="F292" s="6">
        <f>IF($A292="","",SUMIFS('Debtor Ledger'!$K$2:$K$3001,'Debtor Ledger'!$C$2:$C$3001,$A292))</f>
        <v/>
      </c>
      <c r="G292" s="6">
        <f>IF($A292="","",ROUND(B292+C292-D292-E292-F292,2))</f>
        <v/>
      </c>
    </row>
    <row r="293">
      <c r="A293">
        <f>IF('Opening Balance'!I292="","",'Opening Balance'!I292)</f>
        <v/>
      </c>
      <c r="B293" s="6">
        <f>IF($A293="","",SUMIFS('Opening Balance'!$F$4:$F$303,'Opening Balance'!$G$4:$G$303,$A293))</f>
        <v/>
      </c>
      <c r="C293" s="6">
        <f>IF($A293="","",SUMIFS('Daily Sale entry '!$S$2:$S$1501,'Daily Sale entry '!$P$2:$P$1501,$A293,'Daily Sale entry '!$Q$2:$Q$1501,"Credit Sale 赊销"))</f>
        <v/>
      </c>
      <c r="D293" s="6">
        <f>IF($A293="","",SUMIFS('Daily Sale entry '!$S$2:$S$1501,'Daily Sale entry '!$P$2:$P$1501,$A293,'Daily Sale entry '!$Q$2:$Q$1501,"Collection 收款"))</f>
        <v/>
      </c>
      <c r="E293" s="6">
        <f>IF($A293="","",SUMIFS('Daily Sale entry '!$AC$2:$AC$1501,'Daily Sale entry '!$AA$2:$AA$1501,$A293,'Daily Sale entry '!$Z$2:$Z$1501,"Online collection 网上收款"))</f>
        <v/>
      </c>
      <c r="F293" s="6">
        <f>IF($A293="","",SUMIFS('Debtor Ledger'!$K$2:$K$3001,'Debtor Ledger'!$C$2:$C$3001,$A293))</f>
        <v/>
      </c>
      <c r="G293" s="6">
        <f>IF($A293="","",ROUND(B293+C293-D293-E293-F293,2))</f>
        <v/>
      </c>
    </row>
    <row r="294">
      <c r="A294">
        <f>IF('Opening Balance'!I293="","",'Opening Balance'!I293)</f>
        <v/>
      </c>
      <c r="B294" s="6">
        <f>IF($A294="","",SUMIFS('Opening Balance'!$F$4:$F$303,'Opening Balance'!$G$4:$G$303,$A294))</f>
        <v/>
      </c>
      <c r="C294" s="6">
        <f>IF($A294="","",SUMIFS('Daily Sale entry '!$S$2:$S$1501,'Daily Sale entry '!$P$2:$P$1501,$A294,'Daily Sale entry '!$Q$2:$Q$1501,"Credit Sale 赊销"))</f>
        <v/>
      </c>
      <c r="D294" s="6">
        <f>IF($A294="","",SUMIFS('Daily Sale entry '!$S$2:$S$1501,'Daily Sale entry '!$P$2:$P$1501,$A294,'Daily Sale entry '!$Q$2:$Q$1501,"Collection 收款"))</f>
        <v/>
      </c>
      <c r="E294" s="6">
        <f>IF($A294="","",SUMIFS('Daily Sale entry '!$AC$2:$AC$1501,'Daily Sale entry '!$AA$2:$AA$1501,$A294,'Daily Sale entry '!$Z$2:$Z$1501,"Online collection 网上收款"))</f>
        <v/>
      </c>
      <c r="F294" s="6">
        <f>IF($A294="","",SUMIFS('Debtor Ledger'!$K$2:$K$3001,'Debtor Ledger'!$C$2:$C$3001,$A294))</f>
        <v/>
      </c>
      <c r="G294" s="6">
        <f>IF($A294="","",ROUND(B294+C294-D294-E294-F294,2))</f>
        <v/>
      </c>
    </row>
    <row r="295">
      <c r="A295">
        <f>IF('Opening Balance'!I294="","",'Opening Balance'!I294)</f>
        <v/>
      </c>
      <c r="B295" s="6">
        <f>IF($A295="","",SUMIFS('Opening Balance'!$F$4:$F$303,'Opening Balance'!$G$4:$G$303,$A295))</f>
        <v/>
      </c>
      <c r="C295" s="6">
        <f>IF($A295="","",SUMIFS('Daily Sale entry '!$S$2:$S$1501,'Daily Sale entry '!$P$2:$P$1501,$A295,'Daily Sale entry '!$Q$2:$Q$1501,"Credit Sale 赊销"))</f>
        <v/>
      </c>
      <c r="D295" s="6">
        <f>IF($A295="","",SUMIFS('Daily Sale entry '!$S$2:$S$1501,'Daily Sale entry '!$P$2:$P$1501,$A295,'Daily Sale entry '!$Q$2:$Q$1501,"Collection 收款"))</f>
        <v/>
      </c>
      <c r="E295" s="6">
        <f>IF($A295="","",SUMIFS('Daily Sale entry '!$AC$2:$AC$1501,'Daily Sale entry '!$AA$2:$AA$1501,$A295,'Daily Sale entry '!$Z$2:$Z$1501,"Online collection 网上收款"))</f>
        <v/>
      </c>
      <c r="F295" s="6">
        <f>IF($A295="","",SUMIFS('Debtor Ledger'!$K$2:$K$3001,'Debtor Ledger'!$C$2:$C$3001,$A295))</f>
        <v/>
      </c>
      <c r="G295" s="6">
        <f>IF($A295="","",ROUND(B295+C295-D295-E295-F295,2))</f>
        <v/>
      </c>
    </row>
    <row r="296">
      <c r="A296">
        <f>IF('Opening Balance'!I295="","",'Opening Balance'!I295)</f>
        <v/>
      </c>
      <c r="B296" s="6">
        <f>IF($A296="","",SUMIFS('Opening Balance'!$F$4:$F$303,'Opening Balance'!$G$4:$G$303,$A296))</f>
        <v/>
      </c>
      <c r="C296" s="6">
        <f>IF($A296="","",SUMIFS('Daily Sale entry '!$S$2:$S$1501,'Daily Sale entry '!$P$2:$P$1501,$A296,'Daily Sale entry '!$Q$2:$Q$1501,"Credit Sale 赊销"))</f>
        <v/>
      </c>
      <c r="D296" s="6">
        <f>IF($A296="","",SUMIFS('Daily Sale entry '!$S$2:$S$1501,'Daily Sale entry '!$P$2:$P$1501,$A296,'Daily Sale entry '!$Q$2:$Q$1501,"Collection 收款"))</f>
        <v/>
      </c>
      <c r="E296" s="6">
        <f>IF($A296="","",SUMIFS('Daily Sale entry '!$AC$2:$AC$1501,'Daily Sale entry '!$AA$2:$AA$1501,$A296,'Daily Sale entry '!$Z$2:$Z$1501,"Online collection 网上收款"))</f>
        <v/>
      </c>
      <c r="F296" s="6">
        <f>IF($A296="","",SUMIFS('Debtor Ledger'!$K$2:$K$3001,'Debtor Ledger'!$C$2:$C$3001,$A296))</f>
        <v/>
      </c>
      <c r="G296" s="6">
        <f>IF($A296="","",ROUND(B296+C296-D296-E296-F296,2))</f>
        <v/>
      </c>
    </row>
    <row r="297">
      <c r="A297">
        <f>IF('Opening Balance'!I296="","",'Opening Balance'!I296)</f>
        <v/>
      </c>
      <c r="B297" s="6">
        <f>IF($A297="","",SUMIFS('Opening Balance'!$F$4:$F$303,'Opening Balance'!$G$4:$G$303,$A297))</f>
        <v/>
      </c>
      <c r="C297" s="6">
        <f>IF($A297="","",SUMIFS('Daily Sale entry '!$S$2:$S$1501,'Daily Sale entry '!$P$2:$P$1501,$A297,'Daily Sale entry '!$Q$2:$Q$1501,"Credit Sale 赊销"))</f>
        <v/>
      </c>
      <c r="D297" s="6">
        <f>IF($A297="","",SUMIFS('Daily Sale entry '!$S$2:$S$1501,'Daily Sale entry '!$P$2:$P$1501,$A297,'Daily Sale entry '!$Q$2:$Q$1501,"Collection 收款"))</f>
        <v/>
      </c>
      <c r="E297" s="6">
        <f>IF($A297="","",SUMIFS('Daily Sale entry '!$AC$2:$AC$1501,'Daily Sale entry '!$AA$2:$AA$1501,$A297,'Daily Sale entry '!$Z$2:$Z$1501,"Online collection 网上收款"))</f>
        <v/>
      </c>
      <c r="F297" s="6">
        <f>IF($A297="","",SUMIFS('Debtor Ledger'!$K$2:$K$3001,'Debtor Ledger'!$C$2:$C$3001,$A297))</f>
        <v/>
      </c>
      <c r="G297" s="6">
        <f>IF($A297="","",ROUND(B297+C297-D297-E297-F297,2))</f>
        <v/>
      </c>
    </row>
    <row r="298">
      <c r="A298">
        <f>IF('Opening Balance'!I297="","",'Opening Balance'!I297)</f>
        <v/>
      </c>
      <c r="B298" s="6">
        <f>IF($A298="","",SUMIFS('Opening Balance'!$F$4:$F$303,'Opening Balance'!$G$4:$G$303,$A298))</f>
        <v/>
      </c>
      <c r="C298" s="6">
        <f>IF($A298="","",SUMIFS('Daily Sale entry '!$S$2:$S$1501,'Daily Sale entry '!$P$2:$P$1501,$A298,'Daily Sale entry '!$Q$2:$Q$1501,"Credit Sale 赊销"))</f>
        <v/>
      </c>
      <c r="D298" s="6">
        <f>IF($A298="","",SUMIFS('Daily Sale entry '!$S$2:$S$1501,'Daily Sale entry '!$P$2:$P$1501,$A298,'Daily Sale entry '!$Q$2:$Q$1501,"Collection 收款"))</f>
        <v/>
      </c>
      <c r="E298" s="6">
        <f>IF($A298="","",SUMIFS('Daily Sale entry '!$AC$2:$AC$1501,'Daily Sale entry '!$AA$2:$AA$1501,$A298,'Daily Sale entry '!$Z$2:$Z$1501,"Online collection 网上收款"))</f>
        <v/>
      </c>
      <c r="F298" s="6">
        <f>IF($A298="","",SUMIFS('Debtor Ledger'!$K$2:$K$3001,'Debtor Ledger'!$C$2:$C$3001,$A298))</f>
        <v/>
      </c>
      <c r="G298" s="6">
        <f>IF($A298="","",ROUND(B298+C298-D298-E298-F298,2))</f>
        <v/>
      </c>
    </row>
    <row r="299">
      <c r="A299">
        <f>IF('Opening Balance'!I298="","",'Opening Balance'!I298)</f>
        <v/>
      </c>
      <c r="B299" s="6">
        <f>IF($A299="","",SUMIFS('Opening Balance'!$F$4:$F$303,'Opening Balance'!$G$4:$G$303,$A299))</f>
        <v/>
      </c>
      <c r="C299" s="6">
        <f>IF($A299="","",SUMIFS('Daily Sale entry '!$S$2:$S$1501,'Daily Sale entry '!$P$2:$P$1501,$A299,'Daily Sale entry '!$Q$2:$Q$1501,"Credit Sale 赊销"))</f>
        <v/>
      </c>
      <c r="D299" s="6">
        <f>IF($A299="","",SUMIFS('Daily Sale entry '!$S$2:$S$1501,'Daily Sale entry '!$P$2:$P$1501,$A299,'Daily Sale entry '!$Q$2:$Q$1501,"Collection 收款"))</f>
        <v/>
      </c>
      <c r="E299" s="6">
        <f>IF($A299="","",SUMIFS('Daily Sale entry '!$AC$2:$AC$1501,'Daily Sale entry '!$AA$2:$AA$1501,$A299,'Daily Sale entry '!$Z$2:$Z$1501,"Online collection 网上收款"))</f>
        <v/>
      </c>
      <c r="F299" s="6">
        <f>IF($A299="","",SUMIFS('Debtor Ledger'!$K$2:$K$3001,'Debtor Ledger'!$C$2:$C$3001,$A299))</f>
        <v/>
      </c>
      <c r="G299" s="6">
        <f>IF($A299="","",ROUND(B299+C299-D299-E299-F299,2))</f>
        <v/>
      </c>
    </row>
    <row r="300">
      <c r="A300">
        <f>IF('Opening Balance'!I299="","",'Opening Balance'!I299)</f>
        <v/>
      </c>
      <c r="B300" s="6">
        <f>IF($A300="","",SUMIFS('Opening Balance'!$F$4:$F$303,'Opening Balance'!$G$4:$G$303,$A300))</f>
        <v/>
      </c>
      <c r="C300" s="6">
        <f>IF($A300="","",SUMIFS('Daily Sale entry '!$S$2:$S$1501,'Daily Sale entry '!$P$2:$P$1501,$A300,'Daily Sale entry '!$Q$2:$Q$1501,"Credit Sale 赊销"))</f>
        <v/>
      </c>
      <c r="D300" s="6">
        <f>IF($A300="","",SUMIFS('Daily Sale entry '!$S$2:$S$1501,'Daily Sale entry '!$P$2:$P$1501,$A300,'Daily Sale entry '!$Q$2:$Q$1501,"Collection 收款"))</f>
        <v/>
      </c>
      <c r="E300" s="6">
        <f>IF($A300="","",SUMIFS('Daily Sale entry '!$AC$2:$AC$1501,'Daily Sale entry '!$AA$2:$AA$1501,$A300,'Daily Sale entry '!$Z$2:$Z$1501,"Online collection 网上收款"))</f>
        <v/>
      </c>
      <c r="F300" s="6">
        <f>IF($A300="","",SUMIFS('Debtor Ledger'!$K$2:$K$3001,'Debtor Ledger'!$C$2:$C$3001,$A300))</f>
        <v/>
      </c>
      <c r="G300" s="6">
        <f>IF($A300="","",ROUND(B300+C300-D300-E300-F300,2))</f>
        <v/>
      </c>
    </row>
    <row r="301">
      <c r="A301">
        <f>IF('Opening Balance'!I300="","",'Opening Balance'!I300)</f>
        <v/>
      </c>
      <c r="B301" s="6">
        <f>IF($A301="","",SUMIFS('Opening Balance'!$F$4:$F$303,'Opening Balance'!$G$4:$G$303,$A301))</f>
        <v/>
      </c>
      <c r="C301" s="6">
        <f>IF($A301="","",SUMIFS('Daily Sale entry '!$S$2:$S$1501,'Daily Sale entry '!$P$2:$P$1501,$A301,'Daily Sale entry '!$Q$2:$Q$1501,"Credit Sale 赊销"))</f>
        <v/>
      </c>
      <c r="D301" s="6">
        <f>IF($A301="","",SUMIFS('Daily Sale entry '!$S$2:$S$1501,'Daily Sale entry '!$P$2:$P$1501,$A301,'Daily Sale entry '!$Q$2:$Q$1501,"Collection 收款"))</f>
        <v/>
      </c>
      <c r="E301" s="6">
        <f>IF($A301="","",SUMIFS('Daily Sale entry '!$AC$2:$AC$1501,'Daily Sale entry '!$AA$2:$AA$1501,$A301,'Daily Sale entry '!$Z$2:$Z$1501,"Online collection 网上收款"))</f>
        <v/>
      </c>
      <c r="F301" s="6">
        <f>IF($A301="","",SUMIFS('Debtor Ledger'!$K$2:$K$3001,'Debtor Ledger'!$C$2:$C$3001,$A301))</f>
        <v/>
      </c>
      <c r="G301" s="6">
        <f>IF($A301="","",ROUND(B301+C301-D301-E301-F301,2))</f>
        <v/>
      </c>
    </row>
    <row r="302">
      <c r="A302">
        <f>IF('Opening Balance'!I301="","",'Opening Balance'!I301)</f>
        <v/>
      </c>
      <c r="B302" s="6">
        <f>IF($A302="","",SUMIFS('Opening Balance'!$F$4:$F$303,'Opening Balance'!$G$4:$G$303,$A302))</f>
        <v/>
      </c>
      <c r="C302" s="6">
        <f>IF($A302="","",SUMIFS('Daily Sale entry '!$S$2:$S$1501,'Daily Sale entry '!$P$2:$P$1501,$A302,'Daily Sale entry '!$Q$2:$Q$1501,"Credit Sale 赊销"))</f>
        <v/>
      </c>
      <c r="D302" s="6">
        <f>IF($A302="","",SUMIFS('Daily Sale entry '!$S$2:$S$1501,'Daily Sale entry '!$P$2:$P$1501,$A302,'Daily Sale entry '!$Q$2:$Q$1501,"Collection 收款"))</f>
        <v/>
      </c>
      <c r="E302" s="6">
        <f>IF($A302="","",SUMIFS('Daily Sale entry '!$AC$2:$AC$1501,'Daily Sale entry '!$AA$2:$AA$1501,$A302,'Daily Sale entry '!$Z$2:$Z$1501,"Online collection 网上收款"))</f>
        <v/>
      </c>
      <c r="F302" s="6">
        <f>IF($A302="","",SUMIFS('Debtor Ledger'!$K$2:$K$3001,'Debtor Ledger'!$C$2:$C$3001,$A302))</f>
        <v/>
      </c>
      <c r="G302" s="6">
        <f>IF($A302="","",ROUND(B302+C302-D302-E302-F302,2))</f>
        <v/>
      </c>
    </row>
    <row r="303">
      <c r="A303">
        <f>IF('Opening Balance'!I302="","",'Opening Balance'!I302)</f>
        <v/>
      </c>
      <c r="B303" s="6">
        <f>IF($A303="","",SUMIFS('Opening Balance'!$F$4:$F$303,'Opening Balance'!$G$4:$G$303,$A303))</f>
        <v/>
      </c>
      <c r="C303" s="6">
        <f>IF($A303="","",SUMIFS('Daily Sale entry '!$S$2:$S$1501,'Daily Sale entry '!$P$2:$P$1501,$A303,'Daily Sale entry '!$Q$2:$Q$1501,"Credit Sale 赊销"))</f>
        <v/>
      </c>
      <c r="D303" s="6">
        <f>IF($A303="","",SUMIFS('Daily Sale entry '!$S$2:$S$1501,'Daily Sale entry '!$P$2:$P$1501,$A303,'Daily Sale entry '!$Q$2:$Q$1501,"Collection 收款"))</f>
        <v/>
      </c>
      <c r="E303" s="6">
        <f>IF($A303="","",SUMIFS('Daily Sale entry '!$AC$2:$AC$1501,'Daily Sale entry '!$AA$2:$AA$1501,$A303,'Daily Sale entry '!$Z$2:$Z$1501,"Online collection 网上收款"))</f>
        <v/>
      </c>
      <c r="F303" s="6">
        <f>IF($A303="","",SUMIFS('Debtor Ledger'!$K$2:$K$3001,'Debtor Ledger'!$C$2:$C$3001,$A303))</f>
        <v/>
      </c>
      <c r="G303" s="6">
        <f>IF($A303="","",ROUND(B303+C303-D303-E303-F303,2))</f>
        <v/>
      </c>
    </row>
    <row r="304">
      <c r="A304">
        <f>IF('Opening Balance'!I303="","",'Opening Balance'!I303)</f>
        <v/>
      </c>
      <c r="B304" s="6">
        <f>IF($A304="","",SUMIFS('Opening Balance'!$F$4:$F$303,'Opening Balance'!$G$4:$G$303,$A304))</f>
        <v/>
      </c>
      <c r="C304" s="6">
        <f>IF($A304="","",SUMIFS('Daily Sale entry '!$S$2:$S$1501,'Daily Sale entry '!$P$2:$P$1501,$A304,'Daily Sale entry '!$Q$2:$Q$1501,"Credit Sale 赊销"))</f>
        <v/>
      </c>
      <c r="D304" s="6">
        <f>IF($A304="","",SUMIFS('Daily Sale entry '!$S$2:$S$1501,'Daily Sale entry '!$P$2:$P$1501,$A304,'Daily Sale entry '!$Q$2:$Q$1501,"Collection 收款"))</f>
        <v/>
      </c>
      <c r="E304" s="6">
        <f>IF($A304="","",SUMIFS('Daily Sale entry '!$AC$2:$AC$1501,'Daily Sale entry '!$AA$2:$AA$1501,$A304,'Daily Sale entry '!$Z$2:$Z$1501,"Online collection 网上收款"))</f>
        <v/>
      </c>
      <c r="F304" s="6">
        <f>IF($A304="","",SUMIFS('Debtor Ledger'!$K$2:$K$3001,'Debtor Ledger'!$C$2:$C$3001,$A304))</f>
        <v/>
      </c>
      <c r="G304" s="6">
        <f>IF($A304="","",ROUND(B304+C304-D304-E304-F304,2))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H2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2" customWidth="1" min="3" max="3"/>
    <col width="20" customWidth="1" min="4" max="4"/>
    <col width="18" customWidth="1" min="5" max="5"/>
    <col width="16" customWidth="1" min="6" max="6"/>
    <col width="12" customWidth="1" min="7" max="7"/>
    <col width="8" customWidth="1" min="8" max="8"/>
  </cols>
  <sheetData>
    <row r="1">
      <c r="A1" s="15" t="inlineStr">
        <is>
          <t>INDIVIDUAL DEBTOR STATEMENT 个别债务人对账单</t>
        </is>
      </c>
    </row>
    <row r="2"/>
    <row r="3">
      <c r="A3" s="16" t="inlineStr">
        <is>
          <t>Select buyer 选择买家:</t>
        </is>
      </c>
      <c r="B3" s="35" t="n"/>
    </row>
    <row r="4">
      <c r="A4" t="inlineStr">
        <is>
          <t>Opening balance 期初欠款:</t>
        </is>
      </c>
      <c r="B4" s="6">
        <f>IF($B$3="","",IFERROR(INDEX('Debtor Summary'!$B$5:$B$304,MATCH($B$3,'Debtor Summary'!$A$5:$A$304,0)),0))</f>
        <v/>
      </c>
    </row>
    <row r="5">
      <c r="A5" t="inlineStr">
        <is>
          <t>Balance owing 欠款余额:</t>
        </is>
      </c>
      <c r="B5" s="32">
        <f>IF($B$3="","",ROUND(B4+SUM(C8:C207)-SUM(D8:D207)-SUM(E8:E207),2))</f>
        <v/>
      </c>
    </row>
    <row r="6">
      <c r="A6" s="18" t="inlineStr">
        <is>
          <t>Up to 200 transactions per buyer, in date order. 每位买家最多显示200笔,按日期排序。</t>
        </is>
      </c>
    </row>
    <row r="7">
      <c r="A7" s="36" t="inlineStr">
        <is>
          <t>Date 日期</t>
        </is>
      </c>
      <c r="B7" s="36" t="inlineStr">
        <is>
          <t>Description 说明</t>
        </is>
      </c>
      <c r="C7" s="36" t="inlineStr">
        <is>
          <t>Credit sale (+) 赊销</t>
        </is>
      </c>
      <c r="D7" s="36" t="inlineStr">
        <is>
          <t>Payment (-) 付款</t>
        </is>
      </c>
      <c r="E7" s="36" t="inlineStr">
        <is>
          <t>Discount (-) 折扣</t>
        </is>
      </c>
      <c r="F7" s="36" t="inlineStr">
        <is>
          <t>Balance 余额</t>
        </is>
      </c>
      <c r="G7" s="21" t="inlineStr">
        <is>
          <t>key 排序码</t>
        </is>
      </c>
      <c r="H7" s="21" t="inlineStr">
        <is>
          <t>row 行</t>
        </is>
      </c>
    </row>
    <row r="8">
      <c r="A8" s="5">
        <f>IF(H8="","",INDEX('Debtor Ledger'!$B$2:$B$3001,H8))</f>
        <v/>
      </c>
      <c r="B8">
        <f>IF(H8="","",INDEX('Debtor Ledger'!$G$2:$G$3001,H8))</f>
        <v/>
      </c>
      <c r="C8" s="6">
        <f>IF(H8="","",INDEX('Debtor Ledger'!$D$2:$D$3001,H8))</f>
        <v/>
      </c>
      <c r="D8" s="6">
        <f>IF(H8="","",INDEX('Debtor Ledger'!$E$2:$E$3001,H8))</f>
        <v/>
      </c>
      <c r="E8" s="6">
        <f>IF(H8="","",INDEX('Debtor Ledger'!$K$2:$K$3001,H8))</f>
        <v/>
      </c>
      <c r="F8" s="6">
        <f>IF(H8="","",INDEX('Debtor Ledger'!$L$2:$L$3001,H8))</f>
        <v/>
      </c>
      <c r="G8" s="34">
        <f t="array" ref="G8">IF($B$3="","",IFERROR(SMALL(IF('Debtor Ledger'!$C$2:$C$3001=$B$3,'Debtor Ledger'!$F$2:$F$3001),1),""))</f>
        <v/>
      </c>
      <c r="H8" s="21">
        <f>IF(G8="","",MATCH(G8,'Debtor Ledger'!$F$2:$F$3001,0))</f>
        <v/>
      </c>
    </row>
    <row r="9">
      <c r="A9" s="5">
        <f>IF(H9="","",INDEX('Debtor Ledger'!$B$2:$B$3001,H9))</f>
        <v/>
      </c>
      <c r="B9">
        <f>IF(H9="","",INDEX('Debtor Ledger'!$G$2:$G$3001,H9))</f>
        <v/>
      </c>
      <c r="C9" s="6">
        <f>IF(H9="","",INDEX('Debtor Ledger'!$D$2:$D$3001,H9))</f>
        <v/>
      </c>
      <c r="D9" s="6">
        <f>IF(H9="","",INDEX('Debtor Ledger'!$E$2:$E$3001,H9))</f>
        <v/>
      </c>
      <c r="E9" s="6">
        <f>IF(H9="","",INDEX('Debtor Ledger'!$K$2:$K$3001,H9))</f>
        <v/>
      </c>
      <c r="F9" s="6">
        <f>IF(H9="","",INDEX('Debtor Ledger'!$L$2:$L$3001,H9))</f>
        <v/>
      </c>
      <c r="G9" s="34">
        <f t="array" ref="G9">IF($B$3="","",IFERROR(SMALL(IF('Debtor Ledger'!$C$2:$C$3001=$B$3,'Debtor Ledger'!$F$2:$F$3001),2),""))</f>
        <v/>
      </c>
      <c r="H9" s="21">
        <f>IF(G9="","",MATCH(G9,'Debtor Ledger'!$F$2:$F$3001,0))</f>
        <v/>
      </c>
    </row>
    <row r="10">
      <c r="A10" s="5">
        <f>IF(H10="","",INDEX('Debtor Ledger'!$B$2:$B$3001,H10))</f>
        <v/>
      </c>
      <c r="B10">
        <f>IF(H10="","",INDEX('Debtor Ledger'!$G$2:$G$3001,H10))</f>
        <v/>
      </c>
      <c r="C10" s="6">
        <f>IF(H10="","",INDEX('Debtor Ledger'!$D$2:$D$3001,H10))</f>
        <v/>
      </c>
      <c r="D10" s="6">
        <f>IF(H10="","",INDEX('Debtor Ledger'!$E$2:$E$3001,H10))</f>
        <v/>
      </c>
      <c r="E10" s="6">
        <f>IF(H10="","",INDEX('Debtor Ledger'!$K$2:$K$3001,H10))</f>
        <v/>
      </c>
      <c r="F10" s="6">
        <f>IF(H10="","",INDEX('Debtor Ledger'!$L$2:$L$3001,H10))</f>
        <v/>
      </c>
      <c r="G10" s="34">
        <f t="array" ref="G10">IF($B$3="","",IFERROR(SMALL(IF('Debtor Ledger'!$C$2:$C$3001=$B$3,'Debtor Ledger'!$F$2:$F$3001),3),""))</f>
        <v/>
      </c>
      <c r="H10" s="21">
        <f>IF(G10="","",MATCH(G10,'Debtor Ledger'!$F$2:$F$3001,0))</f>
        <v/>
      </c>
    </row>
    <row r="11">
      <c r="A11" s="5">
        <f>IF(H11="","",INDEX('Debtor Ledger'!$B$2:$B$3001,H11))</f>
        <v/>
      </c>
      <c r="B11">
        <f>IF(H11="","",INDEX('Debtor Ledger'!$G$2:$G$3001,H11))</f>
        <v/>
      </c>
      <c r="C11" s="6">
        <f>IF(H11="","",INDEX('Debtor Ledger'!$D$2:$D$3001,H11))</f>
        <v/>
      </c>
      <c r="D11" s="6">
        <f>IF(H11="","",INDEX('Debtor Ledger'!$E$2:$E$3001,H11))</f>
        <v/>
      </c>
      <c r="E11" s="6">
        <f>IF(H11="","",INDEX('Debtor Ledger'!$K$2:$K$3001,H11))</f>
        <v/>
      </c>
      <c r="F11" s="6">
        <f>IF(H11="","",INDEX('Debtor Ledger'!$L$2:$L$3001,H11))</f>
        <v/>
      </c>
      <c r="G11" s="34">
        <f t="array" ref="G11">IF($B$3="","",IFERROR(SMALL(IF('Debtor Ledger'!$C$2:$C$3001=$B$3,'Debtor Ledger'!$F$2:$F$3001),4),""))</f>
        <v/>
      </c>
      <c r="H11" s="21">
        <f>IF(G11="","",MATCH(G11,'Debtor Ledger'!$F$2:$F$3001,0))</f>
        <v/>
      </c>
    </row>
    <row r="12">
      <c r="A12" s="5">
        <f>IF(H12="","",INDEX('Debtor Ledger'!$B$2:$B$3001,H12))</f>
        <v/>
      </c>
      <c r="B12">
        <f>IF(H12="","",INDEX('Debtor Ledger'!$G$2:$G$3001,H12))</f>
        <v/>
      </c>
      <c r="C12" s="6">
        <f>IF(H12="","",INDEX('Debtor Ledger'!$D$2:$D$3001,H12))</f>
        <v/>
      </c>
      <c r="D12" s="6">
        <f>IF(H12="","",INDEX('Debtor Ledger'!$E$2:$E$3001,H12))</f>
        <v/>
      </c>
      <c r="E12" s="6">
        <f>IF(H12="","",INDEX('Debtor Ledger'!$K$2:$K$3001,H12))</f>
        <v/>
      </c>
      <c r="F12" s="6">
        <f>IF(H12="","",INDEX('Debtor Ledger'!$L$2:$L$3001,H12))</f>
        <v/>
      </c>
      <c r="G12" s="34">
        <f t="array" ref="G12">IF($B$3="","",IFERROR(SMALL(IF('Debtor Ledger'!$C$2:$C$3001=$B$3,'Debtor Ledger'!$F$2:$F$3001),5),""))</f>
        <v/>
      </c>
      <c r="H12" s="21">
        <f>IF(G12="","",MATCH(G12,'Debtor Ledger'!$F$2:$F$3001,0))</f>
        <v/>
      </c>
    </row>
    <row r="13">
      <c r="A13" s="5">
        <f>IF(H13="","",INDEX('Debtor Ledger'!$B$2:$B$3001,H13))</f>
        <v/>
      </c>
      <c r="B13">
        <f>IF(H13="","",INDEX('Debtor Ledger'!$G$2:$G$3001,H13))</f>
        <v/>
      </c>
      <c r="C13" s="6">
        <f>IF(H13="","",INDEX('Debtor Ledger'!$D$2:$D$3001,H13))</f>
        <v/>
      </c>
      <c r="D13" s="6">
        <f>IF(H13="","",INDEX('Debtor Ledger'!$E$2:$E$3001,H13))</f>
        <v/>
      </c>
      <c r="E13" s="6">
        <f>IF(H13="","",INDEX('Debtor Ledger'!$K$2:$K$3001,H13))</f>
        <v/>
      </c>
      <c r="F13" s="6">
        <f>IF(H13="","",INDEX('Debtor Ledger'!$L$2:$L$3001,H13))</f>
        <v/>
      </c>
      <c r="G13" s="34">
        <f t="array" ref="G13">IF($B$3="","",IFERROR(SMALL(IF('Debtor Ledger'!$C$2:$C$3001=$B$3,'Debtor Ledger'!$F$2:$F$3001),6),""))</f>
        <v/>
      </c>
      <c r="H13" s="21">
        <f>IF(G13="","",MATCH(G13,'Debtor Ledger'!$F$2:$F$3001,0))</f>
        <v/>
      </c>
    </row>
    <row r="14">
      <c r="A14" s="5">
        <f>IF(H14="","",INDEX('Debtor Ledger'!$B$2:$B$3001,H14))</f>
        <v/>
      </c>
      <c r="B14">
        <f>IF(H14="","",INDEX('Debtor Ledger'!$G$2:$G$3001,H14))</f>
        <v/>
      </c>
      <c r="C14" s="6">
        <f>IF(H14="","",INDEX('Debtor Ledger'!$D$2:$D$3001,H14))</f>
        <v/>
      </c>
      <c r="D14" s="6">
        <f>IF(H14="","",INDEX('Debtor Ledger'!$E$2:$E$3001,H14))</f>
        <v/>
      </c>
      <c r="E14" s="6">
        <f>IF(H14="","",INDEX('Debtor Ledger'!$K$2:$K$3001,H14))</f>
        <v/>
      </c>
      <c r="F14" s="6">
        <f>IF(H14="","",INDEX('Debtor Ledger'!$L$2:$L$3001,H14))</f>
        <v/>
      </c>
      <c r="G14" s="34">
        <f t="array" ref="G14">IF($B$3="","",IFERROR(SMALL(IF('Debtor Ledger'!$C$2:$C$3001=$B$3,'Debtor Ledger'!$F$2:$F$3001),7),""))</f>
        <v/>
      </c>
      <c r="H14" s="21">
        <f>IF(G14="","",MATCH(G14,'Debtor Ledger'!$F$2:$F$3001,0))</f>
        <v/>
      </c>
    </row>
    <row r="15">
      <c r="A15" s="5">
        <f>IF(H15="","",INDEX('Debtor Ledger'!$B$2:$B$3001,H15))</f>
        <v/>
      </c>
      <c r="B15">
        <f>IF(H15="","",INDEX('Debtor Ledger'!$G$2:$G$3001,H15))</f>
        <v/>
      </c>
      <c r="C15" s="6">
        <f>IF(H15="","",INDEX('Debtor Ledger'!$D$2:$D$3001,H15))</f>
        <v/>
      </c>
      <c r="D15" s="6">
        <f>IF(H15="","",INDEX('Debtor Ledger'!$E$2:$E$3001,H15))</f>
        <v/>
      </c>
      <c r="E15" s="6">
        <f>IF(H15="","",INDEX('Debtor Ledger'!$K$2:$K$3001,H15))</f>
        <v/>
      </c>
      <c r="F15" s="6">
        <f>IF(H15="","",INDEX('Debtor Ledger'!$L$2:$L$3001,H15))</f>
        <v/>
      </c>
      <c r="G15" s="34">
        <f t="array" ref="G15">IF($B$3="","",IFERROR(SMALL(IF('Debtor Ledger'!$C$2:$C$3001=$B$3,'Debtor Ledger'!$F$2:$F$3001),8),""))</f>
        <v/>
      </c>
      <c r="H15" s="21">
        <f>IF(G15="","",MATCH(G15,'Debtor Ledger'!$F$2:$F$3001,0))</f>
        <v/>
      </c>
    </row>
    <row r="16">
      <c r="A16" s="5">
        <f>IF(H16="","",INDEX('Debtor Ledger'!$B$2:$B$3001,H16))</f>
        <v/>
      </c>
      <c r="B16">
        <f>IF(H16="","",INDEX('Debtor Ledger'!$G$2:$G$3001,H16))</f>
        <v/>
      </c>
      <c r="C16" s="6">
        <f>IF(H16="","",INDEX('Debtor Ledger'!$D$2:$D$3001,H16))</f>
        <v/>
      </c>
      <c r="D16" s="6">
        <f>IF(H16="","",INDEX('Debtor Ledger'!$E$2:$E$3001,H16))</f>
        <v/>
      </c>
      <c r="E16" s="6">
        <f>IF(H16="","",INDEX('Debtor Ledger'!$K$2:$K$3001,H16))</f>
        <v/>
      </c>
      <c r="F16" s="6">
        <f>IF(H16="","",INDEX('Debtor Ledger'!$L$2:$L$3001,H16))</f>
        <v/>
      </c>
      <c r="G16" s="34">
        <f t="array" ref="G16">IF($B$3="","",IFERROR(SMALL(IF('Debtor Ledger'!$C$2:$C$3001=$B$3,'Debtor Ledger'!$F$2:$F$3001),9),""))</f>
        <v/>
      </c>
      <c r="H16" s="21">
        <f>IF(G16="","",MATCH(G16,'Debtor Ledger'!$F$2:$F$3001,0))</f>
        <v/>
      </c>
    </row>
    <row r="17">
      <c r="A17" s="5">
        <f>IF(H17="","",INDEX('Debtor Ledger'!$B$2:$B$3001,H17))</f>
        <v/>
      </c>
      <c r="B17">
        <f>IF(H17="","",INDEX('Debtor Ledger'!$G$2:$G$3001,H17))</f>
        <v/>
      </c>
      <c r="C17" s="6">
        <f>IF(H17="","",INDEX('Debtor Ledger'!$D$2:$D$3001,H17))</f>
        <v/>
      </c>
      <c r="D17" s="6">
        <f>IF(H17="","",INDEX('Debtor Ledger'!$E$2:$E$3001,H17))</f>
        <v/>
      </c>
      <c r="E17" s="6">
        <f>IF(H17="","",INDEX('Debtor Ledger'!$K$2:$K$3001,H17))</f>
        <v/>
      </c>
      <c r="F17" s="6">
        <f>IF(H17="","",INDEX('Debtor Ledger'!$L$2:$L$3001,H17))</f>
        <v/>
      </c>
      <c r="G17" s="34">
        <f t="array" ref="G17">IF($B$3="","",IFERROR(SMALL(IF('Debtor Ledger'!$C$2:$C$3001=$B$3,'Debtor Ledger'!$F$2:$F$3001),10),""))</f>
        <v/>
      </c>
      <c r="H17" s="21">
        <f>IF(G17="","",MATCH(G17,'Debtor Ledger'!$F$2:$F$3001,0))</f>
        <v/>
      </c>
    </row>
    <row r="18">
      <c r="A18" s="5">
        <f>IF(H18="","",INDEX('Debtor Ledger'!$B$2:$B$3001,H18))</f>
        <v/>
      </c>
      <c r="B18">
        <f>IF(H18="","",INDEX('Debtor Ledger'!$G$2:$G$3001,H18))</f>
        <v/>
      </c>
      <c r="C18" s="6">
        <f>IF(H18="","",INDEX('Debtor Ledger'!$D$2:$D$3001,H18))</f>
        <v/>
      </c>
      <c r="D18" s="6">
        <f>IF(H18="","",INDEX('Debtor Ledger'!$E$2:$E$3001,H18))</f>
        <v/>
      </c>
      <c r="E18" s="6">
        <f>IF(H18="","",INDEX('Debtor Ledger'!$K$2:$K$3001,H18))</f>
        <v/>
      </c>
      <c r="F18" s="6">
        <f>IF(H18="","",INDEX('Debtor Ledger'!$L$2:$L$3001,H18))</f>
        <v/>
      </c>
      <c r="G18" s="34">
        <f t="array" ref="G18">IF($B$3="","",IFERROR(SMALL(IF('Debtor Ledger'!$C$2:$C$3001=$B$3,'Debtor Ledger'!$F$2:$F$3001),11),""))</f>
        <v/>
      </c>
      <c r="H18" s="21">
        <f>IF(G18="","",MATCH(G18,'Debtor Ledger'!$F$2:$F$3001,0))</f>
        <v/>
      </c>
    </row>
    <row r="19">
      <c r="A19" s="5">
        <f>IF(H19="","",INDEX('Debtor Ledger'!$B$2:$B$3001,H19))</f>
        <v/>
      </c>
      <c r="B19">
        <f>IF(H19="","",INDEX('Debtor Ledger'!$G$2:$G$3001,H19))</f>
        <v/>
      </c>
      <c r="C19" s="6">
        <f>IF(H19="","",INDEX('Debtor Ledger'!$D$2:$D$3001,H19))</f>
        <v/>
      </c>
      <c r="D19" s="6">
        <f>IF(H19="","",INDEX('Debtor Ledger'!$E$2:$E$3001,H19))</f>
        <v/>
      </c>
      <c r="E19" s="6">
        <f>IF(H19="","",INDEX('Debtor Ledger'!$K$2:$K$3001,H19))</f>
        <v/>
      </c>
      <c r="F19" s="6">
        <f>IF(H19="","",INDEX('Debtor Ledger'!$L$2:$L$3001,H19))</f>
        <v/>
      </c>
      <c r="G19" s="34">
        <f t="array" ref="G19">IF($B$3="","",IFERROR(SMALL(IF('Debtor Ledger'!$C$2:$C$3001=$B$3,'Debtor Ledger'!$F$2:$F$3001),12),""))</f>
        <v/>
      </c>
      <c r="H19" s="21">
        <f>IF(G19="","",MATCH(G19,'Debtor Ledger'!$F$2:$F$3001,0))</f>
        <v/>
      </c>
    </row>
    <row r="20">
      <c r="A20" s="5">
        <f>IF(H20="","",INDEX('Debtor Ledger'!$B$2:$B$3001,H20))</f>
        <v/>
      </c>
      <c r="B20">
        <f>IF(H20="","",INDEX('Debtor Ledger'!$G$2:$G$3001,H20))</f>
        <v/>
      </c>
      <c r="C20" s="6">
        <f>IF(H20="","",INDEX('Debtor Ledger'!$D$2:$D$3001,H20))</f>
        <v/>
      </c>
      <c r="D20" s="6">
        <f>IF(H20="","",INDEX('Debtor Ledger'!$E$2:$E$3001,H20))</f>
        <v/>
      </c>
      <c r="E20" s="6">
        <f>IF(H20="","",INDEX('Debtor Ledger'!$K$2:$K$3001,H20))</f>
        <v/>
      </c>
      <c r="F20" s="6">
        <f>IF(H20="","",INDEX('Debtor Ledger'!$L$2:$L$3001,H20))</f>
        <v/>
      </c>
      <c r="G20" s="34">
        <f t="array" ref="G20">IF($B$3="","",IFERROR(SMALL(IF('Debtor Ledger'!$C$2:$C$3001=$B$3,'Debtor Ledger'!$F$2:$F$3001),13),""))</f>
        <v/>
      </c>
      <c r="H20" s="21">
        <f>IF(G20="","",MATCH(G20,'Debtor Ledger'!$F$2:$F$3001,0))</f>
        <v/>
      </c>
    </row>
    <row r="21">
      <c r="A21" s="5">
        <f>IF(H21="","",INDEX('Debtor Ledger'!$B$2:$B$3001,H21))</f>
        <v/>
      </c>
      <c r="B21">
        <f>IF(H21="","",INDEX('Debtor Ledger'!$G$2:$G$3001,H21))</f>
        <v/>
      </c>
      <c r="C21" s="6">
        <f>IF(H21="","",INDEX('Debtor Ledger'!$D$2:$D$3001,H21))</f>
        <v/>
      </c>
      <c r="D21" s="6">
        <f>IF(H21="","",INDEX('Debtor Ledger'!$E$2:$E$3001,H21))</f>
        <v/>
      </c>
      <c r="E21" s="6">
        <f>IF(H21="","",INDEX('Debtor Ledger'!$K$2:$K$3001,H21))</f>
        <v/>
      </c>
      <c r="F21" s="6">
        <f>IF(H21="","",INDEX('Debtor Ledger'!$L$2:$L$3001,H21))</f>
        <v/>
      </c>
      <c r="G21" s="34">
        <f t="array" ref="G21">IF($B$3="","",IFERROR(SMALL(IF('Debtor Ledger'!$C$2:$C$3001=$B$3,'Debtor Ledger'!$F$2:$F$3001),14),""))</f>
        <v/>
      </c>
      <c r="H21" s="21">
        <f>IF(G21="","",MATCH(G21,'Debtor Ledger'!$F$2:$F$3001,0))</f>
        <v/>
      </c>
    </row>
    <row r="22">
      <c r="A22" s="5">
        <f>IF(H22="","",INDEX('Debtor Ledger'!$B$2:$B$3001,H22))</f>
        <v/>
      </c>
      <c r="B22">
        <f>IF(H22="","",INDEX('Debtor Ledger'!$G$2:$G$3001,H22))</f>
        <v/>
      </c>
      <c r="C22" s="6">
        <f>IF(H22="","",INDEX('Debtor Ledger'!$D$2:$D$3001,H22))</f>
        <v/>
      </c>
      <c r="D22" s="6">
        <f>IF(H22="","",INDEX('Debtor Ledger'!$E$2:$E$3001,H22))</f>
        <v/>
      </c>
      <c r="E22" s="6">
        <f>IF(H22="","",INDEX('Debtor Ledger'!$K$2:$K$3001,H22))</f>
        <v/>
      </c>
      <c r="F22" s="6">
        <f>IF(H22="","",INDEX('Debtor Ledger'!$L$2:$L$3001,H22))</f>
        <v/>
      </c>
      <c r="G22" s="34">
        <f t="array" ref="G22">IF($B$3="","",IFERROR(SMALL(IF('Debtor Ledger'!$C$2:$C$3001=$B$3,'Debtor Ledger'!$F$2:$F$3001),15),""))</f>
        <v/>
      </c>
      <c r="H22" s="21">
        <f>IF(G22="","",MATCH(G22,'Debtor Ledger'!$F$2:$F$3001,0))</f>
        <v/>
      </c>
    </row>
    <row r="23">
      <c r="A23" s="5">
        <f>IF(H23="","",INDEX('Debtor Ledger'!$B$2:$B$3001,H23))</f>
        <v/>
      </c>
      <c r="B23">
        <f>IF(H23="","",INDEX('Debtor Ledger'!$G$2:$G$3001,H23))</f>
        <v/>
      </c>
      <c r="C23" s="6">
        <f>IF(H23="","",INDEX('Debtor Ledger'!$D$2:$D$3001,H23))</f>
        <v/>
      </c>
      <c r="D23" s="6">
        <f>IF(H23="","",INDEX('Debtor Ledger'!$E$2:$E$3001,H23))</f>
        <v/>
      </c>
      <c r="E23" s="6">
        <f>IF(H23="","",INDEX('Debtor Ledger'!$K$2:$K$3001,H23))</f>
        <v/>
      </c>
      <c r="F23" s="6">
        <f>IF(H23="","",INDEX('Debtor Ledger'!$L$2:$L$3001,H23))</f>
        <v/>
      </c>
      <c r="G23" s="34">
        <f t="array" ref="G23">IF($B$3="","",IFERROR(SMALL(IF('Debtor Ledger'!$C$2:$C$3001=$B$3,'Debtor Ledger'!$F$2:$F$3001),16),""))</f>
        <v/>
      </c>
      <c r="H23" s="21">
        <f>IF(G23="","",MATCH(G23,'Debtor Ledger'!$F$2:$F$3001,0))</f>
        <v/>
      </c>
    </row>
    <row r="24">
      <c r="A24" s="5">
        <f>IF(H24="","",INDEX('Debtor Ledger'!$B$2:$B$3001,H24))</f>
        <v/>
      </c>
      <c r="B24">
        <f>IF(H24="","",INDEX('Debtor Ledger'!$G$2:$G$3001,H24))</f>
        <v/>
      </c>
      <c r="C24" s="6">
        <f>IF(H24="","",INDEX('Debtor Ledger'!$D$2:$D$3001,H24))</f>
        <v/>
      </c>
      <c r="D24" s="6">
        <f>IF(H24="","",INDEX('Debtor Ledger'!$E$2:$E$3001,H24))</f>
        <v/>
      </c>
      <c r="E24" s="6">
        <f>IF(H24="","",INDEX('Debtor Ledger'!$K$2:$K$3001,H24))</f>
        <v/>
      </c>
      <c r="F24" s="6">
        <f>IF(H24="","",INDEX('Debtor Ledger'!$L$2:$L$3001,H24))</f>
        <v/>
      </c>
      <c r="G24" s="34">
        <f t="array" ref="G24">IF($B$3="","",IFERROR(SMALL(IF('Debtor Ledger'!$C$2:$C$3001=$B$3,'Debtor Ledger'!$F$2:$F$3001),17),""))</f>
        <v/>
      </c>
      <c r="H24" s="21">
        <f>IF(G24="","",MATCH(G24,'Debtor Ledger'!$F$2:$F$3001,0))</f>
        <v/>
      </c>
    </row>
    <row r="25">
      <c r="A25" s="5">
        <f>IF(H25="","",INDEX('Debtor Ledger'!$B$2:$B$3001,H25))</f>
        <v/>
      </c>
      <c r="B25">
        <f>IF(H25="","",INDEX('Debtor Ledger'!$G$2:$G$3001,H25))</f>
        <v/>
      </c>
      <c r="C25" s="6">
        <f>IF(H25="","",INDEX('Debtor Ledger'!$D$2:$D$3001,H25))</f>
        <v/>
      </c>
      <c r="D25" s="6">
        <f>IF(H25="","",INDEX('Debtor Ledger'!$E$2:$E$3001,H25))</f>
        <v/>
      </c>
      <c r="E25" s="6">
        <f>IF(H25="","",INDEX('Debtor Ledger'!$K$2:$K$3001,H25))</f>
        <v/>
      </c>
      <c r="F25" s="6">
        <f>IF(H25="","",INDEX('Debtor Ledger'!$L$2:$L$3001,H25))</f>
        <v/>
      </c>
      <c r="G25" s="34">
        <f t="array" ref="G25">IF($B$3="","",IFERROR(SMALL(IF('Debtor Ledger'!$C$2:$C$3001=$B$3,'Debtor Ledger'!$F$2:$F$3001),18),""))</f>
        <v/>
      </c>
      <c r="H25" s="21">
        <f>IF(G25="","",MATCH(G25,'Debtor Ledger'!$F$2:$F$3001,0))</f>
        <v/>
      </c>
    </row>
    <row r="26">
      <c r="A26" s="5">
        <f>IF(H26="","",INDEX('Debtor Ledger'!$B$2:$B$3001,H26))</f>
        <v/>
      </c>
      <c r="B26">
        <f>IF(H26="","",INDEX('Debtor Ledger'!$G$2:$G$3001,H26))</f>
        <v/>
      </c>
      <c r="C26" s="6">
        <f>IF(H26="","",INDEX('Debtor Ledger'!$D$2:$D$3001,H26))</f>
        <v/>
      </c>
      <c r="D26" s="6">
        <f>IF(H26="","",INDEX('Debtor Ledger'!$E$2:$E$3001,H26))</f>
        <v/>
      </c>
      <c r="E26" s="6">
        <f>IF(H26="","",INDEX('Debtor Ledger'!$K$2:$K$3001,H26))</f>
        <v/>
      </c>
      <c r="F26" s="6">
        <f>IF(H26="","",INDEX('Debtor Ledger'!$L$2:$L$3001,H26))</f>
        <v/>
      </c>
      <c r="G26" s="34">
        <f t="array" ref="G26">IF($B$3="","",IFERROR(SMALL(IF('Debtor Ledger'!$C$2:$C$3001=$B$3,'Debtor Ledger'!$F$2:$F$3001),19),""))</f>
        <v/>
      </c>
      <c r="H26" s="21">
        <f>IF(G26="","",MATCH(G26,'Debtor Ledger'!$F$2:$F$3001,0))</f>
        <v/>
      </c>
    </row>
    <row r="27">
      <c r="A27" s="5">
        <f>IF(H27="","",INDEX('Debtor Ledger'!$B$2:$B$3001,H27))</f>
        <v/>
      </c>
      <c r="B27">
        <f>IF(H27="","",INDEX('Debtor Ledger'!$G$2:$G$3001,H27))</f>
        <v/>
      </c>
      <c r="C27" s="6">
        <f>IF(H27="","",INDEX('Debtor Ledger'!$D$2:$D$3001,H27))</f>
        <v/>
      </c>
      <c r="D27" s="6">
        <f>IF(H27="","",INDEX('Debtor Ledger'!$E$2:$E$3001,H27))</f>
        <v/>
      </c>
      <c r="E27" s="6">
        <f>IF(H27="","",INDEX('Debtor Ledger'!$K$2:$K$3001,H27))</f>
        <v/>
      </c>
      <c r="F27" s="6">
        <f>IF(H27="","",INDEX('Debtor Ledger'!$L$2:$L$3001,H27))</f>
        <v/>
      </c>
      <c r="G27" s="34">
        <f t="array" ref="G27">IF($B$3="","",IFERROR(SMALL(IF('Debtor Ledger'!$C$2:$C$3001=$B$3,'Debtor Ledger'!$F$2:$F$3001),20),""))</f>
        <v/>
      </c>
      <c r="H27" s="21">
        <f>IF(G27="","",MATCH(G27,'Debtor Ledger'!$F$2:$F$3001,0))</f>
        <v/>
      </c>
    </row>
    <row r="28">
      <c r="A28" s="5">
        <f>IF(H28="","",INDEX('Debtor Ledger'!$B$2:$B$3001,H28))</f>
        <v/>
      </c>
      <c r="B28">
        <f>IF(H28="","",INDEX('Debtor Ledger'!$G$2:$G$3001,H28))</f>
        <v/>
      </c>
      <c r="C28" s="6">
        <f>IF(H28="","",INDEX('Debtor Ledger'!$D$2:$D$3001,H28))</f>
        <v/>
      </c>
      <c r="D28" s="6">
        <f>IF(H28="","",INDEX('Debtor Ledger'!$E$2:$E$3001,H28))</f>
        <v/>
      </c>
      <c r="E28" s="6">
        <f>IF(H28="","",INDEX('Debtor Ledger'!$K$2:$K$3001,H28))</f>
        <v/>
      </c>
      <c r="F28" s="6">
        <f>IF(H28="","",INDEX('Debtor Ledger'!$L$2:$L$3001,H28))</f>
        <v/>
      </c>
      <c r="G28" s="34">
        <f t="array" ref="G28">IF($B$3="","",IFERROR(SMALL(IF('Debtor Ledger'!$C$2:$C$3001=$B$3,'Debtor Ledger'!$F$2:$F$3001),21),""))</f>
        <v/>
      </c>
      <c r="H28" s="21">
        <f>IF(G28="","",MATCH(G28,'Debtor Ledger'!$F$2:$F$3001,0))</f>
        <v/>
      </c>
    </row>
    <row r="29">
      <c r="A29" s="5">
        <f>IF(H29="","",INDEX('Debtor Ledger'!$B$2:$B$3001,H29))</f>
        <v/>
      </c>
      <c r="B29">
        <f>IF(H29="","",INDEX('Debtor Ledger'!$G$2:$G$3001,H29))</f>
        <v/>
      </c>
      <c r="C29" s="6">
        <f>IF(H29="","",INDEX('Debtor Ledger'!$D$2:$D$3001,H29))</f>
        <v/>
      </c>
      <c r="D29" s="6">
        <f>IF(H29="","",INDEX('Debtor Ledger'!$E$2:$E$3001,H29))</f>
        <v/>
      </c>
      <c r="E29" s="6">
        <f>IF(H29="","",INDEX('Debtor Ledger'!$K$2:$K$3001,H29))</f>
        <v/>
      </c>
      <c r="F29" s="6">
        <f>IF(H29="","",INDEX('Debtor Ledger'!$L$2:$L$3001,H29))</f>
        <v/>
      </c>
      <c r="G29" s="34">
        <f t="array" ref="G29">IF($B$3="","",IFERROR(SMALL(IF('Debtor Ledger'!$C$2:$C$3001=$B$3,'Debtor Ledger'!$F$2:$F$3001),22),""))</f>
        <v/>
      </c>
      <c r="H29" s="21">
        <f>IF(G29="","",MATCH(G29,'Debtor Ledger'!$F$2:$F$3001,0))</f>
        <v/>
      </c>
    </row>
    <row r="30">
      <c r="A30" s="5">
        <f>IF(H30="","",INDEX('Debtor Ledger'!$B$2:$B$3001,H30))</f>
        <v/>
      </c>
      <c r="B30">
        <f>IF(H30="","",INDEX('Debtor Ledger'!$G$2:$G$3001,H30))</f>
        <v/>
      </c>
      <c r="C30" s="6">
        <f>IF(H30="","",INDEX('Debtor Ledger'!$D$2:$D$3001,H30))</f>
        <v/>
      </c>
      <c r="D30" s="6">
        <f>IF(H30="","",INDEX('Debtor Ledger'!$E$2:$E$3001,H30))</f>
        <v/>
      </c>
      <c r="E30" s="6">
        <f>IF(H30="","",INDEX('Debtor Ledger'!$K$2:$K$3001,H30))</f>
        <v/>
      </c>
      <c r="F30" s="6">
        <f>IF(H30="","",INDEX('Debtor Ledger'!$L$2:$L$3001,H30))</f>
        <v/>
      </c>
      <c r="G30" s="34">
        <f t="array" ref="G30">IF($B$3="","",IFERROR(SMALL(IF('Debtor Ledger'!$C$2:$C$3001=$B$3,'Debtor Ledger'!$F$2:$F$3001),23),""))</f>
        <v/>
      </c>
      <c r="H30" s="21">
        <f>IF(G30="","",MATCH(G30,'Debtor Ledger'!$F$2:$F$3001,0))</f>
        <v/>
      </c>
    </row>
    <row r="31">
      <c r="A31" s="5">
        <f>IF(H31="","",INDEX('Debtor Ledger'!$B$2:$B$3001,H31))</f>
        <v/>
      </c>
      <c r="B31">
        <f>IF(H31="","",INDEX('Debtor Ledger'!$G$2:$G$3001,H31))</f>
        <v/>
      </c>
      <c r="C31" s="6">
        <f>IF(H31="","",INDEX('Debtor Ledger'!$D$2:$D$3001,H31))</f>
        <v/>
      </c>
      <c r="D31" s="6">
        <f>IF(H31="","",INDEX('Debtor Ledger'!$E$2:$E$3001,H31))</f>
        <v/>
      </c>
      <c r="E31" s="6">
        <f>IF(H31="","",INDEX('Debtor Ledger'!$K$2:$K$3001,H31))</f>
        <v/>
      </c>
      <c r="F31" s="6">
        <f>IF(H31="","",INDEX('Debtor Ledger'!$L$2:$L$3001,H31))</f>
        <v/>
      </c>
      <c r="G31" s="34">
        <f t="array" ref="G31">IF($B$3="","",IFERROR(SMALL(IF('Debtor Ledger'!$C$2:$C$3001=$B$3,'Debtor Ledger'!$F$2:$F$3001),24),""))</f>
        <v/>
      </c>
      <c r="H31" s="21">
        <f>IF(G31="","",MATCH(G31,'Debtor Ledger'!$F$2:$F$3001,0))</f>
        <v/>
      </c>
    </row>
    <row r="32">
      <c r="A32" s="5">
        <f>IF(H32="","",INDEX('Debtor Ledger'!$B$2:$B$3001,H32))</f>
        <v/>
      </c>
      <c r="B32">
        <f>IF(H32="","",INDEX('Debtor Ledger'!$G$2:$G$3001,H32))</f>
        <v/>
      </c>
      <c r="C32" s="6">
        <f>IF(H32="","",INDEX('Debtor Ledger'!$D$2:$D$3001,H32))</f>
        <v/>
      </c>
      <c r="D32" s="6">
        <f>IF(H32="","",INDEX('Debtor Ledger'!$E$2:$E$3001,H32))</f>
        <v/>
      </c>
      <c r="E32" s="6">
        <f>IF(H32="","",INDEX('Debtor Ledger'!$K$2:$K$3001,H32))</f>
        <v/>
      </c>
      <c r="F32" s="6">
        <f>IF(H32="","",INDEX('Debtor Ledger'!$L$2:$L$3001,H32))</f>
        <v/>
      </c>
      <c r="G32" s="34">
        <f t="array" ref="G32">IF($B$3="","",IFERROR(SMALL(IF('Debtor Ledger'!$C$2:$C$3001=$B$3,'Debtor Ledger'!$F$2:$F$3001),25),""))</f>
        <v/>
      </c>
      <c r="H32" s="21">
        <f>IF(G32="","",MATCH(G32,'Debtor Ledger'!$F$2:$F$3001,0))</f>
        <v/>
      </c>
    </row>
    <row r="33">
      <c r="A33" s="5">
        <f>IF(H33="","",INDEX('Debtor Ledger'!$B$2:$B$3001,H33))</f>
        <v/>
      </c>
      <c r="B33">
        <f>IF(H33="","",INDEX('Debtor Ledger'!$G$2:$G$3001,H33))</f>
        <v/>
      </c>
      <c r="C33" s="6">
        <f>IF(H33="","",INDEX('Debtor Ledger'!$D$2:$D$3001,H33))</f>
        <v/>
      </c>
      <c r="D33" s="6">
        <f>IF(H33="","",INDEX('Debtor Ledger'!$E$2:$E$3001,H33))</f>
        <v/>
      </c>
      <c r="E33" s="6">
        <f>IF(H33="","",INDEX('Debtor Ledger'!$K$2:$K$3001,H33))</f>
        <v/>
      </c>
      <c r="F33" s="6">
        <f>IF(H33="","",INDEX('Debtor Ledger'!$L$2:$L$3001,H33))</f>
        <v/>
      </c>
      <c r="G33" s="34">
        <f t="array" ref="G33">IF($B$3="","",IFERROR(SMALL(IF('Debtor Ledger'!$C$2:$C$3001=$B$3,'Debtor Ledger'!$F$2:$F$3001),26),""))</f>
        <v/>
      </c>
      <c r="H33" s="21">
        <f>IF(G33="","",MATCH(G33,'Debtor Ledger'!$F$2:$F$3001,0))</f>
        <v/>
      </c>
    </row>
    <row r="34">
      <c r="A34" s="5">
        <f>IF(H34="","",INDEX('Debtor Ledger'!$B$2:$B$3001,H34))</f>
        <v/>
      </c>
      <c r="B34">
        <f>IF(H34="","",INDEX('Debtor Ledger'!$G$2:$G$3001,H34))</f>
        <v/>
      </c>
      <c r="C34" s="6">
        <f>IF(H34="","",INDEX('Debtor Ledger'!$D$2:$D$3001,H34))</f>
        <v/>
      </c>
      <c r="D34" s="6">
        <f>IF(H34="","",INDEX('Debtor Ledger'!$E$2:$E$3001,H34))</f>
        <v/>
      </c>
      <c r="E34" s="6">
        <f>IF(H34="","",INDEX('Debtor Ledger'!$K$2:$K$3001,H34))</f>
        <v/>
      </c>
      <c r="F34" s="6">
        <f>IF(H34="","",INDEX('Debtor Ledger'!$L$2:$L$3001,H34))</f>
        <v/>
      </c>
      <c r="G34" s="34">
        <f t="array" ref="G34">IF($B$3="","",IFERROR(SMALL(IF('Debtor Ledger'!$C$2:$C$3001=$B$3,'Debtor Ledger'!$F$2:$F$3001),27),""))</f>
        <v/>
      </c>
      <c r="H34" s="21">
        <f>IF(G34="","",MATCH(G34,'Debtor Ledger'!$F$2:$F$3001,0))</f>
        <v/>
      </c>
    </row>
    <row r="35">
      <c r="A35" s="5">
        <f>IF(H35="","",INDEX('Debtor Ledger'!$B$2:$B$3001,H35))</f>
        <v/>
      </c>
      <c r="B35">
        <f>IF(H35="","",INDEX('Debtor Ledger'!$G$2:$G$3001,H35))</f>
        <v/>
      </c>
      <c r="C35" s="6">
        <f>IF(H35="","",INDEX('Debtor Ledger'!$D$2:$D$3001,H35))</f>
        <v/>
      </c>
      <c r="D35" s="6">
        <f>IF(H35="","",INDEX('Debtor Ledger'!$E$2:$E$3001,H35))</f>
        <v/>
      </c>
      <c r="E35" s="6">
        <f>IF(H35="","",INDEX('Debtor Ledger'!$K$2:$K$3001,H35))</f>
        <v/>
      </c>
      <c r="F35" s="6">
        <f>IF(H35="","",INDEX('Debtor Ledger'!$L$2:$L$3001,H35))</f>
        <v/>
      </c>
      <c r="G35" s="34">
        <f t="array" ref="G35">IF($B$3="","",IFERROR(SMALL(IF('Debtor Ledger'!$C$2:$C$3001=$B$3,'Debtor Ledger'!$F$2:$F$3001),28),""))</f>
        <v/>
      </c>
      <c r="H35" s="21">
        <f>IF(G35="","",MATCH(G35,'Debtor Ledger'!$F$2:$F$3001,0))</f>
        <v/>
      </c>
    </row>
    <row r="36">
      <c r="A36" s="5">
        <f>IF(H36="","",INDEX('Debtor Ledger'!$B$2:$B$3001,H36))</f>
        <v/>
      </c>
      <c r="B36">
        <f>IF(H36="","",INDEX('Debtor Ledger'!$G$2:$G$3001,H36))</f>
        <v/>
      </c>
      <c r="C36" s="6">
        <f>IF(H36="","",INDEX('Debtor Ledger'!$D$2:$D$3001,H36))</f>
        <v/>
      </c>
      <c r="D36" s="6">
        <f>IF(H36="","",INDEX('Debtor Ledger'!$E$2:$E$3001,H36))</f>
        <v/>
      </c>
      <c r="E36" s="6">
        <f>IF(H36="","",INDEX('Debtor Ledger'!$K$2:$K$3001,H36))</f>
        <v/>
      </c>
      <c r="F36" s="6">
        <f>IF(H36="","",INDEX('Debtor Ledger'!$L$2:$L$3001,H36))</f>
        <v/>
      </c>
      <c r="G36" s="34">
        <f t="array" ref="G36">IF($B$3="","",IFERROR(SMALL(IF('Debtor Ledger'!$C$2:$C$3001=$B$3,'Debtor Ledger'!$F$2:$F$3001),29),""))</f>
        <v/>
      </c>
      <c r="H36" s="21">
        <f>IF(G36="","",MATCH(G36,'Debtor Ledger'!$F$2:$F$3001,0))</f>
        <v/>
      </c>
    </row>
    <row r="37">
      <c r="A37" s="5">
        <f>IF(H37="","",INDEX('Debtor Ledger'!$B$2:$B$3001,H37))</f>
        <v/>
      </c>
      <c r="B37">
        <f>IF(H37="","",INDEX('Debtor Ledger'!$G$2:$G$3001,H37))</f>
        <v/>
      </c>
      <c r="C37" s="6">
        <f>IF(H37="","",INDEX('Debtor Ledger'!$D$2:$D$3001,H37))</f>
        <v/>
      </c>
      <c r="D37" s="6">
        <f>IF(H37="","",INDEX('Debtor Ledger'!$E$2:$E$3001,H37))</f>
        <v/>
      </c>
      <c r="E37" s="6">
        <f>IF(H37="","",INDEX('Debtor Ledger'!$K$2:$K$3001,H37))</f>
        <v/>
      </c>
      <c r="F37" s="6">
        <f>IF(H37="","",INDEX('Debtor Ledger'!$L$2:$L$3001,H37))</f>
        <v/>
      </c>
      <c r="G37" s="34">
        <f t="array" ref="G37">IF($B$3="","",IFERROR(SMALL(IF('Debtor Ledger'!$C$2:$C$3001=$B$3,'Debtor Ledger'!$F$2:$F$3001),30),""))</f>
        <v/>
      </c>
      <c r="H37" s="21">
        <f>IF(G37="","",MATCH(G37,'Debtor Ledger'!$F$2:$F$3001,0))</f>
        <v/>
      </c>
    </row>
    <row r="38">
      <c r="A38" s="5">
        <f>IF(H38="","",INDEX('Debtor Ledger'!$B$2:$B$3001,H38))</f>
        <v/>
      </c>
      <c r="B38">
        <f>IF(H38="","",INDEX('Debtor Ledger'!$G$2:$G$3001,H38))</f>
        <v/>
      </c>
      <c r="C38" s="6">
        <f>IF(H38="","",INDEX('Debtor Ledger'!$D$2:$D$3001,H38))</f>
        <v/>
      </c>
      <c r="D38" s="6">
        <f>IF(H38="","",INDEX('Debtor Ledger'!$E$2:$E$3001,H38))</f>
        <v/>
      </c>
      <c r="E38" s="6">
        <f>IF(H38="","",INDEX('Debtor Ledger'!$K$2:$K$3001,H38))</f>
        <v/>
      </c>
      <c r="F38" s="6">
        <f>IF(H38="","",INDEX('Debtor Ledger'!$L$2:$L$3001,H38))</f>
        <v/>
      </c>
      <c r="G38" s="34">
        <f t="array" ref="G38">IF($B$3="","",IFERROR(SMALL(IF('Debtor Ledger'!$C$2:$C$3001=$B$3,'Debtor Ledger'!$F$2:$F$3001),31),""))</f>
        <v/>
      </c>
      <c r="H38" s="21">
        <f>IF(G38="","",MATCH(G38,'Debtor Ledger'!$F$2:$F$3001,0))</f>
        <v/>
      </c>
    </row>
    <row r="39">
      <c r="A39" s="5">
        <f>IF(H39="","",INDEX('Debtor Ledger'!$B$2:$B$3001,H39))</f>
        <v/>
      </c>
      <c r="B39">
        <f>IF(H39="","",INDEX('Debtor Ledger'!$G$2:$G$3001,H39))</f>
        <v/>
      </c>
      <c r="C39" s="6">
        <f>IF(H39="","",INDEX('Debtor Ledger'!$D$2:$D$3001,H39))</f>
        <v/>
      </c>
      <c r="D39" s="6">
        <f>IF(H39="","",INDEX('Debtor Ledger'!$E$2:$E$3001,H39))</f>
        <v/>
      </c>
      <c r="E39" s="6">
        <f>IF(H39="","",INDEX('Debtor Ledger'!$K$2:$K$3001,H39))</f>
        <v/>
      </c>
      <c r="F39" s="6">
        <f>IF(H39="","",INDEX('Debtor Ledger'!$L$2:$L$3001,H39))</f>
        <v/>
      </c>
      <c r="G39" s="34">
        <f t="array" ref="G39">IF($B$3="","",IFERROR(SMALL(IF('Debtor Ledger'!$C$2:$C$3001=$B$3,'Debtor Ledger'!$F$2:$F$3001),32),""))</f>
        <v/>
      </c>
      <c r="H39" s="21">
        <f>IF(G39="","",MATCH(G39,'Debtor Ledger'!$F$2:$F$3001,0))</f>
        <v/>
      </c>
    </row>
    <row r="40">
      <c r="A40" s="5">
        <f>IF(H40="","",INDEX('Debtor Ledger'!$B$2:$B$3001,H40))</f>
        <v/>
      </c>
      <c r="B40">
        <f>IF(H40="","",INDEX('Debtor Ledger'!$G$2:$G$3001,H40))</f>
        <v/>
      </c>
      <c r="C40" s="6">
        <f>IF(H40="","",INDEX('Debtor Ledger'!$D$2:$D$3001,H40))</f>
        <v/>
      </c>
      <c r="D40" s="6">
        <f>IF(H40="","",INDEX('Debtor Ledger'!$E$2:$E$3001,H40))</f>
        <v/>
      </c>
      <c r="E40" s="6">
        <f>IF(H40="","",INDEX('Debtor Ledger'!$K$2:$K$3001,H40))</f>
        <v/>
      </c>
      <c r="F40" s="6">
        <f>IF(H40="","",INDEX('Debtor Ledger'!$L$2:$L$3001,H40))</f>
        <v/>
      </c>
      <c r="G40" s="34">
        <f t="array" ref="G40">IF($B$3="","",IFERROR(SMALL(IF('Debtor Ledger'!$C$2:$C$3001=$B$3,'Debtor Ledger'!$F$2:$F$3001),33),""))</f>
        <v/>
      </c>
      <c r="H40" s="21">
        <f>IF(G40="","",MATCH(G40,'Debtor Ledger'!$F$2:$F$3001,0))</f>
        <v/>
      </c>
    </row>
    <row r="41">
      <c r="A41" s="5">
        <f>IF(H41="","",INDEX('Debtor Ledger'!$B$2:$B$3001,H41))</f>
        <v/>
      </c>
      <c r="B41">
        <f>IF(H41="","",INDEX('Debtor Ledger'!$G$2:$G$3001,H41))</f>
        <v/>
      </c>
      <c r="C41" s="6">
        <f>IF(H41="","",INDEX('Debtor Ledger'!$D$2:$D$3001,H41))</f>
        <v/>
      </c>
      <c r="D41" s="6">
        <f>IF(H41="","",INDEX('Debtor Ledger'!$E$2:$E$3001,H41))</f>
        <v/>
      </c>
      <c r="E41" s="6">
        <f>IF(H41="","",INDEX('Debtor Ledger'!$K$2:$K$3001,H41))</f>
        <v/>
      </c>
      <c r="F41" s="6">
        <f>IF(H41="","",INDEX('Debtor Ledger'!$L$2:$L$3001,H41))</f>
        <v/>
      </c>
      <c r="G41" s="34">
        <f t="array" ref="G41">IF($B$3="","",IFERROR(SMALL(IF('Debtor Ledger'!$C$2:$C$3001=$B$3,'Debtor Ledger'!$F$2:$F$3001),34),""))</f>
        <v/>
      </c>
      <c r="H41" s="21">
        <f>IF(G41="","",MATCH(G41,'Debtor Ledger'!$F$2:$F$3001,0))</f>
        <v/>
      </c>
    </row>
    <row r="42">
      <c r="A42" s="5">
        <f>IF(H42="","",INDEX('Debtor Ledger'!$B$2:$B$3001,H42))</f>
        <v/>
      </c>
      <c r="B42">
        <f>IF(H42="","",INDEX('Debtor Ledger'!$G$2:$G$3001,H42))</f>
        <v/>
      </c>
      <c r="C42" s="6">
        <f>IF(H42="","",INDEX('Debtor Ledger'!$D$2:$D$3001,H42))</f>
        <v/>
      </c>
      <c r="D42" s="6">
        <f>IF(H42="","",INDEX('Debtor Ledger'!$E$2:$E$3001,H42))</f>
        <v/>
      </c>
      <c r="E42" s="6">
        <f>IF(H42="","",INDEX('Debtor Ledger'!$K$2:$K$3001,H42))</f>
        <v/>
      </c>
      <c r="F42" s="6">
        <f>IF(H42="","",INDEX('Debtor Ledger'!$L$2:$L$3001,H42))</f>
        <v/>
      </c>
      <c r="G42" s="34">
        <f t="array" ref="G42">IF($B$3="","",IFERROR(SMALL(IF('Debtor Ledger'!$C$2:$C$3001=$B$3,'Debtor Ledger'!$F$2:$F$3001),35),""))</f>
        <v/>
      </c>
      <c r="H42" s="21">
        <f>IF(G42="","",MATCH(G42,'Debtor Ledger'!$F$2:$F$3001,0))</f>
        <v/>
      </c>
    </row>
    <row r="43">
      <c r="A43" s="5">
        <f>IF(H43="","",INDEX('Debtor Ledger'!$B$2:$B$3001,H43))</f>
        <v/>
      </c>
      <c r="B43">
        <f>IF(H43="","",INDEX('Debtor Ledger'!$G$2:$G$3001,H43))</f>
        <v/>
      </c>
      <c r="C43" s="6">
        <f>IF(H43="","",INDEX('Debtor Ledger'!$D$2:$D$3001,H43))</f>
        <v/>
      </c>
      <c r="D43" s="6">
        <f>IF(H43="","",INDEX('Debtor Ledger'!$E$2:$E$3001,H43))</f>
        <v/>
      </c>
      <c r="E43" s="6">
        <f>IF(H43="","",INDEX('Debtor Ledger'!$K$2:$K$3001,H43))</f>
        <v/>
      </c>
      <c r="F43" s="6">
        <f>IF(H43="","",INDEX('Debtor Ledger'!$L$2:$L$3001,H43))</f>
        <v/>
      </c>
      <c r="G43" s="34">
        <f t="array" ref="G43">IF($B$3="","",IFERROR(SMALL(IF('Debtor Ledger'!$C$2:$C$3001=$B$3,'Debtor Ledger'!$F$2:$F$3001),36),""))</f>
        <v/>
      </c>
      <c r="H43" s="21">
        <f>IF(G43="","",MATCH(G43,'Debtor Ledger'!$F$2:$F$3001,0))</f>
        <v/>
      </c>
    </row>
    <row r="44">
      <c r="A44" s="5">
        <f>IF(H44="","",INDEX('Debtor Ledger'!$B$2:$B$3001,H44))</f>
        <v/>
      </c>
      <c r="B44">
        <f>IF(H44="","",INDEX('Debtor Ledger'!$G$2:$G$3001,H44))</f>
        <v/>
      </c>
      <c r="C44" s="6">
        <f>IF(H44="","",INDEX('Debtor Ledger'!$D$2:$D$3001,H44))</f>
        <v/>
      </c>
      <c r="D44" s="6">
        <f>IF(H44="","",INDEX('Debtor Ledger'!$E$2:$E$3001,H44))</f>
        <v/>
      </c>
      <c r="E44" s="6">
        <f>IF(H44="","",INDEX('Debtor Ledger'!$K$2:$K$3001,H44))</f>
        <v/>
      </c>
      <c r="F44" s="6">
        <f>IF(H44="","",INDEX('Debtor Ledger'!$L$2:$L$3001,H44))</f>
        <v/>
      </c>
      <c r="G44" s="34">
        <f t="array" ref="G44">IF($B$3="","",IFERROR(SMALL(IF('Debtor Ledger'!$C$2:$C$3001=$B$3,'Debtor Ledger'!$F$2:$F$3001),37),""))</f>
        <v/>
      </c>
      <c r="H44" s="21">
        <f>IF(G44="","",MATCH(G44,'Debtor Ledger'!$F$2:$F$3001,0))</f>
        <v/>
      </c>
    </row>
    <row r="45">
      <c r="A45" s="5">
        <f>IF(H45="","",INDEX('Debtor Ledger'!$B$2:$B$3001,H45))</f>
        <v/>
      </c>
      <c r="B45">
        <f>IF(H45="","",INDEX('Debtor Ledger'!$G$2:$G$3001,H45))</f>
        <v/>
      </c>
      <c r="C45" s="6">
        <f>IF(H45="","",INDEX('Debtor Ledger'!$D$2:$D$3001,H45))</f>
        <v/>
      </c>
      <c r="D45" s="6">
        <f>IF(H45="","",INDEX('Debtor Ledger'!$E$2:$E$3001,H45))</f>
        <v/>
      </c>
      <c r="E45" s="6">
        <f>IF(H45="","",INDEX('Debtor Ledger'!$K$2:$K$3001,H45))</f>
        <v/>
      </c>
      <c r="F45" s="6">
        <f>IF(H45="","",INDEX('Debtor Ledger'!$L$2:$L$3001,H45))</f>
        <v/>
      </c>
      <c r="G45" s="34">
        <f t="array" ref="G45">IF($B$3="","",IFERROR(SMALL(IF('Debtor Ledger'!$C$2:$C$3001=$B$3,'Debtor Ledger'!$F$2:$F$3001),38),""))</f>
        <v/>
      </c>
      <c r="H45" s="21">
        <f>IF(G45="","",MATCH(G45,'Debtor Ledger'!$F$2:$F$3001,0))</f>
        <v/>
      </c>
    </row>
    <row r="46">
      <c r="A46" s="5">
        <f>IF(H46="","",INDEX('Debtor Ledger'!$B$2:$B$3001,H46))</f>
        <v/>
      </c>
      <c r="B46">
        <f>IF(H46="","",INDEX('Debtor Ledger'!$G$2:$G$3001,H46))</f>
        <v/>
      </c>
      <c r="C46" s="6">
        <f>IF(H46="","",INDEX('Debtor Ledger'!$D$2:$D$3001,H46))</f>
        <v/>
      </c>
      <c r="D46" s="6">
        <f>IF(H46="","",INDEX('Debtor Ledger'!$E$2:$E$3001,H46))</f>
        <v/>
      </c>
      <c r="E46" s="6">
        <f>IF(H46="","",INDEX('Debtor Ledger'!$K$2:$K$3001,H46))</f>
        <v/>
      </c>
      <c r="F46" s="6">
        <f>IF(H46="","",INDEX('Debtor Ledger'!$L$2:$L$3001,H46))</f>
        <v/>
      </c>
      <c r="G46" s="34">
        <f t="array" ref="G46">IF($B$3="","",IFERROR(SMALL(IF('Debtor Ledger'!$C$2:$C$3001=$B$3,'Debtor Ledger'!$F$2:$F$3001),39),""))</f>
        <v/>
      </c>
      <c r="H46" s="21">
        <f>IF(G46="","",MATCH(G46,'Debtor Ledger'!$F$2:$F$3001,0))</f>
        <v/>
      </c>
    </row>
    <row r="47">
      <c r="A47" s="5">
        <f>IF(H47="","",INDEX('Debtor Ledger'!$B$2:$B$3001,H47))</f>
        <v/>
      </c>
      <c r="B47">
        <f>IF(H47="","",INDEX('Debtor Ledger'!$G$2:$G$3001,H47))</f>
        <v/>
      </c>
      <c r="C47" s="6">
        <f>IF(H47="","",INDEX('Debtor Ledger'!$D$2:$D$3001,H47))</f>
        <v/>
      </c>
      <c r="D47" s="6">
        <f>IF(H47="","",INDEX('Debtor Ledger'!$E$2:$E$3001,H47))</f>
        <v/>
      </c>
      <c r="E47" s="6">
        <f>IF(H47="","",INDEX('Debtor Ledger'!$K$2:$K$3001,H47))</f>
        <v/>
      </c>
      <c r="F47" s="6">
        <f>IF(H47="","",INDEX('Debtor Ledger'!$L$2:$L$3001,H47))</f>
        <v/>
      </c>
      <c r="G47" s="34">
        <f t="array" ref="G47">IF($B$3="","",IFERROR(SMALL(IF('Debtor Ledger'!$C$2:$C$3001=$B$3,'Debtor Ledger'!$F$2:$F$3001),40),""))</f>
        <v/>
      </c>
      <c r="H47" s="21">
        <f>IF(G47="","",MATCH(G47,'Debtor Ledger'!$F$2:$F$3001,0))</f>
        <v/>
      </c>
    </row>
    <row r="48">
      <c r="A48" s="5">
        <f>IF(H48="","",INDEX('Debtor Ledger'!$B$2:$B$3001,H48))</f>
        <v/>
      </c>
      <c r="B48">
        <f>IF(H48="","",INDEX('Debtor Ledger'!$G$2:$G$3001,H48))</f>
        <v/>
      </c>
      <c r="C48" s="6">
        <f>IF(H48="","",INDEX('Debtor Ledger'!$D$2:$D$3001,H48))</f>
        <v/>
      </c>
      <c r="D48" s="6">
        <f>IF(H48="","",INDEX('Debtor Ledger'!$E$2:$E$3001,H48))</f>
        <v/>
      </c>
      <c r="E48" s="6">
        <f>IF(H48="","",INDEX('Debtor Ledger'!$K$2:$K$3001,H48))</f>
        <v/>
      </c>
      <c r="F48" s="6">
        <f>IF(H48="","",INDEX('Debtor Ledger'!$L$2:$L$3001,H48))</f>
        <v/>
      </c>
      <c r="G48" s="34">
        <f t="array" ref="G48">IF($B$3="","",IFERROR(SMALL(IF('Debtor Ledger'!$C$2:$C$3001=$B$3,'Debtor Ledger'!$F$2:$F$3001),41),""))</f>
        <v/>
      </c>
      <c r="H48" s="21">
        <f>IF(G48="","",MATCH(G48,'Debtor Ledger'!$F$2:$F$3001,0))</f>
        <v/>
      </c>
    </row>
    <row r="49">
      <c r="A49" s="5">
        <f>IF(H49="","",INDEX('Debtor Ledger'!$B$2:$B$3001,H49))</f>
        <v/>
      </c>
      <c r="B49">
        <f>IF(H49="","",INDEX('Debtor Ledger'!$G$2:$G$3001,H49))</f>
        <v/>
      </c>
      <c r="C49" s="6">
        <f>IF(H49="","",INDEX('Debtor Ledger'!$D$2:$D$3001,H49))</f>
        <v/>
      </c>
      <c r="D49" s="6">
        <f>IF(H49="","",INDEX('Debtor Ledger'!$E$2:$E$3001,H49))</f>
        <v/>
      </c>
      <c r="E49" s="6">
        <f>IF(H49="","",INDEX('Debtor Ledger'!$K$2:$K$3001,H49))</f>
        <v/>
      </c>
      <c r="F49" s="6">
        <f>IF(H49="","",INDEX('Debtor Ledger'!$L$2:$L$3001,H49))</f>
        <v/>
      </c>
      <c r="G49" s="34">
        <f t="array" ref="G49">IF($B$3="","",IFERROR(SMALL(IF('Debtor Ledger'!$C$2:$C$3001=$B$3,'Debtor Ledger'!$F$2:$F$3001),42),""))</f>
        <v/>
      </c>
      <c r="H49" s="21">
        <f>IF(G49="","",MATCH(G49,'Debtor Ledger'!$F$2:$F$3001,0))</f>
        <v/>
      </c>
    </row>
    <row r="50">
      <c r="A50" s="5">
        <f>IF(H50="","",INDEX('Debtor Ledger'!$B$2:$B$3001,H50))</f>
        <v/>
      </c>
      <c r="B50">
        <f>IF(H50="","",INDEX('Debtor Ledger'!$G$2:$G$3001,H50))</f>
        <v/>
      </c>
      <c r="C50" s="6">
        <f>IF(H50="","",INDEX('Debtor Ledger'!$D$2:$D$3001,H50))</f>
        <v/>
      </c>
      <c r="D50" s="6">
        <f>IF(H50="","",INDEX('Debtor Ledger'!$E$2:$E$3001,H50))</f>
        <v/>
      </c>
      <c r="E50" s="6">
        <f>IF(H50="","",INDEX('Debtor Ledger'!$K$2:$K$3001,H50))</f>
        <v/>
      </c>
      <c r="F50" s="6">
        <f>IF(H50="","",INDEX('Debtor Ledger'!$L$2:$L$3001,H50))</f>
        <v/>
      </c>
      <c r="G50" s="34">
        <f t="array" ref="G50">IF($B$3="","",IFERROR(SMALL(IF('Debtor Ledger'!$C$2:$C$3001=$B$3,'Debtor Ledger'!$F$2:$F$3001),43),""))</f>
        <v/>
      </c>
      <c r="H50" s="21">
        <f>IF(G50="","",MATCH(G50,'Debtor Ledger'!$F$2:$F$3001,0))</f>
        <v/>
      </c>
    </row>
    <row r="51">
      <c r="A51" s="5">
        <f>IF(H51="","",INDEX('Debtor Ledger'!$B$2:$B$3001,H51))</f>
        <v/>
      </c>
      <c r="B51">
        <f>IF(H51="","",INDEX('Debtor Ledger'!$G$2:$G$3001,H51))</f>
        <v/>
      </c>
      <c r="C51" s="6">
        <f>IF(H51="","",INDEX('Debtor Ledger'!$D$2:$D$3001,H51))</f>
        <v/>
      </c>
      <c r="D51" s="6">
        <f>IF(H51="","",INDEX('Debtor Ledger'!$E$2:$E$3001,H51))</f>
        <v/>
      </c>
      <c r="E51" s="6">
        <f>IF(H51="","",INDEX('Debtor Ledger'!$K$2:$K$3001,H51))</f>
        <v/>
      </c>
      <c r="F51" s="6">
        <f>IF(H51="","",INDEX('Debtor Ledger'!$L$2:$L$3001,H51))</f>
        <v/>
      </c>
      <c r="G51" s="34">
        <f t="array" ref="G51">IF($B$3="","",IFERROR(SMALL(IF('Debtor Ledger'!$C$2:$C$3001=$B$3,'Debtor Ledger'!$F$2:$F$3001),44),""))</f>
        <v/>
      </c>
      <c r="H51" s="21">
        <f>IF(G51="","",MATCH(G51,'Debtor Ledger'!$F$2:$F$3001,0))</f>
        <v/>
      </c>
    </row>
    <row r="52">
      <c r="A52" s="5">
        <f>IF(H52="","",INDEX('Debtor Ledger'!$B$2:$B$3001,H52))</f>
        <v/>
      </c>
      <c r="B52">
        <f>IF(H52="","",INDEX('Debtor Ledger'!$G$2:$G$3001,H52))</f>
        <v/>
      </c>
      <c r="C52" s="6">
        <f>IF(H52="","",INDEX('Debtor Ledger'!$D$2:$D$3001,H52))</f>
        <v/>
      </c>
      <c r="D52" s="6">
        <f>IF(H52="","",INDEX('Debtor Ledger'!$E$2:$E$3001,H52))</f>
        <v/>
      </c>
      <c r="E52" s="6">
        <f>IF(H52="","",INDEX('Debtor Ledger'!$K$2:$K$3001,H52))</f>
        <v/>
      </c>
      <c r="F52" s="6">
        <f>IF(H52="","",INDEX('Debtor Ledger'!$L$2:$L$3001,H52))</f>
        <v/>
      </c>
      <c r="G52" s="34">
        <f t="array" ref="G52">IF($B$3="","",IFERROR(SMALL(IF('Debtor Ledger'!$C$2:$C$3001=$B$3,'Debtor Ledger'!$F$2:$F$3001),45),""))</f>
        <v/>
      </c>
      <c r="H52" s="21">
        <f>IF(G52="","",MATCH(G52,'Debtor Ledger'!$F$2:$F$3001,0))</f>
        <v/>
      </c>
    </row>
    <row r="53">
      <c r="A53" s="5">
        <f>IF(H53="","",INDEX('Debtor Ledger'!$B$2:$B$3001,H53))</f>
        <v/>
      </c>
      <c r="B53">
        <f>IF(H53="","",INDEX('Debtor Ledger'!$G$2:$G$3001,H53))</f>
        <v/>
      </c>
      <c r="C53" s="6">
        <f>IF(H53="","",INDEX('Debtor Ledger'!$D$2:$D$3001,H53))</f>
        <v/>
      </c>
      <c r="D53" s="6">
        <f>IF(H53="","",INDEX('Debtor Ledger'!$E$2:$E$3001,H53))</f>
        <v/>
      </c>
      <c r="E53" s="6">
        <f>IF(H53="","",INDEX('Debtor Ledger'!$K$2:$K$3001,H53))</f>
        <v/>
      </c>
      <c r="F53" s="6">
        <f>IF(H53="","",INDEX('Debtor Ledger'!$L$2:$L$3001,H53))</f>
        <v/>
      </c>
      <c r="G53" s="34">
        <f t="array" ref="G53">IF($B$3="","",IFERROR(SMALL(IF('Debtor Ledger'!$C$2:$C$3001=$B$3,'Debtor Ledger'!$F$2:$F$3001),46),""))</f>
        <v/>
      </c>
      <c r="H53" s="21">
        <f>IF(G53="","",MATCH(G53,'Debtor Ledger'!$F$2:$F$3001,0))</f>
        <v/>
      </c>
    </row>
    <row r="54">
      <c r="A54" s="5">
        <f>IF(H54="","",INDEX('Debtor Ledger'!$B$2:$B$3001,H54))</f>
        <v/>
      </c>
      <c r="B54">
        <f>IF(H54="","",INDEX('Debtor Ledger'!$G$2:$G$3001,H54))</f>
        <v/>
      </c>
      <c r="C54" s="6">
        <f>IF(H54="","",INDEX('Debtor Ledger'!$D$2:$D$3001,H54))</f>
        <v/>
      </c>
      <c r="D54" s="6">
        <f>IF(H54="","",INDEX('Debtor Ledger'!$E$2:$E$3001,H54))</f>
        <v/>
      </c>
      <c r="E54" s="6">
        <f>IF(H54="","",INDEX('Debtor Ledger'!$K$2:$K$3001,H54))</f>
        <v/>
      </c>
      <c r="F54" s="6">
        <f>IF(H54="","",INDEX('Debtor Ledger'!$L$2:$L$3001,H54))</f>
        <v/>
      </c>
      <c r="G54" s="34">
        <f t="array" ref="G54">IF($B$3="","",IFERROR(SMALL(IF('Debtor Ledger'!$C$2:$C$3001=$B$3,'Debtor Ledger'!$F$2:$F$3001),47),""))</f>
        <v/>
      </c>
      <c r="H54" s="21">
        <f>IF(G54="","",MATCH(G54,'Debtor Ledger'!$F$2:$F$3001,0))</f>
        <v/>
      </c>
    </row>
    <row r="55">
      <c r="A55" s="5">
        <f>IF(H55="","",INDEX('Debtor Ledger'!$B$2:$B$3001,H55))</f>
        <v/>
      </c>
      <c r="B55">
        <f>IF(H55="","",INDEX('Debtor Ledger'!$G$2:$G$3001,H55))</f>
        <v/>
      </c>
      <c r="C55" s="6">
        <f>IF(H55="","",INDEX('Debtor Ledger'!$D$2:$D$3001,H55))</f>
        <v/>
      </c>
      <c r="D55" s="6">
        <f>IF(H55="","",INDEX('Debtor Ledger'!$E$2:$E$3001,H55))</f>
        <v/>
      </c>
      <c r="E55" s="6">
        <f>IF(H55="","",INDEX('Debtor Ledger'!$K$2:$K$3001,H55))</f>
        <v/>
      </c>
      <c r="F55" s="6">
        <f>IF(H55="","",INDEX('Debtor Ledger'!$L$2:$L$3001,H55))</f>
        <v/>
      </c>
      <c r="G55" s="34">
        <f t="array" ref="G55">IF($B$3="","",IFERROR(SMALL(IF('Debtor Ledger'!$C$2:$C$3001=$B$3,'Debtor Ledger'!$F$2:$F$3001),48),""))</f>
        <v/>
      </c>
      <c r="H55" s="21">
        <f>IF(G55="","",MATCH(G55,'Debtor Ledger'!$F$2:$F$3001,0))</f>
        <v/>
      </c>
    </row>
    <row r="56">
      <c r="A56" s="5">
        <f>IF(H56="","",INDEX('Debtor Ledger'!$B$2:$B$3001,H56))</f>
        <v/>
      </c>
      <c r="B56">
        <f>IF(H56="","",INDEX('Debtor Ledger'!$G$2:$G$3001,H56))</f>
        <v/>
      </c>
      <c r="C56" s="6">
        <f>IF(H56="","",INDEX('Debtor Ledger'!$D$2:$D$3001,H56))</f>
        <v/>
      </c>
      <c r="D56" s="6">
        <f>IF(H56="","",INDEX('Debtor Ledger'!$E$2:$E$3001,H56))</f>
        <v/>
      </c>
      <c r="E56" s="6">
        <f>IF(H56="","",INDEX('Debtor Ledger'!$K$2:$K$3001,H56))</f>
        <v/>
      </c>
      <c r="F56" s="6">
        <f>IF(H56="","",INDEX('Debtor Ledger'!$L$2:$L$3001,H56))</f>
        <v/>
      </c>
      <c r="G56" s="34">
        <f t="array" ref="G56">IF($B$3="","",IFERROR(SMALL(IF('Debtor Ledger'!$C$2:$C$3001=$B$3,'Debtor Ledger'!$F$2:$F$3001),49),""))</f>
        <v/>
      </c>
      <c r="H56" s="21">
        <f>IF(G56="","",MATCH(G56,'Debtor Ledger'!$F$2:$F$3001,0))</f>
        <v/>
      </c>
    </row>
    <row r="57">
      <c r="A57" s="5">
        <f>IF(H57="","",INDEX('Debtor Ledger'!$B$2:$B$3001,H57))</f>
        <v/>
      </c>
      <c r="B57">
        <f>IF(H57="","",INDEX('Debtor Ledger'!$G$2:$G$3001,H57))</f>
        <v/>
      </c>
      <c r="C57" s="6">
        <f>IF(H57="","",INDEX('Debtor Ledger'!$D$2:$D$3001,H57))</f>
        <v/>
      </c>
      <c r="D57" s="6">
        <f>IF(H57="","",INDEX('Debtor Ledger'!$E$2:$E$3001,H57))</f>
        <v/>
      </c>
      <c r="E57" s="6">
        <f>IF(H57="","",INDEX('Debtor Ledger'!$K$2:$K$3001,H57))</f>
        <v/>
      </c>
      <c r="F57" s="6">
        <f>IF(H57="","",INDEX('Debtor Ledger'!$L$2:$L$3001,H57))</f>
        <v/>
      </c>
      <c r="G57" s="34">
        <f t="array" ref="G57">IF($B$3="","",IFERROR(SMALL(IF('Debtor Ledger'!$C$2:$C$3001=$B$3,'Debtor Ledger'!$F$2:$F$3001),50),""))</f>
        <v/>
      </c>
      <c r="H57" s="21">
        <f>IF(G57="","",MATCH(G57,'Debtor Ledger'!$F$2:$F$3001,0))</f>
        <v/>
      </c>
    </row>
    <row r="58">
      <c r="A58" s="5">
        <f>IF(H58="","",INDEX('Debtor Ledger'!$B$2:$B$3001,H58))</f>
        <v/>
      </c>
      <c r="B58">
        <f>IF(H58="","",INDEX('Debtor Ledger'!$G$2:$G$3001,H58))</f>
        <v/>
      </c>
      <c r="C58" s="6">
        <f>IF(H58="","",INDEX('Debtor Ledger'!$D$2:$D$3001,H58))</f>
        <v/>
      </c>
      <c r="D58" s="6">
        <f>IF(H58="","",INDEX('Debtor Ledger'!$E$2:$E$3001,H58))</f>
        <v/>
      </c>
      <c r="E58" s="6">
        <f>IF(H58="","",INDEX('Debtor Ledger'!$K$2:$K$3001,H58))</f>
        <v/>
      </c>
      <c r="F58" s="6">
        <f>IF(H58="","",INDEX('Debtor Ledger'!$L$2:$L$3001,H58))</f>
        <v/>
      </c>
      <c r="G58" s="34">
        <f t="array" ref="G58">IF($B$3="","",IFERROR(SMALL(IF('Debtor Ledger'!$C$2:$C$3001=$B$3,'Debtor Ledger'!$F$2:$F$3001),51),""))</f>
        <v/>
      </c>
      <c r="H58" s="21">
        <f>IF(G58="","",MATCH(G58,'Debtor Ledger'!$F$2:$F$3001,0))</f>
        <v/>
      </c>
    </row>
    <row r="59">
      <c r="A59" s="5">
        <f>IF(H59="","",INDEX('Debtor Ledger'!$B$2:$B$3001,H59))</f>
        <v/>
      </c>
      <c r="B59">
        <f>IF(H59="","",INDEX('Debtor Ledger'!$G$2:$G$3001,H59))</f>
        <v/>
      </c>
      <c r="C59" s="6">
        <f>IF(H59="","",INDEX('Debtor Ledger'!$D$2:$D$3001,H59))</f>
        <v/>
      </c>
      <c r="D59" s="6">
        <f>IF(H59="","",INDEX('Debtor Ledger'!$E$2:$E$3001,H59))</f>
        <v/>
      </c>
      <c r="E59" s="6">
        <f>IF(H59="","",INDEX('Debtor Ledger'!$K$2:$K$3001,H59))</f>
        <v/>
      </c>
      <c r="F59" s="6">
        <f>IF(H59="","",INDEX('Debtor Ledger'!$L$2:$L$3001,H59))</f>
        <v/>
      </c>
      <c r="G59" s="34">
        <f t="array" ref="G59">IF($B$3="","",IFERROR(SMALL(IF('Debtor Ledger'!$C$2:$C$3001=$B$3,'Debtor Ledger'!$F$2:$F$3001),52),""))</f>
        <v/>
      </c>
      <c r="H59" s="21">
        <f>IF(G59="","",MATCH(G59,'Debtor Ledger'!$F$2:$F$3001,0))</f>
        <v/>
      </c>
    </row>
    <row r="60">
      <c r="A60" s="5">
        <f>IF(H60="","",INDEX('Debtor Ledger'!$B$2:$B$3001,H60))</f>
        <v/>
      </c>
      <c r="B60">
        <f>IF(H60="","",INDEX('Debtor Ledger'!$G$2:$G$3001,H60))</f>
        <v/>
      </c>
      <c r="C60" s="6">
        <f>IF(H60="","",INDEX('Debtor Ledger'!$D$2:$D$3001,H60))</f>
        <v/>
      </c>
      <c r="D60" s="6">
        <f>IF(H60="","",INDEX('Debtor Ledger'!$E$2:$E$3001,H60))</f>
        <v/>
      </c>
      <c r="E60" s="6">
        <f>IF(H60="","",INDEX('Debtor Ledger'!$K$2:$K$3001,H60))</f>
        <v/>
      </c>
      <c r="F60" s="6">
        <f>IF(H60="","",INDEX('Debtor Ledger'!$L$2:$L$3001,H60))</f>
        <v/>
      </c>
      <c r="G60" s="34">
        <f t="array" ref="G60">IF($B$3="","",IFERROR(SMALL(IF('Debtor Ledger'!$C$2:$C$3001=$B$3,'Debtor Ledger'!$F$2:$F$3001),53),""))</f>
        <v/>
      </c>
      <c r="H60" s="21">
        <f>IF(G60="","",MATCH(G60,'Debtor Ledger'!$F$2:$F$3001,0))</f>
        <v/>
      </c>
    </row>
    <row r="61">
      <c r="A61" s="5">
        <f>IF(H61="","",INDEX('Debtor Ledger'!$B$2:$B$3001,H61))</f>
        <v/>
      </c>
      <c r="B61">
        <f>IF(H61="","",INDEX('Debtor Ledger'!$G$2:$G$3001,H61))</f>
        <v/>
      </c>
      <c r="C61" s="6">
        <f>IF(H61="","",INDEX('Debtor Ledger'!$D$2:$D$3001,H61))</f>
        <v/>
      </c>
      <c r="D61" s="6">
        <f>IF(H61="","",INDEX('Debtor Ledger'!$E$2:$E$3001,H61))</f>
        <v/>
      </c>
      <c r="E61" s="6">
        <f>IF(H61="","",INDEX('Debtor Ledger'!$K$2:$K$3001,H61))</f>
        <v/>
      </c>
      <c r="F61" s="6">
        <f>IF(H61="","",INDEX('Debtor Ledger'!$L$2:$L$3001,H61))</f>
        <v/>
      </c>
      <c r="G61" s="34">
        <f t="array" ref="G61">IF($B$3="","",IFERROR(SMALL(IF('Debtor Ledger'!$C$2:$C$3001=$B$3,'Debtor Ledger'!$F$2:$F$3001),54),""))</f>
        <v/>
      </c>
      <c r="H61" s="21">
        <f>IF(G61="","",MATCH(G61,'Debtor Ledger'!$F$2:$F$3001,0))</f>
        <v/>
      </c>
    </row>
    <row r="62">
      <c r="A62" s="5">
        <f>IF(H62="","",INDEX('Debtor Ledger'!$B$2:$B$3001,H62))</f>
        <v/>
      </c>
      <c r="B62">
        <f>IF(H62="","",INDEX('Debtor Ledger'!$G$2:$G$3001,H62))</f>
        <v/>
      </c>
      <c r="C62" s="6">
        <f>IF(H62="","",INDEX('Debtor Ledger'!$D$2:$D$3001,H62))</f>
        <v/>
      </c>
      <c r="D62" s="6">
        <f>IF(H62="","",INDEX('Debtor Ledger'!$E$2:$E$3001,H62))</f>
        <v/>
      </c>
      <c r="E62" s="6">
        <f>IF(H62="","",INDEX('Debtor Ledger'!$K$2:$K$3001,H62))</f>
        <v/>
      </c>
      <c r="F62" s="6">
        <f>IF(H62="","",INDEX('Debtor Ledger'!$L$2:$L$3001,H62))</f>
        <v/>
      </c>
      <c r="G62" s="34">
        <f t="array" ref="G62">IF($B$3="","",IFERROR(SMALL(IF('Debtor Ledger'!$C$2:$C$3001=$B$3,'Debtor Ledger'!$F$2:$F$3001),55),""))</f>
        <v/>
      </c>
      <c r="H62" s="21">
        <f>IF(G62="","",MATCH(G62,'Debtor Ledger'!$F$2:$F$3001,0))</f>
        <v/>
      </c>
    </row>
    <row r="63">
      <c r="A63" s="5">
        <f>IF(H63="","",INDEX('Debtor Ledger'!$B$2:$B$3001,H63))</f>
        <v/>
      </c>
      <c r="B63">
        <f>IF(H63="","",INDEX('Debtor Ledger'!$G$2:$G$3001,H63))</f>
        <v/>
      </c>
      <c r="C63" s="6">
        <f>IF(H63="","",INDEX('Debtor Ledger'!$D$2:$D$3001,H63))</f>
        <v/>
      </c>
      <c r="D63" s="6">
        <f>IF(H63="","",INDEX('Debtor Ledger'!$E$2:$E$3001,H63))</f>
        <v/>
      </c>
      <c r="E63" s="6">
        <f>IF(H63="","",INDEX('Debtor Ledger'!$K$2:$K$3001,H63))</f>
        <v/>
      </c>
      <c r="F63" s="6">
        <f>IF(H63="","",INDEX('Debtor Ledger'!$L$2:$L$3001,H63))</f>
        <v/>
      </c>
      <c r="G63" s="34">
        <f t="array" ref="G63">IF($B$3="","",IFERROR(SMALL(IF('Debtor Ledger'!$C$2:$C$3001=$B$3,'Debtor Ledger'!$F$2:$F$3001),56),""))</f>
        <v/>
      </c>
      <c r="H63" s="21">
        <f>IF(G63="","",MATCH(G63,'Debtor Ledger'!$F$2:$F$3001,0))</f>
        <v/>
      </c>
    </row>
    <row r="64">
      <c r="A64" s="5">
        <f>IF(H64="","",INDEX('Debtor Ledger'!$B$2:$B$3001,H64))</f>
        <v/>
      </c>
      <c r="B64">
        <f>IF(H64="","",INDEX('Debtor Ledger'!$G$2:$G$3001,H64))</f>
        <v/>
      </c>
      <c r="C64" s="6">
        <f>IF(H64="","",INDEX('Debtor Ledger'!$D$2:$D$3001,H64))</f>
        <v/>
      </c>
      <c r="D64" s="6">
        <f>IF(H64="","",INDEX('Debtor Ledger'!$E$2:$E$3001,H64))</f>
        <v/>
      </c>
      <c r="E64" s="6">
        <f>IF(H64="","",INDEX('Debtor Ledger'!$K$2:$K$3001,H64))</f>
        <v/>
      </c>
      <c r="F64" s="6">
        <f>IF(H64="","",INDEX('Debtor Ledger'!$L$2:$L$3001,H64))</f>
        <v/>
      </c>
      <c r="G64" s="34">
        <f t="array" ref="G64">IF($B$3="","",IFERROR(SMALL(IF('Debtor Ledger'!$C$2:$C$3001=$B$3,'Debtor Ledger'!$F$2:$F$3001),57),""))</f>
        <v/>
      </c>
      <c r="H64" s="21">
        <f>IF(G64="","",MATCH(G64,'Debtor Ledger'!$F$2:$F$3001,0))</f>
        <v/>
      </c>
    </row>
    <row r="65">
      <c r="A65" s="5">
        <f>IF(H65="","",INDEX('Debtor Ledger'!$B$2:$B$3001,H65))</f>
        <v/>
      </c>
      <c r="B65">
        <f>IF(H65="","",INDEX('Debtor Ledger'!$G$2:$G$3001,H65))</f>
        <v/>
      </c>
      <c r="C65" s="6">
        <f>IF(H65="","",INDEX('Debtor Ledger'!$D$2:$D$3001,H65))</f>
        <v/>
      </c>
      <c r="D65" s="6">
        <f>IF(H65="","",INDEX('Debtor Ledger'!$E$2:$E$3001,H65))</f>
        <v/>
      </c>
      <c r="E65" s="6">
        <f>IF(H65="","",INDEX('Debtor Ledger'!$K$2:$K$3001,H65))</f>
        <v/>
      </c>
      <c r="F65" s="6">
        <f>IF(H65="","",INDEX('Debtor Ledger'!$L$2:$L$3001,H65))</f>
        <v/>
      </c>
      <c r="G65" s="34">
        <f t="array" ref="G65">IF($B$3="","",IFERROR(SMALL(IF('Debtor Ledger'!$C$2:$C$3001=$B$3,'Debtor Ledger'!$F$2:$F$3001),58),""))</f>
        <v/>
      </c>
      <c r="H65" s="21">
        <f>IF(G65="","",MATCH(G65,'Debtor Ledger'!$F$2:$F$3001,0))</f>
        <v/>
      </c>
    </row>
    <row r="66">
      <c r="A66" s="5">
        <f>IF(H66="","",INDEX('Debtor Ledger'!$B$2:$B$3001,H66))</f>
        <v/>
      </c>
      <c r="B66">
        <f>IF(H66="","",INDEX('Debtor Ledger'!$G$2:$G$3001,H66))</f>
        <v/>
      </c>
      <c r="C66" s="6">
        <f>IF(H66="","",INDEX('Debtor Ledger'!$D$2:$D$3001,H66))</f>
        <v/>
      </c>
      <c r="D66" s="6">
        <f>IF(H66="","",INDEX('Debtor Ledger'!$E$2:$E$3001,H66))</f>
        <v/>
      </c>
      <c r="E66" s="6">
        <f>IF(H66="","",INDEX('Debtor Ledger'!$K$2:$K$3001,H66))</f>
        <v/>
      </c>
      <c r="F66" s="6">
        <f>IF(H66="","",INDEX('Debtor Ledger'!$L$2:$L$3001,H66))</f>
        <v/>
      </c>
      <c r="G66" s="34">
        <f t="array" ref="G66">IF($B$3="","",IFERROR(SMALL(IF('Debtor Ledger'!$C$2:$C$3001=$B$3,'Debtor Ledger'!$F$2:$F$3001),59),""))</f>
        <v/>
      </c>
      <c r="H66" s="21">
        <f>IF(G66="","",MATCH(G66,'Debtor Ledger'!$F$2:$F$3001,0))</f>
        <v/>
      </c>
    </row>
    <row r="67">
      <c r="A67" s="5">
        <f>IF(H67="","",INDEX('Debtor Ledger'!$B$2:$B$3001,H67))</f>
        <v/>
      </c>
      <c r="B67">
        <f>IF(H67="","",INDEX('Debtor Ledger'!$G$2:$G$3001,H67))</f>
        <v/>
      </c>
      <c r="C67" s="6">
        <f>IF(H67="","",INDEX('Debtor Ledger'!$D$2:$D$3001,H67))</f>
        <v/>
      </c>
      <c r="D67" s="6">
        <f>IF(H67="","",INDEX('Debtor Ledger'!$E$2:$E$3001,H67))</f>
        <v/>
      </c>
      <c r="E67" s="6">
        <f>IF(H67="","",INDEX('Debtor Ledger'!$K$2:$K$3001,H67))</f>
        <v/>
      </c>
      <c r="F67" s="6">
        <f>IF(H67="","",INDEX('Debtor Ledger'!$L$2:$L$3001,H67))</f>
        <v/>
      </c>
      <c r="G67" s="34">
        <f t="array" ref="G67">IF($B$3="","",IFERROR(SMALL(IF('Debtor Ledger'!$C$2:$C$3001=$B$3,'Debtor Ledger'!$F$2:$F$3001),60),""))</f>
        <v/>
      </c>
      <c r="H67" s="21">
        <f>IF(G67="","",MATCH(G67,'Debtor Ledger'!$F$2:$F$3001,0))</f>
        <v/>
      </c>
    </row>
    <row r="68">
      <c r="A68" s="5">
        <f>IF(H68="","",INDEX('Debtor Ledger'!$B$2:$B$3001,H68))</f>
        <v/>
      </c>
      <c r="B68">
        <f>IF(H68="","",INDEX('Debtor Ledger'!$G$2:$G$3001,H68))</f>
        <v/>
      </c>
      <c r="C68" s="6">
        <f>IF(H68="","",INDEX('Debtor Ledger'!$D$2:$D$3001,H68))</f>
        <v/>
      </c>
      <c r="D68" s="6">
        <f>IF(H68="","",INDEX('Debtor Ledger'!$E$2:$E$3001,H68))</f>
        <v/>
      </c>
      <c r="E68" s="6">
        <f>IF(H68="","",INDEX('Debtor Ledger'!$K$2:$K$3001,H68))</f>
        <v/>
      </c>
      <c r="F68" s="6">
        <f>IF(H68="","",INDEX('Debtor Ledger'!$L$2:$L$3001,H68))</f>
        <v/>
      </c>
      <c r="G68" s="34">
        <f t="array" ref="G68">IF($B$3="","",IFERROR(SMALL(IF('Debtor Ledger'!$C$2:$C$3001=$B$3,'Debtor Ledger'!$F$2:$F$3001),61),""))</f>
        <v/>
      </c>
      <c r="H68" s="21">
        <f>IF(G68="","",MATCH(G68,'Debtor Ledger'!$F$2:$F$3001,0))</f>
        <v/>
      </c>
    </row>
    <row r="69">
      <c r="A69" s="5">
        <f>IF(H69="","",INDEX('Debtor Ledger'!$B$2:$B$3001,H69))</f>
        <v/>
      </c>
      <c r="B69">
        <f>IF(H69="","",INDEX('Debtor Ledger'!$G$2:$G$3001,H69))</f>
        <v/>
      </c>
      <c r="C69" s="6">
        <f>IF(H69="","",INDEX('Debtor Ledger'!$D$2:$D$3001,H69))</f>
        <v/>
      </c>
      <c r="D69" s="6">
        <f>IF(H69="","",INDEX('Debtor Ledger'!$E$2:$E$3001,H69))</f>
        <v/>
      </c>
      <c r="E69" s="6">
        <f>IF(H69="","",INDEX('Debtor Ledger'!$K$2:$K$3001,H69))</f>
        <v/>
      </c>
      <c r="F69" s="6">
        <f>IF(H69="","",INDEX('Debtor Ledger'!$L$2:$L$3001,H69))</f>
        <v/>
      </c>
      <c r="G69" s="34">
        <f t="array" ref="G69">IF($B$3="","",IFERROR(SMALL(IF('Debtor Ledger'!$C$2:$C$3001=$B$3,'Debtor Ledger'!$F$2:$F$3001),62),""))</f>
        <v/>
      </c>
      <c r="H69" s="21">
        <f>IF(G69="","",MATCH(G69,'Debtor Ledger'!$F$2:$F$3001,0))</f>
        <v/>
      </c>
    </row>
    <row r="70">
      <c r="A70" s="5">
        <f>IF(H70="","",INDEX('Debtor Ledger'!$B$2:$B$3001,H70))</f>
        <v/>
      </c>
      <c r="B70">
        <f>IF(H70="","",INDEX('Debtor Ledger'!$G$2:$G$3001,H70))</f>
        <v/>
      </c>
      <c r="C70" s="6">
        <f>IF(H70="","",INDEX('Debtor Ledger'!$D$2:$D$3001,H70))</f>
        <v/>
      </c>
      <c r="D70" s="6">
        <f>IF(H70="","",INDEX('Debtor Ledger'!$E$2:$E$3001,H70))</f>
        <v/>
      </c>
      <c r="E70" s="6">
        <f>IF(H70="","",INDEX('Debtor Ledger'!$K$2:$K$3001,H70))</f>
        <v/>
      </c>
      <c r="F70" s="6">
        <f>IF(H70="","",INDEX('Debtor Ledger'!$L$2:$L$3001,H70))</f>
        <v/>
      </c>
      <c r="G70" s="34">
        <f t="array" ref="G70">IF($B$3="","",IFERROR(SMALL(IF('Debtor Ledger'!$C$2:$C$3001=$B$3,'Debtor Ledger'!$F$2:$F$3001),63),""))</f>
        <v/>
      </c>
      <c r="H70" s="21">
        <f>IF(G70="","",MATCH(G70,'Debtor Ledger'!$F$2:$F$3001,0))</f>
        <v/>
      </c>
    </row>
    <row r="71">
      <c r="A71" s="5">
        <f>IF(H71="","",INDEX('Debtor Ledger'!$B$2:$B$3001,H71))</f>
        <v/>
      </c>
      <c r="B71">
        <f>IF(H71="","",INDEX('Debtor Ledger'!$G$2:$G$3001,H71))</f>
        <v/>
      </c>
      <c r="C71" s="6">
        <f>IF(H71="","",INDEX('Debtor Ledger'!$D$2:$D$3001,H71))</f>
        <v/>
      </c>
      <c r="D71" s="6">
        <f>IF(H71="","",INDEX('Debtor Ledger'!$E$2:$E$3001,H71))</f>
        <v/>
      </c>
      <c r="E71" s="6">
        <f>IF(H71="","",INDEX('Debtor Ledger'!$K$2:$K$3001,H71))</f>
        <v/>
      </c>
      <c r="F71" s="6">
        <f>IF(H71="","",INDEX('Debtor Ledger'!$L$2:$L$3001,H71))</f>
        <v/>
      </c>
      <c r="G71" s="34">
        <f t="array" ref="G71">IF($B$3="","",IFERROR(SMALL(IF('Debtor Ledger'!$C$2:$C$3001=$B$3,'Debtor Ledger'!$F$2:$F$3001),64),""))</f>
        <v/>
      </c>
      <c r="H71" s="21">
        <f>IF(G71="","",MATCH(G71,'Debtor Ledger'!$F$2:$F$3001,0))</f>
        <v/>
      </c>
    </row>
    <row r="72">
      <c r="A72" s="5">
        <f>IF(H72="","",INDEX('Debtor Ledger'!$B$2:$B$3001,H72))</f>
        <v/>
      </c>
      <c r="B72">
        <f>IF(H72="","",INDEX('Debtor Ledger'!$G$2:$G$3001,H72))</f>
        <v/>
      </c>
      <c r="C72" s="6">
        <f>IF(H72="","",INDEX('Debtor Ledger'!$D$2:$D$3001,H72))</f>
        <v/>
      </c>
      <c r="D72" s="6">
        <f>IF(H72="","",INDEX('Debtor Ledger'!$E$2:$E$3001,H72))</f>
        <v/>
      </c>
      <c r="E72" s="6">
        <f>IF(H72="","",INDEX('Debtor Ledger'!$K$2:$K$3001,H72))</f>
        <v/>
      </c>
      <c r="F72" s="6">
        <f>IF(H72="","",INDEX('Debtor Ledger'!$L$2:$L$3001,H72))</f>
        <v/>
      </c>
      <c r="G72" s="34">
        <f t="array" ref="G72">IF($B$3="","",IFERROR(SMALL(IF('Debtor Ledger'!$C$2:$C$3001=$B$3,'Debtor Ledger'!$F$2:$F$3001),65),""))</f>
        <v/>
      </c>
      <c r="H72" s="21">
        <f>IF(G72="","",MATCH(G72,'Debtor Ledger'!$F$2:$F$3001,0))</f>
        <v/>
      </c>
    </row>
    <row r="73">
      <c r="A73" s="5">
        <f>IF(H73="","",INDEX('Debtor Ledger'!$B$2:$B$3001,H73))</f>
        <v/>
      </c>
      <c r="B73">
        <f>IF(H73="","",INDEX('Debtor Ledger'!$G$2:$G$3001,H73))</f>
        <v/>
      </c>
      <c r="C73" s="6">
        <f>IF(H73="","",INDEX('Debtor Ledger'!$D$2:$D$3001,H73))</f>
        <v/>
      </c>
      <c r="D73" s="6">
        <f>IF(H73="","",INDEX('Debtor Ledger'!$E$2:$E$3001,H73))</f>
        <v/>
      </c>
      <c r="E73" s="6">
        <f>IF(H73="","",INDEX('Debtor Ledger'!$K$2:$K$3001,H73))</f>
        <v/>
      </c>
      <c r="F73" s="6">
        <f>IF(H73="","",INDEX('Debtor Ledger'!$L$2:$L$3001,H73))</f>
        <v/>
      </c>
      <c r="G73" s="34">
        <f t="array" ref="G73">IF($B$3="","",IFERROR(SMALL(IF('Debtor Ledger'!$C$2:$C$3001=$B$3,'Debtor Ledger'!$F$2:$F$3001),66),""))</f>
        <v/>
      </c>
      <c r="H73" s="21">
        <f>IF(G73="","",MATCH(G73,'Debtor Ledger'!$F$2:$F$3001,0))</f>
        <v/>
      </c>
    </row>
    <row r="74">
      <c r="A74" s="5">
        <f>IF(H74="","",INDEX('Debtor Ledger'!$B$2:$B$3001,H74))</f>
        <v/>
      </c>
      <c r="B74">
        <f>IF(H74="","",INDEX('Debtor Ledger'!$G$2:$G$3001,H74))</f>
        <v/>
      </c>
      <c r="C74" s="6">
        <f>IF(H74="","",INDEX('Debtor Ledger'!$D$2:$D$3001,H74))</f>
        <v/>
      </c>
      <c r="D74" s="6">
        <f>IF(H74="","",INDEX('Debtor Ledger'!$E$2:$E$3001,H74))</f>
        <v/>
      </c>
      <c r="E74" s="6">
        <f>IF(H74="","",INDEX('Debtor Ledger'!$K$2:$K$3001,H74))</f>
        <v/>
      </c>
      <c r="F74" s="6">
        <f>IF(H74="","",INDEX('Debtor Ledger'!$L$2:$L$3001,H74))</f>
        <v/>
      </c>
      <c r="G74" s="34">
        <f t="array" ref="G74">IF($B$3="","",IFERROR(SMALL(IF('Debtor Ledger'!$C$2:$C$3001=$B$3,'Debtor Ledger'!$F$2:$F$3001),67),""))</f>
        <v/>
      </c>
      <c r="H74" s="21">
        <f>IF(G74="","",MATCH(G74,'Debtor Ledger'!$F$2:$F$3001,0))</f>
        <v/>
      </c>
    </row>
    <row r="75">
      <c r="A75" s="5">
        <f>IF(H75="","",INDEX('Debtor Ledger'!$B$2:$B$3001,H75))</f>
        <v/>
      </c>
      <c r="B75">
        <f>IF(H75="","",INDEX('Debtor Ledger'!$G$2:$G$3001,H75))</f>
        <v/>
      </c>
      <c r="C75" s="6">
        <f>IF(H75="","",INDEX('Debtor Ledger'!$D$2:$D$3001,H75))</f>
        <v/>
      </c>
      <c r="D75" s="6">
        <f>IF(H75="","",INDEX('Debtor Ledger'!$E$2:$E$3001,H75))</f>
        <v/>
      </c>
      <c r="E75" s="6">
        <f>IF(H75="","",INDEX('Debtor Ledger'!$K$2:$K$3001,H75))</f>
        <v/>
      </c>
      <c r="F75" s="6">
        <f>IF(H75="","",INDEX('Debtor Ledger'!$L$2:$L$3001,H75))</f>
        <v/>
      </c>
      <c r="G75" s="34">
        <f t="array" ref="G75">IF($B$3="","",IFERROR(SMALL(IF('Debtor Ledger'!$C$2:$C$3001=$B$3,'Debtor Ledger'!$F$2:$F$3001),68),""))</f>
        <v/>
      </c>
      <c r="H75" s="21">
        <f>IF(G75="","",MATCH(G75,'Debtor Ledger'!$F$2:$F$3001,0))</f>
        <v/>
      </c>
    </row>
    <row r="76">
      <c r="A76" s="5">
        <f>IF(H76="","",INDEX('Debtor Ledger'!$B$2:$B$3001,H76))</f>
        <v/>
      </c>
      <c r="B76">
        <f>IF(H76="","",INDEX('Debtor Ledger'!$G$2:$G$3001,H76))</f>
        <v/>
      </c>
      <c r="C76" s="6">
        <f>IF(H76="","",INDEX('Debtor Ledger'!$D$2:$D$3001,H76))</f>
        <v/>
      </c>
      <c r="D76" s="6">
        <f>IF(H76="","",INDEX('Debtor Ledger'!$E$2:$E$3001,H76))</f>
        <v/>
      </c>
      <c r="E76" s="6">
        <f>IF(H76="","",INDEX('Debtor Ledger'!$K$2:$K$3001,H76))</f>
        <v/>
      </c>
      <c r="F76" s="6">
        <f>IF(H76="","",INDEX('Debtor Ledger'!$L$2:$L$3001,H76))</f>
        <v/>
      </c>
      <c r="G76" s="34">
        <f t="array" ref="G76">IF($B$3="","",IFERROR(SMALL(IF('Debtor Ledger'!$C$2:$C$3001=$B$3,'Debtor Ledger'!$F$2:$F$3001),69),""))</f>
        <v/>
      </c>
      <c r="H76" s="21">
        <f>IF(G76="","",MATCH(G76,'Debtor Ledger'!$F$2:$F$3001,0))</f>
        <v/>
      </c>
    </row>
    <row r="77">
      <c r="A77" s="5">
        <f>IF(H77="","",INDEX('Debtor Ledger'!$B$2:$B$3001,H77))</f>
        <v/>
      </c>
      <c r="B77">
        <f>IF(H77="","",INDEX('Debtor Ledger'!$G$2:$G$3001,H77))</f>
        <v/>
      </c>
      <c r="C77" s="6">
        <f>IF(H77="","",INDEX('Debtor Ledger'!$D$2:$D$3001,H77))</f>
        <v/>
      </c>
      <c r="D77" s="6">
        <f>IF(H77="","",INDEX('Debtor Ledger'!$E$2:$E$3001,H77))</f>
        <v/>
      </c>
      <c r="E77" s="6">
        <f>IF(H77="","",INDEX('Debtor Ledger'!$K$2:$K$3001,H77))</f>
        <v/>
      </c>
      <c r="F77" s="6">
        <f>IF(H77="","",INDEX('Debtor Ledger'!$L$2:$L$3001,H77))</f>
        <v/>
      </c>
      <c r="G77" s="34">
        <f t="array" ref="G77">IF($B$3="","",IFERROR(SMALL(IF('Debtor Ledger'!$C$2:$C$3001=$B$3,'Debtor Ledger'!$F$2:$F$3001),70),""))</f>
        <v/>
      </c>
      <c r="H77" s="21">
        <f>IF(G77="","",MATCH(G77,'Debtor Ledger'!$F$2:$F$3001,0))</f>
        <v/>
      </c>
    </row>
    <row r="78">
      <c r="A78" s="5">
        <f>IF(H78="","",INDEX('Debtor Ledger'!$B$2:$B$3001,H78))</f>
        <v/>
      </c>
      <c r="B78">
        <f>IF(H78="","",INDEX('Debtor Ledger'!$G$2:$G$3001,H78))</f>
        <v/>
      </c>
      <c r="C78" s="6">
        <f>IF(H78="","",INDEX('Debtor Ledger'!$D$2:$D$3001,H78))</f>
        <v/>
      </c>
      <c r="D78" s="6">
        <f>IF(H78="","",INDEX('Debtor Ledger'!$E$2:$E$3001,H78))</f>
        <v/>
      </c>
      <c r="E78" s="6">
        <f>IF(H78="","",INDEX('Debtor Ledger'!$K$2:$K$3001,H78))</f>
        <v/>
      </c>
      <c r="F78" s="6">
        <f>IF(H78="","",INDEX('Debtor Ledger'!$L$2:$L$3001,H78))</f>
        <v/>
      </c>
      <c r="G78" s="34">
        <f t="array" ref="G78">IF($B$3="","",IFERROR(SMALL(IF('Debtor Ledger'!$C$2:$C$3001=$B$3,'Debtor Ledger'!$F$2:$F$3001),71),""))</f>
        <v/>
      </c>
      <c r="H78" s="21">
        <f>IF(G78="","",MATCH(G78,'Debtor Ledger'!$F$2:$F$3001,0))</f>
        <v/>
      </c>
    </row>
    <row r="79">
      <c r="A79" s="5">
        <f>IF(H79="","",INDEX('Debtor Ledger'!$B$2:$B$3001,H79))</f>
        <v/>
      </c>
      <c r="B79">
        <f>IF(H79="","",INDEX('Debtor Ledger'!$G$2:$G$3001,H79))</f>
        <v/>
      </c>
      <c r="C79" s="6">
        <f>IF(H79="","",INDEX('Debtor Ledger'!$D$2:$D$3001,H79))</f>
        <v/>
      </c>
      <c r="D79" s="6">
        <f>IF(H79="","",INDEX('Debtor Ledger'!$E$2:$E$3001,H79))</f>
        <v/>
      </c>
      <c r="E79" s="6">
        <f>IF(H79="","",INDEX('Debtor Ledger'!$K$2:$K$3001,H79))</f>
        <v/>
      </c>
      <c r="F79" s="6">
        <f>IF(H79="","",INDEX('Debtor Ledger'!$L$2:$L$3001,H79))</f>
        <v/>
      </c>
      <c r="G79" s="34">
        <f t="array" ref="G79">IF($B$3="","",IFERROR(SMALL(IF('Debtor Ledger'!$C$2:$C$3001=$B$3,'Debtor Ledger'!$F$2:$F$3001),72),""))</f>
        <v/>
      </c>
      <c r="H79" s="21">
        <f>IF(G79="","",MATCH(G79,'Debtor Ledger'!$F$2:$F$3001,0))</f>
        <v/>
      </c>
    </row>
    <row r="80">
      <c r="A80" s="5">
        <f>IF(H80="","",INDEX('Debtor Ledger'!$B$2:$B$3001,H80))</f>
        <v/>
      </c>
      <c r="B80">
        <f>IF(H80="","",INDEX('Debtor Ledger'!$G$2:$G$3001,H80))</f>
        <v/>
      </c>
      <c r="C80" s="6">
        <f>IF(H80="","",INDEX('Debtor Ledger'!$D$2:$D$3001,H80))</f>
        <v/>
      </c>
      <c r="D80" s="6">
        <f>IF(H80="","",INDEX('Debtor Ledger'!$E$2:$E$3001,H80))</f>
        <v/>
      </c>
      <c r="E80" s="6">
        <f>IF(H80="","",INDEX('Debtor Ledger'!$K$2:$K$3001,H80))</f>
        <v/>
      </c>
      <c r="F80" s="6">
        <f>IF(H80="","",INDEX('Debtor Ledger'!$L$2:$L$3001,H80))</f>
        <v/>
      </c>
      <c r="G80" s="34">
        <f t="array" ref="G80">IF($B$3="","",IFERROR(SMALL(IF('Debtor Ledger'!$C$2:$C$3001=$B$3,'Debtor Ledger'!$F$2:$F$3001),73),""))</f>
        <v/>
      </c>
      <c r="H80" s="21">
        <f>IF(G80="","",MATCH(G80,'Debtor Ledger'!$F$2:$F$3001,0))</f>
        <v/>
      </c>
    </row>
    <row r="81">
      <c r="A81" s="5">
        <f>IF(H81="","",INDEX('Debtor Ledger'!$B$2:$B$3001,H81))</f>
        <v/>
      </c>
      <c r="B81">
        <f>IF(H81="","",INDEX('Debtor Ledger'!$G$2:$G$3001,H81))</f>
        <v/>
      </c>
      <c r="C81" s="6">
        <f>IF(H81="","",INDEX('Debtor Ledger'!$D$2:$D$3001,H81))</f>
        <v/>
      </c>
      <c r="D81" s="6">
        <f>IF(H81="","",INDEX('Debtor Ledger'!$E$2:$E$3001,H81))</f>
        <v/>
      </c>
      <c r="E81" s="6">
        <f>IF(H81="","",INDEX('Debtor Ledger'!$K$2:$K$3001,H81))</f>
        <v/>
      </c>
      <c r="F81" s="6">
        <f>IF(H81="","",INDEX('Debtor Ledger'!$L$2:$L$3001,H81))</f>
        <v/>
      </c>
      <c r="G81" s="34">
        <f t="array" ref="G81">IF($B$3="","",IFERROR(SMALL(IF('Debtor Ledger'!$C$2:$C$3001=$B$3,'Debtor Ledger'!$F$2:$F$3001),74),""))</f>
        <v/>
      </c>
      <c r="H81" s="21">
        <f>IF(G81="","",MATCH(G81,'Debtor Ledger'!$F$2:$F$3001,0))</f>
        <v/>
      </c>
    </row>
    <row r="82">
      <c r="A82" s="5">
        <f>IF(H82="","",INDEX('Debtor Ledger'!$B$2:$B$3001,H82))</f>
        <v/>
      </c>
      <c r="B82">
        <f>IF(H82="","",INDEX('Debtor Ledger'!$G$2:$G$3001,H82))</f>
        <v/>
      </c>
      <c r="C82" s="6">
        <f>IF(H82="","",INDEX('Debtor Ledger'!$D$2:$D$3001,H82))</f>
        <v/>
      </c>
      <c r="D82" s="6">
        <f>IF(H82="","",INDEX('Debtor Ledger'!$E$2:$E$3001,H82))</f>
        <v/>
      </c>
      <c r="E82" s="6">
        <f>IF(H82="","",INDEX('Debtor Ledger'!$K$2:$K$3001,H82))</f>
        <v/>
      </c>
      <c r="F82" s="6">
        <f>IF(H82="","",INDEX('Debtor Ledger'!$L$2:$L$3001,H82))</f>
        <v/>
      </c>
      <c r="G82" s="34">
        <f t="array" ref="G82">IF($B$3="","",IFERROR(SMALL(IF('Debtor Ledger'!$C$2:$C$3001=$B$3,'Debtor Ledger'!$F$2:$F$3001),75),""))</f>
        <v/>
      </c>
      <c r="H82" s="21">
        <f>IF(G82="","",MATCH(G82,'Debtor Ledger'!$F$2:$F$3001,0))</f>
        <v/>
      </c>
    </row>
    <row r="83">
      <c r="A83" s="5">
        <f>IF(H83="","",INDEX('Debtor Ledger'!$B$2:$B$3001,H83))</f>
        <v/>
      </c>
      <c r="B83">
        <f>IF(H83="","",INDEX('Debtor Ledger'!$G$2:$G$3001,H83))</f>
        <v/>
      </c>
      <c r="C83" s="6">
        <f>IF(H83="","",INDEX('Debtor Ledger'!$D$2:$D$3001,H83))</f>
        <v/>
      </c>
      <c r="D83" s="6">
        <f>IF(H83="","",INDEX('Debtor Ledger'!$E$2:$E$3001,H83))</f>
        <v/>
      </c>
      <c r="E83" s="6">
        <f>IF(H83="","",INDEX('Debtor Ledger'!$K$2:$K$3001,H83))</f>
        <v/>
      </c>
      <c r="F83" s="6">
        <f>IF(H83="","",INDEX('Debtor Ledger'!$L$2:$L$3001,H83))</f>
        <v/>
      </c>
      <c r="G83" s="34">
        <f t="array" ref="G83">IF($B$3="","",IFERROR(SMALL(IF('Debtor Ledger'!$C$2:$C$3001=$B$3,'Debtor Ledger'!$F$2:$F$3001),76),""))</f>
        <v/>
      </c>
      <c r="H83" s="21">
        <f>IF(G83="","",MATCH(G83,'Debtor Ledger'!$F$2:$F$3001,0))</f>
        <v/>
      </c>
    </row>
    <row r="84">
      <c r="A84" s="5">
        <f>IF(H84="","",INDEX('Debtor Ledger'!$B$2:$B$3001,H84))</f>
        <v/>
      </c>
      <c r="B84">
        <f>IF(H84="","",INDEX('Debtor Ledger'!$G$2:$G$3001,H84))</f>
        <v/>
      </c>
      <c r="C84" s="6">
        <f>IF(H84="","",INDEX('Debtor Ledger'!$D$2:$D$3001,H84))</f>
        <v/>
      </c>
      <c r="D84" s="6">
        <f>IF(H84="","",INDEX('Debtor Ledger'!$E$2:$E$3001,H84))</f>
        <v/>
      </c>
      <c r="E84" s="6">
        <f>IF(H84="","",INDEX('Debtor Ledger'!$K$2:$K$3001,H84))</f>
        <v/>
      </c>
      <c r="F84" s="6">
        <f>IF(H84="","",INDEX('Debtor Ledger'!$L$2:$L$3001,H84))</f>
        <v/>
      </c>
      <c r="G84" s="34">
        <f t="array" ref="G84">IF($B$3="","",IFERROR(SMALL(IF('Debtor Ledger'!$C$2:$C$3001=$B$3,'Debtor Ledger'!$F$2:$F$3001),77),""))</f>
        <v/>
      </c>
      <c r="H84" s="21">
        <f>IF(G84="","",MATCH(G84,'Debtor Ledger'!$F$2:$F$3001,0))</f>
        <v/>
      </c>
    </row>
    <row r="85">
      <c r="A85" s="5">
        <f>IF(H85="","",INDEX('Debtor Ledger'!$B$2:$B$3001,H85))</f>
        <v/>
      </c>
      <c r="B85">
        <f>IF(H85="","",INDEX('Debtor Ledger'!$G$2:$G$3001,H85))</f>
        <v/>
      </c>
      <c r="C85" s="6">
        <f>IF(H85="","",INDEX('Debtor Ledger'!$D$2:$D$3001,H85))</f>
        <v/>
      </c>
      <c r="D85" s="6">
        <f>IF(H85="","",INDEX('Debtor Ledger'!$E$2:$E$3001,H85))</f>
        <v/>
      </c>
      <c r="E85" s="6">
        <f>IF(H85="","",INDEX('Debtor Ledger'!$K$2:$K$3001,H85))</f>
        <v/>
      </c>
      <c r="F85" s="6">
        <f>IF(H85="","",INDEX('Debtor Ledger'!$L$2:$L$3001,H85))</f>
        <v/>
      </c>
      <c r="G85" s="34">
        <f t="array" ref="G85">IF($B$3="","",IFERROR(SMALL(IF('Debtor Ledger'!$C$2:$C$3001=$B$3,'Debtor Ledger'!$F$2:$F$3001),78),""))</f>
        <v/>
      </c>
      <c r="H85" s="21">
        <f>IF(G85="","",MATCH(G85,'Debtor Ledger'!$F$2:$F$3001,0))</f>
        <v/>
      </c>
    </row>
    <row r="86">
      <c r="A86" s="5">
        <f>IF(H86="","",INDEX('Debtor Ledger'!$B$2:$B$3001,H86))</f>
        <v/>
      </c>
      <c r="B86">
        <f>IF(H86="","",INDEX('Debtor Ledger'!$G$2:$G$3001,H86))</f>
        <v/>
      </c>
      <c r="C86" s="6">
        <f>IF(H86="","",INDEX('Debtor Ledger'!$D$2:$D$3001,H86))</f>
        <v/>
      </c>
      <c r="D86" s="6">
        <f>IF(H86="","",INDEX('Debtor Ledger'!$E$2:$E$3001,H86))</f>
        <v/>
      </c>
      <c r="E86" s="6">
        <f>IF(H86="","",INDEX('Debtor Ledger'!$K$2:$K$3001,H86))</f>
        <v/>
      </c>
      <c r="F86" s="6">
        <f>IF(H86="","",INDEX('Debtor Ledger'!$L$2:$L$3001,H86))</f>
        <v/>
      </c>
      <c r="G86" s="34">
        <f t="array" ref="G86">IF($B$3="","",IFERROR(SMALL(IF('Debtor Ledger'!$C$2:$C$3001=$B$3,'Debtor Ledger'!$F$2:$F$3001),79),""))</f>
        <v/>
      </c>
      <c r="H86" s="21">
        <f>IF(G86="","",MATCH(G86,'Debtor Ledger'!$F$2:$F$3001,0))</f>
        <v/>
      </c>
    </row>
    <row r="87">
      <c r="A87" s="5">
        <f>IF(H87="","",INDEX('Debtor Ledger'!$B$2:$B$3001,H87))</f>
        <v/>
      </c>
      <c r="B87">
        <f>IF(H87="","",INDEX('Debtor Ledger'!$G$2:$G$3001,H87))</f>
        <v/>
      </c>
      <c r="C87" s="6">
        <f>IF(H87="","",INDEX('Debtor Ledger'!$D$2:$D$3001,H87))</f>
        <v/>
      </c>
      <c r="D87" s="6">
        <f>IF(H87="","",INDEX('Debtor Ledger'!$E$2:$E$3001,H87))</f>
        <v/>
      </c>
      <c r="E87" s="6">
        <f>IF(H87="","",INDEX('Debtor Ledger'!$K$2:$K$3001,H87))</f>
        <v/>
      </c>
      <c r="F87" s="6">
        <f>IF(H87="","",INDEX('Debtor Ledger'!$L$2:$L$3001,H87))</f>
        <v/>
      </c>
      <c r="G87" s="34">
        <f t="array" ref="G87">IF($B$3="","",IFERROR(SMALL(IF('Debtor Ledger'!$C$2:$C$3001=$B$3,'Debtor Ledger'!$F$2:$F$3001),80),""))</f>
        <v/>
      </c>
      <c r="H87" s="21">
        <f>IF(G87="","",MATCH(G87,'Debtor Ledger'!$F$2:$F$3001,0))</f>
        <v/>
      </c>
    </row>
    <row r="88">
      <c r="A88" s="5">
        <f>IF(H88="","",INDEX('Debtor Ledger'!$B$2:$B$3001,H88))</f>
        <v/>
      </c>
      <c r="B88">
        <f>IF(H88="","",INDEX('Debtor Ledger'!$G$2:$G$3001,H88))</f>
        <v/>
      </c>
      <c r="C88" s="6">
        <f>IF(H88="","",INDEX('Debtor Ledger'!$D$2:$D$3001,H88))</f>
        <v/>
      </c>
      <c r="D88" s="6">
        <f>IF(H88="","",INDEX('Debtor Ledger'!$E$2:$E$3001,H88))</f>
        <v/>
      </c>
      <c r="E88" s="6">
        <f>IF(H88="","",INDEX('Debtor Ledger'!$K$2:$K$3001,H88))</f>
        <v/>
      </c>
      <c r="F88" s="6">
        <f>IF(H88="","",INDEX('Debtor Ledger'!$L$2:$L$3001,H88))</f>
        <v/>
      </c>
      <c r="G88" s="34">
        <f t="array" ref="G88">IF($B$3="","",IFERROR(SMALL(IF('Debtor Ledger'!$C$2:$C$3001=$B$3,'Debtor Ledger'!$F$2:$F$3001),81),""))</f>
        <v/>
      </c>
      <c r="H88" s="21">
        <f>IF(G88="","",MATCH(G88,'Debtor Ledger'!$F$2:$F$3001,0))</f>
        <v/>
      </c>
    </row>
    <row r="89">
      <c r="A89" s="5">
        <f>IF(H89="","",INDEX('Debtor Ledger'!$B$2:$B$3001,H89))</f>
        <v/>
      </c>
      <c r="B89">
        <f>IF(H89="","",INDEX('Debtor Ledger'!$G$2:$G$3001,H89))</f>
        <v/>
      </c>
      <c r="C89" s="6">
        <f>IF(H89="","",INDEX('Debtor Ledger'!$D$2:$D$3001,H89))</f>
        <v/>
      </c>
      <c r="D89" s="6">
        <f>IF(H89="","",INDEX('Debtor Ledger'!$E$2:$E$3001,H89))</f>
        <v/>
      </c>
      <c r="E89" s="6">
        <f>IF(H89="","",INDEX('Debtor Ledger'!$K$2:$K$3001,H89))</f>
        <v/>
      </c>
      <c r="F89" s="6">
        <f>IF(H89="","",INDEX('Debtor Ledger'!$L$2:$L$3001,H89))</f>
        <v/>
      </c>
      <c r="G89" s="34">
        <f t="array" ref="G89">IF($B$3="","",IFERROR(SMALL(IF('Debtor Ledger'!$C$2:$C$3001=$B$3,'Debtor Ledger'!$F$2:$F$3001),82),""))</f>
        <v/>
      </c>
      <c r="H89" s="21">
        <f>IF(G89="","",MATCH(G89,'Debtor Ledger'!$F$2:$F$3001,0))</f>
        <v/>
      </c>
    </row>
    <row r="90">
      <c r="A90" s="5">
        <f>IF(H90="","",INDEX('Debtor Ledger'!$B$2:$B$3001,H90))</f>
        <v/>
      </c>
      <c r="B90">
        <f>IF(H90="","",INDEX('Debtor Ledger'!$G$2:$G$3001,H90))</f>
        <v/>
      </c>
      <c r="C90" s="6">
        <f>IF(H90="","",INDEX('Debtor Ledger'!$D$2:$D$3001,H90))</f>
        <v/>
      </c>
      <c r="D90" s="6">
        <f>IF(H90="","",INDEX('Debtor Ledger'!$E$2:$E$3001,H90))</f>
        <v/>
      </c>
      <c r="E90" s="6">
        <f>IF(H90="","",INDEX('Debtor Ledger'!$K$2:$K$3001,H90))</f>
        <v/>
      </c>
      <c r="F90" s="6">
        <f>IF(H90="","",INDEX('Debtor Ledger'!$L$2:$L$3001,H90))</f>
        <v/>
      </c>
      <c r="G90" s="34">
        <f t="array" ref="G90">IF($B$3="","",IFERROR(SMALL(IF('Debtor Ledger'!$C$2:$C$3001=$B$3,'Debtor Ledger'!$F$2:$F$3001),83),""))</f>
        <v/>
      </c>
      <c r="H90" s="21">
        <f>IF(G90="","",MATCH(G90,'Debtor Ledger'!$F$2:$F$3001,0))</f>
        <v/>
      </c>
    </row>
    <row r="91">
      <c r="A91" s="5">
        <f>IF(H91="","",INDEX('Debtor Ledger'!$B$2:$B$3001,H91))</f>
        <v/>
      </c>
      <c r="B91">
        <f>IF(H91="","",INDEX('Debtor Ledger'!$G$2:$G$3001,H91))</f>
        <v/>
      </c>
      <c r="C91" s="6">
        <f>IF(H91="","",INDEX('Debtor Ledger'!$D$2:$D$3001,H91))</f>
        <v/>
      </c>
      <c r="D91" s="6">
        <f>IF(H91="","",INDEX('Debtor Ledger'!$E$2:$E$3001,H91))</f>
        <v/>
      </c>
      <c r="E91" s="6">
        <f>IF(H91="","",INDEX('Debtor Ledger'!$K$2:$K$3001,H91))</f>
        <v/>
      </c>
      <c r="F91" s="6">
        <f>IF(H91="","",INDEX('Debtor Ledger'!$L$2:$L$3001,H91))</f>
        <v/>
      </c>
      <c r="G91" s="34">
        <f t="array" ref="G91">IF($B$3="","",IFERROR(SMALL(IF('Debtor Ledger'!$C$2:$C$3001=$B$3,'Debtor Ledger'!$F$2:$F$3001),84),""))</f>
        <v/>
      </c>
      <c r="H91" s="21">
        <f>IF(G91="","",MATCH(G91,'Debtor Ledger'!$F$2:$F$3001,0))</f>
        <v/>
      </c>
    </row>
    <row r="92">
      <c r="A92" s="5">
        <f>IF(H92="","",INDEX('Debtor Ledger'!$B$2:$B$3001,H92))</f>
        <v/>
      </c>
      <c r="B92">
        <f>IF(H92="","",INDEX('Debtor Ledger'!$G$2:$G$3001,H92))</f>
        <v/>
      </c>
      <c r="C92" s="6">
        <f>IF(H92="","",INDEX('Debtor Ledger'!$D$2:$D$3001,H92))</f>
        <v/>
      </c>
      <c r="D92" s="6">
        <f>IF(H92="","",INDEX('Debtor Ledger'!$E$2:$E$3001,H92))</f>
        <v/>
      </c>
      <c r="E92" s="6">
        <f>IF(H92="","",INDEX('Debtor Ledger'!$K$2:$K$3001,H92))</f>
        <v/>
      </c>
      <c r="F92" s="6">
        <f>IF(H92="","",INDEX('Debtor Ledger'!$L$2:$L$3001,H92))</f>
        <v/>
      </c>
      <c r="G92" s="34">
        <f t="array" ref="G92">IF($B$3="","",IFERROR(SMALL(IF('Debtor Ledger'!$C$2:$C$3001=$B$3,'Debtor Ledger'!$F$2:$F$3001),85),""))</f>
        <v/>
      </c>
      <c r="H92" s="21">
        <f>IF(G92="","",MATCH(G92,'Debtor Ledger'!$F$2:$F$3001,0))</f>
        <v/>
      </c>
    </row>
    <row r="93">
      <c r="A93" s="5">
        <f>IF(H93="","",INDEX('Debtor Ledger'!$B$2:$B$3001,H93))</f>
        <v/>
      </c>
      <c r="B93">
        <f>IF(H93="","",INDEX('Debtor Ledger'!$G$2:$G$3001,H93))</f>
        <v/>
      </c>
      <c r="C93" s="6">
        <f>IF(H93="","",INDEX('Debtor Ledger'!$D$2:$D$3001,H93))</f>
        <v/>
      </c>
      <c r="D93" s="6">
        <f>IF(H93="","",INDEX('Debtor Ledger'!$E$2:$E$3001,H93))</f>
        <v/>
      </c>
      <c r="E93" s="6">
        <f>IF(H93="","",INDEX('Debtor Ledger'!$K$2:$K$3001,H93))</f>
        <v/>
      </c>
      <c r="F93" s="6">
        <f>IF(H93="","",INDEX('Debtor Ledger'!$L$2:$L$3001,H93))</f>
        <v/>
      </c>
      <c r="G93" s="34">
        <f t="array" ref="G93">IF($B$3="","",IFERROR(SMALL(IF('Debtor Ledger'!$C$2:$C$3001=$B$3,'Debtor Ledger'!$F$2:$F$3001),86),""))</f>
        <v/>
      </c>
      <c r="H93" s="21">
        <f>IF(G93="","",MATCH(G93,'Debtor Ledger'!$F$2:$F$3001,0))</f>
        <v/>
      </c>
    </row>
    <row r="94">
      <c r="A94" s="5">
        <f>IF(H94="","",INDEX('Debtor Ledger'!$B$2:$B$3001,H94))</f>
        <v/>
      </c>
      <c r="B94">
        <f>IF(H94="","",INDEX('Debtor Ledger'!$G$2:$G$3001,H94))</f>
        <v/>
      </c>
      <c r="C94" s="6">
        <f>IF(H94="","",INDEX('Debtor Ledger'!$D$2:$D$3001,H94))</f>
        <v/>
      </c>
      <c r="D94" s="6">
        <f>IF(H94="","",INDEX('Debtor Ledger'!$E$2:$E$3001,H94))</f>
        <v/>
      </c>
      <c r="E94" s="6">
        <f>IF(H94="","",INDEX('Debtor Ledger'!$K$2:$K$3001,H94))</f>
        <v/>
      </c>
      <c r="F94" s="6">
        <f>IF(H94="","",INDEX('Debtor Ledger'!$L$2:$L$3001,H94))</f>
        <v/>
      </c>
      <c r="G94" s="34">
        <f t="array" ref="G94">IF($B$3="","",IFERROR(SMALL(IF('Debtor Ledger'!$C$2:$C$3001=$B$3,'Debtor Ledger'!$F$2:$F$3001),87),""))</f>
        <v/>
      </c>
      <c r="H94" s="21">
        <f>IF(G94="","",MATCH(G94,'Debtor Ledger'!$F$2:$F$3001,0))</f>
        <v/>
      </c>
    </row>
    <row r="95">
      <c r="A95" s="5">
        <f>IF(H95="","",INDEX('Debtor Ledger'!$B$2:$B$3001,H95))</f>
        <v/>
      </c>
      <c r="B95">
        <f>IF(H95="","",INDEX('Debtor Ledger'!$G$2:$G$3001,H95))</f>
        <v/>
      </c>
      <c r="C95" s="6">
        <f>IF(H95="","",INDEX('Debtor Ledger'!$D$2:$D$3001,H95))</f>
        <v/>
      </c>
      <c r="D95" s="6">
        <f>IF(H95="","",INDEX('Debtor Ledger'!$E$2:$E$3001,H95))</f>
        <v/>
      </c>
      <c r="E95" s="6">
        <f>IF(H95="","",INDEX('Debtor Ledger'!$K$2:$K$3001,H95))</f>
        <v/>
      </c>
      <c r="F95" s="6">
        <f>IF(H95="","",INDEX('Debtor Ledger'!$L$2:$L$3001,H95))</f>
        <v/>
      </c>
      <c r="G95" s="34">
        <f t="array" ref="G95">IF($B$3="","",IFERROR(SMALL(IF('Debtor Ledger'!$C$2:$C$3001=$B$3,'Debtor Ledger'!$F$2:$F$3001),88),""))</f>
        <v/>
      </c>
      <c r="H95" s="21">
        <f>IF(G95="","",MATCH(G95,'Debtor Ledger'!$F$2:$F$3001,0))</f>
        <v/>
      </c>
    </row>
    <row r="96">
      <c r="A96" s="5">
        <f>IF(H96="","",INDEX('Debtor Ledger'!$B$2:$B$3001,H96))</f>
        <v/>
      </c>
      <c r="B96">
        <f>IF(H96="","",INDEX('Debtor Ledger'!$G$2:$G$3001,H96))</f>
        <v/>
      </c>
      <c r="C96" s="6">
        <f>IF(H96="","",INDEX('Debtor Ledger'!$D$2:$D$3001,H96))</f>
        <v/>
      </c>
      <c r="D96" s="6">
        <f>IF(H96="","",INDEX('Debtor Ledger'!$E$2:$E$3001,H96))</f>
        <v/>
      </c>
      <c r="E96" s="6">
        <f>IF(H96="","",INDEX('Debtor Ledger'!$K$2:$K$3001,H96))</f>
        <v/>
      </c>
      <c r="F96" s="6">
        <f>IF(H96="","",INDEX('Debtor Ledger'!$L$2:$L$3001,H96))</f>
        <v/>
      </c>
      <c r="G96" s="34">
        <f t="array" ref="G96">IF($B$3="","",IFERROR(SMALL(IF('Debtor Ledger'!$C$2:$C$3001=$B$3,'Debtor Ledger'!$F$2:$F$3001),89),""))</f>
        <v/>
      </c>
      <c r="H96" s="21">
        <f>IF(G96="","",MATCH(G96,'Debtor Ledger'!$F$2:$F$3001,0))</f>
        <v/>
      </c>
    </row>
    <row r="97">
      <c r="A97" s="5">
        <f>IF(H97="","",INDEX('Debtor Ledger'!$B$2:$B$3001,H97))</f>
        <v/>
      </c>
      <c r="B97">
        <f>IF(H97="","",INDEX('Debtor Ledger'!$G$2:$G$3001,H97))</f>
        <v/>
      </c>
      <c r="C97" s="6">
        <f>IF(H97="","",INDEX('Debtor Ledger'!$D$2:$D$3001,H97))</f>
        <v/>
      </c>
      <c r="D97" s="6">
        <f>IF(H97="","",INDEX('Debtor Ledger'!$E$2:$E$3001,H97))</f>
        <v/>
      </c>
      <c r="E97" s="6">
        <f>IF(H97="","",INDEX('Debtor Ledger'!$K$2:$K$3001,H97))</f>
        <v/>
      </c>
      <c r="F97" s="6">
        <f>IF(H97="","",INDEX('Debtor Ledger'!$L$2:$L$3001,H97))</f>
        <v/>
      </c>
      <c r="G97" s="34">
        <f t="array" ref="G97">IF($B$3="","",IFERROR(SMALL(IF('Debtor Ledger'!$C$2:$C$3001=$B$3,'Debtor Ledger'!$F$2:$F$3001),90),""))</f>
        <v/>
      </c>
      <c r="H97" s="21">
        <f>IF(G97="","",MATCH(G97,'Debtor Ledger'!$F$2:$F$3001,0))</f>
        <v/>
      </c>
    </row>
    <row r="98">
      <c r="A98" s="5">
        <f>IF(H98="","",INDEX('Debtor Ledger'!$B$2:$B$3001,H98))</f>
        <v/>
      </c>
      <c r="B98">
        <f>IF(H98="","",INDEX('Debtor Ledger'!$G$2:$G$3001,H98))</f>
        <v/>
      </c>
      <c r="C98" s="6">
        <f>IF(H98="","",INDEX('Debtor Ledger'!$D$2:$D$3001,H98))</f>
        <v/>
      </c>
      <c r="D98" s="6">
        <f>IF(H98="","",INDEX('Debtor Ledger'!$E$2:$E$3001,H98))</f>
        <v/>
      </c>
      <c r="E98" s="6">
        <f>IF(H98="","",INDEX('Debtor Ledger'!$K$2:$K$3001,H98))</f>
        <v/>
      </c>
      <c r="F98" s="6">
        <f>IF(H98="","",INDEX('Debtor Ledger'!$L$2:$L$3001,H98))</f>
        <v/>
      </c>
      <c r="G98" s="34">
        <f t="array" ref="G98">IF($B$3="","",IFERROR(SMALL(IF('Debtor Ledger'!$C$2:$C$3001=$B$3,'Debtor Ledger'!$F$2:$F$3001),91),""))</f>
        <v/>
      </c>
      <c r="H98" s="21">
        <f>IF(G98="","",MATCH(G98,'Debtor Ledger'!$F$2:$F$3001,0))</f>
        <v/>
      </c>
    </row>
    <row r="99">
      <c r="A99" s="5">
        <f>IF(H99="","",INDEX('Debtor Ledger'!$B$2:$B$3001,H99))</f>
        <v/>
      </c>
      <c r="B99">
        <f>IF(H99="","",INDEX('Debtor Ledger'!$G$2:$G$3001,H99))</f>
        <v/>
      </c>
      <c r="C99" s="6">
        <f>IF(H99="","",INDEX('Debtor Ledger'!$D$2:$D$3001,H99))</f>
        <v/>
      </c>
      <c r="D99" s="6">
        <f>IF(H99="","",INDEX('Debtor Ledger'!$E$2:$E$3001,H99))</f>
        <v/>
      </c>
      <c r="E99" s="6">
        <f>IF(H99="","",INDEX('Debtor Ledger'!$K$2:$K$3001,H99))</f>
        <v/>
      </c>
      <c r="F99" s="6">
        <f>IF(H99="","",INDEX('Debtor Ledger'!$L$2:$L$3001,H99))</f>
        <v/>
      </c>
      <c r="G99" s="34">
        <f t="array" ref="G99">IF($B$3="","",IFERROR(SMALL(IF('Debtor Ledger'!$C$2:$C$3001=$B$3,'Debtor Ledger'!$F$2:$F$3001),92),""))</f>
        <v/>
      </c>
      <c r="H99" s="21">
        <f>IF(G99="","",MATCH(G99,'Debtor Ledger'!$F$2:$F$3001,0))</f>
        <v/>
      </c>
    </row>
    <row r="100">
      <c r="A100" s="5">
        <f>IF(H100="","",INDEX('Debtor Ledger'!$B$2:$B$3001,H100))</f>
        <v/>
      </c>
      <c r="B100">
        <f>IF(H100="","",INDEX('Debtor Ledger'!$G$2:$G$3001,H100))</f>
        <v/>
      </c>
      <c r="C100" s="6">
        <f>IF(H100="","",INDEX('Debtor Ledger'!$D$2:$D$3001,H100))</f>
        <v/>
      </c>
      <c r="D100" s="6">
        <f>IF(H100="","",INDEX('Debtor Ledger'!$E$2:$E$3001,H100))</f>
        <v/>
      </c>
      <c r="E100" s="6">
        <f>IF(H100="","",INDEX('Debtor Ledger'!$K$2:$K$3001,H100))</f>
        <v/>
      </c>
      <c r="F100" s="6">
        <f>IF(H100="","",INDEX('Debtor Ledger'!$L$2:$L$3001,H100))</f>
        <v/>
      </c>
      <c r="G100" s="34">
        <f t="array" ref="G100">IF($B$3="","",IFERROR(SMALL(IF('Debtor Ledger'!$C$2:$C$3001=$B$3,'Debtor Ledger'!$F$2:$F$3001),93),""))</f>
        <v/>
      </c>
      <c r="H100" s="21">
        <f>IF(G100="","",MATCH(G100,'Debtor Ledger'!$F$2:$F$3001,0))</f>
        <v/>
      </c>
    </row>
    <row r="101">
      <c r="A101" s="5">
        <f>IF(H101="","",INDEX('Debtor Ledger'!$B$2:$B$3001,H101))</f>
        <v/>
      </c>
      <c r="B101">
        <f>IF(H101="","",INDEX('Debtor Ledger'!$G$2:$G$3001,H101))</f>
        <v/>
      </c>
      <c r="C101" s="6">
        <f>IF(H101="","",INDEX('Debtor Ledger'!$D$2:$D$3001,H101))</f>
        <v/>
      </c>
      <c r="D101" s="6">
        <f>IF(H101="","",INDEX('Debtor Ledger'!$E$2:$E$3001,H101))</f>
        <v/>
      </c>
      <c r="E101" s="6">
        <f>IF(H101="","",INDEX('Debtor Ledger'!$K$2:$K$3001,H101))</f>
        <v/>
      </c>
      <c r="F101" s="6">
        <f>IF(H101="","",INDEX('Debtor Ledger'!$L$2:$L$3001,H101))</f>
        <v/>
      </c>
      <c r="G101" s="34">
        <f t="array" ref="G101">IF($B$3="","",IFERROR(SMALL(IF('Debtor Ledger'!$C$2:$C$3001=$B$3,'Debtor Ledger'!$F$2:$F$3001),94),""))</f>
        <v/>
      </c>
      <c r="H101" s="21">
        <f>IF(G101="","",MATCH(G101,'Debtor Ledger'!$F$2:$F$3001,0))</f>
        <v/>
      </c>
    </row>
    <row r="102">
      <c r="A102" s="5">
        <f>IF(H102="","",INDEX('Debtor Ledger'!$B$2:$B$3001,H102))</f>
        <v/>
      </c>
      <c r="B102">
        <f>IF(H102="","",INDEX('Debtor Ledger'!$G$2:$G$3001,H102))</f>
        <v/>
      </c>
      <c r="C102" s="6">
        <f>IF(H102="","",INDEX('Debtor Ledger'!$D$2:$D$3001,H102))</f>
        <v/>
      </c>
      <c r="D102" s="6">
        <f>IF(H102="","",INDEX('Debtor Ledger'!$E$2:$E$3001,H102))</f>
        <v/>
      </c>
      <c r="E102" s="6">
        <f>IF(H102="","",INDEX('Debtor Ledger'!$K$2:$K$3001,H102))</f>
        <v/>
      </c>
      <c r="F102" s="6">
        <f>IF(H102="","",INDEX('Debtor Ledger'!$L$2:$L$3001,H102))</f>
        <v/>
      </c>
      <c r="G102" s="34">
        <f t="array" ref="G102">IF($B$3="","",IFERROR(SMALL(IF('Debtor Ledger'!$C$2:$C$3001=$B$3,'Debtor Ledger'!$F$2:$F$3001),95),""))</f>
        <v/>
      </c>
      <c r="H102" s="21">
        <f>IF(G102="","",MATCH(G102,'Debtor Ledger'!$F$2:$F$3001,0))</f>
        <v/>
      </c>
    </row>
    <row r="103">
      <c r="A103" s="5">
        <f>IF(H103="","",INDEX('Debtor Ledger'!$B$2:$B$3001,H103))</f>
        <v/>
      </c>
      <c r="B103">
        <f>IF(H103="","",INDEX('Debtor Ledger'!$G$2:$G$3001,H103))</f>
        <v/>
      </c>
      <c r="C103" s="6">
        <f>IF(H103="","",INDEX('Debtor Ledger'!$D$2:$D$3001,H103))</f>
        <v/>
      </c>
      <c r="D103" s="6">
        <f>IF(H103="","",INDEX('Debtor Ledger'!$E$2:$E$3001,H103))</f>
        <v/>
      </c>
      <c r="E103" s="6">
        <f>IF(H103="","",INDEX('Debtor Ledger'!$K$2:$K$3001,H103))</f>
        <v/>
      </c>
      <c r="F103" s="6">
        <f>IF(H103="","",INDEX('Debtor Ledger'!$L$2:$L$3001,H103))</f>
        <v/>
      </c>
      <c r="G103" s="34">
        <f t="array" ref="G103">IF($B$3="","",IFERROR(SMALL(IF('Debtor Ledger'!$C$2:$C$3001=$B$3,'Debtor Ledger'!$F$2:$F$3001),96),""))</f>
        <v/>
      </c>
      <c r="H103" s="21">
        <f>IF(G103="","",MATCH(G103,'Debtor Ledger'!$F$2:$F$3001,0))</f>
        <v/>
      </c>
    </row>
    <row r="104">
      <c r="A104" s="5">
        <f>IF(H104="","",INDEX('Debtor Ledger'!$B$2:$B$3001,H104))</f>
        <v/>
      </c>
      <c r="B104">
        <f>IF(H104="","",INDEX('Debtor Ledger'!$G$2:$G$3001,H104))</f>
        <v/>
      </c>
      <c r="C104" s="6">
        <f>IF(H104="","",INDEX('Debtor Ledger'!$D$2:$D$3001,H104))</f>
        <v/>
      </c>
      <c r="D104" s="6">
        <f>IF(H104="","",INDEX('Debtor Ledger'!$E$2:$E$3001,H104))</f>
        <v/>
      </c>
      <c r="E104" s="6">
        <f>IF(H104="","",INDEX('Debtor Ledger'!$K$2:$K$3001,H104))</f>
        <v/>
      </c>
      <c r="F104" s="6">
        <f>IF(H104="","",INDEX('Debtor Ledger'!$L$2:$L$3001,H104))</f>
        <v/>
      </c>
      <c r="G104" s="34">
        <f t="array" ref="G104">IF($B$3="","",IFERROR(SMALL(IF('Debtor Ledger'!$C$2:$C$3001=$B$3,'Debtor Ledger'!$F$2:$F$3001),97),""))</f>
        <v/>
      </c>
      <c r="H104" s="21">
        <f>IF(G104="","",MATCH(G104,'Debtor Ledger'!$F$2:$F$3001,0))</f>
        <v/>
      </c>
    </row>
    <row r="105">
      <c r="A105" s="5">
        <f>IF(H105="","",INDEX('Debtor Ledger'!$B$2:$B$3001,H105))</f>
        <v/>
      </c>
      <c r="B105">
        <f>IF(H105="","",INDEX('Debtor Ledger'!$G$2:$G$3001,H105))</f>
        <v/>
      </c>
      <c r="C105" s="6">
        <f>IF(H105="","",INDEX('Debtor Ledger'!$D$2:$D$3001,H105))</f>
        <v/>
      </c>
      <c r="D105" s="6">
        <f>IF(H105="","",INDEX('Debtor Ledger'!$E$2:$E$3001,H105))</f>
        <v/>
      </c>
      <c r="E105" s="6">
        <f>IF(H105="","",INDEX('Debtor Ledger'!$K$2:$K$3001,H105))</f>
        <v/>
      </c>
      <c r="F105" s="6">
        <f>IF(H105="","",INDEX('Debtor Ledger'!$L$2:$L$3001,H105))</f>
        <v/>
      </c>
      <c r="G105" s="34">
        <f t="array" ref="G105">IF($B$3="","",IFERROR(SMALL(IF('Debtor Ledger'!$C$2:$C$3001=$B$3,'Debtor Ledger'!$F$2:$F$3001),98),""))</f>
        <v/>
      </c>
      <c r="H105" s="21">
        <f>IF(G105="","",MATCH(G105,'Debtor Ledger'!$F$2:$F$3001,0))</f>
        <v/>
      </c>
    </row>
    <row r="106">
      <c r="A106" s="5">
        <f>IF(H106="","",INDEX('Debtor Ledger'!$B$2:$B$3001,H106))</f>
        <v/>
      </c>
      <c r="B106">
        <f>IF(H106="","",INDEX('Debtor Ledger'!$G$2:$G$3001,H106))</f>
        <v/>
      </c>
      <c r="C106" s="6">
        <f>IF(H106="","",INDEX('Debtor Ledger'!$D$2:$D$3001,H106))</f>
        <v/>
      </c>
      <c r="D106" s="6">
        <f>IF(H106="","",INDEX('Debtor Ledger'!$E$2:$E$3001,H106))</f>
        <v/>
      </c>
      <c r="E106" s="6">
        <f>IF(H106="","",INDEX('Debtor Ledger'!$K$2:$K$3001,H106))</f>
        <v/>
      </c>
      <c r="F106" s="6">
        <f>IF(H106="","",INDEX('Debtor Ledger'!$L$2:$L$3001,H106))</f>
        <v/>
      </c>
      <c r="G106" s="34">
        <f t="array" ref="G106">IF($B$3="","",IFERROR(SMALL(IF('Debtor Ledger'!$C$2:$C$3001=$B$3,'Debtor Ledger'!$F$2:$F$3001),99),""))</f>
        <v/>
      </c>
      <c r="H106" s="21">
        <f>IF(G106="","",MATCH(G106,'Debtor Ledger'!$F$2:$F$3001,0))</f>
        <v/>
      </c>
    </row>
    <row r="107">
      <c r="A107" s="5">
        <f>IF(H107="","",INDEX('Debtor Ledger'!$B$2:$B$3001,H107))</f>
        <v/>
      </c>
      <c r="B107">
        <f>IF(H107="","",INDEX('Debtor Ledger'!$G$2:$G$3001,H107))</f>
        <v/>
      </c>
      <c r="C107" s="6">
        <f>IF(H107="","",INDEX('Debtor Ledger'!$D$2:$D$3001,H107))</f>
        <v/>
      </c>
      <c r="D107" s="6">
        <f>IF(H107="","",INDEX('Debtor Ledger'!$E$2:$E$3001,H107))</f>
        <v/>
      </c>
      <c r="E107" s="6">
        <f>IF(H107="","",INDEX('Debtor Ledger'!$K$2:$K$3001,H107))</f>
        <v/>
      </c>
      <c r="F107" s="6">
        <f>IF(H107="","",INDEX('Debtor Ledger'!$L$2:$L$3001,H107))</f>
        <v/>
      </c>
      <c r="G107" s="34">
        <f t="array" ref="G107">IF($B$3="","",IFERROR(SMALL(IF('Debtor Ledger'!$C$2:$C$3001=$B$3,'Debtor Ledger'!$F$2:$F$3001),100),""))</f>
        <v/>
      </c>
      <c r="H107" s="21">
        <f>IF(G107="","",MATCH(G107,'Debtor Ledger'!$F$2:$F$3001,0))</f>
        <v/>
      </c>
    </row>
    <row r="108">
      <c r="A108" s="5">
        <f>IF(H108="","",INDEX('Debtor Ledger'!$B$2:$B$3001,H108))</f>
        <v/>
      </c>
      <c r="B108">
        <f>IF(H108="","",INDEX('Debtor Ledger'!$G$2:$G$3001,H108))</f>
        <v/>
      </c>
      <c r="C108" s="6">
        <f>IF(H108="","",INDEX('Debtor Ledger'!$D$2:$D$3001,H108))</f>
        <v/>
      </c>
      <c r="D108" s="6">
        <f>IF(H108="","",INDEX('Debtor Ledger'!$E$2:$E$3001,H108))</f>
        <v/>
      </c>
      <c r="E108" s="6">
        <f>IF(H108="","",INDEX('Debtor Ledger'!$K$2:$K$3001,H108))</f>
        <v/>
      </c>
      <c r="F108" s="6">
        <f>IF(H108="","",INDEX('Debtor Ledger'!$L$2:$L$3001,H108))</f>
        <v/>
      </c>
      <c r="G108" s="34">
        <f t="array" ref="G108">IF($B$3="","",IFERROR(SMALL(IF('Debtor Ledger'!$C$2:$C$3001=$B$3,'Debtor Ledger'!$F$2:$F$3001),101),""))</f>
        <v/>
      </c>
      <c r="H108" s="21">
        <f>IF(G108="","",MATCH(G108,'Debtor Ledger'!$F$2:$F$3001,0))</f>
        <v/>
      </c>
    </row>
    <row r="109">
      <c r="A109" s="5">
        <f>IF(H109="","",INDEX('Debtor Ledger'!$B$2:$B$3001,H109))</f>
        <v/>
      </c>
      <c r="B109">
        <f>IF(H109="","",INDEX('Debtor Ledger'!$G$2:$G$3001,H109))</f>
        <v/>
      </c>
      <c r="C109" s="6">
        <f>IF(H109="","",INDEX('Debtor Ledger'!$D$2:$D$3001,H109))</f>
        <v/>
      </c>
      <c r="D109" s="6">
        <f>IF(H109="","",INDEX('Debtor Ledger'!$E$2:$E$3001,H109))</f>
        <v/>
      </c>
      <c r="E109" s="6">
        <f>IF(H109="","",INDEX('Debtor Ledger'!$K$2:$K$3001,H109))</f>
        <v/>
      </c>
      <c r="F109" s="6">
        <f>IF(H109="","",INDEX('Debtor Ledger'!$L$2:$L$3001,H109))</f>
        <v/>
      </c>
      <c r="G109" s="34">
        <f t="array" ref="G109">IF($B$3="","",IFERROR(SMALL(IF('Debtor Ledger'!$C$2:$C$3001=$B$3,'Debtor Ledger'!$F$2:$F$3001),102),""))</f>
        <v/>
      </c>
      <c r="H109" s="21">
        <f>IF(G109="","",MATCH(G109,'Debtor Ledger'!$F$2:$F$3001,0))</f>
        <v/>
      </c>
    </row>
    <row r="110">
      <c r="A110" s="5">
        <f>IF(H110="","",INDEX('Debtor Ledger'!$B$2:$B$3001,H110))</f>
        <v/>
      </c>
      <c r="B110">
        <f>IF(H110="","",INDEX('Debtor Ledger'!$G$2:$G$3001,H110))</f>
        <v/>
      </c>
      <c r="C110" s="6">
        <f>IF(H110="","",INDEX('Debtor Ledger'!$D$2:$D$3001,H110))</f>
        <v/>
      </c>
      <c r="D110" s="6">
        <f>IF(H110="","",INDEX('Debtor Ledger'!$E$2:$E$3001,H110))</f>
        <v/>
      </c>
      <c r="E110" s="6">
        <f>IF(H110="","",INDEX('Debtor Ledger'!$K$2:$K$3001,H110))</f>
        <v/>
      </c>
      <c r="F110" s="6">
        <f>IF(H110="","",INDEX('Debtor Ledger'!$L$2:$L$3001,H110))</f>
        <v/>
      </c>
      <c r="G110" s="34">
        <f t="array" ref="G110">IF($B$3="","",IFERROR(SMALL(IF('Debtor Ledger'!$C$2:$C$3001=$B$3,'Debtor Ledger'!$F$2:$F$3001),103),""))</f>
        <v/>
      </c>
      <c r="H110" s="21">
        <f>IF(G110="","",MATCH(G110,'Debtor Ledger'!$F$2:$F$3001,0))</f>
        <v/>
      </c>
    </row>
    <row r="111">
      <c r="A111" s="5">
        <f>IF(H111="","",INDEX('Debtor Ledger'!$B$2:$B$3001,H111))</f>
        <v/>
      </c>
      <c r="B111">
        <f>IF(H111="","",INDEX('Debtor Ledger'!$G$2:$G$3001,H111))</f>
        <v/>
      </c>
      <c r="C111" s="6">
        <f>IF(H111="","",INDEX('Debtor Ledger'!$D$2:$D$3001,H111))</f>
        <v/>
      </c>
      <c r="D111" s="6">
        <f>IF(H111="","",INDEX('Debtor Ledger'!$E$2:$E$3001,H111))</f>
        <v/>
      </c>
      <c r="E111" s="6">
        <f>IF(H111="","",INDEX('Debtor Ledger'!$K$2:$K$3001,H111))</f>
        <v/>
      </c>
      <c r="F111" s="6">
        <f>IF(H111="","",INDEX('Debtor Ledger'!$L$2:$L$3001,H111))</f>
        <v/>
      </c>
      <c r="G111" s="34">
        <f t="array" ref="G111">IF($B$3="","",IFERROR(SMALL(IF('Debtor Ledger'!$C$2:$C$3001=$B$3,'Debtor Ledger'!$F$2:$F$3001),104),""))</f>
        <v/>
      </c>
      <c r="H111" s="21">
        <f>IF(G111="","",MATCH(G111,'Debtor Ledger'!$F$2:$F$3001,0))</f>
        <v/>
      </c>
    </row>
    <row r="112">
      <c r="A112" s="5">
        <f>IF(H112="","",INDEX('Debtor Ledger'!$B$2:$B$3001,H112))</f>
        <v/>
      </c>
      <c r="B112">
        <f>IF(H112="","",INDEX('Debtor Ledger'!$G$2:$G$3001,H112))</f>
        <v/>
      </c>
      <c r="C112" s="6">
        <f>IF(H112="","",INDEX('Debtor Ledger'!$D$2:$D$3001,H112))</f>
        <v/>
      </c>
      <c r="D112" s="6">
        <f>IF(H112="","",INDEX('Debtor Ledger'!$E$2:$E$3001,H112))</f>
        <v/>
      </c>
      <c r="E112" s="6">
        <f>IF(H112="","",INDEX('Debtor Ledger'!$K$2:$K$3001,H112))</f>
        <v/>
      </c>
      <c r="F112" s="6">
        <f>IF(H112="","",INDEX('Debtor Ledger'!$L$2:$L$3001,H112))</f>
        <v/>
      </c>
      <c r="G112" s="34">
        <f t="array" ref="G112">IF($B$3="","",IFERROR(SMALL(IF('Debtor Ledger'!$C$2:$C$3001=$B$3,'Debtor Ledger'!$F$2:$F$3001),105),""))</f>
        <v/>
      </c>
      <c r="H112" s="21">
        <f>IF(G112="","",MATCH(G112,'Debtor Ledger'!$F$2:$F$3001,0))</f>
        <v/>
      </c>
    </row>
    <row r="113">
      <c r="A113" s="5">
        <f>IF(H113="","",INDEX('Debtor Ledger'!$B$2:$B$3001,H113))</f>
        <v/>
      </c>
      <c r="B113">
        <f>IF(H113="","",INDEX('Debtor Ledger'!$G$2:$G$3001,H113))</f>
        <v/>
      </c>
      <c r="C113" s="6">
        <f>IF(H113="","",INDEX('Debtor Ledger'!$D$2:$D$3001,H113))</f>
        <v/>
      </c>
      <c r="D113" s="6">
        <f>IF(H113="","",INDEX('Debtor Ledger'!$E$2:$E$3001,H113))</f>
        <v/>
      </c>
      <c r="E113" s="6">
        <f>IF(H113="","",INDEX('Debtor Ledger'!$K$2:$K$3001,H113))</f>
        <v/>
      </c>
      <c r="F113" s="6">
        <f>IF(H113="","",INDEX('Debtor Ledger'!$L$2:$L$3001,H113))</f>
        <v/>
      </c>
      <c r="G113" s="34">
        <f t="array" ref="G113">IF($B$3="","",IFERROR(SMALL(IF('Debtor Ledger'!$C$2:$C$3001=$B$3,'Debtor Ledger'!$F$2:$F$3001),106),""))</f>
        <v/>
      </c>
      <c r="H113" s="21">
        <f>IF(G113="","",MATCH(G113,'Debtor Ledger'!$F$2:$F$3001,0))</f>
        <v/>
      </c>
    </row>
    <row r="114">
      <c r="A114" s="5">
        <f>IF(H114="","",INDEX('Debtor Ledger'!$B$2:$B$3001,H114))</f>
        <v/>
      </c>
      <c r="B114">
        <f>IF(H114="","",INDEX('Debtor Ledger'!$G$2:$G$3001,H114))</f>
        <v/>
      </c>
      <c r="C114" s="6">
        <f>IF(H114="","",INDEX('Debtor Ledger'!$D$2:$D$3001,H114))</f>
        <v/>
      </c>
      <c r="D114" s="6">
        <f>IF(H114="","",INDEX('Debtor Ledger'!$E$2:$E$3001,H114))</f>
        <v/>
      </c>
      <c r="E114" s="6">
        <f>IF(H114="","",INDEX('Debtor Ledger'!$K$2:$K$3001,H114))</f>
        <v/>
      </c>
      <c r="F114" s="6">
        <f>IF(H114="","",INDEX('Debtor Ledger'!$L$2:$L$3001,H114))</f>
        <v/>
      </c>
      <c r="G114" s="34">
        <f t="array" ref="G114">IF($B$3="","",IFERROR(SMALL(IF('Debtor Ledger'!$C$2:$C$3001=$B$3,'Debtor Ledger'!$F$2:$F$3001),107),""))</f>
        <v/>
      </c>
      <c r="H114" s="21">
        <f>IF(G114="","",MATCH(G114,'Debtor Ledger'!$F$2:$F$3001,0))</f>
        <v/>
      </c>
    </row>
    <row r="115">
      <c r="A115" s="5">
        <f>IF(H115="","",INDEX('Debtor Ledger'!$B$2:$B$3001,H115))</f>
        <v/>
      </c>
      <c r="B115">
        <f>IF(H115="","",INDEX('Debtor Ledger'!$G$2:$G$3001,H115))</f>
        <v/>
      </c>
      <c r="C115" s="6">
        <f>IF(H115="","",INDEX('Debtor Ledger'!$D$2:$D$3001,H115))</f>
        <v/>
      </c>
      <c r="D115" s="6">
        <f>IF(H115="","",INDEX('Debtor Ledger'!$E$2:$E$3001,H115))</f>
        <v/>
      </c>
      <c r="E115" s="6">
        <f>IF(H115="","",INDEX('Debtor Ledger'!$K$2:$K$3001,H115))</f>
        <v/>
      </c>
      <c r="F115" s="6">
        <f>IF(H115="","",INDEX('Debtor Ledger'!$L$2:$L$3001,H115))</f>
        <v/>
      </c>
      <c r="G115" s="34">
        <f t="array" ref="G115">IF($B$3="","",IFERROR(SMALL(IF('Debtor Ledger'!$C$2:$C$3001=$B$3,'Debtor Ledger'!$F$2:$F$3001),108),""))</f>
        <v/>
      </c>
      <c r="H115" s="21">
        <f>IF(G115="","",MATCH(G115,'Debtor Ledger'!$F$2:$F$3001,0))</f>
        <v/>
      </c>
    </row>
    <row r="116">
      <c r="A116" s="5">
        <f>IF(H116="","",INDEX('Debtor Ledger'!$B$2:$B$3001,H116))</f>
        <v/>
      </c>
      <c r="B116">
        <f>IF(H116="","",INDEX('Debtor Ledger'!$G$2:$G$3001,H116))</f>
        <v/>
      </c>
      <c r="C116" s="6">
        <f>IF(H116="","",INDEX('Debtor Ledger'!$D$2:$D$3001,H116))</f>
        <v/>
      </c>
      <c r="D116" s="6">
        <f>IF(H116="","",INDEX('Debtor Ledger'!$E$2:$E$3001,H116))</f>
        <v/>
      </c>
      <c r="E116" s="6">
        <f>IF(H116="","",INDEX('Debtor Ledger'!$K$2:$K$3001,H116))</f>
        <v/>
      </c>
      <c r="F116" s="6">
        <f>IF(H116="","",INDEX('Debtor Ledger'!$L$2:$L$3001,H116))</f>
        <v/>
      </c>
      <c r="G116" s="34">
        <f t="array" ref="G116">IF($B$3="","",IFERROR(SMALL(IF('Debtor Ledger'!$C$2:$C$3001=$B$3,'Debtor Ledger'!$F$2:$F$3001),109),""))</f>
        <v/>
      </c>
      <c r="H116" s="21">
        <f>IF(G116="","",MATCH(G116,'Debtor Ledger'!$F$2:$F$3001,0))</f>
        <v/>
      </c>
    </row>
    <row r="117">
      <c r="A117" s="5">
        <f>IF(H117="","",INDEX('Debtor Ledger'!$B$2:$B$3001,H117))</f>
        <v/>
      </c>
      <c r="B117">
        <f>IF(H117="","",INDEX('Debtor Ledger'!$G$2:$G$3001,H117))</f>
        <v/>
      </c>
      <c r="C117" s="6">
        <f>IF(H117="","",INDEX('Debtor Ledger'!$D$2:$D$3001,H117))</f>
        <v/>
      </c>
      <c r="D117" s="6">
        <f>IF(H117="","",INDEX('Debtor Ledger'!$E$2:$E$3001,H117))</f>
        <v/>
      </c>
      <c r="E117" s="6">
        <f>IF(H117="","",INDEX('Debtor Ledger'!$K$2:$K$3001,H117))</f>
        <v/>
      </c>
      <c r="F117" s="6">
        <f>IF(H117="","",INDEX('Debtor Ledger'!$L$2:$L$3001,H117))</f>
        <v/>
      </c>
      <c r="G117" s="34">
        <f t="array" ref="G117">IF($B$3="","",IFERROR(SMALL(IF('Debtor Ledger'!$C$2:$C$3001=$B$3,'Debtor Ledger'!$F$2:$F$3001),110),""))</f>
        <v/>
      </c>
      <c r="H117" s="21">
        <f>IF(G117="","",MATCH(G117,'Debtor Ledger'!$F$2:$F$3001,0))</f>
        <v/>
      </c>
    </row>
    <row r="118">
      <c r="A118" s="5">
        <f>IF(H118="","",INDEX('Debtor Ledger'!$B$2:$B$3001,H118))</f>
        <v/>
      </c>
      <c r="B118">
        <f>IF(H118="","",INDEX('Debtor Ledger'!$G$2:$G$3001,H118))</f>
        <v/>
      </c>
      <c r="C118" s="6">
        <f>IF(H118="","",INDEX('Debtor Ledger'!$D$2:$D$3001,H118))</f>
        <v/>
      </c>
      <c r="D118" s="6">
        <f>IF(H118="","",INDEX('Debtor Ledger'!$E$2:$E$3001,H118))</f>
        <v/>
      </c>
      <c r="E118" s="6">
        <f>IF(H118="","",INDEX('Debtor Ledger'!$K$2:$K$3001,H118))</f>
        <v/>
      </c>
      <c r="F118" s="6">
        <f>IF(H118="","",INDEX('Debtor Ledger'!$L$2:$L$3001,H118))</f>
        <v/>
      </c>
      <c r="G118" s="34">
        <f t="array" ref="G118">IF($B$3="","",IFERROR(SMALL(IF('Debtor Ledger'!$C$2:$C$3001=$B$3,'Debtor Ledger'!$F$2:$F$3001),111),""))</f>
        <v/>
      </c>
      <c r="H118" s="21">
        <f>IF(G118="","",MATCH(G118,'Debtor Ledger'!$F$2:$F$3001,0))</f>
        <v/>
      </c>
    </row>
    <row r="119">
      <c r="A119" s="5">
        <f>IF(H119="","",INDEX('Debtor Ledger'!$B$2:$B$3001,H119))</f>
        <v/>
      </c>
      <c r="B119">
        <f>IF(H119="","",INDEX('Debtor Ledger'!$G$2:$G$3001,H119))</f>
        <v/>
      </c>
      <c r="C119" s="6">
        <f>IF(H119="","",INDEX('Debtor Ledger'!$D$2:$D$3001,H119))</f>
        <v/>
      </c>
      <c r="D119" s="6">
        <f>IF(H119="","",INDEX('Debtor Ledger'!$E$2:$E$3001,H119))</f>
        <v/>
      </c>
      <c r="E119" s="6">
        <f>IF(H119="","",INDEX('Debtor Ledger'!$K$2:$K$3001,H119))</f>
        <v/>
      </c>
      <c r="F119" s="6">
        <f>IF(H119="","",INDEX('Debtor Ledger'!$L$2:$L$3001,H119))</f>
        <v/>
      </c>
      <c r="G119" s="34">
        <f t="array" ref="G119">IF($B$3="","",IFERROR(SMALL(IF('Debtor Ledger'!$C$2:$C$3001=$B$3,'Debtor Ledger'!$F$2:$F$3001),112),""))</f>
        <v/>
      </c>
      <c r="H119" s="21">
        <f>IF(G119="","",MATCH(G119,'Debtor Ledger'!$F$2:$F$3001,0))</f>
        <v/>
      </c>
    </row>
    <row r="120">
      <c r="A120" s="5">
        <f>IF(H120="","",INDEX('Debtor Ledger'!$B$2:$B$3001,H120))</f>
        <v/>
      </c>
      <c r="B120">
        <f>IF(H120="","",INDEX('Debtor Ledger'!$G$2:$G$3001,H120))</f>
        <v/>
      </c>
      <c r="C120" s="6">
        <f>IF(H120="","",INDEX('Debtor Ledger'!$D$2:$D$3001,H120))</f>
        <v/>
      </c>
      <c r="D120" s="6">
        <f>IF(H120="","",INDEX('Debtor Ledger'!$E$2:$E$3001,H120))</f>
        <v/>
      </c>
      <c r="E120" s="6">
        <f>IF(H120="","",INDEX('Debtor Ledger'!$K$2:$K$3001,H120))</f>
        <v/>
      </c>
      <c r="F120" s="6">
        <f>IF(H120="","",INDEX('Debtor Ledger'!$L$2:$L$3001,H120))</f>
        <v/>
      </c>
      <c r="G120" s="34">
        <f t="array" ref="G120">IF($B$3="","",IFERROR(SMALL(IF('Debtor Ledger'!$C$2:$C$3001=$B$3,'Debtor Ledger'!$F$2:$F$3001),113),""))</f>
        <v/>
      </c>
      <c r="H120" s="21">
        <f>IF(G120="","",MATCH(G120,'Debtor Ledger'!$F$2:$F$3001,0))</f>
        <v/>
      </c>
    </row>
    <row r="121">
      <c r="A121" s="5">
        <f>IF(H121="","",INDEX('Debtor Ledger'!$B$2:$B$3001,H121))</f>
        <v/>
      </c>
      <c r="B121">
        <f>IF(H121="","",INDEX('Debtor Ledger'!$G$2:$G$3001,H121))</f>
        <v/>
      </c>
      <c r="C121" s="6">
        <f>IF(H121="","",INDEX('Debtor Ledger'!$D$2:$D$3001,H121))</f>
        <v/>
      </c>
      <c r="D121" s="6">
        <f>IF(H121="","",INDEX('Debtor Ledger'!$E$2:$E$3001,H121))</f>
        <v/>
      </c>
      <c r="E121" s="6">
        <f>IF(H121="","",INDEX('Debtor Ledger'!$K$2:$K$3001,H121))</f>
        <v/>
      </c>
      <c r="F121" s="6">
        <f>IF(H121="","",INDEX('Debtor Ledger'!$L$2:$L$3001,H121))</f>
        <v/>
      </c>
      <c r="G121" s="34">
        <f t="array" ref="G121">IF($B$3="","",IFERROR(SMALL(IF('Debtor Ledger'!$C$2:$C$3001=$B$3,'Debtor Ledger'!$F$2:$F$3001),114),""))</f>
        <v/>
      </c>
      <c r="H121" s="21">
        <f>IF(G121="","",MATCH(G121,'Debtor Ledger'!$F$2:$F$3001,0))</f>
        <v/>
      </c>
    </row>
    <row r="122">
      <c r="A122" s="5">
        <f>IF(H122="","",INDEX('Debtor Ledger'!$B$2:$B$3001,H122))</f>
        <v/>
      </c>
      <c r="B122">
        <f>IF(H122="","",INDEX('Debtor Ledger'!$G$2:$G$3001,H122))</f>
        <v/>
      </c>
      <c r="C122" s="6">
        <f>IF(H122="","",INDEX('Debtor Ledger'!$D$2:$D$3001,H122))</f>
        <v/>
      </c>
      <c r="D122" s="6">
        <f>IF(H122="","",INDEX('Debtor Ledger'!$E$2:$E$3001,H122))</f>
        <v/>
      </c>
      <c r="E122" s="6">
        <f>IF(H122="","",INDEX('Debtor Ledger'!$K$2:$K$3001,H122))</f>
        <v/>
      </c>
      <c r="F122" s="6">
        <f>IF(H122="","",INDEX('Debtor Ledger'!$L$2:$L$3001,H122))</f>
        <v/>
      </c>
      <c r="G122" s="34">
        <f t="array" ref="G122">IF($B$3="","",IFERROR(SMALL(IF('Debtor Ledger'!$C$2:$C$3001=$B$3,'Debtor Ledger'!$F$2:$F$3001),115),""))</f>
        <v/>
      </c>
      <c r="H122" s="21">
        <f>IF(G122="","",MATCH(G122,'Debtor Ledger'!$F$2:$F$3001,0))</f>
        <v/>
      </c>
    </row>
    <row r="123">
      <c r="A123" s="5">
        <f>IF(H123="","",INDEX('Debtor Ledger'!$B$2:$B$3001,H123))</f>
        <v/>
      </c>
      <c r="B123">
        <f>IF(H123="","",INDEX('Debtor Ledger'!$G$2:$G$3001,H123))</f>
        <v/>
      </c>
      <c r="C123" s="6">
        <f>IF(H123="","",INDEX('Debtor Ledger'!$D$2:$D$3001,H123))</f>
        <v/>
      </c>
      <c r="D123" s="6">
        <f>IF(H123="","",INDEX('Debtor Ledger'!$E$2:$E$3001,H123))</f>
        <v/>
      </c>
      <c r="E123" s="6">
        <f>IF(H123="","",INDEX('Debtor Ledger'!$K$2:$K$3001,H123))</f>
        <v/>
      </c>
      <c r="F123" s="6">
        <f>IF(H123="","",INDEX('Debtor Ledger'!$L$2:$L$3001,H123))</f>
        <v/>
      </c>
      <c r="G123" s="34">
        <f t="array" ref="G123">IF($B$3="","",IFERROR(SMALL(IF('Debtor Ledger'!$C$2:$C$3001=$B$3,'Debtor Ledger'!$F$2:$F$3001),116),""))</f>
        <v/>
      </c>
      <c r="H123" s="21">
        <f>IF(G123="","",MATCH(G123,'Debtor Ledger'!$F$2:$F$3001,0))</f>
        <v/>
      </c>
    </row>
    <row r="124">
      <c r="A124" s="5">
        <f>IF(H124="","",INDEX('Debtor Ledger'!$B$2:$B$3001,H124))</f>
        <v/>
      </c>
      <c r="B124">
        <f>IF(H124="","",INDEX('Debtor Ledger'!$G$2:$G$3001,H124))</f>
        <v/>
      </c>
      <c r="C124" s="6">
        <f>IF(H124="","",INDEX('Debtor Ledger'!$D$2:$D$3001,H124))</f>
        <v/>
      </c>
      <c r="D124" s="6">
        <f>IF(H124="","",INDEX('Debtor Ledger'!$E$2:$E$3001,H124))</f>
        <v/>
      </c>
      <c r="E124" s="6">
        <f>IF(H124="","",INDEX('Debtor Ledger'!$K$2:$K$3001,H124))</f>
        <v/>
      </c>
      <c r="F124" s="6">
        <f>IF(H124="","",INDEX('Debtor Ledger'!$L$2:$L$3001,H124))</f>
        <v/>
      </c>
      <c r="G124" s="34">
        <f t="array" ref="G124">IF($B$3="","",IFERROR(SMALL(IF('Debtor Ledger'!$C$2:$C$3001=$B$3,'Debtor Ledger'!$F$2:$F$3001),117),""))</f>
        <v/>
      </c>
      <c r="H124" s="21">
        <f>IF(G124="","",MATCH(G124,'Debtor Ledger'!$F$2:$F$3001,0))</f>
        <v/>
      </c>
    </row>
    <row r="125">
      <c r="A125" s="5">
        <f>IF(H125="","",INDEX('Debtor Ledger'!$B$2:$B$3001,H125))</f>
        <v/>
      </c>
      <c r="B125">
        <f>IF(H125="","",INDEX('Debtor Ledger'!$G$2:$G$3001,H125))</f>
        <v/>
      </c>
      <c r="C125" s="6">
        <f>IF(H125="","",INDEX('Debtor Ledger'!$D$2:$D$3001,H125))</f>
        <v/>
      </c>
      <c r="D125" s="6">
        <f>IF(H125="","",INDEX('Debtor Ledger'!$E$2:$E$3001,H125))</f>
        <v/>
      </c>
      <c r="E125" s="6">
        <f>IF(H125="","",INDEX('Debtor Ledger'!$K$2:$K$3001,H125))</f>
        <v/>
      </c>
      <c r="F125" s="6">
        <f>IF(H125="","",INDEX('Debtor Ledger'!$L$2:$L$3001,H125))</f>
        <v/>
      </c>
      <c r="G125" s="34">
        <f t="array" ref="G125">IF($B$3="","",IFERROR(SMALL(IF('Debtor Ledger'!$C$2:$C$3001=$B$3,'Debtor Ledger'!$F$2:$F$3001),118),""))</f>
        <v/>
      </c>
      <c r="H125" s="21">
        <f>IF(G125="","",MATCH(G125,'Debtor Ledger'!$F$2:$F$3001,0))</f>
        <v/>
      </c>
    </row>
    <row r="126">
      <c r="A126" s="5">
        <f>IF(H126="","",INDEX('Debtor Ledger'!$B$2:$B$3001,H126))</f>
        <v/>
      </c>
      <c r="B126">
        <f>IF(H126="","",INDEX('Debtor Ledger'!$G$2:$G$3001,H126))</f>
        <v/>
      </c>
      <c r="C126" s="6">
        <f>IF(H126="","",INDEX('Debtor Ledger'!$D$2:$D$3001,H126))</f>
        <v/>
      </c>
      <c r="D126" s="6">
        <f>IF(H126="","",INDEX('Debtor Ledger'!$E$2:$E$3001,H126))</f>
        <v/>
      </c>
      <c r="E126" s="6">
        <f>IF(H126="","",INDEX('Debtor Ledger'!$K$2:$K$3001,H126))</f>
        <v/>
      </c>
      <c r="F126" s="6">
        <f>IF(H126="","",INDEX('Debtor Ledger'!$L$2:$L$3001,H126))</f>
        <v/>
      </c>
      <c r="G126" s="34">
        <f t="array" ref="G126">IF($B$3="","",IFERROR(SMALL(IF('Debtor Ledger'!$C$2:$C$3001=$B$3,'Debtor Ledger'!$F$2:$F$3001),119),""))</f>
        <v/>
      </c>
      <c r="H126" s="21">
        <f>IF(G126="","",MATCH(G126,'Debtor Ledger'!$F$2:$F$3001,0))</f>
        <v/>
      </c>
    </row>
    <row r="127">
      <c r="A127" s="5">
        <f>IF(H127="","",INDEX('Debtor Ledger'!$B$2:$B$3001,H127))</f>
        <v/>
      </c>
      <c r="B127">
        <f>IF(H127="","",INDEX('Debtor Ledger'!$G$2:$G$3001,H127))</f>
        <v/>
      </c>
      <c r="C127" s="6">
        <f>IF(H127="","",INDEX('Debtor Ledger'!$D$2:$D$3001,H127))</f>
        <v/>
      </c>
      <c r="D127" s="6">
        <f>IF(H127="","",INDEX('Debtor Ledger'!$E$2:$E$3001,H127))</f>
        <v/>
      </c>
      <c r="E127" s="6">
        <f>IF(H127="","",INDEX('Debtor Ledger'!$K$2:$K$3001,H127))</f>
        <v/>
      </c>
      <c r="F127" s="6">
        <f>IF(H127="","",INDEX('Debtor Ledger'!$L$2:$L$3001,H127))</f>
        <v/>
      </c>
      <c r="G127" s="34">
        <f t="array" ref="G127">IF($B$3="","",IFERROR(SMALL(IF('Debtor Ledger'!$C$2:$C$3001=$B$3,'Debtor Ledger'!$F$2:$F$3001),120),""))</f>
        <v/>
      </c>
      <c r="H127" s="21">
        <f>IF(G127="","",MATCH(G127,'Debtor Ledger'!$F$2:$F$3001,0))</f>
        <v/>
      </c>
    </row>
    <row r="128">
      <c r="A128" s="5">
        <f>IF(H128="","",INDEX('Debtor Ledger'!$B$2:$B$3001,H128))</f>
        <v/>
      </c>
      <c r="B128">
        <f>IF(H128="","",INDEX('Debtor Ledger'!$G$2:$G$3001,H128))</f>
        <v/>
      </c>
      <c r="C128" s="6">
        <f>IF(H128="","",INDEX('Debtor Ledger'!$D$2:$D$3001,H128))</f>
        <v/>
      </c>
      <c r="D128" s="6">
        <f>IF(H128="","",INDEX('Debtor Ledger'!$E$2:$E$3001,H128))</f>
        <v/>
      </c>
      <c r="E128" s="6">
        <f>IF(H128="","",INDEX('Debtor Ledger'!$K$2:$K$3001,H128))</f>
        <v/>
      </c>
      <c r="F128" s="6">
        <f>IF(H128="","",INDEX('Debtor Ledger'!$L$2:$L$3001,H128))</f>
        <v/>
      </c>
      <c r="G128" s="34">
        <f t="array" ref="G128">IF($B$3="","",IFERROR(SMALL(IF('Debtor Ledger'!$C$2:$C$3001=$B$3,'Debtor Ledger'!$F$2:$F$3001),121),""))</f>
        <v/>
      </c>
      <c r="H128" s="21">
        <f>IF(G128="","",MATCH(G128,'Debtor Ledger'!$F$2:$F$3001,0))</f>
        <v/>
      </c>
    </row>
    <row r="129">
      <c r="A129" s="5">
        <f>IF(H129="","",INDEX('Debtor Ledger'!$B$2:$B$3001,H129))</f>
        <v/>
      </c>
      <c r="B129">
        <f>IF(H129="","",INDEX('Debtor Ledger'!$G$2:$G$3001,H129))</f>
        <v/>
      </c>
      <c r="C129" s="6">
        <f>IF(H129="","",INDEX('Debtor Ledger'!$D$2:$D$3001,H129))</f>
        <v/>
      </c>
      <c r="D129" s="6">
        <f>IF(H129="","",INDEX('Debtor Ledger'!$E$2:$E$3001,H129))</f>
        <v/>
      </c>
      <c r="E129" s="6">
        <f>IF(H129="","",INDEX('Debtor Ledger'!$K$2:$K$3001,H129))</f>
        <v/>
      </c>
      <c r="F129" s="6">
        <f>IF(H129="","",INDEX('Debtor Ledger'!$L$2:$L$3001,H129))</f>
        <v/>
      </c>
      <c r="G129" s="34">
        <f t="array" ref="G129">IF($B$3="","",IFERROR(SMALL(IF('Debtor Ledger'!$C$2:$C$3001=$B$3,'Debtor Ledger'!$F$2:$F$3001),122),""))</f>
        <v/>
      </c>
      <c r="H129" s="21">
        <f>IF(G129="","",MATCH(G129,'Debtor Ledger'!$F$2:$F$3001,0))</f>
        <v/>
      </c>
    </row>
    <row r="130">
      <c r="A130" s="5">
        <f>IF(H130="","",INDEX('Debtor Ledger'!$B$2:$B$3001,H130))</f>
        <v/>
      </c>
      <c r="B130">
        <f>IF(H130="","",INDEX('Debtor Ledger'!$G$2:$G$3001,H130))</f>
        <v/>
      </c>
      <c r="C130" s="6">
        <f>IF(H130="","",INDEX('Debtor Ledger'!$D$2:$D$3001,H130))</f>
        <v/>
      </c>
      <c r="D130" s="6">
        <f>IF(H130="","",INDEX('Debtor Ledger'!$E$2:$E$3001,H130))</f>
        <v/>
      </c>
      <c r="E130" s="6">
        <f>IF(H130="","",INDEX('Debtor Ledger'!$K$2:$K$3001,H130))</f>
        <v/>
      </c>
      <c r="F130" s="6">
        <f>IF(H130="","",INDEX('Debtor Ledger'!$L$2:$L$3001,H130))</f>
        <v/>
      </c>
      <c r="G130" s="34">
        <f t="array" ref="G130">IF($B$3="","",IFERROR(SMALL(IF('Debtor Ledger'!$C$2:$C$3001=$B$3,'Debtor Ledger'!$F$2:$F$3001),123),""))</f>
        <v/>
      </c>
      <c r="H130" s="21">
        <f>IF(G130="","",MATCH(G130,'Debtor Ledger'!$F$2:$F$3001,0))</f>
        <v/>
      </c>
    </row>
    <row r="131">
      <c r="A131" s="5">
        <f>IF(H131="","",INDEX('Debtor Ledger'!$B$2:$B$3001,H131))</f>
        <v/>
      </c>
      <c r="B131">
        <f>IF(H131="","",INDEX('Debtor Ledger'!$G$2:$G$3001,H131))</f>
        <v/>
      </c>
      <c r="C131" s="6">
        <f>IF(H131="","",INDEX('Debtor Ledger'!$D$2:$D$3001,H131))</f>
        <v/>
      </c>
      <c r="D131" s="6">
        <f>IF(H131="","",INDEX('Debtor Ledger'!$E$2:$E$3001,H131))</f>
        <v/>
      </c>
      <c r="E131" s="6">
        <f>IF(H131="","",INDEX('Debtor Ledger'!$K$2:$K$3001,H131))</f>
        <v/>
      </c>
      <c r="F131" s="6">
        <f>IF(H131="","",INDEX('Debtor Ledger'!$L$2:$L$3001,H131))</f>
        <v/>
      </c>
      <c r="G131" s="34">
        <f t="array" ref="G131">IF($B$3="","",IFERROR(SMALL(IF('Debtor Ledger'!$C$2:$C$3001=$B$3,'Debtor Ledger'!$F$2:$F$3001),124),""))</f>
        <v/>
      </c>
      <c r="H131" s="21">
        <f>IF(G131="","",MATCH(G131,'Debtor Ledger'!$F$2:$F$3001,0))</f>
        <v/>
      </c>
    </row>
    <row r="132">
      <c r="A132" s="5">
        <f>IF(H132="","",INDEX('Debtor Ledger'!$B$2:$B$3001,H132))</f>
        <v/>
      </c>
      <c r="B132">
        <f>IF(H132="","",INDEX('Debtor Ledger'!$G$2:$G$3001,H132))</f>
        <v/>
      </c>
      <c r="C132" s="6">
        <f>IF(H132="","",INDEX('Debtor Ledger'!$D$2:$D$3001,H132))</f>
        <v/>
      </c>
      <c r="D132" s="6">
        <f>IF(H132="","",INDEX('Debtor Ledger'!$E$2:$E$3001,H132))</f>
        <v/>
      </c>
      <c r="E132" s="6">
        <f>IF(H132="","",INDEX('Debtor Ledger'!$K$2:$K$3001,H132))</f>
        <v/>
      </c>
      <c r="F132" s="6">
        <f>IF(H132="","",INDEX('Debtor Ledger'!$L$2:$L$3001,H132))</f>
        <v/>
      </c>
      <c r="G132" s="34">
        <f t="array" ref="G132">IF($B$3="","",IFERROR(SMALL(IF('Debtor Ledger'!$C$2:$C$3001=$B$3,'Debtor Ledger'!$F$2:$F$3001),125),""))</f>
        <v/>
      </c>
      <c r="H132" s="21">
        <f>IF(G132="","",MATCH(G132,'Debtor Ledger'!$F$2:$F$3001,0))</f>
        <v/>
      </c>
    </row>
    <row r="133">
      <c r="A133" s="5">
        <f>IF(H133="","",INDEX('Debtor Ledger'!$B$2:$B$3001,H133))</f>
        <v/>
      </c>
      <c r="B133">
        <f>IF(H133="","",INDEX('Debtor Ledger'!$G$2:$G$3001,H133))</f>
        <v/>
      </c>
      <c r="C133" s="6">
        <f>IF(H133="","",INDEX('Debtor Ledger'!$D$2:$D$3001,H133))</f>
        <v/>
      </c>
      <c r="D133" s="6">
        <f>IF(H133="","",INDEX('Debtor Ledger'!$E$2:$E$3001,H133))</f>
        <v/>
      </c>
      <c r="E133" s="6">
        <f>IF(H133="","",INDEX('Debtor Ledger'!$K$2:$K$3001,H133))</f>
        <v/>
      </c>
      <c r="F133" s="6">
        <f>IF(H133="","",INDEX('Debtor Ledger'!$L$2:$L$3001,H133))</f>
        <v/>
      </c>
      <c r="G133" s="34">
        <f t="array" ref="G133">IF($B$3="","",IFERROR(SMALL(IF('Debtor Ledger'!$C$2:$C$3001=$B$3,'Debtor Ledger'!$F$2:$F$3001),126),""))</f>
        <v/>
      </c>
      <c r="H133" s="21">
        <f>IF(G133="","",MATCH(G133,'Debtor Ledger'!$F$2:$F$3001,0))</f>
        <v/>
      </c>
    </row>
    <row r="134">
      <c r="A134" s="5">
        <f>IF(H134="","",INDEX('Debtor Ledger'!$B$2:$B$3001,H134))</f>
        <v/>
      </c>
      <c r="B134">
        <f>IF(H134="","",INDEX('Debtor Ledger'!$G$2:$G$3001,H134))</f>
        <v/>
      </c>
      <c r="C134" s="6">
        <f>IF(H134="","",INDEX('Debtor Ledger'!$D$2:$D$3001,H134))</f>
        <v/>
      </c>
      <c r="D134" s="6">
        <f>IF(H134="","",INDEX('Debtor Ledger'!$E$2:$E$3001,H134))</f>
        <v/>
      </c>
      <c r="E134" s="6">
        <f>IF(H134="","",INDEX('Debtor Ledger'!$K$2:$K$3001,H134))</f>
        <v/>
      </c>
      <c r="F134" s="6">
        <f>IF(H134="","",INDEX('Debtor Ledger'!$L$2:$L$3001,H134))</f>
        <v/>
      </c>
      <c r="G134" s="34">
        <f t="array" ref="G134">IF($B$3="","",IFERROR(SMALL(IF('Debtor Ledger'!$C$2:$C$3001=$B$3,'Debtor Ledger'!$F$2:$F$3001),127),""))</f>
        <v/>
      </c>
      <c r="H134" s="21">
        <f>IF(G134="","",MATCH(G134,'Debtor Ledger'!$F$2:$F$3001,0))</f>
        <v/>
      </c>
    </row>
    <row r="135">
      <c r="A135" s="5">
        <f>IF(H135="","",INDEX('Debtor Ledger'!$B$2:$B$3001,H135))</f>
        <v/>
      </c>
      <c r="B135">
        <f>IF(H135="","",INDEX('Debtor Ledger'!$G$2:$G$3001,H135))</f>
        <v/>
      </c>
      <c r="C135" s="6">
        <f>IF(H135="","",INDEX('Debtor Ledger'!$D$2:$D$3001,H135))</f>
        <v/>
      </c>
      <c r="D135" s="6">
        <f>IF(H135="","",INDEX('Debtor Ledger'!$E$2:$E$3001,H135))</f>
        <v/>
      </c>
      <c r="E135" s="6">
        <f>IF(H135="","",INDEX('Debtor Ledger'!$K$2:$K$3001,H135))</f>
        <v/>
      </c>
      <c r="F135" s="6">
        <f>IF(H135="","",INDEX('Debtor Ledger'!$L$2:$L$3001,H135))</f>
        <v/>
      </c>
      <c r="G135" s="34">
        <f t="array" ref="G135">IF($B$3="","",IFERROR(SMALL(IF('Debtor Ledger'!$C$2:$C$3001=$B$3,'Debtor Ledger'!$F$2:$F$3001),128),""))</f>
        <v/>
      </c>
      <c r="H135" s="21">
        <f>IF(G135="","",MATCH(G135,'Debtor Ledger'!$F$2:$F$3001,0))</f>
        <v/>
      </c>
    </row>
    <row r="136">
      <c r="A136" s="5">
        <f>IF(H136="","",INDEX('Debtor Ledger'!$B$2:$B$3001,H136))</f>
        <v/>
      </c>
      <c r="B136">
        <f>IF(H136="","",INDEX('Debtor Ledger'!$G$2:$G$3001,H136))</f>
        <v/>
      </c>
      <c r="C136" s="6">
        <f>IF(H136="","",INDEX('Debtor Ledger'!$D$2:$D$3001,H136))</f>
        <v/>
      </c>
      <c r="D136" s="6">
        <f>IF(H136="","",INDEX('Debtor Ledger'!$E$2:$E$3001,H136))</f>
        <v/>
      </c>
      <c r="E136" s="6">
        <f>IF(H136="","",INDEX('Debtor Ledger'!$K$2:$K$3001,H136))</f>
        <v/>
      </c>
      <c r="F136" s="6">
        <f>IF(H136="","",INDEX('Debtor Ledger'!$L$2:$L$3001,H136))</f>
        <v/>
      </c>
      <c r="G136" s="34">
        <f t="array" ref="G136">IF($B$3="","",IFERROR(SMALL(IF('Debtor Ledger'!$C$2:$C$3001=$B$3,'Debtor Ledger'!$F$2:$F$3001),129),""))</f>
        <v/>
      </c>
      <c r="H136" s="21">
        <f>IF(G136="","",MATCH(G136,'Debtor Ledger'!$F$2:$F$3001,0))</f>
        <v/>
      </c>
    </row>
    <row r="137">
      <c r="A137" s="5">
        <f>IF(H137="","",INDEX('Debtor Ledger'!$B$2:$B$3001,H137))</f>
        <v/>
      </c>
      <c r="B137">
        <f>IF(H137="","",INDEX('Debtor Ledger'!$G$2:$G$3001,H137))</f>
        <v/>
      </c>
      <c r="C137" s="6">
        <f>IF(H137="","",INDEX('Debtor Ledger'!$D$2:$D$3001,H137))</f>
        <v/>
      </c>
      <c r="D137" s="6">
        <f>IF(H137="","",INDEX('Debtor Ledger'!$E$2:$E$3001,H137))</f>
        <v/>
      </c>
      <c r="E137" s="6">
        <f>IF(H137="","",INDEX('Debtor Ledger'!$K$2:$K$3001,H137))</f>
        <v/>
      </c>
      <c r="F137" s="6">
        <f>IF(H137="","",INDEX('Debtor Ledger'!$L$2:$L$3001,H137))</f>
        <v/>
      </c>
      <c r="G137" s="34">
        <f t="array" ref="G137">IF($B$3="","",IFERROR(SMALL(IF('Debtor Ledger'!$C$2:$C$3001=$B$3,'Debtor Ledger'!$F$2:$F$3001),130),""))</f>
        <v/>
      </c>
      <c r="H137" s="21">
        <f>IF(G137="","",MATCH(G137,'Debtor Ledger'!$F$2:$F$3001,0))</f>
        <v/>
      </c>
    </row>
    <row r="138">
      <c r="A138" s="5">
        <f>IF(H138="","",INDEX('Debtor Ledger'!$B$2:$B$3001,H138))</f>
        <v/>
      </c>
      <c r="B138">
        <f>IF(H138="","",INDEX('Debtor Ledger'!$G$2:$G$3001,H138))</f>
        <v/>
      </c>
      <c r="C138" s="6">
        <f>IF(H138="","",INDEX('Debtor Ledger'!$D$2:$D$3001,H138))</f>
        <v/>
      </c>
      <c r="D138" s="6">
        <f>IF(H138="","",INDEX('Debtor Ledger'!$E$2:$E$3001,H138))</f>
        <v/>
      </c>
      <c r="E138" s="6">
        <f>IF(H138="","",INDEX('Debtor Ledger'!$K$2:$K$3001,H138))</f>
        <v/>
      </c>
      <c r="F138" s="6">
        <f>IF(H138="","",INDEX('Debtor Ledger'!$L$2:$L$3001,H138))</f>
        <v/>
      </c>
      <c r="G138" s="34">
        <f t="array" ref="G138">IF($B$3="","",IFERROR(SMALL(IF('Debtor Ledger'!$C$2:$C$3001=$B$3,'Debtor Ledger'!$F$2:$F$3001),131),""))</f>
        <v/>
      </c>
      <c r="H138" s="21">
        <f>IF(G138="","",MATCH(G138,'Debtor Ledger'!$F$2:$F$3001,0))</f>
        <v/>
      </c>
    </row>
    <row r="139">
      <c r="A139" s="5">
        <f>IF(H139="","",INDEX('Debtor Ledger'!$B$2:$B$3001,H139))</f>
        <v/>
      </c>
      <c r="B139">
        <f>IF(H139="","",INDEX('Debtor Ledger'!$G$2:$G$3001,H139))</f>
        <v/>
      </c>
      <c r="C139" s="6">
        <f>IF(H139="","",INDEX('Debtor Ledger'!$D$2:$D$3001,H139))</f>
        <v/>
      </c>
      <c r="D139" s="6">
        <f>IF(H139="","",INDEX('Debtor Ledger'!$E$2:$E$3001,H139))</f>
        <v/>
      </c>
      <c r="E139" s="6">
        <f>IF(H139="","",INDEX('Debtor Ledger'!$K$2:$K$3001,H139))</f>
        <v/>
      </c>
      <c r="F139" s="6">
        <f>IF(H139="","",INDEX('Debtor Ledger'!$L$2:$L$3001,H139))</f>
        <v/>
      </c>
      <c r="G139" s="34">
        <f t="array" ref="G139">IF($B$3="","",IFERROR(SMALL(IF('Debtor Ledger'!$C$2:$C$3001=$B$3,'Debtor Ledger'!$F$2:$F$3001),132),""))</f>
        <v/>
      </c>
      <c r="H139" s="21">
        <f>IF(G139="","",MATCH(G139,'Debtor Ledger'!$F$2:$F$3001,0))</f>
        <v/>
      </c>
    </row>
    <row r="140">
      <c r="A140" s="5">
        <f>IF(H140="","",INDEX('Debtor Ledger'!$B$2:$B$3001,H140))</f>
        <v/>
      </c>
      <c r="B140">
        <f>IF(H140="","",INDEX('Debtor Ledger'!$G$2:$G$3001,H140))</f>
        <v/>
      </c>
      <c r="C140" s="6">
        <f>IF(H140="","",INDEX('Debtor Ledger'!$D$2:$D$3001,H140))</f>
        <v/>
      </c>
      <c r="D140" s="6">
        <f>IF(H140="","",INDEX('Debtor Ledger'!$E$2:$E$3001,H140))</f>
        <v/>
      </c>
      <c r="E140" s="6">
        <f>IF(H140="","",INDEX('Debtor Ledger'!$K$2:$K$3001,H140))</f>
        <v/>
      </c>
      <c r="F140" s="6">
        <f>IF(H140="","",INDEX('Debtor Ledger'!$L$2:$L$3001,H140))</f>
        <v/>
      </c>
      <c r="G140" s="34">
        <f t="array" ref="G140">IF($B$3="","",IFERROR(SMALL(IF('Debtor Ledger'!$C$2:$C$3001=$B$3,'Debtor Ledger'!$F$2:$F$3001),133),""))</f>
        <v/>
      </c>
      <c r="H140" s="21">
        <f>IF(G140="","",MATCH(G140,'Debtor Ledger'!$F$2:$F$3001,0))</f>
        <v/>
      </c>
    </row>
    <row r="141">
      <c r="A141" s="5">
        <f>IF(H141="","",INDEX('Debtor Ledger'!$B$2:$B$3001,H141))</f>
        <v/>
      </c>
      <c r="B141">
        <f>IF(H141="","",INDEX('Debtor Ledger'!$G$2:$G$3001,H141))</f>
        <v/>
      </c>
      <c r="C141" s="6">
        <f>IF(H141="","",INDEX('Debtor Ledger'!$D$2:$D$3001,H141))</f>
        <v/>
      </c>
      <c r="D141" s="6">
        <f>IF(H141="","",INDEX('Debtor Ledger'!$E$2:$E$3001,H141))</f>
        <v/>
      </c>
      <c r="E141" s="6">
        <f>IF(H141="","",INDEX('Debtor Ledger'!$K$2:$K$3001,H141))</f>
        <v/>
      </c>
      <c r="F141" s="6">
        <f>IF(H141="","",INDEX('Debtor Ledger'!$L$2:$L$3001,H141))</f>
        <v/>
      </c>
      <c r="G141" s="34">
        <f t="array" ref="G141">IF($B$3="","",IFERROR(SMALL(IF('Debtor Ledger'!$C$2:$C$3001=$B$3,'Debtor Ledger'!$F$2:$F$3001),134),""))</f>
        <v/>
      </c>
      <c r="H141" s="21">
        <f>IF(G141="","",MATCH(G141,'Debtor Ledger'!$F$2:$F$3001,0))</f>
        <v/>
      </c>
    </row>
    <row r="142">
      <c r="A142" s="5">
        <f>IF(H142="","",INDEX('Debtor Ledger'!$B$2:$B$3001,H142))</f>
        <v/>
      </c>
      <c r="B142">
        <f>IF(H142="","",INDEX('Debtor Ledger'!$G$2:$G$3001,H142))</f>
        <v/>
      </c>
      <c r="C142" s="6">
        <f>IF(H142="","",INDEX('Debtor Ledger'!$D$2:$D$3001,H142))</f>
        <v/>
      </c>
      <c r="D142" s="6">
        <f>IF(H142="","",INDEX('Debtor Ledger'!$E$2:$E$3001,H142))</f>
        <v/>
      </c>
      <c r="E142" s="6">
        <f>IF(H142="","",INDEX('Debtor Ledger'!$K$2:$K$3001,H142))</f>
        <v/>
      </c>
      <c r="F142" s="6">
        <f>IF(H142="","",INDEX('Debtor Ledger'!$L$2:$L$3001,H142))</f>
        <v/>
      </c>
      <c r="G142" s="34">
        <f t="array" ref="G142">IF($B$3="","",IFERROR(SMALL(IF('Debtor Ledger'!$C$2:$C$3001=$B$3,'Debtor Ledger'!$F$2:$F$3001),135),""))</f>
        <v/>
      </c>
      <c r="H142" s="21">
        <f>IF(G142="","",MATCH(G142,'Debtor Ledger'!$F$2:$F$3001,0))</f>
        <v/>
      </c>
    </row>
    <row r="143">
      <c r="A143" s="5">
        <f>IF(H143="","",INDEX('Debtor Ledger'!$B$2:$B$3001,H143))</f>
        <v/>
      </c>
      <c r="B143">
        <f>IF(H143="","",INDEX('Debtor Ledger'!$G$2:$G$3001,H143))</f>
        <v/>
      </c>
      <c r="C143" s="6">
        <f>IF(H143="","",INDEX('Debtor Ledger'!$D$2:$D$3001,H143))</f>
        <v/>
      </c>
      <c r="D143" s="6">
        <f>IF(H143="","",INDEX('Debtor Ledger'!$E$2:$E$3001,H143))</f>
        <v/>
      </c>
      <c r="E143" s="6">
        <f>IF(H143="","",INDEX('Debtor Ledger'!$K$2:$K$3001,H143))</f>
        <v/>
      </c>
      <c r="F143" s="6">
        <f>IF(H143="","",INDEX('Debtor Ledger'!$L$2:$L$3001,H143))</f>
        <v/>
      </c>
      <c r="G143" s="34">
        <f t="array" ref="G143">IF($B$3="","",IFERROR(SMALL(IF('Debtor Ledger'!$C$2:$C$3001=$B$3,'Debtor Ledger'!$F$2:$F$3001),136),""))</f>
        <v/>
      </c>
      <c r="H143" s="21">
        <f>IF(G143="","",MATCH(G143,'Debtor Ledger'!$F$2:$F$3001,0))</f>
        <v/>
      </c>
    </row>
    <row r="144">
      <c r="A144" s="5">
        <f>IF(H144="","",INDEX('Debtor Ledger'!$B$2:$B$3001,H144))</f>
        <v/>
      </c>
      <c r="B144">
        <f>IF(H144="","",INDEX('Debtor Ledger'!$G$2:$G$3001,H144))</f>
        <v/>
      </c>
      <c r="C144" s="6">
        <f>IF(H144="","",INDEX('Debtor Ledger'!$D$2:$D$3001,H144))</f>
        <v/>
      </c>
      <c r="D144" s="6">
        <f>IF(H144="","",INDEX('Debtor Ledger'!$E$2:$E$3001,H144))</f>
        <v/>
      </c>
      <c r="E144" s="6">
        <f>IF(H144="","",INDEX('Debtor Ledger'!$K$2:$K$3001,H144))</f>
        <v/>
      </c>
      <c r="F144" s="6">
        <f>IF(H144="","",INDEX('Debtor Ledger'!$L$2:$L$3001,H144))</f>
        <v/>
      </c>
      <c r="G144" s="34">
        <f t="array" ref="G144">IF($B$3="","",IFERROR(SMALL(IF('Debtor Ledger'!$C$2:$C$3001=$B$3,'Debtor Ledger'!$F$2:$F$3001),137),""))</f>
        <v/>
      </c>
      <c r="H144" s="21">
        <f>IF(G144="","",MATCH(G144,'Debtor Ledger'!$F$2:$F$3001,0))</f>
        <v/>
      </c>
    </row>
    <row r="145">
      <c r="A145" s="5">
        <f>IF(H145="","",INDEX('Debtor Ledger'!$B$2:$B$3001,H145))</f>
        <v/>
      </c>
      <c r="B145">
        <f>IF(H145="","",INDEX('Debtor Ledger'!$G$2:$G$3001,H145))</f>
        <v/>
      </c>
      <c r="C145" s="6">
        <f>IF(H145="","",INDEX('Debtor Ledger'!$D$2:$D$3001,H145))</f>
        <v/>
      </c>
      <c r="D145" s="6">
        <f>IF(H145="","",INDEX('Debtor Ledger'!$E$2:$E$3001,H145))</f>
        <v/>
      </c>
      <c r="E145" s="6">
        <f>IF(H145="","",INDEX('Debtor Ledger'!$K$2:$K$3001,H145))</f>
        <v/>
      </c>
      <c r="F145" s="6">
        <f>IF(H145="","",INDEX('Debtor Ledger'!$L$2:$L$3001,H145))</f>
        <v/>
      </c>
      <c r="G145" s="34">
        <f t="array" ref="G145">IF($B$3="","",IFERROR(SMALL(IF('Debtor Ledger'!$C$2:$C$3001=$B$3,'Debtor Ledger'!$F$2:$F$3001),138),""))</f>
        <v/>
      </c>
      <c r="H145" s="21">
        <f>IF(G145="","",MATCH(G145,'Debtor Ledger'!$F$2:$F$3001,0))</f>
        <v/>
      </c>
    </row>
    <row r="146">
      <c r="A146" s="5">
        <f>IF(H146="","",INDEX('Debtor Ledger'!$B$2:$B$3001,H146))</f>
        <v/>
      </c>
      <c r="B146">
        <f>IF(H146="","",INDEX('Debtor Ledger'!$G$2:$G$3001,H146))</f>
        <v/>
      </c>
      <c r="C146" s="6">
        <f>IF(H146="","",INDEX('Debtor Ledger'!$D$2:$D$3001,H146))</f>
        <v/>
      </c>
      <c r="D146" s="6">
        <f>IF(H146="","",INDEX('Debtor Ledger'!$E$2:$E$3001,H146))</f>
        <v/>
      </c>
      <c r="E146" s="6">
        <f>IF(H146="","",INDEX('Debtor Ledger'!$K$2:$K$3001,H146))</f>
        <v/>
      </c>
      <c r="F146" s="6">
        <f>IF(H146="","",INDEX('Debtor Ledger'!$L$2:$L$3001,H146))</f>
        <v/>
      </c>
      <c r="G146" s="34">
        <f t="array" ref="G146">IF($B$3="","",IFERROR(SMALL(IF('Debtor Ledger'!$C$2:$C$3001=$B$3,'Debtor Ledger'!$F$2:$F$3001),139),""))</f>
        <v/>
      </c>
      <c r="H146" s="21">
        <f>IF(G146="","",MATCH(G146,'Debtor Ledger'!$F$2:$F$3001,0))</f>
        <v/>
      </c>
    </row>
    <row r="147">
      <c r="A147" s="5">
        <f>IF(H147="","",INDEX('Debtor Ledger'!$B$2:$B$3001,H147))</f>
        <v/>
      </c>
      <c r="B147">
        <f>IF(H147="","",INDEX('Debtor Ledger'!$G$2:$G$3001,H147))</f>
        <v/>
      </c>
      <c r="C147" s="6">
        <f>IF(H147="","",INDEX('Debtor Ledger'!$D$2:$D$3001,H147))</f>
        <v/>
      </c>
      <c r="D147" s="6">
        <f>IF(H147="","",INDEX('Debtor Ledger'!$E$2:$E$3001,H147))</f>
        <v/>
      </c>
      <c r="E147" s="6">
        <f>IF(H147="","",INDEX('Debtor Ledger'!$K$2:$K$3001,H147))</f>
        <v/>
      </c>
      <c r="F147" s="6">
        <f>IF(H147="","",INDEX('Debtor Ledger'!$L$2:$L$3001,H147))</f>
        <v/>
      </c>
      <c r="G147" s="34">
        <f t="array" ref="G147">IF($B$3="","",IFERROR(SMALL(IF('Debtor Ledger'!$C$2:$C$3001=$B$3,'Debtor Ledger'!$F$2:$F$3001),140),""))</f>
        <v/>
      </c>
      <c r="H147" s="21">
        <f>IF(G147="","",MATCH(G147,'Debtor Ledger'!$F$2:$F$3001,0))</f>
        <v/>
      </c>
    </row>
    <row r="148">
      <c r="A148" s="5">
        <f>IF(H148="","",INDEX('Debtor Ledger'!$B$2:$B$3001,H148))</f>
        <v/>
      </c>
      <c r="B148">
        <f>IF(H148="","",INDEX('Debtor Ledger'!$G$2:$G$3001,H148))</f>
        <v/>
      </c>
      <c r="C148" s="6">
        <f>IF(H148="","",INDEX('Debtor Ledger'!$D$2:$D$3001,H148))</f>
        <v/>
      </c>
      <c r="D148" s="6">
        <f>IF(H148="","",INDEX('Debtor Ledger'!$E$2:$E$3001,H148))</f>
        <v/>
      </c>
      <c r="E148" s="6">
        <f>IF(H148="","",INDEX('Debtor Ledger'!$K$2:$K$3001,H148))</f>
        <v/>
      </c>
      <c r="F148" s="6">
        <f>IF(H148="","",INDEX('Debtor Ledger'!$L$2:$L$3001,H148))</f>
        <v/>
      </c>
      <c r="G148" s="34">
        <f t="array" ref="G148">IF($B$3="","",IFERROR(SMALL(IF('Debtor Ledger'!$C$2:$C$3001=$B$3,'Debtor Ledger'!$F$2:$F$3001),141),""))</f>
        <v/>
      </c>
      <c r="H148" s="21">
        <f>IF(G148="","",MATCH(G148,'Debtor Ledger'!$F$2:$F$3001,0))</f>
        <v/>
      </c>
    </row>
    <row r="149">
      <c r="A149" s="5">
        <f>IF(H149="","",INDEX('Debtor Ledger'!$B$2:$B$3001,H149))</f>
        <v/>
      </c>
      <c r="B149">
        <f>IF(H149="","",INDEX('Debtor Ledger'!$G$2:$G$3001,H149))</f>
        <v/>
      </c>
      <c r="C149" s="6">
        <f>IF(H149="","",INDEX('Debtor Ledger'!$D$2:$D$3001,H149))</f>
        <v/>
      </c>
      <c r="D149" s="6">
        <f>IF(H149="","",INDEX('Debtor Ledger'!$E$2:$E$3001,H149))</f>
        <v/>
      </c>
      <c r="E149" s="6">
        <f>IF(H149="","",INDEX('Debtor Ledger'!$K$2:$K$3001,H149))</f>
        <v/>
      </c>
      <c r="F149" s="6">
        <f>IF(H149="","",INDEX('Debtor Ledger'!$L$2:$L$3001,H149))</f>
        <v/>
      </c>
      <c r="G149" s="34">
        <f t="array" ref="G149">IF($B$3="","",IFERROR(SMALL(IF('Debtor Ledger'!$C$2:$C$3001=$B$3,'Debtor Ledger'!$F$2:$F$3001),142),""))</f>
        <v/>
      </c>
      <c r="H149" s="21">
        <f>IF(G149="","",MATCH(G149,'Debtor Ledger'!$F$2:$F$3001,0))</f>
        <v/>
      </c>
    </row>
    <row r="150">
      <c r="A150" s="5">
        <f>IF(H150="","",INDEX('Debtor Ledger'!$B$2:$B$3001,H150))</f>
        <v/>
      </c>
      <c r="B150">
        <f>IF(H150="","",INDEX('Debtor Ledger'!$G$2:$G$3001,H150))</f>
        <v/>
      </c>
      <c r="C150" s="6">
        <f>IF(H150="","",INDEX('Debtor Ledger'!$D$2:$D$3001,H150))</f>
        <v/>
      </c>
      <c r="D150" s="6">
        <f>IF(H150="","",INDEX('Debtor Ledger'!$E$2:$E$3001,H150))</f>
        <v/>
      </c>
      <c r="E150" s="6">
        <f>IF(H150="","",INDEX('Debtor Ledger'!$K$2:$K$3001,H150))</f>
        <v/>
      </c>
      <c r="F150" s="6">
        <f>IF(H150="","",INDEX('Debtor Ledger'!$L$2:$L$3001,H150))</f>
        <v/>
      </c>
      <c r="G150" s="34">
        <f t="array" ref="G150">IF($B$3="","",IFERROR(SMALL(IF('Debtor Ledger'!$C$2:$C$3001=$B$3,'Debtor Ledger'!$F$2:$F$3001),143),""))</f>
        <v/>
      </c>
      <c r="H150" s="21">
        <f>IF(G150="","",MATCH(G150,'Debtor Ledger'!$F$2:$F$3001,0))</f>
        <v/>
      </c>
    </row>
    <row r="151">
      <c r="A151" s="5">
        <f>IF(H151="","",INDEX('Debtor Ledger'!$B$2:$B$3001,H151))</f>
        <v/>
      </c>
      <c r="B151">
        <f>IF(H151="","",INDEX('Debtor Ledger'!$G$2:$G$3001,H151))</f>
        <v/>
      </c>
      <c r="C151" s="6">
        <f>IF(H151="","",INDEX('Debtor Ledger'!$D$2:$D$3001,H151))</f>
        <v/>
      </c>
      <c r="D151" s="6">
        <f>IF(H151="","",INDEX('Debtor Ledger'!$E$2:$E$3001,H151))</f>
        <v/>
      </c>
      <c r="E151" s="6">
        <f>IF(H151="","",INDEX('Debtor Ledger'!$K$2:$K$3001,H151))</f>
        <v/>
      </c>
      <c r="F151" s="6">
        <f>IF(H151="","",INDEX('Debtor Ledger'!$L$2:$L$3001,H151))</f>
        <v/>
      </c>
      <c r="G151" s="34">
        <f t="array" ref="G151">IF($B$3="","",IFERROR(SMALL(IF('Debtor Ledger'!$C$2:$C$3001=$B$3,'Debtor Ledger'!$F$2:$F$3001),144),""))</f>
        <v/>
      </c>
      <c r="H151" s="21">
        <f>IF(G151="","",MATCH(G151,'Debtor Ledger'!$F$2:$F$3001,0))</f>
        <v/>
      </c>
    </row>
    <row r="152">
      <c r="A152" s="5">
        <f>IF(H152="","",INDEX('Debtor Ledger'!$B$2:$B$3001,H152))</f>
        <v/>
      </c>
      <c r="B152">
        <f>IF(H152="","",INDEX('Debtor Ledger'!$G$2:$G$3001,H152))</f>
        <v/>
      </c>
      <c r="C152" s="6">
        <f>IF(H152="","",INDEX('Debtor Ledger'!$D$2:$D$3001,H152))</f>
        <v/>
      </c>
      <c r="D152" s="6">
        <f>IF(H152="","",INDEX('Debtor Ledger'!$E$2:$E$3001,H152))</f>
        <v/>
      </c>
      <c r="E152" s="6">
        <f>IF(H152="","",INDEX('Debtor Ledger'!$K$2:$K$3001,H152))</f>
        <v/>
      </c>
      <c r="F152" s="6">
        <f>IF(H152="","",INDEX('Debtor Ledger'!$L$2:$L$3001,H152))</f>
        <v/>
      </c>
      <c r="G152" s="34">
        <f t="array" ref="G152">IF($B$3="","",IFERROR(SMALL(IF('Debtor Ledger'!$C$2:$C$3001=$B$3,'Debtor Ledger'!$F$2:$F$3001),145),""))</f>
        <v/>
      </c>
      <c r="H152" s="21">
        <f>IF(G152="","",MATCH(G152,'Debtor Ledger'!$F$2:$F$3001,0))</f>
        <v/>
      </c>
    </row>
    <row r="153">
      <c r="A153" s="5">
        <f>IF(H153="","",INDEX('Debtor Ledger'!$B$2:$B$3001,H153))</f>
        <v/>
      </c>
      <c r="B153">
        <f>IF(H153="","",INDEX('Debtor Ledger'!$G$2:$G$3001,H153))</f>
        <v/>
      </c>
      <c r="C153" s="6">
        <f>IF(H153="","",INDEX('Debtor Ledger'!$D$2:$D$3001,H153))</f>
        <v/>
      </c>
      <c r="D153" s="6">
        <f>IF(H153="","",INDEX('Debtor Ledger'!$E$2:$E$3001,H153))</f>
        <v/>
      </c>
      <c r="E153" s="6">
        <f>IF(H153="","",INDEX('Debtor Ledger'!$K$2:$K$3001,H153))</f>
        <v/>
      </c>
      <c r="F153" s="6">
        <f>IF(H153="","",INDEX('Debtor Ledger'!$L$2:$L$3001,H153))</f>
        <v/>
      </c>
      <c r="G153" s="34">
        <f t="array" ref="G153">IF($B$3="","",IFERROR(SMALL(IF('Debtor Ledger'!$C$2:$C$3001=$B$3,'Debtor Ledger'!$F$2:$F$3001),146),""))</f>
        <v/>
      </c>
      <c r="H153" s="21">
        <f>IF(G153="","",MATCH(G153,'Debtor Ledger'!$F$2:$F$3001,0))</f>
        <v/>
      </c>
    </row>
    <row r="154">
      <c r="A154" s="5">
        <f>IF(H154="","",INDEX('Debtor Ledger'!$B$2:$B$3001,H154))</f>
        <v/>
      </c>
      <c r="B154">
        <f>IF(H154="","",INDEX('Debtor Ledger'!$G$2:$G$3001,H154))</f>
        <v/>
      </c>
      <c r="C154" s="6">
        <f>IF(H154="","",INDEX('Debtor Ledger'!$D$2:$D$3001,H154))</f>
        <v/>
      </c>
      <c r="D154" s="6">
        <f>IF(H154="","",INDEX('Debtor Ledger'!$E$2:$E$3001,H154))</f>
        <v/>
      </c>
      <c r="E154" s="6">
        <f>IF(H154="","",INDEX('Debtor Ledger'!$K$2:$K$3001,H154))</f>
        <v/>
      </c>
      <c r="F154" s="6">
        <f>IF(H154="","",INDEX('Debtor Ledger'!$L$2:$L$3001,H154))</f>
        <v/>
      </c>
      <c r="G154" s="34">
        <f t="array" ref="G154">IF($B$3="","",IFERROR(SMALL(IF('Debtor Ledger'!$C$2:$C$3001=$B$3,'Debtor Ledger'!$F$2:$F$3001),147),""))</f>
        <v/>
      </c>
      <c r="H154" s="21">
        <f>IF(G154="","",MATCH(G154,'Debtor Ledger'!$F$2:$F$3001,0))</f>
        <v/>
      </c>
    </row>
    <row r="155">
      <c r="A155" s="5">
        <f>IF(H155="","",INDEX('Debtor Ledger'!$B$2:$B$3001,H155))</f>
        <v/>
      </c>
      <c r="B155">
        <f>IF(H155="","",INDEX('Debtor Ledger'!$G$2:$G$3001,H155))</f>
        <v/>
      </c>
      <c r="C155" s="6">
        <f>IF(H155="","",INDEX('Debtor Ledger'!$D$2:$D$3001,H155))</f>
        <v/>
      </c>
      <c r="D155" s="6">
        <f>IF(H155="","",INDEX('Debtor Ledger'!$E$2:$E$3001,H155))</f>
        <v/>
      </c>
      <c r="E155" s="6">
        <f>IF(H155="","",INDEX('Debtor Ledger'!$K$2:$K$3001,H155))</f>
        <v/>
      </c>
      <c r="F155" s="6">
        <f>IF(H155="","",INDEX('Debtor Ledger'!$L$2:$L$3001,H155))</f>
        <v/>
      </c>
      <c r="G155" s="34">
        <f t="array" ref="G155">IF($B$3="","",IFERROR(SMALL(IF('Debtor Ledger'!$C$2:$C$3001=$B$3,'Debtor Ledger'!$F$2:$F$3001),148),""))</f>
        <v/>
      </c>
      <c r="H155" s="21">
        <f>IF(G155="","",MATCH(G155,'Debtor Ledger'!$F$2:$F$3001,0))</f>
        <v/>
      </c>
    </row>
    <row r="156">
      <c r="A156" s="5">
        <f>IF(H156="","",INDEX('Debtor Ledger'!$B$2:$B$3001,H156))</f>
        <v/>
      </c>
      <c r="B156">
        <f>IF(H156="","",INDEX('Debtor Ledger'!$G$2:$G$3001,H156))</f>
        <v/>
      </c>
      <c r="C156" s="6">
        <f>IF(H156="","",INDEX('Debtor Ledger'!$D$2:$D$3001,H156))</f>
        <v/>
      </c>
      <c r="D156" s="6">
        <f>IF(H156="","",INDEX('Debtor Ledger'!$E$2:$E$3001,H156))</f>
        <v/>
      </c>
      <c r="E156" s="6">
        <f>IF(H156="","",INDEX('Debtor Ledger'!$K$2:$K$3001,H156))</f>
        <v/>
      </c>
      <c r="F156" s="6">
        <f>IF(H156="","",INDEX('Debtor Ledger'!$L$2:$L$3001,H156))</f>
        <v/>
      </c>
      <c r="G156" s="34">
        <f t="array" ref="G156">IF($B$3="","",IFERROR(SMALL(IF('Debtor Ledger'!$C$2:$C$3001=$B$3,'Debtor Ledger'!$F$2:$F$3001),149),""))</f>
        <v/>
      </c>
      <c r="H156" s="21">
        <f>IF(G156="","",MATCH(G156,'Debtor Ledger'!$F$2:$F$3001,0))</f>
        <v/>
      </c>
    </row>
    <row r="157">
      <c r="A157" s="5">
        <f>IF(H157="","",INDEX('Debtor Ledger'!$B$2:$B$3001,H157))</f>
        <v/>
      </c>
      <c r="B157">
        <f>IF(H157="","",INDEX('Debtor Ledger'!$G$2:$G$3001,H157))</f>
        <v/>
      </c>
      <c r="C157" s="6">
        <f>IF(H157="","",INDEX('Debtor Ledger'!$D$2:$D$3001,H157))</f>
        <v/>
      </c>
      <c r="D157" s="6">
        <f>IF(H157="","",INDEX('Debtor Ledger'!$E$2:$E$3001,H157))</f>
        <v/>
      </c>
      <c r="E157" s="6">
        <f>IF(H157="","",INDEX('Debtor Ledger'!$K$2:$K$3001,H157))</f>
        <v/>
      </c>
      <c r="F157" s="6">
        <f>IF(H157="","",INDEX('Debtor Ledger'!$L$2:$L$3001,H157))</f>
        <v/>
      </c>
      <c r="G157" s="34">
        <f t="array" ref="G157">IF($B$3="","",IFERROR(SMALL(IF('Debtor Ledger'!$C$2:$C$3001=$B$3,'Debtor Ledger'!$F$2:$F$3001),150),""))</f>
        <v/>
      </c>
      <c r="H157" s="21">
        <f>IF(G157="","",MATCH(G157,'Debtor Ledger'!$F$2:$F$3001,0))</f>
        <v/>
      </c>
    </row>
    <row r="158">
      <c r="A158" s="5">
        <f>IF(H158="","",INDEX('Debtor Ledger'!$B$2:$B$3001,H158))</f>
        <v/>
      </c>
      <c r="B158">
        <f>IF(H158="","",INDEX('Debtor Ledger'!$G$2:$G$3001,H158))</f>
        <v/>
      </c>
      <c r="C158" s="6">
        <f>IF(H158="","",INDEX('Debtor Ledger'!$D$2:$D$3001,H158))</f>
        <v/>
      </c>
      <c r="D158" s="6">
        <f>IF(H158="","",INDEX('Debtor Ledger'!$E$2:$E$3001,H158))</f>
        <v/>
      </c>
      <c r="E158" s="6">
        <f>IF(H158="","",INDEX('Debtor Ledger'!$K$2:$K$3001,H158))</f>
        <v/>
      </c>
      <c r="F158" s="6">
        <f>IF(H158="","",INDEX('Debtor Ledger'!$L$2:$L$3001,H158))</f>
        <v/>
      </c>
      <c r="G158" s="34">
        <f t="array" ref="G158">IF($B$3="","",IFERROR(SMALL(IF('Debtor Ledger'!$C$2:$C$3001=$B$3,'Debtor Ledger'!$F$2:$F$3001),151),""))</f>
        <v/>
      </c>
      <c r="H158" s="21">
        <f>IF(G158="","",MATCH(G158,'Debtor Ledger'!$F$2:$F$3001,0))</f>
        <v/>
      </c>
    </row>
    <row r="159">
      <c r="A159" s="5">
        <f>IF(H159="","",INDEX('Debtor Ledger'!$B$2:$B$3001,H159))</f>
        <v/>
      </c>
      <c r="B159">
        <f>IF(H159="","",INDEX('Debtor Ledger'!$G$2:$G$3001,H159))</f>
        <v/>
      </c>
      <c r="C159" s="6">
        <f>IF(H159="","",INDEX('Debtor Ledger'!$D$2:$D$3001,H159))</f>
        <v/>
      </c>
      <c r="D159" s="6">
        <f>IF(H159="","",INDEX('Debtor Ledger'!$E$2:$E$3001,H159))</f>
        <v/>
      </c>
      <c r="E159" s="6">
        <f>IF(H159="","",INDEX('Debtor Ledger'!$K$2:$K$3001,H159))</f>
        <v/>
      </c>
      <c r="F159" s="6">
        <f>IF(H159="","",INDEX('Debtor Ledger'!$L$2:$L$3001,H159))</f>
        <v/>
      </c>
      <c r="G159" s="34">
        <f t="array" ref="G159">IF($B$3="","",IFERROR(SMALL(IF('Debtor Ledger'!$C$2:$C$3001=$B$3,'Debtor Ledger'!$F$2:$F$3001),152),""))</f>
        <v/>
      </c>
      <c r="H159" s="21">
        <f>IF(G159="","",MATCH(G159,'Debtor Ledger'!$F$2:$F$3001,0))</f>
        <v/>
      </c>
    </row>
    <row r="160">
      <c r="A160" s="5">
        <f>IF(H160="","",INDEX('Debtor Ledger'!$B$2:$B$3001,H160))</f>
        <v/>
      </c>
      <c r="B160">
        <f>IF(H160="","",INDEX('Debtor Ledger'!$G$2:$G$3001,H160))</f>
        <v/>
      </c>
      <c r="C160" s="6">
        <f>IF(H160="","",INDEX('Debtor Ledger'!$D$2:$D$3001,H160))</f>
        <v/>
      </c>
      <c r="D160" s="6">
        <f>IF(H160="","",INDEX('Debtor Ledger'!$E$2:$E$3001,H160))</f>
        <v/>
      </c>
      <c r="E160" s="6">
        <f>IF(H160="","",INDEX('Debtor Ledger'!$K$2:$K$3001,H160))</f>
        <v/>
      </c>
      <c r="F160" s="6">
        <f>IF(H160="","",INDEX('Debtor Ledger'!$L$2:$L$3001,H160))</f>
        <v/>
      </c>
      <c r="G160" s="34">
        <f t="array" ref="G160">IF($B$3="","",IFERROR(SMALL(IF('Debtor Ledger'!$C$2:$C$3001=$B$3,'Debtor Ledger'!$F$2:$F$3001),153),""))</f>
        <v/>
      </c>
      <c r="H160" s="21">
        <f>IF(G160="","",MATCH(G160,'Debtor Ledger'!$F$2:$F$3001,0))</f>
        <v/>
      </c>
    </row>
    <row r="161">
      <c r="A161" s="5">
        <f>IF(H161="","",INDEX('Debtor Ledger'!$B$2:$B$3001,H161))</f>
        <v/>
      </c>
      <c r="B161">
        <f>IF(H161="","",INDEX('Debtor Ledger'!$G$2:$G$3001,H161))</f>
        <v/>
      </c>
      <c r="C161" s="6">
        <f>IF(H161="","",INDEX('Debtor Ledger'!$D$2:$D$3001,H161))</f>
        <v/>
      </c>
      <c r="D161" s="6">
        <f>IF(H161="","",INDEX('Debtor Ledger'!$E$2:$E$3001,H161))</f>
        <v/>
      </c>
      <c r="E161" s="6">
        <f>IF(H161="","",INDEX('Debtor Ledger'!$K$2:$K$3001,H161))</f>
        <v/>
      </c>
      <c r="F161" s="6">
        <f>IF(H161="","",INDEX('Debtor Ledger'!$L$2:$L$3001,H161))</f>
        <v/>
      </c>
      <c r="G161" s="34">
        <f t="array" ref="G161">IF($B$3="","",IFERROR(SMALL(IF('Debtor Ledger'!$C$2:$C$3001=$B$3,'Debtor Ledger'!$F$2:$F$3001),154),""))</f>
        <v/>
      </c>
      <c r="H161" s="21">
        <f>IF(G161="","",MATCH(G161,'Debtor Ledger'!$F$2:$F$3001,0))</f>
        <v/>
      </c>
    </row>
    <row r="162">
      <c r="A162" s="5">
        <f>IF(H162="","",INDEX('Debtor Ledger'!$B$2:$B$3001,H162))</f>
        <v/>
      </c>
      <c r="B162">
        <f>IF(H162="","",INDEX('Debtor Ledger'!$G$2:$G$3001,H162))</f>
        <v/>
      </c>
      <c r="C162" s="6">
        <f>IF(H162="","",INDEX('Debtor Ledger'!$D$2:$D$3001,H162))</f>
        <v/>
      </c>
      <c r="D162" s="6">
        <f>IF(H162="","",INDEX('Debtor Ledger'!$E$2:$E$3001,H162))</f>
        <v/>
      </c>
      <c r="E162" s="6">
        <f>IF(H162="","",INDEX('Debtor Ledger'!$K$2:$K$3001,H162))</f>
        <v/>
      </c>
      <c r="F162" s="6">
        <f>IF(H162="","",INDEX('Debtor Ledger'!$L$2:$L$3001,H162))</f>
        <v/>
      </c>
      <c r="G162" s="34">
        <f t="array" ref="G162">IF($B$3="","",IFERROR(SMALL(IF('Debtor Ledger'!$C$2:$C$3001=$B$3,'Debtor Ledger'!$F$2:$F$3001),155),""))</f>
        <v/>
      </c>
      <c r="H162" s="21">
        <f>IF(G162="","",MATCH(G162,'Debtor Ledger'!$F$2:$F$3001,0))</f>
        <v/>
      </c>
    </row>
    <row r="163">
      <c r="A163" s="5">
        <f>IF(H163="","",INDEX('Debtor Ledger'!$B$2:$B$3001,H163))</f>
        <v/>
      </c>
      <c r="B163">
        <f>IF(H163="","",INDEX('Debtor Ledger'!$G$2:$G$3001,H163))</f>
        <v/>
      </c>
      <c r="C163" s="6">
        <f>IF(H163="","",INDEX('Debtor Ledger'!$D$2:$D$3001,H163))</f>
        <v/>
      </c>
      <c r="D163" s="6">
        <f>IF(H163="","",INDEX('Debtor Ledger'!$E$2:$E$3001,H163))</f>
        <v/>
      </c>
      <c r="E163" s="6">
        <f>IF(H163="","",INDEX('Debtor Ledger'!$K$2:$K$3001,H163))</f>
        <v/>
      </c>
      <c r="F163" s="6">
        <f>IF(H163="","",INDEX('Debtor Ledger'!$L$2:$L$3001,H163))</f>
        <v/>
      </c>
      <c r="G163" s="34">
        <f t="array" ref="G163">IF($B$3="","",IFERROR(SMALL(IF('Debtor Ledger'!$C$2:$C$3001=$B$3,'Debtor Ledger'!$F$2:$F$3001),156),""))</f>
        <v/>
      </c>
      <c r="H163" s="21">
        <f>IF(G163="","",MATCH(G163,'Debtor Ledger'!$F$2:$F$3001,0))</f>
        <v/>
      </c>
    </row>
    <row r="164">
      <c r="A164" s="5">
        <f>IF(H164="","",INDEX('Debtor Ledger'!$B$2:$B$3001,H164))</f>
        <v/>
      </c>
      <c r="B164">
        <f>IF(H164="","",INDEX('Debtor Ledger'!$G$2:$G$3001,H164))</f>
        <v/>
      </c>
      <c r="C164" s="6">
        <f>IF(H164="","",INDEX('Debtor Ledger'!$D$2:$D$3001,H164))</f>
        <v/>
      </c>
      <c r="D164" s="6">
        <f>IF(H164="","",INDEX('Debtor Ledger'!$E$2:$E$3001,H164))</f>
        <v/>
      </c>
      <c r="E164" s="6">
        <f>IF(H164="","",INDEX('Debtor Ledger'!$K$2:$K$3001,H164))</f>
        <v/>
      </c>
      <c r="F164" s="6">
        <f>IF(H164="","",INDEX('Debtor Ledger'!$L$2:$L$3001,H164))</f>
        <v/>
      </c>
      <c r="G164" s="34">
        <f t="array" ref="G164">IF($B$3="","",IFERROR(SMALL(IF('Debtor Ledger'!$C$2:$C$3001=$B$3,'Debtor Ledger'!$F$2:$F$3001),157),""))</f>
        <v/>
      </c>
      <c r="H164" s="21">
        <f>IF(G164="","",MATCH(G164,'Debtor Ledger'!$F$2:$F$3001,0))</f>
        <v/>
      </c>
    </row>
    <row r="165">
      <c r="A165" s="5">
        <f>IF(H165="","",INDEX('Debtor Ledger'!$B$2:$B$3001,H165))</f>
        <v/>
      </c>
      <c r="B165">
        <f>IF(H165="","",INDEX('Debtor Ledger'!$G$2:$G$3001,H165))</f>
        <v/>
      </c>
      <c r="C165" s="6">
        <f>IF(H165="","",INDEX('Debtor Ledger'!$D$2:$D$3001,H165))</f>
        <v/>
      </c>
      <c r="D165" s="6">
        <f>IF(H165="","",INDEX('Debtor Ledger'!$E$2:$E$3001,H165))</f>
        <v/>
      </c>
      <c r="E165" s="6">
        <f>IF(H165="","",INDEX('Debtor Ledger'!$K$2:$K$3001,H165))</f>
        <v/>
      </c>
      <c r="F165" s="6">
        <f>IF(H165="","",INDEX('Debtor Ledger'!$L$2:$L$3001,H165))</f>
        <v/>
      </c>
      <c r="G165" s="34">
        <f t="array" ref="G165">IF($B$3="","",IFERROR(SMALL(IF('Debtor Ledger'!$C$2:$C$3001=$B$3,'Debtor Ledger'!$F$2:$F$3001),158),""))</f>
        <v/>
      </c>
      <c r="H165" s="21">
        <f>IF(G165="","",MATCH(G165,'Debtor Ledger'!$F$2:$F$3001,0))</f>
        <v/>
      </c>
    </row>
    <row r="166">
      <c r="A166" s="5">
        <f>IF(H166="","",INDEX('Debtor Ledger'!$B$2:$B$3001,H166))</f>
        <v/>
      </c>
      <c r="B166">
        <f>IF(H166="","",INDEX('Debtor Ledger'!$G$2:$G$3001,H166))</f>
        <v/>
      </c>
      <c r="C166" s="6">
        <f>IF(H166="","",INDEX('Debtor Ledger'!$D$2:$D$3001,H166))</f>
        <v/>
      </c>
      <c r="D166" s="6">
        <f>IF(H166="","",INDEX('Debtor Ledger'!$E$2:$E$3001,H166))</f>
        <v/>
      </c>
      <c r="E166" s="6">
        <f>IF(H166="","",INDEX('Debtor Ledger'!$K$2:$K$3001,H166))</f>
        <v/>
      </c>
      <c r="F166" s="6">
        <f>IF(H166="","",INDEX('Debtor Ledger'!$L$2:$L$3001,H166))</f>
        <v/>
      </c>
      <c r="G166" s="34">
        <f t="array" ref="G166">IF($B$3="","",IFERROR(SMALL(IF('Debtor Ledger'!$C$2:$C$3001=$B$3,'Debtor Ledger'!$F$2:$F$3001),159),""))</f>
        <v/>
      </c>
      <c r="H166" s="21">
        <f>IF(G166="","",MATCH(G166,'Debtor Ledger'!$F$2:$F$3001,0))</f>
        <v/>
      </c>
    </row>
    <row r="167">
      <c r="A167" s="5">
        <f>IF(H167="","",INDEX('Debtor Ledger'!$B$2:$B$3001,H167))</f>
        <v/>
      </c>
      <c r="B167">
        <f>IF(H167="","",INDEX('Debtor Ledger'!$G$2:$G$3001,H167))</f>
        <v/>
      </c>
      <c r="C167" s="6">
        <f>IF(H167="","",INDEX('Debtor Ledger'!$D$2:$D$3001,H167))</f>
        <v/>
      </c>
      <c r="D167" s="6">
        <f>IF(H167="","",INDEX('Debtor Ledger'!$E$2:$E$3001,H167))</f>
        <v/>
      </c>
      <c r="E167" s="6">
        <f>IF(H167="","",INDEX('Debtor Ledger'!$K$2:$K$3001,H167))</f>
        <v/>
      </c>
      <c r="F167" s="6">
        <f>IF(H167="","",INDEX('Debtor Ledger'!$L$2:$L$3001,H167))</f>
        <v/>
      </c>
      <c r="G167" s="34">
        <f t="array" ref="G167">IF($B$3="","",IFERROR(SMALL(IF('Debtor Ledger'!$C$2:$C$3001=$B$3,'Debtor Ledger'!$F$2:$F$3001),160),""))</f>
        <v/>
      </c>
      <c r="H167" s="21">
        <f>IF(G167="","",MATCH(G167,'Debtor Ledger'!$F$2:$F$3001,0))</f>
        <v/>
      </c>
    </row>
    <row r="168">
      <c r="A168" s="5">
        <f>IF(H168="","",INDEX('Debtor Ledger'!$B$2:$B$3001,H168))</f>
        <v/>
      </c>
      <c r="B168">
        <f>IF(H168="","",INDEX('Debtor Ledger'!$G$2:$G$3001,H168))</f>
        <v/>
      </c>
      <c r="C168" s="6">
        <f>IF(H168="","",INDEX('Debtor Ledger'!$D$2:$D$3001,H168))</f>
        <v/>
      </c>
      <c r="D168" s="6">
        <f>IF(H168="","",INDEX('Debtor Ledger'!$E$2:$E$3001,H168))</f>
        <v/>
      </c>
      <c r="E168" s="6">
        <f>IF(H168="","",INDEX('Debtor Ledger'!$K$2:$K$3001,H168))</f>
        <v/>
      </c>
      <c r="F168" s="6">
        <f>IF(H168="","",INDEX('Debtor Ledger'!$L$2:$L$3001,H168))</f>
        <v/>
      </c>
      <c r="G168" s="34">
        <f t="array" ref="G168">IF($B$3="","",IFERROR(SMALL(IF('Debtor Ledger'!$C$2:$C$3001=$B$3,'Debtor Ledger'!$F$2:$F$3001),161),""))</f>
        <v/>
      </c>
      <c r="H168" s="21">
        <f>IF(G168="","",MATCH(G168,'Debtor Ledger'!$F$2:$F$3001,0))</f>
        <v/>
      </c>
    </row>
    <row r="169">
      <c r="A169" s="5">
        <f>IF(H169="","",INDEX('Debtor Ledger'!$B$2:$B$3001,H169))</f>
        <v/>
      </c>
      <c r="B169">
        <f>IF(H169="","",INDEX('Debtor Ledger'!$G$2:$G$3001,H169))</f>
        <v/>
      </c>
      <c r="C169" s="6">
        <f>IF(H169="","",INDEX('Debtor Ledger'!$D$2:$D$3001,H169))</f>
        <v/>
      </c>
      <c r="D169" s="6">
        <f>IF(H169="","",INDEX('Debtor Ledger'!$E$2:$E$3001,H169))</f>
        <v/>
      </c>
      <c r="E169" s="6">
        <f>IF(H169="","",INDEX('Debtor Ledger'!$K$2:$K$3001,H169))</f>
        <v/>
      </c>
      <c r="F169" s="6">
        <f>IF(H169="","",INDEX('Debtor Ledger'!$L$2:$L$3001,H169))</f>
        <v/>
      </c>
      <c r="G169" s="34">
        <f t="array" ref="G169">IF($B$3="","",IFERROR(SMALL(IF('Debtor Ledger'!$C$2:$C$3001=$B$3,'Debtor Ledger'!$F$2:$F$3001),162),""))</f>
        <v/>
      </c>
      <c r="H169" s="21">
        <f>IF(G169="","",MATCH(G169,'Debtor Ledger'!$F$2:$F$3001,0))</f>
        <v/>
      </c>
    </row>
    <row r="170">
      <c r="A170" s="5">
        <f>IF(H170="","",INDEX('Debtor Ledger'!$B$2:$B$3001,H170))</f>
        <v/>
      </c>
      <c r="B170">
        <f>IF(H170="","",INDEX('Debtor Ledger'!$G$2:$G$3001,H170))</f>
        <v/>
      </c>
      <c r="C170" s="6">
        <f>IF(H170="","",INDEX('Debtor Ledger'!$D$2:$D$3001,H170))</f>
        <v/>
      </c>
      <c r="D170" s="6">
        <f>IF(H170="","",INDEX('Debtor Ledger'!$E$2:$E$3001,H170))</f>
        <v/>
      </c>
      <c r="E170" s="6">
        <f>IF(H170="","",INDEX('Debtor Ledger'!$K$2:$K$3001,H170))</f>
        <v/>
      </c>
      <c r="F170" s="6">
        <f>IF(H170="","",INDEX('Debtor Ledger'!$L$2:$L$3001,H170))</f>
        <v/>
      </c>
      <c r="G170" s="34">
        <f t="array" ref="G170">IF($B$3="","",IFERROR(SMALL(IF('Debtor Ledger'!$C$2:$C$3001=$B$3,'Debtor Ledger'!$F$2:$F$3001),163),""))</f>
        <v/>
      </c>
      <c r="H170" s="21">
        <f>IF(G170="","",MATCH(G170,'Debtor Ledger'!$F$2:$F$3001,0))</f>
        <v/>
      </c>
    </row>
    <row r="171">
      <c r="A171" s="5">
        <f>IF(H171="","",INDEX('Debtor Ledger'!$B$2:$B$3001,H171))</f>
        <v/>
      </c>
      <c r="B171">
        <f>IF(H171="","",INDEX('Debtor Ledger'!$G$2:$G$3001,H171))</f>
        <v/>
      </c>
      <c r="C171" s="6">
        <f>IF(H171="","",INDEX('Debtor Ledger'!$D$2:$D$3001,H171))</f>
        <v/>
      </c>
      <c r="D171" s="6">
        <f>IF(H171="","",INDEX('Debtor Ledger'!$E$2:$E$3001,H171))</f>
        <v/>
      </c>
      <c r="E171" s="6">
        <f>IF(H171="","",INDEX('Debtor Ledger'!$K$2:$K$3001,H171))</f>
        <v/>
      </c>
      <c r="F171" s="6">
        <f>IF(H171="","",INDEX('Debtor Ledger'!$L$2:$L$3001,H171))</f>
        <v/>
      </c>
      <c r="G171" s="34">
        <f t="array" ref="G171">IF($B$3="","",IFERROR(SMALL(IF('Debtor Ledger'!$C$2:$C$3001=$B$3,'Debtor Ledger'!$F$2:$F$3001),164),""))</f>
        <v/>
      </c>
      <c r="H171" s="21">
        <f>IF(G171="","",MATCH(G171,'Debtor Ledger'!$F$2:$F$3001,0))</f>
        <v/>
      </c>
    </row>
    <row r="172">
      <c r="A172" s="5">
        <f>IF(H172="","",INDEX('Debtor Ledger'!$B$2:$B$3001,H172))</f>
        <v/>
      </c>
      <c r="B172">
        <f>IF(H172="","",INDEX('Debtor Ledger'!$G$2:$G$3001,H172))</f>
        <v/>
      </c>
      <c r="C172" s="6">
        <f>IF(H172="","",INDEX('Debtor Ledger'!$D$2:$D$3001,H172))</f>
        <v/>
      </c>
      <c r="D172" s="6">
        <f>IF(H172="","",INDEX('Debtor Ledger'!$E$2:$E$3001,H172))</f>
        <v/>
      </c>
      <c r="E172" s="6">
        <f>IF(H172="","",INDEX('Debtor Ledger'!$K$2:$K$3001,H172))</f>
        <v/>
      </c>
      <c r="F172" s="6">
        <f>IF(H172="","",INDEX('Debtor Ledger'!$L$2:$L$3001,H172))</f>
        <v/>
      </c>
      <c r="G172" s="34">
        <f t="array" ref="G172">IF($B$3="","",IFERROR(SMALL(IF('Debtor Ledger'!$C$2:$C$3001=$B$3,'Debtor Ledger'!$F$2:$F$3001),165),""))</f>
        <v/>
      </c>
      <c r="H172" s="21">
        <f>IF(G172="","",MATCH(G172,'Debtor Ledger'!$F$2:$F$3001,0))</f>
        <v/>
      </c>
    </row>
    <row r="173">
      <c r="A173" s="5">
        <f>IF(H173="","",INDEX('Debtor Ledger'!$B$2:$B$3001,H173))</f>
        <v/>
      </c>
      <c r="B173">
        <f>IF(H173="","",INDEX('Debtor Ledger'!$G$2:$G$3001,H173))</f>
        <v/>
      </c>
      <c r="C173" s="6">
        <f>IF(H173="","",INDEX('Debtor Ledger'!$D$2:$D$3001,H173))</f>
        <v/>
      </c>
      <c r="D173" s="6">
        <f>IF(H173="","",INDEX('Debtor Ledger'!$E$2:$E$3001,H173))</f>
        <v/>
      </c>
      <c r="E173" s="6">
        <f>IF(H173="","",INDEX('Debtor Ledger'!$K$2:$K$3001,H173))</f>
        <v/>
      </c>
      <c r="F173" s="6">
        <f>IF(H173="","",INDEX('Debtor Ledger'!$L$2:$L$3001,H173))</f>
        <v/>
      </c>
      <c r="G173" s="34">
        <f t="array" ref="G173">IF($B$3="","",IFERROR(SMALL(IF('Debtor Ledger'!$C$2:$C$3001=$B$3,'Debtor Ledger'!$F$2:$F$3001),166),""))</f>
        <v/>
      </c>
      <c r="H173" s="21">
        <f>IF(G173="","",MATCH(G173,'Debtor Ledger'!$F$2:$F$3001,0))</f>
        <v/>
      </c>
    </row>
    <row r="174">
      <c r="A174" s="5">
        <f>IF(H174="","",INDEX('Debtor Ledger'!$B$2:$B$3001,H174))</f>
        <v/>
      </c>
      <c r="B174">
        <f>IF(H174="","",INDEX('Debtor Ledger'!$G$2:$G$3001,H174))</f>
        <v/>
      </c>
      <c r="C174" s="6">
        <f>IF(H174="","",INDEX('Debtor Ledger'!$D$2:$D$3001,H174))</f>
        <v/>
      </c>
      <c r="D174" s="6">
        <f>IF(H174="","",INDEX('Debtor Ledger'!$E$2:$E$3001,H174))</f>
        <v/>
      </c>
      <c r="E174" s="6">
        <f>IF(H174="","",INDEX('Debtor Ledger'!$K$2:$K$3001,H174))</f>
        <v/>
      </c>
      <c r="F174" s="6">
        <f>IF(H174="","",INDEX('Debtor Ledger'!$L$2:$L$3001,H174))</f>
        <v/>
      </c>
      <c r="G174" s="34">
        <f t="array" ref="G174">IF($B$3="","",IFERROR(SMALL(IF('Debtor Ledger'!$C$2:$C$3001=$B$3,'Debtor Ledger'!$F$2:$F$3001),167),""))</f>
        <v/>
      </c>
      <c r="H174" s="21">
        <f>IF(G174="","",MATCH(G174,'Debtor Ledger'!$F$2:$F$3001,0))</f>
        <v/>
      </c>
    </row>
    <row r="175">
      <c r="A175" s="5">
        <f>IF(H175="","",INDEX('Debtor Ledger'!$B$2:$B$3001,H175))</f>
        <v/>
      </c>
      <c r="B175">
        <f>IF(H175="","",INDEX('Debtor Ledger'!$G$2:$G$3001,H175))</f>
        <v/>
      </c>
      <c r="C175" s="6">
        <f>IF(H175="","",INDEX('Debtor Ledger'!$D$2:$D$3001,H175))</f>
        <v/>
      </c>
      <c r="D175" s="6">
        <f>IF(H175="","",INDEX('Debtor Ledger'!$E$2:$E$3001,H175))</f>
        <v/>
      </c>
      <c r="E175" s="6">
        <f>IF(H175="","",INDEX('Debtor Ledger'!$K$2:$K$3001,H175))</f>
        <v/>
      </c>
      <c r="F175" s="6">
        <f>IF(H175="","",INDEX('Debtor Ledger'!$L$2:$L$3001,H175))</f>
        <v/>
      </c>
      <c r="G175" s="34">
        <f t="array" ref="G175">IF($B$3="","",IFERROR(SMALL(IF('Debtor Ledger'!$C$2:$C$3001=$B$3,'Debtor Ledger'!$F$2:$F$3001),168),""))</f>
        <v/>
      </c>
      <c r="H175" s="21">
        <f>IF(G175="","",MATCH(G175,'Debtor Ledger'!$F$2:$F$3001,0))</f>
        <v/>
      </c>
    </row>
    <row r="176">
      <c r="A176" s="5">
        <f>IF(H176="","",INDEX('Debtor Ledger'!$B$2:$B$3001,H176))</f>
        <v/>
      </c>
      <c r="B176">
        <f>IF(H176="","",INDEX('Debtor Ledger'!$G$2:$G$3001,H176))</f>
        <v/>
      </c>
      <c r="C176" s="6">
        <f>IF(H176="","",INDEX('Debtor Ledger'!$D$2:$D$3001,H176))</f>
        <v/>
      </c>
      <c r="D176" s="6">
        <f>IF(H176="","",INDEX('Debtor Ledger'!$E$2:$E$3001,H176))</f>
        <v/>
      </c>
      <c r="E176" s="6">
        <f>IF(H176="","",INDEX('Debtor Ledger'!$K$2:$K$3001,H176))</f>
        <v/>
      </c>
      <c r="F176" s="6">
        <f>IF(H176="","",INDEX('Debtor Ledger'!$L$2:$L$3001,H176))</f>
        <v/>
      </c>
      <c r="G176" s="34">
        <f t="array" ref="G176">IF($B$3="","",IFERROR(SMALL(IF('Debtor Ledger'!$C$2:$C$3001=$B$3,'Debtor Ledger'!$F$2:$F$3001),169),""))</f>
        <v/>
      </c>
      <c r="H176" s="21">
        <f>IF(G176="","",MATCH(G176,'Debtor Ledger'!$F$2:$F$3001,0))</f>
        <v/>
      </c>
    </row>
    <row r="177">
      <c r="A177" s="5">
        <f>IF(H177="","",INDEX('Debtor Ledger'!$B$2:$B$3001,H177))</f>
        <v/>
      </c>
      <c r="B177">
        <f>IF(H177="","",INDEX('Debtor Ledger'!$G$2:$G$3001,H177))</f>
        <v/>
      </c>
      <c r="C177" s="6">
        <f>IF(H177="","",INDEX('Debtor Ledger'!$D$2:$D$3001,H177))</f>
        <v/>
      </c>
      <c r="D177" s="6">
        <f>IF(H177="","",INDEX('Debtor Ledger'!$E$2:$E$3001,H177))</f>
        <v/>
      </c>
      <c r="E177" s="6">
        <f>IF(H177="","",INDEX('Debtor Ledger'!$K$2:$K$3001,H177))</f>
        <v/>
      </c>
      <c r="F177" s="6">
        <f>IF(H177="","",INDEX('Debtor Ledger'!$L$2:$L$3001,H177))</f>
        <v/>
      </c>
      <c r="G177" s="34">
        <f t="array" ref="G177">IF($B$3="","",IFERROR(SMALL(IF('Debtor Ledger'!$C$2:$C$3001=$B$3,'Debtor Ledger'!$F$2:$F$3001),170),""))</f>
        <v/>
      </c>
      <c r="H177" s="21">
        <f>IF(G177="","",MATCH(G177,'Debtor Ledger'!$F$2:$F$3001,0))</f>
        <v/>
      </c>
    </row>
    <row r="178">
      <c r="A178" s="5">
        <f>IF(H178="","",INDEX('Debtor Ledger'!$B$2:$B$3001,H178))</f>
        <v/>
      </c>
      <c r="B178">
        <f>IF(H178="","",INDEX('Debtor Ledger'!$G$2:$G$3001,H178))</f>
        <v/>
      </c>
      <c r="C178" s="6">
        <f>IF(H178="","",INDEX('Debtor Ledger'!$D$2:$D$3001,H178))</f>
        <v/>
      </c>
      <c r="D178" s="6">
        <f>IF(H178="","",INDEX('Debtor Ledger'!$E$2:$E$3001,H178))</f>
        <v/>
      </c>
      <c r="E178" s="6">
        <f>IF(H178="","",INDEX('Debtor Ledger'!$K$2:$K$3001,H178))</f>
        <v/>
      </c>
      <c r="F178" s="6">
        <f>IF(H178="","",INDEX('Debtor Ledger'!$L$2:$L$3001,H178))</f>
        <v/>
      </c>
      <c r="G178" s="34">
        <f t="array" ref="G178">IF($B$3="","",IFERROR(SMALL(IF('Debtor Ledger'!$C$2:$C$3001=$B$3,'Debtor Ledger'!$F$2:$F$3001),171),""))</f>
        <v/>
      </c>
      <c r="H178" s="21">
        <f>IF(G178="","",MATCH(G178,'Debtor Ledger'!$F$2:$F$3001,0))</f>
        <v/>
      </c>
    </row>
    <row r="179">
      <c r="A179" s="5">
        <f>IF(H179="","",INDEX('Debtor Ledger'!$B$2:$B$3001,H179))</f>
        <v/>
      </c>
      <c r="B179">
        <f>IF(H179="","",INDEX('Debtor Ledger'!$G$2:$G$3001,H179))</f>
        <v/>
      </c>
      <c r="C179" s="6">
        <f>IF(H179="","",INDEX('Debtor Ledger'!$D$2:$D$3001,H179))</f>
        <v/>
      </c>
      <c r="D179" s="6">
        <f>IF(H179="","",INDEX('Debtor Ledger'!$E$2:$E$3001,H179))</f>
        <v/>
      </c>
      <c r="E179" s="6">
        <f>IF(H179="","",INDEX('Debtor Ledger'!$K$2:$K$3001,H179))</f>
        <v/>
      </c>
      <c r="F179" s="6">
        <f>IF(H179="","",INDEX('Debtor Ledger'!$L$2:$L$3001,H179))</f>
        <v/>
      </c>
      <c r="G179" s="34">
        <f t="array" ref="G179">IF($B$3="","",IFERROR(SMALL(IF('Debtor Ledger'!$C$2:$C$3001=$B$3,'Debtor Ledger'!$F$2:$F$3001),172),""))</f>
        <v/>
      </c>
      <c r="H179" s="21">
        <f>IF(G179="","",MATCH(G179,'Debtor Ledger'!$F$2:$F$3001,0))</f>
        <v/>
      </c>
    </row>
    <row r="180">
      <c r="A180" s="5">
        <f>IF(H180="","",INDEX('Debtor Ledger'!$B$2:$B$3001,H180))</f>
        <v/>
      </c>
      <c r="B180">
        <f>IF(H180="","",INDEX('Debtor Ledger'!$G$2:$G$3001,H180))</f>
        <v/>
      </c>
      <c r="C180" s="6">
        <f>IF(H180="","",INDEX('Debtor Ledger'!$D$2:$D$3001,H180))</f>
        <v/>
      </c>
      <c r="D180" s="6">
        <f>IF(H180="","",INDEX('Debtor Ledger'!$E$2:$E$3001,H180))</f>
        <v/>
      </c>
      <c r="E180" s="6">
        <f>IF(H180="","",INDEX('Debtor Ledger'!$K$2:$K$3001,H180))</f>
        <v/>
      </c>
      <c r="F180" s="6">
        <f>IF(H180="","",INDEX('Debtor Ledger'!$L$2:$L$3001,H180))</f>
        <v/>
      </c>
      <c r="G180" s="34">
        <f t="array" ref="G180">IF($B$3="","",IFERROR(SMALL(IF('Debtor Ledger'!$C$2:$C$3001=$B$3,'Debtor Ledger'!$F$2:$F$3001),173),""))</f>
        <v/>
      </c>
      <c r="H180" s="21">
        <f>IF(G180="","",MATCH(G180,'Debtor Ledger'!$F$2:$F$3001,0))</f>
        <v/>
      </c>
    </row>
    <row r="181">
      <c r="A181" s="5">
        <f>IF(H181="","",INDEX('Debtor Ledger'!$B$2:$B$3001,H181))</f>
        <v/>
      </c>
      <c r="B181">
        <f>IF(H181="","",INDEX('Debtor Ledger'!$G$2:$G$3001,H181))</f>
        <v/>
      </c>
      <c r="C181" s="6">
        <f>IF(H181="","",INDEX('Debtor Ledger'!$D$2:$D$3001,H181))</f>
        <v/>
      </c>
      <c r="D181" s="6">
        <f>IF(H181="","",INDEX('Debtor Ledger'!$E$2:$E$3001,H181))</f>
        <v/>
      </c>
      <c r="E181" s="6">
        <f>IF(H181="","",INDEX('Debtor Ledger'!$K$2:$K$3001,H181))</f>
        <v/>
      </c>
      <c r="F181" s="6">
        <f>IF(H181="","",INDEX('Debtor Ledger'!$L$2:$L$3001,H181))</f>
        <v/>
      </c>
      <c r="G181" s="34">
        <f t="array" ref="G181">IF($B$3="","",IFERROR(SMALL(IF('Debtor Ledger'!$C$2:$C$3001=$B$3,'Debtor Ledger'!$F$2:$F$3001),174),""))</f>
        <v/>
      </c>
      <c r="H181" s="21">
        <f>IF(G181="","",MATCH(G181,'Debtor Ledger'!$F$2:$F$3001,0))</f>
        <v/>
      </c>
    </row>
    <row r="182">
      <c r="A182" s="5">
        <f>IF(H182="","",INDEX('Debtor Ledger'!$B$2:$B$3001,H182))</f>
        <v/>
      </c>
      <c r="B182">
        <f>IF(H182="","",INDEX('Debtor Ledger'!$G$2:$G$3001,H182))</f>
        <v/>
      </c>
      <c r="C182" s="6">
        <f>IF(H182="","",INDEX('Debtor Ledger'!$D$2:$D$3001,H182))</f>
        <v/>
      </c>
      <c r="D182" s="6">
        <f>IF(H182="","",INDEX('Debtor Ledger'!$E$2:$E$3001,H182))</f>
        <v/>
      </c>
      <c r="E182" s="6">
        <f>IF(H182="","",INDEX('Debtor Ledger'!$K$2:$K$3001,H182))</f>
        <v/>
      </c>
      <c r="F182" s="6">
        <f>IF(H182="","",INDEX('Debtor Ledger'!$L$2:$L$3001,H182))</f>
        <v/>
      </c>
      <c r="G182" s="34">
        <f t="array" ref="G182">IF($B$3="","",IFERROR(SMALL(IF('Debtor Ledger'!$C$2:$C$3001=$B$3,'Debtor Ledger'!$F$2:$F$3001),175),""))</f>
        <v/>
      </c>
      <c r="H182" s="21">
        <f>IF(G182="","",MATCH(G182,'Debtor Ledger'!$F$2:$F$3001,0))</f>
        <v/>
      </c>
    </row>
    <row r="183">
      <c r="A183" s="5">
        <f>IF(H183="","",INDEX('Debtor Ledger'!$B$2:$B$3001,H183))</f>
        <v/>
      </c>
      <c r="B183">
        <f>IF(H183="","",INDEX('Debtor Ledger'!$G$2:$G$3001,H183))</f>
        <v/>
      </c>
      <c r="C183" s="6">
        <f>IF(H183="","",INDEX('Debtor Ledger'!$D$2:$D$3001,H183))</f>
        <v/>
      </c>
      <c r="D183" s="6">
        <f>IF(H183="","",INDEX('Debtor Ledger'!$E$2:$E$3001,H183))</f>
        <v/>
      </c>
      <c r="E183" s="6">
        <f>IF(H183="","",INDEX('Debtor Ledger'!$K$2:$K$3001,H183))</f>
        <v/>
      </c>
      <c r="F183" s="6">
        <f>IF(H183="","",INDEX('Debtor Ledger'!$L$2:$L$3001,H183))</f>
        <v/>
      </c>
      <c r="G183" s="34">
        <f t="array" ref="G183">IF($B$3="","",IFERROR(SMALL(IF('Debtor Ledger'!$C$2:$C$3001=$B$3,'Debtor Ledger'!$F$2:$F$3001),176),""))</f>
        <v/>
      </c>
      <c r="H183" s="21">
        <f>IF(G183="","",MATCH(G183,'Debtor Ledger'!$F$2:$F$3001,0))</f>
        <v/>
      </c>
    </row>
    <row r="184">
      <c r="A184" s="5">
        <f>IF(H184="","",INDEX('Debtor Ledger'!$B$2:$B$3001,H184))</f>
        <v/>
      </c>
      <c r="B184">
        <f>IF(H184="","",INDEX('Debtor Ledger'!$G$2:$G$3001,H184))</f>
        <v/>
      </c>
      <c r="C184" s="6">
        <f>IF(H184="","",INDEX('Debtor Ledger'!$D$2:$D$3001,H184))</f>
        <v/>
      </c>
      <c r="D184" s="6">
        <f>IF(H184="","",INDEX('Debtor Ledger'!$E$2:$E$3001,H184))</f>
        <v/>
      </c>
      <c r="E184" s="6">
        <f>IF(H184="","",INDEX('Debtor Ledger'!$K$2:$K$3001,H184))</f>
        <v/>
      </c>
      <c r="F184" s="6">
        <f>IF(H184="","",INDEX('Debtor Ledger'!$L$2:$L$3001,H184))</f>
        <v/>
      </c>
      <c r="G184" s="34">
        <f t="array" ref="G184">IF($B$3="","",IFERROR(SMALL(IF('Debtor Ledger'!$C$2:$C$3001=$B$3,'Debtor Ledger'!$F$2:$F$3001),177),""))</f>
        <v/>
      </c>
      <c r="H184" s="21">
        <f>IF(G184="","",MATCH(G184,'Debtor Ledger'!$F$2:$F$3001,0))</f>
        <v/>
      </c>
    </row>
    <row r="185">
      <c r="A185" s="5">
        <f>IF(H185="","",INDEX('Debtor Ledger'!$B$2:$B$3001,H185))</f>
        <v/>
      </c>
      <c r="B185">
        <f>IF(H185="","",INDEX('Debtor Ledger'!$G$2:$G$3001,H185))</f>
        <v/>
      </c>
      <c r="C185" s="6">
        <f>IF(H185="","",INDEX('Debtor Ledger'!$D$2:$D$3001,H185))</f>
        <v/>
      </c>
      <c r="D185" s="6">
        <f>IF(H185="","",INDEX('Debtor Ledger'!$E$2:$E$3001,H185))</f>
        <v/>
      </c>
      <c r="E185" s="6">
        <f>IF(H185="","",INDEX('Debtor Ledger'!$K$2:$K$3001,H185))</f>
        <v/>
      </c>
      <c r="F185" s="6">
        <f>IF(H185="","",INDEX('Debtor Ledger'!$L$2:$L$3001,H185))</f>
        <v/>
      </c>
      <c r="G185" s="34">
        <f t="array" ref="G185">IF($B$3="","",IFERROR(SMALL(IF('Debtor Ledger'!$C$2:$C$3001=$B$3,'Debtor Ledger'!$F$2:$F$3001),178),""))</f>
        <v/>
      </c>
      <c r="H185" s="21">
        <f>IF(G185="","",MATCH(G185,'Debtor Ledger'!$F$2:$F$3001,0))</f>
        <v/>
      </c>
    </row>
    <row r="186">
      <c r="A186" s="5">
        <f>IF(H186="","",INDEX('Debtor Ledger'!$B$2:$B$3001,H186))</f>
        <v/>
      </c>
      <c r="B186">
        <f>IF(H186="","",INDEX('Debtor Ledger'!$G$2:$G$3001,H186))</f>
        <v/>
      </c>
      <c r="C186" s="6">
        <f>IF(H186="","",INDEX('Debtor Ledger'!$D$2:$D$3001,H186))</f>
        <v/>
      </c>
      <c r="D186" s="6">
        <f>IF(H186="","",INDEX('Debtor Ledger'!$E$2:$E$3001,H186))</f>
        <v/>
      </c>
      <c r="E186" s="6">
        <f>IF(H186="","",INDEX('Debtor Ledger'!$K$2:$K$3001,H186))</f>
        <v/>
      </c>
      <c r="F186" s="6">
        <f>IF(H186="","",INDEX('Debtor Ledger'!$L$2:$L$3001,H186))</f>
        <v/>
      </c>
      <c r="G186" s="34">
        <f t="array" ref="G186">IF($B$3="","",IFERROR(SMALL(IF('Debtor Ledger'!$C$2:$C$3001=$B$3,'Debtor Ledger'!$F$2:$F$3001),179),""))</f>
        <v/>
      </c>
      <c r="H186" s="21">
        <f>IF(G186="","",MATCH(G186,'Debtor Ledger'!$F$2:$F$3001,0))</f>
        <v/>
      </c>
    </row>
    <row r="187">
      <c r="A187" s="5">
        <f>IF(H187="","",INDEX('Debtor Ledger'!$B$2:$B$3001,H187))</f>
        <v/>
      </c>
      <c r="B187">
        <f>IF(H187="","",INDEX('Debtor Ledger'!$G$2:$G$3001,H187))</f>
        <v/>
      </c>
      <c r="C187" s="6">
        <f>IF(H187="","",INDEX('Debtor Ledger'!$D$2:$D$3001,H187))</f>
        <v/>
      </c>
      <c r="D187" s="6">
        <f>IF(H187="","",INDEX('Debtor Ledger'!$E$2:$E$3001,H187))</f>
        <v/>
      </c>
      <c r="E187" s="6">
        <f>IF(H187="","",INDEX('Debtor Ledger'!$K$2:$K$3001,H187))</f>
        <v/>
      </c>
      <c r="F187" s="6">
        <f>IF(H187="","",INDEX('Debtor Ledger'!$L$2:$L$3001,H187))</f>
        <v/>
      </c>
      <c r="G187" s="34">
        <f t="array" ref="G187">IF($B$3="","",IFERROR(SMALL(IF('Debtor Ledger'!$C$2:$C$3001=$B$3,'Debtor Ledger'!$F$2:$F$3001),180),""))</f>
        <v/>
      </c>
      <c r="H187" s="21">
        <f>IF(G187="","",MATCH(G187,'Debtor Ledger'!$F$2:$F$3001,0))</f>
        <v/>
      </c>
    </row>
    <row r="188">
      <c r="A188" s="5">
        <f>IF(H188="","",INDEX('Debtor Ledger'!$B$2:$B$3001,H188))</f>
        <v/>
      </c>
      <c r="B188">
        <f>IF(H188="","",INDEX('Debtor Ledger'!$G$2:$G$3001,H188))</f>
        <v/>
      </c>
      <c r="C188" s="6">
        <f>IF(H188="","",INDEX('Debtor Ledger'!$D$2:$D$3001,H188))</f>
        <v/>
      </c>
      <c r="D188" s="6">
        <f>IF(H188="","",INDEX('Debtor Ledger'!$E$2:$E$3001,H188))</f>
        <v/>
      </c>
      <c r="E188" s="6">
        <f>IF(H188="","",INDEX('Debtor Ledger'!$K$2:$K$3001,H188))</f>
        <v/>
      </c>
      <c r="F188" s="6">
        <f>IF(H188="","",INDEX('Debtor Ledger'!$L$2:$L$3001,H188))</f>
        <v/>
      </c>
      <c r="G188" s="34">
        <f t="array" ref="G188">IF($B$3="","",IFERROR(SMALL(IF('Debtor Ledger'!$C$2:$C$3001=$B$3,'Debtor Ledger'!$F$2:$F$3001),181),""))</f>
        <v/>
      </c>
      <c r="H188" s="21">
        <f>IF(G188="","",MATCH(G188,'Debtor Ledger'!$F$2:$F$3001,0))</f>
        <v/>
      </c>
    </row>
    <row r="189">
      <c r="A189" s="5">
        <f>IF(H189="","",INDEX('Debtor Ledger'!$B$2:$B$3001,H189))</f>
        <v/>
      </c>
      <c r="B189">
        <f>IF(H189="","",INDEX('Debtor Ledger'!$G$2:$G$3001,H189))</f>
        <v/>
      </c>
      <c r="C189" s="6">
        <f>IF(H189="","",INDEX('Debtor Ledger'!$D$2:$D$3001,H189))</f>
        <v/>
      </c>
      <c r="D189" s="6">
        <f>IF(H189="","",INDEX('Debtor Ledger'!$E$2:$E$3001,H189))</f>
        <v/>
      </c>
      <c r="E189" s="6">
        <f>IF(H189="","",INDEX('Debtor Ledger'!$K$2:$K$3001,H189))</f>
        <v/>
      </c>
      <c r="F189" s="6">
        <f>IF(H189="","",INDEX('Debtor Ledger'!$L$2:$L$3001,H189))</f>
        <v/>
      </c>
      <c r="G189" s="34">
        <f t="array" ref="G189">IF($B$3="","",IFERROR(SMALL(IF('Debtor Ledger'!$C$2:$C$3001=$B$3,'Debtor Ledger'!$F$2:$F$3001),182),""))</f>
        <v/>
      </c>
      <c r="H189" s="21">
        <f>IF(G189="","",MATCH(G189,'Debtor Ledger'!$F$2:$F$3001,0))</f>
        <v/>
      </c>
    </row>
    <row r="190">
      <c r="A190" s="5">
        <f>IF(H190="","",INDEX('Debtor Ledger'!$B$2:$B$3001,H190))</f>
        <v/>
      </c>
      <c r="B190">
        <f>IF(H190="","",INDEX('Debtor Ledger'!$G$2:$G$3001,H190))</f>
        <v/>
      </c>
      <c r="C190" s="6">
        <f>IF(H190="","",INDEX('Debtor Ledger'!$D$2:$D$3001,H190))</f>
        <v/>
      </c>
      <c r="D190" s="6">
        <f>IF(H190="","",INDEX('Debtor Ledger'!$E$2:$E$3001,H190))</f>
        <v/>
      </c>
      <c r="E190" s="6">
        <f>IF(H190="","",INDEX('Debtor Ledger'!$K$2:$K$3001,H190))</f>
        <v/>
      </c>
      <c r="F190" s="6">
        <f>IF(H190="","",INDEX('Debtor Ledger'!$L$2:$L$3001,H190))</f>
        <v/>
      </c>
      <c r="G190" s="34">
        <f t="array" ref="G190">IF($B$3="","",IFERROR(SMALL(IF('Debtor Ledger'!$C$2:$C$3001=$B$3,'Debtor Ledger'!$F$2:$F$3001),183),""))</f>
        <v/>
      </c>
      <c r="H190" s="21">
        <f>IF(G190="","",MATCH(G190,'Debtor Ledger'!$F$2:$F$3001,0))</f>
        <v/>
      </c>
    </row>
    <row r="191">
      <c r="A191" s="5">
        <f>IF(H191="","",INDEX('Debtor Ledger'!$B$2:$B$3001,H191))</f>
        <v/>
      </c>
      <c r="B191">
        <f>IF(H191="","",INDEX('Debtor Ledger'!$G$2:$G$3001,H191))</f>
        <v/>
      </c>
      <c r="C191" s="6">
        <f>IF(H191="","",INDEX('Debtor Ledger'!$D$2:$D$3001,H191))</f>
        <v/>
      </c>
      <c r="D191" s="6">
        <f>IF(H191="","",INDEX('Debtor Ledger'!$E$2:$E$3001,H191))</f>
        <v/>
      </c>
      <c r="E191" s="6">
        <f>IF(H191="","",INDEX('Debtor Ledger'!$K$2:$K$3001,H191))</f>
        <v/>
      </c>
      <c r="F191" s="6">
        <f>IF(H191="","",INDEX('Debtor Ledger'!$L$2:$L$3001,H191))</f>
        <v/>
      </c>
      <c r="G191" s="34">
        <f t="array" ref="G191">IF($B$3="","",IFERROR(SMALL(IF('Debtor Ledger'!$C$2:$C$3001=$B$3,'Debtor Ledger'!$F$2:$F$3001),184),""))</f>
        <v/>
      </c>
      <c r="H191" s="21">
        <f>IF(G191="","",MATCH(G191,'Debtor Ledger'!$F$2:$F$3001,0))</f>
        <v/>
      </c>
    </row>
    <row r="192">
      <c r="A192" s="5">
        <f>IF(H192="","",INDEX('Debtor Ledger'!$B$2:$B$3001,H192))</f>
        <v/>
      </c>
      <c r="B192">
        <f>IF(H192="","",INDEX('Debtor Ledger'!$G$2:$G$3001,H192))</f>
        <v/>
      </c>
      <c r="C192" s="6">
        <f>IF(H192="","",INDEX('Debtor Ledger'!$D$2:$D$3001,H192))</f>
        <v/>
      </c>
      <c r="D192" s="6">
        <f>IF(H192="","",INDEX('Debtor Ledger'!$E$2:$E$3001,H192))</f>
        <v/>
      </c>
      <c r="E192" s="6">
        <f>IF(H192="","",INDEX('Debtor Ledger'!$K$2:$K$3001,H192))</f>
        <v/>
      </c>
      <c r="F192" s="6">
        <f>IF(H192="","",INDEX('Debtor Ledger'!$L$2:$L$3001,H192))</f>
        <v/>
      </c>
      <c r="G192" s="34">
        <f t="array" ref="G192">IF($B$3="","",IFERROR(SMALL(IF('Debtor Ledger'!$C$2:$C$3001=$B$3,'Debtor Ledger'!$F$2:$F$3001),185),""))</f>
        <v/>
      </c>
      <c r="H192" s="21">
        <f>IF(G192="","",MATCH(G192,'Debtor Ledger'!$F$2:$F$3001,0))</f>
        <v/>
      </c>
    </row>
    <row r="193">
      <c r="A193" s="5">
        <f>IF(H193="","",INDEX('Debtor Ledger'!$B$2:$B$3001,H193))</f>
        <v/>
      </c>
      <c r="B193">
        <f>IF(H193="","",INDEX('Debtor Ledger'!$G$2:$G$3001,H193))</f>
        <v/>
      </c>
      <c r="C193" s="6">
        <f>IF(H193="","",INDEX('Debtor Ledger'!$D$2:$D$3001,H193))</f>
        <v/>
      </c>
      <c r="D193" s="6">
        <f>IF(H193="","",INDEX('Debtor Ledger'!$E$2:$E$3001,H193))</f>
        <v/>
      </c>
      <c r="E193" s="6">
        <f>IF(H193="","",INDEX('Debtor Ledger'!$K$2:$K$3001,H193))</f>
        <v/>
      </c>
      <c r="F193" s="6">
        <f>IF(H193="","",INDEX('Debtor Ledger'!$L$2:$L$3001,H193))</f>
        <v/>
      </c>
      <c r="G193" s="34">
        <f t="array" ref="G193">IF($B$3="","",IFERROR(SMALL(IF('Debtor Ledger'!$C$2:$C$3001=$B$3,'Debtor Ledger'!$F$2:$F$3001),186),""))</f>
        <v/>
      </c>
      <c r="H193" s="21">
        <f>IF(G193="","",MATCH(G193,'Debtor Ledger'!$F$2:$F$3001,0))</f>
        <v/>
      </c>
    </row>
    <row r="194">
      <c r="A194" s="5">
        <f>IF(H194="","",INDEX('Debtor Ledger'!$B$2:$B$3001,H194))</f>
        <v/>
      </c>
      <c r="B194">
        <f>IF(H194="","",INDEX('Debtor Ledger'!$G$2:$G$3001,H194))</f>
        <v/>
      </c>
      <c r="C194" s="6">
        <f>IF(H194="","",INDEX('Debtor Ledger'!$D$2:$D$3001,H194))</f>
        <v/>
      </c>
      <c r="D194" s="6">
        <f>IF(H194="","",INDEX('Debtor Ledger'!$E$2:$E$3001,H194))</f>
        <v/>
      </c>
      <c r="E194" s="6">
        <f>IF(H194="","",INDEX('Debtor Ledger'!$K$2:$K$3001,H194))</f>
        <v/>
      </c>
      <c r="F194" s="6">
        <f>IF(H194="","",INDEX('Debtor Ledger'!$L$2:$L$3001,H194))</f>
        <v/>
      </c>
      <c r="G194" s="34">
        <f t="array" ref="G194">IF($B$3="","",IFERROR(SMALL(IF('Debtor Ledger'!$C$2:$C$3001=$B$3,'Debtor Ledger'!$F$2:$F$3001),187),""))</f>
        <v/>
      </c>
      <c r="H194" s="21">
        <f>IF(G194="","",MATCH(G194,'Debtor Ledger'!$F$2:$F$3001,0))</f>
        <v/>
      </c>
    </row>
    <row r="195">
      <c r="A195" s="5">
        <f>IF(H195="","",INDEX('Debtor Ledger'!$B$2:$B$3001,H195))</f>
        <v/>
      </c>
      <c r="B195">
        <f>IF(H195="","",INDEX('Debtor Ledger'!$G$2:$G$3001,H195))</f>
        <v/>
      </c>
      <c r="C195" s="6">
        <f>IF(H195="","",INDEX('Debtor Ledger'!$D$2:$D$3001,H195))</f>
        <v/>
      </c>
      <c r="D195" s="6">
        <f>IF(H195="","",INDEX('Debtor Ledger'!$E$2:$E$3001,H195))</f>
        <v/>
      </c>
      <c r="E195" s="6">
        <f>IF(H195="","",INDEX('Debtor Ledger'!$K$2:$K$3001,H195))</f>
        <v/>
      </c>
      <c r="F195" s="6">
        <f>IF(H195="","",INDEX('Debtor Ledger'!$L$2:$L$3001,H195))</f>
        <v/>
      </c>
      <c r="G195" s="34">
        <f t="array" ref="G195">IF($B$3="","",IFERROR(SMALL(IF('Debtor Ledger'!$C$2:$C$3001=$B$3,'Debtor Ledger'!$F$2:$F$3001),188),""))</f>
        <v/>
      </c>
      <c r="H195" s="21">
        <f>IF(G195="","",MATCH(G195,'Debtor Ledger'!$F$2:$F$3001,0))</f>
        <v/>
      </c>
    </row>
    <row r="196">
      <c r="A196" s="5">
        <f>IF(H196="","",INDEX('Debtor Ledger'!$B$2:$B$3001,H196))</f>
        <v/>
      </c>
      <c r="B196">
        <f>IF(H196="","",INDEX('Debtor Ledger'!$G$2:$G$3001,H196))</f>
        <v/>
      </c>
      <c r="C196" s="6">
        <f>IF(H196="","",INDEX('Debtor Ledger'!$D$2:$D$3001,H196))</f>
        <v/>
      </c>
      <c r="D196" s="6">
        <f>IF(H196="","",INDEX('Debtor Ledger'!$E$2:$E$3001,H196))</f>
        <v/>
      </c>
      <c r="E196" s="6">
        <f>IF(H196="","",INDEX('Debtor Ledger'!$K$2:$K$3001,H196))</f>
        <v/>
      </c>
      <c r="F196" s="6">
        <f>IF(H196="","",INDEX('Debtor Ledger'!$L$2:$L$3001,H196))</f>
        <v/>
      </c>
      <c r="G196" s="34">
        <f t="array" ref="G196">IF($B$3="","",IFERROR(SMALL(IF('Debtor Ledger'!$C$2:$C$3001=$B$3,'Debtor Ledger'!$F$2:$F$3001),189),""))</f>
        <v/>
      </c>
      <c r="H196" s="21">
        <f>IF(G196="","",MATCH(G196,'Debtor Ledger'!$F$2:$F$3001,0))</f>
        <v/>
      </c>
    </row>
    <row r="197">
      <c r="A197" s="5">
        <f>IF(H197="","",INDEX('Debtor Ledger'!$B$2:$B$3001,H197))</f>
        <v/>
      </c>
      <c r="B197">
        <f>IF(H197="","",INDEX('Debtor Ledger'!$G$2:$G$3001,H197))</f>
        <v/>
      </c>
      <c r="C197" s="6">
        <f>IF(H197="","",INDEX('Debtor Ledger'!$D$2:$D$3001,H197))</f>
        <v/>
      </c>
      <c r="D197" s="6">
        <f>IF(H197="","",INDEX('Debtor Ledger'!$E$2:$E$3001,H197))</f>
        <v/>
      </c>
      <c r="E197" s="6">
        <f>IF(H197="","",INDEX('Debtor Ledger'!$K$2:$K$3001,H197))</f>
        <v/>
      </c>
      <c r="F197" s="6">
        <f>IF(H197="","",INDEX('Debtor Ledger'!$L$2:$L$3001,H197))</f>
        <v/>
      </c>
      <c r="G197" s="34">
        <f t="array" ref="G197">IF($B$3="","",IFERROR(SMALL(IF('Debtor Ledger'!$C$2:$C$3001=$B$3,'Debtor Ledger'!$F$2:$F$3001),190),""))</f>
        <v/>
      </c>
      <c r="H197" s="21">
        <f>IF(G197="","",MATCH(G197,'Debtor Ledger'!$F$2:$F$3001,0))</f>
        <v/>
      </c>
    </row>
    <row r="198">
      <c r="A198" s="5">
        <f>IF(H198="","",INDEX('Debtor Ledger'!$B$2:$B$3001,H198))</f>
        <v/>
      </c>
      <c r="B198">
        <f>IF(H198="","",INDEX('Debtor Ledger'!$G$2:$G$3001,H198))</f>
        <v/>
      </c>
      <c r="C198" s="6">
        <f>IF(H198="","",INDEX('Debtor Ledger'!$D$2:$D$3001,H198))</f>
        <v/>
      </c>
      <c r="D198" s="6">
        <f>IF(H198="","",INDEX('Debtor Ledger'!$E$2:$E$3001,H198))</f>
        <v/>
      </c>
      <c r="E198" s="6">
        <f>IF(H198="","",INDEX('Debtor Ledger'!$K$2:$K$3001,H198))</f>
        <v/>
      </c>
      <c r="F198" s="6">
        <f>IF(H198="","",INDEX('Debtor Ledger'!$L$2:$L$3001,H198))</f>
        <v/>
      </c>
      <c r="G198" s="34">
        <f t="array" ref="G198">IF($B$3="","",IFERROR(SMALL(IF('Debtor Ledger'!$C$2:$C$3001=$B$3,'Debtor Ledger'!$F$2:$F$3001),191),""))</f>
        <v/>
      </c>
      <c r="H198" s="21">
        <f>IF(G198="","",MATCH(G198,'Debtor Ledger'!$F$2:$F$3001,0))</f>
        <v/>
      </c>
    </row>
    <row r="199">
      <c r="A199" s="5">
        <f>IF(H199="","",INDEX('Debtor Ledger'!$B$2:$B$3001,H199))</f>
        <v/>
      </c>
      <c r="B199">
        <f>IF(H199="","",INDEX('Debtor Ledger'!$G$2:$G$3001,H199))</f>
        <v/>
      </c>
      <c r="C199" s="6">
        <f>IF(H199="","",INDEX('Debtor Ledger'!$D$2:$D$3001,H199))</f>
        <v/>
      </c>
      <c r="D199" s="6">
        <f>IF(H199="","",INDEX('Debtor Ledger'!$E$2:$E$3001,H199))</f>
        <v/>
      </c>
      <c r="E199" s="6">
        <f>IF(H199="","",INDEX('Debtor Ledger'!$K$2:$K$3001,H199))</f>
        <v/>
      </c>
      <c r="F199" s="6">
        <f>IF(H199="","",INDEX('Debtor Ledger'!$L$2:$L$3001,H199))</f>
        <v/>
      </c>
      <c r="G199" s="34">
        <f t="array" ref="G199">IF($B$3="","",IFERROR(SMALL(IF('Debtor Ledger'!$C$2:$C$3001=$B$3,'Debtor Ledger'!$F$2:$F$3001),192),""))</f>
        <v/>
      </c>
      <c r="H199" s="21">
        <f>IF(G199="","",MATCH(G199,'Debtor Ledger'!$F$2:$F$3001,0))</f>
        <v/>
      </c>
    </row>
    <row r="200">
      <c r="A200" s="5">
        <f>IF(H200="","",INDEX('Debtor Ledger'!$B$2:$B$3001,H200))</f>
        <v/>
      </c>
      <c r="B200">
        <f>IF(H200="","",INDEX('Debtor Ledger'!$G$2:$G$3001,H200))</f>
        <v/>
      </c>
      <c r="C200" s="6">
        <f>IF(H200="","",INDEX('Debtor Ledger'!$D$2:$D$3001,H200))</f>
        <v/>
      </c>
      <c r="D200" s="6">
        <f>IF(H200="","",INDEX('Debtor Ledger'!$E$2:$E$3001,H200))</f>
        <v/>
      </c>
      <c r="E200" s="6">
        <f>IF(H200="","",INDEX('Debtor Ledger'!$K$2:$K$3001,H200))</f>
        <v/>
      </c>
      <c r="F200" s="6">
        <f>IF(H200="","",INDEX('Debtor Ledger'!$L$2:$L$3001,H200))</f>
        <v/>
      </c>
      <c r="G200" s="34">
        <f t="array" ref="G200">IF($B$3="","",IFERROR(SMALL(IF('Debtor Ledger'!$C$2:$C$3001=$B$3,'Debtor Ledger'!$F$2:$F$3001),193),""))</f>
        <v/>
      </c>
      <c r="H200" s="21">
        <f>IF(G200="","",MATCH(G200,'Debtor Ledger'!$F$2:$F$3001,0))</f>
        <v/>
      </c>
    </row>
    <row r="201">
      <c r="A201" s="5">
        <f>IF(H201="","",INDEX('Debtor Ledger'!$B$2:$B$3001,H201))</f>
        <v/>
      </c>
      <c r="B201">
        <f>IF(H201="","",INDEX('Debtor Ledger'!$G$2:$G$3001,H201))</f>
        <v/>
      </c>
      <c r="C201" s="6">
        <f>IF(H201="","",INDEX('Debtor Ledger'!$D$2:$D$3001,H201))</f>
        <v/>
      </c>
      <c r="D201" s="6">
        <f>IF(H201="","",INDEX('Debtor Ledger'!$E$2:$E$3001,H201))</f>
        <v/>
      </c>
      <c r="E201" s="6">
        <f>IF(H201="","",INDEX('Debtor Ledger'!$K$2:$K$3001,H201))</f>
        <v/>
      </c>
      <c r="F201" s="6">
        <f>IF(H201="","",INDEX('Debtor Ledger'!$L$2:$L$3001,H201))</f>
        <v/>
      </c>
      <c r="G201" s="34">
        <f t="array" ref="G201">IF($B$3="","",IFERROR(SMALL(IF('Debtor Ledger'!$C$2:$C$3001=$B$3,'Debtor Ledger'!$F$2:$F$3001),194),""))</f>
        <v/>
      </c>
      <c r="H201" s="21">
        <f>IF(G201="","",MATCH(G201,'Debtor Ledger'!$F$2:$F$3001,0))</f>
        <v/>
      </c>
    </row>
    <row r="202">
      <c r="A202" s="5">
        <f>IF(H202="","",INDEX('Debtor Ledger'!$B$2:$B$3001,H202))</f>
        <v/>
      </c>
      <c r="B202">
        <f>IF(H202="","",INDEX('Debtor Ledger'!$G$2:$G$3001,H202))</f>
        <v/>
      </c>
      <c r="C202" s="6">
        <f>IF(H202="","",INDEX('Debtor Ledger'!$D$2:$D$3001,H202))</f>
        <v/>
      </c>
      <c r="D202" s="6">
        <f>IF(H202="","",INDEX('Debtor Ledger'!$E$2:$E$3001,H202))</f>
        <v/>
      </c>
      <c r="E202" s="6">
        <f>IF(H202="","",INDEX('Debtor Ledger'!$K$2:$K$3001,H202))</f>
        <v/>
      </c>
      <c r="F202" s="6">
        <f>IF(H202="","",INDEX('Debtor Ledger'!$L$2:$L$3001,H202))</f>
        <v/>
      </c>
      <c r="G202" s="34">
        <f t="array" ref="G202">IF($B$3="","",IFERROR(SMALL(IF('Debtor Ledger'!$C$2:$C$3001=$B$3,'Debtor Ledger'!$F$2:$F$3001),195),""))</f>
        <v/>
      </c>
      <c r="H202" s="21">
        <f>IF(G202="","",MATCH(G202,'Debtor Ledger'!$F$2:$F$3001,0))</f>
        <v/>
      </c>
    </row>
    <row r="203">
      <c r="A203" s="5">
        <f>IF(H203="","",INDEX('Debtor Ledger'!$B$2:$B$3001,H203))</f>
        <v/>
      </c>
      <c r="B203">
        <f>IF(H203="","",INDEX('Debtor Ledger'!$G$2:$G$3001,H203))</f>
        <v/>
      </c>
      <c r="C203" s="6">
        <f>IF(H203="","",INDEX('Debtor Ledger'!$D$2:$D$3001,H203))</f>
        <v/>
      </c>
      <c r="D203" s="6">
        <f>IF(H203="","",INDEX('Debtor Ledger'!$E$2:$E$3001,H203))</f>
        <v/>
      </c>
      <c r="E203" s="6">
        <f>IF(H203="","",INDEX('Debtor Ledger'!$K$2:$K$3001,H203))</f>
        <v/>
      </c>
      <c r="F203" s="6">
        <f>IF(H203="","",INDEX('Debtor Ledger'!$L$2:$L$3001,H203))</f>
        <v/>
      </c>
      <c r="G203" s="34">
        <f t="array" ref="G203">IF($B$3="","",IFERROR(SMALL(IF('Debtor Ledger'!$C$2:$C$3001=$B$3,'Debtor Ledger'!$F$2:$F$3001),196),""))</f>
        <v/>
      </c>
      <c r="H203" s="21">
        <f>IF(G203="","",MATCH(G203,'Debtor Ledger'!$F$2:$F$3001,0))</f>
        <v/>
      </c>
    </row>
    <row r="204">
      <c r="A204" s="5">
        <f>IF(H204="","",INDEX('Debtor Ledger'!$B$2:$B$3001,H204))</f>
        <v/>
      </c>
      <c r="B204">
        <f>IF(H204="","",INDEX('Debtor Ledger'!$G$2:$G$3001,H204))</f>
        <v/>
      </c>
      <c r="C204" s="6">
        <f>IF(H204="","",INDEX('Debtor Ledger'!$D$2:$D$3001,H204))</f>
        <v/>
      </c>
      <c r="D204" s="6">
        <f>IF(H204="","",INDEX('Debtor Ledger'!$E$2:$E$3001,H204))</f>
        <v/>
      </c>
      <c r="E204" s="6">
        <f>IF(H204="","",INDEX('Debtor Ledger'!$K$2:$K$3001,H204))</f>
        <v/>
      </c>
      <c r="F204" s="6">
        <f>IF(H204="","",INDEX('Debtor Ledger'!$L$2:$L$3001,H204))</f>
        <v/>
      </c>
      <c r="G204" s="34">
        <f t="array" ref="G204">IF($B$3="","",IFERROR(SMALL(IF('Debtor Ledger'!$C$2:$C$3001=$B$3,'Debtor Ledger'!$F$2:$F$3001),197),""))</f>
        <v/>
      </c>
      <c r="H204" s="21">
        <f>IF(G204="","",MATCH(G204,'Debtor Ledger'!$F$2:$F$3001,0))</f>
        <v/>
      </c>
    </row>
    <row r="205">
      <c r="A205" s="5">
        <f>IF(H205="","",INDEX('Debtor Ledger'!$B$2:$B$3001,H205))</f>
        <v/>
      </c>
      <c r="B205">
        <f>IF(H205="","",INDEX('Debtor Ledger'!$G$2:$G$3001,H205))</f>
        <v/>
      </c>
      <c r="C205" s="6">
        <f>IF(H205="","",INDEX('Debtor Ledger'!$D$2:$D$3001,H205))</f>
        <v/>
      </c>
      <c r="D205" s="6">
        <f>IF(H205="","",INDEX('Debtor Ledger'!$E$2:$E$3001,H205))</f>
        <v/>
      </c>
      <c r="E205" s="6">
        <f>IF(H205="","",INDEX('Debtor Ledger'!$K$2:$K$3001,H205))</f>
        <v/>
      </c>
      <c r="F205" s="6">
        <f>IF(H205="","",INDEX('Debtor Ledger'!$L$2:$L$3001,H205))</f>
        <v/>
      </c>
      <c r="G205" s="34">
        <f t="array" ref="G205">IF($B$3="","",IFERROR(SMALL(IF('Debtor Ledger'!$C$2:$C$3001=$B$3,'Debtor Ledger'!$F$2:$F$3001),198),""))</f>
        <v/>
      </c>
      <c r="H205" s="21">
        <f>IF(G205="","",MATCH(G205,'Debtor Ledger'!$F$2:$F$3001,0))</f>
        <v/>
      </c>
    </row>
    <row r="206">
      <c r="A206" s="5">
        <f>IF(H206="","",INDEX('Debtor Ledger'!$B$2:$B$3001,H206))</f>
        <v/>
      </c>
      <c r="B206">
        <f>IF(H206="","",INDEX('Debtor Ledger'!$G$2:$G$3001,H206))</f>
        <v/>
      </c>
      <c r="C206" s="6">
        <f>IF(H206="","",INDEX('Debtor Ledger'!$D$2:$D$3001,H206))</f>
        <v/>
      </c>
      <c r="D206" s="6">
        <f>IF(H206="","",INDEX('Debtor Ledger'!$E$2:$E$3001,H206))</f>
        <v/>
      </c>
      <c r="E206" s="6">
        <f>IF(H206="","",INDEX('Debtor Ledger'!$K$2:$K$3001,H206))</f>
        <v/>
      </c>
      <c r="F206" s="6">
        <f>IF(H206="","",INDEX('Debtor Ledger'!$L$2:$L$3001,H206))</f>
        <v/>
      </c>
      <c r="G206" s="34">
        <f t="array" ref="G206">IF($B$3="","",IFERROR(SMALL(IF('Debtor Ledger'!$C$2:$C$3001=$B$3,'Debtor Ledger'!$F$2:$F$3001),199),""))</f>
        <v/>
      </c>
      <c r="H206" s="21">
        <f>IF(G206="","",MATCH(G206,'Debtor Ledger'!$F$2:$F$3001,0))</f>
        <v/>
      </c>
    </row>
    <row r="207">
      <c r="A207" s="5">
        <f>IF(H207="","",INDEX('Debtor Ledger'!$B$2:$B$3001,H207))</f>
        <v/>
      </c>
      <c r="B207">
        <f>IF(H207="","",INDEX('Debtor Ledger'!$G$2:$G$3001,H207))</f>
        <v/>
      </c>
      <c r="C207" s="6">
        <f>IF(H207="","",INDEX('Debtor Ledger'!$D$2:$D$3001,H207))</f>
        <v/>
      </c>
      <c r="D207" s="6">
        <f>IF(H207="","",INDEX('Debtor Ledger'!$E$2:$E$3001,H207))</f>
        <v/>
      </c>
      <c r="E207" s="6">
        <f>IF(H207="","",INDEX('Debtor Ledger'!$K$2:$K$3001,H207))</f>
        <v/>
      </c>
      <c r="F207" s="6">
        <f>IF(H207="","",INDEX('Debtor Ledger'!$L$2:$L$3001,H207))</f>
        <v/>
      </c>
      <c r="G207" s="34">
        <f t="array" ref="G207">IF($B$3="","",IFERROR(SMALL(IF('Debtor Ledger'!$C$2:$C$3001=$B$3,'Debtor Ledger'!$F$2:$F$3001),200),""))</f>
        <v/>
      </c>
      <c r="H207" s="21">
        <f>IF(G207="","",MATCH(G207,'Debtor Ledger'!$F$2:$F$3001,0))</f>
        <v/>
      </c>
    </row>
  </sheetData>
  <dataValidations count="1">
    <dataValidation sqref="B3" showDropDown="0" showInputMessage="0" showErrorMessage="0" allowBlank="1" type="list">
      <formula1>='Opening Balance'!$I$4:$I$303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16" customWidth="1" min="5" max="5"/>
    <col width="16" customWidth="1" min="6" max="6"/>
    <col width="44" customWidth="1" min="7" max="7"/>
    <col width="12" customWidth="1" min="8" max="8"/>
    <col width="22" customWidth="1" min="9" max="9"/>
    <col width="14" customWidth="1" min="10" max="10"/>
    <col width="12" customWidth="1" min="11" max="11"/>
    <col width="14" customWidth="1" min="12" max="12"/>
    <col width="14" customWidth="1" min="13" max="13"/>
  </cols>
  <sheetData>
    <row r="1">
      <c r="A1" s="20" t="inlineStr">
        <is>
          <t>Source 来源</t>
        </is>
      </c>
      <c r="B1" s="20" t="inlineStr">
        <is>
          <t>Date 日期</t>
        </is>
      </c>
      <c r="C1" s="20" t="inlineStr">
        <is>
          <t>Buyer 买家</t>
        </is>
      </c>
      <c r="D1" s="20" t="inlineStr">
        <is>
          <t>Debit (credit sale) 赊销</t>
        </is>
      </c>
      <c r="E1" s="20" t="inlineStr">
        <is>
          <t>Credit (payment) 付款</t>
        </is>
      </c>
      <c r="F1" s="20" t="inlineStr">
        <is>
          <t>Sort key 排序码</t>
        </is>
      </c>
      <c r="G1" s="20" t="inlineStr">
        <is>
          <t>Description 说明</t>
        </is>
      </c>
      <c r="H1" s="25" t="inlineStr">
        <is>
          <t>Rank in buyer 买家序号</t>
        </is>
      </c>
      <c r="I1" s="25" t="inlineStr">
        <is>
          <t>Match key 匹配码</t>
        </is>
      </c>
      <c r="J1" s="25" t="inlineStr">
        <is>
          <t>Prev balance 上笔余额</t>
        </is>
      </c>
      <c r="K1" s="25" t="inlineStr">
        <is>
          <t>Discount 折扣</t>
        </is>
      </c>
      <c r="L1" s="25" t="inlineStr">
        <is>
          <t>Balance after 交易后余额</t>
        </is>
      </c>
      <c r="M1" s="25" t="inlineStr">
        <is>
          <t>Typed discount 输入折扣</t>
        </is>
      </c>
      <c r="O1" t="inlineStr">
        <is>
          <t>HELPER SHEET 辅助表 - do not edit. Feeds Debtor Statement.</t>
        </is>
      </c>
    </row>
    <row r="2">
      <c r="A2" t="inlineStr">
        <is>
          <t>Entry 记录</t>
        </is>
      </c>
      <c r="B2" s="5">
        <f>IF('Daily Sale entry '!P2="","",'Daily Sale entry '!O2)</f>
        <v/>
      </c>
      <c r="C2">
        <f>IF('Daily Sale entry '!P2="","",'Daily Sale entry '!P2)</f>
        <v/>
      </c>
      <c r="D2">
        <f>IF(C2="","",IF('Daily Sale entry '!Q2="Credit Sale 赊销",'Daily Sale entry '!S2,0))</f>
        <v/>
      </c>
      <c r="E2">
        <f>IF(C2="","",IF('Daily Sale entry '!Q2="Collection 收款",'Daily Sale entry '!S2,0))</f>
        <v/>
      </c>
      <c r="F2" s="37">
        <f>IF(C2="","",B2+IF(E2&gt;0,0,0.5)+ROW()/10000000)</f>
        <v/>
      </c>
      <c r="G2">
        <f>IF(C2="","",'Daily Sale entry '!Q2&amp;IF('Daily Sale entry '!Q2="Collection 收款"," ("&amp;'Daily Sale entry '!R2&amp;")","")&amp;IF('Daily Sale entry '!U2="",""," - "&amp;'Daily Sale entry '!U2))</f>
        <v/>
      </c>
      <c r="H2">
        <f>IF(C2="","",COUNTIFS($C$2:$C$3001,C2,$F$2:$F$3001,"&lt;"&amp;F2)+1)</f>
        <v/>
      </c>
      <c r="I2">
        <f>IF(C2="","",C2&amp;"|"&amp;H2)</f>
        <v/>
      </c>
      <c r="J2" s="6">
        <f>IF(C2="","",IF(H2=1,SUMIFS('Opening Balance'!$F$4:$F$303,'Opening Balance'!$G$4:$G$303,C2),INDEX($L$2:$L$3001,MATCH(C2&amp;"|"&amp;(H2-1),$I$2:$I$3001,0))))</f>
        <v/>
      </c>
      <c r="K2" s="6">
        <f>IF(C2="","",IF(M2&gt;0,M2,IF(AND(E2&gt;0,ROUND(J2+D2-E2,2)&gt;0,ROUND(J2+D2-E2,2)&lt;'Opening Balance'!$B$14),ROUND(J2+D2-E2,2),0)))</f>
        <v/>
      </c>
      <c r="L2" s="6">
        <f>IF(C2="","",ROUND(J2+D2-E2-K2,2))</f>
        <v/>
      </c>
      <c r="M2" s="6">
        <f>IF(C2="","",IF('Daily Sale entry '!Q2="Collection 收款",ROUND(N('Daily Sale entry '!T2),2),0))</f>
        <v/>
      </c>
    </row>
    <row r="3">
      <c r="A3" t="inlineStr">
        <is>
          <t>Entry 记录</t>
        </is>
      </c>
      <c r="B3" s="5">
        <f>IF('Daily Sale entry '!P3="","",'Daily Sale entry '!O3)</f>
        <v/>
      </c>
      <c r="C3">
        <f>IF('Daily Sale entry '!P3="","",'Daily Sale entry '!P3)</f>
        <v/>
      </c>
      <c r="D3">
        <f>IF(C3="","",IF('Daily Sale entry '!Q3="Credit Sale 赊销",'Daily Sale entry '!S3,0))</f>
        <v/>
      </c>
      <c r="E3">
        <f>IF(C3="","",IF('Daily Sale entry '!Q3="Collection 收款",'Daily Sale entry '!S3,0))</f>
        <v/>
      </c>
      <c r="F3" s="37">
        <f>IF(C3="","",B3+IF(E3&gt;0,0,0.5)+ROW()/10000000)</f>
        <v/>
      </c>
      <c r="G3">
        <f>IF(C3="","",'Daily Sale entry '!Q3&amp;IF('Daily Sale entry '!Q3="Collection 收款"," ("&amp;'Daily Sale entry '!R3&amp;")","")&amp;IF('Daily Sale entry '!U3="",""," - "&amp;'Daily Sale entry '!U3))</f>
        <v/>
      </c>
      <c r="H3">
        <f>IF(C3="","",COUNTIFS($C$2:$C$3001,C3,$F$2:$F$3001,"&lt;"&amp;F3)+1)</f>
        <v/>
      </c>
      <c r="I3">
        <f>IF(C3="","",C3&amp;"|"&amp;H3)</f>
        <v/>
      </c>
      <c r="J3" s="6">
        <f>IF(C3="","",IF(H3=1,SUMIFS('Opening Balance'!$F$4:$F$303,'Opening Balance'!$G$4:$G$303,C3),INDEX($L$2:$L$3001,MATCH(C3&amp;"|"&amp;(H3-1),$I$2:$I$3001,0))))</f>
        <v/>
      </c>
      <c r="K3" s="6">
        <f>IF(C3="","",IF(M3&gt;0,M3,IF(AND(E3&gt;0,ROUND(J3+D3-E3,2)&gt;0,ROUND(J3+D3-E3,2)&lt;'Opening Balance'!$B$14),ROUND(J3+D3-E3,2),0)))</f>
        <v/>
      </c>
      <c r="L3" s="6">
        <f>IF(C3="","",ROUND(J3+D3-E3-K3,2))</f>
        <v/>
      </c>
      <c r="M3" s="6">
        <f>IF(C3="","",IF('Daily Sale entry '!Q3="Collection 收款",ROUND(N('Daily Sale entry '!T3),2),0))</f>
        <v/>
      </c>
    </row>
    <row r="4">
      <c r="A4" t="inlineStr">
        <is>
          <t>Entry 记录</t>
        </is>
      </c>
      <c r="B4" s="5">
        <f>IF('Daily Sale entry '!P4="","",'Daily Sale entry '!O4)</f>
        <v/>
      </c>
      <c r="C4">
        <f>IF('Daily Sale entry '!P4="","",'Daily Sale entry '!P4)</f>
        <v/>
      </c>
      <c r="D4">
        <f>IF(C4="","",IF('Daily Sale entry '!Q4="Credit Sale 赊销",'Daily Sale entry '!S4,0))</f>
        <v/>
      </c>
      <c r="E4">
        <f>IF(C4="","",IF('Daily Sale entry '!Q4="Collection 收款",'Daily Sale entry '!S4,0))</f>
        <v/>
      </c>
      <c r="F4" s="37">
        <f>IF(C4="","",B4+IF(E4&gt;0,0,0.5)+ROW()/10000000)</f>
        <v/>
      </c>
      <c r="G4">
        <f>IF(C4="","",'Daily Sale entry '!Q4&amp;IF('Daily Sale entry '!Q4="Collection 收款"," ("&amp;'Daily Sale entry '!R4&amp;")","")&amp;IF('Daily Sale entry '!U4="",""," - "&amp;'Daily Sale entry '!U4))</f>
        <v/>
      </c>
      <c r="H4">
        <f>IF(C4="","",COUNTIFS($C$2:$C$3001,C4,$F$2:$F$3001,"&lt;"&amp;F4)+1)</f>
        <v/>
      </c>
      <c r="I4">
        <f>IF(C4="","",C4&amp;"|"&amp;H4)</f>
        <v/>
      </c>
      <c r="J4" s="6">
        <f>IF(C4="","",IF(H4=1,SUMIFS('Opening Balance'!$F$4:$F$303,'Opening Balance'!$G$4:$G$303,C4),INDEX($L$2:$L$3001,MATCH(C4&amp;"|"&amp;(H4-1),$I$2:$I$3001,0))))</f>
        <v/>
      </c>
      <c r="K4" s="6">
        <f>IF(C4="","",IF(M4&gt;0,M4,IF(AND(E4&gt;0,ROUND(J4+D4-E4,2)&gt;0,ROUND(J4+D4-E4,2)&lt;'Opening Balance'!$B$14),ROUND(J4+D4-E4,2),0)))</f>
        <v/>
      </c>
      <c r="L4" s="6">
        <f>IF(C4="","",ROUND(J4+D4-E4-K4,2))</f>
        <v/>
      </c>
      <c r="M4" s="6">
        <f>IF(C4="","",IF('Daily Sale entry '!Q4="Collection 收款",ROUND(N('Daily Sale entry '!T4),2),0))</f>
        <v/>
      </c>
    </row>
    <row r="5">
      <c r="A5" t="inlineStr">
        <is>
          <t>Entry 记录</t>
        </is>
      </c>
      <c r="B5" s="5">
        <f>IF('Daily Sale entry '!P5="","",'Daily Sale entry '!O5)</f>
        <v/>
      </c>
      <c r="C5">
        <f>IF('Daily Sale entry '!P5="","",'Daily Sale entry '!P5)</f>
        <v/>
      </c>
      <c r="D5">
        <f>IF(C5="","",IF('Daily Sale entry '!Q5="Credit Sale 赊销",'Daily Sale entry '!S5,0))</f>
        <v/>
      </c>
      <c r="E5">
        <f>IF(C5="","",IF('Daily Sale entry '!Q5="Collection 收款",'Daily Sale entry '!S5,0))</f>
        <v/>
      </c>
      <c r="F5" s="37">
        <f>IF(C5="","",B5+IF(E5&gt;0,0,0.5)+ROW()/10000000)</f>
        <v/>
      </c>
      <c r="G5">
        <f>IF(C5="","",'Daily Sale entry '!Q5&amp;IF('Daily Sale entry '!Q5="Collection 收款"," ("&amp;'Daily Sale entry '!R5&amp;")","")&amp;IF('Daily Sale entry '!U5="",""," - "&amp;'Daily Sale entry '!U5))</f>
        <v/>
      </c>
      <c r="H5">
        <f>IF(C5="","",COUNTIFS($C$2:$C$3001,C5,$F$2:$F$3001,"&lt;"&amp;F5)+1)</f>
        <v/>
      </c>
      <c r="I5">
        <f>IF(C5="","",C5&amp;"|"&amp;H5)</f>
        <v/>
      </c>
      <c r="J5" s="6">
        <f>IF(C5="","",IF(H5=1,SUMIFS('Opening Balance'!$F$4:$F$303,'Opening Balance'!$G$4:$G$303,C5),INDEX($L$2:$L$3001,MATCH(C5&amp;"|"&amp;(H5-1),$I$2:$I$3001,0))))</f>
        <v/>
      </c>
      <c r="K5" s="6">
        <f>IF(C5="","",IF(M5&gt;0,M5,IF(AND(E5&gt;0,ROUND(J5+D5-E5,2)&gt;0,ROUND(J5+D5-E5,2)&lt;'Opening Balance'!$B$14),ROUND(J5+D5-E5,2),0)))</f>
        <v/>
      </c>
      <c r="L5" s="6">
        <f>IF(C5="","",ROUND(J5+D5-E5-K5,2))</f>
        <v/>
      </c>
      <c r="M5" s="6">
        <f>IF(C5="","",IF('Daily Sale entry '!Q5="Collection 收款",ROUND(N('Daily Sale entry '!T5),2),0))</f>
        <v/>
      </c>
    </row>
    <row r="6">
      <c r="A6" t="inlineStr">
        <is>
          <t>Entry 记录</t>
        </is>
      </c>
      <c r="B6" s="5">
        <f>IF('Daily Sale entry '!P6="","",'Daily Sale entry '!O6)</f>
        <v/>
      </c>
      <c r="C6">
        <f>IF('Daily Sale entry '!P6="","",'Daily Sale entry '!P6)</f>
        <v/>
      </c>
      <c r="D6">
        <f>IF(C6="","",IF('Daily Sale entry '!Q6="Credit Sale 赊销",'Daily Sale entry '!S6,0))</f>
        <v/>
      </c>
      <c r="E6">
        <f>IF(C6="","",IF('Daily Sale entry '!Q6="Collection 收款",'Daily Sale entry '!S6,0))</f>
        <v/>
      </c>
      <c r="F6" s="37">
        <f>IF(C6="","",B6+IF(E6&gt;0,0,0.5)+ROW()/10000000)</f>
        <v/>
      </c>
      <c r="G6">
        <f>IF(C6="","",'Daily Sale entry '!Q6&amp;IF('Daily Sale entry '!Q6="Collection 收款"," ("&amp;'Daily Sale entry '!R6&amp;")","")&amp;IF('Daily Sale entry '!U6="",""," - "&amp;'Daily Sale entry '!U6))</f>
        <v/>
      </c>
      <c r="H6">
        <f>IF(C6="","",COUNTIFS($C$2:$C$3001,C6,$F$2:$F$3001,"&lt;"&amp;F6)+1)</f>
        <v/>
      </c>
      <c r="I6">
        <f>IF(C6="","",C6&amp;"|"&amp;H6)</f>
        <v/>
      </c>
      <c r="J6" s="6">
        <f>IF(C6="","",IF(H6=1,SUMIFS('Opening Balance'!$F$4:$F$303,'Opening Balance'!$G$4:$G$303,C6),INDEX($L$2:$L$3001,MATCH(C6&amp;"|"&amp;(H6-1),$I$2:$I$3001,0))))</f>
        <v/>
      </c>
      <c r="K6" s="6">
        <f>IF(C6="","",IF(M6&gt;0,M6,IF(AND(E6&gt;0,ROUND(J6+D6-E6,2)&gt;0,ROUND(J6+D6-E6,2)&lt;'Opening Balance'!$B$14),ROUND(J6+D6-E6,2),0)))</f>
        <v/>
      </c>
      <c r="L6" s="6">
        <f>IF(C6="","",ROUND(J6+D6-E6-K6,2))</f>
        <v/>
      </c>
      <c r="M6" s="6">
        <f>IF(C6="","",IF('Daily Sale entry '!Q6="Collection 收款",ROUND(N('Daily Sale entry '!T6),2),0))</f>
        <v/>
      </c>
    </row>
    <row r="7">
      <c r="A7" t="inlineStr">
        <is>
          <t>Entry 记录</t>
        </is>
      </c>
      <c r="B7" s="5">
        <f>IF('Daily Sale entry '!P7="","",'Daily Sale entry '!O7)</f>
        <v/>
      </c>
      <c r="C7">
        <f>IF('Daily Sale entry '!P7="","",'Daily Sale entry '!P7)</f>
        <v/>
      </c>
      <c r="D7">
        <f>IF(C7="","",IF('Daily Sale entry '!Q7="Credit Sale 赊销",'Daily Sale entry '!S7,0))</f>
        <v/>
      </c>
      <c r="E7">
        <f>IF(C7="","",IF('Daily Sale entry '!Q7="Collection 收款",'Daily Sale entry '!S7,0))</f>
        <v/>
      </c>
      <c r="F7" s="37">
        <f>IF(C7="","",B7+IF(E7&gt;0,0,0.5)+ROW()/10000000)</f>
        <v/>
      </c>
      <c r="G7">
        <f>IF(C7="","",'Daily Sale entry '!Q7&amp;IF('Daily Sale entry '!Q7="Collection 收款"," ("&amp;'Daily Sale entry '!R7&amp;")","")&amp;IF('Daily Sale entry '!U7="",""," - "&amp;'Daily Sale entry '!U7))</f>
        <v/>
      </c>
      <c r="H7">
        <f>IF(C7="","",COUNTIFS($C$2:$C$3001,C7,$F$2:$F$3001,"&lt;"&amp;F7)+1)</f>
        <v/>
      </c>
      <c r="I7">
        <f>IF(C7="","",C7&amp;"|"&amp;H7)</f>
        <v/>
      </c>
      <c r="J7" s="6">
        <f>IF(C7="","",IF(H7=1,SUMIFS('Opening Balance'!$F$4:$F$303,'Opening Balance'!$G$4:$G$303,C7),INDEX($L$2:$L$3001,MATCH(C7&amp;"|"&amp;(H7-1),$I$2:$I$3001,0))))</f>
        <v/>
      </c>
      <c r="K7" s="6">
        <f>IF(C7="","",IF(M7&gt;0,M7,IF(AND(E7&gt;0,ROUND(J7+D7-E7,2)&gt;0,ROUND(J7+D7-E7,2)&lt;'Opening Balance'!$B$14),ROUND(J7+D7-E7,2),0)))</f>
        <v/>
      </c>
      <c r="L7" s="6">
        <f>IF(C7="","",ROUND(J7+D7-E7-K7,2))</f>
        <v/>
      </c>
      <c r="M7" s="6">
        <f>IF(C7="","",IF('Daily Sale entry '!Q7="Collection 收款",ROUND(N('Daily Sale entry '!T7),2),0))</f>
        <v/>
      </c>
    </row>
    <row r="8">
      <c r="A8" t="inlineStr">
        <is>
          <t>Entry 记录</t>
        </is>
      </c>
      <c r="B8" s="5">
        <f>IF('Daily Sale entry '!P8="","",'Daily Sale entry '!O8)</f>
        <v/>
      </c>
      <c r="C8">
        <f>IF('Daily Sale entry '!P8="","",'Daily Sale entry '!P8)</f>
        <v/>
      </c>
      <c r="D8">
        <f>IF(C8="","",IF('Daily Sale entry '!Q8="Credit Sale 赊销",'Daily Sale entry '!S8,0))</f>
        <v/>
      </c>
      <c r="E8">
        <f>IF(C8="","",IF('Daily Sale entry '!Q8="Collection 收款",'Daily Sale entry '!S8,0))</f>
        <v/>
      </c>
      <c r="F8" s="37">
        <f>IF(C8="","",B8+IF(E8&gt;0,0,0.5)+ROW()/10000000)</f>
        <v/>
      </c>
      <c r="G8">
        <f>IF(C8="","",'Daily Sale entry '!Q8&amp;IF('Daily Sale entry '!Q8="Collection 收款"," ("&amp;'Daily Sale entry '!R8&amp;")","")&amp;IF('Daily Sale entry '!U8="",""," - "&amp;'Daily Sale entry '!U8))</f>
        <v/>
      </c>
      <c r="H8">
        <f>IF(C8="","",COUNTIFS($C$2:$C$3001,C8,$F$2:$F$3001,"&lt;"&amp;F8)+1)</f>
        <v/>
      </c>
      <c r="I8">
        <f>IF(C8="","",C8&amp;"|"&amp;H8)</f>
        <v/>
      </c>
      <c r="J8" s="6">
        <f>IF(C8="","",IF(H8=1,SUMIFS('Opening Balance'!$F$4:$F$303,'Opening Balance'!$G$4:$G$303,C8),INDEX($L$2:$L$3001,MATCH(C8&amp;"|"&amp;(H8-1),$I$2:$I$3001,0))))</f>
        <v/>
      </c>
      <c r="K8" s="6">
        <f>IF(C8="","",IF(M8&gt;0,M8,IF(AND(E8&gt;0,ROUND(J8+D8-E8,2)&gt;0,ROUND(J8+D8-E8,2)&lt;'Opening Balance'!$B$14),ROUND(J8+D8-E8,2),0)))</f>
        <v/>
      </c>
      <c r="L8" s="6">
        <f>IF(C8="","",ROUND(J8+D8-E8-K8,2))</f>
        <v/>
      </c>
      <c r="M8" s="6">
        <f>IF(C8="","",IF('Daily Sale entry '!Q8="Collection 收款",ROUND(N('Daily Sale entry '!T8),2),0))</f>
        <v/>
      </c>
    </row>
    <row r="9">
      <c r="A9" t="inlineStr">
        <is>
          <t>Entry 记录</t>
        </is>
      </c>
      <c r="B9" s="5">
        <f>IF('Daily Sale entry '!P9="","",'Daily Sale entry '!O9)</f>
        <v/>
      </c>
      <c r="C9">
        <f>IF('Daily Sale entry '!P9="","",'Daily Sale entry '!P9)</f>
        <v/>
      </c>
      <c r="D9">
        <f>IF(C9="","",IF('Daily Sale entry '!Q9="Credit Sale 赊销",'Daily Sale entry '!S9,0))</f>
        <v/>
      </c>
      <c r="E9">
        <f>IF(C9="","",IF('Daily Sale entry '!Q9="Collection 收款",'Daily Sale entry '!S9,0))</f>
        <v/>
      </c>
      <c r="F9" s="37">
        <f>IF(C9="","",B9+IF(E9&gt;0,0,0.5)+ROW()/10000000)</f>
        <v/>
      </c>
      <c r="G9">
        <f>IF(C9="","",'Daily Sale entry '!Q9&amp;IF('Daily Sale entry '!Q9="Collection 收款"," ("&amp;'Daily Sale entry '!R9&amp;")","")&amp;IF('Daily Sale entry '!U9="",""," - "&amp;'Daily Sale entry '!U9))</f>
        <v/>
      </c>
      <c r="H9">
        <f>IF(C9="","",COUNTIFS($C$2:$C$3001,C9,$F$2:$F$3001,"&lt;"&amp;F9)+1)</f>
        <v/>
      </c>
      <c r="I9">
        <f>IF(C9="","",C9&amp;"|"&amp;H9)</f>
        <v/>
      </c>
      <c r="J9" s="6">
        <f>IF(C9="","",IF(H9=1,SUMIFS('Opening Balance'!$F$4:$F$303,'Opening Balance'!$G$4:$G$303,C9),INDEX($L$2:$L$3001,MATCH(C9&amp;"|"&amp;(H9-1),$I$2:$I$3001,0))))</f>
        <v/>
      </c>
      <c r="K9" s="6">
        <f>IF(C9="","",IF(M9&gt;0,M9,IF(AND(E9&gt;0,ROUND(J9+D9-E9,2)&gt;0,ROUND(J9+D9-E9,2)&lt;'Opening Balance'!$B$14),ROUND(J9+D9-E9,2),0)))</f>
        <v/>
      </c>
      <c r="L9" s="6">
        <f>IF(C9="","",ROUND(J9+D9-E9-K9,2))</f>
        <v/>
      </c>
      <c r="M9" s="6">
        <f>IF(C9="","",IF('Daily Sale entry '!Q9="Collection 收款",ROUND(N('Daily Sale entry '!T9),2),0))</f>
        <v/>
      </c>
    </row>
    <row r="10">
      <c r="A10" t="inlineStr">
        <is>
          <t>Entry 记录</t>
        </is>
      </c>
      <c r="B10" s="5">
        <f>IF('Daily Sale entry '!P10="","",'Daily Sale entry '!O10)</f>
        <v/>
      </c>
      <c r="C10">
        <f>IF('Daily Sale entry '!P10="","",'Daily Sale entry '!P10)</f>
        <v/>
      </c>
      <c r="D10">
        <f>IF(C10="","",IF('Daily Sale entry '!Q10="Credit Sale 赊销",'Daily Sale entry '!S10,0))</f>
        <v/>
      </c>
      <c r="E10">
        <f>IF(C10="","",IF('Daily Sale entry '!Q10="Collection 收款",'Daily Sale entry '!S10,0))</f>
        <v/>
      </c>
      <c r="F10" s="37">
        <f>IF(C10="","",B10+IF(E10&gt;0,0,0.5)+ROW()/10000000)</f>
        <v/>
      </c>
      <c r="G10">
        <f>IF(C10="","",'Daily Sale entry '!Q10&amp;IF('Daily Sale entry '!Q10="Collection 收款"," ("&amp;'Daily Sale entry '!R10&amp;")","")&amp;IF('Daily Sale entry '!U10="",""," - "&amp;'Daily Sale entry '!U10))</f>
        <v/>
      </c>
      <c r="H10">
        <f>IF(C10="","",COUNTIFS($C$2:$C$3001,C10,$F$2:$F$3001,"&lt;"&amp;F10)+1)</f>
        <v/>
      </c>
      <c r="I10">
        <f>IF(C10="","",C10&amp;"|"&amp;H10)</f>
        <v/>
      </c>
      <c r="J10" s="6">
        <f>IF(C10="","",IF(H10=1,SUMIFS('Opening Balance'!$F$4:$F$303,'Opening Balance'!$G$4:$G$303,C10),INDEX($L$2:$L$3001,MATCH(C10&amp;"|"&amp;(H10-1),$I$2:$I$3001,0))))</f>
        <v/>
      </c>
      <c r="K10" s="6">
        <f>IF(C10="","",IF(M10&gt;0,M10,IF(AND(E10&gt;0,ROUND(J10+D10-E10,2)&gt;0,ROUND(J10+D10-E10,2)&lt;'Opening Balance'!$B$14),ROUND(J10+D10-E10,2),0)))</f>
        <v/>
      </c>
      <c r="L10" s="6">
        <f>IF(C10="","",ROUND(J10+D10-E10-K10,2))</f>
        <v/>
      </c>
      <c r="M10" s="6">
        <f>IF(C10="","",IF('Daily Sale entry '!Q10="Collection 收款",ROUND(N('Daily Sale entry '!T10),2),0))</f>
        <v/>
      </c>
    </row>
    <row r="11">
      <c r="A11" t="inlineStr">
        <is>
          <t>Entry 记录</t>
        </is>
      </c>
      <c r="B11" s="5">
        <f>IF('Daily Sale entry '!P11="","",'Daily Sale entry '!O11)</f>
        <v/>
      </c>
      <c r="C11">
        <f>IF('Daily Sale entry '!P11="","",'Daily Sale entry '!P11)</f>
        <v/>
      </c>
      <c r="D11">
        <f>IF(C11="","",IF('Daily Sale entry '!Q11="Credit Sale 赊销",'Daily Sale entry '!S11,0))</f>
        <v/>
      </c>
      <c r="E11">
        <f>IF(C11="","",IF('Daily Sale entry '!Q11="Collection 收款",'Daily Sale entry '!S11,0))</f>
        <v/>
      </c>
      <c r="F11" s="37">
        <f>IF(C11="","",B11+IF(E11&gt;0,0,0.5)+ROW()/10000000)</f>
        <v/>
      </c>
      <c r="G11">
        <f>IF(C11="","",'Daily Sale entry '!Q11&amp;IF('Daily Sale entry '!Q11="Collection 收款"," ("&amp;'Daily Sale entry '!R11&amp;")","")&amp;IF('Daily Sale entry '!U11="",""," - "&amp;'Daily Sale entry '!U11))</f>
        <v/>
      </c>
      <c r="H11">
        <f>IF(C11="","",COUNTIFS($C$2:$C$3001,C11,$F$2:$F$3001,"&lt;"&amp;F11)+1)</f>
        <v/>
      </c>
      <c r="I11">
        <f>IF(C11="","",C11&amp;"|"&amp;H11)</f>
        <v/>
      </c>
      <c r="J11" s="6">
        <f>IF(C11="","",IF(H11=1,SUMIFS('Opening Balance'!$F$4:$F$303,'Opening Balance'!$G$4:$G$303,C11),INDEX($L$2:$L$3001,MATCH(C11&amp;"|"&amp;(H11-1),$I$2:$I$3001,0))))</f>
        <v/>
      </c>
      <c r="K11" s="6">
        <f>IF(C11="","",IF(M11&gt;0,M11,IF(AND(E11&gt;0,ROUND(J11+D11-E11,2)&gt;0,ROUND(J11+D11-E11,2)&lt;'Opening Balance'!$B$14),ROUND(J11+D11-E11,2),0)))</f>
        <v/>
      </c>
      <c r="L11" s="6">
        <f>IF(C11="","",ROUND(J11+D11-E11-K11,2))</f>
        <v/>
      </c>
      <c r="M11" s="6">
        <f>IF(C11="","",IF('Daily Sale entry '!Q11="Collection 收款",ROUND(N('Daily Sale entry '!T11),2),0))</f>
        <v/>
      </c>
    </row>
    <row r="12">
      <c r="A12" t="inlineStr">
        <is>
          <t>Entry 记录</t>
        </is>
      </c>
      <c r="B12" s="5">
        <f>IF('Daily Sale entry '!P12="","",'Daily Sale entry '!O12)</f>
        <v/>
      </c>
      <c r="C12">
        <f>IF('Daily Sale entry '!P12="","",'Daily Sale entry '!P12)</f>
        <v/>
      </c>
      <c r="D12">
        <f>IF(C12="","",IF('Daily Sale entry '!Q12="Credit Sale 赊销",'Daily Sale entry '!S12,0))</f>
        <v/>
      </c>
      <c r="E12">
        <f>IF(C12="","",IF('Daily Sale entry '!Q12="Collection 收款",'Daily Sale entry '!S12,0))</f>
        <v/>
      </c>
      <c r="F12" s="37">
        <f>IF(C12="","",B12+IF(E12&gt;0,0,0.5)+ROW()/10000000)</f>
        <v/>
      </c>
      <c r="G12">
        <f>IF(C12="","",'Daily Sale entry '!Q12&amp;IF('Daily Sale entry '!Q12="Collection 收款"," ("&amp;'Daily Sale entry '!R12&amp;")","")&amp;IF('Daily Sale entry '!U12="",""," - "&amp;'Daily Sale entry '!U12))</f>
        <v/>
      </c>
      <c r="H12">
        <f>IF(C12="","",COUNTIFS($C$2:$C$3001,C12,$F$2:$F$3001,"&lt;"&amp;F12)+1)</f>
        <v/>
      </c>
      <c r="I12">
        <f>IF(C12="","",C12&amp;"|"&amp;H12)</f>
        <v/>
      </c>
      <c r="J12" s="6">
        <f>IF(C12="","",IF(H12=1,SUMIFS('Opening Balance'!$F$4:$F$303,'Opening Balance'!$G$4:$G$303,C12),INDEX($L$2:$L$3001,MATCH(C12&amp;"|"&amp;(H12-1),$I$2:$I$3001,0))))</f>
        <v/>
      </c>
      <c r="K12" s="6">
        <f>IF(C12="","",IF(M12&gt;0,M12,IF(AND(E12&gt;0,ROUND(J12+D12-E12,2)&gt;0,ROUND(J12+D12-E12,2)&lt;'Opening Balance'!$B$14),ROUND(J12+D12-E12,2),0)))</f>
        <v/>
      </c>
      <c r="L12" s="6">
        <f>IF(C12="","",ROUND(J12+D12-E12-K12,2))</f>
        <v/>
      </c>
      <c r="M12" s="6">
        <f>IF(C12="","",IF('Daily Sale entry '!Q12="Collection 收款",ROUND(N('Daily Sale entry '!T12),2),0))</f>
        <v/>
      </c>
    </row>
    <row r="13">
      <c r="A13" t="inlineStr">
        <is>
          <t>Entry 记录</t>
        </is>
      </c>
      <c r="B13" s="5">
        <f>IF('Daily Sale entry '!P13="","",'Daily Sale entry '!O13)</f>
        <v/>
      </c>
      <c r="C13">
        <f>IF('Daily Sale entry '!P13="","",'Daily Sale entry '!P13)</f>
        <v/>
      </c>
      <c r="D13">
        <f>IF(C13="","",IF('Daily Sale entry '!Q13="Credit Sale 赊销",'Daily Sale entry '!S13,0))</f>
        <v/>
      </c>
      <c r="E13">
        <f>IF(C13="","",IF('Daily Sale entry '!Q13="Collection 收款",'Daily Sale entry '!S13,0))</f>
        <v/>
      </c>
      <c r="F13" s="37">
        <f>IF(C13="","",B13+IF(E13&gt;0,0,0.5)+ROW()/10000000)</f>
        <v/>
      </c>
      <c r="G13">
        <f>IF(C13="","",'Daily Sale entry '!Q13&amp;IF('Daily Sale entry '!Q13="Collection 收款"," ("&amp;'Daily Sale entry '!R13&amp;")","")&amp;IF('Daily Sale entry '!U13="",""," - "&amp;'Daily Sale entry '!U13))</f>
        <v/>
      </c>
      <c r="H13">
        <f>IF(C13="","",COUNTIFS($C$2:$C$3001,C13,$F$2:$F$3001,"&lt;"&amp;F13)+1)</f>
        <v/>
      </c>
      <c r="I13">
        <f>IF(C13="","",C13&amp;"|"&amp;H13)</f>
        <v/>
      </c>
      <c r="J13" s="6">
        <f>IF(C13="","",IF(H13=1,SUMIFS('Opening Balance'!$F$4:$F$303,'Opening Balance'!$G$4:$G$303,C13),INDEX($L$2:$L$3001,MATCH(C13&amp;"|"&amp;(H13-1),$I$2:$I$3001,0))))</f>
        <v/>
      </c>
      <c r="K13" s="6">
        <f>IF(C13="","",IF(M13&gt;0,M13,IF(AND(E13&gt;0,ROUND(J13+D13-E13,2)&gt;0,ROUND(J13+D13-E13,2)&lt;'Opening Balance'!$B$14),ROUND(J13+D13-E13,2),0)))</f>
        <v/>
      </c>
      <c r="L13" s="6">
        <f>IF(C13="","",ROUND(J13+D13-E13-K13,2))</f>
        <v/>
      </c>
      <c r="M13" s="6">
        <f>IF(C13="","",IF('Daily Sale entry '!Q13="Collection 收款",ROUND(N('Daily Sale entry '!T13),2),0))</f>
        <v/>
      </c>
    </row>
    <row r="14">
      <c r="A14" t="inlineStr">
        <is>
          <t>Entry 记录</t>
        </is>
      </c>
      <c r="B14" s="5">
        <f>IF('Daily Sale entry '!P14="","",'Daily Sale entry '!O14)</f>
        <v/>
      </c>
      <c r="C14">
        <f>IF('Daily Sale entry '!P14="","",'Daily Sale entry '!P14)</f>
        <v/>
      </c>
      <c r="D14">
        <f>IF(C14="","",IF('Daily Sale entry '!Q14="Credit Sale 赊销",'Daily Sale entry '!S14,0))</f>
        <v/>
      </c>
      <c r="E14">
        <f>IF(C14="","",IF('Daily Sale entry '!Q14="Collection 收款",'Daily Sale entry '!S14,0))</f>
        <v/>
      </c>
      <c r="F14" s="37">
        <f>IF(C14="","",B14+IF(E14&gt;0,0,0.5)+ROW()/10000000)</f>
        <v/>
      </c>
      <c r="G14">
        <f>IF(C14="","",'Daily Sale entry '!Q14&amp;IF('Daily Sale entry '!Q14="Collection 收款"," ("&amp;'Daily Sale entry '!R14&amp;")","")&amp;IF('Daily Sale entry '!U14="",""," - "&amp;'Daily Sale entry '!U14))</f>
        <v/>
      </c>
      <c r="H14">
        <f>IF(C14="","",COUNTIFS($C$2:$C$3001,C14,$F$2:$F$3001,"&lt;"&amp;F14)+1)</f>
        <v/>
      </c>
      <c r="I14">
        <f>IF(C14="","",C14&amp;"|"&amp;H14)</f>
        <v/>
      </c>
      <c r="J14" s="6">
        <f>IF(C14="","",IF(H14=1,SUMIFS('Opening Balance'!$F$4:$F$303,'Opening Balance'!$G$4:$G$303,C14),INDEX($L$2:$L$3001,MATCH(C14&amp;"|"&amp;(H14-1),$I$2:$I$3001,0))))</f>
        <v/>
      </c>
      <c r="K14" s="6">
        <f>IF(C14="","",IF(M14&gt;0,M14,IF(AND(E14&gt;0,ROUND(J14+D14-E14,2)&gt;0,ROUND(J14+D14-E14,2)&lt;'Opening Balance'!$B$14),ROUND(J14+D14-E14,2),0)))</f>
        <v/>
      </c>
      <c r="L14" s="6">
        <f>IF(C14="","",ROUND(J14+D14-E14-K14,2))</f>
        <v/>
      </c>
      <c r="M14" s="6">
        <f>IF(C14="","",IF('Daily Sale entry '!Q14="Collection 收款",ROUND(N('Daily Sale entry '!T14),2),0))</f>
        <v/>
      </c>
    </row>
    <row r="15">
      <c r="A15" t="inlineStr">
        <is>
          <t>Entry 记录</t>
        </is>
      </c>
      <c r="B15" s="5">
        <f>IF('Daily Sale entry '!P15="","",'Daily Sale entry '!O15)</f>
        <v/>
      </c>
      <c r="C15">
        <f>IF('Daily Sale entry '!P15="","",'Daily Sale entry '!P15)</f>
        <v/>
      </c>
      <c r="D15">
        <f>IF(C15="","",IF('Daily Sale entry '!Q15="Credit Sale 赊销",'Daily Sale entry '!S15,0))</f>
        <v/>
      </c>
      <c r="E15">
        <f>IF(C15="","",IF('Daily Sale entry '!Q15="Collection 收款",'Daily Sale entry '!S15,0))</f>
        <v/>
      </c>
      <c r="F15" s="37">
        <f>IF(C15="","",B15+IF(E15&gt;0,0,0.5)+ROW()/10000000)</f>
        <v/>
      </c>
      <c r="G15">
        <f>IF(C15="","",'Daily Sale entry '!Q15&amp;IF('Daily Sale entry '!Q15="Collection 收款"," ("&amp;'Daily Sale entry '!R15&amp;")","")&amp;IF('Daily Sale entry '!U15="",""," - "&amp;'Daily Sale entry '!U15))</f>
        <v/>
      </c>
      <c r="H15">
        <f>IF(C15="","",COUNTIFS($C$2:$C$3001,C15,$F$2:$F$3001,"&lt;"&amp;F15)+1)</f>
        <v/>
      </c>
      <c r="I15">
        <f>IF(C15="","",C15&amp;"|"&amp;H15)</f>
        <v/>
      </c>
      <c r="J15" s="6">
        <f>IF(C15="","",IF(H15=1,SUMIFS('Opening Balance'!$F$4:$F$303,'Opening Balance'!$G$4:$G$303,C15),INDEX($L$2:$L$3001,MATCH(C15&amp;"|"&amp;(H15-1),$I$2:$I$3001,0))))</f>
        <v/>
      </c>
      <c r="K15" s="6">
        <f>IF(C15="","",IF(M15&gt;0,M15,IF(AND(E15&gt;0,ROUND(J15+D15-E15,2)&gt;0,ROUND(J15+D15-E15,2)&lt;'Opening Balance'!$B$14),ROUND(J15+D15-E15,2),0)))</f>
        <v/>
      </c>
      <c r="L15" s="6">
        <f>IF(C15="","",ROUND(J15+D15-E15-K15,2))</f>
        <v/>
      </c>
      <c r="M15" s="6">
        <f>IF(C15="","",IF('Daily Sale entry '!Q15="Collection 收款",ROUND(N('Daily Sale entry '!T15),2),0))</f>
        <v/>
      </c>
    </row>
    <row r="16">
      <c r="A16" t="inlineStr">
        <is>
          <t>Entry 记录</t>
        </is>
      </c>
      <c r="B16" s="5">
        <f>IF('Daily Sale entry '!P16="","",'Daily Sale entry '!O16)</f>
        <v/>
      </c>
      <c r="C16">
        <f>IF('Daily Sale entry '!P16="","",'Daily Sale entry '!P16)</f>
        <v/>
      </c>
      <c r="D16">
        <f>IF(C16="","",IF('Daily Sale entry '!Q16="Credit Sale 赊销",'Daily Sale entry '!S16,0))</f>
        <v/>
      </c>
      <c r="E16">
        <f>IF(C16="","",IF('Daily Sale entry '!Q16="Collection 收款",'Daily Sale entry '!S16,0))</f>
        <v/>
      </c>
      <c r="F16" s="37">
        <f>IF(C16="","",B16+IF(E16&gt;0,0,0.5)+ROW()/10000000)</f>
        <v/>
      </c>
      <c r="G16">
        <f>IF(C16="","",'Daily Sale entry '!Q16&amp;IF('Daily Sale entry '!Q16="Collection 收款"," ("&amp;'Daily Sale entry '!R16&amp;")","")&amp;IF('Daily Sale entry '!U16="",""," - "&amp;'Daily Sale entry '!U16))</f>
        <v/>
      </c>
      <c r="H16">
        <f>IF(C16="","",COUNTIFS($C$2:$C$3001,C16,$F$2:$F$3001,"&lt;"&amp;F16)+1)</f>
        <v/>
      </c>
      <c r="I16">
        <f>IF(C16="","",C16&amp;"|"&amp;H16)</f>
        <v/>
      </c>
      <c r="J16" s="6">
        <f>IF(C16="","",IF(H16=1,SUMIFS('Opening Balance'!$F$4:$F$303,'Opening Balance'!$G$4:$G$303,C16),INDEX($L$2:$L$3001,MATCH(C16&amp;"|"&amp;(H16-1),$I$2:$I$3001,0))))</f>
        <v/>
      </c>
      <c r="K16" s="6">
        <f>IF(C16="","",IF(M16&gt;0,M16,IF(AND(E16&gt;0,ROUND(J16+D16-E16,2)&gt;0,ROUND(J16+D16-E16,2)&lt;'Opening Balance'!$B$14),ROUND(J16+D16-E16,2),0)))</f>
        <v/>
      </c>
      <c r="L16" s="6">
        <f>IF(C16="","",ROUND(J16+D16-E16-K16,2))</f>
        <v/>
      </c>
      <c r="M16" s="6">
        <f>IF(C16="","",IF('Daily Sale entry '!Q16="Collection 收款",ROUND(N('Daily Sale entry '!T16),2),0))</f>
        <v/>
      </c>
    </row>
    <row r="17">
      <c r="A17" t="inlineStr">
        <is>
          <t>Entry 记录</t>
        </is>
      </c>
      <c r="B17" s="5">
        <f>IF('Daily Sale entry '!P17="","",'Daily Sale entry '!O17)</f>
        <v/>
      </c>
      <c r="C17">
        <f>IF('Daily Sale entry '!P17="","",'Daily Sale entry '!P17)</f>
        <v/>
      </c>
      <c r="D17">
        <f>IF(C17="","",IF('Daily Sale entry '!Q17="Credit Sale 赊销",'Daily Sale entry '!S17,0))</f>
        <v/>
      </c>
      <c r="E17">
        <f>IF(C17="","",IF('Daily Sale entry '!Q17="Collection 收款",'Daily Sale entry '!S17,0))</f>
        <v/>
      </c>
      <c r="F17" s="37">
        <f>IF(C17="","",B17+IF(E17&gt;0,0,0.5)+ROW()/10000000)</f>
        <v/>
      </c>
      <c r="G17">
        <f>IF(C17="","",'Daily Sale entry '!Q17&amp;IF('Daily Sale entry '!Q17="Collection 收款"," ("&amp;'Daily Sale entry '!R17&amp;")","")&amp;IF('Daily Sale entry '!U17="",""," - "&amp;'Daily Sale entry '!U17))</f>
        <v/>
      </c>
      <c r="H17">
        <f>IF(C17="","",COUNTIFS($C$2:$C$3001,C17,$F$2:$F$3001,"&lt;"&amp;F17)+1)</f>
        <v/>
      </c>
      <c r="I17">
        <f>IF(C17="","",C17&amp;"|"&amp;H17)</f>
        <v/>
      </c>
      <c r="J17" s="6">
        <f>IF(C17="","",IF(H17=1,SUMIFS('Opening Balance'!$F$4:$F$303,'Opening Balance'!$G$4:$G$303,C17),INDEX($L$2:$L$3001,MATCH(C17&amp;"|"&amp;(H17-1),$I$2:$I$3001,0))))</f>
        <v/>
      </c>
      <c r="K17" s="6">
        <f>IF(C17="","",IF(M17&gt;0,M17,IF(AND(E17&gt;0,ROUND(J17+D17-E17,2)&gt;0,ROUND(J17+D17-E17,2)&lt;'Opening Balance'!$B$14),ROUND(J17+D17-E17,2),0)))</f>
        <v/>
      </c>
      <c r="L17" s="6">
        <f>IF(C17="","",ROUND(J17+D17-E17-K17,2))</f>
        <v/>
      </c>
      <c r="M17" s="6">
        <f>IF(C17="","",IF('Daily Sale entry '!Q17="Collection 收款",ROUND(N('Daily Sale entry '!T17),2),0))</f>
        <v/>
      </c>
    </row>
    <row r="18">
      <c r="A18" t="inlineStr">
        <is>
          <t>Entry 记录</t>
        </is>
      </c>
      <c r="B18" s="5">
        <f>IF('Daily Sale entry '!P18="","",'Daily Sale entry '!O18)</f>
        <v/>
      </c>
      <c r="C18">
        <f>IF('Daily Sale entry '!P18="","",'Daily Sale entry '!P18)</f>
        <v/>
      </c>
      <c r="D18">
        <f>IF(C18="","",IF('Daily Sale entry '!Q18="Credit Sale 赊销",'Daily Sale entry '!S18,0))</f>
        <v/>
      </c>
      <c r="E18">
        <f>IF(C18="","",IF('Daily Sale entry '!Q18="Collection 收款",'Daily Sale entry '!S18,0))</f>
        <v/>
      </c>
      <c r="F18" s="37">
        <f>IF(C18="","",B18+IF(E18&gt;0,0,0.5)+ROW()/10000000)</f>
        <v/>
      </c>
      <c r="G18">
        <f>IF(C18="","",'Daily Sale entry '!Q18&amp;IF('Daily Sale entry '!Q18="Collection 收款"," ("&amp;'Daily Sale entry '!R18&amp;")","")&amp;IF('Daily Sale entry '!U18="",""," - "&amp;'Daily Sale entry '!U18))</f>
        <v/>
      </c>
      <c r="H18">
        <f>IF(C18="","",COUNTIFS($C$2:$C$3001,C18,$F$2:$F$3001,"&lt;"&amp;F18)+1)</f>
        <v/>
      </c>
      <c r="I18">
        <f>IF(C18="","",C18&amp;"|"&amp;H18)</f>
        <v/>
      </c>
      <c r="J18" s="6">
        <f>IF(C18="","",IF(H18=1,SUMIFS('Opening Balance'!$F$4:$F$303,'Opening Balance'!$G$4:$G$303,C18),INDEX($L$2:$L$3001,MATCH(C18&amp;"|"&amp;(H18-1),$I$2:$I$3001,0))))</f>
        <v/>
      </c>
      <c r="K18" s="6">
        <f>IF(C18="","",IF(M18&gt;0,M18,IF(AND(E18&gt;0,ROUND(J18+D18-E18,2)&gt;0,ROUND(J18+D18-E18,2)&lt;'Opening Balance'!$B$14),ROUND(J18+D18-E18,2),0)))</f>
        <v/>
      </c>
      <c r="L18" s="6">
        <f>IF(C18="","",ROUND(J18+D18-E18-K18,2))</f>
        <v/>
      </c>
      <c r="M18" s="6">
        <f>IF(C18="","",IF('Daily Sale entry '!Q18="Collection 收款",ROUND(N('Daily Sale entry '!T18),2),0))</f>
        <v/>
      </c>
    </row>
    <row r="19">
      <c r="A19" t="inlineStr">
        <is>
          <t>Entry 记录</t>
        </is>
      </c>
      <c r="B19" s="5">
        <f>IF('Daily Sale entry '!P19="","",'Daily Sale entry '!O19)</f>
        <v/>
      </c>
      <c r="C19">
        <f>IF('Daily Sale entry '!P19="","",'Daily Sale entry '!P19)</f>
        <v/>
      </c>
      <c r="D19">
        <f>IF(C19="","",IF('Daily Sale entry '!Q19="Credit Sale 赊销",'Daily Sale entry '!S19,0))</f>
        <v/>
      </c>
      <c r="E19">
        <f>IF(C19="","",IF('Daily Sale entry '!Q19="Collection 收款",'Daily Sale entry '!S19,0))</f>
        <v/>
      </c>
      <c r="F19" s="37">
        <f>IF(C19="","",B19+IF(E19&gt;0,0,0.5)+ROW()/10000000)</f>
        <v/>
      </c>
      <c r="G19">
        <f>IF(C19="","",'Daily Sale entry '!Q19&amp;IF('Daily Sale entry '!Q19="Collection 收款"," ("&amp;'Daily Sale entry '!R19&amp;")","")&amp;IF('Daily Sale entry '!U19="",""," - "&amp;'Daily Sale entry '!U19))</f>
        <v/>
      </c>
      <c r="H19">
        <f>IF(C19="","",COUNTIFS($C$2:$C$3001,C19,$F$2:$F$3001,"&lt;"&amp;F19)+1)</f>
        <v/>
      </c>
      <c r="I19">
        <f>IF(C19="","",C19&amp;"|"&amp;H19)</f>
        <v/>
      </c>
      <c r="J19" s="6">
        <f>IF(C19="","",IF(H19=1,SUMIFS('Opening Balance'!$F$4:$F$303,'Opening Balance'!$G$4:$G$303,C19),INDEX($L$2:$L$3001,MATCH(C19&amp;"|"&amp;(H19-1),$I$2:$I$3001,0))))</f>
        <v/>
      </c>
      <c r="K19" s="6">
        <f>IF(C19="","",IF(M19&gt;0,M19,IF(AND(E19&gt;0,ROUND(J19+D19-E19,2)&gt;0,ROUND(J19+D19-E19,2)&lt;'Opening Balance'!$B$14),ROUND(J19+D19-E19,2),0)))</f>
        <v/>
      </c>
      <c r="L19" s="6">
        <f>IF(C19="","",ROUND(J19+D19-E19-K19,2))</f>
        <v/>
      </c>
      <c r="M19" s="6">
        <f>IF(C19="","",IF('Daily Sale entry '!Q19="Collection 收款",ROUND(N('Daily Sale entry '!T19),2),0))</f>
        <v/>
      </c>
    </row>
    <row r="20">
      <c r="A20" t="inlineStr">
        <is>
          <t>Entry 记录</t>
        </is>
      </c>
      <c r="B20" s="5">
        <f>IF('Daily Sale entry '!P20="","",'Daily Sale entry '!O20)</f>
        <v/>
      </c>
      <c r="C20">
        <f>IF('Daily Sale entry '!P20="","",'Daily Sale entry '!P20)</f>
        <v/>
      </c>
      <c r="D20">
        <f>IF(C20="","",IF('Daily Sale entry '!Q20="Credit Sale 赊销",'Daily Sale entry '!S20,0))</f>
        <v/>
      </c>
      <c r="E20">
        <f>IF(C20="","",IF('Daily Sale entry '!Q20="Collection 收款",'Daily Sale entry '!S20,0))</f>
        <v/>
      </c>
      <c r="F20" s="37">
        <f>IF(C20="","",B20+IF(E20&gt;0,0,0.5)+ROW()/10000000)</f>
        <v/>
      </c>
      <c r="G20">
        <f>IF(C20="","",'Daily Sale entry '!Q20&amp;IF('Daily Sale entry '!Q20="Collection 收款"," ("&amp;'Daily Sale entry '!R20&amp;")","")&amp;IF('Daily Sale entry '!U20="",""," - "&amp;'Daily Sale entry '!U20))</f>
        <v/>
      </c>
      <c r="H20">
        <f>IF(C20="","",COUNTIFS($C$2:$C$3001,C20,$F$2:$F$3001,"&lt;"&amp;F20)+1)</f>
        <v/>
      </c>
      <c r="I20">
        <f>IF(C20="","",C20&amp;"|"&amp;H20)</f>
        <v/>
      </c>
      <c r="J20" s="6">
        <f>IF(C20="","",IF(H20=1,SUMIFS('Opening Balance'!$F$4:$F$303,'Opening Balance'!$G$4:$G$303,C20),INDEX($L$2:$L$3001,MATCH(C20&amp;"|"&amp;(H20-1),$I$2:$I$3001,0))))</f>
        <v/>
      </c>
      <c r="K20" s="6">
        <f>IF(C20="","",IF(M20&gt;0,M20,IF(AND(E20&gt;0,ROUND(J20+D20-E20,2)&gt;0,ROUND(J20+D20-E20,2)&lt;'Opening Balance'!$B$14),ROUND(J20+D20-E20,2),0)))</f>
        <v/>
      </c>
      <c r="L20" s="6">
        <f>IF(C20="","",ROUND(J20+D20-E20-K20,2))</f>
        <v/>
      </c>
      <c r="M20" s="6">
        <f>IF(C20="","",IF('Daily Sale entry '!Q20="Collection 收款",ROUND(N('Daily Sale entry '!T20),2),0))</f>
        <v/>
      </c>
    </row>
    <row r="21">
      <c r="A21" t="inlineStr">
        <is>
          <t>Entry 记录</t>
        </is>
      </c>
      <c r="B21" s="5">
        <f>IF('Daily Sale entry '!P21="","",'Daily Sale entry '!O21)</f>
        <v/>
      </c>
      <c r="C21">
        <f>IF('Daily Sale entry '!P21="","",'Daily Sale entry '!P21)</f>
        <v/>
      </c>
      <c r="D21">
        <f>IF(C21="","",IF('Daily Sale entry '!Q21="Credit Sale 赊销",'Daily Sale entry '!S21,0))</f>
        <v/>
      </c>
      <c r="E21">
        <f>IF(C21="","",IF('Daily Sale entry '!Q21="Collection 收款",'Daily Sale entry '!S21,0))</f>
        <v/>
      </c>
      <c r="F21" s="37">
        <f>IF(C21="","",B21+IF(E21&gt;0,0,0.5)+ROW()/10000000)</f>
        <v/>
      </c>
      <c r="G21">
        <f>IF(C21="","",'Daily Sale entry '!Q21&amp;IF('Daily Sale entry '!Q21="Collection 收款"," ("&amp;'Daily Sale entry '!R21&amp;")","")&amp;IF('Daily Sale entry '!U21="",""," - "&amp;'Daily Sale entry '!U21))</f>
        <v/>
      </c>
      <c r="H21">
        <f>IF(C21="","",COUNTIFS($C$2:$C$3001,C21,$F$2:$F$3001,"&lt;"&amp;F21)+1)</f>
        <v/>
      </c>
      <c r="I21">
        <f>IF(C21="","",C21&amp;"|"&amp;H21)</f>
        <v/>
      </c>
      <c r="J21" s="6">
        <f>IF(C21="","",IF(H21=1,SUMIFS('Opening Balance'!$F$4:$F$303,'Opening Balance'!$G$4:$G$303,C21),INDEX($L$2:$L$3001,MATCH(C21&amp;"|"&amp;(H21-1),$I$2:$I$3001,0))))</f>
        <v/>
      </c>
      <c r="K21" s="6">
        <f>IF(C21="","",IF(M21&gt;0,M21,IF(AND(E21&gt;0,ROUND(J21+D21-E21,2)&gt;0,ROUND(J21+D21-E21,2)&lt;'Opening Balance'!$B$14),ROUND(J21+D21-E21,2),0)))</f>
        <v/>
      </c>
      <c r="L21" s="6">
        <f>IF(C21="","",ROUND(J21+D21-E21-K21,2))</f>
        <v/>
      </c>
      <c r="M21" s="6">
        <f>IF(C21="","",IF('Daily Sale entry '!Q21="Collection 收款",ROUND(N('Daily Sale entry '!T21),2),0))</f>
        <v/>
      </c>
    </row>
    <row r="22">
      <c r="A22" t="inlineStr">
        <is>
          <t>Entry 记录</t>
        </is>
      </c>
      <c r="B22" s="5">
        <f>IF('Daily Sale entry '!P22="","",'Daily Sale entry '!O22)</f>
        <v/>
      </c>
      <c r="C22">
        <f>IF('Daily Sale entry '!P22="","",'Daily Sale entry '!P22)</f>
        <v/>
      </c>
      <c r="D22">
        <f>IF(C22="","",IF('Daily Sale entry '!Q22="Credit Sale 赊销",'Daily Sale entry '!S22,0))</f>
        <v/>
      </c>
      <c r="E22">
        <f>IF(C22="","",IF('Daily Sale entry '!Q22="Collection 收款",'Daily Sale entry '!S22,0))</f>
        <v/>
      </c>
      <c r="F22" s="37">
        <f>IF(C22="","",B22+IF(E22&gt;0,0,0.5)+ROW()/10000000)</f>
        <v/>
      </c>
      <c r="G22">
        <f>IF(C22="","",'Daily Sale entry '!Q22&amp;IF('Daily Sale entry '!Q22="Collection 收款"," ("&amp;'Daily Sale entry '!R22&amp;")","")&amp;IF('Daily Sale entry '!U22="",""," - "&amp;'Daily Sale entry '!U22))</f>
        <v/>
      </c>
      <c r="H22">
        <f>IF(C22="","",COUNTIFS($C$2:$C$3001,C22,$F$2:$F$3001,"&lt;"&amp;F22)+1)</f>
        <v/>
      </c>
      <c r="I22">
        <f>IF(C22="","",C22&amp;"|"&amp;H22)</f>
        <v/>
      </c>
      <c r="J22" s="6">
        <f>IF(C22="","",IF(H22=1,SUMIFS('Opening Balance'!$F$4:$F$303,'Opening Balance'!$G$4:$G$303,C22),INDEX($L$2:$L$3001,MATCH(C22&amp;"|"&amp;(H22-1),$I$2:$I$3001,0))))</f>
        <v/>
      </c>
      <c r="K22" s="6">
        <f>IF(C22="","",IF(M22&gt;0,M22,IF(AND(E22&gt;0,ROUND(J22+D22-E22,2)&gt;0,ROUND(J22+D22-E22,2)&lt;'Opening Balance'!$B$14),ROUND(J22+D22-E22,2),0)))</f>
        <v/>
      </c>
      <c r="L22" s="6">
        <f>IF(C22="","",ROUND(J22+D22-E22-K22,2))</f>
        <v/>
      </c>
      <c r="M22" s="6">
        <f>IF(C22="","",IF('Daily Sale entry '!Q22="Collection 收款",ROUND(N('Daily Sale entry '!T22),2),0))</f>
        <v/>
      </c>
    </row>
    <row r="23">
      <c r="A23" t="inlineStr">
        <is>
          <t>Entry 记录</t>
        </is>
      </c>
      <c r="B23" s="5">
        <f>IF('Daily Sale entry '!P23="","",'Daily Sale entry '!O23)</f>
        <v/>
      </c>
      <c r="C23">
        <f>IF('Daily Sale entry '!P23="","",'Daily Sale entry '!P23)</f>
        <v/>
      </c>
      <c r="D23">
        <f>IF(C23="","",IF('Daily Sale entry '!Q23="Credit Sale 赊销",'Daily Sale entry '!S23,0))</f>
        <v/>
      </c>
      <c r="E23">
        <f>IF(C23="","",IF('Daily Sale entry '!Q23="Collection 收款",'Daily Sale entry '!S23,0))</f>
        <v/>
      </c>
      <c r="F23" s="37">
        <f>IF(C23="","",B23+IF(E23&gt;0,0,0.5)+ROW()/10000000)</f>
        <v/>
      </c>
      <c r="G23">
        <f>IF(C23="","",'Daily Sale entry '!Q23&amp;IF('Daily Sale entry '!Q23="Collection 收款"," ("&amp;'Daily Sale entry '!R23&amp;")","")&amp;IF('Daily Sale entry '!U23="",""," - "&amp;'Daily Sale entry '!U23))</f>
        <v/>
      </c>
      <c r="H23">
        <f>IF(C23="","",COUNTIFS($C$2:$C$3001,C23,$F$2:$F$3001,"&lt;"&amp;F23)+1)</f>
        <v/>
      </c>
      <c r="I23">
        <f>IF(C23="","",C23&amp;"|"&amp;H23)</f>
        <v/>
      </c>
      <c r="J23" s="6">
        <f>IF(C23="","",IF(H23=1,SUMIFS('Opening Balance'!$F$4:$F$303,'Opening Balance'!$G$4:$G$303,C23),INDEX($L$2:$L$3001,MATCH(C23&amp;"|"&amp;(H23-1),$I$2:$I$3001,0))))</f>
        <v/>
      </c>
      <c r="K23" s="6">
        <f>IF(C23="","",IF(M23&gt;0,M23,IF(AND(E23&gt;0,ROUND(J23+D23-E23,2)&gt;0,ROUND(J23+D23-E23,2)&lt;'Opening Balance'!$B$14),ROUND(J23+D23-E23,2),0)))</f>
        <v/>
      </c>
      <c r="L23" s="6">
        <f>IF(C23="","",ROUND(J23+D23-E23-K23,2))</f>
        <v/>
      </c>
      <c r="M23" s="6">
        <f>IF(C23="","",IF('Daily Sale entry '!Q23="Collection 收款",ROUND(N('Daily Sale entry '!T23),2),0))</f>
        <v/>
      </c>
    </row>
    <row r="24">
      <c r="A24" t="inlineStr">
        <is>
          <t>Entry 记录</t>
        </is>
      </c>
      <c r="B24" s="5">
        <f>IF('Daily Sale entry '!P24="","",'Daily Sale entry '!O24)</f>
        <v/>
      </c>
      <c r="C24">
        <f>IF('Daily Sale entry '!P24="","",'Daily Sale entry '!P24)</f>
        <v/>
      </c>
      <c r="D24">
        <f>IF(C24="","",IF('Daily Sale entry '!Q24="Credit Sale 赊销",'Daily Sale entry '!S24,0))</f>
        <v/>
      </c>
      <c r="E24">
        <f>IF(C24="","",IF('Daily Sale entry '!Q24="Collection 收款",'Daily Sale entry '!S24,0))</f>
        <v/>
      </c>
      <c r="F24" s="37">
        <f>IF(C24="","",B24+IF(E24&gt;0,0,0.5)+ROW()/10000000)</f>
        <v/>
      </c>
      <c r="G24">
        <f>IF(C24="","",'Daily Sale entry '!Q24&amp;IF('Daily Sale entry '!Q24="Collection 收款"," ("&amp;'Daily Sale entry '!R24&amp;")","")&amp;IF('Daily Sale entry '!U24="",""," - "&amp;'Daily Sale entry '!U24))</f>
        <v/>
      </c>
      <c r="H24">
        <f>IF(C24="","",COUNTIFS($C$2:$C$3001,C24,$F$2:$F$3001,"&lt;"&amp;F24)+1)</f>
        <v/>
      </c>
      <c r="I24">
        <f>IF(C24="","",C24&amp;"|"&amp;H24)</f>
        <v/>
      </c>
      <c r="J24" s="6">
        <f>IF(C24="","",IF(H24=1,SUMIFS('Opening Balance'!$F$4:$F$303,'Opening Balance'!$G$4:$G$303,C24),INDEX($L$2:$L$3001,MATCH(C24&amp;"|"&amp;(H24-1),$I$2:$I$3001,0))))</f>
        <v/>
      </c>
      <c r="K24" s="6">
        <f>IF(C24="","",IF(M24&gt;0,M24,IF(AND(E24&gt;0,ROUND(J24+D24-E24,2)&gt;0,ROUND(J24+D24-E24,2)&lt;'Opening Balance'!$B$14),ROUND(J24+D24-E24,2),0)))</f>
        <v/>
      </c>
      <c r="L24" s="6">
        <f>IF(C24="","",ROUND(J24+D24-E24-K24,2))</f>
        <v/>
      </c>
      <c r="M24" s="6">
        <f>IF(C24="","",IF('Daily Sale entry '!Q24="Collection 收款",ROUND(N('Daily Sale entry '!T24),2),0))</f>
        <v/>
      </c>
    </row>
    <row r="25">
      <c r="A25" t="inlineStr">
        <is>
          <t>Entry 记录</t>
        </is>
      </c>
      <c r="B25" s="5">
        <f>IF('Daily Sale entry '!P25="","",'Daily Sale entry '!O25)</f>
        <v/>
      </c>
      <c r="C25">
        <f>IF('Daily Sale entry '!P25="","",'Daily Sale entry '!P25)</f>
        <v/>
      </c>
      <c r="D25">
        <f>IF(C25="","",IF('Daily Sale entry '!Q25="Credit Sale 赊销",'Daily Sale entry '!S25,0))</f>
        <v/>
      </c>
      <c r="E25">
        <f>IF(C25="","",IF('Daily Sale entry '!Q25="Collection 收款",'Daily Sale entry '!S25,0))</f>
        <v/>
      </c>
      <c r="F25" s="37">
        <f>IF(C25="","",B25+IF(E25&gt;0,0,0.5)+ROW()/10000000)</f>
        <v/>
      </c>
      <c r="G25">
        <f>IF(C25="","",'Daily Sale entry '!Q25&amp;IF('Daily Sale entry '!Q25="Collection 收款"," ("&amp;'Daily Sale entry '!R25&amp;")","")&amp;IF('Daily Sale entry '!U25="",""," - "&amp;'Daily Sale entry '!U25))</f>
        <v/>
      </c>
      <c r="H25">
        <f>IF(C25="","",COUNTIFS($C$2:$C$3001,C25,$F$2:$F$3001,"&lt;"&amp;F25)+1)</f>
        <v/>
      </c>
      <c r="I25">
        <f>IF(C25="","",C25&amp;"|"&amp;H25)</f>
        <v/>
      </c>
      <c r="J25" s="6">
        <f>IF(C25="","",IF(H25=1,SUMIFS('Opening Balance'!$F$4:$F$303,'Opening Balance'!$G$4:$G$303,C25),INDEX($L$2:$L$3001,MATCH(C25&amp;"|"&amp;(H25-1),$I$2:$I$3001,0))))</f>
        <v/>
      </c>
      <c r="K25" s="6">
        <f>IF(C25="","",IF(M25&gt;0,M25,IF(AND(E25&gt;0,ROUND(J25+D25-E25,2)&gt;0,ROUND(J25+D25-E25,2)&lt;'Opening Balance'!$B$14),ROUND(J25+D25-E25,2),0)))</f>
        <v/>
      </c>
      <c r="L25" s="6">
        <f>IF(C25="","",ROUND(J25+D25-E25-K25,2))</f>
        <v/>
      </c>
      <c r="M25" s="6">
        <f>IF(C25="","",IF('Daily Sale entry '!Q25="Collection 收款",ROUND(N('Daily Sale entry '!T25),2),0))</f>
        <v/>
      </c>
    </row>
    <row r="26">
      <c r="A26" t="inlineStr">
        <is>
          <t>Entry 记录</t>
        </is>
      </c>
      <c r="B26" s="5">
        <f>IF('Daily Sale entry '!P26="","",'Daily Sale entry '!O26)</f>
        <v/>
      </c>
      <c r="C26">
        <f>IF('Daily Sale entry '!P26="","",'Daily Sale entry '!P26)</f>
        <v/>
      </c>
      <c r="D26">
        <f>IF(C26="","",IF('Daily Sale entry '!Q26="Credit Sale 赊销",'Daily Sale entry '!S26,0))</f>
        <v/>
      </c>
      <c r="E26">
        <f>IF(C26="","",IF('Daily Sale entry '!Q26="Collection 收款",'Daily Sale entry '!S26,0))</f>
        <v/>
      </c>
      <c r="F26" s="37">
        <f>IF(C26="","",B26+IF(E26&gt;0,0,0.5)+ROW()/10000000)</f>
        <v/>
      </c>
      <c r="G26">
        <f>IF(C26="","",'Daily Sale entry '!Q26&amp;IF('Daily Sale entry '!Q26="Collection 收款"," ("&amp;'Daily Sale entry '!R26&amp;")","")&amp;IF('Daily Sale entry '!U26="",""," - "&amp;'Daily Sale entry '!U26))</f>
        <v/>
      </c>
      <c r="H26">
        <f>IF(C26="","",COUNTIFS($C$2:$C$3001,C26,$F$2:$F$3001,"&lt;"&amp;F26)+1)</f>
        <v/>
      </c>
      <c r="I26">
        <f>IF(C26="","",C26&amp;"|"&amp;H26)</f>
        <v/>
      </c>
      <c r="J26" s="6">
        <f>IF(C26="","",IF(H26=1,SUMIFS('Opening Balance'!$F$4:$F$303,'Opening Balance'!$G$4:$G$303,C26),INDEX($L$2:$L$3001,MATCH(C26&amp;"|"&amp;(H26-1),$I$2:$I$3001,0))))</f>
        <v/>
      </c>
      <c r="K26" s="6">
        <f>IF(C26="","",IF(M26&gt;0,M26,IF(AND(E26&gt;0,ROUND(J26+D26-E26,2)&gt;0,ROUND(J26+D26-E26,2)&lt;'Opening Balance'!$B$14),ROUND(J26+D26-E26,2),0)))</f>
        <v/>
      </c>
      <c r="L26" s="6">
        <f>IF(C26="","",ROUND(J26+D26-E26-K26,2))</f>
        <v/>
      </c>
      <c r="M26" s="6">
        <f>IF(C26="","",IF('Daily Sale entry '!Q26="Collection 收款",ROUND(N('Daily Sale entry '!T26),2),0))</f>
        <v/>
      </c>
    </row>
    <row r="27">
      <c r="A27" t="inlineStr">
        <is>
          <t>Entry 记录</t>
        </is>
      </c>
      <c r="B27" s="5">
        <f>IF('Daily Sale entry '!P27="","",'Daily Sale entry '!O27)</f>
        <v/>
      </c>
      <c r="C27">
        <f>IF('Daily Sale entry '!P27="","",'Daily Sale entry '!P27)</f>
        <v/>
      </c>
      <c r="D27">
        <f>IF(C27="","",IF('Daily Sale entry '!Q27="Credit Sale 赊销",'Daily Sale entry '!S27,0))</f>
        <v/>
      </c>
      <c r="E27">
        <f>IF(C27="","",IF('Daily Sale entry '!Q27="Collection 收款",'Daily Sale entry '!S27,0))</f>
        <v/>
      </c>
      <c r="F27" s="37">
        <f>IF(C27="","",B27+IF(E27&gt;0,0,0.5)+ROW()/10000000)</f>
        <v/>
      </c>
      <c r="G27">
        <f>IF(C27="","",'Daily Sale entry '!Q27&amp;IF('Daily Sale entry '!Q27="Collection 收款"," ("&amp;'Daily Sale entry '!R27&amp;")","")&amp;IF('Daily Sale entry '!U27="",""," - "&amp;'Daily Sale entry '!U27))</f>
        <v/>
      </c>
      <c r="H27">
        <f>IF(C27="","",COUNTIFS($C$2:$C$3001,C27,$F$2:$F$3001,"&lt;"&amp;F27)+1)</f>
        <v/>
      </c>
      <c r="I27">
        <f>IF(C27="","",C27&amp;"|"&amp;H27)</f>
        <v/>
      </c>
      <c r="J27" s="6">
        <f>IF(C27="","",IF(H27=1,SUMIFS('Opening Balance'!$F$4:$F$303,'Opening Balance'!$G$4:$G$303,C27),INDEX($L$2:$L$3001,MATCH(C27&amp;"|"&amp;(H27-1),$I$2:$I$3001,0))))</f>
        <v/>
      </c>
      <c r="K27" s="6">
        <f>IF(C27="","",IF(M27&gt;0,M27,IF(AND(E27&gt;0,ROUND(J27+D27-E27,2)&gt;0,ROUND(J27+D27-E27,2)&lt;'Opening Balance'!$B$14),ROUND(J27+D27-E27,2),0)))</f>
        <v/>
      </c>
      <c r="L27" s="6">
        <f>IF(C27="","",ROUND(J27+D27-E27-K27,2))</f>
        <v/>
      </c>
      <c r="M27" s="6">
        <f>IF(C27="","",IF('Daily Sale entry '!Q27="Collection 收款",ROUND(N('Daily Sale entry '!T27),2),0))</f>
        <v/>
      </c>
    </row>
    <row r="28">
      <c r="A28" t="inlineStr">
        <is>
          <t>Entry 记录</t>
        </is>
      </c>
      <c r="B28" s="5">
        <f>IF('Daily Sale entry '!P28="","",'Daily Sale entry '!O28)</f>
        <v/>
      </c>
      <c r="C28">
        <f>IF('Daily Sale entry '!P28="","",'Daily Sale entry '!P28)</f>
        <v/>
      </c>
      <c r="D28">
        <f>IF(C28="","",IF('Daily Sale entry '!Q28="Credit Sale 赊销",'Daily Sale entry '!S28,0))</f>
        <v/>
      </c>
      <c r="E28">
        <f>IF(C28="","",IF('Daily Sale entry '!Q28="Collection 收款",'Daily Sale entry '!S28,0))</f>
        <v/>
      </c>
      <c r="F28" s="37">
        <f>IF(C28="","",B28+IF(E28&gt;0,0,0.5)+ROW()/10000000)</f>
        <v/>
      </c>
      <c r="G28">
        <f>IF(C28="","",'Daily Sale entry '!Q28&amp;IF('Daily Sale entry '!Q28="Collection 收款"," ("&amp;'Daily Sale entry '!R28&amp;")","")&amp;IF('Daily Sale entry '!U28="",""," - "&amp;'Daily Sale entry '!U28))</f>
        <v/>
      </c>
      <c r="H28">
        <f>IF(C28="","",COUNTIFS($C$2:$C$3001,C28,$F$2:$F$3001,"&lt;"&amp;F28)+1)</f>
        <v/>
      </c>
      <c r="I28">
        <f>IF(C28="","",C28&amp;"|"&amp;H28)</f>
        <v/>
      </c>
      <c r="J28" s="6">
        <f>IF(C28="","",IF(H28=1,SUMIFS('Opening Balance'!$F$4:$F$303,'Opening Balance'!$G$4:$G$303,C28),INDEX($L$2:$L$3001,MATCH(C28&amp;"|"&amp;(H28-1),$I$2:$I$3001,0))))</f>
        <v/>
      </c>
      <c r="K28" s="6">
        <f>IF(C28="","",IF(M28&gt;0,M28,IF(AND(E28&gt;0,ROUND(J28+D28-E28,2)&gt;0,ROUND(J28+D28-E28,2)&lt;'Opening Balance'!$B$14),ROUND(J28+D28-E28,2),0)))</f>
        <v/>
      </c>
      <c r="L28" s="6">
        <f>IF(C28="","",ROUND(J28+D28-E28-K28,2))</f>
        <v/>
      </c>
      <c r="M28" s="6">
        <f>IF(C28="","",IF('Daily Sale entry '!Q28="Collection 收款",ROUND(N('Daily Sale entry '!T28),2),0))</f>
        <v/>
      </c>
    </row>
    <row r="29">
      <c r="A29" t="inlineStr">
        <is>
          <t>Entry 记录</t>
        </is>
      </c>
      <c r="B29" s="5">
        <f>IF('Daily Sale entry '!P29="","",'Daily Sale entry '!O29)</f>
        <v/>
      </c>
      <c r="C29">
        <f>IF('Daily Sale entry '!P29="","",'Daily Sale entry '!P29)</f>
        <v/>
      </c>
      <c r="D29">
        <f>IF(C29="","",IF('Daily Sale entry '!Q29="Credit Sale 赊销",'Daily Sale entry '!S29,0))</f>
        <v/>
      </c>
      <c r="E29">
        <f>IF(C29="","",IF('Daily Sale entry '!Q29="Collection 收款",'Daily Sale entry '!S29,0))</f>
        <v/>
      </c>
      <c r="F29" s="37">
        <f>IF(C29="","",B29+IF(E29&gt;0,0,0.5)+ROW()/10000000)</f>
        <v/>
      </c>
      <c r="G29">
        <f>IF(C29="","",'Daily Sale entry '!Q29&amp;IF('Daily Sale entry '!Q29="Collection 收款"," ("&amp;'Daily Sale entry '!R29&amp;")","")&amp;IF('Daily Sale entry '!U29="",""," - "&amp;'Daily Sale entry '!U29))</f>
        <v/>
      </c>
      <c r="H29">
        <f>IF(C29="","",COUNTIFS($C$2:$C$3001,C29,$F$2:$F$3001,"&lt;"&amp;F29)+1)</f>
        <v/>
      </c>
      <c r="I29">
        <f>IF(C29="","",C29&amp;"|"&amp;H29)</f>
        <v/>
      </c>
      <c r="J29" s="6">
        <f>IF(C29="","",IF(H29=1,SUMIFS('Opening Balance'!$F$4:$F$303,'Opening Balance'!$G$4:$G$303,C29),INDEX($L$2:$L$3001,MATCH(C29&amp;"|"&amp;(H29-1),$I$2:$I$3001,0))))</f>
        <v/>
      </c>
      <c r="K29" s="6">
        <f>IF(C29="","",IF(M29&gt;0,M29,IF(AND(E29&gt;0,ROUND(J29+D29-E29,2)&gt;0,ROUND(J29+D29-E29,2)&lt;'Opening Balance'!$B$14),ROUND(J29+D29-E29,2),0)))</f>
        <v/>
      </c>
      <c r="L29" s="6">
        <f>IF(C29="","",ROUND(J29+D29-E29-K29,2))</f>
        <v/>
      </c>
      <c r="M29" s="6">
        <f>IF(C29="","",IF('Daily Sale entry '!Q29="Collection 收款",ROUND(N('Daily Sale entry '!T29),2),0))</f>
        <v/>
      </c>
    </row>
    <row r="30">
      <c r="A30" t="inlineStr">
        <is>
          <t>Entry 记录</t>
        </is>
      </c>
      <c r="B30" s="5">
        <f>IF('Daily Sale entry '!P30="","",'Daily Sale entry '!O30)</f>
        <v/>
      </c>
      <c r="C30">
        <f>IF('Daily Sale entry '!P30="","",'Daily Sale entry '!P30)</f>
        <v/>
      </c>
      <c r="D30">
        <f>IF(C30="","",IF('Daily Sale entry '!Q30="Credit Sale 赊销",'Daily Sale entry '!S30,0))</f>
        <v/>
      </c>
      <c r="E30">
        <f>IF(C30="","",IF('Daily Sale entry '!Q30="Collection 收款",'Daily Sale entry '!S30,0))</f>
        <v/>
      </c>
      <c r="F30" s="37">
        <f>IF(C30="","",B30+IF(E30&gt;0,0,0.5)+ROW()/10000000)</f>
        <v/>
      </c>
      <c r="G30">
        <f>IF(C30="","",'Daily Sale entry '!Q30&amp;IF('Daily Sale entry '!Q30="Collection 收款"," ("&amp;'Daily Sale entry '!R30&amp;")","")&amp;IF('Daily Sale entry '!U30="",""," - "&amp;'Daily Sale entry '!U30))</f>
        <v/>
      </c>
      <c r="H30">
        <f>IF(C30="","",COUNTIFS($C$2:$C$3001,C30,$F$2:$F$3001,"&lt;"&amp;F30)+1)</f>
        <v/>
      </c>
      <c r="I30">
        <f>IF(C30="","",C30&amp;"|"&amp;H30)</f>
        <v/>
      </c>
      <c r="J30" s="6">
        <f>IF(C30="","",IF(H30=1,SUMIFS('Opening Balance'!$F$4:$F$303,'Opening Balance'!$G$4:$G$303,C30),INDEX($L$2:$L$3001,MATCH(C30&amp;"|"&amp;(H30-1),$I$2:$I$3001,0))))</f>
        <v/>
      </c>
      <c r="K30" s="6">
        <f>IF(C30="","",IF(M30&gt;0,M30,IF(AND(E30&gt;0,ROUND(J30+D30-E30,2)&gt;0,ROUND(J30+D30-E30,2)&lt;'Opening Balance'!$B$14),ROUND(J30+D30-E30,2),0)))</f>
        <v/>
      </c>
      <c r="L30" s="6">
        <f>IF(C30="","",ROUND(J30+D30-E30-K30,2))</f>
        <v/>
      </c>
      <c r="M30" s="6">
        <f>IF(C30="","",IF('Daily Sale entry '!Q30="Collection 收款",ROUND(N('Daily Sale entry '!T30),2),0))</f>
        <v/>
      </c>
    </row>
    <row r="31">
      <c r="A31" t="inlineStr">
        <is>
          <t>Entry 记录</t>
        </is>
      </c>
      <c r="B31" s="5">
        <f>IF('Daily Sale entry '!P31="","",'Daily Sale entry '!O31)</f>
        <v/>
      </c>
      <c r="C31">
        <f>IF('Daily Sale entry '!P31="","",'Daily Sale entry '!P31)</f>
        <v/>
      </c>
      <c r="D31">
        <f>IF(C31="","",IF('Daily Sale entry '!Q31="Credit Sale 赊销",'Daily Sale entry '!S31,0))</f>
        <v/>
      </c>
      <c r="E31">
        <f>IF(C31="","",IF('Daily Sale entry '!Q31="Collection 收款",'Daily Sale entry '!S31,0))</f>
        <v/>
      </c>
      <c r="F31" s="37">
        <f>IF(C31="","",B31+IF(E31&gt;0,0,0.5)+ROW()/10000000)</f>
        <v/>
      </c>
      <c r="G31">
        <f>IF(C31="","",'Daily Sale entry '!Q31&amp;IF('Daily Sale entry '!Q31="Collection 收款"," ("&amp;'Daily Sale entry '!R31&amp;")","")&amp;IF('Daily Sale entry '!U31="",""," - "&amp;'Daily Sale entry '!U31))</f>
        <v/>
      </c>
      <c r="H31">
        <f>IF(C31="","",COUNTIFS($C$2:$C$3001,C31,$F$2:$F$3001,"&lt;"&amp;F31)+1)</f>
        <v/>
      </c>
      <c r="I31">
        <f>IF(C31="","",C31&amp;"|"&amp;H31)</f>
        <v/>
      </c>
      <c r="J31" s="6">
        <f>IF(C31="","",IF(H31=1,SUMIFS('Opening Balance'!$F$4:$F$303,'Opening Balance'!$G$4:$G$303,C31),INDEX($L$2:$L$3001,MATCH(C31&amp;"|"&amp;(H31-1),$I$2:$I$3001,0))))</f>
        <v/>
      </c>
      <c r="K31" s="6">
        <f>IF(C31="","",IF(M31&gt;0,M31,IF(AND(E31&gt;0,ROUND(J31+D31-E31,2)&gt;0,ROUND(J31+D31-E31,2)&lt;'Opening Balance'!$B$14),ROUND(J31+D31-E31,2),0)))</f>
        <v/>
      </c>
      <c r="L31" s="6">
        <f>IF(C31="","",ROUND(J31+D31-E31-K31,2))</f>
        <v/>
      </c>
      <c r="M31" s="6">
        <f>IF(C31="","",IF('Daily Sale entry '!Q31="Collection 收款",ROUND(N('Daily Sale entry '!T31),2),0))</f>
        <v/>
      </c>
    </row>
    <row r="32">
      <c r="A32" t="inlineStr">
        <is>
          <t>Entry 记录</t>
        </is>
      </c>
      <c r="B32" s="5">
        <f>IF('Daily Sale entry '!P32="","",'Daily Sale entry '!O32)</f>
        <v/>
      </c>
      <c r="C32">
        <f>IF('Daily Sale entry '!P32="","",'Daily Sale entry '!P32)</f>
        <v/>
      </c>
      <c r="D32">
        <f>IF(C32="","",IF('Daily Sale entry '!Q32="Credit Sale 赊销",'Daily Sale entry '!S32,0))</f>
        <v/>
      </c>
      <c r="E32">
        <f>IF(C32="","",IF('Daily Sale entry '!Q32="Collection 收款",'Daily Sale entry '!S32,0))</f>
        <v/>
      </c>
      <c r="F32" s="37">
        <f>IF(C32="","",B32+IF(E32&gt;0,0,0.5)+ROW()/10000000)</f>
        <v/>
      </c>
      <c r="G32">
        <f>IF(C32="","",'Daily Sale entry '!Q32&amp;IF('Daily Sale entry '!Q32="Collection 收款"," ("&amp;'Daily Sale entry '!R32&amp;")","")&amp;IF('Daily Sale entry '!U32="",""," - "&amp;'Daily Sale entry '!U32))</f>
        <v/>
      </c>
      <c r="H32">
        <f>IF(C32="","",COUNTIFS($C$2:$C$3001,C32,$F$2:$F$3001,"&lt;"&amp;F32)+1)</f>
        <v/>
      </c>
      <c r="I32">
        <f>IF(C32="","",C32&amp;"|"&amp;H32)</f>
        <v/>
      </c>
      <c r="J32" s="6">
        <f>IF(C32="","",IF(H32=1,SUMIFS('Opening Balance'!$F$4:$F$303,'Opening Balance'!$G$4:$G$303,C32),INDEX($L$2:$L$3001,MATCH(C32&amp;"|"&amp;(H32-1),$I$2:$I$3001,0))))</f>
        <v/>
      </c>
      <c r="K32" s="6">
        <f>IF(C32="","",IF(M32&gt;0,M32,IF(AND(E32&gt;0,ROUND(J32+D32-E32,2)&gt;0,ROUND(J32+D32-E32,2)&lt;'Opening Balance'!$B$14),ROUND(J32+D32-E32,2),0)))</f>
        <v/>
      </c>
      <c r="L32" s="6">
        <f>IF(C32="","",ROUND(J32+D32-E32-K32,2))</f>
        <v/>
      </c>
      <c r="M32" s="6">
        <f>IF(C32="","",IF('Daily Sale entry '!Q32="Collection 收款",ROUND(N('Daily Sale entry '!T32),2),0))</f>
        <v/>
      </c>
    </row>
    <row r="33">
      <c r="A33" t="inlineStr">
        <is>
          <t>Entry 记录</t>
        </is>
      </c>
      <c r="B33" s="5">
        <f>IF('Daily Sale entry '!P33="","",'Daily Sale entry '!O33)</f>
        <v/>
      </c>
      <c r="C33">
        <f>IF('Daily Sale entry '!P33="","",'Daily Sale entry '!P33)</f>
        <v/>
      </c>
      <c r="D33">
        <f>IF(C33="","",IF('Daily Sale entry '!Q33="Credit Sale 赊销",'Daily Sale entry '!S33,0))</f>
        <v/>
      </c>
      <c r="E33">
        <f>IF(C33="","",IF('Daily Sale entry '!Q33="Collection 收款",'Daily Sale entry '!S33,0))</f>
        <v/>
      </c>
      <c r="F33" s="37">
        <f>IF(C33="","",B33+IF(E33&gt;0,0,0.5)+ROW()/10000000)</f>
        <v/>
      </c>
      <c r="G33">
        <f>IF(C33="","",'Daily Sale entry '!Q33&amp;IF('Daily Sale entry '!Q33="Collection 收款"," ("&amp;'Daily Sale entry '!R33&amp;")","")&amp;IF('Daily Sale entry '!U33="",""," - "&amp;'Daily Sale entry '!U33))</f>
        <v/>
      </c>
      <c r="H33">
        <f>IF(C33="","",COUNTIFS($C$2:$C$3001,C33,$F$2:$F$3001,"&lt;"&amp;F33)+1)</f>
        <v/>
      </c>
      <c r="I33">
        <f>IF(C33="","",C33&amp;"|"&amp;H33)</f>
        <v/>
      </c>
      <c r="J33" s="6">
        <f>IF(C33="","",IF(H33=1,SUMIFS('Opening Balance'!$F$4:$F$303,'Opening Balance'!$G$4:$G$303,C33),INDEX($L$2:$L$3001,MATCH(C33&amp;"|"&amp;(H33-1),$I$2:$I$3001,0))))</f>
        <v/>
      </c>
      <c r="K33" s="6">
        <f>IF(C33="","",IF(M33&gt;0,M33,IF(AND(E33&gt;0,ROUND(J33+D33-E33,2)&gt;0,ROUND(J33+D33-E33,2)&lt;'Opening Balance'!$B$14),ROUND(J33+D33-E33,2),0)))</f>
        <v/>
      </c>
      <c r="L33" s="6">
        <f>IF(C33="","",ROUND(J33+D33-E33-K33,2))</f>
        <v/>
      </c>
      <c r="M33" s="6">
        <f>IF(C33="","",IF('Daily Sale entry '!Q33="Collection 收款",ROUND(N('Daily Sale entry '!T33),2),0))</f>
        <v/>
      </c>
    </row>
    <row r="34">
      <c r="A34" t="inlineStr">
        <is>
          <t>Entry 记录</t>
        </is>
      </c>
      <c r="B34" s="5">
        <f>IF('Daily Sale entry '!P34="","",'Daily Sale entry '!O34)</f>
        <v/>
      </c>
      <c r="C34">
        <f>IF('Daily Sale entry '!P34="","",'Daily Sale entry '!P34)</f>
        <v/>
      </c>
      <c r="D34">
        <f>IF(C34="","",IF('Daily Sale entry '!Q34="Credit Sale 赊销",'Daily Sale entry '!S34,0))</f>
        <v/>
      </c>
      <c r="E34">
        <f>IF(C34="","",IF('Daily Sale entry '!Q34="Collection 收款",'Daily Sale entry '!S34,0))</f>
        <v/>
      </c>
      <c r="F34" s="37">
        <f>IF(C34="","",B34+IF(E34&gt;0,0,0.5)+ROW()/10000000)</f>
        <v/>
      </c>
      <c r="G34">
        <f>IF(C34="","",'Daily Sale entry '!Q34&amp;IF('Daily Sale entry '!Q34="Collection 收款"," ("&amp;'Daily Sale entry '!R34&amp;")","")&amp;IF('Daily Sale entry '!U34="",""," - "&amp;'Daily Sale entry '!U34))</f>
        <v/>
      </c>
      <c r="H34">
        <f>IF(C34="","",COUNTIFS($C$2:$C$3001,C34,$F$2:$F$3001,"&lt;"&amp;F34)+1)</f>
        <v/>
      </c>
      <c r="I34">
        <f>IF(C34="","",C34&amp;"|"&amp;H34)</f>
        <v/>
      </c>
      <c r="J34" s="6">
        <f>IF(C34="","",IF(H34=1,SUMIFS('Opening Balance'!$F$4:$F$303,'Opening Balance'!$G$4:$G$303,C34),INDEX($L$2:$L$3001,MATCH(C34&amp;"|"&amp;(H34-1),$I$2:$I$3001,0))))</f>
        <v/>
      </c>
      <c r="K34" s="6">
        <f>IF(C34="","",IF(M34&gt;0,M34,IF(AND(E34&gt;0,ROUND(J34+D34-E34,2)&gt;0,ROUND(J34+D34-E34,2)&lt;'Opening Balance'!$B$14),ROUND(J34+D34-E34,2),0)))</f>
        <v/>
      </c>
      <c r="L34" s="6">
        <f>IF(C34="","",ROUND(J34+D34-E34-K34,2))</f>
        <v/>
      </c>
      <c r="M34" s="6">
        <f>IF(C34="","",IF('Daily Sale entry '!Q34="Collection 收款",ROUND(N('Daily Sale entry '!T34),2),0))</f>
        <v/>
      </c>
    </row>
    <row r="35">
      <c r="A35" t="inlineStr">
        <is>
          <t>Entry 记录</t>
        </is>
      </c>
      <c r="B35" s="5">
        <f>IF('Daily Sale entry '!P35="","",'Daily Sale entry '!O35)</f>
        <v/>
      </c>
      <c r="C35">
        <f>IF('Daily Sale entry '!P35="","",'Daily Sale entry '!P35)</f>
        <v/>
      </c>
      <c r="D35">
        <f>IF(C35="","",IF('Daily Sale entry '!Q35="Credit Sale 赊销",'Daily Sale entry '!S35,0))</f>
        <v/>
      </c>
      <c r="E35">
        <f>IF(C35="","",IF('Daily Sale entry '!Q35="Collection 收款",'Daily Sale entry '!S35,0))</f>
        <v/>
      </c>
      <c r="F35" s="37">
        <f>IF(C35="","",B35+IF(E35&gt;0,0,0.5)+ROW()/10000000)</f>
        <v/>
      </c>
      <c r="G35">
        <f>IF(C35="","",'Daily Sale entry '!Q35&amp;IF('Daily Sale entry '!Q35="Collection 收款"," ("&amp;'Daily Sale entry '!R35&amp;")","")&amp;IF('Daily Sale entry '!U35="",""," - "&amp;'Daily Sale entry '!U35))</f>
        <v/>
      </c>
      <c r="H35">
        <f>IF(C35="","",COUNTIFS($C$2:$C$3001,C35,$F$2:$F$3001,"&lt;"&amp;F35)+1)</f>
        <v/>
      </c>
      <c r="I35">
        <f>IF(C35="","",C35&amp;"|"&amp;H35)</f>
        <v/>
      </c>
      <c r="J35" s="6">
        <f>IF(C35="","",IF(H35=1,SUMIFS('Opening Balance'!$F$4:$F$303,'Opening Balance'!$G$4:$G$303,C35),INDEX($L$2:$L$3001,MATCH(C35&amp;"|"&amp;(H35-1),$I$2:$I$3001,0))))</f>
        <v/>
      </c>
      <c r="K35" s="6">
        <f>IF(C35="","",IF(M35&gt;0,M35,IF(AND(E35&gt;0,ROUND(J35+D35-E35,2)&gt;0,ROUND(J35+D35-E35,2)&lt;'Opening Balance'!$B$14),ROUND(J35+D35-E35,2),0)))</f>
        <v/>
      </c>
      <c r="L35" s="6">
        <f>IF(C35="","",ROUND(J35+D35-E35-K35,2))</f>
        <v/>
      </c>
      <c r="M35" s="6">
        <f>IF(C35="","",IF('Daily Sale entry '!Q35="Collection 收款",ROUND(N('Daily Sale entry '!T35),2),0))</f>
        <v/>
      </c>
    </row>
    <row r="36">
      <c r="A36" t="inlineStr">
        <is>
          <t>Entry 记录</t>
        </is>
      </c>
      <c r="B36" s="5">
        <f>IF('Daily Sale entry '!P36="","",'Daily Sale entry '!O36)</f>
        <v/>
      </c>
      <c r="C36">
        <f>IF('Daily Sale entry '!P36="","",'Daily Sale entry '!P36)</f>
        <v/>
      </c>
      <c r="D36">
        <f>IF(C36="","",IF('Daily Sale entry '!Q36="Credit Sale 赊销",'Daily Sale entry '!S36,0))</f>
        <v/>
      </c>
      <c r="E36">
        <f>IF(C36="","",IF('Daily Sale entry '!Q36="Collection 收款",'Daily Sale entry '!S36,0))</f>
        <v/>
      </c>
      <c r="F36" s="37">
        <f>IF(C36="","",B36+IF(E36&gt;0,0,0.5)+ROW()/10000000)</f>
        <v/>
      </c>
      <c r="G36">
        <f>IF(C36="","",'Daily Sale entry '!Q36&amp;IF('Daily Sale entry '!Q36="Collection 收款"," ("&amp;'Daily Sale entry '!R36&amp;")","")&amp;IF('Daily Sale entry '!U36="",""," - "&amp;'Daily Sale entry '!U36))</f>
        <v/>
      </c>
      <c r="H36">
        <f>IF(C36="","",COUNTIFS($C$2:$C$3001,C36,$F$2:$F$3001,"&lt;"&amp;F36)+1)</f>
        <v/>
      </c>
      <c r="I36">
        <f>IF(C36="","",C36&amp;"|"&amp;H36)</f>
        <v/>
      </c>
      <c r="J36" s="6">
        <f>IF(C36="","",IF(H36=1,SUMIFS('Opening Balance'!$F$4:$F$303,'Opening Balance'!$G$4:$G$303,C36),INDEX($L$2:$L$3001,MATCH(C36&amp;"|"&amp;(H36-1),$I$2:$I$3001,0))))</f>
        <v/>
      </c>
      <c r="K36" s="6">
        <f>IF(C36="","",IF(M36&gt;0,M36,IF(AND(E36&gt;0,ROUND(J36+D36-E36,2)&gt;0,ROUND(J36+D36-E36,2)&lt;'Opening Balance'!$B$14),ROUND(J36+D36-E36,2),0)))</f>
        <v/>
      </c>
      <c r="L36" s="6">
        <f>IF(C36="","",ROUND(J36+D36-E36-K36,2))</f>
        <v/>
      </c>
      <c r="M36" s="6">
        <f>IF(C36="","",IF('Daily Sale entry '!Q36="Collection 收款",ROUND(N('Daily Sale entry '!T36),2),0))</f>
        <v/>
      </c>
    </row>
    <row r="37">
      <c r="A37" t="inlineStr">
        <is>
          <t>Entry 记录</t>
        </is>
      </c>
      <c r="B37" s="5">
        <f>IF('Daily Sale entry '!P37="","",'Daily Sale entry '!O37)</f>
        <v/>
      </c>
      <c r="C37">
        <f>IF('Daily Sale entry '!P37="","",'Daily Sale entry '!P37)</f>
        <v/>
      </c>
      <c r="D37">
        <f>IF(C37="","",IF('Daily Sale entry '!Q37="Credit Sale 赊销",'Daily Sale entry '!S37,0))</f>
        <v/>
      </c>
      <c r="E37">
        <f>IF(C37="","",IF('Daily Sale entry '!Q37="Collection 收款",'Daily Sale entry '!S37,0))</f>
        <v/>
      </c>
      <c r="F37" s="37">
        <f>IF(C37="","",B37+IF(E37&gt;0,0,0.5)+ROW()/10000000)</f>
        <v/>
      </c>
      <c r="G37">
        <f>IF(C37="","",'Daily Sale entry '!Q37&amp;IF('Daily Sale entry '!Q37="Collection 收款"," ("&amp;'Daily Sale entry '!R37&amp;")","")&amp;IF('Daily Sale entry '!U37="",""," - "&amp;'Daily Sale entry '!U37))</f>
        <v/>
      </c>
      <c r="H37">
        <f>IF(C37="","",COUNTIFS($C$2:$C$3001,C37,$F$2:$F$3001,"&lt;"&amp;F37)+1)</f>
        <v/>
      </c>
      <c r="I37">
        <f>IF(C37="","",C37&amp;"|"&amp;H37)</f>
        <v/>
      </c>
      <c r="J37" s="6">
        <f>IF(C37="","",IF(H37=1,SUMIFS('Opening Balance'!$F$4:$F$303,'Opening Balance'!$G$4:$G$303,C37),INDEX($L$2:$L$3001,MATCH(C37&amp;"|"&amp;(H37-1),$I$2:$I$3001,0))))</f>
        <v/>
      </c>
      <c r="K37" s="6">
        <f>IF(C37="","",IF(M37&gt;0,M37,IF(AND(E37&gt;0,ROUND(J37+D37-E37,2)&gt;0,ROUND(J37+D37-E37,2)&lt;'Opening Balance'!$B$14),ROUND(J37+D37-E37,2),0)))</f>
        <v/>
      </c>
      <c r="L37" s="6">
        <f>IF(C37="","",ROUND(J37+D37-E37-K37,2))</f>
        <v/>
      </c>
      <c r="M37" s="6">
        <f>IF(C37="","",IF('Daily Sale entry '!Q37="Collection 收款",ROUND(N('Daily Sale entry '!T37),2),0))</f>
        <v/>
      </c>
    </row>
    <row r="38">
      <c r="A38" t="inlineStr">
        <is>
          <t>Entry 记录</t>
        </is>
      </c>
      <c r="B38" s="5">
        <f>IF('Daily Sale entry '!P38="","",'Daily Sale entry '!O38)</f>
        <v/>
      </c>
      <c r="C38">
        <f>IF('Daily Sale entry '!P38="","",'Daily Sale entry '!P38)</f>
        <v/>
      </c>
      <c r="D38">
        <f>IF(C38="","",IF('Daily Sale entry '!Q38="Credit Sale 赊销",'Daily Sale entry '!S38,0))</f>
        <v/>
      </c>
      <c r="E38">
        <f>IF(C38="","",IF('Daily Sale entry '!Q38="Collection 收款",'Daily Sale entry '!S38,0))</f>
        <v/>
      </c>
      <c r="F38" s="37">
        <f>IF(C38="","",B38+IF(E38&gt;0,0,0.5)+ROW()/10000000)</f>
        <v/>
      </c>
      <c r="G38">
        <f>IF(C38="","",'Daily Sale entry '!Q38&amp;IF('Daily Sale entry '!Q38="Collection 收款"," ("&amp;'Daily Sale entry '!R38&amp;")","")&amp;IF('Daily Sale entry '!U38="",""," - "&amp;'Daily Sale entry '!U38))</f>
        <v/>
      </c>
      <c r="H38">
        <f>IF(C38="","",COUNTIFS($C$2:$C$3001,C38,$F$2:$F$3001,"&lt;"&amp;F38)+1)</f>
        <v/>
      </c>
      <c r="I38">
        <f>IF(C38="","",C38&amp;"|"&amp;H38)</f>
        <v/>
      </c>
      <c r="J38" s="6">
        <f>IF(C38="","",IF(H38=1,SUMIFS('Opening Balance'!$F$4:$F$303,'Opening Balance'!$G$4:$G$303,C38),INDEX($L$2:$L$3001,MATCH(C38&amp;"|"&amp;(H38-1),$I$2:$I$3001,0))))</f>
        <v/>
      </c>
      <c r="K38" s="6">
        <f>IF(C38="","",IF(M38&gt;0,M38,IF(AND(E38&gt;0,ROUND(J38+D38-E38,2)&gt;0,ROUND(J38+D38-E38,2)&lt;'Opening Balance'!$B$14),ROUND(J38+D38-E38,2),0)))</f>
        <v/>
      </c>
      <c r="L38" s="6">
        <f>IF(C38="","",ROUND(J38+D38-E38-K38,2))</f>
        <v/>
      </c>
      <c r="M38" s="6">
        <f>IF(C38="","",IF('Daily Sale entry '!Q38="Collection 收款",ROUND(N('Daily Sale entry '!T38),2),0))</f>
        <v/>
      </c>
    </row>
    <row r="39">
      <c r="A39" t="inlineStr">
        <is>
          <t>Entry 记录</t>
        </is>
      </c>
      <c r="B39" s="5">
        <f>IF('Daily Sale entry '!P39="","",'Daily Sale entry '!O39)</f>
        <v/>
      </c>
      <c r="C39">
        <f>IF('Daily Sale entry '!P39="","",'Daily Sale entry '!P39)</f>
        <v/>
      </c>
      <c r="D39">
        <f>IF(C39="","",IF('Daily Sale entry '!Q39="Credit Sale 赊销",'Daily Sale entry '!S39,0))</f>
        <v/>
      </c>
      <c r="E39">
        <f>IF(C39="","",IF('Daily Sale entry '!Q39="Collection 收款",'Daily Sale entry '!S39,0))</f>
        <v/>
      </c>
      <c r="F39" s="37">
        <f>IF(C39="","",B39+IF(E39&gt;0,0,0.5)+ROW()/10000000)</f>
        <v/>
      </c>
      <c r="G39">
        <f>IF(C39="","",'Daily Sale entry '!Q39&amp;IF('Daily Sale entry '!Q39="Collection 收款"," ("&amp;'Daily Sale entry '!R39&amp;")","")&amp;IF('Daily Sale entry '!U39="",""," - "&amp;'Daily Sale entry '!U39))</f>
        <v/>
      </c>
      <c r="H39">
        <f>IF(C39="","",COUNTIFS($C$2:$C$3001,C39,$F$2:$F$3001,"&lt;"&amp;F39)+1)</f>
        <v/>
      </c>
      <c r="I39">
        <f>IF(C39="","",C39&amp;"|"&amp;H39)</f>
        <v/>
      </c>
      <c r="J39" s="6">
        <f>IF(C39="","",IF(H39=1,SUMIFS('Opening Balance'!$F$4:$F$303,'Opening Balance'!$G$4:$G$303,C39),INDEX($L$2:$L$3001,MATCH(C39&amp;"|"&amp;(H39-1),$I$2:$I$3001,0))))</f>
        <v/>
      </c>
      <c r="K39" s="6">
        <f>IF(C39="","",IF(M39&gt;0,M39,IF(AND(E39&gt;0,ROUND(J39+D39-E39,2)&gt;0,ROUND(J39+D39-E39,2)&lt;'Opening Balance'!$B$14),ROUND(J39+D39-E39,2),0)))</f>
        <v/>
      </c>
      <c r="L39" s="6">
        <f>IF(C39="","",ROUND(J39+D39-E39-K39,2))</f>
        <v/>
      </c>
      <c r="M39" s="6">
        <f>IF(C39="","",IF('Daily Sale entry '!Q39="Collection 收款",ROUND(N('Daily Sale entry '!T39),2),0))</f>
        <v/>
      </c>
    </row>
    <row r="40">
      <c r="A40" t="inlineStr">
        <is>
          <t>Entry 记录</t>
        </is>
      </c>
      <c r="B40" s="5">
        <f>IF('Daily Sale entry '!P40="","",'Daily Sale entry '!O40)</f>
        <v/>
      </c>
      <c r="C40">
        <f>IF('Daily Sale entry '!P40="","",'Daily Sale entry '!P40)</f>
        <v/>
      </c>
      <c r="D40">
        <f>IF(C40="","",IF('Daily Sale entry '!Q40="Credit Sale 赊销",'Daily Sale entry '!S40,0))</f>
        <v/>
      </c>
      <c r="E40">
        <f>IF(C40="","",IF('Daily Sale entry '!Q40="Collection 收款",'Daily Sale entry '!S40,0))</f>
        <v/>
      </c>
      <c r="F40" s="37">
        <f>IF(C40="","",B40+IF(E40&gt;0,0,0.5)+ROW()/10000000)</f>
        <v/>
      </c>
      <c r="G40">
        <f>IF(C40="","",'Daily Sale entry '!Q40&amp;IF('Daily Sale entry '!Q40="Collection 收款"," ("&amp;'Daily Sale entry '!R40&amp;")","")&amp;IF('Daily Sale entry '!U40="",""," - "&amp;'Daily Sale entry '!U40))</f>
        <v/>
      </c>
      <c r="H40">
        <f>IF(C40="","",COUNTIFS($C$2:$C$3001,C40,$F$2:$F$3001,"&lt;"&amp;F40)+1)</f>
        <v/>
      </c>
      <c r="I40">
        <f>IF(C40="","",C40&amp;"|"&amp;H40)</f>
        <v/>
      </c>
      <c r="J40" s="6">
        <f>IF(C40="","",IF(H40=1,SUMIFS('Opening Balance'!$F$4:$F$303,'Opening Balance'!$G$4:$G$303,C40),INDEX($L$2:$L$3001,MATCH(C40&amp;"|"&amp;(H40-1),$I$2:$I$3001,0))))</f>
        <v/>
      </c>
      <c r="K40" s="6">
        <f>IF(C40="","",IF(M40&gt;0,M40,IF(AND(E40&gt;0,ROUND(J40+D40-E40,2)&gt;0,ROUND(J40+D40-E40,2)&lt;'Opening Balance'!$B$14),ROUND(J40+D40-E40,2),0)))</f>
        <v/>
      </c>
      <c r="L40" s="6">
        <f>IF(C40="","",ROUND(J40+D40-E40-K40,2))</f>
        <v/>
      </c>
      <c r="M40" s="6">
        <f>IF(C40="","",IF('Daily Sale entry '!Q40="Collection 收款",ROUND(N('Daily Sale entry '!T40),2),0))</f>
        <v/>
      </c>
    </row>
    <row r="41">
      <c r="A41" t="inlineStr">
        <is>
          <t>Entry 记录</t>
        </is>
      </c>
      <c r="B41" s="5">
        <f>IF('Daily Sale entry '!P41="","",'Daily Sale entry '!O41)</f>
        <v/>
      </c>
      <c r="C41">
        <f>IF('Daily Sale entry '!P41="","",'Daily Sale entry '!P41)</f>
        <v/>
      </c>
      <c r="D41">
        <f>IF(C41="","",IF('Daily Sale entry '!Q41="Credit Sale 赊销",'Daily Sale entry '!S41,0))</f>
        <v/>
      </c>
      <c r="E41">
        <f>IF(C41="","",IF('Daily Sale entry '!Q41="Collection 收款",'Daily Sale entry '!S41,0))</f>
        <v/>
      </c>
      <c r="F41" s="37">
        <f>IF(C41="","",B41+IF(E41&gt;0,0,0.5)+ROW()/10000000)</f>
        <v/>
      </c>
      <c r="G41">
        <f>IF(C41="","",'Daily Sale entry '!Q41&amp;IF('Daily Sale entry '!Q41="Collection 收款"," ("&amp;'Daily Sale entry '!R41&amp;")","")&amp;IF('Daily Sale entry '!U41="",""," - "&amp;'Daily Sale entry '!U41))</f>
        <v/>
      </c>
      <c r="H41">
        <f>IF(C41="","",COUNTIFS($C$2:$C$3001,C41,$F$2:$F$3001,"&lt;"&amp;F41)+1)</f>
        <v/>
      </c>
      <c r="I41">
        <f>IF(C41="","",C41&amp;"|"&amp;H41)</f>
        <v/>
      </c>
      <c r="J41" s="6">
        <f>IF(C41="","",IF(H41=1,SUMIFS('Opening Balance'!$F$4:$F$303,'Opening Balance'!$G$4:$G$303,C41),INDEX($L$2:$L$3001,MATCH(C41&amp;"|"&amp;(H41-1),$I$2:$I$3001,0))))</f>
        <v/>
      </c>
      <c r="K41" s="6">
        <f>IF(C41="","",IF(M41&gt;0,M41,IF(AND(E41&gt;0,ROUND(J41+D41-E41,2)&gt;0,ROUND(J41+D41-E41,2)&lt;'Opening Balance'!$B$14),ROUND(J41+D41-E41,2),0)))</f>
        <v/>
      </c>
      <c r="L41" s="6">
        <f>IF(C41="","",ROUND(J41+D41-E41-K41,2))</f>
        <v/>
      </c>
      <c r="M41" s="6">
        <f>IF(C41="","",IF('Daily Sale entry '!Q41="Collection 收款",ROUND(N('Daily Sale entry '!T41),2),0))</f>
        <v/>
      </c>
    </row>
    <row r="42">
      <c r="A42" t="inlineStr">
        <is>
          <t>Entry 记录</t>
        </is>
      </c>
      <c r="B42" s="5">
        <f>IF('Daily Sale entry '!P42="","",'Daily Sale entry '!O42)</f>
        <v/>
      </c>
      <c r="C42">
        <f>IF('Daily Sale entry '!P42="","",'Daily Sale entry '!P42)</f>
        <v/>
      </c>
      <c r="D42">
        <f>IF(C42="","",IF('Daily Sale entry '!Q42="Credit Sale 赊销",'Daily Sale entry '!S42,0))</f>
        <v/>
      </c>
      <c r="E42">
        <f>IF(C42="","",IF('Daily Sale entry '!Q42="Collection 收款",'Daily Sale entry '!S42,0))</f>
        <v/>
      </c>
      <c r="F42" s="37">
        <f>IF(C42="","",B42+IF(E42&gt;0,0,0.5)+ROW()/10000000)</f>
        <v/>
      </c>
      <c r="G42">
        <f>IF(C42="","",'Daily Sale entry '!Q42&amp;IF('Daily Sale entry '!Q42="Collection 收款"," ("&amp;'Daily Sale entry '!R42&amp;")","")&amp;IF('Daily Sale entry '!U42="",""," - "&amp;'Daily Sale entry '!U42))</f>
        <v/>
      </c>
      <c r="H42">
        <f>IF(C42="","",COUNTIFS($C$2:$C$3001,C42,$F$2:$F$3001,"&lt;"&amp;F42)+1)</f>
        <v/>
      </c>
      <c r="I42">
        <f>IF(C42="","",C42&amp;"|"&amp;H42)</f>
        <v/>
      </c>
      <c r="J42" s="6">
        <f>IF(C42="","",IF(H42=1,SUMIFS('Opening Balance'!$F$4:$F$303,'Opening Balance'!$G$4:$G$303,C42),INDEX($L$2:$L$3001,MATCH(C42&amp;"|"&amp;(H42-1),$I$2:$I$3001,0))))</f>
        <v/>
      </c>
      <c r="K42" s="6">
        <f>IF(C42="","",IF(M42&gt;0,M42,IF(AND(E42&gt;0,ROUND(J42+D42-E42,2)&gt;0,ROUND(J42+D42-E42,2)&lt;'Opening Balance'!$B$14),ROUND(J42+D42-E42,2),0)))</f>
        <v/>
      </c>
      <c r="L42" s="6">
        <f>IF(C42="","",ROUND(J42+D42-E42-K42,2))</f>
        <v/>
      </c>
      <c r="M42" s="6">
        <f>IF(C42="","",IF('Daily Sale entry '!Q42="Collection 收款",ROUND(N('Daily Sale entry '!T42),2),0))</f>
        <v/>
      </c>
    </row>
    <row r="43">
      <c r="A43" t="inlineStr">
        <is>
          <t>Entry 记录</t>
        </is>
      </c>
      <c r="B43" s="5">
        <f>IF('Daily Sale entry '!P43="","",'Daily Sale entry '!O43)</f>
        <v/>
      </c>
      <c r="C43">
        <f>IF('Daily Sale entry '!P43="","",'Daily Sale entry '!P43)</f>
        <v/>
      </c>
      <c r="D43">
        <f>IF(C43="","",IF('Daily Sale entry '!Q43="Credit Sale 赊销",'Daily Sale entry '!S43,0))</f>
        <v/>
      </c>
      <c r="E43">
        <f>IF(C43="","",IF('Daily Sale entry '!Q43="Collection 收款",'Daily Sale entry '!S43,0))</f>
        <v/>
      </c>
      <c r="F43" s="37">
        <f>IF(C43="","",B43+IF(E43&gt;0,0,0.5)+ROW()/10000000)</f>
        <v/>
      </c>
      <c r="G43">
        <f>IF(C43="","",'Daily Sale entry '!Q43&amp;IF('Daily Sale entry '!Q43="Collection 收款"," ("&amp;'Daily Sale entry '!R43&amp;")","")&amp;IF('Daily Sale entry '!U43="",""," - "&amp;'Daily Sale entry '!U43))</f>
        <v/>
      </c>
      <c r="H43">
        <f>IF(C43="","",COUNTIFS($C$2:$C$3001,C43,$F$2:$F$3001,"&lt;"&amp;F43)+1)</f>
        <v/>
      </c>
      <c r="I43">
        <f>IF(C43="","",C43&amp;"|"&amp;H43)</f>
        <v/>
      </c>
      <c r="J43" s="6">
        <f>IF(C43="","",IF(H43=1,SUMIFS('Opening Balance'!$F$4:$F$303,'Opening Balance'!$G$4:$G$303,C43),INDEX($L$2:$L$3001,MATCH(C43&amp;"|"&amp;(H43-1),$I$2:$I$3001,0))))</f>
        <v/>
      </c>
      <c r="K43" s="6">
        <f>IF(C43="","",IF(M43&gt;0,M43,IF(AND(E43&gt;0,ROUND(J43+D43-E43,2)&gt;0,ROUND(J43+D43-E43,2)&lt;'Opening Balance'!$B$14),ROUND(J43+D43-E43,2),0)))</f>
        <v/>
      </c>
      <c r="L43" s="6">
        <f>IF(C43="","",ROUND(J43+D43-E43-K43,2))</f>
        <v/>
      </c>
      <c r="M43" s="6">
        <f>IF(C43="","",IF('Daily Sale entry '!Q43="Collection 收款",ROUND(N('Daily Sale entry '!T43),2),0))</f>
        <v/>
      </c>
    </row>
    <row r="44">
      <c r="A44" t="inlineStr">
        <is>
          <t>Entry 记录</t>
        </is>
      </c>
      <c r="B44" s="5">
        <f>IF('Daily Sale entry '!P44="","",'Daily Sale entry '!O44)</f>
        <v/>
      </c>
      <c r="C44">
        <f>IF('Daily Sale entry '!P44="","",'Daily Sale entry '!P44)</f>
        <v/>
      </c>
      <c r="D44">
        <f>IF(C44="","",IF('Daily Sale entry '!Q44="Credit Sale 赊销",'Daily Sale entry '!S44,0))</f>
        <v/>
      </c>
      <c r="E44">
        <f>IF(C44="","",IF('Daily Sale entry '!Q44="Collection 收款",'Daily Sale entry '!S44,0))</f>
        <v/>
      </c>
      <c r="F44" s="37">
        <f>IF(C44="","",B44+IF(E44&gt;0,0,0.5)+ROW()/10000000)</f>
        <v/>
      </c>
      <c r="G44">
        <f>IF(C44="","",'Daily Sale entry '!Q44&amp;IF('Daily Sale entry '!Q44="Collection 收款"," ("&amp;'Daily Sale entry '!R44&amp;")","")&amp;IF('Daily Sale entry '!U44="",""," - "&amp;'Daily Sale entry '!U44))</f>
        <v/>
      </c>
      <c r="H44">
        <f>IF(C44="","",COUNTIFS($C$2:$C$3001,C44,$F$2:$F$3001,"&lt;"&amp;F44)+1)</f>
        <v/>
      </c>
      <c r="I44">
        <f>IF(C44="","",C44&amp;"|"&amp;H44)</f>
        <v/>
      </c>
      <c r="J44" s="6">
        <f>IF(C44="","",IF(H44=1,SUMIFS('Opening Balance'!$F$4:$F$303,'Opening Balance'!$G$4:$G$303,C44),INDEX($L$2:$L$3001,MATCH(C44&amp;"|"&amp;(H44-1),$I$2:$I$3001,0))))</f>
        <v/>
      </c>
      <c r="K44" s="6">
        <f>IF(C44="","",IF(M44&gt;0,M44,IF(AND(E44&gt;0,ROUND(J44+D44-E44,2)&gt;0,ROUND(J44+D44-E44,2)&lt;'Opening Balance'!$B$14),ROUND(J44+D44-E44,2),0)))</f>
        <v/>
      </c>
      <c r="L44" s="6">
        <f>IF(C44="","",ROUND(J44+D44-E44-K44,2))</f>
        <v/>
      </c>
      <c r="M44" s="6">
        <f>IF(C44="","",IF('Daily Sale entry '!Q44="Collection 收款",ROUND(N('Daily Sale entry '!T44),2),0))</f>
        <v/>
      </c>
    </row>
    <row r="45">
      <c r="A45" t="inlineStr">
        <is>
          <t>Entry 记录</t>
        </is>
      </c>
      <c r="B45" s="5">
        <f>IF('Daily Sale entry '!P45="","",'Daily Sale entry '!O45)</f>
        <v/>
      </c>
      <c r="C45">
        <f>IF('Daily Sale entry '!P45="","",'Daily Sale entry '!P45)</f>
        <v/>
      </c>
      <c r="D45">
        <f>IF(C45="","",IF('Daily Sale entry '!Q45="Credit Sale 赊销",'Daily Sale entry '!S45,0))</f>
        <v/>
      </c>
      <c r="E45">
        <f>IF(C45="","",IF('Daily Sale entry '!Q45="Collection 收款",'Daily Sale entry '!S45,0))</f>
        <v/>
      </c>
      <c r="F45" s="37">
        <f>IF(C45="","",B45+IF(E45&gt;0,0,0.5)+ROW()/10000000)</f>
        <v/>
      </c>
      <c r="G45">
        <f>IF(C45="","",'Daily Sale entry '!Q45&amp;IF('Daily Sale entry '!Q45="Collection 收款"," ("&amp;'Daily Sale entry '!R45&amp;")","")&amp;IF('Daily Sale entry '!U45="",""," - "&amp;'Daily Sale entry '!U45))</f>
        <v/>
      </c>
      <c r="H45">
        <f>IF(C45="","",COUNTIFS($C$2:$C$3001,C45,$F$2:$F$3001,"&lt;"&amp;F45)+1)</f>
        <v/>
      </c>
      <c r="I45">
        <f>IF(C45="","",C45&amp;"|"&amp;H45)</f>
        <v/>
      </c>
      <c r="J45" s="6">
        <f>IF(C45="","",IF(H45=1,SUMIFS('Opening Balance'!$F$4:$F$303,'Opening Balance'!$G$4:$G$303,C45),INDEX($L$2:$L$3001,MATCH(C45&amp;"|"&amp;(H45-1),$I$2:$I$3001,0))))</f>
        <v/>
      </c>
      <c r="K45" s="6">
        <f>IF(C45="","",IF(M45&gt;0,M45,IF(AND(E45&gt;0,ROUND(J45+D45-E45,2)&gt;0,ROUND(J45+D45-E45,2)&lt;'Opening Balance'!$B$14),ROUND(J45+D45-E45,2),0)))</f>
        <v/>
      </c>
      <c r="L45" s="6">
        <f>IF(C45="","",ROUND(J45+D45-E45-K45,2))</f>
        <v/>
      </c>
      <c r="M45" s="6">
        <f>IF(C45="","",IF('Daily Sale entry '!Q45="Collection 收款",ROUND(N('Daily Sale entry '!T45),2),0))</f>
        <v/>
      </c>
    </row>
    <row r="46">
      <c r="A46" t="inlineStr">
        <is>
          <t>Entry 记录</t>
        </is>
      </c>
      <c r="B46" s="5">
        <f>IF('Daily Sale entry '!P46="","",'Daily Sale entry '!O46)</f>
        <v/>
      </c>
      <c r="C46">
        <f>IF('Daily Sale entry '!P46="","",'Daily Sale entry '!P46)</f>
        <v/>
      </c>
      <c r="D46">
        <f>IF(C46="","",IF('Daily Sale entry '!Q46="Credit Sale 赊销",'Daily Sale entry '!S46,0))</f>
        <v/>
      </c>
      <c r="E46">
        <f>IF(C46="","",IF('Daily Sale entry '!Q46="Collection 收款",'Daily Sale entry '!S46,0))</f>
        <v/>
      </c>
      <c r="F46" s="37">
        <f>IF(C46="","",B46+IF(E46&gt;0,0,0.5)+ROW()/10000000)</f>
        <v/>
      </c>
      <c r="G46">
        <f>IF(C46="","",'Daily Sale entry '!Q46&amp;IF('Daily Sale entry '!Q46="Collection 收款"," ("&amp;'Daily Sale entry '!R46&amp;")","")&amp;IF('Daily Sale entry '!U46="",""," - "&amp;'Daily Sale entry '!U46))</f>
        <v/>
      </c>
      <c r="H46">
        <f>IF(C46="","",COUNTIFS($C$2:$C$3001,C46,$F$2:$F$3001,"&lt;"&amp;F46)+1)</f>
        <v/>
      </c>
      <c r="I46">
        <f>IF(C46="","",C46&amp;"|"&amp;H46)</f>
        <v/>
      </c>
      <c r="J46" s="6">
        <f>IF(C46="","",IF(H46=1,SUMIFS('Opening Balance'!$F$4:$F$303,'Opening Balance'!$G$4:$G$303,C46),INDEX($L$2:$L$3001,MATCH(C46&amp;"|"&amp;(H46-1),$I$2:$I$3001,0))))</f>
        <v/>
      </c>
      <c r="K46" s="6">
        <f>IF(C46="","",IF(M46&gt;0,M46,IF(AND(E46&gt;0,ROUND(J46+D46-E46,2)&gt;0,ROUND(J46+D46-E46,2)&lt;'Opening Balance'!$B$14),ROUND(J46+D46-E46,2),0)))</f>
        <v/>
      </c>
      <c r="L46" s="6">
        <f>IF(C46="","",ROUND(J46+D46-E46-K46,2))</f>
        <v/>
      </c>
      <c r="M46" s="6">
        <f>IF(C46="","",IF('Daily Sale entry '!Q46="Collection 收款",ROUND(N('Daily Sale entry '!T46),2),0))</f>
        <v/>
      </c>
    </row>
    <row r="47">
      <c r="A47" t="inlineStr">
        <is>
          <t>Entry 记录</t>
        </is>
      </c>
      <c r="B47" s="5">
        <f>IF('Daily Sale entry '!P47="","",'Daily Sale entry '!O47)</f>
        <v/>
      </c>
      <c r="C47">
        <f>IF('Daily Sale entry '!P47="","",'Daily Sale entry '!P47)</f>
        <v/>
      </c>
      <c r="D47">
        <f>IF(C47="","",IF('Daily Sale entry '!Q47="Credit Sale 赊销",'Daily Sale entry '!S47,0))</f>
        <v/>
      </c>
      <c r="E47">
        <f>IF(C47="","",IF('Daily Sale entry '!Q47="Collection 收款",'Daily Sale entry '!S47,0))</f>
        <v/>
      </c>
      <c r="F47" s="37">
        <f>IF(C47="","",B47+IF(E47&gt;0,0,0.5)+ROW()/10000000)</f>
        <v/>
      </c>
      <c r="G47">
        <f>IF(C47="","",'Daily Sale entry '!Q47&amp;IF('Daily Sale entry '!Q47="Collection 收款"," ("&amp;'Daily Sale entry '!R47&amp;")","")&amp;IF('Daily Sale entry '!U47="",""," - "&amp;'Daily Sale entry '!U47))</f>
        <v/>
      </c>
      <c r="H47">
        <f>IF(C47="","",COUNTIFS($C$2:$C$3001,C47,$F$2:$F$3001,"&lt;"&amp;F47)+1)</f>
        <v/>
      </c>
      <c r="I47">
        <f>IF(C47="","",C47&amp;"|"&amp;H47)</f>
        <v/>
      </c>
      <c r="J47" s="6">
        <f>IF(C47="","",IF(H47=1,SUMIFS('Opening Balance'!$F$4:$F$303,'Opening Balance'!$G$4:$G$303,C47),INDEX($L$2:$L$3001,MATCH(C47&amp;"|"&amp;(H47-1),$I$2:$I$3001,0))))</f>
        <v/>
      </c>
      <c r="K47" s="6">
        <f>IF(C47="","",IF(M47&gt;0,M47,IF(AND(E47&gt;0,ROUND(J47+D47-E47,2)&gt;0,ROUND(J47+D47-E47,2)&lt;'Opening Balance'!$B$14),ROUND(J47+D47-E47,2),0)))</f>
        <v/>
      </c>
      <c r="L47" s="6">
        <f>IF(C47="","",ROUND(J47+D47-E47-K47,2))</f>
        <v/>
      </c>
      <c r="M47" s="6">
        <f>IF(C47="","",IF('Daily Sale entry '!Q47="Collection 收款",ROUND(N('Daily Sale entry '!T47),2),0))</f>
        <v/>
      </c>
    </row>
    <row r="48">
      <c r="A48" t="inlineStr">
        <is>
          <t>Entry 记录</t>
        </is>
      </c>
      <c r="B48" s="5">
        <f>IF('Daily Sale entry '!P48="","",'Daily Sale entry '!O48)</f>
        <v/>
      </c>
      <c r="C48">
        <f>IF('Daily Sale entry '!P48="","",'Daily Sale entry '!P48)</f>
        <v/>
      </c>
      <c r="D48">
        <f>IF(C48="","",IF('Daily Sale entry '!Q48="Credit Sale 赊销",'Daily Sale entry '!S48,0))</f>
        <v/>
      </c>
      <c r="E48">
        <f>IF(C48="","",IF('Daily Sale entry '!Q48="Collection 收款",'Daily Sale entry '!S48,0))</f>
        <v/>
      </c>
      <c r="F48" s="37">
        <f>IF(C48="","",B48+IF(E48&gt;0,0,0.5)+ROW()/10000000)</f>
        <v/>
      </c>
      <c r="G48">
        <f>IF(C48="","",'Daily Sale entry '!Q48&amp;IF('Daily Sale entry '!Q48="Collection 收款"," ("&amp;'Daily Sale entry '!R48&amp;")","")&amp;IF('Daily Sale entry '!U48="",""," - "&amp;'Daily Sale entry '!U48))</f>
        <v/>
      </c>
      <c r="H48">
        <f>IF(C48="","",COUNTIFS($C$2:$C$3001,C48,$F$2:$F$3001,"&lt;"&amp;F48)+1)</f>
        <v/>
      </c>
      <c r="I48">
        <f>IF(C48="","",C48&amp;"|"&amp;H48)</f>
        <v/>
      </c>
      <c r="J48" s="6">
        <f>IF(C48="","",IF(H48=1,SUMIFS('Opening Balance'!$F$4:$F$303,'Opening Balance'!$G$4:$G$303,C48),INDEX($L$2:$L$3001,MATCH(C48&amp;"|"&amp;(H48-1),$I$2:$I$3001,0))))</f>
        <v/>
      </c>
      <c r="K48" s="6">
        <f>IF(C48="","",IF(M48&gt;0,M48,IF(AND(E48&gt;0,ROUND(J48+D48-E48,2)&gt;0,ROUND(J48+D48-E48,2)&lt;'Opening Balance'!$B$14),ROUND(J48+D48-E48,2),0)))</f>
        <v/>
      </c>
      <c r="L48" s="6">
        <f>IF(C48="","",ROUND(J48+D48-E48-K48,2))</f>
        <v/>
      </c>
      <c r="M48" s="6">
        <f>IF(C48="","",IF('Daily Sale entry '!Q48="Collection 收款",ROUND(N('Daily Sale entry '!T48),2),0))</f>
        <v/>
      </c>
    </row>
    <row r="49">
      <c r="A49" t="inlineStr">
        <is>
          <t>Entry 记录</t>
        </is>
      </c>
      <c r="B49" s="5">
        <f>IF('Daily Sale entry '!P49="","",'Daily Sale entry '!O49)</f>
        <v/>
      </c>
      <c r="C49">
        <f>IF('Daily Sale entry '!P49="","",'Daily Sale entry '!P49)</f>
        <v/>
      </c>
      <c r="D49">
        <f>IF(C49="","",IF('Daily Sale entry '!Q49="Credit Sale 赊销",'Daily Sale entry '!S49,0))</f>
        <v/>
      </c>
      <c r="E49">
        <f>IF(C49="","",IF('Daily Sale entry '!Q49="Collection 收款",'Daily Sale entry '!S49,0))</f>
        <v/>
      </c>
      <c r="F49" s="37">
        <f>IF(C49="","",B49+IF(E49&gt;0,0,0.5)+ROW()/10000000)</f>
        <v/>
      </c>
      <c r="G49">
        <f>IF(C49="","",'Daily Sale entry '!Q49&amp;IF('Daily Sale entry '!Q49="Collection 收款"," ("&amp;'Daily Sale entry '!R49&amp;")","")&amp;IF('Daily Sale entry '!U49="",""," - "&amp;'Daily Sale entry '!U49))</f>
        <v/>
      </c>
      <c r="H49">
        <f>IF(C49="","",COUNTIFS($C$2:$C$3001,C49,$F$2:$F$3001,"&lt;"&amp;F49)+1)</f>
        <v/>
      </c>
      <c r="I49">
        <f>IF(C49="","",C49&amp;"|"&amp;H49)</f>
        <v/>
      </c>
      <c r="J49" s="6">
        <f>IF(C49="","",IF(H49=1,SUMIFS('Opening Balance'!$F$4:$F$303,'Opening Balance'!$G$4:$G$303,C49),INDEX($L$2:$L$3001,MATCH(C49&amp;"|"&amp;(H49-1),$I$2:$I$3001,0))))</f>
        <v/>
      </c>
      <c r="K49" s="6">
        <f>IF(C49="","",IF(M49&gt;0,M49,IF(AND(E49&gt;0,ROUND(J49+D49-E49,2)&gt;0,ROUND(J49+D49-E49,2)&lt;'Opening Balance'!$B$14),ROUND(J49+D49-E49,2),0)))</f>
        <v/>
      </c>
      <c r="L49" s="6">
        <f>IF(C49="","",ROUND(J49+D49-E49-K49,2))</f>
        <v/>
      </c>
      <c r="M49" s="6">
        <f>IF(C49="","",IF('Daily Sale entry '!Q49="Collection 收款",ROUND(N('Daily Sale entry '!T49),2),0))</f>
        <v/>
      </c>
    </row>
    <row r="50">
      <c r="A50" t="inlineStr">
        <is>
          <t>Entry 记录</t>
        </is>
      </c>
      <c r="B50" s="5">
        <f>IF('Daily Sale entry '!P50="","",'Daily Sale entry '!O50)</f>
        <v/>
      </c>
      <c r="C50">
        <f>IF('Daily Sale entry '!P50="","",'Daily Sale entry '!P50)</f>
        <v/>
      </c>
      <c r="D50">
        <f>IF(C50="","",IF('Daily Sale entry '!Q50="Credit Sale 赊销",'Daily Sale entry '!S50,0))</f>
        <v/>
      </c>
      <c r="E50">
        <f>IF(C50="","",IF('Daily Sale entry '!Q50="Collection 收款",'Daily Sale entry '!S50,0))</f>
        <v/>
      </c>
      <c r="F50" s="37">
        <f>IF(C50="","",B50+IF(E50&gt;0,0,0.5)+ROW()/10000000)</f>
        <v/>
      </c>
      <c r="G50">
        <f>IF(C50="","",'Daily Sale entry '!Q50&amp;IF('Daily Sale entry '!Q50="Collection 收款"," ("&amp;'Daily Sale entry '!R50&amp;")","")&amp;IF('Daily Sale entry '!U50="",""," - "&amp;'Daily Sale entry '!U50))</f>
        <v/>
      </c>
      <c r="H50">
        <f>IF(C50="","",COUNTIFS($C$2:$C$3001,C50,$F$2:$F$3001,"&lt;"&amp;F50)+1)</f>
        <v/>
      </c>
      <c r="I50">
        <f>IF(C50="","",C50&amp;"|"&amp;H50)</f>
        <v/>
      </c>
      <c r="J50" s="6">
        <f>IF(C50="","",IF(H50=1,SUMIFS('Opening Balance'!$F$4:$F$303,'Opening Balance'!$G$4:$G$303,C50),INDEX($L$2:$L$3001,MATCH(C50&amp;"|"&amp;(H50-1),$I$2:$I$3001,0))))</f>
        <v/>
      </c>
      <c r="K50" s="6">
        <f>IF(C50="","",IF(M50&gt;0,M50,IF(AND(E50&gt;0,ROUND(J50+D50-E50,2)&gt;0,ROUND(J50+D50-E50,2)&lt;'Opening Balance'!$B$14),ROUND(J50+D50-E50,2),0)))</f>
        <v/>
      </c>
      <c r="L50" s="6">
        <f>IF(C50="","",ROUND(J50+D50-E50-K50,2))</f>
        <v/>
      </c>
      <c r="M50" s="6">
        <f>IF(C50="","",IF('Daily Sale entry '!Q50="Collection 收款",ROUND(N('Daily Sale entry '!T50),2),0))</f>
        <v/>
      </c>
    </row>
    <row r="51">
      <c r="A51" t="inlineStr">
        <is>
          <t>Entry 记录</t>
        </is>
      </c>
      <c r="B51" s="5">
        <f>IF('Daily Sale entry '!P51="","",'Daily Sale entry '!O51)</f>
        <v/>
      </c>
      <c r="C51">
        <f>IF('Daily Sale entry '!P51="","",'Daily Sale entry '!P51)</f>
        <v/>
      </c>
      <c r="D51">
        <f>IF(C51="","",IF('Daily Sale entry '!Q51="Credit Sale 赊销",'Daily Sale entry '!S51,0))</f>
        <v/>
      </c>
      <c r="E51">
        <f>IF(C51="","",IF('Daily Sale entry '!Q51="Collection 收款",'Daily Sale entry '!S51,0))</f>
        <v/>
      </c>
      <c r="F51" s="37">
        <f>IF(C51="","",B51+IF(E51&gt;0,0,0.5)+ROW()/10000000)</f>
        <v/>
      </c>
      <c r="G51">
        <f>IF(C51="","",'Daily Sale entry '!Q51&amp;IF('Daily Sale entry '!Q51="Collection 收款"," ("&amp;'Daily Sale entry '!R51&amp;")","")&amp;IF('Daily Sale entry '!U51="",""," - "&amp;'Daily Sale entry '!U51))</f>
        <v/>
      </c>
      <c r="H51">
        <f>IF(C51="","",COUNTIFS($C$2:$C$3001,C51,$F$2:$F$3001,"&lt;"&amp;F51)+1)</f>
        <v/>
      </c>
      <c r="I51">
        <f>IF(C51="","",C51&amp;"|"&amp;H51)</f>
        <v/>
      </c>
      <c r="J51" s="6">
        <f>IF(C51="","",IF(H51=1,SUMIFS('Opening Balance'!$F$4:$F$303,'Opening Balance'!$G$4:$G$303,C51),INDEX($L$2:$L$3001,MATCH(C51&amp;"|"&amp;(H51-1),$I$2:$I$3001,0))))</f>
        <v/>
      </c>
      <c r="K51" s="6">
        <f>IF(C51="","",IF(M51&gt;0,M51,IF(AND(E51&gt;0,ROUND(J51+D51-E51,2)&gt;0,ROUND(J51+D51-E51,2)&lt;'Opening Balance'!$B$14),ROUND(J51+D51-E51,2),0)))</f>
        <v/>
      </c>
      <c r="L51" s="6">
        <f>IF(C51="","",ROUND(J51+D51-E51-K51,2))</f>
        <v/>
      </c>
      <c r="M51" s="6">
        <f>IF(C51="","",IF('Daily Sale entry '!Q51="Collection 收款",ROUND(N('Daily Sale entry '!T51),2),0))</f>
        <v/>
      </c>
    </row>
    <row r="52">
      <c r="A52" t="inlineStr">
        <is>
          <t>Entry 记录</t>
        </is>
      </c>
      <c r="B52" s="5">
        <f>IF('Daily Sale entry '!P52="","",'Daily Sale entry '!O52)</f>
        <v/>
      </c>
      <c r="C52">
        <f>IF('Daily Sale entry '!P52="","",'Daily Sale entry '!P52)</f>
        <v/>
      </c>
      <c r="D52">
        <f>IF(C52="","",IF('Daily Sale entry '!Q52="Credit Sale 赊销",'Daily Sale entry '!S52,0))</f>
        <v/>
      </c>
      <c r="E52">
        <f>IF(C52="","",IF('Daily Sale entry '!Q52="Collection 收款",'Daily Sale entry '!S52,0))</f>
        <v/>
      </c>
      <c r="F52" s="37">
        <f>IF(C52="","",B52+IF(E52&gt;0,0,0.5)+ROW()/10000000)</f>
        <v/>
      </c>
      <c r="G52">
        <f>IF(C52="","",'Daily Sale entry '!Q52&amp;IF('Daily Sale entry '!Q52="Collection 收款"," ("&amp;'Daily Sale entry '!R52&amp;")","")&amp;IF('Daily Sale entry '!U52="",""," - "&amp;'Daily Sale entry '!U52))</f>
        <v/>
      </c>
      <c r="H52">
        <f>IF(C52="","",COUNTIFS($C$2:$C$3001,C52,$F$2:$F$3001,"&lt;"&amp;F52)+1)</f>
        <v/>
      </c>
      <c r="I52">
        <f>IF(C52="","",C52&amp;"|"&amp;H52)</f>
        <v/>
      </c>
      <c r="J52" s="6">
        <f>IF(C52="","",IF(H52=1,SUMIFS('Opening Balance'!$F$4:$F$303,'Opening Balance'!$G$4:$G$303,C52),INDEX($L$2:$L$3001,MATCH(C52&amp;"|"&amp;(H52-1),$I$2:$I$3001,0))))</f>
        <v/>
      </c>
      <c r="K52" s="6">
        <f>IF(C52="","",IF(M52&gt;0,M52,IF(AND(E52&gt;0,ROUND(J52+D52-E52,2)&gt;0,ROUND(J52+D52-E52,2)&lt;'Opening Balance'!$B$14),ROUND(J52+D52-E52,2),0)))</f>
        <v/>
      </c>
      <c r="L52" s="6">
        <f>IF(C52="","",ROUND(J52+D52-E52-K52,2))</f>
        <v/>
      </c>
      <c r="M52" s="6">
        <f>IF(C52="","",IF('Daily Sale entry '!Q52="Collection 收款",ROUND(N('Daily Sale entry '!T52),2),0))</f>
        <v/>
      </c>
    </row>
    <row r="53">
      <c r="A53" t="inlineStr">
        <is>
          <t>Entry 记录</t>
        </is>
      </c>
      <c r="B53" s="5">
        <f>IF('Daily Sale entry '!P53="","",'Daily Sale entry '!O53)</f>
        <v/>
      </c>
      <c r="C53">
        <f>IF('Daily Sale entry '!P53="","",'Daily Sale entry '!P53)</f>
        <v/>
      </c>
      <c r="D53">
        <f>IF(C53="","",IF('Daily Sale entry '!Q53="Credit Sale 赊销",'Daily Sale entry '!S53,0))</f>
        <v/>
      </c>
      <c r="E53">
        <f>IF(C53="","",IF('Daily Sale entry '!Q53="Collection 收款",'Daily Sale entry '!S53,0))</f>
        <v/>
      </c>
      <c r="F53" s="37">
        <f>IF(C53="","",B53+IF(E53&gt;0,0,0.5)+ROW()/10000000)</f>
        <v/>
      </c>
      <c r="G53">
        <f>IF(C53="","",'Daily Sale entry '!Q53&amp;IF('Daily Sale entry '!Q53="Collection 收款"," ("&amp;'Daily Sale entry '!R53&amp;")","")&amp;IF('Daily Sale entry '!U53="",""," - "&amp;'Daily Sale entry '!U53))</f>
        <v/>
      </c>
      <c r="H53">
        <f>IF(C53="","",COUNTIFS($C$2:$C$3001,C53,$F$2:$F$3001,"&lt;"&amp;F53)+1)</f>
        <v/>
      </c>
      <c r="I53">
        <f>IF(C53="","",C53&amp;"|"&amp;H53)</f>
        <v/>
      </c>
      <c r="J53" s="6">
        <f>IF(C53="","",IF(H53=1,SUMIFS('Opening Balance'!$F$4:$F$303,'Opening Balance'!$G$4:$G$303,C53),INDEX($L$2:$L$3001,MATCH(C53&amp;"|"&amp;(H53-1),$I$2:$I$3001,0))))</f>
        <v/>
      </c>
      <c r="K53" s="6">
        <f>IF(C53="","",IF(M53&gt;0,M53,IF(AND(E53&gt;0,ROUND(J53+D53-E53,2)&gt;0,ROUND(J53+D53-E53,2)&lt;'Opening Balance'!$B$14),ROUND(J53+D53-E53,2),0)))</f>
        <v/>
      </c>
      <c r="L53" s="6">
        <f>IF(C53="","",ROUND(J53+D53-E53-K53,2))</f>
        <v/>
      </c>
      <c r="M53" s="6">
        <f>IF(C53="","",IF('Daily Sale entry '!Q53="Collection 收款",ROUND(N('Daily Sale entry '!T53),2),0))</f>
        <v/>
      </c>
    </row>
    <row r="54">
      <c r="A54" t="inlineStr">
        <is>
          <t>Entry 记录</t>
        </is>
      </c>
      <c r="B54" s="5">
        <f>IF('Daily Sale entry '!P54="","",'Daily Sale entry '!O54)</f>
        <v/>
      </c>
      <c r="C54">
        <f>IF('Daily Sale entry '!P54="","",'Daily Sale entry '!P54)</f>
        <v/>
      </c>
      <c r="D54">
        <f>IF(C54="","",IF('Daily Sale entry '!Q54="Credit Sale 赊销",'Daily Sale entry '!S54,0))</f>
        <v/>
      </c>
      <c r="E54">
        <f>IF(C54="","",IF('Daily Sale entry '!Q54="Collection 收款",'Daily Sale entry '!S54,0))</f>
        <v/>
      </c>
      <c r="F54" s="37">
        <f>IF(C54="","",B54+IF(E54&gt;0,0,0.5)+ROW()/10000000)</f>
        <v/>
      </c>
      <c r="G54">
        <f>IF(C54="","",'Daily Sale entry '!Q54&amp;IF('Daily Sale entry '!Q54="Collection 收款"," ("&amp;'Daily Sale entry '!R54&amp;")","")&amp;IF('Daily Sale entry '!U54="",""," - "&amp;'Daily Sale entry '!U54))</f>
        <v/>
      </c>
      <c r="H54">
        <f>IF(C54="","",COUNTIFS($C$2:$C$3001,C54,$F$2:$F$3001,"&lt;"&amp;F54)+1)</f>
        <v/>
      </c>
      <c r="I54">
        <f>IF(C54="","",C54&amp;"|"&amp;H54)</f>
        <v/>
      </c>
      <c r="J54" s="6">
        <f>IF(C54="","",IF(H54=1,SUMIFS('Opening Balance'!$F$4:$F$303,'Opening Balance'!$G$4:$G$303,C54),INDEX($L$2:$L$3001,MATCH(C54&amp;"|"&amp;(H54-1),$I$2:$I$3001,0))))</f>
        <v/>
      </c>
      <c r="K54" s="6">
        <f>IF(C54="","",IF(M54&gt;0,M54,IF(AND(E54&gt;0,ROUND(J54+D54-E54,2)&gt;0,ROUND(J54+D54-E54,2)&lt;'Opening Balance'!$B$14),ROUND(J54+D54-E54,2),0)))</f>
        <v/>
      </c>
      <c r="L54" s="6">
        <f>IF(C54="","",ROUND(J54+D54-E54-K54,2))</f>
        <v/>
      </c>
      <c r="M54" s="6">
        <f>IF(C54="","",IF('Daily Sale entry '!Q54="Collection 收款",ROUND(N('Daily Sale entry '!T54),2),0))</f>
        <v/>
      </c>
    </row>
    <row r="55">
      <c r="A55" t="inlineStr">
        <is>
          <t>Entry 记录</t>
        </is>
      </c>
      <c r="B55" s="5">
        <f>IF('Daily Sale entry '!P55="","",'Daily Sale entry '!O55)</f>
        <v/>
      </c>
      <c r="C55">
        <f>IF('Daily Sale entry '!P55="","",'Daily Sale entry '!P55)</f>
        <v/>
      </c>
      <c r="D55">
        <f>IF(C55="","",IF('Daily Sale entry '!Q55="Credit Sale 赊销",'Daily Sale entry '!S55,0))</f>
        <v/>
      </c>
      <c r="E55">
        <f>IF(C55="","",IF('Daily Sale entry '!Q55="Collection 收款",'Daily Sale entry '!S55,0))</f>
        <v/>
      </c>
      <c r="F55" s="37">
        <f>IF(C55="","",B55+IF(E55&gt;0,0,0.5)+ROW()/10000000)</f>
        <v/>
      </c>
      <c r="G55">
        <f>IF(C55="","",'Daily Sale entry '!Q55&amp;IF('Daily Sale entry '!Q55="Collection 收款"," ("&amp;'Daily Sale entry '!R55&amp;")","")&amp;IF('Daily Sale entry '!U55="",""," - "&amp;'Daily Sale entry '!U55))</f>
        <v/>
      </c>
      <c r="H55">
        <f>IF(C55="","",COUNTIFS($C$2:$C$3001,C55,$F$2:$F$3001,"&lt;"&amp;F55)+1)</f>
        <v/>
      </c>
      <c r="I55">
        <f>IF(C55="","",C55&amp;"|"&amp;H55)</f>
        <v/>
      </c>
      <c r="J55" s="6">
        <f>IF(C55="","",IF(H55=1,SUMIFS('Opening Balance'!$F$4:$F$303,'Opening Balance'!$G$4:$G$303,C55),INDEX($L$2:$L$3001,MATCH(C55&amp;"|"&amp;(H55-1),$I$2:$I$3001,0))))</f>
        <v/>
      </c>
      <c r="K55" s="6">
        <f>IF(C55="","",IF(M55&gt;0,M55,IF(AND(E55&gt;0,ROUND(J55+D55-E55,2)&gt;0,ROUND(J55+D55-E55,2)&lt;'Opening Balance'!$B$14),ROUND(J55+D55-E55,2),0)))</f>
        <v/>
      </c>
      <c r="L55" s="6">
        <f>IF(C55="","",ROUND(J55+D55-E55-K55,2))</f>
        <v/>
      </c>
      <c r="M55" s="6">
        <f>IF(C55="","",IF('Daily Sale entry '!Q55="Collection 收款",ROUND(N('Daily Sale entry '!T55),2),0))</f>
        <v/>
      </c>
    </row>
    <row r="56">
      <c r="A56" t="inlineStr">
        <is>
          <t>Entry 记录</t>
        </is>
      </c>
      <c r="B56" s="5">
        <f>IF('Daily Sale entry '!P56="","",'Daily Sale entry '!O56)</f>
        <v/>
      </c>
      <c r="C56">
        <f>IF('Daily Sale entry '!P56="","",'Daily Sale entry '!P56)</f>
        <v/>
      </c>
      <c r="D56">
        <f>IF(C56="","",IF('Daily Sale entry '!Q56="Credit Sale 赊销",'Daily Sale entry '!S56,0))</f>
        <v/>
      </c>
      <c r="E56">
        <f>IF(C56="","",IF('Daily Sale entry '!Q56="Collection 收款",'Daily Sale entry '!S56,0))</f>
        <v/>
      </c>
      <c r="F56" s="37">
        <f>IF(C56="","",B56+IF(E56&gt;0,0,0.5)+ROW()/10000000)</f>
        <v/>
      </c>
      <c r="G56">
        <f>IF(C56="","",'Daily Sale entry '!Q56&amp;IF('Daily Sale entry '!Q56="Collection 收款"," ("&amp;'Daily Sale entry '!R56&amp;")","")&amp;IF('Daily Sale entry '!U56="",""," - "&amp;'Daily Sale entry '!U56))</f>
        <v/>
      </c>
      <c r="H56">
        <f>IF(C56="","",COUNTIFS($C$2:$C$3001,C56,$F$2:$F$3001,"&lt;"&amp;F56)+1)</f>
        <v/>
      </c>
      <c r="I56">
        <f>IF(C56="","",C56&amp;"|"&amp;H56)</f>
        <v/>
      </c>
      <c r="J56" s="6">
        <f>IF(C56="","",IF(H56=1,SUMIFS('Opening Balance'!$F$4:$F$303,'Opening Balance'!$G$4:$G$303,C56),INDEX($L$2:$L$3001,MATCH(C56&amp;"|"&amp;(H56-1),$I$2:$I$3001,0))))</f>
        <v/>
      </c>
      <c r="K56" s="6">
        <f>IF(C56="","",IF(M56&gt;0,M56,IF(AND(E56&gt;0,ROUND(J56+D56-E56,2)&gt;0,ROUND(J56+D56-E56,2)&lt;'Opening Balance'!$B$14),ROUND(J56+D56-E56,2),0)))</f>
        <v/>
      </c>
      <c r="L56" s="6">
        <f>IF(C56="","",ROUND(J56+D56-E56-K56,2))</f>
        <v/>
      </c>
      <c r="M56" s="6">
        <f>IF(C56="","",IF('Daily Sale entry '!Q56="Collection 收款",ROUND(N('Daily Sale entry '!T56),2),0))</f>
        <v/>
      </c>
    </row>
    <row r="57">
      <c r="A57" t="inlineStr">
        <is>
          <t>Entry 记录</t>
        </is>
      </c>
      <c r="B57" s="5">
        <f>IF('Daily Sale entry '!P57="","",'Daily Sale entry '!O57)</f>
        <v/>
      </c>
      <c r="C57">
        <f>IF('Daily Sale entry '!P57="","",'Daily Sale entry '!P57)</f>
        <v/>
      </c>
      <c r="D57">
        <f>IF(C57="","",IF('Daily Sale entry '!Q57="Credit Sale 赊销",'Daily Sale entry '!S57,0))</f>
        <v/>
      </c>
      <c r="E57">
        <f>IF(C57="","",IF('Daily Sale entry '!Q57="Collection 收款",'Daily Sale entry '!S57,0))</f>
        <v/>
      </c>
      <c r="F57" s="37">
        <f>IF(C57="","",B57+IF(E57&gt;0,0,0.5)+ROW()/10000000)</f>
        <v/>
      </c>
      <c r="G57">
        <f>IF(C57="","",'Daily Sale entry '!Q57&amp;IF('Daily Sale entry '!Q57="Collection 收款"," ("&amp;'Daily Sale entry '!R57&amp;")","")&amp;IF('Daily Sale entry '!U57="",""," - "&amp;'Daily Sale entry '!U57))</f>
        <v/>
      </c>
      <c r="H57">
        <f>IF(C57="","",COUNTIFS($C$2:$C$3001,C57,$F$2:$F$3001,"&lt;"&amp;F57)+1)</f>
        <v/>
      </c>
      <c r="I57">
        <f>IF(C57="","",C57&amp;"|"&amp;H57)</f>
        <v/>
      </c>
      <c r="J57" s="6">
        <f>IF(C57="","",IF(H57=1,SUMIFS('Opening Balance'!$F$4:$F$303,'Opening Balance'!$G$4:$G$303,C57),INDEX($L$2:$L$3001,MATCH(C57&amp;"|"&amp;(H57-1),$I$2:$I$3001,0))))</f>
        <v/>
      </c>
      <c r="K57" s="6">
        <f>IF(C57="","",IF(M57&gt;0,M57,IF(AND(E57&gt;0,ROUND(J57+D57-E57,2)&gt;0,ROUND(J57+D57-E57,2)&lt;'Opening Balance'!$B$14),ROUND(J57+D57-E57,2),0)))</f>
        <v/>
      </c>
      <c r="L57" s="6">
        <f>IF(C57="","",ROUND(J57+D57-E57-K57,2))</f>
        <v/>
      </c>
      <c r="M57" s="6">
        <f>IF(C57="","",IF('Daily Sale entry '!Q57="Collection 收款",ROUND(N('Daily Sale entry '!T57),2),0))</f>
        <v/>
      </c>
    </row>
    <row r="58">
      <c r="A58" t="inlineStr">
        <is>
          <t>Entry 记录</t>
        </is>
      </c>
      <c r="B58" s="5">
        <f>IF('Daily Sale entry '!P58="","",'Daily Sale entry '!O58)</f>
        <v/>
      </c>
      <c r="C58">
        <f>IF('Daily Sale entry '!P58="","",'Daily Sale entry '!P58)</f>
        <v/>
      </c>
      <c r="D58">
        <f>IF(C58="","",IF('Daily Sale entry '!Q58="Credit Sale 赊销",'Daily Sale entry '!S58,0))</f>
        <v/>
      </c>
      <c r="E58">
        <f>IF(C58="","",IF('Daily Sale entry '!Q58="Collection 收款",'Daily Sale entry '!S58,0))</f>
        <v/>
      </c>
      <c r="F58" s="37">
        <f>IF(C58="","",B58+IF(E58&gt;0,0,0.5)+ROW()/10000000)</f>
        <v/>
      </c>
      <c r="G58">
        <f>IF(C58="","",'Daily Sale entry '!Q58&amp;IF('Daily Sale entry '!Q58="Collection 收款"," ("&amp;'Daily Sale entry '!R58&amp;")","")&amp;IF('Daily Sale entry '!U58="",""," - "&amp;'Daily Sale entry '!U58))</f>
        <v/>
      </c>
      <c r="H58">
        <f>IF(C58="","",COUNTIFS($C$2:$C$3001,C58,$F$2:$F$3001,"&lt;"&amp;F58)+1)</f>
        <v/>
      </c>
      <c r="I58">
        <f>IF(C58="","",C58&amp;"|"&amp;H58)</f>
        <v/>
      </c>
      <c r="J58" s="6">
        <f>IF(C58="","",IF(H58=1,SUMIFS('Opening Balance'!$F$4:$F$303,'Opening Balance'!$G$4:$G$303,C58),INDEX($L$2:$L$3001,MATCH(C58&amp;"|"&amp;(H58-1),$I$2:$I$3001,0))))</f>
        <v/>
      </c>
      <c r="K58" s="6">
        <f>IF(C58="","",IF(M58&gt;0,M58,IF(AND(E58&gt;0,ROUND(J58+D58-E58,2)&gt;0,ROUND(J58+D58-E58,2)&lt;'Opening Balance'!$B$14),ROUND(J58+D58-E58,2),0)))</f>
        <v/>
      </c>
      <c r="L58" s="6">
        <f>IF(C58="","",ROUND(J58+D58-E58-K58,2))</f>
        <v/>
      </c>
      <c r="M58" s="6">
        <f>IF(C58="","",IF('Daily Sale entry '!Q58="Collection 收款",ROUND(N('Daily Sale entry '!T58),2),0))</f>
        <v/>
      </c>
    </row>
    <row r="59">
      <c r="A59" t="inlineStr">
        <is>
          <t>Entry 记录</t>
        </is>
      </c>
      <c r="B59" s="5">
        <f>IF('Daily Sale entry '!P59="","",'Daily Sale entry '!O59)</f>
        <v/>
      </c>
      <c r="C59">
        <f>IF('Daily Sale entry '!P59="","",'Daily Sale entry '!P59)</f>
        <v/>
      </c>
      <c r="D59">
        <f>IF(C59="","",IF('Daily Sale entry '!Q59="Credit Sale 赊销",'Daily Sale entry '!S59,0))</f>
        <v/>
      </c>
      <c r="E59">
        <f>IF(C59="","",IF('Daily Sale entry '!Q59="Collection 收款",'Daily Sale entry '!S59,0))</f>
        <v/>
      </c>
      <c r="F59" s="37">
        <f>IF(C59="","",B59+IF(E59&gt;0,0,0.5)+ROW()/10000000)</f>
        <v/>
      </c>
      <c r="G59">
        <f>IF(C59="","",'Daily Sale entry '!Q59&amp;IF('Daily Sale entry '!Q59="Collection 收款"," ("&amp;'Daily Sale entry '!R59&amp;")","")&amp;IF('Daily Sale entry '!U59="",""," - "&amp;'Daily Sale entry '!U59))</f>
        <v/>
      </c>
      <c r="H59">
        <f>IF(C59="","",COUNTIFS($C$2:$C$3001,C59,$F$2:$F$3001,"&lt;"&amp;F59)+1)</f>
        <v/>
      </c>
      <c r="I59">
        <f>IF(C59="","",C59&amp;"|"&amp;H59)</f>
        <v/>
      </c>
      <c r="J59" s="6">
        <f>IF(C59="","",IF(H59=1,SUMIFS('Opening Balance'!$F$4:$F$303,'Opening Balance'!$G$4:$G$303,C59),INDEX($L$2:$L$3001,MATCH(C59&amp;"|"&amp;(H59-1),$I$2:$I$3001,0))))</f>
        <v/>
      </c>
      <c r="K59" s="6">
        <f>IF(C59="","",IF(M59&gt;0,M59,IF(AND(E59&gt;0,ROUND(J59+D59-E59,2)&gt;0,ROUND(J59+D59-E59,2)&lt;'Opening Balance'!$B$14),ROUND(J59+D59-E59,2),0)))</f>
        <v/>
      </c>
      <c r="L59" s="6">
        <f>IF(C59="","",ROUND(J59+D59-E59-K59,2))</f>
        <v/>
      </c>
      <c r="M59" s="6">
        <f>IF(C59="","",IF('Daily Sale entry '!Q59="Collection 收款",ROUND(N('Daily Sale entry '!T59),2),0))</f>
        <v/>
      </c>
    </row>
    <row r="60">
      <c r="A60" t="inlineStr">
        <is>
          <t>Entry 记录</t>
        </is>
      </c>
      <c r="B60" s="5">
        <f>IF('Daily Sale entry '!P60="","",'Daily Sale entry '!O60)</f>
        <v/>
      </c>
      <c r="C60">
        <f>IF('Daily Sale entry '!P60="","",'Daily Sale entry '!P60)</f>
        <v/>
      </c>
      <c r="D60">
        <f>IF(C60="","",IF('Daily Sale entry '!Q60="Credit Sale 赊销",'Daily Sale entry '!S60,0))</f>
        <v/>
      </c>
      <c r="E60">
        <f>IF(C60="","",IF('Daily Sale entry '!Q60="Collection 收款",'Daily Sale entry '!S60,0))</f>
        <v/>
      </c>
      <c r="F60" s="37">
        <f>IF(C60="","",B60+IF(E60&gt;0,0,0.5)+ROW()/10000000)</f>
        <v/>
      </c>
      <c r="G60">
        <f>IF(C60="","",'Daily Sale entry '!Q60&amp;IF('Daily Sale entry '!Q60="Collection 收款"," ("&amp;'Daily Sale entry '!R60&amp;")","")&amp;IF('Daily Sale entry '!U60="",""," - "&amp;'Daily Sale entry '!U60))</f>
        <v/>
      </c>
      <c r="H60">
        <f>IF(C60="","",COUNTIFS($C$2:$C$3001,C60,$F$2:$F$3001,"&lt;"&amp;F60)+1)</f>
        <v/>
      </c>
      <c r="I60">
        <f>IF(C60="","",C60&amp;"|"&amp;H60)</f>
        <v/>
      </c>
      <c r="J60" s="6">
        <f>IF(C60="","",IF(H60=1,SUMIFS('Opening Balance'!$F$4:$F$303,'Opening Balance'!$G$4:$G$303,C60),INDEX($L$2:$L$3001,MATCH(C60&amp;"|"&amp;(H60-1),$I$2:$I$3001,0))))</f>
        <v/>
      </c>
      <c r="K60" s="6">
        <f>IF(C60="","",IF(M60&gt;0,M60,IF(AND(E60&gt;0,ROUND(J60+D60-E60,2)&gt;0,ROUND(J60+D60-E60,2)&lt;'Opening Balance'!$B$14),ROUND(J60+D60-E60,2),0)))</f>
        <v/>
      </c>
      <c r="L60" s="6">
        <f>IF(C60="","",ROUND(J60+D60-E60-K60,2))</f>
        <v/>
      </c>
      <c r="M60" s="6">
        <f>IF(C60="","",IF('Daily Sale entry '!Q60="Collection 收款",ROUND(N('Daily Sale entry '!T60),2),0))</f>
        <v/>
      </c>
    </row>
    <row r="61">
      <c r="A61" t="inlineStr">
        <is>
          <t>Entry 记录</t>
        </is>
      </c>
      <c r="B61" s="5">
        <f>IF('Daily Sale entry '!P61="","",'Daily Sale entry '!O61)</f>
        <v/>
      </c>
      <c r="C61">
        <f>IF('Daily Sale entry '!P61="","",'Daily Sale entry '!P61)</f>
        <v/>
      </c>
      <c r="D61">
        <f>IF(C61="","",IF('Daily Sale entry '!Q61="Credit Sale 赊销",'Daily Sale entry '!S61,0))</f>
        <v/>
      </c>
      <c r="E61">
        <f>IF(C61="","",IF('Daily Sale entry '!Q61="Collection 收款",'Daily Sale entry '!S61,0))</f>
        <v/>
      </c>
      <c r="F61" s="37">
        <f>IF(C61="","",B61+IF(E61&gt;0,0,0.5)+ROW()/10000000)</f>
        <v/>
      </c>
      <c r="G61">
        <f>IF(C61="","",'Daily Sale entry '!Q61&amp;IF('Daily Sale entry '!Q61="Collection 收款"," ("&amp;'Daily Sale entry '!R61&amp;")","")&amp;IF('Daily Sale entry '!U61="",""," - "&amp;'Daily Sale entry '!U61))</f>
        <v/>
      </c>
      <c r="H61">
        <f>IF(C61="","",COUNTIFS($C$2:$C$3001,C61,$F$2:$F$3001,"&lt;"&amp;F61)+1)</f>
        <v/>
      </c>
      <c r="I61">
        <f>IF(C61="","",C61&amp;"|"&amp;H61)</f>
        <v/>
      </c>
      <c r="J61" s="6">
        <f>IF(C61="","",IF(H61=1,SUMIFS('Opening Balance'!$F$4:$F$303,'Opening Balance'!$G$4:$G$303,C61),INDEX($L$2:$L$3001,MATCH(C61&amp;"|"&amp;(H61-1),$I$2:$I$3001,0))))</f>
        <v/>
      </c>
      <c r="K61" s="6">
        <f>IF(C61="","",IF(M61&gt;0,M61,IF(AND(E61&gt;0,ROUND(J61+D61-E61,2)&gt;0,ROUND(J61+D61-E61,2)&lt;'Opening Balance'!$B$14),ROUND(J61+D61-E61,2),0)))</f>
        <v/>
      </c>
      <c r="L61" s="6">
        <f>IF(C61="","",ROUND(J61+D61-E61-K61,2))</f>
        <v/>
      </c>
      <c r="M61" s="6">
        <f>IF(C61="","",IF('Daily Sale entry '!Q61="Collection 收款",ROUND(N('Daily Sale entry '!T61),2),0))</f>
        <v/>
      </c>
    </row>
    <row r="62">
      <c r="A62" t="inlineStr">
        <is>
          <t>Entry 记录</t>
        </is>
      </c>
      <c r="B62" s="5">
        <f>IF('Daily Sale entry '!P62="","",'Daily Sale entry '!O62)</f>
        <v/>
      </c>
      <c r="C62">
        <f>IF('Daily Sale entry '!P62="","",'Daily Sale entry '!P62)</f>
        <v/>
      </c>
      <c r="D62">
        <f>IF(C62="","",IF('Daily Sale entry '!Q62="Credit Sale 赊销",'Daily Sale entry '!S62,0))</f>
        <v/>
      </c>
      <c r="E62">
        <f>IF(C62="","",IF('Daily Sale entry '!Q62="Collection 收款",'Daily Sale entry '!S62,0))</f>
        <v/>
      </c>
      <c r="F62" s="37">
        <f>IF(C62="","",B62+IF(E62&gt;0,0,0.5)+ROW()/10000000)</f>
        <v/>
      </c>
      <c r="G62">
        <f>IF(C62="","",'Daily Sale entry '!Q62&amp;IF('Daily Sale entry '!Q62="Collection 收款"," ("&amp;'Daily Sale entry '!R62&amp;")","")&amp;IF('Daily Sale entry '!U62="",""," - "&amp;'Daily Sale entry '!U62))</f>
        <v/>
      </c>
      <c r="H62">
        <f>IF(C62="","",COUNTIFS($C$2:$C$3001,C62,$F$2:$F$3001,"&lt;"&amp;F62)+1)</f>
        <v/>
      </c>
      <c r="I62">
        <f>IF(C62="","",C62&amp;"|"&amp;H62)</f>
        <v/>
      </c>
      <c r="J62" s="6">
        <f>IF(C62="","",IF(H62=1,SUMIFS('Opening Balance'!$F$4:$F$303,'Opening Balance'!$G$4:$G$303,C62),INDEX($L$2:$L$3001,MATCH(C62&amp;"|"&amp;(H62-1),$I$2:$I$3001,0))))</f>
        <v/>
      </c>
      <c r="K62" s="6">
        <f>IF(C62="","",IF(M62&gt;0,M62,IF(AND(E62&gt;0,ROUND(J62+D62-E62,2)&gt;0,ROUND(J62+D62-E62,2)&lt;'Opening Balance'!$B$14),ROUND(J62+D62-E62,2),0)))</f>
        <v/>
      </c>
      <c r="L62" s="6">
        <f>IF(C62="","",ROUND(J62+D62-E62-K62,2))</f>
        <v/>
      </c>
      <c r="M62" s="6">
        <f>IF(C62="","",IF('Daily Sale entry '!Q62="Collection 收款",ROUND(N('Daily Sale entry '!T62),2),0))</f>
        <v/>
      </c>
    </row>
    <row r="63">
      <c r="A63" t="inlineStr">
        <is>
          <t>Entry 记录</t>
        </is>
      </c>
      <c r="B63" s="5">
        <f>IF('Daily Sale entry '!P63="","",'Daily Sale entry '!O63)</f>
        <v/>
      </c>
      <c r="C63">
        <f>IF('Daily Sale entry '!P63="","",'Daily Sale entry '!P63)</f>
        <v/>
      </c>
      <c r="D63">
        <f>IF(C63="","",IF('Daily Sale entry '!Q63="Credit Sale 赊销",'Daily Sale entry '!S63,0))</f>
        <v/>
      </c>
      <c r="E63">
        <f>IF(C63="","",IF('Daily Sale entry '!Q63="Collection 收款",'Daily Sale entry '!S63,0))</f>
        <v/>
      </c>
      <c r="F63" s="37">
        <f>IF(C63="","",B63+IF(E63&gt;0,0,0.5)+ROW()/10000000)</f>
        <v/>
      </c>
      <c r="G63">
        <f>IF(C63="","",'Daily Sale entry '!Q63&amp;IF('Daily Sale entry '!Q63="Collection 收款"," ("&amp;'Daily Sale entry '!R63&amp;")","")&amp;IF('Daily Sale entry '!U63="",""," - "&amp;'Daily Sale entry '!U63))</f>
        <v/>
      </c>
      <c r="H63">
        <f>IF(C63="","",COUNTIFS($C$2:$C$3001,C63,$F$2:$F$3001,"&lt;"&amp;F63)+1)</f>
        <v/>
      </c>
      <c r="I63">
        <f>IF(C63="","",C63&amp;"|"&amp;H63)</f>
        <v/>
      </c>
      <c r="J63" s="6">
        <f>IF(C63="","",IF(H63=1,SUMIFS('Opening Balance'!$F$4:$F$303,'Opening Balance'!$G$4:$G$303,C63),INDEX($L$2:$L$3001,MATCH(C63&amp;"|"&amp;(H63-1),$I$2:$I$3001,0))))</f>
        <v/>
      </c>
      <c r="K63" s="6">
        <f>IF(C63="","",IF(M63&gt;0,M63,IF(AND(E63&gt;0,ROUND(J63+D63-E63,2)&gt;0,ROUND(J63+D63-E63,2)&lt;'Opening Balance'!$B$14),ROUND(J63+D63-E63,2),0)))</f>
        <v/>
      </c>
      <c r="L63" s="6">
        <f>IF(C63="","",ROUND(J63+D63-E63-K63,2))</f>
        <v/>
      </c>
      <c r="M63" s="6">
        <f>IF(C63="","",IF('Daily Sale entry '!Q63="Collection 收款",ROUND(N('Daily Sale entry '!T63),2),0))</f>
        <v/>
      </c>
    </row>
    <row r="64">
      <c r="A64" t="inlineStr">
        <is>
          <t>Entry 记录</t>
        </is>
      </c>
      <c r="B64" s="5">
        <f>IF('Daily Sale entry '!P64="","",'Daily Sale entry '!O64)</f>
        <v/>
      </c>
      <c r="C64">
        <f>IF('Daily Sale entry '!P64="","",'Daily Sale entry '!P64)</f>
        <v/>
      </c>
      <c r="D64">
        <f>IF(C64="","",IF('Daily Sale entry '!Q64="Credit Sale 赊销",'Daily Sale entry '!S64,0))</f>
        <v/>
      </c>
      <c r="E64">
        <f>IF(C64="","",IF('Daily Sale entry '!Q64="Collection 收款",'Daily Sale entry '!S64,0))</f>
        <v/>
      </c>
      <c r="F64" s="37">
        <f>IF(C64="","",B64+IF(E64&gt;0,0,0.5)+ROW()/10000000)</f>
        <v/>
      </c>
      <c r="G64">
        <f>IF(C64="","",'Daily Sale entry '!Q64&amp;IF('Daily Sale entry '!Q64="Collection 收款"," ("&amp;'Daily Sale entry '!R64&amp;")","")&amp;IF('Daily Sale entry '!U64="",""," - "&amp;'Daily Sale entry '!U64))</f>
        <v/>
      </c>
      <c r="H64">
        <f>IF(C64="","",COUNTIFS($C$2:$C$3001,C64,$F$2:$F$3001,"&lt;"&amp;F64)+1)</f>
        <v/>
      </c>
      <c r="I64">
        <f>IF(C64="","",C64&amp;"|"&amp;H64)</f>
        <v/>
      </c>
      <c r="J64" s="6">
        <f>IF(C64="","",IF(H64=1,SUMIFS('Opening Balance'!$F$4:$F$303,'Opening Balance'!$G$4:$G$303,C64),INDEX($L$2:$L$3001,MATCH(C64&amp;"|"&amp;(H64-1),$I$2:$I$3001,0))))</f>
        <v/>
      </c>
      <c r="K64" s="6">
        <f>IF(C64="","",IF(M64&gt;0,M64,IF(AND(E64&gt;0,ROUND(J64+D64-E64,2)&gt;0,ROUND(J64+D64-E64,2)&lt;'Opening Balance'!$B$14),ROUND(J64+D64-E64,2),0)))</f>
        <v/>
      </c>
      <c r="L64" s="6">
        <f>IF(C64="","",ROUND(J64+D64-E64-K64,2))</f>
        <v/>
      </c>
      <c r="M64" s="6">
        <f>IF(C64="","",IF('Daily Sale entry '!Q64="Collection 收款",ROUND(N('Daily Sale entry '!T64),2),0))</f>
        <v/>
      </c>
    </row>
    <row r="65">
      <c r="A65" t="inlineStr">
        <is>
          <t>Entry 记录</t>
        </is>
      </c>
      <c r="B65" s="5">
        <f>IF('Daily Sale entry '!P65="","",'Daily Sale entry '!O65)</f>
        <v/>
      </c>
      <c r="C65">
        <f>IF('Daily Sale entry '!P65="","",'Daily Sale entry '!P65)</f>
        <v/>
      </c>
      <c r="D65">
        <f>IF(C65="","",IF('Daily Sale entry '!Q65="Credit Sale 赊销",'Daily Sale entry '!S65,0))</f>
        <v/>
      </c>
      <c r="E65">
        <f>IF(C65="","",IF('Daily Sale entry '!Q65="Collection 收款",'Daily Sale entry '!S65,0))</f>
        <v/>
      </c>
      <c r="F65" s="37">
        <f>IF(C65="","",B65+IF(E65&gt;0,0,0.5)+ROW()/10000000)</f>
        <v/>
      </c>
      <c r="G65">
        <f>IF(C65="","",'Daily Sale entry '!Q65&amp;IF('Daily Sale entry '!Q65="Collection 收款"," ("&amp;'Daily Sale entry '!R65&amp;")","")&amp;IF('Daily Sale entry '!U65="",""," - "&amp;'Daily Sale entry '!U65))</f>
        <v/>
      </c>
      <c r="H65">
        <f>IF(C65="","",COUNTIFS($C$2:$C$3001,C65,$F$2:$F$3001,"&lt;"&amp;F65)+1)</f>
        <v/>
      </c>
      <c r="I65">
        <f>IF(C65="","",C65&amp;"|"&amp;H65)</f>
        <v/>
      </c>
      <c r="J65" s="6">
        <f>IF(C65="","",IF(H65=1,SUMIFS('Opening Balance'!$F$4:$F$303,'Opening Balance'!$G$4:$G$303,C65),INDEX($L$2:$L$3001,MATCH(C65&amp;"|"&amp;(H65-1),$I$2:$I$3001,0))))</f>
        <v/>
      </c>
      <c r="K65" s="6">
        <f>IF(C65="","",IF(M65&gt;0,M65,IF(AND(E65&gt;0,ROUND(J65+D65-E65,2)&gt;0,ROUND(J65+D65-E65,2)&lt;'Opening Balance'!$B$14),ROUND(J65+D65-E65,2),0)))</f>
        <v/>
      </c>
      <c r="L65" s="6">
        <f>IF(C65="","",ROUND(J65+D65-E65-K65,2))</f>
        <v/>
      </c>
      <c r="M65" s="6">
        <f>IF(C65="","",IF('Daily Sale entry '!Q65="Collection 收款",ROUND(N('Daily Sale entry '!T65),2),0))</f>
        <v/>
      </c>
    </row>
    <row r="66">
      <c r="A66" t="inlineStr">
        <is>
          <t>Entry 记录</t>
        </is>
      </c>
      <c r="B66" s="5">
        <f>IF('Daily Sale entry '!P66="","",'Daily Sale entry '!O66)</f>
        <v/>
      </c>
      <c r="C66">
        <f>IF('Daily Sale entry '!P66="","",'Daily Sale entry '!P66)</f>
        <v/>
      </c>
      <c r="D66">
        <f>IF(C66="","",IF('Daily Sale entry '!Q66="Credit Sale 赊销",'Daily Sale entry '!S66,0))</f>
        <v/>
      </c>
      <c r="E66">
        <f>IF(C66="","",IF('Daily Sale entry '!Q66="Collection 收款",'Daily Sale entry '!S66,0))</f>
        <v/>
      </c>
      <c r="F66" s="37">
        <f>IF(C66="","",B66+IF(E66&gt;0,0,0.5)+ROW()/10000000)</f>
        <v/>
      </c>
      <c r="G66">
        <f>IF(C66="","",'Daily Sale entry '!Q66&amp;IF('Daily Sale entry '!Q66="Collection 收款"," ("&amp;'Daily Sale entry '!R66&amp;")","")&amp;IF('Daily Sale entry '!U66="",""," - "&amp;'Daily Sale entry '!U66))</f>
        <v/>
      </c>
      <c r="H66">
        <f>IF(C66="","",COUNTIFS($C$2:$C$3001,C66,$F$2:$F$3001,"&lt;"&amp;F66)+1)</f>
        <v/>
      </c>
      <c r="I66">
        <f>IF(C66="","",C66&amp;"|"&amp;H66)</f>
        <v/>
      </c>
      <c r="J66" s="6">
        <f>IF(C66="","",IF(H66=1,SUMIFS('Opening Balance'!$F$4:$F$303,'Opening Balance'!$G$4:$G$303,C66),INDEX($L$2:$L$3001,MATCH(C66&amp;"|"&amp;(H66-1),$I$2:$I$3001,0))))</f>
        <v/>
      </c>
      <c r="K66" s="6">
        <f>IF(C66="","",IF(M66&gt;0,M66,IF(AND(E66&gt;0,ROUND(J66+D66-E66,2)&gt;0,ROUND(J66+D66-E66,2)&lt;'Opening Balance'!$B$14),ROUND(J66+D66-E66,2),0)))</f>
        <v/>
      </c>
      <c r="L66" s="6">
        <f>IF(C66="","",ROUND(J66+D66-E66-K66,2))</f>
        <v/>
      </c>
      <c r="M66" s="6">
        <f>IF(C66="","",IF('Daily Sale entry '!Q66="Collection 收款",ROUND(N('Daily Sale entry '!T66),2),0))</f>
        <v/>
      </c>
    </row>
    <row r="67">
      <c r="A67" t="inlineStr">
        <is>
          <t>Entry 记录</t>
        </is>
      </c>
      <c r="B67" s="5">
        <f>IF('Daily Sale entry '!P67="","",'Daily Sale entry '!O67)</f>
        <v/>
      </c>
      <c r="C67">
        <f>IF('Daily Sale entry '!P67="","",'Daily Sale entry '!P67)</f>
        <v/>
      </c>
      <c r="D67">
        <f>IF(C67="","",IF('Daily Sale entry '!Q67="Credit Sale 赊销",'Daily Sale entry '!S67,0))</f>
        <v/>
      </c>
      <c r="E67">
        <f>IF(C67="","",IF('Daily Sale entry '!Q67="Collection 收款",'Daily Sale entry '!S67,0))</f>
        <v/>
      </c>
      <c r="F67" s="37">
        <f>IF(C67="","",B67+IF(E67&gt;0,0,0.5)+ROW()/10000000)</f>
        <v/>
      </c>
      <c r="G67">
        <f>IF(C67="","",'Daily Sale entry '!Q67&amp;IF('Daily Sale entry '!Q67="Collection 收款"," ("&amp;'Daily Sale entry '!R67&amp;")","")&amp;IF('Daily Sale entry '!U67="",""," - "&amp;'Daily Sale entry '!U67))</f>
        <v/>
      </c>
      <c r="H67">
        <f>IF(C67="","",COUNTIFS($C$2:$C$3001,C67,$F$2:$F$3001,"&lt;"&amp;F67)+1)</f>
        <v/>
      </c>
      <c r="I67">
        <f>IF(C67="","",C67&amp;"|"&amp;H67)</f>
        <v/>
      </c>
      <c r="J67" s="6">
        <f>IF(C67="","",IF(H67=1,SUMIFS('Opening Balance'!$F$4:$F$303,'Opening Balance'!$G$4:$G$303,C67),INDEX($L$2:$L$3001,MATCH(C67&amp;"|"&amp;(H67-1),$I$2:$I$3001,0))))</f>
        <v/>
      </c>
      <c r="K67" s="6">
        <f>IF(C67="","",IF(M67&gt;0,M67,IF(AND(E67&gt;0,ROUND(J67+D67-E67,2)&gt;0,ROUND(J67+D67-E67,2)&lt;'Opening Balance'!$B$14),ROUND(J67+D67-E67,2),0)))</f>
        <v/>
      </c>
      <c r="L67" s="6">
        <f>IF(C67="","",ROUND(J67+D67-E67-K67,2))</f>
        <v/>
      </c>
      <c r="M67" s="6">
        <f>IF(C67="","",IF('Daily Sale entry '!Q67="Collection 收款",ROUND(N('Daily Sale entry '!T67),2),0))</f>
        <v/>
      </c>
    </row>
    <row r="68">
      <c r="A68" t="inlineStr">
        <is>
          <t>Entry 记录</t>
        </is>
      </c>
      <c r="B68" s="5">
        <f>IF('Daily Sale entry '!P68="","",'Daily Sale entry '!O68)</f>
        <v/>
      </c>
      <c r="C68">
        <f>IF('Daily Sale entry '!P68="","",'Daily Sale entry '!P68)</f>
        <v/>
      </c>
      <c r="D68">
        <f>IF(C68="","",IF('Daily Sale entry '!Q68="Credit Sale 赊销",'Daily Sale entry '!S68,0))</f>
        <v/>
      </c>
      <c r="E68">
        <f>IF(C68="","",IF('Daily Sale entry '!Q68="Collection 收款",'Daily Sale entry '!S68,0))</f>
        <v/>
      </c>
      <c r="F68" s="37">
        <f>IF(C68="","",B68+IF(E68&gt;0,0,0.5)+ROW()/10000000)</f>
        <v/>
      </c>
      <c r="G68">
        <f>IF(C68="","",'Daily Sale entry '!Q68&amp;IF('Daily Sale entry '!Q68="Collection 收款"," ("&amp;'Daily Sale entry '!R68&amp;")","")&amp;IF('Daily Sale entry '!U68="",""," - "&amp;'Daily Sale entry '!U68))</f>
        <v/>
      </c>
      <c r="H68">
        <f>IF(C68="","",COUNTIFS($C$2:$C$3001,C68,$F$2:$F$3001,"&lt;"&amp;F68)+1)</f>
        <v/>
      </c>
      <c r="I68">
        <f>IF(C68="","",C68&amp;"|"&amp;H68)</f>
        <v/>
      </c>
      <c r="J68" s="6">
        <f>IF(C68="","",IF(H68=1,SUMIFS('Opening Balance'!$F$4:$F$303,'Opening Balance'!$G$4:$G$303,C68),INDEX($L$2:$L$3001,MATCH(C68&amp;"|"&amp;(H68-1),$I$2:$I$3001,0))))</f>
        <v/>
      </c>
      <c r="K68" s="6">
        <f>IF(C68="","",IF(M68&gt;0,M68,IF(AND(E68&gt;0,ROUND(J68+D68-E68,2)&gt;0,ROUND(J68+D68-E68,2)&lt;'Opening Balance'!$B$14),ROUND(J68+D68-E68,2),0)))</f>
        <v/>
      </c>
      <c r="L68" s="6">
        <f>IF(C68="","",ROUND(J68+D68-E68-K68,2))</f>
        <v/>
      </c>
      <c r="M68" s="6">
        <f>IF(C68="","",IF('Daily Sale entry '!Q68="Collection 收款",ROUND(N('Daily Sale entry '!T68),2),0))</f>
        <v/>
      </c>
    </row>
    <row r="69">
      <c r="A69" t="inlineStr">
        <is>
          <t>Entry 记录</t>
        </is>
      </c>
      <c r="B69" s="5">
        <f>IF('Daily Sale entry '!P69="","",'Daily Sale entry '!O69)</f>
        <v/>
      </c>
      <c r="C69">
        <f>IF('Daily Sale entry '!P69="","",'Daily Sale entry '!P69)</f>
        <v/>
      </c>
      <c r="D69">
        <f>IF(C69="","",IF('Daily Sale entry '!Q69="Credit Sale 赊销",'Daily Sale entry '!S69,0))</f>
        <v/>
      </c>
      <c r="E69">
        <f>IF(C69="","",IF('Daily Sale entry '!Q69="Collection 收款",'Daily Sale entry '!S69,0))</f>
        <v/>
      </c>
      <c r="F69" s="37">
        <f>IF(C69="","",B69+IF(E69&gt;0,0,0.5)+ROW()/10000000)</f>
        <v/>
      </c>
      <c r="G69">
        <f>IF(C69="","",'Daily Sale entry '!Q69&amp;IF('Daily Sale entry '!Q69="Collection 收款"," ("&amp;'Daily Sale entry '!R69&amp;")","")&amp;IF('Daily Sale entry '!U69="",""," - "&amp;'Daily Sale entry '!U69))</f>
        <v/>
      </c>
      <c r="H69">
        <f>IF(C69="","",COUNTIFS($C$2:$C$3001,C69,$F$2:$F$3001,"&lt;"&amp;F69)+1)</f>
        <v/>
      </c>
      <c r="I69">
        <f>IF(C69="","",C69&amp;"|"&amp;H69)</f>
        <v/>
      </c>
      <c r="J69" s="6">
        <f>IF(C69="","",IF(H69=1,SUMIFS('Opening Balance'!$F$4:$F$303,'Opening Balance'!$G$4:$G$303,C69),INDEX($L$2:$L$3001,MATCH(C69&amp;"|"&amp;(H69-1),$I$2:$I$3001,0))))</f>
        <v/>
      </c>
      <c r="K69" s="6">
        <f>IF(C69="","",IF(M69&gt;0,M69,IF(AND(E69&gt;0,ROUND(J69+D69-E69,2)&gt;0,ROUND(J69+D69-E69,2)&lt;'Opening Balance'!$B$14),ROUND(J69+D69-E69,2),0)))</f>
        <v/>
      </c>
      <c r="L69" s="6">
        <f>IF(C69="","",ROUND(J69+D69-E69-K69,2))</f>
        <v/>
      </c>
      <c r="M69" s="6">
        <f>IF(C69="","",IF('Daily Sale entry '!Q69="Collection 收款",ROUND(N('Daily Sale entry '!T69),2),0))</f>
        <v/>
      </c>
    </row>
    <row r="70">
      <c r="A70" t="inlineStr">
        <is>
          <t>Entry 记录</t>
        </is>
      </c>
      <c r="B70" s="5">
        <f>IF('Daily Sale entry '!P70="","",'Daily Sale entry '!O70)</f>
        <v/>
      </c>
      <c r="C70">
        <f>IF('Daily Sale entry '!P70="","",'Daily Sale entry '!P70)</f>
        <v/>
      </c>
      <c r="D70">
        <f>IF(C70="","",IF('Daily Sale entry '!Q70="Credit Sale 赊销",'Daily Sale entry '!S70,0))</f>
        <v/>
      </c>
      <c r="E70">
        <f>IF(C70="","",IF('Daily Sale entry '!Q70="Collection 收款",'Daily Sale entry '!S70,0))</f>
        <v/>
      </c>
      <c r="F70" s="37">
        <f>IF(C70="","",B70+IF(E70&gt;0,0,0.5)+ROW()/10000000)</f>
        <v/>
      </c>
      <c r="G70">
        <f>IF(C70="","",'Daily Sale entry '!Q70&amp;IF('Daily Sale entry '!Q70="Collection 收款"," ("&amp;'Daily Sale entry '!R70&amp;")","")&amp;IF('Daily Sale entry '!U70="",""," - "&amp;'Daily Sale entry '!U70))</f>
        <v/>
      </c>
      <c r="H70">
        <f>IF(C70="","",COUNTIFS($C$2:$C$3001,C70,$F$2:$F$3001,"&lt;"&amp;F70)+1)</f>
        <v/>
      </c>
      <c r="I70">
        <f>IF(C70="","",C70&amp;"|"&amp;H70)</f>
        <v/>
      </c>
      <c r="J70" s="6">
        <f>IF(C70="","",IF(H70=1,SUMIFS('Opening Balance'!$F$4:$F$303,'Opening Balance'!$G$4:$G$303,C70),INDEX($L$2:$L$3001,MATCH(C70&amp;"|"&amp;(H70-1),$I$2:$I$3001,0))))</f>
        <v/>
      </c>
      <c r="K70" s="6">
        <f>IF(C70="","",IF(M70&gt;0,M70,IF(AND(E70&gt;0,ROUND(J70+D70-E70,2)&gt;0,ROUND(J70+D70-E70,2)&lt;'Opening Balance'!$B$14),ROUND(J70+D70-E70,2),0)))</f>
        <v/>
      </c>
      <c r="L70" s="6">
        <f>IF(C70="","",ROUND(J70+D70-E70-K70,2))</f>
        <v/>
      </c>
      <c r="M70" s="6">
        <f>IF(C70="","",IF('Daily Sale entry '!Q70="Collection 收款",ROUND(N('Daily Sale entry '!T70),2),0))</f>
        <v/>
      </c>
    </row>
    <row r="71">
      <c r="A71" t="inlineStr">
        <is>
          <t>Entry 记录</t>
        </is>
      </c>
      <c r="B71" s="5">
        <f>IF('Daily Sale entry '!P71="","",'Daily Sale entry '!O71)</f>
        <v/>
      </c>
      <c r="C71">
        <f>IF('Daily Sale entry '!P71="","",'Daily Sale entry '!P71)</f>
        <v/>
      </c>
      <c r="D71">
        <f>IF(C71="","",IF('Daily Sale entry '!Q71="Credit Sale 赊销",'Daily Sale entry '!S71,0))</f>
        <v/>
      </c>
      <c r="E71">
        <f>IF(C71="","",IF('Daily Sale entry '!Q71="Collection 收款",'Daily Sale entry '!S71,0))</f>
        <v/>
      </c>
      <c r="F71" s="37">
        <f>IF(C71="","",B71+IF(E71&gt;0,0,0.5)+ROW()/10000000)</f>
        <v/>
      </c>
      <c r="G71">
        <f>IF(C71="","",'Daily Sale entry '!Q71&amp;IF('Daily Sale entry '!Q71="Collection 收款"," ("&amp;'Daily Sale entry '!R71&amp;")","")&amp;IF('Daily Sale entry '!U71="",""," - "&amp;'Daily Sale entry '!U71))</f>
        <v/>
      </c>
      <c r="H71">
        <f>IF(C71="","",COUNTIFS($C$2:$C$3001,C71,$F$2:$F$3001,"&lt;"&amp;F71)+1)</f>
        <v/>
      </c>
      <c r="I71">
        <f>IF(C71="","",C71&amp;"|"&amp;H71)</f>
        <v/>
      </c>
      <c r="J71" s="6">
        <f>IF(C71="","",IF(H71=1,SUMIFS('Opening Balance'!$F$4:$F$303,'Opening Balance'!$G$4:$G$303,C71),INDEX($L$2:$L$3001,MATCH(C71&amp;"|"&amp;(H71-1),$I$2:$I$3001,0))))</f>
        <v/>
      </c>
      <c r="K71" s="6">
        <f>IF(C71="","",IF(M71&gt;0,M71,IF(AND(E71&gt;0,ROUND(J71+D71-E71,2)&gt;0,ROUND(J71+D71-E71,2)&lt;'Opening Balance'!$B$14),ROUND(J71+D71-E71,2),0)))</f>
        <v/>
      </c>
      <c r="L71" s="6">
        <f>IF(C71="","",ROUND(J71+D71-E71-K71,2))</f>
        <v/>
      </c>
      <c r="M71" s="6">
        <f>IF(C71="","",IF('Daily Sale entry '!Q71="Collection 收款",ROUND(N('Daily Sale entry '!T71),2),0))</f>
        <v/>
      </c>
    </row>
    <row r="72">
      <c r="A72" t="inlineStr">
        <is>
          <t>Entry 记录</t>
        </is>
      </c>
      <c r="B72" s="5">
        <f>IF('Daily Sale entry '!P72="","",'Daily Sale entry '!O72)</f>
        <v/>
      </c>
      <c r="C72">
        <f>IF('Daily Sale entry '!P72="","",'Daily Sale entry '!P72)</f>
        <v/>
      </c>
      <c r="D72">
        <f>IF(C72="","",IF('Daily Sale entry '!Q72="Credit Sale 赊销",'Daily Sale entry '!S72,0))</f>
        <v/>
      </c>
      <c r="E72">
        <f>IF(C72="","",IF('Daily Sale entry '!Q72="Collection 收款",'Daily Sale entry '!S72,0))</f>
        <v/>
      </c>
      <c r="F72" s="37">
        <f>IF(C72="","",B72+IF(E72&gt;0,0,0.5)+ROW()/10000000)</f>
        <v/>
      </c>
      <c r="G72">
        <f>IF(C72="","",'Daily Sale entry '!Q72&amp;IF('Daily Sale entry '!Q72="Collection 收款"," ("&amp;'Daily Sale entry '!R72&amp;")","")&amp;IF('Daily Sale entry '!U72="",""," - "&amp;'Daily Sale entry '!U72))</f>
        <v/>
      </c>
      <c r="H72">
        <f>IF(C72="","",COUNTIFS($C$2:$C$3001,C72,$F$2:$F$3001,"&lt;"&amp;F72)+1)</f>
        <v/>
      </c>
      <c r="I72">
        <f>IF(C72="","",C72&amp;"|"&amp;H72)</f>
        <v/>
      </c>
      <c r="J72" s="6">
        <f>IF(C72="","",IF(H72=1,SUMIFS('Opening Balance'!$F$4:$F$303,'Opening Balance'!$G$4:$G$303,C72),INDEX($L$2:$L$3001,MATCH(C72&amp;"|"&amp;(H72-1),$I$2:$I$3001,0))))</f>
        <v/>
      </c>
      <c r="K72" s="6">
        <f>IF(C72="","",IF(M72&gt;0,M72,IF(AND(E72&gt;0,ROUND(J72+D72-E72,2)&gt;0,ROUND(J72+D72-E72,2)&lt;'Opening Balance'!$B$14),ROUND(J72+D72-E72,2),0)))</f>
        <v/>
      </c>
      <c r="L72" s="6">
        <f>IF(C72="","",ROUND(J72+D72-E72-K72,2))</f>
        <v/>
      </c>
      <c r="M72" s="6">
        <f>IF(C72="","",IF('Daily Sale entry '!Q72="Collection 收款",ROUND(N('Daily Sale entry '!T72),2),0))</f>
        <v/>
      </c>
    </row>
    <row r="73">
      <c r="A73" t="inlineStr">
        <is>
          <t>Entry 记录</t>
        </is>
      </c>
      <c r="B73" s="5">
        <f>IF('Daily Sale entry '!P73="","",'Daily Sale entry '!O73)</f>
        <v/>
      </c>
      <c r="C73">
        <f>IF('Daily Sale entry '!P73="","",'Daily Sale entry '!P73)</f>
        <v/>
      </c>
      <c r="D73">
        <f>IF(C73="","",IF('Daily Sale entry '!Q73="Credit Sale 赊销",'Daily Sale entry '!S73,0))</f>
        <v/>
      </c>
      <c r="E73">
        <f>IF(C73="","",IF('Daily Sale entry '!Q73="Collection 收款",'Daily Sale entry '!S73,0))</f>
        <v/>
      </c>
      <c r="F73" s="37">
        <f>IF(C73="","",B73+IF(E73&gt;0,0,0.5)+ROW()/10000000)</f>
        <v/>
      </c>
      <c r="G73">
        <f>IF(C73="","",'Daily Sale entry '!Q73&amp;IF('Daily Sale entry '!Q73="Collection 收款"," ("&amp;'Daily Sale entry '!R73&amp;")","")&amp;IF('Daily Sale entry '!U73="",""," - "&amp;'Daily Sale entry '!U73))</f>
        <v/>
      </c>
      <c r="H73">
        <f>IF(C73="","",COUNTIFS($C$2:$C$3001,C73,$F$2:$F$3001,"&lt;"&amp;F73)+1)</f>
        <v/>
      </c>
      <c r="I73">
        <f>IF(C73="","",C73&amp;"|"&amp;H73)</f>
        <v/>
      </c>
      <c r="J73" s="6">
        <f>IF(C73="","",IF(H73=1,SUMIFS('Opening Balance'!$F$4:$F$303,'Opening Balance'!$G$4:$G$303,C73),INDEX($L$2:$L$3001,MATCH(C73&amp;"|"&amp;(H73-1),$I$2:$I$3001,0))))</f>
        <v/>
      </c>
      <c r="K73" s="6">
        <f>IF(C73="","",IF(M73&gt;0,M73,IF(AND(E73&gt;0,ROUND(J73+D73-E73,2)&gt;0,ROUND(J73+D73-E73,2)&lt;'Opening Balance'!$B$14),ROUND(J73+D73-E73,2),0)))</f>
        <v/>
      </c>
      <c r="L73" s="6">
        <f>IF(C73="","",ROUND(J73+D73-E73-K73,2))</f>
        <v/>
      </c>
      <c r="M73" s="6">
        <f>IF(C73="","",IF('Daily Sale entry '!Q73="Collection 收款",ROUND(N('Daily Sale entry '!T73),2),0))</f>
        <v/>
      </c>
    </row>
    <row r="74">
      <c r="A74" t="inlineStr">
        <is>
          <t>Entry 记录</t>
        </is>
      </c>
      <c r="B74" s="5">
        <f>IF('Daily Sale entry '!P74="","",'Daily Sale entry '!O74)</f>
        <v/>
      </c>
      <c r="C74">
        <f>IF('Daily Sale entry '!P74="","",'Daily Sale entry '!P74)</f>
        <v/>
      </c>
      <c r="D74">
        <f>IF(C74="","",IF('Daily Sale entry '!Q74="Credit Sale 赊销",'Daily Sale entry '!S74,0))</f>
        <v/>
      </c>
      <c r="E74">
        <f>IF(C74="","",IF('Daily Sale entry '!Q74="Collection 收款",'Daily Sale entry '!S74,0))</f>
        <v/>
      </c>
      <c r="F74" s="37">
        <f>IF(C74="","",B74+IF(E74&gt;0,0,0.5)+ROW()/10000000)</f>
        <v/>
      </c>
      <c r="G74">
        <f>IF(C74="","",'Daily Sale entry '!Q74&amp;IF('Daily Sale entry '!Q74="Collection 收款"," ("&amp;'Daily Sale entry '!R74&amp;")","")&amp;IF('Daily Sale entry '!U74="",""," - "&amp;'Daily Sale entry '!U74))</f>
        <v/>
      </c>
      <c r="H74">
        <f>IF(C74="","",COUNTIFS($C$2:$C$3001,C74,$F$2:$F$3001,"&lt;"&amp;F74)+1)</f>
        <v/>
      </c>
      <c r="I74">
        <f>IF(C74="","",C74&amp;"|"&amp;H74)</f>
        <v/>
      </c>
      <c r="J74" s="6">
        <f>IF(C74="","",IF(H74=1,SUMIFS('Opening Balance'!$F$4:$F$303,'Opening Balance'!$G$4:$G$303,C74),INDEX($L$2:$L$3001,MATCH(C74&amp;"|"&amp;(H74-1),$I$2:$I$3001,0))))</f>
        <v/>
      </c>
      <c r="K74" s="6">
        <f>IF(C74="","",IF(M74&gt;0,M74,IF(AND(E74&gt;0,ROUND(J74+D74-E74,2)&gt;0,ROUND(J74+D74-E74,2)&lt;'Opening Balance'!$B$14),ROUND(J74+D74-E74,2),0)))</f>
        <v/>
      </c>
      <c r="L74" s="6">
        <f>IF(C74="","",ROUND(J74+D74-E74-K74,2))</f>
        <v/>
      </c>
      <c r="M74" s="6">
        <f>IF(C74="","",IF('Daily Sale entry '!Q74="Collection 收款",ROUND(N('Daily Sale entry '!T74),2),0))</f>
        <v/>
      </c>
    </row>
    <row r="75">
      <c r="A75" t="inlineStr">
        <is>
          <t>Entry 记录</t>
        </is>
      </c>
      <c r="B75" s="5">
        <f>IF('Daily Sale entry '!P75="","",'Daily Sale entry '!O75)</f>
        <v/>
      </c>
      <c r="C75">
        <f>IF('Daily Sale entry '!P75="","",'Daily Sale entry '!P75)</f>
        <v/>
      </c>
      <c r="D75">
        <f>IF(C75="","",IF('Daily Sale entry '!Q75="Credit Sale 赊销",'Daily Sale entry '!S75,0))</f>
        <v/>
      </c>
      <c r="E75">
        <f>IF(C75="","",IF('Daily Sale entry '!Q75="Collection 收款",'Daily Sale entry '!S75,0))</f>
        <v/>
      </c>
      <c r="F75" s="37">
        <f>IF(C75="","",B75+IF(E75&gt;0,0,0.5)+ROW()/10000000)</f>
        <v/>
      </c>
      <c r="G75">
        <f>IF(C75="","",'Daily Sale entry '!Q75&amp;IF('Daily Sale entry '!Q75="Collection 收款"," ("&amp;'Daily Sale entry '!R75&amp;")","")&amp;IF('Daily Sale entry '!U75="",""," - "&amp;'Daily Sale entry '!U75))</f>
        <v/>
      </c>
      <c r="H75">
        <f>IF(C75="","",COUNTIFS($C$2:$C$3001,C75,$F$2:$F$3001,"&lt;"&amp;F75)+1)</f>
        <v/>
      </c>
      <c r="I75">
        <f>IF(C75="","",C75&amp;"|"&amp;H75)</f>
        <v/>
      </c>
      <c r="J75" s="6">
        <f>IF(C75="","",IF(H75=1,SUMIFS('Opening Balance'!$F$4:$F$303,'Opening Balance'!$G$4:$G$303,C75),INDEX($L$2:$L$3001,MATCH(C75&amp;"|"&amp;(H75-1),$I$2:$I$3001,0))))</f>
        <v/>
      </c>
      <c r="K75" s="6">
        <f>IF(C75="","",IF(M75&gt;0,M75,IF(AND(E75&gt;0,ROUND(J75+D75-E75,2)&gt;0,ROUND(J75+D75-E75,2)&lt;'Opening Balance'!$B$14),ROUND(J75+D75-E75,2),0)))</f>
        <v/>
      </c>
      <c r="L75" s="6">
        <f>IF(C75="","",ROUND(J75+D75-E75-K75,2))</f>
        <v/>
      </c>
      <c r="M75" s="6">
        <f>IF(C75="","",IF('Daily Sale entry '!Q75="Collection 收款",ROUND(N('Daily Sale entry '!T75),2),0))</f>
        <v/>
      </c>
    </row>
    <row r="76">
      <c r="A76" t="inlineStr">
        <is>
          <t>Entry 记录</t>
        </is>
      </c>
      <c r="B76" s="5">
        <f>IF('Daily Sale entry '!P76="","",'Daily Sale entry '!O76)</f>
        <v/>
      </c>
      <c r="C76">
        <f>IF('Daily Sale entry '!P76="","",'Daily Sale entry '!P76)</f>
        <v/>
      </c>
      <c r="D76">
        <f>IF(C76="","",IF('Daily Sale entry '!Q76="Credit Sale 赊销",'Daily Sale entry '!S76,0))</f>
        <v/>
      </c>
      <c r="E76">
        <f>IF(C76="","",IF('Daily Sale entry '!Q76="Collection 收款",'Daily Sale entry '!S76,0))</f>
        <v/>
      </c>
      <c r="F76" s="37">
        <f>IF(C76="","",B76+IF(E76&gt;0,0,0.5)+ROW()/10000000)</f>
        <v/>
      </c>
      <c r="G76">
        <f>IF(C76="","",'Daily Sale entry '!Q76&amp;IF('Daily Sale entry '!Q76="Collection 收款"," ("&amp;'Daily Sale entry '!R76&amp;")","")&amp;IF('Daily Sale entry '!U76="",""," - "&amp;'Daily Sale entry '!U76))</f>
        <v/>
      </c>
      <c r="H76">
        <f>IF(C76="","",COUNTIFS($C$2:$C$3001,C76,$F$2:$F$3001,"&lt;"&amp;F76)+1)</f>
        <v/>
      </c>
      <c r="I76">
        <f>IF(C76="","",C76&amp;"|"&amp;H76)</f>
        <v/>
      </c>
      <c r="J76" s="6">
        <f>IF(C76="","",IF(H76=1,SUMIFS('Opening Balance'!$F$4:$F$303,'Opening Balance'!$G$4:$G$303,C76),INDEX($L$2:$L$3001,MATCH(C76&amp;"|"&amp;(H76-1),$I$2:$I$3001,0))))</f>
        <v/>
      </c>
      <c r="K76" s="6">
        <f>IF(C76="","",IF(M76&gt;0,M76,IF(AND(E76&gt;0,ROUND(J76+D76-E76,2)&gt;0,ROUND(J76+D76-E76,2)&lt;'Opening Balance'!$B$14),ROUND(J76+D76-E76,2),0)))</f>
        <v/>
      </c>
      <c r="L76" s="6">
        <f>IF(C76="","",ROUND(J76+D76-E76-K76,2))</f>
        <v/>
      </c>
      <c r="M76" s="6">
        <f>IF(C76="","",IF('Daily Sale entry '!Q76="Collection 收款",ROUND(N('Daily Sale entry '!T76),2),0))</f>
        <v/>
      </c>
    </row>
    <row r="77">
      <c r="A77" t="inlineStr">
        <is>
          <t>Entry 记录</t>
        </is>
      </c>
      <c r="B77" s="5">
        <f>IF('Daily Sale entry '!P77="","",'Daily Sale entry '!O77)</f>
        <v/>
      </c>
      <c r="C77">
        <f>IF('Daily Sale entry '!P77="","",'Daily Sale entry '!P77)</f>
        <v/>
      </c>
      <c r="D77">
        <f>IF(C77="","",IF('Daily Sale entry '!Q77="Credit Sale 赊销",'Daily Sale entry '!S77,0))</f>
        <v/>
      </c>
      <c r="E77">
        <f>IF(C77="","",IF('Daily Sale entry '!Q77="Collection 收款",'Daily Sale entry '!S77,0))</f>
        <v/>
      </c>
      <c r="F77" s="37">
        <f>IF(C77="","",B77+IF(E77&gt;0,0,0.5)+ROW()/10000000)</f>
        <v/>
      </c>
      <c r="G77">
        <f>IF(C77="","",'Daily Sale entry '!Q77&amp;IF('Daily Sale entry '!Q77="Collection 收款"," ("&amp;'Daily Sale entry '!R77&amp;")","")&amp;IF('Daily Sale entry '!U77="",""," - "&amp;'Daily Sale entry '!U77))</f>
        <v/>
      </c>
      <c r="H77">
        <f>IF(C77="","",COUNTIFS($C$2:$C$3001,C77,$F$2:$F$3001,"&lt;"&amp;F77)+1)</f>
        <v/>
      </c>
      <c r="I77">
        <f>IF(C77="","",C77&amp;"|"&amp;H77)</f>
        <v/>
      </c>
      <c r="J77" s="6">
        <f>IF(C77="","",IF(H77=1,SUMIFS('Opening Balance'!$F$4:$F$303,'Opening Balance'!$G$4:$G$303,C77),INDEX($L$2:$L$3001,MATCH(C77&amp;"|"&amp;(H77-1),$I$2:$I$3001,0))))</f>
        <v/>
      </c>
      <c r="K77" s="6">
        <f>IF(C77="","",IF(M77&gt;0,M77,IF(AND(E77&gt;0,ROUND(J77+D77-E77,2)&gt;0,ROUND(J77+D77-E77,2)&lt;'Opening Balance'!$B$14),ROUND(J77+D77-E77,2),0)))</f>
        <v/>
      </c>
      <c r="L77" s="6">
        <f>IF(C77="","",ROUND(J77+D77-E77-K77,2))</f>
        <v/>
      </c>
      <c r="M77" s="6">
        <f>IF(C77="","",IF('Daily Sale entry '!Q77="Collection 收款",ROUND(N('Daily Sale entry '!T77),2),0))</f>
        <v/>
      </c>
    </row>
    <row r="78">
      <c r="A78" t="inlineStr">
        <is>
          <t>Entry 记录</t>
        </is>
      </c>
      <c r="B78" s="5">
        <f>IF('Daily Sale entry '!P78="","",'Daily Sale entry '!O78)</f>
        <v/>
      </c>
      <c r="C78">
        <f>IF('Daily Sale entry '!P78="","",'Daily Sale entry '!P78)</f>
        <v/>
      </c>
      <c r="D78">
        <f>IF(C78="","",IF('Daily Sale entry '!Q78="Credit Sale 赊销",'Daily Sale entry '!S78,0))</f>
        <v/>
      </c>
      <c r="E78">
        <f>IF(C78="","",IF('Daily Sale entry '!Q78="Collection 收款",'Daily Sale entry '!S78,0))</f>
        <v/>
      </c>
      <c r="F78" s="37">
        <f>IF(C78="","",B78+IF(E78&gt;0,0,0.5)+ROW()/10000000)</f>
        <v/>
      </c>
      <c r="G78">
        <f>IF(C78="","",'Daily Sale entry '!Q78&amp;IF('Daily Sale entry '!Q78="Collection 收款"," ("&amp;'Daily Sale entry '!R78&amp;")","")&amp;IF('Daily Sale entry '!U78="",""," - "&amp;'Daily Sale entry '!U78))</f>
        <v/>
      </c>
      <c r="H78">
        <f>IF(C78="","",COUNTIFS($C$2:$C$3001,C78,$F$2:$F$3001,"&lt;"&amp;F78)+1)</f>
        <v/>
      </c>
      <c r="I78">
        <f>IF(C78="","",C78&amp;"|"&amp;H78)</f>
        <v/>
      </c>
      <c r="J78" s="6">
        <f>IF(C78="","",IF(H78=1,SUMIFS('Opening Balance'!$F$4:$F$303,'Opening Balance'!$G$4:$G$303,C78),INDEX($L$2:$L$3001,MATCH(C78&amp;"|"&amp;(H78-1),$I$2:$I$3001,0))))</f>
        <v/>
      </c>
      <c r="K78" s="6">
        <f>IF(C78="","",IF(M78&gt;0,M78,IF(AND(E78&gt;0,ROUND(J78+D78-E78,2)&gt;0,ROUND(J78+D78-E78,2)&lt;'Opening Balance'!$B$14),ROUND(J78+D78-E78,2),0)))</f>
        <v/>
      </c>
      <c r="L78" s="6">
        <f>IF(C78="","",ROUND(J78+D78-E78-K78,2))</f>
        <v/>
      </c>
      <c r="M78" s="6">
        <f>IF(C78="","",IF('Daily Sale entry '!Q78="Collection 收款",ROUND(N('Daily Sale entry '!T78),2),0))</f>
        <v/>
      </c>
    </row>
    <row r="79">
      <c r="A79" t="inlineStr">
        <is>
          <t>Entry 记录</t>
        </is>
      </c>
      <c r="B79" s="5">
        <f>IF('Daily Sale entry '!P79="","",'Daily Sale entry '!O79)</f>
        <v/>
      </c>
      <c r="C79">
        <f>IF('Daily Sale entry '!P79="","",'Daily Sale entry '!P79)</f>
        <v/>
      </c>
      <c r="D79">
        <f>IF(C79="","",IF('Daily Sale entry '!Q79="Credit Sale 赊销",'Daily Sale entry '!S79,0))</f>
        <v/>
      </c>
      <c r="E79">
        <f>IF(C79="","",IF('Daily Sale entry '!Q79="Collection 收款",'Daily Sale entry '!S79,0))</f>
        <v/>
      </c>
      <c r="F79" s="37">
        <f>IF(C79="","",B79+IF(E79&gt;0,0,0.5)+ROW()/10000000)</f>
        <v/>
      </c>
      <c r="G79">
        <f>IF(C79="","",'Daily Sale entry '!Q79&amp;IF('Daily Sale entry '!Q79="Collection 收款"," ("&amp;'Daily Sale entry '!R79&amp;")","")&amp;IF('Daily Sale entry '!U79="",""," - "&amp;'Daily Sale entry '!U79))</f>
        <v/>
      </c>
      <c r="H79">
        <f>IF(C79="","",COUNTIFS($C$2:$C$3001,C79,$F$2:$F$3001,"&lt;"&amp;F79)+1)</f>
        <v/>
      </c>
      <c r="I79">
        <f>IF(C79="","",C79&amp;"|"&amp;H79)</f>
        <v/>
      </c>
      <c r="J79" s="6">
        <f>IF(C79="","",IF(H79=1,SUMIFS('Opening Balance'!$F$4:$F$303,'Opening Balance'!$G$4:$G$303,C79),INDEX($L$2:$L$3001,MATCH(C79&amp;"|"&amp;(H79-1),$I$2:$I$3001,0))))</f>
        <v/>
      </c>
      <c r="K79" s="6">
        <f>IF(C79="","",IF(M79&gt;0,M79,IF(AND(E79&gt;0,ROUND(J79+D79-E79,2)&gt;0,ROUND(J79+D79-E79,2)&lt;'Opening Balance'!$B$14),ROUND(J79+D79-E79,2),0)))</f>
        <v/>
      </c>
      <c r="L79" s="6">
        <f>IF(C79="","",ROUND(J79+D79-E79-K79,2))</f>
        <v/>
      </c>
      <c r="M79" s="6">
        <f>IF(C79="","",IF('Daily Sale entry '!Q79="Collection 收款",ROUND(N('Daily Sale entry '!T79),2),0))</f>
        <v/>
      </c>
    </row>
    <row r="80">
      <c r="A80" t="inlineStr">
        <is>
          <t>Entry 记录</t>
        </is>
      </c>
      <c r="B80" s="5">
        <f>IF('Daily Sale entry '!P80="","",'Daily Sale entry '!O80)</f>
        <v/>
      </c>
      <c r="C80">
        <f>IF('Daily Sale entry '!P80="","",'Daily Sale entry '!P80)</f>
        <v/>
      </c>
      <c r="D80">
        <f>IF(C80="","",IF('Daily Sale entry '!Q80="Credit Sale 赊销",'Daily Sale entry '!S80,0))</f>
        <v/>
      </c>
      <c r="E80">
        <f>IF(C80="","",IF('Daily Sale entry '!Q80="Collection 收款",'Daily Sale entry '!S80,0))</f>
        <v/>
      </c>
      <c r="F80" s="37">
        <f>IF(C80="","",B80+IF(E80&gt;0,0,0.5)+ROW()/10000000)</f>
        <v/>
      </c>
      <c r="G80">
        <f>IF(C80="","",'Daily Sale entry '!Q80&amp;IF('Daily Sale entry '!Q80="Collection 收款"," ("&amp;'Daily Sale entry '!R80&amp;")","")&amp;IF('Daily Sale entry '!U80="",""," - "&amp;'Daily Sale entry '!U80))</f>
        <v/>
      </c>
      <c r="H80">
        <f>IF(C80="","",COUNTIFS($C$2:$C$3001,C80,$F$2:$F$3001,"&lt;"&amp;F80)+1)</f>
        <v/>
      </c>
      <c r="I80">
        <f>IF(C80="","",C80&amp;"|"&amp;H80)</f>
        <v/>
      </c>
      <c r="J80" s="6">
        <f>IF(C80="","",IF(H80=1,SUMIFS('Opening Balance'!$F$4:$F$303,'Opening Balance'!$G$4:$G$303,C80),INDEX($L$2:$L$3001,MATCH(C80&amp;"|"&amp;(H80-1),$I$2:$I$3001,0))))</f>
        <v/>
      </c>
      <c r="K80" s="6">
        <f>IF(C80="","",IF(M80&gt;0,M80,IF(AND(E80&gt;0,ROUND(J80+D80-E80,2)&gt;0,ROUND(J80+D80-E80,2)&lt;'Opening Balance'!$B$14),ROUND(J80+D80-E80,2),0)))</f>
        <v/>
      </c>
      <c r="L80" s="6">
        <f>IF(C80="","",ROUND(J80+D80-E80-K80,2))</f>
        <v/>
      </c>
      <c r="M80" s="6">
        <f>IF(C80="","",IF('Daily Sale entry '!Q80="Collection 收款",ROUND(N('Daily Sale entry '!T80),2),0))</f>
        <v/>
      </c>
    </row>
    <row r="81">
      <c r="A81" t="inlineStr">
        <is>
          <t>Entry 记录</t>
        </is>
      </c>
      <c r="B81" s="5">
        <f>IF('Daily Sale entry '!P81="","",'Daily Sale entry '!O81)</f>
        <v/>
      </c>
      <c r="C81">
        <f>IF('Daily Sale entry '!P81="","",'Daily Sale entry '!P81)</f>
        <v/>
      </c>
      <c r="D81">
        <f>IF(C81="","",IF('Daily Sale entry '!Q81="Credit Sale 赊销",'Daily Sale entry '!S81,0))</f>
        <v/>
      </c>
      <c r="E81">
        <f>IF(C81="","",IF('Daily Sale entry '!Q81="Collection 收款",'Daily Sale entry '!S81,0))</f>
        <v/>
      </c>
      <c r="F81" s="37">
        <f>IF(C81="","",B81+IF(E81&gt;0,0,0.5)+ROW()/10000000)</f>
        <v/>
      </c>
      <c r="G81">
        <f>IF(C81="","",'Daily Sale entry '!Q81&amp;IF('Daily Sale entry '!Q81="Collection 收款"," ("&amp;'Daily Sale entry '!R81&amp;")","")&amp;IF('Daily Sale entry '!U81="",""," - "&amp;'Daily Sale entry '!U81))</f>
        <v/>
      </c>
      <c r="H81">
        <f>IF(C81="","",COUNTIFS($C$2:$C$3001,C81,$F$2:$F$3001,"&lt;"&amp;F81)+1)</f>
        <v/>
      </c>
      <c r="I81">
        <f>IF(C81="","",C81&amp;"|"&amp;H81)</f>
        <v/>
      </c>
      <c r="J81" s="6">
        <f>IF(C81="","",IF(H81=1,SUMIFS('Opening Balance'!$F$4:$F$303,'Opening Balance'!$G$4:$G$303,C81),INDEX($L$2:$L$3001,MATCH(C81&amp;"|"&amp;(H81-1),$I$2:$I$3001,0))))</f>
        <v/>
      </c>
      <c r="K81" s="6">
        <f>IF(C81="","",IF(M81&gt;0,M81,IF(AND(E81&gt;0,ROUND(J81+D81-E81,2)&gt;0,ROUND(J81+D81-E81,2)&lt;'Opening Balance'!$B$14),ROUND(J81+D81-E81,2),0)))</f>
        <v/>
      </c>
      <c r="L81" s="6">
        <f>IF(C81="","",ROUND(J81+D81-E81-K81,2))</f>
        <v/>
      </c>
      <c r="M81" s="6">
        <f>IF(C81="","",IF('Daily Sale entry '!Q81="Collection 收款",ROUND(N('Daily Sale entry '!T81),2),0))</f>
        <v/>
      </c>
    </row>
    <row r="82">
      <c r="A82" t="inlineStr">
        <is>
          <t>Entry 记录</t>
        </is>
      </c>
      <c r="B82" s="5">
        <f>IF('Daily Sale entry '!P82="","",'Daily Sale entry '!O82)</f>
        <v/>
      </c>
      <c r="C82">
        <f>IF('Daily Sale entry '!P82="","",'Daily Sale entry '!P82)</f>
        <v/>
      </c>
      <c r="D82">
        <f>IF(C82="","",IF('Daily Sale entry '!Q82="Credit Sale 赊销",'Daily Sale entry '!S82,0))</f>
        <v/>
      </c>
      <c r="E82">
        <f>IF(C82="","",IF('Daily Sale entry '!Q82="Collection 收款",'Daily Sale entry '!S82,0))</f>
        <v/>
      </c>
      <c r="F82" s="37">
        <f>IF(C82="","",B82+IF(E82&gt;0,0,0.5)+ROW()/10000000)</f>
        <v/>
      </c>
      <c r="G82">
        <f>IF(C82="","",'Daily Sale entry '!Q82&amp;IF('Daily Sale entry '!Q82="Collection 收款"," ("&amp;'Daily Sale entry '!R82&amp;")","")&amp;IF('Daily Sale entry '!U82="",""," - "&amp;'Daily Sale entry '!U82))</f>
        <v/>
      </c>
      <c r="H82">
        <f>IF(C82="","",COUNTIFS($C$2:$C$3001,C82,$F$2:$F$3001,"&lt;"&amp;F82)+1)</f>
        <v/>
      </c>
      <c r="I82">
        <f>IF(C82="","",C82&amp;"|"&amp;H82)</f>
        <v/>
      </c>
      <c r="J82" s="6">
        <f>IF(C82="","",IF(H82=1,SUMIFS('Opening Balance'!$F$4:$F$303,'Opening Balance'!$G$4:$G$303,C82),INDEX($L$2:$L$3001,MATCH(C82&amp;"|"&amp;(H82-1),$I$2:$I$3001,0))))</f>
        <v/>
      </c>
      <c r="K82" s="6">
        <f>IF(C82="","",IF(M82&gt;0,M82,IF(AND(E82&gt;0,ROUND(J82+D82-E82,2)&gt;0,ROUND(J82+D82-E82,2)&lt;'Opening Balance'!$B$14),ROUND(J82+D82-E82,2),0)))</f>
        <v/>
      </c>
      <c r="L82" s="6">
        <f>IF(C82="","",ROUND(J82+D82-E82-K82,2))</f>
        <v/>
      </c>
      <c r="M82" s="6">
        <f>IF(C82="","",IF('Daily Sale entry '!Q82="Collection 收款",ROUND(N('Daily Sale entry '!T82),2),0))</f>
        <v/>
      </c>
    </row>
    <row r="83">
      <c r="A83" t="inlineStr">
        <is>
          <t>Entry 记录</t>
        </is>
      </c>
      <c r="B83" s="5">
        <f>IF('Daily Sale entry '!P83="","",'Daily Sale entry '!O83)</f>
        <v/>
      </c>
      <c r="C83">
        <f>IF('Daily Sale entry '!P83="","",'Daily Sale entry '!P83)</f>
        <v/>
      </c>
      <c r="D83">
        <f>IF(C83="","",IF('Daily Sale entry '!Q83="Credit Sale 赊销",'Daily Sale entry '!S83,0))</f>
        <v/>
      </c>
      <c r="E83">
        <f>IF(C83="","",IF('Daily Sale entry '!Q83="Collection 收款",'Daily Sale entry '!S83,0))</f>
        <v/>
      </c>
      <c r="F83" s="37">
        <f>IF(C83="","",B83+IF(E83&gt;0,0,0.5)+ROW()/10000000)</f>
        <v/>
      </c>
      <c r="G83">
        <f>IF(C83="","",'Daily Sale entry '!Q83&amp;IF('Daily Sale entry '!Q83="Collection 收款"," ("&amp;'Daily Sale entry '!R83&amp;")","")&amp;IF('Daily Sale entry '!U83="",""," - "&amp;'Daily Sale entry '!U83))</f>
        <v/>
      </c>
      <c r="H83">
        <f>IF(C83="","",COUNTIFS($C$2:$C$3001,C83,$F$2:$F$3001,"&lt;"&amp;F83)+1)</f>
        <v/>
      </c>
      <c r="I83">
        <f>IF(C83="","",C83&amp;"|"&amp;H83)</f>
        <v/>
      </c>
      <c r="J83" s="6">
        <f>IF(C83="","",IF(H83=1,SUMIFS('Opening Balance'!$F$4:$F$303,'Opening Balance'!$G$4:$G$303,C83),INDEX($L$2:$L$3001,MATCH(C83&amp;"|"&amp;(H83-1),$I$2:$I$3001,0))))</f>
        <v/>
      </c>
      <c r="K83" s="6">
        <f>IF(C83="","",IF(M83&gt;0,M83,IF(AND(E83&gt;0,ROUND(J83+D83-E83,2)&gt;0,ROUND(J83+D83-E83,2)&lt;'Opening Balance'!$B$14),ROUND(J83+D83-E83,2),0)))</f>
        <v/>
      </c>
      <c r="L83" s="6">
        <f>IF(C83="","",ROUND(J83+D83-E83-K83,2))</f>
        <v/>
      </c>
      <c r="M83" s="6">
        <f>IF(C83="","",IF('Daily Sale entry '!Q83="Collection 收款",ROUND(N('Daily Sale entry '!T83),2),0))</f>
        <v/>
      </c>
    </row>
    <row r="84">
      <c r="A84" t="inlineStr">
        <is>
          <t>Entry 记录</t>
        </is>
      </c>
      <c r="B84" s="5">
        <f>IF('Daily Sale entry '!P84="","",'Daily Sale entry '!O84)</f>
        <v/>
      </c>
      <c r="C84">
        <f>IF('Daily Sale entry '!P84="","",'Daily Sale entry '!P84)</f>
        <v/>
      </c>
      <c r="D84">
        <f>IF(C84="","",IF('Daily Sale entry '!Q84="Credit Sale 赊销",'Daily Sale entry '!S84,0))</f>
        <v/>
      </c>
      <c r="E84">
        <f>IF(C84="","",IF('Daily Sale entry '!Q84="Collection 收款",'Daily Sale entry '!S84,0))</f>
        <v/>
      </c>
      <c r="F84" s="37">
        <f>IF(C84="","",B84+IF(E84&gt;0,0,0.5)+ROW()/10000000)</f>
        <v/>
      </c>
      <c r="G84">
        <f>IF(C84="","",'Daily Sale entry '!Q84&amp;IF('Daily Sale entry '!Q84="Collection 收款"," ("&amp;'Daily Sale entry '!R84&amp;")","")&amp;IF('Daily Sale entry '!U84="",""," - "&amp;'Daily Sale entry '!U84))</f>
        <v/>
      </c>
      <c r="H84">
        <f>IF(C84="","",COUNTIFS($C$2:$C$3001,C84,$F$2:$F$3001,"&lt;"&amp;F84)+1)</f>
        <v/>
      </c>
      <c r="I84">
        <f>IF(C84="","",C84&amp;"|"&amp;H84)</f>
        <v/>
      </c>
      <c r="J84" s="6">
        <f>IF(C84="","",IF(H84=1,SUMIFS('Opening Balance'!$F$4:$F$303,'Opening Balance'!$G$4:$G$303,C84),INDEX($L$2:$L$3001,MATCH(C84&amp;"|"&amp;(H84-1),$I$2:$I$3001,0))))</f>
        <v/>
      </c>
      <c r="K84" s="6">
        <f>IF(C84="","",IF(M84&gt;0,M84,IF(AND(E84&gt;0,ROUND(J84+D84-E84,2)&gt;0,ROUND(J84+D84-E84,2)&lt;'Opening Balance'!$B$14),ROUND(J84+D84-E84,2),0)))</f>
        <v/>
      </c>
      <c r="L84" s="6">
        <f>IF(C84="","",ROUND(J84+D84-E84-K84,2))</f>
        <v/>
      </c>
      <c r="M84" s="6">
        <f>IF(C84="","",IF('Daily Sale entry '!Q84="Collection 收款",ROUND(N('Daily Sale entry '!T84),2),0))</f>
        <v/>
      </c>
    </row>
    <row r="85">
      <c r="A85" t="inlineStr">
        <is>
          <t>Entry 记录</t>
        </is>
      </c>
      <c r="B85" s="5">
        <f>IF('Daily Sale entry '!P85="","",'Daily Sale entry '!O85)</f>
        <v/>
      </c>
      <c r="C85">
        <f>IF('Daily Sale entry '!P85="","",'Daily Sale entry '!P85)</f>
        <v/>
      </c>
      <c r="D85">
        <f>IF(C85="","",IF('Daily Sale entry '!Q85="Credit Sale 赊销",'Daily Sale entry '!S85,0))</f>
        <v/>
      </c>
      <c r="E85">
        <f>IF(C85="","",IF('Daily Sale entry '!Q85="Collection 收款",'Daily Sale entry '!S85,0))</f>
        <v/>
      </c>
      <c r="F85" s="37">
        <f>IF(C85="","",B85+IF(E85&gt;0,0,0.5)+ROW()/10000000)</f>
        <v/>
      </c>
      <c r="G85">
        <f>IF(C85="","",'Daily Sale entry '!Q85&amp;IF('Daily Sale entry '!Q85="Collection 收款"," ("&amp;'Daily Sale entry '!R85&amp;")","")&amp;IF('Daily Sale entry '!U85="",""," - "&amp;'Daily Sale entry '!U85))</f>
        <v/>
      </c>
      <c r="H85">
        <f>IF(C85="","",COUNTIFS($C$2:$C$3001,C85,$F$2:$F$3001,"&lt;"&amp;F85)+1)</f>
        <v/>
      </c>
      <c r="I85">
        <f>IF(C85="","",C85&amp;"|"&amp;H85)</f>
        <v/>
      </c>
      <c r="J85" s="6">
        <f>IF(C85="","",IF(H85=1,SUMIFS('Opening Balance'!$F$4:$F$303,'Opening Balance'!$G$4:$G$303,C85),INDEX($L$2:$L$3001,MATCH(C85&amp;"|"&amp;(H85-1),$I$2:$I$3001,0))))</f>
        <v/>
      </c>
      <c r="K85" s="6">
        <f>IF(C85="","",IF(M85&gt;0,M85,IF(AND(E85&gt;0,ROUND(J85+D85-E85,2)&gt;0,ROUND(J85+D85-E85,2)&lt;'Opening Balance'!$B$14),ROUND(J85+D85-E85,2),0)))</f>
        <v/>
      </c>
      <c r="L85" s="6">
        <f>IF(C85="","",ROUND(J85+D85-E85-K85,2))</f>
        <v/>
      </c>
      <c r="M85" s="6">
        <f>IF(C85="","",IF('Daily Sale entry '!Q85="Collection 收款",ROUND(N('Daily Sale entry '!T85),2),0))</f>
        <v/>
      </c>
    </row>
    <row r="86">
      <c r="A86" t="inlineStr">
        <is>
          <t>Entry 记录</t>
        </is>
      </c>
      <c r="B86" s="5">
        <f>IF('Daily Sale entry '!P86="","",'Daily Sale entry '!O86)</f>
        <v/>
      </c>
      <c r="C86">
        <f>IF('Daily Sale entry '!P86="","",'Daily Sale entry '!P86)</f>
        <v/>
      </c>
      <c r="D86">
        <f>IF(C86="","",IF('Daily Sale entry '!Q86="Credit Sale 赊销",'Daily Sale entry '!S86,0))</f>
        <v/>
      </c>
      <c r="E86">
        <f>IF(C86="","",IF('Daily Sale entry '!Q86="Collection 收款",'Daily Sale entry '!S86,0))</f>
        <v/>
      </c>
      <c r="F86" s="37">
        <f>IF(C86="","",B86+IF(E86&gt;0,0,0.5)+ROW()/10000000)</f>
        <v/>
      </c>
      <c r="G86">
        <f>IF(C86="","",'Daily Sale entry '!Q86&amp;IF('Daily Sale entry '!Q86="Collection 收款"," ("&amp;'Daily Sale entry '!R86&amp;")","")&amp;IF('Daily Sale entry '!U86="",""," - "&amp;'Daily Sale entry '!U86))</f>
        <v/>
      </c>
      <c r="H86">
        <f>IF(C86="","",COUNTIFS($C$2:$C$3001,C86,$F$2:$F$3001,"&lt;"&amp;F86)+1)</f>
        <v/>
      </c>
      <c r="I86">
        <f>IF(C86="","",C86&amp;"|"&amp;H86)</f>
        <v/>
      </c>
      <c r="J86" s="6">
        <f>IF(C86="","",IF(H86=1,SUMIFS('Opening Balance'!$F$4:$F$303,'Opening Balance'!$G$4:$G$303,C86),INDEX($L$2:$L$3001,MATCH(C86&amp;"|"&amp;(H86-1),$I$2:$I$3001,0))))</f>
        <v/>
      </c>
      <c r="K86" s="6">
        <f>IF(C86="","",IF(M86&gt;0,M86,IF(AND(E86&gt;0,ROUND(J86+D86-E86,2)&gt;0,ROUND(J86+D86-E86,2)&lt;'Opening Balance'!$B$14),ROUND(J86+D86-E86,2),0)))</f>
        <v/>
      </c>
      <c r="L86" s="6">
        <f>IF(C86="","",ROUND(J86+D86-E86-K86,2))</f>
        <v/>
      </c>
      <c r="M86" s="6">
        <f>IF(C86="","",IF('Daily Sale entry '!Q86="Collection 收款",ROUND(N('Daily Sale entry '!T86),2),0))</f>
        <v/>
      </c>
    </row>
    <row r="87">
      <c r="A87" t="inlineStr">
        <is>
          <t>Entry 记录</t>
        </is>
      </c>
      <c r="B87" s="5">
        <f>IF('Daily Sale entry '!P87="","",'Daily Sale entry '!O87)</f>
        <v/>
      </c>
      <c r="C87">
        <f>IF('Daily Sale entry '!P87="","",'Daily Sale entry '!P87)</f>
        <v/>
      </c>
      <c r="D87">
        <f>IF(C87="","",IF('Daily Sale entry '!Q87="Credit Sale 赊销",'Daily Sale entry '!S87,0))</f>
        <v/>
      </c>
      <c r="E87">
        <f>IF(C87="","",IF('Daily Sale entry '!Q87="Collection 收款",'Daily Sale entry '!S87,0))</f>
        <v/>
      </c>
      <c r="F87" s="37">
        <f>IF(C87="","",B87+IF(E87&gt;0,0,0.5)+ROW()/10000000)</f>
        <v/>
      </c>
      <c r="G87">
        <f>IF(C87="","",'Daily Sale entry '!Q87&amp;IF('Daily Sale entry '!Q87="Collection 收款"," ("&amp;'Daily Sale entry '!R87&amp;")","")&amp;IF('Daily Sale entry '!U87="",""," - "&amp;'Daily Sale entry '!U87))</f>
        <v/>
      </c>
      <c r="H87">
        <f>IF(C87="","",COUNTIFS($C$2:$C$3001,C87,$F$2:$F$3001,"&lt;"&amp;F87)+1)</f>
        <v/>
      </c>
      <c r="I87">
        <f>IF(C87="","",C87&amp;"|"&amp;H87)</f>
        <v/>
      </c>
      <c r="J87" s="6">
        <f>IF(C87="","",IF(H87=1,SUMIFS('Opening Balance'!$F$4:$F$303,'Opening Balance'!$G$4:$G$303,C87),INDEX($L$2:$L$3001,MATCH(C87&amp;"|"&amp;(H87-1),$I$2:$I$3001,0))))</f>
        <v/>
      </c>
      <c r="K87" s="6">
        <f>IF(C87="","",IF(M87&gt;0,M87,IF(AND(E87&gt;0,ROUND(J87+D87-E87,2)&gt;0,ROUND(J87+D87-E87,2)&lt;'Opening Balance'!$B$14),ROUND(J87+D87-E87,2),0)))</f>
        <v/>
      </c>
      <c r="L87" s="6">
        <f>IF(C87="","",ROUND(J87+D87-E87-K87,2))</f>
        <v/>
      </c>
      <c r="M87" s="6">
        <f>IF(C87="","",IF('Daily Sale entry '!Q87="Collection 收款",ROUND(N('Daily Sale entry '!T87),2),0))</f>
        <v/>
      </c>
    </row>
    <row r="88">
      <c r="A88" t="inlineStr">
        <is>
          <t>Entry 记录</t>
        </is>
      </c>
      <c r="B88" s="5">
        <f>IF('Daily Sale entry '!P88="","",'Daily Sale entry '!O88)</f>
        <v/>
      </c>
      <c r="C88">
        <f>IF('Daily Sale entry '!P88="","",'Daily Sale entry '!P88)</f>
        <v/>
      </c>
      <c r="D88">
        <f>IF(C88="","",IF('Daily Sale entry '!Q88="Credit Sale 赊销",'Daily Sale entry '!S88,0))</f>
        <v/>
      </c>
      <c r="E88">
        <f>IF(C88="","",IF('Daily Sale entry '!Q88="Collection 收款",'Daily Sale entry '!S88,0))</f>
        <v/>
      </c>
      <c r="F88" s="37">
        <f>IF(C88="","",B88+IF(E88&gt;0,0,0.5)+ROW()/10000000)</f>
        <v/>
      </c>
      <c r="G88">
        <f>IF(C88="","",'Daily Sale entry '!Q88&amp;IF('Daily Sale entry '!Q88="Collection 收款"," ("&amp;'Daily Sale entry '!R88&amp;")","")&amp;IF('Daily Sale entry '!U88="",""," - "&amp;'Daily Sale entry '!U88))</f>
        <v/>
      </c>
      <c r="H88">
        <f>IF(C88="","",COUNTIFS($C$2:$C$3001,C88,$F$2:$F$3001,"&lt;"&amp;F88)+1)</f>
        <v/>
      </c>
      <c r="I88">
        <f>IF(C88="","",C88&amp;"|"&amp;H88)</f>
        <v/>
      </c>
      <c r="J88" s="6">
        <f>IF(C88="","",IF(H88=1,SUMIFS('Opening Balance'!$F$4:$F$303,'Opening Balance'!$G$4:$G$303,C88),INDEX($L$2:$L$3001,MATCH(C88&amp;"|"&amp;(H88-1),$I$2:$I$3001,0))))</f>
        <v/>
      </c>
      <c r="K88" s="6">
        <f>IF(C88="","",IF(M88&gt;0,M88,IF(AND(E88&gt;0,ROUND(J88+D88-E88,2)&gt;0,ROUND(J88+D88-E88,2)&lt;'Opening Balance'!$B$14),ROUND(J88+D88-E88,2),0)))</f>
        <v/>
      </c>
      <c r="L88" s="6">
        <f>IF(C88="","",ROUND(J88+D88-E88-K88,2))</f>
        <v/>
      </c>
      <c r="M88" s="6">
        <f>IF(C88="","",IF('Daily Sale entry '!Q88="Collection 收款",ROUND(N('Daily Sale entry '!T88),2),0))</f>
        <v/>
      </c>
    </row>
    <row r="89">
      <c r="A89" t="inlineStr">
        <is>
          <t>Entry 记录</t>
        </is>
      </c>
      <c r="B89" s="5">
        <f>IF('Daily Sale entry '!P89="","",'Daily Sale entry '!O89)</f>
        <v/>
      </c>
      <c r="C89">
        <f>IF('Daily Sale entry '!P89="","",'Daily Sale entry '!P89)</f>
        <v/>
      </c>
      <c r="D89">
        <f>IF(C89="","",IF('Daily Sale entry '!Q89="Credit Sale 赊销",'Daily Sale entry '!S89,0))</f>
        <v/>
      </c>
      <c r="E89">
        <f>IF(C89="","",IF('Daily Sale entry '!Q89="Collection 收款",'Daily Sale entry '!S89,0))</f>
        <v/>
      </c>
      <c r="F89" s="37">
        <f>IF(C89="","",B89+IF(E89&gt;0,0,0.5)+ROW()/10000000)</f>
        <v/>
      </c>
      <c r="G89">
        <f>IF(C89="","",'Daily Sale entry '!Q89&amp;IF('Daily Sale entry '!Q89="Collection 收款"," ("&amp;'Daily Sale entry '!R89&amp;")","")&amp;IF('Daily Sale entry '!U89="",""," - "&amp;'Daily Sale entry '!U89))</f>
        <v/>
      </c>
      <c r="H89">
        <f>IF(C89="","",COUNTIFS($C$2:$C$3001,C89,$F$2:$F$3001,"&lt;"&amp;F89)+1)</f>
        <v/>
      </c>
      <c r="I89">
        <f>IF(C89="","",C89&amp;"|"&amp;H89)</f>
        <v/>
      </c>
      <c r="J89" s="6">
        <f>IF(C89="","",IF(H89=1,SUMIFS('Opening Balance'!$F$4:$F$303,'Opening Balance'!$G$4:$G$303,C89),INDEX($L$2:$L$3001,MATCH(C89&amp;"|"&amp;(H89-1),$I$2:$I$3001,0))))</f>
        <v/>
      </c>
      <c r="K89" s="6">
        <f>IF(C89="","",IF(M89&gt;0,M89,IF(AND(E89&gt;0,ROUND(J89+D89-E89,2)&gt;0,ROUND(J89+D89-E89,2)&lt;'Opening Balance'!$B$14),ROUND(J89+D89-E89,2),0)))</f>
        <v/>
      </c>
      <c r="L89" s="6">
        <f>IF(C89="","",ROUND(J89+D89-E89-K89,2))</f>
        <v/>
      </c>
      <c r="M89" s="6">
        <f>IF(C89="","",IF('Daily Sale entry '!Q89="Collection 收款",ROUND(N('Daily Sale entry '!T89),2),0))</f>
        <v/>
      </c>
    </row>
    <row r="90">
      <c r="A90" t="inlineStr">
        <is>
          <t>Entry 记录</t>
        </is>
      </c>
      <c r="B90" s="5">
        <f>IF('Daily Sale entry '!P90="","",'Daily Sale entry '!O90)</f>
        <v/>
      </c>
      <c r="C90">
        <f>IF('Daily Sale entry '!P90="","",'Daily Sale entry '!P90)</f>
        <v/>
      </c>
      <c r="D90">
        <f>IF(C90="","",IF('Daily Sale entry '!Q90="Credit Sale 赊销",'Daily Sale entry '!S90,0))</f>
        <v/>
      </c>
      <c r="E90">
        <f>IF(C90="","",IF('Daily Sale entry '!Q90="Collection 收款",'Daily Sale entry '!S90,0))</f>
        <v/>
      </c>
      <c r="F90" s="37">
        <f>IF(C90="","",B90+IF(E90&gt;0,0,0.5)+ROW()/10000000)</f>
        <v/>
      </c>
      <c r="G90">
        <f>IF(C90="","",'Daily Sale entry '!Q90&amp;IF('Daily Sale entry '!Q90="Collection 收款"," ("&amp;'Daily Sale entry '!R90&amp;")","")&amp;IF('Daily Sale entry '!U90="",""," - "&amp;'Daily Sale entry '!U90))</f>
        <v/>
      </c>
      <c r="H90">
        <f>IF(C90="","",COUNTIFS($C$2:$C$3001,C90,$F$2:$F$3001,"&lt;"&amp;F90)+1)</f>
        <v/>
      </c>
      <c r="I90">
        <f>IF(C90="","",C90&amp;"|"&amp;H90)</f>
        <v/>
      </c>
      <c r="J90" s="6">
        <f>IF(C90="","",IF(H90=1,SUMIFS('Opening Balance'!$F$4:$F$303,'Opening Balance'!$G$4:$G$303,C90),INDEX($L$2:$L$3001,MATCH(C90&amp;"|"&amp;(H90-1),$I$2:$I$3001,0))))</f>
        <v/>
      </c>
      <c r="K90" s="6">
        <f>IF(C90="","",IF(M90&gt;0,M90,IF(AND(E90&gt;0,ROUND(J90+D90-E90,2)&gt;0,ROUND(J90+D90-E90,2)&lt;'Opening Balance'!$B$14),ROUND(J90+D90-E90,2),0)))</f>
        <v/>
      </c>
      <c r="L90" s="6">
        <f>IF(C90="","",ROUND(J90+D90-E90-K90,2))</f>
        <v/>
      </c>
      <c r="M90" s="6">
        <f>IF(C90="","",IF('Daily Sale entry '!Q90="Collection 收款",ROUND(N('Daily Sale entry '!T90),2),0))</f>
        <v/>
      </c>
    </row>
    <row r="91">
      <c r="A91" t="inlineStr">
        <is>
          <t>Entry 记录</t>
        </is>
      </c>
      <c r="B91" s="5">
        <f>IF('Daily Sale entry '!P91="","",'Daily Sale entry '!O91)</f>
        <v/>
      </c>
      <c r="C91">
        <f>IF('Daily Sale entry '!P91="","",'Daily Sale entry '!P91)</f>
        <v/>
      </c>
      <c r="D91">
        <f>IF(C91="","",IF('Daily Sale entry '!Q91="Credit Sale 赊销",'Daily Sale entry '!S91,0))</f>
        <v/>
      </c>
      <c r="E91">
        <f>IF(C91="","",IF('Daily Sale entry '!Q91="Collection 收款",'Daily Sale entry '!S91,0))</f>
        <v/>
      </c>
      <c r="F91" s="37">
        <f>IF(C91="","",B91+IF(E91&gt;0,0,0.5)+ROW()/10000000)</f>
        <v/>
      </c>
      <c r="G91">
        <f>IF(C91="","",'Daily Sale entry '!Q91&amp;IF('Daily Sale entry '!Q91="Collection 收款"," ("&amp;'Daily Sale entry '!R91&amp;")","")&amp;IF('Daily Sale entry '!U91="",""," - "&amp;'Daily Sale entry '!U91))</f>
        <v/>
      </c>
      <c r="H91">
        <f>IF(C91="","",COUNTIFS($C$2:$C$3001,C91,$F$2:$F$3001,"&lt;"&amp;F91)+1)</f>
        <v/>
      </c>
      <c r="I91">
        <f>IF(C91="","",C91&amp;"|"&amp;H91)</f>
        <v/>
      </c>
      <c r="J91" s="6">
        <f>IF(C91="","",IF(H91=1,SUMIFS('Opening Balance'!$F$4:$F$303,'Opening Balance'!$G$4:$G$303,C91),INDEX($L$2:$L$3001,MATCH(C91&amp;"|"&amp;(H91-1),$I$2:$I$3001,0))))</f>
        <v/>
      </c>
      <c r="K91" s="6">
        <f>IF(C91="","",IF(M91&gt;0,M91,IF(AND(E91&gt;0,ROUND(J91+D91-E91,2)&gt;0,ROUND(J91+D91-E91,2)&lt;'Opening Balance'!$B$14),ROUND(J91+D91-E91,2),0)))</f>
        <v/>
      </c>
      <c r="L91" s="6">
        <f>IF(C91="","",ROUND(J91+D91-E91-K91,2))</f>
        <v/>
      </c>
      <c r="M91" s="6">
        <f>IF(C91="","",IF('Daily Sale entry '!Q91="Collection 收款",ROUND(N('Daily Sale entry '!T91),2),0))</f>
        <v/>
      </c>
    </row>
    <row r="92">
      <c r="A92" t="inlineStr">
        <is>
          <t>Entry 记录</t>
        </is>
      </c>
      <c r="B92" s="5">
        <f>IF('Daily Sale entry '!P92="","",'Daily Sale entry '!O92)</f>
        <v/>
      </c>
      <c r="C92">
        <f>IF('Daily Sale entry '!P92="","",'Daily Sale entry '!P92)</f>
        <v/>
      </c>
      <c r="D92">
        <f>IF(C92="","",IF('Daily Sale entry '!Q92="Credit Sale 赊销",'Daily Sale entry '!S92,0))</f>
        <v/>
      </c>
      <c r="E92">
        <f>IF(C92="","",IF('Daily Sale entry '!Q92="Collection 收款",'Daily Sale entry '!S92,0))</f>
        <v/>
      </c>
      <c r="F92" s="37">
        <f>IF(C92="","",B92+IF(E92&gt;0,0,0.5)+ROW()/10000000)</f>
        <v/>
      </c>
      <c r="G92">
        <f>IF(C92="","",'Daily Sale entry '!Q92&amp;IF('Daily Sale entry '!Q92="Collection 收款"," ("&amp;'Daily Sale entry '!R92&amp;")","")&amp;IF('Daily Sale entry '!U92="",""," - "&amp;'Daily Sale entry '!U92))</f>
        <v/>
      </c>
      <c r="H92">
        <f>IF(C92="","",COUNTIFS($C$2:$C$3001,C92,$F$2:$F$3001,"&lt;"&amp;F92)+1)</f>
        <v/>
      </c>
      <c r="I92">
        <f>IF(C92="","",C92&amp;"|"&amp;H92)</f>
        <v/>
      </c>
      <c r="J92" s="6">
        <f>IF(C92="","",IF(H92=1,SUMIFS('Opening Balance'!$F$4:$F$303,'Opening Balance'!$G$4:$G$303,C92),INDEX($L$2:$L$3001,MATCH(C92&amp;"|"&amp;(H92-1),$I$2:$I$3001,0))))</f>
        <v/>
      </c>
      <c r="K92" s="6">
        <f>IF(C92="","",IF(M92&gt;0,M92,IF(AND(E92&gt;0,ROUND(J92+D92-E92,2)&gt;0,ROUND(J92+D92-E92,2)&lt;'Opening Balance'!$B$14),ROUND(J92+D92-E92,2),0)))</f>
        <v/>
      </c>
      <c r="L92" s="6">
        <f>IF(C92="","",ROUND(J92+D92-E92-K92,2))</f>
        <v/>
      </c>
      <c r="M92" s="6">
        <f>IF(C92="","",IF('Daily Sale entry '!Q92="Collection 收款",ROUND(N('Daily Sale entry '!T92),2),0))</f>
        <v/>
      </c>
    </row>
    <row r="93">
      <c r="A93" t="inlineStr">
        <is>
          <t>Entry 记录</t>
        </is>
      </c>
      <c r="B93" s="5">
        <f>IF('Daily Sale entry '!P93="","",'Daily Sale entry '!O93)</f>
        <v/>
      </c>
      <c r="C93">
        <f>IF('Daily Sale entry '!P93="","",'Daily Sale entry '!P93)</f>
        <v/>
      </c>
      <c r="D93">
        <f>IF(C93="","",IF('Daily Sale entry '!Q93="Credit Sale 赊销",'Daily Sale entry '!S93,0))</f>
        <v/>
      </c>
      <c r="E93">
        <f>IF(C93="","",IF('Daily Sale entry '!Q93="Collection 收款",'Daily Sale entry '!S93,0))</f>
        <v/>
      </c>
      <c r="F93" s="37">
        <f>IF(C93="","",B93+IF(E93&gt;0,0,0.5)+ROW()/10000000)</f>
        <v/>
      </c>
      <c r="G93">
        <f>IF(C93="","",'Daily Sale entry '!Q93&amp;IF('Daily Sale entry '!Q93="Collection 收款"," ("&amp;'Daily Sale entry '!R93&amp;")","")&amp;IF('Daily Sale entry '!U93="",""," - "&amp;'Daily Sale entry '!U93))</f>
        <v/>
      </c>
      <c r="H93">
        <f>IF(C93="","",COUNTIFS($C$2:$C$3001,C93,$F$2:$F$3001,"&lt;"&amp;F93)+1)</f>
        <v/>
      </c>
      <c r="I93">
        <f>IF(C93="","",C93&amp;"|"&amp;H93)</f>
        <v/>
      </c>
      <c r="J93" s="6">
        <f>IF(C93="","",IF(H93=1,SUMIFS('Opening Balance'!$F$4:$F$303,'Opening Balance'!$G$4:$G$303,C93),INDEX($L$2:$L$3001,MATCH(C93&amp;"|"&amp;(H93-1),$I$2:$I$3001,0))))</f>
        <v/>
      </c>
      <c r="K93" s="6">
        <f>IF(C93="","",IF(M93&gt;0,M93,IF(AND(E93&gt;0,ROUND(J93+D93-E93,2)&gt;0,ROUND(J93+D93-E93,2)&lt;'Opening Balance'!$B$14),ROUND(J93+D93-E93,2),0)))</f>
        <v/>
      </c>
      <c r="L93" s="6">
        <f>IF(C93="","",ROUND(J93+D93-E93-K93,2))</f>
        <v/>
      </c>
      <c r="M93" s="6">
        <f>IF(C93="","",IF('Daily Sale entry '!Q93="Collection 收款",ROUND(N('Daily Sale entry '!T93),2),0))</f>
        <v/>
      </c>
    </row>
    <row r="94">
      <c r="A94" t="inlineStr">
        <is>
          <t>Entry 记录</t>
        </is>
      </c>
      <c r="B94" s="5">
        <f>IF('Daily Sale entry '!P94="","",'Daily Sale entry '!O94)</f>
        <v/>
      </c>
      <c r="C94">
        <f>IF('Daily Sale entry '!P94="","",'Daily Sale entry '!P94)</f>
        <v/>
      </c>
      <c r="D94">
        <f>IF(C94="","",IF('Daily Sale entry '!Q94="Credit Sale 赊销",'Daily Sale entry '!S94,0))</f>
        <v/>
      </c>
      <c r="E94">
        <f>IF(C94="","",IF('Daily Sale entry '!Q94="Collection 收款",'Daily Sale entry '!S94,0))</f>
        <v/>
      </c>
      <c r="F94" s="37">
        <f>IF(C94="","",B94+IF(E94&gt;0,0,0.5)+ROW()/10000000)</f>
        <v/>
      </c>
      <c r="G94">
        <f>IF(C94="","",'Daily Sale entry '!Q94&amp;IF('Daily Sale entry '!Q94="Collection 收款"," ("&amp;'Daily Sale entry '!R94&amp;")","")&amp;IF('Daily Sale entry '!U94="",""," - "&amp;'Daily Sale entry '!U94))</f>
        <v/>
      </c>
      <c r="H94">
        <f>IF(C94="","",COUNTIFS($C$2:$C$3001,C94,$F$2:$F$3001,"&lt;"&amp;F94)+1)</f>
        <v/>
      </c>
      <c r="I94">
        <f>IF(C94="","",C94&amp;"|"&amp;H94)</f>
        <v/>
      </c>
      <c r="J94" s="6">
        <f>IF(C94="","",IF(H94=1,SUMIFS('Opening Balance'!$F$4:$F$303,'Opening Balance'!$G$4:$G$303,C94),INDEX($L$2:$L$3001,MATCH(C94&amp;"|"&amp;(H94-1),$I$2:$I$3001,0))))</f>
        <v/>
      </c>
      <c r="K94" s="6">
        <f>IF(C94="","",IF(M94&gt;0,M94,IF(AND(E94&gt;0,ROUND(J94+D94-E94,2)&gt;0,ROUND(J94+D94-E94,2)&lt;'Opening Balance'!$B$14),ROUND(J94+D94-E94,2),0)))</f>
        <v/>
      </c>
      <c r="L94" s="6">
        <f>IF(C94="","",ROUND(J94+D94-E94-K94,2))</f>
        <v/>
      </c>
      <c r="M94" s="6">
        <f>IF(C94="","",IF('Daily Sale entry '!Q94="Collection 收款",ROUND(N('Daily Sale entry '!T94),2),0))</f>
        <v/>
      </c>
    </row>
    <row r="95">
      <c r="A95" t="inlineStr">
        <is>
          <t>Entry 记录</t>
        </is>
      </c>
      <c r="B95" s="5">
        <f>IF('Daily Sale entry '!P95="","",'Daily Sale entry '!O95)</f>
        <v/>
      </c>
      <c r="C95">
        <f>IF('Daily Sale entry '!P95="","",'Daily Sale entry '!P95)</f>
        <v/>
      </c>
      <c r="D95">
        <f>IF(C95="","",IF('Daily Sale entry '!Q95="Credit Sale 赊销",'Daily Sale entry '!S95,0))</f>
        <v/>
      </c>
      <c r="E95">
        <f>IF(C95="","",IF('Daily Sale entry '!Q95="Collection 收款",'Daily Sale entry '!S95,0))</f>
        <v/>
      </c>
      <c r="F95" s="37">
        <f>IF(C95="","",B95+IF(E95&gt;0,0,0.5)+ROW()/10000000)</f>
        <v/>
      </c>
      <c r="G95">
        <f>IF(C95="","",'Daily Sale entry '!Q95&amp;IF('Daily Sale entry '!Q95="Collection 收款"," ("&amp;'Daily Sale entry '!R95&amp;")","")&amp;IF('Daily Sale entry '!U95="",""," - "&amp;'Daily Sale entry '!U95))</f>
        <v/>
      </c>
      <c r="H95">
        <f>IF(C95="","",COUNTIFS($C$2:$C$3001,C95,$F$2:$F$3001,"&lt;"&amp;F95)+1)</f>
        <v/>
      </c>
      <c r="I95">
        <f>IF(C95="","",C95&amp;"|"&amp;H95)</f>
        <v/>
      </c>
      <c r="J95" s="6">
        <f>IF(C95="","",IF(H95=1,SUMIFS('Opening Balance'!$F$4:$F$303,'Opening Balance'!$G$4:$G$303,C95),INDEX($L$2:$L$3001,MATCH(C95&amp;"|"&amp;(H95-1),$I$2:$I$3001,0))))</f>
        <v/>
      </c>
      <c r="K95" s="6">
        <f>IF(C95="","",IF(M95&gt;0,M95,IF(AND(E95&gt;0,ROUND(J95+D95-E95,2)&gt;0,ROUND(J95+D95-E95,2)&lt;'Opening Balance'!$B$14),ROUND(J95+D95-E95,2),0)))</f>
        <v/>
      </c>
      <c r="L95" s="6">
        <f>IF(C95="","",ROUND(J95+D95-E95-K95,2))</f>
        <v/>
      </c>
      <c r="M95" s="6">
        <f>IF(C95="","",IF('Daily Sale entry '!Q95="Collection 收款",ROUND(N('Daily Sale entry '!T95),2),0))</f>
        <v/>
      </c>
    </row>
    <row r="96">
      <c r="A96" t="inlineStr">
        <is>
          <t>Entry 记录</t>
        </is>
      </c>
      <c r="B96" s="5">
        <f>IF('Daily Sale entry '!P96="","",'Daily Sale entry '!O96)</f>
        <v/>
      </c>
      <c r="C96">
        <f>IF('Daily Sale entry '!P96="","",'Daily Sale entry '!P96)</f>
        <v/>
      </c>
      <c r="D96">
        <f>IF(C96="","",IF('Daily Sale entry '!Q96="Credit Sale 赊销",'Daily Sale entry '!S96,0))</f>
        <v/>
      </c>
      <c r="E96">
        <f>IF(C96="","",IF('Daily Sale entry '!Q96="Collection 收款",'Daily Sale entry '!S96,0))</f>
        <v/>
      </c>
      <c r="F96" s="37">
        <f>IF(C96="","",B96+IF(E96&gt;0,0,0.5)+ROW()/10000000)</f>
        <v/>
      </c>
      <c r="G96">
        <f>IF(C96="","",'Daily Sale entry '!Q96&amp;IF('Daily Sale entry '!Q96="Collection 收款"," ("&amp;'Daily Sale entry '!R96&amp;")","")&amp;IF('Daily Sale entry '!U96="",""," - "&amp;'Daily Sale entry '!U96))</f>
        <v/>
      </c>
      <c r="H96">
        <f>IF(C96="","",COUNTIFS($C$2:$C$3001,C96,$F$2:$F$3001,"&lt;"&amp;F96)+1)</f>
        <v/>
      </c>
      <c r="I96">
        <f>IF(C96="","",C96&amp;"|"&amp;H96)</f>
        <v/>
      </c>
      <c r="J96" s="6">
        <f>IF(C96="","",IF(H96=1,SUMIFS('Opening Balance'!$F$4:$F$303,'Opening Balance'!$G$4:$G$303,C96),INDEX($L$2:$L$3001,MATCH(C96&amp;"|"&amp;(H96-1),$I$2:$I$3001,0))))</f>
        <v/>
      </c>
      <c r="K96" s="6">
        <f>IF(C96="","",IF(M96&gt;0,M96,IF(AND(E96&gt;0,ROUND(J96+D96-E96,2)&gt;0,ROUND(J96+D96-E96,2)&lt;'Opening Balance'!$B$14),ROUND(J96+D96-E96,2),0)))</f>
        <v/>
      </c>
      <c r="L96" s="6">
        <f>IF(C96="","",ROUND(J96+D96-E96-K96,2))</f>
        <v/>
      </c>
      <c r="M96" s="6">
        <f>IF(C96="","",IF('Daily Sale entry '!Q96="Collection 收款",ROUND(N('Daily Sale entry '!T96),2),0))</f>
        <v/>
      </c>
    </row>
    <row r="97">
      <c r="A97" t="inlineStr">
        <is>
          <t>Entry 记录</t>
        </is>
      </c>
      <c r="B97" s="5">
        <f>IF('Daily Sale entry '!P97="","",'Daily Sale entry '!O97)</f>
        <v/>
      </c>
      <c r="C97">
        <f>IF('Daily Sale entry '!P97="","",'Daily Sale entry '!P97)</f>
        <v/>
      </c>
      <c r="D97">
        <f>IF(C97="","",IF('Daily Sale entry '!Q97="Credit Sale 赊销",'Daily Sale entry '!S97,0))</f>
        <v/>
      </c>
      <c r="E97">
        <f>IF(C97="","",IF('Daily Sale entry '!Q97="Collection 收款",'Daily Sale entry '!S97,0))</f>
        <v/>
      </c>
      <c r="F97" s="37">
        <f>IF(C97="","",B97+IF(E97&gt;0,0,0.5)+ROW()/10000000)</f>
        <v/>
      </c>
      <c r="G97">
        <f>IF(C97="","",'Daily Sale entry '!Q97&amp;IF('Daily Sale entry '!Q97="Collection 收款"," ("&amp;'Daily Sale entry '!R97&amp;")","")&amp;IF('Daily Sale entry '!U97="",""," - "&amp;'Daily Sale entry '!U97))</f>
        <v/>
      </c>
      <c r="H97">
        <f>IF(C97="","",COUNTIFS($C$2:$C$3001,C97,$F$2:$F$3001,"&lt;"&amp;F97)+1)</f>
        <v/>
      </c>
      <c r="I97">
        <f>IF(C97="","",C97&amp;"|"&amp;H97)</f>
        <v/>
      </c>
      <c r="J97" s="6">
        <f>IF(C97="","",IF(H97=1,SUMIFS('Opening Balance'!$F$4:$F$303,'Opening Balance'!$G$4:$G$303,C97),INDEX($L$2:$L$3001,MATCH(C97&amp;"|"&amp;(H97-1),$I$2:$I$3001,0))))</f>
        <v/>
      </c>
      <c r="K97" s="6">
        <f>IF(C97="","",IF(M97&gt;0,M97,IF(AND(E97&gt;0,ROUND(J97+D97-E97,2)&gt;0,ROUND(J97+D97-E97,2)&lt;'Opening Balance'!$B$14),ROUND(J97+D97-E97,2),0)))</f>
        <v/>
      </c>
      <c r="L97" s="6">
        <f>IF(C97="","",ROUND(J97+D97-E97-K97,2))</f>
        <v/>
      </c>
      <c r="M97" s="6">
        <f>IF(C97="","",IF('Daily Sale entry '!Q97="Collection 收款",ROUND(N('Daily Sale entry '!T97),2),0))</f>
        <v/>
      </c>
    </row>
    <row r="98">
      <c r="A98" t="inlineStr">
        <is>
          <t>Entry 记录</t>
        </is>
      </c>
      <c r="B98" s="5">
        <f>IF('Daily Sale entry '!P98="","",'Daily Sale entry '!O98)</f>
        <v/>
      </c>
      <c r="C98">
        <f>IF('Daily Sale entry '!P98="","",'Daily Sale entry '!P98)</f>
        <v/>
      </c>
      <c r="D98">
        <f>IF(C98="","",IF('Daily Sale entry '!Q98="Credit Sale 赊销",'Daily Sale entry '!S98,0))</f>
        <v/>
      </c>
      <c r="E98">
        <f>IF(C98="","",IF('Daily Sale entry '!Q98="Collection 收款",'Daily Sale entry '!S98,0))</f>
        <v/>
      </c>
      <c r="F98" s="37">
        <f>IF(C98="","",B98+IF(E98&gt;0,0,0.5)+ROW()/10000000)</f>
        <v/>
      </c>
      <c r="G98">
        <f>IF(C98="","",'Daily Sale entry '!Q98&amp;IF('Daily Sale entry '!Q98="Collection 收款"," ("&amp;'Daily Sale entry '!R98&amp;")","")&amp;IF('Daily Sale entry '!U98="",""," - "&amp;'Daily Sale entry '!U98))</f>
        <v/>
      </c>
      <c r="H98">
        <f>IF(C98="","",COUNTIFS($C$2:$C$3001,C98,$F$2:$F$3001,"&lt;"&amp;F98)+1)</f>
        <v/>
      </c>
      <c r="I98">
        <f>IF(C98="","",C98&amp;"|"&amp;H98)</f>
        <v/>
      </c>
      <c r="J98" s="6">
        <f>IF(C98="","",IF(H98=1,SUMIFS('Opening Balance'!$F$4:$F$303,'Opening Balance'!$G$4:$G$303,C98),INDEX($L$2:$L$3001,MATCH(C98&amp;"|"&amp;(H98-1),$I$2:$I$3001,0))))</f>
        <v/>
      </c>
      <c r="K98" s="6">
        <f>IF(C98="","",IF(M98&gt;0,M98,IF(AND(E98&gt;0,ROUND(J98+D98-E98,2)&gt;0,ROUND(J98+D98-E98,2)&lt;'Opening Balance'!$B$14),ROUND(J98+D98-E98,2),0)))</f>
        <v/>
      </c>
      <c r="L98" s="6">
        <f>IF(C98="","",ROUND(J98+D98-E98-K98,2))</f>
        <v/>
      </c>
      <c r="M98" s="6">
        <f>IF(C98="","",IF('Daily Sale entry '!Q98="Collection 收款",ROUND(N('Daily Sale entry '!T98),2),0))</f>
        <v/>
      </c>
    </row>
    <row r="99">
      <c r="A99" t="inlineStr">
        <is>
          <t>Entry 记录</t>
        </is>
      </c>
      <c r="B99" s="5">
        <f>IF('Daily Sale entry '!P99="","",'Daily Sale entry '!O99)</f>
        <v/>
      </c>
      <c r="C99">
        <f>IF('Daily Sale entry '!P99="","",'Daily Sale entry '!P99)</f>
        <v/>
      </c>
      <c r="D99">
        <f>IF(C99="","",IF('Daily Sale entry '!Q99="Credit Sale 赊销",'Daily Sale entry '!S99,0))</f>
        <v/>
      </c>
      <c r="E99">
        <f>IF(C99="","",IF('Daily Sale entry '!Q99="Collection 收款",'Daily Sale entry '!S99,0))</f>
        <v/>
      </c>
      <c r="F99" s="37">
        <f>IF(C99="","",B99+IF(E99&gt;0,0,0.5)+ROW()/10000000)</f>
        <v/>
      </c>
      <c r="G99">
        <f>IF(C99="","",'Daily Sale entry '!Q99&amp;IF('Daily Sale entry '!Q99="Collection 收款"," ("&amp;'Daily Sale entry '!R99&amp;")","")&amp;IF('Daily Sale entry '!U99="",""," - "&amp;'Daily Sale entry '!U99))</f>
        <v/>
      </c>
      <c r="H99">
        <f>IF(C99="","",COUNTIFS($C$2:$C$3001,C99,$F$2:$F$3001,"&lt;"&amp;F99)+1)</f>
        <v/>
      </c>
      <c r="I99">
        <f>IF(C99="","",C99&amp;"|"&amp;H99)</f>
        <v/>
      </c>
      <c r="J99" s="6">
        <f>IF(C99="","",IF(H99=1,SUMIFS('Opening Balance'!$F$4:$F$303,'Opening Balance'!$G$4:$G$303,C99),INDEX($L$2:$L$3001,MATCH(C99&amp;"|"&amp;(H99-1),$I$2:$I$3001,0))))</f>
        <v/>
      </c>
      <c r="K99" s="6">
        <f>IF(C99="","",IF(M99&gt;0,M99,IF(AND(E99&gt;0,ROUND(J99+D99-E99,2)&gt;0,ROUND(J99+D99-E99,2)&lt;'Opening Balance'!$B$14),ROUND(J99+D99-E99,2),0)))</f>
        <v/>
      </c>
      <c r="L99" s="6">
        <f>IF(C99="","",ROUND(J99+D99-E99-K99,2))</f>
        <v/>
      </c>
      <c r="M99" s="6">
        <f>IF(C99="","",IF('Daily Sale entry '!Q99="Collection 收款",ROUND(N('Daily Sale entry '!T99),2),0))</f>
        <v/>
      </c>
    </row>
    <row r="100">
      <c r="A100" t="inlineStr">
        <is>
          <t>Entry 记录</t>
        </is>
      </c>
      <c r="B100" s="5">
        <f>IF('Daily Sale entry '!P100="","",'Daily Sale entry '!O100)</f>
        <v/>
      </c>
      <c r="C100">
        <f>IF('Daily Sale entry '!P100="","",'Daily Sale entry '!P100)</f>
        <v/>
      </c>
      <c r="D100">
        <f>IF(C100="","",IF('Daily Sale entry '!Q100="Credit Sale 赊销",'Daily Sale entry '!S100,0))</f>
        <v/>
      </c>
      <c r="E100">
        <f>IF(C100="","",IF('Daily Sale entry '!Q100="Collection 收款",'Daily Sale entry '!S100,0))</f>
        <v/>
      </c>
      <c r="F100" s="37">
        <f>IF(C100="","",B100+IF(E100&gt;0,0,0.5)+ROW()/10000000)</f>
        <v/>
      </c>
      <c r="G100">
        <f>IF(C100="","",'Daily Sale entry '!Q100&amp;IF('Daily Sale entry '!Q100="Collection 收款"," ("&amp;'Daily Sale entry '!R100&amp;")","")&amp;IF('Daily Sale entry '!U100="",""," - "&amp;'Daily Sale entry '!U100))</f>
        <v/>
      </c>
      <c r="H100">
        <f>IF(C100="","",COUNTIFS($C$2:$C$3001,C100,$F$2:$F$3001,"&lt;"&amp;F100)+1)</f>
        <v/>
      </c>
      <c r="I100">
        <f>IF(C100="","",C100&amp;"|"&amp;H100)</f>
        <v/>
      </c>
      <c r="J100" s="6">
        <f>IF(C100="","",IF(H100=1,SUMIFS('Opening Balance'!$F$4:$F$303,'Opening Balance'!$G$4:$G$303,C100),INDEX($L$2:$L$3001,MATCH(C100&amp;"|"&amp;(H100-1),$I$2:$I$3001,0))))</f>
        <v/>
      </c>
      <c r="K100" s="6">
        <f>IF(C100="","",IF(M100&gt;0,M100,IF(AND(E100&gt;0,ROUND(J100+D100-E100,2)&gt;0,ROUND(J100+D100-E100,2)&lt;'Opening Balance'!$B$14),ROUND(J100+D100-E100,2),0)))</f>
        <v/>
      </c>
      <c r="L100" s="6">
        <f>IF(C100="","",ROUND(J100+D100-E100-K100,2))</f>
        <v/>
      </c>
      <c r="M100" s="6">
        <f>IF(C100="","",IF('Daily Sale entry '!Q100="Collection 收款",ROUND(N('Daily Sale entry '!T100),2),0))</f>
        <v/>
      </c>
    </row>
    <row r="101">
      <c r="A101" t="inlineStr">
        <is>
          <t>Entry 记录</t>
        </is>
      </c>
      <c r="B101" s="5">
        <f>IF('Daily Sale entry '!P101="","",'Daily Sale entry '!O101)</f>
        <v/>
      </c>
      <c r="C101">
        <f>IF('Daily Sale entry '!P101="","",'Daily Sale entry '!P101)</f>
        <v/>
      </c>
      <c r="D101">
        <f>IF(C101="","",IF('Daily Sale entry '!Q101="Credit Sale 赊销",'Daily Sale entry '!S101,0))</f>
        <v/>
      </c>
      <c r="E101">
        <f>IF(C101="","",IF('Daily Sale entry '!Q101="Collection 收款",'Daily Sale entry '!S101,0))</f>
        <v/>
      </c>
      <c r="F101" s="37">
        <f>IF(C101="","",B101+IF(E101&gt;0,0,0.5)+ROW()/10000000)</f>
        <v/>
      </c>
      <c r="G101">
        <f>IF(C101="","",'Daily Sale entry '!Q101&amp;IF('Daily Sale entry '!Q101="Collection 收款"," ("&amp;'Daily Sale entry '!R101&amp;")","")&amp;IF('Daily Sale entry '!U101="",""," - "&amp;'Daily Sale entry '!U101))</f>
        <v/>
      </c>
      <c r="H101">
        <f>IF(C101="","",COUNTIFS($C$2:$C$3001,C101,$F$2:$F$3001,"&lt;"&amp;F101)+1)</f>
        <v/>
      </c>
      <c r="I101">
        <f>IF(C101="","",C101&amp;"|"&amp;H101)</f>
        <v/>
      </c>
      <c r="J101" s="6">
        <f>IF(C101="","",IF(H101=1,SUMIFS('Opening Balance'!$F$4:$F$303,'Opening Balance'!$G$4:$G$303,C101),INDEX($L$2:$L$3001,MATCH(C101&amp;"|"&amp;(H101-1),$I$2:$I$3001,0))))</f>
        <v/>
      </c>
      <c r="K101" s="6">
        <f>IF(C101="","",IF(M101&gt;0,M101,IF(AND(E101&gt;0,ROUND(J101+D101-E101,2)&gt;0,ROUND(J101+D101-E101,2)&lt;'Opening Balance'!$B$14),ROUND(J101+D101-E101,2),0)))</f>
        <v/>
      </c>
      <c r="L101" s="6">
        <f>IF(C101="","",ROUND(J101+D101-E101-K101,2))</f>
        <v/>
      </c>
      <c r="M101" s="6">
        <f>IF(C101="","",IF('Daily Sale entry '!Q101="Collection 收款",ROUND(N('Daily Sale entry '!T101),2),0))</f>
        <v/>
      </c>
    </row>
    <row r="102">
      <c r="A102" t="inlineStr">
        <is>
          <t>Entry 记录</t>
        </is>
      </c>
      <c r="B102" s="5">
        <f>IF('Daily Sale entry '!P102="","",'Daily Sale entry '!O102)</f>
        <v/>
      </c>
      <c r="C102">
        <f>IF('Daily Sale entry '!P102="","",'Daily Sale entry '!P102)</f>
        <v/>
      </c>
      <c r="D102">
        <f>IF(C102="","",IF('Daily Sale entry '!Q102="Credit Sale 赊销",'Daily Sale entry '!S102,0))</f>
        <v/>
      </c>
      <c r="E102">
        <f>IF(C102="","",IF('Daily Sale entry '!Q102="Collection 收款",'Daily Sale entry '!S102,0))</f>
        <v/>
      </c>
      <c r="F102" s="37">
        <f>IF(C102="","",B102+IF(E102&gt;0,0,0.5)+ROW()/10000000)</f>
        <v/>
      </c>
      <c r="G102">
        <f>IF(C102="","",'Daily Sale entry '!Q102&amp;IF('Daily Sale entry '!Q102="Collection 收款"," ("&amp;'Daily Sale entry '!R102&amp;")","")&amp;IF('Daily Sale entry '!U102="",""," - "&amp;'Daily Sale entry '!U102))</f>
        <v/>
      </c>
      <c r="H102">
        <f>IF(C102="","",COUNTIFS($C$2:$C$3001,C102,$F$2:$F$3001,"&lt;"&amp;F102)+1)</f>
        <v/>
      </c>
      <c r="I102">
        <f>IF(C102="","",C102&amp;"|"&amp;H102)</f>
        <v/>
      </c>
      <c r="J102" s="6">
        <f>IF(C102="","",IF(H102=1,SUMIFS('Opening Balance'!$F$4:$F$303,'Opening Balance'!$G$4:$G$303,C102),INDEX($L$2:$L$3001,MATCH(C102&amp;"|"&amp;(H102-1),$I$2:$I$3001,0))))</f>
        <v/>
      </c>
      <c r="K102" s="6">
        <f>IF(C102="","",IF(M102&gt;0,M102,IF(AND(E102&gt;0,ROUND(J102+D102-E102,2)&gt;0,ROUND(J102+D102-E102,2)&lt;'Opening Balance'!$B$14),ROUND(J102+D102-E102,2),0)))</f>
        <v/>
      </c>
      <c r="L102" s="6">
        <f>IF(C102="","",ROUND(J102+D102-E102-K102,2))</f>
        <v/>
      </c>
      <c r="M102" s="6">
        <f>IF(C102="","",IF('Daily Sale entry '!Q102="Collection 收款",ROUND(N('Daily Sale entry '!T102),2),0))</f>
        <v/>
      </c>
    </row>
    <row r="103">
      <c r="A103" t="inlineStr">
        <is>
          <t>Entry 记录</t>
        </is>
      </c>
      <c r="B103" s="5">
        <f>IF('Daily Sale entry '!P103="","",'Daily Sale entry '!O103)</f>
        <v/>
      </c>
      <c r="C103">
        <f>IF('Daily Sale entry '!P103="","",'Daily Sale entry '!P103)</f>
        <v/>
      </c>
      <c r="D103">
        <f>IF(C103="","",IF('Daily Sale entry '!Q103="Credit Sale 赊销",'Daily Sale entry '!S103,0))</f>
        <v/>
      </c>
      <c r="E103">
        <f>IF(C103="","",IF('Daily Sale entry '!Q103="Collection 收款",'Daily Sale entry '!S103,0))</f>
        <v/>
      </c>
      <c r="F103" s="37">
        <f>IF(C103="","",B103+IF(E103&gt;0,0,0.5)+ROW()/10000000)</f>
        <v/>
      </c>
      <c r="G103">
        <f>IF(C103="","",'Daily Sale entry '!Q103&amp;IF('Daily Sale entry '!Q103="Collection 收款"," ("&amp;'Daily Sale entry '!R103&amp;")","")&amp;IF('Daily Sale entry '!U103="",""," - "&amp;'Daily Sale entry '!U103))</f>
        <v/>
      </c>
      <c r="H103">
        <f>IF(C103="","",COUNTIFS($C$2:$C$3001,C103,$F$2:$F$3001,"&lt;"&amp;F103)+1)</f>
        <v/>
      </c>
      <c r="I103">
        <f>IF(C103="","",C103&amp;"|"&amp;H103)</f>
        <v/>
      </c>
      <c r="J103" s="6">
        <f>IF(C103="","",IF(H103=1,SUMIFS('Opening Balance'!$F$4:$F$303,'Opening Balance'!$G$4:$G$303,C103),INDEX($L$2:$L$3001,MATCH(C103&amp;"|"&amp;(H103-1),$I$2:$I$3001,0))))</f>
        <v/>
      </c>
      <c r="K103" s="6">
        <f>IF(C103="","",IF(M103&gt;0,M103,IF(AND(E103&gt;0,ROUND(J103+D103-E103,2)&gt;0,ROUND(J103+D103-E103,2)&lt;'Opening Balance'!$B$14),ROUND(J103+D103-E103,2),0)))</f>
        <v/>
      </c>
      <c r="L103" s="6">
        <f>IF(C103="","",ROUND(J103+D103-E103-K103,2))</f>
        <v/>
      </c>
      <c r="M103" s="6">
        <f>IF(C103="","",IF('Daily Sale entry '!Q103="Collection 收款",ROUND(N('Daily Sale entry '!T103),2),0))</f>
        <v/>
      </c>
    </row>
    <row r="104">
      <c r="A104" t="inlineStr">
        <is>
          <t>Entry 记录</t>
        </is>
      </c>
      <c r="B104" s="5">
        <f>IF('Daily Sale entry '!P104="","",'Daily Sale entry '!O104)</f>
        <v/>
      </c>
      <c r="C104">
        <f>IF('Daily Sale entry '!P104="","",'Daily Sale entry '!P104)</f>
        <v/>
      </c>
      <c r="D104">
        <f>IF(C104="","",IF('Daily Sale entry '!Q104="Credit Sale 赊销",'Daily Sale entry '!S104,0))</f>
        <v/>
      </c>
      <c r="E104">
        <f>IF(C104="","",IF('Daily Sale entry '!Q104="Collection 收款",'Daily Sale entry '!S104,0))</f>
        <v/>
      </c>
      <c r="F104" s="37">
        <f>IF(C104="","",B104+IF(E104&gt;0,0,0.5)+ROW()/10000000)</f>
        <v/>
      </c>
      <c r="G104">
        <f>IF(C104="","",'Daily Sale entry '!Q104&amp;IF('Daily Sale entry '!Q104="Collection 收款"," ("&amp;'Daily Sale entry '!R104&amp;")","")&amp;IF('Daily Sale entry '!U104="",""," - "&amp;'Daily Sale entry '!U104))</f>
        <v/>
      </c>
      <c r="H104">
        <f>IF(C104="","",COUNTIFS($C$2:$C$3001,C104,$F$2:$F$3001,"&lt;"&amp;F104)+1)</f>
        <v/>
      </c>
      <c r="I104">
        <f>IF(C104="","",C104&amp;"|"&amp;H104)</f>
        <v/>
      </c>
      <c r="J104" s="6">
        <f>IF(C104="","",IF(H104=1,SUMIFS('Opening Balance'!$F$4:$F$303,'Opening Balance'!$G$4:$G$303,C104),INDEX($L$2:$L$3001,MATCH(C104&amp;"|"&amp;(H104-1),$I$2:$I$3001,0))))</f>
        <v/>
      </c>
      <c r="K104" s="6">
        <f>IF(C104="","",IF(M104&gt;0,M104,IF(AND(E104&gt;0,ROUND(J104+D104-E104,2)&gt;0,ROUND(J104+D104-E104,2)&lt;'Opening Balance'!$B$14),ROUND(J104+D104-E104,2),0)))</f>
        <v/>
      </c>
      <c r="L104" s="6">
        <f>IF(C104="","",ROUND(J104+D104-E104-K104,2))</f>
        <v/>
      </c>
      <c r="M104" s="6">
        <f>IF(C104="","",IF('Daily Sale entry '!Q104="Collection 收款",ROUND(N('Daily Sale entry '!T104),2),0))</f>
        <v/>
      </c>
    </row>
    <row r="105">
      <c r="A105" t="inlineStr">
        <is>
          <t>Entry 记录</t>
        </is>
      </c>
      <c r="B105" s="5">
        <f>IF('Daily Sale entry '!P105="","",'Daily Sale entry '!O105)</f>
        <v/>
      </c>
      <c r="C105">
        <f>IF('Daily Sale entry '!P105="","",'Daily Sale entry '!P105)</f>
        <v/>
      </c>
      <c r="D105">
        <f>IF(C105="","",IF('Daily Sale entry '!Q105="Credit Sale 赊销",'Daily Sale entry '!S105,0))</f>
        <v/>
      </c>
      <c r="E105">
        <f>IF(C105="","",IF('Daily Sale entry '!Q105="Collection 收款",'Daily Sale entry '!S105,0))</f>
        <v/>
      </c>
      <c r="F105" s="37">
        <f>IF(C105="","",B105+IF(E105&gt;0,0,0.5)+ROW()/10000000)</f>
        <v/>
      </c>
      <c r="G105">
        <f>IF(C105="","",'Daily Sale entry '!Q105&amp;IF('Daily Sale entry '!Q105="Collection 收款"," ("&amp;'Daily Sale entry '!R105&amp;")","")&amp;IF('Daily Sale entry '!U105="",""," - "&amp;'Daily Sale entry '!U105))</f>
        <v/>
      </c>
      <c r="H105">
        <f>IF(C105="","",COUNTIFS($C$2:$C$3001,C105,$F$2:$F$3001,"&lt;"&amp;F105)+1)</f>
        <v/>
      </c>
      <c r="I105">
        <f>IF(C105="","",C105&amp;"|"&amp;H105)</f>
        <v/>
      </c>
      <c r="J105" s="6">
        <f>IF(C105="","",IF(H105=1,SUMIFS('Opening Balance'!$F$4:$F$303,'Opening Balance'!$G$4:$G$303,C105),INDEX($L$2:$L$3001,MATCH(C105&amp;"|"&amp;(H105-1),$I$2:$I$3001,0))))</f>
        <v/>
      </c>
      <c r="K105" s="6">
        <f>IF(C105="","",IF(M105&gt;0,M105,IF(AND(E105&gt;0,ROUND(J105+D105-E105,2)&gt;0,ROUND(J105+D105-E105,2)&lt;'Opening Balance'!$B$14),ROUND(J105+D105-E105,2),0)))</f>
        <v/>
      </c>
      <c r="L105" s="6">
        <f>IF(C105="","",ROUND(J105+D105-E105-K105,2))</f>
        <v/>
      </c>
      <c r="M105" s="6">
        <f>IF(C105="","",IF('Daily Sale entry '!Q105="Collection 收款",ROUND(N('Daily Sale entry '!T105),2),0))</f>
        <v/>
      </c>
    </row>
    <row r="106">
      <c r="A106" t="inlineStr">
        <is>
          <t>Entry 记录</t>
        </is>
      </c>
      <c r="B106" s="5">
        <f>IF('Daily Sale entry '!P106="","",'Daily Sale entry '!O106)</f>
        <v/>
      </c>
      <c r="C106">
        <f>IF('Daily Sale entry '!P106="","",'Daily Sale entry '!P106)</f>
        <v/>
      </c>
      <c r="D106">
        <f>IF(C106="","",IF('Daily Sale entry '!Q106="Credit Sale 赊销",'Daily Sale entry '!S106,0))</f>
        <v/>
      </c>
      <c r="E106">
        <f>IF(C106="","",IF('Daily Sale entry '!Q106="Collection 收款",'Daily Sale entry '!S106,0))</f>
        <v/>
      </c>
      <c r="F106" s="37">
        <f>IF(C106="","",B106+IF(E106&gt;0,0,0.5)+ROW()/10000000)</f>
        <v/>
      </c>
      <c r="G106">
        <f>IF(C106="","",'Daily Sale entry '!Q106&amp;IF('Daily Sale entry '!Q106="Collection 收款"," ("&amp;'Daily Sale entry '!R106&amp;")","")&amp;IF('Daily Sale entry '!U106="",""," - "&amp;'Daily Sale entry '!U106))</f>
        <v/>
      </c>
      <c r="H106">
        <f>IF(C106="","",COUNTIFS($C$2:$C$3001,C106,$F$2:$F$3001,"&lt;"&amp;F106)+1)</f>
        <v/>
      </c>
      <c r="I106">
        <f>IF(C106="","",C106&amp;"|"&amp;H106)</f>
        <v/>
      </c>
      <c r="J106" s="6">
        <f>IF(C106="","",IF(H106=1,SUMIFS('Opening Balance'!$F$4:$F$303,'Opening Balance'!$G$4:$G$303,C106),INDEX($L$2:$L$3001,MATCH(C106&amp;"|"&amp;(H106-1),$I$2:$I$3001,0))))</f>
        <v/>
      </c>
      <c r="K106" s="6">
        <f>IF(C106="","",IF(M106&gt;0,M106,IF(AND(E106&gt;0,ROUND(J106+D106-E106,2)&gt;0,ROUND(J106+D106-E106,2)&lt;'Opening Balance'!$B$14),ROUND(J106+D106-E106,2),0)))</f>
        <v/>
      </c>
      <c r="L106" s="6">
        <f>IF(C106="","",ROUND(J106+D106-E106-K106,2))</f>
        <v/>
      </c>
      <c r="M106" s="6">
        <f>IF(C106="","",IF('Daily Sale entry '!Q106="Collection 收款",ROUND(N('Daily Sale entry '!T106),2),0))</f>
        <v/>
      </c>
    </row>
    <row r="107">
      <c r="A107" t="inlineStr">
        <is>
          <t>Entry 记录</t>
        </is>
      </c>
      <c r="B107" s="5">
        <f>IF('Daily Sale entry '!P107="","",'Daily Sale entry '!O107)</f>
        <v/>
      </c>
      <c r="C107">
        <f>IF('Daily Sale entry '!P107="","",'Daily Sale entry '!P107)</f>
        <v/>
      </c>
      <c r="D107">
        <f>IF(C107="","",IF('Daily Sale entry '!Q107="Credit Sale 赊销",'Daily Sale entry '!S107,0))</f>
        <v/>
      </c>
      <c r="E107">
        <f>IF(C107="","",IF('Daily Sale entry '!Q107="Collection 收款",'Daily Sale entry '!S107,0))</f>
        <v/>
      </c>
      <c r="F107" s="37">
        <f>IF(C107="","",B107+IF(E107&gt;0,0,0.5)+ROW()/10000000)</f>
        <v/>
      </c>
      <c r="G107">
        <f>IF(C107="","",'Daily Sale entry '!Q107&amp;IF('Daily Sale entry '!Q107="Collection 收款"," ("&amp;'Daily Sale entry '!R107&amp;")","")&amp;IF('Daily Sale entry '!U107="",""," - "&amp;'Daily Sale entry '!U107))</f>
        <v/>
      </c>
      <c r="H107">
        <f>IF(C107="","",COUNTIFS($C$2:$C$3001,C107,$F$2:$F$3001,"&lt;"&amp;F107)+1)</f>
        <v/>
      </c>
      <c r="I107">
        <f>IF(C107="","",C107&amp;"|"&amp;H107)</f>
        <v/>
      </c>
      <c r="J107" s="6">
        <f>IF(C107="","",IF(H107=1,SUMIFS('Opening Balance'!$F$4:$F$303,'Opening Balance'!$G$4:$G$303,C107),INDEX($L$2:$L$3001,MATCH(C107&amp;"|"&amp;(H107-1),$I$2:$I$3001,0))))</f>
        <v/>
      </c>
      <c r="K107" s="6">
        <f>IF(C107="","",IF(M107&gt;0,M107,IF(AND(E107&gt;0,ROUND(J107+D107-E107,2)&gt;0,ROUND(J107+D107-E107,2)&lt;'Opening Balance'!$B$14),ROUND(J107+D107-E107,2),0)))</f>
        <v/>
      </c>
      <c r="L107" s="6">
        <f>IF(C107="","",ROUND(J107+D107-E107-K107,2))</f>
        <v/>
      </c>
      <c r="M107" s="6">
        <f>IF(C107="","",IF('Daily Sale entry '!Q107="Collection 收款",ROUND(N('Daily Sale entry '!T107),2),0))</f>
        <v/>
      </c>
    </row>
    <row r="108">
      <c r="A108" t="inlineStr">
        <is>
          <t>Entry 记录</t>
        </is>
      </c>
      <c r="B108" s="5">
        <f>IF('Daily Sale entry '!P108="","",'Daily Sale entry '!O108)</f>
        <v/>
      </c>
      <c r="C108">
        <f>IF('Daily Sale entry '!P108="","",'Daily Sale entry '!P108)</f>
        <v/>
      </c>
      <c r="D108">
        <f>IF(C108="","",IF('Daily Sale entry '!Q108="Credit Sale 赊销",'Daily Sale entry '!S108,0))</f>
        <v/>
      </c>
      <c r="E108">
        <f>IF(C108="","",IF('Daily Sale entry '!Q108="Collection 收款",'Daily Sale entry '!S108,0))</f>
        <v/>
      </c>
      <c r="F108" s="37">
        <f>IF(C108="","",B108+IF(E108&gt;0,0,0.5)+ROW()/10000000)</f>
        <v/>
      </c>
      <c r="G108">
        <f>IF(C108="","",'Daily Sale entry '!Q108&amp;IF('Daily Sale entry '!Q108="Collection 收款"," ("&amp;'Daily Sale entry '!R108&amp;")","")&amp;IF('Daily Sale entry '!U108="",""," - "&amp;'Daily Sale entry '!U108))</f>
        <v/>
      </c>
      <c r="H108">
        <f>IF(C108="","",COUNTIFS($C$2:$C$3001,C108,$F$2:$F$3001,"&lt;"&amp;F108)+1)</f>
        <v/>
      </c>
      <c r="I108">
        <f>IF(C108="","",C108&amp;"|"&amp;H108)</f>
        <v/>
      </c>
      <c r="J108" s="6">
        <f>IF(C108="","",IF(H108=1,SUMIFS('Opening Balance'!$F$4:$F$303,'Opening Balance'!$G$4:$G$303,C108),INDEX($L$2:$L$3001,MATCH(C108&amp;"|"&amp;(H108-1),$I$2:$I$3001,0))))</f>
        <v/>
      </c>
      <c r="K108" s="6">
        <f>IF(C108="","",IF(M108&gt;0,M108,IF(AND(E108&gt;0,ROUND(J108+D108-E108,2)&gt;0,ROUND(J108+D108-E108,2)&lt;'Opening Balance'!$B$14),ROUND(J108+D108-E108,2),0)))</f>
        <v/>
      </c>
      <c r="L108" s="6">
        <f>IF(C108="","",ROUND(J108+D108-E108-K108,2))</f>
        <v/>
      </c>
      <c r="M108" s="6">
        <f>IF(C108="","",IF('Daily Sale entry '!Q108="Collection 收款",ROUND(N('Daily Sale entry '!T108),2),0))</f>
        <v/>
      </c>
    </row>
    <row r="109">
      <c r="A109" t="inlineStr">
        <is>
          <t>Entry 记录</t>
        </is>
      </c>
      <c r="B109" s="5">
        <f>IF('Daily Sale entry '!P109="","",'Daily Sale entry '!O109)</f>
        <v/>
      </c>
      <c r="C109">
        <f>IF('Daily Sale entry '!P109="","",'Daily Sale entry '!P109)</f>
        <v/>
      </c>
      <c r="D109">
        <f>IF(C109="","",IF('Daily Sale entry '!Q109="Credit Sale 赊销",'Daily Sale entry '!S109,0))</f>
        <v/>
      </c>
      <c r="E109">
        <f>IF(C109="","",IF('Daily Sale entry '!Q109="Collection 收款",'Daily Sale entry '!S109,0))</f>
        <v/>
      </c>
      <c r="F109" s="37">
        <f>IF(C109="","",B109+IF(E109&gt;0,0,0.5)+ROW()/10000000)</f>
        <v/>
      </c>
      <c r="G109">
        <f>IF(C109="","",'Daily Sale entry '!Q109&amp;IF('Daily Sale entry '!Q109="Collection 收款"," ("&amp;'Daily Sale entry '!R109&amp;")","")&amp;IF('Daily Sale entry '!U109="",""," - "&amp;'Daily Sale entry '!U109))</f>
        <v/>
      </c>
      <c r="H109">
        <f>IF(C109="","",COUNTIFS($C$2:$C$3001,C109,$F$2:$F$3001,"&lt;"&amp;F109)+1)</f>
        <v/>
      </c>
      <c r="I109">
        <f>IF(C109="","",C109&amp;"|"&amp;H109)</f>
        <v/>
      </c>
      <c r="J109" s="6">
        <f>IF(C109="","",IF(H109=1,SUMIFS('Opening Balance'!$F$4:$F$303,'Opening Balance'!$G$4:$G$303,C109),INDEX($L$2:$L$3001,MATCH(C109&amp;"|"&amp;(H109-1),$I$2:$I$3001,0))))</f>
        <v/>
      </c>
      <c r="K109" s="6">
        <f>IF(C109="","",IF(M109&gt;0,M109,IF(AND(E109&gt;0,ROUND(J109+D109-E109,2)&gt;0,ROUND(J109+D109-E109,2)&lt;'Opening Balance'!$B$14),ROUND(J109+D109-E109,2),0)))</f>
        <v/>
      </c>
      <c r="L109" s="6">
        <f>IF(C109="","",ROUND(J109+D109-E109-K109,2))</f>
        <v/>
      </c>
      <c r="M109" s="6">
        <f>IF(C109="","",IF('Daily Sale entry '!Q109="Collection 收款",ROUND(N('Daily Sale entry '!T109),2),0))</f>
        <v/>
      </c>
    </row>
    <row r="110">
      <c r="A110" t="inlineStr">
        <is>
          <t>Entry 记录</t>
        </is>
      </c>
      <c r="B110" s="5">
        <f>IF('Daily Sale entry '!P110="","",'Daily Sale entry '!O110)</f>
        <v/>
      </c>
      <c r="C110">
        <f>IF('Daily Sale entry '!P110="","",'Daily Sale entry '!P110)</f>
        <v/>
      </c>
      <c r="D110">
        <f>IF(C110="","",IF('Daily Sale entry '!Q110="Credit Sale 赊销",'Daily Sale entry '!S110,0))</f>
        <v/>
      </c>
      <c r="E110">
        <f>IF(C110="","",IF('Daily Sale entry '!Q110="Collection 收款",'Daily Sale entry '!S110,0))</f>
        <v/>
      </c>
      <c r="F110" s="37">
        <f>IF(C110="","",B110+IF(E110&gt;0,0,0.5)+ROW()/10000000)</f>
        <v/>
      </c>
      <c r="G110">
        <f>IF(C110="","",'Daily Sale entry '!Q110&amp;IF('Daily Sale entry '!Q110="Collection 收款"," ("&amp;'Daily Sale entry '!R110&amp;")","")&amp;IF('Daily Sale entry '!U110="",""," - "&amp;'Daily Sale entry '!U110))</f>
        <v/>
      </c>
      <c r="H110">
        <f>IF(C110="","",COUNTIFS($C$2:$C$3001,C110,$F$2:$F$3001,"&lt;"&amp;F110)+1)</f>
        <v/>
      </c>
      <c r="I110">
        <f>IF(C110="","",C110&amp;"|"&amp;H110)</f>
        <v/>
      </c>
      <c r="J110" s="6">
        <f>IF(C110="","",IF(H110=1,SUMIFS('Opening Balance'!$F$4:$F$303,'Opening Balance'!$G$4:$G$303,C110),INDEX($L$2:$L$3001,MATCH(C110&amp;"|"&amp;(H110-1),$I$2:$I$3001,0))))</f>
        <v/>
      </c>
      <c r="K110" s="6">
        <f>IF(C110="","",IF(M110&gt;0,M110,IF(AND(E110&gt;0,ROUND(J110+D110-E110,2)&gt;0,ROUND(J110+D110-E110,2)&lt;'Opening Balance'!$B$14),ROUND(J110+D110-E110,2),0)))</f>
        <v/>
      </c>
      <c r="L110" s="6">
        <f>IF(C110="","",ROUND(J110+D110-E110-K110,2))</f>
        <v/>
      </c>
      <c r="M110" s="6">
        <f>IF(C110="","",IF('Daily Sale entry '!Q110="Collection 收款",ROUND(N('Daily Sale entry '!T110),2),0))</f>
        <v/>
      </c>
    </row>
    <row r="111">
      <c r="A111" t="inlineStr">
        <is>
          <t>Entry 记录</t>
        </is>
      </c>
      <c r="B111" s="5">
        <f>IF('Daily Sale entry '!P111="","",'Daily Sale entry '!O111)</f>
        <v/>
      </c>
      <c r="C111">
        <f>IF('Daily Sale entry '!P111="","",'Daily Sale entry '!P111)</f>
        <v/>
      </c>
      <c r="D111">
        <f>IF(C111="","",IF('Daily Sale entry '!Q111="Credit Sale 赊销",'Daily Sale entry '!S111,0))</f>
        <v/>
      </c>
      <c r="E111">
        <f>IF(C111="","",IF('Daily Sale entry '!Q111="Collection 收款",'Daily Sale entry '!S111,0))</f>
        <v/>
      </c>
      <c r="F111" s="37">
        <f>IF(C111="","",B111+IF(E111&gt;0,0,0.5)+ROW()/10000000)</f>
        <v/>
      </c>
      <c r="G111">
        <f>IF(C111="","",'Daily Sale entry '!Q111&amp;IF('Daily Sale entry '!Q111="Collection 收款"," ("&amp;'Daily Sale entry '!R111&amp;")","")&amp;IF('Daily Sale entry '!U111="",""," - "&amp;'Daily Sale entry '!U111))</f>
        <v/>
      </c>
      <c r="H111">
        <f>IF(C111="","",COUNTIFS($C$2:$C$3001,C111,$F$2:$F$3001,"&lt;"&amp;F111)+1)</f>
        <v/>
      </c>
      <c r="I111">
        <f>IF(C111="","",C111&amp;"|"&amp;H111)</f>
        <v/>
      </c>
      <c r="J111" s="6">
        <f>IF(C111="","",IF(H111=1,SUMIFS('Opening Balance'!$F$4:$F$303,'Opening Balance'!$G$4:$G$303,C111),INDEX($L$2:$L$3001,MATCH(C111&amp;"|"&amp;(H111-1),$I$2:$I$3001,0))))</f>
        <v/>
      </c>
      <c r="K111" s="6">
        <f>IF(C111="","",IF(M111&gt;0,M111,IF(AND(E111&gt;0,ROUND(J111+D111-E111,2)&gt;0,ROUND(J111+D111-E111,2)&lt;'Opening Balance'!$B$14),ROUND(J111+D111-E111,2),0)))</f>
        <v/>
      </c>
      <c r="L111" s="6">
        <f>IF(C111="","",ROUND(J111+D111-E111-K111,2))</f>
        <v/>
      </c>
      <c r="M111" s="6">
        <f>IF(C111="","",IF('Daily Sale entry '!Q111="Collection 收款",ROUND(N('Daily Sale entry '!T111),2),0))</f>
        <v/>
      </c>
    </row>
    <row r="112">
      <c r="A112" t="inlineStr">
        <is>
          <t>Entry 记录</t>
        </is>
      </c>
      <c r="B112" s="5">
        <f>IF('Daily Sale entry '!P112="","",'Daily Sale entry '!O112)</f>
        <v/>
      </c>
      <c r="C112">
        <f>IF('Daily Sale entry '!P112="","",'Daily Sale entry '!P112)</f>
        <v/>
      </c>
      <c r="D112">
        <f>IF(C112="","",IF('Daily Sale entry '!Q112="Credit Sale 赊销",'Daily Sale entry '!S112,0))</f>
        <v/>
      </c>
      <c r="E112">
        <f>IF(C112="","",IF('Daily Sale entry '!Q112="Collection 收款",'Daily Sale entry '!S112,0))</f>
        <v/>
      </c>
      <c r="F112" s="37">
        <f>IF(C112="","",B112+IF(E112&gt;0,0,0.5)+ROW()/10000000)</f>
        <v/>
      </c>
      <c r="G112">
        <f>IF(C112="","",'Daily Sale entry '!Q112&amp;IF('Daily Sale entry '!Q112="Collection 收款"," ("&amp;'Daily Sale entry '!R112&amp;")","")&amp;IF('Daily Sale entry '!U112="",""," - "&amp;'Daily Sale entry '!U112))</f>
        <v/>
      </c>
      <c r="H112">
        <f>IF(C112="","",COUNTIFS($C$2:$C$3001,C112,$F$2:$F$3001,"&lt;"&amp;F112)+1)</f>
        <v/>
      </c>
      <c r="I112">
        <f>IF(C112="","",C112&amp;"|"&amp;H112)</f>
        <v/>
      </c>
      <c r="J112" s="6">
        <f>IF(C112="","",IF(H112=1,SUMIFS('Opening Balance'!$F$4:$F$303,'Opening Balance'!$G$4:$G$303,C112),INDEX($L$2:$L$3001,MATCH(C112&amp;"|"&amp;(H112-1),$I$2:$I$3001,0))))</f>
        <v/>
      </c>
      <c r="K112" s="6">
        <f>IF(C112="","",IF(M112&gt;0,M112,IF(AND(E112&gt;0,ROUND(J112+D112-E112,2)&gt;0,ROUND(J112+D112-E112,2)&lt;'Opening Balance'!$B$14),ROUND(J112+D112-E112,2),0)))</f>
        <v/>
      </c>
      <c r="L112" s="6">
        <f>IF(C112="","",ROUND(J112+D112-E112-K112,2))</f>
        <v/>
      </c>
      <c r="M112" s="6">
        <f>IF(C112="","",IF('Daily Sale entry '!Q112="Collection 收款",ROUND(N('Daily Sale entry '!T112),2),0))</f>
        <v/>
      </c>
    </row>
    <row r="113">
      <c r="A113" t="inlineStr">
        <is>
          <t>Entry 记录</t>
        </is>
      </c>
      <c r="B113" s="5">
        <f>IF('Daily Sale entry '!P113="","",'Daily Sale entry '!O113)</f>
        <v/>
      </c>
      <c r="C113">
        <f>IF('Daily Sale entry '!P113="","",'Daily Sale entry '!P113)</f>
        <v/>
      </c>
      <c r="D113">
        <f>IF(C113="","",IF('Daily Sale entry '!Q113="Credit Sale 赊销",'Daily Sale entry '!S113,0))</f>
        <v/>
      </c>
      <c r="E113">
        <f>IF(C113="","",IF('Daily Sale entry '!Q113="Collection 收款",'Daily Sale entry '!S113,0))</f>
        <v/>
      </c>
      <c r="F113" s="37">
        <f>IF(C113="","",B113+IF(E113&gt;0,0,0.5)+ROW()/10000000)</f>
        <v/>
      </c>
      <c r="G113">
        <f>IF(C113="","",'Daily Sale entry '!Q113&amp;IF('Daily Sale entry '!Q113="Collection 收款"," ("&amp;'Daily Sale entry '!R113&amp;")","")&amp;IF('Daily Sale entry '!U113="",""," - "&amp;'Daily Sale entry '!U113))</f>
        <v/>
      </c>
      <c r="H113">
        <f>IF(C113="","",COUNTIFS($C$2:$C$3001,C113,$F$2:$F$3001,"&lt;"&amp;F113)+1)</f>
        <v/>
      </c>
      <c r="I113">
        <f>IF(C113="","",C113&amp;"|"&amp;H113)</f>
        <v/>
      </c>
      <c r="J113" s="6">
        <f>IF(C113="","",IF(H113=1,SUMIFS('Opening Balance'!$F$4:$F$303,'Opening Balance'!$G$4:$G$303,C113),INDEX($L$2:$L$3001,MATCH(C113&amp;"|"&amp;(H113-1),$I$2:$I$3001,0))))</f>
        <v/>
      </c>
      <c r="K113" s="6">
        <f>IF(C113="","",IF(M113&gt;0,M113,IF(AND(E113&gt;0,ROUND(J113+D113-E113,2)&gt;0,ROUND(J113+D113-E113,2)&lt;'Opening Balance'!$B$14),ROUND(J113+D113-E113,2),0)))</f>
        <v/>
      </c>
      <c r="L113" s="6">
        <f>IF(C113="","",ROUND(J113+D113-E113-K113,2))</f>
        <v/>
      </c>
      <c r="M113" s="6">
        <f>IF(C113="","",IF('Daily Sale entry '!Q113="Collection 收款",ROUND(N('Daily Sale entry '!T113),2),0))</f>
        <v/>
      </c>
    </row>
    <row r="114">
      <c r="A114" t="inlineStr">
        <is>
          <t>Entry 记录</t>
        </is>
      </c>
      <c r="B114" s="5">
        <f>IF('Daily Sale entry '!P114="","",'Daily Sale entry '!O114)</f>
        <v/>
      </c>
      <c r="C114">
        <f>IF('Daily Sale entry '!P114="","",'Daily Sale entry '!P114)</f>
        <v/>
      </c>
      <c r="D114">
        <f>IF(C114="","",IF('Daily Sale entry '!Q114="Credit Sale 赊销",'Daily Sale entry '!S114,0))</f>
        <v/>
      </c>
      <c r="E114">
        <f>IF(C114="","",IF('Daily Sale entry '!Q114="Collection 收款",'Daily Sale entry '!S114,0))</f>
        <v/>
      </c>
      <c r="F114" s="37">
        <f>IF(C114="","",B114+IF(E114&gt;0,0,0.5)+ROW()/10000000)</f>
        <v/>
      </c>
      <c r="G114">
        <f>IF(C114="","",'Daily Sale entry '!Q114&amp;IF('Daily Sale entry '!Q114="Collection 收款"," ("&amp;'Daily Sale entry '!R114&amp;")","")&amp;IF('Daily Sale entry '!U114="",""," - "&amp;'Daily Sale entry '!U114))</f>
        <v/>
      </c>
      <c r="H114">
        <f>IF(C114="","",COUNTIFS($C$2:$C$3001,C114,$F$2:$F$3001,"&lt;"&amp;F114)+1)</f>
        <v/>
      </c>
      <c r="I114">
        <f>IF(C114="","",C114&amp;"|"&amp;H114)</f>
        <v/>
      </c>
      <c r="J114" s="6">
        <f>IF(C114="","",IF(H114=1,SUMIFS('Opening Balance'!$F$4:$F$303,'Opening Balance'!$G$4:$G$303,C114),INDEX($L$2:$L$3001,MATCH(C114&amp;"|"&amp;(H114-1),$I$2:$I$3001,0))))</f>
        <v/>
      </c>
      <c r="K114" s="6">
        <f>IF(C114="","",IF(M114&gt;0,M114,IF(AND(E114&gt;0,ROUND(J114+D114-E114,2)&gt;0,ROUND(J114+D114-E114,2)&lt;'Opening Balance'!$B$14),ROUND(J114+D114-E114,2),0)))</f>
        <v/>
      </c>
      <c r="L114" s="6">
        <f>IF(C114="","",ROUND(J114+D114-E114-K114,2))</f>
        <v/>
      </c>
      <c r="M114" s="6">
        <f>IF(C114="","",IF('Daily Sale entry '!Q114="Collection 收款",ROUND(N('Daily Sale entry '!T114),2),0))</f>
        <v/>
      </c>
    </row>
    <row r="115">
      <c r="A115" t="inlineStr">
        <is>
          <t>Entry 记录</t>
        </is>
      </c>
      <c r="B115" s="5">
        <f>IF('Daily Sale entry '!P115="","",'Daily Sale entry '!O115)</f>
        <v/>
      </c>
      <c r="C115">
        <f>IF('Daily Sale entry '!P115="","",'Daily Sale entry '!P115)</f>
        <v/>
      </c>
      <c r="D115">
        <f>IF(C115="","",IF('Daily Sale entry '!Q115="Credit Sale 赊销",'Daily Sale entry '!S115,0))</f>
        <v/>
      </c>
      <c r="E115">
        <f>IF(C115="","",IF('Daily Sale entry '!Q115="Collection 收款",'Daily Sale entry '!S115,0))</f>
        <v/>
      </c>
      <c r="F115" s="37">
        <f>IF(C115="","",B115+IF(E115&gt;0,0,0.5)+ROW()/10000000)</f>
        <v/>
      </c>
      <c r="G115">
        <f>IF(C115="","",'Daily Sale entry '!Q115&amp;IF('Daily Sale entry '!Q115="Collection 收款"," ("&amp;'Daily Sale entry '!R115&amp;")","")&amp;IF('Daily Sale entry '!U115="",""," - "&amp;'Daily Sale entry '!U115))</f>
        <v/>
      </c>
      <c r="H115">
        <f>IF(C115="","",COUNTIFS($C$2:$C$3001,C115,$F$2:$F$3001,"&lt;"&amp;F115)+1)</f>
        <v/>
      </c>
      <c r="I115">
        <f>IF(C115="","",C115&amp;"|"&amp;H115)</f>
        <v/>
      </c>
      <c r="J115" s="6">
        <f>IF(C115="","",IF(H115=1,SUMIFS('Opening Balance'!$F$4:$F$303,'Opening Balance'!$G$4:$G$303,C115),INDEX($L$2:$L$3001,MATCH(C115&amp;"|"&amp;(H115-1),$I$2:$I$3001,0))))</f>
        <v/>
      </c>
      <c r="K115" s="6">
        <f>IF(C115="","",IF(M115&gt;0,M115,IF(AND(E115&gt;0,ROUND(J115+D115-E115,2)&gt;0,ROUND(J115+D115-E115,2)&lt;'Opening Balance'!$B$14),ROUND(J115+D115-E115,2),0)))</f>
        <v/>
      </c>
      <c r="L115" s="6">
        <f>IF(C115="","",ROUND(J115+D115-E115-K115,2))</f>
        <v/>
      </c>
      <c r="M115" s="6">
        <f>IF(C115="","",IF('Daily Sale entry '!Q115="Collection 收款",ROUND(N('Daily Sale entry '!T115),2),0))</f>
        <v/>
      </c>
    </row>
    <row r="116">
      <c r="A116" t="inlineStr">
        <is>
          <t>Entry 记录</t>
        </is>
      </c>
      <c r="B116" s="5">
        <f>IF('Daily Sale entry '!P116="","",'Daily Sale entry '!O116)</f>
        <v/>
      </c>
      <c r="C116">
        <f>IF('Daily Sale entry '!P116="","",'Daily Sale entry '!P116)</f>
        <v/>
      </c>
      <c r="D116">
        <f>IF(C116="","",IF('Daily Sale entry '!Q116="Credit Sale 赊销",'Daily Sale entry '!S116,0))</f>
        <v/>
      </c>
      <c r="E116">
        <f>IF(C116="","",IF('Daily Sale entry '!Q116="Collection 收款",'Daily Sale entry '!S116,0))</f>
        <v/>
      </c>
      <c r="F116" s="37">
        <f>IF(C116="","",B116+IF(E116&gt;0,0,0.5)+ROW()/10000000)</f>
        <v/>
      </c>
      <c r="G116">
        <f>IF(C116="","",'Daily Sale entry '!Q116&amp;IF('Daily Sale entry '!Q116="Collection 收款"," ("&amp;'Daily Sale entry '!R116&amp;")","")&amp;IF('Daily Sale entry '!U116="",""," - "&amp;'Daily Sale entry '!U116))</f>
        <v/>
      </c>
      <c r="H116">
        <f>IF(C116="","",COUNTIFS($C$2:$C$3001,C116,$F$2:$F$3001,"&lt;"&amp;F116)+1)</f>
        <v/>
      </c>
      <c r="I116">
        <f>IF(C116="","",C116&amp;"|"&amp;H116)</f>
        <v/>
      </c>
      <c r="J116" s="6">
        <f>IF(C116="","",IF(H116=1,SUMIFS('Opening Balance'!$F$4:$F$303,'Opening Balance'!$G$4:$G$303,C116),INDEX($L$2:$L$3001,MATCH(C116&amp;"|"&amp;(H116-1),$I$2:$I$3001,0))))</f>
        <v/>
      </c>
      <c r="K116" s="6">
        <f>IF(C116="","",IF(M116&gt;0,M116,IF(AND(E116&gt;0,ROUND(J116+D116-E116,2)&gt;0,ROUND(J116+D116-E116,2)&lt;'Opening Balance'!$B$14),ROUND(J116+D116-E116,2),0)))</f>
        <v/>
      </c>
      <c r="L116" s="6">
        <f>IF(C116="","",ROUND(J116+D116-E116-K116,2))</f>
        <v/>
      </c>
      <c r="M116" s="6">
        <f>IF(C116="","",IF('Daily Sale entry '!Q116="Collection 收款",ROUND(N('Daily Sale entry '!T116),2),0))</f>
        <v/>
      </c>
    </row>
    <row r="117">
      <c r="A117" t="inlineStr">
        <is>
          <t>Entry 记录</t>
        </is>
      </c>
      <c r="B117" s="5">
        <f>IF('Daily Sale entry '!P117="","",'Daily Sale entry '!O117)</f>
        <v/>
      </c>
      <c r="C117">
        <f>IF('Daily Sale entry '!P117="","",'Daily Sale entry '!P117)</f>
        <v/>
      </c>
      <c r="D117">
        <f>IF(C117="","",IF('Daily Sale entry '!Q117="Credit Sale 赊销",'Daily Sale entry '!S117,0))</f>
        <v/>
      </c>
      <c r="E117">
        <f>IF(C117="","",IF('Daily Sale entry '!Q117="Collection 收款",'Daily Sale entry '!S117,0))</f>
        <v/>
      </c>
      <c r="F117" s="37">
        <f>IF(C117="","",B117+IF(E117&gt;0,0,0.5)+ROW()/10000000)</f>
        <v/>
      </c>
      <c r="G117">
        <f>IF(C117="","",'Daily Sale entry '!Q117&amp;IF('Daily Sale entry '!Q117="Collection 收款"," ("&amp;'Daily Sale entry '!R117&amp;")","")&amp;IF('Daily Sale entry '!U117="",""," - "&amp;'Daily Sale entry '!U117))</f>
        <v/>
      </c>
      <c r="H117">
        <f>IF(C117="","",COUNTIFS($C$2:$C$3001,C117,$F$2:$F$3001,"&lt;"&amp;F117)+1)</f>
        <v/>
      </c>
      <c r="I117">
        <f>IF(C117="","",C117&amp;"|"&amp;H117)</f>
        <v/>
      </c>
      <c r="J117" s="6">
        <f>IF(C117="","",IF(H117=1,SUMIFS('Opening Balance'!$F$4:$F$303,'Opening Balance'!$G$4:$G$303,C117),INDEX($L$2:$L$3001,MATCH(C117&amp;"|"&amp;(H117-1),$I$2:$I$3001,0))))</f>
        <v/>
      </c>
      <c r="K117" s="6">
        <f>IF(C117="","",IF(M117&gt;0,M117,IF(AND(E117&gt;0,ROUND(J117+D117-E117,2)&gt;0,ROUND(J117+D117-E117,2)&lt;'Opening Balance'!$B$14),ROUND(J117+D117-E117,2),0)))</f>
        <v/>
      </c>
      <c r="L117" s="6">
        <f>IF(C117="","",ROUND(J117+D117-E117-K117,2))</f>
        <v/>
      </c>
      <c r="M117" s="6">
        <f>IF(C117="","",IF('Daily Sale entry '!Q117="Collection 收款",ROUND(N('Daily Sale entry '!T117),2),0))</f>
        <v/>
      </c>
    </row>
    <row r="118">
      <c r="A118" t="inlineStr">
        <is>
          <t>Entry 记录</t>
        </is>
      </c>
      <c r="B118" s="5">
        <f>IF('Daily Sale entry '!P118="","",'Daily Sale entry '!O118)</f>
        <v/>
      </c>
      <c r="C118">
        <f>IF('Daily Sale entry '!P118="","",'Daily Sale entry '!P118)</f>
        <v/>
      </c>
      <c r="D118">
        <f>IF(C118="","",IF('Daily Sale entry '!Q118="Credit Sale 赊销",'Daily Sale entry '!S118,0))</f>
        <v/>
      </c>
      <c r="E118">
        <f>IF(C118="","",IF('Daily Sale entry '!Q118="Collection 收款",'Daily Sale entry '!S118,0))</f>
        <v/>
      </c>
      <c r="F118" s="37">
        <f>IF(C118="","",B118+IF(E118&gt;0,0,0.5)+ROW()/10000000)</f>
        <v/>
      </c>
      <c r="G118">
        <f>IF(C118="","",'Daily Sale entry '!Q118&amp;IF('Daily Sale entry '!Q118="Collection 收款"," ("&amp;'Daily Sale entry '!R118&amp;")","")&amp;IF('Daily Sale entry '!U118="",""," - "&amp;'Daily Sale entry '!U118))</f>
        <v/>
      </c>
      <c r="H118">
        <f>IF(C118="","",COUNTIFS($C$2:$C$3001,C118,$F$2:$F$3001,"&lt;"&amp;F118)+1)</f>
        <v/>
      </c>
      <c r="I118">
        <f>IF(C118="","",C118&amp;"|"&amp;H118)</f>
        <v/>
      </c>
      <c r="J118" s="6">
        <f>IF(C118="","",IF(H118=1,SUMIFS('Opening Balance'!$F$4:$F$303,'Opening Balance'!$G$4:$G$303,C118),INDEX($L$2:$L$3001,MATCH(C118&amp;"|"&amp;(H118-1),$I$2:$I$3001,0))))</f>
        <v/>
      </c>
      <c r="K118" s="6">
        <f>IF(C118="","",IF(M118&gt;0,M118,IF(AND(E118&gt;0,ROUND(J118+D118-E118,2)&gt;0,ROUND(J118+D118-E118,2)&lt;'Opening Balance'!$B$14),ROUND(J118+D118-E118,2),0)))</f>
        <v/>
      </c>
      <c r="L118" s="6">
        <f>IF(C118="","",ROUND(J118+D118-E118-K118,2))</f>
        <v/>
      </c>
      <c r="M118" s="6">
        <f>IF(C118="","",IF('Daily Sale entry '!Q118="Collection 收款",ROUND(N('Daily Sale entry '!T118),2),0))</f>
        <v/>
      </c>
    </row>
    <row r="119">
      <c r="A119" t="inlineStr">
        <is>
          <t>Entry 记录</t>
        </is>
      </c>
      <c r="B119" s="5">
        <f>IF('Daily Sale entry '!P119="","",'Daily Sale entry '!O119)</f>
        <v/>
      </c>
      <c r="C119">
        <f>IF('Daily Sale entry '!P119="","",'Daily Sale entry '!P119)</f>
        <v/>
      </c>
      <c r="D119">
        <f>IF(C119="","",IF('Daily Sale entry '!Q119="Credit Sale 赊销",'Daily Sale entry '!S119,0))</f>
        <v/>
      </c>
      <c r="E119">
        <f>IF(C119="","",IF('Daily Sale entry '!Q119="Collection 收款",'Daily Sale entry '!S119,0))</f>
        <v/>
      </c>
      <c r="F119" s="37">
        <f>IF(C119="","",B119+IF(E119&gt;0,0,0.5)+ROW()/10000000)</f>
        <v/>
      </c>
      <c r="G119">
        <f>IF(C119="","",'Daily Sale entry '!Q119&amp;IF('Daily Sale entry '!Q119="Collection 收款"," ("&amp;'Daily Sale entry '!R119&amp;")","")&amp;IF('Daily Sale entry '!U119="",""," - "&amp;'Daily Sale entry '!U119))</f>
        <v/>
      </c>
      <c r="H119">
        <f>IF(C119="","",COUNTIFS($C$2:$C$3001,C119,$F$2:$F$3001,"&lt;"&amp;F119)+1)</f>
        <v/>
      </c>
      <c r="I119">
        <f>IF(C119="","",C119&amp;"|"&amp;H119)</f>
        <v/>
      </c>
      <c r="J119" s="6">
        <f>IF(C119="","",IF(H119=1,SUMIFS('Opening Balance'!$F$4:$F$303,'Opening Balance'!$G$4:$G$303,C119),INDEX($L$2:$L$3001,MATCH(C119&amp;"|"&amp;(H119-1),$I$2:$I$3001,0))))</f>
        <v/>
      </c>
      <c r="K119" s="6">
        <f>IF(C119="","",IF(M119&gt;0,M119,IF(AND(E119&gt;0,ROUND(J119+D119-E119,2)&gt;0,ROUND(J119+D119-E119,2)&lt;'Opening Balance'!$B$14),ROUND(J119+D119-E119,2),0)))</f>
        <v/>
      </c>
      <c r="L119" s="6">
        <f>IF(C119="","",ROUND(J119+D119-E119-K119,2))</f>
        <v/>
      </c>
      <c r="M119" s="6">
        <f>IF(C119="","",IF('Daily Sale entry '!Q119="Collection 收款",ROUND(N('Daily Sale entry '!T119),2),0))</f>
        <v/>
      </c>
    </row>
    <row r="120">
      <c r="A120" t="inlineStr">
        <is>
          <t>Entry 记录</t>
        </is>
      </c>
      <c r="B120" s="5">
        <f>IF('Daily Sale entry '!P120="","",'Daily Sale entry '!O120)</f>
        <v/>
      </c>
      <c r="C120">
        <f>IF('Daily Sale entry '!P120="","",'Daily Sale entry '!P120)</f>
        <v/>
      </c>
      <c r="D120">
        <f>IF(C120="","",IF('Daily Sale entry '!Q120="Credit Sale 赊销",'Daily Sale entry '!S120,0))</f>
        <v/>
      </c>
      <c r="E120">
        <f>IF(C120="","",IF('Daily Sale entry '!Q120="Collection 收款",'Daily Sale entry '!S120,0))</f>
        <v/>
      </c>
      <c r="F120" s="37">
        <f>IF(C120="","",B120+IF(E120&gt;0,0,0.5)+ROW()/10000000)</f>
        <v/>
      </c>
      <c r="G120">
        <f>IF(C120="","",'Daily Sale entry '!Q120&amp;IF('Daily Sale entry '!Q120="Collection 收款"," ("&amp;'Daily Sale entry '!R120&amp;")","")&amp;IF('Daily Sale entry '!U120="",""," - "&amp;'Daily Sale entry '!U120))</f>
        <v/>
      </c>
      <c r="H120">
        <f>IF(C120="","",COUNTIFS($C$2:$C$3001,C120,$F$2:$F$3001,"&lt;"&amp;F120)+1)</f>
        <v/>
      </c>
      <c r="I120">
        <f>IF(C120="","",C120&amp;"|"&amp;H120)</f>
        <v/>
      </c>
      <c r="J120" s="6">
        <f>IF(C120="","",IF(H120=1,SUMIFS('Opening Balance'!$F$4:$F$303,'Opening Balance'!$G$4:$G$303,C120),INDEX($L$2:$L$3001,MATCH(C120&amp;"|"&amp;(H120-1),$I$2:$I$3001,0))))</f>
        <v/>
      </c>
      <c r="K120" s="6">
        <f>IF(C120="","",IF(M120&gt;0,M120,IF(AND(E120&gt;0,ROUND(J120+D120-E120,2)&gt;0,ROUND(J120+D120-E120,2)&lt;'Opening Balance'!$B$14),ROUND(J120+D120-E120,2),0)))</f>
        <v/>
      </c>
      <c r="L120" s="6">
        <f>IF(C120="","",ROUND(J120+D120-E120-K120,2))</f>
        <v/>
      </c>
      <c r="M120" s="6">
        <f>IF(C120="","",IF('Daily Sale entry '!Q120="Collection 收款",ROUND(N('Daily Sale entry '!T120),2),0))</f>
        <v/>
      </c>
    </row>
    <row r="121">
      <c r="A121" t="inlineStr">
        <is>
          <t>Entry 记录</t>
        </is>
      </c>
      <c r="B121" s="5">
        <f>IF('Daily Sale entry '!P121="","",'Daily Sale entry '!O121)</f>
        <v/>
      </c>
      <c r="C121">
        <f>IF('Daily Sale entry '!P121="","",'Daily Sale entry '!P121)</f>
        <v/>
      </c>
      <c r="D121">
        <f>IF(C121="","",IF('Daily Sale entry '!Q121="Credit Sale 赊销",'Daily Sale entry '!S121,0))</f>
        <v/>
      </c>
      <c r="E121">
        <f>IF(C121="","",IF('Daily Sale entry '!Q121="Collection 收款",'Daily Sale entry '!S121,0))</f>
        <v/>
      </c>
      <c r="F121" s="37">
        <f>IF(C121="","",B121+IF(E121&gt;0,0,0.5)+ROW()/10000000)</f>
        <v/>
      </c>
      <c r="G121">
        <f>IF(C121="","",'Daily Sale entry '!Q121&amp;IF('Daily Sale entry '!Q121="Collection 收款"," ("&amp;'Daily Sale entry '!R121&amp;")","")&amp;IF('Daily Sale entry '!U121="",""," - "&amp;'Daily Sale entry '!U121))</f>
        <v/>
      </c>
      <c r="H121">
        <f>IF(C121="","",COUNTIFS($C$2:$C$3001,C121,$F$2:$F$3001,"&lt;"&amp;F121)+1)</f>
        <v/>
      </c>
      <c r="I121">
        <f>IF(C121="","",C121&amp;"|"&amp;H121)</f>
        <v/>
      </c>
      <c r="J121" s="6">
        <f>IF(C121="","",IF(H121=1,SUMIFS('Opening Balance'!$F$4:$F$303,'Opening Balance'!$G$4:$G$303,C121),INDEX($L$2:$L$3001,MATCH(C121&amp;"|"&amp;(H121-1),$I$2:$I$3001,0))))</f>
        <v/>
      </c>
      <c r="K121" s="6">
        <f>IF(C121="","",IF(M121&gt;0,M121,IF(AND(E121&gt;0,ROUND(J121+D121-E121,2)&gt;0,ROUND(J121+D121-E121,2)&lt;'Opening Balance'!$B$14),ROUND(J121+D121-E121,2),0)))</f>
        <v/>
      </c>
      <c r="L121" s="6">
        <f>IF(C121="","",ROUND(J121+D121-E121-K121,2))</f>
        <v/>
      </c>
      <c r="M121" s="6">
        <f>IF(C121="","",IF('Daily Sale entry '!Q121="Collection 收款",ROUND(N('Daily Sale entry '!T121),2),0))</f>
        <v/>
      </c>
    </row>
    <row r="122">
      <c r="A122" t="inlineStr">
        <is>
          <t>Entry 记录</t>
        </is>
      </c>
      <c r="B122" s="5">
        <f>IF('Daily Sale entry '!P122="","",'Daily Sale entry '!O122)</f>
        <v/>
      </c>
      <c r="C122">
        <f>IF('Daily Sale entry '!P122="","",'Daily Sale entry '!P122)</f>
        <v/>
      </c>
      <c r="D122">
        <f>IF(C122="","",IF('Daily Sale entry '!Q122="Credit Sale 赊销",'Daily Sale entry '!S122,0))</f>
        <v/>
      </c>
      <c r="E122">
        <f>IF(C122="","",IF('Daily Sale entry '!Q122="Collection 收款",'Daily Sale entry '!S122,0))</f>
        <v/>
      </c>
      <c r="F122" s="37">
        <f>IF(C122="","",B122+IF(E122&gt;0,0,0.5)+ROW()/10000000)</f>
        <v/>
      </c>
      <c r="G122">
        <f>IF(C122="","",'Daily Sale entry '!Q122&amp;IF('Daily Sale entry '!Q122="Collection 收款"," ("&amp;'Daily Sale entry '!R122&amp;")","")&amp;IF('Daily Sale entry '!U122="",""," - "&amp;'Daily Sale entry '!U122))</f>
        <v/>
      </c>
      <c r="H122">
        <f>IF(C122="","",COUNTIFS($C$2:$C$3001,C122,$F$2:$F$3001,"&lt;"&amp;F122)+1)</f>
        <v/>
      </c>
      <c r="I122">
        <f>IF(C122="","",C122&amp;"|"&amp;H122)</f>
        <v/>
      </c>
      <c r="J122" s="6">
        <f>IF(C122="","",IF(H122=1,SUMIFS('Opening Balance'!$F$4:$F$303,'Opening Balance'!$G$4:$G$303,C122),INDEX($L$2:$L$3001,MATCH(C122&amp;"|"&amp;(H122-1),$I$2:$I$3001,0))))</f>
        <v/>
      </c>
      <c r="K122" s="6">
        <f>IF(C122="","",IF(M122&gt;0,M122,IF(AND(E122&gt;0,ROUND(J122+D122-E122,2)&gt;0,ROUND(J122+D122-E122,2)&lt;'Opening Balance'!$B$14),ROUND(J122+D122-E122,2),0)))</f>
        <v/>
      </c>
      <c r="L122" s="6">
        <f>IF(C122="","",ROUND(J122+D122-E122-K122,2))</f>
        <v/>
      </c>
      <c r="M122" s="6">
        <f>IF(C122="","",IF('Daily Sale entry '!Q122="Collection 收款",ROUND(N('Daily Sale entry '!T122),2),0))</f>
        <v/>
      </c>
    </row>
    <row r="123">
      <c r="A123" t="inlineStr">
        <is>
          <t>Entry 记录</t>
        </is>
      </c>
      <c r="B123" s="5">
        <f>IF('Daily Sale entry '!P123="","",'Daily Sale entry '!O123)</f>
        <v/>
      </c>
      <c r="C123">
        <f>IF('Daily Sale entry '!P123="","",'Daily Sale entry '!P123)</f>
        <v/>
      </c>
      <c r="D123">
        <f>IF(C123="","",IF('Daily Sale entry '!Q123="Credit Sale 赊销",'Daily Sale entry '!S123,0))</f>
        <v/>
      </c>
      <c r="E123">
        <f>IF(C123="","",IF('Daily Sale entry '!Q123="Collection 收款",'Daily Sale entry '!S123,0))</f>
        <v/>
      </c>
      <c r="F123" s="37">
        <f>IF(C123="","",B123+IF(E123&gt;0,0,0.5)+ROW()/10000000)</f>
        <v/>
      </c>
      <c r="G123">
        <f>IF(C123="","",'Daily Sale entry '!Q123&amp;IF('Daily Sale entry '!Q123="Collection 收款"," ("&amp;'Daily Sale entry '!R123&amp;")","")&amp;IF('Daily Sale entry '!U123="",""," - "&amp;'Daily Sale entry '!U123))</f>
        <v/>
      </c>
      <c r="H123">
        <f>IF(C123="","",COUNTIFS($C$2:$C$3001,C123,$F$2:$F$3001,"&lt;"&amp;F123)+1)</f>
        <v/>
      </c>
      <c r="I123">
        <f>IF(C123="","",C123&amp;"|"&amp;H123)</f>
        <v/>
      </c>
      <c r="J123" s="6">
        <f>IF(C123="","",IF(H123=1,SUMIFS('Opening Balance'!$F$4:$F$303,'Opening Balance'!$G$4:$G$303,C123),INDEX($L$2:$L$3001,MATCH(C123&amp;"|"&amp;(H123-1),$I$2:$I$3001,0))))</f>
        <v/>
      </c>
      <c r="K123" s="6">
        <f>IF(C123="","",IF(M123&gt;0,M123,IF(AND(E123&gt;0,ROUND(J123+D123-E123,2)&gt;0,ROUND(J123+D123-E123,2)&lt;'Opening Balance'!$B$14),ROUND(J123+D123-E123,2),0)))</f>
        <v/>
      </c>
      <c r="L123" s="6">
        <f>IF(C123="","",ROUND(J123+D123-E123-K123,2))</f>
        <v/>
      </c>
      <c r="M123" s="6">
        <f>IF(C123="","",IF('Daily Sale entry '!Q123="Collection 收款",ROUND(N('Daily Sale entry '!T123),2),0))</f>
        <v/>
      </c>
    </row>
    <row r="124">
      <c r="A124" t="inlineStr">
        <is>
          <t>Entry 记录</t>
        </is>
      </c>
      <c r="B124" s="5">
        <f>IF('Daily Sale entry '!P124="","",'Daily Sale entry '!O124)</f>
        <v/>
      </c>
      <c r="C124">
        <f>IF('Daily Sale entry '!P124="","",'Daily Sale entry '!P124)</f>
        <v/>
      </c>
      <c r="D124">
        <f>IF(C124="","",IF('Daily Sale entry '!Q124="Credit Sale 赊销",'Daily Sale entry '!S124,0))</f>
        <v/>
      </c>
      <c r="E124">
        <f>IF(C124="","",IF('Daily Sale entry '!Q124="Collection 收款",'Daily Sale entry '!S124,0))</f>
        <v/>
      </c>
      <c r="F124" s="37">
        <f>IF(C124="","",B124+IF(E124&gt;0,0,0.5)+ROW()/10000000)</f>
        <v/>
      </c>
      <c r="G124">
        <f>IF(C124="","",'Daily Sale entry '!Q124&amp;IF('Daily Sale entry '!Q124="Collection 收款"," ("&amp;'Daily Sale entry '!R124&amp;")","")&amp;IF('Daily Sale entry '!U124="",""," - "&amp;'Daily Sale entry '!U124))</f>
        <v/>
      </c>
      <c r="H124">
        <f>IF(C124="","",COUNTIFS($C$2:$C$3001,C124,$F$2:$F$3001,"&lt;"&amp;F124)+1)</f>
        <v/>
      </c>
      <c r="I124">
        <f>IF(C124="","",C124&amp;"|"&amp;H124)</f>
        <v/>
      </c>
      <c r="J124" s="6">
        <f>IF(C124="","",IF(H124=1,SUMIFS('Opening Balance'!$F$4:$F$303,'Opening Balance'!$G$4:$G$303,C124),INDEX($L$2:$L$3001,MATCH(C124&amp;"|"&amp;(H124-1),$I$2:$I$3001,0))))</f>
        <v/>
      </c>
      <c r="K124" s="6">
        <f>IF(C124="","",IF(M124&gt;0,M124,IF(AND(E124&gt;0,ROUND(J124+D124-E124,2)&gt;0,ROUND(J124+D124-E124,2)&lt;'Opening Balance'!$B$14),ROUND(J124+D124-E124,2),0)))</f>
        <v/>
      </c>
      <c r="L124" s="6">
        <f>IF(C124="","",ROUND(J124+D124-E124-K124,2))</f>
        <v/>
      </c>
      <c r="M124" s="6">
        <f>IF(C124="","",IF('Daily Sale entry '!Q124="Collection 收款",ROUND(N('Daily Sale entry '!T124),2),0))</f>
        <v/>
      </c>
    </row>
    <row r="125">
      <c r="A125" t="inlineStr">
        <is>
          <t>Entry 记录</t>
        </is>
      </c>
      <c r="B125" s="5">
        <f>IF('Daily Sale entry '!P125="","",'Daily Sale entry '!O125)</f>
        <v/>
      </c>
      <c r="C125">
        <f>IF('Daily Sale entry '!P125="","",'Daily Sale entry '!P125)</f>
        <v/>
      </c>
      <c r="D125">
        <f>IF(C125="","",IF('Daily Sale entry '!Q125="Credit Sale 赊销",'Daily Sale entry '!S125,0))</f>
        <v/>
      </c>
      <c r="E125">
        <f>IF(C125="","",IF('Daily Sale entry '!Q125="Collection 收款",'Daily Sale entry '!S125,0))</f>
        <v/>
      </c>
      <c r="F125" s="37">
        <f>IF(C125="","",B125+IF(E125&gt;0,0,0.5)+ROW()/10000000)</f>
        <v/>
      </c>
      <c r="G125">
        <f>IF(C125="","",'Daily Sale entry '!Q125&amp;IF('Daily Sale entry '!Q125="Collection 收款"," ("&amp;'Daily Sale entry '!R125&amp;")","")&amp;IF('Daily Sale entry '!U125="",""," - "&amp;'Daily Sale entry '!U125))</f>
        <v/>
      </c>
      <c r="H125">
        <f>IF(C125="","",COUNTIFS($C$2:$C$3001,C125,$F$2:$F$3001,"&lt;"&amp;F125)+1)</f>
        <v/>
      </c>
      <c r="I125">
        <f>IF(C125="","",C125&amp;"|"&amp;H125)</f>
        <v/>
      </c>
      <c r="J125" s="6">
        <f>IF(C125="","",IF(H125=1,SUMIFS('Opening Balance'!$F$4:$F$303,'Opening Balance'!$G$4:$G$303,C125),INDEX($L$2:$L$3001,MATCH(C125&amp;"|"&amp;(H125-1),$I$2:$I$3001,0))))</f>
        <v/>
      </c>
      <c r="K125" s="6">
        <f>IF(C125="","",IF(M125&gt;0,M125,IF(AND(E125&gt;0,ROUND(J125+D125-E125,2)&gt;0,ROUND(J125+D125-E125,2)&lt;'Opening Balance'!$B$14),ROUND(J125+D125-E125,2),0)))</f>
        <v/>
      </c>
      <c r="L125" s="6">
        <f>IF(C125="","",ROUND(J125+D125-E125-K125,2))</f>
        <v/>
      </c>
      <c r="M125" s="6">
        <f>IF(C125="","",IF('Daily Sale entry '!Q125="Collection 收款",ROUND(N('Daily Sale entry '!T125),2),0))</f>
        <v/>
      </c>
    </row>
    <row r="126">
      <c r="A126" t="inlineStr">
        <is>
          <t>Entry 记录</t>
        </is>
      </c>
      <c r="B126" s="5">
        <f>IF('Daily Sale entry '!P126="","",'Daily Sale entry '!O126)</f>
        <v/>
      </c>
      <c r="C126">
        <f>IF('Daily Sale entry '!P126="","",'Daily Sale entry '!P126)</f>
        <v/>
      </c>
      <c r="D126">
        <f>IF(C126="","",IF('Daily Sale entry '!Q126="Credit Sale 赊销",'Daily Sale entry '!S126,0))</f>
        <v/>
      </c>
      <c r="E126">
        <f>IF(C126="","",IF('Daily Sale entry '!Q126="Collection 收款",'Daily Sale entry '!S126,0))</f>
        <v/>
      </c>
      <c r="F126" s="37">
        <f>IF(C126="","",B126+IF(E126&gt;0,0,0.5)+ROW()/10000000)</f>
        <v/>
      </c>
      <c r="G126">
        <f>IF(C126="","",'Daily Sale entry '!Q126&amp;IF('Daily Sale entry '!Q126="Collection 收款"," ("&amp;'Daily Sale entry '!R126&amp;")","")&amp;IF('Daily Sale entry '!U126="",""," - "&amp;'Daily Sale entry '!U126))</f>
        <v/>
      </c>
      <c r="H126">
        <f>IF(C126="","",COUNTIFS($C$2:$C$3001,C126,$F$2:$F$3001,"&lt;"&amp;F126)+1)</f>
        <v/>
      </c>
      <c r="I126">
        <f>IF(C126="","",C126&amp;"|"&amp;H126)</f>
        <v/>
      </c>
      <c r="J126" s="6">
        <f>IF(C126="","",IF(H126=1,SUMIFS('Opening Balance'!$F$4:$F$303,'Opening Balance'!$G$4:$G$303,C126),INDEX($L$2:$L$3001,MATCH(C126&amp;"|"&amp;(H126-1),$I$2:$I$3001,0))))</f>
        <v/>
      </c>
      <c r="K126" s="6">
        <f>IF(C126="","",IF(M126&gt;0,M126,IF(AND(E126&gt;0,ROUND(J126+D126-E126,2)&gt;0,ROUND(J126+D126-E126,2)&lt;'Opening Balance'!$B$14),ROUND(J126+D126-E126,2),0)))</f>
        <v/>
      </c>
      <c r="L126" s="6">
        <f>IF(C126="","",ROUND(J126+D126-E126-K126,2))</f>
        <v/>
      </c>
      <c r="M126" s="6">
        <f>IF(C126="","",IF('Daily Sale entry '!Q126="Collection 收款",ROUND(N('Daily Sale entry '!T126),2),0))</f>
        <v/>
      </c>
    </row>
    <row r="127">
      <c r="A127" t="inlineStr">
        <is>
          <t>Entry 记录</t>
        </is>
      </c>
      <c r="B127" s="5">
        <f>IF('Daily Sale entry '!P127="","",'Daily Sale entry '!O127)</f>
        <v/>
      </c>
      <c r="C127">
        <f>IF('Daily Sale entry '!P127="","",'Daily Sale entry '!P127)</f>
        <v/>
      </c>
      <c r="D127">
        <f>IF(C127="","",IF('Daily Sale entry '!Q127="Credit Sale 赊销",'Daily Sale entry '!S127,0))</f>
        <v/>
      </c>
      <c r="E127">
        <f>IF(C127="","",IF('Daily Sale entry '!Q127="Collection 收款",'Daily Sale entry '!S127,0))</f>
        <v/>
      </c>
      <c r="F127" s="37">
        <f>IF(C127="","",B127+IF(E127&gt;0,0,0.5)+ROW()/10000000)</f>
        <v/>
      </c>
      <c r="G127">
        <f>IF(C127="","",'Daily Sale entry '!Q127&amp;IF('Daily Sale entry '!Q127="Collection 收款"," ("&amp;'Daily Sale entry '!R127&amp;")","")&amp;IF('Daily Sale entry '!U127="",""," - "&amp;'Daily Sale entry '!U127))</f>
        <v/>
      </c>
      <c r="H127">
        <f>IF(C127="","",COUNTIFS($C$2:$C$3001,C127,$F$2:$F$3001,"&lt;"&amp;F127)+1)</f>
        <v/>
      </c>
      <c r="I127">
        <f>IF(C127="","",C127&amp;"|"&amp;H127)</f>
        <v/>
      </c>
      <c r="J127" s="6">
        <f>IF(C127="","",IF(H127=1,SUMIFS('Opening Balance'!$F$4:$F$303,'Opening Balance'!$G$4:$G$303,C127),INDEX($L$2:$L$3001,MATCH(C127&amp;"|"&amp;(H127-1),$I$2:$I$3001,0))))</f>
        <v/>
      </c>
      <c r="K127" s="6">
        <f>IF(C127="","",IF(M127&gt;0,M127,IF(AND(E127&gt;0,ROUND(J127+D127-E127,2)&gt;0,ROUND(J127+D127-E127,2)&lt;'Opening Balance'!$B$14),ROUND(J127+D127-E127,2),0)))</f>
        <v/>
      </c>
      <c r="L127" s="6">
        <f>IF(C127="","",ROUND(J127+D127-E127-K127,2))</f>
        <v/>
      </c>
      <c r="M127" s="6">
        <f>IF(C127="","",IF('Daily Sale entry '!Q127="Collection 收款",ROUND(N('Daily Sale entry '!T127),2),0))</f>
        <v/>
      </c>
    </row>
    <row r="128">
      <c r="A128" t="inlineStr">
        <is>
          <t>Entry 记录</t>
        </is>
      </c>
      <c r="B128" s="5">
        <f>IF('Daily Sale entry '!P128="","",'Daily Sale entry '!O128)</f>
        <v/>
      </c>
      <c r="C128">
        <f>IF('Daily Sale entry '!P128="","",'Daily Sale entry '!P128)</f>
        <v/>
      </c>
      <c r="D128">
        <f>IF(C128="","",IF('Daily Sale entry '!Q128="Credit Sale 赊销",'Daily Sale entry '!S128,0))</f>
        <v/>
      </c>
      <c r="E128">
        <f>IF(C128="","",IF('Daily Sale entry '!Q128="Collection 收款",'Daily Sale entry '!S128,0))</f>
        <v/>
      </c>
      <c r="F128" s="37">
        <f>IF(C128="","",B128+IF(E128&gt;0,0,0.5)+ROW()/10000000)</f>
        <v/>
      </c>
      <c r="G128">
        <f>IF(C128="","",'Daily Sale entry '!Q128&amp;IF('Daily Sale entry '!Q128="Collection 收款"," ("&amp;'Daily Sale entry '!R128&amp;")","")&amp;IF('Daily Sale entry '!U128="",""," - "&amp;'Daily Sale entry '!U128))</f>
        <v/>
      </c>
      <c r="H128">
        <f>IF(C128="","",COUNTIFS($C$2:$C$3001,C128,$F$2:$F$3001,"&lt;"&amp;F128)+1)</f>
        <v/>
      </c>
      <c r="I128">
        <f>IF(C128="","",C128&amp;"|"&amp;H128)</f>
        <v/>
      </c>
      <c r="J128" s="6">
        <f>IF(C128="","",IF(H128=1,SUMIFS('Opening Balance'!$F$4:$F$303,'Opening Balance'!$G$4:$G$303,C128),INDEX($L$2:$L$3001,MATCH(C128&amp;"|"&amp;(H128-1),$I$2:$I$3001,0))))</f>
        <v/>
      </c>
      <c r="K128" s="6">
        <f>IF(C128="","",IF(M128&gt;0,M128,IF(AND(E128&gt;0,ROUND(J128+D128-E128,2)&gt;0,ROUND(J128+D128-E128,2)&lt;'Opening Balance'!$B$14),ROUND(J128+D128-E128,2),0)))</f>
        <v/>
      </c>
      <c r="L128" s="6">
        <f>IF(C128="","",ROUND(J128+D128-E128-K128,2))</f>
        <v/>
      </c>
      <c r="M128" s="6">
        <f>IF(C128="","",IF('Daily Sale entry '!Q128="Collection 收款",ROUND(N('Daily Sale entry '!T128),2),0))</f>
        <v/>
      </c>
    </row>
    <row r="129">
      <c r="A129" t="inlineStr">
        <is>
          <t>Entry 记录</t>
        </is>
      </c>
      <c r="B129" s="5">
        <f>IF('Daily Sale entry '!P129="","",'Daily Sale entry '!O129)</f>
        <v/>
      </c>
      <c r="C129">
        <f>IF('Daily Sale entry '!P129="","",'Daily Sale entry '!P129)</f>
        <v/>
      </c>
      <c r="D129">
        <f>IF(C129="","",IF('Daily Sale entry '!Q129="Credit Sale 赊销",'Daily Sale entry '!S129,0))</f>
        <v/>
      </c>
      <c r="E129">
        <f>IF(C129="","",IF('Daily Sale entry '!Q129="Collection 收款",'Daily Sale entry '!S129,0))</f>
        <v/>
      </c>
      <c r="F129" s="37">
        <f>IF(C129="","",B129+IF(E129&gt;0,0,0.5)+ROW()/10000000)</f>
        <v/>
      </c>
      <c r="G129">
        <f>IF(C129="","",'Daily Sale entry '!Q129&amp;IF('Daily Sale entry '!Q129="Collection 收款"," ("&amp;'Daily Sale entry '!R129&amp;")","")&amp;IF('Daily Sale entry '!U129="",""," - "&amp;'Daily Sale entry '!U129))</f>
        <v/>
      </c>
      <c r="H129">
        <f>IF(C129="","",COUNTIFS($C$2:$C$3001,C129,$F$2:$F$3001,"&lt;"&amp;F129)+1)</f>
        <v/>
      </c>
      <c r="I129">
        <f>IF(C129="","",C129&amp;"|"&amp;H129)</f>
        <v/>
      </c>
      <c r="J129" s="6">
        <f>IF(C129="","",IF(H129=1,SUMIFS('Opening Balance'!$F$4:$F$303,'Opening Balance'!$G$4:$G$303,C129),INDEX($L$2:$L$3001,MATCH(C129&amp;"|"&amp;(H129-1),$I$2:$I$3001,0))))</f>
        <v/>
      </c>
      <c r="K129" s="6">
        <f>IF(C129="","",IF(M129&gt;0,M129,IF(AND(E129&gt;0,ROUND(J129+D129-E129,2)&gt;0,ROUND(J129+D129-E129,2)&lt;'Opening Balance'!$B$14),ROUND(J129+D129-E129,2),0)))</f>
        <v/>
      </c>
      <c r="L129" s="6">
        <f>IF(C129="","",ROUND(J129+D129-E129-K129,2))</f>
        <v/>
      </c>
      <c r="M129" s="6">
        <f>IF(C129="","",IF('Daily Sale entry '!Q129="Collection 收款",ROUND(N('Daily Sale entry '!T129),2),0))</f>
        <v/>
      </c>
    </row>
    <row r="130">
      <c r="A130" t="inlineStr">
        <is>
          <t>Entry 记录</t>
        </is>
      </c>
      <c r="B130" s="5">
        <f>IF('Daily Sale entry '!P130="","",'Daily Sale entry '!O130)</f>
        <v/>
      </c>
      <c r="C130">
        <f>IF('Daily Sale entry '!P130="","",'Daily Sale entry '!P130)</f>
        <v/>
      </c>
      <c r="D130">
        <f>IF(C130="","",IF('Daily Sale entry '!Q130="Credit Sale 赊销",'Daily Sale entry '!S130,0))</f>
        <v/>
      </c>
      <c r="E130">
        <f>IF(C130="","",IF('Daily Sale entry '!Q130="Collection 收款",'Daily Sale entry '!S130,0))</f>
        <v/>
      </c>
      <c r="F130" s="37">
        <f>IF(C130="","",B130+IF(E130&gt;0,0,0.5)+ROW()/10000000)</f>
        <v/>
      </c>
      <c r="G130">
        <f>IF(C130="","",'Daily Sale entry '!Q130&amp;IF('Daily Sale entry '!Q130="Collection 收款"," ("&amp;'Daily Sale entry '!R130&amp;")","")&amp;IF('Daily Sale entry '!U130="",""," - "&amp;'Daily Sale entry '!U130))</f>
        <v/>
      </c>
      <c r="H130">
        <f>IF(C130="","",COUNTIFS($C$2:$C$3001,C130,$F$2:$F$3001,"&lt;"&amp;F130)+1)</f>
        <v/>
      </c>
      <c r="I130">
        <f>IF(C130="","",C130&amp;"|"&amp;H130)</f>
        <v/>
      </c>
      <c r="J130" s="6">
        <f>IF(C130="","",IF(H130=1,SUMIFS('Opening Balance'!$F$4:$F$303,'Opening Balance'!$G$4:$G$303,C130),INDEX($L$2:$L$3001,MATCH(C130&amp;"|"&amp;(H130-1),$I$2:$I$3001,0))))</f>
        <v/>
      </c>
      <c r="K130" s="6">
        <f>IF(C130="","",IF(M130&gt;0,M130,IF(AND(E130&gt;0,ROUND(J130+D130-E130,2)&gt;0,ROUND(J130+D130-E130,2)&lt;'Opening Balance'!$B$14),ROUND(J130+D130-E130,2),0)))</f>
        <v/>
      </c>
      <c r="L130" s="6">
        <f>IF(C130="","",ROUND(J130+D130-E130-K130,2))</f>
        <v/>
      </c>
      <c r="M130" s="6">
        <f>IF(C130="","",IF('Daily Sale entry '!Q130="Collection 收款",ROUND(N('Daily Sale entry '!T130),2),0))</f>
        <v/>
      </c>
    </row>
    <row r="131">
      <c r="A131" t="inlineStr">
        <is>
          <t>Entry 记录</t>
        </is>
      </c>
      <c r="B131" s="5">
        <f>IF('Daily Sale entry '!P131="","",'Daily Sale entry '!O131)</f>
        <v/>
      </c>
      <c r="C131">
        <f>IF('Daily Sale entry '!P131="","",'Daily Sale entry '!P131)</f>
        <v/>
      </c>
      <c r="D131">
        <f>IF(C131="","",IF('Daily Sale entry '!Q131="Credit Sale 赊销",'Daily Sale entry '!S131,0))</f>
        <v/>
      </c>
      <c r="E131">
        <f>IF(C131="","",IF('Daily Sale entry '!Q131="Collection 收款",'Daily Sale entry '!S131,0))</f>
        <v/>
      </c>
      <c r="F131" s="37">
        <f>IF(C131="","",B131+IF(E131&gt;0,0,0.5)+ROW()/10000000)</f>
        <v/>
      </c>
      <c r="G131">
        <f>IF(C131="","",'Daily Sale entry '!Q131&amp;IF('Daily Sale entry '!Q131="Collection 收款"," ("&amp;'Daily Sale entry '!R131&amp;")","")&amp;IF('Daily Sale entry '!U131="",""," - "&amp;'Daily Sale entry '!U131))</f>
        <v/>
      </c>
      <c r="H131">
        <f>IF(C131="","",COUNTIFS($C$2:$C$3001,C131,$F$2:$F$3001,"&lt;"&amp;F131)+1)</f>
        <v/>
      </c>
      <c r="I131">
        <f>IF(C131="","",C131&amp;"|"&amp;H131)</f>
        <v/>
      </c>
      <c r="J131" s="6">
        <f>IF(C131="","",IF(H131=1,SUMIFS('Opening Balance'!$F$4:$F$303,'Opening Balance'!$G$4:$G$303,C131),INDEX($L$2:$L$3001,MATCH(C131&amp;"|"&amp;(H131-1),$I$2:$I$3001,0))))</f>
        <v/>
      </c>
      <c r="K131" s="6">
        <f>IF(C131="","",IF(M131&gt;0,M131,IF(AND(E131&gt;0,ROUND(J131+D131-E131,2)&gt;0,ROUND(J131+D131-E131,2)&lt;'Opening Balance'!$B$14),ROUND(J131+D131-E131,2),0)))</f>
        <v/>
      </c>
      <c r="L131" s="6">
        <f>IF(C131="","",ROUND(J131+D131-E131-K131,2))</f>
        <v/>
      </c>
      <c r="M131" s="6">
        <f>IF(C131="","",IF('Daily Sale entry '!Q131="Collection 收款",ROUND(N('Daily Sale entry '!T131),2),0))</f>
        <v/>
      </c>
    </row>
    <row r="132">
      <c r="A132" t="inlineStr">
        <is>
          <t>Entry 记录</t>
        </is>
      </c>
      <c r="B132" s="5">
        <f>IF('Daily Sale entry '!P132="","",'Daily Sale entry '!O132)</f>
        <v/>
      </c>
      <c r="C132">
        <f>IF('Daily Sale entry '!P132="","",'Daily Sale entry '!P132)</f>
        <v/>
      </c>
      <c r="D132">
        <f>IF(C132="","",IF('Daily Sale entry '!Q132="Credit Sale 赊销",'Daily Sale entry '!S132,0))</f>
        <v/>
      </c>
      <c r="E132">
        <f>IF(C132="","",IF('Daily Sale entry '!Q132="Collection 收款",'Daily Sale entry '!S132,0))</f>
        <v/>
      </c>
      <c r="F132" s="37">
        <f>IF(C132="","",B132+IF(E132&gt;0,0,0.5)+ROW()/10000000)</f>
        <v/>
      </c>
      <c r="G132">
        <f>IF(C132="","",'Daily Sale entry '!Q132&amp;IF('Daily Sale entry '!Q132="Collection 收款"," ("&amp;'Daily Sale entry '!R132&amp;")","")&amp;IF('Daily Sale entry '!U132="",""," - "&amp;'Daily Sale entry '!U132))</f>
        <v/>
      </c>
      <c r="H132">
        <f>IF(C132="","",COUNTIFS($C$2:$C$3001,C132,$F$2:$F$3001,"&lt;"&amp;F132)+1)</f>
        <v/>
      </c>
      <c r="I132">
        <f>IF(C132="","",C132&amp;"|"&amp;H132)</f>
        <v/>
      </c>
      <c r="J132" s="6">
        <f>IF(C132="","",IF(H132=1,SUMIFS('Opening Balance'!$F$4:$F$303,'Opening Balance'!$G$4:$G$303,C132),INDEX($L$2:$L$3001,MATCH(C132&amp;"|"&amp;(H132-1),$I$2:$I$3001,0))))</f>
        <v/>
      </c>
      <c r="K132" s="6">
        <f>IF(C132="","",IF(M132&gt;0,M132,IF(AND(E132&gt;0,ROUND(J132+D132-E132,2)&gt;0,ROUND(J132+D132-E132,2)&lt;'Opening Balance'!$B$14),ROUND(J132+D132-E132,2),0)))</f>
        <v/>
      </c>
      <c r="L132" s="6">
        <f>IF(C132="","",ROUND(J132+D132-E132-K132,2))</f>
        <v/>
      </c>
      <c r="M132" s="6">
        <f>IF(C132="","",IF('Daily Sale entry '!Q132="Collection 收款",ROUND(N('Daily Sale entry '!T132),2),0))</f>
        <v/>
      </c>
    </row>
    <row r="133">
      <c r="A133" t="inlineStr">
        <is>
          <t>Entry 记录</t>
        </is>
      </c>
      <c r="B133" s="5">
        <f>IF('Daily Sale entry '!P133="","",'Daily Sale entry '!O133)</f>
        <v/>
      </c>
      <c r="C133">
        <f>IF('Daily Sale entry '!P133="","",'Daily Sale entry '!P133)</f>
        <v/>
      </c>
      <c r="D133">
        <f>IF(C133="","",IF('Daily Sale entry '!Q133="Credit Sale 赊销",'Daily Sale entry '!S133,0))</f>
        <v/>
      </c>
      <c r="E133">
        <f>IF(C133="","",IF('Daily Sale entry '!Q133="Collection 收款",'Daily Sale entry '!S133,0))</f>
        <v/>
      </c>
      <c r="F133" s="37">
        <f>IF(C133="","",B133+IF(E133&gt;0,0,0.5)+ROW()/10000000)</f>
        <v/>
      </c>
      <c r="G133">
        <f>IF(C133="","",'Daily Sale entry '!Q133&amp;IF('Daily Sale entry '!Q133="Collection 收款"," ("&amp;'Daily Sale entry '!R133&amp;")","")&amp;IF('Daily Sale entry '!U133="",""," - "&amp;'Daily Sale entry '!U133))</f>
        <v/>
      </c>
      <c r="H133">
        <f>IF(C133="","",COUNTIFS($C$2:$C$3001,C133,$F$2:$F$3001,"&lt;"&amp;F133)+1)</f>
        <v/>
      </c>
      <c r="I133">
        <f>IF(C133="","",C133&amp;"|"&amp;H133)</f>
        <v/>
      </c>
      <c r="J133" s="6">
        <f>IF(C133="","",IF(H133=1,SUMIFS('Opening Balance'!$F$4:$F$303,'Opening Balance'!$G$4:$G$303,C133),INDEX($L$2:$L$3001,MATCH(C133&amp;"|"&amp;(H133-1),$I$2:$I$3001,0))))</f>
        <v/>
      </c>
      <c r="K133" s="6">
        <f>IF(C133="","",IF(M133&gt;0,M133,IF(AND(E133&gt;0,ROUND(J133+D133-E133,2)&gt;0,ROUND(J133+D133-E133,2)&lt;'Opening Balance'!$B$14),ROUND(J133+D133-E133,2),0)))</f>
        <v/>
      </c>
      <c r="L133" s="6">
        <f>IF(C133="","",ROUND(J133+D133-E133-K133,2))</f>
        <v/>
      </c>
      <c r="M133" s="6">
        <f>IF(C133="","",IF('Daily Sale entry '!Q133="Collection 收款",ROUND(N('Daily Sale entry '!T133),2),0))</f>
        <v/>
      </c>
    </row>
    <row r="134">
      <c r="A134" t="inlineStr">
        <is>
          <t>Entry 记录</t>
        </is>
      </c>
      <c r="B134" s="5">
        <f>IF('Daily Sale entry '!P134="","",'Daily Sale entry '!O134)</f>
        <v/>
      </c>
      <c r="C134">
        <f>IF('Daily Sale entry '!P134="","",'Daily Sale entry '!P134)</f>
        <v/>
      </c>
      <c r="D134">
        <f>IF(C134="","",IF('Daily Sale entry '!Q134="Credit Sale 赊销",'Daily Sale entry '!S134,0))</f>
        <v/>
      </c>
      <c r="E134">
        <f>IF(C134="","",IF('Daily Sale entry '!Q134="Collection 收款",'Daily Sale entry '!S134,0))</f>
        <v/>
      </c>
      <c r="F134" s="37">
        <f>IF(C134="","",B134+IF(E134&gt;0,0,0.5)+ROW()/10000000)</f>
        <v/>
      </c>
      <c r="G134">
        <f>IF(C134="","",'Daily Sale entry '!Q134&amp;IF('Daily Sale entry '!Q134="Collection 收款"," ("&amp;'Daily Sale entry '!R134&amp;")","")&amp;IF('Daily Sale entry '!U134="",""," - "&amp;'Daily Sale entry '!U134))</f>
        <v/>
      </c>
      <c r="H134">
        <f>IF(C134="","",COUNTIFS($C$2:$C$3001,C134,$F$2:$F$3001,"&lt;"&amp;F134)+1)</f>
        <v/>
      </c>
      <c r="I134">
        <f>IF(C134="","",C134&amp;"|"&amp;H134)</f>
        <v/>
      </c>
      <c r="J134" s="6">
        <f>IF(C134="","",IF(H134=1,SUMIFS('Opening Balance'!$F$4:$F$303,'Opening Balance'!$G$4:$G$303,C134),INDEX($L$2:$L$3001,MATCH(C134&amp;"|"&amp;(H134-1),$I$2:$I$3001,0))))</f>
        <v/>
      </c>
      <c r="K134" s="6">
        <f>IF(C134="","",IF(M134&gt;0,M134,IF(AND(E134&gt;0,ROUND(J134+D134-E134,2)&gt;0,ROUND(J134+D134-E134,2)&lt;'Opening Balance'!$B$14),ROUND(J134+D134-E134,2),0)))</f>
        <v/>
      </c>
      <c r="L134" s="6">
        <f>IF(C134="","",ROUND(J134+D134-E134-K134,2))</f>
        <v/>
      </c>
      <c r="M134" s="6">
        <f>IF(C134="","",IF('Daily Sale entry '!Q134="Collection 收款",ROUND(N('Daily Sale entry '!T134),2),0))</f>
        <v/>
      </c>
    </row>
    <row r="135">
      <c r="A135" t="inlineStr">
        <is>
          <t>Entry 记录</t>
        </is>
      </c>
      <c r="B135" s="5">
        <f>IF('Daily Sale entry '!P135="","",'Daily Sale entry '!O135)</f>
        <v/>
      </c>
      <c r="C135">
        <f>IF('Daily Sale entry '!P135="","",'Daily Sale entry '!P135)</f>
        <v/>
      </c>
      <c r="D135">
        <f>IF(C135="","",IF('Daily Sale entry '!Q135="Credit Sale 赊销",'Daily Sale entry '!S135,0))</f>
        <v/>
      </c>
      <c r="E135">
        <f>IF(C135="","",IF('Daily Sale entry '!Q135="Collection 收款",'Daily Sale entry '!S135,0))</f>
        <v/>
      </c>
      <c r="F135" s="37">
        <f>IF(C135="","",B135+IF(E135&gt;0,0,0.5)+ROW()/10000000)</f>
        <v/>
      </c>
      <c r="G135">
        <f>IF(C135="","",'Daily Sale entry '!Q135&amp;IF('Daily Sale entry '!Q135="Collection 收款"," ("&amp;'Daily Sale entry '!R135&amp;")","")&amp;IF('Daily Sale entry '!U135="",""," - "&amp;'Daily Sale entry '!U135))</f>
        <v/>
      </c>
      <c r="H135">
        <f>IF(C135="","",COUNTIFS($C$2:$C$3001,C135,$F$2:$F$3001,"&lt;"&amp;F135)+1)</f>
        <v/>
      </c>
      <c r="I135">
        <f>IF(C135="","",C135&amp;"|"&amp;H135)</f>
        <v/>
      </c>
      <c r="J135" s="6">
        <f>IF(C135="","",IF(H135=1,SUMIFS('Opening Balance'!$F$4:$F$303,'Opening Balance'!$G$4:$G$303,C135),INDEX($L$2:$L$3001,MATCH(C135&amp;"|"&amp;(H135-1),$I$2:$I$3001,0))))</f>
        <v/>
      </c>
      <c r="K135" s="6">
        <f>IF(C135="","",IF(M135&gt;0,M135,IF(AND(E135&gt;0,ROUND(J135+D135-E135,2)&gt;0,ROUND(J135+D135-E135,2)&lt;'Opening Balance'!$B$14),ROUND(J135+D135-E135,2),0)))</f>
        <v/>
      </c>
      <c r="L135" s="6">
        <f>IF(C135="","",ROUND(J135+D135-E135-K135,2))</f>
        <v/>
      </c>
      <c r="M135" s="6">
        <f>IF(C135="","",IF('Daily Sale entry '!Q135="Collection 收款",ROUND(N('Daily Sale entry '!T135),2),0))</f>
        <v/>
      </c>
    </row>
    <row r="136">
      <c r="A136" t="inlineStr">
        <is>
          <t>Entry 记录</t>
        </is>
      </c>
      <c r="B136" s="5">
        <f>IF('Daily Sale entry '!P136="","",'Daily Sale entry '!O136)</f>
        <v/>
      </c>
      <c r="C136">
        <f>IF('Daily Sale entry '!P136="","",'Daily Sale entry '!P136)</f>
        <v/>
      </c>
      <c r="D136">
        <f>IF(C136="","",IF('Daily Sale entry '!Q136="Credit Sale 赊销",'Daily Sale entry '!S136,0))</f>
        <v/>
      </c>
      <c r="E136">
        <f>IF(C136="","",IF('Daily Sale entry '!Q136="Collection 收款",'Daily Sale entry '!S136,0))</f>
        <v/>
      </c>
      <c r="F136" s="37">
        <f>IF(C136="","",B136+IF(E136&gt;0,0,0.5)+ROW()/10000000)</f>
        <v/>
      </c>
      <c r="G136">
        <f>IF(C136="","",'Daily Sale entry '!Q136&amp;IF('Daily Sale entry '!Q136="Collection 收款"," ("&amp;'Daily Sale entry '!R136&amp;")","")&amp;IF('Daily Sale entry '!U136="",""," - "&amp;'Daily Sale entry '!U136))</f>
        <v/>
      </c>
      <c r="H136">
        <f>IF(C136="","",COUNTIFS($C$2:$C$3001,C136,$F$2:$F$3001,"&lt;"&amp;F136)+1)</f>
        <v/>
      </c>
      <c r="I136">
        <f>IF(C136="","",C136&amp;"|"&amp;H136)</f>
        <v/>
      </c>
      <c r="J136" s="6">
        <f>IF(C136="","",IF(H136=1,SUMIFS('Opening Balance'!$F$4:$F$303,'Opening Balance'!$G$4:$G$303,C136),INDEX($L$2:$L$3001,MATCH(C136&amp;"|"&amp;(H136-1),$I$2:$I$3001,0))))</f>
        <v/>
      </c>
      <c r="K136" s="6">
        <f>IF(C136="","",IF(M136&gt;0,M136,IF(AND(E136&gt;0,ROUND(J136+D136-E136,2)&gt;0,ROUND(J136+D136-E136,2)&lt;'Opening Balance'!$B$14),ROUND(J136+D136-E136,2),0)))</f>
        <v/>
      </c>
      <c r="L136" s="6">
        <f>IF(C136="","",ROUND(J136+D136-E136-K136,2))</f>
        <v/>
      </c>
      <c r="M136" s="6">
        <f>IF(C136="","",IF('Daily Sale entry '!Q136="Collection 收款",ROUND(N('Daily Sale entry '!T136),2),0))</f>
        <v/>
      </c>
    </row>
    <row r="137">
      <c r="A137" t="inlineStr">
        <is>
          <t>Entry 记录</t>
        </is>
      </c>
      <c r="B137" s="5">
        <f>IF('Daily Sale entry '!P137="","",'Daily Sale entry '!O137)</f>
        <v/>
      </c>
      <c r="C137">
        <f>IF('Daily Sale entry '!P137="","",'Daily Sale entry '!P137)</f>
        <v/>
      </c>
      <c r="D137">
        <f>IF(C137="","",IF('Daily Sale entry '!Q137="Credit Sale 赊销",'Daily Sale entry '!S137,0))</f>
        <v/>
      </c>
      <c r="E137">
        <f>IF(C137="","",IF('Daily Sale entry '!Q137="Collection 收款",'Daily Sale entry '!S137,0))</f>
        <v/>
      </c>
      <c r="F137" s="37">
        <f>IF(C137="","",B137+IF(E137&gt;0,0,0.5)+ROW()/10000000)</f>
        <v/>
      </c>
      <c r="G137">
        <f>IF(C137="","",'Daily Sale entry '!Q137&amp;IF('Daily Sale entry '!Q137="Collection 收款"," ("&amp;'Daily Sale entry '!R137&amp;")","")&amp;IF('Daily Sale entry '!U137="",""," - "&amp;'Daily Sale entry '!U137))</f>
        <v/>
      </c>
      <c r="H137">
        <f>IF(C137="","",COUNTIFS($C$2:$C$3001,C137,$F$2:$F$3001,"&lt;"&amp;F137)+1)</f>
        <v/>
      </c>
      <c r="I137">
        <f>IF(C137="","",C137&amp;"|"&amp;H137)</f>
        <v/>
      </c>
      <c r="J137" s="6">
        <f>IF(C137="","",IF(H137=1,SUMIFS('Opening Balance'!$F$4:$F$303,'Opening Balance'!$G$4:$G$303,C137),INDEX($L$2:$L$3001,MATCH(C137&amp;"|"&amp;(H137-1),$I$2:$I$3001,0))))</f>
        <v/>
      </c>
      <c r="K137" s="6">
        <f>IF(C137="","",IF(M137&gt;0,M137,IF(AND(E137&gt;0,ROUND(J137+D137-E137,2)&gt;0,ROUND(J137+D137-E137,2)&lt;'Opening Balance'!$B$14),ROUND(J137+D137-E137,2),0)))</f>
        <v/>
      </c>
      <c r="L137" s="6">
        <f>IF(C137="","",ROUND(J137+D137-E137-K137,2))</f>
        <v/>
      </c>
      <c r="M137" s="6">
        <f>IF(C137="","",IF('Daily Sale entry '!Q137="Collection 收款",ROUND(N('Daily Sale entry '!T137),2),0))</f>
        <v/>
      </c>
    </row>
    <row r="138">
      <c r="A138" t="inlineStr">
        <is>
          <t>Entry 记录</t>
        </is>
      </c>
      <c r="B138" s="5">
        <f>IF('Daily Sale entry '!P138="","",'Daily Sale entry '!O138)</f>
        <v/>
      </c>
      <c r="C138">
        <f>IF('Daily Sale entry '!P138="","",'Daily Sale entry '!P138)</f>
        <v/>
      </c>
      <c r="D138">
        <f>IF(C138="","",IF('Daily Sale entry '!Q138="Credit Sale 赊销",'Daily Sale entry '!S138,0))</f>
        <v/>
      </c>
      <c r="E138">
        <f>IF(C138="","",IF('Daily Sale entry '!Q138="Collection 收款",'Daily Sale entry '!S138,0))</f>
        <v/>
      </c>
      <c r="F138" s="37">
        <f>IF(C138="","",B138+IF(E138&gt;0,0,0.5)+ROW()/10000000)</f>
        <v/>
      </c>
      <c r="G138">
        <f>IF(C138="","",'Daily Sale entry '!Q138&amp;IF('Daily Sale entry '!Q138="Collection 收款"," ("&amp;'Daily Sale entry '!R138&amp;")","")&amp;IF('Daily Sale entry '!U138="",""," - "&amp;'Daily Sale entry '!U138))</f>
        <v/>
      </c>
      <c r="H138">
        <f>IF(C138="","",COUNTIFS($C$2:$C$3001,C138,$F$2:$F$3001,"&lt;"&amp;F138)+1)</f>
        <v/>
      </c>
      <c r="I138">
        <f>IF(C138="","",C138&amp;"|"&amp;H138)</f>
        <v/>
      </c>
      <c r="J138" s="6">
        <f>IF(C138="","",IF(H138=1,SUMIFS('Opening Balance'!$F$4:$F$303,'Opening Balance'!$G$4:$G$303,C138),INDEX($L$2:$L$3001,MATCH(C138&amp;"|"&amp;(H138-1),$I$2:$I$3001,0))))</f>
        <v/>
      </c>
      <c r="K138" s="6">
        <f>IF(C138="","",IF(M138&gt;0,M138,IF(AND(E138&gt;0,ROUND(J138+D138-E138,2)&gt;0,ROUND(J138+D138-E138,2)&lt;'Opening Balance'!$B$14),ROUND(J138+D138-E138,2),0)))</f>
        <v/>
      </c>
      <c r="L138" s="6">
        <f>IF(C138="","",ROUND(J138+D138-E138-K138,2))</f>
        <v/>
      </c>
      <c r="M138" s="6">
        <f>IF(C138="","",IF('Daily Sale entry '!Q138="Collection 收款",ROUND(N('Daily Sale entry '!T138),2),0))</f>
        <v/>
      </c>
    </row>
    <row r="139">
      <c r="A139" t="inlineStr">
        <is>
          <t>Entry 记录</t>
        </is>
      </c>
      <c r="B139" s="5">
        <f>IF('Daily Sale entry '!P139="","",'Daily Sale entry '!O139)</f>
        <v/>
      </c>
      <c r="C139">
        <f>IF('Daily Sale entry '!P139="","",'Daily Sale entry '!P139)</f>
        <v/>
      </c>
      <c r="D139">
        <f>IF(C139="","",IF('Daily Sale entry '!Q139="Credit Sale 赊销",'Daily Sale entry '!S139,0))</f>
        <v/>
      </c>
      <c r="E139">
        <f>IF(C139="","",IF('Daily Sale entry '!Q139="Collection 收款",'Daily Sale entry '!S139,0))</f>
        <v/>
      </c>
      <c r="F139" s="37">
        <f>IF(C139="","",B139+IF(E139&gt;0,0,0.5)+ROW()/10000000)</f>
        <v/>
      </c>
      <c r="G139">
        <f>IF(C139="","",'Daily Sale entry '!Q139&amp;IF('Daily Sale entry '!Q139="Collection 收款"," ("&amp;'Daily Sale entry '!R139&amp;")","")&amp;IF('Daily Sale entry '!U139="",""," - "&amp;'Daily Sale entry '!U139))</f>
        <v/>
      </c>
      <c r="H139">
        <f>IF(C139="","",COUNTIFS($C$2:$C$3001,C139,$F$2:$F$3001,"&lt;"&amp;F139)+1)</f>
        <v/>
      </c>
      <c r="I139">
        <f>IF(C139="","",C139&amp;"|"&amp;H139)</f>
        <v/>
      </c>
      <c r="J139" s="6">
        <f>IF(C139="","",IF(H139=1,SUMIFS('Opening Balance'!$F$4:$F$303,'Opening Balance'!$G$4:$G$303,C139),INDEX($L$2:$L$3001,MATCH(C139&amp;"|"&amp;(H139-1),$I$2:$I$3001,0))))</f>
        <v/>
      </c>
      <c r="K139" s="6">
        <f>IF(C139="","",IF(M139&gt;0,M139,IF(AND(E139&gt;0,ROUND(J139+D139-E139,2)&gt;0,ROUND(J139+D139-E139,2)&lt;'Opening Balance'!$B$14),ROUND(J139+D139-E139,2),0)))</f>
        <v/>
      </c>
      <c r="L139" s="6">
        <f>IF(C139="","",ROUND(J139+D139-E139-K139,2))</f>
        <v/>
      </c>
      <c r="M139" s="6">
        <f>IF(C139="","",IF('Daily Sale entry '!Q139="Collection 收款",ROUND(N('Daily Sale entry '!T139),2),0))</f>
        <v/>
      </c>
    </row>
    <row r="140">
      <c r="A140" t="inlineStr">
        <is>
          <t>Entry 记录</t>
        </is>
      </c>
      <c r="B140" s="5">
        <f>IF('Daily Sale entry '!P140="","",'Daily Sale entry '!O140)</f>
        <v/>
      </c>
      <c r="C140">
        <f>IF('Daily Sale entry '!P140="","",'Daily Sale entry '!P140)</f>
        <v/>
      </c>
      <c r="D140">
        <f>IF(C140="","",IF('Daily Sale entry '!Q140="Credit Sale 赊销",'Daily Sale entry '!S140,0))</f>
        <v/>
      </c>
      <c r="E140">
        <f>IF(C140="","",IF('Daily Sale entry '!Q140="Collection 收款",'Daily Sale entry '!S140,0))</f>
        <v/>
      </c>
      <c r="F140" s="37">
        <f>IF(C140="","",B140+IF(E140&gt;0,0,0.5)+ROW()/10000000)</f>
        <v/>
      </c>
      <c r="G140">
        <f>IF(C140="","",'Daily Sale entry '!Q140&amp;IF('Daily Sale entry '!Q140="Collection 收款"," ("&amp;'Daily Sale entry '!R140&amp;")","")&amp;IF('Daily Sale entry '!U140="",""," - "&amp;'Daily Sale entry '!U140))</f>
        <v/>
      </c>
      <c r="H140">
        <f>IF(C140="","",COUNTIFS($C$2:$C$3001,C140,$F$2:$F$3001,"&lt;"&amp;F140)+1)</f>
        <v/>
      </c>
      <c r="I140">
        <f>IF(C140="","",C140&amp;"|"&amp;H140)</f>
        <v/>
      </c>
      <c r="J140" s="6">
        <f>IF(C140="","",IF(H140=1,SUMIFS('Opening Balance'!$F$4:$F$303,'Opening Balance'!$G$4:$G$303,C140),INDEX($L$2:$L$3001,MATCH(C140&amp;"|"&amp;(H140-1),$I$2:$I$3001,0))))</f>
        <v/>
      </c>
      <c r="K140" s="6">
        <f>IF(C140="","",IF(M140&gt;0,M140,IF(AND(E140&gt;0,ROUND(J140+D140-E140,2)&gt;0,ROUND(J140+D140-E140,2)&lt;'Opening Balance'!$B$14),ROUND(J140+D140-E140,2),0)))</f>
        <v/>
      </c>
      <c r="L140" s="6">
        <f>IF(C140="","",ROUND(J140+D140-E140-K140,2))</f>
        <v/>
      </c>
      <c r="M140" s="6">
        <f>IF(C140="","",IF('Daily Sale entry '!Q140="Collection 收款",ROUND(N('Daily Sale entry '!T140),2),0))</f>
        <v/>
      </c>
    </row>
    <row r="141">
      <c r="A141" t="inlineStr">
        <is>
          <t>Entry 记录</t>
        </is>
      </c>
      <c r="B141" s="5">
        <f>IF('Daily Sale entry '!P141="","",'Daily Sale entry '!O141)</f>
        <v/>
      </c>
      <c r="C141">
        <f>IF('Daily Sale entry '!P141="","",'Daily Sale entry '!P141)</f>
        <v/>
      </c>
      <c r="D141">
        <f>IF(C141="","",IF('Daily Sale entry '!Q141="Credit Sale 赊销",'Daily Sale entry '!S141,0))</f>
        <v/>
      </c>
      <c r="E141">
        <f>IF(C141="","",IF('Daily Sale entry '!Q141="Collection 收款",'Daily Sale entry '!S141,0))</f>
        <v/>
      </c>
      <c r="F141" s="37">
        <f>IF(C141="","",B141+IF(E141&gt;0,0,0.5)+ROW()/10000000)</f>
        <v/>
      </c>
      <c r="G141">
        <f>IF(C141="","",'Daily Sale entry '!Q141&amp;IF('Daily Sale entry '!Q141="Collection 收款"," ("&amp;'Daily Sale entry '!R141&amp;")","")&amp;IF('Daily Sale entry '!U141="",""," - "&amp;'Daily Sale entry '!U141))</f>
        <v/>
      </c>
      <c r="H141">
        <f>IF(C141="","",COUNTIFS($C$2:$C$3001,C141,$F$2:$F$3001,"&lt;"&amp;F141)+1)</f>
        <v/>
      </c>
      <c r="I141">
        <f>IF(C141="","",C141&amp;"|"&amp;H141)</f>
        <v/>
      </c>
      <c r="J141" s="6">
        <f>IF(C141="","",IF(H141=1,SUMIFS('Opening Balance'!$F$4:$F$303,'Opening Balance'!$G$4:$G$303,C141),INDEX($L$2:$L$3001,MATCH(C141&amp;"|"&amp;(H141-1),$I$2:$I$3001,0))))</f>
        <v/>
      </c>
      <c r="K141" s="6">
        <f>IF(C141="","",IF(M141&gt;0,M141,IF(AND(E141&gt;0,ROUND(J141+D141-E141,2)&gt;0,ROUND(J141+D141-E141,2)&lt;'Opening Balance'!$B$14),ROUND(J141+D141-E141,2),0)))</f>
        <v/>
      </c>
      <c r="L141" s="6">
        <f>IF(C141="","",ROUND(J141+D141-E141-K141,2))</f>
        <v/>
      </c>
      <c r="M141" s="6">
        <f>IF(C141="","",IF('Daily Sale entry '!Q141="Collection 收款",ROUND(N('Daily Sale entry '!T141),2),0))</f>
        <v/>
      </c>
    </row>
    <row r="142">
      <c r="A142" t="inlineStr">
        <is>
          <t>Entry 记录</t>
        </is>
      </c>
      <c r="B142" s="5">
        <f>IF('Daily Sale entry '!P142="","",'Daily Sale entry '!O142)</f>
        <v/>
      </c>
      <c r="C142">
        <f>IF('Daily Sale entry '!P142="","",'Daily Sale entry '!P142)</f>
        <v/>
      </c>
      <c r="D142">
        <f>IF(C142="","",IF('Daily Sale entry '!Q142="Credit Sale 赊销",'Daily Sale entry '!S142,0))</f>
        <v/>
      </c>
      <c r="E142">
        <f>IF(C142="","",IF('Daily Sale entry '!Q142="Collection 收款",'Daily Sale entry '!S142,0))</f>
        <v/>
      </c>
      <c r="F142" s="37">
        <f>IF(C142="","",B142+IF(E142&gt;0,0,0.5)+ROW()/10000000)</f>
        <v/>
      </c>
      <c r="G142">
        <f>IF(C142="","",'Daily Sale entry '!Q142&amp;IF('Daily Sale entry '!Q142="Collection 收款"," ("&amp;'Daily Sale entry '!R142&amp;")","")&amp;IF('Daily Sale entry '!U142="",""," - "&amp;'Daily Sale entry '!U142))</f>
        <v/>
      </c>
      <c r="H142">
        <f>IF(C142="","",COUNTIFS($C$2:$C$3001,C142,$F$2:$F$3001,"&lt;"&amp;F142)+1)</f>
        <v/>
      </c>
      <c r="I142">
        <f>IF(C142="","",C142&amp;"|"&amp;H142)</f>
        <v/>
      </c>
      <c r="J142" s="6">
        <f>IF(C142="","",IF(H142=1,SUMIFS('Opening Balance'!$F$4:$F$303,'Opening Balance'!$G$4:$G$303,C142),INDEX($L$2:$L$3001,MATCH(C142&amp;"|"&amp;(H142-1),$I$2:$I$3001,0))))</f>
        <v/>
      </c>
      <c r="K142" s="6">
        <f>IF(C142="","",IF(M142&gt;0,M142,IF(AND(E142&gt;0,ROUND(J142+D142-E142,2)&gt;0,ROUND(J142+D142-E142,2)&lt;'Opening Balance'!$B$14),ROUND(J142+D142-E142,2),0)))</f>
        <v/>
      </c>
      <c r="L142" s="6">
        <f>IF(C142="","",ROUND(J142+D142-E142-K142,2))</f>
        <v/>
      </c>
      <c r="M142" s="6">
        <f>IF(C142="","",IF('Daily Sale entry '!Q142="Collection 收款",ROUND(N('Daily Sale entry '!T142),2),0))</f>
        <v/>
      </c>
    </row>
    <row r="143">
      <c r="A143" t="inlineStr">
        <is>
          <t>Entry 记录</t>
        </is>
      </c>
      <c r="B143" s="5">
        <f>IF('Daily Sale entry '!P143="","",'Daily Sale entry '!O143)</f>
        <v/>
      </c>
      <c r="C143">
        <f>IF('Daily Sale entry '!P143="","",'Daily Sale entry '!P143)</f>
        <v/>
      </c>
      <c r="D143">
        <f>IF(C143="","",IF('Daily Sale entry '!Q143="Credit Sale 赊销",'Daily Sale entry '!S143,0))</f>
        <v/>
      </c>
      <c r="E143">
        <f>IF(C143="","",IF('Daily Sale entry '!Q143="Collection 收款",'Daily Sale entry '!S143,0))</f>
        <v/>
      </c>
      <c r="F143" s="37">
        <f>IF(C143="","",B143+IF(E143&gt;0,0,0.5)+ROW()/10000000)</f>
        <v/>
      </c>
      <c r="G143">
        <f>IF(C143="","",'Daily Sale entry '!Q143&amp;IF('Daily Sale entry '!Q143="Collection 收款"," ("&amp;'Daily Sale entry '!R143&amp;")","")&amp;IF('Daily Sale entry '!U143="",""," - "&amp;'Daily Sale entry '!U143))</f>
        <v/>
      </c>
      <c r="H143">
        <f>IF(C143="","",COUNTIFS($C$2:$C$3001,C143,$F$2:$F$3001,"&lt;"&amp;F143)+1)</f>
        <v/>
      </c>
      <c r="I143">
        <f>IF(C143="","",C143&amp;"|"&amp;H143)</f>
        <v/>
      </c>
      <c r="J143" s="6">
        <f>IF(C143="","",IF(H143=1,SUMIFS('Opening Balance'!$F$4:$F$303,'Opening Balance'!$G$4:$G$303,C143),INDEX($L$2:$L$3001,MATCH(C143&amp;"|"&amp;(H143-1),$I$2:$I$3001,0))))</f>
        <v/>
      </c>
      <c r="K143" s="6">
        <f>IF(C143="","",IF(M143&gt;0,M143,IF(AND(E143&gt;0,ROUND(J143+D143-E143,2)&gt;0,ROUND(J143+D143-E143,2)&lt;'Opening Balance'!$B$14),ROUND(J143+D143-E143,2),0)))</f>
        <v/>
      </c>
      <c r="L143" s="6">
        <f>IF(C143="","",ROUND(J143+D143-E143-K143,2))</f>
        <v/>
      </c>
      <c r="M143" s="6">
        <f>IF(C143="","",IF('Daily Sale entry '!Q143="Collection 收款",ROUND(N('Daily Sale entry '!T143),2),0))</f>
        <v/>
      </c>
    </row>
    <row r="144">
      <c r="A144" t="inlineStr">
        <is>
          <t>Entry 记录</t>
        </is>
      </c>
      <c r="B144" s="5">
        <f>IF('Daily Sale entry '!P144="","",'Daily Sale entry '!O144)</f>
        <v/>
      </c>
      <c r="C144">
        <f>IF('Daily Sale entry '!P144="","",'Daily Sale entry '!P144)</f>
        <v/>
      </c>
      <c r="D144">
        <f>IF(C144="","",IF('Daily Sale entry '!Q144="Credit Sale 赊销",'Daily Sale entry '!S144,0))</f>
        <v/>
      </c>
      <c r="E144">
        <f>IF(C144="","",IF('Daily Sale entry '!Q144="Collection 收款",'Daily Sale entry '!S144,0))</f>
        <v/>
      </c>
      <c r="F144" s="37">
        <f>IF(C144="","",B144+IF(E144&gt;0,0,0.5)+ROW()/10000000)</f>
        <v/>
      </c>
      <c r="G144">
        <f>IF(C144="","",'Daily Sale entry '!Q144&amp;IF('Daily Sale entry '!Q144="Collection 收款"," ("&amp;'Daily Sale entry '!R144&amp;")","")&amp;IF('Daily Sale entry '!U144="",""," - "&amp;'Daily Sale entry '!U144))</f>
        <v/>
      </c>
      <c r="H144">
        <f>IF(C144="","",COUNTIFS($C$2:$C$3001,C144,$F$2:$F$3001,"&lt;"&amp;F144)+1)</f>
        <v/>
      </c>
      <c r="I144">
        <f>IF(C144="","",C144&amp;"|"&amp;H144)</f>
        <v/>
      </c>
      <c r="J144" s="6">
        <f>IF(C144="","",IF(H144=1,SUMIFS('Opening Balance'!$F$4:$F$303,'Opening Balance'!$G$4:$G$303,C144),INDEX($L$2:$L$3001,MATCH(C144&amp;"|"&amp;(H144-1),$I$2:$I$3001,0))))</f>
        <v/>
      </c>
      <c r="K144" s="6">
        <f>IF(C144="","",IF(M144&gt;0,M144,IF(AND(E144&gt;0,ROUND(J144+D144-E144,2)&gt;0,ROUND(J144+D144-E144,2)&lt;'Opening Balance'!$B$14),ROUND(J144+D144-E144,2),0)))</f>
        <v/>
      </c>
      <c r="L144" s="6">
        <f>IF(C144="","",ROUND(J144+D144-E144-K144,2))</f>
        <v/>
      </c>
      <c r="M144" s="6">
        <f>IF(C144="","",IF('Daily Sale entry '!Q144="Collection 收款",ROUND(N('Daily Sale entry '!T144),2),0))</f>
        <v/>
      </c>
    </row>
    <row r="145">
      <c r="A145" t="inlineStr">
        <is>
          <t>Entry 记录</t>
        </is>
      </c>
      <c r="B145" s="5">
        <f>IF('Daily Sale entry '!P145="","",'Daily Sale entry '!O145)</f>
        <v/>
      </c>
      <c r="C145">
        <f>IF('Daily Sale entry '!P145="","",'Daily Sale entry '!P145)</f>
        <v/>
      </c>
      <c r="D145">
        <f>IF(C145="","",IF('Daily Sale entry '!Q145="Credit Sale 赊销",'Daily Sale entry '!S145,0))</f>
        <v/>
      </c>
      <c r="E145">
        <f>IF(C145="","",IF('Daily Sale entry '!Q145="Collection 收款",'Daily Sale entry '!S145,0))</f>
        <v/>
      </c>
      <c r="F145" s="37">
        <f>IF(C145="","",B145+IF(E145&gt;0,0,0.5)+ROW()/10000000)</f>
        <v/>
      </c>
      <c r="G145">
        <f>IF(C145="","",'Daily Sale entry '!Q145&amp;IF('Daily Sale entry '!Q145="Collection 收款"," ("&amp;'Daily Sale entry '!R145&amp;")","")&amp;IF('Daily Sale entry '!U145="",""," - "&amp;'Daily Sale entry '!U145))</f>
        <v/>
      </c>
      <c r="H145">
        <f>IF(C145="","",COUNTIFS($C$2:$C$3001,C145,$F$2:$F$3001,"&lt;"&amp;F145)+1)</f>
        <v/>
      </c>
      <c r="I145">
        <f>IF(C145="","",C145&amp;"|"&amp;H145)</f>
        <v/>
      </c>
      <c r="J145" s="6">
        <f>IF(C145="","",IF(H145=1,SUMIFS('Opening Balance'!$F$4:$F$303,'Opening Balance'!$G$4:$G$303,C145),INDEX($L$2:$L$3001,MATCH(C145&amp;"|"&amp;(H145-1),$I$2:$I$3001,0))))</f>
        <v/>
      </c>
      <c r="K145" s="6">
        <f>IF(C145="","",IF(M145&gt;0,M145,IF(AND(E145&gt;0,ROUND(J145+D145-E145,2)&gt;0,ROUND(J145+D145-E145,2)&lt;'Opening Balance'!$B$14),ROUND(J145+D145-E145,2),0)))</f>
        <v/>
      </c>
      <c r="L145" s="6">
        <f>IF(C145="","",ROUND(J145+D145-E145-K145,2))</f>
        <v/>
      </c>
      <c r="M145" s="6">
        <f>IF(C145="","",IF('Daily Sale entry '!Q145="Collection 收款",ROUND(N('Daily Sale entry '!T145),2),0))</f>
        <v/>
      </c>
    </row>
    <row r="146">
      <c r="A146" t="inlineStr">
        <is>
          <t>Entry 记录</t>
        </is>
      </c>
      <c r="B146" s="5">
        <f>IF('Daily Sale entry '!P146="","",'Daily Sale entry '!O146)</f>
        <v/>
      </c>
      <c r="C146">
        <f>IF('Daily Sale entry '!P146="","",'Daily Sale entry '!P146)</f>
        <v/>
      </c>
      <c r="D146">
        <f>IF(C146="","",IF('Daily Sale entry '!Q146="Credit Sale 赊销",'Daily Sale entry '!S146,0))</f>
        <v/>
      </c>
      <c r="E146">
        <f>IF(C146="","",IF('Daily Sale entry '!Q146="Collection 收款",'Daily Sale entry '!S146,0))</f>
        <v/>
      </c>
      <c r="F146" s="37">
        <f>IF(C146="","",B146+IF(E146&gt;0,0,0.5)+ROW()/10000000)</f>
        <v/>
      </c>
      <c r="G146">
        <f>IF(C146="","",'Daily Sale entry '!Q146&amp;IF('Daily Sale entry '!Q146="Collection 收款"," ("&amp;'Daily Sale entry '!R146&amp;")","")&amp;IF('Daily Sale entry '!U146="",""," - "&amp;'Daily Sale entry '!U146))</f>
        <v/>
      </c>
      <c r="H146">
        <f>IF(C146="","",COUNTIFS($C$2:$C$3001,C146,$F$2:$F$3001,"&lt;"&amp;F146)+1)</f>
        <v/>
      </c>
      <c r="I146">
        <f>IF(C146="","",C146&amp;"|"&amp;H146)</f>
        <v/>
      </c>
      <c r="J146" s="6">
        <f>IF(C146="","",IF(H146=1,SUMIFS('Opening Balance'!$F$4:$F$303,'Opening Balance'!$G$4:$G$303,C146),INDEX($L$2:$L$3001,MATCH(C146&amp;"|"&amp;(H146-1),$I$2:$I$3001,0))))</f>
        <v/>
      </c>
      <c r="K146" s="6">
        <f>IF(C146="","",IF(M146&gt;0,M146,IF(AND(E146&gt;0,ROUND(J146+D146-E146,2)&gt;0,ROUND(J146+D146-E146,2)&lt;'Opening Balance'!$B$14),ROUND(J146+D146-E146,2),0)))</f>
        <v/>
      </c>
      <c r="L146" s="6">
        <f>IF(C146="","",ROUND(J146+D146-E146-K146,2))</f>
        <v/>
      </c>
      <c r="M146" s="6">
        <f>IF(C146="","",IF('Daily Sale entry '!Q146="Collection 收款",ROUND(N('Daily Sale entry '!T146),2),0))</f>
        <v/>
      </c>
    </row>
    <row r="147">
      <c r="A147" t="inlineStr">
        <is>
          <t>Entry 记录</t>
        </is>
      </c>
      <c r="B147" s="5">
        <f>IF('Daily Sale entry '!P147="","",'Daily Sale entry '!O147)</f>
        <v/>
      </c>
      <c r="C147">
        <f>IF('Daily Sale entry '!P147="","",'Daily Sale entry '!P147)</f>
        <v/>
      </c>
      <c r="D147">
        <f>IF(C147="","",IF('Daily Sale entry '!Q147="Credit Sale 赊销",'Daily Sale entry '!S147,0))</f>
        <v/>
      </c>
      <c r="E147">
        <f>IF(C147="","",IF('Daily Sale entry '!Q147="Collection 收款",'Daily Sale entry '!S147,0))</f>
        <v/>
      </c>
      <c r="F147" s="37">
        <f>IF(C147="","",B147+IF(E147&gt;0,0,0.5)+ROW()/10000000)</f>
        <v/>
      </c>
      <c r="G147">
        <f>IF(C147="","",'Daily Sale entry '!Q147&amp;IF('Daily Sale entry '!Q147="Collection 收款"," ("&amp;'Daily Sale entry '!R147&amp;")","")&amp;IF('Daily Sale entry '!U147="",""," - "&amp;'Daily Sale entry '!U147))</f>
        <v/>
      </c>
      <c r="H147">
        <f>IF(C147="","",COUNTIFS($C$2:$C$3001,C147,$F$2:$F$3001,"&lt;"&amp;F147)+1)</f>
        <v/>
      </c>
      <c r="I147">
        <f>IF(C147="","",C147&amp;"|"&amp;H147)</f>
        <v/>
      </c>
      <c r="J147" s="6">
        <f>IF(C147="","",IF(H147=1,SUMIFS('Opening Balance'!$F$4:$F$303,'Opening Balance'!$G$4:$G$303,C147),INDEX($L$2:$L$3001,MATCH(C147&amp;"|"&amp;(H147-1),$I$2:$I$3001,0))))</f>
        <v/>
      </c>
      <c r="K147" s="6">
        <f>IF(C147="","",IF(M147&gt;0,M147,IF(AND(E147&gt;0,ROUND(J147+D147-E147,2)&gt;0,ROUND(J147+D147-E147,2)&lt;'Opening Balance'!$B$14),ROUND(J147+D147-E147,2),0)))</f>
        <v/>
      </c>
      <c r="L147" s="6">
        <f>IF(C147="","",ROUND(J147+D147-E147-K147,2))</f>
        <v/>
      </c>
      <c r="M147" s="6">
        <f>IF(C147="","",IF('Daily Sale entry '!Q147="Collection 收款",ROUND(N('Daily Sale entry '!T147),2),0))</f>
        <v/>
      </c>
    </row>
    <row r="148">
      <c r="A148" t="inlineStr">
        <is>
          <t>Entry 记录</t>
        </is>
      </c>
      <c r="B148" s="5">
        <f>IF('Daily Sale entry '!P148="","",'Daily Sale entry '!O148)</f>
        <v/>
      </c>
      <c r="C148">
        <f>IF('Daily Sale entry '!P148="","",'Daily Sale entry '!P148)</f>
        <v/>
      </c>
      <c r="D148">
        <f>IF(C148="","",IF('Daily Sale entry '!Q148="Credit Sale 赊销",'Daily Sale entry '!S148,0))</f>
        <v/>
      </c>
      <c r="E148">
        <f>IF(C148="","",IF('Daily Sale entry '!Q148="Collection 收款",'Daily Sale entry '!S148,0))</f>
        <v/>
      </c>
      <c r="F148" s="37">
        <f>IF(C148="","",B148+IF(E148&gt;0,0,0.5)+ROW()/10000000)</f>
        <v/>
      </c>
      <c r="G148">
        <f>IF(C148="","",'Daily Sale entry '!Q148&amp;IF('Daily Sale entry '!Q148="Collection 收款"," ("&amp;'Daily Sale entry '!R148&amp;")","")&amp;IF('Daily Sale entry '!U148="",""," - "&amp;'Daily Sale entry '!U148))</f>
        <v/>
      </c>
      <c r="H148">
        <f>IF(C148="","",COUNTIFS($C$2:$C$3001,C148,$F$2:$F$3001,"&lt;"&amp;F148)+1)</f>
        <v/>
      </c>
      <c r="I148">
        <f>IF(C148="","",C148&amp;"|"&amp;H148)</f>
        <v/>
      </c>
      <c r="J148" s="6">
        <f>IF(C148="","",IF(H148=1,SUMIFS('Opening Balance'!$F$4:$F$303,'Opening Balance'!$G$4:$G$303,C148),INDEX($L$2:$L$3001,MATCH(C148&amp;"|"&amp;(H148-1),$I$2:$I$3001,0))))</f>
        <v/>
      </c>
      <c r="K148" s="6">
        <f>IF(C148="","",IF(M148&gt;0,M148,IF(AND(E148&gt;0,ROUND(J148+D148-E148,2)&gt;0,ROUND(J148+D148-E148,2)&lt;'Opening Balance'!$B$14),ROUND(J148+D148-E148,2),0)))</f>
        <v/>
      </c>
      <c r="L148" s="6">
        <f>IF(C148="","",ROUND(J148+D148-E148-K148,2))</f>
        <v/>
      </c>
      <c r="M148" s="6">
        <f>IF(C148="","",IF('Daily Sale entry '!Q148="Collection 收款",ROUND(N('Daily Sale entry '!T148),2),0))</f>
        <v/>
      </c>
    </row>
    <row r="149">
      <c r="A149" t="inlineStr">
        <is>
          <t>Entry 记录</t>
        </is>
      </c>
      <c r="B149" s="5">
        <f>IF('Daily Sale entry '!P149="","",'Daily Sale entry '!O149)</f>
        <v/>
      </c>
      <c r="C149">
        <f>IF('Daily Sale entry '!P149="","",'Daily Sale entry '!P149)</f>
        <v/>
      </c>
      <c r="D149">
        <f>IF(C149="","",IF('Daily Sale entry '!Q149="Credit Sale 赊销",'Daily Sale entry '!S149,0))</f>
        <v/>
      </c>
      <c r="E149">
        <f>IF(C149="","",IF('Daily Sale entry '!Q149="Collection 收款",'Daily Sale entry '!S149,0))</f>
        <v/>
      </c>
      <c r="F149" s="37">
        <f>IF(C149="","",B149+IF(E149&gt;0,0,0.5)+ROW()/10000000)</f>
        <v/>
      </c>
      <c r="G149">
        <f>IF(C149="","",'Daily Sale entry '!Q149&amp;IF('Daily Sale entry '!Q149="Collection 收款"," ("&amp;'Daily Sale entry '!R149&amp;")","")&amp;IF('Daily Sale entry '!U149="",""," - "&amp;'Daily Sale entry '!U149))</f>
        <v/>
      </c>
      <c r="H149">
        <f>IF(C149="","",COUNTIFS($C$2:$C$3001,C149,$F$2:$F$3001,"&lt;"&amp;F149)+1)</f>
        <v/>
      </c>
      <c r="I149">
        <f>IF(C149="","",C149&amp;"|"&amp;H149)</f>
        <v/>
      </c>
      <c r="J149" s="6">
        <f>IF(C149="","",IF(H149=1,SUMIFS('Opening Balance'!$F$4:$F$303,'Opening Balance'!$G$4:$G$303,C149),INDEX($L$2:$L$3001,MATCH(C149&amp;"|"&amp;(H149-1),$I$2:$I$3001,0))))</f>
        <v/>
      </c>
      <c r="K149" s="6">
        <f>IF(C149="","",IF(M149&gt;0,M149,IF(AND(E149&gt;0,ROUND(J149+D149-E149,2)&gt;0,ROUND(J149+D149-E149,2)&lt;'Opening Balance'!$B$14),ROUND(J149+D149-E149,2),0)))</f>
        <v/>
      </c>
      <c r="L149" s="6">
        <f>IF(C149="","",ROUND(J149+D149-E149-K149,2))</f>
        <v/>
      </c>
      <c r="M149" s="6">
        <f>IF(C149="","",IF('Daily Sale entry '!Q149="Collection 收款",ROUND(N('Daily Sale entry '!T149),2),0))</f>
        <v/>
      </c>
    </row>
    <row r="150">
      <c r="A150" t="inlineStr">
        <is>
          <t>Entry 记录</t>
        </is>
      </c>
      <c r="B150" s="5">
        <f>IF('Daily Sale entry '!P150="","",'Daily Sale entry '!O150)</f>
        <v/>
      </c>
      <c r="C150">
        <f>IF('Daily Sale entry '!P150="","",'Daily Sale entry '!P150)</f>
        <v/>
      </c>
      <c r="D150">
        <f>IF(C150="","",IF('Daily Sale entry '!Q150="Credit Sale 赊销",'Daily Sale entry '!S150,0))</f>
        <v/>
      </c>
      <c r="E150">
        <f>IF(C150="","",IF('Daily Sale entry '!Q150="Collection 收款",'Daily Sale entry '!S150,0))</f>
        <v/>
      </c>
      <c r="F150" s="37">
        <f>IF(C150="","",B150+IF(E150&gt;0,0,0.5)+ROW()/10000000)</f>
        <v/>
      </c>
      <c r="G150">
        <f>IF(C150="","",'Daily Sale entry '!Q150&amp;IF('Daily Sale entry '!Q150="Collection 收款"," ("&amp;'Daily Sale entry '!R150&amp;")","")&amp;IF('Daily Sale entry '!U150="",""," - "&amp;'Daily Sale entry '!U150))</f>
        <v/>
      </c>
      <c r="H150">
        <f>IF(C150="","",COUNTIFS($C$2:$C$3001,C150,$F$2:$F$3001,"&lt;"&amp;F150)+1)</f>
        <v/>
      </c>
      <c r="I150">
        <f>IF(C150="","",C150&amp;"|"&amp;H150)</f>
        <v/>
      </c>
      <c r="J150" s="6">
        <f>IF(C150="","",IF(H150=1,SUMIFS('Opening Balance'!$F$4:$F$303,'Opening Balance'!$G$4:$G$303,C150),INDEX($L$2:$L$3001,MATCH(C150&amp;"|"&amp;(H150-1),$I$2:$I$3001,0))))</f>
        <v/>
      </c>
      <c r="K150" s="6">
        <f>IF(C150="","",IF(M150&gt;0,M150,IF(AND(E150&gt;0,ROUND(J150+D150-E150,2)&gt;0,ROUND(J150+D150-E150,2)&lt;'Opening Balance'!$B$14),ROUND(J150+D150-E150,2),0)))</f>
        <v/>
      </c>
      <c r="L150" s="6">
        <f>IF(C150="","",ROUND(J150+D150-E150-K150,2))</f>
        <v/>
      </c>
      <c r="M150" s="6">
        <f>IF(C150="","",IF('Daily Sale entry '!Q150="Collection 收款",ROUND(N('Daily Sale entry '!T150),2),0))</f>
        <v/>
      </c>
    </row>
    <row r="151">
      <c r="A151" t="inlineStr">
        <is>
          <t>Entry 记录</t>
        </is>
      </c>
      <c r="B151" s="5">
        <f>IF('Daily Sale entry '!P151="","",'Daily Sale entry '!O151)</f>
        <v/>
      </c>
      <c r="C151">
        <f>IF('Daily Sale entry '!P151="","",'Daily Sale entry '!P151)</f>
        <v/>
      </c>
      <c r="D151">
        <f>IF(C151="","",IF('Daily Sale entry '!Q151="Credit Sale 赊销",'Daily Sale entry '!S151,0))</f>
        <v/>
      </c>
      <c r="E151">
        <f>IF(C151="","",IF('Daily Sale entry '!Q151="Collection 收款",'Daily Sale entry '!S151,0))</f>
        <v/>
      </c>
      <c r="F151" s="37">
        <f>IF(C151="","",B151+IF(E151&gt;0,0,0.5)+ROW()/10000000)</f>
        <v/>
      </c>
      <c r="G151">
        <f>IF(C151="","",'Daily Sale entry '!Q151&amp;IF('Daily Sale entry '!Q151="Collection 收款"," ("&amp;'Daily Sale entry '!R151&amp;")","")&amp;IF('Daily Sale entry '!U151="",""," - "&amp;'Daily Sale entry '!U151))</f>
        <v/>
      </c>
      <c r="H151">
        <f>IF(C151="","",COUNTIFS($C$2:$C$3001,C151,$F$2:$F$3001,"&lt;"&amp;F151)+1)</f>
        <v/>
      </c>
      <c r="I151">
        <f>IF(C151="","",C151&amp;"|"&amp;H151)</f>
        <v/>
      </c>
      <c r="J151" s="6">
        <f>IF(C151="","",IF(H151=1,SUMIFS('Opening Balance'!$F$4:$F$303,'Opening Balance'!$G$4:$G$303,C151),INDEX($L$2:$L$3001,MATCH(C151&amp;"|"&amp;(H151-1),$I$2:$I$3001,0))))</f>
        <v/>
      </c>
      <c r="K151" s="6">
        <f>IF(C151="","",IF(M151&gt;0,M151,IF(AND(E151&gt;0,ROUND(J151+D151-E151,2)&gt;0,ROUND(J151+D151-E151,2)&lt;'Opening Balance'!$B$14),ROUND(J151+D151-E151,2),0)))</f>
        <v/>
      </c>
      <c r="L151" s="6">
        <f>IF(C151="","",ROUND(J151+D151-E151-K151,2))</f>
        <v/>
      </c>
      <c r="M151" s="6">
        <f>IF(C151="","",IF('Daily Sale entry '!Q151="Collection 收款",ROUND(N('Daily Sale entry '!T151),2),0))</f>
        <v/>
      </c>
    </row>
    <row r="152">
      <c r="A152" t="inlineStr">
        <is>
          <t>Entry 记录</t>
        </is>
      </c>
      <c r="B152" s="5">
        <f>IF('Daily Sale entry '!P152="","",'Daily Sale entry '!O152)</f>
        <v/>
      </c>
      <c r="C152">
        <f>IF('Daily Sale entry '!P152="","",'Daily Sale entry '!P152)</f>
        <v/>
      </c>
      <c r="D152">
        <f>IF(C152="","",IF('Daily Sale entry '!Q152="Credit Sale 赊销",'Daily Sale entry '!S152,0))</f>
        <v/>
      </c>
      <c r="E152">
        <f>IF(C152="","",IF('Daily Sale entry '!Q152="Collection 收款",'Daily Sale entry '!S152,0))</f>
        <v/>
      </c>
      <c r="F152" s="37">
        <f>IF(C152="","",B152+IF(E152&gt;0,0,0.5)+ROW()/10000000)</f>
        <v/>
      </c>
      <c r="G152">
        <f>IF(C152="","",'Daily Sale entry '!Q152&amp;IF('Daily Sale entry '!Q152="Collection 收款"," ("&amp;'Daily Sale entry '!R152&amp;")","")&amp;IF('Daily Sale entry '!U152="",""," - "&amp;'Daily Sale entry '!U152))</f>
        <v/>
      </c>
      <c r="H152">
        <f>IF(C152="","",COUNTIFS($C$2:$C$3001,C152,$F$2:$F$3001,"&lt;"&amp;F152)+1)</f>
        <v/>
      </c>
      <c r="I152">
        <f>IF(C152="","",C152&amp;"|"&amp;H152)</f>
        <v/>
      </c>
      <c r="J152" s="6">
        <f>IF(C152="","",IF(H152=1,SUMIFS('Opening Balance'!$F$4:$F$303,'Opening Balance'!$G$4:$G$303,C152),INDEX($L$2:$L$3001,MATCH(C152&amp;"|"&amp;(H152-1),$I$2:$I$3001,0))))</f>
        <v/>
      </c>
      <c r="K152" s="6">
        <f>IF(C152="","",IF(M152&gt;0,M152,IF(AND(E152&gt;0,ROUND(J152+D152-E152,2)&gt;0,ROUND(J152+D152-E152,2)&lt;'Opening Balance'!$B$14),ROUND(J152+D152-E152,2),0)))</f>
        <v/>
      </c>
      <c r="L152" s="6">
        <f>IF(C152="","",ROUND(J152+D152-E152-K152,2))</f>
        <v/>
      </c>
      <c r="M152" s="6">
        <f>IF(C152="","",IF('Daily Sale entry '!Q152="Collection 收款",ROUND(N('Daily Sale entry '!T152),2),0))</f>
        <v/>
      </c>
    </row>
    <row r="153">
      <c r="A153" t="inlineStr">
        <is>
          <t>Entry 记录</t>
        </is>
      </c>
      <c r="B153" s="5">
        <f>IF('Daily Sale entry '!P153="","",'Daily Sale entry '!O153)</f>
        <v/>
      </c>
      <c r="C153">
        <f>IF('Daily Sale entry '!P153="","",'Daily Sale entry '!P153)</f>
        <v/>
      </c>
      <c r="D153">
        <f>IF(C153="","",IF('Daily Sale entry '!Q153="Credit Sale 赊销",'Daily Sale entry '!S153,0))</f>
        <v/>
      </c>
      <c r="E153">
        <f>IF(C153="","",IF('Daily Sale entry '!Q153="Collection 收款",'Daily Sale entry '!S153,0))</f>
        <v/>
      </c>
      <c r="F153" s="37">
        <f>IF(C153="","",B153+IF(E153&gt;0,0,0.5)+ROW()/10000000)</f>
        <v/>
      </c>
      <c r="G153">
        <f>IF(C153="","",'Daily Sale entry '!Q153&amp;IF('Daily Sale entry '!Q153="Collection 收款"," ("&amp;'Daily Sale entry '!R153&amp;")","")&amp;IF('Daily Sale entry '!U153="",""," - "&amp;'Daily Sale entry '!U153))</f>
        <v/>
      </c>
      <c r="H153">
        <f>IF(C153="","",COUNTIFS($C$2:$C$3001,C153,$F$2:$F$3001,"&lt;"&amp;F153)+1)</f>
        <v/>
      </c>
      <c r="I153">
        <f>IF(C153="","",C153&amp;"|"&amp;H153)</f>
        <v/>
      </c>
      <c r="J153" s="6">
        <f>IF(C153="","",IF(H153=1,SUMIFS('Opening Balance'!$F$4:$F$303,'Opening Balance'!$G$4:$G$303,C153),INDEX($L$2:$L$3001,MATCH(C153&amp;"|"&amp;(H153-1),$I$2:$I$3001,0))))</f>
        <v/>
      </c>
      <c r="K153" s="6">
        <f>IF(C153="","",IF(M153&gt;0,M153,IF(AND(E153&gt;0,ROUND(J153+D153-E153,2)&gt;0,ROUND(J153+D153-E153,2)&lt;'Opening Balance'!$B$14),ROUND(J153+D153-E153,2),0)))</f>
        <v/>
      </c>
      <c r="L153" s="6">
        <f>IF(C153="","",ROUND(J153+D153-E153-K153,2))</f>
        <v/>
      </c>
      <c r="M153" s="6">
        <f>IF(C153="","",IF('Daily Sale entry '!Q153="Collection 收款",ROUND(N('Daily Sale entry '!T153),2),0))</f>
        <v/>
      </c>
    </row>
    <row r="154">
      <c r="A154" t="inlineStr">
        <is>
          <t>Entry 记录</t>
        </is>
      </c>
      <c r="B154" s="5">
        <f>IF('Daily Sale entry '!P154="","",'Daily Sale entry '!O154)</f>
        <v/>
      </c>
      <c r="C154">
        <f>IF('Daily Sale entry '!P154="","",'Daily Sale entry '!P154)</f>
        <v/>
      </c>
      <c r="D154">
        <f>IF(C154="","",IF('Daily Sale entry '!Q154="Credit Sale 赊销",'Daily Sale entry '!S154,0))</f>
        <v/>
      </c>
      <c r="E154">
        <f>IF(C154="","",IF('Daily Sale entry '!Q154="Collection 收款",'Daily Sale entry '!S154,0))</f>
        <v/>
      </c>
      <c r="F154" s="37">
        <f>IF(C154="","",B154+IF(E154&gt;0,0,0.5)+ROW()/10000000)</f>
        <v/>
      </c>
      <c r="G154">
        <f>IF(C154="","",'Daily Sale entry '!Q154&amp;IF('Daily Sale entry '!Q154="Collection 收款"," ("&amp;'Daily Sale entry '!R154&amp;")","")&amp;IF('Daily Sale entry '!U154="",""," - "&amp;'Daily Sale entry '!U154))</f>
        <v/>
      </c>
      <c r="H154">
        <f>IF(C154="","",COUNTIFS($C$2:$C$3001,C154,$F$2:$F$3001,"&lt;"&amp;F154)+1)</f>
        <v/>
      </c>
      <c r="I154">
        <f>IF(C154="","",C154&amp;"|"&amp;H154)</f>
        <v/>
      </c>
      <c r="J154" s="6">
        <f>IF(C154="","",IF(H154=1,SUMIFS('Opening Balance'!$F$4:$F$303,'Opening Balance'!$G$4:$G$303,C154),INDEX($L$2:$L$3001,MATCH(C154&amp;"|"&amp;(H154-1),$I$2:$I$3001,0))))</f>
        <v/>
      </c>
      <c r="K154" s="6">
        <f>IF(C154="","",IF(M154&gt;0,M154,IF(AND(E154&gt;0,ROUND(J154+D154-E154,2)&gt;0,ROUND(J154+D154-E154,2)&lt;'Opening Balance'!$B$14),ROUND(J154+D154-E154,2),0)))</f>
        <v/>
      </c>
      <c r="L154" s="6">
        <f>IF(C154="","",ROUND(J154+D154-E154-K154,2))</f>
        <v/>
      </c>
      <c r="M154" s="6">
        <f>IF(C154="","",IF('Daily Sale entry '!Q154="Collection 收款",ROUND(N('Daily Sale entry '!T154),2),0))</f>
        <v/>
      </c>
    </row>
    <row r="155">
      <c r="A155" t="inlineStr">
        <is>
          <t>Entry 记录</t>
        </is>
      </c>
      <c r="B155" s="5">
        <f>IF('Daily Sale entry '!P155="","",'Daily Sale entry '!O155)</f>
        <v/>
      </c>
      <c r="C155">
        <f>IF('Daily Sale entry '!P155="","",'Daily Sale entry '!P155)</f>
        <v/>
      </c>
      <c r="D155">
        <f>IF(C155="","",IF('Daily Sale entry '!Q155="Credit Sale 赊销",'Daily Sale entry '!S155,0))</f>
        <v/>
      </c>
      <c r="E155">
        <f>IF(C155="","",IF('Daily Sale entry '!Q155="Collection 收款",'Daily Sale entry '!S155,0))</f>
        <v/>
      </c>
      <c r="F155" s="37">
        <f>IF(C155="","",B155+IF(E155&gt;0,0,0.5)+ROW()/10000000)</f>
        <v/>
      </c>
      <c r="G155">
        <f>IF(C155="","",'Daily Sale entry '!Q155&amp;IF('Daily Sale entry '!Q155="Collection 收款"," ("&amp;'Daily Sale entry '!R155&amp;")","")&amp;IF('Daily Sale entry '!U155="",""," - "&amp;'Daily Sale entry '!U155))</f>
        <v/>
      </c>
      <c r="H155">
        <f>IF(C155="","",COUNTIFS($C$2:$C$3001,C155,$F$2:$F$3001,"&lt;"&amp;F155)+1)</f>
        <v/>
      </c>
      <c r="I155">
        <f>IF(C155="","",C155&amp;"|"&amp;H155)</f>
        <v/>
      </c>
      <c r="J155" s="6">
        <f>IF(C155="","",IF(H155=1,SUMIFS('Opening Balance'!$F$4:$F$303,'Opening Balance'!$G$4:$G$303,C155),INDEX($L$2:$L$3001,MATCH(C155&amp;"|"&amp;(H155-1),$I$2:$I$3001,0))))</f>
        <v/>
      </c>
      <c r="K155" s="6">
        <f>IF(C155="","",IF(M155&gt;0,M155,IF(AND(E155&gt;0,ROUND(J155+D155-E155,2)&gt;0,ROUND(J155+D155-E155,2)&lt;'Opening Balance'!$B$14),ROUND(J155+D155-E155,2),0)))</f>
        <v/>
      </c>
      <c r="L155" s="6">
        <f>IF(C155="","",ROUND(J155+D155-E155-K155,2))</f>
        <v/>
      </c>
      <c r="M155" s="6">
        <f>IF(C155="","",IF('Daily Sale entry '!Q155="Collection 收款",ROUND(N('Daily Sale entry '!T155),2),0))</f>
        <v/>
      </c>
    </row>
    <row r="156">
      <c r="A156" t="inlineStr">
        <is>
          <t>Entry 记录</t>
        </is>
      </c>
      <c r="B156" s="5">
        <f>IF('Daily Sale entry '!P156="","",'Daily Sale entry '!O156)</f>
        <v/>
      </c>
      <c r="C156">
        <f>IF('Daily Sale entry '!P156="","",'Daily Sale entry '!P156)</f>
        <v/>
      </c>
      <c r="D156">
        <f>IF(C156="","",IF('Daily Sale entry '!Q156="Credit Sale 赊销",'Daily Sale entry '!S156,0))</f>
        <v/>
      </c>
      <c r="E156">
        <f>IF(C156="","",IF('Daily Sale entry '!Q156="Collection 收款",'Daily Sale entry '!S156,0))</f>
        <v/>
      </c>
      <c r="F156" s="37">
        <f>IF(C156="","",B156+IF(E156&gt;0,0,0.5)+ROW()/10000000)</f>
        <v/>
      </c>
      <c r="G156">
        <f>IF(C156="","",'Daily Sale entry '!Q156&amp;IF('Daily Sale entry '!Q156="Collection 收款"," ("&amp;'Daily Sale entry '!R156&amp;")","")&amp;IF('Daily Sale entry '!U156="",""," - "&amp;'Daily Sale entry '!U156))</f>
        <v/>
      </c>
      <c r="H156">
        <f>IF(C156="","",COUNTIFS($C$2:$C$3001,C156,$F$2:$F$3001,"&lt;"&amp;F156)+1)</f>
        <v/>
      </c>
      <c r="I156">
        <f>IF(C156="","",C156&amp;"|"&amp;H156)</f>
        <v/>
      </c>
      <c r="J156" s="6">
        <f>IF(C156="","",IF(H156=1,SUMIFS('Opening Balance'!$F$4:$F$303,'Opening Balance'!$G$4:$G$303,C156),INDEX($L$2:$L$3001,MATCH(C156&amp;"|"&amp;(H156-1),$I$2:$I$3001,0))))</f>
        <v/>
      </c>
      <c r="K156" s="6">
        <f>IF(C156="","",IF(M156&gt;0,M156,IF(AND(E156&gt;0,ROUND(J156+D156-E156,2)&gt;0,ROUND(J156+D156-E156,2)&lt;'Opening Balance'!$B$14),ROUND(J156+D156-E156,2),0)))</f>
        <v/>
      </c>
      <c r="L156" s="6">
        <f>IF(C156="","",ROUND(J156+D156-E156-K156,2))</f>
        <v/>
      </c>
      <c r="M156" s="6">
        <f>IF(C156="","",IF('Daily Sale entry '!Q156="Collection 收款",ROUND(N('Daily Sale entry '!T156),2),0))</f>
        <v/>
      </c>
    </row>
    <row r="157">
      <c r="A157" t="inlineStr">
        <is>
          <t>Entry 记录</t>
        </is>
      </c>
      <c r="B157" s="5">
        <f>IF('Daily Sale entry '!P157="","",'Daily Sale entry '!O157)</f>
        <v/>
      </c>
      <c r="C157">
        <f>IF('Daily Sale entry '!P157="","",'Daily Sale entry '!P157)</f>
        <v/>
      </c>
      <c r="D157">
        <f>IF(C157="","",IF('Daily Sale entry '!Q157="Credit Sale 赊销",'Daily Sale entry '!S157,0))</f>
        <v/>
      </c>
      <c r="E157">
        <f>IF(C157="","",IF('Daily Sale entry '!Q157="Collection 收款",'Daily Sale entry '!S157,0))</f>
        <v/>
      </c>
      <c r="F157" s="37">
        <f>IF(C157="","",B157+IF(E157&gt;0,0,0.5)+ROW()/10000000)</f>
        <v/>
      </c>
      <c r="G157">
        <f>IF(C157="","",'Daily Sale entry '!Q157&amp;IF('Daily Sale entry '!Q157="Collection 收款"," ("&amp;'Daily Sale entry '!R157&amp;")","")&amp;IF('Daily Sale entry '!U157="",""," - "&amp;'Daily Sale entry '!U157))</f>
        <v/>
      </c>
      <c r="H157">
        <f>IF(C157="","",COUNTIFS($C$2:$C$3001,C157,$F$2:$F$3001,"&lt;"&amp;F157)+1)</f>
        <v/>
      </c>
      <c r="I157">
        <f>IF(C157="","",C157&amp;"|"&amp;H157)</f>
        <v/>
      </c>
      <c r="J157" s="6">
        <f>IF(C157="","",IF(H157=1,SUMIFS('Opening Balance'!$F$4:$F$303,'Opening Balance'!$G$4:$G$303,C157),INDEX($L$2:$L$3001,MATCH(C157&amp;"|"&amp;(H157-1),$I$2:$I$3001,0))))</f>
        <v/>
      </c>
      <c r="K157" s="6">
        <f>IF(C157="","",IF(M157&gt;0,M157,IF(AND(E157&gt;0,ROUND(J157+D157-E157,2)&gt;0,ROUND(J157+D157-E157,2)&lt;'Opening Balance'!$B$14),ROUND(J157+D157-E157,2),0)))</f>
        <v/>
      </c>
      <c r="L157" s="6">
        <f>IF(C157="","",ROUND(J157+D157-E157-K157,2))</f>
        <v/>
      </c>
      <c r="M157" s="6">
        <f>IF(C157="","",IF('Daily Sale entry '!Q157="Collection 收款",ROUND(N('Daily Sale entry '!T157),2),0))</f>
        <v/>
      </c>
    </row>
    <row r="158">
      <c r="A158" t="inlineStr">
        <is>
          <t>Entry 记录</t>
        </is>
      </c>
      <c r="B158" s="5">
        <f>IF('Daily Sale entry '!P158="","",'Daily Sale entry '!O158)</f>
        <v/>
      </c>
      <c r="C158">
        <f>IF('Daily Sale entry '!P158="","",'Daily Sale entry '!P158)</f>
        <v/>
      </c>
      <c r="D158">
        <f>IF(C158="","",IF('Daily Sale entry '!Q158="Credit Sale 赊销",'Daily Sale entry '!S158,0))</f>
        <v/>
      </c>
      <c r="E158">
        <f>IF(C158="","",IF('Daily Sale entry '!Q158="Collection 收款",'Daily Sale entry '!S158,0))</f>
        <v/>
      </c>
      <c r="F158" s="37">
        <f>IF(C158="","",B158+IF(E158&gt;0,0,0.5)+ROW()/10000000)</f>
        <v/>
      </c>
      <c r="G158">
        <f>IF(C158="","",'Daily Sale entry '!Q158&amp;IF('Daily Sale entry '!Q158="Collection 收款"," ("&amp;'Daily Sale entry '!R158&amp;")","")&amp;IF('Daily Sale entry '!U158="",""," - "&amp;'Daily Sale entry '!U158))</f>
        <v/>
      </c>
      <c r="H158">
        <f>IF(C158="","",COUNTIFS($C$2:$C$3001,C158,$F$2:$F$3001,"&lt;"&amp;F158)+1)</f>
        <v/>
      </c>
      <c r="I158">
        <f>IF(C158="","",C158&amp;"|"&amp;H158)</f>
        <v/>
      </c>
      <c r="J158" s="6">
        <f>IF(C158="","",IF(H158=1,SUMIFS('Opening Balance'!$F$4:$F$303,'Opening Balance'!$G$4:$G$303,C158),INDEX($L$2:$L$3001,MATCH(C158&amp;"|"&amp;(H158-1),$I$2:$I$3001,0))))</f>
        <v/>
      </c>
      <c r="K158" s="6">
        <f>IF(C158="","",IF(M158&gt;0,M158,IF(AND(E158&gt;0,ROUND(J158+D158-E158,2)&gt;0,ROUND(J158+D158-E158,2)&lt;'Opening Balance'!$B$14),ROUND(J158+D158-E158,2),0)))</f>
        <v/>
      </c>
      <c r="L158" s="6">
        <f>IF(C158="","",ROUND(J158+D158-E158-K158,2))</f>
        <v/>
      </c>
      <c r="M158" s="6">
        <f>IF(C158="","",IF('Daily Sale entry '!Q158="Collection 收款",ROUND(N('Daily Sale entry '!T158),2),0))</f>
        <v/>
      </c>
    </row>
    <row r="159">
      <c r="A159" t="inlineStr">
        <is>
          <t>Entry 记录</t>
        </is>
      </c>
      <c r="B159" s="5">
        <f>IF('Daily Sale entry '!P159="","",'Daily Sale entry '!O159)</f>
        <v/>
      </c>
      <c r="C159">
        <f>IF('Daily Sale entry '!P159="","",'Daily Sale entry '!P159)</f>
        <v/>
      </c>
      <c r="D159">
        <f>IF(C159="","",IF('Daily Sale entry '!Q159="Credit Sale 赊销",'Daily Sale entry '!S159,0))</f>
        <v/>
      </c>
      <c r="E159">
        <f>IF(C159="","",IF('Daily Sale entry '!Q159="Collection 收款",'Daily Sale entry '!S159,0))</f>
        <v/>
      </c>
      <c r="F159" s="37">
        <f>IF(C159="","",B159+IF(E159&gt;0,0,0.5)+ROW()/10000000)</f>
        <v/>
      </c>
      <c r="G159">
        <f>IF(C159="","",'Daily Sale entry '!Q159&amp;IF('Daily Sale entry '!Q159="Collection 收款"," ("&amp;'Daily Sale entry '!R159&amp;")","")&amp;IF('Daily Sale entry '!U159="",""," - "&amp;'Daily Sale entry '!U159))</f>
        <v/>
      </c>
      <c r="H159">
        <f>IF(C159="","",COUNTIFS($C$2:$C$3001,C159,$F$2:$F$3001,"&lt;"&amp;F159)+1)</f>
        <v/>
      </c>
      <c r="I159">
        <f>IF(C159="","",C159&amp;"|"&amp;H159)</f>
        <v/>
      </c>
      <c r="J159" s="6">
        <f>IF(C159="","",IF(H159=1,SUMIFS('Opening Balance'!$F$4:$F$303,'Opening Balance'!$G$4:$G$303,C159),INDEX($L$2:$L$3001,MATCH(C159&amp;"|"&amp;(H159-1),$I$2:$I$3001,0))))</f>
        <v/>
      </c>
      <c r="K159" s="6">
        <f>IF(C159="","",IF(M159&gt;0,M159,IF(AND(E159&gt;0,ROUND(J159+D159-E159,2)&gt;0,ROUND(J159+D159-E159,2)&lt;'Opening Balance'!$B$14),ROUND(J159+D159-E159,2),0)))</f>
        <v/>
      </c>
      <c r="L159" s="6">
        <f>IF(C159="","",ROUND(J159+D159-E159-K159,2))</f>
        <v/>
      </c>
      <c r="M159" s="6">
        <f>IF(C159="","",IF('Daily Sale entry '!Q159="Collection 收款",ROUND(N('Daily Sale entry '!T159),2),0))</f>
        <v/>
      </c>
    </row>
    <row r="160">
      <c r="A160" t="inlineStr">
        <is>
          <t>Entry 记录</t>
        </is>
      </c>
      <c r="B160" s="5">
        <f>IF('Daily Sale entry '!P160="","",'Daily Sale entry '!O160)</f>
        <v/>
      </c>
      <c r="C160">
        <f>IF('Daily Sale entry '!P160="","",'Daily Sale entry '!P160)</f>
        <v/>
      </c>
      <c r="D160">
        <f>IF(C160="","",IF('Daily Sale entry '!Q160="Credit Sale 赊销",'Daily Sale entry '!S160,0))</f>
        <v/>
      </c>
      <c r="E160">
        <f>IF(C160="","",IF('Daily Sale entry '!Q160="Collection 收款",'Daily Sale entry '!S160,0))</f>
        <v/>
      </c>
      <c r="F160" s="37">
        <f>IF(C160="","",B160+IF(E160&gt;0,0,0.5)+ROW()/10000000)</f>
        <v/>
      </c>
      <c r="G160">
        <f>IF(C160="","",'Daily Sale entry '!Q160&amp;IF('Daily Sale entry '!Q160="Collection 收款"," ("&amp;'Daily Sale entry '!R160&amp;")","")&amp;IF('Daily Sale entry '!U160="",""," - "&amp;'Daily Sale entry '!U160))</f>
        <v/>
      </c>
      <c r="H160">
        <f>IF(C160="","",COUNTIFS($C$2:$C$3001,C160,$F$2:$F$3001,"&lt;"&amp;F160)+1)</f>
        <v/>
      </c>
      <c r="I160">
        <f>IF(C160="","",C160&amp;"|"&amp;H160)</f>
        <v/>
      </c>
      <c r="J160" s="6">
        <f>IF(C160="","",IF(H160=1,SUMIFS('Opening Balance'!$F$4:$F$303,'Opening Balance'!$G$4:$G$303,C160),INDEX($L$2:$L$3001,MATCH(C160&amp;"|"&amp;(H160-1),$I$2:$I$3001,0))))</f>
        <v/>
      </c>
      <c r="K160" s="6">
        <f>IF(C160="","",IF(M160&gt;0,M160,IF(AND(E160&gt;0,ROUND(J160+D160-E160,2)&gt;0,ROUND(J160+D160-E160,2)&lt;'Opening Balance'!$B$14),ROUND(J160+D160-E160,2),0)))</f>
        <v/>
      </c>
      <c r="L160" s="6">
        <f>IF(C160="","",ROUND(J160+D160-E160-K160,2))</f>
        <v/>
      </c>
      <c r="M160" s="6">
        <f>IF(C160="","",IF('Daily Sale entry '!Q160="Collection 收款",ROUND(N('Daily Sale entry '!T160),2),0))</f>
        <v/>
      </c>
    </row>
    <row r="161">
      <c r="A161" t="inlineStr">
        <is>
          <t>Entry 记录</t>
        </is>
      </c>
      <c r="B161" s="5">
        <f>IF('Daily Sale entry '!P161="","",'Daily Sale entry '!O161)</f>
        <v/>
      </c>
      <c r="C161">
        <f>IF('Daily Sale entry '!P161="","",'Daily Sale entry '!P161)</f>
        <v/>
      </c>
      <c r="D161">
        <f>IF(C161="","",IF('Daily Sale entry '!Q161="Credit Sale 赊销",'Daily Sale entry '!S161,0))</f>
        <v/>
      </c>
      <c r="E161">
        <f>IF(C161="","",IF('Daily Sale entry '!Q161="Collection 收款",'Daily Sale entry '!S161,0))</f>
        <v/>
      </c>
      <c r="F161" s="37">
        <f>IF(C161="","",B161+IF(E161&gt;0,0,0.5)+ROW()/10000000)</f>
        <v/>
      </c>
      <c r="G161">
        <f>IF(C161="","",'Daily Sale entry '!Q161&amp;IF('Daily Sale entry '!Q161="Collection 收款"," ("&amp;'Daily Sale entry '!R161&amp;")","")&amp;IF('Daily Sale entry '!U161="",""," - "&amp;'Daily Sale entry '!U161))</f>
        <v/>
      </c>
      <c r="H161">
        <f>IF(C161="","",COUNTIFS($C$2:$C$3001,C161,$F$2:$F$3001,"&lt;"&amp;F161)+1)</f>
        <v/>
      </c>
      <c r="I161">
        <f>IF(C161="","",C161&amp;"|"&amp;H161)</f>
        <v/>
      </c>
      <c r="J161" s="6">
        <f>IF(C161="","",IF(H161=1,SUMIFS('Opening Balance'!$F$4:$F$303,'Opening Balance'!$G$4:$G$303,C161),INDEX($L$2:$L$3001,MATCH(C161&amp;"|"&amp;(H161-1),$I$2:$I$3001,0))))</f>
        <v/>
      </c>
      <c r="K161" s="6">
        <f>IF(C161="","",IF(M161&gt;0,M161,IF(AND(E161&gt;0,ROUND(J161+D161-E161,2)&gt;0,ROUND(J161+D161-E161,2)&lt;'Opening Balance'!$B$14),ROUND(J161+D161-E161,2),0)))</f>
        <v/>
      </c>
      <c r="L161" s="6">
        <f>IF(C161="","",ROUND(J161+D161-E161-K161,2))</f>
        <v/>
      </c>
      <c r="M161" s="6">
        <f>IF(C161="","",IF('Daily Sale entry '!Q161="Collection 收款",ROUND(N('Daily Sale entry '!T161),2),0))</f>
        <v/>
      </c>
    </row>
    <row r="162">
      <c r="A162" t="inlineStr">
        <is>
          <t>Entry 记录</t>
        </is>
      </c>
      <c r="B162" s="5">
        <f>IF('Daily Sale entry '!P162="","",'Daily Sale entry '!O162)</f>
        <v/>
      </c>
      <c r="C162">
        <f>IF('Daily Sale entry '!P162="","",'Daily Sale entry '!P162)</f>
        <v/>
      </c>
      <c r="D162">
        <f>IF(C162="","",IF('Daily Sale entry '!Q162="Credit Sale 赊销",'Daily Sale entry '!S162,0))</f>
        <v/>
      </c>
      <c r="E162">
        <f>IF(C162="","",IF('Daily Sale entry '!Q162="Collection 收款",'Daily Sale entry '!S162,0))</f>
        <v/>
      </c>
      <c r="F162" s="37">
        <f>IF(C162="","",B162+IF(E162&gt;0,0,0.5)+ROW()/10000000)</f>
        <v/>
      </c>
      <c r="G162">
        <f>IF(C162="","",'Daily Sale entry '!Q162&amp;IF('Daily Sale entry '!Q162="Collection 收款"," ("&amp;'Daily Sale entry '!R162&amp;")","")&amp;IF('Daily Sale entry '!U162="",""," - "&amp;'Daily Sale entry '!U162))</f>
        <v/>
      </c>
      <c r="H162">
        <f>IF(C162="","",COUNTIFS($C$2:$C$3001,C162,$F$2:$F$3001,"&lt;"&amp;F162)+1)</f>
        <v/>
      </c>
      <c r="I162">
        <f>IF(C162="","",C162&amp;"|"&amp;H162)</f>
        <v/>
      </c>
      <c r="J162" s="6">
        <f>IF(C162="","",IF(H162=1,SUMIFS('Opening Balance'!$F$4:$F$303,'Opening Balance'!$G$4:$G$303,C162),INDEX($L$2:$L$3001,MATCH(C162&amp;"|"&amp;(H162-1),$I$2:$I$3001,0))))</f>
        <v/>
      </c>
      <c r="K162" s="6">
        <f>IF(C162="","",IF(M162&gt;0,M162,IF(AND(E162&gt;0,ROUND(J162+D162-E162,2)&gt;0,ROUND(J162+D162-E162,2)&lt;'Opening Balance'!$B$14),ROUND(J162+D162-E162,2),0)))</f>
        <v/>
      </c>
      <c r="L162" s="6">
        <f>IF(C162="","",ROUND(J162+D162-E162-K162,2))</f>
        <v/>
      </c>
      <c r="M162" s="6">
        <f>IF(C162="","",IF('Daily Sale entry '!Q162="Collection 收款",ROUND(N('Daily Sale entry '!T162),2),0))</f>
        <v/>
      </c>
    </row>
    <row r="163">
      <c r="A163" t="inlineStr">
        <is>
          <t>Entry 记录</t>
        </is>
      </c>
      <c r="B163" s="5">
        <f>IF('Daily Sale entry '!P163="","",'Daily Sale entry '!O163)</f>
        <v/>
      </c>
      <c r="C163">
        <f>IF('Daily Sale entry '!P163="","",'Daily Sale entry '!P163)</f>
        <v/>
      </c>
      <c r="D163">
        <f>IF(C163="","",IF('Daily Sale entry '!Q163="Credit Sale 赊销",'Daily Sale entry '!S163,0))</f>
        <v/>
      </c>
      <c r="E163">
        <f>IF(C163="","",IF('Daily Sale entry '!Q163="Collection 收款",'Daily Sale entry '!S163,0))</f>
        <v/>
      </c>
      <c r="F163" s="37">
        <f>IF(C163="","",B163+IF(E163&gt;0,0,0.5)+ROW()/10000000)</f>
        <v/>
      </c>
      <c r="G163">
        <f>IF(C163="","",'Daily Sale entry '!Q163&amp;IF('Daily Sale entry '!Q163="Collection 收款"," ("&amp;'Daily Sale entry '!R163&amp;")","")&amp;IF('Daily Sale entry '!U163="",""," - "&amp;'Daily Sale entry '!U163))</f>
        <v/>
      </c>
      <c r="H163">
        <f>IF(C163="","",COUNTIFS($C$2:$C$3001,C163,$F$2:$F$3001,"&lt;"&amp;F163)+1)</f>
        <v/>
      </c>
      <c r="I163">
        <f>IF(C163="","",C163&amp;"|"&amp;H163)</f>
        <v/>
      </c>
      <c r="J163" s="6">
        <f>IF(C163="","",IF(H163=1,SUMIFS('Opening Balance'!$F$4:$F$303,'Opening Balance'!$G$4:$G$303,C163),INDEX($L$2:$L$3001,MATCH(C163&amp;"|"&amp;(H163-1),$I$2:$I$3001,0))))</f>
        <v/>
      </c>
      <c r="K163" s="6">
        <f>IF(C163="","",IF(M163&gt;0,M163,IF(AND(E163&gt;0,ROUND(J163+D163-E163,2)&gt;0,ROUND(J163+D163-E163,2)&lt;'Opening Balance'!$B$14),ROUND(J163+D163-E163,2),0)))</f>
        <v/>
      </c>
      <c r="L163" s="6">
        <f>IF(C163="","",ROUND(J163+D163-E163-K163,2))</f>
        <v/>
      </c>
      <c r="M163" s="6">
        <f>IF(C163="","",IF('Daily Sale entry '!Q163="Collection 收款",ROUND(N('Daily Sale entry '!T163),2),0))</f>
        <v/>
      </c>
    </row>
    <row r="164">
      <c r="A164" t="inlineStr">
        <is>
          <t>Entry 记录</t>
        </is>
      </c>
      <c r="B164" s="5">
        <f>IF('Daily Sale entry '!P164="","",'Daily Sale entry '!O164)</f>
        <v/>
      </c>
      <c r="C164">
        <f>IF('Daily Sale entry '!P164="","",'Daily Sale entry '!P164)</f>
        <v/>
      </c>
      <c r="D164">
        <f>IF(C164="","",IF('Daily Sale entry '!Q164="Credit Sale 赊销",'Daily Sale entry '!S164,0))</f>
        <v/>
      </c>
      <c r="E164">
        <f>IF(C164="","",IF('Daily Sale entry '!Q164="Collection 收款",'Daily Sale entry '!S164,0))</f>
        <v/>
      </c>
      <c r="F164" s="37">
        <f>IF(C164="","",B164+IF(E164&gt;0,0,0.5)+ROW()/10000000)</f>
        <v/>
      </c>
      <c r="G164">
        <f>IF(C164="","",'Daily Sale entry '!Q164&amp;IF('Daily Sale entry '!Q164="Collection 收款"," ("&amp;'Daily Sale entry '!R164&amp;")","")&amp;IF('Daily Sale entry '!U164="",""," - "&amp;'Daily Sale entry '!U164))</f>
        <v/>
      </c>
      <c r="H164">
        <f>IF(C164="","",COUNTIFS($C$2:$C$3001,C164,$F$2:$F$3001,"&lt;"&amp;F164)+1)</f>
        <v/>
      </c>
      <c r="I164">
        <f>IF(C164="","",C164&amp;"|"&amp;H164)</f>
        <v/>
      </c>
      <c r="J164" s="6">
        <f>IF(C164="","",IF(H164=1,SUMIFS('Opening Balance'!$F$4:$F$303,'Opening Balance'!$G$4:$G$303,C164),INDEX($L$2:$L$3001,MATCH(C164&amp;"|"&amp;(H164-1),$I$2:$I$3001,0))))</f>
        <v/>
      </c>
      <c r="K164" s="6">
        <f>IF(C164="","",IF(M164&gt;0,M164,IF(AND(E164&gt;0,ROUND(J164+D164-E164,2)&gt;0,ROUND(J164+D164-E164,2)&lt;'Opening Balance'!$B$14),ROUND(J164+D164-E164,2),0)))</f>
        <v/>
      </c>
      <c r="L164" s="6">
        <f>IF(C164="","",ROUND(J164+D164-E164-K164,2))</f>
        <v/>
      </c>
      <c r="M164" s="6">
        <f>IF(C164="","",IF('Daily Sale entry '!Q164="Collection 收款",ROUND(N('Daily Sale entry '!T164),2),0))</f>
        <v/>
      </c>
    </row>
    <row r="165">
      <c r="A165" t="inlineStr">
        <is>
          <t>Entry 记录</t>
        </is>
      </c>
      <c r="B165" s="5">
        <f>IF('Daily Sale entry '!P165="","",'Daily Sale entry '!O165)</f>
        <v/>
      </c>
      <c r="C165">
        <f>IF('Daily Sale entry '!P165="","",'Daily Sale entry '!P165)</f>
        <v/>
      </c>
      <c r="D165">
        <f>IF(C165="","",IF('Daily Sale entry '!Q165="Credit Sale 赊销",'Daily Sale entry '!S165,0))</f>
        <v/>
      </c>
      <c r="E165">
        <f>IF(C165="","",IF('Daily Sale entry '!Q165="Collection 收款",'Daily Sale entry '!S165,0))</f>
        <v/>
      </c>
      <c r="F165" s="37">
        <f>IF(C165="","",B165+IF(E165&gt;0,0,0.5)+ROW()/10000000)</f>
        <v/>
      </c>
      <c r="G165">
        <f>IF(C165="","",'Daily Sale entry '!Q165&amp;IF('Daily Sale entry '!Q165="Collection 收款"," ("&amp;'Daily Sale entry '!R165&amp;")","")&amp;IF('Daily Sale entry '!U165="",""," - "&amp;'Daily Sale entry '!U165))</f>
        <v/>
      </c>
      <c r="H165">
        <f>IF(C165="","",COUNTIFS($C$2:$C$3001,C165,$F$2:$F$3001,"&lt;"&amp;F165)+1)</f>
        <v/>
      </c>
      <c r="I165">
        <f>IF(C165="","",C165&amp;"|"&amp;H165)</f>
        <v/>
      </c>
      <c r="J165" s="6">
        <f>IF(C165="","",IF(H165=1,SUMIFS('Opening Balance'!$F$4:$F$303,'Opening Balance'!$G$4:$G$303,C165),INDEX($L$2:$L$3001,MATCH(C165&amp;"|"&amp;(H165-1),$I$2:$I$3001,0))))</f>
        <v/>
      </c>
      <c r="K165" s="6">
        <f>IF(C165="","",IF(M165&gt;0,M165,IF(AND(E165&gt;0,ROUND(J165+D165-E165,2)&gt;0,ROUND(J165+D165-E165,2)&lt;'Opening Balance'!$B$14),ROUND(J165+D165-E165,2),0)))</f>
        <v/>
      </c>
      <c r="L165" s="6">
        <f>IF(C165="","",ROUND(J165+D165-E165-K165,2))</f>
        <v/>
      </c>
      <c r="M165" s="6">
        <f>IF(C165="","",IF('Daily Sale entry '!Q165="Collection 收款",ROUND(N('Daily Sale entry '!T165),2),0))</f>
        <v/>
      </c>
    </row>
    <row r="166">
      <c r="A166" t="inlineStr">
        <is>
          <t>Entry 记录</t>
        </is>
      </c>
      <c r="B166" s="5">
        <f>IF('Daily Sale entry '!P166="","",'Daily Sale entry '!O166)</f>
        <v/>
      </c>
      <c r="C166">
        <f>IF('Daily Sale entry '!P166="","",'Daily Sale entry '!P166)</f>
        <v/>
      </c>
      <c r="D166">
        <f>IF(C166="","",IF('Daily Sale entry '!Q166="Credit Sale 赊销",'Daily Sale entry '!S166,0))</f>
        <v/>
      </c>
      <c r="E166">
        <f>IF(C166="","",IF('Daily Sale entry '!Q166="Collection 收款",'Daily Sale entry '!S166,0))</f>
        <v/>
      </c>
      <c r="F166" s="37">
        <f>IF(C166="","",B166+IF(E166&gt;0,0,0.5)+ROW()/10000000)</f>
        <v/>
      </c>
      <c r="G166">
        <f>IF(C166="","",'Daily Sale entry '!Q166&amp;IF('Daily Sale entry '!Q166="Collection 收款"," ("&amp;'Daily Sale entry '!R166&amp;")","")&amp;IF('Daily Sale entry '!U166="",""," - "&amp;'Daily Sale entry '!U166))</f>
        <v/>
      </c>
      <c r="H166">
        <f>IF(C166="","",COUNTIFS($C$2:$C$3001,C166,$F$2:$F$3001,"&lt;"&amp;F166)+1)</f>
        <v/>
      </c>
      <c r="I166">
        <f>IF(C166="","",C166&amp;"|"&amp;H166)</f>
        <v/>
      </c>
      <c r="J166" s="6">
        <f>IF(C166="","",IF(H166=1,SUMIFS('Opening Balance'!$F$4:$F$303,'Opening Balance'!$G$4:$G$303,C166),INDEX($L$2:$L$3001,MATCH(C166&amp;"|"&amp;(H166-1),$I$2:$I$3001,0))))</f>
        <v/>
      </c>
      <c r="K166" s="6">
        <f>IF(C166="","",IF(M166&gt;0,M166,IF(AND(E166&gt;0,ROUND(J166+D166-E166,2)&gt;0,ROUND(J166+D166-E166,2)&lt;'Opening Balance'!$B$14),ROUND(J166+D166-E166,2),0)))</f>
        <v/>
      </c>
      <c r="L166" s="6">
        <f>IF(C166="","",ROUND(J166+D166-E166-K166,2))</f>
        <v/>
      </c>
      <c r="M166" s="6">
        <f>IF(C166="","",IF('Daily Sale entry '!Q166="Collection 收款",ROUND(N('Daily Sale entry '!T166),2),0))</f>
        <v/>
      </c>
    </row>
    <row r="167">
      <c r="A167" t="inlineStr">
        <is>
          <t>Entry 记录</t>
        </is>
      </c>
      <c r="B167" s="5">
        <f>IF('Daily Sale entry '!P167="","",'Daily Sale entry '!O167)</f>
        <v/>
      </c>
      <c r="C167">
        <f>IF('Daily Sale entry '!P167="","",'Daily Sale entry '!P167)</f>
        <v/>
      </c>
      <c r="D167">
        <f>IF(C167="","",IF('Daily Sale entry '!Q167="Credit Sale 赊销",'Daily Sale entry '!S167,0))</f>
        <v/>
      </c>
      <c r="E167">
        <f>IF(C167="","",IF('Daily Sale entry '!Q167="Collection 收款",'Daily Sale entry '!S167,0))</f>
        <v/>
      </c>
      <c r="F167" s="37">
        <f>IF(C167="","",B167+IF(E167&gt;0,0,0.5)+ROW()/10000000)</f>
        <v/>
      </c>
      <c r="G167">
        <f>IF(C167="","",'Daily Sale entry '!Q167&amp;IF('Daily Sale entry '!Q167="Collection 收款"," ("&amp;'Daily Sale entry '!R167&amp;")","")&amp;IF('Daily Sale entry '!U167="",""," - "&amp;'Daily Sale entry '!U167))</f>
        <v/>
      </c>
      <c r="H167">
        <f>IF(C167="","",COUNTIFS($C$2:$C$3001,C167,$F$2:$F$3001,"&lt;"&amp;F167)+1)</f>
        <v/>
      </c>
      <c r="I167">
        <f>IF(C167="","",C167&amp;"|"&amp;H167)</f>
        <v/>
      </c>
      <c r="J167" s="6">
        <f>IF(C167="","",IF(H167=1,SUMIFS('Opening Balance'!$F$4:$F$303,'Opening Balance'!$G$4:$G$303,C167),INDEX($L$2:$L$3001,MATCH(C167&amp;"|"&amp;(H167-1),$I$2:$I$3001,0))))</f>
        <v/>
      </c>
      <c r="K167" s="6">
        <f>IF(C167="","",IF(M167&gt;0,M167,IF(AND(E167&gt;0,ROUND(J167+D167-E167,2)&gt;0,ROUND(J167+D167-E167,2)&lt;'Opening Balance'!$B$14),ROUND(J167+D167-E167,2),0)))</f>
        <v/>
      </c>
      <c r="L167" s="6">
        <f>IF(C167="","",ROUND(J167+D167-E167-K167,2))</f>
        <v/>
      </c>
      <c r="M167" s="6">
        <f>IF(C167="","",IF('Daily Sale entry '!Q167="Collection 收款",ROUND(N('Daily Sale entry '!T167),2),0))</f>
        <v/>
      </c>
    </row>
    <row r="168">
      <c r="A168" t="inlineStr">
        <is>
          <t>Entry 记录</t>
        </is>
      </c>
      <c r="B168" s="5">
        <f>IF('Daily Sale entry '!P168="","",'Daily Sale entry '!O168)</f>
        <v/>
      </c>
      <c r="C168">
        <f>IF('Daily Sale entry '!P168="","",'Daily Sale entry '!P168)</f>
        <v/>
      </c>
      <c r="D168">
        <f>IF(C168="","",IF('Daily Sale entry '!Q168="Credit Sale 赊销",'Daily Sale entry '!S168,0))</f>
        <v/>
      </c>
      <c r="E168">
        <f>IF(C168="","",IF('Daily Sale entry '!Q168="Collection 收款",'Daily Sale entry '!S168,0))</f>
        <v/>
      </c>
      <c r="F168" s="37">
        <f>IF(C168="","",B168+IF(E168&gt;0,0,0.5)+ROW()/10000000)</f>
        <v/>
      </c>
      <c r="G168">
        <f>IF(C168="","",'Daily Sale entry '!Q168&amp;IF('Daily Sale entry '!Q168="Collection 收款"," ("&amp;'Daily Sale entry '!R168&amp;")","")&amp;IF('Daily Sale entry '!U168="",""," - "&amp;'Daily Sale entry '!U168))</f>
        <v/>
      </c>
      <c r="H168">
        <f>IF(C168="","",COUNTIFS($C$2:$C$3001,C168,$F$2:$F$3001,"&lt;"&amp;F168)+1)</f>
        <v/>
      </c>
      <c r="I168">
        <f>IF(C168="","",C168&amp;"|"&amp;H168)</f>
        <v/>
      </c>
      <c r="J168" s="6">
        <f>IF(C168="","",IF(H168=1,SUMIFS('Opening Balance'!$F$4:$F$303,'Opening Balance'!$G$4:$G$303,C168),INDEX($L$2:$L$3001,MATCH(C168&amp;"|"&amp;(H168-1),$I$2:$I$3001,0))))</f>
        <v/>
      </c>
      <c r="K168" s="6">
        <f>IF(C168="","",IF(M168&gt;0,M168,IF(AND(E168&gt;0,ROUND(J168+D168-E168,2)&gt;0,ROUND(J168+D168-E168,2)&lt;'Opening Balance'!$B$14),ROUND(J168+D168-E168,2),0)))</f>
        <v/>
      </c>
      <c r="L168" s="6">
        <f>IF(C168="","",ROUND(J168+D168-E168-K168,2))</f>
        <v/>
      </c>
      <c r="M168" s="6">
        <f>IF(C168="","",IF('Daily Sale entry '!Q168="Collection 收款",ROUND(N('Daily Sale entry '!T168),2),0))</f>
        <v/>
      </c>
    </row>
    <row r="169">
      <c r="A169" t="inlineStr">
        <is>
          <t>Entry 记录</t>
        </is>
      </c>
      <c r="B169" s="5">
        <f>IF('Daily Sale entry '!P169="","",'Daily Sale entry '!O169)</f>
        <v/>
      </c>
      <c r="C169">
        <f>IF('Daily Sale entry '!P169="","",'Daily Sale entry '!P169)</f>
        <v/>
      </c>
      <c r="D169">
        <f>IF(C169="","",IF('Daily Sale entry '!Q169="Credit Sale 赊销",'Daily Sale entry '!S169,0))</f>
        <v/>
      </c>
      <c r="E169">
        <f>IF(C169="","",IF('Daily Sale entry '!Q169="Collection 收款",'Daily Sale entry '!S169,0))</f>
        <v/>
      </c>
      <c r="F169" s="37">
        <f>IF(C169="","",B169+IF(E169&gt;0,0,0.5)+ROW()/10000000)</f>
        <v/>
      </c>
      <c r="G169">
        <f>IF(C169="","",'Daily Sale entry '!Q169&amp;IF('Daily Sale entry '!Q169="Collection 收款"," ("&amp;'Daily Sale entry '!R169&amp;")","")&amp;IF('Daily Sale entry '!U169="",""," - "&amp;'Daily Sale entry '!U169))</f>
        <v/>
      </c>
      <c r="H169">
        <f>IF(C169="","",COUNTIFS($C$2:$C$3001,C169,$F$2:$F$3001,"&lt;"&amp;F169)+1)</f>
        <v/>
      </c>
      <c r="I169">
        <f>IF(C169="","",C169&amp;"|"&amp;H169)</f>
        <v/>
      </c>
      <c r="J169" s="6">
        <f>IF(C169="","",IF(H169=1,SUMIFS('Opening Balance'!$F$4:$F$303,'Opening Balance'!$G$4:$G$303,C169),INDEX($L$2:$L$3001,MATCH(C169&amp;"|"&amp;(H169-1),$I$2:$I$3001,0))))</f>
        <v/>
      </c>
      <c r="K169" s="6">
        <f>IF(C169="","",IF(M169&gt;0,M169,IF(AND(E169&gt;0,ROUND(J169+D169-E169,2)&gt;0,ROUND(J169+D169-E169,2)&lt;'Opening Balance'!$B$14),ROUND(J169+D169-E169,2),0)))</f>
        <v/>
      </c>
      <c r="L169" s="6">
        <f>IF(C169="","",ROUND(J169+D169-E169-K169,2))</f>
        <v/>
      </c>
      <c r="M169" s="6">
        <f>IF(C169="","",IF('Daily Sale entry '!Q169="Collection 收款",ROUND(N('Daily Sale entry '!T169),2),0))</f>
        <v/>
      </c>
    </row>
    <row r="170">
      <c r="A170" t="inlineStr">
        <is>
          <t>Entry 记录</t>
        </is>
      </c>
      <c r="B170" s="5">
        <f>IF('Daily Sale entry '!P170="","",'Daily Sale entry '!O170)</f>
        <v/>
      </c>
      <c r="C170">
        <f>IF('Daily Sale entry '!P170="","",'Daily Sale entry '!P170)</f>
        <v/>
      </c>
      <c r="D170">
        <f>IF(C170="","",IF('Daily Sale entry '!Q170="Credit Sale 赊销",'Daily Sale entry '!S170,0))</f>
        <v/>
      </c>
      <c r="E170">
        <f>IF(C170="","",IF('Daily Sale entry '!Q170="Collection 收款",'Daily Sale entry '!S170,0))</f>
        <v/>
      </c>
      <c r="F170" s="37">
        <f>IF(C170="","",B170+IF(E170&gt;0,0,0.5)+ROW()/10000000)</f>
        <v/>
      </c>
      <c r="G170">
        <f>IF(C170="","",'Daily Sale entry '!Q170&amp;IF('Daily Sale entry '!Q170="Collection 收款"," ("&amp;'Daily Sale entry '!R170&amp;")","")&amp;IF('Daily Sale entry '!U170="",""," - "&amp;'Daily Sale entry '!U170))</f>
        <v/>
      </c>
      <c r="H170">
        <f>IF(C170="","",COUNTIFS($C$2:$C$3001,C170,$F$2:$F$3001,"&lt;"&amp;F170)+1)</f>
        <v/>
      </c>
      <c r="I170">
        <f>IF(C170="","",C170&amp;"|"&amp;H170)</f>
        <v/>
      </c>
      <c r="J170" s="6">
        <f>IF(C170="","",IF(H170=1,SUMIFS('Opening Balance'!$F$4:$F$303,'Opening Balance'!$G$4:$G$303,C170),INDEX($L$2:$L$3001,MATCH(C170&amp;"|"&amp;(H170-1),$I$2:$I$3001,0))))</f>
        <v/>
      </c>
      <c r="K170" s="6">
        <f>IF(C170="","",IF(M170&gt;0,M170,IF(AND(E170&gt;0,ROUND(J170+D170-E170,2)&gt;0,ROUND(J170+D170-E170,2)&lt;'Opening Balance'!$B$14),ROUND(J170+D170-E170,2),0)))</f>
        <v/>
      </c>
      <c r="L170" s="6">
        <f>IF(C170="","",ROUND(J170+D170-E170-K170,2))</f>
        <v/>
      </c>
      <c r="M170" s="6">
        <f>IF(C170="","",IF('Daily Sale entry '!Q170="Collection 收款",ROUND(N('Daily Sale entry '!T170),2),0))</f>
        <v/>
      </c>
    </row>
    <row r="171">
      <c r="A171" t="inlineStr">
        <is>
          <t>Entry 记录</t>
        </is>
      </c>
      <c r="B171" s="5">
        <f>IF('Daily Sale entry '!P171="","",'Daily Sale entry '!O171)</f>
        <v/>
      </c>
      <c r="C171">
        <f>IF('Daily Sale entry '!P171="","",'Daily Sale entry '!P171)</f>
        <v/>
      </c>
      <c r="D171">
        <f>IF(C171="","",IF('Daily Sale entry '!Q171="Credit Sale 赊销",'Daily Sale entry '!S171,0))</f>
        <v/>
      </c>
      <c r="E171">
        <f>IF(C171="","",IF('Daily Sale entry '!Q171="Collection 收款",'Daily Sale entry '!S171,0))</f>
        <v/>
      </c>
      <c r="F171" s="37">
        <f>IF(C171="","",B171+IF(E171&gt;0,0,0.5)+ROW()/10000000)</f>
        <v/>
      </c>
      <c r="G171">
        <f>IF(C171="","",'Daily Sale entry '!Q171&amp;IF('Daily Sale entry '!Q171="Collection 收款"," ("&amp;'Daily Sale entry '!R171&amp;")","")&amp;IF('Daily Sale entry '!U171="",""," - "&amp;'Daily Sale entry '!U171))</f>
        <v/>
      </c>
      <c r="H171">
        <f>IF(C171="","",COUNTIFS($C$2:$C$3001,C171,$F$2:$F$3001,"&lt;"&amp;F171)+1)</f>
        <v/>
      </c>
      <c r="I171">
        <f>IF(C171="","",C171&amp;"|"&amp;H171)</f>
        <v/>
      </c>
      <c r="J171" s="6">
        <f>IF(C171="","",IF(H171=1,SUMIFS('Opening Balance'!$F$4:$F$303,'Opening Balance'!$G$4:$G$303,C171),INDEX($L$2:$L$3001,MATCH(C171&amp;"|"&amp;(H171-1),$I$2:$I$3001,0))))</f>
        <v/>
      </c>
      <c r="K171" s="6">
        <f>IF(C171="","",IF(M171&gt;0,M171,IF(AND(E171&gt;0,ROUND(J171+D171-E171,2)&gt;0,ROUND(J171+D171-E171,2)&lt;'Opening Balance'!$B$14),ROUND(J171+D171-E171,2),0)))</f>
        <v/>
      </c>
      <c r="L171" s="6">
        <f>IF(C171="","",ROUND(J171+D171-E171-K171,2))</f>
        <v/>
      </c>
      <c r="M171" s="6">
        <f>IF(C171="","",IF('Daily Sale entry '!Q171="Collection 收款",ROUND(N('Daily Sale entry '!T171),2),0))</f>
        <v/>
      </c>
    </row>
    <row r="172">
      <c r="A172" t="inlineStr">
        <is>
          <t>Entry 记录</t>
        </is>
      </c>
      <c r="B172" s="5">
        <f>IF('Daily Sale entry '!P172="","",'Daily Sale entry '!O172)</f>
        <v/>
      </c>
      <c r="C172">
        <f>IF('Daily Sale entry '!P172="","",'Daily Sale entry '!P172)</f>
        <v/>
      </c>
      <c r="D172">
        <f>IF(C172="","",IF('Daily Sale entry '!Q172="Credit Sale 赊销",'Daily Sale entry '!S172,0))</f>
        <v/>
      </c>
      <c r="E172">
        <f>IF(C172="","",IF('Daily Sale entry '!Q172="Collection 收款",'Daily Sale entry '!S172,0))</f>
        <v/>
      </c>
      <c r="F172" s="37">
        <f>IF(C172="","",B172+IF(E172&gt;0,0,0.5)+ROW()/10000000)</f>
        <v/>
      </c>
      <c r="G172">
        <f>IF(C172="","",'Daily Sale entry '!Q172&amp;IF('Daily Sale entry '!Q172="Collection 收款"," ("&amp;'Daily Sale entry '!R172&amp;")","")&amp;IF('Daily Sale entry '!U172="",""," - "&amp;'Daily Sale entry '!U172))</f>
        <v/>
      </c>
      <c r="H172">
        <f>IF(C172="","",COUNTIFS($C$2:$C$3001,C172,$F$2:$F$3001,"&lt;"&amp;F172)+1)</f>
        <v/>
      </c>
      <c r="I172">
        <f>IF(C172="","",C172&amp;"|"&amp;H172)</f>
        <v/>
      </c>
      <c r="J172" s="6">
        <f>IF(C172="","",IF(H172=1,SUMIFS('Opening Balance'!$F$4:$F$303,'Opening Balance'!$G$4:$G$303,C172),INDEX($L$2:$L$3001,MATCH(C172&amp;"|"&amp;(H172-1),$I$2:$I$3001,0))))</f>
        <v/>
      </c>
      <c r="K172" s="6">
        <f>IF(C172="","",IF(M172&gt;0,M172,IF(AND(E172&gt;0,ROUND(J172+D172-E172,2)&gt;0,ROUND(J172+D172-E172,2)&lt;'Opening Balance'!$B$14),ROUND(J172+D172-E172,2),0)))</f>
        <v/>
      </c>
      <c r="L172" s="6">
        <f>IF(C172="","",ROUND(J172+D172-E172-K172,2))</f>
        <v/>
      </c>
      <c r="M172" s="6">
        <f>IF(C172="","",IF('Daily Sale entry '!Q172="Collection 收款",ROUND(N('Daily Sale entry '!T172),2),0))</f>
        <v/>
      </c>
    </row>
    <row r="173">
      <c r="A173" t="inlineStr">
        <is>
          <t>Entry 记录</t>
        </is>
      </c>
      <c r="B173" s="5">
        <f>IF('Daily Sale entry '!P173="","",'Daily Sale entry '!O173)</f>
        <v/>
      </c>
      <c r="C173">
        <f>IF('Daily Sale entry '!P173="","",'Daily Sale entry '!P173)</f>
        <v/>
      </c>
      <c r="D173">
        <f>IF(C173="","",IF('Daily Sale entry '!Q173="Credit Sale 赊销",'Daily Sale entry '!S173,0))</f>
        <v/>
      </c>
      <c r="E173">
        <f>IF(C173="","",IF('Daily Sale entry '!Q173="Collection 收款",'Daily Sale entry '!S173,0))</f>
        <v/>
      </c>
      <c r="F173" s="37">
        <f>IF(C173="","",B173+IF(E173&gt;0,0,0.5)+ROW()/10000000)</f>
        <v/>
      </c>
      <c r="G173">
        <f>IF(C173="","",'Daily Sale entry '!Q173&amp;IF('Daily Sale entry '!Q173="Collection 收款"," ("&amp;'Daily Sale entry '!R173&amp;")","")&amp;IF('Daily Sale entry '!U173="",""," - "&amp;'Daily Sale entry '!U173))</f>
        <v/>
      </c>
      <c r="H173">
        <f>IF(C173="","",COUNTIFS($C$2:$C$3001,C173,$F$2:$F$3001,"&lt;"&amp;F173)+1)</f>
        <v/>
      </c>
      <c r="I173">
        <f>IF(C173="","",C173&amp;"|"&amp;H173)</f>
        <v/>
      </c>
      <c r="J173" s="6">
        <f>IF(C173="","",IF(H173=1,SUMIFS('Opening Balance'!$F$4:$F$303,'Opening Balance'!$G$4:$G$303,C173),INDEX($L$2:$L$3001,MATCH(C173&amp;"|"&amp;(H173-1),$I$2:$I$3001,0))))</f>
        <v/>
      </c>
      <c r="K173" s="6">
        <f>IF(C173="","",IF(M173&gt;0,M173,IF(AND(E173&gt;0,ROUND(J173+D173-E173,2)&gt;0,ROUND(J173+D173-E173,2)&lt;'Opening Balance'!$B$14),ROUND(J173+D173-E173,2),0)))</f>
        <v/>
      </c>
      <c r="L173" s="6">
        <f>IF(C173="","",ROUND(J173+D173-E173-K173,2))</f>
        <v/>
      </c>
      <c r="M173" s="6">
        <f>IF(C173="","",IF('Daily Sale entry '!Q173="Collection 收款",ROUND(N('Daily Sale entry '!T173),2),0))</f>
        <v/>
      </c>
    </row>
    <row r="174">
      <c r="A174" t="inlineStr">
        <is>
          <t>Entry 记录</t>
        </is>
      </c>
      <c r="B174" s="5">
        <f>IF('Daily Sale entry '!P174="","",'Daily Sale entry '!O174)</f>
        <v/>
      </c>
      <c r="C174">
        <f>IF('Daily Sale entry '!P174="","",'Daily Sale entry '!P174)</f>
        <v/>
      </c>
      <c r="D174">
        <f>IF(C174="","",IF('Daily Sale entry '!Q174="Credit Sale 赊销",'Daily Sale entry '!S174,0))</f>
        <v/>
      </c>
      <c r="E174">
        <f>IF(C174="","",IF('Daily Sale entry '!Q174="Collection 收款",'Daily Sale entry '!S174,0))</f>
        <v/>
      </c>
      <c r="F174" s="37">
        <f>IF(C174="","",B174+IF(E174&gt;0,0,0.5)+ROW()/10000000)</f>
        <v/>
      </c>
      <c r="G174">
        <f>IF(C174="","",'Daily Sale entry '!Q174&amp;IF('Daily Sale entry '!Q174="Collection 收款"," ("&amp;'Daily Sale entry '!R174&amp;")","")&amp;IF('Daily Sale entry '!U174="",""," - "&amp;'Daily Sale entry '!U174))</f>
        <v/>
      </c>
      <c r="H174">
        <f>IF(C174="","",COUNTIFS($C$2:$C$3001,C174,$F$2:$F$3001,"&lt;"&amp;F174)+1)</f>
        <v/>
      </c>
      <c r="I174">
        <f>IF(C174="","",C174&amp;"|"&amp;H174)</f>
        <v/>
      </c>
      <c r="J174" s="6">
        <f>IF(C174="","",IF(H174=1,SUMIFS('Opening Balance'!$F$4:$F$303,'Opening Balance'!$G$4:$G$303,C174),INDEX($L$2:$L$3001,MATCH(C174&amp;"|"&amp;(H174-1),$I$2:$I$3001,0))))</f>
        <v/>
      </c>
      <c r="K174" s="6">
        <f>IF(C174="","",IF(M174&gt;0,M174,IF(AND(E174&gt;0,ROUND(J174+D174-E174,2)&gt;0,ROUND(J174+D174-E174,2)&lt;'Opening Balance'!$B$14),ROUND(J174+D174-E174,2),0)))</f>
        <v/>
      </c>
      <c r="L174" s="6">
        <f>IF(C174="","",ROUND(J174+D174-E174-K174,2))</f>
        <v/>
      </c>
      <c r="M174" s="6">
        <f>IF(C174="","",IF('Daily Sale entry '!Q174="Collection 收款",ROUND(N('Daily Sale entry '!T174),2),0))</f>
        <v/>
      </c>
    </row>
    <row r="175">
      <c r="A175" t="inlineStr">
        <is>
          <t>Entry 记录</t>
        </is>
      </c>
      <c r="B175" s="5">
        <f>IF('Daily Sale entry '!P175="","",'Daily Sale entry '!O175)</f>
        <v/>
      </c>
      <c r="C175">
        <f>IF('Daily Sale entry '!P175="","",'Daily Sale entry '!P175)</f>
        <v/>
      </c>
      <c r="D175">
        <f>IF(C175="","",IF('Daily Sale entry '!Q175="Credit Sale 赊销",'Daily Sale entry '!S175,0))</f>
        <v/>
      </c>
      <c r="E175">
        <f>IF(C175="","",IF('Daily Sale entry '!Q175="Collection 收款",'Daily Sale entry '!S175,0))</f>
        <v/>
      </c>
      <c r="F175" s="37">
        <f>IF(C175="","",B175+IF(E175&gt;0,0,0.5)+ROW()/10000000)</f>
        <v/>
      </c>
      <c r="G175">
        <f>IF(C175="","",'Daily Sale entry '!Q175&amp;IF('Daily Sale entry '!Q175="Collection 收款"," ("&amp;'Daily Sale entry '!R175&amp;")","")&amp;IF('Daily Sale entry '!U175="",""," - "&amp;'Daily Sale entry '!U175))</f>
        <v/>
      </c>
      <c r="H175">
        <f>IF(C175="","",COUNTIFS($C$2:$C$3001,C175,$F$2:$F$3001,"&lt;"&amp;F175)+1)</f>
        <v/>
      </c>
      <c r="I175">
        <f>IF(C175="","",C175&amp;"|"&amp;H175)</f>
        <v/>
      </c>
      <c r="J175" s="6">
        <f>IF(C175="","",IF(H175=1,SUMIFS('Opening Balance'!$F$4:$F$303,'Opening Balance'!$G$4:$G$303,C175),INDEX($L$2:$L$3001,MATCH(C175&amp;"|"&amp;(H175-1),$I$2:$I$3001,0))))</f>
        <v/>
      </c>
      <c r="K175" s="6">
        <f>IF(C175="","",IF(M175&gt;0,M175,IF(AND(E175&gt;0,ROUND(J175+D175-E175,2)&gt;0,ROUND(J175+D175-E175,2)&lt;'Opening Balance'!$B$14),ROUND(J175+D175-E175,2),0)))</f>
        <v/>
      </c>
      <c r="L175" s="6">
        <f>IF(C175="","",ROUND(J175+D175-E175-K175,2))</f>
        <v/>
      </c>
      <c r="M175" s="6">
        <f>IF(C175="","",IF('Daily Sale entry '!Q175="Collection 收款",ROUND(N('Daily Sale entry '!T175),2),0))</f>
        <v/>
      </c>
    </row>
    <row r="176">
      <c r="A176" t="inlineStr">
        <is>
          <t>Entry 记录</t>
        </is>
      </c>
      <c r="B176" s="5">
        <f>IF('Daily Sale entry '!P176="","",'Daily Sale entry '!O176)</f>
        <v/>
      </c>
      <c r="C176">
        <f>IF('Daily Sale entry '!P176="","",'Daily Sale entry '!P176)</f>
        <v/>
      </c>
      <c r="D176">
        <f>IF(C176="","",IF('Daily Sale entry '!Q176="Credit Sale 赊销",'Daily Sale entry '!S176,0))</f>
        <v/>
      </c>
      <c r="E176">
        <f>IF(C176="","",IF('Daily Sale entry '!Q176="Collection 收款",'Daily Sale entry '!S176,0))</f>
        <v/>
      </c>
      <c r="F176" s="37">
        <f>IF(C176="","",B176+IF(E176&gt;0,0,0.5)+ROW()/10000000)</f>
        <v/>
      </c>
      <c r="G176">
        <f>IF(C176="","",'Daily Sale entry '!Q176&amp;IF('Daily Sale entry '!Q176="Collection 收款"," ("&amp;'Daily Sale entry '!R176&amp;")","")&amp;IF('Daily Sale entry '!U176="",""," - "&amp;'Daily Sale entry '!U176))</f>
        <v/>
      </c>
      <c r="H176">
        <f>IF(C176="","",COUNTIFS($C$2:$C$3001,C176,$F$2:$F$3001,"&lt;"&amp;F176)+1)</f>
        <v/>
      </c>
      <c r="I176">
        <f>IF(C176="","",C176&amp;"|"&amp;H176)</f>
        <v/>
      </c>
      <c r="J176" s="6">
        <f>IF(C176="","",IF(H176=1,SUMIFS('Opening Balance'!$F$4:$F$303,'Opening Balance'!$G$4:$G$303,C176),INDEX($L$2:$L$3001,MATCH(C176&amp;"|"&amp;(H176-1),$I$2:$I$3001,0))))</f>
        <v/>
      </c>
      <c r="K176" s="6">
        <f>IF(C176="","",IF(M176&gt;0,M176,IF(AND(E176&gt;0,ROUND(J176+D176-E176,2)&gt;0,ROUND(J176+D176-E176,2)&lt;'Opening Balance'!$B$14),ROUND(J176+D176-E176,2),0)))</f>
        <v/>
      </c>
      <c r="L176" s="6">
        <f>IF(C176="","",ROUND(J176+D176-E176-K176,2))</f>
        <v/>
      </c>
      <c r="M176" s="6">
        <f>IF(C176="","",IF('Daily Sale entry '!Q176="Collection 收款",ROUND(N('Daily Sale entry '!T176),2),0))</f>
        <v/>
      </c>
    </row>
    <row r="177">
      <c r="A177" t="inlineStr">
        <is>
          <t>Entry 记录</t>
        </is>
      </c>
      <c r="B177" s="5">
        <f>IF('Daily Sale entry '!P177="","",'Daily Sale entry '!O177)</f>
        <v/>
      </c>
      <c r="C177">
        <f>IF('Daily Sale entry '!P177="","",'Daily Sale entry '!P177)</f>
        <v/>
      </c>
      <c r="D177">
        <f>IF(C177="","",IF('Daily Sale entry '!Q177="Credit Sale 赊销",'Daily Sale entry '!S177,0))</f>
        <v/>
      </c>
      <c r="E177">
        <f>IF(C177="","",IF('Daily Sale entry '!Q177="Collection 收款",'Daily Sale entry '!S177,0))</f>
        <v/>
      </c>
      <c r="F177" s="37">
        <f>IF(C177="","",B177+IF(E177&gt;0,0,0.5)+ROW()/10000000)</f>
        <v/>
      </c>
      <c r="G177">
        <f>IF(C177="","",'Daily Sale entry '!Q177&amp;IF('Daily Sale entry '!Q177="Collection 收款"," ("&amp;'Daily Sale entry '!R177&amp;")","")&amp;IF('Daily Sale entry '!U177="",""," - "&amp;'Daily Sale entry '!U177))</f>
        <v/>
      </c>
      <c r="H177">
        <f>IF(C177="","",COUNTIFS($C$2:$C$3001,C177,$F$2:$F$3001,"&lt;"&amp;F177)+1)</f>
        <v/>
      </c>
      <c r="I177">
        <f>IF(C177="","",C177&amp;"|"&amp;H177)</f>
        <v/>
      </c>
      <c r="J177" s="6">
        <f>IF(C177="","",IF(H177=1,SUMIFS('Opening Balance'!$F$4:$F$303,'Opening Balance'!$G$4:$G$303,C177),INDEX($L$2:$L$3001,MATCH(C177&amp;"|"&amp;(H177-1),$I$2:$I$3001,0))))</f>
        <v/>
      </c>
      <c r="K177" s="6">
        <f>IF(C177="","",IF(M177&gt;0,M177,IF(AND(E177&gt;0,ROUND(J177+D177-E177,2)&gt;0,ROUND(J177+D177-E177,2)&lt;'Opening Balance'!$B$14),ROUND(J177+D177-E177,2),0)))</f>
        <v/>
      </c>
      <c r="L177" s="6">
        <f>IF(C177="","",ROUND(J177+D177-E177-K177,2))</f>
        <v/>
      </c>
      <c r="M177" s="6">
        <f>IF(C177="","",IF('Daily Sale entry '!Q177="Collection 收款",ROUND(N('Daily Sale entry '!T177),2),0))</f>
        <v/>
      </c>
    </row>
    <row r="178">
      <c r="A178" t="inlineStr">
        <is>
          <t>Entry 记录</t>
        </is>
      </c>
      <c r="B178" s="5">
        <f>IF('Daily Sale entry '!P178="","",'Daily Sale entry '!O178)</f>
        <v/>
      </c>
      <c r="C178">
        <f>IF('Daily Sale entry '!P178="","",'Daily Sale entry '!P178)</f>
        <v/>
      </c>
      <c r="D178">
        <f>IF(C178="","",IF('Daily Sale entry '!Q178="Credit Sale 赊销",'Daily Sale entry '!S178,0))</f>
        <v/>
      </c>
      <c r="E178">
        <f>IF(C178="","",IF('Daily Sale entry '!Q178="Collection 收款",'Daily Sale entry '!S178,0))</f>
        <v/>
      </c>
      <c r="F178" s="37">
        <f>IF(C178="","",B178+IF(E178&gt;0,0,0.5)+ROW()/10000000)</f>
        <v/>
      </c>
      <c r="G178">
        <f>IF(C178="","",'Daily Sale entry '!Q178&amp;IF('Daily Sale entry '!Q178="Collection 收款"," ("&amp;'Daily Sale entry '!R178&amp;")","")&amp;IF('Daily Sale entry '!U178="",""," - "&amp;'Daily Sale entry '!U178))</f>
        <v/>
      </c>
      <c r="H178">
        <f>IF(C178="","",COUNTIFS($C$2:$C$3001,C178,$F$2:$F$3001,"&lt;"&amp;F178)+1)</f>
        <v/>
      </c>
      <c r="I178">
        <f>IF(C178="","",C178&amp;"|"&amp;H178)</f>
        <v/>
      </c>
      <c r="J178" s="6">
        <f>IF(C178="","",IF(H178=1,SUMIFS('Opening Balance'!$F$4:$F$303,'Opening Balance'!$G$4:$G$303,C178),INDEX($L$2:$L$3001,MATCH(C178&amp;"|"&amp;(H178-1),$I$2:$I$3001,0))))</f>
        <v/>
      </c>
      <c r="K178" s="6">
        <f>IF(C178="","",IF(M178&gt;0,M178,IF(AND(E178&gt;0,ROUND(J178+D178-E178,2)&gt;0,ROUND(J178+D178-E178,2)&lt;'Opening Balance'!$B$14),ROUND(J178+D178-E178,2),0)))</f>
        <v/>
      </c>
      <c r="L178" s="6">
        <f>IF(C178="","",ROUND(J178+D178-E178-K178,2))</f>
        <v/>
      </c>
      <c r="M178" s="6">
        <f>IF(C178="","",IF('Daily Sale entry '!Q178="Collection 收款",ROUND(N('Daily Sale entry '!T178),2),0))</f>
        <v/>
      </c>
    </row>
    <row r="179">
      <c r="A179" t="inlineStr">
        <is>
          <t>Entry 记录</t>
        </is>
      </c>
      <c r="B179" s="5">
        <f>IF('Daily Sale entry '!P179="","",'Daily Sale entry '!O179)</f>
        <v/>
      </c>
      <c r="C179">
        <f>IF('Daily Sale entry '!P179="","",'Daily Sale entry '!P179)</f>
        <v/>
      </c>
      <c r="D179">
        <f>IF(C179="","",IF('Daily Sale entry '!Q179="Credit Sale 赊销",'Daily Sale entry '!S179,0))</f>
        <v/>
      </c>
      <c r="E179">
        <f>IF(C179="","",IF('Daily Sale entry '!Q179="Collection 收款",'Daily Sale entry '!S179,0))</f>
        <v/>
      </c>
      <c r="F179" s="37">
        <f>IF(C179="","",B179+IF(E179&gt;0,0,0.5)+ROW()/10000000)</f>
        <v/>
      </c>
      <c r="G179">
        <f>IF(C179="","",'Daily Sale entry '!Q179&amp;IF('Daily Sale entry '!Q179="Collection 收款"," ("&amp;'Daily Sale entry '!R179&amp;")","")&amp;IF('Daily Sale entry '!U179="",""," - "&amp;'Daily Sale entry '!U179))</f>
        <v/>
      </c>
      <c r="H179">
        <f>IF(C179="","",COUNTIFS($C$2:$C$3001,C179,$F$2:$F$3001,"&lt;"&amp;F179)+1)</f>
        <v/>
      </c>
      <c r="I179">
        <f>IF(C179="","",C179&amp;"|"&amp;H179)</f>
        <v/>
      </c>
      <c r="J179" s="6">
        <f>IF(C179="","",IF(H179=1,SUMIFS('Opening Balance'!$F$4:$F$303,'Opening Balance'!$G$4:$G$303,C179),INDEX($L$2:$L$3001,MATCH(C179&amp;"|"&amp;(H179-1),$I$2:$I$3001,0))))</f>
        <v/>
      </c>
      <c r="K179" s="6">
        <f>IF(C179="","",IF(M179&gt;0,M179,IF(AND(E179&gt;0,ROUND(J179+D179-E179,2)&gt;0,ROUND(J179+D179-E179,2)&lt;'Opening Balance'!$B$14),ROUND(J179+D179-E179,2),0)))</f>
        <v/>
      </c>
      <c r="L179" s="6">
        <f>IF(C179="","",ROUND(J179+D179-E179-K179,2))</f>
        <v/>
      </c>
      <c r="M179" s="6">
        <f>IF(C179="","",IF('Daily Sale entry '!Q179="Collection 收款",ROUND(N('Daily Sale entry '!T179),2),0))</f>
        <v/>
      </c>
    </row>
    <row r="180">
      <c r="A180" t="inlineStr">
        <is>
          <t>Entry 记录</t>
        </is>
      </c>
      <c r="B180" s="5">
        <f>IF('Daily Sale entry '!P180="","",'Daily Sale entry '!O180)</f>
        <v/>
      </c>
      <c r="C180">
        <f>IF('Daily Sale entry '!P180="","",'Daily Sale entry '!P180)</f>
        <v/>
      </c>
      <c r="D180">
        <f>IF(C180="","",IF('Daily Sale entry '!Q180="Credit Sale 赊销",'Daily Sale entry '!S180,0))</f>
        <v/>
      </c>
      <c r="E180">
        <f>IF(C180="","",IF('Daily Sale entry '!Q180="Collection 收款",'Daily Sale entry '!S180,0))</f>
        <v/>
      </c>
      <c r="F180" s="37">
        <f>IF(C180="","",B180+IF(E180&gt;0,0,0.5)+ROW()/10000000)</f>
        <v/>
      </c>
      <c r="G180">
        <f>IF(C180="","",'Daily Sale entry '!Q180&amp;IF('Daily Sale entry '!Q180="Collection 收款"," ("&amp;'Daily Sale entry '!R180&amp;")","")&amp;IF('Daily Sale entry '!U180="",""," - "&amp;'Daily Sale entry '!U180))</f>
        <v/>
      </c>
      <c r="H180">
        <f>IF(C180="","",COUNTIFS($C$2:$C$3001,C180,$F$2:$F$3001,"&lt;"&amp;F180)+1)</f>
        <v/>
      </c>
      <c r="I180">
        <f>IF(C180="","",C180&amp;"|"&amp;H180)</f>
        <v/>
      </c>
      <c r="J180" s="6">
        <f>IF(C180="","",IF(H180=1,SUMIFS('Opening Balance'!$F$4:$F$303,'Opening Balance'!$G$4:$G$303,C180),INDEX($L$2:$L$3001,MATCH(C180&amp;"|"&amp;(H180-1),$I$2:$I$3001,0))))</f>
        <v/>
      </c>
      <c r="K180" s="6">
        <f>IF(C180="","",IF(M180&gt;0,M180,IF(AND(E180&gt;0,ROUND(J180+D180-E180,2)&gt;0,ROUND(J180+D180-E180,2)&lt;'Opening Balance'!$B$14),ROUND(J180+D180-E180,2),0)))</f>
        <v/>
      </c>
      <c r="L180" s="6">
        <f>IF(C180="","",ROUND(J180+D180-E180-K180,2))</f>
        <v/>
      </c>
      <c r="M180" s="6">
        <f>IF(C180="","",IF('Daily Sale entry '!Q180="Collection 收款",ROUND(N('Daily Sale entry '!T180),2),0))</f>
        <v/>
      </c>
    </row>
    <row r="181">
      <c r="A181" t="inlineStr">
        <is>
          <t>Entry 记录</t>
        </is>
      </c>
      <c r="B181" s="5">
        <f>IF('Daily Sale entry '!P181="","",'Daily Sale entry '!O181)</f>
        <v/>
      </c>
      <c r="C181">
        <f>IF('Daily Sale entry '!P181="","",'Daily Sale entry '!P181)</f>
        <v/>
      </c>
      <c r="D181">
        <f>IF(C181="","",IF('Daily Sale entry '!Q181="Credit Sale 赊销",'Daily Sale entry '!S181,0))</f>
        <v/>
      </c>
      <c r="E181">
        <f>IF(C181="","",IF('Daily Sale entry '!Q181="Collection 收款",'Daily Sale entry '!S181,0))</f>
        <v/>
      </c>
      <c r="F181" s="37">
        <f>IF(C181="","",B181+IF(E181&gt;0,0,0.5)+ROW()/10000000)</f>
        <v/>
      </c>
      <c r="G181">
        <f>IF(C181="","",'Daily Sale entry '!Q181&amp;IF('Daily Sale entry '!Q181="Collection 收款"," ("&amp;'Daily Sale entry '!R181&amp;")","")&amp;IF('Daily Sale entry '!U181="",""," - "&amp;'Daily Sale entry '!U181))</f>
        <v/>
      </c>
      <c r="H181">
        <f>IF(C181="","",COUNTIFS($C$2:$C$3001,C181,$F$2:$F$3001,"&lt;"&amp;F181)+1)</f>
        <v/>
      </c>
      <c r="I181">
        <f>IF(C181="","",C181&amp;"|"&amp;H181)</f>
        <v/>
      </c>
      <c r="J181" s="6">
        <f>IF(C181="","",IF(H181=1,SUMIFS('Opening Balance'!$F$4:$F$303,'Opening Balance'!$G$4:$G$303,C181),INDEX($L$2:$L$3001,MATCH(C181&amp;"|"&amp;(H181-1),$I$2:$I$3001,0))))</f>
        <v/>
      </c>
      <c r="K181" s="6">
        <f>IF(C181="","",IF(M181&gt;0,M181,IF(AND(E181&gt;0,ROUND(J181+D181-E181,2)&gt;0,ROUND(J181+D181-E181,2)&lt;'Opening Balance'!$B$14),ROUND(J181+D181-E181,2),0)))</f>
        <v/>
      </c>
      <c r="L181" s="6">
        <f>IF(C181="","",ROUND(J181+D181-E181-K181,2))</f>
        <v/>
      </c>
      <c r="M181" s="6">
        <f>IF(C181="","",IF('Daily Sale entry '!Q181="Collection 收款",ROUND(N('Daily Sale entry '!T181),2),0))</f>
        <v/>
      </c>
    </row>
    <row r="182">
      <c r="A182" t="inlineStr">
        <is>
          <t>Entry 记录</t>
        </is>
      </c>
      <c r="B182" s="5">
        <f>IF('Daily Sale entry '!P182="","",'Daily Sale entry '!O182)</f>
        <v/>
      </c>
      <c r="C182">
        <f>IF('Daily Sale entry '!P182="","",'Daily Sale entry '!P182)</f>
        <v/>
      </c>
      <c r="D182">
        <f>IF(C182="","",IF('Daily Sale entry '!Q182="Credit Sale 赊销",'Daily Sale entry '!S182,0))</f>
        <v/>
      </c>
      <c r="E182">
        <f>IF(C182="","",IF('Daily Sale entry '!Q182="Collection 收款",'Daily Sale entry '!S182,0))</f>
        <v/>
      </c>
      <c r="F182" s="37">
        <f>IF(C182="","",B182+IF(E182&gt;0,0,0.5)+ROW()/10000000)</f>
        <v/>
      </c>
      <c r="G182">
        <f>IF(C182="","",'Daily Sale entry '!Q182&amp;IF('Daily Sale entry '!Q182="Collection 收款"," ("&amp;'Daily Sale entry '!R182&amp;")","")&amp;IF('Daily Sale entry '!U182="",""," - "&amp;'Daily Sale entry '!U182))</f>
        <v/>
      </c>
      <c r="H182">
        <f>IF(C182="","",COUNTIFS($C$2:$C$3001,C182,$F$2:$F$3001,"&lt;"&amp;F182)+1)</f>
        <v/>
      </c>
      <c r="I182">
        <f>IF(C182="","",C182&amp;"|"&amp;H182)</f>
        <v/>
      </c>
      <c r="J182" s="6">
        <f>IF(C182="","",IF(H182=1,SUMIFS('Opening Balance'!$F$4:$F$303,'Opening Balance'!$G$4:$G$303,C182),INDEX($L$2:$L$3001,MATCH(C182&amp;"|"&amp;(H182-1),$I$2:$I$3001,0))))</f>
        <v/>
      </c>
      <c r="K182" s="6">
        <f>IF(C182="","",IF(M182&gt;0,M182,IF(AND(E182&gt;0,ROUND(J182+D182-E182,2)&gt;0,ROUND(J182+D182-E182,2)&lt;'Opening Balance'!$B$14),ROUND(J182+D182-E182,2),0)))</f>
        <v/>
      </c>
      <c r="L182" s="6">
        <f>IF(C182="","",ROUND(J182+D182-E182-K182,2))</f>
        <v/>
      </c>
      <c r="M182" s="6">
        <f>IF(C182="","",IF('Daily Sale entry '!Q182="Collection 收款",ROUND(N('Daily Sale entry '!T182),2),0))</f>
        <v/>
      </c>
    </row>
    <row r="183">
      <c r="A183" t="inlineStr">
        <is>
          <t>Entry 记录</t>
        </is>
      </c>
      <c r="B183" s="5">
        <f>IF('Daily Sale entry '!P183="","",'Daily Sale entry '!O183)</f>
        <v/>
      </c>
      <c r="C183">
        <f>IF('Daily Sale entry '!P183="","",'Daily Sale entry '!P183)</f>
        <v/>
      </c>
      <c r="D183">
        <f>IF(C183="","",IF('Daily Sale entry '!Q183="Credit Sale 赊销",'Daily Sale entry '!S183,0))</f>
        <v/>
      </c>
      <c r="E183">
        <f>IF(C183="","",IF('Daily Sale entry '!Q183="Collection 收款",'Daily Sale entry '!S183,0))</f>
        <v/>
      </c>
      <c r="F183" s="37">
        <f>IF(C183="","",B183+IF(E183&gt;0,0,0.5)+ROW()/10000000)</f>
        <v/>
      </c>
      <c r="G183">
        <f>IF(C183="","",'Daily Sale entry '!Q183&amp;IF('Daily Sale entry '!Q183="Collection 收款"," ("&amp;'Daily Sale entry '!R183&amp;")","")&amp;IF('Daily Sale entry '!U183="",""," - "&amp;'Daily Sale entry '!U183))</f>
        <v/>
      </c>
      <c r="H183">
        <f>IF(C183="","",COUNTIFS($C$2:$C$3001,C183,$F$2:$F$3001,"&lt;"&amp;F183)+1)</f>
        <v/>
      </c>
      <c r="I183">
        <f>IF(C183="","",C183&amp;"|"&amp;H183)</f>
        <v/>
      </c>
      <c r="J183" s="6">
        <f>IF(C183="","",IF(H183=1,SUMIFS('Opening Balance'!$F$4:$F$303,'Opening Balance'!$G$4:$G$303,C183),INDEX($L$2:$L$3001,MATCH(C183&amp;"|"&amp;(H183-1),$I$2:$I$3001,0))))</f>
        <v/>
      </c>
      <c r="K183" s="6">
        <f>IF(C183="","",IF(M183&gt;0,M183,IF(AND(E183&gt;0,ROUND(J183+D183-E183,2)&gt;0,ROUND(J183+D183-E183,2)&lt;'Opening Balance'!$B$14),ROUND(J183+D183-E183,2),0)))</f>
        <v/>
      </c>
      <c r="L183" s="6">
        <f>IF(C183="","",ROUND(J183+D183-E183-K183,2))</f>
        <v/>
      </c>
      <c r="M183" s="6">
        <f>IF(C183="","",IF('Daily Sale entry '!Q183="Collection 收款",ROUND(N('Daily Sale entry '!T183),2),0))</f>
        <v/>
      </c>
    </row>
    <row r="184">
      <c r="A184" t="inlineStr">
        <is>
          <t>Entry 记录</t>
        </is>
      </c>
      <c r="B184" s="5">
        <f>IF('Daily Sale entry '!P184="","",'Daily Sale entry '!O184)</f>
        <v/>
      </c>
      <c r="C184">
        <f>IF('Daily Sale entry '!P184="","",'Daily Sale entry '!P184)</f>
        <v/>
      </c>
      <c r="D184">
        <f>IF(C184="","",IF('Daily Sale entry '!Q184="Credit Sale 赊销",'Daily Sale entry '!S184,0))</f>
        <v/>
      </c>
      <c r="E184">
        <f>IF(C184="","",IF('Daily Sale entry '!Q184="Collection 收款",'Daily Sale entry '!S184,0))</f>
        <v/>
      </c>
      <c r="F184" s="37">
        <f>IF(C184="","",B184+IF(E184&gt;0,0,0.5)+ROW()/10000000)</f>
        <v/>
      </c>
      <c r="G184">
        <f>IF(C184="","",'Daily Sale entry '!Q184&amp;IF('Daily Sale entry '!Q184="Collection 收款"," ("&amp;'Daily Sale entry '!R184&amp;")","")&amp;IF('Daily Sale entry '!U184="",""," - "&amp;'Daily Sale entry '!U184))</f>
        <v/>
      </c>
      <c r="H184">
        <f>IF(C184="","",COUNTIFS($C$2:$C$3001,C184,$F$2:$F$3001,"&lt;"&amp;F184)+1)</f>
        <v/>
      </c>
      <c r="I184">
        <f>IF(C184="","",C184&amp;"|"&amp;H184)</f>
        <v/>
      </c>
      <c r="J184" s="6">
        <f>IF(C184="","",IF(H184=1,SUMIFS('Opening Balance'!$F$4:$F$303,'Opening Balance'!$G$4:$G$303,C184),INDEX($L$2:$L$3001,MATCH(C184&amp;"|"&amp;(H184-1),$I$2:$I$3001,0))))</f>
        <v/>
      </c>
      <c r="K184" s="6">
        <f>IF(C184="","",IF(M184&gt;0,M184,IF(AND(E184&gt;0,ROUND(J184+D184-E184,2)&gt;0,ROUND(J184+D184-E184,2)&lt;'Opening Balance'!$B$14),ROUND(J184+D184-E184,2),0)))</f>
        <v/>
      </c>
      <c r="L184" s="6">
        <f>IF(C184="","",ROUND(J184+D184-E184-K184,2))</f>
        <v/>
      </c>
      <c r="M184" s="6">
        <f>IF(C184="","",IF('Daily Sale entry '!Q184="Collection 收款",ROUND(N('Daily Sale entry '!T184),2),0))</f>
        <v/>
      </c>
    </row>
    <row r="185">
      <c r="A185" t="inlineStr">
        <is>
          <t>Entry 记录</t>
        </is>
      </c>
      <c r="B185" s="5">
        <f>IF('Daily Sale entry '!P185="","",'Daily Sale entry '!O185)</f>
        <v/>
      </c>
      <c r="C185">
        <f>IF('Daily Sale entry '!P185="","",'Daily Sale entry '!P185)</f>
        <v/>
      </c>
      <c r="D185">
        <f>IF(C185="","",IF('Daily Sale entry '!Q185="Credit Sale 赊销",'Daily Sale entry '!S185,0))</f>
        <v/>
      </c>
      <c r="E185">
        <f>IF(C185="","",IF('Daily Sale entry '!Q185="Collection 收款",'Daily Sale entry '!S185,0))</f>
        <v/>
      </c>
      <c r="F185" s="37">
        <f>IF(C185="","",B185+IF(E185&gt;0,0,0.5)+ROW()/10000000)</f>
        <v/>
      </c>
      <c r="G185">
        <f>IF(C185="","",'Daily Sale entry '!Q185&amp;IF('Daily Sale entry '!Q185="Collection 收款"," ("&amp;'Daily Sale entry '!R185&amp;")","")&amp;IF('Daily Sale entry '!U185="",""," - "&amp;'Daily Sale entry '!U185))</f>
        <v/>
      </c>
      <c r="H185">
        <f>IF(C185="","",COUNTIFS($C$2:$C$3001,C185,$F$2:$F$3001,"&lt;"&amp;F185)+1)</f>
        <v/>
      </c>
      <c r="I185">
        <f>IF(C185="","",C185&amp;"|"&amp;H185)</f>
        <v/>
      </c>
      <c r="J185" s="6">
        <f>IF(C185="","",IF(H185=1,SUMIFS('Opening Balance'!$F$4:$F$303,'Opening Balance'!$G$4:$G$303,C185),INDEX($L$2:$L$3001,MATCH(C185&amp;"|"&amp;(H185-1),$I$2:$I$3001,0))))</f>
        <v/>
      </c>
      <c r="K185" s="6">
        <f>IF(C185="","",IF(M185&gt;0,M185,IF(AND(E185&gt;0,ROUND(J185+D185-E185,2)&gt;0,ROUND(J185+D185-E185,2)&lt;'Opening Balance'!$B$14),ROUND(J185+D185-E185,2),0)))</f>
        <v/>
      </c>
      <c r="L185" s="6">
        <f>IF(C185="","",ROUND(J185+D185-E185-K185,2))</f>
        <v/>
      </c>
      <c r="M185" s="6">
        <f>IF(C185="","",IF('Daily Sale entry '!Q185="Collection 收款",ROUND(N('Daily Sale entry '!T185),2),0))</f>
        <v/>
      </c>
    </row>
    <row r="186">
      <c r="A186" t="inlineStr">
        <is>
          <t>Entry 记录</t>
        </is>
      </c>
      <c r="B186" s="5">
        <f>IF('Daily Sale entry '!P186="","",'Daily Sale entry '!O186)</f>
        <v/>
      </c>
      <c r="C186">
        <f>IF('Daily Sale entry '!P186="","",'Daily Sale entry '!P186)</f>
        <v/>
      </c>
      <c r="D186">
        <f>IF(C186="","",IF('Daily Sale entry '!Q186="Credit Sale 赊销",'Daily Sale entry '!S186,0))</f>
        <v/>
      </c>
      <c r="E186">
        <f>IF(C186="","",IF('Daily Sale entry '!Q186="Collection 收款",'Daily Sale entry '!S186,0))</f>
        <v/>
      </c>
      <c r="F186" s="37">
        <f>IF(C186="","",B186+IF(E186&gt;0,0,0.5)+ROW()/10000000)</f>
        <v/>
      </c>
      <c r="G186">
        <f>IF(C186="","",'Daily Sale entry '!Q186&amp;IF('Daily Sale entry '!Q186="Collection 收款"," ("&amp;'Daily Sale entry '!R186&amp;")","")&amp;IF('Daily Sale entry '!U186="",""," - "&amp;'Daily Sale entry '!U186))</f>
        <v/>
      </c>
      <c r="H186">
        <f>IF(C186="","",COUNTIFS($C$2:$C$3001,C186,$F$2:$F$3001,"&lt;"&amp;F186)+1)</f>
        <v/>
      </c>
      <c r="I186">
        <f>IF(C186="","",C186&amp;"|"&amp;H186)</f>
        <v/>
      </c>
      <c r="J186" s="6">
        <f>IF(C186="","",IF(H186=1,SUMIFS('Opening Balance'!$F$4:$F$303,'Opening Balance'!$G$4:$G$303,C186),INDEX($L$2:$L$3001,MATCH(C186&amp;"|"&amp;(H186-1),$I$2:$I$3001,0))))</f>
        <v/>
      </c>
      <c r="K186" s="6">
        <f>IF(C186="","",IF(M186&gt;0,M186,IF(AND(E186&gt;0,ROUND(J186+D186-E186,2)&gt;0,ROUND(J186+D186-E186,2)&lt;'Opening Balance'!$B$14),ROUND(J186+D186-E186,2),0)))</f>
        <v/>
      </c>
      <c r="L186" s="6">
        <f>IF(C186="","",ROUND(J186+D186-E186-K186,2))</f>
        <v/>
      </c>
      <c r="M186" s="6">
        <f>IF(C186="","",IF('Daily Sale entry '!Q186="Collection 收款",ROUND(N('Daily Sale entry '!T186),2),0))</f>
        <v/>
      </c>
    </row>
    <row r="187">
      <c r="A187" t="inlineStr">
        <is>
          <t>Entry 记录</t>
        </is>
      </c>
      <c r="B187" s="5">
        <f>IF('Daily Sale entry '!P187="","",'Daily Sale entry '!O187)</f>
        <v/>
      </c>
      <c r="C187">
        <f>IF('Daily Sale entry '!P187="","",'Daily Sale entry '!P187)</f>
        <v/>
      </c>
      <c r="D187">
        <f>IF(C187="","",IF('Daily Sale entry '!Q187="Credit Sale 赊销",'Daily Sale entry '!S187,0))</f>
        <v/>
      </c>
      <c r="E187">
        <f>IF(C187="","",IF('Daily Sale entry '!Q187="Collection 收款",'Daily Sale entry '!S187,0))</f>
        <v/>
      </c>
      <c r="F187" s="37">
        <f>IF(C187="","",B187+IF(E187&gt;0,0,0.5)+ROW()/10000000)</f>
        <v/>
      </c>
      <c r="G187">
        <f>IF(C187="","",'Daily Sale entry '!Q187&amp;IF('Daily Sale entry '!Q187="Collection 收款"," ("&amp;'Daily Sale entry '!R187&amp;")","")&amp;IF('Daily Sale entry '!U187="",""," - "&amp;'Daily Sale entry '!U187))</f>
        <v/>
      </c>
      <c r="H187">
        <f>IF(C187="","",COUNTIFS($C$2:$C$3001,C187,$F$2:$F$3001,"&lt;"&amp;F187)+1)</f>
        <v/>
      </c>
      <c r="I187">
        <f>IF(C187="","",C187&amp;"|"&amp;H187)</f>
        <v/>
      </c>
      <c r="J187" s="6">
        <f>IF(C187="","",IF(H187=1,SUMIFS('Opening Balance'!$F$4:$F$303,'Opening Balance'!$G$4:$G$303,C187),INDEX($L$2:$L$3001,MATCH(C187&amp;"|"&amp;(H187-1),$I$2:$I$3001,0))))</f>
        <v/>
      </c>
      <c r="K187" s="6">
        <f>IF(C187="","",IF(M187&gt;0,M187,IF(AND(E187&gt;0,ROUND(J187+D187-E187,2)&gt;0,ROUND(J187+D187-E187,2)&lt;'Opening Balance'!$B$14),ROUND(J187+D187-E187,2),0)))</f>
        <v/>
      </c>
      <c r="L187" s="6">
        <f>IF(C187="","",ROUND(J187+D187-E187-K187,2))</f>
        <v/>
      </c>
      <c r="M187" s="6">
        <f>IF(C187="","",IF('Daily Sale entry '!Q187="Collection 收款",ROUND(N('Daily Sale entry '!T187),2),0))</f>
        <v/>
      </c>
    </row>
    <row r="188">
      <c r="A188" t="inlineStr">
        <is>
          <t>Entry 记录</t>
        </is>
      </c>
      <c r="B188" s="5">
        <f>IF('Daily Sale entry '!P188="","",'Daily Sale entry '!O188)</f>
        <v/>
      </c>
      <c r="C188">
        <f>IF('Daily Sale entry '!P188="","",'Daily Sale entry '!P188)</f>
        <v/>
      </c>
      <c r="D188">
        <f>IF(C188="","",IF('Daily Sale entry '!Q188="Credit Sale 赊销",'Daily Sale entry '!S188,0))</f>
        <v/>
      </c>
      <c r="E188">
        <f>IF(C188="","",IF('Daily Sale entry '!Q188="Collection 收款",'Daily Sale entry '!S188,0))</f>
        <v/>
      </c>
      <c r="F188" s="37">
        <f>IF(C188="","",B188+IF(E188&gt;0,0,0.5)+ROW()/10000000)</f>
        <v/>
      </c>
      <c r="G188">
        <f>IF(C188="","",'Daily Sale entry '!Q188&amp;IF('Daily Sale entry '!Q188="Collection 收款"," ("&amp;'Daily Sale entry '!R188&amp;")","")&amp;IF('Daily Sale entry '!U188="",""," - "&amp;'Daily Sale entry '!U188))</f>
        <v/>
      </c>
      <c r="H188">
        <f>IF(C188="","",COUNTIFS($C$2:$C$3001,C188,$F$2:$F$3001,"&lt;"&amp;F188)+1)</f>
        <v/>
      </c>
      <c r="I188">
        <f>IF(C188="","",C188&amp;"|"&amp;H188)</f>
        <v/>
      </c>
      <c r="J188" s="6">
        <f>IF(C188="","",IF(H188=1,SUMIFS('Opening Balance'!$F$4:$F$303,'Opening Balance'!$G$4:$G$303,C188),INDEX($L$2:$L$3001,MATCH(C188&amp;"|"&amp;(H188-1),$I$2:$I$3001,0))))</f>
        <v/>
      </c>
      <c r="K188" s="6">
        <f>IF(C188="","",IF(M188&gt;0,M188,IF(AND(E188&gt;0,ROUND(J188+D188-E188,2)&gt;0,ROUND(J188+D188-E188,2)&lt;'Opening Balance'!$B$14),ROUND(J188+D188-E188,2),0)))</f>
        <v/>
      </c>
      <c r="L188" s="6">
        <f>IF(C188="","",ROUND(J188+D188-E188-K188,2))</f>
        <v/>
      </c>
      <c r="M188" s="6">
        <f>IF(C188="","",IF('Daily Sale entry '!Q188="Collection 收款",ROUND(N('Daily Sale entry '!T188),2),0))</f>
        <v/>
      </c>
    </row>
    <row r="189">
      <c r="A189" t="inlineStr">
        <is>
          <t>Entry 记录</t>
        </is>
      </c>
      <c r="B189" s="5">
        <f>IF('Daily Sale entry '!P189="","",'Daily Sale entry '!O189)</f>
        <v/>
      </c>
      <c r="C189">
        <f>IF('Daily Sale entry '!P189="","",'Daily Sale entry '!P189)</f>
        <v/>
      </c>
      <c r="D189">
        <f>IF(C189="","",IF('Daily Sale entry '!Q189="Credit Sale 赊销",'Daily Sale entry '!S189,0))</f>
        <v/>
      </c>
      <c r="E189">
        <f>IF(C189="","",IF('Daily Sale entry '!Q189="Collection 收款",'Daily Sale entry '!S189,0))</f>
        <v/>
      </c>
      <c r="F189" s="37">
        <f>IF(C189="","",B189+IF(E189&gt;0,0,0.5)+ROW()/10000000)</f>
        <v/>
      </c>
      <c r="G189">
        <f>IF(C189="","",'Daily Sale entry '!Q189&amp;IF('Daily Sale entry '!Q189="Collection 收款"," ("&amp;'Daily Sale entry '!R189&amp;")","")&amp;IF('Daily Sale entry '!U189="",""," - "&amp;'Daily Sale entry '!U189))</f>
        <v/>
      </c>
      <c r="H189">
        <f>IF(C189="","",COUNTIFS($C$2:$C$3001,C189,$F$2:$F$3001,"&lt;"&amp;F189)+1)</f>
        <v/>
      </c>
      <c r="I189">
        <f>IF(C189="","",C189&amp;"|"&amp;H189)</f>
        <v/>
      </c>
      <c r="J189" s="6">
        <f>IF(C189="","",IF(H189=1,SUMIFS('Opening Balance'!$F$4:$F$303,'Opening Balance'!$G$4:$G$303,C189),INDEX($L$2:$L$3001,MATCH(C189&amp;"|"&amp;(H189-1),$I$2:$I$3001,0))))</f>
        <v/>
      </c>
      <c r="K189" s="6">
        <f>IF(C189="","",IF(M189&gt;0,M189,IF(AND(E189&gt;0,ROUND(J189+D189-E189,2)&gt;0,ROUND(J189+D189-E189,2)&lt;'Opening Balance'!$B$14),ROUND(J189+D189-E189,2),0)))</f>
        <v/>
      </c>
      <c r="L189" s="6">
        <f>IF(C189="","",ROUND(J189+D189-E189-K189,2))</f>
        <v/>
      </c>
      <c r="M189" s="6">
        <f>IF(C189="","",IF('Daily Sale entry '!Q189="Collection 收款",ROUND(N('Daily Sale entry '!T189),2),0))</f>
        <v/>
      </c>
    </row>
    <row r="190">
      <c r="A190" t="inlineStr">
        <is>
          <t>Entry 记录</t>
        </is>
      </c>
      <c r="B190" s="5">
        <f>IF('Daily Sale entry '!P190="","",'Daily Sale entry '!O190)</f>
        <v/>
      </c>
      <c r="C190">
        <f>IF('Daily Sale entry '!P190="","",'Daily Sale entry '!P190)</f>
        <v/>
      </c>
      <c r="D190">
        <f>IF(C190="","",IF('Daily Sale entry '!Q190="Credit Sale 赊销",'Daily Sale entry '!S190,0))</f>
        <v/>
      </c>
      <c r="E190">
        <f>IF(C190="","",IF('Daily Sale entry '!Q190="Collection 收款",'Daily Sale entry '!S190,0))</f>
        <v/>
      </c>
      <c r="F190" s="37">
        <f>IF(C190="","",B190+IF(E190&gt;0,0,0.5)+ROW()/10000000)</f>
        <v/>
      </c>
      <c r="G190">
        <f>IF(C190="","",'Daily Sale entry '!Q190&amp;IF('Daily Sale entry '!Q190="Collection 收款"," ("&amp;'Daily Sale entry '!R190&amp;")","")&amp;IF('Daily Sale entry '!U190="",""," - "&amp;'Daily Sale entry '!U190))</f>
        <v/>
      </c>
      <c r="H190">
        <f>IF(C190="","",COUNTIFS($C$2:$C$3001,C190,$F$2:$F$3001,"&lt;"&amp;F190)+1)</f>
        <v/>
      </c>
      <c r="I190">
        <f>IF(C190="","",C190&amp;"|"&amp;H190)</f>
        <v/>
      </c>
      <c r="J190" s="6">
        <f>IF(C190="","",IF(H190=1,SUMIFS('Opening Balance'!$F$4:$F$303,'Opening Balance'!$G$4:$G$303,C190),INDEX($L$2:$L$3001,MATCH(C190&amp;"|"&amp;(H190-1),$I$2:$I$3001,0))))</f>
        <v/>
      </c>
      <c r="K190" s="6">
        <f>IF(C190="","",IF(M190&gt;0,M190,IF(AND(E190&gt;0,ROUND(J190+D190-E190,2)&gt;0,ROUND(J190+D190-E190,2)&lt;'Opening Balance'!$B$14),ROUND(J190+D190-E190,2),0)))</f>
        <v/>
      </c>
      <c r="L190" s="6">
        <f>IF(C190="","",ROUND(J190+D190-E190-K190,2))</f>
        <v/>
      </c>
      <c r="M190" s="6">
        <f>IF(C190="","",IF('Daily Sale entry '!Q190="Collection 收款",ROUND(N('Daily Sale entry '!T190),2),0))</f>
        <v/>
      </c>
    </row>
    <row r="191">
      <c r="A191" t="inlineStr">
        <is>
          <t>Entry 记录</t>
        </is>
      </c>
      <c r="B191" s="5">
        <f>IF('Daily Sale entry '!P191="","",'Daily Sale entry '!O191)</f>
        <v/>
      </c>
      <c r="C191">
        <f>IF('Daily Sale entry '!P191="","",'Daily Sale entry '!P191)</f>
        <v/>
      </c>
      <c r="D191">
        <f>IF(C191="","",IF('Daily Sale entry '!Q191="Credit Sale 赊销",'Daily Sale entry '!S191,0))</f>
        <v/>
      </c>
      <c r="E191">
        <f>IF(C191="","",IF('Daily Sale entry '!Q191="Collection 收款",'Daily Sale entry '!S191,0))</f>
        <v/>
      </c>
      <c r="F191" s="37">
        <f>IF(C191="","",B191+IF(E191&gt;0,0,0.5)+ROW()/10000000)</f>
        <v/>
      </c>
      <c r="G191">
        <f>IF(C191="","",'Daily Sale entry '!Q191&amp;IF('Daily Sale entry '!Q191="Collection 收款"," ("&amp;'Daily Sale entry '!R191&amp;")","")&amp;IF('Daily Sale entry '!U191="",""," - "&amp;'Daily Sale entry '!U191))</f>
        <v/>
      </c>
      <c r="H191">
        <f>IF(C191="","",COUNTIFS($C$2:$C$3001,C191,$F$2:$F$3001,"&lt;"&amp;F191)+1)</f>
        <v/>
      </c>
      <c r="I191">
        <f>IF(C191="","",C191&amp;"|"&amp;H191)</f>
        <v/>
      </c>
      <c r="J191" s="6">
        <f>IF(C191="","",IF(H191=1,SUMIFS('Opening Balance'!$F$4:$F$303,'Opening Balance'!$G$4:$G$303,C191),INDEX($L$2:$L$3001,MATCH(C191&amp;"|"&amp;(H191-1),$I$2:$I$3001,0))))</f>
        <v/>
      </c>
      <c r="K191" s="6">
        <f>IF(C191="","",IF(M191&gt;0,M191,IF(AND(E191&gt;0,ROUND(J191+D191-E191,2)&gt;0,ROUND(J191+D191-E191,2)&lt;'Opening Balance'!$B$14),ROUND(J191+D191-E191,2),0)))</f>
        <v/>
      </c>
      <c r="L191" s="6">
        <f>IF(C191="","",ROUND(J191+D191-E191-K191,2))</f>
        <v/>
      </c>
      <c r="M191" s="6">
        <f>IF(C191="","",IF('Daily Sale entry '!Q191="Collection 收款",ROUND(N('Daily Sale entry '!T191),2),0))</f>
        <v/>
      </c>
    </row>
    <row r="192">
      <c r="A192" t="inlineStr">
        <is>
          <t>Entry 记录</t>
        </is>
      </c>
      <c r="B192" s="5">
        <f>IF('Daily Sale entry '!P192="","",'Daily Sale entry '!O192)</f>
        <v/>
      </c>
      <c r="C192">
        <f>IF('Daily Sale entry '!P192="","",'Daily Sale entry '!P192)</f>
        <v/>
      </c>
      <c r="D192">
        <f>IF(C192="","",IF('Daily Sale entry '!Q192="Credit Sale 赊销",'Daily Sale entry '!S192,0))</f>
        <v/>
      </c>
      <c r="E192">
        <f>IF(C192="","",IF('Daily Sale entry '!Q192="Collection 收款",'Daily Sale entry '!S192,0))</f>
        <v/>
      </c>
      <c r="F192" s="37">
        <f>IF(C192="","",B192+IF(E192&gt;0,0,0.5)+ROW()/10000000)</f>
        <v/>
      </c>
      <c r="G192">
        <f>IF(C192="","",'Daily Sale entry '!Q192&amp;IF('Daily Sale entry '!Q192="Collection 收款"," ("&amp;'Daily Sale entry '!R192&amp;")","")&amp;IF('Daily Sale entry '!U192="",""," - "&amp;'Daily Sale entry '!U192))</f>
        <v/>
      </c>
      <c r="H192">
        <f>IF(C192="","",COUNTIFS($C$2:$C$3001,C192,$F$2:$F$3001,"&lt;"&amp;F192)+1)</f>
        <v/>
      </c>
      <c r="I192">
        <f>IF(C192="","",C192&amp;"|"&amp;H192)</f>
        <v/>
      </c>
      <c r="J192" s="6">
        <f>IF(C192="","",IF(H192=1,SUMIFS('Opening Balance'!$F$4:$F$303,'Opening Balance'!$G$4:$G$303,C192),INDEX($L$2:$L$3001,MATCH(C192&amp;"|"&amp;(H192-1),$I$2:$I$3001,0))))</f>
        <v/>
      </c>
      <c r="K192" s="6">
        <f>IF(C192="","",IF(M192&gt;0,M192,IF(AND(E192&gt;0,ROUND(J192+D192-E192,2)&gt;0,ROUND(J192+D192-E192,2)&lt;'Opening Balance'!$B$14),ROUND(J192+D192-E192,2),0)))</f>
        <v/>
      </c>
      <c r="L192" s="6">
        <f>IF(C192="","",ROUND(J192+D192-E192-K192,2))</f>
        <v/>
      </c>
      <c r="M192" s="6">
        <f>IF(C192="","",IF('Daily Sale entry '!Q192="Collection 收款",ROUND(N('Daily Sale entry '!T192),2),0))</f>
        <v/>
      </c>
    </row>
    <row r="193">
      <c r="A193" t="inlineStr">
        <is>
          <t>Entry 记录</t>
        </is>
      </c>
      <c r="B193" s="5">
        <f>IF('Daily Sale entry '!P193="","",'Daily Sale entry '!O193)</f>
        <v/>
      </c>
      <c r="C193">
        <f>IF('Daily Sale entry '!P193="","",'Daily Sale entry '!P193)</f>
        <v/>
      </c>
      <c r="D193">
        <f>IF(C193="","",IF('Daily Sale entry '!Q193="Credit Sale 赊销",'Daily Sale entry '!S193,0))</f>
        <v/>
      </c>
      <c r="E193">
        <f>IF(C193="","",IF('Daily Sale entry '!Q193="Collection 收款",'Daily Sale entry '!S193,0))</f>
        <v/>
      </c>
      <c r="F193" s="37">
        <f>IF(C193="","",B193+IF(E193&gt;0,0,0.5)+ROW()/10000000)</f>
        <v/>
      </c>
      <c r="G193">
        <f>IF(C193="","",'Daily Sale entry '!Q193&amp;IF('Daily Sale entry '!Q193="Collection 收款"," ("&amp;'Daily Sale entry '!R193&amp;")","")&amp;IF('Daily Sale entry '!U193="",""," - "&amp;'Daily Sale entry '!U193))</f>
        <v/>
      </c>
      <c r="H193">
        <f>IF(C193="","",COUNTIFS($C$2:$C$3001,C193,$F$2:$F$3001,"&lt;"&amp;F193)+1)</f>
        <v/>
      </c>
      <c r="I193">
        <f>IF(C193="","",C193&amp;"|"&amp;H193)</f>
        <v/>
      </c>
      <c r="J193" s="6">
        <f>IF(C193="","",IF(H193=1,SUMIFS('Opening Balance'!$F$4:$F$303,'Opening Balance'!$G$4:$G$303,C193),INDEX($L$2:$L$3001,MATCH(C193&amp;"|"&amp;(H193-1),$I$2:$I$3001,0))))</f>
        <v/>
      </c>
      <c r="K193" s="6">
        <f>IF(C193="","",IF(M193&gt;0,M193,IF(AND(E193&gt;0,ROUND(J193+D193-E193,2)&gt;0,ROUND(J193+D193-E193,2)&lt;'Opening Balance'!$B$14),ROUND(J193+D193-E193,2),0)))</f>
        <v/>
      </c>
      <c r="L193" s="6">
        <f>IF(C193="","",ROUND(J193+D193-E193-K193,2))</f>
        <v/>
      </c>
      <c r="M193" s="6">
        <f>IF(C193="","",IF('Daily Sale entry '!Q193="Collection 收款",ROUND(N('Daily Sale entry '!T193),2),0))</f>
        <v/>
      </c>
    </row>
    <row r="194">
      <c r="A194" t="inlineStr">
        <is>
          <t>Entry 记录</t>
        </is>
      </c>
      <c r="B194" s="5">
        <f>IF('Daily Sale entry '!P194="","",'Daily Sale entry '!O194)</f>
        <v/>
      </c>
      <c r="C194">
        <f>IF('Daily Sale entry '!P194="","",'Daily Sale entry '!P194)</f>
        <v/>
      </c>
      <c r="D194">
        <f>IF(C194="","",IF('Daily Sale entry '!Q194="Credit Sale 赊销",'Daily Sale entry '!S194,0))</f>
        <v/>
      </c>
      <c r="E194">
        <f>IF(C194="","",IF('Daily Sale entry '!Q194="Collection 收款",'Daily Sale entry '!S194,0))</f>
        <v/>
      </c>
      <c r="F194" s="37">
        <f>IF(C194="","",B194+IF(E194&gt;0,0,0.5)+ROW()/10000000)</f>
        <v/>
      </c>
      <c r="G194">
        <f>IF(C194="","",'Daily Sale entry '!Q194&amp;IF('Daily Sale entry '!Q194="Collection 收款"," ("&amp;'Daily Sale entry '!R194&amp;")","")&amp;IF('Daily Sale entry '!U194="",""," - "&amp;'Daily Sale entry '!U194))</f>
        <v/>
      </c>
      <c r="H194">
        <f>IF(C194="","",COUNTIFS($C$2:$C$3001,C194,$F$2:$F$3001,"&lt;"&amp;F194)+1)</f>
        <v/>
      </c>
      <c r="I194">
        <f>IF(C194="","",C194&amp;"|"&amp;H194)</f>
        <v/>
      </c>
      <c r="J194" s="6">
        <f>IF(C194="","",IF(H194=1,SUMIFS('Opening Balance'!$F$4:$F$303,'Opening Balance'!$G$4:$G$303,C194),INDEX($L$2:$L$3001,MATCH(C194&amp;"|"&amp;(H194-1),$I$2:$I$3001,0))))</f>
        <v/>
      </c>
      <c r="K194" s="6">
        <f>IF(C194="","",IF(M194&gt;0,M194,IF(AND(E194&gt;0,ROUND(J194+D194-E194,2)&gt;0,ROUND(J194+D194-E194,2)&lt;'Opening Balance'!$B$14),ROUND(J194+D194-E194,2),0)))</f>
        <v/>
      </c>
      <c r="L194" s="6">
        <f>IF(C194="","",ROUND(J194+D194-E194-K194,2))</f>
        <v/>
      </c>
      <c r="M194" s="6">
        <f>IF(C194="","",IF('Daily Sale entry '!Q194="Collection 收款",ROUND(N('Daily Sale entry '!T194),2),0))</f>
        <v/>
      </c>
    </row>
    <row r="195">
      <c r="A195" t="inlineStr">
        <is>
          <t>Entry 记录</t>
        </is>
      </c>
      <c r="B195" s="5">
        <f>IF('Daily Sale entry '!P195="","",'Daily Sale entry '!O195)</f>
        <v/>
      </c>
      <c r="C195">
        <f>IF('Daily Sale entry '!P195="","",'Daily Sale entry '!P195)</f>
        <v/>
      </c>
      <c r="D195">
        <f>IF(C195="","",IF('Daily Sale entry '!Q195="Credit Sale 赊销",'Daily Sale entry '!S195,0))</f>
        <v/>
      </c>
      <c r="E195">
        <f>IF(C195="","",IF('Daily Sale entry '!Q195="Collection 收款",'Daily Sale entry '!S195,0))</f>
        <v/>
      </c>
      <c r="F195" s="37">
        <f>IF(C195="","",B195+IF(E195&gt;0,0,0.5)+ROW()/10000000)</f>
        <v/>
      </c>
      <c r="G195">
        <f>IF(C195="","",'Daily Sale entry '!Q195&amp;IF('Daily Sale entry '!Q195="Collection 收款"," ("&amp;'Daily Sale entry '!R195&amp;")","")&amp;IF('Daily Sale entry '!U195="",""," - "&amp;'Daily Sale entry '!U195))</f>
        <v/>
      </c>
      <c r="H195">
        <f>IF(C195="","",COUNTIFS($C$2:$C$3001,C195,$F$2:$F$3001,"&lt;"&amp;F195)+1)</f>
        <v/>
      </c>
      <c r="I195">
        <f>IF(C195="","",C195&amp;"|"&amp;H195)</f>
        <v/>
      </c>
      <c r="J195" s="6">
        <f>IF(C195="","",IF(H195=1,SUMIFS('Opening Balance'!$F$4:$F$303,'Opening Balance'!$G$4:$G$303,C195),INDEX($L$2:$L$3001,MATCH(C195&amp;"|"&amp;(H195-1),$I$2:$I$3001,0))))</f>
        <v/>
      </c>
      <c r="K195" s="6">
        <f>IF(C195="","",IF(M195&gt;0,M195,IF(AND(E195&gt;0,ROUND(J195+D195-E195,2)&gt;0,ROUND(J195+D195-E195,2)&lt;'Opening Balance'!$B$14),ROUND(J195+D195-E195,2),0)))</f>
        <v/>
      </c>
      <c r="L195" s="6">
        <f>IF(C195="","",ROUND(J195+D195-E195-K195,2))</f>
        <v/>
      </c>
      <c r="M195" s="6">
        <f>IF(C195="","",IF('Daily Sale entry '!Q195="Collection 收款",ROUND(N('Daily Sale entry '!T195),2),0))</f>
        <v/>
      </c>
    </row>
    <row r="196">
      <c r="A196" t="inlineStr">
        <is>
          <t>Entry 记录</t>
        </is>
      </c>
      <c r="B196" s="5">
        <f>IF('Daily Sale entry '!P196="","",'Daily Sale entry '!O196)</f>
        <v/>
      </c>
      <c r="C196">
        <f>IF('Daily Sale entry '!P196="","",'Daily Sale entry '!P196)</f>
        <v/>
      </c>
      <c r="D196">
        <f>IF(C196="","",IF('Daily Sale entry '!Q196="Credit Sale 赊销",'Daily Sale entry '!S196,0))</f>
        <v/>
      </c>
      <c r="E196">
        <f>IF(C196="","",IF('Daily Sale entry '!Q196="Collection 收款",'Daily Sale entry '!S196,0))</f>
        <v/>
      </c>
      <c r="F196" s="37">
        <f>IF(C196="","",B196+IF(E196&gt;0,0,0.5)+ROW()/10000000)</f>
        <v/>
      </c>
      <c r="G196">
        <f>IF(C196="","",'Daily Sale entry '!Q196&amp;IF('Daily Sale entry '!Q196="Collection 收款"," ("&amp;'Daily Sale entry '!R196&amp;")","")&amp;IF('Daily Sale entry '!U196="",""," - "&amp;'Daily Sale entry '!U196))</f>
        <v/>
      </c>
      <c r="H196">
        <f>IF(C196="","",COUNTIFS($C$2:$C$3001,C196,$F$2:$F$3001,"&lt;"&amp;F196)+1)</f>
        <v/>
      </c>
      <c r="I196">
        <f>IF(C196="","",C196&amp;"|"&amp;H196)</f>
        <v/>
      </c>
      <c r="J196" s="6">
        <f>IF(C196="","",IF(H196=1,SUMIFS('Opening Balance'!$F$4:$F$303,'Opening Balance'!$G$4:$G$303,C196),INDEX($L$2:$L$3001,MATCH(C196&amp;"|"&amp;(H196-1),$I$2:$I$3001,0))))</f>
        <v/>
      </c>
      <c r="K196" s="6">
        <f>IF(C196="","",IF(M196&gt;0,M196,IF(AND(E196&gt;0,ROUND(J196+D196-E196,2)&gt;0,ROUND(J196+D196-E196,2)&lt;'Opening Balance'!$B$14),ROUND(J196+D196-E196,2),0)))</f>
        <v/>
      </c>
      <c r="L196" s="6">
        <f>IF(C196="","",ROUND(J196+D196-E196-K196,2))</f>
        <v/>
      </c>
      <c r="M196" s="6">
        <f>IF(C196="","",IF('Daily Sale entry '!Q196="Collection 收款",ROUND(N('Daily Sale entry '!T196),2),0))</f>
        <v/>
      </c>
    </row>
    <row r="197">
      <c r="A197" t="inlineStr">
        <is>
          <t>Entry 记录</t>
        </is>
      </c>
      <c r="B197" s="5">
        <f>IF('Daily Sale entry '!P197="","",'Daily Sale entry '!O197)</f>
        <v/>
      </c>
      <c r="C197">
        <f>IF('Daily Sale entry '!P197="","",'Daily Sale entry '!P197)</f>
        <v/>
      </c>
      <c r="D197">
        <f>IF(C197="","",IF('Daily Sale entry '!Q197="Credit Sale 赊销",'Daily Sale entry '!S197,0))</f>
        <v/>
      </c>
      <c r="E197">
        <f>IF(C197="","",IF('Daily Sale entry '!Q197="Collection 收款",'Daily Sale entry '!S197,0))</f>
        <v/>
      </c>
      <c r="F197" s="37">
        <f>IF(C197="","",B197+IF(E197&gt;0,0,0.5)+ROW()/10000000)</f>
        <v/>
      </c>
      <c r="G197">
        <f>IF(C197="","",'Daily Sale entry '!Q197&amp;IF('Daily Sale entry '!Q197="Collection 收款"," ("&amp;'Daily Sale entry '!R197&amp;")","")&amp;IF('Daily Sale entry '!U197="",""," - "&amp;'Daily Sale entry '!U197))</f>
        <v/>
      </c>
      <c r="H197">
        <f>IF(C197="","",COUNTIFS($C$2:$C$3001,C197,$F$2:$F$3001,"&lt;"&amp;F197)+1)</f>
        <v/>
      </c>
      <c r="I197">
        <f>IF(C197="","",C197&amp;"|"&amp;H197)</f>
        <v/>
      </c>
      <c r="J197" s="6">
        <f>IF(C197="","",IF(H197=1,SUMIFS('Opening Balance'!$F$4:$F$303,'Opening Balance'!$G$4:$G$303,C197),INDEX($L$2:$L$3001,MATCH(C197&amp;"|"&amp;(H197-1),$I$2:$I$3001,0))))</f>
        <v/>
      </c>
      <c r="K197" s="6">
        <f>IF(C197="","",IF(M197&gt;0,M197,IF(AND(E197&gt;0,ROUND(J197+D197-E197,2)&gt;0,ROUND(J197+D197-E197,2)&lt;'Opening Balance'!$B$14),ROUND(J197+D197-E197,2),0)))</f>
        <v/>
      </c>
      <c r="L197" s="6">
        <f>IF(C197="","",ROUND(J197+D197-E197-K197,2))</f>
        <v/>
      </c>
      <c r="M197" s="6">
        <f>IF(C197="","",IF('Daily Sale entry '!Q197="Collection 收款",ROUND(N('Daily Sale entry '!T197),2),0))</f>
        <v/>
      </c>
    </row>
    <row r="198">
      <c r="A198" t="inlineStr">
        <is>
          <t>Entry 记录</t>
        </is>
      </c>
      <c r="B198" s="5">
        <f>IF('Daily Sale entry '!P198="","",'Daily Sale entry '!O198)</f>
        <v/>
      </c>
      <c r="C198">
        <f>IF('Daily Sale entry '!P198="","",'Daily Sale entry '!P198)</f>
        <v/>
      </c>
      <c r="D198">
        <f>IF(C198="","",IF('Daily Sale entry '!Q198="Credit Sale 赊销",'Daily Sale entry '!S198,0))</f>
        <v/>
      </c>
      <c r="E198">
        <f>IF(C198="","",IF('Daily Sale entry '!Q198="Collection 收款",'Daily Sale entry '!S198,0))</f>
        <v/>
      </c>
      <c r="F198" s="37">
        <f>IF(C198="","",B198+IF(E198&gt;0,0,0.5)+ROW()/10000000)</f>
        <v/>
      </c>
      <c r="G198">
        <f>IF(C198="","",'Daily Sale entry '!Q198&amp;IF('Daily Sale entry '!Q198="Collection 收款"," ("&amp;'Daily Sale entry '!R198&amp;")","")&amp;IF('Daily Sale entry '!U198="",""," - "&amp;'Daily Sale entry '!U198))</f>
        <v/>
      </c>
      <c r="H198">
        <f>IF(C198="","",COUNTIFS($C$2:$C$3001,C198,$F$2:$F$3001,"&lt;"&amp;F198)+1)</f>
        <v/>
      </c>
      <c r="I198">
        <f>IF(C198="","",C198&amp;"|"&amp;H198)</f>
        <v/>
      </c>
      <c r="J198" s="6">
        <f>IF(C198="","",IF(H198=1,SUMIFS('Opening Balance'!$F$4:$F$303,'Opening Balance'!$G$4:$G$303,C198),INDEX($L$2:$L$3001,MATCH(C198&amp;"|"&amp;(H198-1),$I$2:$I$3001,0))))</f>
        <v/>
      </c>
      <c r="K198" s="6">
        <f>IF(C198="","",IF(M198&gt;0,M198,IF(AND(E198&gt;0,ROUND(J198+D198-E198,2)&gt;0,ROUND(J198+D198-E198,2)&lt;'Opening Balance'!$B$14),ROUND(J198+D198-E198,2),0)))</f>
        <v/>
      </c>
      <c r="L198" s="6">
        <f>IF(C198="","",ROUND(J198+D198-E198-K198,2))</f>
        <v/>
      </c>
      <c r="M198" s="6">
        <f>IF(C198="","",IF('Daily Sale entry '!Q198="Collection 收款",ROUND(N('Daily Sale entry '!T198),2),0))</f>
        <v/>
      </c>
    </row>
    <row r="199">
      <c r="A199" t="inlineStr">
        <is>
          <t>Entry 记录</t>
        </is>
      </c>
      <c r="B199" s="5">
        <f>IF('Daily Sale entry '!P199="","",'Daily Sale entry '!O199)</f>
        <v/>
      </c>
      <c r="C199">
        <f>IF('Daily Sale entry '!P199="","",'Daily Sale entry '!P199)</f>
        <v/>
      </c>
      <c r="D199">
        <f>IF(C199="","",IF('Daily Sale entry '!Q199="Credit Sale 赊销",'Daily Sale entry '!S199,0))</f>
        <v/>
      </c>
      <c r="E199">
        <f>IF(C199="","",IF('Daily Sale entry '!Q199="Collection 收款",'Daily Sale entry '!S199,0))</f>
        <v/>
      </c>
      <c r="F199" s="37">
        <f>IF(C199="","",B199+IF(E199&gt;0,0,0.5)+ROW()/10000000)</f>
        <v/>
      </c>
      <c r="G199">
        <f>IF(C199="","",'Daily Sale entry '!Q199&amp;IF('Daily Sale entry '!Q199="Collection 收款"," ("&amp;'Daily Sale entry '!R199&amp;")","")&amp;IF('Daily Sale entry '!U199="",""," - "&amp;'Daily Sale entry '!U199))</f>
        <v/>
      </c>
      <c r="H199">
        <f>IF(C199="","",COUNTIFS($C$2:$C$3001,C199,$F$2:$F$3001,"&lt;"&amp;F199)+1)</f>
        <v/>
      </c>
      <c r="I199">
        <f>IF(C199="","",C199&amp;"|"&amp;H199)</f>
        <v/>
      </c>
      <c r="J199" s="6">
        <f>IF(C199="","",IF(H199=1,SUMIFS('Opening Balance'!$F$4:$F$303,'Opening Balance'!$G$4:$G$303,C199),INDEX($L$2:$L$3001,MATCH(C199&amp;"|"&amp;(H199-1),$I$2:$I$3001,0))))</f>
        <v/>
      </c>
      <c r="K199" s="6">
        <f>IF(C199="","",IF(M199&gt;0,M199,IF(AND(E199&gt;0,ROUND(J199+D199-E199,2)&gt;0,ROUND(J199+D199-E199,2)&lt;'Opening Balance'!$B$14),ROUND(J199+D199-E199,2),0)))</f>
        <v/>
      </c>
      <c r="L199" s="6">
        <f>IF(C199="","",ROUND(J199+D199-E199-K199,2))</f>
        <v/>
      </c>
      <c r="M199" s="6">
        <f>IF(C199="","",IF('Daily Sale entry '!Q199="Collection 收款",ROUND(N('Daily Sale entry '!T199),2),0))</f>
        <v/>
      </c>
    </row>
    <row r="200">
      <c r="A200" t="inlineStr">
        <is>
          <t>Entry 记录</t>
        </is>
      </c>
      <c r="B200" s="5">
        <f>IF('Daily Sale entry '!P200="","",'Daily Sale entry '!O200)</f>
        <v/>
      </c>
      <c r="C200">
        <f>IF('Daily Sale entry '!P200="","",'Daily Sale entry '!P200)</f>
        <v/>
      </c>
      <c r="D200">
        <f>IF(C200="","",IF('Daily Sale entry '!Q200="Credit Sale 赊销",'Daily Sale entry '!S200,0))</f>
        <v/>
      </c>
      <c r="E200">
        <f>IF(C200="","",IF('Daily Sale entry '!Q200="Collection 收款",'Daily Sale entry '!S200,0))</f>
        <v/>
      </c>
      <c r="F200" s="37">
        <f>IF(C200="","",B200+IF(E200&gt;0,0,0.5)+ROW()/10000000)</f>
        <v/>
      </c>
      <c r="G200">
        <f>IF(C200="","",'Daily Sale entry '!Q200&amp;IF('Daily Sale entry '!Q200="Collection 收款"," ("&amp;'Daily Sale entry '!R200&amp;")","")&amp;IF('Daily Sale entry '!U200="",""," - "&amp;'Daily Sale entry '!U200))</f>
        <v/>
      </c>
      <c r="H200">
        <f>IF(C200="","",COUNTIFS($C$2:$C$3001,C200,$F$2:$F$3001,"&lt;"&amp;F200)+1)</f>
        <v/>
      </c>
      <c r="I200">
        <f>IF(C200="","",C200&amp;"|"&amp;H200)</f>
        <v/>
      </c>
      <c r="J200" s="6">
        <f>IF(C200="","",IF(H200=1,SUMIFS('Opening Balance'!$F$4:$F$303,'Opening Balance'!$G$4:$G$303,C200),INDEX($L$2:$L$3001,MATCH(C200&amp;"|"&amp;(H200-1),$I$2:$I$3001,0))))</f>
        <v/>
      </c>
      <c r="K200" s="6">
        <f>IF(C200="","",IF(M200&gt;0,M200,IF(AND(E200&gt;0,ROUND(J200+D200-E200,2)&gt;0,ROUND(J200+D200-E200,2)&lt;'Opening Balance'!$B$14),ROUND(J200+D200-E200,2),0)))</f>
        <v/>
      </c>
      <c r="L200" s="6">
        <f>IF(C200="","",ROUND(J200+D200-E200-K200,2))</f>
        <v/>
      </c>
      <c r="M200" s="6">
        <f>IF(C200="","",IF('Daily Sale entry '!Q200="Collection 收款",ROUND(N('Daily Sale entry '!T200),2),0))</f>
        <v/>
      </c>
    </row>
    <row r="201">
      <c r="A201" t="inlineStr">
        <is>
          <t>Entry 记录</t>
        </is>
      </c>
      <c r="B201" s="5">
        <f>IF('Daily Sale entry '!P201="","",'Daily Sale entry '!O201)</f>
        <v/>
      </c>
      <c r="C201">
        <f>IF('Daily Sale entry '!P201="","",'Daily Sale entry '!P201)</f>
        <v/>
      </c>
      <c r="D201">
        <f>IF(C201="","",IF('Daily Sale entry '!Q201="Credit Sale 赊销",'Daily Sale entry '!S201,0))</f>
        <v/>
      </c>
      <c r="E201">
        <f>IF(C201="","",IF('Daily Sale entry '!Q201="Collection 收款",'Daily Sale entry '!S201,0))</f>
        <v/>
      </c>
      <c r="F201" s="37">
        <f>IF(C201="","",B201+IF(E201&gt;0,0,0.5)+ROW()/10000000)</f>
        <v/>
      </c>
      <c r="G201">
        <f>IF(C201="","",'Daily Sale entry '!Q201&amp;IF('Daily Sale entry '!Q201="Collection 收款"," ("&amp;'Daily Sale entry '!R201&amp;")","")&amp;IF('Daily Sale entry '!U201="",""," - "&amp;'Daily Sale entry '!U201))</f>
        <v/>
      </c>
      <c r="H201">
        <f>IF(C201="","",COUNTIFS($C$2:$C$3001,C201,$F$2:$F$3001,"&lt;"&amp;F201)+1)</f>
        <v/>
      </c>
      <c r="I201">
        <f>IF(C201="","",C201&amp;"|"&amp;H201)</f>
        <v/>
      </c>
      <c r="J201" s="6">
        <f>IF(C201="","",IF(H201=1,SUMIFS('Opening Balance'!$F$4:$F$303,'Opening Balance'!$G$4:$G$303,C201),INDEX($L$2:$L$3001,MATCH(C201&amp;"|"&amp;(H201-1),$I$2:$I$3001,0))))</f>
        <v/>
      </c>
      <c r="K201" s="6">
        <f>IF(C201="","",IF(M201&gt;0,M201,IF(AND(E201&gt;0,ROUND(J201+D201-E201,2)&gt;0,ROUND(J201+D201-E201,2)&lt;'Opening Balance'!$B$14),ROUND(J201+D201-E201,2),0)))</f>
        <v/>
      </c>
      <c r="L201" s="6">
        <f>IF(C201="","",ROUND(J201+D201-E201-K201,2))</f>
        <v/>
      </c>
      <c r="M201" s="6">
        <f>IF(C201="","",IF('Daily Sale entry '!Q201="Collection 收款",ROUND(N('Daily Sale entry '!T201),2),0))</f>
        <v/>
      </c>
    </row>
    <row r="202">
      <c r="A202" t="inlineStr">
        <is>
          <t>Entry 记录</t>
        </is>
      </c>
      <c r="B202" s="5">
        <f>IF('Daily Sale entry '!P202="","",'Daily Sale entry '!O202)</f>
        <v/>
      </c>
      <c r="C202">
        <f>IF('Daily Sale entry '!P202="","",'Daily Sale entry '!P202)</f>
        <v/>
      </c>
      <c r="D202">
        <f>IF(C202="","",IF('Daily Sale entry '!Q202="Credit Sale 赊销",'Daily Sale entry '!S202,0))</f>
        <v/>
      </c>
      <c r="E202">
        <f>IF(C202="","",IF('Daily Sale entry '!Q202="Collection 收款",'Daily Sale entry '!S202,0))</f>
        <v/>
      </c>
      <c r="F202" s="37">
        <f>IF(C202="","",B202+IF(E202&gt;0,0,0.5)+ROW()/10000000)</f>
        <v/>
      </c>
      <c r="G202">
        <f>IF(C202="","",'Daily Sale entry '!Q202&amp;IF('Daily Sale entry '!Q202="Collection 收款"," ("&amp;'Daily Sale entry '!R202&amp;")","")&amp;IF('Daily Sale entry '!U202="",""," - "&amp;'Daily Sale entry '!U202))</f>
        <v/>
      </c>
      <c r="H202">
        <f>IF(C202="","",COUNTIFS($C$2:$C$3001,C202,$F$2:$F$3001,"&lt;"&amp;F202)+1)</f>
        <v/>
      </c>
      <c r="I202">
        <f>IF(C202="","",C202&amp;"|"&amp;H202)</f>
        <v/>
      </c>
      <c r="J202" s="6">
        <f>IF(C202="","",IF(H202=1,SUMIFS('Opening Balance'!$F$4:$F$303,'Opening Balance'!$G$4:$G$303,C202),INDEX($L$2:$L$3001,MATCH(C202&amp;"|"&amp;(H202-1),$I$2:$I$3001,0))))</f>
        <v/>
      </c>
      <c r="K202" s="6">
        <f>IF(C202="","",IF(M202&gt;0,M202,IF(AND(E202&gt;0,ROUND(J202+D202-E202,2)&gt;0,ROUND(J202+D202-E202,2)&lt;'Opening Balance'!$B$14),ROUND(J202+D202-E202,2),0)))</f>
        <v/>
      </c>
      <c r="L202" s="6">
        <f>IF(C202="","",ROUND(J202+D202-E202-K202,2))</f>
        <v/>
      </c>
      <c r="M202" s="6">
        <f>IF(C202="","",IF('Daily Sale entry '!Q202="Collection 收款",ROUND(N('Daily Sale entry '!T202),2),0))</f>
        <v/>
      </c>
    </row>
    <row r="203">
      <c r="A203" t="inlineStr">
        <is>
          <t>Entry 记录</t>
        </is>
      </c>
      <c r="B203" s="5">
        <f>IF('Daily Sale entry '!P203="","",'Daily Sale entry '!O203)</f>
        <v/>
      </c>
      <c r="C203">
        <f>IF('Daily Sale entry '!P203="","",'Daily Sale entry '!P203)</f>
        <v/>
      </c>
      <c r="D203">
        <f>IF(C203="","",IF('Daily Sale entry '!Q203="Credit Sale 赊销",'Daily Sale entry '!S203,0))</f>
        <v/>
      </c>
      <c r="E203">
        <f>IF(C203="","",IF('Daily Sale entry '!Q203="Collection 收款",'Daily Sale entry '!S203,0))</f>
        <v/>
      </c>
      <c r="F203" s="37">
        <f>IF(C203="","",B203+IF(E203&gt;0,0,0.5)+ROW()/10000000)</f>
        <v/>
      </c>
      <c r="G203">
        <f>IF(C203="","",'Daily Sale entry '!Q203&amp;IF('Daily Sale entry '!Q203="Collection 收款"," ("&amp;'Daily Sale entry '!R203&amp;")","")&amp;IF('Daily Sale entry '!U203="",""," - "&amp;'Daily Sale entry '!U203))</f>
        <v/>
      </c>
      <c r="H203">
        <f>IF(C203="","",COUNTIFS($C$2:$C$3001,C203,$F$2:$F$3001,"&lt;"&amp;F203)+1)</f>
        <v/>
      </c>
      <c r="I203">
        <f>IF(C203="","",C203&amp;"|"&amp;H203)</f>
        <v/>
      </c>
      <c r="J203" s="6">
        <f>IF(C203="","",IF(H203=1,SUMIFS('Opening Balance'!$F$4:$F$303,'Opening Balance'!$G$4:$G$303,C203),INDEX($L$2:$L$3001,MATCH(C203&amp;"|"&amp;(H203-1),$I$2:$I$3001,0))))</f>
        <v/>
      </c>
      <c r="K203" s="6">
        <f>IF(C203="","",IF(M203&gt;0,M203,IF(AND(E203&gt;0,ROUND(J203+D203-E203,2)&gt;0,ROUND(J203+D203-E203,2)&lt;'Opening Balance'!$B$14),ROUND(J203+D203-E203,2),0)))</f>
        <v/>
      </c>
      <c r="L203" s="6">
        <f>IF(C203="","",ROUND(J203+D203-E203-K203,2))</f>
        <v/>
      </c>
      <c r="M203" s="6">
        <f>IF(C203="","",IF('Daily Sale entry '!Q203="Collection 收款",ROUND(N('Daily Sale entry '!T203),2),0))</f>
        <v/>
      </c>
    </row>
    <row r="204">
      <c r="A204" t="inlineStr">
        <is>
          <t>Entry 记录</t>
        </is>
      </c>
      <c r="B204" s="5">
        <f>IF('Daily Sale entry '!P204="","",'Daily Sale entry '!O204)</f>
        <v/>
      </c>
      <c r="C204">
        <f>IF('Daily Sale entry '!P204="","",'Daily Sale entry '!P204)</f>
        <v/>
      </c>
      <c r="D204">
        <f>IF(C204="","",IF('Daily Sale entry '!Q204="Credit Sale 赊销",'Daily Sale entry '!S204,0))</f>
        <v/>
      </c>
      <c r="E204">
        <f>IF(C204="","",IF('Daily Sale entry '!Q204="Collection 收款",'Daily Sale entry '!S204,0))</f>
        <v/>
      </c>
      <c r="F204" s="37">
        <f>IF(C204="","",B204+IF(E204&gt;0,0,0.5)+ROW()/10000000)</f>
        <v/>
      </c>
      <c r="G204">
        <f>IF(C204="","",'Daily Sale entry '!Q204&amp;IF('Daily Sale entry '!Q204="Collection 收款"," ("&amp;'Daily Sale entry '!R204&amp;")","")&amp;IF('Daily Sale entry '!U204="",""," - "&amp;'Daily Sale entry '!U204))</f>
        <v/>
      </c>
      <c r="H204">
        <f>IF(C204="","",COUNTIFS($C$2:$C$3001,C204,$F$2:$F$3001,"&lt;"&amp;F204)+1)</f>
        <v/>
      </c>
      <c r="I204">
        <f>IF(C204="","",C204&amp;"|"&amp;H204)</f>
        <v/>
      </c>
      <c r="J204" s="6">
        <f>IF(C204="","",IF(H204=1,SUMIFS('Opening Balance'!$F$4:$F$303,'Opening Balance'!$G$4:$G$303,C204),INDEX($L$2:$L$3001,MATCH(C204&amp;"|"&amp;(H204-1),$I$2:$I$3001,0))))</f>
        <v/>
      </c>
      <c r="K204" s="6">
        <f>IF(C204="","",IF(M204&gt;0,M204,IF(AND(E204&gt;0,ROUND(J204+D204-E204,2)&gt;0,ROUND(J204+D204-E204,2)&lt;'Opening Balance'!$B$14),ROUND(J204+D204-E204,2),0)))</f>
        <v/>
      </c>
      <c r="L204" s="6">
        <f>IF(C204="","",ROUND(J204+D204-E204-K204,2))</f>
        <v/>
      </c>
      <c r="M204" s="6">
        <f>IF(C204="","",IF('Daily Sale entry '!Q204="Collection 收款",ROUND(N('Daily Sale entry '!T204),2),0))</f>
        <v/>
      </c>
    </row>
    <row r="205">
      <c r="A205" t="inlineStr">
        <is>
          <t>Entry 记录</t>
        </is>
      </c>
      <c r="B205" s="5">
        <f>IF('Daily Sale entry '!P205="","",'Daily Sale entry '!O205)</f>
        <v/>
      </c>
      <c r="C205">
        <f>IF('Daily Sale entry '!P205="","",'Daily Sale entry '!P205)</f>
        <v/>
      </c>
      <c r="D205">
        <f>IF(C205="","",IF('Daily Sale entry '!Q205="Credit Sale 赊销",'Daily Sale entry '!S205,0))</f>
        <v/>
      </c>
      <c r="E205">
        <f>IF(C205="","",IF('Daily Sale entry '!Q205="Collection 收款",'Daily Sale entry '!S205,0))</f>
        <v/>
      </c>
      <c r="F205" s="37">
        <f>IF(C205="","",B205+IF(E205&gt;0,0,0.5)+ROW()/10000000)</f>
        <v/>
      </c>
      <c r="G205">
        <f>IF(C205="","",'Daily Sale entry '!Q205&amp;IF('Daily Sale entry '!Q205="Collection 收款"," ("&amp;'Daily Sale entry '!R205&amp;")","")&amp;IF('Daily Sale entry '!U205="",""," - "&amp;'Daily Sale entry '!U205))</f>
        <v/>
      </c>
      <c r="H205">
        <f>IF(C205="","",COUNTIFS($C$2:$C$3001,C205,$F$2:$F$3001,"&lt;"&amp;F205)+1)</f>
        <v/>
      </c>
      <c r="I205">
        <f>IF(C205="","",C205&amp;"|"&amp;H205)</f>
        <v/>
      </c>
      <c r="J205" s="6">
        <f>IF(C205="","",IF(H205=1,SUMIFS('Opening Balance'!$F$4:$F$303,'Opening Balance'!$G$4:$G$303,C205),INDEX($L$2:$L$3001,MATCH(C205&amp;"|"&amp;(H205-1),$I$2:$I$3001,0))))</f>
        <v/>
      </c>
      <c r="K205" s="6">
        <f>IF(C205="","",IF(M205&gt;0,M205,IF(AND(E205&gt;0,ROUND(J205+D205-E205,2)&gt;0,ROUND(J205+D205-E205,2)&lt;'Opening Balance'!$B$14),ROUND(J205+D205-E205,2),0)))</f>
        <v/>
      </c>
      <c r="L205" s="6">
        <f>IF(C205="","",ROUND(J205+D205-E205-K205,2))</f>
        <v/>
      </c>
      <c r="M205" s="6">
        <f>IF(C205="","",IF('Daily Sale entry '!Q205="Collection 收款",ROUND(N('Daily Sale entry '!T205),2),0))</f>
        <v/>
      </c>
    </row>
    <row r="206">
      <c r="A206" t="inlineStr">
        <is>
          <t>Entry 记录</t>
        </is>
      </c>
      <c r="B206" s="5">
        <f>IF('Daily Sale entry '!P206="","",'Daily Sale entry '!O206)</f>
        <v/>
      </c>
      <c r="C206">
        <f>IF('Daily Sale entry '!P206="","",'Daily Sale entry '!P206)</f>
        <v/>
      </c>
      <c r="D206">
        <f>IF(C206="","",IF('Daily Sale entry '!Q206="Credit Sale 赊销",'Daily Sale entry '!S206,0))</f>
        <v/>
      </c>
      <c r="E206">
        <f>IF(C206="","",IF('Daily Sale entry '!Q206="Collection 收款",'Daily Sale entry '!S206,0))</f>
        <v/>
      </c>
      <c r="F206" s="37">
        <f>IF(C206="","",B206+IF(E206&gt;0,0,0.5)+ROW()/10000000)</f>
        <v/>
      </c>
      <c r="G206">
        <f>IF(C206="","",'Daily Sale entry '!Q206&amp;IF('Daily Sale entry '!Q206="Collection 收款"," ("&amp;'Daily Sale entry '!R206&amp;")","")&amp;IF('Daily Sale entry '!U206="",""," - "&amp;'Daily Sale entry '!U206))</f>
        <v/>
      </c>
      <c r="H206">
        <f>IF(C206="","",COUNTIFS($C$2:$C$3001,C206,$F$2:$F$3001,"&lt;"&amp;F206)+1)</f>
        <v/>
      </c>
      <c r="I206">
        <f>IF(C206="","",C206&amp;"|"&amp;H206)</f>
        <v/>
      </c>
      <c r="J206" s="6">
        <f>IF(C206="","",IF(H206=1,SUMIFS('Opening Balance'!$F$4:$F$303,'Opening Balance'!$G$4:$G$303,C206),INDEX($L$2:$L$3001,MATCH(C206&amp;"|"&amp;(H206-1),$I$2:$I$3001,0))))</f>
        <v/>
      </c>
      <c r="K206" s="6">
        <f>IF(C206="","",IF(M206&gt;0,M206,IF(AND(E206&gt;0,ROUND(J206+D206-E206,2)&gt;0,ROUND(J206+D206-E206,2)&lt;'Opening Balance'!$B$14),ROUND(J206+D206-E206,2),0)))</f>
        <v/>
      </c>
      <c r="L206" s="6">
        <f>IF(C206="","",ROUND(J206+D206-E206-K206,2))</f>
        <v/>
      </c>
      <c r="M206" s="6">
        <f>IF(C206="","",IF('Daily Sale entry '!Q206="Collection 收款",ROUND(N('Daily Sale entry '!T206),2),0))</f>
        <v/>
      </c>
    </row>
    <row r="207">
      <c r="A207" t="inlineStr">
        <is>
          <t>Entry 记录</t>
        </is>
      </c>
      <c r="B207" s="5">
        <f>IF('Daily Sale entry '!P207="","",'Daily Sale entry '!O207)</f>
        <v/>
      </c>
      <c r="C207">
        <f>IF('Daily Sale entry '!P207="","",'Daily Sale entry '!P207)</f>
        <v/>
      </c>
      <c r="D207">
        <f>IF(C207="","",IF('Daily Sale entry '!Q207="Credit Sale 赊销",'Daily Sale entry '!S207,0))</f>
        <v/>
      </c>
      <c r="E207">
        <f>IF(C207="","",IF('Daily Sale entry '!Q207="Collection 收款",'Daily Sale entry '!S207,0))</f>
        <v/>
      </c>
      <c r="F207" s="37">
        <f>IF(C207="","",B207+IF(E207&gt;0,0,0.5)+ROW()/10000000)</f>
        <v/>
      </c>
      <c r="G207">
        <f>IF(C207="","",'Daily Sale entry '!Q207&amp;IF('Daily Sale entry '!Q207="Collection 收款"," ("&amp;'Daily Sale entry '!R207&amp;")","")&amp;IF('Daily Sale entry '!U207="",""," - "&amp;'Daily Sale entry '!U207))</f>
        <v/>
      </c>
      <c r="H207">
        <f>IF(C207="","",COUNTIFS($C$2:$C$3001,C207,$F$2:$F$3001,"&lt;"&amp;F207)+1)</f>
        <v/>
      </c>
      <c r="I207">
        <f>IF(C207="","",C207&amp;"|"&amp;H207)</f>
        <v/>
      </c>
      <c r="J207" s="6">
        <f>IF(C207="","",IF(H207=1,SUMIFS('Opening Balance'!$F$4:$F$303,'Opening Balance'!$G$4:$G$303,C207),INDEX($L$2:$L$3001,MATCH(C207&amp;"|"&amp;(H207-1),$I$2:$I$3001,0))))</f>
        <v/>
      </c>
      <c r="K207" s="6">
        <f>IF(C207="","",IF(M207&gt;0,M207,IF(AND(E207&gt;0,ROUND(J207+D207-E207,2)&gt;0,ROUND(J207+D207-E207,2)&lt;'Opening Balance'!$B$14),ROUND(J207+D207-E207,2),0)))</f>
        <v/>
      </c>
      <c r="L207" s="6">
        <f>IF(C207="","",ROUND(J207+D207-E207-K207,2))</f>
        <v/>
      </c>
      <c r="M207" s="6">
        <f>IF(C207="","",IF('Daily Sale entry '!Q207="Collection 收款",ROUND(N('Daily Sale entry '!T207),2),0))</f>
        <v/>
      </c>
    </row>
    <row r="208">
      <c r="A208" t="inlineStr">
        <is>
          <t>Entry 记录</t>
        </is>
      </c>
      <c r="B208" s="5">
        <f>IF('Daily Sale entry '!P208="","",'Daily Sale entry '!O208)</f>
        <v/>
      </c>
      <c r="C208">
        <f>IF('Daily Sale entry '!P208="","",'Daily Sale entry '!P208)</f>
        <v/>
      </c>
      <c r="D208">
        <f>IF(C208="","",IF('Daily Sale entry '!Q208="Credit Sale 赊销",'Daily Sale entry '!S208,0))</f>
        <v/>
      </c>
      <c r="E208">
        <f>IF(C208="","",IF('Daily Sale entry '!Q208="Collection 收款",'Daily Sale entry '!S208,0))</f>
        <v/>
      </c>
      <c r="F208" s="37">
        <f>IF(C208="","",B208+IF(E208&gt;0,0,0.5)+ROW()/10000000)</f>
        <v/>
      </c>
      <c r="G208">
        <f>IF(C208="","",'Daily Sale entry '!Q208&amp;IF('Daily Sale entry '!Q208="Collection 收款"," ("&amp;'Daily Sale entry '!R208&amp;")","")&amp;IF('Daily Sale entry '!U208="",""," - "&amp;'Daily Sale entry '!U208))</f>
        <v/>
      </c>
      <c r="H208">
        <f>IF(C208="","",COUNTIFS($C$2:$C$3001,C208,$F$2:$F$3001,"&lt;"&amp;F208)+1)</f>
        <v/>
      </c>
      <c r="I208">
        <f>IF(C208="","",C208&amp;"|"&amp;H208)</f>
        <v/>
      </c>
      <c r="J208" s="6">
        <f>IF(C208="","",IF(H208=1,SUMIFS('Opening Balance'!$F$4:$F$303,'Opening Balance'!$G$4:$G$303,C208),INDEX($L$2:$L$3001,MATCH(C208&amp;"|"&amp;(H208-1),$I$2:$I$3001,0))))</f>
        <v/>
      </c>
      <c r="K208" s="6">
        <f>IF(C208="","",IF(M208&gt;0,M208,IF(AND(E208&gt;0,ROUND(J208+D208-E208,2)&gt;0,ROUND(J208+D208-E208,2)&lt;'Opening Balance'!$B$14),ROUND(J208+D208-E208,2),0)))</f>
        <v/>
      </c>
      <c r="L208" s="6">
        <f>IF(C208="","",ROUND(J208+D208-E208-K208,2))</f>
        <v/>
      </c>
      <c r="M208" s="6">
        <f>IF(C208="","",IF('Daily Sale entry '!Q208="Collection 收款",ROUND(N('Daily Sale entry '!T208),2),0))</f>
        <v/>
      </c>
    </row>
    <row r="209">
      <c r="A209" t="inlineStr">
        <is>
          <t>Entry 记录</t>
        </is>
      </c>
      <c r="B209" s="5">
        <f>IF('Daily Sale entry '!P209="","",'Daily Sale entry '!O209)</f>
        <v/>
      </c>
      <c r="C209">
        <f>IF('Daily Sale entry '!P209="","",'Daily Sale entry '!P209)</f>
        <v/>
      </c>
      <c r="D209">
        <f>IF(C209="","",IF('Daily Sale entry '!Q209="Credit Sale 赊销",'Daily Sale entry '!S209,0))</f>
        <v/>
      </c>
      <c r="E209">
        <f>IF(C209="","",IF('Daily Sale entry '!Q209="Collection 收款",'Daily Sale entry '!S209,0))</f>
        <v/>
      </c>
      <c r="F209" s="37">
        <f>IF(C209="","",B209+IF(E209&gt;0,0,0.5)+ROW()/10000000)</f>
        <v/>
      </c>
      <c r="G209">
        <f>IF(C209="","",'Daily Sale entry '!Q209&amp;IF('Daily Sale entry '!Q209="Collection 收款"," ("&amp;'Daily Sale entry '!R209&amp;")","")&amp;IF('Daily Sale entry '!U209="",""," - "&amp;'Daily Sale entry '!U209))</f>
        <v/>
      </c>
      <c r="H209">
        <f>IF(C209="","",COUNTIFS($C$2:$C$3001,C209,$F$2:$F$3001,"&lt;"&amp;F209)+1)</f>
        <v/>
      </c>
      <c r="I209">
        <f>IF(C209="","",C209&amp;"|"&amp;H209)</f>
        <v/>
      </c>
      <c r="J209" s="6">
        <f>IF(C209="","",IF(H209=1,SUMIFS('Opening Balance'!$F$4:$F$303,'Opening Balance'!$G$4:$G$303,C209),INDEX($L$2:$L$3001,MATCH(C209&amp;"|"&amp;(H209-1),$I$2:$I$3001,0))))</f>
        <v/>
      </c>
      <c r="K209" s="6">
        <f>IF(C209="","",IF(M209&gt;0,M209,IF(AND(E209&gt;0,ROUND(J209+D209-E209,2)&gt;0,ROUND(J209+D209-E209,2)&lt;'Opening Balance'!$B$14),ROUND(J209+D209-E209,2),0)))</f>
        <v/>
      </c>
      <c r="L209" s="6">
        <f>IF(C209="","",ROUND(J209+D209-E209-K209,2))</f>
        <v/>
      </c>
      <c r="M209" s="6">
        <f>IF(C209="","",IF('Daily Sale entry '!Q209="Collection 收款",ROUND(N('Daily Sale entry '!T209),2),0))</f>
        <v/>
      </c>
    </row>
    <row r="210">
      <c r="A210" t="inlineStr">
        <is>
          <t>Entry 记录</t>
        </is>
      </c>
      <c r="B210" s="5">
        <f>IF('Daily Sale entry '!P210="","",'Daily Sale entry '!O210)</f>
        <v/>
      </c>
      <c r="C210">
        <f>IF('Daily Sale entry '!P210="","",'Daily Sale entry '!P210)</f>
        <v/>
      </c>
      <c r="D210">
        <f>IF(C210="","",IF('Daily Sale entry '!Q210="Credit Sale 赊销",'Daily Sale entry '!S210,0))</f>
        <v/>
      </c>
      <c r="E210">
        <f>IF(C210="","",IF('Daily Sale entry '!Q210="Collection 收款",'Daily Sale entry '!S210,0))</f>
        <v/>
      </c>
      <c r="F210" s="37">
        <f>IF(C210="","",B210+IF(E210&gt;0,0,0.5)+ROW()/10000000)</f>
        <v/>
      </c>
      <c r="G210">
        <f>IF(C210="","",'Daily Sale entry '!Q210&amp;IF('Daily Sale entry '!Q210="Collection 收款"," ("&amp;'Daily Sale entry '!R210&amp;")","")&amp;IF('Daily Sale entry '!U210="",""," - "&amp;'Daily Sale entry '!U210))</f>
        <v/>
      </c>
      <c r="H210">
        <f>IF(C210="","",COUNTIFS($C$2:$C$3001,C210,$F$2:$F$3001,"&lt;"&amp;F210)+1)</f>
        <v/>
      </c>
      <c r="I210">
        <f>IF(C210="","",C210&amp;"|"&amp;H210)</f>
        <v/>
      </c>
      <c r="J210" s="6">
        <f>IF(C210="","",IF(H210=1,SUMIFS('Opening Balance'!$F$4:$F$303,'Opening Balance'!$G$4:$G$303,C210),INDEX($L$2:$L$3001,MATCH(C210&amp;"|"&amp;(H210-1),$I$2:$I$3001,0))))</f>
        <v/>
      </c>
      <c r="K210" s="6">
        <f>IF(C210="","",IF(M210&gt;0,M210,IF(AND(E210&gt;0,ROUND(J210+D210-E210,2)&gt;0,ROUND(J210+D210-E210,2)&lt;'Opening Balance'!$B$14),ROUND(J210+D210-E210,2),0)))</f>
        <v/>
      </c>
      <c r="L210" s="6">
        <f>IF(C210="","",ROUND(J210+D210-E210-K210,2))</f>
        <v/>
      </c>
      <c r="M210" s="6">
        <f>IF(C210="","",IF('Daily Sale entry '!Q210="Collection 收款",ROUND(N('Daily Sale entry '!T210),2),0))</f>
        <v/>
      </c>
    </row>
    <row r="211">
      <c r="A211" t="inlineStr">
        <is>
          <t>Entry 记录</t>
        </is>
      </c>
      <c r="B211" s="5">
        <f>IF('Daily Sale entry '!P211="","",'Daily Sale entry '!O211)</f>
        <v/>
      </c>
      <c r="C211">
        <f>IF('Daily Sale entry '!P211="","",'Daily Sale entry '!P211)</f>
        <v/>
      </c>
      <c r="D211">
        <f>IF(C211="","",IF('Daily Sale entry '!Q211="Credit Sale 赊销",'Daily Sale entry '!S211,0))</f>
        <v/>
      </c>
      <c r="E211">
        <f>IF(C211="","",IF('Daily Sale entry '!Q211="Collection 收款",'Daily Sale entry '!S211,0))</f>
        <v/>
      </c>
      <c r="F211" s="37">
        <f>IF(C211="","",B211+IF(E211&gt;0,0,0.5)+ROW()/10000000)</f>
        <v/>
      </c>
      <c r="G211">
        <f>IF(C211="","",'Daily Sale entry '!Q211&amp;IF('Daily Sale entry '!Q211="Collection 收款"," ("&amp;'Daily Sale entry '!R211&amp;")","")&amp;IF('Daily Sale entry '!U211="",""," - "&amp;'Daily Sale entry '!U211))</f>
        <v/>
      </c>
      <c r="H211">
        <f>IF(C211="","",COUNTIFS($C$2:$C$3001,C211,$F$2:$F$3001,"&lt;"&amp;F211)+1)</f>
        <v/>
      </c>
      <c r="I211">
        <f>IF(C211="","",C211&amp;"|"&amp;H211)</f>
        <v/>
      </c>
      <c r="J211" s="6">
        <f>IF(C211="","",IF(H211=1,SUMIFS('Opening Balance'!$F$4:$F$303,'Opening Balance'!$G$4:$G$303,C211),INDEX($L$2:$L$3001,MATCH(C211&amp;"|"&amp;(H211-1),$I$2:$I$3001,0))))</f>
        <v/>
      </c>
      <c r="K211" s="6">
        <f>IF(C211="","",IF(M211&gt;0,M211,IF(AND(E211&gt;0,ROUND(J211+D211-E211,2)&gt;0,ROUND(J211+D211-E211,2)&lt;'Opening Balance'!$B$14),ROUND(J211+D211-E211,2),0)))</f>
        <v/>
      </c>
      <c r="L211" s="6">
        <f>IF(C211="","",ROUND(J211+D211-E211-K211,2))</f>
        <v/>
      </c>
      <c r="M211" s="6">
        <f>IF(C211="","",IF('Daily Sale entry '!Q211="Collection 收款",ROUND(N('Daily Sale entry '!T211),2),0))</f>
        <v/>
      </c>
    </row>
    <row r="212">
      <c r="A212" t="inlineStr">
        <is>
          <t>Entry 记录</t>
        </is>
      </c>
      <c r="B212" s="5">
        <f>IF('Daily Sale entry '!P212="","",'Daily Sale entry '!O212)</f>
        <v/>
      </c>
      <c r="C212">
        <f>IF('Daily Sale entry '!P212="","",'Daily Sale entry '!P212)</f>
        <v/>
      </c>
      <c r="D212">
        <f>IF(C212="","",IF('Daily Sale entry '!Q212="Credit Sale 赊销",'Daily Sale entry '!S212,0))</f>
        <v/>
      </c>
      <c r="E212">
        <f>IF(C212="","",IF('Daily Sale entry '!Q212="Collection 收款",'Daily Sale entry '!S212,0))</f>
        <v/>
      </c>
      <c r="F212" s="37">
        <f>IF(C212="","",B212+IF(E212&gt;0,0,0.5)+ROW()/10000000)</f>
        <v/>
      </c>
      <c r="G212">
        <f>IF(C212="","",'Daily Sale entry '!Q212&amp;IF('Daily Sale entry '!Q212="Collection 收款"," ("&amp;'Daily Sale entry '!R212&amp;")","")&amp;IF('Daily Sale entry '!U212="",""," - "&amp;'Daily Sale entry '!U212))</f>
        <v/>
      </c>
      <c r="H212">
        <f>IF(C212="","",COUNTIFS($C$2:$C$3001,C212,$F$2:$F$3001,"&lt;"&amp;F212)+1)</f>
        <v/>
      </c>
      <c r="I212">
        <f>IF(C212="","",C212&amp;"|"&amp;H212)</f>
        <v/>
      </c>
      <c r="J212" s="6">
        <f>IF(C212="","",IF(H212=1,SUMIFS('Opening Balance'!$F$4:$F$303,'Opening Balance'!$G$4:$G$303,C212),INDEX($L$2:$L$3001,MATCH(C212&amp;"|"&amp;(H212-1),$I$2:$I$3001,0))))</f>
        <v/>
      </c>
      <c r="K212" s="6">
        <f>IF(C212="","",IF(M212&gt;0,M212,IF(AND(E212&gt;0,ROUND(J212+D212-E212,2)&gt;0,ROUND(J212+D212-E212,2)&lt;'Opening Balance'!$B$14),ROUND(J212+D212-E212,2),0)))</f>
        <v/>
      </c>
      <c r="L212" s="6">
        <f>IF(C212="","",ROUND(J212+D212-E212-K212,2))</f>
        <v/>
      </c>
      <c r="M212" s="6">
        <f>IF(C212="","",IF('Daily Sale entry '!Q212="Collection 收款",ROUND(N('Daily Sale entry '!T212),2),0))</f>
        <v/>
      </c>
    </row>
    <row r="213">
      <c r="A213" t="inlineStr">
        <is>
          <t>Entry 记录</t>
        </is>
      </c>
      <c r="B213" s="5">
        <f>IF('Daily Sale entry '!P213="","",'Daily Sale entry '!O213)</f>
        <v/>
      </c>
      <c r="C213">
        <f>IF('Daily Sale entry '!P213="","",'Daily Sale entry '!P213)</f>
        <v/>
      </c>
      <c r="D213">
        <f>IF(C213="","",IF('Daily Sale entry '!Q213="Credit Sale 赊销",'Daily Sale entry '!S213,0))</f>
        <v/>
      </c>
      <c r="E213">
        <f>IF(C213="","",IF('Daily Sale entry '!Q213="Collection 收款",'Daily Sale entry '!S213,0))</f>
        <v/>
      </c>
      <c r="F213" s="37">
        <f>IF(C213="","",B213+IF(E213&gt;0,0,0.5)+ROW()/10000000)</f>
        <v/>
      </c>
      <c r="G213">
        <f>IF(C213="","",'Daily Sale entry '!Q213&amp;IF('Daily Sale entry '!Q213="Collection 收款"," ("&amp;'Daily Sale entry '!R213&amp;")","")&amp;IF('Daily Sale entry '!U213="",""," - "&amp;'Daily Sale entry '!U213))</f>
        <v/>
      </c>
      <c r="H213">
        <f>IF(C213="","",COUNTIFS($C$2:$C$3001,C213,$F$2:$F$3001,"&lt;"&amp;F213)+1)</f>
        <v/>
      </c>
      <c r="I213">
        <f>IF(C213="","",C213&amp;"|"&amp;H213)</f>
        <v/>
      </c>
      <c r="J213" s="6">
        <f>IF(C213="","",IF(H213=1,SUMIFS('Opening Balance'!$F$4:$F$303,'Opening Balance'!$G$4:$G$303,C213),INDEX($L$2:$L$3001,MATCH(C213&amp;"|"&amp;(H213-1),$I$2:$I$3001,0))))</f>
        <v/>
      </c>
      <c r="K213" s="6">
        <f>IF(C213="","",IF(M213&gt;0,M213,IF(AND(E213&gt;0,ROUND(J213+D213-E213,2)&gt;0,ROUND(J213+D213-E213,2)&lt;'Opening Balance'!$B$14),ROUND(J213+D213-E213,2),0)))</f>
        <v/>
      </c>
      <c r="L213" s="6">
        <f>IF(C213="","",ROUND(J213+D213-E213-K213,2))</f>
        <v/>
      </c>
      <c r="M213" s="6">
        <f>IF(C213="","",IF('Daily Sale entry '!Q213="Collection 收款",ROUND(N('Daily Sale entry '!T213),2),0))</f>
        <v/>
      </c>
    </row>
    <row r="214">
      <c r="A214" t="inlineStr">
        <is>
          <t>Entry 记录</t>
        </is>
      </c>
      <c r="B214" s="5">
        <f>IF('Daily Sale entry '!P214="","",'Daily Sale entry '!O214)</f>
        <v/>
      </c>
      <c r="C214">
        <f>IF('Daily Sale entry '!P214="","",'Daily Sale entry '!P214)</f>
        <v/>
      </c>
      <c r="D214">
        <f>IF(C214="","",IF('Daily Sale entry '!Q214="Credit Sale 赊销",'Daily Sale entry '!S214,0))</f>
        <v/>
      </c>
      <c r="E214">
        <f>IF(C214="","",IF('Daily Sale entry '!Q214="Collection 收款",'Daily Sale entry '!S214,0))</f>
        <v/>
      </c>
      <c r="F214" s="37">
        <f>IF(C214="","",B214+IF(E214&gt;0,0,0.5)+ROW()/10000000)</f>
        <v/>
      </c>
      <c r="G214">
        <f>IF(C214="","",'Daily Sale entry '!Q214&amp;IF('Daily Sale entry '!Q214="Collection 收款"," ("&amp;'Daily Sale entry '!R214&amp;")","")&amp;IF('Daily Sale entry '!U214="",""," - "&amp;'Daily Sale entry '!U214))</f>
        <v/>
      </c>
      <c r="H214">
        <f>IF(C214="","",COUNTIFS($C$2:$C$3001,C214,$F$2:$F$3001,"&lt;"&amp;F214)+1)</f>
        <v/>
      </c>
      <c r="I214">
        <f>IF(C214="","",C214&amp;"|"&amp;H214)</f>
        <v/>
      </c>
      <c r="J214" s="6">
        <f>IF(C214="","",IF(H214=1,SUMIFS('Opening Balance'!$F$4:$F$303,'Opening Balance'!$G$4:$G$303,C214),INDEX($L$2:$L$3001,MATCH(C214&amp;"|"&amp;(H214-1),$I$2:$I$3001,0))))</f>
        <v/>
      </c>
      <c r="K214" s="6">
        <f>IF(C214="","",IF(M214&gt;0,M214,IF(AND(E214&gt;0,ROUND(J214+D214-E214,2)&gt;0,ROUND(J214+D214-E214,2)&lt;'Opening Balance'!$B$14),ROUND(J214+D214-E214,2),0)))</f>
        <v/>
      </c>
      <c r="L214" s="6">
        <f>IF(C214="","",ROUND(J214+D214-E214-K214,2))</f>
        <v/>
      </c>
      <c r="M214" s="6">
        <f>IF(C214="","",IF('Daily Sale entry '!Q214="Collection 收款",ROUND(N('Daily Sale entry '!T214),2),0))</f>
        <v/>
      </c>
    </row>
    <row r="215">
      <c r="A215" t="inlineStr">
        <is>
          <t>Entry 记录</t>
        </is>
      </c>
      <c r="B215" s="5">
        <f>IF('Daily Sale entry '!P215="","",'Daily Sale entry '!O215)</f>
        <v/>
      </c>
      <c r="C215">
        <f>IF('Daily Sale entry '!P215="","",'Daily Sale entry '!P215)</f>
        <v/>
      </c>
      <c r="D215">
        <f>IF(C215="","",IF('Daily Sale entry '!Q215="Credit Sale 赊销",'Daily Sale entry '!S215,0))</f>
        <v/>
      </c>
      <c r="E215">
        <f>IF(C215="","",IF('Daily Sale entry '!Q215="Collection 收款",'Daily Sale entry '!S215,0))</f>
        <v/>
      </c>
      <c r="F215" s="37">
        <f>IF(C215="","",B215+IF(E215&gt;0,0,0.5)+ROW()/10000000)</f>
        <v/>
      </c>
      <c r="G215">
        <f>IF(C215="","",'Daily Sale entry '!Q215&amp;IF('Daily Sale entry '!Q215="Collection 收款"," ("&amp;'Daily Sale entry '!R215&amp;")","")&amp;IF('Daily Sale entry '!U215="",""," - "&amp;'Daily Sale entry '!U215))</f>
        <v/>
      </c>
      <c r="H215">
        <f>IF(C215="","",COUNTIFS($C$2:$C$3001,C215,$F$2:$F$3001,"&lt;"&amp;F215)+1)</f>
        <v/>
      </c>
      <c r="I215">
        <f>IF(C215="","",C215&amp;"|"&amp;H215)</f>
        <v/>
      </c>
      <c r="J215" s="6">
        <f>IF(C215="","",IF(H215=1,SUMIFS('Opening Balance'!$F$4:$F$303,'Opening Balance'!$G$4:$G$303,C215),INDEX($L$2:$L$3001,MATCH(C215&amp;"|"&amp;(H215-1),$I$2:$I$3001,0))))</f>
        <v/>
      </c>
      <c r="K215" s="6">
        <f>IF(C215="","",IF(M215&gt;0,M215,IF(AND(E215&gt;0,ROUND(J215+D215-E215,2)&gt;0,ROUND(J215+D215-E215,2)&lt;'Opening Balance'!$B$14),ROUND(J215+D215-E215,2),0)))</f>
        <v/>
      </c>
      <c r="L215" s="6">
        <f>IF(C215="","",ROUND(J215+D215-E215-K215,2))</f>
        <v/>
      </c>
      <c r="M215" s="6">
        <f>IF(C215="","",IF('Daily Sale entry '!Q215="Collection 收款",ROUND(N('Daily Sale entry '!T215),2),0))</f>
        <v/>
      </c>
    </row>
    <row r="216">
      <c r="A216" t="inlineStr">
        <is>
          <t>Entry 记录</t>
        </is>
      </c>
      <c r="B216" s="5">
        <f>IF('Daily Sale entry '!P216="","",'Daily Sale entry '!O216)</f>
        <v/>
      </c>
      <c r="C216">
        <f>IF('Daily Sale entry '!P216="","",'Daily Sale entry '!P216)</f>
        <v/>
      </c>
      <c r="D216">
        <f>IF(C216="","",IF('Daily Sale entry '!Q216="Credit Sale 赊销",'Daily Sale entry '!S216,0))</f>
        <v/>
      </c>
      <c r="E216">
        <f>IF(C216="","",IF('Daily Sale entry '!Q216="Collection 收款",'Daily Sale entry '!S216,0))</f>
        <v/>
      </c>
      <c r="F216" s="37">
        <f>IF(C216="","",B216+IF(E216&gt;0,0,0.5)+ROW()/10000000)</f>
        <v/>
      </c>
      <c r="G216">
        <f>IF(C216="","",'Daily Sale entry '!Q216&amp;IF('Daily Sale entry '!Q216="Collection 收款"," ("&amp;'Daily Sale entry '!R216&amp;")","")&amp;IF('Daily Sale entry '!U216="",""," - "&amp;'Daily Sale entry '!U216))</f>
        <v/>
      </c>
      <c r="H216">
        <f>IF(C216="","",COUNTIFS($C$2:$C$3001,C216,$F$2:$F$3001,"&lt;"&amp;F216)+1)</f>
        <v/>
      </c>
      <c r="I216">
        <f>IF(C216="","",C216&amp;"|"&amp;H216)</f>
        <v/>
      </c>
      <c r="J216" s="6">
        <f>IF(C216="","",IF(H216=1,SUMIFS('Opening Balance'!$F$4:$F$303,'Opening Balance'!$G$4:$G$303,C216),INDEX($L$2:$L$3001,MATCH(C216&amp;"|"&amp;(H216-1),$I$2:$I$3001,0))))</f>
        <v/>
      </c>
      <c r="K216" s="6">
        <f>IF(C216="","",IF(M216&gt;0,M216,IF(AND(E216&gt;0,ROUND(J216+D216-E216,2)&gt;0,ROUND(J216+D216-E216,2)&lt;'Opening Balance'!$B$14),ROUND(J216+D216-E216,2),0)))</f>
        <v/>
      </c>
      <c r="L216" s="6">
        <f>IF(C216="","",ROUND(J216+D216-E216-K216,2))</f>
        <v/>
      </c>
      <c r="M216" s="6">
        <f>IF(C216="","",IF('Daily Sale entry '!Q216="Collection 收款",ROUND(N('Daily Sale entry '!T216),2),0))</f>
        <v/>
      </c>
    </row>
    <row r="217">
      <c r="A217" t="inlineStr">
        <is>
          <t>Entry 记录</t>
        </is>
      </c>
      <c r="B217" s="5">
        <f>IF('Daily Sale entry '!P217="","",'Daily Sale entry '!O217)</f>
        <v/>
      </c>
      <c r="C217">
        <f>IF('Daily Sale entry '!P217="","",'Daily Sale entry '!P217)</f>
        <v/>
      </c>
      <c r="D217">
        <f>IF(C217="","",IF('Daily Sale entry '!Q217="Credit Sale 赊销",'Daily Sale entry '!S217,0))</f>
        <v/>
      </c>
      <c r="E217">
        <f>IF(C217="","",IF('Daily Sale entry '!Q217="Collection 收款",'Daily Sale entry '!S217,0))</f>
        <v/>
      </c>
      <c r="F217" s="37">
        <f>IF(C217="","",B217+IF(E217&gt;0,0,0.5)+ROW()/10000000)</f>
        <v/>
      </c>
      <c r="G217">
        <f>IF(C217="","",'Daily Sale entry '!Q217&amp;IF('Daily Sale entry '!Q217="Collection 收款"," ("&amp;'Daily Sale entry '!R217&amp;")","")&amp;IF('Daily Sale entry '!U217="",""," - "&amp;'Daily Sale entry '!U217))</f>
        <v/>
      </c>
      <c r="H217">
        <f>IF(C217="","",COUNTIFS($C$2:$C$3001,C217,$F$2:$F$3001,"&lt;"&amp;F217)+1)</f>
        <v/>
      </c>
      <c r="I217">
        <f>IF(C217="","",C217&amp;"|"&amp;H217)</f>
        <v/>
      </c>
      <c r="J217" s="6">
        <f>IF(C217="","",IF(H217=1,SUMIFS('Opening Balance'!$F$4:$F$303,'Opening Balance'!$G$4:$G$303,C217),INDEX($L$2:$L$3001,MATCH(C217&amp;"|"&amp;(H217-1),$I$2:$I$3001,0))))</f>
        <v/>
      </c>
      <c r="K217" s="6">
        <f>IF(C217="","",IF(M217&gt;0,M217,IF(AND(E217&gt;0,ROUND(J217+D217-E217,2)&gt;0,ROUND(J217+D217-E217,2)&lt;'Opening Balance'!$B$14),ROUND(J217+D217-E217,2),0)))</f>
        <v/>
      </c>
      <c r="L217" s="6">
        <f>IF(C217="","",ROUND(J217+D217-E217-K217,2))</f>
        <v/>
      </c>
      <c r="M217" s="6">
        <f>IF(C217="","",IF('Daily Sale entry '!Q217="Collection 收款",ROUND(N('Daily Sale entry '!T217),2),0))</f>
        <v/>
      </c>
    </row>
    <row r="218">
      <c r="A218" t="inlineStr">
        <is>
          <t>Entry 记录</t>
        </is>
      </c>
      <c r="B218" s="5">
        <f>IF('Daily Sale entry '!P218="","",'Daily Sale entry '!O218)</f>
        <v/>
      </c>
      <c r="C218">
        <f>IF('Daily Sale entry '!P218="","",'Daily Sale entry '!P218)</f>
        <v/>
      </c>
      <c r="D218">
        <f>IF(C218="","",IF('Daily Sale entry '!Q218="Credit Sale 赊销",'Daily Sale entry '!S218,0))</f>
        <v/>
      </c>
      <c r="E218">
        <f>IF(C218="","",IF('Daily Sale entry '!Q218="Collection 收款",'Daily Sale entry '!S218,0))</f>
        <v/>
      </c>
      <c r="F218" s="37">
        <f>IF(C218="","",B218+IF(E218&gt;0,0,0.5)+ROW()/10000000)</f>
        <v/>
      </c>
      <c r="G218">
        <f>IF(C218="","",'Daily Sale entry '!Q218&amp;IF('Daily Sale entry '!Q218="Collection 收款"," ("&amp;'Daily Sale entry '!R218&amp;")","")&amp;IF('Daily Sale entry '!U218="",""," - "&amp;'Daily Sale entry '!U218))</f>
        <v/>
      </c>
      <c r="H218">
        <f>IF(C218="","",COUNTIFS($C$2:$C$3001,C218,$F$2:$F$3001,"&lt;"&amp;F218)+1)</f>
        <v/>
      </c>
      <c r="I218">
        <f>IF(C218="","",C218&amp;"|"&amp;H218)</f>
        <v/>
      </c>
      <c r="J218" s="6">
        <f>IF(C218="","",IF(H218=1,SUMIFS('Opening Balance'!$F$4:$F$303,'Opening Balance'!$G$4:$G$303,C218),INDEX($L$2:$L$3001,MATCH(C218&amp;"|"&amp;(H218-1),$I$2:$I$3001,0))))</f>
        <v/>
      </c>
      <c r="K218" s="6">
        <f>IF(C218="","",IF(M218&gt;0,M218,IF(AND(E218&gt;0,ROUND(J218+D218-E218,2)&gt;0,ROUND(J218+D218-E218,2)&lt;'Opening Balance'!$B$14),ROUND(J218+D218-E218,2),0)))</f>
        <v/>
      </c>
      <c r="L218" s="6">
        <f>IF(C218="","",ROUND(J218+D218-E218-K218,2))</f>
        <v/>
      </c>
      <c r="M218" s="6">
        <f>IF(C218="","",IF('Daily Sale entry '!Q218="Collection 收款",ROUND(N('Daily Sale entry '!T218),2),0))</f>
        <v/>
      </c>
    </row>
    <row r="219">
      <c r="A219" t="inlineStr">
        <is>
          <t>Entry 记录</t>
        </is>
      </c>
      <c r="B219" s="5">
        <f>IF('Daily Sale entry '!P219="","",'Daily Sale entry '!O219)</f>
        <v/>
      </c>
      <c r="C219">
        <f>IF('Daily Sale entry '!P219="","",'Daily Sale entry '!P219)</f>
        <v/>
      </c>
      <c r="D219">
        <f>IF(C219="","",IF('Daily Sale entry '!Q219="Credit Sale 赊销",'Daily Sale entry '!S219,0))</f>
        <v/>
      </c>
      <c r="E219">
        <f>IF(C219="","",IF('Daily Sale entry '!Q219="Collection 收款",'Daily Sale entry '!S219,0))</f>
        <v/>
      </c>
      <c r="F219" s="37">
        <f>IF(C219="","",B219+IF(E219&gt;0,0,0.5)+ROW()/10000000)</f>
        <v/>
      </c>
      <c r="G219">
        <f>IF(C219="","",'Daily Sale entry '!Q219&amp;IF('Daily Sale entry '!Q219="Collection 收款"," ("&amp;'Daily Sale entry '!R219&amp;")","")&amp;IF('Daily Sale entry '!U219="",""," - "&amp;'Daily Sale entry '!U219))</f>
        <v/>
      </c>
      <c r="H219">
        <f>IF(C219="","",COUNTIFS($C$2:$C$3001,C219,$F$2:$F$3001,"&lt;"&amp;F219)+1)</f>
        <v/>
      </c>
      <c r="I219">
        <f>IF(C219="","",C219&amp;"|"&amp;H219)</f>
        <v/>
      </c>
      <c r="J219" s="6">
        <f>IF(C219="","",IF(H219=1,SUMIFS('Opening Balance'!$F$4:$F$303,'Opening Balance'!$G$4:$G$303,C219),INDEX($L$2:$L$3001,MATCH(C219&amp;"|"&amp;(H219-1),$I$2:$I$3001,0))))</f>
        <v/>
      </c>
      <c r="K219" s="6">
        <f>IF(C219="","",IF(M219&gt;0,M219,IF(AND(E219&gt;0,ROUND(J219+D219-E219,2)&gt;0,ROUND(J219+D219-E219,2)&lt;'Opening Balance'!$B$14),ROUND(J219+D219-E219,2),0)))</f>
        <v/>
      </c>
      <c r="L219" s="6">
        <f>IF(C219="","",ROUND(J219+D219-E219-K219,2))</f>
        <v/>
      </c>
      <c r="M219" s="6">
        <f>IF(C219="","",IF('Daily Sale entry '!Q219="Collection 收款",ROUND(N('Daily Sale entry '!T219),2),0))</f>
        <v/>
      </c>
    </row>
    <row r="220">
      <c r="A220" t="inlineStr">
        <is>
          <t>Entry 记录</t>
        </is>
      </c>
      <c r="B220" s="5">
        <f>IF('Daily Sale entry '!P220="","",'Daily Sale entry '!O220)</f>
        <v/>
      </c>
      <c r="C220">
        <f>IF('Daily Sale entry '!P220="","",'Daily Sale entry '!P220)</f>
        <v/>
      </c>
      <c r="D220">
        <f>IF(C220="","",IF('Daily Sale entry '!Q220="Credit Sale 赊销",'Daily Sale entry '!S220,0))</f>
        <v/>
      </c>
      <c r="E220">
        <f>IF(C220="","",IF('Daily Sale entry '!Q220="Collection 收款",'Daily Sale entry '!S220,0))</f>
        <v/>
      </c>
      <c r="F220" s="37">
        <f>IF(C220="","",B220+IF(E220&gt;0,0,0.5)+ROW()/10000000)</f>
        <v/>
      </c>
      <c r="G220">
        <f>IF(C220="","",'Daily Sale entry '!Q220&amp;IF('Daily Sale entry '!Q220="Collection 收款"," ("&amp;'Daily Sale entry '!R220&amp;")","")&amp;IF('Daily Sale entry '!U220="",""," - "&amp;'Daily Sale entry '!U220))</f>
        <v/>
      </c>
      <c r="H220">
        <f>IF(C220="","",COUNTIFS($C$2:$C$3001,C220,$F$2:$F$3001,"&lt;"&amp;F220)+1)</f>
        <v/>
      </c>
      <c r="I220">
        <f>IF(C220="","",C220&amp;"|"&amp;H220)</f>
        <v/>
      </c>
      <c r="J220" s="6">
        <f>IF(C220="","",IF(H220=1,SUMIFS('Opening Balance'!$F$4:$F$303,'Opening Balance'!$G$4:$G$303,C220),INDEX($L$2:$L$3001,MATCH(C220&amp;"|"&amp;(H220-1),$I$2:$I$3001,0))))</f>
        <v/>
      </c>
      <c r="K220" s="6">
        <f>IF(C220="","",IF(M220&gt;0,M220,IF(AND(E220&gt;0,ROUND(J220+D220-E220,2)&gt;0,ROUND(J220+D220-E220,2)&lt;'Opening Balance'!$B$14),ROUND(J220+D220-E220,2),0)))</f>
        <v/>
      </c>
      <c r="L220" s="6">
        <f>IF(C220="","",ROUND(J220+D220-E220-K220,2))</f>
        <v/>
      </c>
      <c r="M220" s="6">
        <f>IF(C220="","",IF('Daily Sale entry '!Q220="Collection 收款",ROUND(N('Daily Sale entry '!T220),2),0))</f>
        <v/>
      </c>
    </row>
    <row r="221">
      <c r="A221" t="inlineStr">
        <is>
          <t>Entry 记录</t>
        </is>
      </c>
      <c r="B221" s="5">
        <f>IF('Daily Sale entry '!P221="","",'Daily Sale entry '!O221)</f>
        <v/>
      </c>
      <c r="C221">
        <f>IF('Daily Sale entry '!P221="","",'Daily Sale entry '!P221)</f>
        <v/>
      </c>
      <c r="D221">
        <f>IF(C221="","",IF('Daily Sale entry '!Q221="Credit Sale 赊销",'Daily Sale entry '!S221,0))</f>
        <v/>
      </c>
      <c r="E221">
        <f>IF(C221="","",IF('Daily Sale entry '!Q221="Collection 收款",'Daily Sale entry '!S221,0))</f>
        <v/>
      </c>
      <c r="F221" s="37">
        <f>IF(C221="","",B221+IF(E221&gt;0,0,0.5)+ROW()/10000000)</f>
        <v/>
      </c>
      <c r="G221">
        <f>IF(C221="","",'Daily Sale entry '!Q221&amp;IF('Daily Sale entry '!Q221="Collection 收款"," ("&amp;'Daily Sale entry '!R221&amp;")","")&amp;IF('Daily Sale entry '!U221="",""," - "&amp;'Daily Sale entry '!U221))</f>
        <v/>
      </c>
      <c r="H221">
        <f>IF(C221="","",COUNTIFS($C$2:$C$3001,C221,$F$2:$F$3001,"&lt;"&amp;F221)+1)</f>
        <v/>
      </c>
      <c r="I221">
        <f>IF(C221="","",C221&amp;"|"&amp;H221)</f>
        <v/>
      </c>
      <c r="J221" s="6">
        <f>IF(C221="","",IF(H221=1,SUMIFS('Opening Balance'!$F$4:$F$303,'Opening Balance'!$G$4:$G$303,C221),INDEX($L$2:$L$3001,MATCH(C221&amp;"|"&amp;(H221-1),$I$2:$I$3001,0))))</f>
        <v/>
      </c>
      <c r="K221" s="6">
        <f>IF(C221="","",IF(M221&gt;0,M221,IF(AND(E221&gt;0,ROUND(J221+D221-E221,2)&gt;0,ROUND(J221+D221-E221,2)&lt;'Opening Balance'!$B$14),ROUND(J221+D221-E221,2),0)))</f>
        <v/>
      </c>
      <c r="L221" s="6">
        <f>IF(C221="","",ROUND(J221+D221-E221-K221,2))</f>
        <v/>
      </c>
      <c r="M221" s="6">
        <f>IF(C221="","",IF('Daily Sale entry '!Q221="Collection 收款",ROUND(N('Daily Sale entry '!T221),2),0))</f>
        <v/>
      </c>
    </row>
    <row r="222">
      <c r="A222" t="inlineStr">
        <is>
          <t>Entry 记录</t>
        </is>
      </c>
      <c r="B222" s="5">
        <f>IF('Daily Sale entry '!P222="","",'Daily Sale entry '!O222)</f>
        <v/>
      </c>
      <c r="C222">
        <f>IF('Daily Sale entry '!P222="","",'Daily Sale entry '!P222)</f>
        <v/>
      </c>
      <c r="D222">
        <f>IF(C222="","",IF('Daily Sale entry '!Q222="Credit Sale 赊销",'Daily Sale entry '!S222,0))</f>
        <v/>
      </c>
      <c r="E222">
        <f>IF(C222="","",IF('Daily Sale entry '!Q222="Collection 收款",'Daily Sale entry '!S222,0))</f>
        <v/>
      </c>
      <c r="F222" s="37">
        <f>IF(C222="","",B222+IF(E222&gt;0,0,0.5)+ROW()/10000000)</f>
        <v/>
      </c>
      <c r="G222">
        <f>IF(C222="","",'Daily Sale entry '!Q222&amp;IF('Daily Sale entry '!Q222="Collection 收款"," ("&amp;'Daily Sale entry '!R222&amp;")","")&amp;IF('Daily Sale entry '!U222="",""," - "&amp;'Daily Sale entry '!U222))</f>
        <v/>
      </c>
      <c r="H222">
        <f>IF(C222="","",COUNTIFS($C$2:$C$3001,C222,$F$2:$F$3001,"&lt;"&amp;F222)+1)</f>
        <v/>
      </c>
      <c r="I222">
        <f>IF(C222="","",C222&amp;"|"&amp;H222)</f>
        <v/>
      </c>
      <c r="J222" s="6">
        <f>IF(C222="","",IF(H222=1,SUMIFS('Opening Balance'!$F$4:$F$303,'Opening Balance'!$G$4:$G$303,C222),INDEX($L$2:$L$3001,MATCH(C222&amp;"|"&amp;(H222-1),$I$2:$I$3001,0))))</f>
        <v/>
      </c>
      <c r="K222" s="6">
        <f>IF(C222="","",IF(M222&gt;0,M222,IF(AND(E222&gt;0,ROUND(J222+D222-E222,2)&gt;0,ROUND(J222+D222-E222,2)&lt;'Opening Balance'!$B$14),ROUND(J222+D222-E222,2),0)))</f>
        <v/>
      </c>
      <c r="L222" s="6">
        <f>IF(C222="","",ROUND(J222+D222-E222-K222,2))</f>
        <v/>
      </c>
      <c r="M222" s="6">
        <f>IF(C222="","",IF('Daily Sale entry '!Q222="Collection 收款",ROUND(N('Daily Sale entry '!T222),2),0))</f>
        <v/>
      </c>
    </row>
    <row r="223">
      <c r="A223" t="inlineStr">
        <is>
          <t>Entry 记录</t>
        </is>
      </c>
      <c r="B223" s="5">
        <f>IF('Daily Sale entry '!P223="","",'Daily Sale entry '!O223)</f>
        <v/>
      </c>
      <c r="C223">
        <f>IF('Daily Sale entry '!P223="","",'Daily Sale entry '!P223)</f>
        <v/>
      </c>
      <c r="D223">
        <f>IF(C223="","",IF('Daily Sale entry '!Q223="Credit Sale 赊销",'Daily Sale entry '!S223,0))</f>
        <v/>
      </c>
      <c r="E223">
        <f>IF(C223="","",IF('Daily Sale entry '!Q223="Collection 收款",'Daily Sale entry '!S223,0))</f>
        <v/>
      </c>
      <c r="F223" s="37">
        <f>IF(C223="","",B223+IF(E223&gt;0,0,0.5)+ROW()/10000000)</f>
        <v/>
      </c>
      <c r="G223">
        <f>IF(C223="","",'Daily Sale entry '!Q223&amp;IF('Daily Sale entry '!Q223="Collection 收款"," ("&amp;'Daily Sale entry '!R223&amp;")","")&amp;IF('Daily Sale entry '!U223="",""," - "&amp;'Daily Sale entry '!U223))</f>
        <v/>
      </c>
      <c r="H223">
        <f>IF(C223="","",COUNTIFS($C$2:$C$3001,C223,$F$2:$F$3001,"&lt;"&amp;F223)+1)</f>
        <v/>
      </c>
      <c r="I223">
        <f>IF(C223="","",C223&amp;"|"&amp;H223)</f>
        <v/>
      </c>
      <c r="J223" s="6">
        <f>IF(C223="","",IF(H223=1,SUMIFS('Opening Balance'!$F$4:$F$303,'Opening Balance'!$G$4:$G$303,C223),INDEX($L$2:$L$3001,MATCH(C223&amp;"|"&amp;(H223-1),$I$2:$I$3001,0))))</f>
        <v/>
      </c>
      <c r="K223" s="6">
        <f>IF(C223="","",IF(M223&gt;0,M223,IF(AND(E223&gt;0,ROUND(J223+D223-E223,2)&gt;0,ROUND(J223+D223-E223,2)&lt;'Opening Balance'!$B$14),ROUND(J223+D223-E223,2),0)))</f>
        <v/>
      </c>
      <c r="L223" s="6">
        <f>IF(C223="","",ROUND(J223+D223-E223-K223,2))</f>
        <v/>
      </c>
      <c r="M223" s="6">
        <f>IF(C223="","",IF('Daily Sale entry '!Q223="Collection 收款",ROUND(N('Daily Sale entry '!T223),2),0))</f>
        <v/>
      </c>
    </row>
    <row r="224">
      <c r="A224" t="inlineStr">
        <is>
          <t>Entry 记录</t>
        </is>
      </c>
      <c r="B224" s="5">
        <f>IF('Daily Sale entry '!P224="","",'Daily Sale entry '!O224)</f>
        <v/>
      </c>
      <c r="C224">
        <f>IF('Daily Sale entry '!P224="","",'Daily Sale entry '!P224)</f>
        <v/>
      </c>
      <c r="D224">
        <f>IF(C224="","",IF('Daily Sale entry '!Q224="Credit Sale 赊销",'Daily Sale entry '!S224,0))</f>
        <v/>
      </c>
      <c r="E224">
        <f>IF(C224="","",IF('Daily Sale entry '!Q224="Collection 收款",'Daily Sale entry '!S224,0))</f>
        <v/>
      </c>
      <c r="F224" s="37">
        <f>IF(C224="","",B224+IF(E224&gt;0,0,0.5)+ROW()/10000000)</f>
        <v/>
      </c>
      <c r="G224">
        <f>IF(C224="","",'Daily Sale entry '!Q224&amp;IF('Daily Sale entry '!Q224="Collection 收款"," ("&amp;'Daily Sale entry '!R224&amp;")","")&amp;IF('Daily Sale entry '!U224="",""," - "&amp;'Daily Sale entry '!U224))</f>
        <v/>
      </c>
      <c r="H224">
        <f>IF(C224="","",COUNTIFS($C$2:$C$3001,C224,$F$2:$F$3001,"&lt;"&amp;F224)+1)</f>
        <v/>
      </c>
      <c r="I224">
        <f>IF(C224="","",C224&amp;"|"&amp;H224)</f>
        <v/>
      </c>
      <c r="J224" s="6">
        <f>IF(C224="","",IF(H224=1,SUMIFS('Opening Balance'!$F$4:$F$303,'Opening Balance'!$G$4:$G$303,C224),INDEX($L$2:$L$3001,MATCH(C224&amp;"|"&amp;(H224-1),$I$2:$I$3001,0))))</f>
        <v/>
      </c>
      <c r="K224" s="6">
        <f>IF(C224="","",IF(M224&gt;0,M224,IF(AND(E224&gt;0,ROUND(J224+D224-E224,2)&gt;0,ROUND(J224+D224-E224,2)&lt;'Opening Balance'!$B$14),ROUND(J224+D224-E224,2),0)))</f>
        <v/>
      </c>
      <c r="L224" s="6">
        <f>IF(C224="","",ROUND(J224+D224-E224-K224,2))</f>
        <v/>
      </c>
      <c r="M224" s="6">
        <f>IF(C224="","",IF('Daily Sale entry '!Q224="Collection 收款",ROUND(N('Daily Sale entry '!T224),2),0))</f>
        <v/>
      </c>
    </row>
    <row r="225">
      <c r="A225" t="inlineStr">
        <is>
          <t>Entry 记录</t>
        </is>
      </c>
      <c r="B225" s="5">
        <f>IF('Daily Sale entry '!P225="","",'Daily Sale entry '!O225)</f>
        <v/>
      </c>
      <c r="C225">
        <f>IF('Daily Sale entry '!P225="","",'Daily Sale entry '!P225)</f>
        <v/>
      </c>
      <c r="D225">
        <f>IF(C225="","",IF('Daily Sale entry '!Q225="Credit Sale 赊销",'Daily Sale entry '!S225,0))</f>
        <v/>
      </c>
      <c r="E225">
        <f>IF(C225="","",IF('Daily Sale entry '!Q225="Collection 收款",'Daily Sale entry '!S225,0))</f>
        <v/>
      </c>
      <c r="F225" s="37">
        <f>IF(C225="","",B225+IF(E225&gt;0,0,0.5)+ROW()/10000000)</f>
        <v/>
      </c>
      <c r="G225">
        <f>IF(C225="","",'Daily Sale entry '!Q225&amp;IF('Daily Sale entry '!Q225="Collection 收款"," ("&amp;'Daily Sale entry '!R225&amp;")","")&amp;IF('Daily Sale entry '!U225="",""," - "&amp;'Daily Sale entry '!U225))</f>
        <v/>
      </c>
      <c r="H225">
        <f>IF(C225="","",COUNTIFS($C$2:$C$3001,C225,$F$2:$F$3001,"&lt;"&amp;F225)+1)</f>
        <v/>
      </c>
      <c r="I225">
        <f>IF(C225="","",C225&amp;"|"&amp;H225)</f>
        <v/>
      </c>
      <c r="J225" s="6">
        <f>IF(C225="","",IF(H225=1,SUMIFS('Opening Balance'!$F$4:$F$303,'Opening Balance'!$G$4:$G$303,C225),INDEX($L$2:$L$3001,MATCH(C225&amp;"|"&amp;(H225-1),$I$2:$I$3001,0))))</f>
        <v/>
      </c>
      <c r="K225" s="6">
        <f>IF(C225="","",IF(M225&gt;0,M225,IF(AND(E225&gt;0,ROUND(J225+D225-E225,2)&gt;0,ROUND(J225+D225-E225,2)&lt;'Opening Balance'!$B$14),ROUND(J225+D225-E225,2),0)))</f>
        <v/>
      </c>
      <c r="L225" s="6">
        <f>IF(C225="","",ROUND(J225+D225-E225-K225,2))</f>
        <v/>
      </c>
      <c r="M225" s="6">
        <f>IF(C225="","",IF('Daily Sale entry '!Q225="Collection 收款",ROUND(N('Daily Sale entry '!T225),2),0))</f>
        <v/>
      </c>
    </row>
    <row r="226">
      <c r="A226" t="inlineStr">
        <is>
          <t>Entry 记录</t>
        </is>
      </c>
      <c r="B226" s="5">
        <f>IF('Daily Sale entry '!P226="","",'Daily Sale entry '!O226)</f>
        <v/>
      </c>
      <c r="C226">
        <f>IF('Daily Sale entry '!P226="","",'Daily Sale entry '!P226)</f>
        <v/>
      </c>
      <c r="D226">
        <f>IF(C226="","",IF('Daily Sale entry '!Q226="Credit Sale 赊销",'Daily Sale entry '!S226,0))</f>
        <v/>
      </c>
      <c r="E226">
        <f>IF(C226="","",IF('Daily Sale entry '!Q226="Collection 收款",'Daily Sale entry '!S226,0))</f>
        <v/>
      </c>
      <c r="F226" s="37">
        <f>IF(C226="","",B226+IF(E226&gt;0,0,0.5)+ROW()/10000000)</f>
        <v/>
      </c>
      <c r="G226">
        <f>IF(C226="","",'Daily Sale entry '!Q226&amp;IF('Daily Sale entry '!Q226="Collection 收款"," ("&amp;'Daily Sale entry '!R226&amp;")","")&amp;IF('Daily Sale entry '!U226="",""," - "&amp;'Daily Sale entry '!U226))</f>
        <v/>
      </c>
      <c r="H226">
        <f>IF(C226="","",COUNTIFS($C$2:$C$3001,C226,$F$2:$F$3001,"&lt;"&amp;F226)+1)</f>
        <v/>
      </c>
      <c r="I226">
        <f>IF(C226="","",C226&amp;"|"&amp;H226)</f>
        <v/>
      </c>
      <c r="J226" s="6">
        <f>IF(C226="","",IF(H226=1,SUMIFS('Opening Balance'!$F$4:$F$303,'Opening Balance'!$G$4:$G$303,C226),INDEX($L$2:$L$3001,MATCH(C226&amp;"|"&amp;(H226-1),$I$2:$I$3001,0))))</f>
        <v/>
      </c>
      <c r="K226" s="6">
        <f>IF(C226="","",IF(M226&gt;0,M226,IF(AND(E226&gt;0,ROUND(J226+D226-E226,2)&gt;0,ROUND(J226+D226-E226,2)&lt;'Opening Balance'!$B$14),ROUND(J226+D226-E226,2),0)))</f>
        <v/>
      </c>
      <c r="L226" s="6">
        <f>IF(C226="","",ROUND(J226+D226-E226-K226,2))</f>
        <v/>
      </c>
      <c r="M226" s="6">
        <f>IF(C226="","",IF('Daily Sale entry '!Q226="Collection 收款",ROUND(N('Daily Sale entry '!T226),2),0))</f>
        <v/>
      </c>
    </row>
    <row r="227">
      <c r="A227" t="inlineStr">
        <is>
          <t>Entry 记录</t>
        </is>
      </c>
      <c r="B227" s="5">
        <f>IF('Daily Sale entry '!P227="","",'Daily Sale entry '!O227)</f>
        <v/>
      </c>
      <c r="C227">
        <f>IF('Daily Sale entry '!P227="","",'Daily Sale entry '!P227)</f>
        <v/>
      </c>
      <c r="D227">
        <f>IF(C227="","",IF('Daily Sale entry '!Q227="Credit Sale 赊销",'Daily Sale entry '!S227,0))</f>
        <v/>
      </c>
      <c r="E227">
        <f>IF(C227="","",IF('Daily Sale entry '!Q227="Collection 收款",'Daily Sale entry '!S227,0))</f>
        <v/>
      </c>
      <c r="F227" s="37">
        <f>IF(C227="","",B227+IF(E227&gt;0,0,0.5)+ROW()/10000000)</f>
        <v/>
      </c>
      <c r="G227">
        <f>IF(C227="","",'Daily Sale entry '!Q227&amp;IF('Daily Sale entry '!Q227="Collection 收款"," ("&amp;'Daily Sale entry '!R227&amp;")","")&amp;IF('Daily Sale entry '!U227="",""," - "&amp;'Daily Sale entry '!U227))</f>
        <v/>
      </c>
      <c r="H227">
        <f>IF(C227="","",COUNTIFS($C$2:$C$3001,C227,$F$2:$F$3001,"&lt;"&amp;F227)+1)</f>
        <v/>
      </c>
      <c r="I227">
        <f>IF(C227="","",C227&amp;"|"&amp;H227)</f>
        <v/>
      </c>
      <c r="J227" s="6">
        <f>IF(C227="","",IF(H227=1,SUMIFS('Opening Balance'!$F$4:$F$303,'Opening Balance'!$G$4:$G$303,C227),INDEX($L$2:$L$3001,MATCH(C227&amp;"|"&amp;(H227-1),$I$2:$I$3001,0))))</f>
        <v/>
      </c>
      <c r="K227" s="6">
        <f>IF(C227="","",IF(M227&gt;0,M227,IF(AND(E227&gt;0,ROUND(J227+D227-E227,2)&gt;0,ROUND(J227+D227-E227,2)&lt;'Opening Balance'!$B$14),ROUND(J227+D227-E227,2),0)))</f>
        <v/>
      </c>
      <c r="L227" s="6">
        <f>IF(C227="","",ROUND(J227+D227-E227-K227,2))</f>
        <v/>
      </c>
      <c r="M227" s="6">
        <f>IF(C227="","",IF('Daily Sale entry '!Q227="Collection 收款",ROUND(N('Daily Sale entry '!T227),2),0))</f>
        <v/>
      </c>
    </row>
    <row r="228">
      <c r="A228" t="inlineStr">
        <is>
          <t>Entry 记录</t>
        </is>
      </c>
      <c r="B228" s="5">
        <f>IF('Daily Sale entry '!P228="","",'Daily Sale entry '!O228)</f>
        <v/>
      </c>
      <c r="C228">
        <f>IF('Daily Sale entry '!P228="","",'Daily Sale entry '!P228)</f>
        <v/>
      </c>
      <c r="D228">
        <f>IF(C228="","",IF('Daily Sale entry '!Q228="Credit Sale 赊销",'Daily Sale entry '!S228,0))</f>
        <v/>
      </c>
      <c r="E228">
        <f>IF(C228="","",IF('Daily Sale entry '!Q228="Collection 收款",'Daily Sale entry '!S228,0))</f>
        <v/>
      </c>
      <c r="F228" s="37">
        <f>IF(C228="","",B228+IF(E228&gt;0,0,0.5)+ROW()/10000000)</f>
        <v/>
      </c>
      <c r="G228">
        <f>IF(C228="","",'Daily Sale entry '!Q228&amp;IF('Daily Sale entry '!Q228="Collection 收款"," ("&amp;'Daily Sale entry '!R228&amp;")","")&amp;IF('Daily Sale entry '!U228="",""," - "&amp;'Daily Sale entry '!U228))</f>
        <v/>
      </c>
      <c r="H228">
        <f>IF(C228="","",COUNTIFS($C$2:$C$3001,C228,$F$2:$F$3001,"&lt;"&amp;F228)+1)</f>
        <v/>
      </c>
      <c r="I228">
        <f>IF(C228="","",C228&amp;"|"&amp;H228)</f>
        <v/>
      </c>
      <c r="J228" s="6">
        <f>IF(C228="","",IF(H228=1,SUMIFS('Opening Balance'!$F$4:$F$303,'Opening Balance'!$G$4:$G$303,C228),INDEX($L$2:$L$3001,MATCH(C228&amp;"|"&amp;(H228-1),$I$2:$I$3001,0))))</f>
        <v/>
      </c>
      <c r="K228" s="6">
        <f>IF(C228="","",IF(M228&gt;0,M228,IF(AND(E228&gt;0,ROUND(J228+D228-E228,2)&gt;0,ROUND(J228+D228-E228,2)&lt;'Opening Balance'!$B$14),ROUND(J228+D228-E228,2),0)))</f>
        <v/>
      </c>
      <c r="L228" s="6">
        <f>IF(C228="","",ROUND(J228+D228-E228-K228,2))</f>
        <v/>
      </c>
      <c r="M228" s="6">
        <f>IF(C228="","",IF('Daily Sale entry '!Q228="Collection 收款",ROUND(N('Daily Sale entry '!T228),2),0))</f>
        <v/>
      </c>
    </row>
    <row r="229">
      <c r="A229" t="inlineStr">
        <is>
          <t>Entry 记录</t>
        </is>
      </c>
      <c r="B229" s="5">
        <f>IF('Daily Sale entry '!P229="","",'Daily Sale entry '!O229)</f>
        <v/>
      </c>
      <c r="C229">
        <f>IF('Daily Sale entry '!P229="","",'Daily Sale entry '!P229)</f>
        <v/>
      </c>
      <c r="D229">
        <f>IF(C229="","",IF('Daily Sale entry '!Q229="Credit Sale 赊销",'Daily Sale entry '!S229,0))</f>
        <v/>
      </c>
      <c r="E229">
        <f>IF(C229="","",IF('Daily Sale entry '!Q229="Collection 收款",'Daily Sale entry '!S229,0))</f>
        <v/>
      </c>
      <c r="F229" s="37">
        <f>IF(C229="","",B229+IF(E229&gt;0,0,0.5)+ROW()/10000000)</f>
        <v/>
      </c>
      <c r="G229">
        <f>IF(C229="","",'Daily Sale entry '!Q229&amp;IF('Daily Sale entry '!Q229="Collection 收款"," ("&amp;'Daily Sale entry '!R229&amp;")","")&amp;IF('Daily Sale entry '!U229="",""," - "&amp;'Daily Sale entry '!U229))</f>
        <v/>
      </c>
      <c r="H229">
        <f>IF(C229="","",COUNTIFS($C$2:$C$3001,C229,$F$2:$F$3001,"&lt;"&amp;F229)+1)</f>
        <v/>
      </c>
      <c r="I229">
        <f>IF(C229="","",C229&amp;"|"&amp;H229)</f>
        <v/>
      </c>
      <c r="J229" s="6">
        <f>IF(C229="","",IF(H229=1,SUMIFS('Opening Balance'!$F$4:$F$303,'Opening Balance'!$G$4:$G$303,C229),INDEX($L$2:$L$3001,MATCH(C229&amp;"|"&amp;(H229-1),$I$2:$I$3001,0))))</f>
        <v/>
      </c>
      <c r="K229" s="6">
        <f>IF(C229="","",IF(M229&gt;0,M229,IF(AND(E229&gt;0,ROUND(J229+D229-E229,2)&gt;0,ROUND(J229+D229-E229,2)&lt;'Opening Balance'!$B$14),ROUND(J229+D229-E229,2),0)))</f>
        <v/>
      </c>
      <c r="L229" s="6">
        <f>IF(C229="","",ROUND(J229+D229-E229-K229,2))</f>
        <v/>
      </c>
      <c r="M229" s="6">
        <f>IF(C229="","",IF('Daily Sale entry '!Q229="Collection 收款",ROUND(N('Daily Sale entry '!T229),2),0))</f>
        <v/>
      </c>
    </row>
    <row r="230">
      <c r="A230" t="inlineStr">
        <is>
          <t>Entry 记录</t>
        </is>
      </c>
      <c r="B230" s="5">
        <f>IF('Daily Sale entry '!P230="","",'Daily Sale entry '!O230)</f>
        <v/>
      </c>
      <c r="C230">
        <f>IF('Daily Sale entry '!P230="","",'Daily Sale entry '!P230)</f>
        <v/>
      </c>
      <c r="D230">
        <f>IF(C230="","",IF('Daily Sale entry '!Q230="Credit Sale 赊销",'Daily Sale entry '!S230,0))</f>
        <v/>
      </c>
      <c r="E230">
        <f>IF(C230="","",IF('Daily Sale entry '!Q230="Collection 收款",'Daily Sale entry '!S230,0))</f>
        <v/>
      </c>
      <c r="F230" s="37">
        <f>IF(C230="","",B230+IF(E230&gt;0,0,0.5)+ROW()/10000000)</f>
        <v/>
      </c>
      <c r="G230">
        <f>IF(C230="","",'Daily Sale entry '!Q230&amp;IF('Daily Sale entry '!Q230="Collection 收款"," ("&amp;'Daily Sale entry '!R230&amp;")","")&amp;IF('Daily Sale entry '!U230="",""," - "&amp;'Daily Sale entry '!U230))</f>
        <v/>
      </c>
      <c r="H230">
        <f>IF(C230="","",COUNTIFS($C$2:$C$3001,C230,$F$2:$F$3001,"&lt;"&amp;F230)+1)</f>
        <v/>
      </c>
      <c r="I230">
        <f>IF(C230="","",C230&amp;"|"&amp;H230)</f>
        <v/>
      </c>
      <c r="J230" s="6">
        <f>IF(C230="","",IF(H230=1,SUMIFS('Opening Balance'!$F$4:$F$303,'Opening Balance'!$G$4:$G$303,C230),INDEX($L$2:$L$3001,MATCH(C230&amp;"|"&amp;(H230-1),$I$2:$I$3001,0))))</f>
        <v/>
      </c>
      <c r="K230" s="6">
        <f>IF(C230="","",IF(M230&gt;0,M230,IF(AND(E230&gt;0,ROUND(J230+D230-E230,2)&gt;0,ROUND(J230+D230-E230,2)&lt;'Opening Balance'!$B$14),ROUND(J230+D230-E230,2),0)))</f>
        <v/>
      </c>
      <c r="L230" s="6">
        <f>IF(C230="","",ROUND(J230+D230-E230-K230,2))</f>
        <v/>
      </c>
      <c r="M230" s="6">
        <f>IF(C230="","",IF('Daily Sale entry '!Q230="Collection 收款",ROUND(N('Daily Sale entry '!T230),2),0))</f>
        <v/>
      </c>
    </row>
    <row r="231">
      <c r="A231" t="inlineStr">
        <is>
          <t>Entry 记录</t>
        </is>
      </c>
      <c r="B231" s="5">
        <f>IF('Daily Sale entry '!P231="","",'Daily Sale entry '!O231)</f>
        <v/>
      </c>
      <c r="C231">
        <f>IF('Daily Sale entry '!P231="","",'Daily Sale entry '!P231)</f>
        <v/>
      </c>
      <c r="D231">
        <f>IF(C231="","",IF('Daily Sale entry '!Q231="Credit Sale 赊销",'Daily Sale entry '!S231,0))</f>
        <v/>
      </c>
      <c r="E231">
        <f>IF(C231="","",IF('Daily Sale entry '!Q231="Collection 收款",'Daily Sale entry '!S231,0))</f>
        <v/>
      </c>
      <c r="F231" s="37">
        <f>IF(C231="","",B231+IF(E231&gt;0,0,0.5)+ROW()/10000000)</f>
        <v/>
      </c>
      <c r="G231">
        <f>IF(C231="","",'Daily Sale entry '!Q231&amp;IF('Daily Sale entry '!Q231="Collection 收款"," ("&amp;'Daily Sale entry '!R231&amp;")","")&amp;IF('Daily Sale entry '!U231="",""," - "&amp;'Daily Sale entry '!U231))</f>
        <v/>
      </c>
      <c r="H231">
        <f>IF(C231="","",COUNTIFS($C$2:$C$3001,C231,$F$2:$F$3001,"&lt;"&amp;F231)+1)</f>
        <v/>
      </c>
      <c r="I231">
        <f>IF(C231="","",C231&amp;"|"&amp;H231)</f>
        <v/>
      </c>
      <c r="J231" s="6">
        <f>IF(C231="","",IF(H231=1,SUMIFS('Opening Balance'!$F$4:$F$303,'Opening Balance'!$G$4:$G$303,C231),INDEX($L$2:$L$3001,MATCH(C231&amp;"|"&amp;(H231-1),$I$2:$I$3001,0))))</f>
        <v/>
      </c>
      <c r="K231" s="6">
        <f>IF(C231="","",IF(M231&gt;0,M231,IF(AND(E231&gt;0,ROUND(J231+D231-E231,2)&gt;0,ROUND(J231+D231-E231,2)&lt;'Opening Balance'!$B$14),ROUND(J231+D231-E231,2),0)))</f>
        <v/>
      </c>
      <c r="L231" s="6">
        <f>IF(C231="","",ROUND(J231+D231-E231-K231,2))</f>
        <v/>
      </c>
      <c r="M231" s="6">
        <f>IF(C231="","",IF('Daily Sale entry '!Q231="Collection 收款",ROUND(N('Daily Sale entry '!T231),2),0))</f>
        <v/>
      </c>
    </row>
    <row r="232">
      <c r="A232" t="inlineStr">
        <is>
          <t>Entry 记录</t>
        </is>
      </c>
      <c r="B232" s="5">
        <f>IF('Daily Sale entry '!P232="","",'Daily Sale entry '!O232)</f>
        <v/>
      </c>
      <c r="C232">
        <f>IF('Daily Sale entry '!P232="","",'Daily Sale entry '!P232)</f>
        <v/>
      </c>
      <c r="D232">
        <f>IF(C232="","",IF('Daily Sale entry '!Q232="Credit Sale 赊销",'Daily Sale entry '!S232,0))</f>
        <v/>
      </c>
      <c r="E232">
        <f>IF(C232="","",IF('Daily Sale entry '!Q232="Collection 收款",'Daily Sale entry '!S232,0))</f>
        <v/>
      </c>
      <c r="F232" s="37">
        <f>IF(C232="","",B232+IF(E232&gt;0,0,0.5)+ROW()/10000000)</f>
        <v/>
      </c>
      <c r="G232">
        <f>IF(C232="","",'Daily Sale entry '!Q232&amp;IF('Daily Sale entry '!Q232="Collection 收款"," ("&amp;'Daily Sale entry '!R232&amp;")","")&amp;IF('Daily Sale entry '!U232="",""," - "&amp;'Daily Sale entry '!U232))</f>
        <v/>
      </c>
      <c r="H232">
        <f>IF(C232="","",COUNTIFS($C$2:$C$3001,C232,$F$2:$F$3001,"&lt;"&amp;F232)+1)</f>
        <v/>
      </c>
      <c r="I232">
        <f>IF(C232="","",C232&amp;"|"&amp;H232)</f>
        <v/>
      </c>
      <c r="J232" s="6">
        <f>IF(C232="","",IF(H232=1,SUMIFS('Opening Balance'!$F$4:$F$303,'Opening Balance'!$G$4:$G$303,C232),INDEX($L$2:$L$3001,MATCH(C232&amp;"|"&amp;(H232-1),$I$2:$I$3001,0))))</f>
        <v/>
      </c>
      <c r="K232" s="6">
        <f>IF(C232="","",IF(M232&gt;0,M232,IF(AND(E232&gt;0,ROUND(J232+D232-E232,2)&gt;0,ROUND(J232+D232-E232,2)&lt;'Opening Balance'!$B$14),ROUND(J232+D232-E232,2),0)))</f>
        <v/>
      </c>
      <c r="L232" s="6">
        <f>IF(C232="","",ROUND(J232+D232-E232-K232,2))</f>
        <v/>
      </c>
      <c r="M232" s="6">
        <f>IF(C232="","",IF('Daily Sale entry '!Q232="Collection 收款",ROUND(N('Daily Sale entry '!T232),2),0))</f>
        <v/>
      </c>
    </row>
    <row r="233">
      <c r="A233" t="inlineStr">
        <is>
          <t>Entry 记录</t>
        </is>
      </c>
      <c r="B233" s="5">
        <f>IF('Daily Sale entry '!P233="","",'Daily Sale entry '!O233)</f>
        <v/>
      </c>
      <c r="C233">
        <f>IF('Daily Sale entry '!P233="","",'Daily Sale entry '!P233)</f>
        <v/>
      </c>
      <c r="D233">
        <f>IF(C233="","",IF('Daily Sale entry '!Q233="Credit Sale 赊销",'Daily Sale entry '!S233,0))</f>
        <v/>
      </c>
      <c r="E233">
        <f>IF(C233="","",IF('Daily Sale entry '!Q233="Collection 收款",'Daily Sale entry '!S233,0))</f>
        <v/>
      </c>
      <c r="F233" s="37">
        <f>IF(C233="","",B233+IF(E233&gt;0,0,0.5)+ROW()/10000000)</f>
        <v/>
      </c>
      <c r="G233">
        <f>IF(C233="","",'Daily Sale entry '!Q233&amp;IF('Daily Sale entry '!Q233="Collection 收款"," ("&amp;'Daily Sale entry '!R233&amp;")","")&amp;IF('Daily Sale entry '!U233="",""," - "&amp;'Daily Sale entry '!U233))</f>
        <v/>
      </c>
      <c r="H233">
        <f>IF(C233="","",COUNTIFS($C$2:$C$3001,C233,$F$2:$F$3001,"&lt;"&amp;F233)+1)</f>
        <v/>
      </c>
      <c r="I233">
        <f>IF(C233="","",C233&amp;"|"&amp;H233)</f>
        <v/>
      </c>
      <c r="J233" s="6">
        <f>IF(C233="","",IF(H233=1,SUMIFS('Opening Balance'!$F$4:$F$303,'Opening Balance'!$G$4:$G$303,C233),INDEX($L$2:$L$3001,MATCH(C233&amp;"|"&amp;(H233-1),$I$2:$I$3001,0))))</f>
        <v/>
      </c>
      <c r="K233" s="6">
        <f>IF(C233="","",IF(M233&gt;0,M233,IF(AND(E233&gt;0,ROUND(J233+D233-E233,2)&gt;0,ROUND(J233+D233-E233,2)&lt;'Opening Balance'!$B$14),ROUND(J233+D233-E233,2),0)))</f>
        <v/>
      </c>
      <c r="L233" s="6">
        <f>IF(C233="","",ROUND(J233+D233-E233-K233,2))</f>
        <v/>
      </c>
      <c r="M233" s="6">
        <f>IF(C233="","",IF('Daily Sale entry '!Q233="Collection 收款",ROUND(N('Daily Sale entry '!T233),2),0))</f>
        <v/>
      </c>
    </row>
    <row r="234">
      <c r="A234" t="inlineStr">
        <is>
          <t>Entry 记录</t>
        </is>
      </c>
      <c r="B234" s="5">
        <f>IF('Daily Sale entry '!P234="","",'Daily Sale entry '!O234)</f>
        <v/>
      </c>
      <c r="C234">
        <f>IF('Daily Sale entry '!P234="","",'Daily Sale entry '!P234)</f>
        <v/>
      </c>
      <c r="D234">
        <f>IF(C234="","",IF('Daily Sale entry '!Q234="Credit Sale 赊销",'Daily Sale entry '!S234,0))</f>
        <v/>
      </c>
      <c r="E234">
        <f>IF(C234="","",IF('Daily Sale entry '!Q234="Collection 收款",'Daily Sale entry '!S234,0))</f>
        <v/>
      </c>
      <c r="F234" s="37">
        <f>IF(C234="","",B234+IF(E234&gt;0,0,0.5)+ROW()/10000000)</f>
        <v/>
      </c>
      <c r="G234">
        <f>IF(C234="","",'Daily Sale entry '!Q234&amp;IF('Daily Sale entry '!Q234="Collection 收款"," ("&amp;'Daily Sale entry '!R234&amp;")","")&amp;IF('Daily Sale entry '!U234="",""," - "&amp;'Daily Sale entry '!U234))</f>
        <v/>
      </c>
      <c r="H234">
        <f>IF(C234="","",COUNTIFS($C$2:$C$3001,C234,$F$2:$F$3001,"&lt;"&amp;F234)+1)</f>
        <v/>
      </c>
      <c r="I234">
        <f>IF(C234="","",C234&amp;"|"&amp;H234)</f>
        <v/>
      </c>
      <c r="J234" s="6">
        <f>IF(C234="","",IF(H234=1,SUMIFS('Opening Balance'!$F$4:$F$303,'Opening Balance'!$G$4:$G$303,C234),INDEX($L$2:$L$3001,MATCH(C234&amp;"|"&amp;(H234-1),$I$2:$I$3001,0))))</f>
        <v/>
      </c>
      <c r="K234" s="6">
        <f>IF(C234="","",IF(M234&gt;0,M234,IF(AND(E234&gt;0,ROUND(J234+D234-E234,2)&gt;0,ROUND(J234+D234-E234,2)&lt;'Opening Balance'!$B$14),ROUND(J234+D234-E234,2),0)))</f>
        <v/>
      </c>
      <c r="L234" s="6">
        <f>IF(C234="","",ROUND(J234+D234-E234-K234,2))</f>
        <v/>
      </c>
      <c r="M234" s="6">
        <f>IF(C234="","",IF('Daily Sale entry '!Q234="Collection 收款",ROUND(N('Daily Sale entry '!T234),2),0))</f>
        <v/>
      </c>
    </row>
    <row r="235">
      <c r="A235" t="inlineStr">
        <is>
          <t>Entry 记录</t>
        </is>
      </c>
      <c r="B235" s="5">
        <f>IF('Daily Sale entry '!P235="","",'Daily Sale entry '!O235)</f>
        <v/>
      </c>
      <c r="C235">
        <f>IF('Daily Sale entry '!P235="","",'Daily Sale entry '!P235)</f>
        <v/>
      </c>
      <c r="D235">
        <f>IF(C235="","",IF('Daily Sale entry '!Q235="Credit Sale 赊销",'Daily Sale entry '!S235,0))</f>
        <v/>
      </c>
      <c r="E235">
        <f>IF(C235="","",IF('Daily Sale entry '!Q235="Collection 收款",'Daily Sale entry '!S235,0))</f>
        <v/>
      </c>
      <c r="F235" s="37">
        <f>IF(C235="","",B235+IF(E235&gt;0,0,0.5)+ROW()/10000000)</f>
        <v/>
      </c>
      <c r="G235">
        <f>IF(C235="","",'Daily Sale entry '!Q235&amp;IF('Daily Sale entry '!Q235="Collection 收款"," ("&amp;'Daily Sale entry '!R235&amp;")","")&amp;IF('Daily Sale entry '!U235="",""," - "&amp;'Daily Sale entry '!U235))</f>
        <v/>
      </c>
      <c r="H235">
        <f>IF(C235="","",COUNTIFS($C$2:$C$3001,C235,$F$2:$F$3001,"&lt;"&amp;F235)+1)</f>
        <v/>
      </c>
      <c r="I235">
        <f>IF(C235="","",C235&amp;"|"&amp;H235)</f>
        <v/>
      </c>
      <c r="J235" s="6">
        <f>IF(C235="","",IF(H235=1,SUMIFS('Opening Balance'!$F$4:$F$303,'Opening Balance'!$G$4:$G$303,C235),INDEX($L$2:$L$3001,MATCH(C235&amp;"|"&amp;(H235-1),$I$2:$I$3001,0))))</f>
        <v/>
      </c>
      <c r="K235" s="6">
        <f>IF(C235="","",IF(M235&gt;0,M235,IF(AND(E235&gt;0,ROUND(J235+D235-E235,2)&gt;0,ROUND(J235+D235-E235,2)&lt;'Opening Balance'!$B$14),ROUND(J235+D235-E235,2),0)))</f>
        <v/>
      </c>
      <c r="L235" s="6">
        <f>IF(C235="","",ROUND(J235+D235-E235-K235,2))</f>
        <v/>
      </c>
      <c r="M235" s="6">
        <f>IF(C235="","",IF('Daily Sale entry '!Q235="Collection 收款",ROUND(N('Daily Sale entry '!T235),2),0))</f>
        <v/>
      </c>
    </row>
    <row r="236">
      <c r="A236" t="inlineStr">
        <is>
          <t>Entry 记录</t>
        </is>
      </c>
      <c r="B236" s="5">
        <f>IF('Daily Sale entry '!P236="","",'Daily Sale entry '!O236)</f>
        <v/>
      </c>
      <c r="C236">
        <f>IF('Daily Sale entry '!P236="","",'Daily Sale entry '!P236)</f>
        <v/>
      </c>
      <c r="D236">
        <f>IF(C236="","",IF('Daily Sale entry '!Q236="Credit Sale 赊销",'Daily Sale entry '!S236,0))</f>
        <v/>
      </c>
      <c r="E236">
        <f>IF(C236="","",IF('Daily Sale entry '!Q236="Collection 收款",'Daily Sale entry '!S236,0))</f>
        <v/>
      </c>
      <c r="F236" s="37">
        <f>IF(C236="","",B236+IF(E236&gt;0,0,0.5)+ROW()/10000000)</f>
        <v/>
      </c>
      <c r="G236">
        <f>IF(C236="","",'Daily Sale entry '!Q236&amp;IF('Daily Sale entry '!Q236="Collection 收款"," ("&amp;'Daily Sale entry '!R236&amp;")","")&amp;IF('Daily Sale entry '!U236="",""," - "&amp;'Daily Sale entry '!U236))</f>
        <v/>
      </c>
      <c r="H236">
        <f>IF(C236="","",COUNTIFS($C$2:$C$3001,C236,$F$2:$F$3001,"&lt;"&amp;F236)+1)</f>
        <v/>
      </c>
      <c r="I236">
        <f>IF(C236="","",C236&amp;"|"&amp;H236)</f>
        <v/>
      </c>
      <c r="J236" s="6">
        <f>IF(C236="","",IF(H236=1,SUMIFS('Opening Balance'!$F$4:$F$303,'Opening Balance'!$G$4:$G$303,C236),INDEX($L$2:$L$3001,MATCH(C236&amp;"|"&amp;(H236-1),$I$2:$I$3001,0))))</f>
        <v/>
      </c>
      <c r="K236" s="6">
        <f>IF(C236="","",IF(M236&gt;0,M236,IF(AND(E236&gt;0,ROUND(J236+D236-E236,2)&gt;0,ROUND(J236+D236-E236,2)&lt;'Opening Balance'!$B$14),ROUND(J236+D236-E236,2),0)))</f>
        <v/>
      </c>
      <c r="L236" s="6">
        <f>IF(C236="","",ROUND(J236+D236-E236-K236,2))</f>
        <v/>
      </c>
      <c r="M236" s="6">
        <f>IF(C236="","",IF('Daily Sale entry '!Q236="Collection 收款",ROUND(N('Daily Sale entry '!T236),2),0))</f>
        <v/>
      </c>
    </row>
    <row r="237">
      <c r="A237" t="inlineStr">
        <is>
          <t>Entry 记录</t>
        </is>
      </c>
      <c r="B237" s="5">
        <f>IF('Daily Sale entry '!P237="","",'Daily Sale entry '!O237)</f>
        <v/>
      </c>
      <c r="C237">
        <f>IF('Daily Sale entry '!P237="","",'Daily Sale entry '!P237)</f>
        <v/>
      </c>
      <c r="D237">
        <f>IF(C237="","",IF('Daily Sale entry '!Q237="Credit Sale 赊销",'Daily Sale entry '!S237,0))</f>
        <v/>
      </c>
      <c r="E237">
        <f>IF(C237="","",IF('Daily Sale entry '!Q237="Collection 收款",'Daily Sale entry '!S237,0))</f>
        <v/>
      </c>
      <c r="F237" s="37">
        <f>IF(C237="","",B237+IF(E237&gt;0,0,0.5)+ROW()/10000000)</f>
        <v/>
      </c>
      <c r="G237">
        <f>IF(C237="","",'Daily Sale entry '!Q237&amp;IF('Daily Sale entry '!Q237="Collection 收款"," ("&amp;'Daily Sale entry '!R237&amp;")","")&amp;IF('Daily Sale entry '!U237="",""," - "&amp;'Daily Sale entry '!U237))</f>
        <v/>
      </c>
      <c r="H237">
        <f>IF(C237="","",COUNTIFS($C$2:$C$3001,C237,$F$2:$F$3001,"&lt;"&amp;F237)+1)</f>
        <v/>
      </c>
      <c r="I237">
        <f>IF(C237="","",C237&amp;"|"&amp;H237)</f>
        <v/>
      </c>
      <c r="J237" s="6">
        <f>IF(C237="","",IF(H237=1,SUMIFS('Opening Balance'!$F$4:$F$303,'Opening Balance'!$G$4:$G$303,C237),INDEX($L$2:$L$3001,MATCH(C237&amp;"|"&amp;(H237-1),$I$2:$I$3001,0))))</f>
        <v/>
      </c>
      <c r="K237" s="6">
        <f>IF(C237="","",IF(M237&gt;0,M237,IF(AND(E237&gt;0,ROUND(J237+D237-E237,2)&gt;0,ROUND(J237+D237-E237,2)&lt;'Opening Balance'!$B$14),ROUND(J237+D237-E237,2),0)))</f>
        <v/>
      </c>
      <c r="L237" s="6">
        <f>IF(C237="","",ROUND(J237+D237-E237-K237,2))</f>
        <v/>
      </c>
      <c r="M237" s="6">
        <f>IF(C237="","",IF('Daily Sale entry '!Q237="Collection 收款",ROUND(N('Daily Sale entry '!T237),2),0))</f>
        <v/>
      </c>
    </row>
    <row r="238">
      <c r="A238" t="inlineStr">
        <is>
          <t>Entry 记录</t>
        </is>
      </c>
      <c r="B238" s="5">
        <f>IF('Daily Sale entry '!P238="","",'Daily Sale entry '!O238)</f>
        <v/>
      </c>
      <c r="C238">
        <f>IF('Daily Sale entry '!P238="","",'Daily Sale entry '!P238)</f>
        <v/>
      </c>
      <c r="D238">
        <f>IF(C238="","",IF('Daily Sale entry '!Q238="Credit Sale 赊销",'Daily Sale entry '!S238,0))</f>
        <v/>
      </c>
      <c r="E238">
        <f>IF(C238="","",IF('Daily Sale entry '!Q238="Collection 收款",'Daily Sale entry '!S238,0))</f>
        <v/>
      </c>
      <c r="F238" s="37">
        <f>IF(C238="","",B238+IF(E238&gt;0,0,0.5)+ROW()/10000000)</f>
        <v/>
      </c>
      <c r="G238">
        <f>IF(C238="","",'Daily Sale entry '!Q238&amp;IF('Daily Sale entry '!Q238="Collection 收款"," ("&amp;'Daily Sale entry '!R238&amp;")","")&amp;IF('Daily Sale entry '!U238="",""," - "&amp;'Daily Sale entry '!U238))</f>
        <v/>
      </c>
      <c r="H238">
        <f>IF(C238="","",COUNTIFS($C$2:$C$3001,C238,$F$2:$F$3001,"&lt;"&amp;F238)+1)</f>
        <v/>
      </c>
      <c r="I238">
        <f>IF(C238="","",C238&amp;"|"&amp;H238)</f>
        <v/>
      </c>
      <c r="J238" s="6">
        <f>IF(C238="","",IF(H238=1,SUMIFS('Opening Balance'!$F$4:$F$303,'Opening Balance'!$G$4:$G$303,C238),INDEX($L$2:$L$3001,MATCH(C238&amp;"|"&amp;(H238-1),$I$2:$I$3001,0))))</f>
        <v/>
      </c>
      <c r="K238" s="6">
        <f>IF(C238="","",IF(M238&gt;0,M238,IF(AND(E238&gt;0,ROUND(J238+D238-E238,2)&gt;0,ROUND(J238+D238-E238,2)&lt;'Opening Balance'!$B$14),ROUND(J238+D238-E238,2),0)))</f>
        <v/>
      </c>
      <c r="L238" s="6">
        <f>IF(C238="","",ROUND(J238+D238-E238-K238,2))</f>
        <v/>
      </c>
      <c r="M238" s="6">
        <f>IF(C238="","",IF('Daily Sale entry '!Q238="Collection 收款",ROUND(N('Daily Sale entry '!T238),2),0))</f>
        <v/>
      </c>
    </row>
    <row r="239">
      <c r="A239" t="inlineStr">
        <is>
          <t>Entry 记录</t>
        </is>
      </c>
      <c r="B239" s="5">
        <f>IF('Daily Sale entry '!P239="","",'Daily Sale entry '!O239)</f>
        <v/>
      </c>
      <c r="C239">
        <f>IF('Daily Sale entry '!P239="","",'Daily Sale entry '!P239)</f>
        <v/>
      </c>
      <c r="D239">
        <f>IF(C239="","",IF('Daily Sale entry '!Q239="Credit Sale 赊销",'Daily Sale entry '!S239,0))</f>
        <v/>
      </c>
      <c r="E239">
        <f>IF(C239="","",IF('Daily Sale entry '!Q239="Collection 收款",'Daily Sale entry '!S239,0))</f>
        <v/>
      </c>
      <c r="F239" s="37">
        <f>IF(C239="","",B239+IF(E239&gt;0,0,0.5)+ROW()/10000000)</f>
        <v/>
      </c>
      <c r="G239">
        <f>IF(C239="","",'Daily Sale entry '!Q239&amp;IF('Daily Sale entry '!Q239="Collection 收款"," ("&amp;'Daily Sale entry '!R239&amp;")","")&amp;IF('Daily Sale entry '!U239="",""," - "&amp;'Daily Sale entry '!U239))</f>
        <v/>
      </c>
      <c r="H239">
        <f>IF(C239="","",COUNTIFS($C$2:$C$3001,C239,$F$2:$F$3001,"&lt;"&amp;F239)+1)</f>
        <v/>
      </c>
      <c r="I239">
        <f>IF(C239="","",C239&amp;"|"&amp;H239)</f>
        <v/>
      </c>
      <c r="J239" s="6">
        <f>IF(C239="","",IF(H239=1,SUMIFS('Opening Balance'!$F$4:$F$303,'Opening Balance'!$G$4:$G$303,C239),INDEX($L$2:$L$3001,MATCH(C239&amp;"|"&amp;(H239-1),$I$2:$I$3001,0))))</f>
        <v/>
      </c>
      <c r="K239" s="6">
        <f>IF(C239="","",IF(M239&gt;0,M239,IF(AND(E239&gt;0,ROUND(J239+D239-E239,2)&gt;0,ROUND(J239+D239-E239,2)&lt;'Opening Balance'!$B$14),ROUND(J239+D239-E239,2),0)))</f>
        <v/>
      </c>
      <c r="L239" s="6">
        <f>IF(C239="","",ROUND(J239+D239-E239-K239,2))</f>
        <v/>
      </c>
      <c r="M239" s="6">
        <f>IF(C239="","",IF('Daily Sale entry '!Q239="Collection 收款",ROUND(N('Daily Sale entry '!T239),2),0))</f>
        <v/>
      </c>
    </row>
    <row r="240">
      <c r="A240" t="inlineStr">
        <is>
          <t>Entry 记录</t>
        </is>
      </c>
      <c r="B240" s="5">
        <f>IF('Daily Sale entry '!P240="","",'Daily Sale entry '!O240)</f>
        <v/>
      </c>
      <c r="C240">
        <f>IF('Daily Sale entry '!P240="","",'Daily Sale entry '!P240)</f>
        <v/>
      </c>
      <c r="D240">
        <f>IF(C240="","",IF('Daily Sale entry '!Q240="Credit Sale 赊销",'Daily Sale entry '!S240,0))</f>
        <v/>
      </c>
      <c r="E240">
        <f>IF(C240="","",IF('Daily Sale entry '!Q240="Collection 收款",'Daily Sale entry '!S240,0))</f>
        <v/>
      </c>
      <c r="F240" s="37">
        <f>IF(C240="","",B240+IF(E240&gt;0,0,0.5)+ROW()/10000000)</f>
        <v/>
      </c>
      <c r="G240">
        <f>IF(C240="","",'Daily Sale entry '!Q240&amp;IF('Daily Sale entry '!Q240="Collection 收款"," ("&amp;'Daily Sale entry '!R240&amp;")","")&amp;IF('Daily Sale entry '!U240="",""," - "&amp;'Daily Sale entry '!U240))</f>
        <v/>
      </c>
      <c r="H240">
        <f>IF(C240="","",COUNTIFS($C$2:$C$3001,C240,$F$2:$F$3001,"&lt;"&amp;F240)+1)</f>
        <v/>
      </c>
      <c r="I240">
        <f>IF(C240="","",C240&amp;"|"&amp;H240)</f>
        <v/>
      </c>
      <c r="J240" s="6">
        <f>IF(C240="","",IF(H240=1,SUMIFS('Opening Balance'!$F$4:$F$303,'Opening Balance'!$G$4:$G$303,C240),INDEX($L$2:$L$3001,MATCH(C240&amp;"|"&amp;(H240-1),$I$2:$I$3001,0))))</f>
        <v/>
      </c>
      <c r="K240" s="6">
        <f>IF(C240="","",IF(M240&gt;0,M240,IF(AND(E240&gt;0,ROUND(J240+D240-E240,2)&gt;0,ROUND(J240+D240-E240,2)&lt;'Opening Balance'!$B$14),ROUND(J240+D240-E240,2),0)))</f>
        <v/>
      </c>
      <c r="L240" s="6">
        <f>IF(C240="","",ROUND(J240+D240-E240-K240,2))</f>
        <v/>
      </c>
      <c r="M240" s="6">
        <f>IF(C240="","",IF('Daily Sale entry '!Q240="Collection 收款",ROUND(N('Daily Sale entry '!T240),2),0))</f>
        <v/>
      </c>
    </row>
    <row r="241">
      <c r="A241" t="inlineStr">
        <is>
          <t>Entry 记录</t>
        </is>
      </c>
      <c r="B241" s="5">
        <f>IF('Daily Sale entry '!P241="","",'Daily Sale entry '!O241)</f>
        <v/>
      </c>
      <c r="C241">
        <f>IF('Daily Sale entry '!P241="","",'Daily Sale entry '!P241)</f>
        <v/>
      </c>
      <c r="D241">
        <f>IF(C241="","",IF('Daily Sale entry '!Q241="Credit Sale 赊销",'Daily Sale entry '!S241,0))</f>
        <v/>
      </c>
      <c r="E241">
        <f>IF(C241="","",IF('Daily Sale entry '!Q241="Collection 收款",'Daily Sale entry '!S241,0))</f>
        <v/>
      </c>
      <c r="F241" s="37">
        <f>IF(C241="","",B241+IF(E241&gt;0,0,0.5)+ROW()/10000000)</f>
        <v/>
      </c>
      <c r="G241">
        <f>IF(C241="","",'Daily Sale entry '!Q241&amp;IF('Daily Sale entry '!Q241="Collection 收款"," ("&amp;'Daily Sale entry '!R241&amp;")","")&amp;IF('Daily Sale entry '!U241="",""," - "&amp;'Daily Sale entry '!U241))</f>
        <v/>
      </c>
      <c r="H241">
        <f>IF(C241="","",COUNTIFS($C$2:$C$3001,C241,$F$2:$F$3001,"&lt;"&amp;F241)+1)</f>
        <v/>
      </c>
      <c r="I241">
        <f>IF(C241="","",C241&amp;"|"&amp;H241)</f>
        <v/>
      </c>
      <c r="J241" s="6">
        <f>IF(C241="","",IF(H241=1,SUMIFS('Opening Balance'!$F$4:$F$303,'Opening Balance'!$G$4:$G$303,C241),INDEX($L$2:$L$3001,MATCH(C241&amp;"|"&amp;(H241-1),$I$2:$I$3001,0))))</f>
        <v/>
      </c>
      <c r="K241" s="6">
        <f>IF(C241="","",IF(M241&gt;0,M241,IF(AND(E241&gt;0,ROUND(J241+D241-E241,2)&gt;0,ROUND(J241+D241-E241,2)&lt;'Opening Balance'!$B$14),ROUND(J241+D241-E241,2),0)))</f>
        <v/>
      </c>
      <c r="L241" s="6">
        <f>IF(C241="","",ROUND(J241+D241-E241-K241,2))</f>
        <v/>
      </c>
      <c r="M241" s="6">
        <f>IF(C241="","",IF('Daily Sale entry '!Q241="Collection 收款",ROUND(N('Daily Sale entry '!T241),2),0))</f>
        <v/>
      </c>
    </row>
    <row r="242">
      <c r="A242" t="inlineStr">
        <is>
          <t>Entry 记录</t>
        </is>
      </c>
      <c r="B242" s="5">
        <f>IF('Daily Sale entry '!P242="","",'Daily Sale entry '!O242)</f>
        <v/>
      </c>
      <c r="C242">
        <f>IF('Daily Sale entry '!P242="","",'Daily Sale entry '!P242)</f>
        <v/>
      </c>
      <c r="D242">
        <f>IF(C242="","",IF('Daily Sale entry '!Q242="Credit Sale 赊销",'Daily Sale entry '!S242,0))</f>
        <v/>
      </c>
      <c r="E242">
        <f>IF(C242="","",IF('Daily Sale entry '!Q242="Collection 收款",'Daily Sale entry '!S242,0))</f>
        <v/>
      </c>
      <c r="F242" s="37">
        <f>IF(C242="","",B242+IF(E242&gt;0,0,0.5)+ROW()/10000000)</f>
        <v/>
      </c>
      <c r="G242">
        <f>IF(C242="","",'Daily Sale entry '!Q242&amp;IF('Daily Sale entry '!Q242="Collection 收款"," ("&amp;'Daily Sale entry '!R242&amp;")","")&amp;IF('Daily Sale entry '!U242="",""," - "&amp;'Daily Sale entry '!U242))</f>
        <v/>
      </c>
      <c r="H242">
        <f>IF(C242="","",COUNTIFS($C$2:$C$3001,C242,$F$2:$F$3001,"&lt;"&amp;F242)+1)</f>
        <v/>
      </c>
      <c r="I242">
        <f>IF(C242="","",C242&amp;"|"&amp;H242)</f>
        <v/>
      </c>
      <c r="J242" s="6">
        <f>IF(C242="","",IF(H242=1,SUMIFS('Opening Balance'!$F$4:$F$303,'Opening Balance'!$G$4:$G$303,C242),INDEX($L$2:$L$3001,MATCH(C242&amp;"|"&amp;(H242-1),$I$2:$I$3001,0))))</f>
        <v/>
      </c>
      <c r="K242" s="6">
        <f>IF(C242="","",IF(M242&gt;0,M242,IF(AND(E242&gt;0,ROUND(J242+D242-E242,2)&gt;0,ROUND(J242+D242-E242,2)&lt;'Opening Balance'!$B$14),ROUND(J242+D242-E242,2),0)))</f>
        <v/>
      </c>
      <c r="L242" s="6">
        <f>IF(C242="","",ROUND(J242+D242-E242-K242,2))</f>
        <v/>
      </c>
      <c r="M242" s="6">
        <f>IF(C242="","",IF('Daily Sale entry '!Q242="Collection 收款",ROUND(N('Daily Sale entry '!T242),2),0))</f>
        <v/>
      </c>
    </row>
    <row r="243">
      <c r="A243" t="inlineStr">
        <is>
          <t>Entry 记录</t>
        </is>
      </c>
      <c r="B243" s="5">
        <f>IF('Daily Sale entry '!P243="","",'Daily Sale entry '!O243)</f>
        <v/>
      </c>
      <c r="C243">
        <f>IF('Daily Sale entry '!P243="","",'Daily Sale entry '!P243)</f>
        <v/>
      </c>
      <c r="D243">
        <f>IF(C243="","",IF('Daily Sale entry '!Q243="Credit Sale 赊销",'Daily Sale entry '!S243,0))</f>
        <v/>
      </c>
      <c r="E243">
        <f>IF(C243="","",IF('Daily Sale entry '!Q243="Collection 收款",'Daily Sale entry '!S243,0))</f>
        <v/>
      </c>
      <c r="F243" s="37">
        <f>IF(C243="","",B243+IF(E243&gt;0,0,0.5)+ROW()/10000000)</f>
        <v/>
      </c>
      <c r="G243">
        <f>IF(C243="","",'Daily Sale entry '!Q243&amp;IF('Daily Sale entry '!Q243="Collection 收款"," ("&amp;'Daily Sale entry '!R243&amp;")","")&amp;IF('Daily Sale entry '!U243="",""," - "&amp;'Daily Sale entry '!U243))</f>
        <v/>
      </c>
      <c r="H243">
        <f>IF(C243="","",COUNTIFS($C$2:$C$3001,C243,$F$2:$F$3001,"&lt;"&amp;F243)+1)</f>
        <v/>
      </c>
      <c r="I243">
        <f>IF(C243="","",C243&amp;"|"&amp;H243)</f>
        <v/>
      </c>
      <c r="J243" s="6">
        <f>IF(C243="","",IF(H243=1,SUMIFS('Opening Balance'!$F$4:$F$303,'Opening Balance'!$G$4:$G$303,C243),INDEX($L$2:$L$3001,MATCH(C243&amp;"|"&amp;(H243-1),$I$2:$I$3001,0))))</f>
        <v/>
      </c>
      <c r="K243" s="6">
        <f>IF(C243="","",IF(M243&gt;0,M243,IF(AND(E243&gt;0,ROUND(J243+D243-E243,2)&gt;0,ROUND(J243+D243-E243,2)&lt;'Opening Balance'!$B$14),ROUND(J243+D243-E243,2),0)))</f>
        <v/>
      </c>
      <c r="L243" s="6">
        <f>IF(C243="","",ROUND(J243+D243-E243-K243,2))</f>
        <v/>
      </c>
      <c r="M243" s="6">
        <f>IF(C243="","",IF('Daily Sale entry '!Q243="Collection 收款",ROUND(N('Daily Sale entry '!T243),2),0))</f>
        <v/>
      </c>
    </row>
    <row r="244">
      <c r="A244" t="inlineStr">
        <is>
          <t>Entry 记录</t>
        </is>
      </c>
      <c r="B244" s="5">
        <f>IF('Daily Sale entry '!P244="","",'Daily Sale entry '!O244)</f>
        <v/>
      </c>
      <c r="C244">
        <f>IF('Daily Sale entry '!P244="","",'Daily Sale entry '!P244)</f>
        <v/>
      </c>
      <c r="D244">
        <f>IF(C244="","",IF('Daily Sale entry '!Q244="Credit Sale 赊销",'Daily Sale entry '!S244,0))</f>
        <v/>
      </c>
      <c r="E244">
        <f>IF(C244="","",IF('Daily Sale entry '!Q244="Collection 收款",'Daily Sale entry '!S244,0))</f>
        <v/>
      </c>
      <c r="F244" s="37">
        <f>IF(C244="","",B244+IF(E244&gt;0,0,0.5)+ROW()/10000000)</f>
        <v/>
      </c>
      <c r="G244">
        <f>IF(C244="","",'Daily Sale entry '!Q244&amp;IF('Daily Sale entry '!Q244="Collection 收款"," ("&amp;'Daily Sale entry '!R244&amp;")","")&amp;IF('Daily Sale entry '!U244="",""," - "&amp;'Daily Sale entry '!U244))</f>
        <v/>
      </c>
      <c r="H244">
        <f>IF(C244="","",COUNTIFS($C$2:$C$3001,C244,$F$2:$F$3001,"&lt;"&amp;F244)+1)</f>
        <v/>
      </c>
      <c r="I244">
        <f>IF(C244="","",C244&amp;"|"&amp;H244)</f>
        <v/>
      </c>
      <c r="J244" s="6">
        <f>IF(C244="","",IF(H244=1,SUMIFS('Opening Balance'!$F$4:$F$303,'Opening Balance'!$G$4:$G$303,C244),INDEX($L$2:$L$3001,MATCH(C244&amp;"|"&amp;(H244-1),$I$2:$I$3001,0))))</f>
        <v/>
      </c>
      <c r="K244" s="6">
        <f>IF(C244="","",IF(M244&gt;0,M244,IF(AND(E244&gt;0,ROUND(J244+D244-E244,2)&gt;0,ROUND(J244+D244-E244,2)&lt;'Opening Balance'!$B$14),ROUND(J244+D244-E244,2),0)))</f>
        <v/>
      </c>
      <c r="L244" s="6">
        <f>IF(C244="","",ROUND(J244+D244-E244-K244,2))</f>
        <v/>
      </c>
      <c r="M244" s="6">
        <f>IF(C244="","",IF('Daily Sale entry '!Q244="Collection 收款",ROUND(N('Daily Sale entry '!T244),2),0))</f>
        <v/>
      </c>
    </row>
    <row r="245">
      <c r="A245" t="inlineStr">
        <is>
          <t>Entry 记录</t>
        </is>
      </c>
      <c r="B245" s="5">
        <f>IF('Daily Sale entry '!P245="","",'Daily Sale entry '!O245)</f>
        <v/>
      </c>
      <c r="C245">
        <f>IF('Daily Sale entry '!P245="","",'Daily Sale entry '!P245)</f>
        <v/>
      </c>
      <c r="D245">
        <f>IF(C245="","",IF('Daily Sale entry '!Q245="Credit Sale 赊销",'Daily Sale entry '!S245,0))</f>
        <v/>
      </c>
      <c r="E245">
        <f>IF(C245="","",IF('Daily Sale entry '!Q245="Collection 收款",'Daily Sale entry '!S245,0))</f>
        <v/>
      </c>
      <c r="F245" s="37">
        <f>IF(C245="","",B245+IF(E245&gt;0,0,0.5)+ROW()/10000000)</f>
        <v/>
      </c>
      <c r="G245">
        <f>IF(C245="","",'Daily Sale entry '!Q245&amp;IF('Daily Sale entry '!Q245="Collection 收款"," ("&amp;'Daily Sale entry '!R245&amp;")","")&amp;IF('Daily Sale entry '!U245="",""," - "&amp;'Daily Sale entry '!U245))</f>
        <v/>
      </c>
      <c r="H245">
        <f>IF(C245="","",COUNTIFS($C$2:$C$3001,C245,$F$2:$F$3001,"&lt;"&amp;F245)+1)</f>
        <v/>
      </c>
      <c r="I245">
        <f>IF(C245="","",C245&amp;"|"&amp;H245)</f>
        <v/>
      </c>
      <c r="J245" s="6">
        <f>IF(C245="","",IF(H245=1,SUMIFS('Opening Balance'!$F$4:$F$303,'Opening Balance'!$G$4:$G$303,C245),INDEX($L$2:$L$3001,MATCH(C245&amp;"|"&amp;(H245-1),$I$2:$I$3001,0))))</f>
        <v/>
      </c>
      <c r="K245" s="6">
        <f>IF(C245="","",IF(M245&gt;0,M245,IF(AND(E245&gt;0,ROUND(J245+D245-E245,2)&gt;0,ROUND(J245+D245-E245,2)&lt;'Opening Balance'!$B$14),ROUND(J245+D245-E245,2),0)))</f>
        <v/>
      </c>
      <c r="L245" s="6">
        <f>IF(C245="","",ROUND(J245+D245-E245-K245,2))</f>
        <v/>
      </c>
      <c r="M245" s="6">
        <f>IF(C245="","",IF('Daily Sale entry '!Q245="Collection 收款",ROUND(N('Daily Sale entry '!T245),2),0))</f>
        <v/>
      </c>
    </row>
    <row r="246">
      <c r="A246" t="inlineStr">
        <is>
          <t>Entry 记录</t>
        </is>
      </c>
      <c r="B246" s="5">
        <f>IF('Daily Sale entry '!P246="","",'Daily Sale entry '!O246)</f>
        <v/>
      </c>
      <c r="C246">
        <f>IF('Daily Sale entry '!P246="","",'Daily Sale entry '!P246)</f>
        <v/>
      </c>
      <c r="D246">
        <f>IF(C246="","",IF('Daily Sale entry '!Q246="Credit Sale 赊销",'Daily Sale entry '!S246,0))</f>
        <v/>
      </c>
      <c r="E246">
        <f>IF(C246="","",IF('Daily Sale entry '!Q246="Collection 收款",'Daily Sale entry '!S246,0))</f>
        <v/>
      </c>
      <c r="F246" s="37">
        <f>IF(C246="","",B246+IF(E246&gt;0,0,0.5)+ROW()/10000000)</f>
        <v/>
      </c>
      <c r="G246">
        <f>IF(C246="","",'Daily Sale entry '!Q246&amp;IF('Daily Sale entry '!Q246="Collection 收款"," ("&amp;'Daily Sale entry '!R246&amp;")","")&amp;IF('Daily Sale entry '!U246="",""," - "&amp;'Daily Sale entry '!U246))</f>
        <v/>
      </c>
      <c r="H246">
        <f>IF(C246="","",COUNTIFS($C$2:$C$3001,C246,$F$2:$F$3001,"&lt;"&amp;F246)+1)</f>
        <v/>
      </c>
      <c r="I246">
        <f>IF(C246="","",C246&amp;"|"&amp;H246)</f>
        <v/>
      </c>
      <c r="J246" s="6">
        <f>IF(C246="","",IF(H246=1,SUMIFS('Opening Balance'!$F$4:$F$303,'Opening Balance'!$G$4:$G$303,C246),INDEX($L$2:$L$3001,MATCH(C246&amp;"|"&amp;(H246-1),$I$2:$I$3001,0))))</f>
        <v/>
      </c>
      <c r="K246" s="6">
        <f>IF(C246="","",IF(M246&gt;0,M246,IF(AND(E246&gt;0,ROUND(J246+D246-E246,2)&gt;0,ROUND(J246+D246-E246,2)&lt;'Opening Balance'!$B$14),ROUND(J246+D246-E246,2),0)))</f>
        <v/>
      </c>
      <c r="L246" s="6">
        <f>IF(C246="","",ROUND(J246+D246-E246-K246,2))</f>
        <v/>
      </c>
      <c r="M246" s="6">
        <f>IF(C246="","",IF('Daily Sale entry '!Q246="Collection 收款",ROUND(N('Daily Sale entry '!T246),2),0))</f>
        <v/>
      </c>
    </row>
    <row r="247">
      <c r="A247" t="inlineStr">
        <is>
          <t>Entry 记录</t>
        </is>
      </c>
      <c r="B247" s="5">
        <f>IF('Daily Sale entry '!P247="","",'Daily Sale entry '!O247)</f>
        <v/>
      </c>
      <c r="C247">
        <f>IF('Daily Sale entry '!P247="","",'Daily Sale entry '!P247)</f>
        <v/>
      </c>
      <c r="D247">
        <f>IF(C247="","",IF('Daily Sale entry '!Q247="Credit Sale 赊销",'Daily Sale entry '!S247,0))</f>
        <v/>
      </c>
      <c r="E247">
        <f>IF(C247="","",IF('Daily Sale entry '!Q247="Collection 收款",'Daily Sale entry '!S247,0))</f>
        <v/>
      </c>
      <c r="F247" s="37">
        <f>IF(C247="","",B247+IF(E247&gt;0,0,0.5)+ROW()/10000000)</f>
        <v/>
      </c>
      <c r="G247">
        <f>IF(C247="","",'Daily Sale entry '!Q247&amp;IF('Daily Sale entry '!Q247="Collection 收款"," ("&amp;'Daily Sale entry '!R247&amp;")","")&amp;IF('Daily Sale entry '!U247="",""," - "&amp;'Daily Sale entry '!U247))</f>
        <v/>
      </c>
      <c r="H247">
        <f>IF(C247="","",COUNTIFS($C$2:$C$3001,C247,$F$2:$F$3001,"&lt;"&amp;F247)+1)</f>
        <v/>
      </c>
      <c r="I247">
        <f>IF(C247="","",C247&amp;"|"&amp;H247)</f>
        <v/>
      </c>
      <c r="J247" s="6">
        <f>IF(C247="","",IF(H247=1,SUMIFS('Opening Balance'!$F$4:$F$303,'Opening Balance'!$G$4:$G$303,C247),INDEX($L$2:$L$3001,MATCH(C247&amp;"|"&amp;(H247-1),$I$2:$I$3001,0))))</f>
        <v/>
      </c>
      <c r="K247" s="6">
        <f>IF(C247="","",IF(M247&gt;0,M247,IF(AND(E247&gt;0,ROUND(J247+D247-E247,2)&gt;0,ROUND(J247+D247-E247,2)&lt;'Opening Balance'!$B$14),ROUND(J247+D247-E247,2),0)))</f>
        <v/>
      </c>
      <c r="L247" s="6">
        <f>IF(C247="","",ROUND(J247+D247-E247-K247,2))</f>
        <v/>
      </c>
      <c r="M247" s="6">
        <f>IF(C247="","",IF('Daily Sale entry '!Q247="Collection 收款",ROUND(N('Daily Sale entry '!T247),2),0))</f>
        <v/>
      </c>
    </row>
    <row r="248">
      <c r="A248" t="inlineStr">
        <is>
          <t>Entry 记录</t>
        </is>
      </c>
      <c r="B248" s="5">
        <f>IF('Daily Sale entry '!P248="","",'Daily Sale entry '!O248)</f>
        <v/>
      </c>
      <c r="C248">
        <f>IF('Daily Sale entry '!P248="","",'Daily Sale entry '!P248)</f>
        <v/>
      </c>
      <c r="D248">
        <f>IF(C248="","",IF('Daily Sale entry '!Q248="Credit Sale 赊销",'Daily Sale entry '!S248,0))</f>
        <v/>
      </c>
      <c r="E248">
        <f>IF(C248="","",IF('Daily Sale entry '!Q248="Collection 收款",'Daily Sale entry '!S248,0))</f>
        <v/>
      </c>
      <c r="F248" s="37">
        <f>IF(C248="","",B248+IF(E248&gt;0,0,0.5)+ROW()/10000000)</f>
        <v/>
      </c>
      <c r="G248">
        <f>IF(C248="","",'Daily Sale entry '!Q248&amp;IF('Daily Sale entry '!Q248="Collection 收款"," ("&amp;'Daily Sale entry '!R248&amp;")","")&amp;IF('Daily Sale entry '!U248="",""," - "&amp;'Daily Sale entry '!U248))</f>
        <v/>
      </c>
      <c r="H248">
        <f>IF(C248="","",COUNTIFS($C$2:$C$3001,C248,$F$2:$F$3001,"&lt;"&amp;F248)+1)</f>
        <v/>
      </c>
      <c r="I248">
        <f>IF(C248="","",C248&amp;"|"&amp;H248)</f>
        <v/>
      </c>
      <c r="J248" s="6">
        <f>IF(C248="","",IF(H248=1,SUMIFS('Opening Balance'!$F$4:$F$303,'Opening Balance'!$G$4:$G$303,C248),INDEX($L$2:$L$3001,MATCH(C248&amp;"|"&amp;(H248-1),$I$2:$I$3001,0))))</f>
        <v/>
      </c>
      <c r="K248" s="6">
        <f>IF(C248="","",IF(M248&gt;0,M248,IF(AND(E248&gt;0,ROUND(J248+D248-E248,2)&gt;0,ROUND(J248+D248-E248,2)&lt;'Opening Balance'!$B$14),ROUND(J248+D248-E248,2),0)))</f>
        <v/>
      </c>
      <c r="L248" s="6">
        <f>IF(C248="","",ROUND(J248+D248-E248-K248,2))</f>
        <v/>
      </c>
      <c r="M248" s="6">
        <f>IF(C248="","",IF('Daily Sale entry '!Q248="Collection 收款",ROUND(N('Daily Sale entry '!T248),2),0))</f>
        <v/>
      </c>
    </row>
    <row r="249">
      <c r="A249" t="inlineStr">
        <is>
          <t>Entry 记录</t>
        </is>
      </c>
      <c r="B249" s="5">
        <f>IF('Daily Sale entry '!P249="","",'Daily Sale entry '!O249)</f>
        <v/>
      </c>
      <c r="C249">
        <f>IF('Daily Sale entry '!P249="","",'Daily Sale entry '!P249)</f>
        <v/>
      </c>
      <c r="D249">
        <f>IF(C249="","",IF('Daily Sale entry '!Q249="Credit Sale 赊销",'Daily Sale entry '!S249,0))</f>
        <v/>
      </c>
      <c r="E249">
        <f>IF(C249="","",IF('Daily Sale entry '!Q249="Collection 收款",'Daily Sale entry '!S249,0))</f>
        <v/>
      </c>
      <c r="F249" s="37">
        <f>IF(C249="","",B249+IF(E249&gt;0,0,0.5)+ROW()/10000000)</f>
        <v/>
      </c>
      <c r="G249">
        <f>IF(C249="","",'Daily Sale entry '!Q249&amp;IF('Daily Sale entry '!Q249="Collection 收款"," ("&amp;'Daily Sale entry '!R249&amp;")","")&amp;IF('Daily Sale entry '!U249="",""," - "&amp;'Daily Sale entry '!U249))</f>
        <v/>
      </c>
      <c r="H249">
        <f>IF(C249="","",COUNTIFS($C$2:$C$3001,C249,$F$2:$F$3001,"&lt;"&amp;F249)+1)</f>
        <v/>
      </c>
      <c r="I249">
        <f>IF(C249="","",C249&amp;"|"&amp;H249)</f>
        <v/>
      </c>
      <c r="J249" s="6">
        <f>IF(C249="","",IF(H249=1,SUMIFS('Opening Balance'!$F$4:$F$303,'Opening Balance'!$G$4:$G$303,C249),INDEX($L$2:$L$3001,MATCH(C249&amp;"|"&amp;(H249-1),$I$2:$I$3001,0))))</f>
        <v/>
      </c>
      <c r="K249" s="6">
        <f>IF(C249="","",IF(M249&gt;0,M249,IF(AND(E249&gt;0,ROUND(J249+D249-E249,2)&gt;0,ROUND(J249+D249-E249,2)&lt;'Opening Balance'!$B$14),ROUND(J249+D249-E249,2),0)))</f>
        <v/>
      </c>
      <c r="L249" s="6">
        <f>IF(C249="","",ROUND(J249+D249-E249-K249,2))</f>
        <v/>
      </c>
      <c r="M249" s="6">
        <f>IF(C249="","",IF('Daily Sale entry '!Q249="Collection 收款",ROUND(N('Daily Sale entry '!T249),2),0))</f>
        <v/>
      </c>
    </row>
    <row r="250">
      <c r="A250" t="inlineStr">
        <is>
          <t>Entry 记录</t>
        </is>
      </c>
      <c r="B250" s="5">
        <f>IF('Daily Sale entry '!P250="","",'Daily Sale entry '!O250)</f>
        <v/>
      </c>
      <c r="C250">
        <f>IF('Daily Sale entry '!P250="","",'Daily Sale entry '!P250)</f>
        <v/>
      </c>
      <c r="D250">
        <f>IF(C250="","",IF('Daily Sale entry '!Q250="Credit Sale 赊销",'Daily Sale entry '!S250,0))</f>
        <v/>
      </c>
      <c r="E250">
        <f>IF(C250="","",IF('Daily Sale entry '!Q250="Collection 收款",'Daily Sale entry '!S250,0))</f>
        <v/>
      </c>
      <c r="F250" s="37">
        <f>IF(C250="","",B250+IF(E250&gt;0,0,0.5)+ROW()/10000000)</f>
        <v/>
      </c>
      <c r="G250">
        <f>IF(C250="","",'Daily Sale entry '!Q250&amp;IF('Daily Sale entry '!Q250="Collection 收款"," ("&amp;'Daily Sale entry '!R250&amp;")","")&amp;IF('Daily Sale entry '!U250="",""," - "&amp;'Daily Sale entry '!U250))</f>
        <v/>
      </c>
      <c r="H250">
        <f>IF(C250="","",COUNTIFS($C$2:$C$3001,C250,$F$2:$F$3001,"&lt;"&amp;F250)+1)</f>
        <v/>
      </c>
      <c r="I250">
        <f>IF(C250="","",C250&amp;"|"&amp;H250)</f>
        <v/>
      </c>
      <c r="J250" s="6">
        <f>IF(C250="","",IF(H250=1,SUMIFS('Opening Balance'!$F$4:$F$303,'Opening Balance'!$G$4:$G$303,C250),INDEX($L$2:$L$3001,MATCH(C250&amp;"|"&amp;(H250-1),$I$2:$I$3001,0))))</f>
        <v/>
      </c>
      <c r="K250" s="6">
        <f>IF(C250="","",IF(M250&gt;0,M250,IF(AND(E250&gt;0,ROUND(J250+D250-E250,2)&gt;0,ROUND(J250+D250-E250,2)&lt;'Opening Balance'!$B$14),ROUND(J250+D250-E250,2),0)))</f>
        <v/>
      </c>
      <c r="L250" s="6">
        <f>IF(C250="","",ROUND(J250+D250-E250-K250,2))</f>
        <v/>
      </c>
      <c r="M250" s="6">
        <f>IF(C250="","",IF('Daily Sale entry '!Q250="Collection 收款",ROUND(N('Daily Sale entry '!T250),2),0))</f>
        <v/>
      </c>
    </row>
    <row r="251">
      <c r="A251" t="inlineStr">
        <is>
          <t>Entry 记录</t>
        </is>
      </c>
      <c r="B251" s="5">
        <f>IF('Daily Sale entry '!P251="","",'Daily Sale entry '!O251)</f>
        <v/>
      </c>
      <c r="C251">
        <f>IF('Daily Sale entry '!P251="","",'Daily Sale entry '!P251)</f>
        <v/>
      </c>
      <c r="D251">
        <f>IF(C251="","",IF('Daily Sale entry '!Q251="Credit Sale 赊销",'Daily Sale entry '!S251,0))</f>
        <v/>
      </c>
      <c r="E251">
        <f>IF(C251="","",IF('Daily Sale entry '!Q251="Collection 收款",'Daily Sale entry '!S251,0))</f>
        <v/>
      </c>
      <c r="F251" s="37">
        <f>IF(C251="","",B251+IF(E251&gt;0,0,0.5)+ROW()/10000000)</f>
        <v/>
      </c>
      <c r="G251">
        <f>IF(C251="","",'Daily Sale entry '!Q251&amp;IF('Daily Sale entry '!Q251="Collection 收款"," ("&amp;'Daily Sale entry '!R251&amp;")","")&amp;IF('Daily Sale entry '!U251="",""," - "&amp;'Daily Sale entry '!U251))</f>
        <v/>
      </c>
      <c r="H251">
        <f>IF(C251="","",COUNTIFS($C$2:$C$3001,C251,$F$2:$F$3001,"&lt;"&amp;F251)+1)</f>
        <v/>
      </c>
      <c r="I251">
        <f>IF(C251="","",C251&amp;"|"&amp;H251)</f>
        <v/>
      </c>
      <c r="J251" s="6">
        <f>IF(C251="","",IF(H251=1,SUMIFS('Opening Balance'!$F$4:$F$303,'Opening Balance'!$G$4:$G$303,C251),INDEX($L$2:$L$3001,MATCH(C251&amp;"|"&amp;(H251-1),$I$2:$I$3001,0))))</f>
        <v/>
      </c>
      <c r="K251" s="6">
        <f>IF(C251="","",IF(M251&gt;0,M251,IF(AND(E251&gt;0,ROUND(J251+D251-E251,2)&gt;0,ROUND(J251+D251-E251,2)&lt;'Opening Balance'!$B$14),ROUND(J251+D251-E251,2),0)))</f>
        <v/>
      </c>
      <c r="L251" s="6">
        <f>IF(C251="","",ROUND(J251+D251-E251-K251,2))</f>
        <v/>
      </c>
      <c r="M251" s="6">
        <f>IF(C251="","",IF('Daily Sale entry '!Q251="Collection 收款",ROUND(N('Daily Sale entry '!T251),2),0))</f>
        <v/>
      </c>
    </row>
    <row r="252">
      <c r="A252" t="inlineStr">
        <is>
          <t>Entry 记录</t>
        </is>
      </c>
      <c r="B252" s="5">
        <f>IF('Daily Sale entry '!P252="","",'Daily Sale entry '!O252)</f>
        <v/>
      </c>
      <c r="C252">
        <f>IF('Daily Sale entry '!P252="","",'Daily Sale entry '!P252)</f>
        <v/>
      </c>
      <c r="D252">
        <f>IF(C252="","",IF('Daily Sale entry '!Q252="Credit Sale 赊销",'Daily Sale entry '!S252,0))</f>
        <v/>
      </c>
      <c r="E252">
        <f>IF(C252="","",IF('Daily Sale entry '!Q252="Collection 收款",'Daily Sale entry '!S252,0))</f>
        <v/>
      </c>
      <c r="F252" s="37">
        <f>IF(C252="","",B252+IF(E252&gt;0,0,0.5)+ROW()/10000000)</f>
        <v/>
      </c>
      <c r="G252">
        <f>IF(C252="","",'Daily Sale entry '!Q252&amp;IF('Daily Sale entry '!Q252="Collection 收款"," ("&amp;'Daily Sale entry '!R252&amp;")","")&amp;IF('Daily Sale entry '!U252="",""," - "&amp;'Daily Sale entry '!U252))</f>
        <v/>
      </c>
      <c r="H252">
        <f>IF(C252="","",COUNTIFS($C$2:$C$3001,C252,$F$2:$F$3001,"&lt;"&amp;F252)+1)</f>
        <v/>
      </c>
      <c r="I252">
        <f>IF(C252="","",C252&amp;"|"&amp;H252)</f>
        <v/>
      </c>
      <c r="J252" s="6">
        <f>IF(C252="","",IF(H252=1,SUMIFS('Opening Balance'!$F$4:$F$303,'Opening Balance'!$G$4:$G$303,C252),INDEX($L$2:$L$3001,MATCH(C252&amp;"|"&amp;(H252-1),$I$2:$I$3001,0))))</f>
        <v/>
      </c>
      <c r="K252" s="6">
        <f>IF(C252="","",IF(M252&gt;0,M252,IF(AND(E252&gt;0,ROUND(J252+D252-E252,2)&gt;0,ROUND(J252+D252-E252,2)&lt;'Opening Balance'!$B$14),ROUND(J252+D252-E252,2),0)))</f>
        <v/>
      </c>
      <c r="L252" s="6">
        <f>IF(C252="","",ROUND(J252+D252-E252-K252,2))</f>
        <v/>
      </c>
      <c r="M252" s="6">
        <f>IF(C252="","",IF('Daily Sale entry '!Q252="Collection 收款",ROUND(N('Daily Sale entry '!T252),2),0))</f>
        <v/>
      </c>
    </row>
    <row r="253">
      <c r="A253" t="inlineStr">
        <is>
          <t>Entry 记录</t>
        </is>
      </c>
      <c r="B253" s="5">
        <f>IF('Daily Sale entry '!P253="","",'Daily Sale entry '!O253)</f>
        <v/>
      </c>
      <c r="C253">
        <f>IF('Daily Sale entry '!P253="","",'Daily Sale entry '!P253)</f>
        <v/>
      </c>
      <c r="D253">
        <f>IF(C253="","",IF('Daily Sale entry '!Q253="Credit Sale 赊销",'Daily Sale entry '!S253,0))</f>
        <v/>
      </c>
      <c r="E253">
        <f>IF(C253="","",IF('Daily Sale entry '!Q253="Collection 收款",'Daily Sale entry '!S253,0))</f>
        <v/>
      </c>
      <c r="F253" s="37">
        <f>IF(C253="","",B253+IF(E253&gt;0,0,0.5)+ROW()/10000000)</f>
        <v/>
      </c>
      <c r="G253">
        <f>IF(C253="","",'Daily Sale entry '!Q253&amp;IF('Daily Sale entry '!Q253="Collection 收款"," ("&amp;'Daily Sale entry '!R253&amp;")","")&amp;IF('Daily Sale entry '!U253="",""," - "&amp;'Daily Sale entry '!U253))</f>
        <v/>
      </c>
      <c r="H253">
        <f>IF(C253="","",COUNTIFS($C$2:$C$3001,C253,$F$2:$F$3001,"&lt;"&amp;F253)+1)</f>
        <v/>
      </c>
      <c r="I253">
        <f>IF(C253="","",C253&amp;"|"&amp;H253)</f>
        <v/>
      </c>
      <c r="J253" s="6">
        <f>IF(C253="","",IF(H253=1,SUMIFS('Opening Balance'!$F$4:$F$303,'Opening Balance'!$G$4:$G$303,C253),INDEX($L$2:$L$3001,MATCH(C253&amp;"|"&amp;(H253-1),$I$2:$I$3001,0))))</f>
        <v/>
      </c>
      <c r="K253" s="6">
        <f>IF(C253="","",IF(M253&gt;0,M253,IF(AND(E253&gt;0,ROUND(J253+D253-E253,2)&gt;0,ROUND(J253+D253-E253,2)&lt;'Opening Balance'!$B$14),ROUND(J253+D253-E253,2),0)))</f>
        <v/>
      </c>
      <c r="L253" s="6">
        <f>IF(C253="","",ROUND(J253+D253-E253-K253,2))</f>
        <v/>
      </c>
      <c r="M253" s="6">
        <f>IF(C253="","",IF('Daily Sale entry '!Q253="Collection 收款",ROUND(N('Daily Sale entry '!T253),2),0))</f>
        <v/>
      </c>
    </row>
    <row r="254">
      <c r="A254" t="inlineStr">
        <is>
          <t>Entry 记录</t>
        </is>
      </c>
      <c r="B254" s="5">
        <f>IF('Daily Sale entry '!P254="","",'Daily Sale entry '!O254)</f>
        <v/>
      </c>
      <c r="C254">
        <f>IF('Daily Sale entry '!P254="","",'Daily Sale entry '!P254)</f>
        <v/>
      </c>
      <c r="D254">
        <f>IF(C254="","",IF('Daily Sale entry '!Q254="Credit Sale 赊销",'Daily Sale entry '!S254,0))</f>
        <v/>
      </c>
      <c r="E254">
        <f>IF(C254="","",IF('Daily Sale entry '!Q254="Collection 收款",'Daily Sale entry '!S254,0))</f>
        <v/>
      </c>
      <c r="F254" s="37">
        <f>IF(C254="","",B254+IF(E254&gt;0,0,0.5)+ROW()/10000000)</f>
        <v/>
      </c>
      <c r="G254">
        <f>IF(C254="","",'Daily Sale entry '!Q254&amp;IF('Daily Sale entry '!Q254="Collection 收款"," ("&amp;'Daily Sale entry '!R254&amp;")","")&amp;IF('Daily Sale entry '!U254="",""," - "&amp;'Daily Sale entry '!U254))</f>
        <v/>
      </c>
      <c r="H254">
        <f>IF(C254="","",COUNTIFS($C$2:$C$3001,C254,$F$2:$F$3001,"&lt;"&amp;F254)+1)</f>
        <v/>
      </c>
      <c r="I254">
        <f>IF(C254="","",C254&amp;"|"&amp;H254)</f>
        <v/>
      </c>
      <c r="J254" s="6">
        <f>IF(C254="","",IF(H254=1,SUMIFS('Opening Balance'!$F$4:$F$303,'Opening Balance'!$G$4:$G$303,C254),INDEX($L$2:$L$3001,MATCH(C254&amp;"|"&amp;(H254-1),$I$2:$I$3001,0))))</f>
        <v/>
      </c>
      <c r="K254" s="6">
        <f>IF(C254="","",IF(M254&gt;0,M254,IF(AND(E254&gt;0,ROUND(J254+D254-E254,2)&gt;0,ROUND(J254+D254-E254,2)&lt;'Opening Balance'!$B$14),ROUND(J254+D254-E254,2),0)))</f>
        <v/>
      </c>
      <c r="L254" s="6">
        <f>IF(C254="","",ROUND(J254+D254-E254-K254,2))</f>
        <v/>
      </c>
      <c r="M254" s="6">
        <f>IF(C254="","",IF('Daily Sale entry '!Q254="Collection 收款",ROUND(N('Daily Sale entry '!T254),2),0))</f>
        <v/>
      </c>
    </row>
    <row r="255">
      <c r="A255" t="inlineStr">
        <is>
          <t>Entry 记录</t>
        </is>
      </c>
      <c r="B255" s="5">
        <f>IF('Daily Sale entry '!P255="","",'Daily Sale entry '!O255)</f>
        <v/>
      </c>
      <c r="C255">
        <f>IF('Daily Sale entry '!P255="","",'Daily Sale entry '!P255)</f>
        <v/>
      </c>
      <c r="D255">
        <f>IF(C255="","",IF('Daily Sale entry '!Q255="Credit Sale 赊销",'Daily Sale entry '!S255,0))</f>
        <v/>
      </c>
      <c r="E255">
        <f>IF(C255="","",IF('Daily Sale entry '!Q255="Collection 收款",'Daily Sale entry '!S255,0))</f>
        <v/>
      </c>
      <c r="F255" s="37">
        <f>IF(C255="","",B255+IF(E255&gt;0,0,0.5)+ROW()/10000000)</f>
        <v/>
      </c>
      <c r="G255">
        <f>IF(C255="","",'Daily Sale entry '!Q255&amp;IF('Daily Sale entry '!Q255="Collection 收款"," ("&amp;'Daily Sale entry '!R255&amp;")","")&amp;IF('Daily Sale entry '!U255="",""," - "&amp;'Daily Sale entry '!U255))</f>
        <v/>
      </c>
      <c r="H255">
        <f>IF(C255="","",COUNTIFS($C$2:$C$3001,C255,$F$2:$F$3001,"&lt;"&amp;F255)+1)</f>
        <v/>
      </c>
      <c r="I255">
        <f>IF(C255="","",C255&amp;"|"&amp;H255)</f>
        <v/>
      </c>
      <c r="J255" s="6">
        <f>IF(C255="","",IF(H255=1,SUMIFS('Opening Balance'!$F$4:$F$303,'Opening Balance'!$G$4:$G$303,C255),INDEX($L$2:$L$3001,MATCH(C255&amp;"|"&amp;(H255-1),$I$2:$I$3001,0))))</f>
        <v/>
      </c>
      <c r="K255" s="6">
        <f>IF(C255="","",IF(M255&gt;0,M255,IF(AND(E255&gt;0,ROUND(J255+D255-E255,2)&gt;0,ROUND(J255+D255-E255,2)&lt;'Opening Balance'!$B$14),ROUND(J255+D255-E255,2),0)))</f>
        <v/>
      </c>
      <c r="L255" s="6">
        <f>IF(C255="","",ROUND(J255+D255-E255-K255,2))</f>
        <v/>
      </c>
      <c r="M255" s="6">
        <f>IF(C255="","",IF('Daily Sale entry '!Q255="Collection 收款",ROUND(N('Daily Sale entry '!T255),2),0))</f>
        <v/>
      </c>
    </row>
    <row r="256">
      <c r="A256" t="inlineStr">
        <is>
          <t>Entry 记录</t>
        </is>
      </c>
      <c r="B256" s="5">
        <f>IF('Daily Sale entry '!P256="","",'Daily Sale entry '!O256)</f>
        <v/>
      </c>
      <c r="C256">
        <f>IF('Daily Sale entry '!P256="","",'Daily Sale entry '!P256)</f>
        <v/>
      </c>
      <c r="D256">
        <f>IF(C256="","",IF('Daily Sale entry '!Q256="Credit Sale 赊销",'Daily Sale entry '!S256,0))</f>
        <v/>
      </c>
      <c r="E256">
        <f>IF(C256="","",IF('Daily Sale entry '!Q256="Collection 收款",'Daily Sale entry '!S256,0))</f>
        <v/>
      </c>
      <c r="F256" s="37">
        <f>IF(C256="","",B256+IF(E256&gt;0,0,0.5)+ROW()/10000000)</f>
        <v/>
      </c>
      <c r="G256">
        <f>IF(C256="","",'Daily Sale entry '!Q256&amp;IF('Daily Sale entry '!Q256="Collection 收款"," ("&amp;'Daily Sale entry '!R256&amp;")","")&amp;IF('Daily Sale entry '!U256="",""," - "&amp;'Daily Sale entry '!U256))</f>
        <v/>
      </c>
      <c r="H256">
        <f>IF(C256="","",COUNTIFS($C$2:$C$3001,C256,$F$2:$F$3001,"&lt;"&amp;F256)+1)</f>
        <v/>
      </c>
      <c r="I256">
        <f>IF(C256="","",C256&amp;"|"&amp;H256)</f>
        <v/>
      </c>
      <c r="J256" s="6">
        <f>IF(C256="","",IF(H256=1,SUMIFS('Opening Balance'!$F$4:$F$303,'Opening Balance'!$G$4:$G$303,C256),INDEX($L$2:$L$3001,MATCH(C256&amp;"|"&amp;(H256-1),$I$2:$I$3001,0))))</f>
        <v/>
      </c>
      <c r="K256" s="6">
        <f>IF(C256="","",IF(M256&gt;0,M256,IF(AND(E256&gt;0,ROUND(J256+D256-E256,2)&gt;0,ROUND(J256+D256-E256,2)&lt;'Opening Balance'!$B$14),ROUND(J256+D256-E256,2),0)))</f>
        <v/>
      </c>
      <c r="L256" s="6">
        <f>IF(C256="","",ROUND(J256+D256-E256-K256,2))</f>
        <v/>
      </c>
      <c r="M256" s="6">
        <f>IF(C256="","",IF('Daily Sale entry '!Q256="Collection 收款",ROUND(N('Daily Sale entry '!T256),2),0))</f>
        <v/>
      </c>
    </row>
    <row r="257">
      <c r="A257" t="inlineStr">
        <is>
          <t>Entry 记录</t>
        </is>
      </c>
      <c r="B257" s="5">
        <f>IF('Daily Sale entry '!P257="","",'Daily Sale entry '!O257)</f>
        <v/>
      </c>
      <c r="C257">
        <f>IF('Daily Sale entry '!P257="","",'Daily Sale entry '!P257)</f>
        <v/>
      </c>
      <c r="D257">
        <f>IF(C257="","",IF('Daily Sale entry '!Q257="Credit Sale 赊销",'Daily Sale entry '!S257,0))</f>
        <v/>
      </c>
      <c r="E257">
        <f>IF(C257="","",IF('Daily Sale entry '!Q257="Collection 收款",'Daily Sale entry '!S257,0))</f>
        <v/>
      </c>
      <c r="F257" s="37">
        <f>IF(C257="","",B257+IF(E257&gt;0,0,0.5)+ROW()/10000000)</f>
        <v/>
      </c>
      <c r="G257">
        <f>IF(C257="","",'Daily Sale entry '!Q257&amp;IF('Daily Sale entry '!Q257="Collection 收款"," ("&amp;'Daily Sale entry '!R257&amp;")","")&amp;IF('Daily Sale entry '!U257="",""," - "&amp;'Daily Sale entry '!U257))</f>
        <v/>
      </c>
      <c r="H257">
        <f>IF(C257="","",COUNTIFS($C$2:$C$3001,C257,$F$2:$F$3001,"&lt;"&amp;F257)+1)</f>
        <v/>
      </c>
      <c r="I257">
        <f>IF(C257="","",C257&amp;"|"&amp;H257)</f>
        <v/>
      </c>
      <c r="J257" s="6">
        <f>IF(C257="","",IF(H257=1,SUMIFS('Opening Balance'!$F$4:$F$303,'Opening Balance'!$G$4:$G$303,C257),INDEX($L$2:$L$3001,MATCH(C257&amp;"|"&amp;(H257-1),$I$2:$I$3001,0))))</f>
        <v/>
      </c>
      <c r="K257" s="6">
        <f>IF(C257="","",IF(M257&gt;0,M257,IF(AND(E257&gt;0,ROUND(J257+D257-E257,2)&gt;0,ROUND(J257+D257-E257,2)&lt;'Opening Balance'!$B$14),ROUND(J257+D257-E257,2),0)))</f>
        <v/>
      </c>
      <c r="L257" s="6">
        <f>IF(C257="","",ROUND(J257+D257-E257-K257,2))</f>
        <v/>
      </c>
      <c r="M257" s="6">
        <f>IF(C257="","",IF('Daily Sale entry '!Q257="Collection 收款",ROUND(N('Daily Sale entry '!T257),2),0))</f>
        <v/>
      </c>
    </row>
    <row r="258">
      <c r="A258" t="inlineStr">
        <is>
          <t>Entry 记录</t>
        </is>
      </c>
      <c r="B258" s="5">
        <f>IF('Daily Sale entry '!P258="","",'Daily Sale entry '!O258)</f>
        <v/>
      </c>
      <c r="C258">
        <f>IF('Daily Sale entry '!P258="","",'Daily Sale entry '!P258)</f>
        <v/>
      </c>
      <c r="D258">
        <f>IF(C258="","",IF('Daily Sale entry '!Q258="Credit Sale 赊销",'Daily Sale entry '!S258,0))</f>
        <v/>
      </c>
      <c r="E258">
        <f>IF(C258="","",IF('Daily Sale entry '!Q258="Collection 收款",'Daily Sale entry '!S258,0))</f>
        <v/>
      </c>
      <c r="F258" s="37">
        <f>IF(C258="","",B258+IF(E258&gt;0,0,0.5)+ROW()/10000000)</f>
        <v/>
      </c>
      <c r="G258">
        <f>IF(C258="","",'Daily Sale entry '!Q258&amp;IF('Daily Sale entry '!Q258="Collection 收款"," ("&amp;'Daily Sale entry '!R258&amp;")","")&amp;IF('Daily Sale entry '!U258="",""," - "&amp;'Daily Sale entry '!U258))</f>
        <v/>
      </c>
      <c r="H258">
        <f>IF(C258="","",COUNTIFS($C$2:$C$3001,C258,$F$2:$F$3001,"&lt;"&amp;F258)+1)</f>
        <v/>
      </c>
      <c r="I258">
        <f>IF(C258="","",C258&amp;"|"&amp;H258)</f>
        <v/>
      </c>
      <c r="J258" s="6">
        <f>IF(C258="","",IF(H258=1,SUMIFS('Opening Balance'!$F$4:$F$303,'Opening Balance'!$G$4:$G$303,C258),INDEX($L$2:$L$3001,MATCH(C258&amp;"|"&amp;(H258-1),$I$2:$I$3001,0))))</f>
        <v/>
      </c>
      <c r="K258" s="6">
        <f>IF(C258="","",IF(M258&gt;0,M258,IF(AND(E258&gt;0,ROUND(J258+D258-E258,2)&gt;0,ROUND(J258+D258-E258,2)&lt;'Opening Balance'!$B$14),ROUND(J258+D258-E258,2),0)))</f>
        <v/>
      </c>
      <c r="L258" s="6">
        <f>IF(C258="","",ROUND(J258+D258-E258-K258,2))</f>
        <v/>
      </c>
      <c r="M258" s="6">
        <f>IF(C258="","",IF('Daily Sale entry '!Q258="Collection 收款",ROUND(N('Daily Sale entry '!T258),2),0))</f>
        <v/>
      </c>
    </row>
    <row r="259">
      <c r="A259" t="inlineStr">
        <is>
          <t>Entry 记录</t>
        </is>
      </c>
      <c r="B259" s="5">
        <f>IF('Daily Sale entry '!P259="","",'Daily Sale entry '!O259)</f>
        <v/>
      </c>
      <c r="C259">
        <f>IF('Daily Sale entry '!P259="","",'Daily Sale entry '!P259)</f>
        <v/>
      </c>
      <c r="D259">
        <f>IF(C259="","",IF('Daily Sale entry '!Q259="Credit Sale 赊销",'Daily Sale entry '!S259,0))</f>
        <v/>
      </c>
      <c r="E259">
        <f>IF(C259="","",IF('Daily Sale entry '!Q259="Collection 收款",'Daily Sale entry '!S259,0))</f>
        <v/>
      </c>
      <c r="F259" s="37">
        <f>IF(C259="","",B259+IF(E259&gt;0,0,0.5)+ROW()/10000000)</f>
        <v/>
      </c>
      <c r="G259">
        <f>IF(C259="","",'Daily Sale entry '!Q259&amp;IF('Daily Sale entry '!Q259="Collection 收款"," ("&amp;'Daily Sale entry '!R259&amp;")","")&amp;IF('Daily Sale entry '!U259="",""," - "&amp;'Daily Sale entry '!U259))</f>
        <v/>
      </c>
      <c r="H259">
        <f>IF(C259="","",COUNTIFS($C$2:$C$3001,C259,$F$2:$F$3001,"&lt;"&amp;F259)+1)</f>
        <v/>
      </c>
      <c r="I259">
        <f>IF(C259="","",C259&amp;"|"&amp;H259)</f>
        <v/>
      </c>
      <c r="J259" s="6">
        <f>IF(C259="","",IF(H259=1,SUMIFS('Opening Balance'!$F$4:$F$303,'Opening Balance'!$G$4:$G$303,C259),INDEX($L$2:$L$3001,MATCH(C259&amp;"|"&amp;(H259-1),$I$2:$I$3001,0))))</f>
        <v/>
      </c>
      <c r="K259" s="6">
        <f>IF(C259="","",IF(M259&gt;0,M259,IF(AND(E259&gt;0,ROUND(J259+D259-E259,2)&gt;0,ROUND(J259+D259-E259,2)&lt;'Opening Balance'!$B$14),ROUND(J259+D259-E259,2),0)))</f>
        <v/>
      </c>
      <c r="L259" s="6">
        <f>IF(C259="","",ROUND(J259+D259-E259-K259,2))</f>
        <v/>
      </c>
      <c r="M259" s="6">
        <f>IF(C259="","",IF('Daily Sale entry '!Q259="Collection 收款",ROUND(N('Daily Sale entry '!T259),2),0))</f>
        <v/>
      </c>
    </row>
    <row r="260">
      <c r="A260" t="inlineStr">
        <is>
          <t>Entry 记录</t>
        </is>
      </c>
      <c r="B260" s="5">
        <f>IF('Daily Sale entry '!P260="","",'Daily Sale entry '!O260)</f>
        <v/>
      </c>
      <c r="C260">
        <f>IF('Daily Sale entry '!P260="","",'Daily Sale entry '!P260)</f>
        <v/>
      </c>
      <c r="D260">
        <f>IF(C260="","",IF('Daily Sale entry '!Q260="Credit Sale 赊销",'Daily Sale entry '!S260,0))</f>
        <v/>
      </c>
      <c r="E260">
        <f>IF(C260="","",IF('Daily Sale entry '!Q260="Collection 收款",'Daily Sale entry '!S260,0))</f>
        <v/>
      </c>
      <c r="F260" s="37">
        <f>IF(C260="","",B260+IF(E260&gt;0,0,0.5)+ROW()/10000000)</f>
        <v/>
      </c>
      <c r="G260">
        <f>IF(C260="","",'Daily Sale entry '!Q260&amp;IF('Daily Sale entry '!Q260="Collection 收款"," ("&amp;'Daily Sale entry '!R260&amp;")","")&amp;IF('Daily Sale entry '!U260="",""," - "&amp;'Daily Sale entry '!U260))</f>
        <v/>
      </c>
      <c r="H260">
        <f>IF(C260="","",COUNTIFS($C$2:$C$3001,C260,$F$2:$F$3001,"&lt;"&amp;F260)+1)</f>
        <v/>
      </c>
      <c r="I260">
        <f>IF(C260="","",C260&amp;"|"&amp;H260)</f>
        <v/>
      </c>
      <c r="J260" s="6">
        <f>IF(C260="","",IF(H260=1,SUMIFS('Opening Balance'!$F$4:$F$303,'Opening Balance'!$G$4:$G$303,C260),INDEX($L$2:$L$3001,MATCH(C260&amp;"|"&amp;(H260-1),$I$2:$I$3001,0))))</f>
        <v/>
      </c>
      <c r="K260" s="6">
        <f>IF(C260="","",IF(M260&gt;0,M260,IF(AND(E260&gt;0,ROUND(J260+D260-E260,2)&gt;0,ROUND(J260+D260-E260,2)&lt;'Opening Balance'!$B$14),ROUND(J260+D260-E260,2),0)))</f>
        <v/>
      </c>
      <c r="L260" s="6">
        <f>IF(C260="","",ROUND(J260+D260-E260-K260,2))</f>
        <v/>
      </c>
      <c r="M260" s="6">
        <f>IF(C260="","",IF('Daily Sale entry '!Q260="Collection 收款",ROUND(N('Daily Sale entry '!T260),2),0))</f>
        <v/>
      </c>
    </row>
    <row r="261">
      <c r="A261" t="inlineStr">
        <is>
          <t>Entry 记录</t>
        </is>
      </c>
      <c r="B261" s="5">
        <f>IF('Daily Sale entry '!P261="","",'Daily Sale entry '!O261)</f>
        <v/>
      </c>
      <c r="C261">
        <f>IF('Daily Sale entry '!P261="","",'Daily Sale entry '!P261)</f>
        <v/>
      </c>
      <c r="D261">
        <f>IF(C261="","",IF('Daily Sale entry '!Q261="Credit Sale 赊销",'Daily Sale entry '!S261,0))</f>
        <v/>
      </c>
      <c r="E261">
        <f>IF(C261="","",IF('Daily Sale entry '!Q261="Collection 收款",'Daily Sale entry '!S261,0))</f>
        <v/>
      </c>
      <c r="F261" s="37">
        <f>IF(C261="","",B261+IF(E261&gt;0,0,0.5)+ROW()/10000000)</f>
        <v/>
      </c>
      <c r="G261">
        <f>IF(C261="","",'Daily Sale entry '!Q261&amp;IF('Daily Sale entry '!Q261="Collection 收款"," ("&amp;'Daily Sale entry '!R261&amp;")","")&amp;IF('Daily Sale entry '!U261="",""," - "&amp;'Daily Sale entry '!U261))</f>
        <v/>
      </c>
      <c r="H261">
        <f>IF(C261="","",COUNTIFS($C$2:$C$3001,C261,$F$2:$F$3001,"&lt;"&amp;F261)+1)</f>
        <v/>
      </c>
      <c r="I261">
        <f>IF(C261="","",C261&amp;"|"&amp;H261)</f>
        <v/>
      </c>
      <c r="J261" s="6">
        <f>IF(C261="","",IF(H261=1,SUMIFS('Opening Balance'!$F$4:$F$303,'Opening Balance'!$G$4:$G$303,C261),INDEX($L$2:$L$3001,MATCH(C261&amp;"|"&amp;(H261-1),$I$2:$I$3001,0))))</f>
        <v/>
      </c>
      <c r="K261" s="6">
        <f>IF(C261="","",IF(M261&gt;0,M261,IF(AND(E261&gt;0,ROUND(J261+D261-E261,2)&gt;0,ROUND(J261+D261-E261,2)&lt;'Opening Balance'!$B$14),ROUND(J261+D261-E261,2),0)))</f>
        <v/>
      </c>
      <c r="L261" s="6">
        <f>IF(C261="","",ROUND(J261+D261-E261-K261,2))</f>
        <v/>
      </c>
      <c r="M261" s="6">
        <f>IF(C261="","",IF('Daily Sale entry '!Q261="Collection 收款",ROUND(N('Daily Sale entry '!T261),2),0))</f>
        <v/>
      </c>
    </row>
    <row r="262">
      <c r="A262" t="inlineStr">
        <is>
          <t>Entry 记录</t>
        </is>
      </c>
      <c r="B262" s="5">
        <f>IF('Daily Sale entry '!P262="","",'Daily Sale entry '!O262)</f>
        <v/>
      </c>
      <c r="C262">
        <f>IF('Daily Sale entry '!P262="","",'Daily Sale entry '!P262)</f>
        <v/>
      </c>
      <c r="D262">
        <f>IF(C262="","",IF('Daily Sale entry '!Q262="Credit Sale 赊销",'Daily Sale entry '!S262,0))</f>
        <v/>
      </c>
      <c r="E262">
        <f>IF(C262="","",IF('Daily Sale entry '!Q262="Collection 收款",'Daily Sale entry '!S262,0))</f>
        <v/>
      </c>
      <c r="F262" s="37">
        <f>IF(C262="","",B262+IF(E262&gt;0,0,0.5)+ROW()/10000000)</f>
        <v/>
      </c>
      <c r="G262">
        <f>IF(C262="","",'Daily Sale entry '!Q262&amp;IF('Daily Sale entry '!Q262="Collection 收款"," ("&amp;'Daily Sale entry '!R262&amp;")","")&amp;IF('Daily Sale entry '!U262="",""," - "&amp;'Daily Sale entry '!U262))</f>
        <v/>
      </c>
      <c r="H262">
        <f>IF(C262="","",COUNTIFS($C$2:$C$3001,C262,$F$2:$F$3001,"&lt;"&amp;F262)+1)</f>
        <v/>
      </c>
      <c r="I262">
        <f>IF(C262="","",C262&amp;"|"&amp;H262)</f>
        <v/>
      </c>
      <c r="J262" s="6">
        <f>IF(C262="","",IF(H262=1,SUMIFS('Opening Balance'!$F$4:$F$303,'Opening Balance'!$G$4:$G$303,C262),INDEX($L$2:$L$3001,MATCH(C262&amp;"|"&amp;(H262-1),$I$2:$I$3001,0))))</f>
        <v/>
      </c>
      <c r="K262" s="6">
        <f>IF(C262="","",IF(M262&gt;0,M262,IF(AND(E262&gt;0,ROUND(J262+D262-E262,2)&gt;0,ROUND(J262+D262-E262,2)&lt;'Opening Balance'!$B$14),ROUND(J262+D262-E262,2),0)))</f>
        <v/>
      </c>
      <c r="L262" s="6">
        <f>IF(C262="","",ROUND(J262+D262-E262-K262,2))</f>
        <v/>
      </c>
      <c r="M262" s="6">
        <f>IF(C262="","",IF('Daily Sale entry '!Q262="Collection 收款",ROUND(N('Daily Sale entry '!T262),2),0))</f>
        <v/>
      </c>
    </row>
    <row r="263">
      <c r="A263" t="inlineStr">
        <is>
          <t>Entry 记录</t>
        </is>
      </c>
      <c r="B263" s="5">
        <f>IF('Daily Sale entry '!P263="","",'Daily Sale entry '!O263)</f>
        <v/>
      </c>
      <c r="C263">
        <f>IF('Daily Sale entry '!P263="","",'Daily Sale entry '!P263)</f>
        <v/>
      </c>
      <c r="D263">
        <f>IF(C263="","",IF('Daily Sale entry '!Q263="Credit Sale 赊销",'Daily Sale entry '!S263,0))</f>
        <v/>
      </c>
      <c r="E263">
        <f>IF(C263="","",IF('Daily Sale entry '!Q263="Collection 收款",'Daily Sale entry '!S263,0))</f>
        <v/>
      </c>
      <c r="F263" s="37">
        <f>IF(C263="","",B263+IF(E263&gt;0,0,0.5)+ROW()/10000000)</f>
        <v/>
      </c>
      <c r="G263">
        <f>IF(C263="","",'Daily Sale entry '!Q263&amp;IF('Daily Sale entry '!Q263="Collection 收款"," ("&amp;'Daily Sale entry '!R263&amp;")","")&amp;IF('Daily Sale entry '!U263="",""," - "&amp;'Daily Sale entry '!U263))</f>
        <v/>
      </c>
      <c r="H263">
        <f>IF(C263="","",COUNTIFS($C$2:$C$3001,C263,$F$2:$F$3001,"&lt;"&amp;F263)+1)</f>
        <v/>
      </c>
      <c r="I263">
        <f>IF(C263="","",C263&amp;"|"&amp;H263)</f>
        <v/>
      </c>
      <c r="J263" s="6">
        <f>IF(C263="","",IF(H263=1,SUMIFS('Opening Balance'!$F$4:$F$303,'Opening Balance'!$G$4:$G$303,C263),INDEX($L$2:$L$3001,MATCH(C263&amp;"|"&amp;(H263-1),$I$2:$I$3001,0))))</f>
        <v/>
      </c>
      <c r="K263" s="6">
        <f>IF(C263="","",IF(M263&gt;0,M263,IF(AND(E263&gt;0,ROUND(J263+D263-E263,2)&gt;0,ROUND(J263+D263-E263,2)&lt;'Opening Balance'!$B$14),ROUND(J263+D263-E263,2),0)))</f>
        <v/>
      </c>
      <c r="L263" s="6">
        <f>IF(C263="","",ROUND(J263+D263-E263-K263,2))</f>
        <v/>
      </c>
      <c r="M263" s="6">
        <f>IF(C263="","",IF('Daily Sale entry '!Q263="Collection 收款",ROUND(N('Daily Sale entry '!T263),2),0))</f>
        <v/>
      </c>
    </row>
    <row r="264">
      <c r="A264" t="inlineStr">
        <is>
          <t>Entry 记录</t>
        </is>
      </c>
      <c r="B264" s="5">
        <f>IF('Daily Sale entry '!P264="","",'Daily Sale entry '!O264)</f>
        <v/>
      </c>
      <c r="C264">
        <f>IF('Daily Sale entry '!P264="","",'Daily Sale entry '!P264)</f>
        <v/>
      </c>
      <c r="D264">
        <f>IF(C264="","",IF('Daily Sale entry '!Q264="Credit Sale 赊销",'Daily Sale entry '!S264,0))</f>
        <v/>
      </c>
      <c r="E264">
        <f>IF(C264="","",IF('Daily Sale entry '!Q264="Collection 收款",'Daily Sale entry '!S264,0))</f>
        <v/>
      </c>
      <c r="F264" s="37">
        <f>IF(C264="","",B264+IF(E264&gt;0,0,0.5)+ROW()/10000000)</f>
        <v/>
      </c>
      <c r="G264">
        <f>IF(C264="","",'Daily Sale entry '!Q264&amp;IF('Daily Sale entry '!Q264="Collection 收款"," ("&amp;'Daily Sale entry '!R264&amp;")","")&amp;IF('Daily Sale entry '!U264="",""," - "&amp;'Daily Sale entry '!U264))</f>
        <v/>
      </c>
      <c r="H264">
        <f>IF(C264="","",COUNTIFS($C$2:$C$3001,C264,$F$2:$F$3001,"&lt;"&amp;F264)+1)</f>
        <v/>
      </c>
      <c r="I264">
        <f>IF(C264="","",C264&amp;"|"&amp;H264)</f>
        <v/>
      </c>
      <c r="J264" s="6">
        <f>IF(C264="","",IF(H264=1,SUMIFS('Opening Balance'!$F$4:$F$303,'Opening Balance'!$G$4:$G$303,C264),INDEX($L$2:$L$3001,MATCH(C264&amp;"|"&amp;(H264-1),$I$2:$I$3001,0))))</f>
        <v/>
      </c>
      <c r="K264" s="6">
        <f>IF(C264="","",IF(M264&gt;0,M264,IF(AND(E264&gt;0,ROUND(J264+D264-E264,2)&gt;0,ROUND(J264+D264-E264,2)&lt;'Opening Balance'!$B$14),ROUND(J264+D264-E264,2),0)))</f>
        <v/>
      </c>
      <c r="L264" s="6">
        <f>IF(C264="","",ROUND(J264+D264-E264-K264,2))</f>
        <v/>
      </c>
      <c r="M264" s="6">
        <f>IF(C264="","",IF('Daily Sale entry '!Q264="Collection 收款",ROUND(N('Daily Sale entry '!T264),2),0))</f>
        <v/>
      </c>
    </row>
    <row r="265">
      <c r="A265" t="inlineStr">
        <is>
          <t>Entry 记录</t>
        </is>
      </c>
      <c r="B265" s="5">
        <f>IF('Daily Sale entry '!P265="","",'Daily Sale entry '!O265)</f>
        <v/>
      </c>
      <c r="C265">
        <f>IF('Daily Sale entry '!P265="","",'Daily Sale entry '!P265)</f>
        <v/>
      </c>
      <c r="D265">
        <f>IF(C265="","",IF('Daily Sale entry '!Q265="Credit Sale 赊销",'Daily Sale entry '!S265,0))</f>
        <v/>
      </c>
      <c r="E265">
        <f>IF(C265="","",IF('Daily Sale entry '!Q265="Collection 收款",'Daily Sale entry '!S265,0))</f>
        <v/>
      </c>
      <c r="F265" s="37">
        <f>IF(C265="","",B265+IF(E265&gt;0,0,0.5)+ROW()/10000000)</f>
        <v/>
      </c>
      <c r="G265">
        <f>IF(C265="","",'Daily Sale entry '!Q265&amp;IF('Daily Sale entry '!Q265="Collection 收款"," ("&amp;'Daily Sale entry '!R265&amp;")","")&amp;IF('Daily Sale entry '!U265="",""," - "&amp;'Daily Sale entry '!U265))</f>
        <v/>
      </c>
      <c r="H265">
        <f>IF(C265="","",COUNTIFS($C$2:$C$3001,C265,$F$2:$F$3001,"&lt;"&amp;F265)+1)</f>
        <v/>
      </c>
      <c r="I265">
        <f>IF(C265="","",C265&amp;"|"&amp;H265)</f>
        <v/>
      </c>
      <c r="J265" s="6">
        <f>IF(C265="","",IF(H265=1,SUMIFS('Opening Balance'!$F$4:$F$303,'Opening Balance'!$G$4:$G$303,C265),INDEX($L$2:$L$3001,MATCH(C265&amp;"|"&amp;(H265-1),$I$2:$I$3001,0))))</f>
        <v/>
      </c>
      <c r="K265" s="6">
        <f>IF(C265="","",IF(M265&gt;0,M265,IF(AND(E265&gt;0,ROUND(J265+D265-E265,2)&gt;0,ROUND(J265+D265-E265,2)&lt;'Opening Balance'!$B$14),ROUND(J265+D265-E265,2),0)))</f>
        <v/>
      </c>
      <c r="L265" s="6">
        <f>IF(C265="","",ROUND(J265+D265-E265-K265,2))</f>
        <v/>
      </c>
      <c r="M265" s="6">
        <f>IF(C265="","",IF('Daily Sale entry '!Q265="Collection 收款",ROUND(N('Daily Sale entry '!T265),2),0))</f>
        <v/>
      </c>
    </row>
    <row r="266">
      <c r="A266" t="inlineStr">
        <is>
          <t>Entry 记录</t>
        </is>
      </c>
      <c r="B266" s="5">
        <f>IF('Daily Sale entry '!P266="","",'Daily Sale entry '!O266)</f>
        <v/>
      </c>
      <c r="C266">
        <f>IF('Daily Sale entry '!P266="","",'Daily Sale entry '!P266)</f>
        <v/>
      </c>
      <c r="D266">
        <f>IF(C266="","",IF('Daily Sale entry '!Q266="Credit Sale 赊销",'Daily Sale entry '!S266,0))</f>
        <v/>
      </c>
      <c r="E266">
        <f>IF(C266="","",IF('Daily Sale entry '!Q266="Collection 收款",'Daily Sale entry '!S266,0))</f>
        <v/>
      </c>
      <c r="F266" s="37">
        <f>IF(C266="","",B266+IF(E266&gt;0,0,0.5)+ROW()/10000000)</f>
        <v/>
      </c>
      <c r="G266">
        <f>IF(C266="","",'Daily Sale entry '!Q266&amp;IF('Daily Sale entry '!Q266="Collection 收款"," ("&amp;'Daily Sale entry '!R266&amp;")","")&amp;IF('Daily Sale entry '!U266="",""," - "&amp;'Daily Sale entry '!U266))</f>
        <v/>
      </c>
      <c r="H266">
        <f>IF(C266="","",COUNTIFS($C$2:$C$3001,C266,$F$2:$F$3001,"&lt;"&amp;F266)+1)</f>
        <v/>
      </c>
      <c r="I266">
        <f>IF(C266="","",C266&amp;"|"&amp;H266)</f>
        <v/>
      </c>
      <c r="J266" s="6">
        <f>IF(C266="","",IF(H266=1,SUMIFS('Opening Balance'!$F$4:$F$303,'Opening Balance'!$G$4:$G$303,C266),INDEX($L$2:$L$3001,MATCH(C266&amp;"|"&amp;(H266-1),$I$2:$I$3001,0))))</f>
        <v/>
      </c>
      <c r="K266" s="6">
        <f>IF(C266="","",IF(M266&gt;0,M266,IF(AND(E266&gt;0,ROUND(J266+D266-E266,2)&gt;0,ROUND(J266+D266-E266,2)&lt;'Opening Balance'!$B$14),ROUND(J266+D266-E266,2),0)))</f>
        <v/>
      </c>
      <c r="L266" s="6">
        <f>IF(C266="","",ROUND(J266+D266-E266-K266,2))</f>
        <v/>
      </c>
      <c r="M266" s="6">
        <f>IF(C266="","",IF('Daily Sale entry '!Q266="Collection 收款",ROUND(N('Daily Sale entry '!T266),2),0))</f>
        <v/>
      </c>
    </row>
    <row r="267">
      <c r="A267" t="inlineStr">
        <is>
          <t>Entry 记录</t>
        </is>
      </c>
      <c r="B267" s="5">
        <f>IF('Daily Sale entry '!P267="","",'Daily Sale entry '!O267)</f>
        <v/>
      </c>
      <c r="C267">
        <f>IF('Daily Sale entry '!P267="","",'Daily Sale entry '!P267)</f>
        <v/>
      </c>
      <c r="D267">
        <f>IF(C267="","",IF('Daily Sale entry '!Q267="Credit Sale 赊销",'Daily Sale entry '!S267,0))</f>
        <v/>
      </c>
      <c r="E267">
        <f>IF(C267="","",IF('Daily Sale entry '!Q267="Collection 收款",'Daily Sale entry '!S267,0))</f>
        <v/>
      </c>
      <c r="F267" s="37">
        <f>IF(C267="","",B267+IF(E267&gt;0,0,0.5)+ROW()/10000000)</f>
        <v/>
      </c>
      <c r="G267">
        <f>IF(C267="","",'Daily Sale entry '!Q267&amp;IF('Daily Sale entry '!Q267="Collection 收款"," ("&amp;'Daily Sale entry '!R267&amp;")","")&amp;IF('Daily Sale entry '!U267="",""," - "&amp;'Daily Sale entry '!U267))</f>
        <v/>
      </c>
      <c r="H267">
        <f>IF(C267="","",COUNTIFS($C$2:$C$3001,C267,$F$2:$F$3001,"&lt;"&amp;F267)+1)</f>
        <v/>
      </c>
      <c r="I267">
        <f>IF(C267="","",C267&amp;"|"&amp;H267)</f>
        <v/>
      </c>
      <c r="J267" s="6">
        <f>IF(C267="","",IF(H267=1,SUMIFS('Opening Balance'!$F$4:$F$303,'Opening Balance'!$G$4:$G$303,C267),INDEX($L$2:$L$3001,MATCH(C267&amp;"|"&amp;(H267-1),$I$2:$I$3001,0))))</f>
        <v/>
      </c>
      <c r="K267" s="6">
        <f>IF(C267="","",IF(M267&gt;0,M267,IF(AND(E267&gt;0,ROUND(J267+D267-E267,2)&gt;0,ROUND(J267+D267-E267,2)&lt;'Opening Balance'!$B$14),ROUND(J267+D267-E267,2),0)))</f>
        <v/>
      </c>
      <c r="L267" s="6">
        <f>IF(C267="","",ROUND(J267+D267-E267-K267,2))</f>
        <v/>
      </c>
      <c r="M267" s="6">
        <f>IF(C267="","",IF('Daily Sale entry '!Q267="Collection 收款",ROUND(N('Daily Sale entry '!T267),2),0))</f>
        <v/>
      </c>
    </row>
    <row r="268">
      <c r="A268" t="inlineStr">
        <is>
          <t>Entry 记录</t>
        </is>
      </c>
      <c r="B268" s="5">
        <f>IF('Daily Sale entry '!P268="","",'Daily Sale entry '!O268)</f>
        <v/>
      </c>
      <c r="C268">
        <f>IF('Daily Sale entry '!P268="","",'Daily Sale entry '!P268)</f>
        <v/>
      </c>
      <c r="D268">
        <f>IF(C268="","",IF('Daily Sale entry '!Q268="Credit Sale 赊销",'Daily Sale entry '!S268,0))</f>
        <v/>
      </c>
      <c r="E268">
        <f>IF(C268="","",IF('Daily Sale entry '!Q268="Collection 收款",'Daily Sale entry '!S268,0))</f>
        <v/>
      </c>
      <c r="F268" s="37">
        <f>IF(C268="","",B268+IF(E268&gt;0,0,0.5)+ROW()/10000000)</f>
        <v/>
      </c>
      <c r="G268">
        <f>IF(C268="","",'Daily Sale entry '!Q268&amp;IF('Daily Sale entry '!Q268="Collection 收款"," ("&amp;'Daily Sale entry '!R268&amp;")","")&amp;IF('Daily Sale entry '!U268="",""," - "&amp;'Daily Sale entry '!U268))</f>
        <v/>
      </c>
      <c r="H268">
        <f>IF(C268="","",COUNTIFS($C$2:$C$3001,C268,$F$2:$F$3001,"&lt;"&amp;F268)+1)</f>
        <v/>
      </c>
      <c r="I268">
        <f>IF(C268="","",C268&amp;"|"&amp;H268)</f>
        <v/>
      </c>
      <c r="J268" s="6">
        <f>IF(C268="","",IF(H268=1,SUMIFS('Opening Balance'!$F$4:$F$303,'Opening Balance'!$G$4:$G$303,C268),INDEX($L$2:$L$3001,MATCH(C268&amp;"|"&amp;(H268-1),$I$2:$I$3001,0))))</f>
        <v/>
      </c>
      <c r="K268" s="6">
        <f>IF(C268="","",IF(M268&gt;0,M268,IF(AND(E268&gt;0,ROUND(J268+D268-E268,2)&gt;0,ROUND(J268+D268-E268,2)&lt;'Opening Balance'!$B$14),ROUND(J268+D268-E268,2),0)))</f>
        <v/>
      </c>
      <c r="L268" s="6">
        <f>IF(C268="","",ROUND(J268+D268-E268-K268,2))</f>
        <v/>
      </c>
      <c r="M268" s="6">
        <f>IF(C268="","",IF('Daily Sale entry '!Q268="Collection 收款",ROUND(N('Daily Sale entry '!T268),2),0))</f>
        <v/>
      </c>
    </row>
    <row r="269">
      <c r="A269" t="inlineStr">
        <is>
          <t>Entry 记录</t>
        </is>
      </c>
      <c r="B269" s="5">
        <f>IF('Daily Sale entry '!P269="","",'Daily Sale entry '!O269)</f>
        <v/>
      </c>
      <c r="C269">
        <f>IF('Daily Sale entry '!P269="","",'Daily Sale entry '!P269)</f>
        <v/>
      </c>
      <c r="D269">
        <f>IF(C269="","",IF('Daily Sale entry '!Q269="Credit Sale 赊销",'Daily Sale entry '!S269,0))</f>
        <v/>
      </c>
      <c r="E269">
        <f>IF(C269="","",IF('Daily Sale entry '!Q269="Collection 收款",'Daily Sale entry '!S269,0))</f>
        <v/>
      </c>
      <c r="F269" s="37">
        <f>IF(C269="","",B269+IF(E269&gt;0,0,0.5)+ROW()/10000000)</f>
        <v/>
      </c>
      <c r="G269">
        <f>IF(C269="","",'Daily Sale entry '!Q269&amp;IF('Daily Sale entry '!Q269="Collection 收款"," ("&amp;'Daily Sale entry '!R269&amp;")","")&amp;IF('Daily Sale entry '!U269="",""," - "&amp;'Daily Sale entry '!U269))</f>
        <v/>
      </c>
      <c r="H269">
        <f>IF(C269="","",COUNTIFS($C$2:$C$3001,C269,$F$2:$F$3001,"&lt;"&amp;F269)+1)</f>
        <v/>
      </c>
      <c r="I269">
        <f>IF(C269="","",C269&amp;"|"&amp;H269)</f>
        <v/>
      </c>
      <c r="J269" s="6">
        <f>IF(C269="","",IF(H269=1,SUMIFS('Opening Balance'!$F$4:$F$303,'Opening Balance'!$G$4:$G$303,C269),INDEX($L$2:$L$3001,MATCH(C269&amp;"|"&amp;(H269-1),$I$2:$I$3001,0))))</f>
        <v/>
      </c>
      <c r="K269" s="6">
        <f>IF(C269="","",IF(M269&gt;0,M269,IF(AND(E269&gt;0,ROUND(J269+D269-E269,2)&gt;0,ROUND(J269+D269-E269,2)&lt;'Opening Balance'!$B$14),ROUND(J269+D269-E269,2),0)))</f>
        <v/>
      </c>
      <c r="L269" s="6">
        <f>IF(C269="","",ROUND(J269+D269-E269-K269,2))</f>
        <v/>
      </c>
      <c r="M269" s="6">
        <f>IF(C269="","",IF('Daily Sale entry '!Q269="Collection 收款",ROUND(N('Daily Sale entry '!T269),2),0))</f>
        <v/>
      </c>
    </row>
    <row r="270">
      <c r="A270" t="inlineStr">
        <is>
          <t>Entry 记录</t>
        </is>
      </c>
      <c r="B270" s="5">
        <f>IF('Daily Sale entry '!P270="","",'Daily Sale entry '!O270)</f>
        <v/>
      </c>
      <c r="C270">
        <f>IF('Daily Sale entry '!P270="","",'Daily Sale entry '!P270)</f>
        <v/>
      </c>
      <c r="D270">
        <f>IF(C270="","",IF('Daily Sale entry '!Q270="Credit Sale 赊销",'Daily Sale entry '!S270,0))</f>
        <v/>
      </c>
      <c r="E270">
        <f>IF(C270="","",IF('Daily Sale entry '!Q270="Collection 收款",'Daily Sale entry '!S270,0))</f>
        <v/>
      </c>
      <c r="F270" s="37">
        <f>IF(C270="","",B270+IF(E270&gt;0,0,0.5)+ROW()/10000000)</f>
        <v/>
      </c>
      <c r="G270">
        <f>IF(C270="","",'Daily Sale entry '!Q270&amp;IF('Daily Sale entry '!Q270="Collection 收款"," ("&amp;'Daily Sale entry '!R270&amp;")","")&amp;IF('Daily Sale entry '!U270="",""," - "&amp;'Daily Sale entry '!U270))</f>
        <v/>
      </c>
      <c r="H270">
        <f>IF(C270="","",COUNTIFS($C$2:$C$3001,C270,$F$2:$F$3001,"&lt;"&amp;F270)+1)</f>
        <v/>
      </c>
      <c r="I270">
        <f>IF(C270="","",C270&amp;"|"&amp;H270)</f>
        <v/>
      </c>
      <c r="J270" s="6">
        <f>IF(C270="","",IF(H270=1,SUMIFS('Opening Balance'!$F$4:$F$303,'Opening Balance'!$G$4:$G$303,C270),INDEX($L$2:$L$3001,MATCH(C270&amp;"|"&amp;(H270-1),$I$2:$I$3001,0))))</f>
        <v/>
      </c>
      <c r="K270" s="6">
        <f>IF(C270="","",IF(M270&gt;0,M270,IF(AND(E270&gt;0,ROUND(J270+D270-E270,2)&gt;0,ROUND(J270+D270-E270,2)&lt;'Opening Balance'!$B$14),ROUND(J270+D270-E270,2),0)))</f>
        <v/>
      </c>
      <c r="L270" s="6">
        <f>IF(C270="","",ROUND(J270+D270-E270-K270,2))</f>
        <v/>
      </c>
      <c r="M270" s="6">
        <f>IF(C270="","",IF('Daily Sale entry '!Q270="Collection 收款",ROUND(N('Daily Sale entry '!T270),2),0))</f>
        <v/>
      </c>
    </row>
    <row r="271">
      <c r="A271" t="inlineStr">
        <is>
          <t>Entry 记录</t>
        </is>
      </c>
      <c r="B271" s="5">
        <f>IF('Daily Sale entry '!P271="","",'Daily Sale entry '!O271)</f>
        <v/>
      </c>
      <c r="C271">
        <f>IF('Daily Sale entry '!P271="","",'Daily Sale entry '!P271)</f>
        <v/>
      </c>
      <c r="D271">
        <f>IF(C271="","",IF('Daily Sale entry '!Q271="Credit Sale 赊销",'Daily Sale entry '!S271,0))</f>
        <v/>
      </c>
      <c r="E271">
        <f>IF(C271="","",IF('Daily Sale entry '!Q271="Collection 收款",'Daily Sale entry '!S271,0))</f>
        <v/>
      </c>
      <c r="F271" s="37">
        <f>IF(C271="","",B271+IF(E271&gt;0,0,0.5)+ROW()/10000000)</f>
        <v/>
      </c>
      <c r="G271">
        <f>IF(C271="","",'Daily Sale entry '!Q271&amp;IF('Daily Sale entry '!Q271="Collection 收款"," ("&amp;'Daily Sale entry '!R271&amp;")","")&amp;IF('Daily Sale entry '!U271="",""," - "&amp;'Daily Sale entry '!U271))</f>
        <v/>
      </c>
      <c r="H271">
        <f>IF(C271="","",COUNTIFS($C$2:$C$3001,C271,$F$2:$F$3001,"&lt;"&amp;F271)+1)</f>
        <v/>
      </c>
      <c r="I271">
        <f>IF(C271="","",C271&amp;"|"&amp;H271)</f>
        <v/>
      </c>
      <c r="J271" s="6">
        <f>IF(C271="","",IF(H271=1,SUMIFS('Opening Balance'!$F$4:$F$303,'Opening Balance'!$G$4:$G$303,C271),INDEX($L$2:$L$3001,MATCH(C271&amp;"|"&amp;(H271-1),$I$2:$I$3001,0))))</f>
        <v/>
      </c>
      <c r="K271" s="6">
        <f>IF(C271="","",IF(M271&gt;0,M271,IF(AND(E271&gt;0,ROUND(J271+D271-E271,2)&gt;0,ROUND(J271+D271-E271,2)&lt;'Opening Balance'!$B$14),ROUND(J271+D271-E271,2),0)))</f>
        <v/>
      </c>
      <c r="L271" s="6">
        <f>IF(C271="","",ROUND(J271+D271-E271-K271,2))</f>
        <v/>
      </c>
      <c r="M271" s="6">
        <f>IF(C271="","",IF('Daily Sale entry '!Q271="Collection 收款",ROUND(N('Daily Sale entry '!T271),2),0))</f>
        <v/>
      </c>
    </row>
    <row r="272">
      <c r="A272" t="inlineStr">
        <is>
          <t>Entry 记录</t>
        </is>
      </c>
      <c r="B272" s="5">
        <f>IF('Daily Sale entry '!P272="","",'Daily Sale entry '!O272)</f>
        <v/>
      </c>
      <c r="C272">
        <f>IF('Daily Sale entry '!P272="","",'Daily Sale entry '!P272)</f>
        <v/>
      </c>
      <c r="D272">
        <f>IF(C272="","",IF('Daily Sale entry '!Q272="Credit Sale 赊销",'Daily Sale entry '!S272,0))</f>
        <v/>
      </c>
      <c r="E272">
        <f>IF(C272="","",IF('Daily Sale entry '!Q272="Collection 收款",'Daily Sale entry '!S272,0))</f>
        <v/>
      </c>
      <c r="F272" s="37">
        <f>IF(C272="","",B272+IF(E272&gt;0,0,0.5)+ROW()/10000000)</f>
        <v/>
      </c>
      <c r="G272">
        <f>IF(C272="","",'Daily Sale entry '!Q272&amp;IF('Daily Sale entry '!Q272="Collection 收款"," ("&amp;'Daily Sale entry '!R272&amp;")","")&amp;IF('Daily Sale entry '!U272="",""," - "&amp;'Daily Sale entry '!U272))</f>
        <v/>
      </c>
      <c r="H272">
        <f>IF(C272="","",COUNTIFS($C$2:$C$3001,C272,$F$2:$F$3001,"&lt;"&amp;F272)+1)</f>
        <v/>
      </c>
      <c r="I272">
        <f>IF(C272="","",C272&amp;"|"&amp;H272)</f>
        <v/>
      </c>
      <c r="J272" s="6">
        <f>IF(C272="","",IF(H272=1,SUMIFS('Opening Balance'!$F$4:$F$303,'Opening Balance'!$G$4:$G$303,C272),INDEX($L$2:$L$3001,MATCH(C272&amp;"|"&amp;(H272-1),$I$2:$I$3001,0))))</f>
        <v/>
      </c>
      <c r="K272" s="6">
        <f>IF(C272="","",IF(M272&gt;0,M272,IF(AND(E272&gt;0,ROUND(J272+D272-E272,2)&gt;0,ROUND(J272+D272-E272,2)&lt;'Opening Balance'!$B$14),ROUND(J272+D272-E272,2),0)))</f>
        <v/>
      </c>
      <c r="L272" s="6">
        <f>IF(C272="","",ROUND(J272+D272-E272-K272,2))</f>
        <v/>
      </c>
      <c r="M272" s="6">
        <f>IF(C272="","",IF('Daily Sale entry '!Q272="Collection 收款",ROUND(N('Daily Sale entry '!T272),2),0))</f>
        <v/>
      </c>
    </row>
    <row r="273">
      <c r="A273" t="inlineStr">
        <is>
          <t>Entry 记录</t>
        </is>
      </c>
      <c r="B273" s="5">
        <f>IF('Daily Sale entry '!P273="","",'Daily Sale entry '!O273)</f>
        <v/>
      </c>
      <c r="C273">
        <f>IF('Daily Sale entry '!P273="","",'Daily Sale entry '!P273)</f>
        <v/>
      </c>
      <c r="D273">
        <f>IF(C273="","",IF('Daily Sale entry '!Q273="Credit Sale 赊销",'Daily Sale entry '!S273,0))</f>
        <v/>
      </c>
      <c r="E273">
        <f>IF(C273="","",IF('Daily Sale entry '!Q273="Collection 收款",'Daily Sale entry '!S273,0))</f>
        <v/>
      </c>
      <c r="F273" s="37">
        <f>IF(C273="","",B273+IF(E273&gt;0,0,0.5)+ROW()/10000000)</f>
        <v/>
      </c>
      <c r="G273">
        <f>IF(C273="","",'Daily Sale entry '!Q273&amp;IF('Daily Sale entry '!Q273="Collection 收款"," ("&amp;'Daily Sale entry '!R273&amp;")","")&amp;IF('Daily Sale entry '!U273="",""," - "&amp;'Daily Sale entry '!U273))</f>
        <v/>
      </c>
      <c r="H273">
        <f>IF(C273="","",COUNTIFS($C$2:$C$3001,C273,$F$2:$F$3001,"&lt;"&amp;F273)+1)</f>
        <v/>
      </c>
      <c r="I273">
        <f>IF(C273="","",C273&amp;"|"&amp;H273)</f>
        <v/>
      </c>
      <c r="J273" s="6">
        <f>IF(C273="","",IF(H273=1,SUMIFS('Opening Balance'!$F$4:$F$303,'Opening Balance'!$G$4:$G$303,C273),INDEX($L$2:$L$3001,MATCH(C273&amp;"|"&amp;(H273-1),$I$2:$I$3001,0))))</f>
        <v/>
      </c>
      <c r="K273" s="6">
        <f>IF(C273="","",IF(M273&gt;0,M273,IF(AND(E273&gt;0,ROUND(J273+D273-E273,2)&gt;0,ROUND(J273+D273-E273,2)&lt;'Opening Balance'!$B$14),ROUND(J273+D273-E273,2),0)))</f>
        <v/>
      </c>
      <c r="L273" s="6">
        <f>IF(C273="","",ROUND(J273+D273-E273-K273,2))</f>
        <v/>
      </c>
      <c r="M273" s="6">
        <f>IF(C273="","",IF('Daily Sale entry '!Q273="Collection 收款",ROUND(N('Daily Sale entry '!T273),2),0))</f>
        <v/>
      </c>
    </row>
    <row r="274">
      <c r="A274" t="inlineStr">
        <is>
          <t>Entry 记录</t>
        </is>
      </c>
      <c r="B274" s="5">
        <f>IF('Daily Sale entry '!P274="","",'Daily Sale entry '!O274)</f>
        <v/>
      </c>
      <c r="C274">
        <f>IF('Daily Sale entry '!P274="","",'Daily Sale entry '!P274)</f>
        <v/>
      </c>
      <c r="D274">
        <f>IF(C274="","",IF('Daily Sale entry '!Q274="Credit Sale 赊销",'Daily Sale entry '!S274,0))</f>
        <v/>
      </c>
      <c r="E274">
        <f>IF(C274="","",IF('Daily Sale entry '!Q274="Collection 收款",'Daily Sale entry '!S274,0))</f>
        <v/>
      </c>
      <c r="F274" s="37">
        <f>IF(C274="","",B274+IF(E274&gt;0,0,0.5)+ROW()/10000000)</f>
        <v/>
      </c>
      <c r="G274">
        <f>IF(C274="","",'Daily Sale entry '!Q274&amp;IF('Daily Sale entry '!Q274="Collection 收款"," ("&amp;'Daily Sale entry '!R274&amp;")","")&amp;IF('Daily Sale entry '!U274="",""," - "&amp;'Daily Sale entry '!U274))</f>
        <v/>
      </c>
      <c r="H274">
        <f>IF(C274="","",COUNTIFS($C$2:$C$3001,C274,$F$2:$F$3001,"&lt;"&amp;F274)+1)</f>
        <v/>
      </c>
      <c r="I274">
        <f>IF(C274="","",C274&amp;"|"&amp;H274)</f>
        <v/>
      </c>
      <c r="J274" s="6">
        <f>IF(C274="","",IF(H274=1,SUMIFS('Opening Balance'!$F$4:$F$303,'Opening Balance'!$G$4:$G$303,C274),INDEX($L$2:$L$3001,MATCH(C274&amp;"|"&amp;(H274-1),$I$2:$I$3001,0))))</f>
        <v/>
      </c>
      <c r="K274" s="6">
        <f>IF(C274="","",IF(M274&gt;0,M274,IF(AND(E274&gt;0,ROUND(J274+D274-E274,2)&gt;0,ROUND(J274+D274-E274,2)&lt;'Opening Balance'!$B$14),ROUND(J274+D274-E274,2),0)))</f>
        <v/>
      </c>
      <c r="L274" s="6">
        <f>IF(C274="","",ROUND(J274+D274-E274-K274,2))</f>
        <v/>
      </c>
      <c r="M274" s="6">
        <f>IF(C274="","",IF('Daily Sale entry '!Q274="Collection 收款",ROUND(N('Daily Sale entry '!T274),2),0))</f>
        <v/>
      </c>
    </row>
    <row r="275">
      <c r="A275" t="inlineStr">
        <is>
          <t>Entry 记录</t>
        </is>
      </c>
      <c r="B275" s="5">
        <f>IF('Daily Sale entry '!P275="","",'Daily Sale entry '!O275)</f>
        <v/>
      </c>
      <c r="C275">
        <f>IF('Daily Sale entry '!P275="","",'Daily Sale entry '!P275)</f>
        <v/>
      </c>
      <c r="D275">
        <f>IF(C275="","",IF('Daily Sale entry '!Q275="Credit Sale 赊销",'Daily Sale entry '!S275,0))</f>
        <v/>
      </c>
      <c r="E275">
        <f>IF(C275="","",IF('Daily Sale entry '!Q275="Collection 收款",'Daily Sale entry '!S275,0))</f>
        <v/>
      </c>
      <c r="F275" s="37">
        <f>IF(C275="","",B275+IF(E275&gt;0,0,0.5)+ROW()/10000000)</f>
        <v/>
      </c>
      <c r="G275">
        <f>IF(C275="","",'Daily Sale entry '!Q275&amp;IF('Daily Sale entry '!Q275="Collection 收款"," ("&amp;'Daily Sale entry '!R275&amp;")","")&amp;IF('Daily Sale entry '!U275="",""," - "&amp;'Daily Sale entry '!U275))</f>
        <v/>
      </c>
      <c r="H275">
        <f>IF(C275="","",COUNTIFS($C$2:$C$3001,C275,$F$2:$F$3001,"&lt;"&amp;F275)+1)</f>
        <v/>
      </c>
      <c r="I275">
        <f>IF(C275="","",C275&amp;"|"&amp;H275)</f>
        <v/>
      </c>
      <c r="J275" s="6">
        <f>IF(C275="","",IF(H275=1,SUMIFS('Opening Balance'!$F$4:$F$303,'Opening Balance'!$G$4:$G$303,C275),INDEX($L$2:$L$3001,MATCH(C275&amp;"|"&amp;(H275-1),$I$2:$I$3001,0))))</f>
        <v/>
      </c>
      <c r="K275" s="6">
        <f>IF(C275="","",IF(M275&gt;0,M275,IF(AND(E275&gt;0,ROUND(J275+D275-E275,2)&gt;0,ROUND(J275+D275-E275,2)&lt;'Opening Balance'!$B$14),ROUND(J275+D275-E275,2),0)))</f>
        <v/>
      </c>
      <c r="L275" s="6">
        <f>IF(C275="","",ROUND(J275+D275-E275-K275,2))</f>
        <v/>
      </c>
      <c r="M275" s="6">
        <f>IF(C275="","",IF('Daily Sale entry '!Q275="Collection 收款",ROUND(N('Daily Sale entry '!T275),2),0))</f>
        <v/>
      </c>
    </row>
    <row r="276">
      <c r="A276" t="inlineStr">
        <is>
          <t>Entry 记录</t>
        </is>
      </c>
      <c r="B276" s="5">
        <f>IF('Daily Sale entry '!P276="","",'Daily Sale entry '!O276)</f>
        <v/>
      </c>
      <c r="C276">
        <f>IF('Daily Sale entry '!P276="","",'Daily Sale entry '!P276)</f>
        <v/>
      </c>
      <c r="D276">
        <f>IF(C276="","",IF('Daily Sale entry '!Q276="Credit Sale 赊销",'Daily Sale entry '!S276,0))</f>
        <v/>
      </c>
      <c r="E276">
        <f>IF(C276="","",IF('Daily Sale entry '!Q276="Collection 收款",'Daily Sale entry '!S276,0))</f>
        <v/>
      </c>
      <c r="F276" s="37">
        <f>IF(C276="","",B276+IF(E276&gt;0,0,0.5)+ROW()/10000000)</f>
        <v/>
      </c>
      <c r="G276">
        <f>IF(C276="","",'Daily Sale entry '!Q276&amp;IF('Daily Sale entry '!Q276="Collection 收款"," ("&amp;'Daily Sale entry '!R276&amp;")","")&amp;IF('Daily Sale entry '!U276="",""," - "&amp;'Daily Sale entry '!U276))</f>
        <v/>
      </c>
      <c r="H276">
        <f>IF(C276="","",COUNTIFS($C$2:$C$3001,C276,$F$2:$F$3001,"&lt;"&amp;F276)+1)</f>
        <v/>
      </c>
      <c r="I276">
        <f>IF(C276="","",C276&amp;"|"&amp;H276)</f>
        <v/>
      </c>
      <c r="J276" s="6">
        <f>IF(C276="","",IF(H276=1,SUMIFS('Opening Balance'!$F$4:$F$303,'Opening Balance'!$G$4:$G$303,C276),INDEX($L$2:$L$3001,MATCH(C276&amp;"|"&amp;(H276-1),$I$2:$I$3001,0))))</f>
        <v/>
      </c>
      <c r="K276" s="6">
        <f>IF(C276="","",IF(M276&gt;0,M276,IF(AND(E276&gt;0,ROUND(J276+D276-E276,2)&gt;0,ROUND(J276+D276-E276,2)&lt;'Opening Balance'!$B$14),ROUND(J276+D276-E276,2),0)))</f>
        <v/>
      </c>
      <c r="L276" s="6">
        <f>IF(C276="","",ROUND(J276+D276-E276-K276,2))</f>
        <v/>
      </c>
      <c r="M276" s="6">
        <f>IF(C276="","",IF('Daily Sale entry '!Q276="Collection 收款",ROUND(N('Daily Sale entry '!T276),2),0))</f>
        <v/>
      </c>
    </row>
    <row r="277">
      <c r="A277" t="inlineStr">
        <is>
          <t>Entry 记录</t>
        </is>
      </c>
      <c r="B277" s="5">
        <f>IF('Daily Sale entry '!P277="","",'Daily Sale entry '!O277)</f>
        <v/>
      </c>
      <c r="C277">
        <f>IF('Daily Sale entry '!P277="","",'Daily Sale entry '!P277)</f>
        <v/>
      </c>
      <c r="D277">
        <f>IF(C277="","",IF('Daily Sale entry '!Q277="Credit Sale 赊销",'Daily Sale entry '!S277,0))</f>
        <v/>
      </c>
      <c r="E277">
        <f>IF(C277="","",IF('Daily Sale entry '!Q277="Collection 收款",'Daily Sale entry '!S277,0))</f>
        <v/>
      </c>
      <c r="F277" s="37">
        <f>IF(C277="","",B277+IF(E277&gt;0,0,0.5)+ROW()/10000000)</f>
        <v/>
      </c>
      <c r="G277">
        <f>IF(C277="","",'Daily Sale entry '!Q277&amp;IF('Daily Sale entry '!Q277="Collection 收款"," ("&amp;'Daily Sale entry '!R277&amp;")","")&amp;IF('Daily Sale entry '!U277="",""," - "&amp;'Daily Sale entry '!U277))</f>
        <v/>
      </c>
      <c r="H277">
        <f>IF(C277="","",COUNTIFS($C$2:$C$3001,C277,$F$2:$F$3001,"&lt;"&amp;F277)+1)</f>
        <v/>
      </c>
      <c r="I277">
        <f>IF(C277="","",C277&amp;"|"&amp;H277)</f>
        <v/>
      </c>
      <c r="J277" s="6">
        <f>IF(C277="","",IF(H277=1,SUMIFS('Opening Balance'!$F$4:$F$303,'Opening Balance'!$G$4:$G$303,C277),INDEX($L$2:$L$3001,MATCH(C277&amp;"|"&amp;(H277-1),$I$2:$I$3001,0))))</f>
        <v/>
      </c>
      <c r="K277" s="6">
        <f>IF(C277="","",IF(M277&gt;0,M277,IF(AND(E277&gt;0,ROUND(J277+D277-E277,2)&gt;0,ROUND(J277+D277-E277,2)&lt;'Opening Balance'!$B$14),ROUND(J277+D277-E277,2),0)))</f>
        <v/>
      </c>
      <c r="L277" s="6">
        <f>IF(C277="","",ROUND(J277+D277-E277-K277,2))</f>
        <v/>
      </c>
      <c r="M277" s="6">
        <f>IF(C277="","",IF('Daily Sale entry '!Q277="Collection 收款",ROUND(N('Daily Sale entry '!T277),2),0))</f>
        <v/>
      </c>
    </row>
    <row r="278">
      <c r="A278" t="inlineStr">
        <is>
          <t>Entry 记录</t>
        </is>
      </c>
      <c r="B278" s="5">
        <f>IF('Daily Sale entry '!P278="","",'Daily Sale entry '!O278)</f>
        <v/>
      </c>
      <c r="C278">
        <f>IF('Daily Sale entry '!P278="","",'Daily Sale entry '!P278)</f>
        <v/>
      </c>
      <c r="D278">
        <f>IF(C278="","",IF('Daily Sale entry '!Q278="Credit Sale 赊销",'Daily Sale entry '!S278,0))</f>
        <v/>
      </c>
      <c r="E278">
        <f>IF(C278="","",IF('Daily Sale entry '!Q278="Collection 收款",'Daily Sale entry '!S278,0))</f>
        <v/>
      </c>
      <c r="F278" s="37">
        <f>IF(C278="","",B278+IF(E278&gt;0,0,0.5)+ROW()/10000000)</f>
        <v/>
      </c>
      <c r="G278">
        <f>IF(C278="","",'Daily Sale entry '!Q278&amp;IF('Daily Sale entry '!Q278="Collection 收款"," ("&amp;'Daily Sale entry '!R278&amp;")","")&amp;IF('Daily Sale entry '!U278="",""," - "&amp;'Daily Sale entry '!U278))</f>
        <v/>
      </c>
      <c r="H278">
        <f>IF(C278="","",COUNTIFS($C$2:$C$3001,C278,$F$2:$F$3001,"&lt;"&amp;F278)+1)</f>
        <v/>
      </c>
      <c r="I278">
        <f>IF(C278="","",C278&amp;"|"&amp;H278)</f>
        <v/>
      </c>
      <c r="J278" s="6">
        <f>IF(C278="","",IF(H278=1,SUMIFS('Opening Balance'!$F$4:$F$303,'Opening Balance'!$G$4:$G$303,C278),INDEX($L$2:$L$3001,MATCH(C278&amp;"|"&amp;(H278-1),$I$2:$I$3001,0))))</f>
        <v/>
      </c>
      <c r="K278" s="6">
        <f>IF(C278="","",IF(M278&gt;0,M278,IF(AND(E278&gt;0,ROUND(J278+D278-E278,2)&gt;0,ROUND(J278+D278-E278,2)&lt;'Opening Balance'!$B$14),ROUND(J278+D278-E278,2),0)))</f>
        <v/>
      </c>
      <c r="L278" s="6">
        <f>IF(C278="","",ROUND(J278+D278-E278-K278,2))</f>
        <v/>
      </c>
      <c r="M278" s="6">
        <f>IF(C278="","",IF('Daily Sale entry '!Q278="Collection 收款",ROUND(N('Daily Sale entry '!T278),2),0))</f>
        <v/>
      </c>
    </row>
    <row r="279">
      <c r="A279" t="inlineStr">
        <is>
          <t>Entry 记录</t>
        </is>
      </c>
      <c r="B279" s="5">
        <f>IF('Daily Sale entry '!P279="","",'Daily Sale entry '!O279)</f>
        <v/>
      </c>
      <c r="C279">
        <f>IF('Daily Sale entry '!P279="","",'Daily Sale entry '!P279)</f>
        <v/>
      </c>
      <c r="D279">
        <f>IF(C279="","",IF('Daily Sale entry '!Q279="Credit Sale 赊销",'Daily Sale entry '!S279,0))</f>
        <v/>
      </c>
      <c r="E279">
        <f>IF(C279="","",IF('Daily Sale entry '!Q279="Collection 收款",'Daily Sale entry '!S279,0))</f>
        <v/>
      </c>
      <c r="F279" s="37">
        <f>IF(C279="","",B279+IF(E279&gt;0,0,0.5)+ROW()/10000000)</f>
        <v/>
      </c>
      <c r="G279">
        <f>IF(C279="","",'Daily Sale entry '!Q279&amp;IF('Daily Sale entry '!Q279="Collection 收款"," ("&amp;'Daily Sale entry '!R279&amp;")","")&amp;IF('Daily Sale entry '!U279="",""," - "&amp;'Daily Sale entry '!U279))</f>
        <v/>
      </c>
      <c r="H279">
        <f>IF(C279="","",COUNTIFS($C$2:$C$3001,C279,$F$2:$F$3001,"&lt;"&amp;F279)+1)</f>
        <v/>
      </c>
      <c r="I279">
        <f>IF(C279="","",C279&amp;"|"&amp;H279)</f>
        <v/>
      </c>
      <c r="J279" s="6">
        <f>IF(C279="","",IF(H279=1,SUMIFS('Opening Balance'!$F$4:$F$303,'Opening Balance'!$G$4:$G$303,C279),INDEX($L$2:$L$3001,MATCH(C279&amp;"|"&amp;(H279-1),$I$2:$I$3001,0))))</f>
        <v/>
      </c>
      <c r="K279" s="6">
        <f>IF(C279="","",IF(M279&gt;0,M279,IF(AND(E279&gt;0,ROUND(J279+D279-E279,2)&gt;0,ROUND(J279+D279-E279,2)&lt;'Opening Balance'!$B$14),ROUND(J279+D279-E279,2),0)))</f>
        <v/>
      </c>
      <c r="L279" s="6">
        <f>IF(C279="","",ROUND(J279+D279-E279-K279,2))</f>
        <v/>
      </c>
      <c r="M279" s="6">
        <f>IF(C279="","",IF('Daily Sale entry '!Q279="Collection 收款",ROUND(N('Daily Sale entry '!T279),2),0))</f>
        <v/>
      </c>
    </row>
    <row r="280">
      <c r="A280" t="inlineStr">
        <is>
          <t>Entry 记录</t>
        </is>
      </c>
      <c r="B280" s="5">
        <f>IF('Daily Sale entry '!P280="","",'Daily Sale entry '!O280)</f>
        <v/>
      </c>
      <c r="C280">
        <f>IF('Daily Sale entry '!P280="","",'Daily Sale entry '!P280)</f>
        <v/>
      </c>
      <c r="D280">
        <f>IF(C280="","",IF('Daily Sale entry '!Q280="Credit Sale 赊销",'Daily Sale entry '!S280,0))</f>
        <v/>
      </c>
      <c r="E280">
        <f>IF(C280="","",IF('Daily Sale entry '!Q280="Collection 收款",'Daily Sale entry '!S280,0))</f>
        <v/>
      </c>
      <c r="F280" s="37">
        <f>IF(C280="","",B280+IF(E280&gt;0,0,0.5)+ROW()/10000000)</f>
        <v/>
      </c>
      <c r="G280">
        <f>IF(C280="","",'Daily Sale entry '!Q280&amp;IF('Daily Sale entry '!Q280="Collection 收款"," ("&amp;'Daily Sale entry '!R280&amp;")","")&amp;IF('Daily Sale entry '!U280="",""," - "&amp;'Daily Sale entry '!U280))</f>
        <v/>
      </c>
      <c r="H280">
        <f>IF(C280="","",COUNTIFS($C$2:$C$3001,C280,$F$2:$F$3001,"&lt;"&amp;F280)+1)</f>
        <v/>
      </c>
      <c r="I280">
        <f>IF(C280="","",C280&amp;"|"&amp;H280)</f>
        <v/>
      </c>
      <c r="J280" s="6">
        <f>IF(C280="","",IF(H280=1,SUMIFS('Opening Balance'!$F$4:$F$303,'Opening Balance'!$G$4:$G$303,C280),INDEX($L$2:$L$3001,MATCH(C280&amp;"|"&amp;(H280-1),$I$2:$I$3001,0))))</f>
        <v/>
      </c>
      <c r="K280" s="6">
        <f>IF(C280="","",IF(M280&gt;0,M280,IF(AND(E280&gt;0,ROUND(J280+D280-E280,2)&gt;0,ROUND(J280+D280-E280,2)&lt;'Opening Balance'!$B$14),ROUND(J280+D280-E280,2),0)))</f>
        <v/>
      </c>
      <c r="L280" s="6">
        <f>IF(C280="","",ROUND(J280+D280-E280-K280,2))</f>
        <v/>
      </c>
      <c r="M280" s="6">
        <f>IF(C280="","",IF('Daily Sale entry '!Q280="Collection 收款",ROUND(N('Daily Sale entry '!T280),2),0))</f>
        <v/>
      </c>
    </row>
    <row r="281">
      <c r="A281" t="inlineStr">
        <is>
          <t>Entry 记录</t>
        </is>
      </c>
      <c r="B281" s="5">
        <f>IF('Daily Sale entry '!P281="","",'Daily Sale entry '!O281)</f>
        <v/>
      </c>
      <c r="C281">
        <f>IF('Daily Sale entry '!P281="","",'Daily Sale entry '!P281)</f>
        <v/>
      </c>
      <c r="D281">
        <f>IF(C281="","",IF('Daily Sale entry '!Q281="Credit Sale 赊销",'Daily Sale entry '!S281,0))</f>
        <v/>
      </c>
      <c r="E281">
        <f>IF(C281="","",IF('Daily Sale entry '!Q281="Collection 收款",'Daily Sale entry '!S281,0))</f>
        <v/>
      </c>
      <c r="F281" s="37">
        <f>IF(C281="","",B281+IF(E281&gt;0,0,0.5)+ROW()/10000000)</f>
        <v/>
      </c>
      <c r="G281">
        <f>IF(C281="","",'Daily Sale entry '!Q281&amp;IF('Daily Sale entry '!Q281="Collection 收款"," ("&amp;'Daily Sale entry '!R281&amp;")","")&amp;IF('Daily Sale entry '!U281="",""," - "&amp;'Daily Sale entry '!U281))</f>
        <v/>
      </c>
      <c r="H281">
        <f>IF(C281="","",COUNTIFS($C$2:$C$3001,C281,$F$2:$F$3001,"&lt;"&amp;F281)+1)</f>
        <v/>
      </c>
      <c r="I281">
        <f>IF(C281="","",C281&amp;"|"&amp;H281)</f>
        <v/>
      </c>
      <c r="J281" s="6">
        <f>IF(C281="","",IF(H281=1,SUMIFS('Opening Balance'!$F$4:$F$303,'Opening Balance'!$G$4:$G$303,C281),INDEX($L$2:$L$3001,MATCH(C281&amp;"|"&amp;(H281-1),$I$2:$I$3001,0))))</f>
        <v/>
      </c>
      <c r="K281" s="6">
        <f>IF(C281="","",IF(M281&gt;0,M281,IF(AND(E281&gt;0,ROUND(J281+D281-E281,2)&gt;0,ROUND(J281+D281-E281,2)&lt;'Opening Balance'!$B$14),ROUND(J281+D281-E281,2),0)))</f>
        <v/>
      </c>
      <c r="L281" s="6">
        <f>IF(C281="","",ROUND(J281+D281-E281-K281,2))</f>
        <v/>
      </c>
      <c r="M281" s="6">
        <f>IF(C281="","",IF('Daily Sale entry '!Q281="Collection 收款",ROUND(N('Daily Sale entry '!T281),2),0))</f>
        <v/>
      </c>
    </row>
    <row r="282">
      <c r="A282" t="inlineStr">
        <is>
          <t>Entry 记录</t>
        </is>
      </c>
      <c r="B282" s="5">
        <f>IF('Daily Sale entry '!P282="","",'Daily Sale entry '!O282)</f>
        <v/>
      </c>
      <c r="C282">
        <f>IF('Daily Sale entry '!P282="","",'Daily Sale entry '!P282)</f>
        <v/>
      </c>
      <c r="D282">
        <f>IF(C282="","",IF('Daily Sale entry '!Q282="Credit Sale 赊销",'Daily Sale entry '!S282,0))</f>
        <v/>
      </c>
      <c r="E282">
        <f>IF(C282="","",IF('Daily Sale entry '!Q282="Collection 收款",'Daily Sale entry '!S282,0))</f>
        <v/>
      </c>
      <c r="F282" s="37">
        <f>IF(C282="","",B282+IF(E282&gt;0,0,0.5)+ROW()/10000000)</f>
        <v/>
      </c>
      <c r="G282">
        <f>IF(C282="","",'Daily Sale entry '!Q282&amp;IF('Daily Sale entry '!Q282="Collection 收款"," ("&amp;'Daily Sale entry '!R282&amp;")","")&amp;IF('Daily Sale entry '!U282="",""," - "&amp;'Daily Sale entry '!U282))</f>
        <v/>
      </c>
      <c r="H282">
        <f>IF(C282="","",COUNTIFS($C$2:$C$3001,C282,$F$2:$F$3001,"&lt;"&amp;F282)+1)</f>
        <v/>
      </c>
      <c r="I282">
        <f>IF(C282="","",C282&amp;"|"&amp;H282)</f>
        <v/>
      </c>
      <c r="J282" s="6">
        <f>IF(C282="","",IF(H282=1,SUMIFS('Opening Balance'!$F$4:$F$303,'Opening Balance'!$G$4:$G$303,C282),INDEX($L$2:$L$3001,MATCH(C282&amp;"|"&amp;(H282-1),$I$2:$I$3001,0))))</f>
        <v/>
      </c>
      <c r="K282" s="6">
        <f>IF(C282="","",IF(M282&gt;0,M282,IF(AND(E282&gt;0,ROUND(J282+D282-E282,2)&gt;0,ROUND(J282+D282-E282,2)&lt;'Opening Balance'!$B$14),ROUND(J282+D282-E282,2),0)))</f>
        <v/>
      </c>
      <c r="L282" s="6">
        <f>IF(C282="","",ROUND(J282+D282-E282-K282,2))</f>
        <v/>
      </c>
      <c r="M282" s="6">
        <f>IF(C282="","",IF('Daily Sale entry '!Q282="Collection 收款",ROUND(N('Daily Sale entry '!T282),2),0))</f>
        <v/>
      </c>
    </row>
    <row r="283">
      <c r="A283" t="inlineStr">
        <is>
          <t>Entry 记录</t>
        </is>
      </c>
      <c r="B283" s="5">
        <f>IF('Daily Sale entry '!P283="","",'Daily Sale entry '!O283)</f>
        <v/>
      </c>
      <c r="C283">
        <f>IF('Daily Sale entry '!P283="","",'Daily Sale entry '!P283)</f>
        <v/>
      </c>
      <c r="D283">
        <f>IF(C283="","",IF('Daily Sale entry '!Q283="Credit Sale 赊销",'Daily Sale entry '!S283,0))</f>
        <v/>
      </c>
      <c r="E283">
        <f>IF(C283="","",IF('Daily Sale entry '!Q283="Collection 收款",'Daily Sale entry '!S283,0))</f>
        <v/>
      </c>
      <c r="F283" s="37">
        <f>IF(C283="","",B283+IF(E283&gt;0,0,0.5)+ROW()/10000000)</f>
        <v/>
      </c>
      <c r="G283">
        <f>IF(C283="","",'Daily Sale entry '!Q283&amp;IF('Daily Sale entry '!Q283="Collection 收款"," ("&amp;'Daily Sale entry '!R283&amp;")","")&amp;IF('Daily Sale entry '!U283="",""," - "&amp;'Daily Sale entry '!U283))</f>
        <v/>
      </c>
      <c r="H283">
        <f>IF(C283="","",COUNTIFS($C$2:$C$3001,C283,$F$2:$F$3001,"&lt;"&amp;F283)+1)</f>
        <v/>
      </c>
      <c r="I283">
        <f>IF(C283="","",C283&amp;"|"&amp;H283)</f>
        <v/>
      </c>
      <c r="J283" s="6">
        <f>IF(C283="","",IF(H283=1,SUMIFS('Opening Balance'!$F$4:$F$303,'Opening Balance'!$G$4:$G$303,C283),INDEX($L$2:$L$3001,MATCH(C283&amp;"|"&amp;(H283-1),$I$2:$I$3001,0))))</f>
        <v/>
      </c>
      <c r="K283" s="6">
        <f>IF(C283="","",IF(M283&gt;0,M283,IF(AND(E283&gt;0,ROUND(J283+D283-E283,2)&gt;0,ROUND(J283+D283-E283,2)&lt;'Opening Balance'!$B$14),ROUND(J283+D283-E283,2),0)))</f>
        <v/>
      </c>
      <c r="L283" s="6">
        <f>IF(C283="","",ROUND(J283+D283-E283-K283,2))</f>
        <v/>
      </c>
      <c r="M283" s="6">
        <f>IF(C283="","",IF('Daily Sale entry '!Q283="Collection 收款",ROUND(N('Daily Sale entry '!T283),2),0))</f>
        <v/>
      </c>
    </row>
    <row r="284">
      <c r="A284" t="inlineStr">
        <is>
          <t>Entry 记录</t>
        </is>
      </c>
      <c r="B284" s="5">
        <f>IF('Daily Sale entry '!P284="","",'Daily Sale entry '!O284)</f>
        <v/>
      </c>
      <c r="C284">
        <f>IF('Daily Sale entry '!P284="","",'Daily Sale entry '!P284)</f>
        <v/>
      </c>
      <c r="D284">
        <f>IF(C284="","",IF('Daily Sale entry '!Q284="Credit Sale 赊销",'Daily Sale entry '!S284,0))</f>
        <v/>
      </c>
      <c r="E284">
        <f>IF(C284="","",IF('Daily Sale entry '!Q284="Collection 收款",'Daily Sale entry '!S284,0))</f>
        <v/>
      </c>
      <c r="F284" s="37">
        <f>IF(C284="","",B284+IF(E284&gt;0,0,0.5)+ROW()/10000000)</f>
        <v/>
      </c>
      <c r="G284">
        <f>IF(C284="","",'Daily Sale entry '!Q284&amp;IF('Daily Sale entry '!Q284="Collection 收款"," ("&amp;'Daily Sale entry '!R284&amp;")","")&amp;IF('Daily Sale entry '!U284="",""," - "&amp;'Daily Sale entry '!U284))</f>
        <v/>
      </c>
      <c r="H284">
        <f>IF(C284="","",COUNTIFS($C$2:$C$3001,C284,$F$2:$F$3001,"&lt;"&amp;F284)+1)</f>
        <v/>
      </c>
      <c r="I284">
        <f>IF(C284="","",C284&amp;"|"&amp;H284)</f>
        <v/>
      </c>
      <c r="J284" s="6">
        <f>IF(C284="","",IF(H284=1,SUMIFS('Opening Balance'!$F$4:$F$303,'Opening Balance'!$G$4:$G$303,C284),INDEX($L$2:$L$3001,MATCH(C284&amp;"|"&amp;(H284-1),$I$2:$I$3001,0))))</f>
        <v/>
      </c>
      <c r="K284" s="6">
        <f>IF(C284="","",IF(M284&gt;0,M284,IF(AND(E284&gt;0,ROUND(J284+D284-E284,2)&gt;0,ROUND(J284+D284-E284,2)&lt;'Opening Balance'!$B$14),ROUND(J284+D284-E284,2),0)))</f>
        <v/>
      </c>
      <c r="L284" s="6">
        <f>IF(C284="","",ROUND(J284+D284-E284-K284,2))</f>
        <v/>
      </c>
      <c r="M284" s="6">
        <f>IF(C284="","",IF('Daily Sale entry '!Q284="Collection 收款",ROUND(N('Daily Sale entry '!T284),2),0))</f>
        <v/>
      </c>
    </row>
    <row r="285">
      <c r="A285" t="inlineStr">
        <is>
          <t>Entry 记录</t>
        </is>
      </c>
      <c r="B285" s="5">
        <f>IF('Daily Sale entry '!P285="","",'Daily Sale entry '!O285)</f>
        <v/>
      </c>
      <c r="C285">
        <f>IF('Daily Sale entry '!P285="","",'Daily Sale entry '!P285)</f>
        <v/>
      </c>
      <c r="D285">
        <f>IF(C285="","",IF('Daily Sale entry '!Q285="Credit Sale 赊销",'Daily Sale entry '!S285,0))</f>
        <v/>
      </c>
      <c r="E285">
        <f>IF(C285="","",IF('Daily Sale entry '!Q285="Collection 收款",'Daily Sale entry '!S285,0))</f>
        <v/>
      </c>
      <c r="F285" s="37">
        <f>IF(C285="","",B285+IF(E285&gt;0,0,0.5)+ROW()/10000000)</f>
        <v/>
      </c>
      <c r="G285">
        <f>IF(C285="","",'Daily Sale entry '!Q285&amp;IF('Daily Sale entry '!Q285="Collection 收款"," ("&amp;'Daily Sale entry '!R285&amp;")","")&amp;IF('Daily Sale entry '!U285="",""," - "&amp;'Daily Sale entry '!U285))</f>
        <v/>
      </c>
      <c r="H285">
        <f>IF(C285="","",COUNTIFS($C$2:$C$3001,C285,$F$2:$F$3001,"&lt;"&amp;F285)+1)</f>
        <v/>
      </c>
      <c r="I285">
        <f>IF(C285="","",C285&amp;"|"&amp;H285)</f>
        <v/>
      </c>
      <c r="J285" s="6">
        <f>IF(C285="","",IF(H285=1,SUMIFS('Opening Balance'!$F$4:$F$303,'Opening Balance'!$G$4:$G$303,C285),INDEX($L$2:$L$3001,MATCH(C285&amp;"|"&amp;(H285-1),$I$2:$I$3001,0))))</f>
        <v/>
      </c>
      <c r="K285" s="6">
        <f>IF(C285="","",IF(M285&gt;0,M285,IF(AND(E285&gt;0,ROUND(J285+D285-E285,2)&gt;0,ROUND(J285+D285-E285,2)&lt;'Opening Balance'!$B$14),ROUND(J285+D285-E285,2),0)))</f>
        <v/>
      </c>
      <c r="L285" s="6">
        <f>IF(C285="","",ROUND(J285+D285-E285-K285,2))</f>
        <v/>
      </c>
      <c r="M285" s="6">
        <f>IF(C285="","",IF('Daily Sale entry '!Q285="Collection 收款",ROUND(N('Daily Sale entry '!T285),2),0))</f>
        <v/>
      </c>
    </row>
    <row r="286">
      <c r="A286" t="inlineStr">
        <is>
          <t>Entry 记录</t>
        </is>
      </c>
      <c r="B286" s="5">
        <f>IF('Daily Sale entry '!P286="","",'Daily Sale entry '!O286)</f>
        <v/>
      </c>
      <c r="C286">
        <f>IF('Daily Sale entry '!P286="","",'Daily Sale entry '!P286)</f>
        <v/>
      </c>
      <c r="D286">
        <f>IF(C286="","",IF('Daily Sale entry '!Q286="Credit Sale 赊销",'Daily Sale entry '!S286,0))</f>
        <v/>
      </c>
      <c r="E286">
        <f>IF(C286="","",IF('Daily Sale entry '!Q286="Collection 收款",'Daily Sale entry '!S286,0))</f>
        <v/>
      </c>
      <c r="F286" s="37">
        <f>IF(C286="","",B286+IF(E286&gt;0,0,0.5)+ROW()/10000000)</f>
        <v/>
      </c>
      <c r="G286">
        <f>IF(C286="","",'Daily Sale entry '!Q286&amp;IF('Daily Sale entry '!Q286="Collection 收款"," ("&amp;'Daily Sale entry '!R286&amp;")","")&amp;IF('Daily Sale entry '!U286="",""," - "&amp;'Daily Sale entry '!U286))</f>
        <v/>
      </c>
      <c r="H286">
        <f>IF(C286="","",COUNTIFS($C$2:$C$3001,C286,$F$2:$F$3001,"&lt;"&amp;F286)+1)</f>
        <v/>
      </c>
      <c r="I286">
        <f>IF(C286="","",C286&amp;"|"&amp;H286)</f>
        <v/>
      </c>
      <c r="J286" s="6">
        <f>IF(C286="","",IF(H286=1,SUMIFS('Opening Balance'!$F$4:$F$303,'Opening Balance'!$G$4:$G$303,C286),INDEX($L$2:$L$3001,MATCH(C286&amp;"|"&amp;(H286-1),$I$2:$I$3001,0))))</f>
        <v/>
      </c>
      <c r="K286" s="6">
        <f>IF(C286="","",IF(M286&gt;0,M286,IF(AND(E286&gt;0,ROUND(J286+D286-E286,2)&gt;0,ROUND(J286+D286-E286,2)&lt;'Opening Balance'!$B$14),ROUND(J286+D286-E286,2),0)))</f>
        <v/>
      </c>
      <c r="L286" s="6">
        <f>IF(C286="","",ROUND(J286+D286-E286-K286,2))</f>
        <v/>
      </c>
      <c r="M286" s="6">
        <f>IF(C286="","",IF('Daily Sale entry '!Q286="Collection 收款",ROUND(N('Daily Sale entry '!T286),2),0))</f>
        <v/>
      </c>
    </row>
    <row r="287">
      <c r="A287" t="inlineStr">
        <is>
          <t>Entry 记录</t>
        </is>
      </c>
      <c r="B287" s="5">
        <f>IF('Daily Sale entry '!P287="","",'Daily Sale entry '!O287)</f>
        <v/>
      </c>
      <c r="C287">
        <f>IF('Daily Sale entry '!P287="","",'Daily Sale entry '!P287)</f>
        <v/>
      </c>
      <c r="D287">
        <f>IF(C287="","",IF('Daily Sale entry '!Q287="Credit Sale 赊销",'Daily Sale entry '!S287,0))</f>
        <v/>
      </c>
      <c r="E287">
        <f>IF(C287="","",IF('Daily Sale entry '!Q287="Collection 收款",'Daily Sale entry '!S287,0))</f>
        <v/>
      </c>
      <c r="F287" s="37">
        <f>IF(C287="","",B287+IF(E287&gt;0,0,0.5)+ROW()/10000000)</f>
        <v/>
      </c>
      <c r="G287">
        <f>IF(C287="","",'Daily Sale entry '!Q287&amp;IF('Daily Sale entry '!Q287="Collection 收款"," ("&amp;'Daily Sale entry '!R287&amp;")","")&amp;IF('Daily Sale entry '!U287="",""," - "&amp;'Daily Sale entry '!U287))</f>
        <v/>
      </c>
      <c r="H287">
        <f>IF(C287="","",COUNTIFS($C$2:$C$3001,C287,$F$2:$F$3001,"&lt;"&amp;F287)+1)</f>
        <v/>
      </c>
      <c r="I287">
        <f>IF(C287="","",C287&amp;"|"&amp;H287)</f>
        <v/>
      </c>
      <c r="J287" s="6">
        <f>IF(C287="","",IF(H287=1,SUMIFS('Opening Balance'!$F$4:$F$303,'Opening Balance'!$G$4:$G$303,C287),INDEX($L$2:$L$3001,MATCH(C287&amp;"|"&amp;(H287-1),$I$2:$I$3001,0))))</f>
        <v/>
      </c>
      <c r="K287" s="6">
        <f>IF(C287="","",IF(M287&gt;0,M287,IF(AND(E287&gt;0,ROUND(J287+D287-E287,2)&gt;0,ROUND(J287+D287-E287,2)&lt;'Opening Balance'!$B$14),ROUND(J287+D287-E287,2),0)))</f>
        <v/>
      </c>
      <c r="L287" s="6">
        <f>IF(C287="","",ROUND(J287+D287-E287-K287,2))</f>
        <v/>
      </c>
      <c r="M287" s="6">
        <f>IF(C287="","",IF('Daily Sale entry '!Q287="Collection 收款",ROUND(N('Daily Sale entry '!T287),2),0))</f>
        <v/>
      </c>
    </row>
    <row r="288">
      <c r="A288" t="inlineStr">
        <is>
          <t>Entry 记录</t>
        </is>
      </c>
      <c r="B288" s="5">
        <f>IF('Daily Sale entry '!P288="","",'Daily Sale entry '!O288)</f>
        <v/>
      </c>
      <c r="C288">
        <f>IF('Daily Sale entry '!P288="","",'Daily Sale entry '!P288)</f>
        <v/>
      </c>
      <c r="D288">
        <f>IF(C288="","",IF('Daily Sale entry '!Q288="Credit Sale 赊销",'Daily Sale entry '!S288,0))</f>
        <v/>
      </c>
      <c r="E288">
        <f>IF(C288="","",IF('Daily Sale entry '!Q288="Collection 收款",'Daily Sale entry '!S288,0))</f>
        <v/>
      </c>
      <c r="F288" s="37">
        <f>IF(C288="","",B288+IF(E288&gt;0,0,0.5)+ROW()/10000000)</f>
        <v/>
      </c>
      <c r="G288">
        <f>IF(C288="","",'Daily Sale entry '!Q288&amp;IF('Daily Sale entry '!Q288="Collection 收款"," ("&amp;'Daily Sale entry '!R288&amp;")","")&amp;IF('Daily Sale entry '!U288="",""," - "&amp;'Daily Sale entry '!U288))</f>
        <v/>
      </c>
      <c r="H288">
        <f>IF(C288="","",COUNTIFS($C$2:$C$3001,C288,$F$2:$F$3001,"&lt;"&amp;F288)+1)</f>
        <v/>
      </c>
      <c r="I288">
        <f>IF(C288="","",C288&amp;"|"&amp;H288)</f>
        <v/>
      </c>
      <c r="J288" s="6">
        <f>IF(C288="","",IF(H288=1,SUMIFS('Opening Balance'!$F$4:$F$303,'Opening Balance'!$G$4:$G$303,C288),INDEX($L$2:$L$3001,MATCH(C288&amp;"|"&amp;(H288-1),$I$2:$I$3001,0))))</f>
        <v/>
      </c>
      <c r="K288" s="6">
        <f>IF(C288="","",IF(M288&gt;0,M288,IF(AND(E288&gt;0,ROUND(J288+D288-E288,2)&gt;0,ROUND(J288+D288-E288,2)&lt;'Opening Balance'!$B$14),ROUND(J288+D288-E288,2),0)))</f>
        <v/>
      </c>
      <c r="L288" s="6">
        <f>IF(C288="","",ROUND(J288+D288-E288-K288,2))</f>
        <v/>
      </c>
      <c r="M288" s="6">
        <f>IF(C288="","",IF('Daily Sale entry '!Q288="Collection 收款",ROUND(N('Daily Sale entry '!T288),2),0))</f>
        <v/>
      </c>
    </row>
    <row r="289">
      <c r="A289" t="inlineStr">
        <is>
          <t>Entry 记录</t>
        </is>
      </c>
      <c r="B289" s="5">
        <f>IF('Daily Sale entry '!P289="","",'Daily Sale entry '!O289)</f>
        <v/>
      </c>
      <c r="C289">
        <f>IF('Daily Sale entry '!P289="","",'Daily Sale entry '!P289)</f>
        <v/>
      </c>
      <c r="D289">
        <f>IF(C289="","",IF('Daily Sale entry '!Q289="Credit Sale 赊销",'Daily Sale entry '!S289,0))</f>
        <v/>
      </c>
      <c r="E289">
        <f>IF(C289="","",IF('Daily Sale entry '!Q289="Collection 收款",'Daily Sale entry '!S289,0))</f>
        <v/>
      </c>
      <c r="F289" s="37">
        <f>IF(C289="","",B289+IF(E289&gt;0,0,0.5)+ROW()/10000000)</f>
        <v/>
      </c>
      <c r="G289">
        <f>IF(C289="","",'Daily Sale entry '!Q289&amp;IF('Daily Sale entry '!Q289="Collection 收款"," ("&amp;'Daily Sale entry '!R289&amp;")","")&amp;IF('Daily Sale entry '!U289="",""," - "&amp;'Daily Sale entry '!U289))</f>
        <v/>
      </c>
      <c r="H289">
        <f>IF(C289="","",COUNTIFS($C$2:$C$3001,C289,$F$2:$F$3001,"&lt;"&amp;F289)+1)</f>
        <v/>
      </c>
      <c r="I289">
        <f>IF(C289="","",C289&amp;"|"&amp;H289)</f>
        <v/>
      </c>
      <c r="J289" s="6">
        <f>IF(C289="","",IF(H289=1,SUMIFS('Opening Balance'!$F$4:$F$303,'Opening Balance'!$G$4:$G$303,C289),INDEX($L$2:$L$3001,MATCH(C289&amp;"|"&amp;(H289-1),$I$2:$I$3001,0))))</f>
        <v/>
      </c>
      <c r="K289" s="6">
        <f>IF(C289="","",IF(M289&gt;0,M289,IF(AND(E289&gt;0,ROUND(J289+D289-E289,2)&gt;0,ROUND(J289+D289-E289,2)&lt;'Opening Balance'!$B$14),ROUND(J289+D289-E289,2),0)))</f>
        <v/>
      </c>
      <c r="L289" s="6">
        <f>IF(C289="","",ROUND(J289+D289-E289-K289,2))</f>
        <v/>
      </c>
      <c r="M289" s="6">
        <f>IF(C289="","",IF('Daily Sale entry '!Q289="Collection 收款",ROUND(N('Daily Sale entry '!T289),2),0))</f>
        <v/>
      </c>
    </row>
    <row r="290">
      <c r="A290" t="inlineStr">
        <is>
          <t>Entry 记录</t>
        </is>
      </c>
      <c r="B290" s="5">
        <f>IF('Daily Sale entry '!P290="","",'Daily Sale entry '!O290)</f>
        <v/>
      </c>
      <c r="C290">
        <f>IF('Daily Sale entry '!P290="","",'Daily Sale entry '!P290)</f>
        <v/>
      </c>
      <c r="D290">
        <f>IF(C290="","",IF('Daily Sale entry '!Q290="Credit Sale 赊销",'Daily Sale entry '!S290,0))</f>
        <v/>
      </c>
      <c r="E290">
        <f>IF(C290="","",IF('Daily Sale entry '!Q290="Collection 收款",'Daily Sale entry '!S290,0))</f>
        <v/>
      </c>
      <c r="F290" s="37">
        <f>IF(C290="","",B290+IF(E290&gt;0,0,0.5)+ROW()/10000000)</f>
        <v/>
      </c>
      <c r="G290">
        <f>IF(C290="","",'Daily Sale entry '!Q290&amp;IF('Daily Sale entry '!Q290="Collection 收款"," ("&amp;'Daily Sale entry '!R290&amp;")","")&amp;IF('Daily Sale entry '!U290="",""," - "&amp;'Daily Sale entry '!U290))</f>
        <v/>
      </c>
      <c r="H290">
        <f>IF(C290="","",COUNTIFS($C$2:$C$3001,C290,$F$2:$F$3001,"&lt;"&amp;F290)+1)</f>
        <v/>
      </c>
      <c r="I290">
        <f>IF(C290="","",C290&amp;"|"&amp;H290)</f>
        <v/>
      </c>
      <c r="J290" s="6">
        <f>IF(C290="","",IF(H290=1,SUMIFS('Opening Balance'!$F$4:$F$303,'Opening Balance'!$G$4:$G$303,C290),INDEX($L$2:$L$3001,MATCH(C290&amp;"|"&amp;(H290-1),$I$2:$I$3001,0))))</f>
        <v/>
      </c>
      <c r="K290" s="6">
        <f>IF(C290="","",IF(M290&gt;0,M290,IF(AND(E290&gt;0,ROUND(J290+D290-E290,2)&gt;0,ROUND(J290+D290-E290,2)&lt;'Opening Balance'!$B$14),ROUND(J290+D290-E290,2),0)))</f>
        <v/>
      </c>
      <c r="L290" s="6">
        <f>IF(C290="","",ROUND(J290+D290-E290-K290,2))</f>
        <v/>
      </c>
      <c r="M290" s="6">
        <f>IF(C290="","",IF('Daily Sale entry '!Q290="Collection 收款",ROUND(N('Daily Sale entry '!T290),2),0))</f>
        <v/>
      </c>
    </row>
    <row r="291">
      <c r="A291" t="inlineStr">
        <is>
          <t>Entry 记录</t>
        </is>
      </c>
      <c r="B291" s="5">
        <f>IF('Daily Sale entry '!P291="","",'Daily Sale entry '!O291)</f>
        <v/>
      </c>
      <c r="C291">
        <f>IF('Daily Sale entry '!P291="","",'Daily Sale entry '!P291)</f>
        <v/>
      </c>
      <c r="D291">
        <f>IF(C291="","",IF('Daily Sale entry '!Q291="Credit Sale 赊销",'Daily Sale entry '!S291,0))</f>
        <v/>
      </c>
      <c r="E291">
        <f>IF(C291="","",IF('Daily Sale entry '!Q291="Collection 收款",'Daily Sale entry '!S291,0))</f>
        <v/>
      </c>
      <c r="F291" s="37">
        <f>IF(C291="","",B291+IF(E291&gt;0,0,0.5)+ROW()/10000000)</f>
        <v/>
      </c>
      <c r="G291">
        <f>IF(C291="","",'Daily Sale entry '!Q291&amp;IF('Daily Sale entry '!Q291="Collection 收款"," ("&amp;'Daily Sale entry '!R291&amp;")","")&amp;IF('Daily Sale entry '!U291="",""," - "&amp;'Daily Sale entry '!U291))</f>
        <v/>
      </c>
      <c r="H291">
        <f>IF(C291="","",COUNTIFS($C$2:$C$3001,C291,$F$2:$F$3001,"&lt;"&amp;F291)+1)</f>
        <v/>
      </c>
      <c r="I291">
        <f>IF(C291="","",C291&amp;"|"&amp;H291)</f>
        <v/>
      </c>
      <c r="J291" s="6">
        <f>IF(C291="","",IF(H291=1,SUMIFS('Opening Balance'!$F$4:$F$303,'Opening Balance'!$G$4:$G$303,C291),INDEX($L$2:$L$3001,MATCH(C291&amp;"|"&amp;(H291-1),$I$2:$I$3001,0))))</f>
        <v/>
      </c>
      <c r="K291" s="6">
        <f>IF(C291="","",IF(M291&gt;0,M291,IF(AND(E291&gt;0,ROUND(J291+D291-E291,2)&gt;0,ROUND(J291+D291-E291,2)&lt;'Opening Balance'!$B$14),ROUND(J291+D291-E291,2),0)))</f>
        <v/>
      </c>
      <c r="L291" s="6">
        <f>IF(C291="","",ROUND(J291+D291-E291-K291,2))</f>
        <v/>
      </c>
      <c r="M291" s="6">
        <f>IF(C291="","",IF('Daily Sale entry '!Q291="Collection 收款",ROUND(N('Daily Sale entry '!T291),2),0))</f>
        <v/>
      </c>
    </row>
    <row r="292">
      <c r="A292" t="inlineStr">
        <is>
          <t>Entry 记录</t>
        </is>
      </c>
      <c r="B292" s="5">
        <f>IF('Daily Sale entry '!P292="","",'Daily Sale entry '!O292)</f>
        <v/>
      </c>
      <c r="C292">
        <f>IF('Daily Sale entry '!P292="","",'Daily Sale entry '!P292)</f>
        <v/>
      </c>
      <c r="D292">
        <f>IF(C292="","",IF('Daily Sale entry '!Q292="Credit Sale 赊销",'Daily Sale entry '!S292,0))</f>
        <v/>
      </c>
      <c r="E292">
        <f>IF(C292="","",IF('Daily Sale entry '!Q292="Collection 收款",'Daily Sale entry '!S292,0))</f>
        <v/>
      </c>
      <c r="F292" s="37">
        <f>IF(C292="","",B292+IF(E292&gt;0,0,0.5)+ROW()/10000000)</f>
        <v/>
      </c>
      <c r="G292">
        <f>IF(C292="","",'Daily Sale entry '!Q292&amp;IF('Daily Sale entry '!Q292="Collection 收款"," ("&amp;'Daily Sale entry '!R292&amp;")","")&amp;IF('Daily Sale entry '!U292="",""," - "&amp;'Daily Sale entry '!U292))</f>
        <v/>
      </c>
      <c r="H292">
        <f>IF(C292="","",COUNTIFS($C$2:$C$3001,C292,$F$2:$F$3001,"&lt;"&amp;F292)+1)</f>
        <v/>
      </c>
      <c r="I292">
        <f>IF(C292="","",C292&amp;"|"&amp;H292)</f>
        <v/>
      </c>
      <c r="J292" s="6">
        <f>IF(C292="","",IF(H292=1,SUMIFS('Opening Balance'!$F$4:$F$303,'Opening Balance'!$G$4:$G$303,C292),INDEX($L$2:$L$3001,MATCH(C292&amp;"|"&amp;(H292-1),$I$2:$I$3001,0))))</f>
        <v/>
      </c>
      <c r="K292" s="6">
        <f>IF(C292="","",IF(M292&gt;0,M292,IF(AND(E292&gt;0,ROUND(J292+D292-E292,2)&gt;0,ROUND(J292+D292-E292,2)&lt;'Opening Balance'!$B$14),ROUND(J292+D292-E292,2),0)))</f>
        <v/>
      </c>
      <c r="L292" s="6">
        <f>IF(C292="","",ROUND(J292+D292-E292-K292,2))</f>
        <v/>
      </c>
      <c r="M292" s="6">
        <f>IF(C292="","",IF('Daily Sale entry '!Q292="Collection 收款",ROUND(N('Daily Sale entry '!T292),2),0))</f>
        <v/>
      </c>
    </row>
    <row r="293">
      <c r="A293" t="inlineStr">
        <is>
          <t>Entry 记录</t>
        </is>
      </c>
      <c r="B293" s="5">
        <f>IF('Daily Sale entry '!P293="","",'Daily Sale entry '!O293)</f>
        <v/>
      </c>
      <c r="C293">
        <f>IF('Daily Sale entry '!P293="","",'Daily Sale entry '!P293)</f>
        <v/>
      </c>
      <c r="D293">
        <f>IF(C293="","",IF('Daily Sale entry '!Q293="Credit Sale 赊销",'Daily Sale entry '!S293,0))</f>
        <v/>
      </c>
      <c r="E293">
        <f>IF(C293="","",IF('Daily Sale entry '!Q293="Collection 收款",'Daily Sale entry '!S293,0))</f>
        <v/>
      </c>
      <c r="F293" s="37">
        <f>IF(C293="","",B293+IF(E293&gt;0,0,0.5)+ROW()/10000000)</f>
        <v/>
      </c>
      <c r="G293">
        <f>IF(C293="","",'Daily Sale entry '!Q293&amp;IF('Daily Sale entry '!Q293="Collection 收款"," ("&amp;'Daily Sale entry '!R293&amp;")","")&amp;IF('Daily Sale entry '!U293="",""," - "&amp;'Daily Sale entry '!U293))</f>
        <v/>
      </c>
      <c r="H293">
        <f>IF(C293="","",COUNTIFS($C$2:$C$3001,C293,$F$2:$F$3001,"&lt;"&amp;F293)+1)</f>
        <v/>
      </c>
      <c r="I293">
        <f>IF(C293="","",C293&amp;"|"&amp;H293)</f>
        <v/>
      </c>
      <c r="J293" s="6">
        <f>IF(C293="","",IF(H293=1,SUMIFS('Opening Balance'!$F$4:$F$303,'Opening Balance'!$G$4:$G$303,C293),INDEX($L$2:$L$3001,MATCH(C293&amp;"|"&amp;(H293-1),$I$2:$I$3001,0))))</f>
        <v/>
      </c>
      <c r="K293" s="6">
        <f>IF(C293="","",IF(M293&gt;0,M293,IF(AND(E293&gt;0,ROUND(J293+D293-E293,2)&gt;0,ROUND(J293+D293-E293,2)&lt;'Opening Balance'!$B$14),ROUND(J293+D293-E293,2),0)))</f>
        <v/>
      </c>
      <c r="L293" s="6">
        <f>IF(C293="","",ROUND(J293+D293-E293-K293,2))</f>
        <v/>
      </c>
      <c r="M293" s="6">
        <f>IF(C293="","",IF('Daily Sale entry '!Q293="Collection 收款",ROUND(N('Daily Sale entry '!T293),2),0))</f>
        <v/>
      </c>
    </row>
    <row r="294">
      <c r="A294" t="inlineStr">
        <is>
          <t>Entry 记录</t>
        </is>
      </c>
      <c r="B294" s="5">
        <f>IF('Daily Sale entry '!P294="","",'Daily Sale entry '!O294)</f>
        <v/>
      </c>
      <c r="C294">
        <f>IF('Daily Sale entry '!P294="","",'Daily Sale entry '!P294)</f>
        <v/>
      </c>
      <c r="D294">
        <f>IF(C294="","",IF('Daily Sale entry '!Q294="Credit Sale 赊销",'Daily Sale entry '!S294,0))</f>
        <v/>
      </c>
      <c r="E294">
        <f>IF(C294="","",IF('Daily Sale entry '!Q294="Collection 收款",'Daily Sale entry '!S294,0))</f>
        <v/>
      </c>
      <c r="F294" s="37">
        <f>IF(C294="","",B294+IF(E294&gt;0,0,0.5)+ROW()/10000000)</f>
        <v/>
      </c>
      <c r="G294">
        <f>IF(C294="","",'Daily Sale entry '!Q294&amp;IF('Daily Sale entry '!Q294="Collection 收款"," ("&amp;'Daily Sale entry '!R294&amp;")","")&amp;IF('Daily Sale entry '!U294="",""," - "&amp;'Daily Sale entry '!U294))</f>
        <v/>
      </c>
      <c r="H294">
        <f>IF(C294="","",COUNTIFS($C$2:$C$3001,C294,$F$2:$F$3001,"&lt;"&amp;F294)+1)</f>
        <v/>
      </c>
      <c r="I294">
        <f>IF(C294="","",C294&amp;"|"&amp;H294)</f>
        <v/>
      </c>
      <c r="J294" s="6">
        <f>IF(C294="","",IF(H294=1,SUMIFS('Opening Balance'!$F$4:$F$303,'Opening Balance'!$G$4:$G$303,C294),INDEX($L$2:$L$3001,MATCH(C294&amp;"|"&amp;(H294-1),$I$2:$I$3001,0))))</f>
        <v/>
      </c>
      <c r="K294" s="6">
        <f>IF(C294="","",IF(M294&gt;0,M294,IF(AND(E294&gt;0,ROUND(J294+D294-E294,2)&gt;0,ROUND(J294+D294-E294,2)&lt;'Opening Balance'!$B$14),ROUND(J294+D294-E294,2),0)))</f>
        <v/>
      </c>
      <c r="L294" s="6">
        <f>IF(C294="","",ROUND(J294+D294-E294-K294,2))</f>
        <v/>
      </c>
      <c r="M294" s="6">
        <f>IF(C294="","",IF('Daily Sale entry '!Q294="Collection 收款",ROUND(N('Daily Sale entry '!T294),2),0))</f>
        <v/>
      </c>
    </row>
    <row r="295">
      <c r="A295" t="inlineStr">
        <is>
          <t>Entry 记录</t>
        </is>
      </c>
      <c r="B295" s="5">
        <f>IF('Daily Sale entry '!P295="","",'Daily Sale entry '!O295)</f>
        <v/>
      </c>
      <c r="C295">
        <f>IF('Daily Sale entry '!P295="","",'Daily Sale entry '!P295)</f>
        <v/>
      </c>
      <c r="D295">
        <f>IF(C295="","",IF('Daily Sale entry '!Q295="Credit Sale 赊销",'Daily Sale entry '!S295,0))</f>
        <v/>
      </c>
      <c r="E295">
        <f>IF(C295="","",IF('Daily Sale entry '!Q295="Collection 收款",'Daily Sale entry '!S295,0))</f>
        <v/>
      </c>
      <c r="F295" s="37">
        <f>IF(C295="","",B295+IF(E295&gt;0,0,0.5)+ROW()/10000000)</f>
        <v/>
      </c>
      <c r="G295">
        <f>IF(C295="","",'Daily Sale entry '!Q295&amp;IF('Daily Sale entry '!Q295="Collection 收款"," ("&amp;'Daily Sale entry '!R295&amp;")","")&amp;IF('Daily Sale entry '!U295="",""," - "&amp;'Daily Sale entry '!U295))</f>
        <v/>
      </c>
      <c r="H295">
        <f>IF(C295="","",COUNTIFS($C$2:$C$3001,C295,$F$2:$F$3001,"&lt;"&amp;F295)+1)</f>
        <v/>
      </c>
      <c r="I295">
        <f>IF(C295="","",C295&amp;"|"&amp;H295)</f>
        <v/>
      </c>
      <c r="J295" s="6">
        <f>IF(C295="","",IF(H295=1,SUMIFS('Opening Balance'!$F$4:$F$303,'Opening Balance'!$G$4:$G$303,C295),INDEX($L$2:$L$3001,MATCH(C295&amp;"|"&amp;(H295-1),$I$2:$I$3001,0))))</f>
        <v/>
      </c>
      <c r="K295" s="6">
        <f>IF(C295="","",IF(M295&gt;0,M295,IF(AND(E295&gt;0,ROUND(J295+D295-E295,2)&gt;0,ROUND(J295+D295-E295,2)&lt;'Opening Balance'!$B$14),ROUND(J295+D295-E295,2),0)))</f>
        <v/>
      </c>
      <c r="L295" s="6">
        <f>IF(C295="","",ROUND(J295+D295-E295-K295,2))</f>
        <v/>
      </c>
      <c r="M295" s="6">
        <f>IF(C295="","",IF('Daily Sale entry '!Q295="Collection 收款",ROUND(N('Daily Sale entry '!T295),2),0))</f>
        <v/>
      </c>
    </row>
    <row r="296">
      <c r="A296" t="inlineStr">
        <is>
          <t>Entry 记录</t>
        </is>
      </c>
      <c r="B296" s="5">
        <f>IF('Daily Sale entry '!P296="","",'Daily Sale entry '!O296)</f>
        <v/>
      </c>
      <c r="C296">
        <f>IF('Daily Sale entry '!P296="","",'Daily Sale entry '!P296)</f>
        <v/>
      </c>
      <c r="D296">
        <f>IF(C296="","",IF('Daily Sale entry '!Q296="Credit Sale 赊销",'Daily Sale entry '!S296,0))</f>
        <v/>
      </c>
      <c r="E296">
        <f>IF(C296="","",IF('Daily Sale entry '!Q296="Collection 收款",'Daily Sale entry '!S296,0))</f>
        <v/>
      </c>
      <c r="F296" s="37">
        <f>IF(C296="","",B296+IF(E296&gt;0,0,0.5)+ROW()/10000000)</f>
        <v/>
      </c>
      <c r="G296">
        <f>IF(C296="","",'Daily Sale entry '!Q296&amp;IF('Daily Sale entry '!Q296="Collection 收款"," ("&amp;'Daily Sale entry '!R296&amp;")","")&amp;IF('Daily Sale entry '!U296="",""," - "&amp;'Daily Sale entry '!U296))</f>
        <v/>
      </c>
      <c r="H296">
        <f>IF(C296="","",COUNTIFS($C$2:$C$3001,C296,$F$2:$F$3001,"&lt;"&amp;F296)+1)</f>
        <v/>
      </c>
      <c r="I296">
        <f>IF(C296="","",C296&amp;"|"&amp;H296)</f>
        <v/>
      </c>
      <c r="J296" s="6">
        <f>IF(C296="","",IF(H296=1,SUMIFS('Opening Balance'!$F$4:$F$303,'Opening Balance'!$G$4:$G$303,C296),INDEX($L$2:$L$3001,MATCH(C296&amp;"|"&amp;(H296-1),$I$2:$I$3001,0))))</f>
        <v/>
      </c>
      <c r="K296" s="6">
        <f>IF(C296="","",IF(M296&gt;0,M296,IF(AND(E296&gt;0,ROUND(J296+D296-E296,2)&gt;0,ROUND(J296+D296-E296,2)&lt;'Opening Balance'!$B$14),ROUND(J296+D296-E296,2),0)))</f>
        <v/>
      </c>
      <c r="L296" s="6">
        <f>IF(C296="","",ROUND(J296+D296-E296-K296,2))</f>
        <v/>
      </c>
      <c r="M296" s="6">
        <f>IF(C296="","",IF('Daily Sale entry '!Q296="Collection 收款",ROUND(N('Daily Sale entry '!T296),2),0))</f>
        <v/>
      </c>
    </row>
    <row r="297">
      <c r="A297" t="inlineStr">
        <is>
          <t>Entry 记录</t>
        </is>
      </c>
      <c r="B297" s="5">
        <f>IF('Daily Sale entry '!P297="","",'Daily Sale entry '!O297)</f>
        <v/>
      </c>
      <c r="C297">
        <f>IF('Daily Sale entry '!P297="","",'Daily Sale entry '!P297)</f>
        <v/>
      </c>
      <c r="D297">
        <f>IF(C297="","",IF('Daily Sale entry '!Q297="Credit Sale 赊销",'Daily Sale entry '!S297,0))</f>
        <v/>
      </c>
      <c r="E297">
        <f>IF(C297="","",IF('Daily Sale entry '!Q297="Collection 收款",'Daily Sale entry '!S297,0))</f>
        <v/>
      </c>
      <c r="F297" s="37">
        <f>IF(C297="","",B297+IF(E297&gt;0,0,0.5)+ROW()/10000000)</f>
        <v/>
      </c>
      <c r="G297">
        <f>IF(C297="","",'Daily Sale entry '!Q297&amp;IF('Daily Sale entry '!Q297="Collection 收款"," ("&amp;'Daily Sale entry '!R297&amp;")","")&amp;IF('Daily Sale entry '!U297="",""," - "&amp;'Daily Sale entry '!U297))</f>
        <v/>
      </c>
      <c r="H297">
        <f>IF(C297="","",COUNTIFS($C$2:$C$3001,C297,$F$2:$F$3001,"&lt;"&amp;F297)+1)</f>
        <v/>
      </c>
      <c r="I297">
        <f>IF(C297="","",C297&amp;"|"&amp;H297)</f>
        <v/>
      </c>
      <c r="J297" s="6">
        <f>IF(C297="","",IF(H297=1,SUMIFS('Opening Balance'!$F$4:$F$303,'Opening Balance'!$G$4:$G$303,C297),INDEX($L$2:$L$3001,MATCH(C297&amp;"|"&amp;(H297-1),$I$2:$I$3001,0))))</f>
        <v/>
      </c>
      <c r="K297" s="6">
        <f>IF(C297="","",IF(M297&gt;0,M297,IF(AND(E297&gt;0,ROUND(J297+D297-E297,2)&gt;0,ROUND(J297+D297-E297,2)&lt;'Opening Balance'!$B$14),ROUND(J297+D297-E297,2),0)))</f>
        <v/>
      </c>
      <c r="L297" s="6">
        <f>IF(C297="","",ROUND(J297+D297-E297-K297,2))</f>
        <v/>
      </c>
      <c r="M297" s="6">
        <f>IF(C297="","",IF('Daily Sale entry '!Q297="Collection 收款",ROUND(N('Daily Sale entry '!T297),2),0))</f>
        <v/>
      </c>
    </row>
    <row r="298">
      <c r="A298" t="inlineStr">
        <is>
          <t>Entry 记录</t>
        </is>
      </c>
      <c r="B298" s="5">
        <f>IF('Daily Sale entry '!P298="","",'Daily Sale entry '!O298)</f>
        <v/>
      </c>
      <c r="C298">
        <f>IF('Daily Sale entry '!P298="","",'Daily Sale entry '!P298)</f>
        <v/>
      </c>
      <c r="D298">
        <f>IF(C298="","",IF('Daily Sale entry '!Q298="Credit Sale 赊销",'Daily Sale entry '!S298,0))</f>
        <v/>
      </c>
      <c r="E298">
        <f>IF(C298="","",IF('Daily Sale entry '!Q298="Collection 收款",'Daily Sale entry '!S298,0))</f>
        <v/>
      </c>
      <c r="F298" s="37">
        <f>IF(C298="","",B298+IF(E298&gt;0,0,0.5)+ROW()/10000000)</f>
        <v/>
      </c>
      <c r="G298">
        <f>IF(C298="","",'Daily Sale entry '!Q298&amp;IF('Daily Sale entry '!Q298="Collection 收款"," ("&amp;'Daily Sale entry '!R298&amp;")","")&amp;IF('Daily Sale entry '!U298="",""," - "&amp;'Daily Sale entry '!U298))</f>
        <v/>
      </c>
      <c r="H298">
        <f>IF(C298="","",COUNTIFS($C$2:$C$3001,C298,$F$2:$F$3001,"&lt;"&amp;F298)+1)</f>
        <v/>
      </c>
      <c r="I298">
        <f>IF(C298="","",C298&amp;"|"&amp;H298)</f>
        <v/>
      </c>
      <c r="J298" s="6">
        <f>IF(C298="","",IF(H298=1,SUMIFS('Opening Balance'!$F$4:$F$303,'Opening Balance'!$G$4:$G$303,C298),INDEX($L$2:$L$3001,MATCH(C298&amp;"|"&amp;(H298-1),$I$2:$I$3001,0))))</f>
        <v/>
      </c>
      <c r="K298" s="6">
        <f>IF(C298="","",IF(M298&gt;0,M298,IF(AND(E298&gt;0,ROUND(J298+D298-E298,2)&gt;0,ROUND(J298+D298-E298,2)&lt;'Opening Balance'!$B$14),ROUND(J298+D298-E298,2),0)))</f>
        <v/>
      </c>
      <c r="L298" s="6">
        <f>IF(C298="","",ROUND(J298+D298-E298-K298,2))</f>
        <v/>
      </c>
      <c r="M298" s="6">
        <f>IF(C298="","",IF('Daily Sale entry '!Q298="Collection 收款",ROUND(N('Daily Sale entry '!T298),2),0))</f>
        <v/>
      </c>
    </row>
    <row r="299">
      <c r="A299" t="inlineStr">
        <is>
          <t>Entry 记录</t>
        </is>
      </c>
      <c r="B299" s="5">
        <f>IF('Daily Sale entry '!P299="","",'Daily Sale entry '!O299)</f>
        <v/>
      </c>
      <c r="C299">
        <f>IF('Daily Sale entry '!P299="","",'Daily Sale entry '!P299)</f>
        <v/>
      </c>
      <c r="D299">
        <f>IF(C299="","",IF('Daily Sale entry '!Q299="Credit Sale 赊销",'Daily Sale entry '!S299,0))</f>
        <v/>
      </c>
      <c r="E299">
        <f>IF(C299="","",IF('Daily Sale entry '!Q299="Collection 收款",'Daily Sale entry '!S299,0))</f>
        <v/>
      </c>
      <c r="F299" s="37">
        <f>IF(C299="","",B299+IF(E299&gt;0,0,0.5)+ROW()/10000000)</f>
        <v/>
      </c>
      <c r="G299">
        <f>IF(C299="","",'Daily Sale entry '!Q299&amp;IF('Daily Sale entry '!Q299="Collection 收款"," ("&amp;'Daily Sale entry '!R299&amp;")","")&amp;IF('Daily Sale entry '!U299="",""," - "&amp;'Daily Sale entry '!U299))</f>
        <v/>
      </c>
      <c r="H299">
        <f>IF(C299="","",COUNTIFS($C$2:$C$3001,C299,$F$2:$F$3001,"&lt;"&amp;F299)+1)</f>
        <v/>
      </c>
      <c r="I299">
        <f>IF(C299="","",C299&amp;"|"&amp;H299)</f>
        <v/>
      </c>
      <c r="J299" s="6">
        <f>IF(C299="","",IF(H299=1,SUMIFS('Opening Balance'!$F$4:$F$303,'Opening Balance'!$G$4:$G$303,C299),INDEX($L$2:$L$3001,MATCH(C299&amp;"|"&amp;(H299-1),$I$2:$I$3001,0))))</f>
        <v/>
      </c>
      <c r="K299" s="6">
        <f>IF(C299="","",IF(M299&gt;0,M299,IF(AND(E299&gt;0,ROUND(J299+D299-E299,2)&gt;0,ROUND(J299+D299-E299,2)&lt;'Opening Balance'!$B$14),ROUND(J299+D299-E299,2),0)))</f>
        <v/>
      </c>
      <c r="L299" s="6">
        <f>IF(C299="","",ROUND(J299+D299-E299-K299,2))</f>
        <v/>
      </c>
      <c r="M299" s="6">
        <f>IF(C299="","",IF('Daily Sale entry '!Q299="Collection 收款",ROUND(N('Daily Sale entry '!T299),2),0))</f>
        <v/>
      </c>
    </row>
    <row r="300">
      <c r="A300" t="inlineStr">
        <is>
          <t>Entry 记录</t>
        </is>
      </c>
      <c r="B300" s="5">
        <f>IF('Daily Sale entry '!P300="","",'Daily Sale entry '!O300)</f>
        <v/>
      </c>
      <c r="C300">
        <f>IF('Daily Sale entry '!P300="","",'Daily Sale entry '!P300)</f>
        <v/>
      </c>
      <c r="D300">
        <f>IF(C300="","",IF('Daily Sale entry '!Q300="Credit Sale 赊销",'Daily Sale entry '!S300,0))</f>
        <v/>
      </c>
      <c r="E300">
        <f>IF(C300="","",IF('Daily Sale entry '!Q300="Collection 收款",'Daily Sale entry '!S300,0))</f>
        <v/>
      </c>
      <c r="F300" s="37">
        <f>IF(C300="","",B300+IF(E300&gt;0,0,0.5)+ROW()/10000000)</f>
        <v/>
      </c>
      <c r="G300">
        <f>IF(C300="","",'Daily Sale entry '!Q300&amp;IF('Daily Sale entry '!Q300="Collection 收款"," ("&amp;'Daily Sale entry '!R300&amp;")","")&amp;IF('Daily Sale entry '!U300="",""," - "&amp;'Daily Sale entry '!U300))</f>
        <v/>
      </c>
      <c r="H300">
        <f>IF(C300="","",COUNTIFS($C$2:$C$3001,C300,$F$2:$F$3001,"&lt;"&amp;F300)+1)</f>
        <v/>
      </c>
      <c r="I300">
        <f>IF(C300="","",C300&amp;"|"&amp;H300)</f>
        <v/>
      </c>
      <c r="J300" s="6">
        <f>IF(C300="","",IF(H300=1,SUMIFS('Opening Balance'!$F$4:$F$303,'Opening Balance'!$G$4:$G$303,C300),INDEX($L$2:$L$3001,MATCH(C300&amp;"|"&amp;(H300-1),$I$2:$I$3001,0))))</f>
        <v/>
      </c>
      <c r="K300" s="6">
        <f>IF(C300="","",IF(M300&gt;0,M300,IF(AND(E300&gt;0,ROUND(J300+D300-E300,2)&gt;0,ROUND(J300+D300-E300,2)&lt;'Opening Balance'!$B$14),ROUND(J300+D300-E300,2),0)))</f>
        <v/>
      </c>
      <c r="L300" s="6">
        <f>IF(C300="","",ROUND(J300+D300-E300-K300,2))</f>
        <v/>
      </c>
      <c r="M300" s="6">
        <f>IF(C300="","",IF('Daily Sale entry '!Q300="Collection 收款",ROUND(N('Daily Sale entry '!T300),2),0))</f>
        <v/>
      </c>
    </row>
    <row r="301">
      <c r="A301" t="inlineStr">
        <is>
          <t>Entry 记录</t>
        </is>
      </c>
      <c r="B301" s="5">
        <f>IF('Daily Sale entry '!P301="","",'Daily Sale entry '!O301)</f>
        <v/>
      </c>
      <c r="C301">
        <f>IF('Daily Sale entry '!P301="","",'Daily Sale entry '!P301)</f>
        <v/>
      </c>
      <c r="D301">
        <f>IF(C301="","",IF('Daily Sale entry '!Q301="Credit Sale 赊销",'Daily Sale entry '!S301,0))</f>
        <v/>
      </c>
      <c r="E301">
        <f>IF(C301="","",IF('Daily Sale entry '!Q301="Collection 收款",'Daily Sale entry '!S301,0))</f>
        <v/>
      </c>
      <c r="F301" s="37">
        <f>IF(C301="","",B301+IF(E301&gt;0,0,0.5)+ROW()/10000000)</f>
        <v/>
      </c>
      <c r="G301">
        <f>IF(C301="","",'Daily Sale entry '!Q301&amp;IF('Daily Sale entry '!Q301="Collection 收款"," ("&amp;'Daily Sale entry '!R301&amp;")","")&amp;IF('Daily Sale entry '!U301="",""," - "&amp;'Daily Sale entry '!U301))</f>
        <v/>
      </c>
      <c r="H301">
        <f>IF(C301="","",COUNTIFS($C$2:$C$3001,C301,$F$2:$F$3001,"&lt;"&amp;F301)+1)</f>
        <v/>
      </c>
      <c r="I301">
        <f>IF(C301="","",C301&amp;"|"&amp;H301)</f>
        <v/>
      </c>
      <c r="J301" s="6">
        <f>IF(C301="","",IF(H301=1,SUMIFS('Opening Balance'!$F$4:$F$303,'Opening Balance'!$G$4:$G$303,C301),INDEX($L$2:$L$3001,MATCH(C301&amp;"|"&amp;(H301-1),$I$2:$I$3001,0))))</f>
        <v/>
      </c>
      <c r="K301" s="6">
        <f>IF(C301="","",IF(M301&gt;0,M301,IF(AND(E301&gt;0,ROUND(J301+D301-E301,2)&gt;0,ROUND(J301+D301-E301,2)&lt;'Opening Balance'!$B$14),ROUND(J301+D301-E301,2),0)))</f>
        <v/>
      </c>
      <c r="L301" s="6">
        <f>IF(C301="","",ROUND(J301+D301-E301-K301,2))</f>
        <v/>
      </c>
      <c r="M301" s="6">
        <f>IF(C301="","",IF('Daily Sale entry '!Q301="Collection 收款",ROUND(N('Daily Sale entry '!T301),2),0))</f>
        <v/>
      </c>
    </row>
    <row r="302">
      <c r="A302" t="inlineStr">
        <is>
          <t>Entry 记录</t>
        </is>
      </c>
      <c r="B302" s="5">
        <f>IF('Daily Sale entry '!P302="","",'Daily Sale entry '!O302)</f>
        <v/>
      </c>
      <c r="C302">
        <f>IF('Daily Sale entry '!P302="","",'Daily Sale entry '!P302)</f>
        <v/>
      </c>
      <c r="D302">
        <f>IF(C302="","",IF('Daily Sale entry '!Q302="Credit Sale 赊销",'Daily Sale entry '!S302,0))</f>
        <v/>
      </c>
      <c r="E302">
        <f>IF(C302="","",IF('Daily Sale entry '!Q302="Collection 收款",'Daily Sale entry '!S302,0))</f>
        <v/>
      </c>
      <c r="F302" s="37">
        <f>IF(C302="","",B302+IF(E302&gt;0,0,0.5)+ROW()/10000000)</f>
        <v/>
      </c>
      <c r="G302">
        <f>IF(C302="","",'Daily Sale entry '!Q302&amp;IF('Daily Sale entry '!Q302="Collection 收款"," ("&amp;'Daily Sale entry '!R302&amp;")","")&amp;IF('Daily Sale entry '!U302="",""," - "&amp;'Daily Sale entry '!U302))</f>
        <v/>
      </c>
      <c r="H302">
        <f>IF(C302="","",COUNTIFS($C$2:$C$3001,C302,$F$2:$F$3001,"&lt;"&amp;F302)+1)</f>
        <v/>
      </c>
      <c r="I302">
        <f>IF(C302="","",C302&amp;"|"&amp;H302)</f>
        <v/>
      </c>
      <c r="J302" s="6">
        <f>IF(C302="","",IF(H302=1,SUMIFS('Opening Balance'!$F$4:$F$303,'Opening Balance'!$G$4:$G$303,C302),INDEX($L$2:$L$3001,MATCH(C302&amp;"|"&amp;(H302-1),$I$2:$I$3001,0))))</f>
        <v/>
      </c>
      <c r="K302" s="6">
        <f>IF(C302="","",IF(M302&gt;0,M302,IF(AND(E302&gt;0,ROUND(J302+D302-E302,2)&gt;0,ROUND(J302+D302-E302,2)&lt;'Opening Balance'!$B$14),ROUND(J302+D302-E302,2),0)))</f>
        <v/>
      </c>
      <c r="L302" s="6">
        <f>IF(C302="","",ROUND(J302+D302-E302-K302,2))</f>
        <v/>
      </c>
      <c r="M302" s="6">
        <f>IF(C302="","",IF('Daily Sale entry '!Q302="Collection 收款",ROUND(N('Daily Sale entry '!T302),2),0))</f>
        <v/>
      </c>
    </row>
    <row r="303">
      <c r="A303" t="inlineStr">
        <is>
          <t>Entry 记录</t>
        </is>
      </c>
      <c r="B303" s="5">
        <f>IF('Daily Sale entry '!P303="","",'Daily Sale entry '!O303)</f>
        <v/>
      </c>
      <c r="C303">
        <f>IF('Daily Sale entry '!P303="","",'Daily Sale entry '!P303)</f>
        <v/>
      </c>
      <c r="D303">
        <f>IF(C303="","",IF('Daily Sale entry '!Q303="Credit Sale 赊销",'Daily Sale entry '!S303,0))</f>
        <v/>
      </c>
      <c r="E303">
        <f>IF(C303="","",IF('Daily Sale entry '!Q303="Collection 收款",'Daily Sale entry '!S303,0))</f>
        <v/>
      </c>
      <c r="F303" s="37">
        <f>IF(C303="","",B303+IF(E303&gt;0,0,0.5)+ROW()/10000000)</f>
        <v/>
      </c>
      <c r="G303">
        <f>IF(C303="","",'Daily Sale entry '!Q303&amp;IF('Daily Sale entry '!Q303="Collection 收款"," ("&amp;'Daily Sale entry '!R303&amp;")","")&amp;IF('Daily Sale entry '!U303="",""," - "&amp;'Daily Sale entry '!U303))</f>
        <v/>
      </c>
      <c r="H303">
        <f>IF(C303="","",COUNTIFS($C$2:$C$3001,C303,$F$2:$F$3001,"&lt;"&amp;F303)+1)</f>
        <v/>
      </c>
      <c r="I303">
        <f>IF(C303="","",C303&amp;"|"&amp;H303)</f>
        <v/>
      </c>
      <c r="J303" s="6">
        <f>IF(C303="","",IF(H303=1,SUMIFS('Opening Balance'!$F$4:$F$303,'Opening Balance'!$G$4:$G$303,C303),INDEX($L$2:$L$3001,MATCH(C303&amp;"|"&amp;(H303-1),$I$2:$I$3001,0))))</f>
        <v/>
      </c>
      <c r="K303" s="6">
        <f>IF(C303="","",IF(M303&gt;0,M303,IF(AND(E303&gt;0,ROUND(J303+D303-E303,2)&gt;0,ROUND(J303+D303-E303,2)&lt;'Opening Balance'!$B$14),ROUND(J303+D303-E303,2),0)))</f>
        <v/>
      </c>
      <c r="L303" s="6">
        <f>IF(C303="","",ROUND(J303+D303-E303-K303,2))</f>
        <v/>
      </c>
      <c r="M303" s="6">
        <f>IF(C303="","",IF('Daily Sale entry '!Q303="Collection 收款",ROUND(N('Daily Sale entry '!T303),2),0))</f>
        <v/>
      </c>
    </row>
    <row r="304">
      <c r="A304" t="inlineStr">
        <is>
          <t>Entry 记录</t>
        </is>
      </c>
      <c r="B304" s="5">
        <f>IF('Daily Sale entry '!P304="","",'Daily Sale entry '!O304)</f>
        <v/>
      </c>
      <c r="C304">
        <f>IF('Daily Sale entry '!P304="","",'Daily Sale entry '!P304)</f>
        <v/>
      </c>
      <c r="D304">
        <f>IF(C304="","",IF('Daily Sale entry '!Q304="Credit Sale 赊销",'Daily Sale entry '!S304,0))</f>
        <v/>
      </c>
      <c r="E304">
        <f>IF(C304="","",IF('Daily Sale entry '!Q304="Collection 收款",'Daily Sale entry '!S304,0))</f>
        <v/>
      </c>
      <c r="F304" s="37">
        <f>IF(C304="","",B304+IF(E304&gt;0,0,0.5)+ROW()/10000000)</f>
        <v/>
      </c>
      <c r="G304">
        <f>IF(C304="","",'Daily Sale entry '!Q304&amp;IF('Daily Sale entry '!Q304="Collection 收款"," ("&amp;'Daily Sale entry '!R304&amp;")","")&amp;IF('Daily Sale entry '!U304="",""," - "&amp;'Daily Sale entry '!U304))</f>
        <v/>
      </c>
      <c r="H304">
        <f>IF(C304="","",COUNTIFS($C$2:$C$3001,C304,$F$2:$F$3001,"&lt;"&amp;F304)+1)</f>
        <v/>
      </c>
      <c r="I304">
        <f>IF(C304="","",C304&amp;"|"&amp;H304)</f>
        <v/>
      </c>
      <c r="J304" s="6">
        <f>IF(C304="","",IF(H304=1,SUMIFS('Opening Balance'!$F$4:$F$303,'Opening Balance'!$G$4:$G$303,C304),INDEX($L$2:$L$3001,MATCH(C304&amp;"|"&amp;(H304-1),$I$2:$I$3001,0))))</f>
        <v/>
      </c>
      <c r="K304" s="6">
        <f>IF(C304="","",IF(M304&gt;0,M304,IF(AND(E304&gt;0,ROUND(J304+D304-E304,2)&gt;0,ROUND(J304+D304-E304,2)&lt;'Opening Balance'!$B$14),ROUND(J304+D304-E304,2),0)))</f>
        <v/>
      </c>
      <c r="L304" s="6">
        <f>IF(C304="","",ROUND(J304+D304-E304-K304,2))</f>
        <v/>
      </c>
      <c r="M304" s="6">
        <f>IF(C304="","",IF('Daily Sale entry '!Q304="Collection 收款",ROUND(N('Daily Sale entry '!T304),2),0))</f>
        <v/>
      </c>
    </row>
    <row r="305">
      <c r="A305" t="inlineStr">
        <is>
          <t>Entry 记录</t>
        </is>
      </c>
      <c r="B305" s="5">
        <f>IF('Daily Sale entry '!P305="","",'Daily Sale entry '!O305)</f>
        <v/>
      </c>
      <c r="C305">
        <f>IF('Daily Sale entry '!P305="","",'Daily Sale entry '!P305)</f>
        <v/>
      </c>
      <c r="D305">
        <f>IF(C305="","",IF('Daily Sale entry '!Q305="Credit Sale 赊销",'Daily Sale entry '!S305,0))</f>
        <v/>
      </c>
      <c r="E305">
        <f>IF(C305="","",IF('Daily Sale entry '!Q305="Collection 收款",'Daily Sale entry '!S305,0))</f>
        <v/>
      </c>
      <c r="F305" s="37">
        <f>IF(C305="","",B305+IF(E305&gt;0,0,0.5)+ROW()/10000000)</f>
        <v/>
      </c>
      <c r="G305">
        <f>IF(C305="","",'Daily Sale entry '!Q305&amp;IF('Daily Sale entry '!Q305="Collection 收款"," ("&amp;'Daily Sale entry '!R305&amp;")","")&amp;IF('Daily Sale entry '!U305="",""," - "&amp;'Daily Sale entry '!U305))</f>
        <v/>
      </c>
      <c r="H305">
        <f>IF(C305="","",COUNTIFS($C$2:$C$3001,C305,$F$2:$F$3001,"&lt;"&amp;F305)+1)</f>
        <v/>
      </c>
      <c r="I305">
        <f>IF(C305="","",C305&amp;"|"&amp;H305)</f>
        <v/>
      </c>
      <c r="J305" s="6">
        <f>IF(C305="","",IF(H305=1,SUMIFS('Opening Balance'!$F$4:$F$303,'Opening Balance'!$G$4:$G$303,C305),INDEX($L$2:$L$3001,MATCH(C305&amp;"|"&amp;(H305-1),$I$2:$I$3001,0))))</f>
        <v/>
      </c>
      <c r="K305" s="6">
        <f>IF(C305="","",IF(M305&gt;0,M305,IF(AND(E305&gt;0,ROUND(J305+D305-E305,2)&gt;0,ROUND(J305+D305-E305,2)&lt;'Opening Balance'!$B$14),ROUND(J305+D305-E305,2),0)))</f>
        <v/>
      </c>
      <c r="L305" s="6">
        <f>IF(C305="","",ROUND(J305+D305-E305-K305,2))</f>
        <v/>
      </c>
      <c r="M305" s="6">
        <f>IF(C305="","",IF('Daily Sale entry '!Q305="Collection 收款",ROUND(N('Daily Sale entry '!T305),2),0))</f>
        <v/>
      </c>
    </row>
    <row r="306">
      <c r="A306" t="inlineStr">
        <is>
          <t>Entry 记录</t>
        </is>
      </c>
      <c r="B306" s="5">
        <f>IF('Daily Sale entry '!P306="","",'Daily Sale entry '!O306)</f>
        <v/>
      </c>
      <c r="C306">
        <f>IF('Daily Sale entry '!P306="","",'Daily Sale entry '!P306)</f>
        <v/>
      </c>
      <c r="D306">
        <f>IF(C306="","",IF('Daily Sale entry '!Q306="Credit Sale 赊销",'Daily Sale entry '!S306,0))</f>
        <v/>
      </c>
      <c r="E306">
        <f>IF(C306="","",IF('Daily Sale entry '!Q306="Collection 收款",'Daily Sale entry '!S306,0))</f>
        <v/>
      </c>
      <c r="F306" s="37">
        <f>IF(C306="","",B306+IF(E306&gt;0,0,0.5)+ROW()/10000000)</f>
        <v/>
      </c>
      <c r="G306">
        <f>IF(C306="","",'Daily Sale entry '!Q306&amp;IF('Daily Sale entry '!Q306="Collection 收款"," ("&amp;'Daily Sale entry '!R306&amp;")","")&amp;IF('Daily Sale entry '!U306="",""," - "&amp;'Daily Sale entry '!U306))</f>
        <v/>
      </c>
      <c r="H306">
        <f>IF(C306="","",COUNTIFS($C$2:$C$3001,C306,$F$2:$F$3001,"&lt;"&amp;F306)+1)</f>
        <v/>
      </c>
      <c r="I306">
        <f>IF(C306="","",C306&amp;"|"&amp;H306)</f>
        <v/>
      </c>
      <c r="J306" s="6">
        <f>IF(C306="","",IF(H306=1,SUMIFS('Opening Balance'!$F$4:$F$303,'Opening Balance'!$G$4:$G$303,C306),INDEX($L$2:$L$3001,MATCH(C306&amp;"|"&amp;(H306-1),$I$2:$I$3001,0))))</f>
        <v/>
      </c>
      <c r="K306" s="6">
        <f>IF(C306="","",IF(M306&gt;0,M306,IF(AND(E306&gt;0,ROUND(J306+D306-E306,2)&gt;0,ROUND(J306+D306-E306,2)&lt;'Opening Balance'!$B$14),ROUND(J306+D306-E306,2),0)))</f>
        <v/>
      </c>
      <c r="L306" s="6">
        <f>IF(C306="","",ROUND(J306+D306-E306-K306,2))</f>
        <v/>
      </c>
      <c r="M306" s="6">
        <f>IF(C306="","",IF('Daily Sale entry '!Q306="Collection 收款",ROUND(N('Daily Sale entry '!T306),2),0))</f>
        <v/>
      </c>
    </row>
    <row r="307">
      <c r="A307" t="inlineStr">
        <is>
          <t>Entry 记录</t>
        </is>
      </c>
      <c r="B307" s="5">
        <f>IF('Daily Sale entry '!P307="","",'Daily Sale entry '!O307)</f>
        <v/>
      </c>
      <c r="C307">
        <f>IF('Daily Sale entry '!P307="","",'Daily Sale entry '!P307)</f>
        <v/>
      </c>
      <c r="D307">
        <f>IF(C307="","",IF('Daily Sale entry '!Q307="Credit Sale 赊销",'Daily Sale entry '!S307,0))</f>
        <v/>
      </c>
      <c r="E307">
        <f>IF(C307="","",IF('Daily Sale entry '!Q307="Collection 收款",'Daily Sale entry '!S307,0))</f>
        <v/>
      </c>
      <c r="F307" s="37">
        <f>IF(C307="","",B307+IF(E307&gt;0,0,0.5)+ROW()/10000000)</f>
        <v/>
      </c>
      <c r="G307">
        <f>IF(C307="","",'Daily Sale entry '!Q307&amp;IF('Daily Sale entry '!Q307="Collection 收款"," ("&amp;'Daily Sale entry '!R307&amp;")","")&amp;IF('Daily Sale entry '!U307="",""," - "&amp;'Daily Sale entry '!U307))</f>
        <v/>
      </c>
      <c r="H307">
        <f>IF(C307="","",COUNTIFS($C$2:$C$3001,C307,$F$2:$F$3001,"&lt;"&amp;F307)+1)</f>
        <v/>
      </c>
      <c r="I307">
        <f>IF(C307="","",C307&amp;"|"&amp;H307)</f>
        <v/>
      </c>
      <c r="J307" s="6">
        <f>IF(C307="","",IF(H307=1,SUMIFS('Opening Balance'!$F$4:$F$303,'Opening Balance'!$G$4:$G$303,C307),INDEX($L$2:$L$3001,MATCH(C307&amp;"|"&amp;(H307-1),$I$2:$I$3001,0))))</f>
        <v/>
      </c>
      <c r="K307" s="6">
        <f>IF(C307="","",IF(M307&gt;0,M307,IF(AND(E307&gt;0,ROUND(J307+D307-E307,2)&gt;0,ROUND(J307+D307-E307,2)&lt;'Opening Balance'!$B$14),ROUND(J307+D307-E307,2),0)))</f>
        <v/>
      </c>
      <c r="L307" s="6">
        <f>IF(C307="","",ROUND(J307+D307-E307-K307,2))</f>
        <v/>
      </c>
      <c r="M307" s="6">
        <f>IF(C307="","",IF('Daily Sale entry '!Q307="Collection 收款",ROUND(N('Daily Sale entry '!T307),2),0))</f>
        <v/>
      </c>
    </row>
    <row r="308">
      <c r="A308" t="inlineStr">
        <is>
          <t>Entry 记录</t>
        </is>
      </c>
      <c r="B308" s="5">
        <f>IF('Daily Sale entry '!P308="","",'Daily Sale entry '!O308)</f>
        <v/>
      </c>
      <c r="C308">
        <f>IF('Daily Sale entry '!P308="","",'Daily Sale entry '!P308)</f>
        <v/>
      </c>
      <c r="D308">
        <f>IF(C308="","",IF('Daily Sale entry '!Q308="Credit Sale 赊销",'Daily Sale entry '!S308,0))</f>
        <v/>
      </c>
      <c r="E308">
        <f>IF(C308="","",IF('Daily Sale entry '!Q308="Collection 收款",'Daily Sale entry '!S308,0))</f>
        <v/>
      </c>
      <c r="F308" s="37">
        <f>IF(C308="","",B308+IF(E308&gt;0,0,0.5)+ROW()/10000000)</f>
        <v/>
      </c>
      <c r="G308">
        <f>IF(C308="","",'Daily Sale entry '!Q308&amp;IF('Daily Sale entry '!Q308="Collection 收款"," ("&amp;'Daily Sale entry '!R308&amp;")","")&amp;IF('Daily Sale entry '!U308="",""," - "&amp;'Daily Sale entry '!U308))</f>
        <v/>
      </c>
      <c r="H308">
        <f>IF(C308="","",COUNTIFS($C$2:$C$3001,C308,$F$2:$F$3001,"&lt;"&amp;F308)+1)</f>
        <v/>
      </c>
      <c r="I308">
        <f>IF(C308="","",C308&amp;"|"&amp;H308)</f>
        <v/>
      </c>
      <c r="J308" s="6">
        <f>IF(C308="","",IF(H308=1,SUMIFS('Opening Balance'!$F$4:$F$303,'Opening Balance'!$G$4:$G$303,C308),INDEX($L$2:$L$3001,MATCH(C308&amp;"|"&amp;(H308-1),$I$2:$I$3001,0))))</f>
        <v/>
      </c>
      <c r="K308" s="6">
        <f>IF(C308="","",IF(M308&gt;0,M308,IF(AND(E308&gt;0,ROUND(J308+D308-E308,2)&gt;0,ROUND(J308+D308-E308,2)&lt;'Opening Balance'!$B$14),ROUND(J308+D308-E308,2),0)))</f>
        <v/>
      </c>
      <c r="L308" s="6">
        <f>IF(C308="","",ROUND(J308+D308-E308-K308,2))</f>
        <v/>
      </c>
      <c r="M308" s="6">
        <f>IF(C308="","",IF('Daily Sale entry '!Q308="Collection 收款",ROUND(N('Daily Sale entry '!T308),2),0))</f>
        <v/>
      </c>
    </row>
    <row r="309">
      <c r="A309" t="inlineStr">
        <is>
          <t>Entry 记录</t>
        </is>
      </c>
      <c r="B309" s="5">
        <f>IF('Daily Sale entry '!P309="","",'Daily Sale entry '!O309)</f>
        <v/>
      </c>
      <c r="C309">
        <f>IF('Daily Sale entry '!P309="","",'Daily Sale entry '!P309)</f>
        <v/>
      </c>
      <c r="D309">
        <f>IF(C309="","",IF('Daily Sale entry '!Q309="Credit Sale 赊销",'Daily Sale entry '!S309,0))</f>
        <v/>
      </c>
      <c r="E309">
        <f>IF(C309="","",IF('Daily Sale entry '!Q309="Collection 收款",'Daily Sale entry '!S309,0))</f>
        <v/>
      </c>
      <c r="F309" s="37">
        <f>IF(C309="","",B309+IF(E309&gt;0,0,0.5)+ROW()/10000000)</f>
        <v/>
      </c>
      <c r="G309">
        <f>IF(C309="","",'Daily Sale entry '!Q309&amp;IF('Daily Sale entry '!Q309="Collection 收款"," ("&amp;'Daily Sale entry '!R309&amp;")","")&amp;IF('Daily Sale entry '!U309="",""," - "&amp;'Daily Sale entry '!U309))</f>
        <v/>
      </c>
      <c r="H309">
        <f>IF(C309="","",COUNTIFS($C$2:$C$3001,C309,$F$2:$F$3001,"&lt;"&amp;F309)+1)</f>
        <v/>
      </c>
      <c r="I309">
        <f>IF(C309="","",C309&amp;"|"&amp;H309)</f>
        <v/>
      </c>
      <c r="J309" s="6">
        <f>IF(C309="","",IF(H309=1,SUMIFS('Opening Balance'!$F$4:$F$303,'Opening Balance'!$G$4:$G$303,C309),INDEX($L$2:$L$3001,MATCH(C309&amp;"|"&amp;(H309-1),$I$2:$I$3001,0))))</f>
        <v/>
      </c>
      <c r="K309" s="6">
        <f>IF(C309="","",IF(M309&gt;0,M309,IF(AND(E309&gt;0,ROUND(J309+D309-E309,2)&gt;0,ROUND(J309+D309-E309,2)&lt;'Opening Balance'!$B$14),ROUND(J309+D309-E309,2),0)))</f>
        <v/>
      </c>
      <c r="L309" s="6">
        <f>IF(C309="","",ROUND(J309+D309-E309-K309,2))</f>
        <v/>
      </c>
      <c r="M309" s="6">
        <f>IF(C309="","",IF('Daily Sale entry '!Q309="Collection 收款",ROUND(N('Daily Sale entry '!T309),2),0))</f>
        <v/>
      </c>
    </row>
    <row r="310">
      <c r="A310" t="inlineStr">
        <is>
          <t>Entry 记录</t>
        </is>
      </c>
      <c r="B310" s="5">
        <f>IF('Daily Sale entry '!P310="","",'Daily Sale entry '!O310)</f>
        <v/>
      </c>
      <c r="C310">
        <f>IF('Daily Sale entry '!P310="","",'Daily Sale entry '!P310)</f>
        <v/>
      </c>
      <c r="D310">
        <f>IF(C310="","",IF('Daily Sale entry '!Q310="Credit Sale 赊销",'Daily Sale entry '!S310,0))</f>
        <v/>
      </c>
      <c r="E310">
        <f>IF(C310="","",IF('Daily Sale entry '!Q310="Collection 收款",'Daily Sale entry '!S310,0))</f>
        <v/>
      </c>
      <c r="F310" s="37">
        <f>IF(C310="","",B310+IF(E310&gt;0,0,0.5)+ROW()/10000000)</f>
        <v/>
      </c>
      <c r="G310">
        <f>IF(C310="","",'Daily Sale entry '!Q310&amp;IF('Daily Sale entry '!Q310="Collection 收款"," ("&amp;'Daily Sale entry '!R310&amp;")","")&amp;IF('Daily Sale entry '!U310="",""," - "&amp;'Daily Sale entry '!U310))</f>
        <v/>
      </c>
      <c r="H310">
        <f>IF(C310="","",COUNTIFS($C$2:$C$3001,C310,$F$2:$F$3001,"&lt;"&amp;F310)+1)</f>
        <v/>
      </c>
      <c r="I310">
        <f>IF(C310="","",C310&amp;"|"&amp;H310)</f>
        <v/>
      </c>
      <c r="J310" s="6">
        <f>IF(C310="","",IF(H310=1,SUMIFS('Opening Balance'!$F$4:$F$303,'Opening Balance'!$G$4:$G$303,C310),INDEX($L$2:$L$3001,MATCH(C310&amp;"|"&amp;(H310-1),$I$2:$I$3001,0))))</f>
        <v/>
      </c>
      <c r="K310" s="6">
        <f>IF(C310="","",IF(M310&gt;0,M310,IF(AND(E310&gt;0,ROUND(J310+D310-E310,2)&gt;0,ROUND(J310+D310-E310,2)&lt;'Opening Balance'!$B$14),ROUND(J310+D310-E310,2),0)))</f>
        <v/>
      </c>
      <c r="L310" s="6">
        <f>IF(C310="","",ROUND(J310+D310-E310-K310,2))</f>
        <v/>
      </c>
      <c r="M310" s="6">
        <f>IF(C310="","",IF('Daily Sale entry '!Q310="Collection 收款",ROUND(N('Daily Sale entry '!T310),2),0))</f>
        <v/>
      </c>
    </row>
    <row r="311">
      <c r="A311" t="inlineStr">
        <is>
          <t>Entry 记录</t>
        </is>
      </c>
      <c r="B311" s="5">
        <f>IF('Daily Sale entry '!P311="","",'Daily Sale entry '!O311)</f>
        <v/>
      </c>
      <c r="C311">
        <f>IF('Daily Sale entry '!P311="","",'Daily Sale entry '!P311)</f>
        <v/>
      </c>
      <c r="D311">
        <f>IF(C311="","",IF('Daily Sale entry '!Q311="Credit Sale 赊销",'Daily Sale entry '!S311,0))</f>
        <v/>
      </c>
      <c r="E311">
        <f>IF(C311="","",IF('Daily Sale entry '!Q311="Collection 收款",'Daily Sale entry '!S311,0))</f>
        <v/>
      </c>
      <c r="F311" s="37">
        <f>IF(C311="","",B311+IF(E311&gt;0,0,0.5)+ROW()/10000000)</f>
        <v/>
      </c>
      <c r="G311">
        <f>IF(C311="","",'Daily Sale entry '!Q311&amp;IF('Daily Sale entry '!Q311="Collection 收款"," ("&amp;'Daily Sale entry '!R311&amp;")","")&amp;IF('Daily Sale entry '!U311="",""," - "&amp;'Daily Sale entry '!U311))</f>
        <v/>
      </c>
      <c r="H311">
        <f>IF(C311="","",COUNTIFS($C$2:$C$3001,C311,$F$2:$F$3001,"&lt;"&amp;F311)+1)</f>
        <v/>
      </c>
      <c r="I311">
        <f>IF(C311="","",C311&amp;"|"&amp;H311)</f>
        <v/>
      </c>
      <c r="J311" s="6">
        <f>IF(C311="","",IF(H311=1,SUMIFS('Opening Balance'!$F$4:$F$303,'Opening Balance'!$G$4:$G$303,C311),INDEX($L$2:$L$3001,MATCH(C311&amp;"|"&amp;(H311-1),$I$2:$I$3001,0))))</f>
        <v/>
      </c>
      <c r="K311" s="6">
        <f>IF(C311="","",IF(M311&gt;0,M311,IF(AND(E311&gt;0,ROUND(J311+D311-E311,2)&gt;0,ROUND(J311+D311-E311,2)&lt;'Opening Balance'!$B$14),ROUND(J311+D311-E311,2),0)))</f>
        <v/>
      </c>
      <c r="L311" s="6">
        <f>IF(C311="","",ROUND(J311+D311-E311-K311,2))</f>
        <v/>
      </c>
      <c r="M311" s="6">
        <f>IF(C311="","",IF('Daily Sale entry '!Q311="Collection 收款",ROUND(N('Daily Sale entry '!T311),2),0))</f>
        <v/>
      </c>
    </row>
    <row r="312">
      <c r="A312" t="inlineStr">
        <is>
          <t>Entry 记录</t>
        </is>
      </c>
      <c r="B312" s="5">
        <f>IF('Daily Sale entry '!P312="","",'Daily Sale entry '!O312)</f>
        <v/>
      </c>
      <c r="C312">
        <f>IF('Daily Sale entry '!P312="","",'Daily Sale entry '!P312)</f>
        <v/>
      </c>
      <c r="D312">
        <f>IF(C312="","",IF('Daily Sale entry '!Q312="Credit Sale 赊销",'Daily Sale entry '!S312,0))</f>
        <v/>
      </c>
      <c r="E312">
        <f>IF(C312="","",IF('Daily Sale entry '!Q312="Collection 收款",'Daily Sale entry '!S312,0))</f>
        <v/>
      </c>
      <c r="F312" s="37">
        <f>IF(C312="","",B312+IF(E312&gt;0,0,0.5)+ROW()/10000000)</f>
        <v/>
      </c>
      <c r="G312">
        <f>IF(C312="","",'Daily Sale entry '!Q312&amp;IF('Daily Sale entry '!Q312="Collection 收款"," ("&amp;'Daily Sale entry '!R312&amp;")","")&amp;IF('Daily Sale entry '!U312="",""," - "&amp;'Daily Sale entry '!U312))</f>
        <v/>
      </c>
      <c r="H312">
        <f>IF(C312="","",COUNTIFS($C$2:$C$3001,C312,$F$2:$F$3001,"&lt;"&amp;F312)+1)</f>
        <v/>
      </c>
      <c r="I312">
        <f>IF(C312="","",C312&amp;"|"&amp;H312)</f>
        <v/>
      </c>
      <c r="J312" s="6">
        <f>IF(C312="","",IF(H312=1,SUMIFS('Opening Balance'!$F$4:$F$303,'Opening Balance'!$G$4:$G$303,C312),INDEX($L$2:$L$3001,MATCH(C312&amp;"|"&amp;(H312-1),$I$2:$I$3001,0))))</f>
        <v/>
      </c>
      <c r="K312" s="6">
        <f>IF(C312="","",IF(M312&gt;0,M312,IF(AND(E312&gt;0,ROUND(J312+D312-E312,2)&gt;0,ROUND(J312+D312-E312,2)&lt;'Opening Balance'!$B$14),ROUND(J312+D312-E312,2),0)))</f>
        <v/>
      </c>
      <c r="L312" s="6">
        <f>IF(C312="","",ROUND(J312+D312-E312-K312,2))</f>
        <v/>
      </c>
      <c r="M312" s="6">
        <f>IF(C312="","",IF('Daily Sale entry '!Q312="Collection 收款",ROUND(N('Daily Sale entry '!T312),2),0))</f>
        <v/>
      </c>
    </row>
    <row r="313">
      <c r="A313" t="inlineStr">
        <is>
          <t>Entry 记录</t>
        </is>
      </c>
      <c r="B313" s="5">
        <f>IF('Daily Sale entry '!P313="","",'Daily Sale entry '!O313)</f>
        <v/>
      </c>
      <c r="C313">
        <f>IF('Daily Sale entry '!P313="","",'Daily Sale entry '!P313)</f>
        <v/>
      </c>
      <c r="D313">
        <f>IF(C313="","",IF('Daily Sale entry '!Q313="Credit Sale 赊销",'Daily Sale entry '!S313,0))</f>
        <v/>
      </c>
      <c r="E313">
        <f>IF(C313="","",IF('Daily Sale entry '!Q313="Collection 收款",'Daily Sale entry '!S313,0))</f>
        <v/>
      </c>
      <c r="F313" s="37">
        <f>IF(C313="","",B313+IF(E313&gt;0,0,0.5)+ROW()/10000000)</f>
        <v/>
      </c>
      <c r="G313">
        <f>IF(C313="","",'Daily Sale entry '!Q313&amp;IF('Daily Sale entry '!Q313="Collection 收款"," ("&amp;'Daily Sale entry '!R313&amp;")","")&amp;IF('Daily Sale entry '!U313="",""," - "&amp;'Daily Sale entry '!U313))</f>
        <v/>
      </c>
      <c r="H313">
        <f>IF(C313="","",COUNTIFS($C$2:$C$3001,C313,$F$2:$F$3001,"&lt;"&amp;F313)+1)</f>
        <v/>
      </c>
      <c r="I313">
        <f>IF(C313="","",C313&amp;"|"&amp;H313)</f>
        <v/>
      </c>
      <c r="J313" s="6">
        <f>IF(C313="","",IF(H313=1,SUMIFS('Opening Balance'!$F$4:$F$303,'Opening Balance'!$G$4:$G$303,C313),INDEX($L$2:$L$3001,MATCH(C313&amp;"|"&amp;(H313-1),$I$2:$I$3001,0))))</f>
        <v/>
      </c>
      <c r="K313" s="6">
        <f>IF(C313="","",IF(M313&gt;0,M313,IF(AND(E313&gt;0,ROUND(J313+D313-E313,2)&gt;0,ROUND(J313+D313-E313,2)&lt;'Opening Balance'!$B$14),ROUND(J313+D313-E313,2),0)))</f>
        <v/>
      </c>
      <c r="L313" s="6">
        <f>IF(C313="","",ROUND(J313+D313-E313-K313,2))</f>
        <v/>
      </c>
      <c r="M313" s="6">
        <f>IF(C313="","",IF('Daily Sale entry '!Q313="Collection 收款",ROUND(N('Daily Sale entry '!T313),2),0))</f>
        <v/>
      </c>
    </row>
    <row r="314">
      <c r="A314" t="inlineStr">
        <is>
          <t>Entry 记录</t>
        </is>
      </c>
      <c r="B314" s="5">
        <f>IF('Daily Sale entry '!P314="","",'Daily Sale entry '!O314)</f>
        <v/>
      </c>
      <c r="C314">
        <f>IF('Daily Sale entry '!P314="","",'Daily Sale entry '!P314)</f>
        <v/>
      </c>
      <c r="D314">
        <f>IF(C314="","",IF('Daily Sale entry '!Q314="Credit Sale 赊销",'Daily Sale entry '!S314,0))</f>
        <v/>
      </c>
      <c r="E314">
        <f>IF(C314="","",IF('Daily Sale entry '!Q314="Collection 收款",'Daily Sale entry '!S314,0))</f>
        <v/>
      </c>
      <c r="F314" s="37">
        <f>IF(C314="","",B314+IF(E314&gt;0,0,0.5)+ROW()/10000000)</f>
        <v/>
      </c>
      <c r="G314">
        <f>IF(C314="","",'Daily Sale entry '!Q314&amp;IF('Daily Sale entry '!Q314="Collection 收款"," ("&amp;'Daily Sale entry '!R314&amp;")","")&amp;IF('Daily Sale entry '!U314="",""," - "&amp;'Daily Sale entry '!U314))</f>
        <v/>
      </c>
      <c r="H314">
        <f>IF(C314="","",COUNTIFS($C$2:$C$3001,C314,$F$2:$F$3001,"&lt;"&amp;F314)+1)</f>
        <v/>
      </c>
      <c r="I314">
        <f>IF(C314="","",C314&amp;"|"&amp;H314)</f>
        <v/>
      </c>
      <c r="J314" s="6">
        <f>IF(C314="","",IF(H314=1,SUMIFS('Opening Balance'!$F$4:$F$303,'Opening Balance'!$G$4:$G$303,C314),INDEX($L$2:$L$3001,MATCH(C314&amp;"|"&amp;(H314-1),$I$2:$I$3001,0))))</f>
        <v/>
      </c>
      <c r="K314" s="6">
        <f>IF(C314="","",IF(M314&gt;0,M314,IF(AND(E314&gt;0,ROUND(J314+D314-E314,2)&gt;0,ROUND(J314+D314-E314,2)&lt;'Opening Balance'!$B$14),ROUND(J314+D314-E314,2),0)))</f>
        <v/>
      </c>
      <c r="L314" s="6">
        <f>IF(C314="","",ROUND(J314+D314-E314-K314,2))</f>
        <v/>
      </c>
      <c r="M314" s="6">
        <f>IF(C314="","",IF('Daily Sale entry '!Q314="Collection 收款",ROUND(N('Daily Sale entry '!T314),2),0))</f>
        <v/>
      </c>
    </row>
    <row r="315">
      <c r="A315" t="inlineStr">
        <is>
          <t>Entry 记录</t>
        </is>
      </c>
      <c r="B315" s="5">
        <f>IF('Daily Sale entry '!P315="","",'Daily Sale entry '!O315)</f>
        <v/>
      </c>
      <c r="C315">
        <f>IF('Daily Sale entry '!P315="","",'Daily Sale entry '!P315)</f>
        <v/>
      </c>
      <c r="D315">
        <f>IF(C315="","",IF('Daily Sale entry '!Q315="Credit Sale 赊销",'Daily Sale entry '!S315,0))</f>
        <v/>
      </c>
      <c r="E315">
        <f>IF(C315="","",IF('Daily Sale entry '!Q315="Collection 收款",'Daily Sale entry '!S315,0))</f>
        <v/>
      </c>
      <c r="F315" s="37">
        <f>IF(C315="","",B315+IF(E315&gt;0,0,0.5)+ROW()/10000000)</f>
        <v/>
      </c>
      <c r="G315">
        <f>IF(C315="","",'Daily Sale entry '!Q315&amp;IF('Daily Sale entry '!Q315="Collection 收款"," ("&amp;'Daily Sale entry '!R315&amp;")","")&amp;IF('Daily Sale entry '!U315="",""," - "&amp;'Daily Sale entry '!U315))</f>
        <v/>
      </c>
      <c r="H315">
        <f>IF(C315="","",COUNTIFS($C$2:$C$3001,C315,$F$2:$F$3001,"&lt;"&amp;F315)+1)</f>
        <v/>
      </c>
      <c r="I315">
        <f>IF(C315="","",C315&amp;"|"&amp;H315)</f>
        <v/>
      </c>
      <c r="J315" s="6">
        <f>IF(C315="","",IF(H315=1,SUMIFS('Opening Balance'!$F$4:$F$303,'Opening Balance'!$G$4:$G$303,C315),INDEX($L$2:$L$3001,MATCH(C315&amp;"|"&amp;(H315-1),$I$2:$I$3001,0))))</f>
        <v/>
      </c>
      <c r="K315" s="6">
        <f>IF(C315="","",IF(M315&gt;0,M315,IF(AND(E315&gt;0,ROUND(J315+D315-E315,2)&gt;0,ROUND(J315+D315-E315,2)&lt;'Opening Balance'!$B$14),ROUND(J315+D315-E315,2),0)))</f>
        <v/>
      </c>
      <c r="L315" s="6">
        <f>IF(C315="","",ROUND(J315+D315-E315-K315,2))</f>
        <v/>
      </c>
      <c r="M315" s="6">
        <f>IF(C315="","",IF('Daily Sale entry '!Q315="Collection 收款",ROUND(N('Daily Sale entry '!T315),2),0))</f>
        <v/>
      </c>
    </row>
    <row r="316">
      <c r="A316" t="inlineStr">
        <is>
          <t>Entry 记录</t>
        </is>
      </c>
      <c r="B316" s="5">
        <f>IF('Daily Sale entry '!P316="","",'Daily Sale entry '!O316)</f>
        <v/>
      </c>
      <c r="C316">
        <f>IF('Daily Sale entry '!P316="","",'Daily Sale entry '!P316)</f>
        <v/>
      </c>
      <c r="D316">
        <f>IF(C316="","",IF('Daily Sale entry '!Q316="Credit Sale 赊销",'Daily Sale entry '!S316,0))</f>
        <v/>
      </c>
      <c r="E316">
        <f>IF(C316="","",IF('Daily Sale entry '!Q316="Collection 收款",'Daily Sale entry '!S316,0))</f>
        <v/>
      </c>
      <c r="F316" s="37">
        <f>IF(C316="","",B316+IF(E316&gt;0,0,0.5)+ROW()/10000000)</f>
        <v/>
      </c>
      <c r="G316">
        <f>IF(C316="","",'Daily Sale entry '!Q316&amp;IF('Daily Sale entry '!Q316="Collection 收款"," ("&amp;'Daily Sale entry '!R316&amp;")","")&amp;IF('Daily Sale entry '!U316="",""," - "&amp;'Daily Sale entry '!U316))</f>
        <v/>
      </c>
      <c r="H316">
        <f>IF(C316="","",COUNTIFS($C$2:$C$3001,C316,$F$2:$F$3001,"&lt;"&amp;F316)+1)</f>
        <v/>
      </c>
      <c r="I316">
        <f>IF(C316="","",C316&amp;"|"&amp;H316)</f>
        <v/>
      </c>
      <c r="J316" s="6">
        <f>IF(C316="","",IF(H316=1,SUMIFS('Opening Balance'!$F$4:$F$303,'Opening Balance'!$G$4:$G$303,C316),INDEX($L$2:$L$3001,MATCH(C316&amp;"|"&amp;(H316-1),$I$2:$I$3001,0))))</f>
        <v/>
      </c>
      <c r="K316" s="6">
        <f>IF(C316="","",IF(M316&gt;0,M316,IF(AND(E316&gt;0,ROUND(J316+D316-E316,2)&gt;0,ROUND(J316+D316-E316,2)&lt;'Opening Balance'!$B$14),ROUND(J316+D316-E316,2),0)))</f>
        <v/>
      </c>
      <c r="L316" s="6">
        <f>IF(C316="","",ROUND(J316+D316-E316-K316,2))</f>
        <v/>
      </c>
      <c r="M316" s="6">
        <f>IF(C316="","",IF('Daily Sale entry '!Q316="Collection 收款",ROUND(N('Daily Sale entry '!T316),2),0))</f>
        <v/>
      </c>
    </row>
    <row r="317">
      <c r="A317" t="inlineStr">
        <is>
          <t>Entry 记录</t>
        </is>
      </c>
      <c r="B317" s="5">
        <f>IF('Daily Sale entry '!P317="","",'Daily Sale entry '!O317)</f>
        <v/>
      </c>
      <c r="C317">
        <f>IF('Daily Sale entry '!P317="","",'Daily Sale entry '!P317)</f>
        <v/>
      </c>
      <c r="D317">
        <f>IF(C317="","",IF('Daily Sale entry '!Q317="Credit Sale 赊销",'Daily Sale entry '!S317,0))</f>
        <v/>
      </c>
      <c r="E317">
        <f>IF(C317="","",IF('Daily Sale entry '!Q317="Collection 收款",'Daily Sale entry '!S317,0))</f>
        <v/>
      </c>
      <c r="F317" s="37">
        <f>IF(C317="","",B317+IF(E317&gt;0,0,0.5)+ROW()/10000000)</f>
        <v/>
      </c>
      <c r="G317">
        <f>IF(C317="","",'Daily Sale entry '!Q317&amp;IF('Daily Sale entry '!Q317="Collection 收款"," ("&amp;'Daily Sale entry '!R317&amp;")","")&amp;IF('Daily Sale entry '!U317="",""," - "&amp;'Daily Sale entry '!U317))</f>
        <v/>
      </c>
      <c r="H317">
        <f>IF(C317="","",COUNTIFS($C$2:$C$3001,C317,$F$2:$F$3001,"&lt;"&amp;F317)+1)</f>
        <v/>
      </c>
      <c r="I317">
        <f>IF(C317="","",C317&amp;"|"&amp;H317)</f>
        <v/>
      </c>
      <c r="J317" s="6">
        <f>IF(C317="","",IF(H317=1,SUMIFS('Opening Balance'!$F$4:$F$303,'Opening Balance'!$G$4:$G$303,C317),INDEX($L$2:$L$3001,MATCH(C317&amp;"|"&amp;(H317-1),$I$2:$I$3001,0))))</f>
        <v/>
      </c>
      <c r="K317" s="6">
        <f>IF(C317="","",IF(M317&gt;0,M317,IF(AND(E317&gt;0,ROUND(J317+D317-E317,2)&gt;0,ROUND(J317+D317-E317,2)&lt;'Opening Balance'!$B$14),ROUND(J317+D317-E317,2),0)))</f>
        <v/>
      </c>
      <c r="L317" s="6">
        <f>IF(C317="","",ROUND(J317+D317-E317-K317,2))</f>
        <v/>
      </c>
      <c r="M317" s="6">
        <f>IF(C317="","",IF('Daily Sale entry '!Q317="Collection 收款",ROUND(N('Daily Sale entry '!T317),2),0))</f>
        <v/>
      </c>
    </row>
    <row r="318">
      <c r="A318" t="inlineStr">
        <is>
          <t>Entry 记录</t>
        </is>
      </c>
      <c r="B318" s="5">
        <f>IF('Daily Sale entry '!P318="","",'Daily Sale entry '!O318)</f>
        <v/>
      </c>
      <c r="C318">
        <f>IF('Daily Sale entry '!P318="","",'Daily Sale entry '!P318)</f>
        <v/>
      </c>
      <c r="D318">
        <f>IF(C318="","",IF('Daily Sale entry '!Q318="Credit Sale 赊销",'Daily Sale entry '!S318,0))</f>
        <v/>
      </c>
      <c r="E318">
        <f>IF(C318="","",IF('Daily Sale entry '!Q318="Collection 收款",'Daily Sale entry '!S318,0))</f>
        <v/>
      </c>
      <c r="F318" s="37">
        <f>IF(C318="","",B318+IF(E318&gt;0,0,0.5)+ROW()/10000000)</f>
        <v/>
      </c>
      <c r="G318">
        <f>IF(C318="","",'Daily Sale entry '!Q318&amp;IF('Daily Sale entry '!Q318="Collection 收款"," ("&amp;'Daily Sale entry '!R318&amp;")","")&amp;IF('Daily Sale entry '!U318="",""," - "&amp;'Daily Sale entry '!U318))</f>
        <v/>
      </c>
      <c r="H318">
        <f>IF(C318="","",COUNTIFS($C$2:$C$3001,C318,$F$2:$F$3001,"&lt;"&amp;F318)+1)</f>
        <v/>
      </c>
      <c r="I318">
        <f>IF(C318="","",C318&amp;"|"&amp;H318)</f>
        <v/>
      </c>
      <c r="J318" s="6">
        <f>IF(C318="","",IF(H318=1,SUMIFS('Opening Balance'!$F$4:$F$303,'Opening Balance'!$G$4:$G$303,C318),INDEX($L$2:$L$3001,MATCH(C318&amp;"|"&amp;(H318-1),$I$2:$I$3001,0))))</f>
        <v/>
      </c>
      <c r="K318" s="6">
        <f>IF(C318="","",IF(M318&gt;0,M318,IF(AND(E318&gt;0,ROUND(J318+D318-E318,2)&gt;0,ROUND(J318+D318-E318,2)&lt;'Opening Balance'!$B$14),ROUND(J318+D318-E318,2),0)))</f>
        <v/>
      </c>
      <c r="L318" s="6">
        <f>IF(C318="","",ROUND(J318+D318-E318-K318,2))</f>
        <v/>
      </c>
      <c r="M318" s="6">
        <f>IF(C318="","",IF('Daily Sale entry '!Q318="Collection 收款",ROUND(N('Daily Sale entry '!T318),2),0))</f>
        <v/>
      </c>
    </row>
    <row r="319">
      <c r="A319" t="inlineStr">
        <is>
          <t>Entry 记录</t>
        </is>
      </c>
      <c r="B319" s="5">
        <f>IF('Daily Sale entry '!P319="","",'Daily Sale entry '!O319)</f>
        <v/>
      </c>
      <c r="C319">
        <f>IF('Daily Sale entry '!P319="","",'Daily Sale entry '!P319)</f>
        <v/>
      </c>
      <c r="D319">
        <f>IF(C319="","",IF('Daily Sale entry '!Q319="Credit Sale 赊销",'Daily Sale entry '!S319,0))</f>
        <v/>
      </c>
      <c r="E319">
        <f>IF(C319="","",IF('Daily Sale entry '!Q319="Collection 收款",'Daily Sale entry '!S319,0))</f>
        <v/>
      </c>
      <c r="F319" s="37">
        <f>IF(C319="","",B319+IF(E319&gt;0,0,0.5)+ROW()/10000000)</f>
        <v/>
      </c>
      <c r="G319">
        <f>IF(C319="","",'Daily Sale entry '!Q319&amp;IF('Daily Sale entry '!Q319="Collection 收款"," ("&amp;'Daily Sale entry '!R319&amp;")","")&amp;IF('Daily Sale entry '!U319="",""," - "&amp;'Daily Sale entry '!U319))</f>
        <v/>
      </c>
      <c r="H319">
        <f>IF(C319="","",COUNTIFS($C$2:$C$3001,C319,$F$2:$F$3001,"&lt;"&amp;F319)+1)</f>
        <v/>
      </c>
      <c r="I319">
        <f>IF(C319="","",C319&amp;"|"&amp;H319)</f>
        <v/>
      </c>
      <c r="J319" s="6">
        <f>IF(C319="","",IF(H319=1,SUMIFS('Opening Balance'!$F$4:$F$303,'Opening Balance'!$G$4:$G$303,C319),INDEX($L$2:$L$3001,MATCH(C319&amp;"|"&amp;(H319-1),$I$2:$I$3001,0))))</f>
        <v/>
      </c>
      <c r="K319" s="6">
        <f>IF(C319="","",IF(M319&gt;0,M319,IF(AND(E319&gt;0,ROUND(J319+D319-E319,2)&gt;0,ROUND(J319+D319-E319,2)&lt;'Opening Balance'!$B$14),ROUND(J319+D319-E319,2),0)))</f>
        <v/>
      </c>
      <c r="L319" s="6">
        <f>IF(C319="","",ROUND(J319+D319-E319-K319,2))</f>
        <v/>
      </c>
      <c r="M319" s="6">
        <f>IF(C319="","",IF('Daily Sale entry '!Q319="Collection 收款",ROUND(N('Daily Sale entry '!T319),2),0))</f>
        <v/>
      </c>
    </row>
    <row r="320">
      <c r="A320" t="inlineStr">
        <is>
          <t>Entry 记录</t>
        </is>
      </c>
      <c r="B320" s="5">
        <f>IF('Daily Sale entry '!P320="","",'Daily Sale entry '!O320)</f>
        <v/>
      </c>
      <c r="C320">
        <f>IF('Daily Sale entry '!P320="","",'Daily Sale entry '!P320)</f>
        <v/>
      </c>
      <c r="D320">
        <f>IF(C320="","",IF('Daily Sale entry '!Q320="Credit Sale 赊销",'Daily Sale entry '!S320,0))</f>
        <v/>
      </c>
      <c r="E320">
        <f>IF(C320="","",IF('Daily Sale entry '!Q320="Collection 收款",'Daily Sale entry '!S320,0))</f>
        <v/>
      </c>
      <c r="F320" s="37">
        <f>IF(C320="","",B320+IF(E320&gt;0,0,0.5)+ROW()/10000000)</f>
        <v/>
      </c>
      <c r="G320">
        <f>IF(C320="","",'Daily Sale entry '!Q320&amp;IF('Daily Sale entry '!Q320="Collection 收款"," ("&amp;'Daily Sale entry '!R320&amp;")","")&amp;IF('Daily Sale entry '!U320="",""," - "&amp;'Daily Sale entry '!U320))</f>
        <v/>
      </c>
      <c r="H320">
        <f>IF(C320="","",COUNTIFS($C$2:$C$3001,C320,$F$2:$F$3001,"&lt;"&amp;F320)+1)</f>
        <v/>
      </c>
      <c r="I320">
        <f>IF(C320="","",C320&amp;"|"&amp;H320)</f>
        <v/>
      </c>
      <c r="J320" s="6">
        <f>IF(C320="","",IF(H320=1,SUMIFS('Opening Balance'!$F$4:$F$303,'Opening Balance'!$G$4:$G$303,C320),INDEX($L$2:$L$3001,MATCH(C320&amp;"|"&amp;(H320-1),$I$2:$I$3001,0))))</f>
        <v/>
      </c>
      <c r="K320" s="6">
        <f>IF(C320="","",IF(M320&gt;0,M320,IF(AND(E320&gt;0,ROUND(J320+D320-E320,2)&gt;0,ROUND(J320+D320-E320,2)&lt;'Opening Balance'!$B$14),ROUND(J320+D320-E320,2),0)))</f>
        <v/>
      </c>
      <c r="L320" s="6">
        <f>IF(C320="","",ROUND(J320+D320-E320-K320,2))</f>
        <v/>
      </c>
      <c r="M320" s="6">
        <f>IF(C320="","",IF('Daily Sale entry '!Q320="Collection 收款",ROUND(N('Daily Sale entry '!T320),2),0))</f>
        <v/>
      </c>
    </row>
    <row r="321">
      <c r="A321" t="inlineStr">
        <is>
          <t>Entry 记录</t>
        </is>
      </c>
      <c r="B321" s="5">
        <f>IF('Daily Sale entry '!P321="","",'Daily Sale entry '!O321)</f>
        <v/>
      </c>
      <c r="C321">
        <f>IF('Daily Sale entry '!P321="","",'Daily Sale entry '!P321)</f>
        <v/>
      </c>
      <c r="D321">
        <f>IF(C321="","",IF('Daily Sale entry '!Q321="Credit Sale 赊销",'Daily Sale entry '!S321,0))</f>
        <v/>
      </c>
      <c r="E321">
        <f>IF(C321="","",IF('Daily Sale entry '!Q321="Collection 收款",'Daily Sale entry '!S321,0))</f>
        <v/>
      </c>
      <c r="F321" s="37">
        <f>IF(C321="","",B321+IF(E321&gt;0,0,0.5)+ROW()/10000000)</f>
        <v/>
      </c>
      <c r="G321">
        <f>IF(C321="","",'Daily Sale entry '!Q321&amp;IF('Daily Sale entry '!Q321="Collection 收款"," ("&amp;'Daily Sale entry '!R321&amp;")","")&amp;IF('Daily Sale entry '!U321="",""," - "&amp;'Daily Sale entry '!U321))</f>
        <v/>
      </c>
      <c r="H321">
        <f>IF(C321="","",COUNTIFS($C$2:$C$3001,C321,$F$2:$F$3001,"&lt;"&amp;F321)+1)</f>
        <v/>
      </c>
      <c r="I321">
        <f>IF(C321="","",C321&amp;"|"&amp;H321)</f>
        <v/>
      </c>
      <c r="J321" s="6">
        <f>IF(C321="","",IF(H321=1,SUMIFS('Opening Balance'!$F$4:$F$303,'Opening Balance'!$G$4:$G$303,C321),INDEX($L$2:$L$3001,MATCH(C321&amp;"|"&amp;(H321-1),$I$2:$I$3001,0))))</f>
        <v/>
      </c>
      <c r="K321" s="6">
        <f>IF(C321="","",IF(M321&gt;0,M321,IF(AND(E321&gt;0,ROUND(J321+D321-E321,2)&gt;0,ROUND(J321+D321-E321,2)&lt;'Opening Balance'!$B$14),ROUND(J321+D321-E321,2),0)))</f>
        <v/>
      </c>
      <c r="L321" s="6">
        <f>IF(C321="","",ROUND(J321+D321-E321-K321,2))</f>
        <v/>
      </c>
      <c r="M321" s="6">
        <f>IF(C321="","",IF('Daily Sale entry '!Q321="Collection 收款",ROUND(N('Daily Sale entry '!T321),2),0))</f>
        <v/>
      </c>
    </row>
    <row r="322">
      <c r="A322" t="inlineStr">
        <is>
          <t>Entry 记录</t>
        </is>
      </c>
      <c r="B322" s="5">
        <f>IF('Daily Sale entry '!P322="","",'Daily Sale entry '!O322)</f>
        <v/>
      </c>
      <c r="C322">
        <f>IF('Daily Sale entry '!P322="","",'Daily Sale entry '!P322)</f>
        <v/>
      </c>
      <c r="D322">
        <f>IF(C322="","",IF('Daily Sale entry '!Q322="Credit Sale 赊销",'Daily Sale entry '!S322,0))</f>
        <v/>
      </c>
      <c r="E322">
        <f>IF(C322="","",IF('Daily Sale entry '!Q322="Collection 收款",'Daily Sale entry '!S322,0))</f>
        <v/>
      </c>
      <c r="F322" s="37">
        <f>IF(C322="","",B322+IF(E322&gt;0,0,0.5)+ROW()/10000000)</f>
        <v/>
      </c>
      <c r="G322">
        <f>IF(C322="","",'Daily Sale entry '!Q322&amp;IF('Daily Sale entry '!Q322="Collection 收款"," ("&amp;'Daily Sale entry '!R322&amp;")","")&amp;IF('Daily Sale entry '!U322="",""," - "&amp;'Daily Sale entry '!U322))</f>
        <v/>
      </c>
      <c r="H322">
        <f>IF(C322="","",COUNTIFS($C$2:$C$3001,C322,$F$2:$F$3001,"&lt;"&amp;F322)+1)</f>
        <v/>
      </c>
      <c r="I322">
        <f>IF(C322="","",C322&amp;"|"&amp;H322)</f>
        <v/>
      </c>
      <c r="J322" s="6">
        <f>IF(C322="","",IF(H322=1,SUMIFS('Opening Balance'!$F$4:$F$303,'Opening Balance'!$G$4:$G$303,C322),INDEX($L$2:$L$3001,MATCH(C322&amp;"|"&amp;(H322-1),$I$2:$I$3001,0))))</f>
        <v/>
      </c>
      <c r="K322" s="6">
        <f>IF(C322="","",IF(M322&gt;0,M322,IF(AND(E322&gt;0,ROUND(J322+D322-E322,2)&gt;0,ROUND(J322+D322-E322,2)&lt;'Opening Balance'!$B$14),ROUND(J322+D322-E322,2),0)))</f>
        <v/>
      </c>
      <c r="L322" s="6">
        <f>IF(C322="","",ROUND(J322+D322-E322-K322,2))</f>
        <v/>
      </c>
      <c r="M322" s="6">
        <f>IF(C322="","",IF('Daily Sale entry '!Q322="Collection 收款",ROUND(N('Daily Sale entry '!T322),2),0))</f>
        <v/>
      </c>
    </row>
    <row r="323">
      <c r="A323" t="inlineStr">
        <is>
          <t>Entry 记录</t>
        </is>
      </c>
      <c r="B323" s="5">
        <f>IF('Daily Sale entry '!P323="","",'Daily Sale entry '!O323)</f>
        <v/>
      </c>
      <c r="C323">
        <f>IF('Daily Sale entry '!P323="","",'Daily Sale entry '!P323)</f>
        <v/>
      </c>
      <c r="D323">
        <f>IF(C323="","",IF('Daily Sale entry '!Q323="Credit Sale 赊销",'Daily Sale entry '!S323,0))</f>
        <v/>
      </c>
      <c r="E323">
        <f>IF(C323="","",IF('Daily Sale entry '!Q323="Collection 收款",'Daily Sale entry '!S323,0))</f>
        <v/>
      </c>
      <c r="F323" s="37">
        <f>IF(C323="","",B323+IF(E323&gt;0,0,0.5)+ROW()/10000000)</f>
        <v/>
      </c>
      <c r="G323">
        <f>IF(C323="","",'Daily Sale entry '!Q323&amp;IF('Daily Sale entry '!Q323="Collection 收款"," ("&amp;'Daily Sale entry '!R323&amp;")","")&amp;IF('Daily Sale entry '!U323="",""," - "&amp;'Daily Sale entry '!U323))</f>
        <v/>
      </c>
      <c r="H323">
        <f>IF(C323="","",COUNTIFS($C$2:$C$3001,C323,$F$2:$F$3001,"&lt;"&amp;F323)+1)</f>
        <v/>
      </c>
      <c r="I323">
        <f>IF(C323="","",C323&amp;"|"&amp;H323)</f>
        <v/>
      </c>
      <c r="J323" s="6">
        <f>IF(C323="","",IF(H323=1,SUMIFS('Opening Balance'!$F$4:$F$303,'Opening Balance'!$G$4:$G$303,C323),INDEX($L$2:$L$3001,MATCH(C323&amp;"|"&amp;(H323-1),$I$2:$I$3001,0))))</f>
        <v/>
      </c>
      <c r="K323" s="6">
        <f>IF(C323="","",IF(M323&gt;0,M323,IF(AND(E323&gt;0,ROUND(J323+D323-E323,2)&gt;0,ROUND(J323+D323-E323,2)&lt;'Opening Balance'!$B$14),ROUND(J323+D323-E323,2),0)))</f>
        <v/>
      </c>
      <c r="L323" s="6">
        <f>IF(C323="","",ROUND(J323+D323-E323-K323,2))</f>
        <v/>
      </c>
      <c r="M323" s="6">
        <f>IF(C323="","",IF('Daily Sale entry '!Q323="Collection 收款",ROUND(N('Daily Sale entry '!T323),2),0))</f>
        <v/>
      </c>
    </row>
    <row r="324">
      <c r="A324" t="inlineStr">
        <is>
          <t>Entry 记录</t>
        </is>
      </c>
      <c r="B324" s="5">
        <f>IF('Daily Sale entry '!P324="","",'Daily Sale entry '!O324)</f>
        <v/>
      </c>
      <c r="C324">
        <f>IF('Daily Sale entry '!P324="","",'Daily Sale entry '!P324)</f>
        <v/>
      </c>
      <c r="D324">
        <f>IF(C324="","",IF('Daily Sale entry '!Q324="Credit Sale 赊销",'Daily Sale entry '!S324,0))</f>
        <v/>
      </c>
      <c r="E324">
        <f>IF(C324="","",IF('Daily Sale entry '!Q324="Collection 收款",'Daily Sale entry '!S324,0))</f>
        <v/>
      </c>
      <c r="F324" s="37">
        <f>IF(C324="","",B324+IF(E324&gt;0,0,0.5)+ROW()/10000000)</f>
        <v/>
      </c>
      <c r="G324">
        <f>IF(C324="","",'Daily Sale entry '!Q324&amp;IF('Daily Sale entry '!Q324="Collection 收款"," ("&amp;'Daily Sale entry '!R324&amp;")","")&amp;IF('Daily Sale entry '!U324="",""," - "&amp;'Daily Sale entry '!U324))</f>
        <v/>
      </c>
      <c r="H324">
        <f>IF(C324="","",COUNTIFS($C$2:$C$3001,C324,$F$2:$F$3001,"&lt;"&amp;F324)+1)</f>
        <v/>
      </c>
      <c r="I324">
        <f>IF(C324="","",C324&amp;"|"&amp;H324)</f>
        <v/>
      </c>
      <c r="J324" s="6">
        <f>IF(C324="","",IF(H324=1,SUMIFS('Opening Balance'!$F$4:$F$303,'Opening Balance'!$G$4:$G$303,C324),INDEX($L$2:$L$3001,MATCH(C324&amp;"|"&amp;(H324-1),$I$2:$I$3001,0))))</f>
        <v/>
      </c>
      <c r="K324" s="6">
        <f>IF(C324="","",IF(M324&gt;0,M324,IF(AND(E324&gt;0,ROUND(J324+D324-E324,2)&gt;0,ROUND(J324+D324-E324,2)&lt;'Opening Balance'!$B$14),ROUND(J324+D324-E324,2),0)))</f>
        <v/>
      </c>
      <c r="L324" s="6">
        <f>IF(C324="","",ROUND(J324+D324-E324-K324,2))</f>
        <v/>
      </c>
      <c r="M324" s="6">
        <f>IF(C324="","",IF('Daily Sale entry '!Q324="Collection 收款",ROUND(N('Daily Sale entry '!T324),2),0))</f>
        <v/>
      </c>
    </row>
    <row r="325">
      <c r="A325" t="inlineStr">
        <is>
          <t>Entry 记录</t>
        </is>
      </c>
      <c r="B325" s="5">
        <f>IF('Daily Sale entry '!P325="","",'Daily Sale entry '!O325)</f>
        <v/>
      </c>
      <c r="C325">
        <f>IF('Daily Sale entry '!P325="","",'Daily Sale entry '!P325)</f>
        <v/>
      </c>
      <c r="D325">
        <f>IF(C325="","",IF('Daily Sale entry '!Q325="Credit Sale 赊销",'Daily Sale entry '!S325,0))</f>
        <v/>
      </c>
      <c r="E325">
        <f>IF(C325="","",IF('Daily Sale entry '!Q325="Collection 收款",'Daily Sale entry '!S325,0))</f>
        <v/>
      </c>
      <c r="F325" s="37">
        <f>IF(C325="","",B325+IF(E325&gt;0,0,0.5)+ROW()/10000000)</f>
        <v/>
      </c>
      <c r="G325">
        <f>IF(C325="","",'Daily Sale entry '!Q325&amp;IF('Daily Sale entry '!Q325="Collection 收款"," ("&amp;'Daily Sale entry '!R325&amp;")","")&amp;IF('Daily Sale entry '!U325="",""," - "&amp;'Daily Sale entry '!U325))</f>
        <v/>
      </c>
      <c r="H325">
        <f>IF(C325="","",COUNTIFS($C$2:$C$3001,C325,$F$2:$F$3001,"&lt;"&amp;F325)+1)</f>
        <v/>
      </c>
      <c r="I325">
        <f>IF(C325="","",C325&amp;"|"&amp;H325)</f>
        <v/>
      </c>
      <c r="J325" s="6">
        <f>IF(C325="","",IF(H325=1,SUMIFS('Opening Balance'!$F$4:$F$303,'Opening Balance'!$G$4:$G$303,C325),INDEX($L$2:$L$3001,MATCH(C325&amp;"|"&amp;(H325-1),$I$2:$I$3001,0))))</f>
        <v/>
      </c>
      <c r="K325" s="6">
        <f>IF(C325="","",IF(M325&gt;0,M325,IF(AND(E325&gt;0,ROUND(J325+D325-E325,2)&gt;0,ROUND(J325+D325-E325,2)&lt;'Opening Balance'!$B$14),ROUND(J325+D325-E325,2),0)))</f>
        <v/>
      </c>
      <c r="L325" s="6">
        <f>IF(C325="","",ROUND(J325+D325-E325-K325,2))</f>
        <v/>
      </c>
      <c r="M325" s="6">
        <f>IF(C325="","",IF('Daily Sale entry '!Q325="Collection 收款",ROUND(N('Daily Sale entry '!T325),2),0))</f>
        <v/>
      </c>
    </row>
    <row r="326">
      <c r="A326" t="inlineStr">
        <is>
          <t>Entry 记录</t>
        </is>
      </c>
      <c r="B326" s="5">
        <f>IF('Daily Sale entry '!P326="","",'Daily Sale entry '!O326)</f>
        <v/>
      </c>
      <c r="C326">
        <f>IF('Daily Sale entry '!P326="","",'Daily Sale entry '!P326)</f>
        <v/>
      </c>
      <c r="D326">
        <f>IF(C326="","",IF('Daily Sale entry '!Q326="Credit Sale 赊销",'Daily Sale entry '!S326,0))</f>
        <v/>
      </c>
      <c r="E326">
        <f>IF(C326="","",IF('Daily Sale entry '!Q326="Collection 收款",'Daily Sale entry '!S326,0))</f>
        <v/>
      </c>
      <c r="F326" s="37">
        <f>IF(C326="","",B326+IF(E326&gt;0,0,0.5)+ROW()/10000000)</f>
        <v/>
      </c>
      <c r="G326">
        <f>IF(C326="","",'Daily Sale entry '!Q326&amp;IF('Daily Sale entry '!Q326="Collection 收款"," ("&amp;'Daily Sale entry '!R326&amp;")","")&amp;IF('Daily Sale entry '!U326="",""," - "&amp;'Daily Sale entry '!U326))</f>
        <v/>
      </c>
      <c r="H326">
        <f>IF(C326="","",COUNTIFS($C$2:$C$3001,C326,$F$2:$F$3001,"&lt;"&amp;F326)+1)</f>
        <v/>
      </c>
      <c r="I326">
        <f>IF(C326="","",C326&amp;"|"&amp;H326)</f>
        <v/>
      </c>
      <c r="J326" s="6">
        <f>IF(C326="","",IF(H326=1,SUMIFS('Opening Balance'!$F$4:$F$303,'Opening Balance'!$G$4:$G$303,C326),INDEX($L$2:$L$3001,MATCH(C326&amp;"|"&amp;(H326-1),$I$2:$I$3001,0))))</f>
        <v/>
      </c>
      <c r="K326" s="6">
        <f>IF(C326="","",IF(M326&gt;0,M326,IF(AND(E326&gt;0,ROUND(J326+D326-E326,2)&gt;0,ROUND(J326+D326-E326,2)&lt;'Opening Balance'!$B$14),ROUND(J326+D326-E326,2),0)))</f>
        <v/>
      </c>
      <c r="L326" s="6">
        <f>IF(C326="","",ROUND(J326+D326-E326-K326,2))</f>
        <v/>
      </c>
      <c r="M326" s="6">
        <f>IF(C326="","",IF('Daily Sale entry '!Q326="Collection 收款",ROUND(N('Daily Sale entry '!T326),2),0))</f>
        <v/>
      </c>
    </row>
    <row r="327">
      <c r="A327" t="inlineStr">
        <is>
          <t>Entry 记录</t>
        </is>
      </c>
      <c r="B327" s="5">
        <f>IF('Daily Sale entry '!P327="","",'Daily Sale entry '!O327)</f>
        <v/>
      </c>
      <c r="C327">
        <f>IF('Daily Sale entry '!P327="","",'Daily Sale entry '!P327)</f>
        <v/>
      </c>
      <c r="D327">
        <f>IF(C327="","",IF('Daily Sale entry '!Q327="Credit Sale 赊销",'Daily Sale entry '!S327,0))</f>
        <v/>
      </c>
      <c r="E327">
        <f>IF(C327="","",IF('Daily Sale entry '!Q327="Collection 收款",'Daily Sale entry '!S327,0))</f>
        <v/>
      </c>
      <c r="F327" s="37">
        <f>IF(C327="","",B327+IF(E327&gt;0,0,0.5)+ROW()/10000000)</f>
        <v/>
      </c>
      <c r="G327">
        <f>IF(C327="","",'Daily Sale entry '!Q327&amp;IF('Daily Sale entry '!Q327="Collection 收款"," ("&amp;'Daily Sale entry '!R327&amp;")","")&amp;IF('Daily Sale entry '!U327="",""," - "&amp;'Daily Sale entry '!U327))</f>
        <v/>
      </c>
      <c r="H327">
        <f>IF(C327="","",COUNTIFS($C$2:$C$3001,C327,$F$2:$F$3001,"&lt;"&amp;F327)+1)</f>
        <v/>
      </c>
      <c r="I327">
        <f>IF(C327="","",C327&amp;"|"&amp;H327)</f>
        <v/>
      </c>
      <c r="J327" s="6">
        <f>IF(C327="","",IF(H327=1,SUMIFS('Opening Balance'!$F$4:$F$303,'Opening Balance'!$G$4:$G$303,C327),INDEX($L$2:$L$3001,MATCH(C327&amp;"|"&amp;(H327-1),$I$2:$I$3001,0))))</f>
        <v/>
      </c>
      <c r="K327" s="6">
        <f>IF(C327="","",IF(M327&gt;0,M327,IF(AND(E327&gt;0,ROUND(J327+D327-E327,2)&gt;0,ROUND(J327+D327-E327,2)&lt;'Opening Balance'!$B$14),ROUND(J327+D327-E327,2),0)))</f>
        <v/>
      </c>
      <c r="L327" s="6">
        <f>IF(C327="","",ROUND(J327+D327-E327-K327,2))</f>
        <v/>
      </c>
      <c r="M327" s="6">
        <f>IF(C327="","",IF('Daily Sale entry '!Q327="Collection 收款",ROUND(N('Daily Sale entry '!T327),2),0))</f>
        <v/>
      </c>
    </row>
    <row r="328">
      <c r="A328" t="inlineStr">
        <is>
          <t>Entry 记录</t>
        </is>
      </c>
      <c r="B328" s="5">
        <f>IF('Daily Sale entry '!P328="","",'Daily Sale entry '!O328)</f>
        <v/>
      </c>
      <c r="C328">
        <f>IF('Daily Sale entry '!P328="","",'Daily Sale entry '!P328)</f>
        <v/>
      </c>
      <c r="D328">
        <f>IF(C328="","",IF('Daily Sale entry '!Q328="Credit Sale 赊销",'Daily Sale entry '!S328,0))</f>
        <v/>
      </c>
      <c r="E328">
        <f>IF(C328="","",IF('Daily Sale entry '!Q328="Collection 收款",'Daily Sale entry '!S328,0))</f>
        <v/>
      </c>
      <c r="F328" s="37">
        <f>IF(C328="","",B328+IF(E328&gt;0,0,0.5)+ROW()/10000000)</f>
        <v/>
      </c>
      <c r="G328">
        <f>IF(C328="","",'Daily Sale entry '!Q328&amp;IF('Daily Sale entry '!Q328="Collection 收款"," ("&amp;'Daily Sale entry '!R328&amp;")","")&amp;IF('Daily Sale entry '!U328="",""," - "&amp;'Daily Sale entry '!U328))</f>
        <v/>
      </c>
      <c r="H328">
        <f>IF(C328="","",COUNTIFS($C$2:$C$3001,C328,$F$2:$F$3001,"&lt;"&amp;F328)+1)</f>
        <v/>
      </c>
      <c r="I328">
        <f>IF(C328="","",C328&amp;"|"&amp;H328)</f>
        <v/>
      </c>
      <c r="J328" s="6">
        <f>IF(C328="","",IF(H328=1,SUMIFS('Opening Balance'!$F$4:$F$303,'Opening Balance'!$G$4:$G$303,C328),INDEX($L$2:$L$3001,MATCH(C328&amp;"|"&amp;(H328-1),$I$2:$I$3001,0))))</f>
        <v/>
      </c>
      <c r="K328" s="6">
        <f>IF(C328="","",IF(M328&gt;0,M328,IF(AND(E328&gt;0,ROUND(J328+D328-E328,2)&gt;0,ROUND(J328+D328-E328,2)&lt;'Opening Balance'!$B$14),ROUND(J328+D328-E328,2),0)))</f>
        <v/>
      </c>
      <c r="L328" s="6">
        <f>IF(C328="","",ROUND(J328+D328-E328-K328,2))</f>
        <v/>
      </c>
      <c r="M328" s="6">
        <f>IF(C328="","",IF('Daily Sale entry '!Q328="Collection 收款",ROUND(N('Daily Sale entry '!T328),2),0))</f>
        <v/>
      </c>
    </row>
    <row r="329">
      <c r="A329" t="inlineStr">
        <is>
          <t>Entry 记录</t>
        </is>
      </c>
      <c r="B329" s="5">
        <f>IF('Daily Sale entry '!P329="","",'Daily Sale entry '!O329)</f>
        <v/>
      </c>
      <c r="C329">
        <f>IF('Daily Sale entry '!P329="","",'Daily Sale entry '!P329)</f>
        <v/>
      </c>
      <c r="D329">
        <f>IF(C329="","",IF('Daily Sale entry '!Q329="Credit Sale 赊销",'Daily Sale entry '!S329,0))</f>
        <v/>
      </c>
      <c r="E329">
        <f>IF(C329="","",IF('Daily Sale entry '!Q329="Collection 收款",'Daily Sale entry '!S329,0))</f>
        <v/>
      </c>
      <c r="F329" s="37">
        <f>IF(C329="","",B329+IF(E329&gt;0,0,0.5)+ROW()/10000000)</f>
        <v/>
      </c>
      <c r="G329">
        <f>IF(C329="","",'Daily Sale entry '!Q329&amp;IF('Daily Sale entry '!Q329="Collection 收款"," ("&amp;'Daily Sale entry '!R329&amp;")","")&amp;IF('Daily Sale entry '!U329="",""," - "&amp;'Daily Sale entry '!U329))</f>
        <v/>
      </c>
      <c r="H329">
        <f>IF(C329="","",COUNTIFS($C$2:$C$3001,C329,$F$2:$F$3001,"&lt;"&amp;F329)+1)</f>
        <v/>
      </c>
      <c r="I329">
        <f>IF(C329="","",C329&amp;"|"&amp;H329)</f>
        <v/>
      </c>
      <c r="J329" s="6">
        <f>IF(C329="","",IF(H329=1,SUMIFS('Opening Balance'!$F$4:$F$303,'Opening Balance'!$G$4:$G$303,C329),INDEX($L$2:$L$3001,MATCH(C329&amp;"|"&amp;(H329-1),$I$2:$I$3001,0))))</f>
        <v/>
      </c>
      <c r="K329" s="6">
        <f>IF(C329="","",IF(M329&gt;0,M329,IF(AND(E329&gt;0,ROUND(J329+D329-E329,2)&gt;0,ROUND(J329+D329-E329,2)&lt;'Opening Balance'!$B$14),ROUND(J329+D329-E329,2),0)))</f>
        <v/>
      </c>
      <c r="L329" s="6">
        <f>IF(C329="","",ROUND(J329+D329-E329-K329,2))</f>
        <v/>
      </c>
      <c r="M329" s="6">
        <f>IF(C329="","",IF('Daily Sale entry '!Q329="Collection 收款",ROUND(N('Daily Sale entry '!T329),2),0))</f>
        <v/>
      </c>
    </row>
    <row r="330">
      <c r="A330" t="inlineStr">
        <is>
          <t>Entry 记录</t>
        </is>
      </c>
      <c r="B330" s="5">
        <f>IF('Daily Sale entry '!P330="","",'Daily Sale entry '!O330)</f>
        <v/>
      </c>
      <c r="C330">
        <f>IF('Daily Sale entry '!P330="","",'Daily Sale entry '!P330)</f>
        <v/>
      </c>
      <c r="D330">
        <f>IF(C330="","",IF('Daily Sale entry '!Q330="Credit Sale 赊销",'Daily Sale entry '!S330,0))</f>
        <v/>
      </c>
      <c r="E330">
        <f>IF(C330="","",IF('Daily Sale entry '!Q330="Collection 收款",'Daily Sale entry '!S330,0))</f>
        <v/>
      </c>
      <c r="F330" s="37">
        <f>IF(C330="","",B330+IF(E330&gt;0,0,0.5)+ROW()/10000000)</f>
        <v/>
      </c>
      <c r="G330">
        <f>IF(C330="","",'Daily Sale entry '!Q330&amp;IF('Daily Sale entry '!Q330="Collection 收款"," ("&amp;'Daily Sale entry '!R330&amp;")","")&amp;IF('Daily Sale entry '!U330="",""," - "&amp;'Daily Sale entry '!U330))</f>
        <v/>
      </c>
      <c r="H330">
        <f>IF(C330="","",COUNTIFS($C$2:$C$3001,C330,$F$2:$F$3001,"&lt;"&amp;F330)+1)</f>
        <v/>
      </c>
      <c r="I330">
        <f>IF(C330="","",C330&amp;"|"&amp;H330)</f>
        <v/>
      </c>
      <c r="J330" s="6">
        <f>IF(C330="","",IF(H330=1,SUMIFS('Opening Balance'!$F$4:$F$303,'Opening Balance'!$G$4:$G$303,C330),INDEX($L$2:$L$3001,MATCH(C330&amp;"|"&amp;(H330-1),$I$2:$I$3001,0))))</f>
        <v/>
      </c>
      <c r="K330" s="6">
        <f>IF(C330="","",IF(M330&gt;0,M330,IF(AND(E330&gt;0,ROUND(J330+D330-E330,2)&gt;0,ROUND(J330+D330-E330,2)&lt;'Opening Balance'!$B$14),ROUND(J330+D330-E330,2),0)))</f>
        <v/>
      </c>
      <c r="L330" s="6">
        <f>IF(C330="","",ROUND(J330+D330-E330-K330,2))</f>
        <v/>
      </c>
      <c r="M330" s="6">
        <f>IF(C330="","",IF('Daily Sale entry '!Q330="Collection 收款",ROUND(N('Daily Sale entry '!T330),2),0))</f>
        <v/>
      </c>
    </row>
    <row r="331">
      <c r="A331" t="inlineStr">
        <is>
          <t>Entry 记录</t>
        </is>
      </c>
      <c r="B331" s="5">
        <f>IF('Daily Sale entry '!P331="","",'Daily Sale entry '!O331)</f>
        <v/>
      </c>
      <c r="C331">
        <f>IF('Daily Sale entry '!P331="","",'Daily Sale entry '!P331)</f>
        <v/>
      </c>
      <c r="D331">
        <f>IF(C331="","",IF('Daily Sale entry '!Q331="Credit Sale 赊销",'Daily Sale entry '!S331,0))</f>
        <v/>
      </c>
      <c r="E331">
        <f>IF(C331="","",IF('Daily Sale entry '!Q331="Collection 收款",'Daily Sale entry '!S331,0))</f>
        <v/>
      </c>
      <c r="F331" s="37">
        <f>IF(C331="","",B331+IF(E331&gt;0,0,0.5)+ROW()/10000000)</f>
        <v/>
      </c>
      <c r="G331">
        <f>IF(C331="","",'Daily Sale entry '!Q331&amp;IF('Daily Sale entry '!Q331="Collection 收款"," ("&amp;'Daily Sale entry '!R331&amp;")","")&amp;IF('Daily Sale entry '!U331="",""," - "&amp;'Daily Sale entry '!U331))</f>
        <v/>
      </c>
      <c r="H331">
        <f>IF(C331="","",COUNTIFS($C$2:$C$3001,C331,$F$2:$F$3001,"&lt;"&amp;F331)+1)</f>
        <v/>
      </c>
      <c r="I331">
        <f>IF(C331="","",C331&amp;"|"&amp;H331)</f>
        <v/>
      </c>
      <c r="J331" s="6">
        <f>IF(C331="","",IF(H331=1,SUMIFS('Opening Balance'!$F$4:$F$303,'Opening Balance'!$G$4:$G$303,C331),INDEX($L$2:$L$3001,MATCH(C331&amp;"|"&amp;(H331-1),$I$2:$I$3001,0))))</f>
        <v/>
      </c>
      <c r="K331" s="6">
        <f>IF(C331="","",IF(M331&gt;0,M331,IF(AND(E331&gt;0,ROUND(J331+D331-E331,2)&gt;0,ROUND(J331+D331-E331,2)&lt;'Opening Balance'!$B$14),ROUND(J331+D331-E331,2),0)))</f>
        <v/>
      </c>
      <c r="L331" s="6">
        <f>IF(C331="","",ROUND(J331+D331-E331-K331,2))</f>
        <v/>
      </c>
      <c r="M331" s="6">
        <f>IF(C331="","",IF('Daily Sale entry '!Q331="Collection 收款",ROUND(N('Daily Sale entry '!T331),2),0))</f>
        <v/>
      </c>
    </row>
    <row r="332">
      <c r="A332" t="inlineStr">
        <is>
          <t>Entry 记录</t>
        </is>
      </c>
      <c r="B332" s="5">
        <f>IF('Daily Sale entry '!P332="","",'Daily Sale entry '!O332)</f>
        <v/>
      </c>
      <c r="C332">
        <f>IF('Daily Sale entry '!P332="","",'Daily Sale entry '!P332)</f>
        <v/>
      </c>
      <c r="D332">
        <f>IF(C332="","",IF('Daily Sale entry '!Q332="Credit Sale 赊销",'Daily Sale entry '!S332,0))</f>
        <v/>
      </c>
      <c r="E332">
        <f>IF(C332="","",IF('Daily Sale entry '!Q332="Collection 收款",'Daily Sale entry '!S332,0))</f>
        <v/>
      </c>
      <c r="F332" s="37">
        <f>IF(C332="","",B332+IF(E332&gt;0,0,0.5)+ROW()/10000000)</f>
        <v/>
      </c>
      <c r="G332">
        <f>IF(C332="","",'Daily Sale entry '!Q332&amp;IF('Daily Sale entry '!Q332="Collection 收款"," ("&amp;'Daily Sale entry '!R332&amp;")","")&amp;IF('Daily Sale entry '!U332="",""," - "&amp;'Daily Sale entry '!U332))</f>
        <v/>
      </c>
      <c r="H332">
        <f>IF(C332="","",COUNTIFS($C$2:$C$3001,C332,$F$2:$F$3001,"&lt;"&amp;F332)+1)</f>
        <v/>
      </c>
      <c r="I332">
        <f>IF(C332="","",C332&amp;"|"&amp;H332)</f>
        <v/>
      </c>
      <c r="J332" s="6">
        <f>IF(C332="","",IF(H332=1,SUMIFS('Opening Balance'!$F$4:$F$303,'Opening Balance'!$G$4:$G$303,C332),INDEX($L$2:$L$3001,MATCH(C332&amp;"|"&amp;(H332-1),$I$2:$I$3001,0))))</f>
        <v/>
      </c>
      <c r="K332" s="6">
        <f>IF(C332="","",IF(M332&gt;0,M332,IF(AND(E332&gt;0,ROUND(J332+D332-E332,2)&gt;0,ROUND(J332+D332-E332,2)&lt;'Opening Balance'!$B$14),ROUND(J332+D332-E332,2),0)))</f>
        <v/>
      </c>
      <c r="L332" s="6">
        <f>IF(C332="","",ROUND(J332+D332-E332-K332,2))</f>
        <v/>
      </c>
      <c r="M332" s="6">
        <f>IF(C332="","",IF('Daily Sale entry '!Q332="Collection 收款",ROUND(N('Daily Sale entry '!T332),2),0))</f>
        <v/>
      </c>
    </row>
    <row r="333">
      <c r="A333" t="inlineStr">
        <is>
          <t>Entry 记录</t>
        </is>
      </c>
      <c r="B333" s="5">
        <f>IF('Daily Sale entry '!P333="","",'Daily Sale entry '!O333)</f>
        <v/>
      </c>
      <c r="C333">
        <f>IF('Daily Sale entry '!P333="","",'Daily Sale entry '!P333)</f>
        <v/>
      </c>
      <c r="D333">
        <f>IF(C333="","",IF('Daily Sale entry '!Q333="Credit Sale 赊销",'Daily Sale entry '!S333,0))</f>
        <v/>
      </c>
      <c r="E333">
        <f>IF(C333="","",IF('Daily Sale entry '!Q333="Collection 收款",'Daily Sale entry '!S333,0))</f>
        <v/>
      </c>
      <c r="F333" s="37">
        <f>IF(C333="","",B333+IF(E333&gt;0,0,0.5)+ROW()/10000000)</f>
        <v/>
      </c>
      <c r="G333">
        <f>IF(C333="","",'Daily Sale entry '!Q333&amp;IF('Daily Sale entry '!Q333="Collection 收款"," ("&amp;'Daily Sale entry '!R333&amp;")","")&amp;IF('Daily Sale entry '!U333="",""," - "&amp;'Daily Sale entry '!U333))</f>
        <v/>
      </c>
      <c r="H333">
        <f>IF(C333="","",COUNTIFS($C$2:$C$3001,C333,$F$2:$F$3001,"&lt;"&amp;F333)+1)</f>
        <v/>
      </c>
      <c r="I333">
        <f>IF(C333="","",C333&amp;"|"&amp;H333)</f>
        <v/>
      </c>
      <c r="J333" s="6">
        <f>IF(C333="","",IF(H333=1,SUMIFS('Opening Balance'!$F$4:$F$303,'Opening Balance'!$G$4:$G$303,C333),INDEX($L$2:$L$3001,MATCH(C333&amp;"|"&amp;(H333-1),$I$2:$I$3001,0))))</f>
        <v/>
      </c>
      <c r="K333" s="6">
        <f>IF(C333="","",IF(M333&gt;0,M333,IF(AND(E333&gt;0,ROUND(J333+D333-E333,2)&gt;0,ROUND(J333+D333-E333,2)&lt;'Opening Balance'!$B$14),ROUND(J333+D333-E333,2),0)))</f>
        <v/>
      </c>
      <c r="L333" s="6">
        <f>IF(C333="","",ROUND(J333+D333-E333-K333,2))</f>
        <v/>
      </c>
      <c r="M333" s="6">
        <f>IF(C333="","",IF('Daily Sale entry '!Q333="Collection 收款",ROUND(N('Daily Sale entry '!T333),2),0))</f>
        <v/>
      </c>
    </row>
    <row r="334">
      <c r="A334" t="inlineStr">
        <is>
          <t>Entry 记录</t>
        </is>
      </c>
      <c r="B334" s="5">
        <f>IF('Daily Sale entry '!P334="","",'Daily Sale entry '!O334)</f>
        <v/>
      </c>
      <c r="C334">
        <f>IF('Daily Sale entry '!P334="","",'Daily Sale entry '!P334)</f>
        <v/>
      </c>
      <c r="D334">
        <f>IF(C334="","",IF('Daily Sale entry '!Q334="Credit Sale 赊销",'Daily Sale entry '!S334,0))</f>
        <v/>
      </c>
      <c r="E334">
        <f>IF(C334="","",IF('Daily Sale entry '!Q334="Collection 收款",'Daily Sale entry '!S334,0))</f>
        <v/>
      </c>
      <c r="F334" s="37">
        <f>IF(C334="","",B334+IF(E334&gt;0,0,0.5)+ROW()/10000000)</f>
        <v/>
      </c>
      <c r="G334">
        <f>IF(C334="","",'Daily Sale entry '!Q334&amp;IF('Daily Sale entry '!Q334="Collection 收款"," ("&amp;'Daily Sale entry '!R334&amp;")","")&amp;IF('Daily Sale entry '!U334="",""," - "&amp;'Daily Sale entry '!U334))</f>
        <v/>
      </c>
      <c r="H334">
        <f>IF(C334="","",COUNTIFS($C$2:$C$3001,C334,$F$2:$F$3001,"&lt;"&amp;F334)+1)</f>
        <v/>
      </c>
      <c r="I334">
        <f>IF(C334="","",C334&amp;"|"&amp;H334)</f>
        <v/>
      </c>
      <c r="J334" s="6">
        <f>IF(C334="","",IF(H334=1,SUMIFS('Opening Balance'!$F$4:$F$303,'Opening Balance'!$G$4:$G$303,C334),INDEX($L$2:$L$3001,MATCH(C334&amp;"|"&amp;(H334-1),$I$2:$I$3001,0))))</f>
        <v/>
      </c>
      <c r="K334" s="6">
        <f>IF(C334="","",IF(M334&gt;0,M334,IF(AND(E334&gt;0,ROUND(J334+D334-E334,2)&gt;0,ROUND(J334+D334-E334,2)&lt;'Opening Balance'!$B$14),ROUND(J334+D334-E334,2),0)))</f>
        <v/>
      </c>
      <c r="L334" s="6">
        <f>IF(C334="","",ROUND(J334+D334-E334-K334,2))</f>
        <v/>
      </c>
      <c r="M334" s="6">
        <f>IF(C334="","",IF('Daily Sale entry '!Q334="Collection 收款",ROUND(N('Daily Sale entry '!T334),2),0))</f>
        <v/>
      </c>
    </row>
    <row r="335">
      <c r="A335" t="inlineStr">
        <is>
          <t>Entry 记录</t>
        </is>
      </c>
      <c r="B335" s="5">
        <f>IF('Daily Sale entry '!P335="","",'Daily Sale entry '!O335)</f>
        <v/>
      </c>
      <c r="C335">
        <f>IF('Daily Sale entry '!P335="","",'Daily Sale entry '!P335)</f>
        <v/>
      </c>
      <c r="D335">
        <f>IF(C335="","",IF('Daily Sale entry '!Q335="Credit Sale 赊销",'Daily Sale entry '!S335,0))</f>
        <v/>
      </c>
      <c r="E335">
        <f>IF(C335="","",IF('Daily Sale entry '!Q335="Collection 收款",'Daily Sale entry '!S335,0))</f>
        <v/>
      </c>
      <c r="F335" s="37">
        <f>IF(C335="","",B335+IF(E335&gt;0,0,0.5)+ROW()/10000000)</f>
        <v/>
      </c>
      <c r="G335">
        <f>IF(C335="","",'Daily Sale entry '!Q335&amp;IF('Daily Sale entry '!Q335="Collection 收款"," ("&amp;'Daily Sale entry '!R335&amp;")","")&amp;IF('Daily Sale entry '!U335="",""," - "&amp;'Daily Sale entry '!U335))</f>
        <v/>
      </c>
      <c r="H335">
        <f>IF(C335="","",COUNTIFS($C$2:$C$3001,C335,$F$2:$F$3001,"&lt;"&amp;F335)+1)</f>
        <v/>
      </c>
      <c r="I335">
        <f>IF(C335="","",C335&amp;"|"&amp;H335)</f>
        <v/>
      </c>
      <c r="J335" s="6">
        <f>IF(C335="","",IF(H335=1,SUMIFS('Opening Balance'!$F$4:$F$303,'Opening Balance'!$G$4:$G$303,C335),INDEX($L$2:$L$3001,MATCH(C335&amp;"|"&amp;(H335-1),$I$2:$I$3001,0))))</f>
        <v/>
      </c>
      <c r="K335" s="6">
        <f>IF(C335="","",IF(M335&gt;0,M335,IF(AND(E335&gt;0,ROUND(J335+D335-E335,2)&gt;0,ROUND(J335+D335-E335,2)&lt;'Opening Balance'!$B$14),ROUND(J335+D335-E335,2),0)))</f>
        <v/>
      </c>
      <c r="L335" s="6">
        <f>IF(C335="","",ROUND(J335+D335-E335-K335,2))</f>
        <v/>
      </c>
      <c r="M335" s="6">
        <f>IF(C335="","",IF('Daily Sale entry '!Q335="Collection 收款",ROUND(N('Daily Sale entry '!T335),2),0))</f>
        <v/>
      </c>
    </row>
    <row r="336">
      <c r="A336" t="inlineStr">
        <is>
          <t>Entry 记录</t>
        </is>
      </c>
      <c r="B336" s="5">
        <f>IF('Daily Sale entry '!P336="","",'Daily Sale entry '!O336)</f>
        <v/>
      </c>
      <c r="C336">
        <f>IF('Daily Sale entry '!P336="","",'Daily Sale entry '!P336)</f>
        <v/>
      </c>
      <c r="D336">
        <f>IF(C336="","",IF('Daily Sale entry '!Q336="Credit Sale 赊销",'Daily Sale entry '!S336,0))</f>
        <v/>
      </c>
      <c r="E336">
        <f>IF(C336="","",IF('Daily Sale entry '!Q336="Collection 收款",'Daily Sale entry '!S336,0))</f>
        <v/>
      </c>
      <c r="F336" s="37">
        <f>IF(C336="","",B336+IF(E336&gt;0,0,0.5)+ROW()/10000000)</f>
        <v/>
      </c>
      <c r="G336">
        <f>IF(C336="","",'Daily Sale entry '!Q336&amp;IF('Daily Sale entry '!Q336="Collection 收款"," ("&amp;'Daily Sale entry '!R336&amp;")","")&amp;IF('Daily Sale entry '!U336="",""," - "&amp;'Daily Sale entry '!U336))</f>
        <v/>
      </c>
      <c r="H336">
        <f>IF(C336="","",COUNTIFS($C$2:$C$3001,C336,$F$2:$F$3001,"&lt;"&amp;F336)+1)</f>
        <v/>
      </c>
      <c r="I336">
        <f>IF(C336="","",C336&amp;"|"&amp;H336)</f>
        <v/>
      </c>
      <c r="J336" s="6">
        <f>IF(C336="","",IF(H336=1,SUMIFS('Opening Balance'!$F$4:$F$303,'Opening Balance'!$G$4:$G$303,C336),INDEX($L$2:$L$3001,MATCH(C336&amp;"|"&amp;(H336-1),$I$2:$I$3001,0))))</f>
        <v/>
      </c>
      <c r="K336" s="6">
        <f>IF(C336="","",IF(M336&gt;0,M336,IF(AND(E336&gt;0,ROUND(J336+D336-E336,2)&gt;0,ROUND(J336+D336-E336,2)&lt;'Opening Balance'!$B$14),ROUND(J336+D336-E336,2),0)))</f>
        <v/>
      </c>
      <c r="L336" s="6">
        <f>IF(C336="","",ROUND(J336+D336-E336-K336,2))</f>
        <v/>
      </c>
      <c r="M336" s="6">
        <f>IF(C336="","",IF('Daily Sale entry '!Q336="Collection 收款",ROUND(N('Daily Sale entry '!T336),2),0))</f>
        <v/>
      </c>
    </row>
    <row r="337">
      <c r="A337" t="inlineStr">
        <is>
          <t>Entry 记录</t>
        </is>
      </c>
      <c r="B337" s="5">
        <f>IF('Daily Sale entry '!P337="","",'Daily Sale entry '!O337)</f>
        <v/>
      </c>
      <c r="C337">
        <f>IF('Daily Sale entry '!P337="","",'Daily Sale entry '!P337)</f>
        <v/>
      </c>
      <c r="D337">
        <f>IF(C337="","",IF('Daily Sale entry '!Q337="Credit Sale 赊销",'Daily Sale entry '!S337,0))</f>
        <v/>
      </c>
      <c r="E337">
        <f>IF(C337="","",IF('Daily Sale entry '!Q337="Collection 收款",'Daily Sale entry '!S337,0))</f>
        <v/>
      </c>
      <c r="F337" s="37">
        <f>IF(C337="","",B337+IF(E337&gt;0,0,0.5)+ROW()/10000000)</f>
        <v/>
      </c>
      <c r="G337">
        <f>IF(C337="","",'Daily Sale entry '!Q337&amp;IF('Daily Sale entry '!Q337="Collection 收款"," ("&amp;'Daily Sale entry '!R337&amp;")","")&amp;IF('Daily Sale entry '!U337="",""," - "&amp;'Daily Sale entry '!U337))</f>
        <v/>
      </c>
      <c r="H337">
        <f>IF(C337="","",COUNTIFS($C$2:$C$3001,C337,$F$2:$F$3001,"&lt;"&amp;F337)+1)</f>
        <v/>
      </c>
      <c r="I337">
        <f>IF(C337="","",C337&amp;"|"&amp;H337)</f>
        <v/>
      </c>
      <c r="J337" s="6">
        <f>IF(C337="","",IF(H337=1,SUMIFS('Opening Balance'!$F$4:$F$303,'Opening Balance'!$G$4:$G$303,C337),INDEX($L$2:$L$3001,MATCH(C337&amp;"|"&amp;(H337-1),$I$2:$I$3001,0))))</f>
        <v/>
      </c>
      <c r="K337" s="6">
        <f>IF(C337="","",IF(M337&gt;0,M337,IF(AND(E337&gt;0,ROUND(J337+D337-E337,2)&gt;0,ROUND(J337+D337-E337,2)&lt;'Opening Balance'!$B$14),ROUND(J337+D337-E337,2),0)))</f>
        <v/>
      </c>
      <c r="L337" s="6">
        <f>IF(C337="","",ROUND(J337+D337-E337-K337,2))</f>
        <v/>
      </c>
      <c r="M337" s="6">
        <f>IF(C337="","",IF('Daily Sale entry '!Q337="Collection 收款",ROUND(N('Daily Sale entry '!T337),2),0))</f>
        <v/>
      </c>
    </row>
    <row r="338">
      <c r="A338" t="inlineStr">
        <is>
          <t>Entry 记录</t>
        </is>
      </c>
      <c r="B338" s="5">
        <f>IF('Daily Sale entry '!P338="","",'Daily Sale entry '!O338)</f>
        <v/>
      </c>
      <c r="C338">
        <f>IF('Daily Sale entry '!P338="","",'Daily Sale entry '!P338)</f>
        <v/>
      </c>
      <c r="D338">
        <f>IF(C338="","",IF('Daily Sale entry '!Q338="Credit Sale 赊销",'Daily Sale entry '!S338,0))</f>
        <v/>
      </c>
      <c r="E338">
        <f>IF(C338="","",IF('Daily Sale entry '!Q338="Collection 收款",'Daily Sale entry '!S338,0))</f>
        <v/>
      </c>
      <c r="F338" s="37">
        <f>IF(C338="","",B338+IF(E338&gt;0,0,0.5)+ROW()/10000000)</f>
        <v/>
      </c>
      <c r="G338">
        <f>IF(C338="","",'Daily Sale entry '!Q338&amp;IF('Daily Sale entry '!Q338="Collection 收款"," ("&amp;'Daily Sale entry '!R338&amp;")","")&amp;IF('Daily Sale entry '!U338="",""," - "&amp;'Daily Sale entry '!U338))</f>
        <v/>
      </c>
      <c r="H338">
        <f>IF(C338="","",COUNTIFS($C$2:$C$3001,C338,$F$2:$F$3001,"&lt;"&amp;F338)+1)</f>
        <v/>
      </c>
      <c r="I338">
        <f>IF(C338="","",C338&amp;"|"&amp;H338)</f>
        <v/>
      </c>
      <c r="J338" s="6">
        <f>IF(C338="","",IF(H338=1,SUMIFS('Opening Balance'!$F$4:$F$303,'Opening Balance'!$G$4:$G$303,C338),INDEX($L$2:$L$3001,MATCH(C338&amp;"|"&amp;(H338-1),$I$2:$I$3001,0))))</f>
        <v/>
      </c>
      <c r="K338" s="6">
        <f>IF(C338="","",IF(M338&gt;0,M338,IF(AND(E338&gt;0,ROUND(J338+D338-E338,2)&gt;0,ROUND(J338+D338-E338,2)&lt;'Opening Balance'!$B$14),ROUND(J338+D338-E338,2),0)))</f>
        <v/>
      </c>
      <c r="L338" s="6">
        <f>IF(C338="","",ROUND(J338+D338-E338-K338,2))</f>
        <v/>
      </c>
      <c r="M338" s="6">
        <f>IF(C338="","",IF('Daily Sale entry '!Q338="Collection 收款",ROUND(N('Daily Sale entry '!T338),2),0))</f>
        <v/>
      </c>
    </row>
    <row r="339">
      <c r="A339" t="inlineStr">
        <is>
          <t>Entry 记录</t>
        </is>
      </c>
      <c r="B339" s="5">
        <f>IF('Daily Sale entry '!P339="","",'Daily Sale entry '!O339)</f>
        <v/>
      </c>
      <c r="C339">
        <f>IF('Daily Sale entry '!P339="","",'Daily Sale entry '!P339)</f>
        <v/>
      </c>
      <c r="D339">
        <f>IF(C339="","",IF('Daily Sale entry '!Q339="Credit Sale 赊销",'Daily Sale entry '!S339,0))</f>
        <v/>
      </c>
      <c r="E339">
        <f>IF(C339="","",IF('Daily Sale entry '!Q339="Collection 收款",'Daily Sale entry '!S339,0))</f>
        <v/>
      </c>
      <c r="F339" s="37">
        <f>IF(C339="","",B339+IF(E339&gt;0,0,0.5)+ROW()/10000000)</f>
        <v/>
      </c>
      <c r="G339">
        <f>IF(C339="","",'Daily Sale entry '!Q339&amp;IF('Daily Sale entry '!Q339="Collection 收款"," ("&amp;'Daily Sale entry '!R339&amp;")","")&amp;IF('Daily Sale entry '!U339="",""," - "&amp;'Daily Sale entry '!U339))</f>
        <v/>
      </c>
      <c r="H339">
        <f>IF(C339="","",COUNTIFS($C$2:$C$3001,C339,$F$2:$F$3001,"&lt;"&amp;F339)+1)</f>
        <v/>
      </c>
      <c r="I339">
        <f>IF(C339="","",C339&amp;"|"&amp;H339)</f>
        <v/>
      </c>
      <c r="J339" s="6">
        <f>IF(C339="","",IF(H339=1,SUMIFS('Opening Balance'!$F$4:$F$303,'Opening Balance'!$G$4:$G$303,C339),INDEX($L$2:$L$3001,MATCH(C339&amp;"|"&amp;(H339-1),$I$2:$I$3001,0))))</f>
        <v/>
      </c>
      <c r="K339" s="6">
        <f>IF(C339="","",IF(M339&gt;0,M339,IF(AND(E339&gt;0,ROUND(J339+D339-E339,2)&gt;0,ROUND(J339+D339-E339,2)&lt;'Opening Balance'!$B$14),ROUND(J339+D339-E339,2),0)))</f>
        <v/>
      </c>
      <c r="L339" s="6">
        <f>IF(C339="","",ROUND(J339+D339-E339-K339,2))</f>
        <v/>
      </c>
      <c r="M339" s="6">
        <f>IF(C339="","",IF('Daily Sale entry '!Q339="Collection 收款",ROUND(N('Daily Sale entry '!T339),2),0))</f>
        <v/>
      </c>
    </row>
    <row r="340">
      <c r="A340" t="inlineStr">
        <is>
          <t>Entry 记录</t>
        </is>
      </c>
      <c r="B340" s="5">
        <f>IF('Daily Sale entry '!P340="","",'Daily Sale entry '!O340)</f>
        <v/>
      </c>
      <c r="C340">
        <f>IF('Daily Sale entry '!P340="","",'Daily Sale entry '!P340)</f>
        <v/>
      </c>
      <c r="D340">
        <f>IF(C340="","",IF('Daily Sale entry '!Q340="Credit Sale 赊销",'Daily Sale entry '!S340,0))</f>
        <v/>
      </c>
      <c r="E340">
        <f>IF(C340="","",IF('Daily Sale entry '!Q340="Collection 收款",'Daily Sale entry '!S340,0))</f>
        <v/>
      </c>
      <c r="F340" s="37">
        <f>IF(C340="","",B340+IF(E340&gt;0,0,0.5)+ROW()/10000000)</f>
        <v/>
      </c>
      <c r="G340">
        <f>IF(C340="","",'Daily Sale entry '!Q340&amp;IF('Daily Sale entry '!Q340="Collection 收款"," ("&amp;'Daily Sale entry '!R340&amp;")","")&amp;IF('Daily Sale entry '!U340="",""," - "&amp;'Daily Sale entry '!U340))</f>
        <v/>
      </c>
      <c r="H340">
        <f>IF(C340="","",COUNTIFS($C$2:$C$3001,C340,$F$2:$F$3001,"&lt;"&amp;F340)+1)</f>
        <v/>
      </c>
      <c r="I340">
        <f>IF(C340="","",C340&amp;"|"&amp;H340)</f>
        <v/>
      </c>
      <c r="J340" s="6">
        <f>IF(C340="","",IF(H340=1,SUMIFS('Opening Balance'!$F$4:$F$303,'Opening Balance'!$G$4:$G$303,C340),INDEX($L$2:$L$3001,MATCH(C340&amp;"|"&amp;(H340-1),$I$2:$I$3001,0))))</f>
        <v/>
      </c>
      <c r="K340" s="6">
        <f>IF(C340="","",IF(M340&gt;0,M340,IF(AND(E340&gt;0,ROUND(J340+D340-E340,2)&gt;0,ROUND(J340+D340-E340,2)&lt;'Opening Balance'!$B$14),ROUND(J340+D340-E340,2),0)))</f>
        <v/>
      </c>
      <c r="L340" s="6">
        <f>IF(C340="","",ROUND(J340+D340-E340-K340,2))</f>
        <v/>
      </c>
      <c r="M340" s="6">
        <f>IF(C340="","",IF('Daily Sale entry '!Q340="Collection 收款",ROUND(N('Daily Sale entry '!T340),2),0))</f>
        <v/>
      </c>
    </row>
    <row r="341">
      <c r="A341" t="inlineStr">
        <is>
          <t>Entry 记录</t>
        </is>
      </c>
      <c r="B341" s="5">
        <f>IF('Daily Sale entry '!P341="","",'Daily Sale entry '!O341)</f>
        <v/>
      </c>
      <c r="C341">
        <f>IF('Daily Sale entry '!P341="","",'Daily Sale entry '!P341)</f>
        <v/>
      </c>
      <c r="D341">
        <f>IF(C341="","",IF('Daily Sale entry '!Q341="Credit Sale 赊销",'Daily Sale entry '!S341,0))</f>
        <v/>
      </c>
      <c r="E341">
        <f>IF(C341="","",IF('Daily Sale entry '!Q341="Collection 收款",'Daily Sale entry '!S341,0))</f>
        <v/>
      </c>
      <c r="F341" s="37">
        <f>IF(C341="","",B341+IF(E341&gt;0,0,0.5)+ROW()/10000000)</f>
        <v/>
      </c>
      <c r="G341">
        <f>IF(C341="","",'Daily Sale entry '!Q341&amp;IF('Daily Sale entry '!Q341="Collection 收款"," ("&amp;'Daily Sale entry '!R341&amp;")","")&amp;IF('Daily Sale entry '!U341="",""," - "&amp;'Daily Sale entry '!U341))</f>
        <v/>
      </c>
      <c r="H341">
        <f>IF(C341="","",COUNTIFS($C$2:$C$3001,C341,$F$2:$F$3001,"&lt;"&amp;F341)+1)</f>
        <v/>
      </c>
      <c r="I341">
        <f>IF(C341="","",C341&amp;"|"&amp;H341)</f>
        <v/>
      </c>
      <c r="J341" s="6">
        <f>IF(C341="","",IF(H341=1,SUMIFS('Opening Balance'!$F$4:$F$303,'Opening Balance'!$G$4:$G$303,C341),INDEX($L$2:$L$3001,MATCH(C341&amp;"|"&amp;(H341-1),$I$2:$I$3001,0))))</f>
        <v/>
      </c>
      <c r="K341" s="6">
        <f>IF(C341="","",IF(M341&gt;0,M341,IF(AND(E341&gt;0,ROUND(J341+D341-E341,2)&gt;0,ROUND(J341+D341-E341,2)&lt;'Opening Balance'!$B$14),ROUND(J341+D341-E341,2),0)))</f>
        <v/>
      </c>
      <c r="L341" s="6">
        <f>IF(C341="","",ROUND(J341+D341-E341-K341,2))</f>
        <v/>
      </c>
      <c r="M341" s="6">
        <f>IF(C341="","",IF('Daily Sale entry '!Q341="Collection 收款",ROUND(N('Daily Sale entry '!T341),2),0))</f>
        <v/>
      </c>
    </row>
    <row r="342">
      <c r="A342" t="inlineStr">
        <is>
          <t>Entry 记录</t>
        </is>
      </c>
      <c r="B342" s="5">
        <f>IF('Daily Sale entry '!P342="","",'Daily Sale entry '!O342)</f>
        <v/>
      </c>
      <c r="C342">
        <f>IF('Daily Sale entry '!P342="","",'Daily Sale entry '!P342)</f>
        <v/>
      </c>
      <c r="D342">
        <f>IF(C342="","",IF('Daily Sale entry '!Q342="Credit Sale 赊销",'Daily Sale entry '!S342,0))</f>
        <v/>
      </c>
      <c r="E342">
        <f>IF(C342="","",IF('Daily Sale entry '!Q342="Collection 收款",'Daily Sale entry '!S342,0))</f>
        <v/>
      </c>
      <c r="F342" s="37">
        <f>IF(C342="","",B342+IF(E342&gt;0,0,0.5)+ROW()/10000000)</f>
        <v/>
      </c>
      <c r="G342">
        <f>IF(C342="","",'Daily Sale entry '!Q342&amp;IF('Daily Sale entry '!Q342="Collection 收款"," ("&amp;'Daily Sale entry '!R342&amp;")","")&amp;IF('Daily Sale entry '!U342="",""," - "&amp;'Daily Sale entry '!U342))</f>
        <v/>
      </c>
      <c r="H342">
        <f>IF(C342="","",COUNTIFS($C$2:$C$3001,C342,$F$2:$F$3001,"&lt;"&amp;F342)+1)</f>
        <v/>
      </c>
      <c r="I342">
        <f>IF(C342="","",C342&amp;"|"&amp;H342)</f>
        <v/>
      </c>
      <c r="J342" s="6">
        <f>IF(C342="","",IF(H342=1,SUMIFS('Opening Balance'!$F$4:$F$303,'Opening Balance'!$G$4:$G$303,C342),INDEX($L$2:$L$3001,MATCH(C342&amp;"|"&amp;(H342-1),$I$2:$I$3001,0))))</f>
        <v/>
      </c>
      <c r="K342" s="6">
        <f>IF(C342="","",IF(M342&gt;0,M342,IF(AND(E342&gt;0,ROUND(J342+D342-E342,2)&gt;0,ROUND(J342+D342-E342,2)&lt;'Opening Balance'!$B$14),ROUND(J342+D342-E342,2),0)))</f>
        <v/>
      </c>
      <c r="L342" s="6">
        <f>IF(C342="","",ROUND(J342+D342-E342-K342,2))</f>
        <v/>
      </c>
      <c r="M342" s="6">
        <f>IF(C342="","",IF('Daily Sale entry '!Q342="Collection 收款",ROUND(N('Daily Sale entry '!T342),2),0))</f>
        <v/>
      </c>
    </row>
    <row r="343">
      <c r="A343" t="inlineStr">
        <is>
          <t>Entry 记录</t>
        </is>
      </c>
      <c r="B343" s="5">
        <f>IF('Daily Sale entry '!P343="","",'Daily Sale entry '!O343)</f>
        <v/>
      </c>
      <c r="C343">
        <f>IF('Daily Sale entry '!P343="","",'Daily Sale entry '!P343)</f>
        <v/>
      </c>
      <c r="D343">
        <f>IF(C343="","",IF('Daily Sale entry '!Q343="Credit Sale 赊销",'Daily Sale entry '!S343,0))</f>
        <v/>
      </c>
      <c r="E343">
        <f>IF(C343="","",IF('Daily Sale entry '!Q343="Collection 收款",'Daily Sale entry '!S343,0))</f>
        <v/>
      </c>
      <c r="F343" s="37">
        <f>IF(C343="","",B343+IF(E343&gt;0,0,0.5)+ROW()/10000000)</f>
        <v/>
      </c>
      <c r="G343">
        <f>IF(C343="","",'Daily Sale entry '!Q343&amp;IF('Daily Sale entry '!Q343="Collection 收款"," ("&amp;'Daily Sale entry '!R343&amp;")","")&amp;IF('Daily Sale entry '!U343="",""," - "&amp;'Daily Sale entry '!U343))</f>
        <v/>
      </c>
      <c r="H343">
        <f>IF(C343="","",COUNTIFS($C$2:$C$3001,C343,$F$2:$F$3001,"&lt;"&amp;F343)+1)</f>
        <v/>
      </c>
      <c r="I343">
        <f>IF(C343="","",C343&amp;"|"&amp;H343)</f>
        <v/>
      </c>
      <c r="J343" s="6">
        <f>IF(C343="","",IF(H343=1,SUMIFS('Opening Balance'!$F$4:$F$303,'Opening Balance'!$G$4:$G$303,C343),INDEX($L$2:$L$3001,MATCH(C343&amp;"|"&amp;(H343-1),$I$2:$I$3001,0))))</f>
        <v/>
      </c>
      <c r="K343" s="6">
        <f>IF(C343="","",IF(M343&gt;0,M343,IF(AND(E343&gt;0,ROUND(J343+D343-E343,2)&gt;0,ROUND(J343+D343-E343,2)&lt;'Opening Balance'!$B$14),ROUND(J343+D343-E343,2),0)))</f>
        <v/>
      </c>
      <c r="L343" s="6">
        <f>IF(C343="","",ROUND(J343+D343-E343-K343,2))</f>
        <v/>
      </c>
      <c r="M343" s="6">
        <f>IF(C343="","",IF('Daily Sale entry '!Q343="Collection 收款",ROUND(N('Daily Sale entry '!T343),2),0))</f>
        <v/>
      </c>
    </row>
    <row r="344">
      <c r="A344" t="inlineStr">
        <is>
          <t>Entry 记录</t>
        </is>
      </c>
      <c r="B344" s="5">
        <f>IF('Daily Sale entry '!P344="","",'Daily Sale entry '!O344)</f>
        <v/>
      </c>
      <c r="C344">
        <f>IF('Daily Sale entry '!P344="","",'Daily Sale entry '!P344)</f>
        <v/>
      </c>
      <c r="D344">
        <f>IF(C344="","",IF('Daily Sale entry '!Q344="Credit Sale 赊销",'Daily Sale entry '!S344,0))</f>
        <v/>
      </c>
      <c r="E344">
        <f>IF(C344="","",IF('Daily Sale entry '!Q344="Collection 收款",'Daily Sale entry '!S344,0))</f>
        <v/>
      </c>
      <c r="F344" s="37">
        <f>IF(C344="","",B344+IF(E344&gt;0,0,0.5)+ROW()/10000000)</f>
        <v/>
      </c>
      <c r="G344">
        <f>IF(C344="","",'Daily Sale entry '!Q344&amp;IF('Daily Sale entry '!Q344="Collection 收款"," ("&amp;'Daily Sale entry '!R344&amp;")","")&amp;IF('Daily Sale entry '!U344="",""," - "&amp;'Daily Sale entry '!U344))</f>
        <v/>
      </c>
      <c r="H344">
        <f>IF(C344="","",COUNTIFS($C$2:$C$3001,C344,$F$2:$F$3001,"&lt;"&amp;F344)+1)</f>
        <v/>
      </c>
      <c r="I344">
        <f>IF(C344="","",C344&amp;"|"&amp;H344)</f>
        <v/>
      </c>
      <c r="J344" s="6">
        <f>IF(C344="","",IF(H344=1,SUMIFS('Opening Balance'!$F$4:$F$303,'Opening Balance'!$G$4:$G$303,C344),INDEX($L$2:$L$3001,MATCH(C344&amp;"|"&amp;(H344-1),$I$2:$I$3001,0))))</f>
        <v/>
      </c>
      <c r="K344" s="6">
        <f>IF(C344="","",IF(M344&gt;0,M344,IF(AND(E344&gt;0,ROUND(J344+D344-E344,2)&gt;0,ROUND(J344+D344-E344,2)&lt;'Opening Balance'!$B$14),ROUND(J344+D344-E344,2),0)))</f>
        <v/>
      </c>
      <c r="L344" s="6">
        <f>IF(C344="","",ROUND(J344+D344-E344-K344,2))</f>
        <v/>
      </c>
      <c r="M344" s="6">
        <f>IF(C344="","",IF('Daily Sale entry '!Q344="Collection 收款",ROUND(N('Daily Sale entry '!T344),2),0))</f>
        <v/>
      </c>
    </row>
    <row r="345">
      <c r="A345" t="inlineStr">
        <is>
          <t>Entry 记录</t>
        </is>
      </c>
      <c r="B345" s="5">
        <f>IF('Daily Sale entry '!P345="","",'Daily Sale entry '!O345)</f>
        <v/>
      </c>
      <c r="C345">
        <f>IF('Daily Sale entry '!P345="","",'Daily Sale entry '!P345)</f>
        <v/>
      </c>
      <c r="D345">
        <f>IF(C345="","",IF('Daily Sale entry '!Q345="Credit Sale 赊销",'Daily Sale entry '!S345,0))</f>
        <v/>
      </c>
      <c r="E345">
        <f>IF(C345="","",IF('Daily Sale entry '!Q345="Collection 收款",'Daily Sale entry '!S345,0))</f>
        <v/>
      </c>
      <c r="F345" s="37">
        <f>IF(C345="","",B345+IF(E345&gt;0,0,0.5)+ROW()/10000000)</f>
        <v/>
      </c>
      <c r="G345">
        <f>IF(C345="","",'Daily Sale entry '!Q345&amp;IF('Daily Sale entry '!Q345="Collection 收款"," ("&amp;'Daily Sale entry '!R345&amp;")","")&amp;IF('Daily Sale entry '!U345="",""," - "&amp;'Daily Sale entry '!U345))</f>
        <v/>
      </c>
      <c r="H345">
        <f>IF(C345="","",COUNTIFS($C$2:$C$3001,C345,$F$2:$F$3001,"&lt;"&amp;F345)+1)</f>
        <v/>
      </c>
      <c r="I345">
        <f>IF(C345="","",C345&amp;"|"&amp;H345)</f>
        <v/>
      </c>
      <c r="J345" s="6">
        <f>IF(C345="","",IF(H345=1,SUMIFS('Opening Balance'!$F$4:$F$303,'Opening Balance'!$G$4:$G$303,C345),INDEX($L$2:$L$3001,MATCH(C345&amp;"|"&amp;(H345-1),$I$2:$I$3001,0))))</f>
        <v/>
      </c>
      <c r="K345" s="6">
        <f>IF(C345="","",IF(M345&gt;0,M345,IF(AND(E345&gt;0,ROUND(J345+D345-E345,2)&gt;0,ROUND(J345+D345-E345,2)&lt;'Opening Balance'!$B$14),ROUND(J345+D345-E345,2),0)))</f>
        <v/>
      </c>
      <c r="L345" s="6">
        <f>IF(C345="","",ROUND(J345+D345-E345-K345,2))</f>
        <v/>
      </c>
      <c r="M345" s="6">
        <f>IF(C345="","",IF('Daily Sale entry '!Q345="Collection 收款",ROUND(N('Daily Sale entry '!T345),2),0))</f>
        <v/>
      </c>
    </row>
    <row r="346">
      <c r="A346" t="inlineStr">
        <is>
          <t>Entry 记录</t>
        </is>
      </c>
      <c r="B346" s="5">
        <f>IF('Daily Sale entry '!P346="","",'Daily Sale entry '!O346)</f>
        <v/>
      </c>
      <c r="C346">
        <f>IF('Daily Sale entry '!P346="","",'Daily Sale entry '!P346)</f>
        <v/>
      </c>
      <c r="D346">
        <f>IF(C346="","",IF('Daily Sale entry '!Q346="Credit Sale 赊销",'Daily Sale entry '!S346,0))</f>
        <v/>
      </c>
      <c r="E346">
        <f>IF(C346="","",IF('Daily Sale entry '!Q346="Collection 收款",'Daily Sale entry '!S346,0))</f>
        <v/>
      </c>
      <c r="F346" s="37">
        <f>IF(C346="","",B346+IF(E346&gt;0,0,0.5)+ROW()/10000000)</f>
        <v/>
      </c>
      <c r="G346">
        <f>IF(C346="","",'Daily Sale entry '!Q346&amp;IF('Daily Sale entry '!Q346="Collection 收款"," ("&amp;'Daily Sale entry '!R346&amp;")","")&amp;IF('Daily Sale entry '!U346="",""," - "&amp;'Daily Sale entry '!U346))</f>
        <v/>
      </c>
      <c r="H346">
        <f>IF(C346="","",COUNTIFS($C$2:$C$3001,C346,$F$2:$F$3001,"&lt;"&amp;F346)+1)</f>
        <v/>
      </c>
      <c r="I346">
        <f>IF(C346="","",C346&amp;"|"&amp;H346)</f>
        <v/>
      </c>
      <c r="J346" s="6">
        <f>IF(C346="","",IF(H346=1,SUMIFS('Opening Balance'!$F$4:$F$303,'Opening Balance'!$G$4:$G$303,C346),INDEX($L$2:$L$3001,MATCH(C346&amp;"|"&amp;(H346-1),$I$2:$I$3001,0))))</f>
        <v/>
      </c>
      <c r="K346" s="6">
        <f>IF(C346="","",IF(M346&gt;0,M346,IF(AND(E346&gt;0,ROUND(J346+D346-E346,2)&gt;0,ROUND(J346+D346-E346,2)&lt;'Opening Balance'!$B$14),ROUND(J346+D346-E346,2),0)))</f>
        <v/>
      </c>
      <c r="L346" s="6">
        <f>IF(C346="","",ROUND(J346+D346-E346-K346,2))</f>
        <v/>
      </c>
      <c r="M346" s="6">
        <f>IF(C346="","",IF('Daily Sale entry '!Q346="Collection 收款",ROUND(N('Daily Sale entry '!T346),2),0))</f>
        <v/>
      </c>
    </row>
    <row r="347">
      <c r="A347" t="inlineStr">
        <is>
          <t>Entry 记录</t>
        </is>
      </c>
      <c r="B347" s="5">
        <f>IF('Daily Sale entry '!P347="","",'Daily Sale entry '!O347)</f>
        <v/>
      </c>
      <c r="C347">
        <f>IF('Daily Sale entry '!P347="","",'Daily Sale entry '!P347)</f>
        <v/>
      </c>
      <c r="D347">
        <f>IF(C347="","",IF('Daily Sale entry '!Q347="Credit Sale 赊销",'Daily Sale entry '!S347,0))</f>
        <v/>
      </c>
      <c r="E347">
        <f>IF(C347="","",IF('Daily Sale entry '!Q347="Collection 收款",'Daily Sale entry '!S347,0))</f>
        <v/>
      </c>
      <c r="F347" s="37">
        <f>IF(C347="","",B347+IF(E347&gt;0,0,0.5)+ROW()/10000000)</f>
        <v/>
      </c>
      <c r="G347">
        <f>IF(C347="","",'Daily Sale entry '!Q347&amp;IF('Daily Sale entry '!Q347="Collection 收款"," ("&amp;'Daily Sale entry '!R347&amp;")","")&amp;IF('Daily Sale entry '!U347="",""," - "&amp;'Daily Sale entry '!U347))</f>
        <v/>
      </c>
      <c r="H347">
        <f>IF(C347="","",COUNTIFS($C$2:$C$3001,C347,$F$2:$F$3001,"&lt;"&amp;F347)+1)</f>
        <v/>
      </c>
      <c r="I347">
        <f>IF(C347="","",C347&amp;"|"&amp;H347)</f>
        <v/>
      </c>
      <c r="J347" s="6">
        <f>IF(C347="","",IF(H347=1,SUMIFS('Opening Balance'!$F$4:$F$303,'Opening Balance'!$G$4:$G$303,C347),INDEX($L$2:$L$3001,MATCH(C347&amp;"|"&amp;(H347-1),$I$2:$I$3001,0))))</f>
        <v/>
      </c>
      <c r="K347" s="6">
        <f>IF(C347="","",IF(M347&gt;0,M347,IF(AND(E347&gt;0,ROUND(J347+D347-E347,2)&gt;0,ROUND(J347+D347-E347,2)&lt;'Opening Balance'!$B$14),ROUND(J347+D347-E347,2),0)))</f>
        <v/>
      </c>
      <c r="L347" s="6">
        <f>IF(C347="","",ROUND(J347+D347-E347-K347,2))</f>
        <v/>
      </c>
      <c r="M347" s="6">
        <f>IF(C347="","",IF('Daily Sale entry '!Q347="Collection 收款",ROUND(N('Daily Sale entry '!T347),2),0))</f>
        <v/>
      </c>
    </row>
    <row r="348">
      <c r="A348" t="inlineStr">
        <is>
          <t>Entry 记录</t>
        </is>
      </c>
      <c r="B348" s="5">
        <f>IF('Daily Sale entry '!P348="","",'Daily Sale entry '!O348)</f>
        <v/>
      </c>
      <c r="C348">
        <f>IF('Daily Sale entry '!P348="","",'Daily Sale entry '!P348)</f>
        <v/>
      </c>
      <c r="D348">
        <f>IF(C348="","",IF('Daily Sale entry '!Q348="Credit Sale 赊销",'Daily Sale entry '!S348,0))</f>
        <v/>
      </c>
      <c r="E348">
        <f>IF(C348="","",IF('Daily Sale entry '!Q348="Collection 收款",'Daily Sale entry '!S348,0))</f>
        <v/>
      </c>
      <c r="F348" s="37">
        <f>IF(C348="","",B348+IF(E348&gt;0,0,0.5)+ROW()/10000000)</f>
        <v/>
      </c>
      <c r="G348">
        <f>IF(C348="","",'Daily Sale entry '!Q348&amp;IF('Daily Sale entry '!Q348="Collection 收款"," ("&amp;'Daily Sale entry '!R348&amp;")","")&amp;IF('Daily Sale entry '!U348="",""," - "&amp;'Daily Sale entry '!U348))</f>
        <v/>
      </c>
      <c r="H348">
        <f>IF(C348="","",COUNTIFS($C$2:$C$3001,C348,$F$2:$F$3001,"&lt;"&amp;F348)+1)</f>
        <v/>
      </c>
      <c r="I348">
        <f>IF(C348="","",C348&amp;"|"&amp;H348)</f>
        <v/>
      </c>
      <c r="J348" s="6">
        <f>IF(C348="","",IF(H348=1,SUMIFS('Opening Balance'!$F$4:$F$303,'Opening Balance'!$G$4:$G$303,C348),INDEX($L$2:$L$3001,MATCH(C348&amp;"|"&amp;(H348-1),$I$2:$I$3001,0))))</f>
        <v/>
      </c>
      <c r="K348" s="6">
        <f>IF(C348="","",IF(M348&gt;0,M348,IF(AND(E348&gt;0,ROUND(J348+D348-E348,2)&gt;0,ROUND(J348+D348-E348,2)&lt;'Opening Balance'!$B$14),ROUND(J348+D348-E348,2),0)))</f>
        <v/>
      </c>
      <c r="L348" s="6">
        <f>IF(C348="","",ROUND(J348+D348-E348-K348,2))</f>
        <v/>
      </c>
      <c r="M348" s="6">
        <f>IF(C348="","",IF('Daily Sale entry '!Q348="Collection 收款",ROUND(N('Daily Sale entry '!T348),2),0))</f>
        <v/>
      </c>
    </row>
    <row r="349">
      <c r="A349" t="inlineStr">
        <is>
          <t>Entry 记录</t>
        </is>
      </c>
      <c r="B349" s="5">
        <f>IF('Daily Sale entry '!P349="","",'Daily Sale entry '!O349)</f>
        <v/>
      </c>
      <c r="C349">
        <f>IF('Daily Sale entry '!P349="","",'Daily Sale entry '!P349)</f>
        <v/>
      </c>
      <c r="D349">
        <f>IF(C349="","",IF('Daily Sale entry '!Q349="Credit Sale 赊销",'Daily Sale entry '!S349,0))</f>
        <v/>
      </c>
      <c r="E349">
        <f>IF(C349="","",IF('Daily Sale entry '!Q349="Collection 收款",'Daily Sale entry '!S349,0))</f>
        <v/>
      </c>
      <c r="F349" s="37">
        <f>IF(C349="","",B349+IF(E349&gt;0,0,0.5)+ROW()/10000000)</f>
        <v/>
      </c>
      <c r="G349">
        <f>IF(C349="","",'Daily Sale entry '!Q349&amp;IF('Daily Sale entry '!Q349="Collection 收款"," ("&amp;'Daily Sale entry '!R349&amp;")","")&amp;IF('Daily Sale entry '!U349="",""," - "&amp;'Daily Sale entry '!U349))</f>
        <v/>
      </c>
      <c r="H349">
        <f>IF(C349="","",COUNTIFS($C$2:$C$3001,C349,$F$2:$F$3001,"&lt;"&amp;F349)+1)</f>
        <v/>
      </c>
      <c r="I349">
        <f>IF(C349="","",C349&amp;"|"&amp;H349)</f>
        <v/>
      </c>
      <c r="J349" s="6">
        <f>IF(C349="","",IF(H349=1,SUMIFS('Opening Balance'!$F$4:$F$303,'Opening Balance'!$G$4:$G$303,C349),INDEX($L$2:$L$3001,MATCH(C349&amp;"|"&amp;(H349-1),$I$2:$I$3001,0))))</f>
        <v/>
      </c>
      <c r="K349" s="6">
        <f>IF(C349="","",IF(M349&gt;0,M349,IF(AND(E349&gt;0,ROUND(J349+D349-E349,2)&gt;0,ROUND(J349+D349-E349,2)&lt;'Opening Balance'!$B$14),ROUND(J349+D349-E349,2),0)))</f>
        <v/>
      </c>
      <c r="L349" s="6">
        <f>IF(C349="","",ROUND(J349+D349-E349-K349,2))</f>
        <v/>
      </c>
      <c r="M349" s="6">
        <f>IF(C349="","",IF('Daily Sale entry '!Q349="Collection 收款",ROUND(N('Daily Sale entry '!T349),2),0))</f>
        <v/>
      </c>
    </row>
    <row r="350">
      <c r="A350" t="inlineStr">
        <is>
          <t>Entry 记录</t>
        </is>
      </c>
      <c r="B350" s="5">
        <f>IF('Daily Sale entry '!P350="","",'Daily Sale entry '!O350)</f>
        <v/>
      </c>
      <c r="C350">
        <f>IF('Daily Sale entry '!P350="","",'Daily Sale entry '!P350)</f>
        <v/>
      </c>
      <c r="D350">
        <f>IF(C350="","",IF('Daily Sale entry '!Q350="Credit Sale 赊销",'Daily Sale entry '!S350,0))</f>
        <v/>
      </c>
      <c r="E350">
        <f>IF(C350="","",IF('Daily Sale entry '!Q350="Collection 收款",'Daily Sale entry '!S350,0))</f>
        <v/>
      </c>
      <c r="F350" s="37">
        <f>IF(C350="","",B350+IF(E350&gt;0,0,0.5)+ROW()/10000000)</f>
        <v/>
      </c>
      <c r="G350">
        <f>IF(C350="","",'Daily Sale entry '!Q350&amp;IF('Daily Sale entry '!Q350="Collection 收款"," ("&amp;'Daily Sale entry '!R350&amp;")","")&amp;IF('Daily Sale entry '!U350="",""," - "&amp;'Daily Sale entry '!U350))</f>
        <v/>
      </c>
      <c r="H350">
        <f>IF(C350="","",COUNTIFS($C$2:$C$3001,C350,$F$2:$F$3001,"&lt;"&amp;F350)+1)</f>
        <v/>
      </c>
      <c r="I350">
        <f>IF(C350="","",C350&amp;"|"&amp;H350)</f>
        <v/>
      </c>
      <c r="J350" s="6">
        <f>IF(C350="","",IF(H350=1,SUMIFS('Opening Balance'!$F$4:$F$303,'Opening Balance'!$G$4:$G$303,C350),INDEX($L$2:$L$3001,MATCH(C350&amp;"|"&amp;(H350-1),$I$2:$I$3001,0))))</f>
        <v/>
      </c>
      <c r="K350" s="6">
        <f>IF(C350="","",IF(M350&gt;0,M350,IF(AND(E350&gt;0,ROUND(J350+D350-E350,2)&gt;0,ROUND(J350+D350-E350,2)&lt;'Opening Balance'!$B$14),ROUND(J350+D350-E350,2),0)))</f>
        <v/>
      </c>
      <c r="L350" s="6">
        <f>IF(C350="","",ROUND(J350+D350-E350-K350,2))</f>
        <v/>
      </c>
      <c r="M350" s="6">
        <f>IF(C350="","",IF('Daily Sale entry '!Q350="Collection 收款",ROUND(N('Daily Sale entry '!T350),2),0))</f>
        <v/>
      </c>
    </row>
    <row r="351">
      <c r="A351" t="inlineStr">
        <is>
          <t>Entry 记录</t>
        </is>
      </c>
      <c r="B351" s="5">
        <f>IF('Daily Sale entry '!P351="","",'Daily Sale entry '!O351)</f>
        <v/>
      </c>
      <c r="C351">
        <f>IF('Daily Sale entry '!P351="","",'Daily Sale entry '!P351)</f>
        <v/>
      </c>
      <c r="D351">
        <f>IF(C351="","",IF('Daily Sale entry '!Q351="Credit Sale 赊销",'Daily Sale entry '!S351,0))</f>
        <v/>
      </c>
      <c r="E351">
        <f>IF(C351="","",IF('Daily Sale entry '!Q351="Collection 收款",'Daily Sale entry '!S351,0))</f>
        <v/>
      </c>
      <c r="F351" s="37">
        <f>IF(C351="","",B351+IF(E351&gt;0,0,0.5)+ROW()/10000000)</f>
        <v/>
      </c>
      <c r="G351">
        <f>IF(C351="","",'Daily Sale entry '!Q351&amp;IF('Daily Sale entry '!Q351="Collection 收款"," ("&amp;'Daily Sale entry '!R351&amp;")","")&amp;IF('Daily Sale entry '!U351="",""," - "&amp;'Daily Sale entry '!U351))</f>
        <v/>
      </c>
      <c r="H351">
        <f>IF(C351="","",COUNTIFS($C$2:$C$3001,C351,$F$2:$F$3001,"&lt;"&amp;F351)+1)</f>
        <v/>
      </c>
      <c r="I351">
        <f>IF(C351="","",C351&amp;"|"&amp;H351)</f>
        <v/>
      </c>
      <c r="J351" s="6">
        <f>IF(C351="","",IF(H351=1,SUMIFS('Opening Balance'!$F$4:$F$303,'Opening Balance'!$G$4:$G$303,C351),INDEX($L$2:$L$3001,MATCH(C351&amp;"|"&amp;(H351-1),$I$2:$I$3001,0))))</f>
        <v/>
      </c>
      <c r="K351" s="6">
        <f>IF(C351="","",IF(M351&gt;0,M351,IF(AND(E351&gt;0,ROUND(J351+D351-E351,2)&gt;0,ROUND(J351+D351-E351,2)&lt;'Opening Balance'!$B$14),ROUND(J351+D351-E351,2),0)))</f>
        <v/>
      </c>
      <c r="L351" s="6">
        <f>IF(C351="","",ROUND(J351+D351-E351-K351,2))</f>
        <v/>
      </c>
      <c r="M351" s="6">
        <f>IF(C351="","",IF('Daily Sale entry '!Q351="Collection 收款",ROUND(N('Daily Sale entry '!T351),2),0))</f>
        <v/>
      </c>
    </row>
    <row r="352">
      <c r="A352" t="inlineStr">
        <is>
          <t>Entry 记录</t>
        </is>
      </c>
      <c r="B352" s="5">
        <f>IF('Daily Sale entry '!P352="","",'Daily Sale entry '!O352)</f>
        <v/>
      </c>
      <c r="C352">
        <f>IF('Daily Sale entry '!P352="","",'Daily Sale entry '!P352)</f>
        <v/>
      </c>
      <c r="D352">
        <f>IF(C352="","",IF('Daily Sale entry '!Q352="Credit Sale 赊销",'Daily Sale entry '!S352,0))</f>
        <v/>
      </c>
      <c r="E352">
        <f>IF(C352="","",IF('Daily Sale entry '!Q352="Collection 收款",'Daily Sale entry '!S352,0))</f>
        <v/>
      </c>
      <c r="F352" s="37">
        <f>IF(C352="","",B352+IF(E352&gt;0,0,0.5)+ROW()/10000000)</f>
        <v/>
      </c>
      <c r="G352">
        <f>IF(C352="","",'Daily Sale entry '!Q352&amp;IF('Daily Sale entry '!Q352="Collection 收款"," ("&amp;'Daily Sale entry '!R352&amp;")","")&amp;IF('Daily Sale entry '!U352="",""," - "&amp;'Daily Sale entry '!U352))</f>
        <v/>
      </c>
      <c r="H352">
        <f>IF(C352="","",COUNTIFS($C$2:$C$3001,C352,$F$2:$F$3001,"&lt;"&amp;F352)+1)</f>
        <v/>
      </c>
      <c r="I352">
        <f>IF(C352="","",C352&amp;"|"&amp;H352)</f>
        <v/>
      </c>
      <c r="J352" s="6">
        <f>IF(C352="","",IF(H352=1,SUMIFS('Opening Balance'!$F$4:$F$303,'Opening Balance'!$G$4:$G$303,C352),INDEX($L$2:$L$3001,MATCH(C352&amp;"|"&amp;(H352-1),$I$2:$I$3001,0))))</f>
        <v/>
      </c>
      <c r="K352" s="6">
        <f>IF(C352="","",IF(M352&gt;0,M352,IF(AND(E352&gt;0,ROUND(J352+D352-E352,2)&gt;0,ROUND(J352+D352-E352,2)&lt;'Opening Balance'!$B$14),ROUND(J352+D352-E352,2),0)))</f>
        <v/>
      </c>
      <c r="L352" s="6">
        <f>IF(C352="","",ROUND(J352+D352-E352-K352,2))</f>
        <v/>
      </c>
      <c r="M352" s="6">
        <f>IF(C352="","",IF('Daily Sale entry '!Q352="Collection 收款",ROUND(N('Daily Sale entry '!T352),2),0))</f>
        <v/>
      </c>
    </row>
    <row r="353">
      <c r="A353" t="inlineStr">
        <is>
          <t>Entry 记录</t>
        </is>
      </c>
      <c r="B353" s="5">
        <f>IF('Daily Sale entry '!P353="","",'Daily Sale entry '!O353)</f>
        <v/>
      </c>
      <c r="C353">
        <f>IF('Daily Sale entry '!P353="","",'Daily Sale entry '!P353)</f>
        <v/>
      </c>
      <c r="D353">
        <f>IF(C353="","",IF('Daily Sale entry '!Q353="Credit Sale 赊销",'Daily Sale entry '!S353,0))</f>
        <v/>
      </c>
      <c r="E353">
        <f>IF(C353="","",IF('Daily Sale entry '!Q353="Collection 收款",'Daily Sale entry '!S353,0))</f>
        <v/>
      </c>
      <c r="F353" s="37">
        <f>IF(C353="","",B353+IF(E353&gt;0,0,0.5)+ROW()/10000000)</f>
        <v/>
      </c>
      <c r="G353">
        <f>IF(C353="","",'Daily Sale entry '!Q353&amp;IF('Daily Sale entry '!Q353="Collection 收款"," ("&amp;'Daily Sale entry '!R353&amp;")","")&amp;IF('Daily Sale entry '!U353="",""," - "&amp;'Daily Sale entry '!U353))</f>
        <v/>
      </c>
      <c r="H353">
        <f>IF(C353="","",COUNTIFS($C$2:$C$3001,C353,$F$2:$F$3001,"&lt;"&amp;F353)+1)</f>
        <v/>
      </c>
      <c r="I353">
        <f>IF(C353="","",C353&amp;"|"&amp;H353)</f>
        <v/>
      </c>
      <c r="J353" s="6">
        <f>IF(C353="","",IF(H353=1,SUMIFS('Opening Balance'!$F$4:$F$303,'Opening Balance'!$G$4:$G$303,C353),INDEX($L$2:$L$3001,MATCH(C353&amp;"|"&amp;(H353-1),$I$2:$I$3001,0))))</f>
        <v/>
      </c>
      <c r="K353" s="6">
        <f>IF(C353="","",IF(M353&gt;0,M353,IF(AND(E353&gt;0,ROUND(J353+D353-E353,2)&gt;0,ROUND(J353+D353-E353,2)&lt;'Opening Balance'!$B$14),ROUND(J353+D353-E353,2),0)))</f>
        <v/>
      </c>
      <c r="L353" s="6">
        <f>IF(C353="","",ROUND(J353+D353-E353-K353,2))</f>
        <v/>
      </c>
      <c r="M353" s="6">
        <f>IF(C353="","",IF('Daily Sale entry '!Q353="Collection 收款",ROUND(N('Daily Sale entry '!T353),2),0))</f>
        <v/>
      </c>
    </row>
    <row r="354">
      <c r="A354" t="inlineStr">
        <is>
          <t>Entry 记录</t>
        </is>
      </c>
      <c r="B354" s="5">
        <f>IF('Daily Sale entry '!P354="","",'Daily Sale entry '!O354)</f>
        <v/>
      </c>
      <c r="C354">
        <f>IF('Daily Sale entry '!P354="","",'Daily Sale entry '!P354)</f>
        <v/>
      </c>
      <c r="D354">
        <f>IF(C354="","",IF('Daily Sale entry '!Q354="Credit Sale 赊销",'Daily Sale entry '!S354,0))</f>
        <v/>
      </c>
      <c r="E354">
        <f>IF(C354="","",IF('Daily Sale entry '!Q354="Collection 收款",'Daily Sale entry '!S354,0))</f>
        <v/>
      </c>
      <c r="F354" s="37">
        <f>IF(C354="","",B354+IF(E354&gt;0,0,0.5)+ROW()/10000000)</f>
        <v/>
      </c>
      <c r="G354">
        <f>IF(C354="","",'Daily Sale entry '!Q354&amp;IF('Daily Sale entry '!Q354="Collection 收款"," ("&amp;'Daily Sale entry '!R354&amp;")","")&amp;IF('Daily Sale entry '!U354="",""," - "&amp;'Daily Sale entry '!U354))</f>
        <v/>
      </c>
      <c r="H354">
        <f>IF(C354="","",COUNTIFS($C$2:$C$3001,C354,$F$2:$F$3001,"&lt;"&amp;F354)+1)</f>
        <v/>
      </c>
      <c r="I354">
        <f>IF(C354="","",C354&amp;"|"&amp;H354)</f>
        <v/>
      </c>
      <c r="J354" s="6">
        <f>IF(C354="","",IF(H354=1,SUMIFS('Opening Balance'!$F$4:$F$303,'Opening Balance'!$G$4:$G$303,C354),INDEX($L$2:$L$3001,MATCH(C354&amp;"|"&amp;(H354-1),$I$2:$I$3001,0))))</f>
        <v/>
      </c>
      <c r="K354" s="6">
        <f>IF(C354="","",IF(M354&gt;0,M354,IF(AND(E354&gt;0,ROUND(J354+D354-E354,2)&gt;0,ROUND(J354+D354-E354,2)&lt;'Opening Balance'!$B$14),ROUND(J354+D354-E354,2),0)))</f>
        <v/>
      </c>
      <c r="L354" s="6">
        <f>IF(C354="","",ROUND(J354+D354-E354-K354,2))</f>
        <v/>
      </c>
      <c r="M354" s="6">
        <f>IF(C354="","",IF('Daily Sale entry '!Q354="Collection 收款",ROUND(N('Daily Sale entry '!T354),2),0))</f>
        <v/>
      </c>
    </row>
    <row r="355">
      <c r="A355" t="inlineStr">
        <is>
          <t>Entry 记录</t>
        </is>
      </c>
      <c r="B355" s="5">
        <f>IF('Daily Sale entry '!P355="","",'Daily Sale entry '!O355)</f>
        <v/>
      </c>
      <c r="C355">
        <f>IF('Daily Sale entry '!P355="","",'Daily Sale entry '!P355)</f>
        <v/>
      </c>
      <c r="D355">
        <f>IF(C355="","",IF('Daily Sale entry '!Q355="Credit Sale 赊销",'Daily Sale entry '!S355,0))</f>
        <v/>
      </c>
      <c r="E355">
        <f>IF(C355="","",IF('Daily Sale entry '!Q355="Collection 收款",'Daily Sale entry '!S355,0))</f>
        <v/>
      </c>
      <c r="F355" s="37">
        <f>IF(C355="","",B355+IF(E355&gt;0,0,0.5)+ROW()/10000000)</f>
        <v/>
      </c>
      <c r="G355">
        <f>IF(C355="","",'Daily Sale entry '!Q355&amp;IF('Daily Sale entry '!Q355="Collection 收款"," ("&amp;'Daily Sale entry '!R355&amp;")","")&amp;IF('Daily Sale entry '!U355="",""," - "&amp;'Daily Sale entry '!U355))</f>
        <v/>
      </c>
      <c r="H355">
        <f>IF(C355="","",COUNTIFS($C$2:$C$3001,C355,$F$2:$F$3001,"&lt;"&amp;F355)+1)</f>
        <v/>
      </c>
      <c r="I355">
        <f>IF(C355="","",C355&amp;"|"&amp;H355)</f>
        <v/>
      </c>
      <c r="J355" s="6">
        <f>IF(C355="","",IF(H355=1,SUMIFS('Opening Balance'!$F$4:$F$303,'Opening Balance'!$G$4:$G$303,C355),INDEX($L$2:$L$3001,MATCH(C355&amp;"|"&amp;(H355-1),$I$2:$I$3001,0))))</f>
        <v/>
      </c>
      <c r="K355" s="6">
        <f>IF(C355="","",IF(M355&gt;0,M355,IF(AND(E355&gt;0,ROUND(J355+D355-E355,2)&gt;0,ROUND(J355+D355-E355,2)&lt;'Opening Balance'!$B$14),ROUND(J355+D355-E355,2),0)))</f>
        <v/>
      </c>
      <c r="L355" s="6">
        <f>IF(C355="","",ROUND(J355+D355-E355-K355,2))</f>
        <v/>
      </c>
      <c r="M355" s="6">
        <f>IF(C355="","",IF('Daily Sale entry '!Q355="Collection 收款",ROUND(N('Daily Sale entry '!T355),2),0))</f>
        <v/>
      </c>
    </row>
    <row r="356">
      <c r="A356" t="inlineStr">
        <is>
          <t>Entry 记录</t>
        </is>
      </c>
      <c r="B356" s="5">
        <f>IF('Daily Sale entry '!P356="","",'Daily Sale entry '!O356)</f>
        <v/>
      </c>
      <c r="C356">
        <f>IF('Daily Sale entry '!P356="","",'Daily Sale entry '!P356)</f>
        <v/>
      </c>
      <c r="D356">
        <f>IF(C356="","",IF('Daily Sale entry '!Q356="Credit Sale 赊销",'Daily Sale entry '!S356,0))</f>
        <v/>
      </c>
      <c r="E356">
        <f>IF(C356="","",IF('Daily Sale entry '!Q356="Collection 收款",'Daily Sale entry '!S356,0))</f>
        <v/>
      </c>
      <c r="F356" s="37">
        <f>IF(C356="","",B356+IF(E356&gt;0,0,0.5)+ROW()/10000000)</f>
        <v/>
      </c>
      <c r="G356">
        <f>IF(C356="","",'Daily Sale entry '!Q356&amp;IF('Daily Sale entry '!Q356="Collection 收款"," ("&amp;'Daily Sale entry '!R356&amp;")","")&amp;IF('Daily Sale entry '!U356="",""," - "&amp;'Daily Sale entry '!U356))</f>
        <v/>
      </c>
      <c r="H356">
        <f>IF(C356="","",COUNTIFS($C$2:$C$3001,C356,$F$2:$F$3001,"&lt;"&amp;F356)+1)</f>
        <v/>
      </c>
      <c r="I356">
        <f>IF(C356="","",C356&amp;"|"&amp;H356)</f>
        <v/>
      </c>
      <c r="J356" s="6">
        <f>IF(C356="","",IF(H356=1,SUMIFS('Opening Balance'!$F$4:$F$303,'Opening Balance'!$G$4:$G$303,C356),INDEX($L$2:$L$3001,MATCH(C356&amp;"|"&amp;(H356-1),$I$2:$I$3001,0))))</f>
        <v/>
      </c>
      <c r="K356" s="6">
        <f>IF(C356="","",IF(M356&gt;0,M356,IF(AND(E356&gt;0,ROUND(J356+D356-E356,2)&gt;0,ROUND(J356+D356-E356,2)&lt;'Opening Balance'!$B$14),ROUND(J356+D356-E356,2),0)))</f>
        <v/>
      </c>
      <c r="L356" s="6">
        <f>IF(C356="","",ROUND(J356+D356-E356-K356,2))</f>
        <v/>
      </c>
      <c r="M356" s="6">
        <f>IF(C356="","",IF('Daily Sale entry '!Q356="Collection 收款",ROUND(N('Daily Sale entry '!T356),2),0))</f>
        <v/>
      </c>
    </row>
    <row r="357">
      <c r="A357" t="inlineStr">
        <is>
          <t>Entry 记录</t>
        </is>
      </c>
      <c r="B357" s="5">
        <f>IF('Daily Sale entry '!P357="","",'Daily Sale entry '!O357)</f>
        <v/>
      </c>
      <c r="C357">
        <f>IF('Daily Sale entry '!P357="","",'Daily Sale entry '!P357)</f>
        <v/>
      </c>
      <c r="D357">
        <f>IF(C357="","",IF('Daily Sale entry '!Q357="Credit Sale 赊销",'Daily Sale entry '!S357,0))</f>
        <v/>
      </c>
      <c r="E357">
        <f>IF(C357="","",IF('Daily Sale entry '!Q357="Collection 收款",'Daily Sale entry '!S357,0))</f>
        <v/>
      </c>
      <c r="F357" s="37">
        <f>IF(C357="","",B357+IF(E357&gt;0,0,0.5)+ROW()/10000000)</f>
        <v/>
      </c>
      <c r="G357">
        <f>IF(C357="","",'Daily Sale entry '!Q357&amp;IF('Daily Sale entry '!Q357="Collection 收款"," ("&amp;'Daily Sale entry '!R357&amp;")","")&amp;IF('Daily Sale entry '!U357="",""," - "&amp;'Daily Sale entry '!U357))</f>
        <v/>
      </c>
      <c r="H357">
        <f>IF(C357="","",COUNTIFS($C$2:$C$3001,C357,$F$2:$F$3001,"&lt;"&amp;F357)+1)</f>
        <v/>
      </c>
      <c r="I357">
        <f>IF(C357="","",C357&amp;"|"&amp;H357)</f>
        <v/>
      </c>
      <c r="J357" s="6">
        <f>IF(C357="","",IF(H357=1,SUMIFS('Opening Balance'!$F$4:$F$303,'Opening Balance'!$G$4:$G$303,C357),INDEX($L$2:$L$3001,MATCH(C357&amp;"|"&amp;(H357-1),$I$2:$I$3001,0))))</f>
        <v/>
      </c>
      <c r="K357" s="6">
        <f>IF(C357="","",IF(M357&gt;0,M357,IF(AND(E357&gt;0,ROUND(J357+D357-E357,2)&gt;0,ROUND(J357+D357-E357,2)&lt;'Opening Balance'!$B$14),ROUND(J357+D357-E357,2),0)))</f>
        <v/>
      </c>
      <c r="L357" s="6">
        <f>IF(C357="","",ROUND(J357+D357-E357-K357,2))</f>
        <v/>
      </c>
      <c r="M357" s="6">
        <f>IF(C357="","",IF('Daily Sale entry '!Q357="Collection 收款",ROUND(N('Daily Sale entry '!T357),2),0))</f>
        <v/>
      </c>
    </row>
    <row r="358">
      <c r="A358" t="inlineStr">
        <is>
          <t>Entry 记录</t>
        </is>
      </c>
      <c r="B358" s="5">
        <f>IF('Daily Sale entry '!P358="","",'Daily Sale entry '!O358)</f>
        <v/>
      </c>
      <c r="C358">
        <f>IF('Daily Sale entry '!P358="","",'Daily Sale entry '!P358)</f>
        <v/>
      </c>
      <c r="D358">
        <f>IF(C358="","",IF('Daily Sale entry '!Q358="Credit Sale 赊销",'Daily Sale entry '!S358,0))</f>
        <v/>
      </c>
      <c r="E358">
        <f>IF(C358="","",IF('Daily Sale entry '!Q358="Collection 收款",'Daily Sale entry '!S358,0))</f>
        <v/>
      </c>
      <c r="F358" s="37">
        <f>IF(C358="","",B358+IF(E358&gt;0,0,0.5)+ROW()/10000000)</f>
        <v/>
      </c>
      <c r="G358">
        <f>IF(C358="","",'Daily Sale entry '!Q358&amp;IF('Daily Sale entry '!Q358="Collection 收款"," ("&amp;'Daily Sale entry '!R358&amp;")","")&amp;IF('Daily Sale entry '!U358="",""," - "&amp;'Daily Sale entry '!U358))</f>
        <v/>
      </c>
      <c r="H358">
        <f>IF(C358="","",COUNTIFS($C$2:$C$3001,C358,$F$2:$F$3001,"&lt;"&amp;F358)+1)</f>
        <v/>
      </c>
      <c r="I358">
        <f>IF(C358="","",C358&amp;"|"&amp;H358)</f>
        <v/>
      </c>
      <c r="J358" s="6">
        <f>IF(C358="","",IF(H358=1,SUMIFS('Opening Balance'!$F$4:$F$303,'Opening Balance'!$G$4:$G$303,C358),INDEX($L$2:$L$3001,MATCH(C358&amp;"|"&amp;(H358-1),$I$2:$I$3001,0))))</f>
        <v/>
      </c>
      <c r="K358" s="6">
        <f>IF(C358="","",IF(M358&gt;0,M358,IF(AND(E358&gt;0,ROUND(J358+D358-E358,2)&gt;0,ROUND(J358+D358-E358,2)&lt;'Opening Balance'!$B$14),ROUND(J358+D358-E358,2),0)))</f>
        <v/>
      </c>
      <c r="L358" s="6">
        <f>IF(C358="","",ROUND(J358+D358-E358-K358,2))</f>
        <v/>
      </c>
      <c r="M358" s="6">
        <f>IF(C358="","",IF('Daily Sale entry '!Q358="Collection 收款",ROUND(N('Daily Sale entry '!T358),2),0))</f>
        <v/>
      </c>
    </row>
    <row r="359">
      <c r="A359" t="inlineStr">
        <is>
          <t>Entry 记录</t>
        </is>
      </c>
      <c r="B359" s="5">
        <f>IF('Daily Sale entry '!P359="","",'Daily Sale entry '!O359)</f>
        <v/>
      </c>
      <c r="C359">
        <f>IF('Daily Sale entry '!P359="","",'Daily Sale entry '!P359)</f>
        <v/>
      </c>
      <c r="D359">
        <f>IF(C359="","",IF('Daily Sale entry '!Q359="Credit Sale 赊销",'Daily Sale entry '!S359,0))</f>
        <v/>
      </c>
      <c r="E359">
        <f>IF(C359="","",IF('Daily Sale entry '!Q359="Collection 收款",'Daily Sale entry '!S359,0))</f>
        <v/>
      </c>
      <c r="F359" s="37">
        <f>IF(C359="","",B359+IF(E359&gt;0,0,0.5)+ROW()/10000000)</f>
        <v/>
      </c>
      <c r="G359">
        <f>IF(C359="","",'Daily Sale entry '!Q359&amp;IF('Daily Sale entry '!Q359="Collection 收款"," ("&amp;'Daily Sale entry '!R359&amp;")","")&amp;IF('Daily Sale entry '!U359="",""," - "&amp;'Daily Sale entry '!U359))</f>
        <v/>
      </c>
      <c r="H359">
        <f>IF(C359="","",COUNTIFS($C$2:$C$3001,C359,$F$2:$F$3001,"&lt;"&amp;F359)+1)</f>
        <v/>
      </c>
      <c r="I359">
        <f>IF(C359="","",C359&amp;"|"&amp;H359)</f>
        <v/>
      </c>
      <c r="J359" s="6">
        <f>IF(C359="","",IF(H359=1,SUMIFS('Opening Balance'!$F$4:$F$303,'Opening Balance'!$G$4:$G$303,C359),INDEX($L$2:$L$3001,MATCH(C359&amp;"|"&amp;(H359-1),$I$2:$I$3001,0))))</f>
        <v/>
      </c>
      <c r="K359" s="6">
        <f>IF(C359="","",IF(M359&gt;0,M359,IF(AND(E359&gt;0,ROUND(J359+D359-E359,2)&gt;0,ROUND(J359+D359-E359,2)&lt;'Opening Balance'!$B$14),ROUND(J359+D359-E359,2),0)))</f>
        <v/>
      </c>
      <c r="L359" s="6">
        <f>IF(C359="","",ROUND(J359+D359-E359-K359,2))</f>
        <v/>
      </c>
      <c r="M359" s="6">
        <f>IF(C359="","",IF('Daily Sale entry '!Q359="Collection 收款",ROUND(N('Daily Sale entry '!T359),2),0))</f>
        <v/>
      </c>
    </row>
    <row r="360">
      <c r="A360" t="inlineStr">
        <is>
          <t>Entry 记录</t>
        </is>
      </c>
      <c r="B360" s="5">
        <f>IF('Daily Sale entry '!P360="","",'Daily Sale entry '!O360)</f>
        <v/>
      </c>
      <c r="C360">
        <f>IF('Daily Sale entry '!P360="","",'Daily Sale entry '!P360)</f>
        <v/>
      </c>
      <c r="D360">
        <f>IF(C360="","",IF('Daily Sale entry '!Q360="Credit Sale 赊销",'Daily Sale entry '!S360,0))</f>
        <v/>
      </c>
      <c r="E360">
        <f>IF(C360="","",IF('Daily Sale entry '!Q360="Collection 收款",'Daily Sale entry '!S360,0))</f>
        <v/>
      </c>
      <c r="F360" s="37">
        <f>IF(C360="","",B360+IF(E360&gt;0,0,0.5)+ROW()/10000000)</f>
        <v/>
      </c>
      <c r="G360">
        <f>IF(C360="","",'Daily Sale entry '!Q360&amp;IF('Daily Sale entry '!Q360="Collection 收款"," ("&amp;'Daily Sale entry '!R360&amp;")","")&amp;IF('Daily Sale entry '!U360="",""," - "&amp;'Daily Sale entry '!U360))</f>
        <v/>
      </c>
      <c r="H360">
        <f>IF(C360="","",COUNTIFS($C$2:$C$3001,C360,$F$2:$F$3001,"&lt;"&amp;F360)+1)</f>
        <v/>
      </c>
      <c r="I360">
        <f>IF(C360="","",C360&amp;"|"&amp;H360)</f>
        <v/>
      </c>
      <c r="J360" s="6">
        <f>IF(C360="","",IF(H360=1,SUMIFS('Opening Balance'!$F$4:$F$303,'Opening Balance'!$G$4:$G$303,C360),INDEX($L$2:$L$3001,MATCH(C360&amp;"|"&amp;(H360-1),$I$2:$I$3001,0))))</f>
        <v/>
      </c>
      <c r="K360" s="6">
        <f>IF(C360="","",IF(M360&gt;0,M360,IF(AND(E360&gt;0,ROUND(J360+D360-E360,2)&gt;0,ROUND(J360+D360-E360,2)&lt;'Opening Balance'!$B$14),ROUND(J360+D360-E360,2),0)))</f>
        <v/>
      </c>
      <c r="L360" s="6">
        <f>IF(C360="","",ROUND(J360+D360-E360-K360,2))</f>
        <v/>
      </c>
      <c r="M360" s="6">
        <f>IF(C360="","",IF('Daily Sale entry '!Q360="Collection 收款",ROUND(N('Daily Sale entry '!T360),2),0))</f>
        <v/>
      </c>
    </row>
    <row r="361">
      <c r="A361" t="inlineStr">
        <is>
          <t>Entry 记录</t>
        </is>
      </c>
      <c r="B361" s="5">
        <f>IF('Daily Sale entry '!P361="","",'Daily Sale entry '!O361)</f>
        <v/>
      </c>
      <c r="C361">
        <f>IF('Daily Sale entry '!P361="","",'Daily Sale entry '!P361)</f>
        <v/>
      </c>
      <c r="D361">
        <f>IF(C361="","",IF('Daily Sale entry '!Q361="Credit Sale 赊销",'Daily Sale entry '!S361,0))</f>
        <v/>
      </c>
      <c r="E361">
        <f>IF(C361="","",IF('Daily Sale entry '!Q361="Collection 收款",'Daily Sale entry '!S361,0))</f>
        <v/>
      </c>
      <c r="F361" s="37">
        <f>IF(C361="","",B361+IF(E361&gt;0,0,0.5)+ROW()/10000000)</f>
        <v/>
      </c>
      <c r="G361">
        <f>IF(C361="","",'Daily Sale entry '!Q361&amp;IF('Daily Sale entry '!Q361="Collection 收款"," ("&amp;'Daily Sale entry '!R361&amp;")","")&amp;IF('Daily Sale entry '!U361="",""," - "&amp;'Daily Sale entry '!U361))</f>
        <v/>
      </c>
      <c r="H361">
        <f>IF(C361="","",COUNTIFS($C$2:$C$3001,C361,$F$2:$F$3001,"&lt;"&amp;F361)+1)</f>
        <v/>
      </c>
      <c r="I361">
        <f>IF(C361="","",C361&amp;"|"&amp;H361)</f>
        <v/>
      </c>
      <c r="J361" s="6">
        <f>IF(C361="","",IF(H361=1,SUMIFS('Opening Balance'!$F$4:$F$303,'Opening Balance'!$G$4:$G$303,C361),INDEX($L$2:$L$3001,MATCH(C361&amp;"|"&amp;(H361-1),$I$2:$I$3001,0))))</f>
        <v/>
      </c>
      <c r="K361" s="6">
        <f>IF(C361="","",IF(M361&gt;0,M361,IF(AND(E361&gt;0,ROUND(J361+D361-E361,2)&gt;0,ROUND(J361+D361-E361,2)&lt;'Opening Balance'!$B$14),ROUND(J361+D361-E361,2),0)))</f>
        <v/>
      </c>
      <c r="L361" s="6">
        <f>IF(C361="","",ROUND(J361+D361-E361-K361,2))</f>
        <v/>
      </c>
      <c r="M361" s="6">
        <f>IF(C361="","",IF('Daily Sale entry '!Q361="Collection 收款",ROUND(N('Daily Sale entry '!T361),2),0))</f>
        <v/>
      </c>
    </row>
    <row r="362">
      <c r="A362" t="inlineStr">
        <is>
          <t>Entry 记录</t>
        </is>
      </c>
      <c r="B362" s="5">
        <f>IF('Daily Sale entry '!P362="","",'Daily Sale entry '!O362)</f>
        <v/>
      </c>
      <c r="C362">
        <f>IF('Daily Sale entry '!P362="","",'Daily Sale entry '!P362)</f>
        <v/>
      </c>
      <c r="D362">
        <f>IF(C362="","",IF('Daily Sale entry '!Q362="Credit Sale 赊销",'Daily Sale entry '!S362,0))</f>
        <v/>
      </c>
      <c r="E362">
        <f>IF(C362="","",IF('Daily Sale entry '!Q362="Collection 收款",'Daily Sale entry '!S362,0))</f>
        <v/>
      </c>
      <c r="F362" s="37">
        <f>IF(C362="","",B362+IF(E362&gt;0,0,0.5)+ROW()/10000000)</f>
        <v/>
      </c>
      <c r="G362">
        <f>IF(C362="","",'Daily Sale entry '!Q362&amp;IF('Daily Sale entry '!Q362="Collection 收款"," ("&amp;'Daily Sale entry '!R362&amp;")","")&amp;IF('Daily Sale entry '!U362="",""," - "&amp;'Daily Sale entry '!U362))</f>
        <v/>
      </c>
      <c r="H362">
        <f>IF(C362="","",COUNTIFS($C$2:$C$3001,C362,$F$2:$F$3001,"&lt;"&amp;F362)+1)</f>
        <v/>
      </c>
      <c r="I362">
        <f>IF(C362="","",C362&amp;"|"&amp;H362)</f>
        <v/>
      </c>
      <c r="J362" s="6">
        <f>IF(C362="","",IF(H362=1,SUMIFS('Opening Balance'!$F$4:$F$303,'Opening Balance'!$G$4:$G$303,C362),INDEX($L$2:$L$3001,MATCH(C362&amp;"|"&amp;(H362-1),$I$2:$I$3001,0))))</f>
        <v/>
      </c>
      <c r="K362" s="6">
        <f>IF(C362="","",IF(M362&gt;0,M362,IF(AND(E362&gt;0,ROUND(J362+D362-E362,2)&gt;0,ROUND(J362+D362-E362,2)&lt;'Opening Balance'!$B$14),ROUND(J362+D362-E362,2),0)))</f>
        <v/>
      </c>
      <c r="L362" s="6">
        <f>IF(C362="","",ROUND(J362+D362-E362-K362,2))</f>
        <v/>
      </c>
      <c r="M362" s="6">
        <f>IF(C362="","",IF('Daily Sale entry '!Q362="Collection 收款",ROUND(N('Daily Sale entry '!T362),2),0))</f>
        <v/>
      </c>
    </row>
    <row r="363">
      <c r="A363" t="inlineStr">
        <is>
          <t>Entry 记录</t>
        </is>
      </c>
      <c r="B363" s="5">
        <f>IF('Daily Sale entry '!P363="","",'Daily Sale entry '!O363)</f>
        <v/>
      </c>
      <c r="C363">
        <f>IF('Daily Sale entry '!P363="","",'Daily Sale entry '!P363)</f>
        <v/>
      </c>
      <c r="D363">
        <f>IF(C363="","",IF('Daily Sale entry '!Q363="Credit Sale 赊销",'Daily Sale entry '!S363,0))</f>
        <v/>
      </c>
      <c r="E363">
        <f>IF(C363="","",IF('Daily Sale entry '!Q363="Collection 收款",'Daily Sale entry '!S363,0))</f>
        <v/>
      </c>
      <c r="F363" s="37">
        <f>IF(C363="","",B363+IF(E363&gt;0,0,0.5)+ROW()/10000000)</f>
        <v/>
      </c>
      <c r="G363">
        <f>IF(C363="","",'Daily Sale entry '!Q363&amp;IF('Daily Sale entry '!Q363="Collection 收款"," ("&amp;'Daily Sale entry '!R363&amp;")","")&amp;IF('Daily Sale entry '!U363="",""," - "&amp;'Daily Sale entry '!U363))</f>
        <v/>
      </c>
      <c r="H363">
        <f>IF(C363="","",COUNTIFS($C$2:$C$3001,C363,$F$2:$F$3001,"&lt;"&amp;F363)+1)</f>
        <v/>
      </c>
      <c r="I363">
        <f>IF(C363="","",C363&amp;"|"&amp;H363)</f>
        <v/>
      </c>
      <c r="J363" s="6">
        <f>IF(C363="","",IF(H363=1,SUMIFS('Opening Balance'!$F$4:$F$303,'Opening Balance'!$G$4:$G$303,C363),INDEX($L$2:$L$3001,MATCH(C363&amp;"|"&amp;(H363-1),$I$2:$I$3001,0))))</f>
        <v/>
      </c>
      <c r="K363" s="6">
        <f>IF(C363="","",IF(M363&gt;0,M363,IF(AND(E363&gt;0,ROUND(J363+D363-E363,2)&gt;0,ROUND(J363+D363-E363,2)&lt;'Opening Balance'!$B$14),ROUND(J363+D363-E363,2),0)))</f>
        <v/>
      </c>
      <c r="L363" s="6">
        <f>IF(C363="","",ROUND(J363+D363-E363-K363,2))</f>
        <v/>
      </c>
      <c r="M363" s="6">
        <f>IF(C363="","",IF('Daily Sale entry '!Q363="Collection 收款",ROUND(N('Daily Sale entry '!T363),2),0))</f>
        <v/>
      </c>
    </row>
    <row r="364">
      <c r="A364" t="inlineStr">
        <is>
          <t>Entry 记录</t>
        </is>
      </c>
      <c r="B364" s="5">
        <f>IF('Daily Sale entry '!P364="","",'Daily Sale entry '!O364)</f>
        <v/>
      </c>
      <c r="C364">
        <f>IF('Daily Sale entry '!P364="","",'Daily Sale entry '!P364)</f>
        <v/>
      </c>
      <c r="D364">
        <f>IF(C364="","",IF('Daily Sale entry '!Q364="Credit Sale 赊销",'Daily Sale entry '!S364,0))</f>
        <v/>
      </c>
      <c r="E364">
        <f>IF(C364="","",IF('Daily Sale entry '!Q364="Collection 收款",'Daily Sale entry '!S364,0))</f>
        <v/>
      </c>
      <c r="F364" s="37">
        <f>IF(C364="","",B364+IF(E364&gt;0,0,0.5)+ROW()/10000000)</f>
        <v/>
      </c>
      <c r="G364">
        <f>IF(C364="","",'Daily Sale entry '!Q364&amp;IF('Daily Sale entry '!Q364="Collection 收款"," ("&amp;'Daily Sale entry '!R364&amp;")","")&amp;IF('Daily Sale entry '!U364="",""," - "&amp;'Daily Sale entry '!U364))</f>
        <v/>
      </c>
      <c r="H364">
        <f>IF(C364="","",COUNTIFS($C$2:$C$3001,C364,$F$2:$F$3001,"&lt;"&amp;F364)+1)</f>
        <v/>
      </c>
      <c r="I364">
        <f>IF(C364="","",C364&amp;"|"&amp;H364)</f>
        <v/>
      </c>
      <c r="J364" s="6">
        <f>IF(C364="","",IF(H364=1,SUMIFS('Opening Balance'!$F$4:$F$303,'Opening Balance'!$G$4:$G$303,C364),INDEX($L$2:$L$3001,MATCH(C364&amp;"|"&amp;(H364-1),$I$2:$I$3001,0))))</f>
        <v/>
      </c>
      <c r="K364" s="6">
        <f>IF(C364="","",IF(M364&gt;0,M364,IF(AND(E364&gt;0,ROUND(J364+D364-E364,2)&gt;0,ROUND(J364+D364-E364,2)&lt;'Opening Balance'!$B$14),ROUND(J364+D364-E364,2),0)))</f>
        <v/>
      </c>
      <c r="L364" s="6">
        <f>IF(C364="","",ROUND(J364+D364-E364-K364,2))</f>
        <v/>
      </c>
      <c r="M364" s="6">
        <f>IF(C364="","",IF('Daily Sale entry '!Q364="Collection 收款",ROUND(N('Daily Sale entry '!T364),2),0))</f>
        <v/>
      </c>
    </row>
    <row r="365">
      <c r="A365" t="inlineStr">
        <is>
          <t>Entry 记录</t>
        </is>
      </c>
      <c r="B365" s="5">
        <f>IF('Daily Sale entry '!P365="","",'Daily Sale entry '!O365)</f>
        <v/>
      </c>
      <c r="C365">
        <f>IF('Daily Sale entry '!P365="","",'Daily Sale entry '!P365)</f>
        <v/>
      </c>
      <c r="D365">
        <f>IF(C365="","",IF('Daily Sale entry '!Q365="Credit Sale 赊销",'Daily Sale entry '!S365,0))</f>
        <v/>
      </c>
      <c r="E365">
        <f>IF(C365="","",IF('Daily Sale entry '!Q365="Collection 收款",'Daily Sale entry '!S365,0))</f>
        <v/>
      </c>
      <c r="F365" s="37">
        <f>IF(C365="","",B365+IF(E365&gt;0,0,0.5)+ROW()/10000000)</f>
        <v/>
      </c>
      <c r="G365">
        <f>IF(C365="","",'Daily Sale entry '!Q365&amp;IF('Daily Sale entry '!Q365="Collection 收款"," ("&amp;'Daily Sale entry '!R365&amp;")","")&amp;IF('Daily Sale entry '!U365="",""," - "&amp;'Daily Sale entry '!U365))</f>
        <v/>
      </c>
      <c r="H365">
        <f>IF(C365="","",COUNTIFS($C$2:$C$3001,C365,$F$2:$F$3001,"&lt;"&amp;F365)+1)</f>
        <v/>
      </c>
      <c r="I365">
        <f>IF(C365="","",C365&amp;"|"&amp;H365)</f>
        <v/>
      </c>
      <c r="J365" s="6">
        <f>IF(C365="","",IF(H365=1,SUMIFS('Opening Balance'!$F$4:$F$303,'Opening Balance'!$G$4:$G$303,C365),INDEX($L$2:$L$3001,MATCH(C365&amp;"|"&amp;(H365-1),$I$2:$I$3001,0))))</f>
        <v/>
      </c>
      <c r="K365" s="6">
        <f>IF(C365="","",IF(M365&gt;0,M365,IF(AND(E365&gt;0,ROUND(J365+D365-E365,2)&gt;0,ROUND(J365+D365-E365,2)&lt;'Opening Balance'!$B$14),ROUND(J365+D365-E365,2),0)))</f>
        <v/>
      </c>
      <c r="L365" s="6">
        <f>IF(C365="","",ROUND(J365+D365-E365-K365,2))</f>
        <v/>
      </c>
      <c r="M365" s="6">
        <f>IF(C365="","",IF('Daily Sale entry '!Q365="Collection 收款",ROUND(N('Daily Sale entry '!T365),2),0))</f>
        <v/>
      </c>
    </row>
    <row r="366">
      <c r="A366" t="inlineStr">
        <is>
          <t>Entry 记录</t>
        </is>
      </c>
      <c r="B366" s="5">
        <f>IF('Daily Sale entry '!P366="","",'Daily Sale entry '!O366)</f>
        <v/>
      </c>
      <c r="C366">
        <f>IF('Daily Sale entry '!P366="","",'Daily Sale entry '!P366)</f>
        <v/>
      </c>
      <c r="D366">
        <f>IF(C366="","",IF('Daily Sale entry '!Q366="Credit Sale 赊销",'Daily Sale entry '!S366,0))</f>
        <v/>
      </c>
      <c r="E366">
        <f>IF(C366="","",IF('Daily Sale entry '!Q366="Collection 收款",'Daily Sale entry '!S366,0))</f>
        <v/>
      </c>
      <c r="F366" s="37">
        <f>IF(C366="","",B366+IF(E366&gt;0,0,0.5)+ROW()/10000000)</f>
        <v/>
      </c>
      <c r="G366">
        <f>IF(C366="","",'Daily Sale entry '!Q366&amp;IF('Daily Sale entry '!Q366="Collection 收款"," ("&amp;'Daily Sale entry '!R366&amp;")","")&amp;IF('Daily Sale entry '!U366="",""," - "&amp;'Daily Sale entry '!U366))</f>
        <v/>
      </c>
      <c r="H366">
        <f>IF(C366="","",COUNTIFS($C$2:$C$3001,C366,$F$2:$F$3001,"&lt;"&amp;F366)+1)</f>
        <v/>
      </c>
      <c r="I366">
        <f>IF(C366="","",C366&amp;"|"&amp;H366)</f>
        <v/>
      </c>
      <c r="J366" s="6">
        <f>IF(C366="","",IF(H366=1,SUMIFS('Opening Balance'!$F$4:$F$303,'Opening Balance'!$G$4:$G$303,C366),INDEX($L$2:$L$3001,MATCH(C366&amp;"|"&amp;(H366-1),$I$2:$I$3001,0))))</f>
        <v/>
      </c>
      <c r="K366" s="6">
        <f>IF(C366="","",IF(M366&gt;0,M366,IF(AND(E366&gt;0,ROUND(J366+D366-E366,2)&gt;0,ROUND(J366+D366-E366,2)&lt;'Opening Balance'!$B$14),ROUND(J366+D366-E366,2),0)))</f>
        <v/>
      </c>
      <c r="L366" s="6">
        <f>IF(C366="","",ROUND(J366+D366-E366-K366,2))</f>
        <v/>
      </c>
      <c r="M366" s="6">
        <f>IF(C366="","",IF('Daily Sale entry '!Q366="Collection 收款",ROUND(N('Daily Sale entry '!T366),2),0))</f>
        <v/>
      </c>
    </row>
    <row r="367">
      <c r="A367" t="inlineStr">
        <is>
          <t>Entry 记录</t>
        </is>
      </c>
      <c r="B367" s="5">
        <f>IF('Daily Sale entry '!P367="","",'Daily Sale entry '!O367)</f>
        <v/>
      </c>
      <c r="C367">
        <f>IF('Daily Sale entry '!P367="","",'Daily Sale entry '!P367)</f>
        <v/>
      </c>
      <c r="D367">
        <f>IF(C367="","",IF('Daily Sale entry '!Q367="Credit Sale 赊销",'Daily Sale entry '!S367,0))</f>
        <v/>
      </c>
      <c r="E367">
        <f>IF(C367="","",IF('Daily Sale entry '!Q367="Collection 收款",'Daily Sale entry '!S367,0))</f>
        <v/>
      </c>
      <c r="F367" s="37">
        <f>IF(C367="","",B367+IF(E367&gt;0,0,0.5)+ROW()/10000000)</f>
        <v/>
      </c>
      <c r="G367">
        <f>IF(C367="","",'Daily Sale entry '!Q367&amp;IF('Daily Sale entry '!Q367="Collection 收款"," ("&amp;'Daily Sale entry '!R367&amp;")","")&amp;IF('Daily Sale entry '!U367="",""," - "&amp;'Daily Sale entry '!U367))</f>
        <v/>
      </c>
      <c r="H367">
        <f>IF(C367="","",COUNTIFS($C$2:$C$3001,C367,$F$2:$F$3001,"&lt;"&amp;F367)+1)</f>
        <v/>
      </c>
      <c r="I367">
        <f>IF(C367="","",C367&amp;"|"&amp;H367)</f>
        <v/>
      </c>
      <c r="J367" s="6">
        <f>IF(C367="","",IF(H367=1,SUMIFS('Opening Balance'!$F$4:$F$303,'Opening Balance'!$G$4:$G$303,C367),INDEX($L$2:$L$3001,MATCH(C367&amp;"|"&amp;(H367-1),$I$2:$I$3001,0))))</f>
        <v/>
      </c>
      <c r="K367" s="6">
        <f>IF(C367="","",IF(M367&gt;0,M367,IF(AND(E367&gt;0,ROUND(J367+D367-E367,2)&gt;0,ROUND(J367+D367-E367,2)&lt;'Opening Balance'!$B$14),ROUND(J367+D367-E367,2),0)))</f>
        <v/>
      </c>
      <c r="L367" s="6">
        <f>IF(C367="","",ROUND(J367+D367-E367-K367,2))</f>
        <v/>
      </c>
      <c r="M367" s="6">
        <f>IF(C367="","",IF('Daily Sale entry '!Q367="Collection 收款",ROUND(N('Daily Sale entry '!T367),2),0))</f>
        <v/>
      </c>
    </row>
    <row r="368">
      <c r="A368" t="inlineStr">
        <is>
          <t>Entry 记录</t>
        </is>
      </c>
      <c r="B368" s="5">
        <f>IF('Daily Sale entry '!P368="","",'Daily Sale entry '!O368)</f>
        <v/>
      </c>
      <c r="C368">
        <f>IF('Daily Sale entry '!P368="","",'Daily Sale entry '!P368)</f>
        <v/>
      </c>
      <c r="D368">
        <f>IF(C368="","",IF('Daily Sale entry '!Q368="Credit Sale 赊销",'Daily Sale entry '!S368,0))</f>
        <v/>
      </c>
      <c r="E368">
        <f>IF(C368="","",IF('Daily Sale entry '!Q368="Collection 收款",'Daily Sale entry '!S368,0))</f>
        <v/>
      </c>
      <c r="F368" s="37">
        <f>IF(C368="","",B368+IF(E368&gt;0,0,0.5)+ROW()/10000000)</f>
        <v/>
      </c>
      <c r="G368">
        <f>IF(C368="","",'Daily Sale entry '!Q368&amp;IF('Daily Sale entry '!Q368="Collection 收款"," ("&amp;'Daily Sale entry '!R368&amp;")","")&amp;IF('Daily Sale entry '!U368="",""," - "&amp;'Daily Sale entry '!U368))</f>
        <v/>
      </c>
      <c r="H368">
        <f>IF(C368="","",COUNTIFS($C$2:$C$3001,C368,$F$2:$F$3001,"&lt;"&amp;F368)+1)</f>
        <v/>
      </c>
      <c r="I368">
        <f>IF(C368="","",C368&amp;"|"&amp;H368)</f>
        <v/>
      </c>
      <c r="J368" s="6">
        <f>IF(C368="","",IF(H368=1,SUMIFS('Opening Balance'!$F$4:$F$303,'Opening Balance'!$G$4:$G$303,C368),INDEX($L$2:$L$3001,MATCH(C368&amp;"|"&amp;(H368-1),$I$2:$I$3001,0))))</f>
        <v/>
      </c>
      <c r="K368" s="6">
        <f>IF(C368="","",IF(M368&gt;0,M368,IF(AND(E368&gt;0,ROUND(J368+D368-E368,2)&gt;0,ROUND(J368+D368-E368,2)&lt;'Opening Balance'!$B$14),ROUND(J368+D368-E368,2),0)))</f>
        <v/>
      </c>
      <c r="L368" s="6">
        <f>IF(C368="","",ROUND(J368+D368-E368-K368,2))</f>
        <v/>
      </c>
      <c r="M368" s="6">
        <f>IF(C368="","",IF('Daily Sale entry '!Q368="Collection 收款",ROUND(N('Daily Sale entry '!T368),2),0))</f>
        <v/>
      </c>
    </row>
    <row r="369">
      <c r="A369" t="inlineStr">
        <is>
          <t>Entry 记录</t>
        </is>
      </c>
      <c r="B369" s="5">
        <f>IF('Daily Sale entry '!P369="","",'Daily Sale entry '!O369)</f>
        <v/>
      </c>
      <c r="C369">
        <f>IF('Daily Sale entry '!P369="","",'Daily Sale entry '!P369)</f>
        <v/>
      </c>
      <c r="D369">
        <f>IF(C369="","",IF('Daily Sale entry '!Q369="Credit Sale 赊销",'Daily Sale entry '!S369,0))</f>
        <v/>
      </c>
      <c r="E369">
        <f>IF(C369="","",IF('Daily Sale entry '!Q369="Collection 收款",'Daily Sale entry '!S369,0))</f>
        <v/>
      </c>
      <c r="F369" s="37">
        <f>IF(C369="","",B369+IF(E369&gt;0,0,0.5)+ROW()/10000000)</f>
        <v/>
      </c>
      <c r="G369">
        <f>IF(C369="","",'Daily Sale entry '!Q369&amp;IF('Daily Sale entry '!Q369="Collection 收款"," ("&amp;'Daily Sale entry '!R369&amp;")","")&amp;IF('Daily Sale entry '!U369="",""," - "&amp;'Daily Sale entry '!U369))</f>
        <v/>
      </c>
      <c r="H369">
        <f>IF(C369="","",COUNTIFS($C$2:$C$3001,C369,$F$2:$F$3001,"&lt;"&amp;F369)+1)</f>
        <v/>
      </c>
      <c r="I369">
        <f>IF(C369="","",C369&amp;"|"&amp;H369)</f>
        <v/>
      </c>
      <c r="J369" s="6">
        <f>IF(C369="","",IF(H369=1,SUMIFS('Opening Balance'!$F$4:$F$303,'Opening Balance'!$G$4:$G$303,C369),INDEX($L$2:$L$3001,MATCH(C369&amp;"|"&amp;(H369-1),$I$2:$I$3001,0))))</f>
        <v/>
      </c>
      <c r="K369" s="6">
        <f>IF(C369="","",IF(M369&gt;0,M369,IF(AND(E369&gt;0,ROUND(J369+D369-E369,2)&gt;0,ROUND(J369+D369-E369,2)&lt;'Opening Balance'!$B$14),ROUND(J369+D369-E369,2),0)))</f>
        <v/>
      </c>
      <c r="L369" s="6">
        <f>IF(C369="","",ROUND(J369+D369-E369-K369,2))</f>
        <v/>
      </c>
      <c r="M369" s="6">
        <f>IF(C369="","",IF('Daily Sale entry '!Q369="Collection 收款",ROUND(N('Daily Sale entry '!T369),2),0))</f>
        <v/>
      </c>
    </row>
    <row r="370">
      <c r="A370" t="inlineStr">
        <is>
          <t>Entry 记录</t>
        </is>
      </c>
      <c r="B370" s="5">
        <f>IF('Daily Sale entry '!P370="","",'Daily Sale entry '!O370)</f>
        <v/>
      </c>
      <c r="C370">
        <f>IF('Daily Sale entry '!P370="","",'Daily Sale entry '!P370)</f>
        <v/>
      </c>
      <c r="D370">
        <f>IF(C370="","",IF('Daily Sale entry '!Q370="Credit Sale 赊销",'Daily Sale entry '!S370,0))</f>
        <v/>
      </c>
      <c r="E370">
        <f>IF(C370="","",IF('Daily Sale entry '!Q370="Collection 收款",'Daily Sale entry '!S370,0))</f>
        <v/>
      </c>
      <c r="F370" s="37">
        <f>IF(C370="","",B370+IF(E370&gt;0,0,0.5)+ROW()/10000000)</f>
        <v/>
      </c>
      <c r="G370">
        <f>IF(C370="","",'Daily Sale entry '!Q370&amp;IF('Daily Sale entry '!Q370="Collection 收款"," ("&amp;'Daily Sale entry '!R370&amp;")","")&amp;IF('Daily Sale entry '!U370="",""," - "&amp;'Daily Sale entry '!U370))</f>
        <v/>
      </c>
      <c r="H370">
        <f>IF(C370="","",COUNTIFS($C$2:$C$3001,C370,$F$2:$F$3001,"&lt;"&amp;F370)+1)</f>
        <v/>
      </c>
      <c r="I370">
        <f>IF(C370="","",C370&amp;"|"&amp;H370)</f>
        <v/>
      </c>
      <c r="J370" s="6">
        <f>IF(C370="","",IF(H370=1,SUMIFS('Opening Balance'!$F$4:$F$303,'Opening Balance'!$G$4:$G$303,C370),INDEX($L$2:$L$3001,MATCH(C370&amp;"|"&amp;(H370-1),$I$2:$I$3001,0))))</f>
        <v/>
      </c>
      <c r="K370" s="6">
        <f>IF(C370="","",IF(M370&gt;0,M370,IF(AND(E370&gt;0,ROUND(J370+D370-E370,2)&gt;0,ROUND(J370+D370-E370,2)&lt;'Opening Balance'!$B$14),ROUND(J370+D370-E370,2),0)))</f>
        <v/>
      </c>
      <c r="L370" s="6">
        <f>IF(C370="","",ROUND(J370+D370-E370-K370,2))</f>
        <v/>
      </c>
      <c r="M370" s="6">
        <f>IF(C370="","",IF('Daily Sale entry '!Q370="Collection 收款",ROUND(N('Daily Sale entry '!T370),2),0))</f>
        <v/>
      </c>
    </row>
    <row r="371">
      <c r="A371" t="inlineStr">
        <is>
          <t>Entry 记录</t>
        </is>
      </c>
      <c r="B371" s="5">
        <f>IF('Daily Sale entry '!P371="","",'Daily Sale entry '!O371)</f>
        <v/>
      </c>
      <c r="C371">
        <f>IF('Daily Sale entry '!P371="","",'Daily Sale entry '!P371)</f>
        <v/>
      </c>
      <c r="D371">
        <f>IF(C371="","",IF('Daily Sale entry '!Q371="Credit Sale 赊销",'Daily Sale entry '!S371,0))</f>
        <v/>
      </c>
      <c r="E371">
        <f>IF(C371="","",IF('Daily Sale entry '!Q371="Collection 收款",'Daily Sale entry '!S371,0))</f>
        <v/>
      </c>
      <c r="F371" s="37">
        <f>IF(C371="","",B371+IF(E371&gt;0,0,0.5)+ROW()/10000000)</f>
        <v/>
      </c>
      <c r="G371">
        <f>IF(C371="","",'Daily Sale entry '!Q371&amp;IF('Daily Sale entry '!Q371="Collection 收款"," ("&amp;'Daily Sale entry '!R371&amp;")","")&amp;IF('Daily Sale entry '!U371="",""," - "&amp;'Daily Sale entry '!U371))</f>
        <v/>
      </c>
      <c r="H371">
        <f>IF(C371="","",COUNTIFS($C$2:$C$3001,C371,$F$2:$F$3001,"&lt;"&amp;F371)+1)</f>
        <v/>
      </c>
      <c r="I371">
        <f>IF(C371="","",C371&amp;"|"&amp;H371)</f>
        <v/>
      </c>
      <c r="J371" s="6">
        <f>IF(C371="","",IF(H371=1,SUMIFS('Opening Balance'!$F$4:$F$303,'Opening Balance'!$G$4:$G$303,C371),INDEX($L$2:$L$3001,MATCH(C371&amp;"|"&amp;(H371-1),$I$2:$I$3001,0))))</f>
        <v/>
      </c>
      <c r="K371" s="6">
        <f>IF(C371="","",IF(M371&gt;0,M371,IF(AND(E371&gt;0,ROUND(J371+D371-E371,2)&gt;0,ROUND(J371+D371-E371,2)&lt;'Opening Balance'!$B$14),ROUND(J371+D371-E371,2),0)))</f>
        <v/>
      </c>
      <c r="L371" s="6">
        <f>IF(C371="","",ROUND(J371+D371-E371-K371,2))</f>
        <v/>
      </c>
      <c r="M371" s="6">
        <f>IF(C371="","",IF('Daily Sale entry '!Q371="Collection 收款",ROUND(N('Daily Sale entry '!T371),2),0))</f>
        <v/>
      </c>
    </row>
    <row r="372">
      <c r="A372" t="inlineStr">
        <is>
          <t>Entry 记录</t>
        </is>
      </c>
      <c r="B372" s="5">
        <f>IF('Daily Sale entry '!P372="","",'Daily Sale entry '!O372)</f>
        <v/>
      </c>
      <c r="C372">
        <f>IF('Daily Sale entry '!P372="","",'Daily Sale entry '!P372)</f>
        <v/>
      </c>
      <c r="D372">
        <f>IF(C372="","",IF('Daily Sale entry '!Q372="Credit Sale 赊销",'Daily Sale entry '!S372,0))</f>
        <v/>
      </c>
      <c r="E372">
        <f>IF(C372="","",IF('Daily Sale entry '!Q372="Collection 收款",'Daily Sale entry '!S372,0))</f>
        <v/>
      </c>
      <c r="F372" s="37">
        <f>IF(C372="","",B372+IF(E372&gt;0,0,0.5)+ROW()/10000000)</f>
        <v/>
      </c>
      <c r="G372">
        <f>IF(C372="","",'Daily Sale entry '!Q372&amp;IF('Daily Sale entry '!Q372="Collection 收款"," ("&amp;'Daily Sale entry '!R372&amp;")","")&amp;IF('Daily Sale entry '!U372="",""," - "&amp;'Daily Sale entry '!U372))</f>
        <v/>
      </c>
      <c r="H372">
        <f>IF(C372="","",COUNTIFS($C$2:$C$3001,C372,$F$2:$F$3001,"&lt;"&amp;F372)+1)</f>
        <v/>
      </c>
      <c r="I372">
        <f>IF(C372="","",C372&amp;"|"&amp;H372)</f>
        <v/>
      </c>
      <c r="J372" s="6">
        <f>IF(C372="","",IF(H372=1,SUMIFS('Opening Balance'!$F$4:$F$303,'Opening Balance'!$G$4:$G$303,C372),INDEX($L$2:$L$3001,MATCH(C372&amp;"|"&amp;(H372-1),$I$2:$I$3001,0))))</f>
        <v/>
      </c>
      <c r="K372" s="6">
        <f>IF(C372="","",IF(M372&gt;0,M372,IF(AND(E372&gt;0,ROUND(J372+D372-E372,2)&gt;0,ROUND(J372+D372-E372,2)&lt;'Opening Balance'!$B$14),ROUND(J372+D372-E372,2),0)))</f>
        <v/>
      </c>
      <c r="L372" s="6">
        <f>IF(C372="","",ROUND(J372+D372-E372-K372,2))</f>
        <v/>
      </c>
      <c r="M372" s="6">
        <f>IF(C372="","",IF('Daily Sale entry '!Q372="Collection 收款",ROUND(N('Daily Sale entry '!T372),2),0))</f>
        <v/>
      </c>
    </row>
    <row r="373">
      <c r="A373" t="inlineStr">
        <is>
          <t>Entry 记录</t>
        </is>
      </c>
      <c r="B373" s="5">
        <f>IF('Daily Sale entry '!P373="","",'Daily Sale entry '!O373)</f>
        <v/>
      </c>
      <c r="C373">
        <f>IF('Daily Sale entry '!P373="","",'Daily Sale entry '!P373)</f>
        <v/>
      </c>
      <c r="D373">
        <f>IF(C373="","",IF('Daily Sale entry '!Q373="Credit Sale 赊销",'Daily Sale entry '!S373,0))</f>
        <v/>
      </c>
      <c r="E373">
        <f>IF(C373="","",IF('Daily Sale entry '!Q373="Collection 收款",'Daily Sale entry '!S373,0))</f>
        <v/>
      </c>
      <c r="F373" s="37">
        <f>IF(C373="","",B373+IF(E373&gt;0,0,0.5)+ROW()/10000000)</f>
        <v/>
      </c>
      <c r="G373">
        <f>IF(C373="","",'Daily Sale entry '!Q373&amp;IF('Daily Sale entry '!Q373="Collection 收款"," ("&amp;'Daily Sale entry '!R373&amp;")","")&amp;IF('Daily Sale entry '!U373="",""," - "&amp;'Daily Sale entry '!U373))</f>
        <v/>
      </c>
      <c r="H373">
        <f>IF(C373="","",COUNTIFS($C$2:$C$3001,C373,$F$2:$F$3001,"&lt;"&amp;F373)+1)</f>
        <v/>
      </c>
      <c r="I373">
        <f>IF(C373="","",C373&amp;"|"&amp;H373)</f>
        <v/>
      </c>
      <c r="J373" s="6">
        <f>IF(C373="","",IF(H373=1,SUMIFS('Opening Balance'!$F$4:$F$303,'Opening Balance'!$G$4:$G$303,C373),INDEX($L$2:$L$3001,MATCH(C373&amp;"|"&amp;(H373-1),$I$2:$I$3001,0))))</f>
        <v/>
      </c>
      <c r="K373" s="6">
        <f>IF(C373="","",IF(M373&gt;0,M373,IF(AND(E373&gt;0,ROUND(J373+D373-E373,2)&gt;0,ROUND(J373+D373-E373,2)&lt;'Opening Balance'!$B$14),ROUND(J373+D373-E373,2),0)))</f>
        <v/>
      </c>
      <c r="L373" s="6">
        <f>IF(C373="","",ROUND(J373+D373-E373-K373,2))</f>
        <v/>
      </c>
      <c r="M373" s="6">
        <f>IF(C373="","",IF('Daily Sale entry '!Q373="Collection 收款",ROUND(N('Daily Sale entry '!T373),2),0))</f>
        <v/>
      </c>
    </row>
    <row r="374">
      <c r="A374" t="inlineStr">
        <is>
          <t>Entry 记录</t>
        </is>
      </c>
      <c r="B374" s="5">
        <f>IF('Daily Sale entry '!P374="","",'Daily Sale entry '!O374)</f>
        <v/>
      </c>
      <c r="C374">
        <f>IF('Daily Sale entry '!P374="","",'Daily Sale entry '!P374)</f>
        <v/>
      </c>
      <c r="D374">
        <f>IF(C374="","",IF('Daily Sale entry '!Q374="Credit Sale 赊销",'Daily Sale entry '!S374,0))</f>
        <v/>
      </c>
      <c r="E374">
        <f>IF(C374="","",IF('Daily Sale entry '!Q374="Collection 收款",'Daily Sale entry '!S374,0))</f>
        <v/>
      </c>
      <c r="F374" s="37">
        <f>IF(C374="","",B374+IF(E374&gt;0,0,0.5)+ROW()/10000000)</f>
        <v/>
      </c>
      <c r="G374">
        <f>IF(C374="","",'Daily Sale entry '!Q374&amp;IF('Daily Sale entry '!Q374="Collection 收款"," ("&amp;'Daily Sale entry '!R374&amp;")","")&amp;IF('Daily Sale entry '!U374="",""," - "&amp;'Daily Sale entry '!U374))</f>
        <v/>
      </c>
      <c r="H374">
        <f>IF(C374="","",COUNTIFS($C$2:$C$3001,C374,$F$2:$F$3001,"&lt;"&amp;F374)+1)</f>
        <v/>
      </c>
      <c r="I374">
        <f>IF(C374="","",C374&amp;"|"&amp;H374)</f>
        <v/>
      </c>
      <c r="J374" s="6">
        <f>IF(C374="","",IF(H374=1,SUMIFS('Opening Balance'!$F$4:$F$303,'Opening Balance'!$G$4:$G$303,C374),INDEX($L$2:$L$3001,MATCH(C374&amp;"|"&amp;(H374-1),$I$2:$I$3001,0))))</f>
        <v/>
      </c>
      <c r="K374" s="6">
        <f>IF(C374="","",IF(M374&gt;0,M374,IF(AND(E374&gt;0,ROUND(J374+D374-E374,2)&gt;0,ROUND(J374+D374-E374,2)&lt;'Opening Balance'!$B$14),ROUND(J374+D374-E374,2),0)))</f>
        <v/>
      </c>
      <c r="L374" s="6">
        <f>IF(C374="","",ROUND(J374+D374-E374-K374,2))</f>
        <v/>
      </c>
      <c r="M374" s="6">
        <f>IF(C374="","",IF('Daily Sale entry '!Q374="Collection 收款",ROUND(N('Daily Sale entry '!T374),2),0))</f>
        <v/>
      </c>
    </row>
    <row r="375">
      <c r="A375" t="inlineStr">
        <is>
          <t>Entry 记录</t>
        </is>
      </c>
      <c r="B375" s="5">
        <f>IF('Daily Sale entry '!P375="","",'Daily Sale entry '!O375)</f>
        <v/>
      </c>
      <c r="C375">
        <f>IF('Daily Sale entry '!P375="","",'Daily Sale entry '!P375)</f>
        <v/>
      </c>
      <c r="D375">
        <f>IF(C375="","",IF('Daily Sale entry '!Q375="Credit Sale 赊销",'Daily Sale entry '!S375,0))</f>
        <v/>
      </c>
      <c r="E375">
        <f>IF(C375="","",IF('Daily Sale entry '!Q375="Collection 收款",'Daily Sale entry '!S375,0))</f>
        <v/>
      </c>
      <c r="F375" s="37">
        <f>IF(C375="","",B375+IF(E375&gt;0,0,0.5)+ROW()/10000000)</f>
        <v/>
      </c>
      <c r="G375">
        <f>IF(C375="","",'Daily Sale entry '!Q375&amp;IF('Daily Sale entry '!Q375="Collection 收款"," ("&amp;'Daily Sale entry '!R375&amp;")","")&amp;IF('Daily Sale entry '!U375="",""," - "&amp;'Daily Sale entry '!U375))</f>
        <v/>
      </c>
      <c r="H375">
        <f>IF(C375="","",COUNTIFS($C$2:$C$3001,C375,$F$2:$F$3001,"&lt;"&amp;F375)+1)</f>
        <v/>
      </c>
      <c r="I375">
        <f>IF(C375="","",C375&amp;"|"&amp;H375)</f>
        <v/>
      </c>
      <c r="J375" s="6">
        <f>IF(C375="","",IF(H375=1,SUMIFS('Opening Balance'!$F$4:$F$303,'Opening Balance'!$G$4:$G$303,C375),INDEX($L$2:$L$3001,MATCH(C375&amp;"|"&amp;(H375-1),$I$2:$I$3001,0))))</f>
        <v/>
      </c>
      <c r="K375" s="6">
        <f>IF(C375="","",IF(M375&gt;0,M375,IF(AND(E375&gt;0,ROUND(J375+D375-E375,2)&gt;0,ROUND(J375+D375-E375,2)&lt;'Opening Balance'!$B$14),ROUND(J375+D375-E375,2),0)))</f>
        <v/>
      </c>
      <c r="L375" s="6">
        <f>IF(C375="","",ROUND(J375+D375-E375-K375,2))</f>
        <v/>
      </c>
      <c r="M375" s="6">
        <f>IF(C375="","",IF('Daily Sale entry '!Q375="Collection 收款",ROUND(N('Daily Sale entry '!T375),2),0))</f>
        <v/>
      </c>
    </row>
    <row r="376">
      <c r="A376" t="inlineStr">
        <is>
          <t>Entry 记录</t>
        </is>
      </c>
      <c r="B376" s="5">
        <f>IF('Daily Sale entry '!P376="","",'Daily Sale entry '!O376)</f>
        <v/>
      </c>
      <c r="C376">
        <f>IF('Daily Sale entry '!P376="","",'Daily Sale entry '!P376)</f>
        <v/>
      </c>
      <c r="D376">
        <f>IF(C376="","",IF('Daily Sale entry '!Q376="Credit Sale 赊销",'Daily Sale entry '!S376,0))</f>
        <v/>
      </c>
      <c r="E376">
        <f>IF(C376="","",IF('Daily Sale entry '!Q376="Collection 收款",'Daily Sale entry '!S376,0))</f>
        <v/>
      </c>
      <c r="F376" s="37">
        <f>IF(C376="","",B376+IF(E376&gt;0,0,0.5)+ROW()/10000000)</f>
        <v/>
      </c>
      <c r="G376">
        <f>IF(C376="","",'Daily Sale entry '!Q376&amp;IF('Daily Sale entry '!Q376="Collection 收款"," ("&amp;'Daily Sale entry '!R376&amp;")","")&amp;IF('Daily Sale entry '!U376="",""," - "&amp;'Daily Sale entry '!U376))</f>
        <v/>
      </c>
      <c r="H376">
        <f>IF(C376="","",COUNTIFS($C$2:$C$3001,C376,$F$2:$F$3001,"&lt;"&amp;F376)+1)</f>
        <v/>
      </c>
      <c r="I376">
        <f>IF(C376="","",C376&amp;"|"&amp;H376)</f>
        <v/>
      </c>
      <c r="J376" s="6">
        <f>IF(C376="","",IF(H376=1,SUMIFS('Opening Balance'!$F$4:$F$303,'Opening Balance'!$G$4:$G$303,C376),INDEX($L$2:$L$3001,MATCH(C376&amp;"|"&amp;(H376-1),$I$2:$I$3001,0))))</f>
        <v/>
      </c>
      <c r="K376" s="6">
        <f>IF(C376="","",IF(M376&gt;0,M376,IF(AND(E376&gt;0,ROUND(J376+D376-E376,2)&gt;0,ROUND(J376+D376-E376,2)&lt;'Opening Balance'!$B$14),ROUND(J376+D376-E376,2),0)))</f>
        <v/>
      </c>
      <c r="L376" s="6">
        <f>IF(C376="","",ROUND(J376+D376-E376-K376,2))</f>
        <v/>
      </c>
      <c r="M376" s="6">
        <f>IF(C376="","",IF('Daily Sale entry '!Q376="Collection 收款",ROUND(N('Daily Sale entry '!T376),2),0))</f>
        <v/>
      </c>
    </row>
    <row r="377">
      <c r="A377" t="inlineStr">
        <is>
          <t>Entry 记录</t>
        </is>
      </c>
      <c r="B377" s="5">
        <f>IF('Daily Sale entry '!P377="","",'Daily Sale entry '!O377)</f>
        <v/>
      </c>
      <c r="C377">
        <f>IF('Daily Sale entry '!P377="","",'Daily Sale entry '!P377)</f>
        <v/>
      </c>
      <c r="D377">
        <f>IF(C377="","",IF('Daily Sale entry '!Q377="Credit Sale 赊销",'Daily Sale entry '!S377,0))</f>
        <v/>
      </c>
      <c r="E377">
        <f>IF(C377="","",IF('Daily Sale entry '!Q377="Collection 收款",'Daily Sale entry '!S377,0))</f>
        <v/>
      </c>
      <c r="F377" s="37">
        <f>IF(C377="","",B377+IF(E377&gt;0,0,0.5)+ROW()/10000000)</f>
        <v/>
      </c>
      <c r="G377">
        <f>IF(C377="","",'Daily Sale entry '!Q377&amp;IF('Daily Sale entry '!Q377="Collection 收款"," ("&amp;'Daily Sale entry '!R377&amp;")","")&amp;IF('Daily Sale entry '!U377="",""," - "&amp;'Daily Sale entry '!U377))</f>
        <v/>
      </c>
      <c r="H377">
        <f>IF(C377="","",COUNTIFS($C$2:$C$3001,C377,$F$2:$F$3001,"&lt;"&amp;F377)+1)</f>
        <v/>
      </c>
      <c r="I377">
        <f>IF(C377="","",C377&amp;"|"&amp;H377)</f>
        <v/>
      </c>
      <c r="J377" s="6">
        <f>IF(C377="","",IF(H377=1,SUMIFS('Opening Balance'!$F$4:$F$303,'Opening Balance'!$G$4:$G$303,C377),INDEX($L$2:$L$3001,MATCH(C377&amp;"|"&amp;(H377-1),$I$2:$I$3001,0))))</f>
        <v/>
      </c>
      <c r="K377" s="6">
        <f>IF(C377="","",IF(M377&gt;0,M377,IF(AND(E377&gt;0,ROUND(J377+D377-E377,2)&gt;0,ROUND(J377+D377-E377,2)&lt;'Opening Balance'!$B$14),ROUND(J377+D377-E377,2),0)))</f>
        <v/>
      </c>
      <c r="L377" s="6">
        <f>IF(C377="","",ROUND(J377+D377-E377-K377,2))</f>
        <v/>
      </c>
      <c r="M377" s="6">
        <f>IF(C377="","",IF('Daily Sale entry '!Q377="Collection 收款",ROUND(N('Daily Sale entry '!T377),2),0))</f>
        <v/>
      </c>
    </row>
    <row r="378">
      <c r="A378" t="inlineStr">
        <is>
          <t>Entry 记录</t>
        </is>
      </c>
      <c r="B378" s="5">
        <f>IF('Daily Sale entry '!P378="","",'Daily Sale entry '!O378)</f>
        <v/>
      </c>
      <c r="C378">
        <f>IF('Daily Sale entry '!P378="","",'Daily Sale entry '!P378)</f>
        <v/>
      </c>
      <c r="D378">
        <f>IF(C378="","",IF('Daily Sale entry '!Q378="Credit Sale 赊销",'Daily Sale entry '!S378,0))</f>
        <v/>
      </c>
      <c r="E378">
        <f>IF(C378="","",IF('Daily Sale entry '!Q378="Collection 收款",'Daily Sale entry '!S378,0))</f>
        <v/>
      </c>
      <c r="F378" s="37">
        <f>IF(C378="","",B378+IF(E378&gt;0,0,0.5)+ROW()/10000000)</f>
        <v/>
      </c>
      <c r="G378">
        <f>IF(C378="","",'Daily Sale entry '!Q378&amp;IF('Daily Sale entry '!Q378="Collection 收款"," ("&amp;'Daily Sale entry '!R378&amp;")","")&amp;IF('Daily Sale entry '!U378="",""," - "&amp;'Daily Sale entry '!U378))</f>
        <v/>
      </c>
      <c r="H378">
        <f>IF(C378="","",COUNTIFS($C$2:$C$3001,C378,$F$2:$F$3001,"&lt;"&amp;F378)+1)</f>
        <v/>
      </c>
      <c r="I378">
        <f>IF(C378="","",C378&amp;"|"&amp;H378)</f>
        <v/>
      </c>
      <c r="J378" s="6">
        <f>IF(C378="","",IF(H378=1,SUMIFS('Opening Balance'!$F$4:$F$303,'Opening Balance'!$G$4:$G$303,C378),INDEX($L$2:$L$3001,MATCH(C378&amp;"|"&amp;(H378-1),$I$2:$I$3001,0))))</f>
        <v/>
      </c>
      <c r="K378" s="6">
        <f>IF(C378="","",IF(M378&gt;0,M378,IF(AND(E378&gt;0,ROUND(J378+D378-E378,2)&gt;0,ROUND(J378+D378-E378,2)&lt;'Opening Balance'!$B$14),ROUND(J378+D378-E378,2),0)))</f>
        <v/>
      </c>
      <c r="L378" s="6">
        <f>IF(C378="","",ROUND(J378+D378-E378-K378,2))</f>
        <v/>
      </c>
      <c r="M378" s="6">
        <f>IF(C378="","",IF('Daily Sale entry '!Q378="Collection 收款",ROUND(N('Daily Sale entry '!T378),2),0))</f>
        <v/>
      </c>
    </row>
    <row r="379">
      <c r="A379" t="inlineStr">
        <is>
          <t>Entry 记录</t>
        </is>
      </c>
      <c r="B379" s="5">
        <f>IF('Daily Sale entry '!P379="","",'Daily Sale entry '!O379)</f>
        <v/>
      </c>
      <c r="C379">
        <f>IF('Daily Sale entry '!P379="","",'Daily Sale entry '!P379)</f>
        <v/>
      </c>
      <c r="D379">
        <f>IF(C379="","",IF('Daily Sale entry '!Q379="Credit Sale 赊销",'Daily Sale entry '!S379,0))</f>
        <v/>
      </c>
      <c r="E379">
        <f>IF(C379="","",IF('Daily Sale entry '!Q379="Collection 收款",'Daily Sale entry '!S379,0))</f>
        <v/>
      </c>
      <c r="F379" s="37">
        <f>IF(C379="","",B379+IF(E379&gt;0,0,0.5)+ROW()/10000000)</f>
        <v/>
      </c>
      <c r="G379">
        <f>IF(C379="","",'Daily Sale entry '!Q379&amp;IF('Daily Sale entry '!Q379="Collection 收款"," ("&amp;'Daily Sale entry '!R379&amp;")","")&amp;IF('Daily Sale entry '!U379="",""," - "&amp;'Daily Sale entry '!U379))</f>
        <v/>
      </c>
      <c r="H379">
        <f>IF(C379="","",COUNTIFS($C$2:$C$3001,C379,$F$2:$F$3001,"&lt;"&amp;F379)+1)</f>
        <v/>
      </c>
      <c r="I379">
        <f>IF(C379="","",C379&amp;"|"&amp;H379)</f>
        <v/>
      </c>
      <c r="J379" s="6">
        <f>IF(C379="","",IF(H379=1,SUMIFS('Opening Balance'!$F$4:$F$303,'Opening Balance'!$G$4:$G$303,C379),INDEX($L$2:$L$3001,MATCH(C379&amp;"|"&amp;(H379-1),$I$2:$I$3001,0))))</f>
        <v/>
      </c>
      <c r="K379" s="6">
        <f>IF(C379="","",IF(M379&gt;0,M379,IF(AND(E379&gt;0,ROUND(J379+D379-E379,2)&gt;0,ROUND(J379+D379-E379,2)&lt;'Opening Balance'!$B$14),ROUND(J379+D379-E379,2),0)))</f>
        <v/>
      </c>
      <c r="L379" s="6">
        <f>IF(C379="","",ROUND(J379+D379-E379-K379,2))</f>
        <v/>
      </c>
      <c r="M379" s="6">
        <f>IF(C379="","",IF('Daily Sale entry '!Q379="Collection 收款",ROUND(N('Daily Sale entry '!T379),2),0))</f>
        <v/>
      </c>
    </row>
    <row r="380">
      <c r="A380" t="inlineStr">
        <is>
          <t>Entry 记录</t>
        </is>
      </c>
      <c r="B380" s="5">
        <f>IF('Daily Sale entry '!P380="","",'Daily Sale entry '!O380)</f>
        <v/>
      </c>
      <c r="C380">
        <f>IF('Daily Sale entry '!P380="","",'Daily Sale entry '!P380)</f>
        <v/>
      </c>
      <c r="D380">
        <f>IF(C380="","",IF('Daily Sale entry '!Q380="Credit Sale 赊销",'Daily Sale entry '!S380,0))</f>
        <v/>
      </c>
      <c r="E380">
        <f>IF(C380="","",IF('Daily Sale entry '!Q380="Collection 收款",'Daily Sale entry '!S380,0))</f>
        <v/>
      </c>
      <c r="F380" s="37">
        <f>IF(C380="","",B380+IF(E380&gt;0,0,0.5)+ROW()/10000000)</f>
        <v/>
      </c>
      <c r="G380">
        <f>IF(C380="","",'Daily Sale entry '!Q380&amp;IF('Daily Sale entry '!Q380="Collection 收款"," ("&amp;'Daily Sale entry '!R380&amp;")","")&amp;IF('Daily Sale entry '!U380="",""," - "&amp;'Daily Sale entry '!U380))</f>
        <v/>
      </c>
      <c r="H380">
        <f>IF(C380="","",COUNTIFS($C$2:$C$3001,C380,$F$2:$F$3001,"&lt;"&amp;F380)+1)</f>
        <v/>
      </c>
      <c r="I380">
        <f>IF(C380="","",C380&amp;"|"&amp;H380)</f>
        <v/>
      </c>
      <c r="J380" s="6">
        <f>IF(C380="","",IF(H380=1,SUMIFS('Opening Balance'!$F$4:$F$303,'Opening Balance'!$G$4:$G$303,C380),INDEX($L$2:$L$3001,MATCH(C380&amp;"|"&amp;(H380-1),$I$2:$I$3001,0))))</f>
        <v/>
      </c>
      <c r="K380" s="6">
        <f>IF(C380="","",IF(M380&gt;0,M380,IF(AND(E380&gt;0,ROUND(J380+D380-E380,2)&gt;0,ROUND(J380+D380-E380,2)&lt;'Opening Balance'!$B$14),ROUND(J380+D380-E380,2),0)))</f>
        <v/>
      </c>
      <c r="L380" s="6">
        <f>IF(C380="","",ROUND(J380+D380-E380-K380,2))</f>
        <v/>
      </c>
      <c r="M380" s="6">
        <f>IF(C380="","",IF('Daily Sale entry '!Q380="Collection 收款",ROUND(N('Daily Sale entry '!T380),2),0))</f>
        <v/>
      </c>
    </row>
    <row r="381">
      <c r="A381" t="inlineStr">
        <is>
          <t>Entry 记录</t>
        </is>
      </c>
      <c r="B381" s="5">
        <f>IF('Daily Sale entry '!P381="","",'Daily Sale entry '!O381)</f>
        <v/>
      </c>
      <c r="C381">
        <f>IF('Daily Sale entry '!P381="","",'Daily Sale entry '!P381)</f>
        <v/>
      </c>
      <c r="D381">
        <f>IF(C381="","",IF('Daily Sale entry '!Q381="Credit Sale 赊销",'Daily Sale entry '!S381,0))</f>
        <v/>
      </c>
      <c r="E381">
        <f>IF(C381="","",IF('Daily Sale entry '!Q381="Collection 收款",'Daily Sale entry '!S381,0))</f>
        <v/>
      </c>
      <c r="F381" s="37">
        <f>IF(C381="","",B381+IF(E381&gt;0,0,0.5)+ROW()/10000000)</f>
        <v/>
      </c>
      <c r="G381">
        <f>IF(C381="","",'Daily Sale entry '!Q381&amp;IF('Daily Sale entry '!Q381="Collection 收款"," ("&amp;'Daily Sale entry '!R381&amp;")","")&amp;IF('Daily Sale entry '!U381="",""," - "&amp;'Daily Sale entry '!U381))</f>
        <v/>
      </c>
      <c r="H381">
        <f>IF(C381="","",COUNTIFS($C$2:$C$3001,C381,$F$2:$F$3001,"&lt;"&amp;F381)+1)</f>
        <v/>
      </c>
      <c r="I381">
        <f>IF(C381="","",C381&amp;"|"&amp;H381)</f>
        <v/>
      </c>
      <c r="J381" s="6">
        <f>IF(C381="","",IF(H381=1,SUMIFS('Opening Balance'!$F$4:$F$303,'Opening Balance'!$G$4:$G$303,C381),INDEX($L$2:$L$3001,MATCH(C381&amp;"|"&amp;(H381-1),$I$2:$I$3001,0))))</f>
        <v/>
      </c>
      <c r="K381" s="6">
        <f>IF(C381="","",IF(M381&gt;0,M381,IF(AND(E381&gt;0,ROUND(J381+D381-E381,2)&gt;0,ROUND(J381+D381-E381,2)&lt;'Opening Balance'!$B$14),ROUND(J381+D381-E381,2),0)))</f>
        <v/>
      </c>
      <c r="L381" s="6">
        <f>IF(C381="","",ROUND(J381+D381-E381-K381,2))</f>
        <v/>
      </c>
      <c r="M381" s="6">
        <f>IF(C381="","",IF('Daily Sale entry '!Q381="Collection 收款",ROUND(N('Daily Sale entry '!T381),2),0))</f>
        <v/>
      </c>
    </row>
    <row r="382">
      <c r="A382" t="inlineStr">
        <is>
          <t>Entry 记录</t>
        </is>
      </c>
      <c r="B382" s="5">
        <f>IF('Daily Sale entry '!P382="","",'Daily Sale entry '!O382)</f>
        <v/>
      </c>
      <c r="C382">
        <f>IF('Daily Sale entry '!P382="","",'Daily Sale entry '!P382)</f>
        <v/>
      </c>
      <c r="D382">
        <f>IF(C382="","",IF('Daily Sale entry '!Q382="Credit Sale 赊销",'Daily Sale entry '!S382,0))</f>
        <v/>
      </c>
      <c r="E382">
        <f>IF(C382="","",IF('Daily Sale entry '!Q382="Collection 收款",'Daily Sale entry '!S382,0))</f>
        <v/>
      </c>
      <c r="F382" s="37">
        <f>IF(C382="","",B382+IF(E382&gt;0,0,0.5)+ROW()/10000000)</f>
        <v/>
      </c>
      <c r="G382">
        <f>IF(C382="","",'Daily Sale entry '!Q382&amp;IF('Daily Sale entry '!Q382="Collection 收款"," ("&amp;'Daily Sale entry '!R382&amp;")","")&amp;IF('Daily Sale entry '!U382="",""," - "&amp;'Daily Sale entry '!U382))</f>
        <v/>
      </c>
      <c r="H382">
        <f>IF(C382="","",COUNTIFS($C$2:$C$3001,C382,$F$2:$F$3001,"&lt;"&amp;F382)+1)</f>
        <v/>
      </c>
      <c r="I382">
        <f>IF(C382="","",C382&amp;"|"&amp;H382)</f>
        <v/>
      </c>
      <c r="J382" s="6">
        <f>IF(C382="","",IF(H382=1,SUMIFS('Opening Balance'!$F$4:$F$303,'Opening Balance'!$G$4:$G$303,C382),INDEX($L$2:$L$3001,MATCH(C382&amp;"|"&amp;(H382-1),$I$2:$I$3001,0))))</f>
        <v/>
      </c>
      <c r="K382" s="6">
        <f>IF(C382="","",IF(M382&gt;0,M382,IF(AND(E382&gt;0,ROUND(J382+D382-E382,2)&gt;0,ROUND(J382+D382-E382,2)&lt;'Opening Balance'!$B$14),ROUND(J382+D382-E382,2),0)))</f>
        <v/>
      </c>
      <c r="L382" s="6">
        <f>IF(C382="","",ROUND(J382+D382-E382-K382,2))</f>
        <v/>
      </c>
      <c r="M382" s="6">
        <f>IF(C382="","",IF('Daily Sale entry '!Q382="Collection 收款",ROUND(N('Daily Sale entry '!T382),2),0))</f>
        <v/>
      </c>
    </row>
    <row r="383">
      <c r="A383" t="inlineStr">
        <is>
          <t>Entry 记录</t>
        </is>
      </c>
      <c r="B383" s="5">
        <f>IF('Daily Sale entry '!P383="","",'Daily Sale entry '!O383)</f>
        <v/>
      </c>
      <c r="C383">
        <f>IF('Daily Sale entry '!P383="","",'Daily Sale entry '!P383)</f>
        <v/>
      </c>
      <c r="D383">
        <f>IF(C383="","",IF('Daily Sale entry '!Q383="Credit Sale 赊销",'Daily Sale entry '!S383,0))</f>
        <v/>
      </c>
      <c r="E383">
        <f>IF(C383="","",IF('Daily Sale entry '!Q383="Collection 收款",'Daily Sale entry '!S383,0))</f>
        <v/>
      </c>
      <c r="F383" s="37">
        <f>IF(C383="","",B383+IF(E383&gt;0,0,0.5)+ROW()/10000000)</f>
        <v/>
      </c>
      <c r="G383">
        <f>IF(C383="","",'Daily Sale entry '!Q383&amp;IF('Daily Sale entry '!Q383="Collection 收款"," ("&amp;'Daily Sale entry '!R383&amp;")","")&amp;IF('Daily Sale entry '!U383="",""," - "&amp;'Daily Sale entry '!U383))</f>
        <v/>
      </c>
      <c r="H383">
        <f>IF(C383="","",COUNTIFS($C$2:$C$3001,C383,$F$2:$F$3001,"&lt;"&amp;F383)+1)</f>
        <v/>
      </c>
      <c r="I383">
        <f>IF(C383="","",C383&amp;"|"&amp;H383)</f>
        <v/>
      </c>
      <c r="J383" s="6">
        <f>IF(C383="","",IF(H383=1,SUMIFS('Opening Balance'!$F$4:$F$303,'Opening Balance'!$G$4:$G$303,C383),INDEX($L$2:$L$3001,MATCH(C383&amp;"|"&amp;(H383-1),$I$2:$I$3001,0))))</f>
        <v/>
      </c>
      <c r="K383" s="6">
        <f>IF(C383="","",IF(M383&gt;0,M383,IF(AND(E383&gt;0,ROUND(J383+D383-E383,2)&gt;0,ROUND(J383+D383-E383,2)&lt;'Opening Balance'!$B$14),ROUND(J383+D383-E383,2),0)))</f>
        <v/>
      </c>
      <c r="L383" s="6">
        <f>IF(C383="","",ROUND(J383+D383-E383-K383,2))</f>
        <v/>
      </c>
      <c r="M383" s="6">
        <f>IF(C383="","",IF('Daily Sale entry '!Q383="Collection 收款",ROUND(N('Daily Sale entry '!T383),2),0))</f>
        <v/>
      </c>
    </row>
    <row r="384">
      <c r="A384" t="inlineStr">
        <is>
          <t>Entry 记录</t>
        </is>
      </c>
      <c r="B384" s="5">
        <f>IF('Daily Sale entry '!P384="","",'Daily Sale entry '!O384)</f>
        <v/>
      </c>
      <c r="C384">
        <f>IF('Daily Sale entry '!P384="","",'Daily Sale entry '!P384)</f>
        <v/>
      </c>
      <c r="D384">
        <f>IF(C384="","",IF('Daily Sale entry '!Q384="Credit Sale 赊销",'Daily Sale entry '!S384,0))</f>
        <v/>
      </c>
      <c r="E384">
        <f>IF(C384="","",IF('Daily Sale entry '!Q384="Collection 收款",'Daily Sale entry '!S384,0))</f>
        <v/>
      </c>
      <c r="F384" s="37">
        <f>IF(C384="","",B384+IF(E384&gt;0,0,0.5)+ROW()/10000000)</f>
        <v/>
      </c>
      <c r="G384">
        <f>IF(C384="","",'Daily Sale entry '!Q384&amp;IF('Daily Sale entry '!Q384="Collection 收款"," ("&amp;'Daily Sale entry '!R384&amp;")","")&amp;IF('Daily Sale entry '!U384="",""," - "&amp;'Daily Sale entry '!U384))</f>
        <v/>
      </c>
      <c r="H384">
        <f>IF(C384="","",COUNTIFS($C$2:$C$3001,C384,$F$2:$F$3001,"&lt;"&amp;F384)+1)</f>
        <v/>
      </c>
      <c r="I384">
        <f>IF(C384="","",C384&amp;"|"&amp;H384)</f>
        <v/>
      </c>
      <c r="J384" s="6">
        <f>IF(C384="","",IF(H384=1,SUMIFS('Opening Balance'!$F$4:$F$303,'Opening Balance'!$G$4:$G$303,C384),INDEX($L$2:$L$3001,MATCH(C384&amp;"|"&amp;(H384-1),$I$2:$I$3001,0))))</f>
        <v/>
      </c>
      <c r="K384" s="6">
        <f>IF(C384="","",IF(M384&gt;0,M384,IF(AND(E384&gt;0,ROUND(J384+D384-E384,2)&gt;0,ROUND(J384+D384-E384,2)&lt;'Opening Balance'!$B$14),ROUND(J384+D384-E384,2),0)))</f>
        <v/>
      </c>
      <c r="L384" s="6">
        <f>IF(C384="","",ROUND(J384+D384-E384-K384,2))</f>
        <v/>
      </c>
      <c r="M384" s="6">
        <f>IF(C384="","",IF('Daily Sale entry '!Q384="Collection 收款",ROUND(N('Daily Sale entry '!T384),2),0))</f>
        <v/>
      </c>
    </row>
    <row r="385">
      <c r="A385" t="inlineStr">
        <is>
          <t>Entry 记录</t>
        </is>
      </c>
      <c r="B385" s="5">
        <f>IF('Daily Sale entry '!P385="","",'Daily Sale entry '!O385)</f>
        <v/>
      </c>
      <c r="C385">
        <f>IF('Daily Sale entry '!P385="","",'Daily Sale entry '!P385)</f>
        <v/>
      </c>
      <c r="D385">
        <f>IF(C385="","",IF('Daily Sale entry '!Q385="Credit Sale 赊销",'Daily Sale entry '!S385,0))</f>
        <v/>
      </c>
      <c r="E385">
        <f>IF(C385="","",IF('Daily Sale entry '!Q385="Collection 收款",'Daily Sale entry '!S385,0))</f>
        <v/>
      </c>
      <c r="F385" s="37">
        <f>IF(C385="","",B385+IF(E385&gt;0,0,0.5)+ROW()/10000000)</f>
        <v/>
      </c>
      <c r="G385">
        <f>IF(C385="","",'Daily Sale entry '!Q385&amp;IF('Daily Sale entry '!Q385="Collection 收款"," ("&amp;'Daily Sale entry '!R385&amp;")","")&amp;IF('Daily Sale entry '!U385="",""," - "&amp;'Daily Sale entry '!U385))</f>
        <v/>
      </c>
      <c r="H385">
        <f>IF(C385="","",COUNTIFS($C$2:$C$3001,C385,$F$2:$F$3001,"&lt;"&amp;F385)+1)</f>
        <v/>
      </c>
      <c r="I385">
        <f>IF(C385="","",C385&amp;"|"&amp;H385)</f>
        <v/>
      </c>
      <c r="J385" s="6">
        <f>IF(C385="","",IF(H385=1,SUMIFS('Opening Balance'!$F$4:$F$303,'Opening Balance'!$G$4:$G$303,C385),INDEX($L$2:$L$3001,MATCH(C385&amp;"|"&amp;(H385-1),$I$2:$I$3001,0))))</f>
        <v/>
      </c>
      <c r="K385" s="6">
        <f>IF(C385="","",IF(M385&gt;0,M385,IF(AND(E385&gt;0,ROUND(J385+D385-E385,2)&gt;0,ROUND(J385+D385-E385,2)&lt;'Opening Balance'!$B$14),ROUND(J385+D385-E385,2),0)))</f>
        <v/>
      </c>
      <c r="L385" s="6">
        <f>IF(C385="","",ROUND(J385+D385-E385-K385,2))</f>
        <v/>
      </c>
      <c r="M385" s="6">
        <f>IF(C385="","",IF('Daily Sale entry '!Q385="Collection 收款",ROUND(N('Daily Sale entry '!T385),2),0))</f>
        <v/>
      </c>
    </row>
    <row r="386">
      <c r="A386" t="inlineStr">
        <is>
          <t>Entry 记录</t>
        </is>
      </c>
      <c r="B386" s="5">
        <f>IF('Daily Sale entry '!P386="","",'Daily Sale entry '!O386)</f>
        <v/>
      </c>
      <c r="C386">
        <f>IF('Daily Sale entry '!P386="","",'Daily Sale entry '!P386)</f>
        <v/>
      </c>
      <c r="D386">
        <f>IF(C386="","",IF('Daily Sale entry '!Q386="Credit Sale 赊销",'Daily Sale entry '!S386,0))</f>
        <v/>
      </c>
      <c r="E386">
        <f>IF(C386="","",IF('Daily Sale entry '!Q386="Collection 收款",'Daily Sale entry '!S386,0))</f>
        <v/>
      </c>
      <c r="F386" s="37">
        <f>IF(C386="","",B386+IF(E386&gt;0,0,0.5)+ROW()/10000000)</f>
        <v/>
      </c>
      <c r="G386">
        <f>IF(C386="","",'Daily Sale entry '!Q386&amp;IF('Daily Sale entry '!Q386="Collection 收款"," ("&amp;'Daily Sale entry '!R386&amp;")","")&amp;IF('Daily Sale entry '!U386="",""," - "&amp;'Daily Sale entry '!U386))</f>
        <v/>
      </c>
      <c r="H386">
        <f>IF(C386="","",COUNTIFS($C$2:$C$3001,C386,$F$2:$F$3001,"&lt;"&amp;F386)+1)</f>
        <v/>
      </c>
      <c r="I386">
        <f>IF(C386="","",C386&amp;"|"&amp;H386)</f>
        <v/>
      </c>
      <c r="J386" s="6">
        <f>IF(C386="","",IF(H386=1,SUMIFS('Opening Balance'!$F$4:$F$303,'Opening Balance'!$G$4:$G$303,C386),INDEX($L$2:$L$3001,MATCH(C386&amp;"|"&amp;(H386-1),$I$2:$I$3001,0))))</f>
        <v/>
      </c>
      <c r="K386" s="6">
        <f>IF(C386="","",IF(M386&gt;0,M386,IF(AND(E386&gt;0,ROUND(J386+D386-E386,2)&gt;0,ROUND(J386+D386-E386,2)&lt;'Opening Balance'!$B$14),ROUND(J386+D386-E386,2),0)))</f>
        <v/>
      </c>
      <c r="L386" s="6">
        <f>IF(C386="","",ROUND(J386+D386-E386-K386,2))</f>
        <v/>
      </c>
      <c r="M386" s="6">
        <f>IF(C386="","",IF('Daily Sale entry '!Q386="Collection 收款",ROUND(N('Daily Sale entry '!T386),2),0))</f>
        <v/>
      </c>
    </row>
    <row r="387">
      <c r="A387" t="inlineStr">
        <is>
          <t>Entry 记录</t>
        </is>
      </c>
      <c r="B387" s="5">
        <f>IF('Daily Sale entry '!P387="","",'Daily Sale entry '!O387)</f>
        <v/>
      </c>
      <c r="C387">
        <f>IF('Daily Sale entry '!P387="","",'Daily Sale entry '!P387)</f>
        <v/>
      </c>
      <c r="D387">
        <f>IF(C387="","",IF('Daily Sale entry '!Q387="Credit Sale 赊销",'Daily Sale entry '!S387,0))</f>
        <v/>
      </c>
      <c r="E387">
        <f>IF(C387="","",IF('Daily Sale entry '!Q387="Collection 收款",'Daily Sale entry '!S387,0))</f>
        <v/>
      </c>
      <c r="F387" s="37">
        <f>IF(C387="","",B387+IF(E387&gt;0,0,0.5)+ROW()/10000000)</f>
        <v/>
      </c>
      <c r="G387">
        <f>IF(C387="","",'Daily Sale entry '!Q387&amp;IF('Daily Sale entry '!Q387="Collection 收款"," ("&amp;'Daily Sale entry '!R387&amp;")","")&amp;IF('Daily Sale entry '!U387="",""," - "&amp;'Daily Sale entry '!U387))</f>
        <v/>
      </c>
      <c r="H387">
        <f>IF(C387="","",COUNTIFS($C$2:$C$3001,C387,$F$2:$F$3001,"&lt;"&amp;F387)+1)</f>
        <v/>
      </c>
      <c r="I387">
        <f>IF(C387="","",C387&amp;"|"&amp;H387)</f>
        <v/>
      </c>
      <c r="J387" s="6">
        <f>IF(C387="","",IF(H387=1,SUMIFS('Opening Balance'!$F$4:$F$303,'Opening Balance'!$G$4:$G$303,C387),INDEX($L$2:$L$3001,MATCH(C387&amp;"|"&amp;(H387-1),$I$2:$I$3001,0))))</f>
        <v/>
      </c>
      <c r="K387" s="6">
        <f>IF(C387="","",IF(M387&gt;0,M387,IF(AND(E387&gt;0,ROUND(J387+D387-E387,2)&gt;0,ROUND(J387+D387-E387,2)&lt;'Opening Balance'!$B$14),ROUND(J387+D387-E387,2),0)))</f>
        <v/>
      </c>
      <c r="L387" s="6">
        <f>IF(C387="","",ROUND(J387+D387-E387-K387,2))</f>
        <v/>
      </c>
      <c r="M387" s="6">
        <f>IF(C387="","",IF('Daily Sale entry '!Q387="Collection 收款",ROUND(N('Daily Sale entry '!T387),2),0))</f>
        <v/>
      </c>
    </row>
    <row r="388">
      <c r="A388" t="inlineStr">
        <is>
          <t>Entry 记录</t>
        </is>
      </c>
      <c r="B388" s="5">
        <f>IF('Daily Sale entry '!P388="","",'Daily Sale entry '!O388)</f>
        <v/>
      </c>
      <c r="C388">
        <f>IF('Daily Sale entry '!P388="","",'Daily Sale entry '!P388)</f>
        <v/>
      </c>
      <c r="D388">
        <f>IF(C388="","",IF('Daily Sale entry '!Q388="Credit Sale 赊销",'Daily Sale entry '!S388,0))</f>
        <v/>
      </c>
      <c r="E388">
        <f>IF(C388="","",IF('Daily Sale entry '!Q388="Collection 收款",'Daily Sale entry '!S388,0))</f>
        <v/>
      </c>
      <c r="F388" s="37">
        <f>IF(C388="","",B388+IF(E388&gt;0,0,0.5)+ROW()/10000000)</f>
        <v/>
      </c>
      <c r="G388">
        <f>IF(C388="","",'Daily Sale entry '!Q388&amp;IF('Daily Sale entry '!Q388="Collection 收款"," ("&amp;'Daily Sale entry '!R388&amp;")","")&amp;IF('Daily Sale entry '!U388="",""," - "&amp;'Daily Sale entry '!U388))</f>
        <v/>
      </c>
      <c r="H388">
        <f>IF(C388="","",COUNTIFS($C$2:$C$3001,C388,$F$2:$F$3001,"&lt;"&amp;F388)+1)</f>
        <v/>
      </c>
      <c r="I388">
        <f>IF(C388="","",C388&amp;"|"&amp;H388)</f>
        <v/>
      </c>
      <c r="J388" s="6">
        <f>IF(C388="","",IF(H388=1,SUMIFS('Opening Balance'!$F$4:$F$303,'Opening Balance'!$G$4:$G$303,C388),INDEX($L$2:$L$3001,MATCH(C388&amp;"|"&amp;(H388-1),$I$2:$I$3001,0))))</f>
        <v/>
      </c>
      <c r="K388" s="6">
        <f>IF(C388="","",IF(M388&gt;0,M388,IF(AND(E388&gt;0,ROUND(J388+D388-E388,2)&gt;0,ROUND(J388+D388-E388,2)&lt;'Opening Balance'!$B$14),ROUND(J388+D388-E388,2),0)))</f>
        <v/>
      </c>
      <c r="L388" s="6">
        <f>IF(C388="","",ROUND(J388+D388-E388-K388,2))</f>
        <v/>
      </c>
      <c r="M388" s="6">
        <f>IF(C388="","",IF('Daily Sale entry '!Q388="Collection 收款",ROUND(N('Daily Sale entry '!T388),2),0))</f>
        <v/>
      </c>
    </row>
    <row r="389">
      <c r="A389" t="inlineStr">
        <is>
          <t>Entry 记录</t>
        </is>
      </c>
      <c r="B389" s="5">
        <f>IF('Daily Sale entry '!P389="","",'Daily Sale entry '!O389)</f>
        <v/>
      </c>
      <c r="C389">
        <f>IF('Daily Sale entry '!P389="","",'Daily Sale entry '!P389)</f>
        <v/>
      </c>
      <c r="D389">
        <f>IF(C389="","",IF('Daily Sale entry '!Q389="Credit Sale 赊销",'Daily Sale entry '!S389,0))</f>
        <v/>
      </c>
      <c r="E389">
        <f>IF(C389="","",IF('Daily Sale entry '!Q389="Collection 收款",'Daily Sale entry '!S389,0))</f>
        <v/>
      </c>
      <c r="F389" s="37">
        <f>IF(C389="","",B389+IF(E389&gt;0,0,0.5)+ROW()/10000000)</f>
        <v/>
      </c>
      <c r="G389">
        <f>IF(C389="","",'Daily Sale entry '!Q389&amp;IF('Daily Sale entry '!Q389="Collection 收款"," ("&amp;'Daily Sale entry '!R389&amp;")","")&amp;IF('Daily Sale entry '!U389="",""," - "&amp;'Daily Sale entry '!U389))</f>
        <v/>
      </c>
      <c r="H389">
        <f>IF(C389="","",COUNTIFS($C$2:$C$3001,C389,$F$2:$F$3001,"&lt;"&amp;F389)+1)</f>
        <v/>
      </c>
      <c r="I389">
        <f>IF(C389="","",C389&amp;"|"&amp;H389)</f>
        <v/>
      </c>
      <c r="J389" s="6">
        <f>IF(C389="","",IF(H389=1,SUMIFS('Opening Balance'!$F$4:$F$303,'Opening Balance'!$G$4:$G$303,C389),INDEX($L$2:$L$3001,MATCH(C389&amp;"|"&amp;(H389-1),$I$2:$I$3001,0))))</f>
        <v/>
      </c>
      <c r="K389" s="6">
        <f>IF(C389="","",IF(M389&gt;0,M389,IF(AND(E389&gt;0,ROUND(J389+D389-E389,2)&gt;0,ROUND(J389+D389-E389,2)&lt;'Opening Balance'!$B$14),ROUND(J389+D389-E389,2),0)))</f>
        <v/>
      </c>
      <c r="L389" s="6">
        <f>IF(C389="","",ROUND(J389+D389-E389-K389,2))</f>
        <v/>
      </c>
      <c r="M389" s="6">
        <f>IF(C389="","",IF('Daily Sale entry '!Q389="Collection 收款",ROUND(N('Daily Sale entry '!T389),2),0))</f>
        <v/>
      </c>
    </row>
    <row r="390">
      <c r="A390" t="inlineStr">
        <is>
          <t>Entry 记录</t>
        </is>
      </c>
      <c r="B390" s="5">
        <f>IF('Daily Sale entry '!P390="","",'Daily Sale entry '!O390)</f>
        <v/>
      </c>
      <c r="C390">
        <f>IF('Daily Sale entry '!P390="","",'Daily Sale entry '!P390)</f>
        <v/>
      </c>
      <c r="D390">
        <f>IF(C390="","",IF('Daily Sale entry '!Q390="Credit Sale 赊销",'Daily Sale entry '!S390,0))</f>
        <v/>
      </c>
      <c r="E390">
        <f>IF(C390="","",IF('Daily Sale entry '!Q390="Collection 收款",'Daily Sale entry '!S390,0))</f>
        <v/>
      </c>
      <c r="F390" s="37">
        <f>IF(C390="","",B390+IF(E390&gt;0,0,0.5)+ROW()/10000000)</f>
        <v/>
      </c>
      <c r="G390">
        <f>IF(C390="","",'Daily Sale entry '!Q390&amp;IF('Daily Sale entry '!Q390="Collection 收款"," ("&amp;'Daily Sale entry '!R390&amp;")","")&amp;IF('Daily Sale entry '!U390="",""," - "&amp;'Daily Sale entry '!U390))</f>
        <v/>
      </c>
      <c r="H390">
        <f>IF(C390="","",COUNTIFS($C$2:$C$3001,C390,$F$2:$F$3001,"&lt;"&amp;F390)+1)</f>
        <v/>
      </c>
      <c r="I390">
        <f>IF(C390="","",C390&amp;"|"&amp;H390)</f>
        <v/>
      </c>
      <c r="J390" s="6">
        <f>IF(C390="","",IF(H390=1,SUMIFS('Opening Balance'!$F$4:$F$303,'Opening Balance'!$G$4:$G$303,C390),INDEX($L$2:$L$3001,MATCH(C390&amp;"|"&amp;(H390-1),$I$2:$I$3001,0))))</f>
        <v/>
      </c>
      <c r="K390" s="6">
        <f>IF(C390="","",IF(M390&gt;0,M390,IF(AND(E390&gt;0,ROUND(J390+D390-E390,2)&gt;0,ROUND(J390+D390-E390,2)&lt;'Opening Balance'!$B$14),ROUND(J390+D390-E390,2),0)))</f>
        <v/>
      </c>
      <c r="L390" s="6">
        <f>IF(C390="","",ROUND(J390+D390-E390-K390,2))</f>
        <v/>
      </c>
      <c r="M390" s="6">
        <f>IF(C390="","",IF('Daily Sale entry '!Q390="Collection 收款",ROUND(N('Daily Sale entry '!T390),2),0))</f>
        <v/>
      </c>
    </row>
    <row r="391">
      <c r="A391" t="inlineStr">
        <is>
          <t>Entry 记录</t>
        </is>
      </c>
      <c r="B391" s="5">
        <f>IF('Daily Sale entry '!P391="","",'Daily Sale entry '!O391)</f>
        <v/>
      </c>
      <c r="C391">
        <f>IF('Daily Sale entry '!P391="","",'Daily Sale entry '!P391)</f>
        <v/>
      </c>
      <c r="D391">
        <f>IF(C391="","",IF('Daily Sale entry '!Q391="Credit Sale 赊销",'Daily Sale entry '!S391,0))</f>
        <v/>
      </c>
      <c r="E391">
        <f>IF(C391="","",IF('Daily Sale entry '!Q391="Collection 收款",'Daily Sale entry '!S391,0))</f>
        <v/>
      </c>
      <c r="F391" s="37">
        <f>IF(C391="","",B391+IF(E391&gt;0,0,0.5)+ROW()/10000000)</f>
        <v/>
      </c>
      <c r="G391">
        <f>IF(C391="","",'Daily Sale entry '!Q391&amp;IF('Daily Sale entry '!Q391="Collection 收款"," ("&amp;'Daily Sale entry '!R391&amp;")","")&amp;IF('Daily Sale entry '!U391="",""," - "&amp;'Daily Sale entry '!U391))</f>
        <v/>
      </c>
      <c r="H391">
        <f>IF(C391="","",COUNTIFS($C$2:$C$3001,C391,$F$2:$F$3001,"&lt;"&amp;F391)+1)</f>
        <v/>
      </c>
      <c r="I391">
        <f>IF(C391="","",C391&amp;"|"&amp;H391)</f>
        <v/>
      </c>
      <c r="J391" s="6">
        <f>IF(C391="","",IF(H391=1,SUMIFS('Opening Balance'!$F$4:$F$303,'Opening Balance'!$G$4:$G$303,C391),INDEX($L$2:$L$3001,MATCH(C391&amp;"|"&amp;(H391-1),$I$2:$I$3001,0))))</f>
        <v/>
      </c>
      <c r="K391" s="6">
        <f>IF(C391="","",IF(M391&gt;0,M391,IF(AND(E391&gt;0,ROUND(J391+D391-E391,2)&gt;0,ROUND(J391+D391-E391,2)&lt;'Opening Balance'!$B$14),ROUND(J391+D391-E391,2),0)))</f>
        <v/>
      </c>
      <c r="L391" s="6">
        <f>IF(C391="","",ROUND(J391+D391-E391-K391,2))</f>
        <v/>
      </c>
      <c r="M391" s="6">
        <f>IF(C391="","",IF('Daily Sale entry '!Q391="Collection 收款",ROUND(N('Daily Sale entry '!T391),2),0))</f>
        <v/>
      </c>
    </row>
    <row r="392">
      <c r="A392" t="inlineStr">
        <is>
          <t>Entry 记录</t>
        </is>
      </c>
      <c r="B392" s="5">
        <f>IF('Daily Sale entry '!P392="","",'Daily Sale entry '!O392)</f>
        <v/>
      </c>
      <c r="C392">
        <f>IF('Daily Sale entry '!P392="","",'Daily Sale entry '!P392)</f>
        <v/>
      </c>
      <c r="D392">
        <f>IF(C392="","",IF('Daily Sale entry '!Q392="Credit Sale 赊销",'Daily Sale entry '!S392,0))</f>
        <v/>
      </c>
      <c r="E392">
        <f>IF(C392="","",IF('Daily Sale entry '!Q392="Collection 收款",'Daily Sale entry '!S392,0))</f>
        <v/>
      </c>
      <c r="F392" s="37">
        <f>IF(C392="","",B392+IF(E392&gt;0,0,0.5)+ROW()/10000000)</f>
        <v/>
      </c>
      <c r="G392">
        <f>IF(C392="","",'Daily Sale entry '!Q392&amp;IF('Daily Sale entry '!Q392="Collection 收款"," ("&amp;'Daily Sale entry '!R392&amp;")","")&amp;IF('Daily Sale entry '!U392="",""," - "&amp;'Daily Sale entry '!U392))</f>
        <v/>
      </c>
      <c r="H392">
        <f>IF(C392="","",COUNTIFS($C$2:$C$3001,C392,$F$2:$F$3001,"&lt;"&amp;F392)+1)</f>
        <v/>
      </c>
      <c r="I392">
        <f>IF(C392="","",C392&amp;"|"&amp;H392)</f>
        <v/>
      </c>
      <c r="J392" s="6">
        <f>IF(C392="","",IF(H392=1,SUMIFS('Opening Balance'!$F$4:$F$303,'Opening Balance'!$G$4:$G$303,C392),INDEX($L$2:$L$3001,MATCH(C392&amp;"|"&amp;(H392-1),$I$2:$I$3001,0))))</f>
        <v/>
      </c>
      <c r="K392" s="6">
        <f>IF(C392="","",IF(M392&gt;0,M392,IF(AND(E392&gt;0,ROUND(J392+D392-E392,2)&gt;0,ROUND(J392+D392-E392,2)&lt;'Opening Balance'!$B$14),ROUND(J392+D392-E392,2),0)))</f>
        <v/>
      </c>
      <c r="L392" s="6">
        <f>IF(C392="","",ROUND(J392+D392-E392-K392,2))</f>
        <v/>
      </c>
      <c r="M392" s="6">
        <f>IF(C392="","",IF('Daily Sale entry '!Q392="Collection 收款",ROUND(N('Daily Sale entry '!T392),2),0))</f>
        <v/>
      </c>
    </row>
    <row r="393">
      <c r="A393" t="inlineStr">
        <is>
          <t>Entry 记录</t>
        </is>
      </c>
      <c r="B393" s="5">
        <f>IF('Daily Sale entry '!P393="","",'Daily Sale entry '!O393)</f>
        <v/>
      </c>
      <c r="C393">
        <f>IF('Daily Sale entry '!P393="","",'Daily Sale entry '!P393)</f>
        <v/>
      </c>
      <c r="D393">
        <f>IF(C393="","",IF('Daily Sale entry '!Q393="Credit Sale 赊销",'Daily Sale entry '!S393,0))</f>
        <v/>
      </c>
      <c r="E393">
        <f>IF(C393="","",IF('Daily Sale entry '!Q393="Collection 收款",'Daily Sale entry '!S393,0))</f>
        <v/>
      </c>
      <c r="F393" s="37">
        <f>IF(C393="","",B393+IF(E393&gt;0,0,0.5)+ROW()/10000000)</f>
        <v/>
      </c>
      <c r="G393">
        <f>IF(C393="","",'Daily Sale entry '!Q393&amp;IF('Daily Sale entry '!Q393="Collection 收款"," ("&amp;'Daily Sale entry '!R393&amp;")","")&amp;IF('Daily Sale entry '!U393="",""," - "&amp;'Daily Sale entry '!U393))</f>
        <v/>
      </c>
      <c r="H393">
        <f>IF(C393="","",COUNTIFS($C$2:$C$3001,C393,$F$2:$F$3001,"&lt;"&amp;F393)+1)</f>
        <v/>
      </c>
      <c r="I393">
        <f>IF(C393="","",C393&amp;"|"&amp;H393)</f>
        <v/>
      </c>
      <c r="J393" s="6">
        <f>IF(C393="","",IF(H393=1,SUMIFS('Opening Balance'!$F$4:$F$303,'Opening Balance'!$G$4:$G$303,C393),INDEX($L$2:$L$3001,MATCH(C393&amp;"|"&amp;(H393-1),$I$2:$I$3001,0))))</f>
        <v/>
      </c>
      <c r="K393" s="6">
        <f>IF(C393="","",IF(M393&gt;0,M393,IF(AND(E393&gt;0,ROUND(J393+D393-E393,2)&gt;0,ROUND(J393+D393-E393,2)&lt;'Opening Balance'!$B$14),ROUND(J393+D393-E393,2),0)))</f>
        <v/>
      </c>
      <c r="L393" s="6">
        <f>IF(C393="","",ROUND(J393+D393-E393-K393,2))</f>
        <v/>
      </c>
      <c r="M393" s="6">
        <f>IF(C393="","",IF('Daily Sale entry '!Q393="Collection 收款",ROUND(N('Daily Sale entry '!T393),2),0))</f>
        <v/>
      </c>
    </row>
    <row r="394">
      <c r="A394" t="inlineStr">
        <is>
          <t>Entry 记录</t>
        </is>
      </c>
      <c r="B394" s="5">
        <f>IF('Daily Sale entry '!P394="","",'Daily Sale entry '!O394)</f>
        <v/>
      </c>
      <c r="C394">
        <f>IF('Daily Sale entry '!P394="","",'Daily Sale entry '!P394)</f>
        <v/>
      </c>
      <c r="D394">
        <f>IF(C394="","",IF('Daily Sale entry '!Q394="Credit Sale 赊销",'Daily Sale entry '!S394,0))</f>
        <v/>
      </c>
      <c r="E394">
        <f>IF(C394="","",IF('Daily Sale entry '!Q394="Collection 收款",'Daily Sale entry '!S394,0))</f>
        <v/>
      </c>
      <c r="F394" s="37">
        <f>IF(C394="","",B394+IF(E394&gt;0,0,0.5)+ROW()/10000000)</f>
        <v/>
      </c>
      <c r="G394">
        <f>IF(C394="","",'Daily Sale entry '!Q394&amp;IF('Daily Sale entry '!Q394="Collection 收款"," ("&amp;'Daily Sale entry '!R394&amp;")","")&amp;IF('Daily Sale entry '!U394="",""," - "&amp;'Daily Sale entry '!U394))</f>
        <v/>
      </c>
      <c r="H394">
        <f>IF(C394="","",COUNTIFS($C$2:$C$3001,C394,$F$2:$F$3001,"&lt;"&amp;F394)+1)</f>
        <v/>
      </c>
      <c r="I394">
        <f>IF(C394="","",C394&amp;"|"&amp;H394)</f>
        <v/>
      </c>
      <c r="J394" s="6">
        <f>IF(C394="","",IF(H394=1,SUMIFS('Opening Balance'!$F$4:$F$303,'Opening Balance'!$G$4:$G$303,C394),INDEX($L$2:$L$3001,MATCH(C394&amp;"|"&amp;(H394-1),$I$2:$I$3001,0))))</f>
        <v/>
      </c>
      <c r="K394" s="6">
        <f>IF(C394="","",IF(M394&gt;0,M394,IF(AND(E394&gt;0,ROUND(J394+D394-E394,2)&gt;0,ROUND(J394+D394-E394,2)&lt;'Opening Balance'!$B$14),ROUND(J394+D394-E394,2),0)))</f>
        <v/>
      </c>
      <c r="L394" s="6">
        <f>IF(C394="","",ROUND(J394+D394-E394-K394,2))</f>
        <v/>
      </c>
      <c r="M394" s="6">
        <f>IF(C394="","",IF('Daily Sale entry '!Q394="Collection 收款",ROUND(N('Daily Sale entry '!T394),2),0))</f>
        <v/>
      </c>
    </row>
    <row r="395">
      <c r="A395" t="inlineStr">
        <is>
          <t>Entry 记录</t>
        </is>
      </c>
      <c r="B395" s="5">
        <f>IF('Daily Sale entry '!P395="","",'Daily Sale entry '!O395)</f>
        <v/>
      </c>
      <c r="C395">
        <f>IF('Daily Sale entry '!P395="","",'Daily Sale entry '!P395)</f>
        <v/>
      </c>
      <c r="D395">
        <f>IF(C395="","",IF('Daily Sale entry '!Q395="Credit Sale 赊销",'Daily Sale entry '!S395,0))</f>
        <v/>
      </c>
      <c r="E395">
        <f>IF(C395="","",IF('Daily Sale entry '!Q395="Collection 收款",'Daily Sale entry '!S395,0))</f>
        <v/>
      </c>
      <c r="F395" s="37">
        <f>IF(C395="","",B395+IF(E395&gt;0,0,0.5)+ROW()/10000000)</f>
        <v/>
      </c>
      <c r="G395">
        <f>IF(C395="","",'Daily Sale entry '!Q395&amp;IF('Daily Sale entry '!Q395="Collection 收款"," ("&amp;'Daily Sale entry '!R395&amp;")","")&amp;IF('Daily Sale entry '!U395="",""," - "&amp;'Daily Sale entry '!U395))</f>
        <v/>
      </c>
      <c r="H395">
        <f>IF(C395="","",COUNTIFS($C$2:$C$3001,C395,$F$2:$F$3001,"&lt;"&amp;F395)+1)</f>
        <v/>
      </c>
      <c r="I395">
        <f>IF(C395="","",C395&amp;"|"&amp;H395)</f>
        <v/>
      </c>
      <c r="J395" s="6">
        <f>IF(C395="","",IF(H395=1,SUMIFS('Opening Balance'!$F$4:$F$303,'Opening Balance'!$G$4:$G$303,C395),INDEX($L$2:$L$3001,MATCH(C395&amp;"|"&amp;(H395-1),$I$2:$I$3001,0))))</f>
        <v/>
      </c>
      <c r="K395" s="6">
        <f>IF(C395="","",IF(M395&gt;0,M395,IF(AND(E395&gt;0,ROUND(J395+D395-E395,2)&gt;0,ROUND(J395+D395-E395,2)&lt;'Opening Balance'!$B$14),ROUND(J395+D395-E395,2),0)))</f>
        <v/>
      </c>
      <c r="L395" s="6">
        <f>IF(C395="","",ROUND(J395+D395-E395-K395,2))</f>
        <v/>
      </c>
      <c r="M395" s="6">
        <f>IF(C395="","",IF('Daily Sale entry '!Q395="Collection 收款",ROUND(N('Daily Sale entry '!T395),2),0))</f>
        <v/>
      </c>
    </row>
    <row r="396">
      <c r="A396" t="inlineStr">
        <is>
          <t>Entry 记录</t>
        </is>
      </c>
      <c r="B396" s="5">
        <f>IF('Daily Sale entry '!P396="","",'Daily Sale entry '!O396)</f>
        <v/>
      </c>
      <c r="C396">
        <f>IF('Daily Sale entry '!P396="","",'Daily Sale entry '!P396)</f>
        <v/>
      </c>
      <c r="D396">
        <f>IF(C396="","",IF('Daily Sale entry '!Q396="Credit Sale 赊销",'Daily Sale entry '!S396,0))</f>
        <v/>
      </c>
      <c r="E396">
        <f>IF(C396="","",IF('Daily Sale entry '!Q396="Collection 收款",'Daily Sale entry '!S396,0))</f>
        <v/>
      </c>
      <c r="F396" s="37">
        <f>IF(C396="","",B396+IF(E396&gt;0,0,0.5)+ROW()/10000000)</f>
        <v/>
      </c>
      <c r="G396">
        <f>IF(C396="","",'Daily Sale entry '!Q396&amp;IF('Daily Sale entry '!Q396="Collection 收款"," ("&amp;'Daily Sale entry '!R396&amp;")","")&amp;IF('Daily Sale entry '!U396="",""," - "&amp;'Daily Sale entry '!U396))</f>
        <v/>
      </c>
      <c r="H396">
        <f>IF(C396="","",COUNTIFS($C$2:$C$3001,C396,$F$2:$F$3001,"&lt;"&amp;F396)+1)</f>
        <v/>
      </c>
      <c r="I396">
        <f>IF(C396="","",C396&amp;"|"&amp;H396)</f>
        <v/>
      </c>
      <c r="J396" s="6">
        <f>IF(C396="","",IF(H396=1,SUMIFS('Opening Balance'!$F$4:$F$303,'Opening Balance'!$G$4:$G$303,C396),INDEX($L$2:$L$3001,MATCH(C396&amp;"|"&amp;(H396-1),$I$2:$I$3001,0))))</f>
        <v/>
      </c>
      <c r="K396" s="6">
        <f>IF(C396="","",IF(M396&gt;0,M396,IF(AND(E396&gt;0,ROUND(J396+D396-E396,2)&gt;0,ROUND(J396+D396-E396,2)&lt;'Opening Balance'!$B$14),ROUND(J396+D396-E396,2),0)))</f>
        <v/>
      </c>
      <c r="L396" s="6">
        <f>IF(C396="","",ROUND(J396+D396-E396-K396,2))</f>
        <v/>
      </c>
      <c r="M396" s="6">
        <f>IF(C396="","",IF('Daily Sale entry '!Q396="Collection 收款",ROUND(N('Daily Sale entry '!T396),2),0))</f>
        <v/>
      </c>
    </row>
    <row r="397">
      <c r="A397" t="inlineStr">
        <is>
          <t>Entry 记录</t>
        </is>
      </c>
      <c r="B397" s="5">
        <f>IF('Daily Sale entry '!P397="","",'Daily Sale entry '!O397)</f>
        <v/>
      </c>
      <c r="C397">
        <f>IF('Daily Sale entry '!P397="","",'Daily Sale entry '!P397)</f>
        <v/>
      </c>
      <c r="D397">
        <f>IF(C397="","",IF('Daily Sale entry '!Q397="Credit Sale 赊销",'Daily Sale entry '!S397,0))</f>
        <v/>
      </c>
      <c r="E397">
        <f>IF(C397="","",IF('Daily Sale entry '!Q397="Collection 收款",'Daily Sale entry '!S397,0))</f>
        <v/>
      </c>
      <c r="F397" s="37">
        <f>IF(C397="","",B397+IF(E397&gt;0,0,0.5)+ROW()/10000000)</f>
        <v/>
      </c>
      <c r="G397">
        <f>IF(C397="","",'Daily Sale entry '!Q397&amp;IF('Daily Sale entry '!Q397="Collection 收款"," ("&amp;'Daily Sale entry '!R397&amp;")","")&amp;IF('Daily Sale entry '!U397="",""," - "&amp;'Daily Sale entry '!U397))</f>
        <v/>
      </c>
      <c r="H397">
        <f>IF(C397="","",COUNTIFS($C$2:$C$3001,C397,$F$2:$F$3001,"&lt;"&amp;F397)+1)</f>
        <v/>
      </c>
      <c r="I397">
        <f>IF(C397="","",C397&amp;"|"&amp;H397)</f>
        <v/>
      </c>
      <c r="J397" s="6">
        <f>IF(C397="","",IF(H397=1,SUMIFS('Opening Balance'!$F$4:$F$303,'Opening Balance'!$G$4:$G$303,C397),INDEX($L$2:$L$3001,MATCH(C397&amp;"|"&amp;(H397-1),$I$2:$I$3001,0))))</f>
        <v/>
      </c>
      <c r="K397" s="6">
        <f>IF(C397="","",IF(M397&gt;0,M397,IF(AND(E397&gt;0,ROUND(J397+D397-E397,2)&gt;0,ROUND(J397+D397-E397,2)&lt;'Opening Balance'!$B$14),ROUND(J397+D397-E397,2),0)))</f>
        <v/>
      </c>
      <c r="L397" s="6">
        <f>IF(C397="","",ROUND(J397+D397-E397-K397,2))</f>
        <v/>
      </c>
      <c r="M397" s="6">
        <f>IF(C397="","",IF('Daily Sale entry '!Q397="Collection 收款",ROUND(N('Daily Sale entry '!T397),2),0))</f>
        <v/>
      </c>
    </row>
    <row r="398">
      <c r="A398" t="inlineStr">
        <is>
          <t>Entry 记录</t>
        </is>
      </c>
      <c r="B398" s="5">
        <f>IF('Daily Sale entry '!P398="","",'Daily Sale entry '!O398)</f>
        <v/>
      </c>
      <c r="C398">
        <f>IF('Daily Sale entry '!P398="","",'Daily Sale entry '!P398)</f>
        <v/>
      </c>
      <c r="D398">
        <f>IF(C398="","",IF('Daily Sale entry '!Q398="Credit Sale 赊销",'Daily Sale entry '!S398,0))</f>
        <v/>
      </c>
      <c r="E398">
        <f>IF(C398="","",IF('Daily Sale entry '!Q398="Collection 收款",'Daily Sale entry '!S398,0))</f>
        <v/>
      </c>
      <c r="F398" s="37">
        <f>IF(C398="","",B398+IF(E398&gt;0,0,0.5)+ROW()/10000000)</f>
        <v/>
      </c>
      <c r="G398">
        <f>IF(C398="","",'Daily Sale entry '!Q398&amp;IF('Daily Sale entry '!Q398="Collection 收款"," ("&amp;'Daily Sale entry '!R398&amp;")","")&amp;IF('Daily Sale entry '!U398="",""," - "&amp;'Daily Sale entry '!U398))</f>
        <v/>
      </c>
      <c r="H398">
        <f>IF(C398="","",COUNTIFS($C$2:$C$3001,C398,$F$2:$F$3001,"&lt;"&amp;F398)+1)</f>
        <v/>
      </c>
      <c r="I398">
        <f>IF(C398="","",C398&amp;"|"&amp;H398)</f>
        <v/>
      </c>
      <c r="J398" s="6">
        <f>IF(C398="","",IF(H398=1,SUMIFS('Opening Balance'!$F$4:$F$303,'Opening Balance'!$G$4:$G$303,C398),INDEX($L$2:$L$3001,MATCH(C398&amp;"|"&amp;(H398-1),$I$2:$I$3001,0))))</f>
        <v/>
      </c>
      <c r="K398" s="6">
        <f>IF(C398="","",IF(M398&gt;0,M398,IF(AND(E398&gt;0,ROUND(J398+D398-E398,2)&gt;0,ROUND(J398+D398-E398,2)&lt;'Opening Balance'!$B$14),ROUND(J398+D398-E398,2),0)))</f>
        <v/>
      </c>
      <c r="L398" s="6">
        <f>IF(C398="","",ROUND(J398+D398-E398-K398,2))</f>
        <v/>
      </c>
      <c r="M398" s="6">
        <f>IF(C398="","",IF('Daily Sale entry '!Q398="Collection 收款",ROUND(N('Daily Sale entry '!T398),2),0))</f>
        <v/>
      </c>
    </row>
    <row r="399">
      <c r="A399" t="inlineStr">
        <is>
          <t>Entry 记录</t>
        </is>
      </c>
      <c r="B399" s="5">
        <f>IF('Daily Sale entry '!P399="","",'Daily Sale entry '!O399)</f>
        <v/>
      </c>
      <c r="C399">
        <f>IF('Daily Sale entry '!P399="","",'Daily Sale entry '!P399)</f>
        <v/>
      </c>
      <c r="D399">
        <f>IF(C399="","",IF('Daily Sale entry '!Q399="Credit Sale 赊销",'Daily Sale entry '!S399,0))</f>
        <v/>
      </c>
      <c r="E399">
        <f>IF(C399="","",IF('Daily Sale entry '!Q399="Collection 收款",'Daily Sale entry '!S399,0))</f>
        <v/>
      </c>
      <c r="F399" s="37">
        <f>IF(C399="","",B399+IF(E399&gt;0,0,0.5)+ROW()/10000000)</f>
        <v/>
      </c>
      <c r="G399">
        <f>IF(C399="","",'Daily Sale entry '!Q399&amp;IF('Daily Sale entry '!Q399="Collection 收款"," ("&amp;'Daily Sale entry '!R399&amp;")","")&amp;IF('Daily Sale entry '!U399="",""," - "&amp;'Daily Sale entry '!U399))</f>
        <v/>
      </c>
      <c r="H399">
        <f>IF(C399="","",COUNTIFS($C$2:$C$3001,C399,$F$2:$F$3001,"&lt;"&amp;F399)+1)</f>
        <v/>
      </c>
      <c r="I399">
        <f>IF(C399="","",C399&amp;"|"&amp;H399)</f>
        <v/>
      </c>
      <c r="J399" s="6">
        <f>IF(C399="","",IF(H399=1,SUMIFS('Opening Balance'!$F$4:$F$303,'Opening Balance'!$G$4:$G$303,C399),INDEX($L$2:$L$3001,MATCH(C399&amp;"|"&amp;(H399-1),$I$2:$I$3001,0))))</f>
        <v/>
      </c>
      <c r="K399" s="6">
        <f>IF(C399="","",IF(M399&gt;0,M399,IF(AND(E399&gt;0,ROUND(J399+D399-E399,2)&gt;0,ROUND(J399+D399-E399,2)&lt;'Opening Balance'!$B$14),ROUND(J399+D399-E399,2),0)))</f>
        <v/>
      </c>
      <c r="L399" s="6">
        <f>IF(C399="","",ROUND(J399+D399-E399-K399,2))</f>
        <v/>
      </c>
      <c r="M399" s="6">
        <f>IF(C399="","",IF('Daily Sale entry '!Q399="Collection 收款",ROUND(N('Daily Sale entry '!T399),2),0))</f>
        <v/>
      </c>
    </row>
    <row r="400">
      <c r="A400" t="inlineStr">
        <is>
          <t>Entry 记录</t>
        </is>
      </c>
      <c r="B400" s="5">
        <f>IF('Daily Sale entry '!P400="","",'Daily Sale entry '!O400)</f>
        <v/>
      </c>
      <c r="C400">
        <f>IF('Daily Sale entry '!P400="","",'Daily Sale entry '!P400)</f>
        <v/>
      </c>
      <c r="D400">
        <f>IF(C400="","",IF('Daily Sale entry '!Q400="Credit Sale 赊销",'Daily Sale entry '!S400,0))</f>
        <v/>
      </c>
      <c r="E400">
        <f>IF(C400="","",IF('Daily Sale entry '!Q400="Collection 收款",'Daily Sale entry '!S400,0))</f>
        <v/>
      </c>
      <c r="F400" s="37">
        <f>IF(C400="","",B400+IF(E400&gt;0,0,0.5)+ROW()/10000000)</f>
        <v/>
      </c>
      <c r="G400">
        <f>IF(C400="","",'Daily Sale entry '!Q400&amp;IF('Daily Sale entry '!Q400="Collection 收款"," ("&amp;'Daily Sale entry '!R400&amp;")","")&amp;IF('Daily Sale entry '!U400="",""," - "&amp;'Daily Sale entry '!U400))</f>
        <v/>
      </c>
      <c r="H400">
        <f>IF(C400="","",COUNTIFS($C$2:$C$3001,C400,$F$2:$F$3001,"&lt;"&amp;F400)+1)</f>
        <v/>
      </c>
      <c r="I400">
        <f>IF(C400="","",C400&amp;"|"&amp;H400)</f>
        <v/>
      </c>
      <c r="J400" s="6">
        <f>IF(C400="","",IF(H400=1,SUMIFS('Opening Balance'!$F$4:$F$303,'Opening Balance'!$G$4:$G$303,C400),INDEX($L$2:$L$3001,MATCH(C400&amp;"|"&amp;(H400-1),$I$2:$I$3001,0))))</f>
        <v/>
      </c>
      <c r="K400" s="6">
        <f>IF(C400="","",IF(M400&gt;0,M400,IF(AND(E400&gt;0,ROUND(J400+D400-E400,2)&gt;0,ROUND(J400+D400-E400,2)&lt;'Opening Balance'!$B$14),ROUND(J400+D400-E400,2),0)))</f>
        <v/>
      </c>
      <c r="L400" s="6">
        <f>IF(C400="","",ROUND(J400+D400-E400-K400,2))</f>
        <v/>
      </c>
      <c r="M400" s="6">
        <f>IF(C400="","",IF('Daily Sale entry '!Q400="Collection 收款",ROUND(N('Daily Sale entry '!T400),2),0))</f>
        <v/>
      </c>
    </row>
    <row r="401">
      <c r="A401" t="inlineStr">
        <is>
          <t>Entry 记录</t>
        </is>
      </c>
      <c r="B401" s="5">
        <f>IF('Daily Sale entry '!P401="","",'Daily Sale entry '!O401)</f>
        <v/>
      </c>
      <c r="C401">
        <f>IF('Daily Sale entry '!P401="","",'Daily Sale entry '!P401)</f>
        <v/>
      </c>
      <c r="D401">
        <f>IF(C401="","",IF('Daily Sale entry '!Q401="Credit Sale 赊销",'Daily Sale entry '!S401,0))</f>
        <v/>
      </c>
      <c r="E401">
        <f>IF(C401="","",IF('Daily Sale entry '!Q401="Collection 收款",'Daily Sale entry '!S401,0))</f>
        <v/>
      </c>
      <c r="F401" s="37">
        <f>IF(C401="","",B401+IF(E401&gt;0,0,0.5)+ROW()/10000000)</f>
        <v/>
      </c>
      <c r="G401">
        <f>IF(C401="","",'Daily Sale entry '!Q401&amp;IF('Daily Sale entry '!Q401="Collection 收款"," ("&amp;'Daily Sale entry '!R401&amp;")","")&amp;IF('Daily Sale entry '!U401="",""," - "&amp;'Daily Sale entry '!U401))</f>
        <v/>
      </c>
      <c r="H401">
        <f>IF(C401="","",COUNTIFS($C$2:$C$3001,C401,$F$2:$F$3001,"&lt;"&amp;F401)+1)</f>
        <v/>
      </c>
      <c r="I401">
        <f>IF(C401="","",C401&amp;"|"&amp;H401)</f>
        <v/>
      </c>
      <c r="J401" s="6">
        <f>IF(C401="","",IF(H401=1,SUMIFS('Opening Balance'!$F$4:$F$303,'Opening Balance'!$G$4:$G$303,C401),INDEX($L$2:$L$3001,MATCH(C401&amp;"|"&amp;(H401-1),$I$2:$I$3001,0))))</f>
        <v/>
      </c>
      <c r="K401" s="6">
        <f>IF(C401="","",IF(M401&gt;0,M401,IF(AND(E401&gt;0,ROUND(J401+D401-E401,2)&gt;0,ROUND(J401+D401-E401,2)&lt;'Opening Balance'!$B$14),ROUND(J401+D401-E401,2),0)))</f>
        <v/>
      </c>
      <c r="L401" s="6">
        <f>IF(C401="","",ROUND(J401+D401-E401-K401,2))</f>
        <v/>
      </c>
      <c r="M401" s="6">
        <f>IF(C401="","",IF('Daily Sale entry '!Q401="Collection 收款",ROUND(N('Daily Sale entry '!T401),2),0))</f>
        <v/>
      </c>
    </row>
    <row r="402">
      <c r="A402" t="inlineStr">
        <is>
          <t>Entry 记录</t>
        </is>
      </c>
      <c r="B402" s="5">
        <f>IF('Daily Sale entry '!P402="","",'Daily Sale entry '!O402)</f>
        <v/>
      </c>
      <c r="C402">
        <f>IF('Daily Sale entry '!P402="","",'Daily Sale entry '!P402)</f>
        <v/>
      </c>
      <c r="D402">
        <f>IF(C402="","",IF('Daily Sale entry '!Q402="Credit Sale 赊销",'Daily Sale entry '!S402,0))</f>
        <v/>
      </c>
      <c r="E402">
        <f>IF(C402="","",IF('Daily Sale entry '!Q402="Collection 收款",'Daily Sale entry '!S402,0))</f>
        <v/>
      </c>
      <c r="F402" s="37">
        <f>IF(C402="","",B402+IF(E402&gt;0,0,0.5)+ROW()/10000000)</f>
        <v/>
      </c>
      <c r="G402">
        <f>IF(C402="","",'Daily Sale entry '!Q402&amp;IF('Daily Sale entry '!Q402="Collection 收款"," ("&amp;'Daily Sale entry '!R402&amp;")","")&amp;IF('Daily Sale entry '!U402="",""," - "&amp;'Daily Sale entry '!U402))</f>
        <v/>
      </c>
      <c r="H402">
        <f>IF(C402="","",COUNTIFS($C$2:$C$3001,C402,$F$2:$F$3001,"&lt;"&amp;F402)+1)</f>
        <v/>
      </c>
      <c r="I402">
        <f>IF(C402="","",C402&amp;"|"&amp;H402)</f>
        <v/>
      </c>
      <c r="J402" s="6">
        <f>IF(C402="","",IF(H402=1,SUMIFS('Opening Balance'!$F$4:$F$303,'Opening Balance'!$G$4:$G$303,C402),INDEX($L$2:$L$3001,MATCH(C402&amp;"|"&amp;(H402-1),$I$2:$I$3001,0))))</f>
        <v/>
      </c>
      <c r="K402" s="6">
        <f>IF(C402="","",IF(M402&gt;0,M402,IF(AND(E402&gt;0,ROUND(J402+D402-E402,2)&gt;0,ROUND(J402+D402-E402,2)&lt;'Opening Balance'!$B$14),ROUND(J402+D402-E402,2),0)))</f>
        <v/>
      </c>
      <c r="L402" s="6">
        <f>IF(C402="","",ROUND(J402+D402-E402-K402,2))</f>
        <v/>
      </c>
      <c r="M402" s="6">
        <f>IF(C402="","",IF('Daily Sale entry '!Q402="Collection 收款",ROUND(N('Daily Sale entry '!T402),2),0))</f>
        <v/>
      </c>
    </row>
    <row r="403">
      <c r="A403" t="inlineStr">
        <is>
          <t>Entry 记录</t>
        </is>
      </c>
      <c r="B403" s="5">
        <f>IF('Daily Sale entry '!P403="","",'Daily Sale entry '!O403)</f>
        <v/>
      </c>
      <c r="C403">
        <f>IF('Daily Sale entry '!P403="","",'Daily Sale entry '!P403)</f>
        <v/>
      </c>
      <c r="D403">
        <f>IF(C403="","",IF('Daily Sale entry '!Q403="Credit Sale 赊销",'Daily Sale entry '!S403,0))</f>
        <v/>
      </c>
      <c r="E403">
        <f>IF(C403="","",IF('Daily Sale entry '!Q403="Collection 收款",'Daily Sale entry '!S403,0))</f>
        <v/>
      </c>
      <c r="F403" s="37">
        <f>IF(C403="","",B403+IF(E403&gt;0,0,0.5)+ROW()/10000000)</f>
        <v/>
      </c>
      <c r="G403">
        <f>IF(C403="","",'Daily Sale entry '!Q403&amp;IF('Daily Sale entry '!Q403="Collection 收款"," ("&amp;'Daily Sale entry '!R403&amp;")","")&amp;IF('Daily Sale entry '!U403="",""," - "&amp;'Daily Sale entry '!U403))</f>
        <v/>
      </c>
      <c r="H403">
        <f>IF(C403="","",COUNTIFS($C$2:$C$3001,C403,$F$2:$F$3001,"&lt;"&amp;F403)+1)</f>
        <v/>
      </c>
      <c r="I403">
        <f>IF(C403="","",C403&amp;"|"&amp;H403)</f>
        <v/>
      </c>
      <c r="J403" s="6">
        <f>IF(C403="","",IF(H403=1,SUMIFS('Opening Balance'!$F$4:$F$303,'Opening Balance'!$G$4:$G$303,C403),INDEX($L$2:$L$3001,MATCH(C403&amp;"|"&amp;(H403-1),$I$2:$I$3001,0))))</f>
        <v/>
      </c>
      <c r="K403" s="6">
        <f>IF(C403="","",IF(M403&gt;0,M403,IF(AND(E403&gt;0,ROUND(J403+D403-E403,2)&gt;0,ROUND(J403+D403-E403,2)&lt;'Opening Balance'!$B$14),ROUND(J403+D403-E403,2),0)))</f>
        <v/>
      </c>
      <c r="L403" s="6">
        <f>IF(C403="","",ROUND(J403+D403-E403-K403,2))</f>
        <v/>
      </c>
      <c r="M403" s="6">
        <f>IF(C403="","",IF('Daily Sale entry '!Q403="Collection 收款",ROUND(N('Daily Sale entry '!T403),2),0))</f>
        <v/>
      </c>
    </row>
    <row r="404">
      <c r="A404" t="inlineStr">
        <is>
          <t>Entry 记录</t>
        </is>
      </c>
      <c r="B404" s="5">
        <f>IF('Daily Sale entry '!P404="","",'Daily Sale entry '!O404)</f>
        <v/>
      </c>
      <c r="C404">
        <f>IF('Daily Sale entry '!P404="","",'Daily Sale entry '!P404)</f>
        <v/>
      </c>
      <c r="D404">
        <f>IF(C404="","",IF('Daily Sale entry '!Q404="Credit Sale 赊销",'Daily Sale entry '!S404,0))</f>
        <v/>
      </c>
      <c r="E404">
        <f>IF(C404="","",IF('Daily Sale entry '!Q404="Collection 收款",'Daily Sale entry '!S404,0))</f>
        <v/>
      </c>
      <c r="F404" s="37">
        <f>IF(C404="","",B404+IF(E404&gt;0,0,0.5)+ROW()/10000000)</f>
        <v/>
      </c>
      <c r="G404">
        <f>IF(C404="","",'Daily Sale entry '!Q404&amp;IF('Daily Sale entry '!Q404="Collection 收款"," ("&amp;'Daily Sale entry '!R404&amp;")","")&amp;IF('Daily Sale entry '!U404="",""," - "&amp;'Daily Sale entry '!U404))</f>
        <v/>
      </c>
      <c r="H404">
        <f>IF(C404="","",COUNTIFS($C$2:$C$3001,C404,$F$2:$F$3001,"&lt;"&amp;F404)+1)</f>
        <v/>
      </c>
      <c r="I404">
        <f>IF(C404="","",C404&amp;"|"&amp;H404)</f>
        <v/>
      </c>
      <c r="J404" s="6">
        <f>IF(C404="","",IF(H404=1,SUMIFS('Opening Balance'!$F$4:$F$303,'Opening Balance'!$G$4:$G$303,C404),INDEX($L$2:$L$3001,MATCH(C404&amp;"|"&amp;(H404-1),$I$2:$I$3001,0))))</f>
        <v/>
      </c>
      <c r="K404" s="6">
        <f>IF(C404="","",IF(M404&gt;0,M404,IF(AND(E404&gt;0,ROUND(J404+D404-E404,2)&gt;0,ROUND(J404+D404-E404,2)&lt;'Opening Balance'!$B$14),ROUND(J404+D404-E404,2),0)))</f>
        <v/>
      </c>
      <c r="L404" s="6">
        <f>IF(C404="","",ROUND(J404+D404-E404-K404,2))</f>
        <v/>
      </c>
      <c r="M404" s="6">
        <f>IF(C404="","",IF('Daily Sale entry '!Q404="Collection 收款",ROUND(N('Daily Sale entry '!T404),2),0))</f>
        <v/>
      </c>
    </row>
    <row r="405">
      <c r="A405" t="inlineStr">
        <is>
          <t>Entry 记录</t>
        </is>
      </c>
      <c r="B405" s="5">
        <f>IF('Daily Sale entry '!P405="","",'Daily Sale entry '!O405)</f>
        <v/>
      </c>
      <c r="C405">
        <f>IF('Daily Sale entry '!P405="","",'Daily Sale entry '!P405)</f>
        <v/>
      </c>
      <c r="D405">
        <f>IF(C405="","",IF('Daily Sale entry '!Q405="Credit Sale 赊销",'Daily Sale entry '!S405,0))</f>
        <v/>
      </c>
      <c r="E405">
        <f>IF(C405="","",IF('Daily Sale entry '!Q405="Collection 收款",'Daily Sale entry '!S405,0))</f>
        <v/>
      </c>
      <c r="F405" s="37">
        <f>IF(C405="","",B405+IF(E405&gt;0,0,0.5)+ROW()/10000000)</f>
        <v/>
      </c>
      <c r="G405">
        <f>IF(C405="","",'Daily Sale entry '!Q405&amp;IF('Daily Sale entry '!Q405="Collection 收款"," ("&amp;'Daily Sale entry '!R405&amp;")","")&amp;IF('Daily Sale entry '!U405="",""," - "&amp;'Daily Sale entry '!U405))</f>
        <v/>
      </c>
      <c r="H405">
        <f>IF(C405="","",COUNTIFS($C$2:$C$3001,C405,$F$2:$F$3001,"&lt;"&amp;F405)+1)</f>
        <v/>
      </c>
      <c r="I405">
        <f>IF(C405="","",C405&amp;"|"&amp;H405)</f>
        <v/>
      </c>
      <c r="J405" s="6">
        <f>IF(C405="","",IF(H405=1,SUMIFS('Opening Balance'!$F$4:$F$303,'Opening Balance'!$G$4:$G$303,C405),INDEX($L$2:$L$3001,MATCH(C405&amp;"|"&amp;(H405-1),$I$2:$I$3001,0))))</f>
        <v/>
      </c>
      <c r="K405" s="6">
        <f>IF(C405="","",IF(M405&gt;0,M405,IF(AND(E405&gt;0,ROUND(J405+D405-E405,2)&gt;0,ROUND(J405+D405-E405,2)&lt;'Opening Balance'!$B$14),ROUND(J405+D405-E405,2),0)))</f>
        <v/>
      </c>
      <c r="L405" s="6">
        <f>IF(C405="","",ROUND(J405+D405-E405-K405,2))</f>
        <v/>
      </c>
      <c r="M405" s="6">
        <f>IF(C405="","",IF('Daily Sale entry '!Q405="Collection 收款",ROUND(N('Daily Sale entry '!T405),2),0))</f>
        <v/>
      </c>
    </row>
    <row r="406">
      <c r="A406" t="inlineStr">
        <is>
          <t>Entry 记录</t>
        </is>
      </c>
      <c r="B406" s="5">
        <f>IF('Daily Sale entry '!P406="","",'Daily Sale entry '!O406)</f>
        <v/>
      </c>
      <c r="C406">
        <f>IF('Daily Sale entry '!P406="","",'Daily Sale entry '!P406)</f>
        <v/>
      </c>
      <c r="D406">
        <f>IF(C406="","",IF('Daily Sale entry '!Q406="Credit Sale 赊销",'Daily Sale entry '!S406,0))</f>
        <v/>
      </c>
      <c r="E406">
        <f>IF(C406="","",IF('Daily Sale entry '!Q406="Collection 收款",'Daily Sale entry '!S406,0))</f>
        <v/>
      </c>
      <c r="F406" s="37">
        <f>IF(C406="","",B406+IF(E406&gt;0,0,0.5)+ROW()/10000000)</f>
        <v/>
      </c>
      <c r="G406">
        <f>IF(C406="","",'Daily Sale entry '!Q406&amp;IF('Daily Sale entry '!Q406="Collection 收款"," ("&amp;'Daily Sale entry '!R406&amp;")","")&amp;IF('Daily Sale entry '!U406="",""," - "&amp;'Daily Sale entry '!U406))</f>
        <v/>
      </c>
      <c r="H406">
        <f>IF(C406="","",COUNTIFS($C$2:$C$3001,C406,$F$2:$F$3001,"&lt;"&amp;F406)+1)</f>
        <v/>
      </c>
      <c r="I406">
        <f>IF(C406="","",C406&amp;"|"&amp;H406)</f>
        <v/>
      </c>
      <c r="J406" s="6">
        <f>IF(C406="","",IF(H406=1,SUMIFS('Opening Balance'!$F$4:$F$303,'Opening Balance'!$G$4:$G$303,C406),INDEX($L$2:$L$3001,MATCH(C406&amp;"|"&amp;(H406-1),$I$2:$I$3001,0))))</f>
        <v/>
      </c>
      <c r="K406" s="6">
        <f>IF(C406="","",IF(M406&gt;0,M406,IF(AND(E406&gt;0,ROUND(J406+D406-E406,2)&gt;0,ROUND(J406+D406-E406,2)&lt;'Opening Balance'!$B$14),ROUND(J406+D406-E406,2),0)))</f>
        <v/>
      </c>
      <c r="L406" s="6">
        <f>IF(C406="","",ROUND(J406+D406-E406-K406,2))</f>
        <v/>
      </c>
      <c r="M406" s="6">
        <f>IF(C406="","",IF('Daily Sale entry '!Q406="Collection 收款",ROUND(N('Daily Sale entry '!T406),2),0))</f>
        <v/>
      </c>
    </row>
    <row r="407">
      <c r="A407" t="inlineStr">
        <is>
          <t>Entry 记录</t>
        </is>
      </c>
      <c r="B407" s="5">
        <f>IF('Daily Sale entry '!P407="","",'Daily Sale entry '!O407)</f>
        <v/>
      </c>
      <c r="C407">
        <f>IF('Daily Sale entry '!P407="","",'Daily Sale entry '!P407)</f>
        <v/>
      </c>
      <c r="D407">
        <f>IF(C407="","",IF('Daily Sale entry '!Q407="Credit Sale 赊销",'Daily Sale entry '!S407,0))</f>
        <v/>
      </c>
      <c r="E407">
        <f>IF(C407="","",IF('Daily Sale entry '!Q407="Collection 收款",'Daily Sale entry '!S407,0))</f>
        <v/>
      </c>
      <c r="F407" s="37">
        <f>IF(C407="","",B407+IF(E407&gt;0,0,0.5)+ROW()/10000000)</f>
        <v/>
      </c>
      <c r="G407">
        <f>IF(C407="","",'Daily Sale entry '!Q407&amp;IF('Daily Sale entry '!Q407="Collection 收款"," ("&amp;'Daily Sale entry '!R407&amp;")","")&amp;IF('Daily Sale entry '!U407="",""," - "&amp;'Daily Sale entry '!U407))</f>
        <v/>
      </c>
      <c r="H407">
        <f>IF(C407="","",COUNTIFS($C$2:$C$3001,C407,$F$2:$F$3001,"&lt;"&amp;F407)+1)</f>
        <v/>
      </c>
      <c r="I407">
        <f>IF(C407="","",C407&amp;"|"&amp;H407)</f>
        <v/>
      </c>
      <c r="J407" s="6">
        <f>IF(C407="","",IF(H407=1,SUMIFS('Opening Balance'!$F$4:$F$303,'Opening Balance'!$G$4:$G$303,C407),INDEX($L$2:$L$3001,MATCH(C407&amp;"|"&amp;(H407-1),$I$2:$I$3001,0))))</f>
        <v/>
      </c>
      <c r="K407" s="6">
        <f>IF(C407="","",IF(M407&gt;0,M407,IF(AND(E407&gt;0,ROUND(J407+D407-E407,2)&gt;0,ROUND(J407+D407-E407,2)&lt;'Opening Balance'!$B$14),ROUND(J407+D407-E407,2),0)))</f>
        <v/>
      </c>
      <c r="L407" s="6">
        <f>IF(C407="","",ROUND(J407+D407-E407-K407,2))</f>
        <v/>
      </c>
      <c r="M407" s="6">
        <f>IF(C407="","",IF('Daily Sale entry '!Q407="Collection 收款",ROUND(N('Daily Sale entry '!T407),2),0))</f>
        <v/>
      </c>
    </row>
    <row r="408">
      <c r="A408" t="inlineStr">
        <is>
          <t>Entry 记录</t>
        </is>
      </c>
      <c r="B408" s="5">
        <f>IF('Daily Sale entry '!P408="","",'Daily Sale entry '!O408)</f>
        <v/>
      </c>
      <c r="C408">
        <f>IF('Daily Sale entry '!P408="","",'Daily Sale entry '!P408)</f>
        <v/>
      </c>
      <c r="D408">
        <f>IF(C408="","",IF('Daily Sale entry '!Q408="Credit Sale 赊销",'Daily Sale entry '!S408,0))</f>
        <v/>
      </c>
      <c r="E408">
        <f>IF(C408="","",IF('Daily Sale entry '!Q408="Collection 收款",'Daily Sale entry '!S408,0))</f>
        <v/>
      </c>
      <c r="F408" s="37">
        <f>IF(C408="","",B408+IF(E408&gt;0,0,0.5)+ROW()/10000000)</f>
        <v/>
      </c>
      <c r="G408">
        <f>IF(C408="","",'Daily Sale entry '!Q408&amp;IF('Daily Sale entry '!Q408="Collection 收款"," ("&amp;'Daily Sale entry '!R408&amp;")","")&amp;IF('Daily Sale entry '!U408="",""," - "&amp;'Daily Sale entry '!U408))</f>
        <v/>
      </c>
      <c r="H408">
        <f>IF(C408="","",COUNTIFS($C$2:$C$3001,C408,$F$2:$F$3001,"&lt;"&amp;F408)+1)</f>
        <v/>
      </c>
      <c r="I408">
        <f>IF(C408="","",C408&amp;"|"&amp;H408)</f>
        <v/>
      </c>
      <c r="J408" s="6">
        <f>IF(C408="","",IF(H408=1,SUMIFS('Opening Balance'!$F$4:$F$303,'Opening Balance'!$G$4:$G$303,C408),INDEX($L$2:$L$3001,MATCH(C408&amp;"|"&amp;(H408-1),$I$2:$I$3001,0))))</f>
        <v/>
      </c>
      <c r="K408" s="6">
        <f>IF(C408="","",IF(M408&gt;0,M408,IF(AND(E408&gt;0,ROUND(J408+D408-E408,2)&gt;0,ROUND(J408+D408-E408,2)&lt;'Opening Balance'!$B$14),ROUND(J408+D408-E408,2),0)))</f>
        <v/>
      </c>
      <c r="L408" s="6">
        <f>IF(C408="","",ROUND(J408+D408-E408-K408,2))</f>
        <v/>
      </c>
      <c r="M408" s="6">
        <f>IF(C408="","",IF('Daily Sale entry '!Q408="Collection 收款",ROUND(N('Daily Sale entry '!T408),2),0))</f>
        <v/>
      </c>
    </row>
    <row r="409">
      <c r="A409" t="inlineStr">
        <is>
          <t>Entry 记录</t>
        </is>
      </c>
      <c r="B409" s="5">
        <f>IF('Daily Sale entry '!P409="","",'Daily Sale entry '!O409)</f>
        <v/>
      </c>
      <c r="C409">
        <f>IF('Daily Sale entry '!P409="","",'Daily Sale entry '!P409)</f>
        <v/>
      </c>
      <c r="D409">
        <f>IF(C409="","",IF('Daily Sale entry '!Q409="Credit Sale 赊销",'Daily Sale entry '!S409,0))</f>
        <v/>
      </c>
      <c r="E409">
        <f>IF(C409="","",IF('Daily Sale entry '!Q409="Collection 收款",'Daily Sale entry '!S409,0))</f>
        <v/>
      </c>
      <c r="F409" s="37">
        <f>IF(C409="","",B409+IF(E409&gt;0,0,0.5)+ROW()/10000000)</f>
        <v/>
      </c>
      <c r="G409">
        <f>IF(C409="","",'Daily Sale entry '!Q409&amp;IF('Daily Sale entry '!Q409="Collection 收款"," ("&amp;'Daily Sale entry '!R409&amp;")","")&amp;IF('Daily Sale entry '!U409="",""," - "&amp;'Daily Sale entry '!U409))</f>
        <v/>
      </c>
      <c r="H409">
        <f>IF(C409="","",COUNTIFS($C$2:$C$3001,C409,$F$2:$F$3001,"&lt;"&amp;F409)+1)</f>
        <v/>
      </c>
      <c r="I409">
        <f>IF(C409="","",C409&amp;"|"&amp;H409)</f>
        <v/>
      </c>
      <c r="J409" s="6">
        <f>IF(C409="","",IF(H409=1,SUMIFS('Opening Balance'!$F$4:$F$303,'Opening Balance'!$G$4:$G$303,C409),INDEX($L$2:$L$3001,MATCH(C409&amp;"|"&amp;(H409-1),$I$2:$I$3001,0))))</f>
        <v/>
      </c>
      <c r="K409" s="6">
        <f>IF(C409="","",IF(M409&gt;0,M409,IF(AND(E409&gt;0,ROUND(J409+D409-E409,2)&gt;0,ROUND(J409+D409-E409,2)&lt;'Opening Balance'!$B$14),ROUND(J409+D409-E409,2),0)))</f>
        <v/>
      </c>
      <c r="L409" s="6">
        <f>IF(C409="","",ROUND(J409+D409-E409-K409,2))</f>
        <v/>
      </c>
      <c r="M409" s="6">
        <f>IF(C409="","",IF('Daily Sale entry '!Q409="Collection 收款",ROUND(N('Daily Sale entry '!T409),2),0))</f>
        <v/>
      </c>
    </row>
    <row r="410">
      <c r="A410" t="inlineStr">
        <is>
          <t>Entry 记录</t>
        </is>
      </c>
      <c r="B410" s="5">
        <f>IF('Daily Sale entry '!P410="","",'Daily Sale entry '!O410)</f>
        <v/>
      </c>
      <c r="C410">
        <f>IF('Daily Sale entry '!P410="","",'Daily Sale entry '!P410)</f>
        <v/>
      </c>
      <c r="D410">
        <f>IF(C410="","",IF('Daily Sale entry '!Q410="Credit Sale 赊销",'Daily Sale entry '!S410,0))</f>
        <v/>
      </c>
      <c r="E410">
        <f>IF(C410="","",IF('Daily Sale entry '!Q410="Collection 收款",'Daily Sale entry '!S410,0))</f>
        <v/>
      </c>
      <c r="F410" s="37">
        <f>IF(C410="","",B410+IF(E410&gt;0,0,0.5)+ROW()/10000000)</f>
        <v/>
      </c>
      <c r="G410">
        <f>IF(C410="","",'Daily Sale entry '!Q410&amp;IF('Daily Sale entry '!Q410="Collection 收款"," ("&amp;'Daily Sale entry '!R410&amp;")","")&amp;IF('Daily Sale entry '!U410="",""," - "&amp;'Daily Sale entry '!U410))</f>
        <v/>
      </c>
      <c r="H410">
        <f>IF(C410="","",COUNTIFS($C$2:$C$3001,C410,$F$2:$F$3001,"&lt;"&amp;F410)+1)</f>
        <v/>
      </c>
      <c r="I410">
        <f>IF(C410="","",C410&amp;"|"&amp;H410)</f>
        <v/>
      </c>
      <c r="J410" s="6">
        <f>IF(C410="","",IF(H410=1,SUMIFS('Opening Balance'!$F$4:$F$303,'Opening Balance'!$G$4:$G$303,C410),INDEX($L$2:$L$3001,MATCH(C410&amp;"|"&amp;(H410-1),$I$2:$I$3001,0))))</f>
        <v/>
      </c>
      <c r="K410" s="6">
        <f>IF(C410="","",IF(M410&gt;0,M410,IF(AND(E410&gt;0,ROUND(J410+D410-E410,2)&gt;0,ROUND(J410+D410-E410,2)&lt;'Opening Balance'!$B$14),ROUND(J410+D410-E410,2),0)))</f>
        <v/>
      </c>
      <c r="L410" s="6">
        <f>IF(C410="","",ROUND(J410+D410-E410-K410,2))</f>
        <v/>
      </c>
      <c r="M410" s="6">
        <f>IF(C410="","",IF('Daily Sale entry '!Q410="Collection 收款",ROUND(N('Daily Sale entry '!T410),2),0))</f>
        <v/>
      </c>
    </row>
    <row r="411">
      <c r="A411" t="inlineStr">
        <is>
          <t>Entry 记录</t>
        </is>
      </c>
      <c r="B411" s="5">
        <f>IF('Daily Sale entry '!P411="","",'Daily Sale entry '!O411)</f>
        <v/>
      </c>
      <c r="C411">
        <f>IF('Daily Sale entry '!P411="","",'Daily Sale entry '!P411)</f>
        <v/>
      </c>
      <c r="D411">
        <f>IF(C411="","",IF('Daily Sale entry '!Q411="Credit Sale 赊销",'Daily Sale entry '!S411,0))</f>
        <v/>
      </c>
      <c r="E411">
        <f>IF(C411="","",IF('Daily Sale entry '!Q411="Collection 收款",'Daily Sale entry '!S411,0))</f>
        <v/>
      </c>
      <c r="F411" s="37">
        <f>IF(C411="","",B411+IF(E411&gt;0,0,0.5)+ROW()/10000000)</f>
        <v/>
      </c>
      <c r="G411">
        <f>IF(C411="","",'Daily Sale entry '!Q411&amp;IF('Daily Sale entry '!Q411="Collection 收款"," ("&amp;'Daily Sale entry '!R411&amp;")","")&amp;IF('Daily Sale entry '!U411="",""," - "&amp;'Daily Sale entry '!U411))</f>
        <v/>
      </c>
      <c r="H411">
        <f>IF(C411="","",COUNTIFS($C$2:$C$3001,C411,$F$2:$F$3001,"&lt;"&amp;F411)+1)</f>
        <v/>
      </c>
      <c r="I411">
        <f>IF(C411="","",C411&amp;"|"&amp;H411)</f>
        <v/>
      </c>
      <c r="J411" s="6">
        <f>IF(C411="","",IF(H411=1,SUMIFS('Opening Balance'!$F$4:$F$303,'Opening Balance'!$G$4:$G$303,C411),INDEX($L$2:$L$3001,MATCH(C411&amp;"|"&amp;(H411-1),$I$2:$I$3001,0))))</f>
        <v/>
      </c>
      <c r="K411" s="6">
        <f>IF(C411="","",IF(M411&gt;0,M411,IF(AND(E411&gt;0,ROUND(J411+D411-E411,2)&gt;0,ROUND(J411+D411-E411,2)&lt;'Opening Balance'!$B$14),ROUND(J411+D411-E411,2),0)))</f>
        <v/>
      </c>
      <c r="L411" s="6">
        <f>IF(C411="","",ROUND(J411+D411-E411-K411,2))</f>
        <v/>
      </c>
      <c r="M411" s="6">
        <f>IF(C411="","",IF('Daily Sale entry '!Q411="Collection 收款",ROUND(N('Daily Sale entry '!T411),2),0))</f>
        <v/>
      </c>
    </row>
    <row r="412">
      <c r="A412" t="inlineStr">
        <is>
          <t>Entry 记录</t>
        </is>
      </c>
      <c r="B412" s="5">
        <f>IF('Daily Sale entry '!P412="","",'Daily Sale entry '!O412)</f>
        <v/>
      </c>
      <c r="C412">
        <f>IF('Daily Sale entry '!P412="","",'Daily Sale entry '!P412)</f>
        <v/>
      </c>
      <c r="D412">
        <f>IF(C412="","",IF('Daily Sale entry '!Q412="Credit Sale 赊销",'Daily Sale entry '!S412,0))</f>
        <v/>
      </c>
      <c r="E412">
        <f>IF(C412="","",IF('Daily Sale entry '!Q412="Collection 收款",'Daily Sale entry '!S412,0))</f>
        <v/>
      </c>
      <c r="F412" s="37">
        <f>IF(C412="","",B412+IF(E412&gt;0,0,0.5)+ROW()/10000000)</f>
        <v/>
      </c>
      <c r="G412">
        <f>IF(C412="","",'Daily Sale entry '!Q412&amp;IF('Daily Sale entry '!Q412="Collection 收款"," ("&amp;'Daily Sale entry '!R412&amp;")","")&amp;IF('Daily Sale entry '!U412="",""," - "&amp;'Daily Sale entry '!U412))</f>
        <v/>
      </c>
      <c r="H412">
        <f>IF(C412="","",COUNTIFS($C$2:$C$3001,C412,$F$2:$F$3001,"&lt;"&amp;F412)+1)</f>
        <v/>
      </c>
      <c r="I412">
        <f>IF(C412="","",C412&amp;"|"&amp;H412)</f>
        <v/>
      </c>
      <c r="J412" s="6">
        <f>IF(C412="","",IF(H412=1,SUMIFS('Opening Balance'!$F$4:$F$303,'Opening Balance'!$G$4:$G$303,C412),INDEX($L$2:$L$3001,MATCH(C412&amp;"|"&amp;(H412-1),$I$2:$I$3001,0))))</f>
        <v/>
      </c>
      <c r="K412" s="6">
        <f>IF(C412="","",IF(M412&gt;0,M412,IF(AND(E412&gt;0,ROUND(J412+D412-E412,2)&gt;0,ROUND(J412+D412-E412,2)&lt;'Opening Balance'!$B$14),ROUND(J412+D412-E412,2),0)))</f>
        <v/>
      </c>
      <c r="L412" s="6">
        <f>IF(C412="","",ROUND(J412+D412-E412-K412,2))</f>
        <v/>
      </c>
      <c r="M412" s="6">
        <f>IF(C412="","",IF('Daily Sale entry '!Q412="Collection 收款",ROUND(N('Daily Sale entry '!T412),2),0))</f>
        <v/>
      </c>
    </row>
    <row r="413">
      <c r="A413" t="inlineStr">
        <is>
          <t>Entry 记录</t>
        </is>
      </c>
      <c r="B413" s="5">
        <f>IF('Daily Sale entry '!P413="","",'Daily Sale entry '!O413)</f>
        <v/>
      </c>
      <c r="C413">
        <f>IF('Daily Sale entry '!P413="","",'Daily Sale entry '!P413)</f>
        <v/>
      </c>
      <c r="D413">
        <f>IF(C413="","",IF('Daily Sale entry '!Q413="Credit Sale 赊销",'Daily Sale entry '!S413,0))</f>
        <v/>
      </c>
      <c r="E413">
        <f>IF(C413="","",IF('Daily Sale entry '!Q413="Collection 收款",'Daily Sale entry '!S413,0))</f>
        <v/>
      </c>
      <c r="F413" s="37">
        <f>IF(C413="","",B413+IF(E413&gt;0,0,0.5)+ROW()/10000000)</f>
        <v/>
      </c>
      <c r="G413">
        <f>IF(C413="","",'Daily Sale entry '!Q413&amp;IF('Daily Sale entry '!Q413="Collection 收款"," ("&amp;'Daily Sale entry '!R413&amp;")","")&amp;IF('Daily Sale entry '!U413="",""," - "&amp;'Daily Sale entry '!U413))</f>
        <v/>
      </c>
      <c r="H413">
        <f>IF(C413="","",COUNTIFS($C$2:$C$3001,C413,$F$2:$F$3001,"&lt;"&amp;F413)+1)</f>
        <v/>
      </c>
      <c r="I413">
        <f>IF(C413="","",C413&amp;"|"&amp;H413)</f>
        <v/>
      </c>
      <c r="J413" s="6">
        <f>IF(C413="","",IF(H413=1,SUMIFS('Opening Balance'!$F$4:$F$303,'Opening Balance'!$G$4:$G$303,C413),INDEX($L$2:$L$3001,MATCH(C413&amp;"|"&amp;(H413-1),$I$2:$I$3001,0))))</f>
        <v/>
      </c>
      <c r="K413" s="6">
        <f>IF(C413="","",IF(M413&gt;0,M413,IF(AND(E413&gt;0,ROUND(J413+D413-E413,2)&gt;0,ROUND(J413+D413-E413,2)&lt;'Opening Balance'!$B$14),ROUND(J413+D413-E413,2),0)))</f>
        <v/>
      </c>
      <c r="L413" s="6">
        <f>IF(C413="","",ROUND(J413+D413-E413-K413,2))</f>
        <v/>
      </c>
      <c r="M413" s="6">
        <f>IF(C413="","",IF('Daily Sale entry '!Q413="Collection 收款",ROUND(N('Daily Sale entry '!T413),2),0))</f>
        <v/>
      </c>
    </row>
    <row r="414">
      <c r="A414" t="inlineStr">
        <is>
          <t>Entry 记录</t>
        </is>
      </c>
      <c r="B414" s="5">
        <f>IF('Daily Sale entry '!P414="","",'Daily Sale entry '!O414)</f>
        <v/>
      </c>
      <c r="C414">
        <f>IF('Daily Sale entry '!P414="","",'Daily Sale entry '!P414)</f>
        <v/>
      </c>
      <c r="D414">
        <f>IF(C414="","",IF('Daily Sale entry '!Q414="Credit Sale 赊销",'Daily Sale entry '!S414,0))</f>
        <v/>
      </c>
      <c r="E414">
        <f>IF(C414="","",IF('Daily Sale entry '!Q414="Collection 收款",'Daily Sale entry '!S414,0))</f>
        <v/>
      </c>
      <c r="F414" s="37">
        <f>IF(C414="","",B414+IF(E414&gt;0,0,0.5)+ROW()/10000000)</f>
        <v/>
      </c>
      <c r="G414">
        <f>IF(C414="","",'Daily Sale entry '!Q414&amp;IF('Daily Sale entry '!Q414="Collection 收款"," ("&amp;'Daily Sale entry '!R414&amp;")","")&amp;IF('Daily Sale entry '!U414="",""," - "&amp;'Daily Sale entry '!U414))</f>
        <v/>
      </c>
      <c r="H414">
        <f>IF(C414="","",COUNTIFS($C$2:$C$3001,C414,$F$2:$F$3001,"&lt;"&amp;F414)+1)</f>
        <v/>
      </c>
      <c r="I414">
        <f>IF(C414="","",C414&amp;"|"&amp;H414)</f>
        <v/>
      </c>
      <c r="J414" s="6">
        <f>IF(C414="","",IF(H414=1,SUMIFS('Opening Balance'!$F$4:$F$303,'Opening Balance'!$G$4:$G$303,C414),INDEX($L$2:$L$3001,MATCH(C414&amp;"|"&amp;(H414-1),$I$2:$I$3001,0))))</f>
        <v/>
      </c>
      <c r="K414" s="6">
        <f>IF(C414="","",IF(M414&gt;0,M414,IF(AND(E414&gt;0,ROUND(J414+D414-E414,2)&gt;0,ROUND(J414+D414-E414,2)&lt;'Opening Balance'!$B$14),ROUND(J414+D414-E414,2),0)))</f>
        <v/>
      </c>
      <c r="L414" s="6">
        <f>IF(C414="","",ROUND(J414+D414-E414-K414,2))</f>
        <v/>
      </c>
      <c r="M414" s="6">
        <f>IF(C414="","",IF('Daily Sale entry '!Q414="Collection 收款",ROUND(N('Daily Sale entry '!T414),2),0))</f>
        <v/>
      </c>
    </row>
    <row r="415">
      <c r="A415" t="inlineStr">
        <is>
          <t>Entry 记录</t>
        </is>
      </c>
      <c r="B415" s="5">
        <f>IF('Daily Sale entry '!P415="","",'Daily Sale entry '!O415)</f>
        <v/>
      </c>
      <c r="C415">
        <f>IF('Daily Sale entry '!P415="","",'Daily Sale entry '!P415)</f>
        <v/>
      </c>
      <c r="D415">
        <f>IF(C415="","",IF('Daily Sale entry '!Q415="Credit Sale 赊销",'Daily Sale entry '!S415,0))</f>
        <v/>
      </c>
      <c r="E415">
        <f>IF(C415="","",IF('Daily Sale entry '!Q415="Collection 收款",'Daily Sale entry '!S415,0))</f>
        <v/>
      </c>
      <c r="F415" s="37">
        <f>IF(C415="","",B415+IF(E415&gt;0,0,0.5)+ROW()/10000000)</f>
        <v/>
      </c>
      <c r="G415">
        <f>IF(C415="","",'Daily Sale entry '!Q415&amp;IF('Daily Sale entry '!Q415="Collection 收款"," ("&amp;'Daily Sale entry '!R415&amp;")","")&amp;IF('Daily Sale entry '!U415="",""," - "&amp;'Daily Sale entry '!U415))</f>
        <v/>
      </c>
      <c r="H415">
        <f>IF(C415="","",COUNTIFS($C$2:$C$3001,C415,$F$2:$F$3001,"&lt;"&amp;F415)+1)</f>
        <v/>
      </c>
      <c r="I415">
        <f>IF(C415="","",C415&amp;"|"&amp;H415)</f>
        <v/>
      </c>
      <c r="J415" s="6">
        <f>IF(C415="","",IF(H415=1,SUMIFS('Opening Balance'!$F$4:$F$303,'Opening Balance'!$G$4:$G$303,C415),INDEX($L$2:$L$3001,MATCH(C415&amp;"|"&amp;(H415-1),$I$2:$I$3001,0))))</f>
        <v/>
      </c>
      <c r="K415" s="6">
        <f>IF(C415="","",IF(M415&gt;0,M415,IF(AND(E415&gt;0,ROUND(J415+D415-E415,2)&gt;0,ROUND(J415+D415-E415,2)&lt;'Opening Balance'!$B$14),ROUND(J415+D415-E415,2),0)))</f>
        <v/>
      </c>
      <c r="L415" s="6">
        <f>IF(C415="","",ROUND(J415+D415-E415-K415,2))</f>
        <v/>
      </c>
      <c r="M415" s="6">
        <f>IF(C415="","",IF('Daily Sale entry '!Q415="Collection 收款",ROUND(N('Daily Sale entry '!T415),2),0))</f>
        <v/>
      </c>
    </row>
    <row r="416">
      <c r="A416" t="inlineStr">
        <is>
          <t>Entry 记录</t>
        </is>
      </c>
      <c r="B416" s="5">
        <f>IF('Daily Sale entry '!P416="","",'Daily Sale entry '!O416)</f>
        <v/>
      </c>
      <c r="C416">
        <f>IF('Daily Sale entry '!P416="","",'Daily Sale entry '!P416)</f>
        <v/>
      </c>
      <c r="D416">
        <f>IF(C416="","",IF('Daily Sale entry '!Q416="Credit Sale 赊销",'Daily Sale entry '!S416,0))</f>
        <v/>
      </c>
      <c r="E416">
        <f>IF(C416="","",IF('Daily Sale entry '!Q416="Collection 收款",'Daily Sale entry '!S416,0))</f>
        <v/>
      </c>
      <c r="F416" s="37">
        <f>IF(C416="","",B416+IF(E416&gt;0,0,0.5)+ROW()/10000000)</f>
        <v/>
      </c>
      <c r="G416">
        <f>IF(C416="","",'Daily Sale entry '!Q416&amp;IF('Daily Sale entry '!Q416="Collection 收款"," ("&amp;'Daily Sale entry '!R416&amp;")","")&amp;IF('Daily Sale entry '!U416="",""," - "&amp;'Daily Sale entry '!U416))</f>
        <v/>
      </c>
      <c r="H416">
        <f>IF(C416="","",COUNTIFS($C$2:$C$3001,C416,$F$2:$F$3001,"&lt;"&amp;F416)+1)</f>
        <v/>
      </c>
      <c r="I416">
        <f>IF(C416="","",C416&amp;"|"&amp;H416)</f>
        <v/>
      </c>
      <c r="J416" s="6">
        <f>IF(C416="","",IF(H416=1,SUMIFS('Opening Balance'!$F$4:$F$303,'Opening Balance'!$G$4:$G$303,C416),INDEX($L$2:$L$3001,MATCH(C416&amp;"|"&amp;(H416-1),$I$2:$I$3001,0))))</f>
        <v/>
      </c>
      <c r="K416" s="6">
        <f>IF(C416="","",IF(M416&gt;0,M416,IF(AND(E416&gt;0,ROUND(J416+D416-E416,2)&gt;0,ROUND(J416+D416-E416,2)&lt;'Opening Balance'!$B$14),ROUND(J416+D416-E416,2),0)))</f>
        <v/>
      </c>
      <c r="L416" s="6">
        <f>IF(C416="","",ROUND(J416+D416-E416-K416,2))</f>
        <v/>
      </c>
      <c r="M416" s="6">
        <f>IF(C416="","",IF('Daily Sale entry '!Q416="Collection 收款",ROUND(N('Daily Sale entry '!T416),2),0))</f>
        <v/>
      </c>
    </row>
    <row r="417">
      <c r="A417" t="inlineStr">
        <is>
          <t>Entry 记录</t>
        </is>
      </c>
      <c r="B417" s="5">
        <f>IF('Daily Sale entry '!P417="","",'Daily Sale entry '!O417)</f>
        <v/>
      </c>
      <c r="C417">
        <f>IF('Daily Sale entry '!P417="","",'Daily Sale entry '!P417)</f>
        <v/>
      </c>
      <c r="D417">
        <f>IF(C417="","",IF('Daily Sale entry '!Q417="Credit Sale 赊销",'Daily Sale entry '!S417,0))</f>
        <v/>
      </c>
      <c r="E417">
        <f>IF(C417="","",IF('Daily Sale entry '!Q417="Collection 收款",'Daily Sale entry '!S417,0))</f>
        <v/>
      </c>
      <c r="F417" s="37">
        <f>IF(C417="","",B417+IF(E417&gt;0,0,0.5)+ROW()/10000000)</f>
        <v/>
      </c>
      <c r="G417">
        <f>IF(C417="","",'Daily Sale entry '!Q417&amp;IF('Daily Sale entry '!Q417="Collection 收款"," ("&amp;'Daily Sale entry '!R417&amp;")","")&amp;IF('Daily Sale entry '!U417="",""," - "&amp;'Daily Sale entry '!U417))</f>
        <v/>
      </c>
      <c r="H417">
        <f>IF(C417="","",COUNTIFS($C$2:$C$3001,C417,$F$2:$F$3001,"&lt;"&amp;F417)+1)</f>
        <v/>
      </c>
      <c r="I417">
        <f>IF(C417="","",C417&amp;"|"&amp;H417)</f>
        <v/>
      </c>
      <c r="J417" s="6">
        <f>IF(C417="","",IF(H417=1,SUMIFS('Opening Balance'!$F$4:$F$303,'Opening Balance'!$G$4:$G$303,C417),INDEX($L$2:$L$3001,MATCH(C417&amp;"|"&amp;(H417-1),$I$2:$I$3001,0))))</f>
        <v/>
      </c>
      <c r="K417" s="6">
        <f>IF(C417="","",IF(M417&gt;0,M417,IF(AND(E417&gt;0,ROUND(J417+D417-E417,2)&gt;0,ROUND(J417+D417-E417,2)&lt;'Opening Balance'!$B$14),ROUND(J417+D417-E417,2),0)))</f>
        <v/>
      </c>
      <c r="L417" s="6">
        <f>IF(C417="","",ROUND(J417+D417-E417-K417,2))</f>
        <v/>
      </c>
      <c r="M417" s="6">
        <f>IF(C417="","",IF('Daily Sale entry '!Q417="Collection 收款",ROUND(N('Daily Sale entry '!T417),2),0))</f>
        <v/>
      </c>
    </row>
    <row r="418">
      <c r="A418" t="inlineStr">
        <is>
          <t>Entry 记录</t>
        </is>
      </c>
      <c r="B418" s="5">
        <f>IF('Daily Sale entry '!P418="","",'Daily Sale entry '!O418)</f>
        <v/>
      </c>
      <c r="C418">
        <f>IF('Daily Sale entry '!P418="","",'Daily Sale entry '!P418)</f>
        <v/>
      </c>
      <c r="D418">
        <f>IF(C418="","",IF('Daily Sale entry '!Q418="Credit Sale 赊销",'Daily Sale entry '!S418,0))</f>
        <v/>
      </c>
      <c r="E418">
        <f>IF(C418="","",IF('Daily Sale entry '!Q418="Collection 收款",'Daily Sale entry '!S418,0))</f>
        <v/>
      </c>
      <c r="F418" s="37">
        <f>IF(C418="","",B418+IF(E418&gt;0,0,0.5)+ROW()/10000000)</f>
        <v/>
      </c>
      <c r="G418">
        <f>IF(C418="","",'Daily Sale entry '!Q418&amp;IF('Daily Sale entry '!Q418="Collection 收款"," ("&amp;'Daily Sale entry '!R418&amp;")","")&amp;IF('Daily Sale entry '!U418="",""," - "&amp;'Daily Sale entry '!U418))</f>
        <v/>
      </c>
      <c r="H418">
        <f>IF(C418="","",COUNTIFS($C$2:$C$3001,C418,$F$2:$F$3001,"&lt;"&amp;F418)+1)</f>
        <v/>
      </c>
      <c r="I418">
        <f>IF(C418="","",C418&amp;"|"&amp;H418)</f>
        <v/>
      </c>
      <c r="J418" s="6">
        <f>IF(C418="","",IF(H418=1,SUMIFS('Opening Balance'!$F$4:$F$303,'Opening Balance'!$G$4:$G$303,C418),INDEX($L$2:$L$3001,MATCH(C418&amp;"|"&amp;(H418-1),$I$2:$I$3001,0))))</f>
        <v/>
      </c>
      <c r="K418" s="6">
        <f>IF(C418="","",IF(M418&gt;0,M418,IF(AND(E418&gt;0,ROUND(J418+D418-E418,2)&gt;0,ROUND(J418+D418-E418,2)&lt;'Opening Balance'!$B$14),ROUND(J418+D418-E418,2),0)))</f>
        <v/>
      </c>
      <c r="L418" s="6">
        <f>IF(C418="","",ROUND(J418+D418-E418-K418,2))</f>
        <v/>
      </c>
      <c r="M418" s="6">
        <f>IF(C418="","",IF('Daily Sale entry '!Q418="Collection 收款",ROUND(N('Daily Sale entry '!T418),2),0))</f>
        <v/>
      </c>
    </row>
    <row r="419">
      <c r="A419" t="inlineStr">
        <is>
          <t>Entry 记录</t>
        </is>
      </c>
      <c r="B419" s="5">
        <f>IF('Daily Sale entry '!P419="","",'Daily Sale entry '!O419)</f>
        <v/>
      </c>
      <c r="C419">
        <f>IF('Daily Sale entry '!P419="","",'Daily Sale entry '!P419)</f>
        <v/>
      </c>
      <c r="D419">
        <f>IF(C419="","",IF('Daily Sale entry '!Q419="Credit Sale 赊销",'Daily Sale entry '!S419,0))</f>
        <v/>
      </c>
      <c r="E419">
        <f>IF(C419="","",IF('Daily Sale entry '!Q419="Collection 收款",'Daily Sale entry '!S419,0))</f>
        <v/>
      </c>
      <c r="F419" s="37">
        <f>IF(C419="","",B419+IF(E419&gt;0,0,0.5)+ROW()/10000000)</f>
        <v/>
      </c>
      <c r="G419">
        <f>IF(C419="","",'Daily Sale entry '!Q419&amp;IF('Daily Sale entry '!Q419="Collection 收款"," ("&amp;'Daily Sale entry '!R419&amp;")","")&amp;IF('Daily Sale entry '!U419="",""," - "&amp;'Daily Sale entry '!U419))</f>
        <v/>
      </c>
      <c r="H419">
        <f>IF(C419="","",COUNTIFS($C$2:$C$3001,C419,$F$2:$F$3001,"&lt;"&amp;F419)+1)</f>
        <v/>
      </c>
      <c r="I419">
        <f>IF(C419="","",C419&amp;"|"&amp;H419)</f>
        <v/>
      </c>
      <c r="J419" s="6">
        <f>IF(C419="","",IF(H419=1,SUMIFS('Opening Balance'!$F$4:$F$303,'Opening Balance'!$G$4:$G$303,C419),INDEX($L$2:$L$3001,MATCH(C419&amp;"|"&amp;(H419-1),$I$2:$I$3001,0))))</f>
        <v/>
      </c>
      <c r="K419" s="6">
        <f>IF(C419="","",IF(M419&gt;0,M419,IF(AND(E419&gt;0,ROUND(J419+D419-E419,2)&gt;0,ROUND(J419+D419-E419,2)&lt;'Opening Balance'!$B$14),ROUND(J419+D419-E419,2),0)))</f>
        <v/>
      </c>
      <c r="L419" s="6">
        <f>IF(C419="","",ROUND(J419+D419-E419-K419,2))</f>
        <v/>
      </c>
      <c r="M419" s="6">
        <f>IF(C419="","",IF('Daily Sale entry '!Q419="Collection 收款",ROUND(N('Daily Sale entry '!T419),2),0))</f>
        <v/>
      </c>
    </row>
    <row r="420">
      <c r="A420" t="inlineStr">
        <is>
          <t>Entry 记录</t>
        </is>
      </c>
      <c r="B420" s="5">
        <f>IF('Daily Sale entry '!P420="","",'Daily Sale entry '!O420)</f>
        <v/>
      </c>
      <c r="C420">
        <f>IF('Daily Sale entry '!P420="","",'Daily Sale entry '!P420)</f>
        <v/>
      </c>
      <c r="D420">
        <f>IF(C420="","",IF('Daily Sale entry '!Q420="Credit Sale 赊销",'Daily Sale entry '!S420,0))</f>
        <v/>
      </c>
      <c r="E420">
        <f>IF(C420="","",IF('Daily Sale entry '!Q420="Collection 收款",'Daily Sale entry '!S420,0))</f>
        <v/>
      </c>
      <c r="F420" s="37">
        <f>IF(C420="","",B420+IF(E420&gt;0,0,0.5)+ROW()/10000000)</f>
        <v/>
      </c>
      <c r="G420">
        <f>IF(C420="","",'Daily Sale entry '!Q420&amp;IF('Daily Sale entry '!Q420="Collection 收款"," ("&amp;'Daily Sale entry '!R420&amp;")","")&amp;IF('Daily Sale entry '!U420="",""," - "&amp;'Daily Sale entry '!U420))</f>
        <v/>
      </c>
      <c r="H420">
        <f>IF(C420="","",COUNTIFS($C$2:$C$3001,C420,$F$2:$F$3001,"&lt;"&amp;F420)+1)</f>
        <v/>
      </c>
      <c r="I420">
        <f>IF(C420="","",C420&amp;"|"&amp;H420)</f>
        <v/>
      </c>
      <c r="J420" s="6">
        <f>IF(C420="","",IF(H420=1,SUMIFS('Opening Balance'!$F$4:$F$303,'Opening Balance'!$G$4:$G$303,C420),INDEX($L$2:$L$3001,MATCH(C420&amp;"|"&amp;(H420-1),$I$2:$I$3001,0))))</f>
        <v/>
      </c>
      <c r="K420" s="6">
        <f>IF(C420="","",IF(M420&gt;0,M420,IF(AND(E420&gt;0,ROUND(J420+D420-E420,2)&gt;0,ROUND(J420+D420-E420,2)&lt;'Opening Balance'!$B$14),ROUND(J420+D420-E420,2),0)))</f>
        <v/>
      </c>
      <c r="L420" s="6">
        <f>IF(C420="","",ROUND(J420+D420-E420-K420,2))</f>
        <v/>
      </c>
      <c r="M420" s="6">
        <f>IF(C420="","",IF('Daily Sale entry '!Q420="Collection 收款",ROUND(N('Daily Sale entry '!T420),2),0))</f>
        <v/>
      </c>
    </row>
    <row r="421">
      <c r="A421" t="inlineStr">
        <is>
          <t>Entry 记录</t>
        </is>
      </c>
      <c r="B421" s="5">
        <f>IF('Daily Sale entry '!P421="","",'Daily Sale entry '!O421)</f>
        <v/>
      </c>
      <c r="C421">
        <f>IF('Daily Sale entry '!P421="","",'Daily Sale entry '!P421)</f>
        <v/>
      </c>
      <c r="D421">
        <f>IF(C421="","",IF('Daily Sale entry '!Q421="Credit Sale 赊销",'Daily Sale entry '!S421,0))</f>
        <v/>
      </c>
      <c r="E421">
        <f>IF(C421="","",IF('Daily Sale entry '!Q421="Collection 收款",'Daily Sale entry '!S421,0))</f>
        <v/>
      </c>
      <c r="F421" s="37">
        <f>IF(C421="","",B421+IF(E421&gt;0,0,0.5)+ROW()/10000000)</f>
        <v/>
      </c>
      <c r="G421">
        <f>IF(C421="","",'Daily Sale entry '!Q421&amp;IF('Daily Sale entry '!Q421="Collection 收款"," ("&amp;'Daily Sale entry '!R421&amp;")","")&amp;IF('Daily Sale entry '!U421="",""," - "&amp;'Daily Sale entry '!U421))</f>
        <v/>
      </c>
      <c r="H421">
        <f>IF(C421="","",COUNTIFS($C$2:$C$3001,C421,$F$2:$F$3001,"&lt;"&amp;F421)+1)</f>
        <v/>
      </c>
      <c r="I421">
        <f>IF(C421="","",C421&amp;"|"&amp;H421)</f>
        <v/>
      </c>
      <c r="J421" s="6">
        <f>IF(C421="","",IF(H421=1,SUMIFS('Opening Balance'!$F$4:$F$303,'Opening Balance'!$G$4:$G$303,C421),INDEX($L$2:$L$3001,MATCH(C421&amp;"|"&amp;(H421-1),$I$2:$I$3001,0))))</f>
        <v/>
      </c>
      <c r="K421" s="6">
        <f>IF(C421="","",IF(M421&gt;0,M421,IF(AND(E421&gt;0,ROUND(J421+D421-E421,2)&gt;0,ROUND(J421+D421-E421,2)&lt;'Opening Balance'!$B$14),ROUND(J421+D421-E421,2),0)))</f>
        <v/>
      </c>
      <c r="L421" s="6">
        <f>IF(C421="","",ROUND(J421+D421-E421-K421,2))</f>
        <v/>
      </c>
      <c r="M421" s="6">
        <f>IF(C421="","",IF('Daily Sale entry '!Q421="Collection 收款",ROUND(N('Daily Sale entry '!T421),2),0))</f>
        <v/>
      </c>
    </row>
    <row r="422">
      <c r="A422" t="inlineStr">
        <is>
          <t>Entry 记录</t>
        </is>
      </c>
      <c r="B422" s="5">
        <f>IF('Daily Sale entry '!P422="","",'Daily Sale entry '!O422)</f>
        <v/>
      </c>
      <c r="C422">
        <f>IF('Daily Sale entry '!P422="","",'Daily Sale entry '!P422)</f>
        <v/>
      </c>
      <c r="D422">
        <f>IF(C422="","",IF('Daily Sale entry '!Q422="Credit Sale 赊销",'Daily Sale entry '!S422,0))</f>
        <v/>
      </c>
      <c r="E422">
        <f>IF(C422="","",IF('Daily Sale entry '!Q422="Collection 收款",'Daily Sale entry '!S422,0))</f>
        <v/>
      </c>
      <c r="F422" s="37">
        <f>IF(C422="","",B422+IF(E422&gt;0,0,0.5)+ROW()/10000000)</f>
        <v/>
      </c>
      <c r="G422">
        <f>IF(C422="","",'Daily Sale entry '!Q422&amp;IF('Daily Sale entry '!Q422="Collection 收款"," ("&amp;'Daily Sale entry '!R422&amp;")","")&amp;IF('Daily Sale entry '!U422="",""," - "&amp;'Daily Sale entry '!U422))</f>
        <v/>
      </c>
      <c r="H422">
        <f>IF(C422="","",COUNTIFS($C$2:$C$3001,C422,$F$2:$F$3001,"&lt;"&amp;F422)+1)</f>
        <v/>
      </c>
      <c r="I422">
        <f>IF(C422="","",C422&amp;"|"&amp;H422)</f>
        <v/>
      </c>
      <c r="J422" s="6">
        <f>IF(C422="","",IF(H422=1,SUMIFS('Opening Balance'!$F$4:$F$303,'Opening Balance'!$G$4:$G$303,C422),INDEX($L$2:$L$3001,MATCH(C422&amp;"|"&amp;(H422-1),$I$2:$I$3001,0))))</f>
        <v/>
      </c>
      <c r="K422" s="6">
        <f>IF(C422="","",IF(M422&gt;0,M422,IF(AND(E422&gt;0,ROUND(J422+D422-E422,2)&gt;0,ROUND(J422+D422-E422,2)&lt;'Opening Balance'!$B$14),ROUND(J422+D422-E422,2),0)))</f>
        <v/>
      </c>
      <c r="L422" s="6">
        <f>IF(C422="","",ROUND(J422+D422-E422-K422,2))</f>
        <v/>
      </c>
      <c r="M422" s="6">
        <f>IF(C422="","",IF('Daily Sale entry '!Q422="Collection 收款",ROUND(N('Daily Sale entry '!T422),2),0))</f>
        <v/>
      </c>
    </row>
    <row r="423">
      <c r="A423" t="inlineStr">
        <is>
          <t>Entry 记录</t>
        </is>
      </c>
      <c r="B423" s="5">
        <f>IF('Daily Sale entry '!P423="","",'Daily Sale entry '!O423)</f>
        <v/>
      </c>
      <c r="C423">
        <f>IF('Daily Sale entry '!P423="","",'Daily Sale entry '!P423)</f>
        <v/>
      </c>
      <c r="D423">
        <f>IF(C423="","",IF('Daily Sale entry '!Q423="Credit Sale 赊销",'Daily Sale entry '!S423,0))</f>
        <v/>
      </c>
      <c r="E423">
        <f>IF(C423="","",IF('Daily Sale entry '!Q423="Collection 收款",'Daily Sale entry '!S423,0))</f>
        <v/>
      </c>
      <c r="F423" s="37">
        <f>IF(C423="","",B423+IF(E423&gt;0,0,0.5)+ROW()/10000000)</f>
        <v/>
      </c>
      <c r="G423">
        <f>IF(C423="","",'Daily Sale entry '!Q423&amp;IF('Daily Sale entry '!Q423="Collection 收款"," ("&amp;'Daily Sale entry '!R423&amp;")","")&amp;IF('Daily Sale entry '!U423="",""," - "&amp;'Daily Sale entry '!U423))</f>
        <v/>
      </c>
      <c r="H423">
        <f>IF(C423="","",COUNTIFS($C$2:$C$3001,C423,$F$2:$F$3001,"&lt;"&amp;F423)+1)</f>
        <v/>
      </c>
      <c r="I423">
        <f>IF(C423="","",C423&amp;"|"&amp;H423)</f>
        <v/>
      </c>
      <c r="J423" s="6">
        <f>IF(C423="","",IF(H423=1,SUMIFS('Opening Balance'!$F$4:$F$303,'Opening Balance'!$G$4:$G$303,C423),INDEX($L$2:$L$3001,MATCH(C423&amp;"|"&amp;(H423-1),$I$2:$I$3001,0))))</f>
        <v/>
      </c>
      <c r="K423" s="6">
        <f>IF(C423="","",IF(M423&gt;0,M423,IF(AND(E423&gt;0,ROUND(J423+D423-E423,2)&gt;0,ROUND(J423+D423-E423,2)&lt;'Opening Balance'!$B$14),ROUND(J423+D423-E423,2),0)))</f>
        <v/>
      </c>
      <c r="L423" s="6">
        <f>IF(C423="","",ROUND(J423+D423-E423-K423,2))</f>
        <v/>
      </c>
      <c r="M423" s="6">
        <f>IF(C423="","",IF('Daily Sale entry '!Q423="Collection 收款",ROUND(N('Daily Sale entry '!T423),2),0))</f>
        <v/>
      </c>
    </row>
    <row r="424">
      <c r="A424" t="inlineStr">
        <is>
          <t>Entry 记录</t>
        </is>
      </c>
      <c r="B424" s="5">
        <f>IF('Daily Sale entry '!P424="","",'Daily Sale entry '!O424)</f>
        <v/>
      </c>
      <c r="C424">
        <f>IF('Daily Sale entry '!P424="","",'Daily Sale entry '!P424)</f>
        <v/>
      </c>
      <c r="D424">
        <f>IF(C424="","",IF('Daily Sale entry '!Q424="Credit Sale 赊销",'Daily Sale entry '!S424,0))</f>
        <v/>
      </c>
      <c r="E424">
        <f>IF(C424="","",IF('Daily Sale entry '!Q424="Collection 收款",'Daily Sale entry '!S424,0))</f>
        <v/>
      </c>
      <c r="F424" s="37">
        <f>IF(C424="","",B424+IF(E424&gt;0,0,0.5)+ROW()/10000000)</f>
        <v/>
      </c>
      <c r="G424">
        <f>IF(C424="","",'Daily Sale entry '!Q424&amp;IF('Daily Sale entry '!Q424="Collection 收款"," ("&amp;'Daily Sale entry '!R424&amp;")","")&amp;IF('Daily Sale entry '!U424="",""," - "&amp;'Daily Sale entry '!U424))</f>
        <v/>
      </c>
      <c r="H424">
        <f>IF(C424="","",COUNTIFS($C$2:$C$3001,C424,$F$2:$F$3001,"&lt;"&amp;F424)+1)</f>
        <v/>
      </c>
      <c r="I424">
        <f>IF(C424="","",C424&amp;"|"&amp;H424)</f>
        <v/>
      </c>
      <c r="J424" s="6">
        <f>IF(C424="","",IF(H424=1,SUMIFS('Opening Balance'!$F$4:$F$303,'Opening Balance'!$G$4:$G$303,C424),INDEX($L$2:$L$3001,MATCH(C424&amp;"|"&amp;(H424-1),$I$2:$I$3001,0))))</f>
        <v/>
      </c>
      <c r="K424" s="6">
        <f>IF(C424="","",IF(M424&gt;0,M424,IF(AND(E424&gt;0,ROUND(J424+D424-E424,2)&gt;0,ROUND(J424+D424-E424,2)&lt;'Opening Balance'!$B$14),ROUND(J424+D424-E424,2),0)))</f>
        <v/>
      </c>
      <c r="L424" s="6">
        <f>IF(C424="","",ROUND(J424+D424-E424-K424,2))</f>
        <v/>
      </c>
      <c r="M424" s="6">
        <f>IF(C424="","",IF('Daily Sale entry '!Q424="Collection 收款",ROUND(N('Daily Sale entry '!T424),2),0))</f>
        <v/>
      </c>
    </row>
    <row r="425">
      <c r="A425" t="inlineStr">
        <is>
          <t>Entry 记录</t>
        </is>
      </c>
      <c r="B425" s="5">
        <f>IF('Daily Sale entry '!P425="","",'Daily Sale entry '!O425)</f>
        <v/>
      </c>
      <c r="C425">
        <f>IF('Daily Sale entry '!P425="","",'Daily Sale entry '!P425)</f>
        <v/>
      </c>
      <c r="D425">
        <f>IF(C425="","",IF('Daily Sale entry '!Q425="Credit Sale 赊销",'Daily Sale entry '!S425,0))</f>
        <v/>
      </c>
      <c r="E425">
        <f>IF(C425="","",IF('Daily Sale entry '!Q425="Collection 收款",'Daily Sale entry '!S425,0))</f>
        <v/>
      </c>
      <c r="F425" s="37">
        <f>IF(C425="","",B425+IF(E425&gt;0,0,0.5)+ROW()/10000000)</f>
        <v/>
      </c>
      <c r="G425">
        <f>IF(C425="","",'Daily Sale entry '!Q425&amp;IF('Daily Sale entry '!Q425="Collection 收款"," ("&amp;'Daily Sale entry '!R425&amp;")","")&amp;IF('Daily Sale entry '!U425="",""," - "&amp;'Daily Sale entry '!U425))</f>
        <v/>
      </c>
      <c r="H425">
        <f>IF(C425="","",COUNTIFS($C$2:$C$3001,C425,$F$2:$F$3001,"&lt;"&amp;F425)+1)</f>
        <v/>
      </c>
      <c r="I425">
        <f>IF(C425="","",C425&amp;"|"&amp;H425)</f>
        <v/>
      </c>
      <c r="J425" s="6">
        <f>IF(C425="","",IF(H425=1,SUMIFS('Opening Balance'!$F$4:$F$303,'Opening Balance'!$G$4:$G$303,C425),INDEX($L$2:$L$3001,MATCH(C425&amp;"|"&amp;(H425-1),$I$2:$I$3001,0))))</f>
        <v/>
      </c>
      <c r="K425" s="6">
        <f>IF(C425="","",IF(M425&gt;0,M425,IF(AND(E425&gt;0,ROUND(J425+D425-E425,2)&gt;0,ROUND(J425+D425-E425,2)&lt;'Opening Balance'!$B$14),ROUND(J425+D425-E425,2),0)))</f>
        <v/>
      </c>
      <c r="L425" s="6">
        <f>IF(C425="","",ROUND(J425+D425-E425-K425,2))</f>
        <v/>
      </c>
      <c r="M425" s="6">
        <f>IF(C425="","",IF('Daily Sale entry '!Q425="Collection 收款",ROUND(N('Daily Sale entry '!T425),2),0))</f>
        <v/>
      </c>
    </row>
    <row r="426">
      <c r="A426" t="inlineStr">
        <is>
          <t>Entry 记录</t>
        </is>
      </c>
      <c r="B426" s="5">
        <f>IF('Daily Sale entry '!P426="","",'Daily Sale entry '!O426)</f>
        <v/>
      </c>
      <c r="C426">
        <f>IF('Daily Sale entry '!P426="","",'Daily Sale entry '!P426)</f>
        <v/>
      </c>
      <c r="D426">
        <f>IF(C426="","",IF('Daily Sale entry '!Q426="Credit Sale 赊销",'Daily Sale entry '!S426,0))</f>
        <v/>
      </c>
      <c r="E426">
        <f>IF(C426="","",IF('Daily Sale entry '!Q426="Collection 收款",'Daily Sale entry '!S426,0))</f>
        <v/>
      </c>
      <c r="F426" s="37">
        <f>IF(C426="","",B426+IF(E426&gt;0,0,0.5)+ROW()/10000000)</f>
        <v/>
      </c>
      <c r="G426">
        <f>IF(C426="","",'Daily Sale entry '!Q426&amp;IF('Daily Sale entry '!Q426="Collection 收款"," ("&amp;'Daily Sale entry '!R426&amp;")","")&amp;IF('Daily Sale entry '!U426="",""," - "&amp;'Daily Sale entry '!U426))</f>
        <v/>
      </c>
      <c r="H426">
        <f>IF(C426="","",COUNTIFS($C$2:$C$3001,C426,$F$2:$F$3001,"&lt;"&amp;F426)+1)</f>
        <v/>
      </c>
      <c r="I426">
        <f>IF(C426="","",C426&amp;"|"&amp;H426)</f>
        <v/>
      </c>
      <c r="J426" s="6">
        <f>IF(C426="","",IF(H426=1,SUMIFS('Opening Balance'!$F$4:$F$303,'Opening Balance'!$G$4:$G$303,C426),INDEX($L$2:$L$3001,MATCH(C426&amp;"|"&amp;(H426-1),$I$2:$I$3001,0))))</f>
        <v/>
      </c>
      <c r="K426" s="6">
        <f>IF(C426="","",IF(M426&gt;0,M426,IF(AND(E426&gt;0,ROUND(J426+D426-E426,2)&gt;0,ROUND(J426+D426-E426,2)&lt;'Opening Balance'!$B$14),ROUND(J426+D426-E426,2),0)))</f>
        <v/>
      </c>
      <c r="L426" s="6">
        <f>IF(C426="","",ROUND(J426+D426-E426-K426,2))</f>
        <v/>
      </c>
      <c r="M426" s="6">
        <f>IF(C426="","",IF('Daily Sale entry '!Q426="Collection 收款",ROUND(N('Daily Sale entry '!T426),2),0))</f>
        <v/>
      </c>
    </row>
    <row r="427">
      <c r="A427" t="inlineStr">
        <is>
          <t>Entry 记录</t>
        </is>
      </c>
      <c r="B427" s="5">
        <f>IF('Daily Sale entry '!P427="","",'Daily Sale entry '!O427)</f>
        <v/>
      </c>
      <c r="C427">
        <f>IF('Daily Sale entry '!P427="","",'Daily Sale entry '!P427)</f>
        <v/>
      </c>
      <c r="D427">
        <f>IF(C427="","",IF('Daily Sale entry '!Q427="Credit Sale 赊销",'Daily Sale entry '!S427,0))</f>
        <v/>
      </c>
      <c r="E427">
        <f>IF(C427="","",IF('Daily Sale entry '!Q427="Collection 收款",'Daily Sale entry '!S427,0))</f>
        <v/>
      </c>
      <c r="F427" s="37">
        <f>IF(C427="","",B427+IF(E427&gt;0,0,0.5)+ROW()/10000000)</f>
        <v/>
      </c>
      <c r="G427">
        <f>IF(C427="","",'Daily Sale entry '!Q427&amp;IF('Daily Sale entry '!Q427="Collection 收款"," ("&amp;'Daily Sale entry '!R427&amp;")","")&amp;IF('Daily Sale entry '!U427="",""," - "&amp;'Daily Sale entry '!U427))</f>
        <v/>
      </c>
      <c r="H427">
        <f>IF(C427="","",COUNTIFS($C$2:$C$3001,C427,$F$2:$F$3001,"&lt;"&amp;F427)+1)</f>
        <v/>
      </c>
      <c r="I427">
        <f>IF(C427="","",C427&amp;"|"&amp;H427)</f>
        <v/>
      </c>
      <c r="J427" s="6">
        <f>IF(C427="","",IF(H427=1,SUMIFS('Opening Balance'!$F$4:$F$303,'Opening Balance'!$G$4:$G$303,C427),INDEX($L$2:$L$3001,MATCH(C427&amp;"|"&amp;(H427-1),$I$2:$I$3001,0))))</f>
        <v/>
      </c>
      <c r="K427" s="6">
        <f>IF(C427="","",IF(M427&gt;0,M427,IF(AND(E427&gt;0,ROUND(J427+D427-E427,2)&gt;0,ROUND(J427+D427-E427,2)&lt;'Opening Balance'!$B$14),ROUND(J427+D427-E427,2),0)))</f>
        <v/>
      </c>
      <c r="L427" s="6">
        <f>IF(C427="","",ROUND(J427+D427-E427-K427,2))</f>
        <v/>
      </c>
      <c r="M427" s="6">
        <f>IF(C427="","",IF('Daily Sale entry '!Q427="Collection 收款",ROUND(N('Daily Sale entry '!T427),2),0))</f>
        <v/>
      </c>
    </row>
    <row r="428">
      <c r="A428" t="inlineStr">
        <is>
          <t>Entry 记录</t>
        </is>
      </c>
      <c r="B428" s="5">
        <f>IF('Daily Sale entry '!P428="","",'Daily Sale entry '!O428)</f>
        <v/>
      </c>
      <c r="C428">
        <f>IF('Daily Sale entry '!P428="","",'Daily Sale entry '!P428)</f>
        <v/>
      </c>
      <c r="D428">
        <f>IF(C428="","",IF('Daily Sale entry '!Q428="Credit Sale 赊销",'Daily Sale entry '!S428,0))</f>
        <v/>
      </c>
      <c r="E428">
        <f>IF(C428="","",IF('Daily Sale entry '!Q428="Collection 收款",'Daily Sale entry '!S428,0))</f>
        <v/>
      </c>
      <c r="F428" s="37">
        <f>IF(C428="","",B428+IF(E428&gt;0,0,0.5)+ROW()/10000000)</f>
        <v/>
      </c>
      <c r="G428">
        <f>IF(C428="","",'Daily Sale entry '!Q428&amp;IF('Daily Sale entry '!Q428="Collection 收款"," ("&amp;'Daily Sale entry '!R428&amp;")","")&amp;IF('Daily Sale entry '!U428="",""," - "&amp;'Daily Sale entry '!U428))</f>
        <v/>
      </c>
      <c r="H428">
        <f>IF(C428="","",COUNTIFS($C$2:$C$3001,C428,$F$2:$F$3001,"&lt;"&amp;F428)+1)</f>
        <v/>
      </c>
      <c r="I428">
        <f>IF(C428="","",C428&amp;"|"&amp;H428)</f>
        <v/>
      </c>
      <c r="J428" s="6">
        <f>IF(C428="","",IF(H428=1,SUMIFS('Opening Balance'!$F$4:$F$303,'Opening Balance'!$G$4:$G$303,C428),INDEX($L$2:$L$3001,MATCH(C428&amp;"|"&amp;(H428-1),$I$2:$I$3001,0))))</f>
        <v/>
      </c>
      <c r="K428" s="6">
        <f>IF(C428="","",IF(M428&gt;0,M428,IF(AND(E428&gt;0,ROUND(J428+D428-E428,2)&gt;0,ROUND(J428+D428-E428,2)&lt;'Opening Balance'!$B$14),ROUND(J428+D428-E428,2),0)))</f>
        <v/>
      </c>
      <c r="L428" s="6">
        <f>IF(C428="","",ROUND(J428+D428-E428-K428,2))</f>
        <v/>
      </c>
      <c r="M428" s="6">
        <f>IF(C428="","",IF('Daily Sale entry '!Q428="Collection 收款",ROUND(N('Daily Sale entry '!T428),2),0))</f>
        <v/>
      </c>
    </row>
    <row r="429">
      <c r="A429" t="inlineStr">
        <is>
          <t>Entry 记录</t>
        </is>
      </c>
      <c r="B429" s="5">
        <f>IF('Daily Sale entry '!P429="","",'Daily Sale entry '!O429)</f>
        <v/>
      </c>
      <c r="C429">
        <f>IF('Daily Sale entry '!P429="","",'Daily Sale entry '!P429)</f>
        <v/>
      </c>
      <c r="D429">
        <f>IF(C429="","",IF('Daily Sale entry '!Q429="Credit Sale 赊销",'Daily Sale entry '!S429,0))</f>
        <v/>
      </c>
      <c r="E429">
        <f>IF(C429="","",IF('Daily Sale entry '!Q429="Collection 收款",'Daily Sale entry '!S429,0))</f>
        <v/>
      </c>
      <c r="F429" s="37">
        <f>IF(C429="","",B429+IF(E429&gt;0,0,0.5)+ROW()/10000000)</f>
        <v/>
      </c>
      <c r="G429">
        <f>IF(C429="","",'Daily Sale entry '!Q429&amp;IF('Daily Sale entry '!Q429="Collection 收款"," ("&amp;'Daily Sale entry '!R429&amp;")","")&amp;IF('Daily Sale entry '!U429="",""," - "&amp;'Daily Sale entry '!U429))</f>
        <v/>
      </c>
      <c r="H429">
        <f>IF(C429="","",COUNTIFS($C$2:$C$3001,C429,$F$2:$F$3001,"&lt;"&amp;F429)+1)</f>
        <v/>
      </c>
      <c r="I429">
        <f>IF(C429="","",C429&amp;"|"&amp;H429)</f>
        <v/>
      </c>
      <c r="J429" s="6">
        <f>IF(C429="","",IF(H429=1,SUMIFS('Opening Balance'!$F$4:$F$303,'Opening Balance'!$G$4:$G$303,C429),INDEX($L$2:$L$3001,MATCH(C429&amp;"|"&amp;(H429-1),$I$2:$I$3001,0))))</f>
        <v/>
      </c>
      <c r="K429" s="6">
        <f>IF(C429="","",IF(M429&gt;0,M429,IF(AND(E429&gt;0,ROUND(J429+D429-E429,2)&gt;0,ROUND(J429+D429-E429,2)&lt;'Opening Balance'!$B$14),ROUND(J429+D429-E429,2),0)))</f>
        <v/>
      </c>
      <c r="L429" s="6">
        <f>IF(C429="","",ROUND(J429+D429-E429-K429,2))</f>
        <v/>
      </c>
      <c r="M429" s="6">
        <f>IF(C429="","",IF('Daily Sale entry '!Q429="Collection 收款",ROUND(N('Daily Sale entry '!T429),2),0))</f>
        <v/>
      </c>
    </row>
    <row r="430">
      <c r="A430" t="inlineStr">
        <is>
          <t>Entry 记录</t>
        </is>
      </c>
      <c r="B430" s="5">
        <f>IF('Daily Sale entry '!P430="","",'Daily Sale entry '!O430)</f>
        <v/>
      </c>
      <c r="C430">
        <f>IF('Daily Sale entry '!P430="","",'Daily Sale entry '!P430)</f>
        <v/>
      </c>
      <c r="D430">
        <f>IF(C430="","",IF('Daily Sale entry '!Q430="Credit Sale 赊销",'Daily Sale entry '!S430,0))</f>
        <v/>
      </c>
      <c r="E430">
        <f>IF(C430="","",IF('Daily Sale entry '!Q430="Collection 收款",'Daily Sale entry '!S430,0))</f>
        <v/>
      </c>
      <c r="F430" s="37">
        <f>IF(C430="","",B430+IF(E430&gt;0,0,0.5)+ROW()/10000000)</f>
        <v/>
      </c>
      <c r="G430">
        <f>IF(C430="","",'Daily Sale entry '!Q430&amp;IF('Daily Sale entry '!Q430="Collection 收款"," ("&amp;'Daily Sale entry '!R430&amp;")","")&amp;IF('Daily Sale entry '!U430="",""," - "&amp;'Daily Sale entry '!U430))</f>
        <v/>
      </c>
      <c r="H430">
        <f>IF(C430="","",COUNTIFS($C$2:$C$3001,C430,$F$2:$F$3001,"&lt;"&amp;F430)+1)</f>
        <v/>
      </c>
      <c r="I430">
        <f>IF(C430="","",C430&amp;"|"&amp;H430)</f>
        <v/>
      </c>
      <c r="J430" s="6">
        <f>IF(C430="","",IF(H430=1,SUMIFS('Opening Balance'!$F$4:$F$303,'Opening Balance'!$G$4:$G$303,C430),INDEX($L$2:$L$3001,MATCH(C430&amp;"|"&amp;(H430-1),$I$2:$I$3001,0))))</f>
        <v/>
      </c>
      <c r="K430" s="6">
        <f>IF(C430="","",IF(M430&gt;0,M430,IF(AND(E430&gt;0,ROUND(J430+D430-E430,2)&gt;0,ROUND(J430+D430-E430,2)&lt;'Opening Balance'!$B$14),ROUND(J430+D430-E430,2),0)))</f>
        <v/>
      </c>
      <c r="L430" s="6">
        <f>IF(C430="","",ROUND(J430+D430-E430-K430,2))</f>
        <v/>
      </c>
      <c r="M430" s="6">
        <f>IF(C430="","",IF('Daily Sale entry '!Q430="Collection 收款",ROUND(N('Daily Sale entry '!T430),2),0))</f>
        <v/>
      </c>
    </row>
    <row r="431">
      <c r="A431" t="inlineStr">
        <is>
          <t>Entry 记录</t>
        </is>
      </c>
      <c r="B431" s="5">
        <f>IF('Daily Sale entry '!P431="","",'Daily Sale entry '!O431)</f>
        <v/>
      </c>
      <c r="C431">
        <f>IF('Daily Sale entry '!P431="","",'Daily Sale entry '!P431)</f>
        <v/>
      </c>
      <c r="D431">
        <f>IF(C431="","",IF('Daily Sale entry '!Q431="Credit Sale 赊销",'Daily Sale entry '!S431,0))</f>
        <v/>
      </c>
      <c r="E431">
        <f>IF(C431="","",IF('Daily Sale entry '!Q431="Collection 收款",'Daily Sale entry '!S431,0))</f>
        <v/>
      </c>
      <c r="F431" s="37">
        <f>IF(C431="","",B431+IF(E431&gt;0,0,0.5)+ROW()/10000000)</f>
        <v/>
      </c>
      <c r="G431">
        <f>IF(C431="","",'Daily Sale entry '!Q431&amp;IF('Daily Sale entry '!Q431="Collection 收款"," ("&amp;'Daily Sale entry '!R431&amp;")","")&amp;IF('Daily Sale entry '!U431="",""," - "&amp;'Daily Sale entry '!U431))</f>
        <v/>
      </c>
      <c r="H431">
        <f>IF(C431="","",COUNTIFS($C$2:$C$3001,C431,$F$2:$F$3001,"&lt;"&amp;F431)+1)</f>
        <v/>
      </c>
      <c r="I431">
        <f>IF(C431="","",C431&amp;"|"&amp;H431)</f>
        <v/>
      </c>
      <c r="J431" s="6">
        <f>IF(C431="","",IF(H431=1,SUMIFS('Opening Balance'!$F$4:$F$303,'Opening Balance'!$G$4:$G$303,C431),INDEX($L$2:$L$3001,MATCH(C431&amp;"|"&amp;(H431-1),$I$2:$I$3001,0))))</f>
        <v/>
      </c>
      <c r="K431" s="6">
        <f>IF(C431="","",IF(M431&gt;0,M431,IF(AND(E431&gt;0,ROUND(J431+D431-E431,2)&gt;0,ROUND(J431+D431-E431,2)&lt;'Opening Balance'!$B$14),ROUND(J431+D431-E431,2),0)))</f>
        <v/>
      </c>
      <c r="L431" s="6">
        <f>IF(C431="","",ROUND(J431+D431-E431-K431,2))</f>
        <v/>
      </c>
      <c r="M431" s="6">
        <f>IF(C431="","",IF('Daily Sale entry '!Q431="Collection 收款",ROUND(N('Daily Sale entry '!T431),2),0))</f>
        <v/>
      </c>
    </row>
    <row r="432">
      <c r="A432" t="inlineStr">
        <is>
          <t>Entry 记录</t>
        </is>
      </c>
      <c r="B432" s="5">
        <f>IF('Daily Sale entry '!P432="","",'Daily Sale entry '!O432)</f>
        <v/>
      </c>
      <c r="C432">
        <f>IF('Daily Sale entry '!P432="","",'Daily Sale entry '!P432)</f>
        <v/>
      </c>
      <c r="D432">
        <f>IF(C432="","",IF('Daily Sale entry '!Q432="Credit Sale 赊销",'Daily Sale entry '!S432,0))</f>
        <v/>
      </c>
      <c r="E432">
        <f>IF(C432="","",IF('Daily Sale entry '!Q432="Collection 收款",'Daily Sale entry '!S432,0))</f>
        <v/>
      </c>
      <c r="F432" s="37">
        <f>IF(C432="","",B432+IF(E432&gt;0,0,0.5)+ROW()/10000000)</f>
        <v/>
      </c>
      <c r="G432">
        <f>IF(C432="","",'Daily Sale entry '!Q432&amp;IF('Daily Sale entry '!Q432="Collection 收款"," ("&amp;'Daily Sale entry '!R432&amp;")","")&amp;IF('Daily Sale entry '!U432="",""," - "&amp;'Daily Sale entry '!U432))</f>
        <v/>
      </c>
      <c r="H432">
        <f>IF(C432="","",COUNTIFS($C$2:$C$3001,C432,$F$2:$F$3001,"&lt;"&amp;F432)+1)</f>
        <v/>
      </c>
      <c r="I432">
        <f>IF(C432="","",C432&amp;"|"&amp;H432)</f>
        <v/>
      </c>
      <c r="J432" s="6">
        <f>IF(C432="","",IF(H432=1,SUMIFS('Opening Balance'!$F$4:$F$303,'Opening Balance'!$G$4:$G$303,C432),INDEX($L$2:$L$3001,MATCH(C432&amp;"|"&amp;(H432-1),$I$2:$I$3001,0))))</f>
        <v/>
      </c>
      <c r="K432" s="6">
        <f>IF(C432="","",IF(M432&gt;0,M432,IF(AND(E432&gt;0,ROUND(J432+D432-E432,2)&gt;0,ROUND(J432+D432-E432,2)&lt;'Opening Balance'!$B$14),ROUND(J432+D432-E432,2),0)))</f>
        <v/>
      </c>
      <c r="L432" s="6">
        <f>IF(C432="","",ROUND(J432+D432-E432-K432,2))</f>
        <v/>
      </c>
      <c r="M432" s="6">
        <f>IF(C432="","",IF('Daily Sale entry '!Q432="Collection 收款",ROUND(N('Daily Sale entry '!T432),2),0))</f>
        <v/>
      </c>
    </row>
    <row r="433">
      <c r="A433" t="inlineStr">
        <is>
          <t>Entry 记录</t>
        </is>
      </c>
      <c r="B433" s="5">
        <f>IF('Daily Sale entry '!P433="","",'Daily Sale entry '!O433)</f>
        <v/>
      </c>
      <c r="C433">
        <f>IF('Daily Sale entry '!P433="","",'Daily Sale entry '!P433)</f>
        <v/>
      </c>
      <c r="D433">
        <f>IF(C433="","",IF('Daily Sale entry '!Q433="Credit Sale 赊销",'Daily Sale entry '!S433,0))</f>
        <v/>
      </c>
      <c r="E433">
        <f>IF(C433="","",IF('Daily Sale entry '!Q433="Collection 收款",'Daily Sale entry '!S433,0))</f>
        <v/>
      </c>
      <c r="F433" s="37">
        <f>IF(C433="","",B433+IF(E433&gt;0,0,0.5)+ROW()/10000000)</f>
        <v/>
      </c>
      <c r="G433">
        <f>IF(C433="","",'Daily Sale entry '!Q433&amp;IF('Daily Sale entry '!Q433="Collection 收款"," ("&amp;'Daily Sale entry '!R433&amp;")","")&amp;IF('Daily Sale entry '!U433="",""," - "&amp;'Daily Sale entry '!U433))</f>
        <v/>
      </c>
      <c r="H433">
        <f>IF(C433="","",COUNTIFS($C$2:$C$3001,C433,$F$2:$F$3001,"&lt;"&amp;F433)+1)</f>
        <v/>
      </c>
      <c r="I433">
        <f>IF(C433="","",C433&amp;"|"&amp;H433)</f>
        <v/>
      </c>
      <c r="J433" s="6">
        <f>IF(C433="","",IF(H433=1,SUMIFS('Opening Balance'!$F$4:$F$303,'Opening Balance'!$G$4:$G$303,C433),INDEX($L$2:$L$3001,MATCH(C433&amp;"|"&amp;(H433-1),$I$2:$I$3001,0))))</f>
        <v/>
      </c>
      <c r="K433" s="6">
        <f>IF(C433="","",IF(M433&gt;0,M433,IF(AND(E433&gt;0,ROUND(J433+D433-E433,2)&gt;0,ROUND(J433+D433-E433,2)&lt;'Opening Balance'!$B$14),ROUND(J433+D433-E433,2),0)))</f>
        <v/>
      </c>
      <c r="L433" s="6">
        <f>IF(C433="","",ROUND(J433+D433-E433-K433,2))</f>
        <v/>
      </c>
      <c r="M433" s="6">
        <f>IF(C433="","",IF('Daily Sale entry '!Q433="Collection 收款",ROUND(N('Daily Sale entry '!T433),2),0))</f>
        <v/>
      </c>
    </row>
    <row r="434">
      <c r="A434" t="inlineStr">
        <is>
          <t>Entry 记录</t>
        </is>
      </c>
      <c r="B434" s="5">
        <f>IF('Daily Sale entry '!P434="","",'Daily Sale entry '!O434)</f>
        <v/>
      </c>
      <c r="C434">
        <f>IF('Daily Sale entry '!P434="","",'Daily Sale entry '!P434)</f>
        <v/>
      </c>
      <c r="D434">
        <f>IF(C434="","",IF('Daily Sale entry '!Q434="Credit Sale 赊销",'Daily Sale entry '!S434,0))</f>
        <v/>
      </c>
      <c r="E434">
        <f>IF(C434="","",IF('Daily Sale entry '!Q434="Collection 收款",'Daily Sale entry '!S434,0))</f>
        <v/>
      </c>
      <c r="F434" s="37">
        <f>IF(C434="","",B434+IF(E434&gt;0,0,0.5)+ROW()/10000000)</f>
        <v/>
      </c>
      <c r="G434">
        <f>IF(C434="","",'Daily Sale entry '!Q434&amp;IF('Daily Sale entry '!Q434="Collection 收款"," ("&amp;'Daily Sale entry '!R434&amp;")","")&amp;IF('Daily Sale entry '!U434="",""," - "&amp;'Daily Sale entry '!U434))</f>
        <v/>
      </c>
      <c r="H434">
        <f>IF(C434="","",COUNTIFS($C$2:$C$3001,C434,$F$2:$F$3001,"&lt;"&amp;F434)+1)</f>
        <v/>
      </c>
      <c r="I434">
        <f>IF(C434="","",C434&amp;"|"&amp;H434)</f>
        <v/>
      </c>
      <c r="J434" s="6">
        <f>IF(C434="","",IF(H434=1,SUMIFS('Opening Balance'!$F$4:$F$303,'Opening Balance'!$G$4:$G$303,C434),INDEX($L$2:$L$3001,MATCH(C434&amp;"|"&amp;(H434-1),$I$2:$I$3001,0))))</f>
        <v/>
      </c>
      <c r="K434" s="6">
        <f>IF(C434="","",IF(M434&gt;0,M434,IF(AND(E434&gt;0,ROUND(J434+D434-E434,2)&gt;0,ROUND(J434+D434-E434,2)&lt;'Opening Balance'!$B$14),ROUND(J434+D434-E434,2),0)))</f>
        <v/>
      </c>
      <c r="L434" s="6">
        <f>IF(C434="","",ROUND(J434+D434-E434-K434,2))</f>
        <v/>
      </c>
      <c r="M434" s="6">
        <f>IF(C434="","",IF('Daily Sale entry '!Q434="Collection 收款",ROUND(N('Daily Sale entry '!T434),2),0))</f>
        <v/>
      </c>
    </row>
    <row r="435">
      <c r="A435" t="inlineStr">
        <is>
          <t>Entry 记录</t>
        </is>
      </c>
      <c r="B435" s="5">
        <f>IF('Daily Sale entry '!P435="","",'Daily Sale entry '!O435)</f>
        <v/>
      </c>
      <c r="C435">
        <f>IF('Daily Sale entry '!P435="","",'Daily Sale entry '!P435)</f>
        <v/>
      </c>
      <c r="D435">
        <f>IF(C435="","",IF('Daily Sale entry '!Q435="Credit Sale 赊销",'Daily Sale entry '!S435,0))</f>
        <v/>
      </c>
      <c r="E435">
        <f>IF(C435="","",IF('Daily Sale entry '!Q435="Collection 收款",'Daily Sale entry '!S435,0))</f>
        <v/>
      </c>
      <c r="F435" s="37">
        <f>IF(C435="","",B435+IF(E435&gt;0,0,0.5)+ROW()/10000000)</f>
        <v/>
      </c>
      <c r="G435">
        <f>IF(C435="","",'Daily Sale entry '!Q435&amp;IF('Daily Sale entry '!Q435="Collection 收款"," ("&amp;'Daily Sale entry '!R435&amp;")","")&amp;IF('Daily Sale entry '!U435="",""," - "&amp;'Daily Sale entry '!U435))</f>
        <v/>
      </c>
      <c r="H435">
        <f>IF(C435="","",COUNTIFS($C$2:$C$3001,C435,$F$2:$F$3001,"&lt;"&amp;F435)+1)</f>
        <v/>
      </c>
      <c r="I435">
        <f>IF(C435="","",C435&amp;"|"&amp;H435)</f>
        <v/>
      </c>
      <c r="J435" s="6">
        <f>IF(C435="","",IF(H435=1,SUMIFS('Opening Balance'!$F$4:$F$303,'Opening Balance'!$G$4:$G$303,C435),INDEX($L$2:$L$3001,MATCH(C435&amp;"|"&amp;(H435-1),$I$2:$I$3001,0))))</f>
        <v/>
      </c>
      <c r="K435" s="6">
        <f>IF(C435="","",IF(M435&gt;0,M435,IF(AND(E435&gt;0,ROUND(J435+D435-E435,2)&gt;0,ROUND(J435+D435-E435,2)&lt;'Opening Balance'!$B$14),ROUND(J435+D435-E435,2),0)))</f>
        <v/>
      </c>
      <c r="L435" s="6">
        <f>IF(C435="","",ROUND(J435+D435-E435-K435,2))</f>
        <v/>
      </c>
      <c r="M435" s="6">
        <f>IF(C435="","",IF('Daily Sale entry '!Q435="Collection 收款",ROUND(N('Daily Sale entry '!T435),2),0))</f>
        <v/>
      </c>
    </row>
    <row r="436">
      <c r="A436" t="inlineStr">
        <is>
          <t>Entry 记录</t>
        </is>
      </c>
      <c r="B436" s="5">
        <f>IF('Daily Sale entry '!P436="","",'Daily Sale entry '!O436)</f>
        <v/>
      </c>
      <c r="C436">
        <f>IF('Daily Sale entry '!P436="","",'Daily Sale entry '!P436)</f>
        <v/>
      </c>
      <c r="D436">
        <f>IF(C436="","",IF('Daily Sale entry '!Q436="Credit Sale 赊销",'Daily Sale entry '!S436,0))</f>
        <v/>
      </c>
      <c r="E436">
        <f>IF(C436="","",IF('Daily Sale entry '!Q436="Collection 收款",'Daily Sale entry '!S436,0))</f>
        <v/>
      </c>
      <c r="F436" s="37">
        <f>IF(C436="","",B436+IF(E436&gt;0,0,0.5)+ROW()/10000000)</f>
        <v/>
      </c>
      <c r="G436">
        <f>IF(C436="","",'Daily Sale entry '!Q436&amp;IF('Daily Sale entry '!Q436="Collection 收款"," ("&amp;'Daily Sale entry '!R436&amp;")","")&amp;IF('Daily Sale entry '!U436="",""," - "&amp;'Daily Sale entry '!U436))</f>
        <v/>
      </c>
      <c r="H436">
        <f>IF(C436="","",COUNTIFS($C$2:$C$3001,C436,$F$2:$F$3001,"&lt;"&amp;F436)+1)</f>
        <v/>
      </c>
      <c r="I436">
        <f>IF(C436="","",C436&amp;"|"&amp;H436)</f>
        <v/>
      </c>
      <c r="J436" s="6">
        <f>IF(C436="","",IF(H436=1,SUMIFS('Opening Balance'!$F$4:$F$303,'Opening Balance'!$G$4:$G$303,C436),INDEX($L$2:$L$3001,MATCH(C436&amp;"|"&amp;(H436-1),$I$2:$I$3001,0))))</f>
        <v/>
      </c>
      <c r="K436" s="6">
        <f>IF(C436="","",IF(M436&gt;0,M436,IF(AND(E436&gt;0,ROUND(J436+D436-E436,2)&gt;0,ROUND(J436+D436-E436,2)&lt;'Opening Balance'!$B$14),ROUND(J436+D436-E436,2),0)))</f>
        <v/>
      </c>
      <c r="L436" s="6">
        <f>IF(C436="","",ROUND(J436+D436-E436-K436,2))</f>
        <v/>
      </c>
      <c r="M436" s="6">
        <f>IF(C436="","",IF('Daily Sale entry '!Q436="Collection 收款",ROUND(N('Daily Sale entry '!T436),2),0))</f>
        <v/>
      </c>
    </row>
    <row r="437">
      <c r="A437" t="inlineStr">
        <is>
          <t>Entry 记录</t>
        </is>
      </c>
      <c r="B437" s="5">
        <f>IF('Daily Sale entry '!P437="","",'Daily Sale entry '!O437)</f>
        <v/>
      </c>
      <c r="C437">
        <f>IF('Daily Sale entry '!P437="","",'Daily Sale entry '!P437)</f>
        <v/>
      </c>
      <c r="D437">
        <f>IF(C437="","",IF('Daily Sale entry '!Q437="Credit Sale 赊销",'Daily Sale entry '!S437,0))</f>
        <v/>
      </c>
      <c r="E437">
        <f>IF(C437="","",IF('Daily Sale entry '!Q437="Collection 收款",'Daily Sale entry '!S437,0))</f>
        <v/>
      </c>
      <c r="F437" s="37">
        <f>IF(C437="","",B437+IF(E437&gt;0,0,0.5)+ROW()/10000000)</f>
        <v/>
      </c>
      <c r="G437">
        <f>IF(C437="","",'Daily Sale entry '!Q437&amp;IF('Daily Sale entry '!Q437="Collection 收款"," ("&amp;'Daily Sale entry '!R437&amp;")","")&amp;IF('Daily Sale entry '!U437="",""," - "&amp;'Daily Sale entry '!U437))</f>
        <v/>
      </c>
      <c r="H437">
        <f>IF(C437="","",COUNTIFS($C$2:$C$3001,C437,$F$2:$F$3001,"&lt;"&amp;F437)+1)</f>
        <v/>
      </c>
      <c r="I437">
        <f>IF(C437="","",C437&amp;"|"&amp;H437)</f>
        <v/>
      </c>
      <c r="J437" s="6">
        <f>IF(C437="","",IF(H437=1,SUMIFS('Opening Balance'!$F$4:$F$303,'Opening Balance'!$G$4:$G$303,C437),INDEX($L$2:$L$3001,MATCH(C437&amp;"|"&amp;(H437-1),$I$2:$I$3001,0))))</f>
        <v/>
      </c>
      <c r="K437" s="6">
        <f>IF(C437="","",IF(M437&gt;0,M437,IF(AND(E437&gt;0,ROUND(J437+D437-E437,2)&gt;0,ROUND(J437+D437-E437,2)&lt;'Opening Balance'!$B$14),ROUND(J437+D437-E437,2),0)))</f>
        <v/>
      </c>
      <c r="L437" s="6">
        <f>IF(C437="","",ROUND(J437+D437-E437-K437,2))</f>
        <v/>
      </c>
      <c r="M437" s="6">
        <f>IF(C437="","",IF('Daily Sale entry '!Q437="Collection 收款",ROUND(N('Daily Sale entry '!T437),2),0))</f>
        <v/>
      </c>
    </row>
    <row r="438">
      <c r="A438" t="inlineStr">
        <is>
          <t>Entry 记录</t>
        </is>
      </c>
      <c r="B438" s="5">
        <f>IF('Daily Sale entry '!P438="","",'Daily Sale entry '!O438)</f>
        <v/>
      </c>
      <c r="C438">
        <f>IF('Daily Sale entry '!P438="","",'Daily Sale entry '!P438)</f>
        <v/>
      </c>
      <c r="D438">
        <f>IF(C438="","",IF('Daily Sale entry '!Q438="Credit Sale 赊销",'Daily Sale entry '!S438,0))</f>
        <v/>
      </c>
      <c r="E438">
        <f>IF(C438="","",IF('Daily Sale entry '!Q438="Collection 收款",'Daily Sale entry '!S438,0))</f>
        <v/>
      </c>
      <c r="F438" s="37">
        <f>IF(C438="","",B438+IF(E438&gt;0,0,0.5)+ROW()/10000000)</f>
        <v/>
      </c>
      <c r="G438">
        <f>IF(C438="","",'Daily Sale entry '!Q438&amp;IF('Daily Sale entry '!Q438="Collection 收款"," ("&amp;'Daily Sale entry '!R438&amp;")","")&amp;IF('Daily Sale entry '!U438="",""," - "&amp;'Daily Sale entry '!U438))</f>
        <v/>
      </c>
      <c r="H438">
        <f>IF(C438="","",COUNTIFS($C$2:$C$3001,C438,$F$2:$F$3001,"&lt;"&amp;F438)+1)</f>
        <v/>
      </c>
      <c r="I438">
        <f>IF(C438="","",C438&amp;"|"&amp;H438)</f>
        <v/>
      </c>
      <c r="J438" s="6">
        <f>IF(C438="","",IF(H438=1,SUMIFS('Opening Balance'!$F$4:$F$303,'Opening Balance'!$G$4:$G$303,C438),INDEX($L$2:$L$3001,MATCH(C438&amp;"|"&amp;(H438-1),$I$2:$I$3001,0))))</f>
        <v/>
      </c>
      <c r="K438" s="6">
        <f>IF(C438="","",IF(M438&gt;0,M438,IF(AND(E438&gt;0,ROUND(J438+D438-E438,2)&gt;0,ROUND(J438+D438-E438,2)&lt;'Opening Balance'!$B$14),ROUND(J438+D438-E438,2),0)))</f>
        <v/>
      </c>
      <c r="L438" s="6">
        <f>IF(C438="","",ROUND(J438+D438-E438-K438,2))</f>
        <v/>
      </c>
      <c r="M438" s="6">
        <f>IF(C438="","",IF('Daily Sale entry '!Q438="Collection 收款",ROUND(N('Daily Sale entry '!T438),2),0))</f>
        <v/>
      </c>
    </row>
    <row r="439">
      <c r="A439" t="inlineStr">
        <is>
          <t>Entry 记录</t>
        </is>
      </c>
      <c r="B439" s="5">
        <f>IF('Daily Sale entry '!P439="","",'Daily Sale entry '!O439)</f>
        <v/>
      </c>
      <c r="C439">
        <f>IF('Daily Sale entry '!P439="","",'Daily Sale entry '!P439)</f>
        <v/>
      </c>
      <c r="D439">
        <f>IF(C439="","",IF('Daily Sale entry '!Q439="Credit Sale 赊销",'Daily Sale entry '!S439,0))</f>
        <v/>
      </c>
      <c r="E439">
        <f>IF(C439="","",IF('Daily Sale entry '!Q439="Collection 收款",'Daily Sale entry '!S439,0))</f>
        <v/>
      </c>
      <c r="F439" s="37">
        <f>IF(C439="","",B439+IF(E439&gt;0,0,0.5)+ROW()/10000000)</f>
        <v/>
      </c>
      <c r="G439">
        <f>IF(C439="","",'Daily Sale entry '!Q439&amp;IF('Daily Sale entry '!Q439="Collection 收款"," ("&amp;'Daily Sale entry '!R439&amp;")","")&amp;IF('Daily Sale entry '!U439="",""," - "&amp;'Daily Sale entry '!U439))</f>
        <v/>
      </c>
      <c r="H439">
        <f>IF(C439="","",COUNTIFS($C$2:$C$3001,C439,$F$2:$F$3001,"&lt;"&amp;F439)+1)</f>
        <v/>
      </c>
      <c r="I439">
        <f>IF(C439="","",C439&amp;"|"&amp;H439)</f>
        <v/>
      </c>
      <c r="J439" s="6">
        <f>IF(C439="","",IF(H439=1,SUMIFS('Opening Balance'!$F$4:$F$303,'Opening Balance'!$G$4:$G$303,C439),INDEX($L$2:$L$3001,MATCH(C439&amp;"|"&amp;(H439-1),$I$2:$I$3001,0))))</f>
        <v/>
      </c>
      <c r="K439" s="6">
        <f>IF(C439="","",IF(M439&gt;0,M439,IF(AND(E439&gt;0,ROUND(J439+D439-E439,2)&gt;0,ROUND(J439+D439-E439,2)&lt;'Opening Balance'!$B$14),ROUND(J439+D439-E439,2),0)))</f>
        <v/>
      </c>
      <c r="L439" s="6">
        <f>IF(C439="","",ROUND(J439+D439-E439-K439,2))</f>
        <v/>
      </c>
      <c r="M439" s="6">
        <f>IF(C439="","",IF('Daily Sale entry '!Q439="Collection 收款",ROUND(N('Daily Sale entry '!T439),2),0))</f>
        <v/>
      </c>
    </row>
    <row r="440">
      <c r="A440" t="inlineStr">
        <is>
          <t>Entry 记录</t>
        </is>
      </c>
      <c r="B440" s="5">
        <f>IF('Daily Sale entry '!P440="","",'Daily Sale entry '!O440)</f>
        <v/>
      </c>
      <c r="C440">
        <f>IF('Daily Sale entry '!P440="","",'Daily Sale entry '!P440)</f>
        <v/>
      </c>
      <c r="D440">
        <f>IF(C440="","",IF('Daily Sale entry '!Q440="Credit Sale 赊销",'Daily Sale entry '!S440,0))</f>
        <v/>
      </c>
      <c r="E440">
        <f>IF(C440="","",IF('Daily Sale entry '!Q440="Collection 收款",'Daily Sale entry '!S440,0))</f>
        <v/>
      </c>
      <c r="F440" s="37">
        <f>IF(C440="","",B440+IF(E440&gt;0,0,0.5)+ROW()/10000000)</f>
        <v/>
      </c>
      <c r="G440">
        <f>IF(C440="","",'Daily Sale entry '!Q440&amp;IF('Daily Sale entry '!Q440="Collection 收款"," ("&amp;'Daily Sale entry '!R440&amp;")","")&amp;IF('Daily Sale entry '!U440="",""," - "&amp;'Daily Sale entry '!U440))</f>
        <v/>
      </c>
      <c r="H440">
        <f>IF(C440="","",COUNTIFS($C$2:$C$3001,C440,$F$2:$F$3001,"&lt;"&amp;F440)+1)</f>
        <v/>
      </c>
      <c r="I440">
        <f>IF(C440="","",C440&amp;"|"&amp;H440)</f>
        <v/>
      </c>
      <c r="J440" s="6">
        <f>IF(C440="","",IF(H440=1,SUMIFS('Opening Balance'!$F$4:$F$303,'Opening Balance'!$G$4:$G$303,C440),INDEX($L$2:$L$3001,MATCH(C440&amp;"|"&amp;(H440-1),$I$2:$I$3001,0))))</f>
        <v/>
      </c>
      <c r="K440" s="6">
        <f>IF(C440="","",IF(M440&gt;0,M440,IF(AND(E440&gt;0,ROUND(J440+D440-E440,2)&gt;0,ROUND(J440+D440-E440,2)&lt;'Opening Balance'!$B$14),ROUND(J440+D440-E440,2),0)))</f>
        <v/>
      </c>
      <c r="L440" s="6">
        <f>IF(C440="","",ROUND(J440+D440-E440-K440,2))</f>
        <v/>
      </c>
      <c r="M440" s="6">
        <f>IF(C440="","",IF('Daily Sale entry '!Q440="Collection 收款",ROUND(N('Daily Sale entry '!T440),2),0))</f>
        <v/>
      </c>
    </row>
    <row r="441">
      <c r="A441" t="inlineStr">
        <is>
          <t>Entry 记录</t>
        </is>
      </c>
      <c r="B441" s="5">
        <f>IF('Daily Sale entry '!P441="","",'Daily Sale entry '!O441)</f>
        <v/>
      </c>
      <c r="C441">
        <f>IF('Daily Sale entry '!P441="","",'Daily Sale entry '!P441)</f>
        <v/>
      </c>
      <c r="D441">
        <f>IF(C441="","",IF('Daily Sale entry '!Q441="Credit Sale 赊销",'Daily Sale entry '!S441,0))</f>
        <v/>
      </c>
      <c r="E441">
        <f>IF(C441="","",IF('Daily Sale entry '!Q441="Collection 收款",'Daily Sale entry '!S441,0))</f>
        <v/>
      </c>
      <c r="F441" s="37">
        <f>IF(C441="","",B441+IF(E441&gt;0,0,0.5)+ROW()/10000000)</f>
        <v/>
      </c>
      <c r="G441">
        <f>IF(C441="","",'Daily Sale entry '!Q441&amp;IF('Daily Sale entry '!Q441="Collection 收款"," ("&amp;'Daily Sale entry '!R441&amp;")","")&amp;IF('Daily Sale entry '!U441="",""," - "&amp;'Daily Sale entry '!U441))</f>
        <v/>
      </c>
      <c r="H441">
        <f>IF(C441="","",COUNTIFS($C$2:$C$3001,C441,$F$2:$F$3001,"&lt;"&amp;F441)+1)</f>
        <v/>
      </c>
      <c r="I441">
        <f>IF(C441="","",C441&amp;"|"&amp;H441)</f>
        <v/>
      </c>
      <c r="J441" s="6">
        <f>IF(C441="","",IF(H441=1,SUMIFS('Opening Balance'!$F$4:$F$303,'Opening Balance'!$G$4:$G$303,C441),INDEX($L$2:$L$3001,MATCH(C441&amp;"|"&amp;(H441-1),$I$2:$I$3001,0))))</f>
        <v/>
      </c>
      <c r="K441" s="6">
        <f>IF(C441="","",IF(M441&gt;0,M441,IF(AND(E441&gt;0,ROUND(J441+D441-E441,2)&gt;0,ROUND(J441+D441-E441,2)&lt;'Opening Balance'!$B$14),ROUND(J441+D441-E441,2),0)))</f>
        <v/>
      </c>
      <c r="L441" s="6">
        <f>IF(C441="","",ROUND(J441+D441-E441-K441,2))</f>
        <v/>
      </c>
      <c r="M441" s="6">
        <f>IF(C441="","",IF('Daily Sale entry '!Q441="Collection 收款",ROUND(N('Daily Sale entry '!T441),2),0))</f>
        <v/>
      </c>
    </row>
    <row r="442">
      <c r="A442" t="inlineStr">
        <is>
          <t>Entry 记录</t>
        </is>
      </c>
      <c r="B442" s="5">
        <f>IF('Daily Sale entry '!P442="","",'Daily Sale entry '!O442)</f>
        <v/>
      </c>
      <c r="C442">
        <f>IF('Daily Sale entry '!P442="","",'Daily Sale entry '!P442)</f>
        <v/>
      </c>
      <c r="D442">
        <f>IF(C442="","",IF('Daily Sale entry '!Q442="Credit Sale 赊销",'Daily Sale entry '!S442,0))</f>
        <v/>
      </c>
      <c r="E442">
        <f>IF(C442="","",IF('Daily Sale entry '!Q442="Collection 收款",'Daily Sale entry '!S442,0))</f>
        <v/>
      </c>
      <c r="F442" s="37">
        <f>IF(C442="","",B442+IF(E442&gt;0,0,0.5)+ROW()/10000000)</f>
        <v/>
      </c>
      <c r="G442">
        <f>IF(C442="","",'Daily Sale entry '!Q442&amp;IF('Daily Sale entry '!Q442="Collection 收款"," ("&amp;'Daily Sale entry '!R442&amp;")","")&amp;IF('Daily Sale entry '!U442="",""," - "&amp;'Daily Sale entry '!U442))</f>
        <v/>
      </c>
      <c r="H442">
        <f>IF(C442="","",COUNTIFS($C$2:$C$3001,C442,$F$2:$F$3001,"&lt;"&amp;F442)+1)</f>
        <v/>
      </c>
      <c r="I442">
        <f>IF(C442="","",C442&amp;"|"&amp;H442)</f>
        <v/>
      </c>
      <c r="J442" s="6">
        <f>IF(C442="","",IF(H442=1,SUMIFS('Opening Balance'!$F$4:$F$303,'Opening Balance'!$G$4:$G$303,C442),INDEX($L$2:$L$3001,MATCH(C442&amp;"|"&amp;(H442-1),$I$2:$I$3001,0))))</f>
        <v/>
      </c>
      <c r="K442" s="6">
        <f>IF(C442="","",IF(M442&gt;0,M442,IF(AND(E442&gt;0,ROUND(J442+D442-E442,2)&gt;0,ROUND(J442+D442-E442,2)&lt;'Opening Balance'!$B$14),ROUND(J442+D442-E442,2),0)))</f>
        <v/>
      </c>
      <c r="L442" s="6">
        <f>IF(C442="","",ROUND(J442+D442-E442-K442,2))</f>
        <v/>
      </c>
      <c r="M442" s="6">
        <f>IF(C442="","",IF('Daily Sale entry '!Q442="Collection 收款",ROUND(N('Daily Sale entry '!T442),2),0))</f>
        <v/>
      </c>
    </row>
    <row r="443">
      <c r="A443" t="inlineStr">
        <is>
          <t>Entry 记录</t>
        </is>
      </c>
      <c r="B443" s="5">
        <f>IF('Daily Sale entry '!P443="","",'Daily Sale entry '!O443)</f>
        <v/>
      </c>
      <c r="C443">
        <f>IF('Daily Sale entry '!P443="","",'Daily Sale entry '!P443)</f>
        <v/>
      </c>
      <c r="D443">
        <f>IF(C443="","",IF('Daily Sale entry '!Q443="Credit Sale 赊销",'Daily Sale entry '!S443,0))</f>
        <v/>
      </c>
      <c r="E443">
        <f>IF(C443="","",IF('Daily Sale entry '!Q443="Collection 收款",'Daily Sale entry '!S443,0))</f>
        <v/>
      </c>
      <c r="F443" s="37">
        <f>IF(C443="","",B443+IF(E443&gt;0,0,0.5)+ROW()/10000000)</f>
        <v/>
      </c>
      <c r="G443">
        <f>IF(C443="","",'Daily Sale entry '!Q443&amp;IF('Daily Sale entry '!Q443="Collection 收款"," ("&amp;'Daily Sale entry '!R443&amp;")","")&amp;IF('Daily Sale entry '!U443="",""," - "&amp;'Daily Sale entry '!U443))</f>
        <v/>
      </c>
      <c r="H443">
        <f>IF(C443="","",COUNTIFS($C$2:$C$3001,C443,$F$2:$F$3001,"&lt;"&amp;F443)+1)</f>
        <v/>
      </c>
      <c r="I443">
        <f>IF(C443="","",C443&amp;"|"&amp;H443)</f>
        <v/>
      </c>
      <c r="J443" s="6">
        <f>IF(C443="","",IF(H443=1,SUMIFS('Opening Balance'!$F$4:$F$303,'Opening Balance'!$G$4:$G$303,C443),INDEX($L$2:$L$3001,MATCH(C443&amp;"|"&amp;(H443-1),$I$2:$I$3001,0))))</f>
        <v/>
      </c>
      <c r="K443" s="6">
        <f>IF(C443="","",IF(M443&gt;0,M443,IF(AND(E443&gt;0,ROUND(J443+D443-E443,2)&gt;0,ROUND(J443+D443-E443,2)&lt;'Opening Balance'!$B$14),ROUND(J443+D443-E443,2),0)))</f>
        <v/>
      </c>
      <c r="L443" s="6">
        <f>IF(C443="","",ROUND(J443+D443-E443-K443,2))</f>
        <v/>
      </c>
      <c r="M443" s="6">
        <f>IF(C443="","",IF('Daily Sale entry '!Q443="Collection 收款",ROUND(N('Daily Sale entry '!T443),2),0))</f>
        <v/>
      </c>
    </row>
    <row r="444">
      <c r="A444" t="inlineStr">
        <is>
          <t>Entry 记录</t>
        </is>
      </c>
      <c r="B444" s="5">
        <f>IF('Daily Sale entry '!P444="","",'Daily Sale entry '!O444)</f>
        <v/>
      </c>
      <c r="C444">
        <f>IF('Daily Sale entry '!P444="","",'Daily Sale entry '!P444)</f>
        <v/>
      </c>
      <c r="D444">
        <f>IF(C444="","",IF('Daily Sale entry '!Q444="Credit Sale 赊销",'Daily Sale entry '!S444,0))</f>
        <v/>
      </c>
      <c r="E444">
        <f>IF(C444="","",IF('Daily Sale entry '!Q444="Collection 收款",'Daily Sale entry '!S444,0))</f>
        <v/>
      </c>
      <c r="F444" s="37">
        <f>IF(C444="","",B444+IF(E444&gt;0,0,0.5)+ROW()/10000000)</f>
        <v/>
      </c>
      <c r="G444">
        <f>IF(C444="","",'Daily Sale entry '!Q444&amp;IF('Daily Sale entry '!Q444="Collection 收款"," ("&amp;'Daily Sale entry '!R444&amp;")","")&amp;IF('Daily Sale entry '!U444="",""," - "&amp;'Daily Sale entry '!U444))</f>
        <v/>
      </c>
      <c r="H444">
        <f>IF(C444="","",COUNTIFS($C$2:$C$3001,C444,$F$2:$F$3001,"&lt;"&amp;F444)+1)</f>
        <v/>
      </c>
      <c r="I444">
        <f>IF(C444="","",C444&amp;"|"&amp;H444)</f>
        <v/>
      </c>
      <c r="J444" s="6">
        <f>IF(C444="","",IF(H444=1,SUMIFS('Opening Balance'!$F$4:$F$303,'Opening Balance'!$G$4:$G$303,C444),INDEX($L$2:$L$3001,MATCH(C444&amp;"|"&amp;(H444-1),$I$2:$I$3001,0))))</f>
        <v/>
      </c>
      <c r="K444" s="6">
        <f>IF(C444="","",IF(M444&gt;0,M444,IF(AND(E444&gt;0,ROUND(J444+D444-E444,2)&gt;0,ROUND(J444+D444-E444,2)&lt;'Opening Balance'!$B$14),ROUND(J444+D444-E444,2),0)))</f>
        <v/>
      </c>
      <c r="L444" s="6">
        <f>IF(C444="","",ROUND(J444+D444-E444-K444,2))</f>
        <v/>
      </c>
      <c r="M444" s="6">
        <f>IF(C444="","",IF('Daily Sale entry '!Q444="Collection 收款",ROUND(N('Daily Sale entry '!T444),2),0))</f>
        <v/>
      </c>
    </row>
    <row r="445">
      <c r="A445" t="inlineStr">
        <is>
          <t>Entry 记录</t>
        </is>
      </c>
      <c r="B445" s="5">
        <f>IF('Daily Sale entry '!P445="","",'Daily Sale entry '!O445)</f>
        <v/>
      </c>
      <c r="C445">
        <f>IF('Daily Sale entry '!P445="","",'Daily Sale entry '!P445)</f>
        <v/>
      </c>
      <c r="D445">
        <f>IF(C445="","",IF('Daily Sale entry '!Q445="Credit Sale 赊销",'Daily Sale entry '!S445,0))</f>
        <v/>
      </c>
      <c r="E445">
        <f>IF(C445="","",IF('Daily Sale entry '!Q445="Collection 收款",'Daily Sale entry '!S445,0))</f>
        <v/>
      </c>
      <c r="F445" s="37">
        <f>IF(C445="","",B445+IF(E445&gt;0,0,0.5)+ROW()/10000000)</f>
        <v/>
      </c>
      <c r="G445">
        <f>IF(C445="","",'Daily Sale entry '!Q445&amp;IF('Daily Sale entry '!Q445="Collection 收款"," ("&amp;'Daily Sale entry '!R445&amp;")","")&amp;IF('Daily Sale entry '!U445="",""," - "&amp;'Daily Sale entry '!U445))</f>
        <v/>
      </c>
      <c r="H445">
        <f>IF(C445="","",COUNTIFS($C$2:$C$3001,C445,$F$2:$F$3001,"&lt;"&amp;F445)+1)</f>
        <v/>
      </c>
      <c r="I445">
        <f>IF(C445="","",C445&amp;"|"&amp;H445)</f>
        <v/>
      </c>
      <c r="J445" s="6">
        <f>IF(C445="","",IF(H445=1,SUMIFS('Opening Balance'!$F$4:$F$303,'Opening Balance'!$G$4:$G$303,C445),INDEX($L$2:$L$3001,MATCH(C445&amp;"|"&amp;(H445-1),$I$2:$I$3001,0))))</f>
        <v/>
      </c>
      <c r="K445" s="6">
        <f>IF(C445="","",IF(M445&gt;0,M445,IF(AND(E445&gt;0,ROUND(J445+D445-E445,2)&gt;0,ROUND(J445+D445-E445,2)&lt;'Opening Balance'!$B$14),ROUND(J445+D445-E445,2),0)))</f>
        <v/>
      </c>
      <c r="L445" s="6">
        <f>IF(C445="","",ROUND(J445+D445-E445-K445,2))</f>
        <v/>
      </c>
      <c r="M445" s="6">
        <f>IF(C445="","",IF('Daily Sale entry '!Q445="Collection 收款",ROUND(N('Daily Sale entry '!T445),2),0))</f>
        <v/>
      </c>
    </row>
    <row r="446">
      <c r="A446" t="inlineStr">
        <is>
          <t>Entry 记录</t>
        </is>
      </c>
      <c r="B446" s="5">
        <f>IF('Daily Sale entry '!P446="","",'Daily Sale entry '!O446)</f>
        <v/>
      </c>
      <c r="C446">
        <f>IF('Daily Sale entry '!P446="","",'Daily Sale entry '!P446)</f>
        <v/>
      </c>
      <c r="D446">
        <f>IF(C446="","",IF('Daily Sale entry '!Q446="Credit Sale 赊销",'Daily Sale entry '!S446,0))</f>
        <v/>
      </c>
      <c r="E446">
        <f>IF(C446="","",IF('Daily Sale entry '!Q446="Collection 收款",'Daily Sale entry '!S446,0))</f>
        <v/>
      </c>
      <c r="F446" s="37">
        <f>IF(C446="","",B446+IF(E446&gt;0,0,0.5)+ROW()/10000000)</f>
        <v/>
      </c>
      <c r="G446">
        <f>IF(C446="","",'Daily Sale entry '!Q446&amp;IF('Daily Sale entry '!Q446="Collection 收款"," ("&amp;'Daily Sale entry '!R446&amp;")","")&amp;IF('Daily Sale entry '!U446="",""," - "&amp;'Daily Sale entry '!U446))</f>
        <v/>
      </c>
      <c r="H446">
        <f>IF(C446="","",COUNTIFS($C$2:$C$3001,C446,$F$2:$F$3001,"&lt;"&amp;F446)+1)</f>
        <v/>
      </c>
      <c r="I446">
        <f>IF(C446="","",C446&amp;"|"&amp;H446)</f>
        <v/>
      </c>
      <c r="J446" s="6">
        <f>IF(C446="","",IF(H446=1,SUMIFS('Opening Balance'!$F$4:$F$303,'Opening Balance'!$G$4:$G$303,C446),INDEX($L$2:$L$3001,MATCH(C446&amp;"|"&amp;(H446-1),$I$2:$I$3001,0))))</f>
        <v/>
      </c>
      <c r="K446" s="6">
        <f>IF(C446="","",IF(M446&gt;0,M446,IF(AND(E446&gt;0,ROUND(J446+D446-E446,2)&gt;0,ROUND(J446+D446-E446,2)&lt;'Opening Balance'!$B$14),ROUND(J446+D446-E446,2),0)))</f>
        <v/>
      </c>
      <c r="L446" s="6">
        <f>IF(C446="","",ROUND(J446+D446-E446-K446,2))</f>
        <v/>
      </c>
      <c r="M446" s="6">
        <f>IF(C446="","",IF('Daily Sale entry '!Q446="Collection 收款",ROUND(N('Daily Sale entry '!T446),2),0))</f>
        <v/>
      </c>
    </row>
    <row r="447">
      <c r="A447" t="inlineStr">
        <is>
          <t>Entry 记录</t>
        </is>
      </c>
      <c r="B447" s="5">
        <f>IF('Daily Sale entry '!P447="","",'Daily Sale entry '!O447)</f>
        <v/>
      </c>
      <c r="C447">
        <f>IF('Daily Sale entry '!P447="","",'Daily Sale entry '!P447)</f>
        <v/>
      </c>
      <c r="D447">
        <f>IF(C447="","",IF('Daily Sale entry '!Q447="Credit Sale 赊销",'Daily Sale entry '!S447,0))</f>
        <v/>
      </c>
      <c r="E447">
        <f>IF(C447="","",IF('Daily Sale entry '!Q447="Collection 收款",'Daily Sale entry '!S447,0))</f>
        <v/>
      </c>
      <c r="F447" s="37">
        <f>IF(C447="","",B447+IF(E447&gt;0,0,0.5)+ROW()/10000000)</f>
        <v/>
      </c>
      <c r="G447">
        <f>IF(C447="","",'Daily Sale entry '!Q447&amp;IF('Daily Sale entry '!Q447="Collection 收款"," ("&amp;'Daily Sale entry '!R447&amp;")","")&amp;IF('Daily Sale entry '!U447="",""," - "&amp;'Daily Sale entry '!U447))</f>
        <v/>
      </c>
      <c r="H447">
        <f>IF(C447="","",COUNTIFS($C$2:$C$3001,C447,$F$2:$F$3001,"&lt;"&amp;F447)+1)</f>
        <v/>
      </c>
      <c r="I447">
        <f>IF(C447="","",C447&amp;"|"&amp;H447)</f>
        <v/>
      </c>
      <c r="J447" s="6">
        <f>IF(C447="","",IF(H447=1,SUMIFS('Opening Balance'!$F$4:$F$303,'Opening Balance'!$G$4:$G$303,C447),INDEX($L$2:$L$3001,MATCH(C447&amp;"|"&amp;(H447-1),$I$2:$I$3001,0))))</f>
        <v/>
      </c>
      <c r="K447" s="6">
        <f>IF(C447="","",IF(M447&gt;0,M447,IF(AND(E447&gt;0,ROUND(J447+D447-E447,2)&gt;0,ROUND(J447+D447-E447,2)&lt;'Opening Balance'!$B$14),ROUND(J447+D447-E447,2),0)))</f>
        <v/>
      </c>
      <c r="L447" s="6">
        <f>IF(C447="","",ROUND(J447+D447-E447-K447,2))</f>
        <v/>
      </c>
      <c r="M447" s="6">
        <f>IF(C447="","",IF('Daily Sale entry '!Q447="Collection 收款",ROUND(N('Daily Sale entry '!T447),2),0))</f>
        <v/>
      </c>
    </row>
    <row r="448">
      <c r="A448" t="inlineStr">
        <is>
          <t>Entry 记录</t>
        </is>
      </c>
      <c r="B448" s="5">
        <f>IF('Daily Sale entry '!P448="","",'Daily Sale entry '!O448)</f>
        <v/>
      </c>
      <c r="C448">
        <f>IF('Daily Sale entry '!P448="","",'Daily Sale entry '!P448)</f>
        <v/>
      </c>
      <c r="D448">
        <f>IF(C448="","",IF('Daily Sale entry '!Q448="Credit Sale 赊销",'Daily Sale entry '!S448,0))</f>
        <v/>
      </c>
      <c r="E448">
        <f>IF(C448="","",IF('Daily Sale entry '!Q448="Collection 收款",'Daily Sale entry '!S448,0))</f>
        <v/>
      </c>
      <c r="F448" s="37">
        <f>IF(C448="","",B448+IF(E448&gt;0,0,0.5)+ROW()/10000000)</f>
        <v/>
      </c>
      <c r="G448">
        <f>IF(C448="","",'Daily Sale entry '!Q448&amp;IF('Daily Sale entry '!Q448="Collection 收款"," ("&amp;'Daily Sale entry '!R448&amp;")","")&amp;IF('Daily Sale entry '!U448="",""," - "&amp;'Daily Sale entry '!U448))</f>
        <v/>
      </c>
      <c r="H448">
        <f>IF(C448="","",COUNTIFS($C$2:$C$3001,C448,$F$2:$F$3001,"&lt;"&amp;F448)+1)</f>
        <v/>
      </c>
      <c r="I448">
        <f>IF(C448="","",C448&amp;"|"&amp;H448)</f>
        <v/>
      </c>
      <c r="J448" s="6">
        <f>IF(C448="","",IF(H448=1,SUMIFS('Opening Balance'!$F$4:$F$303,'Opening Balance'!$G$4:$G$303,C448),INDEX($L$2:$L$3001,MATCH(C448&amp;"|"&amp;(H448-1),$I$2:$I$3001,0))))</f>
        <v/>
      </c>
      <c r="K448" s="6">
        <f>IF(C448="","",IF(M448&gt;0,M448,IF(AND(E448&gt;0,ROUND(J448+D448-E448,2)&gt;0,ROUND(J448+D448-E448,2)&lt;'Opening Balance'!$B$14),ROUND(J448+D448-E448,2),0)))</f>
        <v/>
      </c>
      <c r="L448" s="6">
        <f>IF(C448="","",ROUND(J448+D448-E448-K448,2))</f>
        <v/>
      </c>
      <c r="M448" s="6">
        <f>IF(C448="","",IF('Daily Sale entry '!Q448="Collection 收款",ROUND(N('Daily Sale entry '!T448),2),0))</f>
        <v/>
      </c>
    </row>
    <row r="449">
      <c r="A449" t="inlineStr">
        <is>
          <t>Entry 记录</t>
        </is>
      </c>
      <c r="B449" s="5">
        <f>IF('Daily Sale entry '!P449="","",'Daily Sale entry '!O449)</f>
        <v/>
      </c>
      <c r="C449">
        <f>IF('Daily Sale entry '!P449="","",'Daily Sale entry '!P449)</f>
        <v/>
      </c>
      <c r="D449">
        <f>IF(C449="","",IF('Daily Sale entry '!Q449="Credit Sale 赊销",'Daily Sale entry '!S449,0))</f>
        <v/>
      </c>
      <c r="E449">
        <f>IF(C449="","",IF('Daily Sale entry '!Q449="Collection 收款",'Daily Sale entry '!S449,0))</f>
        <v/>
      </c>
      <c r="F449" s="37">
        <f>IF(C449="","",B449+IF(E449&gt;0,0,0.5)+ROW()/10000000)</f>
        <v/>
      </c>
      <c r="G449">
        <f>IF(C449="","",'Daily Sale entry '!Q449&amp;IF('Daily Sale entry '!Q449="Collection 收款"," ("&amp;'Daily Sale entry '!R449&amp;")","")&amp;IF('Daily Sale entry '!U449="",""," - "&amp;'Daily Sale entry '!U449))</f>
        <v/>
      </c>
      <c r="H449">
        <f>IF(C449="","",COUNTIFS($C$2:$C$3001,C449,$F$2:$F$3001,"&lt;"&amp;F449)+1)</f>
        <v/>
      </c>
      <c r="I449">
        <f>IF(C449="","",C449&amp;"|"&amp;H449)</f>
        <v/>
      </c>
      <c r="J449" s="6">
        <f>IF(C449="","",IF(H449=1,SUMIFS('Opening Balance'!$F$4:$F$303,'Opening Balance'!$G$4:$G$303,C449),INDEX($L$2:$L$3001,MATCH(C449&amp;"|"&amp;(H449-1),$I$2:$I$3001,0))))</f>
        <v/>
      </c>
      <c r="K449" s="6">
        <f>IF(C449="","",IF(M449&gt;0,M449,IF(AND(E449&gt;0,ROUND(J449+D449-E449,2)&gt;0,ROUND(J449+D449-E449,2)&lt;'Opening Balance'!$B$14),ROUND(J449+D449-E449,2),0)))</f>
        <v/>
      </c>
      <c r="L449" s="6">
        <f>IF(C449="","",ROUND(J449+D449-E449-K449,2))</f>
        <v/>
      </c>
      <c r="M449" s="6">
        <f>IF(C449="","",IF('Daily Sale entry '!Q449="Collection 收款",ROUND(N('Daily Sale entry '!T449),2),0))</f>
        <v/>
      </c>
    </row>
    <row r="450">
      <c r="A450" t="inlineStr">
        <is>
          <t>Entry 记录</t>
        </is>
      </c>
      <c r="B450" s="5">
        <f>IF('Daily Sale entry '!P450="","",'Daily Sale entry '!O450)</f>
        <v/>
      </c>
      <c r="C450">
        <f>IF('Daily Sale entry '!P450="","",'Daily Sale entry '!P450)</f>
        <v/>
      </c>
      <c r="D450">
        <f>IF(C450="","",IF('Daily Sale entry '!Q450="Credit Sale 赊销",'Daily Sale entry '!S450,0))</f>
        <v/>
      </c>
      <c r="E450">
        <f>IF(C450="","",IF('Daily Sale entry '!Q450="Collection 收款",'Daily Sale entry '!S450,0))</f>
        <v/>
      </c>
      <c r="F450" s="37">
        <f>IF(C450="","",B450+IF(E450&gt;0,0,0.5)+ROW()/10000000)</f>
        <v/>
      </c>
      <c r="G450">
        <f>IF(C450="","",'Daily Sale entry '!Q450&amp;IF('Daily Sale entry '!Q450="Collection 收款"," ("&amp;'Daily Sale entry '!R450&amp;")","")&amp;IF('Daily Sale entry '!U450="",""," - "&amp;'Daily Sale entry '!U450))</f>
        <v/>
      </c>
      <c r="H450">
        <f>IF(C450="","",COUNTIFS($C$2:$C$3001,C450,$F$2:$F$3001,"&lt;"&amp;F450)+1)</f>
        <v/>
      </c>
      <c r="I450">
        <f>IF(C450="","",C450&amp;"|"&amp;H450)</f>
        <v/>
      </c>
      <c r="J450" s="6">
        <f>IF(C450="","",IF(H450=1,SUMIFS('Opening Balance'!$F$4:$F$303,'Opening Balance'!$G$4:$G$303,C450),INDEX($L$2:$L$3001,MATCH(C450&amp;"|"&amp;(H450-1),$I$2:$I$3001,0))))</f>
        <v/>
      </c>
      <c r="K450" s="6">
        <f>IF(C450="","",IF(M450&gt;0,M450,IF(AND(E450&gt;0,ROUND(J450+D450-E450,2)&gt;0,ROUND(J450+D450-E450,2)&lt;'Opening Balance'!$B$14),ROUND(J450+D450-E450,2),0)))</f>
        <v/>
      </c>
      <c r="L450" s="6">
        <f>IF(C450="","",ROUND(J450+D450-E450-K450,2))</f>
        <v/>
      </c>
      <c r="M450" s="6">
        <f>IF(C450="","",IF('Daily Sale entry '!Q450="Collection 收款",ROUND(N('Daily Sale entry '!T450),2),0))</f>
        <v/>
      </c>
    </row>
    <row r="451">
      <c r="A451" t="inlineStr">
        <is>
          <t>Entry 记录</t>
        </is>
      </c>
      <c r="B451" s="5">
        <f>IF('Daily Sale entry '!P451="","",'Daily Sale entry '!O451)</f>
        <v/>
      </c>
      <c r="C451">
        <f>IF('Daily Sale entry '!P451="","",'Daily Sale entry '!P451)</f>
        <v/>
      </c>
      <c r="D451">
        <f>IF(C451="","",IF('Daily Sale entry '!Q451="Credit Sale 赊销",'Daily Sale entry '!S451,0))</f>
        <v/>
      </c>
      <c r="E451">
        <f>IF(C451="","",IF('Daily Sale entry '!Q451="Collection 收款",'Daily Sale entry '!S451,0))</f>
        <v/>
      </c>
      <c r="F451" s="37">
        <f>IF(C451="","",B451+IF(E451&gt;0,0,0.5)+ROW()/10000000)</f>
        <v/>
      </c>
      <c r="G451">
        <f>IF(C451="","",'Daily Sale entry '!Q451&amp;IF('Daily Sale entry '!Q451="Collection 收款"," ("&amp;'Daily Sale entry '!R451&amp;")","")&amp;IF('Daily Sale entry '!U451="",""," - "&amp;'Daily Sale entry '!U451))</f>
        <v/>
      </c>
      <c r="H451">
        <f>IF(C451="","",COUNTIFS($C$2:$C$3001,C451,$F$2:$F$3001,"&lt;"&amp;F451)+1)</f>
        <v/>
      </c>
      <c r="I451">
        <f>IF(C451="","",C451&amp;"|"&amp;H451)</f>
        <v/>
      </c>
      <c r="J451" s="6">
        <f>IF(C451="","",IF(H451=1,SUMIFS('Opening Balance'!$F$4:$F$303,'Opening Balance'!$G$4:$G$303,C451),INDEX($L$2:$L$3001,MATCH(C451&amp;"|"&amp;(H451-1),$I$2:$I$3001,0))))</f>
        <v/>
      </c>
      <c r="K451" s="6">
        <f>IF(C451="","",IF(M451&gt;0,M451,IF(AND(E451&gt;0,ROUND(J451+D451-E451,2)&gt;0,ROUND(J451+D451-E451,2)&lt;'Opening Balance'!$B$14),ROUND(J451+D451-E451,2),0)))</f>
        <v/>
      </c>
      <c r="L451" s="6">
        <f>IF(C451="","",ROUND(J451+D451-E451-K451,2))</f>
        <v/>
      </c>
      <c r="M451" s="6">
        <f>IF(C451="","",IF('Daily Sale entry '!Q451="Collection 收款",ROUND(N('Daily Sale entry '!T451),2),0))</f>
        <v/>
      </c>
    </row>
    <row r="452">
      <c r="A452" t="inlineStr">
        <is>
          <t>Entry 记录</t>
        </is>
      </c>
      <c r="B452" s="5">
        <f>IF('Daily Sale entry '!P452="","",'Daily Sale entry '!O452)</f>
        <v/>
      </c>
      <c r="C452">
        <f>IF('Daily Sale entry '!P452="","",'Daily Sale entry '!P452)</f>
        <v/>
      </c>
      <c r="D452">
        <f>IF(C452="","",IF('Daily Sale entry '!Q452="Credit Sale 赊销",'Daily Sale entry '!S452,0))</f>
        <v/>
      </c>
      <c r="E452">
        <f>IF(C452="","",IF('Daily Sale entry '!Q452="Collection 收款",'Daily Sale entry '!S452,0))</f>
        <v/>
      </c>
      <c r="F452" s="37">
        <f>IF(C452="","",B452+IF(E452&gt;0,0,0.5)+ROW()/10000000)</f>
        <v/>
      </c>
      <c r="G452">
        <f>IF(C452="","",'Daily Sale entry '!Q452&amp;IF('Daily Sale entry '!Q452="Collection 收款"," ("&amp;'Daily Sale entry '!R452&amp;")","")&amp;IF('Daily Sale entry '!U452="",""," - "&amp;'Daily Sale entry '!U452))</f>
        <v/>
      </c>
      <c r="H452">
        <f>IF(C452="","",COUNTIFS($C$2:$C$3001,C452,$F$2:$F$3001,"&lt;"&amp;F452)+1)</f>
        <v/>
      </c>
      <c r="I452">
        <f>IF(C452="","",C452&amp;"|"&amp;H452)</f>
        <v/>
      </c>
      <c r="J452" s="6">
        <f>IF(C452="","",IF(H452=1,SUMIFS('Opening Balance'!$F$4:$F$303,'Opening Balance'!$G$4:$G$303,C452),INDEX($L$2:$L$3001,MATCH(C452&amp;"|"&amp;(H452-1),$I$2:$I$3001,0))))</f>
        <v/>
      </c>
      <c r="K452" s="6">
        <f>IF(C452="","",IF(M452&gt;0,M452,IF(AND(E452&gt;0,ROUND(J452+D452-E452,2)&gt;0,ROUND(J452+D452-E452,2)&lt;'Opening Balance'!$B$14),ROUND(J452+D452-E452,2),0)))</f>
        <v/>
      </c>
      <c r="L452" s="6">
        <f>IF(C452="","",ROUND(J452+D452-E452-K452,2))</f>
        <v/>
      </c>
      <c r="M452" s="6">
        <f>IF(C452="","",IF('Daily Sale entry '!Q452="Collection 收款",ROUND(N('Daily Sale entry '!T452),2),0))</f>
        <v/>
      </c>
    </row>
    <row r="453">
      <c r="A453" t="inlineStr">
        <is>
          <t>Entry 记录</t>
        </is>
      </c>
      <c r="B453" s="5">
        <f>IF('Daily Sale entry '!P453="","",'Daily Sale entry '!O453)</f>
        <v/>
      </c>
      <c r="C453">
        <f>IF('Daily Sale entry '!P453="","",'Daily Sale entry '!P453)</f>
        <v/>
      </c>
      <c r="D453">
        <f>IF(C453="","",IF('Daily Sale entry '!Q453="Credit Sale 赊销",'Daily Sale entry '!S453,0))</f>
        <v/>
      </c>
      <c r="E453">
        <f>IF(C453="","",IF('Daily Sale entry '!Q453="Collection 收款",'Daily Sale entry '!S453,0))</f>
        <v/>
      </c>
      <c r="F453" s="37">
        <f>IF(C453="","",B453+IF(E453&gt;0,0,0.5)+ROW()/10000000)</f>
        <v/>
      </c>
      <c r="G453">
        <f>IF(C453="","",'Daily Sale entry '!Q453&amp;IF('Daily Sale entry '!Q453="Collection 收款"," ("&amp;'Daily Sale entry '!R453&amp;")","")&amp;IF('Daily Sale entry '!U453="",""," - "&amp;'Daily Sale entry '!U453))</f>
        <v/>
      </c>
      <c r="H453">
        <f>IF(C453="","",COUNTIFS($C$2:$C$3001,C453,$F$2:$F$3001,"&lt;"&amp;F453)+1)</f>
        <v/>
      </c>
      <c r="I453">
        <f>IF(C453="","",C453&amp;"|"&amp;H453)</f>
        <v/>
      </c>
      <c r="J453" s="6">
        <f>IF(C453="","",IF(H453=1,SUMIFS('Opening Balance'!$F$4:$F$303,'Opening Balance'!$G$4:$G$303,C453),INDEX($L$2:$L$3001,MATCH(C453&amp;"|"&amp;(H453-1),$I$2:$I$3001,0))))</f>
        <v/>
      </c>
      <c r="K453" s="6">
        <f>IF(C453="","",IF(M453&gt;0,M453,IF(AND(E453&gt;0,ROUND(J453+D453-E453,2)&gt;0,ROUND(J453+D453-E453,2)&lt;'Opening Balance'!$B$14),ROUND(J453+D453-E453,2),0)))</f>
        <v/>
      </c>
      <c r="L453" s="6">
        <f>IF(C453="","",ROUND(J453+D453-E453-K453,2))</f>
        <v/>
      </c>
      <c r="M453" s="6">
        <f>IF(C453="","",IF('Daily Sale entry '!Q453="Collection 收款",ROUND(N('Daily Sale entry '!T453),2),0))</f>
        <v/>
      </c>
    </row>
    <row r="454">
      <c r="A454" t="inlineStr">
        <is>
          <t>Entry 记录</t>
        </is>
      </c>
      <c r="B454" s="5">
        <f>IF('Daily Sale entry '!P454="","",'Daily Sale entry '!O454)</f>
        <v/>
      </c>
      <c r="C454">
        <f>IF('Daily Sale entry '!P454="","",'Daily Sale entry '!P454)</f>
        <v/>
      </c>
      <c r="D454">
        <f>IF(C454="","",IF('Daily Sale entry '!Q454="Credit Sale 赊销",'Daily Sale entry '!S454,0))</f>
        <v/>
      </c>
      <c r="E454">
        <f>IF(C454="","",IF('Daily Sale entry '!Q454="Collection 收款",'Daily Sale entry '!S454,0))</f>
        <v/>
      </c>
      <c r="F454" s="37">
        <f>IF(C454="","",B454+IF(E454&gt;0,0,0.5)+ROW()/10000000)</f>
        <v/>
      </c>
      <c r="G454">
        <f>IF(C454="","",'Daily Sale entry '!Q454&amp;IF('Daily Sale entry '!Q454="Collection 收款"," ("&amp;'Daily Sale entry '!R454&amp;")","")&amp;IF('Daily Sale entry '!U454="",""," - "&amp;'Daily Sale entry '!U454))</f>
        <v/>
      </c>
      <c r="H454">
        <f>IF(C454="","",COUNTIFS($C$2:$C$3001,C454,$F$2:$F$3001,"&lt;"&amp;F454)+1)</f>
        <v/>
      </c>
      <c r="I454">
        <f>IF(C454="","",C454&amp;"|"&amp;H454)</f>
        <v/>
      </c>
      <c r="J454" s="6">
        <f>IF(C454="","",IF(H454=1,SUMIFS('Opening Balance'!$F$4:$F$303,'Opening Balance'!$G$4:$G$303,C454),INDEX($L$2:$L$3001,MATCH(C454&amp;"|"&amp;(H454-1),$I$2:$I$3001,0))))</f>
        <v/>
      </c>
      <c r="K454" s="6">
        <f>IF(C454="","",IF(M454&gt;0,M454,IF(AND(E454&gt;0,ROUND(J454+D454-E454,2)&gt;0,ROUND(J454+D454-E454,2)&lt;'Opening Balance'!$B$14),ROUND(J454+D454-E454,2),0)))</f>
        <v/>
      </c>
      <c r="L454" s="6">
        <f>IF(C454="","",ROUND(J454+D454-E454-K454,2))</f>
        <v/>
      </c>
      <c r="M454" s="6">
        <f>IF(C454="","",IF('Daily Sale entry '!Q454="Collection 收款",ROUND(N('Daily Sale entry '!T454),2),0))</f>
        <v/>
      </c>
    </row>
    <row r="455">
      <c r="A455" t="inlineStr">
        <is>
          <t>Entry 记录</t>
        </is>
      </c>
      <c r="B455" s="5">
        <f>IF('Daily Sale entry '!P455="","",'Daily Sale entry '!O455)</f>
        <v/>
      </c>
      <c r="C455">
        <f>IF('Daily Sale entry '!P455="","",'Daily Sale entry '!P455)</f>
        <v/>
      </c>
      <c r="D455">
        <f>IF(C455="","",IF('Daily Sale entry '!Q455="Credit Sale 赊销",'Daily Sale entry '!S455,0))</f>
        <v/>
      </c>
      <c r="E455">
        <f>IF(C455="","",IF('Daily Sale entry '!Q455="Collection 收款",'Daily Sale entry '!S455,0))</f>
        <v/>
      </c>
      <c r="F455" s="37">
        <f>IF(C455="","",B455+IF(E455&gt;0,0,0.5)+ROW()/10000000)</f>
        <v/>
      </c>
      <c r="G455">
        <f>IF(C455="","",'Daily Sale entry '!Q455&amp;IF('Daily Sale entry '!Q455="Collection 收款"," ("&amp;'Daily Sale entry '!R455&amp;")","")&amp;IF('Daily Sale entry '!U455="",""," - "&amp;'Daily Sale entry '!U455))</f>
        <v/>
      </c>
      <c r="H455">
        <f>IF(C455="","",COUNTIFS($C$2:$C$3001,C455,$F$2:$F$3001,"&lt;"&amp;F455)+1)</f>
        <v/>
      </c>
      <c r="I455">
        <f>IF(C455="","",C455&amp;"|"&amp;H455)</f>
        <v/>
      </c>
      <c r="J455" s="6">
        <f>IF(C455="","",IF(H455=1,SUMIFS('Opening Balance'!$F$4:$F$303,'Opening Balance'!$G$4:$G$303,C455),INDEX($L$2:$L$3001,MATCH(C455&amp;"|"&amp;(H455-1),$I$2:$I$3001,0))))</f>
        <v/>
      </c>
      <c r="K455" s="6">
        <f>IF(C455="","",IF(M455&gt;0,M455,IF(AND(E455&gt;0,ROUND(J455+D455-E455,2)&gt;0,ROUND(J455+D455-E455,2)&lt;'Opening Balance'!$B$14),ROUND(J455+D455-E455,2),0)))</f>
        <v/>
      </c>
      <c r="L455" s="6">
        <f>IF(C455="","",ROUND(J455+D455-E455-K455,2))</f>
        <v/>
      </c>
      <c r="M455" s="6">
        <f>IF(C455="","",IF('Daily Sale entry '!Q455="Collection 收款",ROUND(N('Daily Sale entry '!T455),2),0))</f>
        <v/>
      </c>
    </row>
    <row r="456">
      <c r="A456" t="inlineStr">
        <is>
          <t>Entry 记录</t>
        </is>
      </c>
      <c r="B456" s="5">
        <f>IF('Daily Sale entry '!P456="","",'Daily Sale entry '!O456)</f>
        <v/>
      </c>
      <c r="C456">
        <f>IF('Daily Sale entry '!P456="","",'Daily Sale entry '!P456)</f>
        <v/>
      </c>
      <c r="D456">
        <f>IF(C456="","",IF('Daily Sale entry '!Q456="Credit Sale 赊销",'Daily Sale entry '!S456,0))</f>
        <v/>
      </c>
      <c r="E456">
        <f>IF(C456="","",IF('Daily Sale entry '!Q456="Collection 收款",'Daily Sale entry '!S456,0))</f>
        <v/>
      </c>
      <c r="F456" s="37">
        <f>IF(C456="","",B456+IF(E456&gt;0,0,0.5)+ROW()/10000000)</f>
        <v/>
      </c>
      <c r="G456">
        <f>IF(C456="","",'Daily Sale entry '!Q456&amp;IF('Daily Sale entry '!Q456="Collection 收款"," ("&amp;'Daily Sale entry '!R456&amp;")","")&amp;IF('Daily Sale entry '!U456="",""," - "&amp;'Daily Sale entry '!U456))</f>
        <v/>
      </c>
      <c r="H456">
        <f>IF(C456="","",COUNTIFS($C$2:$C$3001,C456,$F$2:$F$3001,"&lt;"&amp;F456)+1)</f>
        <v/>
      </c>
      <c r="I456">
        <f>IF(C456="","",C456&amp;"|"&amp;H456)</f>
        <v/>
      </c>
      <c r="J456" s="6">
        <f>IF(C456="","",IF(H456=1,SUMIFS('Opening Balance'!$F$4:$F$303,'Opening Balance'!$G$4:$G$303,C456),INDEX($L$2:$L$3001,MATCH(C456&amp;"|"&amp;(H456-1),$I$2:$I$3001,0))))</f>
        <v/>
      </c>
      <c r="K456" s="6">
        <f>IF(C456="","",IF(M456&gt;0,M456,IF(AND(E456&gt;0,ROUND(J456+D456-E456,2)&gt;0,ROUND(J456+D456-E456,2)&lt;'Opening Balance'!$B$14),ROUND(J456+D456-E456,2),0)))</f>
        <v/>
      </c>
      <c r="L456" s="6">
        <f>IF(C456="","",ROUND(J456+D456-E456-K456,2))</f>
        <v/>
      </c>
      <c r="M456" s="6">
        <f>IF(C456="","",IF('Daily Sale entry '!Q456="Collection 收款",ROUND(N('Daily Sale entry '!T456),2),0))</f>
        <v/>
      </c>
    </row>
    <row r="457">
      <c r="A457" t="inlineStr">
        <is>
          <t>Entry 记录</t>
        </is>
      </c>
      <c r="B457" s="5">
        <f>IF('Daily Sale entry '!P457="","",'Daily Sale entry '!O457)</f>
        <v/>
      </c>
      <c r="C457">
        <f>IF('Daily Sale entry '!P457="","",'Daily Sale entry '!P457)</f>
        <v/>
      </c>
      <c r="D457">
        <f>IF(C457="","",IF('Daily Sale entry '!Q457="Credit Sale 赊销",'Daily Sale entry '!S457,0))</f>
        <v/>
      </c>
      <c r="E457">
        <f>IF(C457="","",IF('Daily Sale entry '!Q457="Collection 收款",'Daily Sale entry '!S457,0))</f>
        <v/>
      </c>
      <c r="F457" s="37">
        <f>IF(C457="","",B457+IF(E457&gt;0,0,0.5)+ROW()/10000000)</f>
        <v/>
      </c>
      <c r="G457">
        <f>IF(C457="","",'Daily Sale entry '!Q457&amp;IF('Daily Sale entry '!Q457="Collection 收款"," ("&amp;'Daily Sale entry '!R457&amp;")","")&amp;IF('Daily Sale entry '!U457="",""," - "&amp;'Daily Sale entry '!U457))</f>
        <v/>
      </c>
      <c r="H457">
        <f>IF(C457="","",COUNTIFS($C$2:$C$3001,C457,$F$2:$F$3001,"&lt;"&amp;F457)+1)</f>
        <v/>
      </c>
      <c r="I457">
        <f>IF(C457="","",C457&amp;"|"&amp;H457)</f>
        <v/>
      </c>
      <c r="J457" s="6">
        <f>IF(C457="","",IF(H457=1,SUMIFS('Opening Balance'!$F$4:$F$303,'Opening Balance'!$G$4:$G$303,C457),INDEX($L$2:$L$3001,MATCH(C457&amp;"|"&amp;(H457-1),$I$2:$I$3001,0))))</f>
        <v/>
      </c>
      <c r="K457" s="6">
        <f>IF(C457="","",IF(M457&gt;0,M457,IF(AND(E457&gt;0,ROUND(J457+D457-E457,2)&gt;0,ROUND(J457+D457-E457,2)&lt;'Opening Balance'!$B$14),ROUND(J457+D457-E457,2),0)))</f>
        <v/>
      </c>
      <c r="L457" s="6">
        <f>IF(C457="","",ROUND(J457+D457-E457-K457,2))</f>
        <v/>
      </c>
      <c r="M457" s="6">
        <f>IF(C457="","",IF('Daily Sale entry '!Q457="Collection 收款",ROUND(N('Daily Sale entry '!T457),2),0))</f>
        <v/>
      </c>
    </row>
    <row r="458">
      <c r="A458" t="inlineStr">
        <is>
          <t>Entry 记录</t>
        </is>
      </c>
      <c r="B458" s="5">
        <f>IF('Daily Sale entry '!P458="","",'Daily Sale entry '!O458)</f>
        <v/>
      </c>
      <c r="C458">
        <f>IF('Daily Sale entry '!P458="","",'Daily Sale entry '!P458)</f>
        <v/>
      </c>
      <c r="D458">
        <f>IF(C458="","",IF('Daily Sale entry '!Q458="Credit Sale 赊销",'Daily Sale entry '!S458,0))</f>
        <v/>
      </c>
      <c r="E458">
        <f>IF(C458="","",IF('Daily Sale entry '!Q458="Collection 收款",'Daily Sale entry '!S458,0))</f>
        <v/>
      </c>
      <c r="F458" s="37">
        <f>IF(C458="","",B458+IF(E458&gt;0,0,0.5)+ROW()/10000000)</f>
        <v/>
      </c>
      <c r="G458">
        <f>IF(C458="","",'Daily Sale entry '!Q458&amp;IF('Daily Sale entry '!Q458="Collection 收款"," ("&amp;'Daily Sale entry '!R458&amp;")","")&amp;IF('Daily Sale entry '!U458="",""," - "&amp;'Daily Sale entry '!U458))</f>
        <v/>
      </c>
      <c r="H458">
        <f>IF(C458="","",COUNTIFS($C$2:$C$3001,C458,$F$2:$F$3001,"&lt;"&amp;F458)+1)</f>
        <v/>
      </c>
      <c r="I458">
        <f>IF(C458="","",C458&amp;"|"&amp;H458)</f>
        <v/>
      </c>
      <c r="J458" s="6">
        <f>IF(C458="","",IF(H458=1,SUMIFS('Opening Balance'!$F$4:$F$303,'Opening Balance'!$G$4:$G$303,C458),INDEX($L$2:$L$3001,MATCH(C458&amp;"|"&amp;(H458-1),$I$2:$I$3001,0))))</f>
        <v/>
      </c>
      <c r="K458" s="6">
        <f>IF(C458="","",IF(M458&gt;0,M458,IF(AND(E458&gt;0,ROUND(J458+D458-E458,2)&gt;0,ROUND(J458+D458-E458,2)&lt;'Opening Balance'!$B$14),ROUND(J458+D458-E458,2),0)))</f>
        <v/>
      </c>
      <c r="L458" s="6">
        <f>IF(C458="","",ROUND(J458+D458-E458-K458,2))</f>
        <v/>
      </c>
      <c r="M458" s="6">
        <f>IF(C458="","",IF('Daily Sale entry '!Q458="Collection 收款",ROUND(N('Daily Sale entry '!T458),2),0))</f>
        <v/>
      </c>
    </row>
    <row r="459">
      <c r="A459" t="inlineStr">
        <is>
          <t>Entry 记录</t>
        </is>
      </c>
      <c r="B459" s="5">
        <f>IF('Daily Sale entry '!P459="","",'Daily Sale entry '!O459)</f>
        <v/>
      </c>
      <c r="C459">
        <f>IF('Daily Sale entry '!P459="","",'Daily Sale entry '!P459)</f>
        <v/>
      </c>
      <c r="D459">
        <f>IF(C459="","",IF('Daily Sale entry '!Q459="Credit Sale 赊销",'Daily Sale entry '!S459,0))</f>
        <v/>
      </c>
      <c r="E459">
        <f>IF(C459="","",IF('Daily Sale entry '!Q459="Collection 收款",'Daily Sale entry '!S459,0))</f>
        <v/>
      </c>
      <c r="F459" s="37">
        <f>IF(C459="","",B459+IF(E459&gt;0,0,0.5)+ROW()/10000000)</f>
        <v/>
      </c>
      <c r="G459">
        <f>IF(C459="","",'Daily Sale entry '!Q459&amp;IF('Daily Sale entry '!Q459="Collection 收款"," ("&amp;'Daily Sale entry '!R459&amp;")","")&amp;IF('Daily Sale entry '!U459="",""," - "&amp;'Daily Sale entry '!U459))</f>
        <v/>
      </c>
      <c r="H459">
        <f>IF(C459="","",COUNTIFS($C$2:$C$3001,C459,$F$2:$F$3001,"&lt;"&amp;F459)+1)</f>
        <v/>
      </c>
      <c r="I459">
        <f>IF(C459="","",C459&amp;"|"&amp;H459)</f>
        <v/>
      </c>
      <c r="J459" s="6">
        <f>IF(C459="","",IF(H459=1,SUMIFS('Opening Balance'!$F$4:$F$303,'Opening Balance'!$G$4:$G$303,C459),INDEX($L$2:$L$3001,MATCH(C459&amp;"|"&amp;(H459-1),$I$2:$I$3001,0))))</f>
        <v/>
      </c>
      <c r="K459" s="6">
        <f>IF(C459="","",IF(M459&gt;0,M459,IF(AND(E459&gt;0,ROUND(J459+D459-E459,2)&gt;0,ROUND(J459+D459-E459,2)&lt;'Opening Balance'!$B$14),ROUND(J459+D459-E459,2),0)))</f>
        <v/>
      </c>
      <c r="L459" s="6">
        <f>IF(C459="","",ROUND(J459+D459-E459-K459,2))</f>
        <v/>
      </c>
      <c r="M459" s="6">
        <f>IF(C459="","",IF('Daily Sale entry '!Q459="Collection 收款",ROUND(N('Daily Sale entry '!T459),2),0))</f>
        <v/>
      </c>
    </row>
    <row r="460">
      <c r="A460" t="inlineStr">
        <is>
          <t>Entry 记录</t>
        </is>
      </c>
      <c r="B460" s="5">
        <f>IF('Daily Sale entry '!P460="","",'Daily Sale entry '!O460)</f>
        <v/>
      </c>
      <c r="C460">
        <f>IF('Daily Sale entry '!P460="","",'Daily Sale entry '!P460)</f>
        <v/>
      </c>
      <c r="D460">
        <f>IF(C460="","",IF('Daily Sale entry '!Q460="Credit Sale 赊销",'Daily Sale entry '!S460,0))</f>
        <v/>
      </c>
      <c r="E460">
        <f>IF(C460="","",IF('Daily Sale entry '!Q460="Collection 收款",'Daily Sale entry '!S460,0))</f>
        <v/>
      </c>
      <c r="F460" s="37">
        <f>IF(C460="","",B460+IF(E460&gt;0,0,0.5)+ROW()/10000000)</f>
        <v/>
      </c>
      <c r="G460">
        <f>IF(C460="","",'Daily Sale entry '!Q460&amp;IF('Daily Sale entry '!Q460="Collection 收款"," ("&amp;'Daily Sale entry '!R460&amp;")","")&amp;IF('Daily Sale entry '!U460="",""," - "&amp;'Daily Sale entry '!U460))</f>
        <v/>
      </c>
      <c r="H460">
        <f>IF(C460="","",COUNTIFS($C$2:$C$3001,C460,$F$2:$F$3001,"&lt;"&amp;F460)+1)</f>
        <v/>
      </c>
      <c r="I460">
        <f>IF(C460="","",C460&amp;"|"&amp;H460)</f>
        <v/>
      </c>
      <c r="J460" s="6">
        <f>IF(C460="","",IF(H460=1,SUMIFS('Opening Balance'!$F$4:$F$303,'Opening Balance'!$G$4:$G$303,C460),INDEX($L$2:$L$3001,MATCH(C460&amp;"|"&amp;(H460-1),$I$2:$I$3001,0))))</f>
        <v/>
      </c>
      <c r="K460" s="6">
        <f>IF(C460="","",IF(M460&gt;0,M460,IF(AND(E460&gt;0,ROUND(J460+D460-E460,2)&gt;0,ROUND(J460+D460-E460,2)&lt;'Opening Balance'!$B$14),ROUND(J460+D460-E460,2),0)))</f>
        <v/>
      </c>
      <c r="L460" s="6">
        <f>IF(C460="","",ROUND(J460+D460-E460-K460,2))</f>
        <v/>
      </c>
      <c r="M460" s="6">
        <f>IF(C460="","",IF('Daily Sale entry '!Q460="Collection 收款",ROUND(N('Daily Sale entry '!T460),2),0))</f>
        <v/>
      </c>
    </row>
    <row r="461">
      <c r="A461" t="inlineStr">
        <is>
          <t>Entry 记录</t>
        </is>
      </c>
      <c r="B461" s="5">
        <f>IF('Daily Sale entry '!P461="","",'Daily Sale entry '!O461)</f>
        <v/>
      </c>
      <c r="C461">
        <f>IF('Daily Sale entry '!P461="","",'Daily Sale entry '!P461)</f>
        <v/>
      </c>
      <c r="D461">
        <f>IF(C461="","",IF('Daily Sale entry '!Q461="Credit Sale 赊销",'Daily Sale entry '!S461,0))</f>
        <v/>
      </c>
      <c r="E461">
        <f>IF(C461="","",IF('Daily Sale entry '!Q461="Collection 收款",'Daily Sale entry '!S461,0))</f>
        <v/>
      </c>
      <c r="F461" s="37">
        <f>IF(C461="","",B461+IF(E461&gt;0,0,0.5)+ROW()/10000000)</f>
        <v/>
      </c>
      <c r="G461">
        <f>IF(C461="","",'Daily Sale entry '!Q461&amp;IF('Daily Sale entry '!Q461="Collection 收款"," ("&amp;'Daily Sale entry '!R461&amp;")","")&amp;IF('Daily Sale entry '!U461="",""," - "&amp;'Daily Sale entry '!U461))</f>
        <v/>
      </c>
      <c r="H461">
        <f>IF(C461="","",COUNTIFS($C$2:$C$3001,C461,$F$2:$F$3001,"&lt;"&amp;F461)+1)</f>
        <v/>
      </c>
      <c r="I461">
        <f>IF(C461="","",C461&amp;"|"&amp;H461)</f>
        <v/>
      </c>
      <c r="J461" s="6">
        <f>IF(C461="","",IF(H461=1,SUMIFS('Opening Balance'!$F$4:$F$303,'Opening Balance'!$G$4:$G$303,C461),INDEX($L$2:$L$3001,MATCH(C461&amp;"|"&amp;(H461-1),$I$2:$I$3001,0))))</f>
        <v/>
      </c>
      <c r="K461" s="6">
        <f>IF(C461="","",IF(M461&gt;0,M461,IF(AND(E461&gt;0,ROUND(J461+D461-E461,2)&gt;0,ROUND(J461+D461-E461,2)&lt;'Opening Balance'!$B$14),ROUND(J461+D461-E461,2),0)))</f>
        <v/>
      </c>
      <c r="L461" s="6">
        <f>IF(C461="","",ROUND(J461+D461-E461-K461,2))</f>
        <v/>
      </c>
      <c r="M461" s="6">
        <f>IF(C461="","",IF('Daily Sale entry '!Q461="Collection 收款",ROUND(N('Daily Sale entry '!T461),2),0))</f>
        <v/>
      </c>
    </row>
    <row r="462">
      <c r="A462" t="inlineStr">
        <is>
          <t>Entry 记录</t>
        </is>
      </c>
      <c r="B462" s="5">
        <f>IF('Daily Sale entry '!P462="","",'Daily Sale entry '!O462)</f>
        <v/>
      </c>
      <c r="C462">
        <f>IF('Daily Sale entry '!P462="","",'Daily Sale entry '!P462)</f>
        <v/>
      </c>
      <c r="D462">
        <f>IF(C462="","",IF('Daily Sale entry '!Q462="Credit Sale 赊销",'Daily Sale entry '!S462,0))</f>
        <v/>
      </c>
      <c r="E462">
        <f>IF(C462="","",IF('Daily Sale entry '!Q462="Collection 收款",'Daily Sale entry '!S462,0))</f>
        <v/>
      </c>
      <c r="F462" s="37">
        <f>IF(C462="","",B462+IF(E462&gt;0,0,0.5)+ROW()/10000000)</f>
        <v/>
      </c>
      <c r="G462">
        <f>IF(C462="","",'Daily Sale entry '!Q462&amp;IF('Daily Sale entry '!Q462="Collection 收款"," ("&amp;'Daily Sale entry '!R462&amp;")","")&amp;IF('Daily Sale entry '!U462="",""," - "&amp;'Daily Sale entry '!U462))</f>
        <v/>
      </c>
      <c r="H462">
        <f>IF(C462="","",COUNTIFS($C$2:$C$3001,C462,$F$2:$F$3001,"&lt;"&amp;F462)+1)</f>
        <v/>
      </c>
      <c r="I462">
        <f>IF(C462="","",C462&amp;"|"&amp;H462)</f>
        <v/>
      </c>
      <c r="J462" s="6">
        <f>IF(C462="","",IF(H462=1,SUMIFS('Opening Balance'!$F$4:$F$303,'Opening Balance'!$G$4:$G$303,C462),INDEX($L$2:$L$3001,MATCH(C462&amp;"|"&amp;(H462-1),$I$2:$I$3001,0))))</f>
        <v/>
      </c>
      <c r="K462" s="6">
        <f>IF(C462="","",IF(M462&gt;0,M462,IF(AND(E462&gt;0,ROUND(J462+D462-E462,2)&gt;0,ROUND(J462+D462-E462,2)&lt;'Opening Balance'!$B$14),ROUND(J462+D462-E462,2),0)))</f>
        <v/>
      </c>
      <c r="L462" s="6">
        <f>IF(C462="","",ROUND(J462+D462-E462-K462,2))</f>
        <v/>
      </c>
      <c r="M462" s="6">
        <f>IF(C462="","",IF('Daily Sale entry '!Q462="Collection 收款",ROUND(N('Daily Sale entry '!T462),2),0))</f>
        <v/>
      </c>
    </row>
    <row r="463">
      <c r="A463" t="inlineStr">
        <is>
          <t>Entry 记录</t>
        </is>
      </c>
      <c r="B463" s="5">
        <f>IF('Daily Sale entry '!P463="","",'Daily Sale entry '!O463)</f>
        <v/>
      </c>
      <c r="C463">
        <f>IF('Daily Sale entry '!P463="","",'Daily Sale entry '!P463)</f>
        <v/>
      </c>
      <c r="D463">
        <f>IF(C463="","",IF('Daily Sale entry '!Q463="Credit Sale 赊销",'Daily Sale entry '!S463,0))</f>
        <v/>
      </c>
      <c r="E463">
        <f>IF(C463="","",IF('Daily Sale entry '!Q463="Collection 收款",'Daily Sale entry '!S463,0))</f>
        <v/>
      </c>
      <c r="F463" s="37">
        <f>IF(C463="","",B463+IF(E463&gt;0,0,0.5)+ROW()/10000000)</f>
        <v/>
      </c>
      <c r="G463">
        <f>IF(C463="","",'Daily Sale entry '!Q463&amp;IF('Daily Sale entry '!Q463="Collection 收款"," ("&amp;'Daily Sale entry '!R463&amp;")","")&amp;IF('Daily Sale entry '!U463="",""," - "&amp;'Daily Sale entry '!U463))</f>
        <v/>
      </c>
      <c r="H463">
        <f>IF(C463="","",COUNTIFS($C$2:$C$3001,C463,$F$2:$F$3001,"&lt;"&amp;F463)+1)</f>
        <v/>
      </c>
      <c r="I463">
        <f>IF(C463="","",C463&amp;"|"&amp;H463)</f>
        <v/>
      </c>
      <c r="J463" s="6">
        <f>IF(C463="","",IF(H463=1,SUMIFS('Opening Balance'!$F$4:$F$303,'Opening Balance'!$G$4:$G$303,C463),INDEX($L$2:$L$3001,MATCH(C463&amp;"|"&amp;(H463-1),$I$2:$I$3001,0))))</f>
        <v/>
      </c>
      <c r="K463" s="6">
        <f>IF(C463="","",IF(M463&gt;0,M463,IF(AND(E463&gt;0,ROUND(J463+D463-E463,2)&gt;0,ROUND(J463+D463-E463,2)&lt;'Opening Balance'!$B$14),ROUND(J463+D463-E463,2),0)))</f>
        <v/>
      </c>
      <c r="L463" s="6">
        <f>IF(C463="","",ROUND(J463+D463-E463-K463,2))</f>
        <v/>
      </c>
      <c r="M463" s="6">
        <f>IF(C463="","",IF('Daily Sale entry '!Q463="Collection 收款",ROUND(N('Daily Sale entry '!T463),2),0))</f>
        <v/>
      </c>
    </row>
    <row r="464">
      <c r="A464" t="inlineStr">
        <is>
          <t>Entry 记录</t>
        </is>
      </c>
      <c r="B464" s="5">
        <f>IF('Daily Sale entry '!P464="","",'Daily Sale entry '!O464)</f>
        <v/>
      </c>
      <c r="C464">
        <f>IF('Daily Sale entry '!P464="","",'Daily Sale entry '!P464)</f>
        <v/>
      </c>
      <c r="D464">
        <f>IF(C464="","",IF('Daily Sale entry '!Q464="Credit Sale 赊销",'Daily Sale entry '!S464,0))</f>
        <v/>
      </c>
      <c r="E464">
        <f>IF(C464="","",IF('Daily Sale entry '!Q464="Collection 收款",'Daily Sale entry '!S464,0))</f>
        <v/>
      </c>
      <c r="F464" s="37">
        <f>IF(C464="","",B464+IF(E464&gt;0,0,0.5)+ROW()/10000000)</f>
        <v/>
      </c>
      <c r="G464">
        <f>IF(C464="","",'Daily Sale entry '!Q464&amp;IF('Daily Sale entry '!Q464="Collection 收款"," ("&amp;'Daily Sale entry '!R464&amp;")","")&amp;IF('Daily Sale entry '!U464="",""," - "&amp;'Daily Sale entry '!U464))</f>
        <v/>
      </c>
      <c r="H464">
        <f>IF(C464="","",COUNTIFS($C$2:$C$3001,C464,$F$2:$F$3001,"&lt;"&amp;F464)+1)</f>
        <v/>
      </c>
      <c r="I464">
        <f>IF(C464="","",C464&amp;"|"&amp;H464)</f>
        <v/>
      </c>
      <c r="J464" s="6">
        <f>IF(C464="","",IF(H464=1,SUMIFS('Opening Balance'!$F$4:$F$303,'Opening Balance'!$G$4:$G$303,C464),INDEX($L$2:$L$3001,MATCH(C464&amp;"|"&amp;(H464-1),$I$2:$I$3001,0))))</f>
        <v/>
      </c>
      <c r="K464" s="6">
        <f>IF(C464="","",IF(M464&gt;0,M464,IF(AND(E464&gt;0,ROUND(J464+D464-E464,2)&gt;0,ROUND(J464+D464-E464,2)&lt;'Opening Balance'!$B$14),ROUND(J464+D464-E464,2),0)))</f>
        <v/>
      </c>
      <c r="L464" s="6">
        <f>IF(C464="","",ROUND(J464+D464-E464-K464,2))</f>
        <v/>
      </c>
      <c r="M464" s="6">
        <f>IF(C464="","",IF('Daily Sale entry '!Q464="Collection 收款",ROUND(N('Daily Sale entry '!T464),2),0))</f>
        <v/>
      </c>
    </row>
    <row r="465">
      <c r="A465" t="inlineStr">
        <is>
          <t>Entry 记录</t>
        </is>
      </c>
      <c r="B465" s="5">
        <f>IF('Daily Sale entry '!P465="","",'Daily Sale entry '!O465)</f>
        <v/>
      </c>
      <c r="C465">
        <f>IF('Daily Sale entry '!P465="","",'Daily Sale entry '!P465)</f>
        <v/>
      </c>
      <c r="D465">
        <f>IF(C465="","",IF('Daily Sale entry '!Q465="Credit Sale 赊销",'Daily Sale entry '!S465,0))</f>
        <v/>
      </c>
      <c r="E465">
        <f>IF(C465="","",IF('Daily Sale entry '!Q465="Collection 收款",'Daily Sale entry '!S465,0))</f>
        <v/>
      </c>
      <c r="F465" s="37">
        <f>IF(C465="","",B465+IF(E465&gt;0,0,0.5)+ROW()/10000000)</f>
        <v/>
      </c>
      <c r="G465">
        <f>IF(C465="","",'Daily Sale entry '!Q465&amp;IF('Daily Sale entry '!Q465="Collection 收款"," ("&amp;'Daily Sale entry '!R465&amp;")","")&amp;IF('Daily Sale entry '!U465="",""," - "&amp;'Daily Sale entry '!U465))</f>
        <v/>
      </c>
      <c r="H465">
        <f>IF(C465="","",COUNTIFS($C$2:$C$3001,C465,$F$2:$F$3001,"&lt;"&amp;F465)+1)</f>
        <v/>
      </c>
      <c r="I465">
        <f>IF(C465="","",C465&amp;"|"&amp;H465)</f>
        <v/>
      </c>
      <c r="J465" s="6">
        <f>IF(C465="","",IF(H465=1,SUMIFS('Opening Balance'!$F$4:$F$303,'Opening Balance'!$G$4:$G$303,C465),INDEX($L$2:$L$3001,MATCH(C465&amp;"|"&amp;(H465-1),$I$2:$I$3001,0))))</f>
        <v/>
      </c>
      <c r="K465" s="6">
        <f>IF(C465="","",IF(M465&gt;0,M465,IF(AND(E465&gt;0,ROUND(J465+D465-E465,2)&gt;0,ROUND(J465+D465-E465,2)&lt;'Opening Balance'!$B$14),ROUND(J465+D465-E465,2),0)))</f>
        <v/>
      </c>
      <c r="L465" s="6">
        <f>IF(C465="","",ROUND(J465+D465-E465-K465,2))</f>
        <v/>
      </c>
      <c r="M465" s="6">
        <f>IF(C465="","",IF('Daily Sale entry '!Q465="Collection 收款",ROUND(N('Daily Sale entry '!T465),2),0))</f>
        <v/>
      </c>
    </row>
    <row r="466">
      <c r="A466" t="inlineStr">
        <is>
          <t>Entry 记录</t>
        </is>
      </c>
      <c r="B466" s="5">
        <f>IF('Daily Sale entry '!P466="","",'Daily Sale entry '!O466)</f>
        <v/>
      </c>
      <c r="C466">
        <f>IF('Daily Sale entry '!P466="","",'Daily Sale entry '!P466)</f>
        <v/>
      </c>
      <c r="D466">
        <f>IF(C466="","",IF('Daily Sale entry '!Q466="Credit Sale 赊销",'Daily Sale entry '!S466,0))</f>
        <v/>
      </c>
      <c r="E466">
        <f>IF(C466="","",IF('Daily Sale entry '!Q466="Collection 收款",'Daily Sale entry '!S466,0))</f>
        <v/>
      </c>
      <c r="F466" s="37">
        <f>IF(C466="","",B466+IF(E466&gt;0,0,0.5)+ROW()/10000000)</f>
        <v/>
      </c>
      <c r="G466">
        <f>IF(C466="","",'Daily Sale entry '!Q466&amp;IF('Daily Sale entry '!Q466="Collection 收款"," ("&amp;'Daily Sale entry '!R466&amp;")","")&amp;IF('Daily Sale entry '!U466="",""," - "&amp;'Daily Sale entry '!U466))</f>
        <v/>
      </c>
      <c r="H466">
        <f>IF(C466="","",COUNTIFS($C$2:$C$3001,C466,$F$2:$F$3001,"&lt;"&amp;F466)+1)</f>
        <v/>
      </c>
      <c r="I466">
        <f>IF(C466="","",C466&amp;"|"&amp;H466)</f>
        <v/>
      </c>
      <c r="J466" s="6">
        <f>IF(C466="","",IF(H466=1,SUMIFS('Opening Balance'!$F$4:$F$303,'Opening Balance'!$G$4:$G$303,C466),INDEX($L$2:$L$3001,MATCH(C466&amp;"|"&amp;(H466-1),$I$2:$I$3001,0))))</f>
        <v/>
      </c>
      <c r="K466" s="6">
        <f>IF(C466="","",IF(M466&gt;0,M466,IF(AND(E466&gt;0,ROUND(J466+D466-E466,2)&gt;0,ROUND(J466+D466-E466,2)&lt;'Opening Balance'!$B$14),ROUND(J466+D466-E466,2),0)))</f>
        <v/>
      </c>
      <c r="L466" s="6">
        <f>IF(C466="","",ROUND(J466+D466-E466-K466,2))</f>
        <v/>
      </c>
      <c r="M466" s="6">
        <f>IF(C466="","",IF('Daily Sale entry '!Q466="Collection 收款",ROUND(N('Daily Sale entry '!T466),2),0))</f>
        <v/>
      </c>
    </row>
    <row r="467">
      <c r="A467" t="inlineStr">
        <is>
          <t>Entry 记录</t>
        </is>
      </c>
      <c r="B467" s="5">
        <f>IF('Daily Sale entry '!P467="","",'Daily Sale entry '!O467)</f>
        <v/>
      </c>
      <c r="C467">
        <f>IF('Daily Sale entry '!P467="","",'Daily Sale entry '!P467)</f>
        <v/>
      </c>
      <c r="D467">
        <f>IF(C467="","",IF('Daily Sale entry '!Q467="Credit Sale 赊销",'Daily Sale entry '!S467,0))</f>
        <v/>
      </c>
      <c r="E467">
        <f>IF(C467="","",IF('Daily Sale entry '!Q467="Collection 收款",'Daily Sale entry '!S467,0))</f>
        <v/>
      </c>
      <c r="F467" s="37">
        <f>IF(C467="","",B467+IF(E467&gt;0,0,0.5)+ROW()/10000000)</f>
        <v/>
      </c>
      <c r="G467">
        <f>IF(C467="","",'Daily Sale entry '!Q467&amp;IF('Daily Sale entry '!Q467="Collection 收款"," ("&amp;'Daily Sale entry '!R467&amp;")","")&amp;IF('Daily Sale entry '!U467="",""," - "&amp;'Daily Sale entry '!U467))</f>
        <v/>
      </c>
      <c r="H467">
        <f>IF(C467="","",COUNTIFS($C$2:$C$3001,C467,$F$2:$F$3001,"&lt;"&amp;F467)+1)</f>
        <v/>
      </c>
      <c r="I467">
        <f>IF(C467="","",C467&amp;"|"&amp;H467)</f>
        <v/>
      </c>
      <c r="J467" s="6">
        <f>IF(C467="","",IF(H467=1,SUMIFS('Opening Balance'!$F$4:$F$303,'Opening Balance'!$G$4:$G$303,C467),INDEX($L$2:$L$3001,MATCH(C467&amp;"|"&amp;(H467-1),$I$2:$I$3001,0))))</f>
        <v/>
      </c>
      <c r="K467" s="6">
        <f>IF(C467="","",IF(M467&gt;0,M467,IF(AND(E467&gt;0,ROUND(J467+D467-E467,2)&gt;0,ROUND(J467+D467-E467,2)&lt;'Opening Balance'!$B$14),ROUND(J467+D467-E467,2),0)))</f>
        <v/>
      </c>
      <c r="L467" s="6">
        <f>IF(C467="","",ROUND(J467+D467-E467-K467,2))</f>
        <v/>
      </c>
      <c r="M467" s="6">
        <f>IF(C467="","",IF('Daily Sale entry '!Q467="Collection 收款",ROUND(N('Daily Sale entry '!T467),2),0))</f>
        <v/>
      </c>
    </row>
    <row r="468">
      <c r="A468" t="inlineStr">
        <is>
          <t>Entry 记录</t>
        </is>
      </c>
      <c r="B468" s="5">
        <f>IF('Daily Sale entry '!P468="","",'Daily Sale entry '!O468)</f>
        <v/>
      </c>
      <c r="C468">
        <f>IF('Daily Sale entry '!P468="","",'Daily Sale entry '!P468)</f>
        <v/>
      </c>
      <c r="D468">
        <f>IF(C468="","",IF('Daily Sale entry '!Q468="Credit Sale 赊销",'Daily Sale entry '!S468,0))</f>
        <v/>
      </c>
      <c r="E468">
        <f>IF(C468="","",IF('Daily Sale entry '!Q468="Collection 收款",'Daily Sale entry '!S468,0))</f>
        <v/>
      </c>
      <c r="F468" s="37">
        <f>IF(C468="","",B468+IF(E468&gt;0,0,0.5)+ROW()/10000000)</f>
        <v/>
      </c>
      <c r="G468">
        <f>IF(C468="","",'Daily Sale entry '!Q468&amp;IF('Daily Sale entry '!Q468="Collection 收款"," ("&amp;'Daily Sale entry '!R468&amp;")","")&amp;IF('Daily Sale entry '!U468="",""," - "&amp;'Daily Sale entry '!U468))</f>
        <v/>
      </c>
      <c r="H468">
        <f>IF(C468="","",COUNTIFS($C$2:$C$3001,C468,$F$2:$F$3001,"&lt;"&amp;F468)+1)</f>
        <v/>
      </c>
      <c r="I468">
        <f>IF(C468="","",C468&amp;"|"&amp;H468)</f>
        <v/>
      </c>
      <c r="J468" s="6">
        <f>IF(C468="","",IF(H468=1,SUMIFS('Opening Balance'!$F$4:$F$303,'Opening Balance'!$G$4:$G$303,C468),INDEX($L$2:$L$3001,MATCH(C468&amp;"|"&amp;(H468-1),$I$2:$I$3001,0))))</f>
        <v/>
      </c>
      <c r="K468" s="6">
        <f>IF(C468="","",IF(M468&gt;0,M468,IF(AND(E468&gt;0,ROUND(J468+D468-E468,2)&gt;0,ROUND(J468+D468-E468,2)&lt;'Opening Balance'!$B$14),ROUND(J468+D468-E468,2),0)))</f>
        <v/>
      </c>
      <c r="L468" s="6">
        <f>IF(C468="","",ROUND(J468+D468-E468-K468,2))</f>
        <v/>
      </c>
      <c r="M468" s="6">
        <f>IF(C468="","",IF('Daily Sale entry '!Q468="Collection 收款",ROUND(N('Daily Sale entry '!T468),2),0))</f>
        <v/>
      </c>
    </row>
    <row r="469">
      <c r="A469" t="inlineStr">
        <is>
          <t>Entry 记录</t>
        </is>
      </c>
      <c r="B469" s="5">
        <f>IF('Daily Sale entry '!P469="","",'Daily Sale entry '!O469)</f>
        <v/>
      </c>
      <c r="C469">
        <f>IF('Daily Sale entry '!P469="","",'Daily Sale entry '!P469)</f>
        <v/>
      </c>
      <c r="D469">
        <f>IF(C469="","",IF('Daily Sale entry '!Q469="Credit Sale 赊销",'Daily Sale entry '!S469,0))</f>
        <v/>
      </c>
      <c r="E469">
        <f>IF(C469="","",IF('Daily Sale entry '!Q469="Collection 收款",'Daily Sale entry '!S469,0))</f>
        <v/>
      </c>
      <c r="F469" s="37">
        <f>IF(C469="","",B469+IF(E469&gt;0,0,0.5)+ROW()/10000000)</f>
        <v/>
      </c>
      <c r="G469">
        <f>IF(C469="","",'Daily Sale entry '!Q469&amp;IF('Daily Sale entry '!Q469="Collection 收款"," ("&amp;'Daily Sale entry '!R469&amp;")","")&amp;IF('Daily Sale entry '!U469="",""," - "&amp;'Daily Sale entry '!U469))</f>
        <v/>
      </c>
      <c r="H469">
        <f>IF(C469="","",COUNTIFS($C$2:$C$3001,C469,$F$2:$F$3001,"&lt;"&amp;F469)+1)</f>
        <v/>
      </c>
      <c r="I469">
        <f>IF(C469="","",C469&amp;"|"&amp;H469)</f>
        <v/>
      </c>
      <c r="J469" s="6">
        <f>IF(C469="","",IF(H469=1,SUMIFS('Opening Balance'!$F$4:$F$303,'Opening Balance'!$G$4:$G$303,C469),INDEX($L$2:$L$3001,MATCH(C469&amp;"|"&amp;(H469-1),$I$2:$I$3001,0))))</f>
        <v/>
      </c>
      <c r="K469" s="6">
        <f>IF(C469="","",IF(M469&gt;0,M469,IF(AND(E469&gt;0,ROUND(J469+D469-E469,2)&gt;0,ROUND(J469+D469-E469,2)&lt;'Opening Balance'!$B$14),ROUND(J469+D469-E469,2),0)))</f>
        <v/>
      </c>
      <c r="L469" s="6">
        <f>IF(C469="","",ROUND(J469+D469-E469-K469,2))</f>
        <v/>
      </c>
      <c r="M469" s="6">
        <f>IF(C469="","",IF('Daily Sale entry '!Q469="Collection 收款",ROUND(N('Daily Sale entry '!T469),2),0))</f>
        <v/>
      </c>
    </row>
    <row r="470">
      <c r="A470" t="inlineStr">
        <is>
          <t>Entry 记录</t>
        </is>
      </c>
      <c r="B470" s="5">
        <f>IF('Daily Sale entry '!P470="","",'Daily Sale entry '!O470)</f>
        <v/>
      </c>
      <c r="C470">
        <f>IF('Daily Sale entry '!P470="","",'Daily Sale entry '!P470)</f>
        <v/>
      </c>
      <c r="D470">
        <f>IF(C470="","",IF('Daily Sale entry '!Q470="Credit Sale 赊销",'Daily Sale entry '!S470,0))</f>
        <v/>
      </c>
      <c r="E470">
        <f>IF(C470="","",IF('Daily Sale entry '!Q470="Collection 收款",'Daily Sale entry '!S470,0))</f>
        <v/>
      </c>
      <c r="F470" s="37">
        <f>IF(C470="","",B470+IF(E470&gt;0,0,0.5)+ROW()/10000000)</f>
        <v/>
      </c>
      <c r="G470">
        <f>IF(C470="","",'Daily Sale entry '!Q470&amp;IF('Daily Sale entry '!Q470="Collection 收款"," ("&amp;'Daily Sale entry '!R470&amp;")","")&amp;IF('Daily Sale entry '!U470="",""," - "&amp;'Daily Sale entry '!U470))</f>
        <v/>
      </c>
      <c r="H470">
        <f>IF(C470="","",COUNTIFS($C$2:$C$3001,C470,$F$2:$F$3001,"&lt;"&amp;F470)+1)</f>
        <v/>
      </c>
      <c r="I470">
        <f>IF(C470="","",C470&amp;"|"&amp;H470)</f>
        <v/>
      </c>
      <c r="J470" s="6">
        <f>IF(C470="","",IF(H470=1,SUMIFS('Opening Balance'!$F$4:$F$303,'Opening Balance'!$G$4:$G$303,C470),INDEX($L$2:$L$3001,MATCH(C470&amp;"|"&amp;(H470-1),$I$2:$I$3001,0))))</f>
        <v/>
      </c>
      <c r="K470" s="6">
        <f>IF(C470="","",IF(M470&gt;0,M470,IF(AND(E470&gt;0,ROUND(J470+D470-E470,2)&gt;0,ROUND(J470+D470-E470,2)&lt;'Opening Balance'!$B$14),ROUND(J470+D470-E470,2),0)))</f>
        <v/>
      </c>
      <c r="L470" s="6">
        <f>IF(C470="","",ROUND(J470+D470-E470-K470,2))</f>
        <v/>
      </c>
      <c r="M470" s="6">
        <f>IF(C470="","",IF('Daily Sale entry '!Q470="Collection 收款",ROUND(N('Daily Sale entry '!T470),2),0))</f>
        <v/>
      </c>
    </row>
    <row r="471">
      <c r="A471" t="inlineStr">
        <is>
          <t>Entry 记录</t>
        </is>
      </c>
      <c r="B471" s="5">
        <f>IF('Daily Sale entry '!P471="","",'Daily Sale entry '!O471)</f>
        <v/>
      </c>
      <c r="C471">
        <f>IF('Daily Sale entry '!P471="","",'Daily Sale entry '!P471)</f>
        <v/>
      </c>
      <c r="D471">
        <f>IF(C471="","",IF('Daily Sale entry '!Q471="Credit Sale 赊销",'Daily Sale entry '!S471,0))</f>
        <v/>
      </c>
      <c r="E471">
        <f>IF(C471="","",IF('Daily Sale entry '!Q471="Collection 收款",'Daily Sale entry '!S471,0))</f>
        <v/>
      </c>
      <c r="F471" s="37">
        <f>IF(C471="","",B471+IF(E471&gt;0,0,0.5)+ROW()/10000000)</f>
        <v/>
      </c>
      <c r="G471">
        <f>IF(C471="","",'Daily Sale entry '!Q471&amp;IF('Daily Sale entry '!Q471="Collection 收款"," ("&amp;'Daily Sale entry '!R471&amp;")","")&amp;IF('Daily Sale entry '!U471="",""," - "&amp;'Daily Sale entry '!U471))</f>
        <v/>
      </c>
      <c r="H471">
        <f>IF(C471="","",COUNTIFS($C$2:$C$3001,C471,$F$2:$F$3001,"&lt;"&amp;F471)+1)</f>
        <v/>
      </c>
      <c r="I471">
        <f>IF(C471="","",C471&amp;"|"&amp;H471)</f>
        <v/>
      </c>
      <c r="J471" s="6">
        <f>IF(C471="","",IF(H471=1,SUMIFS('Opening Balance'!$F$4:$F$303,'Opening Balance'!$G$4:$G$303,C471),INDEX($L$2:$L$3001,MATCH(C471&amp;"|"&amp;(H471-1),$I$2:$I$3001,0))))</f>
        <v/>
      </c>
      <c r="K471" s="6">
        <f>IF(C471="","",IF(M471&gt;0,M471,IF(AND(E471&gt;0,ROUND(J471+D471-E471,2)&gt;0,ROUND(J471+D471-E471,2)&lt;'Opening Balance'!$B$14),ROUND(J471+D471-E471,2),0)))</f>
        <v/>
      </c>
      <c r="L471" s="6">
        <f>IF(C471="","",ROUND(J471+D471-E471-K471,2))</f>
        <v/>
      </c>
      <c r="M471" s="6">
        <f>IF(C471="","",IF('Daily Sale entry '!Q471="Collection 收款",ROUND(N('Daily Sale entry '!T471),2),0))</f>
        <v/>
      </c>
    </row>
    <row r="472">
      <c r="A472" t="inlineStr">
        <is>
          <t>Entry 记录</t>
        </is>
      </c>
      <c r="B472" s="5">
        <f>IF('Daily Sale entry '!P472="","",'Daily Sale entry '!O472)</f>
        <v/>
      </c>
      <c r="C472">
        <f>IF('Daily Sale entry '!P472="","",'Daily Sale entry '!P472)</f>
        <v/>
      </c>
      <c r="D472">
        <f>IF(C472="","",IF('Daily Sale entry '!Q472="Credit Sale 赊销",'Daily Sale entry '!S472,0))</f>
        <v/>
      </c>
      <c r="E472">
        <f>IF(C472="","",IF('Daily Sale entry '!Q472="Collection 收款",'Daily Sale entry '!S472,0))</f>
        <v/>
      </c>
      <c r="F472" s="37">
        <f>IF(C472="","",B472+IF(E472&gt;0,0,0.5)+ROW()/10000000)</f>
        <v/>
      </c>
      <c r="G472">
        <f>IF(C472="","",'Daily Sale entry '!Q472&amp;IF('Daily Sale entry '!Q472="Collection 收款"," ("&amp;'Daily Sale entry '!R472&amp;")","")&amp;IF('Daily Sale entry '!U472="",""," - "&amp;'Daily Sale entry '!U472))</f>
        <v/>
      </c>
      <c r="H472">
        <f>IF(C472="","",COUNTIFS($C$2:$C$3001,C472,$F$2:$F$3001,"&lt;"&amp;F472)+1)</f>
        <v/>
      </c>
      <c r="I472">
        <f>IF(C472="","",C472&amp;"|"&amp;H472)</f>
        <v/>
      </c>
      <c r="J472" s="6">
        <f>IF(C472="","",IF(H472=1,SUMIFS('Opening Balance'!$F$4:$F$303,'Opening Balance'!$G$4:$G$303,C472),INDEX($L$2:$L$3001,MATCH(C472&amp;"|"&amp;(H472-1),$I$2:$I$3001,0))))</f>
        <v/>
      </c>
      <c r="K472" s="6">
        <f>IF(C472="","",IF(M472&gt;0,M472,IF(AND(E472&gt;0,ROUND(J472+D472-E472,2)&gt;0,ROUND(J472+D472-E472,2)&lt;'Opening Balance'!$B$14),ROUND(J472+D472-E472,2),0)))</f>
        <v/>
      </c>
      <c r="L472" s="6">
        <f>IF(C472="","",ROUND(J472+D472-E472-K472,2))</f>
        <v/>
      </c>
      <c r="M472" s="6">
        <f>IF(C472="","",IF('Daily Sale entry '!Q472="Collection 收款",ROUND(N('Daily Sale entry '!T472),2),0))</f>
        <v/>
      </c>
    </row>
    <row r="473">
      <c r="A473" t="inlineStr">
        <is>
          <t>Entry 记录</t>
        </is>
      </c>
      <c r="B473" s="5">
        <f>IF('Daily Sale entry '!P473="","",'Daily Sale entry '!O473)</f>
        <v/>
      </c>
      <c r="C473">
        <f>IF('Daily Sale entry '!P473="","",'Daily Sale entry '!P473)</f>
        <v/>
      </c>
      <c r="D473">
        <f>IF(C473="","",IF('Daily Sale entry '!Q473="Credit Sale 赊销",'Daily Sale entry '!S473,0))</f>
        <v/>
      </c>
      <c r="E473">
        <f>IF(C473="","",IF('Daily Sale entry '!Q473="Collection 收款",'Daily Sale entry '!S473,0))</f>
        <v/>
      </c>
      <c r="F473" s="37">
        <f>IF(C473="","",B473+IF(E473&gt;0,0,0.5)+ROW()/10000000)</f>
        <v/>
      </c>
      <c r="G473">
        <f>IF(C473="","",'Daily Sale entry '!Q473&amp;IF('Daily Sale entry '!Q473="Collection 收款"," ("&amp;'Daily Sale entry '!R473&amp;")","")&amp;IF('Daily Sale entry '!U473="",""," - "&amp;'Daily Sale entry '!U473))</f>
        <v/>
      </c>
      <c r="H473">
        <f>IF(C473="","",COUNTIFS($C$2:$C$3001,C473,$F$2:$F$3001,"&lt;"&amp;F473)+1)</f>
        <v/>
      </c>
      <c r="I473">
        <f>IF(C473="","",C473&amp;"|"&amp;H473)</f>
        <v/>
      </c>
      <c r="J473" s="6">
        <f>IF(C473="","",IF(H473=1,SUMIFS('Opening Balance'!$F$4:$F$303,'Opening Balance'!$G$4:$G$303,C473),INDEX($L$2:$L$3001,MATCH(C473&amp;"|"&amp;(H473-1),$I$2:$I$3001,0))))</f>
        <v/>
      </c>
      <c r="K473" s="6">
        <f>IF(C473="","",IF(M473&gt;0,M473,IF(AND(E473&gt;0,ROUND(J473+D473-E473,2)&gt;0,ROUND(J473+D473-E473,2)&lt;'Opening Balance'!$B$14),ROUND(J473+D473-E473,2),0)))</f>
        <v/>
      </c>
      <c r="L473" s="6">
        <f>IF(C473="","",ROUND(J473+D473-E473-K473,2))</f>
        <v/>
      </c>
      <c r="M473" s="6">
        <f>IF(C473="","",IF('Daily Sale entry '!Q473="Collection 收款",ROUND(N('Daily Sale entry '!T473),2),0))</f>
        <v/>
      </c>
    </row>
    <row r="474">
      <c r="A474" t="inlineStr">
        <is>
          <t>Entry 记录</t>
        </is>
      </c>
      <c r="B474" s="5">
        <f>IF('Daily Sale entry '!P474="","",'Daily Sale entry '!O474)</f>
        <v/>
      </c>
      <c r="C474">
        <f>IF('Daily Sale entry '!P474="","",'Daily Sale entry '!P474)</f>
        <v/>
      </c>
      <c r="D474">
        <f>IF(C474="","",IF('Daily Sale entry '!Q474="Credit Sale 赊销",'Daily Sale entry '!S474,0))</f>
        <v/>
      </c>
      <c r="E474">
        <f>IF(C474="","",IF('Daily Sale entry '!Q474="Collection 收款",'Daily Sale entry '!S474,0))</f>
        <v/>
      </c>
      <c r="F474" s="37">
        <f>IF(C474="","",B474+IF(E474&gt;0,0,0.5)+ROW()/10000000)</f>
        <v/>
      </c>
      <c r="G474">
        <f>IF(C474="","",'Daily Sale entry '!Q474&amp;IF('Daily Sale entry '!Q474="Collection 收款"," ("&amp;'Daily Sale entry '!R474&amp;")","")&amp;IF('Daily Sale entry '!U474="",""," - "&amp;'Daily Sale entry '!U474))</f>
        <v/>
      </c>
      <c r="H474">
        <f>IF(C474="","",COUNTIFS($C$2:$C$3001,C474,$F$2:$F$3001,"&lt;"&amp;F474)+1)</f>
        <v/>
      </c>
      <c r="I474">
        <f>IF(C474="","",C474&amp;"|"&amp;H474)</f>
        <v/>
      </c>
      <c r="J474" s="6">
        <f>IF(C474="","",IF(H474=1,SUMIFS('Opening Balance'!$F$4:$F$303,'Opening Balance'!$G$4:$G$303,C474),INDEX($L$2:$L$3001,MATCH(C474&amp;"|"&amp;(H474-1),$I$2:$I$3001,0))))</f>
        <v/>
      </c>
      <c r="K474" s="6">
        <f>IF(C474="","",IF(M474&gt;0,M474,IF(AND(E474&gt;0,ROUND(J474+D474-E474,2)&gt;0,ROUND(J474+D474-E474,2)&lt;'Opening Balance'!$B$14),ROUND(J474+D474-E474,2),0)))</f>
        <v/>
      </c>
      <c r="L474" s="6">
        <f>IF(C474="","",ROUND(J474+D474-E474-K474,2))</f>
        <v/>
      </c>
      <c r="M474" s="6">
        <f>IF(C474="","",IF('Daily Sale entry '!Q474="Collection 收款",ROUND(N('Daily Sale entry '!T474),2),0))</f>
        <v/>
      </c>
    </row>
    <row r="475">
      <c r="A475" t="inlineStr">
        <is>
          <t>Entry 记录</t>
        </is>
      </c>
      <c r="B475" s="5">
        <f>IF('Daily Sale entry '!P475="","",'Daily Sale entry '!O475)</f>
        <v/>
      </c>
      <c r="C475">
        <f>IF('Daily Sale entry '!P475="","",'Daily Sale entry '!P475)</f>
        <v/>
      </c>
      <c r="D475">
        <f>IF(C475="","",IF('Daily Sale entry '!Q475="Credit Sale 赊销",'Daily Sale entry '!S475,0))</f>
        <v/>
      </c>
      <c r="E475">
        <f>IF(C475="","",IF('Daily Sale entry '!Q475="Collection 收款",'Daily Sale entry '!S475,0))</f>
        <v/>
      </c>
      <c r="F475" s="37">
        <f>IF(C475="","",B475+IF(E475&gt;0,0,0.5)+ROW()/10000000)</f>
        <v/>
      </c>
      <c r="G475">
        <f>IF(C475="","",'Daily Sale entry '!Q475&amp;IF('Daily Sale entry '!Q475="Collection 收款"," ("&amp;'Daily Sale entry '!R475&amp;")","")&amp;IF('Daily Sale entry '!U475="",""," - "&amp;'Daily Sale entry '!U475))</f>
        <v/>
      </c>
      <c r="H475">
        <f>IF(C475="","",COUNTIFS($C$2:$C$3001,C475,$F$2:$F$3001,"&lt;"&amp;F475)+1)</f>
        <v/>
      </c>
      <c r="I475">
        <f>IF(C475="","",C475&amp;"|"&amp;H475)</f>
        <v/>
      </c>
      <c r="J475" s="6">
        <f>IF(C475="","",IF(H475=1,SUMIFS('Opening Balance'!$F$4:$F$303,'Opening Balance'!$G$4:$G$303,C475),INDEX($L$2:$L$3001,MATCH(C475&amp;"|"&amp;(H475-1),$I$2:$I$3001,0))))</f>
        <v/>
      </c>
      <c r="K475" s="6">
        <f>IF(C475="","",IF(M475&gt;0,M475,IF(AND(E475&gt;0,ROUND(J475+D475-E475,2)&gt;0,ROUND(J475+D475-E475,2)&lt;'Opening Balance'!$B$14),ROUND(J475+D475-E475,2),0)))</f>
        <v/>
      </c>
      <c r="L475" s="6">
        <f>IF(C475="","",ROUND(J475+D475-E475-K475,2))</f>
        <v/>
      </c>
      <c r="M475" s="6">
        <f>IF(C475="","",IF('Daily Sale entry '!Q475="Collection 收款",ROUND(N('Daily Sale entry '!T475),2),0))</f>
        <v/>
      </c>
    </row>
    <row r="476">
      <c r="A476" t="inlineStr">
        <is>
          <t>Entry 记录</t>
        </is>
      </c>
      <c r="B476" s="5">
        <f>IF('Daily Sale entry '!P476="","",'Daily Sale entry '!O476)</f>
        <v/>
      </c>
      <c r="C476">
        <f>IF('Daily Sale entry '!P476="","",'Daily Sale entry '!P476)</f>
        <v/>
      </c>
      <c r="D476">
        <f>IF(C476="","",IF('Daily Sale entry '!Q476="Credit Sale 赊销",'Daily Sale entry '!S476,0))</f>
        <v/>
      </c>
      <c r="E476">
        <f>IF(C476="","",IF('Daily Sale entry '!Q476="Collection 收款",'Daily Sale entry '!S476,0))</f>
        <v/>
      </c>
      <c r="F476" s="37">
        <f>IF(C476="","",B476+IF(E476&gt;0,0,0.5)+ROW()/10000000)</f>
        <v/>
      </c>
      <c r="G476">
        <f>IF(C476="","",'Daily Sale entry '!Q476&amp;IF('Daily Sale entry '!Q476="Collection 收款"," ("&amp;'Daily Sale entry '!R476&amp;")","")&amp;IF('Daily Sale entry '!U476="",""," - "&amp;'Daily Sale entry '!U476))</f>
        <v/>
      </c>
      <c r="H476">
        <f>IF(C476="","",COUNTIFS($C$2:$C$3001,C476,$F$2:$F$3001,"&lt;"&amp;F476)+1)</f>
        <v/>
      </c>
      <c r="I476">
        <f>IF(C476="","",C476&amp;"|"&amp;H476)</f>
        <v/>
      </c>
      <c r="J476" s="6">
        <f>IF(C476="","",IF(H476=1,SUMIFS('Opening Balance'!$F$4:$F$303,'Opening Balance'!$G$4:$G$303,C476),INDEX($L$2:$L$3001,MATCH(C476&amp;"|"&amp;(H476-1),$I$2:$I$3001,0))))</f>
        <v/>
      </c>
      <c r="K476" s="6">
        <f>IF(C476="","",IF(M476&gt;0,M476,IF(AND(E476&gt;0,ROUND(J476+D476-E476,2)&gt;0,ROUND(J476+D476-E476,2)&lt;'Opening Balance'!$B$14),ROUND(J476+D476-E476,2),0)))</f>
        <v/>
      </c>
      <c r="L476" s="6">
        <f>IF(C476="","",ROUND(J476+D476-E476-K476,2))</f>
        <v/>
      </c>
      <c r="M476" s="6">
        <f>IF(C476="","",IF('Daily Sale entry '!Q476="Collection 收款",ROUND(N('Daily Sale entry '!T476),2),0))</f>
        <v/>
      </c>
    </row>
    <row r="477">
      <c r="A477" t="inlineStr">
        <is>
          <t>Entry 记录</t>
        </is>
      </c>
      <c r="B477" s="5">
        <f>IF('Daily Sale entry '!P477="","",'Daily Sale entry '!O477)</f>
        <v/>
      </c>
      <c r="C477">
        <f>IF('Daily Sale entry '!P477="","",'Daily Sale entry '!P477)</f>
        <v/>
      </c>
      <c r="D477">
        <f>IF(C477="","",IF('Daily Sale entry '!Q477="Credit Sale 赊销",'Daily Sale entry '!S477,0))</f>
        <v/>
      </c>
      <c r="E477">
        <f>IF(C477="","",IF('Daily Sale entry '!Q477="Collection 收款",'Daily Sale entry '!S477,0))</f>
        <v/>
      </c>
      <c r="F477" s="37">
        <f>IF(C477="","",B477+IF(E477&gt;0,0,0.5)+ROW()/10000000)</f>
        <v/>
      </c>
      <c r="G477">
        <f>IF(C477="","",'Daily Sale entry '!Q477&amp;IF('Daily Sale entry '!Q477="Collection 收款"," ("&amp;'Daily Sale entry '!R477&amp;")","")&amp;IF('Daily Sale entry '!U477="",""," - "&amp;'Daily Sale entry '!U477))</f>
        <v/>
      </c>
      <c r="H477">
        <f>IF(C477="","",COUNTIFS($C$2:$C$3001,C477,$F$2:$F$3001,"&lt;"&amp;F477)+1)</f>
        <v/>
      </c>
      <c r="I477">
        <f>IF(C477="","",C477&amp;"|"&amp;H477)</f>
        <v/>
      </c>
      <c r="J477" s="6">
        <f>IF(C477="","",IF(H477=1,SUMIFS('Opening Balance'!$F$4:$F$303,'Opening Balance'!$G$4:$G$303,C477),INDEX($L$2:$L$3001,MATCH(C477&amp;"|"&amp;(H477-1),$I$2:$I$3001,0))))</f>
        <v/>
      </c>
      <c r="K477" s="6">
        <f>IF(C477="","",IF(M477&gt;0,M477,IF(AND(E477&gt;0,ROUND(J477+D477-E477,2)&gt;0,ROUND(J477+D477-E477,2)&lt;'Opening Balance'!$B$14),ROUND(J477+D477-E477,2),0)))</f>
        <v/>
      </c>
      <c r="L477" s="6">
        <f>IF(C477="","",ROUND(J477+D477-E477-K477,2))</f>
        <v/>
      </c>
      <c r="M477" s="6">
        <f>IF(C477="","",IF('Daily Sale entry '!Q477="Collection 收款",ROUND(N('Daily Sale entry '!T477),2),0))</f>
        <v/>
      </c>
    </row>
    <row r="478">
      <c r="A478" t="inlineStr">
        <is>
          <t>Entry 记录</t>
        </is>
      </c>
      <c r="B478" s="5">
        <f>IF('Daily Sale entry '!P478="","",'Daily Sale entry '!O478)</f>
        <v/>
      </c>
      <c r="C478">
        <f>IF('Daily Sale entry '!P478="","",'Daily Sale entry '!P478)</f>
        <v/>
      </c>
      <c r="D478">
        <f>IF(C478="","",IF('Daily Sale entry '!Q478="Credit Sale 赊销",'Daily Sale entry '!S478,0))</f>
        <v/>
      </c>
      <c r="E478">
        <f>IF(C478="","",IF('Daily Sale entry '!Q478="Collection 收款",'Daily Sale entry '!S478,0))</f>
        <v/>
      </c>
      <c r="F478" s="37">
        <f>IF(C478="","",B478+IF(E478&gt;0,0,0.5)+ROW()/10000000)</f>
        <v/>
      </c>
      <c r="G478">
        <f>IF(C478="","",'Daily Sale entry '!Q478&amp;IF('Daily Sale entry '!Q478="Collection 收款"," ("&amp;'Daily Sale entry '!R478&amp;")","")&amp;IF('Daily Sale entry '!U478="",""," - "&amp;'Daily Sale entry '!U478))</f>
        <v/>
      </c>
      <c r="H478">
        <f>IF(C478="","",COUNTIFS($C$2:$C$3001,C478,$F$2:$F$3001,"&lt;"&amp;F478)+1)</f>
        <v/>
      </c>
      <c r="I478">
        <f>IF(C478="","",C478&amp;"|"&amp;H478)</f>
        <v/>
      </c>
      <c r="J478" s="6">
        <f>IF(C478="","",IF(H478=1,SUMIFS('Opening Balance'!$F$4:$F$303,'Opening Balance'!$G$4:$G$303,C478),INDEX($L$2:$L$3001,MATCH(C478&amp;"|"&amp;(H478-1),$I$2:$I$3001,0))))</f>
        <v/>
      </c>
      <c r="K478" s="6">
        <f>IF(C478="","",IF(M478&gt;0,M478,IF(AND(E478&gt;0,ROUND(J478+D478-E478,2)&gt;0,ROUND(J478+D478-E478,2)&lt;'Opening Balance'!$B$14),ROUND(J478+D478-E478,2),0)))</f>
        <v/>
      </c>
      <c r="L478" s="6">
        <f>IF(C478="","",ROUND(J478+D478-E478-K478,2))</f>
        <v/>
      </c>
      <c r="M478" s="6">
        <f>IF(C478="","",IF('Daily Sale entry '!Q478="Collection 收款",ROUND(N('Daily Sale entry '!T478),2),0))</f>
        <v/>
      </c>
    </row>
    <row r="479">
      <c r="A479" t="inlineStr">
        <is>
          <t>Entry 记录</t>
        </is>
      </c>
      <c r="B479" s="5">
        <f>IF('Daily Sale entry '!P479="","",'Daily Sale entry '!O479)</f>
        <v/>
      </c>
      <c r="C479">
        <f>IF('Daily Sale entry '!P479="","",'Daily Sale entry '!P479)</f>
        <v/>
      </c>
      <c r="D479">
        <f>IF(C479="","",IF('Daily Sale entry '!Q479="Credit Sale 赊销",'Daily Sale entry '!S479,0))</f>
        <v/>
      </c>
      <c r="E479">
        <f>IF(C479="","",IF('Daily Sale entry '!Q479="Collection 收款",'Daily Sale entry '!S479,0))</f>
        <v/>
      </c>
      <c r="F479" s="37">
        <f>IF(C479="","",B479+IF(E479&gt;0,0,0.5)+ROW()/10000000)</f>
        <v/>
      </c>
      <c r="G479">
        <f>IF(C479="","",'Daily Sale entry '!Q479&amp;IF('Daily Sale entry '!Q479="Collection 收款"," ("&amp;'Daily Sale entry '!R479&amp;")","")&amp;IF('Daily Sale entry '!U479="",""," - "&amp;'Daily Sale entry '!U479))</f>
        <v/>
      </c>
      <c r="H479">
        <f>IF(C479="","",COUNTIFS($C$2:$C$3001,C479,$F$2:$F$3001,"&lt;"&amp;F479)+1)</f>
        <v/>
      </c>
      <c r="I479">
        <f>IF(C479="","",C479&amp;"|"&amp;H479)</f>
        <v/>
      </c>
      <c r="J479" s="6">
        <f>IF(C479="","",IF(H479=1,SUMIFS('Opening Balance'!$F$4:$F$303,'Opening Balance'!$G$4:$G$303,C479),INDEX($L$2:$L$3001,MATCH(C479&amp;"|"&amp;(H479-1),$I$2:$I$3001,0))))</f>
        <v/>
      </c>
      <c r="K479" s="6">
        <f>IF(C479="","",IF(M479&gt;0,M479,IF(AND(E479&gt;0,ROUND(J479+D479-E479,2)&gt;0,ROUND(J479+D479-E479,2)&lt;'Opening Balance'!$B$14),ROUND(J479+D479-E479,2),0)))</f>
        <v/>
      </c>
      <c r="L479" s="6">
        <f>IF(C479="","",ROUND(J479+D479-E479-K479,2))</f>
        <v/>
      </c>
      <c r="M479" s="6">
        <f>IF(C479="","",IF('Daily Sale entry '!Q479="Collection 收款",ROUND(N('Daily Sale entry '!T479),2),0))</f>
        <v/>
      </c>
    </row>
    <row r="480">
      <c r="A480" t="inlineStr">
        <is>
          <t>Entry 记录</t>
        </is>
      </c>
      <c r="B480" s="5">
        <f>IF('Daily Sale entry '!P480="","",'Daily Sale entry '!O480)</f>
        <v/>
      </c>
      <c r="C480">
        <f>IF('Daily Sale entry '!P480="","",'Daily Sale entry '!P480)</f>
        <v/>
      </c>
      <c r="D480">
        <f>IF(C480="","",IF('Daily Sale entry '!Q480="Credit Sale 赊销",'Daily Sale entry '!S480,0))</f>
        <v/>
      </c>
      <c r="E480">
        <f>IF(C480="","",IF('Daily Sale entry '!Q480="Collection 收款",'Daily Sale entry '!S480,0))</f>
        <v/>
      </c>
      <c r="F480" s="37">
        <f>IF(C480="","",B480+IF(E480&gt;0,0,0.5)+ROW()/10000000)</f>
        <v/>
      </c>
      <c r="G480">
        <f>IF(C480="","",'Daily Sale entry '!Q480&amp;IF('Daily Sale entry '!Q480="Collection 收款"," ("&amp;'Daily Sale entry '!R480&amp;")","")&amp;IF('Daily Sale entry '!U480="",""," - "&amp;'Daily Sale entry '!U480))</f>
        <v/>
      </c>
      <c r="H480">
        <f>IF(C480="","",COUNTIFS($C$2:$C$3001,C480,$F$2:$F$3001,"&lt;"&amp;F480)+1)</f>
        <v/>
      </c>
      <c r="I480">
        <f>IF(C480="","",C480&amp;"|"&amp;H480)</f>
        <v/>
      </c>
      <c r="J480" s="6">
        <f>IF(C480="","",IF(H480=1,SUMIFS('Opening Balance'!$F$4:$F$303,'Opening Balance'!$G$4:$G$303,C480),INDEX($L$2:$L$3001,MATCH(C480&amp;"|"&amp;(H480-1),$I$2:$I$3001,0))))</f>
        <v/>
      </c>
      <c r="K480" s="6">
        <f>IF(C480="","",IF(M480&gt;0,M480,IF(AND(E480&gt;0,ROUND(J480+D480-E480,2)&gt;0,ROUND(J480+D480-E480,2)&lt;'Opening Balance'!$B$14),ROUND(J480+D480-E480,2),0)))</f>
        <v/>
      </c>
      <c r="L480" s="6">
        <f>IF(C480="","",ROUND(J480+D480-E480-K480,2))</f>
        <v/>
      </c>
      <c r="M480" s="6">
        <f>IF(C480="","",IF('Daily Sale entry '!Q480="Collection 收款",ROUND(N('Daily Sale entry '!T480),2),0))</f>
        <v/>
      </c>
    </row>
    <row r="481">
      <c r="A481" t="inlineStr">
        <is>
          <t>Entry 记录</t>
        </is>
      </c>
      <c r="B481" s="5">
        <f>IF('Daily Sale entry '!P481="","",'Daily Sale entry '!O481)</f>
        <v/>
      </c>
      <c r="C481">
        <f>IF('Daily Sale entry '!P481="","",'Daily Sale entry '!P481)</f>
        <v/>
      </c>
      <c r="D481">
        <f>IF(C481="","",IF('Daily Sale entry '!Q481="Credit Sale 赊销",'Daily Sale entry '!S481,0))</f>
        <v/>
      </c>
      <c r="E481">
        <f>IF(C481="","",IF('Daily Sale entry '!Q481="Collection 收款",'Daily Sale entry '!S481,0))</f>
        <v/>
      </c>
      <c r="F481" s="37">
        <f>IF(C481="","",B481+IF(E481&gt;0,0,0.5)+ROW()/10000000)</f>
        <v/>
      </c>
      <c r="G481">
        <f>IF(C481="","",'Daily Sale entry '!Q481&amp;IF('Daily Sale entry '!Q481="Collection 收款"," ("&amp;'Daily Sale entry '!R481&amp;")","")&amp;IF('Daily Sale entry '!U481="",""," - "&amp;'Daily Sale entry '!U481))</f>
        <v/>
      </c>
      <c r="H481">
        <f>IF(C481="","",COUNTIFS($C$2:$C$3001,C481,$F$2:$F$3001,"&lt;"&amp;F481)+1)</f>
        <v/>
      </c>
      <c r="I481">
        <f>IF(C481="","",C481&amp;"|"&amp;H481)</f>
        <v/>
      </c>
      <c r="J481" s="6">
        <f>IF(C481="","",IF(H481=1,SUMIFS('Opening Balance'!$F$4:$F$303,'Opening Balance'!$G$4:$G$303,C481),INDEX($L$2:$L$3001,MATCH(C481&amp;"|"&amp;(H481-1),$I$2:$I$3001,0))))</f>
        <v/>
      </c>
      <c r="K481" s="6">
        <f>IF(C481="","",IF(M481&gt;0,M481,IF(AND(E481&gt;0,ROUND(J481+D481-E481,2)&gt;0,ROUND(J481+D481-E481,2)&lt;'Opening Balance'!$B$14),ROUND(J481+D481-E481,2),0)))</f>
        <v/>
      </c>
      <c r="L481" s="6">
        <f>IF(C481="","",ROUND(J481+D481-E481-K481,2))</f>
        <v/>
      </c>
      <c r="M481" s="6">
        <f>IF(C481="","",IF('Daily Sale entry '!Q481="Collection 收款",ROUND(N('Daily Sale entry '!T481),2),0))</f>
        <v/>
      </c>
    </row>
    <row r="482">
      <c r="A482" t="inlineStr">
        <is>
          <t>Entry 记录</t>
        </is>
      </c>
      <c r="B482" s="5">
        <f>IF('Daily Sale entry '!P482="","",'Daily Sale entry '!O482)</f>
        <v/>
      </c>
      <c r="C482">
        <f>IF('Daily Sale entry '!P482="","",'Daily Sale entry '!P482)</f>
        <v/>
      </c>
      <c r="D482">
        <f>IF(C482="","",IF('Daily Sale entry '!Q482="Credit Sale 赊销",'Daily Sale entry '!S482,0))</f>
        <v/>
      </c>
      <c r="E482">
        <f>IF(C482="","",IF('Daily Sale entry '!Q482="Collection 收款",'Daily Sale entry '!S482,0))</f>
        <v/>
      </c>
      <c r="F482" s="37">
        <f>IF(C482="","",B482+IF(E482&gt;0,0,0.5)+ROW()/10000000)</f>
        <v/>
      </c>
      <c r="G482">
        <f>IF(C482="","",'Daily Sale entry '!Q482&amp;IF('Daily Sale entry '!Q482="Collection 收款"," ("&amp;'Daily Sale entry '!R482&amp;")","")&amp;IF('Daily Sale entry '!U482="",""," - "&amp;'Daily Sale entry '!U482))</f>
        <v/>
      </c>
      <c r="H482">
        <f>IF(C482="","",COUNTIFS($C$2:$C$3001,C482,$F$2:$F$3001,"&lt;"&amp;F482)+1)</f>
        <v/>
      </c>
      <c r="I482">
        <f>IF(C482="","",C482&amp;"|"&amp;H482)</f>
        <v/>
      </c>
      <c r="J482" s="6">
        <f>IF(C482="","",IF(H482=1,SUMIFS('Opening Balance'!$F$4:$F$303,'Opening Balance'!$G$4:$G$303,C482),INDEX($L$2:$L$3001,MATCH(C482&amp;"|"&amp;(H482-1),$I$2:$I$3001,0))))</f>
        <v/>
      </c>
      <c r="K482" s="6">
        <f>IF(C482="","",IF(M482&gt;0,M482,IF(AND(E482&gt;0,ROUND(J482+D482-E482,2)&gt;0,ROUND(J482+D482-E482,2)&lt;'Opening Balance'!$B$14),ROUND(J482+D482-E482,2),0)))</f>
        <v/>
      </c>
      <c r="L482" s="6">
        <f>IF(C482="","",ROUND(J482+D482-E482-K482,2))</f>
        <v/>
      </c>
      <c r="M482" s="6">
        <f>IF(C482="","",IF('Daily Sale entry '!Q482="Collection 收款",ROUND(N('Daily Sale entry '!T482),2),0))</f>
        <v/>
      </c>
    </row>
    <row r="483">
      <c r="A483" t="inlineStr">
        <is>
          <t>Entry 记录</t>
        </is>
      </c>
      <c r="B483" s="5">
        <f>IF('Daily Sale entry '!P483="","",'Daily Sale entry '!O483)</f>
        <v/>
      </c>
      <c r="C483">
        <f>IF('Daily Sale entry '!P483="","",'Daily Sale entry '!P483)</f>
        <v/>
      </c>
      <c r="D483">
        <f>IF(C483="","",IF('Daily Sale entry '!Q483="Credit Sale 赊销",'Daily Sale entry '!S483,0))</f>
        <v/>
      </c>
      <c r="E483">
        <f>IF(C483="","",IF('Daily Sale entry '!Q483="Collection 收款",'Daily Sale entry '!S483,0))</f>
        <v/>
      </c>
      <c r="F483" s="37">
        <f>IF(C483="","",B483+IF(E483&gt;0,0,0.5)+ROW()/10000000)</f>
        <v/>
      </c>
      <c r="G483">
        <f>IF(C483="","",'Daily Sale entry '!Q483&amp;IF('Daily Sale entry '!Q483="Collection 收款"," ("&amp;'Daily Sale entry '!R483&amp;")","")&amp;IF('Daily Sale entry '!U483="",""," - "&amp;'Daily Sale entry '!U483))</f>
        <v/>
      </c>
      <c r="H483">
        <f>IF(C483="","",COUNTIFS($C$2:$C$3001,C483,$F$2:$F$3001,"&lt;"&amp;F483)+1)</f>
        <v/>
      </c>
      <c r="I483">
        <f>IF(C483="","",C483&amp;"|"&amp;H483)</f>
        <v/>
      </c>
      <c r="J483" s="6">
        <f>IF(C483="","",IF(H483=1,SUMIFS('Opening Balance'!$F$4:$F$303,'Opening Balance'!$G$4:$G$303,C483),INDEX($L$2:$L$3001,MATCH(C483&amp;"|"&amp;(H483-1),$I$2:$I$3001,0))))</f>
        <v/>
      </c>
      <c r="K483" s="6">
        <f>IF(C483="","",IF(M483&gt;0,M483,IF(AND(E483&gt;0,ROUND(J483+D483-E483,2)&gt;0,ROUND(J483+D483-E483,2)&lt;'Opening Balance'!$B$14),ROUND(J483+D483-E483,2),0)))</f>
        <v/>
      </c>
      <c r="L483" s="6">
        <f>IF(C483="","",ROUND(J483+D483-E483-K483,2))</f>
        <v/>
      </c>
      <c r="M483" s="6">
        <f>IF(C483="","",IF('Daily Sale entry '!Q483="Collection 收款",ROUND(N('Daily Sale entry '!T483),2),0))</f>
        <v/>
      </c>
    </row>
    <row r="484">
      <c r="A484" t="inlineStr">
        <is>
          <t>Entry 记录</t>
        </is>
      </c>
      <c r="B484" s="5">
        <f>IF('Daily Sale entry '!P484="","",'Daily Sale entry '!O484)</f>
        <v/>
      </c>
      <c r="C484">
        <f>IF('Daily Sale entry '!P484="","",'Daily Sale entry '!P484)</f>
        <v/>
      </c>
      <c r="D484">
        <f>IF(C484="","",IF('Daily Sale entry '!Q484="Credit Sale 赊销",'Daily Sale entry '!S484,0))</f>
        <v/>
      </c>
      <c r="E484">
        <f>IF(C484="","",IF('Daily Sale entry '!Q484="Collection 收款",'Daily Sale entry '!S484,0))</f>
        <v/>
      </c>
      <c r="F484" s="37">
        <f>IF(C484="","",B484+IF(E484&gt;0,0,0.5)+ROW()/10000000)</f>
        <v/>
      </c>
      <c r="G484">
        <f>IF(C484="","",'Daily Sale entry '!Q484&amp;IF('Daily Sale entry '!Q484="Collection 收款"," ("&amp;'Daily Sale entry '!R484&amp;")","")&amp;IF('Daily Sale entry '!U484="",""," - "&amp;'Daily Sale entry '!U484))</f>
        <v/>
      </c>
      <c r="H484">
        <f>IF(C484="","",COUNTIFS($C$2:$C$3001,C484,$F$2:$F$3001,"&lt;"&amp;F484)+1)</f>
        <v/>
      </c>
      <c r="I484">
        <f>IF(C484="","",C484&amp;"|"&amp;H484)</f>
        <v/>
      </c>
      <c r="J484" s="6">
        <f>IF(C484="","",IF(H484=1,SUMIFS('Opening Balance'!$F$4:$F$303,'Opening Balance'!$G$4:$G$303,C484),INDEX($L$2:$L$3001,MATCH(C484&amp;"|"&amp;(H484-1),$I$2:$I$3001,0))))</f>
        <v/>
      </c>
      <c r="K484" s="6">
        <f>IF(C484="","",IF(M484&gt;0,M484,IF(AND(E484&gt;0,ROUND(J484+D484-E484,2)&gt;0,ROUND(J484+D484-E484,2)&lt;'Opening Balance'!$B$14),ROUND(J484+D484-E484,2),0)))</f>
        <v/>
      </c>
      <c r="L484" s="6">
        <f>IF(C484="","",ROUND(J484+D484-E484-K484,2))</f>
        <v/>
      </c>
      <c r="M484" s="6">
        <f>IF(C484="","",IF('Daily Sale entry '!Q484="Collection 收款",ROUND(N('Daily Sale entry '!T484),2),0))</f>
        <v/>
      </c>
    </row>
    <row r="485">
      <c r="A485" t="inlineStr">
        <is>
          <t>Entry 记录</t>
        </is>
      </c>
      <c r="B485" s="5">
        <f>IF('Daily Sale entry '!P485="","",'Daily Sale entry '!O485)</f>
        <v/>
      </c>
      <c r="C485">
        <f>IF('Daily Sale entry '!P485="","",'Daily Sale entry '!P485)</f>
        <v/>
      </c>
      <c r="D485">
        <f>IF(C485="","",IF('Daily Sale entry '!Q485="Credit Sale 赊销",'Daily Sale entry '!S485,0))</f>
        <v/>
      </c>
      <c r="E485">
        <f>IF(C485="","",IF('Daily Sale entry '!Q485="Collection 收款",'Daily Sale entry '!S485,0))</f>
        <v/>
      </c>
      <c r="F485" s="37">
        <f>IF(C485="","",B485+IF(E485&gt;0,0,0.5)+ROW()/10000000)</f>
        <v/>
      </c>
      <c r="G485">
        <f>IF(C485="","",'Daily Sale entry '!Q485&amp;IF('Daily Sale entry '!Q485="Collection 收款"," ("&amp;'Daily Sale entry '!R485&amp;")","")&amp;IF('Daily Sale entry '!U485="",""," - "&amp;'Daily Sale entry '!U485))</f>
        <v/>
      </c>
      <c r="H485">
        <f>IF(C485="","",COUNTIFS($C$2:$C$3001,C485,$F$2:$F$3001,"&lt;"&amp;F485)+1)</f>
        <v/>
      </c>
      <c r="I485">
        <f>IF(C485="","",C485&amp;"|"&amp;H485)</f>
        <v/>
      </c>
      <c r="J485" s="6">
        <f>IF(C485="","",IF(H485=1,SUMIFS('Opening Balance'!$F$4:$F$303,'Opening Balance'!$G$4:$G$303,C485),INDEX($L$2:$L$3001,MATCH(C485&amp;"|"&amp;(H485-1),$I$2:$I$3001,0))))</f>
        <v/>
      </c>
      <c r="K485" s="6">
        <f>IF(C485="","",IF(M485&gt;0,M485,IF(AND(E485&gt;0,ROUND(J485+D485-E485,2)&gt;0,ROUND(J485+D485-E485,2)&lt;'Opening Balance'!$B$14),ROUND(J485+D485-E485,2),0)))</f>
        <v/>
      </c>
      <c r="L485" s="6">
        <f>IF(C485="","",ROUND(J485+D485-E485-K485,2))</f>
        <v/>
      </c>
      <c r="M485" s="6">
        <f>IF(C485="","",IF('Daily Sale entry '!Q485="Collection 收款",ROUND(N('Daily Sale entry '!T485),2),0))</f>
        <v/>
      </c>
    </row>
    <row r="486">
      <c r="A486" t="inlineStr">
        <is>
          <t>Entry 记录</t>
        </is>
      </c>
      <c r="B486" s="5">
        <f>IF('Daily Sale entry '!P486="","",'Daily Sale entry '!O486)</f>
        <v/>
      </c>
      <c r="C486">
        <f>IF('Daily Sale entry '!P486="","",'Daily Sale entry '!P486)</f>
        <v/>
      </c>
      <c r="D486">
        <f>IF(C486="","",IF('Daily Sale entry '!Q486="Credit Sale 赊销",'Daily Sale entry '!S486,0))</f>
        <v/>
      </c>
      <c r="E486">
        <f>IF(C486="","",IF('Daily Sale entry '!Q486="Collection 收款",'Daily Sale entry '!S486,0))</f>
        <v/>
      </c>
      <c r="F486" s="37">
        <f>IF(C486="","",B486+IF(E486&gt;0,0,0.5)+ROW()/10000000)</f>
        <v/>
      </c>
      <c r="G486">
        <f>IF(C486="","",'Daily Sale entry '!Q486&amp;IF('Daily Sale entry '!Q486="Collection 收款"," ("&amp;'Daily Sale entry '!R486&amp;")","")&amp;IF('Daily Sale entry '!U486="",""," - "&amp;'Daily Sale entry '!U486))</f>
        <v/>
      </c>
      <c r="H486">
        <f>IF(C486="","",COUNTIFS($C$2:$C$3001,C486,$F$2:$F$3001,"&lt;"&amp;F486)+1)</f>
        <v/>
      </c>
      <c r="I486">
        <f>IF(C486="","",C486&amp;"|"&amp;H486)</f>
        <v/>
      </c>
      <c r="J486" s="6">
        <f>IF(C486="","",IF(H486=1,SUMIFS('Opening Balance'!$F$4:$F$303,'Opening Balance'!$G$4:$G$303,C486),INDEX($L$2:$L$3001,MATCH(C486&amp;"|"&amp;(H486-1),$I$2:$I$3001,0))))</f>
        <v/>
      </c>
      <c r="K486" s="6">
        <f>IF(C486="","",IF(M486&gt;0,M486,IF(AND(E486&gt;0,ROUND(J486+D486-E486,2)&gt;0,ROUND(J486+D486-E486,2)&lt;'Opening Balance'!$B$14),ROUND(J486+D486-E486,2),0)))</f>
        <v/>
      </c>
      <c r="L486" s="6">
        <f>IF(C486="","",ROUND(J486+D486-E486-K486,2))</f>
        <v/>
      </c>
      <c r="M486" s="6">
        <f>IF(C486="","",IF('Daily Sale entry '!Q486="Collection 收款",ROUND(N('Daily Sale entry '!T486),2),0))</f>
        <v/>
      </c>
    </row>
    <row r="487">
      <c r="A487" t="inlineStr">
        <is>
          <t>Entry 记录</t>
        </is>
      </c>
      <c r="B487" s="5">
        <f>IF('Daily Sale entry '!P487="","",'Daily Sale entry '!O487)</f>
        <v/>
      </c>
      <c r="C487">
        <f>IF('Daily Sale entry '!P487="","",'Daily Sale entry '!P487)</f>
        <v/>
      </c>
      <c r="D487">
        <f>IF(C487="","",IF('Daily Sale entry '!Q487="Credit Sale 赊销",'Daily Sale entry '!S487,0))</f>
        <v/>
      </c>
      <c r="E487">
        <f>IF(C487="","",IF('Daily Sale entry '!Q487="Collection 收款",'Daily Sale entry '!S487,0))</f>
        <v/>
      </c>
      <c r="F487" s="37">
        <f>IF(C487="","",B487+IF(E487&gt;0,0,0.5)+ROW()/10000000)</f>
        <v/>
      </c>
      <c r="G487">
        <f>IF(C487="","",'Daily Sale entry '!Q487&amp;IF('Daily Sale entry '!Q487="Collection 收款"," ("&amp;'Daily Sale entry '!R487&amp;")","")&amp;IF('Daily Sale entry '!U487="",""," - "&amp;'Daily Sale entry '!U487))</f>
        <v/>
      </c>
      <c r="H487">
        <f>IF(C487="","",COUNTIFS($C$2:$C$3001,C487,$F$2:$F$3001,"&lt;"&amp;F487)+1)</f>
        <v/>
      </c>
      <c r="I487">
        <f>IF(C487="","",C487&amp;"|"&amp;H487)</f>
        <v/>
      </c>
      <c r="J487" s="6">
        <f>IF(C487="","",IF(H487=1,SUMIFS('Opening Balance'!$F$4:$F$303,'Opening Balance'!$G$4:$G$303,C487),INDEX($L$2:$L$3001,MATCH(C487&amp;"|"&amp;(H487-1),$I$2:$I$3001,0))))</f>
        <v/>
      </c>
      <c r="K487" s="6">
        <f>IF(C487="","",IF(M487&gt;0,M487,IF(AND(E487&gt;0,ROUND(J487+D487-E487,2)&gt;0,ROUND(J487+D487-E487,2)&lt;'Opening Balance'!$B$14),ROUND(J487+D487-E487,2),0)))</f>
        <v/>
      </c>
      <c r="L487" s="6">
        <f>IF(C487="","",ROUND(J487+D487-E487-K487,2))</f>
        <v/>
      </c>
      <c r="M487" s="6">
        <f>IF(C487="","",IF('Daily Sale entry '!Q487="Collection 收款",ROUND(N('Daily Sale entry '!T487),2),0))</f>
        <v/>
      </c>
    </row>
    <row r="488">
      <c r="A488" t="inlineStr">
        <is>
          <t>Entry 记录</t>
        </is>
      </c>
      <c r="B488" s="5">
        <f>IF('Daily Sale entry '!P488="","",'Daily Sale entry '!O488)</f>
        <v/>
      </c>
      <c r="C488">
        <f>IF('Daily Sale entry '!P488="","",'Daily Sale entry '!P488)</f>
        <v/>
      </c>
      <c r="D488">
        <f>IF(C488="","",IF('Daily Sale entry '!Q488="Credit Sale 赊销",'Daily Sale entry '!S488,0))</f>
        <v/>
      </c>
      <c r="E488">
        <f>IF(C488="","",IF('Daily Sale entry '!Q488="Collection 收款",'Daily Sale entry '!S488,0))</f>
        <v/>
      </c>
      <c r="F488" s="37">
        <f>IF(C488="","",B488+IF(E488&gt;0,0,0.5)+ROW()/10000000)</f>
        <v/>
      </c>
      <c r="G488">
        <f>IF(C488="","",'Daily Sale entry '!Q488&amp;IF('Daily Sale entry '!Q488="Collection 收款"," ("&amp;'Daily Sale entry '!R488&amp;")","")&amp;IF('Daily Sale entry '!U488="",""," - "&amp;'Daily Sale entry '!U488))</f>
        <v/>
      </c>
      <c r="H488">
        <f>IF(C488="","",COUNTIFS($C$2:$C$3001,C488,$F$2:$F$3001,"&lt;"&amp;F488)+1)</f>
        <v/>
      </c>
      <c r="I488">
        <f>IF(C488="","",C488&amp;"|"&amp;H488)</f>
        <v/>
      </c>
      <c r="J488" s="6">
        <f>IF(C488="","",IF(H488=1,SUMIFS('Opening Balance'!$F$4:$F$303,'Opening Balance'!$G$4:$G$303,C488),INDEX($L$2:$L$3001,MATCH(C488&amp;"|"&amp;(H488-1),$I$2:$I$3001,0))))</f>
        <v/>
      </c>
      <c r="K488" s="6">
        <f>IF(C488="","",IF(M488&gt;0,M488,IF(AND(E488&gt;0,ROUND(J488+D488-E488,2)&gt;0,ROUND(J488+D488-E488,2)&lt;'Opening Balance'!$B$14),ROUND(J488+D488-E488,2),0)))</f>
        <v/>
      </c>
      <c r="L488" s="6">
        <f>IF(C488="","",ROUND(J488+D488-E488-K488,2))</f>
        <v/>
      </c>
      <c r="M488" s="6">
        <f>IF(C488="","",IF('Daily Sale entry '!Q488="Collection 收款",ROUND(N('Daily Sale entry '!T488),2),0))</f>
        <v/>
      </c>
    </row>
    <row r="489">
      <c r="A489" t="inlineStr">
        <is>
          <t>Entry 记录</t>
        </is>
      </c>
      <c r="B489" s="5">
        <f>IF('Daily Sale entry '!P489="","",'Daily Sale entry '!O489)</f>
        <v/>
      </c>
      <c r="C489">
        <f>IF('Daily Sale entry '!P489="","",'Daily Sale entry '!P489)</f>
        <v/>
      </c>
      <c r="D489">
        <f>IF(C489="","",IF('Daily Sale entry '!Q489="Credit Sale 赊销",'Daily Sale entry '!S489,0))</f>
        <v/>
      </c>
      <c r="E489">
        <f>IF(C489="","",IF('Daily Sale entry '!Q489="Collection 收款",'Daily Sale entry '!S489,0))</f>
        <v/>
      </c>
      <c r="F489" s="37">
        <f>IF(C489="","",B489+IF(E489&gt;0,0,0.5)+ROW()/10000000)</f>
        <v/>
      </c>
      <c r="G489">
        <f>IF(C489="","",'Daily Sale entry '!Q489&amp;IF('Daily Sale entry '!Q489="Collection 收款"," ("&amp;'Daily Sale entry '!R489&amp;")","")&amp;IF('Daily Sale entry '!U489="",""," - "&amp;'Daily Sale entry '!U489))</f>
        <v/>
      </c>
      <c r="H489">
        <f>IF(C489="","",COUNTIFS($C$2:$C$3001,C489,$F$2:$F$3001,"&lt;"&amp;F489)+1)</f>
        <v/>
      </c>
      <c r="I489">
        <f>IF(C489="","",C489&amp;"|"&amp;H489)</f>
        <v/>
      </c>
      <c r="J489" s="6">
        <f>IF(C489="","",IF(H489=1,SUMIFS('Opening Balance'!$F$4:$F$303,'Opening Balance'!$G$4:$G$303,C489),INDEX($L$2:$L$3001,MATCH(C489&amp;"|"&amp;(H489-1),$I$2:$I$3001,0))))</f>
        <v/>
      </c>
      <c r="K489" s="6">
        <f>IF(C489="","",IF(M489&gt;0,M489,IF(AND(E489&gt;0,ROUND(J489+D489-E489,2)&gt;0,ROUND(J489+D489-E489,2)&lt;'Opening Balance'!$B$14),ROUND(J489+D489-E489,2),0)))</f>
        <v/>
      </c>
      <c r="L489" s="6">
        <f>IF(C489="","",ROUND(J489+D489-E489-K489,2))</f>
        <v/>
      </c>
      <c r="M489" s="6">
        <f>IF(C489="","",IF('Daily Sale entry '!Q489="Collection 收款",ROUND(N('Daily Sale entry '!T489),2),0))</f>
        <v/>
      </c>
    </row>
    <row r="490">
      <c r="A490" t="inlineStr">
        <is>
          <t>Entry 记录</t>
        </is>
      </c>
      <c r="B490" s="5">
        <f>IF('Daily Sale entry '!P490="","",'Daily Sale entry '!O490)</f>
        <v/>
      </c>
      <c r="C490">
        <f>IF('Daily Sale entry '!P490="","",'Daily Sale entry '!P490)</f>
        <v/>
      </c>
      <c r="D490">
        <f>IF(C490="","",IF('Daily Sale entry '!Q490="Credit Sale 赊销",'Daily Sale entry '!S490,0))</f>
        <v/>
      </c>
      <c r="E490">
        <f>IF(C490="","",IF('Daily Sale entry '!Q490="Collection 收款",'Daily Sale entry '!S490,0))</f>
        <v/>
      </c>
      <c r="F490" s="37">
        <f>IF(C490="","",B490+IF(E490&gt;0,0,0.5)+ROW()/10000000)</f>
        <v/>
      </c>
      <c r="G490">
        <f>IF(C490="","",'Daily Sale entry '!Q490&amp;IF('Daily Sale entry '!Q490="Collection 收款"," ("&amp;'Daily Sale entry '!R490&amp;")","")&amp;IF('Daily Sale entry '!U490="",""," - "&amp;'Daily Sale entry '!U490))</f>
        <v/>
      </c>
      <c r="H490">
        <f>IF(C490="","",COUNTIFS($C$2:$C$3001,C490,$F$2:$F$3001,"&lt;"&amp;F490)+1)</f>
        <v/>
      </c>
      <c r="I490">
        <f>IF(C490="","",C490&amp;"|"&amp;H490)</f>
        <v/>
      </c>
      <c r="J490" s="6">
        <f>IF(C490="","",IF(H490=1,SUMIFS('Opening Balance'!$F$4:$F$303,'Opening Balance'!$G$4:$G$303,C490),INDEX($L$2:$L$3001,MATCH(C490&amp;"|"&amp;(H490-1),$I$2:$I$3001,0))))</f>
        <v/>
      </c>
      <c r="K490" s="6">
        <f>IF(C490="","",IF(M490&gt;0,M490,IF(AND(E490&gt;0,ROUND(J490+D490-E490,2)&gt;0,ROUND(J490+D490-E490,2)&lt;'Opening Balance'!$B$14),ROUND(J490+D490-E490,2),0)))</f>
        <v/>
      </c>
      <c r="L490" s="6">
        <f>IF(C490="","",ROUND(J490+D490-E490-K490,2))</f>
        <v/>
      </c>
      <c r="M490" s="6">
        <f>IF(C490="","",IF('Daily Sale entry '!Q490="Collection 收款",ROUND(N('Daily Sale entry '!T490),2),0))</f>
        <v/>
      </c>
    </row>
    <row r="491">
      <c r="A491" t="inlineStr">
        <is>
          <t>Entry 记录</t>
        </is>
      </c>
      <c r="B491" s="5">
        <f>IF('Daily Sale entry '!P491="","",'Daily Sale entry '!O491)</f>
        <v/>
      </c>
      <c r="C491">
        <f>IF('Daily Sale entry '!P491="","",'Daily Sale entry '!P491)</f>
        <v/>
      </c>
      <c r="D491">
        <f>IF(C491="","",IF('Daily Sale entry '!Q491="Credit Sale 赊销",'Daily Sale entry '!S491,0))</f>
        <v/>
      </c>
      <c r="E491">
        <f>IF(C491="","",IF('Daily Sale entry '!Q491="Collection 收款",'Daily Sale entry '!S491,0))</f>
        <v/>
      </c>
      <c r="F491" s="37">
        <f>IF(C491="","",B491+IF(E491&gt;0,0,0.5)+ROW()/10000000)</f>
        <v/>
      </c>
      <c r="G491">
        <f>IF(C491="","",'Daily Sale entry '!Q491&amp;IF('Daily Sale entry '!Q491="Collection 收款"," ("&amp;'Daily Sale entry '!R491&amp;")","")&amp;IF('Daily Sale entry '!U491="",""," - "&amp;'Daily Sale entry '!U491))</f>
        <v/>
      </c>
      <c r="H491">
        <f>IF(C491="","",COUNTIFS($C$2:$C$3001,C491,$F$2:$F$3001,"&lt;"&amp;F491)+1)</f>
        <v/>
      </c>
      <c r="I491">
        <f>IF(C491="","",C491&amp;"|"&amp;H491)</f>
        <v/>
      </c>
      <c r="J491" s="6">
        <f>IF(C491="","",IF(H491=1,SUMIFS('Opening Balance'!$F$4:$F$303,'Opening Balance'!$G$4:$G$303,C491),INDEX($L$2:$L$3001,MATCH(C491&amp;"|"&amp;(H491-1),$I$2:$I$3001,0))))</f>
        <v/>
      </c>
      <c r="K491" s="6">
        <f>IF(C491="","",IF(M491&gt;0,M491,IF(AND(E491&gt;0,ROUND(J491+D491-E491,2)&gt;0,ROUND(J491+D491-E491,2)&lt;'Opening Balance'!$B$14),ROUND(J491+D491-E491,2),0)))</f>
        <v/>
      </c>
      <c r="L491" s="6">
        <f>IF(C491="","",ROUND(J491+D491-E491-K491,2))</f>
        <v/>
      </c>
      <c r="M491" s="6">
        <f>IF(C491="","",IF('Daily Sale entry '!Q491="Collection 收款",ROUND(N('Daily Sale entry '!T491),2),0))</f>
        <v/>
      </c>
    </row>
    <row r="492">
      <c r="A492" t="inlineStr">
        <is>
          <t>Entry 记录</t>
        </is>
      </c>
      <c r="B492" s="5">
        <f>IF('Daily Sale entry '!P492="","",'Daily Sale entry '!O492)</f>
        <v/>
      </c>
      <c r="C492">
        <f>IF('Daily Sale entry '!P492="","",'Daily Sale entry '!P492)</f>
        <v/>
      </c>
      <c r="D492">
        <f>IF(C492="","",IF('Daily Sale entry '!Q492="Credit Sale 赊销",'Daily Sale entry '!S492,0))</f>
        <v/>
      </c>
      <c r="E492">
        <f>IF(C492="","",IF('Daily Sale entry '!Q492="Collection 收款",'Daily Sale entry '!S492,0))</f>
        <v/>
      </c>
      <c r="F492" s="37">
        <f>IF(C492="","",B492+IF(E492&gt;0,0,0.5)+ROW()/10000000)</f>
        <v/>
      </c>
      <c r="G492">
        <f>IF(C492="","",'Daily Sale entry '!Q492&amp;IF('Daily Sale entry '!Q492="Collection 收款"," ("&amp;'Daily Sale entry '!R492&amp;")","")&amp;IF('Daily Sale entry '!U492="",""," - "&amp;'Daily Sale entry '!U492))</f>
        <v/>
      </c>
      <c r="H492">
        <f>IF(C492="","",COUNTIFS($C$2:$C$3001,C492,$F$2:$F$3001,"&lt;"&amp;F492)+1)</f>
        <v/>
      </c>
      <c r="I492">
        <f>IF(C492="","",C492&amp;"|"&amp;H492)</f>
        <v/>
      </c>
      <c r="J492" s="6">
        <f>IF(C492="","",IF(H492=1,SUMIFS('Opening Balance'!$F$4:$F$303,'Opening Balance'!$G$4:$G$303,C492),INDEX($L$2:$L$3001,MATCH(C492&amp;"|"&amp;(H492-1),$I$2:$I$3001,0))))</f>
        <v/>
      </c>
      <c r="K492" s="6">
        <f>IF(C492="","",IF(M492&gt;0,M492,IF(AND(E492&gt;0,ROUND(J492+D492-E492,2)&gt;0,ROUND(J492+D492-E492,2)&lt;'Opening Balance'!$B$14),ROUND(J492+D492-E492,2),0)))</f>
        <v/>
      </c>
      <c r="L492" s="6">
        <f>IF(C492="","",ROUND(J492+D492-E492-K492,2))</f>
        <v/>
      </c>
      <c r="M492" s="6">
        <f>IF(C492="","",IF('Daily Sale entry '!Q492="Collection 收款",ROUND(N('Daily Sale entry '!T492),2),0))</f>
        <v/>
      </c>
    </row>
    <row r="493">
      <c r="A493" t="inlineStr">
        <is>
          <t>Entry 记录</t>
        </is>
      </c>
      <c r="B493" s="5">
        <f>IF('Daily Sale entry '!P493="","",'Daily Sale entry '!O493)</f>
        <v/>
      </c>
      <c r="C493">
        <f>IF('Daily Sale entry '!P493="","",'Daily Sale entry '!P493)</f>
        <v/>
      </c>
      <c r="D493">
        <f>IF(C493="","",IF('Daily Sale entry '!Q493="Credit Sale 赊销",'Daily Sale entry '!S493,0))</f>
        <v/>
      </c>
      <c r="E493">
        <f>IF(C493="","",IF('Daily Sale entry '!Q493="Collection 收款",'Daily Sale entry '!S493,0))</f>
        <v/>
      </c>
      <c r="F493" s="37">
        <f>IF(C493="","",B493+IF(E493&gt;0,0,0.5)+ROW()/10000000)</f>
        <v/>
      </c>
      <c r="G493">
        <f>IF(C493="","",'Daily Sale entry '!Q493&amp;IF('Daily Sale entry '!Q493="Collection 收款"," ("&amp;'Daily Sale entry '!R493&amp;")","")&amp;IF('Daily Sale entry '!U493="",""," - "&amp;'Daily Sale entry '!U493))</f>
        <v/>
      </c>
      <c r="H493">
        <f>IF(C493="","",COUNTIFS($C$2:$C$3001,C493,$F$2:$F$3001,"&lt;"&amp;F493)+1)</f>
        <v/>
      </c>
      <c r="I493">
        <f>IF(C493="","",C493&amp;"|"&amp;H493)</f>
        <v/>
      </c>
      <c r="J493" s="6">
        <f>IF(C493="","",IF(H493=1,SUMIFS('Opening Balance'!$F$4:$F$303,'Opening Balance'!$G$4:$G$303,C493),INDEX($L$2:$L$3001,MATCH(C493&amp;"|"&amp;(H493-1),$I$2:$I$3001,0))))</f>
        <v/>
      </c>
      <c r="K493" s="6">
        <f>IF(C493="","",IF(M493&gt;0,M493,IF(AND(E493&gt;0,ROUND(J493+D493-E493,2)&gt;0,ROUND(J493+D493-E493,2)&lt;'Opening Balance'!$B$14),ROUND(J493+D493-E493,2),0)))</f>
        <v/>
      </c>
      <c r="L493" s="6">
        <f>IF(C493="","",ROUND(J493+D493-E493-K493,2))</f>
        <v/>
      </c>
      <c r="M493" s="6">
        <f>IF(C493="","",IF('Daily Sale entry '!Q493="Collection 收款",ROUND(N('Daily Sale entry '!T493),2),0))</f>
        <v/>
      </c>
    </row>
    <row r="494">
      <c r="A494" t="inlineStr">
        <is>
          <t>Entry 记录</t>
        </is>
      </c>
      <c r="B494" s="5">
        <f>IF('Daily Sale entry '!P494="","",'Daily Sale entry '!O494)</f>
        <v/>
      </c>
      <c r="C494">
        <f>IF('Daily Sale entry '!P494="","",'Daily Sale entry '!P494)</f>
        <v/>
      </c>
      <c r="D494">
        <f>IF(C494="","",IF('Daily Sale entry '!Q494="Credit Sale 赊销",'Daily Sale entry '!S494,0))</f>
        <v/>
      </c>
      <c r="E494">
        <f>IF(C494="","",IF('Daily Sale entry '!Q494="Collection 收款",'Daily Sale entry '!S494,0))</f>
        <v/>
      </c>
      <c r="F494" s="37">
        <f>IF(C494="","",B494+IF(E494&gt;0,0,0.5)+ROW()/10000000)</f>
        <v/>
      </c>
      <c r="G494">
        <f>IF(C494="","",'Daily Sale entry '!Q494&amp;IF('Daily Sale entry '!Q494="Collection 收款"," ("&amp;'Daily Sale entry '!R494&amp;")","")&amp;IF('Daily Sale entry '!U494="",""," - "&amp;'Daily Sale entry '!U494))</f>
        <v/>
      </c>
      <c r="H494">
        <f>IF(C494="","",COUNTIFS($C$2:$C$3001,C494,$F$2:$F$3001,"&lt;"&amp;F494)+1)</f>
        <v/>
      </c>
      <c r="I494">
        <f>IF(C494="","",C494&amp;"|"&amp;H494)</f>
        <v/>
      </c>
      <c r="J494" s="6">
        <f>IF(C494="","",IF(H494=1,SUMIFS('Opening Balance'!$F$4:$F$303,'Opening Balance'!$G$4:$G$303,C494),INDEX($L$2:$L$3001,MATCH(C494&amp;"|"&amp;(H494-1),$I$2:$I$3001,0))))</f>
        <v/>
      </c>
      <c r="K494" s="6">
        <f>IF(C494="","",IF(M494&gt;0,M494,IF(AND(E494&gt;0,ROUND(J494+D494-E494,2)&gt;0,ROUND(J494+D494-E494,2)&lt;'Opening Balance'!$B$14),ROUND(J494+D494-E494,2),0)))</f>
        <v/>
      </c>
      <c r="L494" s="6">
        <f>IF(C494="","",ROUND(J494+D494-E494-K494,2))</f>
        <v/>
      </c>
      <c r="M494" s="6">
        <f>IF(C494="","",IF('Daily Sale entry '!Q494="Collection 收款",ROUND(N('Daily Sale entry '!T494),2),0))</f>
        <v/>
      </c>
    </row>
    <row r="495">
      <c r="A495" t="inlineStr">
        <is>
          <t>Entry 记录</t>
        </is>
      </c>
      <c r="B495" s="5">
        <f>IF('Daily Sale entry '!P495="","",'Daily Sale entry '!O495)</f>
        <v/>
      </c>
      <c r="C495">
        <f>IF('Daily Sale entry '!P495="","",'Daily Sale entry '!P495)</f>
        <v/>
      </c>
      <c r="D495">
        <f>IF(C495="","",IF('Daily Sale entry '!Q495="Credit Sale 赊销",'Daily Sale entry '!S495,0))</f>
        <v/>
      </c>
      <c r="E495">
        <f>IF(C495="","",IF('Daily Sale entry '!Q495="Collection 收款",'Daily Sale entry '!S495,0))</f>
        <v/>
      </c>
      <c r="F495" s="37">
        <f>IF(C495="","",B495+IF(E495&gt;0,0,0.5)+ROW()/10000000)</f>
        <v/>
      </c>
      <c r="G495">
        <f>IF(C495="","",'Daily Sale entry '!Q495&amp;IF('Daily Sale entry '!Q495="Collection 收款"," ("&amp;'Daily Sale entry '!R495&amp;")","")&amp;IF('Daily Sale entry '!U495="",""," - "&amp;'Daily Sale entry '!U495))</f>
        <v/>
      </c>
      <c r="H495">
        <f>IF(C495="","",COUNTIFS($C$2:$C$3001,C495,$F$2:$F$3001,"&lt;"&amp;F495)+1)</f>
        <v/>
      </c>
      <c r="I495">
        <f>IF(C495="","",C495&amp;"|"&amp;H495)</f>
        <v/>
      </c>
      <c r="J495" s="6">
        <f>IF(C495="","",IF(H495=1,SUMIFS('Opening Balance'!$F$4:$F$303,'Opening Balance'!$G$4:$G$303,C495),INDEX($L$2:$L$3001,MATCH(C495&amp;"|"&amp;(H495-1),$I$2:$I$3001,0))))</f>
        <v/>
      </c>
      <c r="K495" s="6">
        <f>IF(C495="","",IF(M495&gt;0,M495,IF(AND(E495&gt;0,ROUND(J495+D495-E495,2)&gt;0,ROUND(J495+D495-E495,2)&lt;'Opening Balance'!$B$14),ROUND(J495+D495-E495,2),0)))</f>
        <v/>
      </c>
      <c r="L495" s="6">
        <f>IF(C495="","",ROUND(J495+D495-E495-K495,2))</f>
        <v/>
      </c>
      <c r="M495" s="6">
        <f>IF(C495="","",IF('Daily Sale entry '!Q495="Collection 收款",ROUND(N('Daily Sale entry '!T495),2),0))</f>
        <v/>
      </c>
    </row>
    <row r="496">
      <c r="A496" t="inlineStr">
        <is>
          <t>Entry 记录</t>
        </is>
      </c>
      <c r="B496" s="5">
        <f>IF('Daily Sale entry '!P496="","",'Daily Sale entry '!O496)</f>
        <v/>
      </c>
      <c r="C496">
        <f>IF('Daily Sale entry '!P496="","",'Daily Sale entry '!P496)</f>
        <v/>
      </c>
      <c r="D496">
        <f>IF(C496="","",IF('Daily Sale entry '!Q496="Credit Sale 赊销",'Daily Sale entry '!S496,0))</f>
        <v/>
      </c>
      <c r="E496">
        <f>IF(C496="","",IF('Daily Sale entry '!Q496="Collection 收款",'Daily Sale entry '!S496,0))</f>
        <v/>
      </c>
      <c r="F496" s="37">
        <f>IF(C496="","",B496+IF(E496&gt;0,0,0.5)+ROW()/10000000)</f>
        <v/>
      </c>
      <c r="G496">
        <f>IF(C496="","",'Daily Sale entry '!Q496&amp;IF('Daily Sale entry '!Q496="Collection 收款"," ("&amp;'Daily Sale entry '!R496&amp;")","")&amp;IF('Daily Sale entry '!U496="",""," - "&amp;'Daily Sale entry '!U496))</f>
        <v/>
      </c>
      <c r="H496">
        <f>IF(C496="","",COUNTIFS($C$2:$C$3001,C496,$F$2:$F$3001,"&lt;"&amp;F496)+1)</f>
        <v/>
      </c>
      <c r="I496">
        <f>IF(C496="","",C496&amp;"|"&amp;H496)</f>
        <v/>
      </c>
      <c r="J496" s="6">
        <f>IF(C496="","",IF(H496=1,SUMIFS('Opening Balance'!$F$4:$F$303,'Opening Balance'!$G$4:$G$303,C496),INDEX($L$2:$L$3001,MATCH(C496&amp;"|"&amp;(H496-1),$I$2:$I$3001,0))))</f>
        <v/>
      </c>
      <c r="K496" s="6">
        <f>IF(C496="","",IF(M496&gt;0,M496,IF(AND(E496&gt;0,ROUND(J496+D496-E496,2)&gt;0,ROUND(J496+D496-E496,2)&lt;'Opening Balance'!$B$14),ROUND(J496+D496-E496,2),0)))</f>
        <v/>
      </c>
      <c r="L496" s="6">
        <f>IF(C496="","",ROUND(J496+D496-E496-K496,2))</f>
        <v/>
      </c>
      <c r="M496" s="6">
        <f>IF(C496="","",IF('Daily Sale entry '!Q496="Collection 收款",ROUND(N('Daily Sale entry '!T496),2),0))</f>
        <v/>
      </c>
    </row>
    <row r="497">
      <c r="A497" t="inlineStr">
        <is>
          <t>Entry 记录</t>
        </is>
      </c>
      <c r="B497" s="5">
        <f>IF('Daily Sale entry '!P497="","",'Daily Sale entry '!O497)</f>
        <v/>
      </c>
      <c r="C497">
        <f>IF('Daily Sale entry '!P497="","",'Daily Sale entry '!P497)</f>
        <v/>
      </c>
      <c r="D497">
        <f>IF(C497="","",IF('Daily Sale entry '!Q497="Credit Sale 赊销",'Daily Sale entry '!S497,0))</f>
        <v/>
      </c>
      <c r="E497">
        <f>IF(C497="","",IF('Daily Sale entry '!Q497="Collection 收款",'Daily Sale entry '!S497,0))</f>
        <v/>
      </c>
      <c r="F497" s="37">
        <f>IF(C497="","",B497+IF(E497&gt;0,0,0.5)+ROW()/10000000)</f>
        <v/>
      </c>
      <c r="G497">
        <f>IF(C497="","",'Daily Sale entry '!Q497&amp;IF('Daily Sale entry '!Q497="Collection 收款"," ("&amp;'Daily Sale entry '!R497&amp;")","")&amp;IF('Daily Sale entry '!U497="",""," - "&amp;'Daily Sale entry '!U497))</f>
        <v/>
      </c>
      <c r="H497">
        <f>IF(C497="","",COUNTIFS($C$2:$C$3001,C497,$F$2:$F$3001,"&lt;"&amp;F497)+1)</f>
        <v/>
      </c>
      <c r="I497">
        <f>IF(C497="","",C497&amp;"|"&amp;H497)</f>
        <v/>
      </c>
      <c r="J497" s="6">
        <f>IF(C497="","",IF(H497=1,SUMIFS('Opening Balance'!$F$4:$F$303,'Opening Balance'!$G$4:$G$303,C497),INDEX($L$2:$L$3001,MATCH(C497&amp;"|"&amp;(H497-1),$I$2:$I$3001,0))))</f>
        <v/>
      </c>
      <c r="K497" s="6">
        <f>IF(C497="","",IF(M497&gt;0,M497,IF(AND(E497&gt;0,ROUND(J497+D497-E497,2)&gt;0,ROUND(J497+D497-E497,2)&lt;'Opening Balance'!$B$14),ROUND(J497+D497-E497,2),0)))</f>
        <v/>
      </c>
      <c r="L497" s="6">
        <f>IF(C497="","",ROUND(J497+D497-E497-K497,2))</f>
        <v/>
      </c>
      <c r="M497" s="6">
        <f>IF(C497="","",IF('Daily Sale entry '!Q497="Collection 收款",ROUND(N('Daily Sale entry '!T497),2),0))</f>
        <v/>
      </c>
    </row>
    <row r="498">
      <c r="A498" t="inlineStr">
        <is>
          <t>Entry 记录</t>
        </is>
      </c>
      <c r="B498" s="5">
        <f>IF('Daily Sale entry '!P498="","",'Daily Sale entry '!O498)</f>
        <v/>
      </c>
      <c r="C498">
        <f>IF('Daily Sale entry '!P498="","",'Daily Sale entry '!P498)</f>
        <v/>
      </c>
      <c r="D498">
        <f>IF(C498="","",IF('Daily Sale entry '!Q498="Credit Sale 赊销",'Daily Sale entry '!S498,0))</f>
        <v/>
      </c>
      <c r="E498">
        <f>IF(C498="","",IF('Daily Sale entry '!Q498="Collection 收款",'Daily Sale entry '!S498,0))</f>
        <v/>
      </c>
      <c r="F498" s="37">
        <f>IF(C498="","",B498+IF(E498&gt;0,0,0.5)+ROW()/10000000)</f>
        <v/>
      </c>
      <c r="G498">
        <f>IF(C498="","",'Daily Sale entry '!Q498&amp;IF('Daily Sale entry '!Q498="Collection 收款"," ("&amp;'Daily Sale entry '!R498&amp;")","")&amp;IF('Daily Sale entry '!U498="",""," - "&amp;'Daily Sale entry '!U498))</f>
        <v/>
      </c>
      <c r="H498">
        <f>IF(C498="","",COUNTIFS($C$2:$C$3001,C498,$F$2:$F$3001,"&lt;"&amp;F498)+1)</f>
        <v/>
      </c>
      <c r="I498">
        <f>IF(C498="","",C498&amp;"|"&amp;H498)</f>
        <v/>
      </c>
      <c r="J498" s="6">
        <f>IF(C498="","",IF(H498=1,SUMIFS('Opening Balance'!$F$4:$F$303,'Opening Balance'!$G$4:$G$303,C498),INDEX($L$2:$L$3001,MATCH(C498&amp;"|"&amp;(H498-1),$I$2:$I$3001,0))))</f>
        <v/>
      </c>
      <c r="K498" s="6">
        <f>IF(C498="","",IF(M498&gt;0,M498,IF(AND(E498&gt;0,ROUND(J498+D498-E498,2)&gt;0,ROUND(J498+D498-E498,2)&lt;'Opening Balance'!$B$14),ROUND(J498+D498-E498,2),0)))</f>
        <v/>
      </c>
      <c r="L498" s="6">
        <f>IF(C498="","",ROUND(J498+D498-E498-K498,2))</f>
        <v/>
      </c>
      <c r="M498" s="6">
        <f>IF(C498="","",IF('Daily Sale entry '!Q498="Collection 收款",ROUND(N('Daily Sale entry '!T498),2),0))</f>
        <v/>
      </c>
    </row>
    <row r="499">
      <c r="A499" t="inlineStr">
        <is>
          <t>Entry 记录</t>
        </is>
      </c>
      <c r="B499" s="5">
        <f>IF('Daily Sale entry '!P499="","",'Daily Sale entry '!O499)</f>
        <v/>
      </c>
      <c r="C499">
        <f>IF('Daily Sale entry '!P499="","",'Daily Sale entry '!P499)</f>
        <v/>
      </c>
      <c r="D499">
        <f>IF(C499="","",IF('Daily Sale entry '!Q499="Credit Sale 赊销",'Daily Sale entry '!S499,0))</f>
        <v/>
      </c>
      <c r="E499">
        <f>IF(C499="","",IF('Daily Sale entry '!Q499="Collection 收款",'Daily Sale entry '!S499,0))</f>
        <v/>
      </c>
      <c r="F499" s="37">
        <f>IF(C499="","",B499+IF(E499&gt;0,0,0.5)+ROW()/10000000)</f>
        <v/>
      </c>
      <c r="G499">
        <f>IF(C499="","",'Daily Sale entry '!Q499&amp;IF('Daily Sale entry '!Q499="Collection 收款"," ("&amp;'Daily Sale entry '!R499&amp;")","")&amp;IF('Daily Sale entry '!U499="",""," - "&amp;'Daily Sale entry '!U499))</f>
        <v/>
      </c>
      <c r="H499">
        <f>IF(C499="","",COUNTIFS($C$2:$C$3001,C499,$F$2:$F$3001,"&lt;"&amp;F499)+1)</f>
        <v/>
      </c>
      <c r="I499">
        <f>IF(C499="","",C499&amp;"|"&amp;H499)</f>
        <v/>
      </c>
      <c r="J499" s="6">
        <f>IF(C499="","",IF(H499=1,SUMIFS('Opening Balance'!$F$4:$F$303,'Opening Balance'!$G$4:$G$303,C499),INDEX($L$2:$L$3001,MATCH(C499&amp;"|"&amp;(H499-1),$I$2:$I$3001,0))))</f>
        <v/>
      </c>
      <c r="K499" s="6">
        <f>IF(C499="","",IF(M499&gt;0,M499,IF(AND(E499&gt;0,ROUND(J499+D499-E499,2)&gt;0,ROUND(J499+D499-E499,2)&lt;'Opening Balance'!$B$14),ROUND(J499+D499-E499,2),0)))</f>
        <v/>
      </c>
      <c r="L499" s="6">
        <f>IF(C499="","",ROUND(J499+D499-E499-K499,2))</f>
        <v/>
      </c>
      <c r="M499" s="6">
        <f>IF(C499="","",IF('Daily Sale entry '!Q499="Collection 收款",ROUND(N('Daily Sale entry '!T499),2),0))</f>
        <v/>
      </c>
    </row>
    <row r="500">
      <c r="A500" t="inlineStr">
        <is>
          <t>Entry 记录</t>
        </is>
      </c>
      <c r="B500" s="5">
        <f>IF('Daily Sale entry '!P500="","",'Daily Sale entry '!O500)</f>
        <v/>
      </c>
      <c r="C500">
        <f>IF('Daily Sale entry '!P500="","",'Daily Sale entry '!P500)</f>
        <v/>
      </c>
      <c r="D500">
        <f>IF(C500="","",IF('Daily Sale entry '!Q500="Credit Sale 赊销",'Daily Sale entry '!S500,0))</f>
        <v/>
      </c>
      <c r="E500">
        <f>IF(C500="","",IF('Daily Sale entry '!Q500="Collection 收款",'Daily Sale entry '!S500,0))</f>
        <v/>
      </c>
      <c r="F500" s="37">
        <f>IF(C500="","",B500+IF(E500&gt;0,0,0.5)+ROW()/10000000)</f>
        <v/>
      </c>
      <c r="G500">
        <f>IF(C500="","",'Daily Sale entry '!Q500&amp;IF('Daily Sale entry '!Q500="Collection 收款"," ("&amp;'Daily Sale entry '!R500&amp;")","")&amp;IF('Daily Sale entry '!U500="",""," - "&amp;'Daily Sale entry '!U500))</f>
        <v/>
      </c>
      <c r="H500">
        <f>IF(C500="","",COUNTIFS($C$2:$C$3001,C500,$F$2:$F$3001,"&lt;"&amp;F500)+1)</f>
        <v/>
      </c>
      <c r="I500">
        <f>IF(C500="","",C500&amp;"|"&amp;H500)</f>
        <v/>
      </c>
      <c r="J500" s="6">
        <f>IF(C500="","",IF(H500=1,SUMIFS('Opening Balance'!$F$4:$F$303,'Opening Balance'!$G$4:$G$303,C500),INDEX($L$2:$L$3001,MATCH(C500&amp;"|"&amp;(H500-1),$I$2:$I$3001,0))))</f>
        <v/>
      </c>
      <c r="K500" s="6">
        <f>IF(C500="","",IF(M500&gt;0,M500,IF(AND(E500&gt;0,ROUND(J500+D500-E500,2)&gt;0,ROUND(J500+D500-E500,2)&lt;'Opening Balance'!$B$14),ROUND(J500+D500-E500,2),0)))</f>
        <v/>
      </c>
      <c r="L500" s="6">
        <f>IF(C500="","",ROUND(J500+D500-E500-K500,2))</f>
        <v/>
      </c>
      <c r="M500" s="6">
        <f>IF(C500="","",IF('Daily Sale entry '!Q500="Collection 收款",ROUND(N('Daily Sale entry '!T500),2),0))</f>
        <v/>
      </c>
    </row>
    <row r="501">
      <c r="A501" t="inlineStr">
        <is>
          <t>Entry 记录</t>
        </is>
      </c>
      <c r="B501" s="5">
        <f>IF('Daily Sale entry '!P501="","",'Daily Sale entry '!O501)</f>
        <v/>
      </c>
      <c r="C501">
        <f>IF('Daily Sale entry '!P501="","",'Daily Sale entry '!P501)</f>
        <v/>
      </c>
      <c r="D501">
        <f>IF(C501="","",IF('Daily Sale entry '!Q501="Credit Sale 赊销",'Daily Sale entry '!S501,0))</f>
        <v/>
      </c>
      <c r="E501">
        <f>IF(C501="","",IF('Daily Sale entry '!Q501="Collection 收款",'Daily Sale entry '!S501,0))</f>
        <v/>
      </c>
      <c r="F501" s="37">
        <f>IF(C501="","",B501+IF(E501&gt;0,0,0.5)+ROW()/10000000)</f>
        <v/>
      </c>
      <c r="G501">
        <f>IF(C501="","",'Daily Sale entry '!Q501&amp;IF('Daily Sale entry '!Q501="Collection 收款"," ("&amp;'Daily Sale entry '!R501&amp;")","")&amp;IF('Daily Sale entry '!U501="",""," - "&amp;'Daily Sale entry '!U501))</f>
        <v/>
      </c>
      <c r="H501">
        <f>IF(C501="","",COUNTIFS($C$2:$C$3001,C501,$F$2:$F$3001,"&lt;"&amp;F501)+1)</f>
        <v/>
      </c>
      <c r="I501">
        <f>IF(C501="","",C501&amp;"|"&amp;H501)</f>
        <v/>
      </c>
      <c r="J501" s="6">
        <f>IF(C501="","",IF(H501=1,SUMIFS('Opening Balance'!$F$4:$F$303,'Opening Balance'!$G$4:$G$303,C501),INDEX($L$2:$L$3001,MATCH(C501&amp;"|"&amp;(H501-1),$I$2:$I$3001,0))))</f>
        <v/>
      </c>
      <c r="K501" s="6">
        <f>IF(C501="","",IF(M501&gt;0,M501,IF(AND(E501&gt;0,ROUND(J501+D501-E501,2)&gt;0,ROUND(J501+D501-E501,2)&lt;'Opening Balance'!$B$14),ROUND(J501+D501-E501,2),0)))</f>
        <v/>
      </c>
      <c r="L501" s="6">
        <f>IF(C501="","",ROUND(J501+D501-E501-K501,2))</f>
        <v/>
      </c>
      <c r="M501" s="6">
        <f>IF(C501="","",IF('Daily Sale entry '!Q501="Collection 收款",ROUND(N('Daily Sale entry '!T501),2),0))</f>
        <v/>
      </c>
    </row>
    <row r="502">
      <c r="A502" t="inlineStr">
        <is>
          <t>Entry 记录</t>
        </is>
      </c>
      <c r="B502" s="5">
        <f>IF('Daily Sale entry '!P502="","",'Daily Sale entry '!O502)</f>
        <v/>
      </c>
      <c r="C502">
        <f>IF('Daily Sale entry '!P502="","",'Daily Sale entry '!P502)</f>
        <v/>
      </c>
      <c r="D502">
        <f>IF(C502="","",IF('Daily Sale entry '!Q502="Credit Sale 赊销",'Daily Sale entry '!S502,0))</f>
        <v/>
      </c>
      <c r="E502">
        <f>IF(C502="","",IF('Daily Sale entry '!Q502="Collection 收款",'Daily Sale entry '!S502,0))</f>
        <v/>
      </c>
      <c r="F502" s="37">
        <f>IF(C502="","",B502+IF(E502&gt;0,0,0.5)+ROW()/10000000)</f>
        <v/>
      </c>
      <c r="G502">
        <f>IF(C502="","",'Daily Sale entry '!Q502&amp;IF('Daily Sale entry '!Q502="Collection 收款"," ("&amp;'Daily Sale entry '!R502&amp;")","")&amp;IF('Daily Sale entry '!U502="",""," - "&amp;'Daily Sale entry '!U502))</f>
        <v/>
      </c>
      <c r="H502">
        <f>IF(C502="","",COUNTIFS($C$2:$C$3001,C502,$F$2:$F$3001,"&lt;"&amp;F502)+1)</f>
        <v/>
      </c>
      <c r="I502">
        <f>IF(C502="","",C502&amp;"|"&amp;H502)</f>
        <v/>
      </c>
      <c r="J502" s="6">
        <f>IF(C502="","",IF(H502=1,SUMIFS('Opening Balance'!$F$4:$F$303,'Opening Balance'!$G$4:$G$303,C502),INDEX($L$2:$L$3001,MATCH(C502&amp;"|"&amp;(H502-1),$I$2:$I$3001,0))))</f>
        <v/>
      </c>
      <c r="K502" s="6">
        <f>IF(C502="","",IF(M502&gt;0,M502,IF(AND(E502&gt;0,ROUND(J502+D502-E502,2)&gt;0,ROUND(J502+D502-E502,2)&lt;'Opening Balance'!$B$14),ROUND(J502+D502-E502,2),0)))</f>
        <v/>
      </c>
      <c r="L502" s="6">
        <f>IF(C502="","",ROUND(J502+D502-E502-K502,2))</f>
        <v/>
      </c>
      <c r="M502" s="6">
        <f>IF(C502="","",IF('Daily Sale entry '!Q502="Collection 收款",ROUND(N('Daily Sale entry '!T502),2),0))</f>
        <v/>
      </c>
    </row>
    <row r="503">
      <c r="A503" t="inlineStr">
        <is>
          <t>Entry 记录</t>
        </is>
      </c>
      <c r="B503" s="5">
        <f>IF('Daily Sale entry '!P503="","",'Daily Sale entry '!O503)</f>
        <v/>
      </c>
      <c r="C503">
        <f>IF('Daily Sale entry '!P503="","",'Daily Sale entry '!P503)</f>
        <v/>
      </c>
      <c r="D503">
        <f>IF(C503="","",IF('Daily Sale entry '!Q503="Credit Sale 赊销",'Daily Sale entry '!S503,0))</f>
        <v/>
      </c>
      <c r="E503">
        <f>IF(C503="","",IF('Daily Sale entry '!Q503="Collection 收款",'Daily Sale entry '!S503,0))</f>
        <v/>
      </c>
      <c r="F503" s="37">
        <f>IF(C503="","",B503+IF(E503&gt;0,0,0.5)+ROW()/10000000)</f>
        <v/>
      </c>
      <c r="G503">
        <f>IF(C503="","",'Daily Sale entry '!Q503&amp;IF('Daily Sale entry '!Q503="Collection 收款"," ("&amp;'Daily Sale entry '!R503&amp;")","")&amp;IF('Daily Sale entry '!U503="",""," - "&amp;'Daily Sale entry '!U503))</f>
        <v/>
      </c>
      <c r="H503">
        <f>IF(C503="","",COUNTIFS($C$2:$C$3001,C503,$F$2:$F$3001,"&lt;"&amp;F503)+1)</f>
        <v/>
      </c>
      <c r="I503">
        <f>IF(C503="","",C503&amp;"|"&amp;H503)</f>
        <v/>
      </c>
      <c r="J503" s="6">
        <f>IF(C503="","",IF(H503=1,SUMIFS('Opening Balance'!$F$4:$F$303,'Opening Balance'!$G$4:$G$303,C503),INDEX($L$2:$L$3001,MATCH(C503&amp;"|"&amp;(H503-1),$I$2:$I$3001,0))))</f>
        <v/>
      </c>
      <c r="K503" s="6">
        <f>IF(C503="","",IF(M503&gt;0,M503,IF(AND(E503&gt;0,ROUND(J503+D503-E503,2)&gt;0,ROUND(J503+D503-E503,2)&lt;'Opening Balance'!$B$14),ROUND(J503+D503-E503,2),0)))</f>
        <v/>
      </c>
      <c r="L503" s="6">
        <f>IF(C503="","",ROUND(J503+D503-E503-K503,2))</f>
        <v/>
      </c>
      <c r="M503" s="6">
        <f>IF(C503="","",IF('Daily Sale entry '!Q503="Collection 收款",ROUND(N('Daily Sale entry '!T503),2),0))</f>
        <v/>
      </c>
    </row>
    <row r="504">
      <c r="A504" t="inlineStr">
        <is>
          <t>Entry 记录</t>
        </is>
      </c>
      <c r="B504" s="5">
        <f>IF('Daily Sale entry '!P504="","",'Daily Sale entry '!O504)</f>
        <v/>
      </c>
      <c r="C504">
        <f>IF('Daily Sale entry '!P504="","",'Daily Sale entry '!P504)</f>
        <v/>
      </c>
      <c r="D504">
        <f>IF(C504="","",IF('Daily Sale entry '!Q504="Credit Sale 赊销",'Daily Sale entry '!S504,0))</f>
        <v/>
      </c>
      <c r="E504">
        <f>IF(C504="","",IF('Daily Sale entry '!Q504="Collection 收款",'Daily Sale entry '!S504,0))</f>
        <v/>
      </c>
      <c r="F504" s="37">
        <f>IF(C504="","",B504+IF(E504&gt;0,0,0.5)+ROW()/10000000)</f>
        <v/>
      </c>
      <c r="G504">
        <f>IF(C504="","",'Daily Sale entry '!Q504&amp;IF('Daily Sale entry '!Q504="Collection 收款"," ("&amp;'Daily Sale entry '!R504&amp;")","")&amp;IF('Daily Sale entry '!U504="",""," - "&amp;'Daily Sale entry '!U504))</f>
        <v/>
      </c>
      <c r="H504">
        <f>IF(C504="","",COUNTIFS($C$2:$C$3001,C504,$F$2:$F$3001,"&lt;"&amp;F504)+1)</f>
        <v/>
      </c>
      <c r="I504">
        <f>IF(C504="","",C504&amp;"|"&amp;H504)</f>
        <v/>
      </c>
      <c r="J504" s="6">
        <f>IF(C504="","",IF(H504=1,SUMIFS('Opening Balance'!$F$4:$F$303,'Opening Balance'!$G$4:$G$303,C504),INDEX($L$2:$L$3001,MATCH(C504&amp;"|"&amp;(H504-1),$I$2:$I$3001,0))))</f>
        <v/>
      </c>
      <c r="K504" s="6">
        <f>IF(C504="","",IF(M504&gt;0,M504,IF(AND(E504&gt;0,ROUND(J504+D504-E504,2)&gt;0,ROUND(J504+D504-E504,2)&lt;'Opening Balance'!$B$14),ROUND(J504+D504-E504,2),0)))</f>
        <v/>
      </c>
      <c r="L504" s="6">
        <f>IF(C504="","",ROUND(J504+D504-E504-K504,2))</f>
        <v/>
      </c>
      <c r="M504" s="6">
        <f>IF(C504="","",IF('Daily Sale entry '!Q504="Collection 收款",ROUND(N('Daily Sale entry '!T504),2),0))</f>
        <v/>
      </c>
    </row>
    <row r="505">
      <c r="A505" t="inlineStr">
        <is>
          <t>Entry 记录</t>
        </is>
      </c>
      <c r="B505" s="5">
        <f>IF('Daily Sale entry '!P505="","",'Daily Sale entry '!O505)</f>
        <v/>
      </c>
      <c r="C505">
        <f>IF('Daily Sale entry '!P505="","",'Daily Sale entry '!P505)</f>
        <v/>
      </c>
      <c r="D505">
        <f>IF(C505="","",IF('Daily Sale entry '!Q505="Credit Sale 赊销",'Daily Sale entry '!S505,0))</f>
        <v/>
      </c>
      <c r="E505">
        <f>IF(C505="","",IF('Daily Sale entry '!Q505="Collection 收款",'Daily Sale entry '!S505,0))</f>
        <v/>
      </c>
      <c r="F505" s="37">
        <f>IF(C505="","",B505+IF(E505&gt;0,0,0.5)+ROW()/10000000)</f>
        <v/>
      </c>
      <c r="G505">
        <f>IF(C505="","",'Daily Sale entry '!Q505&amp;IF('Daily Sale entry '!Q505="Collection 收款"," ("&amp;'Daily Sale entry '!R505&amp;")","")&amp;IF('Daily Sale entry '!U505="",""," - "&amp;'Daily Sale entry '!U505))</f>
        <v/>
      </c>
      <c r="H505">
        <f>IF(C505="","",COUNTIFS($C$2:$C$3001,C505,$F$2:$F$3001,"&lt;"&amp;F505)+1)</f>
        <v/>
      </c>
      <c r="I505">
        <f>IF(C505="","",C505&amp;"|"&amp;H505)</f>
        <v/>
      </c>
      <c r="J505" s="6">
        <f>IF(C505="","",IF(H505=1,SUMIFS('Opening Balance'!$F$4:$F$303,'Opening Balance'!$G$4:$G$303,C505),INDEX($L$2:$L$3001,MATCH(C505&amp;"|"&amp;(H505-1),$I$2:$I$3001,0))))</f>
        <v/>
      </c>
      <c r="K505" s="6">
        <f>IF(C505="","",IF(M505&gt;0,M505,IF(AND(E505&gt;0,ROUND(J505+D505-E505,2)&gt;0,ROUND(J505+D505-E505,2)&lt;'Opening Balance'!$B$14),ROUND(J505+D505-E505,2),0)))</f>
        <v/>
      </c>
      <c r="L505" s="6">
        <f>IF(C505="","",ROUND(J505+D505-E505-K505,2))</f>
        <v/>
      </c>
      <c r="M505" s="6">
        <f>IF(C505="","",IF('Daily Sale entry '!Q505="Collection 收款",ROUND(N('Daily Sale entry '!T505),2),0))</f>
        <v/>
      </c>
    </row>
    <row r="506">
      <c r="A506" t="inlineStr">
        <is>
          <t>Entry 记录</t>
        </is>
      </c>
      <c r="B506" s="5">
        <f>IF('Daily Sale entry '!P506="","",'Daily Sale entry '!O506)</f>
        <v/>
      </c>
      <c r="C506">
        <f>IF('Daily Sale entry '!P506="","",'Daily Sale entry '!P506)</f>
        <v/>
      </c>
      <c r="D506">
        <f>IF(C506="","",IF('Daily Sale entry '!Q506="Credit Sale 赊销",'Daily Sale entry '!S506,0))</f>
        <v/>
      </c>
      <c r="E506">
        <f>IF(C506="","",IF('Daily Sale entry '!Q506="Collection 收款",'Daily Sale entry '!S506,0))</f>
        <v/>
      </c>
      <c r="F506" s="37">
        <f>IF(C506="","",B506+IF(E506&gt;0,0,0.5)+ROW()/10000000)</f>
        <v/>
      </c>
      <c r="G506">
        <f>IF(C506="","",'Daily Sale entry '!Q506&amp;IF('Daily Sale entry '!Q506="Collection 收款"," ("&amp;'Daily Sale entry '!R506&amp;")","")&amp;IF('Daily Sale entry '!U506="",""," - "&amp;'Daily Sale entry '!U506))</f>
        <v/>
      </c>
      <c r="H506">
        <f>IF(C506="","",COUNTIFS($C$2:$C$3001,C506,$F$2:$F$3001,"&lt;"&amp;F506)+1)</f>
        <v/>
      </c>
      <c r="I506">
        <f>IF(C506="","",C506&amp;"|"&amp;H506)</f>
        <v/>
      </c>
      <c r="J506" s="6">
        <f>IF(C506="","",IF(H506=1,SUMIFS('Opening Balance'!$F$4:$F$303,'Opening Balance'!$G$4:$G$303,C506),INDEX($L$2:$L$3001,MATCH(C506&amp;"|"&amp;(H506-1),$I$2:$I$3001,0))))</f>
        <v/>
      </c>
      <c r="K506" s="6">
        <f>IF(C506="","",IF(M506&gt;0,M506,IF(AND(E506&gt;0,ROUND(J506+D506-E506,2)&gt;0,ROUND(J506+D506-E506,2)&lt;'Opening Balance'!$B$14),ROUND(J506+D506-E506,2),0)))</f>
        <v/>
      </c>
      <c r="L506" s="6">
        <f>IF(C506="","",ROUND(J506+D506-E506-K506,2))</f>
        <v/>
      </c>
      <c r="M506" s="6">
        <f>IF(C506="","",IF('Daily Sale entry '!Q506="Collection 收款",ROUND(N('Daily Sale entry '!T506),2),0))</f>
        <v/>
      </c>
    </row>
    <row r="507">
      <c r="A507" t="inlineStr">
        <is>
          <t>Entry 记录</t>
        </is>
      </c>
      <c r="B507" s="5">
        <f>IF('Daily Sale entry '!P507="","",'Daily Sale entry '!O507)</f>
        <v/>
      </c>
      <c r="C507">
        <f>IF('Daily Sale entry '!P507="","",'Daily Sale entry '!P507)</f>
        <v/>
      </c>
      <c r="D507">
        <f>IF(C507="","",IF('Daily Sale entry '!Q507="Credit Sale 赊销",'Daily Sale entry '!S507,0))</f>
        <v/>
      </c>
      <c r="E507">
        <f>IF(C507="","",IF('Daily Sale entry '!Q507="Collection 收款",'Daily Sale entry '!S507,0))</f>
        <v/>
      </c>
      <c r="F507" s="37">
        <f>IF(C507="","",B507+IF(E507&gt;0,0,0.5)+ROW()/10000000)</f>
        <v/>
      </c>
      <c r="G507">
        <f>IF(C507="","",'Daily Sale entry '!Q507&amp;IF('Daily Sale entry '!Q507="Collection 收款"," ("&amp;'Daily Sale entry '!R507&amp;")","")&amp;IF('Daily Sale entry '!U507="",""," - "&amp;'Daily Sale entry '!U507))</f>
        <v/>
      </c>
      <c r="H507">
        <f>IF(C507="","",COUNTIFS($C$2:$C$3001,C507,$F$2:$F$3001,"&lt;"&amp;F507)+1)</f>
        <v/>
      </c>
      <c r="I507">
        <f>IF(C507="","",C507&amp;"|"&amp;H507)</f>
        <v/>
      </c>
      <c r="J507" s="6">
        <f>IF(C507="","",IF(H507=1,SUMIFS('Opening Balance'!$F$4:$F$303,'Opening Balance'!$G$4:$G$303,C507),INDEX($L$2:$L$3001,MATCH(C507&amp;"|"&amp;(H507-1),$I$2:$I$3001,0))))</f>
        <v/>
      </c>
      <c r="K507" s="6">
        <f>IF(C507="","",IF(M507&gt;0,M507,IF(AND(E507&gt;0,ROUND(J507+D507-E507,2)&gt;0,ROUND(J507+D507-E507,2)&lt;'Opening Balance'!$B$14),ROUND(J507+D507-E507,2),0)))</f>
        <v/>
      </c>
      <c r="L507" s="6">
        <f>IF(C507="","",ROUND(J507+D507-E507-K507,2))</f>
        <v/>
      </c>
      <c r="M507" s="6">
        <f>IF(C507="","",IF('Daily Sale entry '!Q507="Collection 收款",ROUND(N('Daily Sale entry '!T507),2),0))</f>
        <v/>
      </c>
    </row>
    <row r="508">
      <c r="A508" t="inlineStr">
        <is>
          <t>Entry 记录</t>
        </is>
      </c>
      <c r="B508" s="5">
        <f>IF('Daily Sale entry '!P508="","",'Daily Sale entry '!O508)</f>
        <v/>
      </c>
      <c r="C508">
        <f>IF('Daily Sale entry '!P508="","",'Daily Sale entry '!P508)</f>
        <v/>
      </c>
      <c r="D508">
        <f>IF(C508="","",IF('Daily Sale entry '!Q508="Credit Sale 赊销",'Daily Sale entry '!S508,0))</f>
        <v/>
      </c>
      <c r="E508">
        <f>IF(C508="","",IF('Daily Sale entry '!Q508="Collection 收款",'Daily Sale entry '!S508,0))</f>
        <v/>
      </c>
      <c r="F508" s="37">
        <f>IF(C508="","",B508+IF(E508&gt;0,0,0.5)+ROW()/10000000)</f>
        <v/>
      </c>
      <c r="G508">
        <f>IF(C508="","",'Daily Sale entry '!Q508&amp;IF('Daily Sale entry '!Q508="Collection 收款"," ("&amp;'Daily Sale entry '!R508&amp;")","")&amp;IF('Daily Sale entry '!U508="",""," - "&amp;'Daily Sale entry '!U508))</f>
        <v/>
      </c>
      <c r="H508">
        <f>IF(C508="","",COUNTIFS($C$2:$C$3001,C508,$F$2:$F$3001,"&lt;"&amp;F508)+1)</f>
        <v/>
      </c>
      <c r="I508">
        <f>IF(C508="","",C508&amp;"|"&amp;H508)</f>
        <v/>
      </c>
      <c r="J508" s="6">
        <f>IF(C508="","",IF(H508=1,SUMIFS('Opening Balance'!$F$4:$F$303,'Opening Balance'!$G$4:$G$303,C508),INDEX($L$2:$L$3001,MATCH(C508&amp;"|"&amp;(H508-1),$I$2:$I$3001,0))))</f>
        <v/>
      </c>
      <c r="K508" s="6">
        <f>IF(C508="","",IF(M508&gt;0,M508,IF(AND(E508&gt;0,ROUND(J508+D508-E508,2)&gt;0,ROUND(J508+D508-E508,2)&lt;'Opening Balance'!$B$14),ROUND(J508+D508-E508,2),0)))</f>
        <v/>
      </c>
      <c r="L508" s="6">
        <f>IF(C508="","",ROUND(J508+D508-E508-K508,2))</f>
        <v/>
      </c>
      <c r="M508" s="6">
        <f>IF(C508="","",IF('Daily Sale entry '!Q508="Collection 收款",ROUND(N('Daily Sale entry '!T508),2),0))</f>
        <v/>
      </c>
    </row>
    <row r="509">
      <c r="A509" t="inlineStr">
        <is>
          <t>Entry 记录</t>
        </is>
      </c>
      <c r="B509" s="5">
        <f>IF('Daily Sale entry '!P509="","",'Daily Sale entry '!O509)</f>
        <v/>
      </c>
      <c r="C509">
        <f>IF('Daily Sale entry '!P509="","",'Daily Sale entry '!P509)</f>
        <v/>
      </c>
      <c r="D509">
        <f>IF(C509="","",IF('Daily Sale entry '!Q509="Credit Sale 赊销",'Daily Sale entry '!S509,0))</f>
        <v/>
      </c>
      <c r="E509">
        <f>IF(C509="","",IF('Daily Sale entry '!Q509="Collection 收款",'Daily Sale entry '!S509,0))</f>
        <v/>
      </c>
      <c r="F509" s="37">
        <f>IF(C509="","",B509+IF(E509&gt;0,0,0.5)+ROW()/10000000)</f>
        <v/>
      </c>
      <c r="G509">
        <f>IF(C509="","",'Daily Sale entry '!Q509&amp;IF('Daily Sale entry '!Q509="Collection 收款"," ("&amp;'Daily Sale entry '!R509&amp;")","")&amp;IF('Daily Sale entry '!U509="",""," - "&amp;'Daily Sale entry '!U509))</f>
        <v/>
      </c>
      <c r="H509">
        <f>IF(C509="","",COUNTIFS($C$2:$C$3001,C509,$F$2:$F$3001,"&lt;"&amp;F509)+1)</f>
        <v/>
      </c>
      <c r="I509">
        <f>IF(C509="","",C509&amp;"|"&amp;H509)</f>
        <v/>
      </c>
      <c r="J509" s="6">
        <f>IF(C509="","",IF(H509=1,SUMIFS('Opening Balance'!$F$4:$F$303,'Opening Balance'!$G$4:$G$303,C509),INDEX($L$2:$L$3001,MATCH(C509&amp;"|"&amp;(H509-1),$I$2:$I$3001,0))))</f>
        <v/>
      </c>
      <c r="K509" s="6">
        <f>IF(C509="","",IF(M509&gt;0,M509,IF(AND(E509&gt;0,ROUND(J509+D509-E509,2)&gt;0,ROUND(J509+D509-E509,2)&lt;'Opening Balance'!$B$14),ROUND(J509+D509-E509,2),0)))</f>
        <v/>
      </c>
      <c r="L509" s="6">
        <f>IF(C509="","",ROUND(J509+D509-E509-K509,2))</f>
        <v/>
      </c>
      <c r="M509" s="6">
        <f>IF(C509="","",IF('Daily Sale entry '!Q509="Collection 收款",ROUND(N('Daily Sale entry '!T509),2),0))</f>
        <v/>
      </c>
    </row>
    <row r="510">
      <c r="A510" t="inlineStr">
        <is>
          <t>Entry 记录</t>
        </is>
      </c>
      <c r="B510" s="5">
        <f>IF('Daily Sale entry '!P510="","",'Daily Sale entry '!O510)</f>
        <v/>
      </c>
      <c r="C510">
        <f>IF('Daily Sale entry '!P510="","",'Daily Sale entry '!P510)</f>
        <v/>
      </c>
      <c r="D510">
        <f>IF(C510="","",IF('Daily Sale entry '!Q510="Credit Sale 赊销",'Daily Sale entry '!S510,0))</f>
        <v/>
      </c>
      <c r="E510">
        <f>IF(C510="","",IF('Daily Sale entry '!Q510="Collection 收款",'Daily Sale entry '!S510,0))</f>
        <v/>
      </c>
      <c r="F510" s="37">
        <f>IF(C510="","",B510+IF(E510&gt;0,0,0.5)+ROW()/10000000)</f>
        <v/>
      </c>
      <c r="G510">
        <f>IF(C510="","",'Daily Sale entry '!Q510&amp;IF('Daily Sale entry '!Q510="Collection 收款"," ("&amp;'Daily Sale entry '!R510&amp;")","")&amp;IF('Daily Sale entry '!U510="",""," - "&amp;'Daily Sale entry '!U510))</f>
        <v/>
      </c>
      <c r="H510">
        <f>IF(C510="","",COUNTIFS($C$2:$C$3001,C510,$F$2:$F$3001,"&lt;"&amp;F510)+1)</f>
        <v/>
      </c>
      <c r="I510">
        <f>IF(C510="","",C510&amp;"|"&amp;H510)</f>
        <v/>
      </c>
      <c r="J510" s="6">
        <f>IF(C510="","",IF(H510=1,SUMIFS('Opening Balance'!$F$4:$F$303,'Opening Balance'!$G$4:$G$303,C510),INDEX($L$2:$L$3001,MATCH(C510&amp;"|"&amp;(H510-1),$I$2:$I$3001,0))))</f>
        <v/>
      </c>
      <c r="K510" s="6">
        <f>IF(C510="","",IF(M510&gt;0,M510,IF(AND(E510&gt;0,ROUND(J510+D510-E510,2)&gt;0,ROUND(J510+D510-E510,2)&lt;'Opening Balance'!$B$14),ROUND(J510+D510-E510,2),0)))</f>
        <v/>
      </c>
      <c r="L510" s="6">
        <f>IF(C510="","",ROUND(J510+D510-E510-K510,2))</f>
        <v/>
      </c>
      <c r="M510" s="6">
        <f>IF(C510="","",IF('Daily Sale entry '!Q510="Collection 收款",ROUND(N('Daily Sale entry '!T510),2),0))</f>
        <v/>
      </c>
    </row>
    <row r="511">
      <c r="A511" t="inlineStr">
        <is>
          <t>Entry 记录</t>
        </is>
      </c>
      <c r="B511" s="5">
        <f>IF('Daily Sale entry '!P511="","",'Daily Sale entry '!O511)</f>
        <v/>
      </c>
      <c r="C511">
        <f>IF('Daily Sale entry '!P511="","",'Daily Sale entry '!P511)</f>
        <v/>
      </c>
      <c r="D511">
        <f>IF(C511="","",IF('Daily Sale entry '!Q511="Credit Sale 赊销",'Daily Sale entry '!S511,0))</f>
        <v/>
      </c>
      <c r="E511">
        <f>IF(C511="","",IF('Daily Sale entry '!Q511="Collection 收款",'Daily Sale entry '!S511,0))</f>
        <v/>
      </c>
      <c r="F511" s="37">
        <f>IF(C511="","",B511+IF(E511&gt;0,0,0.5)+ROW()/10000000)</f>
        <v/>
      </c>
      <c r="G511">
        <f>IF(C511="","",'Daily Sale entry '!Q511&amp;IF('Daily Sale entry '!Q511="Collection 收款"," ("&amp;'Daily Sale entry '!R511&amp;")","")&amp;IF('Daily Sale entry '!U511="",""," - "&amp;'Daily Sale entry '!U511))</f>
        <v/>
      </c>
      <c r="H511">
        <f>IF(C511="","",COUNTIFS($C$2:$C$3001,C511,$F$2:$F$3001,"&lt;"&amp;F511)+1)</f>
        <v/>
      </c>
      <c r="I511">
        <f>IF(C511="","",C511&amp;"|"&amp;H511)</f>
        <v/>
      </c>
      <c r="J511" s="6">
        <f>IF(C511="","",IF(H511=1,SUMIFS('Opening Balance'!$F$4:$F$303,'Opening Balance'!$G$4:$G$303,C511),INDEX($L$2:$L$3001,MATCH(C511&amp;"|"&amp;(H511-1),$I$2:$I$3001,0))))</f>
        <v/>
      </c>
      <c r="K511" s="6">
        <f>IF(C511="","",IF(M511&gt;0,M511,IF(AND(E511&gt;0,ROUND(J511+D511-E511,2)&gt;0,ROUND(J511+D511-E511,2)&lt;'Opening Balance'!$B$14),ROUND(J511+D511-E511,2),0)))</f>
        <v/>
      </c>
      <c r="L511" s="6">
        <f>IF(C511="","",ROUND(J511+D511-E511-K511,2))</f>
        <v/>
      </c>
      <c r="M511" s="6">
        <f>IF(C511="","",IF('Daily Sale entry '!Q511="Collection 收款",ROUND(N('Daily Sale entry '!T511),2),0))</f>
        <v/>
      </c>
    </row>
    <row r="512">
      <c r="A512" t="inlineStr">
        <is>
          <t>Entry 记录</t>
        </is>
      </c>
      <c r="B512" s="5">
        <f>IF('Daily Sale entry '!P512="","",'Daily Sale entry '!O512)</f>
        <v/>
      </c>
      <c r="C512">
        <f>IF('Daily Sale entry '!P512="","",'Daily Sale entry '!P512)</f>
        <v/>
      </c>
      <c r="D512">
        <f>IF(C512="","",IF('Daily Sale entry '!Q512="Credit Sale 赊销",'Daily Sale entry '!S512,0))</f>
        <v/>
      </c>
      <c r="E512">
        <f>IF(C512="","",IF('Daily Sale entry '!Q512="Collection 收款",'Daily Sale entry '!S512,0))</f>
        <v/>
      </c>
      <c r="F512" s="37">
        <f>IF(C512="","",B512+IF(E512&gt;0,0,0.5)+ROW()/10000000)</f>
        <v/>
      </c>
      <c r="G512">
        <f>IF(C512="","",'Daily Sale entry '!Q512&amp;IF('Daily Sale entry '!Q512="Collection 收款"," ("&amp;'Daily Sale entry '!R512&amp;")","")&amp;IF('Daily Sale entry '!U512="",""," - "&amp;'Daily Sale entry '!U512))</f>
        <v/>
      </c>
      <c r="H512">
        <f>IF(C512="","",COUNTIFS($C$2:$C$3001,C512,$F$2:$F$3001,"&lt;"&amp;F512)+1)</f>
        <v/>
      </c>
      <c r="I512">
        <f>IF(C512="","",C512&amp;"|"&amp;H512)</f>
        <v/>
      </c>
      <c r="J512" s="6">
        <f>IF(C512="","",IF(H512=1,SUMIFS('Opening Balance'!$F$4:$F$303,'Opening Balance'!$G$4:$G$303,C512),INDEX($L$2:$L$3001,MATCH(C512&amp;"|"&amp;(H512-1),$I$2:$I$3001,0))))</f>
        <v/>
      </c>
      <c r="K512" s="6">
        <f>IF(C512="","",IF(M512&gt;0,M512,IF(AND(E512&gt;0,ROUND(J512+D512-E512,2)&gt;0,ROUND(J512+D512-E512,2)&lt;'Opening Balance'!$B$14),ROUND(J512+D512-E512,2),0)))</f>
        <v/>
      </c>
      <c r="L512" s="6">
        <f>IF(C512="","",ROUND(J512+D512-E512-K512,2))</f>
        <v/>
      </c>
      <c r="M512" s="6">
        <f>IF(C512="","",IF('Daily Sale entry '!Q512="Collection 收款",ROUND(N('Daily Sale entry '!T512),2),0))</f>
        <v/>
      </c>
    </row>
    <row r="513">
      <c r="A513" t="inlineStr">
        <is>
          <t>Entry 记录</t>
        </is>
      </c>
      <c r="B513" s="5">
        <f>IF('Daily Sale entry '!P513="","",'Daily Sale entry '!O513)</f>
        <v/>
      </c>
      <c r="C513">
        <f>IF('Daily Sale entry '!P513="","",'Daily Sale entry '!P513)</f>
        <v/>
      </c>
      <c r="D513">
        <f>IF(C513="","",IF('Daily Sale entry '!Q513="Credit Sale 赊销",'Daily Sale entry '!S513,0))</f>
        <v/>
      </c>
      <c r="E513">
        <f>IF(C513="","",IF('Daily Sale entry '!Q513="Collection 收款",'Daily Sale entry '!S513,0))</f>
        <v/>
      </c>
      <c r="F513" s="37">
        <f>IF(C513="","",B513+IF(E513&gt;0,0,0.5)+ROW()/10000000)</f>
        <v/>
      </c>
      <c r="G513">
        <f>IF(C513="","",'Daily Sale entry '!Q513&amp;IF('Daily Sale entry '!Q513="Collection 收款"," ("&amp;'Daily Sale entry '!R513&amp;")","")&amp;IF('Daily Sale entry '!U513="",""," - "&amp;'Daily Sale entry '!U513))</f>
        <v/>
      </c>
      <c r="H513">
        <f>IF(C513="","",COUNTIFS($C$2:$C$3001,C513,$F$2:$F$3001,"&lt;"&amp;F513)+1)</f>
        <v/>
      </c>
      <c r="I513">
        <f>IF(C513="","",C513&amp;"|"&amp;H513)</f>
        <v/>
      </c>
      <c r="J513" s="6">
        <f>IF(C513="","",IF(H513=1,SUMIFS('Opening Balance'!$F$4:$F$303,'Opening Balance'!$G$4:$G$303,C513),INDEX($L$2:$L$3001,MATCH(C513&amp;"|"&amp;(H513-1),$I$2:$I$3001,0))))</f>
        <v/>
      </c>
      <c r="K513" s="6">
        <f>IF(C513="","",IF(M513&gt;0,M513,IF(AND(E513&gt;0,ROUND(J513+D513-E513,2)&gt;0,ROUND(J513+D513-E513,2)&lt;'Opening Balance'!$B$14),ROUND(J513+D513-E513,2),0)))</f>
        <v/>
      </c>
      <c r="L513" s="6">
        <f>IF(C513="","",ROUND(J513+D513-E513-K513,2))</f>
        <v/>
      </c>
      <c r="M513" s="6">
        <f>IF(C513="","",IF('Daily Sale entry '!Q513="Collection 收款",ROUND(N('Daily Sale entry '!T513),2),0))</f>
        <v/>
      </c>
    </row>
    <row r="514">
      <c r="A514" t="inlineStr">
        <is>
          <t>Entry 记录</t>
        </is>
      </c>
      <c r="B514" s="5">
        <f>IF('Daily Sale entry '!P514="","",'Daily Sale entry '!O514)</f>
        <v/>
      </c>
      <c r="C514">
        <f>IF('Daily Sale entry '!P514="","",'Daily Sale entry '!P514)</f>
        <v/>
      </c>
      <c r="D514">
        <f>IF(C514="","",IF('Daily Sale entry '!Q514="Credit Sale 赊销",'Daily Sale entry '!S514,0))</f>
        <v/>
      </c>
      <c r="E514">
        <f>IF(C514="","",IF('Daily Sale entry '!Q514="Collection 收款",'Daily Sale entry '!S514,0))</f>
        <v/>
      </c>
      <c r="F514" s="37">
        <f>IF(C514="","",B514+IF(E514&gt;0,0,0.5)+ROW()/10000000)</f>
        <v/>
      </c>
      <c r="G514">
        <f>IF(C514="","",'Daily Sale entry '!Q514&amp;IF('Daily Sale entry '!Q514="Collection 收款"," ("&amp;'Daily Sale entry '!R514&amp;")","")&amp;IF('Daily Sale entry '!U514="",""," - "&amp;'Daily Sale entry '!U514))</f>
        <v/>
      </c>
      <c r="H514">
        <f>IF(C514="","",COUNTIFS($C$2:$C$3001,C514,$F$2:$F$3001,"&lt;"&amp;F514)+1)</f>
        <v/>
      </c>
      <c r="I514">
        <f>IF(C514="","",C514&amp;"|"&amp;H514)</f>
        <v/>
      </c>
      <c r="J514" s="6">
        <f>IF(C514="","",IF(H514=1,SUMIFS('Opening Balance'!$F$4:$F$303,'Opening Balance'!$G$4:$G$303,C514),INDEX($L$2:$L$3001,MATCH(C514&amp;"|"&amp;(H514-1),$I$2:$I$3001,0))))</f>
        <v/>
      </c>
      <c r="K514" s="6">
        <f>IF(C514="","",IF(M514&gt;0,M514,IF(AND(E514&gt;0,ROUND(J514+D514-E514,2)&gt;0,ROUND(J514+D514-E514,2)&lt;'Opening Balance'!$B$14),ROUND(J514+D514-E514,2),0)))</f>
        <v/>
      </c>
      <c r="L514" s="6">
        <f>IF(C514="","",ROUND(J514+D514-E514-K514,2))</f>
        <v/>
      </c>
      <c r="M514" s="6">
        <f>IF(C514="","",IF('Daily Sale entry '!Q514="Collection 收款",ROUND(N('Daily Sale entry '!T514),2),0))</f>
        <v/>
      </c>
    </row>
    <row r="515">
      <c r="A515" t="inlineStr">
        <is>
          <t>Entry 记录</t>
        </is>
      </c>
      <c r="B515" s="5">
        <f>IF('Daily Sale entry '!P515="","",'Daily Sale entry '!O515)</f>
        <v/>
      </c>
      <c r="C515">
        <f>IF('Daily Sale entry '!P515="","",'Daily Sale entry '!P515)</f>
        <v/>
      </c>
      <c r="D515">
        <f>IF(C515="","",IF('Daily Sale entry '!Q515="Credit Sale 赊销",'Daily Sale entry '!S515,0))</f>
        <v/>
      </c>
      <c r="E515">
        <f>IF(C515="","",IF('Daily Sale entry '!Q515="Collection 收款",'Daily Sale entry '!S515,0))</f>
        <v/>
      </c>
      <c r="F515" s="37">
        <f>IF(C515="","",B515+IF(E515&gt;0,0,0.5)+ROW()/10000000)</f>
        <v/>
      </c>
      <c r="G515">
        <f>IF(C515="","",'Daily Sale entry '!Q515&amp;IF('Daily Sale entry '!Q515="Collection 收款"," ("&amp;'Daily Sale entry '!R515&amp;")","")&amp;IF('Daily Sale entry '!U515="",""," - "&amp;'Daily Sale entry '!U515))</f>
        <v/>
      </c>
      <c r="H515">
        <f>IF(C515="","",COUNTIFS($C$2:$C$3001,C515,$F$2:$F$3001,"&lt;"&amp;F515)+1)</f>
        <v/>
      </c>
      <c r="I515">
        <f>IF(C515="","",C515&amp;"|"&amp;H515)</f>
        <v/>
      </c>
      <c r="J515" s="6">
        <f>IF(C515="","",IF(H515=1,SUMIFS('Opening Balance'!$F$4:$F$303,'Opening Balance'!$G$4:$G$303,C515),INDEX($L$2:$L$3001,MATCH(C515&amp;"|"&amp;(H515-1),$I$2:$I$3001,0))))</f>
        <v/>
      </c>
      <c r="K515" s="6">
        <f>IF(C515="","",IF(M515&gt;0,M515,IF(AND(E515&gt;0,ROUND(J515+D515-E515,2)&gt;0,ROUND(J515+D515-E515,2)&lt;'Opening Balance'!$B$14),ROUND(J515+D515-E515,2),0)))</f>
        <v/>
      </c>
      <c r="L515" s="6">
        <f>IF(C515="","",ROUND(J515+D515-E515-K515,2))</f>
        <v/>
      </c>
      <c r="M515" s="6">
        <f>IF(C515="","",IF('Daily Sale entry '!Q515="Collection 收款",ROUND(N('Daily Sale entry '!T515),2),0))</f>
        <v/>
      </c>
    </row>
    <row r="516">
      <c r="A516" t="inlineStr">
        <is>
          <t>Entry 记录</t>
        </is>
      </c>
      <c r="B516" s="5">
        <f>IF('Daily Sale entry '!P516="","",'Daily Sale entry '!O516)</f>
        <v/>
      </c>
      <c r="C516">
        <f>IF('Daily Sale entry '!P516="","",'Daily Sale entry '!P516)</f>
        <v/>
      </c>
      <c r="D516">
        <f>IF(C516="","",IF('Daily Sale entry '!Q516="Credit Sale 赊销",'Daily Sale entry '!S516,0))</f>
        <v/>
      </c>
      <c r="E516">
        <f>IF(C516="","",IF('Daily Sale entry '!Q516="Collection 收款",'Daily Sale entry '!S516,0))</f>
        <v/>
      </c>
      <c r="F516" s="37">
        <f>IF(C516="","",B516+IF(E516&gt;0,0,0.5)+ROW()/10000000)</f>
        <v/>
      </c>
      <c r="G516">
        <f>IF(C516="","",'Daily Sale entry '!Q516&amp;IF('Daily Sale entry '!Q516="Collection 收款"," ("&amp;'Daily Sale entry '!R516&amp;")","")&amp;IF('Daily Sale entry '!U516="",""," - "&amp;'Daily Sale entry '!U516))</f>
        <v/>
      </c>
      <c r="H516">
        <f>IF(C516="","",COUNTIFS($C$2:$C$3001,C516,$F$2:$F$3001,"&lt;"&amp;F516)+1)</f>
        <v/>
      </c>
      <c r="I516">
        <f>IF(C516="","",C516&amp;"|"&amp;H516)</f>
        <v/>
      </c>
      <c r="J516" s="6">
        <f>IF(C516="","",IF(H516=1,SUMIFS('Opening Balance'!$F$4:$F$303,'Opening Balance'!$G$4:$G$303,C516),INDEX($L$2:$L$3001,MATCH(C516&amp;"|"&amp;(H516-1),$I$2:$I$3001,0))))</f>
        <v/>
      </c>
      <c r="K516" s="6">
        <f>IF(C516="","",IF(M516&gt;0,M516,IF(AND(E516&gt;0,ROUND(J516+D516-E516,2)&gt;0,ROUND(J516+D516-E516,2)&lt;'Opening Balance'!$B$14),ROUND(J516+D516-E516,2),0)))</f>
        <v/>
      </c>
      <c r="L516" s="6">
        <f>IF(C516="","",ROUND(J516+D516-E516-K516,2))</f>
        <v/>
      </c>
      <c r="M516" s="6">
        <f>IF(C516="","",IF('Daily Sale entry '!Q516="Collection 收款",ROUND(N('Daily Sale entry '!T516),2),0))</f>
        <v/>
      </c>
    </row>
    <row r="517">
      <c r="A517" t="inlineStr">
        <is>
          <t>Entry 记录</t>
        </is>
      </c>
      <c r="B517" s="5">
        <f>IF('Daily Sale entry '!P517="","",'Daily Sale entry '!O517)</f>
        <v/>
      </c>
      <c r="C517">
        <f>IF('Daily Sale entry '!P517="","",'Daily Sale entry '!P517)</f>
        <v/>
      </c>
      <c r="D517">
        <f>IF(C517="","",IF('Daily Sale entry '!Q517="Credit Sale 赊销",'Daily Sale entry '!S517,0))</f>
        <v/>
      </c>
      <c r="E517">
        <f>IF(C517="","",IF('Daily Sale entry '!Q517="Collection 收款",'Daily Sale entry '!S517,0))</f>
        <v/>
      </c>
      <c r="F517" s="37">
        <f>IF(C517="","",B517+IF(E517&gt;0,0,0.5)+ROW()/10000000)</f>
        <v/>
      </c>
      <c r="G517">
        <f>IF(C517="","",'Daily Sale entry '!Q517&amp;IF('Daily Sale entry '!Q517="Collection 收款"," ("&amp;'Daily Sale entry '!R517&amp;")","")&amp;IF('Daily Sale entry '!U517="",""," - "&amp;'Daily Sale entry '!U517))</f>
        <v/>
      </c>
      <c r="H517">
        <f>IF(C517="","",COUNTIFS($C$2:$C$3001,C517,$F$2:$F$3001,"&lt;"&amp;F517)+1)</f>
        <v/>
      </c>
      <c r="I517">
        <f>IF(C517="","",C517&amp;"|"&amp;H517)</f>
        <v/>
      </c>
      <c r="J517" s="6">
        <f>IF(C517="","",IF(H517=1,SUMIFS('Opening Balance'!$F$4:$F$303,'Opening Balance'!$G$4:$G$303,C517),INDEX($L$2:$L$3001,MATCH(C517&amp;"|"&amp;(H517-1),$I$2:$I$3001,0))))</f>
        <v/>
      </c>
      <c r="K517" s="6">
        <f>IF(C517="","",IF(M517&gt;0,M517,IF(AND(E517&gt;0,ROUND(J517+D517-E517,2)&gt;0,ROUND(J517+D517-E517,2)&lt;'Opening Balance'!$B$14),ROUND(J517+D517-E517,2),0)))</f>
        <v/>
      </c>
      <c r="L517" s="6">
        <f>IF(C517="","",ROUND(J517+D517-E517-K517,2))</f>
        <v/>
      </c>
      <c r="M517" s="6">
        <f>IF(C517="","",IF('Daily Sale entry '!Q517="Collection 收款",ROUND(N('Daily Sale entry '!T517),2),0))</f>
        <v/>
      </c>
    </row>
    <row r="518">
      <c r="A518" t="inlineStr">
        <is>
          <t>Entry 记录</t>
        </is>
      </c>
      <c r="B518" s="5">
        <f>IF('Daily Sale entry '!P518="","",'Daily Sale entry '!O518)</f>
        <v/>
      </c>
      <c r="C518">
        <f>IF('Daily Sale entry '!P518="","",'Daily Sale entry '!P518)</f>
        <v/>
      </c>
      <c r="D518">
        <f>IF(C518="","",IF('Daily Sale entry '!Q518="Credit Sale 赊销",'Daily Sale entry '!S518,0))</f>
        <v/>
      </c>
      <c r="E518">
        <f>IF(C518="","",IF('Daily Sale entry '!Q518="Collection 收款",'Daily Sale entry '!S518,0))</f>
        <v/>
      </c>
      <c r="F518" s="37">
        <f>IF(C518="","",B518+IF(E518&gt;0,0,0.5)+ROW()/10000000)</f>
        <v/>
      </c>
      <c r="G518">
        <f>IF(C518="","",'Daily Sale entry '!Q518&amp;IF('Daily Sale entry '!Q518="Collection 收款"," ("&amp;'Daily Sale entry '!R518&amp;")","")&amp;IF('Daily Sale entry '!U518="",""," - "&amp;'Daily Sale entry '!U518))</f>
        <v/>
      </c>
      <c r="H518">
        <f>IF(C518="","",COUNTIFS($C$2:$C$3001,C518,$F$2:$F$3001,"&lt;"&amp;F518)+1)</f>
        <v/>
      </c>
      <c r="I518">
        <f>IF(C518="","",C518&amp;"|"&amp;H518)</f>
        <v/>
      </c>
      <c r="J518" s="6">
        <f>IF(C518="","",IF(H518=1,SUMIFS('Opening Balance'!$F$4:$F$303,'Opening Balance'!$G$4:$G$303,C518),INDEX($L$2:$L$3001,MATCH(C518&amp;"|"&amp;(H518-1),$I$2:$I$3001,0))))</f>
        <v/>
      </c>
      <c r="K518" s="6">
        <f>IF(C518="","",IF(M518&gt;0,M518,IF(AND(E518&gt;0,ROUND(J518+D518-E518,2)&gt;0,ROUND(J518+D518-E518,2)&lt;'Opening Balance'!$B$14),ROUND(J518+D518-E518,2),0)))</f>
        <v/>
      </c>
      <c r="L518" s="6">
        <f>IF(C518="","",ROUND(J518+D518-E518-K518,2))</f>
        <v/>
      </c>
      <c r="M518" s="6">
        <f>IF(C518="","",IF('Daily Sale entry '!Q518="Collection 收款",ROUND(N('Daily Sale entry '!T518),2),0))</f>
        <v/>
      </c>
    </row>
    <row r="519">
      <c r="A519" t="inlineStr">
        <is>
          <t>Entry 记录</t>
        </is>
      </c>
      <c r="B519" s="5">
        <f>IF('Daily Sale entry '!P519="","",'Daily Sale entry '!O519)</f>
        <v/>
      </c>
      <c r="C519">
        <f>IF('Daily Sale entry '!P519="","",'Daily Sale entry '!P519)</f>
        <v/>
      </c>
      <c r="D519">
        <f>IF(C519="","",IF('Daily Sale entry '!Q519="Credit Sale 赊销",'Daily Sale entry '!S519,0))</f>
        <v/>
      </c>
      <c r="E519">
        <f>IF(C519="","",IF('Daily Sale entry '!Q519="Collection 收款",'Daily Sale entry '!S519,0))</f>
        <v/>
      </c>
      <c r="F519" s="37">
        <f>IF(C519="","",B519+IF(E519&gt;0,0,0.5)+ROW()/10000000)</f>
        <v/>
      </c>
      <c r="G519">
        <f>IF(C519="","",'Daily Sale entry '!Q519&amp;IF('Daily Sale entry '!Q519="Collection 收款"," ("&amp;'Daily Sale entry '!R519&amp;")","")&amp;IF('Daily Sale entry '!U519="",""," - "&amp;'Daily Sale entry '!U519))</f>
        <v/>
      </c>
      <c r="H519">
        <f>IF(C519="","",COUNTIFS($C$2:$C$3001,C519,$F$2:$F$3001,"&lt;"&amp;F519)+1)</f>
        <v/>
      </c>
      <c r="I519">
        <f>IF(C519="","",C519&amp;"|"&amp;H519)</f>
        <v/>
      </c>
      <c r="J519" s="6">
        <f>IF(C519="","",IF(H519=1,SUMIFS('Opening Balance'!$F$4:$F$303,'Opening Balance'!$G$4:$G$303,C519),INDEX($L$2:$L$3001,MATCH(C519&amp;"|"&amp;(H519-1),$I$2:$I$3001,0))))</f>
        <v/>
      </c>
      <c r="K519" s="6">
        <f>IF(C519="","",IF(M519&gt;0,M519,IF(AND(E519&gt;0,ROUND(J519+D519-E519,2)&gt;0,ROUND(J519+D519-E519,2)&lt;'Opening Balance'!$B$14),ROUND(J519+D519-E519,2),0)))</f>
        <v/>
      </c>
      <c r="L519" s="6">
        <f>IF(C519="","",ROUND(J519+D519-E519-K519,2))</f>
        <v/>
      </c>
      <c r="M519" s="6">
        <f>IF(C519="","",IF('Daily Sale entry '!Q519="Collection 收款",ROUND(N('Daily Sale entry '!T519),2),0))</f>
        <v/>
      </c>
    </row>
    <row r="520">
      <c r="A520" t="inlineStr">
        <is>
          <t>Entry 记录</t>
        </is>
      </c>
      <c r="B520" s="5">
        <f>IF('Daily Sale entry '!P520="","",'Daily Sale entry '!O520)</f>
        <v/>
      </c>
      <c r="C520">
        <f>IF('Daily Sale entry '!P520="","",'Daily Sale entry '!P520)</f>
        <v/>
      </c>
      <c r="D520">
        <f>IF(C520="","",IF('Daily Sale entry '!Q520="Credit Sale 赊销",'Daily Sale entry '!S520,0))</f>
        <v/>
      </c>
      <c r="E520">
        <f>IF(C520="","",IF('Daily Sale entry '!Q520="Collection 收款",'Daily Sale entry '!S520,0))</f>
        <v/>
      </c>
      <c r="F520" s="37">
        <f>IF(C520="","",B520+IF(E520&gt;0,0,0.5)+ROW()/10000000)</f>
        <v/>
      </c>
      <c r="G520">
        <f>IF(C520="","",'Daily Sale entry '!Q520&amp;IF('Daily Sale entry '!Q520="Collection 收款"," ("&amp;'Daily Sale entry '!R520&amp;")","")&amp;IF('Daily Sale entry '!U520="",""," - "&amp;'Daily Sale entry '!U520))</f>
        <v/>
      </c>
      <c r="H520">
        <f>IF(C520="","",COUNTIFS($C$2:$C$3001,C520,$F$2:$F$3001,"&lt;"&amp;F520)+1)</f>
        <v/>
      </c>
      <c r="I520">
        <f>IF(C520="","",C520&amp;"|"&amp;H520)</f>
        <v/>
      </c>
      <c r="J520" s="6">
        <f>IF(C520="","",IF(H520=1,SUMIFS('Opening Balance'!$F$4:$F$303,'Opening Balance'!$G$4:$G$303,C520),INDEX($L$2:$L$3001,MATCH(C520&amp;"|"&amp;(H520-1),$I$2:$I$3001,0))))</f>
        <v/>
      </c>
      <c r="K520" s="6">
        <f>IF(C520="","",IF(M520&gt;0,M520,IF(AND(E520&gt;0,ROUND(J520+D520-E520,2)&gt;0,ROUND(J520+D520-E520,2)&lt;'Opening Balance'!$B$14),ROUND(J520+D520-E520,2),0)))</f>
        <v/>
      </c>
      <c r="L520" s="6">
        <f>IF(C520="","",ROUND(J520+D520-E520-K520,2))</f>
        <v/>
      </c>
      <c r="M520" s="6">
        <f>IF(C520="","",IF('Daily Sale entry '!Q520="Collection 收款",ROUND(N('Daily Sale entry '!T520),2),0))</f>
        <v/>
      </c>
    </row>
    <row r="521">
      <c r="A521" t="inlineStr">
        <is>
          <t>Entry 记录</t>
        </is>
      </c>
      <c r="B521" s="5">
        <f>IF('Daily Sale entry '!P521="","",'Daily Sale entry '!O521)</f>
        <v/>
      </c>
      <c r="C521">
        <f>IF('Daily Sale entry '!P521="","",'Daily Sale entry '!P521)</f>
        <v/>
      </c>
      <c r="D521">
        <f>IF(C521="","",IF('Daily Sale entry '!Q521="Credit Sale 赊销",'Daily Sale entry '!S521,0))</f>
        <v/>
      </c>
      <c r="E521">
        <f>IF(C521="","",IF('Daily Sale entry '!Q521="Collection 收款",'Daily Sale entry '!S521,0))</f>
        <v/>
      </c>
      <c r="F521" s="37">
        <f>IF(C521="","",B521+IF(E521&gt;0,0,0.5)+ROW()/10000000)</f>
        <v/>
      </c>
      <c r="G521">
        <f>IF(C521="","",'Daily Sale entry '!Q521&amp;IF('Daily Sale entry '!Q521="Collection 收款"," ("&amp;'Daily Sale entry '!R521&amp;")","")&amp;IF('Daily Sale entry '!U521="",""," - "&amp;'Daily Sale entry '!U521))</f>
        <v/>
      </c>
      <c r="H521">
        <f>IF(C521="","",COUNTIFS($C$2:$C$3001,C521,$F$2:$F$3001,"&lt;"&amp;F521)+1)</f>
        <v/>
      </c>
      <c r="I521">
        <f>IF(C521="","",C521&amp;"|"&amp;H521)</f>
        <v/>
      </c>
      <c r="J521" s="6">
        <f>IF(C521="","",IF(H521=1,SUMIFS('Opening Balance'!$F$4:$F$303,'Opening Balance'!$G$4:$G$303,C521),INDEX($L$2:$L$3001,MATCH(C521&amp;"|"&amp;(H521-1),$I$2:$I$3001,0))))</f>
        <v/>
      </c>
      <c r="K521" s="6">
        <f>IF(C521="","",IF(M521&gt;0,M521,IF(AND(E521&gt;0,ROUND(J521+D521-E521,2)&gt;0,ROUND(J521+D521-E521,2)&lt;'Opening Balance'!$B$14),ROUND(J521+D521-E521,2),0)))</f>
        <v/>
      </c>
      <c r="L521" s="6">
        <f>IF(C521="","",ROUND(J521+D521-E521-K521,2))</f>
        <v/>
      </c>
      <c r="M521" s="6">
        <f>IF(C521="","",IF('Daily Sale entry '!Q521="Collection 收款",ROUND(N('Daily Sale entry '!T521),2),0))</f>
        <v/>
      </c>
    </row>
    <row r="522">
      <c r="A522" t="inlineStr">
        <is>
          <t>Entry 记录</t>
        </is>
      </c>
      <c r="B522" s="5">
        <f>IF('Daily Sale entry '!P522="","",'Daily Sale entry '!O522)</f>
        <v/>
      </c>
      <c r="C522">
        <f>IF('Daily Sale entry '!P522="","",'Daily Sale entry '!P522)</f>
        <v/>
      </c>
      <c r="D522">
        <f>IF(C522="","",IF('Daily Sale entry '!Q522="Credit Sale 赊销",'Daily Sale entry '!S522,0))</f>
        <v/>
      </c>
      <c r="E522">
        <f>IF(C522="","",IF('Daily Sale entry '!Q522="Collection 收款",'Daily Sale entry '!S522,0))</f>
        <v/>
      </c>
      <c r="F522" s="37">
        <f>IF(C522="","",B522+IF(E522&gt;0,0,0.5)+ROW()/10000000)</f>
        <v/>
      </c>
      <c r="G522">
        <f>IF(C522="","",'Daily Sale entry '!Q522&amp;IF('Daily Sale entry '!Q522="Collection 收款"," ("&amp;'Daily Sale entry '!R522&amp;")","")&amp;IF('Daily Sale entry '!U522="",""," - "&amp;'Daily Sale entry '!U522))</f>
        <v/>
      </c>
      <c r="H522">
        <f>IF(C522="","",COUNTIFS($C$2:$C$3001,C522,$F$2:$F$3001,"&lt;"&amp;F522)+1)</f>
        <v/>
      </c>
      <c r="I522">
        <f>IF(C522="","",C522&amp;"|"&amp;H522)</f>
        <v/>
      </c>
      <c r="J522" s="6">
        <f>IF(C522="","",IF(H522=1,SUMIFS('Opening Balance'!$F$4:$F$303,'Opening Balance'!$G$4:$G$303,C522),INDEX($L$2:$L$3001,MATCH(C522&amp;"|"&amp;(H522-1),$I$2:$I$3001,0))))</f>
        <v/>
      </c>
      <c r="K522" s="6">
        <f>IF(C522="","",IF(M522&gt;0,M522,IF(AND(E522&gt;0,ROUND(J522+D522-E522,2)&gt;0,ROUND(J522+D522-E522,2)&lt;'Opening Balance'!$B$14),ROUND(J522+D522-E522,2),0)))</f>
        <v/>
      </c>
      <c r="L522" s="6">
        <f>IF(C522="","",ROUND(J522+D522-E522-K522,2))</f>
        <v/>
      </c>
      <c r="M522" s="6">
        <f>IF(C522="","",IF('Daily Sale entry '!Q522="Collection 收款",ROUND(N('Daily Sale entry '!T522),2),0))</f>
        <v/>
      </c>
    </row>
    <row r="523">
      <c r="A523" t="inlineStr">
        <is>
          <t>Entry 记录</t>
        </is>
      </c>
      <c r="B523" s="5">
        <f>IF('Daily Sale entry '!P523="","",'Daily Sale entry '!O523)</f>
        <v/>
      </c>
      <c r="C523">
        <f>IF('Daily Sale entry '!P523="","",'Daily Sale entry '!P523)</f>
        <v/>
      </c>
      <c r="D523">
        <f>IF(C523="","",IF('Daily Sale entry '!Q523="Credit Sale 赊销",'Daily Sale entry '!S523,0))</f>
        <v/>
      </c>
      <c r="E523">
        <f>IF(C523="","",IF('Daily Sale entry '!Q523="Collection 收款",'Daily Sale entry '!S523,0))</f>
        <v/>
      </c>
      <c r="F523" s="37">
        <f>IF(C523="","",B523+IF(E523&gt;0,0,0.5)+ROW()/10000000)</f>
        <v/>
      </c>
      <c r="G523">
        <f>IF(C523="","",'Daily Sale entry '!Q523&amp;IF('Daily Sale entry '!Q523="Collection 收款"," ("&amp;'Daily Sale entry '!R523&amp;")","")&amp;IF('Daily Sale entry '!U523="",""," - "&amp;'Daily Sale entry '!U523))</f>
        <v/>
      </c>
      <c r="H523">
        <f>IF(C523="","",COUNTIFS($C$2:$C$3001,C523,$F$2:$F$3001,"&lt;"&amp;F523)+1)</f>
        <v/>
      </c>
      <c r="I523">
        <f>IF(C523="","",C523&amp;"|"&amp;H523)</f>
        <v/>
      </c>
      <c r="J523" s="6">
        <f>IF(C523="","",IF(H523=1,SUMIFS('Opening Balance'!$F$4:$F$303,'Opening Balance'!$G$4:$G$303,C523),INDEX($L$2:$L$3001,MATCH(C523&amp;"|"&amp;(H523-1),$I$2:$I$3001,0))))</f>
        <v/>
      </c>
      <c r="K523" s="6">
        <f>IF(C523="","",IF(M523&gt;0,M523,IF(AND(E523&gt;0,ROUND(J523+D523-E523,2)&gt;0,ROUND(J523+D523-E523,2)&lt;'Opening Balance'!$B$14),ROUND(J523+D523-E523,2),0)))</f>
        <v/>
      </c>
      <c r="L523" s="6">
        <f>IF(C523="","",ROUND(J523+D523-E523-K523,2))</f>
        <v/>
      </c>
      <c r="M523" s="6">
        <f>IF(C523="","",IF('Daily Sale entry '!Q523="Collection 收款",ROUND(N('Daily Sale entry '!T523),2),0))</f>
        <v/>
      </c>
    </row>
    <row r="524">
      <c r="A524" t="inlineStr">
        <is>
          <t>Entry 记录</t>
        </is>
      </c>
      <c r="B524" s="5">
        <f>IF('Daily Sale entry '!P524="","",'Daily Sale entry '!O524)</f>
        <v/>
      </c>
      <c r="C524">
        <f>IF('Daily Sale entry '!P524="","",'Daily Sale entry '!P524)</f>
        <v/>
      </c>
      <c r="D524">
        <f>IF(C524="","",IF('Daily Sale entry '!Q524="Credit Sale 赊销",'Daily Sale entry '!S524,0))</f>
        <v/>
      </c>
      <c r="E524">
        <f>IF(C524="","",IF('Daily Sale entry '!Q524="Collection 收款",'Daily Sale entry '!S524,0))</f>
        <v/>
      </c>
      <c r="F524" s="37">
        <f>IF(C524="","",B524+IF(E524&gt;0,0,0.5)+ROW()/10000000)</f>
        <v/>
      </c>
      <c r="G524">
        <f>IF(C524="","",'Daily Sale entry '!Q524&amp;IF('Daily Sale entry '!Q524="Collection 收款"," ("&amp;'Daily Sale entry '!R524&amp;")","")&amp;IF('Daily Sale entry '!U524="",""," - "&amp;'Daily Sale entry '!U524))</f>
        <v/>
      </c>
      <c r="H524">
        <f>IF(C524="","",COUNTIFS($C$2:$C$3001,C524,$F$2:$F$3001,"&lt;"&amp;F524)+1)</f>
        <v/>
      </c>
      <c r="I524">
        <f>IF(C524="","",C524&amp;"|"&amp;H524)</f>
        <v/>
      </c>
      <c r="J524" s="6">
        <f>IF(C524="","",IF(H524=1,SUMIFS('Opening Balance'!$F$4:$F$303,'Opening Balance'!$G$4:$G$303,C524),INDEX($L$2:$L$3001,MATCH(C524&amp;"|"&amp;(H524-1),$I$2:$I$3001,0))))</f>
        <v/>
      </c>
      <c r="K524" s="6">
        <f>IF(C524="","",IF(M524&gt;0,M524,IF(AND(E524&gt;0,ROUND(J524+D524-E524,2)&gt;0,ROUND(J524+D524-E524,2)&lt;'Opening Balance'!$B$14),ROUND(J524+D524-E524,2),0)))</f>
        <v/>
      </c>
      <c r="L524" s="6">
        <f>IF(C524="","",ROUND(J524+D524-E524-K524,2))</f>
        <v/>
      </c>
      <c r="M524" s="6">
        <f>IF(C524="","",IF('Daily Sale entry '!Q524="Collection 收款",ROUND(N('Daily Sale entry '!T524),2),0))</f>
        <v/>
      </c>
    </row>
    <row r="525">
      <c r="A525" t="inlineStr">
        <is>
          <t>Entry 记录</t>
        </is>
      </c>
      <c r="B525" s="5">
        <f>IF('Daily Sale entry '!P525="","",'Daily Sale entry '!O525)</f>
        <v/>
      </c>
      <c r="C525">
        <f>IF('Daily Sale entry '!P525="","",'Daily Sale entry '!P525)</f>
        <v/>
      </c>
      <c r="D525">
        <f>IF(C525="","",IF('Daily Sale entry '!Q525="Credit Sale 赊销",'Daily Sale entry '!S525,0))</f>
        <v/>
      </c>
      <c r="E525">
        <f>IF(C525="","",IF('Daily Sale entry '!Q525="Collection 收款",'Daily Sale entry '!S525,0))</f>
        <v/>
      </c>
      <c r="F525" s="37">
        <f>IF(C525="","",B525+IF(E525&gt;0,0,0.5)+ROW()/10000000)</f>
        <v/>
      </c>
      <c r="G525">
        <f>IF(C525="","",'Daily Sale entry '!Q525&amp;IF('Daily Sale entry '!Q525="Collection 收款"," ("&amp;'Daily Sale entry '!R525&amp;")","")&amp;IF('Daily Sale entry '!U525="",""," - "&amp;'Daily Sale entry '!U525))</f>
        <v/>
      </c>
      <c r="H525">
        <f>IF(C525="","",COUNTIFS($C$2:$C$3001,C525,$F$2:$F$3001,"&lt;"&amp;F525)+1)</f>
        <v/>
      </c>
      <c r="I525">
        <f>IF(C525="","",C525&amp;"|"&amp;H525)</f>
        <v/>
      </c>
      <c r="J525" s="6">
        <f>IF(C525="","",IF(H525=1,SUMIFS('Opening Balance'!$F$4:$F$303,'Opening Balance'!$G$4:$G$303,C525),INDEX($L$2:$L$3001,MATCH(C525&amp;"|"&amp;(H525-1),$I$2:$I$3001,0))))</f>
        <v/>
      </c>
      <c r="K525" s="6">
        <f>IF(C525="","",IF(M525&gt;0,M525,IF(AND(E525&gt;0,ROUND(J525+D525-E525,2)&gt;0,ROUND(J525+D525-E525,2)&lt;'Opening Balance'!$B$14),ROUND(J525+D525-E525,2),0)))</f>
        <v/>
      </c>
      <c r="L525" s="6">
        <f>IF(C525="","",ROUND(J525+D525-E525-K525,2))</f>
        <v/>
      </c>
      <c r="M525" s="6">
        <f>IF(C525="","",IF('Daily Sale entry '!Q525="Collection 收款",ROUND(N('Daily Sale entry '!T525),2),0))</f>
        <v/>
      </c>
    </row>
    <row r="526">
      <c r="A526" t="inlineStr">
        <is>
          <t>Entry 记录</t>
        </is>
      </c>
      <c r="B526" s="5">
        <f>IF('Daily Sale entry '!P526="","",'Daily Sale entry '!O526)</f>
        <v/>
      </c>
      <c r="C526">
        <f>IF('Daily Sale entry '!P526="","",'Daily Sale entry '!P526)</f>
        <v/>
      </c>
      <c r="D526">
        <f>IF(C526="","",IF('Daily Sale entry '!Q526="Credit Sale 赊销",'Daily Sale entry '!S526,0))</f>
        <v/>
      </c>
      <c r="E526">
        <f>IF(C526="","",IF('Daily Sale entry '!Q526="Collection 收款",'Daily Sale entry '!S526,0))</f>
        <v/>
      </c>
      <c r="F526" s="37">
        <f>IF(C526="","",B526+IF(E526&gt;0,0,0.5)+ROW()/10000000)</f>
        <v/>
      </c>
      <c r="G526">
        <f>IF(C526="","",'Daily Sale entry '!Q526&amp;IF('Daily Sale entry '!Q526="Collection 收款"," ("&amp;'Daily Sale entry '!R526&amp;")","")&amp;IF('Daily Sale entry '!U526="",""," - "&amp;'Daily Sale entry '!U526))</f>
        <v/>
      </c>
      <c r="H526">
        <f>IF(C526="","",COUNTIFS($C$2:$C$3001,C526,$F$2:$F$3001,"&lt;"&amp;F526)+1)</f>
        <v/>
      </c>
      <c r="I526">
        <f>IF(C526="","",C526&amp;"|"&amp;H526)</f>
        <v/>
      </c>
      <c r="J526" s="6">
        <f>IF(C526="","",IF(H526=1,SUMIFS('Opening Balance'!$F$4:$F$303,'Opening Balance'!$G$4:$G$303,C526),INDEX($L$2:$L$3001,MATCH(C526&amp;"|"&amp;(H526-1),$I$2:$I$3001,0))))</f>
        <v/>
      </c>
      <c r="K526" s="6">
        <f>IF(C526="","",IF(M526&gt;0,M526,IF(AND(E526&gt;0,ROUND(J526+D526-E526,2)&gt;0,ROUND(J526+D526-E526,2)&lt;'Opening Balance'!$B$14),ROUND(J526+D526-E526,2),0)))</f>
        <v/>
      </c>
      <c r="L526" s="6">
        <f>IF(C526="","",ROUND(J526+D526-E526-K526,2))</f>
        <v/>
      </c>
      <c r="M526" s="6">
        <f>IF(C526="","",IF('Daily Sale entry '!Q526="Collection 收款",ROUND(N('Daily Sale entry '!T526),2),0))</f>
        <v/>
      </c>
    </row>
    <row r="527">
      <c r="A527" t="inlineStr">
        <is>
          <t>Entry 记录</t>
        </is>
      </c>
      <c r="B527" s="5">
        <f>IF('Daily Sale entry '!P527="","",'Daily Sale entry '!O527)</f>
        <v/>
      </c>
      <c r="C527">
        <f>IF('Daily Sale entry '!P527="","",'Daily Sale entry '!P527)</f>
        <v/>
      </c>
      <c r="D527">
        <f>IF(C527="","",IF('Daily Sale entry '!Q527="Credit Sale 赊销",'Daily Sale entry '!S527,0))</f>
        <v/>
      </c>
      <c r="E527">
        <f>IF(C527="","",IF('Daily Sale entry '!Q527="Collection 收款",'Daily Sale entry '!S527,0))</f>
        <v/>
      </c>
      <c r="F527" s="37">
        <f>IF(C527="","",B527+IF(E527&gt;0,0,0.5)+ROW()/10000000)</f>
        <v/>
      </c>
      <c r="G527">
        <f>IF(C527="","",'Daily Sale entry '!Q527&amp;IF('Daily Sale entry '!Q527="Collection 收款"," ("&amp;'Daily Sale entry '!R527&amp;")","")&amp;IF('Daily Sale entry '!U527="",""," - "&amp;'Daily Sale entry '!U527))</f>
        <v/>
      </c>
      <c r="H527">
        <f>IF(C527="","",COUNTIFS($C$2:$C$3001,C527,$F$2:$F$3001,"&lt;"&amp;F527)+1)</f>
        <v/>
      </c>
      <c r="I527">
        <f>IF(C527="","",C527&amp;"|"&amp;H527)</f>
        <v/>
      </c>
      <c r="J527" s="6">
        <f>IF(C527="","",IF(H527=1,SUMIFS('Opening Balance'!$F$4:$F$303,'Opening Balance'!$G$4:$G$303,C527),INDEX($L$2:$L$3001,MATCH(C527&amp;"|"&amp;(H527-1),$I$2:$I$3001,0))))</f>
        <v/>
      </c>
      <c r="K527" s="6">
        <f>IF(C527="","",IF(M527&gt;0,M527,IF(AND(E527&gt;0,ROUND(J527+D527-E527,2)&gt;0,ROUND(J527+D527-E527,2)&lt;'Opening Balance'!$B$14),ROUND(J527+D527-E527,2),0)))</f>
        <v/>
      </c>
      <c r="L527" s="6">
        <f>IF(C527="","",ROUND(J527+D527-E527-K527,2))</f>
        <v/>
      </c>
      <c r="M527" s="6">
        <f>IF(C527="","",IF('Daily Sale entry '!Q527="Collection 收款",ROUND(N('Daily Sale entry '!T527),2),0))</f>
        <v/>
      </c>
    </row>
    <row r="528">
      <c r="A528" t="inlineStr">
        <is>
          <t>Entry 记录</t>
        </is>
      </c>
      <c r="B528" s="5">
        <f>IF('Daily Sale entry '!P528="","",'Daily Sale entry '!O528)</f>
        <v/>
      </c>
      <c r="C528">
        <f>IF('Daily Sale entry '!P528="","",'Daily Sale entry '!P528)</f>
        <v/>
      </c>
      <c r="D528">
        <f>IF(C528="","",IF('Daily Sale entry '!Q528="Credit Sale 赊销",'Daily Sale entry '!S528,0))</f>
        <v/>
      </c>
      <c r="E528">
        <f>IF(C528="","",IF('Daily Sale entry '!Q528="Collection 收款",'Daily Sale entry '!S528,0))</f>
        <v/>
      </c>
      <c r="F528" s="37">
        <f>IF(C528="","",B528+IF(E528&gt;0,0,0.5)+ROW()/10000000)</f>
        <v/>
      </c>
      <c r="G528">
        <f>IF(C528="","",'Daily Sale entry '!Q528&amp;IF('Daily Sale entry '!Q528="Collection 收款"," ("&amp;'Daily Sale entry '!R528&amp;")","")&amp;IF('Daily Sale entry '!U528="",""," - "&amp;'Daily Sale entry '!U528))</f>
        <v/>
      </c>
      <c r="H528">
        <f>IF(C528="","",COUNTIFS($C$2:$C$3001,C528,$F$2:$F$3001,"&lt;"&amp;F528)+1)</f>
        <v/>
      </c>
      <c r="I528">
        <f>IF(C528="","",C528&amp;"|"&amp;H528)</f>
        <v/>
      </c>
      <c r="J528" s="6">
        <f>IF(C528="","",IF(H528=1,SUMIFS('Opening Balance'!$F$4:$F$303,'Opening Balance'!$G$4:$G$303,C528),INDEX($L$2:$L$3001,MATCH(C528&amp;"|"&amp;(H528-1),$I$2:$I$3001,0))))</f>
        <v/>
      </c>
      <c r="K528" s="6">
        <f>IF(C528="","",IF(M528&gt;0,M528,IF(AND(E528&gt;0,ROUND(J528+D528-E528,2)&gt;0,ROUND(J528+D528-E528,2)&lt;'Opening Balance'!$B$14),ROUND(J528+D528-E528,2),0)))</f>
        <v/>
      </c>
      <c r="L528" s="6">
        <f>IF(C528="","",ROUND(J528+D528-E528-K528,2))</f>
        <v/>
      </c>
      <c r="M528" s="6">
        <f>IF(C528="","",IF('Daily Sale entry '!Q528="Collection 收款",ROUND(N('Daily Sale entry '!T528),2),0))</f>
        <v/>
      </c>
    </row>
    <row r="529">
      <c r="A529" t="inlineStr">
        <is>
          <t>Entry 记录</t>
        </is>
      </c>
      <c r="B529" s="5">
        <f>IF('Daily Sale entry '!P529="","",'Daily Sale entry '!O529)</f>
        <v/>
      </c>
      <c r="C529">
        <f>IF('Daily Sale entry '!P529="","",'Daily Sale entry '!P529)</f>
        <v/>
      </c>
      <c r="D529">
        <f>IF(C529="","",IF('Daily Sale entry '!Q529="Credit Sale 赊销",'Daily Sale entry '!S529,0))</f>
        <v/>
      </c>
      <c r="E529">
        <f>IF(C529="","",IF('Daily Sale entry '!Q529="Collection 收款",'Daily Sale entry '!S529,0))</f>
        <v/>
      </c>
      <c r="F529" s="37">
        <f>IF(C529="","",B529+IF(E529&gt;0,0,0.5)+ROW()/10000000)</f>
        <v/>
      </c>
      <c r="G529">
        <f>IF(C529="","",'Daily Sale entry '!Q529&amp;IF('Daily Sale entry '!Q529="Collection 收款"," ("&amp;'Daily Sale entry '!R529&amp;")","")&amp;IF('Daily Sale entry '!U529="",""," - "&amp;'Daily Sale entry '!U529))</f>
        <v/>
      </c>
      <c r="H529">
        <f>IF(C529="","",COUNTIFS($C$2:$C$3001,C529,$F$2:$F$3001,"&lt;"&amp;F529)+1)</f>
        <v/>
      </c>
      <c r="I529">
        <f>IF(C529="","",C529&amp;"|"&amp;H529)</f>
        <v/>
      </c>
      <c r="J529" s="6">
        <f>IF(C529="","",IF(H529=1,SUMIFS('Opening Balance'!$F$4:$F$303,'Opening Balance'!$G$4:$G$303,C529),INDEX($L$2:$L$3001,MATCH(C529&amp;"|"&amp;(H529-1),$I$2:$I$3001,0))))</f>
        <v/>
      </c>
      <c r="K529" s="6">
        <f>IF(C529="","",IF(M529&gt;0,M529,IF(AND(E529&gt;0,ROUND(J529+D529-E529,2)&gt;0,ROUND(J529+D529-E529,2)&lt;'Opening Balance'!$B$14),ROUND(J529+D529-E529,2),0)))</f>
        <v/>
      </c>
      <c r="L529" s="6">
        <f>IF(C529="","",ROUND(J529+D529-E529-K529,2))</f>
        <v/>
      </c>
      <c r="M529" s="6">
        <f>IF(C529="","",IF('Daily Sale entry '!Q529="Collection 收款",ROUND(N('Daily Sale entry '!T529),2),0))</f>
        <v/>
      </c>
    </row>
    <row r="530">
      <c r="A530" t="inlineStr">
        <is>
          <t>Entry 记录</t>
        </is>
      </c>
      <c r="B530" s="5">
        <f>IF('Daily Sale entry '!P530="","",'Daily Sale entry '!O530)</f>
        <v/>
      </c>
      <c r="C530">
        <f>IF('Daily Sale entry '!P530="","",'Daily Sale entry '!P530)</f>
        <v/>
      </c>
      <c r="D530">
        <f>IF(C530="","",IF('Daily Sale entry '!Q530="Credit Sale 赊销",'Daily Sale entry '!S530,0))</f>
        <v/>
      </c>
      <c r="E530">
        <f>IF(C530="","",IF('Daily Sale entry '!Q530="Collection 收款",'Daily Sale entry '!S530,0))</f>
        <v/>
      </c>
      <c r="F530" s="37">
        <f>IF(C530="","",B530+IF(E530&gt;0,0,0.5)+ROW()/10000000)</f>
        <v/>
      </c>
      <c r="G530">
        <f>IF(C530="","",'Daily Sale entry '!Q530&amp;IF('Daily Sale entry '!Q530="Collection 收款"," ("&amp;'Daily Sale entry '!R530&amp;")","")&amp;IF('Daily Sale entry '!U530="",""," - "&amp;'Daily Sale entry '!U530))</f>
        <v/>
      </c>
      <c r="H530">
        <f>IF(C530="","",COUNTIFS($C$2:$C$3001,C530,$F$2:$F$3001,"&lt;"&amp;F530)+1)</f>
        <v/>
      </c>
      <c r="I530">
        <f>IF(C530="","",C530&amp;"|"&amp;H530)</f>
        <v/>
      </c>
      <c r="J530" s="6">
        <f>IF(C530="","",IF(H530=1,SUMIFS('Opening Balance'!$F$4:$F$303,'Opening Balance'!$G$4:$G$303,C530),INDEX($L$2:$L$3001,MATCH(C530&amp;"|"&amp;(H530-1),$I$2:$I$3001,0))))</f>
        <v/>
      </c>
      <c r="K530" s="6">
        <f>IF(C530="","",IF(M530&gt;0,M530,IF(AND(E530&gt;0,ROUND(J530+D530-E530,2)&gt;0,ROUND(J530+D530-E530,2)&lt;'Opening Balance'!$B$14),ROUND(J530+D530-E530,2),0)))</f>
        <v/>
      </c>
      <c r="L530" s="6">
        <f>IF(C530="","",ROUND(J530+D530-E530-K530,2))</f>
        <v/>
      </c>
      <c r="M530" s="6">
        <f>IF(C530="","",IF('Daily Sale entry '!Q530="Collection 收款",ROUND(N('Daily Sale entry '!T530),2),0))</f>
        <v/>
      </c>
    </row>
    <row r="531">
      <c r="A531" t="inlineStr">
        <is>
          <t>Entry 记录</t>
        </is>
      </c>
      <c r="B531" s="5">
        <f>IF('Daily Sale entry '!P531="","",'Daily Sale entry '!O531)</f>
        <v/>
      </c>
      <c r="C531">
        <f>IF('Daily Sale entry '!P531="","",'Daily Sale entry '!P531)</f>
        <v/>
      </c>
      <c r="D531">
        <f>IF(C531="","",IF('Daily Sale entry '!Q531="Credit Sale 赊销",'Daily Sale entry '!S531,0))</f>
        <v/>
      </c>
      <c r="E531">
        <f>IF(C531="","",IF('Daily Sale entry '!Q531="Collection 收款",'Daily Sale entry '!S531,0))</f>
        <v/>
      </c>
      <c r="F531" s="37">
        <f>IF(C531="","",B531+IF(E531&gt;0,0,0.5)+ROW()/10000000)</f>
        <v/>
      </c>
      <c r="G531">
        <f>IF(C531="","",'Daily Sale entry '!Q531&amp;IF('Daily Sale entry '!Q531="Collection 收款"," ("&amp;'Daily Sale entry '!R531&amp;")","")&amp;IF('Daily Sale entry '!U531="",""," - "&amp;'Daily Sale entry '!U531))</f>
        <v/>
      </c>
      <c r="H531">
        <f>IF(C531="","",COUNTIFS($C$2:$C$3001,C531,$F$2:$F$3001,"&lt;"&amp;F531)+1)</f>
        <v/>
      </c>
      <c r="I531">
        <f>IF(C531="","",C531&amp;"|"&amp;H531)</f>
        <v/>
      </c>
      <c r="J531" s="6">
        <f>IF(C531="","",IF(H531=1,SUMIFS('Opening Balance'!$F$4:$F$303,'Opening Balance'!$G$4:$G$303,C531),INDEX($L$2:$L$3001,MATCH(C531&amp;"|"&amp;(H531-1),$I$2:$I$3001,0))))</f>
        <v/>
      </c>
      <c r="K531" s="6">
        <f>IF(C531="","",IF(M531&gt;0,M531,IF(AND(E531&gt;0,ROUND(J531+D531-E531,2)&gt;0,ROUND(J531+D531-E531,2)&lt;'Opening Balance'!$B$14),ROUND(J531+D531-E531,2),0)))</f>
        <v/>
      </c>
      <c r="L531" s="6">
        <f>IF(C531="","",ROUND(J531+D531-E531-K531,2))</f>
        <v/>
      </c>
      <c r="M531" s="6">
        <f>IF(C531="","",IF('Daily Sale entry '!Q531="Collection 收款",ROUND(N('Daily Sale entry '!T531),2),0))</f>
        <v/>
      </c>
    </row>
    <row r="532">
      <c r="A532" t="inlineStr">
        <is>
          <t>Entry 记录</t>
        </is>
      </c>
      <c r="B532" s="5">
        <f>IF('Daily Sale entry '!P532="","",'Daily Sale entry '!O532)</f>
        <v/>
      </c>
      <c r="C532">
        <f>IF('Daily Sale entry '!P532="","",'Daily Sale entry '!P532)</f>
        <v/>
      </c>
      <c r="D532">
        <f>IF(C532="","",IF('Daily Sale entry '!Q532="Credit Sale 赊销",'Daily Sale entry '!S532,0))</f>
        <v/>
      </c>
      <c r="E532">
        <f>IF(C532="","",IF('Daily Sale entry '!Q532="Collection 收款",'Daily Sale entry '!S532,0))</f>
        <v/>
      </c>
      <c r="F532" s="37">
        <f>IF(C532="","",B532+IF(E532&gt;0,0,0.5)+ROW()/10000000)</f>
        <v/>
      </c>
      <c r="G532">
        <f>IF(C532="","",'Daily Sale entry '!Q532&amp;IF('Daily Sale entry '!Q532="Collection 收款"," ("&amp;'Daily Sale entry '!R532&amp;")","")&amp;IF('Daily Sale entry '!U532="",""," - "&amp;'Daily Sale entry '!U532))</f>
        <v/>
      </c>
      <c r="H532">
        <f>IF(C532="","",COUNTIFS($C$2:$C$3001,C532,$F$2:$F$3001,"&lt;"&amp;F532)+1)</f>
        <v/>
      </c>
      <c r="I532">
        <f>IF(C532="","",C532&amp;"|"&amp;H532)</f>
        <v/>
      </c>
      <c r="J532" s="6">
        <f>IF(C532="","",IF(H532=1,SUMIFS('Opening Balance'!$F$4:$F$303,'Opening Balance'!$G$4:$G$303,C532),INDEX($L$2:$L$3001,MATCH(C532&amp;"|"&amp;(H532-1),$I$2:$I$3001,0))))</f>
        <v/>
      </c>
      <c r="K532" s="6">
        <f>IF(C532="","",IF(M532&gt;0,M532,IF(AND(E532&gt;0,ROUND(J532+D532-E532,2)&gt;0,ROUND(J532+D532-E532,2)&lt;'Opening Balance'!$B$14),ROUND(J532+D532-E532,2),0)))</f>
        <v/>
      </c>
      <c r="L532" s="6">
        <f>IF(C532="","",ROUND(J532+D532-E532-K532,2))</f>
        <v/>
      </c>
      <c r="M532" s="6">
        <f>IF(C532="","",IF('Daily Sale entry '!Q532="Collection 收款",ROUND(N('Daily Sale entry '!T532),2),0))</f>
        <v/>
      </c>
    </row>
    <row r="533">
      <c r="A533" t="inlineStr">
        <is>
          <t>Entry 记录</t>
        </is>
      </c>
      <c r="B533" s="5">
        <f>IF('Daily Sale entry '!P533="","",'Daily Sale entry '!O533)</f>
        <v/>
      </c>
      <c r="C533">
        <f>IF('Daily Sale entry '!P533="","",'Daily Sale entry '!P533)</f>
        <v/>
      </c>
      <c r="D533">
        <f>IF(C533="","",IF('Daily Sale entry '!Q533="Credit Sale 赊销",'Daily Sale entry '!S533,0))</f>
        <v/>
      </c>
      <c r="E533">
        <f>IF(C533="","",IF('Daily Sale entry '!Q533="Collection 收款",'Daily Sale entry '!S533,0))</f>
        <v/>
      </c>
      <c r="F533" s="37">
        <f>IF(C533="","",B533+IF(E533&gt;0,0,0.5)+ROW()/10000000)</f>
        <v/>
      </c>
      <c r="G533">
        <f>IF(C533="","",'Daily Sale entry '!Q533&amp;IF('Daily Sale entry '!Q533="Collection 收款"," ("&amp;'Daily Sale entry '!R533&amp;")","")&amp;IF('Daily Sale entry '!U533="",""," - "&amp;'Daily Sale entry '!U533))</f>
        <v/>
      </c>
      <c r="H533">
        <f>IF(C533="","",COUNTIFS($C$2:$C$3001,C533,$F$2:$F$3001,"&lt;"&amp;F533)+1)</f>
        <v/>
      </c>
      <c r="I533">
        <f>IF(C533="","",C533&amp;"|"&amp;H533)</f>
        <v/>
      </c>
      <c r="J533" s="6">
        <f>IF(C533="","",IF(H533=1,SUMIFS('Opening Balance'!$F$4:$F$303,'Opening Balance'!$G$4:$G$303,C533),INDEX($L$2:$L$3001,MATCH(C533&amp;"|"&amp;(H533-1),$I$2:$I$3001,0))))</f>
        <v/>
      </c>
      <c r="K533" s="6">
        <f>IF(C533="","",IF(M533&gt;0,M533,IF(AND(E533&gt;0,ROUND(J533+D533-E533,2)&gt;0,ROUND(J533+D533-E533,2)&lt;'Opening Balance'!$B$14),ROUND(J533+D533-E533,2),0)))</f>
        <v/>
      </c>
      <c r="L533" s="6">
        <f>IF(C533="","",ROUND(J533+D533-E533-K533,2))</f>
        <v/>
      </c>
      <c r="M533" s="6">
        <f>IF(C533="","",IF('Daily Sale entry '!Q533="Collection 收款",ROUND(N('Daily Sale entry '!T533),2),0))</f>
        <v/>
      </c>
    </row>
    <row r="534">
      <c r="A534" t="inlineStr">
        <is>
          <t>Entry 记录</t>
        </is>
      </c>
      <c r="B534" s="5">
        <f>IF('Daily Sale entry '!P534="","",'Daily Sale entry '!O534)</f>
        <v/>
      </c>
      <c r="C534">
        <f>IF('Daily Sale entry '!P534="","",'Daily Sale entry '!P534)</f>
        <v/>
      </c>
      <c r="D534">
        <f>IF(C534="","",IF('Daily Sale entry '!Q534="Credit Sale 赊销",'Daily Sale entry '!S534,0))</f>
        <v/>
      </c>
      <c r="E534">
        <f>IF(C534="","",IF('Daily Sale entry '!Q534="Collection 收款",'Daily Sale entry '!S534,0))</f>
        <v/>
      </c>
      <c r="F534" s="37">
        <f>IF(C534="","",B534+IF(E534&gt;0,0,0.5)+ROW()/10000000)</f>
        <v/>
      </c>
      <c r="G534">
        <f>IF(C534="","",'Daily Sale entry '!Q534&amp;IF('Daily Sale entry '!Q534="Collection 收款"," ("&amp;'Daily Sale entry '!R534&amp;")","")&amp;IF('Daily Sale entry '!U534="",""," - "&amp;'Daily Sale entry '!U534))</f>
        <v/>
      </c>
      <c r="H534">
        <f>IF(C534="","",COUNTIFS($C$2:$C$3001,C534,$F$2:$F$3001,"&lt;"&amp;F534)+1)</f>
        <v/>
      </c>
      <c r="I534">
        <f>IF(C534="","",C534&amp;"|"&amp;H534)</f>
        <v/>
      </c>
      <c r="J534" s="6">
        <f>IF(C534="","",IF(H534=1,SUMIFS('Opening Balance'!$F$4:$F$303,'Opening Balance'!$G$4:$G$303,C534),INDEX($L$2:$L$3001,MATCH(C534&amp;"|"&amp;(H534-1),$I$2:$I$3001,0))))</f>
        <v/>
      </c>
      <c r="K534" s="6">
        <f>IF(C534="","",IF(M534&gt;0,M534,IF(AND(E534&gt;0,ROUND(J534+D534-E534,2)&gt;0,ROUND(J534+D534-E534,2)&lt;'Opening Balance'!$B$14),ROUND(J534+D534-E534,2),0)))</f>
        <v/>
      </c>
      <c r="L534" s="6">
        <f>IF(C534="","",ROUND(J534+D534-E534-K534,2))</f>
        <v/>
      </c>
      <c r="M534" s="6">
        <f>IF(C534="","",IF('Daily Sale entry '!Q534="Collection 收款",ROUND(N('Daily Sale entry '!T534),2),0))</f>
        <v/>
      </c>
    </row>
    <row r="535">
      <c r="A535" t="inlineStr">
        <is>
          <t>Entry 记录</t>
        </is>
      </c>
      <c r="B535" s="5">
        <f>IF('Daily Sale entry '!P535="","",'Daily Sale entry '!O535)</f>
        <v/>
      </c>
      <c r="C535">
        <f>IF('Daily Sale entry '!P535="","",'Daily Sale entry '!P535)</f>
        <v/>
      </c>
      <c r="D535">
        <f>IF(C535="","",IF('Daily Sale entry '!Q535="Credit Sale 赊销",'Daily Sale entry '!S535,0))</f>
        <v/>
      </c>
      <c r="E535">
        <f>IF(C535="","",IF('Daily Sale entry '!Q535="Collection 收款",'Daily Sale entry '!S535,0))</f>
        <v/>
      </c>
      <c r="F535" s="37">
        <f>IF(C535="","",B535+IF(E535&gt;0,0,0.5)+ROW()/10000000)</f>
        <v/>
      </c>
      <c r="G535">
        <f>IF(C535="","",'Daily Sale entry '!Q535&amp;IF('Daily Sale entry '!Q535="Collection 收款"," ("&amp;'Daily Sale entry '!R535&amp;")","")&amp;IF('Daily Sale entry '!U535="",""," - "&amp;'Daily Sale entry '!U535))</f>
        <v/>
      </c>
      <c r="H535">
        <f>IF(C535="","",COUNTIFS($C$2:$C$3001,C535,$F$2:$F$3001,"&lt;"&amp;F535)+1)</f>
        <v/>
      </c>
      <c r="I535">
        <f>IF(C535="","",C535&amp;"|"&amp;H535)</f>
        <v/>
      </c>
      <c r="J535" s="6">
        <f>IF(C535="","",IF(H535=1,SUMIFS('Opening Balance'!$F$4:$F$303,'Opening Balance'!$G$4:$G$303,C535),INDEX($L$2:$L$3001,MATCH(C535&amp;"|"&amp;(H535-1),$I$2:$I$3001,0))))</f>
        <v/>
      </c>
      <c r="K535" s="6">
        <f>IF(C535="","",IF(M535&gt;0,M535,IF(AND(E535&gt;0,ROUND(J535+D535-E535,2)&gt;0,ROUND(J535+D535-E535,2)&lt;'Opening Balance'!$B$14),ROUND(J535+D535-E535,2),0)))</f>
        <v/>
      </c>
      <c r="L535" s="6">
        <f>IF(C535="","",ROUND(J535+D535-E535-K535,2))</f>
        <v/>
      </c>
      <c r="M535" s="6">
        <f>IF(C535="","",IF('Daily Sale entry '!Q535="Collection 收款",ROUND(N('Daily Sale entry '!T535),2),0))</f>
        <v/>
      </c>
    </row>
    <row r="536">
      <c r="A536" t="inlineStr">
        <is>
          <t>Entry 记录</t>
        </is>
      </c>
      <c r="B536" s="5">
        <f>IF('Daily Sale entry '!P536="","",'Daily Sale entry '!O536)</f>
        <v/>
      </c>
      <c r="C536">
        <f>IF('Daily Sale entry '!P536="","",'Daily Sale entry '!P536)</f>
        <v/>
      </c>
      <c r="D536">
        <f>IF(C536="","",IF('Daily Sale entry '!Q536="Credit Sale 赊销",'Daily Sale entry '!S536,0))</f>
        <v/>
      </c>
      <c r="E536">
        <f>IF(C536="","",IF('Daily Sale entry '!Q536="Collection 收款",'Daily Sale entry '!S536,0))</f>
        <v/>
      </c>
      <c r="F536" s="37">
        <f>IF(C536="","",B536+IF(E536&gt;0,0,0.5)+ROW()/10000000)</f>
        <v/>
      </c>
      <c r="G536">
        <f>IF(C536="","",'Daily Sale entry '!Q536&amp;IF('Daily Sale entry '!Q536="Collection 收款"," ("&amp;'Daily Sale entry '!R536&amp;")","")&amp;IF('Daily Sale entry '!U536="",""," - "&amp;'Daily Sale entry '!U536))</f>
        <v/>
      </c>
      <c r="H536">
        <f>IF(C536="","",COUNTIFS($C$2:$C$3001,C536,$F$2:$F$3001,"&lt;"&amp;F536)+1)</f>
        <v/>
      </c>
      <c r="I536">
        <f>IF(C536="","",C536&amp;"|"&amp;H536)</f>
        <v/>
      </c>
      <c r="J536" s="6">
        <f>IF(C536="","",IF(H536=1,SUMIFS('Opening Balance'!$F$4:$F$303,'Opening Balance'!$G$4:$G$303,C536),INDEX($L$2:$L$3001,MATCH(C536&amp;"|"&amp;(H536-1),$I$2:$I$3001,0))))</f>
        <v/>
      </c>
      <c r="K536" s="6">
        <f>IF(C536="","",IF(M536&gt;0,M536,IF(AND(E536&gt;0,ROUND(J536+D536-E536,2)&gt;0,ROUND(J536+D536-E536,2)&lt;'Opening Balance'!$B$14),ROUND(J536+D536-E536,2),0)))</f>
        <v/>
      </c>
      <c r="L536" s="6">
        <f>IF(C536="","",ROUND(J536+D536-E536-K536,2))</f>
        <v/>
      </c>
      <c r="M536" s="6">
        <f>IF(C536="","",IF('Daily Sale entry '!Q536="Collection 收款",ROUND(N('Daily Sale entry '!T536),2),0))</f>
        <v/>
      </c>
    </row>
    <row r="537">
      <c r="A537" t="inlineStr">
        <is>
          <t>Entry 记录</t>
        </is>
      </c>
      <c r="B537" s="5">
        <f>IF('Daily Sale entry '!P537="","",'Daily Sale entry '!O537)</f>
        <v/>
      </c>
      <c r="C537">
        <f>IF('Daily Sale entry '!P537="","",'Daily Sale entry '!P537)</f>
        <v/>
      </c>
      <c r="D537">
        <f>IF(C537="","",IF('Daily Sale entry '!Q537="Credit Sale 赊销",'Daily Sale entry '!S537,0))</f>
        <v/>
      </c>
      <c r="E537">
        <f>IF(C537="","",IF('Daily Sale entry '!Q537="Collection 收款",'Daily Sale entry '!S537,0))</f>
        <v/>
      </c>
      <c r="F537" s="37">
        <f>IF(C537="","",B537+IF(E537&gt;0,0,0.5)+ROW()/10000000)</f>
        <v/>
      </c>
      <c r="G537">
        <f>IF(C537="","",'Daily Sale entry '!Q537&amp;IF('Daily Sale entry '!Q537="Collection 收款"," ("&amp;'Daily Sale entry '!R537&amp;")","")&amp;IF('Daily Sale entry '!U537="",""," - "&amp;'Daily Sale entry '!U537))</f>
        <v/>
      </c>
      <c r="H537">
        <f>IF(C537="","",COUNTIFS($C$2:$C$3001,C537,$F$2:$F$3001,"&lt;"&amp;F537)+1)</f>
        <v/>
      </c>
      <c r="I537">
        <f>IF(C537="","",C537&amp;"|"&amp;H537)</f>
        <v/>
      </c>
      <c r="J537" s="6">
        <f>IF(C537="","",IF(H537=1,SUMIFS('Opening Balance'!$F$4:$F$303,'Opening Balance'!$G$4:$G$303,C537),INDEX($L$2:$L$3001,MATCH(C537&amp;"|"&amp;(H537-1),$I$2:$I$3001,0))))</f>
        <v/>
      </c>
      <c r="K537" s="6">
        <f>IF(C537="","",IF(M537&gt;0,M537,IF(AND(E537&gt;0,ROUND(J537+D537-E537,2)&gt;0,ROUND(J537+D537-E537,2)&lt;'Opening Balance'!$B$14),ROUND(J537+D537-E537,2),0)))</f>
        <v/>
      </c>
      <c r="L537" s="6">
        <f>IF(C537="","",ROUND(J537+D537-E537-K537,2))</f>
        <v/>
      </c>
      <c r="M537" s="6">
        <f>IF(C537="","",IF('Daily Sale entry '!Q537="Collection 收款",ROUND(N('Daily Sale entry '!T537),2),0))</f>
        <v/>
      </c>
    </row>
    <row r="538">
      <c r="A538" t="inlineStr">
        <is>
          <t>Entry 记录</t>
        </is>
      </c>
      <c r="B538" s="5">
        <f>IF('Daily Sale entry '!P538="","",'Daily Sale entry '!O538)</f>
        <v/>
      </c>
      <c r="C538">
        <f>IF('Daily Sale entry '!P538="","",'Daily Sale entry '!P538)</f>
        <v/>
      </c>
      <c r="D538">
        <f>IF(C538="","",IF('Daily Sale entry '!Q538="Credit Sale 赊销",'Daily Sale entry '!S538,0))</f>
        <v/>
      </c>
      <c r="E538">
        <f>IF(C538="","",IF('Daily Sale entry '!Q538="Collection 收款",'Daily Sale entry '!S538,0))</f>
        <v/>
      </c>
      <c r="F538" s="37">
        <f>IF(C538="","",B538+IF(E538&gt;0,0,0.5)+ROW()/10000000)</f>
        <v/>
      </c>
      <c r="G538">
        <f>IF(C538="","",'Daily Sale entry '!Q538&amp;IF('Daily Sale entry '!Q538="Collection 收款"," ("&amp;'Daily Sale entry '!R538&amp;")","")&amp;IF('Daily Sale entry '!U538="",""," - "&amp;'Daily Sale entry '!U538))</f>
        <v/>
      </c>
      <c r="H538">
        <f>IF(C538="","",COUNTIFS($C$2:$C$3001,C538,$F$2:$F$3001,"&lt;"&amp;F538)+1)</f>
        <v/>
      </c>
      <c r="I538">
        <f>IF(C538="","",C538&amp;"|"&amp;H538)</f>
        <v/>
      </c>
      <c r="J538" s="6">
        <f>IF(C538="","",IF(H538=1,SUMIFS('Opening Balance'!$F$4:$F$303,'Opening Balance'!$G$4:$G$303,C538),INDEX($L$2:$L$3001,MATCH(C538&amp;"|"&amp;(H538-1),$I$2:$I$3001,0))))</f>
        <v/>
      </c>
      <c r="K538" s="6">
        <f>IF(C538="","",IF(M538&gt;0,M538,IF(AND(E538&gt;0,ROUND(J538+D538-E538,2)&gt;0,ROUND(J538+D538-E538,2)&lt;'Opening Balance'!$B$14),ROUND(J538+D538-E538,2),0)))</f>
        <v/>
      </c>
      <c r="L538" s="6">
        <f>IF(C538="","",ROUND(J538+D538-E538-K538,2))</f>
        <v/>
      </c>
      <c r="M538" s="6">
        <f>IF(C538="","",IF('Daily Sale entry '!Q538="Collection 收款",ROUND(N('Daily Sale entry '!T538),2),0))</f>
        <v/>
      </c>
    </row>
    <row r="539">
      <c r="A539" t="inlineStr">
        <is>
          <t>Entry 记录</t>
        </is>
      </c>
      <c r="B539" s="5">
        <f>IF('Daily Sale entry '!P539="","",'Daily Sale entry '!O539)</f>
        <v/>
      </c>
      <c r="C539">
        <f>IF('Daily Sale entry '!P539="","",'Daily Sale entry '!P539)</f>
        <v/>
      </c>
      <c r="D539">
        <f>IF(C539="","",IF('Daily Sale entry '!Q539="Credit Sale 赊销",'Daily Sale entry '!S539,0))</f>
        <v/>
      </c>
      <c r="E539">
        <f>IF(C539="","",IF('Daily Sale entry '!Q539="Collection 收款",'Daily Sale entry '!S539,0))</f>
        <v/>
      </c>
      <c r="F539" s="37">
        <f>IF(C539="","",B539+IF(E539&gt;0,0,0.5)+ROW()/10000000)</f>
        <v/>
      </c>
      <c r="G539">
        <f>IF(C539="","",'Daily Sale entry '!Q539&amp;IF('Daily Sale entry '!Q539="Collection 收款"," ("&amp;'Daily Sale entry '!R539&amp;")","")&amp;IF('Daily Sale entry '!U539="",""," - "&amp;'Daily Sale entry '!U539))</f>
        <v/>
      </c>
      <c r="H539">
        <f>IF(C539="","",COUNTIFS($C$2:$C$3001,C539,$F$2:$F$3001,"&lt;"&amp;F539)+1)</f>
        <v/>
      </c>
      <c r="I539">
        <f>IF(C539="","",C539&amp;"|"&amp;H539)</f>
        <v/>
      </c>
      <c r="J539" s="6">
        <f>IF(C539="","",IF(H539=1,SUMIFS('Opening Balance'!$F$4:$F$303,'Opening Balance'!$G$4:$G$303,C539),INDEX($L$2:$L$3001,MATCH(C539&amp;"|"&amp;(H539-1),$I$2:$I$3001,0))))</f>
        <v/>
      </c>
      <c r="K539" s="6">
        <f>IF(C539="","",IF(M539&gt;0,M539,IF(AND(E539&gt;0,ROUND(J539+D539-E539,2)&gt;0,ROUND(J539+D539-E539,2)&lt;'Opening Balance'!$B$14),ROUND(J539+D539-E539,2),0)))</f>
        <v/>
      </c>
      <c r="L539" s="6">
        <f>IF(C539="","",ROUND(J539+D539-E539-K539,2))</f>
        <v/>
      </c>
      <c r="M539" s="6">
        <f>IF(C539="","",IF('Daily Sale entry '!Q539="Collection 收款",ROUND(N('Daily Sale entry '!T539),2),0))</f>
        <v/>
      </c>
    </row>
    <row r="540">
      <c r="A540" t="inlineStr">
        <is>
          <t>Entry 记录</t>
        </is>
      </c>
      <c r="B540" s="5">
        <f>IF('Daily Sale entry '!P540="","",'Daily Sale entry '!O540)</f>
        <v/>
      </c>
      <c r="C540">
        <f>IF('Daily Sale entry '!P540="","",'Daily Sale entry '!P540)</f>
        <v/>
      </c>
      <c r="D540">
        <f>IF(C540="","",IF('Daily Sale entry '!Q540="Credit Sale 赊销",'Daily Sale entry '!S540,0))</f>
        <v/>
      </c>
      <c r="E540">
        <f>IF(C540="","",IF('Daily Sale entry '!Q540="Collection 收款",'Daily Sale entry '!S540,0))</f>
        <v/>
      </c>
      <c r="F540" s="37">
        <f>IF(C540="","",B540+IF(E540&gt;0,0,0.5)+ROW()/10000000)</f>
        <v/>
      </c>
      <c r="G540">
        <f>IF(C540="","",'Daily Sale entry '!Q540&amp;IF('Daily Sale entry '!Q540="Collection 收款"," ("&amp;'Daily Sale entry '!R540&amp;")","")&amp;IF('Daily Sale entry '!U540="",""," - "&amp;'Daily Sale entry '!U540))</f>
        <v/>
      </c>
      <c r="H540">
        <f>IF(C540="","",COUNTIFS($C$2:$C$3001,C540,$F$2:$F$3001,"&lt;"&amp;F540)+1)</f>
        <v/>
      </c>
      <c r="I540">
        <f>IF(C540="","",C540&amp;"|"&amp;H540)</f>
        <v/>
      </c>
      <c r="J540" s="6">
        <f>IF(C540="","",IF(H540=1,SUMIFS('Opening Balance'!$F$4:$F$303,'Opening Balance'!$G$4:$G$303,C540),INDEX($L$2:$L$3001,MATCH(C540&amp;"|"&amp;(H540-1),$I$2:$I$3001,0))))</f>
        <v/>
      </c>
      <c r="K540" s="6">
        <f>IF(C540="","",IF(M540&gt;0,M540,IF(AND(E540&gt;0,ROUND(J540+D540-E540,2)&gt;0,ROUND(J540+D540-E540,2)&lt;'Opening Balance'!$B$14),ROUND(J540+D540-E540,2),0)))</f>
        <v/>
      </c>
      <c r="L540" s="6">
        <f>IF(C540="","",ROUND(J540+D540-E540-K540,2))</f>
        <v/>
      </c>
      <c r="M540" s="6">
        <f>IF(C540="","",IF('Daily Sale entry '!Q540="Collection 收款",ROUND(N('Daily Sale entry '!T540),2),0))</f>
        <v/>
      </c>
    </row>
    <row r="541">
      <c r="A541" t="inlineStr">
        <is>
          <t>Entry 记录</t>
        </is>
      </c>
      <c r="B541" s="5">
        <f>IF('Daily Sale entry '!P541="","",'Daily Sale entry '!O541)</f>
        <v/>
      </c>
      <c r="C541">
        <f>IF('Daily Sale entry '!P541="","",'Daily Sale entry '!P541)</f>
        <v/>
      </c>
      <c r="D541">
        <f>IF(C541="","",IF('Daily Sale entry '!Q541="Credit Sale 赊销",'Daily Sale entry '!S541,0))</f>
        <v/>
      </c>
      <c r="E541">
        <f>IF(C541="","",IF('Daily Sale entry '!Q541="Collection 收款",'Daily Sale entry '!S541,0))</f>
        <v/>
      </c>
      <c r="F541" s="37">
        <f>IF(C541="","",B541+IF(E541&gt;0,0,0.5)+ROW()/10000000)</f>
        <v/>
      </c>
      <c r="G541">
        <f>IF(C541="","",'Daily Sale entry '!Q541&amp;IF('Daily Sale entry '!Q541="Collection 收款"," ("&amp;'Daily Sale entry '!R541&amp;")","")&amp;IF('Daily Sale entry '!U541="",""," - "&amp;'Daily Sale entry '!U541))</f>
        <v/>
      </c>
      <c r="H541">
        <f>IF(C541="","",COUNTIFS($C$2:$C$3001,C541,$F$2:$F$3001,"&lt;"&amp;F541)+1)</f>
        <v/>
      </c>
      <c r="I541">
        <f>IF(C541="","",C541&amp;"|"&amp;H541)</f>
        <v/>
      </c>
      <c r="J541" s="6">
        <f>IF(C541="","",IF(H541=1,SUMIFS('Opening Balance'!$F$4:$F$303,'Opening Balance'!$G$4:$G$303,C541),INDEX($L$2:$L$3001,MATCH(C541&amp;"|"&amp;(H541-1),$I$2:$I$3001,0))))</f>
        <v/>
      </c>
      <c r="K541" s="6">
        <f>IF(C541="","",IF(M541&gt;0,M541,IF(AND(E541&gt;0,ROUND(J541+D541-E541,2)&gt;0,ROUND(J541+D541-E541,2)&lt;'Opening Balance'!$B$14),ROUND(J541+D541-E541,2),0)))</f>
        <v/>
      </c>
      <c r="L541" s="6">
        <f>IF(C541="","",ROUND(J541+D541-E541-K541,2))</f>
        <v/>
      </c>
      <c r="M541" s="6">
        <f>IF(C541="","",IF('Daily Sale entry '!Q541="Collection 收款",ROUND(N('Daily Sale entry '!T541),2),0))</f>
        <v/>
      </c>
    </row>
    <row r="542">
      <c r="A542" t="inlineStr">
        <is>
          <t>Entry 记录</t>
        </is>
      </c>
      <c r="B542" s="5">
        <f>IF('Daily Sale entry '!P542="","",'Daily Sale entry '!O542)</f>
        <v/>
      </c>
      <c r="C542">
        <f>IF('Daily Sale entry '!P542="","",'Daily Sale entry '!P542)</f>
        <v/>
      </c>
      <c r="D542">
        <f>IF(C542="","",IF('Daily Sale entry '!Q542="Credit Sale 赊销",'Daily Sale entry '!S542,0))</f>
        <v/>
      </c>
      <c r="E542">
        <f>IF(C542="","",IF('Daily Sale entry '!Q542="Collection 收款",'Daily Sale entry '!S542,0))</f>
        <v/>
      </c>
      <c r="F542" s="37">
        <f>IF(C542="","",B542+IF(E542&gt;0,0,0.5)+ROW()/10000000)</f>
        <v/>
      </c>
      <c r="G542">
        <f>IF(C542="","",'Daily Sale entry '!Q542&amp;IF('Daily Sale entry '!Q542="Collection 收款"," ("&amp;'Daily Sale entry '!R542&amp;")","")&amp;IF('Daily Sale entry '!U542="",""," - "&amp;'Daily Sale entry '!U542))</f>
        <v/>
      </c>
      <c r="H542">
        <f>IF(C542="","",COUNTIFS($C$2:$C$3001,C542,$F$2:$F$3001,"&lt;"&amp;F542)+1)</f>
        <v/>
      </c>
      <c r="I542">
        <f>IF(C542="","",C542&amp;"|"&amp;H542)</f>
        <v/>
      </c>
      <c r="J542" s="6">
        <f>IF(C542="","",IF(H542=1,SUMIFS('Opening Balance'!$F$4:$F$303,'Opening Balance'!$G$4:$G$303,C542),INDEX($L$2:$L$3001,MATCH(C542&amp;"|"&amp;(H542-1),$I$2:$I$3001,0))))</f>
        <v/>
      </c>
      <c r="K542" s="6">
        <f>IF(C542="","",IF(M542&gt;0,M542,IF(AND(E542&gt;0,ROUND(J542+D542-E542,2)&gt;0,ROUND(J542+D542-E542,2)&lt;'Opening Balance'!$B$14),ROUND(J542+D542-E542,2),0)))</f>
        <v/>
      </c>
      <c r="L542" s="6">
        <f>IF(C542="","",ROUND(J542+D542-E542-K542,2))</f>
        <v/>
      </c>
      <c r="M542" s="6">
        <f>IF(C542="","",IF('Daily Sale entry '!Q542="Collection 收款",ROUND(N('Daily Sale entry '!T542),2),0))</f>
        <v/>
      </c>
    </row>
    <row r="543">
      <c r="A543" t="inlineStr">
        <is>
          <t>Entry 记录</t>
        </is>
      </c>
      <c r="B543" s="5">
        <f>IF('Daily Sale entry '!P543="","",'Daily Sale entry '!O543)</f>
        <v/>
      </c>
      <c r="C543">
        <f>IF('Daily Sale entry '!P543="","",'Daily Sale entry '!P543)</f>
        <v/>
      </c>
      <c r="D543">
        <f>IF(C543="","",IF('Daily Sale entry '!Q543="Credit Sale 赊销",'Daily Sale entry '!S543,0))</f>
        <v/>
      </c>
      <c r="E543">
        <f>IF(C543="","",IF('Daily Sale entry '!Q543="Collection 收款",'Daily Sale entry '!S543,0))</f>
        <v/>
      </c>
      <c r="F543" s="37">
        <f>IF(C543="","",B543+IF(E543&gt;0,0,0.5)+ROW()/10000000)</f>
        <v/>
      </c>
      <c r="G543">
        <f>IF(C543="","",'Daily Sale entry '!Q543&amp;IF('Daily Sale entry '!Q543="Collection 收款"," ("&amp;'Daily Sale entry '!R543&amp;")","")&amp;IF('Daily Sale entry '!U543="",""," - "&amp;'Daily Sale entry '!U543))</f>
        <v/>
      </c>
      <c r="H543">
        <f>IF(C543="","",COUNTIFS($C$2:$C$3001,C543,$F$2:$F$3001,"&lt;"&amp;F543)+1)</f>
        <v/>
      </c>
      <c r="I543">
        <f>IF(C543="","",C543&amp;"|"&amp;H543)</f>
        <v/>
      </c>
      <c r="J543" s="6">
        <f>IF(C543="","",IF(H543=1,SUMIFS('Opening Balance'!$F$4:$F$303,'Opening Balance'!$G$4:$G$303,C543),INDEX($L$2:$L$3001,MATCH(C543&amp;"|"&amp;(H543-1),$I$2:$I$3001,0))))</f>
        <v/>
      </c>
      <c r="K543" s="6">
        <f>IF(C543="","",IF(M543&gt;0,M543,IF(AND(E543&gt;0,ROUND(J543+D543-E543,2)&gt;0,ROUND(J543+D543-E543,2)&lt;'Opening Balance'!$B$14),ROUND(J543+D543-E543,2),0)))</f>
        <v/>
      </c>
      <c r="L543" s="6">
        <f>IF(C543="","",ROUND(J543+D543-E543-K543,2))</f>
        <v/>
      </c>
      <c r="M543" s="6">
        <f>IF(C543="","",IF('Daily Sale entry '!Q543="Collection 收款",ROUND(N('Daily Sale entry '!T543),2),0))</f>
        <v/>
      </c>
    </row>
    <row r="544">
      <c r="A544" t="inlineStr">
        <is>
          <t>Entry 记录</t>
        </is>
      </c>
      <c r="B544" s="5">
        <f>IF('Daily Sale entry '!P544="","",'Daily Sale entry '!O544)</f>
        <v/>
      </c>
      <c r="C544">
        <f>IF('Daily Sale entry '!P544="","",'Daily Sale entry '!P544)</f>
        <v/>
      </c>
      <c r="D544">
        <f>IF(C544="","",IF('Daily Sale entry '!Q544="Credit Sale 赊销",'Daily Sale entry '!S544,0))</f>
        <v/>
      </c>
      <c r="E544">
        <f>IF(C544="","",IF('Daily Sale entry '!Q544="Collection 收款",'Daily Sale entry '!S544,0))</f>
        <v/>
      </c>
      <c r="F544" s="37">
        <f>IF(C544="","",B544+IF(E544&gt;0,0,0.5)+ROW()/10000000)</f>
        <v/>
      </c>
      <c r="G544">
        <f>IF(C544="","",'Daily Sale entry '!Q544&amp;IF('Daily Sale entry '!Q544="Collection 收款"," ("&amp;'Daily Sale entry '!R544&amp;")","")&amp;IF('Daily Sale entry '!U544="",""," - "&amp;'Daily Sale entry '!U544))</f>
        <v/>
      </c>
      <c r="H544">
        <f>IF(C544="","",COUNTIFS($C$2:$C$3001,C544,$F$2:$F$3001,"&lt;"&amp;F544)+1)</f>
        <v/>
      </c>
      <c r="I544">
        <f>IF(C544="","",C544&amp;"|"&amp;H544)</f>
        <v/>
      </c>
      <c r="J544" s="6">
        <f>IF(C544="","",IF(H544=1,SUMIFS('Opening Balance'!$F$4:$F$303,'Opening Balance'!$G$4:$G$303,C544),INDEX($L$2:$L$3001,MATCH(C544&amp;"|"&amp;(H544-1),$I$2:$I$3001,0))))</f>
        <v/>
      </c>
      <c r="K544" s="6">
        <f>IF(C544="","",IF(M544&gt;0,M544,IF(AND(E544&gt;0,ROUND(J544+D544-E544,2)&gt;0,ROUND(J544+D544-E544,2)&lt;'Opening Balance'!$B$14),ROUND(J544+D544-E544,2),0)))</f>
        <v/>
      </c>
      <c r="L544" s="6">
        <f>IF(C544="","",ROUND(J544+D544-E544-K544,2))</f>
        <v/>
      </c>
      <c r="M544" s="6">
        <f>IF(C544="","",IF('Daily Sale entry '!Q544="Collection 收款",ROUND(N('Daily Sale entry '!T544),2),0))</f>
        <v/>
      </c>
    </row>
    <row r="545">
      <c r="A545" t="inlineStr">
        <is>
          <t>Entry 记录</t>
        </is>
      </c>
      <c r="B545" s="5">
        <f>IF('Daily Sale entry '!P545="","",'Daily Sale entry '!O545)</f>
        <v/>
      </c>
      <c r="C545">
        <f>IF('Daily Sale entry '!P545="","",'Daily Sale entry '!P545)</f>
        <v/>
      </c>
      <c r="D545">
        <f>IF(C545="","",IF('Daily Sale entry '!Q545="Credit Sale 赊销",'Daily Sale entry '!S545,0))</f>
        <v/>
      </c>
      <c r="E545">
        <f>IF(C545="","",IF('Daily Sale entry '!Q545="Collection 收款",'Daily Sale entry '!S545,0))</f>
        <v/>
      </c>
      <c r="F545" s="37">
        <f>IF(C545="","",B545+IF(E545&gt;0,0,0.5)+ROW()/10000000)</f>
        <v/>
      </c>
      <c r="G545">
        <f>IF(C545="","",'Daily Sale entry '!Q545&amp;IF('Daily Sale entry '!Q545="Collection 收款"," ("&amp;'Daily Sale entry '!R545&amp;")","")&amp;IF('Daily Sale entry '!U545="",""," - "&amp;'Daily Sale entry '!U545))</f>
        <v/>
      </c>
      <c r="H545">
        <f>IF(C545="","",COUNTIFS($C$2:$C$3001,C545,$F$2:$F$3001,"&lt;"&amp;F545)+1)</f>
        <v/>
      </c>
      <c r="I545">
        <f>IF(C545="","",C545&amp;"|"&amp;H545)</f>
        <v/>
      </c>
      <c r="J545" s="6">
        <f>IF(C545="","",IF(H545=1,SUMIFS('Opening Balance'!$F$4:$F$303,'Opening Balance'!$G$4:$G$303,C545),INDEX($L$2:$L$3001,MATCH(C545&amp;"|"&amp;(H545-1),$I$2:$I$3001,0))))</f>
        <v/>
      </c>
      <c r="K545" s="6">
        <f>IF(C545="","",IF(M545&gt;0,M545,IF(AND(E545&gt;0,ROUND(J545+D545-E545,2)&gt;0,ROUND(J545+D545-E545,2)&lt;'Opening Balance'!$B$14),ROUND(J545+D545-E545,2),0)))</f>
        <v/>
      </c>
      <c r="L545" s="6">
        <f>IF(C545="","",ROUND(J545+D545-E545-K545,2))</f>
        <v/>
      </c>
      <c r="M545" s="6">
        <f>IF(C545="","",IF('Daily Sale entry '!Q545="Collection 收款",ROUND(N('Daily Sale entry '!T545),2),0))</f>
        <v/>
      </c>
    </row>
    <row r="546">
      <c r="A546" t="inlineStr">
        <is>
          <t>Entry 记录</t>
        </is>
      </c>
      <c r="B546" s="5">
        <f>IF('Daily Sale entry '!P546="","",'Daily Sale entry '!O546)</f>
        <v/>
      </c>
      <c r="C546">
        <f>IF('Daily Sale entry '!P546="","",'Daily Sale entry '!P546)</f>
        <v/>
      </c>
      <c r="D546">
        <f>IF(C546="","",IF('Daily Sale entry '!Q546="Credit Sale 赊销",'Daily Sale entry '!S546,0))</f>
        <v/>
      </c>
      <c r="E546">
        <f>IF(C546="","",IF('Daily Sale entry '!Q546="Collection 收款",'Daily Sale entry '!S546,0))</f>
        <v/>
      </c>
      <c r="F546" s="37">
        <f>IF(C546="","",B546+IF(E546&gt;0,0,0.5)+ROW()/10000000)</f>
        <v/>
      </c>
      <c r="G546">
        <f>IF(C546="","",'Daily Sale entry '!Q546&amp;IF('Daily Sale entry '!Q546="Collection 收款"," ("&amp;'Daily Sale entry '!R546&amp;")","")&amp;IF('Daily Sale entry '!U546="",""," - "&amp;'Daily Sale entry '!U546))</f>
        <v/>
      </c>
      <c r="H546">
        <f>IF(C546="","",COUNTIFS($C$2:$C$3001,C546,$F$2:$F$3001,"&lt;"&amp;F546)+1)</f>
        <v/>
      </c>
      <c r="I546">
        <f>IF(C546="","",C546&amp;"|"&amp;H546)</f>
        <v/>
      </c>
      <c r="J546" s="6">
        <f>IF(C546="","",IF(H546=1,SUMIFS('Opening Balance'!$F$4:$F$303,'Opening Balance'!$G$4:$G$303,C546),INDEX($L$2:$L$3001,MATCH(C546&amp;"|"&amp;(H546-1),$I$2:$I$3001,0))))</f>
        <v/>
      </c>
      <c r="K546" s="6">
        <f>IF(C546="","",IF(M546&gt;0,M546,IF(AND(E546&gt;0,ROUND(J546+D546-E546,2)&gt;0,ROUND(J546+D546-E546,2)&lt;'Opening Balance'!$B$14),ROUND(J546+D546-E546,2),0)))</f>
        <v/>
      </c>
      <c r="L546" s="6">
        <f>IF(C546="","",ROUND(J546+D546-E546-K546,2))</f>
        <v/>
      </c>
      <c r="M546" s="6">
        <f>IF(C546="","",IF('Daily Sale entry '!Q546="Collection 收款",ROUND(N('Daily Sale entry '!T546),2),0))</f>
        <v/>
      </c>
    </row>
    <row r="547">
      <c r="A547" t="inlineStr">
        <is>
          <t>Entry 记录</t>
        </is>
      </c>
      <c r="B547" s="5">
        <f>IF('Daily Sale entry '!P547="","",'Daily Sale entry '!O547)</f>
        <v/>
      </c>
      <c r="C547">
        <f>IF('Daily Sale entry '!P547="","",'Daily Sale entry '!P547)</f>
        <v/>
      </c>
      <c r="D547">
        <f>IF(C547="","",IF('Daily Sale entry '!Q547="Credit Sale 赊销",'Daily Sale entry '!S547,0))</f>
        <v/>
      </c>
      <c r="E547">
        <f>IF(C547="","",IF('Daily Sale entry '!Q547="Collection 收款",'Daily Sale entry '!S547,0))</f>
        <v/>
      </c>
      <c r="F547" s="37">
        <f>IF(C547="","",B547+IF(E547&gt;0,0,0.5)+ROW()/10000000)</f>
        <v/>
      </c>
      <c r="G547">
        <f>IF(C547="","",'Daily Sale entry '!Q547&amp;IF('Daily Sale entry '!Q547="Collection 收款"," ("&amp;'Daily Sale entry '!R547&amp;")","")&amp;IF('Daily Sale entry '!U547="",""," - "&amp;'Daily Sale entry '!U547))</f>
        <v/>
      </c>
      <c r="H547">
        <f>IF(C547="","",COUNTIFS($C$2:$C$3001,C547,$F$2:$F$3001,"&lt;"&amp;F547)+1)</f>
        <v/>
      </c>
      <c r="I547">
        <f>IF(C547="","",C547&amp;"|"&amp;H547)</f>
        <v/>
      </c>
      <c r="J547" s="6">
        <f>IF(C547="","",IF(H547=1,SUMIFS('Opening Balance'!$F$4:$F$303,'Opening Balance'!$G$4:$G$303,C547),INDEX($L$2:$L$3001,MATCH(C547&amp;"|"&amp;(H547-1),$I$2:$I$3001,0))))</f>
        <v/>
      </c>
      <c r="K547" s="6">
        <f>IF(C547="","",IF(M547&gt;0,M547,IF(AND(E547&gt;0,ROUND(J547+D547-E547,2)&gt;0,ROUND(J547+D547-E547,2)&lt;'Opening Balance'!$B$14),ROUND(J547+D547-E547,2),0)))</f>
        <v/>
      </c>
      <c r="L547" s="6">
        <f>IF(C547="","",ROUND(J547+D547-E547-K547,2))</f>
        <v/>
      </c>
      <c r="M547" s="6">
        <f>IF(C547="","",IF('Daily Sale entry '!Q547="Collection 收款",ROUND(N('Daily Sale entry '!T547),2),0))</f>
        <v/>
      </c>
    </row>
    <row r="548">
      <c r="A548" t="inlineStr">
        <is>
          <t>Entry 记录</t>
        </is>
      </c>
      <c r="B548" s="5">
        <f>IF('Daily Sale entry '!P548="","",'Daily Sale entry '!O548)</f>
        <v/>
      </c>
      <c r="C548">
        <f>IF('Daily Sale entry '!P548="","",'Daily Sale entry '!P548)</f>
        <v/>
      </c>
      <c r="D548">
        <f>IF(C548="","",IF('Daily Sale entry '!Q548="Credit Sale 赊销",'Daily Sale entry '!S548,0))</f>
        <v/>
      </c>
      <c r="E548">
        <f>IF(C548="","",IF('Daily Sale entry '!Q548="Collection 收款",'Daily Sale entry '!S548,0))</f>
        <v/>
      </c>
      <c r="F548" s="37">
        <f>IF(C548="","",B548+IF(E548&gt;0,0,0.5)+ROW()/10000000)</f>
        <v/>
      </c>
      <c r="G548">
        <f>IF(C548="","",'Daily Sale entry '!Q548&amp;IF('Daily Sale entry '!Q548="Collection 收款"," ("&amp;'Daily Sale entry '!R548&amp;")","")&amp;IF('Daily Sale entry '!U548="",""," - "&amp;'Daily Sale entry '!U548))</f>
        <v/>
      </c>
      <c r="H548">
        <f>IF(C548="","",COUNTIFS($C$2:$C$3001,C548,$F$2:$F$3001,"&lt;"&amp;F548)+1)</f>
        <v/>
      </c>
      <c r="I548">
        <f>IF(C548="","",C548&amp;"|"&amp;H548)</f>
        <v/>
      </c>
      <c r="J548" s="6">
        <f>IF(C548="","",IF(H548=1,SUMIFS('Opening Balance'!$F$4:$F$303,'Opening Balance'!$G$4:$G$303,C548),INDEX($L$2:$L$3001,MATCH(C548&amp;"|"&amp;(H548-1),$I$2:$I$3001,0))))</f>
        <v/>
      </c>
      <c r="K548" s="6">
        <f>IF(C548="","",IF(M548&gt;0,M548,IF(AND(E548&gt;0,ROUND(J548+D548-E548,2)&gt;0,ROUND(J548+D548-E548,2)&lt;'Opening Balance'!$B$14),ROUND(J548+D548-E548,2),0)))</f>
        <v/>
      </c>
      <c r="L548" s="6">
        <f>IF(C548="","",ROUND(J548+D548-E548-K548,2))</f>
        <v/>
      </c>
      <c r="M548" s="6">
        <f>IF(C548="","",IF('Daily Sale entry '!Q548="Collection 收款",ROUND(N('Daily Sale entry '!T548),2),0))</f>
        <v/>
      </c>
    </row>
    <row r="549">
      <c r="A549" t="inlineStr">
        <is>
          <t>Entry 记录</t>
        </is>
      </c>
      <c r="B549" s="5">
        <f>IF('Daily Sale entry '!P549="","",'Daily Sale entry '!O549)</f>
        <v/>
      </c>
      <c r="C549">
        <f>IF('Daily Sale entry '!P549="","",'Daily Sale entry '!P549)</f>
        <v/>
      </c>
      <c r="D549">
        <f>IF(C549="","",IF('Daily Sale entry '!Q549="Credit Sale 赊销",'Daily Sale entry '!S549,0))</f>
        <v/>
      </c>
      <c r="E549">
        <f>IF(C549="","",IF('Daily Sale entry '!Q549="Collection 收款",'Daily Sale entry '!S549,0))</f>
        <v/>
      </c>
      <c r="F549" s="37">
        <f>IF(C549="","",B549+IF(E549&gt;0,0,0.5)+ROW()/10000000)</f>
        <v/>
      </c>
      <c r="G549">
        <f>IF(C549="","",'Daily Sale entry '!Q549&amp;IF('Daily Sale entry '!Q549="Collection 收款"," ("&amp;'Daily Sale entry '!R549&amp;")","")&amp;IF('Daily Sale entry '!U549="",""," - "&amp;'Daily Sale entry '!U549))</f>
        <v/>
      </c>
      <c r="H549">
        <f>IF(C549="","",COUNTIFS($C$2:$C$3001,C549,$F$2:$F$3001,"&lt;"&amp;F549)+1)</f>
        <v/>
      </c>
      <c r="I549">
        <f>IF(C549="","",C549&amp;"|"&amp;H549)</f>
        <v/>
      </c>
      <c r="J549" s="6">
        <f>IF(C549="","",IF(H549=1,SUMIFS('Opening Balance'!$F$4:$F$303,'Opening Balance'!$G$4:$G$303,C549),INDEX($L$2:$L$3001,MATCH(C549&amp;"|"&amp;(H549-1),$I$2:$I$3001,0))))</f>
        <v/>
      </c>
      <c r="K549" s="6">
        <f>IF(C549="","",IF(M549&gt;0,M549,IF(AND(E549&gt;0,ROUND(J549+D549-E549,2)&gt;0,ROUND(J549+D549-E549,2)&lt;'Opening Balance'!$B$14),ROUND(J549+D549-E549,2),0)))</f>
        <v/>
      </c>
      <c r="L549" s="6">
        <f>IF(C549="","",ROUND(J549+D549-E549-K549,2))</f>
        <v/>
      </c>
      <c r="M549" s="6">
        <f>IF(C549="","",IF('Daily Sale entry '!Q549="Collection 收款",ROUND(N('Daily Sale entry '!T549),2),0))</f>
        <v/>
      </c>
    </row>
    <row r="550">
      <c r="A550" t="inlineStr">
        <is>
          <t>Entry 记录</t>
        </is>
      </c>
      <c r="B550" s="5">
        <f>IF('Daily Sale entry '!P550="","",'Daily Sale entry '!O550)</f>
        <v/>
      </c>
      <c r="C550">
        <f>IF('Daily Sale entry '!P550="","",'Daily Sale entry '!P550)</f>
        <v/>
      </c>
      <c r="D550">
        <f>IF(C550="","",IF('Daily Sale entry '!Q550="Credit Sale 赊销",'Daily Sale entry '!S550,0))</f>
        <v/>
      </c>
      <c r="E550">
        <f>IF(C550="","",IF('Daily Sale entry '!Q550="Collection 收款",'Daily Sale entry '!S550,0))</f>
        <v/>
      </c>
      <c r="F550" s="37">
        <f>IF(C550="","",B550+IF(E550&gt;0,0,0.5)+ROW()/10000000)</f>
        <v/>
      </c>
      <c r="G550">
        <f>IF(C550="","",'Daily Sale entry '!Q550&amp;IF('Daily Sale entry '!Q550="Collection 收款"," ("&amp;'Daily Sale entry '!R550&amp;")","")&amp;IF('Daily Sale entry '!U550="",""," - "&amp;'Daily Sale entry '!U550))</f>
        <v/>
      </c>
      <c r="H550">
        <f>IF(C550="","",COUNTIFS($C$2:$C$3001,C550,$F$2:$F$3001,"&lt;"&amp;F550)+1)</f>
        <v/>
      </c>
      <c r="I550">
        <f>IF(C550="","",C550&amp;"|"&amp;H550)</f>
        <v/>
      </c>
      <c r="J550" s="6">
        <f>IF(C550="","",IF(H550=1,SUMIFS('Opening Balance'!$F$4:$F$303,'Opening Balance'!$G$4:$G$303,C550),INDEX($L$2:$L$3001,MATCH(C550&amp;"|"&amp;(H550-1),$I$2:$I$3001,0))))</f>
        <v/>
      </c>
      <c r="K550" s="6">
        <f>IF(C550="","",IF(M550&gt;0,M550,IF(AND(E550&gt;0,ROUND(J550+D550-E550,2)&gt;0,ROUND(J550+D550-E550,2)&lt;'Opening Balance'!$B$14),ROUND(J550+D550-E550,2),0)))</f>
        <v/>
      </c>
      <c r="L550" s="6">
        <f>IF(C550="","",ROUND(J550+D550-E550-K550,2))</f>
        <v/>
      </c>
      <c r="M550" s="6">
        <f>IF(C550="","",IF('Daily Sale entry '!Q550="Collection 收款",ROUND(N('Daily Sale entry '!T550),2),0))</f>
        <v/>
      </c>
    </row>
    <row r="551">
      <c r="A551" t="inlineStr">
        <is>
          <t>Entry 记录</t>
        </is>
      </c>
      <c r="B551" s="5">
        <f>IF('Daily Sale entry '!P551="","",'Daily Sale entry '!O551)</f>
        <v/>
      </c>
      <c r="C551">
        <f>IF('Daily Sale entry '!P551="","",'Daily Sale entry '!P551)</f>
        <v/>
      </c>
      <c r="D551">
        <f>IF(C551="","",IF('Daily Sale entry '!Q551="Credit Sale 赊销",'Daily Sale entry '!S551,0))</f>
        <v/>
      </c>
      <c r="E551">
        <f>IF(C551="","",IF('Daily Sale entry '!Q551="Collection 收款",'Daily Sale entry '!S551,0))</f>
        <v/>
      </c>
      <c r="F551" s="37">
        <f>IF(C551="","",B551+IF(E551&gt;0,0,0.5)+ROW()/10000000)</f>
        <v/>
      </c>
      <c r="G551">
        <f>IF(C551="","",'Daily Sale entry '!Q551&amp;IF('Daily Sale entry '!Q551="Collection 收款"," ("&amp;'Daily Sale entry '!R551&amp;")","")&amp;IF('Daily Sale entry '!U551="",""," - "&amp;'Daily Sale entry '!U551))</f>
        <v/>
      </c>
      <c r="H551">
        <f>IF(C551="","",COUNTIFS($C$2:$C$3001,C551,$F$2:$F$3001,"&lt;"&amp;F551)+1)</f>
        <v/>
      </c>
      <c r="I551">
        <f>IF(C551="","",C551&amp;"|"&amp;H551)</f>
        <v/>
      </c>
      <c r="J551" s="6">
        <f>IF(C551="","",IF(H551=1,SUMIFS('Opening Balance'!$F$4:$F$303,'Opening Balance'!$G$4:$G$303,C551),INDEX($L$2:$L$3001,MATCH(C551&amp;"|"&amp;(H551-1),$I$2:$I$3001,0))))</f>
        <v/>
      </c>
      <c r="K551" s="6">
        <f>IF(C551="","",IF(M551&gt;0,M551,IF(AND(E551&gt;0,ROUND(J551+D551-E551,2)&gt;0,ROUND(J551+D551-E551,2)&lt;'Opening Balance'!$B$14),ROUND(J551+D551-E551,2),0)))</f>
        <v/>
      </c>
      <c r="L551" s="6">
        <f>IF(C551="","",ROUND(J551+D551-E551-K551,2))</f>
        <v/>
      </c>
      <c r="M551" s="6">
        <f>IF(C551="","",IF('Daily Sale entry '!Q551="Collection 收款",ROUND(N('Daily Sale entry '!T551),2),0))</f>
        <v/>
      </c>
    </row>
    <row r="552">
      <c r="A552" t="inlineStr">
        <is>
          <t>Entry 记录</t>
        </is>
      </c>
      <c r="B552" s="5">
        <f>IF('Daily Sale entry '!P552="","",'Daily Sale entry '!O552)</f>
        <v/>
      </c>
      <c r="C552">
        <f>IF('Daily Sale entry '!P552="","",'Daily Sale entry '!P552)</f>
        <v/>
      </c>
      <c r="D552">
        <f>IF(C552="","",IF('Daily Sale entry '!Q552="Credit Sale 赊销",'Daily Sale entry '!S552,0))</f>
        <v/>
      </c>
      <c r="E552">
        <f>IF(C552="","",IF('Daily Sale entry '!Q552="Collection 收款",'Daily Sale entry '!S552,0))</f>
        <v/>
      </c>
      <c r="F552" s="37">
        <f>IF(C552="","",B552+IF(E552&gt;0,0,0.5)+ROW()/10000000)</f>
        <v/>
      </c>
      <c r="G552">
        <f>IF(C552="","",'Daily Sale entry '!Q552&amp;IF('Daily Sale entry '!Q552="Collection 收款"," ("&amp;'Daily Sale entry '!R552&amp;")","")&amp;IF('Daily Sale entry '!U552="",""," - "&amp;'Daily Sale entry '!U552))</f>
        <v/>
      </c>
      <c r="H552">
        <f>IF(C552="","",COUNTIFS($C$2:$C$3001,C552,$F$2:$F$3001,"&lt;"&amp;F552)+1)</f>
        <v/>
      </c>
      <c r="I552">
        <f>IF(C552="","",C552&amp;"|"&amp;H552)</f>
        <v/>
      </c>
      <c r="J552" s="6">
        <f>IF(C552="","",IF(H552=1,SUMIFS('Opening Balance'!$F$4:$F$303,'Opening Balance'!$G$4:$G$303,C552),INDEX($L$2:$L$3001,MATCH(C552&amp;"|"&amp;(H552-1),$I$2:$I$3001,0))))</f>
        <v/>
      </c>
      <c r="K552" s="6">
        <f>IF(C552="","",IF(M552&gt;0,M552,IF(AND(E552&gt;0,ROUND(J552+D552-E552,2)&gt;0,ROUND(J552+D552-E552,2)&lt;'Opening Balance'!$B$14),ROUND(J552+D552-E552,2),0)))</f>
        <v/>
      </c>
      <c r="L552" s="6">
        <f>IF(C552="","",ROUND(J552+D552-E552-K552,2))</f>
        <v/>
      </c>
      <c r="M552" s="6">
        <f>IF(C552="","",IF('Daily Sale entry '!Q552="Collection 收款",ROUND(N('Daily Sale entry '!T552),2),0))</f>
        <v/>
      </c>
    </row>
    <row r="553">
      <c r="A553" t="inlineStr">
        <is>
          <t>Entry 记录</t>
        </is>
      </c>
      <c r="B553" s="5">
        <f>IF('Daily Sale entry '!P553="","",'Daily Sale entry '!O553)</f>
        <v/>
      </c>
      <c r="C553">
        <f>IF('Daily Sale entry '!P553="","",'Daily Sale entry '!P553)</f>
        <v/>
      </c>
      <c r="D553">
        <f>IF(C553="","",IF('Daily Sale entry '!Q553="Credit Sale 赊销",'Daily Sale entry '!S553,0))</f>
        <v/>
      </c>
      <c r="E553">
        <f>IF(C553="","",IF('Daily Sale entry '!Q553="Collection 收款",'Daily Sale entry '!S553,0))</f>
        <v/>
      </c>
      <c r="F553" s="37">
        <f>IF(C553="","",B553+IF(E553&gt;0,0,0.5)+ROW()/10000000)</f>
        <v/>
      </c>
      <c r="G553">
        <f>IF(C553="","",'Daily Sale entry '!Q553&amp;IF('Daily Sale entry '!Q553="Collection 收款"," ("&amp;'Daily Sale entry '!R553&amp;")","")&amp;IF('Daily Sale entry '!U553="",""," - "&amp;'Daily Sale entry '!U553))</f>
        <v/>
      </c>
      <c r="H553">
        <f>IF(C553="","",COUNTIFS($C$2:$C$3001,C553,$F$2:$F$3001,"&lt;"&amp;F553)+1)</f>
        <v/>
      </c>
      <c r="I553">
        <f>IF(C553="","",C553&amp;"|"&amp;H553)</f>
        <v/>
      </c>
      <c r="J553" s="6">
        <f>IF(C553="","",IF(H553=1,SUMIFS('Opening Balance'!$F$4:$F$303,'Opening Balance'!$G$4:$G$303,C553),INDEX($L$2:$L$3001,MATCH(C553&amp;"|"&amp;(H553-1),$I$2:$I$3001,0))))</f>
        <v/>
      </c>
      <c r="K553" s="6">
        <f>IF(C553="","",IF(M553&gt;0,M553,IF(AND(E553&gt;0,ROUND(J553+D553-E553,2)&gt;0,ROUND(J553+D553-E553,2)&lt;'Opening Balance'!$B$14),ROUND(J553+D553-E553,2),0)))</f>
        <v/>
      </c>
      <c r="L553" s="6">
        <f>IF(C553="","",ROUND(J553+D553-E553-K553,2))</f>
        <v/>
      </c>
      <c r="M553" s="6">
        <f>IF(C553="","",IF('Daily Sale entry '!Q553="Collection 收款",ROUND(N('Daily Sale entry '!T553),2),0))</f>
        <v/>
      </c>
    </row>
    <row r="554">
      <c r="A554" t="inlineStr">
        <is>
          <t>Entry 记录</t>
        </is>
      </c>
      <c r="B554" s="5">
        <f>IF('Daily Sale entry '!P554="","",'Daily Sale entry '!O554)</f>
        <v/>
      </c>
      <c r="C554">
        <f>IF('Daily Sale entry '!P554="","",'Daily Sale entry '!P554)</f>
        <v/>
      </c>
      <c r="D554">
        <f>IF(C554="","",IF('Daily Sale entry '!Q554="Credit Sale 赊销",'Daily Sale entry '!S554,0))</f>
        <v/>
      </c>
      <c r="E554">
        <f>IF(C554="","",IF('Daily Sale entry '!Q554="Collection 收款",'Daily Sale entry '!S554,0))</f>
        <v/>
      </c>
      <c r="F554" s="37">
        <f>IF(C554="","",B554+IF(E554&gt;0,0,0.5)+ROW()/10000000)</f>
        <v/>
      </c>
      <c r="G554">
        <f>IF(C554="","",'Daily Sale entry '!Q554&amp;IF('Daily Sale entry '!Q554="Collection 收款"," ("&amp;'Daily Sale entry '!R554&amp;")","")&amp;IF('Daily Sale entry '!U554="",""," - "&amp;'Daily Sale entry '!U554))</f>
        <v/>
      </c>
      <c r="H554">
        <f>IF(C554="","",COUNTIFS($C$2:$C$3001,C554,$F$2:$F$3001,"&lt;"&amp;F554)+1)</f>
        <v/>
      </c>
      <c r="I554">
        <f>IF(C554="","",C554&amp;"|"&amp;H554)</f>
        <v/>
      </c>
      <c r="J554" s="6">
        <f>IF(C554="","",IF(H554=1,SUMIFS('Opening Balance'!$F$4:$F$303,'Opening Balance'!$G$4:$G$303,C554),INDEX($L$2:$L$3001,MATCH(C554&amp;"|"&amp;(H554-1),$I$2:$I$3001,0))))</f>
        <v/>
      </c>
      <c r="K554" s="6">
        <f>IF(C554="","",IF(M554&gt;0,M554,IF(AND(E554&gt;0,ROUND(J554+D554-E554,2)&gt;0,ROUND(J554+D554-E554,2)&lt;'Opening Balance'!$B$14),ROUND(J554+D554-E554,2),0)))</f>
        <v/>
      </c>
      <c r="L554" s="6">
        <f>IF(C554="","",ROUND(J554+D554-E554-K554,2))</f>
        <v/>
      </c>
      <c r="M554" s="6">
        <f>IF(C554="","",IF('Daily Sale entry '!Q554="Collection 收款",ROUND(N('Daily Sale entry '!T554),2),0))</f>
        <v/>
      </c>
    </row>
    <row r="555">
      <c r="A555" t="inlineStr">
        <is>
          <t>Entry 记录</t>
        </is>
      </c>
      <c r="B555" s="5">
        <f>IF('Daily Sale entry '!P555="","",'Daily Sale entry '!O555)</f>
        <v/>
      </c>
      <c r="C555">
        <f>IF('Daily Sale entry '!P555="","",'Daily Sale entry '!P555)</f>
        <v/>
      </c>
      <c r="D555">
        <f>IF(C555="","",IF('Daily Sale entry '!Q555="Credit Sale 赊销",'Daily Sale entry '!S555,0))</f>
        <v/>
      </c>
      <c r="E555">
        <f>IF(C555="","",IF('Daily Sale entry '!Q555="Collection 收款",'Daily Sale entry '!S555,0))</f>
        <v/>
      </c>
      <c r="F555" s="37">
        <f>IF(C555="","",B555+IF(E555&gt;0,0,0.5)+ROW()/10000000)</f>
        <v/>
      </c>
      <c r="G555">
        <f>IF(C555="","",'Daily Sale entry '!Q555&amp;IF('Daily Sale entry '!Q555="Collection 收款"," ("&amp;'Daily Sale entry '!R555&amp;")","")&amp;IF('Daily Sale entry '!U555="",""," - "&amp;'Daily Sale entry '!U555))</f>
        <v/>
      </c>
      <c r="H555">
        <f>IF(C555="","",COUNTIFS($C$2:$C$3001,C555,$F$2:$F$3001,"&lt;"&amp;F555)+1)</f>
        <v/>
      </c>
      <c r="I555">
        <f>IF(C555="","",C555&amp;"|"&amp;H555)</f>
        <v/>
      </c>
      <c r="J555" s="6">
        <f>IF(C555="","",IF(H555=1,SUMIFS('Opening Balance'!$F$4:$F$303,'Opening Balance'!$G$4:$G$303,C555),INDEX($L$2:$L$3001,MATCH(C555&amp;"|"&amp;(H555-1),$I$2:$I$3001,0))))</f>
        <v/>
      </c>
      <c r="K555" s="6">
        <f>IF(C555="","",IF(M555&gt;0,M555,IF(AND(E555&gt;0,ROUND(J555+D555-E555,2)&gt;0,ROUND(J555+D555-E555,2)&lt;'Opening Balance'!$B$14),ROUND(J555+D555-E555,2),0)))</f>
        <v/>
      </c>
      <c r="L555" s="6">
        <f>IF(C555="","",ROUND(J555+D555-E555-K555,2))</f>
        <v/>
      </c>
      <c r="M555" s="6">
        <f>IF(C555="","",IF('Daily Sale entry '!Q555="Collection 收款",ROUND(N('Daily Sale entry '!T555),2),0))</f>
        <v/>
      </c>
    </row>
    <row r="556">
      <c r="A556" t="inlineStr">
        <is>
          <t>Entry 记录</t>
        </is>
      </c>
      <c r="B556" s="5">
        <f>IF('Daily Sale entry '!P556="","",'Daily Sale entry '!O556)</f>
        <v/>
      </c>
      <c r="C556">
        <f>IF('Daily Sale entry '!P556="","",'Daily Sale entry '!P556)</f>
        <v/>
      </c>
      <c r="D556">
        <f>IF(C556="","",IF('Daily Sale entry '!Q556="Credit Sale 赊销",'Daily Sale entry '!S556,0))</f>
        <v/>
      </c>
      <c r="E556">
        <f>IF(C556="","",IF('Daily Sale entry '!Q556="Collection 收款",'Daily Sale entry '!S556,0))</f>
        <v/>
      </c>
      <c r="F556" s="37">
        <f>IF(C556="","",B556+IF(E556&gt;0,0,0.5)+ROW()/10000000)</f>
        <v/>
      </c>
      <c r="G556">
        <f>IF(C556="","",'Daily Sale entry '!Q556&amp;IF('Daily Sale entry '!Q556="Collection 收款"," ("&amp;'Daily Sale entry '!R556&amp;")","")&amp;IF('Daily Sale entry '!U556="",""," - "&amp;'Daily Sale entry '!U556))</f>
        <v/>
      </c>
      <c r="H556">
        <f>IF(C556="","",COUNTIFS($C$2:$C$3001,C556,$F$2:$F$3001,"&lt;"&amp;F556)+1)</f>
        <v/>
      </c>
      <c r="I556">
        <f>IF(C556="","",C556&amp;"|"&amp;H556)</f>
        <v/>
      </c>
      <c r="J556" s="6">
        <f>IF(C556="","",IF(H556=1,SUMIFS('Opening Balance'!$F$4:$F$303,'Opening Balance'!$G$4:$G$303,C556),INDEX($L$2:$L$3001,MATCH(C556&amp;"|"&amp;(H556-1),$I$2:$I$3001,0))))</f>
        <v/>
      </c>
      <c r="K556" s="6">
        <f>IF(C556="","",IF(M556&gt;0,M556,IF(AND(E556&gt;0,ROUND(J556+D556-E556,2)&gt;0,ROUND(J556+D556-E556,2)&lt;'Opening Balance'!$B$14),ROUND(J556+D556-E556,2),0)))</f>
        <v/>
      </c>
      <c r="L556" s="6">
        <f>IF(C556="","",ROUND(J556+D556-E556-K556,2))</f>
        <v/>
      </c>
      <c r="M556" s="6">
        <f>IF(C556="","",IF('Daily Sale entry '!Q556="Collection 收款",ROUND(N('Daily Sale entry '!T556),2),0))</f>
        <v/>
      </c>
    </row>
    <row r="557">
      <c r="A557" t="inlineStr">
        <is>
          <t>Entry 记录</t>
        </is>
      </c>
      <c r="B557" s="5">
        <f>IF('Daily Sale entry '!P557="","",'Daily Sale entry '!O557)</f>
        <v/>
      </c>
      <c r="C557">
        <f>IF('Daily Sale entry '!P557="","",'Daily Sale entry '!P557)</f>
        <v/>
      </c>
      <c r="D557">
        <f>IF(C557="","",IF('Daily Sale entry '!Q557="Credit Sale 赊销",'Daily Sale entry '!S557,0))</f>
        <v/>
      </c>
      <c r="E557">
        <f>IF(C557="","",IF('Daily Sale entry '!Q557="Collection 收款",'Daily Sale entry '!S557,0))</f>
        <v/>
      </c>
      <c r="F557" s="37">
        <f>IF(C557="","",B557+IF(E557&gt;0,0,0.5)+ROW()/10000000)</f>
        <v/>
      </c>
      <c r="G557">
        <f>IF(C557="","",'Daily Sale entry '!Q557&amp;IF('Daily Sale entry '!Q557="Collection 收款"," ("&amp;'Daily Sale entry '!R557&amp;")","")&amp;IF('Daily Sale entry '!U557="",""," - "&amp;'Daily Sale entry '!U557))</f>
        <v/>
      </c>
      <c r="H557">
        <f>IF(C557="","",COUNTIFS($C$2:$C$3001,C557,$F$2:$F$3001,"&lt;"&amp;F557)+1)</f>
        <v/>
      </c>
      <c r="I557">
        <f>IF(C557="","",C557&amp;"|"&amp;H557)</f>
        <v/>
      </c>
      <c r="J557" s="6">
        <f>IF(C557="","",IF(H557=1,SUMIFS('Opening Balance'!$F$4:$F$303,'Opening Balance'!$G$4:$G$303,C557),INDEX($L$2:$L$3001,MATCH(C557&amp;"|"&amp;(H557-1),$I$2:$I$3001,0))))</f>
        <v/>
      </c>
      <c r="K557" s="6">
        <f>IF(C557="","",IF(M557&gt;0,M557,IF(AND(E557&gt;0,ROUND(J557+D557-E557,2)&gt;0,ROUND(J557+D557-E557,2)&lt;'Opening Balance'!$B$14),ROUND(J557+D557-E557,2),0)))</f>
        <v/>
      </c>
      <c r="L557" s="6">
        <f>IF(C557="","",ROUND(J557+D557-E557-K557,2))</f>
        <v/>
      </c>
      <c r="M557" s="6">
        <f>IF(C557="","",IF('Daily Sale entry '!Q557="Collection 收款",ROUND(N('Daily Sale entry '!T557),2),0))</f>
        <v/>
      </c>
    </row>
    <row r="558">
      <c r="A558" t="inlineStr">
        <is>
          <t>Entry 记录</t>
        </is>
      </c>
      <c r="B558" s="5">
        <f>IF('Daily Sale entry '!P558="","",'Daily Sale entry '!O558)</f>
        <v/>
      </c>
      <c r="C558">
        <f>IF('Daily Sale entry '!P558="","",'Daily Sale entry '!P558)</f>
        <v/>
      </c>
      <c r="D558">
        <f>IF(C558="","",IF('Daily Sale entry '!Q558="Credit Sale 赊销",'Daily Sale entry '!S558,0))</f>
        <v/>
      </c>
      <c r="E558">
        <f>IF(C558="","",IF('Daily Sale entry '!Q558="Collection 收款",'Daily Sale entry '!S558,0))</f>
        <v/>
      </c>
      <c r="F558" s="37">
        <f>IF(C558="","",B558+IF(E558&gt;0,0,0.5)+ROW()/10000000)</f>
        <v/>
      </c>
      <c r="G558">
        <f>IF(C558="","",'Daily Sale entry '!Q558&amp;IF('Daily Sale entry '!Q558="Collection 收款"," ("&amp;'Daily Sale entry '!R558&amp;")","")&amp;IF('Daily Sale entry '!U558="",""," - "&amp;'Daily Sale entry '!U558))</f>
        <v/>
      </c>
      <c r="H558">
        <f>IF(C558="","",COUNTIFS($C$2:$C$3001,C558,$F$2:$F$3001,"&lt;"&amp;F558)+1)</f>
        <v/>
      </c>
      <c r="I558">
        <f>IF(C558="","",C558&amp;"|"&amp;H558)</f>
        <v/>
      </c>
      <c r="J558" s="6">
        <f>IF(C558="","",IF(H558=1,SUMIFS('Opening Balance'!$F$4:$F$303,'Opening Balance'!$G$4:$G$303,C558),INDEX($L$2:$L$3001,MATCH(C558&amp;"|"&amp;(H558-1),$I$2:$I$3001,0))))</f>
        <v/>
      </c>
      <c r="K558" s="6">
        <f>IF(C558="","",IF(M558&gt;0,M558,IF(AND(E558&gt;0,ROUND(J558+D558-E558,2)&gt;0,ROUND(J558+D558-E558,2)&lt;'Opening Balance'!$B$14),ROUND(J558+D558-E558,2),0)))</f>
        <v/>
      </c>
      <c r="L558" s="6">
        <f>IF(C558="","",ROUND(J558+D558-E558-K558,2))</f>
        <v/>
      </c>
      <c r="M558" s="6">
        <f>IF(C558="","",IF('Daily Sale entry '!Q558="Collection 收款",ROUND(N('Daily Sale entry '!T558),2),0))</f>
        <v/>
      </c>
    </row>
    <row r="559">
      <c r="A559" t="inlineStr">
        <is>
          <t>Entry 记录</t>
        </is>
      </c>
      <c r="B559" s="5">
        <f>IF('Daily Sale entry '!P559="","",'Daily Sale entry '!O559)</f>
        <v/>
      </c>
      <c r="C559">
        <f>IF('Daily Sale entry '!P559="","",'Daily Sale entry '!P559)</f>
        <v/>
      </c>
      <c r="D559">
        <f>IF(C559="","",IF('Daily Sale entry '!Q559="Credit Sale 赊销",'Daily Sale entry '!S559,0))</f>
        <v/>
      </c>
      <c r="E559">
        <f>IF(C559="","",IF('Daily Sale entry '!Q559="Collection 收款",'Daily Sale entry '!S559,0))</f>
        <v/>
      </c>
      <c r="F559" s="37">
        <f>IF(C559="","",B559+IF(E559&gt;0,0,0.5)+ROW()/10000000)</f>
        <v/>
      </c>
      <c r="G559">
        <f>IF(C559="","",'Daily Sale entry '!Q559&amp;IF('Daily Sale entry '!Q559="Collection 收款"," ("&amp;'Daily Sale entry '!R559&amp;")","")&amp;IF('Daily Sale entry '!U559="",""," - "&amp;'Daily Sale entry '!U559))</f>
        <v/>
      </c>
      <c r="H559">
        <f>IF(C559="","",COUNTIFS($C$2:$C$3001,C559,$F$2:$F$3001,"&lt;"&amp;F559)+1)</f>
        <v/>
      </c>
      <c r="I559">
        <f>IF(C559="","",C559&amp;"|"&amp;H559)</f>
        <v/>
      </c>
      <c r="J559" s="6">
        <f>IF(C559="","",IF(H559=1,SUMIFS('Opening Balance'!$F$4:$F$303,'Opening Balance'!$G$4:$G$303,C559),INDEX($L$2:$L$3001,MATCH(C559&amp;"|"&amp;(H559-1),$I$2:$I$3001,0))))</f>
        <v/>
      </c>
      <c r="K559" s="6">
        <f>IF(C559="","",IF(M559&gt;0,M559,IF(AND(E559&gt;0,ROUND(J559+D559-E559,2)&gt;0,ROUND(J559+D559-E559,2)&lt;'Opening Balance'!$B$14),ROUND(J559+D559-E559,2),0)))</f>
        <v/>
      </c>
      <c r="L559" s="6">
        <f>IF(C559="","",ROUND(J559+D559-E559-K559,2))</f>
        <v/>
      </c>
      <c r="M559" s="6">
        <f>IF(C559="","",IF('Daily Sale entry '!Q559="Collection 收款",ROUND(N('Daily Sale entry '!T559),2),0))</f>
        <v/>
      </c>
    </row>
    <row r="560">
      <c r="A560" t="inlineStr">
        <is>
          <t>Entry 记录</t>
        </is>
      </c>
      <c r="B560" s="5">
        <f>IF('Daily Sale entry '!P560="","",'Daily Sale entry '!O560)</f>
        <v/>
      </c>
      <c r="C560">
        <f>IF('Daily Sale entry '!P560="","",'Daily Sale entry '!P560)</f>
        <v/>
      </c>
      <c r="D560">
        <f>IF(C560="","",IF('Daily Sale entry '!Q560="Credit Sale 赊销",'Daily Sale entry '!S560,0))</f>
        <v/>
      </c>
      <c r="E560">
        <f>IF(C560="","",IF('Daily Sale entry '!Q560="Collection 收款",'Daily Sale entry '!S560,0))</f>
        <v/>
      </c>
      <c r="F560" s="37">
        <f>IF(C560="","",B560+IF(E560&gt;0,0,0.5)+ROW()/10000000)</f>
        <v/>
      </c>
      <c r="G560">
        <f>IF(C560="","",'Daily Sale entry '!Q560&amp;IF('Daily Sale entry '!Q560="Collection 收款"," ("&amp;'Daily Sale entry '!R560&amp;")","")&amp;IF('Daily Sale entry '!U560="",""," - "&amp;'Daily Sale entry '!U560))</f>
        <v/>
      </c>
      <c r="H560">
        <f>IF(C560="","",COUNTIFS($C$2:$C$3001,C560,$F$2:$F$3001,"&lt;"&amp;F560)+1)</f>
        <v/>
      </c>
      <c r="I560">
        <f>IF(C560="","",C560&amp;"|"&amp;H560)</f>
        <v/>
      </c>
      <c r="J560" s="6">
        <f>IF(C560="","",IF(H560=1,SUMIFS('Opening Balance'!$F$4:$F$303,'Opening Balance'!$G$4:$G$303,C560),INDEX($L$2:$L$3001,MATCH(C560&amp;"|"&amp;(H560-1),$I$2:$I$3001,0))))</f>
        <v/>
      </c>
      <c r="K560" s="6">
        <f>IF(C560="","",IF(M560&gt;0,M560,IF(AND(E560&gt;0,ROUND(J560+D560-E560,2)&gt;0,ROUND(J560+D560-E560,2)&lt;'Opening Balance'!$B$14),ROUND(J560+D560-E560,2),0)))</f>
        <v/>
      </c>
      <c r="L560" s="6">
        <f>IF(C560="","",ROUND(J560+D560-E560-K560,2))</f>
        <v/>
      </c>
      <c r="M560" s="6">
        <f>IF(C560="","",IF('Daily Sale entry '!Q560="Collection 收款",ROUND(N('Daily Sale entry '!T560),2),0))</f>
        <v/>
      </c>
    </row>
    <row r="561">
      <c r="A561" t="inlineStr">
        <is>
          <t>Entry 记录</t>
        </is>
      </c>
      <c r="B561" s="5">
        <f>IF('Daily Sale entry '!P561="","",'Daily Sale entry '!O561)</f>
        <v/>
      </c>
      <c r="C561">
        <f>IF('Daily Sale entry '!P561="","",'Daily Sale entry '!P561)</f>
        <v/>
      </c>
      <c r="D561">
        <f>IF(C561="","",IF('Daily Sale entry '!Q561="Credit Sale 赊销",'Daily Sale entry '!S561,0))</f>
        <v/>
      </c>
      <c r="E561">
        <f>IF(C561="","",IF('Daily Sale entry '!Q561="Collection 收款",'Daily Sale entry '!S561,0))</f>
        <v/>
      </c>
      <c r="F561" s="37">
        <f>IF(C561="","",B561+IF(E561&gt;0,0,0.5)+ROW()/10000000)</f>
        <v/>
      </c>
      <c r="G561">
        <f>IF(C561="","",'Daily Sale entry '!Q561&amp;IF('Daily Sale entry '!Q561="Collection 收款"," ("&amp;'Daily Sale entry '!R561&amp;")","")&amp;IF('Daily Sale entry '!U561="",""," - "&amp;'Daily Sale entry '!U561))</f>
        <v/>
      </c>
      <c r="H561">
        <f>IF(C561="","",COUNTIFS($C$2:$C$3001,C561,$F$2:$F$3001,"&lt;"&amp;F561)+1)</f>
        <v/>
      </c>
      <c r="I561">
        <f>IF(C561="","",C561&amp;"|"&amp;H561)</f>
        <v/>
      </c>
      <c r="J561" s="6">
        <f>IF(C561="","",IF(H561=1,SUMIFS('Opening Balance'!$F$4:$F$303,'Opening Balance'!$G$4:$G$303,C561),INDEX($L$2:$L$3001,MATCH(C561&amp;"|"&amp;(H561-1),$I$2:$I$3001,0))))</f>
        <v/>
      </c>
      <c r="K561" s="6">
        <f>IF(C561="","",IF(M561&gt;0,M561,IF(AND(E561&gt;0,ROUND(J561+D561-E561,2)&gt;0,ROUND(J561+D561-E561,2)&lt;'Opening Balance'!$B$14),ROUND(J561+D561-E561,2),0)))</f>
        <v/>
      </c>
      <c r="L561" s="6">
        <f>IF(C561="","",ROUND(J561+D561-E561-K561,2))</f>
        <v/>
      </c>
      <c r="M561" s="6">
        <f>IF(C561="","",IF('Daily Sale entry '!Q561="Collection 收款",ROUND(N('Daily Sale entry '!T561),2),0))</f>
        <v/>
      </c>
    </row>
    <row r="562">
      <c r="A562" t="inlineStr">
        <is>
          <t>Entry 记录</t>
        </is>
      </c>
      <c r="B562" s="5">
        <f>IF('Daily Sale entry '!P562="","",'Daily Sale entry '!O562)</f>
        <v/>
      </c>
      <c r="C562">
        <f>IF('Daily Sale entry '!P562="","",'Daily Sale entry '!P562)</f>
        <v/>
      </c>
      <c r="D562">
        <f>IF(C562="","",IF('Daily Sale entry '!Q562="Credit Sale 赊销",'Daily Sale entry '!S562,0))</f>
        <v/>
      </c>
      <c r="E562">
        <f>IF(C562="","",IF('Daily Sale entry '!Q562="Collection 收款",'Daily Sale entry '!S562,0))</f>
        <v/>
      </c>
      <c r="F562" s="37">
        <f>IF(C562="","",B562+IF(E562&gt;0,0,0.5)+ROW()/10000000)</f>
        <v/>
      </c>
      <c r="G562">
        <f>IF(C562="","",'Daily Sale entry '!Q562&amp;IF('Daily Sale entry '!Q562="Collection 收款"," ("&amp;'Daily Sale entry '!R562&amp;")","")&amp;IF('Daily Sale entry '!U562="",""," - "&amp;'Daily Sale entry '!U562))</f>
        <v/>
      </c>
      <c r="H562">
        <f>IF(C562="","",COUNTIFS($C$2:$C$3001,C562,$F$2:$F$3001,"&lt;"&amp;F562)+1)</f>
        <v/>
      </c>
      <c r="I562">
        <f>IF(C562="","",C562&amp;"|"&amp;H562)</f>
        <v/>
      </c>
      <c r="J562" s="6">
        <f>IF(C562="","",IF(H562=1,SUMIFS('Opening Balance'!$F$4:$F$303,'Opening Balance'!$G$4:$G$303,C562),INDEX($L$2:$L$3001,MATCH(C562&amp;"|"&amp;(H562-1),$I$2:$I$3001,0))))</f>
        <v/>
      </c>
      <c r="K562" s="6">
        <f>IF(C562="","",IF(M562&gt;0,M562,IF(AND(E562&gt;0,ROUND(J562+D562-E562,2)&gt;0,ROUND(J562+D562-E562,2)&lt;'Opening Balance'!$B$14),ROUND(J562+D562-E562,2),0)))</f>
        <v/>
      </c>
      <c r="L562" s="6">
        <f>IF(C562="","",ROUND(J562+D562-E562-K562,2))</f>
        <v/>
      </c>
      <c r="M562" s="6">
        <f>IF(C562="","",IF('Daily Sale entry '!Q562="Collection 收款",ROUND(N('Daily Sale entry '!T562),2),0))</f>
        <v/>
      </c>
    </row>
    <row r="563">
      <c r="A563" t="inlineStr">
        <is>
          <t>Entry 记录</t>
        </is>
      </c>
      <c r="B563" s="5">
        <f>IF('Daily Sale entry '!P563="","",'Daily Sale entry '!O563)</f>
        <v/>
      </c>
      <c r="C563">
        <f>IF('Daily Sale entry '!P563="","",'Daily Sale entry '!P563)</f>
        <v/>
      </c>
      <c r="D563">
        <f>IF(C563="","",IF('Daily Sale entry '!Q563="Credit Sale 赊销",'Daily Sale entry '!S563,0))</f>
        <v/>
      </c>
      <c r="E563">
        <f>IF(C563="","",IF('Daily Sale entry '!Q563="Collection 收款",'Daily Sale entry '!S563,0))</f>
        <v/>
      </c>
      <c r="F563" s="37">
        <f>IF(C563="","",B563+IF(E563&gt;0,0,0.5)+ROW()/10000000)</f>
        <v/>
      </c>
      <c r="G563">
        <f>IF(C563="","",'Daily Sale entry '!Q563&amp;IF('Daily Sale entry '!Q563="Collection 收款"," ("&amp;'Daily Sale entry '!R563&amp;")","")&amp;IF('Daily Sale entry '!U563="",""," - "&amp;'Daily Sale entry '!U563))</f>
        <v/>
      </c>
      <c r="H563">
        <f>IF(C563="","",COUNTIFS($C$2:$C$3001,C563,$F$2:$F$3001,"&lt;"&amp;F563)+1)</f>
        <v/>
      </c>
      <c r="I563">
        <f>IF(C563="","",C563&amp;"|"&amp;H563)</f>
        <v/>
      </c>
      <c r="J563" s="6">
        <f>IF(C563="","",IF(H563=1,SUMIFS('Opening Balance'!$F$4:$F$303,'Opening Balance'!$G$4:$G$303,C563),INDEX($L$2:$L$3001,MATCH(C563&amp;"|"&amp;(H563-1),$I$2:$I$3001,0))))</f>
        <v/>
      </c>
      <c r="K563" s="6">
        <f>IF(C563="","",IF(M563&gt;0,M563,IF(AND(E563&gt;0,ROUND(J563+D563-E563,2)&gt;0,ROUND(J563+D563-E563,2)&lt;'Opening Balance'!$B$14),ROUND(J563+D563-E563,2),0)))</f>
        <v/>
      </c>
      <c r="L563" s="6">
        <f>IF(C563="","",ROUND(J563+D563-E563-K563,2))</f>
        <v/>
      </c>
      <c r="M563" s="6">
        <f>IF(C563="","",IF('Daily Sale entry '!Q563="Collection 收款",ROUND(N('Daily Sale entry '!T563),2),0))</f>
        <v/>
      </c>
    </row>
    <row r="564">
      <c r="A564" t="inlineStr">
        <is>
          <t>Entry 记录</t>
        </is>
      </c>
      <c r="B564" s="5">
        <f>IF('Daily Sale entry '!P564="","",'Daily Sale entry '!O564)</f>
        <v/>
      </c>
      <c r="C564">
        <f>IF('Daily Sale entry '!P564="","",'Daily Sale entry '!P564)</f>
        <v/>
      </c>
      <c r="D564">
        <f>IF(C564="","",IF('Daily Sale entry '!Q564="Credit Sale 赊销",'Daily Sale entry '!S564,0))</f>
        <v/>
      </c>
      <c r="E564">
        <f>IF(C564="","",IF('Daily Sale entry '!Q564="Collection 收款",'Daily Sale entry '!S564,0))</f>
        <v/>
      </c>
      <c r="F564" s="37">
        <f>IF(C564="","",B564+IF(E564&gt;0,0,0.5)+ROW()/10000000)</f>
        <v/>
      </c>
      <c r="G564">
        <f>IF(C564="","",'Daily Sale entry '!Q564&amp;IF('Daily Sale entry '!Q564="Collection 收款"," ("&amp;'Daily Sale entry '!R564&amp;")","")&amp;IF('Daily Sale entry '!U564="",""," - "&amp;'Daily Sale entry '!U564))</f>
        <v/>
      </c>
      <c r="H564">
        <f>IF(C564="","",COUNTIFS($C$2:$C$3001,C564,$F$2:$F$3001,"&lt;"&amp;F564)+1)</f>
        <v/>
      </c>
      <c r="I564">
        <f>IF(C564="","",C564&amp;"|"&amp;H564)</f>
        <v/>
      </c>
      <c r="J564" s="6">
        <f>IF(C564="","",IF(H564=1,SUMIFS('Opening Balance'!$F$4:$F$303,'Opening Balance'!$G$4:$G$303,C564),INDEX($L$2:$L$3001,MATCH(C564&amp;"|"&amp;(H564-1),$I$2:$I$3001,0))))</f>
        <v/>
      </c>
      <c r="K564" s="6">
        <f>IF(C564="","",IF(M564&gt;0,M564,IF(AND(E564&gt;0,ROUND(J564+D564-E564,2)&gt;0,ROUND(J564+D564-E564,2)&lt;'Opening Balance'!$B$14),ROUND(J564+D564-E564,2),0)))</f>
        <v/>
      </c>
      <c r="L564" s="6">
        <f>IF(C564="","",ROUND(J564+D564-E564-K564,2))</f>
        <v/>
      </c>
      <c r="M564" s="6">
        <f>IF(C564="","",IF('Daily Sale entry '!Q564="Collection 收款",ROUND(N('Daily Sale entry '!T564),2),0))</f>
        <v/>
      </c>
    </row>
    <row r="565">
      <c r="A565" t="inlineStr">
        <is>
          <t>Entry 记录</t>
        </is>
      </c>
      <c r="B565" s="5">
        <f>IF('Daily Sale entry '!P565="","",'Daily Sale entry '!O565)</f>
        <v/>
      </c>
      <c r="C565">
        <f>IF('Daily Sale entry '!P565="","",'Daily Sale entry '!P565)</f>
        <v/>
      </c>
      <c r="D565">
        <f>IF(C565="","",IF('Daily Sale entry '!Q565="Credit Sale 赊销",'Daily Sale entry '!S565,0))</f>
        <v/>
      </c>
      <c r="E565">
        <f>IF(C565="","",IF('Daily Sale entry '!Q565="Collection 收款",'Daily Sale entry '!S565,0))</f>
        <v/>
      </c>
      <c r="F565" s="37">
        <f>IF(C565="","",B565+IF(E565&gt;0,0,0.5)+ROW()/10000000)</f>
        <v/>
      </c>
      <c r="G565">
        <f>IF(C565="","",'Daily Sale entry '!Q565&amp;IF('Daily Sale entry '!Q565="Collection 收款"," ("&amp;'Daily Sale entry '!R565&amp;")","")&amp;IF('Daily Sale entry '!U565="",""," - "&amp;'Daily Sale entry '!U565))</f>
        <v/>
      </c>
      <c r="H565">
        <f>IF(C565="","",COUNTIFS($C$2:$C$3001,C565,$F$2:$F$3001,"&lt;"&amp;F565)+1)</f>
        <v/>
      </c>
      <c r="I565">
        <f>IF(C565="","",C565&amp;"|"&amp;H565)</f>
        <v/>
      </c>
      <c r="J565" s="6">
        <f>IF(C565="","",IF(H565=1,SUMIFS('Opening Balance'!$F$4:$F$303,'Opening Balance'!$G$4:$G$303,C565),INDEX($L$2:$L$3001,MATCH(C565&amp;"|"&amp;(H565-1),$I$2:$I$3001,0))))</f>
        <v/>
      </c>
      <c r="K565" s="6">
        <f>IF(C565="","",IF(M565&gt;0,M565,IF(AND(E565&gt;0,ROUND(J565+D565-E565,2)&gt;0,ROUND(J565+D565-E565,2)&lt;'Opening Balance'!$B$14),ROUND(J565+D565-E565,2),0)))</f>
        <v/>
      </c>
      <c r="L565" s="6">
        <f>IF(C565="","",ROUND(J565+D565-E565-K565,2))</f>
        <v/>
      </c>
      <c r="M565" s="6">
        <f>IF(C565="","",IF('Daily Sale entry '!Q565="Collection 收款",ROUND(N('Daily Sale entry '!T565),2),0))</f>
        <v/>
      </c>
    </row>
    <row r="566">
      <c r="A566" t="inlineStr">
        <is>
          <t>Entry 记录</t>
        </is>
      </c>
      <c r="B566" s="5">
        <f>IF('Daily Sale entry '!P566="","",'Daily Sale entry '!O566)</f>
        <v/>
      </c>
      <c r="C566">
        <f>IF('Daily Sale entry '!P566="","",'Daily Sale entry '!P566)</f>
        <v/>
      </c>
      <c r="D566">
        <f>IF(C566="","",IF('Daily Sale entry '!Q566="Credit Sale 赊销",'Daily Sale entry '!S566,0))</f>
        <v/>
      </c>
      <c r="E566">
        <f>IF(C566="","",IF('Daily Sale entry '!Q566="Collection 收款",'Daily Sale entry '!S566,0))</f>
        <v/>
      </c>
      <c r="F566" s="37">
        <f>IF(C566="","",B566+IF(E566&gt;0,0,0.5)+ROW()/10000000)</f>
        <v/>
      </c>
      <c r="G566">
        <f>IF(C566="","",'Daily Sale entry '!Q566&amp;IF('Daily Sale entry '!Q566="Collection 收款"," ("&amp;'Daily Sale entry '!R566&amp;")","")&amp;IF('Daily Sale entry '!U566="",""," - "&amp;'Daily Sale entry '!U566))</f>
        <v/>
      </c>
      <c r="H566">
        <f>IF(C566="","",COUNTIFS($C$2:$C$3001,C566,$F$2:$F$3001,"&lt;"&amp;F566)+1)</f>
        <v/>
      </c>
      <c r="I566">
        <f>IF(C566="","",C566&amp;"|"&amp;H566)</f>
        <v/>
      </c>
      <c r="J566" s="6">
        <f>IF(C566="","",IF(H566=1,SUMIFS('Opening Balance'!$F$4:$F$303,'Opening Balance'!$G$4:$G$303,C566),INDEX($L$2:$L$3001,MATCH(C566&amp;"|"&amp;(H566-1),$I$2:$I$3001,0))))</f>
        <v/>
      </c>
      <c r="K566" s="6">
        <f>IF(C566="","",IF(M566&gt;0,M566,IF(AND(E566&gt;0,ROUND(J566+D566-E566,2)&gt;0,ROUND(J566+D566-E566,2)&lt;'Opening Balance'!$B$14),ROUND(J566+D566-E566,2),0)))</f>
        <v/>
      </c>
      <c r="L566" s="6">
        <f>IF(C566="","",ROUND(J566+D566-E566-K566,2))</f>
        <v/>
      </c>
      <c r="M566" s="6">
        <f>IF(C566="","",IF('Daily Sale entry '!Q566="Collection 收款",ROUND(N('Daily Sale entry '!T566),2),0))</f>
        <v/>
      </c>
    </row>
    <row r="567">
      <c r="A567" t="inlineStr">
        <is>
          <t>Entry 记录</t>
        </is>
      </c>
      <c r="B567" s="5">
        <f>IF('Daily Sale entry '!P567="","",'Daily Sale entry '!O567)</f>
        <v/>
      </c>
      <c r="C567">
        <f>IF('Daily Sale entry '!P567="","",'Daily Sale entry '!P567)</f>
        <v/>
      </c>
      <c r="D567">
        <f>IF(C567="","",IF('Daily Sale entry '!Q567="Credit Sale 赊销",'Daily Sale entry '!S567,0))</f>
        <v/>
      </c>
      <c r="E567">
        <f>IF(C567="","",IF('Daily Sale entry '!Q567="Collection 收款",'Daily Sale entry '!S567,0))</f>
        <v/>
      </c>
      <c r="F567" s="37">
        <f>IF(C567="","",B567+IF(E567&gt;0,0,0.5)+ROW()/10000000)</f>
        <v/>
      </c>
      <c r="G567">
        <f>IF(C567="","",'Daily Sale entry '!Q567&amp;IF('Daily Sale entry '!Q567="Collection 收款"," ("&amp;'Daily Sale entry '!R567&amp;")","")&amp;IF('Daily Sale entry '!U567="",""," - "&amp;'Daily Sale entry '!U567))</f>
        <v/>
      </c>
      <c r="H567">
        <f>IF(C567="","",COUNTIFS($C$2:$C$3001,C567,$F$2:$F$3001,"&lt;"&amp;F567)+1)</f>
        <v/>
      </c>
      <c r="I567">
        <f>IF(C567="","",C567&amp;"|"&amp;H567)</f>
        <v/>
      </c>
      <c r="J567" s="6">
        <f>IF(C567="","",IF(H567=1,SUMIFS('Opening Balance'!$F$4:$F$303,'Opening Balance'!$G$4:$G$303,C567),INDEX($L$2:$L$3001,MATCH(C567&amp;"|"&amp;(H567-1),$I$2:$I$3001,0))))</f>
        <v/>
      </c>
      <c r="K567" s="6">
        <f>IF(C567="","",IF(M567&gt;0,M567,IF(AND(E567&gt;0,ROUND(J567+D567-E567,2)&gt;0,ROUND(J567+D567-E567,2)&lt;'Opening Balance'!$B$14),ROUND(J567+D567-E567,2),0)))</f>
        <v/>
      </c>
      <c r="L567" s="6">
        <f>IF(C567="","",ROUND(J567+D567-E567-K567,2))</f>
        <v/>
      </c>
      <c r="M567" s="6">
        <f>IF(C567="","",IF('Daily Sale entry '!Q567="Collection 收款",ROUND(N('Daily Sale entry '!T567),2),0))</f>
        <v/>
      </c>
    </row>
    <row r="568">
      <c r="A568" t="inlineStr">
        <is>
          <t>Entry 记录</t>
        </is>
      </c>
      <c r="B568" s="5">
        <f>IF('Daily Sale entry '!P568="","",'Daily Sale entry '!O568)</f>
        <v/>
      </c>
      <c r="C568">
        <f>IF('Daily Sale entry '!P568="","",'Daily Sale entry '!P568)</f>
        <v/>
      </c>
      <c r="D568">
        <f>IF(C568="","",IF('Daily Sale entry '!Q568="Credit Sale 赊销",'Daily Sale entry '!S568,0))</f>
        <v/>
      </c>
      <c r="E568">
        <f>IF(C568="","",IF('Daily Sale entry '!Q568="Collection 收款",'Daily Sale entry '!S568,0))</f>
        <v/>
      </c>
      <c r="F568" s="37">
        <f>IF(C568="","",B568+IF(E568&gt;0,0,0.5)+ROW()/10000000)</f>
        <v/>
      </c>
      <c r="G568">
        <f>IF(C568="","",'Daily Sale entry '!Q568&amp;IF('Daily Sale entry '!Q568="Collection 收款"," ("&amp;'Daily Sale entry '!R568&amp;")","")&amp;IF('Daily Sale entry '!U568="",""," - "&amp;'Daily Sale entry '!U568))</f>
        <v/>
      </c>
      <c r="H568">
        <f>IF(C568="","",COUNTIFS($C$2:$C$3001,C568,$F$2:$F$3001,"&lt;"&amp;F568)+1)</f>
        <v/>
      </c>
      <c r="I568">
        <f>IF(C568="","",C568&amp;"|"&amp;H568)</f>
        <v/>
      </c>
      <c r="J568" s="6">
        <f>IF(C568="","",IF(H568=1,SUMIFS('Opening Balance'!$F$4:$F$303,'Opening Balance'!$G$4:$G$303,C568),INDEX($L$2:$L$3001,MATCH(C568&amp;"|"&amp;(H568-1),$I$2:$I$3001,0))))</f>
        <v/>
      </c>
      <c r="K568" s="6">
        <f>IF(C568="","",IF(M568&gt;0,M568,IF(AND(E568&gt;0,ROUND(J568+D568-E568,2)&gt;0,ROUND(J568+D568-E568,2)&lt;'Opening Balance'!$B$14),ROUND(J568+D568-E568,2),0)))</f>
        <v/>
      </c>
      <c r="L568" s="6">
        <f>IF(C568="","",ROUND(J568+D568-E568-K568,2))</f>
        <v/>
      </c>
      <c r="M568" s="6">
        <f>IF(C568="","",IF('Daily Sale entry '!Q568="Collection 收款",ROUND(N('Daily Sale entry '!T568),2),0))</f>
        <v/>
      </c>
    </row>
    <row r="569">
      <c r="A569" t="inlineStr">
        <is>
          <t>Entry 记录</t>
        </is>
      </c>
      <c r="B569" s="5">
        <f>IF('Daily Sale entry '!P569="","",'Daily Sale entry '!O569)</f>
        <v/>
      </c>
      <c r="C569">
        <f>IF('Daily Sale entry '!P569="","",'Daily Sale entry '!P569)</f>
        <v/>
      </c>
      <c r="D569">
        <f>IF(C569="","",IF('Daily Sale entry '!Q569="Credit Sale 赊销",'Daily Sale entry '!S569,0))</f>
        <v/>
      </c>
      <c r="E569">
        <f>IF(C569="","",IF('Daily Sale entry '!Q569="Collection 收款",'Daily Sale entry '!S569,0))</f>
        <v/>
      </c>
      <c r="F569" s="37">
        <f>IF(C569="","",B569+IF(E569&gt;0,0,0.5)+ROW()/10000000)</f>
        <v/>
      </c>
      <c r="G569">
        <f>IF(C569="","",'Daily Sale entry '!Q569&amp;IF('Daily Sale entry '!Q569="Collection 收款"," ("&amp;'Daily Sale entry '!R569&amp;")","")&amp;IF('Daily Sale entry '!U569="",""," - "&amp;'Daily Sale entry '!U569))</f>
        <v/>
      </c>
      <c r="H569">
        <f>IF(C569="","",COUNTIFS($C$2:$C$3001,C569,$F$2:$F$3001,"&lt;"&amp;F569)+1)</f>
        <v/>
      </c>
      <c r="I569">
        <f>IF(C569="","",C569&amp;"|"&amp;H569)</f>
        <v/>
      </c>
      <c r="J569" s="6">
        <f>IF(C569="","",IF(H569=1,SUMIFS('Opening Balance'!$F$4:$F$303,'Opening Balance'!$G$4:$G$303,C569),INDEX($L$2:$L$3001,MATCH(C569&amp;"|"&amp;(H569-1),$I$2:$I$3001,0))))</f>
        <v/>
      </c>
      <c r="K569" s="6">
        <f>IF(C569="","",IF(M569&gt;0,M569,IF(AND(E569&gt;0,ROUND(J569+D569-E569,2)&gt;0,ROUND(J569+D569-E569,2)&lt;'Opening Balance'!$B$14),ROUND(J569+D569-E569,2),0)))</f>
        <v/>
      </c>
      <c r="L569" s="6">
        <f>IF(C569="","",ROUND(J569+D569-E569-K569,2))</f>
        <v/>
      </c>
      <c r="M569" s="6">
        <f>IF(C569="","",IF('Daily Sale entry '!Q569="Collection 收款",ROUND(N('Daily Sale entry '!T569),2),0))</f>
        <v/>
      </c>
    </row>
    <row r="570">
      <c r="A570" t="inlineStr">
        <is>
          <t>Entry 记录</t>
        </is>
      </c>
      <c r="B570" s="5">
        <f>IF('Daily Sale entry '!P570="","",'Daily Sale entry '!O570)</f>
        <v/>
      </c>
      <c r="C570">
        <f>IF('Daily Sale entry '!P570="","",'Daily Sale entry '!P570)</f>
        <v/>
      </c>
      <c r="D570">
        <f>IF(C570="","",IF('Daily Sale entry '!Q570="Credit Sale 赊销",'Daily Sale entry '!S570,0))</f>
        <v/>
      </c>
      <c r="E570">
        <f>IF(C570="","",IF('Daily Sale entry '!Q570="Collection 收款",'Daily Sale entry '!S570,0))</f>
        <v/>
      </c>
      <c r="F570" s="37">
        <f>IF(C570="","",B570+IF(E570&gt;0,0,0.5)+ROW()/10000000)</f>
        <v/>
      </c>
      <c r="G570">
        <f>IF(C570="","",'Daily Sale entry '!Q570&amp;IF('Daily Sale entry '!Q570="Collection 收款"," ("&amp;'Daily Sale entry '!R570&amp;")","")&amp;IF('Daily Sale entry '!U570="",""," - "&amp;'Daily Sale entry '!U570))</f>
        <v/>
      </c>
      <c r="H570">
        <f>IF(C570="","",COUNTIFS($C$2:$C$3001,C570,$F$2:$F$3001,"&lt;"&amp;F570)+1)</f>
        <v/>
      </c>
      <c r="I570">
        <f>IF(C570="","",C570&amp;"|"&amp;H570)</f>
        <v/>
      </c>
      <c r="J570" s="6">
        <f>IF(C570="","",IF(H570=1,SUMIFS('Opening Balance'!$F$4:$F$303,'Opening Balance'!$G$4:$G$303,C570),INDEX($L$2:$L$3001,MATCH(C570&amp;"|"&amp;(H570-1),$I$2:$I$3001,0))))</f>
        <v/>
      </c>
      <c r="K570" s="6">
        <f>IF(C570="","",IF(M570&gt;0,M570,IF(AND(E570&gt;0,ROUND(J570+D570-E570,2)&gt;0,ROUND(J570+D570-E570,2)&lt;'Opening Balance'!$B$14),ROUND(J570+D570-E570,2),0)))</f>
        <v/>
      </c>
      <c r="L570" s="6">
        <f>IF(C570="","",ROUND(J570+D570-E570-K570,2))</f>
        <v/>
      </c>
      <c r="M570" s="6">
        <f>IF(C570="","",IF('Daily Sale entry '!Q570="Collection 收款",ROUND(N('Daily Sale entry '!T570),2),0))</f>
        <v/>
      </c>
    </row>
    <row r="571">
      <c r="A571" t="inlineStr">
        <is>
          <t>Entry 记录</t>
        </is>
      </c>
      <c r="B571" s="5">
        <f>IF('Daily Sale entry '!P571="","",'Daily Sale entry '!O571)</f>
        <v/>
      </c>
      <c r="C571">
        <f>IF('Daily Sale entry '!P571="","",'Daily Sale entry '!P571)</f>
        <v/>
      </c>
      <c r="D571">
        <f>IF(C571="","",IF('Daily Sale entry '!Q571="Credit Sale 赊销",'Daily Sale entry '!S571,0))</f>
        <v/>
      </c>
      <c r="E571">
        <f>IF(C571="","",IF('Daily Sale entry '!Q571="Collection 收款",'Daily Sale entry '!S571,0))</f>
        <v/>
      </c>
      <c r="F571" s="37">
        <f>IF(C571="","",B571+IF(E571&gt;0,0,0.5)+ROW()/10000000)</f>
        <v/>
      </c>
      <c r="G571">
        <f>IF(C571="","",'Daily Sale entry '!Q571&amp;IF('Daily Sale entry '!Q571="Collection 收款"," ("&amp;'Daily Sale entry '!R571&amp;")","")&amp;IF('Daily Sale entry '!U571="",""," - "&amp;'Daily Sale entry '!U571))</f>
        <v/>
      </c>
      <c r="H571">
        <f>IF(C571="","",COUNTIFS($C$2:$C$3001,C571,$F$2:$F$3001,"&lt;"&amp;F571)+1)</f>
        <v/>
      </c>
      <c r="I571">
        <f>IF(C571="","",C571&amp;"|"&amp;H571)</f>
        <v/>
      </c>
      <c r="J571" s="6">
        <f>IF(C571="","",IF(H571=1,SUMIFS('Opening Balance'!$F$4:$F$303,'Opening Balance'!$G$4:$G$303,C571),INDEX($L$2:$L$3001,MATCH(C571&amp;"|"&amp;(H571-1),$I$2:$I$3001,0))))</f>
        <v/>
      </c>
      <c r="K571" s="6">
        <f>IF(C571="","",IF(M571&gt;0,M571,IF(AND(E571&gt;0,ROUND(J571+D571-E571,2)&gt;0,ROUND(J571+D571-E571,2)&lt;'Opening Balance'!$B$14),ROUND(J571+D571-E571,2),0)))</f>
        <v/>
      </c>
      <c r="L571" s="6">
        <f>IF(C571="","",ROUND(J571+D571-E571-K571,2))</f>
        <v/>
      </c>
      <c r="M571" s="6">
        <f>IF(C571="","",IF('Daily Sale entry '!Q571="Collection 收款",ROUND(N('Daily Sale entry '!T571),2),0))</f>
        <v/>
      </c>
    </row>
    <row r="572">
      <c r="A572" t="inlineStr">
        <is>
          <t>Entry 记录</t>
        </is>
      </c>
      <c r="B572" s="5">
        <f>IF('Daily Sale entry '!P572="","",'Daily Sale entry '!O572)</f>
        <v/>
      </c>
      <c r="C572">
        <f>IF('Daily Sale entry '!P572="","",'Daily Sale entry '!P572)</f>
        <v/>
      </c>
      <c r="D572">
        <f>IF(C572="","",IF('Daily Sale entry '!Q572="Credit Sale 赊销",'Daily Sale entry '!S572,0))</f>
        <v/>
      </c>
      <c r="E572">
        <f>IF(C572="","",IF('Daily Sale entry '!Q572="Collection 收款",'Daily Sale entry '!S572,0))</f>
        <v/>
      </c>
      <c r="F572" s="37">
        <f>IF(C572="","",B572+IF(E572&gt;0,0,0.5)+ROW()/10000000)</f>
        <v/>
      </c>
      <c r="G572">
        <f>IF(C572="","",'Daily Sale entry '!Q572&amp;IF('Daily Sale entry '!Q572="Collection 收款"," ("&amp;'Daily Sale entry '!R572&amp;")","")&amp;IF('Daily Sale entry '!U572="",""," - "&amp;'Daily Sale entry '!U572))</f>
        <v/>
      </c>
      <c r="H572">
        <f>IF(C572="","",COUNTIFS($C$2:$C$3001,C572,$F$2:$F$3001,"&lt;"&amp;F572)+1)</f>
        <v/>
      </c>
      <c r="I572">
        <f>IF(C572="","",C572&amp;"|"&amp;H572)</f>
        <v/>
      </c>
      <c r="J572" s="6">
        <f>IF(C572="","",IF(H572=1,SUMIFS('Opening Balance'!$F$4:$F$303,'Opening Balance'!$G$4:$G$303,C572),INDEX($L$2:$L$3001,MATCH(C572&amp;"|"&amp;(H572-1),$I$2:$I$3001,0))))</f>
        <v/>
      </c>
      <c r="K572" s="6">
        <f>IF(C572="","",IF(M572&gt;0,M572,IF(AND(E572&gt;0,ROUND(J572+D572-E572,2)&gt;0,ROUND(J572+D572-E572,2)&lt;'Opening Balance'!$B$14),ROUND(J572+D572-E572,2),0)))</f>
        <v/>
      </c>
      <c r="L572" s="6">
        <f>IF(C572="","",ROUND(J572+D572-E572-K572,2))</f>
        <v/>
      </c>
      <c r="M572" s="6">
        <f>IF(C572="","",IF('Daily Sale entry '!Q572="Collection 收款",ROUND(N('Daily Sale entry '!T572),2),0))</f>
        <v/>
      </c>
    </row>
    <row r="573">
      <c r="A573" t="inlineStr">
        <is>
          <t>Entry 记录</t>
        </is>
      </c>
      <c r="B573" s="5">
        <f>IF('Daily Sale entry '!P573="","",'Daily Sale entry '!O573)</f>
        <v/>
      </c>
      <c r="C573">
        <f>IF('Daily Sale entry '!P573="","",'Daily Sale entry '!P573)</f>
        <v/>
      </c>
      <c r="D573">
        <f>IF(C573="","",IF('Daily Sale entry '!Q573="Credit Sale 赊销",'Daily Sale entry '!S573,0))</f>
        <v/>
      </c>
      <c r="E573">
        <f>IF(C573="","",IF('Daily Sale entry '!Q573="Collection 收款",'Daily Sale entry '!S573,0))</f>
        <v/>
      </c>
      <c r="F573" s="37">
        <f>IF(C573="","",B573+IF(E573&gt;0,0,0.5)+ROW()/10000000)</f>
        <v/>
      </c>
      <c r="G573">
        <f>IF(C573="","",'Daily Sale entry '!Q573&amp;IF('Daily Sale entry '!Q573="Collection 收款"," ("&amp;'Daily Sale entry '!R573&amp;")","")&amp;IF('Daily Sale entry '!U573="",""," - "&amp;'Daily Sale entry '!U573))</f>
        <v/>
      </c>
      <c r="H573">
        <f>IF(C573="","",COUNTIFS($C$2:$C$3001,C573,$F$2:$F$3001,"&lt;"&amp;F573)+1)</f>
        <v/>
      </c>
      <c r="I573">
        <f>IF(C573="","",C573&amp;"|"&amp;H573)</f>
        <v/>
      </c>
      <c r="J573" s="6">
        <f>IF(C573="","",IF(H573=1,SUMIFS('Opening Balance'!$F$4:$F$303,'Opening Balance'!$G$4:$G$303,C573),INDEX($L$2:$L$3001,MATCH(C573&amp;"|"&amp;(H573-1),$I$2:$I$3001,0))))</f>
        <v/>
      </c>
      <c r="K573" s="6">
        <f>IF(C573="","",IF(M573&gt;0,M573,IF(AND(E573&gt;0,ROUND(J573+D573-E573,2)&gt;0,ROUND(J573+D573-E573,2)&lt;'Opening Balance'!$B$14),ROUND(J573+D573-E573,2),0)))</f>
        <v/>
      </c>
      <c r="L573" s="6">
        <f>IF(C573="","",ROUND(J573+D573-E573-K573,2))</f>
        <v/>
      </c>
      <c r="M573" s="6">
        <f>IF(C573="","",IF('Daily Sale entry '!Q573="Collection 收款",ROUND(N('Daily Sale entry '!T573),2),0))</f>
        <v/>
      </c>
    </row>
    <row r="574">
      <c r="A574" t="inlineStr">
        <is>
          <t>Entry 记录</t>
        </is>
      </c>
      <c r="B574" s="5">
        <f>IF('Daily Sale entry '!P574="","",'Daily Sale entry '!O574)</f>
        <v/>
      </c>
      <c r="C574">
        <f>IF('Daily Sale entry '!P574="","",'Daily Sale entry '!P574)</f>
        <v/>
      </c>
      <c r="D574">
        <f>IF(C574="","",IF('Daily Sale entry '!Q574="Credit Sale 赊销",'Daily Sale entry '!S574,0))</f>
        <v/>
      </c>
      <c r="E574">
        <f>IF(C574="","",IF('Daily Sale entry '!Q574="Collection 收款",'Daily Sale entry '!S574,0))</f>
        <v/>
      </c>
      <c r="F574" s="37">
        <f>IF(C574="","",B574+IF(E574&gt;0,0,0.5)+ROW()/10000000)</f>
        <v/>
      </c>
      <c r="G574">
        <f>IF(C574="","",'Daily Sale entry '!Q574&amp;IF('Daily Sale entry '!Q574="Collection 收款"," ("&amp;'Daily Sale entry '!R574&amp;")","")&amp;IF('Daily Sale entry '!U574="",""," - "&amp;'Daily Sale entry '!U574))</f>
        <v/>
      </c>
      <c r="H574">
        <f>IF(C574="","",COUNTIFS($C$2:$C$3001,C574,$F$2:$F$3001,"&lt;"&amp;F574)+1)</f>
        <v/>
      </c>
      <c r="I574">
        <f>IF(C574="","",C574&amp;"|"&amp;H574)</f>
        <v/>
      </c>
      <c r="J574" s="6">
        <f>IF(C574="","",IF(H574=1,SUMIFS('Opening Balance'!$F$4:$F$303,'Opening Balance'!$G$4:$G$303,C574),INDEX($L$2:$L$3001,MATCH(C574&amp;"|"&amp;(H574-1),$I$2:$I$3001,0))))</f>
        <v/>
      </c>
      <c r="K574" s="6">
        <f>IF(C574="","",IF(M574&gt;0,M574,IF(AND(E574&gt;0,ROUND(J574+D574-E574,2)&gt;0,ROUND(J574+D574-E574,2)&lt;'Opening Balance'!$B$14),ROUND(J574+D574-E574,2),0)))</f>
        <v/>
      </c>
      <c r="L574" s="6">
        <f>IF(C574="","",ROUND(J574+D574-E574-K574,2))</f>
        <v/>
      </c>
      <c r="M574" s="6">
        <f>IF(C574="","",IF('Daily Sale entry '!Q574="Collection 收款",ROUND(N('Daily Sale entry '!T574),2),0))</f>
        <v/>
      </c>
    </row>
    <row r="575">
      <c r="A575" t="inlineStr">
        <is>
          <t>Entry 记录</t>
        </is>
      </c>
      <c r="B575" s="5">
        <f>IF('Daily Sale entry '!P575="","",'Daily Sale entry '!O575)</f>
        <v/>
      </c>
      <c r="C575">
        <f>IF('Daily Sale entry '!P575="","",'Daily Sale entry '!P575)</f>
        <v/>
      </c>
      <c r="D575">
        <f>IF(C575="","",IF('Daily Sale entry '!Q575="Credit Sale 赊销",'Daily Sale entry '!S575,0))</f>
        <v/>
      </c>
      <c r="E575">
        <f>IF(C575="","",IF('Daily Sale entry '!Q575="Collection 收款",'Daily Sale entry '!S575,0))</f>
        <v/>
      </c>
      <c r="F575" s="37">
        <f>IF(C575="","",B575+IF(E575&gt;0,0,0.5)+ROW()/10000000)</f>
        <v/>
      </c>
      <c r="G575">
        <f>IF(C575="","",'Daily Sale entry '!Q575&amp;IF('Daily Sale entry '!Q575="Collection 收款"," ("&amp;'Daily Sale entry '!R575&amp;")","")&amp;IF('Daily Sale entry '!U575="",""," - "&amp;'Daily Sale entry '!U575))</f>
        <v/>
      </c>
      <c r="H575">
        <f>IF(C575="","",COUNTIFS($C$2:$C$3001,C575,$F$2:$F$3001,"&lt;"&amp;F575)+1)</f>
        <v/>
      </c>
      <c r="I575">
        <f>IF(C575="","",C575&amp;"|"&amp;H575)</f>
        <v/>
      </c>
      <c r="J575" s="6">
        <f>IF(C575="","",IF(H575=1,SUMIFS('Opening Balance'!$F$4:$F$303,'Opening Balance'!$G$4:$G$303,C575),INDEX($L$2:$L$3001,MATCH(C575&amp;"|"&amp;(H575-1),$I$2:$I$3001,0))))</f>
        <v/>
      </c>
      <c r="K575" s="6">
        <f>IF(C575="","",IF(M575&gt;0,M575,IF(AND(E575&gt;0,ROUND(J575+D575-E575,2)&gt;0,ROUND(J575+D575-E575,2)&lt;'Opening Balance'!$B$14),ROUND(J575+D575-E575,2),0)))</f>
        <v/>
      </c>
      <c r="L575" s="6">
        <f>IF(C575="","",ROUND(J575+D575-E575-K575,2))</f>
        <v/>
      </c>
      <c r="M575" s="6">
        <f>IF(C575="","",IF('Daily Sale entry '!Q575="Collection 收款",ROUND(N('Daily Sale entry '!T575),2),0))</f>
        <v/>
      </c>
    </row>
    <row r="576">
      <c r="A576" t="inlineStr">
        <is>
          <t>Entry 记录</t>
        </is>
      </c>
      <c r="B576" s="5">
        <f>IF('Daily Sale entry '!P576="","",'Daily Sale entry '!O576)</f>
        <v/>
      </c>
      <c r="C576">
        <f>IF('Daily Sale entry '!P576="","",'Daily Sale entry '!P576)</f>
        <v/>
      </c>
      <c r="D576">
        <f>IF(C576="","",IF('Daily Sale entry '!Q576="Credit Sale 赊销",'Daily Sale entry '!S576,0))</f>
        <v/>
      </c>
      <c r="E576">
        <f>IF(C576="","",IF('Daily Sale entry '!Q576="Collection 收款",'Daily Sale entry '!S576,0))</f>
        <v/>
      </c>
      <c r="F576" s="37">
        <f>IF(C576="","",B576+IF(E576&gt;0,0,0.5)+ROW()/10000000)</f>
        <v/>
      </c>
      <c r="G576">
        <f>IF(C576="","",'Daily Sale entry '!Q576&amp;IF('Daily Sale entry '!Q576="Collection 收款"," ("&amp;'Daily Sale entry '!R576&amp;")","")&amp;IF('Daily Sale entry '!U576="",""," - "&amp;'Daily Sale entry '!U576))</f>
        <v/>
      </c>
      <c r="H576">
        <f>IF(C576="","",COUNTIFS($C$2:$C$3001,C576,$F$2:$F$3001,"&lt;"&amp;F576)+1)</f>
        <v/>
      </c>
      <c r="I576">
        <f>IF(C576="","",C576&amp;"|"&amp;H576)</f>
        <v/>
      </c>
      <c r="J576" s="6">
        <f>IF(C576="","",IF(H576=1,SUMIFS('Opening Balance'!$F$4:$F$303,'Opening Balance'!$G$4:$G$303,C576),INDEX($L$2:$L$3001,MATCH(C576&amp;"|"&amp;(H576-1),$I$2:$I$3001,0))))</f>
        <v/>
      </c>
      <c r="K576" s="6">
        <f>IF(C576="","",IF(M576&gt;0,M576,IF(AND(E576&gt;0,ROUND(J576+D576-E576,2)&gt;0,ROUND(J576+D576-E576,2)&lt;'Opening Balance'!$B$14),ROUND(J576+D576-E576,2),0)))</f>
        <v/>
      </c>
      <c r="L576" s="6">
        <f>IF(C576="","",ROUND(J576+D576-E576-K576,2))</f>
        <v/>
      </c>
      <c r="M576" s="6">
        <f>IF(C576="","",IF('Daily Sale entry '!Q576="Collection 收款",ROUND(N('Daily Sale entry '!T576),2),0))</f>
        <v/>
      </c>
    </row>
    <row r="577">
      <c r="A577" t="inlineStr">
        <is>
          <t>Entry 记录</t>
        </is>
      </c>
      <c r="B577" s="5">
        <f>IF('Daily Sale entry '!P577="","",'Daily Sale entry '!O577)</f>
        <v/>
      </c>
      <c r="C577">
        <f>IF('Daily Sale entry '!P577="","",'Daily Sale entry '!P577)</f>
        <v/>
      </c>
      <c r="D577">
        <f>IF(C577="","",IF('Daily Sale entry '!Q577="Credit Sale 赊销",'Daily Sale entry '!S577,0))</f>
        <v/>
      </c>
      <c r="E577">
        <f>IF(C577="","",IF('Daily Sale entry '!Q577="Collection 收款",'Daily Sale entry '!S577,0))</f>
        <v/>
      </c>
      <c r="F577" s="37">
        <f>IF(C577="","",B577+IF(E577&gt;0,0,0.5)+ROW()/10000000)</f>
        <v/>
      </c>
      <c r="G577">
        <f>IF(C577="","",'Daily Sale entry '!Q577&amp;IF('Daily Sale entry '!Q577="Collection 收款"," ("&amp;'Daily Sale entry '!R577&amp;")","")&amp;IF('Daily Sale entry '!U577="",""," - "&amp;'Daily Sale entry '!U577))</f>
        <v/>
      </c>
      <c r="H577">
        <f>IF(C577="","",COUNTIFS($C$2:$C$3001,C577,$F$2:$F$3001,"&lt;"&amp;F577)+1)</f>
        <v/>
      </c>
      <c r="I577">
        <f>IF(C577="","",C577&amp;"|"&amp;H577)</f>
        <v/>
      </c>
      <c r="J577" s="6">
        <f>IF(C577="","",IF(H577=1,SUMIFS('Opening Balance'!$F$4:$F$303,'Opening Balance'!$G$4:$G$303,C577),INDEX($L$2:$L$3001,MATCH(C577&amp;"|"&amp;(H577-1),$I$2:$I$3001,0))))</f>
        <v/>
      </c>
      <c r="K577" s="6">
        <f>IF(C577="","",IF(M577&gt;0,M577,IF(AND(E577&gt;0,ROUND(J577+D577-E577,2)&gt;0,ROUND(J577+D577-E577,2)&lt;'Opening Balance'!$B$14),ROUND(J577+D577-E577,2),0)))</f>
        <v/>
      </c>
      <c r="L577" s="6">
        <f>IF(C577="","",ROUND(J577+D577-E577-K577,2))</f>
        <v/>
      </c>
      <c r="M577" s="6">
        <f>IF(C577="","",IF('Daily Sale entry '!Q577="Collection 收款",ROUND(N('Daily Sale entry '!T577),2),0))</f>
        <v/>
      </c>
    </row>
    <row r="578">
      <c r="A578" t="inlineStr">
        <is>
          <t>Entry 记录</t>
        </is>
      </c>
      <c r="B578" s="5">
        <f>IF('Daily Sale entry '!P578="","",'Daily Sale entry '!O578)</f>
        <v/>
      </c>
      <c r="C578">
        <f>IF('Daily Sale entry '!P578="","",'Daily Sale entry '!P578)</f>
        <v/>
      </c>
      <c r="D578">
        <f>IF(C578="","",IF('Daily Sale entry '!Q578="Credit Sale 赊销",'Daily Sale entry '!S578,0))</f>
        <v/>
      </c>
      <c r="E578">
        <f>IF(C578="","",IF('Daily Sale entry '!Q578="Collection 收款",'Daily Sale entry '!S578,0))</f>
        <v/>
      </c>
      <c r="F578" s="37">
        <f>IF(C578="","",B578+IF(E578&gt;0,0,0.5)+ROW()/10000000)</f>
        <v/>
      </c>
      <c r="G578">
        <f>IF(C578="","",'Daily Sale entry '!Q578&amp;IF('Daily Sale entry '!Q578="Collection 收款"," ("&amp;'Daily Sale entry '!R578&amp;")","")&amp;IF('Daily Sale entry '!U578="",""," - "&amp;'Daily Sale entry '!U578))</f>
        <v/>
      </c>
      <c r="H578">
        <f>IF(C578="","",COUNTIFS($C$2:$C$3001,C578,$F$2:$F$3001,"&lt;"&amp;F578)+1)</f>
        <v/>
      </c>
      <c r="I578">
        <f>IF(C578="","",C578&amp;"|"&amp;H578)</f>
        <v/>
      </c>
      <c r="J578" s="6">
        <f>IF(C578="","",IF(H578=1,SUMIFS('Opening Balance'!$F$4:$F$303,'Opening Balance'!$G$4:$G$303,C578),INDEX($L$2:$L$3001,MATCH(C578&amp;"|"&amp;(H578-1),$I$2:$I$3001,0))))</f>
        <v/>
      </c>
      <c r="K578" s="6">
        <f>IF(C578="","",IF(M578&gt;0,M578,IF(AND(E578&gt;0,ROUND(J578+D578-E578,2)&gt;0,ROUND(J578+D578-E578,2)&lt;'Opening Balance'!$B$14),ROUND(J578+D578-E578,2),0)))</f>
        <v/>
      </c>
      <c r="L578" s="6">
        <f>IF(C578="","",ROUND(J578+D578-E578-K578,2))</f>
        <v/>
      </c>
      <c r="M578" s="6">
        <f>IF(C578="","",IF('Daily Sale entry '!Q578="Collection 收款",ROUND(N('Daily Sale entry '!T578),2),0))</f>
        <v/>
      </c>
    </row>
    <row r="579">
      <c r="A579" t="inlineStr">
        <is>
          <t>Entry 记录</t>
        </is>
      </c>
      <c r="B579" s="5">
        <f>IF('Daily Sale entry '!P579="","",'Daily Sale entry '!O579)</f>
        <v/>
      </c>
      <c r="C579">
        <f>IF('Daily Sale entry '!P579="","",'Daily Sale entry '!P579)</f>
        <v/>
      </c>
      <c r="D579">
        <f>IF(C579="","",IF('Daily Sale entry '!Q579="Credit Sale 赊销",'Daily Sale entry '!S579,0))</f>
        <v/>
      </c>
      <c r="E579">
        <f>IF(C579="","",IF('Daily Sale entry '!Q579="Collection 收款",'Daily Sale entry '!S579,0))</f>
        <v/>
      </c>
      <c r="F579" s="37">
        <f>IF(C579="","",B579+IF(E579&gt;0,0,0.5)+ROW()/10000000)</f>
        <v/>
      </c>
      <c r="G579">
        <f>IF(C579="","",'Daily Sale entry '!Q579&amp;IF('Daily Sale entry '!Q579="Collection 收款"," ("&amp;'Daily Sale entry '!R579&amp;")","")&amp;IF('Daily Sale entry '!U579="",""," - "&amp;'Daily Sale entry '!U579))</f>
        <v/>
      </c>
      <c r="H579">
        <f>IF(C579="","",COUNTIFS($C$2:$C$3001,C579,$F$2:$F$3001,"&lt;"&amp;F579)+1)</f>
        <v/>
      </c>
      <c r="I579">
        <f>IF(C579="","",C579&amp;"|"&amp;H579)</f>
        <v/>
      </c>
      <c r="J579" s="6">
        <f>IF(C579="","",IF(H579=1,SUMIFS('Opening Balance'!$F$4:$F$303,'Opening Balance'!$G$4:$G$303,C579),INDEX($L$2:$L$3001,MATCH(C579&amp;"|"&amp;(H579-1),$I$2:$I$3001,0))))</f>
        <v/>
      </c>
      <c r="K579" s="6">
        <f>IF(C579="","",IF(M579&gt;0,M579,IF(AND(E579&gt;0,ROUND(J579+D579-E579,2)&gt;0,ROUND(J579+D579-E579,2)&lt;'Opening Balance'!$B$14),ROUND(J579+D579-E579,2),0)))</f>
        <v/>
      </c>
      <c r="L579" s="6">
        <f>IF(C579="","",ROUND(J579+D579-E579-K579,2))</f>
        <v/>
      </c>
      <c r="M579" s="6">
        <f>IF(C579="","",IF('Daily Sale entry '!Q579="Collection 收款",ROUND(N('Daily Sale entry '!T579),2),0))</f>
        <v/>
      </c>
    </row>
    <row r="580">
      <c r="A580" t="inlineStr">
        <is>
          <t>Entry 记录</t>
        </is>
      </c>
      <c r="B580" s="5">
        <f>IF('Daily Sale entry '!P580="","",'Daily Sale entry '!O580)</f>
        <v/>
      </c>
      <c r="C580">
        <f>IF('Daily Sale entry '!P580="","",'Daily Sale entry '!P580)</f>
        <v/>
      </c>
      <c r="D580">
        <f>IF(C580="","",IF('Daily Sale entry '!Q580="Credit Sale 赊销",'Daily Sale entry '!S580,0))</f>
        <v/>
      </c>
      <c r="E580">
        <f>IF(C580="","",IF('Daily Sale entry '!Q580="Collection 收款",'Daily Sale entry '!S580,0))</f>
        <v/>
      </c>
      <c r="F580" s="37">
        <f>IF(C580="","",B580+IF(E580&gt;0,0,0.5)+ROW()/10000000)</f>
        <v/>
      </c>
      <c r="G580">
        <f>IF(C580="","",'Daily Sale entry '!Q580&amp;IF('Daily Sale entry '!Q580="Collection 收款"," ("&amp;'Daily Sale entry '!R580&amp;")","")&amp;IF('Daily Sale entry '!U580="",""," - "&amp;'Daily Sale entry '!U580))</f>
        <v/>
      </c>
      <c r="H580">
        <f>IF(C580="","",COUNTIFS($C$2:$C$3001,C580,$F$2:$F$3001,"&lt;"&amp;F580)+1)</f>
        <v/>
      </c>
      <c r="I580">
        <f>IF(C580="","",C580&amp;"|"&amp;H580)</f>
        <v/>
      </c>
      <c r="J580" s="6">
        <f>IF(C580="","",IF(H580=1,SUMIFS('Opening Balance'!$F$4:$F$303,'Opening Balance'!$G$4:$G$303,C580),INDEX($L$2:$L$3001,MATCH(C580&amp;"|"&amp;(H580-1),$I$2:$I$3001,0))))</f>
        <v/>
      </c>
      <c r="K580" s="6">
        <f>IF(C580="","",IF(M580&gt;0,M580,IF(AND(E580&gt;0,ROUND(J580+D580-E580,2)&gt;0,ROUND(J580+D580-E580,2)&lt;'Opening Balance'!$B$14),ROUND(J580+D580-E580,2),0)))</f>
        <v/>
      </c>
      <c r="L580" s="6">
        <f>IF(C580="","",ROUND(J580+D580-E580-K580,2))</f>
        <v/>
      </c>
      <c r="M580" s="6">
        <f>IF(C580="","",IF('Daily Sale entry '!Q580="Collection 收款",ROUND(N('Daily Sale entry '!T580),2),0))</f>
        <v/>
      </c>
    </row>
    <row r="581">
      <c r="A581" t="inlineStr">
        <is>
          <t>Entry 记录</t>
        </is>
      </c>
      <c r="B581" s="5">
        <f>IF('Daily Sale entry '!P581="","",'Daily Sale entry '!O581)</f>
        <v/>
      </c>
      <c r="C581">
        <f>IF('Daily Sale entry '!P581="","",'Daily Sale entry '!P581)</f>
        <v/>
      </c>
      <c r="D581">
        <f>IF(C581="","",IF('Daily Sale entry '!Q581="Credit Sale 赊销",'Daily Sale entry '!S581,0))</f>
        <v/>
      </c>
      <c r="E581">
        <f>IF(C581="","",IF('Daily Sale entry '!Q581="Collection 收款",'Daily Sale entry '!S581,0))</f>
        <v/>
      </c>
      <c r="F581" s="37">
        <f>IF(C581="","",B581+IF(E581&gt;0,0,0.5)+ROW()/10000000)</f>
        <v/>
      </c>
      <c r="G581">
        <f>IF(C581="","",'Daily Sale entry '!Q581&amp;IF('Daily Sale entry '!Q581="Collection 收款"," ("&amp;'Daily Sale entry '!R581&amp;")","")&amp;IF('Daily Sale entry '!U581="",""," - "&amp;'Daily Sale entry '!U581))</f>
        <v/>
      </c>
      <c r="H581">
        <f>IF(C581="","",COUNTIFS($C$2:$C$3001,C581,$F$2:$F$3001,"&lt;"&amp;F581)+1)</f>
        <v/>
      </c>
      <c r="I581">
        <f>IF(C581="","",C581&amp;"|"&amp;H581)</f>
        <v/>
      </c>
      <c r="J581" s="6">
        <f>IF(C581="","",IF(H581=1,SUMIFS('Opening Balance'!$F$4:$F$303,'Opening Balance'!$G$4:$G$303,C581),INDEX($L$2:$L$3001,MATCH(C581&amp;"|"&amp;(H581-1),$I$2:$I$3001,0))))</f>
        <v/>
      </c>
      <c r="K581" s="6">
        <f>IF(C581="","",IF(M581&gt;0,M581,IF(AND(E581&gt;0,ROUND(J581+D581-E581,2)&gt;0,ROUND(J581+D581-E581,2)&lt;'Opening Balance'!$B$14),ROUND(J581+D581-E581,2),0)))</f>
        <v/>
      </c>
      <c r="L581" s="6">
        <f>IF(C581="","",ROUND(J581+D581-E581-K581,2))</f>
        <v/>
      </c>
      <c r="M581" s="6">
        <f>IF(C581="","",IF('Daily Sale entry '!Q581="Collection 收款",ROUND(N('Daily Sale entry '!T581),2),0))</f>
        <v/>
      </c>
    </row>
    <row r="582">
      <c r="A582" t="inlineStr">
        <is>
          <t>Entry 记录</t>
        </is>
      </c>
      <c r="B582" s="5">
        <f>IF('Daily Sale entry '!P582="","",'Daily Sale entry '!O582)</f>
        <v/>
      </c>
      <c r="C582">
        <f>IF('Daily Sale entry '!P582="","",'Daily Sale entry '!P582)</f>
        <v/>
      </c>
      <c r="D582">
        <f>IF(C582="","",IF('Daily Sale entry '!Q582="Credit Sale 赊销",'Daily Sale entry '!S582,0))</f>
        <v/>
      </c>
      <c r="E582">
        <f>IF(C582="","",IF('Daily Sale entry '!Q582="Collection 收款",'Daily Sale entry '!S582,0))</f>
        <v/>
      </c>
      <c r="F582" s="37">
        <f>IF(C582="","",B582+IF(E582&gt;0,0,0.5)+ROW()/10000000)</f>
        <v/>
      </c>
      <c r="G582">
        <f>IF(C582="","",'Daily Sale entry '!Q582&amp;IF('Daily Sale entry '!Q582="Collection 收款"," ("&amp;'Daily Sale entry '!R582&amp;")","")&amp;IF('Daily Sale entry '!U582="",""," - "&amp;'Daily Sale entry '!U582))</f>
        <v/>
      </c>
      <c r="H582">
        <f>IF(C582="","",COUNTIFS($C$2:$C$3001,C582,$F$2:$F$3001,"&lt;"&amp;F582)+1)</f>
        <v/>
      </c>
      <c r="I582">
        <f>IF(C582="","",C582&amp;"|"&amp;H582)</f>
        <v/>
      </c>
      <c r="J582" s="6">
        <f>IF(C582="","",IF(H582=1,SUMIFS('Opening Balance'!$F$4:$F$303,'Opening Balance'!$G$4:$G$303,C582),INDEX($L$2:$L$3001,MATCH(C582&amp;"|"&amp;(H582-1),$I$2:$I$3001,0))))</f>
        <v/>
      </c>
      <c r="K582" s="6">
        <f>IF(C582="","",IF(M582&gt;0,M582,IF(AND(E582&gt;0,ROUND(J582+D582-E582,2)&gt;0,ROUND(J582+D582-E582,2)&lt;'Opening Balance'!$B$14),ROUND(J582+D582-E582,2),0)))</f>
        <v/>
      </c>
      <c r="L582" s="6">
        <f>IF(C582="","",ROUND(J582+D582-E582-K582,2))</f>
        <v/>
      </c>
      <c r="M582" s="6">
        <f>IF(C582="","",IF('Daily Sale entry '!Q582="Collection 收款",ROUND(N('Daily Sale entry '!T582),2),0))</f>
        <v/>
      </c>
    </row>
    <row r="583">
      <c r="A583" t="inlineStr">
        <is>
          <t>Entry 记录</t>
        </is>
      </c>
      <c r="B583" s="5">
        <f>IF('Daily Sale entry '!P583="","",'Daily Sale entry '!O583)</f>
        <v/>
      </c>
      <c r="C583">
        <f>IF('Daily Sale entry '!P583="","",'Daily Sale entry '!P583)</f>
        <v/>
      </c>
      <c r="D583">
        <f>IF(C583="","",IF('Daily Sale entry '!Q583="Credit Sale 赊销",'Daily Sale entry '!S583,0))</f>
        <v/>
      </c>
      <c r="E583">
        <f>IF(C583="","",IF('Daily Sale entry '!Q583="Collection 收款",'Daily Sale entry '!S583,0))</f>
        <v/>
      </c>
      <c r="F583" s="37">
        <f>IF(C583="","",B583+IF(E583&gt;0,0,0.5)+ROW()/10000000)</f>
        <v/>
      </c>
      <c r="G583">
        <f>IF(C583="","",'Daily Sale entry '!Q583&amp;IF('Daily Sale entry '!Q583="Collection 收款"," ("&amp;'Daily Sale entry '!R583&amp;")","")&amp;IF('Daily Sale entry '!U583="",""," - "&amp;'Daily Sale entry '!U583))</f>
        <v/>
      </c>
      <c r="H583">
        <f>IF(C583="","",COUNTIFS($C$2:$C$3001,C583,$F$2:$F$3001,"&lt;"&amp;F583)+1)</f>
        <v/>
      </c>
      <c r="I583">
        <f>IF(C583="","",C583&amp;"|"&amp;H583)</f>
        <v/>
      </c>
      <c r="J583" s="6">
        <f>IF(C583="","",IF(H583=1,SUMIFS('Opening Balance'!$F$4:$F$303,'Opening Balance'!$G$4:$G$303,C583),INDEX($L$2:$L$3001,MATCH(C583&amp;"|"&amp;(H583-1),$I$2:$I$3001,0))))</f>
        <v/>
      </c>
      <c r="K583" s="6">
        <f>IF(C583="","",IF(M583&gt;0,M583,IF(AND(E583&gt;0,ROUND(J583+D583-E583,2)&gt;0,ROUND(J583+D583-E583,2)&lt;'Opening Balance'!$B$14),ROUND(J583+D583-E583,2),0)))</f>
        <v/>
      </c>
      <c r="L583" s="6">
        <f>IF(C583="","",ROUND(J583+D583-E583-K583,2))</f>
        <v/>
      </c>
      <c r="M583" s="6">
        <f>IF(C583="","",IF('Daily Sale entry '!Q583="Collection 收款",ROUND(N('Daily Sale entry '!T583),2),0))</f>
        <v/>
      </c>
    </row>
    <row r="584">
      <c r="A584" t="inlineStr">
        <is>
          <t>Entry 记录</t>
        </is>
      </c>
      <c r="B584" s="5">
        <f>IF('Daily Sale entry '!P584="","",'Daily Sale entry '!O584)</f>
        <v/>
      </c>
      <c r="C584">
        <f>IF('Daily Sale entry '!P584="","",'Daily Sale entry '!P584)</f>
        <v/>
      </c>
      <c r="D584">
        <f>IF(C584="","",IF('Daily Sale entry '!Q584="Credit Sale 赊销",'Daily Sale entry '!S584,0))</f>
        <v/>
      </c>
      <c r="E584">
        <f>IF(C584="","",IF('Daily Sale entry '!Q584="Collection 收款",'Daily Sale entry '!S584,0))</f>
        <v/>
      </c>
      <c r="F584" s="37">
        <f>IF(C584="","",B584+IF(E584&gt;0,0,0.5)+ROW()/10000000)</f>
        <v/>
      </c>
      <c r="G584">
        <f>IF(C584="","",'Daily Sale entry '!Q584&amp;IF('Daily Sale entry '!Q584="Collection 收款"," ("&amp;'Daily Sale entry '!R584&amp;")","")&amp;IF('Daily Sale entry '!U584="",""," - "&amp;'Daily Sale entry '!U584))</f>
        <v/>
      </c>
      <c r="H584">
        <f>IF(C584="","",COUNTIFS($C$2:$C$3001,C584,$F$2:$F$3001,"&lt;"&amp;F584)+1)</f>
        <v/>
      </c>
      <c r="I584">
        <f>IF(C584="","",C584&amp;"|"&amp;H584)</f>
        <v/>
      </c>
      <c r="J584" s="6">
        <f>IF(C584="","",IF(H584=1,SUMIFS('Opening Balance'!$F$4:$F$303,'Opening Balance'!$G$4:$G$303,C584),INDEX($L$2:$L$3001,MATCH(C584&amp;"|"&amp;(H584-1),$I$2:$I$3001,0))))</f>
        <v/>
      </c>
      <c r="K584" s="6">
        <f>IF(C584="","",IF(M584&gt;0,M584,IF(AND(E584&gt;0,ROUND(J584+D584-E584,2)&gt;0,ROUND(J584+D584-E584,2)&lt;'Opening Balance'!$B$14),ROUND(J584+D584-E584,2),0)))</f>
        <v/>
      </c>
      <c r="L584" s="6">
        <f>IF(C584="","",ROUND(J584+D584-E584-K584,2))</f>
        <v/>
      </c>
      <c r="M584" s="6">
        <f>IF(C584="","",IF('Daily Sale entry '!Q584="Collection 收款",ROUND(N('Daily Sale entry '!T584),2),0))</f>
        <v/>
      </c>
    </row>
    <row r="585">
      <c r="A585" t="inlineStr">
        <is>
          <t>Entry 记录</t>
        </is>
      </c>
      <c r="B585" s="5">
        <f>IF('Daily Sale entry '!P585="","",'Daily Sale entry '!O585)</f>
        <v/>
      </c>
      <c r="C585">
        <f>IF('Daily Sale entry '!P585="","",'Daily Sale entry '!P585)</f>
        <v/>
      </c>
      <c r="D585">
        <f>IF(C585="","",IF('Daily Sale entry '!Q585="Credit Sale 赊销",'Daily Sale entry '!S585,0))</f>
        <v/>
      </c>
      <c r="E585">
        <f>IF(C585="","",IF('Daily Sale entry '!Q585="Collection 收款",'Daily Sale entry '!S585,0))</f>
        <v/>
      </c>
      <c r="F585" s="37">
        <f>IF(C585="","",B585+IF(E585&gt;0,0,0.5)+ROW()/10000000)</f>
        <v/>
      </c>
      <c r="G585">
        <f>IF(C585="","",'Daily Sale entry '!Q585&amp;IF('Daily Sale entry '!Q585="Collection 收款"," ("&amp;'Daily Sale entry '!R585&amp;")","")&amp;IF('Daily Sale entry '!U585="",""," - "&amp;'Daily Sale entry '!U585))</f>
        <v/>
      </c>
      <c r="H585">
        <f>IF(C585="","",COUNTIFS($C$2:$C$3001,C585,$F$2:$F$3001,"&lt;"&amp;F585)+1)</f>
        <v/>
      </c>
      <c r="I585">
        <f>IF(C585="","",C585&amp;"|"&amp;H585)</f>
        <v/>
      </c>
      <c r="J585" s="6">
        <f>IF(C585="","",IF(H585=1,SUMIFS('Opening Balance'!$F$4:$F$303,'Opening Balance'!$G$4:$G$303,C585),INDEX($L$2:$L$3001,MATCH(C585&amp;"|"&amp;(H585-1),$I$2:$I$3001,0))))</f>
        <v/>
      </c>
      <c r="K585" s="6">
        <f>IF(C585="","",IF(M585&gt;0,M585,IF(AND(E585&gt;0,ROUND(J585+D585-E585,2)&gt;0,ROUND(J585+D585-E585,2)&lt;'Opening Balance'!$B$14),ROUND(J585+D585-E585,2),0)))</f>
        <v/>
      </c>
      <c r="L585" s="6">
        <f>IF(C585="","",ROUND(J585+D585-E585-K585,2))</f>
        <v/>
      </c>
      <c r="M585" s="6">
        <f>IF(C585="","",IF('Daily Sale entry '!Q585="Collection 收款",ROUND(N('Daily Sale entry '!T585),2),0))</f>
        <v/>
      </c>
    </row>
    <row r="586">
      <c r="A586" t="inlineStr">
        <is>
          <t>Entry 记录</t>
        </is>
      </c>
      <c r="B586" s="5">
        <f>IF('Daily Sale entry '!P586="","",'Daily Sale entry '!O586)</f>
        <v/>
      </c>
      <c r="C586">
        <f>IF('Daily Sale entry '!P586="","",'Daily Sale entry '!P586)</f>
        <v/>
      </c>
      <c r="D586">
        <f>IF(C586="","",IF('Daily Sale entry '!Q586="Credit Sale 赊销",'Daily Sale entry '!S586,0))</f>
        <v/>
      </c>
      <c r="E586">
        <f>IF(C586="","",IF('Daily Sale entry '!Q586="Collection 收款",'Daily Sale entry '!S586,0))</f>
        <v/>
      </c>
      <c r="F586" s="37">
        <f>IF(C586="","",B586+IF(E586&gt;0,0,0.5)+ROW()/10000000)</f>
        <v/>
      </c>
      <c r="G586">
        <f>IF(C586="","",'Daily Sale entry '!Q586&amp;IF('Daily Sale entry '!Q586="Collection 收款"," ("&amp;'Daily Sale entry '!R586&amp;")","")&amp;IF('Daily Sale entry '!U586="",""," - "&amp;'Daily Sale entry '!U586))</f>
        <v/>
      </c>
      <c r="H586">
        <f>IF(C586="","",COUNTIFS($C$2:$C$3001,C586,$F$2:$F$3001,"&lt;"&amp;F586)+1)</f>
        <v/>
      </c>
      <c r="I586">
        <f>IF(C586="","",C586&amp;"|"&amp;H586)</f>
        <v/>
      </c>
      <c r="J586" s="6">
        <f>IF(C586="","",IF(H586=1,SUMIFS('Opening Balance'!$F$4:$F$303,'Opening Balance'!$G$4:$G$303,C586),INDEX($L$2:$L$3001,MATCH(C586&amp;"|"&amp;(H586-1),$I$2:$I$3001,0))))</f>
        <v/>
      </c>
      <c r="K586" s="6">
        <f>IF(C586="","",IF(M586&gt;0,M586,IF(AND(E586&gt;0,ROUND(J586+D586-E586,2)&gt;0,ROUND(J586+D586-E586,2)&lt;'Opening Balance'!$B$14),ROUND(J586+D586-E586,2),0)))</f>
        <v/>
      </c>
      <c r="L586" s="6">
        <f>IF(C586="","",ROUND(J586+D586-E586-K586,2))</f>
        <v/>
      </c>
      <c r="M586" s="6">
        <f>IF(C586="","",IF('Daily Sale entry '!Q586="Collection 收款",ROUND(N('Daily Sale entry '!T586),2),0))</f>
        <v/>
      </c>
    </row>
    <row r="587">
      <c r="A587" t="inlineStr">
        <is>
          <t>Entry 记录</t>
        </is>
      </c>
      <c r="B587" s="5">
        <f>IF('Daily Sale entry '!P587="","",'Daily Sale entry '!O587)</f>
        <v/>
      </c>
      <c r="C587">
        <f>IF('Daily Sale entry '!P587="","",'Daily Sale entry '!P587)</f>
        <v/>
      </c>
      <c r="D587">
        <f>IF(C587="","",IF('Daily Sale entry '!Q587="Credit Sale 赊销",'Daily Sale entry '!S587,0))</f>
        <v/>
      </c>
      <c r="E587">
        <f>IF(C587="","",IF('Daily Sale entry '!Q587="Collection 收款",'Daily Sale entry '!S587,0))</f>
        <v/>
      </c>
      <c r="F587" s="37">
        <f>IF(C587="","",B587+IF(E587&gt;0,0,0.5)+ROW()/10000000)</f>
        <v/>
      </c>
      <c r="G587">
        <f>IF(C587="","",'Daily Sale entry '!Q587&amp;IF('Daily Sale entry '!Q587="Collection 收款"," ("&amp;'Daily Sale entry '!R587&amp;")","")&amp;IF('Daily Sale entry '!U587="",""," - "&amp;'Daily Sale entry '!U587))</f>
        <v/>
      </c>
      <c r="H587">
        <f>IF(C587="","",COUNTIFS($C$2:$C$3001,C587,$F$2:$F$3001,"&lt;"&amp;F587)+1)</f>
        <v/>
      </c>
      <c r="I587">
        <f>IF(C587="","",C587&amp;"|"&amp;H587)</f>
        <v/>
      </c>
      <c r="J587" s="6">
        <f>IF(C587="","",IF(H587=1,SUMIFS('Opening Balance'!$F$4:$F$303,'Opening Balance'!$G$4:$G$303,C587),INDEX($L$2:$L$3001,MATCH(C587&amp;"|"&amp;(H587-1),$I$2:$I$3001,0))))</f>
        <v/>
      </c>
      <c r="K587" s="6">
        <f>IF(C587="","",IF(M587&gt;0,M587,IF(AND(E587&gt;0,ROUND(J587+D587-E587,2)&gt;0,ROUND(J587+D587-E587,2)&lt;'Opening Balance'!$B$14),ROUND(J587+D587-E587,2),0)))</f>
        <v/>
      </c>
      <c r="L587" s="6">
        <f>IF(C587="","",ROUND(J587+D587-E587-K587,2))</f>
        <v/>
      </c>
      <c r="M587" s="6">
        <f>IF(C587="","",IF('Daily Sale entry '!Q587="Collection 收款",ROUND(N('Daily Sale entry '!T587),2),0))</f>
        <v/>
      </c>
    </row>
    <row r="588">
      <c r="A588" t="inlineStr">
        <is>
          <t>Entry 记录</t>
        </is>
      </c>
      <c r="B588" s="5">
        <f>IF('Daily Sale entry '!P588="","",'Daily Sale entry '!O588)</f>
        <v/>
      </c>
      <c r="C588">
        <f>IF('Daily Sale entry '!P588="","",'Daily Sale entry '!P588)</f>
        <v/>
      </c>
      <c r="D588">
        <f>IF(C588="","",IF('Daily Sale entry '!Q588="Credit Sale 赊销",'Daily Sale entry '!S588,0))</f>
        <v/>
      </c>
      <c r="E588">
        <f>IF(C588="","",IF('Daily Sale entry '!Q588="Collection 收款",'Daily Sale entry '!S588,0))</f>
        <v/>
      </c>
      <c r="F588" s="37">
        <f>IF(C588="","",B588+IF(E588&gt;0,0,0.5)+ROW()/10000000)</f>
        <v/>
      </c>
      <c r="G588">
        <f>IF(C588="","",'Daily Sale entry '!Q588&amp;IF('Daily Sale entry '!Q588="Collection 收款"," ("&amp;'Daily Sale entry '!R588&amp;")","")&amp;IF('Daily Sale entry '!U588="",""," - "&amp;'Daily Sale entry '!U588))</f>
        <v/>
      </c>
      <c r="H588">
        <f>IF(C588="","",COUNTIFS($C$2:$C$3001,C588,$F$2:$F$3001,"&lt;"&amp;F588)+1)</f>
        <v/>
      </c>
      <c r="I588">
        <f>IF(C588="","",C588&amp;"|"&amp;H588)</f>
        <v/>
      </c>
      <c r="J588" s="6">
        <f>IF(C588="","",IF(H588=1,SUMIFS('Opening Balance'!$F$4:$F$303,'Opening Balance'!$G$4:$G$303,C588),INDEX($L$2:$L$3001,MATCH(C588&amp;"|"&amp;(H588-1),$I$2:$I$3001,0))))</f>
        <v/>
      </c>
      <c r="K588" s="6">
        <f>IF(C588="","",IF(M588&gt;0,M588,IF(AND(E588&gt;0,ROUND(J588+D588-E588,2)&gt;0,ROUND(J588+D588-E588,2)&lt;'Opening Balance'!$B$14),ROUND(J588+D588-E588,2),0)))</f>
        <v/>
      </c>
      <c r="L588" s="6">
        <f>IF(C588="","",ROUND(J588+D588-E588-K588,2))</f>
        <v/>
      </c>
      <c r="M588" s="6">
        <f>IF(C588="","",IF('Daily Sale entry '!Q588="Collection 收款",ROUND(N('Daily Sale entry '!T588),2),0))</f>
        <v/>
      </c>
    </row>
    <row r="589">
      <c r="A589" t="inlineStr">
        <is>
          <t>Entry 记录</t>
        </is>
      </c>
      <c r="B589" s="5">
        <f>IF('Daily Sale entry '!P589="","",'Daily Sale entry '!O589)</f>
        <v/>
      </c>
      <c r="C589">
        <f>IF('Daily Sale entry '!P589="","",'Daily Sale entry '!P589)</f>
        <v/>
      </c>
      <c r="D589">
        <f>IF(C589="","",IF('Daily Sale entry '!Q589="Credit Sale 赊销",'Daily Sale entry '!S589,0))</f>
        <v/>
      </c>
      <c r="E589">
        <f>IF(C589="","",IF('Daily Sale entry '!Q589="Collection 收款",'Daily Sale entry '!S589,0))</f>
        <v/>
      </c>
      <c r="F589" s="37">
        <f>IF(C589="","",B589+IF(E589&gt;0,0,0.5)+ROW()/10000000)</f>
        <v/>
      </c>
      <c r="G589">
        <f>IF(C589="","",'Daily Sale entry '!Q589&amp;IF('Daily Sale entry '!Q589="Collection 收款"," ("&amp;'Daily Sale entry '!R589&amp;")","")&amp;IF('Daily Sale entry '!U589="",""," - "&amp;'Daily Sale entry '!U589))</f>
        <v/>
      </c>
      <c r="H589">
        <f>IF(C589="","",COUNTIFS($C$2:$C$3001,C589,$F$2:$F$3001,"&lt;"&amp;F589)+1)</f>
        <v/>
      </c>
      <c r="I589">
        <f>IF(C589="","",C589&amp;"|"&amp;H589)</f>
        <v/>
      </c>
      <c r="J589" s="6">
        <f>IF(C589="","",IF(H589=1,SUMIFS('Opening Balance'!$F$4:$F$303,'Opening Balance'!$G$4:$G$303,C589),INDEX($L$2:$L$3001,MATCH(C589&amp;"|"&amp;(H589-1),$I$2:$I$3001,0))))</f>
        <v/>
      </c>
      <c r="K589" s="6">
        <f>IF(C589="","",IF(M589&gt;0,M589,IF(AND(E589&gt;0,ROUND(J589+D589-E589,2)&gt;0,ROUND(J589+D589-E589,2)&lt;'Opening Balance'!$B$14),ROUND(J589+D589-E589,2),0)))</f>
        <v/>
      </c>
      <c r="L589" s="6">
        <f>IF(C589="","",ROUND(J589+D589-E589-K589,2))</f>
        <v/>
      </c>
      <c r="M589" s="6">
        <f>IF(C589="","",IF('Daily Sale entry '!Q589="Collection 收款",ROUND(N('Daily Sale entry '!T589),2),0))</f>
        <v/>
      </c>
    </row>
    <row r="590">
      <c r="A590" t="inlineStr">
        <is>
          <t>Entry 记录</t>
        </is>
      </c>
      <c r="B590" s="5">
        <f>IF('Daily Sale entry '!P590="","",'Daily Sale entry '!O590)</f>
        <v/>
      </c>
      <c r="C590">
        <f>IF('Daily Sale entry '!P590="","",'Daily Sale entry '!P590)</f>
        <v/>
      </c>
      <c r="D590">
        <f>IF(C590="","",IF('Daily Sale entry '!Q590="Credit Sale 赊销",'Daily Sale entry '!S590,0))</f>
        <v/>
      </c>
      <c r="E590">
        <f>IF(C590="","",IF('Daily Sale entry '!Q590="Collection 收款",'Daily Sale entry '!S590,0))</f>
        <v/>
      </c>
      <c r="F590" s="37">
        <f>IF(C590="","",B590+IF(E590&gt;0,0,0.5)+ROW()/10000000)</f>
        <v/>
      </c>
      <c r="G590">
        <f>IF(C590="","",'Daily Sale entry '!Q590&amp;IF('Daily Sale entry '!Q590="Collection 收款"," ("&amp;'Daily Sale entry '!R590&amp;")","")&amp;IF('Daily Sale entry '!U590="",""," - "&amp;'Daily Sale entry '!U590))</f>
        <v/>
      </c>
      <c r="H590">
        <f>IF(C590="","",COUNTIFS($C$2:$C$3001,C590,$F$2:$F$3001,"&lt;"&amp;F590)+1)</f>
        <v/>
      </c>
      <c r="I590">
        <f>IF(C590="","",C590&amp;"|"&amp;H590)</f>
        <v/>
      </c>
      <c r="J590" s="6">
        <f>IF(C590="","",IF(H590=1,SUMIFS('Opening Balance'!$F$4:$F$303,'Opening Balance'!$G$4:$G$303,C590),INDEX($L$2:$L$3001,MATCH(C590&amp;"|"&amp;(H590-1),$I$2:$I$3001,0))))</f>
        <v/>
      </c>
      <c r="K590" s="6">
        <f>IF(C590="","",IF(M590&gt;0,M590,IF(AND(E590&gt;0,ROUND(J590+D590-E590,2)&gt;0,ROUND(J590+D590-E590,2)&lt;'Opening Balance'!$B$14),ROUND(J590+D590-E590,2),0)))</f>
        <v/>
      </c>
      <c r="L590" s="6">
        <f>IF(C590="","",ROUND(J590+D590-E590-K590,2))</f>
        <v/>
      </c>
      <c r="M590" s="6">
        <f>IF(C590="","",IF('Daily Sale entry '!Q590="Collection 收款",ROUND(N('Daily Sale entry '!T590),2),0))</f>
        <v/>
      </c>
    </row>
    <row r="591">
      <c r="A591" t="inlineStr">
        <is>
          <t>Entry 记录</t>
        </is>
      </c>
      <c r="B591" s="5">
        <f>IF('Daily Sale entry '!P591="","",'Daily Sale entry '!O591)</f>
        <v/>
      </c>
      <c r="C591">
        <f>IF('Daily Sale entry '!P591="","",'Daily Sale entry '!P591)</f>
        <v/>
      </c>
      <c r="D591">
        <f>IF(C591="","",IF('Daily Sale entry '!Q591="Credit Sale 赊销",'Daily Sale entry '!S591,0))</f>
        <v/>
      </c>
      <c r="E591">
        <f>IF(C591="","",IF('Daily Sale entry '!Q591="Collection 收款",'Daily Sale entry '!S591,0))</f>
        <v/>
      </c>
      <c r="F591" s="37">
        <f>IF(C591="","",B591+IF(E591&gt;0,0,0.5)+ROW()/10000000)</f>
        <v/>
      </c>
      <c r="G591">
        <f>IF(C591="","",'Daily Sale entry '!Q591&amp;IF('Daily Sale entry '!Q591="Collection 收款"," ("&amp;'Daily Sale entry '!R591&amp;")","")&amp;IF('Daily Sale entry '!U591="",""," - "&amp;'Daily Sale entry '!U591))</f>
        <v/>
      </c>
      <c r="H591">
        <f>IF(C591="","",COUNTIFS($C$2:$C$3001,C591,$F$2:$F$3001,"&lt;"&amp;F591)+1)</f>
        <v/>
      </c>
      <c r="I591">
        <f>IF(C591="","",C591&amp;"|"&amp;H591)</f>
        <v/>
      </c>
      <c r="J591" s="6">
        <f>IF(C591="","",IF(H591=1,SUMIFS('Opening Balance'!$F$4:$F$303,'Opening Balance'!$G$4:$G$303,C591),INDEX($L$2:$L$3001,MATCH(C591&amp;"|"&amp;(H591-1),$I$2:$I$3001,0))))</f>
        <v/>
      </c>
      <c r="K591" s="6">
        <f>IF(C591="","",IF(M591&gt;0,M591,IF(AND(E591&gt;0,ROUND(J591+D591-E591,2)&gt;0,ROUND(J591+D591-E591,2)&lt;'Opening Balance'!$B$14),ROUND(J591+D591-E591,2),0)))</f>
        <v/>
      </c>
      <c r="L591" s="6">
        <f>IF(C591="","",ROUND(J591+D591-E591-K591,2))</f>
        <v/>
      </c>
      <c r="M591" s="6">
        <f>IF(C591="","",IF('Daily Sale entry '!Q591="Collection 收款",ROUND(N('Daily Sale entry '!T591),2),0))</f>
        <v/>
      </c>
    </row>
    <row r="592">
      <c r="A592" t="inlineStr">
        <is>
          <t>Entry 记录</t>
        </is>
      </c>
      <c r="B592" s="5">
        <f>IF('Daily Sale entry '!P592="","",'Daily Sale entry '!O592)</f>
        <v/>
      </c>
      <c r="C592">
        <f>IF('Daily Sale entry '!P592="","",'Daily Sale entry '!P592)</f>
        <v/>
      </c>
      <c r="D592">
        <f>IF(C592="","",IF('Daily Sale entry '!Q592="Credit Sale 赊销",'Daily Sale entry '!S592,0))</f>
        <v/>
      </c>
      <c r="E592">
        <f>IF(C592="","",IF('Daily Sale entry '!Q592="Collection 收款",'Daily Sale entry '!S592,0))</f>
        <v/>
      </c>
      <c r="F592" s="37">
        <f>IF(C592="","",B592+IF(E592&gt;0,0,0.5)+ROW()/10000000)</f>
        <v/>
      </c>
      <c r="G592">
        <f>IF(C592="","",'Daily Sale entry '!Q592&amp;IF('Daily Sale entry '!Q592="Collection 收款"," ("&amp;'Daily Sale entry '!R592&amp;")","")&amp;IF('Daily Sale entry '!U592="",""," - "&amp;'Daily Sale entry '!U592))</f>
        <v/>
      </c>
      <c r="H592">
        <f>IF(C592="","",COUNTIFS($C$2:$C$3001,C592,$F$2:$F$3001,"&lt;"&amp;F592)+1)</f>
        <v/>
      </c>
      <c r="I592">
        <f>IF(C592="","",C592&amp;"|"&amp;H592)</f>
        <v/>
      </c>
      <c r="J592" s="6">
        <f>IF(C592="","",IF(H592=1,SUMIFS('Opening Balance'!$F$4:$F$303,'Opening Balance'!$G$4:$G$303,C592),INDEX($L$2:$L$3001,MATCH(C592&amp;"|"&amp;(H592-1),$I$2:$I$3001,0))))</f>
        <v/>
      </c>
      <c r="K592" s="6">
        <f>IF(C592="","",IF(M592&gt;0,M592,IF(AND(E592&gt;0,ROUND(J592+D592-E592,2)&gt;0,ROUND(J592+D592-E592,2)&lt;'Opening Balance'!$B$14),ROUND(J592+D592-E592,2),0)))</f>
        <v/>
      </c>
      <c r="L592" s="6">
        <f>IF(C592="","",ROUND(J592+D592-E592-K592,2))</f>
        <v/>
      </c>
      <c r="M592" s="6">
        <f>IF(C592="","",IF('Daily Sale entry '!Q592="Collection 收款",ROUND(N('Daily Sale entry '!T592),2),0))</f>
        <v/>
      </c>
    </row>
    <row r="593">
      <c r="A593" t="inlineStr">
        <is>
          <t>Entry 记录</t>
        </is>
      </c>
      <c r="B593" s="5">
        <f>IF('Daily Sale entry '!P593="","",'Daily Sale entry '!O593)</f>
        <v/>
      </c>
      <c r="C593">
        <f>IF('Daily Sale entry '!P593="","",'Daily Sale entry '!P593)</f>
        <v/>
      </c>
      <c r="D593">
        <f>IF(C593="","",IF('Daily Sale entry '!Q593="Credit Sale 赊销",'Daily Sale entry '!S593,0))</f>
        <v/>
      </c>
      <c r="E593">
        <f>IF(C593="","",IF('Daily Sale entry '!Q593="Collection 收款",'Daily Sale entry '!S593,0))</f>
        <v/>
      </c>
      <c r="F593" s="37">
        <f>IF(C593="","",B593+IF(E593&gt;0,0,0.5)+ROW()/10000000)</f>
        <v/>
      </c>
      <c r="G593">
        <f>IF(C593="","",'Daily Sale entry '!Q593&amp;IF('Daily Sale entry '!Q593="Collection 收款"," ("&amp;'Daily Sale entry '!R593&amp;")","")&amp;IF('Daily Sale entry '!U593="",""," - "&amp;'Daily Sale entry '!U593))</f>
        <v/>
      </c>
      <c r="H593">
        <f>IF(C593="","",COUNTIFS($C$2:$C$3001,C593,$F$2:$F$3001,"&lt;"&amp;F593)+1)</f>
        <v/>
      </c>
      <c r="I593">
        <f>IF(C593="","",C593&amp;"|"&amp;H593)</f>
        <v/>
      </c>
      <c r="J593" s="6">
        <f>IF(C593="","",IF(H593=1,SUMIFS('Opening Balance'!$F$4:$F$303,'Opening Balance'!$G$4:$G$303,C593),INDEX($L$2:$L$3001,MATCH(C593&amp;"|"&amp;(H593-1),$I$2:$I$3001,0))))</f>
        <v/>
      </c>
      <c r="K593" s="6">
        <f>IF(C593="","",IF(M593&gt;0,M593,IF(AND(E593&gt;0,ROUND(J593+D593-E593,2)&gt;0,ROUND(J593+D593-E593,2)&lt;'Opening Balance'!$B$14),ROUND(J593+D593-E593,2),0)))</f>
        <v/>
      </c>
      <c r="L593" s="6">
        <f>IF(C593="","",ROUND(J593+D593-E593-K593,2))</f>
        <v/>
      </c>
      <c r="M593" s="6">
        <f>IF(C593="","",IF('Daily Sale entry '!Q593="Collection 收款",ROUND(N('Daily Sale entry '!T593),2),0))</f>
        <v/>
      </c>
    </row>
    <row r="594">
      <c r="A594" t="inlineStr">
        <is>
          <t>Entry 记录</t>
        </is>
      </c>
      <c r="B594" s="5">
        <f>IF('Daily Sale entry '!P594="","",'Daily Sale entry '!O594)</f>
        <v/>
      </c>
      <c r="C594">
        <f>IF('Daily Sale entry '!P594="","",'Daily Sale entry '!P594)</f>
        <v/>
      </c>
      <c r="D594">
        <f>IF(C594="","",IF('Daily Sale entry '!Q594="Credit Sale 赊销",'Daily Sale entry '!S594,0))</f>
        <v/>
      </c>
      <c r="E594">
        <f>IF(C594="","",IF('Daily Sale entry '!Q594="Collection 收款",'Daily Sale entry '!S594,0))</f>
        <v/>
      </c>
      <c r="F594" s="37">
        <f>IF(C594="","",B594+IF(E594&gt;0,0,0.5)+ROW()/10000000)</f>
        <v/>
      </c>
      <c r="G594">
        <f>IF(C594="","",'Daily Sale entry '!Q594&amp;IF('Daily Sale entry '!Q594="Collection 收款"," ("&amp;'Daily Sale entry '!R594&amp;")","")&amp;IF('Daily Sale entry '!U594="",""," - "&amp;'Daily Sale entry '!U594))</f>
        <v/>
      </c>
      <c r="H594">
        <f>IF(C594="","",COUNTIFS($C$2:$C$3001,C594,$F$2:$F$3001,"&lt;"&amp;F594)+1)</f>
        <v/>
      </c>
      <c r="I594">
        <f>IF(C594="","",C594&amp;"|"&amp;H594)</f>
        <v/>
      </c>
      <c r="J594" s="6">
        <f>IF(C594="","",IF(H594=1,SUMIFS('Opening Balance'!$F$4:$F$303,'Opening Balance'!$G$4:$G$303,C594),INDEX($L$2:$L$3001,MATCH(C594&amp;"|"&amp;(H594-1),$I$2:$I$3001,0))))</f>
        <v/>
      </c>
      <c r="K594" s="6">
        <f>IF(C594="","",IF(M594&gt;0,M594,IF(AND(E594&gt;0,ROUND(J594+D594-E594,2)&gt;0,ROUND(J594+D594-E594,2)&lt;'Opening Balance'!$B$14),ROUND(J594+D594-E594,2),0)))</f>
        <v/>
      </c>
      <c r="L594" s="6">
        <f>IF(C594="","",ROUND(J594+D594-E594-K594,2))</f>
        <v/>
      </c>
      <c r="M594" s="6">
        <f>IF(C594="","",IF('Daily Sale entry '!Q594="Collection 收款",ROUND(N('Daily Sale entry '!T594),2),0))</f>
        <v/>
      </c>
    </row>
    <row r="595">
      <c r="A595" t="inlineStr">
        <is>
          <t>Entry 记录</t>
        </is>
      </c>
      <c r="B595" s="5">
        <f>IF('Daily Sale entry '!P595="","",'Daily Sale entry '!O595)</f>
        <v/>
      </c>
      <c r="C595">
        <f>IF('Daily Sale entry '!P595="","",'Daily Sale entry '!P595)</f>
        <v/>
      </c>
      <c r="D595">
        <f>IF(C595="","",IF('Daily Sale entry '!Q595="Credit Sale 赊销",'Daily Sale entry '!S595,0))</f>
        <v/>
      </c>
      <c r="E595">
        <f>IF(C595="","",IF('Daily Sale entry '!Q595="Collection 收款",'Daily Sale entry '!S595,0))</f>
        <v/>
      </c>
      <c r="F595" s="37">
        <f>IF(C595="","",B595+IF(E595&gt;0,0,0.5)+ROW()/10000000)</f>
        <v/>
      </c>
      <c r="G595">
        <f>IF(C595="","",'Daily Sale entry '!Q595&amp;IF('Daily Sale entry '!Q595="Collection 收款"," ("&amp;'Daily Sale entry '!R595&amp;")","")&amp;IF('Daily Sale entry '!U595="",""," - "&amp;'Daily Sale entry '!U595))</f>
        <v/>
      </c>
      <c r="H595">
        <f>IF(C595="","",COUNTIFS($C$2:$C$3001,C595,$F$2:$F$3001,"&lt;"&amp;F595)+1)</f>
        <v/>
      </c>
      <c r="I595">
        <f>IF(C595="","",C595&amp;"|"&amp;H595)</f>
        <v/>
      </c>
      <c r="J595" s="6">
        <f>IF(C595="","",IF(H595=1,SUMIFS('Opening Balance'!$F$4:$F$303,'Opening Balance'!$G$4:$G$303,C595),INDEX($L$2:$L$3001,MATCH(C595&amp;"|"&amp;(H595-1),$I$2:$I$3001,0))))</f>
        <v/>
      </c>
      <c r="K595" s="6">
        <f>IF(C595="","",IF(M595&gt;0,M595,IF(AND(E595&gt;0,ROUND(J595+D595-E595,2)&gt;0,ROUND(J595+D595-E595,2)&lt;'Opening Balance'!$B$14),ROUND(J595+D595-E595,2),0)))</f>
        <v/>
      </c>
      <c r="L595" s="6">
        <f>IF(C595="","",ROUND(J595+D595-E595-K595,2))</f>
        <v/>
      </c>
      <c r="M595" s="6">
        <f>IF(C595="","",IF('Daily Sale entry '!Q595="Collection 收款",ROUND(N('Daily Sale entry '!T595),2),0))</f>
        <v/>
      </c>
    </row>
    <row r="596">
      <c r="A596" t="inlineStr">
        <is>
          <t>Entry 记录</t>
        </is>
      </c>
      <c r="B596" s="5">
        <f>IF('Daily Sale entry '!P596="","",'Daily Sale entry '!O596)</f>
        <v/>
      </c>
      <c r="C596">
        <f>IF('Daily Sale entry '!P596="","",'Daily Sale entry '!P596)</f>
        <v/>
      </c>
      <c r="D596">
        <f>IF(C596="","",IF('Daily Sale entry '!Q596="Credit Sale 赊销",'Daily Sale entry '!S596,0))</f>
        <v/>
      </c>
      <c r="E596">
        <f>IF(C596="","",IF('Daily Sale entry '!Q596="Collection 收款",'Daily Sale entry '!S596,0))</f>
        <v/>
      </c>
      <c r="F596" s="37">
        <f>IF(C596="","",B596+IF(E596&gt;0,0,0.5)+ROW()/10000000)</f>
        <v/>
      </c>
      <c r="G596">
        <f>IF(C596="","",'Daily Sale entry '!Q596&amp;IF('Daily Sale entry '!Q596="Collection 收款"," ("&amp;'Daily Sale entry '!R596&amp;")","")&amp;IF('Daily Sale entry '!U596="",""," - "&amp;'Daily Sale entry '!U596))</f>
        <v/>
      </c>
      <c r="H596">
        <f>IF(C596="","",COUNTIFS($C$2:$C$3001,C596,$F$2:$F$3001,"&lt;"&amp;F596)+1)</f>
        <v/>
      </c>
      <c r="I596">
        <f>IF(C596="","",C596&amp;"|"&amp;H596)</f>
        <v/>
      </c>
      <c r="J596" s="6">
        <f>IF(C596="","",IF(H596=1,SUMIFS('Opening Balance'!$F$4:$F$303,'Opening Balance'!$G$4:$G$303,C596),INDEX($L$2:$L$3001,MATCH(C596&amp;"|"&amp;(H596-1),$I$2:$I$3001,0))))</f>
        <v/>
      </c>
      <c r="K596" s="6">
        <f>IF(C596="","",IF(M596&gt;0,M596,IF(AND(E596&gt;0,ROUND(J596+D596-E596,2)&gt;0,ROUND(J596+D596-E596,2)&lt;'Opening Balance'!$B$14),ROUND(J596+D596-E596,2),0)))</f>
        <v/>
      </c>
      <c r="L596" s="6">
        <f>IF(C596="","",ROUND(J596+D596-E596-K596,2))</f>
        <v/>
      </c>
      <c r="M596" s="6">
        <f>IF(C596="","",IF('Daily Sale entry '!Q596="Collection 收款",ROUND(N('Daily Sale entry '!T596),2),0))</f>
        <v/>
      </c>
    </row>
    <row r="597">
      <c r="A597" t="inlineStr">
        <is>
          <t>Entry 记录</t>
        </is>
      </c>
      <c r="B597" s="5">
        <f>IF('Daily Sale entry '!P597="","",'Daily Sale entry '!O597)</f>
        <v/>
      </c>
      <c r="C597">
        <f>IF('Daily Sale entry '!P597="","",'Daily Sale entry '!P597)</f>
        <v/>
      </c>
      <c r="D597">
        <f>IF(C597="","",IF('Daily Sale entry '!Q597="Credit Sale 赊销",'Daily Sale entry '!S597,0))</f>
        <v/>
      </c>
      <c r="E597">
        <f>IF(C597="","",IF('Daily Sale entry '!Q597="Collection 收款",'Daily Sale entry '!S597,0))</f>
        <v/>
      </c>
      <c r="F597" s="37">
        <f>IF(C597="","",B597+IF(E597&gt;0,0,0.5)+ROW()/10000000)</f>
        <v/>
      </c>
      <c r="G597">
        <f>IF(C597="","",'Daily Sale entry '!Q597&amp;IF('Daily Sale entry '!Q597="Collection 收款"," ("&amp;'Daily Sale entry '!R597&amp;")","")&amp;IF('Daily Sale entry '!U597="",""," - "&amp;'Daily Sale entry '!U597))</f>
        <v/>
      </c>
      <c r="H597">
        <f>IF(C597="","",COUNTIFS($C$2:$C$3001,C597,$F$2:$F$3001,"&lt;"&amp;F597)+1)</f>
        <v/>
      </c>
      <c r="I597">
        <f>IF(C597="","",C597&amp;"|"&amp;H597)</f>
        <v/>
      </c>
      <c r="J597" s="6">
        <f>IF(C597="","",IF(H597=1,SUMIFS('Opening Balance'!$F$4:$F$303,'Opening Balance'!$G$4:$G$303,C597),INDEX($L$2:$L$3001,MATCH(C597&amp;"|"&amp;(H597-1),$I$2:$I$3001,0))))</f>
        <v/>
      </c>
      <c r="K597" s="6">
        <f>IF(C597="","",IF(M597&gt;0,M597,IF(AND(E597&gt;0,ROUND(J597+D597-E597,2)&gt;0,ROUND(J597+D597-E597,2)&lt;'Opening Balance'!$B$14),ROUND(J597+D597-E597,2),0)))</f>
        <v/>
      </c>
      <c r="L597" s="6">
        <f>IF(C597="","",ROUND(J597+D597-E597-K597,2))</f>
        <v/>
      </c>
      <c r="M597" s="6">
        <f>IF(C597="","",IF('Daily Sale entry '!Q597="Collection 收款",ROUND(N('Daily Sale entry '!T597),2),0))</f>
        <v/>
      </c>
    </row>
    <row r="598">
      <c r="A598" t="inlineStr">
        <is>
          <t>Entry 记录</t>
        </is>
      </c>
      <c r="B598" s="5">
        <f>IF('Daily Sale entry '!P598="","",'Daily Sale entry '!O598)</f>
        <v/>
      </c>
      <c r="C598">
        <f>IF('Daily Sale entry '!P598="","",'Daily Sale entry '!P598)</f>
        <v/>
      </c>
      <c r="D598">
        <f>IF(C598="","",IF('Daily Sale entry '!Q598="Credit Sale 赊销",'Daily Sale entry '!S598,0))</f>
        <v/>
      </c>
      <c r="E598">
        <f>IF(C598="","",IF('Daily Sale entry '!Q598="Collection 收款",'Daily Sale entry '!S598,0))</f>
        <v/>
      </c>
      <c r="F598" s="37">
        <f>IF(C598="","",B598+IF(E598&gt;0,0,0.5)+ROW()/10000000)</f>
        <v/>
      </c>
      <c r="G598">
        <f>IF(C598="","",'Daily Sale entry '!Q598&amp;IF('Daily Sale entry '!Q598="Collection 收款"," ("&amp;'Daily Sale entry '!R598&amp;")","")&amp;IF('Daily Sale entry '!U598="",""," - "&amp;'Daily Sale entry '!U598))</f>
        <v/>
      </c>
      <c r="H598">
        <f>IF(C598="","",COUNTIFS($C$2:$C$3001,C598,$F$2:$F$3001,"&lt;"&amp;F598)+1)</f>
        <v/>
      </c>
      <c r="I598">
        <f>IF(C598="","",C598&amp;"|"&amp;H598)</f>
        <v/>
      </c>
      <c r="J598" s="6">
        <f>IF(C598="","",IF(H598=1,SUMIFS('Opening Balance'!$F$4:$F$303,'Opening Balance'!$G$4:$G$303,C598),INDEX($L$2:$L$3001,MATCH(C598&amp;"|"&amp;(H598-1),$I$2:$I$3001,0))))</f>
        <v/>
      </c>
      <c r="K598" s="6">
        <f>IF(C598="","",IF(M598&gt;0,M598,IF(AND(E598&gt;0,ROUND(J598+D598-E598,2)&gt;0,ROUND(J598+D598-E598,2)&lt;'Opening Balance'!$B$14),ROUND(J598+D598-E598,2),0)))</f>
        <v/>
      </c>
      <c r="L598" s="6">
        <f>IF(C598="","",ROUND(J598+D598-E598-K598,2))</f>
        <v/>
      </c>
      <c r="M598" s="6">
        <f>IF(C598="","",IF('Daily Sale entry '!Q598="Collection 收款",ROUND(N('Daily Sale entry '!T598),2),0))</f>
        <v/>
      </c>
    </row>
    <row r="599">
      <c r="A599" t="inlineStr">
        <is>
          <t>Entry 记录</t>
        </is>
      </c>
      <c r="B599" s="5">
        <f>IF('Daily Sale entry '!P599="","",'Daily Sale entry '!O599)</f>
        <v/>
      </c>
      <c r="C599">
        <f>IF('Daily Sale entry '!P599="","",'Daily Sale entry '!P599)</f>
        <v/>
      </c>
      <c r="D599">
        <f>IF(C599="","",IF('Daily Sale entry '!Q599="Credit Sale 赊销",'Daily Sale entry '!S599,0))</f>
        <v/>
      </c>
      <c r="E599">
        <f>IF(C599="","",IF('Daily Sale entry '!Q599="Collection 收款",'Daily Sale entry '!S599,0))</f>
        <v/>
      </c>
      <c r="F599" s="37">
        <f>IF(C599="","",B599+IF(E599&gt;0,0,0.5)+ROW()/10000000)</f>
        <v/>
      </c>
      <c r="G599">
        <f>IF(C599="","",'Daily Sale entry '!Q599&amp;IF('Daily Sale entry '!Q599="Collection 收款"," ("&amp;'Daily Sale entry '!R599&amp;")","")&amp;IF('Daily Sale entry '!U599="",""," - "&amp;'Daily Sale entry '!U599))</f>
        <v/>
      </c>
      <c r="H599">
        <f>IF(C599="","",COUNTIFS($C$2:$C$3001,C599,$F$2:$F$3001,"&lt;"&amp;F599)+1)</f>
        <v/>
      </c>
      <c r="I599">
        <f>IF(C599="","",C599&amp;"|"&amp;H599)</f>
        <v/>
      </c>
      <c r="J599" s="6">
        <f>IF(C599="","",IF(H599=1,SUMIFS('Opening Balance'!$F$4:$F$303,'Opening Balance'!$G$4:$G$303,C599),INDEX($L$2:$L$3001,MATCH(C599&amp;"|"&amp;(H599-1),$I$2:$I$3001,0))))</f>
        <v/>
      </c>
      <c r="K599" s="6">
        <f>IF(C599="","",IF(M599&gt;0,M599,IF(AND(E599&gt;0,ROUND(J599+D599-E599,2)&gt;0,ROUND(J599+D599-E599,2)&lt;'Opening Balance'!$B$14),ROUND(J599+D599-E599,2),0)))</f>
        <v/>
      </c>
      <c r="L599" s="6">
        <f>IF(C599="","",ROUND(J599+D599-E599-K599,2))</f>
        <v/>
      </c>
      <c r="M599" s="6">
        <f>IF(C599="","",IF('Daily Sale entry '!Q599="Collection 收款",ROUND(N('Daily Sale entry '!T599),2),0))</f>
        <v/>
      </c>
    </row>
    <row r="600">
      <c r="A600" t="inlineStr">
        <is>
          <t>Entry 记录</t>
        </is>
      </c>
      <c r="B600" s="5">
        <f>IF('Daily Sale entry '!P600="","",'Daily Sale entry '!O600)</f>
        <v/>
      </c>
      <c r="C600">
        <f>IF('Daily Sale entry '!P600="","",'Daily Sale entry '!P600)</f>
        <v/>
      </c>
      <c r="D600">
        <f>IF(C600="","",IF('Daily Sale entry '!Q600="Credit Sale 赊销",'Daily Sale entry '!S600,0))</f>
        <v/>
      </c>
      <c r="E600">
        <f>IF(C600="","",IF('Daily Sale entry '!Q600="Collection 收款",'Daily Sale entry '!S600,0))</f>
        <v/>
      </c>
      <c r="F600" s="37">
        <f>IF(C600="","",B600+IF(E600&gt;0,0,0.5)+ROW()/10000000)</f>
        <v/>
      </c>
      <c r="G600">
        <f>IF(C600="","",'Daily Sale entry '!Q600&amp;IF('Daily Sale entry '!Q600="Collection 收款"," ("&amp;'Daily Sale entry '!R600&amp;")","")&amp;IF('Daily Sale entry '!U600="",""," - "&amp;'Daily Sale entry '!U600))</f>
        <v/>
      </c>
      <c r="H600">
        <f>IF(C600="","",COUNTIFS($C$2:$C$3001,C600,$F$2:$F$3001,"&lt;"&amp;F600)+1)</f>
        <v/>
      </c>
      <c r="I600">
        <f>IF(C600="","",C600&amp;"|"&amp;H600)</f>
        <v/>
      </c>
      <c r="J600" s="6">
        <f>IF(C600="","",IF(H600=1,SUMIFS('Opening Balance'!$F$4:$F$303,'Opening Balance'!$G$4:$G$303,C600),INDEX($L$2:$L$3001,MATCH(C600&amp;"|"&amp;(H600-1),$I$2:$I$3001,0))))</f>
        <v/>
      </c>
      <c r="K600" s="6">
        <f>IF(C600="","",IF(M600&gt;0,M600,IF(AND(E600&gt;0,ROUND(J600+D600-E600,2)&gt;0,ROUND(J600+D600-E600,2)&lt;'Opening Balance'!$B$14),ROUND(J600+D600-E600,2),0)))</f>
        <v/>
      </c>
      <c r="L600" s="6">
        <f>IF(C600="","",ROUND(J600+D600-E600-K600,2))</f>
        <v/>
      </c>
      <c r="M600" s="6">
        <f>IF(C600="","",IF('Daily Sale entry '!Q600="Collection 收款",ROUND(N('Daily Sale entry '!T600),2),0))</f>
        <v/>
      </c>
    </row>
    <row r="601">
      <c r="A601" t="inlineStr">
        <is>
          <t>Entry 记录</t>
        </is>
      </c>
      <c r="B601" s="5">
        <f>IF('Daily Sale entry '!P601="","",'Daily Sale entry '!O601)</f>
        <v/>
      </c>
      <c r="C601">
        <f>IF('Daily Sale entry '!P601="","",'Daily Sale entry '!P601)</f>
        <v/>
      </c>
      <c r="D601">
        <f>IF(C601="","",IF('Daily Sale entry '!Q601="Credit Sale 赊销",'Daily Sale entry '!S601,0))</f>
        <v/>
      </c>
      <c r="E601">
        <f>IF(C601="","",IF('Daily Sale entry '!Q601="Collection 收款",'Daily Sale entry '!S601,0))</f>
        <v/>
      </c>
      <c r="F601" s="37">
        <f>IF(C601="","",B601+IF(E601&gt;0,0,0.5)+ROW()/10000000)</f>
        <v/>
      </c>
      <c r="G601">
        <f>IF(C601="","",'Daily Sale entry '!Q601&amp;IF('Daily Sale entry '!Q601="Collection 收款"," ("&amp;'Daily Sale entry '!R601&amp;")","")&amp;IF('Daily Sale entry '!U601="",""," - "&amp;'Daily Sale entry '!U601))</f>
        <v/>
      </c>
      <c r="H601">
        <f>IF(C601="","",COUNTIFS($C$2:$C$3001,C601,$F$2:$F$3001,"&lt;"&amp;F601)+1)</f>
        <v/>
      </c>
      <c r="I601">
        <f>IF(C601="","",C601&amp;"|"&amp;H601)</f>
        <v/>
      </c>
      <c r="J601" s="6">
        <f>IF(C601="","",IF(H601=1,SUMIFS('Opening Balance'!$F$4:$F$303,'Opening Balance'!$G$4:$G$303,C601),INDEX($L$2:$L$3001,MATCH(C601&amp;"|"&amp;(H601-1),$I$2:$I$3001,0))))</f>
        <v/>
      </c>
      <c r="K601" s="6">
        <f>IF(C601="","",IF(M601&gt;0,M601,IF(AND(E601&gt;0,ROUND(J601+D601-E601,2)&gt;0,ROUND(J601+D601-E601,2)&lt;'Opening Balance'!$B$14),ROUND(J601+D601-E601,2),0)))</f>
        <v/>
      </c>
      <c r="L601" s="6">
        <f>IF(C601="","",ROUND(J601+D601-E601-K601,2))</f>
        <v/>
      </c>
      <c r="M601" s="6">
        <f>IF(C601="","",IF('Daily Sale entry '!Q601="Collection 收款",ROUND(N('Daily Sale entry '!T601),2),0))</f>
        <v/>
      </c>
    </row>
    <row r="602">
      <c r="A602" t="inlineStr">
        <is>
          <t>Entry 记录</t>
        </is>
      </c>
      <c r="B602" s="5">
        <f>IF('Daily Sale entry '!P602="","",'Daily Sale entry '!O602)</f>
        <v/>
      </c>
      <c r="C602">
        <f>IF('Daily Sale entry '!P602="","",'Daily Sale entry '!P602)</f>
        <v/>
      </c>
      <c r="D602">
        <f>IF(C602="","",IF('Daily Sale entry '!Q602="Credit Sale 赊销",'Daily Sale entry '!S602,0))</f>
        <v/>
      </c>
      <c r="E602">
        <f>IF(C602="","",IF('Daily Sale entry '!Q602="Collection 收款",'Daily Sale entry '!S602,0))</f>
        <v/>
      </c>
      <c r="F602" s="37">
        <f>IF(C602="","",B602+IF(E602&gt;0,0,0.5)+ROW()/10000000)</f>
        <v/>
      </c>
      <c r="G602">
        <f>IF(C602="","",'Daily Sale entry '!Q602&amp;IF('Daily Sale entry '!Q602="Collection 收款"," ("&amp;'Daily Sale entry '!R602&amp;")","")&amp;IF('Daily Sale entry '!U602="",""," - "&amp;'Daily Sale entry '!U602))</f>
        <v/>
      </c>
      <c r="H602">
        <f>IF(C602="","",COUNTIFS($C$2:$C$3001,C602,$F$2:$F$3001,"&lt;"&amp;F602)+1)</f>
        <v/>
      </c>
      <c r="I602">
        <f>IF(C602="","",C602&amp;"|"&amp;H602)</f>
        <v/>
      </c>
      <c r="J602" s="6">
        <f>IF(C602="","",IF(H602=1,SUMIFS('Opening Balance'!$F$4:$F$303,'Opening Balance'!$G$4:$G$303,C602),INDEX($L$2:$L$3001,MATCH(C602&amp;"|"&amp;(H602-1),$I$2:$I$3001,0))))</f>
        <v/>
      </c>
      <c r="K602" s="6">
        <f>IF(C602="","",IF(M602&gt;0,M602,IF(AND(E602&gt;0,ROUND(J602+D602-E602,2)&gt;0,ROUND(J602+D602-E602,2)&lt;'Opening Balance'!$B$14),ROUND(J602+D602-E602,2),0)))</f>
        <v/>
      </c>
      <c r="L602" s="6">
        <f>IF(C602="","",ROUND(J602+D602-E602-K602,2))</f>
        <v/>
      </c>
      <c r="M602" s="6">
        <f>IF(C602="","",IF('Daily Sale entry '!Q602="Collection 收款",ROUND(N('Daily Sale entry '!T602),2),0))</f>
        <v/>
      </c>
    </row>
    <row r="603">
      <c r="A603" t="inlineStr">
        <is>
          <t>Entry 记录</t>
        </is>
      </c>
      <c r="B603" s="5">
        <f>IF('Daily Sale entry '!P603="","",'Daily Sale entry '!O603)</f>
        <v/>
      </c>
      <c r="C603">
        <f>IF('Daily Sale entry '!P603="","",'Daily Sale entry '!P603)</f>
        <v/>
      </c>
      <c r="D603">
        <f>IF(C603="","",IF('Daily Sale entry '!Q603="Credit Sale 赊销",'Daily Sale entry '!S603,0))</f>
        <v/>
      </c>
      <c r="E603">
        <f>IF(C603="","",IF('Daily Sale entry '!Q603="Collection 收款",'Daily Sale entry '!S603,0))</f>
        <v/>
      </c>
      <c r="F603" s="37">
        <f>IF(C603="","",B603+IF(E603&gt;0,0,0.5)+ROW()/10000000)</f>
        <v/>
      </c>
      <c r="G603">
        <f>IF(C603="","",'Daily Sale entry '!Q603&amp;IF('Daily Sale entry '!Q603="Collection 收款"," ("&amp;'Daily Sale entry '!R603&amp;")","")&amp;IF('Daily Sale entry '!U603="",""," - "&amp;'Daily Sale entry '!U603))</f>
        <v/>
      </c>
      <c r="H603">
        <f>IF(C603="","",COUNTIFS($C$2:$C$3001,C603,$F$2:$F$3001,"&lt;"&amp;F603)+1)</f>
        <v/>
      </c>
      <c r="I603">
        <f>IF(C603="","",C603&amp;"|"&amp;H603)</f>
        <v/>
      </c>
      <c r="J603" s="6">
        <f>IF(C603="","",IF(H603=1,SUMIFS('Opening Balance'!$F$4:$F$303,'Opening Balance'!$G$4:$G$303,C603),INDEX($L$2:$L$3001,MATCH(C603&amp;"|"&amp;(H603-1),$I$2:$I$3001,0))))</f>
        <v/>
      </c>
      <c r="K603" s="6">
        <f>IF(C603="","",IF(M603&gt;0,M603,IF(AND(E603&gt;0,ROUND(J603+D603-E603,2)&gt;0,ROUND(J603+D603-E603,2)&lt;'Opening Balance'!$B$14),ROUND(J603+D603-E603,2),0)))</f>
        <v/>
      </c>
      <c r="L603" s="6">
        <f>IF(C603="","",ROUND(J603+D603-E603-K603,2))</f>
        <v/>
      </c>
      <c r="M603" s="6">
        <f>IF(C603="","",IF('Daily Sale entry '!Q603="Collection 收款",ROUND(N('Daily Sale entry '!T603),2),0))</f>
        <v/>
      </c>
    </row>
    <row r="604">
      <c r="A604" t="inlineStr">
        <is>
          <t>Entry 记录</t>
        </is>
      </c>
      <c r="B604" s="5">
        <f>IF('Daily Sale entry '!P604="","",'Daily Sale entry '!O604)</f>
        <v/>
      </c>
      <c r="C604">
        <f>IF('Daily Sale entry '!P604="","",'Daily Sale entry '!P604)</f>
        <v/>
      </c>
      <c r="D604">
        <f>IF(C604="","",IF('Daily Sale entry '!Q604="Credit Sale 赊销",'Daily Sale entry '!S604,0))</f>
        <v/>
      </c>
      <c r="E604">
        <f>IF(C604="","",IF('Daily Sale entry '!Q604="Collection 收款",'Daily Sale entry '!S604,0))</f>
        <v/>
      </c>
      <c r="F604" s="37">
        <f>IF(C604="","",B604+IF(E604&gt;0,0,0.5)+ROW()/10000000)</f>
        <v/>
      </c>
      <c r="G604">
        <f>IF(C604="","",'Daily Sale entry '!Q604&amp;IF('Daily Sale entry '!Q604="Collection 收款"," ("&amp;'Daily Sale entry '!R604&amp;")","")&amp;IF('Daily Sale entry '!U604="",""," - "&amp;'Daily Sale entry '!U604))</f>
        <v/>
      </c>
      <c r="H604">
        <f>IF(C604="","",COUNTIFS($C$2:$C$3001,C604,$F$2:$F$3001,"&lt;"&amp;F604)+1)</f>
        <v/>
      </c>
      <c r="I604">
        <f>IF(C604="","",C604&amp;"|"&amp;H604)</f>
        <v/>
      </c>
      <c r="J604" s="6">
        <f>IF(C604="","",IF(H604=1,SUMIFS('Opening Balance'!$F$4:$F$303,'Opening Balance'!$G$4:$G$303,C604),INDEX($L$2:$L$3001,MATCH(C604&amp;"|"&amp;(H604-1),$I$2:$I$3001,0))))</f>
        <v/>
      </c>
      <c r="K604" s="6">
        <f>IF(C604="","",IF(M604&gt;0,M604,IF(AND(E604&gt;0,ROUND(J604+D604-E604,2)&gt;0,ROUND(J604+D604-E604,2)&lt;'Opening Balance'!$B$14),ROUND(J604+D604-E604,2),0)))</f>
        <v/>
      </c>
      <c r="L604" s="6">
        <f>IF(C604="","",ROUND(J604+D604-E604-K604,2))</f>
        <v/>
      </c>
      <c r="M604" s="6">
        <f>IF(C604="","",IF('Daily Sale entry '!Q604="Collection 收款",ROUND(N('Daily Sale entry '!T604),2),0))</f>
        <v/>
      </c>
    </row>
    <row r="605">
      <c r="A605" t="inlineStr">
        <is>
          <t>Entry 记录</t>
        </is>
      </c>
      <c r="B605" s="5">
        <f>IF('Daily Sale entry '!P605="","",'Daily Sale entry '!O605)</f>
        <v/>
      </c>
      <c r="C605">
        <f>IF('Daily Sale entry '!P605="","",'Daily Sale entry '!P605)</f>
        <v/>
      </c>
      <c r="D605">
        <f>IF(C605="","",IF('Daily Sale entry '!Q605="Credit Sale 赊销",'Daily Sale entry '!S605,0))</f>
        <v/>
      </c>
      <c r="E605">
        <f>IF(C605="","",IF('Daily Sale entry '!Q605="Collection 收款",'Daily Sale entry '!S605,0))</f>
        <v/>
      </c>
      <c r="F605" s="37">
        <f>IF(C605="","",B605+IF(E605&gt;0,0,0.5)+ROW()/10000000)</f>
        <v/>
      </c>
      <c r="G605">
        <f>IF(C605="","",'Daily Sale entry '!Q605&amp;IF('Daily Sale entry '!Q605="Collection 收款"," ("&amp;'Daily Sale entry '!R605&amp;")","")&amp;IF('Daily Sale entry '!U605="",""," - "&amp;'Daily Sale entry '!U605))</f>
        <v/>
      </c>
      <c r="H605">
        <f>IF(C605="","",COUNTIFS($C$2:$C$3001,C605,$F$2:$F$3001,"&lt;"&amp;F605)+1)</f>
        <v/>
      </c>
      <c r="I605">
        <f>IF(C605="","",C605&amp;"|"&amp;H605)</f>
        <v/>
      </c>
      <c r="J605" s="6">
        <f>IF(C605="","",IF(H605=1,SUMIFS('Opening Balance'!$F$4:$F$303,'Opening Balance'!$G$4:$G$303,C605),INDEX($L$2:$L$3001,MATCH(C605&amp;"|"&amp;(H605-1),$I$2:$I$3001,0))))</f>
        <v/>
      </c>
      <c r="K605" s="6">
        <f>IF(C605="","",IF(M605&gt;0,M605,IF(AND(E605&gt;0,ROUND(J605+D605-E605,2)&gt;0,ROUND(J605+D605-E605,2)&lt;'Opening Balance'!$B$14),ROUND(J605+D605-E605,2),0)))</f>
        <v/>
      </c>
      <c r="L605" s="6">
        <f>IF(C605="","",ROUND(J605+D605-E605-K605,2))</f>
        <v/>
      </c>
      <c r="M605" s="6">
        <f>IF(C605="","",IF('Daily Sale entry '!Q605="Collection 收款",ROUND(N('Daily Sale entry '!T605),2),0))</f>
        <v/>
      </c>
    </row>
    <row r="606">
      <c r="A606" t="inlineStr">
        <is>
          <t>Entry 记录</t>
        </is>
      </c>
      <c r="B606" s="5">
        <f>IF('Daily Sale entry '!P606="","",'Daily Sale entry '!O606)</f>
        <v/>
      </c>
      <c r="C606">
        <f>IF('Daily Sale entry '!P606="","",'Daily Sale entry '!P606)</f>
        <v/>
      </c>
      <c r="D606">
        <f>IF(C606="","",IF('Daily Sale entry '!Q606="Credit Sale 赊销",'Daily Sale entry '!S606,0))</f>
        <v/>
      </c>
      <c r="E606">
        <f>IF(C606="","",IF('Daily Sale entry '!Q606="Collection 收款",'Daily Sale entry '!S606,0))</f>
        <v/>
      </c>
      <c r="F606" s="37">
        <f>IF(C606="","",B606+IF(E606&gt;0,0,0.5)+ROW()/10000000)</f>
        <v/>
      </c>
      <c r="G606">
        <f>IF(C606="","",'Daily Sale entry '!Q606&amp;IF('Daily Sale entry '!Q606="Collection 收款"," ("&amp;'Daily Sale entry '!R606&amp;")","")&amp;IF('Daily Sale entry '!U606="",""," - "&amp;'Daily Sale entry '!U606))</f>
        <v/>
      </c>
      <c r="H606">
        <f>IF(C606="","",COUNTIFS($C$2:$C$3001,C606,$F$2:$F$3001,"&lt;"&amp;F606)+1)</f>
        <v/>
      </c>
      <c r="I606">
        <f>IF(C606="","",C606&amp;"|"&amp;H606)</f>
        <v/>
      </c>
      <c r="J606" s="6">
        <f>IF(C606="","",IF(H606=1,SUMIFS('Opening Balance'!$F$4:$F$303,'Opening Balance'!$G$4:$G$303,C606),INDEX($L$2:$L$3001,MATCH(C606&amp;"|"&amp;(H606-1),$I$2:$I$3001,0))))</f>
        <v/>
      </c>
      <c r="K606" s="6">
        <f>IF(C606="","",IF(M606&gt;0,M606,IF(AND(E606&gt;0,ROUND(J606+D606-E606,2)&gt;0,ROUND(J606+D606-E606,2)&lt;'Opening Balance'!$B$14),ROUND(J606+D606-E606,2),0)))</f>
        <v/>
      </c>
      <c r="L606" s="6">
        <f>IF(C606="","",ROUND(J606+D606-E606-K606,2))</f>
        <v/>
      </c>
      <c r="M606" s="6">
        <f>IF(C606="","",IF('Daily Sale entry '!Q606="Collection 收款",ROUND(N('Daily Sale entry '!T606),2),0))</f>
        <v/>
      </c>
    </row>
    <row r="607">
      <c r="A607" t="inlineStr">
        <is>
          <t>Entry 记录</t>
        </is>
      </c>
      <c r="B607" s="5">
        <f>IF('Daily Sale entry '!P607="","",'Daily Sale entry '!O607)</f>
        <v/>
      </c>
      <c r="C607">
        <f>IF('Daily Sale entry '!P607="","",'Daily Sale entry '!P607)</f>
        <v/>
      </c>
      <c r="D607">
        <f>IF(C607="","",IF('Daily Sale entry '!Q607="Credit Sale 赊销",'Daily Sale entry '!S607,0))</f>
        <v/>
      </c>
      <c r="E607">
        <f>IF(C607="","",IF('Daily Sale entry '!Q607="Collection 收款",'Daily Sale entry '!S607,0))</f>
        <v/>
      </c>
      <c r="F607" s="37">
        <f>IF(C607="","",B607+IF(E607&gt;0,0,0.5)+ROW()/10000000)</f>
        <v/>
      </c>
      <c r="G607">
        <f>IF(C607="","",'Daily Sale entry '!Q607&amp;IF('Daily Sale entry '!Q607="Collection 收款"," ("&amp;'Daily Sale entry '!R607&amp;")","")&amp;IF('Daily Sale entry '!U607="",""," - "&amp;'Daily Sale entry '!U607))</f>
        <v/>
      </c>
      <c r="H607">
        <f>IF(C607="","",COUNTIFS($C$2:$C$3001,C607,$F$2:$F$3001,"&lt;"&amp;F607)+1)</f>
        <v/>
      </c>
      <c r="I607">
        <f>IF(C607="","",C607&amp;"|"&amp;H607)</f>
        <v/>
      </c>
      <c r="J607" s="6">
        <f>IF(C607="","",IF(H607=1,SUMIFS('Opening Balance'!$F$4:$F$303,'Opening Balance'!$G$4:$G$303,C607),INDEX($L$2:$L$3001,MATCH(C607&amp;"|"&amp;(H607-1),$I$2:$I$3001,0))))</f>
        <v/>
      </c>
      <c r="K607" s="6">
        <f>IF(C607="","",IF(M607&gt;0,M607,IF(AND(E607&gt;0,ROUND(J607+D607-E607,2)&gt;0,ROUND(J607+D607-E607,2)&lt;'Opening Balance'!$B$14),ROUND(J607+D607-E607,2),0)))</f>
        <v/>
      </c>
      <c r="L607" s="6">
        <f>IF(C607="","",ROUND(J607+D607-E607-K607,2))</f>
        <v/>
      </c>
      <c r="M607" s="6">
        <f>IF(C607="","",IF('Daily Sale entry '!Q607="Collection 收款",ROUND(N('Daily Sale entry '!T607),2),0))</f>
        <v/>
      </c>
    </row>
    <row r="608">
      <c r="A608" t="inlineStr">
        <is>
          <t>Entry 记录</t>
        </is>
      </c>
      <c r="B608" s="5">
        <f>IF('Daily Sale entry '!P608="","",'Daily Sale entry '!O608)</f>
        <v/>
      </c>
      <c r="C608">
        <f>IF('Daily Sale entry '!P608="","",'Daily Sale entry '!P608)</f>
        <v/>
      </c>
      <c r="D608">
        <f>IF(C608="","",IF('Daily Sale entry '!Q608="Credit Sale 赊销",'Daily Sale entry '!S608,0))</f>
        <v/>
      </c>
      <c r="E608">
        <f>IF(C608="","",IF('Daily Sale entry '!Q608="Collection 收款",'Daily Sale entry '!S608,0))</f>
        <v/>
      </c>
      <c r="F608" s="37">
        <f>IF(C608="","",B608+IF(E608&gt;0,0,0.5)+ROW()/10000000)</f>
        <v/>
      </c>
      <c r="G608">
        <f>IF(C608="","",'Daily Sale entry '!Q608&amp;IF('Daily Sale entry '!Q608="Collection 收款"," ("&amp;'Daily Sale entry '!R608&amp;")","")&amp;IF('Daily Sale entry '!U608="",""," - "&amp;'Daily Sale entry '!U608))</f>
        <v/>
      </c>
      <c r="H608">
        <f>IF(C608="","",COUNTIFS($C$2:$C$3001,C608,$F$2:$F$3001,"&lt;"&amp;F608)+1)</f>
        <v/>
      </c>
      <c r="I608">
        <f>IF(C608="","",C608&amp;"|"&amp;H608)</f>
        <v/>
      </c>
      <c r="J608" s="6">
        <f>IF(C608="","",IF(H608=1,SUMIFS('Opening Balance'!$F$4:$F$303,'Opening Balance'!$G$4:$G$303,C608),INDEX($L$2:$L$3001,MATCH(C608&amp;"|"&amp;(H608-1),$I$2:$I$3001,0))))</f>
        <v/>
      </c>
      <c r="K608" s="6">
        <f>IF(C608="","",IF(M608&gt;0,M608,IF(AND(E608&gt;0,ROUND(J608+D608-E608,2)&gt;0,ROUND(J608+D608-E608,2)&lt;'Opening Balance'!$B$14),ROUND(J608+D608-E608,2),0)))</f>
        <v/>
      </c>
      <c r="L608" s="6">
        <f>IF(C608="","",ROUND(J608+D608-E608-K608,2))</f>
        <v/>
      </c>
      <c r="M608" s="6">
        <f>IF(C608="","",IF('Daily Sale entry '!Q608="Collection 收款",ROUND(N('Daily Sale entry '!T608),2),0))</f>
        <v/>
      </c>
    </row>
    <row r="609">
      <c r="A609" t="inlineStr">
        <is>
          <t>Entry 记录</t>
        </is>
      </c>
      <c r="B609" s="5">
        <f>IF('Daily Sale entry '!P609="","",'Daily Sale entry '!O609)</f>
        <v/>
      </c>
      <c r="C609">
        <f>IF('Daily Sale entry '!P609="","",'Daily Sale entry '!P609)</f>
        <v/>
      </c>
      <c r="D609">
        <f>IF(C609="","",IF('Daily Sale entry '!Q609="Credit Sale 赊销",'Daily Sale entry '!S609,0))</f>
        <v/>
      </c>
      <c r="E609">
        <f>IF(C609="","",IF('Daily Sale entry '!Q609="Collection 收款",'Daily Sale entry '!S609,0))</f>
        <v/>
      </c>
      <c r="F609" s="37">
        <f>IF(C609="","",B609+IF(E609&gt;0,0,0.5)+ROW()/10000000)</f>
        <v/>
      </c>
      <c r="G609">
        <f>IF(C609="","",'Daily Sale entry '!Q609&amp;IF('Daily Sale entry '!Q609="Collection 收款"," ("&amp;'Daily Sale entry '!R609&amp;")","")&amp;IF('Daily Sale entry '!U609="",""," - "&amp;'Daily Sale entry '!U609))</f>
        <v/>
      </c>
      <c r="H609">
        <f>IF(C609="","",COUNTIFS($C$2:$C$3001,C609,$F$2:$F$3001,"&lt;"&amp;F609)+1)</f>
        <v/>
      </c>
      <c r="I609">
        <f>IF(C609="","",C609&amp;"|"&amp;H609)</f>
        <v/>
      </c>
      <c r="J609" s="6">
        <f>IF(C609="","",IF(H609=1,SUMIFS('Opening Balance'!$F$4:$F$303,'Opening Balance'!$G$4:$G$303,C609),INDEX($L$2:$L$3001,MATCH(C609&amp;"|"&amp;(H609-1),$I$2:$I$3001,0))))</f>
        <v/>
      </c>
      <c r="K609" s="6">
        <f>IF(C609="","",IF(M609&gt;0,M609,IF(AND(E609&gt;0,ROUND(J609+D609-E609,2)&gt;0,ROUND(J609+D609-E609,2)&lt;'Opening Balance'!$B$14),ROUND(J609+D609-E609,2),0)))</f>
        <v/>
      </c>
      <c r="L609" s="6">
        <f>IF(C609="","",ROUND(J609+D609-E609-K609,2))</f>
        <v/>
      </c>
      <c r="M609" s="6">
        <f>IF(C609="","",IF('Daily Sale entry '!Q609="Collection 收款",ROUND(N('Daily Sale entry '!T609),2),0))</f>
        <v/>
      </c>
    </row>
    <row r="610">
      <c r="A610" t="inlineStr">
        <is>
          <t>Entry 记录</t>
        </is>
      </c>
      <c r="B610" s="5">
        <f>IF('Daily Sale entry '!P610="","",'Daily Sale entry '!O610)</f>
        <v/>
      </c>
      <c r="C610">
        <f>IF('Daily Sale entry '!P610="","",'Daily Sale entry '!P610)</f>
        <v/>
      </c>
      <c r="D610">
        <f>IF(C610="","",IF('Daily Sale entry '!Q610="Credit Sale 赊销",'Daily Sale entry '!S610,0))</f>
        <v/>
      </c>
      <c r="E610">
        <f>IF(C610="","",IF('Daily Sale entry '!Q610="Collection 收款",'Daily Sale entry '!S610,0))</f>
        <v/>
      </c>
      <c r="F610" s="37">
        <f>IF(C610="","",B610+IF(E610&gt;0,0,0.5)+ROW()/10000000)</f>
        <v/>
      </c>
      <c r="G610">
        <f>IF(C610="","",'Daily Sale entry '!Q610&amp;IF('Daily Sale entry '!Q610="Collection 收款"," ("&amp;'Daily Sale entry '!R610&amp;")","")&amp;IF('Daily Sale entry '!U610="",""," - "&amp;'Daily Sale entry '!U610))</f>
        <v/>
      </c>
      <c r="H610">
        <f>IF(C610="","",COUNTIFS($C$2:$C$3001,C610,$F$2:$F$3001,"&lt;"&amp;F610)+1)</f>
        <v/>
      </c>
      <c r="I610">
        <f>IF(C610="","",C610&amp;"|"&amp;H610)</f>
        <v/>
      </c>
      <c r="J610" s="6">
        <f>IF(C610="","",IF(H610=1,SUMIFS('Opening Balance'!$F$4:$F$303,'Opening Balance'!$G$4:$G$303,C610),INDEX($L$2:$L$3001,MATCH(C610&amp;"|"&amp;(H610-1),$I$2:$I$3001,0))))</f>
        <v/>
      </c>
      <c r="K610" s="6">
        <f>IF(C610="","",IF(M610&gt;0,M610,IF(AND(E610&gt;0,ROUND(J610+D610-E610,2)&gt;0,ROUND(J610+D610-E610,2)&lt;'Opening Balance'!$B$14),ROUND(J610+D610-E610,2),0)))</f>
        <v/>
      </c>
      <c r="L610" s="6">
        <f>IF(C610="","",ROUND(J610+D610-E610-K610,2))</f>
        <v/>
      </c>
      <c r="M610" s="6">
        <f>IF(C610="","",IF('Daily Sale entry '!Q610="Collection 收款",ROUND(N('Daily Sale entry '!T610),2),0))</f>
        <v/>
      </c>
    </row>
    <row r="611">
      <c r="A611" t="inlineStr">
        <is>
          <t>Entry 记录</t>
        </is>
      </c>
      <c r="B611" s="5">
        <f>IF('Daily Sale entry '!P611="","",'Daily Sale entry '!O611)</f>
        <v/>
      </c>
      <c r="C611">
        <f>IF('Daily Sale entry '!P611="","",'Daily Sale entry '!P611)</f>
        <v/>
      </c>
      <c r="D611">
        <f>IF(C611="","",IF('Daily Sale entry '!Q611="Credit Sale 赊销",'Daily Sale entry '!S611,0))</f>
        <v/>
      </c>
      <c r="E611">
        <f>IF(C611="","",IF('Daily Sale entry '!Q611="Collection 收款",'Daily Sale entry '!S611,0))</f>
        <v/>
      </c>
      <c r="F611" s="37">
        <f>IF(C611="","",B611+IF(E611&gt;0,0,0.5)+ROW()/10000000)</f>
        <v/>
      </c>
      <c r="G611">
        <f>IF(C611="","",'Daily Sale entry '!Q611&amp;IF('Daily Sale entry '!Q611="Collection 收款"," ("&amp;'Daily Sale entry '!R611&amp;")","")&amp;IF('Daily Sale entry '!U611="",""," - "&amp;'Daily Sale entry '!U611))</f>
        <v/>
      </c>
      <c r="H611">
        <f>IF(C611="","",COUNTIFS($C$2:$C$3001,C611,$F$2:$F$3001,"&lt;"&amp;F611)+1)</f>
        <v/>
      </c>
      <c r="I611">
        <f>IF(C611="","",C611&amp;"|"&amp;H611)</f>
        <v/>
      </c>
      <c r="J611" s="6">
        <f>IF(C611="","",IF(H611=1,SUMIFS('Opening Balance'!$F$4:$F$303,'Opening Balance'!$G$4:$G$303,C611),INDEX($L$2:$L$3001,MATCH(C611&amp;"|"&amp;(H611-1),$I$2:$I$3001,0))))</f>
        <v/>
      </c>
      <c r="K611" s="6">
        <f>IF(C611="","",IF(M611&gt;0,M611,IF(AND(E611&gt;0,ROUND(J611+D611-E611,2)&gt;0,ROUND(J611+D611-E611,2)&lt;'Opening Balance'!$B$14),ROUND(J611+D611-E611,2),0)))</f>
        <v/>
      </c>
      <c r="L611" s="6">
        <f>IF(C611="","",ROUND(J611+D611-E611-K611,2))</f>
        <v/>
      </c>
      <c r="M611" s="6">
        <f>IF(C611="","",IF('Daily Sale entry '!Q611="Collection 收款",ROUND(N('Daily Sale entry '!T611),2),0))</f>
        <v/>
      </c>
    </row>
    <row r="612">
      <c r="A612" t="inlineStr">
        <is>
          <t>Entry 记录</t>
        </is>
      </c>
      <c r="B612" s="5">
        <f>IF('Daily Sale entry '!P612="","",'Daily Sale entry '!O612)</f>
        <v/>
      </c>
      <c r="C612">
        <f>IF('Daily Sale entry '!P612="","",'Daily Sale entry '!P612)</f>
        <v/>
      </c>
      <c r="D612">
        <f>IF(C612="","",IF('Daily Sale entry '!Q612="Credit Sale 赊销",'Daily Sale entry '!S612,0))</f>
        <v/>
      </c>
      <c r="E612">
        <f>IF(C612="","",IF('Daily Sale entry '!Q612="Collection 收款",'Daily Sale entry '!S612,0))</f>
        <v/>
      </c>
      <c r="F612" s="37">
        <f>IF(C612="","",B612+IF(E612&gt;0,0,0.5)+ROW()/10000000)</f>
        <v/>
      </c>
      <c r="G612">
        <f>IF(C612="","",'Daily Sale entry '!Q612&amp;IF('Daily Sale entry '!Q612="Collection 收款"," ("&amp;'Daily Sale entry '!R612&amp;")","")&amp;IF('Daily Sale entry '!U612="",""," - "&amp;'Daily Sale entry '!U612))</f>
        <v/>
      </c>
      <c r="H612">
        <f>IF(C612="","",COUNTIFS($C$2:$C$3001,C612,$F$2:$F$3001,"&lt;"&amp;F612)+1)</f>
        <v/>
      </c>
      <c r="I612">
        <f>IF(C612="","",C612&amp;"|"&amp;H612)</f>
        <v/>
      </c>
      <c r="J612" s="6">
        <f>IF(C612="","",IF(H612=1,SUMIFS('Opening Balance'!$F$4:$F$303,'Opening Balance'!$G$4:$G$303,C612),INDEX($L$2:$L$3001,MATCH(C612&amp;"|"&amp;(H612-1),$I$2:$I$3001,0))))</f>
        <v/>
      </c>
      <c r="K612" s="6">
        <f>IF(C612="","",IF(M612&gt;0,M612,IF(AND(E612&gt;0,ROUND(J612+D612-E612,2)&gt;0,ROUND(J612+D612-E612,2)&lt;'Opening Balance'!$B$14),ROUND(J612+D612-E612,2),0)))</f>
        <v/>
      </c>
      <c r="L612" s="6">
        <f>IF(C612="","",ROUND(J612+D612-E612-K612,2))</f>
        <v/>
      </c>
      <c r="M612" s="6">
        <f>IF(C612="","",IF('Daily Sale entry '!Q612="Collection 收款",ROUND(N('Daily Sale entry '!T612),2),0))</f>
        <v/>
      </c>
    </row>
    <row r="613">
      <c r="A613" t="inlineStr">
        <is>
          <t>Entry 记录</t>
        </is>
      </c>
      <c r="B613" s="5">
        <f>IF('Daily Sale entry '!P613="","",'Daily Sale entry '!O613)</f>
        <v/>
      </c>
      <c r="C613">
        <f>IF('Daily Sale entry '!P613="","",'Daily Sale entry '!P613)</f>
        <v/>
      </c>
      <c r="D613">
        <f>IF(C613="","",IF('Daily Sale entry '!Q613="Credit Sale 赊销",'Daily Sale entry '!S613,0))</f>
        <v/>
      </c>
      <c r="E613">
        <f>IF(C613="","",IF('Daily Sale entry '!Q613="Collection 收款",'Daily Sale entry '!S613,0))</f>
        <v/>
      </c>
      <c r="F613" s="37">
        <f>IF(C613="","",B613+IF(E613&gt;0,0,0.5)+ROW()/10000000)</f>
        <v/>
      </c>
      <c r="G613">
        <f>IF(C613="","",'Daily Sale entry '!Q613&amp;IF('Daily Sale entry '!Q613="Collection 收款"," ("&amp;'Daily Sale entry '!R613&amp;")","")&amp;IF('Daily Sale entry '!U613="",""," - "&amp;'Daily Sale entry '!U613))</f>
        <v/>
      </c>
      <c r="H613">
        <f>IF(C613="","",COUNTIFS($C$2:$C$3001,C613,$F$2:$F$3001,"&lt;"&amp;F613)+1)</f>
        <v/>
      </c>
      <c r="I613">
        <f>IF(C613="","",C613&amp;"|"&amp;H613)</f>
        <v/>
      </c>
      <c r="J613" s="6">
        <f>IF(C613="","",IF(H613=1,SUMIFS('Opening Balance'!$F$4:$F$303,'Opening Balance'!$G$4:$G$303,C613),INDEX($L$2:$L$3001,MATCH(C613&amp;"|"&amp;(H613-1),$I$2:$I$3001,0))))</f>
        <v/>
      </c>
      <c r="K613" s="6">
        <f>IF(C613="","",IF(M613&gt;0,M613,IF(AND(E613&gt;0,ROUND(J613+D613-E613,2)&gt;0,ROUND(J613+D613-E613,2)&lt;'Opening Balance'!$B$14),ROUND(J613+D613-E613,2),0)))</f>
        <v/>
      </c>
      <c r="L613" s="6">
        <f>IF(C613="","",ROUND(J613+D613-E613-K613,2))</f>
        <v/>
      </c>
      <c r="M613" s="6">
        <f>IF(C613="","",IF('Daily Sale entry '!Q613="Collection 收款",ROUND(N('Daily Sale entry '!T613),2),0))</f>
        <v/>
      </c>
    </row>
    <row r="614">
      <c r="A614" t="inlineStr">
        <is>
          <t>Entry 记录</t>
        </is>
      </c>
      <c r="B614" s="5">
        <f>IF('Daily Sale entry '!P614="","",'Daily Sale entry '!O614)</f>
        <v/>
      </c>
      <c r="C614">
        <f>IF('Daily Sale entry '!P614="","",'Daily Sale entry '!P614)</f>
        <v/>
      </c>
      <c r="D614">
        <f>IF(C614="","",IF('Daily Sale entry '!Q614="Credit Sale 赊销",'Daily Sale entry '!S614,0))</f>
        <v/>
      </c>
      <c r="E614">
        <f>IF(C614="","",IF('Daily Sale entry '!Q614="Collection 收款",'Daily Sale entry '!S614,0))</f>
        <v/>
      </c>
      <c r="F614" s="37">
        <f>IF(C614="","",B614+IF(E614&gt;0,0,0.5)+ROW()/10000000)</f>
        <v/>
      </c>
      <c r="G614">
        <f>IF(C614="","",'Daily Sale entry '!Q614&amp;IF('Daily Sale entry '!Q614="Collection 收款"," ("&amp;'Daily Sale entry '!R614&amp;")","")&amp;IF('Daily Sale entry '!U614="",""," - "&amp;'Daily Sale entry '!U614))</f>
        <v/>
      </c>
      <c r="H614">
        <f>IF(C614="","",COUNTIFS($C$2:$C$3001,C614,$F$2:$F$3001,"&lt;"&amp;F614)+1)</f>
        <v/>
      </c>
      <c r="I614">
        <f>IF(C614="","",C614&amp;"|"&amp;H614)</f>
        <v/>
      </c>
      <c r="J614" s="6">
        <f>IF(C614="","",IF(H614=1,SUMIFS('Opening Balance'!$F$4:$F$303,'Opening Balance'!$G$4:$G$303,C614),INDEX($L$2:$L$3001,MATCH(C614&amp;"|"&amp;(H614-1),$I$2:$I$3001,0))))</f>
        <v/>
      </c>
      <c r="K614" s="6">
        <f>IF(C614="","",IF(M614&gt;0,M614,IF(AND(E614&gt;0,ROUND(J614+D614-E614,2)&gt;0,ROUND(J614+D614-E614,2)&lt;'Opening Balance'!$B$14),ROUND(J614+D614-E614,2),0)))</f>
        <v/>
      </c>
      <c r="L614" s="6">
        <f>IF(C614="","",ROUND(J614+D614-E614-K614,2))</f>
        <v/>
      </c>
      <c r="M614" s="6">
        <f>IF(C614="","",IF('Daily Sale entry '!Q614="Collection 收款",ROUND(N('Daily Sale entry '!T614),2),0))</f>
        <v/>
      </c>
    </row>
    <row r="615">
      <c r="A615" t="inlineStr">
        <is>
          <t>Entry 记录</t>
        </is>
      </c>
      <c r="B615" s="5">
        <f>IF('Daily Sale entry '!P615="","",'Daily Sale entry '!O615)</f>
        <v/>
      </c>
      <c r="C615">
        <f>IF('Daily Sale entry '!P615="","",'Daily Sale entry '!P615)</f>
        <v/>
      </c>
      <c r="D615">
        <f>IF(C615="","",IF('Daily Sale entry '!Q615="Credit Sale 赊销",'Daily Sale entry '!S615,0))</f>
        <v/>
      </c>
      <c r="E615">
        <f>IF(C615="","",IF('Daily Sale entry '!Q615="Collection 收款",'Daily Sale entry '!S615,0))</f>
        <v/>
      </c>
      <c r="F615" s="37">
        <f>IF(C615="","",B615+IF(E615&gt;0,0,0.5)+ROW()/10000000)</f>
        <v/>
      </c>
      <c r="G615">
        <f>IF(C615="","",'Daily Sale entry '!Q615&amp;IF('Daily Sale entry '!Q615="Collection 收款"," ("&amp;'Daily Sale entry '!R615&amp;")","")&amp;IF('Daily Sale entry '!U615="",""," - "&amp;'Daily Sale entry '!U615))</f>
        <v/>
      </c>
      <c r="H615">
        <f>IF(C615="","",COUNTIFS($C$2:$C$3001,C615,$F$2:$F$3001,"&lt;"&amp;F615)+1)</f>
        <v/>
      </c>
      <c r="I615">
        <f>IF(C615="","",C615&amp;"|"&amp;H615)</f>
        <v/>
      </c>
      <c r="J615" s="6">
        <f>IF(C615="","",IF(H615=1,SUMIFS('Opening Balance'!$F$4:$F$303,'Opening Balance'!$G$4:$G$303,C615),INDEX($L$2:$L$3001,MATCH(C615&amp;"|"&amp;(H615-1),$I$2:$I$3001,0))))</f>
        <v/>
      </c>
      <c r="K615" s="6">
        <f>IF(C615="","",IF(M615&gt;0,M615,IF(AND(E615&gt;0,ROUND(J615+D615-E615,2)&gt;0,ROUND(J615+D615-E615,2)&lt;'Opening Balance'!$B$14),ROUND(J615+D615-E615,2),0)))</f>
        <v/>
      </c>
      <c r="L615" s="6">
        <f>IF(C615="","",ROUND(J615+D615-E615-K615,2))</f>
        <v/>
      </c>
      <c r="M615" s="6">
        <f>IF(C615="","",IF('Daily Sale entry '!Q615="Collection 收款",ROUND(N('Daily Sale entry '!T615),2),0))</f>
        <v/>
      </c>
    </row>
    <row r="616">
      <c r="A616" t="inlineStr">
        <is>
          <t>Entry 记录</t>
        </is>
      </c>
      <c r="B616" s="5">
        <f>IF('Daily Sale entry '!P616="","",'Daily Sale entry '!O616)</f>
        <v/>
      </c>
      <c r="C616">
        <f>IF('Daily Sale entry '!P616="","",'Daily Sale entry '!P616)</f>
        <v/>
      </c>
      <c r="D616">
        <f>IF(C616="","",IF('Daily Sale entry '!Q616="Credit Sale 赊销",'Daily Sale entry '!S616,0))</f>
        <v/>
      </c>
      <c r="E616">
        <f>IF(C616="","",IF('Daily Sale entry '!Q616="Collection 收款",'Daily Sale entry '!S616,0))</f>
        <v/>
      </c>
      <c r="F616" s="37">
        <f>IF(C616="","",B616+IF(E616&gt;0,0,0.5)+ROW()/10000000)</f>
        <v/>
      </c>
      <c r="G616">
        <f>IF(C616="","",'Daily Sale entry '!Q616&amp;IF('Daily Sale entry '!Q616="Collection 收款"," ("&amp;'Daily Sale entry '!R616&amp;")","")&amp;IF('Daily Sale entry '!U616="",""," - "&amp;'Daily Sale entry '!U616))</f>
        <v/>
      </c>
      <c r="H616">
        <f>IF(C616="","",COUNTIFS($C$2:$C$3001,C616,$F$2:$F$3001,"&lt;"&amp;F616)+1)</f>
        <v/>
      </c>
      <c r="I616">
        <f>IF(C616="","",C616&amp;"|"&amp;H616)</f>
        <v/>
      </c>
      <c r="J616" s="6">
        <f>IF(C616="","",IF(H616=1,SUMIFS('Opening Balance'!$F$4:$F$303,'Opening Balance'!$G$4:$G$303,C616),INDEX($L$2:$L$3001,MATCH(C616&amp;"|"&amp;(H616-1),$I$2:$I$3001,0))))</f>
        <v/>
      </c>
      <c r="K616" s="6">
        <f>IF(C616="","",IF(M616&gt;0,M616,IF(AND(E616&gt;0,ROUND(J616+D616-E616,2)&gt;0,ROUND(J616+D616-E616,2)&lt;'Opening Balance'!$B$14),ROUND(J616+D616-E616,2),0)))</f>
        <v/>
      </c>
      <c r="L616" s="6">
        <f>IF(C616="","",ROUND(J616+D616-E616-K616,2))</f>
        <v/>
      </c>
      <c r="M616" s="6">
        <f>IF(C616="","",IF('Daily Sale entry '!Q616="Collection 收款",ROUND(N('Daily Sale entry '!T616),2),0))</f>
        <v/>
      </c>
    </row>
    <row r="617">
      <c r="A617" t="inlineStr">
        <is>
          <t>Entry 记录</t>
        </is>
      </c>
      <c r="B617" s="5">
        <f>IF('Daily Sale entry '!P617="","",'Daily Sale entry '!O617)</f>
        <v/>
      </c>
      <c r="C617">
        <f>IF('Daily Sale entry '!P617="","",'Daily Sale entry '!P617)</f>
        <v/>
      </c>
      <c r="D617">
        <f>IF(C617="","",IF('Daily Sale entry '!Q617="Credit Sale 赊销",'Daily Sale entry '!S617,0))</f>
        <v/>
      </c>
      <c r="E617">
        <f>IF(C617="","",IF('Daily Sale entry '!Q617="Collection 收款",'Daily Sale entry '!S617,0))</f>
        <v/>
      </c>
      <c r="F617" s="37">
        <f>IF(C617="","",B617+IF(E617&gt;0,0,0.5)+ROW()/10000000)</f>
        <v/>
      </c>
      <c r="G617">
        <f>IF(C617="","",'Daily Sale entry '!Q617&amp;IF('Daily Sale entry '!Q617="Collection 收款"," ("&amp;'Daily Sale entry '!R617&amp;")","")&amp;IF('Daily Sale entry '!U617="",""," - "&amp;'Daily Sale entry '!U617))</f>
        <v/>
      </c>
      <c r="H617">
        <f>IF(C617="","",COUNTIFS($C$2:$C$3001,C617,$F$2:$F$3001,"&lt;"&amp;F617)+1)</f>
        <v/>
      </c>
      <c r="I617">
        <f>IF(C617="","",C617&amp;"|"&amp;H617)</f>
        <v/>
      </c>
      <c r="J617" s="6">
        <f>IF(C617="","",IF(H617=1,SUMIFS('Opening Balance'!$F$4:$F$303,'Opening Balance'!$G$4:$G$303,C617),INDEX($L$2:$L$3001,MATCH(C617&amp;"|"&amp;(H617-1),$I$2:$I$3001,0))))</f>
        <v/>
      </c>
      <c r="K617" s="6">
        <f>IF(C617="","",IF(M617&gt;0,M617,IF(AND(E617&gt;0,ROUND(J617+D617-E617,2)&gt;0,ROUND(J617+D617-E617,2)&lt;'Opening Balance'!$B$14),ROUND(J617+D617-E617,2),0)))</f>
        <v/>
      </c>
      <c r="L617" s="6">
        <f>IF(C617="","",ROUND(J617+D617-E617-K617,2))</f>
        <v/>
      </c>
      <c r="M617" s="6">
        <f>IF(C617="","",IF('Daily Sale entry '!Q617="Collection 收款",ROUND(N('Daily Sale entry '!T617),2),0))</f>
        <v/>
      </c>
    </row>
    <row r="618">
      <c r="A618" t="inlineStr">
        <is>
          <t>Entry 记录</t>
        </is>
      </c>
      <c r="B618" s="5">
        <f>IF('Daily Sale entry '!P618="","",'Daily Sale entry '!O618)</f>
        <v/>
      </c>
      <c r="C618">
        <f>IF('Daily Sale entry '!P618="","",'Daily Sale entry '!P618)</f>
        <v/>
      </c>
      <c r="D618">
        <f>IF(C618="","",IF('Daily Sale entry '!Q618="Credit Sale 赊销",'Daily Sale entry '!S618,0))</f>
        <v/>
      </c>
      <c r="E618">
        <f>IF(C618="","",IF('Daily Sale entry '!Q618="Collection 收款",'Daily Sale entry '!S618,0))</f>
        <v/>
      </c>
      <c r="F618" s="37">
        <f>IF(C618="","",B618+IF(E618&gt;0,0,0.5)+ROW()/10000000)</f>
        <v/>
      </c>
      <c r="G618">
        <f>IF(C618="","",'Daily Sale entry '!Q618&amp;IF('Daily Sale entry '!Q618="Collection 收款"," ("&amp;'Daily Sale entry '!R618&amp;")","")&amp;IF('Daily Sale entry '!U618="",""," - "&amp;'Daily Sale entry '!U618))</f>
        <v/>
      </c>
      <c r="H618">
        <f>IF(C618="","",COUNTIFS($C$2:$C$3001,C618,$F$2:$F$3001,"&lt;"&amp;F618)+1)</f>
        <v/>
      </c>
      <c r="I618">
        <f>IF(C618="","",C618&amp;"|"&amp;H618)</f>
        <v/>
      </c>
      <c r="J618" s="6">
        <f>IF(C618="","",IF(H618=1,SUMIFS('Opening Balance'!$F$4:$F$303,'Opening Balance'!$G$4:$G$303,C618),INDEX($L$2:$L$3001,MATCH(C618&amp;"|"&amp;(H618-1),$I$2:$I$3001,0))))</f>
        <v/>
      </c>
      <c r="K618" s="6">
        <f>IF(C618="","",IF(M618&gt;0,M618,IF(AND(E618&gt;0,ROUND(J618+D618-E618,2)&gt;0,ROUND(J618+D618-E618,2)&lt;'Opening Balance'!$B$14),ROUND(J618+D618-E618,2),0)))</f>
        <v/>
      </c>
      <c r="L618" s="6">
        <f>IF(C618="","",ROUND(J618+D618-E618-K618,2))</f>
        <v/>
      </c>
      <c r="M618" s="6">
        <f>IF(C618="","",IF('Daily Sale entry '!Q618="Collection 收款",ROUND(N('Daily Sale entry '!T618),2),0))</f>
        <v/>
      </c>
    </row>
    <row r="619">
      <c r="A619" t="inlineStr">
        <is>
          <t>Entry 记录</t>
        </is>
      </c>
      <c r="B619" s="5">
        <f>IF('Daily Sale entry '!P619="","",'Daily Sale entry '!O619)</f>
        <v/>
      </c>
      <c r="C619">
        <f>IF('Daily Sale entry '!P619="","",'Daily Sale entry '!P619)</f>
        <v/>
      </c>
      <c r="D619">
        <f>IF(C619="","",IF('Daily Sale entry '!Q619="Credit Sale 赊销",'Daily Sale entry '!S619,0))</f>
        <v/>
      </c>
      <c r="E619">
        <f>IF(C619="","",IF('Daily Sale entry '!Q619="Collection 收款",'Daily Sale entry '!S619,0))</f>
        <v/>
      </c>
      <c r="F619" s="37">
        <f>IF(C619="","",B619+IF(E619&gt;0,0,0.5)+ROW()/10000000)</f>
        <v/>
      </c>
      <c r="G619">
        <f>IF(C619="","",'Daily Sale entry '!Q619&amp;IF('Daily Sale entry '!Q619="Collection 收款"," ("&amp;'Daily Sale entry '!R619&amp;")","")&amp;IF('Daily Sale entry '!U619="",""," - "&amp;'Daily Sale entry '!U619))</f>
        <v/>
      </c>
      <c r="H619">
        <f>IF(C619="","",COUNTIFS($C$2:$C$3001,C619,$F$2:$F$3001,"&lt;"&amp;F619)+1)</f>
        <v/>
      </c>
      <c r="I619">
        <f>IF(C619="","",C619&amp;"|"&amp;H619)</f>
        <v/>
      </c>
      <c r="J619" s="6">
        <f>IF(C619="","",IF(H619=1,SUMIFS('Opening Balance'!$F$4:$F$303,'Opening Balance'!$G$4:$G$303,C619),INDEX($L$2:$L$3001,MATCH(C619&amp;"|"&amp;(H619-1),$I$2:$I$3001,0))))</f>
        <v/>
      </c>
      <c r="K619" s="6">
        <f>IF(C619="","",IF(M619&gt;0,M619,IF(AND(E619&gt;0,ROUND(J619+D619-E619,2)&gt;0,ROUND(J619+D619-E619,2)&lt;'Opening Balance'!$B$14),ROUND(J619+D619-E619,2),0)))</f>
        <v/>
      </c>
      <c r="L619" s="6">
        <f>IF(C619="","",ROUND(J619+D619-E619-K619,2))</f>
        <v/>
      </c>
      <c r="M619" s="6">
        <f>IF(C619="","",IF('Daily Sale entry '!Q619="Collection 收款",ROUND(N('Daily Sale entry '!T619),2),0))</f>
        <v/>
      </c>
    </row>
    <row r="620">
      <c r="A620" t="inlineStr">
        <is>
          <t>Entry 记录</t>
        </is>
      </c>
      <c r="B620" s="5">
        <f>IF('Daily Sale entry '!P620="","",'Daily Sale entry '!O620)</f>
        <v/>
      </c>
      <c r="C620">
        <f>IF('Daily Sale entry '!P620="","",'Daily Sale entry '!P620)</f>
        <v/>
      </c>
      <c r="D620">
        <f>IF(C620="","",IF('Daily Sale entry '!Q620="Credit Sale 赊销",'Daily Sale entry '!S620,0))</f>
        <v/>
      </c>
      <c r="E620">
        <f>IF(C620="","",IF('Daily Sale entry '!Q620="Collection 收款",'Daily Sale entry '!S620,0))</f>
        <v/>
      </c>
      <c r="F620" s="37">
        <f>IF(C620="","",B620+IF(E620&gt;0,0,0.5)+ROW()/10000000)</f>
        <v/>
      </c>
      <c r="G620">
        <f>IF(C620="","",'Daily Sale entry '!Q620&amp;IF('Daily Sale entry '!Q620="Collection 收款"," ("&amp;'Daily Sale entry '!R620&amp;")","")&amp;IF('Daily Sale entry '!U620="",""," - "&amp;'Daily Sale entry '!U620))</f>
        <v/>
      </c>
      <c r="H620">
        <f>IF(C620="","",COUNTIFS($C$2:$C$3001,C620,$F$2:$F$3001,"&lt;"&amp;F620)+1)</f>
        <v/>
      </c>
      <c r="I620">
        <f>IF(C620="","",C620&amp;"|"&amp;H620)</f>
        <v/>
      </c>
      <c r="J620" s="6">
        <f>IF(C620="","",IF(H620=1,SUMIFS('Opening Balance'!$F$4:$F$303,'Opening Balance'!$G$4:$G$303,C620),INDEX($L$2:$L$3001,MATCH(C620&amp;"|"&amp;(H620-1),$I$2:$I$3001,0))))</f>
        <v/>
      </c>
      <c r="K620" s="6">
        <f>IF(C620="","",IF(M620&gt;0,M620,IF(AND(E620&gt;0,ROUND(J620+D620-E620,2)&gt;0,ROUND(J620+D620-E620,2)&lt;'Opening Balance'!$B$14),ROUND(J620+D620-E620,2),0)))</f>
        <v/>
      </c>
      <c r="L620" s="6">
        <f>IF(C620="","",ROUND(J620+D620-E620-K620,2))</f>
        <v/>
      </c>
      <c r="M620" s="6">
        <f>IF(C620="","",IF('Daily Sale entry '!Q620="Collection 收款",ROUND(N('Daily Sale entry '!T620),2),0))</f>
        <v/>
      </c>
    </row>
    <row r="621">
      <c r="A621" t="inlineStr">
        <is>
          <t>Entry 记录</t>
        </is>
      </c>
      <c r="B621" s="5">
        <f>IF('Daily Sale entry '!P621="","",'Daily Sale entry '!O621)</f>
        <v/>
      </c>
      <c r="C621">
        <f>IF('Daily Sale entry '!P621="","",'Daily Sale entry '!P621)</f>
        <v/>
      </c>
      <c r="D621">
        <f>IF(C621="","",IF('Daily Sale entry '!Q621="Credit Sale 赊销",'Daily Sale entry '!S621,0))</f>
        <v/>
      </c>
      <c r="E621">
        <f>IF(C621="","",IF('Daily Sale entry '!Q621="Collection 收款",'Daily Sale entry '!S621,0))</f>
        <v/>
      </c>
      <c r="F621" s="37">
        <f>IF(C621="","",B621+IF(E621&gt;0,0,0.5)+ROW()/10000000)</f>
        <v/>
      </c>
      <c r="G621">
        <f>IF(C621="","",'Daily Sale entry '!Q621&amp;IF('Daily Sale entry '!Q621="Collection 收款"," ("&amp;'Daily Sale entry '!R621&amp;")","")&amp;IF('Daily Sale entry '!U621="",""," - "&amp;'Daily Sale entry '!U621))</f>
        <v/>
      </c>
      <c r="H621">
        <f>IF(C621="","",COUNTIFS($C$2:$C$3001,C621,$F$2:$F$3001,"&lt;"&amp;F621)+1)</f>
        <v/>
      </c>
      <c r="I621">
        <f>IF(C621="","",C621&amp;"|"&amp;H621)</f>
        <v/>
      </c>
      <c r="J621" s="6">
        <f>IF(C621="","",IF(H621=1,SUMIFS('Opening Balance'!$F$4:$F$303,'Opening Balance'!$G$4:$G$303,C621),INDEX($L$2:$L$3001,MATCH(C621&amp;"|"&amp;(H621-1),$I$2:$I$3001,0))))</f>
        <v/>
      </c>
      <c r="K621" s="6">
        <f>IF(C621="","",IF(M621&gt;0,M621,IF(AND(E621&gt;0,ROUND(J621+D621-E621,2)&gt;0,ROUND(J621+D621-E621,2)&lt;'Opening Balance'!$B$14),ROUND(J621+D621-E621,2),0)))</f>
        <v/>
      </c>
      <c r="L621" s="6">
        <f>IF(C621="","",ROUND(J621+D621-E621-K621,2))</f>
        <v/>
      </c>
      <c r="M621" s="6">
        <f>IF(C621="","",IF('Daily Sale entry '!Q621="Collection 收款",ROUND(N('Daily Sale entry '!T621),2),0))</f>
        <v/>
      </c>
    </row>
    <row r="622">
      <c r="A622" t="inlineStr">
        <is>
          <t>Entry 记录</t>
        </is>
      </c>
      <c r="B622" s="5">
        <f>IF('Daily Sale entry '!P622="","",'Daily Sale entry '!O622)</f>
        <v/>
      </c>
      <c r="C622">
        <f>IF('Daily Sale entry '!P622="","",'Daily Sale entry '!P622)</f>
        <v/>
      </c>
      <c r="D622">
        <f>IF(C622="","",IF('Daily Sale entry '!Q622="Credit Sale 赊销",'Daily Sale entry '!S622,0))</f>
        <v/>
      </c>
      <c r="E622">
        <f>IF(C622="","",IF('Daily Sale entry '!Q622="Collection 收款",'Daily Sale entry '!S622,0))</f>
        <v/>
      </c>
      <c r="F622" s="37">
        <f>IF(C622="","",B622+IF(E622&gt;0,0,0.5)+ROW()/10000000)</f>
        <v/>
      </c>
      <c r="G622">
        <f>IF(C622="","",'Daily Sale entry '!Q622&amp;IF('Daily Sale entry '!Q622="Collection 收款"," ("&amp;'Daily Sale entry '!R622&amp;")","")&amp;IF('Daily Sale entry '!U622="",""," - "&amp;'Daily Sale entry '!U622))</f>
        <v/>
      </c>
      <c r="H622">
        <f>IF(C622="","",COUNTIFS($C$2:$C$3001,C622,$F$2:$F$3001,"&lt;"&amp;F622)+1)</f>
        <v/>
      </c>
      <c r="I622">
        <f>IF(C622="","",C622&amp;"|"&amp;H622)</f>
        <v/>
      </c>
      <c r="J622" s="6">
        <f>IF(C622="","",IF(H622=1,SUMIFS('Opening Balance'!$F$4:$F$303,'Opening Balance'!$G$4:$G$303,C622),INDEX($L$2:$L$3001,MATCH(C622&amp;"|"&amp;(H622-1),$I$2:$I$3001,0))))</f>
        <v/>
      </c>
      <c r="K622" s="6">
        <f>IF(C622="","",IF(M622&gt;0,M622,IF(AND(E622&gt;0,ROUND(J622+D622-E622,2)&gt;0,ROUND(J622+D622-E622,2)&lt;'Opening Balance'!$B$14),ROUND(J622+D622-E622,2),0)))</f>
        <v/>
      </c>
      <c r="L622" s="6">
        <f>IF(C622="","",ROUND(J622+D622-E622-K622,2))</f>
        <v/>
      </c>
      <c r="M622" s="6">
        <f>IF(C622="","",IF('Daily Sale entry '!Q622="Collection 收款",ROUND(N('Daily Sale entry '!T622),2),0))</f>
        <v/>
      </c>
    </row>
    <row r="623">
      <c r="A623" t="inlineStr">
        <is>
          <t>Entry 记录</t>
        </is>
      </c>
      <c r="B623" s="5">
        <f>IF('Daily Sale entry '!P623="","",'Daily Sale entry '!O623)</f>
        <v/>
      </c>
      <c r="C623">
        <f>IF('Daily Sale entry '!P623="","",'Daily Sale entry '!P623)</f>
        <v/>
      </c>
      <c r="D623">
        <f>IF(C623="","",IF('Daily Sale entry '!Q623="Credit Sale 赊销",'Daily Sale entry '!S623,0))</f>
        <v/>
      </c>
      <c r="E623">
        <f>IF(C623="","",IF('Daily Sale entry '!Q623="Collection 收款",'Daily Sale entry '!S623,0))</f>
        <v/>
      </c>
      <c r="F623" s="37">
        <f>IF(C623="","",B623+IF(E623&gt;0,0,0.5)+ROW()/10000000)</f>
        <v/>
      </c>
      <c r="G623">
        <f>IF(C623="","",'Daily Sale entry '!Q623&amp;IF('Daily Sale entry '!Q623="Collection 收款"," ("&amp;'Daily Sale entry '!R623&amp;")","")&amp;IF('Daily Sale entry '!U623="",""," - "&amp;'Daily Sale entry '!U623))</f>
        <v/>
      </c>
      <c r="H623">
        <f>IF(C623="","",COUNTIFS($C$2:$C$3001,C623,$F$2:$F$3001,"&lt;"&amp;F623)+1)</f>
        <v/>
      </c>
      <c r="I623">
        <f>IF(C623="","",C623&amp;"|"&amp;H623)</f>
        <v/>
      </c>
      <c r="J623" s="6">
        <f>IF(C623="","",IF(H623=1,SUMIFS('Opening Balance'!$F$4:$F$303,'Opening Balance'!$G$4:$G$303,C623),INDEX($L$2:$L$3001,MATCH(C623&amp;"|"&amp;(H623-1),$I$2:$I$3001,0))))</f>
        <v/>
      </c>
      <c r="K623" s="6">
        <f>IF(C623="","",IF(M623&gt;0,M623,IF(AND(E623&gt;0,ROUND(J623+D623-E623,2)&gt;0,ROUND(J623+D623-E623,2)&lt;'Opening Balance'!$B$14),ROUND(J623+D623-E623,2),0)))</f>
        <v/>
      </c>
      <c r="L623" s="6">
        <f>IF(C623="","",ROUND(J623+D623-E623-K623,2))</f>
        <v/>
      </c>
      <c r="M623" s="6">
        <f>IF(C623="","",IF('Daily Sale entry '!Q623="Collection 收款",ROUND(N('Daily Sale entry '!T623),2),0))</f>
        <v/>
      </c>
    </row>
    <row r="624">
      <c r="A624" t="inlineStr">
        <is>
          <t>Entry 记录</t>
        </is>
      </c>
      <c r="B624" s="5">
        <f>IF('Daily Sale entry '!P624="","",'Daily Sale entry '!O624)</f>
        <v/>
      </c>
      <c r="C624">
        <f>IF('Daily Sale entry '!P624="","",'Daily Sale entry '!P624)</f>
        <v/>
      </c>
      <c r="D624">
        <f>IF(C624="","",IF('Daily Sale entry '!Q624="Credit Sale 赊销",'Daily Sale entry '!S624,0))</f>
        <v/>
      </c>
      <c r="E624">
        <f>IF(C624="","",IF('Daily Sale entry '!Q624="Collection 收款",'Daily Sale entry '!S624,0))</f>
        <v/>
      </c>
      <c r="F624" s="37">
        <f>IF(C624="","",B624+IF(E624&gt;0,0,0.5)+ROW()/10000000)</f>
        <v/>
      </c>
      <c r="G624">
        <f>IF(C624="","",'Daily Sale entry '!Q624&amp;IF('Daily Sale entry '!Q624="Collection 收款"," ("&amp;'Daily Sale entry '!R624&amp;")","")&amp;IF('Daily Sale entry '!U624="",""," - "&amp;'Daily Sale entry '!U624))</f>
        <v/>
      </c>
      <c r="H624">
        <f>IF(C624="","",COUNTIFS($C$2:$C$3001,C624,$F$2:$F$3001,"&lt;"&amp;F624)+1)</f>
        <v/>
      </c>
      <c r="I624">
        <f>IF(C624="","",C624&amp;"|"&amp;H624)</f>
        <v/>
      </c>
      <c r="J624" s="6">
        <f>IF(C624="","",IF(H624=1,SUMIFS('Opening Balance'!$F$4:$F$303,'Opening Balance'!$G$4:$G$303,C624),INDEX($L$2:$L$3001,MATCH(C624&amp;"|"&amp;(H624-1),$I$2:$I$3001,0))))</f>
        <v/>
      </c>
      <c r="K624" s="6">
        <f>IF(C624="","",IF(M624&gt;0,M624,IF(AND(E624&gt;0,ROUND(J624+D624-E624,2)&gt;0,ROUND(J624+D624-E624,2)&lt;'Opening Balance'!$B$14),ROUND(J624+D624-E624,2),0)))</f>
        <v/>
      </c>
      <c r="L624" s="6">
        <f>IF(C624="","",ROUND(J624+D624-E624-K624,2))</f>
        <v/>
      </c>
      <c r="M624" s="6">
        <f>IF(C624="","",IF('Daily Sale entry '!Q624="Collection 收款",ROUND(N('Daily Sale entry '!T624),2),0))</f>
        <v/>
      </c>
    </row>
    <row r="625">
      <c r="A625" t="inlineStr">
        <is>
          <t>Entry 记录</t>
        </is>
      </c>
      <c r="B625" s="5">
        <f>IF('Daily Sale entry '!P625="","",'Daily Sale entry '!O625)</f>
        <v/>
      </c>
      <c r="C625">
        <f>IF('Daily Sale entry '!P625="","",'Daily Sale entry '!P625)</f>
        <v/>
      </c>
      <c r="D625">
        <f>IF(C625="","",IF('Daily Sale entry '!Q625="Credit Sale 赊销",'Daily Sale entry '!S625,0))</f>
        <v/>
      </c>
      <c r="E625">
        <f>IF(C625="","",IF('Daily Sale entry '!Q625="Collection 收款",'Daily Sale entry '!S625,0))</f>
        <v/>
      </c>
      <c r="F625" s="37">
        <f>IF(C625="","",B625+IF(E625&gt;0,0,0.5)+ROW()/10000000)</f>
        <v/>
      </c>
      <c r="G625">
        <f>IF(C625="","",'Daily Sale entry '!Q625&amp;IF('Daily Sale entry '!Q625="Collection 收款"," ("&amp;'Daily Sale entry '!R625&amp;")","")&amp;IF('Daily Sale entry '!U625="",""," - "&amp;'Daily Sale entry '!U625))</f>
        <v/>
      </c>
      <c r="H625">
        <f>IF(C625="","",COUNTIFS($C$2:$C$3001,C625,$F$2:$F$3001,"&lt;"&amp;F625)+1)</f>
        <v/>
      </c>
      <c r="I625">
        <f>IF(C625="","",C625&amp;"|"&amp;H625)</f>
        <v/>
      </c>
      <c r="J625" s="6">
        <f>IF(C625="","",IF(H625=1,SUMIFS('Opening Balance'!$F$4:$F$303,'Opening Balance'!$G$4:$G$303,C625),INDEX($L$2:$L$3001,MATCH(C625&amp;"|"&amp;(H625-1),$I$2:$I$3001,0))))</f>
        <v/>
      </c>
      <c r="K625" s="6">
        <f>IF(C625="","",IF(M625&gt;0,M625,IF(AND(E625&gt;0,ROUND(J625+D625-E625,2)&gt;0,ROUND(J625+D625-E625,2)&lt;'Opening Balance'!$B$14),ROUND(J625+D625-E625,2),0)))</f>
        <v/>
      </c>
      <c r="L625" s="6">
        <f>IF(C625="","",ROUND(J625+D625-E625-K625,2))</f>
        <v/>
      </c>
      <c r="M625" s="6">
        <f>IF(C625="","",IF('Daily Sale entry '!Q625="Collection 收款",ROUND(N('Daily Sale entry '!T625),2),0))</f>
        <v/>
      </c>
    </row>
    <row r="626">
      <c r="A626" t="inlineStr">
        <is>
          <t>Entry 记录</t>
        </is>
      </c>
      <c r="B626" s="5">
        <f>IF('Daily Sale entry '!P626="","",'Daily Sale entry '!O626)</f>
        <v/>
      </c>
      <c r="C626">
        <f>IF('Daily Sale entry '!P626="","",'Daily Sale entry '!P626)</f>
        <v/>
      </c>
      <c r="D626">
        <f>IF(C626="","",IF('Daily Sale entry '!Q626="Credit Sale 赊销",'Daily Sale entry '!S626,0))</f>
        <v/>
      </c>
      <c r="E626">
        <f>IF(C626="","",IF('Daily Sale entry '!Q626="Collection 收款",'Daily Sale entry '!S626,0))</f>
        <v/>
      </c>
      <c r="F626" s="37">
        <f>IF(C626="","",B626+IF(E626&gt;0,0,0.5)+ROW()/10000000)</f>
        <v/>
      </c>
      <c r="G626">
        <f>IF(C626="","",'Daily Sale entry '!Q626&amp;IF('Daily Sale entry '!Q626="Collection 收款"," ("&amp;'Daily Sale entry '!R626&amp;")","")&amp;IF('Daily Sale entry '!U626="",""," - "&amp;'Daily Sale entry '!U626))</f>
        <v/>
      </c>
      <c r="H626">
        <f>IF(C626="","",COUNTIFS($C$2:$C$3001,C626,$F$2:$F$3001,"&lt;"&amp;F626)+1)</f>
        <v/>
      </c>
      <c r="I626">
        <f>IF(C626="","",C626&amp;"|"&amp;H626)</f>
        <v/>
      </c>
      <c r="J626" s="6">
        <f>IF(C626="","",IF(H626=1,SUMIFS('Opening Balance'!$F$4:$F$303,'Opening Balance'!$G$4:$G$303,C626),INDEX($L$2:$L$3001,MATCH(C626&amp;"|"&amp;(H626-1),$I$2:$I$3001,0))))</f>
        <v/>
      </c>
      <c r="K626" s="6">
        <f>IF(C626="","",IF(M626&gt;0,M626,IF(AND(E626&gt;0,ROUND(J626+D626-E626,2)&gt;0,ROUND(J626+D626-E626,2)&lt;'Opening Balance'!$B$14),ROUND(J626+D626-E626,2),0)))</f>
        <v/>
      </c>
      <c r="L626" s="6">
        <f>IF(C626="","",ROUND(J626+D626-E626-K626,2))</f>
        <v/>
      </c>
      <c r="M626" s="6">
        <f>IF(C626="","",IF('Daily Sale entry '!Q626="Collection 收款",ROUND(N('Daily Sale entry '!T626),2),0))</f>
        <v/>
      </c>
    </row>
    <row r="627">
      <c r="A627" t="inlineStr">
        <is>
          <t>Entry 记录</t>
        </is>
      </c>
      <c r="B627" s="5">
        <f>IF('Daily Sale entry '!P627="","",'Daily Sale entry '!O627)</f>
        <v/>
      </c>
      <c r="C627">
        <f>IF('Daily Sale entry '!P627="","",'Daily Sale entry '!P627)</f>
        <v/>
      </c>
      <c r="D627">
        <f>IF(C627="","",IF('Daily Sale entry '!Q627="Credit Sale 赊销",'Daily Sale entry '!S627,0))</f>
        <v/>
      </c>
      <c r="E627">
        <f>IF(C627="","",IF('Daily Sale entry '!Q627="Collection 收款",'Daily Sale entry '!S627,0))</f>
        <v/>
      </c>
      <c r="F627" s="37">
        <f>IF(C627="","",B627+IF(E627&gt;0,0,0.5)+ROW()/10000000)</f>
        <v/>
      </c>
      <c r="G627">
        <f>IF(C627="","",'Daily Sale entry '!Q627&amp;IF('Daily Sale entry '!Q627="Collection 收款"," ("&amp;'Daily Sale entry '!R627&amp;")","")&amp;IF('Daily Sale entry '!U627="",""," - "&amp;'Daily Sale entry '!U627))</f>
        <v/>
      </c>
      <c r="H627">
        <f>IF(C627="","",COUNTIFS($C$2:$C$3001,C627,$F$2:$F$3001,"&lt;"&amp;F627)+1)</f>
        <v/>
      </c>
      <c r="I627">
        <f>IF(C627="","",C627&amp;"|"&amp;H627)</f>
        <v/>
      </c>
      <c r="J627" s="6">
        <f>IF(C627="","",IF(H627=1,SUMIFS('Opening Balance'!$F$4:$F$303,'Opening Balance'!$G$4:$G$303,C627),INDEX($L$2:$L$3001,MATCH(C627&amp;"|"&amp;(H627-1),$I$2:$I$3001,0))))</f>
        <v/>
      </c>
      <c r="K627" s="6">
        <f>IF(C627="","",IF(M627&gt;0,M627,IF(AND(E627&gt;0,ROUND(J627+D627-E627,2)&gt;0,ROUND(J627+D627-E627,2)&lt;'Opening Balance'!$B$14),ROUND(J627+D627-E627,2),0)))</f>
        <v/>
      </c>
      <c r="L627" s="6">
        <f>IF(C627="","",ROUND(J627+D627-E627-K627,2))</f>
        <v/>
      </c>
      <c r="M627" s="6">
        <f>IF(C627="","",IF('Daily Sale entry '!Q627="Collection 收款",ROUND(N('Daily Sale entry '!T627),2),0))</f>
        <v/>
      </c>
    </row>
    <row r="628">
      <c r="A628" t="inlineStr">
        <is>
          <t>Entry 记录</t>
        </is>
      </c>
      <c r="B628" s="5">
        <f>IF('Daily Sale entry '!P628="","",'Daily Sale entry '!O628)</f>
        <v/>
      </c>
      <c r="C628">
        <f>IF('Daily Sale entry '!P628="","",'Daily Sale entry '!P628)</f>
        <v/>
      </c>
      <c r="D628">
        <f>IF(C628="","",IF('Daily Sale entry '!Q628="Credit Sale 赊销",'Daily Sale entry '!S628,0))</f>
        <v/>
      </c>
      <c r="E628">
        <f>IF(C628="","",IF('Daily Sale entry '!Q628="Collection 收款",'Daily Sale entry '!S628,0))</f>
        <v/>
      </c>
      <c r="F628" s="37">
        <f>IF(C628="","",B628+IF(E628&gt;0,0,0.5)+ROW()/10000000)</f>
        <v/>
      </c>
      <c r="G628">
        <f>IF(C628="","",'Daily Sale entry '!Q628&amp;IF('Daily Sale entry '!Q628="Collection 收款"," ("&amp;'Daily Sale entry '!R628&amp;")","")&amp;IF('Daily Sale entry '!U628="",""," - "&amp;'Daily Sale entry '!U628))</f>
        <v/>
      </c>
      <c r="H628">
        <f>IF(C628="","",COUNTIFS($C$2:$C$3001,C628,$F$2:$F$3001,"&lt;"&amp;F628)+1)</f>
        <v/>
      </c>
      <c r="I628">
        <f>IF(C628="","",C628&amp;"|"&amp;H628)</f>
        <v/>
      </c>
      <c r="J628" s="6">
        <f>IF(C628="","",IF(H628=1,SUMIFS('Opening Balance'!$F$4:$F$303,'Opening Balance'!$G$4:$G$303,C628),INDEX($L$2:$L$3001,MATCH(C628&amp;"|"&amp;(H628-1),$I$2:$I$3001,0))))</f>
        <v/>
      </c>
      <c r="K628" s="6">
        <f>IF(C628="","",IF(M628&gt;0,M628,IF(AND(E628&gt;0,ROUND(J628+D628-E628,2)&gt;0,ROUND(J628+D628-E628,2)&lt;'Opening Balance'!$B$14),ROUND(J628+D628-E628,2),0)))</f>
        <v/>
      </c>
      <c r="L628" s="6">
        <f>IF(C628="","",ROUND(J628+D628-E628-K628,2))</f>
        <v/>
      </c>
      <c r="M628" s="6">
        <f>IF(C628="","",IF('Daily Sale entry '!Q628="Collection 收款",ROUND(N('Daily Sale entry '!T628),2),0))</f>
        <v/>
      </c>
    </row>
    <row r="629">
      <c r="A629" t="inlineStr">
        <is>
          <t>Entry 记录</t>
        </is>
      </c>
      <c r="B629" s="5">
        <f>IF('Daily Sale entry '!P629="","",'Daily Sale entry '!O629)</f>
        <v/>
      </c>
      <c r="C629">
        <f>IF('Daily Sale entry '!P629="","",'Daily Sale entry '!P629)</f>
        <v/>
      </c>
      <c r="D629">
        <f>IF(C629="","",IF('Daily Sale entry '!Q629="Credit Sale 赊销",'Daily Sale entry '!S629,0))</f>
        <v/>
      </c>
      <c r="E629">
        <f>IF(C629="","",IF('Daily Sale entry '!Q629="Collection 收款",'Daily Sale entry '!S629,0))</f>
        <v/>
      </c>
      <c r="F629" s="37">
        <f>IF(C629="","",B629+IF(E629&gt;0,0,0.5)+ROW()/10000000)</f>
        <v/>
      </c>
      <c r="G629">
        <f>IF(C629="","",'Daily Sale entry '!Q629&amp;IF('Daily Sale entry '!Q629="Collection 收款"," ("&amp;'Daily Sale entry '!R629&amp;")","")&amp;IF('Daily Sale entry '!U629="",""," - "&amp;'Daily Sale entry '!U629))</f>
        <v/>
      </c>
      <c r="H629">
        <f>IF(C629="","",COUNTIFS($C$2:$C$3001,C629,$F$2:$F$3001,"&lt;"&amp;F629)+1)</f>
        <v/>
      </c>
      <c r="I629">
        <f>IF(C629="","",C629&amp;"|"&amp;H629)</f>
        <v/>
      </c>
      <c r="J629" s="6">
        <f>IF(C629="","",IF(H629=1,SUMIFS('Opening Balance'!$F$4:$F$303,'Opening Balance'!$G$4:$G$303,C629),INDEX($L$2:$L$3001,MATCH(C629&amp;"|"&amp;(H629-1),$I$2:$I$3001,0))))</f>
        <v/>
      </c>
      <c r="K629" s="6">
        <f>IF(C629="","",IF(M629&gt;0,M629,IF(AND(E629&gt;0,ROUND(J629+D629-E629,2)&gt;0,ROUND(J629+D629-E629,2)&lt;'Opening Balance'!$B$14),ROUND(J629+D629-E629,2),0)))</f>
        <v/>
      </c>
      <c r="L629" s="6">
        <f>IF(C629="","",ROUND(J629+D629-E629-K629,2))</f>
        <v/>
      </c>
      <c r="M629" s="6">
        <f>IF(C629="","",IF('Daily Sale entry '!Q629="Collection 收款",ROUND(N('Daily Sale entry '!T629),2),0))</f>
        <v/>
      </c>
    </row>
    <row r="630">
      <c r="A630" t="inlineStr">
        <is>
          <t>Entry 记录</t>
        </is>
      </c>
      <c r="B630" s="5">
        <f>IF('Daily Sale entry '!P630="","",'Daily Sale entry '!O630)</f>
        <v/>
      </c>
      <c r="C630">
        <f>IF('Daily Sale entry '!P630="","",'Daily Sale entry '!P630)</f>
        <v/>
      </c>
      <c r="D630">
        <f>IF(C630="","",IF('Daily Sale entry '!Q630="Credit Sale 赊销",'Daily Sale entry '!S630,0))</f>
        <v/>
      </c>
      <c r="E630">
        <f>IF(C630="","",IF('Daily Sale entry '!Q630="Collection 收款",'Daily Sale entry '!S630,0))</f>
        <v/>
      </c>
      <c r="F630" s="37">
        <f>IF(C630="","",B630+IF(E630&gt;0,0,0.5)+ROW()/10000000)</f>
        <v/>
      </c>
      <c r="G630">
        <f>IF(C630="","",'Daily Sale entry '!Q630&amp;IF('Daily Sale entry '!Q630="Collection 收款"," ("&amp;'Daily Sale entry '!R630&amp;")","")&amp;IF('Daily Sale entry '!U630="",""," - "&amp;'Daily Sale entry '!U630))</f>
        <v/>
      </c>
      <c r="H630">
        <f>IF(C630="","",COUNTIFS($C$2:$C$3001,C630,$F$2:$F$3001,"&lt;"&amp;F630)+1)</f>
        <v/>
      </c>
      <c r="I630">
        <f>IF(C630="","",C630&amp;"|"&amp;H630)</f>
        <v/>
      </c>
      <c r="J630" s="6">
        <f>IF(C630="","",IF(H630=1,SUMIFS('Opening Balance'!$F$4:$F$303,'Opening Balance'!$G$4:$G$303,C630),INDEX($L$2:$L$3001,MATCH(C630&amp;"|"&amp;(H630-1),$I$2:$I$3001,0))))</f>
        <v/>
      </c>
      <c r="K630" s="6">
        <f>IF(C630="","",IF(M630&gt;0,M630,IF(AND(E630&gt;0,ROUND(J630+D630-E630,2)&gt;0,ROUND(J630+D630-E630,2)&lt;'Opening Balance'!$B$14),ROUND(J630+D630-E630,2),0)))</f>
        <v/>
      </c>
      <c r="L630" s="6">
        <f>IF(C630="","",ROUND(J630+D630-E630-K630,2))</f>
        <v/>
      </c>
      <c r="M630" s="6">
        <f>IF(C630="","",IF('Daily Sale entry '!Q630="Collection 收款",ROUND(N('Daily Sale entry '!T630),2),0))</f>
        <v/>
      </c>
    </row>
    <row r="631">
      <c r="A631" t="inlineStr">
        <is>
          <t>Entry 记录</t>
        </is>
      </c>
      <c r="B631" s="5">
        <f>IF('Daily Sale entry '!P631="","",'Daily Sale entry '!O631)</f>
        <v/>
      </c>
      <c r="C631">
        <f>IF('Daily Sale entry '!P631="","",'Daily Sale entry '!P631)</f>
        <v/>
      </c>
      <c r="D631">
        <f>IF(C631="","",IF('Daily Sale entry '!Q631="Credit Sale 赊销",'Daily Sale entry '!S631,0))</f>
        <v/>
      </c>
      <c r="E631">
        <f>IF(C631="","",IF('Daily Sale entry '!Q631="Collection 收款",'Daily Sale entry '!S631,0))</f>
        <v/>
      </c>
      <c r="F631" s="37">
        <f>IF(C631="","",B631+IF(E631&gt;0,0,0.5)+ROW()/10000000)</f>
        <v/>
      </c>
      <c r="G631">
        <f>IF(C631="","",'Daily Sale entry '!Q631&amp;IF('Daily Sale entry '!Q631="Collection 收款"," ("&amp;'Daily Sale entry '!R631&amp;")","")&amp;IF('Daily Sale entry '!U631="",""," - "&amp;'Daily Sale entry '!U631))</f>
        <v/>
      </c>
      <c r="H631">
        <f>IF(C631="","",COUNTIFS($C$2:$C$3001,C631,$F$2:$F$3001,"&lt;"&amp;F631)+1)</f>
        <v/>
      </c>
      <c r="I631">
        <f>IF(C631="","",C631&amp;"|"&amp;H631)</f>
        <v/>
      </c>
      <c r="J631" s="6">
        <f>IF(C631="","",IF(H631=1,SUMIFS('Opening Balance'!$F$4:$F$303,'Opening Balance'!$G$4:$G$303,C631),INDEX($L$2:$L$3001,MATCH(C631&amp;"|"&amp;(H631-1),$I$2:$I$3001,0))))</f>
        <v/>
      </c>
      <c r="K631" s="6">
        <f>IF(C631="","",IF(M631&gt;0,M631,IF(AND(E631&gt;0,ROUND(J631+D631-E631,2)&gt;0,ROUND(J631+D631-E631,2)&lt;'Opening Balance'!$B$14),ROUND(J631+D631-E631,2),0)))</f>
        <v/>
      </c>
      <c r="L631" s="6">
        <f>IF(C631="","",ROUND(J631+D631-E631-K631,2))</f>
        <v/>
      </c>
      <c r="M631" s="6">
        <f>IF(C631="","",IF('Daily Sale entry '!Q631="Collection 收款",ROUND(N('Daily Sale entry '!T631),2),0))</f>
        <v/>
      </c>
    </row>
    <row r="632">
      <c r="A632" t="inlineStr">
        <is>
          <t>Entry 记录</t>
        </is>
      </c>
      <c r="B632" s="5">
        <f>IF('Daily Sale entry '!P632="","",'Daily Sale entry '!O632)</f>
        <v/>
      </c>
      <c r="C632">
        <f>IF('Daily Sale entry '!P632="","",'Daily Sale entry '!P632)</f>
        <v/>
      </c>
      <c r="D632">
        <f>IF(C632="","",IF('Daily Sale entry '!Q632="Credit Sale 赊销",'Daily Sale entry '!S632,0))</f>
        <v/>
      </c>
      <c r="E632">
        <f>IF(C632="","",IF('Daily Sale entry '!Q632="Collection 收款",'Daily Sale entry '!S632,0))</f>
        <v/>
      </c>
      <c r="F632" s="37">
        <f>IF(C632="","",B632+IF(E632&gt;0,0,0.5)+ROW()/10000000)</f>
        <v/>
      </c>
      <c r="G632">
        <f>IF(C632="","",'Daily Sale entry '!Q632&amp;IF('Daily Sale entry '!Q632="Collection 收款"," ("&amp;'Daily Sale entry '!R632&amp;")","")&amp;IF('Daily Sale entry '!U632="",""," - "&amp;'Daily Sale entry '!U632))</f>
        <v/>
      </c>
      <c r="H632">
        <f>IF(C632="","",COUNTIFS($C$2:$C$3001,C632,$F$2:$F$3001,"&lt;"&amp;F632)+1)</f>
        <v/>
      </c>
      <c r="I632">
        <f>IF(C632="","",C632&amp;"|"&amp;H632)</f>
        <v/>
      </c>
      <c r="J632" s="6">
        <f>IF(C632="","",IF(H632=1,SUMIFS('Opening Balance'!$F$4:$F$303,'Opening Balance'!$G$4:$G$303,C632),INDEX($L$2:$L$3001,MATCH(C632&amp;"|"&amp;(H632-1),$I$2:$I$3001,0))))</f>
        <v/>
      </c>
      <c r="K632" s="6">
        <f>IF(C632="","",IF(M632&gt;0,M632,IF(AND(E632&gt;0,ROUND(J632+D632-E632,2)&gt;0,ROUND(J632+D632-E632,2)&lt;'Opening Balance'!$B$14),ROUND(J632+D632-E632,2),0)))</f>
        <v/>
      </c>
      <c r="L632" s="6">
        <f>IF(C632="","",ROUND(J632+D632-E632-K632,2))</f>
        <v/>
      </c>
      <c r="M632" s="6">
        <f>IF(C632="","",IF('Daily Sale entry '!Q632="Collection 收款",ROUND(N('Daily Sale entry '!T632),2),0))</f>
        <v/>
      </c>
    </row>
    <row r="633">
      <c r="A633" t="inlineStr">
        <is>
          <t>Entry 记录</t>
        </is>
      </c>
      <c r="B633" s="5">
        <f>IF('Daily Sale entry '!P633="","",'Daily Sale entry '!O633)</f>
        <v/>
      </c>
      <c r="C633">
        <f>IF('Daily Sale entry '!P633="","",'Daily Sale entry '!P633)</f>
        <v/>
      </c>
      <c r="D633">
        <f>IF(C633="","",IF('Daily Sale entry '!Q633="Credit Sale 赊销",'Daily Sale entry '!S633,0))</f>
        <v/>
      </c>
      <c r="E633">
        <f>IF(C633="","",IF('Daily Sale entry '!Q633="Collection 收款",'Daily Sale entry '!S633,0))</f>
        <v/>
      </c>
      <c r="F633" s="37">
        <f>IF(C633="","",B633+IF(E633&gt;0,0,0.5)+ROW()/10000000)</f>
        <v/>
      </c>
      <c r="G633">
        <f>IF(C633="","",'Daily Sale entry '!Q633&amp;IF('Daily Sale entry '!Q633="Collection 收款"," ("&amp;'Daily Sale entry '!R633&amp;")","")&amp;IF('Daily Sale entry '!U633="",""," - "&amp;'Daily Sale entry '!U633))</f>
        <v/>
      </c>
      <c r="H633">
        <f>IF(C633="","",COUNTIFS($C$2:$C$3001,C633,$F$2:$F$3001,"&lt;"&amp;F633)+1)</f>
        <v/>
      </c>
      <c r="I633">
        <f>IF(C633="","",C633&amp;"|"&amp;H633)</f>
        <v/>
      </c>
      <c r="J633" s="6">
        <f>IF(C633="","",IF(H633=1,SUMIFS('Opening Balance'!$F$4:$F$303,'Opening Balance'!$G$4:$G$303,C633),INDEX($L$2:$L$3001,MATCH(C633&amp;"|"&amp;(H633-1),$I$2:$I$3001,0))))</f>
        <v/>
      </c>
      <c r="K633" s="6">
        <f>IF(C633="","",IF(M633&gt;0,M633,IF(AND(E633&gt;0,ROUND(J633+D633-E633,2)&gt;0,ROUND(J633+D633-E633,2)&lt;'Opening Balance'!$B$14),ROUND(J633+D633-E633,2),0)))</f>
        <v/>
      </c>
      <c r="L633" s="6">
        <f>IF(C633="","",ROUND(J633+D633-E633-K633,2))</f>
        <v/>
      </c>
      <c r="M633" s="6">
        <f>IF(C633="","",IF('Daily Sale entry '!Q633="Collection 收款",ROUND(N('Daily Sale entry '!T633),2),0))</f>
        <v/>
      </c>
    </row>
    <row r="634">
      <c r="A634" t="inlineStr">
        <is>
          <t>Entry 记录</t>
        </is>
      </c>
      <c r="B634" s="5">
        <f>IF('Daily Sale entry '!P634="","",'Daily Sale entry '!O634)</f>
        <v/>
      </c>
      <c r="C634">
        <f>IF('Daily Sale entry '!P634="","",'Daily Sale entry '!P634)</f>
        <v/>
      </c>
      <c r="D634">
        <f>IF(C634="","",IF('Daily Sale entry '!Q634="Credit Sale 赊销",'Daily Sale entry '!S634,0))</f>
        <v/>
      </c>
      <c r="E634">
        <f>IF(C634="","",IF('Daily Sale entry '!Q634="Collection 收款",'Daily Sale entry '!S634,0))</f>
        <v/>
      </c>
      <c r="F634" s="37">
        <f>IF(C634="","",B634+IF(E634&gt;0,0,0.5)+ROW()/10000000)</f>
        <v/>
      </c>
      <c r="G634">
        <f>IF(C634="","",'Daily Sale entry '!Q634&amp;IF('Daily Sale entry '!Q634="Collection 收款"," ("&amp;'Daily Sale entry '!R634&amp;")","")&amp;IF('Daily Sale entry '!U634="",""," - "&amp;'Daily Sale entry '!U634))</f>
        <v/>
      </c>
      <c r="H634">
        <f>IF(C634="","",COUNTIFS($C$2:$C$3001,C634,$F$2:$F$3001,"&lt;"&amp;F634)+1)</f>
        <v/>
      </c>
      <c r="I634">
        <f>IF(C634="","",C634&amp;"|"&amp;H634)</f>
        <v/>
      </c>
      <c r="J634" s="6">
        <f>IF(C634="","",IF(H634=1,SUMIFS('Opening Balance'!$F$4:$F$303,'Opening Balance'!$G$4:$G$303,C634),INDEX($L$2:$L$3001,MATCH(C634&amp;"|"&amp;(H634-1),$I$2:$I$3001,0))))</f>
        <v/>
      </c>
      <c r="K634" s="6">
        <f>IF(C634="","",IF(M634&gt;0,M634,IF(AND(E634&gt;0,ROUND(J634+D634-E634,2)&gt;0,ROUND(J634+D634-E634,2)&lt;'Opening Balance'!$B$14),ROUND(J634+D634-E634,2),0)))</f>
        <v/>
      </c>
      <c r="L634" s="6">
        <f>IF(C634="","",ROUND(J634+D634-E634-K634,2))</f>
        <v/>
      </c>
      <c r="M634" s="6">
        <f>IF(C634="","",IF('Daily Sale entry '!Q634="Collection 收款",ROUND(N('Daily Sale entry '!T634),2),0))</f>
        <v/>
      </c>
    </row>
    <row r="635">
      <c r="A635" t="inlineStr">
        <is>
          <t>Entry 记录</t>
        </is>
      </c>
      <c r="B635" s="5">
        <f>IF('Daily Sale entry '!P635="","",'Daily Sale entry '!O635)</f>
        <v/>
      </c>
      <c r="C635">
        <f>IF('Daily Sale entry '!P635="","",'Daily Sale entry '!P635)</f>
        <v/>
      </c>
      <c r="D635">
        <f>IF(C635="","",IF('Daily Sale entry '!Q635="Credit Sale 赊销",'Daily Sale entry '!S635,0))</f>
        <v/>
      </c>
      <c r="E635">
        <f>IF(C635="","",IF('Daily Sale entry '!Q635="Collection 收款",'Daily Sale entry '!S635,0))</f>
        <v/>
      </c>
      <c r="F635" s="37">
        <f>IF(C635="","",B635+IF(E635&gt;0,0,0.5)+ROW()/10000000)</f>
        <v/>
      </c>
      <c r="G635">
        <f>IF(C635="","",'Daily Sale entry '!Q635&amp;IF('Daily Sale entry '!Q635="Collection 收款"," ("&amp;'Daily Sale entry '!R635&amp;")","")&amp;IF('Daily Sale entry '!U635="",""," - "&amp;'Daily Sale entry '!U635))</f>
        <v/>
      </c>
      <c r="H635">
        <f>IF(C635="","",COUNTIFS($C$2:$C$3001,C635,$F$2:$F$3001,"&lt;"&amp;F635)+1)</f>
        <v/>
      </c>
      <c r="I635">
        <f>IF(C635="","",C635&amp;"|"&amp;H635)</f>
        <v/>
      </c>
      <c r="J635" s="6">
        <f>IF(C635="","",IF(H635=1,SUMIFS('Opening Balance'!$F$4:$F$303,'Opening Balance'!$G$4:$G$303,C635),INDEX($L$2:$L$3001,MATCH(C635&amp;"|"&amp;(H635-1),$I$2:$I$3001,0))))</f>
        <v/>
      </c>
      <c r="K635" s="6">
        <f>IF(C635="","",IF(M635&gt;0,M635,IF(AND(E635&gt;0,ROUND(J635+D635-E635,2)&gt;0,ROUND(J635+D635-E635,2)&lt;'Opening Balance'!$B$14),ROUND(J635+D635-E635,2),0)))</f>
        <v/>
      </c>
      <c r="L635" s="6">
        <f>IF(C635="","",ROUND(J635+D635-E635-K635,2))</f>
        <v/>
      </c>
      <c r="M635" s="6">
        <f>IF(C635="","",IF('Daily Sale entry '!Q635="Collection 收款",ROUND(N('Daily Sale entry '!T635),2),0))</f>
        <v/>
      </c>
    </row>
    <row r="636">
      <c r="A636" t="inlineStr">
        <is>
          <t>Entry 记录</t>
        </is>
      </c>
      <c r="B636" s="5">
        <f>IF('Daily Sale entry '!P636="","",'Daily Sale entry '!O636)</f>
        <v/>
      </c>
      <c r="C636">
        <f>IF('Daily Sale entry '!P636="","",'Daily Sale entry '!P636)</f>
        <v/>
      </c>
      <c r="D636">
        <f>IF(C636="","",IF('Daily Sale entry '!Q636="Credit Sale 赊销",'Daily Sale entry '!S636,0))</f>
        <v/>
      </c>
      <c r="E636">
        <f>IF(C636="","",IF('Daily Sale entry '!Q636="Collection 收款",'Daily Sale entry '!S636,0))</f>
        <v/>
      </c>
      <c r="F636" s="37">
        <f>IF(C636="","",B636+IF(E636&gt;0,0,0.5)+ROW()/10000000)</f>
        <v/>
      </c>
      <c r="G636">
        <f>IF(C636="","",'Daily Sale entry '!Q636&amp;IF('Daily Sale entry '!Q636="Collection 收款"," ("&amp;'Daily Sale entry '!R636&amp;")","")&amp;IF('Daily Sale entry '!U636="",""," - "&amp;'Daily Sale entry '!U636))</f>
        <v/>
      </c>
      <c r="H636">
        <f>IF(C636="","",COUNTIFS($C$2:$C$3001,C636,$F$2:$F$3001,"&lt;"&amp;F636)+1)</f>
        <v/>
      </c>
      <c r="I636">
        <f>IF(C636="","",C636&amp;"|"&amp;H636)</f>
        <v/>
      </c>
      <c r="J636" s="6">
        <f>IF(C636="","",IF(H636=1,SUMIFS('Opening Balance'!$F$4:$F$303,'Opening Balance'!$G$4:$G$303,C636),INDEX($L$2:$L$3001,MATCH(C636&amp;"|"&amp;(H636-1),$I$2:$I$3001,0))))</f>
        <v/>
      </c>
      <c r="K636" s="6">
        <f>IF(C636="","",IF(M636&gt;0,M636,IF(AND(E636&gt;0,ROUND(J636+D636-E636,2)&gt;0,ROUND(J636+D636-E636,2)&lt;'Opening Balance'!$B$14),ROUND(J636+D636-E636,2),0)))</f>
        <v/>
      </c>
      <c r="L636" s="6">
        <f>IF(C636="","",ROUND(J636+D636-E636-K636,2))</f>
        <v/>
      </c>
      <c r="M636" s="6">
        <f>IF(C636="","",IF('Daily Sale entry '!Q636="Collection 收款",ROUND(N('Daily Sale entry '!T636),2),0))</f>
        <v/>
      </c>
    </row>
    <row r="637">
      <c r="A637" t="inlineStr">
        <is>
          <t>Entry 记录</t>
        </is>
      </c>
      <c r="B637" s="5">
        <f>IF('Daily Sale entry '!P637="","",'Daily Sale entry '!O637)</f>
        <v/>
      </c>
      <c r="C637">
        <f>IF('Daily Sale entry '!P637="","",'Daily Sale entry '!P637)</f>
        <v/>
      </c>
      <c r="D637">
        <f>IF(C637="","",IF('Daily Sale entry '!Q637="Credit Sale 赊销",'Daily Sale entry '!S637,0))</f>
        <v/>
      </c>
      <c r="E637">
        <f>IF(C637="","",IF('Daily Sale entry '!Q637="Collection 收款",'Daily Sale entry '!S637,0))</f>
        <v/>
      </c>
      <c r="F637" s="37">
        <f>IF(C637="","",B637+IF(E637&gt;0,0,0.5)+ROW()/10000000)</f>
        <v/>
      </c>
      <c r="G637">
        <f>IF(C637="","",'Daily Sale entry '!Q637&amp;IF('Daily Sale entry '!Q637="Collection 收款"," ("&amp;'Daily Sale entry '!R637&amp;")","")&amp;IF('Daily Sale entry '!U637="",""," - "&amp;'Daily Sale entry '!U637))</f>
        <v/>
      </c>
      <c r="H637">
        <f>IF(C637="","",COUNTIFS($C$2:$C$3001,C637,$F$2:$F$3001,"&lt;"&amp;F637)+1)</f>
        <v/>
      </c>
      <c r="I637">
        <f>IF(C637="","",C637&amp;"|"&amp;H637)</f>
        <v/>
      </c>
      <c r="J637" s="6">
        <f>IF(C637="","",IF(H637=1,SUMIFS('Opening Balance'!$F$4:$F$303,'Opening Balance'!$G$4:$G$303,C637),INDEX($L$2:$L$3001,MATCH(C637&amp;"|"&amp;(H637-1),$I$2:$I$3001,0))))</f>
        <v/>
      </c>
      <c r="K637" s="6">
        <f>IF(C637="","",IF(M637&gt;0,M637,IF(AND(E637&gt;0,ROUND(J637+D637-E637,2)&gt;0,ROUND(J637+D637-E637,2)&lt;'Opening Balance'!$B$14),ROUND(J637+D637-E637,2),0)))</f>
        <v/>
      </c>
      <c r="L637" s="6">
        <f>IF(C637="","",ROUND(J637+D637-E637-K637,2))</f>
        <v/>
      </c>
      <c r="M637" s="6">
        <f>IF(C637="","",IF('Daily Sale entry '!Q637="Collection 收款",ROUND(N('Daily Sale entry '!T637),2),0))</f>
        <v/>
      </c>
    </row>
    <row r="638">
      <c r="A638" t="inlineStr">
        <is>
          <t>Entry 记录</t>
        </is>
      </c>
      <c r="B638" s="5">
        <f>IF('Daily Sale entry '!P638="","",'Daily Sale entry '!O638)</f>
        <v/>
      </c>
      <c r="C638">
        <f>IF('Daily Sale entry '!P638="","",'Daily Sale entry '!P638)</f>
        <v/>
      </c>
      <c r="D638">
        <f>IF(C638="","",IF('Daily Sale entry '!Q638="Credit Sale 赊销",'Daily Sale entry '!S638,0))</f>
        <v/>
      </c>
      <c r="E638">
        <f>IF(C638="","",IF('Daily Sale entry '!Q638="Collection 收款",'Daily Sale entry '!S638,0))</f>
        <v/>
      </c>
      <c r="F638" s="37">
        <f>IF(C638="","",B638+IF(E638&gt;0,0,0.5)+ROW()/10000000)</f>
        <v/>
      </c>
      <c r="G638">
        <f>IF(C638="","",'Daily Sale entry '!Q638&amp;IF('Daily Sale entry '!Q638="Collection 收款"," ("&amp;'Daily Sale entry '!R638&amp;")","")&amp;IF('Daily Sale entry '!U638="",""," - "&amp;'Daily Sale entry '!U638))</f>
        <v/>
      </c>
      <c r="H638">
        <f>IF(C638="","",COUNTIFS($C$2:$C$3001,C638,$F$2:$F$3001,"&lt;"&amp;F638)+1)</f>
        <v/>
      </c>
      <c r="I638">
        <f>IF(C638="","",C638&amp;"|"&amp;H638)</f>
        <v/>
      </c>
      <c r="J638" s="6">
        <f>IF(C638="","",IF(H638=1,SUMIFS('Opening Balance'!$F$4:$F$303,'Opening Balance'!$G$4:$G$303,C638),INDEX($L$2:$L$3001,MATCH(C638&amp;"|"&amp;(H638-1),$I$2:$I$3001,0))))</f>
        <v/>
      </c>
      <c r="K638" s="6">
        <f>IF(C638="","",IF(M638&gt;0,M638,IF(AND(E638&gt;0,ROUND(J638+D638-E638,2)&gt;0,ROUND(J638+D638-E638,2)&lt;'Opening Balance'!$B$14),ROUND(J638+D638-E638,2),0)))</f>
        <v/>
      </c>
      <c r="L638" s="6">
        <f>IF(C638="","",ROUND(J638+D638-E638-K638,2))</f>
        <v/>
      </c>
      <c r="M638" s="6">
        <f>IF(C638="","",IF('Daily Sale entry '!Q638="Collection 收款",ROUND(N('Daily Sale entry '!T638),2),0))</f>
        <v/>
      </c>
    </row>
    <row r="639">
      <c r="A639" t="inlineStr">
        <is>
          <t>Entry 记录</t>
        </is>
      </c>
      <c r="B639" s="5">
        <f>IF('Daily Sale entry '!P639="","",'Daily Sale entry '!O639)</f>
        <v/>
      </c>
      <c r="C639">
        <f>IF('Daily Sale entry '!P639="","",'Daily Sale entry '!P639)</f>
        <v/>
      </c>
      <c r="D639">
        <f>IF(C639="","",IF('Daily Sale entry '!Q639="Credit Sale 赊销",'Daily Sale entry '!S639,0))</f>
        <v/>
      </c>
      <c r="E639">
        <f>IF(C639="","",IF('Daily Sale entry '!Q639="Collection 收款",'Daily Sale entry '!S639,0))</f>
        <v/>
      </c>
      <c r="F639" s="37">
        <f>IF(C639="","",B639+IF(E639&gt;0,0,0.5)+ROW()/10000000)</f>
        <v/>
      </c>
      <c r="G639">
        <f>IF(C639="","",'Daily Sale entry '!Q639&amp;IF('Daily Sale entry '!Q639="Collection 收款"," ("&amp;'Daily Sale entry '!R639&amp;")","")&amp;IF('Daily Sale entry '!U639="",""," - "&amp;'Daily Sale entry '!U639))</f>
        <v/>
      </c>
      <c r="H639">
        <f>IF(C639="","",COUNTIFS($C$2:$C$3001,C639,$F$2:$F$3001,"&lt;"&amp;F639)+1)</f>
        <v/>
      </c>
      <c r="I639">
        <f>IF(C639="","",C639&amp;"|"&amp;H639)</f>
        <v/>
      </c>
      <c r="J639" s="6">
        <f>IF(C639="","",IF(H639=1,SUMIFS('Opening Balance'!$F$4:$F$303,'Opening Balance'!$G$4:$G$303,C639),INDEX($L$2:$L$3001,MATCH(C639&amp;"|"&amp;(H639-1),$I$2:$I$3001,0))))</f>
        <v/>
      </c>
      <c r="K639" s="6">
        <f>IF(C639="","",IF(M639&gt;0,M639,IF(AND(E639&gt;0,ROUND(J639+D639-E639,2)&gt;0,ROUND(J639+D639-E639,2)&lt;'Opening Balance'!$B$14),ROUND(J639+D639-E639,2),0)))</f>
        <v/>
      </c>
      <c r="L639" s="6">
        <f>IF(C639="","",ROUND(J639+D639-E639-K639,2))</f>
        <v/>
      </c>
      <c r="M639" s="6">
        <f>IF(C639="","",IF('Daily Sale entry '!Q639="Collection 收款",ROUND(N('Daily Sale entry '!T639),2),0))</f>
        <v/>
      </c>
    </row>
    <row r="640">
      <c r="A640" t="inlineStr">
        <is>
          <t>Entry 记录</t>
        </is>
      </c>
      <c r="B640" s="5">
        <f>IF('Daily Sale entry '!P640="","",'Daily Sale entry '!O640)</f>
        <v/>
      </c>
      <c r="C640">
        <f>IF('Daily Sale entry '!P640="","",'Daily Sale entry '!P640)</f>
        <v/>
      </c>
      <c r="D640">
        <f>IF(C640="","",IF('Daily Sale entry '!Q640="Credit Sale 赊销",'Daily Sale entry '!S640,0))</f>
        <v/>
      </c>
      <c r="E640">
        <f>IF(C640="","",IF('Daily Sale entry '!Q640="Collection 收款",'Daily Sale entry '!S640,0))</f>
        <v/>
      </c>
      <c r="F640" s="37">
        <f>IF(C640="","",B640+IF(E640&gt;0,0,0.5)+ROW()/10000000)</f>
        <v/>
      </c>
      <c r="G640">
        <f>IF(C640="","",'Daily Sale entry '!Q640&amp;IF('Daily Sale entry '!Q640="Collection 收款"," ("&amp;'Daily Sale entry '!R640&amp;")","")&amp;IF('Daily Sale entry '!U640="",""," - "&amp;'Daily Sale entry '!U640))</f>
        <v/>
      </c>
      <c r="H640">
        <f>IF(C640="","",COUNTIFS($C$2:$C$3001,C640,$F$2:$F$3001,"&lt;"&amp;F640)+1)</f>
        <v/>
      </c>
      <c r="I640">
        <f>IF(C640="","",C640&amp;"|"&amp;H640)</f>
        <v/>
      </c>
      <c r="J640" s="6">
        <f>IF(C640="","",IF(H640=1,SUMIFS('Opening Balance'!$F$4:$F$303,'Opening Balance'!$G$4:$G$303,C640),INDEX($L$2:$L$3001,MATCH(C640&amp;"|"&amp;(H640-1),$I$2:$I$3001,0))))</f>
        <v/>
      </c>
      <c r="K640" s="6">
        <f>IF(C640="","",IF(M640&gt;0,M640,IF(AND(E640&gt;0,ROUND(J640+D640-E640,2)&gt;0,ROUND(J640+D640-E640,2)&lt;'Opening Balance'!$B$14),ROUND(J640+D640-E640,2),0)))</f>
        <v/>
      </c>
      <c r="L640" s="6">
        <f>IF(C640="","",ROUND(J640+D640-E640-K640,2))</f>
        <v/>
      </c>
      <c r="M640" s="6">
        <f>IF(C640="","",IF('Daily Sale entry '!Q640="Collection 收款",ROUND(N('Daily Sale entry '!T640),2),0))</f>
        <v/>
      </c>
    </row>
    <row r="641">
      <c r="A641" t="inlineStr">
        <is>
          <t>Entry 记录</t>
        </is>
      </c>
      <c r="B641" s="5">
        <f>IF('Daily Sale entry '!P641="","",'Daily Sale entry '!O641)</f>
        <v/>
      </c>
      <c r="C641">
        <f>IF('Daily Sale entry '!P641="","",'Daily Sale entry '!P641)</f>
        <v/>
      </c>
      <c r="D641">
        <f>IF(C641="","",IF('Daily Sale entry '!Q641="Credit Sale 赊销",'Daily Sale entry '!S641,0))</f>
        <v/>
      </c>
      <c r="E641">
        <f>IF(C641="","",IF('Daily Sale entry '!Q641="Collection 收款",'Daily Sale entry '!S641,0))</f>
        <v/>
      </c>
      <c r="F641" s="37">
        <f>IF(C641="","",B641+IF(E641&gt;0,0,0.5)+ROW()/10000000)</f>
        <v/>
      </c>
      <c r="G641">
        <f>IF(C641="","",'Daily Sale entry '!Q641&amp;IF('Daily Sale entry '!Q641="Collection 收款"," ("&amp;'Daily Sale entry '!R641&amp;")","")&amp;IF('Daily Sale entry '!U641="",""," - "&amp;'Daily Sale entry '!U641))</f>
        <v/>
      </c>
      <c r="H641">
        <f>IF(C641="","",COUNTIFS($C$2:$C$3001,C641,$F$2:$F$3001,"&lt;"&amp;F641)+1)</f>
        <v/>
      </c>
      <c r="I641">
        <f>IF(C641="","",C641&amp;"|"&amp;H641)</f>
        <v/>
      </c>
      <c r="J641" s="6">
        <f>IF(C641="","",IF(H641=1,SUMIFS('Opening Balance'!$F$4:$F$303,'Opening Balance'!$G$4:$G$303,C641),INDEX($L$2:$L$3001,MATCH(C641&amp;"|"&amp;(H641-1),$I$2:$I$3001,0))))</f>
        <v/>
      </c>
      <c r="K641" s="6">
        <f>IF(C641="","",IF(M641&gt;0,M641,IF(AND(E641&gt;0,ROUND(J641+D641-E641,2)&gt;0,ROUND(J641+D641-E641,2)&lt;'Opening Balance'!$B$14),ROUND(J641+D641-E641,2),0)))</f>
        <v/>
      </c>
      <c r="L641" s="6">
        <f>IF(C641="","",ROUND(J641+D641-E641-K641,2))</f>
        <v/>
      </c>
      <c r="M641" s="6">
        <f>IF(C641="","",IF('Daily Sale entry '!Q641="Collection 收款",ROUND(N('Daily Sale entry '!T641),2),0))</f>
        <v/>
      </c>
    </row>
    <row r="642">
      <c r="A642" t="inlineStr">
        <is>
          <t>Entry 记录</t>
        </is>
      </c>
      <c r="B642" s="5">
        <f>IF('Daily Sale entry '!P642="","",'Daily Sale entry '!O642)</f>
        <v/>
      </c>
      <c r="C642">
        <f>IF('Daily Sale entry '!P642="","",'Daily Sale entry '!P642)</f>
        <v/>
      </c>
      <c r="D642">
        <f>IF(C642="","",IF('Daily Sale entry '!Q642="Credit Sale 赊销",'Daily Sale entry '!S642,0))</f>
        <v/>
      </c>
      <c r="E642">
        <f>IF(C642="","",IF('Daily Sale entry '!Q642="Collection 收款",'Daily Sale entry '!S642,0))</f>
        <v/>
      </c>
      <c r="F642" s="37">
        <f>IF(C642="","",B642+IF(E642&gt;0,0,0.5)+ROW()/10000000)</f>
        <v/>
      </c>
      <c r="G642">
        <f>IF(C642="","",'Daily Sale entry '!Q642&amp;IF('Daily Sale entry '!Q642="Collection 收款"," ("&amp;'Daily Sale entry '!R642&amp;")","")&amp;IF('Daily Sale entry '!U642="",""," - "&amp;'Daily Sale entry '!U642))</f>
        <v/>
      </c>
      <c r="H642">
        <f>IF(C642="","",COUNTIFS($C$2:$C$3001,C642,$F$2:$F$3001,"&lt;"&amp;F642)+1)</f>
        <v/>
      </c>
      <c r="I642">
        <f>IF(C642="","",C642&amp;"|"&amp;H642)</f>
        <v/>
      </c>
      <c r="J642" s="6">
        <f>IF(C642="","",IF(H642=1,SUMIFS('Opening Balance'!$F$4:$F$303,'Opening Balance'!$G$4:$G$303,C642),INDEX($L$2:$L$3001,MATCH(C642&amp;"|"&amp;(H642-1),$I$2:$I$3001,0))))</f>
        <v/>
      </c>
      <c r="K642" s="6">
        <f>IF(C642="","",IF(M642&gt;0,M642,IF(AND(E642&gt;0,ROUND(J642+D642-E642,2)&gt;0,ROUND(J642+D642-E642,2)&lt;'Opening Balance'!$B$14),ROUND(J642+D642-E642,2),0)))</f>
        <v/>
      </c>
      <c r="L642" s="6">
        <f>IF(C642="","",ROUND(J642+D642-E642-K642,2))</f>
        <v/>
      </c>
      <c r="M642" s="6">
        <f>IF(C642="","",IF('Daily Sale entry '!Q642="Collection 收款",ROUND(N('Daily Sale entry '!T642),2),0))</f>
        <v/>
      </c>
    </row>
    <row r="643">
      <c r="A643" t="inlineStr">
        <is>
          <t>Entry 记录</t>
        </is>
      </c>
      <c r="B643" s="5">
        <f>IF('Daily Sale entry '!P643="","",'Daily Sale entry '!O643)</f>
        <v/>
      </c>
      <c r="C643">
        <f>IF('Daily Sale entry '!P643="","",'Daily Sale entry '!P643)</f>
        <v/>
      </c>
      <c r="D643">
        <f>IF(C643="","",IF('Daily Sale entry '!Q643="Credit Sale 赊销",'Daily Sale entry '!S643,0))</f>
        <v/>
      </c>
      <c r="E643">
        <f>IF(C643="","",IF('Daily Sale entry '!Q643="Collection 收款",'Daily Sale entry '!S643,0))</f>
        <v/>
      </c>
      <c r="F643" s="37">
        <f>IF(C643="","",B643+IF(E643&gt;0,0,0.5)+ROW()/10000000)</f>
        <v/>
      </c>
      <c r="G643">
        <f>IF(C643="","",'Daily Sale entry '!Q643&amp;IF('Daily Sale entry '!Q643="Collection 收款"," ("&amp;'Daily Sale entry '!R643&amp;")","")&amp;IF('Daily Sale entry '!U643="",""," - "&amp;'Daily Sale entry '!U643))</f>
        <v/>
      </c>
      <c r="H643">
        <f>IF(C643="","",COUNTIFS($C$2:$C$3001,C643,$F$2:$F$3001,"&lt;"&amp;F643)+1)</f>
        <v/>
      </c>
      <c r="I643">
        <f>IF(C643="","",C643&amp;"|"&amp;H643)</f>
        <v/>
      </c>
      <c r="J643" s="6">
        <f>IF(C643="","",IF(H643=1,SUMIFS('Opening Balance'!$F$4:$F$303,'Opening Balance'!$G$4:$G$303,C643),INDEX($L$2:$L$3001,MATCH(C643&amp;"|"&amp;(H643-1),$I$2:$I$3001,0))))</f>
        <v/>
      </c>
      <c r="K643" s="6">
        <f>IF(C643="","",IF(M643&gt;0,M643,IF(AND(E643&gt;0,ROUND(J643+D643-E643,2)&gt;0,ROUND(J643+D643-E643,2)&lt;'Opening Balance'!$B$14),ROUND(J643+D643-E643,2),0)))</f>
        <v/>
      </c>
      <c r="L643" s="6">
        <f>IF(C643="","",ROUND(J643+D643-E643-K643,2))</f>
        <v/>
      </c>
      <c r="M643" s="6">
        <f>IF(C643="","",IF('Daily Sale entry '!Q643="Collection 收款",ROUND(N('Daily Sale entry '!T643),2),0))</f>
        <v/>
      </c>
    </row>
    <row r="644">
      <c r="A644" t="inlineStr">
        <is>
          <t>Entry 记录</t>
        </is>
      </c>
      <c r="B644" s="5">
        <f>IF('Daily Sale entry '!P644="","",'Daily Sale entry '!O644)</f>
        <v/>
      </c>
      <c r="C644">
        <f>IF('Daily Sale entry '!P644="","",'Daily Sale entry '!P644)</f>
        <v/>
      </c>
      <c r="D644">
        <f>IF(C644="","",IF('Daily Sale entry '!Q644="Credit Sale 赊销",'Daily Sale entry '!S644,0))</f>
        <v/>
      </c>
      <c r="E644">
        <f>IF(C644="","",IF('Daily Sale entry '!Q644="Collection 收款",'Daily Sale entry '!S644,0))</f>
        <v/>
      </c>
      <c r="F644" s="37">
        <f>IF(C644="","",B644+IF(E644&gt;0,0,0.5)+ROW()/10000000)</f>
        <v/>
      </c>
      <c r="G644">
        <f>IF(C644="","",'Daily Sale entry '!Q644&amp;IF('Daily Sale entry '!Q644="Collection 收款"," ("&amp;'Daily Sale entry '!R644&amp;")","")&amp;IF('Daily Sale entry '!U644="",""," - "&amp;'Daily Sale entry '!U644))</f>
        <v/>
      </c>
      <c r="H644">
        <f>IF(C644="","",COUNTIFS($C$2:$C$3001,C644,$F$2:$F$3001,"&lt;"&amp;F644)+1)</f>
        <v/>
      </c>
      <c r="I644">
        <f>IF(C644="","",C644&amp;"|"&amp;H644)</f>
        <v/>
      </c>
      <c r="J644" s="6">
        <f>IF(C644="","",IF(H644=1,SUMIFS('Opening Balance'!$F$4:$F$303,'Opening Balance'!$G$4:$G$303,C644),INDEX($L$2:$L$3001,MATCH(C644&amp;"|"&amp;(H644-1),$I$2:$I$3001,0))))</f>
        <v/>
      </c>
      <c r="K644" s="6">
        <f>IF(C644="","",IF(M644&gt;0,M644,IF(AND(E644&gt;0,ROUND(J644+D644-E644,2)&gt;0,ROUND(J644+D644-E644,2)&lt;'Opening Balance'!$B$14),ROUND(J644+D644-E644,2),0)))</f>
        <v/>
      </c>
      <c r="L644" s="6">
        <f>IF(C644="","",ROUND(J644+D644-E644-K644,2))</f>
        <v/>
      </c>
      <c r="M644" s="6">
        <f>IF(C644="","",IF('Daily Sale entry '!Q644="Collection 收款",ROUND(N('Daily Sale entry '!T644),2),0))</f>
        <v/>
      </c>
    </row>
    <row r="645">
      <c r="A645" t="inlineStr">
        <is>
          <t>Entry 记录</t>
        </is>
      </c>
      <c r="B645" s="5">
        <f>IF('Daily Sale entry '!P645="","",'Daily Sale entry '!O645)</f>
        <v/>
      </c>
      <c r="C645">
        <f>IF('Daily Sale entry '!P645="","",'Daily Sale entry '!P645)</f>
        <v/>
      </c>
      <c r="D645">
        <f>IF(C645="","",IF('Daily Sale entry '!Q645="Credit Sale 赊销",'Daily Sale entry '!S645,0))</f>
        <v/>
      </c>
      <c r="E645">
        <f>IF(C645="","",IF('Daily Sale entry '!Q645="Collection 收款",'Daily Sale entry '!S645,0))</f>
        <v/>
      </c>
      <c r="F645" s="37">
        <f>IF(C645="","",B645+IF(E645&gt;0,0,0.5)+ROW()/10000000)</f>
        <v/>
      </c>
      <c r="G645">
        <f>IF(C645="","",'Daily Sale entry '!Q645&amp;IF('Daily Sale entry '!Q645="Collection 收款"," ("&amp;'Daily Sale entry '!R645&amp;")","")&amp;IF('Daily Sale entry '!U645="",""," - "&amp;'Daily Sale entry '!U645))</f>
        <v/>
      </c>
      <c r="H645">
        <f>IF(C645="","",COUNTIFS($C$2:$C$3001,C645,$F$2:$F$3001,"&lt;"&amp;F645)+1)</f>
        <v/>
      </c>
      <c r="I645">
        <f>IF(C645="","",C645&amp;"|"&amp;H645)</f>
        <v/>
      </c>
      <c r="J645" s="6">
        <f>IF(C645="","",IF(H645=1,SUMIFS('Opening Balance'!$F$4:$F$303,'Opening Balance'!$G$4:$G$303,C645),INDEX($L$2:$L$3001,MATCH(C645&amp;"|"&amp;(H645-1),$I$2:$I$3001,0))))</f>
        <v/>
      </c>
      <c r="K645" s="6">
        <f>IF(C645="","",IF(M645&gt;0,M645,IF(AND(E645&gt;0,ROUND(J645+D645-E645,2)&gt;0,ROUND(J645+D645-E645,2)&lt;'Opening Balance'!$B$14),ROUND(J645+D645-E645,2),0)))</f>
        <v/>
      </c>
      <c r="L645" s="6">
        <f>IF(C645="","",ROUND(J645+D645-E645-K645,2))</f>
        <v/>
      </c>
      <c r="M645" s="6">
        <f>IF(C645="","",IF('Daily Sale entry '!Q645="Collection 收款",ROUND(N('Daily Sale entry '!T645),2),0))</f>
        <v/>
      </c>
    </row>
    <row r="646">
      <c r="A646" t="inlineStr">
        <is>
          <t>Entry 记录</t>
        </is>
      </c>
      <c r="B646" s="5">
        <f>IF('Daily Sale entry '!P646="","",'Daily Sale entry '!O646)</f>
        <v/>
      </c>
      <c r="C646">
        <f>IF('Daily Sale entry '!P646="","",'Daily Sale entry '!P646)</f>
        <v/>
      </c>
      <c r="D646">
        <f>IF(C646="","",IF('Daily Sale entry '!Q646="Credit Sale 赊销",'Daily Sale entry '!S646,0))</f>
        <v/>
      </c>
      <c r="E646">
        <f>IF(C646="","",IF('Daily Sale entry '!Q646="Collection 收款",'Daily Sale entry '!S646,0))</f>
        <v/>
      </c>
      <c r="F646" s="37">
        <f>IF(C646="","",B646+IF(E646&gt;0,0,0.5)+ROW()/10000000)</f>
        <v/>
      </c>
      <c r="G646">
        <f>IF(C646="","",'Daily Sale entry '!Q646&amp;IF('Daily Sale entry '!Q646="Collection 收款"," ("&amp;'Daily Sale entry '!R646&amp;")","")&amp;IF('Daily Sale entry '!U646="",""," - "&amp;'Daily Sale entry '!U646))</f>
        <v/>
      </c>
      <c r="H646">
        <f>IF(C646="","",COUNTIFS($C$2:$C$3001,C646,$F$2:$F$3001,"&lt;"&amp;F646)+1)</f>
        <v/>
      </c>
      <c r="I646">
        <f>IF(C646="","",C646&amp;"|"&amp;H646)</f>
        <v/>
      </c>
      <c r="J646" s="6">
        <f>IF(C646="","",IF(H646=1,SUMIFS('Opening Balance'!$F$4:$F$303,'Opening Balance'!$G$4:$G$303,C646),INDEX($L$2:$L$3001,MATCH(C646&amp;"|"&amp;(H646-1),$I$2:$I$3001,0))))</f>
        <v/>
      </c>
      <c r="K646" s="6">
        <f>IF(C646="","",IF(M646&gt;0,M646,IF(AND(E646&gt;0,ROUND(J646+D646-E646,2)&gt;0,ROUND(J646+D646-E646,2)&lt;'Opening Balance'!$B$14),ROUND(J646+D646-E646,2),0)))</f>
        <v/>
      </c>
      <c r="L646" s="6">
        <f>IF(C646="","",ROUND(J646+D646-E646-K646,2))</f>
        <v/>
      </c>
      <c r="M646" s="6">
        <f>IF(C646="","",IF('Daily Sale entry '!Q646="Collection 收款",ROUND(N('Daily Sale entry '!T646),2),0))</f>
        <v/>
      </c>
    </row>
    <row r="647">
      <c r="A647" t="inlineStr">
        <is>
          <t>Entry 记录</t>
        </is>
      </c>
      <c r="B647" s="5">
        <f>IF('Daily Sale entry '!P647="","",'Daily Sale entry '!O647)</f>
        <v/>
      </c>
      <c r="C647">
        <f>IF('Daily Sale entry '!P647="","",'Daily Sale entry '!P647)</f>
        <v/>
      </c>
      <c r="D647">
        <f>IF(C647="","",IF('Daily Sale entry '!Q647="Credit Sale 赊销",'Daily Sale entry '!S647,0))</f>
        <v/>
      </c>
      <c r="E647">
        <f>IF(C647="","",IF('Daily Sale entry '!Q647="Collection 收款",'Daily Sale entry '!S647,0))</f>
        <v/>
      </c>
      <c r="F647" s="37">
        <f>IF(C647="","",B647+IF(E647&gt;0,0,0.5)+ROW()/10000000)</f>
        <v/>
      </c>
      <c r="G647">
        <f>IF(C647="","",'Daily Sale entry '!Q647&amp;IF('Daily Sale entry '!Q647="Collection 收款"," ("&amp;'Daily Sale entry '!R647&amp;")","")&amp;IF('Daily Sale entry '!U647="",""," - "&amp;'Daily Sale entry '!U647))</f>
        <v/>
      </c>
      <c r="H647">
        <f>IF(C647="","",COUNTIFS($C$2:$C$3001,C647,$F$2:$F$3001,"&lt;"&amp;F647)+1)</f>
        <v/>
      </c>
      <c r="I647">
        <f>IF(C647="","",C647&amp;"|"&amp;H647)</f>
        <v/>
      </c>
      <c r="J647" s="6">
        <f>IF(C647="","",IF(H647=1,SUMIFS('Opening Balance'!$F$4:$F$303,'Opening Balance'!$G$4:$G$303,C647),INDEX($L$2:$L$3001,MATCH(C647&amp;"|"&amp;(H647-1),$I$2:$I$3001,0))))</f>
        <v/>
      </c>
      <c r="K647" s="6">
        <f>IF(C647="","",IF(M647&gt;0,M647,IF(AND(E647&gt;0,ROUND(J647+D647-E647,2)&gt;0,ROUND(J647+D647-E647,2)&lt;'Opening Balance'!$B$14),ROUND(J647+D647-E647,2),0)))</f>
        <v/>
      </c>
      <c r="L647" s="6">
        <f>IF(C647="","",ROUND(J647+D647-E647-K647,2))</f>
        <v/>
      </c>
      <c r="M647" s="6">
        <f>IF(C647="","",IF('Daily Sale entry '!Q647="Collection 收款",ROUND(N('Daily Sale entry '!T647),2),0))</f>
        <v/>
      </c>
    </row>
    <row r="648">
      <c r="A648" t="inlineStr">
        <is>
          <t>Entry 记录</t>
        </is>
      </c>
      <c r="B648" s="5">
        <f>IF('Daily Sale entry '!P648="","",'Daily Sale entry '!O648)</f>
        <v/>
      </c>
      <c r="C648">
        <f>IF('Daily Sale entry '!P648="","",'Daily Sale entry '!P648)</f>
        <v/>
      </c>
      <c r="D648">
        <f>IF(C648="","",IF('Daily Sale entry '!Q648="Credit Sale 赊销",'Daily Sale entry '!S648,0))</f>
        <v/>
      </c>
      <c r="E648">
        <f>IF(C648="","",IF('Daily Sale entry '!Q648="Collection 收款",'Daily Sale entry '!S648,0))</f>
        <v/>
      </c>
      <c r="F648" s="37">
        <f>IF(C648="","",B648+IF(E648&gt;0,0,0.5)+ROW()/10000000)</f>
        <v/>
      </c>
      <c r="G648">
        <f>IF(C648="","",'Daily Sale entry '!Q648&amp;IF('Daily Sale entry '!Q648="Collection 收款"," ("&amp;'Daily Sale entry '!R648&amp;")","")&amp;IF('Daily Sale entry '!U648="",""," - "&amp;'Daily Sale entry '!U648))</f>
        <v/>
      </c>
      <c r="H648">
        <f>IF(C648="","",COUNTIFS($C$2:$C$3001,C648,$F$2:$F$3001,"&lt;"&amp;F648)+1)</f>
        <v/>
      </c>
      <c r="I648">
        <f>IF(C648="","",C648&amp;"|"&amp;H648)</f>
        <v/>
      </c>
      <c r="J648" s="6">
        <f>IF(C648="","",IF(H648=1,SUMIFS('Opening Balance'!$F$4:$F$303,'Opening Balance'!$G$4:$G$303,C648),INDEX($L$2:$L$3001,MATCH(C648&amp;"|"&amp;(H648-1),$I$2:$I$3001,0))))</f>
        <v/>
      </c>
      <c r="K648" s="6">
        <f>IF(C648="","",IF(M648&gt;0,M648,IF(AND(E648&gt;0,ROUND(J648+D648-E648,2)&gt;0,ROUND(J648+D648-E648,2)&lt;'Opening Balance'!$B$14),ROUND(J648+D648-E648,2),0)))</f>
        <v/>
      </c>
      <c r="L648" s="6">
        <f>IF(C648="","",ROUND(J648+D648-E648-K648,2))</f>
        <v/>
      </c>
      <c r="M648" s="6">
        <f>IF(C648="","",IF('Daily Sale entry '!Q648="Collection 收款",ROUND(N('Daily Sale entry '!T648),2),0))</f>
        <v/>
      </c>
    </row>
    <row r="649">
      <c r="A649" t="inlineStr">
        <is>
          <t>Entry 记录</t>
        </is>
      </c>
      <c r="B649" s="5">
        <f>IF('Daily Sale entry '!P649="","",'Daily Sale entry '!O649)</f>
        <v/>
      </c>
      <c r="C649">
        <f>IF('Daily Sale entry '!P649="","",'Daily Sale entry '!P649)</f>
        <v/>
      </c>
      <c r="D649">
        <f>IF(C649="","",IF('Daily Sale entry '!Q649="Credit Sale 赊销",'Daily Sale entry '!S649,0))</f>
        <v/>
      </c>
      <c r="E649">
        <f>IF(C649="","",IF('Daily Sale entry '!Q649="Collection 收款",'Daily Sale entry '!S649,0))</f>
        <v/>
      </c>
      <c r="F649" s="37">
        <f>IF(C649="","",B649+IF(E649&gt;0,0,0.5)+ROW()/10000000)</f>
        <v/>
      </c>
      <c r="G649">
        <f>IF(C649="","",'Daily Sale entry '!Q649&amp;IF('Daily Sale entry '!Q649="Collection 收款"," ("&amp;'Daily Sale entry '!R649&amp;")","")&amp;IF('Daily Sale entry '!U649="",""," - "&amp;'Daily Sale entry '!U649))</f>
        <v/>
      </c>
      <c r="H649">
        <f>IF(C649="","",COUNTIFS($C$2:$C$3001,C649,$F$2:$F$3001,"&lt;"&amp;F649)+1)</f>
        <v/>
      </c>
      <c r="I649">
        <f>IF(C649="","",C649&amp;"|"&amp;H649)</f>
        <v/>
      </c>
      <c r="J649" s="6">
        <f>IF(C649="","",IF(H649=1,SUMIFS('Opening Balance'!$F$4:$F$303,'Opening Balance'!$G$4:$G$303,C649),INDEX($L$2:$L$3001,MATCH(C649&amp;"|"&amp;(H649-1),$I$2:$I$3001,0))))</f>
        <v/>
      </c>
      <c r="K649" s="6">
        <f>IF(C649="","",IF(M649&gt;0,M649,IF(AND(E649&gt;0,ROUND(J649+D649-E649,2)&gt;0,ROUND(J649+D649-E649,2)&lt;'Opening Balance'!$B$14),ROUND(J649+D649-E649,2),0)))</f>
        <v/>
      </c>
      <c r="L649" s="6">
        <f>IF(C649="","",ROUND(J649+D649-E649-K649,2))</f>
        <v/>
      </c>
      <c r="M649" s="6">
        <f>IF(C649="","",IF('Daily Sale entry '!Q649="Collection 收款",ROUND(N('Daily Sale entry '!T649),2),0))</f>
        <v/>
      </c>
    </row>
    <row r="650">
      <c r="A650" t="inlineStr">
        <is>
          <t>Entry 记录</t>
        </is>
      </c>
      <c r="B650" s="5">
        <f>IF('Daily Sale entry '!P650="","",'Daily Sale entry '!O650)</f>
        <v/>
      </c>
      <c r="C650">
        <f>IF('Daily Sale entry '!P650="","",'Daily Sale entry '!P650)</f>
        <v/>
      </c>
      <c r="D650">
        <f>IF(C650="","",IF('Daily Sale entry '!Q650="Credit Sale 赊销",'Daily Sale entry '!S650,0))</f>
        <v/>
      </c>
      <c r="E650">
        <f>IF(C650="","",IF('Daily Sale entry '!Q650="Collection 收款",'Daily Sale entry '!S650,0))</f>
        <v/>
      </c>
      <c r="F650" s="37">
        <f>IF(C650="","",B650+IF(E650&gt;0,0,0.5)+ROW()/10000000)</f>
        <v/>
      </c>
      <c r="G650">
        <f>IF(C650="","",'Daily Sale entry '!Q650&amp;IF('Daily Sale entry '!Q650="Collection 收款"," ("&amp;'Daily Sale entry '!R650&amp;")","")&amp;IF('Daily Sale entry '!U650="",""," - "&amp;'Daily Sale entry '!U650))</f>
        <v/>
      </c>
      <c r="H650">
        <f>IF(C650="","",COUNTIFS($C$2:$C$3001,C650,$F$2:$F$3001,"&lt;"&amp;F650)+1)</f>
        <v/>
      </c>
      <c r="I650">
        <f>IF(C650="","",C650&amp;"|"&amp;H650)</f>
        <v/>
      </c>
      <c r="J650" s="6">
        <f>IF(C650="","",IF(H650=1,SUMIFS('Opening Balance'!$F$4:$F$303,'Opening Balance'!$G$4:$G$303,C650),INDEX($L$2:$L$3001,MATCH(C650&amp;"|"&amp;(H650-1),$I$2:$I$3001,0))))</f>
        <v/>
      </c>
      <c r="K650" s="6">
        <f>IF(C650="","",IF(M650&gt;0,M650,IF(AND(E650&gt;0,ROUND(J650+D650-E650,2)&gt;0,ROUND(J650+D650-E650,2)&lt;'Opening Balance'!$B$14),ROUND(J650+D650-E650,2),0)))</f>
        <v/>
      </c>
      <c r="L650" s="6">
        <f>IF(C650="","",ROUND(J650+D650-E650-K650,2))</f>
        <v/>
      </c>
      <c r="M650" s="6">
        <f>IF(C650="","",IF('Daily Sale entry '!Q650="Collection 收款",ROUND(N('Daily Sale entry '!T650),2),0))</f>
        <v/>
      </c>
    </row>
    <row r="651">
      <c r="A651" t="inlineStr">
        <is>
          <t>Entry 记录</t>
        </is>
      </c>
      <c r="B651" s="5">
        <f>IF('Daily Sale entry '!P651="","",'Daily Sale entry '!O651)</f>
        <v/>
      </c>
      <c r="C651">
        <f>IF('Daily Sale entry '!P651="","",'Daily Sale entry '!P651)</f>
        <v/>
      </c>
      <c r="D651">
        <f>IF(C651="","",IF('Daily Sale entry '!Q651="Credit Sale 赊销",'Daily Sale entry '!S651,0))</f>
        <v/>
      </c>
      <c r="E651">
        <f>IF(C651="","",IF('Daily Sale entry '!Q651="Collection 收款",'Daily Sale entry '!S651,0))</f>
        <v/>
      </c>
      <c r="F651" s="37">
        <f>IF(C651="","",B651+IF(E651&gt;0,0,0.5)+ROW()/10000000)</f>
        <v/>
      </c>
      <c r="G651">
        <f>IF(C651="","",'Daily Sale entry '!Q651&amp;IF('Daily Sale entry '!Q651="Collection 收款"," ("&amp;'Daily Sale entry '!R651&amp;")","")&amp;IF('Daily Sale entry '!U651="",""," - "&amp;'Daily Sale entry '!U651))</f>
        <v/>
      </c>
      <c r="H651">
        <f>IF(C651="","",COUNTIFS($C$2:$C$3001,C651,$F$2:$F$3001,"&lt;"&amp;F651)+1)</f>
        <v/>
      </c>
      <c r="I651">
        <f>IF(C651="","",C651&amp;"|"&amp;H651)</f>
        <v/>
      </c>
      <c r="J651" s="6">
        <f>IF(C651="","",IF(H651=1,SUMIFS('Opening Balance'!$F$4:$F$303,'Opening Balance'!$G$4:$G$303,C651),INDEX($L$2:$L$3001,MATCH(C651&amp;"|"&amp;(H651-1),$I$2:$I$3001,0))))</f>
        <v/>
      </c>
      <c r="K651" s="6">
        <f>IF(C651="","",IF(M651&gt;0,M651,IF(AND(E651&gt;0,ROUND(J651+D651-E651,2)&gt;0,ROUND(J651+D651-E651,2)&lt;'Opening Balance'!$B$14),ROUND(J651+D651-E651,2),0)))</f>
        <v/>
      </c>
      <c r="L651" s="6">
        <f>IF(C651="","",ROUND(J651+D651-E651-K651,2))</f>
        <v/>
      </c>
      <c r="M651" s="6">
        <f>IF(C651="","",IF('Daily Sale entry '!Q651="Collection 收款",ROUND(N('Daily Sale entry '!T651),2),0))</f>
        <v/>
      </c>
    </row>
    <row r="652">
      <c r="A652" t="inlineStr">
        <is>
          <t>Entry 记录</t>
        </is>
      </c>
      <c r="B652" s="5">
        <f>IF('Daily Sale entry '!P652="","",'Daily Sale entry '!O652)</f>
        <v/>
      </c>
      <c r="C652">
        <f>IF('Daily Sale entry '!P652="","",'Daily Sale entry '!P652)</f>
        <v/>
      </c>
      <c r="D652">
        <f>IF(C652="","",IF('Daily Sale entry '!Q652="Credit Sale 赊销",'Daily Sale entry '!S652,0))</f>
        <v/>
      </c>
      <c r="E652">
        <f>IF(C652="","",IF('Daily Sale entry '!Q652="Collection 收款",'Daily Sale entry '!S652,0))</f>
        <v/>
      </c>
      <c r="F652" s="37">
        <f>IF(C652="","",B652+IF(E652&gt;0,0,0.5)+ROW()/10000000)</f>
        <v/>
      </c>
      <c r="G652">
        <f>IF(C652="","",'Daily Sale entry '!Q652&amp;IF('Daily Sale entry '!Q652="Collection 收款"," ("&amp;'Daily Sale entry '!R652&amp;")","")&amp;IF('Daily Sale entry '!U652="",""," - "&amp;'Daily Sale entry '!U652))</f>
        <v/>
      </c>
      <c r="H652">
        <f>IF(C652="","",COUNTIFS($C$2:$C$3001,C652,$F$2:$F$3001,"&lt;"&amp;F652)+1)</f>
        <v/>
      </c>
      <c r="I652">
        <f>IF(C652="","",C652&amp;"|"&amp;H652)</f>
        <v/>
      </c>
      <c r="J652" s="6">
        <f>IF(C652="","",IF(H652=1,SUMIFS('Opening Balance'!$F$4:$F$303,'Opening Balance'!$G$4:$G$303,C652),INDEX($L$2:$L$3001,MATCH(C652&amp;"|"&amp;(H652-1),$I$2:$I$3001,0))))</f>
        <v/>
      </c>
      <c r="K652" s="6">
        <f>IF(C652="","",IF(M652&gt;0,M652,IF(AND(E652&gt;0,ROUND(J652+D652-E652,2)&gt;0,ROUND(J652+D652-E652,2)&lt;'Opening Balance'!$B$14),ROUND(J652+D652-E652,2),0)))</f>
        <v/>
      </c>
      <c r="L652" s="6">
        <f>IF(C652="","",ROUND(J652+D652-E652-K652,2))</f>
        <v/>
      </c>
      <c r="M652" s="6">
        <f>IF(C652="","",IF('Daily Sale entry '!Q652="Collection 收款",ROUND(N('Daily Sale entry '!T652),2),0))</f>
        <v/>
      </c>
    </row>
    <row r="653">
      <c r="A653" t="inlineStr">
        <is>
          <t>Entry 记录</t>
        </is>
      </c>
      <c r="B653" s="5">
        <f>IF('Daily Sale entry '!P653="","",'Daily Sale entry '!O653)</f>
        <v/>
      </c>
      <c r="C653">
        <f>IF('Daily Sale entry '!P653="","",'Daily Sale entry '!P653)</f>
        <v/>
      </c>
      <c r="D653">
        <f>IF(C653="","",IF('Daily Sale entry '!Q653="Credit Sale 赊销",'Daily Sale entry '!S653,0))</f>
        <v/>
      </c>
      <c r="E653">
        <f>IF(C653="","",IF('Daily Sale entry '!Q653="Collection 收款",'Daily Sale entry '!S653,0))</f>
        <v/>
      </c>
      <c r="F653" s="37">
        <f>IF(C653="","",B653+IF(E653&gt;0,0,0.5)+ROW()/10000000)</f>
        <v/>
      </c>
      <c r="G653">
        <f>IF(C653="","",'Daily Sale entry '!Q653&amp;IF('Daily Sale entry '!Q653="Collection 收款"," ("&amp;'Daily Sale entry '!R653&amp;")","")&amp;IF('Daily Sale entry '!U653="",""," - "&amp;'Daily Sale entry '!U653))</f>
        <v/>
      </c>
      <c r="H653">
        <f>IF(C653="","",COUNTIFS($C$2:$C$3001,C653,$F$2:$F$3001,"&lt;"&amp;F653)+1)</f>
        <v/>
      </c>
      <c r="I653">
        <f>IF(C653="","",C653&amp;"|"&amp;H653)</f>
        <v/>
      </c>
      <c r="J653" s="6">
        <f>IF(C653="","",IF(H653=1,SUMIFS('Opening Balance'!$F$4:$F$303,'Opening Balance'!$G$4:$G$303,C653),INDEX($L$2:$L$3001,MATCH(C653&amp;"|"&amp;(H653-1),$I$2:$I$3001,0))))</f>
        <v/>
      </c>
      <c r="K653" s="6">
        <f>IF(C653="","",IF(M653&gt;0,M653,IF(AND(E653&gt;0,ROUND(J653+D653-E653,2)&gt;0,ROUND(J653+D653-E653,2)&lt;'Opening Balance'!$B$14),ROUND(J653+D653-E653,2),0)))</f>
        <v/>
      </c>
      <c r="L653" s="6">
        <f>IF(C653="","",ROUND(J653+D653-E653-K653,2))</f>
        <v/>
      </c>
      <c r="M653" s="6">
        <f>IF(C653="","",IF('Daily Sale entry '!Q653="Collection 收款",ROUND(N('Daily Sale entry '!T653),2),0))</f>
        <v/>
      </c>
    </row>
    <row r="654">
      <c r="A654" t="inlineStr">
        <is>
          <t>Entry 记录</t>
        </is>
      </c>
      <c r="B654" s="5">
        <f>IF('Daily Sale entry '!P654="","",'Daily Sale entry '!O654)</f>
        <v/>
      </c>
      <c r="C654">
        <f>IF('Daily Sale entry '!P654="","",'Daily Sale entry '!P654)</f>
        <v/>
      </c>
      <c r="D654">
        <f>IF(C654="","",IF('Daily Sale entry '!Q654="Credit Sale 赊销",'Daily Sale entry '!S654,0))</f>
        <v/>
      </c>
      <c r="E654">
        <f>IF(C654="","",IF('Daily Sale entry '!Q654="Collection 收款",'Daily Sale entry '!S654,0))</f>
        <v/>
      </c>
      <c r="F654" s="37">
        <f>IF(C654="","",B654+IF(E654&gt;0,0,0.5)+ROW()/10000000)</f>
        <v/>
      </c>
      <c r="G654">
        <f>IF(C654="","",'Daily Sale entry '!Q654&amp;IF('Daily Sale entry '!Q654="Collection 收款"," ("&amp;'Daily Sale entry '!R654&amp;")","")&amp;IF('Daily Sale entry '!U654="",""," - "&amp;'Daily Sale entry '!U654))</f>
        <v/>
      </c>
      <c r="H654">
        <f>IF(C654="","",COUNTIFS($C$2:$C$3001,C654,$F$2:$F$3001,"&lt;"&amp;F654)+1)</f>
        <v/>
      </c>
      <c r="I654">
        <f>IF(C654="","",C654&amp;"|"&amp;H654)</f>
        <v/>
      </c>
      <c r="J654" s="6">
        <f>IF(C654="","",IF(H654=1,SUMIFS('Opening Balance'!$F$4:$F$303,'Opening Balance'!$G$4:$G$303,C654),INDEX($L$2:$L$3001,MATCH(C654&amp;"|"&amp;(H654-1),$I$2:$I$3001,0))))</f>
        <v/>
      </c>
      <c r="K654" s="6">
        <f>IF(C654="","",IF(M654&gt;0,M654,IF(AND(E654&gt;0,ROUND(J654+D654-E654,2)&gt;0,ROUND(J654+D654-E654,2)&lt;'Opening Balance'!$B$14),ROUND(J654+D654-E654,2),0)))</f>
        <v/>
      </c>
      <c r="L654" s="6">
        <f>IF(C654="","",ROUND(J654+D654-E654-K654,2))</f>
        <v/>
      </c>
      <c r="M654" s="6">
        <f>IF(C654="","",IF('Daily Sale entry '!Q654="Collection 收款",ROUND(N('Daily Sale entry '!T654),2),0))</f>
        <v/>
      </c>
    </row>
    <row r="655">
      <c r="A655" t="inlineStr">
        <is>
          <t>Entry 记录</t>
        </is>
      </c>
      <c r="B655" s="5">
        <f>IF('Daily Sale entry '!P655="","",'Daily Sale entry '!O655)</f>
        <v/>
      </c>
      <c r="C655">
        <f>IF('Daily Sale entry '!P655="","",'Daily Sale entry '!P655)</f>
        <v/>
      </c>
      <c r="D655">
        <f>IF(C655="","",IF('Daily Sale entry '!Q655="Credit Sale 赊销",'Daily Sale entry '!S655,0))</f>
        <v/>
      </c>
      <c r="E655">
        <f>IF(C655="","",IF('Daily Sale entry '!Q655="Collection 收款",'Daily Sale entry '!S655,0))</f>
        <v/>
      </c>
      <c r="F655" s="37">
        <f>IF(C655="","",B655+IF(E655&gt;0,0,0.5)+ROW()/10000000)</f>
        <v/>
      </c>
      <c r="G655">
        <f>IF(C655="","",'Daily Sale entry '!Q655&amp;IF('Daily Sale entry '!Q655="Collection 收款"," ("&amp;'Daily Sale entry '!R655&amp;")","")&amp;IF('Daily Sale entry '!U655="",""," - "&amp;'Daily Sale entry '!U655))</f>
        <v/>
      </c>
      <c r="H655">
        <f>IF(C655="","",COUNTIFS($C$2:$C$3001,C655,$F$2:$F$3001,"&lt;"&amp;F655)+1)</f>
        <v/>
      </c>
      <c r="I655">
        <f>IF(C655="","",C655&amp;"|"&amp;H655)</f>
        <v/>
      </c>
      <c r="J655" s="6">
        <f>IF(C655="","",IF(H655=1,SUMIFS('Opening Balance'!$F$4:$F$303,'Opening Balance'!$G$4:$G$303,C655),INDEX($L$2:$L$3001,MATCH(C655&amp;"|"&amp;(H655-1),$I$2:$I$3001,0))))</f>
        <v/>
      </c>
      <c r="K655" s="6">
        <f>IF(C655="","",IF(M655&gt;0,M655,IF(AND(E655&gt;0,ROUND(J655+D655-E655,2)&gt;0,ROUND(J655+D655-E655,2)&lt;'Opening Balance'!$B$14),ROUND(J655+D655-E655,2),0)))</f>
        <v/>
      </c>
      <c r="L655" s="6">
        <f>IF(C655="","",ROUND(J655+D655-E655-K655,2))</f>
        <v/>
      </c>
      <c r="M655" s="6">
        <f>IF(C655="","",IF('Daily Sale entry '!Q655="Collection 收款",ROUND(N('Daily Sale entry '!T655),2),0))</f>
        <v/>
      </c>
    </row>
    <row r="656">
      <c r="A656" t="inlineStr">
        <is>
          <t>Entry 记录</t>
        </is>
      </c>
      <c r="B656" s="5">
        <f>IF('Daily Sale entry '!P656="","",'Daily Sale entry '!O656)</f>
        <v/>
      </c>
      <c r="C656">
        <f>IF('Daily Sale entry '!P656="","",'Daily Sale entry '!P656)</f>
        <v/>
      </c>
      <c r="D656">
        <f>IF(C656="","",IF('Daily Sale entry '!Q656="Credit Sale 赊销",'Daily Sale entry '!S656,0))</f>
        <v/>
      </c>
      <c r="E656">
        <f>IF(C656="","",IF('Daily Sale entry '!Q656="Collection 收款",'Daily Sale entry '!S656,0))</f>
        <v/>
      </c>
      <c r="F656" s="37">
        <f>IF(C656="","",B656+IF(E656&gt;0,0,0.5)+ROW()/10000000)</f>
        <v/>
      </c>
      <c r="G656">
        <f>IF(C656="","",'Daily Sale entry '!Q656&amp;IF('Daily Sale entry '!Q656="Collection 收款"," ("&amp;'Daily Sale entry '!R656&amp;")","")&amp;IF('Daily Sale entry '!U656="",""," - "&amp;'Daily Sale entry '!U656))</f>
        <v/>
      </c>
      <c r="H656">
        <f>IF(C656="","",COUNTIFS($C$2:$C$3001,C656,$F$2:$F$3001,"&lt;"&amp;F656)+1)</f>
        <v/>
      </c>
      <c r="I656">
        <f>IF(C656="","",C656&amp;"|"&amp;H656)</f>
        <v/>
      </c>
      <c r="J656" s="6">
        <f>IF(C656="","",IF(H656=1,SUMIFS('Opening Balance'!$F$4:$F$303,'Opening Balance'!$G$4:$G$303,C656),INDEX($L$2:$L$3001,MATCH(C656&amp;"|"&amp;(H656-1),$I$2:$I$3001,0))))</f>
        <v/>
      </c>
      <c r="K656" s="6">
        <f>IF(C656="","",IF(M656&gt;0,M656,IF(AND(E656&gt;0,ROUND(J656+D656-E656,2)&gt;0,ROUND(J656+D656-E656,2)&lt;'Opening Balance'!$B$14),ROUND(J656+D656-E656,2),0)))</f>
        <v/>
      </c>
      <c r="L656" s="6">
        <f>IF(C656="","",ROUND(J656+D656-E656-K656,2))</f>
        <v/>
      </c>
      <c r="M656" s="6">
        <f>IF(C656="","",IF('Daily Sale entry '!Q656="Collection 收款",ROUND(N('Daily Sale entry '!T656),2),0))</f>
        <v/>
      </c>
    </row>
    <row r="657">
      <c r="A657" t="inlineStr">
        <is>
          <t>Entry 记录</t>
        </is>
      </c>
      <c r="B657" s="5">
        <f>IF('Daily Sale entry '!P657="","",'Daily Sale entry '!O657)</f>
        <v/>
      </c>
      <c r="C657">
        <f>IF('Daily Sale entry '!P657="","",'Daily Sale entry '!P657)</f>
        <v/>
      </c>
      <c r="D657">
        <f>IF(C657="","",IF('Daily Sale entry '!Q657="Credit Sale 赊销",'Daily Sale entry '!S657,0))</f>
        <v/>
      </c>
      <c r="E657">
        <f>IF(C657="","",IF('Daily Sale entry '!Q657="Collection 收款",'Daily Sale entry '!S657,0))</f>
        <v/>
      </c>
      <c r="F657" s="37">
        <f>IF(C657="","",B657+IF(E657&gt;0,0,0.5)+ROW()/10000000)</f>
        <v/>
      </c>
      <c r="G657">
        <f>IF(C657="","",'Daily Sale entry '!Q657&amp;IF('Daily Sale entry '!Q657="Collection 收款"," ("&amp;'Daily Sale entry '!R657&amp;")","")&amp;IF('Daily Sale entry '!U657="",""," - "&amp;'Daily Sale entry '!U657))</f>
        <v/>
      </c>
      <c r="H657">
        <f>IF(C657="","",COUNTIFS($C$2:$C$3001,C657,$F$2:$F$3001,"&lt;"&amp;F657)+1)</f>
        <v/>
      </c>
      <c r="I657">
        <f>IF(C657="","",C657&amp;"|"&amp;H657)</f>
        <v/>
      </c>
      <c r="J657" s="6">
        <f>IF(C657="","",IF(H657=1,SUMIFS('Opening Balance'!$F$4:$F$303,'Opening Balance'!$G$4:$G$303,C657),INDEX($L$2:$L$3001,MATCH(C657&amp;"|"&amp;(H657-1),$I$2:$I$3001,0))))</f>
        <v/>
      </c>
      <c r="K657" s="6">
        <f>IF(C657="","",IF(M657&gt;0,M657,IF(AND(E657&gt;0,ROUND(J657+D657-E657,2)&gt;0,ROUND(J657+D657-E657,2)&lt;'Opening Balance'!$B$14),ROUND(J657+D657-E657,2),0)))</f>
        <v/>
      </c>
      <c r="L657" s="6">
        <f>IF(C657="","",ROUND(J657+D657-E657-K657,2))</f>
        <v/>
      </c>
      <c r="M657" s="6">
        <f>IF(C657="","",IF('Daily Sale entry '!Q657="Collection 收款",ROUND(N('Daily Sale entry '!T657),2),0))</f>
        <v/>
      </c>
    </row>
    <row r="658">
      <c r="A658" t="inlineStr">
        <is>
          <t>Entry 记录</t>
        </is>
      </c>
      <c r="B658" s="5">
        <f>IF('Daily Sale entry '!P658="","",'Daily Sale entry '!O658)</f>
        <v/>
      </c>
      <c r="C658">
        <f>IF('Daily Sale entry '!P658="","",'Daily Sale entry '!P658)</f>
        <v/>
      </c>
      <c r="D658">
        <f>IF(C658="","",IF('Daily Sale entry '!Q658="Credit Sale 赊销",'Daily Sale entry '!S658,0))</f>
        <v/>
      </c>
      <c r="E658">
        <f>IF(C658="","",IF('Daily Sale entry '!Q658="Collection 收款",'Daily Sale entry '!S658,0))</f>
        <v/>
      </c>
      <c r="F658" s="37">
        <f>IF(C658="","",B658+IF(E658&gt;0,0,0.5)+ROW()/10000000)</f>
        <v/>
      </c>
      <c r="G658">
        <f>IF(C658="","",'Daily Sale entry '!Q658&amp;IF('Daily Sale entry '!Q658="Collection 收款"," ("&amp;'Daily Sale entry '!R658&amp;")","")&amp;IF('Daily Sale entry '!U658="",""," - "&amp;'Daily Sale entry '!U658))</f>
        <v/>
      </c>
      <c r="H658">
        <f>IF(C658="","",COUNTIFS($C$2:$C$3001,C658,$F$2:$F$3001,"&lt;"&amp;F658)+1)</f>
        <v/>
      </c>
      <c r="I658">
        <f>IF(C658="","",C658&amp;"|"&amp;H658)</f>
        <v/>
      </c>
      <c r="J658" s="6">
        <f>IF(C658="","",IF(H658=1,SUMIFS('Opening Balance'!$F$4:$F$303,'Opening Balance'!$G$4:$G$303,C658),INDEX($L$2:$L$3001,MATCH(C658&amp;"|"&amp;(H658-1),$I$2:$I$3001,0))))</f>
        <v/>
      </c>
      <c r="K658" s="6">
        <f>IF(C658="","",IF(M658&gt;0,M658,IF(AND(E658&gt;0,ROUND(J658+D658-E658,2)&gt;0,ROUND(J658+D658-E658,2)&lt;'Opening Balance'!$B$14),ROUND(J658+D658-E658,2),0)))</f>
        <v/>
      </c>
      <c r="L658" s="6">
        <f>IF(C658="","",ROUND(J658+D658-E658-K658,2))</f>
        <v/>
      </c>
      <c r="M658" s="6">
        <f>IF(C658="","",IF('Daily Sale entry '!Q658="Collection 收款",ROUND(N('Daily Sale entry '!T658),2),0))</f>
        <v/>
      </c>
    </row>
    <row r="659">
      <c r="A659" t="inlineStr">
        <is>
          <t>Entry 记录</t>
        </is>
      </c>
      <c r="B659" s="5">
        <f>IF('Daily Sale entry '!P659="","",'Daily Sale entry '!O659)</f>
        <v/>
      </c>
      <c r="C659">
        <f>IF('Daily Sale entry '!P659="","",'Daily Sale entry '!P659)</f>
        <v/>
      </c>
      <c r="D659">
        <f>IF(C659="","",IF('Daily Sale entry '!Q659="Credit Sale 赊销",'Daily Sale entry '!S659,0))</f>
        <v/>
      </c>
      <c r="E659">
        <f>IF(C659="","",IF('Daily Sale entry '!Q659="Collection 收款",'Daily Sale entry '!S659,0))</f>
        <v/>
      </c>
      <c r="F659" s="37">
        <f>IF(C659="","",B659+IF(E659&gt;0,0,0.5)+ROW()/10000000)</f>
        <v/>
      </c>
      <c r="G659">
        <f>IF(C659="","",'Daily Sale entry '!Q659&amp;IF('Daily Sale entry '!Q659="Collection 收款"," ("&amp;'Daily Sale entry '!R659&amp;")","")&amp;IF('Daily Sale entry '!U659="",""," - "&amp;'Daily Sale entry '!U659))</f>
        <v/>
      </c>
      <c r="H659">
        <f>IF(C659="","",COUNTIFS($C$2:$C$3001,C659,$F$2:$F$3001,"&lt;"&amp;F659)+1)</f>
        <v/>
      </c>
      <c r="I659">
        <f>IF(C659="","",C659&amp;"|"&amp;H659)</f>
        <v/>
      </c>
      <c r="J659" s="6">
        <f>IF(C659="","",IF(H659=1,SUMIFS('Opening Balance'!$F$4:$F$303,'Opening Balance'!$G$4:$G$303,C659),INDEX($L$2:$L$3001,MATCH(C659&amp;"|"&amp;(H659-1),$I$2:$I$3001,0))))</f>
        <v/>
      </c>
      <c r="K659" s="6">
        <f>IF(C659="","",IF(M659&gt;0,M659,IF(AND(E659&gt;0,ROUND(J659+D659-E659,2)&gt;0,ROUND(J659+D659-E659,2)&lt;'Opening Balance'!$B$14),ROUND(J659+D659-E659,2),0)))</f>
        <v/>
      </c>
      <c r="L659" s="6">
        <f>IF(C659="","",ROUND(J659+D659-E659-K659,2))</f>
        <v/>
      </c>
      <c r="M659" s="6">
        <f>IF(C659="","",IF('Daily Sale entry '!Q659="Collection 收款",ROUND(N('Daily Sale entry '!T659),2),0))</f>
        <v/>
      </c>
    </row>
    <row r="660">
      <c r="A660" t="inlineStr">
        <is>
          <t>Entry 记录</t>
        </is>
      </c>
      <c r="B660" s="5">
        <f>IF('Daily Sale entry '!P660="","",'Daily Sale entry '!O660)</f>
        <v/>
      </c>
      <c r="C660">
        <f>IF('Daily Sale entry '!P660="","",'Daily Sale entry '!P660)</f>
        <v/>
      </c>
      <c r="D660">
        <f>IF(C660="","",IF('Daily Sale entry '!Q660="Credit Sale 赊销",'Daily Sale entry '!S660,0))</f>
        <v/>
      </c>
      <c r="E660">
        <f>IF(C660="","",IF('Daily Sale entry '!Q660="Collection 收款",'Daily Sale entry '!S660,0))</f>
        <v/>
      </c>
      <c r="F660" s="37">
        <f>IF(C660="","",B660+IF(E660&gt;0,0,0.5)+ROW()/10000000)</f>
        <v/>
      </c>
      <c r="G660">
        <f>IF(C660="","",'Daily Sale entry '!Q660&amp;IF('Daily Sale entry '!Q660="Collection 收款"," ("&amp;'Daily Sale entry '!R660&amp;")","")&amp;IF('Daily Sale entry '!U660="",""," - "&amp;'Daily Sale entry '!U660))</f>
        <v/>
      </c>
      <c r="H660">
        <f>IF(C660="","",COUNTIFS($C$2:$C$3001,C660,$F$2:$F$3001,"&lt;"&amp;F660)+1)</f>
        <v/>
      </c>
      <c r="I660">
        <f>IF(C660="","",C660&amp;"|"&amp;H660)</f>
        <v/>
      </c>
      <c r="J660" s="6">
        <f>IF(C660="","",IF(H660=1,SUMIFS('Opening Balance'!$F$4:$F$303,'Opening Balance'!$G$4:$G$303,C660),INDEX($L$2:$L$3001,MATCH(C660&amp;"|"&amp;(H660-1),$I$2:$I$3001,0))))</f>
        <v/>
      </c>
      <c r="K660" s="6">
        <f>IF(C660="","",IF(M660&gt;0,M660,IF(AND(E660&gt;0,ROUND(J660+D660-E660,2)&gt;0,ROUND(J660+D660-E660,2)&lt;'Opening Balance'!$B$14),ROUND(J660+D660-E660,2),0)))</f>
        <v/>
      </c>
      <c r="L660" s="6">
        <f>IF(C660="","",ROUND(J660+D660-E660-K660,2))</f>
        <v/>
      </c>
      <c r="M660" s="6">
        <f>IF(C660="","",IF('Daily Sale entry '!Q660="Collection 收款",ROUND(N('Daily Sale entry '!T660),2),0))</f>
        <v/>
      </c>
    </row>
    <row r="661">
      <c r="A661" t="inlineStr">
        <is>
          <t>Entry 记录</t>
        </is>
      </c>
      <c r="B661" s="5">
        <f>IF('Daily Sale entry '!P661="","",'Daily Sale entry '!O661)</f>
        <v/>
      </c>
      <c r="C661">
        <f>IF('Daily Sale entry '!P661="","",'Daily Sale entry '!P661)</f>
        <v/>
      </c>
      <c r="D661">
        <f>IF(C661="","",IF('Daily Sale entry '!Q661="Credit Sale 赊销",'Daily Sale entry '!S661,0))</f>
        <v/>
      </c>
      <c r="E661">
        <f>IF(C661="","",IF('Daily Sale entry '!Q661="Collection 收款",'Daily Sale entry '!S661,0))</f>
        <v/>
      </c>
      <c r="F661" s="37">
        <f>IF(C661="","",B661+IF(E661&gt;0,0,0.5)+ROW()/10000000)</f>
        <v/>
      </c>
      <c r="G661">
        <f>IF(C661="","",'Daily Sale entry '!Q661&amp;IF('Daily Sale entry '!Q661="Collection 收款"," ("&amp;'Daily Sale entry '!R661&amp;")","")&amp;IF('Daily Sale entry '!U661="",""," - "&amp;'Daily Sale entry '!U661))</f>
        <v/>
      </c>
      <c r="H661">
        <f>IF(C661="","",COUNTIFS($C$2:$C$3001,C661,$F$2:$F$3001,"&lt;"&amp;F661)+1)</f>
        <v/>
      </c>
      <c r="I661">
        <f>IF(C661="","",C661&amp;"|"&amp;H661)</f>
        <v/>
      </c>
      <c r="J661" s="6">
        <f>IF(C661="","",IF(H661=1,SUMIFS('Opening Balance'!$F$4:$F$303,'Opening Balance'!$G$4:$G$303,C661),INDEX($L$2:$L$3001,MATCH(C661&amp;"|"&amp;(H661-1),$I$2:$I$3001,0))))</f>
        <v/>
      </c>
      <c r="K661" s="6">
        <f>IF(C661="","",IF(M661&gt;0,M661,IF(AND(E661&gt;0,ROUND(J661+D661-E661,2)&gt;0,ROUND(J661+D661-E661,2)&lt;'Opening Balance'!$B$14),ROUND(J661+D661-E661,2),0)))</f>
        <v/>
      </c>
      <c r="L661" s="6">
        <f>IF(C661="","",ROUND(J661+D661-E661-K661,2))</f>
        <v/>
      </c>
      <c r="M661" s="6">
        <f>IF(C661="","",IF('Daily Sale entry '!Q661="Collection 收款",ROUND(N('Daily Sale entry '!T661),2),0))</f>
        <v/>
      </c>
    </row>
    <row r="662">
      <c r="A662" t="inlineStr">
        <is>
          <t>Entry 记录</t>
        </is>
      </c>
      <c r="B662" s="5">
        <f>IF('Daily Sale entry '!P662="","",'Daily Sale entry '!O662)</f>
        <v/>
      </c>
      <c r="C662">
        <f>IF('Daily Sale entry '!P662="","",'Daily Sale entry '!P662)</f>
        <v/>
      </c>
      <c r="D662">
        <f>IF(C662="","",IF('Daily Sale entry '!Q662="Credit Sale 赊销",'Daily Sale entry '!S662,0))</f>
        <v/>
      </c>
      <c r="E662">
        <f>IF(C662="","",IF('Daily Sale entry '!Q662="Collection 收款",'Daily Sale entry '!S662,0))</f>
        <v/>
      </c>
      <c r="F662" s="37">
        <f>IF(C662="","",B662+IF(E662&gt;0,0,0.5)+ROW()/10000000)</f>
        <v/>
      </c>
      <c r="G662">
        <f>IF(C662="","",'Daily Sale entry '!Q662&amp;IF('Daily Sale entry '!Q662="Collection 收款"," ("&amp;'Daily Sale entry '!R662&amp;")","")&amp;IF('Daily Sale entry '!U662="",""," - "&amp;'Daily Sale entry '!U662))</f>
        <v/>
      </c>
      <c r="H662">
        <f>IF(C662="","",COUNTIFS($C$2:$C$3001,C662,$F$2:$F$3001,"&lt;"&amp;F662)+1)</f>
        <v/>
      </c>
      <c r="I662">
        <f>IF(C662="","",C662&amp;"|"&amp;H662)</f>
        <v/>
      </c>
      <c r="J662" s="6">
        <f>IF(C662="","",IF(H662=1,SUMIFS('Opening Balance'!$F$4:$F$303,'Opening Balance'!$G$4:$G$303,C662),INDEX($L$2:$L$3001,MATCH(C662&amp;"|"&amp;(H662-1),$I$2:$I$3001,0))))</f>
        <v/>
      </c>
      <c r="K662" s="6">
        <f>IF(C662="","",IF(M662&gt;0,M662,IF(AND(E662&gt;0,ROUND(J662+D662-E662,2)&gt;0,ROUND(J662+D662-E662,2)&lt;'Opening Balance'!$B$14),ROUND(J662+D662-E662,2),0)))</f>
        <v/>
      </c>
      <c r="L662" s="6">
        <f>IF(C662="","",ROUND(J662+D662-E662-K662,2))</f>
        <v/>
      </c>
      <c r="M662" s="6">
        <f>IF(C662="","",IF('Daily Sale entry '!Q662="Collection 收款",ROUND(N('Daily Sale entry '!T662),2),0))</f>
        <v/>
      </c>
    </row>
    <row r="663">
      <c r="A663" t="inlineStr">
        <is>
          <t>Entry 记录</t>
        </is>
      </c>
      <c r="B663" s="5">
        <f>IF('Daily Sale entry '!P663="","",'Daily Sale entry '!O663)</f>
        <v/>
      </c>
      <c r="C663">
        <f>IF('Daily Sale entry '!P663="","",'Daily Sale entry '!P663)</f>
        <v/>
      </c>
      <c r="D663">
        <f>IF(C663="","",IF('Daily Sale entry '!Q663="Credit Sale 赊销",'Daily Sale entry '!S663,0))</f>
        <v/>
      </c>
      <c r="E663">
        <f>IF(C663="","",IF('Daily Sale entry '!Q663="Collection 收款",'Daily Sale entry '!S663,0))</f>
        <v/>
      </c>
      <c r="F663" s="37">
        <f>IF(C663="","",B663+IF(E663&gt;0,0,0.5)+ROW()/10000000)</f>
        <v/>
      </c>
      <c r="G663">
        <f>IF(C663="","",'Daily Sale entry '!Q663&amp;IF('Daily Sale entry '!Q663="Collection 收款"," ("&amp;'Daily Sale entry '!R663&amp;")","")&amp;IF('Daily Sale entry '!U663="",""," - "&amp;'Daily Sale entry '!U663))</f>
        <v/>
      </c>
      <c r="H663">
        <f>IF(C663="","",COUNTIFS($C$2:$C$3001,C663,$F$2:$F$3001,"&lt;"&amp;F663)+1)</f>
        <v/>
      </c>
      <c r="I663">
        <f>IF(C663="","",C663&amp;"|"&amp;H663)</f>
        <v/>
      </c>
      <c r="J663" s="6">
        <f>IF(C663="","",IF(H663=1,SUMIFS('Opening Balance'!$F$4:$F$303,'Opening Balance'!$G$4:$G$303,C663),INDEX($L$2:$L$3001,MATCH(C663&amp;"|"&amp;(H663-1),$I$2:$I$3001,0))))</f>
        <v/>
      </c>
      <c r="K663" s="6">
        <f>IF(C663="","",IF(M663&gt;0,M663,IF(AND(E663&gt;0,ROUND(J663+D663-E663,2)&gt;0,ROUND(J663+D663-E663,2)&lt;'Opening Balance'!$B$14),ROUND(J663+D663-E663,2),0)))</f>
        <v/>
      </c>
      <c r="L663" s="6">
        <f>IF(C663="","",ROUND(J663+D663-E663-K663,2))</f>
        <v/>
      </c>
      <c r="M663" s="6">
        <f>IF(C663="","",IF('Daily Sale entry '!Q663="Collection 收款",ROUND(N('Daily Sale entry '!T663),2),0))</f>
        <v/>
      </c>
    </row>
    <row r="664">
      <c r="A664" t="inlineStr">
        <is>
          <t>Entry 记录</t>
        </is>
      </c>
      <c r="B664" s="5">
        <f>IF('Daily Sale entry '!P664="","",'Daily Sale entry '!O664)</f>
        <v/>
      </c>
      <c r="C664">
        <f>IF('Daily Sale entry '!P664="","",'Daily Sale entry '!P664)</f>
        <v/>
      </c>
      <c r="D664">
        <f>IF(C664="","",IF('Daily Sale entry '!Q664="Credit Sale 赊销",'Daily Sale entry '!S664,0))</f>
        <v/>
      </c>
      <c r="E664">
        <f>IF(C664="","",IF('Daily Sale entry '!Q664="Collection 收款",'Daily Sale entry '!S664,0))</f>
        <v/>
      </c>
      <c r="F664" s="37">
        <f>IF(C664="","",B664+IF(E664&gt;0,0,0.5)+ROW()/10000000)</f>
        <v/>
      </c>
      <c r="G664">
        <f>IF(C664="","",'Daily Sale entry '!Q664&amp;IF('Daily Sale entry '!Q664="Collection 收款"," ("&amp;'Daily Sale entry '!R664&amp;")","")&amp;IF('Daily Sale entry '!U664="",""," - "&amp;'Daily Sale entry '!U664))</f>
        <v/>
      </c>
      <c r="H664">
        <f>IF(C664="","",COUNTIFS($C$2:$C$3001,C664,$F$2:$F$3001,"&lt;"&amp;F664)+1)</f>
        <v/>
      </c>
      <c r="I664">
        <f>IF(C664="","",C664&amp;"|"&amp;H664)</f>
        <v/>
      </c>
      <c r="J664" s="6">
        <f>IF(C664="","",IF(H664=1,SUMIFS('Opening Balance'!$F$4:$F$303,'Opening Balance'!$G$4:$G$303,C664),INDEX($L$2:$L$3001,MATCH(C664&amp;"|"&amp;(H664-1),$I$2:$I$3001,0))))</f>
        <v/>
      </c>
      <c r="K664" s="6">
        <f>IF(C664="","",IF(M664&gt;0,M664,IF(AND(E664&gt;0,ROUND(J664+D664-E664,2)&gt;0,ROUND(J664+D664-E664,2)&lt;'Opening Balance'!$B$14),ROUND(J664+D664-E664,2),0)))</f>
        <v/>
      </c>
      <c r="L664" s="6">
        <f>IF(C664="","",ROUND(J664+D664-E664-K664,2))</f>
        <v/>
      </c>
      <c r="M664" s="6">
        <f>IF(C664="","",IF('Daily Sale entry '!Q664="Collection 收款",ROUND(N('Daily Sale entry '!T664),2),0))</f>
        <v/>
      </c>
    </row>
    <row r="665">
      <c r="A665" t="inlineStr">
        <is>
          <t>Entry 记录</t>
        </is>
      </c>
      <c r="B665" s="5">
        <f>IF('Daily Sale entry '!P665="","",'Daily Sale entry '!O665)</f>
        <v/>
      </c>
      <c r="C665">
        <f>IF('Daily Sale entry '!P665="","",'Daily Sale entry '!P665)</f>
        <v/>
      </c>
      <c r="D665">
        <f>IF(C665="","",IF('Daily Sale entry '!Q665="Credit Sale 赊销",'Daily Sale entry '!S665,0))</f>
        <v/>
      </c>
      <c r="E665">
        <f>IF(C665="","",IF('Daily Sale entry '!Q665="Collection 收款",'Daily Sale entry '!S665,0))</f>
        <v/>
      </c>
      <c r="F665" s="37">
        <f>IF(C665="","",B665+IF(E665&gt;0,0,0.5)+ROW()/10000000)</f>
        <v/>
      </c>
      <c r="G665">
        <f>IF(C665="","",'Daily Sale entry '!Q665&amp;IF('Daily Sale entry '!Q665="Collection 收款"," ("&amp;'Daily Sale entry '!R665&amp;")","")&amp;IF('Daily Sale entry '!U665="",""," - "&amp;'Daily Sale entry '!U665))</f>
        <v/>
      </c>
      <c r="H665">
        <f>IF(C665="","",COUNTIFS($C$2:$C$3001,C665,$F$2:$F$3001,"&lt;"&amp;F665)+1)</f>
        <v/>
      </c>
      <c r="I665">
        <f>IF(C665="","",C665&amp;"|"&amp;H665)</f>
        <v/>
      </c>
      <c r="J665" s="6">
        <f>IF(C665="","",IF(H665=1,SUMIFS('Opening Balance'!$F$4:$F$303,'Opening Balance'!$G$4:$G$303,C665),INDEX($L$2:$L$3001,MATCH(C665&amp;"|"&amp;(H665-1),$I$2:$I$3001,0))))</f>
        <v/>
      </c>
      <c r="K665" s="6">
        <f>IF(C665="","",IF(M665&gt;0,M665,IF(AND(E665&gt;0,ROUND(J665+D665-E665,2)&gt;0,ROUND(J665+D665-E665,2)&lt;'Opening Balance'!$B$14),ROUND(J665+D665-E665,2),0)))</f>
        <v/>
      </c>
      <c r="L665" s="6">
        <f>IF(C665="","",ROUND(J665+D665-E665-K665,2))</f>
        <v/>
      </c>
      <c r="M665" s="6">
        <f>IF(C665="","",IF('Daily Sale entry '!Q665="Collection 收款",ROUND(N('Daily Sale entry '!T665),2),0))</f>
        <v/>
      </c>
    </row>
    <row r="666">
      <c r="A666" t="inlineStr">
        <is>
          <t>Entry 记录</t>
        </is>
      </c>
      <c r="B666" s="5">
        <f>IF('Daily Sale entry '!P666="","",'Daily Sale entry '!O666)</f>
        <v/>
      </c>
      <c r="C666">
        <f>IF('Daily Sale entry '!P666="","",'Daily Sale entry '!P666)</f>
        <v/>
      </c>
      <c r="D666">
        <f>IF(C666="","",IF('Daily Sale entry '!Q666="Credit Sale 赊销",'Daily Sale entry '!S666,0))</f>
        <v/>
      </c>
      <c r="E666">
        <f>IF(C666="","",IF('Daily Sale entry '!Q666="Collection 收款",'Daily Sale entry '!S666,0))</f>
        <v/>
      </c>
      <c r="F666" s="37">
        <f>IF(C666="","",B666+IF(E666&gt;0,0,0.5)+ROW()/10000000)</f>
        <v/>
      </c>
      <c r="G666">
        <f>IF(C666="","",'Daily Sale entry '!Q666&amp;IF('Daily Sale entry '!Q666="Collection 收款"," ("&amp;'Daily Sale entry '!R666&amp;")","")&amp;IF('Daily Sale entry '!U666="",""," - "&amp;'Daily Sale entry '!U666))</f>
        <v/>
      </c>
      <c r="H666">
        <f>IF(C666="","",COUNTIFS($C$2:$C$3001,C666,$F$2:$F$3001,"&lt;"&amp;F666)+1)</f>
        <v/>
      </c>
      <c r="I666">
        <f>IF(C666="","",C666&amp;"|"&amp;H666)</f>
        <v/>
      </c>
      <c r="J666" s="6">
        <f>IF(C666="","",IF(H666=1,SUMIFS('Opening Balance'!$F$4:$F$303,'Opening Balance'!$G$4:$G$303,C666),INDEX($L$2:$L$3001,MATCH(C666&amp;"|"&amp;(H666-1),$I$2:$I$3001,0))))</f>
        <v/>
      </c>
      <c r="K666" s="6">
        <f>IF(C666="","",IF(M666&gt;0,M666,IF(AND(E666&gt;0,ROUND(J666+D666-E666,2)&gt;0,ROUND(J666+D666-E666,2)&lt;'Opening Balance'!$B$14),ROUND(J666+D666-E666,2),0)))</f>
        <v/>
      </c>
      <c r="L666" s="6">
        <f>IF(C666="","",ROUND(J666+D666-E666-K666,2))</f>
        <v/>
      </c>
      <c r="M666" s="6">
        <f>IF(C666="","",IF('Daily Sale entry '!Q666="Collection 收款",ROUND(N('Daily Sale entry '!T666),2),0))</f>
        <v/>
      </c>
    </row>
    <row r="667">
      <c r="A667" t="inlineStr">
        <is>
          <t>Entry 记录</t>
        </is>
      </c>
      <c r="B667" s="5">
        <f>IF('Daily Sale entry '!P667="","",'Daily Sale entry '!O667)</f>
        <v/>
      </c>
      <c r="C667">
        <f>IF('Daily Sale entry '!P667="","",'Daily Sale entry '!P667)</f>
        <v/>
      </c>
      <c r="D667">
        <f>IF(C667="","",IF('Daily Sale entry '!Q667="Credit Sale 赊销",'Daily Sale entry '!S667,0))</f>
        <v/>
      </c>
      <c r="E667">
        <f>IF(C667="","",IF('Daily Sale entry '!Q667="Collection 收款",'Daily Sale entry '!S667,0))</f>
        <v/>
      </c>
      <c r="F667" s="37">
        <f>IF(C667="","",B667+IF(E667&gt;0,0,0.5)+ROW()/10000000)</f>
        <v/>
      </c>
      <c r="G667">
        <f>IF(C667="","",'Daily Sale entry '!Q667&amp;IF('Daily Sale entry '!Q667="Collection 收款"," ("&amp;'Daily Sale entry '!R667&amp;")","")&amp;IF('Daily Sale entry '!U667="",""," - "&amp;'Daily Sale entry '!U667))</f>
        <v/>
      </c>
      <c r="H667">
        <f>IF(C667="","",COUNTIFS($C$2:$C$3001,C667,$F$2:$F$3001,"&lt;"&amp;F667)+1)</f>
        <v/>
      </c>
      <c r="I667">
        <f>IF(C667="","",C667&amp;"|"&amp;H667)</f>
        <v/>
      </c>
      <c r="J667" s="6">
        <f>IF(C667="","",IF(H667=1,SUMIFS('Opening Balance'!$F$4:$F$303,'Opening Balance'!$G$4:$G$303,C667),INDEX($L$2:$L$3001,MATCH(C667&amp;"|"&amp;(H667-1),$I$2:$I$3001,0))))</f>
        <v/>
      </c>
      <c r="K667" s="6">
        <f>IF(C667="","",IF(M667&gt;0,M667,IF(AND(E667&gt;0,ROUND(J667+D667-E667,2)&gt;0,ROUND(J667+D667-E667,2)&lt;'Opening Balance'!$B$14),ROUND(J667+D667-E667,2),0)))</f>
        <v/>
      </c>
      <c r="L667" s="6">
        <f>IF(C667="","",ROUND(J667+D667-E667-K667,2))</f>
        <v/>
      </c>
      <c r="M667" s="6">
        <f>IF(C667="","",IF('Daily Sale entry '!Q667="Collection 收款",ROUND(N('Daily Sale entry '!T667),2),0))</f>
        <v/>
      </c>
    </row>
    <row r="668">
      <c r="A668" t="inlineStr">
        <is>
          <t>Entry 记录</t>
        </is>
      </c>
      <c r="B668" s="5">
        <f>IF('Daily Sale entry '!P668="","",'Daily Sale entry '!O668)</f>
        <v/>
      </c>
      <c r="C668">
        <f>IF('Daily Sale entry '!P668="","",'Daily Sale entry '!P668)</f>
        <v/>
      </c>
      <c r="D668">
        <f>IF(C668="","",IF('Daily Sale entry '!Q668="Credit Sale 赊销",'Daily Sale entry '!S668,0))</f>
        <v/>
      </c>
      <c r="E668">
        <f>IF(C668="","",IF('Daily Sale entry '!Q668="Collection 收款",'Daily Sale entry '!S668,0))</f>
        <v/>
      </c>
      <c r="F668" s="37">
        <f>IF(C668="","",B668+IF(E668&gt;0,0,0.5)+ROW()/10000000)</f>
        <v/>
      </c>
      <c r="G668">
        <f>IF(C668="","",'Daily Sale entry '!Q668&amp;IF('Daily Sale entry '!Q668="Collection 收款"," ("&amp;'Daily Sale entry '!R668&amp;")","")&amp;IF('Daily Sale entry '!U668="",""," - "&amp;'Daily Sale entry '!U668))</f>
        <v/>
      </c>
      <c r="H668">
        <f>IF(C668="","",COUNTIFS($C$2:$C$3001,C668,$F$2:$F$3001,"&lt;"&amp;F668)+1)</f>
        <v/>
      </c>
      <c r="I668">
        <f>IF(C668="","",C668&amp;"|"&amp;H668)</f>
        <v/>
      </c>
      <c r="J668" s="6">
        <f>IF(C668="","",IF(H668=1,SUMIFS('Opening Balance'!$F$4:$F$303,'Opening Balance'!$G$4:$G$303,C668),INDEX($L$2:$L$3001,MATCH(C668&amp;"|"&amp;(H668-1),$I$2:$I$3001,0))))</f>
        <v/>
      </c>
      <c r="K668" s="6">
        <f>IF(C668="","",IF(M668&gt;0,M668,IF(AND(E668&gt;0,ROUND(J668+D668-E668,2)&gt;0,ROUND(J668+D668-E668,2)&lt;'Opening Balance'!$B$14),ROUND(J668+D668-E668,2),0)))</f>
        <v/>
      </c>
      <c r="L668" s="6">
        <f>IF(C668="","",ROUND(J668+D668-E668-K668,2))</f>
        <v/>
      </c>
      <c r="M668" s="6">
        <f>IF(C668="","",IF('Daily Sale entry '!Q668="Collection 收款",ROUND(N('Daily Sale entry '!T668),2),0))</f>
        <v/>
      </c>
    </row>
    <row r="669">
      <c r="A669" t="inlineStr">
        <is>
          <t>Entry 记录</t>
        </is>
      </c>
      <c r="B669" s="5">
        <f>IF('Daily Sale entry '!P669="","",'Daily Sale entry '!O669)</f>
        <v/>
      </c>
      <c r="C669">
        <f>IF('Daily Sale entry '!P669="","",'Daily Sale entry '!P669)</f>
        <v/>
      </c>
      <c r="D669">
        <f>IF(C669="","",IF('Daily Sale entry '!Q669="Credit Sale 赊销",'Daily Sale entry '!S669,0))</f>
        <v/>
      </c>
      <c r="E669">
        <f>IF(C669="","",IF('Daily Sale entry '!Q669="Collection 收款",'Daily Sale entry '!S669,0))</f>
        <v/>
      </c>
      <c r="F669" s="37">
        <f>IF(C669="","",B669+IF(E669&gt;0,0,0.5)+ROW()/10000000)</f>
        <v/>
      </c>
      <c r="G669">
        <f>IF(C669="","",'Daily Sale entry '!Q669&amp;IF('Daily Sale entry '!Q669="Collection 收款"," ("&amp;'Daily Sale entry '!R669&amp;")","")&amp;IF('Daily Sale entry '!U669="",""," - "&amp;'Daily Sale entry '!U669))</f>
        <v/>
      </c>
      <c r="H669">
        <f>IF(C669="","",COUNTIFS($C$2:$C$3001,C669,$F$2:$F$3001,"&lt;"&amp;F669)+1)</f>
        <v/>
      </c>
      <c r="I669">
        <f>IF(C669="","",C669&amp;"|"&amp;H669)</f>
        <v/>
      </c>
      <c r="J669" s="6">
        <f>IF(C669="","",IF(H669=1,SUMIFS('Opening Balance'!$F$4:$F$303,'Opening Balance'!$G$4:$G$303,C669),INDEX($L$2:$L$3001,MATCH(C669&amp;"|"&amp;(H669-1),$I$2:$I$3001,0))))</f>
        <v/>
      </c>
      <c r="K669" s="6">
        <f>IF(C669="","",IF(M669&gt;0,M669,IF(AND(E669&gt;0,ROUND(J669+D669-E669,2)&gt;0,ROUND(J669+D669-E669,2)&lt;'Opening Balance'!$B$14),ROUND(J669+D669-E669,2),0)))</f>
        <v/>
      </c>
      <c r="L669" s="6">
        <f>IF(C669="","",ROUND(J669+D669-E669-K669,2))</f>
        <v/>
      </c>
      <c r="M669" s="6">
        <f>IF(C669="","",IF('Daily Sale entry '!Q669="Collection 收款",ROUND(N('Daily Sale entry '!T669),2),0))</f>
        <v/>
      </c>
    </row>
    <row r="670">
      <c r="A670" t="inlineStr">
        <is>
          <t>Entry 记录</t>
        </is>
      </c>
      <c r="B670" s="5">
        <f>IF('Daily Sale entry '!P670="","",'Daily Sale entry '!O670)</f>
        <v/>
      </c>
      <c r="C670">
        <f>IF('Daily Sale entry '!P670="","",'Daily Sale entry '!P670)</f>
        <v/>
      </c>
      <c r="D670">
        <f>IF(C670="","",IF('Daily Sale entry '!Q670="Credit Sale 赊销",'Daily Sale entry '!S670,0))</f>
        <v/>
      </c>
      <c r="E670">
        <f>IF(C670="","",IF('Daily Sale entry '!Q670="Collection 收款",'Daily Sale entry '!S670,0))</f>
        <v/>
      </c>
      <c r="F670" s="37">
        <f>IF(C670="","",B670+IF(E670&gt;0,0,0.5)+ROW()/10000000)</f>
        <v/>
      </c>
      <c r="G670">
        <f>IF(C670="","",'Daily Sale entry '!Q670&amp;IF('Daily Sale entry '!Q670="Collection 收款"," ("&amp;'Daily Sale entry '!R670&amp;")","")&amp;IF('Daily Sale entry '!U670="",""," - "&amp;'Daily Sale entry '!U670))</f>
        <v/>
      </c>
      <c r="H670">
        <f>IF(C670="","",COUNTIFS($C$2:$C$3001,C670,$F$2:$F$3001,"&lt;"&amp;F670)+1)</f>
        <v/>
      </c>
      <c r="I670">
        <f>IF(C670="","",C670&amp;"|"&amp;H670)</f>
        <v/>
      </c>
      <c r="J670" s="6">
        <f>IF(C670="","",IF(H670=1,SUMIFS('Opening Balance'!$F$4:$F$303,'Opening Balance'!$G$4:$G$303,C670),INDEX($L$2:$L$3001,MATCH(C670&amp;"|"&amp;(H670-1),$I$2:$I$3001,0))))</f>
        <v/>
      </c>
      <c r="K670" s="6">
        <f>IF(C670="","",IF(M670&gt;0,M670,IF(AND(E670&gt;0,ROUND(J670+D670-E670,2)&gt;0,ROUND(J670+D670-E670,2)&lt;'Opening Balance'!$B$14),ROUND(J670+D670-E670,2),0)))</f>
        <v/>
      </c>
      <c r="L670" s="6">
        <f>IF(C670="","",ROUND(J670+D670-E670-K670,2))</f>
        <v/>
      </c>
      <c r="M670" s="6">
        <f>IF(C670="","",IF('Daily Sale entry '!Q670="Collection 收款",ROUND(N('Daily Sale entry '!T670),2),0))</f>
        <v/>
      </c>
    </row>
    <row r="671">
      <c r="A671" t="inlineStr">
        <is>
          <t>Entry 记录</t>
        </is>
      </c>
      <c r="B671" s="5">
        <f>IF('Daily Sale entry '!P671="","",'Daily Sale entry '!O671)</f>
        <v/>
      </c>
      <c r="C671">
        <f>IF('Daily Sale entry '!P671="","",'Daily Sale entry '!P671)</f>
        <v/>
      </c>
      <c r="D671">
        <f>IF(C671="","",IF('Daily Sale entry '!Q671="Credit Sale 赊销",'Daily Sale entry '!S671,0))</f>
        <v/>
      </c>
      <c r="E671">
        <f>IF(C671="","",IF('Daily Sale entry '!Q671="Collection 收款",'Daily Sale entry '!S671,0))</f>
        <v/>
      </c>
      <c r="F671" s="37">
        <f>IF(C671="","",B671+IF(E671&gt;0,0,0.5)+ROW()/10000000)</f>
        <v/>
      </c>
      <c r="G671">
        <f>IF(C671="","",'Daily Sale entry '!Q671&amp;IF('Daily Sale entry '!Q671="Collection 收款"," ("&amp;'Daily Sale entry '!R671&amp;")","")&amp;IF('Daily Sale entry '!U671="",""," - "&amp;'Daily Sale entry '!U671))</f>
        <v/>
      </c>
      <c r="H671">
        <f>IF(C671="","",COUNTIFS($C$2:$C$3001,C671,$F$2:$F$3001,"&lt;"&amp;F671)+1)</f>
        <v/>
      </c>
      <c r="I671">
        <f>IF(C671="","",C671&amp;"|"&amp;H671)</f>
        <v/>
      </c>
      <c r="J671" s="6">
        <f>IF(C671="","",IF(H671=1,SUMIFS('Opening Balance'!$F$4:$F$303,'Opening Balance'!$G$4:$G$303,C671),INDEX($L$2:$L$3001,MATCH(C671&amp;"|"&amp;(H671-1),$I$2:$I$3001,0))))</f>
        <v/>
      </c>
      <c r="K671" s="6">
        <f>IF(C671="","",IF(M671&gt;0,M671,IF(AND(E671&gt;0,ROUND(J671+D671-E671,2)&gt;0,ROUND(J671+D671-E671,2)&lt;'Opening Balance'!$B$14),ROUND(J671+D671-E671,2),0)))</f>
        <v/>
      </c>
      <c r="L671" s="6">
        <f>IF(C671="","",ROUND(J671+D671-E671-K671,2))</f>
        <v/>
      </c>
      <c r="M671" s="6">
        <f>IF(C671="","",IF('Daily Sale entry '!Q671="Collection 收款",ROUND(N('Daily Sale entry '!T671),2),0))</f>
        <v/>
      </c>
    </row>
    <row r="672">
      <c r="A672" t="inlineStr">
        <is>
          <t>Entry 记录</t>
        </is>
      </c>
      <c r="B672" s="5">
        <f>IF('Daily Sale entry '!P672="","",'Daily Sale entry '!O672)</f>
        <v/>
      </c>
      <c r="C672">
        <f>IF('Daily Sale entry '!P672="","",'Daily Sale entry '!P672)</f>
        <v/>
      </c>
      <c r="D672">
        <f>IF(C672="","",IF('Daily Sale entry '!Q672="Credit Sale 赊销",'Daily Sale entry '!S672,0))</f>
        <v/>
      </c>
      <c r="E672">
        <f>IF(C672="","",IF('Daily Sale entry '!Q672="Collection 收款",'Daily Sale entry '!S672,0))</f>
        <v/>
      </c>
      <c r="F672" s="37">
        <f>IF(C672="","",B672+IF(E672&gt;0,0,0.5)+ROW()/10000000)</f>
        <v/>
      </c>
      <c r="G672">
        <f>IF(C672="","",'Daily Sale entry '!Q672&amp;IF('Daily Sale entry '!Q672="Collection 收款"," ("&amp;'Daily Sale entry '!R672&amp;")","")&amp;IF('Daily Sale entry '!U672="",""," - "&amp;'Daily Sale entry '!U672))</f>
        <v/>
      </c>
      <c r="H672">
        <f>IF(C672="","",COUNTIFS($C$2:$C$3001,C672,$F$2:$F$3001,"&lt;"&amp;F672)+1)</f>
        <v/>
      </c>
      <c r="I672">
        <f>IF(C672="","",C672&amp;"|"&amp;H672)</f>
        <v/>
      </c>
      <c r="J672" s="6">
        <f>IF(C672="","",IF(H672=1,SUMIFS('Opening Balance'!$F$4:$F$303,'Opening Balance'!$G$4:$G$303,C672),INDEX($L$2:$L$3001,MATCH(C672&amp;"|"&amp;(H672-1),$I$2:$I$3001,0))))</f>
        <v/>
      </c>
      <c r="K672" s="6">
        <f>IF(C672="","",IF(M672&gt;0,M672,IF(AND(E672&gt;0,ROUND(J672+D672-E672,2)&gt;0,ROUND(J672+D672-E672,2)&lt;'Opening Balance'!$B$14),ROUND(J672+D672-E672,2),0)))</f>
        <v/>
      </c>
      <c r="L672" s="6">
        <f>IF(C672="","",ROUND(J672+D672-E672-K672,2))</f>
        <v/>
      </c>
      <c r="M672" s="6">
        <f>IF(C672="","",IF('Daily Sale entry '!Q672="Collection 收款",ROUND(N('Daily Sale entry '!T672),2),0))</f>
        <v/>
      </c>
    </row>
    <row r="673">
      <c r="A673" t="inlineStr">
        <is>
          <t>Entry 记录</t>
        </is>
      </c>
      <c r="B673" s="5">
        <f>IF('Daily Sale entry '!P673="","",'Daily Sale entry '!O673)</f>
        <v/>
      </c>
      <c r="C673">
        <f>IF('Daily Sale entry '!P673="","",'Daily Sale entry '!P673)</f>
        <v/>
      </c>
      <c r="D673">
        <f>IF(C673="","",IF('Daily Sale entry '!Q673="Credit Sale 赊销",'Daily Sale entry '!S673,0))</f>
        <v/>
      </c>
      <c r="E673">
        <f>IF(C673="","",IF('Daily Sale entry '!Q673="Collection 收款",'Daily Sale entry '!S673,0))</f>
        <v/>
      </c>
      <c r="F673" s="37">
        <f>IF(C673="","",B673+IF(E673&gt;0,0,0.5)+ROW()/10000000)</f>
        <v/>
      </c>
      <c r="G673">
        <f>IF(C673="","",'Daily Sale entry '!Q673&amp;IF('Daily Sale entry '!Q673="Collection 收款"," ("&amp;'Daily Sale entry '!R673&amp;")","")&amp;IF('Daily Sale entry '!U673="",""," - "&amp;'Daily Sale entry '!U673))</f>
        <v/>
      </c>
      <c r="H673">
        <f>IF(C673="","",COUNTIFS($C$2:$C$3001,C673,$F$2:$F$3001,"&lt;"&amp;F673)+1)</f>
        <v/>
      </c>
      <c r="I673">
        <f>IF(C673="","",C673&amp;"|"&amp;H673)</f>
        <v/>
      </c>
      <c r="J673" s="6">
        <f>IF(C673="","",IF(H673=1,SUMIFS('Opening Balance'!$F$4:$F$303,'Opening Balance'!$G$4:$G$303,C673),INDEX($L$2:$L$3001,MATCH(C673&amp;"|"&amp;(H673-1),$I$2:$I$3001,0))))</f>
        <v/>
      </c>
      <c r="K673" s="6">
        <f>IF(C673="","",IF(M673&gt;0,M673,IF(AND(E673&gt;0,ROUND(J673+D673-E673,2)&gt;0,ROUND(J673+D673-E673,2)&lt;'Opening Balance'!$B$14),ROUND(J673+D673-E673,2),0)))</f>
        <v/>
      </c>
      <c r="L673" s="6">
        <f>IF(C673="","",ROUND(J673+D673-E673-K673,2))</f>
        <v/>
      </c>
      <c r="M673" s="6">
        <f>IF(C673="","",IF('Daily Sale entry '!Q673="Collection 收款",ROUND(N('Daily Sale entry '!T673),2),0))</f>
        <v/>
      </c>
    </row>
    <row r="674">
      <c r="A674" t="inlineStr">
        <is>
          <t>Entry 记录</t>
        </is>
      </c>
      <c r="B674" s="5">
        <f>IF('Daily Sale entry '!P674="","",'Daily Sale entry '!O674)</f>
        <v/>
      </c>
      <c r="C674">
        <f>IF('Daily Sale entry '!P674="","",'Daily Sale entry '!P674)</f>
        <v/>
      </c>
      <c r="D674">
        <f>IF(C674="","",IF('Daily Sale entry '!Q674="Credit Sale 赊销",'Daily Sale entry '!S674,0))</f>
        <v/>
      </c>
      <c r="E674">
        <f>IF(C674="","",IF('Daily Sale entry '!Q674="Collection 收款",'Daily Sale entry '!S674,0))</f>
        <v/>
      </c>
      <c r="F674" s="37">
        <f>IF(C674="","",B674+IF(E674&gt;0,0,0.5)+ROW()/10000000)</f>
        <v/>
      </c>
      <c r="G674">
        <f>IF(C674="","",'Daily Sale entry '!Q674&amp;IF('Daily Sale entry '!Q674="Collection 收款"," ("&amp;'Daily Sale entry '!R674&amp;")","")&amp;IF('Daily Sale entry '!U674="",""," - "&amp;'Daily Sale entry '!U674))</f>
        <v/>
      </c>
      <c r="H674">
        <f>IF(C674="","",COUNTIFS($C$2:$C$3001,C674,$F$2:$F$3001,"&lt;"&amp;F674)+1)</f>
        <v/>
      </c>
      <c r="I674">
        <f>IF(C674="","",C674&amp;"|"&amp;H674)</f>
        <v/>
      </c>
      <c r="J674" s="6">
        <f>IF(C674="","",IF(H674=1,SUMIFS('Opening Balance'!$F$4:$F$303,'Opening Balance'!$G$4:$G$303,C674),INDEX($L$2:$L$3001,MATCH(C674&amp;"|"&amp;(H674-1),$I$2:$I$3001,0))))</f>
        <v/>
      </c>
      <c r="K674" s="6">
        <f>IF(C674="","",IF(M674&gt;0,M674,IF(AND(E674&gt;0,ROUND(J674+D674-E674,2)&gt;0,ROUND(J674+D674-E674,2)&lt;'Opening Balance'!$B$14),ROUND(J674+D674-E674,2),0)))</f>
        <v/>
      </c>
      <c r="L674" s="6">
        <f>IF(C674="","",ROUND(J674+D674-E674-K674,2))</f>
        <v/>
      </c>
      <c r="M674" s="6">
        <f>IF(C674="","",IF('Daily Sale entry '!Q674="Collection 收款",ROUND(N('Daily Sale entry '!T674),2),0))</f>
        <v/>
      </c>
    </row>
    <row r="675">
      <c r="A675" t="inlineStr">
        <is>
          <t>Entry 记录</t>
        </is>
      </c>
      <c r="B675" s="5">
        <f>IF('Daily Sale entry '!P675="","",'Daily Sale entry '!O675)</f>
        <v/>
      </c>
      <c r="C675">
        <f>IF('Daily Sale entry '!P675="","",'Daily Sale entry '!P675)</f>
        <v/>
      </c>
      <c r="D675">
        <f>IF(C675="","",IF('Daily Sale entry '!Q675="Credit Sale 赊销",'Daily Sale entry '!S675,0))</f>
        <v/>
      </c>
      <c r="E675">
        <f>IF(C675="","",IF('Daily Sale entry '!Q675="Collection 收款",'Daily Sale entry '!S675,0))</f>
        <v/>
      </c>
      <c r="F675" s="37">
        <f>IF(C675="","",B675+IF(E675&gt;0,0,0.5)+ROW()/10000000)</f>
        <v/>
      </c>
      <c r="G675">
        <f>IF(C675="","",'Daily Sale entry '!Q675&amp;IF('Daily Sale entry '!Q675="Collection 收款"," ("&amp;'Daily Sale entry '!R675&amp;")","")&amp;IF('Daily Sale entry '!U675="",""," - "&amp;'Daily Sale entry '!U675))</f>
        <v/>
      </c>
      <c r="H675">
        <f>IF(C675="","",COUNTIFS($C$2:$C$3001,C675,$F$2:$F$3001,"&lt;"&amp;F675)+1)</f>
        <v/>
      </c>
      <c r="I675">
        <f>IF(C675="","",C675&amp;"|"&amp;H675)</f>
        <v/>
      </c>
      <c r="J675" s="6">
        <f>IF(C675="","",IF(H675=1,SUMIFS('Opening Balance'!$F$4:$F$303,'Opening Balance'!$G$4:$G$303,C675),INDEX($L$2:$L$3001,MATCH(C675&amp;"|"&amp;(H675-1),$I$2:$I$3001,0))))</f>
        <v/>
      </c>
      <c r="K675" s="6">
        <f>IF(C675="","",IF(M675&gt;0,M675,IF(AND(E675&gt;0,ROUND(J675+D675-E675,2)&gt;0,ROUND(J675+D675-E675,2)&lt;'Opening Balance'!$B$14),ROUND(J675+D675-E675,2),0)))</f>
        <v/>
      </c>
      <c r="L675" s="6">
        <f>IF(C675="","",ROUND(J675+D675-E675-K675,2))</f>
        <v/>
      </c>
      <c r="M675" s="6">
        <f>IF(C675="","",IF('Daily Sale entry '!Q675="Collection 收款",ROUND(N('Daily Sale entry '!T675),2),0))</f>
        <v/>
      </c>
    </row>
    <row r="676">
      <c r="A676" t="inlineStr">
        <is>
          <t>Entry 记录</t>
        </is>
      </c>
      <c r="B676" s="5">
        <f>IF('Daily Sale entry '!P676="","",'Daily Sale entry '!O676)</f>
        <v/>
      </c>
      <c r="C676">
        <f>IF('Daily Sale entry '!P676="","",'Daily Sale entry '!P676)</f>
        <v/>
      </c>
      <c r="D676">
        <f>IF(C676="","",IF('Daily Sale entry '!Q676="Credit Sale 赊销",'Daily Sale entry '!S676,0))</f>
        <v/>
      </c>
      <c r="E676">
        <f>IF(C676="","",IF('Daily Sale entry '!Q676="Collection 收款",'Daily Sale entry '!S676,0))</f>
        <v/>
      </c>
      <c r="F676" s="37">
        <f>IF(C676="","",B676+IF(E676&gt;0,0,0.5)+ROW()/10000000)</f>
        <v/>
      </c>
      <c r="G676">
        <f>IF(C676="","",'Daily Sale entry '!Q676&amp;IF('Daily Sale entry '!Q676="Collection 收款"," ("&amp;'Daily Sale entry '!R676&amp;")","")&amp;IF('Daily Sale entry '!U676="",""," - "&amp;'Daily Sale entry '!U676))</f>
        <v/>
      </c>
      <c r="H676">
        <f>IF(C676="","",COUNTIFS($C$2:$C$3001,C676,$F$2:$F$3001,"&lt;"&amp;F676)+1)</f>
        <v/>
      </c>
      <c r="I676">
        <f>IF(C676="","",C676&amp;"|"&amp;H676)</f>
        <v/>
      </c>
      <c r="J676" s="6">
        <f>IF(C676="","",IF(H676=1,SUMIFS('Opening Balance'!$F$4:$F$303,'Opening Balance'!$G$4:$G$303,C676),INDEX($L$2:$L$3001,MATCH(C676&amp;"|"&amp;(H676-1),$I$2:$I$3001,0))))</f>
        <v/>
      </c>
      <c r="K676" s="6">
        <f>IF(C676="","",IF(M676&gt;0,M676,IF(AND(E676&gt;0,ROUND(J676+D676-E676,2)&gt;0,ROUND(J676+D676-E676,2)&lt;'Opening Balance'!$B$14),ROUND(J676+D676-E676,2),0)))</f>
        <v/>
      </c>
      <c r="L676" s="6">
        <f>IF(C676="","",ROUND(J676+D676-E676-K676,2))</f>
        <v/>
      </c>
      <c r="M676" s="6">
        <f>IF(C676="","",IF('Daily Sale entry '!Q676="Collection 收款",ROUND(N('Daily Sale entry '!T676),2),0))</f>
        <v/>
      </c>
    </row>
    <row r="677">
      <c r="A677" t="inlineStr">
        <is>
          <t>Entry 记录</t>
        </is>
      </c>
      <c r="B677" s="5">
        <f>IF('Daily Sale entry '!P677="","",'Daily Sale entry '!O677)</f>
        <v/>
      </c>
      <c r="C677">
        <f>IF('Daily Sale entry '!P677="","",'Daily Sale entry '!P677)</f>
        <v/>
      </c>
      <c r="D677">
        <f>IF(C677="","",IF('Daily Sale entry '!Q677="Credit Sale 赊销",'Daily Sale entry '!S677,0))</f>
        <v/>
      </c>
      <c r="E677">
        <f>IF(C677="","",IF('Daily Sale entry '!Q677="Collection 收款",'Daily Sale entry '!S677,0))</f>
        <v/>
      </c>
      <c r="F677" s="37">
        <f>IF(C677="","",B677+IF(E677&gt;0,0,0.5)+ROW()/10000000)</f>
        <v/>
      </c>
      <c r="G677">
        <f>IF(C677="","",'Daily Sale entry '!Q677&amp;IF('Daily Sale entry '!Q677="Collection 收款"," ("&amp;'Daily Sale entry '!R677&amp;")","")&amp;IF('Daily Sale entry '!U677="",""," - "&amp;'Daily Sale entry '!U677))</f>
        <v/>
      </c>
      <c r="H677">
        <f>IF(C677="","",COUNTIFS($C$2:$C$3001,C677,$F$2:$F$3001,"&lt;"&amp;F677)+1)</f>
        <v/>
      </c>
      <c r="I677">
        <f>IF(C677="","",C677&amp;"|"&amp;H677)</f>
        <v/>
      </c>
      <c r="J677" s="6">
        <f>IF(C677="","",IF(H677=1,SUMIFS('Opening Balance'!$F$4:$F$303,'Opening Balance'!$G$4:$G$303,C677),INDEX($L$2:$L$3001,MATCH(C677&amp;"|"&amp;(H677-1),$I$2:$I$3001,0))))</f>
        <v/>
      </c>
      <c r="K677" s="6">
        <f>IF(C677="","",IF(M677&gt;0,M677,IF(AND(E677&gt;0,ROUND(J677+D677-E677,2)&gt;0,ROUND(J677+D677-E677,2)&lt;'Opening Balance'!$B$14),ROUND(J677+D677-E677,2),0)))</f>
        <v/>
      </c>
      <c r="L677" s="6">
        <f>IF(C677="","",ROUND(J677+D677-E677-K677,2))</f>
        <v/>
      </c>
      <c r="M677" s="6">
        <f>IF(C677="","",IF('Daily Sale entry '!Q677="Collection 收款",ROUND(N('Daily Sale entry '!T677),2),0))</f>
        <v/>
      </c>
    </row>
    <row r="678">
      <c r="A678" t="inlineStr">
        <is>
          <t>Entry 记录</t>
        </is>
      </c>
      <c r="B678" s="5">
        <f>IF('Daily Sale entry '!P678="","",'Daily Sale entry '!O678)</f>
        <v/>
      </c>
      <c r="C678">
        <f>IF('Daily Sale entry '!P678="","",'Daily Sale entry '!P678)</f>
        <v/>
      </c>
      <c r="D678">
        <f>IF(C678="","",IF('Daily Sale entry '!Q678="Credit Sale 赊销",'Daily Sale entry '!S678,0))</f>
        <v/>
      </c>
      <c r="E678">
        <f>IF(C678="","",IF('Daily Sale entry '!Q678="Collection 收款",'Daily Sale entry '!S678,0))</f>
        <v/>
      </c>
      <c r="F678" s="37">
        <f>IF(C678="","",B678+IF(E678&gt;0,0,0.5)+ROW()/10000000)</f>
        <v/>
      </c>
      <c r="G678">
        <f>IF(C678="","",'Daily Sale entry '!Q678&amp;IF('Daily Sale entry '!Q678="Collection 收款"," ("&amp;'Daily Sale entry '!R678&amp;")","")&amp;IF('Daily Sale entry '!U678="",""," - "&amp;'Daily Sale entry '!U678))</f>
        <v/>
      </c>
      <c r="H678">
        <f>IF(C678="","",COUNTIFS($C$2:$C$3001,C678,$F$2:$F$3001,"&lt;"&amp;F678)+1)</f>
        <v/>
      </c>
      <c r="I678">
        <f>IF(C678="","",C678&amp;"|"&amp;H678)</f>
        <v/>
      </c>
      <c r="J678" s="6">
        <f>IF(C678="","",IF(H678=1,SUMIFS('Opening Balance'!$F$4:$F$303,'Opening Balance'!$G$4:$G$303,C678),INDEX($L$2:$L$3001,MATCH(C678&amp;"|"&amp;(H678-1),$I$2:$I$3001,0))))</f>
        <v/>
      </c>
      <c r="K678" s="6">
        <f>IF(C678="","",IF(M678&gt;0,M678,IF(AND(E678&gt;0,ROUND(J678+D678-E678,2)&gt;0,ROUND(J678+D678-E678,2)&lt;'Opening Balance'!$B$14),ROUND(J678+D678-E678,2),0)))</f>
        <v/>
      </c>
      <c r="L678" s="6">
        <f>IF(C678="","",ROUND(J678+D678-E678-K678,2))</f>
        <v/>
      </c>
      <c r="M678" s="6">
        <f>IF(C678="","",IF('Daily Sale entry '!Q678="Collection 收款",ROUND(N('Daily Sale entry '!T678),2),0))</f>
        <v/>
      </c>
    </row>
    <row r="679">
      <c r="A679" t="inlineStr">
        <is>
          <t>Entry 记录</t>
        </is>
      </c>
      <c r="B679" s="5">
        <f>IF('Daily Sale entry '!P679="","",'Daily Sale entry '!O679)</f>
        <v/>
      </c>
      <c r="C679">
        <f>IF('Daily Sale entry '!P679="","",'Daily Sale entry '!P679)</f>
        <v/>
      </c>
      <c r="D679">
        <f>IF(C679="","",IF('Daily Sale entry '!Q679="Credit Sale 赊销",'Daily Sale entry '!S679,0))</f>
        <v/>
      </c>
      <c r="E679">
        <f>IF(C679="","",IF('Daily Sale entry '!Q679="Collection 收款",'Daily Sale entry '!S679,0))</f>
        <v/>
      </c>
      <c r="F679" s="37">
        <f>IF(C679="","",B679+IF(E679&gt;0,0,0.5)+ROW()/10000000)</f>
        <v/>
      </c>
      <c r="G679">
        <f>IF(C679="","",'Daily Sale entry '!Q679&amp;IF('Daily Sale entry '!Q679="Collection 收款"," ("&amp;'Daily Sale entry '!R679&amp;")","")&amp;IF('Daily Sale entry '!U679="",""," - "&amp;'Daily Sale entry '!U679))</f>
        <v/>
      </c>
      <c r="H679">
        <f>IF(C679="","",COUNTIFS($C$2:$C$3001,C679,$F$2:$F$3001,"&lt;"&amp;F679)+1)</f>
        <v/>
      </c>
      <c r="I679">
        <f>IF(C679="","",C679&amp;"|"&amp;H679)</f>
        <v/>
      </c>
      <c r="J679" s="6">
        <f>IF(C679="","",IF(H679=1,SUMIFS('Opening Balance'!$F$4:$F$303,'Opening Balance'!$G$4:$G$303,C679),INDEX($L$2:$L$3001,MATCH(C679&amp;"|"&amp;(H679-1),$I$2:$I$3001,0))))</f>
        <v/>
      </c>
      <c r="K679" s="6">
        <f>IF(C679="","",IF(M679&gt;0,M679,IF(AND(E679&gt;0,ROUND(J679+D679-E679,2)&gt;0,ROUND(J679+D679-E679,2)&lt;'Opening Balance'!$B$14),ROUND(J679+D679-E679,2),0)))</f>
        <v/>
      </c>
      <c r="L679" s="6">
        <f>IF(C679="","",ROUND(J679+D679-E679-K679,2))</f>
        <v/>
      </c>
      <c r="M679" s="6">
        <f>IF(C679="","",IF('Daily Sale entry '!Q679="Collection 收款",ROUND(N('Daily Sale entry '!T679),2),0))</f>
        <v/>
      </c>
    </row>
    <row r="680">
      <c r="A680" t="inlineStr">
        <is>
          <t>Entry 记录</t>
        </is>
      </c>
      <c r="B680" s="5">
        <f>IF('Daily Sale entry '!P680="","",'Daily Sale entry '!O680)</f>
        <v/>
      </c>
      <c r="C680">
        <f>IF('Daily Sale entry '!P680="","",'Daily Sale entry '!P680)</f>
        <v/>
      </c>
      <c r="D680">
        <f>IF(C680="","",IF('Daily Sale entry '!Q680="Credit Sale 赊销",'Daily Sale entry '!S680,0))</f>
        <v/>
      </c>
      <c r="E680">
        <f>IF(C680="","",IF('Daily Sale entry '!Q680="Collection 收款",'Daily Sale entry '!S680,0))</f>
        <v/>
      </c>
      <c r="F680" s="37">
        <f>IF(C680="","",B680+IF(E680&gt;0,0,0.5)+ROW()/10000000)</f>
        <v/>
      </c>
      <c r="G680">
        <f>IF(C680="","",'Daily Sale entry '!Q680&amp;IF('Daily Sale entry '!Q680="Collection 收款"," ("&amp;'Daily Sale entry '!R680&amp;")","")&amp;IF('Daily Sale entry '!U680="",""," - "&amp;'Daily Sale entry '!U680))</f>
        <v/>
      </c>
      <c r="H680">
        <f>IF(C680="","",COUNTIFS($C$2:$C$3001,C680,$F$2:$F$3001,"&lt;"&amp;F680)+1)</f>
        <v/>
      </c>
      <c r="I680">
        <f>IF(C680="","",C680&amp;"|"&amp;H680)</f>
        <v/>
      </c>
      <c r="J680" s="6">
        <f>IF(C680="","",IF(H680=1,SUMIFS('Opening Balance'!$F$4:$F$303,'Opening Balance'!$G$4:$G$303,C680),INDEX($L$2:$L$3001,MATCH(C680&amp;"|"&amp;(H680-1),$I$2:$I$3001,0))))</f>
        <v/>
      </c>
      <c r="K680" s="6">
        <f>IF(C680="","",IF(M680&gt;0,M680,IF(AND(E680&gt;0,ROUND(J680+D680-E680,2)&gt;0,ROUND(J680+D680-E680,2)&lt;'Opening Balance'!$B$14),ROUND(J680+D680-E680,2),0)))</f>
        <v/>
      </c>
      <c r="L680" s="6">
        <f>IF(C680="","",ROUND(J680+D680-E680-K680,2))</f>
        <v/>
      </c>
      <c r="M680" s="6">
        <f>IF(C680="","",IF('Daily Sale entry '!Q680="Collection 收款",ROUND(N('Daily Sale entry '!T680),2),0))</f>
        <v/>
      </c>
    </row>
    <row r="681">
      <c r="A681" t="inlineStr">
        <is>
          <t>Entry 记录</t>
        </is>
      </c>
      <c r="B681" s="5">
        <f>IF('Daily Sale entry '!P681="","",'Daily Sale entry '!O681)</f>
        <v/>
      </c>
      <c r="C681">
        <f>IF('Daily Sale entry '!P681="","",'Daily Sale entry '!P681)</f>
        <v/>
      </c>
      <c r="D681">
        <f>IF(C681="","",IF('Daily Sale entry '!Q681="Credit Sale 赊销",'Daily Sale entry '!S681,0))</f>
        <v/>
      </c>
      <c r="E681">
        <f>IF(C681="","",IF('Daily Sale entry '!Q681="Collection 收款",'Daily Sale entry '!S681,0))</f>
        <v/>
      </c>
      <c r="F681" s="37">
        <f>IF(C681="","",B681+IF(E681&gt;0,0,0.5)+ROW()/10000000)</f>
        <v/>
      </c>
      <c r="G681">
        <f>IF(C681="","",'Daily Sale entry '!Q681&amp;IF('Daily Sale entry '!Q681="Collection 收款"," ("&amp;'Daily Sale entry '!R681&amp;")","")&amp;IF('Daily Sale entry '!U681="",""," - "&amp;'Daily Sale entry '!U681))</f>
        <v/>
      </c>
      <c r="H681">
        <f>IF(C681="","",COUNTIFS($C$2:$C$3001,C681,$F$2:$F$3001,"&lt;"&amp;F681)+1)</f>
        <v/>
      </c>
      <c r="I681">
        <f>IF(C681="","",C681&amp;"|"&amp;H681)</f>
        <v/>
      </c>
      <c r="J681" s="6">
        <f>IF(C681="","",IF(H681=1,SUMIFS('Opening Balance'!$F$4:$F$303,'Opening Balance'!$G$4:$G$303,C681),INDEX($L$2:$L$3001,MATCH(C681&amp;"|"&amp;(H681-1),$I$2:$I$3001,0))))</f>
        <v/>
      </c>
      <c r="K681" s="6">
        <f>IF(C681="","",IF(M681&gt;0,M681,IF(AND(E681&gt;0,ROUND(J681+D681-E681,2)&gt;0,ROUND(J681+D681-E681,2)&lt;'Opening Balance'!$B$14),ROUND(J681+D681-E681,2),0)))</f>
        <v/>
      </c>
      <c r="L681" s="6">
        <f>IF(C681="","",ROUND(J681+D681-E681-K681,2))</f>
        <v/>
      </c>
      <c r="M681" s="6">
        <f>IF(C681="","",IF('Daily Sale entry '!Q681="Collection 收款",ROUND(N('Daily Sale entry '!T681),2),0))</f>
        <v/>
      </c>
    </row>
    <row r="682">
      <c r="A682" t="inlineStr">
        <is>
          <t>Entry 记录</t>
        </is>
      </c>
      <c r="B682" s="5">
        <f>IF('Daily Sale entry '!P682="","",'Daily Sale entry '!O682)</f>
        <v/>
      </c>
      <c r="C682">
        <f>IF('Daily Sale entry '!P682="","",'Daily Sale entry '!P682)</f>
        <v/>
      </c>
      <c r="D682">
        <f>IF(C682="","",IF('Daily Sale entry '!Q682="Credit Sale 赊销",'Daily Sale entry '!S682,0))</f>
        <v/>
      </c>
      <c r="E682">
        <f>IF(C682="","",IF('Daily Sale entry '!Q682="Collection 收款",'Daily Sale entry '!S682,0))</f>
        <v/>
      </c>
      <c r="F682" s="37">
        <f>IF(C682="","",B682+IF(E682&gt;0,0,0.5)+ROW()/10000000)</f>
        <v/>
      </c>
      <c r="G682">
        <f>IF(C682="","",'Daily Sale entry '!Q682&amp;IF('Daily Sale entry '!Q682="Collection 收款"," ("&amp;'Daily Sale entry '!R682&amp;")","")&amp;IF('Daily Sale entry '!U682="",""," - "&amp;'Daily Sale entry '!U682))</f>
        <v/>
      </c>
      <c r="H682">
        <f>IF(C682="","",COUNTIFS($C$2:$C$3001,C682,$F$2:$F$3001,"&lt;"&amp;F682)+1)</f>
        <v/>
      </c>
      <c r="I682">
        <f>IF(C682="","",C682&amp;"|"&amp;H682)</f>
        <v/>
      </c>
      <c r="J682" s="6">
        <f>IF(C682="","",IF(H682=1,SUMIFS('Opening Balance'!$F$4:$F$303,'Opening Balance'!$G$4:$G$303,C682),INDEX($L$2:$L$3001,MATCH(C682&amp;"|"&amp;(H682-1),$I$2:$I$3001,0))))</f>
        <v/>
      </c>
      <c r="K682" s="6">
        <f>IF(C682="","",IF(M682&gt;0,M682,IF(AND(E682&gt;0,ROUND(J682+D682-E682,2)&gt;0,ROUND(J682+D682-E682,2)&lt;'Opening Balance'!$B$14),ROUND(J682+D682-E682,2),0)))</f>
        <v/>
      </c>
      <c r="L682" s="6">
        <f>IF(C682="","",ROUND(J682+D682-E682-K682,2))</f>
        <v/>
      </c>
      <c r="M682" s="6">
        <f>IF(C682="","",IF('Daily Sale entry '!Q682="Collection 收款",ROUND(N('Daily Sale entry '!T682),2),0))</f>
        <v/>
      </c>
    </row>
    <row r="683">
      <c r="A683" t="inlineStr">
        <is>
          <t>Entry 记录</t>
        </is>
      </c>
      <c r="B683" s="5">
        <f>IF('Daily Sale entry '!P683="","",'Daily Sale entry '!O683)</f>
        <v/>
      </c>
      <c r="C683">
        <f>IF('Daily Sale entry '!P683="","",'Daily Sale entry '!P683)</f>
        <v/>
      </c>
      <c r="D683">
        <f>IF(C683="","",IF('Daily Sale entry '!Q683="Credit Sale 赊销",'Daily Sale entry '!S683,0))</f>
        <v/>
      </c>
      <c r="E683">
        <f>IF(C683="","",IF('Daily Sale entry '!Q683="Collection 收款",'Daily Sale entry '!S683,0))</f>
        <v/>
      </c>
      <c r="F683" s="37">
        <f>IF(C683="","",B683+IF(E683&gt;0,0,0.5)+ROW()/10000000)</f>
        <v/>
      </c>
      <c r="G683">
        <f>IF(C683="","",'Daily Sale entry '!Q683&amp;IF('Daily Sale entry '!Q683="Collection 收款"," ("&amp;'Daily Sale entry '!R683&amp;")","")&amp;IF('Daily Sale entry '!U683="",""," - "&amp;'Daily Sale entry '!U683))</f>
        <v/>
      </c>
      <c r="H683">
        <f>IF(C683="","",COUNTIFS($C$2:$C$3001,C683,$F$2:$F$3001,"&lt;"&amp;F683)+1)</f>
        <v/>
      </c>
      <c r="I683">
        <f>IF(C683="","",C683&amp;"|"&amp;H683)</f>
        <v/>
      </c>
      <c r="J683" s="6">
        <f>IF(C683="","",IF(H683=1,SUMIFS('Opening Balance'!$F$4:$F$303,'Opening Balance'!$G$4:$G$303,C683),INDEX($L$2:$L$3001,MATCH(C683&amp;"|"&amp;(H683-1),$I$2:$I$3001,0))))</f>
        <v/>
      </c>
      <c r="K683" s="6">
        <f>IF(C683="","",IF(M683&gt;0,M683,IF(AND(E683&gt;0,ROUND(J683+D683-E683,2)&gt;0,ROUND(J683+D683-E683,2)&lt;'Opening Balance'!$B$14),ROUND(J683+D683-E683,2),0)))</f>
        <v/>
      </c>
      <c r="L683" s="6">
        <f>IF(C683="","",ROUND(J683+D683-E683-K683,2))</f>
        <v/>
      </c>
      <c r="M683" s="6">
        <f>IF(C683="","",IF('Daily Sale entry '!Q683="Collection 收款",ROUND(N('Daily Sale entry '!T683),2),0))</f>
        <v/>
      </c>
    </row>
    <row r="684">
      <c r="A684" t="inlineStr">
        <is>
          <t>Entry 记录</t>
        </is>
      </c>
      <c r="B684" s="5">
        <f>IF('Daily Sale entry '!P684="","",'Daily Sale entry '!O684)</f>
        <v/>
      </c>
      <c r="C684">
        <f>IF('Daily Sale entry '!P684="","",'Daily Sale entry '!P684)</f>
        <v/>
      </c>
      <c r="D684">
        <f>IF(C684="","",IF('Daily Sale entry '!Q684="Credit Sale 赊销",'Daily Sale entry '!S684,0))</f>
        <v/>
      </c>
      <c r="E684">
        <f>IF(C684="","",IF('Daily Sale entry '!Q684="Collection 收款",'Daily Sale entry '!S684,0))</f>
        <v/>
      </c>
      <c r="F684" s="37">
        <f>IF(C684="","",B684+IF(E684&gt;0,0,0.5)+ROW()/10000000)</f>
        <v/>
      </c>
      <c r="G684">
        <f>IF(C684="","",'Daily Sale entry '!Q684&amp;IF('Daily Sale entry '!Q684="Collection 收款"," ("&amp;'Daily Sale entry '!R684&amp;")","")&amp;IF('Daily Sale entry '!U684="",""," - "&amp;'Daily Sale entry '!U684))</f>
        <v/>
      </c>
      <c r="H684">
        <f>IF(C684="","",COUNTIFS($C$2:$C$3001,C684,$F$2:$F$3001,"&lt;"&amp;F684)+1)</f>
        <v/>
      </c>
      <c r="I684">
        <f>IF(C684="","",C684&amp;"|"&amp;H684)</f>
        <v/>
      </c>
      <c r="J684" s="6">
        <f>IF(C684="","",IF(H684=1,SUMIFS('Opening Balance'!$F$4:$F$303,'Opening Balance'!$G$4:$G$303,C684),INDEX($L$2:$L$3001,MATCH(C684&amp;"|"&amp;(H684-1),$I$2:$I$3001,0))))</f>
        <v/>
      </c>
      <c r="K684" s="6">
        <f>IF(C684="","",IF(M684&gt;0,M684,IF(AND(E684&gt;0,ROUND(J684+D684-E684,2)&gt;0,ROUND(J684+D684-E684,2)&lt;'Opening Balance'!$B$14),ROUND(J684+D684-E684,2),0)))</f>
        <v/>
      </c>
      <c r="L684" s="6">
        <f>IF(C684="","",ROUND(J684+D684-E684-K684,2))</f>
        <v/>
      </c>
      <c r="M684" s="6">
        <f>IF(C684="","",IF('Daily Sale entry '!Q684="Collection 收款",ROUND(N('Daily Sale entry '!T684),2),0))</f>
        <v/>
      </c>
    </row>
    <row r="685">
      <c r="A685" t="inlineStr">
        <is>
          <t>Entry 记录</t>
        </is>
      </c>
      <c r="B685" s="5">
        <f>IF('Daily Sale entry '!P685="","",'Daily Sale entry '!O685)</f>
        <v/>
      </c>
      <c r="C685">
        <f>IF('Daily Sale entry '!P685="","",'Daily Sale entry '!P685)</f>
        <v/>
      </c>
      <c r="D685">
        <f>IF(C685="","",IF('Daily Sale entry '!Q685="Credit Sale 赊销",'Daily Sale entry '!S685,0))</f>
        <v/>
      </c>
      <c r="E685">
        <f>IF(C685="","",IF('Daily Sale entry '!Q685="Collection 收款",'Daily Sale entry '!S685,0))</f>
        <v/>
      </c>
      <c r="F685" s="37">
        <f>IF(C685="","",B685+IF(E685&gt;0,0,0.5)+ROW()/10000000)</f>
        <v/>
      </c>
      <c r="G685">
        <f>IF(C685="","",'Daily Sale entry '!Q685&amp;IF('Daily Sale entry '!Q685="Collection 收款"," ("&amp;'Daily Sale entry '!R685&amp;")","")&amp;IF('Daily Sale entry '!U685="",""," - "&amp;'Daily Sale entry '!U685))</f>
        <v/>
      </c>
      <c r="H685">
        <f>IF(C685="","",COUNTIFS($C$2:$C$3001,C685,$F$2:$F$3001,"&lt;"&amp;F685)+1)</f>
        <v/>
      </c>
      <c r="I685">
        <f>IF(C685="","",C685&amp;"|"&amp;H685)</f>
        <v/>
      </c>
      <c r="J685" s="6">
        <f>IF(C685="","",IF(H685=1,SUMIFS('Opening Balance'!$F$4:$F$303,'Opening Balance'!$G$4:$G$303,C685),INDEX($L$2:$L$3001,MATCH(C685&amp;"|"&amp;(H685-1),$I$2:$I$3001,0))))</f>
        <v/>
      </c>
      <c r="K685" s="6">
        <f>IF(C685="","",IF(M685&gt;0,M685,IF(AND(E685&gt;0,ROUND(J685+D685-E685,2)&gt;0,ROUND(J685+D685-E685,2)&lt;'Opening Balance'!$B$14),ROUND(J685+D685-E685,2),0)))</f>
        <v/>
      </c>
      <c r="L685" s="6">
        <f>IF(C685="","",ROUND(J685+D685-E685-K685,2))</f>
        <v/>
      </c>
      <c r="M685" s="6">
        <f>IF(C685="","",IF('Daily Sale entry '!Q685="Collection 收款",ROUND(N('Daily Sale entry '!T685),2),0))</f>
        <v/>
      </c>
    </row>
    <row r="686">
      <c r="A686" t="inlineStr">
        <is>
          <t>Entry 记录</t>
        </is>
      </c>
      <c r="B686" s="5">
        <f>IF('Daily Sale entry '!P686="","",'Daily Sale entry '!O686)</f>
        <v/>
      </c>
      <c r="C686">
        <f>IF('Daily Sale entry '!P686="","",'Daily Sale entry '!P686)</f>
        <v/>
      </c>
      <c r="D686">
        <f>IF(C686="","",IF('Daily Sale entry '!Q686="Credit Sale 赊销",'Daily Sale entry '!S686,0))</f>
        <v/>
      </c>
      <c r="E686">
        <f>IF(C686="","",IF('Daily Sale entry '!Q686="Collection 收款",'Daily Sale entry '!S686,0))</f>
        <v/>
      </c>
      <c r="F686" s="37">
        <f>IF(C686="","",B686+IF(E686&gt;0,0,0.5)+ROW()/10000000)</f>
        <v/>
      </c>
      <c r="G686">
        <f>IF(C686="","",'Daily Sale entry '!Q686&amp;IF('Daily Sale entry '!Q686="Collection 收款"," ("&amp;'Daily Sale entry '!R686&amp;")","")&amp;IF('Daily Sale entry '!U686="",""," - "&amp;'Daily Sale entry '!U686))</f>
        <v/>
      </c>
      <c r="H686">
        <f>IF(C686="","",COUNTIFS($C$2:$C$3001,C686,$F$2:$F$3001,"&lt;"&amp;F686)+1)</f>
        <v/>
      </c>
      <c r="I686">
        <f>IF(C686="","",C686&amp;"|"&amp;H686)</f>
        <v/>
      </c>
      <c r="J686" s="6">
        <f>IF(C686="","",IF(H686=1,SUMIFS('Opening Balance'!$F$4:$F$303,'Opening Balance'!$G$4:$G$303,C686),INDEX($L$2:$L$3001,MATCH(C686&amp;"|"&amp;(H686-1),$I$2:$I$3001,0))))</f>
        <v/>
      </c>
      <c r="K686" s="6">
        <f>IF(C686="","",IF(M686&gt;0,M686,IF(AND(E686&gt;0,ROUND(J686+D686-E686,2)&gt;0,ROUND(J686+D686-E686,2)&lt;'Opening Balance'!$B$14),ROUND(J686+D686-E686,2),0)))</f>
        <v/>
      </c>
      <c r="L686" s="6">
        <f>IF(C686="","",ROUND(J686+D686-E686-K686,2))</f>
        <v/>
      </c>
      <c r="M686" s="6">
        <f>IF(C686="","",IF('Daily Sale entry '!Q686="Collection 收款",ROUND(N('Daily Sale entry '!T686),2),0))</f>
        <v/>
      </c>
    </row>
    <row r="687">
      <c r="A687" t="inlineStr">
        <is>
          <t>Entry 记录</t>
        </is>
      </c>
      <c r="B687" s="5">
        <f>IF('Daily Sale entry '!P687="","",'Daily Sale entry '!O687)</f>
        <v/>
      </c>
      <c r="C687">
        <f>IF('Daily Sale entry '!P687="","",'Daily Sale entry '!P687)</f>
        <v/>
      </c>
      <c r="D687">
        <f>IF(C687="","",IF('Daily Sale entry '!Q687="Credit Sale 赊销",'Daily Sale entry '!S687,0))</f>
        <v/>
      </c>
      <c r="E687">
        <f>IF(C687="","",IF('Daily Sale entry '!Q687="Collection 收款",'Daily Sale entry '!S687,0))</f>
        <v/>
      </c>
      <c r="F687" s="37">
        <f>IF(C687="","",B687+IF(E687&gt;0,0,0.5)+ROW()/10000000)</f>
        <v/>
      </c>
      <c r="G687">
        <f>IF(C687="","",'Daily Sale entry '!Q687&amp;IF('Daily Sale entry '!Q687="Collection 收款"," ("&amp;'Daily Sale entry '!R687&amp;")","")&amp;IF('Daily Sale entry '!U687="",""," - "&amp;'Daily Sale entry '!U687))</f>
        <v/>
      </c>
      <c r="H687">
        <f>IF(C687="","",COUNTIFS($C$2:$C$3001,C687,$F$2:$F$3001,"&lt;"&amp;F687)+1)</f>
        <v/>
      </c>
      <c r="I687">
        <f>IF(C687="","",C687&amp;"|"&amp;H687)</f>
        <v/>
      </c>
      <c r="J687" s="6">
        <f>IF(C687="","",IF(H687=1,SUMIFS('Opening Balance'!$F$4:$F$303,'Opening Balance'!$G$4:$G$303,C687),INDEX($L$2:$L$3001,MATCH(C687&amp;"|"&amp;(H687-1),$I$2:$I$3001,0))))</f>
        <v/>
      </c>
      <c r="K687" s="6">
        <f>IF(C687="","",IF(M687&gt;0,M687,IF(AND(E687&gt;0,ROUND(J687+D687-E687,2)&gt;0,ROUND(J687+D687-E687,2)&lt;'Opening Balance'!$B$14),ROUND(J687+D687-E687,2),0)))</f>
        <v/>
      </c>
      <c r="L687" s="6">
        <f>IF(C687="","",ROUND(J687+D687-E687-K687,2))</f>
        <v/>
      </c>
      <c r="M687" s="6">
        <f>IF(C687="","",IF('Daily Sale entry '!Q687="Collection 收款",ROUND(N('Daily Sale entry '!T687),2),0))</f>
        <v/>
      </c>
    </row>
    <row r="688">
      <c r="A688" t="inlineStr">
        <is>
          <t>Entry 记录</t>
        </is>
      </c>
      <c r="B688" s="5">
        <f>IF('Daily Sale entry '!P688="","",'Daily Sale entry '!O688)</f>
        <v/>
      </c>
      <c r="C688">
        <f>IF('Daily Sale entry '!P688="","",'Daily Sale entry '!P688)</f>
        <v/>
      </c>
      <c r="D688">
        <f>IF(C688="","",IF('Daily Sale entry '!Q688="Credit Sale 赊销",'Daily Sale entry '!S688,0))</f>
        <v/>
      </c>
      <c r="E688">
        <f>IF(C688="","",IF('Daily Sale entry '!Q688="Collection 收款",'Daily Sale entry '!S688,0))</f>
        <v/>
      </c>
      <c r="F688" s="37">
        <f>IF(C688="","",B688+IF(E688&gt;0,0,0.5)+ROW()/10000000)</f>
        <v/>
      </c>
      <c r="G688">
        <f>IF(C688="","",'Daily Sale entry '!Q688&amp;IF('Daily Sale entry '!Q688="Collection 收款"," ("&amp;'Daily Sale entry '!R688&amp;")","")&amp;IF('Daily Sale entry '!U688="",""," - "&amp;'Daily Sale entry '!U688))</f>
        <v/>
      </c>
      <c r="H688">
        <f>IF(C688="","",COUNTIFS($C$2:$C$3001,C688,$F$2:$F$3001,"&lt;"&amp;F688)+1)</f>
        <v/>
      </c>
      <c r="I688">
        <f>IF(C688="","",C688&amp;"|"&amp;H688)</f>
        <v/>
      </c>
      <c r="J688" s="6">
        <f>IF(C688="","",IF(H688=1,SUMIFS('Opening Balance'!$F$4:$F$303,'Opening Balance'!$G$4:$G$303,C688),INDEX($L$2:$L$3001,MATCH(C688&amp;"|"&amp;(H688-1),$I$2:$I$3001,0))))</f>
        <v/>
      </c>
      <c r="K688" s="6">
        <f>IF(C688="","",IF(M688&gt;0,M688,IF(AND(E688&gt;0,ROUND(J688+D688-E688,2)&gt;0,ROUND(J688+D688-E688,2)&lt;'Opening Balance'!$B$14),ROUND(J688+D688-E688,2),0)))</f>
        <v/>
      </c>
      <c r="L688" s="6">
        <f>IF(C688="","",ROUND(J688+D688-E688-K688,2))</f>
        <v/>
      </c>
      <c r="M688" s="6">
        <f>IF(C688="","",IF('Daily Sale entry '!Q688="Collection 收款",ROUND(N('Daily Sale entry '!T688),2),0))</f>
        <v/>
      </c>
    </row>
    <row r="689">
      <c r="A689" t="inlineStr">
        <is>
          <t>Entry 记录</t>
        </is>
      </c>
      <c r="B689" s="5">
        <f>IF('Daily Sale entry '!P689="","",'Daily Sale entry '!O689)</f>
        <v/>
      </c>
      <c r="C689">
        <f>IF('Daily Sale entry '!P689="","",'Daily Sale entry '!P689)</f>
        <v/>
      </c>
      <c r="D689">
        <f>IF(C689="","",IF('Daily Sale entry '!Q689="Credit Sale 赊销",'Daily Sale entry '!S689,0))</f>
        <v/>
      </c>
      <c r="E689">
        <f>IF(C689="","",IF('Daily Sale entry '!Q689="Collection 收款",'Daily Sale entry '!S689,0))</f>
        <v/>
      </c>
      <c r="F689" s="37">
        <f>IF(C689="","",B689+IF(E689&gt;0,0,0.5)+ROW()/10000000)</f>
        <v/>
      </c>
      <c r="G689">
        <f>IF(C689="","",'Daily Sale entry '!Q689&amp;IF('Daily Sale entry '!Q689="Collection 收款"," ("&amp;'Daily Sale entry '!R689&amp;")","")&amp;IF('Daily Sale entry '!U689="",""," - "&amp;'Daily Sale entry '!U689))</f>
        <v/>
      </c>
      <c r="H689">
        <f>IF(C689="","",COUNTIFS($C$2:$C$3001,C689,$F$2:$F$3001,"&lt;"&amp;F689)+1)</f>
        <v/>
      </c>
      <c r="I689">
        <f>IF(C689="","",C689&amp;"|"&amp;H689)</f>
        <v/>
      </c>
      <c r="J689" s="6">
        <f>IF(C689="","",IF(H689=1,SUMIFS('Opening Balance'!$F$4:$F$303,'Opening Balance'!$G$4:$G$303,C689),INDEX($L$2:$L$3001,MATCH(C689&amp;"|"&amp;(H689-1),$I$2:$I$3001,0))))</f>
        <v/>
      </c>
      <c r="K689" s="6">
        <f>IF(C689="","",IF(M689&gt;0,M689,IF(AND(E689&gt;0,ROUND(J689+D689-E689,2)&gt;0,ROUND(J689+D689-E689,2)&lt;'Opening Balance'!$B$14),ROUND(J689+D689-E689,2),0)))</f>
        <v/>
      </c>
      <c r="L689" s="6">
        <f>IF(C689="","",ROUND(J689+D689-E689-K689,2))</f>
        <v/>
      </c>
      <c r="M689" s="6">
        <f>IF(C689="","",IF('Daily Sale entry '!Q689="Collection 收款",ROUND(N('Daily Sale entry '!T689),2),0))</f>
        <v/>
      </c>
    </row>
    <row r="690">
      <c r="A690" t="inlineStr">
        <is>
          <t>Entry 记录</t>
        </is>
      </c>
      <c r="B690" s="5">
        <f>IF('Daily Sale entry '!P690="","",'Daily Sale entry '!O690)</f>
        <v/>
      </c>
      <c r="C690">
        <f>IF('Daily Sale entry '!P690="","",'Daily Sale entry '!P690)</f>
        <v/>
      </c>
      <c r="D690">
        <f>IF(C690="","",IF('Daily Sale entry '!Q690="Credit Sale 赊销",'Daily Sale entry '!S690,0))</f>
        <v/>
      </c>
      <c r="E690">
        <f>IF(C690="","",IF('Daily Sale entry '!Q690="Collection 收款",'Daily Sale entry '!S690,0))</f>
        <v/>
      </c>
      <c r="F690" s="37">
        <f>IF(C690="","",B690+IF(E690&gt;0,0,0.5)+ROW()/10000000)</f>
        <v/>
      </c>
      <c r="G690">
        <f>IF(C690="","",'Daily Sale entry '!Q690&amp;IF('Daily Sale entry '!Q690="Collection 收款"," ("&amp;'Daily Sale entry '!R690&amp;")","")&amp;IF('Daily Sale entry '!U690="",""," - "&amp;'Daily Sale entry '!U690))</f>
        <v/>
      </c>
      <c r="H690">
        <f>IF(C690="","",COUNTIFS($C$2:$C$3001,C690,$F$2:$F$3001,"&lt;"&amp;F690)+1)</f>
        <v/>
      </c>
      <c r="I690">
        <f>IF(C690="","",C690&amp;"|"&amp;H690)</f>
        <v/>
      </c>
      <c r="J690" s="6">
        <f>IF(C690="","",IF(H690=1,SUMIFS('Opening Balance'!$F$4:$F$303,'Opening Balance'!$G$4:$G$303,C690),INDEX($L$2:$L$3001,MATCH(C690&amp;"|"&amp;(H690-1),$I$2:$I$3001,0))))</f>
        <v/>
      </c>
      <c r="K690" s="6">
        <f>IF(C690="","",IF(M690&gt;0,M690,IF(AND(E690&gt;0,ROUND(J690+D690-E690,2)&gt;0,ROUND(J690+D690-E690,2)&lt;'Opening Balance'!$B$14),ROUND(J690+D690-E690,2),0)))</f>
        <v/>
      </c>
      <c r="L690" s="6">
        <f>IF(C690="","",ROUND(J690+D690-E690-K690,2))</f>
        <v/>
      </c>
      <c r="M690" s="6">
        <f>IF(C690="","",IF('Daily Sale entry '!Q690="Collection 收款",ROUND(N('Daily Sale entry '!T690),2),0))</f>
        <v/>
      </c>
    </row>
    <row r="691">
      <c r="A691" t="inlineStr">
        <is>
          <t>Entry 记录</t>
        </is>
      </c>
      <c r="B691" s="5">
        <f>IF('Daily Sale entry '!P691="","",'Daily Sale entry '!O691)</f>
        <v/>
      </c>
      <c r="C691">
        <f>IF('Daily Sale entry '!P691="","",'Daily Sale entry '!P691)</f>
        <v/>
      </c>
      <c r="D691">
        <f>IF(C691="","",IF('Daily Sale entry '!Q691="Credit Sale 赊销",'Daily Sale entry '!S691,0))</f>
        <v/>
      </c>
      <c r="E691">
        <f>IF(C691="","",IF('Daily Sale entry '!Q691="Collection 收款",'Daily Sale entry '!S691,0))</f>
        <v/>
      </c>
      <c r="F691" s="37">
        <f>IF(C691="","",B691+IF(E691&gt;0,0,0.5)+ROW()/10000000)</f>
        <v/>
      </c>
      <c r="G691">
        <f>IF(C691="","",'Daily Sale entry '!Q691&amp;IF('Daily Sale entry '!Q691="Collection 收款"," ("&amp;'Daily Sale entry '!R691&amp;")","")&amp;IF('Daily Sale entry '!U691="",""," - "&amp;'Daily Sale entry '!U691))</f>
        <v/>
      </c>
      <c r="H691">
        <f>IF(C691="","",COUNTIFS($C$2:$C$3001,C691,$F$2:$F$3001,"&lt;"&amp;F691)+1)</f>
        <v/>
      </c>
      <c r="I691">
        <f>IF(C691="","",C691&amp;"|"&amp;H691)</f>
        <v/>
      </c>
      <c r="J691" s="6">
        <f>IF(C691="","",IF(H691=1,SUMIFS('Opening Balance'!$F$4:$F$303,'Opening Balance'!$G$4:$G$303,C691),INDEX($L$2:$L$3001,MATCH(C691&amp;"|"&amp;(H691-1),$I$2:$I$3001,0))))</f>
        <v/>
      </c>
      <c r="K691" s="6">
        <f>IF(C691="","",IF(M691&gt;0,M691,IF(AND(E691&gt;0,ROUND(J691+D691-E691,2)&gt;0,ROUND(J691+D691-E691,2)&lt;'Opening Balance'!$B$14),ROUND(J691+D691-E691,2),0)))</f>
        <v/>
      </c>
      <c r="L691" s="6">
        <f>IF(C691="","",ROUND(J691+D691-E691-K691,2))</f>
        <v/>
      </c>
      <c r="M691" s="6">
        <f>IF(C691="","",IF('Daily Sale entry '!Q691="Collection 收款",ROUND(N('Daily Sale entry '!T691),2),0))</f>
        <v/>
      </c>
    </row>
    <row r="692">
      <c r="A692" t="inlineStr">
        <is>
          <t>Entry 记录</t>
        </is>
      </c>
      <c r="B692" s="5">
        <f>IF('Daily Sale entry '!P692="","",'Daily Sale entry '!O692)</f>
        <v/>
      </c>
      <c r="C692">
        <f>IF('Daily Sale entry '!P692="","",'Daily Sale entry '!P692)</f>
        <v/>
      </c>
      <c r="D692">
        <f>IF(C692="","",IF('Daily Sale entry '!Q692="Credit Sale 赊销",'Daily Sale entry '!S692,0))</f>
        <v/>
      </c>
      <c r="E692">
        <f>IF(C692="","",IF('Daily Sale entry '!Q692="Collection 收款",'Daily Sale entry '!S692,0))</f>
        <v/>
      </c>
      <c r="F692" s="37">
        <f>IF(C692="","",B692+IF(E692&gt;0,0,0.5)+ROW()/10000000)</f>
        <v/>
      </c>
      <c r="G692">
        <f>IF(C692="","",'Daily Sale entry '!Q692&amp;IF('Daily Sale entry '!Q692="Collection 收款"," ("&amp;'Daily Sale entry '!R692&amp;")","")&amp;IF('Daily Sale entry '!U692="",""," - "&amp;'Daily Sale entry '!U692))</f>
        <v/>
      </c>
      <c r="H692">
        <f>IF(C692="","",COUNTIFS($C$2:$C$3001,C692,$F$2:$F$3001,"&lt;"&amp;F692)+1)</f>
        <v/>
      </c>
      <c r="I692">
        <f>IF(C692="","",C692&amp;"|"&amp;H692)</f>
        <v/>
      </c>
      <c r="J692" s="6">
        <f>IF(C692="","",IF(H692=1,SUMIFS('Opening Balance'!$F$4:$F$303,'Opening Balance'!$G$4:$G$303,C692),INDEX($L$2:$L$3001,MATCH(C692&amp;"|"&amp;(H692-1),$I$2:$I$3001,0))))</f>
        <v/>
      </c>
      <c r="K692" s="6">
        <f>IF(C692="","",IF(M692&gt;0,M692,IF(AND(E692&gt;0,ROUND(J692+D692-E692,2)&gt;0,ROUND(J692+D692-E692,2)&lt;'Opening Balance'!$B$14),ROUND(J692+D692-E692,2),0)))</f>
        <v/>
      </c>
      <c r="L692" s="6">
        <f>IF(C692="","",ROUND(J692+D692-E692-K692,2))</f>
        <v/>
      </c>
      <c r="M692" s="6">
        <f>IF(C692="","",IF('Daily Sale entry '!Q692="Collection 收款",ROUND(N('Daily Sale entry '!T692),2),0))</f>
        <v/>
      </c>
    </row>
    <row r="693">
      <c r="A693" t="inlineStr">
        <is>
          <t>Entry 记录</t>
        </is>
      </c>
      <c r="B693" s="5">
        <f>IF('Daily Sale entry '!P693="","",'Daily Sale entry '!O693)</f>
        <v/>
      </c>
      <c r="C693">
        <f>IF('Daily Sale entry '!P693="","",'Daily Sale entry '!P693)</f>
        <v/>
      </c>
      <c r="D693">
        <f>IF(C693="","",IF('Daily Sale entry '!Q693="Credit Sale 赊销",'Daily Sale entry '!S693,0))</f>
        <v/>
      </c>
      <c r="E693">
        <f>IF(C693="","",IF('Daily Sale entry '!Q693="Collection 收款",'Daily Sale entry '!S693,0))</f>
        <v/>
      </c>
      <c r="F693" s="37">
        <f>IF(C693="","",B693+IF(E693&gt;0,0,0.5)+ROW()/10000000)</f>
        <v/>
      </c>
      <c r="G693">
        <f>IF(C693="","",'Daily Sale entry '!Q693&amp;IF('Daily Sale entry '!Q693="Collection 收款"," ("&amp;'Daily Sale entry '!R693&amp;")","")&amp;IF('Daily Sale entry '!U693="",""," - "&amp;'Daily Sale entry '!U693))</f>
        <v/>
      </c>
      <c r="H693">
        <f>IF(C693="","",COUNTIFS($C$2:$C$3001,C693,$F$2:$F$3001,"&lt;"&amp;F693)+1)</f>
        <v/>
      </c>
      <c r="I693">
        <f>IF(C693="","",C693&amp;"|"&amp;H693)</f>
        <v/>
      </c>
      <c r="J693" s="6">
        <f>IF(C693="","",IF(H693=1,SUMIFS('Opening Balance'!$F$4:$F$303,'Opening Balance'!$G$4:$G$303,C693),INDEX($L$2:$L$3001,MATCH(C693&amp;"|"&amp;(H693-1),$I$2:$I$3001,0))))</f>
        <v/>
      </c>
      <c r="K693" s="6">
        <f>IF(C693="","",IF(M693&gt;0,M693,IF(AND(E693&gt;0,ROUND(J693+D693-E693,2)&gt;0,ROUND(J693+D693-E693,2)&lt;'Opening Balance'!$B$14),ROUND(J693+D693-E693,2),0)))</f>
        <v/>
      </c>
      <c r="L693" s="6">
        <f>IF(C693="","",ROUND(J693+D693-E693-K693,2))</f>
        <v/>
      </c>
      <c r="M693" s="6">
        <f>IF(C693="","",IF('Daily Sale entry '!Q693="Collection 收款",ROUND(N('Daily Sale entry '!T693),2),0))</f>
        <v/>
      </c>
    </row>
    <row r="694">
      <c r="A694" t="inlineStr">
        <is>
          <t>Entry 记录</t>
        </is>
      </c>
      <c r="B694" s="5">
        <f>IF('Daily Sale entry '!P694="","",'Daily Sale entry '!O694)</f>
        <v/>
      </c>
      <c r="C694">
        <f>IF('Daily Sale entry '!P694="","",'Daily Sale entry '!P694)</f>
        <v/>
      </c>
      <c r="D694">
        <f>IF(C694="","",IF('Daily Sale entry '!Q694="Credit Sale 赊销",'Daily Sale entry '!S694,0))</f>
        <v/>
      </c>
      <c r="E694">
        <f>IF(C694="","",IF('Daily Sale entry '!Q694="Collection 收款",'Daily Sale entry '!S694,0))</f>
        <v/>
      </c>
      <c r="F694" s="37">
        <f>IF(C694="","",B694+IF(E694&gt;0,0,0.5)+ROW()/10000000)</f>
        <v/>
      </c>
      <c r="G694">
        <f>IF(C694="","",'Daily Sale entry '!Q694&amp;IF('Daily Sale entry '!Q694="Collection 收款"," ("&amp;'Daily Sale entry '!R694&amp;")","")&amp;IF('Daily Sale entry '!U694="",""," - "&amp;'Daily Sale entry '!U694))</f>
        <v/>
      </c>
      <c r="H694">
        <f>IF(C694="","",COUNTIFS($C$2:$C$3001,C694,$F$2:$F$3001,"&lt;"&amp;F694)+1)</f>
        <v/>
      </c>
      <c r="I694">
        <f>IF(C694="","",C694&amp;"|"&amp;H694)</f>
        <v/>
      </c>
      <c r="J694" s="6">
        <f>IF(C694="","",IF(H694=1,SUMIFS('Opening Balance'!$F$4:$F$303,'Opening Balance'!$G$4:$G$303,C694),INDEX($L$2:$L$3001,MATCH(C694&amp;"|"&amp;(H694-1),$I$2:$I$3001,0))))</f>
        <v/>
      </c>
      <c r="K694" s="6">
        <f>IF(C694="","",IF(M694&gt;0,M694,IF(AND(E694&gt;0,ROUND(J694+D694-E694,2)&gt;0,ROUND(J694+D694-E694,2)&lt;'Opening Balance'!$B$14),ROUND(J694+D694-E694,2),0)))</f>
        <v/>
      </c>
      <c r="L694" s="6">
        <f>IF(C694="","",ROUND(J694+D694-E694-K694,2))</f>
        <v/>
      </c>
      <c r="M694" s="6">
        <f>IF(C694="","",IF('Daily Sale entry '!Q694="Collection 收款",ROUND(N('Daily Sale entry '!T694),2),0))</f>
        <v/>
      </c>
    </row>
    <row r="695">
      <c r="A695" t="inlineStr">
        <is>
          <t>Entry 记录</t>
        </is>
      </c>
      <c r="B695" s="5">
        <f>IF('Daily Sale entry '!P695="","",'Daily Sale entry '!O695)</f>
        <v/>
      </c>
      <c r="C695">
        <f>IF('Daily Sale entry '!P695="","",'Daily Sale entry '!P695)</f>
        <v/>
      </c>
      <c r="D695">
        <f>IF(C695="","",IF('Daily Sale entry '!Q695="Credit Sale 赊销",'Daily Sale entry '!S695,0))</f>
        <v/>
      </c>
      <c r="E695">
        <f>IF(C695="","",IF('Daily Sale entry '!Q695="Collection 收款",'Daily Sale entry '!S695,0))</f>
        <v/>
      </c>
      <c r="F695" s="37">
        <f>IF(C695="","",B695+IF(E695&gt;0,0,0.5)+ROW()/10000000)</f>
        <v/>
      </c>
      <c r="G695">
        <f>IF(C695="","",'Daily Sale entry '!Q695&amp;IF('Daily Sale entry '!Q695="Collection 收款"," ("&amp;'Daily Sale entry '!R695&amp;")","")&amp;IF('Daily Sale entry '!U695="",""," - "&amp;'Daily Sale entry '!U695))</f>
        <v/>
      </c>
      <c r="H695">
        <f>IF(C695="","",COUNTIFS($C$2:$C$3001,C695,$F$2:$F$3001,"&lt;"&amp;F695)+1)</f>
        <v/>
      </c>
      <c r="I695">
        <f>IF(C695="","",C695&amp;"|"&amp;H695)</f>
        <v/>
      </c>
      <c r="J695" s="6">
        <f>IF(C695="","",IF(H695=1,SUMIFS('Opening Balance'!$F$4:$F$303,'Opening Balance'!$G$4:$G$303,C695),INDEX($L$2:$L$3001,MATCH(C695&amp;"|"&amp;(H695-1),$I$2:$I$3001,0))))</f>
        <v/>
      </c>
      <c r="K695" s="6">
        <f>IF(C695="","",IF(M695&gt;0,M695,IF(AND(E695&gt;0,ROUND(J695+D695-E695,2)&gt;0,ROUND(J695+D695-E695,2)&lt;'Opening Balance'!$B$14),ROUND(J695+D695-E695,2),0)))</f>
        <v/>
      </c>
      <c r="L695" s="6">
        <f>IF(C695="","",ROUND(J695+D695-E695-K695,2))</f>
        <v/>
      </c>
      <c r="M695" s="6">
        <f>IF(C695="","",IF('Daily Sale entry '!Q695="Collection 收款",ROUND(N('Daily Sale entry '!T695),2),0))</f>
        <v/>
      </c>
    </row>
    <row r="696">
      <c r="A696" t="inlineStr">
        <is>
          <t>Entry 记录</t>
        </is>
      </c>
      <c r="B696" s="5">
        <f>IF('Daily Sale entry '!P696="","",'Daily Sale entry '!O696)</f>
        <v/>
      </c>
      <c r="C696">
        <f>IF('Daily Sale entry '!P696="","",'Daily Sale entry '!P696)</f>
        <v/>
      </c>
      <c r="D696">
        <f>IF(C696="","",IF('Daily Sale entry '!Q696="Credit Sale 赊销",'Daily Sale entry '!S696,0))</f>
        <v/>
      </c>
      <c r="E696">
        <f>IF(C696="","",IF('Daily Sale entry '!Q696="Collection 收款",'Daily Sale entry '!S696,0))</f>
        <v/>
      </c>
      <c r="F696" s="37">
        <f>IF(C696="","",B696+IF(E696&gt;0,0,0.5)+ROW()/10000000)</f>
        <v/>
      </c>
      <c r="G696">
        <f>IF(C696="","",'Daily Sale entry '!Q696&amp;IF('Daily Sale entry '!Q696="Collection 收款"," ("&amp;'Daily Sale entry '!R696&amp;")","")&amp;IF('Daily Sale entry '!U696="",""," - "&amp;'Daily Sale entry '!U696))</f>
        <v/>
      </c>
      <c r="H696">
        <f>IF(C696="","",COUNTIFS($C$2:$C$3001,C696,$F$2:$F$3001,"&lt;"&amp;F696)+1)</f>
        <v/>
      </c>
      <c r="I696">
        <f>IF(C696="","",C696&amp;"|"&amp;H696)</f>
        <v/>
      </c>
      <c r="J696" s="6">
        <f>IF(C696="","",IF(H696=1,SUMIFS('Opening Balance'!$F$4:$F$303,'Opening Balance'!$G$4:$G$303,C696),INDEX($L$2:$L$3001,MATCH(C696&amp;"|"&amp;(H696-1),$I$2:$I$3001,0))))</f>
        <v/>
      </c>
      <c r="K696" s="6">
        <f>IF(C696="","",IF(M696&gt;0,M696,IF(AND(E696&gt;0,ROUND(J696+D696-E696,2)&gt;0,ROUND(J696+D696-E696,2)&lt;'Opening Balance'!$B$14),ROUND(J696+D696-E696,2),0)))</f>
        <v/>
      </c>
      <c r="L696" s="6">
        <f>IF(C696="","",ROUND(J696+D696-E696-K696,2))</f>
        <v/>
      </c>
      <c r="M696" s="6">
        <f>IF(C696="","",IF('Daily Sale entry '!Q696="Collection 收款",ROUND(N('Daily Sale entry '!T696),2),0))</f>
        <v/>
      </c>
    </row>
    <row r="697">
      <c r="A697" t="inlineStr">
        <is>
          <t>Entry 记录</t>
        </is>
      </c>
      <c r="B697" s="5">
        <f>IF('Daily Sale entry '!P697="","",'Daily Sale entry '!O697)</f>
        <v/>
      </c>
      <c r="C697">
        <f>IF('Daily Sale entry '!P697="","",'Daily Sale entry '!P697)</f>
        <v/>
      </c>
      <c r="D697">
        <f>IF(C697="","",IF('Daily Sale entry '!Q697="Credit Sale 赊销",'Daily Sale entry '!S697,0))</f>
        <v/>
      </c>
      <c r="E697">
        <f>IF(C697="","",IF('Daily Sale entry '!Q697="Collection 收款",'Daily Sale entry '!S697,0))</f>
        <v/>
      </c>
      <c r="F697" s="37">
        <f>IF(C697="","",B697+IF(E697&gt;0,0,0.5)+ROW()/10000000)</f>
        <v/>
      </c>
      <c r="G697">
        <f>IF(C697="","",'Daily Sale entry '!Q697&amp;IF('Daily Sale entry '!Q697="Collection 收款"," ("&amp;'Daily Sale entry '!R697&amp;")","")&amp;IF('Daily Sale entry '!U697="",""," - "&amp;'Daily Sale entry '!U697))</f>
        <v/>
      </c>
      <c r="H697">
        <f>IF(C697="","",COUNTIFS($C$2:$C$3001,C697,$F$2:$F$3001,"&lt;"&amp;F697)+1)</f>
        <v/>
      </c>
      <c r="I697">
        <f>IF(C697="","",C697&amp;"|"&amp;H697)</f>
        <v/>
      </c>
      <c r="J697" s="6">
        <f>IF(C697="","",IF(H697=1,SUMIFS('Opening Balance'!$F$4:$F$303,'Opening Balance'!$G$4:$G$303,C697),INDEX($L$2:$L$3001,MATCH(C697&amp;"|"&amp;(H697-1),$I$2:$I$3001,0))))</f>
        <v/>
      </c>
      <c r="K697" s="6">
        <f>IF(C697="","",IF(M697&gt;0,M697,IF(AND(E697&gt;0,ROUND(J697+D697-E697,2)&gt;0,ROUND(J697+D697-E697,2)&lt;'Opening Balance'!$B$14),ROUND(J697+D697-E697,2),0)))</f>
        <v/>
      </c>
      <c r="L697" s="6">
        <f>IF(C697="","",ROUND(J697+D697-E697-K697,2))</f>
        <v/>
      </c>
      <c r="M697" s="6">
        <f>IF(C697="","",IF('Daily Sale entry '!Q697="Collection 收款",ROUND(N('Daily Sale entry '!T697),2),0))</f>
        <v/>
      </c>
    </row>
    <row r="698">
      <c r="A698" t="inlineStr">
        <is>
          <t>Entry 记录</t>
        </is>
      </c>
      <c r="B698" s="5">
        <f>IF('Daily Sale entry '!P698="","",'Daily Sale entry '!O698)</f>
        <v/>
      </c>
      <c r="C698">
        <f>IF('Daily Sale entry '!P698="","",'Daily Sale entry '!P698)</f>
        <v/>
      </c>
      <c r="D698">
        <f>IF(C698="","",IF('Daily Sale entry '!Q698="Credit Sale 赊销",'Daily Sale entry '!S698,0))</f>
        <v/>
      </c>
      <c r="E698">
        <f>IF(C698="","",IF('Daily Sale entry '!Q698="Collection 收款",'Daily Sale entry '!S698,0))</f>
        <v/>
      </c>
      <c r="F698" s="37">
        <f>IF(C698="","",B698+IF(E698&gt;0,0,0.5)+ROW()/10000000)</f>
        <v/>
      </c>
      <c r="G698">
        <f>IF(C698="","",'Daily Sale entry '!Q698&amp;IF('Daily Sale entry '!Q698="Collection 收款"," ("&amp;'Daily Sale entry '!R698&amp;")","")&amp;IF('Daily Sale entry '!U698="",""," - "&amp;'Daily Sale entry '!U698))</f>
        <v/>
      </c>
      <c r="H698">
        <f>IF(C698="","",COUNTIFS($C$2:$C$3001,C698,$F$2:$F$3001,"&lt;"&amp;F698)+1)</f>
        <v/>
      </c>
      <c r="I698">
        <f>IF(C698="","",C698&amp;"|"&amp;H698)</f>
        <v/>
      </c>
      <c r="J698" s="6">
        <f>IF(C698="","",IF(H698=1,SUMIFS('Opening Balance'!$F$4:$F$303,'Opening Balance'!$G$4:$G$303,C698),INDEX($L$2:$L$3001,MATCH(C698&amp;"|"&amp;(H698-1),$I$2:$I$3001,0))))</f>
        <v/>
      </c>
      <c r="K698" s="6">
        <f>IF(C698="","",IF(M698&gt;0,M698,IF(AND(E698&gt;0,ROUND(J698+D698-E698,2)&gt;0,ROUND(J698+D698-E698,2)&lt;'Opening Balance'!$B$14),ROUND(J698+D698-E698,2),0)))</f>
        <v/>
      </c>
      <c r="L698" s="6">
        <f>IF(C698="","",ROUND(J698+D698-E698-K698,2))</f>
        <v/>
      </c>
      <c r="M698" s="6">
        <f>IF(C698="","",IF('Daily Sale entry '!Q698="Collection 收款",ROUND(N('Daily Sale entry '!T698),2),0))</f>
        <v/>
      </c>
    </row>
    <row r="699">
      <c r="A699" t="inlineStr">
        <is>
          <t>Entry 记录</t>
        </is>
      </c>
      <c r="B699" s="5">
        <f>IF('Daily Sale entry '!P699="","",'Daily Sale entry '!O699)</f>
        <v/>
      </c>
      <c r="C699">
        <f>IF('Daily Sale entry '!P699="","",'Daily Sale entry '!P699)</f>
        <v/>
      </c>
      <c r="D699">
        <f>IF(C699="","",IF('Daily Sale entry '!Q699="Credit Sale 赊销",'Daily Sale entry '!S699,0))</f>
        <v/>
      </c>
      <c r="E699">
        <f>IF(C699="","",IF('Daily Sale entry '!Q699="Collection 收款",'Daily Sale entry '!S699,0))</f>
        <v/>
      </c>
      <c r="F699" s="37">
        <f>IF(C699="","",B699+IF(E699&gt;0,0,0.5)+ROW()/10000000)</f>
        <v/>
      </c>
      <c r="G699">
        <f>IF(C699="","",'Daily Sale entry '!Q699&amp;IF('Daily Sale entry '!Q699="Collection 收款"," ("&amp;'Daily Sale entry '!R699&amp;")","")&amp;IF('Daily Sale entry '!U699="",""," - "&amp;'Daily Sale entry '!U699))</f>
        <v/>
      </c>
      <c r="H699">
        <f>IF(C699="","",COUNTIFS($C$2:$C$3001,C699,$F$2:$F$3001,"&lt;"&amp;F699)+1)</f>
        <v/>
      </c>
      <c r="I699">
        <f>IF(C699="","",C699&amp;"|"&amp;H699)</f>
        <v/>
      </c>
      <c r="J699" s="6">
        <f>IF(C699="","",IF(H699=1,SUMIFS('Opening Balance'!$F$4:$F$303,'Opening Balance'!$G$4:$G$303,C699),INDEX($L$2:$L$3001,MATCH(C699&amp;"|"&amp;(H699-1),$I$2:$I$3001,0))))</f>
        <v/>
      </c>
      <c r="K699" s="6">
        <f>IF(C699="","",IF(M699&gt;0,M699,IF(AND(E699&gt;0,ROUND(J699+D699-E699,2)&gt;0,ROUND(J699+D699-E699,2)&lt;'Opening Balance'!$B$14),ROUND(J699+D699-E699,2),0)))</f>
        <v/>
      </c>
      <c r="L699" s="6">
        <f>IF(C699="","",ROUND(J699+D699-E699-K699,2))</f>
        <v/>
      </c>
      <c r="M699" s="6">
        <f>IF(C699="","",IF('Daily Sale entry '!Q699="Collection 收款",ROUND(N('Daily Sale entry '!T699),2),0))</f>
        <v/>
      </c>
    </row>
    <row r="700">
      <c r="A700" t="inlineStr">
        <is>
          <t>Entry 记录</t>
        </is>
      </c>
      <c r="B700" s="5">
        <f>IF('Daily Sale entry '!P700="","",'Daily Sale entry '!O700)</f>
        <v/>
      </c>
      <c r="C700">
        <f>IF('Daily Sale entry '!P700="","",'Daily Sale entry '!P700)</f>
        <v/>
      </c>
      <c r="D700">
        <f>IF(C700="","",IF('Daily Sale entry '!Q700="Credit Sale 赊销",'Daily Sale entry '!S700,0))</f>
        <v/>
      </c>
      <c r="E700">
        <f>IF(C700="","",IF('Daily Sale entry '!Q700="Collection 收款",'Daily Sale entry '!S700,0))</f>
        <v/>
      </c>
      <c r="F700" s="37">
        <f>IF(C700="","",B700+IF(E700&gt;0,0,0.5)+ROW()/10000000)</f>
        <v/>
      </c>
      <c r="G700">
        <f>IF(C700="","",'Daily Sale entry '!Q700&amp;IF('Daily Sale entry '!Q700="Collection 收款"," ("&amp;'Daily Sale entry '!R700&amp;")","")&amp;IF('Daily Sale entry '!U700="",""," - "&amp;'Daily Sale entry '!U700))</f>
        <v/>
      </c>
      <c r="H700">
        <f>IF(C700="","",COUNTIFS($C$2:$C$3001,C700,$F$2:$F$3001,"&lt;"&amp;F700)+1)</f>
        <v/>
      </c>
      <c r="I700">
        <f>IF(C700="","",C700&amp;"|"&amp;H700)</f>
        <v/>
      </c>
      <c r="J700" s="6">
        <f>IF(C700="","",IF(H700=1,SUMIFS('Opening Balance'!$F$4:$F$303,'Opening Balance'!$G$4:$G$303,C700),INDEX($L$2:$L$3001,MATCH(C700&amp;"|"&amp;(H700-1),$I$2:$I$3001,0))))</f>
        <v/>
      </c>
      <c r="K700" s="6">
        <f>IF(C700="","",IF(M700&gt;0,M700,IF(AND(E700&gt;0,ROUND(J700+D700-E700,2)&gt;0,ROUND(J700+D700-E700,2)&lt;'Opening Balance'!$B$14),ROUND(J700+D700-E700,2),0)))</f>
        <v/>
      </c>
      <c r="L700" s="6">
        <f>IF(C700="","",ROUND(J700+D700-E700-K700,2))</f>
        <v/>
      </c>
      <c r="M700" s="6">
        <f>IF(C700="","",IF('Daily Sale entry '!Q700="Collection 收款",ROUND(N('Daily Sale entry '!T700),2),0))</f>
        <v/>
      </c>
    </row>
    <row r="701">
      <c r="A701" t="inlineStr">
        <is>
          <t>Entry 记录</t>
        </is>
      </c>
      <c r="B701" s="5">
        <f>IF('Daily Sale entry '!P701="","",'Daily Sale entry '!O701)</f>
        <v/>
      </c>
      <c r="C701">
        <f>IF('Daily Sale entry '!P701="","",'Daily Sale entry '!P701)</f>
        <v/>
      </c>
      <c r="D701">
        <f>IF(C701="","",IF('Daily Sale entry '!Q701="Credit Sale 赊销",'Daily Sale entry '!S701,0))</f>
        <v/>
      </c>
      <c r="E701">
        <f>IF(C701="","",IF('Daily Sale entry '!Q701="Collection 收款",'Daily Sale entry '!S701,0))</f>
        <v/>
      </c>
      <c r="F701" s="37">
        <f>IF(C701="","",B701+IF(E701&gt;0,0,0.5)+ROW()/10000000)</f>
        <v/>
      </c>
      <c r="G701">
        <f>IF(C701="","",'Daily Sale entry '!Q701&amp;IF('Daily Sale entry '!Q701="Collection 收款"," ("&amp;'Daily Sale entry '!R701&amp;")","")&amp;IF('Daily Sale entry '!U701="",""," - "&amp;'Daily Sale entry '!U701))</f>
        <v/>
      </c>
      <c r="H701">
        <f>IF(C701="","",COUNTIFS($C$2:$C$3001,C701,$F$2:$F$3001,"&lt;"&amp;F701)+1)</f>
        <v/>
      </c>
      <c r="I701">
        <f>IF(C701="","",C701&amp;"|"&amp;H701)</f>
        <v/>
      </c>
      <c r="J701" s="6">
        <f>IF(C701="","",IF(H701=1,SUMIFS('Opening Balance'!$F$4:$F$303,'Opening Balance'!$G$4:$G$303,C701),INDEX($L$2:$L$3001,MATCH(C701&amp;"|"&amp;(H701-1),$I$2:$I$3001,0))))</f>
        <v/>
      </c>
      <c r="K701" s="6">
        <f>IF(C701="","",IF(M701&gt;0,M701,IF(AND(E701&gt;0,ROUND(J701+D701-E701,2)&gt;0,ROUND(J701+D701-E701,2)&lt;'Opening Balance'!$B$14),ROUND(J701+D701-E701,2),0)))</f>
        <v/>
      </c>
      <c r="L701" s="6">
        <f>IF(C701="","",ROUND(J701+D701-E701-K701,2))</f>
        <v/>
      </c>
      <c r="M701" s="6">
        <f>IF(C701="","",IF('Daily Sale entry '!Q701="Collection 收款",ROUND(N('Daily Sale entry '!T701),2),0))</f>
        <v/>
      </c>
    </row>
    <row r="702">
      <c r="A702" t="inlineStr">
        <is>
          <t>Entry 记录</t>
        </is>
      </c>
      <c r="B702" s="5">
        <f>IF('Daily Sale entry '!P702="","",'Daily Sale entry '!O702)</f>
        <v/>
      </c>
      <c r="C702">
        <f>IF('Daily Sale entry '!P702="","",'Daily Sale entry '!P702)</f>
        <v/>
      </c>
      <c r="D702">
        <f>IF(C702="","",IF('Daily Sale entry '!Q702="Credit Sale 赊销",'Daily Sale entry '!S702,0))</f>
        <v/>
      </c>
      <c r="E702">
        <f>IF(C702="","",IF('Daily Sale entry '!Q702="Collection 收款",'Daily Sale entry '!S702,0))</f>
        <v/>
      </c>
      <c r="F702" s="37">
        <f>IF(C702="","",B702+IF(E702&gt;0,0,0.5)+ROW()/10000000)</f>
        <v/>
      </c>
      <c r="G702">
        <f>IF(C702="","",'Daily Sale entry '!Q702&amp;IF('Daily Sale entry '!Q702="Collection 收款"," ("&amp;'Daily Sale entry '!R702&amp;")","")&amp;IF('Daily Sale entry '!U702="",""," - "&amp;'Daily Sale entry '!U702))</f>
        <v/>
      </c>
      <c r="H702">
        <f>IF(C702="","",COUNTIFS($C$2:$C$3001,C702,$F$2:$F$3001,"&lt;"&amp;F702)+1)</f>
        <v/>
      </c>
      <c r="I702">
        <f>IF(C702="","",C702&amp;"|"&amp;H702)</f>
        <v/>
      </c>
      <c r="J702" s="6">
        <f>IF(C702="","",IF(H702=1,SUMIFS('Opening Balance'!$F$4:$F$303,'Opening Balance'!$G$4:$G$303,C702),INDEX($L$2:$L$3001,MATCH(C702&amp;"|"&amp;(H702-1),$I$2:$I$3001,0))))</f>
        <v/>
      </c>
      <c r="K702" s="6">
        <f>IF(C702="","",IF(M702&gt;0,M702,IF(AND(E702&gt;0,ROUND(J702+D702-E702,2)&gt;0,ROUND(J702+D702-E702,2)&lt;'Opening Balance'!$B$14),ROUND(J702+D702-E702,2),0)))</f>
        <v/>
      </c>
      <c r="L702" s="6">
        <f>IF(C702="","",ROUND(J702+D702-E702-K702,2))</f>
        <v/>
      </c>
      <c r="M702" s="6">
        <f>IF(C702="","",IF('Daily Sale entry '!Q702="Collection 收款",ROUND(N('Daily Sale entry '!T702),2),0))</f>
        <v/>
      </c>
    </row>
    <row r="703">
      <c r="A703" t="inlineStr">
        <is>
          <t>Entry 记录</t>
        </is>
      </c>
      <c r="B703" s="5">
        <f>IF('Daily Sale entry '!P703="","",'Daily Sale entry '!O703)</f>
        <v/>
      </c>
      <c r="C703">
        <f>IF('Daily Sale entry '!P703="","",'Daily Sale entry '!P703)</f>
        <v/>
      </c>
      <c r="D703">
        <f>IF(C703="","",IF('Daily Sale entry '!Q703="Credit Sale 赊销",'Daily Sale entry '!S703,0))</f>
        <v/>
      </c>
      <c r="E703">
        <f>IF(C703="","",IF('Daily Sale entry '!Q703="Collection 收款",'Daily Sale entry '!S703,0))</f>
        <v/>
      </c>
      <c r="F703" s="37">
        <f>IF(C703="","",B703+IF(E703&gt;0,0,0.5)+ROW()/10000000)</f>
        <v/>
      </c>
      <c r="G703">
        <f>IF(C703="","",'Daily Sale entry '!Q703&amp;IF('Daily Sale entry '!Q703="Collection 收款"," ("&amp;'Daily Sale entry '!R703&amp;")","")&amp;IF('Daily Sale entry '!U703="",""," - "&amp;'Daily Sale entry '!U703))</f>
        <v/>
      </c>
      <c r="H703">
        <f>IF(C703="","",COUNTIFS($C$2:$C$3001,C703,$F$2:$F$3001,"&lt;"&amp;F703)+1)</f>
        <v/>
      </c>
      <c r="I703">
        <f>IF(C703="","",C703&amp;"|"&amp;H703)</f>
        <v/>
      </c>
      <c r="J703" s="6">
        <f>IF(C703="","",IF(H703=1,SUMIFS('Opening Balance'!$F$4:$F$303,'Opening Balance'!$G$4:$G$303,C703),INDEX($L$2:$L$3001,MATCH(C703&amp;"|"&amp;(H703-1),$I$2:$I$3001,0))))</f>
        <v/>
      </c>
      <c r="K703" s="6">
        <f>IF(C703="","",IF(M703&gt;0,M703,IF(AND(E703&gt;0,ROUND(J703+D703-E703,2)&gt;0,ROUND(J703+D703-E703,2)&lt;'Opening Balance'!$B$14),ROUND(J703+D703-E703,2),0)))</f>
        <v/>
      </c>
      <c r="L703" s="6">
        <f>IF(C703="","",ROUND(J703+D703-E703-K703,2))</f>
        <v/>
      </c>
      <c r="M703" s="6">
        <f>IF(C703="","",IF('Daily Sale entry '!Q703="Collection 收款",ROUND(N('Daily Sale entry '!T703),2),0))</f>
        <v/>
      </c>
    </row>
    <row r="704">
      <c r="A704" t="inlineStr">
        <is>
          <t>Entry 记录</t>
        </is>
      </c>
      <c r="B704" s="5">
        <f>IF('Daily Sale entry '!P704="","",'Daily Sale entry '!O704)</f>
        <v/>
      </c>
      <c r="C704">
        <f>IF('Daily Sale entry '!P704="","",'Daily Sale entry '!P704)</f>
        <v/>
      </c>
      <c r="D704">
        <f>IF(C704="","",IF('Daily Sale entry '!Q704="Credit Sale 赊销",'Daily Sale entry '!S704,0))</f>
        <v/>
      </c>
      <c r="E704">
        <f>IF(C704="","",IF('Daily Sale entry '!Q704="Collection 收款",'Daily Sale entry '!S704,0))</f>
        <v/>
      </c>
      <c r="F704" s="37">
        <f>IF(C704="","",B704+IF(E704&gt;0,0,0.5)+ROW()/10000000)</f>
        <v/>
      </c>
      <c r="G704">
        <f>IF(C704="","",'Daily Sale entry '!Q704&amp;IF('Daily Sale entry '!Q704="Collection 收款"," ("&amp;'Daily Sale entry '!R704&amp;")","")&amp;IF('Daily Sale entry '!U704="",""," - "&amp;'Daily Sale entry '!U704))</f>
        <v/>
      </c>
      <c r="H704">
        <f>IF(C704="","",COUNTIFS($C$2:$C$3001,C704,$F$2:$F$3001,"&lt;"&amp;F704)+1)</f>
        <v/>
      </c>
      <c r="I704">
        <f>IF(C704="","",C704&amp;"|"&amp;H704)</f>
        <v/>
      </c>
      <c r="J704" s="6">
        <f>IF(C704="","",IF(H704=1,SUMIFS('Opening Balance'!$F$4:$F$303,'Opening Balance'!$G$4:$G$303,C704),INDEX($L$2:$L$3001,MATCH(C704&amp;"|"&amp;(H704-1),$I$2:$I$3001,0))))</f>
        <v/>
      </c>
      <c r="K704" s="6">
        <f>IF(C704="","",IF(M704&gt;0,M704,IF(AND(E704&gt;0,ROUND(J704+D704-E704,2)&gt;0,ROUND(J704+D704-E704,2)&lt;'Opening Balance'!$B$14),ROUND(J704+D704-E704,2),0)))</f>
        <v/>
      </c>
      <c r="L704" s="6">
        <f>IF(C704="","",ROUND(J704+D704-E704-K704,2))</f>
        <v/>
      </c>
      <c r="M704" s="6">
        <f>IF(C704="","",IF('Daily Sale entry '!Q704="Collection 收款",ROUND(N('Daily Sale entry '!T704),2),0))</f>
        <v/>
      </c>
    </row>
    <row r="705">
      <c r="A705" t="inlineStr">
        <is>
          <t>Entry 记录</t>
        </is>
      </c>
      <c r="B705" s="5">
        <f>IF('Daily Sale entry '!P705="","",'Daily Sale entry '!O705)</f>
        <v/>
      </c>
      <c r="C705">
        <f>IF('Daily Sale entry '!P705="","",'Daily Sale entry '!P705)</f>
        <v/>
      </c>
      <c r="D705">
        <f>IF(C705="","",IF('Daily Sale entry '!Q705="Credit Sale 赊销",'Daily Sale entry '!S705,0))</f>
        <v/>
      </c>
      <c r="E705">
        <f>IF(C705="","",IF('Daily Sale entry '!Q705="Collection 收款",'Daily Sale entry '!S705,0))</f>
        <v/>
      </c>
      <c r="F705" s="37">
        <f>IF(C705="","",B705+IF(E705&gt;0,0,0.5)+ROW()/10000000)</f>
        <v/>
      </c>
      <c r="G705">
        <f>IF(C705="","",'Daily Sale entry '!Q705&amp;IF('Daily Sale entry '!Q705="Collection 收款"," ("&amp;'Daily Sale entry '!R705&amp;")","")&amp;IF('Daily Sale entry '!U705="",""," - "&amp;'Daily Sale entry '!U705))</f>
        <v/>
      </c>
      <c r="H705">
        <f>IF(C705="","",COUNTIFS($C$2:$C$3001,C705,$F$2:$F$3001,"&lt;"&amp;F705)+1)</f>
        <v/>
      </c>
      <c r="I705">
        <f>IF(C705="","",C705&amp;"|"&amp;H705)</f>
        <v/>
      </c>
      <c r="J705" s="6">
        <f>IF(C705="","",IF(H705=1,SUMIFS('Opening Balance'!$F$4:$F$303,'Opening Balance'!$G$4:$G$303,C705),INDEX($L$2:$L$3001,MATCH(C705&amp;"|"&amp;(H705-1),$I$2:$I$3001,0))))</f>
        <v/>
      </c>
      <c r="K705" s="6">
        <f>IF(C705="","",IF(M705&gt;0,M705,IF(AND(E705&gt;0,ROUND(J705+D705-E705,2)&gt;0,ROUND(J705+D705-E705,2)&lt;'Opening Balance'!$B$14),ROUND(J705+D705-E705,2),0)))</f>
        <v/>
      </c>
      <c r="L705" s="6">
        <f>IF(C705="","",ROUND(J705+D705-E705-K705,2))</f>
        <v/>
      </c>
      <c r="M705" s="6">
        <f>IF(C705="","",IF('Daily Sale entry '!Q705="Collection 收款",ROUND(N('Daily Sale entry '!T705),2),0))</f>
        <v/>
      </c>
    </row>
    <row r="706">
      <c r="A706" t="inlineStr">
        <is>
          <t>Entry 记录</t>
        </is>
      </c>
      <c r="B706" s="5">
        <f>IF('Daily Sale entry '!P706="","",'Daily Sale entry '!O706)</f>
        <v/>
      </c>
      <c r="C706">
        <f>IF('Daily Sale entry '!P706="","",'Daily Sale entry '!P706)</f>
        <v/>
      </c>
      <c r="D706">
        <f>IF(C706="","",IF('Daily Sale entry '!Q706="Credit Sale 赊销",'Daily Sale entry '!S706,0))</f>
        <v/>
      </c>
      <c r="E706">
        <f>IF(C706="","",IF('Daily Sale entry '!Q706="Collection 收款",'Daily Sale entry '!S706,0))</f>
        <v/>
      </c>
      <c r="F706" s="37">
        <f>IF(C706="","",B706+IF(E706&gt;0,0,0.5)+ROW()/10000000)</f>
        <v/>
      </c>
      <c r="G706">
        <f>IF(C706="","",'Daily Sale entry '!Q706&amp;IF('Daily Sale entry '!Q706="Collection 收款"," ("&amp;'Daily Sale entry '!R706&amp;")","")&amp;IF('Daily Sale entry '!U706="",""," - "&amp;'Daily Sale entry '!U706))</f>
        <v/>
      </c>
      <c r="H706">
        <f>IF(C706="","",COUNTIFS($C$2:$C$3001,C706,$F$2:$F$3001,"&lt;"&amp;F706)+1)</f>
        <v/>
      </c>
      <c r="I706">
        <f>IF(C706="","",C706&amp;"|"&amp;H706)</f>
        <v/>
      </c>
      <c r="J706" s="6">
        <f>IF(C706="","",IF(H706=1,SUMIFS('Opening Balance'!$F$4:$F$303,'Opening Balance'!$G$4:$G$303,C706),INDEX($L$2:$L$3001,MATCH(C706&amp;"|"&amp;(H706-1),$I$2:$I$3001,0))))</f>
        <v/>
      </c>
      <c r="K706" s="6">
        <f>IF(C706="","",IF(M706&gt;0,M706,IF(AND(E706&gt;0,ROUND(J706+D706-E706,2)&gt;0,ROUND(J706+D706-E706,2)&lt;'Opening Balance'!$B$14),ROUND(J706+D706-E706,2),0)))</f>
        <v/>
      </c>
      <c r="L706" s="6">
        <f>IF(C706="","",ROUND(J706+D706-E706-K706,2))</f>
        <v/>
      </c>
      <c r="M706" s="6">
        <f>IF(C706="","",IF('Daily Sale entry '!Q706="Collection 收款",ROUND(N('Daily Sale entry '!T706),2),0))</f>
        <v/>
      </c>
    </row>
    <row r="707">
      <c r="A707" t="inlineStr">
        <is>
          <t>Entry 记录</t>
        </is>
      </c>
      <c r="B707" s="5">
        <f>IF('Daily Sale entry '!P707="","",'Daily Sale entry '!O707)</f>
        <v/>
      </c>
      <c r="C707">
        <f>IF('Daily Sale entry '!P707="","",'Daily Sale entry '!P707)</f>
        <v/>
      </c>
      <c r="D707">
        <f>IF(C707="","",IF('Daily Sale entry '!Q707="Credit Sale 赊销",'Daily Sale entry '!S707,0))</f>
        <v/>
      </c>
      <c r="E707">
        <f>IF(C707="","",IF('Daily Sale entry '!Q707="Collection 收款",'Daily Sale entry '!S707,0))</f>
        <v/>
      </c>
      <c r="F707" s="37">
        <f>IF(C707="","",B707+IF(E707&gt;0,0,0.5)+ROW()/10000000)</f>
        <v/>
      </c>
      <c r="G707">
        <f>IF(C707="","",'Daily Sale entry '!Q707&amp;IF('Daily Sale entry '!Q707="Collection 收款"," ("&amp;'Daily Sale entry '!R707&amp;")","")&amp;IF('Daily Sale entry '!U707="",""," - "&amp;'Daily Sale entry '!U707))</f>
        <v/>
      </c>
      <c r="H707">
        <f>IF(C707="","",COUNTIFS($C$2:$C$3001,C707,$F$2:$F$3001,"&lt;"&amp;F707)+1)</f>
        <v/>
      </c>
      <c r="I707">
        <f>IF(C707="","",C707&amp;"|"&amp;H707)</f>
        <v/>
      </c>
      <c r="J707" s="6">
        <f>IF(C707="","",IF(H707=1,SUMIFS('Opening Balance'!$F$4:$F$303,'Opening Balance'!$G$4:$G$303,C707),INDEX($L$2:$L$3001,MATCH(C707&amp;"|"&amp;(H707-1),$I$2:$I$3001,0))))</f>
        <v/>
      </c>
      <c r="K707" s="6">
        <f>IF(C707="","",IF(M707&gt;0,M707,IF(AND(E707&gt;0,ROUND(J707+D707-E707,2)&gt;0,ROUND(J707+D707-E707,2)&lt;'Opening Balance'!$B$14),ROUND(J707+D707-E707,2),0)))</f>
        <v/>
      </c>
      <c r="L707" s="6">
        <f>IF(C707="","",ROUND(J707+D707-E707-K707,2))</f>
        <v/>
      </c>
      <c r="M707" s="6">
        <f>IF(C707="","",IF('Daily Sale entry '!Q707="Collection 收款",ROUND(N('Daily Sale entry '!T707),2),0))</f>
        <v/>
      </c>
    </row>
    <row r="708">
      <c r="A708" t="inlineStr">
        <is>
          <t>Entry 记录</t>
        </is>
      </c>
      <c r="B708" s="5">
        <f>IF('Daily Sale entry '!P708="","",'Daily Sale entry '!O708)</f>
        <v/>
      </c>
      <c r="C708">
        <f>IF('Daily Sale entry '!P708="","",'Daily Sale entry '!P708)</f>
        <v/>
      </c>
      <c r="D708">
        <f>IF(C708="","",IF('Daily Sale entry '!Q708="Credit Sale 赊销",'Daily Sale entry '!S708,0))</f>
        <v/>
      </c>
      <c r="E708">
        <f>IF(C708="","",IF('Daily Sale entry '!Q708="Collection 收款",'Daily Sale entry '!S708,0))</f>
        <v/>
      </c>
      <c r="F708" s="37">
        <f>IF(C708="","",B708+IF(E708&gt;0,0,0.5)+ROW()/10000000)</f>
        <v/>
      </c>
      <c r="G708">
        <f>IF(C708="","",'Daily Sale entry '!Q708&amp;IF('Daily Sale entry '!Q708="Collection 收款"," ("&amp;'Daily Sale entry '!R708&amp;")","")&amp;IF('Daily Sale entry '!U708="",""," - "&amp;'Daily Sale entry '!U708))</f>
        <v/>
      </c>
      <c r="H708">
        <f>IF(C708="","",COUNTIFS($C$2:$C$3001,C708,$F$2:$F$3001,"&lt;"&amp;F708)+1)</f>
        <v/>
      </c>
      <c r="I708">
        <f>IF(C708="","",C708&amp;"|"&amp;H708)</f>
        <v/>
      </c>
      <c r="J708" s="6">
        <f>IF(C708="","",IF(H708=1,SUMIFS('Opening Balance'!$F$4:$F$303,'Opening Balance'!$G$4:$G$303,C708),INDEX($L$2:$L$3001,MATCH(C708&amp;"|"&amp;(H708-1),$I$2:$I$3001,0))))</f>
        <v/>
      </c>
      <c r="K708" s="6">
        <f>IF(C708="","",IF(M708&gt;0,M708,IF(AND(E708&gt;0,ROUND(J708+D708-E708,2)&gt;0,ROUND(J708+D708-E708,2)&lt;'Opening Balance'!$B$14),ROUND(J708+D708-E708,2),0)))</f>
        <v/>
      </c>
      <c r="L708" s="6">
        <f>IF(C708="","",ROUND(J708+D708-E708-K708,2))</f>
        <v/>
      </c>
      <c r="M708" s="6">
        <f>IF(C708="","",IF('Daily Sale entry '!Q708="Collection 收款",ROUND(N('Daily Sale entry '!T708),2),0))</f>
        <v/>
      </c>
    </row>
    <row r="709">
      <c r="A709" t="inlineStr">
        <is>
          <t>Entry 记录</t>
        </is>
      </c>
      <c r="B709" s="5">
        <f>IF('Daily Sale entry '!P709="","",'Daily Sale entry '!O709)</f>
        <v/>
      </c>
      <c r="C709">
        <f>IF('Daily Sale entry '!P709="","",'Daily Sale entry '!P709)</f>
        <v/>
      </c>
      <c r="D709">
        <f>IF(C709="","",IF('Daily Sale entry '!Q709="Credit Sale 赊销",'Daily Sale entry '!S709,0))</f>
        <v/>
      </c>
      <c r="E709">
        <f>IF(C709="","",IF('Daily Sale entry '!Q709="Collection 收款",'Daily Sale entry '!S709,0))</f>
        <v/>
      </c>
      <c r="F709" s="37">
        <f>IF(C709="","",B709+IF(E709&gt;0,0,0.5)+ROW()/10000000)</f>
        <v/>
      </c>
      <c r="G709">
        <f>IF(C709="","",'Daily Sale entry '!Q709&amp;IF('Daily Sale entry '!Q709="Collection 收款"," ("&amp;'Daily Sale entry '!R709&amp;")","")&amp;IF('Daily Sale entry '!U709="",""," - "&amp;'Daily Sale entry '!U709))</f>
        <v/>
      </c>
      <c r="H709">
        <f>IF(C709="","",COUNTIFS($C$2:$C$3001,C709,$F$2:$F$3001,"&lt;"&amp;F709)+1)</f>
        <v/>
      </c>
      <c r="I709">
        <f>IF(C709="","",C709&amp;"|"&amp;H709)</f>
        <v/>
      </c>
      <c r="J709" s="6">
        <f>IF(C709="","",IF(H709=1,SUMIFS('Opening Balance'!$F$4:$F$303,'Opening Balance'!$G$4:$G$303,C709),INDEX($L$2:$L$3001,MATCH(C709&amp;"|"&amp;(H709-1),$I$2:$I$3001,0))))</f>
        <v/>
      </c>
      <c r="K709" s="6">
        <f>IF(C709="","",IF(M709&gt;0,M709,IF(AND(E709&gt;0,ROUND(J709+D709-E709,2)&gt;0,ROUND(J709+D709-E709,2)&lt;'Opening Balance'!$B$14),ROUND(J709+D709-E709,2),0)))</f>
        <v/>
      </c>
      <c r="L709" s="6">
        <f>IF(C709="","",ROUND(J709+D709-E709-K709,2))</f>
        <v/>
      </c>
      <c r="M709" s="6">
        <f>IF(C709="","",IF('Daily Sale entry '!Q709="Collection 收款",ROUND(N('Daily Sale entry '!T709),2),0))</f>
        <v/>
      </c>
    </row>
    <row r="710">
      <c r="A710" t="inlineStr">
        <is>
          <t>Entry 记录</t>
        </is>
      </c>
      <c r="B710" s="5">
        <f>IF('Daily Sale entry '!P710="","",'Daily Sale entry '!O710)</f>
        <v/>
      </c>
      <c r="C710">
        <f>IF('Daily Sale entry '!P710="","",'Daily Sale entry '!P710)</f>
        <v/>
      </c>
      <c r="D710">
        <f>IF(C710="","",IF('Daily Sale entry '!Q710="Credit Sale 赊销",'Daily Sale entry '!S710,0))</f>
        <v/>
      </c>
      <c r="E710">
        <f>IF(C710="","",IF('Daily Sale entry '!Q710="Collection 收款",'Daily Sale entry '!S710,0))</f>
        <v/>
      </c>
      <c r="F710" s="37">
        <f>IF(C710="","",B710+IF(E710&gt;0,0,0.5)+ROW()/10000000)</f>
        <v/>
      </c>
      <c r="G710">
        <f>IF(C710="","",'Daily Sale entry '!Q710&amp;IF('Daily Sale entry '!Q710="Collection 收款"," ("&amp;'Daily Sale entry '!R710&amp;")","")&amp;IF('Daily Sale entry '!U710="",""," - "&amp;'Daily Sale entry '!U710))</f>
        <v/>
      </c>
      <c r="H710">
        <f>IF(C710="","",COUNTIFS($C$2:$C$3001,C710,$F$2:$F$3001,"&lt;"&amp;F710)+1)</f>
        <v/>
      </c>
      <c r="I710">
        <f>IF(C710="","",C710&amp;"|"&amp;H710)</f>
        <v/>
      </c>
      <c r="J710" s="6">
        <f>IF(C710="","",IF(H710=1,SUMIFS('Opening Balance'!$F$4:$F$303,'Opening Balance'!$G$4:$G$303,C710),INDEX($L$2:$L$3001,MATCH(C710&amp;"|"&amp;(H710-1),$I$2:$I$3001,0))))</f>
        <v/>
      </c>
      <c r="K710" s="6">
        <f>IF(C710="","",IF(M710&gt;0,M710,IF(AND(E710&gt;0,ROUND(J710+D710-E710,2)&gt;0,ROUND(J710+D710-E710,2)&lt;'Opening Balance'!$B$14),ROUND(J710+D710-E710,2),0)))</f>
        <v/>
      </c>
      <c r="L710" s="6">
        <f>IF(C710="","",ROUND(J710+D710-E710-K710,2))</f>
        <v/>
      </c>
      <c r="M710" s="6">
        <f>IF(C710="","",IF('Daily Sale entry '!Q710="Collection 收款",ROUND(N('Daily Sale entry '!T710),2),0))</f>
        <v/>
      </c>
    </row>
    <row r="711">
      <c r="A711" t="inlineStr">
        <is>
          <t>Entry 记录</t>
        </is>
      </c>
      <c r="B711" s="5">
        <f>IF('Daily Sale entry '!P711="","",'Daily Sale entry '!O711)</f>
        <v/>
      </c>
      <c r="C711">
        <f>IF('Daily Sale entry '!P711="","",'Daily Sale entry '!P711)</f>
        <v/>
      </c>
      <c r="D711">
        <f>IF(C711="","",IF('Daily Sale entry '!Q711="Credit Sale 赊销",'Daily Sale entry '!S711,0))</f>
        <v/>
      </c>
      <c r="E711">
        <f>IF(C711="","",IF('Daily Sale entry '!Q711="Collection 收款",'Daily Sale entry '!S711,0))</f>
        <v/>
      </c>
      <c r="F711" s="37">
        <f>IF(C711="","",B711+IF(E711&gt;0,0,0.5)+ROW()/10000000)</f>
        <v/>
      </c>
      <c r="G711">
        <f>IF(C711="","",'Daily Sale entry '!Q711&amp;IF('Daily Sale entry '!Q711="Collection 收款"," ("&amp;'Daily Sale entry '!R711&amp;")","")&amp;IF('Daily Sale entry '!U711="",""," - "&amp;'Daily Sale entry '!U711))</f>
        <v/>
      </c>
      <c r="H711">
        <f>IF(C711="","",COUNTIFS($C$2:$C$3001,C711,$F$2:$F$3001,"&lt;"&amp;F711)+1)</f>
        <v/>
      </c>
      <c r="I711">
        <f>IF(C711="","",C711&amp;"|"&amp;H711)</f>
        <v/>
      </c>
      <c r="J711" s="6">
        <f>IF(C711="","",IF(H711=1,SUMIFS('Opening Balance'!$F$4:$F$303,'Opening Balance'!$G$4:$G$303,C711),INDEX($L$2:$L$3001,MATCH(C711&amp;"|"&amp;(H711-1),$I$2:$I$3001,0))))</f>
        <v/>
      </c>
      <c r="K711" s="6">
        <f>IF(C711="","",IF(M711&gt;0,M711,IF(AND(E711&gt;0,ROUND(J711+D711-E711,2)&gt;0,ROUND(J711+D711-E711,2)&lt;'Opening Balance'!$B$14),ROUND(J711+D711-E711,2),0)))</f>
        <v/>
      </c>
      <c r="L711" s="6">
        <f>IF(C711="","",ROUND(J711+D711-E711-K711,2))</f>
        <v/>
      </c>
      <c r="M711" s="6">
        <f>IF(C711="","",IF('Daily Sale entry '!Q711="Collection 收款",ROUND(N('Daily Sale entry '!T711),2),0))</f>
        <v/>
      </c>
    </row>
    <row r="712">
      <c r="A712" t="inlineStr">
        <is>
          <t>Entry 记录</t>
        </is>
      </c>
      <c r="B712" s="5">
        <f>IF('Daily Sale entry '!P712="","",'Daily Sale entry '!O712)</f>
        <v/>
      </c>
      <c r="C712">
        <f>IF('Daily Sale entry '!P712="","",'Daily Sale entry '!P712)</f>
        <v/>
      </c>
      <c r="D712">
        <f>IF(C712="","",IF('Daily Sale entry '!Q712="Credit Sale 赊销",'Daily Sale entry '!S712,0))</f>
        <v/>
      </c>
      <c r="E712">
        <f>IF(C712="","",IF('Daily Sale entry '!Q712="Collection 收款",'Daily Sale entry '!S712,0))</f>
        <v/>
      </c>
      <c r="F712" s="37">
        <f>IF(C712="","",B712+IF(E712&gt;0,0,0.5)+ROW()/10000000)</f>
        <v/>
      </c>
      <c r="G712">
        <f>IF(C712="","",'Daily Sale entry '!Q712&amp;IF('Daily Sale entry '!Q712="Collection 收款"," ("&amp;'Daily Sale entry '!R712&amp;")","")&amp;IF('Daily Sale entry '!U712="",""," - "&amp;'Daily Sale entry '!U712))</f>
        <v/>
      </c>
      <c r="H712">
        <f>IF(C712="","",COUNTIFS($C$2:$C$3001,C712,$F$2:$F$3001,"&lt;"&amp;F712)+1)</f>
        <v/>
      </c>
      <c r="I712">
        <f>IF(C712="","",C712&amp;"|"&amp;H712)</f>
        <v/>
      </c>
      <c r="J712" s="6">
        <f>IF(C712="","",IF(H712=1,SUMIFS('Opening Balance'!$F$4:$F$303,'Opening Balance'!$G$4:$G$303,C712),INDEX($L$2:$L$3001,MATCH(C712&amp;"|"&amp;(H712-1),$I$2:$I$3001,0))))</f>
        <v/>
      </c>
      <c r="K712" s="6">
        <f>IF(C712="","",IF(M712&gt;0,M712,IF(AND(E712&gt;0,ROUND(J712+D712-E712,2)&gt;0,ROUND(J712+D712-E712,2)&lt;'Opening Balance'!$B$14),ROUND(J712+D712-E712,2),0)))</f>
        <v/>
      </c>
      <c r="L712" s="6">
        <f>IF(C712="","",ROUND(J712+D712-E712-K712,2))</f>
        <v/>
      </c>
      <c r="M712" s="6">
        <f>IF(C712="","",IF('Daily Sale entry '!Q712="Collection 收款",ROUND(N('Daily Sale entry '!T712),2),0))</f>
        <v/>
      </c>
    </row>
    <row r="713">
      <c r="A713" t="inlineStr">
        <is>
          <t>Entry 记录</t>
        </is>
      </c>
      <c r="B713" s="5">
        <f>IF('Daily Sale entry '!P713="","",'Daily Sale entry '!O713)</f>
        <v/>
      </c>
      <c r="C713">
        <f>IF('Daily Sale entry '!P713="","",'Daily Sale entry '!P713)</f>
        <v/>
      </c>
      <c r="D713">
        <f>IF(C713="","",IF('Daily Sale entry '!Q713="Credit Sale 赊销",'Daily Sale entry '!S713,0))</f>
        <v/>
      </c>
      <c r="E713">
        <f>IF(C713="","",IF('Daily Sale entry '!Q713="Collection 收款",'Daily Sale entry '!S713,0))</f>
        <v/>
      </c>
      <c r="F713" s="37">
        <f>IF(C713="","",B713+IF(E713&gt;0,0,0.5)+ROW()/10000000)</f>
        <v/>
      </c>
      <c r="G713">
        <f>IF(C713="","",'Daily Sale entry '!Q713&amp;IF('Daily Sale entry '!Q713="Collection 收款"," ("&amp;'Daily Sale entry '!R713&amp;")","")&amp;IF('Daily Sale entry '!U713="",""," - "&amp;'Daily Sale entry '!U713))</f>
        <v/>
      </c>
      <c r="H713">
        <f>IF(C713="","",COUNTIFS($C$2:$C$3001,C713,$F$2:$F$3001,"&lt;"&amp;F713)+1)</f>
        <v/>
      </c>
      <c r="I713">
        <f>IF(C713="","",C713&amp;"|"&amp;H713)</f>
        <v/>
      </c>
      <c r="J713" s="6">
        <f>IF(C713="","",IF(H713=1,SUMIFS('Opening Balance'!$F$4:$F$303,'Opening Balance'!$G$4:$G$303,C713),INDEX($L$2:$L$3001,MATCH(C713&amp;"|"&amp;(H713-1),$I$2:$I$3001,0))))</f>
        <v/>
      </c>
      <c r="K713" s="6">
        <f>IF(C713="","",IF(M713&gt;0,M713,IF(AND(E713&gt;0,ROUND(J713+D713-E713,2)&gt;0,ROUND(J713+D713-E713,2)&lt;'Opening Balance'!$B$14),ROUND(J713+D713-E713,2),0)))</f>
        <v/>
      </c>
      <c r="L713" s="6">
        <f>IF(C713="","",ROUND(J713+D713-E713-K713,2))</f>
        <v/>
      </c>
      <c r="M713" s="6">
        <f>IF(C713="","",IF('Daily Sale entry '!Q713="Collection 收款",ROUND(N('Daily Sale entry '!T713),2),0))</f>
        <v/>
      </c>
    </row>
    <row r="714">
      <c r="A714" t="inlineStr">
        <is>
          <t>Entry 记录</t>
        </is>
      </c>
      <c r="B714" s="5">
        <f>IF('Daily Sale entry '!P714="","",'Daily Sale entry '!O714)</f>
        <v/>
      </c>
      <c r="C714">
        <f>IF('Daily Sale entry '!P714="","",'Daily Sale entry '!P714)</f>
        <v/>
      </c>
      <c r="D714">
        <f>IF(C714="","",IF('Daily Sale entry '!Q714="Credit Sale 赊销",'Daily Sale entry '!S714,0))</f>
        <v/>
      </c>
      <c r="E714">
        <f>IF(C714="","",IF('Daily Sale entry '!Q714="Collection 收款",'Daily Sale entry '!S714,0))</f>
        <v/>
      </c>
      <c r="F714" s="37">
        <f>IF(C714="","",B714+IF(E714&gt;0,0,0.5)+ROW()/10000000)</f>
        <v/>
      </c>
      <c r="G714">
        <f>IF(C714="","",'Daily Sale entry '!Q714&amp;IF('Daily Sale entry '!Q714="Collection 收款"," ("&amp;'Daily Sale entry '!R714&amp;")","")&amp;IF('Daily Sale entry '!U714="",""," - "&amp;'Daily Sale entry '!U714))</f>
        <v/>
      </c>
      <c r="H714">
        <f>IF(C714="","",COUNTIFS($C$2:$C$3001,C714,$F$2:$F$3001,"&lt;"&amp;F714)+1)</f>
        <v/>
      </c>
      <c r="I714">
        <f>IF(C714="","",C714&amp;"|"&amp;H714)</f>
        <v/>
      </c>
      <c r="J714" s="6">
        <f>IF(C714="","",IF(H714=1,SUMIFS('Opening Balance'!$F$4:$F$303,'Opening Balance'!$G$4:$G$303,C714),INDEX($L$2:$L$3001,MATCH(C714&amp;"|"&amp;(H714-1),$I$2:$I$3001,0))))</f>
        <v/>
      </c>
      <c r="K714" s="6">
        <f>IF(C714="","",IF(M714&gt;0,M714,IF(AND(E714&gt;0,ROUND(J714+D714-E714,2)&gt;0,ROUND(J714+D714-E714,2)&lt;'Opening Balance'!$B$14),ROUND(J714+D714-E714,2),0)))</f>
        <v/>
      </c>
      <c r="L714" s="6">
        <f>IF(C714="","",ROUND(J714+D714-E714-K714,2))</f>
        <v/>
      </c>
      <c r="M714" s="6">
        <f>IF(C714="","",IF('Daily Sale entry '!Q714="Collection 收款",ROUND(N('Daily Sale entry '!T714),2),0))</f>
        <v/>
      </c>
    </row>
    <row r="715">
      <c r="A715" t="inlineStr">
        <is>
          <t>Entry 记录</t>
        </is>
      </c>
      <c r="B715" s="5">
        <f>IF('Daily Sale entry '!P715="","",'Daily Sale entry '!O715)</f>
        <v/>
      </c>
      <c r="C715">
        <f>IF('Daily Sale entry '!P715="","",'Daily Sale entry '!P715)</f>
        <v/>
      </c>
      <c r="D715">
        <f>IF(C715="","",IF('Daily Sale entry '!Q715="Credit Sale 赊销",'Daily Sale entry '!S715,0))</f>
        <v/>
      </c>
      <c r="E715">
        <f>IF(C715="","",IF('Daily Sale entry '!Q715="Collection 收款",'Daily Sale entry '!S715,0))</f>
        <v/>
      </c>
      <c r="F715" s="37">
        <f>IF(C715="","",B715+IF(E715&gt;0,0,0.5)+ROW()/10000000)</f>
        <v/>
      </c>
      <c r="G715">
        <f>IF(C715="","",'Daily Sale entry '!Q715&amp;IF('Daily Sale entry '!Q715="Collection 收款"," ("&amp;'Daily Sale entry '!R715&amp;")","")&amp;IF('Daily Sale entry '!U715="",""," - "&amp;'Daily Sale entry '!U715))</f>
        <v/>
      </c>
      <c r="H715">
        <f>IF(C715="","",COUNTIFS($C$2:$C$3001,C715,$F$2:$F$3001,"&lt;"&amp;F715)+1)</f>
        <v/>
      </c>
      <c r="I715">
        <f>IF(C715="","",C715&amp;"|"&amp;H715)</f>
        <v/>
      </c>
      <c r="J715" s="6">
        <f>IF(C715="","",IF(H715=1,SUMIFS('Opening Balance'!$F$4:$F$303,'Opening Balance'!$G$4:$G$303,C715),INDEX($L$2:$L$3001,MATCH(C715&amp;"|"&amp;(H715-1),$I$2:$I$3001,0))))</f>
        <v/>
      </c>
      <c r="K715" s="6">
        <f>IF(C715="","",IF(M715&gt;0,M715,IF(AND(E715&gt;0,ROUND(J715+D715-E715,2)&gt;0,ROUND(J715+D715-E715,2)&lt;'Opening Balance'!$B$14),ROUND(J715+D715-E715,2),0)))</f>
        <v/>
      </c>
      <c r="L715" s="6">
        <f>IF(C715="","",ROUND(J715+D715-E715-K715,2))</f>
        <v/>
      </c>
      <c r="M715" s="6">
        <f>IF(C715="","",IF('Daily Sale entry '!Q715="Collection 收款",ROUND(N('Daily Sale entry '!T715),2),0))</f>
        <v/>
      </c>
    </row>
    <row r="716">
      <c r="A716" t="inlineStr">
        <is>
          <t>Entry 记录</t>
        </is>
      </c>
      <c r="B716" s="5">
        <f>IF('Daily Sale entry '!P716="","",'Daily Sale entry '!O716)</f>
        <v/>
      </c>
      <c r="C716">
        <f>IF('Daily Sale entry '!P716="","",'Daily Sale entry '!P716)</f>
        <v/>
      </c>
      <c r="D716">
        <f>IF(C716="","",IF('Daily Sale entry '!Q716="Credit Sale 赊销",'Daily Sale entry '!S716,0))</f>
        <v/>
      </c>
      <c r="E716">
        <f>IF(C716="","",IF('Daily Sale entry '!Q716="Collection 收款",'Daily Sale entry '!S716,0))</f>
        <v/>
      </c>
      <c r="F716" s="37">
        <f>IF(C716="","",B716+IF(E716&gt;0,0,0.5)+ROW()/10000000)</f>
        <v/>
      </c>
      <c r="G716">
        <f>IF(C716="","",'Daily Sale entry '!Q716&amp;IF('Daily Sale entry '!Q716="Collection 收款"," ("&amp;'Daily Sale entry '!R716&amp;")","")&amp;IF('Daily Sale entry '!U716="",""," - "&amp;'Daily Sale entry '!U716))</f>
        <v/>
      </c>
      <c r="H716">
        <f>IF(C716="","",COUNTIFS($C$2:$C$3001,C716,$F$2:$F$3001,"&lt;"&amp;F716)+1)</f>
        <v/>
      </c>
      <c r="I716">
        <f>IF(C716="","",C716&amp;"|"&amp;H716)</f>
        <v/>
      </c>
      <c r="J716" s="6">
        <f>IF(C716="","",IF(H716=1,SUMIFS('Opening Balance'!$F$4:$F$303,'Opening Balance'!$G$4:$G$303,C716),INDEX($L$2:$L$3001,MATCH(C716&amp;"|"&amp;(H716-1),$I$2:$I$3001,0))))</f>
        <v/>
      </c>
      <c r="K716" s="6">
        <f>IF(C716="","",IF(M716&gt;0,M716,IF(AND(E716&gt;0,ROUND(J716+D716-E716,2)&gt;0,ROUND(J716+D716-E716,2)&lt;'Opening Balance'!$B$14),ROUND(J716+D716-E716,2),0)))</f>
        <v/>
      </c>
      <c r="L716" s="6">
        <f>IF(C716="","",ROUND(J716+D716-E716-K716,2))</f>
        <v/>
      </c>
      <c r="M716" s="6">
        <f>IF(C716="","",IF('Daily Sale entry '!Q716="Collection 收款",ROUND(N('Daily Sale entry '!T716),2),0))</f>
        <v/>
      </c>
    </row>
    <row r="717">
      <c r="A717" t="inlineStr">
        <is>
          <t>Entry 记录</t>
        </is>
      </c>
      <c r="B717" s="5">
        <f>IF('Daily Sale entry '!P717="","",'Daily Sale entry '!O717)</f>
        <v/>
      </c>
      <c r="C717">
        <f>IF('Daily Sale entry '!P717="","",'Daily Sale entry '!P717)</f>
        <v/>
      </c>
      <c r="D717">
        <f>IF(C717="","",IF('Daily Sale entry '!Q717="Credit Sale 赊销",'Daily Sale entry '!S717,0))</f>
        <v/>
      </c>
      <c r="E717">
        <f>IF(C717="","",IF('Daily Sale entry '!Q717="Collection 收款",'Daily Sale entry '!S717,0))</f>
        <v/>
      </c>
      <c r="F717" s="37">
        <f>IF(C717="","",B717+IF(E717&gt;0,0,0.5)+ROW()/10000000)</f>
        <v/>
      </c>
      <c r="G717">
        <f>IF(C717="","",'Daily Sale entry '!Q717&amp;IF('Daily Sale entry '!Q717="Collection 收款"," ("&amp;'Daily Sale entry '!R717&amp;")","")&amp;IF('Daily Sale entry '!U717="",""," - "&amp;'Daily Sale entry '!U717))</f>
        <v/>
      </c>
      <c r="H717">
        <f>IF(C717="","",COUNTIFS($C$2:$C$3001,C717,$F$2:$F$3001,"&lt;"&amp;F717)+1)</f>
        <v/>
      </c>
      <c r="I717">
        <f>IF(C717="","",C717&amp;"|"&amp;H717)</f>
        <v/>
      </c>
      <c r="J717" s="6">
        <f>IF(C717="","",IF(H717=1,SUMIFS('Opening Balance'!$F$4:$F$303,'Opening Balance'!$G$4:$G$303,C717),INDEX($L$2:$L$3001,MATCH(C717&amp;"|"&amp;(H717-1),$I$2:$I$3001,0))))</f>
        <v/>
      </c>
      <c r="K717" s="6">
        <f>IF(C717="","",IF(M717&gt;0,M717,IF(AND(E717&gt;0,ROUND(J717+D717-E717,2)&gt;0,ROUND(J717+D717-E717,2)&lt;'Opening Balance'!$B$14),ROUND(J717+D717-E717,2),0)))</f>
        <v/>
      </c>
      <c r="L717" s="6">
        <f>IF(C717="","",ROUND(J717+D717-E717-K717,2))</f>
        <v/>
      </c>
      <c r="M717" s="6">
        <f>IF(C717="","",IF('Daily Sale entry '!Q717="Collection 收款",ROUND(N('Daily Sale entry '!T717),2),0))</f>
        <v/>
      </c>
    </row>
    <row r="718">
      <c r="A718" t="inlineStr">
        <is>
          <t>Entry 记录</t>
        </is>
      </c>
      <c r="B718" s="5">
        <f>IF('Daily Sale entry '!P718="","",'Daily Sale entry '!O718)</f>
        <v/>
      </c>
      <c r="C718">
        <f>IF('Daily Sale entry '!P718="","",'Daily Sale entry '!P718)</f>
        <v/>
      </c>
      <c r="D718">
        <f>IF(C718="","",IF('Daily Sale entry '!Q718="Credit Sale 赊销",'Daily Sale entry '!S718,0))</f>
        <v/>
      </c>
      <c r="E718">
        <f>IF(C718="","",IF('Daily Sale entry '!Q718="Collection 收款",'Daily Sale entry '!S718,0))</f>
        <v/>
      </c>
      <c r="F718" s="37">
        <f>IF(C718="","",B718+IF(E718&gt;0,0,0.5)+ROW()/10000000)</f>
        <v/>
      </c>
      <c r="G718">
        <f>IF(C718="","",'Daily Sale entry '!Q718&amp;IF('Daily Sale entry '!Q718="Collection 收款"," ("&amp;'Daily Sale entry '!R718&amp;")","")&amp;IF('Daily Sale entry '!U718="",""," - "&amp;'Daily Sale entry '!U718))</f>
        <v/>
      </c>
      <c r="H718">
        <f>IF(C718="","",COUNTIFS($C$2:$C$3001,C718,$F$2:$F$3001,"&lt;"&amp;F718)+1)</f>
        <v/>
      </c>
      <c r="I718">
        <f>IF(C718="","",C718&amp;"|"&amp;H718)</f>
        <v/>
      </c>
      <c r="J718" s="6">
        <f>IF(C718="","",IF(H718=1,SUMIFS('Opening Balance'!$F$4:$F$303,'Opening Balance'!$G$4:$G$303,C718),INDEX($L$2:$L$3001,MATCH(C718&amp;"|"&amp;(H718-1),$I$2:$I$3001,0))))</f>
        <v/>
      </c>
      <c r="K718" s="6">
        <f>IF(C718="","",IF(M718&gt;0,M718,IF(AND(E718&gt;0,ROUND(J718+D718-E718,2)&gt;0,ROUND(J718+D718-E718,2)&lt;'Opening Balance'!$B$14),ROUND(J718+D718-E718,2),0)))</f>
        <v/>
      </c>
      <c r="L718" s="6">
        <f>IF(C718="","",ROUND(J718+D718-E718-K718,2))</f>
        <v/>
      </c>
      <c r="M718" s="6">
        <f>IF(C718="","",IF('Daily Sale entry '!Q718="Collection 收款",ROUND(N('Daily Sale entry '!T718),2),0))</f>
        <v/>
      </c>
    </row>
    <row r="719">
      <c r="A719" t="inlineStr">
        <is>
          <t>Entry 记录</t>
        </is>
      </c>
      <c r="B719" s="5">
        <f>IF('Daily Sale entry '!P719="","",'Daily Sale entry '!O719)</f>
        <v/>
      </c>
      <c r="C719">
        <f>IF('Daily Sale entry '!P719="","",'Daily Sale entry '!P719)</f>
        <v/>
      </c>
      <c r="D719">
        <f>IF(C719="","",IF('Daily Sale entry '!Q719="Credit Sale 赊销",'Daily Sale entry '!S719,0))</f>
        <v/>
      </c>
      <c r="E719">
        <f>IF(C719="","",IF('Daily Sale entry '!Q719="Collection 收款",'Daily Sale entry '!S719,0))</f>
        <v/>
      </c>
      <c r="F719" s="37">
        <f>IF(C719="","",B719+IF(E719&gt;0,0,0.5)+ROW()/10000000)</f>
        <v/>
      </c>
      <c r="G719">
        <f>IF(C719="","",'Daily Sale entry '!Q719&amp;IF('Daily Sale entry '!Q719="Collection 收款"," ("&amp;'Daily Sale entry '!R719&amp;")","")&amp;IF('Daily Sale entry '!U719="",""," - "&amp;'Daily Sale entry '!U719))</f>
        <v/>
      </c>
      <c r="H719">
        <f>IF(C719="","",COUNTIFS($C$2:$C$3001,C719,$F$2:$F$3001,"&lt;"&amp;F719)+1)</f>
        <v/>
      </c>
      <c r="I719">
        <f>IF(C719="","",C719&amp;"|"&amp;H719)</f>
        <v/>
      </c>
      <c r="J719" s="6">
        <f>IF(C719="","",IF(H719=1,SUMIFS('Opening Balance'!$F$4:$F$303,'Opening Balance'!$G$4:$G$303,C719),INDEX($L$2:$L$3001,MATCH(C719&amp;"|"&amp;(H719-1),$I$2:$I$3001,0))))</f>
        <v/>
      </c>
      <c r="K719" s="6">
        <f>IF(C719="","",IF(M719&gt;0,M719,IF(AND(E719&gt;0,ROUND(J719+D719-E719,2)&gt;0,ROUND(J719+D719-E719,2)&lt;'Opening Balance'!$B$14),ROUND(J719+D719-E719,2),0)))</f>
        <v/>
      </c>
      <c r="L719" s="6">
        <f>IF(C719="","",ROUND(J719+D719-E719-K719,2))</f>
        <v/>
      </c>
      <c r="M719" s="6">
        <f>IF(C719="","",IF('Daily Sale entry '!Q719="Collection 收款",ROUND(N('Daily Sale entry '!T719),2),0))</f>
        <v/>
      </c>
    </row>
    <row r="720">
      <c r="A720" t="inlineStr">
        <is>
          <t>Entry 记录</t>
        </is>
      </c>
      <c r="B720" s="5">
        <f>IF('Daily Sale entry '!P720="","",'Daily Sale entry '!O720)</f>
        <v/>
      </c>
      <c r="C720">
        <f>IF('Daily Sale entry '!P720="","",'Daily Sale entry '!P720)</f>
        <v/>
      </c>
      <c r="D720">
        <f>IF(C720="","",IF('Daily Sale entry '!Q720="Credit Sale 赊销",'Daily Sale entry '!S720,0))</f>
        <v/>
      </c>
      <c r="E720">
        <f>IF(C720="","",IF('Daily Sale entry '!Q720="Collection 收款",'Daily Sale entry '!S720,0))</f>
        <v/>
      </c>
      <c r="F720" s="37">
        <f>IF(C720="","",B720+IF(E720&gt;0,0,0.5)+ROW()/10000000)</f>
        <v/>
      </c>
      <c r="G720">
        <f>IF(C720="","",'Daily Sale entry '!Q720&amp;IF('Daily Sale entry '!Q720="Collection 收款"," ("&amp;'Daily Sale entry '!R720&amp;")","")&amp;IF('Daily Sale entry '!U720="",""," - "&amp;'Daily Sale entry '!U720))</f>
        <v/>
      </c>
      <c r="H720">
        <f>IF(C720="","",COUNTIFS($C$2:$C$3001,C720,$F$2:$F$3001,"&lt;"&amp;F720)+1)</f>
        <v/>
      </c>
      <c r="I720">
        <f>IF(C720="","",C720&amp;"|"&amp;H720)</f>
        <v/>
      </c>
      <c r="J720" s="6">
        <f>IF(C720="","",IF(H720=1,SUMIFS('Opening Balance'!$F$4:$F$303,'Opening Balance'!$G$4:$G$303,C720),INDEX($L$2:$L$3001,MATCH(C720&amp;"|"&amp;(H720-1),$I$2:$I$3001,0))))</f>
        <v/>
      </c>
      <c r="K720" s="6">
        <f>IF(C720="","",IF(M720&gt;0,M720,IF(AND(E720&gt;0,ROUND(J720+D720-E720,2)&gt;0,ROUND(J720+D720-E720,2)&lt;'Opening Balance'!$B$14),ROUND(J720+D720-E720,2),0)))</f>
        <v/>
      </c>
      <c r="L720" s="6">
        <f>IF(C720="","",ROUND(J720+D720-E720-K720,2))</f>
        <v/>
      </c>
      <c r="M720" s="6">
        <f>IF(C720="","",IF('Daily Sale entry '!Q720="Collection 收款",ROUND(N('Daily Sale entry '!T720),2),0))</f>
        <v/>
      </c>
    </row>
    <row r="721">
      <c r="A721" t="inlineStr">
        <is>
          <t>Entry 记录</t>
        </is>
      </c>
      <c r="B721" s="5">
        <f>IF('Daily Sale entry '!P721="","",'Daily Sale entry '!O721)</f>
        <v/>
      </c>
      <c r="C721">
        <f>IF('Daily Sale entry '!P721="","",'Daily Sale entry '!P721)</f>
        <v/>
      </c>
      <c r="D721">
        <f>IF(C721="","",IF('Daily Sale entry '!Q721="Credit Sale 赊销",'Daily Sale entry '!S721,0))</f>
        <v/>
      </c>
      <c r="E721">
        <f>IF(C721="","",IF('Daily Sale entry '!Q721="Collection 收款",'Daily Sale entry '!S721,0))</f>
        <v/>
      </c>
      <c r="F721" s="37">
        <f>IF(C721="","",B721+IF(E721&gt;0,0,0.5)+ROW()/10000000)</f>
        <v/>
      </c>
      <c r="G721">
        <f>IF(C721="","",'Daily Sale entry '!Q721&amp;IF('Daily Sale entry '!Q721="Collection 收款"," ("&amp;'Daily Sale entry '!R721&amp;")","")&amp;IF('Daily Sale entry '!U721="",""," - "&amp;'Daily Sale entry '!U721))</f>
        <v/>
      </c>
      <c r="H721">
        <f>IF(C721="","",COUNTIFS($C$2:$C$3001,C721,$F$2:$F$3001,"&lt;"&amp;F721)+1)</f>
        <v/>
      </c>
      <c r="I721">
        <f>IF(C721="","",C721&amp;"|"&amp;H721)</f>
        <v/>
      </c>
      <c r="J721" s="6">
        <f>IF(C721="","",IF(H721=1,SUMIFS('Opening Balance'!$F$4:$F$303,'Opening Balance'!$G$4:$G$303,C721),INDEX($L$2:$L$3001,MATCH(C721&amp;"|"&amp;(H721-1),$I$2:$I$3001,0))))</f>
        <v/>
      </c>
      <c r="K721" s="6">
        <f>IF(C721="","",IF(M721&gt;0,M721,IF(AND(E721&gt;0,ROUND(J721+D721-E721,2)&gt;0,ROUND(J721+D721-E721,2)&lt;'Opening Balance'!$B$14),ROUND(J721+D721-E721,2),0)))</f>
        <v/>
      </c>
      <c r="L721" s="6">
        <f>IF(C721="","",ROUND(J721+D721-E721-K721,2))</f>
        <v/>
      </c>
      <c r="M721" s="6">
        <f>IF(C721="","",IF('Daily Sale entry '!Q721="Collection 收款",ROUND(N('Daily Sale entry '!T721),2),0))</f>
        <v/>
      </c>
    </row>
    <row r="722">
      <c r="A722" t="inlineStr">
        <is>
          <t>Entry 记录</t>
        </is>
      </c>
      <c r="B722" s="5">
        <f>IF('Daily Sale entry '!P722="","",'Daily Sale entry '!O722)</f>
        <v/>
      </c>
      <c r="C722">
        <f>IF('Daily Sale entry '!P722="","",'Daily Sale entry '!P722)</f>
        <v/>
      </c>
      <c r="D722">
        <f>IF(C722="","",IF('Daily Sale entry '!Q722="Credit Sale 赊销",'Daily Sale entry '!S722,0))</f>
        <v/>
      </c>
      <c r="E722">
        <f>IF(C722="","",IF('Daily Sale entry '!Q722="Collection 收款",'Daily Sale entry '!S722,0))</f>
        <v/>
      </c>
      <c r="F722" s="37">
        <f>IF(C722="","",B722+IF(E722&gt;0,0,0.5)+ROW()/10000000)</f>
        <v/>
      </c>
      <c r="G722">
        <f>IF(C722="","",'Daily Sale entry '!Q722&amp;IF('Daily Sale entry '!Q722="Collection 收款"," ("&amp;'Daily Sale entry '!R722&amp;")","")&amp;IF('Daily Sale entry '!U722="",""," - "&amp;'Daily Sale entry '!U722))</f>
        <v/>
      </c>
      <c r="H722">
        <f>IF(C722="","",COUNTIFS($C$2:$C$3001,C722,$F$2:$F$3001,"&lt;"&amp;F722)+1)</f>
        <v/>
      </c>
      <c r="I722">
        <f>IF(C722="","",C722&amp;"|"&amp;H722)</f>
        <v/>
      </c>
      <c r="J722" s="6">
        <f>IF(C722="","",IF(H722=1,SUMIFS('Opening Balance'!$F$4:$F$303,'Opening Balance'!$G$4:$G$303,C722),INDEX($L$2:$L$3001,MATCH(C722&amp;"|"&amp;(H722-1),$I$2:$I$3001,0))))</f>
        <v/>
      </c>
      <c r="K722" s="6">
        <f>IF(C722="","",IF(M722&gt;0,M722,IF(AND(E722&gt;0,ROUND(J722+D722-E722,2)&gt;0,ROUND(J722+D722-E722,2)&lt;'Opening Balance'!$B$14),ROUND(J722+D722-E722,2),0)))</f>
        <v/>
      </c>
      <c r="L722" s="6">
        <f>IF(C722="","",ROUND(J722+D722-E722-K722,2))</f>
        <v/>
      </c>
      <c r="M722" s="6">
        <f>IF(C722="","",IF('Daily Sale entry '!Q722="Collection 收款",ROUND(N('Daily Sale entry '!T722),2),0))</f>
        <v/>
      </c>
    </row>
    <row r="723">
      <c r="A723" t="inlineStr">
        <is>
          <t>Entry 记录</t>
        </is>
      </c>
      <c r="B723" s="5">
        <f>IF('Daily Sale entry '!P723="","",'Daily Sale entry '!O723)</f>
        <v/>
      </c>
      <c r="C723">
        <f>IF('Daily Sale entry '!P723="","",'Daily Sale entry '!P723)</f>
        <v/>
      </c>
      <c r="D723">
        <f>IF(C723="","",IF('Daily Sale entry '!Q723="Credit Sale 赊销",'Daily Sale entry '!S723,0))</f>
        <v/>
      </c>
      <c r="E723">
        <f>IF(C723="","",IF('Daily Sale entry '!Q723="Collection 收款",'Daily Sale entry '!S723,0))</f>
        <v/>
      </c>
      <c r="F723" s="37">
        <f>IF(C723="","",B723+IF(E723&gt;0,0,0.5)+ROW()/10000000)</f>
        <v/>
      </c>
      <c r="G723">
        <f>IF(C723="","",'Daily Sale entry '!Q723&amp;IF('Daily Sale entry '!Q723="Collection 收款"," ("&amp;'Daily Sale entry '!R723&amp;")","")&amp;IF('Daily Sale entry '!U723="",""," - "&amp;'Daily Sale entry '!U723))</f>
        <v/>
      </c>
      <c r="H723">
        <f>IF(C723="","",COUNTIFS($C$2:$C$3001,C723,$F$2:$F$3001,"&lt;"&amp;F723)+1)</f>
        <v/>
      </c>
      <c r="I723">
        <f>IF(C723="","",C723&amp;"|"&amp;H723)</f>
        <v/>
      </c>
      <c r="J723" s="6">
        <f>IF(C723="","",IF(H723=1,SUMIFS('Opening Balance'!$F$4:$F$303,'Opening Balance'!$G$4:$G$303,C723),INDEX($L$2:$L$3001,MATCH(C723&amp;"|"&amp;(H723-1),$I$2:$I$3001,0))))</f>
        <v/>
      </c>
      <c r="K723" s="6">
        <f>IF(C723="","",IF(M723&gt;0,M723,IF(AND(E723&gt;0,ROUND(J723+D723-E723,2)&gt;0,ROUND(J723+D723-E723,2)&lt;'Opening Balance'!$B$14),ROUND(J723+D723-E723,2),0)))</f>
        <v/>
      </c>
      <c r="L723" s="6">
        <f>IF(C723="","",ROUND(J723+D723-E723-K723,2))</f>
        <v/>
      </c>
      <c r="M723" s="6">
        <f>IF(C723="","",IF('Daily Sale entry '!Q723="Collection 收款",ROUND(N('Daily Sale entry '!T723),2),0))</f>
        <v/>
      </c>
    </row>
    <row r="724">
      <c r="A724" t="inlineStr">
        <is>
          <t>Entry 记录</t>
        </is>
      </c>
      <c r="B724" s="5">
        <f>IF('Daily Sale entry '!P724="","",'Daily Sale entry '!O724)</f>
        <v/>
      </c>
      <c r="C724">
        <f>IF('Daily Sale entry '!P724="","",'Daily Sale entry '!P724)</f>
        <v/>
      </c>
      <c r="D724">
        <f>IF(C724="","",IF('Daily Sale entry '!Q724="Credit Sale 赊销",'Daily Sale entry '!S724,0))</f>
        <v/>
      </c>
      <c r="E724">
        <f>IF(C724="","",IF('Daily Sale entry '!Q724="Collection 收款",'Daily Sale entry '!S724,0))</f>
        <v/>
      </c>
      <c r="F724" s="37">
        <f>IF(C724="","",B724+IF(E724&gt;0,0,0.5)+ROW()/10000000)</f>
        <v/>
      </c>
      <c r="G724">
        <f>IF(C724="","",'Daily Sale entry '!Q724&amp;IF('Daily Sale entry '!Q724="Collection 收款"," ("&amp;'Daily Sale entry '!R724&amp;")","")&amp;IF('Daily Sale entry '!U724="",""," - "&amp;'Daily Sale entry '!U724))</f>
        <v/>
      </c>
      <c r="H724">
        <f>IF(C724="","",COUNTIFS($C$2:$C$3001,C724,$F$2:$F$3001,"&lt;"&amp;F724)+1)</f>
        <v/>
      </c>
      <c r="I724">
        <f>IF(C724="","",C724&amp;"|"&amp;H724)</f>
        <v/>
      </c>
      <c r="J724" s="6">
        <f>IF(C724="","",IF(H724=1,SUMIFS('Opening Balance'!$F$4:$F$303,'Opening Balance'!$G$4:$G$303,C724),INDEX($L$2:$L$3001,MATCH(C724&amp;"|"&amp;(H724-1),$I$2:$I$3001,0))))</f>
        <v/>
      </c>
      <c r="K724" s="6">
        <f>IF(C724="","",IF(M724&gt;0,M724,IF(AND(E724&gt;0,ROUND(J724+D724-E724,2)&gt;0,ROUND(J724+D724-E724,2)&lt;'Opening Balance'!$B$14),ROUND(J724+D724-E724,2),0)))</f>
        <v/>
      </c>
      <c r="L724" s="6">
        <f>IF(C724="","",ROUND(J724+D724-E724-K724,2))</f>
        <v/>
      </c>
      <c r="M724" s="6">
        <f>IF(C724="","",IF('Daily Sale entry '!Q724="Collection 收款",ROUND(N('Daily Sale entry '!T724),2),0))</f>
        <v/>
      </c>
    </row>
    <row r="725">
      <c r="A725" t="inlineStr">
        <is>
          <t>Entry 记录</t>
        </is>
      </c>
      <c r="B725" s="5">
        <f>IF('Daily Sale entry '!P725="","",'Daily Sale entry '!O725)</f>
        <v/>
      </c>
      <c r="C725">
        <f>IF('Daily Sale entry '!P725="","",'Daily Sale entry '!P725)</f>
        <v/>
      </c>
      <c r="D725">
        <f>IF(C725="","",IF('Daily Sale entry '!Q725="Credit Sale 赊销",'Daily Sale entry '!S725,0))</f>
        <v/>
      </c>
      <c r="E725">
        <f>IF(C725="","",IF('Daily Sale entry '!Q725="Collection 收款",'Daily Sale entry '!S725,0))</f>
        <v/>
      </c>
      <c r="F725" s="37">
        <f>IF(C725="","",B725+IF(E725&gt;0,0,0.5)+ROW()/10000000)</f>
        <v/>
      </c>
      <c r="G725">
        <f>IF(C725="","",'Daily Sale entry '!Q725&amp;IF('Daily Sale entry '!Q725="Collection 收款"," ("&amp;'Daily Sale entry '!R725&amp;")","")&amp;IF('Daily Sale entry '!U725="",""," - "&amp;'Daily Sale entry '!U725))</f>
        <v/>
      </c>
      <c r="H725">
        <f>IF(C725="","",COUNTIFS($C$2:$C$3001,C725,$F$2:$F$3001,"&lt;"&amp;F725)+1)</f>
        <v/>
      </c>
      <c r="I725">
        <f>IF(C725="","",C725&amp;"|"&amp;H725)</f>
        <v/>
      </c>
      <c r="J725" s="6">
        <f>IF(C725="","",IF(H725=1,SUMIFS('Opening Balance'!$F$4:$F$303,'Opening Balance'!$G$4:$G$303,C725),INDEX($L$2:$L$3001,MATCH(C725&amp;"|"&amp;(H725-1),$I$2:$I$3001,0))))</f>
        <v/>
      </c>
      <c r="K725" s="6">
        <f>IF(C725="","",IF(M725&gt;0,M725,IF(AND(E725&gt;0,ROUND(J725+D725-E725,2)&gt;0,ROUND(J725+D725-E725,2)&lt;'Opening Balance'!$B$14),ROUND(J725+D725-E725,2),0)))</f>
        <v/>
      </c>
      <c r="L725" s="6">
        <f>IF(C725="","",ROUND(J725+D725-E725-K725,2))</f>
        <v/>
      </c>
      <c r="M725" s="6">
        <f>IF(C725="","",IF('Daily Sale entry '!Q725="Collection 收款",ROUND(N('Daily Sale entry '!T725),2),0))</f>
        <v/>
      </c>
    </row>
    <row r="726">
      <c r="A726" t="inlineStr">
        <is>
          <t>Entry 记录</t>
        </is>
      </c>
      <c r="B726" s="5">
        <f>IF('Daily Sale entry '!P726="","",'Daily Sale entry '!O726)</f>
        <v/>
      </c>
      <c r="C726">
        <f>IF('Daily Sale entry '!P726="","",'Daily Sale entry '!P726)</f>
        <v/>
      </c>
      <c r="D726">
        <f>IF(C726="","",IF('Daily Sale entry '!Q726="Credit Sale 赊销",'Daily Sale entry '!S726,0))</f>
        <v/>
      </c>
      <c r="E726">
        <f>IF(C726="","",IF('Daily Sale entry '!Q726="Collection 收款",'Daily Sale entry '!S726,0))</f>
        <v/>
      </c>
      <c r="F726" s="37">
        <f>IF(C726="","",B726+IF(E726&gt;0,0,0.5)+ROW()/10000000)</f>
        <v/>
      </c>
      <c r="G726">
        <f>IF(C726="","",'Daily Sale entry '!Q726&amp;IF('Daily Sale entry '!Q726="Collection 收款"," ("&amp;'Daily Sale entry '!R726&amp;")","")&amp;IF('Daily Sale entry '!U726="",""," - "&amp;'Daily Sale entry '!U726))</f>
        <v/>
      </c>
      <c r="H726">
        <f>IF(C726="","",COUNTIFS($C$2:$C$3001,C726,$F$2:$F$3001,"&lt;"&amp;F726)+1)</f>
        <v/>
      </c>
      <c r="I726">
        <f>IF(C726="","",C726&amp;"|"&amp;H726)</f>
        <v/>
      </c>
      <c r="J726" s="6">
        <f>IF(C726="","",IF(H726=1,SUMIFS('Opening Balance'!$F$4:$F$303,'Opening Balance'!$G$4:$G$303,C726),INDEX($L$2:$L$3001,MATCH(C726&amp;"|"&amp;(H726-1),$I$2:$I$3001,0))))</f>
        <v/>
      </c>
      <c r="K726" s="6">
        <f>IF(C726="","",IF(M726&gt;0,M726,IF(AND(E726&gt;0,ROUND(J726+D726-E726,2)&gt;0,ROUND(J726+D726-E726,2)&lt;'Opening Balance'!$B$14),ROUND(J726+D726-E726,2),0)))</f>
        <v/>
      </c>
      <c r="L726" s="6">
        <f>IF(C726="","",ROUND(J726+D726-E726-K726,2))</f>
        <v/>
      </c>
      <c r="M726" s="6">
        <f>IF(C726="","",IF('Daily Sale entry '!Q726="Collection 收款",ROUND(N('Daily Sale entry '!T726),2),0))</f>
        <v/>
      </c>
    </row>
    <row r="727">
      <c r="A727" t="inlineStr">
        <is>
          <t>Entry 记录</t>
        </is>
      </c>
      <c r="B727" s="5">
        <f>IF('Daily Sale entry '!P727="","",'Daily Sale entry '!O727)</f>
        <v/>
      </c>
      <c r="C727">
        <f>IF('Daily Sale entry '!P727="","",'Daily Sale entry '!P727)</f>
        <v/>
      </c>
      <c r="D727">
        <f>IF(C727="","",IF('Daily Sale entry '!Q727="Credit Sale 赊销",'Daily Sale entry '!S727,0))</f>
        <v/>
      </c>
      <c r="E727">
        <f>IF(C727="","",IF('Daily Sale entry '!Q727="Collection 收款",'Daily Sale entry '!S727,0))</f>
        <v/>
      </c>
      <c r="F727" s="37">
        <f>IF(C727="","",B727+IF(E727&gt;0,0,0.5)+ROW()/10000000)</f>
        <v/>
      </c>
      <c r="G727">
        <f>IF(C727="","",'Daily Sale entry '!Q727&amp;IF('Daily Sale entry '!Q727="Collection 收款"," ("&amp;'Daily Sale entry '!R727&amp;")","")&amp;IF('Daily Sale entry '!U727="",""," - "&amp;'Daily Sale entry '!U727))</f>
        <v/>
      </c>
      <c r="H727">
        <f>IF(C727="","",COUNTIFS($C$2:$C$3001,C727,$F$2:$F$3001,"&lt;"&amp;F727)+1)</f>
        <v/>
      </c>
      <c r="I727">
        <f>IF(C727="","",C727&amp;"|"&amp;H727)</f>
        <v/>
      </c>
      <c r="J727" s="6">
        <f>IF(C727="","",IF(H727=1,SUMIFS('Opening Balance'!$F$4:$F$303,'Opening Balance'!$G$4:$G$303,C727),INDEX($L$2:$L$3001,MATCH(C727&amp;"|"&amp;(H727-1),$I$2:$I$3001,0))))</f>
        <v/>
      </c>
      <c r="K727" s="6">
        <f>IF(C727="","",IF(M727&gt;0,M727,IF(AND(E727&gt;0,ROUND(J727+D727-E727,2)&gt;0,ROUND(J727+D727-E727,2)&lt;'Opening Balance'!$B$14),ROUND(J727+D727-E727,2),0)))</f>
        <v/>
      </c>
      <c r="L727" s="6">
        <f>IF(C727="","",ROUND(J727+D727-E727-K727,2))</f>
        <v/>
      </c>
      <c r="M727" s="6">
        <f>IF(C727="","",IF('Daily Sale entry '!Q727="Collection 收款",ROUND(N('Daily Sale entry '!T727),2),0))</f>
        <v/>
      </c>
    </row>
    <row r="728">
      <c r="A728" t="inlineStr">
        <is>
          <t>Entry 记录</t>
        </is>
      </c>
      <c r="B728" s="5">
        <f>IF('Daily Sale entry '!P728="","",'Daily Sale entry '!O728)</f>
        <v/>
      </c>
      <c r="C728">
        <f>IF('Daily Sale entry '!P728="","",'Daily Sale entry '!P728)</f>
        <v/>
      </c>
      <c r="D728">
        <f>IF(C728="","",IF('Daily Sale entry '!Q728="Credit Sale 赊销",'Daily Sale entry '!S728,0))</f>
        <v/>
      </c>
      <c r="E728">
        <f>IF(C728="","",IF('Daily Sale entry '!Q728="Collection 收款",'Daily Sale entry '!S728,0))</f>
        <v/>
      </c>
      <c r="F728" s="37">
        <f>IF(C728="","",B728+IF(E728&gt;0,0,0.5)+ROW()/10000000)</f>
        <v/>
      </c>
      <c r="G728">
        <f>IF(C728="","",'Daily Sale entry '!Q728&amp;IF('Daily Sale entry '!Q728="Collection 收款"," ("&amp;'Daily Sale entry '!R728&amp;")","")&amp;IF('Daily Sale entry '!U728="",""," - "&amp;'Daily Sale entry '!U728))</f>
        <v/>
      </c>
      <c r="H728">
        <f>IF(C728="","",COUNTIFS($C$2:$C$3001,C728,$F$2:$F$3001,"&lt;"&amp;F728)+1)</f>
        <v/>
      </c>
      <c r="I728">
        <f>IF(C728="","",C728&amp;"|"&amp;H728)</f>
        <v/>
      </c>
      <c r="J728" s="6">
        <f>IF(C728="","",IF(H728=1,SUMIFS('Opening Balance'!$F$4:$F$303,'Opening Balance'!$G$4:$G$303,C728),INDEX($L$2:$L$3001,MATCH(C728&amp;"|"&amp;(H728-1),$I$2:$I$3001,0))))</f>
        <v/>
      </c>
      <c r="K728" s="6">
        <f>IF(C728="","",IF(M728&gt;0,M728,IF(AND(E728&gt;0,ROUND(J728+D728-E728,2)&gt;0,ROUND(J728+D728-E728,2)&lt;'Opening Balance'!$B$14),ROUND(J728+D728-E728,2),0)))</f>
        <v/>
      </c>
      <c r="L728" s="6">
        <f>IF(C728="","",ROUND(J728+D728-E728-K728,2))</f>
        <v/>
      </c>
      <c r="M728" s="6">
        <f>IF(C728="","",IF('Daily Sale entry '!Q728="Collection 收款",ROUND(N('Daily Sale entry '!T728),2),0))</f>
        <v/>
      </c>
    </row>
    <row r="729">
      <c r="A729" t="inlineStr">
        <is>
          <t>Entry 记录</t>
        </is>
      </c>
      <c r="B729" s="5">
        <f>IF('Daily Sale entry '!P729="","",'Daily Sale entry '!O729)</f>
        <v/>
      </c>
      <c r="C729">
        <f>IF('Daily Sale entry '!P729="","",'Daily Sale entry '!P729)</f>
        <v/>
      </c>
      <c r="D729">
        <f>IF(C729="","",IF('Daily Sale entry '!Q729="Credit Sale 赊销",'Daily Sale entry '!S729,0))</f>
        <v/>
      </c>
      <c r="E729">
        <f>IF(C729="","",IF('Daily Sale entry '!Q729="Collection 收款",'Daily Sale entry '!S729,0))</f>
        <v/>
      </c>
      <c r="F729" s="37">
        <f>IF(C729="","",B729+IF(E729&gt;0,0,0.5)+ROW()/10000000)</f>
        <v/>
      </c>
      <c r="G729">
        <f>IF(C729="","",'Daily Sale entry '!Q729&amp;IF('Daily Sale entry '!Q729="Collection 收款"," ("&amp;'Daily Sale entry '!R729&amp;")","")&amp;IF('Daily Sale entry '!U729="",""," - "&amp;'Daily Sale entry '!U729))</f>
        <v/>
      </c>
      <c r="H729">
        <f>IF(C729="","",COUNTIFS($C$2:$C$3001,C729,$F$2:$F$3001,"&lt;"&amp;F729)+1)</f>
        <v/>
      </c>
      <c r="I729">
        <f>IF(C729="","",C729&amp;"|"&amp;H729)</f>
        <v/>
      </c>
      <c r="J729" s="6">
        <f>IF(C729="","",IF(H729=1,SUMIFS('Opening Balance'!$F$4:$F$303,'Opening Balance'!$G$4:$G$303,C729),INDEX($L$2:$L$3001,MATCH(C729&amp;"|"&amp;(H729-1),$I$2:$I$3001,0))))</f>
        <v/>
      </c>
      <c r="K729" s="6">
        <f>IF(C729="","",IF(M729&gt;0,M729,IF(AND(E729&gt;0,ROUND(J729+D729-E729,2)&gt;0,ROUND(J729+D729-E729,2)&lt;'Opening Balance'!$B$14),ROUND(J729+D729-E729,2),0)))</f>
        <v/>
      </c>
      <c r="L729" s="6">
        <f>IF(C729="","",ROUND(J729+D729-E729-K729,2))</f>
        <v/>
      </c>
      <c r="M729" s="6">
        <f>IF(C729="","",IF('Daily Sale entry '!Q729="Collection 收款",ROUND(N('Daily Sale entry '!T729),2),0))</f>
        <v/>
      </c>
    </row>
    <row r="730">
      <c r="A730" t="inlineStr">
        <is>
          <t>Entry 记录</t>
        </is>
      </c>
      <c r="B730" s="5">
        <f>IF('Daily Sale entry '!P730="","",'Daily Sale entry '!O730)</f>
        <v/>
      </c>
      <c r="C730">
        <f>IF('Daily Sale entry '!P730="","",'Daily Sale entry '!P730)</f>
        <v/>
      </c>
      <c r="D730">
        <f>IF(C730="","",IF('Daily Sale entry '!Q730="Credit Sale 赊销",'Daily Sale entry '!S730,0))</f>
        <v/>
      </c>
      <c r="E730">
        <f>IF(C730="","",IF('Daily Sale entry '!Q730="Collection 收款",'Daily Sale entry '!S730,0))</f>
        <v/>
      </c>
      <c r="F730" s="37">
        <f>IF(C730="","",B730+IF(E730&gt;0,0,0.5)+ROW()/10000000)</f>
        <v/>
      </c>
      <c r="G730">
        <f>IF(C730="","",'Daily Sale entry '!Q730&amp;IF('Daily Sale entry '!Q730="Collection 收款"," ("&amp;'Daily Sale entry '!R730&amp;")","")&amp;IF('Daily Sale entry '!U730="",""," - "&amp;'Daily Sale entry '!U730))</f>
        <v/>
      </c>
      <c r="H730">
        <f>IF(C730="","",COUNTIFS($C$2:$C$3001,C730,$F$2:$F$3001,"&lt;"&amp;F730)+1)</f>
        <v/>
      </c>
      <c r="I730">
        <f>IF(C730="","",C730&amp;"|"&amp;H730)</f>
        <v/>
      </c>
      <c r="J730" s="6">
        <f>IF(C730="","",IF(H730=1,SUMIFS('Opening Balance'!$F$4:$F$303,'Opening Balance'!$G$4:$G$303,C730),INDEX($L$2:$L$3001,MATCH(C730&amp;"|"&amp;(H730-1),$I$2:$I$3001,0))))</f>
        <v/>
      </c>
      <c r="K730" s="6">
        <f>IF(C730="","",IF(M730&gt;0,M730,IF(AND(E730&gt;0,ROUND(J730+D730-E730,2)&gt;0,ROUND(J730+D730-E730,2)&lt;'Opening Balance'!$B$14),ROUND(J730+D730-E730,2),0)))</f>
        <v/>
      </c>
      <c r="L730" s="6">
        <f>IF(C730="","",ROUND(J730+D730-E730-K730,2))</f>
        <v/>
      </c>
      <c r="M730" s="6">
        <f>IF(C730="","",IF('Daily Sale entry '!Q730="Collection 收款",ROUND(N('Daily Sale entry '!T730),2),0))</f>
        <v/>
      </c>
    </row>
    <row r="731">
      <c r="A731" t="inlineStr">
        <is>
          <t>Entry 记录</t>
        </is>
      </c>
      <c r="B731" s="5">
        <f>IF('Daily Sale entry '!P731="","",'Daily Sale entry '!O731)</f>
        <v/>
      </c>
      <c r="C731">
        <f>IF('Daily Sale entry '!P731="","",'Daily Sale entry '!P731)</f>
        <v/>
      </c>
      <c r="D731">
        <f>IF(C731="","",IF('Daily Sale entry '!Q731="Credit Sale 赊销",'Daily Sale entry '!S731,0))</f>
        <v/>
      </c>
      <c r="E731">
        <f>IF(C731="","",IF('Daily Sale entry '!Q731="Collection 收款",'Daily Sale entry '!S731,0))</f>
        <v/>
      </c>
      <c r="F731" s="37">
        <f>IF(C731="","",B731+IF(E731&gt;0,0,0.5)+ROW()/10000000)</f>
        <v/>
      </c>
      <c r="G731">
        <f>IF(C731="","",'Daily Sale entry '!Q731&amp;IF('Daily Sale entry '!Q731="Collection 收款"," ("&amp;'Daily Sale entry '!R731&amp;")","")&amp;IF('Daily Sale entry '!U731="",""," - "&amp;'Daily Sale entry '!U731))</f>
        <v/>
      </c>
      <c r="H731">
        <f>IF(C731="","",COUNTIFS($C$2:$C$3001,C731,$F$2:$F$3001,"&lt;"&amp;F731)+1)</f>
        <v/>
      </c>
      <c r="I731">
        <f>IF(C731="","",C731&amp;"|"&amp;H731)</f>
        <v/>
      </c>
      <c r="J731" s="6">
        <f>IF(C731="","",IF(H731=1,SUMIFS('Opening Balance'!$F$4:$F$303,'Opening Balance'!$G$4:$G$303,C731),INDEX($L$2:$L$3001,MATCH(C731&amp;"|"&amp;(H731-1),$I$2:$I$3001,0))))</f>
        <v/>
      </c>
      <c r="K731" s="6">
        <f>IF(C731="","",IF(M731&gt;0,M731,IF(AND(E731&gt;0,ROUND(J731+D731-E731,2)&gt;0,ROUND(J731+D731-E731,2)&lt;'Opening Balance'!$B$14),ROUND(J731+D731-E731,2),0)))</f>
        <v/>
      </c>
      <c r="L731" s="6">
        <f>IF(C731="","",ROUND(J731+D731-E731-K731,2))</f>
        <v/>
      </c>
      <c r="M731" s="6">
        <f>IF(C731="","",IF('Daily Sale entry '!Q731="Collection 收款",ROUND(N('Daily Sale entry '!T731),2),0))</f>
        <v/>
      </c>
    </row>
    <row r="732">
      <c r="A732" t="inlineStr">
        <is>
          <t>Entry 记录</t>
        </is>
      </c>
      <c r="B732" s="5">
        <f>IF('Daily Sale entry '!P732="","",'Daily Sale entry '!O732)</f>
        <v/>
      </c>
      <c r="C732">
        <f>IF('Daily Sale entry '!P732="","",'Daily Sale entry '!P732)</f>
        <v/>
      </c>
      <c r="D732">
        <f>IF(C732="","",IF('Daily Sale entry '!Q732="Credit Sale 赊销",'Daily Sale entry '!S732,0))</f>
        <v/>
      </c>
      <c r="E732">
        <f>IF(C732="","",IF('Daily Sale entry '!Q732="Collection 收款",'Daily Sale entry '!S732,0))</f>
        <v/>
      </c>
      <c r="F732" s="37">
        <f>IF(C732="","",B732+IF(E732&gt;0,0,0.5)+ROW()/10000000)</f>
        <v/>
      </c>
      <c r="G732">
        <f>IF(C732="","",'Daily Sale entry '!Q732&amp;IF('Daily Sale entry '!Q732="Collection 收款"," ("&amp;'Daily Sale entry '!R732&amp;")","")&amp;IF('Daily Sale entry '!U732="",""," - "&amp;'Daily Sale entry '!U732))</f>
        <v/>
      </c>
      <c r="H732">
        <f>IF(C732="","",COUNTIFS($C$2:$C$3001,C732,$F$2:$F$3001,"&lt;"&amp;F732)+1)</f>
        <v/>
      </c>
      <c r="I732">
        <f>IF(C732="","",C732&amp;"|"&amp;H732)</f>
        <v/>
      </c>
      <c r="J732" s="6">
        <f>IF(C732="","",IF(H732=1,SUMIFS('Opening Balance'!$F$4:$F$303,'Opening Balance'!$G$4:$G$303,C732),INDEX($L$2:$L$3001,MATCH(C732&amp;"|"&amp;(H732-1),$I$2:$I$3001,0))))</f>
        <v/>
      </c>
      <c r="K732" s="6">
        <f>IF(C732="","",IF(M732&gt;0,M732,IF(AND(E732&gt;0,ROUND(J732+D732-E732,2)&gt;0,ROUND(J732+D732-E732,2)&lt;'Opening Balance'!$B$14),ROUND(J732+D732-E732,2),0)))</f>
        <v/>
      </c>
      <c r="L732" s="6">
        <f>IF(C732="","",ROUND(J732+D732-E732-K732,2))</f>
        <v/>
      </c>
      <c r="M732" s="6">
        <f>IF(C732="","",IF('Daily Sale entry '!Q732="Collection 收款",ROUND(N('Daily Sale entry '!T732),2),0))</f>
        <v/>
      </c>
    </row>
    <row r="733">
      <c r="A733" t="inlineStr">
        <is>
          <t>Entry 记录</t>
        </is>
      </c>
      <c r="B733" s="5">
        <f>IF('Daily Sale entry '!P733="","",'Daily Sale entry '!O733)</f>
        <v/>
      </c>
      <c r="C733">
        <f>IF('Daily Sale entry '!P733="","",'Daily Sale entry '!P733)</f>
        <v/>
      </c>
      <c r="D733">
        <f>IF(C733="","",IF('Daily Sale entry '!Q733="Credit Sale 赊销",'Daily Sale entry '!S733,0))</f>
        <v/>
      </c>
      <c r="E733">
        <f>IF(C733="","",IF('Daily Sale entry '!Q733="Collection 收款",'Daily Sale entry '!S733,0))</f>
        <v/>
      </c>
      <c r="F733" s="37">
        <f>IF(C733="","",B733+IF(E733&gt;0,0,0.5)+ROW()/10000000)</f>
        <v/>
      </c>
      <c r="G733">
        <f>IF(C733="","",'Daily Sale entry '!Q733&amp;IF('Daily Sale entry '!Q733="Collection 收款"," ("&amp;'Daily Sale entry '!R733&amp;")","")&amp;IF('Daily Sale entry '!U733="",""," - "&amp;'Daily Sale entry '!U733))</f>
        <v/>
      </c>
      <c r="H733">
        <f>IF(C733="","",COUNTIFS($C$2:$C$3001,C733,$F$2:$F$3001,"&lt;"&amp;F733)+1)</f>
        <v/>
      </c>
      <c r="I733">
        <f>IF(C733="","",C733&amp;"|"&amp;H733)</f>
        <v/>
      </c>
      <c r="J733" s="6">
        <f>IF(C733="","",IF(H733=1,SUMIFS('Opening Balance'!$F$4:$F$303,'Opening Balance'!$G$4:$G$303,C733),INDEX($L$2:$L$3001,MATCH(C733&amp;"|"&amp;(H733-1),$I$2:$I$3001,0))))</f>
        <v/>
      </c>
      <c r="K733" s="6">
        <f>IF(C733="","",IF(M733&gt;0,M733,IF(AND(E733&gt;0,ROUND(J733+D733-E733,2)&gt;0,ROUND(J733+D733-E733,2)&lt;'Opening Balance'!$B$14),ROUND(J733+D733-E733,2),0)))</f>
        <v/>
      </c>
      <c r="L733" s="6">
        <f>IF(C733="","",ROUND(J733+D733-E733-K733,2))</f>
        <v/>
      </c>
      <c r="M733" s="6">
        <f>IF(C733="","",IF('Daily Sale entry '!Q733="Collection 收款",ROUND(N('Daily Sale entry '!T733),2),0))</f>
        <v/>
      </c>
    </row>
    <row r="734">
      <c r="A734" t="inlineStr">
        <is>
          <t>Entry 记录</t>
        </is>
      </c>
      <c r="B734" s="5">
        <f>IF('Daily Sale entry '!P734="","",'Daily Sale entry '!O734)</f>
        <v/>
      </c>
      <c r="C734">
        <f>IF('Daily Sale entry '!P734="","",'Daily Sale entry '!P734)</f>
        <v/>
      </c>
      <c r="D734">
        <f>IF(C734="","",IF('Daily Sale entry '!Q734="Credit Sale 赊销",'Daily Sale entry '!S734,0))</f>
        <v/>
      </c>
      <c r="E734">
        <f>IF(C734="","",IF('Daily Sale entry '!Q734="Collection 收款",'Daily Sale entry '!S734,0))</f>
        <v/>
      </c>
      <c r="F734" s="37">
        <f>IF(C734="","",B734+IF(E734&gt;0,0,0.5)+ROW()/10000000)</f>
        <v/>
      </c>
      <c r="G734">
        <f>IF(C734="","",'Daily Sale entry '!Q734&amp;IF('Daily Sale entry '!Q734="Collection 收款"," ("&amp;'Daily Sale entry '!R734&amp;")","")&amp;IF('Daily Sale entry '!U734="",""," - "&amp;'Daily Sale entry '!U734))</f>
        <v/>
      </c>
      <c r="H734">
        <f>IF(C734="","",COUNTIFS($C$2:$C$3001,C734,$F$2:$F$3001,"&lt;"&amp;F734)+1)</f>
        <v/>
      </c>
      <c r="I734">
        <f>IF(C734="","",C734&amp;"|"&amp;H734)</f>
        <v/>
      </c>
      <c r="J734" s="6">
        <f>IF(C734="","",IF(H734=1,SUMIFS('Opening Balance'!$F$4:$F$303,'Opening Balance'!$G$4:$G$303,C734),INDEX($L$2:$L$3001,MATCH(C734&amp;"|"&amp;(H734-1),$I$2:$I$3001,0))))</f>
        <v/>
      </c>
      <c r="K734" s="6">
        <f>IF(C734="","",IF(M734&gt;0,M734,IF(AND(E734&gt;0,ROUND(J734+D734-E734,2)&gt;0,ROUND(J734+D734-E734,2)&lt;'Opening Balance'!$B$14),ROUND(J734+D734-E734,2),0)))</f>
        <v/>
      </c>
      <c r="L734" s="6">
        <f>IF(C734="","",ROUND(J734+D734-E734-K734,2))</f>
        <v/>
      </c>
      <c r="M734" s="6">
        <f>IF(C734="","",IF('Daily Sale entry '!Q734="Collection 收款",ROUND(N('Daily Sale entry '!T734),2),0))</f>
        <v/>
      </c>
    </row>
    <row r="735">
      <c r="A735" t="inlineStr">
        <is>
          <t>Entry 记录</t>
        </is>
      </c>
      <c r="B735" s="5">
        <f>IF('Daily Sale entry '!P735="","",'Daily Sale entry '!O735)</f>
        <v/>
      </c>
      <c r="C735">
        <f>IF('Daily Sale entry '!P735="","",'Daily Sale entry '!P735)</f>
        <v/>
      </c>
      <c r="D735">
        <f>IF(C735="","",IF('Daily Sale entry '!Q735="Credit Sale 赊销",'Daily Sale entry '!S735,0))</f>
        <v/>
      </c>
      <c r="E735">
        <f>IF(C735="","",IF('Daily Sale entry '!Q735="Collection 收款",'Daily Sale entry '!S735,0))</f>
        <v/>
      </c>
      <c r="F735" s="37">
        <f>IF(C735="","",B735+IF(E735&gt;0,0,0.5)+ROW()/10000000)</f>
        <v/>
      </c>
      <c r="G735">
        <f>IF(C735="","",'Daily Sale entry '!Q735&amp;IF('Daily Sale entry '!Q735="Collection 收款"," ("&amp;'Daily Sale entry '!R735&amp;")","")&amp;IF('Daily Sale entry '!U735="",""," - "&amp;'Daily Sale entry '!U735))</f>
        <v/>
      </c>
      <c r="H735">
        <f>IF(C735="","",COUNTIFS($C$2:$C$3001,C735,$F$2:$F$3001,"&lt;"&amp;F735)+1)</f>
        <v/>
      </c>
      <c r="I735">
        <f>IF(C735="","",C735&amp;"|"&amp;H735)</f>
        <v/>
      </c>
      <c r="J735" s="6">
        <f>IF(C735="","",IF(H735=1,SUMIFS('Opening Balance'!$F$4:$F$303,'Opening Balance'!$G$4:$G$303,C735),INDEX($L$2:$L$3001,MATCH(C735&amp;"|"&amp;(H735-1),$I$2:$I$3001,0))))</f>
        <v/>
      </c>
      <c r="K735" s="6">
        <f>IF(C735="","",IF(M735&gt;0,M735,IF(AND(E735&gt;0,ROUND(J735+D735-E735,2)&gt;0,ROUND(J735+D735-E735,2)&lt;'Opening Balance'!$B$14),ROUND(J735+D735-E735,2),0)))</f>
        <v/>
      </c>
      <c r="L735" s="6">
        <f>IF(C735="","",ROUND(J735+D735-E735-K735,2))</f>
        <v/>
      </c>
      <c r="M735" s="6">
        <f>IF(C735="","",IF('Daily Sale entry '!Q735="Collection 收款",ROUND(N('Daily Sale entry '!T735),2),0))</f>
        <v/>
      </c>
    </row>
    <row r="736">
      <c r="A736" t="inlineStr">
        <is>
          <t>Entry 记录</t>
        </is>
      </c>
      <c r="B736" s="5">
        <f>IF('Daily Sale entry '!P736="","",'Daily Sale entry '!O736)</f>
        <v/>
      </c>
      <c r="C736">
        <f>IF('Daily Sale entry '!P736="","",'Daily Sale entry '!P736)</f>
        <v/>
      </c>
      <c r="D736">
        <f>IF(C736="","",IF('Daily Sale entry '!Q736="Credit Sale 赊销",'Daily Sale entry '!S736,0))</f>
        <v/>
      </c>
      <c r="E736">
        <f>IF(C736="","",IF('Daily Sale entry '!Q736="Collection 收款",'Daily Sale entry '!S736,0))</f>
        <v/>
      </c>
      <c r="F736" s="37">
        <f>IF(C736="","",B736+IF(E736&gt;0,0,0.5)+ROW()/10000000)</f>
        <v/>
      </c>
      <c r="G736">
        <f>IF(C736="","",'Daily Sale entry '!Q736&amp;IF('Daily Sale entry '!Q736="Collection 收款"," ("&amp;'Daily Sale entry '!R736&amp;")","")&amp;IF('Daily Sale entry '!U736="",""," - "&amp;'Daily Sale entry '!U736))</f>
        <v/>
      </c>
      <c r="H736">
        <f>IF(C736="","",COUNTIFS($C$2:$C$3001,C736,$F$2:$F$3001,"&lt;"&amp;F736)+1)</f>
        <v/>
      </c>
      <c r="I736">
        <f>IF(C736="","",C736&amp;"|"&amp;H736)</f>
        <v/>
      </c>
      <c r="J736" s="6">
        <f>IF(C736="","",IF(H736=1,SUMIFS('Opening Balance'!$F$4:$F$303,'Opening Balance'!$G$4:$G$303,C736),INDEX($L$2:$L$3001,MATCH(C736&amp;"|"&amp;(H736-1),$I$2:$I$3001,0))))</f>
        <v/>
      </c>
      <c r="K736" s="6">
        <f>IF(C736="","",IF(M736&gt;0,M736,IF(AND(E736&gt;0,ROUND(J736+D736-E736,2)&gt;0,ROUND(J736+D736-E736,2)&lt;'Opening Balance'!$B$14),ROUND(J736+D736-E736,2),0)))</f>
        <v/>
      </c>
      <c r="L736" s="6">
        <f>IF(C736="","",ROUND(J736+D736-E736-K736,2))</f>
        <v/>
      </c>
      <c r="M736" s="6">
        <f>IF(C736="","",IF('Daily Sale entry '!Q736="Collection 收款",ROUND(N('Daily Sale entry '!T736),2),0))</f>
        <v/>
      </c>
    </row>
    <row r="737">
      <c r="A737" t="inlineStr">
        <is>
          <t>Entry 记录</t>
        </is>
      </c>
      <c r="B737" s="5">
        <f>IF('Daily Sale entry '!P737="","",'Daily Sale entry '!O737)</f>
        <v/>
      </c>
      <c r="C737">
        <f>IF('Daily Sale entry '!P737="","",'Daily Sale entry '!P737)</f>
        <v/>
      </c>
      <c r="D737">
        <f>IF(C737="","",IF('Daily Sale entry '!Q737="Credit Sale 赊销",'Daily Sale entry '!S737,0))</f>
        <v/>
      </c>
      <c r="E737">
        <f>IF(C737="","",IF('Daily Sale entry '!Q737="Collection 收款",'Daily Sale entry '!S737,0))</f>
        <v/>
      </c>
      <c r="F737" s="37">
        <f>IF(C737="","",B737+IF(E737&gt;0,0,0.5)+ROW()/10000000)</f>
        <v/>
      </c>
      <c r="G737">
        <f>IF(C737="","",'Daily Sale entry '!Q737&amp;IF('Daily Sale entry '!Q737="Collection 收款"," ("&amp;'Daily Sale entry '!R737&amp;")","")&amp;IF('Daily Sale entry '!U737="",""," - "&amp;'Daily Sale entry '!U737))</f>
        <v/>
      </c>
      <c r="H737">
        <f>IF(C737="","",COUNTIFS($C$2:$C$3001,C737,$F$2:$F$3001,"&lt;"&amp;F737)+1)</f>
        <v/>
      </c>
      <c r="I737">
        <f>IF(C737="","",C737&amp;"|"&amp;H737)</f>
        <v/>
      </c>
      <c r="J737" s="6">
        <f>IF(C737="","",IF(H737=1,SUMIFS('Opening Balance'!$F$4:$F$303,'Opening Balance'!$G$4:$G$303,C737),INDEX($L$2:$L$3001,MATCH(C737&amp;"|"&amp;(H737-1),$I$2:$I$3001,0))))</f>
        <v/>
      </c>
      <c r="K737" s="6">
        <f>IF(C737="","",IF(M737&gt;0,M737,IF(AND(E737&gt;0,ROUND(J737+D737-E737,2)&gt;0,ROUND(J737+D737-E737,2)&lt;'Opening Balance'!$B$14),ROUND(J737+D737-E737,2),0)))</f>
        <v/>
      </c>
      <c r="L737" s="6">
        <f>IF(C737="","",ROUND(J737+D737-E737-K737,2))</f>
        <v/>
      </c>
      <c r="M737" s="6">
        <f>IF(C737="","",IF('Daily Sale entry '!Q737="Collection 收款",ROUND(N('Daily Sale entry '!T737),2),0))</f>
        <v/>
      </c>
    </row>
    <row r="738">
      <c r="A738" t="inlineStr">
        <is>
          <t>Entry 记录</t>
        </is>
      </c>
      <c r="B738" s="5">
        <f>IF('Daily Sale entry '!P738="","",'Daily Sale entry '!O738)</f>
        <v/>
      </c>
      <c r="C738">
        <f>IF('Daily Sale entry '!P738="","",'Daily Sale entry '!P738)</f>
        <v/>
      </c>
      <c r="D738">
        <f>IF(C738="","",IF('Daily Sale entry '!Q738="Credit Sale 赊销",'Daily Sale entry '!S738,0))</f>
        <v/>
      </c>
      <c r="E738">
        <f>IF(C738="","",IF('Daily Sale entry '!Q738="Collection 收款",'Daily Sale entry '!S738,0))</f>
        <v/>
      </c>
      <c r="F738" s="37">
        <f>IF(C738="","",B738+IF(E738&gt;0,0,0.5)+ROW()/10000000)</f>
        <v/>
      </c>
      <c r="G738">
        <f>IF(C738="","",'Daily Sale entry '!Q738&amp;IF('Daily Sale entry '!Q738="Collection 收款"," ("&amp;'Daily Sale entry '!R738&amp;")","")&amp;IF('Daily Sale entry '!U738="",""," - "&amp;'Daily Sale entry '!U738))</f>
        <v/>
      </c>
      <c r="H738">
        <f>IF(C738="","",COUNTIFS($C$2:$C$3001,C738,$F$2:$F$3001,"&lt;"&amp;F738)+1)</f>
        <v/>
      </c>
      <c r="I738">
        <f>IF(C738="","",C738&amp;"|"&amp;H738)</f>
        <v/>
      </c>
      <c r="J738" s="6">
        <f>IF(C738="","",IF(H738=1,SUMIFS('Opening Balance'!$F$4:$F$303,'Opening Balance'!$G$4:$G$303,C738),INDEX($L$2:$L$3001,MATCH(C738&amp;"|"&amp;(H738-1),$I$2:$I$3001,0))))</f>
        <v/>
      </c>
      <c r="K738" s="6">
        <f>IF(C738="","",IF(M738&gt;0,M738,IF(AND(E738&gt;0,ROUND(J738+D738-E738,2)&gt;0,ROUND(J738+D738-E738,2)&lt;'Opening Balance'!$B$14),ROUND(J738+D738-E738,2),0)))</f>
        <v/>
      </c>
      <c r="L738" s="6">
        <f>IF(C738="","",ROUND(J738+D738-E738-K738,2))</f>
        <v/>
      </c>
      <c r="M738" s="6">
        <f>IF(C738="","",IF('Daily Sale entry '!Q738="Collection 收款",ROUND(N('Daily Sale entry '!T738),2),0))</f>
        <v/>
      </c>
    </row>
    <row r="739">
      <c r="A739" t="inlineStr">
        <is>
          <t>Entry 记录</t>
        </is>
      </c>
      <c r="B739" s="5">
        <f>IF('Daily Sale entry '!P739="","",'Daily Sale entry '!O739)</f>
        <v/>
      </c>
      <c r="C739">
        <f>IF('Daily Sale entry '!P739="","",'Daily Sale entry '!P739)</f>
        <v/>
      </c>
      <c r="D739">
        <f>IF(C739="","",IF('Daily Sale entry '!Q739="Credit Sale 赊销",'Daily Sale entry '!S739,0))</f>
        <v/>
      </c>
      <c r="E739">
        <f>IF(C739="","",IF('Daily Sale entry '!Q739="Collection 收款",'Daily Sale entry '!S739,0))</f>
        <v/>
      </c>
      <c r="F739" s="37">
        <f>IF(C739="","",B739+IF(E739&gt;0,0,0.5)+ROW()/10000000)</f>
        <v/>
      </c>
      <c r="G739">
        <f>IF(C739="","",'Daily Sale entry '!Q739&amp;IF('Daily Sale entry '!Q739="Collection 收款"," ("&amp;'Daily Sale entry '!R739&amp;")","")&amp;IF('Daily Sale entry '!U739="",""," - "&amp;'Daily Sale entry '!U739))</f>
        <v/>
      </c>
      <c r="H739">
        <f>IF(C739="","",COUNTIFS($C$2:$C$3001,C739,$F$2:$F$3001,"&lt;"&amp;F739)+1)</f>
        <v/>
      </c>
      <c r="I739">
        <f>IF(C739="","",C739&amp;"|"&amp;H739)</f>
        <v/>
      </c>
      <c r="J739" s="6">
        <f>IF(C739="","",IF(H739=1,SUMIFS('Opening Balance'!$F$4:$F$303,'Opening Balance'!$G$4:$G$303,C739),INDEX($L$2:$L$3001,MATCH(C739&amp;"|"&amp;(H739-1),$I$2:$I$3001,0))))</f>
        <v/>
      </c>
      <c r="K739" s="6">
        <f>IF(C739="","",IF(M739&gt;0,M739,IF(AND(E739&gt;0,ROUND(J739+D739-E739,2)&gt;0,ROUND(J739+D739-E739,2)&lt;'Opening Balance'!$B$14),ROUND(J739+D739-E739,2),0)))</f>
        <v/>
      </c>
      <c r="L739" s="6">
        <f>IF(C739="","",ROUND(J739+D739-E739-K739,2))</f>
        <v/>
      </c>
      <c r="M739" s="6">
        <f>IF(C739="","",IF('Daily Sale entry '!Q739="Collection 收款",ROUND(N('Daily Sale entry '!T739),2),0))</f>
        <v/>
      </c>
    </row>
    <row r="740">
      <c r="A740" t="inlineStr">
        <is>
          <t>Entry 记录</t>
        </is>
      </c>
      <c r="B740" s="5">
        <f>IF('Daily Sale entry '!P740="","",'Daily Sale entry '!O740)</f>
        <v/>
      </c>
      <c r="C740">
        <f>IF('Daily Sale entry '!P740="","",'Daily Sale entry '!P740)</f>
        <v/>
      </c>
      <c r="D740">
        <f>IF(C740="","",IF('Daily Sale entry '!Q740="Credit Sale 赊销",'Daily Sale entry '!S740,0))</f>
        <v/>
      </c>
      <c r="E740">
        <f>IF(C740="","",IF('Daily Sale entry '!Q740="Collection 收款",'Daily Sale entry '!S740,0))</f>
        <v/>
      </c>
      <c r="F740" s="37">
        <f>IF(C740="","",B740+IF(E740&gt;0,0,0.5)+ROW()/10000000)</f>
        <v/>
      </c>
      <c r="G740">
        <f>IF(C740="","",'Daily Sale entry '!Q740&amp;IF('Daily Sale entry '!Q740="Collection 收款"," ("&amp;'Daily Sale entry '!R740&amp;")","")&amp;IF('Daily Sale entry '!U740="",""," - "&amp;'Daily Sale entry '!U740))</f>
        <v/>
      </c>
      <c r="H740">
        <f>IF(C740="","",COUNTIFS($C$2:$C$3001,C740,$F$2:$F$3001,"&lt;"&amp;F740)+1)</f>
        <v/>
      </c>
      <c r="I740">
        <f>IF(C740="","",C740&amp;"|"&amp;H740)</f>
        <v/>
      </c>
      <c r="J740" s="6">
        <f>IF(C740="","",IF(H740=1,SUMIFS('Opening Balance'!$F$4:$F$303,'Opening Balance'!$G$4:$G$303,C740),INDEX($L$2:$L$3001,MATCH(C740&amp;"|"&amp;(H740-1),$I$2:$I$3001,0))))</f>
        <v/>
      </c>
      <c r="K740" s="6">
        <f>IF(C740="","",IF(M740&gt;0,M740,IF(AND(E740&gt;0,ROUND(J740+D740-E740,2)&gt;0,ROUND(J740+D740-E740,2)&lt;'Opening Balance'!$B$14),ROUND(J740+D740-E740,2),0)))</f>
        <v/>
      </c>
      <c r="L740" s="6">
        <f>IF(C740="","",ROUND(J740+D740-E740-K740,2))</f>
        <v/>
      </c>
      <c r="M740" s="6">
        <f>IF(C740="","",IF('Daily Sale entry '!Q740="Collection 收款",ROUND(N('Daily Sale entry '!T740),2),0))</f>
        <v/>
      </c>
    </row>
    <row r="741">
      <c r="A741" t="inlineStr">
        <is>
          <t>Entry 记录</t>
        </is>
      </c>
      <c r="B741" s="5">
        <f>IF('Daily Sale entry '!P741="","",'Daily Sale entry '!O741)</f>
        <v/>
      </c>
      <c r="C741">
        <f>IF('Daily Sale entry '!P741="","",'Daily Sale entry '!P741)</f>
        <v/>
      </c>
      <c r="D741">
        <f>IF(C741="","",IF('Daily Sale entry '!Q741="Credit Sale 赊销",'Daily Sale entry '!S741,0))</f>
        <v/>
      </c>
      <c r="E741">
        <f>IF(C741="","",IF('Daily Sale entry '!Q741="Collection 收款",'Daily Sale entry '!S741,0))</f>
        <v/>
      </c>
      <c r="F741" s="37">
        <f>IF(C741="","",B741+IF(E741&gt;0,0,0.5)+ROW()/10000000)</f>
        <v/>
      </c>
      <c r="G741">
        <f>IF(C741="","",'Daily Sale entry '!Q741&amp;IF('Daily Sale entry '!Q741="Collection 收款"," ("&amp;'Daily Sale entry '!R741&amp;")","")&amp;IF('Daily Sale entry '!U741="",""," - "&amp;'Daily Sale entry '!U741))</f>
        <v/>
      </c>
      <c r="H741">
        <f>IF(C741="","",COUNTIFS($C$2:$C$3001,C741,$F$2:$F$3001,"&lt;"&amp;F741)+1)</f>
        <v/>
      </c>
      <c r="I741">
        <f>IF(C741="","",C741&amp;"|"&amp;H741)</f>
        <v/>
      </c>
      <c r="J741" s="6">
        <f>IF(C741="","",IF(H741=1,SUMIFS('Opening Balance'!$F$4:$F$303,'Opening Balance'!$G$4:$G$303,C741),INDEX($L$2:$L$3001,MATCH(C741&amp;"|"&amp;(H741-1),$I$2:$I$3001,0))))</f>
        <v/>
      </c>
      <c r="K741" s="6">
        <f>IF(C741="","",IF(M741&gt;0,M741,IF(AND(E741&gt;0,ROUND(J741+D741-E741,2)&gt;0,ROUND(J741+D741-E741,2)&lt;'Opening Balance'!$B$14),ROUND(J741+D741-E741,2),0)))</f>
        <v/>
      </c>
      <c r="L741" s="6">
        <f>IF(C741="","",ROUND(J741+D741-E741-K741,2))</f>
        <v/>
      </c>
      <c r="M741" s="6">
        <f>IF(C741="","",IF('Daily Sale entry '!Q741="Collection 收款",ROUND(N('Daily Sale entry '!T741),2),0))</f>
        <v/>
      </c>
    </row>
    <row r="742">
      <c r="A742" t="inlineStr">
        <is>
          <t>Entry 记录</t>
        </is>
      </c>
      <c r="B742" s="5">
        <f>IF('Daily Sale entry '!P742="","",'Daily Sale entry '!O742)</f>
        <v/>
      </c>
      <c r="C742">
        <f>IF('Daily Sale entry '!P742="","",'Daily Sale entry '!P742)</f>
        <v/>
      </c>
      <c r="D742">
        <f>IF(C742="","",IF('Daily Sale entry '!Q742="Credit Sale 赊销",'Daily Sale entry '!S742,0))</f>
        <v/>
      </c>
      <c r="E742">
        <f>IF(C742="","",IF('Daily Sale entry '!Q742="Collection 收款",'Daily Sale entry '!S742,0))</f>
        <v/>
      </c>
      <c r="F742" s="37">
        <f>IF(C742="","",B742+IF(E742&gt;0,0,0.5)+ROW()/10000000)</f>
        <v/>
      </c>
      <c r="G742">
        <f>IF(C742="","",'Daily Sale entry '!Q742&amp;IF('Daily Sale entry '!Q742="Collection 收款"," ("&amp;'Daily Sale entry '!R742&amp;")","")&amp;IF('Daily Sale entry '!U742="",""," - "&amp;'Daily Sale entry '!U742))</f>
        <v/>
      </c>
      <c r="H742">
        <f>IF(C742="","",COUNTIFS($C$2:$C$3001,C742,$F$2:$F$3001,"&lt;"&amp;F742)+1)</f>
        <v/>
      </c>
      <c r="I742">
        <f>IF(C742="","",C742&amp;"|"&amp;H742)</f>
        <v/>
      </c>
      <c r="J742" s="6">
        <f>IF(C742="","",IF(H742=1,SUMIFS('Opening Balance'!$F$4:$F$303,'Opening Balance'!$G$4:$G$303,C742),INDEX($L$2:$L$3001,MATCH(C742&amp;"|"&amp;(H742-1),$I$2:$I$3001,0))))</f>
        <v/>
      </c>
      <c r="K742" s="6">
        <f>IF(C742="","",IF(M742&gt;0,M742,IF(AND(E742&gt;0,ROUND(J742+D742-E742,2)&gt;0,ROUND(J742+D742-E742,2)&lt;'Opening Balance'!$B$14),ROUND(J742+D742-E742,2),0)))</f>
        <v/>
      </c>
      <c r="L742" s="6">
        <f>IF(C742="","",ROUND(J742+D742-E742-K742,2))</f>
        <v/>
      </c>
      <c r="M742" s="6">
        <f>IF(C742="","",IF('Daily Sale entry '!Q742="Collection 收款",ROUND(N('Daily Sale entry '!T742),2),0))</f>
        <v/>
      </c>
    </row>
    <row r="743">
      <c r="A743" t="inlineStr">
        <is>
          <t>Entry 记录</t>
        </is>
      </c>
      <c r="B743" s="5">
        <f>IF('Daily Sale entry '!P743="","",'Daily Sale entry '!O743)</f>
        <v/>
      </c>
      <c r="C743">
        <f>IF('Daily Sale entry '!P743="","",'Daily Sale entry '!P743)</f>
        <v/>
      </c>
      <c r="D743">
        <f>IF(C743="","",IF('Daily Sale entry '!Q743="Credit Sale 赊销",'Daily Sale entry '!S743,0))</f>
        <v/>
      </c>
      <c r="E743">
        <f>IF(C743="","",IF('Daily Sale entry '!Q743="Collection 收款",'Daily Sale entry '!S743,0))</f>
        <v/>
      </c>
      <c r="F743" s="37">
        <f>IF(C743="","",B743+IF(E743&gt;0,0,0.5)+ROW()/10000000)</f>
        <v/>
      </c>
      <c r="G743">
        <f>IF(C743="","",'Daily Sale entry '!Q743&amp;IF('Daily Sale entry '!Q743="Collection 收款"," ("&amp;'Daily Sale entry '!R743&amp;")","")&amp;IF('Daily Sale entry '!U743="",""," - "&amp;'Daily Sale entry '!U743))</f>
        <v/>
      </c>
      <c r="H743">
        <f>IF(C743="","",COUNTIFS($C$2:$C$3001,C743,$F$2:$F$3001,"&lt;"&amp;F743)+1)</f>
        <v/>
      </c>
      <c r="I743">
        <f>IF(C743="","",C743&amp;"|"&amp;H743)</f>
        <v/>
      </c>
      <c r="J743" s="6">
        <f>IF(C743="","",IF(H743=1,SUMIFS('Opening Balance'!$F$4:$F$303,'Opening Balance'!$G$4:$G$303,C743),INDEX($L$2:$L$3001,MATCH(C743&amp;"|"&amp;(H743-1),$I$2:$I$3001,0))))</f>
        <v/>
      </c>
      <c r="K743" s="6">
        <f>IF(C743="","",IF(M743&gt;0,M743,IF(AND(E743&gt;0,ROUND(J743+D743-E743,2)&gt;0,ROUND(J743+D743-E743,2)&lt;'Opening Balance'!$B$14),ROUND(J743+D743-E743,2),0)))</f>
        <v/>
      </c>
      <c r="L743" s="6">
        <f>IF(C743="","",ROUND(J743+D743-E743-K743,2))</f>
        <v/>
      </c>
      <c r="M743" s="6">
        <f>IF(C743="","",IF('Daily Sale entry '!Q743="Collection 收款",ROUND(N('Daily Sale entry '!T743),2),0))</f>
        <v/>
      </c>
    </row>
    <row r="744">
      <c r="A744" t="inlineStr">
        <is>
          <t>Entry 记录</t>
        </is>
      </c>
      <c r="B744" s="5">
        <f>IF('Daily Sale entry '!P744="","",'Daily Sale entry '!O744)</f>
        <v/>
      </c>
      <c r="C744">
        <f>IF('Daily Sale entry '!P744="","",'Daily Sale entry '!P744)</f>
        <v/>
      </c>
      <c r="D744">
        <f>IF(C744="","",IF('Daily Sale entry '!Q744="Credit Sale 赊销",'Daily Sale entry '!S744,0))</f>
        <v/>
      </c>
      <c r="E744">
        <f>IF(C744="","",IF('Daily Sale entry '!Q744="Collection 收款",'Daily Sale entry '!S744,0))</f>
        <v/>
      </c>
      <c r="F744" s="37">
        <f>IF(C744="","",B744+IF(E744&gt;0,0,0.5)+ROW()/10000000)</f>
        <v/>
      </c>
      <c r="G744">
        <f>IF(C744="","",'Daily Sale entry '!Q744&amp;IF('Daily Sale entry '!Q744="Collection 收款"," ("&amp;'Daily Sale entry '!R744&amp;")","")&amp;IF('Daily Sale entry '!U744="",""," - "&amp;'Daily Sale entry '!U744))</f>
        <v/>
      </c>
      <c r="H744">
        <f>IF(C744="","",COUNTIFS($C$2:$C$3001,C744,$F$2:$F$3001,"&lt;"&amp;F744)+1)</f>
        <v/>
      </c>
      <c r="I744">
        <f>IF(C744="","",C744&amp;"|"&amp;H744)</f>
        <v/>
      </c>
      <c r="J744" s="6">
        <f>IF(C744="","",IF(H744=1,SUMIFS('Opening Balance'!$F$4:$F$303,'Opening Balance'!$G$4:$G$303,C744),INDEX($L$2:$L$3001,MATCH(C744&amp;"|"&amp;(H744-1),$I$2:$I$3001,0))))</f>
        <v/>
      </c>
      <c r="K744" s="6">
        <f>IF(C744="","",IF(M744&gt;0,M744,IF(AND(E744&gt;0,ROUND(J744+D744-E744,2)&gt;0,ROUND(J744+D744-E744,2)&lt;'Opening Balance'!$B$14),ROUND(J744+D744-E744,2),0)))</f>
        <v/>
      </c>
      <c r="L744" s="6">
        <f>IF(C744="","",ROUND(J744+D744-E744-K744,2))</f>
        <v/>
      </c>
      <c r="M744" s="6">
        <f>IF(C744="","",IF('Daily Sale entry '!Q744="Collection 收款",ROUND(N('Daily Sale entry '!T744),2),0))</f>
        <v/>
      </c>
    </row>
    <row r="745">
      <c r="A745" t="inlineStr">
        <is>
          <t>Entry 记录</t>
        </is>
      </c>
      <c r="B745" s="5">
        <f>IF('Daily Sale entry '!P745="","",'Daily Sale entry '!O745)</f>
        <v/>
      </c>
      <c r="C745">
        <f>IF('Daily Sale entry '!P745="","",'Daily Sale entry '!P745)</f>
        <v/>
      </c>
      <c r="D745">
        <f>IF(C745="","",IF('Daily Sale entry '!Q745="Credit Sale 赊销",'Daily Sale entry '!S745,0))</f>
        <v/>
      </c>
      <c r="E745">
        <f>IF(C745="","",IF('Daily Sale entry '!Q745="Collection 收款",'Daily Sale entry '!S745,0))</f>
        <v/>
      </c>
      <c r="F745" s="37">
        <f>IF(C745="","",B745+IF(E745&gt;0,0,0.5)+ROW()/10000000)</f>
        <v/>
      </c>
      <c r="G745">
        <f>IF(C745="","",'Daily Sale entry '!Q745&amp;IF('Daily Sale entry '!Q745="Collection 收款"," ("&amp;'Daily Sale entry '!R745&amp;")","")&amp;IF('Daily Sale entry '!U745="",""," - "&amp;'Daily Sale entry '!U745))</f>
        <v/>
      </c>
      <c r="H745">
        <f>IF(C745="","",COUNTIFS($C$2:$C$3001,C745,$F$2:$F$3001,"&lt;"&amp;F745)+1)</f>
        <v/>
      </c>
      <c r="I745">
        <f>IF(C745="","",C745&amp;"|"&amp;H745)</f>
        <v/>
      </c>
      <c r="J745" s="6">
        <f>IF(C745="","",IF(H745=1,SUMIFS('Opening Balance'!$F$4:$F$303,'Opening Balance'!$G$4:$G$303,C745),INDEX($L$2:$L$3001,MATCH(C745&amp;"|"&amp;(H745-1),$I$2:$I$3001,0))))</f>
        <v/>
      </c>
      <c r="K745" s="6">
        <f>IF(C745="","",IF(M745&gt;0,M745,IF(AND(E745&gt;0,ROUND(J745+D745-E745,2)&gt;0,ROUND(J745+D745-E745,2)&lt;'Opening Balance'!$B$14),ROUND(J745+D745-E745,2),0)))</f>
        <v/>
      </c>
      <c r="L745" s="6">
        <f>IF(C745="","",ROUND(J745+D745-E745-K745,2))</f>
        <v/>
      </c>
      <c r="M745" s="6">
        <f>IF(C745="","",IF('Daily Sale entry '!Q745="Collection 收款",ROUND(N('Daily Sale entry '!T745),2),0))</f>
        <v/>
      </c>
    </row>
    <row r="746">
      <c r="A746" t="inlineStr">
        <is>
          <t>Entry 记录</t>
        </is>
      </c>
      <c r="B746" s="5">
        <f>IF('Daily Sale entry '!P746="","",'Daily Sale entry '!O746)</f>
        <v/>
      </c>
      <c r="C746">
        <f>IF('Daily Sale entry '!P746="","",'Daily Sale entry '!P746)</f>
        <v/>
      </c>
      <c r="D746">
        <f>IF(C746="","",IF('Daily Sale entry '!Q746="Credit Sale 赊销",'Daily Sale entry '!S746,0))</f>
        <v/>
      </c>
      <c r="E746">
        <f>IF(C746="","",IF('Daily Sale entry '!Q746="Collection 收款",'Daily Sale entry '!S746,0))</f>
        <v/>
      </c>
      <c r="F746" s="37">
        <f>IF(C746="","",B746+IF(E746&gt;0,0,0.5)+ROW()/10000000)</f>
        <v/>
      </c>
      <c r="G746">
        <f>IF(C746="","",'Daily Sale entry '!Q746&amp;IF('Daily Sale entry '!Q746="Collection 收款"," ("&amp;'Daily Sale entry '!R746&amp;")","")&amp;IF('Daily Sale entry '!U746="",""," - "&amp;'Daily Sale entry '!U746))</f>
        <v/>
      </c>
      <c r="H746">
        <f>IF(C746="","",COUNTIFS($C$2:$C$3001,C746,$F$2:$F$3001,"&lt;"&amp;F746)+1)</f>
        <v/>
      </c>
      <c r="I746">
        <f>IF(C746="","",C746&amp;"|"&amp;H746)</f>
        <v/>
      </c>
      <c r="J746" s="6">
        <f>IF(C746="","",IF(H746=1,SUMIFS('Opening Balance'!$F$4:$F$303,'Opening Balance'!$G$4:$G$303,C746),INDEX($L$2:$L$3001,MATCH(C746&amp;"|"&amp;(H746-1),$I$2:$I$3001,0))))</f>
        <v/>
      </c>
      <c r="K746" s="6">
        <f>IF(C746="","",IF(M746&gt;0,M746,IF(AND(E746&gt;0,ROUND(J746+D746-E746,2)&gt;0,ROUND(J746+D746-E746,2)&lt;'Opening Balance'!$B$14),ROUND(J746+D746-E746,2),0)))</f>
        <v/>
      </c>
      <c r="L746" s="6">
        <f>IF(C746="","",ROUND(J746+D746-E746-K746,2))</f>
        <v/>
      </c>
      <c r="M746" s="6">
        <f>IF(C746="","",IF('Daily Sale entry '!Q746="Collection 收款",ROUND(N('Daily Sale entry '!T746),2),0))</f>
        <v/>
      </c>
    </row>
    <row r="747">
      <c r="A747" t="inlineStr">
        <is>
          <t>Entry 记录</t>
        </is>
      </c>
      <c r="B747" s="5">
        <f>IF('Daily Sale entry '!P747="","",'Daily Sale entry '!O747)</f>
        <v/>
      </c>
      <c r="C747">
        <f>IF('Daily Sale entry '!P747="","",'Daily Sale entry '!P747)</f>
        <v/>
      </c>
      <c r="D747">
        <f>IF(C747="","",IF('Daily Sale entry '!Q747="Credit Sale 赊销",'Daily Sale entry '!S747,0))</f>
        <v/>
      </c>
      <c r="E747">
        <f>IF(C747="","",IF('Daily Sale entry '!Q747="Collection 收款",'Daily Sale entry '!S747,0))</f>
        <v/>
      </c>
      <c r="F747" s="37">
        <f>IF(C747="","",B747+IF(E747&gt;0,0,0.5)+ROW()/10000000)</f>
        <v/>
      </c>
      <c r="G747">
        <f>IF(C747="","",'Daily Sale entry '!Q747&amp;IF('Daily Sale entry '!Q747="Collection 收款"," ("&amp;'Daily Sale entry '!R747&amp;")","")&amp;IF('Daily Sale entry '!U747="",""," - "&amp;'Daily Sale entry '!U747))</f>
        <v/>
      </c>
      <c r="H747">
        <f>IF(C747="","",COUNTIFS($C$2:$C$3001,C747,$F$2:$F$3001,"&lt;"&amp;F747)+1)</f>
        <v/>
      </c>
      <c r="I747">
        <f>IF(C747="","",C747&amp;"|"&amp;H747)</f>
        <v/>
      </c>
      <c r="J747" s="6">
        <f>IF(C747="","",IF(H747=1,SUMIFS('Opening Balance'!$F$4:$F$303,'Opening Balance'!$G$4:$G$303,C747),INDEX($L$2:$L$3001,MATCH(C747&amp;"|"&amp;(H747-1),$I$2:$I$3001,0))))</f>
        <v/>
      </c>
      <c r="K747" s="6">
        <f>IF(C747="","",IF(M747&gt;0,M747,IF(AND(E747&gt;0,ROUND(J747+D747-E747,2)&gt;0,ROUND(J747+D747-E747,2)&lt;'Opening Balance'!$B$14),ROUND(J747+D747-E747,2),0)))</f>
        <v/>
      </c>
      <c r="L747" s="6">
        <f>IF(C747="","",ROUND(J747+D747-E747-K747,2))</f>
        <v/>
      </c>
      <c r="M747" s="6">
        <f>IF(C747="","",IF('Daily Sale entry '!Q747="Collection 收款",ROUND(N('Daily Sale entry '!T747),2),0))</f>
        <v/>
      </c>
    </row>
    <row r="748">
      <c r="A748" t="inlineStr">
        <is>
          <t>Entry 记录</t>
        </is>
      </c>
      <c r="B748" s="5">
        <f>IF('Daily Sale entry '!P748="","",'Daily Sale entry '!O748)</f>
        <v/>
      </c>
      <c r="C748">
        <f>IF('Daily Sale entry '!P748="","",'Daily Sale entry '!P748)</f>
        <v/>
      </c>
      <c r="D748">
        <f>IF(C748="","",IF('Daily Sale entry '!Q748="Credit Sale 赊销",'Daily Sale entry '!S748,0))</f>
        <v/>
      </c>
      <c r="E748">
        <f>IF(C748="","",IF('Daily Sale entry '!Q748="Collection 收款",'Daily Sale entry '!S748,0))</f>
        <v/>
      </c>
      <c r="F748" s="37">
        <f>IF(C748="","",B748+IF(E748&gt;0,0,0.5)+ROW()/10000000)</f>
        <v/>
      </c>
      <c r="G748">
        <f>IF(C748="","",'Daily Sale entry '!Q748&amp;IF('Daily Sale entry '!Q748="Collection 收款"," ("&amp;'Daily Sale entry '!R748&amp;")","")&amp;IF('Daily Sale entry '!U748="",""," - "&amp;'Daily Sale entry '!U748))</f>
        <v/>
      </c>
      <c r="H748">
        <f>IF(C748="","",COUNTIFS($C$2:$C$3001,C748,$F$2:$F$3001,"&lt;"&amp;F748)+1)</f>
        <v/>
      </c>
      <c r="I748">
        <f>IF(C748="","",C748&amp;"|"&amp;H748)</f>
        <v/>
      </c>
      <c r="J748" s="6">
        <f>IF(C748="","",IF(H748=1,SUMIFS('Opening Balance'!$F$4:$F$303,'Opening Balance'!$G$4:$G$303,C748),INDEX($L$2:$L$3001,MATCH(C748&amp;"|"&amp;(H748-1),$I$2:$I$3001,0))))</f>
        <v/>
      </c>
      <c r="K748" s="6">
        <f>IF(C748="","",IF(M748&gt;0,M748,IF(AND(E748&gt;0,ROUND(J748+D748-E748,2)&gt;0,ROUND(J748+D748-E748,2)&lt;'Opening Balance'!$B$14),ROUND(J748+D748-E748,2),0)))</f>
        <v/>
      </c>
      <c r="L748" s="6">
        <f>IF(C748="","",ROUND(J748+D748-E748-K748,2))</f>
        <v/>
      </c>
      <c r="M748" s="6">
        <f>IF(C748="","",IF('Daily Sale entry '!Q748="Collection 收款",ROUND(N('Daily Sale entry '!T748),2),0))</f>
        <v/>
      </c>
    </row>
    <row r="749">
      <c r="A749" t="inlineStr">
        <is>
          <t>Entry 记录</t>
        </is>
      </c>
      <c r="B749" s="5">
        <f>IF('Daily Sale entry '!P749="","",'Daily Sale entry '!O749)</f>
        <v/>
      </c>
      <c r="C749">
        <f>IF('Daily Sale entry '!P749="","",'Daily Sale entry '!P749)</f>
        <v/>
      </c>
      <c r="D749">
        <f>IF(C749="","",IF('Daily Sale entry '!Q749="Credit Sale 赊销",'Daily Sale entry '!S749,0))</f>
        <v/>
      </c>
      <c r="E749">
        <f>IF(C749="","",IF('Daily Sale entry '!Q749="Collection 收款",'Daily Sale entry '!S749,0))</f>
        <v/>
      </c>
      <c r="F749" s="37">
        <f>IF(C749="","",B749+IF(E749&gt;0,0,0.5)+ROW()/10000000)</f>
        <v/>
      </c>
      <c r="G749">
        <f>IF(C749="","",'Daily Sale entry '!Q749&amp;IF('Daily Sale entry '!Q749="Collection 收款"," ("&amp;'Daily Sale entry '!R749&amp;")","")&amp;IF('Daily Sale entry '!U749="",""," - "&amp;'Daily Sale entry '!U749))</f>
        <v/>
      </c>
      <c r="H749">
        <f>IF(C749="","",COUNTIFS($C$2:$C$3001,C749,$F$2:$F$3001,"&lt;"&amp;F749)+1)</f>
        <v/>
      </c>
      <c r="I749">
        <f>IF(C749="","",C749&amp;"|"&amp;H749)</f>
        <v/>
      </c>
      <c r="J749" s="6">
        <f>IF(C749="","",IF(H749=1,SUMIFS('Opening Balance'!$F$4:$F$303,'Opening Balance'!$G$4:$G$303,C749),INDEX($L$2:$L$3001,MATCH(C749&amp;"|"&amp;(H749-1),$I$2:$I$3001,0))))</f>
        <v/>
      </c>
      <c r="K749" s="6">
        <f>IF(C749="","",IF(M749&gt;0,M749,IF(AND(E749&gt;0,ROUND(J749+D749-E749,2)&gt;0,ROUND(J749+D749-E749,2)&lt;'Opening Balance'!$B$14),ROUND(J749+D749-E749,2),0)))</f>
        <v/>
      </c>
      <c r="L749" s="6">
        <f>IF(C749="","",ROUND(J749+D749-E749-K749,2))</f>
        <v/>
      </c>
      <c r="M749" s="6">
        <f>IF(C749="","",IF('Daily Sale entry '!Q749="Collection 收款",ROUND(N('Daily Sale entry '!T749),2),0))</f>
        <v/>
      </c>
    </row>
    <row r="750">
      <c r="A750" t="inlineStr">
        <is>
          <t>Entry 记录</t>
        </is>
      </c>
      <c r="B750" s="5">
        <f>IF('Daily Sale entry '!P750="","",'Daily Sale entry '!O750)</f>
        <v/>
      </c>
      <c r="C750">
        <f>IF('Daily Sale entry '!P750="","",'Daily Sale entry '!P750)</f>
        <v/>
      </c>
      <c r="D750">
        <f>IF(C750="","",IF('Daily Sale entry '!Q750="Credit Sale 赊销",'Daily Sale entry '!S750,0))</f>
        <v/>
      </c>
      <c r="E750">
        <f>IF(C750="","",IF('Daily Sale entry '!Q750="Collection 收款",'Daily Sale entry '!S750,0))</f>
        <v/>
      </c>
      <c r="F750" s="37">
        <f>IF(C750="","",B750+IF(E750&gt;0,0,0.5)+ROW()/10000000)</f>
        <v/>
      </c>
      <c r="G750">
        <f>IF(C750="","",'Daily Sale entry '!Q750&amp;IF('Daily Sale entry '!Q750="Collection 收款"," ("&amp;'Daily Sale entry '!R750&amp;")","")&amp;IF('Daily Sale entry '!U750="",""," - "&amp;'Daily Sale entry '!U750))</f>
        <v/>
      </c>
      <c r="H750">
        <f>IF(C750="","",COUNTIFS($C$2:$C$3001,C750,$F$2:$F$3001,"&lt;"&amp;F750)+1)</f>
        <v/>
      </c>
      <c r="I750">
        <f>IF(C750="","",C750&amp;"|"&amp;H750)</f>
        <v/>
      </c>
      <c r="J750" s="6">
        <f>IF(C750="","",IF(H750=1,SUMIFS('Opening Balance'!$F$4:$F$303,'Opening Balance'!$G$4:$G$303,C750),INDEX($L$2:$L$3001,MATCH(C750&amp;"|"&amp;(H750-1),$I$2:$I$3001,0))))</f>
        <v/>
      </c>
      <c r="K750" s="6">
        <f>IF(C750="","",IF(M750&gt;0,M750,IF(AND(E750&gt;0,ROUND(J750+D750-E750,2)&gt;0,ROUND(J750+D750-E750,2)&lt;'Opening Balance'!$B$14),ROUND(J750+D750-E750,2),0)))</f>
        <v/>
      </c>
      <c r="L750" s="6">
        <f>IF(C750="","",ROUND(J750+D750-E750-K750,2))</f>
        <v/>
      </c>
      <c r="M750" s="6">
        <f>IF(C750="","",IF('Daily Sale entry '!Q750="Collection 收款",ROUND(N('Daily Sale entry '!T750),2),0))</f>
        <v/>
      </c>
    </row>
    <row r="751">
      <c r="A751" t="inlineStr">
        <is>
          <t>Entry 记录</t>
        </is>
      </c>
      <c r="B751" s="5">
        <f>IF('Daily Sale entry '!P751="","",'Daily Sale entry '!O751)</f>
        <v/>
      </c>
      <c r="C751">
        <f>IF('Daily Sale entry '!P751="","",'Daily Sale entry '!P751)</f>
        <v/>
      </c>
      <c r="D751">
        <f>IF(C751="","",IF('Daily Sale entry '!Q751="Credit Sale 赊销",'Daily Sale entry '!S751,0))</f>
        <v/>
      </c>
      <c r="E751">
        <f>IF(C751="","",IF('Daily Sale entry '!Q751="Collection 收款",'Daily Sale entry '!S751,0))</f>
        <v/>
      </c>
      <c r="F751" s="37">
        <f>IF(C751="","",B751+IF(E751&gt;0,0,0.5)+ROW()/10000000)</f>
        <v/>
      </c>
      <c r="G751">
        <f>IF(C751="","",'Daily Sale entry '!Q751&amp;IF('Daily Sale entry '!Q751="Collection 收款"," ("&amp;'Daily Sale entry '!R751&amp;")","")&amp;IF('Daily Sale entry '!U751="",""," - "&amp;'Daily Sale entry '!U751))</f>
        <v/>
      </c>
      <c r="H751">
        <f>IF(C751="","",COUNTIFS($C$2:$C$3001,C751,$F$2:$F$3001,"&lt;"&amp;F751)+1)</f>
        <v/>
      </c>
      <c r="I751">
        <f>IF(C751="","",C751&amp;"|"&amp;H751)</f>
        <v/>
      </c>
      <c r="J751" s="6">
        <f>IF(C751="","",IF(H751=1,SUMIFS('Opening Balance'!$F$4:$F$303,'Opening Balance'!$G$4:$G$303,C751),INDEX($L$2:$L$3001,MATCH(C751&amp;"|"&amp;(H751-1),$I$2:$I$3001,0))))</f>
        <v/>
      </c>
      <c r="K751" s="6">
        <f>IF(C751="","",IF(M751&gt;0,M751,IF(AND(E751&gt;0,ROUND(J751+D751-E751,2)&gt;0,ROUND(J751+D751-E751,2)&lt;'Opening Balance'!$B$14),ROUND(J751+D751-E751,2),0)))</f>
        <v/>
      </c>
      <c r="L751" s="6">
        <f>IF(C751="","",ROUND(J751+D751-E751-K751,2))</f>
        <v/>
      </c>
      <c r="M751" s="6">
        <f>IF(C751="","",IF('Daily Sale entry '!Q751="Collection 收款",ROUND(N('Daily Sale entry '!T751),2),0))</f>
        <v/>
      </c>
    </row>
    <row r="752">
      <c r="A752" t="inlineStr">
        <is>
          <t>Entry 记录</t>
        </is>
      </c>
      <c r="B752" s="5">
        <f>IF('Daily Sale entry '!P752="","",'Daily Sale entry '!O752)</f>
        <v/>
      </c>
      <c r="C752">
        <f>IF('Daily Sale entry '!P752="","",'Daily Sale entry '!P752)</f>
        <v/>
      </c>
      <c r="D752">
        <f>IF(C752="","",IF('Daily Sale entry '!Q752="Credit Sale 赊销",'Daily Sale entry '!S752,0))</f>
        <v/>
      </c>
      <c r="E752">
        <f>IF(C752="","",IF('Daily Sale entry '!Q752="Collection 收款",'Daily Sale entry '!S752,0))</f>
        <v/>
      </c>
      <c r="F752" s="37">
        <f>IF(C752="","",B752+IF(E752&gt;0,0,0.5)+ROW()/10000000)</f>
        <v/>
      </c>
      <c r="G752">
        <f>IF(C752="","",'Daily Sale entry '!Q752&amp;IF('Daily Sale entry '!Q752="Collection 收款"," ("&amp;'Daily Sale entry '!R752&amp;")","")&amp;IF('Daily Sale entry '!U752="",""," - "&amp;'Daily Sale entry '!U752))</f>
        <v/>
      </c>
      <c r="H752">
        <f>IF(C752="","",COUNTIFS($C$2:$C$3001,C752,$F$2:$F$3001,"&lt;"&amp;F752)+1)</f>
        <v/>
      </c>
      <c r="I752">
        <f>IF(C752="","",C752&amp;"|"&amp;H752)</f>
        <v/>
      </c>
      <c r="J752" s="6">
        <f>IF(C752="","",IF(H752=1,SUMIFS('Opening Balance'!$F$4:$F$303,'Opening Balance'!$G$4:$G$303,C752),INDEX($L$2:$L$3001,MATCH(C752&amp;"|"&amp;(H752-1),$I$2:$I$3001,0))))</f>
        <v/>
      </c>
      <c r="K752" s="6">
        <f>IF(C752="","",IF(M752&gt;0,M752,IF(AND(E752&gt;0,ROUND(J752+D752-E752,2)&gt;0,ROUND(J752+D752-E752,2)&lt;'Opening Balance'!$B$14),ROUND(J752+D752-E752,2),0)))</f>
        <v/>
      </c>
      <c r="L752" s="6">
        <f>IF(C752="","",ROUND(J752+D752-E752-K752,2))</f>
        <v/>
      </c>
      <c r="M752" s="6">
        <f>IF(C752="","",IF('Daily Sale entry '!Q752="Collection 收款",ROUND(N('Daily Sale entry '!T752),2),0))</f>
        <v/>
      </c>
    </row>
    <row r="753">
      <c r="A753" t="inlineStr">
        <is>
          <t>Entry 记录</t>
        </is>
      </c>
      <c r="B753" s="5">
        <f>IF('Daily Sale entry '!P753="","",'Daily Sale entry '!O753)</f>
        <v/>
      </c>
      <c r="C753">
        <f>IF('Daily Sale entry '!P753="","",'Daily Sale entry '!P753)</f>
        <v/>
      </c>
      <c r="D753">
        <f>IF(C753="","",IF('Daily Sale entry '!Q753="Credit Sale 赊销",'Daily Sale entry '!S753,0))</f>
        <v/>
      </c>
      <c r="E753">
        <f>IF(C753="","",IF('Daily Sale entry '!Q753="Collection 收款",'Daily Sale entry '!S753,0))</f>
        <v/>
      </c>
      <c r="F753" s="37">
        <f>IF(C753="","",B753+IF(E753&gt;0,0,0.5)+ROW()/10000000)</f>
        <v/>
      </c>
      <c r="G753">
        <f>IF(C753="","",'Daily Sale entry '!Q753&amp;IF('Daily Sale entry '!Q753="Collection 收款"," ("&amp;'Daily Sale entry '!R753&amp;")","")&amp;IF('Daily Sale entry '!U753="",""," - "&amp;'Daily Sale entry '!U753))</f>
        <v/>
      </c>
      <c r="H753">
        <f>IF(C753="","",COUNTIFS($C$2:$C$3001,C753,$F$2:$F$3001,"&lt;"&amp;F753)+1)</f>
        <v/>
      </c>
      <c r="I753">
        <f>IF(C753="","",C753&amp;"|"&amp;H753)</f>
        <v/>
      </c>
      <c r="J753" s="6">
        <f>IF(C753="","",IF(H753=1,SUMIFS('Opening Balance'!$F$4:$F$303,'Opening Balance'!$G$4:$G$303,C753),INDEX($L$2:$L$3001,MATCH(C753&amp;"|"&amp;(H753-1),$I$2:$I$3001,0))))</f>
        <v/>
      </c>
      <c r="K753" s="6">
        <f>IF(C753="","",IF(M753&gt;0,M753,IF(AND(E753&gt;0,ROUND(J753+D753-E753,2)&gt;0,ROUND(J753+D753-E753,2)&lt;'Opening Balance'!$B$14),ROUND(J753+D753-E753,2),0)))</f>
        <v/>
      </c>
      <c r="L753" s="6">
        <f>IF(C753="","",ROUND(J753+D753-E753-K753,2))</f>
        <v/>
      </c>
      <c r="M753" s="6">
        <f>IF(C753="","",IF('Daily Sale entry '!Q753="Collection 收款",ROUND(N('Daily Sale entry '!T753),2),0))</f>
        <v/>
      </c>
    </row>
    <row r="754">
      <c r="A754" t="inlineStr">
        <is>
          <t>Entry 记录</t>
        </is>
      </c>
      <c r="B754" s="5">
        <f>IF('Daily Sale entry '!P754="","",'Daily Sale entry '!O754)</f>
        <v/>
      </c>
      <c r="C754">
        <f>IF('Daily Sale entry '!P754="","",'Daily Sale entry '!P754)</f>
        <v/>
      </c>
      <c r="D754">
        <f>IF(C754="","",IF('Daily Sale entry '!Q754="Credit Sale 赊销",'Daily Sale entry '!S754,0))</f>
        <v/>
      </c>
      <c r="E754">
        <f>IF(C754="","",IF('Daily Sale entry '!Q754="Collection 收款",'Daily Sale entry '!S754,0))</f>
        <v/>
      </c>
      <c r="F754" s="37">
        <f>IF(C754="","",B754+IF(E754&gt;0,0,0.5)+ROW()/10000000)</f>
        <v/>
      </c>
      <c r="G754">
        <f>IF(C754="","",'Daily Sale entry '!Q754&amp;IF('Daily Sale entry '!Q754="Collection 收款"," ("&amp;'Daily Sale entry '!R754&amp;")","")&amp;IF('Daily Sale entry '!U754="",""," - "&amp;'Daily Sale entry '!U754))</f>
        <v/>
      </c>
      <c r="H754">
        <f>IF(C754="","",COUNTIFS($C$2:$C$3001,C754,$F$2:$F$3001,"&lt;"&amp;F754)+1)</f>
        <v/>
      </c>
      <c r="I754">
        <f>IF(C754="","",C754&amp;"|"&amp;H754)</f>
        <v/>
      </c>
      <c r="J754" s="6">
        <f>IF(C754="","",IF(H754=1,SUMIFS('Opening Balance'!$F$4:$F$303,'Opening Balance'!$G$4:$G$303,C754),INDEX($L$2:$L$3001,MATCH(C754&amp;"|"&amp;(H754-1),$I$2:$I$3001,0))))</f>
        <v/>
      </c>
      <c r="K754" s="6">
        <f>IF(C754="","",IF(M754&gt;0,M754,IF(AND(E754&gt;0,ROUND(J754+D754-E754,2)&gt;0,ROUND(J754+D754-E754,2)&lt;'Opening Balance'!$B$14),ROUND(J754+D754-E754,2),0)))</f>
        <v/>
      </c>
      <c r="L754" s="6">
        <f>IF(C754="","",ROUND(J754+D754-E754-K754,2))</f>
        <v/>
      </c>
      <c r="M754" s="6">
        <f>IF(C754="","",IF('Daily Sale entry '!Q754="Collection 收款",ROUND(N('Daily Sale entry '!T754),2),0))</f>
        <v/>
      </c>
    </row>
    <row r="755">
      <c r="A755" t="inlineStr">
        <is>
          <t>Entry 记录</t>
        </is>
      </c>
      <c r="B755" s="5">
        <f>IF('Daily Sale entry '!P755="","",'Daily Sale entry '!O755)</f>
        <v/>
      </c>
      <c r="C755">
        <f>IF('Daily Sale entry '!P755="","",'Daily Sale entry '!P755)</f>
        <v/>
      </c>
      <c r="D755">
        <f>IF(C755="","",IF('Daily Sale entry '!Q755="Credit Sale 赊销",'Daily Sale entry '!S755,0))</f>
        <v/>
      </c>
      <c r="E755">
        <f>IF(C755="","",IF('Daily Sale entry '!Q755="Collection 收款",'Daily Sale entry '!S755,0))</f>
        <v/>
      </c>
      <c r="F755" s="37">
        <f>IF(C755="","",B755+IF(E755&gt;0,0,0.5)+ROW()/10000000)</f>
        <v/>
      </c>
      <c r="G755">
        <f>IF(C755="","",'Daily Sale entry '!Q755&amp;IF('Daily Sale entry '!Q755="Collection 收款"," ("&amp;'Daily Sale entry '!R755&amp;")","")&amp;IF('Daily Sale entry '!U755="",""," - "&amp;'Daily Sale entry '!U755))</f>
        <v/>
      </c>
      <c r="H755">
        <f>IF(C755="","",COUNTIFS($C$2:$C$3001,C755,$F$2:$F$3001,"&lt;"&amp;F755)+1)</f>
        <v/>
      </c>
      <c r="I755">
        <f>IF(C755="","",C755&amp;"|"&amp;H755)</f>
        <v/>
      </c>
      <c r="J755" s="6">
        <f>IF(C755="","",IF(H755=1,SUMIFS('Opening Balance'!$F$4:$F$303,'Opening Balance'!$G$4:$G$303,C755),INDEX($L$2:$L$3001,MATCH(C755&amp;"|"&amp;(H755-1),$I$2:$I$3001,0))))</f>
        <v/>
      </c>
      <c r="K755" s="6">
        <f>IF(C755="","",IF(M755&gt;0,M755,IF(AND(E755&gt;0,ROUND(J755+D755-E755,2)&gt;0,ROUND(J755+D755-E755,2)&lt;'Opening Balance'!$B$14),ROUND(J755+D755-E755,2),0)))</f>
        <v/>
      </c>
      <c r="L755" s="6">
        <f>IF(C755="","",ROUND(J755+D755-E755-K755,2))</f>
        <v/>
      </c>
      <c r="M755" s="6">
        <f>IF(C755="","",IF('Daily Sale entry '!Q755="Collection 收款",ROUND(N('Daily Sale entry '!T755),2),0))</f>
        <v/>
      </c>
    </row>
    <row r="756">
      <c r="A756" t="inlineStr">
        <is>
          <t>Entry 记录</t>
        </is>
      </c>
      <c r="B756" s="5">
        <f>IF('Daily Sale entry '!P756="","",'Daily Sale entry '!O756)</f>
        <v/>
      </c>
      <c r="C756">
        <f>IF('Daily Sale entry '!P756="","",'Daily Sale entry '!P756)</f>
        <v/>
      </c>
      <c r="D756">
        <f>IF(C756="","",IF('Daily Sale entry '!Q756="Credit Sale 赊销",'Daily Sale entry '!S756,0))</f>
        <v/>
      </c>
      <c r="E756">
        <f>IF(C756="","",IF('Daily Sale entry '!Q756="Collection 收款",'Daily Sale entry '!S756,0))</f>
        <v/>
      </c>
      <c r="F756" s="37">
        <f>IF(C756="","",B756+IF(E756&gt;0,0,0.5)+ROW()/10000000)</f>
        <v/>
      </c>
      <c r="G756">
        <f>IF(C756="","",'Daily Sale entry '!Q756&amp;IF('Daily Sale entry '!Q756="Collection 收款"," ("&amp;'Daily Sale entry '!R756&amp;")","")&amp;IF('Daily Sale entry '!U756="",""," - "&amp;'Daily Sale entry '!U756))</f>
        <v/>
      </c>
      <c r="H756">
        <f>IF(C756="","",COUNTIFS($C$2:$C$3001,C756,$F$2:$F$3001,"&lt;"&amp;F756)+1)</f>
        <v/>
      </c>
      <c r="I756">
        <f>IF(C756="","",C756&amp;"|"&amp;H756)</f>
        <v/>
      </c>
      <c r="J756" s="6">
        <f>IF(C756="","",IF(H756=1,SUMIFS('Opening Balance'!$F$4:$F$303,'Opening Balance'!$G$4:$G$303,C756),INDEX($L$2:$L$3001,MATCH(C756&amp;"|"&amp;(H756-1),$I$2:$I$3001,0))))</f>
        <v/>
      </c>
      <c r="K756" s="6">
        <f>IF(C756="","",IF(M756&gt;0,M756,IF(AND(E756&gt;0,ROUND(J756+D756-E756,2)&gt;0,ROUND(J756+D756-E756,2)&lt;'Opening Balance'!$B$14),ROUND(J756+D756-E756,2),0)))</f>
        <v/>
      </c>
      <c r="L756" s="6">
        <f>IF(C756="","",ROUND(J756+D756-E756-K756,2))</f>
        <v/>
      </c>
      <c r="M756" s="6">
        <f>IF(C756="","",IF('Daily Sale entry '!Q756="Collection 收款",ROUND(N('Daily Sale entry '!T756),2),0))</f>
        <v/>
      </c>
    </row>
    <row r="757">
      <c r="A757" t="inlineStr">
        <is>
          <t>Entry 记录</t>
        </is>
      </c>
      <c r="B757" s="5">
        <f>IF('Daily Sale entry '!P757="","",'Daily Sale entry '!O757)</f>
        <v/>
      </c>
      <c r="C757">
        <f>IF('Daily Sale entry '!P757="","",'Daily Sale entry '!P757)</f>
        <v/>
      </c>
      <c r="D757">
        <f>IF(C757="","",IF('Daily Sale entry '!Q757="Credit Sale 赊销",'Daily Sale entry '!S757,0))</f>
        <v/>
      </c>
      <c r="E757">
        <f>IF(C757="","",IF('Daily Sale entry '!Q757="Collection 收款",'Daily Sale entry '!S757,0))</f>
        <v/>
      </c>
      <c r="F757" s="37">
        <f>IF(C757="","",B757+IF(E757&gt;0,0,0.5)+ROW()/10000000)</f>
        <v/>
      </c>
      <c r="G757">
        <f>IF(C757="","",'Daily Sale entry '!Q757&amp;IF('Daily Sale entry '!Q757="Collection 收款"," ("&amp;'Daily Sale entry '!R757&amp;")","")&amp;IF('Daily Sale entry '!U757="",""," - "&amp;'Daily Sale entry '!U757))</f>
        <v/>
      </c>
      <c r="H757">
        <f>IF(C757="","",COUNTIFS($C$2:$C$3001,C757,$F$2:$F$3001,"&lt;"&amp;F757)+1)</f>
        <v/>
      </c>
      <c r="I757">
        <f>IF(C757="","",C757&amp;"|"&amp;H757)</f>
        <v/>
      </c>
      <c r="J757" s="6">
        <f>IF(C757="","",IF(H757=1,SUMIFS('Opening Balance'!$F$4:$F$303,'Opening Balance'!$G$4:$G$303,C757),INDEX($L$2:$L$3001,MATCH(C757&amp;"|"&amp;(H757-1),$I$2:$I$3001,0))))</f>
        <v/>
      </c>
      <c r="K757" s="6">
        <f>IF(C757="","",IF(M757&gt;0,M757,IF(AND(E757&gt;0,ROUND(J757+D757-E757,2)&gt;0,ROUND(J757+D757-E757,2)&lt;'Opening Balance'!$B$14),ROUND(J757+D757-E757,2),0)))</f>
        <v/>
      </c>
      <c r="L757" s="6">
        <f>IF(C757="","",ROUND(J757+D757-E757-K757,2))</f>
        <v/>
      </c>
      <c r="M757" s="6">
        <f>IF(C757="","",IF('Daily Sale entry '!Q757="Collection 收款",ROUND(N('Daily Sale entry '!T757),2),0))</f>
        <v/>
      </c>
    </row>
    <row r="758">
      <c r="A758" t="inlineStr">
        <is>
          <t>Entry 记录</t>
        </is>
      </c>
      <c r="B758" s="5">
        <f>IF('Daily Sale entry '!P758="","",'Daily Sale entry '!O758)</f>
        <v/>
      </c>
      <c r="C758">
        <f>IF('Daily Sale entry '!P758="","",'Daily Sale entry '!P758)</f>
        <v/>
      </c>
      <c r="D758">
        <f>IF(C758="","",IF('Daily Sale entry '!Q758="Credit Sale 赊销",'Daily Sale entry '!S758,0))</f>
        <v/>
      </c>
      <c r="E758">
        <f>IF(C758="","",IF('Daily Sale entry '!Q758="Collection 收款",'Daily Sale entry '!S758,0))</f>
        <v/>
      </c>
      <c r="F758" s="37">
        <f>IF(C758="","",B758+IF(E758&gt;0,0,0.5)+ROW()/10000000)</f>
        <v/>
      </c>
      <c r="G758">
        <f>IF(C758="","",'Daily Sale entry '!Q758&amp;IF('Daily Sale entry '!Q758="Collection 收款"," ("&amp;'Daily Sale entry '!R758&amp;")","")&amp;IF('Daily Sale entry '!U758="",""," - "&amp;'Daily Sale entry '!U758))</f>
        <v/>
      </c>
      <c r="H758">
        <f>IF(C758="","",COUNTIFS($C$2:$C$3001,C758,$F$2:$F$3001,"&lt;"&amp;F758)+1)</f>
        <v/>
      </c>
      <c r="I758">
        <f>IF(C758="","",C758&amp;"|"&amp;H758)</f>
        <v/>
      </c>
      <c r="J758" s="6">
        <f>IF(C758="","",IF(H758=1,SUMIFS('Opening Balance'!$F$4:$F$303,'Opening Balance'!$G$4:$G$303,C758),INDEX($L$2:$L$3001,MATCH(C758&amp;"|"&amp;(H758-1),$I$2:$I$3001,0))))</f>
        <v/>
      </c>
      <c r="K758" s="6">
        <f>IF(C758="","",IF(M758&gt;0,M758,IF(AND(E758&gt;0,ROUND(J758+D758-E758,2)&gt;0,ROUND(J758+D758-E758,2)&lt;'Opening Balance'!$B$14),ROUND(J758+D758-E758,2),0)))</f>
        <v/>
      </c>
      <c r="L758" s="6">
        <f>IF(C758="","",ROUND(J758+D758-E758-K758,2))</f>
        <v/>
      </c>
      <c r="M758" s="6">
        <f>IF(C758="","",IF('Daily Sale entry '!Q758="Collection 收款",ROUND(N('Daily Sale entry '!T758),2),0))</f>
        <v/>
      </c>
    </row>
    <row r="759">
      <c r="A759" t="inlineStr">
        <is>
          <t>Entry 记录</t>
        </is>
      </c>
      <c r="B759" s="5">
        <f>IF('Daily Sale entry '!P759="","",'Daily Sale entry '!O759)</f>
        <v/>
      </c>
      <c r="C759">
        <f>IF('Daily Sale entry '!P759="","",'Daily Sale entry '!P759)</f>
        <v/>
      </c>
      <c r="D759">
        <f>IF(C759="","",IF('Daily Sale entry '!Q759="Credit Sale 赊销",'Daily Sale entry '!S759,0))</f>
        <v/>
      </c>
      <c r="E759">
        <f>IF(C759="","",IF('Daily Sale entry '!Q759="Collection 收款",'Daily Sale entry '!S759,0))</f>
        <v/>
      </c>
      <c r="F759" s="37">
        <f>IF(C759="","",B759+IF(E759&gt;0,0,0.5)+ROW()/10000000)</f>
        <v/>
      </c>
      <c r="G759">
        <f>IF(C759="","",'Daily Sale entry '!Q759&amp;IF('Daily Sale entry '!Q759="Collection 收款"," ("&amp;'Daily Sale entry '!R759&amp;")","")&amp;IF('Daily Sale entry '!U759="",""," - "&amp;'Daily Sale entry '!U759))</f>
        <v/>
      </c>
      <c r="H759">
        <f>IF(C759="","",COUNTIFS($C$2:$C$3001,C759,$F$2:$F$3001,"&lt;"&amp;F759)+1)</f>
        <v/>
      </c>
      <c r="I759">
        <f>IF(C759="","",C759&amp;"|"&amp;H759)</f>
        <v/>
      </c>
      <c r="J759" s="6">
        <f>IF(C759="","",IF(H759=1,SUMIFS('Opening Balance'!$F$4:$F$303,'Opening Balance'!$G$4:$G$303,C759),INDEX($L$2:$L$3001,MATCH(C759&amp;"|"&amp;(H759-1),$I$2:$I$3001,0))))</f>
        <v/>
      </c>
      <c r="K759" s="6">
        <f>IF(C759="","",IF(M759&gt;0,M759,IF(AND(E759&gt;0,ROUND(J759+D759-E759,2)&gt;0,ROUND(J759+D759-E759,2)&lt;'Opening Balance'!$B$14),ROUND(J759+D759-E759,2),0)))</f>
        <v/>
      </c>
      <c r="L759" s="6">
        <f>IF(C759="","",ROUND(J759+D759-E759-K759,2))</f>
        <v/>
      </c>
      <c r="M759" s="6">
        <f>IF(C759="","",IF('Daily Sale entry '!Q759="Collection 收款",ROUND(N('Daily Sale entry '!T759),2),0))</f>
        <v/>
      </c>
    </row>
    <row r="760">
      <c r="A760" t="inlineStr">
        <is>
          <t>Entry 记录</t>
        </is>
      </c>
      <c r="B760" s="5">
        <f>IF('Daily Sale entry '!P760="","",'Daily Sale entry '!O760)</f>
        <v/>
      </c>
      <c r="C760">
        <f>IF('Daily Sale entry '!P760="","",'Daily Sale entry '!P760)</f>
        <v/>
      </c>
      <c r="D760">
        <f>IF(C760="","",IF('Daily Sale entry '!Q760="Credit Sale 赊销",'Daily Sale entry '!S760,0))</f>
        <v/>
      </c>
      <c r="E760">
        <f>IF(C760="","",IF('Daily Sale entry '!Q760="Collection 收款",'Daily Sale entry '!S760,0))</f>
        <v/>
      </c>
      <c r="F760" s="37">
        <f>IF(C760="","",B760+IF(E760&gt;0,0,0.5)+ROW()/10000000)</f>
        <v/>
      </c>
      <c r="G760">
        <f>IF(C760="","",'Daily Sale entry '!Q760&amp;IF('Daily Sale entry '!Q760="Collection 收款"," ("&amp;'Daily Sale entry '!R760&amp;")","")&amp;IF('Daily Sale entry '!U760="",""," - "&amp;'Daily Sale entry '!U760))</f>
        <v/>
      </c>
      <c r="H760">
        <f>IF(C760="","",COUNTIFS($C$2:$C$3001,C760,$F$2:$F$3001,"&lt;"&amp;F760)+1)</f>
        <v/>
      </c>
      <c r="I760">
        <f>IF(C760="","",C760&amp;"|"&amp;H760)</f>
        <v/>
      </c>
      <c r="J760" s="6">
        <f>IF(C760="","",IF(H760=1,SUMIFS('Opening Balance'!$F$4:$F$303,'Opening Balance'!$G$4:$G$303,C760),INDEX($L$2:$L$3001,MATCH(C760&amp;"|"&amp;(H760-1),$I$2:$I$3001,0))))</f>
        <v/>
      </c>
      <c r="K760" s="6">
        <f>IF(C760="","",IF(M760&gt;0,M760,IF(AND(E760&gt;0,ROUND(J760+D760-E760,2)&gt;0,ROUND(J760+D760-E760,2)&lt;'Opening Balance'!$B$14),ROUND(J760+D760-E760,2),0)))</f>
        <v/>
      </c>
      <c r="L760" s="6">
        <f>IF(C760="","",ROUND(J760+D760-E760-K760,2))</f>
        <v/>
      </c>
      <c r="M760" s="6">
        <f>IF(C760="","",IF('Daily Sale entry '!Q760="Collection 收款",ROUND(N('Daily Sale entry '!T760),2),0))</f>
        <v/>
      </c>
    </row>
    <row r="761">
      <c r="A761" t="inlineStr">
        <is>
          <t>Entry 记录</t>
        </is>
      </c>
      <c r="B761" s="5">
        <f>IF('Daily Sale entry '!P761="","",'Daily Sale entry '!O761)</f>
        <v/>
      </c>
      <c r="C761">
        <f>IF('Daily Sale entry '!P761="","",'Daily Sale entry '!P761)</f>
        <v/>
      </c>
      <c r="D761">
        <f>IF(C761="","",IF('Daily Sale entry '!Q761="Credit Sale 赊销",'Daily Sale entry '!S761,0))</f>
        <v/>
      </c>
      <c r="E761">
        <f>IF(C761="","",IF('Daily Sale entry '!Q761="Collection 收款",'Daily Sale entry '!S761,0))</f>
        <v/>
      </c>
      <c r="F761" s="37">
        <f>IF(C761="","",B761+IF(E761&gt;0,0,0.5)+ROW()/10000000)</f>
        <v/>
      </c>
      <c r="G761">
        <f>IF(C761="","",'Daily Sale entry '!Q761&amp;IF('Daily Sale entry '!Q761="Collection 收款"," ("&amp;'Daily Sale entry '!R761&amp;")","")&amp;IF('Daily Sale entry '!U761="",""," - "&amp;'Daily Sale entry '!U761))</f>
        <v/>
      </c>
      <c r="H761">
        <f>IF(C761="","",COUNTIFS($C$2:$C$3001,C761,$F$2:$F$3001,"&lt;"&amp;F761)+1)</f>
        <v/>
      </c>
      <c r="I761">
        <f>IF(C761="","",C761&amp;"|"&amp;H761)</f>
        <v/>
      </c>
      <c r="J761" s="6">
        <f>IF(C761="","",IF(H761=1,SUMIFS('Opening Balance'!$F$4:$F$303,'Opening Balance'!$G$4:$G$303,C761),INDEX($L$2:$L$3001,MATCH(C761&amp;"|"&amp;(H761-1),$I$2:$I$3001,0))))</f>
        <v/>
      </c>
      <c r="K761" s="6">
        <f>IF(C761="","",IF(M761&gt;0,M761,IF(AND(E761&gt;0,ROUND(J761+D761-E761,2)&gt;0,ROUND(J761+D761-E761,2)&lt;'Opening Balance'!$B$14),ROUND(J761+D761-E761,2),0)))</f>
        <v/>
      </c>
      <c r="L761" s="6">
        <f>IF(C761="","",ROUND(J761+D761-E761-K761,2))</f>
        <v/>
      </c>
      <c r="M761" s="6">
        <f>IF(C761="","",IF('Daily Sale entry '!Q761="Collection 收款",ROUND(N('Daily Sale entry '!T761),2),0))</f>
        <v/>
      </c>
    </row>
    <row r="762">
      <c r="A762" t="inlineStr">
        <is>
          <t>Entry 记录</t>
        </is>
      </c>
      <c r="B762" s="5">
        <f>IF('Daily Sale entry '!P762="","",'Daily Sale entry '!O762)</f>
        <v/>
      </c>
      <c r="C762">
        <f>IF('Daily Sale entry '!P762="","",'Daily Sale entry '!P762)</f>
        <v/>
      </c>
      <c r="D762">
        <f>IF(C762="","",IF('Daily Sale entry '!Q762="Credit Sale 赊销",'Daily Sale entry '!S762,0))</f>
        <v/>
      </c>
      <c r="E762">
        <f>IF(C762="","",IF('Daily Sale entry '!Q762="Collection 收款",'Daily Sale entry '!S762,0))</f>
        <v/>
      </c>
      <c r="F762" s="37">
        <f>IF(C762="","",B762+IF(E762&gt;0,0,0.5)+ROW()/10000000)</f>
        <v/>
      </c>
      <c r="G762">
        <f>IF(C762="","",'Daily Sale entry '!Q762&amp;IF('Daily Sale entry '!Q762="Collection 收款"," ("&amp;'Daily Sale entry '!R762&amp;")","")&amp;IF('Daily Sale entry '!U762="",""," - "&amp;'Daily Sale entry '!U762))</f>
        <v/>
      </c>
      <c r="H762">
        <f>IF(C762="","",COUNTIFS($C$2:$C$3001,C762,$F$2:$F$3001,"&lt;"&amp;F762)+1)</f>
        <v/>
      </c>
      <c r="I762">
        <f>IF(C762="","",C762&amp;"|"&amp;H762)</f>
        <v/>
      </c>
      <c r="J762" s="6">
        <f>IF(C762="","",IF(H762=1,SUMIFS('Opening Balance'!$F$4:$F$303,'Opening Balance'!$G$4:$G$303,C762),INDEX($L$2:$L$3001,MATCH(C762&amp;"|"&amp;(H762-1),$I$2:$I$3001,0))))</f>
        <v/>
      </c>
      <c r="K762" s="6">
        <f>IF(C762="","",IF(M762&gt;0,M762,IF(AND(E762&gt;0,ROUND(J762+D762-E762,2)&gt;0,ROUND(J762+D762-E762,2)&lt;'Opening Balance'!$B$14),ROUND(J762+D762-E762,2),0)))</f>
        <v/>
      </c>
      <c r="L762" s="6">
        <f>IF(C762="","",ROUND(J762+D762-E762-K762,2))</f>
        <v/>
      </c>
      <c r="M762" s="6">
        <f>IF(C762="","",IF('Daily Sale entry '!Q762="Collection 收款",ROUND(N('Daily Sale entry '!T762),2),0))</f>
        <v/>
      </c>
    </row>
    <row r="763">
      <c r="A763" t="inlineStr">
        <is>
          <t>Entry 记录</t>
        </is>
      </c>
      <c r="B763" s="5">
        <f>IF('Daily Sale entry '!P763="","",'Daily Sale entry '!O763)</f>
        <v/>
      </c>
      <c r="C763">
        <f>IF('Daily Sale entry '!P763="","",'Daily Sale entry '!P763)</f>
        <v/>
      </c>
      <c r="D763">
        <f>IF(C763="","",IF('Daily Sale entry '!Q763="Credit Sale 赊销",'Daily Sale entry '!S763,0))</f>
        <v/>
      </c>
      <c r="E763">
        <f>IF(C763="","",IF('Daily Sale entry '!Q763="Collection 收款",'Daily Sale entry '!S763,0))</f>
        <v/>
      </c>
      <c r="F763" s="37">
        <f>IF(C763="","",B763+IF(E763&gt;0,0,0.5)+ROW()/10000000)</f>
        <v/>
      </c>
      <c r="G763">
        <f>IF(C763="","",'Daily Sale entry '!Q763&amp;IF('Daily Sale entry '!Q763="Collection 收款"," ("&amp;'Daily Sale entry '!R763&amp;")","")&amp;IF('Daily Sale entry '!U763="",""," - "&amp;'Daily Sale entry '!U763))</f>
        <v/>
      </c>
      <c r="H763">
        <f>IF(C763="","",COUNTIFS($C$2:$C$3001,C763,$F$2:$F$3001,"&lt;"&amp;F763)+1)</f>
        <v/>
      </c>
      <c r="I763">
        <f>IF(C763="","",C763&amp;"|"&amp;H763)</f>
        <v/>
      </c>
      <c r="J763" s="6">
        <f>IF(C763="","",IF(H763=1,SUMIFS('Opening Balance'!$F$4:$F$303,'Opening Balance'!$G$4:$G$303,C763),INDEX($L$2:$L$3001,MATCH(C763&amp;"|"&amp;(H763-1),$I$2:$I$3001,0))))</f>
        <v/>
      </c>
      <c r="K763" s="6">
        <f>IF(C763="","",IF(M763&gt;0,M763,IF(AND(E763&gt;0,ROUND(J763+D763-E763,2)&gt;0,ROUND(J763+D763-E763,2)&lt;'Opening Balance'!$B$14),ROUND(J763+D763-E763,2),0)))</f>
        <v/>
      </c>
      <c r="L763" s="6">
        <f>IF(C763="","",ROUND(J763+D763-E763-K763,2))</f>
        <v/>
      </c>
      <c r="M763" s="6">
        <f>IF(C763="","",IF('Daily Sale entry '!Q763="Collection 收款",ROUND(N('Daily Sale entry '!T763),2),0))</f>
        <v/>
      </c>
    </row>
    <row r="764">
      <c r="A764" t="inlineStr">
        <is>
          <t>Entry 记录</t>
        </is>
      </c>
      <c r="B764" s="5">
        <f>IF('Daily Sale entry '!P764="","",'Daily Sale entry '!O764)</f>
        <v/>
      </c>
      <c r="C764">
        <f>IF('Daily Sale entry '!P764="","",'Daily Sale entry '!P764)</f>
        <v/>
      </c>
      <c r="D764">
        <f>IF(C764="","",IF('Daily Sale entry '!Q764="Credit Sale 赊销",'Daily Sale entry '!S764,0))</f>
        <v/>
      </c>
      <c r="E764">
        <f>IF(C764="","",IF('Daily Sale entry '!Q764="Collection 收款",'Daily Sale entry '!S764,0))</f>
        <v/>
      </c>
      <c r="F764" s="37">
        <f>IF(C764="","",B764+IF(E764&gt;0,0,0.5)+ROW()/10000000)</f>
        <v/>
      </c>
      <c r="G764">
        <f>IF(C764="","",'Daily Sale entry '!Q764&amp;IF('Daily Sale entry '!Q764="Collection 收款"," ("&amp;'Daily Sale entry '!R764&amp;")","")&amp;IF('Daily Sale entry '!U764="",""," - "&amp;'Daily Sale entry '!U764))</f>
        <v/>
      </c>
      <c r="H764">
        <f>IF(C764="","",COUNTIFS($C$2:$C$3001,C764,$F$2:$F$3001,"&lt;"&amp;F764)+1)</f>
        <v/>
      </c>
      <c r="I764">
        <f>IF(C764="","",C764&amp;"|"&amp;H764)</f>
        <v/>
      </c>
      <c r="J764" s="6">
        <f>IF(C764="","",IF(H764=1,SUMIFS('Opening Balance'!$F$4:$F$303,'Opening Balance'!$G$4:$G$303,C764),INDEX($L$2:$L$3001,MATCH(C764&amp;"|"&amp;(H764-1),$I$2:$I$3001,0))))</f>
        <v/>
      </c>
      <c r="K764" s="6">
        <f>IF(C764="","",IF(M764&gt;0,M764,IF(AND(E764&gt;0,ROUND(J764+D764-E764,2)&gt;0,ROUND(J764+D764-E764,2)&lt;'Opening Balance'!$B$14),ROUND(J764+D764-E764,2),0)))</f>
        <v/>
      </c>
      <c r="L764" s="6">
        <f>IF(C764="","",ROUND(J764+D764-E764-K764,2))</f>
        <v/>
      </c>
      <c r="M764" s="6">
        <f>IF(C764="","",IF('Daily Sale entry '!Q764="Collection 收款",ROUND(N('Daily Sale entry '!T764),2),0))</f>
        <v/>
      </c>
    </row>
    <row r="765">
      <c r="A765" t="inlineStr">
        <is>
          <t>Entry 记录</t>
        </is>
      </c>
      <c r="B765" s="5">
        <f>IF('Daily Sale entry '!P765="","",'Daily Sale entry '!O765)</f>
        <v/>
      </c>
      <c r="C765">
        <f>IF('Daily Sale entry '!P765="","",'Daily Sale entry '!P765)</f>
        <v/>
      </c>
      <c r="D765">
        <f>IF(C765="","",IF('Daily Sale entry '!Q765="Credit Sale 赊销",'Daily Sale entry '!S765,0))</f>
        <v/>
      </c>
      <c r="E765">
        <f>IF(C765="","",IF('Daily Sale entry '!Q765="Collection 收款",'Daily Sale entry '!S765,0))</f>
        <v/>
      </c>
      <c r="F765" s="37">
        <f>IF(C765="","",B765+IF(E765&gt;0,0,0.5)+ROW()/10000000)</f>
        <v/>
      </c>
      <c r="G765">
        <f>IF(C765="","",'Daily Sale entry '!Q765&amp;IF('Daily Sale entry '!Q765="Collection 收款"," ("&amp;'Daily Sale entry '!R765&amp;")","")&amp;IF('Daily Sale entry '!U765="",""," - "&amp;'Daily Sale entry '!U765))</f>
        <v/>
      </c>
      <c r="H765">
        <f>IF(C765="","",COUNTIFS($C$2:$C$3001,C765,$F$2:$F$3001,"&lt;"&amp;F765)+1)</f>
        <v/>
      </c>
      <c r="I765">
        <f>IF(C765="","",C765&amp;"|"&amp;H765)</f>
        <v/>
      </c>
      <c r="J765" s="6">
        <f>IF(C765="","",IF(H765=1,SUMIFS('Opening Balance'!$F$4:$F$303,'Opening Balance'!$G$4:$G$303,C765),INDEX($L$2:$L$3001,MATCH(C765&amp;"|"&amp;(H765-1),$I$2:$I$3001,0))))</f>
        <v/>
      </c>
      <c r="K765" s="6">
        <f>IF(C765="","",IF(M765&gt;0,M765,IF(AND(E765&gt;0,ROUND(J765+D765-E765,2)&gt;0,ROUND(J765+D765-E765,2)&lt;'Opening Balance'!$B$14),ROUND(J765+D765-E765,2),0)))</f>
        <v/>
      </c>
      <c r="L765" s="6">
        <f>IF(C765="","",ROUND(J765+D765-E765-K765,2))</f>
        <v/>
      </c>
      <c r="M765" s="6">
        <f>IF(C765="","",IF('Daily Sale entry '!Q765="Collection 收款",ROUND(N('Daily Sale entry '!T765),2),0))</f>
        <v/>
      </c>
    </row>
    <row r="766">
      <c r="A766" t="inlineStr">
        <is>
          <t>Entry 记录</t>
        </is>
      </c>
      <c r="B766" s="5">
        <f>IF('Daily Sale entry '!P766="","",'Daily Sale entry '!O766)</f>
        <v/>
      </c>
      <c r="C766">
        <f>IF('Daily Sale entry '!P766="","",'Daily Sale entry '!P766)</f>
        <v/>
      </c>
      <c r="D766">
        <f>IF(C766="","",IF('Daily Sale entry '!Q766="Credit Sale 赊销",'Daily Sale entry '!S766,0))</f>
        <v/>
      </c>
      <c r="E766">
        <f>IF(C766="","",IF('Daily Sale entry '!Q766="Collection 收款",'Daily Sale entry '!S766,0))</f>
        <v/>
      </c>
      <c r="F766" s="37">
        <f>IF(C766="","",B766+IF(E766&gt;0,0,0.5)+ROW()/10000000)</f>
        <v/>
      </c>
      <c r="G766">
        <f>IF(C766="","",'Daily Sale entry '!Q766&amp;IF('Daily Sale entry '!Q766="Collection 收款"," ("&amp;'Daily Sale entry '!R766&amp;")","")&amp;IF('Daily Sale entry '!U766="",""," - "&amp;'Daily Sale entry '!U766))</f>
        <v/>
      </c>
      <c r="H766">
        <f>IF(C766="","",COUNTIFS($C$2:$C$3001,C766,$F$2:$F$3001,"&lt;"&amp;F766)+1)</f>
        <v/>
      </c>
      <c r="I766">
        <f>IF(C766="","",C766&amp;"|"&amp;H766)</f>
        <v/>
      </c>
      <c r="J766" s="6">
        <f>IF(C766="","",IF(H766=1,SUMIFS('Opening Balance'!$F$4:$F$303,'Opening Balance'!$G$4:$G$303,C766),INDEX($L$2:$L$3001,MATCH(C766&amp;"|"&amp;(H766-1),$I$2:$I$3001,0))))</f>
        <v/>
      </c>
      <c r="K766" s="6">
        <f>IF(C766="","",IF(M766&gt;0,M766,IF(AND(E766&gt;0,ROUND(J766+D766-E766,2)&gt;0,ROUND(J766+D766-E766,2)&lt;'Opening Balance'!$B$14),ROUND(J766+D766-E766,2),0)))</f>
        <v/>
      </c>
      <c r="L766" s="6">
        <f>IF(C766="","",ROUND(J766+D766-E766-K766,2))</f>
        <v/>
      </c>
      <c r="M766" s="6">
        <f>IF(C766="","",IF('Daily Sale entry '!Q766="Collection 收款",ROUND(N('Daily Sale entry '!T766),2),0))</f>
        <v/>
      </c>
    </row>
    <row r="767">
      <c r="A767" t="inlineStr">
        <is>
          <t>Entry 记录</t>
        </is>
      </c>
      <c r="B767" s="5">
        <f>IF('Daily Sale entry '!P767="","",'Daily Sale entry '!O767)</f>
        <v/>
      </c>
      <c r="C767">
        <f>IF('Daily Sale entry '!P767="","",'Daily Sale entry '!P767)</f>
        <v/>
      </c>
      <c r="D767">
        <f>IF(C767="","",IF('Daily Sale entry '!Q767="Credit Sale 赊销",'Daily Sale entry '!S767,0))</f>
        <v/>
      </c>
      <c r="E767">
        <f>IF(C767="","",IF('Daily Sale entry '!Q767="Collection 收款",'Daily Sale entry '!S767,0))</f>
        <v/>
      </c>
      <c r="F767" s="37">
        <f>IF(C767="","",B767+IF(E767&gt;0,0,0.5)+ROW()/10000000)</f>
        <v/>
      </c>
      <c r="G767">
        <f>IF(C767="","",'Daily Sale entry '!Q767&amp;IF('Daily Sale entry '!Q767="Collection 收款"," ("&amp;'Daily Sale entry '!R767&amp;")","")&amp;IF('Daily Sale entry '!U767="",""," - "&amp;'Daily Sale entry '!U767))</f>
        <v/>
      </c>
      <c r="H767">
        <f>IF(C767="","",COUNTIFS($C$2:$C$3001,C767,$F$2:$F$3001,"&lt;"&amp;F767)+1)</f>
        <v/>
      </c>
      <c r="I767">
        <f>IF(C767="","",C767&amp;"|"&amp;H767)</f>
        <v/>
      </c>
      <c r="J767" s="6">
        <f>IF(C767="","",IF(H767=1,SUMIFS('Opening Balance'!$F$4:$F$303,'Opening Balance'!$G$4:$G$303,C767),INDEX($L$2:$L$3001,MATCH(C767&amp;"|"&amp;(H767-1),$I$2:$I$3001,0))))</f>
        <v/>
      </c>
      <c r="K767" s="6">
        <f>IF(C767="","",IF(M767&gt;0,M767,IF(AND(E767&gt;0,ROUND(J767+D767-E767,2)&gt;0,ROUND(J767+D767-E767,2)&lt;'Opening Balance'!$B$14),ROUND(J767+D767-E767,2),0)))</f>
        <v/>
      </c>
      <c r="L767" s="6">
        <f>IF(C767="","",ROUND(J767+D767-E767-K767,2))</f>
        <v/>
      </c>
      <c r="M767" s="6">
        <f>IF(C767="","",IF('Daily Sale entry '!Q767="Collection 收款",ROUND(N('Daily Sale entry '!T767),2),0))</f>
        <v/>
      </c>
    </row>
    <row r="768">
      <c r="A768" t="inlineStr">
        <is>
          <t>Entry 记录</t>
        </is>
      </c>
      <c r="B768" s="5">
        <f>IF('Daily Sale entry '!P768="","",'Daily Sale entry '!O768)</f>
        <v/>
      </c>
      <c r="C768">
        <f>IF('Daily Sale entry '!P768="","",'Daily Sale entry '!P768)</f>
        <v/>
      </c>
      <c r="D768">
        <f>IF(C768="","",IF('Daily Sale entry '!Q768="Credit Sale 赊销",'Daily Sale entry '!S768,0))</f>
        <v/>
      </c>
      <c r="E768">
        <f>IF(C768="","",IF('Daily Sale entry '!Q768="Collection 收款",'Daily Sale entry '!S768,0))</f>
        <v/>
      </c>
      <c r="F768" s="37">
        <f>IF(C768="","",B768+IF(E768&gt;0,0,0.5)+ROW()/10000000)</f>
        <v/>
      </c>
      <c r="G768">
        <f>IF(C768="","",'Daily Sale entry '!Q768&amp;IF('Daily Sale entry '!Q768="Collection 收款"," ("&amp;'Daily Sale entry '!R768&amp;")","")&amp;IF('Daily Sale entry '!U768="",""," - "&amp;'Daily Sale entry '!U768))</f>
        <v/>
      </c>
      <c r="H768">
        <f>IF(C768="","",COUNTIFS($C$2:$C$3001,C768,$F$2:$F$3001,"&lt;"&amp;F768)+1)</f>
        <v/>
      </c>
      <c r="I768">
        <f>IF(C768="","",C768&amp;"|"&amp;H768)</f>
        <v/>
      </c>
      <c r="J768" s="6">
        <f>IF(C768="","",IF(H768=1,SUMIFS('Opening Balance'!$F$4:$F$303,'Opening Balance'!$G$4:$G$303,C768),INDEX($L$2:$L$3001,MATCH(C768&amp;"|"&amp;(H768-1),$I$2:$I$3001,0))))</f>
        <v/>
      </c>
      <c r="K768" s="6">
        <f>IF(C768="","",IF(M768&gt;0,M768,IF(AND(E768&gt;0,ROUND(J768+D768-E768,2)&gt;0,ROUND(J768+D768-E768,2)&lt;'Opening Balance'!$B$14),ROUND(J768+D768-E768,2),0)))</f>
        <v/>
      </c>
      <c r="L768" s="6">
        <f>IF(C768="","",ROUND(J768+D768-E768-K768,2))</f>
        <v/>
      </c>
      <c r="M768" s="6">
        <f>IF(C768="","",IF('Daily Sale entry '!Q768="Collection 收款",ROUND(N('Daily Sale entry '!T768),2),0))</f>
        <v/>
      </c>
    </row>
    <row r="769">
      <c r="A769" t="inlineStr">
        <is>
          <t>Entry 记录</t>
        </is>
      </c>
      <c r="B769" s="5">
        <f>IF('Daily Sale entry '!P769="","",'Daily Sale entry '!O769)</f>
        <v/>
      </c>
      <c r="C769">
        <f>IF('Daily Sale entry '!P769="","",'Daily Sale entry '!P769)</f>
        <v/>
      </c>
      <c r="D769">
        <f>IF(C769="","",IF('Daily Sale entry '!Q769="Credit Sale 赊销",'Daily Sale entry '!S769,0))</f>
        <v/>
      </c>
      <c r="E769">
        <f>IF(C769="","",IF('Daily Sale entry '!Q769="Collection 收款",'Daily Sale entry '!S769,0))</f>
        <v/>
      </c>
      <c r="F769" s="37">
        <f>IF(C769="","",B769+IF(E769&gt;0,0,0.5)+ROW()/10000000)</f>
        <v/>
      </c>
      <c r="G769">
        <f>IF(C769="","",'Daily Sale entry '!Q769&amp;IF('Daily Sale entry '!Q769="Collection 收款"," ("&amp;'Daily Sale entry '!R769&amp;")","")&amp;IF('Daily Sale entry '!U769="",""," - "&amp;'Daily Sale entry '!U769))</f>
        <v/>
      </c>
      <c r="H769">
        <f>IF(C769="","",COUNTIFS($C$2:$C$3001,C769,$F$2:$F$3001,"&lt;"&amp;F769)+1)</f>
        <v/>
      </c>
      <c r="I769">
        <f>IF(C769="","",C769&amp;"|"&amp;H769)</f>
        <v/>
      </c>
      <c r="J769" s="6">
        <f>IF(C769="","",IF(H769=1,SUMIFS('Opening Balance'!$F$4:$F$303,'Opening Balance'!$G$4:$G$303,C769),INDEX($L$2:$L$3001,MATCH(C769&amp;"|"&amp;(H769-1),$I$2:$I$3001,0))))</f>
        <v/>
      </c>
      <c r="K769" s="6">
        <f>IF(C769="","",IF(M769&gt;0,M769,IF(AND(E769&gt;0,ROUND(J769+D769-E769,2)&gt;0,ROUND(J769+D769-E769,2)&lt;'Opening Balance'!$B$14),ROUND(J769+D769-E769,2),0)))</f>
        <v/>
      </c>
      <c r="L769" s="6">
        <f>IF(C769="","",ROUND(J769+D769-E769-K769,2))</f>
        <v/>
      </c>
      <c r="M769" s="6">
        <f>IF(C769="","",IF('Daily Sale entry '!Q769="Collection 收款",ROUND(N('Daily Sale entry '!T769),2),0))</f>
        <v/>
      </c>
    </row>
    <row r="770">
      <c r="A770" t="inlineStr">
        <is>
          <t>Entry 记录</t>
        </is>
      </c>
      <c r="B770" s="5">
        <f>IF('Daily Sale entry '!P770="","",'Daily Sale entry '!O770)</f>
        <v/>
      </c>
      <c r="C770">
        <f>IF('Daily Sale entry '!P770="","",'Daily Sale entry '!P770)</f>
        <v/>
      </c>
      <c r="D770">
        <f>IF(C770="","",IF('Daily Sale entry '!Q770="Credit Sale 赊销",'Daily Sale entry '!S770,0))</f>
        <v/>
      </c>
      <c r="E770">
        <f>IF(C770="","",IF('Daily Sale entry '!Q770="Collection 收款",'Daily Sale entry '!S770,0))</f>
        <v/>
      </c>
      <c r="F770" s="37">
        <f>IF(C770="","",B770+IF(E770&gt;0,0,0.5)+ROW()/10000000)</f>
        <v/>
      </c>
      <c r="G770">
        <f>IF(C770="","",'Daily Sale entry '!Q770&amp;IF('Daily Sale entry '!Q770="Collection 收款"," ("&amp;'Daily Sale entry '!R770&amp;")","")&amp;IF('Daily Sale entry '!U770="",""," - "&amp;'Daily Sale entry '!U770))</f>
        <v/>
      </c>
      <c r="H770">
        <f>IF(C770="","",COUNTIFS($C$2:$C$3001,C770,$F$2:$F$3001,"&lt;"&amp;F770)+1)</f>
        <v/>
      </c>
      <c r="I770">
        <f>IF(C770="","",C770&amp;"|"&amp;H770)</f>
        <v/>
      </c>
      <c r="J770" s="6">
        <f>IF(C770="","",IF(H770=1,SUMIFS('Opening Balance'!$F$4:$F$303,'Opening Balance'!$G$4:$G$303,C770),INDEX($L$2:$L$3001,MATCH(C770&amp;"|"&amp;(H770-1),$I$2:$I$3001,0))))</f>
        <v/>
      </c>
      <c r="K770" s="6">
        <f>IF(C770="","",IF(M770&gt;0,M770,IF(AND(E770&gt;0,ROUND(J770+D770-E770,2)&gt;0,ROUND(J770+D770-E770,2)&lt;'Opening Balance'!$B$14),ROUND(J770+D770-E770,2),0)))</f>
        <v/>
      </c>
      <c r="L770" s="6">
        <f>IF(C770="","",ROUND(J770+D770-E770-K770,2))</f>
        <v/>
      </c>
      <c r="M770" s="6">
        <f>IF(C770="","",IF('Daily Sale entry '!Q770="Collection 收款",ROUND(N('Daily Sale entry '!T770),2),0))</f>
        <v/>
      </c>
    </row>
    <row r="771">
      <c r="A771" t="inlineStr">
        <is>
          <t>Entry 记录</t>
        </is>
      </c>
      <c r="B771" s="5">
        <f>IF('Daily Sale entry '!P771="","",'Daily Sale entry '!O771)</f>
        <v/>
      </c>
      <c r="C771">
        <f>IF('Daily Sale entry '!P771="","",'Daily Sale entry '!P771)</f>
        <v/>
      </c>
      <c r="D771">
        <f>IF(C771="","",IF('Daily Sale entry '!Q771="Credit Sale 赊销",'Daily Sale entry '!S771,0))</f>
        <v/>
      </c>
      <c r="E771">
        <f>IF(C771="","",IF('Daily Sale entry '!Q771="Collection 收款",'Daily Sale entry '!S771,0))</f>
        <v/>
      </c>
      <c r="F771" s="37">
        <f>IF(C771="","",B771+IF(E771&gt;0,0,0.5)+ROW()/10000000)</f>
        <v/>
      </c>
      <c r="G771">
        <f>IF(C771="","",'Daily Sale entry '!Q771&amp;IF('Daily Sale entry '!Q771="Collection 收款"," ("&amp;'Daily Sale entry '!R771&amp;")","")&amp;IF('Daily Sale entry '!U771="",""," - "&amp;'Daily Sale entry '!U771))</f>
        <v/>
      </c>
      <c r="H771">
        <f>IF(C771="","",COUNTIFS($C$2:$C$3001,C771,$F$2:$F$3001,"&lt;"&amp;F771)+1)</f>
        <v/>
      </c>
      <c r="I771">
        <f>IF(C771="","",C771&amp;"|"&amp;H771)</f>
        <v/>
      </c>
      <c r="J771" s="6">
        <f>IF(C771="","",IF(H771=1,SUMIFS('Opening Balance'!$F$4:$F$303,'Opening Balance'!$G$4:$G$303,C771),INDEX($L$2:$L$3001,MATCH(C771&amp;"|"&amp;(H771-1),$I$2:$I$3001,0))))</f>
        <v/>
      </c>
      <c r="K771" s="6">
        <f>IF(C771="","",IF(M771&gt;0,M771,IF(AND(E771&gt;0,ROUND(J771+D771-E771,2)&gt;0,ROUND(J771+D771-E771,2)&lt;'Opening Balance'!$B$14),ROUND(J771+D771-E771,2),0)))</f>
        <v/>
      </c>
      <c r="L771" s="6">
        <f>IF(C771="","",ROUND(J771+D771-E771-K771,2))</f>
        <v/>
      </c>
      <c r="M771" s="6">
        <f>IF(C771="","",IF('Daily Sale entry '!Q771="Collection 收款",ROUND(N('Daily Sale entry '!T771),2),0))</f>
        <v/>
      </c>
    </row>
    <row r="772">
      <c r="A772" t="inlineStr">
        <is>
          <t>Entry 记录</t>
        </is>
      </c>
      <c r="B772" s="5">
        <f>IF('Daily Sale entry '!P772="","",'Daily Sale entry '!O772)</f>
        <v/>
      </c>
      <c r="C772">
        <f>IF('Daily Sale entry '!P772="","",'Daily Sale entry '!P772)</f>
        <v/>
      </c>
      <c r="D772">
        <f>IF(C772="","",IF('Daily Sale entry '!Q772="Credit Sale 赊销",'Daily Sale entry '!S772,0))</f>
        <v/>
      </c>
      <c r="E772">
        <f>IF(C772="","",IF('Daily Sale entry '!Q772="Collection 收款",'Daily Sale entry '!S772,0))</f>
        <v/>
      </c>
      <c r="F772" s="37">
        <f>IF(C772="","",B772+IF(E772&gt;0,0,0.5)+ROW()/10000000)</f>
        <v/>
      </c>
      <c r="G772">
        <f>IF(C772="","",'Daily Sale entry '!Q772&amp;IF('Daily Sale entry '!Q772="Collection 收款"," ("&amp;'Daily Sale entry '!R772&amp;")","")&amp;IF('Daily Sale entry '!U772="",""," - "&amp;'Daily Sale entry '!U772))</f>
        <v/>
      </c>
      <c r="H772">
        <f>IF(C772="","",COUNTIFS($C$2:$C$3001,C772,$F$2:$F$3001,"&lt;"&amp;F772)+1)</f>
        <v/>
      </c>
      <c r="I772">
        <f>IF(C772="","",C772&amp;"|"&amp;H772)</f>
        <v/>
      </c>
      <c r="J772" s="6">
        <f>IF(C772="","",IF(H772=1,SUMIFS('Opening Balance'!$F$4:$F$303,'Opening Balance'!$G$4:$G$303,C772),INDEX($L$2:$L$3001,MATCH(C772&amp;"|"&amp;(H772-1),$I$2:$I$3001,0))))</f>
        <v/>
      </c>
      <c r="K772" s="6">
        <f>IF(C772="","",IF(M772&gt;0,M772,IF(AND(E772&gt;0,ROUND(J772+D772-E772,2)&gt;0,ROUND(J772+D772-E772,2)&lt;'Opening Balance'!$B$14),ROUND(J772+D772-E772,2),0)))</f>
        <v/>
      </c>
      <c r="L772" s="6">
        <f>IF(C772="","",ROUND(J772+D772-E772-K772,2))</f>
        <v/>
      </c>
      <c r="M772" s="6">
        <f>IF(C772="","",IF('Daily Sale entry '!Q772="Collection 收款",ROUND(N('Daily Sale entry '!T772),2),0))</f>
        <v/>
      </c>
    </row>
    <row r="773">
      <c r="A773" t="inlineStr">
        <is>
          <t>Entry 记录</t>
        </is>
      </c>
      <c r="B773" s="5">
        <f>IF('Daily Sale entry '!P773="","",'Daily Sale entry '!O773)</f>
        <v/>
      </c>
      <c r="C773">
        <f>IF('Daily Sale entry '!P773="","",'Daily Sale entry '!P773)</f>
        <v/>
      </c>
      <c r="D773">
        <f>IF(C773="","",IF('Daily Sale entry '!Q773="Credit Sale 赊销",'Daily Sale entry '!S773,0))</f>
        <v/>
      </c>
      <c r="E773">
        <f>IF(C773="","",IF('Daily Sale entry '!Q773="Collection 收款",'Daily Sale entry '!S773,0))</f>
        <v/>
      </c>
      <c r="F773" s="37">
        <f>IF(C773="","",B773+IF(E773&gt;0,0,0.5)+ROW()/10000000)</f>
        <v/>
      </c>
      <c r="G773">
        <f>IF(C773="","",'Daily Sale entry '!Q773&amp;IF('Daily Sale entry '!Q773="Collection 收款"," ("&amp;'Daily Sale entry '!R773&amp;")","")&amp;IF('Daily Sale entry '!U773="",""," - "&amp;'Daily Sale entry '!U773))</f>
        <v/>
      </c>
      <c r="H773">
        <f>IF(C773="","",COUNTIFS($C$2:$C$3001,C773,$F$2:$F$3001,"&lt;"&amp;F773)+1)</f>
        <v/>
      </c>
      <c r="I773">
        <f>IF(C773="","",C773&amp;"|"&amp;H773)</f>
        <v/>
      </c>
      <c r="J773" s="6">
        <f>IF(C773="","",IF(H773=1,SUMIFS('Opening Balance'!$F$4:$F$303,'Opening Balance'!$G$4:$G$303,C773),INDEX($L$2:$L$3001,MATCH(C773&amp;"|"&amp;(H773-1),$I$2:$I$3001,0))))</f>
        <v/>
      </c>
      <c r="K773" s="6">
        <f>IF(C773="","",IF(M773&gt;0,M773,IF(AND(E773&gt;0,ROUND(J773+D773-E773,2)&gt;0,ROUND(J773+D773-E773,2)&lt;'Opening Balance'!$B$14),ROUND(J773+D773-E773,2),0)))</f>
        <v/>
      </c>
      <c r="L773" s="6">
        <f>IF(C773="","",ROUND(J773+D773-E773-K773,2))</f>
        <v/>
      </c>
      <c r="M773" s="6">
        <f>IF(C773="","",IF('Daily Sale entry '!Q773="Collection 收款",ROUND(N('Daily Sale entry '!T773),2),0))</f>
        <v/>
      </c>
    </row>
    <row r="774">
      <c r="A774" t="inlineStr">
        <is>
          <t>Entry 记录</t>
        </is>
      </c>
      <c r="B774" s="5">
        <f>IF('Daily Sale entry '!P774="","",'Daily Sale entry '!O774)</f>
        <v/>
      </c>
      <c r="C774">
        <f>IF('Daily Sale entry '!P774="","",'Daily Sale entry '!P774)</f>
        <v/>
      </c>
      <c r="D774">
        <f>IF(C774="","",IF('Daily Sale entry '!Q774="Credit Sale 赊销",'Daily Sale entry '!S774,0))</f>
        <v/>
      </c>
      <c r="E774">
        <f>IF(C774="","",IF('Daily Sale entry '!Q774="Collection 收款",'Daily Sale entry '!S774,0))</f>
        <v/>
      </c>
      <c r="F774" s="37">
        <f>IF(C774="","",B774+IF(E774&gt;0,0,0.5)+ROW()/10000000)</f>
        <v/>
      </c>
      <c r="G774">
        <f>IF(C774="","",'Daily Sale entry '!Q774&amp;IF('Daily Sale entry '!Q774="Collection 收款"," ("&amp;'Daily Sale entry '!R774&amp;")","")&amp;IF('Daily Sale entry '!U774="",""," - "&amp;'Daily Sale entry '!U774))</f>
        <v/>
      </c>
      <c r="H774">
        <f>IF(C774="","",COUNTIFS($C$2:$C$3001,C774,$F$2:$F$3001,"&lt;"&amp;F774)+1)</f>
        <v/>
      </c>
      <c r="I774">
        <f>IF(C774="","",C774&amp;"|"&amp;H774)</f>
        <v/>
      </c>
      <c r="J774" s="6">
        <f>IF(C774="","",IF(H774=1,SUMIFS('Opening Balance'!$F$4:$F$303,'Opening Balance'!$G$4:$G$303,C774),INDEX($L$2:$L$3001,MATCH(C774&amp;"|"&amp;(H774-1),$I$2:$I$3001,0))))</f>
        <v/>
      </c>
      <c r="K774" s="6">
        <f>IF(C774="","",IF(M774&gt;0,M774,IF(AND(E774&gt;0,ROUND(J774+D774-E774,2)&gt;0,ROUND(J774+D774-E774,2)&lt;'Opening Balance'!$B$14),ROUND(J774+D774-E774,2),0)))</f>
        <v/>
      </c>
      <c r="L774" s="6">
        <f>IF(C774="","",ROUND(J774+D774-E774-K774,2))</f>
        <v/>
      </c>
      <c r="M774" s="6">
        <f>IF(C774="","",IF('Daily Sale entry '!Q774="Collection 收款",ROUND(N('Daily Sale entry '!T774),2),0))</f>
        <v/>
      </c>
    </row>
    <row r="775">
      <c r="A775" t="inlineStr">
        <is>
          <t>Entry 记录</t>
        </is>
      </c>
      <c r="B775" s="5">
        <f>IF('Daily Sale entry '!P775="","",'Daily Sale entry '!O775)</f>
        <v/>
      </c>
      <c r="C775">
        <f>IF('Daily Sale entry '!P775="","",'Daily Sale entry '!P775)</f>
        <v/>
      </c>
      <c r="D775">
        <f>IF(C775="","",IF('Daily Sale entry '!Q775="Credit Sale 赊销",'Daily Sale entry '!S775,0))</f>
        <v/>
      </c>
      <c r="E775">
        <f>IF(C775="","",IF('Daily Sale entry '!Q775="Collection 收款",'Daily Sale entry '!S775,0))</f>
        <v/>
      </c>
      <c r="F775" s="37">
        <f>IF(C775="","",B775+IF(E775&gt;0,0,0.5)+ROW()/10000000)</f>
        <v/>
      </c>
      <c r="G775">
        <f>IF(C775="","",'Daily Sale entry '!Q775&amp;IF('Daily Sale entry '!Q775="Collection 收款"," ("&amp;'Daily Sale entry '!R775&amp;")","")&amp;IF('Daily Sale entry '!U775="",""," - "&amp;'Daily Sale entry '!U775))</f>
        <v/>
      </c>
      <c r="H775">
        <f>IF(C775="","",COUNTIFS($C$2:$C$3001,C775,$F$2:$F$3001,"&lt;"&amp;F775)+1)</f>
        <v/>
      </c>
      <c r="I775">
        <f>IF(C775="","",C775&amp;"|"&amp;H775)</f>
        <v/>
      </c>
      <c r="J775" s="6">
        <f>IF(C775="","",IF(H775=1,SUMIFS('Opening Balance'!$F$4:$F$303,'Opening Balance'!$G$4:$G$303,C775),INDEX($L$2:$L$3001,MATCH(C775&amp;"|"&amp;(H775-1),$I$2:$I$3001,0))))</f>
        <v/>
      </c>
      <c r="K775" s="6">
        <f>IF(C775="","",IF(M775&gt;0,M775,IF(AND(E775&gt;0,ROUND(J775+D775-E775,2)&gt;0,ROUND(J775+D775-E775,2)&lt;'Opening Balance'!$B$14),ROUND(J775+D775-E775,2),0)))</f>
        <v/>
      </c>
      <c r="L775" s="6">
        <f>IF(C775="","",ROUND(J775+D775-E775-K775,2))</f>
        <v/>
      </c>
      <c r="M775" s="6">
        <f>IF(C775="","",IF('Daily Sale entry '!Q775="Collection 收款",ROUND(N('Daily Sale entry '!T775),2),0))</f>
        <v/>
      </c>
    </row>
    <row r="776">
      <c r="A776" t="inlineStr">
        <is>
          <t>Entry 记录</t>
        </is>
      </c>
      <c r="B776" s="5">
        <f>IF('Daily Sale entry '!P776="","",'Daily Sale entry '!O776)</f>
        <v/>
      </c>
      <c r="C776">
        <f>IF('Daily Sale entry '!P776="","",'Daily Sale entry '!P776)</f>
        <v/>
      </c>
      <c r="D776">
        <f>IF(C776="","",IF('Daily Sale entry '!Q776="Credit Sale 赊销",'Daily Sale entry '!S776,0))</f>
        <v/>
      </c>
      <c r="E776">
        <f>IF(C776="","",IF('Daily Sale entry '!Q776="Collection 收款",'Daily Sale entry '!S776,0))</f>
        <v/>
      </c>
      <c r="F776" s="37">
        <f>IF(C776="","",B776+IF(E776&gt;0,0,0.5)+ROW()/10000000)</f>
        <v/>
      </c>
      <c r="G776">
        <f>IF(C776="","",'Daily Sale entry '!Q776&amp;IF('Daily Sale entry '!Q776="Collection 收款"," ("&amp;'Daily Sale entry '!R776&amp;")","")&amp;IF('Daily Sale entry '!U776="",""," - "&amp;'Daily Sale entry '!U776))</f>
        <v/>
      </c>
      <c r="H776">
        <f>IF(C776="","",COUNTIFS($C$2:$C$3001,C776,$F$2:$F$3001,"&lt;"&amp;F776)+1)</f>
        <v/>
      </c>
      <c r="I776">
        <f>IF(C776="","",C776&amp;"|"&amp;H776)</f>
        <v/>
      </c>
      <c r="J776" s="6">
        <f>IF(C776="","",IF(H776=1,SUMIFS('Opening Balance'!$F$4:$F$303,'Opening Balance'!$G$4:$G$303,C776),INDEX($L$2:$L$3001,MATCH(C776&amp;"|"&amp;(H776-1),$I$2:$I$3001,0))))</f>
        <v/>
      </c>
      <c r="K776" s="6">
        <f>IF(C776="","",IF(M776&gt;0,M776,IF(AND(E776&gt;0,ROUND(J776+D776-E776,2)&gt;0,ROUND(J776+D776-E776,2)&lt;'Opening Balance'!$B$14),ROUND(J776+D776-E776,2),0)))</f>
        <v/>
      </c>
      <c r="L776" s="6">
        <f>IF(C776="","",ROUND(J776+D776-E776-K776,2))</f>
        <v/>
      </c>
      <c r="M776" s="6">
        <f>IF(C776="","",IF('Daily Sale entry '!Q776="Collection 收款",ROUND(N('Daily Sale entry '!T776),2),0))</f>
        <v/>
      </c>
    </row>
    <row r="777">
      <c r="A777" t="inlineStr">
        <is>
          <t>Entry 记录</t>
        </is>
      </c>
      <c r="B777" s="5">
        <f>IF('Daily Sale entry '!P777="","",'Daily Sale entry '!O777)</f>
        <v/>
      </c>
      <c r="C777">
        <f>IF('Daily Sale entry '!P777="","",'Daily Sale entry '!P777)</f>
        <v/>
      </c>
      <c r="D777">
        <f>IF(C777="","",IF('Daily Sale entry '!Q777="Credit Sale 赊销",'Daily Sale entry '!S777,0))</f>
        <v/>
      </c>
      <c r="E777">
        <f>IF(C777="","",IF('Daily Sale entry '!Q777="Collection 收款",'Daily Sale entry '!S777,0))</f>
        <v/>
      </c>
      <c r="F777" s="37">
        <f>IF(C777="","",B777+IF(E777&gt;0,0,0.5)+ROW()/10000000)</f>
        <v/>
      </c>
      <c r="G777">
        <f>IF(C777="","",'Daily Sale entry '!Q777&amp;IF('Daily Sale entry '!Q777="Collection 收款"," ("&amp;'Daily Sale entry '!R777&amp;")","")&amp;IF('Daily Sale entry '!U777="",""," - "&amp;'Daily Sale entry '!U777))</f>
        <v/>
      </c>
      <c r="H777">
        <f>IF(C777="","",COUNTIFS($C$2:$C$3001,C777,$F$2:$F$3001,"&lt;"&amp;F777)+1)</f>
        <v/>
      </c>
      <c r="I777">
        <f>IF(C777="","",C777&amp;"|"&amp;H777)</f>
        <v/>
      </c>
      <c r="J777" s="6">
        <f>IF(C777="","",IF(H777=1,SUMIFS('Opening Balance'!$F$4:$F$303,'Opening Balance'!$G$4:$G$303,C777),INDEX($L$2:$L$3001,MATCH(C777&amp;"|"&amp;(H777-1),$I$2:$I$3001,0))))</f>
        <v/>
      </c>
      <c r="K777" s="6">
        <f>IF(C777="","",IF(M777&gt;0,M777,IF(AND(E777&gt;0,ROUND(J777+D777-E777,2)&gt;0,ROUND(J777+D777-E777,2)&lt;'Opening Balance'!$B$14),ROUND(J777+D777-E777,2),0)))</f>
        <v/>
      </c>
      <c r="L777" s="6">
        <f>IF(C777="","",ROUND(J777+D777-E777-K777,2))</f>
        <v/>
      </c>
      <c r="M777" s="6">
        <f>IF(C777="","",IF('Daily Sale entry '!Q777="Collection 收款",ROUND(N('Daily Sale entry '!T777),2),0))</f>
        <v/>
      </c>
    </row>
    <row r="778">
      <c r="A778" t="inlineStr">
        <is>
          <t>Entry 记录</t>
        </is>
      </c>
      <c r="B778" s="5">
        <f>IF('Daily Sale entry '!P778="","",'Daily Sale entry '!O778)</f>
        <v/>
      </c>
      <c r="C778">
        <f>IF('Daily Sale entry '!P778="","",'Daily Sale entry '!P778)</f>
        <v/>
      </c>
      <c r="D778">
        <f>IF(C778="","",IF('Daily Sale entry '!Q778="Credit Sale 赊销",'Daily Sale entry '!S778,0))</f>
        <v/>
      </c>
      <c r="E778">
        <f>IF(C778="","",IF('Daily Sale entry '!Q778="Collection 收款",'Daily Sale entry '!S778,0))</f>
        <v/>
      </c>
      <c r="F778" s="37">
        <f>IF(C778="","",B778+IF(E778&gt;0,0,0.5)+ROW()/10000000)</f>
        <v/>
      </c>
      <c r="G778">
        <f>IF(C778="","",'Daily Sale entry '!Q778&amp;IF('Daily Sale entry '!Q778="Collection 收款"," ("&amp;'Daily Sale entry '!R778&amp;")","")&amp;IF('Daily Sale entry '!U778="",""," - "&amp;'Daily Sale entry '!U778))</f>
        <v/>
      </c>
      <c r="H778">
        <f>IF(C778="","",COUNTIFS($C$2:$C$3001,C778,$F$2:$F$3001,"&lt;"&amp;F778)+1)</f>
        <v/>
      </c>
      <c r="I778">
        <f>IF(C778="","",C778&amp;"|"&amp;H778)</f>
        <v/>
      </c>
      <c r="J778" s="6">
        <f>IF(C778="","",IF(H778=1,SUMIFS('Opening Balance'!$F$4:$F$303,'Opening Balance'!$G$4:$G$303,C778),INDEX($L$2:$L$3001,MATCH(C778&amp;"|"&amp;(H778-1),$I$2:$I$3001,0))))</f>
        <v/>
      </c>
      <c r="K778" s="6">
        <f>IF(C778="","",IF(M778&gt;0,M778,IF(AND(E778&gt;0,ROUND(J778+D778-E778,2)&gt;0,ROUND(J778+D778-E778,2)&lt;'Opening Balance'!$B$14),ROUND(J778+D778-E778,2),0)))</f>
        <v/>
      </c>
      <c r="L778" s="6">
        <f>IF(C778="","",ROUND(J778+D778-E778-K778,2))</f>
        <v/>
      </c>
      <c r="M778" s="6">
        <f>IF(C778="","",IF('Daily Sale entry '!Q778="Collection 收款",ROUND(N('Daily Sale entry '!T778),2),0))</f>
        <v/>
      </c>
    </row>
    <row r="779">
      <c r="A779" t="inlineStr">
        <is>
          <t>Entry 记录</t>
        </is>
      </c>
      <c r="B779" s="5">
        <f>IF('Daily Sale entry '!P779="","",'Daily Sale entry '!O779)</f>
        <v/>
      </c>
      <c r="C779">
        <f>IF('Daily Sale entry '!P779="","",'Daily Sale entry '!P779)</f>
        <v/>
      </c>
      <c r="D779">
        <f>IF(C779="","",IF('Daily Sale entry '!Q779="Credit Sale 赊销",'Daily Sale entry '!S779,0))</f>
        <v/>
      </c>
      <c r="E779">
        <f>IF(C779="","",IF('Daily Sale entry '!Q779="Collection 收款",'Daily Sale entry '!S779,0))</f>
        <v/>
      </c>
      <c r="F779" s="37">
        <f>IF(C779="","",B779+IF(E779&gt;0,0,0.5)+ROW()/10000000)</f>
        <v/>
      </c>
      <c r="G779">
        <f>IF(C779="","",'Daily Sale entry '!Q779&amp;IF('Daily Sale entry '!Q779="Collection 收款"," ("&amp;'Daily Sale entry '!R779&amp;")","")&amp;IF('Daily Sale entry '!U779="",""," - "&amp;'Daily Sale entry '!U779))</f>
        <v/>
      </c>
      <c r="H779">
        <f>IF(C779="","",COUNTIFS($C$2:$C$3001,C779,$F$2:$F$3001,"&lt;"&amp;F779)+1)</f>
        <v/>
      </c>
      <c r="I779">
        <f>IF(C779="","",C779&amp;"|"&amp;H779)</f>
        <v/>
      </c>
      <c r="J779" s="6">
        <f>IF(C779="","",IF(H779=1,SUMIFS('Opening Balance'!$F$4:$F$303,'Opening Balance'!$G$4:$G$303,C779),INDEX($L$2:$L$3001,MATCH(C779&amp;"|"&amp;(H779-1),$I$2:$I$3001,0))))</f>
        <v/>
      </c>
      <c r="K779" s="6">
        <f>IF(C779="","",IF(M779&gt;0,M779,IF(AND(E779&gt;0,ROUND(J779+D779-E779,2)&gt;0,ROUND(J779+D779-E779,2)&lt;'Opening Balance'!$B$14),ROUND(J779+D779-E779,2),0)))</f>
        <v/>
      </c>
      <c r="L779" s="6">
        <f>IF(C779="","",ROUND(J779+D779-E779-K779,2))</f>
        <v/>
      </c>
      <c r="M779" s="6">
        <f>IF(C779="","",IF('Daily Sale entry '!Q779="Collection 收款",ROUND(N('Daily Sale entry '!T779),2),0))</f>
        <v/>
      </c>
    </row>
    <row r="780">
      <c r="A780" t="inlineStr">
        <is>
          <t>Entry 记录</t>
        </is>
      </c>
      <c r="B780" s="5">
        <f>IF('Daily Sale entry '!P780="","",'Daily Sale entry '!O780)</f>
        <v/>
      </c>
      <c r="C780">
        <f>IF('Daily Sale entry '!P780="","",'Daily Sale entry '!P780)</f>
        <v/>
      </c>
      <c r="D780">
        <f>IF(C780="","",IF('Daily Sale entry '!Q780="Credit Sale 赊销",'Daily Sale entry '!S780,0))</f>
        <v/>
      </c>
      <c r="E780">
        <f>IF(C780="","",IF('Daily Sale entry '!Q780="Collection 收款",'Daily Sale entry '!S780,0))</f>
        <v/>
      </c>
      <c r="F780" s="37">
        <f>IF(C780="","",B780+IF(E780&gt;0,0,0.5)+ROW()/10000000)</f>
        <v/>
      </c>
      <c r="G780">
        <f>IF(C780="","",'Daily Sale entry '!Q780&amp;IF('Daily Sale entry '!Q780="Collection 收款"," ("&amp;'Daily Sale entry '!R780&amp;")","")&amp;IF('Daily Sale entry '!U780="",""," - "&amp;'Daily Sale entry '!U780))</f>
        <v/>
      </c>
      <c r="H780">
        <f>IF(C780="","",COUNTIFS($C$2:$C$3001,C780,$F$2:$F$3001,"&lt;"&amp;F780)+1)</f>
        <v/>
      </c>
      <c r="I780">
        <f>IF(C780="","",C780&amp;"|"&amp;H780)</f>
        <v/>
      </c>
      <c r="J780" s="6">
        <f>IF(C780="","",IF(H780=1,SUMIFS('Opening Balance'!$F$4:$F$303,'Opening Balance'!$G$4:$G$303,C780),INDEX($L$2:$L$3001,MATCH(C780&amp;"|"&amp;(H780-1),$I$2:$I$3001,0))))</f>
        <v/>
      </c>
      <c r="K780" s="6">
        <f>IF(C780="","",IF(M780&gt;0,M780,IF(AND(E780&gt;0,ROUND(J780+D780-E780,2)&gt;0,ROUND(J780+D780-E780,2)&lt;'Opening Balance'!$B$14),ROUND(J780+D780-E780,2),0)))</f>
        <v/>
      </c>
      <c r="L780" s="6">
        <f>IF(C780="","",ROUND(J780+D780-E780-K780,2))</f>
        <v/>
      </c>
      <c r="M780" s="6">
        <f>IF(C780="","",IF('Daily Sale entry '!Q780="Collection 收款",ROUND(N('Daily Sale entry '!T780),2),0))</f>
        <v/>
      </c>
    </row>
    <row r="781">
      <c r="A781" t="inlineStr">
        <is>
          <t>Entry 记录</t>
        </is>
      </c>
      <c r="B781" s="5">
        <f>IF('Daily Sale entry '!P781="","",'Daily Sale entry '!O781)</f>
        <v/>
      </c>
      <c r="C781">
        <f>IF('Daily Sale entry '!P781="","",'Daily Sale entry '!P781)</f>
        <v/>
      </c>
      <c r="D781">
        <f>IF(C781="","",IF('Daily Sale entry '!Q781="Credit Sale 赊销",'Daily Sale entry '!S781,0))</f>
        <v/>
      </c>
      <c r="E781">
        <f>IF(C781="","",IF('Daily Sale entry '!Q781="Collection 收款",'Daily Sale entry '!S781,0))</f>
        <v/>
      </c>
      <c r="F781" s="37">
        <f>IF(C781="","",B781+IF(E781&gt;0,0,0.5)+ROW()/10000000)</f>
        <v/>
      </c>
      <c r="G781">
        <f>IF(C781="","",'Daily Sale entry '!Q781&amp;IF('Daily Sale entry '!Q781="Collection 收款"," ("&amp;'Daily Sale entry '!R781&amp;")","")&amp;IF('Daily Sale entry '!U781="",""," - "&amp;'Daily Sale entry '!U781))</f>
        <v/>
      </c>
      <c r="H781">
        <f>IF(C781="","",COUNTIFS($C$2:$C$3001,C781,$F$2:$F$3001,"&lt;"&amp;F781)+1)</f>
        <v/>
      </c>
      <c r="I781">
        <f>IF(C781="","",C781&amp;"|"&amp;H781)</f>
        <v/>
      </c>
      <c r="J781" s="6">
        <f>IF(C781="","",IF(H781=1,SUMIFS('Opening Balance'!$F$4:$F$303,'Opening Balance'!$G$4:$G$303,C781),INDEX($L$2:$L$3001,MATCH(C781&amp;"|"&amp;(H781-1),$I$2:$I$3001,0))))</f>
        <v/>
      </c>
      <c r="K781" s="6">
        <f>IF(C781="","",IF(M781&gt;0,M781,IF(AND(E781&gt;0,ROUND(J781+D781-E781,2)&gt;0,ROUND(J781+D781-E781,2)&lt;'Opening Balance'!$B$14),ROUND(J781+D781-E781,2),0)))</f>
        <v/>
      </c>
      <c r="L781" s="6">
        <f>IF(C781="","",ROUND(J781+D781-E781-K781,2))</f>
        <v/>
      </c>
      <c r="M781" s="6">
        <f>IF(C781="","",IF('Daily Sale entry '!Q781="Collection 收款",ROUND(N('Daily Sale entry '!T781),2),0))</f>
        <v/>
      </c>
    </row>
    <row r="782">
      <c r="A782" t="inlineStr">
        <is>
          <t>Entry 记录</t>
        </is>
      </c>
      <c r="B782" s="5">
        <f>IF('Daily Sale entry '!P782="","",'Daily Sale entry '!O782)</f>
        <v/>
      </c>
      <c r="C782">
        <f>IF('Daily Sale entry '!P782="","",'Daily Sale entry '!P782)</f>
        <v/>
      </c>
      <c r="D782">
        <f>IF(C782="","",IF('Daily Sale entry '!Q782="Credit Sale 赊销",'Daily Sale entry '!S782,0))</f>
        <v/>
      </c>
      <c r="E782">
        <f>IF(C782="","",IF('Daily Sale entry '!Q782="Collection 收款",'Daily Sale entry '!S782,0))</f>
        <v/>
      </c>
      <c r="F782" s="37">
        <f>IF(C782="","",B782+IF(E782&gt;0,0,0.5)+ROW()/10000000)</f>
        <v/>
      </c>
      <c r="G782">
        <f>IF(C782="","",'Daily Sale entry '!Q782&amp;IF('Daily Sale entry '!Q782="Collection 收款"," ("&amp;'Daily Sale entry '!R782&amp;")","")&amp;IF('Daily Sale entry '!U782="",""," - "&amp;'Daily Sale entry '!U782))</f>
        <v/>
      </c>
      <c r="H782">
        <f>IF(C782="","",COUNTIFS($C$2:$C$3001,C782,$F$2:$F$3001,"&lt;"&amp;F782)+1)</f>
        <v/>
      </c>
      <c r="I782">
        <f>IF(C782="","",C782&amp;"|"&amp;H782)</f>
        <v/>
      </c>
      <c r="J782" s="6">
        <f>IF(C782="","",IF(H782=1,SUMIFS('Opening Balance'!$F$4:$F$303,'Opening Balance'!$G$4:$G$303,C782),INDEX($L$2:$L$3001,MATCH(C782&amp;"|"&amp;(H782-1),$I$2:$I$3001,0))))</f>
        <v/>
      </c>
      <c r="K782" s="6">
        <f>IF(C782="","",IF(M782&gt;0,M782,IF(AND(E782&gt;0,ROUND(J782+D782-E782,2)&gt;0,ROUND(J782+D782-E782,2)&lt;'Opening Balance'!$B$14),ROUND(J782+D782-E782,2),0)))</f>
        <v/>
      </c>
      <c r="L782" s="6">
        <f>IF(C782="","",ROUND(J782+D782-E782-K782,2))</f>
        <v/>
      </c>
      <c r="M782" s="6">
        <f>IF(C782="","",IF('Daily Sale entry '!Q782="Collection 收款",ROUND(N('Daily Sale entry '!T782),2),0))</f>
        <v/>
      </c>
    </row>
    <row r="783">
      <c r="A783" t="inlineStr">
        <is>
          <t>Entry 记录</t>
        </is>
      </c>
      <c r="B783" s="5">
        <f>IF('Daily Sale entry '!P783="","",'Daily Sale entry '!O783)</f>
        <v/>
      </c>
      <c r="C783">
        <f>IF('Daily Sale entry '!P783="","",'Daily Sale entry '!P783)</f>
        <v/>
      </c>
      <c r="D783">
        <f>IF(C783="","",IF('Daily Sale entry '!Q783="Credit Sale 赊销",'Daily Sale entry '!S783,0))</f>
        <v/>
      </c>
      <c r="E783">
        <f>IF(C783="","",IF('Daily Sale entry '!Q783="Collection 收款",'Daily Sale entry '!S783,0))</f>
        <v/>
      </c>
      <c r="F783" s="37">
        <f>IF(C783="","",B783+IF(E783&gt;0,0,0.5)+ROW()/10000000)</f>
        <v/>
      </c>
      <c r="G783">
        <f>IF(C783="","",'Daily Sale entry '!Q783&amp;IF('Daily Sale entry '!Q783="Collection 收款"," ("&amp;'Daily Sale entry '!R783&amp;")","")&amp;IF('Daily Sale entry '!U783="",""," - "&amp;'Daily Sale entry '!U783))</f>
        <v/>
      </c>
      <c r="H783">
        <f>IF(C783="","",COUNTIFS($C$2:$C$3001,C783,$F$2:$F$3001,"&lt;"&amp;F783)+1)</f>
        <v/>
      </c>
      <c r="I783">
        <f>IF(C783="","",C783&amp;"|"&amp;H783)</f>
        <v/>
      </c>
      <c r="J783" s="6">
        <f>IF(C783="","",IF(H783=1,SUMIFS('Opening Balance'!$F$4:$F$303,'Opening Balance'!$G$4:$G$303,C783),INDEX($L$2:$L$3001,MATCH(C783&amp;"|"&amp;(H783-1),$I$2:$I$3001,0))))</f>
        <v/>
      </c>
      <c r="K783" s="6">
        <f>IF(C783="","",IF(M783&gt;0,M783,IF(AND(E783&gt;0,ROUND(J783+D783-E783,2)&gt;0,ROUND(J783+D783-E783,2)&lt;'Opening Balance'!$B$14),ROUND(J783+D783-E783,2),0)))</f>
        <v/>
      </c>
      <c r="L783" s="6">
        <f>IF(C783="","",ROUND(J783+D783-E783-K783,2))</f>
        <v/>
      </c>
      <c r="M783" s="6">
        <f>IF(C783="","",IF('Daily Sale entry '!Q783="Collection 收款",ROUND(N('Daily Sale entry '!T783),2),0))</f>
        <v/>
      </c>
    </row>
    <row r="784">
      <c r="A784" t="inlineStr">
        <is>
          <t>Entry 记录</t>
        </is>
      </c>
      <c r="B784" s="5">
        <f>IF('Daily Sale entry '!P784="","",'Daily Sale entry '!O784)</f>
        <v/>
      </c>
      <c r="C784">
        <f>IF('Daily Sale entry '!P784="","",'Daily Sale entry '!P784)</f>
        <v/>
      </c>
      <c r="D784">
        <f>IF(C784="","",IF('Daily Sale entry '!Q784="Credit Sale 赊销",'Daily Sale entry '!S784,0))</f>
        <v/>
      </c>
      <c r="E784">
        <f>IF(C784="","",IF('Daily Sale entry '!Q784="Collection 收款",'Daily Sale entry '!S784,0))</f>
        <v/>
      </c>
      <c r="F784" s="37">
        <f>IF(C784="","",B784+IF(E784&gt;0,0,0.5)+ROW()/10000000)</f>
        <v/>
      </c>
      <c r="G784">
        <f>IF(C784="","",'Daily Sale entry '!Q784&amp;IF('Daily Sale entry '!Q784="Collection 收款"," ("&amp;'Daily Sale entry '!R784&amp;")","")&amp;IF('Daily Sale entry '!U784="",""," - "&amp;'Daily Sale entry '!U784))</f>
        <v/>
      </c>
      <c r="H784">
        <f>IF(C784="","",COUNTIFS($C$2:$C$3001,C784,$F$2:$F$3001,"&lt;"&amp;F784)+1)</f>
        <v/>
      </c>
      <c r="I784">
        <f>IF(C784="","",C784&amp;"|"&amp;H784)</f>
        <v/>
      </c>
      <c r="J784" s="6">
        <f>IF(C784="","",IF(H784=1,SUMIFS('Opening Balance'!$F$4:$F$303,'Opening Balance'!$G$4:$G$303,C784),INDEX($L$2:$L$3001,MATCH(C784&amp;"|"&amp;(H784-1),$I$2:$I$3001,0))))</f>
        <v/>
      </c>
      <c r="K784" s="6">
        <f>IF(C784="","",IF(M784&gt;0,M784,IF(AND(E784&gt;0,ROUND(J784+D784-E784,2)&gt;0,ROUND(J784+D784-E784,2)&lt;'Opening Balance'!$B$14),ROUND(J784+D784-E784,2),0)))</f>
        <v/>
      </c>
      <c r="L784" s="6">
        <f>IF(C784="","",ROUND(J784+D784-E784-K784,2))</f>
        <v/>
      </c>
      <c r="M784" s="6">
        <f>IF(C784="","",IF('Daily Sale entry '!Q784="Collection 收款",ROUND(N('Daily Sale entry '!T784),2),0))</f>
        <v/>
      </c>
    </row>
    <row r="785">
      <c r="A785" t="inlineStr">
        <is>
          <t>Entry 记录</t>
        </is>
      </c>
      <c r="B785" s="5">
        <f>IF('Daily Sale entry '!P785="","",'Daily Sale entry '!O785)</f>
        <v/>
      </c>
      <c r="C785">
        <f>IF('Daily Sale entry '!P785="","",'Daily Sale entry '!P785)</f>
        <v/>
      </c>
      <c r="D785">
        <f>IF(C785="","",IF('Daily Sale entry '!Q785="Credit Sale 赊销",'Daily Sale entry '!S785,0))</f>
        <v/>
      </c>
      <c r="E785">
        <f>IF(C785="","",IF('Daily Sale entry '!Q785="Collection 收款",'Daily Sale entry '!S785,0))</f>
        <v/>
      </c>
      <c r="F785" s="37">
        <f>IF(C785="","",B785+IF(E785&gt;0,0,0.5)+ROW()/10000000)</f>
        <v/>
      </c>
      <c r="G785">
        <f>IF(C785="","",'Daily Sale entry '!Q785&amp;IF('Daily Sale entry '!Q785="Collection 收款"," ("&amp;'Daily Sale entry '!R785&amp;")","")&amp;IF('Daily Sale entry '!U785="",""," - "&amp;'Daily Sale entry '!U785))</f>
        <v/>
      </c>
      <c r="H785">
        <f>IF(C785="","",COUNTIFS($C$2:$C$3001,C785,$F$2:$F$3001,"&lt;"&amp;F785)+1)</f>
        <v/>
      </c>
      <c r="I785">
        <f>IF(C785="","",C785&amp;"|"&amp;H785)</f>
        <v/>
      </c>
      <c r="J785" s="6">
        <f>IF(C785="","",IF(H785=1,SUMIFS('Opening Balance'!$F$4:$F$303,'Opening Balance'!$G$4:$G$303,C785),INDEX($L$2:$L$3001,MATCH(C785&amp;"|"&amp;(H785-1),$I$2:$I$3001,0))))</f>
        <v/>
      </c>
      <c r="K785" s="6">
        <f>IF(C785="","",IF(M785&gt;0,M785,IF(AND(E785&gt;0,ROUND(J785+D785-E785,2)&gt;0,ROUND(J785+D785-E785,2)&lt;'Opening Balance'!$B$14),ROUND(J785+D785-E785,2),0)))</f>
        <v/>
      </c>
      <c r="L785" s="6">
        <f>IF(C785="","",ROUND(J785+D785-E785-K785,2))</f>
        <v/>
      </c>
      <c r="M785" s="6">
        <f>IF(C785="","",IF('Daily Sale entry '!Q785="Collection 收款",ROUND(N('Daily Sale entry '!T785),2),0))</f>
        <v/>
      </c>
    </row>
    <row r="786">
      <c r="A786" t="inlineStr">
        <is>
          <t>Entry 记录</t>
        </is>
      </c>
      <c r="B786" s="5">
        <f>IF('Daily Sale entry '!P786="","",'Daily Sale entry '!O786)</f>
        <v/>
      </c>
      <c r="C786">
        <f>IF('Daily Sale entry '!P786="","",'Daily Sale entry '!P786)</f>
        <v/>
      </c>
      <c r="D786">
        <f>IF(C786="","",IF('Daily Sale entry '!Q786="Credit Sale 赊销",'Daily Sale entry '!S786,0))</f>
        <v/>
      </c>
      <c r="E786">
        <f>IF(C786="","",IF('Daily Sale entry '!Q786="Collection 收款",'Daily Sale entry '!S786,0))</f>
        <v/>
      </c>
      <c r="F786" s="37">
        <f>IF(C786="","",B786+IF(E786&gt;0,0,0.5)+ROW()/10000000)</f>
        <v/>
      </c>
      <c r="G786">
        <f>IF(C786="","",'Daily Sale entry '!Q786&amp;IF('Daily Sale entry '!Q786="Collection 收款"," ("&amp;'Daily Sale entry '!R786&amp;")","")&amp;IF('Daily Sale entry '!U786="",""," - "&amp;'Daily Sale entry '!U786))</f>
        <v/>
      </c>
      <c r="H786">
        <f>IF(C786="","",COUNTIFS($C$2:$C$3001,C786,$F$2:$F$3001,"&lt;"&amp;F786)+1)</f>
        <v/>
      </c>
      <c r="I786">
        <f>IF(C786="","",C786&amp;"|"&amp;H786)</f>
        <v/>
      </c>
      <c r="J786" s="6">
        <f>IF(C786="","",IF(H786=1,SUMIFS('Opening Balance'!$F$4:$F$303,'Opening Balance'!$G$4:$G$303,C786),INDEX($L$2:$L$3001,MATCH(C786&amp;"|"&amp;(H786-1),$I$2:$I$3001,0))))</f>
        <v/>
      </c>
      <c r="K786" s="6">
        <f>IF(C786="","",IF(M786&gt;0,M786,IF(AND(E786&gt;0,ROUND(J786+D786-E786,2)&gt;0,ROUND(J786+D786-E786,2)&lt;'Opening Balance'!$B$14),ROUND(J786+D786-E786,2),0)))</f>
        <v/>
      </c>
      <c r="L786" s="6">
        <f>IF(C786="","",ROUND(J786+D786-E786-K786,2))</f>
        <v/>
      </c>
      <c r="M786" s="6">
        <f>IF(C786="","",IF('Daily Sale entry '!Q786="Collection 收款",ROUND(N('Daily Sale entry '!T786),2),0))</f>
        <v/>
      </c>
    </row>
    <row r="787">
      <c r="A787" t="inlineStr">
        <is>
          <t>Entry 记录</t>
        </is>
      </c>
      <c r="B787" s="5">
        <f>IF('Daily Sale entry '!P787="","",'Daily Sale entry '!O787)</f>
        <v/>
      </c>
      <c r="C787">
        <f>IF('Daily Sale entry '!P787="","",'Daily Sale entry '!P787)</f>
        <v/>
      </c>
      <c r="D787">
        <f>IF(C787="","",IF('Daily Sale entry '!Q787="Credit Sale 赊销",'Daily Sale entry '!S787,0))</f>
        <v/>
      </c>
      <c r="E787">
        <f>IF(C787="","",IF('Daily Sale entry '!Q787="Collection 收款",'Daily Sale entry '!S787,0))</f>
        <v/>
      </c>
      <c r="F787" s="37">
        <f>IF(C787="","",B787+IF(E787&gt;0,0,0.5)+ROW()/10000000)</f>
        <v/>
      </c>
      <c r="G787">
        <f>IF(C787="","",'Daily Sale entry '!Q787&amp;IF('Daily Sale entry '!Q787="Collection 收款"," ("&amp;'Daily Sale entry '!R787&amp;")","")&amp;IF('Daily Sale entry '!U787="",""," - "&amp;'Daily Sale entry '!U787))</f>
        <v/>
      </c>
      <c r="H787">
        <f>IF(C787="","",COUNTIFS($C$2:$C$3001,C787,$F$2:$F$3001,"&lt;"&amp;F787)+1)</f>
        <v/>
      </c>
      <c r="I787">
        <f>IF(C787="","",C787&amp;"|"&amp;H787)</f>
        <v/>
      </c>
      <c r="J787" s="6">
        <f>IF(C787="","",IF(H787=1,SUMIFS('Opening Balance'!$F$4:$F$303,'Opening Balance'!$G$4:$G$303,C787),INDEX($L$2:$L$3001,MATCH(C787&amp;"|"&amp;(H787-1),$I$2:$I$3001,0))))</f>
        <v/>
      </c>
      <c r="K787" s="6">
        <f>IF(C787="","",IF(M787&gt;0,M787,IF(AND(E787&gt;0,ROUND(J787+D787-E787,2)&gt;0,ROUND(J787+D787-E787,2)&lt;'Opening Balance'!$B$14),ROUND(J787+D787-E787,2),0)))</f>
        <v/>
      </c>
      <c r="L787" s="6">
        <f>IF(C787="","",ROUND(J787+D787-E787-K787,2))</f>
        <v/>
      </c>
      <c r="M787" s="6">
        <f>IF(C787="","",IF('Daily Sale entry '!Q787="Collection 收款",ROUND(N('Daily Sale entry '!T787),2),0))</f>
        <v/>
      </c>
    </row>
    <row r="788">
      <c r="A788" t="inlineStr">
        <is>
          <t>Entry 记录</t>
        </is>
      </c>
      <c r="B788" s="5">
        <f>IF('Daily Sale entry '!P788="","",'Daily Sale entry '!O788)</f>
        <v/>
      </c>
      <c r="C788">
        <f>IF('Daily Sale entry '!P788="","",'Daily Sale entry '!P788)</f>
        <v/>
      </c>
      <c r="D788">
        <f>IF(C788="","",IF('Daily Sale entry '!Q788="Credit Sale 赊销",'Daily Sale entry '!S788,0))</f>
        <v/>
      </c>
      <c r="E788">
        <f>IF(C788="","",IF('Daily Sale entry '!Q788="Collection 收款",'Daily Sale entry '!S788,0))</f>
        <v/>
      </c>
      <c r="F788" s="37">
        <f>IF(C788="","",B788+IF(E788&gt;0,0,0.5)+ROW()/10000000)</f>
        <v/>
      </c>
      <c r="G788">
        <f>IF(C788="","",'Daily Sale entry '!Q788&amp;IF('Daily Sale entry '!Q788="Collection 收款"," ("&amp;'Daily Sale entry '!R788&amp;")","")&amp;IF('Daily Sale entry '!U788="",""," - "&amp;'Daily Sale entry '!U788))</f>
        <v/>
      </c>
      <c r="H788">
        <f>IF(C788="","",COUNTIFS($C$2:$C$3001,C788,$F$2:$F$3001,"&lt;"&amp;F788)+1)</f>
        <v/>
      </c>
      <c r="I788">
        <f>IF(C788="","",C788&amp;"|"&amp;H788)</f>
        <v/>
      </c>
      <c r="J788" s="6">
        <f>IF(C788="","",IF(H788=1,SUMIFS('Opening Balance'!$F$4:$F$303,'Opening Balance'!$G$4:$G$303,C788),INDEX($L$2:$L$3001,MATCH(C788&amp;"|"&amp;(H788-1),$I$2:$I$3001,0))))</f>
        <v/>
      </c>
      <c r="K788" s="6">
        <f>IF(C788="","",IF(M788&gt;0,M788,IF(AND(E788&gt;0,ROUND(J788+D788-E788,2)&gt;0,ROUND(J788+D788-E788,2)&lt;'Opening Balance'!$B$14),ROUND(J788+D788-E788,2),0)))</f>
        <v/>
      </c>
      <c r="L788" s="6">
        <f>IF(C788="","",ROUND(J788+D788-E788-K788,2))</f>
        <v/>
      </c>
      <c r="M788" s="6">
        <f>IF(C788="","",IF('Daily Sale entry '!Q788="Collection 收款",ROUND(N('Daily Sale entry '!T788),2),0))</f>
        <v/>
      </c>
    </row>
    <row r="789">
      <c r="A789" t="inlineStr">
        <is>
          <t>Entry 记录</t>
        </is>
      </c>
      <c r="B789" s="5">
        <f>IF('Daily Sale entry '!P789="","",'Daily Sale entry '!O789)</f>
        <v/>
      </c>
      <c r="C789">
        <f>IF('Daily Sale entry '!P789="","",'Daily Sale entry '!P789)</f>
        <v/>
      </c>
      <c r="D789">
        <f>IF(C789="","",IF('Daily Sale entry '!Q789="Credit Sale 赊销",'Daily Sale entry '!S789,0))</f>
        <v/>
      </c>
      <c r="E789">
        <f>IF(C789="","",IF('Daily Sale entry '!Q789="Collection 收款",'Daily Sale entry '!S789,0))</f>
        <v/>
      </c>
      <c r="F789" s="37">
        <f>IF(C789="","",B789+IF(E789&gt;0,0,0.5)+ROW()/10000000)</f>
        <v/>
      </c>
      <c r="G789">
        <f>IF(C789="","",'Daily Sale entry '!Q789&amp;IF('Daily Sale entry '!Q789="Collection 收款"," ("&amp;'Daily Sale entry '!R789&amp;")","")&amp;IF('Daily Sale entry '!U789="",""," - "&amp;'Daily Sale entry '!U789))</f>
        <v/>
      </c>
      <c r="H789">
        <f>IF(C789="","",COUNTIFS($C$2:$C$3001,C789,$F$2:$F$3001,"&lt;"&amp;F789)+1)</f>
        <v/>
      </c>
      <c r="I789">
        <f>IF(C789="","",C789&amp;"|"&amp;H789)</f>
        <v/>
      </c>
      <c r="J789" s="6">
        <f>IF(C789="","",IF(H789=1,SUMIFS('Opening Balance'!$F$4:$F$303,'Opening Balance'!$G$4:$G$303,C789),INDEX($L$2:$L$3001,MATCH(C789&amp;"|"&amp;(H789-1),$I$2:$I$3001,0))))</f>
        <v/>
      </c>
      <c r="K789" s="6">
        <f>IF(C789="","",IF(M789&gt;0,M789,IF(AND(E789&gt;0,ROUND(J789+D789-E789,2)&gt;0,ROUND(J789+D789-E789,2)&lt;'Opening Balance'!$B$14),ROUND(J789+D789-E789,2),0)))</f>
        <v/>
      </c>
      <c r="L789" s="6">
        <f>IF(C789="","",ROUND(J789+D789-E789-K789,2))</f>
        <v/>
      </c>
      <c r="M789" s="6">
        <f>IF(C789="","",IF('Daily Sale entry '!Q789="Collection 收款",ROUND(N('Daily Sale entry '!T789),2),0))</f>
        <v/>
      </c>
    </row>
    <row r="790">
      <c r="A790" t="inlineStr">
        <is>
          <t>Entry 记录</t>
        </is>
      </c>
      <c r="B790" s="5">
        <f>IF('Daily Sale entry '!P790="","",'Daily Sale entry '!O790)</f>
        <v/>
      </c>
      <c r="C790">
        <f>IF('Daily Sale entry '!P790="","",'Daily Sale entry '!P790)</f>
        <v/>
      </c>
      <c r="D790">
        <f>IF(C790="","",IF('Daily Sale entry '!Q790="Credit Sale 赊销",'Daily Sale entry '!S790,0))</f>
        <v/>
      </c>
      <c r="E790">
        <f>IF(C790="","",IF('Daily Sale entry '!Q790="Collection 收款",'Daily Sale entry '!S790,0))</f>
        <v/>
      </c>
      <c r="F790" s="37">
        <f>IF(C790="","",B790+IF(E790&gt;0,0,0.5)+ROW()/10000000)</f>
        <v/>
      </c>
      <c r="G790">
        <f>IF(C790="","",'Daily Sale entry '!Q790&amp;IF('Daily Sale entry '!Q790="Collection 收款"," ("&amp;'Daily Sale entry '!R790&amp;")","")&amp;IF('Daily Sale entry '!U790="",""," - "&amp;'Daily Sale entry '!U790))</f>
        <v/>
      </c>
      <c r="H790">
        <f>IF(C790="","",COUNTIFS($C$2:$C$3001,C790,$F$2:$F$3001,"&lt;"&amp;F790)+1)</f>
        <v/>
      </c>
      <c r="I790">
        <f>IF(C790="","",C790&amp;"|"&amp;H790)</f>
        <v/>
      </c>
      <c r="J790" s="6">
        <f>IF(C790="","",IF(H790=1,SUMIFS('Opening Balance'!$F$4:$F$303,'Opening Balance'!$G$4:$G$303,C790),INDEX($L$2:$L$3001,MATCH(C790&amp;"|"&amp;(H790-1),$I$2:$I$3001,0))))</f>
        <v/>
      </c>
      <c r="K790" s="6">
        <f>IF(C790="","",IF(M790&gt;0,M790,IF(AND(E790&gt;0,ROUND(J790+D790-E790,2)&gt;0,ROUND(J790+D790-E790,2)&lt;'Opening Balance'!$B$14),ROUND(J790+D790-E790,2),0)))</f>
        <v/>
      </c>
      <c r="L790" s="6">
        <f>IF(C790="","",ROUND(J790+D790-E790-K790,2))</f>
        <v/>
      </c>
      <c r="M790" s="6">
        <f>IF(C790="","",IF('Daily Sale entry '!Q790="Collection 收款",ROUND(N('Daily Sale entry '!T790),2),0))</f>
        <v/>
      </c>
    </row>
    <row r="791">
      <c r="A791" t="inlineStr">
        <is>
          <t>Entry 记录</t>
        </is>
      </c>
      <c r="B791" s="5">
        <f>IF('Daily Sale entry '!P791="","",'Daily Sale entry '!O791)</f>
        <v/>
      </c>
      <c r="C791">
        <f>IF('Daily Sale entry '!P791="","",'Daily Sale entry '!P791)</f>
        <v/>
      </c>
      <c r="D791">
        <f>IF(C791="","",IF('Daily Sale entry '!Q791="Credit Sale 赊销",'Daily Sale entry '!S791,0))</f>
        <v/>
      </c>
      <c r="E791">
        <f>IF(C791="","",IF('Daily Sale entry '!Q791="Collection 收款",'Daily Sale entry '!S791,0))</f>
        <v/>
      </c>
      <c r="F791" s="37">
        <f>IF(C791="","",B791+IF(E791&gt;0,0,0.5)+ROW()/10000000)</f>
        <v/>
      </c>
      <c r="G791">
        <f>IF(C791="","",'Daily Sale entry '!Q791&amp;IF('Daily Sale entry '!Q791="Collection 收款"," ("&amp;'Daily Sale entry '!R791&amp;")","")&amp;IF('Daily Sale entry '!U791="",""," - "&amp;'Daily Sale entry '!U791))</f>
        <v/>
      </c>
      <c r="H791">
        <f>IF(C791="","",COUNTIFS($C$2:$C$3001,C791,$F$2:$F$3001,"&lt;"&amp;F791)+1)</f>
        <v/>
      </c>
      <c r="I791">
        <f>IF(C791="","",C791&amp;"|"&amp;H791)</f>
        <v/>
      </c>
      <c r="J791" s="6">
        <f>IF(C791="","",IF(H791=1,SUMIFS('Opening Balance'!$F$4:$F$303,'Opening Balance'!$G$4:$G$303,C791),INDEX($L$2:$L$3001,MATCH(C791&amp;"|"&amp;(H791-1),$I$2:$I$3001,0))))</f>
        <v/>
      </c>
      <c r="K791" s="6">
        <f>IF(C791="","",IF(M791&gt;0,M791,IF(AND(E791&gt;0,ROUND(J791+D791-E791,2)&gt;0,ROUND(J791+D791-E791,2)&lt;'Opening Balance'!$B$14),ROUND(J791+D791-E791,2),0)))</f>
        <v/>
      </c>
      <c r="L791" s="6">
        <f>IF(C791="","",ROUND(J791+D791-E791-K791,2))</f>
        <v/>
      </c>
      <c r="M791" s="6">
        <f>IF(C791="","",IF('Daily Sale entry '!Q791="Collection 收款",ROUND(N('Daily Sale entry '!T791),2),0))</f>
        <v/>
      </c>
    </row>
    <row r="792">
      <c r="A792" t="inlineStr">
        <is>
          <t>Entry 记录</t>
        </is>
      </c>
      <c r="B792" s="5">
        <f>IF('Daily Sale entry '!P792="","",'Daily Sale entry '!O792)</f>
        <v/>
      </c>
      <c r="C792">
        <f>IF('Daily Sale entry '!P792="","",'Daily Sale entry '!P792)</f>
        <v/>
      </c>
      <c r="D792">
        <f>IF(C792="","",IF('Daily Sale entry '!Q792="Credit Sale 赊销",'Daily Sale entry '!S792,0))</f>
        <v/>
      </c>
      <c r="E792">
        <f>IF(C792="","",IF('Daily Sale entry '!Q792="Collection 收款",'Daily Sale entry '!S792,0))</f>
        <v/>
      </c>
      <c r="F792" s="37">
        <f>IF(C792="","",B792+IF(E792&gt;0,0,0.5)+ROW()/10000000)</f>
        <v/>
      </c>
      <c r="G792">
        <f>IF(C792="","",'Daily Sale entry '!Q792&amp;IF('Daily Sale entry '!Q792="Collection 收款"," ("&amp;'Daily Sale entry '!R792&amp;")","")&amp;IF('Daily Sale entry '!U792="",""," - "&amp;'Daily Sale entry '!U792))</f>
        <v/>
      </c>
      <c r="H792">
        <f>IF(C792="","",COUNTIFS($C$2:$C$3001,C792,$F$2:$F$3001,"&lt;"&amp;F792)+1)</f>
        <v/>
      </c>
      <c r="I792">
        <f>IF(C792="","",C792&amp;"|"&amp;H792)</f>
        <v/>
      </c>
      <c r="J792" s="6">
        <f>IF(C792="","",IF(H792=1,SUMIFS('Opening Balance'!$F$4:$F$303,'Opening Balance'!$G$4:$G$303,C792),INDEX($L$2:$L$3001,MATCH(C792&amp;"|"&amp;(H792-1),$I$2:$I$3001,0))))</f>
        <v/>
      </c>
      <c r="K792" s="6">
        <f>IF(C792="","",IF(M792&gt;0,M792,IF(AND(E792&gt;0,ROUND(J792+D792-E792,2)&gt;0,ROUND(J792+D792-E792,2)&lt;'Opening Balance'!$B$14),ROUND(J792+D792-E792,2),0)))</f>
        <v/>
      </c>
      <c r="L792" s="6">
        <f>IF(C792="","",ROUND(J792+D792-E792-K792,2))</f>
        <v/>
      </c>
      <c r="M792" s="6">
        <f>IF(C792="","",IF('Daily Sale entry '!Q792="Collection 收款",ROUND(N('Daily Sale entry '!T792),2),0))</f>
        <v/>
      </c>
    </row>
    <row r="793">
      <c r="A793" t="inlineStr">
        <is>
          <t>Entry 记录</t>
        </is>
      </c>
      <c r="B793" s="5">
        <f>IF('Daily Sale entry '!P793="","",'Daily Sale entry '!O793)</f>
        <v/>
      </c>
      <c r="C793">
        <f>IF('Daily Sale entry '!P793="","",'Daily Sale entry '!P793)</f>
        <v/>
      </c>
      <c r="D793">
        <f>IF(C793="","",IF('Daily Sale entry '!Q793="Credit Sale 赊销",'Daily Sale entry '!S793,0))</f>
        <v/>
      </c>
      <c r="E793">
        <f>IF(C793="","",IF('Daily Sale entry '!Q793="Collection 收款",'Daily Sale entry '!S793,0))</f>
        <v/>
      </c>
      <c r="F793" s="37">
        <f>IF(C793="","",B793+IF(E793&gt;0,0,0.5)+ROW()/10000000)</f>
        <v/>
      </c>
      <c r="G793">
        <f>IF(C793="","",'Daily Sale entry '!Q793&amp;IF('Daily Sale entry '!Q793="Collection 收款"," ("&amp;'Daily Sale entry '!R793&amp;")","")&amp;IF('Daily Sale entry '!U793="",""," - "&amp;'Daily Sale entry '!U793))</f>
        <v/>
      </c>
      <c r="H793">
        <f>IF(C793="","",COUNTIFS($C$2:$C$3001,C793,$F$2:$F$3001,"&lt;"&amp;F793)+1)</f>
        <v/>
      </c>
      <c r="I793">
        <f>IF(C793="","",C793&amp;"|"&amp;H793)</f>
        <v/>
      </c>
      <c r="J793" s="6">
        <f>IF(C793="","",IF(H793=1,SUMIFS('Opening Balance'!$F$4:$F$303,'Opening Balance'!$G$4:$G$303,C793),INDEX($L$2:$L$3001,MATCH(C793&amp;"|"&amp;(H793-1),$I$2:$I$3001,0))))</f>
        <v/>
      </c>
      <c r="K793" s="6">
        <f>IF(C793="","",IF(M793&gt;0,M793,IF(AND(E793&gt;0,ROUND(J793+D793-E793,2)&gt;0,ROUND(J793+D793-E793,2)&lt;'Opening Balance'!$B$14),ROUND(J793+D793-E793,2),0)))</f>
        <v/>
      </c>
      <c r="L793" s="6">
        <f>IF(C793="","",ROUND(J793+D793-E793-K793,2))</f>
        <v/>
      </c>
      <c r="M793" s="6">
        <f>IF(C793="","",IF('Daily Sale entry '!Q793="Collection 收款",ROUND(N('Daily Sale entry '!T793),2),0))</f>
        <v/>
      </c>
    </row>
    <row r="794">
      <c r="A794" t="inlineStr">
        <is>
          <t>Entry 记录</t>
        </is>
      </c>
      <c r="B794" s="5">
        <f>IF('Daily Sale entry '!P794="","",'Daily Sale entry '!O794)</f>
        <v/>
      </c>
      <c r="C794">
        <f>IF('Daily Sale entry '!P794="","",'Daily Sale entry '!P794)</f>
        <v/>
      </c>
      <c r="D794">
        <f>IF(C794="","",IF('Daily Sale entry '!Q794="Credit Sale 赊销",'Daily Sale entry '!S794,0))</f>
        <v/>
      </c>
      <c r="E794">
        <f>IF(C794="","",IF('Daily Sale entry '!Q794="Collection 收款",'Daily Sale entry '!S794,0))</f>
        <v/>
      </c>
      <c r="F794" s="37">
        <f>IF(C794="","",B794+IF(E794&gt;0,0,0.5)+ROW()/10000000)</f>
        <v/>
      </c>
      <c r="G794">
        <f>IF(C794="","",'Daily Sale entry '!Q794&amp;IF('Daily Sale entry '!Q794="Collection 收款"," ("&amp;'Daily Sale entry '!R794&amp;")","")&amp;IF('Daily Sale entry '!U794="",""," - "&amp;'Daily Sale entry '!U794))</f>
        <v/>
      </c>
      <c r="H794">
        <f>IF(C794="","",COUNTIFS($C$2:$C$3001,C794,$F$2:$F$3001,"&lt;"&amp;F794)+1)</f>
        <v/>
      </c>
      <c r="I794">
        <f>IF(C794="","",C794&amp;"|"&amp;H794)</f>
        <v/>
      </c>
      <c r="J794" s="6">
        <f>IF(C794="","",IF(H794=1,SUMIFS('Opening Balance'!$F$4:$F$303,'Opening Balance'!$G$4:$G$303,C794),INDEX($L$2:$L$3001,MATCH(C794&amp;"|"&amp;(H794-1),$I$2:$I$3001,0))))</f>
        <v/>
      </c>
      <c r="K794" s="6">
        <f>IF(C794="","",IF(M794&gt;0,M794,IF(AND(E794&gt;0,ROUND(J794+D794-E794,2)&gt;0,ROUND(J794+D794-E794,2)&lt;'Opening Balance'!$B$14),ROUND(J794+D794-E794,2),0)))</f>
        <v/>
      </c>
      <c r="L794" s="6">
        <f>IF(C794="","",ROUND(J794+D794-E794-K794,2))</f>
        <v/>
      </c>
      <c r="M794" s="6">
        <f>IF(C794="","",IF('Daily Sale entry '!Q794="Collection 收款",ROUND(N('Daily Sale entry '!T794),2),0))</f>
        <v/>
      </c>
    </row>
    <row r="795">
      <c r="A795" t="inlineStr">
        <is>
          <t>Entry 记录</t>
        </is>
      </c>
      <c r="B795" s="5">
        <f>IF('Daily Sale entry '!P795="","",'Daily Sale entry '!O795)</f>
        <v/>
      </c>
      <c r="C795">
        <f>IF('Daily Sale entry '!P795="","",'Daily Sale entry '!P795)</f>
        <v/>
      </c>
      <c r="D795">
        <f>IF(C795="","",IF('Daily Sale entry '!Q795="Credit Sale 赊销",'Daily Sale entry '!S795,0))</f>
        <v/>
      </c>
      <c r="E795">
        <f>IF(C795="","",IF('Daily Sale entry '!Q795="Collection 收款",'Daily Sale entry '!S795,0))</f>
        <v/>
      </c>
      <c r="F795" s="37">
        <f>IF(C795="","",B795+IF(E795&gt;0,0,0.5)+ROW()/10000000)</f>
        <v/>
      </c>
      <c r="G795">
        <f>IF(C795="","",'Daily Sale entry '!Q795&amp;IF('Daily Sale entry '!Q795="Collection 收款"," ("&amp;'Daily Sale entry '!R795&amp;")","")&amp;IF('Daily Sale entry '!U795="",""," - "&amp;'Daily Sale entry '!U795))</f>
        <v/>
      </c>
      <c r="H795">
        <f>IF(C795="","",COUNTIFS($C$2:$C$3001,C795,$F$2:$F$3001,"&lt;"&amp;F795)+1)</f>
        <v/>
      </c>
      <c r="I795">
        <f>IF(C795="","",C795&amp;"|"&amp;H795)</f>
        <v/>
      </c>
      <c r="J795" s="6">
        <f>IF(C795="","",IF(H795=1,SUMIFS('Opening Balance'!$F$4:$F$303,'Opening Balance'!$G$4:$G$303,C795),INDEX($L$2:$L$3001,MATCH(C795&amp;"|"&amp;(H795-1),$I$2:$I$3001,0))))</f>
        <v/>
      </c>
      <c r="K795" s="6">
        <f>IF(C795="","",IF(M795&gt;0,M795,IF(AND(E795&gt;0,ROUND(J795+D795-E795,2)&gt;0,ROUND(J795+D795-E795,2)&lt;'Opening Balance'!$B$14),ROUND(J795+D795-E795,2),0)))</f>
        <v/>
      </c>
      <c r="L795" s="6">
        <f>IF(C795="","",ROUND(J795+D795-E795-K795,2))</f>
        <v/>
      </c>
      <c r="M795" s="6">
        <f>IF(C795="","",IF('Daily Sale entry '!Q795="Collection 收款",ROUND(N('Daily Sale entry '!T795),2),0))</f>
        <v/>
      </c>
    </row>
    <row r="796">
      <c r="A796" t="inlineStr">
        <is>
          <t>Entry 记录</t>
        </is>
      </c>
      <c r="B796" s="5">
        <f>IF('Daily Sale entry '!P796="","",'Daily Sale entry '!O796)</f>
        <v/>
      </c>
      <c r="C796">
        <f>IF('Daily Sale entry '!P796="","",'Daily Sale entry '!P796)</f>
        <v/>
      </c>
      <c r="D796">
        <f>IF(C796="","",IF('Daily Sale entry '!Q796="Credit Sale 赊销",'Daily Sale entry '!S796,0))</f>
        <v/>
      </c>
      <c r="E796">
        <f>IF(C796="","",IF('Daily Sale entry '!Q796="Collection 收款",'Daily Sale entry '!S796,0))</f>
        <v/>
      </c>
      <c r="F796" s="37">
        <f>IF(C796="","",B796+IF(E796&gt;0,0,0.5)+ROW()/10000000)</f>
        <v/>
      </c>
      <c r="G796">
        <f>IF(C796="","",'Daily Sale entry '!Q796&amp;IF('Daily Sale entry '!Q796="Collection 收款"," ("&amp;'Daily Sale entry '!R796&amp;")","")&amp;IF('Daily Sale entry '!U796="",""," - "&amp;'Daily Sale entry '!U796))</f>
        <v/>
      </c>
      <c r="H796">
        <f>IF(C796="","",COUNTIFS($C$2:$C$3001,C796,$F$2:$F$3001,"&lt;"&amp;F796)+1)</f>
        <v/>
      </c>
      <c r="I796">
        <f>IF(C796="","",C796&amp;"|"&amp;H796)</f>
        <v/>
      </c>
      <c r="J796" s="6">
        <f>IF(C796="","",IF(H796=1,SUMIFS('Opening Balance'!$F$4:$F$303,'Opening Balance'!$G$4:$G$303,C796),INDEX($L$2:$L$3001,MATCH(C796&amp;"|"&amp;(H796-1),$I$2:$I$3001,0))))</f>
        <v/>
      </c>
      <c r="K796" s="6">
        <f>IF(C796="","",IF(M796&gt;0,M796,IF(AND(E796&gt;0,ROUND(J796+D796-E796,2)&gt;0,ROUND(J796+D796-E796,2)&lt;'Opening Balance'!$B$14),ROUND(J796+D796-E796,2),0)))</f>
        <v/>
      </c>
      <c r="L796" s="6">
        <f>IF(C796="","",ROUND(J796+D796-E796-K796,2))</f>
        <v/>
      </c>
      <c r="M796" s="6">
        <f>IF(C796="","",IF('Daily Sale entry '!Q796="Collection 收款",ROUND(N('Daily Sale entry '!T796),2),0))</f>
        <v/>
      </c>
    </row>
    <row r="797">
      <c r="A797" t="inlineStr">
        <is>
          <t>Entry 记录</t>
        </is>
      </c>
      <c r="B797" s="5">
        <f>IF('Daily Sale entry '!P797="","",'Daily Sale entry '!O797)</f>
        <v/>
      </c>
      <c r="C797">
        <f>IF('Daily Sale entry '!P797="","",'Daily Sale entry '!P797)</f>
        <v/>
      </c>
      <c r="D797">
        <f>IF(C797="","",IF('Daily Sale entry '!Q797="Credit Sale 赊销",'Daily Sale entry '!S797,0))</f>
        <v/>
      </c>
      <c r="E797">
        <f>IF(C797="","",IF('Daily Sale entry '!Q797="Collection 收款",'Daily Sale entry '!S797,0))</f>
        <v/>
      </c>
      <c r="F797" s="37">
        <f>IF(C797="","",B797+IF(E797&gt;0,0,0.5)+ROW()/10000000)</f>
        <v/>
      </c>
      <c r="G797">
        <f>IF(C797="","",'Daily Sale entry '!Q797&amp;IF('Daily Sale entry '!Q797="Collection 收款"," ("&amp;'Daily Sale entry '!R797&amp;")","")&amp;IF('Daily Sale entry '!U797="",""," - "&amp;'Daily Sale entry '!U797))</f>
        <v/>
      </c>
      <c r="H797">
        <f>IF(C797="","",COUNTIFS($C$2:$C$3001,C797,$F$2:$F$3001,"&lt;"&amp;F797)+1)</f>
        <v/>
      </c>
      <c r="I797">
        <f>IF(C797="","",C797&amp;"|"&amp;H797)</f>
        <v/>
      </c>
      <c r="J797" s="6">
        <f>IF(C797="","",IF(H797=1,SUMIFS('Opening Balance'!$F$4:$F$303,'Opening Balance'!$G$4:$G$303,C797),INDEX($L$2:$L$3001,MATCH(C797&amp;"|"&amp;(H797-1),$I$2:$I$3001,0))))</f>
        <v/>
      </c>
      <c r="K797" s="6">
        <f>IF(C797="","",IF(M797&gt;0,M797,IF(AND(E797&gt;0,ROUND(J797+D797-E797,2)&gt;0,ROUND(J797+D797-E797,2)&lt;'Opening Balance'!$B$14),ROUND(J797+D797-E797,2),0)))</f>
        <v/>
      </c>
      <c r="L797" s="6">
        <f>IF(C797="","",ROUND(J797+D797-E797-K797,2))</f>
        <v/>
      </c>
      <c r="M797" s="6">
        <f>IF(C797="","",IF('Daily Sale entry '!Q797="Collection 收款",ROUND(N('Daily Sale entry '!T797),2),0))</f>
        <v/>
      </c>
    </row>
    <row r="798">
      <c r="A798" t="inlineStr">
        <is>
          <t>Entry 记录</t>
        </is>
      </c>
      <c r="B798" s="5">
        <f>IF('Daily Sale entry '!P798="","",'Daily Sale entry '!O798)</f>
        <v/>
      </c>
      <c r="C798">
        <f>IF('Daily Sale entry '!P798="","",'Daily Sale entry '!P798)</f>
        <v/>
      </c>
      <c r="D798">
        <f>IF(C798="","",IF('Daily Sale entry '!Q798="Credit Sale 赊销",'Daily Sale entry '!S798,0))</f>
        <v/>
      </c>
      <c r="E798">
        <f>IF(C798="","",IF('Daily Sale entry '!Q798="Collection 收款",'Daily Sale entry '!S798,0))</f>
        <v/>
      </c>
      <c r="F798" s="37">
        <f>IF(C798="","",B798+IF(E798&gt;0,0,0.5)+ROW()/10000000)</f>
        <v/>
      </c>
      <c r="G798">
        <f>IF(C798="","",'Daily Sale entry '!Q798&amp;IF('Daily Sale entry '!Q798="Collection 收款"," ("&amp;'Daily Sale entry '!R798&amp;")","")&amp;IF('Daily Sale entry '!U798="",""," - "&amp;'Daily Sale entry '!U798))</f>
        <v/>
      </c>
      <c r="H798">
        <f>IF(C798="","",COUNTIFS($C$2:$C$3001,C798,$F$2:$F$3001,"&lt;"&amp;F798)+1)</f>
        <v/>
      </c>
      <c r="I798">
        <f>IF(C798="","",C798&amp;"|"&amp;H798)</f>
        <v/>
      </c>
      <c r="J798" s="6">
        <f>IF(C798="","",IF(H798=1,SUMIFS('Opening Balance'!$F$4:$F$303,'Opening Balance'!$G$4:$G$303,C798),INDEX($L$2:$L$3001,MATCH(C798&amp;"|"&amp;(H798-1),$I$2:$I$3001,0))))</f>
        <v/>
      </c>
      <c r="K798" s="6">
        <f>IF(C798="","",IF(M798&gt;0,M798,IF(AND(E798&gt;0,ROUND(J798+D798-E798,2)&gt;0,ROUND(J798+D798-E798,2)&lt;'Opening Balance'!$B$14),ROUND(J798+D798-E798,2),0)))</f>
        <v/>
      </c>
      <c r="L798" s="6">
        <f>IF(C798="","",ROUND(J798+D798-E798-K798,2))</f>
        <v/>
      </c>
      <c r="M798" s="6">
        <f>IF(C798="","",IF('Daily Sale entry '!Q798="Collection 收款",ROUND(N('Daily Sale entry '!T798),2),0))</f>
        <v/>
      </c>
    </row>
    <row r="799">
      <c r="A799" t="inlineStr">
        <is>
          <t>Entry 记录</t>
        </is>
      </c>
      <c r="B799" s="5">
        <f>IF('Daily Sale entry '!P799="","",'Daily Sale entry '!O799)</f>
        <v/>
      </c>
      <c r="C799">
        <f>IF('Daily Sale entry '!P799="","",'Daily Sale entry '!P799)</f>
        <v/>
      </c>
      <c r="D799">
        <f>IF(C799="","",IF('Daily Sale entry '!Q799="Credit Sale 赊销",'Daily Sale entry '!S799,0))</f>
        <v/>
      </c>
      <c r="E799">
        <f>IF(C799="","",IF('Daily Sale entry '!Q799="Collection 收款",'Daily Sale entry '!S799,0))</f>
        <v/>
      </c>
      <c r="F799" s="37">
        <f>IF(C799="","",B799+IF(E799&gt;0,0,0.5)+ROW()/10000000)</f>
        <v/>
      </c>
      <c r="G799">
        <f>IF(C799="","",'Daily Sale entry '!Q799&amp;IF('Daily Sale entry '!Q799="Collection 收款"," ("&amp;'Daily Sale entry '!R799&amp;")","")&amp;IF('Daily Sale entry '!U799="",""," - "&amp;'Daily Sale entry '!U799))</f>
        <v/>
      </c>
      <c r="H799">
        <f>IF(C799="","",COUNTIFS($C$2:$C$3001,C799,$F$2:$F$3001,"&lt;"&amp;F799)+1)</f>
        <v/>
      </c>
      <c r="I799">
        <f>IF(C799="","",C799&amp;"|"&amp;H799)</f>
        <v/>
      </c>
      <c r="J799" s="6">
        <f>IF(C799="","",IF(H799=1,SUMIFS('Opening Balance'!$F$4:$F$303,'Opening Balance'!$G$4:$G$303,C799),INDEX($L$2:$L$3001,MATCH(C799&amp;"|"&amp;(H799-1),$I$2:$I$3001,0))))</f>
        <v/>
      </c>
      <c r="K799" s="6">
        <f>IF(C799="","",IF(M799&gt;0,M799,IF(AND(E799&gt;0,ROUND(J799+D799-E799,2)&gt;0,ROUND(J799+D799-E799,2)&lt;'Opening Balance'!$B$14),ROUND(J799+D799-E799,2),0)))</f>
        <v/>
      </c>
      <c r="L799" s="6">
        <f>IF(C799="","",ROUND(J799+D799-E799-K799,2))</f>
        <v/>
      </c>
      <c r="M799" s="6">
        <f>IF(C799="","",IF('Daily Sale entry '!Q799="Collection 收款",ROUND(N('Daily Sale entry '!T799),2),0))</f>
        <v/>
      </c>
    </row>
    <row r="800">
      <c r="A800" t="inlineStr">
        <is>
          <t>Entry 记录</t>
        </is>
      </c>
      <c r="B800" s="5">
        <f>IF('Daily Sale entry '!P800="","",'Daily Sale entry '!O800)</f>
        <v/>
      </c>
      <c r="C800">
        <f>IF('Daily Sale entry '!P800="","",'Daily Sale entry '!P800)</f>
        <v/>
      </c>
      <c r="D800">
        <f>IF(C800="","",IF('Daily Sale entry '!Q800="Credit Sale 赊销",'Daily Sale entry '!S800,0))</f>
        <v/>
      </c>
      <c r="E800">
        <f>IF(C800="","",IF('Daily Sale entry '!Q800="Collection 收款",'Daily Sale entry '!S800,0))</f>
        <v/>
      </c>
      <c r="F800" s="37">
        <f>IF(C800="","",B800+IF(E800&gt;0,0,0.5)+ROW()/10000000)</f>
        <v/>
      </c>
      <c r="G800">
        <f>IF(C800="","",'Daily Sale entry '!Q800&amp;IF('Daily Sale entry '!Q800="Collection 收款"," ("&amp;'Daily Sale entry '!R800&amp;")","")&amp;IF('Daily Sale entry '!U800="",""," - "&amp;'Daily Sale entry '!U800))</f>
        <v/>
      </c>
      <c r="H800">
        <f>IF(C800="","",COUNTIFS($C$2:$C$3001,C800,$F$2:$F$3001,"&lt;"&amp;F800)+1)</f>
        <v/>
      </c>
      <c r="I800">
        <f>IF(C800="","",C800&amp;"|"&amp;H800)</f>
        <v/>
      </c>
      <c r="J800" s="6">
        <f>IF(C800="","",IF(H800=1,SUMIFS('Opening Balance'!$F$4:$F$303,'Opening Balance'!$G$4:$G$303,C800),INDEX($L$2:$L$3001,MATCH(C800&amp;"|"&amp;(H800-1),$I$2:$I$3001,0))))</f>
        <v/>
      </c>
      <c r="K800" s="6">
        <f>IF(C800="","",IF(M800&gt;0,M800,IF(AND(E800&gt;0,ROUND(J800+D800-E800,2)&gt;0,ROUND(J800+D800-E800,2)&lt;'Opening Balance'!$B$14),ROUND(J800+D800-E800,2),0)))</f>
        <v/>
      </c>
      <c r="L800" s="6">
        <f>IF(C800="","",ROUND(J800+D800-E800-K800,2))</f>
        <v/>
      </c>
      <c r="M800" s="6">
        <f>IF(C800="","",IF('Daily Sale entry '!Q800="Collection 收款",ROUND(N('Daily Sale entry '!T800),2),0))</f>
        <v/>
      </c>
    </row>
    <row r="801">
      <c r="A801" t="inlineStr">
        <is>
          <t>Entry 记录</t>
        </is>
      </c>
      <c r="B801" s="5">
        <f>IF('Daily Sale entry '!P801="","",'Daily Sale entry '!O801)</f>
        <v/>
      </c>
      <c r="C801">
        <f>IF('Daily Sale entry '!P801="","",'Daily Sale entry '!P801)</f>
        <v/>
      </c>
      <c r="D801">
        <f>IF(C801="","",IF('Daily Sale entry '!Q801="Credit Sale 赊销",'Daily Sale entry '!S801,0))</f>
        <v/>
      </c>
      <c r="E801">
        <f>IF(C801="","",IF('Daily Sale entry '!Q801="Collection 收款",'Daily Sale entry '!S801,0))</f>
        <v/>
      </c>
      <c r="F801" s="37">
        <f>IF(C801="","",B801+IF(E801&gt;0,0,0.5)+ROW()/10000000)</f>
        <v/>
      </c>
      <c r="G801">
        <f>IF(C801="","",'Daily Sale entry '!Q801&amp;IF('Daily Sale entry '!Q801="Collection 收款"," ("&amp;'Daily Sale entry '!R801&amp;")","")&amp;IF('Daily Sale entry '!U801="",""," - "&amp;'Daily Sale entry '!U801))</f>
        <v/>
      </c>
      <c r="H801">
        <f>IF(C801="","",COUNTIFS($C$2:$C$3001,C801,$F$2:$F$3001,"&lt;"&amp;F801)+1)</f>
        <v/>
      </c>
      <c r="I801">
        <f>IF(C801="","",C801&amp;"|"&amp;H801)</f>
        <v/>
      </c>
      <c r="J801" s="6">
        <f>IF(C801="","",IF(H801=1,SUMIFS('Opening Balance'!$F$4:$F$303,'Opening Balance'!$G$4:$G$303,C801),INDEX($L$2:$L$3001,MATCH(C801&amp;"|"&amp;(H801-1),$I$2:$I$3001,0))))</f>
        <v/>
      </c>
      <c r="K801" s="6">
        <f>IF(C801="","",IF(M801&gt;0,M801,IF(AND(E801&gt;0,ROUND(J801+D801-E801,2)&gt;0,ROUND(J801+D801-E801,2)&lt;'Opening Balance'!$B$14),ROUND(J801+D801-E801,2),0)))</f>
        <v/>
      </c>
      <c r="L801" s="6">
        <f>IF(C801="","",ROUND(J801+D801-E801-K801,2))</f>
        <v/>
      </c>
      <c r="M801" s="6">
        <f>IF(C801="","",IF('Daily Sale entry '!Q801="Collection 收款",ROUND(N('Daily Sale entry '!T801),2),0))</f>
        <v/>
      </c>
    </row>
    <row r="802">
      <c r="A802" t="inlineStr">
        <is>
          <t>Entry 记录</t>
        </is>
      </c>
      <c r="B802" s="5">
        <f>IF('Daily Sale entry '!P802="","",'Daily Sale entry '!O802)</f>
        <v/>
      </c>
      <c r="C802">
        <f>IF('Daily Sale entry '!P802="","",'Daily Sale entry '!P802)</f>
        <v/>
      </c>
      <c r="D802">
        <f>IF(C802="","",IF('Daily Sale entry '!Q802="Credit Sale 赊销",'Daily Sale entry '!S802,0))</f>
        <v/>
      </c>
      <c r="E802">
        <f>IF(C802="","",IF('Daily Sale entry '!Q802="Collection 收款",'Daily Sale entry '!S802,0))</f>
        <v/>
      </c>
      <c r="F802" s="37">
        <f>IF(C802="","",B802+IF(E802&gt;0,0,0.5)+ROW()/10000000)</f>
        <v/>
      </c>
      <c r="G802">
        <f>IF(C802="","",'Daily Sale entry '!Q802&amp;IF('Daily Sale entry '!Q802="Collection 收款"," ("&amp;'Daily Sale entry '!R802&amp;")","")&amp;IF('Daily Sale entry '!U802="",""," - "&amp;'Daily Sale entry '!U802))</f>
        <v/>
      </c>
      <c r="H802">
        <f>IF(C802="","",COUNTIFS($C$2:$C$3001,C802,$F$2:$F$3001,"&lt;"&amp;F802)+1)</f>
        <v/>
      </c>
      <c r="I802">
        <f>IF(C802="","",C802&amp;"|"&amp;H802)</f>
        <v/>
      </c>
      <c r="J802" s="6">
        <f>IF(C802="","",IF(H802=1,SUMIFS('Opening Balance'!$F$4:$F$303,'Opening Balance'!$G$4:$G$303,C802),INDEX($L$2:$L$3001,MATCH(C802&amp;"|"&amp;(H802-1),$I$2:$I$3001,0))))</f>
        <v/>
      </c>
      <c r="K802" s="6">
        <f>IF(C802="","",IF(M802&gt;0,M802,IF(AND(E802&gt;0,ROUND(J802+D802-E802,2)&gt;0,ROUND(J802+D802-E802,2)&lt;'Opening Balance'!$B$14),ROUND(J802+D802-E802,2),0)))</f>
        <v/>
      </c>
      <c r="L802" s="6">
        <f>IF(C802="","",ROUND(J802+D802-E802-K802,2))</f>
        <v/>
      </c>
      <c r="M802" s="6">
        <f>IF(C802="","",IF('Daily Sale entry '!Q802="Collection 收款",ROUND(N('Daily Sale entry '!T802),2),0))</f>
        <v/>
      </c>
    </row>
    <row r="803">
      <c r="A803" t="inlineStr">
        <is>
          <t>Entry 记录</t>
        </is>
      </c>
      <c r="B803" s="5">
        <f>IF('Daily Sale entry '!P803="","",'Daily Sale entry '!O803)</f>
        <v/>
      </c>
      <c r="C803">
        <f>IF('Daily Sale entry '!P803="","",'Daily Sale entry '!P803)</f>
        <v/>
      </c>
      <c r="D803">
        <f>IF(C803="","",IF('Daily Sale entry '!Q803="Credit Sale 赊销",'Daily Sale entry '!S803,0))</f>
        <v/>
      </c>
      <c r="E803">
        <f>IF(C803="","",IF('Daily Sale entry '!Q803="Collection 收款",'Daily Sale entry '!S803,0))</f>
        <v/>
      </c>
      <c r="F803" s="37">
        <f>IF(C803="","",B803+IF(E803&gt;0,0,0.5)+ROW()/10000000)</f>
        <v/>
      </c>
      <c r="G803">
        <f>IF(C803="","",'Daily Sale entry '!Q803&amp;IF('Daily Sale entry '!Q803="Collection 收款"," ("&amp;'Daily Sale entry '!R803&amp;")","")&amp;IF('Daily Sale entry '!U803="",""," - "&amp;'Daily Sale entry '!U803))</f>
        <v/>
      </c>
      <c r="H803">
        <f>IF(C803="","",COUNTIFS($C$2:$C$3001,C803,$F$2:$F$3001,"&lt;"&amp;F803)+1)</f>
        <v/>
      </c>
      <c r="I803">
        <f>IF(C803="","",C803&amp;"|"&amp;H803)</f>
        <v/>
      </c>
      <c r="J803" s="6">
        <f>IF(C803="","",IF(H803=1,SUMIFS('Opening Balance'!$F$4:$F$303,'Opening Balance'!$G$4:$G$303,C803),INDEX($L$2:$L$3001,MATCH(C803&amp;"|"&amp;(H803-1),$I$2:$I$3001,0))))</f>
        <v/>
      </c>
      <c r="K803" s="6">
        <f>IF(C803="","",IF(M803&gt;0,M803,IF(AND(E803&gt;0,ROUND(J803+D803-E803,2)&gt;0,ROUND(J803+D803-E803,2)&lt;'Opening Balance'!$B$14),ROUND(J803+D803-E803,2),0)))</f>
        <v/>
      </c>
      <c r="L803" s="6">
        <f>IF(C803="","",ROUND(J803+D803-E803-K803,2))</f>
        <v/>
      </c>
      <c r="M803" s="6">
        <f>IF(C803="","",IF('Daily Sale entry '!Q803="Collection 收款",ROUND(N('Daily Sale entry '!T803),2),0))</f>
        <v/>
      </c>
    </row>
    <row r="804">
      <c r="A804" t="inlineStr">
        <is>
          <t>Entry 记录</t>
        </is>
      </c>
      <c r="B804" s="5">
        <f>IF('Daily Sale entry '!P804="","",'Daily Sale entry '!O804)</f>
        <v/>
      </c>
      <c r="C804">
        <f>IF('Daily Sale entry '!P804="","",'Daily Sale entry '!P804)</f>
        <v/>
      </c>
      <c r="D804">
        <f>IF(C804="","",IF('Daily Sale entry '!Q804="Credit Sale 赊销",'Daily Sale entry '!S804,0))</f>
        <v/>
      </c>
      <c r="E804">
        <f>IF(C804="","",IF('Daily Sale entry '!Q804="Collection 收款",'Daily Sale entry '!S804,0))</f>
        <v/>
      </c>
      <c r="F804" s="37">
        <f>IF(C804="","",B804+IF(E804&gt;0,0,0.5)+ROW()/10000000)</f>
        <v/>
      </c>
      <c r="G804">
        <f>IF(C804="","",'Daily Sale entry '!Q804&amp;IF('Daily Sale entry '!Q804="Collection 收款"," ("&amp;'Daily Sale entry '!R804&amp;")","")&amp;IF('Daily Sale entry '!U804="",""," - "&amp;'Daily Sale entry '!U804))</f>
        <v/>
      </c>
      <c r="H804">
        <f>IF(C804="","",COUNTIFS($C$2:$C$3001,C804,$F$2:$F$3001,"&lt;"&amp;F804)+1)</f>
        <v/>
      </c>
      <c r="I804">
        <f>IF(C804="","",C804&amp;"|"&amp;H804)</f>
        <v/>
      </c>
      <c r="J804" s="6">
        <f>IF(C804="","",IF(H804=1,SUMIFS('Opening Balance'!$F$4:$F$303,'Opening Balance'!$G$4:$G$303,C804),INDEX($L$2:$L$3001,MATCH(C804&amp;"|"&amp;(H804-1),$I$2:$I$3001,0))))</f>
        <v/>
      </c>
      <c r="K804" s="6">
        <f>IF(C804="","",IF(M804&gt;0,M804,IF(AND(E804&gt;0,ROUND(J804+D804-E804,2)&gt;0,ROUND(J804+D804-E804,2)&lt;'Opening Balance'!$B$14),ROUND(J804+D804-E804,2),0)))</f>
        <v/>
      </c>
      <c r="L804" s="6">
        <f>IF(C804="","",ROUND(J804+D804-E804-K804,2))</f>
        <v/>
      </c>
      <c r="M804" s="6">
        <f>IF(C804="","",IF('Daily Sale entry '!Q804="Collection 收款",ROUND(N('Daily Sale entry '!T804),2),0))</f>
        <v/>
      </c>
    </row>
    <row r="805">
      <c r="A805" t="inlineStr">
        <is>
          <t>Entry 记录</t>
        </is>
      </c>
      <c r="B805" s="5">
        <f>IF('Daily Sale entry '!P805="","",'Daily Sale entry '!O805)</f>
        <v/>
      </c>
      <c r="C805">
        <f>IF('Daily Sale entry '!P805="","",'Daily Sale entry '!P805)</f>
        <v/>
      </c>
      <c r="D805">
        <f>IF(C805="","",IF('Daily Sale entry '!Q805="Credit Sale 赊销",'Daily Sale entry '!S805,0))</f>
        <v/>
      </c>
      <c r="E805">
        <f>IF(C805="","",IF('Daily Sale entry '!Q805="Collection 收款",'Daily Sale entry '!S805,0))</f>
        <v/>
      </c>
      <c r="F805" s="37">
        <f>IF(C805="","",B805+IF(E805&gt;0,0,0.5)+ROW()/10000000)</f>
        <v/>
      </c>
      <c r="G805">
        <f>IF(C805="","",'Daily Sale entry '!Q805&amp;IF('Daily Sale entry '!Q805="Collection 收款"," ("&amp;'Daily Sale entry '!R805&amp;")","")&amp;IF('Daily Sale entry '!U805="",""," - "&amp;'Daily Sale entry '!U805))</f>
        <v/>
      </c>
      <c r="H805">
        <f>IF(C805="","",COUNTIFS($C$2:$C$3001,C805,$F$2:$F$3001,"&lt;"&amp;F805)+1)</f>
        <v/>
      </c>
      <c r="I805">
        <f>IF(C805="","",C805&amp;"|"&amp;H805)</f>
        <v/>
      </c>
      <c r="J805" s="6">
        <f>IF(C805="","",IF(H805=1,SUMIFS('Opening Balance'!$F$4:$F$303,'Opening Balance'!$G$4:$G$303,C805),INDEX($L$2:$L$3001,MATCH(C805&amp;"|"&amp;(H805-1),$I$2:$I$3001,0))))</f>
        <v/>
      </c>
      <c r="K805" s="6">
        <f>IF(C805="","",IF(M805&gt;0,M805,IF(AND(E805&gt;0,ROUND(J805+D805-E805,2)&gt;0,ROUND(J805+D805-E805,2)&lt;'Opening Balance'!$B$14),ROUND(J805+D805-E805,2),0)))</f>
        <v/>
      </c>
      <c r="L805" s="6">
        <f>IF(C805="","",ROUND(J805+D805-E805-K805,2))</f>
        <v/>
      </c>
      <c r="M805" s="6">
        <f>IF(C805="","",IF('Daily Sale entry '!Q805="Collection 收款",ROUND(N('Daily Sale entry '!T805),2),0))</f>
        <v/>
      </c>
    </row>
    <row r="806">
      <c r="A806" t="inlineStr">
        <is>
          <t>Entry 记录</t>
        </is>
      </c>
      <c r="B806" s="5">
        <f>IF('Daily Sale entry '!P806="","",'Daily Sale entry '!O806)</f>
        <v/>
      </c>
      <c r="C806">
        <f>IF('Daily Sale entry '!P806="","",'Daily Sale entry '!P806)</f>
        <v/>
      </c>
      <c r="D806">
        <f>IF(C806="","",IF('Daily Sale entry '!Q806="Credit Sale 赊销",'Daily Sale entry '!S806,0))</f>
        <v/>
      </c>
      <c r="E806">
        <f>IF(C806="","",IF('Daily Sale entry '!Q806="Collection 收款",'Daily Sale entry '!S806,0))</f>
        <v/>
      </c>
      <c r="F806" s="37">
        <f>IF(C806="","",B806+IF(E806&gt;0,0,0.5)+ROW()/10000000)</f>
        <v/>
      </c>
      <c r="G806">
        <f>IF(C806="","",'Daily Sale entry '!Q806&amp;IF('Daily Sale entry '!Q806="Collection 收款"," ("&amp;'Daily Sale entry '!R806&amp;")","")&amp;IF('Daily Sale entry '!U806="",""," - "&amp;'Daily Sale entry '!U806))</f>
        <v/>
      </c>
      <c r="H806">
        <f>IF(C806="","",COUNTIFS($C$2:$C$3001,C806,$F$2:$F$3001,"&lt;"&amp;F806)+1)</f>
        <v/>
      </c>
      <c r="I806">
        <f>IF(C806="","",C806&amp;"|"&amp;H806)</f>
        <v/>
      </c>
      <c r="J806" s="6">
        <f>IF(C806="","",IF(H806=1,SUMIFS('Opening Balance'!$F$4:$F$303,'Opening Balance'!$G$4:$G$303,C806),INDEX($L$2:$L$3001,MATCH(C806&amp;"|"&amp;(H806-1),$I$2:$I$3001,0))))</f>
        <v/>
      </c>
      <c r="K806" s="6">
        <f>IF(C806="","",IF(M806&gt;0,M806,IF(AND(E806&gt;0,ROUND(J806+D806-E806,2)&gt;0,ROUND(J806+D806-E806,2)&lt;'Opening Balance'!$B$14),ROUND(J806+D806-E806,2),0)))</f>
        <v/>
      </c>
      <c r="L806" s="6">
        <f>IF(C806="","",ROUND(J806+D806-E806-K806,2))</f>
        <v/>
      </c>
      <c r="M806" s="6">
        <f>IF(C806="","",IF('Daily Sale entry '!Q806="Collection 收款",ROUND(N('Daily Sale entry '!T806),2),0))</f>
        <v/>
      </c>
    </row>
    <row r="807">
      <c r="A807" t="inlineStr">
        <is>
          <t>Entry 记录</t>
        </is>
      </c>
      <c r="B807" s="5">
        <f>IF('Daily Sale entry '!P807="","",'Daily Sale entry '!O807)</f>
        <v/>
      </c>
      <c r="C807">
        <f>IF('Daily Sale entry '!P807="","",'Daily Sale entry '!P807)</f>
        <v/>
      </c>
      <c r="D807">
        <f>IF(C807="","",IF('Daily Sale entry '!Q807="Credit Sale 赊销",'Daily Sale entry '!S807,0))</f>
        <v/>
      </c>
      <c r="E807">
        <f>IF(C807="","",IF('Daily Sale entry '!Q807="Collection 收款",'Daily Sale entry '!S807,0))</f>
        <v/>
      </c>
      <c r="F807" s="37">
        <f>IF(C807="","",B807+IF(E807&gt;0,0,0.5)+ROW()/10000000)</f>
        <v/>
      </c>
      <c r="G807">
        <f>IF(C807="","",'Daily Sale entry '!Q807&amp;IF('Daily Sale entry '!Q807="Collection 收款"," ("&amp;'Daily Sale entry '!R807&amp;")","")&amp;IF('Daily Sale entry '!U807="",""," - "&amp;'Daily Sale entry '!U807))</f>
        <v/>
      </c>
      <c r="H807">
        <f>IF(C807="","",COUNTIFS($C$2:$C$3001,C807,$F$2:$F$3001,"&lt;"&amp;F807)+1)</f>
        <v/>
      </c>
      <c r="I807">
        <f>IF(C807="","",C807&amp;"|"&amp;H807)</f>
        <v/>
      </c>
      <c r="J807" s="6">
        <f>IF(C807="","",IF(H807=1,SUMIFS('Opening Balance'!$F$4:$F$303,'Opening Balance'!$G$4:$G$303,C807),INDEX($L$2:$L$3001,MATCH(C807&amp;"|"&amp;(H807-1),$I$2:$I$3001,0))))</f>
        <v/>
      </c>
      <c r="K807" s="6">
        <f>IF(C807="","",IF(M807&gt;0,M807,IF(AND(E807&gt;0,ROUND(J807+D807-E807,2)&gt;0,ROUND(J807+D807-E807,2)&lt;'Opening Balance'!$B$14),ROUND(J807+D807-E807,2),0)))</f>
        <v/>
      </c>
      <c r="L807" s="6">
        <f>IF(C807="","",ROUND(J807+D807-E807-K807,2))</f>
        <v/>
      </c>
      <c r="M807" s="6">
        <f>IF(C807="","",IF('Daily Sale entry '!Q807="Collection 收款",ROUND(N('Daily Sale entry '!T807),2),0))</f>
        <v/>
      </c>
    </row>
    <row r="808">
      <c r="A808" t="inlineStr">
        <is>
          <t>Entry 记录</t>
        </is>
      </c>
      <c r="B808" s="5">
        <f>IF('Daily Sale entry '!P808="","",'Daily Sale entry '!O808)</f>
        <v/>
      </c>
      <c r="C808">
        <f>IF('Daily Sale entry '!P808="","",'Daily Sale entry '!P808)</f>
        <v/>
      </c>
      <c r="D808">
        <f>IF(C808="","",IF('Daily Sale entry '!Q808="Credit Sale 赊销",'Daily Sale entry '!S808,0))</f>
        <v/>
      </c>
      <c r="E808">
        <f>IF(C808="","",IF('Daily Sale entry '!Q808="Collection 收款",'Daily Sale entry '!S808,0))</f>
        <v/>
      </c>
      <c r="F808" s="37">
        <f>IF(C808="","",B808+IF(E808&gt;0,0,0.5)+ROW()/10000000)</f>
        <v/>
      </c>
      <c r="G808">
        <f>IF(C808="","",'Daily Sale entry '!Q808&amp;IF('Daily Sale entry '!Q808="Collection 收款"," ("&amp;'Daily Sale entry '!R808&amp;")","")&amp;IF('Daily Sale entry '!U808="",""," - "&amp;'Daily Sale entry '!U808))</f>
        <v/>
      </c>
      <c r="H808">
        <f>IF(C808="","",COUNTIFS($C$2:$C$3001,C808,$F$2:$F$3001,"&lt;"&amp;F808)+1)</f>
        <v/>
      </c>
      <c r="I808">
        <f>IF(C808="","",C808&amp;"|"&amp;H808)</f>
        <v/>
      </c>
      <c r="J808" s="6">
        <f>IF(C808="","",IF(H808=1,SUMIFS('Opening Balance'!$F$4:$F$303,'Opening Balance'!$G$4:$G$303,C808),INDEX($L$2:$L$3001,MATCH(C808&amp;"|"&amp;(H808-1),$I$2:$I$3001,0))))</f>
        <v/>
      </c>
      <c r="K808" s="6">
        <f>IF(C808="","",IF(M808&gt;0,M808,IF(AND(E808&gt;0,ROUND(J808+D808-E808,2)&gt;0,ROUND(J808+D808-E808,2)&lt;'Opening Balance'!$B$14),ROUND(J808+D808-E808,2),0)))</f>
        <v/>
      </c>
      <c r="L808" s="6">
        <f>IF(C808="","",ROUND(J808+D808-E808-K808,2))</f>
        <v/>
      </c>
      <c r="M808" s="6">
        <f>IF(C808="","",IF('Daily Sale entry '!Q808="Collection 收款",ROUND(N('Daily Sale entry '!T808),2),0))</f>
        <v/>
      </c>
    </row>
    <row r="809">
      <c r="A809" t="inlineStr">
        <is>
          <t>Entry 记录</t>
        </is>
      </c>
      <c r="B809" s="5">
        <f>IF('Daily Sale entry '!P809="","",'Daily Sale entry '!O809)</f>
        <v/>
      </c>
      <c r="C809">
        <f>IF('Daily Sale entry '!P809="","",'Daily Sale entry '!P809)</f>
        <v/>
      </c>
      <c r="D809">
        <f>IF(C809="","",IF('Daily Sale entry '!Q809="Credit Sale 赊销",'Daily Sale entry '!S809,0))</f>
        <v/>
      </c>
      <c r="E809">
        <f>IF(C809="","",IF('Daily Sale entry '!Q809="Collection 收款",'Daily Sale entry '!S809,0))</f>
        <v/>
      </c>
      <c r="F809" s="37">
        <f>IF(C809="","",B809+IF(E809&gt;0,0,0.5)+ROW()/10000000)</f>
        <v/>
      </c>
      <c r="G809">
        <f>IF(C809="","",'Daily Sale entry '!Q809&amp;IF('Daily Sale entry '!Q809="Collection 收款"," ("&amp;'Daily Sale entry '!R809&amp;")","")&amp;IF('Daily Sale entry '!U809="",""," - "&amp;'Daily Sale entry '!U809))</f>
        <v/>
      </c>
      <c r="H809">
        <f>IF(C809="","",COUNTIFS($C$2:$C$3001,C809,$F$2:$F$3001,"&lt;"&amp;F809)+1)</f>
        <v/>
      </c>
      <c r="I809">
        <f>IF(C809="","",C809&amp;"|"&amp;H809)</f>
        <v/>
      </c>
      <c r="J809" s="6">
        <f>IF(C809="","",IF(H809=1,SUMIFS('Opening Balance'!$F$4:$F$303,'Opening Balance'!$G$4:$G$303,C809),INDEX($L$2:$L$3001,MATCH(C809&amp;"|"&amp;(H809-1),$I$2:$I$3001,0))))</f>
        <v/>
      </c>
      <c r="K809" s="6">
        <f>IF(C809="","",IF(M809&gt;0,M809,IF(AND(E809&gt;0,ROUND(J809+D809-E809,2)&gt;0,ROUND(J809+D809-E809,2)&lt;'Opening Balance'!$B$14),ROUND(J809+D809-E809,2),0)))</f>
        <v/>
      </c>
      <c r="L809" s="6">
        <f>IF(C809="","",ROUND(J809+D809-E809-K809,2))</f>
        <v/>
      </c>
      <c r="M809" s="6">
        <f>IF(C809="","",IF('Daily Sale entry '!Q809="Collection 收款",ROUND(N('Daily Sale entry '!T809),2),0))</f>
        <v/>
      </c>
    </row>
    <row r="810">
      <c r="A810" t="inlineStr">
        <is>
          <t>Entry 记录</t>
        </is>
      </c>
      <c r="B810" s="5">
        <f>IF('Daily Sale entry '!P810="","",'Daily Sale entry '!O810)</f>
        <v/>
      </c>
      <c r="C810">
        <f>IF('Daily Sale entry '!P810="","",'Daily Sale entry '!P810)</f>
        <v/>
      </c>
      <c r="D810">
        <f>IF(C810="","",IF('Daily Sale entry '!Q810="Credit Sale 赊销",'Daily Sale entry '!S810,0))</f>
        <v/>
      </c>
      <c r="E810">
        <f>IF(C810="","",IF('Daily Sale entry '!Q810="Collection 收款",'Daily Sale entry '!S810,0))</f>
        <v/>
      </c>
      <c r="F810" s="37">
        <f>IF(C810="","",B810+IF(E810&gt;0,0,0.5)+ROW()/10000000)</f>
        <v/>
      </c>
      <c r="G810">
        <f>IF(C810="","",'Daily Sale entry '!Q810&amp;IF('Daily Sale entry '!Q810="Collection 收款"," ("&amp;'Daily Sale entry '!R810&amp;")","")&amp;IF('Daily Sale entry '!U810="",""," - "&amp;'Daily Sale entry '!U810))</f>
        <v/>
      </c>
      <c r="H810">
        <f>IF(C810="","",COUNTIFS($C$2:$C$3001,C810,$F$2:$F$3001,"&lt;"&amp;F810)+1)</f>
        <v/>
      </c>
      <c r="I810">
        <f>IF(C810="","",C810&amp;"|"&amp;H810)</f>
        <v/>
      </c>
      <c r="J810" s="6">
        <f>IF(C810="","",IF(H810=1,SUMIFS('Opening Balance'!$F$4:$F$303,'Opening Balance'!$G$4:$G$303,C810),INDEX($L$2:$L$3001,MATCH(C810&amp;"|"&amp;(H810-1),$I$2:$I$3001,0))))</f>
        <v/>
      </c>
      <c r="K810" s="6">
        <f>IF(C810="","",IF(M810&gt;0,M810,IF(AND(E810&gt;0,ROUND(J810+D810-E810,2)&gt;0,ROUND(J810+D810-E810,2)&lt;'Opening Balance'!$B$14),ROUND(J810+D810-E810,2),0)))</f>
        <v/>
      </c>
      <c r="L810" s="6">
        <f>IF(C810="","",ROUND(J810+D810-E810-K810,2))</f>
        <v/>
      </c>
      <c r="M810" s="6">
        <f>IF(C810="","",IF('Daily Sale entry '!Q810="Collection 收款",ROUND(N('Daily Sale entry '!T810),2),0))</f>
        <v/>
      </c>
    </row>
    <row r="811">
      <c r="A811" t="inlineStr">
        <is>
          <t>Entry 记录</t>
        </is>
      </c>
      <c r="B811" s="5">
        <f>IF('Daily Sale entry '!P811="","",'Daily Sale entry '!O811)</f>
        <v/>
      </c>
      <c r="C811">
        <f>IF('Daily Sale entry '!P811="","",'Daily Sale entry '!P811)</f>
        <v/>
      </c>
      <c r="D811">
        <f>IF(C811="","",IF('Daily Sale entry '!Q811="Credit Sale 赊销",'Daily Sale entry '!S811,0))</f>
        <v/>
      </c>
      <c r="E811">
        <f>IF(C811="","",IF('Daily Sale entry '!Q811="Collection 收款",'Daily Sale entry '!S811,0))</f>
        <v/>
      </c>
      <c r="F811" s="37">
        <f>IF(C811="","",B811+IF(E811&gt;0,0,0.5)+ROW()/10000000)</f>
        <v/>
      </c>
      <c r="G811">
        <f>IF(C811="","",'Daily Sale entry '!Q811&amp;IF('Daily Sale entry '!Q811="Collection 收款"," ("&amp;'Daily Sale entry '!R811&amp;")","")&amp;IF('Daily Sale entry '!U811="",""," - "&amp;'Daily Sale entry '!U811))</f>
        <v/>
      </c>
      <c r="H811">
        <f>IF(C811="","",COUNTIFS($C$2:$C$3001,C811,$F$2:$F$3001,"&lt;"&amp;F811)+1)</f>
        <v/>
      </c>
      <c r="I811">
        <f>IF(C811="","",C811&amp;"|"&amp;H811)</f>
        <v/>
      </c>
      <c r="J811" s="6">
        <f>IF(C811="","",IF(H811=1,SUMIFS('Opening Balance'!$F$4:$F$303,'Opening Balance'!$G$4:$G$303,C811),INDEX($L$2:$L$3001,MATCH(C811&amp;"|"&amp;(H811-1),$I$2:$I$3001,0))))</f>
        <v/>
      </c>
      <c r="K811" s="6">
        <f>IF(C811="","",IF(M811&gt;0,M811,IF(AND(E811&gt;0,ROUND(J811+D811-E811,2)&gt;0,ROUND(J811+D811-E811,2)&lt;'Opening Balance'!$B$14),ROUND(J811+D811-E811,2),0)))</f>
        <v/>
      </c>
      <c r="L811" s="6">
        <f>IF(C811="","",ROUND(J811+D811-E811-K811,2))</f>
        <v/>
      </c>
      <c r="M811" s="6">
        <f>IF(C811="","",IF('Daily Sale entry '!Q811="Collection 收款",ROUND(N('Daily Sale entry '!T811),2),0))</f>
        <v/>
      </c>
    </row>
    <row r="812">
      <c r="A812" t="inlineStr">
        <is>
          <t>Entry 记录</t>
        </is>
      </c>
      <c r="B812" s="5">
        <f>IF('Daily Sale entry '!P812="","",'Daily Sale entry '!O812)</f>
        <v/>
      </c>
      <c r="C812">
        <f>IF('Daily Sale entry '!P812="","",'Daily Sale entry '!P812)</f>
        <v/>
      </c>
      <c r="D812">
        <f>IF(C812="","",IF('Daily Sale entry '!Q812="Credit Sale 赊销",'Daily Sale entry '!S812,0))</f>
        <v/>
      </c>
      <c r="E812">
        <f>IF(C812="","",IF('Daily Sale entry '!Q812="Collection 收款",'Daily Sale entry '!S812,0))</f>
        <v/>
      </c>
      <c r="F812" s="37">
        <f>IF(C812="","",B812+IF(E812&gt;0,0,0.5)+ROW()/10000000)</f>
        <v/>
      </c>
      <c r="G812">
        <f>IF(C812="","",'Daily Sale entry '!Q812&amp;IF('Daily Sale entry '!Q812="Collection 收款"," ("&amp;'Daily Sale entry '!R812&amp;")","")&amp;IF('Daily Sale entry '!U812="",""," - "&amp;'Daily Sale entry '!U812))</f>
        <v/>
      </c>
      <c r="H812">
        <f>IF(C812="","",COUNTIFS($C$2:$C$3001,C812,$F$2:$F$3001,"&lt;"&amp;F812)+1)</f>
        <v/>
      </c>
      <c r="I812">
        <f>IF(C812="","",C812&amp;"|"&amp;H812)</f>
        <v/>
      </c>
      <c r="J812" s="6">
        <f>IF(C812="","",IF(H812=1,SUMIFS('Opening Balance'!$F$4:$F$303,'Opening Balance'!$G$4:$G$303,C812),INDEX($L$2:$L$3001,MATCH(C812&amp;"|"&amp;(H812-1),$I$2:$I$3001,0))))</f>
        <v/>
      </c>
      <c r="K812" s="6">
        <f>IF(C812="","",IF(M812&gt;0,M812,IF(AND(E812&gt;0,ROUND(J812+D812-E812,2)&gt;0,ROUND(J812+D812-E812,2)&lt;'Opening Balance'!$B$14),ROUND(J812+D812-E812,2),0)))</f>
        <v/>
      </c>
      <c r="L812" s="6">
        <f>IF(C812="","",ROUND(J812+D812-E812-K812,2))</f>
        <v/>
      </c>
      <c r="M812" s="6">
        <f>IF(C812="","",IF('Daily Sale entry '!Q812="Collection 收款",ROUND(N('Daily Sale entry '!T812),2),0))</f>
        <v/>
      </c>
    </row>
    <row r="813">
      <c r="A813" t="inlineStr">
        <is>
          <t>Entry 记录</t>
        </is>
      </c>
      <c r="B813" s="5">
        <f>IF('Daily Sale entry '!P813="","",'Daily Sale entry '!O813)</f>
        <v/>
      </c>
      <c r="C813">
        <f>IF('Daily Sale entry '!P813="","",'Daily Sale entry '!P813)</f>
        <v/>
      </c>
      <c r="D813">
        <f>IF(C813="","",IF('Daily Sale entry '!Q813="Credit Sale 赊销",'Daily Sale entry '!S813,0))</f>
        <v/>
      </c>
      <c r="E813">
        <f>IF(C813="","",IF('Daily Sale entry '!Q813="Collection 收款",'Daily Sale entry '!S813,0))</f>
        <v/>
      </c>
      <c r="F813" s="37">
        <f>IF(C813="","",B813+IF(E813&gt;0,0,0.5)+ROW()/10000000)</f>
        <v/>
      </c>
      <c r="G813">
        <f>IF(C813="","",'Daily Sale entry '!Q813&amp;IF('Daily Sale entry '!Q813="Collection 收款"," ("&amp;'Daily Sale entry '!R813&amp;")","")&amp;IF('Daily Sale entry '!U813="",""," - "&amp;'Daily Sale entry '!U813))</f>
        <v/>
      </c>
      <c r="H813">
        <f>IF(C813="","",COUNTIFS($C$2:$C$3001,C813,$F$2:$F$3001,"&lt;"&amp;F813)+1)</f>
        <v/>
      </c>
      <c r="I813">
        <f>IF(C813="","",C813&amp;"|"&amp;H813)</f>
        <v/>
      </c>
      <c r="J813" s="6">
        <f>IF(C813="","",IF(H813=1,SUMIFS('Opening Balance'!$F$4:$F$303,'Opening Balance'!$G$4:$G$303,C813),INDEX($L$2:$L$3001,MATCH(C813&amp;"|"&amp;(H813-1),$I$2:$I$3001,0))))</f>
        <v/>
      </c>
      <c r="K813" s="6">
        <f>IF(C813="","",IF(M813&gt;0,M813,IF(AND(E813&gt;0,ROUND(J813+D813-E813,2)&gt;0,ROUND(J813+D813-E813,2)&lt;'Opening Balance'!$B$14),ROUND(J813+D813-E813,2),0)))</f>
        <v/>
      </c>
      <c r="L813" s="6">
        <f>IF(C813="","",ROUND(J813+D813-E813-K813,2))</f>
        <v/>
      </c>
      <c r="M813" s="6">
        <f>IF(C813="","",IF('Daily Sale entry '!Q813="Collection 收款",ROUND(N('Daily Sale entry '!T813),2),0))</f>
        <v/>
      </c>
    </row>
    <row r="814">
      <c r="A814" t="inlineStr">
        <is>
          <t>Entry 记录</t>
        </is>
      </c>
      <c r="B814" s="5">
        <f>IF('Daily Sale entry '!P814="","",'Daily Sale entry '!O814)</f>
        <v/>
      </c>
      <c r="C814">
        <f>IF('Daily Sale entry '!P814="","",'Daily Sale entry '!P814)</f>
        <v/>
      </c>
      <c r="D814">
        <f>IF(C814="","",IF('Daily Sale entry '!Q814="Credit Sale 赊销",'Daily Sale entry '!S814,0))</f>
        <v/>
      </c>
      <c r="E814">
        <f>IF(C814="","",IF('Daily Sale entry '!Q814="Collection 收款",'Daily Sale entry '!S814,0))</f>
        <v/>
      </c>
      <c r="F814" s="37">
        <f>IF(C814="","",B814+IF(E814&gt;0,0,0.5)+ROW()/10000000)</f>
        <v/>
      </c>
      <c r="G814">
        <f>IF(C814="","",'Daily Sale entry '!Q814&amp;IF('Daily Sale entry '!Q814="Collection 收款"," ("&amp;'Daily Sale entry '!R814&amp;")","")&amp;IF('Daily Sale entry '!U814="",""," - "&amp;'Daily Sale entry '!U814))</f>
        <v/>
      </c>
      <c r="H814">
        <f>IF(C814="","",COUNTIFS($C$2:$C$3001,C814,$F$2:$F$3001,"&lt;"&amp;F814)+1)</f>
        <v/>
      </c>
      <c r="I814">
        <f>IF(C814="","",C814&amp;"|"&amp;H814)</f>
        <v/>
      </c>
      <c r="J814" s="6">
        <f>IF(C814="","",IF(H814=1,SUMIFS('Opening Balance'!$F$4:$F$303,'Opening Balance'!$G$4:$G$303,C814),INDEX($L$2:$L$3001,MATCH(C814&amp;"|"&amp;(H814-1),$I$2:$I$3001,0))))</f>
        <v/>
      </c>
      <c r="K814" s="6">
        <f>IF(C814="","",IF(M814&gt;0,M814,IF(AND(E814&gt;0,ROUND(J814+D814-E814,2)&gt;0,ROUND(J814+D814-E814,2)&lt;'Opening Balance'!$B$14),ROUND(J814+D814-E814,2),0)))</f>
        <v/>
      </c>
      <c r="L814" s="6">
        <f>IF(C814="","",ROUND(J814+D814-E814-K814,2))</f>
        <v/>
      </c>
      <c r="M814" s="6">
        <f>IF(C814="","",IF('Daily Sale entry '!Q814="Collection 收款",ROUND(N('Daily Sale entry '!T814),2),0))</f>
        <v/>
      </c>
    </row>
    <row r="815">
      <c r="A815" t="inlineStr">
        <is>
          <t>Entry 记录</t>
        </is>
      </c>
      <c r="B815" s="5">
        <f>IF('Daily Sale entry '!P815="","",'Daily Sale entry '!O815)</f>
        <v/>
      </c>
      <c r="C815">
        <f>IF('Daily Sale entry '!P815="","",'Daily Sale entry '!P815)</f>
        <v/>
      </c>
      <c r="D815">
        <f>IF(C815="","",IF('Daily Sale entry '!Q815="Credit Sale 赊销",'Daily Sale entry '!S815,0))</f>
        <v/>
      </c>
      <c r="E815">
        <f>IF(C815="","",IF('Daily Sale entry '!Q815="Collection 收款",'Daily Sale entry '!S815,0))</f>
        <v/>
      </c>
      <c r="F815" s="37">
        <f>IF(C815="","",B815+IF(E815&gt;0,0,0.5)+ROW()/10000000)</f>
        <v/>
      </c>
      <c r="G815">
        <f>IF(C815="","",'Daily Sale entry '!Q815&amp;IF('Daily Sale entry '!Q815="Collection 收款"," ("&amp;'Daily Sale entry '!R815&amp;")","")&amp;IF('Daily Sale entry '!U815="",""," - "&amp;'Daily Sale entry '!U815))</f>
        <v/>
      </c>
      <c r="H815">
        <f>IF(C815="","",COUNTIFS($C$2:$C$3001,C815,$F$2:$F$3001,"&lt;"&amp;F815)+1)</f>
        <v/>
      </c>
      <c r="I815">
        <f>IF(C815="","",C815&amp;"|"&amp;H815)</f>
        <v/>
      </c>
      <c r="J815" s="6">
        <f>IF(C815="","",IF(H815=1,SUMIFS('Opening Balance'!$F$4:$F$303,'Opening Balance'!$G$4:$G$303,C815),INDEX($L$2:$L$3001,MATCH(C815&amp;"|"&amp;(H815-1),$I$2:$I$3001,0))))</f>
        <v/>
      </c>
      <c r="K815" s="6">
        <f>IF(C815="","",IF(M815&gt;0,M815,IF(AND(E815&gt;0,ROUND(J815+D815-E815,2)&gt;0,ROUND(J815+D815-E815,2)&lt;'Opening Balance'!$B$14),ROUND(J815+D815-E815,2),0)))</f>
        <v/>
      </c>
      <c r="L815" s="6">
        <f>IF(C815="","",ROUND(J815+D815-E815-K815,2))</f>
        <v/>
      </c>
      <c r="M815" s="6">
        <f>IF(C815="","",IF('Daily Sale entry '!Q815="Collection 收款",ROUND(N('Daily Sale entry '!T815),2),0))</f>
        <v/>
      </c>
    </row>
    <row r="816">
      <c r="A816" t="inlineStr">
        <is>
          <t>Entry 记录</t>
        </is>
      </c>
      <c r="B816" s="5">
        <f>IF('Daily Sale entry '!P816="","",'Daily Sale entry '!O816)</f>
        <v/>
      </c>
      <c r="C816">
        <f>IF('Daily Sale entry '!P816="","",'Daily Sale entry '!P816)</f>
        <v/>
      </c>
      <c r="D816">
        <f>IF(C816="","",IF('Daily Sale entry '!Q816="Credit Sale 赊销",'Daily Sale entry '!S816,0))</f>
        <v/>
      </c>
      <c r="E816">
        <f>IF(C816="","",IF('Daily Sale entry '!Q816="Collection 收款",'Daily Sale entry '!S816,0))</f>
        <v/>
      </c>
      <c r="F816" s="37">
        <f>IF(C816="","",B816+IF(E816&gt;0,0,0.5)+ROW()/10000000)</f>
        <v/>
      </c>
      <c r="G816">
        <f>IF(C816="","",'Daily Sale entry '!Q816&amp;IF('Daily Sale entry '!Q816="Collection 收款"," ("&amp;'Daily Sale entry '!R816&amp;")","")&amp;IF('Daily Sale entry '!U816="",""," - "&amp;'Daily Sale entry '!U816))</f>
        <v/>
      </c>
      <c r="H816">
        <f>IF(C816="","",COUNTIFS($C$2:$C$3001,C816,$F$2:$F$3001,"&lt;"&amp;F816)+1)</f>
        <v/>
      </c>
      <c r="I816">
        <f>IF(C816="","",C816&amp;"|"&amp;H816)</f>
        <v/>
      </c>
      <c r="J816" s="6">
        <f>IF(C816="","",IF(H816=1,SUMIFS('Opening Balance'!$F$4:$F$303,'Opening Balance'!$G$4:$G$303,C816),INDEX($L$2:$L$3001,MATCH(C816&amp;"|"&amp;(H816-1),$I$2:$I$3001,0))))</f>
        <v/>
      </c>
      <c r="K816" s="6">
        <f>IF(C816="","",IF(M816&gt;0,M816,IF(AND(E816&gt;0,ROUND(J816+D816-E816,2)&gt;0,ROUND(J816+D816-E816,2)&lt;'Opening Balance'!$B$14),ROUND(J816+D816-E816,2),0)))</f>
        <v/>
      </c>
      <c r="L816" s="6">
        <f>IF(C816="","",ROUND(J816+D816-E816-K816,2))</f>
        <v/>
      </c>
      <c r="M816" s="6">
        <f>IF(C816="","",IF('Daily Sale entry '!Q816="Collection 收款",ROUND(N('Daily Sale entry '!T816),2),0))</f>
        <v/>
      </c>
    </row>
    <row r="817">
      <c r="A817" t="inlineStr">
        <is>
          <t>Entry 记录</t>
        </is>
      </c>
      <c r="B817" s="5">
        <f>IF('Daily Sale entry '!P817="","",'Daily Sale entry '!O817)</f>
        <v/>
      </c>
      <c r="C817">
        <f>IF('Daily Sale entry '!P817="","",'Daily Sale entry '!P817)</f>
        <v/>
      </c>
      <c r="D817">
        <f>IF(C817="","",IF('Daily Sale entry '!Q817="Credit Sale 赊销",'Daily Sale entry '!S817,0))</f>
        <v/>
      </c>
      <c r="E817">
        <f>IF(C817="","",IF('Daily Sale entry '!Q817="Collection 收款",'Daily Sale entry '!S817,0))</f>
        <v/>
      </c>
      <c r="F817" s="37">
        <f>IF(C817="","",B817+IF(E817&gt;0,0,0.5)+ROW()/10000000)</f>
        <v/>
      </c>
      <c r="G817">
        <f>IF(C817="","",'Daily Sale entry '!Q817&amp;IF('Daily Sale entry '!Q817="Collection 收款"," ("&amp;'Daily Sale entry '!R817&amp;")","")&amp;IF('Daily Sale entry '!U817="",""," - "&amp;'Daily Sale entry '!U817))</f>
        <v/>
      </c>
      <c r="H817">
        <f>IF(C817="","",COUNTIFS($C$2:$C$3001,C817,$F$2:$F$3001,"&lt;"&amp;F817)+1)</f>
        <v/>
      </c>
      <c r="I817">
        <f>IF(C817="","",C817&amp;"|"&amp;H817)</f>
        <v/>
      </c>
      <c r="J817" s="6">
        <f>IF(C817="","",IF(H817=1,SUMIFS('Opening Balance'!$F$4:$F$303,'Opening Balance'!$G$4:$G$303,C817),INDEX($L$2:$L$3001,MATCH(C817&amp;"|"&amp;(H817-1),$I$2:$I$3001,0))))</f>
        <v/>
      </c>
      <c r="K817" s="6">
        <f>IF(C817="","",IF(M817&gt;0,M817,IF(AND(E817&gt;0,ROUND(J817+D817-E817,2)&gt;0,ROUND(J817+D817-E817,2)&lt;'Opening Balance'!$B$14),ROUND(J817+D817-E817,2),0)))</f>
        <v/>
      </c>
      <c r="L817" s="6">
        <f>IF(C817="","",ROUND(J817+D817-E817-K817,2))</f>
        <v/>
      </c>
      <c r="M817" s="6">
        <f>IF(C817="","",IF('Daily Sale entry '!Q817="Collection 收款",ROUND(N('Daily Sale entry '!T817),2),0))</f>
        <v/>
      </c>
    </row>
    <row r="818">
      <c r="A818" t="inlineStr">
        <is>
          <t>Entry 记录</t>
        </is>
      </c>
      <c r="B818" s="5">
        <f>IF('Daily Sale entry '!P818="","",'Daily Sale entry '!O818)</f>
        <v/>
      </c>
      <c r="C818">
        <f>IF('Daily Sale entry '!P818="","",'Daily Sale entry '!P818)</f>
        <v/>
      </c>
      <c r="D818">
        <f>IF(C818="","",IF('Daily Sale entry '!Q818="Credit Sale 赊销",'Daily Sale entry '!S818,0))</f>
        <v/>
      </c>
      <c r="E818">
        <f>IF(C818="","",IF('Daily Sale entry '!Q818="Collection 收款",'Daily Sale entry '!S818,0))</f>
        <v/>
      </c>
      <c r="F818" s="37">
        <f>IF(C818="","",B818+IF(E818&gt;0,0,0.5)+ROW()/10000000)</f>
        <v/>
      </c>
      <c r="G818">
        <f>IF(C818="","",'Daily Sale entry '!Q818&amp;IF('Daily Sale entry '!Q818="Collection 收款"," ("&amp;'Daily Sale entry '!R818&amp;")","")&amp;IF('Daily Sale entry '!U818="",""," - "&amp;'Daily Sale entry '!U818))</f>
        <v/>
      </c>
      <c r="H818">
        <f>IF(C818="","",COUNTIFS($C$2:$C$3001,C818,$F$2:$F$3001,"&lt;"&amp;F818)+1)</f>
        <v/>
      </c>
      <c r="I818">
        <f>IF(C818="","",C818&amp;"|"&amp;H818)</f>
        <v/>
      </c>
      <c r="J818" s="6">
        <f>IF(C818="","",IF(H818=1,SUMIFS('Opening Balance'!$F$4:$F$303,'Opening Balance'!$G$4:$G$303,C818),INDEX($L$2:$L$3001,MATCH(C818&amp;"|"&amp;(H818-1),$I$2:$I$3001,0))))</f>
        <v/>
      </c>
      <c r="K818" s="6">
        <f>IF(C818="","",IF(M818&gt;0,M818,IF(AND(E818&gt;0,ROUND(J818+D818-E818,2)&gt;0,ROUND(J818+D818-E818,2)&lt;'Opening Balance'!$B$14),ROUND(J818+D818-E818,2),0)))</f>
        <v/>
      </c>
      <c r="L818" s="6">
        <f>IF(C818="","",ROUND(J818+D818-E818-K818,2))</f>
        <v/>
      </c>
      <c r="M818" s="6">
        <f>IF(C818="","",IF('Daily Sale entry '!Q818="Collection 收款",ROUND(N('Daily Sale entry '!T818),2),0))</f>
        <v/>
      </c>
    </row>
    <row r="819">
      <c r="A819" t="inlineStr">
        <is>
          <t>Entry 记录</t>
        </is>
      </c>
      <c r="B819" s="5">
        <f>IF('Daily Sale entry '!P819="","",'Daily Sale entry '!O819)</f>
        <v/>
      </c>
      <c r="C819">
        <f>IF('Daily Sale entry '!P819="","",'Daily Sale entry '!P819)</f>
        <v/>
      </c>
      <c r="D819">
        <f>IF(C819="","",IF('Daily Sale entry '!Q819="Credit Sale 赊销",'Daily Sale entry '!S819,0))</f>
        <v/>
      </c>
      <c r="E819">
        <f>IF(C819="","",IF('Daily Sale entry '!Q819="Collection 收款",'Daily Sale entry '!S819,0))</f>
        <v/>
      </c>
      <c r="F819" s="37">
        <f>IF(C819="","",B819+IF(E819&gt;0,0,0.5)+ROW()/10000000)</f>
        <v/>
      </c>
      <c r="G819">
        <f>IF(C819="","",'Daily Sale entry '!Q819&amp;IF('Daily Sale entry '!Q819="Collection 收款"," ("&amp;'Daily Sale entry '!R819&amp;")","")&amp;IF('Daily Sale entry '!U819="",""," - "&amp;'Daily Sale entry '!U819))</f>
        <v/>
      </c>
      <c r="H819">
        <f>IF(C819="","",COUNTIFS($C$2:$C$3001,C819,$F$2:$F$3001,"&lt;"&amp;F819)+1)</f>
        <v/>
      </c>
      <c r="I819">
        <f>IF(C819="","",C819&amp;"|"&amp;H819)</f>
        <v/>
      </c>
      <c r="J819" s="6">
        <f>IF(C819="","",IF(H819=1,SUMIFS('Opening Balance'!$F$4:$F$303,'Opening Balance'!$G$4:$G$303,C819),INDEX($L$2:$L$3001,MATCH(C819&amp;"|"&amp;(H819-1),$I$2:$I$3001,0))))</f>
        <v/>
      </c>
      <c r="K819" s="6">
        <f>IF(C819="","",IF(M819&gt;0,M819,IF(AND(E819&gt;0,ROUND(J819+D819-E819,2)&gt;0,ROUND(J819+D819-E819,2)&lt;'Opening Balance'!$B$14),ROUND(J819+D819-E819,2),0)))</f>
        <v/>
      </c>
      <c r="L819" s="6">
        <f>IF(C819="","",ROUND(J819+D819-E819-K819,2))</f>
        <v/>
      </c>
      <c r="M819" s="6">
        <f>IF(C819="","",IF('Daily Sale entry '!Q819="Collection 收款",ROUND(N('Daily Sale entry '!T819),2),0))</f>
        <v/>
      </c>
    </row>
    <row r="820">
      <c r="A820" t="inlineStr">
        <is>
          <t>Entry 记录</t>
        </is>
      </c>
      <c r="B820" s="5">
        <f>IF('Daily Sale entry '!P820="","",'Daily Sale entry '!O820)</f>
        <v/>
      </c>
      <c r="C820">
        <f>IF('Daily Sale entry '!P820="","",'Daily Sale entry '!P820)</f>
        <v/>
      </c>
      <c r="D820">
        <f>IF(C820="","",IF('Daily Sale entry '!Q820="Credit Sale 赊销",'Daily Sale entry '!S820,0))</f>
        <v/>
      </c>
      <c r="E820">
        <f>IF(C820="","",IF('Daily Sale entry '!Q820="Collection 收款",'Daily Sale entry '!S820,0))</f>
        <v/>
      </c>
      <c r="F820" s="37">
        <f>IF(C820="","",B820+IF(E820&gt;0,0,0.5)+ROW()/10000000)</f>
        <v/>
      </c>
      <c r="G820">
        <f>IF(C820="","",'Daily Sale entry '!Q820&amp;IF('Daily Sale entry '!Q820="Collection 收款"," ("&amp;'Daily Sale entry '!R820&amp;")","")&amp;IF('Daily Sale entry '!U820="",""," - "&amp;'Daily Sale entry '!U820))</f>
        <v/>
      </c>
      <c r="H820">
        <f>IF(C820="","",COUNTIFS($C$2:$C$3001,C820,$F$2:$F$3001,"&lt;"&amp;F820)+1)</f>
        <v/>
      </c>
      <c r="I820">
        <f>IF(C820="","",C820&amp;"|"&amp;H820)</f>
        <v/>
      </c>
      <c r="J820" s="6">
        <f>IF(C820="","",IF(H820=1,SUMIFS('Opening Balance'!$F$4:$F$303,'Opening Balance'!$G$4:$G$303,C820),INDEX($L$2:$L$3001,MATCH(C820&amp;"|"&amp;(H820-1),$I$2:$I$3001,0))))</f>
        <v/>
      </c>
      <c r="K820" s="6">
        <f>IF(C820="","",IF(M820&gt;0,M820,IF(AND(E820&gt;0,ROUND(J820+D820-E820,2)&gt;0,ROUND(J820+D820-E820,2)&lt;'Opening Balance'!$B$14),ROUND(J820+D820-E820,2),0)))</f>
        <v/>
      </c>
      <c r="L820" s="6">
        <f>IF(C820="","",ROUND(J820+D820-E820-K820,2))</f>
        <v/>
      </c>
      <c r="M820" s="6">
        <f>IF(C820="","",IF('Daily Sale entry '!Q820="Collection 收款",ROUND(N('Daily Sale entry '!T820),2),0))</f>
        <v/>
      </c>
    </row>
    <row r="821">
      <c r="A821" t="inlineStr">
        <is>
          <t>Entry 记录</t>
        </is>
      </c>
      <c r="B821" s="5">
        <f>IF('Daily Sale entry '!P821="","",'Daily Sale entry '!O821)</f>
        <v/>
      </c>
      <c r="C821">
        <f>IF('Daily Sale entry '!P821="","",'Daily Sale entry '!P821)</f>
        <v/>
      </c>
      <c r="D821">
        <f>IF(C821="","",IF('Daily Sale entry '!Q821="Credit Sale 赊销",'Daily Sale entry '!S821,0))</f>
        <v/>
      </c>
      <c r="E821">
        <f>IF(C821="","",IF('Daily Sale entry '!Q821="Collection 收款",'Daily Sale entry '!S821,0))</f>
        <v/>
      </c>
      <c r="F821" s="37">
        <f>IF(C821="","",B821+IF(E821&gt;0,0,0.5)+ROW()/10000000)</f>
        <v/>
      </c>
      <c r="G821">
        <f>IF(C821="","",'Daily Sale entry '!Q821&amp;IF('Daily Sale entry '!Q821="Collection 收款"," ("&amp;'Daily Sale entry '!R821&amp;")","")&amp;IF('Daily Sale entry '!U821="",""," - "&amp;'Daily Sale entry '!U821))</f>
        <v/>
      </c>
      <c r="H821">
        <f>IF(C821="","",COUNTIFS($C$2:$C$3001,C821,$F$2:$F$3001,"&lt;"&amp;F821)+1)</f>
        <v/>
      </c>
      <c r="I821">
        <f>IF(C821="","",C821&amp;"|"&amp;H821)</f>
        <v/>
      </c>
      <c r="J821" s="6">
        <f>IF(C821="","",IF(H821=1,SUMIFS('Opening Balance'!$F$4:$F$303,'Opening Balance'!$G$4:$G$303,C821),INDEX($L$2:$L$3001,MATCH(C821&amp;"|"&amp;(H821-1),$I$2:$I$3001,0))))</f>
        <v/>
      </c>
      <c r="K821" s="6">
        <f>IF(C821="","",IF(M821&gt;0,M821,IF(AND(E821&gt;0,ROUND(J821+D821-E821,2)&gt;0,ROUND(J821+D821-E821,2)&lt;'Opening Balance'!$B$14),ROUND(J821+D821-E821,2),0)))</f>
        <v/>
      </c>
      <c r="L821" s="6">
        <f>IF(C821="","",ROUND(J821+D821-E821-K821,2))</f>
        <v/>
      </c>
      <c r="M821" s="6">
        <f>IF(C821="","",IF('Daily Sale entry '!Q821="Collection 收款",ROUND(N('Daily Sale entry '!T821),2),0))</f>
        <v/>
      </c>
    </row>
    <row r="822">
      <c r="A822" t="inlineStr">
        <is>
          <t>Entry 记录</t>
        </is>
      </c>
      <c r="B822" s="5">
        <f>IF('Daily Sale entry '!P822="","",'Daily Sale entry '!O822)</f>
        <v/>
      </c>
      <c r="C822">
        <f>IF('Daily Sale entry '!P822="","",'Daily Sale entry '!P822)</f>
        <v/>
      </c>
      <c r="D822">
        <f>IF(C822="","",IF('Daily Sale entry '!Q822="Credit Sale 赊销",'Daily Sale entry '!S822,0))</f>
        <v/>
      </c>
      <c r="E822">
        <f>IF(C822="","",IF('Daily Sale entry '!Q822="Collection 收款",'Daily Sale entry '!S822,0))</f>
        <v/>
      </c>
      <c r="F822" s="37">
        <f>IF(C822="","",B822+IF(E822&gt;0,0,0.5)+ROW()/10000000)</f>
        <v/>
      </c>
      <c r="G822">
        <f>IF(C822="","",'Daily Sale entry '!Q822&amp;IF('Daily Sale entry '!Q822="Collection 收款"," ("&amp;'Daily Sale entry '!R822&amp;")","")&amp;IF('Daily Sale entry '!U822="",""," - "&amp;'Daily Sale entry '!U822))</f>
        <v/>
      </c>
      <c r="H822">
        <f>IF(C822="","",COUNTIFS($C$2:$C$3001,C822,$F$2:$F$3001,"&lt;"&amp;F822)+1)</f>
        <v/>
      </c>
      <c r="I822">
        <f>IF(C822="","",C822&amp;"|"&amp;H822)</f>
        <v/>
      </c>
      <c r="J822" s="6">
        <f>IF(C822="","",IF(H822=1,SUMIFS('Opening Balance'!$F$4:$F$303,'Opening Balance'!$G$4:$G$303,C822),INDEX($L$2:$L$3001,MATCH(C822&amp;"|"&amp;(H822-1),$I$2:$I$3001,0))))</f>
        <v/>
      </c>
      <c r="K822" s="6">
        <f>IF(C822="","",IF(M822&gt;0,M822,IF(AND(E822&gt;0,ROUND(J822+D822-E822,2)&gt;0,ROUND(J822+D822-E822,2)&lt;'Opening Balance'!$B$14),ROUND(J822+D822-E822,2),0)))</f>
        <v/>
      </c>
      <c r="L822" s="6">
        <f>IF(C822="","",ROUND(J822+D822-E822-K822,2))</f>
        <v/>
      </c>
      <c r="M822" s="6">
        <f>IF(C822="","",IF('Daily Sale entry '!Q822="Collection 收款",ROUND(N('Daily Sale entry '!T822),2),0))</f>
        <v/>
      </c>
    </row>
    <row r="823">
      <c r="A823" t="inlineStr">
        <is>
          <t>Entry 记录</t>
        </is>
      </c>
      <c r="B823" s="5">
        <f>IF('Daily Sale entry '!P823="","",'Daily Sale entry '!O823)</f>
        <v/>
      </c>
      <c r="C823">
        <f>IF('Daily Sale entry '!P823="","",'Daily Sale entry '!P823)</f>
        <v/>
      </c>
      <c r="D823">
        <f>IF(C823="","",IF('Daily Sale entry '!Q823="Credit Sale 赊销",'Daily Sale entry '!S823,0))</f>
        <v/>
      </c>
      <c r="E823">
        <f>IF(C823="","",IF('Daily Sale entry '!Q823="Collection 收款",'Daily Sale entry '!S823,0))</f>
        <v/>
      </c>
      <c r="F823" s="37">
        <f>IF(C823="","",B823+IF(E823&gt;0,0,0.5)+ROW()/10000000)</f>
        <v/>
      </c>
      <c r="G823">
        <f>IF(C823="","",'Daily Sale entry '!Q823&amp;IF('Daily Sale entry '!Q823="Collection 收款"," ("&amp;'Daily Sale entry '!R823&amp;")","")&amp;IF('Daily Sale entry '!U823="",""," - "&amp;'Daily Sale entry '!U823))</f>
        <v/>
      </c>
      <c r="H823">
        <f>IF(C823="","",COUNTIFS($C$2:$C$3001,C823,$F$2:$F$3001,"&lt;"&amp;F823)+1)</f>
        <v/>
      </c>
      <c r="I823">
        <f>IF(C823="","",C823&amp;"|"&amp;H823)</f>
        <v/>
      </c>
      <c r="J823" s="6">
        <f>IF(C823="","",IF(H823=1,SUMIFS('Opening Balance'!$F$4:$F$303,'Opening Balance'!$G$4:$G$303,C823),INDEX($L$2:$L$3001,MATCH(C823&amp;"|"&amp;(H823-1),$I$2:$I$3001,0))))</f>
        <v/>
      </c>
      <c r="K823" s="6">
        <f>IF(C823="","",IF(M823&gt;0,M823,IF(AND(E823&gt;0,ROUND(J823+D823-E823,2)&gt;0,ROUND(J823+D823-E823,2)&lt;'Opening Balance'!$B$14),ROUND(J823+D823-E823,2),0)))</f>
        <v/>
      </c>
      <c r="L823" s="6">
        <f>IF(C823="","",ROUND(J823+D823-E823-K823,2))</f>
        <v/>
      </c>
      <c r="M823" s="6">
        <f>IF(C823="","",IF('Daily Sale entry '!Q823="Collection 收款",ROUND(N('Daily Sale entry '!T823),2),0))</f>
        <v/>
      </c>
    </row>
    <row r="824">
      <c r="A824" t="inlineStr">
        <is>
          <t>Entry 记录</t>
        </is>
      </c>
      <c r="B824" s="5">
        <f>IF('Daily Sale entry '!P824="","",'Daily Sale entry '!O824)</f>
        <v/>
      </c>
      <c r="C824">
        <f>IF('Daily Sale entry '!P824="","",'Daily Sale entry '!P824)</f>
        <v/>
      </c>
      <c r="D824">
        <f>IF(C824="","",IF('Daily Sale entry '!Q824="Credit Sale 赊销",'Daily Sale entry '!S824,0))</f>
        <v/>
      </c>
      <c r="E824">
        <f>IF(C824="","",IF('Daily Sale entry '!Q824="Collection 收款",'Daily Sale entry '!S824,0))</f>
        <v/>
      </c>
      <c r="F824" s="37">
        <f>IF(C824="","",B824+IF(E824&gt;0,0,0.5)+ROW()/10000000)</f>
        <v/>
      </c>
      <c r="G824">
        <f>IF(C824="","",'Daily Sale entry '!Q824&amp;IF('Daily Sale entry '!Q824="Collection 收款"," ("&amp;'Daily Sale entry '!R824&amp;")","")&amp;IF('Daily Sale entry '!U824="",""," - "&amp;'Daily Sale entry '!U824))</f>
        <v/>
      </c>
      <c r="H824">
        <f>IF(C824="","",COUNTIFS($C$2:$C$3001,C824,$F$2:$F$3001,"&lt;"&amp;F824)+1)</f>
        <v/>
      </c>
      <c r="I824">
        <f>IF(C824="","",C824&amp;"|"&amp;H824)</f>
        <v/>
      </c>
      <c r="J824" s="6">
        <f>IF(C824="","",IF(H824=1,SUMIFS('Opening Balance'!$F$4:$F$303,'Opening Balance'!$G$4:$G$303,C824),INDEX($L$2:$L$3001,MATCH(C824&amp;"|"&amp;(H824-1),$I$2:$I$3001,0))))</f>
        <v/>
      </c>
      <c r="K824" s="6">
        <f>IF(C824="","",IF(M824&gt;0,M824,IF(AND(E824&gt;0,ROUND(J824+D824-E824,2)&gt;0,ROUND(J824+D824-E824,2)&lt;'Opening Balance'!$B$14),ROUND(J824+D824-E824,2),0)))</f>
        <v/>
      </c>
      <c r="L824" s="6">
        <f>IF(C824="","",ROUND(J824+D824-E824-K824,2))</f>
        <v/>
      </c>
      <c r="M824" s="6">
        <f>IF(C824="","",IF('Daily Sale entry '!Q824="Collection 收款",ROUND(N('Daily Sale entry '!T824),2),0))</f>
        <v/>
      </c>
    </row>
    <row r="825">
      <c r="A825" t="inlineStr">
        <is>
          <t>Entry 记录</t>
        </is>
      </c>
      <c r="B825" s="5">
        <f>IF('Daily Sale entry '!P825="","",'Daily Sale entry '!O825)</f>
        <v/>
      </c>
      <c r="C825">
        <f>IF('Daily Sale entry '!P825="","",'Daily Sale entry '!P825)</f>
        <v/>
      </c>
      <c r="D825">
        <f>IF(C825="","",IF('Daily Sale entry '!Q825="Credit Sale 赊销",'Daily Sale entry '!S825,0))</f>
        <v/>
      </c>
      <c r="E825">
        <f>IF(C825="","",IF('Daily Sale entry '!Q825="Collection 收款",'Daily Sale entry '!S825,0))</f>
        <v/>
      </c>
      <c r="F825" s="37">
        <f>IF(C825="","",B825+IF(E825&gt;0,0,0.5)+ROW()/10000000)</f>
        <v/>
      </c>
      <c r="G825">
        <f>IF(C825="","",'Daily Sale entry '!Q825&amp;IF('Daily Sale entry '!Q825="Collection 收款"," ("&amp;'Daily Sale entry '!R825&amp;")","")&amp;IF('Daily Sale entry '!U825="",""," - "&amp;'Daily Sale entry '!U825))</f>
        <v/>
      </c>
      <c r="H825">
        <f>IF(C825="","",COUNTIFS($C$2:$C$3001,C825,$F$2:$F$3001,"&lt;"&amp;F825)+1)</f>
        <v/>
      </c>
      <c r="I825">
        <f>IF(C825="","",C825&amp;"|"&amp;H825)</f>
        <v/>
      </c>
      <c r="J825" s="6">
        <f>IF(C825="","",IF(H825=1,SUMIFS('Opening Balance'!$F$4:$F$303,'Opening Balance'!$G$4:$G$303,C825),INDEX($L$2:$L$3001,MATCH(C825&amp;"|"&amp;(H825-1),$I$2:$I$3001,0))))</f>
        <v/>
      </c>
      <c r="K825" s="6">
        <f>IF(C825="","",IF(M825&gt;0,M825,IF(AND(E825&gt;0,ROUND(J825+D825-E825,2)&gt;0,ROUND(J825+D825-E825,2)&lt;'Opening Balance'!$B$14),ROUND(J825+D825-E825,2),0)))</f>
        <v/>
      </c>
      <c r="L825" s="6">
        <f>IF(C825="","",ROUND(J825+D825-E825-K825,2))</f>
        <v/>
      </c>
      <c r="M825" s="6">
        <f>IF(C825="","",IF('Daily Sale entry '!Q825="Collection 收款",ROUND(N('Daily Sale entry '!T825),2),0))</f>
        <v/>
      </c>
    </row>
    <row r="826">
      <c r="A826" t="inlineStr">
        <is>
          <t>Entry 记录</t>
        </is>
      </c>
      <c r="B826" s="5">
        <f>IF('Daily Sale entry '!P826="","",'Daily Sale entry '!O826)</f>
        <v/>
      </c>
      <c r="C826">
        <f>IF('Daily Sale entry '!P826="","",'Daily Sale entry '!P826)</f>
        <v/>
      </c>
      <c r="D826">
        <f>IF(C826="","",IF('Daily Sale entry '!Q826="Credit Sale 赊销",'Daily Sale entry '!S826,0))</f>
        <v/>
      </c>
      <c r="E826">
        <f>IF(C826="","",IF('Daily Sale entry '!Q826="Collection 收款",'Daily Sale entry '!S826,0))</f>
        <v/>
      </c>
      <c r="F826" s="37">
        <f>IF(C826="","",B826+IF(E826&gt;0,0,0.5)+ROW()/10000000)</f>
        <v/>
      </c>
      <c r="G826">
        <f>IF(C826="","",'Daily Sale entry '!Q826&amp;IF('Daily Sale entry '!Q826="Collection 收款"," ("&amp;'Daily Sale entry '!R826&amp;")","")&amp;IF('Daily Sale entry '!U826="",""," - "&amp;'Daily Sale entry '!U826))</f>
        <v/>
      </c>
      <c r="H826">
        <f>IF(C826="","",COUNTIFS($C$2:$C$3001,C826,$F$2:$F$3001,"&lt;"&amp;F826)+1)</f>
        <v/>
      </c>
      <c r="I826">
        <f>IF(C826="","",C826&amp;"|"&amp;H826)</f>
        <v/>
      </c>
      <c r="J826" s="6">
        <f>IF(C826="","",IF(H826=1,SUMIFS('Opening Balance'!$F$4:$F$303,'Opening Balance'!$G$4:$G$303,C826),INDEX($L$2:$L$3001,MATCH(C826&amp;"|"&amp;(H826-1),$I$2:$I$3001,0))))</f>
        <v/>
      </c>
      <c r="K826" s="6">
        <f>IF(C826="","",IF(M826&gt;0,M826,IF(AND(E826&gt;0,ROUND(J826+D826-E826,2)&gt;0,ROUND(J826+D826-E826,2)&lt;'Opening Balance'!$B$14),ROUND(J826+D826-E826,2),0)))</f>
        <v/>
      </c>
      <c r="L826" s="6">
        <f>IF(C826="","",ROUND(J826+D826-E826-K826,2))</f>
        <v/>
      </c>
      <c r="M826" s="6">
        <f>IF(C826="","",IF('Daily Sale entry '!Q826="Collection 收款",ROUND(N('Daily Sale entry '!T826),2),0))</f>
        <v/>
      </c>
    </row>
    <row r="827">
      <c r="A827" t="inlineStr">
        <is>
          <t>Entry 记录</t>
        </is>
      </c>
      <c r="B827" s="5">
        <f>IF('Daily Sale entry '!P827="","",'Daily Sale entry '!O827)</f>
        <v/>
      </c>
      <c r="C827">
        <f>IF('Daily Sale entry '!P827="","",'Daily Sale entry '!P827)</f>
        <v/>
      </c>
      <c r="D827">
        <f>IF(C827="","",IF('Daily Sale entry '!Q827="Credit Sale 赊销",'Daily Sale entry '!S827,0))</f>
        <v/>
      </c>
      <c r="E827">
        <f>IF(C827="","",IF('Daily Sale entry '!Q827="Collection 收款",'Daily Sale entry '!S827,0))</f>
        <v/>
      </c>
      <c r="F827" s="37">
        <f>IF(C827="","",B827+IF(E827&gt;0,0,0.5)+ROW()/10000000)</f>
        <v/>
      </c>
      <c r="G827">
        <f>IF(C827="","",'Daily Sale entry '!Q827&amp;IF('Daily Sale entry '!Q827="Collection 收款"," ("&amp;'Daily Sale entry '!R827&amp;")","")&amp;IF('Daily Sale entry '!U827="",""," - "&amp;'Daily Sale entry '!U827))</f>
        <v/>
      </c>
      <c r="H827">
        <f>IF(C827="","",COUNTIFS($C$2:$C$3001,C827,$F$2:$F$3001,"&lt;"&amp;F827)+1)</f>
        <v/>
      </c>
      <c r="I827">
        <f>IF(C827="","",C827&amp;"|"&amp;H827)</f>
        <v/>
      </c>
      <c r="J827" s="6">
        <f>IF(C827="","",IF(H827=1,SUMIFS('Opening Balance'!$F$4:$F$303,'Opening Balance'!$G$4:$G$303,C827),INDEX($L$2:$L$3001,MATCH(C827&amp;"|"&amp;(H827-1),$I$2:$I$3001,0))))</f>
        <v/>
      </c>
      <c r="K827" s="6">
        <f>IF(C827="","",IF(M827&gt;0,M827,IF(AND(E827&gt;0,ROUND(J827+D827-E827,2)&gt;0,ROUND(J827+D827-E827,2)&lt;'Opening Balance'!$B$14),ROUND(J827+D827-E827,2),0)))</f>
        <v/>
      </c>
      <c r="L827" s="6">
        <f>IF(C827="","",ROUND(J827+D827-E827-K827,2))</f>
        <v/>
      </c>
      <c r="M827" s="6">
        <f>IF(C827="","",IF('Daily Sale entry '!Q827="Collection 收款",ROUND(N('Daily Sale entry '!T827),2),0))</f>
        <v/>
      </c>
    </row>
    <row r="828">
      <c r="A828" t="inlineStr">
        <is>
          <t>Entry 记录</t>
        </is>
      </c>
      <c r="B828" s="5">
        <f>IF('Daily Sale entry '!P828="","",'Daily Sale entry '!O828)</f>
        <v/>
      </c>
      <c r="C828">
        <f>IF('Daily Sale entry '!P828="","",'Daily Sale entry '!P828)</f>
        <v/>
      </c>
      <c r="D828">
        <f>IF(C828="","",IF('Daily Sale entry '!Q828="Credit Sale 赊销",'Daily Sale entry '!S828,0))</f>
        <v/>
      </c>
      <c r="E828">
        <f>IF(C828="","",IF('Daily Sale entry '!Q828="Collection 收款",'Daily Sale entry '!S828,0))</f>
        <v/>
      </c>
      <c r="F828" s="37">
        <f>IF(C828="","",B828+IF(E828&gt;0,0,0.5)+ROW()/10000000)</f>
        <v/>
      </c>
      <c r="G828">
        <f>IF(C828="","",'Daily Sale entry '!Q828&amp;IF('Daily Sale entry '!Q828="Collection 收款"," ("&amp;'Daily Sale entry '!R828&amp;")","")&amp;IF('Daily Sale entry '!U828="",""," - "&amp;'Daily Sale entry '!U828))</f>
        <v/>
      </c>
      <c r="H828">
        <f>IF(C828="","",COUNTIFS($C$2:$C$3001,C828,$F$2:$F$3001,"&lt;"&amp;F828)+1)</f>
        <v/>
      </c>
      <c r="I828">
        <f>IF(C828="","",C828&amp;"|"&amp;H828)</f>
        <v/>
      </c>
      <c r="J828" s="6">
        <f>IF(C828="","",IF(H828=1,SUMIFS('Opening Balance'!$F$4:$F$303,'Opening Balance'!$G$4:$G$303,C828),INDEX($L$2:$L$3001,MATCH(C828&amp;"|"&amp;(H828-1),$I$2:$I$3001,0))))</f>
        <v/>
      </c>
      <c r="K828" s="6">
        <f>IF(C828="","",IF(M828&gt;0,M828,IF(AND(E828&gt;0,ROUND(J828+D828-E828,2)&gt;0,ROUND(J828+D828-E828,2)&lt;'Opening Balance'!$B$14),ROUND(J828+D828-E828,2),0)))</f>
        <v/>
      </c>
      <c r="L828" s="6">
        <f>IF(C828="","",ROUND(J828+D828-E828-K828,2))</f>
        <v/>
      </c>
      <c r="M828" s="6">
        <f>IF(C828="","",IF('Daily Sale entry '!Q828="Collection 收款",ROUND(N('Daily Sale entry '!T828),2),0))</f>
        <v/>
      </c>
    </row>
    <row r="829">
      <c r="A829" t="inlineStr">
        <is>
          <t>Entry 记录</t>
        </is>
      </c>
      <c r="B829" s="5">
        <f>IF('Daily Sale entry '!P829="","",'Daily Sale entry '!O829)</f>
        <v/>
      </c>
      <c r="C829">
        <f>IF('Daily Sale entry '!P829="","",'Daily Sale entry '!P829)</f>
        <v/>
      </c>
      <c r="D829">
        <f>IF(C829="","",IF('Daily Sale entry '!Q829="Credit Sale 赊销",'Daily Sale entry '!S829,0))</f>
        <v/>
      </c>
      <c r="E829">
        <f>IF(C829="","",IF('Daily Sale entry '!Q829="Collection 收款",'Daily Sale entry '!S829,0))</f>
        <v/>
      </c>
      <c r="F829" s="37">
        <f>IF(C829="","",B829+IF(E829&gt;0,0,0.5)+ROW()/10000000)</f>
        <v/>
      </c>
      <c r="G829">
        <f>IF(C829="","",'Daily Sale entry '!Q829&amp;IF('Daily Sale entry '!Q829="Collection 收款"," ("&amp;'Daily Sale entry '!R829&amp;")","")&amp;IF('Daily Sale entry '!U829="",""," - "&amp;'Daily Sale entry '!U829))</f>
        <v/>
      </c>
      <c r="H829">
        <f>IF(C829="","",COUNTIFS($C$2:$C$3001,C829,$F$2:$F$3001,"&lt;"&amp;F829)+1)</f>
        <v/>
      </c>
      <c r="I829">
        <f>IF(C829="","",C829&amp;"|"&amp;H829)</f>
        <v/>
      </c>
      <c r="J829" s="6">
        <f>IF(C829="","",IF(H829=1,SUMIFS('Opening Balance'!$F$4:$F$303,'Opening Balance'!$G$4:$G$303,C829),INDEX($L$2:$L$3001,MATCH(C829&amp;"|"&amp;(H829-1),$I$2:$I$3001,0))))</f>
        <v/>
      </c>
      <c r="K829" s="6">
        <f>IF(C829="","",IF(M829&gt;0,M829,IF(AND(E829&gt;0,ROUND(J829+D829-E829,2)&gt;0,ROUND(J829+D829-E829,2)&lt;'Opening Balance'!$B$14),ROUND(J829+D829-E829,2),0)))</f>
        <v/>
      </c>
      <c r="L829" s="6">
        <f>IF(C829="","",ROUND(J829+D829-E829-K829,2))</f>
        <v/>
      </c>
      <c r="M829" s="6">
        <f>IF(C829="","",IF('Daily Sale entry '!Q829="Collection 收款",ROUND(N('Daily Sale entry '!T829),2),0))</f>
        <v/>
      </c>
    </row>
    <row r="830">
      <c r="A830" t="inlineStr">
        <is>
          <t>Entry 记录</t>
        </is>
      </c>
      <c r="B830" s="5">
        <f>IF('Daily Sale entry '!P830="","",'Daily Sale entry '!O830)</f>
        <v/>
      </c>
      <c r="C830">
        <f>IF('Daily Sale entry '!P830="","",'Daily Sale entry '!P830)</f>
        <v/>
      </c>
      <c r="D830">
        <f>IF(C830="","",IF('Daily Sale entry '!Q830="Credit Sale 赊销",'Daily Sale entry '!S830,0))</f>
        <v/>
      </c>
      <c r="E830">
        <f>IF(C830="","",IF('Daily Sale entry '!Q830="Collection 收款",'Daily Sale entry '!S830,0))</f>
        <v/>
      </c>
      <c r="F830" s="37">
        <f>IF(C830="","",B830+IF(E830&gt;0,0,0.5)+ROW()/10000000)</f>
        <v/>
      </c>
      <c r="G830">
        <f>IF(C830="","",'Daily Sale entry '!Q830&amp;IF('Daily Sale entry '!Q830="Collection 收款"," ("&amp;'Daily Sale entry '!R830&amp;")","")&amp;IF('Daily Sale entry '!U830="",""," - "&amp;'Daily Sale entry '!U830))</f>
        <v/>
      </c>
      <c r="H830">
        <f>IF(C830="","",COUNTIFS($C$2:$C$3001,C830,$F$2:$F$3001,"&lt;"&amp;F830)+1)</f>
        <v/>
      </c>
      <c r="I830">
        <f>IF(C830="","",C830&amp;"|"&amp;H830)</f>
        <v/>
      </c>
      <c r="J830" s="6">
        <f>IF(C830="","",IF(H830=1,SUMIFS('Opening Balance'!$F$4:$F$303,'Opening Balance'!$G$4:$G$303,C830),INDEX($L$2:$L$3001,MATCH(C830&amp;"|"&amp;(H830-1),$I$2:$I$3001,0))))</f>
        <v/>
      </c>
      <c r="K830" s="6">
        <f>IF(C830="","",IF(M830&gt;0,M830,IF(AND(E830&gt;0,ROUND(J830+D830-E830,2)&gt;0,ROUND(J830+D830-E830,2)&lt;'Opening Balance'!$B$14),ROUND(J830+D830-E830,2),0)))</f>
        <v/>
      </c>
      <c r="L830" s="6">
        <f>IF(C830="","",ROUND(J830+D830-E830-K830,2))</f>
        <v/>
      </c>
      <c r="M830" s="6">
        <f>IF(C830="","",IF('Daily Sale entry '!Q830="Collection 收款",ROUND(N('Daily Sale entry '!T830),2),0))</f>
        <v/>
      </c>
    </row>
    <row r="831">
      <c r="A831" t="inlineStr">
        <is>
          <t>Entry 记录</t>
        </is>
      </c>
      <c r="B831" s="5">
        <f>IF('Daily Sale entry '!P831="","",'Daily Sale entry '!O831)</f>
        <v/>
      </c>
      <c r="C831">
        <f>IF('Daily Sale entry '!P831="","",'Daily Sale entry '!P831)</f>
        <v/>
      </c>
      <c r="D831">
        <f>IF(C831="","",IF('Daily Sale entry '!Q831="Credit Sale 赊销",'Daily Sale entry '!S831,0))</f>
        <v/>
      </c>
      <c r="E831">
        <f>IF(C831="","",IF('Daily Sale entry '!Q831="Collection 收款",'Daily Sale entry '!S831,0))</f>
        <v/>
      </c>
      <c r="F831" s="37">
        <f>IF(C831="","",B831+IF(E831&gt;0,0,0.5)+ROW()/10000000)</f>
        <v/>
      </c>
      <c r="G831">
        <f>IF(C831="","",'Daily Sale entry '!Q831&amp;IF('Daily Sale entry '!Q831="Collection 收款"," ("&amp;'Daily Sale entry '!R831&amp;")","")&amp;IF('Daily Sale entry '!U831="",""," - "&amp;'Daily Sale entry '!U831))</f>
        <v/>
      </c>
      <c r="H831">
        <f>IF(C831="","",COUNTIFS($C$2:$C$3001,C831,$F$2:$F$3001,"&lt;"&amp;F831)+1)</f>
        <v/>
      </c>
      <c r="I831">
        <f>IF(C831="","",C831&amp;"|"&amp;H831)</f>
        <v/>
      </c>
      <c r="J831" s="6">
        <f>IF(C831="","",IF(H831=1,SUMIFS('Opening Balance'!$F$4:$F$303,'Opening Balance'!$G$4:$G$303,C831),INDEX($L$2:$L$3001,MATCH(C831&amp;"|"&amp;(H831-1),$I$2:$I$3001,0))))</f>
        <v/>
      </c>
      <c r="K831" s="6">
        <f>IF(C831="","",IF(M831&gt;0,M831,IF(AND(E831&gt;0,ROUND(J831+D831-E831,2)&gt;0,ROUND(J831+D831-E831,2)&lt;'Opening Balance'!$B$14),ROUND(J831+D831-E831,2),0)))</f>
        <v/>
      </c>
      <c r="L831" s="6">
        <f>IF(C831="","",ROUND(J831+D831-E831-K831,2))</f>
        <v/>
      </c>
      <c r="M831" s="6">
        <f>IF(C831="","",IF('Daily Sale entry '!Q831="Collection 收款",ROUND(N('Daily Sale entry '!T831),2),0))</f>
        <v/>
      </c>
    </row>
    <row r="832">
      <c r="A832" t="inlineStr">
        <is>
          <t>Entry 记录</t>
        </is>
      </c>
      <c r="B832" s="5">
        <f>IF('Daily Sale entry '!P832="","",'Daily Sale entry '!O832)</f>
        <v/>
      </c>
      <c r="C832">
        <f>IF('Daily Sale entry '!P832="","",'Daily Sale entry '!P832)</f>
        <v/>
      </c>
      <c r="D832">
        <f>IF(C832="","",IF('Daily Sale entry '!Q832="Credit Sale 赊销",'Daily Sale entry '!S832,0))</f>
        <v/>
      </c>
      <c r="E832">
        <f>IF(C832="","",IF('Daily Sale entry '!Q832="Collection 收款",'Daily Sale entry '!S832,0))</f>
        <v/>
      </c>
      <c r="F832" s="37">
        <f>IF(C832="","",B832+IF(E832&gt;0,0,0.5)+ROW()/10000000)</f>
        <v/>
      </c>
      <c r="G832">
        <f>IF(C832="","",'Daily Sale entry '!Q832&amp;IF('Daily Sale entry '!Q832="Collection 收款"," ("&amp;'Daily Sale entry '!R832&amp;")","")&amp;IF('Daily Sale entry '!U832="",""," - "&amp;'Daily Sale entry '!U832))</f>
        <v/>
      </c>
      <c r="H832">
        <f>IF(C832="","",COUNTIFS($C$2:$C$3001,C832,$F$2:$F$3001,"&lt;"&amp;F832)+1)</f>
        <v/>
      </c>
      <c r="I832">
        <f>IF(C832="","",C832&amp;"|"&amp;H832)</f>
        <v/>
      </c>
      <c r="J832" s="6">
        <f>IF(C832="","",IF(H832=1,SUMIFS('Opening Balance'!$F$4:$F$303,'Opening Balance'!$G$4:$G$303,C832),INDEX($L$2:$L$3001,MATCH(C832&amp;"|"&amp;(H832-1),$I$2:$I$3001,0))))</f>
        <v/>
      </c>
      <c r="K832" s="6">
        <f>IF(C832="","",IF(M832&gt;0,M832,IF(AND(E832&gt;0,ROUND(J832+D832-E832,2)&gt;0,ROUND(J832+D832-E832,2)&lt;'Opening Balance'!$B$14),ROUND(J832+D832-E832,2),0)))</f>
        <v/>
      </c>
      <c r="L832" s="6">
        <f>IF(C832="","",ROUND(J832+D832-E832-K832,2))</f>
        <v/>
      </c>
      <c r="M832" s="6">
        <f>IF(C832="","",IF('Daily Sale entry '!Q832="Collection 收款",ROUND(N('Daily Sale entry '!T832),2),0))</f>
        <v/>
      </c>
    </row>
    <row r="833">
      <c r="A833" t="inlineStr">
        <is>
          <t>Entry 记录</t>
        </is>
      </c>
      <c r="B833" s="5">
        <f>IF('Daily Sale entry '!P833="","",'Daily Sale entry '!O833)</f>
        <v/>
      </c>
      <c r="C833">
        <f>IF('Daily Sale entry '!P833="","",'Daily Sale entry '!P833)</f>
        <v/>
      </c>
      <c r="D833">
        <f>IF(C833="","",IF('Daily Sale entry '!Q833="Credit Sale 赊销",'Daily Sale entry '!S833,0))</f>
        <v/>
      </c>
      <c r="E833">
        <f>IF(C833="","",IF('Daily Sale entry '!Q833="Collection 收款",'Daily Sale entry '!S833,0))</f>
        <v/>
      </c>
      <c r="F833" s="37">
        <f>IF(C833="","",B833+IF(E833&gt;0,0,0.5)+ROW()/10000000)</f>
        <v/>
      </c>
      <c r="G833">
        <f>IF(C833="","",'Daily Sale entry '!Q833&amp;IF('Daily Sale entry '!Q833="Collection 收款"," ("&amp;'Daily Sale entry '!R833&amp;")","")&amp;IF('Daily Sale entry '!U833="",""," - "&amp;'Daily Sale entry '!U833))</f>
        <v/>
      </c>
      <c r="H833">
        <f>IF(C833="","",COUNTIFS($C$2:$C$3001,C833,$F$2:$F$3001,"&lt;"&amp;F833)+1)</f>
        <v/>
      </c>
      <c r="I833">
        <f>IF(C833="","",C833&amp;"|"&amp;H833)</f>
        <v/>
      </c>
      <c r="J833" s="6">
        <f>IF(C833="","",IF(H833=1,SUMIFS('Opening Balance'!$F$4:$F$303,'Opening Balance'!$G$4:$G$303,C833),INDEX($L$2:$L$3001,MATCH(C833&amp;"|"&amp;(H833-1),$I$2:$I$3001,0))))</f>
        <v/>
      </c>
      <c r="K833" s="6">
        <f>IF(C833="","",IF(M833&gt;0,M833,IF(AND(E833&gt;0,ROUND(J833+D833-E833,2)&gt;0,ROUND(J833+D833-E833,2)&lt;'Opening Balance'!$B$14),ROUND(J833+D833-E833,2),0)))</f>
        <v/>
      </c>
      <c r="L833" s="6">
        <f>IF(C833="","",ROUND(J833+D833-E833-K833,2))</f>
        <v/>
      </c>
      <c r="M833" s="6">
        <f>IF(C833="","",IF('Daily Sale entry '!Q833="Collection 收款",ROUND(N('Daily Sale entry '!T833),2),0))</f>
        <v/>
      </c>
    </row>
    <row r="834">
      <c r="A834" t="inlineStr">
        <is>
          <t>Entry 记录</t>
        </is>
      </c>
      <c r="B834" s="5">
        <f>IF('Daily Sale entry '!P834="","",'Daily Sale entry '!O834)</f>
        <v/>
      </c>
      <c r="C834">
        <f>IF('Daily Sale entry '!P834="","",'Daily Sale entry '!P834)</f>
        <v/>
      </c>
      <c r="D834">
        <f>IF(C834="","",IF('Daily Sale entry '!Q834="Credit Sale 赊销",'Daily Sale entry '!S834,0))</f>
        <v/>
      </c>
      <c r="E834">
        <f>IF(C834="","",IF('Daily Sale entry '!Q834="Collection 收款",'Daily Sale entry '!S834,0))</f>
        <v/>
      </c>
      <c r="F834" s="37">
        <f>IF(C834="","",B834+IF(E834&gt;0,0,0.5)+ROW()/10000000)</f>
        <v/>
      </c>
      <c r="G834">
        <f>IF(C834="","",'Daily Sale entry '!Q834&amp;IF('Daily Sale entry '!Q834="Collection 收款"," ("&amp;'Daily Sale entry '!R834&amp;")","")&amp;IF('Daily Sale entry '!U834="",""," - "&amp;'Daily Sale entry '!U834))</f>
        <v/>
      </c>
      <c r="H834">
        <f>IF(C834="","",COUNTIFS($C$2:$C$3001,C834,$F$2:$F$3001,"&lt;"&amp;F834)+1)</f>
        <v/>
      </c>
      <c r="I834">
        <f>IF(C834="","",C834&amp;"|"&amp;H834)</f>
        <v/>
      </c>
      <c r="J834" s="6">
        <f>IF(C834="","",IF(H834=1,SUMIFS('Opening Balance'!$F$4:$F$303,'Opening Balance'!$G$4:$G$303,C834),INDEX($L$2:$L$3001,MATCH(C834&amp;"|"&amp;(H834-1),$I$2:$I$3001,0))))</f>
        <v/>
      </c>
      <c r="K834" s="6">
        <f>IF(C834="","",IF(M834&gt;0,M834,IF(AND(E834&gt;0,ROUND(J834+D834-E834,2)&gt;0,ROUND(J834+D834-E834,2)&lt;'Opening Balance'!$B$14),ROUND(J834+D834-E834,2),0)))</f>
        <v/>
      </c>
      <c r="L834" s="6">
        <f>IF(C834="","",ROUND(J834+D834-E834-K834,2))</f>
        <v/>
      </c>
      <c r="M834" s="6">
        <f>IF(C834="","",IF('Daily Sale entry '!Q834="Collection 收款",ROUND(N('Daily Sale entry '!T834),2),0))</f>
        <v/>
      </c>
    </row>
    <row r="835">
      <c r="A835" t="inlineStr">
        <is>
          <t>Entry 记录</t>
        </is>
      </c>
      <c r="B835" s="5">
        <f>IF('Daily Sale entry '!P835="","",'Daily Sale entry '!O835)</f>
        <v/>
      </c>
      <c r="C835">
        <f>IF('Daily Sale entry '!P835="","",'Daily Sale entry '!P835)</f>
        <v/>
      </c>
      <c r="D835">
        <f>IF(C835="","",IF('Daily Sale entry '!Q835="Credit Sale 赊销",'Daily Sale entry '!S835,0))</f>
        <v/>
      </c>
      <c r="E835">
        <f>IF(C835="","",IF('Daily Sale entry '!Q835="Collection 收款",'Daily Sale entry '!S835,0))</f>
        <v/>
      </c>
      <c r="F835" s="37">
        <f>IF(C835="","",B835+IF(E835&gt;0,0,0.5)+ROW()/10000000)</f>
        <v/>
      </c>
      <c r="G835">
        <f>IF(C835="","",'Daily Sale entry '!Q835&amp;IF('Daily Sale entry '!Q835="Collection 收款"," ("&amp;'Daily Sale entry '!R835&amp;")","")&amp;IF('Daily Sale entry '!U835="",""," - "&amp;'Daily Sale entry '!U835))</f>
        <v/>
      </c>
      <c r="H835">
        <f>IF(C835="","",COUNTIFS($C$2:$C$3001,C835,$F$2:$F$3001,"&lt;"&amp;F835)+1)</f>
        <v/>
      </c>
      <c r="I835">
        <f>IF(C835="","",C835&amp;"|"&amp;H835)</f>
        <v/>
      </c>
      <c r="J835" s="6">
        <f>IF(C835="","",IF(H835=1,SUMIFS('Opening Balance'!$F$4:$F$303,'Opening Balance'!$G$4:$G$303,C835),INDEX($L$2:$L$3001,MATCH(C835&amp;"|"&amp;(H835-1),$I$2:$I$3001,0))))</f>
        <v/>
      </c>
      <c r="K835" s="6">
        <f>IF(C835="","",IF(M835&gt;0,M835,IF(AND(E835&gt;0,ROUND(J835+D835-E835,2)&gt;0,ROUND(J835+D835-E835,2)&lt;'Opening Balance'!$B$14),ROUND(J835+D835-E835,2),0)))</f>
        <v/>
      </c>
      <c r="L835" s="6">
        <f>IF(C835="","",ROUND(J835+D835-E835-K835,2))</f>
        <v/>
      </c>
      <c r="M835" s="6">
        <f>IF(C835="","",IF('Daily Sale entry '!Q835="Collection 收款",ROUND(N('Daily Sale entry '!T835),2),0))</f>
        <v/>
      </c>
    </row>
    <row r="836">
      <c r="A836" t="inlineStr">
        <is>
          <t>Entry 记录</t>
        </is>
      </c>
      <c r="B836" s="5">
        <f>IF('Daily Sale entry '!P836="","",'Daily Sale entry '!O836)</f>
        <v/>
      </c>
      <c r="C836">
        <f>IF('Daily Sale entry '!P836="","",'Daily Sale entry '!P836)</f>
        <v/>
      </c>
      <c r="D836">
        <f>IF(C836="","",IF('Daily Sale entry '!Q836="Credit Sale 赊销",'Daily Sale entry '!S836,0))</f>
        <v/>
      </c>
      <c r="E836">
        <f>IF(C836="","",IF('Daily Sale entry '!Q836="Collection 收款",'Daily Sale entry '!S836,0))</f>
        <v/>
      </c>
      <c r="F836" s="37">
        <f>IF(C836="","",B836+IF(E836&gt;0,0,0.5)+ROW()/10000000)</f>
        <v/>
      </c>
      <c r="G836">
        <f>IF(C836="","",'Daily Sale entry '!Q836&amp;IF('Daily Sale entry '!Q836="Collection 收款"," ("&amp;'Daily Sale entry '!R836&amp;")","")&amp;IF('Daily Sale entry '!U836="",""," - "&amp;'Daily Sale entry '!U836))</f>
        <v/>
      </c>
      <c r="H836">
        <f>IF(C836="","",COUNTIFS($C$2:$C$3001,C836,$F$2:$F$3001,"&lt;"&amp;F836)+1)</f>
        <v/>
      </c>
      <c r="I836">
        <f>IF(C836="","",C836&amp;"|"&amp;H836)</f>
        <v/>
      </c>
      <c r="J836" s="6">
        <f>IF(C836="","",IF(H836=1,SUMIFS('Opening Balance'!$F$4:$F$303,'Opening Balance'!$G$4:$G$303,C836),INDEX($L$2:$L$3001,MATCH(C836&amp;"|"&amp;(H836-1),$I$2:$I$3001,0))))</f>
        <v/>
      </c>
      <c r="K836" s="6">
        <f>IF(C836="","",IF(M836&gt;0,M836,IF(AND(E836&gt;0,ROUND(J836+D836-E836,2)&gt;0,ROUND(J836+D836-E836,2)&lt;'Opening Balance'!$B$14),ROUND(J836+D836-E836,2),0)))</f>
        <v/>
      </c>
      <c r="L836" s="6">
        <f>IF(C836="","",ROUND(J836+D836-E836-K836,2))</f>
        <v/>
      </c>
      <c r="M836" s="6">
        <f>IF(C836="","",IF('Daily Sale entry '!Q836="Collection 收款",ROUND(N('Daily Sale entry '!T836),2),0))</f>
        <v/>
      </c>
    </row>
    <row r="837">
      <c r="A837" t="inlineStr">
        <is>
          <t>Entry 记录</t>
        </is>
      </c>
      <c r="B837" s="5">
        <f>IF('Daily Sale entry '!P837="","",'Daily Sale entry '!O837)</f>
        <v/>
      </c>
      <c r="C837">
        <f>IF('Daily Sale entry '!P837="","",'Daily Sale entry '!P837)</f>
        <v/>
      </c>
      <c r="D837">
        <f>IF(C837="","",IF('Daily Sale entry '!Q837="Credit Sale 赊销",'Daily Sale entry '!S837,0))</f>
        <v/>
      </c>
      <c r="E837">
        <f>IF(C837="","",IF('Daily Sale entry '!Q837="Collection 收款",'Daily Sale entry '!S837,0))</f>
        <v/>
      </c>
      <c r="F837" s="37">
        <f>IF(C837="","",B837+IF(E837&gt;0,0,0.5)+ROW()/10000000)</f>
        <v/>
      </c>
      <c r="G837">
        <f>IF(C837="","",'Daily Sale entry '!Q837&amp;IF('Daily Sale entry '!Q837="Collection 收款"," ("&amp;'Daily Sale entry '!R837&amp;")","")&amp;IF('Daily Sale entry '!U837="",""," - "&amp;'Daily Sale entry '!U837))</f>
        <v/>
      </c>
      <c r="H837">
        <f>IF(C837="","",COUNTIFS($C$2:$C$3001,C837,$F$2:$F$3001,"&lt;"&amp;F837)+1)</f>
        <v/>
      </c>
      <c r="I837">
        <f>IF(C837="","",C837&amp;"|"&amp;H837)</f>
        <v/>
      </c>
      <c r="J837" s="6">
        <f>IF(C837="","",IF(H837=1,SUMIFS('Opening Balance'!$F$4:$F$303,'Opening Balance'!$G$4:$G$303,C837),INDEX($L$2:$L$3001,MATCH(C837&amp;"|"&amp;(H837-1),$I$2:$I$3001,0))))</f>
        <v/>
      </c>
      <c r="K837" s="6">
        <f>IF(C837="","",IF(M837&gt;0,M837,IF(AND(E837&gt;0,ROUND(J837+D837-E837,2)&gt;0,ROUND(J837+D837-E837,2)&lt;'Opening Balance'!$B$14),ROUND(J837+D837-E837,2),0)))</f>
        <v/>
      </c>
      <c r="L837" s="6">
        <f>IF(C837="","",ROUND(J837+D837-E837-K837,2))</f>
        <v/>
      </c>
      <c r="M837" s="6">
        <f>IF(C837="","",IF('Daily Sale entry '!Q837="Collection 收款",ROUND(N('Daily Sale entry '!T837),2),0))</f>
        <v/>
      </c>
    </row>
    <row r="838">
      <c r="A838" t="inlineStr">
        <is>
          <t>Entry 记录</t>
        </is>
      </c>
      <c r="B838" s="5">
        <f>IF('Daily Sale entry '!P838="","",'Daily Sale entry '!O838)</f>
        <v/>
      </c>
      <c r="C838">
        <f>IF('Daily Sale entry '!P838="","",'Daily Sale entry '!P838)</f>
        <v/>
      </c>
      <c r="D838">
        <f>IF(C838="","",IF('Daily Sale entry '!Q838="Credit Sale 赊销",'Daily Sale entry '!S838,0))</f>
        <v/>
      </c>
      <c r="E838">
        <f>IF(C838="","",IF('Daily Sale entry '!Q838="Collection 收款",'Daily Sale entry '!S838,0))</f>
        <v/>
      </c>
      <c r="F838" s="37">
        <f>IF(C838="","",B838+IF(E838&gt;0,0,0.5)+ROW()/10000000)</f>
        <v/>
      </c>
      <c r="G838">
        <f>IF(C838="","",'Daily Sale entry '!Q838&amp;IF('Daily Sale entry '!Q838="Collection 收款"," ("&amp;'Daily Sale entry '!R838&amp;")","")&amp;IF('Daily Sale entry '!U838="",""," - "&amp;'Daily Sale entry '!U838))</f>
        <v/>
      </c>
      <c r="H838">
        <f>IF(C838="","",COUNTIFS($C$2:$C$3001,C838,$F$2:$F$3001,"&lt;"&amp;F838)+1)</f>
        <v/>
      </c>
      <c r="I838">
        <f>IF(C838="","",C838&amp;"|"&amp;H838)</f>
        <v/>
      </c>
      <c r="J838" s="6">
        <f>IF(C838="","",IF(H838=1,SUMIFS('Opening Balance'!$F$4:$F$303,'Opening Balance'!$G$4:$G$303,C838),INDEX($L$2:$L$3001,MATCH(C838&amp;"|"&amp;(H838-1),$I$2:$I$3001,0))))</f>
        <v/>
      </c>
      <c r="K838" s="6">
        <f>IF(C838="","",IF(M838&gt;0,M838,IF(AND(E838&gt;0,ROUND(J838+D838-E838,2)&gt;0,ROUND(J838+D838-E838,2)&lt;'Opening Balance'!$B$14),ROUND(J838+D838-E838,2),0)))</f>
        <v/>
      </c>
      <c r="L838" s="6">
        <f>IF(C838="","",ROUND(J838+D838-E838-K838,2))</f>
        <v/>
      </c>
      <c r="M838" s="6">
        <f>IF(C838="","",IF('Daily Sale entry '!Q838="Collection 收款",ROUND(N('Daily Sale entry '!T838),2),0))</f>
        <v/>
      </c>
    </row>
    <row r="839">
      <c r="A839" t="inlineStr">
        <is>
          <t>Entry 记录</t>
        </is>
      </c>
      <c r="B839" s="5">
        <f>IF('Daily Sale entry '!P839="","",'Daily Sale entry '!O839)</f>
        <v/>
      </c>
      <c r="C839">
        <f>IF('Daily Sale entry '!P839="","",'Daily Sale entry '!P839)</f>
        <v/>
      </c>
      <c r="D839">
        <f>IF(C839="","",IF('Daily Sale entry '!Q839="Credit Sale 赊销",'Daily Sale entry '!S839,0))</f>
        <v/>
      </c>
      <c r="E839">
        <f>IF(C839="","",IF('Daily Sale entry '!Q839="Collection 收款",'Daily Sale entry '!S839,0))</f>
        <v/>
      </c>
      <c r="F839" s="37">
        <f>IF(C839="","",B839+IF(E839&gt;0,0,0.5)+ROW()/10000000)</f>
        <v/>
      </c>
      <c r="G839">
        <f>IF(C839="","",'Daily Sale entry '!Q839&amp;IF('Daily Sale entry '!Q839="Collection 收款"," ("&amp;'Daily Sale entry '!R839&amp;")","")&amp;IF('Daily Sale entry '!U839="",""," - "&amp;'Daily Sale entry '!U839))</f>
        <v/>
      </c>
      <c r="H839">
        <f>IF(C839="","",COUNTIFS($C$2:$C$3001,C839,$F$2:$F$3001,"&lt;"&amp;F839)+1)</f>
        <v/>
      </c>
      <c r="I839">
        <f>IF(C839="","",C839&amp;"|"&amp;H839)</f>
        <v/>
      </c>
      <c r="J839" s="6">
        <f>IF(C839="","",IF(H839=1,SUMIFS('Opening Balance'!$F$4:$F$303,'Opening Balance'!$G$4:$G$303,C839),INDEX($L$2:$L$3001,MATCH(C839&amp;"|"&amp;(H839-1),$I$2:$I$3001,0))))</f>
        <v/>
      </c>
      <c r="K839" s="6">
        <f>IF(C839="","",IF(M839&gt;0,M839,IF(AND(E839&gt;0,ROUND(J839+D839-E839,2)&gt;0,ROUND(J839+D839-E839,2)&lt;'Opening Balance'!$B$14),ROUND(J839+D839-E839,2),0)))</f>
        <v/>
      </c>
      <c r="L839" s="6">
        <f>IF(C839="","",ROUND(J839+D839-E839-K839,2))</f>
        <v/>
      </c>
      <c r="M839" s="6">
        <f>IF(C839="","",IF('Daily Sale entry '!Q839="Collection 收款",ROUND(N('Daily Sale entry '!T839),2),0))</f>
        <v/>
      </c>
    </row>
    <row r="840">
      <c r="A840" t="inlineStr">
        <is>
          <t>Entry 记录</t>
        </is>
      </c>
      <c r="B840" s="5">
        <f>IF('Daily Sale entry '!P840="","",'Daily Sale entry '!O840)</f>
        <v/>
      </c>
      <c r="C840">
        <f>IF('Daily Sale entry '!P840="","",'Daily Sale entry '!P840)</f>
        <v/>
      </c>
      <c r="D840">
        <f>IF(C840="","",IF('Daily Sale entry '!Q840="Credit Sale 赊销",'Daily Sale entry '!S840,0))</f>
        <v/>
      </c>
      <c r="E840">
        <f>IF(C840="","",IF('Daily Sale entry '!Q840="Collection 收款",'Daily Sale entry '!S840,0))</f>
        <v/>
      </c>
      <c r="F840" s="37">
        <f>IF(C840="","",B840+IF(E840&gt;0,0,0.5)+ROW()/10000000)</f>
        <v/>
      </c>
      <c r="G840">
        <f>IF(C840="","",'Daily Sale entry '!Q840&amp;IF('Daily Sale entry '!Q840="Collection 收款"," ("&amp;'Daily Sale entry '!R840&amp;")","")&amp;IF('Daily Sale entry '!U840="",""," - "&amp;'Daily Sale entry '!U840))</f>
        <v/>
      </c>
      <c r="H840">
        <f>IF(C840="","",COUNTIFS($C$2:$C$3001,C840,$F$2:$F$3001,"&lt;"&amp;F840)+1)</f>
        <v/>
      </c>
      <c r="I840">
        <f>IF(C840="","",C840&amp;"|"&amp;H840)</f>
        <v/>
      </c>
      <c r="J840" s="6">
        <f>IF(C840="","",IF(H840=1,SUMIFS('Opening Balance'!$F$4:$F$303,'Opening Balance'!$G$4:$G$303,C840),INDEX($L$2:$L$3001,MATCH(C840&amp;"|"&amp;(H840-1),$I$2:$I$3001,0))))</f>
        <v/>
      </c>
      <c r="K840" s="6">
        <f>IF(C840="","",IF(M840&gt;0,M840,IF(AND(E840&gt;0,ROUND(J840+D840-E840,2)&gt;0,ROUND(J840+D840-E840,2)&lt;'Opening Balance'!$B$14),ROUND(J840+D840-E840,2),0)))</f>
        <v/>
      </c>
      <c r="L840" s="6">
        <f>IF(C840="","",ROUND(J840+D840-E840-K840,2))</f>
        <v/>
      </c>
      <c r="M840" s="6">
        <f>IF(C840="","",IF('Daily Sale entry '!Q840="Collection 收款",ROUND(N('Daily Sale entry '!T840),2),0))</f>
        <v/>
      </c>
    </row>
    <row r="841">
      <c r="A841" t="inlineStr">
        <is>
          <t>Entry 记录</t>
        </is>
      </c>
      <c r="B841" s="5">
        <f>IF('Daily Sale entry '!P841="","",'Daily Sale entry '!O841)</f>
        <v/>
      </c>
      <c r="C841">
        <f>IF('Daily Sale entry '!P841="","",'Daily Sale entry '!P841)</f>
        <v/>
      </c>
      <c r="D841">
        <f>IF(C841="","",IF('Daily Sale entry '!Q841="Credit Sale 赊销",'Daily Sale entry '!S841,0))</f>
        <v/>
      </c>
      <c r="E841">
        <f>IF(C841="","",IF('Daily Sale entry '!Q841="Collection 收款",'Daily Sale entry '!S841,0))</f>
        <v/>
      </c>
      <c r="F841" s="37">
        <f>IF(C841="","",B841+IF(E841&gt;0,0,0.5)+ROW()/10000000)</f>
        <v/>
      </c>
      <c r="G841">
        <f>IF(C841="","",'Daily Sale entry '!Q841&amp;IF('Daily Sale entry '!Q841="Collection 收款"," ("&amp;'Daily Sale entry '!R841&amp;")","")&amp;IF('Daily Sale entry '!U841="",""," - "&amp;'Daily Sale entry '!U841))</f>
        <v/>
      </c>
      <c r="H841">
        <f>IF(C841="","",COUNTIFS($C$2:$C$3001,C841,$F$2:$F$3001,"&lt;"&amp;F841)+1)</f>
        <v/>
      </c>
      <c r="I841">
        <f>IF(C841="","",C841&amp;"|"&amp;H841)</f>
        <v/>
      </c>
      <c r="J841" s="6">
        <f>IF(C841="","",IF(H841=1,SUMIFS('Opening Balance'!$F$4:$F$303,'Opening Balance'!$G$4:$G$303,C841),INDEX($L$2:$L$3001,MATCH(C841&amp;"|"&amp;(H841-1),$I$2:$I$3001,0))))</f>
        <v/>
      </c>
      <c r="K841" s="6">
        <f>IF(C841="","",IF(M841&gt;0,M841,IF(AND(E841&gt;0,ROUND(J841+D841-E841,2)&gt;0,ROUND(J841+D841-E841,2)&lt;'Opening Balance'!$B$14),ROUND(J841+D841-E841,2),0)))</f>
        <v/>
      </c>
      <c r="L841" s="6">
        <f>IF(C841="","",ROUND(J841+D841-E841-K841,2))</f>
        <v/>
      </c>
      <c r="M841" s="6">
        <f>IF(C841="","",IF('Daily Sale entry '!Q841="Collection 收款",ROUND(N('Daily Sale entry '!T841),2),0))</f>
        <v/>
      </c>
    </row>
    <row r="842">
      <c r="A842" t="inlineStr">
        <is>
          <t>Entry 记录</t>
        </is>
      </c>
      <c r="B842" s="5">
        <f>IF('Daily Sale entry '!P842="","",'Daily Sale entry '!O842)</f>
        <v/>
      </c>
      <c r="C842">
        <f>IF('Daily Sale entry '!P842="","",'Daily Sale entry '!P842)</f>
        <v/>
      </c>
      <c r="D842">
        <f>IF(C842="","",IF('Daily Sale entry '!Q842="Credit Sale 赊销",'Daily Sale entry '!S842,0))</f>
        <v/>
      </c>
      <c r="E842">
        <f>IF(C842="","",IF('Daily Sale entry '!Q842="Collection 收款",'Daily Sale entry '!S842,0))</f>
        <v/>
      </c>
      <c r="F842" s="37">
        <f>IF(C842="","",B842+IF(E842&gt;0,0,0.5)+ROW()/10000000)</f>
        <v/>
      </c>
      <c r="G842">
        <f>IF(C842="","",'Daily Sale entry '!Q842&amp;IF('Daily Sale entry '!Q842="Collection 收款"," ("&amp;'Daily Sale entry '!R842&amp;")","")&amp;IF('Daily Sale entry '!U842="",""," - "&amp;'Daily Sale entry '!U842))</f>
        <v/>
      </c>
      <c r="H842">
        <f>IF(C842="","",COUNTIFS($C$2:$C$3001,C842,$F$2:$F$3001,"&lt;"&amp;F842)+1)</f>
        <v/>
      </c>
      <c r="I842">
        <f>IF(C842="","",C842&amp;"|"&amp;H842)</f>
        <v/>
      </c>
      <c r="J842" s="6">
        <f>IF(C842="","",IF(H842=1,SUMIFS('Opening Balance'!$F$4:$F$303,'Opening Balance'!$G$4:$G$303,C842),INDEX($L$2:$L$3001,MATCH(C842&amp;"|"&amp;(H842-1),$I$2:$I$3001,0))))</f>
        <v/>
      </c>
      <c r="K842" s="6">
        <f>IF(C842="","",IF(M842&gt;0,M842,IF(AND(E842&gt;0,ROUND(J842+D842-E842,2)&gt;0,ROUND(J842+D842-E842,2)&lt;'Opening Balance'!$B$14),ROUND(J842+D842-E842,2),0)))</f>
        <v/>
      </c>
      <c r="L842" s="6">
        <f>IF(C842="","",ROUND(J842+D842-E842-K842,2))</f>
        <v/>
      </c>
      <c r="M842" s="6">
        <f>IF(C842="","",IF('Daily Sale entry '!Q842="Collection 收款",ROUND(N('Daily Sale entry '!T842),2),0))</f>
        <v/>
      </c>
    </row>
    <row r="843">
      <c r="A843" t="inlineStr">
        <is>
          <t>Entry 记录</t>
        </is>
      </c>
      <c r="B843" s="5">
        <f>IF('Daily Sale entry '!P843="","",'Daily Sale entry '!O843)</f>
        <v/>
      </c>
      <c r="C843">
        <f>IF('Daily Sale entry '!P843="","",'Daily Sale entry '!P843)</f>
        <v/>
      </c>
      <c r="D843">
        <f>IF(C843="","",IF('Daily Sale entry '!Q843="Credit Sale 赊销",'Daily Sale entry '!S843,0))</f>
        <v/>
      </c>
      <c r="E843">
        <f>IF(C843="","",IF('Daily Sale entry '!Q843="Collection 收款",'Daily Sale entry '!S843,0))</f>
        <v/>
      </c>
      <c r="F843" s="37">
        <f>IF(C843="","",B843+IF(E843&gt;0,0,0.5)+ROW()/10000000)</f>
        <v/>
      </c>
      <c r="G843">
        <f>IF(C843="","",'Daily Sale entry '!Q843&amp;IF('Daily Sale entry '!Q843="Collection 收款"," ("&amp;'Daily Sale entry '!R843&amp;")","")&amp;IF('Daily Sale entry '!U843="",""," - "&amp;'Daily Sale entry '!U843))</f>
        <v/>
      </c>
      <c r="H843">
        <f>IF(C843="","",COUNTIFS($C$2:$C$3001,C843,$F$2:$F$3001,"&lt;"&amp;F843)+1)</f>
        <v/>
      </c>
      <c r="I843">
        <f>IF(C843="","",C843&amp;"|"&amp;H843)</f>
        <v/>
      </c>
      <c r="J843" s="6">
        <f>IF(C843="","",IF(H843=1,SUMIFS('Opening Balance'!$F$4:$F$303,'Opening Balance'!$G$4:$G$303,C843),INDEX($L$2:$L$3001,MATCH(C843&amp;"|"&amp;(H843-1),$I$2:$I$3001,0))))</f>
        <v/>
      </c>
      <c r="K843" s="6">
        <f>IF(C843="","",IF(M843&gt;0,M843,IF(AND(E843&gt;0,ROUND(J843+D843-E843,2)&gt;0,ROUND(J843+D843-E843,2)&lt;'Opening Balance'!$B$14),ROUND(J843+D843-E843,2),0)))</f>
        <v/>
      </c>
      <c r="L843" s="6">
        <f>IF(C843="","",ROUND(J843+D843-E843-K843,2))</f>
        <v/>
      </c>
      <c r="M843" s="6">
        <f>IF(C843="","",IF('Daily Sale entry '!Q843="Collection 收款",ROUND(N('Daily Sale entry '!T843),2),0))</f>
        <v/>
      </c>
    </row>
    <row r="844">
      <c r="A844" t="inlineStr">
        <is>
          <t>Entry 记录</t>
        </is>
      </c>
      <c r="B844" s="5">
        <f>IF('Daily Sale entry '!P844="","",'Daily Sale entry '!O844)</f>
        <v/>
      </c>
      <c r="C844">
        <f>IF('Daily Sale entry '!P844="","",'Daily Sale entry '!P844)</f>
        <v/>
      </c>
      <c r="D844">
        <f>IF(C844="","",IF('Daily Sale entry '!Q844="Credit Sale 赊销",'Daily Sale entry '!S844,0))</f>
        <v/>
      </c>
      <c r="E844">
        <f>IF(C844="","",IF('Daily Sale entry '!Q844="Collection 收款",'Daily Sale entry '!S844,0))</f>
        <v/>
      </c>
      <c r="F844" s="37">
        <f>IF(C844="","",B844+IF(E844&gt;0,0,0.5)+ROW()/10000000)</f>
        <v/>
      </c>
      <c r="G844">
        <f>IF(C844="","",'Daily Sale entry '!Q844&amp;IF('Daily Sale entry '!Q844="Collection 收款"," ("&amp;'Daily Sale entry '!R844&amp;")","")&amp;IF('Daily Sale entry '!U844="",""," - "&amp;'Daily Sale entry '!U844))</f>
        <v/>
      </c>
      <c r="H844">
        <f>IF(C844="","",COUNTIFS($C$2:$C$3001,C844,$F$2:$F$3001,"&lt;"&amp;F844)+1)</f>
        <v/>
      </c>
      <c r="I844">
        <f>IF(C844="","",C844&amp;"|"&amp;H844)</f>
        <v/>
      </c>
      <c r="J844" s="6">
        <f>IF(C844="","",IF(H844=1,SUMIFS('Opening Balance'!$F$4:$F$303,'Opening Balance'!$G$4:$G$303,C844),INDEX($L$2:$L$3001,MATCH(C844&amp;"|"&amp;(H844-1),$I$2:$I$3001,0))))</f>
        <v/>
      </c>
      <c r="K844" s="6">
        <f>IF(C844="","",IF(M844&gt;0,M844,IF(AND(E844&gt;0,ROUND(J844+D844-E844,2)&gt;0,ROUND(J844+D844-E844,2)&lt;'Opening Balance'!$B$14),ROUND(J844+D844-E844,2),0)))</f>
        <v/>
      </c>
      <c r="L844" s="6">
        <f>IF(C844="","",ROUND(J844+D844-E844-K844,2))</f>
        <v/>
      </c>
      <c r="M844" s="6">
        <f>IF(C844="","",IF('Daily Sale entry '!Q844="Collection 收款",ROUND(N('Daily Sale entry '!T844),2),0))</f>
        <v/>
      </c>
    </row>
    <row r="845">
      <c r="A845" t="inlineStr">
        <is>
          <t>Entry 记录</t>
        </is>
      </c>
      <c r="B845" s="5">
        <f>IF('Daily Sale entry '!P845="","",'Daily Sale entry '!O845)</f>
        <v/>
      </c>
      <c r="C845">
        <f>IF('Daily Sale entry '!P845="","",'Daily Sale entry '!P845)</f>
        <v/>
      </c>
      <c r="D845">
        <f>IF(C845="","",IF('Daily Sale entry '!Q845="Credit Sale 赊销",'Daily Sale entry '!S845,0))</f>
        <v/>
      </c>
      <c r="E845">
        <f>IF(C845="","",IF('Daily Sale entry '!Q845="Collection 收款",'Daily Sale entry '!S845,0))</f>
        <v/>
      </c>
      <c r="F845" s="37">
        <f>IF(C845="","",B845+IF(E845&gt;0,0,0.5)+ROW()/10000000)</f>
        <v/>
      </c>
      <c r="G845">
        <f>IF(C845="","",'Daily Sale entry '!Q845&amp;IF('Daily Sale entry '!Q845="Collection 收款"," ("&amp;'Daily Sale entry '!R845&amp;")","")&amp;IF('Daily Sale entry '!U845="",""," - "&amp;'Daily Sale entry '!U845))</f>
        <v/>
      </c>
      <c r="H845">
        <f>IF(C845="","",COUNTIFS($C$2:$C$3001,C845,$F$2:$F$3001,"&lt;"&amp;F845)+1)</f>
        <v/>
      </c>
      <c r="I845">
        <f>IF(C845="","",C845&amp;"|"&amp;H845)</f>
        <v/>
      </c>
      <c r="J845" s="6">
        <f>IF(C845="","",IF(H845=1,SUMIFS('Opening Balance'!$F$4:$F$303,'Opening Balance'!$G$4:$G$303,C845),INDEX($L$2:$L$3001,MATCH(C845&amp;"|"&amp;(H845-1),$I$2:$I$3001,0))))</f>
        <v/>
      </c>
      <c r="K845" s="6">
        <f>IF(C845="","",IF(M845&gt;0,M845,IF(AND(E845&gt;0,ROUND(J845+D845-E845,2)&gt;0,ROUND(J845+D845-E845,2)&lt;'Opening Balance'!$B$14),ROUND(J845+D845-E845,2),0)))</f>
        <v/>
      </c>
      <c r="L845" s="6">
        <f>IF(C845="","",ROUND(J845+D845-E845-K845,2))</f>
        <v/>
      </c>
      <c r="M845" s="6">
        <f>IF(C845="","",IF('Daily Sale entry '!Q845="Collection 收款",ROUND(N('Daily Sale entry '!T845),2),0))</f>
        <v/>
      </c>
    </row>
    <row r="846">
      <c r="A846" t="inlineStr">
        <is>
          <t>Entry 记录</t>
        </is>
      </c>
      <c r="B846" s="5">
        <f>IF('Daily Sale entry '!P846="","",'Daily Sale entry '!O846)</f>
        <v/>
      </c>
      <c r="C846">
        <f>IF('Daily Sale entry '!P846="","",'Daily Sale entry '!P846)</f>
        <v/>
      </c>
      <c r="D846">
        <f>IF(C846="","",IF('Daily Sale entry '!Q846="Credit Sale 赊销",'Daily Sale entry '!S846,0))</f>
        <v/>
      </c>
      <c r="E846">
        <f>IF(C846="","",IF('Daily Sale entry '!Q846="Collection 收款",'Daily Sale entry '!S846,0))</f>
        <v/>
      </c>
      <c r="F846" s="37">
        <f>IF(C846="","",B846+IF(E846&gt;0,0,0.5)+ROW()/10000000)</f>
        <v/>
      </c>
      <c r="G846">
        <f>IF(C846="","",'Daily Sale entry '!Q846&amp;IF('Daily Sale entry '!Q846="Collection 收款"," ("&amp;'Daily Sale entry '!R846&amp;")","")&amp;IF('Daily Sale entry '!U846="",""," - "&amp;'Daily Sale entry '!U846))</f>
        <v/>
      </c>
      <c r="H846">
        <f>IF(C846="","",COUNTIFS($C$2:$C$3001,C846,$F$2:$F$3001,"&lt;"&amp;F846)+1)</f>
        <v/>
      </c>
      <c r="I846">
        <f>IF(C846="","",C846&amp;"|"&amp;H846)</f>
        <v/>
      </c>
      <c r="J846" s="6">
        <f>IF(C846="","",IF(H846=1,SUMIFS('Opening Balance'!$F$4:$F$303,'Opening Balance'!$G$4:$G$303,C846),INDEX($L$2:$L$3001,MATCH(C846&amp;"|"&amp;(H846-1),$I$2:$I$3001,0))))</f>
        <v/>
      </c>
      <c r="K846" s="6">
        <f>IF(C846="","",IF(M846&gt;0,M846,IF(AND(E846&gt;0,ROUND(J846+D846-E846,2)&gt;0,ROUND(J846+D846-E846,2)&lt;'Opening Balance'!$B$14),ROUND(J846+D846-E846,2),0)))</f>
        <v/>
      </c>
      <c r="L846" s="6">
        <f>IF(C846="","",ROUND(J846+D846-E846-K846,2))</f>
        <v/>
      </c>
      <c r="M846" s="6">
        <f>IF(C846="","",IF('Daily Sale entry '!Q846="Collection 收款",ROUND(N('Daily Sale entry '!T846),2),0))</f>
        <v/>
      </c>
    </row>
    <row r="847">
      <c r="A847" t="inlineStr">
        <is>
          <t>Entry 记录</t>
        </is>
      </c>
      <c r="B847" s="5">
        <f>IF('Daily Sale entry '!P847="","",'Daily Sale entry '!O847)</f>
        <v/>
      </c>
      <c r="C847">
        <f>IF('Daily Sale entry '!P847="","",'Daily Sale entry '!P847)</f>
        <v/>
      </c>
      <c r="D847">
        <f>IF(C847="","",IF('Daily Sale entry '!Q847="Credit Sale 赊销",'Daily Sale entry '!S847,0))</f>
        <v/>
      </c>
      <c r="E847">
        <f>IF(C847="","",IF('Daily Sale entry '!Q847="Collection 收款",'Daily Sale entry '!S847,0))</f>
        <v/>
      </c>
      <c r="F847" s="37">
        <f>IF(C847="","",B847+IF(E847&gt;0,0,0.5)+ROW()/10000000)</f>
        <v/>
      </c>
      <c r="G847">
        <f>IF(C847="","",'Daily Sale entry '!Q847&amp;IF('Daily Sale entry '!Q847="Collection 收款"," ("&amp;'Daily Sale entry '!R847&amp;")","")&amp;IF('Daily Sale entry '!U847="",""," - "&amp;'Daily Sale entry '!U847))</f>
        <v/>
      </c>
      <c r="H847">
        <f>IF(C847="","",COUNTIFS($C$2:$C$3001,C847,$F$2:$F$3001,"&lt;"&amp;F847)+1)</f>
        <v/>
      </c>
      <c r="I847">
        <f>IF(C847="","",C847&amp;"|"&amp;H847)</f>
        <v/>
      </c>
      <c r="J847" s="6">
        <f>IF(C847="","",IF(H847=1,SUMIFS('Opening Balance'!$F$4:$F$303,'Opening Balance'!$G$4:$G$303,C847),INDEX($L$2:$L$3001,MATCH(C847&amp;"|"&amp;(H847-1),$I$2:$I$3001,0))))</f>
        <v/>
      </c>
      <c r="K847" s="6">
        <f>IF(C847="","",IF(M847&gt;0,M847,IF(AND(E847&gt;0,ROUND(J847+D847-E847,2)&gt;0,ROUND(J847+D847-E847,2)&lt;'Opening Balance'!$B$14),ROUND(J847+D847-E847,2),0)))</f>
        <v/>
      </c>
      <c r="L847" s="6">
        <f>IF(C847="","",ROUND(J847+D847-E847-K847,2))</f>
        <v/>
      </c>
      <c r="M847" s="6">
        <f>IF(C847="","",IF('Daily Sale entry '!Q847="Collection 收款",ROUND(N('Daily Sale entry '!T847),2),0))</f>
        <v/>
      </c>
    </row>
    <row r="848">
      <c r="A848" t="inlineStr">
        <is>
          <t>Entry 记录</t>
        </is>
      </c>
      <c r="B848" s="5">
        <f>IF('Daily Sale entry '!P848="","",'Daily Sale entry '!O848)</f>
        <v/>
      </c>
      <c r="C848">
        <f>IF('Daily Sale entry '!P848="","",'Daily Sale entry '!P848)</f>
        <v/>
      </c>
      <c r="D848">
        <f>IF(C848="","",IF('Daily Sale entry '!Q848="Credit Sale 赊销",'Daily Sale entry '!S848,0))</f>
        <v/>
      </c>
      <c r="E848">
        <f>IF(C848="","",IF('Daily Sale entry '!Q848="Collection 收款",'Daily Sale entry '!S848,0))</f>
        <v/>
      </c>
      <c r="F848" s="37">
        <f>IF(C848="","",B848+IF(E848&gt;0,0,0.5)+ROW()/10000000)</f>
        <v/>
      </c>
      <c r="G848">
        <f>IF(C848="","",'Daily Sale entry '!Q848&amp;IF('Daily Sale entry '!Q848="Collection 收款"," ("&amp;'Daily Sale entry '!R848&amp;")","")&amp;IF('Daily Sale entry '!U848="",""," - "&amp;'Daily Sale entry '!U848))</f>
        <v/>
      </c>
      <c r="H848">
        <f>IF(C848="","",COUNTIFS($C$2:$C$3001,C848,$F$2:$F$3001,"&lt;"&amp;F848)+1)</f>
        <v/>
      </c>
      <c r="I848">
        <f>IF(C848="","",C848&amp;"|"&amp;H848)</f>
        <v/>
      </c>
      <c r="J848" s="6">
        <f>IF(C848="","",IF(H848=1,SUMIFS('Opening Balance'!$F$4:$F$303,'Opening Balance'!$G$4:$G$303,C848),INDEX($L$2:$L$3001,MATCH(C848&amp;"|"&amp;(H848-1),$I$2:$I$3001,0))))</f>
        <v/>
      </c>
      <c r="K848" s="6">
        <f>IF(C848="","",IF(M848&gt;0,M848,IF(AND(E848&gt;0,ROUND(J848+D848-E848,2)&gt;0,ROUND(J848+D848-E848,2)&lt;'Opening Balance'!$B$14),ROUND(J848+D848-E848,2),0)))</f>
        <v/>
      </c>
      <c r="L848" s="6">
        <f>IF(C848="","",ROUND(J848+D848-E848-K848,2))</f>
        <v/>
      </c>
      <c r="M848" s="6">
        <f>IF(C848="","",IF('Daily Sale entry '!Q848="Collection 收款",ROUND(N('Daily Sale entry '!T848),2),0))</f>
        <v/>
      </c>
    </row>
    <row r="849">
      <c r="A849" t="inlineStr">
        <is>
          <t>Entry 记录</t>
        </is>
      </c>
      <c r="B849" s="5">
        <f>IF('Daily Sale entry '!P849="","",'Daily Sale entry '!O849)</f>
        <v/>
      </c>
      <c r="C849">
        <f>IF('Daily Sale entry '!P849="","",'Daily Sale entry '!P849)</f>
        <v/>
      </c>
      <c r="D849">
        <f>IF(C849="","",IF('Daily Sale entry '!Q849="Credit Sale 赊销",'Daily Sale entry '!S849,0))</f>
        <v/>
      </c>
      <c r="E849">
        <f>IF(C849="","",IF('Daily Sale entry '!Q849="Collection 收款",'Daily Sale entry '!S849,0))</f>
        <v/>
      </c>
      <c r="F849" s="37">
        <f>IF(C849="","",B849+IF(E849&gt;0,0,0.5)+ROW()/10000000)</f>
        <v/>
      </c>
      <c r="G849">
        <f>IF(C849="","",'Daily Sale entry '!Q849&amp;IF('Daily Sale entry '!Q849="Collection 收款"," ("&amp;'Daily Sale entry '!R849&amp;")","")&amp;IF('Daily Sale entry '!U849="",""," - "&amp;'Daily Sale entry '!U849))</f>
        <v/>
      </c>
      <c r="H849">
        <f>IF(C849="","",COUNTIFS($C$2:$C$3001,C849,$F$2:$F$3001,"&lt;"&amp;F849)+1)</f>
        <v/>
      </c>
      <c r="I849">
        <f>IF(C849="","",C849&amp;"|"&amp;H849)</f>
        <v/>
      </c>
      <c r="J849" s="6">
        <f>IF(C849="","",IF(H849=1,SUMIFS('Opening Balance'!$F$4:$F$303,'Opening Balance'!$G$4:$G$303,C849),INDEX($L$2:$L$3001,MATCH(C849&amp;"|"&amp;(H849-1),$I$2:$I$3001,0))))</f>
        <v/>
      </c>
      <c r="K849" s="6">
        <f>IF(C849="","",IF(M849&gt;0,M849,IF(AND(E849&gt;0,ROUND(J849+D849-E849,2)&gt;0,ROUND(J849+D849-E849,2)&lt;'Opening Balance'!$B$14),ROUND(J849+D849-E849,2),0)))</f>
        <v/>
      </c>
      <c r="L849" s="6">
        <f>IF(C849="","",ROUND(J849+D849-E849-K849,2))</f>
        <v/>
      </c>
      <c r="M849" s="6">
        <f>IF(C849="","",IF('Daily Sale entry '!Q849="Collection 收款",ROUND(N('Daily Sale entry '!T849),2),0))</f>
        <v/>
      </c>
    </row>
    <row r="850">
      <c r="A850" t="inlineStr">
        <is>
          <t>Entry 记录</t>
        </is>
      </c>
      <c r="B850" s="5">
        <f>IF('Daily Sale entry '!P850="","",'Daily Sale entry '!O850)</f>
        <v/>
      </c>
      <c r="C850">
        <f>IF('Daily Sale entry '!P850="","",'Daily Sale entry '!P850)</f>
        <v/>
      </c>
      <c r="D850">
        <f>IF(C850="","",IF('Daily Sale entry '!Q850="Credit Sale 赊销",'Daily Sale entry '!S850,0))</f>
        <v/>
      </c>
      <c r="E850">
        <f>IF(C850="","",IF('Daily Sale entry '!Q850="Collection 收款",'Daily Sale entry '!S850,0))</f>
        <v/>
      </c>
      <c r="F850" s="37">
        <f>IF(C850="","",B850+IF(E850&gt;0,0,0.5)+ROW()/10000000)</f>
        <v/>
      </c>
      <c r="G850">
        <f>IF(C850="","",'Daily Sale entry '!Q850&amp;IF('Daily Sale entry '!Q850="Collection 收款"," ("&amp;'Daily Sale entry '!R850&amp;")","")&amp;IF('Daily Sale entry '!U850="",""," - "&amp;'Daily Sale entry '!U850))</f>
        <v/>
      </c>
      <c r="H850">
        <f>IF(C850="","",COUNTIFS($C$2:$C$3001,C850,$F$2:$F$3001,"&lt;"&amp;F850)+1)</f>
        <v/>
      </c>
      <c r="I850">
        <f>IF(C850="","",C850&amp;"|"&amp;H850)</f>
        <v/>
      </c>
      <c r="J850" s="6">
        <f>IF(C850="","",IF(H850=1,SUMIFS('Opening Balance'!$F$4:$F$303,'Opening Balance'!$G$4:$G$303,C850),INDEX($L$2:$L$3001,MATCH(C850&amp;"|"&amp;(H850-1),$I$2:$I$3001,0))))</f>
        <v/>
      </c>
      <c r="K850" s="6">
        <f>IF(C850="","",IF(M850&gt;0,M850,IF(AND(E850&gt;0,ROUND(J850+D850-E850,2)&gt;0,ROUND(J850+D850-E850,2)&lt;'Opening Balance'!$B$14),ROUND(J850+D850-E850,2),0)))</f>
        <v/>
      </c>
      <c r="L850" s="6">
        <f>IF(C850="","",ROUND(J850+D850-E850-K850,2))</f>
        <v/>
      </c>
      <c r="M850" s="6">
        <f>IF(C850="","",IF('Daily Sale entry '!Q850="Collection 收款",ROUND(N('Daily Sale entry '!T850),2),0))</f>
        <v/>
      </c>
    </row>
    <row r="851">
      <c r="A851" t="inlineStr">
        <is>
          <t>Entry 记录</t>
        </is>
      </c>
      <c r="B851" s="5">
        <f>IF('Daily Sale entry '!P851="","",'Daily Sale entry '!O851)</f>
        <v/>
      </c>
      <c r="C851">
        <f>IF('Daily Sale entry '!P851="","",'Daily Sale entry '!P851)</f>
        <v/>
      </c>
      <c r="D851">
        <f>IF(C851="","",IF('Daily Sale entry '!Q851="Credit Sale 赊销",'Daily Sale entry '!S851,0))</f>
        <v/>
      </c>
      <c r="E851">
        <f>IF(C851="","",IF('Daily Sale entry '!Q851="Collection 收款",'Daily Sale entry '!S851,0))</f>
        <v/>
      </c>
      <c r="F851" s="37">
        <f>IF(C851="","",B851+IF(E851&gt;0,0,0.5)+ROW()/10000000)</f>
        <v/>
      </c>
      <c r="G851">
        <f>IF(C851="","",'Daily Sale entry '!Q851&amp;IF('Daily Sale entry '!Q851="Collection 收款"," ("&amp;'Daily Sale entry '!R851&amp;")","")&amp;IF('Daily Sale entry '!U851="",""," - "&amp;'Daily Sale entry '!U851))</f>
        <v/>
      </c>
      <c r="H851">
        <f>IF(C851="","",COUNTIFS($C$2:$C$3001,C851,$F$2:$F$3001,"&lt;"&amp;F851)+1)</f>
        <v/>
      </c>
      <c r="I851">
        <f>IF(C851="","",C851&amp;"|"&amp;H851)</f>
        <v/>
      </c>
      <c r="J851" s="6">
        <f>IF(C851="","",IF(H851=1,SUMIFS('Opening Balance'!$F$4:$F$303,'Opening Balance'!$G$4:$G$303,C851),INDEX($L$2:$L$3001,MATCH(C851&amp;"|"&amp;(H851-1),$I$2:$I$3001,0))))</f>
        <v/>
      </c>
      <c r="K851" s="6">
        <f>IF(C851="","",IF(M851&gt;0,M851,IF(AND(E851&gt;0,ROUND(J851+D851-E851,2)&gt;0,ROUND(J851+D851-E851,2)&lt;'Opening Balance'!$B$14),ROUND(J851+D851-E851,2),0)))</f>
        <v/>
      </c>
      <c r="L851" s="6">
        <f>IF(C851="","",ROUND(J851+D851-E851-K851,2))</f>
        <v/>
      </c>
      <c r="M851" s="6">
        <f>IF(C851="","",IF('Daily Sale entry '!Q851="Collection 收款",ROUND(N('Daily Sale entry '!T851),2),0))</f>
        <v/>
      </c>
    </row>
    <row r="852">
      <c r="A852" t="inlineStr">
        <is>
          <t>Entry 记录</t>
        </is>
      </c>
      <c r="B852" s="5">
        <f>IF('Daily Sale entry '!P852="","",'Daily Sale entry '!O852)</f>
        <v/>
      </c>
      <c r="C852">
        <f>IF('Daily Sale entry '!P852="","",'Daily Sale entry '!P852)</f>
        <v/>
      </c>
      <c r="D852">
        <f>IF(C852="","",IF('Daily Sale entry '!Q852="Credit Sale 赊销",'Daily Sale entry '!S852,0))</f>
        <v/>
      </c>
      <c r="E852">
        <f>IF(C852="","",IF('Daily Sale entry '!Q852="Collection 收款",'Daily Sale entry '!S852,0))</f>
        <v/>
      </c>
      <c r="F852" s="37">
        <f>IF(C852="","",B852+IF(E852&gt;0,0,0.5)+ROW()/10000000)</f>
        <v/>
      </c>
      <c r="G852">
        <f>IF(C852="","",'Daily Sale entry '!Q852&amp;IF('Daily Sale entry '!Q852="Collection 收款"," ("&amp;'Daily Sale entry '!R852&amp;")","")&amp;IF('Daily Sale entry '!U852="",""," - "&amp;'Daily Sale entry '!U852))</f>
        <v/>
      </c>
      <c r="H852">
        <f>IF(C852="","",COUNTIFS($C$2:$C$3001,C852,$F$2:$F$3001,"&lt;"&amp;F852)+1)</f>
        <v/>
      </c>
      <c r="I852">
        <f>IF(C852="","",C852&amp;"|"&amp;H852)</f>
        <v/>
      </c>
      <c r="J852" s="6">
        <f>IF(C852="","",IF(H852=1,SUMIFS('Opening Balance'!$F$4:$F$303,'Opening Balance'!$G$4:$G$303,C852),INDEX($L$2:$L$3001,MATCH(C852&amp;"|"&amp;(H852-1),$I$2:$I$3001,0))))</f>
        <v/>
      </c>
      <c r="K852" s="6">
        <f>IF(C852="","",IF(M852&gt;0,M852,IF(AND(E852&gt;0,ROUND(J852+D852-E852,2)&gt;0,ROUND(J852+D852-E852,2)&lt;'Opening Balance'!$B$14),ROUND(J852+D852-E852,2),0)))</f>
        <v/>
      </c>
      <c r="L852" s="6">
        <f>IF(C852="","",ROUND(J852+D852-E852-K852,2))</f>
        <v/>
      </c>
      <c r="M852" s="6">
        <f>IF(C852="","",IF('Daily Sale entry '!Q852="Collection 收款",ROUND(N('Daily Sale entry '!T852),2),0))</f>
        <v/>
      </c>
    </row>
    <row r="853">
      <c r="A853" t="inlineStr">
        <is>
          <t>Entry 记录</t>
        </is>
      </c>
      <c r="B853" s="5">
        <f>IF('Daily Sale entry '!P853="","",'Daily Sale entry '!O853)</f>
        <v/>
      </c>
      <c r="C853">
        <f>IF('Daily Sale entry '!P853="","",'Daily Sale entry '!P853)</f>
        <v/>
      </c>
      <c r="D853">
        <f>IF(C853="","",IF('Daily Sale entry '!Q853="Credit Sale 赊销",'Daily Sale entry '!S853,0))</f>
        <v/>
      </c>
      <c r="E853">
        <f>IF(C853="","",IF('Daily Sale entry '!Q853="Collection 收款",'Daily Sale entry '!S853,0))</f>
        <v/>
      </c>
      <c r="F853" s="37">
        <f>IF(C853="","",B853+IF(E853&gt;0,0,0.5)+ROW()/10000000)</f>
        <v/>
      </c>
      <c r="G853">
        <f>IF(C853="","",'Daily Sale entry '!Q853&amp;IF('Daily Sale entry '!Q853="Collection 收款"," ("&amp;'Daily Sale entry '!R853&amp;")","")&amp;IF('Daily Sale entry '!U853="",""," - "&amp;'Daily Sale entry '!U853))</f>
        <v/>
      </c>
      <c r="H853">
        <f>IF(C853="","",COUNTIFS($C$2:$C$3001,C853,$F$2:$F$3001,"&lt;"&amp;F853)+1)</f>
        <v/>
      </c>
      <c r="I853">
        <f>IF(C853="","",C853&amp;"|"&amp;H853)</f>
        <v/>
      </c>
      <c r="J853" s="6">
        <f>IF(C853="","",IF(H853=1,SUMIFS('Opening Balance'!$F$4:$F$303,'Opening Balance'!$G$4:$G$303,C853),INDEX($L$2:$L$3001,MATCH(C853&amp;"|"&amp;(H853-1),$I$2:$I$3001,0))))</f>
        <v/>
      </c>
      <c r="K853" s="6">
        <f>IF(C853="","",IF(M853&gt;0,M853,IF(AND(E853&gt;0,ROUND(J853+D853-E853,2)&gt;0,ROUND(J853+D853-E853,2)&lt;'Opening Balance'!$B$14),ROUND(J853+D853-E853,2),0)))</f>
        <v/>
      </c>
      <c r="L853" s="6">
        <f>IF(C853="","",ROUND(J853+D853-E853-K853,2))</f>
        <v/>
      </c>
      <c r="M853" s="6">
        <f>IF(C853="","",IF('Daily Sale entry '!Q853="Collection 收款",ROUND(N('Daily Sale entry '!T853),2),0))</f>
        <v/>
      </c>
    </row>
    <row r="854">
      <c r="A854" t="inlineStr">
        <is>
          <t>Entry 记录</t>
        </is>
      </c>
      <c r="B854" s="5">
        <f>IF('Daily Sale entry '!P854="","",'Daily Sale entry '!O854)</f>
        <v/>
      </c>
      <c r="C854">
        <f>IF('Daily Sale entry '!P854="","",'Daily Sale entry '!P854)</f>
        <v/>
      </c>
      <c r="D854">
        <f>IF(C854="","",IF('Daily Sale entry '!Q854="Credit Sale 赊销",'Daily Sale entry '!S854,0))</f>
        <v/>
      </c>
      <c r="E854">
        <f>IF(C854="","",IF('Daily Sale entry '!Q854="Collection 收款",'Daily Sale entry '!S854,0))</f>
        <v/>
      </c>
      <c r="F854" s="37">
        <f>IF(C854="","",B854+IF(E854&gt;0,0,0.5)+ROW()/10000000)</f>
        <v/>
      </c>
      <c r="G854">
        <f>IF(C854="","",'Daily Sale entry '!Q854&amp;IF('Daily Sale entry '!Q854="Collection 收款"," ("&amp;'Daily Sale entry '!R854&amp;")","")&amp;IF('Daily Sale entry '!U854="",""," - "&amp;'Daily Sale entry '!U854))</f>
        <v/>
      </c>
      <c r="H854">
        <f>IF(C854="","",COUNTIFS($C$2:$C$3001,C854,$F$2:$F$3001,"&lt;"&amp;F854)+1)</f>
        <v/>
      </c>
      <c r="I854">
        <f>IF(C854="","",C854&amp;"|"&amp;H854)</f>
        <v/>
      </c>
      <c r="J854" s="6">
        <f>IF(C854="","",IF(H854=1,SUMIFS('Opening Balance'!$F$4:$F$303,'Opening Balance'!$G$4:$G$303,C854),INDEX($L$2:$L$3001,MATCH(C854&amp;"|"&amp;(H854-1),$I$2:$I$3001,0))))</f>
        <v/>
      </c>
      <c r="K854" s="6">
        <f>IF(C854="","",IF(M854&gt;0,M854,IF(AND(E854&gt;0,ROUND(J854+D854-E854,2)&gt;0,ROUND(J854+D854-E854,2)&lt;'Opening Balance'!$B$14),ROUND(J854+D854-E854,2),0)))</f>
        <v/>
      </c>
      <c r="L854" s="6">
        <f>IF(C854="","",ROUND(J854+D854-E854-K854,2))</f>
        <v/>
      </c>
      <c r="M854" s="6">
        <f>IF(C854="","",IF('Daily Sale entry '!Q854="Collection 收款",ROUND(N('Daily Sale entry '!T854),2),0))</f>
        <v/>
      </c>
    </row>
    <row r="855">
      <c r="A855" t="inlineStr">
        <is>
          <t>Entry 记录</t>
        </is>
      </c>
      <c r="B855" s="5">
        <f>IF('Daily Sale entry '!P855="","",'Daily Sale entry '!O855)</f>
        <v/>
      </c>
      <c r="C855">
        <f>IF('Daily Sale entry '!P855="","",'Daily Sale entry '!P855)</f>
        <v/>
      </c>
      <c r="D855">
        <f>IF(C855="","",IF('Daily Sale entry '!Q855="Credit Sale 赊销",'Daily Sale entry '!S855,0))</f>
        <v/>
      </c>
      <c r="E855">
        <f>IF(C855="","",IF('Daily Sale entry '!Q855="Collection 收款",'Daily Sale entry '!S855,0))</f>
        <v/>
      </c>
      <c r="F855" s="37">
        <f>IF(C855="","",B855+IF(E855&gt;0,0,0.5)+ROW()/10000000)</f>
        <v/>
      </c>
      <c r="G855">
        <f>IF(C855="","",'Daily Sale entry '!Q855&amp;IF('Daily Sale entry '!Q855="Collection 收款"," ("&amp;'Daily Sale entry '!R855&amp;")","")&amp;IF('Daily Sale entry '!U855="",""," - "&amp;'Daily Sale entry '!U855))</f>
        <v/>
      </c>
      <c r="H855">
        <f>IF(C855="","",COUNTIFS($C$2:$C$3001,C855,$F$2:$F$3001,"&lt;"&amp;F855)+1)</f>
        <v/>
      </c>
      <c r="I855">
        <f>IF(C855="","",C855&amp;"|"&amp;H855)</f>
        <v/>
      </c>
      <c r="J855" s="6">
        <f>IF(C855="","",IF(H855=1,SUMIFS('Opening Balance'!$F$4:$F$303,'Opening Balance'!$G$4:$G$303,C855),INDEX($L$2:$L$3001,MATCH(C855&amp;"|"&amp;(H855-1),$I$2:$I$3001,0))))</f>
        <v/>
      </c>
      <c r="K855" s="6">
        <f>IF(C855="","",IF(M855&gt;0,M855,IF(AND(E855&gt;0,ROUND(J855+D855-E855,2)&gt;0,ROUND(J855+D855-E855,2)&lt;'Opening Balance'!$B$14),ROUND(J855+D855-E855,2),0)))</f>
        <v/>
      </c>
      <c r="L855" s="6">
        <f>IF(C855="","",ROUND(J855+D855-E855-K855,2))</f>
        <v/>
      </c>
      <c r="M855" s="6">
        <f>IF(C855="","",IF('Daily Sale entry '!Q855="Collection 收款",ROUND(N('Daily Sale entry '!T855),2),0))</f>
        <v/>
      </c>
    </row>
    <row r="856">
      <c r="A856" t="inlineStr">
        <is>
          <t>Entry 记录</t>
        </is>
      </c>
      <c r="B856" s="5">
        <f>IF('Daily Sale entry '!P856="","",'Daily Sale entry '!O856)</f>
        <v/>
      </c>
      <c r="C856">
        <f>IF('Daily Sale entry '!P856="","",'Daily Sale entry '!P856)</f>
        <v/>
      </c>
      <c r="D856">
        <f>IF(C856="","",IF('Daily Sale entry '!Q856="Credit Sale 赊销",'Daily Sale entry '!S856,0))</f>
        <v/>
      </c>
      <c r="E856">
        <f>IF(C856="","",IF('Daily Sale entry '!Q856="Collection 收款",'Daily Sale entry '!S856,0))</f>
        <v/>
      </c>
      <c r="F856" s="37">
        <f>IF(C856="","",B856+IF(E856&gt;0,0,0.5)+ROW()/10000000)</f>
        <v/>
      </c>
      <c r="G856">
        <f>IF(C856="","",'Daily Sale entry '!Q856&amp;IF('Daily Sale entry '!Q856="Collection 收款"," ("&amp;'Daily Sale entry '!R856&amp;")","")&amp;IF('Daily Sale entry '!U856="",""," - "&amp;'Daily Sale entry '!U856))</f>
        <v/>
      </c>
      <c r="H856">
        <f>IF(C856="","",COUNTIFS($C$2:$C$3001,C856,$F$2:$F$3001,"&lt;"&amp;F856)+1)</f>
        <v/>
      </c>
      <c r="I856">
        <f>IF(C856="","",C856&amp;"|"&amp;H856)</f>
        <v/>
      </c>
      <c r="J856" s="6">
        <f>IF(C856="","",IF(H856=1,SUMIFS('Opening Balance'!$F$4:$F$303,'Opening Balance'!$G$4:$G$303,C856),INDEX($L$2:$L$3001,MATCH(C856&amp;"|"&amp;(H856-1),$I$2:$I$3001,0))))</f>
        <v/>
      </c>
      <c r="K856" s="6">
        <f>IF(C856="","",IF(M856&gt;0,M856,IF(AND(E856&gt;0,ROUND(J856+D856-E856,2)&gt;0,ROUND(J856+D856-E856,2)&lt;'Opening Balance'!$B$14),ROUND(J856+D856-E856,2),0)))</f>
        <v/>
      </c>
      <c r="L856" s="6">
        <f>IF(C856="","",ROUND(J856+D856-E856-K856,2))</f>
        <v/>
      </c>
      <c r="M856" s="6">
        <f>IF(C856="","",IF('Daily Sale entry '!Q856="Collection 收款",ROUND(N('Daily Sale entry '!T856),2),0))</f>
        <v/>
      </c>
    </row>
    <row r="857">
      <c r="A857" t="inlineStr">
        <is>
          <t>Entry 记录</t>
        </is>
      </c>
      <c r="B857" s="5">
        <f>IF('Daily Sale entry '!P857="","",'Daily Sale entry '!O857)</f>
        <v/>
      </c>
      <c r="C857">
        <f>IF('Daily Sale entry '!P857="","",'Daily Sale entry '!P857)</f>
        <v/>
      </c>
      <c r="D857">
        <f>IF(C857="","",IF('Daily Sale entry '!Q857="Credit Sale 赊销",'Daily Sale entry '!S857,0))</f>
        <v/>
      </c>
      <c r="E857">
        <f>IF(C857="","",IF('Daily Sale entry '!Q857="Collection 收款",'Daily Sale entry '!S857,0))</f>
        <v/>
      </c>
      <c r="F857" s="37">
        <f>IF(C857="","",B857+IF(E857&gt;0,0,0.5)+ROW()/10000000)</f>
        <v/>
      </c>
      <c r="G857">
        <f>IF(C857="","",'Daily Sale entry '!Q857&amp;IF('Daily Sale entry '!Q857="Collection 收款"," ("&amp;'Daily Sale entry '!R857&amp;")","")&amp;IF('Daily Sale entry '!U857="",""," - "&amp;'Daily Sale entry '!U857))</f>
        <v/>
      </c>
      <c r="H857">
        <f>IF(C857="","",COUNTIFS($C$2:$C$3001,C857,$F$2:$F$3001,"&lt;"&amp;F857)+1)</f>
        <v/>
      </c>
      <c r="I857">
        <f>IF(C857="","",C857&amp;"|"&amp;H857)</f>
        <v/>
      </c>
      <c r="J857" s="6">
        <f>IF(C857="","",IF(H857=1,SUMIFS('Opening Balance'!$F$4:$F$303,'Opening Balance'!$G$4:$G$303,C857),INDEX($L$2:$L$3001,MATCH(C857&amp;"|"&amp;(H857-1),$I$2:$I$3001,0))))</f>
        <v/>
      </c>
      <c r="K857" s="6">
        <f>IF(C857="","",IF(M857&gt;0,M857,IF(AND(E857&gt;0,ROUND(J857+D857-E857,2)&gt;0,ROUND(J857+D857-E857,2)&lt;'Opening Balance'!$B$14),ROUND(J857+D857-E857,2),0)))</f>
        <v/>
      </c>
      <c r="L857" s="6">
        <f>IF(C857="","",ROUND(J857+D857-E857-K857,2))</f>
        <v/>
      </c>
      <c r="M857" s="6">
        <f>IF(C857="","",IF('Daily Sale entry '!Q857="Collection 收款",ROUND(N('Daily Sale entry '!T857),2),0))</f>
        <v/>
      </c>
    </row>
    <row r="858">
      <c r="A858" t="inlineStr">
        <is>
          <t>Entry 记录</t>
        </is>
      </c>
      <c r="B858" s="5">
        <f>IF('Daily Sale entry '!P858="","",'Daily Sale entry '!O858)</f>
        <v/>
      </c>
      <c r="C858">
        <f>IF('Daily Sale entry '!P858="","",'Daily Sale entry '!P858)</f>
        <v/>
      </c>
      <c r="D858">
        <f>IF(C858="","",IF('Daily Sale entry '!Q858="Credit Sale 赊销",'Daily Sale entry '!S858,0))</f>
        <v/>
      </c>
      <c r="E858">
        <f>IF(C858="","",IF('Daily Sale entry '!Q858="Collection 收款",'Daily Sale entry '!S858,0))</f>
        <v/>
      </c>
      <c r="F858" s="37">
        <f>IF(C858="","",B858+IF(E858&gt;0,0,0.5)+ROW()/10000000)</f>
        <v/>
      </c>
      <c r="G858">
        <f>IF(C858="","",'Daily Sale entry '!Q858&amp;IF('Daily Sale entry '!Q858="Collection 收款"," ("&amp;'Daily Sale entry '!R858&amp;")","")&amp;IF('Daily Sale entry '!U858="",""," - "&amp;'Daily Sale entry '!U858))</f>
        <v/>
      </c>
      <c r="H858">
        <f>IF(C858="","",COUNTIFS($C$2:$C$3001,C858,$F$2:$F$3001,"&lt;"&amp;F858)+1)</f>
        <v/>
      </c>
      <c r="I858">
        <f>IF(C858="","",C858&amp;"|"&amp;H858)</f>
        <v/>
      </c>
      <c r="J858" s="6">
        <f>IF(C858="","",IF(H858=1,SUMIFS('Opening Balance'!$F$4:$F$303,'Opening Balance'!$G$4:$G$303,C858),INDEX($L$2:$L$3001,MATCH(C858&amp;"|"&amp;(H858-1),$I$2:$I$3001,0))))</f>
        <v/>
      </c>
      <c r="K858" s="6">
        <f>IF(C858="","",IF(M858&gt;0,M858,IF(AND(E858&gt;0,ROUND(J858+D858-E858,2)&gt;0,ROUND(J858+D858-E858,2)&lt;'Opening Balance'!$B$14),ROUND(J858+D858-E858,2),0)))</f>
        <v/>
      </c>
      <c r="L858" s="6">
        <f>IF(C858="","",ROUND(J858+D858-E858-K858,2))</f>
        <v/>
      </c>
      <c r="M858" s="6">
        <f>IF(C858="","",IF('Daily Sale entry '!Q858="Collection 收款",ROUND(N('Daily Sale entry '!T858),2),0))</f>
        <v/>
      </c>
    </row>
    <row r="859">
      <c r="A859" t="inlineStr">
        <is>
          <t>Entry 记录</t>
        </is>
      </c>
      <c r="B859" s="5">
        <f>IF('Daily Sale entry '!P859="","",'Daily Sale entry '!O859)</f>
        <v/>
      </c>
      <c r="C859">
        <f>IF('Daily Sale entry '!P859="","",'Daily Sale entry '!P859)</f>
        <v/>
      </c>
      <c r="D859">
        <f>IF(C859="","",IF('Daily Sale entry '!Q859="Credit Sale 赊销",'Daily Sale entry '!S859,0))</f>
        <v/>
      </c>
      <c r="E859">
        <f>IF(C859="","",IF('Daily Sale entry '!Q859="Collection 收款",'Daily Sale entry '!S859,0))</f>
        <v/>
      </c>
      <c r="F859" s="37">
        <f>IF(C859="","",B859+IF(E859&gt;0,0,0.5)+ROW()/10000000)</f>
        <v/>
      </c>
      <c r="G859">
        <f>IF(C859="","",'Daily Sale entry '!Q859&amp;IF('Daily Sale entry '!Q859="Collection 收款"," ("&amp;'Daily Sale entry '!R859&amp;")","")&amp;IF('Daily Sale entry '!U859="",""," - "&amp;'Daily Sale entry '!U859))</f>
        <v/>
      </c>
      <c r="H859">
        <f>IF(C859="","",COUNTIFS($C$2:$C$3001,C859,$F$2:$F$3001,"&lt;"&amp;F859)+1)</f>
        <v/>
      </c>
      <c r="I859">
        <f>IF(C859="","",C859&amp;"|"&amp;H859)</f>
        <v/>
      </c>
      <c r="J859" s="6">
        <f>IF(C859="","",IF(H859=1,SUMIFS('Opening Balance'!$F$4:$F$303,'Opening Balance'!$G$4:$G$303,C859),INDEX($L$2:$L$3001,MATCH(C859&amp;"|"&amp;(H859-1),$I$2:$I$3001,0))))</f>
        <v/>
      </c>
      <c r="K859" s="6">
        <f>IF(C859="","",IF(M859&gt;0,M859,IF(AND(E859&gt;0,ROUND(J859+D859-E859,2)&gt;0,ROUND(J859+D859-E859,2)&lt;'Opening Balance'!$B$14),ROUND(J859+D859-E859,2),0)))</f>
        <v/>
      </c>
      <c r="L859" s="6">
        <f>IF(C859="","",ROUND(J859+D859-E859-K859,2))</f>
        <v/>
      </c>
      <c r="M859" s="6">
        <f>IF(C859="","",IF('Daily Sale entry '!Q859="Collection 收款",ROUND(N('Daily Sale entry '!T859),2),0))</f>
        <v/>
      </c>
    </row>
    <row r="860">
      <c r="A860" t="inlineStr">
        <is>
          <t>Entry 记录</t>
        </is>
      </c>
      <c r="B860" s="5">
        <f>IF('Daily Sale entry '!P860="","",'Daily Sale entry '!O860)</f>
        <v/>
      </c>
      <c r="C860">
        <f>IF('Daily Sale entry '!P860="","",'Daily Sale entry '!P860)</f>
        <v/>
      </c>
      <c r="D860">
        <f>IF(C860="","",IF('Daily Sale entry '!Q860="Credit Sale 赊销",'Daily Sale entry '!S860,0))</f>
        <v/>
      </c>
      <c r="E860">
        <f>IF(C860="","",IF('Daily Sale entry '!Q860="Collection 收款",'Daily Sale entry '!S860,0))</f>
        <v/>
      </c>
      <c r="F860" s="37">
        <f>IF(C860="","",B860+IF(E860&gt;0,0,0.5)+ROW()/10000000)</f>
        <v/>
      </c>
      <c r="G860">
        <f>IF(C860="","",'Daily Sale entry '!Q860&amp;IF('Daily Sale entry '!Q860="Collection 收款"," ("&amp;'Daily Sale entry '!R860&amp;")","")&amp;IF('Daily Sale entry '!U860="",""," - "&amp;'Daily Sale entry '!U860))</f>
        <v/>
      </c>
      <c r="H860">
        <f>IF(C860="","",COUNTIFS($C$2:$C$3001,C860,$F$2:$F$3001,"&lt;"&amp;F860)+1)</f>
        <v/>
      </c>
      <c r="I860">
        <f>IF(C860="","",C860&amp;"|"&amp;H860)</f>
        <v/>
      </c>
      <c r="J860" s="6">
        <f>IF(C860="","",IF(H860=1,SUMIFS('Opening Balance'!$F$4:$F$303,'Opening Balance'!$G$4:$G$303,C860),INDEX($L$2:$L$3001,MATCH(C860&amp;"|"&amp;(H860-1),$I$2:$I$3001,0))))</f>
        <v/>
      </c>
      <c r="K860" s="6">
        <f>IF(C860="","",IF(M860&gt;0,M860,IF(AND(E860&gt;0,ROUND(J860+D860-E860,2)&gt;0,ROUND(J860+D860-E860,2)&lt;'Opening Balance'!$B$14),ROUND(J860+D860-E860,2),0)))</f>
        <v/>
      </c>
      <c r="L860" s="6">
        <f>IF(C860="","",ROUND(J860+D860-E860-K860,2))</f>
        <v/>
      </c>
      <c r="M860" s="6">
        <f>IF(C860="","",IF('Daily Sale entry '!Q860="Collection 收款",ROUND(N('Daily Sale entry '!T860),2),0))</f>
        <v/>
      </c>
    </row>
    <row r="861">
      <c r="A861" t="inlineStr">
        <is>
          <t>Entry 记录</t>
        </is>
      </c>
      <c r="B861" s="5">
        <f>IF('Daily Sale entry '!P861="","",'Daily Sale entry '!O861)</f>
        <v/>
      </c>
      <c r="C861">
        <f>IF('Daily Sale entry '!P861="","",'Daily Sale entry '!P861)</f>
        <v/>
      </c>
      <c r="D861">
        <f>IF(C861="","",IF('Daily Sale entry '!Q861="Credit Sale 赊销",'Daily Sale entry '!S861,0))</f>
        <v/>
      </c>
      <c r="E861">
        <f>IF(C861="","",IF('Daily Sale entry '!Q861="Collection 收款",'Daily Sale entry '!S861,0))</f>
        <v/>
      </c>
      <c r="F861" s="37">
        <f>IF(C861="","",B861+IF(E861&gt;0,0,0.5)+ROW()/10000000)</f>
        <v/>
      </c>
      <c r="G861">
        <f>IF(C861="","",'Daily Sale entry '!Q861&amp;IF('Daily Sale entry '!Q861="Collection 收款"," ("&amp;'Daily Sale entry '!R861&amp;")","")&amp;IF('Daily Sale entry '!U861="",""," - "&amp;'Daily Sale entry '!U861))</f>
        <v/>
      </c>
      <c r="H861">
        <f>IF(C861="","",COUNTIFS($C$2:$C$3001,C861,$F$2:$F$3001,"&lt;"&amp;F861)+1)</f>
        <v/>
      </c>
      <c r="I861">
        <f>IF(C861="","",C861&amp;"|"&amp;H861)</f>
        <v/>
      </c>
      <c r="J861" s="6">
        <f>IF(C861="","",IF(H861=1,SUMIFS('Opening Balance'!$F$4:$F$303,'Opening Balance'!$G$4:$G$303,C861),INDEX($L$2:$L$3001,MATCH(C861&amp;"|"&amp;(H861-1),$I$2:$I$3001,0))))</f>
        <v/>
      </c>
      <c r="K861" s="6">
        <f>IF(C861="","",IF(M861&gt;0,M861,IF(AND(E861&gt;0,ROUND(J861+D861-E861,2)&gt;0,ROUND(J861+D861-E861,2)&lt;'Opening Balance'!$B$14),ROUND(J861+D861-E861,2),0)))</f>
        <v/>
      </c>
      <c r="L861" s="6">
        <f>IF(C861="","",ROUND(J861+D861-E861-K861,2))</f>
        <v/>
      </c>
      <c r="M861" s="6">
        <f>IF(C861="","",IF('Daily Sale entry '!Q861="Collection 收款",ROUND(N('Daily Sale entry '!T861),2),0))</f>
        <v/>
      </c>
    </row>
    <row r="862">
      <c r="A862" t="inlineStr">
        <is>
          <t>Entry 记录</t>
        </is>
      </c>
      <c r="B862" s="5">
        <f>IF('Daily Sale entry '!P862="","",'Daily Sale entry '!O862)</f>
        <v/>
      </c>
      <c r="C862">
        <f>IF('Daily Sale entry '!P862="","",'Daily Sale entry '!P862)</f>
        <v/>
      </c>
      <c r="D862">
        <f>IF(C862="","",IF('Daily Sale entry '!Q862="Credit Sale 赊销",'Daily Sale entry '!S862,0))</f>
        <v/>
      </c>
      <c r="E862">
        <f>IF(C862="","",IF('Daily Sale entry '!Q862="Collection 收款",'Daily Sale entry '!S862,0))</f>
        <v/>
      </c>
      <c r="F862" s="37">
        <f>IF(C862="","",B862+IF(E862&gt;0,0,0.5)+ROW()/10000000)</f>
        <v/>
      </c>
      <c r="G862">
        <f>IF(C862="","",'Daily Sale entry '!Q862&amp;IF('Daily Sale entry '!Q862="Collection 收款"," ("&amp;'Daily Sale entry '!R862&amp;")","")&amp;IF('Daily Sale entry '!U862="",""," - "&amp;'Daily Sale entry '!U862))</f>
        <v/>
      </c>
      <c r="H862">
        <f>IF(C862="","",COUNTIFS($C$2:$C$3001,C862,$F$2:$F$3001,"&lt;"&amp;F862)+1)</f>
        <v/>
      </c>
      <c r="I862">
        <f>IF(C862="","",C862&amp;"|"&amp;H862)</f>
        <v/>
      </c>
      <c r="J862" s="6">
        <f>IF(C862="","",IF(H862=1,SUMIFS('Opening Balance'!$F$4:$F$303,'Opening Balance'!$G$4:$G$303,C862),INDEX($L$2:$L$3001,MATCH(C862&amp;"|"&amp;(H862-1),$I$2:$I$3001,0))))</f>
        <v/>
      </c>
      <c r="K862" s="6">
        <f>IF(C862="","",IF(M862&gt;0,M862,IF(AND(E862&gt;0,ROUND(J862+D862-E862,2)&gt;0,ROUND(J862+D862-E862,2)&lt;'Opening Balance'!$B$14),ROUND(J862+D862-E862,2),0)))</f>
        <v/>
      </c>
      <c r="L862" s="6">
        <f>IF(C862="","",ROUND(J862+D862-E862-K862,2))</f>
        <v/>
      </c>
      <c r="M862" s="6">
        <f>IF(C862="","",IF('Daily Sale entry '!Q862="Collection 收款",ROUND(N('Daily Sale entry '!T862),2),0))</f>
        <v/>
      </c>
    </row>
    <row r="863">
      <c r="A863" t="inlineStr">
        <is>
          <t>Entry 记录</t>
        </is>
      </c>
      <c r="B863" s="5">
        <f>IF('Daily Sale entry '!P863="","",'Daily Sale entry '!O863)</f>
        <v/>
      </c>
      <c r="C863">
        <f>IF('Daily Sale entry '!P863="","",'Daily Sale entry '!P863)</f>
        <v/>
      </c>
      <c r="D863">
        <f>IF(C863="","",IF('Daily Sale entry '!Q863="Credit Sale 赊销",'Daily Sale entry '!S863,0))</f>
        <v/>
      </c>
      <c r="E863">
        <f>IF(C863="","",IF('Daily Sale entry '!Q863="Collection 收款",'Daily Sale entry '!S863,0))</f>
        <v/>
      </c>
      <c r="F863" s="37">
        <f>IF(C863="","",B863+IF(E863&gt;0,0,0.5)+ROW()/10000000)</f>
        <v/>
      </c>
      <c r="G863">
        <f>IF(C863="","",'Daily Sale entry '!Q863&amp;IF('Daily Sale entry '!Q863="Collection 收款"," ("&amp;'Daily Sale entry '!R863&amp;")","")&amp;IF('Daily Sale entry '!U863="",""," - "&amp;'Daily Sale entry '!U863))</f>
        <v/>
      </c>
      <c r="H863">
        <f>IF(C863="","",COUNTIFS($C$2:$C$3001,C863,$F$2:$F$3001,"&lt;"&amp;F863)+1)</f>
        <v/>
      </c>
      <c r="I863">
        <f>IF(C863="","",C863&amp;"|"&amp;H863)</f>
        <v/>
      </c>
      <c r="J863" s="6">
        <f>IF(C863="","",IF(H863=1,SUMIFS('Opening Balance'!$F$4:$F$303,'Opening Balance'!$G$4:$G$303,C863),INDEX($L$2:$L$3001,MATCH(C863&amp;"|"&amp;(H863-1),$I$2:$I$3001,0))))</f>
        <v/>
      </c>
      <c r="K863" s="6">
        <f>IF(C863="","",IF(M863&gt;0,M863,IF(AND(E863&gt;0,ROUND(J863+D863-E863,2)&gt;0,ROUND(J863+D863-E863,2)&lt;'Opening Balance'!$B$14),ROUND(J863+D863-E863,2),0)))</f>
        <v/>
      </c>
      <c r="L863" s="6">
        <f>IF(C863="","",ROUND(J863+D863-E863-K863,2))</f>
        <v/>
      </c>
      <c r="M863" s="6">
        <f>IF(C863="","",IF('Daily Sale entry '!Q863="Collection 收款",ROUND(N('Daily Sale entry '!T863),2),0))</f>
        <v/>
      </c>
    </row>
    <row r="864">
      <c r="A864" t="inlineStr">
        <is>
          <t>Entry 记录</t>
        </is>
      </c>
      <c r="B864" s="5">
        <f>IF('Daily Sale entry '!P864="","",'Daily Sale entry '!O864)</f>
        <v/>
      </c>
      <c r="C864">
        <f>IF('Daily Sale entry '!P864="","",'Daily Sale entry '!P864)</f>
        <v/>
      </c>
      <c r="D864">
        <f>IF(C864="","",IF('Daily Sale entry '!Q864="Credit Sale 赊销",'Daily Sale entry '!S864,0))</f>
        <v/>
      </c>
      <c r="E864">
        <f>IF(C864="","",IF('Daily Sale entry '!Q864="Collection 收款",'Daily Sale entry '!S864,0))</f>
        <v/>
      </c>
      <c r="F864" s="37">
        <f>IF(C864="","",B864+IF(E864&gt;0,0,0.5)+ROW()/10000000)</f>
        <v/>
      </c>
      <c r="G864">
        <f>IF(C864="","",'Daily Sale entry '!Q864&amp;IF('Daily Sale entry '!Q864="Collection 收款"," ("&amp;'Daily Sale entry '!R864&amp;")","")&amp;IF('Daily Sale entry '!U864="",""," - "&amp;'Daily Sale entry '!U864))</f>
        <v/>
      </c>
      <c r="H864">
        <f>IF(C864="","",COUNTIFS($C$2:$C$3001,C864,$F$2:$F$3001,"&lt;"&amp;F864)+1)</f>
        <v/>
      </c>
      <c r="I864">
        <f>IF(C864="","",C864&amp;"|"&amp;H864)</f>
        <v/>
      </c>
      <c r="J864" s="6">
        <f>IF(C864="","",IF(H864=1,SUMIFS('Opening Balance'!$F$4:$F$303,'Opening Balance'!$G$4:$G$303,C864),INDEX($L$2:$L$3001,MATCH(C864&amp;"|"&amp;(H864-1),$I$2:$I$3001,0))))</f>
        <v/>
      </c>
      <c r="K864" s="6">
        <f>IF(C864="","",IF(M864&gt;0,M864,IF(AND(E864&gt;0,ROUND(J864+D864-E864,2)&gt;0,ROUND(J864+D864-E864,2)&lt;'Opening Balance'!$B$14),ROUND(J864+D864-E864,2),0)))</f>
        <v/>
      </c>
      <c r="L864" s="6">
        <f>IF(C864="","",ROUND(J864+D864-E864-K864,2))</f>
        <v/>
      </c>
      <c r="M864" s="6">
        <f>IF(C864="","",IF('Daily Sale entry '!Q864="Collection 收款",ROUND(N('Daily Sale entry '!T864),2),0))</f>
        <v/>
      </c>
    </row>
    <row r="865">
      <c r="A865" t="inlineStr">
        <is>
          <t>Entry 记录</t>
        </is>
      </c>
      <c r="B865" s="5">
        <f>IF('Daily Sale entry '!P865="","",'Daily Sale entry '!O865)</f>
        <v/>
      </c>
      <c r="C865">
        <f>IF('Daily Sale entry '!P865="","",'Daily Sale entry '!P865)</f>
        <v/>
      </c>
      <c r="D865">
        <f>IF(C865="","",IF('Daily Sale entry '!Q865="Credit Sale 赊销",'Daily Sale entry '!S865,0))</f>
        <v/>
      </c>
      <c r="E865">
        <f>IF(C865="","",IF('Daily Sale entry '!Q865="Collection 收款",'Daily Sale entry '!S865,0))</f>
        <v/>
      </c>
      <c r="F865" s="37">
        <f>IF(C865="","",B865+IF(E865&gt;0,0,0.5)+ROW()/10000000)</f>
        <v/>
      </c>
      <c r="G865">
        <f>IF(C865="","",'Daily Sale entry '!Q865&amp;IF('Daily Sale entry '!Q865="Collection 收款"," ("&amp;'Daily Sale entry '!R865&amp;")","")&amp;IF('Daily Sale entry '!U865="",""," - "&amp;'Daily Sale entry '!U865))</f>
        <v/>
      </c>
      <c r="H865">
        <f>IF(C865="","",COUNTIFS($C$2:$C$3001,C865,$F$2:$F$3001,"&lt;"&amp;F865)+1)</f>
        <v/>
      </c>
      <c r="I865">
        <f>IF(C865="","",C865&amp;"|"&amp;H865)</f>
        <v/>
      </c>
      <c r="J865" s="6">
        <f>IF(C865="","",IF(H865=1,SUMIFS('Opening Balance'!$F$4:$F$303,'Opening Balance'!$G$4:$G$303,C865),INDEX($L$2:$L$3001,MATCH(C865&amp;"|"&amp;(H865-1),$I$2:$I$3001,0))))</f>
        <v/>
      </c>
      <c r="K865" s="6">
        <f>IF(C865="","",IF(M865&gt;0,M865,IF(AND(E865&gt;0,ROUND(J865+D865-E865,2)&gt;0,ROUND(J865+D865-E865,2)&lt;'Opening Balance'!$B$14),ROUND(J865+D865-E865,2),0)))</f>
        <v/>
      </c>
      <c r="L865" s="6">
        <f>IF(C865="","",ROUND(J865+D865-E865-K865,2))</f>
        <v/>
      </c>
      <c r="M865" s="6">
        <f>IF(C865="","",IF('Daily Sale entry '!Q865="Collection 收款",ROUND(N('Daily Sale entry '!T865),2),0))</f>
        <v/>
      </c>
    </row>
    <row r="866">
      <c r="A866" t="inlineStr">
        <is>
          <t>Entry 记录</t>
        </is>
      </c>
      <c r="B866" s="5">
        <f>IF('Daily Sale entry '!P866="","",'Daily Sale entry '!O866)</f>
        <v/>
      </c>
      <c r="C866">
        <f>IF('Daily Sale entry '!P866="","",'Daily Sale entry '!P866)</f>
        <v/>
      </c>
      <c r="D866">
        <f>IF(C866="","",IF('Daily Sale entry '!Q866="Credit Sale 赊销",'Daily Sale entry '!S866,0))</f>
        <v/>
      </c>
      <c r="E866">
        <f>IF(C866="","",IF('Daily Sale entry '!Q866="Collection 收款",'Daily Sale entry '!S866,0))</f>
        <v/>
      </c>
      <c r="F866" s="37">
        <f>IF(C866="","",B866+IF(E866&gt;0,0,0.5)+ROW()/10000000)</f>
        <v/>
      </c>
      <c r="G866">
        <f>IF(C866="","",'Daily Sale entry '!Q866&amp;IF('Daily Sale entry '!Q866="Collection 收款"," ("&amp;'Daily Sale entry '!R866&amp;")","")&amp;IF('Daily Sale entry '!U866="",""," - "&amp;'Daily Sale entry '!U866))</f>
        <v/>
      </c>
      <c r="H866">
        <f>IF(C866="","",COUNTIFS($C$2:$C$3001,C866,$F$2:$F$3001,"&lt;"&amp;F866)+1)</f>
        <v/>
      </c>
      <c r="I866">
        <f>IF(C866="","",C866&amp;"|"&amp;H866)</f>
        <v/>
      </c>
      <c r="J866" s="6">
        <f>IF(C866="","",IF(H866=1,SUMIFS('Opening Balance'!$F$4:$F$303,'Opening Balance'!$G$4:$G$303,C866),INDEX($L$2:$L$3001,MATCH(C866&amp;"|"&amp;(H866-1),$I$2:$I$3001,0))))</f>
        <v/>
      </c>
      <c r="K866" s="6">
        <f>IF(C866="","",IF(M866&gt;0,M866,IF(AND(E866&gt;0,ROUND(J866+D866-E866,2)&gt;0,ROUND(J866+D866-E866,2)&lt;'Opening Balance'!$B$14),ROUND(J866+D866-E866,2),0)))</f>
        <v/>
      </c>
      <c r="L866" s="6">
        <f>IF(C866="","",ROUND(J866+D866-E866-K866,2))</f>
        <v/>
      </c>
      <c r="M866" s="6">
        <f>IF(C866="","",IF('Daily Sale entry '!Q866="Collection 收款",ROUND(N('Daily Sale entry '!T866),2),0))</f>
        <v/>
      </c>
    </row>
    <row r="867">
      <c r="A867" t="inlineStr">
        <is>
          <t>Entry 记录</t>
        </is>
      </c>
      <c r="B867" s="5">
        <f>IF('Daily Sale entry '!P867="","",'Daily Sale entry '!O867)</f>
        <v/>
      </c>
      <c r="C867">
        <f>IF('Daily Sale entry '!P867="","",'Daily Sale entry '!P867)</f>
        <v/>
      </c>
      <c r="D867">
        <f>IF(C867="","",IF('Daily Sale entry '!Q867="Credit Sale 赊销",'Daily Sale entry '!S867,0))</f>
        <v/>
      </c>
      <c r="E867">
        <f>IF(C867="","",IF('Daily Sale entry '!Q867="Collection 收款",'Daily Sale entry '!S867,0))</f>
        <v/>
      </c>
      <c r="F867" s="37">
        <f>IF(C867="","",B867+IF(E867&gt;0,0,0.5)+ROW()/10000000)</f>
        <v/>
      </c>
      <c r="G867">
        <f>IF(C867="","",'Daily Sale entry '!Q867&amp;IF('Daily Sale entry '!Q867="Collection 收款"," ("&amp;'Daily Sale entry '!R867&amp;")","")&amp;IF('Daily Sale entry '!U867="",""," - "&amp;'Daily Sale entry '!U867))</f>
        <v/>
      </c>
      <c r="H867">
        <f>IF(C867="","",COUNTIFS($C$2:$C$3001,C867,$F$2:$F$3001,"&lt;"&amp;F867)+1)</f>
        <v/>
      </c>
      <c r="I867">
        <f>IF(C867="","",C867&amp;"|"&amp;H867)</f>
        <v/>
      </c>
      <c r="J867" s="6">
        <f>IF(C867="","",IF(H867=1,SUMIFS('Opening Balance'!$F$4:$F$303,'Opening Balance'!$G$4:$G$303,C867),INDEX($L$2:$L$3001,MATCH(C867&amp;"|"&amp;(H867-1),$I$2:$I$3001,0))))</f>
        <v/>
      </c>
      <c r="K867" s="6">
        <f>IF(C867="","",IF(M867&gt;0,M867,IF(AND(E867&gt;0,ROUND(J867+D867-E867,2)&gt;0,ROUND(J867+D867-E867,2)&lt;'Opening Balance'!$B$14),ROUND(J867+D867-E867,2),0)))</f>
        <v/>
      </c>
      <c r="L867" s="6">
        <f>IF(C867="","",ROUND(J867+D867-E867-K867,2))</f>
        <v/>
      </c>
      <c r="M867" s="6">
        <f>IF(C867="","",IF('Daily Sale entry '!Q867="Collection 收款",ROUND(N('Daily Sale entry '!T867),2),0))</f>
        <v/>
      </c>
    </row>
    <row r="868">
      <c r="A868" t="inlineStr">
        <is>
          <t>Entry 记录</t>
        </is>
      </c>
      <c r="B868" s="5">
        <f>IF('Daily Sale entry '!P868="","",'Daily Sale entry '!O868)</f>
        <v/>
      </c>
      <c r="C868">
        <f>IF('Daily Sale entry '!P868="","",'Daily Sale entry '!P868)</f>
        <v/>
      </c>
      <c r="D868">
        <f>IF(C868="","",IF('Daily Sale entry '!Q868="Credit Sale 赊销",'Daily Sale entry '!S868,0))</f>
        <v/>
      </c>
      <c r="E868">
        <f>IF(C868="","",IF('Daily Sale entry '!Q868="Collection 收款",'Daily Sale entry '!S868,0))</f>
        <v/>
      </c>
      <c r="F868" s="37">
        <f>IF(C868="","",B868+IF(E868&gt;0,0,0.5)+ROW()/10000000)</f>
        <v/>
      </c>
      <c r="G868">
        <f>IF(C868="","",'Daily Sale entry '!Q868&amp;IF('Daily Sale entry '!Q868="Collection 收款"," ("&amp;'Daily Sale entry '!R868&amp;")","")&amp;IF('Daily Sale entry '!U868="",""," - "&amp;'Daily Sale entry '!U868))</f>
        <v/>
      </c>
      <c r="H868">
        <f>IF(C868="","",COUNTIFS($C$2:$C$3001,C868,$F$2:$F$3001,"&lt;"&amp;F868)+1)</f>
        <v/>
      </c>
      <c r="I868">
        <f>IF(C868="","",C868&amp;"|"&amp;H868)</f>
        <v/>
      </c>
      <c r="J868" s="6">
        <f>IF(C868="","",IF(H868=1,SUMIFS('Opening Balance'!$F$4:$F$303,'Opening Balance'!$G$4:$G$303,C868),INDEX($L$2:$L$3001,MATCH(C868&amp;"|"&amp;(H868-1),$I$2:$I$3001,0))))</f>
        <v/>
      </c>
      <c r="K868" s="6">
        <f>IF(C868="","",IF(M868&gt;0,M868,IF(AND(E868&gt;0,ROUND(J868+D868-E868,2)&gt;0,ROUND(J868+D868-E868,2)&lt;'Opening Balance'!$B$14),ROUND(J868+D868-E868,2),0)))</f>
        <v/>
      </c>
      <c r="L868" s="6">
        <f>IF(C868="","",ROUND(J868+D868-E868-K868,2))</f>
        <v/>
      </c>
      <c r="M868" s="6">
        <f>IF(C868="","",IF('Daily Sale entry '!Q868="Collection 收款",ROUND(N('Daily Sale entry '!T868),2),0))</f>
        <v/>
      </c>
    </row>
    <row r="869">
      <c r="A869" t="inlineStr">
        <is>
          <t>Entry 记录</t>
        </is>
      </c>
      <c r="B869" s="5">
        <f>IF('Daily Sale entry '!P869="","",'Daily Sale entry '!O869)</f>
        <v/>
      </c>
      <c r="C869">
        <f>IF('Daily Sale entry '!P869="","",'Daily Sale entry '!P869)</f>
        <v/>
      </c>
      <c r="D869">
        <f>IF(C869="","",IF('Daily Sale entry '!Q869="Credit Sale 赊销",'Daily Sale entry '!S869,0))</f>
        <v/>
      </c>
      <c r="E869">
        <f>IF(C869="","",IF('Daily Sale entry '!Q869="Collection 收款",'Daily Sale entry '!S869,0))</f>
        <v/>
      </c>
      <c r="F869" s="37">
        <f>IF(C869="","",B869+IF(E869&gt;0,0,0.5)+ROW()/10000000)</f>
        <v/>
      </c>
      <c r="G869">
        <f>IF(C869="","",'Daily Sale entry '!Q869&amp;IF('Daily Sale entry '!Q869="Collection 收款"," ("&amp;'Daily Sale entry '!R869&amp;")","")&amp;IF('Daily Sale entry '!U869="",""," - "&amp;'Daily Sale entry '!U869))</f>
        <v/>
      </c>
      <c r="H869">
        <f>IF(C869="","",COUNTIFS($C$2:$C$3001,C869,$F$2:$F$3001,"&lt;"&amp;F869)+1)</f>
        <v/>
      </c>
      <c r="I869">
        <f>IF(C869="","",C869&amp;"|"&amp;H869)</f>
        <v/>
      </c>
      <c r="J869" s="6">
        <f>IF(C869="","",IF(H869=1,SUMIFS('Opening Balance'!$F$4:$F$303,'Opening Balance'!$G$4:$G$303,C869),INDEX($L$2:$L$3001,MATCH(C869&amp;"|"&amp;(H869-1),$I$2:$I$3001,0))))</f>
        <v/>
      </c>
      <c r="K869" s="6">
        <f>IF(C869="","",IF(M869&gt;0,M869,IF(AND(E869&gt;0,ROUND(J869+D869-E869,2)&gt;0,ROUND(J869+D869-E869,2)&lt;'Opening Balance'!$B$14),ROUND(J869+D869-E869,2),0)))</f>
        <v/>
      </c>
      <c r="L869" s="6">
        <f>IF(C869="","",ROUND(J869+D869-E869-K869,2))</f>
        <v/>
      </c>
      <c r="M869" s="6">
        <f>IF(C869="","",IF('Daily Sale entry '!Q869="Collection 收款",ROUND(N('Daily Sale entry '!T869),2),0))</f>
        <v/>
      </c>
    </row>
    <row r="870">
      <c r="A870" t="inlineStr">
        <is>
          <t>Entry 记录</t>
        </is>
      </c>
      <c r="B870" s="5">
        <f>IF('Daily Sale entry '!P870="","",'Daily Sale entry '!O870)</f>
        <v/>
      </c>
      <c r="C870">
        <f>IF('Daily Sale entry '!P870="","",'Daily Sale entry '!P870)</f>
        <v/>
      </c>
      <c r="D870">
        <f>IF(C870="","",IF('Daily Sale entry '!Q870="Credit Sale 赊销",'Daily Sale entry '!S870,0))</f>
        <v/>
      </c>
      <c r="E870">
        <f>IF(C870="","",IF('Daily Sale entry '!Q870="Collection 收款",'Daily Sale entry '!S870,0))</f>
        <v/>
      </c>
      <c r="F870" s="37">
        <f>IF(C870="","",B870+IF(E870&gt;0,0,0.5)+ROW()/10000000)</f>
        <v/>
      </c>
      <c r="G870">
        <f>IF(C870="","",'Daily Sale entry '!Q870&amp;IF('Daily Sale entry '!Q870="Collection 收款"," ("&amp;'Daily Sale entry '!R870&amp;")","")&amp;IF('Daily Sale entry '!U870="",""," - "&amp;'Daily Sale entry '!U870))</f>
        <v/>
      </c>
      <c r="H870">
        <f>IF(C870="","",COUNTIFS($C$2:$C$3001,C870,$F$2:$F$3001,"&lt;"&amp;F870)+1)</f>
        <v/>
      </c>
      <c r="I870">
        <f>IF(C870="","",C870&amp;"|"&amp;H870)</f>
        <v/>
      </c>
      <c r="J870" s="6">
        <f>IF(C870="","",IF(H870=1,SUMIFS('Opening Balance'!$F$4:$F$303,'Opening Balance'!$G$4:$G$303,C870),INDEX($L$2:$L$3001,MATCH(C870&amp;"|"&amp;(H870-1),$I$2:$I$3001,0))))</f>
        <v/>
      </c>
      <c r="K870" s="6">
        <f>IF(C870="","",IF(M870&gt;0,M870,IF(AND(E870&gt;0,ROUND(J870+D870-E870,2)&gt;0,ROUND(J870+D870-E870,2)&lt;'Opening Balance'!$B$14),ROUND(J870+D870-E870,2),0)))</f>
        <v/>
      </c>
      <c r="L870" s="6">
        <f>IF(C870="","",ROUND(J870+D870-E870-K870,2))</f>
        <v/>
      </c>
      <c r="M870" s="6">
        <f>IF(C870="","",IF('Daily Sale entry '!Q870="Collection 收款",ROUND(N('Daily Sale entry '!T870),2),0))</f>
        <v/>
      </c>
    </row>
    <row r="871">
      <c r="A871" t="inlineStr">
        <is>
          <t>Entry 记录</t>
        </is>
      </c>
      <c r="B871" s="5">
        <f>IF('Daily Sale entry '!P871="","",'Daily Sale entry '!O871)</f>
        <v/>
      </c>
      <c r="C871">
        <f>IF('Daily Sale entry '!P871="","",'Daily Sale entry '!P871)</f>
        <v/>
      </c>
      <c r="D871">
        <f>IF(C871="","",IF('Daily Sale entry '!Q871="Credit Sale 赊销",'Daily Sale entry '!S871,0))</f>
        <v/>
      </c>
      <c r="E871">
        <f>IF(C871="","",IF('Daily Sale entry '!Q871="Collection 收款",'Daily Sale entry '!S871,0))</f>
        <v/>
      </c>
      <c r="F871" s="37">
        <f>IF(C871="","",B871+IF(E871&gt;0,0,0.5)+ROW()/10000000)</f>
        <v/>
      </c>
      <c r="G871">
        <f>IF(C871="","",'Daily Sale entry '!Q871&amp;IF('Daily Sale entry '!Q871="Collection 收款"," ("&amp;'Daily Sale entry '!R871&amp;")","")&amp;IF('Daily Sale entry '!U871="",""," - "&amp;'Daily Sale entry '!U871))</f>
        <v/>
      </c>
      <c r="H871">
        <f>IF(C871="","",COUNTIFS($C$2:$C$3001,C871,$F$2:$F$3001,"&lt;"&amp;F871)+1)</f>
        <v/>
      </c>
      <c r="I871">
        <f>IF(C871="","",C871&amp;"|"&amp;H871)</f>
        <v/>
      </c>
      <c r="J871" s="6">
        <f>IF(C871="","",IF(H871=1,SUMIFS('Opening Balance'!$F$4:$F$303,'Opening Balance'!$G$4:$G$303,C871),INDEX($L$2:$L$3001,MATCH(C871&amp;"|"&amp;(H871-1),$I$2:$I$3001,0))))</f>
        <v/>
      </c>
      <c r="K871" s="6">
        <f>IF(C871="","",IF(M871&gt;0,M871,IF(AND(E871&gt;0,ROUND(J871+D871-E871,2)&gt;0,ROUND(J871+D871-E871,2)&lt;'Opening Balance'!$B$14),ROUND(J871+D871-E871,2),0)))</f>
        <v/>
      </c>
      <c r="L871" s="6">
        <f>IF(C871="","",ROUND(J871+D871-E871-K871,2))</f>
        <v/>
      </c>
      <c r="M871" s="6">
        <f>IF(C871="","",IF('Daily Sale entry '!Q871="Collection 收款",ROUND(N('Daily Sale entry '!T871),2),0))</f>
        <v/>
      </c>
    </row>
    <row r="872">
      <c r="A872" t="inlineStr">
        <is>
          <t>Entry 记录</t>
        </is>
      </c>
      <c r="B872" s="5">
        <f>IF('Daily Sale entry '!P872="","",'Daily Sale entry '!O872)</f>
        <v/>
      </c>
      <c r="C872">
        <f>IF('Daily Sale entry '!P872="","",'Daily Sale entry '!P872)</f>
        <v/>
      </c>
      <c r="D872">
        <f>IF(C872="","",IF('Daily Sale entry '!Q872="Credit Sale 赊销",'Daily Sale entry '!S872,0))</f>
        <v/>
      </c>
      <c r="E872">
        <f>IF(C872="","",IF('Daily Sale entry '!Q872="Collection 收款",'Daily Sale entry '!S872,0))</f>
        <v/>
      </c>
      <c r="F872" s="37">
        <f>IF(C872="","",B872+IF(E872&gt;0,0,0.5)+ROW()/10000000)</f>
        <v/>
      </c>
      <c r="G872">
        <f>IF(C872="","",'Daily Sale entry '!Q872&amp;IF('Daily Sale entry '!Q872="Collection 收款"," ("&amp;'Daily Sale entry '!R872&amp;")","")&amp;IF('Daily Sale entry '!U872="",""," - "&amp;'Daily Sale entry '!U872))</f>
        <v/>
      </c>
      <c r="H872">
        <f>IF(C872="","",COUNTIFS($C$2:$C$3001,C872,$F$2:$F$3001,"&lt;"&amp;F872)+1)</f>
        <v/>
      </c>
      <c r="I872">
        <f>IF(C872="","",C872&amp;"|"&amp;H872)</f>
        <v/>
      </c>
      <c r="J872" s="6">
        <f>IF(C872="","",IF(H872=1,SUMIFS('Opening Balance'!$F$4:$F$303,'Opening Balance'!$G$4:$G$303,C872),INDEX($L$2:$L$3001,MATCH(C872&amp;"|"&amp;(H872-1),$I$2:$I$3001,0))))</f>
        <v/>
      </c>
      <c r="K872" s="6">
        <f>IF(C872="","",IF(M872&gt;0,M872,IF(AND(E872&gt;0,ROUND(J872+D872-E872,2)&gt;0,ROUND(J872+D872-E872,2)&lt;'Opening Balance'!$B$14),ROUND(J872+D872-E872,2),0)))</f>
        <v/>
      </c>
      <c r="L872" s="6">
        <f>IF(C872="","",ROUND(J872+D872-E872-K872,2))</f>
        <v/>
      </c>
      <c r="M872" s="6">
        <f>IF(C872="","",IF('Daily Sale entry '!Q872="Collection 收款",ROUND(N('Daily Sale entry '!T872),2),0))</f>
        <v/>
      </c>
    </row>
    <row r="873">
      <c r="A873" t="inlineStr">
        <is>
          <t>Entry 记录</t>
        </is>
      </c>
      <c r="B873" s="5">
        <f>IF('Daily Sale entry '!P873="","",'Daily Sale entry '!O873)</f>
        <v/>
      </c>
      <c r="C873">
        <f>IF('Daily Sale entry '!P873="","",'Daily Sale entry '!P873)</f>
        <v/>
      </c>
      <c r="D873">
        <f>IF(C873="","",IF('Daily Sale entry '!Q873="Credit Sale 赊销",'Daily Sale entry '!S873,0))</f>
        <v/>
      </c>
      <c r="E873">
        <f>IF(C873="","",IF('Daily Sale entry '!Q873="Collection 收款",'Daily Sale entry '!S873,0))</f>
        <v/>
      </c>
      <c r="F873" s="37">
        <f>IF(C873="","",B873+IF(E873&gt;0,0,0.5)+ROW()/10000000)</f>
        <v/>
      </c>
      <c r="G873">
        <f>IF(C873="","",'Daily Sale entry '!Q873&amp;IF('Daily Sale entry '!Q873="Collection 收款"," ("&amp;'Daily Sale entry '!R873&amp;")","")&amp;IF('Daily Sale entry '!U873="",""," - "&amp;'Daily Sale entry '!U873))</f>
        <v/>
      </c>
      <c r="H873">
        <f>IF(C873="","",COUNTIFS($C$2:$C$3001,C873,$F$2:$F$3001,"&lt;"&amp;F873)+1)</f>
        <v/>
      </c>
      <c r="I873">
        <f>IF(C873="","",C873&amp;"|"&amp;H873)</f>
        <v/>
      </c>
      <c r="J873" s="6">
        <f>IF(C873="","",IF(H873=1,SUMIFS('Opening Balance'!$F$4:$F$303,'Opening Balance'!$G$4:$G$303,C873),INDEX($L$2:$L$3001,MATCH(C873&amp;"|"&amp;(H873-1),$I$2:$I$3001,0))))</f>
        <v/>
      </c>
      <c r="K873" s="6">
        <f>IF(C873="","",IF(M873&gt;0,M873,IF(AND(E873&gt;0,ROUND(J873+D873-E873,2)&gt;0,ROUND(J873+D873-E873,2)&lt;'Opening Balance'!$B$14),ROUND(J873+D873-E873,2),0)))</f>
        <v/>
      </c>
      <c r="L873" s="6">
        <f>IF(C873="","",ROUND(J873+D873-E873-K873,2))</f>
        <v/>
      </c>
      <c r="M873" s="6">
        <f>IF(C873="","",IF('Daily Sale entry '!Q873="Collection 收款",ROUND(N('Daily Sale entry '!T873),2),0))</f>
        <v/>
      </c>
    </row>
    <row r="874">
      <c r="A874" t="inlineStr">
        <is>
          <t>Entry 记录</t>
        </is>
      </c>
      <c r="B874" s="5">
        <f>IF('Daily Sale entry '!P874="","",'Daily Sale entry '!O874)</f>
        <v/>
      </c>
      <c r="C874">
        <f>IF('Daily Sale entry '!P874="","",'Daily Sale entry '!P874)</f>
        <v/>
      </c>
      <c r="D874">
        <f>IF(C874="","",IF('Daily Sale entry '!Q874="Credit Sale 赊销",'Daily Sale entry '!S874,0))</f>
        <v/>
      </c>
      <c r="E874">
        <f>IF(C874="","",IF('Daily Sale entry '!Q874="Collection 收款",'Daily Sale entry '!S874,0))</f>
        <v/>
      </c>
      <c r="F874" s="37">
        <f>IF(C874="","",B874+IF(E874&gt;0,0,0.5)+ROW()/10000000)</f>
        <v/>
      </c>
      <c r="G874">
        <f>IF(C874="","",'Daily Sale entry '!Q874&amp;IF('Daily Sale entry '!Q874="Collection 收款"," ("&amp;'Daily Sale entry '!R874&amp;")","")&amp;IF('Daily Sale entry '!U874="",""," - "&amp;'Daily Sale entry '!U874))</f>
        <v/>
      </c>
      <c r="H874">
        <f>IF(C874="","",COUNTIFS($C$2:$C$3001,C874,$F$2:$F$3001,"&lt;"&amp;F874)+1)</f>
        <v/>
      </c>
      <c r="I874">
        <f>IF(C874="","",C874&amp;"|"&amp;H874)</f>
        <v/>
      </c>
      <c r="J874" s="6">
        <f>IF(C874="","",IF(H874=1,SUMIFS('Opening Balance'!$F$4:$F$303,'Opening Balance'!$G$4:$G$303,C874),INDEX($L$2:$L$3001,MATCH(C874&amp;"|"&amp;(H874-1),$I$2:$I$3001,0))))</f>
        <v/>
      </c>
      <c r="K874" s="6">
        <f>IF(C874="","",IF(M874&gt;0,M874,IF(AND(E874&gt;0,ROUND(J874+D874-E874,2)&gt;0,ROUND(J874+D874-E874,2)&lt;'Opening Balance'!$B$14),ROUND(J874+D874-E874,2),0)))</f>
        <v/>
      </c>
      <c r="L874" s="6">
        <f>IF(C874="","",ROUND(J874+D874-E874-K874,2))</f>
        <v/>
      </c>
      <c r="M874" s="6">
        <f>IF(C874="","",IF('Daily Sale entry '!Q874="Collection 收款",ROUND(N('Daily Sale entry '!T874),2),0))</f>
        <v/>
      </c>
    </row>
    <row r="875">
      <c r="A875" t="inlineStr">
        <is>
          <t>Entry 记录</t>
        </is>
      </c>
      <c r="B875" s="5">
        <f>IF('Daily Sale entry '!P875="","",'Daily Sale entry '!O875)</f>
        <v/>
      </c>
      <c r="C875">
        <f>IF('Daily Sale entry '!P875="","",'Daily Sale entry '!P875)</f>
        <v/>
      </c>
      <c r="D875">
        <f>IF(C875="","",IF('Daily Sale entry '!Q875="Credit Sale 赊销",'Daily Sale entry '!S875,0))</f>
        <v/>
      </c>
      <c r="E875">
        <f>IF(C875="","",IF('Daily Sale entry '!Q875="Collection 收款",'Daily Sale entry '!S875,0))</f>
        <v/>
      </c>
      <c r="F875" s="37">
        <f>IF(C875="","",B875+IF(E875&gt;0,0,0.5)+ROW()/10000000)</f>
        <v/>
      </c>
      <c r="G875">
        <f>IF(C875="","",'Daily Sale entry '!Q875&amp;IF('Daily Sale entry '!Q875="Collection 收款"," ("&amp;'Daily Sale entry '!R875&amp;")","")&amp;IF('Daily Sale entry '!U875="",""," - "&amp;'Daily Sale entry '!U875))</f>
        <v/>
      </c>
      <c r="H875">
        <f>IF(C875="","",COUNTIFS($C$2:$C$3001,C875,$F$2:$F$3001,"&lt;"&amp;F875)+1)</f>
        <v/>
      </c>
      <c r="I875">
        <f>IF(C875="","",C875&amp;"|"&amp;H875)</f>
        <v/>
      </c>
      <c r="J875" s="6">
        <f>IF(C875="","",IF(H875=1,SUMIFS('Opening Balance'!$F$4:$F$303,'Opening Balance'!$G$4:$G$303,C875),INDEX($L$2:$L$3001,MATCH(C875&amp;"|"&amp;(H875-1),$I$2:$I$3001,0))))</f>
        <v/>
      </c>
      <c r="K875" s="6">
        <f>IF(C875="","",IF(M875&gt;0,M875,IF(AND(E875&gt;0,ROUND(J875+D875-E875,2)&gt;0,ROUND(J875+D875-E875,2)&lt;'Opening Balance'!$B$14),ROUND(J875+D875-E875,2),0)))</f>
        <v/>
      </c>
      <c r="L875" s="6">
        <f>IF(C875="","",ROUND(J875+D875-E875-K875,2))</f>
        <v/>
      </c>
      <c r="M875" s="6">
        <f>IF(C875="","",IF('Daily Sale entry '!Q875="Collection 收款",ROUND(N('Daily Sale entry '!T875),2),0))</f>
        <v/>
      </c>
    </row>
    <row r="876">
      <c r="A876" t="inlineStr">
        <is>
          <t>Entry 记录</t>
        </is>
      </c>
      <c r="B876" s="5">
        <f>IF('Daily Sale entry '!P876="","",'Daily Sale entry '!O876)</f>
        <v/>
      </c>
      <c r="C876">
        <f>IF('Daily Sale entry '!P876="","",'Daily Sale entry '!P876)</f>
        <v/>
      </c>
      <c r="D876">
        <f>IF(C876="","",IF('Daily Sale entry '!Q876="Credit Sale 赊销",'Daily Sale entry '!S876,0))</f>
        <v/>
      </c>
      <c r="E876">
        <f>IF(C876="","",IF('Daily Sale entry '!Q876="Collection 收款",'Daily Sale entry '!S876,0))</f>
        <v/>
      </c>
      <c r="F876" s="37">
        <f>IF(C876="","",B876+IF(E876&gt;0,0,0.5)+ROW()/10000000)</f>
        <v/>
      </c>
      <c r="G876">
        <f>IF(C876="","",'Daily Sale entry '!Q876&amp;IF('Daily Sale entry '!Q876="Collection 收款"," ("&amp;'Daily Sale entry '!R876&amp;")","")&amp;IF('Daily Sale entry '!U876="",""," - "&amp;'Daily Sale entry '!U876))</f>
        <v/>
      </c>
      <c r="H876">
        <f>IF(C876="","",COUNTIFS($C$2:$C$3001,C876,$F$2:$F$3001,"&lt;"&amp;F876)+1)</f>
        <v/>
      </c>
      <c r="I876">
        <f>IF(C876="","",C876&amp;"|"&amp;H876)</f>
        <v/>
      </c>
      <c r="J876" s="6">
        <f>IF(C876="","",IF(H876=1,SUMIFS('Opening Balance'!$F$4:$F$303,'Opening Balance'!$G$4:$G$303,C876),INDEX($L$2:$L$3001,MATCH(C876&amp;"|"&amp;(H876-1),$I$2:$I$3001,0))))</f>
        <v/>
      </c>
      <c r="K876" s="6">
        <f>IF(C876="","",IF(M876&gt;0,M876,IF(AND(E876&gt;0,ROUND(J876+D876-E876,2)&gt;0,ROUND(J876+D876-E876,2)&lt;'Opening Balance'!$B$14),ROUND(J876+D876-E876,2),0)))</f>
        <v/>
      </c>
      <c r="L876" s="6">
        <f>IF(C876="","",ROUND(J876+D876-E876-K876,2))</f>
        <v/>
      </c>
      <c r="M876" s="6">
        <f>IF(C876="","",IF('Daily Sale entry '!Q876="Collection 收款",ROUND(N('Daily Sale entry '!T876),2),0))</f>
        <v/>
      </c>
    </row>
    <row r="877">
      <c r="A877" t="inlineStr">
        <is>
          <t>Entry 记录</t>
        </is>
      </c>
      <c r="B877" s="5">
        <f>IF('Daily Sale entry '!P877="","",'Daily Sale entry '!O877)</f>
        <v/>
      </c>
      <c r="C877">
        <f>IF('Daily Sale entry '!P877="","",'Daily Sale entry '!P877)</f>
        <v/>
      </c>
      <c r="D877">
        <f>IF(C877="","",IF('Daily Sale entry '!Q877="Credit Sale 赊销",'Daily Sale entry '!S877,0))</f>
        <v/>
      </c>
      <c r="E877">
        <f>IF(C877="","",IF('Daily Sale entry '!Q877="Collection 收款",'Daily Sale entry '!S877,0))</f>
        <v/>
      </c>
      <c r="F877" s="37">
        <f>IF(C877="","",B877+IF(E877&gt;0,0,0.5)+ROW()/10000000)</f>
        <v/>
      </c>
      <c r="G877">
        <f>IF(C877="","",'Daily Sale entry '!Q877&amp;IF('Daily Sale entry '!Q877="Collection 收款"," ("&amp;'Daily Sale entry '!R877&amp;")","")&amp;IF('Daily Sale entry '!U877="",""," - "&amp;'Daily Sale entry '!U877))</f>
        <v/>
      </c>
      <c r="H877">
        <f>IF(C877="","",COUNTIFS($C$2:$C$3001,C877,$F$2:$F$3001,"&lt;"&amp;F877)+1)</f>
        <v/>
      </c>
      <c r="I877">
        <f>IF(C877="","",C877&amp;"|"&amp;H877)</f>
        <v/>
      </c>
      <c r="J877" s="6">
        <f>IF(C877="","",IF(H877=1,SUMIFS('Opening Balance'!$F$4:$F$303,'Opening Balance'!$G$4:$G$303,C877),INDEX($L$2:$L$3001,MATCH(C877&amp;"|"&amp;(H877-1),$I$2:$I$3001,0))))</f>
        <v/>
      </c>
      <c r="K877" s="6">
        <f>IF(C877="","",IF(M877&gt;0,M877,IF(AND(E877&gt;0,ROUND(J877+D877-E877,2)&gt;0,ROUND(J877+D877-E877,2)&lt;'Opening Balance'!$B$14),ROUND(J877+D877-E877,2),0)))</f>
        <v/>
      </c>
      <c r="L877" s="6">
        <f>IF(C877="","",ROUND(J877+D877-E877-K877,2))</f>
        <v/>
      </c>
      <c r="M877" s="6">
        <f>IF(C877="","",IF('Daily Sale entry '!Q877="Collection 收款",ROUND(N('Daily Sale entry '!T877),2),0))</f>
        <v/>
      </c>
    </row>
    <row r="878">
      <c r="A878" t="inlineStr">
        <is>
          <t>Entry 记录</t>
        </is>
      </c>
      <c r="B878" s="5">
        <f>IF('Daily Sale entry '!P878="","",'Daily Sale entry '!O878)</f>
        <v/>
      </c>
      <c r="C878">
        <f>IF('Daily Sale entry '!P878="","",'Daily Sale entry '!P878)</f>
        <v/>
      </c>
      <c r="D878">
        <f>IF(C878="","",IF('Daily Sale entry '!Q878="Credit Sale 赊销",'Daily Sale entry '!S878,0))</f>
        <v/>
      </c>
      <c r="E878">
        <f>IF(C878="","",IF('Daily Sale entry '!Q878="Collection 收款",'Daily Sale entry '!S878,0))</f>
        <v/>
      </c>
      <c r="F878" s="37">
        <f>IF(C878="","",B878+IF(E878&gt;0,0,0.5)+ROW()/10000000)</f>
        <v/>
      </c>
      <c r="G878">
        <f>IF(C878="","",'Daily Sale entry '!Q878&amp;IF('Daily Sale entry '!Q878="Collection 收款"," ("&amp;'Daily Sale entry '!R878&amp;")","")&amp;IF('Daily Sale entry '!U878="",""," - "&amp;'Daily Sale entry '!U878))</f>
        <v/>
      </c>
      <c r="H878">
        <f>IF(C878="","",COUNTIFS($C$2:$C$3001,C878,$F$2:$F$3001,"&lt;"&amp;F878)+1)</f>
        <v/>
      </c>
      <c r="I878">
        <f>IF(C878="","",C878&amp;"|"&amp;H878)</f>
        <v/>
      </c>
      <c r="J878" s="6">
        <f>IF(C878="","",IF(H878=1,SUMIFS('Opening Balance'!$F$4:$F$303,'Opening Balance'!$G$4:$G$303,C878),INDEX($L$2:$L$3001,MATCH(C878&amp;"|"&amp;(H878-1),$I$2:$I$3001,0))))</f>
        <v/>
      </c>
      <c r="K878" s="6">
        <f>IF(C878="","",IF(M878&gt;0,M878,IF(AND(E878&gt;0,ROUND(J878+D878-E878,2)&gt;0,ROUND(J878+D878-E878,2)&lt;'Opening Balance'!$B$14),ROUND(J878+D878-E878,2),0)))</f>
        <v/>
      </c>
      <c r="L878" s="6">
        <f>IF(C878="","",ROUND(J878+D878-E878-K878,2))</f>
        <v/>
      </c>
      <c r="M878" s="6">
        <f>IF(C878="","",IF('Daily Sale entry '!Q878="Collection 收款",ROUND(N('Daily Sale entry '!T878),2),0))</f>
        <v/>
      </c>
    </row>
    <row r="879">
      <c r="A879" t="inlineStr">
        <is>
          <t>Entry 记录</t>
        </is>
      </c>
      <c r="B879" s="5">
        <f>IF('Daily Sale entry '!P879="","",'Daily Sale entry '!O879)</f>
        <v/>
      </c>
      <c r="C879">
        <f>IF('Daily Sale entry '!P879="","",'Daily Sale entry '!P879)</f>
        <v/>
      </c>
      <c r="D879">
        <f>IF(C879="","",IF('Daily Sale entry '!Q879="Credit Sale 赊销",'Daily Sale entry '!S879,0))</f>
        <v/>
      </c>
      <c r="E879">
        <f>IF(C879="","",IF('Daily Sale entry '!Q879="Collection 收款",'Daily Sale entry '!S879,0))</f>
        <v/>
      </c>
      <c r="F879" s="37">
        <f>IF(C879="","",B879+IF(E879&gt;0,0,0.5)+ROW()/10000000)</f>
        <v/>
      </c>
      <c r="G879">
        <f>IF(C879="","",'Daily Sale entry '!Q879&amp;IF('Daily Sale entry '!Q879="Collection 收款"," ("&amp;'Daily Sale entry '!R879&amp;")","")&amp;IF('Daily Sale entry '!U879="",""," - "&amp;'Daily Sale entry '!U879))</f>
        <v/>
      </c>
      <c r="H879">
        <f>IF(C879="","",COUNTIFS($C$2:$C$3001,C879,$F$2:$F$3001,"&lt;"&amp;F879)+1)</f>
        <v/>
      </c>
      <c r="I879">
        <f>IF(C879="","",C879&amp;"|"&amp;H879)</f>
        <v/>
      </c>
      <c r="J879" s="6">
        <f>IF(C879="","",IF(H879=1,SUMIFS('Opening Balance'!$F$4:$F$303,'Opening Balance'!$G$4:$G$303,C879),INDEX($L$2:$L$3001,MATCH(C879&amp;"|"&amp;(H879-1),$I$2:$I$3001,0))))</f>
        <v/>
      </c>
      <c r="K879" s="6">
        <f>IF(C879="","",IF(M879&gt;0,M879,IF(AND(E879&gt;0,ROUND(J879+D879-E879,2)&gt;0,ROUND(J879+D879-E879,2)&lt;'Opening Balance'!$B$14),ROUND(J879+D879-E879,2),0)))</f>
        <v/>
      </c>
      <c r="L879" s="6">
        <f>IF(C879="","",ROUND(J879+D879-E879-K879,2))</f>
        <v/>
      </c>
      <c r="M879" s="6">
        <f>IF(C879="","",IF('Daily Sale entry '!Q879="Collection 收款",ROUND(N('Daily Sale entry '!T879),2),0))</f>
        <v/>
      </c>
    </row>
    <row r="880">
      <c r="A880" t="inlineStr">
        <is>
          <t>Entry 记录</t>
        </is>
      </c>
      <c r="B880" s="5">
        <f>IF('Daily Sale entry '!P880="","",'Daily Sale entry '!O880)</f>
        <v/>
      </c>
      <c r="C880">
        <f>IF('Daily Sale entry '!P880="","",'Daily Sale entry '!P880)</f>
        <v/>
      </c>
      <c r="D880">
        <f>IF(C880="","",IF('Daily Sale entry '!Q880="Credit Sale 赊销",'Daily Sale entry '!S880,0))</f>
        <v/>
      </c>
      <c r="E880">
        <f>IF(C880="","",IF('Daily Sale entry '!Q880="Collection 收款",'Daily Sale entry '!S880,0))</f>
        <v/>
      </c>
      <c r="F880" s="37">
        <f>IF(C880="","",B880+IF(E880&gt;0,0,0.5)+ROW()/10000000)</f>
        <v/>
      </c>
      <c r="G880">
        <f>IF(C880="","",'Daily Sale entry '!Q880&amp;IF('Daily Sale entry '!Q880="Collection 收款"," ("&amp;'Daily Sale entry '!R880&amp;")","")&amp;IF('Daily Sale entry '!U880="",""," - "&amp;'Daily Sale entry '!U880))</f>
        <v/>
      </c>
      <c r="H880">
        <f>IF(C880="","",COUNTIFS($C$2:$C$3001,C880,$F$2:$F$3001,"&lt;"&amp;F880)+1)</f>
        <v/>
      </c>
      <c r="I880">
        <f>IF(C880="","",C880&amp;"|"&amp;H880)</f>
        <v/>
      </c>
      <c r="J880" s="6">
        <f>IF(C880="","",IF(H880=1,SUMIFS('Opening Balance'!$F$4:$F$303,'Opening Balance'!$G$4:$G$303,C880),INDEX($L$2:$L$3001,MATCH(C880&amp;"|"&amp;(H880-1),$I$2:$I$3001,0))))</f>
        <v/>
      </c>
      <c r="K880" s="6">
        <f>IF(C880="","",IF(M880&gt;0,M880,IF(AND(E880&gt;0,ROUND(J880+D880-E880,2)&gt;0,ROUND(J880+D880-E880,2)&lt;'Opening Balance'!$B$14),ROUND(J880+D880-E880,2),0)))</f>
        <v/>
      </c>
      <c r="L880" s="6">
        <f>IF(C880="","",ROUND(J880+D880-E880-K880,2))</f>
        <v/>
      </c>
      <c r="M880" s="6">
        <f>IF(C880="","",IF('Daily Sale entry '!Q880="Collection 收款",ROUND(N('Daily Sale entry '!T880),2),0))</f>
        <v/>
      </c>
    </row>
    <row r="881">
      <c r="A881" t="inlineStr">
        <is>
          <t>Entry 记录</t>
        </is>
      </c>
      <c r="B881" s="5">
        <f>IF('Daily Sale entry '!P881="","",'Daily Sale entry '!O881)</f>
        <v/>
      </c>
      <c r="C881">
        <f>IF('Daily Sale entry '!P881="","",'Daily Sale entry '!P881)</f>
        <v/>
      </c>
      <c r="D881">
        <f>IF(C881="","",IF('Daily Sale entry '!Q881="Credit Sale 赊销",'Daily Sale entry '!S881,0))</f>
        <v/>
      </c>
      <c r="E881">
        <f>IF(C881="","",IF('Daily Sale entry '!Q881="Collection 收款",'Daily Sale entry '!S881,0))</f>
        <v/>
      </c>
      <c r="F881" s="37">
        <f>IF(C881="","",B881+IF(E881&gt;0,0,0.5)+ROW()/10000000)</f>
        <v/>
      </c>
      <c r="G881">
        <f>IF(C881="","",'Daily Sale entry '!Q881&amp;IF('Daily Sale entry '!Q881="Collection 收款"," ("&amp;'Daily Sale entry '!R881&amp;")","")&amp;IF('Daily Sale entry '!U881="",""," - "&amp;'Daily Sale entry '!U881))</f>
        <v/>
      </c>
      <c r="H881">
        <f>IF(C881="","",COUNTIFS($C$2:$C$3001,C881,$F$2:$F$3001,"&lt;"&amp;F881)+1)</f>
        <v/>
      </c>
      <c r="I881">
        <f>IF(C881="","",C881&amp;"|"&amp;H881)</f>
        <v/>
      </c>
      <c r="J881" s="6">
        <f>IF(C881="","",IF(H881=1,SUMIFS('Opening Balance'!$F$4:$F$303,'Opening Balance'!$G$4:$G$303,C881),INDEX($L$2:$L$3001,MATCH(C881&amp;"|"&amp;(H881-1),$I$2:$I$3001,0))))</f>
        <v/>
      </c>
      <c r="K881" s="6">
        <f>IF(C881="","",IF(M881&gt;0,M881,IF(AND(E881&gt;0,ROUND(J881+D881-E881,2)&gt;0,ROUND(J881+D881-E881,2)&lt;'Opening Balance'!$B$14),ROUND(J881+D881-E881,2),0)))</f>
        <v/>
      </c>
      <c r="L881" s="6">
        <f>IF(C881="","",ROUND(J881+D881-E881-K881,2))</f>
        <v/>
      </c>
      <c r="M881" s="6">
        <f>IF(C881="","",IF('Daily Sale entry '!Q881="Collection 收款",ROUND(N('Daily Sale entry '!T881),2),0))</f>
        <v/>
      </c>
    </row>
    <row r="882">
      <c r="A882" t="inlineStr">
        <is>
          <t>Entry 记录</t>
        </is>
      </c>
      <c r="B882" s="5">
        <f>IF('Daily Sale entry '!P882="","",'Daily Sale entry '!O882)</f>
        <v/>
      </c>
      <c r="C882">
        <f>IF('Daily Sale entry '!P882="","",'Daily Sale entry '!P882)</f>
        <v/>
      </c>
      <c r="D882">
        <f>IF(C882="","",IF('Daily Sale entry '!Q882="Credit Sale 赊销",'Daily Sale entry '!S882,0))</f>
        <v/>
      </c>
      <c r="E882">
        <f>IF(C882="","",IF('Daily Sale entry '!Q882="Collection 收款",'Daily Sale entry '!S882,0))</f>
        <v/>
      </c>
      <c r="F882" s="37">
        <f>IF(C882="","",B882+IF(E882&gt;0,0,0.5)+ROW()/10000000)</f>
        <v/>
      </c>
      <c r="G882">
        <f>IF(C882="","",'Daily Sale entry '!Q882&amp;IF('Daily Sale entry '!Q882="Collection 收款"," ("&amp;'Daily Sale entry '!R882&amp;")","")&amp;IF('Daily Sale entry '!U882="",""," - "&amp;'Daily Sale entry '!U882))</f>
        <v/>
      </c>
      <c r="H882">
        <f>IF(C882="","",COUNTIFS($C$2:$C$3001,C882,$F$2:$F$3001,"&lt;"&amp;F882)+1)</f>
        <v/>
      </c>
      <c r="I882">
        <f>IF(C882="","",C882&amp;"|"&amp;H882)</f>
        <v/>
      </c>
      <c r="J882" s="6">
        <f>IF(C882="","",IF(H882=1,SUMIFS('Opening Balance'!$F$4:$F$303,'Opening Balance'!$G$4:$G$303,C882),INDEX($L$2:$L$3001,MATCH(C882&amp;"|"&amp;(H882-1),$I$2:$I$3001,0))))</f>
        <v/>
      </c>
      <c r="K882" s="6">
        <f>IF(C882="","",IF(M882&gt;0,M882,IF(AND(E882&gt;0,ROUND(J882+D882-E882,2)&gt;0,ROUND(J882+D882-E882,2)&lt;'Opening Balance'!$B$14),ROUND(J882+D882-E882,2),0)))</f>
        <v/>
      </c>
      <c r="L882" s="6">
        <f>IF(C882="","",ROUND(J882+D882-E882-K882,2))</f>
        <v/>
      </c>
      <c r="M882" s="6">
        <f>IF(C882="","",IF('Daily Sale entry '!Q882="Collection 收款",ROUND(N('Daily Sale entry '!T882),2),0))</f>
        <v/>
      </c>
    </row>
    <row r="883">
      <c r="A883" t="inlineStr">
        <is>
          <t>Entry 记录</t>
        </is>
      </c>
      <c r="B883" s="5">
        <f>IF('Daily Sale entry '!P883="","",'Daily Sale entry '!O883)</f>
        <v/>
      </c>
      <c r="C883">
        <f>IF('Daily Sale entry '!P883="","",'Daily Sale entry '!P883)</f>
        <v/>
      </c>
      <c r="D883">
        <f>IF(C883="","",IF('Daily Sale entry '!Q883="Credit Sale 赊销",'Daily Sale entry '!S883,0))</f>
        <v/>
      </c>
      <c r="E883">
        <f>IF(C883="","",IF('Daily Sale entry '!Q883="Collection 收款",'Daily Sale entry '!S883,0))</f>
        <v/>
      </c>
      <c r="F883" s="37">
        <f>IF(C883="","",B883+IF(E883&gt;0,0,0.5)+ROW()/10000000)</f>
        <v/>
      </c>
      <c r="G883">
        <f>IF(C883="","",'Daily Sale entry '!Q883&amp;IF('Daily Sale entry '!Q883="Collection 收款"," ("&amp;'Daily Sale entry '!R883&amp;")","")&amp;IF('Daily Sale entry '!U883="",""," - "&amp;'Daily Sale entry '!U883))</f>
        <v/>
      </c>
      <c r="H883">
        <f>IF(C883="","",COUNTIFS($C$2:$C$3001,C883,$F$2:$F$3001,"&lt;"&amp;F883)+1)</f>
        <v/>
      </c>
      <c r="I883">
        <f>IF(C883="","",C883&amp;"|"&amp;H883)</f>
        <v/>
      </c>
      <c r="J883" s="6">
        <f>IF(C883="","",IF(H883=1,SUMIFS('Opening Balance'!$F$4:$F$303,'Opening Balance'!$G$4:$G$303,C883),INDEX($L$2:$L$3001,MATCH(C883&amp;"|"&amp;(H883-1),$I$2:$I$3001,0))))</f>
        <v/>
      </c>
      <c r="K883" s="6">
        <f>IF(C883="","",IF(M883&gt;0,M883,IF(AND(E883&gt;0,ROUND(J883+D883-E883,2)&gt;0,ROUND(J883+D883-E883,2)&lt;'Opening Balance'!$B$14),ROUND(J883+D883-E883,2),0)))</f>
        <v/>
      </c>
      <c r="L883" s="6">
        <f>IF(C883="","",ROUND(J883+D883-E883-K883,2))</f>
        <v/>
      </c>
      <c r="M883" s="6">
        <f>IF(C883="","",IF('Daily Sale entry '!Q883="Collection 收款",ROUND(N('Daily Sale entry '!T883),2),0))</f>
        <v/>
      </c>
    </row>
    <row r="884">
      <c r="A884" t="inlineStr">
        <is>
          <t>Entry 记录</t>
        </is>
      </c>
      <c r="B884" s="5">
        <f>IF('Daily Sale entry '!P884="","",'Daily Sale entry '!O884)</f>
        <v/>
      </c>
      <c r="C884">
        <f>IF('Daily Sale entry '!P884="","",'Daily Sale entry '!P884)</f>
        <v/>
      </c>
      <c r="D884">
        <f>IF(C884="","",IF('Daily Sale entry '!Q884="Credit Sale 赊销",'Daily Sale entry '!S884,0))</f>
        <v/>
      </c>
      <c r="E884">
        <f>IF(C884="","",IF('Daily Sale entry '!Q884="Collection 收款",'Daily Sale entry '!S884,0))</f>
        <v/>
      </c>
      <c r="F884" s="37">
        <f>IF(C884="","",B884+IF(E884&gt;0,0,0.5)+ROW()/10000000)</f>
        <v/>
      </c>
      <c r="G884">
        <f>IF(C884="","",'Daily Sale entry '!Q884&amp;IF('Daily Sale entry '!Q884="Collection 收款"," ("&amp;'Daily Sale entry '!R884&amp;")","")&amp;IF('Daily Sale entry '!U884="",""," - "&amp;'Daily Sale entry '!U884))</f>
        <v/>
      </c>
      <c r="H884">
        <f>IF(C884="","",COUNTIFS($C$2:$C$3001,C884,$F$2:$F$3001,"&lt;"&amp;F884)+1)</f>
        <v/>
      </c>
      <c r="I884">
        <f>IF(C884="","",C884&amp;"|"&amp;H884)</f>
        <v/>
      </c>
      <c r="J884" s="6">
        <f>IF(C884="","",IF(H884=1,SUMIFS('Opening Balance'!$F$4:$F$303,'Opening Balance'!$G$4:$G$303,C884),INDEX($L$2:$L$3001,MATCH(C884&amp;"|"&amp;(H884-1),$I$2:$I$3001,0))))</f>
        <v/>
      </c>
      <c r="K884" s="6">
        <f>IF(C884="","",IF(M884&gt;0,M884,IF(AND(E884&gt;0,ROUND(J884+D884-E884,2)&gt;0,ROUND(J884+D884-E884,2)&lt;'Opening Balance'!$B$14),ROUND(J884+D884-E884,2),0)))</f>
        <v/>
      </c>
      <c r="L884" s="6">
        <f>IF(C884="","",ROUND(J884+D884-E884-K884,2))</f>
        <v/>
      </c>
      <c r="M884" s="6">
        <f>IF(C884="","",IF('Daily Sale entry '!Q884="Collection 收款",ROUND(N('Daily Sale entry '!T884),2),0))</f>
        <v/>
      </c>
    </row>
    <row r="885">
      <c r="A885" t="inlineStr">
        <is>
          <t>Entry 记录</t>
        </is>
      </c>
      <c r="B885" s="5">
        <f>IF('Daily Sale entry '!P885="","",'Daily Sale entry '!O885)</f>
        <v/>
      </c>
      <c r="C885">
        <f>IF('Daily Sale entry '!P885="","",'Daily Sale entry '!P885)</f>
        <v/>
      </c>
      <c r="D885">
        <f>IF(C885="","",IF('Daily Sale entry '!Q885="Credit Sale 赊销",'Daily Sale entry '!S885,0))</f>
        <v/>
      </c>
      <c r="E885">
        <f>IF(C885="","",IF('Daily Sale entry '!Q885="Collection 收款",'Daily Sale entry '!S885,0))</f>
        <v/>
      </c>
      <c r="F885" s="37">
        <f>IF(C885="","",B885+IF(E885&gt;0,0,0.5)+ROW()/10000000)</f>
        <v/>
      </c>
      <c r="G885">
        <f>IF(C885="","",'Daily Sale entry '!Q885&amp;IF('Daily Sale entry '!Q885="Collection 收款"," ("&amp;'Daily Sale entry '!R885&amp;")","")&amp;IF('Daily Sale entry '!U885="",""," - "&amp;'Daily Sale entry '!U885))</f>
        <v/>
      </c>
      <c r="H885">
        <f>IF(C885="","",COUNTIFS($C$2:$C$3001,C885,$F$2:$F$3001,"&lt;"&amp;F885)+1)</f>
        <v/>
      </c>
      <c r="I885">
        <f>IF(C885="","",C885&amp;"|"&amp;H885)</f>
        <v/>
      </c>
      <c r="J885" s="6">
        <f>IF(C885="","",IF(H885=1,SUMIFS('Opening Balance'!$F$4:$F$303,'Opening Balance'!$G$4:$G$303,C885),INDEX($L$2:$L$3001,MATCH(C885&amp;"|"&amp;(H885-1),$I$2:$I$3001,0))))</f>
        <v/>
      </c>
      <c r="K885" s="6">
        <f>IF(C885="","",IF(M885&gt;0,M885,IF(AND(E885&gt;0,ROUND(J885+D885-E885,2)&gt;0,ROUND(J885+D885-E885,2)&lt;'Opening Balance'!$B$14),ROUND(J885+D885-E885,2),0)))</f>
        <v/>
      </c>
      <c r="L885" s="6">
        <f>IF(C885="","",ROUND(J885+D885-E885-K885,2))</f>
        <v/>
      </c>
      <c r="M885" s="6">
        <f>IF(C885="","",IF('Daily Sale entry '!Q885="Collection 收款",ROUND(N('Daily Sale entry '!T885),2),0))</f>
        <v/>
      </c>
    </row>
    <row r="886">
      <c r="A886" t="inlineStr">
        <is>
          <t>Entry 记录</t>
        </is>
      </c>
      <c r="B886" s="5">
        <f>IF('Daily Sale entry '!P886="","",'Daily Sale entry '!O886)</f>
        <v/>
      </c>
      <c r="C886">
        <f>IF('Daily Sale entry '!P886="","",'Daily Sale entry '!P886)</f>
        <v/>
      </c>
      <c r="D886">
        <f>IF(C886="","",IF('Daily Sale entry '!Q886="Credit Sale 赊销",'Daily Sale entry '!S886,0))</f>
        <v/>
      </c>
      <c r="E886">
        <f>IF(C886="","",IF('Daily Sale entry '!Q886="Collection 收款",'Daily Sale entry '!S886,0))</f>
        <v/>
      </c>
      <c r="F886" s="37">
        <f>IF(C886="","",B886+IF(E886&gt;0,0,0.5)+ROW()/10000000)</f>
        <v/>
      </c>
      <c r="G886">
        <f>IF(C886="","",'Daily Sale entry '!Q886&amp;IF('Daily Sale entry '!Q886="Collection 收款"," ("&amp;'Daily Sale entry '!R886&amp;")","")&amp;IF('Daily Sale entry '!U886="",""," - "&amp;'Daily Sale entry '!U886))</f>
        <v/>
      </c>
      <c r="H886">
        <f>IF(C886="","",COUNTIFS($C$2:$C$3001,C886,$F$2:$F$3001,"&lt;"&amp;F886)+1)</f>
        <v/>
      </c>
      <c r="I886">
        <f>IF(C886="","",C886&amp;"|"&amp;H886)</f>
        <v/>
      </c>
      <c r="J886" s="6">
        <f>IF(C886="","",IF(H886=1,SUMIFS('Opening Balance'!$F$4:$F$303,'Opening Balance'!$G$4:$G$303,C886),INDEX($L$2:$L$3001,MATCH(C886&amp;"|"&amp;(H886-1),$I$2:$I$3001,0))))</f>
        <v/>
      </c>
      <c r="K886" s="6">
        <f>IF(C886="","",IF(M886&gt;0,M886,IF(AND(E886&gt;0,ROUND(J886+D886-E886,2)&gt;0,ROUND(J886+D886-E886,2)&lt;'Opening Balance'!$B$14),ROUND(J886+D886-E886,2),0)))</f>
        <v/>
      </c>
      <c r="L886" s="6">
        <f>IF(C886="","",ROUND(J886+D886-E886-K886,2))</f>
        <v/>
      </c>
      <c r="M886" s="6">
        <f>IF(C886="","",IF('Daily Sale entry '!Q886="Collection 收款",ROUND(N('Daily Sale entry '!T886),2),0))</f>
        <v/>
      </c>
    </row>
    <row r="887">
      <c r="A887" t="inlineStr">
        <is>
          <t>Entry 记录</t>
        </is>
      </c>
      <c r="B887" s="5">
        <f>IF('Daily Sale entry '!P887="","",'Daily Sale entry '!O887)</f>
        <v/>
      </c>
      <c r="C887">
        <f>IF('Daily Sale entry '!P887="","",'Daily Sale entry '!P887)</f>
        <v/>
      </c>
      <c r="D887">
        <f>IF(C887="","",IF('Daily Sale entry '!Q887="Credit Sale 赊销",'Daily Sale entry '!S887,0))</f>
        <v/>
      </c>
      <c r="E887">
        <f>IF(C887="","",IF('Daily Sale entry '!Q887="Collection 收款",'Daily Sale entry '!S887,0))</f>
        <v/>
      </c>
      <c r="F887" s="37">
        <f>IF(C887="","",B887+IF(E887&gt;0,0,0.5)+ROW()/10000000)</f>
        <v/>
      </c>
      <c r="G887">
        <f>IF(C887="","",'Daily Sale entry '!Q887&amp;IF('Daily Sale entry '!Q887="Collection 收款"," ("&amp;'Daily Sale entry '!R887&amp;")","")&amp;IF('Daily Sale entry '!U887="",""," - "&amp;'Daily Sale entry '!U887))</f>
        <v/>
      </c>
      <c r="H887">
        <f>IF(C887="","",COUNTIFS($C$2:$C$3001,C887,$F$2:$F$3001,"&lt;"&amp;F887)+1)</f>
        <v/>
      </c>
      <c r="I887">
        <f>IF(C887="","",C887&amp;"|"&amp;H887)</f>
        <v/>
      </c>
      <c r="J887" s="6">
        <f>IF(C887="","",IF(H887=1,SUMIFS('Opening Balance'!$F$4:$F$303,'Opening Balance'!$G$4:$G$303,C887),INDEX($L$2:$L$3001,MATCH(C887&amp;"|"&amp;(H887-1),$I$2:$I$3001,0))))</f>
        <v/>
      </c>
      <c r="K887" s="6">
        <f>IF(C887="","",IF(M887&gt;0,M887,IF(AND(E887&gt;0,ROUND(J887+D887-E887,2)&gt;0,ROUND(J887+D887-E887,2)&lt;'Opening Balance'!$B$14),ROUND(J887+D887-E887,2),0)))</f>
        <v/>
      </c>
      <c r="L887" s="6">
        <f>IF(C887="","",ROUND(J887+D887-E887-K887,2))</f>
        <v/>
      </c>
      <c r="M887" s="6">
        <f>IF(C887="","",IF('Daily Sale entry '!Q887="Collection 收款",ROUND(N('Daily Sale entry '!T887),2),0))</f>
        <v/>
      </c>
    </row>
    <row r="888">
      <c r="A888" t="inlineStr">
        <is>
          <t>Entry 记录</t>
        </is>
      </c>
      <c r="B888" s="5">
        <f>IF('Daily Sale entry '!P888="","",'Daily Sale entry '!O888)</f>
        <v/>
      </c>
      <c r="C888">
        <f>IF('Daily Sale entry '!P888="","",'Daily Sale entry '!P888)</f>
        <v/>
      </c>
      <c r="D888">
        <f>IF(C888="","",IF('Daily Sale entry '!Q888="Credit Sale 赊销",'Daily Sale entry '!S888,0))</f>
        <v/>
      </c>
      <c r="E888">
        <f>IF(C888="","",IF('Daily Sale entry '!Q888="Collection 收款",'Daily Sale entry '!S888,0))</f>
        <v/>
      </c>
      <c r="F888" s="37">
        <f>IF(C888="","",B888+IF(E888&gt;0,0,0.5)+ROW()/10000000)</f>
        <v/>
      </c>
      <c r="G888">
        <f>IF(C888="","",'Daily Sale entry '!Q888&amp;IF('Daily Sale entry '!Q888="Collection 收款"," ("&amp;'Daily Sale entry '!R888&amp;")","")&amp;IF('Daily Sale entry '!U888="",""," - "&amp;'Daily Sale entry '!U888))</f>
        <v/>
      </c>
      <c r="H888">
        <f>IF(C888="","",COUNTIFS($C$2:$C$3001,C888,$F$2:$F$3001,"&lt;"&amp;F888)+1)</f>
        <v/>
      </c>
      <c r="I888">
        <f>IF(C888="","",C888&amp;"|"&amp;H888)</f>
        <v/>
      </c>
      <c r="J888" s="6">
        <f>IF(C888="","",IF(H888=1,SUMIFS('Opening Balance'!$F$4:$F$303,'Opening Balance'!$G$4:$G$303,C888),INDEX($L$2:$L$3001,MATCH(C888&amp;"|"&amp;(H888-1),$I$2:$I$3001,0))))</f>
        <v/>
      </c>
      <c r="K888" s="6">
        <f>IF(C888="","",IF(M888&gt;0,M888,IF(AND(E888&gt;0,ROUND(J888+D888-E888,2)&gt;0,ROUND(J888+D888-E888,2)&lt;'Opening Balance'!$B$14),ROUND(J888+D888-E888,2),0)))</f>
        <v/>
      </c>
      <c r="L888" s="6">
        <f>IF(C888="","",ROUND(J888+D888-E888-K888,2))</f>
        <v/>
      </c>
      <c r="M888" s="6">
        <f>IF(C888="","",IF('Daily Sale entry '!Q888="Collection 收款",ROUND(N('Daily Sale entry '!T888),2),0))</f>
        <v/>
      </c>
    </row>
    <row r="889">
      <c r="A889" t="inlineStr">
        <is>
          <t>Entry 记录</t>
        </is>
      </c>
      <c r="B889" s="5">
        <f>IF('Daily Sale entry '!P889="","",'Daily Sale entry '!O889)</f>
        <v/>
      </c>
      <c r="C889">
        <f>IF('Daily Sale entry '!P889="","",'Daily Sale entry '!P889)</f>
        <v/>
      </c>
      <c r="D889">
        <f>IF(C889="","",IF('Daily Sale entry '!Q889="Credit Sale 赊销",'Daily Sale entry '!S889,0))</f>
        <v/>
      </c>
      <c r="E889">
        <f>IF(C889="","",IF('Daily Sale entry '!Q889="Collection 收款",'Daily Sale entry '!S889,0))</f>
        <v/>
      </c>
      <c r="F889" s="37">
        <f>IF(C889="","",B889+IF(E889&gt;0,0,0.5)+ROW()/10000000)</f>
        <v/>
      </c>
      <c r="G889">
        <f>IF(C889="","",'Daily Sale entry '!Q889&amp;IF('Daily Sale entry '!Q889="Collection 收款"," ("&amp;'Daily Sale entry '!R889&amp;")","")&amp;IF('Daily Sale entry '!U889="",""," - "&amp;'Daily Sale entry '!U889))</f>
        <v/>
      </c>
      <c r="H889">
        <f>IF(C889="","",COUNTIFS($C$2:$C$3001,C889,$F$2:$F$3001,"&lt;"&amp;F889)+1)</f>
        <v/>
      </c>
      <c r="I889">
        <f>IF(C889="","",C889&amp;"|"&amp;H889)</f>
        <v/>
      </c>
      <c r="J889" s="6">
        <f>IF(C889="","",IF(H889=1,SUMIFS('Opening Balance'!$F$4:$F$303,'Opening Balance'!$G$4:$G$303,C889),INDEX($L$2:$L$3001,MATCH(C889&amp;"|"&amp;(H889-1),$I$2:$I$3001,0))))</f>
        <v/>
      </c>
      <c r="K889" s="6">
        <f>IF(C889="","",IF(M889&gt;0,M889,IF(AND(E889&gt;0,ROUND(J889+D889-E889,2)&gt;0,ROUND(J889+D889-E889,2)&lt;'Opening Balance'!$B$14),ROUND(J889+D889-E889,2),0)))</f>
        <v/>
      </c>
      <c r="L889" s="6">
        <f>IF(C889="","",ROUND(J889+D889-E889-K889,2))</f>
        <v/>
      </c>
      <c r="M889" s="6">
        <f>IF(C889="","",IF('Daily Sale entry '!Q889="Collection 收款",ROUND(N('Daily Sale entry '!T889),2),0))</f>
        <v/>
      </c>
    </row>
    <row r="890">
      <c r="A890" t="inlineStr">
        <is>
          <t>Entry 记录</t>
        </is>
      </c>
      <c r="B890" s="5">
        <f>IF('Daily Sale entry '!P890="","",'Daily Sale entry '!O890)</f>
        <v/>
      </c>
      <c r="C890">
        <f>IF('Daily Sale entry '!P890="","",'Daily Sale entry '!P890)</f>
        <v/>
      </c>
      <c r="D890">
        <f>IF(C890="","",IF('Daily Sale entry '!Q890="Credit Sale 赊销",'Daily Sale entry '!S890,0))</f>
        <v/>
      </c>
      <c r="E890">
        <f>IF(C890="","",IF('Daily Sale entry '!Q890="Collection 收款",'Daily Sale entry '!S890,0))</f>
        <v/>
      </c>
      <c r="F890" s="37">
        <f>IF(C890="","",B890+IF(E890&gt;0,0,0.5)+ROW()/10000000)</f>
        <v/>
      </c>
      <c r="G890">
        <f>IF(C890="","",'Daily Sale entry '!Q890&amp;IF('Daily Sale entry '!Q890="Collection 收款"," ("&amp;'Daily Sale entry '!R890&amp;")","")&amp;IF('Daily Sale entry '!U890="",""," - "&amp;'Daily Sale entry '!U890))</f>
        <v/>
      </c>
      <c r="H890">
        <f>IF(C890="","",COUNTIFS($C$2:$C$3001,C890,$F$2:$F$3001,"&lt;"&amp;F890)+1)</f>
        <v/>
      </c>
      <c r="I890">
        <f>IF(C890="","",C890&amp;"|"&amp;H890)</f>
        <v/>
      </c>
      <c r="J890" s="6">
        <f>IF(C890="","",IF(H890=1,SUMIFS('Opening Balance'!$F$4:$F$303,'Opening Balance'!$G$4:$G$303,C890),INDEX($L$2:$L$3001,MATCH(C890&amp;"|"&amp;(H890-1),$I$2:$I$3001,0))))</f>
        <v/>
      </c>
      <c r="K890" s="6">
        <f>IF(C890="","",IF(M890&gt;0,M890,IF(AND(E890&gt;0,ROUND(J890+D890-E890,2)&gt;0,ROUND(J890+D890-E890,2)&lt;'Opening Balance'!$B$14),ROUND(J890+D890-E890,2),0)))</f>
        <v/>
      </c>
      <c r="L890" s="6">
        <f>IF(C890="","",ROUND(J890+D890-E890-K890,2))</f>
        <v/>
      </c>
      <c r="M890" s="6">
        <f>IF(C890="","",IF('Daily Sale entry '!Q890="Collection 收款",ROUND(N('Daily Sale entry '!T890),2),0))</f>
        <v/>
      </c>
    </row>
    <row r="891">
      <c r="A891" t="inlineStr">
        <is>
          <t>Entry 记录</t>
        </is>
      </c>
      <c r="B891" s="5">
        <f>IF('Daily Sale entry '!P891="","",'Daily Sale entry '!O891)</f>
        <v/>
      </c>
      <c r="C891">
        <f>IF('Daily Sale entry '!P891="","",'Daily Sale entry '!P891)</f>
        <v/>
      </c>
      <c r="D891">
        <f>IF(C891="","",IF('Daily Sale entry '!Q891="Credit Sale 赊销",'Daily Sale entry '!S891,0))</f>
        <v/>
      </c>
      <c r="E891">
        <f>IF(C891="","",IF('Daily Sale entry '!Q891="Collection 收款",'Daily Sale entry '!S891,0))</f>
        <v/>
      </c>
      <c r="F891" s="37">
        <f>IF(C891="","",B891+IF(E891&gt;0,0,0.5)+ROW()/10000000)</f>
        <v/>
      </c>
      <c r="G891">
        <f>IF(C891="","",'Daily Sale entry '!Q891&amp;IF('Daily Sale entry '!Q891="Collection 收款"," ("&amp;'Daily Sale entry '!R891&amp;")","")&amp;IF('Daily Sale entry '!U891="",""," - "&amp;'Daily Sale entry '!U891))</f>
        <v/>
      </c>
      <c r="H891">
        <f>IF(C891="","",COUNTIFS($C$2:$C$3001,C891,$F$2:$F$3001,"&lt;"&amp;F891)+1)</f>
        <v/>
      </c>
      <c r="I891">
        <f>IF(C891="","",C891&amp;"|"&amp;H891)</f>
        <v/>
      </c>
      <c r="J891" s="6">
        <f>IF(C891="","",IF(H891=1,SUMIFS('Opening Balance'!$F$4:$F$303,'Opening Balance'!$G$4:$G$303,C891),INDEX($L$2:$L$3001,MATCH(C891&amp;"|"&amp;(H891-1),$I$2:$I$3001,0))))</f>
        <v/>
      </c>
      <c r="K891" s="6">
        <f>IF(C891="","",IF(M891&gt;0,M891,IF(AND(E891&gt;0,ROUND(J891+D891-E891,2)&gt;0,ROUND(J891+D891-E891,2)&lt;'Opening Balance'!$B$14),ROUND(J891+D891-E891,2),0)))</f>
        <v/>
      </c>
      <c r="L891" s="6">
        <f>IF(C891="","",ROUND(J891+D891-E891-K891,2))</f>
        <v/>
      </c>
      <c r="M891" s="6">
        <f>IF(C891="","",IF('Daily Sale entry '!Q891="Collection 收款",ROUND(N('Daily Sale entry '!T891),2),0))</f>
        <v/>
      </c>
    </row>
    <row r="892">
      <c r="A892" t="inlineStr">
        <is>
          <t>Entry 记录</t>
        </is>
      </c>
      <c r="B892" s="5">
        <f>IF('Daily Sale entry '!P892="","",'Daily Sale entry '!O892)</f>
        <v/>
      </c>
      <c r="C892">
        <f>IF('Daily Sale entry '!P892="","",'Daily Sale entry '!P892)</f>
        <v/>
      </c>
      <c r="D892">
        <f>IF(C892="","",IF('Daily Sale entry '!Q892="Credit Sale 赊销",'Daily Sale entry '!S892,0))</f>
        <v/>
      </c>
      <c r="E892">
        <f>IF(C892="","",IF('Daily Sale entry '!Q892="Collection 收款",'Daily Sale entry '!S892,0))</f>
        <v/>
      </c>
      <c r="F892" s="37">
        <f>IF(C892="","",B892+IF(E892&gt;0,0,0.5)+ROW()/10000000)</f>
        <v/>
      </c>
      <c r="G892">
        <f>IF(C892="","",'Daily Sale entry '!Q892&amp;IF('Daily Sale entry '!Q892="Collection 收款"," ("&amp;'Daily Sale entry '!R892&amp;")","")&amp;IF('Daily Sale entry '!U892="",""," - "&amp;'Daily Sale entry '!U892))</f>
        <v/>
      </c>
      <c r="H892">
        <f>IF(C892="","",COUNTIFS($C$2:$C$3001,C892,$F$2:$F$3001,"&lt;"&amp;F892)+1)</f>
        <v/>
      </c>
      <c r="I892">
        <f>IF(C892="","",C892&amp;"|"&amp;H892)</f>
        <v/>
      </c>
      <c r="J892" s="6">
        <f>IF(C892="","",IF(H892=1,SUMIFS('Opening Balance'!$F$4:$F$303,'Opening Balance'!$G$4:$G$303,C892),INDEX($L$2:$L$3001,MATCH(C892&amp;"|"&amp;(H892-1),$I$2:$I$3001,0))))</f>
        <v/>
      </c>
      <c r="K892" s="6">
        <f>IF(C892="","",IF(M892&gt;0,M892,IF(AND(E892&gt;0,ROUND(J892+D892-E892,2)&gt;0,ROUND(J892+D892-E892,2)&lt;'Opening Balance'!$B$14),ROUND(J892+D892-E892,2),0)))</f>
        <v/>
      </c>
      <c r="L892" s="6">
        <f>IF(C892="","",ROUND(J892+D892-E892-K892,2))</f>
        <v/>
      </c>
      <c r="M892" s="6">
        <f>IF(C892="","",IF('Daily Sale entry '!Q892="Collection 收款",ROUND(N('Daily Sale entry '!T892),2),0))</f>
        <v/>
      </c>
    </row>
    <row r="893">
      <c r="A893" t="inlineStr">
        <is>
          <t>Entry 记录</t>
        </is>
      </c>
      <c r="B893" s="5">
        <f>IF('Daily Sale entry '!P893="","",'Daily Sale entry '!O893)</f>
        <v/>
      </c>
      <c r="C893">
        <f>IF('Daily Sale entry '!P893="","",'Daily Sale entry '!P893)</f>
        <v/>
      </c>
      <c r="D893">
        <f>IF(C893="","",IF('Daily Sale entry '!Q893="Credit Sale 赊销",'Daily Sale entry '!S893,0))</f>
        <v/>
      </c>
      <c r="E893">
        <f>IF(C893="","",IF('Daily Sale entry '!Q893="Collection 收款",'Daily Sale entry '!S893,0))</f>
        <v/>
      </c>
      <c r="F893" s="37">
        <f>IF(C893="","",B893+IF(E893&gt;0,0,0.5)+ROW()/10000000)</f>
        <v/>
      </c>
      <c r="G893">
        <f>IF(C893="","",'Daily Sale entry '!Q893&amp;IF('Daily Sale entry '!Q893="Collection 收款"," ("&amp;'Daily Sale entry '!R893&amp;")","")&amp;IF('Daily Sale entry '!U893="",""," - "&amp;'Daily Sale entry '!U893))</f>
        <v/>
      </c>
      <c r="H893">
        <f>IF(C893="","",COUNTIFS($C$2:$C$3001,C893,$F$2:$F$3001,"&lt;"&amp;F893)+1)</f>
        <v/>
      </c>
      <c r="I893">
        <f>IF(C893="","",C893&amp;"|"&amp;H893)</f>
        <v/>
      </c>
      <c r="J893" s="6">
        <f>IF(C893="","",IF(H893=1,SUMIFS('Opening Balance'!$F$4:$F$303,'Opening Balance'!$G$4:$G$303,C893),INDEX($L$2:$L$3001,MATCH(C893&amp;"|"&amp;(H893-1),$I$2:$I$3001,0))))</f>
        <v/>
      </c>
      <c r="K893" s="6">
        <f>IF(C893="","",IF(M893&gt;0,M893,IF(AND(E893&gt;0,ROUND(J893+D893-E893,2)&gt;0,ROUND(J893+D893-E893,2)&lt;'Opening Balance'!$B$14),ROUND(J893+D893-E893,2),0)))</f>
        <v/>
      </c>
      <c r="L893" s="6">
        <f>IF(C893="","",ROUND(J893+D893-E893-K893,2))</f>
        <v/>
      </c>
      <c r="M893" s="6">
        <f>IF(C893="","",IF('Daily Sale entry '!Q893="Collection 收款",ROUND(N('Daily Sale entry '!T893),2),0))</f>
        <v/>
      </c>
    </row>
    <row r="894">
      <c r="A894" t="inlineStr">
        <is>
          <t>Entry 记录</t>
        </is>
      </c>
      <c r="B894" s="5">
        <f>IF('Daily Sale entry '!P894="","",'Daily Sale entry '!O894)</f>
        <v/>
      </c>
      <c r="C894">
        <f>IF('Daily Sale entry '!P894="","",'Daily Sale entry '!P894)</f>
        <v/>
      </c>
      <c r="D894">
        <f>IF(C894="","",IF('Daily Sale entry '!Q894="Credit Sale 赊销",'Daily Sale entry '!S894,0))</f>
        <v/>
      </c>
      <c r="E894">
        <f>IF(C894="","",IF('Daily Sale entry '!Q894="Collection 收款",'Daily Sale entry '!S894,0))</f>
        <v/>
      </c>
      <c r="F894" s="37">
        <f>IF(C894="","",B894+IF(E894&gt;0,0,0.5)+ROW()/10000000)</f>
        <v/>
      </c>
      <c r="G894">
        <f>IF(C894="","",'Daily Sale entry '!Q894&amp;IF('Daily Sale entry '!Q894="Collection 收款"," ("&amp;'Daily Sale entry '!R894&amp;")","")&amp;IF('Daily Sale entry '!U894="",""," - "&amp;'Daily Sale entry '!U894))</f>
        <v/>
      </c>
      <c r="H894">
        <f>IF(C894="","",COUNTIFS($C$2:$C$3001,C894,$F$2:$F$3001,"&lt;"&amp;F894)+1)</f>
        <v/>
      </c>
      <c r="I894">
        <f>IF(C894="","",C894&amp;"|"&amp;H894)</f>
        <v/>
      </c>
      <c r="J894" s="6">
        <f>IF(C894="","",IF(H894=1,SUMIFS('Opening Balance'!$F$4:$F$303,'Opening Balance'!$G$4:$G$303,C894),INDEX($L$2:$L$3001,MATCH(C894&amp;"|"&amp;(H894-1),$I$2:$I$3001,0))))</f>
        <v/>
      </c>
      <c r="K894" s="6">
        <f>IF(C894="","",IF(M894&gt;0,M894,IF(AND(E894&gt;0,ROUND(J894+D894-E894,2)&gt;0,ROUND(J894+D894-E894,2)&lt;'Opening Balance'!$B$14),ROUND(J894+D894-E894,2),0)))</f>
        <v/>
      </c>
      <c r="L894" s="6">
        <f>IF(C894="","",ROUND(J894+D894-E894-K894,2))</f>
        <v/>
      </c>
      <c r="M894" s="6">
        <f>IF(C894="","",IF('Daily Sale entry '!Q894="Collection 收款",ROUND(N('Daily Sale entry '!T894),2),0))</f>
        <v/>
      </c>
    </row>
    <row r="895">
      <c r="A895" t="inlineStr">
        <is>
          <t>Entry 记录</t>
        </is>
      </c>
      <c r="B895" s="5">
        <f>IF('Daily Sale entry '!P895="","",'Daily Sale entry '!O895)</f>
        <v/>
      </c>
      <c r="C895">
        <f>IF('Daily Sale entry '!P895="","",'Daily Sale entry '!P895)</f>
        <v/>
      </c>
      <c r="D895">
        <f>IF(C895="","",IF('Daily Sale entry '!Q895="Credit Sale 赊销",'Daily Sale entry '!S895,0))</f>
        <v/>
      </c>
      <c r="E895">
        <f>IF(C895="","",IF('Daily Sale entry '!Q895="Collection 收款",'Daily Sale entry '!S895,0))</f>
        <v/>
      </c>
      <c r="F895" s="37">
        <f>IF(C895="","",B895+IF(E895&gt;0,0,0.5)+ROW()/10000000)</f>
        <v/>
      </c>
      <c r="G895">
        <f>IF(C895="","",'Daily Sale entry '!Q895&amp;IF('Daily Sale entry '!Q895="Collection 收款"," ("&amp;'Daily Sale entry '!R895&amp;")","")&amp;IF('Daily Sale entry '!U895="",""," - "&amp;'Daily Sale entry '!U895))</f>
        <v/>
      </c>
      <c r="H895">
        <f>IF(C895="","",COUNTIFS($C$2:$C$3001,C895,$F$2:$F$3001,"&lt;"&amp;F895)+1)</f>
        <v/>
      </c>
      <c r="I895">
        <f>IF(C895="","",C895&amp;"|"&amp;H895)</f>
        <v/>
      </c>
      <c r="J895" s="6">
        <f>IF(C895="","",IF(H895=1,SUMIFS('Opening Balance'!$F$4:$F$303,'Opening Balance'!$G$4:$G$303,C895),INDEX($L$2:$L$3001,MATCH(C895&amp;"|"&amp;(H895-1),$I$2:$I$3001,0))))</f>
        <v/>
      </c>
      <c r="K895" s="6">
        <f>IF(C895="","",IF(M895&gt;0,M895,IF(AND(E895&gt;0,ROUND(J895+D895-E895,2)&gt;0,ROUND(J895+D895-E895,2)&lt;'Opening Balance'!$B$14),ROUND(J895+D895-E895,2),0)))</f>
        <v/>
      </c>
      <c r="L895" s="6">
        <f>IF(C895="","",ROUND(J895+D895-E895-K895,2))</f>
        <v/>
      </c>
      <c r="M895" s="6">
        <f>IF(C895="","",IF('Daily Sale entry '!Q895="Collection 收款",ROUND(N('Daily Sale entry '!T895),2),0))</f>
        <v/>
      </c>
    </row>
    <row r="896">
      <c r="A896" t="inlineStr">
        <is>
          <t>Entry 记录</t>
        </is>
      </c>
      <c r="B896" s="5">
        <f>IF('Daily Sale entry '!P896="","",'Daily Sale entry '!O896)</f>
        <v/>
      </c>
      <c r="C896">
        <f>IF('Daily Sale entry '!P896="","",'Daily Sale entry '!P896)</f>
        <v/>
      </c>
      <c r="D896">
        <f>IF(C896="","",IF('Daily Sale entry '!Q896="Credit Sale 赊销",'Daily Sale entry '!S896,0))</f>
        <v/>
      </c>
      <c r="E896">
        <f>IF(C896="","",IF('Daily Sale entry '!Q896="Collection 收款",'Daily Sale entry '!S896,0))</f>
        <v/>
      </c>
      <c r="F896" s="37">
        <f>IF(C896="","",B896+IF(E896&gt;0,0,0.5)+ROW()/10000000)</f>
        <v/>
      </c>
      <c r="G896">
        <f>IF(C896="","",'Daily Sale entry '!Q896&amp;IF('Daily Sale entry '!Q896="Collection 收款"," ("&amp;'Daily Sale entry '!R896&amp;")","")&amp;IF('Daily Sale entry '!U896="",""," - "&amp;'Daily Sale entry '!U896))</f>
        <v/>
      </c>
      <c r="H896">
        <f>IF(C896="","",COUNTIFS($C$2:$C$3001,C896,$F$2:$F$3001,"&lt;"&amp;F896)+1)</f>
        <v/>
      </c>
      <c r="I896">
        <f>IF(C896="","",C896&amp;"|"&amp;H896)</f>
        <v/>
      </c>
      <c r="J896" s="6">
        <f>IF(C896="","",IF(H896=1,SUMIFS('Opening Balance'!$F$4:$F$303,'Opening Balance'!$G$4:$G$303,C896),INDEX($L$2:$L$3001,MATCH(C896&amp;"|"&amp;(H896-1),$I$2:$I$3001,0))))</f>
        <v/>
      </c>
      <c r="K896" s="6">
        <f>IF(C896="","",IF(M896&gt;0,M896,IF(AND(E896&gt;0,ROUND(J896+D896-E896,2)&gt;0,ROUND(J896+D896-E896,2)&lt;'Opening Balance'!$B$14),ROUND(J896+D896-E896,2),0)))</f>
        <v/>
      </c>
      <c r="L896" s="6">
        <f>IF(C896="","",ROUND(J896+D896-E896-K896,2))</f>
        <v/>
      </c>
      <c r="M896" s="6">
        <f>IF(C896="","",IF('Daily Sale entry '!Q896="Collection 收款",ROUND(N('Daily Sale entry '!T896),2),0))</f>
        <v/>
      </c>
    </row>
    <row r="897">
      <c r="A897" t="inlineStr">
        <is>
          <t>Entry 记录</t>
        </is>
      </c>
      <c r="B897" s="5">
        <f>IF('Daily Sale entry '!P897="","",'Daily Sale entry '!O897)</f>
        <v/>
      </c>
      <c r="C897">
        <f>IF('Daily Sale entry '!P897="","",'Daily Sale entry '!P897)</f>
        <v/>
      </c>
      <c r="D897">
        <f>IF(C897="","",IF('Daily Sale entry '!Q897="Credit Sale 赊销",'Daily Sale entry '!S897,0))</f>
        <v/>
      </c>
      <c r="E897">
        <f>IF(C897="","",IF('Daily Sale entry '!Q897="Collection 收款",'Daily Sale entry '!S897,0))</f>
        <v/>
      </c>
      <c r="F897" s="37">
        <f>IF(C897="","",B897+IF(E897&gt;0,0,0.5)+ROW()/10000000)</f>
        <v/>
      </c>
      <c r="G897">
        <f>IF(C897="","",'Daily Sale entry '!Q897&amp;IF('Daily Sale entry '!Q897="Collection 收款"," ("&amp;'Daily Sale entry '!R897&amp;")","")&amp;IF('Daily Sale entry '!U897="",""," - "&amp;'Daily Sale entry '!U897))</f>
        <v/>
      </c>
      <c r="H897">
        <f>IF(C897="","",COUNTIFS($C$2:$C$3001,C897,$F$2:$F$3001,"&lt;"&amp;F897)+1)</f>
        <v/>
      </c>
      <c r="I897">
        <f>IF(C897="","",C897&amp;"|"&amp;H897)</f>
        <v/>
      </c>
      <c r="J897" s="6">
        <f>IF(C897="","",IF(H897=1,SUMIFS('Opening Balance'!$F$4:$F$303,'Opening Balance'!$G$4:$G$303,C897),INDEX($L$2:$L$3001,MATCH(C897&amp;"|"&amp;(H897-1),$I$2:$I$3001,0))))</f>
        <v/>
      </c>
      <c r="K897" s="6">
        <f>IF(C897="","",IF(M897&gt;0,M897,IF(AND(E897&gt;0,ROUND(J897+D897-E897,2)&gt;0,ROUND(J897+D897-E897,2)&lt;'Opening Balance'!$B$14),ROUND(J897+D897-E897,2),0)))</f>
        <v/>
      </c>
      <c r="L897" s="6">
        <f>IF(C897="","",ROUND(J897+D897-E897-K897,2))</f>
        <v/>
      </c>
      <c r="M897" s="6">
        <f>IF(C897="","",IF('Daily Sale entry '!Q897="Collection 收款",ROUND(N('Daily Sale entry '!T897),2),0))</f>
        <v/>
      </c>
    </row>
    <row r="898">
      <c r="A898" t="inlineStr">
        <is>
          <t>Entry 记录</t>
        </is>
      </c>
      <c r="B898" s="5">
        <f>IF('Daily Sale entry '!P898="","",'Daily Sale entry '!O898)</f>
        <v/>
      </c>
      <c r="C898">
        <f>IF('Daily Sale entry '!P898="","",'Daily Sale entry '!P898)</f>
        <v/>
      </c>
      <c r="D898">
        <f>IF(C898="","",IF('Daily Sale entry '!Q898="Credit Sale 赊销",'Daily Sale entry '!S898,0))</f>
        <v/>
      </c>
      <c r="E898">
        <f>IF(C898="","",IF('Daily Sale entry '!Q898="Collection 收款",'Daily Sale entry '!S898,0))</f>
        <v/>
      </c>
      <c r="F898" s="37">
        <f>IF(C898="","",B898+IF(E898&gt;0,0,0.5)+ROW()/10000000)</f>
        <v/>
      </c>
      <c r="G898">
        <f>IF(C898="","",'Daily Sale entry '!Q898&amp;IF('Daily Sale entry '!Q898="Collection 收款"," ("&amp;'Daily Sale entry '!R898&amp;")","")&amp;IF('Daily Sale entry '!U898="",""," - "&amp;'Daily Sale entry '!U898))</f>
        <v/>
      </c>
      <c r="H898">
        <f>IF(C898="","",COUNTIFS($C$2:$C$3001,C898,$F$2:$F$3001,"&lt;"&amp;F898)+1)</f>
        <v/>
      </c>
      <c r="I898">
        <f>IF(C898="","",C898&amp;"|"&amp;H898)</f>
        <v/>
      </c>
      <c r="J898" s="6">
        <f>IF(C898="","",IF(H898=1,SUMIFS('Opening Balance'!$F$4:$F$303,'Opening Balance'!$G$4:$G$303,C898),INDEX($L$2:$L$3001,MATCH(C898&amp;"|"&amp;(H898-1),$I$2:$I$3001,0))))</f>
        <v/>
      </c>
      <c r="K898" s="6">
        <f>IF(C898="","",IF(M898&gt;0,M898,IF(AND(E898&gt;0,ROUND(J898+D898-E898,2)&gt;0,ROUND(J898+D898-E898,2)&lt;'Opening Balance'!$B$14),ROUND(J898+D898-E898,2),0)))</f>
        <v/>
      </c>
      <c r="L898" s="6">
        <f>IF(C898="","",ROUND(J898+D898-E898-K898,2))</f>
        <v/>
      </c>
      <c r="M898" s="6">
        <f>IF(C898="","",IF('Daily Sale entry '!Q898="Collection 收款",ROUND(N('Daily Sale entry '!T898),2),0))</f>
        <v/>
      </c>
    </row>
    <row r="899">
      <c r="A899" t="inlineStr">
        <is>
          <t>Entry 记录</t>
        </is>
      </c>
      <c r="B899" s="5">
        <f>IF('Daily Sale entry '!P899="","",'Daily Sale entry '!O899)</f>
        <v/>
      </c>
      <c r="C899">
        <f>IF('Daily Sale entry '!P899="","",'Daily Sale entry '!P899)</f>
        <v/>
      </c>
      <c r="D899">
        <f>IF(C899="","",IF('Daily Sale entry '!Q899="Credit Sale 赊销",'Daily Sale entry '!S899,0))</f>
        <v/>
      </c>
      <c r="E899">
        <f>IF(C899="","",IF('Daily Sale entry '!Q899="Collection 收款",'Daily Sale entry '!S899,0))</f>
        <v/>
      </c>
      <c r="F899" s="37">
        <f>IF(C899="","",B899+IF(E899&gt;0,0,0.5)+ROW()/10000000)</f>
        <v/>
      </c>
      <c r="G899">
        <f>IF(C899="","",'Daily Sale entry '!Q899&amp;IF('Daily Sale entry '!Q899="Collection 收款"," ("&amp;'Daily Sale entry '!R899&amp;")","")&amp;IF('Daily Sale entry '!U899="",""," - "&amp;'Daily Sale entry '!U899))</f>
        <v/>
      </c>
      <c r="H899">
        <f>IF(C899="","",COUNTIFS($C$2:$C$3001,C899,$F$2:$F$3001,"&lt;"&amp;F899)+1)</f>
        <v/>
      </c>
      <c r="I899">
        <f>IF(C899="","",C899&amp;"|"&amp;H899)</f>
        <v/>
      </c>
      <c r="J899" s="6">
        <f>IF(C899="","",IF(H899=1,SUMIFS('Opening Balance'!$F$4:$F$303,'Opening Balance'!$G$4:$G$303,C899),INDEX($L$2:$L$3001,MATCH(C899&amp;"|"&amp;(H899-1),$I$2:$I$3001,0))))</f>
        <v/>
      </c>
      <c r="K899" s="6">
        <f>IF(C899="","",IF(M899&gt;0,M899,IF(AND(E899&gt;0,ROUND(J899+D899-E899,2)&gt;0,ROUND(J899+D899-E899,2)&lt;'Opening Balance'!$B$14),ROUND(J899+D899-E899,2),0)))</f>
        <v/>
      </c>
      <c r="L899" s="6">
        <f>IF(C899="","",ROUND(J899+D899-E899-K899,2))</f>
        <v/>
      </c>
      <c r="M899" s="6">
        <f>IF(C899="","",IF('Daily Sale entry '!Q899="Collection 收款",ROUND(N('Daily Sale entry '!T899),2),0))</f>
        <v/>
      </c>
    </row>
    <row r="900">
      <c r="A900" t="inlineStr">
        <is>
          <t>Entry 记录</t>
        </is>
      </c>
      <c r="B900" s="5">
        <f>IF('Daily Sale entry '!P900="","",'Daily Sale entry '!O900)</f>
        <v/>
      </c>
      <c r="C900">
        <f>IF('Daily Sale entry '!P900="","",'Daily Sale entry '!P900)</f>
        <v/>
      </c>
      <c r="D900">
        <f>IF(C900="","",IF('Daily Sale entry '!Q900="Credit Sale 赊销",'Daily Sale entry '!S900,0))</f>
        <v/>
      </c>
      <c r="E900">
        <f>IF(C900="","",IF('Daily Sale entry '!Q900="Collection 收款",'Daily Sale entry '!S900,0))</f>
        <v/>
      </c>
      <c r="F900" s="37">
        <f>IF(C900="","",B900+IF(E900&gt;0,0,0.5)+ROW()/10000000)</f>
        <v/>
      </c>
      <c r="G900">
        <f>IF(C900="","",'Daily Sale entry '!Q900&amp;IF('Daily Sale entry '!Q900="Collection 收款"," ("&amp;'Daily Sale entry '!R900&amp;")","")&amp;IF('Daily Sale entry '!U900="",""," - "&amp;'Daily Sale entry '!U900))</f>
        <v/>
      </c>
      <c r="H900">
        <f>IF(C900="","",COUNTIFS($C$2:$C$3001,C900,$F$2:$F$3001,"&lt;"&amp;F900)+1)</f>
        <v/>
      </c>
      <c r="I900">
        <f>IF(C900="","",C900&amp;"|"&amp;H900)</f>
        <v/>
      </c>
      <c r="J900" s="6">
        <f>IF(C900="","",IF(H900=1,SUMIFS('Opening Balance'!$F$4:$F$303,'Opening Balance'!$G$4:$G$303,C900),INDEX($L$2:$L$3001,MATCH(C900&amp;"|"&amp;(H900-1),$I$2:$I$3001,0))))</f>
        <v/>
      </c>
      <c r="K900" s="6">
        <f>IF(C900="","",IF(M900&gt;0,M900,IF(AND(E900&gt;0,ROUND(J900+D900-E900,2)&gt;0,ROUND(J900+D900-E900,2)&lt;'Opening Balance'!$B$14),ROUND(J900+D900-E900,2),0)))</f>
        <v/>
      </c>
      <c r="L900" s="6">
        <f>IF(C900="","",ROUND(J900+D900-E900-K900,2))</f>
        <v/>
      </c>
      <c r="M900" s="6">
        <f>IF(C900="","",IF('Daily Sale entry '!Q900="Collection 收款",ROUND(N('Daily Sale entry '!T900),2),0))</f>
        <v/>
      </c>
    </row>
    <row r="901">
      <c r="A901" t="inlineStr">
        <is>
          <t>Entry 记录</t>
        </is>
      </c>
      <c r="B901" s="5">
        <f>IF('Daily Sale entry '!P901="","",'Daily Sale entry '!O901)</f>
        <v/>
      </c>
      <c r="C901">
        <f>IF('Daily Sale entry '!P901="","",'Daily Sale entry '!P901)</f>
        <v/>
      </c>
      <c r="D901">
        <f>IF(C901="","",IF('Daily Sale entry '!Q901="Credit Sale 赊销",'Daily Sale entry '!S901,0))</f>
        <v/>
      </c>
      <c r="E901">
        <f>IF(C901="","",IF('Daily Sale entry '!Q901="Collection 收款",'Daily Sale entry '!S901,0))</f>
        <v/>
      </c>
      <c r="F901" s="37">
        <f>IF(C901="","",B901+IF(E901&gt;0,0,0.5)+ROW()/10000000)</f>
        <v/>
      </c>
      <c r="G901">
        <f>IF(C901="","",'Daily Sale entry '!Q901&amp;IF('Daily Sale entry '!Q901="Collection 收款"," ("&amp;'Daily Sale entry '!R901&amp;")","")&amp;IF('Daily Sale entry '!U901="",""," - "&amp;'Daily Sale entry '!U901))</f>
        <v/>
      </c>
      <c r="H901">
        <f>IF(C901="","",COUNTIFS($C$2:$C$3001,C901,$F$2:$F$3001,"&lt;"&amp;F901)+1)</f>
        <v/>
      </c>
      <c r="I901">
        <f>IF(C901="","",C901&amp;"|"&amp;H901)</f>
        <v/>
      </c>
      <c r="J901" s="6">
        <f>IF(C901="","",IF(H901=1,SUMIFS('Opening Balance'!$F$4:$F$303,'Opening Balance'!$G$4:$G$303,C901),INDEX($L$2:$L$3001,MATCH(C901&amp;"|"&amp;(H901-1),$I$2:$I$3001,0))))</f>
        <v/>
      </c>
      <c r="K901" s="6">
        <f>IF(C901="","",IF(M901&gt;0,M901,IF(AND(E901&gt;0,ROUND(J901+D901-E901,2)&gt;0,ROUND(J901+D901-E901,2)&lt;'Opening Balance'!$B$14),ROUND(J901+D901-E901,2),0)))</f>
        <v/>
      </c>
      <c r="L901" s="6">
        <f>IF(C901="","",ROUND(J901+D901-E901-K901,2))</f>
        <v/>
      </c>
      <c r="M901" s="6">
        <f>IF(C901="","",IF('Daily Sale entry '!Q901="Collection 收款",ROUND(N('Daily Sale entry '!T901),2),0))</f>
        <v/>
      </c>
    </row>
    <row r="902">
      <c r="A902" t="inlineStr">
        <is>
          <t>Entry 记录</t>
        </is>
      </c>
      <c r="B902" s="5">
        <f>IF('Daily Sale entry '!P902="","",'Daily Sale entry '!O902)</f>
        <v/>
      </c>
      <c r="C902">
        <f>IF('Daily Sale entry '!P902="","",'Daily Sale entry '!P902)</f>
        <v/>
      </c>
      <c r="D902">
        <f>IF(C902="","",IF('Daily Sale entry '!Q902="Credit Sale 赊销",'Daily Sale entry '!S902,0))</f>
        <v/>
      </c>
      <c r="E902">
        <f>IF(C902="","",IF('Daily Sale entry '!Q902="Collection 收款",'Daily Sale entry '!S902,0))</f>
        <v/>
      </c>
      <c r="F902" s="37">
        <f>IF(C902="","",B902+IF(E902&gt;0,0,0.5)+ROW()/10000000)</f>
        <v/>
      </c>
      <c r="G902">
        <f>IF(C902="","",'Daily Sale entry '!Q902&amp;IF('Daily Sale entry '!Q902="Collection 收款"," ("&amp;'Daily Sale entry '!R902&amp;")","")&amp;IF('Daily Sale entry '!U902="",""," - "&amp;'Daily Sale entry '!U902))</f>
        <v/>
      </c>
      <c r="H902">
        <f>IF(C902="","",COUNTIFS($C$2:$C$3001,C902,$F$2:$F$3001,"&lt;"&amp;F902)+1)</f>
        <v/>
      </c>
      <c r="I902">
        <f>IF(C902="","",C902&amp;"|"&amp;H902)</f>
        <v/>
      </c>
      <c r="J902" s="6">
        <f>IF(C902="","",IF(H902=1,SUMIFS('Opening Balance'!$F$4:$F$303,'Opening Balance'!$G$4:$G$303,C902),INDEX($L$2:$L$3001,MATCH(C902&amp;"|"&amp;(H902-1),$I$2:$I$3001,0))))</f>
        <v/>
      </c>
      <c r="K902" s="6">
        <f>IF(C902="","",IF(M902&gt;0,M902,IF(AND(E902&gt;0,ROUND(J902+D902-E902,2)&gt;0,ROUND(J902+D902-E902,2)&lt;'Opening Balance'!$B$14),ROUND(J902+D902-E902,2),0)))</f>
        <v/>
      </c>
      <c r="L902" s="6">
        <f>IF(C902="","",ROUND(J902+D902-E902-K902,2))</f>
        <v/>
      </c>
      <c r="M902" s="6">
        <f>IF(C902="","",IF('Daily Sale entry '!Q902="Collection 收款",ROUND(N('Daily Sale entry '!T902),2),0))</f>
        <v/>
      </c>
    </row>
    <row r="903">
      <c r="A903" t="inlineStr">
        <is>
          <t>Entry 记录</t>
        </is>
      </c>
      <c r="B903" s="5">
        <f>IF('Daily Sale entry '!P903="","",'Daily Sale entry '!O903)</f>
        <v/>
      </c>
      <c r="C903">
        <f>IF('Daily Sale entry '!P903="","",'Daily Sale entry '!P903)</f>
        <v/>
      </c>
      <c r="D903">
        <f>IF(C903="","",IF('Daily Sale entry '!Q903="Credit Sale 赊销",'Daily Sale entry '!S903,0))</f>
        <v/>
      </c>
      <c r="E903">
        <f>IF(C903="","",IF('Daily Sale entry '!Q903="Collection 收款",'Daily Sale entry '!S903,0))</f>
        <v/>
      </c>
      <c r="F903" s="37">
        <f>IF(C903="","",B903+IF(E903&gt;0,0,0.5)+ROW()/10000000)</f>
        <v/>
      </c>
      <c r="G903">
        <f>IF(C903="","",'Daily Sale entry '!Q903&amp;IF('Daily Sale entry '!Q903="Collection 收款"," ("&amp;'Daily Sale entry '!R903&amp;")","")&amp;IF('Daily Sale entry '!U903="",""," - "&amp;'Daily Sale entry '!U903))</f>
        <v/>
      </c>
      <c r="H903">
        <f>IF(C903="","",COUNTIFS($C$2:$C$3001,C903,$F$2:$F$3001,"&lt;"&amp;F903)+1)</f>
        <v/>
      </c>
      <c r="I903">
        <f>IF(C903="","",C903&amp;"|"&amp;H903)</f>
        <v/>
      </c>
      <c r="J903" s="6">
        <f>IF(C903="","",IF(H903=1,SUMIFS('Opening Balance'!$F$4:$F$303,'Opening Balance'!$G$4:$G$303,C903),INDEX($L$2:$L$3001,MATCH(C903&amp;"|"&amp;(H903-1),$I$2:$I$3001,0))))</f>
        <v/>
      </c>
      <c r="K903" s="6">
        <f>IF(C903="","",IF(M903&gt;0,M903,IF(AND(E903&gt;0,ROUND(J903+D903-E903,2)&gt;0,ROUND(J903+D903-E903,2)&lt;'Opening Balance'!$B$14),ROUND(J903+D903-E903,2),0)))</f>
        <v/>
      </c>
      <c r="L903" s="6">
        <f>IF(C903="","",ROUND(J903+D903-E903-K903,2))</f>
        <v/>
      </c>
      <c r="M903" s="6">
        <f>IF(C903="","",IF('Daily Sale entry '!Q903="Collection 收款",ROUND(N('Daily Sale entry '!T903),2),0))</f>
        <v/>
      </c>
    </row>
    <row r="904">
      <c r="A904" t="inlineStr">
        <is>
          <t>Entry 记录</t>
        </is>
      </c>
      <c r="B904" s="5">
        <f>IF('Daily Sale entry '!P904="","",'Daily Sale entry '!O904)</f>
        <v/>
      </c>
      <c r="C904">
        <f>IF('Daily Sale entry '!P904="","",'Daily Sale entry '!P904)</f>
        <v/>
      </c>
      <c r="D904">
        <f>IF(C904="","",IF('Daily Sale entry '!Q904="Credit Sale 赊销",'Daily Sale entry '!S904,0))</f>
        <v/>
      </c>
      <c r="E904">
        <f>IF(C904="","",IF('Daily Sale entry '!Q904="Collection 收款",'Daily Sale entry '!S904,0))</f>
        <v/>
      </c>
      <c r="F904" s="37">
        <f>IF(C904="","",B904+IF(E904&gt;0,0,0.5)+ROW()/10000000)</f>
        <v/>
      </c>
      <c r="G904">
        <f>IF(C904="","",'Daily Sale entry '!Q904&amp;IF('Daily Sale entry '!Q904="Collection 收款"," ("&amp;'Daily Sale entry '!R904&amp;")","")&amp;IF('Daily Sale entry '!U904="",""," - "&amp;'Daily Sale entry '!U904))</f>
        <v/>
      </c>
      <c r="H904">
        <f>IF(C904="","",COUNTIFS($C$2:$C$3001,C904,$F$2:$F$3001,"&lt;"&amp;F904)+1)</f>
        <v/>
      </c>
      <c r="I904">
        <f>IF(C904="","",C904&amp;"|"&amp;H904)</f>
        <v/>
      </c>
      <c r="J904" s="6">
        <f>IF(C904="","",IF(H904=1,SUMIFS('Opening Balance'!$F$4:$F$303,'Opening Balance'!$G$4:$G$303,C904),INDEX($L$2:$L$3001,MATCH(C904&amp;"|"&amp;(H904-1),$I$2:$I$3001,0))))</f>
        <v/>
      </c>
      <c r="K904" s="6">
        <f>IF(C904="","",IF(M904&gt;0,M904,IF(AND(E904&gt;0,ROUND(J904+D904-E904,2)&gt;0,ROUND(J904+D904-E904,2)&lt;'Opening Balance'!$B$14),ROUND(J904+D904-E904,2),0)))</f>
        <v/>
      </c>
      <c r="L904" s="6">
        <f>IF(C904="","",ROUND(J904+D904-E904-K904,2))</f>
        <v/>
      </c>
      <c r="M904" s="6">
        <f>IF(C904="","",IF('Daily Sale entry '!Q904="Collection 收款",ROUND(N('Daily Sale entry '!T904),2),0))</f>
        <v/>
      </c>
    </row>
    <row r="905">
      <c r="A905" t="inlineStr">
        <is>
          <t>Entry 记录</t>
        </is>
      </c>
      <c r="B905" s="5">
        <f>IF('Daily Sale entry '!P905="","",'Daily Sale entry '!O905)</f>
        <v/>
      </c>
      <c r="C905">
        <f>IF('Daily Sale entry '!P905="","",'Daily Sale entry '!P905)</f>
        <v/>
      </c>
      <c r="D905">
        <f>IF(C905="","",IF('Daily Sale entry '!Q905="Credit Sale 赊销",'Daily Sale entry '!S905,0))</f>
        <v/>
      </c>
      <c r="E905">
        <f>IF(C905="","",IF('Daily Sale entry '!Q905="Collection 收款",'Daily Sale entry '!S905,0))</f>
        <v/>
      </c>
      <c r="F905" s="37">
        <f>IF(C905="","",B905+IF(E905&gt;0,0,0.5)+ROW()/10000000)</f>
        <v/>
      </c>
      <c r="G905">
        <f>IF(C905="","",'Daily Sale entry '!Q905&amp;IF('Daily Sale entry '!Q905="Collection 收款"," ("&amp;'Daily Sale entry '!R905&amp;")","")&amp;IF('Daily Sale entry '!U905="",""," - "&amp;'Daily Sale entry '!U905))</f>
        <v/>
      </c>
      <c r="H905">
        <f>IF(C905="","",COUNTIFS($C$2:$C$3001,C905,$F$2:$F$3001,"&lt;"&amp;F905)+1)</f>
        <v/>
      </c>
      <c r="I905">
        <f>IF(C905="","",C905&amp;"|"&amp;H905)</f>
        <v/>
      </c>
      <c r="J905" s="6">
        <f>IF(C905="","",IF(H905=1,SUMIFS('Opening Balance'!$F$4:$F$303,'Opening Balance'!$G$4:$G$303,C905),INDEX($L$2:$L$3001,MATCH(C905&amp;"|"&amp;(H905-1),$I$2:$I$3001,0))))</f>
        <v/>
      </c>
      <c r="K905" s="6">
        <f>IF(C905="","",IF(M905&gt;0,M905,IF(AND(E905&gt;0,ROUND(J905+D905-E905,2)&gt;0,ROUND(J905+D905-E905,2)&lt;'Opening Balance'!$B$14),ROUND(J905+D905-E905,2),0)))</f>
        <v/>
      </c>
      <c r="L905" s="6">
        <f>IF(C905="","",ROUND(J905+D905-E905-K905,2))</f>
        <v/>
      </c>
      <c r="M905" s="6">
        <f>IF(C905="","",IF('Daily Sale entry '!Q905="Collection 收款",ROUND(N('Daily Sale entry '!T905),2),0))</f>
        <v/>
      </c>
    </row>
    <row r="906">
      <c r="A906" t="inlineStr">
        <is>
          <t>Entry 记录</t>
        </is>
      </c>
      <c r="B906" s="5">
        <f>IF('Daily Sale entry '!P906="","",'Daily Sale entry '!O906)</f>
        <v/>
      </c>
      <c r="C906">
        <f>IF('Daily Sale entry '!P906="","",'Daily Sale entry '!P906)</f>
        <v/>
      </c>
      <c r="D906">
        <f>IF(C906="","",IF('Daily Sale entry '!Q906="Credit Sale 赊销",'Daily Sale entry '!S906,0))</f>
        <v/>
      </c>
      <c r="E906">
        <f>IF(C906="","",IF('Daily Sale entry '!Q906="Collection 收款",'Daily Sale entry '!S906,0))</f>
        <v/>
      </c>
      <c r="F906" s="37">
        <f>IF(C906="","",B906+IF(E906&gt;0,0,0.5)+ROW()/10000000)</f>
        <v/>
      </c>
      <c r="G906">
        <f>IF(C906="","",'Daily Sale entry '!Q906&amp;IF('Daily Sale entry '!Q906="Collection 收款"," ("&amp;'Daily Sale entry '!R906&amp;")","")&amp;IF('Daily Sale entry '!U906="",""," - "&amp;'Daily Sale entry '!U906))</f>
        <v/>
      </c>
      <c r="H906">
        <f>IF(C906="","",COUNTIFS($C$2:$C$3001,C906,$F$2:$F$3001,"&lt;"&amp;F906)+1)</f>
        <v/>
      </c>
      <c r="I906">
        <f>IF(C906="","",C906&amp;"|"&amp;H906)</f>
        <v/>
      </c>
      <c r="J906" s="6">
        <f>IF(C906="","",IF(H906=1,SUMIFS('Opening Balance'!$F$4:$F$303,'Opening Balance'!$G$4:$G$303,C906),INDEX($L$2:$L$3001,MATCH(C906&amp;"|"&amp;(H906-1),$I$2:$I$3001,0))))</f>
        <v/>
      </c>
      <c r="K906" s="6">
        <f>IF(C906="","",IF(M906&gt;0,M906,IF(AND(E906&gt;0,ROUND(J906+D906-E906,2)&gt;0,ROUND(J906+D906-E906,2)&lt;'Opening Balance'!$B$14),ROUND(J906+D906-E906,2),0)))</f>
        <v/>
      </c>
      <c r="L906" s="6">
        <f>IF(C906="","",ROUND(J906+D906-E906-K906,2))</f>
        <v/>
      </c>
      <c r="M906" s="6">
        <f>IF(C906="","",IF('Daily Sale entry '!Q906="Collection 收款",ROUND(N('Daily Sale entry '!T906),2),0))</f>
        <v/>
      </c>
    </row>
    <row r="907">
      <c r="A907" t="inlineStr">
        <is>
          <t>Entry 记录</t>
        </is>
      </c>
      <c r="B907" s="5">
        <f>IF('Daily Sale entry '!P907="","",'Daily Sale entry '!O907)</f>
        <v/>
      </c>
      <c r="C907">
        <f>IF('Daily Sale entry '!P907="","",'Daily Sale entry '!P907)</f>
        <v/>
      </c>
      <c r="D907">
        <f>IF(C907="","",IF('Daily Sale entry '!Q907="Credit Sale 赊销",'Daily Sale entry '!S907,0))</f>
        <v/>
      </c>
      <c r="E907">
        <f>IF(C907="","",IF('Daily Sale entry '!Q907="Collection 收款",'Daily Sale entry '!S907,0))</f>
        <v/>
      </c>
      <c r="F907" s="37">
        <f>IF(C907="","",B907+IF(E907&gt;0,0,0.5)+ROW()/10000000)</f>
        <v/>
      </c>
      <c r="G907">
        <f>IF(C907="","",'Daily Sale entry '!Q907&amp;IF('Daily Sale entry '!Q907="Collection 收款"," ("&amp;'Daily Sale entry '!R907&amp;")","")&amp;IF('Daily Sale entry '!U907="",""," - "&amp;'Daily Sale entry '!U907))</f>
        <v/>
      </c>
      <c r="H907">
        <f>IF(C907="","",COUNTIFS($C$2:$C$3001,C907,$F$2:$F$3001,"&lt;"&amp;F907)+1)</f>
        <v/>
      </c>
      <c r="I907">
        <f>IF(C907="","",C907&amp;"|"&amp;H907)</f>
        <v/>
      </c>
      <c r="J907" s="6">
        <f>IF(C907="","",IF(H907=1,SUMIFS('Opening Balance'!$F$4:$F$303,'Opening Balance'!$G$4:$G$303,C907),INDEX($L$2:$L$3001,MATCH(C907&amp;"|"&amp;(H907-1),$I$2:$I$3001,0))))</f>
        <v/>
      </c>
      <c r="K907" s="6">
        <f>IF(C907="","",IF(M907&gt;0,M907,IF(AND(E907&gt;0,ROUND(J907+D907-E907,2)&gt;0,ROUND(J907+D907-E907,2)&lt;'Opening Balance'!$B$14),ROUND(J907+D907-E907,2),0)))</f>
        <v/>
      </c>
      <c r="L907" s="6">
        <f>IF(C907="","",ROUND(J907+D907-E907-K907,2))</f>
        <v/>
      </c>
      <c r="M907" s="6">
        <f>IF(C907="","",IF('Daily Sale entry '!Q907="Collection 收款",ROUND(N('Daily Sale entry '!T907),2),0))</f>
        <v/>
      </c>
    </row>
    <row r="908">
      <c r="A908" t="inlineStr">
        <is>
          <t>Entry 记录</t>
        </is>
      </c>
      <c r="B908" s="5">
        <f>IF('Daily Sale entry '!P908="","",'Daily Sale entry '!O908)</f>
        <v/>
      </c>
      <c r="C908">
        <f>IF('Daily Sale entry '!P908="","",'Daily Sale entry '!P908)</f>
        <v/>
      </c>
      <c r="D908">
        <f>IF(C908="","",IF('Daily Sale entry '!Q908="Credit Sale 赊销",'Daily Sale entry '!S908,0))</f>
        <v/>
      </c>
      <c r="E908">
        <f>IF(C908="","",IF('Daily Sale entry '!Q908="Collection 收款",'Daily Sale entry '!S908,0))</f>
        <v/>
      </c>
      <c r="F908" s="37">
        <f>IF(C908="","",B908+IF(E908&gt;0,0,0.5)+ROW()/10000000)</f>
        <v/>
      </c>
      <c r="G908">
        <f>IF(C908="","",'Daily Sale entry '!Q908&amp;IF('Daily Sale entry '!Q908="Collection 收款"," ("&amp;'Daily Sale entry '!R908&amp;")","")&amp;IF('Daily Sale entry '!U908="",""," - "&amp;'Daily Sale entry '!U908))</f>
        <v/>
      </c>
      <c r="H908">
        <f>IF(C908="","",COUNTIFS($C$2:$C$3001,C908,$F$2:$F$3001,"&lt;"&amp;F908)+1)</f>
        <v/>
      </c>
      <c r="I908">
        <f>IF(C908="","",C908&amp;"|"&amp;H908)</f>
        <v/>
      </c>
      <c r="J908" s="6">
        <f>IF(C908="","",IF(H908=1,SUMIFS('Opening Balance'!$F$4:$F$303,'Opening Balance'!$G$4:$G$303,C908),INDEX($L$2:$L$3001,MATCH(C908&amp;"|"&amp;(H908-1),$I$2:$I$3001,0))))</f>
        <v/>
      </c>
      <c r="K908" s="6">
        <f>IF(C908="","",IF(M908&gt;0,M908,IF(AND(E908&gt;0,ROUND(J908+D908-E908,2)&gt;0,ROUND(J908+D908-E908,2)&lt;'Opening Balance'!$B$14),ROUND(J908+D908-E908,2),0)))</f>
        <v/>
      </c>
      <c r="L908" s="6">
        <f>IF(C908="","",ROUND(J908+D908-E908-K908,2))</f>
        <v/>
      </c>
      <c r="M908" s="6">
        <f>IF(C908="","",IF('Daily Sale entry '!Q908="Collection 收款",ROUND(N('Daily Sale entry '!T908),2),0))</f>
        <v/>
      </c>
    </row>
    <row r="909">
      <c r="A909" t="inlineStr">
        <is>
          <t>Entry 记录</t>
        </is>
      </c>
      <c r="B909" s="5">
        <f>IF('Daily Sale entry '!P909="","",'Daily Sale entry '!O909)</f>
        <v/>
      </c>
      <c r="C909">
        <f>IF('Daily Sale entry '!P909="","",'Daily Sale entry '!P909)</f>
        <v/>
      </c>
      <c r="D909">
        <f>IF(C909="","",IF('Daily Sale entry '!Q909="Credit Sale 赊销",'Daily Sale entry '!S909,0))</f>
        <v/>
      </c>
      <c r="E909">
        <f>IF(C909="","",IF('Daily Sale entry '!Q909="Collection 收款",'Daily Sale entry '!S909,0))</f>
        <v/>
      </c>
      <c r="F909" s="37">
        <f>IF(C909="","",B909+IF(E909&gt;0,0,0.5)+ROW()/10000000)</f>
        <v/>
      </c>
      <c r="G909">
        <f>IF(C909="","",'Daily Sale entry '!Q909&amp;IF('Daily Sale entry '!Q909="Collection 收款"," ("&amp;'Daily Sale entry '!R909&amp;")","")&amp;IF('Daily Sale entry '!U909="",""," - "&amp;'Daily Sale entry '!U909))</f>
        <v/>
      </c>
      <c r="H909">
        <f>IF(C909="","",COUNTIFS($C$2:$C$3001,C909,$F$2:$F$3001,"&lt;"&amp;F909)+1)</f>
        <v/>
      </c>
      <c r="I909">
        <f>IF(C909="","",C909&amp;"|"&amp;H909)</f>
        <v/>
      </c>
      <c r="J909" s="6">
        <f>IF(C909="","",IF(H909=1,SUMIFS('Opening Balance'!$F$4:$F$303,'Opening Balance'!$G$4:$G$303,C909),INDEX($L$2:$L$3001,MATCH(C909&amp;"|"&amp;(H909-1),$I$2:$I$3001,0))))</f>
        <v/>
      </c>
      <c r="K909" s="6">
        <f>IF(C909="","",IF(M909&gt;0,M909,IF(AND(E909&gt;0,ROUND(J909+D909-E909,2)&gt;0,ROUND(J909+D909-E909,2)&lt;'Opening Balance'!$B$14),ROUND(J909+D909-E909,2),0)))</f>
        <v/>
      </c>
      <c r="L909" s="6">
        <f>IF(C909="","",ROUND(J909+D909-E909-K909,2))</f>
        <v/>
      </c>
      <c r="M909" s="6">
        <f>IF(C909="","",IF('Daily Sale entry '!Q909="Collection 收款",ROUND(N('Daily Sale entry '!T909),2),0))</f>
        <v/>
      </c>
    </row>
    <row r="910">
      <c r="A910" t="inlineStr">
        <is>
          <t>Entry 记录</t>
        </is>
      </c>
      <c r="B910" s="5">
        <f>IF('Daily Sale entry '!P910="","",'Daily Sale entry '!O910)</f>
        <v/>
      </c>
      <c r="C910">
        <f>IF('Daily Sale entry '!P910="","",'Daily Sale entry '!P910)</f>
        <v/>
      </c>
      <c r="D910">
        <f>IF(C910="","",IF('Daily Sale entry '!Q910="Credit Sale 赊销",'Daily Sale entry '!S910,0))</f>
        <v/>
      </c>
      <c r="E910">
        <f>IF(C910="","",IF('Daily Sale entry '!Q910="Collection 收款",'Daily Sale entry '!S910,0))</f>
        <v/>
      </c>
      <c r="F910" s="37">
        <f>IF(C910="","",B910+IF(E910&gt;0,0,0.5)+ROW()/10000000)</f>
        <v/>
      </c>
      <c r="G910">
        <f>IF(C910="","",'Daily Sale entry '!Q910&amp;IF('Daily Sale entry '!Q910="Collection 收款"," ("&amp;'Daily Sale entry '!R910&amp;")","")&amp;IF('Daily Sale entry '!U910="",""," - "&amp;'Daily Sale entry '!U910))</f>
        <v/>
      </c>
      <c r="H910">
        <f>IF(C910="","",COUNTIFS($C$2:$C$3001,C910,$F$2:$F$3001,"&lt;"&amp;F910)+1)</f>
        <v/>
      </c>
      <c r="I910">
        <f>IF(C910="","",C910&amp;"|"&amp;H910)</f>
        <v/>
      </c>
      <c r="J910" s="6">
        <f>IF(C910="","",IF(H910=1,SUMIFS('Opening Balance'!$F$4:$F$303,'Opening Balance'!$G$4:$G$303,C910),INDEX($L$2:$L$3001,MATCH(C910&amp;"|"&amp;(H910-1),$I$2:$I$3001,0))))</f>
        <v/>
      </c>
      <c r="K910" s="6">
        <f>IF(C910="","",IF(M910&gt;0,M910,IF(AND(E910&gt;0,ROUND(J910+D910-E910,2)&gt;0,ROUND(J910+D910-E910,2)&lt;'Opening Balance'!$B$14),ROUND(J910+D910-E910,2),0)))</f>
        <v/>
      </c>
      <c r="L910" s="6">
        <f>IF(C910="","",ROUND(J910+D910-E910-K910,2))</f>
        <v/>
      </c>
      <c r="M910" s="6">
        <f>IF(C910="","",IF('Daily Sale entry '!Q910="Collection 收款",ROUND(N('Daily Sale entry '!T910),2),0))</f>
        <v/>
      </c>
    </row>
    <row r="911">
      <c r="A911" t="inlineStr">
        <is>
          <t>Entry 记录</t>
        </is>
      </c>
      <c r="B911" s="5">
        <f>IF('Daily Sale entry '!P911="","",'Daily Sale entry '!O911)</f>
        <v/>
      </c>
      <c r="C911">
        <f>IF('Daily Sale entry '!P911="","",'Daily Sale entry '!P911)</f>
        <v/>
      </c>
      <c r="D911">
        <f>IF(C911="","",IF('Daily Sale entry '!Q911="Credit Sale 赊销",'Daily Sale entry '!S911,0))</f>
        <v/>
      </c>
      <c r="E911">
        <f>IF(C911="","",IF('Daily Sale entry '!Q911="Collection 收款",'Daily Sale entry '!S911,0))</f>
        <v/>
      </c>
      <c r="F911" s="37">
        <f>IF(C911="","",B911+IF(E911&gt;0,0,0.5)+ROW()/10000000)</f>
        <v/>
      </c>
      <c r="G911">
        <f>IF(C911="","",'Daily Sale entry '!Q911&amp;IF('Daily Sale entry '!Q911="Collection 收款"," ("&amp;'Daily Sale entry '!R911&amp;")","")&amp;IF('Daily Sale entry '!U911="",""," - "&amp;'Daily Sale entry '!U911))</f>
        <v/>
      </c>
      <c r="H911">
        <f>IF(C911="","",COUNTIFS($C$2:$C$3001,C911,$F$2:$F$3001,"&lt;"&amp;F911)+1)</f>
        <v/>
      </c>
      <c r="I911">
        <f>IF(C911="","",C911&amp;"|"&amp;H911)</f>
        <v/>
      </c>
      <c r="J911" s="6">
        <f>IF(C911="","",IF(H911=1,SUMIFS('Opening Balance'!$F$4:$F$303,'Opening Balance'!$G$4:$G$303,C911),INDEX($L$2:$L$3001,MATCH(C911&amp;"|"&amp;(H911-1),$I$2:$I$3001,0))))</f>
        <v/>
      </c>
      <c r="K911" s="6">
        <f>IF(C911="","",IF(M911&gt;0,M911,IF(AND(E911&gt;0,ROUND(J911+D911-E911,2)&gt;0,ROUND(J911+D911-E911,2)&lt;'Opening Balance'!$B$14),ROUND(J911+D911-E911,2),0)))</f>
        <v/>
      </c>
      <c r="L911" s="6">
        <f>IF(C911="","",ROUND(J911+D911-E911-K911,2))</f>
        <v/>
      </c>
      <c r="M911" s="6">
        <f>IF(C911="","",IF('Daily Sale entry '!Q911="Collection 收款",ROUND(N('Daily Sale entry '!T911),2),0))</f>
        <v/>
      </c>
    </row>
    <row r="912">
      <c r="A912" t="inlineStr">
        <is>
          <t>Entry 记录</t>
        </is>
      </c>
      <c r="B912" s="5">
        <f>IF('Daily Sale entry '!P912="","",'Daily Sale entry '!O912)</f>
        <v/>
      </c>
      <c r="C912">
        <f>IF('Daily Sale entry '!P912="","",'Daily Sale entry '!P912)</f>
        <v/>
      </c>
      <c r="D912">
        <f>IF(C912="","",IF('Daily Sale entry '!Q912="Credit Sale 赊销",'Daily Sale entry '!S912,0))</f>
        <v/>
      </c>
      <c r="E912">
        <f>IF(C912="","",IF('Daily Sale entry '!Q912="Collection 收款",'Daily Sale entry '!S912,0))</f>
        <v/>
      </c>
      <c r="F912" s="37">
        <f>IF(C912="","",B912+IF(E912&gt;0,0,0.5)+ROW()/10000000)</f>
        <v/>
      </c>
      <c r="G912">
        <f>IF(C912="","",'Daily Sale entry '!Q912&amp;IF('Daily Sale entry '!Q912="Collection 收款"," ("&amp;'Daily Sale entry '!R912&amp;")","")&amp;IF('Daily Sale entry '!U912="",""," - "&amp;'Daily Sale entry '!U912))</f>
        <v/>
      </c>
      <c r="H912">
        <f>IF(C912="","",COUNTIFS($C$2:$C$3001,C912,$F$2:$F$3001,"&lt;"&amp;F912)+1)</f>
        <v/>
      </c>
      <c r="I912">
        <f>IF(C912="","",C912&amp;"|"&amp;H912)</f>
        <v/>
      </c>
      <c r="J912" s="6">
        <f>IF(C912="","",IF(H912=1,SUMIFS('Opening Balance'!$F$4:$F$303,'Opening Balance'!$G$4:$G$303,C912),INDEX($L$2:$L$3001,MATCH(C912&amp;"|"&amp;(H912-1),$I$2:$I$3001,0))))</f>
        <v/>
      </c>
      <c r="K912" s="6">
        <f>IF(C912="","",IF(M912&gt;0,M912,IF(AND(E912&gt;0,ROUND(J912+D912-E912,2)&gt;0,ROUND(J912+D912-E912,2)&lt;'Opening Balance'!$B$14),ROUND(J912+D912-E912,2),0)))</f>
        <v/>
      </c>
      <c r="L912" s="6">
        <f>IF(C912="","",ROUND(J912+D912-E912-K912,2))</f>
        <v/>
      </c>
      <c r="M912" s="6">
        <f>IF(C912="","",IF('Daily Sale entry '!Q912="Collection 收款",ROUND(N('Daily Sale entry '!T912),2),0))</f>
        <v/>
      </c>
    </row>
    <row r="913">
      <c r="A913" t="inlineStr">
        <is>
          <t>Entry 记录</t>
        </is>
      </c>
      <c r="B913" s="5">
        <f>IF('Daily Sale entry '!P913="","",'Daily Sale entry '!O913)</f>
        <v/>
      </c>
      <c r="C913">
        <f>IF('Daily Sale entry '!P913="","",'Daily Sale entry '!P913)</f>
        <v/>
      </c>
      <c r="D913">
        <f>IF(C913="","",IF('Daily Sale entry '!Q913="Credit Sale 赊销",'Daily Sale entry '!S913,0))</f>
        <v/>
      </c>
      <c r="E913">
        <f>IF(C913="","",IF('Daily Sale entry '!Q913="Collection 收款",'Daily Sale entry '!S913,0))</f>
        <v/>
      </c>
      <c r="F913" s="37">
        <f>IF(C913="","",B913+IF(E913&gt;0,0,0.5)+ROW()/10000000)</f>
        <v/>
      </c>
      <c r="G913">
        <f>IF(C913="","",'Daily Sale entry '!Q913&amp;IF('Daily Sale entry '!Q913="Collection 收款"," ("&amp;'Daily Sale entry '!R913&amp;")","")&amp;IF('Daily Sale entry '!U913="",""," - "&amp;'Daily Sale entry '!U913))</f>
        <v/>
      </c>
      <c r="H913">
        <f>IF(C913="","",COUNTIFS($C$2:$C$3001,C913,$F$2:$F$3001,"&lt;"&amp;F913)+1)</f>
        <v/>
      </c>
      <c r="I913">
        <f>IF(C913="","",C913&amp;"|"&amp;H913)</f>
        <v/>
      </c>
      <c r="J913" s="6">
        <f>IF(C913="","",IF(H913=1,SUMIFS('Opening Balance'!$F$4:$F$303,'Opening Balance'!$G$4:$G$303,C913),INDEX($L$2:$L$3001,MATCH(C913&amp;"|"&amp;(H913-1),$I$2:$I$3001,0))))</f>
        <v/>
      </c>
      <c r="K913" s="6">
        <f>IF(C913="","",IF(M913&gt;0,M913,IF(AND(E913&gt;0,ROUND(J913+D913-E913,2)&gt;0,ROUND(J913+D913-E913,2)&lt;'Opening Balance'!$B$14),ROUND(J913+D913-E913,2),0)))</f>
        <v/>
      </c>
      <c r="L913" s="6">
        <f>IF(C913="","",ROUND(J913+D913-E913-K913,2))</f>
        <v/>
      </c>
      <c r="M913" s="6">
        <f>IF(C913="","",IF('Daily Sale entry '!Q913="Collection 收款",ROUND(N('Daily Sale entry '!T913),2),0))</f>
        <v/>
      </c>
    </row>
    <row r="914">
      <c r="A914" t="inlineStr">
        <is>
          <t>Entry 记录</t>
        </is>
      </c>
      <c r="B914" s="5">
        <f>IF('Daily Sale entry '!P914="","",'Daily Sale entry '!O914)</f>
        <v/>
      </c>
      <c r="C914">
        <f>IF('Daily Sale entry '!P914="","",'Daily Sale entry '!P914)</f>
        <v/>
      </c>
      <c r="D914">
        <f>IF(C914="","",IF('Daily Sale entry '!Q914="Credit Sale 赊销",'Daily Sale entry '!S914,0))</f>
        <v/>
      </c>
      <c r="E914">
        <f>IF(C914="","",IF('Daily Sale entry '!Q914="Collection 收款",'Daily Sale entry '!S914,0))</f>
        <v/>
      </c>
      <c r="F914" s="37">
        <f>IF(C914="","",B914+IF(E914&gt;0,0,0.5)+ROW()/10000000)</f>
        <v/>
      </c>
      <c r="G914">
        <f>IF(C914="","",'Daily Sale entry '!Q914&amp;IF('Daily Sale entry '!Q914="Collection 收款"," ("&amp;'Daily Sale entry '!R914&amp;")","")&amp;IF('Daily Sale entry '!U914="",""," - "&amp;'Daily Sale entry '!U914))</f>
        <v/>
      </c>
      <c r="H914">
        <f>IF(C914="","",COUNTIFS($C$2:$C$3001,C914,$F$2:$F$3001,"&lt;"&amp;F914)+1)</f>
        <v/>
      </c>
      <c r="I914">
        <f>IF(C914="","",C914&amp;"|"&amp;H914)</f>
        <v/>
      </c>
      <c r="J914" s="6">
        <f>IF(C914="","",IF(H914=1,SUMIFS('Opening Balance'!$F$4:$F$303,'Opening Balance'!$G$4:$G$303,C914),INDEX($L$2:$L$3001,MATCH(C914&amp;"|"&amp;(H914-1),$I$2:$I$3001,0))))</f>
        <v/>
      </c>
      <c r="K914" s="6">
        <f>IF(C914="","",IF(M914&gt;0,M914,IF(AND(E914&gt;0,ROUND(J914+D914-E914,2)&gt;0,ROUND(J914+D914-E914,2)&lt;'Opening Balance'!$B$14),ROUND(J914+D914-E914,2),0)))</f>
        <v/>
      </c>
      <c r="L914" s="6">
        <f>IF(C914="","",ROUND(J914+D914-E914-K914,2))</f>
        <v/>
      </c>
      <c r="M914" s="6">
        <f>IF(C914="","",IF('Daily Sale entry '!Q914="Collection 收款",ROUND(N('Daily Sale entry '!T914),2),0))</f>
        <v/>
      </c>
    </row>
    <row r="915">
      <c r="A915" t="inlineStr">
        <is>
          <t>Entry 记录</t>
        </is>
      </c>
      <c r="B915" s="5">
        <f>IF('Daily Sale entry '!P915="","",'Daily Sale entry '!O915)</f>
        <v/>
      </c>
      <c r="C915">
        <f>IF('Daily Sale entry '!P915="","",'Daily Sale entry '!P915)</f>
        <v/>
      </c>
      <c r="D915">
        <f>IF(C915="","",IF('Daily Sale entry '!Q915="Credit Sale 赊销",'Daily Sale entry '!S915,0))</f>
        <v/>
      </c>
      <c r="E915">
        <f>IF(C915="","",IF('Daily Sale entry '!Q915="Collection 收款",'Daily Sale entry '!S915,0))</f>
        <v/>
      </c>
      <c r="F915" s="37">
        <f>IF(C915="","",B915+IF(E915&gt;0,0,0.5)+ROW()/10000000)</f>
        <v/>
      </c>
      <c r="G915">
        <f>IF(C915="","",'Daily Sale entry '!Q915&amp;IF('Daily Sale entry '!Q915="Collection 收款"," ("&amp;'Daily Sale entry '!R915&amp;")","")&amp;IF('Daily Sale entry '!U915="",""," - "&amp;'Daily Sale entry '!U915))</f>
        <v/>
      </c>
      <c r="H915">
        <f>IF(C915="","",COUNTIFS($C$2:$C$3001,C915,$F$2:$F$3001,"&lt;"&amp;F915)+1)</f>
        <v/>
      </c>
      <c r="I915">
        <f>IF(C915="","",C915&amp;"|"&amp;H915)</f>
        <v/>
      </c>
      <c r="J915" s="6">
        <f>IF(C915="","",IF(H915=1,SUMIFS('Opening Balance'!$F$4:$F$303,'Opening Balance'!$G$4:$G$303,C915),INDEX($L$2:$L$3001,MATCH(C915&amp;"|"&amp;(H915-1),$I$2:$I$3001,0))))</f>
        <v/>
      </c>
      <c r="K915" s="6">
        <f>IF(C915="","",IF(M915&gt;0,M915,IF(AND(E915&gt;0,ROUND(J915+D915-E915,2)&gt;0,ROUND(J915+D915-E915,2)&lt;'Opening Balance'!$B$14),ROUND(J915+D915-E915,2),0)))</f>
        <v/>
      </c>
      <c r="L915" s="6">
        <f>IF(C915="","",ROUND(J915+D915-E915-K915,2))</f>
        <v/>
      </c>
      <c r="M915" s="6">
        <f>IF(C915="","",IF('Daily Sale entry '!Q915="Collection 收款",ROUND(N('Daily Sale entry '!T915),2),0))</f>
        <v/>
      </c>
    </row>
    <row r="916">
      <c r="A916" t="inlineStr">
        <is>
          <t>Entry 记录</t>
        </is>
      </c>
      <c r="B916" s="5">
        <f>IF('Daily Sale entry '!P916="","",'Daily Sale entry '!O916)</f>
        <v/>
      </c>
      <c r="C916">
        <f>IF('Daily Sale entry '!P916="","",'Daily Sale entry '!P916)</f>
        <v/>
      </c>
      <c r="D916">
        <f>IF(C916="","",IF('Daily Sale entry '!Q916="Credit Sale 赊销",'Daily Sale entry '!S916,0))</f>
        <v/>
      </c>
      <c r="E916">
        <f>IF(C916="","",IF('Daily Sale entry '!Q916="Collection 收款",'Daily Sale entry '!S916,0))</f>
        <v/>
      </c>
      <c r="F916" s="37">
        <f>IF(C916="","",B916+IF(E916&gt;0,0,0.5)+ROW()/10000000)</f>
        <v/>
      </c>
      <c r="G916">
        <f>IF(C916="","",'Daily Sale entry '!Q916&amp;IF('Daily Sale entry '!Q916="Collection 收款"," ("&amp;'Daily Sale entry '!R916&amp;")","")&amp;IF('Daily Sale entry '!U916="",""," - "&amp;'Daily Sale entry '!U916))</f>
        <v/>
      </c>
      <c r="H916">
        <f>IF(C916="","",COUNTIFS($C$2:$C$3001,C916,$F$2:$F$3001,"&lt;"&amp;F916)+1)</f>
        <v/>
      </c>
      <c r="I916">
        <f>IF(C916="","",C916&amp;"|"&amp;H916)</f>
        <v/>
      </c>
      <c r="J916" s="6">
        <f>IF(C916="","",IF(H916=1,SUMIFS('Opening Balance'!$F$4:$F$303,'Opening Balance'!$G$4:$G$303,C916),INDEX($L$2:$L$3001,MATCH(C916&amp;"|"&amp;(H916-1),$I$2:$I$3001,0))))</f>
        <v/>
      </c>
      <c r="K916" s="6">
        <f>IF(C916="","",IF(M916&gt;0,M916,IF(AND(E916&gt;0,ROUND(J916+D916-E916,2)&gt;0,ROUND(J916+D916-E916,2)&lt;'Opening Balance'!$B$14),ROUND(J916+D916-E916,2),0)))</f>
        <v/>
      </c>
      <c r="L916" s="6">
        <f>IF(C916="","",ROUND(J916+D916-E916-K916,2))</f>
        <v/>
      </c>
      <c r="M916" s="6">
        <f>IF(C916="","",IF('Daily Sale entry '!Q916="Collection 收款",ROUND(N('Daily Sale entry '!T916),2),0))</f>
        <v/>
      </c>
    </row>
    <row r="917">
      <c r="A917" t="inlineStr">
        <is>
          <t>Entry 记录</t>
        </is>
      </c>
      <c r="B917" s="5">
        <f>IF('Daily Sale entry '!P917="","",'Daily Sale entry '!O917)</f>
        <v/>
      </c>
      <c r="C917">
        <f>IF('Daily Sale entry '!P917="","",'Daily Sale entry '!P917)</f>
        <v/>
      </c>
      <c r="D917">
        <f>IF(C917="","",IF('Daily Sale entry '!Q917="Credit Sale 赊销",'Daily Sale entry '!S917,0))</f>
        <v/>
      </c>
      <c r="E917">
        <f>IF(C917="","",IF('Daily Sale entry '!Q917="Collection 收款",'Daily Sale entry '!S917,0))</f>
        <v/>
      </c>
      <c r="F917" s="37">
        <f>IF(C917="","",B917+IF(E917&gt;0,0,0.5)+ROW()/10000000)</f>
        <v/>
      </c>
      <c r="G917">
        <f>IF(C917="","",'Daily Sale entry '!Q917&amp;IF('Daily Sale entry '!Q917="Collection 收款"," ("&amp;'Daily Sale entry '!R917&amp;")","")&amp;IF('Daily Sale entry '!U917="",""," - "&amp;'Daily Sale entry '!U917))</f>
        <v/>
      </c>
      <c r="H917">
        <f>IF(C917="","",COUNTIFS($C$2:$C$3001,C917,$F$2:$F$3001,"&lt;"&amp;F917)+1)</f>
        <v/>
      </c>
      <c r="I917">
        <f>IF(C917="","",C917&amp;"|"&amp;H917)</f>
        <v/>
      </c>
      <c r="J917" s="6">
        <f>IF(C917="","",IF(H917=1,SUMIFS('Opening Balance'!$F$4:$F$303,'Opening Balance'!$G$4:$G$303,C917),INDEX($L$2:$L$3001,MATCH(C917&amp;"|"&amp;(H917-1),$I$2:$I$3001,0))))</f>
        <v/>
      </c>
      <c r="K917" s="6">
        <f>IF(C917="","",IF(M917&gt;0,M917,IF(AND(E917&gt;0,ROUND(J917+D917-E917,2)&gt;0,ROUND(J917+D917-E917,2)&lt;'Opening Balance'!$B$14),ROUND(J917+D917-E917,2),0)))</f>
        <v/>
      </c>
      <c r="L917" s="6">
        <f>IF(C917="","",ROUND(J917+D917-E917-K917,2))</f>
        <v/>
      </c>
      <c r="M917" s="6">
        <f>IF(C917="","",IF('Daily Sale entry '!Q917="Collection 收款",ROUND(N('Daily Sale entry '!T917),2),0))</f>
        <v/>
      </c>
    </row>
    <row r="918">
      <c r="A918" t="inlineStr">
        <is>
          <t>Entry 记录</t>
        </is>
      </c>
      <c r="B918" s="5">
        <f>IF('Daily Sale entry '!P918="","",'Daily Sale entry '!O918)</f>
        <v/>
      </c>
      <c r="C918">
        <f>IF('Daily Sale entry '!P918="","",'Daily Sale entry '!P918)</f>
        <v/>
      </c>
      <c r="D918">
        <f>IF(C918="","",IF('Daily Sale entry '!Q918="Credit Sale 赊销",'Daily Sale entry '!S918,0))</f>
        <v/>
      </c>
      <c r="E918">
        <f>IF(C918="","",IF('Daily Sale entry '!Q918="Collection 收款",'Daily Sale entry '!S918,0))</f>
        <v/>
      </c>
      <c r="F918" s="37">
        <f>IF(C918="","",B918+IF(E918&gt;0,0,0.5)+ROW()/10000000)</f>
        <v/>
      </c>
      <c r="G918">
        <f>IF(C918="","",'Daily Sale entry '!Q918&amp;IF('Daily Sale entry '!Q918="Collection 收款"," ("&amp;'Daily Sale entry '!R918&amp;")","")&amp;IF('Daily Sale entry '!U918="",""," - "&amp;'Daily Sale entry '!U918))</f>
        <v/>
      </c>
      <c r="H918">
        <f>IF(C918="","",COUNTIFS($C$2:$C$3001,C918,$F$2:$F$3001,"&lt;"&amp;F918)+1)</f>
        <v/>
      </c>
      <c r="I918">
        <f>IF(C918="","",C918&amp;"|"&amp;H918)</f>
        <v/>
      </c>
      <c r="J918" s="6">
        <f>IF(C918="","",IF(H918=1,SUMIFS('Opening Balance'!$F$4:$F$303,'Opening Balance'!$G$4:$G$303,C918),INDEX($L$2:$L$3001,MATCH(C918&amp;"|"&amp;(H918-1),$I$2:$I$3001,0))))</f>
        <v/>
      </c>
      <c r="K918" s="6">
        <f>IF(C918="","",IF(M918&gt;0,M918,IF(AND(E918&gt;0,ROUND(J918+D918-E918,2)&gt;0,ROUND(J918+D918-E918,2)&lt;'Opening Balance'!$B$14),ROUND(J918+D918-E918,2),0)))</f>
        <v/>
      </c>
      <c r="L918" s="6">
        <f>IF(C918="","",ROUND(J918+D918-E918-K918,2))</f>
        <v/>
      </c>
      <c r="M918" s="6">
        <f>IF(C918="","",IF('Daily Sale entry '!Q918="Collection 收款",ROUND(N('Daily Sale entry '!T918),2),0))</f>
        <v/>
      </c>
    </row>
    <row r="919">
      <c r="A919" t="inlineStr">
        <is>
          <t>Entry 记录</t>
        </is>
      </c>
      <c r="B919" s="5">
        <f>IF('Daily Sale entry '!P919="","",'Daily Sale entry '!O919)</f>
        <v/>
      </c>
      <c r="C919">
        <f>IF('Daily Sale entry '!P919="","",'Daily Sale entry '!P919)</f>
        <v/>
      </c>
      <c r="D919">
        <f>IF(C919="","",IF('Daily Sale entry '!Q919="Credit Sale 赊销",'Daily Sale entry '!S919,0))</f>
        <v/>
      </c>
      <c r="E919">
        <f>IF(C919="","",IF('Daily Sale entry '!Q919="Collection 收款",'Daily Sale entry '!S919,0))</f>
        <v/>
      </c>
      <c r="F919" s="37">
        <f>IF(C919="","",B919+IF(E919&gt;0,0,0.5)+ROW()/10000000)</f>
        <v/>
      </c>
      <c r="G919">
        <f>IF(C919="","",'Daily Sale entry '!Q919&amp;IF('Daily Sale entry '!Q919="Collection 收款"," ("&amp;'Daily Sale entry '!R919&amp;")","")&amp;IF('Daily Sale entry '!U919="",""," - "&amp;'Daily Sale entry '!U919))</f>
        <v/>
      </c>
      <c r="H919">
        <f>IF(C919="","",COUNTIFS($C$2:$C$3001,C919,$F$2:$F$3001,"&lt;"&amp;F919)+1)</f>
        <v/>
      </c>
      <c r="I919">
        <f>IF(C919="","",C919&amp;"|"&amp;H919)</f>
        <v/>
      </c>
      <c r="J919" s="6">
        <f>IF(C919="","",IF(H919=1,SUMIFS('Opening Balance'!$F$4:$F$303,'Opening Balance'!$G$4:$G$303,C919),INDEX($L$2:$L$3001,MATCH(C919&amp;"|"&amp;(H919-1),$I$2:$I$3001,0))))</f>
        <v/>
      </c>
      <c r="K919" s="6">
        <f>IF(C919="","",IF(M919&gt;0,M919,IF(AND(E919&gt;0,ROUND(J919+D919-E919,2)&gt;0,ROUND(J919+D919-E919,2)&lt;'Opening Balance'!$B$14),ROUND(J919+D919-E919,2),0)))</f>
        <v/>
      </c>
      <c r="L919" s="6">
        <f>IF(C919="","",ROUND(J919+D919-E919-K919,2))</f>
        <v/>
      </c>
      <c r="M919" s="6">
        <f>IF(C919="","",IF('Daily Sale entry '!Q919="Collection 收款",ROUND(N('Daily Sale entry '!T919),2),0))</f>
        <v/>
      </c>
    </row>
    <row r="920">
      <c r="A920" t="inlineStr">
        <is>
          <t>Entry 记录</t>
        </is>
      </c>
      <c r="B920" s="5">
        <f>IF('Daily Sale entry '!P920="","",'Daily Sale entry '!O920)</f>
        <v/>
      </c>
      <c r="C920">
        <f>IF('Daily Sale entry '!P920="","",'Daily Sale entry '!P920)</f>
        <v/>
      </c>
      <c r="D920">
        <f>IF(C920="","",IF('Daily Sale entry '!Q920="Credit Sale 赊销",'Daily Sale entry '!S920,0))</f>
        <v/>
      </c>
      <c r="E920">
        <f>IF(C920="","",IF('Daily Sale entry '!Q920="Collection 收款",'Daily Sale entry '!S920,0))</f>
        <v/>
      </c>
      <c r="F920" s="37">
        <f>IF(C920="","",B920+IF(E920&gt;0,0,0.5)+ROW()/10000000)</f>
        <v/>
      </c>
      <c r="G920">
        <f>IF(C920="","",'Daily Sale entry '!Q920&amp;IF('Daily Sale entry '!Q920="Collection 收款"," ("&amp;'Daily Sale entry '!R920&amp;")","")&amp;IF('Daily Sale entry '!U920="",""," - "&amp;'Daily Sale entry '!U920))</f>
        <v/>
      </c>
      <c r="H920">
        <f>IF(C920="","",COUNTIFS($C$2:$C$3001,C920,$F$2:$F$3001,"&lt;"&amp;F920)+1)</f>
        <v/>
      </c>
      <c r="I920">
        <f>IF(C920="","",C920&amp;"|"&amp;H920)</f>
        <v/>
      </c>
      <c r="J920" s="6">
        <f>IF(C920="","",IF(H920=1,SUMIFS('Opening Balance'!$F$4:$F$303,'Opening Balance'!$G$4:$G$303,C920),INDEX($L$2:$L$3001,MATCH(C920&amp;"|"&amp;(H920-1),$I$2:$I$3001,0))))</f>
        <v/>
      </c>
      <c r="K920" s="6">
        <f>IF(C920="","",IF(M920&gt;0,M920,IF(AND(E920&gt;0,ROUND(J920+D920-E920,2)&gt;0,ROUND(J920+D920-E920,2)&lt;'Opening Balance'!$B$14),ROUND(J920+D920-E920,2),0)))</f>
        <v/>
      </c>
      <c r="L920" s="6">
        <f>IF(C920="","",ROUND(J920+D920-E920-K920,2))</f>
        <v/>
      </c>
      <c r="M920" s="6">
        <f>IF(C920="","",IF('Daily Sale entry '!Q920="Collection 收款",ROUND(N('Daily Sale entry '!T920),2),0))</f>
        <v/>
      </c>
    </row>
    <row r="921">
      <c r="A921" t="inlineStr">
        <is>
          <t>Entry 记录</t>
        </is>
      </c>
      <c r="B921" s="5">
        <f>IF('Daily Sale entry '!P921="","",'Daily Sale entry '!O921)</f>
        <v/>
      </c>
      <c r="C921">
        <f>IF('Daily Sale entry '!P921="","",'Daily Sale entry '!P921)</f>
        <v/>
      </c>
      <c r="D921">
        <f>IF(C921="","",IF('Daily Sale entry '!Q921="Credit Sale 赊销",'Daily Sale entry '!S921,0))</f>
        <v/>
      </c>
      <c r="E921">
        <f>IF(C921="","",IF('Daily Sale entry '!Q921="Collection 收款",'Daily Sale entry '!S921,0))</f>
        <v/>
      </c>
      <c r="F921" s="37">
        <f>IF(C921="","",B921+IF(E921&gt;0,0,0.5)+ROW()/10000000)</f>
        <v/>
      </c>
      <c r="G921">
        <f>IF(C921="","",'Daily Sale entry '!Q921&amp;IF('Daily Sale entry '!Q921="Collection 收款"," ("&amp;'Daily Sale entry '!R921&amp;")","")&amp;IF('Daily Sale entry '!U921="",""," - "&amp;'Daily Sale entry '!U921))</f>
        <v/>
      </c>
      <c r="H921">
        <f>IF(C921="","",COUNTIFS($C$2:$C$3001,C921,$F$2:$F$3001,"&lt;"&amp;F921)+1)</f>
        <v/>
      </c>
      <c r="I921">
        <f>IF(C921="","",C921&amp;"|"&amp;H921)</f>
        <v/>
      </c>
      <c r="J921" s="6">
        <f>IF(C921="","",IF(H921=1,SUMIFS('Opening Balance'!$F$4:$F$303,'Opening Balance'!$G$4:$G$303,C921),INDEX($L$2:$L$3001,MATCH(C921&amp;"|"&amp;(H921-1),$I$2:$I$3001,0))))</f>
        <v/>
      </c>
      <c r="K921" s="6">
        <f>IF(C921="","",IF(M921&gt;0,M921,IF(AND(E921&gt;0,ROUND(J921+D921-E921,2)&gt;0,ROUND(J921+D921-E921,2)&lt;'Opening Balance'!$B$14),ROUND(J921+D921-E921,2),0)))</f>
        <v/>
      </c>
      <c r="L921" s="6">
        <f>IF(C921="","",ROUND(J921+D921-E921-K921,2))</f>
        <v/>
      </c>
      <c r="M921" s="6">
        <f>IF(C921="","",IF('Daily Sale entry '!Q921="Collection 收款",ROUND(N('Daily Sale entry '!T921),2),0))</f>
        <v/>
      </c>
    </row>
    <row r="922">
      <c r="A922" t="inlineStr">
        <is>
          <t>Entry 记录</t>
        </is>
      </c>
      <c r="B922" s="5">
        <f>IF('Daily Sale entry '!P922="","",'Daily Sale entry '!O922)</f>
        <v/>
      </c>
      <c r="C922">
        <f>IF('Daily Sale entry '!P922="","",'Daily Sale entry '!P922)</f>
        <v/>
      </c>
      <c r="D922">
        <f>IF(C922="","",IF('Daily Sale entry '!Q922="Credit Sale 赊销",'Daily Sale entry '!S922,0))</f>
        <v/>
      </c>
      <c r="E922">
        <f>IF(C922="","",IF('Daily Sale entry '!Q922="Collection 收款",'Daily Sale entry '!S922,0))</f>
        <v/>
      </c>
      <c r="F922" s="37">
        <f>IF(C922="","",B922+IF(E922&gt;0,0,0.5)+ROW()/10000000)</f>
        <v/>
      </c>
      <c r="G922">
        <f>IF(C922="","",'Daily Sale entry '!Q922&amp;IF('Daily Sale entry '!Q922="Collection 收款"," ("&amp;'Daily Sale entry '!R922&amp;")","")&amp;IF('Daily Sale entry '!U922="",""," - "&amp;'Daily Sale entry '!U922))</f>
        <v/>
      </c>
      <c r="H922">
        <f>IF(C922="","",COUNTIFS($C$2:$C$3001,C922,$F$2:$F$3001,"&lt;"&amp;F922)+1)</f>
        <v/>
      </c>
      <c r="I922">
        <f>IF(C922="","",C922&amp;"|"&amp;H922)</f>
        <v/>
      </c>
      <c r="J922" s="6">
        <f>IF(C922="","",IF(H922=1,SUMIFS('Opening Balance'!$F$4:$F$303,'Opening Balance'!$G$4:$G$303,C922),INDEX($L$2:$L$3001,MATCH(C922&amp;"|"&amp;(H922-1),$I$2:$I$3001,0))))</f>
        <v/>
      </c>
      <c r="K922" s="6">
        <f>IF(C922="","",IF(M922&gt;0,M922,IF(AND(E922&gt;0,ROUND(J922+D922-E922,2)&gt;0,ROUND(J922+D922-E922,2)&lt;'Opening Balance'!$B$14),ROUND(J922+D922-E922,2),0)))</f>
        <v/>
      </c>
      <c r="L922" s="6">
        <f>IF(C922="","",ROUND(J922+D922-E922-K922,2))</f>
        <v/>
      </c>
      <c r="M922" s="6">
        <f>IF(C922="","",IF('Daily Sale entry '!Q922="Collection 收款",ROUND(N('Daily Sale entry '!T922),2),0))</f>
        <v/>
      </c>
    </row>
    <row r="923">
      <c r="A923" t="inlineStr">
        <is>
          <t>Entry 记录</t>
        </is>
      </c>
      <c r="B923" s="5">
        <f>IF('Daily Sale entry '!P923="","",'Daily Sale entry '!O923)</f>
        <v/>
      </c>
      <c r="C923">
        <f>IF('Daily Sale entry '!P923="","",'Daily Sale entry '!P923)</f>
        <v/>
      </c>
      <c r="D923">
        <f>IF(C923="","",IF('Daily Sale entry '!Q923="Credit Sale 赊销",'Daily Sale entry '!S923,0))</f>
        <v/>
      </c>
      <c r="E923">
        <f>IF(C923="","",IF('Daily Sale entry '!Q923="Collection 收款",'Daily Sale entry '!S923,0))</f>
        <v/>
      </c>
      <c r="F923" s="37">
        <f>IF(C923="","",B923+IF(E923&gt;0,0,0.5)+ROW()/10000000)</f>
        <v/>
      </c>
      <c r="G923">
        <f>IF(C923="","",'Daily Sale entry '!Q923&amp;IF('Daily Sale entry '!Q923="Collection 收款"," ("&amp;'Daily Sale entry '!R923&amp;")","")&amp;IF('Daily Sale entry '!U923="",""," - "&amp;'Daily Sale entry '!U923))</f>
        <v/>
      </c>
      <c r="H923">
        <f>IF(C923="","",COUNTIFS($C$2:$C$3001,C923,$F$2:$F$3001,"&lt;"&amp;F923)+1)</f>
        <v/>
      </c>
      <c r="I923">
        <f>IF(C923="","",C923&amp;"|"&amp;H923)</f>
        <v/>
      </c>
      <c r="J923" s="6">
        <f>IF(C923="","",IF(H923=1,SUMIFS('Opening Balance'!$F$4:$F$303,'Opening Balance'!$G$4:$G$303,C923),INDEX($L$2:$L$3001,MATCH(C923&amp;"|"&amp;(H923-1),$I$2:$I$3001,0))))</f>
        <v/>
      </c>
      <c r="K923" s="6">
        <f>IF(C923="","",IF(M923&gt;0,M923,IF(AND(E923&gt;0,ROUND(J923+D923-E923,2)&gt;0,ROUND(J923+D923-E923,2)&lt;'Opening Balance'!$B$14),ROUND(J923+D923-E923,2),0)))</f>
        <v/>
      </c>
      <c r="L923" s="6">
        <f>IF(C923="","",ROUND(J923+D923-E923-K923,2))</f>
        <v/>
      </c>
      <c r="M923" s="6">
        <f>IF(C923="","",IF('Daily Sale entry '!Q923="Collection 收款",ROUND(N('Daily Sale entry '!T923),2),0))</f>
        <v/>
      </c>
    </row>
    <row r="924">
      <c r="A924" t="inlineStr">
        <is>
          <t>Entry 记录</t>
        </is>
      </c>
      <c r="B924" s="5">
        <f>IF('Daily Sale entry '!P924="","",'Daily Sale entry '!O924)</f>
        <v/>
      </c>
      <c r="C924">
        <f>IF('Daily Sale entry '!P924="","",'Daily Sale entry '!P924)</f>
        <v/>
      </c>
      <c r="D924">
        <f>IF(C924="","",IF('Daily Sale entry '!Q924="Credit Sale 赊销",'Daily Sale entry '!S924,0))</f>
        <v/>
      </c>
      <c r="E924">
        <f>IF(C924="","",IF('Daily Sale entry '!Q924="Collection 收款",'Daily Sale entry '!S924,0))</f>
        <v/>
      </c>
      <c r="F924" s="37">
        <f>IF(C924="","",B924+IF(E924&gt;0,0,0.5)+ROW()/10000000)</f>
        <v/>
      </c>
      <c r="G924">
        <f>IF(C924="","",'Daily Sale entry '!Q924&amp;IF('Daily Sale entry '!Q924="Collection 收款"," ("&amp;'Daily Sale entry '!R924&amp;")","")&amp;IF('Daily Sale entry '!U924="",""," - "&amp;'Daily Sale entry '!U924))</f>
        <v/>
      </c>
      <c r="H924">
        <f>IF(C924="","",COUNTIFS($C$2:$C$3001,C924,$F$2:$F$3001,"&lt;"&amp;F924)+1)</f>
        <v/>
      </c>
      <c r="I924">
        <f>IF(C924="","",C924&amp;"|"&amp;H924)</f>
        <v/>
      </c>
      <c r="J924" s="6">
        <f>IF(C924="","",IF(H924=1,SUMIFS('Opening Balance'!$F$4:$F$303,'Opening Balance'!$G$4:$G$303,C924),INDEX($L$2:$L$3001,MATCH(C924&amp;"|"&amp;(H924-1),$I$2:$I$3001,0))))</f>
        <v/>
      </c>
      <c r="K924" s="6">
        <f>IF(C924="","",IF(M924&gt;0,M924,IF(AND(E924&gt;0,ROUND(J924+D924-E924,2)&gt;0,ROUND(J924+D924-E924,2)&lt;'Opening Balance'!$B$14),ROUND(J924+D924-E924,2),0)))</f>
        <v/>
      </c>
      <c r="L924" s="6">
        <f>IF(C924="","",ROUND(J924+D924-E924-K924,2))</f>
        <v/>
      </c>
      <c r="M924" s="6">
        <f>IF(C924="","",IF('Daily Sale entry '!Q924="Collection 收款",ROUND(N('Daily Sale entry '!T924),2),0))</f>
        <v/>
      </c>
    </row>
    <row r="925">
      <c r="A925" t="inlineStr">
        <is>
          <t>Entry 记录</t>
        </is>
      </c>
      <c r="B925" s="5">
        <f>IF('Daily Sale entry '!P925="","",'Daily Sale entry '!O925)</f>
        <v/>
      </c>
      <c r="C925">
        <f>IF('Daily Sale entry '!P925="","",'Daily Sale entry '!P925)</f>
        <v/>
      </c>
      <c r="D925">
        <f>IF(C925="","",IF('Daily Sale entry '!Q925="Credit Sale 赊销",'Daily Sale entry '!S925,0))</f>
        <v/>
      </c>
      <c r="E925">
        <f>IF(C925="","",IF('Daily Sale entry '!Q925="Collection 收款",'Daily Sale entry '!S925,0))</f>
        <v/>
      </c>
      <c r="F925" s="37">
        <f>IF(C925="","",B925+IF(E925&gt;0,0,0.5)+ROW()/10000000)</f>
        <v/>
      </c>
      <c r="G925">
        <f>IF(C925="","",'Daily Sale entry '!Q925&amp;IF('Daily Sale entry '!Q925="Collection 收款"," ("&amp;'Daily Sale entry '!R925&amp;")","")&amp;IF('Daily Sale entry '!U925="",""," - "&amp;'Daily Sale entry '!U925))</f>
        <v/>
      </c>
      <c r="H925">
        <f>IF(C925="","",COUNTIFS($C$2:$C$3001,C925,$F$2:$F$3001,"&lt;"&amp;F925)+1)</f>
        <v/>
      </c>
      <c r="I925">
        <f>IF(C925="","",C925&amp;"|"&amp;H925)</f>
        <v/>
      </c>
      <c r="J925" s="6">
        <f>IF(C925="","",IF(H925=1,SUMIFS('Opening Balance'!$F$4:$F$303,'Opening Balance'!$G$4:$G$303,C925),INDEX($L$2:$L$3001,MATCH(C925&amp;"|"&amp;(H925-1),$I$2:$I$3001,0))))</f>
        <v/>
      </c>
      <c r="K925" s="6">
        <f>IF(C925="","",IF(M925&gt;0,M925,IF(AND(E925&gt;0,ROUND(J925+D925-E925,2)&gt;0,ROUND(J925+D925-E925,2)&lt;'Opening Balance'!$B$14),ROUND(J925+D925-E925,2),0)))</f>
        <v/>
      </c>
      <c r="L925" s="6">
        <f>IF(C925="","",ROUND(J925+D925-E925-K925,2))</f>
        <v/>
      </c>
      <c r="M925" s="6">
        <f>IF(C925="","",IF('Daily Sale entry '!Q925="Collection 收款",ROUND(N('Daily Sale entry '!T925),2),0))</f>
        <v/>
      </c>
    </row>
    <row r="926">
      <c r="A926" t="inlineStr">
        <is>
          <t>Entry 记录</t>
        </is>
      </c>
      <c r="B926" s="5">
        <f>IF('Daily Sale entry '!P926="","",'Daily Sale entry '!O926)</f>
        <v/>
      </c>
      <c r="C926">
        <f>IF('Daily Sale entry '!P926="","",'Daily Sale entry '!P926)</f>
        <v/>
      </c>
      <c r="D926">
        <f>IF(C926="","",IF('Daily Sale entry '!Q926="Credit Sale 赊销",'Daily Sale entry '!S926,0))</f>
        <v/>
      </c>
      <c r="E926">
        <f>IF(C926="","",IF('Daily Sale entry '!Q926="Collection 收款",'Daily Sale entry '!S926,0))</f>
        <v/>
      </c>
      <c r="F926" s="37">
        <f>IF(C926="","",B926+IF(E926&gt;0,0,0.5)+ROW()/10000000)</f>
        <v/>
      </c>
      <c r="G926">
        <f>IF(C926="","",'Daily Sale entry '!Q926&amp;IF('Daily Sale entry '!Q926="Collection 收款"," ("&amp;'Daily Sale entry '!R926&amp;")","")&amp;IF('Daily Sale entry '!U926="",""," - "&amp;'Daily Sale entry '!U926))</f>
        <v/>
      </c>
      <c r="H926">
        <f>IF(C926="","",COUNTIFS($C$2:$C$3001,C926,$F$2:$F$3001,"&lt;"&amp;F926)+1)</f>
        <v/>
      </c>
      <c r="I926">
        <f>IF(C926="","",C926&amp;"|"&amp;H926)</f>
        <v/>
      </c>
      <c r="J926" s="6">
        <f>IF(C926="","",IF(H926=1,SUMIFS('Opening Balance'!$F$4:$F$303,'Opening Balance'!$G$4:$G$303,C926),INDEX($L$2:$L$3001,MATCH(C926&amp;"|"&amp;(H926-1),$I$2:$I$3001,0))))</f>
        <v/>
      </c>
      <c r="K926" s="6">
        <f>IF(C926="","",IF(M926&gt;0,M926,IF(AND(E926&gt;0,ROUND(J926+D926-E926,2)&gt;0,ROUND(J926+D926-E926,2)&lt;'Opening Balance'!$B$14),ROUND(J926+D926-E926,2),0)))</f>
        <v/>
      </c>
      <c r="L926" s="6">
        <f>IF(C926="","",ROUND(J926+D926-E926-K926,2))</f>
        <v/>
      </c>
      <c r="M926" s="6">
        <f>IF(C926="","",IF('Daily Sale entry '!Q926="Collection 收款",ROUND(N('Daily Sale entry '!T926),2),0))</f>
        <v/>
      </c>
    </row>
    <row r="927">
      <c r="A927" t="inlineStr">
        <is>
          <t>Entry 记录</t>
        </is>
      </c>
      <c r="B927" s="5">
        <f>IF('Daily Sale entry '!P927="","",'Daily Sale entry '!O927)</f>
        <v/>
      </c>
      <c r="C927">
        <f>IF('Daily Sale entry '!P927="","",'Daily Sale entry '!P927)</f>
        <v/>
      </c>
      <c r="D927">
        <f>IF(C927="","",IF('Daily Sale entry '!Q927="Credit Sale 赊销",'Daily Sale entry '!S927,0))</f>
        <v/>
      </c>
      <c r="E927">
        <f>IF(C927="","",IF('Daily Sale entry '!Q927="Collection 收款",'Daily Sale entry '!S927,0))</f>
        <v/>
      </c>
      <c r="F927" s="37">
        <f>IF(C927="","",B927+IF(E927&gt;0,0,0.5)+ROW()/10000000)</f>
        <v/>
      </c>
      <c r="G927">
        <f>IF(C927="","",'Daily Sale entry '!Q927&amp;IF('Daily Sale entry '!Q927="Collection 收款"," ("&amp;'Daily Sale entry '!R927&amp;")","")&amp;IF('Daily Sale entry '!U927="",""," - "&amp;'Daily Sale entry '!U927))</f>
        <v/>
      </c>
      <c r="H927">
        <f>IF(C927="","",COUNTIFS($C$2:$C$3001,C927,$F$2:$F$3001,"&lt;"&amp;F927)+1)</f>
        <v/>
      </c>
      <c r="I927">
        <f>IF(C927="","",C927&amp;"|"&amp;H927)</f>
        <v/>
      </c>
      <c r="J927" s="6">
        <f>IF(C927="","",IF(H927=1,SUMIFS('Opening Balance'!$F$4:$F$303,'Opening Balance'!$G$4:$G$303,C927),INDEX($L$2:$L$3001,MATCH(C927&amp;"|"&amp;(H927-1),$I$2:$I$3001,0))))</f>
        <v/>
      </c>
      <c r="K927" s="6">
        <f>IF(C927="","",IF(M927&gt;0,M927,IF(AND(E927&gt;0,ROUND(J927+D927-E927,2)&gt;0,ROUND(J927+D927-E927,2)&lt;'Opening Balance'!$B$14),ROUND(J927+D927-E927,2),0)))</f>
        <v/>
      </c>
      <c r="L927" s="6">
        <f>IF(C927="","",ROUND(J927+D927-E927-K927,2))</f>
        <v/>
      </c>
      <c r="M927" s="6">
        <f>IF(C927="","",IF('Daily Sale entry '!Q927="Collection 收款",ROUND(N('Daily Sale entry '!T927),2),0))</f>
        <v/>
      </c>
    </row>
    <row r="928">
      <c r="A928" t="inlineStr">
        <is>
          <t>Entry 记录</t>
        </is>
      </c>
      <c r="B928" s="5">
        <f>IF('Daily Sale entry '!P928="","",'Daily Sale entry '!O928)</f>
        <v/>
      </c>
      <c r="C928">
        <f>IF('Daily Sale entry '!P928="","",'Daily Sale entry '!P928)</f>
        <v/>
      </c>
      <c r="D928">
        <f>IF(C928="","",IF('Daily Sale entry '!Q928="Credit Sale 赊销",'Daily Sale entry '!S928,0))</f>
        <v/>
      </c>
      <c r="E928">
        <f>IF(C928="","",IF('Daily Sale entry '!Q928="Collection 收款",'Daily Sale entry '!S928,0))</f>
        <v/>
      </c>
      <c r="F928" s="37">
        <f>IF(C928="","",B928+IF(E928&gt;0,0,0.5)+ROW()/10000000)</f>
        <v/>
      </c>
      <c r="G928">
        <f>IF(C928="","",'Daily Sale entry '!Q928&amp;IF('Daily Sale entry '!Q928="Collection 收款"," ("&amp;'Daily Sale entry '!R928&amp;")","")&amp;IF('Daily Sale entry '!U928="",""," - "&amp;'Daily Sale entry '!U928))</f>
        <v/>
      </c>
      <c r="H928">
        <f>IF(C928="","",COUNTIFS($C$2:$C$3001,C928,$F$2:$F$3001,"&lt;"&amp;F928)+1)</f>
        <v/>
      </c>
      <c r="I928">
        <f>IF(C928="","",C928&amp;"|"&amp;H928)</f>
        <v/>
      </c>
      <c r="J928" s="6">
        <f>IF(C928="","",IF(H928=1,SUMIFS('Opening Balance'!$F$4:$F$303,'Opening Balance'!$G$4:$G$303,C928),INDEX($L$2:$L$3001,MATCH(C928&amp;"|"&amp;(H928-1),$I$2:$I$3001,0))))</f>
        <v/>
      </c>
      <c r="K928" s="6">
        <f>IF(C928="","",IF(M928&gt;0,M928,IF(AND(E928&gt;0,ROUND(J928+D928-E928,2)&gt;0,ROUND(J928+D928-E928,2)&lt;'Opening Balance'!$B$14),ROUND(J928+D928-E928,2),0)))</f>
        <v/>
      </c>
      <c r="L928" s="6">
        <f>IF(C928="","",ROUND(J928+D928-E928-K928,2))</f>
        <v/>
      </c>
      <c r="M928" s="6">
        <f>IF(C928="","",IF('Daily Sale entry '!Q928="Collection 收款",ROUND(N('Daily Sale entry '!T928),2),0))</f>
        <v/>
      </c>
    </row>
    <row r="929">
      <c r="A929" t="inlineStr">
        <is>
          <t>Entry 记录</t>
        </is>
      </c>
      <c r="B929" s="5">
        <f>IF('Daily Sale entry '!P929="","",'Daily Sale entry '!O929)</f>
        <v/>
      </c>
      <c r="C929">
        <f>IF('Daily Sale entry '!P929="","",'Daily Sale entry '!P929)</f>
        <v/>
      </c>
      <c r="D929">
        <f>IF(C929="","",IF('Daily Sale entry '!Q929="Credit Sale 赊销",'Daily Sale entry '!S929,0))</f>
        <v/>
      </c>
      <c r="E929">
        <f>IF(C929="","",IF('Daily Sale entry '!Q929="Collection 收款",'Daily Sale entry '!S929,0))</f>
        <v/>
      </c>
      <c r="F929" s="37">
        <f>IF(C929="","",B929+IF(E929&gt;0,0,0.5)+ROW()/10000000)</f>
        <v/>
      </c>
      <c r="G929">
        <f>IF(C929="","",'Daily Sale entry '!Q929&amp;IF('Daily Sale entry '!Q929="Collection 收款"," ("&amp;'Daily Sale entry '!R929&amp;")","")&amp;IF('Daily Sale entry '!U929="",""," - "&amp;'Daily Sale entry '!U929))</f>
        <v/>
      </c>
      <c r="H929">
        <f>IF(C929="","",COUNTIFS($C$2:$C$3001,C929,$F$2:$F$3001,"&lt;"&amp;F929)+1)</f>
        <v/>
      </c>
      <c r="I929">
        <f>IF(C929="","",C929&amp;"|"&amp;H929)</f>
        <v/>
      </c>
      <c r="J929" s="6">
        <f>IF(C929="","",IF(H929=1,SUMIFS('Opening Balance'!$F$4:$F$303,'Opening Balance'!$G$4:$G$303,C929),INDEX($L$2:$L$3001,MATCH(C929&amp;"|"&amp;(H929-1),$I$2:$I$3001,0))))</f>
        <v/>
      </c>
      <c r="K929" s="6">
        <f>IF(C929="","",IF(M929&gt;0,M929,IF(AND(E929&gt;0,ROUND(J929+D929-E929,2)&gt;0,ROUND(J929+D929-E929,2)&lt;'Opening Balance'!$B$14),ROUND(J929+D929-E929,2),0)))</f>
        <v/>
      </c>
      <c r="L929" s="6">
        <f>IF(C929="","",ROUND(J929+D929-E929-K929,2))</f>
        <v/>
      </c>
      <c r="M929" s="6">
        <f>IF(C929="","",IF('Daily Sale entry '!Q929="Collection 收款",ROUND(N('Daily Sale entry '!T929),2),0))</f>
        <v/>
      </c>
    </row>
    <row r="930">
      <c r="A930" t="inlineStr">
        <is>
          <t>Entry 记录</t>
        </is>
      </c>
      <c r="B930" s="5">
        <f>IF('Daily Sale entry '!P930="","",'Daily Sale entry '!O930)</f>
        <v/>
      </c>
      <c r="C930">
        <f>IF('Daily Sale entry '!P930="","",'Daily Sale entry '!P930)</f>
        <v/>
      </c>
      <c r="D930">
        <f>IF(C930="","",IF('Daily Sale entry '!Q930="Credit Sale 赊销",'Daily Sale entry '!S930,0))</f>
        <v/>
      </c>
      <c r="E930">
        <f>IF(C930="","",IF('Daily Sale entry '!Q930="Collection 收款",'Daily Sale entry '!S930,0))</f>
        <v/>
      </c>
      <c r="F930" s="37">
        <f>IF(C930="","",B930+IF(E930&gt;0,0,0.5)+ROW()/10000000)</f>
        <v/>
      </c>
      <c r="G930">
        <f>IF(C930="","",'Daily Sale entry '!Q930&amp;IF('Daily Sale entry '!Q930="Collection 收款"," ("&amp;'Daily Sale entry '!R930&amp;")","")&amp;IF('Daily Sale entry '!U930="",""," - "&amp;'Daily Sale entry '!U930))</f>
        <v/>
      </c>
      <c r="H930">
        <f>IF(C930="","",COUNTIFS($C$2:$C$3001,C930,$F$2:$F$3001,"&lt;"&amp;F930)+1)</f>
        <v/>
      </c>
      <c r="I930">
        <f>IF(C930="","",C930&amp;"|"&amp;H930)</f>
        <v/>
      </c>
      <c r="J930" s="6">
        <f>IF(C930="","",IF(H930=1,SUMIFS('Opening Balance'!$F$4:$F$303,'Opening Balance'!$G$4:$G$303,C930),INDEX($L$2:$L$3001,MATCH(C930&amp;"|"&amp;(H930-1),$I$2:$I$3001,0))))</f>
        <v/>
      </c>
      <c r="K930" s="6">
        <f>IF(C930="","",IF(M930&gt;0,M930,IF(AND(E930&gt;0,ROUND(J930+D930-E930,2)&gt;0,ROUND(J930+D930-E930,2)&lt;'Opening Balance'!$B$14),ROUND(J930+D930-E930,2),0)))</f>
        <v/>
      </c>
      <c r="L930" s="6">
        <f>IF(C930="","",ROUND(J930+D930-E930-K930,2))</f>
        <v/>
      </c>
      <c r="M930" s="6">
        <f>IF(C930="","",IF('Daily Sale entry '!Q930="Collection 收款",ROUND(N('Daily Sale entry '!T930),2),0))</f>
        <v/>
      </c>
    </row>
    <row r="931">
      <c r="A931" t="inlineStr">
        <is>
          <t>Entry 记录</t>
        </is>
      </c>
      <c r="B931" s="5">
        <f>IF('Daily Sale entry '!P931="","",'Daily Sale entry '!O931)</f>
        <v/>
      </c>
      <c r="C931">
        <f>IF('Daily Sale entry '!P931="","",'Daily Sale entry '!P931)</f>
        <v/>
      </c>
      <c r="D931">
        <f>IF(C931="","",IF('Daily Sale entry '!Q931="Credit Sale 赊销",'Daily Sale entry '!S931,0))</f>
        <v/>
      </c>
      <c r="E931">
        <f>IF(C931="","",IF('Daily Sale entry '!Q931="Collection 收款",'Daily Sale entry '!S931,0))</f>
        <v/>
      </c>
      <c r="F931" s="37">
        <f>IF(C931="","",B931+IF(E931&gt;0,0,0.5)+ROW()/10000000)</f>
        <v/>
      </c>
      <c r="G931">
        <f>IF(C931="","",'Daily Sale entry '!Q931&amp;IF('Daily Sale entry '!Q931="Collection 收款"," ("&amp;'Daily Sale entry '!R931&amp;")","")&amp;IF('Daily Sale entry '!U931="",""," - "&amp;'Daily Sale entry '!U931))</f>
        <v/>
      </c>
      <c r="H931">
        <f>IF(C931="","",COUNTIFS($C$2:$C$3001,C931,$F$2:$F$3001,"&lt;"&amp;F931)+1)</f>
        <v/>
      </c>
      <c r="I931">
        <f>IF(C931="","",C931&amp;"|"&amp;H931)</f>
        <v/>
      </c>
      <c r="J931" s="6">
        <f>IF(C931="","",IF(H931=1,SUMIFS('Opening Balance'!$F$4:$F$303,'Opening Balance'!$G$4:$G$303,C931),INDEX($L$2:$L$3001,MATCH(C931&amp;"|"&amp;(H931-1),$I$2:$I$3001,0))))</f>
        <v/>
      </c>
      <c r="K931" s="6">
        <f>IF(C931="","",IF(M931&gt;0,M931,IF(AND(E931&gt;0,ROUND(J931+D931-E931,2)&gt;0,ROUND(J931+D931-E931,2)&lt;'Opening Balance'!$B$14),ROUND(J931+D931-E931,2),0)))</f>
        <v/>
      </c>
      <c r="L931" s="6">
        <f>IF(C931="","",ROUND(J931+D931-E931-K931,2))</f>
        <v/>
      </c>
      <c r="M931" s="6">
        <f>IF(C931="","",IF('Daily Sale entry '!Q931="Collection 收款",ROUND(N('Daily Sale entry '!T931),2),0))</f>
        <v/>
      </c>
    </row>
    <row r="932">
      <c r="A932" t="inlineStr">
        <is>
          <t>Entry 记录</t>
        </is>
      </c>
      <c r="B932" s="5">
        <f>IF('Daily Sale entry '!P932="","",'Daily Sale entry '!O932)</f>
        <v/>
      </c>
      <c r="C932">
        <f>IF('Daily Sale entry '!P932="","",'Daily Sale entry '!P932)</f>
        <v/>
      </c>
      <c r="D932">
        <f>IF(C932="","",IF('Daily Sale entry '!Q932="Credit Sale 赊销",'Daily Sale entry '!S932,0))</f>
        <v/>
      </c>
      <c r="E932">
        <f>IF(C932="","",IF('Daily Sale entry '!Q932="Collection 收款",'Daily Sale entry '!S932,0))</f>
        <v/>
      </c>
      <c r="F932" s="37">
        <f>IF(C932="","",B932+IF(E932&gt;0,0,0.5)+ROW()/10000000)</f>
        <v/>
      </c>
      <c r="G932">
        <f>IF(C932="","",'Daily Sale entry '!Q932&amp;IF('Daily Sale entry '!Q932="Collection 收款"," ("&amp;'Daily Sale entry '!R932&amp;")","")&amp;IF('Daily Sale entry '!U932="",""," - "&amp;'Daily Sale entry '!U932))</f>
        <v/>
      </c>
      <c r="H932">
        <f>IF(C932="","",COUNTIFS($C$2:$C$3001,C932,$F$2:$F$3001,"&lt;"&amp;F932)+1)</f>
        <v/>
      </c>
      <c r="I932">
        <f>IF(C932="","",C932&amp;"|"&amp;H932)</f>
        <v/>
      </c>
      <c r="J932" s="6">
        <f>IF(C932="","",IF(H932=1,SUMIFS('Opening Balance'!$F$4:$F$303,'Opening Balance'!$G$4:$G$303,C932),INDEX($L$2:$L$3001,MATCH(C932&amp;"|"&amp;(H932-1),$I$2:$I$3001,0))))</f>
        <v/>
      </c>
      <c r="K932" s="6">
        <f>IF(C932="","",IF(M932&gt;0,M932,IF(AND(E932&gt;0,ROUND(J932+D932-E932,2)&gt;0,ROUND(J932+D932-E932,2)&lt;'Opening Balance'!$B$14),ROUND(J932+D932-E932,2),0)))</f>
        <v/>
      </c>
      <c r="L932" s="6">
        <f>IF(C932="","",ROUND(J932+D932-E932-K932,2))</f>
        <v/>
      </c>
      <c r="M932" s="6">
        <f>IF(C932="","",IF('Daily Sale entry '!Q932="Collection 收款",ROUND(N('Daily Sale entry '!T932),2),0))</f>
        <v/>
      </c>
    </row>
    <row r="933">
      <c r="A933" t="inlineStr">
        <is>
          <t>Entry 记录</t>
        </is>
      </c>
      <c r="B933" s="5">
        <f>IF('Daily Sale entry '!P933="","",'Daily Sale entry '!O933)</f>
        <v/>
      </c>
      <c r="C933">
        <f>IF('Daily Sale entry '!P933="","",'Daily Sale entry '!P933)</f>
        <v/>
      </c>
      <c r="D933">
        <f>IF(C933="","",IF('Daily Sale entry '!Q933="Credit Sale 赊销",'Daily Sale entry '!S933,0))</f>
        <v/>
      </c>
      <c r="E933">
        <f>IF(C933="","",IF('Daily Sale entry '!Q933="Collection 收款",'Daily Sale entry '!S933,0))</f>
        <v/>
      </c>
      <c r="F933" s="37">
        <f>IF(C933="","",B933+IF(E933&gt;0,0,0.5)+ROW()/10000000)</f>
        <v/>
      </c>
      <c r="G933">
        <f>IF(C933="","",'Daily Sale entry '!Q933&amp;IF('Daily Sale entry '!Q933="Collection 收款"," ("&amp;'Daily Sale entry '!R933&amp;")","")&amp;IF('Daily Sale entry '!U933="",""," - "&amp;'Daily Sale entry '!U933))</f>
        <v/>
      </c>
      <c r="H933">
        <f>IF(C933="","",COUNTIFS($C$2:$C$3001,C933,$F$2:$F$3001,"&lt;"&amp;F933)+1)</f>
        <v/>
      </c>
      <c r="I933">
        <f>IF(C933="","",C933&amp;"|"&amp;H933)</f>
        <v/>
      </c>
      <c r="J933" s="6">
        <f>IF(C933="","",IF(H933=1,SUMIFS('Opening Balance'!$F$4:$F$303,'Opening Balance'!$G$4:$G$303,C933),INDEX($L$2:$L$3001,MATCH(C933&amp;"|"&amp;(H933-1),$I$2:$I$3001,0))))</f>
        <v/>
      </c>
      <c r="K933" s="6">
        <f>IF(C933="","",IF(M933&gt;0,M933,IF(AND(E933&gt;0,ROUND(J933+D933-E933,2)&gt;0,ROUND(J933+D933-E933,2)&lt;'Opening Balance'!$B$14),ROUND(J933+D933-E933,2),0)))</f>
        <v/>
      </c>
      <c r="L933" s="6">
        <f>IF(C933="","",ROUND(J933+D933-E933-K933,2))</f>
        <v/>
      </c>
      <c r="M933" s="6">
        <f>IF(C933="","",IF('Daily Sale entry '!Q933="Collection 收款",ROUND(N('Daily Sale entry '!T933),2),0))</f>
        <v/>
      </c>
    </row>
    <row r="934">
      <c r="A934" t="inlineStr">
        <is>
          <t>Entry 记录</t>
        </is>
      </c>
      <c r="B934" s="5">
        <f>IF('Daily Sale entry '!P934="","",'Daily Sale entry '!O934)</f>
        <v/>
      </c>
      <c r="C934">
        <f>IF('Daily Sale entry '!P934="","",'Daily Sale entry '!P934)</f>
        <v/>
      </c>
      <c r="D934">
        <f>IF(C934="","",IF('Daily Sale entry '!Q934="Credit Sale 赊销",'Daily Sale entry '!S934,0))</f>
        <v/>
      </c>
      <c r="E934">
        <f>IF(C934="","",IF('Daily Sale entry '!Q934="Collection 收款",'Daily Sale entry '!S934,0))</f>
        <v/>
      </c>
      <c r="F934" s="37">
        <f>IF(C934="","",B934+IF(E934&gt;0,0,0.5)+ROW()/10000000)</f>
        <v/>
      </c>
      <c r="G934">
        <f>IF(C934="","",'Daily Sale entry '!Q934&amp;IF('Daily Sale entry '!Q934="Collection 收款"," ("&amp;'Daily Sale entry '!R934&amp;")","")&amp;IF('Daily Sale entry '!U934="",""," - "&amp;'Daily Sale entry '!U934))</f>
        <v/>
      </c>
      <c r="H934">
        <f>IF(C934="","",COUNTIFS($C$2:$C$3001,C934,$F$2:$F$3001,"&lt;"&amp;F934)+1)</f>
        <v/>
      </c>
      <c r="I934">
        <f>IF(C934="","",C934&amp;"|"&amp;H934)</f>
        <v/>
      </c>
      <c r="J934" s="6">
        <f>IF(C934="","",IF(H934=1,SUMIFS('Opening Balance'!$F$4:$F$303,'Opening Balance'!$G$4:$G$303,C934),INDEX($L$2:$L$3001,MATCH(C934&amp;"|"&amp;(H934-1),$I$2:$I$3001,0))))</f>
        <v/>
      </c>
      <c r="K934" s="6">
        <f>IF(C934="","",IF(M934&gt;0,M934,IF(AND(E934&gt;0,ROUND(J934+D934-E934,2)&gt;0,ROUND(J934+D934-E934,2)&lt;'Opening Balance'!$B$14),ROUND(J934+D934-E934,2),0)))</f>
        <v/>
      </c>
      <c r="L934" s="6">
        <f>IF(C934="","",ROUND(J934+D934-E934-K934,2))</f>
        <v/>
      </c>
      <c r="M934" s="6">
        <f>IF(C934="","",IF('Daily Sale entry '!Q934="Collection 收款",ROUND(N('Daily Sale entry '!T934),2),0))</f>
        <v/>
      </c>
    </row>
    <row r="935">
      <c r="A935" t="inlineStr">
        <is>
          <t>Entry 记录</t>
        </is>
      </c>
      <c r="B935" s="5">
        <f>IF('Daily Sale entry '!P935="","",'Daily Sale entry '!O935)</f>
        <v/>
      </c>
      <c r="C935">
        <f>IF('Daily Sale entry '!P935="","",'Daily Sale entry '!P935)</f>
        <v/>
      </c>
      <c r="D935">
        <f>IF(C935="","",IF('Daily Sale entry '!Q935="Credit Sale 赊销",'Daily Sale entry '!S935,0))</f>
        <v/>
      </c>
      <c r="E935">
        <f>IF(C935="","",IF('Daily Sale entry '!Q935="Collection 收款",'Daily Sale entry '!S935,0))</f>
        <v/>
      </c>
      <c r="F935" s="37">
        <f>IF(C935="","",B935+IF(E935&gt;0,0,0.5)+ROW()/10000000)</f>
        <v/>
      </c>
      <c r="G935">
        <f>IF(C935="","",'Daily Sale entry '!Q935&amp;IF('Daily Sale entry '!Q935="Collection 收款"," ("&amp;'Daily Sale entry '!R935&amp;")","")&amp;IF('Daily Sale entry '!U935="",""," - "&amp;'Daily Sale entry '!U935))</f>
        <v/>
      </c>
      <c r="H935">
        <f>IF(C935="","",COUNTIFS($C$2:$C$3001,C935,$F$2:$F$3001,"&lt;"&amp;F935)+1)</f>
        <v/>
      </c>
      <c r="I935">
        <f>IF(C935="","",C935&amp;"|"&amp;H935)</f>
        <v/>
      </c>
      <c r="J935" s="6">
        <f>IF(C935="","",IF(H935=1,SUMIFS('Opening Balance'!$F$4:$F$303,'Opening Balance'!$G$4:$G$303,C935),INDEX($L$2:$L$3001,MATCH(C935&amp;"|"&amp;(H935-1),$I$2:$I$3001,0))))</f>
        <v/>
      </c>
      <c r="K935" s="6">
        <f>IF(C935="","",IF(M935&gt;0,M935,IF(AND(E935&gt;0,ROUND(J935+D935-E935,2)&gt;0,ROUND(J935+D935-E935,2)&lt;'Opening Balance'!$B$14),ROUND(J935+D935-E935,2),0)))</f>
        <v/>
      </c>
      <c r="L935" s="6">
        <f>IF(C935="","",ROUND(J935+D935-E935-K935,2))</f>
        <v/>
      </c>
      <c r="M935" s="6">
        <f>IF(C935="","",IF('Daily Sale entry '!Q935="Collection 收款",ROUND(N('Daily Sale entry '!T935),2),0))</f>
        <v/>
      </c>
    </row>
    <row r="936">
      <c r="A936" t="inlineStr">
        <is>
          <t>Entry 记录</t>
        </is>
      </c>
      <c r="B936" s="5">
        <f>IF('Daily Sale entry '!P936="","",'Daily Sale entry '!O936)</f>
        <v/>
      </c>
      <c r="C936">
        <f>IF('Daily Sale entry '!P936="","",'Daily Sale entry '!P936)</f>
        <v/>
      </c>
      <c r="D936">
        <f>IF(C936="","",IF('Daily Sale entry '!Q936="Credit Sale 赊销",'Daily Sale entry '!S936,0))</f>
        <v/>
      </c>
      <c r="E936">
        <f>IF(C936="","",IF('Daily Sale entry '!Q936="Collection 收款",'Daily Sale entry '!S936,0))</f>
        <v/>
      </c>
      <c r="F936" s="37">
        <f>IF(C936="","",B936+IF(E936&gt;0,0,0.5)+ROW()/10000000)</f>
        <v/>
      </c>
      <c r="G936">
        <f>IF(C936="","",'Daily Sale entry '!Q936&amp;IF('Daily Sale entry '!Q936="Collection 收款"," ("&amp;'Daily Sale entry '!R936&amp;")","")&amp;IF('Daily Sale entry '!U936="",""," - "&amp;'Daily Sale entry '!U936))</f>
        <v/>
      </c>
      <c r="H936">
        <f>IF(C936="","",COUNTIFS($C$2:$C$3001,C936,$F$2:$F$3001,"&lt;"&amp;F936)+1)</f>
        <v/>
      </c>
      <c r="I936">
        <f>IF(C936="","",C936&amp;"|"&amp;H936)</f>
        <v/>
      </c>
      <c r="J936" s="6">
        <f>IF(C936="","",IF(H936=1,SUMIFS('Opening Balance'!$F$4:$F$303,'Opening Balance'!$G$4:$G$303,C936),INDEX($L$2:$L$3001,MATCH(C936&amp;"|"&amp;(H936-1),$I$2:$I$3001,0))))</f>
        <v/>
      </c>
      <c r="K936" s="6">
        <f>IF(C936="","",IF(M936&gt;0,M936,IF(AND(E936&gt;0,ROUND(J936+D936-E936,2)&gt;0,ROUND(J936+D936-E936,2)&lt;'Opening Balance'!$B$14),ROUND(J936+D936-E936,2),0)))</f>
        <v/>
      </c>
      <c r="L936" s="6">
        <f>IF(C936="","",ROUND(J936+D936-E936-K936,2))</f>
        <v/>
      </c>
      <c r="M936" s="6">
        <f>IF(C936="","",IF('Daily Sale entry '!Q936="Collection 收款",ROUND(N('Daily Sale entry '!T936),2),0))</f>
        <v/>
      </c>
    </row>
    <row r="937">
      <c r="A937" t="inlineStr">
        <is>
          <t>Entry 记录</t>
        </is>
      </c>
      <c r="B937" s="5">
        <f>IF('Daily Sale entry '!P937="","",'Daily Sale entry '!O937)</f>
        <v/>
      </c>
      <c r="C937">
        <f>IF('Daily Sale entry '!P937="","",'Daily Sale entry '!P937)</f>
        <v/>
      </c>
      <c r="D937">
        <f>IF(C937="","",IF('Daily Sale entry '!Q937="Credit Sale 赊销",'Daily Sale entry '!S937,0))</f>
        <v/>
      </c>
      <c r="E937">
        <f>IF(C937="","",IF('Daily Sale entry '!Q937="Collection 收款",'Daily Sale entry '!S937,0))</f>
        <v/>
      </c>
      <c r="F937" s="37">
        <f>IF(C937="","",B937+IF(E937&gt;0,0,0.5)+ROW()/10000000)</f>
        <v/>
      </c>
      <c r="G937">
        <f>IF(C937="","",'Daily Sale entry '!Q937&amp;IF('Daily Sale entry '!Q937="Collection 收款"," ("&amp;'Daily Sale entry '!R937&amp;")","")&amp;IF('Daily Sale entry '!U937="",""," - "&amp;'Daily Sale entry '!U937))</f>
        <v/>
      </c>
      <c r="H937">
        <f>IF(C937="","",COUNTIFS($C$2:$C$3001,C937,$F$2:$F$3001,"&lt;"&amp;F937)+1)</f>
        <v/>
      </c>
      <c r="I937">
        <f>IF(C937="","",C937&amp;"|"&amp;H937)</f>
        <v/>
      </c>
      <c r="J937" s="6">
        <f>IF(C937="","",IF(H937=1,SUMIFS('Opening Balance'!$F$4:$F$303,'Opening Balance'!$G$4:$G$303,C937),INDEX($L$2:$L$3001,MATCH(C937&amp;"|"&amp;(H937-1),$I$2:$I$3001,0))))</f>
        <v/>
      </c>
      <c r="K937" s="6">
        <f>IF(C937="","",IF(M937&gt;0,M937,IF(AND(E937&gt;0,ROUND(J937+D937-E937,2)&gt;0,ROUND(J937+D937-E937,2)&lt;'Opening Balance'!$B$14),ROUND(J937+D937-E937,2),0)))</f>
        <v/>
      </c>
      <c r="L937" s="6">
        <f>IF(C937="","",ROUND(J937+D937-E937-K937,2))</f>
        <v/>
      </c>
      <c r="M937" s="6">
        <f>IF(C937="","",IF('Daily Sale entry '!Q937="Collection 收款",ROUND(N('Daily Sale entry '!T937),2),0))</f>
        <v/>
      </c>
    </row>
    <row r="938">
      <c r="A938" t="inlineStr">
        <is>
          <t>Entry 记录</t>
        </is>
      </c>
      <c r="B938" s="5">
        <f>IF('Daily Sale entry '!P938="","",'Daily Sale entry '!O938)</f>
        <v/>
      </c>
      <c r="C938">
        <f>IF('Daily Sale entry '!P938="","",'Daily Sale entry '!P938)</f>
        <v/>
      </c>
      <c r="D938">
        <f>IF(C938="","",IF('Daily Sale entry '!Q938="Credit Sale 赊销",'Daily Sale entry '!S938,0))</f>
        <v/>
      </c>
      <c r="E938">
        <f>IF(C938="","",IF('Daily Sale entry '!Q938="Collection 收款",'Daily Sale entry '!S938,0))</f>
        <v/>
      </c>
      <c r="F938" s="37">
        <f>IF(C938="","",B938+IF(E938&gt;0,0,0.5)+ROW()/10000000)</f>
        <v/>
      </c>
      <c r="G938">
        <f>IF(C938="","",'Daily Sale entry '!Q938&amp;IF('Daily Sale entry '!Q938="Collection 收款"," ("&amp;'Daily Sale entry '!R938&amp;")","")&amp;IF('Daily Sale entry '!U938="",""," - "&amp;'Daily Sale entry '!U938))</f>
        <v/>
      </c>
      <c r="H938">
        <f>IF(C938="","",COUNTIFS($C$2:$C$3001,C938,$F$2:$F$3001,"&lt;"&amp;F938)+1)</f>
        <v/>
      </c>
      <c r="I938">
        <f>IF(C938="","",C938&amp;"|"&amp;H938)</f>
        <v/>
      </c>
      <c r="J938" s="6">
        <f>IF(C938="","",IF(H938=1,SUMIFS('Opening Balance'!$F$4:$F$303,'Opening Balance'!$G$4:$G$303,C938),INDEX($L$2:$L$3001,MATCH(C938&amp;"|"&amp;(H938-1),$I$2:$I$3001,0))))</f>
        <v/>
      </c>
      <c r="K938" s="6">
        <f>IF(C938="","",IF(M938&gt;0,M938,IF(AND(E938&gt;0,ROUND(J938+D938-E938,2)&gt;0,ROUND(J938+D938-E938,2)&lt;'Opening Balance'!$B$14),ROUND(J938+D938-E938,2),0)))</f>
        <v/>
      </c>
      <c r="L938" s="6">
        <f>IF(C938="","",ROUND(J938+D938-E938-K938,2))</f>
        <v/>
      </c>
      <c r="M938" s="6">
        <f>IF(C938="","",IF('Daily Sale entry '!Q938="Collection 收款",ROUND(N('Daily Sale entry '!T938),2),0))</f>
        <v/>
      </c>
    </row>
    <row r="939">
      <c r="A939" t="inlineStr">
        <is>
          <t>Entry 记录</t>
        </is>
      </c>
      <c r="B939" s="5">
        <f>IF('Daily Sale entry '!P939="","",'Daily Sale entry '!O939)</f>
        <v/>
      </c>
      <c r="C939">
        <f>IF('Daily Sale entry '!P939="","",'Daily Sale entry '!P939)</f>
        <v/>
      </c>
      <c r="D939">
        <f>IF(C939="","",IF('Daily Sale entry '!Q939="Credit Sale 赊销",'Daily Sale entry '!S939,0))</f>
        <v/>
      </c>
      <c r="E939">
        <f>IF(C939="","",IF('Daily Sale entry '!Q939="Collection 收款",'Daily Sale entry '!S939,0))</f>
        <v/>
      </c>
      <c r="F939" s="37">
        <f>IF(C939="","",B939+IF(E939&gt;0,0,0.5)+ROW()/10000000)</f>
        <v/>
      </c>
      <c r="G939">
        <f>IF(C939="","",'Daily Sale entry '!Q939&amp;IF('Daily Sale entry '!Q939="Collection 收款"," ("&amp;'Daily Sale entry '!R939&amp;")","")&amp;IF('Daily Sale entry '!U939="",""," - "&amp;'Daily Sale entry '!U939))</f>
        <v/>
      </c>
      <c r="H939">
        <f>IF(C939="","",COUNTIFS($C$2:$C$3001,C939,$F$2:$F$3001,"&lt;"&amp;F939)+1)</f>
        <v/>
      </c>
      <c r="I939">
        <f>IF(C939="","",C939&amp;"|"&amp;H939)</f>
        <v/>
      </c>
      <c r="J939" s="6">
        <f>IF(C939="","",IF(H939=1,SUMIFS('Opening Balance'!$F$4:$F$303,'Opening Balance'!$G$4:$G$303,C939),INDEX($L$2:$L$3001,MATCH(C939&amp;"|"&amp;(H939-1),$I$2:$I$3001,0))))</f>
        <v/>
      </c>
      <c r="K939" s="6">
        <f>IF(C939="","",IF(M939&gt;0,M939,IF(AND(E939&gt;0,ROUND(J939+D939-E939,2)&gt;0,ROUND(J939+D939-E939,2)&lt;'Opening Balance'!$B$14),ROUND(J939+D939-E939,2),0)))</f>
        <v/>
      </c>
      <c r="L939" s="6">
        <f>IF(C939="","",ROUND(J939+D939-E939-K939,2))</f>
        <v/>
      </c>
      <c r="M939" s="6">
        <f>IF(C939="","",IF('Daily Sale entry '!Q939="Collection 收款",ROUND(N('Daily Sale entry '!T939),2),0))</f>
        <v/>
      </c>
    </row>
    <row r="940">
      <c r="A940" t="inlineStr">
        <is>
          <t>Entry 记录</t>
        </is>
      </c>
      <c r="B940" s="5">
        <f>IF('Daily Sale entry '!P940="","",'Daily Sale entry '!O940)</f>
        <v/>
      </c>
      <c r="C940">
        <f>IF('Daily Sale entry '!P940="","",'Daily Sale entry '!P940)</f>
        <v/>
      </c>
      <c r="D940">
        <f>IF(C940="","",IF('Daily Sale entry '!Q940="Credit Sale 赊销",'Daily Sale entry '!S940,0))</f>
        <v/>
      </c>
      <c r="E940">
        <f>IF(C940="","",IF('Daily Sale entry '!Q940="Collection 收款",'Daily Sale entry '!S940,0))</f>
        <v/>
      </c>
      <c r="F940" s="37">
        <f>IF(C940="","",B940+IF(E940&gt;0,0,0.5)+ROW()/10000000)</f>
        <v/>
      </c>
      <c r="G940">
        <f>IF(C940="","",'Daily Sale entry '!Q940&amp;IF('Daily Sale entry '!Q940="Collection 收款"," ("&amp;'Daily Sale entry '!R940&amp;")","")&amp;IF('Daily Sale entry '!U940="",""," - "&amp;'Daily Sale entry '!U940))</f>
        <v/>
      </c>
      <c r="H940">
        <f>IF(C940="","",COUNTIFS($C$2:$C$3001,C940,$F$2:$F$3001,"&lt;"&amp;F940)+1)</f>
        <v/>
      </c>
      <c r="I940">
        <f>IF(C940="","",C940&amp;"|"&amp;H940)</f>
        <v/>
      </c>
      <c r="J940" s="6">
        <f>IF(C940="","",IF(H940=1,SUMIFS('Opening Balance'!$F$4:$F$303,'Opening Balance'!$G$4:$G$303,C940),INDEX($L$2:$L$3001,MATCH(C940&amp;"|"&amp;(H940-1),$I$2:$I$3001,0))))</f>
        <v/>
      </c>
      <c r="K940" s="6">
        <f>IF(C940="","",IF(M940&gt;0,M940,IF(AND(E940&gt;0,ROUND(J940+D940-E940,2)&gt;0,ROUND(J940+D940-E940,2)&lt;'Opening Balance'!$B$14),ROUND(J940+D940-E940,2),0)))</f>
        <v/>
      </c>
      <c r="L940" s="6">
        <f>IF(C940="","",ROUND(J940+D940-E940-K940,2))</f>
        <v/>
      </c>
      <c r="M940" s="6">
        <f>IF(C940="","",IF('Daily Sale entry '!Q940="Collection 收款",ROUND(N('Daily Sale entry '!T940),2),0))</f>
        <v/>
      </c>
    </row>
    <row r="941">
      <c r="A941" t="inlineStr">
        <is>
          <t>Entry 记录</t>
        </is>
      </c>
      <c r="B941" s="5">
        <f>IF('Daily Sale entry '!P941="","",'Daily Sale entry '!O941)</f>
        <v/>
      </c>
      <c r="C941">
        <f>IF('Daily Sale entry '!P941="","",'Daily Sale entry '!P941)</f>
        <v/>
      </c>
      <c r="D941">
        <f>IF(C941="","",IF('Daily Sale entry '!Q941="Credit Sale 赊销",'Daily Sale entry '!S941,0))</f>
        <v/>
      </c>
      <c r="E941">
        <f>IF(C941="","",IF('Daily Sale entry '!Q941="Collection 收款",'Daily Sale entry '!S941,0))</f>
        <v/>
      </c>
      <c r="F941" s="37">
        <f>IF(C941="","",B941+IF(E941&gt;0,0,0.5)+ROW()/10000000)</f>
        <v/>
      </c>
      <c r="G941">
        <f>IF(C941="","",'Daily Sale entry '!Q941&amp;IF('Daily Sale entry '!Q941="Collection 收款"," ("&amp;'Daily Sale entry '!R941&amp;")","")&amp;IF('Daily Sale entry '!U941="",""," - "&amp;'Daily Sale entry '!U941))</f>
        <v/>
      </c>
      <c r="H941">
        <f>IF(C941="","",COUNTIFS($C$2:$C$3001,C941,$F$2:$F$3001,"&lt;"&amp;F941)+1)</f>
        <v/>
      </c>
      <c r="I941">
        <f>IF(C941="","",C941&amp;"|"&amp;H941)</f>
        <v/>
      </c>
      <c r="J941" s="6">
        <f>IF(C941="","",IF(H941=1,SUMIFS('Opening Balance'!$F$4:$F$303,'Opening Balance'!$G$4:$G$303,C941),INDEX($L$2:$L$3001,MATCH(C941&amp;"|"&amp;(H941-1),$I$2:$I$3001,0))))</f>
        <v/>
      </c>
      <c r="K941" s="6">
        <f>IF(C941="","",IF(M941&gt;0,M941,IF(AND(E941&gt;0,ROUND(J941+D941-E941,2)&gt;0,ROUND(J941+D941-E941,2)&lt;'Opening Balance'!$B$14),ROUND(J941+D941-E941,2),0)))</f>
        <v/>
      </c>
      <c r="L941" s="6">
        <f>IF(C941="","",ROUND(J941+D941-E941-K941,2))</f>
        <v/>
      </c>
      <c r="M941" s="6">
        <f>IF(C941="","",IF('Daily Sale entry '!Q941="Collection 收款",ROUND(N('Daily Sale entry '!T941),2),0))</f>
        <v/>
      </c>
    </row>
    <row r="942">
      <c r="A942" t="inlineStr">
        <is>
          <t>Entry 记录</t>
        </is>
      </c>
      <c r="B942" s="5">
        <f>IF('Daily Sale entry '!P942="","",'Daily Sale entry '!O942)</f>
        <v/>
      </c>
      <c r="C942">
        <f>IF('Daily Sale entry '!P942="","",'Daily Sale entry '!P942)</f>
        <v/>
      </c>
      <c r="D942">
        <f>IF(C942="","",IF('Daily Sale entry '!Q942="Credit Sale 赊销",'Daily Sale entry '!S942,0))</f>
        <v/>
      </c>
      <c r="E942">
        <f>IF(C942="","",IF('Daily Sale entry '!Q942="Collection 收款",'Daily Sale entry '!S942,0))</f>
        <v/>
      </c>
      <c r="F942" s="37">
        <f>IF(C942="","",B942+IF(E942&gt;0,0,0.5)+ROW()/10000000)</f>
        <v/>
      </c>
      <c r="G942">
        <f>IF(C942="","",'Daily Sale entry '!Q942&amp;IF('Daily Sale entry '!Q942="Collection 收款"," ("&amp;'Daily Sale entry '!R942&amp;")","")&amp;IF('Daily Sale entry '!U942="",""," - "&amp;'Daily Sale entry '!U942))</f>
        <v/>
      </c>
      <c r="H942">
        <f>IF(C942="","",COUNTIFS($C$2:$C$3001,C942,$F$2:$F$3001,"&lt;"&amp;F942)+1)</f>
        <v/>
      </c>
      <c r="I942">
        <f>IF(C942="","",C942&amp;"|"&amp;H942)</f>
        <v/>
      </c>
      <c r="J942" s="6">
        <f>IF(C942="","",IF(H942=1,SUMIFS('Opening Balance'!$F$4:$F$303,'Opening Balance'!$G$4:$G$303,C942),INDEX($L$2:$L$3001,MATCH(C942&amp;"|"&amp;(H942-1),$I$2:$I$3001,0))))</f>
        <v/>
      </c>
      <c r="K942" s="6">
        <f>IF(C942="","",IF(M942&gt;0,M942,IF(AND(E942&gt;0,ROUND(J942+D942-E942,2)&gt;0,ROUND(J942+D942-E942,2)&lt;'Opening Balance'!$B$14),ROUND(J942+D942-E942,2),0)))</f>
        <v/>
      </c>
      <c r="L942" s="6">
        <f>IF(C942="","",ROUND(J942+D942-E942-K942,2))</f>
        <v/>
      </c>
      <c r="M942" s="6">
        <f>IF(C942="","",IF('Daily Sale entry '!Q942="Collection 收款",ROUND(N('Daily Sale entry '!T942),2),0))</f>
        <v/>
      </c>
    </row>
    <row r="943">
      <c r="A943" t="inlineStr">
        <is>
          <t>Entry 记录</t>
        </is>
      </c>
      <c r="B943" s="5">
        <f>IF('Daily Sale entry '!P943="","",'Daily Sale entry '!O943)</f>
        <v/>
      </c>
      <c r="C943">
        <f>IF('Daily Sale entry '!P943="","",'Daily Sale entry '!P943)</f>
        <v/>
      </c>
      <c r="D943">
        <f>IF(C943="","",IF('Daily Sale entry '!Q943="Credit Sale 赊销",'Daily Sale entry '!S943,0))</f>
        <v/>
      </c>
      <c r="E943">
        <f>IF(C943="","",IF('Daily Sale entry '!Q943="Collection 收款",'Daily Sale entry '!S943,0))</f>
        <v/>
      </c>
      <c r="F943" s="37">
        <f>IF(C943="","",B943+IF(E943&gt;0,0,0.5)+ROW()/10000000)</f>
        <v/>
      </c>
      <c r="G943">
        <f>IF(C943="","",'Daily Sale entry '!Q943&amp;IF('Daily Sale entry '!Q943="Collection 收款"," ("&amp;'Daily Sale entry '!R943&amp;")","")&amp;IF('Daily Sale entry '!U943="",""," - "&amp;'Daily Sale entry '!U943))</f>
        <v/>
      </c>
      <c r="H943">
        <f>IF(C943="","",COUNTIFS($C$2:$C$3001,C943,$F$2:$F$3001,"&lt;"&amp;F943)+1)</f>
        <v/>
      </c>
      <c r="I943">
        <f>IF(C943="","",C943&amp;"|"&amp;H943)</f>
        <v/>
      </c>
      <c r="J943" s="6">
        <f>IF(C943="","",IF(H943=1,SUMIFS('Opening Balance'!$F$4:$F$303,'Opening Balance'!$G$4:$G$303,C943),INDEX($L$2:$L$3001,MATCH(C943&amp;"|"&amp;(H943-1),$I$2:$I$3001,0))))</f>
        <v/>
      </c>
      <c r="K943" s="6">
        <f>IF(C943="","",IF(M943&gt;0,M943,IF(AND(E943&gt;0,ROUND(J943+D943-E943,2)&gt;0,ROUND(J943+D943-E943,2)&lt;'Opening Balance'!$B$14),ROUND(J943+D943-E943,2),0)))</f>
        <v/>
      </c>
      <c r="L943" s="6">
        <f>IF(C943="","",ROUND(J943+D943-E943-K943,2))</f>
        <v/>
      </c>
      <c r="M943" s="6">
        <f>IF(C943="","",IF('Daily Sale entry '!Q943="Collection 收款",ROUND(N('Daily Sale entry '!T943),2),0))</f>
        <v/>
      </c>
    </row>
    <row r="944">
      <c r="A944" t="inlineStr">
        <is>
          <t>Entry 记录</t>
        </is>
      </c>
      <c r="B944" s="5">
        <f>IF('Daily Sale entry '!P944="","",'Daily Sale entry '!O944)</f>
        <v/>
      </c>
      <c r="C944">
        <f>IF('Daily Sale entry '!P944="","",'Daily Sale entry '!P944)</f>
        <v/>
      </c>
      <c r="D944">
        <f>IF(C944="","",IF('Daily Sale entry '!Q944="Credit Sale 赊销",'Daily Sale entry '!S944,0))</f>
        <v/>
      </c>
      <c r="E944">
        <f>IF(C944="","",IF('Daily Sale entry '!Q944="Collection 收款",'Daily Sale entry '!S944,0))</f>
        <v/>
      </c>
      <c r="F944" s="37">
        <f>IF(C944="","",B944+IF(E944&gt;0,0,0.5)+ROW()/10000000)</f>
        <v/>
      </c>
      <c r="G944">
        <f>IF(C944="","",'Daily Sale entry '!Q944&amp;IF('Daily Sale entry '!Q944="Collection 收款"," ("&amp;'Daily Sale entry '!R944&amp;")","")&amp;IF('Daily Sale entry '!U944="",""," - "&amp;'Daily Sale entry '!U944))</f>
        <v/>
      </c>
      <c r="H944">
        <f>IF(C944="","",COUNTIFS($C$2:$C$3001,C944,$F$2:$F$3001,"&lt;"&amp;F944)+1)</f>
        <v/>
      </c>
      <c r="I944">
        <f>IF(C944="","",C944&amp;"|"&amp;H944)</f>
        <v/>
      </c>
      <c r="J944" s="6">
        <f>IF(C944="","",IF(H944=1,SUMIFS('Opening Balance'!$F$4:$F$303,'Opening Balance'!$G$4:$G$303,C944),INDEX($L$2:$L$3001,MATCH(C944&amp;"|"&amp;(H944-1),$I$2:$I$3001,0))))</f>
        <v/>
      </c>
      <c r="K944" s="6">
        <f>IF(C944="","",IF(M944&gt;0,M944,IF(AND(E944&gt;0,ROUND(J944+D944-E944,2)&gt;0,ROUND(J944+D944-E944,2)&lt;'Opening Balance'!$B$14),ROUND(J944+D944-E944,2),0)))</f>
        <v/>
      </c>
      <c r="L944" s="6">
        <f>IF(C944="","",ROUND(J944+D944-E944-K944,2))</f>
        <v/>
      </c>
      <c r="M944" s="6">
        <f>IF(C944="","",IF('Daily Sale entry '!Q944="Collection 收款",ROUND(N('Daily Sale entry '!T944),2),0))</f>
        <v/>
      </c>
    </row>
    <row r="945">
      <c r="A945" t="inlineStr">
        <is>
          <t>Entry 记录</t>
        </is>
      </c>
      <c r="B945" s="5">
        <f>IF('Daily Sale entry '!P945="","",'Daily Sale entry '!O945)</f>
        <v/>
      </c>
      <c r="C945">
        <f>IF('Daily Sale entry '!P945="","",'Daily Sale entry '!P945)</f>
        <v/>
      </c>
      <c r="D945">
        <f>IF(C945="","",IF('Daily Sale entry '!Q945="Credit Sale 赊销",'Daily Sale entry '!S945,0))</f>
        <v/>
      </c>
      <c r="E945">
        <f>IF(C945="","",IF('Daily Sale entry '!Q945="Collection 收款",'Daily Sale entry '!S945,0))</f>
        <v/>
      </c>
      <c r="F945" s="37">
        <f>IF(C945="","",B945+IF(E945&gt;0,0,0.5)+ROW()/10000000)</f>
        <v/>
      </c>
      <c r="G945">
        <f>IF(C945="","",'Daily Sale entry '!Q945&amp;IF('Daily Sale entry '!Q945="Collection 收款"," ("&amp;'Daily Sale entry '!R945&amp;")","")&amp;IF('Daily Sale entry '!U945="",""," - "&amp;'Daily Sale entry '!U945))</f>
        <v/>
      </c>
      <c r="H945">
        <f>IF(C945="","",COUNTIFS($C$2:$C$3001,C945,$F$2:$F$3001,"&lt;"&amp;F945)+1)</f>
        <v/>
      </c>
      <c r="I945">
        <f>IF(C945="","",C945&amp;"|"&amp;H945)</f>
        <v/>
      </c>
      <c r="J945" s="6">
        <f>IF(C945="","",IF(H945=1,SUMIFS('Opening Balance'!$F$4:$F$303,'Opening Balance'!$G$4:$G$303,C945),INDEX($L$2:$L$3001,MATCH(C945&amp;"|"&amp;(H945-1),$I$2:$I$3001,0))))</f>
        <v/>
      </c>
      <c r="K945" s="6">
        <f>IF(C945="","",IF(M945&gt;0,M945,IF(AND(E945&gt;0,ROUND(J945+D945-E945,2)&gt;0,ROUND(J945+D945-E945,2)&lt;'Opening Balance'!$B$14),ROUND(J945+D945-E945,2),0)))</f>
        <v/>
      </c>
      <c r="L945" s="6">
        <f>IF(C945="","",ROUND(J945+D945-E945-K945,2))</f>
        <v/>
      </c>
      <c r="M945" s="6">
        <f>IF(C945="","",IF('Daily Sale entry '!Q945="Collection 收款",ROUND(N('Daily Sale entry '!T945),2),0))</f>
        <v/>
      </c>
    </row>
    <row r="946">
      <c r="A946" t="inlineStr">
        <is>
          <t>Entry 记录</t>
        </is>
      </c>
      <c r="B946" s="5">
        <f>IF('Daily Sale entry '!P946="","",'Daily Sale entry '!O946)</f>
        <v/>
      </c>
      <c r="C946">
        <f>IF('Daily Sale entry '!P946="","",'Daily Sale entry '!P946)</f>
        <v/>
      </c>
      <c r="D946">
        <f>IF(C946="","",IF('Daily Sale entry '!Q946="Credit Sale 赊销",'Daily Sale entry '!S946,0))</f>
        <v/>
      </c>
      <c r="E946">
        <f>IF(C946="","",IF('Daily Sale entry '!Q946="Collection 收款",'Daily Sale entry '!S946,0))</f>
        <v/>
      </c>
      <c r="F946" s="37">
        <f>IF(C946="","",B946+IF(E946&gt;0,0,0.5)+ROW()/10000000)</f>
        <v/>
      </c>
      <c r="G946">
        <f>IF(C946="","",'Daily Sale entry '!Q946&amp;IF('Daily Sale entry '!Q946="Collection 收款"," ("&amp;'Daily Sale entry '!R946&amp;")","")&amp;IF('Daily Sale entry '!U946="",""," - "&amp;'Daily Sale entry '!U946))</f>
        <v/>
      </c>
      <c r="H946">
        <f>IF(C946="","",COUNTIFS($C$2:$C$3001,C946,$F$2:$F$3001,"&lt;"&amp;F946)+1)</f>
        <v/>
      </c>
      <c r="I946">
        <f>IF(C946="","",C946&amp;"|"&amp;H946)</f>
        <v/>
      </c>
      <c r="J946" s="6">
        <f>IF(C946="","",IF(H946=1,SUMIFS('Opening Balance'!$F$4:$F$303,'Opening Balance'!$G$4:$G$303,C946),INDEX($L$2:$L$3001,MATCH(C946&amp;"|"&amp;(H946-1),$I$2:$I$3001,0))))</f>
        <v/>
      </c>
      <c r="K946" s="6">
        <f>IF(C946="","",IF(M946&gt;0,M946,IF(AND(E946&gt;0,ROUND(J946+D946-E946,2)&gt;0,ROUND(J946+D946-E946,2)&lt;'Opening Balance'!$B$14),ROUND(J946+D946-E946,2),0)))</f>
        <v/>
      </c>
      <c r="L946" s="6">
        <f>IF(C946="","",ROUND(J946+D946-E946-K946,2))</f>
        <v/>
      </c>
      <c r="M946" s="6">
        <f>IF(C946="","",IF('Daily Sale entry '!Q946="Collection 收款",ROUND(N('Daily Sale entry '!T946),2),0))</f>
        <v/>
      </c>
    </row>
    <row r="947">
      <c r="A947" t="inlineStr">
        <is>
          <t>Entry 记录</t>
        </is>
      </c>
      <c r="B947" s="5">
        <f>IF('Daily Sale entry '!P947="","",'Daily Sale entry '!O947)</f>
        <v/>
      </c>
      <c r="C947">
        <f>IF('Daily Sale entry '!P947="","",'Daily Sale entry '!P947)</f>
        <v/>
      </c>
      <c r="D947">
        <f>IF(C947="","",IF('Daily Sale entry '!Q947="Credit Sale 赊销",'Daily Sale entry '!S947,0))</f>
        <v/>
      </c>
      <c r="E947">
        <f>IF(C947="","",IF('Daily Sale entry '!Q947="Collection 收款",'Daily Sale entry '!S947,0))</f>
        <v/>
      </c>
      <c r="F947" s="37">
        <f>IF(C947="","",B947+IF(E947&gt;0,0,0.5)+ROW()/10000000)</f>
        <v/>
      </c>
      <c r="G947">
        <f>IF(C947="","",'Daily Sale entry '!Q947&amp;IF('Daily Sale entry '!Q947="Collection 收款"," ("&amp;'Daily Sale entry '!R947&amp;")","")&amp;IF('Daily Sale entry '!U947="",""," - "&amp;'Daily Sale entry '!U947))</f>
        <v/>
      </c>
      <c r="H947">
        <f>IF(C947="","",COUNTIFS($C$2:$C$3001,C947,$F$2:$F$3001,"&lt;"&amp;F947)+1)</f>
        <v/>
      </c>
      <c r="I947">
        <f>IF(C947="","",C947&amp;"|"&amp;H947)</f>
        <v/>
      </c>
      <c r="J947" s="6">
        <f>IF(C947="","",IF(H947=1,SUMIFS('Opening Balance'!$F$4:$F$303,'Opening Balance'!$G$4:$G$303,C947),INDEX($L$2:$L$3001,MATCH(C947&amp;"|"&amp;(H947-1),$I$2:$I$3001,0))))</f>
        <v/>
      </c>
      <c r="K947" s="6">
        <f>IF(C947="","",IF(M947&gt;0,M947,IF(AND(E947&gt;0,ROUND(J947+D947-E947,2)&gt;0,ROUND(J947+D947-E947,2)&lt;'Opening Balance'!$B$14),ROUND(J947+D947-E947,2),0)))</f>
        <v/>
      </c>
      <c r="L947" s="6">
        <f>IF(C947="","",ROUND(J947+D947-E947-K947,2))</f>
        <v/>
      </c>
      <c r="M947" s="6">
        <f>IF(C947="","",IF('Daily Sale entry '!Q947="Collection 收款",ROUND(N('Daily Sale entry '!T947),2),0))</f>
        <v/>
      </c>
    </row>
    <row r="948">
      <c r="A948" t="inlineStr">
        <is>
          <t>Entry 记录</t>
        </is>
      </c>
      <c r="B948" s="5">
        <f>IF('Daily Sale entry '!P948="","",'Daily Sale entry '!O948)</f>
        <v/>
      </c>
      <c r="C948">
        <f>IF('Daily Sale entry '!P948="","",'Daily Sale entry '!P948)</f>
        <v/>
      </c>
      <c r="D948">
        <f>IF(C948="","",IF('Daily Sale entry '!Q948="Credit Sale 赊销",'Daily Sale entry '!S948,0))</f>
        <v/>
      </c>
      <c r="E948">
        <f>IF(C948="","",IF('Daily Sale entry '!Q948="Collection 收款",'Daily Sale entry '!S948,0))</f>
        <v/>
      </c>
      <c r="F948" s="37">
        <f>IF(C948="","",B948+IF(E948&gt;0,0,0.5)+ROW()/10000000)</f>
        <v/>
      </c>
      <c r="G948">
        <f>IF(C948="","",'Daily Sale entry '!Q948&amp;IF('Daily Sale entry '!Q948="Collection 收款"," ("&amp;'Daily Sale entry '!R948&amp;")","")&amp;IF('Daily Sale entry '!U948="",""," - "&amp;'Daily Sale entry '!U948))</f>
        <v/>
      </c>
      <c r="H948">
        <f>IF(C948="","",COUNTIFS($C$2:$C$3001,C948,$F$2:$F$3001,"&lt;"&amp;F948)+1)</f>
        <v/>
      </c>
      <c r="I948">
        <f>IF(C948="","",C948&amp;"|"&amp;H948)</f>
        <v/>
      </c>
      <c r="J948" s="6">
        <f>IF(C948="","",IF(H948=1,SUMIFS('Opening Balance'!$F$4:$F$303,'Opening Balance'!$G$4:$G$303,C948),INDEX($L$2:$L$3001,MATCH(C948&amp;"|"&amp;(H948-1),$I$2:$I$3001,0))))</f>
        <v/>
      </c>
      <c r="K948" s="6">
        <f>IF(C948="","",IF(M948&gt;0,M948,IF(AND(E948&gt;0,ROUND(J948+D948-E948,2)&gt;0,ROUND(J948+D948-E948,2)&lt;'Opening Balance'!$B$14),ROUND(J948+D948-E948,2),0)))</f>
        <v/>
      </c>
      <c r="L948" s="6">
        <f>IF(C948="","",ROUND(J948+D948-E948-K948,2))</f>
        <v/>
      </c>
      <c r="M948" s="6">
        <f>IF(C948="","",IF('Daily Sale entry '!Q948="Collection 收款",ROUND(N('Daily Sale entry '!T948),2),0))</f>
        <v/>
      </c>
    </row>
    <row r="949">
      <c r="A949" t="inlineStr">
        <is>
          <t>Entry 记录</t>
        </is>
      </c>
      <c r="B949" s="5">
        <f>IF('Daily Sale entry '!P949="","",'Daily Sale entry '!O949)</f>
        <v/>
      </c>
      <c r="C949">
        <f>IF('Daily Sale entry '!P949="","",'Daily Sale entry '!P949)</f>
        <v/>
      </c>
      <c r="D949">
        <f>IF(C949="","",IF('Daily Sale entry '!Q949="Credit Sale 赊销",'Daily Sale entry '!S949,0))</f>
        <v/>
      </c>
      <c r="E949">
        <f>IF(C949="","",IF('Daily Sale entry '!Q949="Collection 收款",'Daily Sale entry '!S949,0))</f>
        <v/>
      </c>
      <c r="F949" s="37">
        <f>IF(C949="","",B949+IF(E949&gt;0,0,0.5)+ROW()/10000000)</f>
        <v/>
      </c>
      <c r="G949">
        <f>IF(C949="","",'Daily Sale entry '!Q949&amp;IF('Daily Sale entry '!Q949="Collection 收款"," ("&amp;'Daily Sale entry '!R949&amp;")","")&amp;IF('Daily Sale entry '!U949="",""," - "&amp;'Daily Sale entry '!U949))</f>
        <v/>
      </c>
      <c r="H949">
        <f>IF(C949="","",COUNTIFS($C$2:$C$3001,C949,$F$2:$F$3001,"&lt;"&amp;F949)+1)</f>
        <v/>
      </c>
      <c r="I949">
        <f>IF(C949="","",C949&amp;"|"&amp;H949)</f>
        <v/>
      </c>
      <c r="J949" s="6">
        <f>IF(C949="","",IF(H949=1,SUMIFS('Opening Balance'!$F$4:$F$303,'Opening Balance'!$G$4:$G$303,C949),INDEX($L$2:$L$3001,MATCH(C949&amp;"|"&amp;(H949-1),$I$2:$I$3001,0))))</f>
        <v/>
      </c>
      <c r="K949" s="6">
        <f>IF(C949="","",IF(M949&gt;0,M949,IF(AND(E949&gt;0,ROUND(J949+D949-E949,2)&gt;0,ROUND(J949+D949-E949,2)&lt;'Opening Balance'!$B$14),ROUND(J949+D949-E949,2),0)))</f>
        <v/>
      </c>
      <c r="L949" s="6">
        <f>IF(C949="","",ROUND(J949+D949-E949-K949,2))</f>
        <v/>
      </c>
      <c r="M949" s="6">
        <f>IF(C949="","",IF('Daily Sale entry '!Q949="Collection 收款",ROUND(N('Daily Sale entry '!T949),2),0))</f>
        <v/>
      </c>
    </row>
    <row r="950">
      <c r="A950" t="inlineStr">
        <is>
          <t>Entry 记录</t>
        </is>
      </c>
      <c r="B950" s="5">
        <f>IF('Daily Sale entry '!P950="","",'Daily Sale entry '!O950)</f>
        <v/>
      </c>
      <c r="C950">
        <f>IF('Daily Sale entry '!P950="","",'Daily Sale entry '!P950)</f>
        <v/>
      </c>
      <c r="D950">
        <f>IF(C950="","",IF('Daily Sale entry '!Q950="Credit Sale 赊销",'Daily Sale entry '!S950,0))</f>
        <v/>
      </c>
      <c r="E950">
        <f>IF(C950="","",IF('Daily Sale entry '!Q950="Collection 收款",'Daily Sale entry '!S950,0))</f>
        <v/>
      </c>
      <c r="F950" s="37">
        <f>IF(C950="","",B950+IF(E950&gt;0,0,0.5)+ROW()/10000000)</f>
        <v/>
      </c>
      <c r="G950">
        <f>IF(C950="","",'Daily Sale entry '!Q950&amp;IF('Daily Sale entry '!Q950="Collection 收款"," ("&amp;'Daily Sale entry '!R950&amp;")","")&amp;IF('Daily Sale entry '!U950="",""," - "&amp;'Daily Sale entry '!U950))</f>
        <v/>
      </c>
      <c r="H950">
        <f>IF(C950="","",COUNTIFS($C$2:$C$3001,C950,$F$2:$F$3001,"&lt;"&amp;F950)+1)</f>
        <v/>
      </c>
      <c r="I950">
        <f>IF(C950="","",C950&amp;"|"&amp;H950)</f>
        <v/>
      </c>
      <c r="J950" s="6">
        <f>IF(C950="","",IF(H950=1,SUMIFS('Opening Balance'!$F$4:$F$303,'Opening Balance'!$G$4:$G$303,C950),INDEX($L$2:$L$3001,MATCH(C950&amp;"|"&amp;(H950-1),$I$2:$I$3001,0))))</f>
        <v/>
      </c>
      <c r="K950" s="6">
        <f>IF(C950="","",IF(M950&gt;0,M950,IF(AND(E950&gt;0,ROUND(J950+D950-E950,2)&gt;0,ROUND(J950+D950-E950,2)&lt;'Opening Balance'!$B$14),ROUND(J950+D950-E950,2),0)))</f>
        <v/>
      </c>
      <c r="L950" s="6">
        <f>IF(C950="","",ROUND(J950+D950-E950-K950,2))</f>
        <v/>
      </c>
      <c r="M950" s="6">
        <f>IF(C950="","",IF('Daily Sale entry '!Q950="Collection 收款",ROUND(N('Daily Sale entry '!T950),2),0))</f>
        <v/>
      </c>
    </row>
    <row r="951">
      <c r="A951" t="inlineStr">
        <is>
          <t>Entry 记录</t>
        </is>
      </c>
      <c r="B951" s="5">
        <f>IF('Daily Sale entry '!P951="","",'Daily Sale entry '!O951)</f>
        <v/>
      </c>
      <c r="C951">
        <f>IF('Daily Sale entry '!P951="","",'Daily Sale entry '!P951)</f>
        <v/>
      </c>
      <c r="D951">
        <f>IF(C951="","",IF('Daily Sale entry '!Q951="Credit Sale 赊销",'Daily Sale entry '!S951,0))</f>
        <v/>
      </c>
      <c r="E951">
        <f>IF(C951="","",IF('Daily Sale entry '!Q951="Collection 收款",'Daily Sale entry '!S951,0))</f>
        <v/>
      </c>
      <c r="F951" s="37">
        <f>IF(C951="","",B951+IF(E951&gt;0,0,0.5)+ROW()/10000000)</f>
        <v/>
      </c>
      <c r="G951">
        <f>IF(C951="","",'Daily Sale entry '!Q951&amp;IF('Daily Sale entry '!Q951="Collection 收款"," ("&amp;'Daily Sale entry '!R951&amp;")","")&amp;IF('Daily Sale entry '!U951="",""," - "&amp;'Daily Sale entry '!U951))</f>
        <v/>
      </c>
      <c r="H951">
        <f>IF(C951="","",COUNTIFS($C$2:$C$3001,C951,$F$2:$F$3001,"&lt;"&amp;F951)+1)</f>
        <v/>
      </c>
      <c r="I951">
        <f>IF(C951="","",C951&amp;"|"&amp;H951)</f>
        <v/>
      </c>
      <c r="J951" s="6">
        <f>IF(C951="","",IF(H951=1,SUMIFS('Opening Balance'!$F$4:$F$303,'Opening Balance'!$G$4:$G$303,C951),INDEX($L$2:$L$3001,MATCH(C951&amp;"|"&amp;(H951-1),$I$2:$I$3001,0))))</f>
        <v/>
      </c>
      <c r="K951" s="6">
        <f>IF(C951="","",IF(M951&gt;0,M951,IF(AND(E951&gt;0,ROUND(J951+D951-E951,2)&gt;0,ROUND(J951+D951-E951,2)&lt;'Opening Balance'!$B$14),ROUND(J951+D951-E951,2),0)))</f>
        <v/>
      </c>
      <c r="L951" s="6">
        <f>IF(C951="","",ROUND(J951+D951-E951-K951,2))</f>
        <v/>
      </c>
      <c r="M951" s="6">
        <f>IF(C951="","",IF('Daily Sale entry '!Q951="Collection 收款",ROUND(N('Daily Sale entry '!T951),2),0))</f>
        <v/>
      </c>
    </row>
    <row r="952">
      <c r="A952" t="inlineStr">
        <is>
          <t>Entry 记录</t>
        </is>
      </c>
      <c r="B952" s="5">
        <f>IF('Daily Sale entry '!P952="","",'Daily Sale entry '!O952)</f>
        <v/>
      </c>
      <c r="C952">
        <f>IF('Daily Sale entry '!P952="","",'Daily Sale entry '!P952)</f>
        <v/>
      </c>
      <c r="D952">
        <f>IF(C952="","",IF('Daily Sale entry '!Q952="Credit Sale 赊销",'Daily Sale entry '!S952,0))</f>
        <v/>
      </c>
      <c r="E952">
        <f>IF(C952="","",IF('Daily Sale entry '!Q952="Collection 收款",'Daily Sale entry '!S952,0))</f>
        <v/>
      </c>
      <c r="F952" s="37">
        <f>IF(C952="","",B952+IF(E952&gt;0,0,0.5)+ROW()/10000000)</f>
        <v/>
      </c>
      <c r="G952">
        <f>IF(C952="","",'Daily Sale entry '!Q952&amp;IF('Daily Sale entry '!Q952="Collection 收款"," ("&amp;'Daily Sale entry '!R952&amp;")","")&amp;IF('Daily Sale entry '!U952="",""," - "&amp;'Daily Sale entry '!U952))</f>
        <v/>
      </c>
      <c r="H952">
        <f>IF(C952="","",COUNTIFS($C$2:$C$3001,C952,$F$2:$F$3001,"&lt;"&amp;F952)+1)</f>
        <v/>
      </c>
      <c r="I952">
        <f>IF(C952="","",C952&amp;"|"&amp;H952)</f>
        <v/>
      </c>
      <c r="J952" s="6">
        <f>IF(C952="","",IF(H952=1,SUMIFS('Opening Balance'!$F$4:$F$303,'Opening Balance'!$G$4:$G$303,C952),INDEX($L$2:$L$3001,MATCH(C952&amp;"|"&amp;(H952-1),$I$2:$I$3001,0))))</f>
        <v/>
      </c>
      <c r="K952" s="6">
        <f>IF(C952="","",IF(M952&gt;0,M952,IF(AND(E952&gt;0,ROUND(J952+D952-E952,2)&gt;0,ROUND(J952+D952-E952,2)&lt;'Opening Balance'!$B$14),ROUND(J952+D952-E952,2),0)))</f>
        <v/>
      </c>
      <c r="L952" s="6">
        <f>IF(C952="","",ROUND(J952+D952-E952-K952,2))</f>
        <v/>
      </c>
      <c r="M952" s="6">
        <f>IF(C952="","",IF('Daily Sale entry '!Q952="Collection 收款",ROUND(N('Daily Sale entry '!T952),2),0))</f>
        <v/>
      </c>
    </row>
    <row r="953">
      <c r="A953" t="inlineStr">
        <is>
          <t>Entry 记录</t>
        </is>
      </c>
      <c r="B953" s="5">
        <f>IF('Daily Sale entry '!P953="","",'Daily Sale entry '!O953)</f>
        <v/>
      </c>
      <c r="C953">
        <f>IF('Daily Sale entry '!P953="","",'Daily Sale entry '!P953)</f>
        <v/>
      </c>
      <c r="D953">
        <f>IF(C953="","",IF('Daily Sale entry '!Q953="Credit Sale 赊销",'Daily Sale entry '!S953,0))</f>
        <v/>
      </c>
      <c r="E953">
        <f>IF(C953="","",IF('Daily Sale entry '!Q953="Collection 收款",'Daily Sale entry '!S953,0))</f>
        <v/>
      </c>
      <c r="F953" s="37">
        <f>IF(C953="","",B953+IF(E953&gt;0,0,0.5)+ROW()/10000000)</f>
        <v/>
      </c>
      <c r="G953">
        <f>IF(C953="","",'Daily Sale entry '!Q953&amp;IF('Daily Sale entry '!Q953="Collection 收款"," ("&amp;'Daily Sale entry '!R953&amp;")","")&amp;IF('Daily Sale entry '!U953="",""," - "&amp;'Daily Sale entry '!U953))</f>
        <v/>
      </c>
      <c r="H953">
        <f>IF(C953="","",COUNTIFS($C$2:$C$3001,C953,$F$2:$F$3001,"&lt;"&amp;F953)+1)</f>
        <v/>
      </c>
      <c r="I953">
        <f>IF(C953="","",C953&amp;"|"&amp;H953)</f>
        <v/>
      </c>
      <c r="J953" s="6">
        <f>IF(C953="","",IF(H953=1,SUMIFS('Opening Balance'!$F$4:$F$303,'Opening Balance'!$G$4:$G$303,C953),INDEX($L$2:$L$3001,MATCH(C953&amp;"|"&amp;(H953-1),$I$2:$I$3001,0))))</f>
        <v/>
      </c>
      <c r="K953" s="6">
        <f>IF(C953="","",IF(M953&gt;0,M953,IF(AND(E953&gt;0,ROUND(J953+D953-E953,2)&gt;0,ROUND(J953+D953-E953,2)&lt;'Opening Balance'!$B$14),ROUND(J953+D953-E953,2),0)))</f>
        <v/>
      </c>
      <c r="L953" s="6">
        <f>IF(C953="","",ROUND(J953+D953-E953-K953,2))</f>
        <v/>
      </c>
      <c r="M953" s="6">
        <f>IF(C953="","",IF('Daily Sale entry '!Q953="Collection 收款",ROUND(N('Daily Sale entry '!T953),2),0))</f>
        <v/>
      </c>
    </row>
    <row r="954">
      <c r="A954" t="inlineStr">
        <is>
          <t>Entry 记录</t>
        </is>
      </c>
      <c r="B954" s="5">
        <f>IF('Daily Sale entry '!P954="","",'Daily Sale entry '!O954)</f>
        <v/>
      </c>
      <c r="C954">
        <f>IF('Daily Sale entry '!P954="","",'Daily Sale entry '!P954)</f>
        <v/>
      </c>
      <c r="D954">
        <f>IF(C954="","",IF('Daily Sale entry '!Q954="Credit Sale 赊销",'Daily Sale entry '!S954,0))</f>
        <v/>
      </c>
      <c r="E954">
        <f>IF(C954="","",IF('Daily Sale entry '!Q954="Collection 收款",'Daily Sale entry '!S954,0))</f>
        <v/>
      </c>
      <c r="F954" s="37">
        <f>IF(C954="","",B954+IF(E954&gt;0,0,0.5)+ROW()/10000000)</f>
        <v/>
      </c>
      <c r="G954">
        <f>IF(C954="","",'Daily Sale entry '!Q954&amp;IF('Daily Sale entry '!Q954="Collection 收款"," ("&amp;'Daily Sale entry '!R954&amp;")","")&amp;IF('Daily Sale entry '!U954="",""," - "&amp;'Daily Sale entry '!U954))</f>
        <v/>
      </c>
      <c r="H954">
        <f>IF(C954="","",COUNTIFS($C$2:$C$3001,C954,$F$2:$F$3001,"&lt;"&amp;F954)+1)</f>
        <v/>
      </c>
      <c r="I954">
        <f>IF(C954="","",C954&amp;"|"&amp;H954)</f>
        <v/>
      </c>
      <c r="J954" s="6">
        <f>IF(C954="","",IF(H954=1,SUMIFS('Opening Balance'!$F$4:$F$303,'Opening Balance'!$G$4:$G$303,C954),INDEX($L$2:$L$3001,MATCH(C954&amp;"|"&amp;(H954-1),$I$2:$I$3001,0))))</f>
        <v/>
      </c>
      <c r="K954" s="6">
        <f>IF(C954="","",IF(M954&gt;0,M954,IF(AND(E954&gt;0,ROUND(J954+D954-E954,2)&gt;0,ROUND(J954+D954-E954,2)&lt;'Opening Balance'!$B$14),ROUND(J954+D954-E954,2),0)))</f>
        <v/>
      </c>
      <c r="L954" s="6">
        <f>IF(C954="","",ROUND(J954+D954-E954-K954,2))</f>
        <v/>
      </c>
      <c r="M954" s="6">
        <f>IF(C954="","",IF('Daily Sale entry '!Q954="Collection 收款",ROUND(N('Daily Sale entry '!T954),2),0))</f>
        <v/>
      </c>
    </row>
    <row r="955">
      <c r="A955" t="inlineStr">
        <is>
          <t>Entry 记录</t>
        </is>
      </c>
      <c r="B955" s="5">
        <f>IF('Daily Sale entry '!P955="","",'Daily Sale entry '!O955)</f>
        <v/>
      </c>
      <c r="C955">
        <f>IF('Daily Sale entry '!P955="","",'Daily Sale entry '!P955)</f>
        <v/>
      </c>
      <c r="D955">
        <f>IF(C955="","",IF('Daily Sale entry '!Q955="Credit Sale 赊销",'Daily Sale entry '!S955,0))</f>
        <v/>
      </c>
      <c r="E955">
        <f>IF(C955="","",IF('Daily Sale entry '!Q955="Collection 收款",'Daily Sale entry '!S955,0))</f>
        <v/>
      </c>
      <c r="F955" s="37">
        <f>IF(C955="","",B955+IF(E955&gt;0,0,0.5)+ROW()/10000000)</f>
        <v/>
      </c>
      <c r="G955">
        <f>IF(C955="","",'Daily Sale entry '!Q955&amp;IF('Daily Sale entry '!Q955="Collection 收款"," ("&amp;'Daily Sale entry '!R955&amp;")","")&amp;IF('Daily Sale entry '!U955="",""," - "&amp;'Daily Sale entry '!U955))</f>
        <v/>
      </c>
      <c r="H955">
        <f>IF(C955="","",COUNTIFS($C$2:$C$3001,C955,$F$2:$F$3001,"&lt;"&amp;F955)+1)</f>
        <v/>
      </c>
      <c r="I955">
        <f>IF(C955="","",C955&amp;"|"&amp;H955)</f>
        <v/>
      </c>
      <c r="J955" s="6">
        <f>IF(C955="","",IF(H955=1,SUMIFS('Opening Balance'!$F$4:$F$303,'Opening Balance'!$G$4:$G$303,C955),INDEX($L$2:$L$3001,MATCH(C955&amp;"|"&amp;(H955-1),$I$2:$I$3001,0))))</f>
        <v/>
      </c>
      <c r="K955" s="6">
        <f>IF(C955="","",IF(M955&gt;0,M955,IF(AND(E955&gt;0,ROUND(J955+D955-E955,2)&gt;0,ROUND(J955+D955-E955,2)&lt;'Opening Balance'!$B$14),ROUND(J955+D955-E955,2),0)))</f>
        <v/>
      </c>
      <c r="L955" s="6">
        <f>IF(C955="","",ROUND(J955+D955-E955-K955,2))</f>
        <v/>
      </c>
      <c r="M955" s="6">
        <f>IF(C955="","",IF('Daily Sale entry '!Q955="Collection 收款",ROUND(N('Daily Sale entry '!T955),2),0))</f>
        <v/>
      </c>
    </row>
    <row r="956">
      <c r="A956" t="inlineStr">
        <is>
          <t>Entry 记录</t>
        </is>
      </c>
      <c r="B956" s="5">
        <f>IF('Daily Sale entry '!P956="","",'Daily Sale entry '!O956)</f>
        <v/>
      </c>
      <c r="C956">
        <f>IF('Daily Sale entry '!P956="","",'Daily Sale entry '!P956)</f>
        <v/>
      </c>
      <c r="D956">
        <f>IF(C956="","",IF('Daily Sale entry '!Q956="Credit Sale 赊销",'Daily Sale entry '!S956,0))</f>
        <v/>
      </c>
      <c r="E956">
        <f>IF(C956="","",IF('Daily Sale entry '!Q956="Collection 收款",'Daily Sale entry '!S956,0))</f>
        <v/>
      </c>
      <c r="F956" s="37">
        <f>IF(C956="","",B956+IF(E956&gt;0,0,0.5)+ROW()/10000000)</f>
        <v/>
      </c>
      <c r="G956">
        <f>IF(C956="","",'Daily Sale entry '!Q956&amp;IF('Daily Sale entry '!Q956="Collection 收款"," ("&amp;'Daily Sale entry '!R956&amp;")","")&amp;IF('Daily Sale entry '!U956="",""," - "&amp;'Daily Sale entry '!U956))</f>
        <v/>
      </c>
      <c r="H956">
        <f>IF(C956="","",COUNTIFS($C$2:$C$3001,C956,$F$2:$F$3001,"&lt;"&amp;F956)+1)</f>
        <v/>
      </c>
      <c r="I956">
        <f>IF(C956="","",C956&amp;"|"&amp;H956)</f>
        <v/>
      </c>
      <c r="J956" s="6">
        <f>IF(C956="","",IF(H956=1,SUMIFS('Opening Balance'!$F$4:$F$303,'Opening Balance'!$G$4:$G$303,C956),INDEX($L$2:$L$3001,MATCH(C956&amp;"|"&amp;(H956-1),$I$2:$I$3001,0))))</f>
        <v/>
      </c>
      <c r="K956" s="6">
        <f>IF(C956="","",IF(M956&gt;0,M956,IF(AND(E956&gt;0,ROUND(J956+D956-E956,2)&gt;0,ROUND(J956+D956-E956,2)&lt;'Opening Balance'!$B$14),ROUND(J956+D956-E956,2),0)))</f>
        <v/>
      </c>
      <c r="L956" s="6">
        <f>IF(C956="","",ROUND(J956+D956-E956-K956,2))</f>
        <v/>
      </c>
      <c r="M956" s="6">
        <f>IF(C956="","",IF('Daily Sale entry '!Q956="Collection 收款",ROUND(N('Daily Sale entry '!T956),2),0))</f>
        <v/>
      </c>
    </row>
    <row r="957">
      <c r="A957" t="inlineStr">
        <is>
          <t>Entry 记录</t>
        </is>
      </c>
      <c r="B957" s="5">
        <f>IF('Daily Sale entry '!P957="","",'Daily Sale entry '!O957)</f>
        <v/>
      </c>
      <c r="C957">
        <f>IF('Daily Sale entry '!P957="","",'Daily Sale entry '!P957)</f>
        <v/>
      </c>
      <c r="D957">
        <f>IF(C957="","",IF('Daily Sale entry '!Q957="Credit Sale 赊销",'Daily Sale entry '!S957,0))</f>
        <v/>
      </c>
      <c r="E957">
        <f>IF(C957="","",IF('Daily Sale entry '!Q957="Collection 收款",'Daily Sale entry '!S957,0))</f>
        <v/>
      </c>
      <c r="F957" s="37">
        <f>IF(C957="","",B957+IF(E957&gt;0,0,0.5)+ROW()/10000000)</f>
        <v/>
      </c>
      <c r="G957">
        <f>IF(C957="","",'Daily Sale entry '!Q957&amp;IF('Daily Sale entry '!Q957="Collection 收款"," ("&amp;'Daily Sale entry '!R957&amp;")","")&amp;IF('Daily Sale entry '!U957="",""," - "&amp;'Daily Sale entry '!U957))</f>
        <v/>
      </c>
      <c r="H957">
        <f>IF(C957="","",COUNTIFS($C$2:$C$3001,C957,$F$2:$F$3001,"&lt;"&amp;F957)+1)</f>
        <v/>
      </c>
      <c r="I957">
        <f>IF(C957="","",C957&amp;"|"&amp;H957)</f>
        <v/>
      </c>
      <c r="J957" s="6">
        <f>IF(C957="","",IF(H957=1,SUMIFS('Opening Balance'!$F$4:$F$303,'Opening Balance'!$G$4:$G$303,C957),INDEX($L$2:$L$3001,MATCH(C957&amp;"|"&amp;(H957-1),$I$2:$I$3001,0))))</f>
        <v/>
      </c>
      <c r="K957" s="6">
        <f>IF(C957="","",IF(M957&gt;0,M957,IF(AND(E957&gt;0,ROUND(J957+D957-E957,2)&gt;0,ROUND(J957+D957-E957,2)&lt;'Opening Balance'!$B$14),ROUND(J957+D957-E957,2),0)))</f>
        <v/>
      </c>
      <c r="L957" s="6">
        <f>IF(C957="","",ROUND(J957+D957-E957-K957,2))</f>
        <v/>
      </c>
      <c r="M957" s="6">
        <f>IF(C957="","",IF('Daily Sale entry '!Q957="Collection 收款",ROUND(N('Daily Sale entry '!T957),2),0))</f>
        <v/>
      </c>
    </row>
    <row r="958">
      <c r="A958" t="inlineStr">
        <is>
          <t>Entry 记录</t>
        </is>
      </c>
      <c r="B958" s="5">
        <f>IF('Daily Sale entry '!P958="","",'Daily Sale entry '!O958)</f>
        <v/>
      </c>
      <c r="C958">
        <f>IF('Daily Sale entry '!P958="","",'Daily Sale entry '!P958)</f>
        <v/>
      </c>
      <c r="D958">
        <f>IF(C958="","",IF('Daily Sale entry '!Q958="Credit Sale 赊销",'Daily Sale entry '!S958,0))</f>
        <v/>
      </c>
      <c r="E958">
        <f>IF(C958="","",IF('Daily Sale entry '!Q958="Collection 收款",'Daily Sale entry '!S958,0))</f>
        <v/>
      </c>
      <c r="F958" s="37">
        <f>IF(C958="","",B958+IF(E958&gt;0,0,0.5)+ROW()/10000000)</f>
        <v/>
      </c>
      <c r="G958">
        <f>IF(C958="","",'Daily Sale entry '!Q958&amp;IF('Daily Sale entry '!Q958="Collection 收款"," ("&amp;'Daily Sale entry '!R958&amp;")","")&amp;IF('Daily Sale entry '!U958="",""," - "&amp;'Daily Sale entry '!U958))</f>
        <v/>
      </c>
      <c r="H958">
        <f>IF(C958="","",COUNTIFS($C$2:$C$3001,C958,$F$2:$F$3001,"&lt;"&amp;F958)+1)</f>
        <v/>
      </c>
      <c r="I958">
        <f>IF(C958="","",C958&amp;"|"&amp;H958)</f>
        <v/>
      </c>
      <c r="J958" s="6">
        <f>IF(C958="","",IF(H958=1,SUMIFS('Opening Balance'!$F$4:$F$303,'Opening Balance'!$G$4:$G$303,C958),INDEX($L$2:$L$3001,MATCH(C958&amp;"|"&amp;(H958-1),$I$2:$I$3001,0))))</f>
        <v/>
      </c>
      <c r="K958" s="6">
        <f>IF(C958="","",IF(M958&gt;0,M958,IF(AND(E958&gt;0,ROUND(J958+D958-E958,2)&gt;0,ROUND(J958+D958-E958,2)&lt;'Opening Balance'!$B$14),ROUND(J958+D958-E958,2),0)))</f>
        <v/>
      </c>
      <c r="L958" s="6">
        <f>IF(C958="","",ROUND(J958+D958-E958-K958,2))</f>
        <v/>
      </c>
      <c r="M958" s="6">
        <f>IF(C958="","",IF('Daily Sale entry '!Q958="Collection 收款",ROUND(N('Daily Sale entry '!T958),2),0))</f>
        <v/>
      </c>
    </row>
    <row r="959">
      <c r="A959" t="inlineStr">
        <is>
          <t>Entry 记录</t>
        </is>
      </c>
      <c r="B959" s="5">
        <f>IF('Daily Sale entry '!P959="","",'Daily Sale entry '!O959)</f>
        <v/>
      </c>
      <c r="C959">
        <f>IF('Daily Sale entry '!P959="","",'Daily Sale entry '!P959)</f>
        <v/>
      </c>
      <c r="D959">
        <f>IF(C959="","",IF('Daily Sale entry '!Q959="Credit Sale 赊销",'Daily Sale entry '!S959,0))</f>
        <v/>
      </c>
      <c r="E959">
        <f>IF(C959="","",IF('Daily Sale entry '!Q959="Collection 收款",'Daily Sale entry '!S959,0))</f>
        <v/>
      </c>
      <c r="F959" s="37">
        <f>IF(C959="","",B959+IF(E959&gt;0,0,0.5)+ROW()/10000000)</f>
        <v/>
      </c>
      <c r="G959">
        <f>IF(C959="","",'Daily Sale entry '!Q959&amp;IF('Daily Sale entry '!Q959="Collection 收款"," ("&amp;'Daily Sale entry '!R959&amp;")","")&amp;IF('Daily Sale entry '!U959="",""," - "&amp;'Daily Sale entry '!U959))</f>
        <v/>
      </c>
      <c r="H959">
        <f>IF(C959="","",COUNTIFS($C$2:$C$3001,C959,$F$2:$F$3001,"&lt;"&amp;F959)+1)</f>
        <v/>
      </c>
      <c r="I959">
        <f>IF(C959="","",C959&amp;"|"&amp;H959)</f>
        <v/>
      </c>
      <c r="J959" s="6">
        <f>IF(C959="","",IF(H959=1,SUMIFS('Opening Balance'!$F$4:$F$303,'Opening Balance'!$G$4:$G$303,C959),INDEX($L$2:$L$3001,MATCH(C959&amp;"|"&amp;(H959-1),$I$2:$I$3001,0))))</f>
        <v/>
      </c>
      <c r="K959" s="6">
        <f>IF(C959="","",IF(M959&gt;0,M959,IF(AND(E959&gt;0,ROUND(J959+D959-E959,2)&gt;0,ROUND(J959+D959-E959,2)&lt;'Opening Balance'!$B$14),ROUND(J959+D959-E959,2),0)))</f>
        <v/>
      </c>
      <c r="L959" s="6">
        <f>IF(C959="","",ROUND(J959+D959-E959-K959,2))</f>
        <v/>
      </c>
      <c r="M959" s="6">
        <f>IF(C959="","",IF('Daily Sale entry '!Q959="Collection 收款",ROUND(N('Daily Sale entry '!T959),2),0))</f>
        <v/>
      </c>
    </row>
    <row r="960">
      <c r="A960" t="inlineStr">
        <is>
          <t>Entry 记录</t>
        </is>
      </c>
      <c r="B960" s="5">
        <f>IF('Daily Sale entry '!P960="","",'Daily Sale entry '!O960)</f>
        <v/>
      </c>
      <c r="C960">
        <f>IF('Daily Sale entry '!P960="","",'Daily Sale entry '!P960)</f>
        <v/>
      </c>
      <c r="D960">
        <f>IF(C960="","",IF('Daily Sale entry '!Q960="Credit Sale 赊销",'Daily Sale entry '!S960,0))</f>
        <v/>
      </c>
      <c r="E960">
        <f>IF(C960="","",IF('Daily Sale entry '!Q960="Collection 收款",'Daily Sale entry '!S960,0))</f>
        <v/>
      </c>
      <c r="F960" s="37">
        <f>IF(C960="","",B960+IF(E960&gt;0,0,0.5)+ROW()/10000000)</f>
        <v/>
      </c>
      <c r="G960">
        <f>IF(C960="","",'Daily Sale entry '!Q960&amp;IF('Daily Sale entry '!Q960="Collection 收款"," ("&amp;'Daily Sale entry '!R960&amp;")","")&amp;IF('Daily Sale entry '!U960="",""," - "&amp;'Daily Sale entry '!U960))</f>
        <v/>
      </c>
      <c r="H960">
        <f>IF(C960="","",COUNTIFS($C$2:$C$3001,C960,$F$2:$F$3001,"&lt;"&amp;F960)+1)</f>
        <v/>
      </c>
      <c r="I960">
        <f>IF(C960="","",C960&amp;"|"&amp;H960)</f>
        <v/>
      </c>
      <c r="J960" s="6">
        <f>IF(C960="","",IF(H960=1,SUMIFS('Opening Balance'!$F$4:$F$303,'Opening Balance'!$G$4:$G$303,C960),INDEX($L$2:$L$3001,MATCH(C960&amp;"|"&amp;(H960-1),$I$2:$I$3001,0))))</f>
        <v/>
      </c>
      <c r="K960" s="6">
        <f>IF(C960="","",IF(M960&gt;0,M960,IF(AND(E960&gt;0,ROUND(J960+D960-E960,2)&gt;0,ROUND(J960+D960-E960,2)&lt;'Opening Balance'!$B$14),ROUND(J960+D960-E960,2),0)))</f>
        <v/>
      </c>
      <c r="L960" s="6">
        <f>IF(C960="","",ROUND(J960+D960-E960-K960,2))</f>
        <v/>
      </c>
      <c r="M960" s="6">
        <f>IF(C960="","",IF('Daily Sale entry '!Q960="Collection 收款",ROUND(N('Daily Sale entry '!T960),2),0))</f>
        <v/>
      </c>
    </row>
    <row r="961">
      <c r="A961" t="inlineStr">
        <is>
          <t>Entry 记录</t>
        </is>
      </c>
      <c r="B961" s="5">
        <f>IF('Daily Sale entry '!P961="","",'Daily Sale entry '!O961)</f>
        <v/>
      </c>
      <c r="C961">
        <f>IF('Daily Sale entry '!P961="","",'Daily Sale entry '!P961)</f>
        <v/>
      </c>
      <c r="D961">
        <f>IF(C961="","",IF('Daily Sale entry '!Q961="Credit Sale 赊销",'Daily Sale entry '!S961,0))</f>
        <v/>
      </c>
      <c r="E961">
        <f>IF(C961="","",IF('Daily Sale entry '!Q961="Collection 收款",'Daily Sale entry '!S961,0))</f>
        <v/>
      </c>
      <c r="F961" s="37">
        <f>IF(C961="","",B961+IF(E961&gt;0,0,0.5)+ROW()/10000000)</f>
        <v/>
      </c>
      <c r="G961">
        <f>IF(C961="","",'Daily Sale entry '!Q961&amp;IF('Daily Sale entry '!Q961="Collection 收款"," ("&amp;'Daily Sale entry '!R961&amp;")","")&amp;IF('Daily Sale entry '!U961="",""," - "&amp;'Daily Sale entry '!U961))</f>
        <v/>
      </c>
      <c r="H961">
        <f>IF(C961="","",COUNTIFS($C$2:$C$3001,C961,$F$2:$F$3001,"&lt;"&amp;F961)+1)</f>
        <v/>
      </c>
      <c r="I961">
        <f>IF(C961="","",C961&amp;"|"&amp;H961)</f>
        <v/>
      </c>
      <c r="J961" s="6">
        <f>IF(C961="","",IF(H961=1,SUMIFS('Opening Balance'!$F$4:$F$303,'Opening Balance'!$G$4:$G$303,C961),INDEX($L$2:$L$3001,MATCH(C961&amp;"|"&amp;(H961-1),$I$2:$I$3001,0))))</f>
        <v/>
      </c>
      <c r="K961" s="6">
        <f>IF(C961="","",IF(M961&gt;0,M961,IF(AND(E961&gt;0,ROUND(J961+D961-E961,2)&gt;0,ROUND(J961+D961-E961,2)&lt;'Opening Balance'!$B$14),ROUND(J961+D961-E961,2),0)))</f>
        <v/>
      </c>
      <c r="L961" s="6">
        <f>IF(C961="","",ROUND(J961+D961-E961-K961,2))</f>
        <v/>
      </c>
      <c r="M961" s="6">
        <f>IF(C961="","",IF('Daily Sale entry '!Q961="Collection 收款",ROUND(N('Daily Sale entry '!T961),2),0))</f>
        <v/>
      </c>
    </row>
    <row r="962">
      <c r="A962" t="inlineStr">
        <is>
          <t>Entry 记录</t>
        </is>
      </c>
      <c r="B962" s="5">
        <f>IF('Daily Sale entry '!P962="","",'Daily Sale entry '!O962)</f>
        <v/>
      </c>
      <c r="C962">
        <f>IF('Daily Sale entry '!P962="","",'Daily Sale entry '!P962)</f>
        <v/>
      </c>
      <c r="D962">
        <f>IF(C962="","",IF('Daily Sale entry '!Q962="Credit Sale 赊销",'Daily Sale entry '!S962,0))</f>
        <v/>
      </c>
      <c r="E962">
        <f>IF(C962="","",IF('Daily Sale entry '!Q962="Collection 收款",'Daily Sale entry '!S962,0))</f>
        <v/>
      </c>
      <c r="F962" s="37">
        <f>IF(C962="","",B962+IF(E962&gt;0,0,0.5)+ROW()/10000000)</f>
        <v/>
      </c>
      <c r="G962">
        <f>IF(C962="","",'Daily Sale entry '!Q962&amp;IF('Daily Sale entry '!Q962="Collection 收款"," ("&amp;'Daily Sale entry '!R962&amp;")","")&amp;IF('Daily Sale entry '!U962="",""," - "&amp;'Daily Sale entry '!U962))</f>
        <v/>
      </c>
      <c r="H962">
        <f>IF(C962="","",COUNTIFS($C$2:$C$3001,C962,$F$2:$F$3001,"&lt;"&amp;F962)+1)</f>
        <v/>
      </c>
      <c r="I962">
        <f>IF(C962="","",C962&amp;"|"&amp;H962)</f>
        <v/>
      </c>
      <c r="J962" s="6">
        <f>IF(C962="","",IF(H962=1,SUMIFS('Opening Balance'!$F$4:$F$303,'Opening Balance'!$G$4:$G$303,C962),INDEX($L$2:$L$3001,MATCH(C962&amp;"|"&amp;(H962-1),$I$2:$I$3001,0))))</f>
        <v/>
      </c>
      <c r="K962" s="6">
        <f>IF(C962="","",IF(M962&gt;0,M962,IF(AND(E962&gt;0,ROUND(J962+D962-E962,2)&gt;0,ROUND(J962+D962-E962,2)&lt;'Opening Balance'!$B$14),ROUND(J962+D962-E962,2),0)))</f>
        <v/>
      </c>
      <c r="L962" s="6">
        <f>IF(C962="","",ROUND(J962+D962-E962-K962,2))</f>
        <v/>
      </c>
      <c r="M962" s="6">
        <f>IF(C962="","",IF('Daily Sale entry '!Q962="Collection 收款",ROUND(N('Daily Sale entry '!T962),2),0))</f>
        <v/>
      </c>
    </row>
    <row r="963">
      <c r="A963" t="inlineStr">
        <is>
          <t>Entry 记录</t>
        </is>
      </c>
      <c r="B963" s="5">
        <f>IF('Daily Sale entry '!P963="","",'Daily Sale entry '!O963)</f>
        <v/>
      </c>
      <c r="C963">
        <f>IF('Daily Sale entry '!P963="","",'Daily Sale entry '!P963)</f>
        <v/>
      </c>
      <c r="D963">
        <f>IF(C963="","",IF('Daily Sale entry '!Q963="Credit Sale 赊销",'Daily Sale entry '!S963,0))</f>
        <v/>
      </c>
      <c r="E963">
        <f>IF(C963="","",IF('Daily Sale entry '!Q963="Collection 收款",'Daily Sale entry '!S963,0))</f>
        <v/>
      </c>
      <c r="F963" s="37">
        <f>IF(C963="","",B963+IF(E963&gt;0,0,0.5)+ROW()/10000000)</f>
        <v/>
      </c>
      <c r="G963">
        <f>IF(C963="","",'Daily Sale entry '!Q963&amp;IF('Daily Sale entry '!Q963="Collection 收款"," ("&amp;'Daily Sale entry '!R963&amp;")","")&amp;IF('Daily Sale entry '!U963="",""," - "&amp;'Daily Sale entry '!U963))</f>
        <v/>
      </c>
      <c r="H963">
        <f>IF(C963="","",COUNTIFS($C$2:$C$3001,C963,$F$2:$F$3001,"&lt;"&amp;F963)+1)</f>
        <v/>
      </c>
      <c r="I963">
        <f>IF(C963="","",C963&amp;"|"&amp;H963)</f>
        <v/>
      </c>
      <c r="J963" s="6">
        <f>IF(C963="","",IF(H963=1,SUMIFS('Opening Balance'!$F$4:$F$303,'Opening Balance'!$G$4:$G$303,C963),INDEX($L$2:$L$3001,MATCH(C963&amp;"|"&amp;(H963-1),$I$2:$I$3001,0))))</f>
        <v/>
      </c>
      <c r="K963" s="6">
        <f>IF(C963="","",IF(M963&gt;0,M963,IF(AND(E963&gt;0,ROUND(J963+D963-E963,2)&gt;0,ROUND(J963+D963-E963,2)&lt;'Opening Balance'!$B$14),ROUND(J963+D963-E963,2),0)))</f>
        <v/>
      </c>
      <c r="L963" s="6">
        <f>IF(C963="","",ROUND(J963+D963-E963-K963,2))</f>
        <v/>
      </c>
      <c r="M963" s="6">
        <f>IF(C963="","",IF('Daily Sale entry '!Q963="Collection 收款",ROUND(N('Daily Sale entry '!T963),2),0))</f>
        <v/>
      </c>
    </row>
    <row r="964">
      <c r="A964" t="inlineStr">
        <is>
          <t>Entry 记录</t>
        </is>
      </c>
      <c r="B964" s="5">
        <f>IF('Daily Sale entry '!P964="","",'Daily Sale entry '!O964)</f>
        <v/>
      </c>
      <c r="C964">
        <f>IF('Daily Sale entry '!P964="","",'Daily Sale entry '!P964)</f>
        <v/>
      </c>
      <c r="D964">
        <f>IF(C964="","",IF('Daily Sale entry '!Q964="Credit Sale 赊销",'Daily Sale entry '!S964,0))</f>
        <v/>
      </c>
      <c r="E964">
        <f>IF(C964="","",IF('Daily Sale entry '!Q964="Collection 收款",'Daily Sale entry '!S964,0))</f>
        <v/>
      </c>
      <c r="F964" s="37">
        <f>IF(C964="","",B964+IF(E964&gt;0,0,0.5)+ROW()/10000000)</f>
        <v/>
      </c>
      <c r="G964">
        <f>IF(C964="","",'Daily Sale entry '!Q964&amp;IF('Daily Sale entry '!Q964="Collection 收款"," ("&amp;'Daily Sale entry '!R964&amp;")","")&amp;IF('Daily Sale entry '!U964="",""," - "&amp;'Daily Sale entry '!U964))</f>
        <v/>
      </c>
      <c r="H964">
        <f>IF(C964="","",COUNTIFS($C$2:$C$3001,C964,$F$2:$F$3001,"&lt;"&amp;F964)+1)</f>
        <v/>
      </c>
      <c r="I964">
        <f>IF(C964="","",C964&amp;"|"&amp;H964)</f>
        <v/>
      </c>
      <c r="J964" s="6">
        <f>IF(C964="","",IF(H964=1,SUMIFS('Opening Balance'!$F$4:$F$303,'Opening Balance'!$G$4:$G$303,C964),INDEX($L$2:$L$3001,MATCH(C964&amp;"|"&amp;(H964-1),$I$2:$I$3001,0))))</f>
        <v/>
      </c>
      <c r="K964" s="6">
        <f>IF(C964="","",IF(M964&gt;0,M964,IF(AND(E964&gt;0,ROUND(J964+D964-E964,2)&gt;0,ROUND(J964+D964-E964,2)&lt;'Opening Balance'!$B$14),ROUND(J964+D964-E964,2),0)))</f>
        <v/>
      </c>
      <c r="L964" s="6">
        <f>IF(C964="","",ROUND(J964+D964-E964-K964,2))</f>
        <v/>
      </c>
      <c r="M964" s="6">
        <f>IF(C964="","",IF('Daily Sale entry '!Q964="Collection 收款",ROUND(N('Daily Sale entry '!T964),2),0))</f>
        <v/>
      </c>
    </row>
    <row r="965">
      <c r="A965" t="inlineStr">
        <is>
          <t>Entry 记录</t>
        </is>
      </c>
      <c r="B965" s="5">
        <f>IF('Daily Sale entry '!P965="","",'Daily Sale entry '!O965)</f>
        <v/>
      </c>
      <c r="C965">
        <f>IF('Daily Sale entry '!P965="","",'Daily Sale entry '!P965)</f>
        <v/>
      </c>
      <c r="D965">
        <f>IF(C965="","",IF('Daily Sale entry '!Q965="Credit Sale 赊销",'Daily Sale entry '!S965,0))</f>
        <v/>
      </c>
      <c r="E965">
        <f>IF(C965="","",IF('Daily Sale entry '!Q965="Collection 收款",'Daily Sale entry '!S965,0))</f>
        <v/>
      </c>
      <c r="F965" s="37">
        <f>IF(C965="","",B965+IF(E965&gt;0,0,0.5)+ROW()/10000000)</f>
        <v/>
      </c>
      <c r="G965">
        <f>IF(C965="","",'Daily Sale entry '!Q965&amp;IF('Daily Sale entry '!Q965="Collection 收款"," ("&amp;'Daily Sale entry '!R965&amp;")","")&amp;IF('Daily Sale entry '!U965="",""," - "&amp;'Daily Sale entry '!U965))</f>
        <v/>
      </c>
      <c r="H965">
        <f>IF(C965="","",COUNTIFS($C$2:$C$3001,C965,$F$2:$F$3001,"&lt;"&amp;F965)+1)</f>
        <v/>
      </c>
      <c r="I965">
        <f>IF(C965="","",C965&amp;"|"&amp;H965)</f>
        <v/>
      </c>
      <c r="J965" s="6">
        <f>IF(C965="","",IF(H965=1,SUMIFS('Opening Balance'!$F$4:$F$303,'Opening Balance'!$G$4:$G$303,C965),INDEX($L$2:$L$3001,MATCH(C965&amp;"|"&amp;(H965-1),$I$2:$I$3001,0))))</f>
        <v/>
      </c>
      <c r="K965" s="6">
        <f>IF(C965="","",IF(M965&gt;0,M965,IF(AND(E965&gt;0,ROUND(J965+D965-E965,2)&gt;0,ROUND(J965+D965-E965,2)&lt;'Opening Balance'!$B$14),ROUND(J965+D965-E965,2),0)))</f>
        <v/>
      </c>
      <c r="L965" s="6">
        <f>IF(C965="","",ROUND(J965+D965-E965-K965,2))</f>
        <v/>
      </c>
      <c r="M965" s="6">
        <f>IF(C965="","",IF('Daily Sale entry '!Q965="Collection 收款",ROUND(N('Daily Sale entry '!T965),2),0))</f>
        <v/>
      </c>
    </row>
    <row r="966">
      <c r="A966" t="inlineStr">
        <is>
          <t>Entry 记录</t>
        </is>
      </c>
      <c r="B966" s="5">
        <f>IF('Daily Sale entry '!P966="","",'Daily Sale entry '!O966)</f>
        <v/>
      </c>
      <c r="C966">
        <f>IF('Daily Sale entry '!P966="","",'Daily Sale entry '!P966)</f>
        <v/>
      </c>
      <c r="D966">
        <f>IF(C966="","",IF('Daily Sale entry '!Q966="Credit Sale 赊销",'Daily Sale entry '!S966,0))</f>
        <v/>
      </c>
      <c r="E966">
        <f>IF(C966="","",IF('Daily Sale entry '!Q966="Collection 收款",'Daily Sale entry '!S966,0))</f>
        <v/>
      </c>
      <c r="F966" s="37">
        <f>IF(C966="","",B966+IF(E966&gt;0,0,0.5)+ROW()/10000000)</f>
        <v/>
      </c>
      <c r="G966">
        <f>IF(C966="","",'Daily Sale entry '!Q966&amp;IF('Daily Sale entry '!Q966="Collection 收款"," ("&amp;'Daily Sale entry '!R966&amp;")","")&amp;IF('Daily Sale entry '!U966="",""," - "&amp;'Daily Sale entry '!U966))</f>
        <v/>
      </c>
      <c r="H966">
        <f>IF(C966="","",COUNTIFS($C$2:$C$3001,C966,$F$2:$F$3001,"&lt;"&amp;F966)+1)</f>
        <v/>
      </c>
      <c r="I966">
        <f>IF(C966="","",C966&amp;"|"&amp;H966)</f>
        <v/>
      </c>
      <c r="J966" s="6">
        <f>IF(C966="","",IF(H966=1,SUMIFS('Opening Balance'!$F$4:$F$303,'Opening Balance'!$G$4:$G$303,C966),INDEX($L$2:$L$3001,MATCH(C966&amp;"|"&amp;(H966-1),$I$2:$I$3001,0))))</f>
        <v/>
      </c>
      <c r="K966" s="6">
        <f>IF(C966="","",IF(M966&gt;0,M966,IF(AND(E966&gt;0,ROUND(J966+D966-E966,2)&gt;0,ROUND(J966+D966-E966,2)&lt;'Opening Balance'!$B$14),ROUND(J966+D966-E966,2),0)))</f>
        <v/>
      </c>
      <c r="L966" s="6">
        <f>IF(C966="","",ROUND(J966+D966-E966-K966,2))</f>
        <v/>
      </c>
      <c r="M966" s="6">
        <f>IF(C966="","",IF('Daily Sale entry '!Q966="Collection 收款",ROUND(N('Daily Sale entry '!T966),2),0))</f>
        <v/>
      </c>
    </row>
    <row r="967">
      <c r="A967" t="inlineStr">
        <is>
          <t>Entry 记录</t>
        </is>
      </c>
      <c r="B967" s="5">
        <f>IF('Daily Sale entry '!P967="","",'Daily Sale entry '!O967)</f>
        <v/>
      </c>
      <c r="C967">
        <f>IF('Daily Sale entry '!P967="","",'Daily Sale entry '!P967)</f>
        <v/>
      </c>
      <c r="D967">
        <f>IF(C967="","",IF('Daily Sale entry '!Q967="Credit Sale 赊销",'Daily Sale entry '!S967,0))</f>
        <v/>
      </c>
      <c r="E967">
        <f>IF(C967="","",IF('Daily Sale entry '!Q967="Collection 收款",'Daily Sale entry '!S967,0))</f>
        <v/>
      </c>
      <c r="F967" s="37">
        <f>IF(C967="","",B967+IF(E967&gt;0,0,0.5)+ROW()/10000000)</f>
        <v/>
      </c>
      <c r="G967">
        <f>IF(C967="","",'Daily Sale entry '!Q967&amp;IF('Daily Sale entry '!Q967="Collection 收款"," ("&amp;'Daily Sale entry '!R967&amp;")","")&amp;IF('Daily Sale entry '!U967="",""," - "&amp;'Daily Sale entry '!U967))</f>
        <v/>
      </c>
      <c r="H967">
        <f>IF(C967="","",COUNTIFS($C$2:$C$3001,C967,$F$2:$F$3001,"&lt;"&amp;F967)+1)</f>
        <v/>
      </c>
      <c r="I967">
        <f>IF(C967="","",C967&amp;"|"&amp;H967)</f>
        <v/>
      </c>
      <c r="J967" s="6">
        <f>IF(C967="","",IF(H967=1,SUMIFS('Opening Balance'!$F$4:$F$303,'Opening Balance'!$G$4:$G$303,C967),INDEX($L$2:$L$3001,MATCH(C967&amp;"|"&amp;(H967-1),$I$2:$I$3001,0))))</f>
        <v/>
      </c>
      <c r="K967" s="6">
        <f>IF(C967="","",IF(M967&gt;0,M967,IF(AND(E967&gt;0,ROUND(J967+D967-E967,2)&gt;0,ROUND(J967+D967-E967,2)&lt;'Opening Balance'!$B$14),ROUND(J967+D967-E967,2),0)))</f>
        <v/>
      </c>
      <c r="L967" s="6">
        <f>IF(C967="","",ROUND(J967+D967-E967-K967,2))</f>
        <v/>
      </c>
      <c r="M967" s="6">
        <f>IF(C967="","",IF('Daily Sale entry '!Q967="Collection 收款",ROUND(N('Daily Sale entry '!T967),2),0))</f>
        <v/>
      </c>
    </row>
    <row r="968">
      <c r="A968" t="inlineStr">
        <is>
          <t>Entry 记录</t>
        </is>
      </c>
      <c r="B968" s="5">
        <f>IF('Daily Sale entry '!P968="","",'Daily Sale entry '!O968)</f>
        <v/>
      </c>
      <c r="C968">
        <f>IF('Daily Sale entry '!P968="","",'Daily Sale entry '!P968)</f>
        <v/>
      </c>
      <c r="D968">
        <f>IF(C968="","",IF('Daily Sale entry '!Q968="Credit Sale 赊销",'Daily Sale entry '!S968,0))</f>
        <v/>
      </c>
      <c r="E968">
        <f>IF(C968="","",IF('Daily Sale entry '!Q968="Collection 收款",'Daily Sale entry '!S968,0))</f>
        <v/>
      </c>
      <c r="F968" s="37">
        <f>IF(C968="","",B968+IF(E968&gt;0,0,0.5)+ROW()/10000000)</f>
        <v/>
      </c>
      <c r="G968">
        <f>IF(C968="","",'Daily Sale entry '!Q968&amp;IF('Daily Sale entry '!Q968="Collection 收款"," ("&amp;'Daily Sale entry '!R968&amp;")","")&amp;IF('Daily Sale entry '!U968="",""," - "&amp;'Daily Sale entry '!U968))</f>
        <v/>
      </c>
      <c r="H968">
        <f>IF(C968="","",COUNTIFS($C$2:$C$3001,C968,$F$2:$F$3001,"&lt;"&amp;F968)+1)</f>
        <v/>
      </c>
      <c r="I968">
        <f>IF(C968="","",C968&amp;"|"&amp;H968)</f>
        <v/>
      </c>
      <c r="J968" s="6">
        <f>IF(C968="","",IF(H968=1,SUMIFS('Opening Balance'!$F$4:$F$303,'Opening Balance'!$G$4:$G$303,C968),INDEX($L$2:$L$3001,MATCH(C968&amp;"|"&amp;(H968-1),$I$2:$I$3001,0))))</f>
        <v/>
      </c>
      <c r="K968" s="6">
        <f>IF(C968="","",IF(M968&gt;0,M968,IF(AND(E968&gt;0,ROUND(J968+D968-E968,2)&gt;0,ROUND(J968+D968-E968,2)&lt;'Opening Balance'!$B$14),ROUND(J968+D968-E968,2),0)))</f>
        <v/>
      </c>
      <c r="L968" s="6">
        <f>IF(C968="","",ROUND(J968+D968-E968-K968,2))</f>
        <v/>
      </c>
      <c r="M968" s="6">
        <f>IF(C968="","",IF('Daily Sale entry '!Q968="Collection 收款",ROUND(N('Daily Sale entry '!T968),2),0))</f>
        <v/>
      </c>
    </row>
    <row r="969">
      <c r="A969" t="inlineStr">
        <is>
          <t>Entry 记录</t>
        </is>
      </c>
      <c r="B969" s="5">
        <f>IF('Daily Sale entry '!P969="","",'Daily Sale entry '!O969)</f>
        <v/>
      </c>
      <c r="C969">
        <f>IF('Daily Sale entry '!P969="","",'Daily Sale entry '!P969)</f>
        <v/>
      </c>
      <c r="D969">
        <f>IF(C969="","",IF('Daily Sale entry '!Q969="Credit Sale 赊销",'Daily Sale entry '!S969,0))</f>
        <v/>
      </c>
      <c r="E969">
        <f>IF(C969="","",IF('Daily Sale entry '!Q969="Collection 收款",'Daily Sale entry '!S969,0))</f>
        <v/>
      </c>
      <c r="F969" s="37">
        <f>IF(C969="","",B969+IF(E969&gt;0,0,0.5)+ROW()/10000000)</f>
        <v/>
      </c>
      <c r="G969">
        <f>IF(C969="","",'Daily Sale entry '!Q969&amp;IF('Daily Sale entry '!Q969="Collection 收款"," ("&amp;'Daily Sale entry '!R969&amp;")","")&amp;IF('Daily Sale entry '!U969="",""," - "&amp;'Daily Sale entry '!U969))</f>
        <v/>
      </c>
      <c r="H969">
        <f>IF(C969="","",COUNTIFS($C$2:$C$3001,C969,$F$2:$F$3001,"&lt;"&amp;F969)+1)</f>
        <v/>
      </c>
      <c r="I969">
        <f>IF(C969="","",C969&amp;"|"&amp;H969)</f>
        <v/>
      </c>
      <c r="J969" s="6">
        <f>IF(C969="","",IF(H969=1,SUMIFS('Opening Balance'!$F$4:$F$303,'Opening Balance'!$G$4:$G$303,C969),INDEX($L$2:$L$3001,MATCH(C969&amp;"|"&amp;(H969-1),$I$2:$I$3001,0))))</f>
        <v/>
      </c>
      <c r="K969" s="6">
        <f>IF(C969="","",IF(M969&gt;0,M969,IF(AND(E969&gt;0,ROUND(J969+D969-E969,2)&gt;0,ROUND(J969+D969-E969,2)&lt;'Opening Balance'!$B$14),ROUND(J969+D969-E969,2),0)))</f>
        <v/>
      </c>
      <c r="L969" s="6">
        <f>IF(C969="","",ROUND(J969+D969-E969-K969,2))</f>
        <v/>
      </c>
      <c r="M969" s="6">
        <f>IF(C969="","",IF('Daily Sale entry '!Q969="Collection 收款",ROUND(N('Daily Sale entry '!T969),2),0))</f>
        <v/>
      </c>
    </row>
    <row r="970">
      <c r="A970" t="inlineStr">
        <is>
          <t>Entry 记录</t>
        </is>
      </c>
      <c r="B970" s="5">
        <f>IF('Daily Sale entry '!P970="","",'Daily Sale entry '!O970)</f>
        <v/>
      </c>
      <c r="C970">
        <f>IF('Daily Sale entry '!P970="","",'Daily Sale entry '!P970)</f>
        <v/>
      </c>
      <c r="D970">
        <f>IF(C970="","",IF('Daily Sale entry '!Q970="Credit Sale 赊销",'Daily Sale entry '!S970,0))</f>
        <v/>
      </c>
      <c r="E970">
        <f>IF(C970="","",IF('Daily Sale entry '!Q970="Collection 收款",'Daily Sale entry '!S970,0))</f>
        <v/>
      </c>
      <c r="F970" s="37">
        <f>IF(C970="","",B970+IF(E970&gt;0,0,0.5)+ROW()/10000000)</f>
        <v/>
      </c>
      <c r="G970">
        <f>IF(C970="","",'Daily Sale entry '!Q970&amp;IF('Daily Sale entry '!Q970="Collection 收款"," ("&amp;'Daily Sale entry '!R970&amp;")","")&amp;IF('Daily Sale entry '!U970="",""," - "&amp;'Daily Sale entry '!U970))</f>
        <v/>
      </c>
      <c r="H970">
        <f>IF(C970="","",COUNTIFS($C$2:$C$3001,C970,$F$2:$F$3001,"&lt;"&amp;F970)+1)</f>
        <v/>
      </c>
      <c r="I970">
        <f>IF(C970="","",C970&amp;"|"&amp;H970)</f>
        <v/>
      </c>
      <c r="J970" s="6">
        <f>IF(C970="","",IF(H970=1,SUMIFS('Opening Balance'!$F$4:$F$303,'Opening Balance'!$G$4:$G$303,C970),INDEX($L$2:$L$3001,MATCH(C970&amp;"|"&amp;(H970-1),$I$2:$I$3001,0))))</f>
        <v/>
      </c>
      <c r="K970" s="6">
        <f>IF(C970="","",IF(M970&gt;0,M970,IF(AND(E970&gt;0,ROUND(J970+D970-E970,2)&gt;0,ROUND(J970+D970-E970,2)&lt;'Opening Balance'!$B$14),ROUND(J970+D970-E970,2),0)))</f>
        <v/>
      </c>
      <c r="L970" s="6">
        <f>IF(C970="","",ROUND(J970+D970-E970-K970,2))</f>
        <v/>
      </c>
      <c r="M970" s="6">
        <f>IF(C970="","",IF('Daily Sale entry '!Q970="Collection 收款",ROUND(N('Daily Sale entry '!T970),2),0))</f>
        <v/>
      </c>
    </row>
    <row r="971">
      <c r="A971" t="inlineStr">
        <is>
          <t>Entry 记录</t>
        </is>
      </c>
      <c r="B971" s="5">
        <f>IF('Daily Sale entry '!P971="","",'Daily Sale entry '!O971)</f>
        <v/>
      </c>
      <c r="C971">
        <f>IF('Daily Sale entry '!P971="","",'Daily Sale entry '!P971)</f>
        <v/>
      </c>
      <c r="D971">
        <f>IF(C971="","",IF('Daily Sale entry '!Q971="Credit Sale 赊销",'Daily Sale entry '!S971,0))</f>
        <v/>
      </c>
      <c r="E971">
        <f>IF(C971="","",IF('Daily Sale entry '!Q971="Collection 收款",'Daily Sale entry '!S971,0))</f>
        <v/>
      </c>
      <c r="F971" s="37">
        <f>IF(C971="","",B971+IF(E971&gt;0,0,0.5)+ROW()/10000000)</f>
        <v/>
      </c>
      <c r="G971">
        <f>IF(C971="","",'Daily Sale entry '!Q971&amp;IF('Daily Sale entry '!Q971="Collection 收款"," ("&amp;'Daily Sale entry '!R971&amp;")","")&amp;IF('Daily Sale entry '!U971="",""," - "&amp;'Daily Sale entry '!U971))</f>
        <v/>
      </c>
      <c r="H971">
        <f>IF(C971="","",COUNTIFS($C$2:$C$3001,C971,$F$2:$F$3001,"&lt;"&amp;F971)+1)</f>
        <v/>
      </c>
      <c r="I971">
        <f>IF(C971="","",C971&amp;"|"&amp;H971)</f>
        <v/>
      </c>
      <c r="J971" s="6">
        <f>IF(C971="","",IF(H971=1,SUMIFS('Opening Balance'!$F$4:$F$303,'Opening Balance'!$G$4:$G$303,C971),INDEX($L$2:$L$3001,MATCH(C971&amp;"|"&amp;(H971-1),$I$2:$I$3001,0))))</f>
        <v/>
      </c>
      <c r="K971" s="6">
        <f>IF(C971="","",IF(M971&gt;0,M971,IF(AND(E971&gt;0,ROUND(J971+D971-E971,2)&gt;0,ROUND(J971+D971-E971,2)&lt;'Opening Balance'!$B$14),ROUND(J971+D971-E971,2),0)))</f>
        <v/>
      </c>
      <c r="L971" s="6">
        <f>IF(C971="","",ROUND(J971+D971-E971-K971,2))</f>
        <v/>
      </c>
      <c r="M971" s="6">
        <f>IF(C971="","",IF('Daily Sale entry '!Q971="Collection 收款",ROUND(N('Daily Sale entry '!T971),2),0))</f>
        <v/>
      </c>
    </row>
    <row r="972">
      <c r="A972" t="inlineStr">
        <is>
          <t>Entry 记录</t>
        </is>
      </c>
      <c r="B972" s="5">
        <f>IF('Daily Sale entry '!P972="","",'Daily Sale entry '!O972)</f>
        <v/>
      </c>
      <c r="C972">
        <f>IF('Daily Sale entry '!P972="","",'Daily Sale entry '!P972)</f>
        <v/>
      </c>
      <c r="D972">
        <f>IF(C972="","",IF('Daily Sale entry '!Q972="Credit Sale 赊销",'Daily Sale entry '!S972,0))</f>
        <v/>
      </c>
      <c r="E972">
        <f>IF(C972="","",IF('Daily Sale entry '!Q972="Collection 收款",'Daily Sale entry '!S972,0))</f>
        <v/>
      </c>
      <c r="F972" s="37">
        <f>IF(C972="","",B972+IF(E972&gt;0,0,0.5)+ROW()/10000000)</f>
        <v/>
      </c>
      <c r="G972">
        <f>IF(C972="","",'Daily Sale entry '!Q972&amp;IF('Daily Sale entry '!Q972="Collection 收款"," ("&amp;'Daily Sale entry '!R972&amp;")","")&amp;IF('Daily Sale entry '!U972="",""," - "&amp;'Daily Sale entry '!U972))</f>
        <v/>
      </c>
      <c r="H972">
        <f>IF(C972="","",COUNTIFS($C$2:$C$3001,C972,$F$2:$F$3001,"&lt;"&amp;F972)+1)</f>
        <v/>
      </c>
      <c r="I972">
        <f>IF(C972="","",C972&amp;"|"&amp;H972)</f>
        <v/>
      </c>
      <c r="J972" s="6">
        <f>IF(C972="","",IF(H972=1,SUMIFS('Opening Balance'!$F$4:$F$303,'Opening Balance'!$G$4:$G$303,C972),INDEX($L$2:$L$3001,MATCH(C972&amp;"|"&amp;(H972-1),$I$2:$I$3001,0))))</f>
        <v/>
      </c>
      <c r="K972" s="6">
        <f>IF(C972="","",IF(M972&gt;0,M972,IF(AND(E972&gt;0,ROUND(J972+D972-E972,2)&gt;0,ROUND(J972+D972-E972,2)&lt;'Opening Balance'!$B$14),ROUND(J972+D972-E972,2),0)))</f>
        <v/>
      </c>
      <c r="L972" s="6">
        <f>IF(C972="","",ROUND(J972+D972-E972-K972,2))</f>
        <v/>
      </c>
      <c r="M972" s="6">
        <f>IF(C972="","",IF('Daily Sale entry '!Q972="Collection 收款",ROUND(N('Daily Sale entry '!T972),2),0))</f>
        <v/>
      </c>
    </row>
    <row r="973">
      <c r="A973" t="inlineStr">
        <is>
          <t>Entry 记录</t>
        </is>
      </c>
      <c r="B973" s="5">
        <f>IF('Daily Sale entry '!P973="","",'Daily Sale entry '!O973)</f>
        <v/>
      </c>
      <c r="C973">
        <f>IF('Daily Sale entry '!P973="","",'Daily Sale entry '!P973)</f>
        <v/>
      </c>
      <c r="D973">
        <f>IF(C973="","",IF('Daily Sale entry '!Q973="Credit Sale 赊销",'Daily Sale entry '!S973,0))</f>
        <v/>
      </c>
      <c r="E973">
        <f>IF(C973="","",IF('Daily Sale entry '!Q973="Collection 收款",'Daily Sale entry '!S973,0))</f>
        <v/>
      </c>
      <c r="F973" s="37">
        <f>IF(C973="","",B973+IF(E973&gt;0,0,0.5)+ROW()/10000000)</f>
        <v/>
      </c>
      <c r="G973">
        <f>IF(C973="","",'Daily Sale entry '!Q973&amp;IF('Daily Sale entry '!Q973="Collection 收款"," ("&amp;'Daily Sale entry '!R973&amp;")","")&amp;IF('Daily Sale entry '!U973="",""," - "&amp;'Daily Sale entry '!U973))</f>
        <v/>
      </c>
      <c r="H973">
        <f>IF(C973="","",COUNTIFS($C$2:$C$3001,C973,$F$2:$F$3001,"&lt;"&amp;F973)+1)</f>
        <v/>
      </c>
      <c r="I973">
        <f>IF(C973="","",C973&amp;"|"&amp;H973)</f>
        <v/>
      </c>
      <c r="J973" s="6">
        <f>IF(C973="","",IF(H973=1,SUMIFS('Opening Balance'!$F$4:$F$303,'Opening Balance'!$G$4:$G$303,C973),INDEX($L$2:$L$3001,MATCH(C973&amp;"|"&amp;(H973-1),$I$2:$I$3001,0))))</f>
        <v/>
      </c>
      <c r="K973" s="6">
        <f>IF(C973="","",IF(M973&gt;0,M973,IF(AND(E973&gt;0,ROUND(J973+D973-E973,2)&gt;0,ROUND(J973+D973-E973,2)&lt;'Opening Balance'!$B$14),ROUND(J973+D973-E973,2),0)))</f>
        <v/>
      </c>
      <c r="L973" s="6">
        <f>IF(C973="","",ROUND(J973+D973-E973-K973,2))</f>
        <v/>
      </c>
      <c r="M973" s="6">
        <f>IF(C973="","",IF('Daily Sale entry '!Q973="Collection 收款",ROUND(N('Daily Sale entry '!T973),2),0))</f>
        <v/>
      </c>
    </row>
    <row r="974">
      <c r="A974" t="inlineStr">
        <is>
          <t>Entry 记录</t>
        </is>
      </c>
      <c r="B974" s="5">
        <f>IF('Daily Sale entry '!P974="","",'Daily Sale entry '!O974)</f>
        <v/>
      </c>
      <c r="C974">
        <f>IF('Daily Sale entry '!P974="","",'Daily Sale entry '!P974)</f>
        <v/>
      </c>
      <c r="D974">
        <f>IF(C974="","",IF('Daily Sale entry '!Q974="Credit Sale 赊销",'Daily Sale entry '!S974,0))</f>
        <v/>
      </c>
      <c r="E974">
        <f>IF(C974="","",IF('Daily Sale entry '!Q974="Collection 收款",'Daily Sale entry '!S974,0))</f>
        <v/>
      </c>
      <c r="F974" s="37">
        <f>IF(C974="","",B974+IF(E974&gt;0,0,0.5)+ROW()/10000000)</f>
        <v/>
      </c>
      <c r="G974">
        <f>IF(C974="","",'Daily Sale entry '!Q974&amp;IF('Daily Sale entry '!Q974="Collection 收款"," ("&amp;'Daily Sale entry '!R974&amp;")","")&amp;IF('Daily Sale entry '!U974="",""," - "&amp;'Daily Sale entry '!U974))</f>
        <v/>
      </c>
      <c r="H974">
        <f>IF(C974="","",COUNTIFS($C$2:$C$3001,C974,$F$2:$F$3001,"&lt;"&amp;F974)+1)</f>
        <v/>
      </c>
      <c r="I974">
        <f>IF(C974="","",C974&amp;"|"&amp;H974)</f>
        <v/>
      </c>
      <c r="J974" s="6">
        <f>IF(C974="","",IF(H974=1,SUMIFS('Opening Balance'!$F$4:$F$303,'Opening Balance'!$G$4:$G$303,C974),INDEX($L$2:$L$3001,MATCH(C974&amp;"|"&amp;(H974-1),$I$2:$I$3001,0))))</f>
        <v/>
      </c>
      <c r="K974" s="6">
        <f>IF(C974="","",IF(M974&gt;0,M974,IF(AND(E974&gt;0,ROUND(J974+D974-E974,2)&gt;0,ROUND(J974+D974-E974,2)&lt;'Opening Balance'!$B$14),ROUND(J974+D974-E974,2),0)))</f>
        <v/>
      </c>
      <c r="L974" s="6">
        <f>IF(C974="","",ROUND(J974+D974-E974-K974,2))</f>
        <v/>
      </c>
      <c r="M974" s="6">
        <f>IF(C974="","",IF('Daily Sale entry '!Q974="Collection 收款",ROUND(N('Daily Sale entry '!T974),2),0))</f>
        <v/>
      </c>
    </row>
    <row r="975">
      <c r="A975" t="inlineStr">
        <is>
          <t>Entry 记录</t>
        </is>
      </c>
      <c r="B975" s="5">
        <f>IF('Daily Sale entry '!P975="","",'Daily Sale entry '!O975)</f>
        <v/>
      </c>
      <c r="C975">
        <f>IF('Daily Sale entry '!P975="","",'Daily Sale entry '!P975)</f>
        <v/>
      </c>
      <c r="D975">
        <f>IF(C975="","",IF('Daily Sale entry '!Q975="Credit Sale 赊销",'Daily Sale entry '!S975,0))</f>
        <v/>
      </c>
      <c r="E975">
        <f>IF(C975="","",IF('Daily Sale entry '!Q975="Collection 收款",'Daily Sale entry '!S975,0))</f>
        <v/>
      </c>
      <c r="F975" s="37">
        <f>IF(C975="","",B975+IF(E975&gt;0,0,0.5)+ROW()/10000000)</f>
        <v/>
      </c>
      <c r="G975">
        <f>IF(C975="","",'Daily Sale entry '!Q975&amp;IF('Daily Sale entry '!Q975="Collection 收款"," ("&amp;'Daily Sale entry '!R975&amp;")","")&amp;IF('Daily Sale entry '!U975="",""," - "&amp;'Daily Sale entry '!U975))</f>
        <v/>
      </c>
      <c r="H975">
        <f>IF(C975="","",COUNTIFS($C$2:$C$3001,C975,$F$2:$F$3001,"&lt;"&amp;F975)+1)</f>
        <v/>
      </c>
      <c r="I975">
        <f>IF(C975="","",C975&amp;"|"&amp;H975)</f>
        <v/>
      </c>
      <c r="J975" s="6">
        <f>IF(C975="","",IF(H975=1,SUMIFS('Opening Balance'!$F$4:$F$303,'Opening Balance'!$G$4:$G$303,C975),INDEX($L$2:$L$3001,MATCH(C975&amp;"|"&amp;(H975-1),$I$2:$I$3001,0))))</f>
        <v/>
      </c>
      <c r="K975" s="6">
        <f>IF(C975="","",IF(M975&gt;0,M975,IF(AND(E975&gt;0,ROUND(J975+D975-E975,2)&gt;0,ROUND(J975+D975-E975,2)&lt;'Opening Balance'!$B$14),ROUND(J975+D975-E975,2),0)))</f>
        <v/>
      </c>
      <c r="L975" s="6">
        <f>IF(C975="","",ROUND(J975+D975-E975-K975,2))</f>
        <v/>
      </c>
      <c r="M975" s="6">
        <f>IF(C975="","",IF('Daily Sale entry '!Q975="Collection 收款",ROUND(N('Daily Sale entry '!T975),2),0))</f>
        <v/>
      </c>
    </row>
    <row r="976">
      <c r="A976" t="inlineStr">
        <is>
          <t>Entry 记录</t>
        </is>
      </c>
      <c r="B976" s="5">
        <f>IF('Daily Sale entry '!P976="","",'Daily Sale entry '!O976)</f>
        <v/>
      </c>
      <c r="C976">
        <f>IF('Daily Sale entry '!P976="","",'Daily Sale entry '!P976)</f>
        <v/>
      </c>
      <c r="D976">
        <f>IF(C976="","",IF('Daily Sale entry '!Q976="Credit Sale 赊销",'Daily Sale entry '!S976,0))</f>
        <v/>
      </c>
      <c r="E976">
        <f>IF(C976="","",IF('Daily Sale entry '!Q976="Collection 收款",'Daily Sale entry '!S976,0))</f>
        <v/>
      </c>
      <c r="F976" s="37">
        <f>IF(C976="","",B976+IF(E976&gt;0,0,0.5)+ROW()/10000000)</f>
        <v/>
      </c>
      <c r="G976">
        <f>IF(C976="","",'Daily Sale entry '!Q976&amp;IF('Daily Sale entry '!Q976="Collection 收款"," ("&amp;'Daily Sale entry '!R976&amp;")","")&amp;IF('Daily Sale entry '!U976="",""," - "&amp;'Daily Sale entry '!U976))</f>
        <v/>
      </c>
      <c r="H976">
        <f>IF(C976="","",COUNTIFS($C$2:$C$3001,C976,$F$2:$F$3001,"&lt;"&amp;F976)+1)</f>
        <v/>
      </c>
      <c r="I976">
        <f>IF(C976="","",C976&amp;"|"&amp;H976)</f>
        <v/>
      </c>
      <c r="J976" s="6">
        <f>IF(C976="","",IF(H976=1,SUMIFS('Opening Balance'!$F$4:$F$303,'Opening Balance'!$G$4:$G$303,C976),INDEX($L$2:$L$3001,MATCH(C976&amp;"|"&amp;(H976-1),$I$2:$I$3001,0))))</f>
        <v/>
      </c>
      <c r="K976" s="6">
        <f>IF(C976="","",IF(M976&gt;0,M976,IF(AND(E976&gt;0,ROUND(J976+D976-E976,2)&gt;0,ROUND(J976+D976-E976,2)&lt;'Opening Balance'!$B$14),ROUND(J976+D976-E976,2),0)))</f>
        <v/>
      </c>
      <c r="L976" s="6">
        <f>IF(C976="","",ROUND(J976+D976-E976-K976,2))</f>
        <v/>
      </c>
      <c r="M976" s="6">
        <f>IF(C976="","",IF('Daily Sale entry '!Q976="Collection 收款",ROUND(N('Daily Sale entry '!T976),2),0))</f>
        <v/>
      </c>
    </row>
    <row r="977">
      <c r="A977" t="inlineStr">
        <is>
          <t>Entry 记录</t>
        </is>
      </c>
      <c r="B977" s="5">
        <f>IF('Daily Sale entry '!P977="","",'Daily Sale entry '!O977)</f>
        <v/>
      </c>
      <c r="C977">
        <f>IF('Daily Sale entry '!P977="","",'Daily Sale entry '!P977)</f>
        <v/>
      </c>
      <c r="D977">
        <f>IF(C977="","",IF('Daily Sale entry '!Q977="Credit Sale 赊销",'Daily Sale entry '!S977,0))</f>
        <v/>
      </c>
      <c r="E977">
        <f>IF(C977="","",IF('Daily Sale entry '!Q977="Collection 收款",'Daily Sale entry '!S977,0))</f>
        <v/>
      </c>
      <c r="F977" s="37">
        <f>IF(C977="","",B977+IF(E977&gt;0,0,0.5)+ROW()/10000000)</f>
        <v/>
      </c>
      <c r="G977">
        <f>IF(C977="","",'Daily Sale entry '!Q977&amp;IF('Daily Sale entry '!Q977="Collection 收款"," ("&amp;'Daily Sale entry '!R977&amp;")","")&amp;IF('Daily Sale entry '!U977="",""," - "&amp;'Daily Sale entry '!U977))</f>
        <v/>
      </c>
      <c r="H977">
        <f>IF(C977="","",COUNTIFS($C$2:$C$3001,C977,$F$2:$F$3001,"&lt;"&amp;F977)+1)</f>
        <v/>
      </c>
      <c r="I977">
        <f>IF(C977="","",C977&amp;"|"&amp;H977)</f>
        <v/>
      </c>
      <c r="J977" s="6">
        <f>IF(C977="","",IF(H977=1,SUMIFS('Opening Balance'!$F$4:$F$303,'Opening Balance'!$G$4:$G$303,C977),INDEX($L$2:$L$3001,MATCH(C977&amp;"|"&amp;(H977-1),$I$2:$I$3001,0))))</f>
        <v/>
      </c>
      <c r="K977" s="6">
        <f>IF(C977="","",IF(M977&gt;0,M977,IF(AND(E977&gt;0,ROUND(J977+D977-E977,2)&gt;0,ROUND(J977+D977-E977,2)&lt;'Opening Balance'!$B$14),ROUND(J977+D977-E977,2),0)))</f>
        <v/>
      </c>
      <c r="L977" s="6">
        <f>IF(C977="","",ROUND(J977+D977-E977-K977,2))</f>
        <v/>
      </c>
      <c r="M977" s="6">
        <f>IF(C977="","",IF('Daily Sale entry '!Q977="Collection 收款",ROUND(N('Daily Sale entry '!T977),2),0))</f>
        <v/>
      </c>
    </row>
    <row r="978">
      <c r="A978" t="inlineStr">
        <is>
          <t>Entry 记录</t>
        </is>
      </c>
      <c r="B978" s="5">
        <f>IF('Daily Sale entry '!P978="","",'Daily Sale entry '!O978)</f>
        <v/>
      </c>
      <c r="C978">
        <f>IF('Daily Sale entry '!P978="","",'Daily Sale entry '!P978)</f>
        <v/>
      </c>
      <c r="D978">
        <f>IF(C978="","",IF('Daily Sale entry '!Q978="Credit Sale 赊销",'Daily Sale entry '!S978,0))</f>
        <v/>
      </c>
      <c r="E978">
        <f>IF(C978="","",IF('Daily Sale entry '!Q978="Collection 收款",'Daily Sale entry '!S978,0))</f>
        <v/>
      </c>
      <c r="F978" s="37">
        <f>IF(C978="","",B978+IF(E978&gt;0,0,0.5)+ROW()/10000000)</f>
        <v/>
      </c>
      <c r="G978">
        <f>IF(C978="","",'Daily Sale entry '!Q978&amp;IF('Daily Sale entry '!Q978="Collection 收款"," ("&amp;'Daily Sale entry '!R978&amp;")","")&amp;IF('Daily Sale entry '!U978="",""," - "&amp;'Daily Sale entry '!U978))</f>
        <v/>
      </c>
      <c r="H978">
        <f>IF(C978="","",COUNTIFS($C$2:$C$3001,C978,$F$2:$F$3001,"&lt;"&amp;F978)+1)</f>
        <v/>
      </c>
      <c r="I978">
        <f>IF(C978="","",C978&amp;"|"&amp;H978)</f>
        <v/>
      </c>
      <c r="J978" s="6">
        <f>IF(C978="","",IF(H978=1,SUMIFS('Opening Balance'!$F$4:$F$303,'Opening Balance'!$G$4:$G$303,C978),INDEX($L$2:$L$3001,MATCH(C978&amp;"|"&amp;(H978-1),$I$2:$I$3001,0))))</f>
        <v/>
      </c>
      <c r="K978" s="6">
        <f>IF(C978="","",IF(M978&gt;0,M978,IF(AND(E978&gt;0,ROUND(J978+D978-E978,2)&gt;0,ROUND(J978+D978-E978,2)&lt;'Opening Balance'!$B$14),ROUND(J978+D978-E978,2),0)))</f>
        <v/>
      </c>
      <c r="L978" s="6">
        <f>IF(C978="","",ROUND(J978+D978-E978-K978,2))</f>
        <v/>
      </c>
      <c r="M978" s="6">
        <f>IF(C978="","",IF('Daily Sale entry '!Q978="Collection 收款",ROUND(N('Daily Sale entry '!T978),2),0))</f>
        <v/>
      </c>
    </row>
    <row r="979">
      <c r="A979" t="inlineStr">
        <is>
          <t>Entry 记录</t>
        </is>
      </c>
      <c r="B979" s="5">
        <f>IF('Daily Sale entry '!P979="","",'Daily Sale entry '!O979)</f>
        <v/>
      </c>
      <c r="C979">
        <f>IF('Daily Sale entry '!P979="","",'Daily Sale entry '!P979)</f>
        <v/>
      </c>
      <c r="D979">
        <f>IF(C979="","",IF('Daily Sale entry '!Q979="Credit Sale 赊销",'Daily Sale entry '!S979,0))</f>
        <v/>
      </c>
      <c r="E979">
        <f>IF(C979="","",IF('Daily Sale entry '!Q979="Collection 收款",'Daily Sale entry '!S979,0))</f>
        <v/>
      </c>
      <c r="F979" s="37">
        <f>IF(C979="","",B979+IF(E979&gt;0,0,0.5)+ROW()/10000000)</f>
        <v/>
      </c>
      <c r="G979">
        <f>IF(C979="","",'Daily Sale entry '!Q979&amp;IF('Daily Sale entry '!Q979="Collection 收款"," ("&amp;'Daily Sale entry '!R979&amp;")","")&amp;IF('Daily Sale entry '!U979="",""," - "&amp;'Daily Sale entry '!U979))</f>
        <v/>
      </c>
      <c r="H979">
        <f>IF(C979="","",COUNTIFS($C$2:$C$3001,C979,$F$2:$F$3001,"&lt;"&amp;F979)+1)</f>
        <v/>
      </c>
      <c r="I979">
        <f>IF(C979="","",C979&amp;"|"&amp;H979)</f>
        <v/>
      </c>
      <c r="J979" s="6">
        <f>IF(C979="","",IF(H979=1,SUMIFS('Opening Balance'!$F$4:$F$303,'Opening Balance'!$G$4:$G$303,C979),INDEX($L$2:$L$3001,MATCH(C979&amp;"|"&amp;(H979-1),$I$2:$I$3001,0))))</f>
        <v/>
      </c>
      <c r="K979" s="6">
        <f>IF(C979="","",IF(M979&gt;0,M979,IF(AND(E979&gt;0,ROUND(J979+D979-E979,2)&gt;0,ROUND(J979+D979-E979,2)&lt;'Opening Balance'!$B$14),ROUND(J979+D979-E979,2),0)))</f>
        <v/>
      </c>
      <c r="L979" s="6">
        <f>IF(C979="","",ROUND(J979+D979-E979-K979,2))</f>
        <v/>
      </c>
      <c r="M979" s="6">
        <f>IF(C979="","",IF('Daily Sale entry '!Q979="Collection 收款",ROUND(N('Daily Sale entry '!T979),2),0))</f>
        <v/>
      </c>
    </row>
    <row r="980">
      <c r="A980" t="inlineStr">
        <is>
          <t>Entry 记录</t>
        </is>
      </c>
      <c r="B980" s="5">
        <f>IF('Daily Sale entry '!P980="","",'Daily Sale entry '!O980)</f>
        <v/>
      </c>
      <c r="C980">
        <f>IF('Daily Sale entry '!P980="","",'Daily Sale entry '!P980)</f>
        <v/>
      </c>
      <c r="D980">
        <f>IF(C980="","",IF('Daily Sale entry '!Q980="Credit Sale 赊销",'Daily Sale entry '!S980,0))</f>
        <v/>
      </c>
      <c r="E980">
        <f>IF(C980="","",IF('Daily Sale entry '!Q980="Collection 收款",'Daily Sale entry '!S980,0))</f>
        <v/>
      </c>
      <c r="F980" s="37">
        <f>IF(C980="","",B980+IF(E980&gt;0,0,0.5)+ROW()/10000000)</f>
        <v/>
      </c>
      <c r="G980">
        <f>IF(C980="","",'Daily Sale entry '!Q980&amp;IF('Daily Sale entry '!Q980="Collection 收款"," ("&amp;'Daily Sale entry '!R980&amp;")","")&amp;IF('Daily Sale entry '!U980="",""," - "&amp;'Daily Sale entry '!U980))</f>
        <v/>
      </c>
      <c r="H980">
        <f>IF(C980="","",COUNTIFS($C$2:$C$3001,C980,$F$2:$F$3001,"&lt;"&amp;F980)+1)</f>
        <v/>
      </c>
      <c r="I980">
        <f>IF(C980="","",C980&amp;"|"&amp;H980)</f>
        <v/>
      </c>
      <c r="J980" s="6">
        <f>IF(C980="","",IF(H980=1,SUMIFS('Opening Balance'!$F$4:$F$303,'Opening Balance'!$G$4:$G$303,C980),INDEX($L$2:$L$3001,MATCH(C980&amp;"|"&amp;(H980-1),$I$2:$I$3001,0))))</f>
        <v/>
      </c>
      <c r="K980" s="6">
        <f>IF(C980="","",IF(M980&gt;0,M980,IF(AND(E980&gt;0,ROUND(J980+D980-E980,2)&gt;0,ROUND(J980+D980-E980,2)&lt;'Opening Balance'!$B$14),ROUND(J980+D980-E980,2),0)))</f>
        <v/>
      </c>
      <c r="L980" s="6">
        <f>IF(C980="","",ROUND(J980+D980-E980-K980,2))</f>
        <v/>
      </c>
      <c r="M980" s="6">
        <f>IF(C980="","",IF('Daily Sale entry '!Q980="Collection 收款",ROUND(N('Daily Sale entry '!T980),2),0))</f>
        <v/>
      </c>
    </row>
    <row r="981">
      <c r="A981" t="inlineStr">
        <is>
          <t>Entry 记录</t>
        </is>
      </c>
      <c r="B981" s="5">
        <f>IF('Daily Sale entry '!P981="","",'Daily Sale entry '!O981)</f>
        <v/>
      </c>
      <c r="C981">
        <f>IF('Daily Sale entry '!P981="","",'Daily Sale entry '!P981)</f>
        <v/>
      </c>
      <c r="D981">
        <f>IF(C981="","",IF('Daily Sale entry '!Q981="Credit Sale 赊销",'Daily Sale entry '!S981,0))</f>
        <v/>
      </c>
      <c r="E981">
        <f>IF(C981="","",IF('Daily Sale entry '!Q981="Collection 收款",'Daily Sale entry '!S981,0))</f>
        <v/>
      </c>
      <c r="F981" s="37">
        <f>IF(C981="","",B981+IF(E981&gt;0,0,0.5)+ROW()/10000000)</f>
        <v/>
      </c>
      <c r="G981">
        <f>IF(C981="","",'Daily Sale entry '!Q981&amp;IF('Daily Sale entry '!Q981="Collection 收款"," ("&amp;'Daily Sale entry '!R981&amp;")","")&amp;IF('Daily Sale entry '!U981="",""," - "&amp;'Daily Sale entry '!U981))</f>
        <v/>
      </c>
      <c r="H981">
        <f>IF(C981="","",COUNTIFS($C$2:$C$3001,C981,$F$2:$F$3001,"&lt;"&amp;F981)+1)</f>
        <v/>
      </c>
      <c r="I981">
        <f>IF(C981="","",C981&amp;"|"&amp;H981)</f>
        <v/>
      </c>
      <c r="J981" s="6">
        <f>IF(C981="","",IF(H981=1,SUMIFS('Opening Balance'!$F$4:$F$303,'Opening Balance'!$G$4:$G$303,C981),INDEX($L$2:$L$3001,MATCH(C981&amp;"|"&amp;(H981-1),$I$2:$I$3001,0))))</f>
        <v/>
      </c>
      <c r="K981" s="6">
        <f>IF(C981="","",IF(M981&gt;0,M981,IF(AND(E981&gt;0,ROUND(J981+D981-E981,2)&gt;0,ROUND(J981+D981-E981,2)&lt;'Opening Balance'!$B$14),ROUND(J981+D981-E981,2),0)))</f>
        <v/>
      </c>
      <c r="L981" s="6">
        <f>IF(C981="","",ROUND(J981+D981-E981-K981,2))</f>
        <v/>
      </c>
      <c r="M981" s="6">
        <f>IF(C981="","",IF('Daily Sale entry '!Q981="Collection 收款",ROUND(N('Daily Sale entry '!T981),2),0))</f>
        <v/>
      </c>
    </row>
    <row r="982">
      <c r="A982" t="inlineStr">
        <is>
          <t>Entry 记录</t>
        </is>
      </c>
      <c r="B982" s="5">
        <f>IF('Daily Sale entry '!P982="","",'Daily Sale entry '!O982)</f>
        <v/>
      </c>
      <c r="C982">
        <f>IF('Daily Sale entry '!P982="","",'Daily Sale entry '!P982)</f>
        <v/>
      </c>
      <c r="D982">
        <f>IF(C982="","",IF('Daily Sale entry '!Q982="Credit Sale 赊销",'Daily Sale entry '!S982,0))</f>
        <v/>
      </c>
      <c r="E982">
        <f>IF(C982="","",IF('Daily Sale entry '!Q982="Collection 收款",'Daily Sale entry '!S982,0))</f>
        <v/>
      </c>
      <c r="F982" s="37">
        <f>IF(C982="","",B982+IF(E982&gt;0,0,0.5)+ROW()/10000000)</f>
        <v/>
      </c>
      <c r="G982">
        <f>IF(C982="","",'Daily Sale entry '!Q982&amp;IF('Daily Sale entry '!Q982="Collection 收款"," ("&amp;'Daily Sale entry '!R982&amp;")","")&amp;IF('Daily Sale entry '!U982="",""," - "&amp;'Daily Sale entry '!U982))</f>
        <v/>
      </c>
      <c r="H982">
        <f>IF(C982="","",COUNTIFS($C$2:$C$3001,C982,$F$2:$F$3001,"&lt;"&amp;F982)+1)</f>
        <v/>
      </c>
      <c r="I982">
        <f>IF(C982="","",C982&amp;"|"&amp;H982)</f>
        <v/>
      </c>
      <c r="J982" s="6">
        <f>IF(C982="","",IF(H982=1,SUMIFS('Opening Balance'!$F$4:$F$303,'Opening Balance'!$G$4:$G$303,C982),INDEX($L$2:$L$3001,MATCH(C982&amp;"|"&amp;(H982-1),$I$2:$I$3001,0))))</f>
        <v/>
      </c>
      <c r="K982" s="6">
        <f>IF(C982="","",IF(M982&gt;0,M982,IF(AND(E982&gt;0,ROUND(J982+D982-E982,2)&gt;0,ROUND(J982+D982-E982,2)&lt;'Opening Balance'!$B$14),ROUND(J982+D982-E982,2),0)))</f>
        <v/>
      </c>
      <c r="L982" s="6">
        <f>IF(C982="","",ROUND(J982+D982-E982-K982,2))</f>
        <v/>
      </c>
      <c r="M982" s="6">
        <f>IF(C982="","",IF('Daily Sale entry '!Q982="Collection 收款",ROUND(N('Daily Sale entry '!T982),2),0))</f>
        <v/>
      </c>
    </row>
    <row r="983">
      <c r="A983" t="inlineStr">
        <is>
          <t>Entry 记录</t>
        </is>
      </c>
      <c r="B983" s="5">
        <f>IF('Daily Sale entry '!P983="","",'Daily Sale entry '!O983)</f>
        <v/>
      </c>
      <c r="C983">
        <f>IF('Daily Sale entry '!P983="","",'Daily Sale entry '!P983)</f>
        <v/>
      </c>
      <c r="D983">
        <f>IF(C983="","",IF('Daily Sale entry '!Q983="Credit Sale 赊销",'Daily Sale entry '!S983,0))</f>
        <v/>
      </c>
      <c r="E983">
        <f>IF(C983="","",IF('Daily Sale entry '!Q983="Collection 收款",'Daily Sale entry '!S983,0))</f>
        <v/>
      </c>
      <c r="F983" s="37">
        <f>IF(C983="","",B983+IF(E983&gt;0,0,0.5)+ROW()/10000000)</f>
        <v/>
      </c>
      <c r="G983">
        <f>IF(C983="","",'Daily Sale entry '!Q983&amp;IF('Daily Sale entry '!Q983="Collection 收款"," ("&amp;'Daily Sale entry '!R983&amp;")","")&amp;IF('Daily Sale entry '!U983="",""," - "&amp;'Daily Sale entry '!U983))</f>
        <v/>
      </c>
      <c r="H983">
        <f>IF(C983="","",COUNTIFS($C$2:$C$3001,C983,$F$2:$F$3001,"&lt;"&amp;F983)+1)</f>
        <v/>
      </c>
      <c r="I983">
        <f>IF(C983="","",C983&amp;"|"&amp;H983)</f>
        <v/>
      </c>
      <c r="J983" s="6">
        <f>IF(C983="","",IF(H983=1,SUMIFS('Opening Balance'!$F$4:$F$303,'Opening Balance'!$G$4:$G$303,C983),INDEX($L$2:$L$3001,MATCH(C983&amp;"|"&amp;(H983-1),$I$2:$I$3001,0))))</f>
        <v/>
      </c>
      <c r="K983" s="6">
        <f>IF(C983="","",IF(M983&gt;0,M983,IF(AND(E983&gt;0,ROUND(J983+D983-E983,2)&gt;0,ROUND(J983+D983-E983,2)&lt;'Opening Balance'!$B$14),ROUND(J983+D983-E983,2),0)))</f>
        <v/>
      </c>
      <c r="L983" s="6">
        <f>IF(C983="","",ROUND(J983+D983-E983-K983,2))</f>
        <v/>
      </c>
      <c r="M983" s="6">
        <f>IF(C983="","",IF('Daily Sale entry '!Q983="Collection 收款",ROUND(N('Daily Sale entry '!T983),2),0))</f>
        <v/>
      </c>
    </row>
    <row r="984">
      <c r="A984" t="inlineStr">
        <is>
          <t>Entry 记录</t>
        </is>
      </c>
      <c r="B984" s="5">
        <f>IF('Daily Sale entry '!P984="","",'Daily Sale entry '!O984)</f>
        <v/>
      </c>
      <c r="C984">
        <f>IF('Daily Sale entry '!P984="","",'Daily Sale entry '!P984)</f>
        <v/>
      </c>
      <c r="D984">
        <f>IF(C984="","",IF('Daily Sale entry '!Q984="Credit Sale 赊销",'Daily Sale entry '!S984,0))</f>
        <v/>
      </c>
      <c r="E984">
        <f>IF(C984="","",IF('Daily Sale entry '!Q984="Collection 收款",'Daily Sale entry '!S984,0))</f>
        <v/>
      </c>
      <c r="F984" s="37">
        <f>IF(C984="","",B984+IF(E984&gt;0,0,0.5)+ROW()/10000000)</f>
        <v/>
      </c>
      <c r="G984">
        <f>IF(C984="","",'Daily Sale entry '!Q984&amp;IF('Daily Sale entry '!Q984="Collection 收款"," ("&amp;'Daily Sale entry '!R984&amp;")","")&amp;IF('Daily Sale entry '!U984="",""," - "&amp;'Daily Sale entry '!U984))</f>
        <v/>
      </c>
      <c r="H984">
        <f>IF(C984="","",COUNTIFS($C$2:$C$3001,C984,$F$2:$F$3001,"&lt;"&amp;F984)+1)</f>
        <v/>
      </c>
      <c r="I984">
        <f>IF(C984="","",C984&amp;"|"&amp;H984)</f>
        <v/>
      </c>
      <c r="J984" s="6">
        <f>IF(C984="","",IF(H984=1,SUMIFS('Opening Balance'!$F$4:$F$303,'Opening Balance'!$G$4:$G$303,C984),INDEX($L$2:$L$3001,MATCH(C984&amp;"|"&amp;(H984-1),$I$2:$I$3001,0))))</f>
        <v/>
      </c>
      <c r="K984" s="6">
        <f>IF(C984="","",IF(M984&gt;0,M984,IF(AND(E984&gt;0,ROUND(J984+D984-E984,2)&gt;0,ROUND(J984+D984-E984,2)&lt;'Opening Balance'!$B$14),ROUND(J984+D984-E984,2),0)))</f>
        <v/>
      </c>
      <c r="L984" s="6">
        <f>IF(C984="","",ROUND(J984+D984-E984-K984,2))</f>
        <v/>
      </c>
      <c r="M984" s="6">
        <f>IF(C984="","",IF('Daily Sale entry '!Q984="Collection 收款",ROUND(N('Daily Sale entry '!T984),2),0))</f>
        <v/>
      </c>
    </row>
    <row r="985">
      <c r="A985" t="inlineStr">
        <is>
          <t>Entry 记录</t>
        </is>
      </c>
      <c r="B985" s="5">
        <f>IF('Daily Sale entry '!P985="","",'Daily Sale entry '!O985)</f>
        <v/>
      </c>
      <c r="C985">
        <f>IF('Daily Sale entry '!P985="","",'Daily Sale entry '!P985)</f>
        <v/>
      </c>
      <c r="D985">
        <f>IF(C985="","",IF('Daily Sale entry '!Q985="Credit Sale 赊销",'Daily Sale entry '!S985,0))</f>
        <v/>
      </c>
      <c r="E985">
        <f>IF(C985="","",IF('Daily Sale entry '!Q985="Collection 收款",'Daily Sale entry '!S985,0))</f>
        <v/>
      </c>
      <c r="F985" s="37">
        <f>IF(C985="","",B985+IF(E985&gt;0,0,0.5)+ROW()/10000000)</f>
        <v/>
      </c>
      <c r="G985">
        <f>IF(C985="","",'Daily Sale entry '!Q985&amp;IF('Daily Sale entry '!Q985="Collection 收款"," ("&amp;'Daily Sale entry '!R985&amp;")","")&amp;IF('Daily Sale entry '!U985="",""," - "&amp;'Daily Sale entry '!U985))</f>
        <v/>
      </c>
      <c r="H985">
        <f>IF(C985="","",COUNTIFS($C$2:$C$3001,C985,$F$2:$F$3001,"&lt;"&amp;F985)+1)</f>
        <v/>
      </c>
      <c r="I985">
        <f>IF(C985="","",C985&amp;"|"&amp;H985)</f>
        <v/>
      </c>
      <c r="J985" s="6">
        <f>IF(C985="","",IF(H985=1,SUMIFS('Opening Balance'!$F$4:$F$303,'Opening Balance'!$G$4:$G$303,C985),INDEX($L$2:$L$3001,MATCH(C985&amp;"|"&amp;(H985-1),$I$2:$I$3001,0))))</f>
        <v/>
      </c>
      <c r="K985" s="6">
        <f>IF(C985="","",IF(M985&gt;0,M985,IF(AND(E985&gt;0,ROUND(J985+D985-E985,2)&gt;0,ROUND(J985+D985-E985,2)&lt;'Opening Balance'!$B$14),ROUND(J985+D985-E985,2),0)))</f>
        <v/>
      </c>
      <c r="L985" s="6">
        <f>IF(C985="","",ROUND(J985+D985-E985-K985,2))</f>
        <v/>
      </c>
      <c r="M985" s="6">
        <f>IF(C985="","",IF('Daily Sale entry '!Q985="Collection 收款",ROUND(N('Daily Sale entry '!T985),2),0))</f>
        <v/>
      </c>
    </row>
    <row r="986">
      <c r="A986" t="inlineStr">
        <is>
          <t>Entry 记录</t>
        </is>
      </c>
      <c r="B986" s="5">
        <f>IF('Daily Sale entry '!P986="","",'Daily Sale entry '!O986)</f>
        <v/>
      </c>
      <c r="C986">
        <f>IF('Daily Sale entry '!P986="","",'Daily Sale entry '!P986)</f>
        <v/>
      </c>
      <c r="D986">
        <f>IF(C986="","",IF('Daily Sale entry '!Q986="Credit Sale 赊销",'Daily Sale entry '!S986,0))</f>
        <v/>
      </c>
      <c r="E986">
        <f>IF(C986="","",IF('Daily Sale entry '!Q986="Collection 收款",'Daily Sale entry '!S986,0))</f>
        <v/>
      </c>
      <c r="F986" s="37">
        <f>IF(C986="","",B986+IF(E986&gt;0,0,0.5)+ROW()/10000000)</f>
        <v/>
      </c>
      <c r="G986">
        <f>IF(C986="","",'Daily Sale entry '!Q986&amp;IF('Daily Sale entry '!Q986="Collection 收款"," ("&amp;'Daily Sale entry '!R986&amp;")","")&amp;IF('Daily Sale entry '!U986="",""," - "&amp;'Daily Sale entry '!U986))</f>
        <v/>
      </c>
      <c r="H986">
        <f>IF(C986="","",COUNTIFS($C$2:$C$3001,C986,$F$2:$F$3001,"&lt;"&amp;F986)+1)</f>
        <v/>
      </c>
      <c r="I986">
        <f>IF(C986="","",C986&amp;"|"&amp;H986)</f>
        <v/>
      </c>
      <c r="J986" s="6">
        <f>IF(C986="","",IF(H986=1,SUMIFS('Opening Balance'!$F$4:$F$303,'Opening Balance'!$G$4:$G$303,C986),INDEX($L$2:$L$3001,MATCH(C986&amp;"|"&amp;(H986-1),$I$2:$I$3001,0))))</f>
        <v/>
      </c>
      <c r="K986" s="6">
        <f>IF(C986="","",IF(M986&gt;0,M986,IF(AND(E986&gt;0,ROUND(J986+D986-E986,2)&gt;0,ROUND(J986+D986-E986,2)&lt;'Opening Balance'!$B$14),ROUND(J986+D986-E986,2),0)))</f>
        <v/>
      </c>
      <c r="L986" s="6">
        <f>IF(C986="","",ROUND(J986+D986-E986-K986,2))</f>
        <v/>
      </c>
      <c r="M986" s="6">
        <f>IF(C986="","",IF('Daily Sale entry '!Q986="Collection 收款",ROUND(N('Daily Sale entry '!T986),2),0))</f>
        <v/>
      </c>
    </row>
    <row r="987">
      <c r="A987" t="inlineStr">
        <is>
          <t>Entry 记录</t>
        </is>
      </c>
      <c r="B987" s="5">
        <f>IF('Daily Sale entry '!P987="","",'Daily Sale entry '!O987)</f>
        <v/>
      </c>
      <c r="C987">
        <f>IF('Daily Sale entry '!P987="","",'Daily Sale entry '!P987)</f>
        <v/>
      </c>
      <c r="D987">
        <f>IF(C987="","",IF('Daily Sale entry '!Q987="Credit Sale 赊销",'Daily Sale entry '!S987,0))</f>
        <v/>
      </c>
      <c r="E987">
        <f>IF(C987="","",IF('Daily Sale entry '!Q987="Collection 收款",'Daily Sale entry '!S987,0))</f>
        <v/>
      </c>
      <c r="F987" s="37">
        <f>IF(C987="","",B987+IF(E987&gt;0,0,0.5)+ROW()/10000000)</f>
        <v/>
      </c>
      <c r="G987">
        <f>IF(C987="","",'Daily Sale entry '!Q987&amp;IF('Daily Sale entry '!Q987="Collection 收款"," ("&amp;'Daily Sale entry '!R987&amp;")","")&amp;IF('Daily Sale entry '!U987="",""," - "&amp;'Daily Sale entry '!U987))</f>
        <v/>
      </c>
      <c r="H987">
        <f>IF(C987="","",COUNTIFS($C$2:$C$3001,C987,$F$2:$F$3001,"&lt;"&amp;F987)+1)</f>
        <v/>
      </c>
      <c r="I987">
        <f>IF(C987="","",C987&amp;"|"&amp;H987)</f>
        <v/>
      </c>
      <c r="J987" s="6">
        <f>IF(C987="","",IF(H987=1,SUMIFS('Opening Balance'!$F$4:$F$303,'Opening Balance'!$G$4:$G$303,C987),INDEX($L$2:$L$3001,MATCH(C987&amp;"|"&amp;(H987-1),$I$2:$I$3001,0))))</f>
        <v/>
      </c>
      <c r="K987" s="6">
        <f>IF(C987="","",IF(M987&gt;0,M987,IF(AND(E987&gt;0,ROUND(J987+D987-E987,2)&gt;0,ROUND(J987+D987-E987,2)&lt;'Opening Balance'!$B$14),ROUND(J987+D987-E987,2),0)))</f>
        <v/>
      </c>
      <c r="L987" s="6">
        <f>IF(C987="","",ROUND(J987+D987-E987-K987,2))</f>
        <v/>
      </c>
      <c r="M987" s="6">
        <f>IF(C987="","",IF('Daily Sale entry '!Q987="Collection 收款",ROUND(N('Daily Sale entry '!T987),2),0))</f>
        <v/>
      </c>
    </row>
    <row r="988">
      <c r="A988" t="inlineStr">
        <is>
          <t>Entry 记录</t>
        </is>
      </c>
      <c r="B988" s="5">
        <f>IF('Daily Sale entry '!P988="","",'Daily Sale entry '!O988)</f>
        <v/>
      </c>
      <c r="C988">
        <f>IF('Daily Sale entry '!P988="","",'Daily Sale entry '!P988)</f>
        <v/>
      </c>
      <c r="D988">
        <f>IF(C988="","",IF('Daily Sale entry '!Q988="Credit Sale 赊销",'Daily Sale entry '!S988,0))</f>
        <v/>
      </c>
      <c r="E988">
        <f>IF(C988="","",IF('Daily Sale entry '!Q988="Collection 收款",'Daily Sale entry '!S988,0))</f>
        <v/>
      </c>
      <c r="F988" s="37">
        <f>IF(C988="","",B988+IF(E988&gt;0,0,0.5)+ROW()/10000000)</f>
        <v/>
      </c>
      <c r="G988">
        <f>IF(C988="","",'Daily Sale entry '!Q988&amp;IF('Daily Sale entry '!Q988="Collection 收款"," ("&amp;'Daily Sale entry '!R988&amp;")","")&amp;IF('Daily Sale entry '!U988="",""," - "&amp;'Daily Sale entry '!U988))</f>
        <v/>
      </c>
      <c r="H988">
        <f>IF(C988="","",COUNTIFS($C$2:$C$3001,C988,$F$2:$F$3001,"&lt;"&amp;F988)+1)</f>
        <v/>
      </c>
      <c r="I988">
        <f>IF(C988="","",C988&amp;"|"&amp;H988)</f>
        <v/>
      </c>
      <c r="J988" s="6">
        <f>IF(C988="","",IF(H988=1,SUMIFS('Opening Balance'!$F$4:$F$303,'Opening Balance'!$G$4:$G$303,C988),INDEX($L$2:$L$3001,MATCH(C988&amp;"|"&amp;(H988-1),$I$2:$I$3001,0))))</f>
        <v/>
      </c>
      <c r="K988" s="6">
        <f>IF(C988="","",IF(M988&gt;0,M988,IF(AND(E988&gt;0,ROUND(J988+D988-E988,2)&gt;0,ROUND(J988+D988-E988,2)&lt;'Opening Balance'!$B$14),ROUND(J988+D988-E988,2),0)))</f>
        <v/>
      </c>
      <c r="L988" s="6">
        <f>IF(C988="","",ROUND(J988+D988-E988-K988,2))</f>
        <v/>
      </c>
      <c r="M988" s="6">
        <f>IF(C988="","",IF('Daily Sale entry '!Q988="Collection 收款",ROUND(N('Daily Sale entry '!T988),2),0))</f>
        <v/>
      </c>
    </row>
    <row r="989">
      <c r="A989" t="inlineStr">
        <is>
          <t>Entry 记录</t>
        </is>
      </c>
      <c r="B989" s="5">
        <f>IF('Daily Sale entry '!P989="","",'Daily Sale entry '!O989)</f>
        <v/>
      </c>
      <c r="C989">
        <f>IF('Daily Sale entry '!P989="","",'Daily Sale entry '!P989)</f>
        <v/>
      </c>
      <c r="D989">
        <f>IF(C989="","",IF('Daily Sale entry '!Q989="Credit Sale 赊销",'Daily Sale entry '!S989,0))</f>
        <v/>
      </c>
      <c r="E989">
        <f>IF(C989="","",IF('Daily Sale entry '!Q989="Collection 收款",'Daily Sale entry '!S989,0))</f>
        <v/>
      </c>
      <c r="F989" s="37">
        <f>IF(C989="","",B989+IF(E989&gt;0,0,0.5)+ROW()/10000000)</f>
        <v/>
      </c>
      <c r="G989">
        <f>IF(C989="","",'Daily Sale entry '!Q989&amp;IF('Daily Sale entry '!Q989="Collection 收款"," ("&amp;'Daily Sale entry '!R989&amp;")","")&amp;IF('Daily Sale entry '!U989="",""," - "&amp;'Daily Sale entry '!U989))</f>
        <v/>
      </c>
      <c r="H989">
        <f>IF(C989="","",COUNTIFS($C$2:$C$3001,C989,$F$2:$F$3001,"&lt;"&amp;F989)+1)</f>
        <v/>
      </c>
      <c r="I989">
        <f>IF(C989="","",C989&amp;"|"&amp;H989)</f>
        <v/>
      </c>
      <c r="J989" s="6">
        <f>IF(C989="","",IF(H989=1,SUMIFS('Opening Balance'!$F$4:$F$303,'Opening Balance'!$G$4:$G$303,C989),INDEX($L$2:$L$3001,MATCH(C989&amp;"|"&amp;(H989-1),$I$2:$I$3001,0))))</f>
        <v/>
      </c>
      <c r="K989" s="6">
        <f>IF(C989="","",IF(M989&gt;0,M989,IF(AND(E989&gt;0,ROUND(J989+D989-E989,2)&gt;0,ROUND(J989+D989-E989,2)&lt;'Opening Balance'!$B$14),ROUND(J989+D989-E989,2),0)))</f>
        <v/>
      </c>
      <c r="L989" s="6">
        <f>IF(C989="","",ROUND(J989+D989-E989-K989,2))</f>
        <v/>
      </c>
      <c r="M989" s="6">
        <f>IF(C989="","",IF('Daily Sale entry '!Q989="Collection 收款",ROUND(N('Daily Sale entry '!T989),2),0))</f>
        <v/>
      </c>
    </row>
    <row r="990">
      <c r="A990" t="inlineStr">
        <is>
          <t>Entry 记录</t>
        </is>
      </c>
      <c r="B990" s="5">
        <f>IF('Daily Sale entry '!P990="","",'Daily Sale entry '!O990)</f>
        <v/>
      </c>
      <c r="C990">
        <f>IF('Daily Sale entry '!P990="","",'Daily Sale entry '!P990)</f>
        <v/>
      </c>
      <c r="D990">
        <f>IF(C990="","",IF('Daily Sale entry '!Q990="Credit Sale 赊销",'Daily Sale entry '!S990,0))</f>
        <v/>
      </c>
      <c r="E990">
        <f>IF(C990="","",IF('Daily Sale entry '!Q990="Collection 收款",'Daily Sale entry '!S990,0))</f>
        <v/>
      </c>
      <c r="F990" s="37">
        <f>IF(C990="","",B990+IF(E990&gt;0,0,0.5)+ROW()/10000000)</f>
        <v/>
      </c>
      <c r="G990">
        <f>IF(C990="","",'Daily Sale entry '!Q990&amp;IF('Daily Sale entry '!Q990="Collection 收款"," ("&amp;'Daily Sale entry '!R990&amp;")","")&amp;IF('Daily Sale entry '!U990="",""," - "&amp;'Daily Sale entry '!U990))</f>
        <v/>
      </c>
      <c r="H990">
        <f>IF(C990="","",COUNTIFS($C$2:$C$3001,C990,$F$2:$F$3001,"&lt;"&amp;F990)+1)</f>
        <v/>
      </c>
      <c r="I990">
        <f>IF(C990="","",C990&amp;"|"&amp;H990)</f>
        <v/>
      </c>
      <c r="J990" s="6">
        <f>IF(C990="","",IF(H990=1,SUMIFS('Opening Balance'!$F$4:$F$303,'Opening Balance'!$G$4:$G$303,C990),INDEX($L$2:$L$3001,MATCH(C990&amp;"|"&amp;(H990-1),$I$2:$I$3001,0))))</f>
        <v/>
      </c>
      <c r="K990" s="6">
        <f>IF(C990="","",IF(M990&gt;0,M990,IF(AND(E990&gt;0,ROUND(J990+D990-E990,2)&gt;0,ROUND(J990+D990-E990,2)&lt;'Opening Balance'!$B$14),ROUND(J990+D990-E990,2),0)))</f>
        <v/>
      </c>
      <c r="L990" s="6">
        <f>IF(C990="","",ROUND(J990+D990-E990-K990,2))</f>
        <v/>
      </c>
      <c r="M990" s="6">
        <f>IF(C990="","",IF('Daily Sale entry '!Q990="Collection 收款",ROUND(N('Daily Sale entry '!T990),2),0))</f>
        <v/>
      </c>
    </row>
    <row r="991">
      <c r="A991" t="inlineStr">
        <is>
          <t>Entry 记录</t>
        </is>
      </c>
      <c r="B991" s="5">
        <f>IF('Daily Sale entry '!P991="","",'Daily Sale entry '!O991)</f>
        <v/>
      </c>
      <c r="C991">
        <f>IF('Daily Sale entry '!P991="","",'Daily Sale entry '!P991)</f>
        <v/>
      </c>
      <c r="D991">
        <f>IF(C991="","",IF('Daily Sale entry '!Q991="Credit Sale 赊销",'Daily Sale entry '!S991,0))</f>
        <v/>
      </c>
      <c r="E991">
        <f>IF(C991="","",IF('Daily Sale entry '!Q991="Collection 收款",'Daily Sale entry '!S991,0))</f>
        <v/>
      </c>
      <c r="F991" s="37">
        <f>IF(C991="","",B991+IF(E991&gt;0,0,0.5)+ROW()/10000000)</f>
        <v/>
      </c>
      <c r="G991">
        <f>IF(C991="","",'Daily Sale entry '!Q991&amp;IF('Daily Sale entry '!Q991="Collection 收款"," ("&amp;'Daily Sale entry '!R991&amp;")","")&amp;IF('Daily Sale entry '!U991="",""," - "&amp;'Daily Sale entry '!U991))</f>
        <v/>
      </c>
      <c r="H991">
        <f>IF(C991="","",COUNTIFS($C$2:$C$3001,C991,$F$2:$F$3001,"&lt;"&amp;F991)+1)</f>
        <v/>
      </c>
      <c r="I991">
        <f>IF(C991="","",C991&amp;"|"&amp;H991)</f>
        <v/>
      </c>
      <c r="J991" s="6">
        <f>IF(C991="","",IF(H991=1,SUMIFS('Opening Balance'!$F$4:$F$303,'Opening Balance'!$G$4:$G$303,C991),INDEX($L$2:$L$3001,MATCH(C991&amp;"|"&amp;(H991-1),$I$2:$I$3001,0))))</f>
        <v/>
      </c>
      <c r="K991" s="6">
        <f>IF(C991="","",IF(M991&gt;0,M991,IF(AND(E991&gt;0,ROUND(J991+D991-E991,2)&gt;0,ROUND(J991+D991-E991,2)&lt;'Opening Balance'!$B$14),ROUND(J991+D991-E991,2),0)))</f>
        <v/>
      </c>
      <c r="L991" s="6">
        <f>IF(C991="","",ROUND(J991+D991-E991-K991,2))</f>
        <v/>
      </c>
      <c r="M991" s="6">
        <f>IF(C991="","",IF('Daily Sale entry '!Q991="Collection 收款",ROUND(N('Daily Sale entry '!T991),2),0))</f>
        <v/>
      </c>
    </row>
    <row r="992">
      <c r="A992" t="inlineStr">
        <is>
          <t>Entry 记录</t>
        </is>
      </c>
      <c r="B992" s="5">
        <f>IF('Daily Sale entry '!P992="","",'Daily Sale entry '!O992)</f>
        <v/>
      </c>
      <c r="C992">
        <f>IF('Daily Sale entry '!P992="","",'Daily Sale entry '!P992)</f>
        <v/>
      </c>
      <c r="D992">
        <f>IF(C992="","",IF('Daily Sale entry '!Q992="Credit Sale 赊销",'Daily Sale entry '!S992,0))</f>
        <v/>
      </c>
      <c r="E992">
        <f>IF(C992="","",IF('Daily Sale entry '!Q992="Collection 收款",'Daily Sale entry '!S992,0))</f>
        <v/>
      </c>
      <c r="F992" s="37">
        <f>IF(C992="","",B992+IF(E992&gt;0,0,0.5)+ROW()/10000000)</f>
        <v/>
      </c>
      <c r="G992">
        <f>IF(C992="","",'Daily Sale entry '!Q992&amp;IF('Daily Sale entry '!Q992="Collection 收款"," ("&amp;'Daily Sale entry '!R992&amp;")","")&amp;IF('Daily Sale entry '!U992="",""," - "&amp;'Daily Sale entry '!U992))</f>
        <v/>
      </c>
      <c r="H992">
        <f>IF(C992="","",COUNTIFS($C$2:$C$3001,C992,$F$2:$F$3001,"&lt;"&amp;F992)+1)</f>
        <v/>
      </c>
      <c r="I992">
        <f>IF(C992="","",C992&amp;"|"&amp;H992)</f>
        <v/>
      </c>
      <c r="J992" s="6">
        <f>IF(C992="","",IF(H992=1,SUMIFS('Opening Balance'!$F$4:$F$303,'Opening Balance'!$G$4:$G$303,C992),INDEX($L$2:$L$3001,MATCH(C992&amp;"|"&amp;(H992-1),$I$2:$I$3001,0))))</f>
        <v/>
      </c>
      <c r="K992" s="6">
        <f>IF(C992="","",IF(M992&gt;0,M992,IF(AND(E992&gt;0,ROUND(J992+D992-E992,2)&gt;0,ROUND(J992+D992-E992,2)&lt;'Opening Balance'!$B$14),ROUND(J992+D992-E992,2),0)))</f>
        <v/>
      </c>
      <c r="L992" s="6">
        <f>IF(C992="","",ROUND(J992+D992-E992-K992,2))</f>
        <v/>
      </c>
      <c r="M992" s="6">
        <f>IF(C992="","",IF('Daily Sale entry '!Q992="Collection 收款",ROUND(N('Daily Sale entry '!T992),2),0))</f>
        <v/>
      </c>
    </row>
    <row r="993">
      <c r="A993" t="inlineStr">
        <is>
          <t>Entry 记录</t>
        </is>
      </c>
      <c r="B993" s="5">
        <f>IF('Daily Sale entry '!P993="","",'Daily Sale entry '!O993)</f>
        <v/>
      </c>
      <c r="C993">
        <f>IF('Daily Sale entry '!P993="","",'Daily Sale entry '!P993)</f>
        <v/>
      </c>
      <c r="D993">
        <f>IF(C993="","",IF('Daily Sale entry '!Q993="Credit Sale 赊销",'Daily Sale entry '!S993,0))</f>
        <v/>
      </c>
      <c r="E993">
        <f>IF(C993="","",IF('Daily Sale entry '!Q993="Collection 收款",'Daily Sale entry '!S993,0))</f>
        <v/>
      </c>
      <c r="F993" s="37">
        <f>IF(C993="","",B993+IF(E993&gt;0,0,0.5)+ROW()/10000000)</f>
        <v/>
      </c>
      <c r="G993">
        <f>IF(C993="","",'Daily Sale entry '!Q993&amp;IF('Daily Sale entry '!Q993="Collection 收款"," ("&amp;'Daily Sale entry '!R993&amp;")","")&amp;IF('Daily Sale entry '!U993="",""," - "&amp;'Daily Sale entry '!U993))</f>
        <v/>
      </c>
      <c r="H993">
        <f>IF(C993="","",COUNTIFS($C$2:$C$3001,C993,$F$2:$F$3001,"&lt;"&amp;F993)+1)</f>
        <v/>
      </c>
      <c r="I993">
        <f>IF(C993="","",C993&amp;"|"&amp;H993)</f>
        <v/>
      </c>
      <c r="J993" s="6">
        <f>IF(C993="","",IF(H993=1,SUMIFS('Opening Balance'!$F$4:$F$303,'Opening Balance'!$G$4:$G$303,C993),INDEX($L$2:$L$3001,MATCH(C993&amp;"|"&amp;(H993-1),$I$2:$I$3001,0))))</f>
        <v/>
      </c>
      <c r="K993" s="6">
        <f>IF(C993="","",IF(M993&gt;0,M993,IF(AND(E993&gt;0,ROUND(J993+D993-E993,2)&gt;0,ROUND(J993+D993-E993,2)&lt;'Opening Balance'!$B$14),ROUND(J993+D993-E993,2),0)))</f>
        <v/>
      </c>
      <c r="L993" s="6">
        <f>IF(C993="","",ROUND(J993+D993-E993-K993,2))</f>
        <v/>
      </c>
      <c r="M993" s="6">
        <f>IF(C993="","",IF('Daily Sale entry '!Q993="Collection 收款",ROUND(N('Daily Sale entry '!T993),2),0))</f>
        <v/>
      </c>
    </row>
    <row r="994">
      <c r="A994" t="inlineStr">
        <is>
          <t>Entry 记录</t>
        </is>
      </c>
      <c r="B994" s="5">
        <f>IF('Daily Sale entry '!P994="","",'Daily Sale entry '!O994)</f>
        <v/>
      </c>
      <c r="C994">
        <f>IF('Daily Sale entry '!P994="","",'Daily Sale entry '!P994)</f>
        <v/>
      </c>
      <c r="D994">
        <f>IF(C994="","",IF('Daily Sale entry '!Q994="Credit Sale 赊销",'Daily Sale entry '!S994,0))</f>
        <v/>
      </c>
      <c r="E994">
        <f>IF(C994="","",IF('Daily Sale entry '!Q994="Collection 收款",'Daily Sale entry '!S994,0))</f>
        <v/>
      </c>
      <c r="F994" s="37">
        <f>IF(C994="","",B994+IF(E994&gt;0,0,0.5)+ROW()/10000000)</f>
        <v/>
      </c>
      <c r="G994">
        <f>IF(C994="","",'Daily Sale entry '!Q994&amp;IF('Daily Sale entry '!Q994="Collection 收款"," ("&amp;'Daily Sale entry '!R994&amp;")","")&amp;IF('Daily Sale entry '!U994="",""," - "&amp;'Daily Sale entry '!U994))</f>
        <v/>
      </c>
      <c r="H994">
        <f>IF(C994="","",COUNTIFS($C$2:$C$3001,C994,$F$2:$F$3001,"&lt;"&amp;F994)+1)</f>
        <v/>
      </c>
      <c r="I994">
        <f>IF(C994="","",C994&amp;"|"&amp;H994)</f>
        <v/>
      </c>
      <c r="J994" s="6">
        <f>IF(C994="","",IF(H994=1,SUMIFS('Opening Balance'!$F$4:$F$303,'Opening Balance'!$G$4:$G$303,C994),INDEX($L$2:$L$3001,MATCH(C994&amp;"|"&amp;(H994-1),$I$2:$I$3001,0))))</f>
        <v/>
      </c>
      <c r="K994" s="6">
        <f>IF(C994="","",IF(M994&gt;0,M994,IF(AND(E994&gt;0,ROUND(J994+D994-E994,2)&gt;0,ROUND(J994+D994-E994,2)&lt;'Opening Balance'!$B$14),ROUND(J994+D994-E994,2),0)))</f>
        <v/>
      </c>
      <c r="L994" s="6">
        <f>IF(C994="","",ROUND(J994+D994-E994-K994,2))</f>
        <v/>
      </c>
      <c r="M994" s="6">
        <f>IF(C994="","",IF('Daily Sale entry '!Q994="Collection 收款",ROUND(N('Daily Sale entry '!T994),2),0))</f>
        <v/>
      </c>
    </row>
    <row r="995">
      <c r="A995" t="inlineStr">
        <is>
          <t>Entry 记录</t>
        </is>
      </c>
      <c r="B995" s="5">
        <f>IF('Daily Sale entry '!P995="","",'Daily Sale entry '!O995)</f>
        <v/>
      </c>
      <c r="C995">
        <f>IF('Daily Sale entry '!P995="","",'Daily Sale entry '!P995)</f>
        <v/>
      </c>
      <c r="D995">
        <f>IF(C995="","",IF('Daily Sale entry '!Q995="Credit Sale 赊销",'Daily Sale entry '!S995,0))</f>
        <v/>
      </c>
      <c r="E995">
        <f>IF(C995="","",IF('Daily Sale entry '!Q995="Collection 收款",'Daily Sale entry '!S995,0))</f>
        <v/>
      </c>
      <c r="F995" s="37">
        <f>IF(C995="","",B995+IF(E995&gt;0,0,0.5)+ROW()/10000000)</f>
        <v/>
      </c>
      <c r="G995">
        <f>IF(C995="","",'Daily Sale entry '!Q995&amp;IF('Daily Sale entry '!Q995="Collection 收款"," ("&amp;'Daily Sale entry '!R995&amp;")","")&amp;IF('Daily Sale entry '!U995="",""," - "&amp;'Daily Sale entry '!U995))</f>
        <v/>
      </c>
      <c r="H995">
        <f>IF(C995="","",COUNTIFS($C$2:$C$3001,C995,$F$2:$F$3001,"&lt;"&amp;F995)+1)</f>
        <v/>
      </c>
      <c r="I995">
        <f>IF(C995="","",C995&amp;"|"&amp;H995)</f>
        <v/>
      </c>
      <c r="J995" s="6">
        <f>IF(C995="","",IF(H995=1,SUMIFS('Opening Balance'!$F$4:$F$303,'Opening Balance'!$G$4:$G$303,C995),INDEX($L$2:$L$3001,MATCH(C995&amp;"|"&amp;(H995-1),$I$2:$I$3001,0))))</f>
        <v/>
      </c>
      <c r="K995" s="6">
        <f>IF(C995="","",IF(M995&gt;0,M995,IF(AND(E995&gt;0,ROUND(J995+D995-E995,2)&gt;0,ROUND(J995+D995-E995,2)&lt;'Opening Balance'!$B$14),ROUND(J995+D995-E995,2),0)))</f>
        <v/>
      </c>
      <c r="L995" s="6">
        <f>IF(C995="","",ROUND(J995+D995-E995-K995,2))</f>
        <v/>
      </c>
      <c r="M995" s="6">
        <f>IF(C995="","",IF('Daily Sale entry '!Q995="Collection 收款",ROUND(N('Daily Sale entry '!T995),2),0))</f>
        <v/>
      </c>
    </row>
    <row r="996">
      <c r="A996" t="inlineStr">
        <is>
          <t>Entry 记录</t>
        </is>
      </c>
      <c r="B996" s="5">
        <f>IF('Daily Sale entry '!P996="","",'Daily Sale entry '!O996)</f>
        <v/>
      </c>
      <c r="C996">
        <f>IF('Daily Sale entry '!P996="","",'Daily Sale entry '!P996)</f>
        <v/>
      </c>
      <c r="D996">
        <f>IF(C996="","",IF('Daily Sale entry '!Q996="Credit Sale 赊销",'Daily Sale entry '!S996,0))</f>
        <v/>
      </c>
      <c r="E996">
        <f>IF(C996="","",IF('Daily Sale entry '!Q996="Collection 收款",'Daily Sale entry '!S996,0))</f>
        <v/>
      </c>
      <c r="F996" s="37">
        <f>IF(C996="","",B996+IF(E996&gt;0,0,0.5)+ROW()/10000000)</f>
        <v/>
      </c>
      <c r="G996">
        <f>IF(C996="","",'Daily Sale entry '!Q996&amp;IF('Daily Sale entry '!Q996="Collection 收款"," ("&amp;'Daily Sale entry '!R996&amp;")","")&amp;IF('Daily Sale entry '!U996="",""," - "&amp;'Daily Sale entry '!U996))</f>
        <v/>
      </c>
      <c r="H996">
        <f>IF(C996="","",COUNTIFS($C$2:$C$3001,C996,$F$2:$F$3001,"&lt;"&amp;F996)+1)</f>
        <v/>
      </c>
      <c r="I996">
        <f>IF(C996="","",C996&amp;"|"&amp;H996)</f>
        <v/>
      </c>
      <c r="J996" s="6">
        <f>IF(C996="","",IF(H996=1,SUMIFS('Opening Balance'!$F$4:$F$303,'Opening Balance'!$G$4:$G$303,C996),INDEX($L$2:$L$3001,MATCH(C996&amp;"|"&amp;(H996-1),$I$2:$I$3001,0))))</f>
        <v/>
      </c>
      <c r="K996" s="6">
        <f>IF(C996="","",IF(M996&gt;0,M996,IF(AND(E996&gt;0,ROUND(J996+D996-E996,2)&gt;0,ROUND(J996+D996-E996,2)&lt;'Opening Balance'!$B$14),ROUND(J996+D996-E996,2),0)))</f>
        <v/>
      </c>
      <c r="L996" s="6">
        <f>IF(C996="","",ROUND(J996+D996-E996-K996,2))</f>
        <v/>
      </c>
      <c r="M996" s="6">
        <f>IF(C996="","",IF('Daily Sale entry '!Q996="Collection 收款",ROUND(N('Daily Sale entry '!T996),2),0))</f>
        <v/>
      </c>
    </row>
    <row r="997">
      <c r="A997" t="inlineStr">
        <is>
          <t>Entry 记录</t>
        </is>
      </c>
      <c r="B997" s="5">
        <f>IF('Daily Sale entry '!P997="","",'Daily Sale entry '!O997)</f>
        <v/>
      </c>
      <c r="C997">
        <f>IF('Daily Sale entry '!P997="","",'Daily Sale entry '!P997)</f>
        <v/>
      </c>
      <c r="D997">
        <f>IF(C997="","",IF('Daily Sale entry '!Q997="Credit Sale 赊销",'Daily Sale entry '!S997,0))</f>
        <v/>
      </c>
      <c r="E997">
        <f>IF(C997="","",IF('Daily Sale entry '!Q997="Collection 收款",'Daily Sale entry '!S997,0))</f>
        <v/>
      </c>
      <c r="F997" s="37">
        <f>IF(C997="","",B997+IF(E997&gt;0,0,0.5)+ROW()/10000000)</f>
        <v/>
      </c>
      <c r="G997">
        <f>IF(C997="","",'Daily Sale entry '!Q997&amp;IF('Daily Sale entry '!Q997="Collection 收款"," ("&amp;'Daily Sale entry '!R997&amp;")","")&amp;IF('Daily Sale entry '!U997="",""," - "&amp;'Daily Sale entry '!U997))</f>
        <v/>
      </c>
      <c r="H997">
        <f>IF(C997="","",COUNTIFS($C$2:$C$3001,C997,$F$2:$F$3001,"&lt;"&amp;F997)+1)</f>
        <v/>
      </c>
      <c r="I997">
        <f>IF(C997="","",C997&amp;"|"&amp;H997)</f>
        <v/>
      </c>
      <c r="J997" s="6">
        <f>IF(C997="","",IF(H997=1,SUMIFS('Opening Balance'!$F$4:$F$303,'Opening Balance'!$G$4:$G$303,C997),INDEX($L$2:$L$3001,MATCH(C997&amp;"|"&amp;(H997-1),$I$2:$I$3001,0))))</f>
        <v/>
      </c>
      <c r="K997" s="6">
        <f>IF(C997="","",IF(M997&gt;0,M997,IF(AND(E997&gt;0,ROUND(J997+D997-E997,2)&gt;0,ROUND(J997+D997-E997,2)&lt;'Opening Balance'!$B$14),ROUND(J997+D997-E997,2),0)))</f>
        <v/>
      </c>
      <c r="L997" s="6">
        <f>IF(C997="","",ROUND(J997+D997-E997-K997,2))</f>
        <v/>
      </c>
      <c r="M997" s="6">
        <f>IF(C997="","",IF('Daily Sale entry '!Q997="Collection 收款",ROUND(N('Daily Sale entry '!T997),2),0))</f>
        <v/>
      </c>
    </row>
    <row r="998">
      <c r="A998" t="inlineStr">
        <is>
          <t>Entry 记录</t>
        </is>
      </c>
      <c r="B998" s="5">
        <f>IF('Daily Sale entry '!P998="","",'Daily Sale entry '!O998)</f>
        <v/>
      </c>
      <c r="C998">
        <f>IF('Daily Sale entry '!P998="","",'Daily Sale entry '!P998)</f>
        <v/>
      </c>
      <c r="D998">
        <f>IF(C998="","",IF('Daily Sale entry '!Q998="Credit Sale 赊销",'Daily Sale entry '!S998,0))</f>
        <v/>
      </c>
      <c r="E998">
        <f>IF(C998="","",IF('Daily Sale entry '!Q998="Collection 收款",'Daily Sale entry '!S998,0))</f>
        <v/>
      </c>
      <c r="F998" s="37">
        <f>IF(C998="","",B998+IF(E998&gt;0,0,0.5)+ROW()/10000000)</f>
        <v/>
      </c>
      <c r="G998">
        <f>IF(C998="","",'Daily Sale entry '!Q998&amp;IF('Daily Sale entry '!Q998="Collection 收款"," ("&amp;'Daily Sale entry '!R998&amp;")","")&amp;IF('Daily Sale entry '!U998="",""," - "&amp;'Daily Sale entry '!U998))</f>
        <v/>
      </c>
      <c r="H998">
        <f>IF(C998="","",COUNTIFS($C$2:$C$3001,C998,$F$2:$F$3001,"&lt;"&amp;F998)+1)</f>
        <v/>
      </c>
      <c r="I998">
        <f>IF(C998="","",C998&amp;"|"&amp;H998)</f>
        <v/>
      </c>
      <c r="J998" s="6">
        <f>IF(C998="","",IF(H998=1,SUMIFS('Opening Balance'!$F$4:$F$303,'Opening Balance'!$G$4:$G$303,C998),INDEX($L$2:$L$3001,MATCH(C998&amp;"|"&amp;(H998-1),$I$2:$I$3001,0))))</f>
        <v/>
      </c>
      <c r="K998" s="6">
        <f>IF(C998="","",IF(M998&gt;0,M998,IF(AND(E998&gt;0,ROUND(J998+D998-E998,2)&gt;0,ROUND(J998+D998-E998,2)&lt;'Opening Balance'!$B$14),ROUND(J998+D998-E998,2),0)))</f>
        <v/>
      </c>
      <c r="L998" s="6">
        <f>IF(C998="","",ROUND(J998+D998-E998-K998,2))</f>
        <v/>
      </c>
      <c r="M998" s="6">
        <f>IF(C998="","",IF('Daily Sale entry '!Q998="Collection 收款",ROUND(N('Daily Sale entry '!T998),2),0))</f>
        <v/>
      </c>
    </row>
    <row r="999">
      <c r="A999" t="inlineStr">
        <is>
          <t>Entry 记录</t>
        </is>
      </c>
      <c r="B999" s="5">
        <f>IF('Daily Sale entry '!P999="","",'Daily Sale entry '!O999)</f>
        <v/>
      </c>
      <c r="C999">
        <f>IF('Daily Sale entry '!P999="","",'Daily Sale entry '!P999)</f>
        <v/>
      </c>
      <c r="D999">
        <f>IF(C999="","",IF('Daily Sale entry '!Q999="Credit Sale 赊销",'Daily Sale entry '!S999,0))</f>
        <v/>
      </c>
      <c r="E999">
        <f>IF(C999="","",IF('Daily Sale entry '!Q999="Collection 收款",'Daily Sale entry '!S999,0))</f>
        <v/>
      </c>
      <c r="F999" s="37">
        <f>IF(C999="","",B999+IF(E999&gt;0,0,0.5)+ROW()/10000000)</f>
        <v/>
      </c>
      <c r="G999">
        <f>IF(C999="","",'Daily Sale entry '!Q999&amp;IF('Daily Sale entry '!Q999="Collection 收款"," ("&amp;'Daily Sale entry '!R999&amp;")","")&amp;IF('Daily Sale entry '!U999="",""," - "&amp;'Daily Sale entry '!U999))</f>
        <v/>
      </c>
      <c r="H999">
        <f>IF(C999="","",COUNTIFS($C$2:$C$3001,C999,$F$2:$F$3001,"&lt;"&amp;F999)+1)</f>
        <v/>
      </c>
      <c r="I999">
        <f>IF(C999="","",C999&amp;"|"&amp;H999)</f>
        <v/>
      </c>
      <c r="J999" s="6">
        <f>IF(C999="","",IF(H999=1,SUMIFS('Opening Balance'!$F$4:$F$303,'Opening Balance'!$G$4:$G$303,C999),INDEX($L$2:$L$3001,MATCH(C999&amp;"|"&amp;(H999-1),$I$2:$I$3001,0))))</f>
        <v/>
      </c>
      <c r="K999" s="6">
        <f>IF(C999="","",IF(M999&gt;0,M999,IF(AND(E999&gt;0,ROUND(J999+D999-E999,2)&gt;0,ROUND(J999+D999-E999,2)&lt;'Opening Balance'!$B$14),ROUND(J999+D999-E999,2),0)))</f>
        <v/>
      </c>
      <c r="L999" s="6">
        <f>IF(C999="","",ROUND(J999+D999-E999-K999,2))</f>
        <v/>
      </c>
      <c r="M999" s="6">
        <f>IF(C999="","",IF('Daily Sale entry '!Q999="Collection 收款",ROUND(N('Daily Sale entry '!T999),2),0))</f>
        <v/>
      </c>
    </row>
    <row r="1000">
      <c r="A1000" t="inlineStr">
        <is>
          <t>Entry 记录</t>
        </is>
      </c>
      <c r="B1000" s="5">
        <f>IF('Daily Sale entry '!P1000="","",'Daily Sale entry '!O1000)</f>
        <v/>
      </c>
      <c r="C1000">
        <f>IF('Daily Sale entry '!P1000="","",'Daily Sale entry '!P1000)</f>
        <v/>
      </c>
      <c r="D1000">
        <f>IF(C1000="","",IF('Daily Sale entry '!Q1000="Credit Sale 赊销",'Daily Sale entry '!S1000,0))</f>
        <v/>
      </c>
      <c r="E1000">
        <f>IF(C1000="","",IF('Daily Sale entry '!Q1000="Collection 收款",'Daily Sale entry '!S1000,0))</f>
        <v/>
      </c>
      <c r="F1000" s="37">
        <f>IF(C1000="","",B1000+IF(E1000&gt;0,0,0.5)+ROW()/10000000)</f>
        <v/>
      </c>
      <c r="G1000">
        <f>IF(C1000="","",'Daily Sale entry '!Q1000&amp;IF('Daily Sale entry '!Q1000="Collection 收款"," ("&amp;'Daily Sale entry '!R1000&amp;")","")&amp;IF('Daily Sale entry '!U1000="",""," - "&amp;'Daily Sale entry '!U1000))</f>
        <v/>
      </c>
      <c r="H1000">
        <f>IF(C1000="","",COUNTIFS($C$2:$C$3001,C1000,$F$2:$F$3001,"&lt;"&amp;F1000)+1)</f>
        <v/>
      </c>
      <c r="I1000">
        <f>IF(C1000="","",C1000&amp;"|"&amp;H1000)</f>
        <v/>
      </c>
      <c r="J1000" s="6">
        <f>IF(C1000="","",IF(H1000=1,SUMIFS('Opening Balance'!$F$4:$F$303,'Opening Balance'!$G$4:$G$303,C1000),INDEX($L$2:$L$3001,MATCH(C1000&amp;"|"&amp;(H1000-1),$I$2:$I$3001,0))))</f>
        <v/>
      </c>
      <c r="K1000" s="6">
        <f>IF(C1000="","",IF(M1000&gt;0,M1000,IF(AND(E1000&gt;0,ROUND(J1000+D1000-E1000,2)&gt;0,ROUND(J1000+D1000-E1000,2)&lt;'Opening Balance'!$B$14),ROUND(J1000+D1000-E1000,2),0)))</f>
        <v/>
      </c>
      <c r="L1000" s="6">
        <f>IF(C1000="","",ROUND(J1000+D1000-E1000-K1000,2))</f>
        <v/>
      </c>
      <c r="M1000" s="6">
        <f>IF(C1000="","",IF('Daily Sale entry '!Q1000="Collection 收款",ROUND(N('Daily Sale entry '!T1000),2),0))</f>
        <v/>
      </c>
    </row>
    <row r="1001">
      <c r="A1001" t="inlineStr">
        <is>
          <t>Entry 记录</t>
        </is>
      </c>
      <c r="B1001" s="5">
        <f>IF('Daily Sale entry '!P1001="","",'Daily Sale entry '!O1001)</f>
        <v/>
      </c>
      <c r="C1001">
        <f>IF('Daily Sale entry '!P1001="","",'Daily Sale entry '!P1001)</f>
        <v/>
      </c>
      <c r="D1001">
        <f>IF(C1001="","",IF('Daily Sale entry '!Q1001="Credit Sale 赊销",'Daily Sale entry '!S1001,0))</f>
        <v/>
      </c>
      <c r="E1001">
        <f>IF(C1001="","",IF('Daily Sale entry '!Q1001="Collection 收款",'Daily Sale entry '!S1001,0))</f>
        <v/>
      </c>
      <c r="F1001" s="37">
        <f>IF(C1001="","",B1001+IF(E1001&gt;0,0,0.5)+ROW()/10000000)</f>
        <v/>
      </c>
      <c r="G1001">
        <f>IF(C1001="","",'Daily Sale entry '!Q1001&amp;IF('Daily Sale entry '!Q1001="Collection 收款"," ("&amp;'Daily Sale entry '!R1001&amp;")","")&amp;IF('Daily Sale entry '!U1001="",""," - "&amp;'Daily Sale entry '!U1001))</f>
        <v/>
      </c>
      <c r="H1001">
        <f>IF(C1001="","",COUNTIFS($C$2:$C$3001,C1001,$F$2:$F$3001,"&lt;"&amp;F1001)+1)</f>
        <v/>
      </c>
      <c r="I1001">
        <f>IF(C1001="","",C1001&amp;"|"&amp;H1001)</f>
        <v/>
      </c>
      <c r="J1001" s="6">
        <f>IF(C1001="","",IF(H1001=1,SUMIFS('Opening Balance'!$F$4:$F$303,'Opening Balance'!$G$4:$G$303,C1001),INDEX($L$2:$L$3001,MATCH(C1001&amp;"|"&amp;(H1001-1),$I$2:$I$3001,0))))</f>
        <v/>
      </c>
      <c r="K1001" s="6">
        <f>IF(C1001="","",IF(M1001&gt;0,M1001,IF(AND(E1001&gt;0,ROUND(J1001+D1001-E1001,2)&gt;0,ROUND(J1001+D1001-E1001,2)&lt;'Opening Balance'!$B$14),ROUND(J1001+D1001-E1001,2),0)))</f>
        <v/>
      </c>
      <c r="L1001" s="6">
        <f>IF(C1001="","",ROUND(J1001+D1001-E1001-K1001,2))</f>
        <v/>
      </c>
      <c r="M1001" s="6">
        <f>IF(C1001="","",IF('Daily Sale entry '!Q1001="Collection 收款",ROUND(N('Daily Sale entry '!T1001),2),0))</f>
        <v/>
      </c>
    </row>
    <row r="1002">
      <c r="A1002" t="inlineStr">
        <is>
          <t>Entry 记录</t>
        </is>
      </c>
      <c r="B1002" s="5">
        <f>IF('Daily Sale entry '!P1002="","",'Daily Sale entry '!O1002)</f>
        <v/>
      </c>
      <c r="C1002">
        <f>IF('Daily Sale entry '!P1002="","",'Daily Sale entry '!P1002)</f>
        <v/>
      </c>
      <c r="D1002">
        <f>IF(C1002="","",IF('Daily Sale entry '!Q1002="Credit Sale 赊销",'Daily Sale entry '!S1002,0))</f>
        <v/>
      </c>
      <c r="E1002">
        <f>IF(C1002="","",IF('Daily Sale entry '!Q1002="Collection 收款",'Daily Sale entry '!S1002,0))</f>
        <v/>
      </c>
      <c r="F1002" s="37">
        <f>IF(C1002="","",B1002+IF(E1002&gt;0,0,0.5)+ROW()/10000000)</f>
        <v/>
      </c>
      <c r="G1002">
        <f>IF(C1002="","",'Daily Sale entry '!Q1002&amp;IF('Daily Sale entry '!Q1002="Collection 收款"," ("&amp;'Daily Sale entry '!R1002&amp;")","")&amp;IF('Daily Sale entry '!U1002="",""," - "&amp;'Daily Sale entry '!U1002))</f>
        <v/>
      </c>
      <c r="H1002">
        <f>IF(C1002="","",COUNTIFS($C$2:$C$3001,C1002,$F$2:$F$3001,"&lt;"&amp;F1002)+1)</f>
        <v/>
      </c>
      <c r="I1002">
        <f>IF(C1002="","",C1002&amp;"|"&amp;H1002)</f>
        <v/>
      </c>
      <c r="J1002" s="6">
        <f>IF(C1002="","",IF(H1002=1,SUMIFS('Opening Balance'!$F$4:$F$303,'Opening Balance'!$G$4:$G$303,C1002),INDEX($L$2:$L$3001,MATCH(C1002&amp;"|"&amp;(H1002-1),$I$2:$I$3001,0))))</f>
        <v/>
      </c>
      <c r="K1002" s="6">
        <f>IF(C1002="","",IF(M1002&gt;0,M1002,IF(AND(E1002&gt;0,ROUND(J1002+D1002-E1002,2)&gt;0,ROUND(J1002+D1002-E1002,2)&lt;'Opening Balance'!$B$14),ROUND(J1002+D1002-E1002,2),0)))</f>
        <v/>
      </c>
      <c r="L1002" s="6">
        <f>IF(C1002="","",ROUND(J1002+D1002-E1002-K1002,2))</f>
        <v/>
      </c>
      <c r="M1002" s="6">
        <f>IF(C1002="","",IF('Daily Sale entry '!Q1002="Collection 收款",ROUND(N('Daily Sale entry '!T1002),2),0))</f>
        <v/>
      </c>
    </row>
    <row r="1003">
      <c r="A1003" t="inlineStr">
        <is>
          <t>Entry 记录</t>
        </is>
      </c>
      <c r="B1003" s="5">
        <f>IF('Daily Sale entry '!P1003="","",'Daily Sale entry '!O1003)</f>
        <v/>
      </c>
      <c r="C1003">
        <f>IF('Daily Sale entry '!P1003="","",'Daily Sale entry '!P1003)</f>
        <v/>
      </c>
      <c r="D1003">
        <f>IF(C1003="","",IF('Daily Sale entry '!Q1003="Credit Sale 赊销",'Daily Sale entry '!S1003,0))</f>
        <v/>
      </c>
      <c r="E1003">
        <f>IF(C1003="","",IF('Daily Sale entry '!Q1003="Collection 收款",'Daily Sale entry '!S1003,0))</f>
        <v/>
      </c>
      <c r="F1003" s="37">
        <f>IF(C1003="","",B1003+IF(E1003&gt;0,0,0.5)+ROW()/10000000)</f>
        <v/>
      </c>
      <c r="G1003">
        <f>IF(C1003="","",'Daily Sale entry '!Q1003&amp;IF('Daily Sale entry '!Q1003="Collection 收款"," ("&amp;'Daily Sale entry '!R1003&amp;")","")&amp;IF('Daily Sale entry '!U1003="",""," - "&amp;'Daily Sale entry '!U1003))</f>
        <v/>
      </c>
      <c r="H1003">
        <f>IF(C1003="","",COUNTIFS($C$2:$C$3001,C1003,$F$2:$F$3001,"&lt;"&amp;F1003)+1)</f>
        <v/>
      </c>
      <c r="I1003">
        <f>IF(C1003="","",C1003&amp;"|"&amp;H1003)</f>
        <v/>
      </c>
      <c r="J1003" s="6">
        <f>IF(C1003="","",IF(H1003=1,SUMIFS('Opening Balance'!$F$4:$F$303,'Opening Balance'!$G$4:$G$303,C1003),INDEX($L$2:$L$3001,MATCH(C1003&amp;"|"&amp;(H1003-1),$I$2:$I$3001,0))))</f>
        <v/>
      </c>
      <c r="K1003" s="6">
        <f>IF(C1003="","",IF(M1003&gt;0,M1003,IF(AND(E1003&gt;0,ROUND(J1003+D1003-E1003,2)&gt;0,ROUND(J1003+D1003-E1003,2)&lt;'Opening Balance'!$B$14),ROUND(J1003+D1003-E1003,2),0)))</f>
        <v/>
      </c>
      <c r="L1003" s="6">
        <f>IF(C1003="","",ROUND(J1003+D1003-E1003-K1003,2))</f>
        <v/>
      </c>
      <c r="M1003" s="6">
        <f>IF(C1003="","",IF('Daily Sale entry '!Q1003="Collection 收款",ROUND(N('Daily Sale entry '!T1003),2),0))</f>
        <v/>
      </c>
    </row>
    <row r="1004">
      <c r="A1004" t="inlineStr">
        <is>
          <t>Entry 记录</t>
        </is>
      </c>
      <c r="B1004" s="5">
        <f>IF('Daily Sale entry '!P1004="","",'Daily Sale entry '!O1004)</f>
        <v/>
      </c>
      <c r="C1004">
        <f>IF('Daily Sale entry '!P1004="","",'Daily Sale entry '!P1004)</f>
        <v/>
      </c>
      <c r="D1004">
        <f>IF(C1004="","",IF('Daily Sale entry '!Q1004="Credit Sale 赊销",'Daily Sale entry '!S1004,0))</f>
        <v/>
      </c>
      <c r="E1004">
        <f>IF(C1004="","",IF('Daily Sale entry '!Q1004="Collection 收款",'Daily Sale entry '!S1004,0))</f>
        <v/>
      </c>
      <c r="F1004" s="37">
        <f>IF(C1004="","",B1004+IF(E1004&gt;0,0,0.5)+ROW()/10000000)</f>
        <v/>
      </c>
      <c r="G1004">
        <f>IF(C1004="","",'Daily Sale entry '!Q1004&amp;IF('Daily Sale entry '!Q1004="Collection 收款"," ("&amp;'Daily Sale entry '!R1004&amp;")","")&amp;IF('Daily Sale entry '!U1004="",""," - "&amp;'Daily Sale entry '!U1004))</f>
        <v/>
      </c>
      <c r="H1004">
        <f>IF(C1004="","",COUNTIFS($C$2:$C$3001,C1004,$F$2:$F$3001,"&lt;"&amp;F1004)+1)</f>
        <v/>
      </c>
      <c r="I1004">
        <f>IF(C1004="","",C1004&amp;"|"&amp;H1004)</f>
        <v/>
      </c>
      <c r="J1004" s="6">
        <f>IF(C1004="","",IF(H1004=1,SUMIFS('Opening Balance'!$F$4:$F$303,'Opening Balance'!$G$4:$G$303,C1004),INDEX($L$2:$L$3001,MATCH(C1004&amp;"|"&amp;(H1004-1),$I$2:$I$3001,0))))</f>
        <v/>
      </c>
      <c r="K1004" s="6">
        <f>IF(C1004="","",IF(M1004&gt;0,M1004,IF(AND(E1004&gt;0,ROUND(J1004+D1004-E1004,2)&gt;0,ROUND(J1004+D1004-E1004,2)&lt;'Opening Balance'!$B$14),ROUND(J1004+D1004-E1004,2),0)))</f>
        <v/>
      </c>
      <c r="L1004" s="6">
        <f>IF(C1004="","",ROUND(J1004+D1004-E1004-K1004,2))</f>
        <v/>
      </c>
      <c r="M1004" s="6">
        <f>IF(C1004="","",IF('Daily Sale entry '!Q1004="Collection 收款",ROUND(N('Daily Sale entry '!T1004),2),0))</f>
        <v/>
      </c>
    </row>
    <row r="1005">
      <c r="A1005" t="inlineStr">
        <is>
          <t>Entry 记录</t>
        </is>
      </c>
      <c r="B1005" s="5">
        <f>IF('Daily Sale entry '!P1005="","",'Daily Sale entry '!O1005)</f>
        <v/>
      </c>
      <c r="C1005">
        <f>IF('Daily Sale entry '!P1005="","",'Daily Sale entry '!P1005)</f>
        <v/>
      </c>
      <c r="D1005">
        <f>IF(C1005="","",IF('Daily Sale entry '!Q1005="Credit Sale 赊销",'Daily Sale entry '!S1005,0))</f>
        <v/>
      </c>
      <c r="E1005">
        <f>IF(C1005="","",IF('Daily Sale entry '!Q1005="Collection 收款",'Daily Sale entry '!S1005,0))</f>
        <v/>
      </c>
      <c r="F1005" s="37">
        <f>IF(C1005="","",B1005+IF(E1005&gt;0,0,0.5)+ROW()/10000000)</f>
        <v/>
      </c>
      <c r="G1005">
        <f>IF(C1005="","",'Daily Sale entry '!Q1005&amp;IF('Daily Sale entry '!Q1005="Collection 收款"," ("&amp;'Daily Sale entry '!R1005&amp;")","")&amp;IF('Daily Sale entry '!U1005="",""," - "&amp;'Daily Sale entry '!U1005))</f>
        <v/>
      </c>
      <c r="H1005">
        <f>IF(C1005="","",COUNTIFS($C$2:$C$3001,C1005,$F$2:$F$3001,"&lt;"&amp;F1005)+1)</f>
        <v/>
      </c>
      <c r="I1005">
        <f>IF(C1005="","",C1005&amp;"|"&amp;H1005)</f>
        <v/>
      </c>
      <c r="J1005" s="6">
        <f>IF(C1005="","",IF(H1005=1,SUMIFS('Opening Balance'!$F$4:$F$303,'Opening Balance'!$G$4:$G$303,C1005),INDEX($L$2:$L$3001,MATCH(C1005&amp;"|"&amp;(H1005-1),$I$2:$I$3001,0))))</f>
        <v/>
      </c>
      <c r="K1005" s="6">
        <f>IF(C1005="","",IF(M1005&gt;0,M1005,IF(AND(E1005&gt;0,ROUND(J1005+D1005-E1005,2)&gt;0,ROUND(J1005+D1005-E1005,2)&lt;'Opening Balance'!$B$14),ROUND(J1005+D1005-E1005,2),0)))</f>
        <v/>
      </c>
      <c r="L1005" s="6">
        <f>IF(C1005="","",ROUND(J1005+D1005-E1005-K1005,2))</f>
        <v/>
      </c>
      <c r="M1005" s="6">
        <f>IF(C1005="","",IF('Daily Sale entry '!Q1005="Collection 收款",ROUND(N('Daily Sale entry '!T1005),2),0))</f>
        <v/>
      </c>
    </row>
    <row r="1006">
      <c r="A1006" t="inlineStr">
        <is>
          <t>Entry 记录</t>
        </is>
      </c>
      <c r="B1006" s="5">
        <f>IF('Daily Sale entry '!P1006="","",'Daily Sale entry '!O1006)</f>
        <v/>
      </c>
      <c r="C1006">
        <f>IF('Daily Sale entry '!P1006="","",'Daily Sale entry '!P1006)</f>
        <v/>
      </c>
      <c r="D1006">
        <f>IF(C1006="","",IF('Daily Sale entry '!Q1006="Credit Sale 赊销",'Daily Sale entry '!S1006,0))</f>
        <v/>
      </c>
      <c r="E1006">
        <f>IF(C1006="","",IF('Daily Sale entry '!Q1006="Collection 收款",'Daily Sale entry '!S1006,0))</f>
        <v/>
      </c>
      <c r="F1006" s="37">
        <f>IF(C1006="","",B1006+IF(E1006&gt;0,0,0.5)+ROW()/10000000)</f>
        <v/>
      </c>
      <c r="G1006">
        <f>IF(C1006="","",'Daily Sale entry '!Q1006&amp;IF('Daily Sale entry '!Q1006="Collection 收款"," ("&amp;'Daily Sale entry '!R1006&amp;")","")&amp;IF('Daily Sale entry '!U1006="",""," - "&amp;'Daily Sale entry '!U1006))</f>
        <v/>
      </c>
      <c r="H1006">
        <f>IF(C1006="","",COUNTIFS($C$2:$C$3001,C1006,$F$2:$F$3001,"&lt;"&amp;F1006)+1)</f>
        <v/>
      </c>
      <c r="I1006">
        <f>IF(C1006="","",C1006&amp;"|"&amp;H1006)</f>
        <v/>
      </c>
      <c r="J1006" s="6">
        <f>IF(C1006="","",IF(H1006=1,SUMIFS('Opening Balance'!$F$4:$F$303,'Opening Balance'!$G$4:$G$303,C1006),INDEX($L$2:$L$3001,MATCH(C1006&amp;"|"&amp;(H1006-1),$I$2:$I$3001,0))))</f>
        <v/>
      </c>
      <c r="K1006" s="6">
        <f>IF(C1006="","",IF(M1006&gt;0,M1006,IF(AND(E1006&gt;0,ROUND(J1006+D1006-E1006,2)&gt;0,ROUND(J1006+D1006-E1006,2)&lt;'Opening Balance'!$B$14),ROUND(J1006+D1006-E1006,2),0)))</f>
        <v/>
      </c>
      <c r="L1006" s="6">
        <f>IF(C1006="","",ROUND(J1006+D1006-E1006-K1006,2))</f>
        <v/>
      </c>
      <c r="M1006" s="6">
        <f>IF(C1006="","",IF('Daily Sale entry '!Q1006="Collection 收款",ROUND(N('Daily Sale entry '!T1006),2),0))</f>
        <v/>
      </c>
    </row>
    <row r="1007">
      <c r="A1007" t="inlineStr">
        <is>
          <t>Entry 记录</t>
        </is>
      </c>
      <c r="B1007" s="5">
        <f>IF('Daily Sale entry '!P1007="","",'Daily Sale entry '!O1007)</f>
        <v/>
      </c>
      <c r="C1007">
        <f>IF('Daily Sale entry '!P1007="","",'Daily Sale entry '!P1007)</f>
        <v/>
      </c>
      <c r="D1007">
        <f>IF(C1007="","",IF('Daily Sale entry '!Q1007="Credit Sale 赊销",'Daily Sale entry '!S1007,0))</f>
        <v/>
      </c>
      <c r="E1007">
        <f>IF(C1007="","",IF('Daily Sale entry '!Q1007="Collection 收款",'Daily Sale entry '!S1007,0))</f>
        <v/>
      </c>
      <c r="F1007" s="37">
        <f>IF(C1007="","",B1007+IF(E1007&gt;0,0,0.5)+ROW()/10000000)</f>
        <v/>
      </c>
      <c r="G1007">
        <f>IF(C1007="","",'Daily Sale entry '!Q1007&amp;IF('Daily Sale entry '!Q1007="Collection 收款"," ("&amp;'Daily Sale entry '!R1007&amp;")","")&amp;IF('Daily Sale entry '!U1007="",""," - "&amp;'Daily Sale entry '!U1007))</f>
        <v/>
      </c>
      <c r="H1007">
        <f>IF(C1007="","",COUNTIFS($C$2:$C$3001,C1007,$F$2:$F$3001,"&lt;"&amp;F1007)+1)</f>
        <v/>
      </c>
      <c r="I1007">
        <f>IF(C1007="","",C1007&amp;"|"&amp;H1007)</f>
        <v/>
      </c>
      <c r="J1007" s="6">
        <f>IF(C1007="","",IF(H1007=1,SUMIFS('Opening Balance'!$F$4:$F$303,'Opening Balance'!$G$4:$G$303,C1007),INDEX($L$2:$L$3001,MATCH(C1007&amp;"|"&amp;(H1007-1),$I$2:$I$3001,0))))</f>
        <v/>
      </c>
      <c r="K1007" s="6">
        <f>IF(C1007="","",IF(M1007&gt;0,M1007,IF(AND(E1007&gt;0,ROUND(J1007+D1007-E1007,2)&gt;0,ROUND(J1007+D1007-E1007,2)&lt;'Opening Balance'!$B$14),ROUND(J1007+D1007-E1007,2),0)))</f>
        <v/>
      </c>
      <c r="L1007" s="6">
        <f>IF(C1007="","",ROUND(J1007+D1007-E1007-K1007,2))</f>
        <v/>
      </c>
      <c r="M1007" s="6">
        <f>IF(C1007="","",IF('Daily Sale entry '!Q1007="Collection 收款",ROUND(N('Daily Sale entry '!T1007),2),0))</f>
        <v/>
      </c>
    </row>
    <row r="1008">
      <c r="A1008" t="inlineStr">
        <is>
          <t>Entry 记录</t>
        </is>
      </c>
      <c r="B1008" s="5">
        <f>IF('Daily Sale entry '!P1008="","",'Daily Sale entry '!O1008)</f>
        <v/>
      </c>
      <c r="C1008">
        <f>IF('Daily Sale entry '!P1008="","",'Daily Sale entry '!P1008)</f>
        <v/>
      </c>
      <c r="D1008">
        <f>IF(C1008="","",IF('Daily Sale entry '!Q1008="Credit Sale 赊销",'Daily Sale entry '!S1008,0))</f>
        <v/>
      </c>
      <c r="E1008">
        <f>IF(C1008="","",IF('Daily Sale entry '!Q1008="Collection 收款",'Daily Sale entry '!S1008,0))</f>
        <v/>
      </c>
      <c r="F1008" s="37">
        <f>IF(C1008="","",B1008+IF(E1008&gt;0,0,0.5)+ROW()/10000000)</f>
        <v/>
      </c>
      <c r="G1008">
        <f>IF(C1008="","",'Daily Sale entry '!Q1008&amp;IF('Daily Sale entry '!Q1008="Collection 收款"," ("&amp;'Daily Sale entry '!R1008&amp;")","")&amp;IF('Daily Sale entry '!U1008="",""," - "&amp;'Daily Sale entry '!U1008))</f>
        <v/>
      </c>
      <c r="H1008">
        <f>IF(C1008="","",COUNTIFS($C$2:$C$3001,C1008,$F$2:$F$3001,"&lt;"&amp;F1008)+1)</f>
        <v/>
      </c>
      <c r="I1008">
        <f>IF(C1008="","",C1008&amp;"|"&amp;H1008)</f>
        <v/>
      </c>
      <c r="J1008" s="6">
        <f>IF(C1008="","",IF(H1008=1,SUMIFS('Opening Balance'!$F$4:$F$303,'Opening Balance'!$G$4:$G$303,C1008),INDEX($L$2:$L$3001,MATCH(C1008&amp;"|"&amp;(H1008-1),$I$2:$I$3001,0))))</f>
        <v/>
      </c>
      <c r="K1008" s="6">
        <f>IF(C1008="","",IF(M1008&gt;0,M1008,IF(AND(E1008&gt;0,ROUND(J1008+D1008-E1008,2)&gt;0,ROUND(J1008+D1008-E1008,2)&lt;'Opening Balance'!$B$14),ROUND(J1008+D1008-E1008,2),0)))</f>
        <v/>
      </c>
      <c r="L1008" s="6">
        <f>IF(C1008="","",ROUND(J1008+D1008-E1008-K1008,2))</f>
        <v/>
      </c>
      <c r="M1008" s="6">
        <f>IF(C1008="","",IF('Daily Sale entry '!Q1008="Collection 收款",ROUND(N('Daily Sale entry '!T1008),2),0))</f>
        <v/>
      </c>
    </row>
    <row r="1009">
      <c r="A1009" t="inlineStr">
        <is>
          <t>Entry 记录</t>
        </is>
      </c>
      <c r="B1009" s="5">
        <f>IF('Daily Sale entry '!P1009="","",'Daily Sale entry '!O1009)</f>
        <v/>
      </c>
      <c r="C1009">
        <f>IF('Daily Sale entry '!P1009="","",'Daily Sale entry '!P1009)</f>
        <v/>
      </c>
      <c r="D1009">
        <f>IF(C1009="","",IF('Daily Sale entry '!Q1009="Credit Sale 赊销",'Daily Sale entry '!S1009,0))</f>
        <v/>
      </c>
      <c r="E1009">
        <f>IF(C1009="","",IF('Daily Sale entry '!Q1009="Collection 收款",'Daily Sale entry '!S1009,0))</f>
        <v/>
      </c>
      <c r="F1009" s="37">
        <f>IF(C1009="","",B1009+IF(E1009&gt;0,0,0.5)+ROW()/10000000)</f>
        <v/>
      </c>
      <c r="G1009">
        <f>IF(C1009="","",'Daily Sale entry '!Q1009&amp;IF('Daily Sale entry '!Q1009="Collection 收款"," ("&amp;'Daily Sale entry '!R1009&amp;")","")&amp;IF('Daily Sale entry '!U1009="",""," - "&amp;'Daily Sale entry '!U1009))</f>
        <v/>
      </c>
      <c r="H1009">
        <f>IF(C1009="","",COUNTIFS($C$2:$C$3001,C1009,$F$2:$F$3001,"&lt;"&amp;F1009)+1)</f>
        <v/>
      </c>
      <c r="I1009">
        <f>IF(C1009="","",C1009&amp;"|"&amp;H1009)</f>
        <v/>
      </c>
      <c r="J1009" s="6">
        <f>IF(C1009="","",IF(H1009=1,SUMIFS('Opening Balance'!$F$4:$F$303,'Opening Balance'!$G$4:$G$303,C1009),INDEX($L$2:$L$3001,MATCH(C1009&amp;"|"&amp;(H1009-1),$I$2:$I$3001,0))))</f>
        <v/>
      </c>
      <c r="K1009" s="6">
        <f>IF(C1009="","",IF(M1009&gt;0,M1009,IF(AND(E1009&gt;0,ROUND(J1009+D1009-E1009,2)&gt;0,ROUND(J1009+D1009-E1009,2)&lt;'Opening Balance'!$B$14),ROUND(J1009+D1009-E1009,2),0)))</f>
        <v/>
      </c>
      <c r="L1009" s="6">
        <f>IF(C1009="","",ROUND(J1009+D1009-E1009-K1009,2))</f>
        <v/>
      </c>
      <c r="M1009" s="6">
        <f>IF(C1009="","",IF('Daily Sale entry '!Q1009="Collection 收款",ROUND(N('Daily Sale entry '!T1009),2),0))</f>
        <v/>
      </c>
    </row>
    <row r="1010">
      <c r="A1010" t="inlineStr">
        <is>
          <t>Entry 记录</t>
        </is>
      </c>
      <c r="B1010" s="5">
        <f>IF('Daily Sale entry '!P1010="","",'Daily Sale entry '!O1010)</f>
        <v/>
      </c>
      <c r="C1010">
        <f>IF('Daily Sale entry '!P1010="","",'Daily Sale entry '!P1010)</f>
        <v/>
      </c>
      <c r="D1010">
        <f>IF(C1010="","",IF('Daily Sale entry '!Q1010="Credit Sale 赊销",'Daily Sale entry '!S1010,0))</f>
        <v/>
      </c>
      <c r="E1010">
        <f>IF(C1010="","",IF('Daily Sale entry '!Q1010="Collection 收款",'Daily Sale entry '!S1010,0))</f>
        <v/>
      </c>
      <c r="F1010" s="37">
        <f>IF(C1010="","",B1010+IF(E1010&gt;0,0,0.5)+ROW()/10000000)</f>
        <v/>
      </c>
      <c r="G1010">
        <f>IF(C1010="","",'Daily Sale entry '!Q1010&amp;IF('Daily Sale entry '!Q1010="Collection 收款"," ("&amp;'Daily Sale entry '!R1010&amp;")","")&amp;IF('Daily Sale entry '!U1010="",""," - "&amp;'Daily Sale entry '!U1010))</f>
        <v/>
      </c>
      <c r="H1010">
        <f>IF(C1010="","",COUNTIFS($C$2:$C$3001,C1010,$F$2:$F$3001,"&lt;"&amp;F1010)+1)</f>
        <v/>
      </c>
      <c r="I1010">
        <f>IF(C1010="","",C1010&amp;"|"&amp;H1010)</f>
        <v/>
      </c>
      <c r="J1010" s="6">
        <f>IF(C1010="","",IF(H1010=1,SUMIFS('Opening Balance'!$F$4:$F$303,'Opening Balance'!$G$4:$G$303,C1010),INDEX($L$2:$L$3001,MATCH(C1010&amp;"|"&amp;(H1010-1),$I$2:$I$3001,0))))</f>
        <v/>
      </c>
      <c r="K1010" s="6">
        <f>IF(C1010="","",IF(M1010&gt;0,M1010,IF(AND(E1010&gt;0,ROUND(J1010+D1010-E1010,2)&gt;0,ROUND(J1010+D1010-E1010,2)&lt;'Opening Balance'!$B$14),ROUND(J1010+D1010-E1010,2),0)))</f>
        <v/>
      </c>
      <c r="L1010" s="6">
        <f>IF(C1010="","",ROUND(J1010+D1010-E1010-K1010,2))</f>
        <v/>
      </c>
      <c r="M1010" s="6">
        <f>IF(C1010="","",IF('Daily Sale entry '!Q1010="Collection 收款",ROUND(N('Daily Sale entry '!T1010),2),0))</f>
        <v/>
      </c>
    </row>
    <row r="1011">
      <c r="A1011" t="inlineStr">
        <is>
          <t>Entry 记录</t>
        </is>
      </c>
      <c r="B1011" s="5">
        <f>IF('Daily Sale entry '!P1011="","",'Daily Sale entry '!O1011)</f>
        <v/>
      </c>
      <c r="C1011">
        <f>IF('Daily Sale entry '!P1011="","",'Daily Sale entry '!P1011)</f>
        <v/>
      </c>
      <c r="D1011">
        <f>IF(C1011="","",IF('Daily Sale entry '!Q1011="Credit Sale 赊销",'Daily Sale entry '!S1011,0))</f>
        <v/>
      </c>
      <c r="E1011">
        <f>IF(C1011="","",IF('Daily Sale entry '!Q1011="Collection 收款",'Daily Sale entry '!S1011,0))</f>
        <v/>
      </c>
      <c r="F1011" s="37">
        <f>IF(C1011="","",B1011+IF(E1011&gt;0,0,0.5)+ROW()/10000000)</f>
        <v/>
      </c>
      <c r="G1011">
        <f>IF(C1011="","",'Daily Sale entry '!Q1011&amp;IF('Daily Sale entry '!Q1011="Collection 收款"," ("&amp;'Daily Sale entry '!R1011&amp;")","")&amp;IF('Daily Sale entry '!U1011="",""," - "&amp;'Daily Sale entry '!U1011))</f>
        <v/>
      </c>
      <c r="H1011">
        <f>IF(C1011="","",COUNTIFS($C$2:$C$3001,C1011,$F$2:$F$3001,"&lt;"&amp;F1011)+1)</f>
        <v/>
      </c>
      <c r="I1011">
        <f>IF(C1011="","",C1011&amp;"|"&amp;H1011)</f>
        <v/>
      </c>
      <c r="J1011" s="6">
        <f>IF(C1011="","",IF(H1011=1,SUMIFS('Opening Balance'!$F$4:$F$303,'Opening Balance'!$G$4:$G$303,C1011),INDEX($L$2:$L$3001,MATCH(C1011&amp;"|"&amp;(H1011-1),$I$2:$I$3001,0))))</f>
        <v/>
      </c>
      <c r="K1011" s="6">
        <f>IF(C1011="","",IF(M1011&gt;0,M1011,IF(AND(E1011&gt;0,ROUND(J1011+D1011-E1011,2)&gt;0,ROUND(J1011+D1011-E1011,2)&lt;'Opening Balance'!$B$14),ROUND(J1011+D1011-E1011,2),0)))</f>
        <v/>
      </c>
      <c r="L1011" s="6">
        <f>IF(C1011="","",ROUND(J1011+D1011-E1011-K1011,2))</f>
        <v/>
      </c>
      <c r="M1011" s="6">
        <f>IF(C1011="","",IF('Daily Sale entry '!Q1011="Collection 收款",ROUND(N('Daily Sale entry '!T1011),2),0))</f>
        <v/>
      </c>
    </row>
    <row r="1012">
      <c r="A1012" t="inlineStr">
        <is>
          <t>Entry 记录</t>
        </is>
      </c>
      <c r="B1012" s="5">
        <f>IF('Daily Sale entry '!P1012="","",'Daily Sale entry '!O1012)</f>
        <v/>
      </c>
      <c r="C1012">
        <f>IF('Daily Sale entry '!P1012="","",'Daily Sale entry '!P1012)</f>
        <v/>
      </c>
      <c r="D1012">
        <f>IF(C1012="","",IF('Daily Sale entry '!Q1012="Credit Sale 赊销",'Daily Sale entry '!S1012,0))</f>
        <v/>
      </c>
      <c r="E1012">
        <f>IF(C1012="","",IF('Daily Sale entry '!Q1012="Collection 收款",'Daily Sale entry '!S1012,0))</f>
        <v/>
      </c>
      <c r="F1012" s="37">
        <f>IF(C1012="","",B1012+IF(E1012&gt;0,0,0.5)+ROW()/10000000)</f>
        <v/>
      </c>
      <c r="G1012">
        <f>IF(C1012="","",'Daily Sale entry '!Q1012&amp;IF('Daily Sale entry '!Q1012="Collection 收款"," ("&amp;'Daily Sale entry '!R1012&amp;")","")&amp;IF('Daily Sale entry '!U1012="",""," - "&amp;'Daily Sale entry '!U1012))</f>
        <v/>
      </c>
      <c r="H1012">
        <f>IF(C1012="","",COUNTIFS($C$2:$C$3001,C1012,$F$2:$F$3001,"&lt;"&amp;F1012)+1)</f>
        <v/>
      </c>
      <c r="I1012">
        <f>IF(C1012="","",C1012&amp;"|"&amp;H1012)</f>
        <v/>
      </c>
      <c r="J1012" s="6">
        <f>IF(C1012="","",IF(H1012=1,SUMIFS('Opening Balance'!$F$4:$F$303,'Opening Balance'!$G$4:$G$303,C1012),INDEX($L$2:$L$3001,MATCH(C1012&amp;"|"&amp;(H1012-1),$I$2:$I$3001,0))))</f>
        <v/>
      </c>
      <c r="K1012" s="6">
        <f>IF(C1012="","",IF(M1012&gt;0,M1012,IF(AND(E1012&gt;0,ROUND(J1012+D1012-E1012,2)&gt;0,ROUND(J1012+D1012-E1012,2)&lt;'Opening Balance'!$B$14),ROUND(J1012+D1012-E1012,2),0)))</f>
        <v/>
      </c>
      <c r="L1012" s="6">
        <f>IF(C1012="","",ROUND(J1012+D1012-E1012-K1012,2))</f>
        <v/>
      </c>
      <c r="M1012" s="6">
        <f>IF(C1012="","",IF('Daily Sale entry '!Q1012="Collection 收款",ROUND(N('Daily Sale entry '!T1012),2),0))</f>
        <v/>
      </c>
    </row>
    <row r="1013">
      <c r="A1013" t="inlineStr">
        <is>
          <t>Entry 记录</t>
        </is>
      </c>
      <c r="B1013" s="5">
        <f>IF('Daily Sale entry '!P1013="","",'Daily Sale entry '!O1013)</f>
        <v/>
      </c>
      <c r="C1013">
        <f>IF('Daily Sale entry '!P1013="","",'Daily Sale entry '!P1013)</f>
        <v/>
      </c>
      <c r="D1013">
        <f>IF(C1013="","",IF('Daily Sale entry '!Q1013="Credit Sale 赊销",'Daily Sale entry '!S1013,0))</f>
        <v/>
      </c>
      <c r="E1013">
        <f>IF(C1013="","",IF('Daily Sale entry '!Q1013="Collection 收款",'Daily Sale entry '!S1013,0))</f>
        <v/>
      </c>
      <c r="F1013" s="37">
        <f>IF(C1013="","",B1013+IF(E1013&gt;0,0,0.5)+ROW()/10000000)</f>
        <v/>
      </c>
      <c r="G1013">
        <f>IF(C1013="","",'Daily Sale entry '!Q1013&amp;IF('Daily Sale entry '!Q1013="Collection 收款"," ("&amp;'Daily Sale entry '!R1013&amp;")","")&amp;IF('Daily Sale entry '!U1013="",""," - "&amp;'Daily Sale entry '!U1013))</f>
        <v/>
      </c>
      <c r="H1013">
        <f>IF(C1013="","",COUNTIFS($C$2:$C$3001,C1013,$F$2:$F$3001,"&lt;"&amp;F1013)+1)</f>
        <v/>
      </c>
      <c r="I1013">
        <f>IF(C1013="","",C1013&amp;"|"&amp;H1013)</f>
        <v/>
      </c>
      <c r="J1013" s="6">
        <f>IF(C1013="","",IF(H1013=1,SUMIFS('Opening Balance'!$F$4:$F$303,'Opening Balance'!$G$4:$G$303,C1013),INDEX($L$2:$L$3001,MATCH(C1013&amp;"|"&amp;(H1013-1),$I$2:$I$3001,0))))</f>
        <v/>
      </c>
      <c r="K1013" s="6">
        <f>IF(C1013="","",IF(M1013&gt;0,M1013,IF(AND(E1013&gt;0,ROUND(J1013+D1013-E1013,2)&gt;0,ROUND(J1013+D1013-E1013,2)&lt;'Opening Balance'!$B$14),ROUND(J1013+D1013-E1013,2),0)))</f>
        <v/>
      </c>
      <c r="L1013" s="6">
        <f>IF(C1013="","",ROUND(J1013+D1013-E1013-K1013,2))</f>
        <v/>
      </c>
      <c r="M1013" s="6">
        <f>IF(C1013="","",IF('Daily Sale entry '!Q1013="Collection 收款",ROUND(N('Daily Sale entry '!T1013),2),0))</f>
        <v/>
      </c>
    </row>
    <row r="1014">
      <c r="A1014" t="inlineStr">
        <is>
          <t>Entry 记录</t>
        </is>
      </c>
      <c r="B1014" s="5">
        <f>IF('Daily Sale entry '!P1014="","",'Daily Sale entry '!O1014)</f>
        <v/>
      </c>
      <c r="C1014">
        <f>IF('Daily Sale entry '!P1014="","",'Daily Sale entry '!P1014)</f>
        <v/>
      </c>
      <c r="D1014">
        <f>IF(C1014="","",IF('Daily Sale entry '!Q1014="Credit Sale 赊销",'Daily Sale entry '!S1014,0))</f>
        <v/>
      </c>
      <c r="E1014">
        <f>IF(C1014="","",IF('Daily Sale entry '!Q1014="Collection 收款",'Daily Sale entry '!S1014,0))</f>
        <v/>
      </c>
      <c r="F1014" s="37">
        <f>IF(C1014="","",B1014+IF(E1014&gt;0,0,0.5)+ROW()/10000000)</f>
        <v/>
      </c>
      <c r="G1014">
        <f>IF(C1014="","",'Daily Sale entry '!Q1014&amp;IF('Daily Sale entry '!Q1014="Collection 收款"," ("&amp;'Daily Sale entry '!R1014&amp;")","")&amp;IF('Daily Sale entry '!U1014="",""," - "&amp;'Daily Sale entry '!U1014))</f>
        <v/>
      </c>
      <c r="H1014">
        <f>IF(C1014="","",COUNTIFS($C$2:$C$3001,C1014,$F$2:$F$3001,"&lt;"&amp;F1014)+1)</f>
        <v/>
      </c>
      <c r="I1014">
        <f>IF(C1014="","",C1014&amp;"|"&amp;H1014)</f>
        <v/>
      </c>
      <c r="J1014" s="6">
        <f>IF(C1014="","",IF(H1014=1,SUMIFS('Opening Balance'!$F$4:$F$303,'Opening Balance'!$G$4:$G$303,C1014),INDEX($L$2:$L$3001,MATCH(C1014&amp;"|"&amp;(H1014-1),$I$2:$I$3001,0))))</f>
        <v/>
      </c>
      <c r="K1014" s="6">
        <f>IF(C1014="","",IF(M1014&gt;0,M1014,IF(AND(E1014&gt;0,ROUND(J1014+D1014-E1014,2)&gt;0,ROUND(J1014+D1014-E1014,2)&lt;'Opening Balance'!$B$14),ROUND(J1014+D1014-E1014,2),0)))</f>
        <v/>
      </c>
      <c r="L1014" s="6">
        <f>IF(C1014="","",ROUND(J1014+D1014-E1014-K1014,2))</f>
        <v/>
      </c>
      <c r="M1014" s="6">
        <f>IF(C1014="","",IF('Daily Sale entry '!Q1014="Collection 收款",ROUND(N('Daily Sale entry '!T1014),2),0))</f>
        <v/>
      </c>
    </row>
    <row r="1015">
      <c r="A1015" t="inlineStr">
        <is>
          <t>Entry 记录</t>
        </is>
      </c>
      <c r="B1015" s="5">
        <f>IF('Daily Sale entry '!P1015="","",'Daily Sale entry '!O1015)</f>
        <v/>
      </c>
      <c r="C1015">
        <f>IF('Daily Sale entry '!P1015="","",'Daily Sale entry '!P1015)</f>
        <v/>
      </c>
      <c r="D1015">
        <f>IF(C1015="","",IF('Daily Sale entry '!Q1015="Credit Sale 赊销",'Daily Sale entry '!S1015,0))</f>
        <v/>
      </c>
      <c r="E1015">
        <f>IF(C1015="","",IF('Daily Sale entry '!Q1015="Collection 收款",'Daily Sale entry '!S1015,0))</f>
        <v/>
      </c>
      <c r="F1015" s="37">
        <f>IF(C1015="","",B1015+IF(E1015&gt;0,0,0.5)+ROW()/10000000)</f>
        <v/>
      </c>
      <c r="G1015">
        <f>IF(C1015="","",'Daily Sale entry '!Q1015&amp;IF('Daily Sale entry '!Q1015="Collection 收款"," ("&amp;'Daily Sale entry '!R1015&amp;")","")&amp;IF('Daily Sale entry '!U1015="",""," - "&amp;'Daily Sale entry '!U1015))</f>
        <v/>
      </c>
      <c r="H1015">
        <f>IF(C1015="","",COUNTIFS($C$2:$C$3001,C1015,$F$2:$F$3001,"&lt;"&amp;F1015)+1)</f>
        <v/>
      </c>
      <c r="I1015">
        <f>IF(C1015="","",C1015&amp;"|"&amp;H1015)</f>
        <v/>
      </c>
      <c r="J1015" s="6">
        <f>IF(C1015="","",IF(H1015=1,SUMIFS('Opening Balance'!$F$4:$F$303,'Opening Balance'!$G$4:$G$303,C1015),INDEX($L$2:$L$3001,MATCH(C1015&amp;"|"&amp;(H1015-1),$I$2:$I$3001,0))))</f>
        <v/>
      </c>
      <c r="K1015" s="6">
        <f>IF(C1015="","",IF(M1015&gt;0,M1015,IF(AND(E1015&gt;0,ROUND(J1015+D1015-E1015,2)&gt;0,ROUND(J1015+D1015-E1015,2)&lt;'Opening Balance'!$B$14),ROUND(J1015+D1015-E1015,2),0)))</f>
        <v/>
      </c>
      <c r="L1015" s="6">
        <f>IF(C1015="","",ROUND(J1015+D1015-E1015-K1015,2))</f>
        <v/>
      </c>
      <c r="M1015" s="6">
        <f>IF(C1015="","",IF('Daily Sale entry '!Q1015="Collection 收款",ROUND(N('Daily Sale entry '!T1015),2),0))</f>
        <v/>
      </c>
    </row>
    <row r="1016">
      <c r="A1016" t="inlineStr">
        <is>
          <t>Entry 记录</t>
        </is>
      </c>
      <c r="B1016" s="5">
        <f>IF('Daily Sale entry '!P1016="","",'Daily Sale entry '!O1016)</f>
        <v/>
      </c>
      <c r="C1016">
        <f>IF('Daily Sale entry '!P1016="","",'Daily Sale entry '!P1016)</f>
        <v/>
      </c>
      <c r="D1016">
        <f>IF(C1016="","",IF('Daily Sale entry '!Q1016="Credit Sale 赊销",'Daily Sale entry '!S1016,0))</f>
        <v/>
      </c>
      <c r="E1016">
        <f>IF(C1016="","",IF('Daily Sale entry '!Q1016="Collection 收款",'Daily Sale entry '!S1016,0))</f>
        <v/>
      </c>
      <c r="F1016" s="37">
        <f>IF(C1016="","",B1016+IF(E1016&gt;0,0,0.5)+ROW()/10000000)</f>
        <v/>
      </c>
      <c r="G1016">
        <f>IF(C1016="","",'Daily Sale entry '!Q1016&amp;IF('Daily Sale entry '!Q1016="Collection 收款"," ("&amp;'Daily Sale entry '!R1016&amp;")","")&amp;IF('Daily Sale entry '!U1016="",""," - "&amp;'Daily Sale entry '!U1016))</f>
        <v/>
      </c>
      <c r="H1016">
        <f>IF(C1016="","",COUNTIFS($C$2:$C$3001,C1016,$F$2:$F$3001,"&lt;"&amp;F1016)+1)</f>
        <v/>
      </c>
      <c r="I1016">
        <f>IF(C1016="","",C1016&amp;"|"&amp;H1016)</f>
        <v/>
      </c>
      <c r="J1016" s="6">
        <f>IF(C1016="","",IF(H1016=1,SUMIFS('Opening Balance'!$F$4:$F$303,'Opening Balance'!$G$4:$G$303,C1016),INDEX($L$2:$L$3001,MATCH(C1016&amp;"|"&amp;(H1016-1),$I$2:$I$3001,0))))</f>
        <v/>
      </c>
      <c r="K1016" s="6">
        <f>IF(C1016="","",IF(M1016&gt;0,M1016,IF(AND(E1016&gt;0,ROUND(J1016+D1016-E1016,2)&gt;0,ROUND(J1016+D1016-E1016,2)&lt;'Opening Balance'!$B$14),ROUND(J1016+D1016-E1016,2),0)))</f>
        <v/>
      </c>
      <c r="L1016" s="6">
        <f>IF(C1016="","",ROUND(J1016+D1016-E1016-K1016,2))</f>
        <v/>
      </c>
      <c r="M1016" s="6">
        <f>IF(C1016="","",IF('Daily Sale entry '!Q1016="Collection 收款",ROUND(N('Daily Sale entry '!T1016),2),0))</f>
        <v/>
      </c>
    </row>
    <row r="1017">
      <c r="A1017" t="inlineStr">
        <is>
          <t>Entry 记录</t>
        </is>
      </c>
      <c r="B1017" s="5">
        <f>IF('Daily Sale entry '!P1017="","",'Daily Sale entry '!O1017)</f>
        <v/>
      </c>
      <c r="C1017">
        <f>IF('Daily Sale entry '!P1017="","",'Daily Sale entry '!P1017)</f>
        <v/>
      </c>
      <c r="D1017">
        <f>IF(C1017="","",IF('Daily Sale entry '!Q1017="Credit Sale 赊销",'Daily Sale entry '!S1017,0))</f>
        <v/>
      </c>
      <c r="E1017">
        <f>IF(C1017="","",IF('Daily Sale entry '!Q1017="Collection 收款",'Daily Sale entry '!S1017,0))</f>
        <v/>
      </c>
      <c r="F1017" s="37">
        <f>IF(C1017="","",B1017+IF(E1017&gt;0,0,0.5)+ROW()/10000000)</f>
        <v/>
      </c>
      <c r="G1017">
        <f>IF(C1017="","",'Daily Sale entry '!Q1017&amp;IF('Daily Sale entry '!Q1017="Collection 收款"," ("&amp;'Daily Sale entry '!R1017&amp;")","")&amp;IF('Daily Sale entry '!U1017="",""," - "&amp;'Daily Sale entry '!U1017))</f>
        <v/>
      </c>
      <c r="H1017">
        <f>IF(C1017="","",COUNTIFS($C$2:$C$3001,C1017,$F$2:$F$3001,"&lt;"&amp;F1017)+1)</f>
        <v/>
      </c>
      <c r="I1017">
        <f>IF(C1017="","",C1017&amp;"|"&amp;H1017)</f>
        <v/>
      </c>
      <c r="J1017" s="6">
        <f>IF(C1017="","",IF(H1017=1,SUMIFS('Opening Balance'!$F$4:$F$303,'Opening Balance'!$G$4:$G$303,C1017),INDEX($L$2:$L$3001,MATCH(C1017&amp;"|"&amp;(H1017-1),$I$2:$I$3001,0))))</f>
        <v/>
      </c>
      <c r="K1017" s="6">
        <f>IF(C1017="","",IF(M1017&gt;0,M1017,IF(AND(E1017&gt;0,ROUND(J1017+D1017-E1017,2)&gt;0,ROUND(J1017+D1017-E1017,2)&lt;'Opening Balance'!$B$14),ROUND(J1017+D1017-E1017,2),0)))</f>
        <v/>
      </c>
      <c r="L1017" s="6">
        <f>IF(C1017="","",ROUND(J1017+D1017-E1017-K1017,2))</f>
        <v/>
      </c>
      <c r="M1017" s="6">
        <f>IF(C1017="","",IF('Daily Sale entry '!Q1017="Collection 收款",ROUND(N('Daily Sale entry '!T1017),2),0))</f>
        <v/>
      </c>
    </row>
    <row r="1018">
      <c r="A1018" t="inlineStr">
        <is>
          <t>Entry 记录</t>
        </is>
      </c>
      <c r="B1018" s="5">
        <f>IF('Daily Sale entry '!P1018="","",'Daily Sale entry '!O1018)</f>
        <v/>
      </c>
      <c r="C1018">
        <f>IF('Daily Sale entry '!P1018="","",'Daily Sale entry '!P1018)</f>
        <v/>
      </c>
      <c r="D1018">
        <f>IF(C1018="","",IF('Daily Sale entry '!Q1018="Credit Sale 赊销",'Daily Sale entry '!S1018,0))</f>
        <v/>
      </c>
      <c r="E1018">
        <f>IF(C1018="","",IF('Daily Sale entry '!Q1018="Collection 收款",'Daily Sale entry '!S1018,0))</f>
        <v/>
      </c>
      <c r="F1018" s="37">
        <f>IF(C1018="","",B1018+IF(E1018&gt;0,0,0.5)+ROW()/10000000)</f>
        <v/>
      </c>
      <c r="G1018">
        <f>IF(C1018="","",'Daily Sale entry '!Q1018&amp;IF('Daily Sale entry '!Q1018="Collection 收款"," ("&amp;'Daily Sale entry '!R1018&amp;")","")&amp;IF('Daily Sale entry '!U1018="",""," - "&amp;'Daily Sale entry '!U1018))</f>
        <v/>
      </c>
      <c r="H1018">
        <f>IF(C1018="","",COUNTIFS($C$2:$C$3001,C1018,$F$2:$F$3001,"&lt;"&amp;F1018)+1)</f>
        <v/>
      </c>
      <c r="I1018">
        <f>IF(C1018="","",C1018&amp;"|"&amp;H1018)</f>
        <v/>
      </c>
      <c r="J1018" s="6">
        <f>IF(C1018="","",IF(H1018=1,SUMIFS('Opening Balance'!$F$4:$F$303,'Opening Balance'!$G$4:$G$303,C1018),INDEX($L$2:$L$3001,MATCH(C1018&amp;"|"&amp;(H1018-1),$I$2:$I$3001,0))))</f>
        <v/>
      </c>
      <c r="K1018" s="6">
        <f>IF(C1018="","",IF(M1018&gt;0,M1018,IF(AND(E1018&gt;0,ROUND(J1018+D1018-E1018,2)&gt;0,ROUND(J1018+D1018-E1018,2)&lt;'Opening Balance'!$B$14),ROUND(J1018+D1018-E1018,2),0)))</f>
        <v/>
      </c>
      <c r="L1018" s="6">
        <f>IF(C1018="","",ROUND(J1018+D1018-E1018-K1018,2))</f>
        <v/>
      </c>
      <c r="M1018" s="6">
        <f>IF(C1018="","",IF('Daily Sale entry '!Q1018="Collection 收款",ROUND(N('Daily Sale entry '!T1018),2),0))</f>
        <v/>
      </c>
    </row>
    <row r="1019">
      <c r="A1019" t="inlineStr">
        <is>
          <t>Entry 记录</t>
        </is>
      </c>
      <c r="B1019" s="5">
        <f>IF('Daily Sale entry '!P1019="","",'Daily Sale entry '!O1019)</f>
        <v/>
      </c>
      <c r="C1019">
        <f>IF('Daily Sale entry '!P1019="","",'Daily Sale entry '!P1019)</f>
        <v/>
      </c>
      <c r="D1019">
        <f>IF(C1019="","",IF('Daily Sale entry '!Q1019="Credit Sale 赊销",'Daily Sale entry '!S1019,0))</f>
        <v/>
      </c>
      <c r="E1019">
        <f>IF(C1019="","",IF('Daily Sale entry '!Q1019="Collection 收款",'Daily Sale entry '!S1019,0))</f>
        <v/>
      </c>
      <c r="F1019" s="37">
        <f>IF(C1019="","",B1019+IF(E1019&gt;0,0,0.5)+ROW()/10000000)</f>
        <v/>
      </c>
      <c r="G1019">
        <f>IF(C1019="","",'Daily Sale entry '!Q1019&amp;IF('Daily Sale entry '!Q1019="Collection 收款"," ("&amp;'Daily Sale entry '!R1019&amp;")","")&amp;IF('Daily Sale entry '!U1019="",""," - "&amp;'Daily Sale entry '!U1019))</f>
        <v/>
      </c>
      <c r="H1019">
        <f>IF(C1019="","",COUNTIFS($C$2:$C$3001,C1019,$F$2:$F$3001,"&lt;"&amp;F1019)+1)</f>
        <v/>
      </c>
      <c r="I1019">
        <f>IF(C1019="","",C1019&amp;"|"&amp;H1019)</f>
        <v/>
      </c>
      <c r="J1019" s="6">
        <f>IF(C1019="","",IF(H1019=1,SUMIFS('Opening Balance'!$F$4:$F$303,'Opening Balance'!$G$4:$G$303,C1019),INDEX($L$2:$L$3001,MATCH(C1019&amp;"|"&amp;(H1019-1),$I$2:$I$3001,0))))</f>
        <v/>
      </c>
      <c r="K1019" s="6">
        <f>IF(C1019="","",IF(M1019&gt;0,M1019,IF(AND(E1019&gt;0,ROUND(J1019+D1019-E1019,2)&gt;0,ROUND(J1019+D1019-E1019,2)&lt;'Opening Balance'!$B$14),ROUND(J1019+D1019-E1019,2),0)))</f>
        <v/>
      </c>
      <c r="L1019" s="6">
        <f>IF(C1019="","",ROUND(J1019+D1019-E1019-K1019,2))</f>
        <v/>
      </c>
      <c r="M1019" s="6">
        <f>IF(C1019="","",IF('Daily Sale entry '!Q1019="Collection 收款",ROUND(N('Daily Sale entry '!T1019),2),0))</f>
        <v/>
      </c>
    </row>
    <row r="1020">
      <c r="A1020" t="inlineStr">
        <is>
          <t>Entry 记录</t>
        </is>
      </c>
      <c r="B1020" s="5">
        <f>IF('Daily Sale entry '!P1020="","",'Daily Sale entry '!O1020)</f>
        <v/>
      </c>
      <c r="C1020">
        <f>IF('Daily Sale entry '!P1020="","",'Daily Sale entry '!P1020)</f>
        <v/>
      </c>
      <c r="D1020">
        <f>IF(C1020="","",IF('Daily Sale entry '!Q1020="Credit Sale 赊销",'Daily Sale entry '!S1020,0))</f>
        <v/>
      </c>
      <c r="E1020">
        <f>IF(C1020="","",IF('Daily Sale entry '!Q1020="Collection 收款",'Daily Sale entry '!S1020,0))</f>
        <v/>
      </c>
      <c r="F1020" s="37">
        <f>IF(C1020="","",B1020+IF(E1020&gt;0,0,0.5)+ROW()/10000000)</f>
        <v/>
      </c>
      <c r="G1020">
        <f>IF(C1020="","",'Daily Sale entry '!Q1020&amp;IF('Daily Sale entry '!Q1020="Collection 收款"," ("&amp;'Daily Sale entry '!R1020&amp;")","")&amp;IF('Daily Sale entry '!U1020="",""," - "&amp;'Daily Sale entry '!U1020))</f>
        <v/>
      </c>
      <c r="H1020">
        <f>IF(C1020="","",COUNTIFS($C$2:$C$3001,C1020,$F$2:$F$3001,"&lt;"&amp;F1020)+1)</f>
        <v/>
      </c>
      <c r="I1020">
        <f>IF(C1020="","",C1020&amp;"|"&amp;H1020)</f>
        <v/>
      </c>
      <c r="J1020" s="6">
        <f>IF(C1020="","",IF(H1020=1,SUMIFS('Opening Balance'!$F$4:$F$303,'Opening Balance'!$G$4:$G$303,C1020),INDEX($L$2:$L$3001,MATCH(C1020&amp;"|"&amp;(H1020-1),$I$2:$I$3001,0))))</f>
        <v/>
      </c>
      <c r="K1020" s="6">
        <f>IF(C1020="","",IF(M1020&gt;0,M1020,IF(AND(E1020&gt;0,ROUND(J1020+D1020-E1020,2)&gt;0,ROUND(J1020+D1020-E1020,2)&lt;'Opening Balance'!$B$14),ROUND(J1020+D1020-E1020,2),0)))</f>
        <v/>
      </c>
      <c r="L1020" s="6">
        <f>IF(C1020="","",ROUND(J1020+D1020-E1020-K1020,2))</f>
        <v/>
      </c>
      <c r="M1020" s="6">
        <f>IF(C1020="","",IF('Daily Sale entry '!Q1020="Collection 收款",ROUND(N('Daily Sale entry '!T1020),2),0))</f>
        <v/>
      </c>
    </row>
    <row r="1021">
      <c r="A1021" t="inlineStr">
        <is>
          <t>Entry 记录</t>
        </is>
      </c>
      <c r="B1021" s="5">
        <f>IF('Daily Sale entry '!P1021="","",'Daily Sale entry '!O1021)</f>
        <v/>
      </c>
      <c r="C1021">
        <f>IF('Daily Sale entry '!P1021="","",'Daily Sale entry '!P1021)</f>
        <v/>
      </c>
      <c r="D1021">
        <f>IF(C1021="","",IF('Daily Sale entry '!Q1021="Credit Sale 赊销",'Daily Sale entry '!S1021,0))</f>
        <v/>
      </c>
      <c r="E1021">
        <f>IF(C1021="","",IF('Daily Sale entry '!Q1021="Collection 收款",'Daily Sale entry '!S1021,0))</f>
        <v/>
      </c>
      <c r="F1021" s="37">
        <f>IF(C1021="","",B1021+IF(E1021&gt;0,0,0.5)+ROW()/10000000)</f>
        <v/>
      </c>
      <c r="G1021">
        <f>IF(C1021="","",'Daily Sale entry '!Q1021&amp;IF('Daily Sale entry '!Q1021="Collection 收款"," ("&amp;'Daily Sale entry '!R1021&amp;")","")&amp;IF('Daily Sale entry '!U1021="",""," - "&amp;'Daily Sale entry '!U1021))</f>
        <v/>
      </c>
      <c r="H1021">
        <f>IF(C1021="","",COUNTIFS($C$2:$C$3001,C1021,$F$2:$F$3001,"&lt;"&amp;F1021)+1)</f>
        <v/>
      </c>
      <c r="I1021">
        <f>IF(C1021="","",C1021&amp;"|"&amp;H1021)</f>
        <v/>
      </c>
      <c r="J1021" s="6">
        <f>IF(C1021="","",IF(H1021=1,SUMIFS('Opening Balance'!$F$4:$F$303,'Opening Balance'!$G$4:$G$303,C1021),INDEX($L$2:$L$3001,MATCH(C1021&amp;"|"&amp;(H1021-1),$I$2:$I$3001,0))))</f>
        <v/>
      </c>
      <c r="K1021" s="6">
        <f>IF(C1021="","",IF(M1021&gt;0,M1021,IF(AND(E1021&gt;0,ROUND(J1021+D1021-E1021,2)&gt;0,ROUND(J1021+D1021-E1021,2)&lt;'Opening Balance'!$B$14),ROUND(J1021+D1021-E1021,2),0)))</f>
        <v/>
      </c>
      <c r="L1021" s="6">
        <f>IF(C1021="","",ROUND(J1021+D1021-E1021-K1021,2))</f>
        <v/>
      </c>
      <c r="M1021" s="6">
        <f>IF(C1021="","",IF('Daily Sale entry '!Q1021="Collection 收款",ROUND(N('Daily Sale entry '!T1021),2),0))</f>
        <v/>
      </c>
    </row>
    <row r="1022">
      <c r="A1022" t="inlineStr">
        <is>
          <t>Entry 记录</t>
        </is>
      </c>
      <c r="B1022" s="5">
        <f>IF('Daily Sale entry '!P1022="","",'Daily Sale entry '!O1022)</f>
        <v/>
      </c>
      <c r="C1022">
        <f>IF('Daily Sale entry '!P1022="","",'Daily Sale entry '!P1022)</f>
        <v/>
      </c>
      <c r="D1022">
        <f>IF(C1022="","",IF('Daily Sale entry '!Q1022="Credit Sale 赊销",'Daily Sale entry '!S1022,0))</f>
        <v/>
      </c>
      <c r="E1022">
        <f>IF(C1022="","",IF('Daily Sale entry '!Q1022="Collection 收款",'Daily Sale entry '!S1022,0))</f>
        <v/>
      </c>
      <c r="F1022" s="37">
        <f>IF(C1022="","",B1022+IF(E1022&gt;0,0,0.5)+ROW()/10000000)</f>
        <v/>
      </c>
      <c r="G1022">
        <f>IF(C1022="","",'Daily Sale entry '!Q1022&amp;IF('Daily Sale entry '!Q1022="Collection 收款"," ("&amp;'Daily Sale entry '!R1022&amp;")","")&amp;IF('Daily Sale entry '!U1022="",""," - "&amp;'Daily Sale entry '!U1022))</f>
        <v/>
      </c>
      <c r="H1022">
        <f>IF(C1022="","",COUNTIFS($C$2:$C$3001,C1022,$F$2:$F$3001,"&lt;"&amp;F1022)+1)</f>
        <v/>
      </c>
      <c r="I1022">
        <f>IF(C1022="","",C1022&amp;"|"&amp;H1022)</f>
        <v/>
      </c>
      <c r="J1022" s="6">
        <f>IF(C1022="","",IF(H1022=1,SUMIFS('Opening Balance'!$F$4:$F$303,'Opening Balance'!$G$4:$G$303,C1022),INDEX($L$2:$L$3001,MATCH(C1022&amp;"|"&amp;(H1022-1),$I$2:$I$3001,0))))</f>
        <v/>
      </c>
      <c r="K1022" s="6">
        <f>IF(C1022="","",IF(M1022&gt;0,M1022,IF(AND(E1022&gt;0,ROUND(J1022+D1022-E1022,2)&gt;0,ROUND(J1022+D1022-E1022,2)&lt;'Opening Balance'!$B$14),ROUND(J1022+D1022-E1022,2),0)))</f>
        <v/>
      </c>
      <c r="L1022" s="6">
        <f>IF(C1022="","",ROUND(J1022+D1022-E1022-K1022,2))</f>
        <v/>
      </c>
      <c r="M1022" s="6">
        <f>IF(C1022="","",IF('Daily Sale entry '!Q1022="Collection 收款",ROUND(N('Daily Sale entry '!T1022),2),0))</f>
        <v/>
      </c>
    </row>
    <row r="1023">
      <c r="A1023" t="inlineStr">
        <is>
          <t>Entry 记录</t>
        </is>
      </c>
      <c r="B1023" s="5">
        <f>IF('Daily Sale entry '!P1023="","",'Daily Sale entry '!O1023)</f>
        <v/>
      </c>
      <c r="C1023">
        <f>IF('Daily Sale entry '!P1023="","",'Daily Sale entry '!P1023)</f>
        <v/>
      </c>
      <c r="D1023">
        <f>IF(C1023="","",IF('Daily Sale entry '!Q1023="Credit Sale 赊销",'Daily Sale entry '!S1023,0))</f>
        <v/>
      </c>
      <c r="E1023">
        <f>IF(C1023="","",IF('Daily Sale entry '!Q1023="Collection 收款",'Daily Sale entry '!S1023,0))</f>
        <v/>
      </c>
      <c r="F1023" s="37">
        <f>IF(C1023="","",B1023+IF(E1023&gt;0,0,0.5)+ROW()/10000000)</f>
        <v/>
      </c>
      <c r="G1023">
        <f>IF(C1023="","",'Daily Sale entry '!Q1023&amp;IF('Daily Sale entry '!Q1023="Collection 收款"," ("&amp;'Daily Sale entry '!R1023&amp;")","")&amp;IF('Daily Sale entry '!U1023="",""," - "&amp;'Daily Sale entry '!U1023))</f>
        <v/>
      </c>
      <c r="H1023">
        <f>IF(C1023="","",COUNTIFS($C$2:$C$3001,C1023,$F$2:$F$3001,"&lt;"&amp;F1023)+1)</f>
        <v/>
      </c>
      <c r="I1023">
        <f>IF(C1023="","",C1023&amp;"|"&amp;H1023)</f>
        <v/>
      </c>
      <c r="J1023" s="6">
        <f>IF(C1023="","",IF(H1023=1,SUMIFS('Opening Balance'!$F$4:$F$303,'Opening Balance'!$G$4:$G$303,C1023),INDEX($L$2:$L$3001,MATCH(C1023&amp;"|"&amp;(H1023-1),$I$2:$I$3001,0))))</f>
        <v/>
      </c>
      <c r="K1023" s="6">
        <f>IF(C1023="","",IF(M1023&gt;0,M1023,IF(AND(E1023&gt;0,ROUND(J1023+D1023-E1023,2)&gt;0,ROUND(J1023+D1023-E1023,2)&lt;'Opening Balance'!$B$14),ROUND(J1023+D1023-E1023,2),0)))</f>
        <v/>
      </c>
      <c r="L1023" s="6">
        <f>IF(C1023="","",ROUND(J1023+D1023-E1023-K1023,2))</f>
        <v/>
      </c>
      <c r="M1023" s="6">
        <f>IF(C1023="","",IF('Daily Sale entry '!Q1023="Collection 收款",ROUND(N('Daily Sale entry '!T1023),2),0))</f>
        <v/>
      </c>
    </row>
    <row r="1024">
      <c r="A1024" t="inlineStr">
        <is>
          <t>Entry 记录</t>
        </is>
      </c>
      <c r="B1024" s="5">
        <f>IF('Daily Sale entry '!P1024="","",'Daily Sale entry '!O1024)</f>
        <v/>
      </c>
      <c r="C1024">
        <f>IF('Daily Sale entry '!P1024="","",'Daily Sale entry '!P1024)</f>
        <v/>
      </c>
      <c r="D1024">
        <f>IF(C1024="","",IF('Daily Sale entry '!Q1024="Credit Sale 赊销",'Daily Sale entry '!S1024,0))</f>
        <v/>
      </c>
      <c r="E1024">
        <f>IF(C1024="","",IF('Daily Sale entry '!Q1024="Collection 收款",'Daily Sale entry '!S1024,0))</f>
        <v/>
      </c>
      <c r="F1024" s="37">
        <f>IF(C1024="","",B1024+IF(E1024&gt;0,0,0.5)+ROW()/10000000)</f>
        <v/>
      </c>
      <c r="G1024">
        <f>IF(C1024="","",'Daily Sale entry '!Q1024&amp;IF('Daily Sale entry '!Q1024="Collection 收款"," ("&amp;'Daily Sale entry '!R1024&amp;")","")&amp;IF('Daily Sale entry '!U1024="",""," - "&amp;'Daily Sale entry '!U1024))</f>
        <v/>
      </c>
      <c r="H1024">
        <f>IF(C1024="","",COUNTIFS($C$2:$C$3001,C1024,$F$2:$F$3001,"&lt;"&amp;F1024)+1)</f>
        <v/>
      </c>
      <c r="I1024">
        <f>IF(C1024="","",C1024&amp;"|"&amp;H1024)</f>
        <v/>
      </c>
      <c r="J1024" s="6">
        <f>IF(C1024="","",IF(H1024=1,SUMIFS('Opening Balance'!$F$4:$F$303,'Opening Balance'!$G$4:$G$303,C1024),INDEX($L$2:$L$3001,MATCH(C1024&amp;"|"&amp;(H1024-1),$I$2:$I$3001,0))))</f>
        <v/>
      </c>
      <c r="K1024" s="6">
        <f>IF(C1024="","",IF(M1024&gt;0,M1024,IF(AND(E1024&gt;0,ROUND(J1024+D1024-E1024,2)&gt;0,ROUND(J1024+D1024-E1024,2)&lt;'Opening Balance'!$B$14),ROUND(J1024+D1024-E1024,2),0)))</f>
        <v/>
      </c>
      <c r="L1024" s="6">
        <f>IF(C1024="","",ROUND(J1024+D1024-E1024-K1024,2))</f>
        <v/>
      </c>
      <c r="M1024" s="6">
        <f>IF(C1024="","",IF('Daily Sale entry '!Q1024="Collection 收款",ROUND(N('Daily Sale entry '!T1024),2),0))</f>
        <v/>
      </c>
    </row>
    <row r="1025">
      <c r="A1025" t="inlineStr">
        <is>
          <t>Entry 记录</t>
        </is>
      </c>
      <c r="B1025" s="5">
        <f>IF('Daily Sale entry '!P1025="","",'Daily Sale entry '!O1025)</f>
        <v/>
      </c>
      <c r="C1025">
        <f>IF('Daily Sale entry '!P1025="","",'Daily Sale entry '!P1025)</f>
        <v/>
      </c>
      <c r="D1025">
        <f>IF(C1025="","",IF('Daily Sale entry '!Q1025="Credit Sale 赊销",'Daily Sale entry '!S1025,0))</f>
        <v/>
      </c>
      <c r="E1025">
        <f>IF(C1025="","",IF('Daily Sale entry '!Q1025="Collection 收款",'Daily Sale entry '!S1025,0))</f>
        <v/>
      </c>
      <c r="F1025" s="37">
        <f>IF(C1025="","",B1025+IF(E1025&gt;0,0,0.5)+ROW()/10000000)</f>
        <v/>
      </c>
      <c r="G1025">
        <f>IF(C1025="","",'Daily Sale entry '!Q1025&amp;IF('Daily Sale entry '!Q1025="Collection 收款"," ("&amp;'Daily Sale entry '!R1025&amp;")","")&amp;IF('Daily Sale entry '!U1025="",""," - "&amp;'Daily Sale entry '!U1025))</f>
        <v/>
      </c>
      <c r="H1025">
        <f>IF(C1025="","",COUNTIFS($C$2:$C$3001,C1025,$F$2:$F$3001,"&lt;"&amp;F1025)+1)</f>
        <v/>
      </c>
      <c r="I1025">
        <f>IF(C1025="","",C1025&amp;"|"&amp;H1025)</f>
        <v/>
      </c>
      <c r="J1025" s="6">
        <f>IF(C1025="","",IF(H1025=1,SUMIFS('Opening Balance'!$F$4:$F$303,'Opening Balance'!$G$4:$G$303,C1025),INDEX($L$2:$L$3001,MATCH(C1025&amp;"|"&amp;(H1025-1),$I$2:$I$3001,0))))</f>
        <v/>
      </c>
      <c r="K1025" s="6">
        <f>IF(C1025="","",IF(M1025&gt;0,M1025,IF(AND(E1025&gt;0,ROUND(J1025+D1025-E1025,2)&gt;0,ROUND(J1025+D1025-E1025,2)&lt;'Opening Balance'!$B$14),ROUND(J1025+D1025-E1025,2),0)))</f>
        <v/>
      </c>
      <c r="L1025" s="6">
        <f>IF(C1025="","",ROUND(J1025+D1025-E1025-K1025,2))</f>
        <v/>
      </c>
      <c r="M1025" s="6">
        <f>IF(C1025="","",IF('Daily Sale entry '!Q1025="Collection 收款",ROUND(N('Daily Sale entry '!T1025),2),0))</f>
        <v/>
      </c>
    </row>
    <row r="1026">
      <c r="A1026" t="inlineStr">
        <is>
          <t>Entry 记录</t>
        </is>
      </c>
      <c r="B1026" s="5">
        <f>IF('Daily Sale entry '!P1026="","",'Daily Sale entry '!O1026)</f>
        <v/>
      </c>
      <c r="C1026">
        <f>IF('Daily Sale entry '!P1026="","",'Daily Sale entry '!P1026)</f>
        <v/>
      </c>
      <c r="D1026">
        <f>IF(C1026="","",IF('Daily Sale entry '!Q1026="Credit Sale 赊销",'Daily Sale entry '!S1026,0))</f>
        <v/>
      </c>
      <c r="E1026">
        <f>IF(C1026="","",IF('Daily Sale entry '!Q1026="Collection 收款",'Daily Sale entry '!S1026,0))</f>
        <v/>
      </c>
      <c r="F1026" s="37">
        <f>IF(C1026="","",B1026+IF(E1026&gt;0,0,0.5)+ROW()/10000000)</f>
        <v/>
      </c>
      <c r="G1026">
        <f>IF(C1026="","",'Daily Sale entry '!Q1026&amp;IF('Daily Sale entry '!Q1026="Collection 收款"," ("&amp;'Daily Sale entry '!R1026&amp;")","")&amp;IF('Daily Sale entry '!U1026="",""," - "&amp;'Daily Sale entry '!U1026))</f>
        <v/>
      </c>
      <c r="H1026">
        <f>IF(C1026="","",COUNTIFS($C$2:$C$3001,C1026,$F$2:$F$3001,"&lt;"&amp;F1026)+1)</f>
        <v/>
      </c>
      <c r="I1026">
        <f>IF(C1026="","",C1026&amp;"|"&amp;H1026)</f>
        <v/>
      </c>
      <c r="J1026" s="6">
        <f>IF(C1026="","",IF(H1026=1,SUMIFS('Opening Balance'!$F$4:$F$303,'Opening Balance'!$G$4:$G$303,C1026),INDEX($L$2:$L$3001,MATCH(C1026&amp;"|"&amp;(H1026-1),$I$2:$I$3001,0))))</f>
        <v/>
      </c>
      <c r="K1026" s="6">
        <f>IF(C1026="","",IF(M1026&gt;0,M1026,IF(AND(E1026&gt;0,ROUND(J1026+D1026-E1026,2)&gt;0,ROUND(J1026+D1026-E1026,2)&lt;'Opening Balance'!$B$14),ROUND(J1026+D1026-E1026,2),0)))</f>
        <v/>
      </c>
      <c r="L1026" s="6">
        <f>IF(C1026="","",ROUND(J1026+D1026-E1026-K1026,2))</f>
        <v/>
      </c>
      <c r="M1026" s="6">
        <f>IF(C1026="","",IF('Daily Sale entry '!Q1026="Collection 收款",ROUND(N('Daily Sale entry '!T1026),2),0))</f>
        <v/>
      </c>
    </row>
    <row r="1027">
      <c r="A1027" t="inlineStr">
        <is>
          <t>Entry 记录</t>
        </is>
      </c>
      <c r="B1027" s="5">
        <f>IF('Daily Sale entry '!P1027="","",'Daily Sale entry '!O1027)</f>
        <v/>
      </c>
      <c r="C1027">
        <f>IF('Daily Sale entry '!P1027="","",'Daily Sale entry '!P1027)</f>
        <v/>
      </c>
      <c r="D1027">
        <f>IF(C1027="","",IF('Daily Sale entry '!Q1027="Credit Sale 赊销",'Daily Sale entry '!S1027,0))</f>
        <v/>
      </c>
      <c r="E1027">
        <f>IF(C1027="","",IF('Daily Sale entry '!Q1027="Collection 收款",'Daily Sale entry '!S1027,0))</f>
        <v/>
      </c>
      <c r="F1027" s="37">
        <f>IF(C1027="","",B1027+IF(E1027&gt;0,0,0.5)+ROW()/10000000)</f>
        <v/>
      </c>
      <c r="G1027">
        <f>IF(C1027="","",'Daily Sale entry '!Q1027&amp;IF('Daily Sale entry '!Q1027="Collection 收款"," ("&amp;'Daily Sale entry '!R1027&amp;")","")&amp;IF('Daily Sale entry '!U1027="",""," - "&amp;'Daily Sale entry '!U1027))</f>
        <v/>
      </c>
      <c r="H1027">
        <f>IF(C1027="","",COUNTIFS($C$2:$C$3001,C1027,$F$2:$F$3001,"&lt;"&amp;F1027)+1)</f>
        <v/>
      </c>
      <c r="I1027">
        <f>IF(C1027="","",C1027&amp;"|"&amp;H1027)</f>
        <v/>
      </c>
      <c r="J1027" s="6">
        <f>IF(C1027="","",IF(H1027=1,SUMIFS('Opening Balance'!$F$4:$F$303,'Opening Balance'!$G$4:$G$303,C1027),INDEX($L$2:$L$3001,MATCH(C1027&amp;"|"&amp;(H1027-1),$I$2:$I$3001,0))))</f>
        <v/>
      </c>
      <c r="K1027" s="6">
        <f>IF(C1027="","",IF(M1027&gt;0,M1027,IF(AND(E1027&gt;0,ROUND(J1027+D1027-E1027,2)&gt;0,ROUND(J1027+D1027-E1027,2)&lt;'Opening Balance'!$B$14),ROUND(J1027+D1027-E1027,2),0)))</f>
        <v/>
      </c>
      <c r="L1027" s="6">
        <f>IF(C1027="","",ROUND(J1027+D1027-E1027-K1027,2))</f>
        <v/>
      </c>
      <c r="M1027" s="6">
        <f>IF(C1027="","",IF('Daily Sale entry '!Q1027="Collection 收款",ROUND(N('Daily Sale entry '!T1027),2),0))</f>
        <v/>
      </c>
    </row>
    <row r="1028">
      <c r="A1028" t="inlineStr">
        <is>
          <t>Entry 记录</t>
        </is>
      </c>
      <c r="B1028" s="5">
        <f>IF('Daily Sale entry '!P1028="","",'Daily Sale entry '!O1028)</f>
        <v/>
      </c>
      <c r="C1028">
        <f>IF('Daily Sale entry '!P1028="","",'Daily Sale entry '!P1028)</f>
        <v/>
      </c>
      <c r="D1028">
        <f>IF(C1028="","",IF('Daily Sale entry '!Q1028="Credit Sale 赊销",'Daily Sale entry '!S1028,0))</f>
        <v/>
      </c>
      <c r="E1028">
        <f>IF(C1028="","",IF('Daily Sale entry '!Q1028="Collection 收款",'Daily Sale entry '!S1028,0))</f>
        <v/>
      </c>
      <c r="F1028" s="37">
        <f>IF(C1028="","",B1028+IF(E1028&gt;0,0,0.5)+ROW()/10000000)</f>
        <v/>
      </c>
      <c r="G1028">
        <f>IF(C1028="","",'Daily Sale entry '!Q1028&amp;IF('Daily Sale entry '!Q1028="Collection 收款"," ("&amp;'Daily Sale entry '!R1028&amp;")","")&amp;IF('Daily Sale entry '!U1028="",""," - "&amp;'Daily Sale entry '!U1028))</f>
        <v/>
      </c>
      <c r="H1028">
        <f>IF(C1028="","",COUNTIFS($C$2:$C$3001,C1028,$F$2:$F$3001,"&lt;"&amp;F1028)+1)</f>
        <v/>
      </c>
      <c r="I1028">
        <f>IF(C1028="","",C1028&amp;"|"&amp;H1028)</f>
        <v/>
      </c>
      <c r="J1028" s="6">
        <f>IF(C1028="","",IF(H1028=1,SUMIFS('Opening Balance'!$F$4:$F$303,'Opening Balance'!$G$4:$G$303,C1028),INDEX($L$2:$L$3001,MATCH(C1028&amp;"|"&amp;(H1028-1),$I$2:$I$3001,0))))</f>
        <v/>
      </c>
      <c r="K1028" s="6">
        <f>IF(C1028="","",IF(M1028&gt;0,M1028,IF(AND(E1028&gt;0,ROUND(J1028+D1028-E1028,2)&gt;0,ROUND(J1028+D1028-E1028,2)&lt;'Opening Balance'!$B$14),ROUND(J1028+D1028-E1028,2),0)))</f>
        <v/>
      </c>
      <c r="L1028" s="6">
        <f>IF(C1028="","",ROUND(J1028+D1028-E1028-K1028,2))</f>
        <v/>
      </c>
      <c r="M1028" s="6">
        <f>IF(C1028="","",IF('Daily Sale entry '!Q1028="Collection 收款",ROUND(N('Daily Sale entry '!T1028),2),0))</f>
        <v/>
      </c>
    </row>
    <row r="1029">
      <c r="A1029" t="inlineStr">
        <is>
          <t>Entry 记录</t>
        </is>
      </c>
      <c r="B1029" s="5">
        <f>IF('Daily Sale entry '!P1029="","",'Daily Sale entry '!O1029)</f>
        <v/>
      </c>
      <c r="C1029">
        <f>IF('Daily Sale entry '!P1029="","",'Daily Sale entry '!P1029)</f>
        <v/>
      </c>
      <c r="D1029">
        <f>IF(C1029="","",IF('Daily Sale entry '!Q1029="Credit Sale 赊销",'Daily Sale entry '!S1029,0))</f>
        <v/>
      </c>
      <c r="E1029">
        <f>IF(C1029="","",IF('Daily Sale entry '!Q1029="Collection 收款",'Daily Sale entry '!S1029,0))</f>
        <v/>
      </c>
      <c r="F1029" s="37">
        <f>IF(C1029="","",B1029+IF(E1029&gt;0,0,0.5)+ROW()/10000000)</f>
        <v/>
      </c>
      <c r="G1029">
        <f>IF(C1029="","",'Daily Sale entry '!Q1029&amp;IF('Daily Sale entry '!Q1029="Collection 收款"," ("&amp;'Daily Sale entry '!R1029&amp;")","")&amp;IF('Daily Sale entry '!U1029="",""," - "&amp;'Daily Sale entry '!U1029))</f>
        <v/>
      </c>
      <c r="H1029">
        <f>IF(C1029="","",COUNTIFS($C$2:$C$3001,C1029,$F$2:$F$3001,"&lt;"&amp;F1029)+1)</f>
        <v/>
      </c>
      <c r="I1029">
        <f>IF(C1029="","",C1029&amp;"|"&amp;H1029)</f>
        <v/>
      </c>
      <c r="J1029" s="6">
        <f>IF(C1029="","",IF(H1029=1,SUMIFS('Opening Balance'!$F$4:$F$303,'Opening Balance'!$G$4:$G$303,C1029),INDEX($L$2:$L$3001,MATCH(C1029&amp;"|"&amp;(H1029-1),$I$2:$I$3001,0))))</f>
        <v/>
      </c>
      <c r="K1029" s="6">
        <f>IF(C1029="","",IF(M1029&gt;0,M1029,IF(AND(E1029&gt;0,ROUND(J1029+D1029-E1029,2)&gt;0,ROUND(J1029+D1029-E1029,2)&lt;'Opening Balance'!$B$14),ROUND(J1029+D1029-E1029,2),0)))</f>
        <v/>
      </c>
      <c r="L1029" s="6">
        <f>IF(C1029="","",ROUND(J1029+D1029-E1029-K1029,2))</f>
        <v/>
      </c>
      <c r="M1029" s="6">
        <f>IF(C1029="","",IF('Daily Sale entry '!Q1029="Collection 收款",ROUND(N('Daily Sale entry '!T1029),2),0))</f>
        <v/>
      </c>
    </row>
    <row r="1030">
      <c r="A1030" t="inlineStr">
        <is>
          <t>Entry 记录</t>
        </is>
      </c>
      <c r="B1030" s="5">
        <f>IF('Daily Sale entry '!P1030="","",'Daily Sale entry '!O1030)</f>
        <v/>
      </c>
      <c r="C1030">
        <f>IF('Daily Sale entry '!P1030="","",'Daily Sale entry '!P1030)</f>
        <v/>
      </c>
      <c r="D1030">
        <f>IF(C1030="","",IF('Daily Sale entry '!Q1030="Credit Sale 赊销",'Daily Sale entry '!S1030,0))</f>
        <v/>
      </c>
      <c r="E1030">
        <f>IF(C1030="","",IF('Daily Sale entry '!Q1030="Collection 收款",'Daily Sale entry '!S1030,0))</f>
        <v/>
      </c>
      <c r="F1030" s="37">
        <f>IF(C1030="","",B1030+IF(E1030&gt;0,0,0.5)+ROW()/10000000)</f>
        <v/>
      </c>
      <c r="G1030">
        <f>IF(C1030="","",'Daily Sale entry '!Q1030&amp;IF('Daily Sale entry '!Q1030="Collection 收款"," ("&amp;'Daily Sale entry '!R1030&amp;")","")&amp;IF('Daily Sale entry '!U1030="",""," - "&amp;'Daily Sale entry '!U1030))</f>
        <v/>
      </c>
      <c r="H1030">
        <f>IF(C1030="","",COUNTIFS($C$2:$C$3001,C1030,$F$2:$F$3001,"&lt;"&amp;F1030)+1)</f>
        <v/>
      </c>
      <c r="I1030">
        <f>IF(C1030="","",C1030&amp;"|"&amp;H1030)</f>
        <v/>
      </c>
      <c r="J1030" s="6">
        <f>IF(C1030="","",IF(H1030=1,SUMIFS('Opening Balance'!$F$4:$F$303,'Opening Balance'!$G$4:$G$303,C1030),INDEX($L$2:$L$3001,MATCH(C1030&amp;"|"&amp;(H1030-1),$I$2:$I$3001,0))))</f>
        <v/>
      </c>
      <c r="K1030" s="6">
        <f>IF(C1030="","",IF(M1030&gt;0,M1030,IF(AND(E1030&gt;0,ROUND(J1030+D1030-E1030,2)&gt;0,ROUND(J1030+D1030-E1030,2)&lt;'Opening Balance'!$B$14),ROUND(J1030+D1030-E1030,2),0)))</f>
        <v/>
      </c>
      <c r="L1030" s="6">
        <f>IF(C1030="","",ROUND(J1030+D1030-E1030-K1030,2))</f>
        <v/>
      </c>
      <c r="M1030" s="6">
        <f>IF(C1030="","",IF('Daily Sale entry '!Q1030="Collection 收款",ROUND(N('Daily Sale entry '!T1030),2),0))</f>
        <v/>
      </c>
    </row>
    <row r="1031">
      <c r="A1031" t="inlineStr">
        <is>
          <t>Entry 记录</t>
        </is>
      </c>
      <c r="B1031" s="5">
        <f>IF('Daily Sale entry '!P1031="","",'Daily Sale entry '!O1031)</f>
        <v/>
      </c>
      <c r="C1031">
        <f>IF('Daily Sale entry '!P1031="","",'Daily Sale entry '!P1031)</f>
        <v/>
      </c>
      <c r="D1031">
        <f>IF(C1031="","",IF('Daily Sale entry '!Q1031="Credit Sale 赊销",'Daily Sale entry '!S1031,0))</f>
        <v/>
      </c>
      <c r="E1031">
        <f>IF(C1031="","",IF('Daily Sale entry '!Q1031="Collection 收款",'Daily Sale entry '!S1031,0))</f>
        <v/>
      </c>
      <c r="F1031" s="37">
        <f>IF(C1031="","",B1031+IF(E1031&gt;0,0,0.5)+ROW()/10000000)</f>
        <v/>
      </c>
      <c r="G1031">
        <f>IF(C1031="","",'Daily Sale entry '!Q1031&amp;IF('Daily Sale entry '!Q1031="Collection 收款"," ("&amp;'Daily Sale entry '!R1031&amp;")","")&amp;IF('Daily Sale entry '!U1031="",""," - "&amp;'Daily Sale entry '!U1031))</f>
        <v/>
      </c>
      <c r="H1031">
        <f>IF(C1031="","",COUNTIFS($C$2:$C$3001,C1031,$F$2:$F$3001,"&lt;"&amp;F1031)+1)</f>
        <v/>
      </c>
      <c r="I1031">
        <f>IF(C1031="","",C1031&amp;"|"&amp;H1031)</f>
        <v/>
      </c>
      <c r="J1031" s="6">
        <f>IF(C1031="","",IF(H1031=1,SUMIFS('Opening Balance'!$F$4:$F$303,'Opening Balance'!$G$4:$G$303,C1031),INDEX($L$2:$L$3001,MATCH(C1031&amp;"|"&amp;(H1031-1),$I$2:$I$3001,0))))</f>
        <v/>
      </c>
      <c r="K1031" s="6">
        <f>IF(C1031="","",IF(M1031&gt;0,M1031,IF(AND(E1031&gt;0,ROUND(J1031+D1031-E1031,2)&gt;0,ROUND(J1031+D1031-E1031,2)&lt;'Opening Balance'!$B$14),ROUND(J1031+D1031-E1031,2),0)))</f>
        <v/>
      </c>
      <c r="L1031" s="6">
        <f>IF(C1031="","",ROUND(J1031+D1031-E1031-K1031,2))</f>
        <v/>
      </c>
      <c r="M1031" s="6">
        <f>IF(C1031="","",IF('Daily Sale entry '!Q1031="Collection 收款",ROUND(N('Daily Sale entry '!T1031),2),0))</f>
        <v/>
      </c>
    </row>
    <row r="1032">
      <c r="A1032" t="inlineStr">
        <is>
          <t>Entry 记录</t>
        </is>
      </c>
      <c r="B1032" s="5">
        <f>IF('Daily Sale entry '!P1032="","",'Daily Sale entry '!O1032)</f>
        <v/>
      </c>
      <c r="C1032">
        <f>IF('Daily Sale entry '!P1032="","",'Daily Sale entry '!P1032)</f>
        <v/>
      </c>
      <c r="D1032">
        <f>IF(C1032="","",IF('Daily Sale entry '!Q1032="Credit Sale 赊销",'Daily Sale entry '!S1032,0))</f>
        <v/>
      </c>
      <c r="E1032">
        <f>IF(C1032="","",IF('Daily Sale entry '!Q1032="Collection 收款",'Daily Sale entry '!S1032,0))</f>
        <v/>
      </c>
      <c r="F1032" s="37">
        <f>IF(C1032="","",B1032+IF(E1032&gt;0,0,0.5)+ROW()/10000000)</f>
        <v/>
      </c>
      <c r="G1032">
        <f>IF(C1032="","",'Daily Sale entry '!Q1032&amp;IF('Daily Sale entry '!Q1032="Collection 收款"," ("&amp;'Daily Sale entry '!R1032&amp;")","")&amp;IF('Daily Sale entry '!U1032="",""," - "&amp;'Daily Sale entry '!U1032))</f>
        <v/>
      </c>
      <c r="H1032">
        <f>IF(C1032="","",COUNTIFS($C$2:$C$3001,C1032,$F$2:$F$3001,"&lt;"&amp;F1032)+1)</f>
        <v/>
      </c>
      <c r="I1032">
        <f>IF(C1032="","",C1032&amp;"|"&amp;H1032)</f>
        <v/>
      </c>
      <c r="J1032" s="6">
        <f>IF(C1032="","",IF(H1032=1,SUMIFS('Opening Balance'!$F$4:$F$303,'Opening Balance'!$G$4:$G$303,C1032),INDEX($L$2:$L$3001,MATCH(C1032&amp;"|"&amp;(H1032-1),$I$2:$I$3001,0))))</f>
        <v/>
      </c>
      <c r="K1032" s="6">
        <f>IF(C1032="","",IF(M1032&gt;0,M1032,IF(AND(E1032&gt;0,ROUND(J1032+D1032-E1032,2)&gt;0,ROUND(J1032+D1032-E1032,2)&lt;'Opening Balance'!$B$14),ROUND(J1032+D1032-E1032,2),0)))</f>
        <v/>
      </c>
      <c r="L1032" s="6">
        <f>IF(C1032="","",ROUND(J1032+D1032-E1032-K1032,2))</f>
        <v/>
      </c>
      <c r="M1032" s="6">
        <f>IF(C1032="","",IF('Daily Sale entry '!Q1032="Collection 收款",ROUND(N('Daily Sale entry '!T1032),2),0))</f>
        <v/>
      </c>
    </row>
    <row r="1033">
      <c r="A1033" t="inlineStr">
        <is>
          <t>Entry 记录</t>
        </is>
      </c>
      <c r="B1033" s="5">
        <f>IF('Daily Sale entry '!P1033="","",'Daily Sale entry '!O1033)</f>
        <v/>
      </c>
      <c r="C1033">
        <f>IF('Daily Sale entry '!P1033="","",'Daily Sale entry '!P1033)</f>
        <v/>
      </c>
      <c r="D1033">
        <f>IF(C1033="","",IF('Daily Sale entry '!Q1033="Credit Sale 赊销",'Daily Sale entry '!S1033,0))</f>
        <v/>
      </c>
      <c r="E1033">
        <f>IF(C1033="","",IF('Daily Sale entry '!Q1033="Collection 收款",'Daily Sale entry '!S1033,0))</f>
        <v/>
      </c>
      <c r="F1033" s="37">
        <f>IF(C1033="","",B1033+IF(E1033&gt;0,0,0.5)+ROW()/10000000)</f>
        <v/>
      </c>
      <c r="G1033">
        <f>IF(C1033="","",'Daily Sale entry '!Q1033&amp;IF('Daily Sale entry '!Q1033="Collection 收款"," ("&amp;'Daily Sale entry '!R1033&amp;")","")&amp;IF('Daily Sale entry '!U1033="",""," - "&amp;'Daily Sale entry '!U1033))</f>
        <v/>
      </c>
      <c r="H1033">
        <f>IF(C1033="","",COUNTIFS($C$2:$C$3001,C1033,$F$2:$F$3001,"&lt;"&amp;F1033)+1)</f>
        <v/>
      </c>
      <c r="I1033">
        <f>IF(C1033="","",C1033&amp;"|"&amp;H1033)</f>
        <v/>
      </c>
      <c r="J1033" s="6">
        <f>IF(C1033="","",IF(H1033=1,SUMIFS('Opening Balance'!$F$4:$F$303,'Opening Balance'!$G$4:$G$303,C1033),INDEX($L$2:$L$3001,MATCH(C1033&amp;"|"&amp;(H1033-1),$I$2:$I$3001,0))))</f>
        <v/>
      </c>
      <c r="K1033" s="6">
        <f>IF(C1033="","",IF(M1033&gt;0,M1033,IF(AND(E1033&gt;0,ROUND(J1033+D1033-E1033,2)&gt;0,ROUND(J1033+D1033-E1033,2)&lt;'Opening Balance'!$B$14),ROUND(J1033+D1033-E1033,2),0)))</f>
        <v/>
      </c>
      <c r="L1033" s="6">
        <f>IF(C1033="","",ROUND(J1033+D1033-E1033-K1033,2))</f>
        <v/>
      </c>
      <c r="M1033" s="6">
        <f>IF(C1033="","",IF('Daily Sale entry '!Q1033="Collection 收款",ROUND(N('Daily Sale entry '!T1033),2),0))</f>
        <v/>
      </c>
    </row>
    <row r="1034">
      <c r="A1034" t="inlineStr">
        <is>
          <t>Entry 记录</t>
        </is>
      </c>
      <c r="B1034" s="5">
        <f>IF('Daily Sale entry '!P1034="","",'Daily Sale entry '!O1034)</f>
        <v/>
      </c>
      <c r="C1034">
        <f>IF('Daily Sale entry '!P1034="","",'Daily Sale entry '!P1034)</f>
        <v/>
      </c>
      <c r="D1034">
        <f>IF(C1034="","",IF('Daily Sale entry '!Q1034="Credit Sale 赊销",'Daily Sale entry '!S1034,0))</f>
        <v/>
      </c>
      <c r="E1034">
        <f>IF(C1034="","",IF('Daily Sale entry '!Q1034="Collection 收款",'Daily Sale entry '!S1034,0))</f>
        <v/>
      </c>
      <c r="F1034" s="37">
        <f>IF(C1034="","",B1034+IF(E1034&gt;0,0,0.5)+ROW()/10000000)</f>
        <v/>
      </c>
      <c r="G1034">
        <f>IF(C1034="","",'Daily Sale entry '!Q1034&amp;IF('Daily Sale entry '!Q1034="Collection 收款"," ("&amp;'Daily Sale entry '!R1034&amp;")","")&amp;IF('Daily Sale entry '!U1034="",""," - "&amp;'Daily Sale entry '!U1034))</f>
        <v/>
      </c>
      <c r="H1034">
        <f>IF(C1034="","",COUNTIFS($C$2:$C$3001,C1034,$F$2:$F$3001,"&lt;"&amp;F1034)+1)</f>
        <v/>
      </c>
      <c r="I1034">
        <f>IF(C1034="","",C1034&amp;"|"&amp;H1034)</f>
        <v/>
      </c>
      <c r="J1034" s="6">
        <f>IF(C1034="","",IF(H1034=1,SUMIFS('Opening Balance'!$F$4:$F$303,'Opening Balance'!$G$4:$G$303,C1034),INDEX($L$2:$L$3001,MATCH(C1034&amp;"|"&amp;(H1034-1),$I$2:$I$3001,0))))</f>
        <v/>
      </c>
      <c r="K1034" s="6">
        <f>IF(C1034="","",IF(M1034&gt;0,M1034,IF(AND(E1034&gt;0,ROUND(J1034+D1034-E1034,2)&gt;0,ROUND(J1034+D1034-E1034,2)&lt;'Opening Balance'!$B$14),ROUND(J1034+D1034-E1034,2),0)))</f>
        <v/>
      </c>
      <c r="L1034" s="6">
        <f>IF(C1034="","",ROUND(J1034+D1034-E1034-K1034,2))</f>
        <v/>
      </c>
      <c r="M1034" s="6">
        <f>IF(C1034="","",IF('Daily Sale entry '!Q1034="Collection 收款",ROUND(N('Daily Sale entry '!T1034),2),0))</f>
        <v/>
      </c>
    </row>
    <row r="1035">
      <c r="A1035" t="inlineStr">
        <is>
          <t>Entry 记录</t>
        </is>
      </c>
      <c r="B1035" s="5">
        <f>IF('Daily Sale entry '!P1035="","",'Daily Sale entry '!O1035)</f>
        <v/>
      </c>
      <c r="C1035">
        <f>IF('Daily Sale entry '!P1035="","",'Daily Sale entry '!P1035)</f>
        <v/>
      </c>
      <c r="D1035">
        <f>IF(C1035="","",IF('Daily Sale entry '!Q1035="Credit Sale 赊销",'Daily Sale entry '!S1035,0))</f>
        <v/>
      </c>
      <c r="E1035">
        <f>IF(C1035="","",IF('Daily Sale entry '!Q1035="Collection 收款",'Daily Sale entry '!S1035,0))</f>
        <v/>
      </c>
      <c r="F1035" s="37">
        <f>IF(C1035="","",B1035+IF(E1035&gt;0,0,0.5)+ROW()/10000000)</f>
        <v/>
      </c>
      <c r="G1035">
        <f>IF(C1035="","",'Daily Sale entry '!Q1035&amp;IF('Daily Sale entry '!Q1035="Collection 收款"," ("&amp;'Daily Sale entry '!R1035&amp;")","")&amp;IF('Daily Sale entry '!U1035="",""," - "&amp;'Daily Sale entry '!U1035))</f>
        <v/>
      </c>
      <c r="H1035">
        <f>IF(C1035="","",COUNTIFS($C$2:$C$3001,C1035,$F$2:$F$3001,"&lt;"&amp;F1035)+1)</f>
        <v/>
      </c>
      <c r="I1035">
        <f>IF(C1035="","",C1035&amp;"|"&amp;H1035)</f>
        <v/>
      </c>
      <c r="J1035" s="6">
        <f>IF(C1035="","",IF(H1035=1,SUMIFS('Opening Balance'!$F$4:$F$303,'Opening Balance'!$G$4:$G$303,C1035),INDEX($L$2:$L$3001,MATCH(C1035&amp;"|"&amp;(H1035-1),$I$2:$I$3001,0))))</f>
        <v/>
      </c>
      <c r="K1035" s="6">
        <f>IF(C1035="","",IF(M1035&gt;0,M1035,IF(AND(E1035&gt;0,ROUND(J1035+D1035-E1035,2)&gt;0,ROUND(J1035+D1035-E1035,2)&lt;'Opening Balance'!$B$14),ROUND(J1035+D1035-E1035,2),0)))</f>
        <v/>
      </c>
      <c r="L1035" s="6">
        <f>IF(C1035="","",ROUND(J1035+D1035-E1035-K1035,2))</f>
        <v/>
      </c>
      <c r="M1035" s="6">
        <f>IF(C1035="","",IF('Daily Sale entry '!Q1035="Collection 收款",ROUND(N('Daily Sale entry '!T1035),2),0))</f>
        <v/>
      </c>
    </row>
    <row r="1036">
      <c r="A1036" t="inlineStr">
        <is>
          <t>Entry 记录</t>
        </is>
      </c>
      <c r="B1036" s="5">
        <f>IF('Daily Sale entry '!P1036="","",'Daily Sale entry '!O1036)</f>
        <v/>
      </c>
      <c r="C1036">
        <f>IF('Daily Sale entry '!P1036="","",'Daily Sale entry '!P1036)</f>
        <v/>
      </c>
      <c r="D1036">
        <f>IF(C1036="","",IF('Daily Sale entry '!Q1036="Credit Sale 赊销",'Daily Sale entry '!S1036,0))</f>
        <v/>
      </c>
      <c r="E1036">
        <f>IF(C1036="","",IF('Daily Sale entry '!Q1036="Collection 收款",'Daily Sale entry '!S1036,0))</f>
        <v/>
      </c>
      <c r="F1036" s="37">
        <f>IF(C1036="","",B1036+IF(E1036&gt;0,0,0.5)+ROW()/10000000)</f>
        <v/>
      </c>
      <c r="G1036">
        <f>IF(C1036="","",'Daily Sale entry '!Q1036&amp;IF('Daily Sale entry '!Q1036="Collection 收款"," ("&amp;'Daily Sale entry '!R1036&amp;")","")&amp;IF('Daily Sale entry '!U1036="",""," - "&amp;'Daily Sale entry '!U1036))</f>
        <v/>
      </c>
      <c r="H1036">
        <f>IF(C1036="","",COUNTIFS($C$2:$C$3001,C1036,$F$2:$F$3001,"&lt;"&amp;F1036)+1)</f>
        <v/>
      </c>
      <c r="I1036">
        <f>IF(C1036="","",C1036&amp;"|"&amp;H1036)</f>
        <v/>
      </c>
      <c r="J1036" s="6">
        <f>IF(C1036="","",IF(H1036=1,SUMIFS('Opening Balance'!$F$4:$F$303,'Opening Balance'!$G$4:$G$303,C1036),INDEX($L$2:$L$3001,MATCH(C1036&amp;"|"&amp;(H1036-1),$I$2:$I$3001,0))))</f>
        <v/>
      </c>
      <c r="K1036" s="6">
        <f>IF(C1036="","",IF(M1036&gt;0,M1036,IF(AND(E1036&gt;0,ROUND(J1036+D1036-E1036,2)&gt;0,ROUND(J1036+D1036-E1036,2)&lt;'Opening Balance'!$B$14),ROUND(J1036+D1036-E1036,2),0)))</f>
        <v/>
      </c>
      <c r="L1036" s="6">
        <f>IF(C1036="","",ROUND(J1036+D1036-E1036-K1036,2))</f>
        <v/>
      </c>
      <c r="M1036" s="6">
        <f>IF(C1036="","",IF('Daily Sale entry '!Q1036="Collection 收款",ROUND(N('Daily Sale entry '!T1036),2),0))</f>
        <v/>
      </c>
    </row>
    <row r="1037">
      <c r="A1037" t="inlineStr">
        <is>
          <t>Entry 记录</t>
        </is>
      </c>
      <c r="B1037" s="5">
        <f>IF('Daily Sale entry '!P1037="","",'Daily Sale entry '!O1037)</f>
        <v/>
      </c>
      <c r="C1037">
        <f>IF('Daily Sale entry '!P1037="","",'Daily Sale entry '!P1037)</f>
        <v/>
      </c>
      <c r="D1037">
        <f>IF(C1037="","",IF('Daily Sale entry '!Q1037="Credit Sale 赊销",'Daily Sale entry '!S1037,0))</f>
        <v/>
      </c>
      <c r="E1037">
        <f>IF(C1037="","",IF('Daily Sale entry '!Q1037="Collection 收款",'Daily Sale entry '!S1037,0))</f>
        <v/>
      </c>
      <c r="F1037" s="37">
        <f>IF(C1037="","",B1037+IF(E1037&gt;0,0,0.5)+ROW()/10000000)</f>
        <v/>
      </c>
      <c r="G1037">
        <f>IF(C1037="","",'Daily Sale entry '!Q1037&amp;IF('Daily Sale entry '!Q1037="Collection 收款"," ("&amp;'Daily Sale entry '!R1037&amp;")","")&amp;IF('Daily Sale entry '!U1037="",""," - "&amp;'Daily Sale entry '!U1037))</f>
        <v/>
      </c>
      <c r="H1037">
        <f>IF(C1037="","",COUNTIFS($C$2:$C$3001,C1037,$F$2:$F$3001,"&lt;"&amp;F1037)+1)</f>
        <v/>
      </c>
      <c r="I1037">
        <f>IF(C1037="","",C1037&amp;"|"&amp;H1037)</f>
        <v/>
      </c>
      <c r="J1037" s="6">
        <f>IF(C1037="","",IF(H1037=1,SUMIFS('Opening Balance'!$F$4:$F$303,'Opening Balance'!$G$4:$G$303,C1037),INDEX($L$2:$L$3001,MATCH(C1037&amp;"|"&amp;(H1037-1),$I$2:$I$3001,0))))</f>
        <v/>
      </c>
      <c r="K1037" s="6">
        <f>IF(C1037="","",IF(M1037&gt;0,M1037,IF(AND(E1037&gt;0,ROUND(J1037+D1037-E1037,2)&gt;0,ROUND(J1037+D1037-E1037,2)&lt;'Opening Balance'!$B$14),ROUND(J1037+D1037-E1037,2),0)))</f>
        <v/>
      </c>
      <c r="L1037" s="6">
        <f>IF(C1037="","",ROUND(J1037+D1037-E1037-K1037,2))</f>
        <v/>
      </c>
      <c r="M1037" s="6">
        <f>IF(C1037="","",IF('Daily Sale entry '!Q1037="Collection 收款",ROUND(N('Daily Sale entry '!T1037),2),0))</f>
        <v/>
      </c>
    </row>
    <row r="1038">
      <c r="A1038" t="inlineStr">
        <is>
          <t>Entry 记录</t>
        </is>
      </c>
      <c r="B1038" s="5">
        <f>IF('Daily Sale entry '!P1038="","",'Daily Sale entry '!O1038)</f>
        <v/>
      </c>
      <c r="C1038">
        <f>IF('Daily Sale entry '!P1038="","",'Daily Sale entry '!P1038)</f>
        <v/>
      </c>
      <c r="D1038">
        <f>IF(C1038="","",IF('Daily Sale entry '!Q1038="Credit Sale 赊销",'Daily Sale entry '!S1038,0))</f>
        <v/>
      </c>
      <c r="E1038">
        <f>IF(C1038="","",IF('Daily Sale entry '!Q1038="Collection 收款",'Daily Sale entry '!S1038,0))</f>
        <v/>
      </c>
      <c r="F1038" s="37">
        <f>IF(C1038="","",B1038+IF(E1038&gt;0,0,0.5)+ROW()/10000000)</f>
        <v/>
      </c>
      <c r="G1038">
        <f>IF(C1038="","",'Daily Sale entry '!Q1038&amp;IF('Daily Sale entry '!Q1038="Collection 收款"," ("&amp;'Daily Sale entry '!R1038&amp;")","")&amp;IF('Daily Sale entry '!U1038="",""," - "&amp;'Daily Sale entry '!U1038))</f>
        <v/>
      </c>
      <c r="H1038">
        <f>IF(C1038="","",COUNTIFS($C$2:$C$3001,C1038,$F$2:$F$3001,"&lt;"&amp;F1038)+1)</f>
        <v/>
      </c>
      <c r="I1038">
        <f>IF(C1038="","",C1038&amp;"|"&amp;H1038)</f>
        <v/>
      </c>
      <c r="J1038" s="6">
        <f>IF(C1038="","",IF(H1038=1,SUMIFS('Opening Balance'!$F$4:$F$303,'Opening Balance'!$G$4:$G$303,C1038),INDEX($L$2:$L$3001,MATCH(C1038&amp;"|"&amp;(H1038-1),$I$2:$I$3001,0))))</f>
        <v/>
      </c>
      <c r="K1038" s="6">
        <f>IF(C1038="","",IF(M1038&gt;0,M1038,IF(AND(E1038&gt;0,ROUND(J1038+D1038-E1038,2)&gt;0,ROUND(J1038+D1038-E1038,2)&lt;'Opening Balance'!$B$14),ROUND(J1038+D1038-E1038,2),0)))</f>
        <v/>
      </c>
      <c r="L1038" s="6">
        <f>IF(C1038="","",ROUND(J1038+D1038-E1038-K1038,2))</f>
        <v/>
      </c>
      <c r="M1038" s="6">
        <f>IF(C1038="","",IF('Daily Sale entry '!Q1038="Collection 收款",ROUND(N('Daily Sale entry '!T1038),2),0))</f>
        <v/>
      </c>
    </row>
    <row r="1039">
      <c r="A1039" t="inlineStr">
        <is>
          <t>Entry 记录</t>
        </is>
      </c>
      <c r="B1039" s="5">
        <f>IF('Daily Sale entry '!P1039="","",'Daily Sale entry '!O1039)</f>
        <v/>
      </c>
      <c r="C1039">
        <f>IF('Daily Sale entry '!P1039="","",'Daily Sale entry '!P1039)</f>
        <v/>
      </c>
      <c r="D1039">
        <f>IF(C1039="","",IF('Daily Sale entry '!Q1039="Credit Sale 赊销",'Daily Sale entry '!S1039,0))</f>
        <v/>
      </c>
      <c r="E1039">
        <f>IF(C1039="","",IF('Daily Sale entry '!Q1039="Collection 收款",'Daily Sale entry '!S1039,0))</f>
        <v/>
      </c>
      <c r="F1039" s="37">
        <f>IF(C1039="","",B1039+IF(E1039&gt;0,0,0.5)+ROW()/10000000)</f>
        <v/>
      </c>
      <c r="G1039">
        <f>IF(C1039="","",'Daily Sale entry '!Q1039&amp;IF('Daily Sale entry '!Q1039="Collection 收款"," ("&amp;'Daily Sale entry '!R1039&amp;")","")&amp;IF('Daily Sale entry '!U1039="",""," - "&amp;'Daily Sale entry '!U1039))</f>
        <v/>
      </c>
      <c r="H1039">
        <f>IF(C1039="","",COUNTIFS($C$2:$C$3001,C1039,$F$2:$F$3001,"&lt;"&amp;F1039)+1)</f>
        <v/>
      </c>
      <c r="I1039">
        <f>IF(C1039="","",C1039&amp;"|"&amp;H1039)</f>
        <v/>
      </c>
      <c r="J1039" s="6">
        <f>IF(C1039="","",IF(H1039=1,SUMIFS('Opening Balance'!$F$4:$F$303,'Opening Balance'!$G$4:$G$303,C1039),INDEX($L$2:$L$3001,MATCH(C1039&amp;"|"&amp;(H1039-1),$I$2:$I$3001,0))))</f>
        <v/>
      </c>
      <c r="K1039" s="6">
        <f>IF(C1039="","",IF(M1039&gt;0,M1039,IF(AND(E1039&gt;0,ROUND(J1039+D1039-E1039,2)&gt;0,ROUND(J1039+D1039-E1039,2)&lt;'Opening Balance'!$B$14),ROUND(J1039+D1039-E1039,2),0)))</f>
        <v/>
      </c>
      <c r="L1039" s="6">
        <f>IF(C1039="","",ROUND(J1039+D1039-E1039-K1039,2))</f>
        <v/>
      </c>
      <c r="M1039" s="6">
        <f>IF(C1039="","",IF('Daily Sale entry '!Q1039="Collection 收款",ROUND(N('Daily Sale entry '!T1039),2),0))</f>
        <v/>
      </c>
    </row>
    <row r="1040">
      <c r="A1040" t="inlineStr">
        <is>
          <t>Entry 记录</t>
        </is>
      </c>
      <c r="B1040" s="5">
        <f>IF('Daily Sale entry '!P1040="","",'Daily Sale entry '!O1040)</f>
        <v/>
      </c>
      <c r="C1040">
        <f>IF('Daily Sale entry '!P1040="","",'Daily Sale entry '!P1040)</f>
        <v/>
      </c>
      <c r="D1040">
        <f>IF(C1040="","",IF('Daily Sale entry '!Q1040="Credit Sale 赊销",'Daily Sale entry '!S1040,0))</f>
        <v/>
      </c>
      <c r="E1040">
        <f>IF(C1040="","",IF('Daily Sale entry '!Q1040="Collection 收款",'Daily Sale entry '!S1040,0))</f>
        <v/>
      </c>
      <c r="F1040" s="37">
        <f>IF(C1040="","",B1040+IF(E1040&gt;0,0,0.5)+ROW()/10000000)</f>
        <v/>
      </c>
      <c r="G1040">
        <f>IF(C1040="","",'Daily Sale entry '!Q1040&amp;IF('Daily Sale entry '!Q1040="Collection 收款"," ("&amp;'Daily Sale entry '!R1040&amp;")","")&amp;IF('Daily Sale entry '!U1040="",""," - "&amp;'Daily Sale entry '!U1040))</f>
        <v/>
      </c>
      <c r="H1040">
        <f>IF(C1040="","",COUNTIFS($C$2:$C$3001,C1040,$F$2:$F$3001,"&lt;"&amp;F1040)+1)</f>
        <v/>
      </c>
      <c r="I1040">
        <f>IF(C1040="","",C1040&amp;"|"&amp;H1040)</f>
        <v/>
      </c>
      <c r="J1040" s="6">
        <f>IF(C1040="","",IF(H1040=1,SUMIFS('Opening Balance'!$F$4:$F$303,'Opening Balance'!$G$4:$G$303,C1040),INDEX($L$2:$L$3001,MATCH(C1040&amp;"|"&amp;(H1040-1),$I$2:$I$3001,0))))</f>
        <v/>
      </c>
      <c r="K1040" s="6">
        <f>IF(C1040="","",IF(M1040&gt;0,M1040,IF(AND(E1040&gt;0,ROUND(J1040+D1040-E1040,2)&gt;0,ROUND(J1040+D1040-E1040,2)&lt;'Opening Balance'!$B$14),ROUND(J1040+D1040-E1040,2),0)))</f>
        <v/>
      </c>
      <c r="L1040" s="6">
        <f>IF(C1040="","",ROUND(J1040+D1040-E1040-K1040,2))</f>
        <v/>
      </c>
      <c r="M1040" s="6">
        <f>IF(C1040="","",IF('Daily Sale entry '!Q1040="Collection 收款",ROUND(N('Daily Sale entry '!T1040),2),0))</f>
        <v/>
      </c>
    </row>
    <row r="1041">
      <c r="A1041" t="inlineStr">
        <is>
          <t>Entry 记录</t>
        </is>
      </c>
      <c r="B1041" s="5">
        <f>IF('Daily Sale entry '!P1041="","",'Daily Sale entry '!O1041)</f>
        <v/>
      </c>
      <c r="C1041">
        <f>IF('Daily Sale entry '!P1041="","",'Daily Sale entry '!P1041)</f>
        <v/>
      </c>
      <c r="D1041">
        <f>IF(C1041="","",IF('Daily Sale entry '!Q1041="Credit Sale 赊销",'Daily Sale entry '!S1041,0))</f>
        <v/>
      </c>
      <c r="E1041">
        <f>IF(C1041="","",IF('Daily Sale entry '!Q1041="Collection 收款",'Daily Sale entry '!S1041,0))</f>
        <v/>
      </c>
      <c r="F1041" s="37">
        <f>IF(C1041="","",B1041+IF(E1041&gt;0,0,0.5)+ROW()/10000000)</f>
        <v/>
      </c>
      <c r="G1041">
        <f>IF(C1041="","",'Daily Sale entry '!Q1041&amp;IF('Daily Sale entry '!Q1041="Collection 收款"," ("&amp;'Daily Sale entry '!R1041&amp;")","")&amp;IF('Daily Sale entry '!U1041="",""," - "&amp;'Daily Sale entry '!U1041))</f>
        <v/>
      </c>
      <c r="H1041">
        <f>IF(C1041="","",COUNTIFS($C$2:$C$3001,C1041,$F$2:$F$3001,"&lt;"&amp;F1041)+1)</f>
        <v/>
      </c>
      <c r="I1041">
        <f>IF(C1041="","",C1041&amp;"|"&amp;H1041)</f>
        <v/>
      </c>
      <c r="J1041" s="6">
        <f>IF(C1041="","",IF(H1041=1,SUMIFS('Opening Balance'!$F$4:$F$303,'Opening Balance'!$G$4:$G$303,C1041),INDEX($L$2:$L$3001,MATCH(C1041&amp;"|"&amp;(H1041-1),$I$2:$I$3001,0))))</f>
        <v/>
      </c>
      <c r="K1041" s="6">
        <f>IF(C1041="","",IF(M1041&gt;0,M1041,IF(AND(E1041&gt;0,ROUND(J1041+D1041-E1041,2)&gt;0,ROUND(J1041+D1041-E1041,2)&lt;'Opening Balance'!$B$14),ROUND(J1041+D1041-E1041,2),0)))</f>
        <v/>
      </c>
      <c r="L1041" s="6">
        <f>IF(C1041="","",ROUND(J1041+D1041-E1041-K1041,2))</f>
        <v/>
      </c>
      <c r="M1041" s="6">
        <f>IF(C1041="","",IF('Daily Sale entry '!Q1041="Collection 收款",ROUND(N('Daily Sale entry '!T1041),2),0))</f>
        <v/>
      </c>
    </row>
    <row r="1042">
      <c r="A1042" t="inlineStr">
        <is>
          <t>Entry 记录</t>
        </is>
      </c>
      <c r="B1042" s="5">
        <f>IF('Daily Sale entry '!P1042="","",'Daily Sale entry '!O1042)</f>
        <v/>
      </c>
      <c r="C1042">
        <f>IF('Daily Sale entry '!P1042="","",'Daily Sale entry '!P1042)</f>
        <v/>
      </c>
      <c r="D1042">
        <f>IF(C1042="","",IF('Daily Sale entry '!Q1042="Credit Sale 赊销",'Daily Sale entry '!S1042,0))</f>
        <v/>
      </c>
      <c r="E1042">
        <f>IF(C1042="","",IF('Daily Sale entry '!Q1042="Collection 收款",'Daily Sale entry '!S1042,0))</f>
        <v/>
      </c>
      <c r="F1042" s="37">
        <f>IF(C1042="","",B1042+IF(E1042&gt;0,0,0.5)+ROW()/10000000)</f>
        <v/>
      </c>
      <c r="G1042">
        <f>IF(C1042="","",'Daily Sale entry '!Q1042&amp;IF('Daily Sale entry '!Q1042="Collection 收款"," ("&amp;'Daily Sale entry '!R1042&amp;")","")&amp;IF('Daily Sale entry '!U1042="",""," - "&amp;'Daily Sale entry '!U1042))</f>
        <v/>
      </c>
      <c r="H1042">
        <f>IF(C1042="","",COUNTIFS($C$2:$C$3001,C1042,$F$2:$F$3001,"&lt;"&amp;F1042)+1)</f>
        <v/>
      </c>
      <c r="I1042">
        <f>IF(C1042="","",C1042&amp;"|"&amp;H1042)</f>
        <v/>
      </c>
      <c r="J1042" s="6">
        <f>IF(C1042="","",IF(H1042=1,SUMIFS('Opening Balance'!$F$4:$F$303,'Opening Balance'!$G$4:$G$303,C1042),INDEX($L$2:$L$3001,MATCH(C1042&amp;"|"&amp;(H1042-1),$I$2:$I$3001,0))))</f>
        <v/>
      </c>
      <c r="K1042" s="6">
        <f>IF(C1042="","",IF(M1042&gt;0,M1042,IF(AND(E1042&gt;0,ROUND(J1042+D1042-E1042,2)&gt;0,ROUND(J1042+D1042-E1042,2)&lt;'Opening Balance'!$B$14),ROUND(J1042+D1042-E1042,2),0)))</f>
        <v/>
      </c>
      <c r="L1042" s="6">
        <f>IF(C1042="","",ROUND(J1042+D1042-E1042-K1042,2))</f>
        <v/>
      </c>
      <c r="M1042" s="6">
        <f>IF(C1042="","",IF('Daily Sale entry '!Q1042="Collection 收款",ROUND(N('Daily Sale entry '!T1042),2),0))</f>
        <v/>
      </c>
    </row>
    <row r="1043">
      <c r="A1043" t="inlineStr">
        <is>
          <t>Entry 记录</t>
        </is>
      </c>
      <c r="B1043" s="5">
        <f>IF('Daily Sale entry '!P1043="","",'Daily Sale entry '!O1043)</f>
        <v/>
      </c>
      <c r="C1043">
        <f>IF('Daily Sale entry '!P1043="","",'Daily Sale entry '!P1043)</f>
        <v/>
      </c>
      <c r="D1043">
        <f>IF(C1043="","",IF('Daily Sale entry '!Q1043="Credit Sale 赊销",'Daily Sale entry '!S1043,0))</f>
        <v/>
      </c>
      <c r="E1043">
        <f>IF(C1043="","",IF('Daily Sale entry '!Q1043="Collection 收款",'Daily Sale entry '!S1043,0))</f>
        <v/>
      </c>
      <c r="F1043" s="37">
        <f>IF(C1043="","",B1043+IF(E1043&gt;0,0,0.5)+ROW()/10000000)</f>
        <v/>
      </c>
      <c r="G1043">
        <f>IF(C1043="","",'Daily Sale entry '!Q1043&amp;IF('Daily Sale entry '!Q1043="Collection 收款"," ("&amp;'Daily Sale entry '!R1043&amp;")","")&amp;IF('Daily Sale entry '!U1043="",""," - "&amp;'Daily Sale entry '!U1043))</f>
        <v/>
      </c>
      <c r="H1043">
        <f>IF(C1043="","",COUNTIFS($C$2:$C$3001,C1043,$F$2:$F$3001,"&lt;"&amp;F1043)+1)</f>
        <v/>
      </c>
      <c r="I1043">
        <f>IF(C1043="","",C1043&amp;"|"&amp;H1043)</f>
        <v/>
      </c>
      <c r="J1043" s="6">
        <f>IF(C1043="","",IF(H1043=1,SUMIFS('Opening Balance'!$F$4:$F$303,'Opening Balance'!$G$4:$G$303,C1043),INDEX($L$2:$L$3001,MATCH(C1043&amp;"|"&amp;(H1043-1),$I$2:$I$3001,0))))</f>
        <v/>
      </c>
      <c r="K1043" s="6">
        <f>IF(C1043="","",IF(M1043&gt;0,M1043,IF(AND(E1043&gt;0,ROUND(J1043+D1043-E1043,2)&gt;0,ROUND(J1043+D1043-E1043,2)&lt;'Opening Balance'!$B$14),ROUND(J1043+D1043-E1043,2),0)))</f>
        <v/>
      </c>
      <c r="L1043" s="6">
        <f>IF(C1043="","",ROUND(J1043+D1043-E1043-K1043,2))</f>
        <v/>
      </c>
      <c r="M1043" s="6">
        <f>IF(C1043="","",IF('Daily Sale entry '!Q1043="Collection 收款",ROUND(N('Daily Sale entry '!T1043),2),0))</f>
        <v/>
      </c>
    </row>
    <row r="1044">
      <c r="A1044" t="inlineStr">
        <is>
          <t>Entry 记录</t>
        </is>
      </c>
      <c r="B1044" s="5">
        <f>IF('Daily Sale entry '!P1044="","",'Daily Sale entry '!O1044)</f>
        <v/>
      </c>
      <c r="C1044">
        <f>IF('Daily Sale entry '!P1044="","",'Daily Sale entry '!P1044)</f>
        <v/>
      </c>
      <c r="D1044">
        <f>IF(C1044="","",IF('Daily Sale entry '!Q1044="Credit Sale 赊销",'Daily Sale entry '!S1044,0))</f>
        <v/>
      </c>
      <c r="E1044">
        <f>IF(C1044="","",IF('Daily Sale entry '!Q1044="Collection 收款",'Daily Sale entry '!S1044,0))</f>
        <v/>
      </c>
      <c r="F1044" s="37">
        <f>IF(C1044="","",B1044+IF(E1044&gt;0,0,0.5)+ROW()/10000000)</f>
        <v/>
      </c>
      <c r="G1044">
        <f>IF(C1044="","",'Daily Sale entry '!Q1044&amp;IF('Daily Sale entry '!Q1044="Collection 收款"," ("&amp;'Daily Sale entry '!R1044&amp;")","")&amp;IF('Daily Sale entry '!U1044="",""," - "&amp;'Daily Sale entry '!U1044))</f>
        <v/>
      </c>
      <c r="H1044">
        <f>IF(C1044="","",COUNTIFS($C$2:$C$3001,C1044,$F$2:$F$3001,"&lt;"&amp;F1044)+1)</f>
        <v/>
      </c>
      <c r="I1044">
        <f>IF(C1044="","",C1044&amp;"|"&amp;H1044)</f>
        <v/>
      </c>
      <c r="J1044" s="6">
        <f>IF(C1044="","",IF(H1044=1,SUMIFS('Opening Balance'!$F$4:$F$303,'Opening Balance'!$G$4:$G$303,C1044),INDEX($L$2:$L$3001,MATCH(C1044&amp;"|"&amp;(H1044-1),$I$2:$I$3001,0))))</f>
        <v/>
      </c>
      <c r="K1044" s="6">
        <f>IF(C1044="","",IF(M1044&gt;0,M1044,IF(AND(E1044&gt;0,ROUND(J1044+D1044-E1044,2)&gt;0,ROUND(J1044+D1044-E1044,2)&lt;'Opening Balance'!$B$14),ROUND(J1044+D1044-E1044,2),0)))</f>
        <v/>
      </c>
      <c r="L1044" s="6">
        <f>IF(C1044="","",ROUND(J1044+D1044-E1044-K1044,2))</f>
        <v/>
      </c>
      <c r="M1044" s="6">
        <f>IF(C1044="","",IF('Daily Sale entry '!Q1044="Collection 收款",ROUND(N('Daily Sale entry '!T1044),2),0))</f>
        <v/>
      </c>
    </row>
    <row r="1045">
      <c r="A1045" t="inlineStr">
        <is>
          <t>Entry 记录</t>
        </is>
      </c>
      <c r="B1045" s="5">
        <f>IF('Daily Sale entry '!P1045="","",'Daily Sale entry '!O1045)</f>
        <v/>
      </c>
      <c r="C1045">
        <f>IF('Daily Sale entry '!P1045="","",'Daily Sale entry '!P1045)</f>
        <v/>
      </c>
      <c r="D1045">
        <f>IF(C1045="","",IF('Daily Sale entry '!Q1045="Credit Sale 赊销",'Daily Sale entry '!S1045,0))</f>
        <v/>
      </c>
      <c r="E1045">
        <f>IF(C1045="","",IF('Daily Sale entry '!Q1045="Collection 收款",'Daily Sale entry '!S1045,0))</f>
        <v/>
      </c>
      <c r="F1045" s="37">
        <f>IF(C1045="","",B1045+IF(E1045&gt;0,0,0.5)+ROW()/10000000)</f>
        <v/>
      </c>
      <c r="G1045">
        <f>IF(C1045="","",'Daily Sale entry '!Q1045&amp;IF('Daily Sale entry '!Q1045="Collection 收款"," ("&amp;'Daily Sale entry '!R1045&amp;")","")&amp;IF('Daily Sale entry '!U1045="",""," - "&amp;'Daily Sale entry '!U1045))</f>
        <v/>
      </c>
      <c r="H1045">
        <f>IF(C1045="","",COUNTIFS($C$2:$C$3001,C1045,$F$2:$F$3001,"&lt;"&amp;F1045)+1)</f>
        <v/>
      </c>
      <c r="I1045">
        <f>IF(C1045="","",C1045&amp;"|"&amp;H1045)</f>
        <v/>
      </c>
      <c r="J1045" s="6">
        <f>IF(C1045="","",IF(H1045=1,SUMIFS('Opening Balance'!$F$4:$F$303,'Opening Balance'!$G$4:$G$303,C1045),INDEX($L$2:$L$3001,MATCH(C1045&amp;"|"&amp;(H1045-1),$I$2:$I$3001,0))))</f>
        <v/>
      </c>
      <c r="K1045" s="6">
        <f>IF(C1045="","",IF(M1045&gt;0,M1045,IF(AND(E1045&gt;0,ROUND(J1045+D1045-E1045,2)&gt;0,ROUND(J1045+D1045-E1045,2)&lt;'Opening Balance'!$B$14),ROUND(J1045+D1045-E1045,2),0)))</f>
        <v/>
      </c>
      <c r="L1045" s="6">
        <f>IF(C1045="","",ROUND(J1045+D1045-E1045-K1045,2))</f>
        <v/>
      </c>
      <c r="M1045" s="6">
        <f>IF(C1045="","",IF('Daily Sale entry '!Q1045="Collection 收款",ROUND(N('Daily Sale entry '!T1045),2),0))</f>
        <v/>
      </c>
    </row>
    <row r="1046">
      <c r="A1046" t="inlineStr">
        <is>
          <t>Entry 记录</t>
        </is>
      </c>
      <c r="B1046" s="5">
        <f>IF('Daily Sale entry '!P1046="","",'Daily Sale entry '!O1046)</f>
        <v/>
      </c>
      <c r="C1046">
        <f>IF('Daily Sale entry '!P1046="","",'Daily Sale entry '!P1046)</f>
        <v/>
      </c>
      <c r="D1046">
        <f>IF(C1046="","",IF('Daily Sale entry '!Q1046="Credit Sale 赊销",'Daily Sale entry '!S1046,0))</f>
        <v/>
      </c>
      <c r="E1046">
        <f>IF(C1046="","",IF('Daily Sale entry '!Q1046="Collection 收款",'Daily Sale entry '!S1046,0))</f>
        <v/>
      </c>
      <c r="F1046" s="37">
        <f>IF(C1046="","",B1046+IF(E1046&gt;0,0,0.5)+ROW()/10000000)</f>
        <v/>
      </c>
      <c r="G1046">
        <f>IF(C1046="","",'Daily Sale entry '!Q1046&amp;IF('Daily Sale entry '!Q1046="Collection 收款"," ("&amp;'Daily Sale entry '!R1046&amp;")","")&amp;IF('Daily Sale entry '!U1046="",""," - "&amp;'Daily Sale entry '!U1046))</f>
        <v/>
      </c>
      <c r="H1046">
        <f>IF(C1046="","",COUNTIFS($C$2:$C$3001,C1046,$F$2:$F$3001,"&lt;"&amp;F1046)+1)</f>
        <v/>
      </c>
      <c r="I1046">
        <f>IF(C1046="","",C1046&amp;"|"&amp;H1046)</f>
        <v/>
      </c>
      <c r="J1046" s="6">
        <f>IF(C1046="","",IF(H1046=1,SUMIFS('Opening Balance'!$F$4:$F$303,'Opening Balance'!$G$4:$G$303,C1046),INDEX($L$2:$L$3001,MATCH(C1046&amp;"|"&amp;(H1046-1),$I$2:$I$3001,0))))</f>
        <v/>
      </c>
      <c r="K1046" s="6">
        <f>IF(C1046="","",IF(M1046&gt;0,M1046,IF(AND(E1046&gt;0,ROUND(J1046+D1046-E1046,2)&gt;0,ROUND(J1046+D1046-E1046,2)&lt;'Opening Balance'!$B$14),ROUND(J1046+D1046-E1046,2),0)))</f>
        <v/>
      </c>
      <c r="L1046" s="6">
        <f>IF(C1046="","",ROUND(J1046+D1046-E1046-K1046,2))</f>
        <v/>
      </c>
      <c r="M1046" s="6">
        <f>IF(C1046="","",IF('Daily Sale entry '!Q1046="Collection 收款",ROUND(N('Daily Sale entry '!T1046),2),0))</f>
        <v/>
      </c>
    </row>
    <row r="1047">
      <c r="A1047" t="inlineStr">
        <is>
          <t>Entry 记录</t>
        </is>
      </c>
      <c r="B1047" s="5">
        <f>IF('Daily Sale entry '!P1047="","",'Daily Sale entry '!O1047)</f>
        <v/>
      </c>
      <c r="C1047">
        <f>IF('Daily Sale entry '!P1047="","",'Daily Sale entry '!P1047)</f>
        <v/>
      </c>
      <c r="D1047">
        <f>IF(C1047="","",IF('Daily Sale entry '!Q1047="Credit Sale 赊销",'Daily Sale entry '!S1047,0))</f>
        <v/>
      </c>
      <c r="E1047">
        <f>IF(C1047="","",IF('Daily Sale entry '!Q1047="Collection 收款",'Daily Sale entry '!S1047,0))</f>
        <v/>
      </c>
      <c r="F1047" s="37">
        <f>IF(C1047="","",B1047+IF(E1047&gt;0,0,0.5)+ROW()/10000000)</f>
        <v/>
      </c>
      <c r="G1047">
        <f>IF(C1047="","",'Daily Sale entry '!Q1047&amp;IF('Daily Sale entry '!Q1047="Collection 收款"," ("&amp;'Daily Sale entry '!R1047&amp;")","")&amp;IF('Daily Sale entry '!U1047="",""," - "&amp;'Daily Sale entry '!U1047))</f>
        <v/>
      </c>
      <c r="H1047">
        <f>IF(C1047="","",COUNTIFS($C$2:$C$3001,C1047,$F$2:$F$3001,"&lt;"&amp;F1047)+1)</f>
        <v/>
      </c>
      <c r="I1047">
        <f>IF(C1047="","",C1047&amp;"|"&amp;H1047)</f>
        <v/>
      </c>
      <c r="J1047" s="6">
        <f>IF(C1047="","",IF(H1047=1,SUMIFS('Opening Balance'!$F$4:$F$303,'Opening Balance'!$G$4:$G$303,C1047),INDEX($L$2:$L$3001,MATCH(C1047&amp;"|"&amp;(H1047-1),$I$2:$I$3001,0))))</f>
        <v/>
      </c>
      <c r="K1047" s="6">
        <f>IF(C1047="","",IF(M1047&gt;0,M1047,IF(AND(E1047&gt;0,ROUND(J1047+D1047-E1047,2)&gt;0,ROUND(J1047+D1047-E1047,2)&lt;'Opening Balance'!$B$14),ROUND(J1047+D1047-E1047,2),0)))</f>
        <v/>
      </c>
      <c r="L1047" s="6">
        <f>IF(C1047="","",ROUND(J1047+D1047-E1047-K1047,2))</f>
        <v/>
      </c>
      <c r="M1047" s="6">
        <f>IF(C1047="","",IF('Daily Sale entry '!Q1047="Collection 收款",ROUND(N('Daily Sale entry '!T1047),2),0))</f>
        <v/>
      </c>
    </row>
    <row r="1048">
      <c r="A1048" t="inlineStr">
        <is>
          <t>Entry 记录</t>
        </is>
      </c>
      <c r="B1048" s="5">
        <f>IF('Daily Sale entry '!P1048="","",'Daily Sale entry '!O1048)</f>
        <v/>
      </c>
      <c r="C1048">
        <f>IF('Daily Sale entry '!P1048="","",'Daily Sale entry '!P1048)</f>
        <v/>
      </c>
      <c r="D1048">
        <f>IF(C1048="","",IF('Daily Sale entry '!Q1048="Credit Sale 赊销",'Daily Sale entry '!S1048,0))</f>
        <v/>
      </c>
      <c r="E1048">
        <f>IF(C1048="","",IF('Daily Sale entry '!Q1048="Collection 收款",'Daily Sale entry '!S1048,0))</f>
        <v/>
      </c>
      <c r="F1048" s="37">
        <f>IF(C1048="","",B1048+IF(E1048&gt;0,0,0.5)+ROW()/10000000)</f>
        <v/>
      </c>
      <c r="G1048">
        <f>IF(C1048="","",'Daily Sale entry '!Q1048&amp;IF('Daily Sale entry '!Q1048="Collection 收款"," ("&amp;'Daily Sale entry '!R1048&amp;")","")&amp;IF('Daily Sale entry '!U1048="",""," - "&amp;'Daily Sale entry '!U1048))</f>
        <v/>
      </c>
      <c r="H1048">
        <f>IF(C1048="","",COUNTIFS($C$2:$C$3001,C1048,$F$2:$F$3001,"&lt;"&amp;F1048)+1)</f>
        <v/>
      </c>
      <c r="I1048">
        <f>IF(C1048="","",C1048&amp;"|"&amp;H1048)</f>
        <v/>
      </c>
      <c r="J1048" s="6">
        <f>IF(C1048="","",IF(H1048=1,SUMIFS('Opening Balance'!$F$4:$F$303,'Opening Balance'!$G$4:$G$303,C1048),INDEX($L$2:$L$3001,MATCH(C1048&amp;"|"&amp;(H1048-1),$I$2:$I$3001,0))))</f>
        <v/>
      </c>
      <c r="K1048" s="6">
        <f>IF(C1048="","",IF(M1048&gt;0,M1048,IF(AND(E1048&gt;0,ROUND(J1048+D1048-E1048,2)&gt;0,ROUND(J1048+D1048-E1048,2)&lt;'Opening Balance'!$B$14),ROUND(J1048+D1048-E1048,2),0)))</f>
        <v/>
      </c>
      <c r="L1048" s="6">
        <f>IF(C1048="","",ROUND(J1048+D1048-E1048-K1048,2))</f>
        <v/>
      </c>
      <c r="M1048" s="6">
        <f>IF(C1048="","",IF('Daily Sale entry '!Q1048="Collection 收款",ROUND(N('Daily Sale entry '!T1048),2),0))</f>
        <v/>
      </c>
    </row>
    <row r="1049">
      <c r="A1049" t="inlineStr">
        <is>
          <t>Entry 记录</t>
        </is>
      </c>
      <c r="B1049" s="5">
        <f>IF('Daily Sale entry '!P1049="","",'Daily Sale entry '!O1049)</f>
        <v/>
      </c>
      <c r="C1049">
        <f>IF('Daily Sale entry '!P1049="","",'Daily Sale entry '!P1049)</f>
        <v/>
      </c>
      <c r="D1049">
        <f>IF(C1049="","",IF('Daily Sale entry '!Q1049="Credit Sale 赊销",'Daily Sale entry '!S1049,0))</f>
        <v/>
      </c>
      <c r="E1049">
        <f>IF(C1049="","",IF('Daily Sale entry '!Q1049="Collection 收款",'Daily Sale entry '!S1049,0))</f>
        <v/>
      </c>
      <c r="F1049" s="37">
        <f>IF(C1049="","",B1049+IF(E1049&gt;0,0,0.5)+ROW()/10000000)</f>
        <v/>
      </c>
      <c r="G1049">
        <f>IF(C1049="","",'Daily Sale entry '!Q1049&amp;IF('Daily Sale entry '!Q1049="Collection 收款"," ("&amp;'Daily Sale entry '!R1049&amp;")","")&amp;IF('Daily Sale entry '!U1049="",""," - "&amp;'Daily Sale entry '!U1049))</f>
        <v/>
      </c>
      <c r="H1049">
        <f>IF(C1049="","",COUNTIFS($C$2:$C$3001,C1049,$F$2:$F$3001,"&lt;"&amp;F1049)+1)</f>
        <v/>
      </c>
      <c r="I1049">
        <f>IF(C1049="","",C1049&amp;"|"&amp;H1049)</f>
        <v/>
      </c>
      <c r="J1049" s="6">
        <f>IF(C1049="","",IF(H1049=1,SUMIFS('Opening Balance'!$F$4:$F$303,'Opening Balance'!$G$4:$G$303,C1049),INDEX($L$2:$L$3001,MATCH(C1049&amp;"|"&amp;(H1049-1),$I$2:$I$3001,0))))</f>
        <v/>
      </c>
      <c r="K1049" s="6">
        <f>IF(C1049="","",IF(M1049&gt;0,M1049,IF(AND(E1049&gt;0,ROUND(J1049+D1049-E1049,2)&gt;0,ROUND(J1049+D1049-E1049,2)&lt;'Opening Balance'!$B$14),ROUND(J1049+D1049-E1049,2),0)))</f>
        <v/>
      </c>
      <c r="L1049" s="6">
        <f>IF(C1049="","",ROUND(J1049+D1049-E1049-K1049,2))</f>
        <v/>
      </c>
      <c r="M1049" s="6">
        <f>IF(C1049="","",IF('Daily Sale entry '!Q1049="Collection 收款",ROUND(N('Daily Sale entry '!T1049),2),0))</f>
        <v/>
      </c>
    </row>
    <row r="1050">
      <c r="A1050" t="inlineStr">
        <is>
          <t>Entry 记录</t>
        </is>
      </c>
      <c r="B1050" s="5">
        <f>IF('Daily Sale entry '!P1050="","",'Daily Sale entry '!O1050)</f>
        <v/>
      </c>
      <c r="C1050">
        <f>IF('Daily Sale entry '!P1050="","",'Daily Sale entry '!P1050)</f>
        <v/>
      </c>
      <c r="D1050">
        <f>IF(C1050="","",IF('Daily Sale entry '!Q1050="Credit Sale 赊销",'Daily Sale entry '!S1050,0))</f>
        <v/>
      </c>
      <c r="E1050">
        <f>IF(C1050="","",IF('Daily Sale entry '!Q1050="Collection 收款",'Daily Sale entry '!S1050,0))</f>
        <v/>
      </c>
      <c r="F1050" s="37">
        <f>IF(C1050="","",B1050+IF(E1050&gt;0,0,0.5)+ROW()/10000000)</f>
        <v/>
      </c>
      <c r="G1050">
        <f>IF(C1050="","",'Daily Sale entry '!Q1050&amp;IF('Daily Sale entry '!Q1050="Collection 收款"," ("&amp;'Daily Sale entry '!R1050&amp;")","")&amp;IF('Daily Sale entry '!U1050="",""," - "&amp;'Daily Sale entry '!U1050))</f>
        <v/>
      </c>
      <c r="H1050">
        <f>IF(C1050="","",COUNTIFS($C$2:$C$3001,C1050,$F$2:$F$3001,"&lt;"&amp;F1050)+1)</f>
        <v/>
      </c>
      <c r="I1050">
        <f>IF(C1050="","",C1050&amp;"|"&amp;H1050)</f>
        <v/>
      </c>
      <c r="J1050" s="6">
        <f>IF(C1050="","",IF(H1050=1,SUMIFS('Opening Balance'!$F$4:$F$303,'Opening Balance'!$G$4:$G$303,C1050),INDEX($L$2:$L$3001,MATCH(C1050&amp;"|"&amp;(H1050-1),$I$2:$I$3001,0))))</f>
        <v/>
      </c>
      <c r="K1050" s="6">
        <f>IF(C1050="","",IF(M1050&gt;0,M1050,IF(AND(E1050&gt;0,ROUND(J1050+D1050-E1050,2)&gt;0,ROUND(J1050+D1050-E1050,2)&lt;'Opening Balance'!$B$14),ROUND(J1050+D1050-E1050,2),0)))</f>
        <v/>
      </c>
      <c r="L1050" s="6">
        <f>IF(C1050="","",ROUND(J1050+D1050-E1050-K1050,2))</f>
        <v/>
      </c>
      <c r="M1050" s="6">
        <f>IF(C1050="","",IF('Daily Sale entry '!Q1050="Collection 收款",ROUND(N('Daily Sale entry '!T1050),2),0))</f>
        <v/>
      </c>
    </row>
    <row r="1051">
      <c r="A1051" t="inlineStr">
        <is>
          <t>Entry 记录</t>
        </is>
      </c>
      <c r="B1051" s="5">
        <f>IF('Daily Sale entry '!P1051="","",'Daily Sale entry '!O1051)</f>
        <v/>
      </c>
      <c r="C1051">
        <f>IF('Daily Sale entry '!P1051="","",'Daily Sale entry '!P1051)</f>
        <v/>
      </c>
      <c r="D1051">
        <f>IF(C1051="","",IF('Daily Sale entry '!Q1051="Credit Sale 赊销",'Daily Sale entry '!S1051,0))</f>
        <v/>
      </c>
      <c r="E1051">
        <f>IF(C1051="","",IF('Daily Sale entry '!Q1051="Collection 收款",'Daily Sale entry '!S1051,0))</f>
        <v/>
      </c>
      <c r="F1051" s="37">
        <f>IF(C1051="","",B1051+IF(E1051&gt;0,0,0.5)+ROW()/10000000)</f>
        <v/>
      </c>
      <c r="G1051">
        <f>IF(C1051="","",'Daily Sale entry '!Q1051&amp;IF('Daily Sale entry '!Q1051="Collection 收款"," ("&amp;'Daily Sale entry '!R1051&amp;")","")&amp;IF('Daily Sale entry '!U1051="",""," - "&amp;'Daily Sale entry '!U1051))</f>
        <v/>
      </c>
      <c r="H1051">
        <f>IF(C1051="","",COUNTIFS($C$2:$C$3001,C1051,$F$2:$F$3001,"&lt;"&amp;F1051)+1)</f>
        <v/>
      </c>
      <c r="I1051">
        <f>IF(C1051="","",C1051&amp;"|"&amp;H1051)</f>
        <v/>
      </c>
      <c r="J1051" s="6">
        <f>IF(C1051="","",IF(H1051=1,SUMIFS('Opening Balance'!$F$4:$F$303,'Opening Balance'!$G$4:$G$303,C1051),INDEX($L$2:$L$3001,MATCH(C1051&amp;"|"&amp;(H1051-1),$I$2:$I$3001,0))))</f>
        <v/>
      </c>
      <c r="K1051" s="6">
        <f>IF(C1051="","",IF(M1051&gt;0,M1051,IF(AND(E1051&gt;0,ROUND(J1051+D1051-E1051,2)&gt;0,ROUND(J1051+D1051-E1051,2)&lt;'Opening Balance'!$B$14),ROUND(J1051+D1051-E1051,2),0)))</f>
        <v/>
      </c>
      <c r="L1051" s="6">
        <f>IF(C1051="","",ROUND(J1051+D1051-E1051-K1051,2))</f>
        <v/>
      </c>
      <c r="M1051" s="6">
        <f>IF(C1051="","",IF('Daily Sale entry '!Q1051="Collection 收款",ROUND(N('Daily Sale entry '!T1051),2),0))</f>
        <v/>
      </c>
    </row>
    <row r="1052">
      <c r="A1052" t="inlineStr">
        <is>
          <t>Entry 记录</t>
        </is>
      </c>
      <c r="B1052" s="5">
        <f>IF('Daily Sale entry '!P1052="","",'Daily Sale entry '!O1052)</f>
        <v/>
      </c>
      <c r="C1052">
        <f>IF('Daily Sale entry '!P1052="","",'Daily Sale entry '!P1052)</f>
        <v/>
      </c>
      <c r="D1052">
        <f>IF(C1052="","",IF('Daily Sale entry '!Q1052="Credit Sale 赊销",'Daily Sale entry '!S1052,0))</f>
        <v/>
      </c>
      <c r="E1052">
        <f>IF(C1052="","",IF('Daily Sale entry '!Q1052="Collection 收款",'Daily Sale entry '!S1052,0))</f>
        <v/>
      </c>
      <c r="F1052" s="37">
        <f>IF(C1052="","",B1052+IF(E1052&gt;0,0,0.5)+ROW()/10000000)</f>
        <v/>
      </c>
      <c r="G1052">
        <f>IF(C1052="","",'Daily Sale entry '!Q1052&amp;IF('Daily Sale entry '!Q1052="Collection 收款"," ("&amp;'Daily Sale entry '!R1052&amp;")","")&amp;IF('Daily Sale entry '!U1052="",""," - "&amp;'Daily Sale entry '!U1052))</f>
        <v/>
      </c>
      <c r="H1052">
        <f>IF(C1052="","",COUNTIFS($C$2:$C$3001,C1052,$F$2:$F$3001,"&lt;"&amp;F1052)+1)</f>
        <v/>
      </c>
      <c r="I1052">
        <f>IF(C1052="","",C1052&amp;"|"&amp;H1052)</f>
        <v/>
      </c>
      <c r="J1052" s="6">
        <f>IF(C1052="","",IF(H1052=1,SUMIFS('Opening Balance'!$F$4:$F$303,'Opening Balance'!$G$4:$G$303,C1052),INDEX($L$2:$L$3001,MATCH(C1052&amp;"|"&amp;(H1052-1),$I$2:$I$3001,0))))</f>
        <v/>
      </c>
      <c r="K1052" s="6">
        <f>IF(C1052="","",IF(M1052&gt;0,M1052,IF(AND(E1052&gt;0,ROUND(J1052+D1052-E1052,2)&gt;0,ROUND(J1052+D1052-E1052,2)&lt;'Opening Balance'!$B$14),ROUND(J1052+D1052-E1052,2),0)))</f>
        <v/>
      </c>
      <c r="L1052" s="6">
        <f>IF(C1052="","",ROUND(J1052+D1052-E1052-K1052,2))</f>
        <v/>
      </c>
      <c r="M1052" s="6">
        <f>IF(C1052="","",IF('Daily Sale entry '!Q1052="Collection 收款",ROUND(N('Daily Sale entry '!T1052),2),0))</f>
        <v/>
      </c>
    </row>
    <row r="1053">
      <c r="A1053" t="inlineStr">
        <is>
          <t>Entry 记录</t>
        </is>
      </c>
      <c r="B1053" s="5">
        <f>IF('Daily Sale entry '!P1053="","",'Daily Sale entry '!O1053)</f>
        <v/>
      </c>
      <c r="C1053">
        <f>IF('Daily Sale entry '!P1053="","",'Daily Sale entry '!P1053)</f>
        <v/>
      </c>
      <c r="D1053">
        <f>IF(C1053="","",IF('Daily Sale entry '!Q1053="Credit Sale 赊销",'Daily Sale entry '!S1053,0))</f>
        <v/>
      </c>
      <c r="E1053">
        <f>IF(C1053="","",IF('Daily Sale entry '!Q1053="Collection 收款",'Daily Sale entry '!S1053,0))</f>
        <v/>
      </c>
      <c r="F1053" s="37">
        <f>IF(C1053="","",B1053+IF(E1053&gt;0,0,0.5)+ROW()/10000000)</f>
        <v/>
      </c>
      <c r="G1053">
        <f>IF(C1053="","",'Daily Sale entry '!Q1053&amp;IF('Daily Sale entry '!Q1053="Collection 收款"," ("&amp;'Daily Sale entry '!R1053&amp;")","")&amp;IF('Daily Sale entry '!U1053="",""," - "&amp;'Daily Sale entry '!U1053))</f>
        <v/>
      </c>
      <c r="H1053">
        <f>IF(C1053="","",COUNTIFS($C$2:$C$3001,C1053,$F$2:$F$3001,"&lt;"&amp;F1053)+1)</f>
        <v/>
      </c>
      <c r="I1053">
        <f>IF(C1053="","",C1053&amp;"|"&amp;H1053)</f>
        <v/>
      </c>
      <c r="J1053" s="6">
        <f>IF(C1053="","",IF(H1053=1,SUMIFS('Opening Balance'!$F$4:$F$303,'Opening Balance'!$G$4:$G$303,C1053),INDEX($L$2:$L$3001,MATCH(C1053&amp;"|"&amp;(H1053-1),$I$2:$I$3001,0))))</f>
        <v/>
      </c>
      <c r="K1053" s="6">
        <f>IF(C1053="","",IF(M1053&gt;0,M1053,IF(AND(E1053&gt;0,ROUND(J1053+D1053-E1053,2)&gt;0,ROUND(J1053+D1053-E1053,2)&lt;'Opening Balance'!$B$14),ROUND(J1053+D1053-E1053,2),0)))</f>
        <v/>
      </c>
      <c r="L1053" s="6">
        <f>IF(C1053="","",ROUND(J1053+D1053-E1053-K1053,2))</f>
        <v/>
      </c>
      <c r="M1053" s="6">
        <f>IF(C1053="","",IF('Daily Sale entry '!Q1053="Collection 收款",ROUND(N('Daily Sale entry '!T1053),2),0))</f>
        <v/>
      </c>
    </row>
    <row r="1054">
      <c r="A1054" t="inlineStr">
        <is>
          <t>Entry 记录</t>
        </is>
      </c>
      <c r="B1054" s="5">
        <f>IF('Daily Sale entry '!P1054="","",'Daily Sale entry '!O1054)</f>
        <v/>
      </c>
      <c r="C1054">
        <f>IF('Daily Sale entry '!P1054="","",'Daily Sale entry '!P1054)</f>
        <v/>
      </c>
      <c r="D1054">
        <f>IF(C1054="","",IF('Daily Sale entry '!Q1054="Credit Sale 赊销",'Daily Sale entry '!S1054,0))</f>
        <v/>
      </c>
      <c r="E1054">
        <f>IF(C1054="","",IF('Daily Sale entry '!Q1054="Collection 收款",'Daily Sale entry '!S1054,0))</f>
        <v/>
      </c>
      <c r="F1054" s="37">
        <f>IF(C1054="","",B1054+IF(E1054&gt;0,0,0.5)+ROW()/10000000)</f>
        <v/>
      </c>
      <c r="G1054">
        <f>IF(C1054="","",'Daily Sale entry '!Q1054&amp;IF('Daily Sale entry '!Q1054="Collection 收款"," ("&amp;'Daily Sale entry '!R1054&amp;")","")&amp;IF('Daily Sale entry '!U1054="",""," - "&amp;'Daily Sale entry '!U1054))</f>
        <v/>
      </c>
      <c r="H1054">
        <f>IF(C1054="","",COUNTIFS($C$2:$C$3001,C1054,$F$2:$F$3001,"&lt;"&amp;F1054)+1)</f>
        <v/>
      </c>
      <c r="I1054">
        <f>IF(C1054="","",C1054&amp;"|"&amp;H1054)</f>
        <v/>
      </c>
      <c r="J1054" s="6">
        <f>IF(C1054="","",IF(H1054=1,SUMIFS('Opening Balance'!$F$4:$F$303,'Opening Balance'!$G$4:$G$303,C1054),INDEX($L$2:$L$3001,MATCH(C1054&amp;"|"&amp;(H1054-1),$I$2:$I$3001,0))))</f>
        <v/>
      </c>
      <c r="K1054" s="6">
        <f>IF(C1054="","",IF(M1054&gt;0,M1054,IF(AND(E1054&gt;0,ROUND(J1054+D1054-E1054,2)&gt;0,ROUND(J1054+D1054-E1054,2)&lt;'Opening Balance'!$B$14),ROUND(J1054+D1054-E1054,2),0)))</f>
        <v/>
      </c>
      <c r="L1054" s="6">
        <f>IF(C1054="","",ROUND(J1054+D1054-E1054-K1054,2))</f>
        <v/>
      </c>
      <c r="M1054" s="6">
        <f>IF(C1054="","",IF('Daily Sale entry '!Q1054="Collection 收款",ROUND(N('Daily Sale entry '!T1054),2),0))</f>
        <v/>
      </c>
    </row>
    <row r="1055">
      <c r="A1055" t="inlineStr">
        <is>
          <t>Entry 记录</t>
        </is>
      </c>
      <c r="B1055" s="5">
        <f>IF('Daily Sale entry '!P1055="","",'Daily Sale entry '!O1055)</f>
        <v/>
      </c>
      <c r="C1055">
        <f>IF('Daily Sale entry '!P1055="","",'Daily Sale entry '!P1055)</f>
        <v/>
      </c>
      <c r="D1055">
        <f>IF(C1055="","",IF('Daily Sale entry '!Q1055="Credit Sale 赊销",'Daily Sale entry '!S1055,0))</f>
        <v/>
      </c>
      <c r="E1055">
        <f>IF(C1055="","",IF('Daily Sale entry '!Q1055="Collection 收款",'Daily Sale entry '!S1055,0))</f>
        <v/>
      </c>
      <c r="F1055" s="37">
        <f>IF(C1055="","",B1055+IF(E1055&gt;0,0,0.5)+ROW()/10000000)</f>
        <v/>
      </c>
      <c r="G1055">
        <f>IF(C1055="","",'Daily Sale entry '!Q1055&amp;IF('Daily Sale entry '!Q1055="Collection 收款"," ("&amp;'Daily Sale entry '!R1055&amp;")","")&amp;IF('Daily Sale entry '!U1055="",""," - "&amp;'Daily Sale entry '!U1055))</f>
        <v/>
      </c>
      <c r="H1055">
        <f>IF(C1055="","",COUNTIFS($C$2:$C$3001,C1055,$F$2:$F$3001,"&lt;"&amp;F1055)+1)</f>
        <v/>
      </c>
      <c r="I1055">
        <f>IF(C1055="","",C1055&amp;"|"&amp;H1055)</f>
        <v/>
      </c>
      <c r="J1055" s="6">
        <f>IF(C1055="","",IF(H1055=1,SUMIFS('Opening Balance'!$F$4:$F$303,'Opening Balance'!$G$4:$G$303,C1055),INDEX($L$2:$L$3001,MATCH(C1055&amp;"|"&amp;(H1055-1),$I$2:$I$3001,0))))</f>
        <v/>
      </c>
      <c r="K1055" s="6">
        <f>IF(C1055="","",IF(M1055&gt;0,M1055,IF(AND(E1055&gt;0,ROUND(J1055+D1055-E1055,2)&gt;0,ROUND(J1055+D1055-E1055,2)&lt;'Opening Balance'!$B$14),ROUND(J1055+D1055-E1055,2),0)))</f>
        <v/>
      </c>
      <c r="L1055" s="6">
        <f>IF(C1055="","",ROUND(J1055+D1055-E1055-K1055,2))</f>
        <v/>
      </c>
      <c r="M1055" s="6">
        <f>IF(C1055="","",IF('Daily Sale entry '!Q1055="Collection 收款",ROUND(N('Daily Sale entry '!T1055),2),0))</f>
        <v/>
      </c>
    </row>
    <row r="1056">
      <c r="A1056" t="inlineStr">
        <is>
          <t>Entry 记录</t>
        </is>
      </c>
      <c r="B1056" s="5">
        <f>IF('Daily Sale entry '!P1056="","",'Daily Sale entry '!O1056)</f>
        <v/>
      </c>
      <c r="C1056">
        <f>IF('Daily Sale entry '!P1056="","",'Daily Sale entry '!P1056)</f>
        <v/>
      </c>
      <c r="D1056">
        <f>IF(C1056="","",IF('Daily Sale entry '!Q1056="Credit Sale 赊销",'Daily Sale entry '!S1056,0))</f>
        <v/>
      </c>
      <c r="E1056">
        <f>IF(C1056="","",IF('Daily Sale entry '!Q1056="Collection 收款",'Daily Sale entry '!S1056,0))</f>
        <v/>
      </c>
      <c r="F1056" s="37">
        <f>IF(C1056="","",B1056+IF(E1056&gt;0,0,0.5)+ROW()/10000000)</f>
        <v/>
      </c>
      <c r="G1056">
        <f>IF(C1056="","",'Daily Sale entry '!Q1056&amp;IF('Daily Sale entry '!Q1056="Collection 收款"," ("&amp;'Daily Sale entry '!R1056&amp;")","")&amp;IF('Daily Sale entry '!U1056="",""," - "&amp;'Daily Sale entry '!U1056))</f>
        <v/>
      </c>
      <c r="H1056">
        <f>IF(C1056="","",COUNTIFS($C$2:$C$3001,C1056,$F$2:$F$3001,"&lt;"&amp;F1056)+1)</f>
        <v/>
      </c>
      <c r="I1056">
        <f>IF(C1056="","",C1056&amp;"|"&amp;H1056)</f>
        <v/>
      </c>
      <c r="J1056" s="6">
        <f>IF(C1056="","",IF(H1056=1,SUMIFS('Opening Balance'!$F$4:$F$303,'Opening Balance'!$G$4:$G$303,C1056),INDEX($L$2:$L$3001,MATCH(C1056&amp;"|"&amp;(H1056-1),$I$2:$I$3001,0))))</f>
        <v/>
      </c>
      <c r="K1056" s="6">
        <f>IF(C1056="","",IF(M1056&gt;0,M1056,IF(AND(E1056&gt;0,ROUND(J1056+D1056-E1056,2)&gt;0,ROUND(J1056+D1056-E1056,2)&lt;'Opening Balance'!$B$14),ROUND(J1056+D1056-E1056,2),0)))</f>
        <v/>
      </c>
      <c r="L1056" s="6">
        <f>IF(C1056="","",ROUND(J1056+D1056-E1056-K1056,2))</f>
        <v/>
      </c>
      <c r="M1056" s="6">
        <f>IF(C1056="","",IF('Daily Sale entry '!Q1056="Collection 收款",ROUND(N('Daily Sale entry '!T1056),2),0))</f>
        <v/>
      </c>
    </row>
    <row r="1057">
      <c r="A1057" t="inlineStr">
        <is>
          <t>Entry 记录</t>
        </is>
      </c>
      <c r="B1057" s="5">
        <f>IF('Daily Sale entry '!P1057="","",'Daily Sale entry '!O1057)</f>
        <v/>
      </c>
      <c r="C1057">
        <f>IF('Daily Sale entry '!P1057="","",'Daily Sale entry '!P1057)</f>
        <v/>
      </c>
      <c r="D1057">
        <f>IF(C1057="","",IF('Daily Sale entry '!Q1057="Credit Sale 赊销",'Daily Sale entry '!S1057,0))</f>
        <v/>
      </c>
      <c r="E1057">
        <f>IF(C1057="","",IF('Daily Sale entry '!Q1057="Collection 收款",'Daily Sale entry '!S1057,0))</f>
        <v/>
      </c>
      <c r="F1057" s="37">
        <f>IF(C1057="","",B1057+IF(E1057&gt;0,0,0.5)+ROW()/10000000)</f>
        <v/>
      </c>
      <c r="G1057">
        <f>IF(C1057="","",'Daily Sale entry '!Q1057&amp;IF('Daily Sale entry '!Q1057="Collection 收款"," ("&amp;'Daily Sale entry '!R1057&amp;")","")&amp;IF('Daily Sale entry '!U1057="",""," - "&amp;'Daily Sale entry '!U1057))</f>
        <v/>
      </c>
      <c r="H1057">
        <f>IF(C1057="","",COUNTIFS($C$2:$C$3001,C1057,$F$2:$F$3001,"&lt;"&amp;F1057)+1)</f>
        <v/>
      </c>
      <c r="I1057">
        <f>IF(C1057="","",C1057&amp;"|"&amp;H1057)</f>
        <v/>
      </c>
      <c r="J1057" s="6">
        <f>IF(C1057="","",IF(H1057=1,SUMIFS('Opening Balance'!$F$4:$F$303,'Opening Balance'!$G$4:$G$303,C1057),INDEX($L$2:$L$3001,MATCH(C1057&amp;"|"&amp;(H1057-1),$I$2:$I$3001,0))))</f>
        <v/>
      </c>
      <c r="K1057" s="6">
        <f>IF(C1057="","",IF(M1057&gt;0,M1057,IF(AND(E1057&gt;0,ROUND(J1057+D1057-E1057,2)&gt;0,ROUND(J1057+D1057-E1057,2)&lt;'Opening Balance'!$B$14),ROUND(J1057+D1057-E1057,2),0)))</f>
        <v/>
      </c>
      <c r="L1057" s="6">
        <f>IF(C1057="","",ROUND(J1057+D1057-E1057-K1057,2))</f>
        <v/>
      </c>
      <c r="M1057" s="6">
        <f>IF(C1057="","",IF('Daily Sale entry '!Q1057="Collection 收款",ROUND(N('Daily Sale entry '!T1057),2),0))</f>
        <v/>
      </c>
    </row>
    <row r="1058">
      <c r="A1058" t="inlineStr">
        <is>
          <t>Entry 记录</t>
        </is>
      </c>
      <c r="B1058" s="5">
        <f>IF('Daily Sale entry '!P1058="","",'Daily Sale entry '!O1058)</f>
        <v/>
      </c>
      <c r="C1058">
        <f>IF('Daily Sale entry '!P1058="","",'Daily Sale entry '!P1058)</f>
        <v/>
      </c>
      <c r="D1058">
        <f>IF(C1058="","",IF('Daily Sale entry '!Q1058="Credit Sale 赊销",'Daily Sale entry '!S1058,0))</f>
        <v/>
      </c>
      <c r="E1058">
        <f>IF(C1058="","",IF('Daily Sale entry '!Q1058="Collection 收款",'Daily Sale entry '!S1058,0))</f>
        <v/>
      </c>
      <c r="F1058" s="37">
        <f>IF(C1058="","",B1058+IF(E1058&gt;0,0,0.5)+ROW()/10000000)</f>
        <v/>
      </c>
      <c r="G1058">
        <f>IF(C1058="","",'Daily Sale entry '!Q1058&amp;IF('Daily Sale entry '!Q1058="Collection 收款"," ("&amp;'Daily Sale entry '!R1058&amp;")","")&amp;IF('Daily Sale entry '!U1058="",""," - "&amp;'Daily Sale entry '!U1058))</f>
        <v/>
      </c>
      <c r="H1058">
        <f>IF(C1058="","",COUNTIFS($C$2:$C$3001,C1058,$F$2:$F$3001,"&lt;"&amp;F1058)+1)</f>
        <v/>
      </c>
      <c r="I1058">
        <f>IF(C1058="","",C1058&amp;"|"&amp;H1058)</f>
        <v/>
      </c>
      <c r="J1058" s="6">
        <f>IF(C1058="","",IF(H1058=1,SUMIFS('Opening Balance'!$F$4:$F$303,'Opening Balance'!$G$4:$G$303,C1058),INDEX($L$2:$L$3001,MATCH(C1058&amp;"|"&amp;(H1058-1),$I$2:$I$3001,0))))</f>
        <v/>
      </c>
      <c r="K1058" s="6">
        <f>IF(C1058="","",IF(M1058&gt;0,M1058,IF(AND(E1058&gt;0,ROUND(J1058+D1058-E1058,2)&gt;0,ROUND(J1058+D1058-E1058,2)&lt;'Opening Balance'!$B$14),ROUND(J1058+D1058-E1058,2),0)))</f>
        <v/>
      </c>
      <c r="L1058" s="6">
        <f>IF(C1058="","",ROUND(J1058+D1058-E1058-K1058,2))</f>
        <v/>
      </c>
      <c r="M1058" s="6">
        <f>IF(C1058="","",IF('Daily Sale entry '!Q1058="Collection 收款",ROUND(N('Daily Sale entry '!T1058),2),0))</f>
        <v/>
      </c>
    </row>
    <row r="1059">
      <c r="A1059" t="inlineStr">
        <is>
          <t>Entry 记录</t>
        </is>
      </c>
      <c r="B1059" s="5">
        <f>IF('Daily Sale entry '!P1059="","",'Daily Sale entry '!O1059)</f>
        <v/>
      </c>
      <c r="C1059">
        <f>IF('Daily Sale entry '!P1059="","",'Daily Sale entry '!P1059)</f>
        <v/>
      </c>
      <c r="D1059">
        <f>IF(C1059="","",IF('Daily Sale entry '!Q1059="Credit Sale 赊销",'Daily Sale entry '!S1059,0))</f>
        <v/>
      </c>
      <c r="E1059">
        <f>IF(C1059="","",IF('Daily Sale entry '!Q1059="Collection 收款",'Daily Sale entry '!S1059,0))</f>
        <v/>
      </c>
      <c r="F1059" s="37">
        <f>IF(C1059="","",B1059+IF(E1059&gt;0,0,0.5)+ROW()/10000000)</f>
        <v/>
      </c>
      <c r="G1059">
        <f>IF(C1059="","",'Daily Sale entry '!Q1059&amp;IF('Daily Sale entry '!Q1059="Collection 收款"," ("&amp;'Daily Sale entry '!R1059&amp;")","")&amp;IF('Daily Sale entry '!U1059="",""," - "&amp;'Daily Sale entry '!U1059))</f>
        <v/>
      </c>
      <c r="H1059">
        <f>IF(C1059="","",COUNTIFS($C$2:$C$3001,C1059,$F$2:$F$3001,"&lt;"&amp;F1059)+1)</f>
        <v/>
      </c>
      <c r="I1059">
        <f>IF(C1059="","",C1059&amp;"|"&amp;H1059)</f>
        <v/>
      </c>
      <c r="J1059" s="6">
        <f>IF(C1059="","",IF(H1059=1,SUMIFS('Opening Balance'!$F$4:$F$303,'Opening Balance'!$G$4:$G$303,C1059),INDEX($L$2:$L$3001,MATCH(C1059&amp;"|"&amp;(H1059-1),$I$2:$I$3001,0))))</f>
        <v/>
      </c>
      <c r="K1059" s="6">
        <f>IF(C1059="","",IF(M1059&gt;0,M1059,IF(AND(E1059&gt;0,ROUND(J1059+D1059-E1059,2)&gt;0,ROUND(J1059+D1059-E1059,2)&lt;'Opening Balance'!$B$14),ROUND(J1059+D1059-E1059,2),0)))</f>
        <v/>
      </c>
      <c r="L1059" s="6">
        <f>IF(C1059="","",ROUND(J1059+D1059-E1059-K1059,2))</f>
        <v/>
      </c>
      <c r="M1059" s="6">
        <f>IF(C1059="","",IF('Daily Sale entry '!Q1059="Collection 收款",ROUND(N('Daily Sale entry '!T1059),2),0))</f>
        <v/>
      </c>
    </row>
    <row r="1060">
      <c r="A1060" t="inlineStr">
        <is>
          <t>Entry 记录</t>
        </is>
      </c>
      <c r="B1060" s="5">
        <f>IF('Daily Sale entry '!P1060="","",'Daily Sale entry '!O1060)</f>
        <v/>
      </c>
      <c r="C1060">
        <f>IF('Daily Sale entry '!P1060="","",'Daily Sale entry '!P1060)</f>
        <v/>
      </c>
      <c r="D1060">
        <f>IF(C1060="","",IF('Daily Sale entry '!Q1060="Credit Sale 赊销",'Daily Sale entry '!S1060,0))</f>
        <v/>
      </c>
      <c r="E1060">
        <f>IF(C1060="","",IF('Daily Sale entry '!Q1060="Collection 收款",'Daily Sale entry '!S1060,0))</f>
        <v/>
      </c>
      <c r="F1060" s="37">
        <f>IF(C1060="","",B1060+IF(E1060&gt;0,0,0.5)+ROW()/10000000)</f>
        <v/>
      </c>
      <c r="G1060">
        <f>IF(C1060="","",'Daily Sale entry '!Q1060&amp;IF('Daily Sale entry '!Q1060="Collection 收款"," ("&amp;'Daily Sale entry '!R1060&amp;")","")&amp;IF('Daily Sale entry '!U1060="",""," - "&amp;'Daily Sale entry '!U1060))</f>
        <v/>
      </c>
      <c r="H1060">
        <f>IF(C1060="","",COUNTIFS($C$2:$C$3001,C1060,$F$2:$F$3001,"&lt;"&amp;F1060)+1)</f>
        <v/>
      </c>
      <c r="I1060">
        <f>IF(C1060="","",C1060&amp;"|"&amp;H1060)</f>
        <v/>
      </c>
      <c r="J1060" s="6">
        <f>IF(C1060="","",IF(H1060=1,SUMIFS('Opening Balance'!$F$4:$F$303,'Opening Balance'!$G$4:$G$303,C1060),INDEX($L$2:$L$3001,MATCH(C1060&amp;"|"&amp;(H1060-1),$I$2:$I$3001,0))))</f>
        <v/>
      </c>
      <c r="K1060" s="6">
        <f>IF(C1060="","",IF(M1060&gt;0,M1060,IF(AND(E1060&gt;0,ROUND(J1060+D1060-E1060,2)&gt;0,ROUND(J1060+D1060-E1060,2)&lt;'Opening Balance'!$B$14),ROUND(J1060+D1060-E1060,2),0)))</f>
        <v/>
      </c>
      <c r="L1060" s="6">
        <f>IF(C1060="","",ROUND(J1060+D1060-E1060-K1060,2))</f>
        <v/>
      </c>
      <c r="M1060" s="6">
        <f>IF(C1060="","",IF('Daily Sale entry '!Q1060="Collection 收款",ROUND(N('Daily Sale entry '!T1060),2),0))</f>
        <v/>
      </c>
    </row>
    <row r="1061">
      <c r="A1061" t="inlineStr">
        <is>
          <t>Entry 记录</t>
        </is>
      </c>
      <c r="B1061" s="5">
        <f>IF('Daily Sale entry '!P1061="","",'Daily Sale entry '!O1061)</f>
        <v/>
      </c>
      <c r="C1061">
        <f>IF('Daily Sale entry '!P1061="","",'Daily Sale entry '!P1061)</f>
        <v/>
      </c>
      <c r="D1061">
        <f>IF(C1061="","",IF('Daily Sale entry '!Q1061="Credit Sale 赊销",'Daily Sale entry '!S1061,0))</f>
        <v/>
      </c>
      <c r="E1061">
        <f>IF(C1061="","",IF('Daily Sale entry '!Q1061="Collection 收款",'Daily Sale entry '!S1061,0))</f>
        <v/>
      </c>
      <c r="F1061" s="37">
        <f>IF(C1061="","",B1061+IF(E1061&gt;0,0,0.5)+ROW()/10000000)</f>
        <v/>
      </c>
      <c r="G1061">
        <f>IF(C1061="","",'Daily Sale entry '!Q1061&amp;IF('Daily Sale entry '!Q1061="Collection 收款"," ("&amp;'Daily Sale entry '!R1061&amp;")","")&amp;IF('Daily Sale entry '!U1061="",""," - "&amp;'Daily Sale entry '!U1061))</f>
        <v/>
      </c>
      <c r="H1061">
        <f>IF(C1061="","",COUNTIFS($C$2:$C$3001,C1061,$F$2:$F$3001,"&lt;"&amp;F1061)+1)</f>
        <v/>
      </c>
      <c r="I1061">
        <f>IF(C1061="","",C1061&amp;"|"&amp;H1061)</f>
        <v/>
      </c>
      <c r="J1061" s="6">
        <f>IF(C1061="","",IF(H1061=1,SUMIFS('Opening Balance'!$F$4:$F$303,'Opening Balance'!$G$4:$G$303,C1061),INDEX($L$2:$L$3001,MATCH(C1061&amp;"|"&amp;(H1061-1),$I$2:$I$3001,0))))</f>
        <v/>
      </c>
      <c r="K1061" s="6">
        <f>IF(C1061="","",IF(M1061&gt;0,M1061,IF(AND(E1061&gt;0,ROUND(J1061+D1061-E1061,2)&gt;0,ROUND(J1061+D1061-E1061,2)&lt;'Opening Balance'!$B$14),ROUND(J1061+D1061-E1061,2),0)))</f>
        <v/>
      </c>
      <c r="L1061" s="6">
        <f>IF(C1061="","",ROUND(J1061+D1061-E1061-K1061,2))</f>
        <v/>
      </c>
      <c r="M1061" s="6">
        <f>IF(C1061="","",IF('Daily Sale entry '!Q1061="Collection 收款",ROUND(N('Daily Sale entry '!T1061),2),0))</f>
        <v/>
      </c>
    </row>
    <row r="1062">
      <c r="A1062" t="inlineStr">
        <is>
          <t>Entry 记录</t>
        </is>
      </c>
      <c r="B1062" s="5">
        <f>IF('Daily Sale entry '!P1062="","",'Daily Sale entry '!O1062)</f>
        <v/>
      </c>
      <c r="C1062">
        <f>IF('Daily Sale entry '!P1062="","",'Daily Sale entry '!P1062)</f>
        <v/>
      </c>
      <c r="D1062">
        <f>IF(C1062="","",IF('Daily Sale entry '!Q1062="Credit Sale 赊销",'Daily Sale entry '!S1062,0))</f>
        <v/>
      </c>
      <c r="E1062">
        <f>IF(C1062="","",IF('Daily Sale entry '!Q1062="Collection 收款",'Daily Sale entry '!S1062,0))</f>
        <v/>
      </c>
      <c r="F1062" s="37">
        <f>IF(C1062="","",B1062+IF(E1062&gt;0,0,0.5)+ROW()/10000000)</f>
        <v/>
      </c>
      <c r="G1062">
        <f>IF(C1062="","",'Daily Sale entry '!Q1062&amp;IF('Daily Sale entry '!Q1062="Collection 收款"," ("&amp;'Daily Sale entry '!R1062&amp;")","")&amp;IF('Daily Sale entry '!U1062="",""," - "&amp;'Daily Sale entry '!U1062))</f>
        <v/>
      </c>
      <c r="H1062">
        <f>IF(C1062="","",COUNTIFS($C$2:$C$3001,C1062,$F$2:$F$3001,"&lt;"&amp;F1062)+1)</f>
        <v/>
      </c>
      <c r="I1062">
        <f>IF(C1062="","",C1062&amp;"|"&amp;H1062)</f>
        <v/>
      </c>
      <c r="J1062" s="6">
        <f>IF(C1062="","",IF(H1062=1,SUMIFS('Opening Balance'!$F$4:$F$303,'Opening Balance'!$G$4:$G$303,C1062),INDEX($L$2:$L$3001,MATCH(C1062&amp;"|"&amp;(H1062-1),$I$2:$I$3001,0))))</f>
        <v/>
      </c>
      <c r="K1062" s="6">
        <f>IF(C1062="","",IF(M1062&gt;0,M1062,IF(AND(E1062&gt;0,ROUND(J1062+D1062-E1062,2)&gt;0,ROUND(J1062+D1062-E1062,2)&lt;'Opening Balance'!$B$14),ROUND(J1062+D1062-E1062,2),0)))</f>
        <v/>
      </c>
      <c r="L1062" s="6">
        <f>IF(C1062="","",ROUND(J1062+D1062-E1062-K1062,2))</f>
        <v/>
      </c>
      <c r="M1062" s="6">
        <f>IF(C1062="","",IF('Daily Sale entry '!Q1062="Collection 收款",ROUND(N('Daily Sale entry '!T1062),2),0))</f>
        <v/>
      </c>
    </row>
    <row r="1063">
      <c r="A1063" t="inlineStr">
        <is>
          <t>Entry 记录</t>
        </is>
      </c>
      <c r="B1063" s="5">
        <f>IF('Daily Sale entry '!P1063="","",'Daily Sale entry '!O1063)</f>
        <v/>
      </c>
      <c r="C1063">
        <f>IF('Daily Sale entry '!P1063="","",'Daily Sale entry '!P1063)</f>
        <v/>
      </c>
      <c r="D1063">
        <f>IF(C1063="","",IF('Daily Sale entry '!Q1063="Credit Sale 赊销",'Daily Sale entry '!S1063,0))</f>
        <v/>
      </c>
      <c r="E1063">
        <f>IF(C1063="","",IF('Daily Sale entry '!Q1063="Collection 收款",'Daily Sale entry '!S1063,0))</f>
        <v/>
      </c>
      <c r="F1063" s="37">
        <f>IF(C1063="","",B1063+IF(E1063&gt;0,0,0.5)+ROW()/10000000)</f>
        <v/>
      </c>
      <c r="G1063">
        <f>IF(C1063="","",'Daily Sale entry '!Q1063&amp;IF('Daily Sale entry '!Q1063="Collection 收款"," ("&amp;'Daily Sale entry '!R1063&amp;")","")&amp;IF('Daily Sale entry '!U1063="",""," - "&amp;'Daily Sale entry '!U1063))</f>
        <v/>
      </c>
      <c r="H1063">
        <f>IF(C1063="","",COUNTIFS($C$2:$C$3001,C1063,$F$2:$F$3001,"&lt;"&amp;F1063)+1)</f>
        <v/>
      </c>
      <c r="I1063">
        <f>IF(C1063="","",C1063&amp;"|"&amp;H1063)</f>
        <v/>
      </c>
      <c r="J1063" s="6">
        <f>IF(C1063="","",IF(H1063=1,SUMIFS('Opening Balance'!$F$4:$F$303,'Opening Balance'!$G$4:$G$303,C1063),INDEX($L$2:$L$3001,MATCH(C1063&amp;"|"&amp;(H1063-1),$I$2:$I$3001,0))))</f>
        <v/>
      </c>
      <c r="K1063" s="6">
        <f>IF(C1063="","",IF(M1063&gt;0,M1063,IF(AND(E1063&gt;0,ROUND(J1063+D1063-E1063,2)&gt;0,ROUND(J1063+D1063-E1063,2)&lt;'Opening Balance'!$B$14),ROUND(J1063+D1063-E1063,2),0)))</f>
        <v/>
      </c>
      <c r="L1063" s="6">
        <f>IF(C1063="","",ROUND(J1063+D1063-E1063-K1063,2))</f>
        <v/>
      </c>
      <c r="M1063" s="6">
        <f>IF(C1063="","",IF('Daily Sale entry '!Q1063="Collection 收款",ROUND(N('Daily Sale entry '!T1063),2),0))</f>
        <v/>
      </c>
    </row>
    <row r="1064">
      <c r="A1064" t="inlineStr">
        <is>
          <t>Entry 记录</t>
        </is>
      </c>
      <c r="B1064" s="5">
        <f>IF('Daily Sale entry '!P1064="","",'Daily Sale entry '!O1064)</f>
        <v/>
      </c>
      <c r="C1064">
        <f>IF('Daily Sale entry '!P1064="","",'Daily Sale entry '!P1064)</f>
        <v/>
      </c>
      <c r="D1064">
        <f>IF(C1064="","",IF('Daily Sale entry '!Q1064="Credit Sale 赊销",'Daily Sale entry '!S1064,0))</f>
        <v/>
      </c>
      <c r="E1064">
        <f>IF(C1064="","",IF('Daily Sale entry '!Q1064="Collection 收款",'Daily Sale entry '!S1064,0))</f>
        <v/>
      </c>
      <c r="F1064" s="37">
        <f>IF(C1064="","",B1064+IF(E1064&gt;0,0,0.5)+ROW()/10000000)</f>
        <v/>
      </c>
      <c r="G1064">
        <f>IF(C1064="","",'Daily Sale entry '!Q1064&amp;IF('Daily Sale entry '!Q1064="Collection 收款"," ("&amp;'Daily Sale entry '!R1064&amp;")","")&amp;IF('Daily Sale entry '!U1064="",""," - "&amp;'Daily Sale entry '!U1064))</f>
        <v/>
      </c>
      <c r="H1064">
        <f>IF(C1064="","",COUNTIFS($C$2:$C$3001,C1064,$F$2:$F$3001,"&lt;"&amp;F1064)+1)</f>
        <v/>
      </c>
      <c r="I1064">
        <f>IF(C1064="","",C1064&amp;"|"&amp;H1064)</f>
        <v/>
      </c>
      <c r="J1064" s="6">
        <f>IF(C1064="","",IF(H1064=1,SUMIFS('Opening Balance'!$F$4:$F$303,'Opening Balance'!$G$4:$G$303,C1064),INDEX($L$2:$L$3001,MATCH(C1064&amp;"|"&amp;(H1064-1),$I$2:$I$3001,0))))</f>
        <v/>
      </c>
      <c r="K1064" s="6">
        <f>IF(C1064="","",IF(M1064&gt;0,M1064,IF(AND(E1064&gt;0,ROUND(J1064+D1064-E1064,2)&gt;0,ROUND(J1064+D1064-E1064,2)&lt;'Opening Balance'!$B$14),ROUND(J1064+D1064-E1064,2),0)))</f>
        <v/>
      </c>
      <c r="L1064" s="6">
        <f>IF(C1064="","",ROUND(J1064+D1064-E1064-K1064,2))</f>
        <v/>
      </c>
      <c r="M1064" s="6">
        <f>IF(C1064="","",IF('Daily Sale entry '!Q1064="Collection 收款",ROUND(N('Daily Sale entry '!T1064),2),0))</f>
        <v/>
      </c>
    </row>
    <row r="1065">
      <c r="A1065" t="inlineStr">
        <is>
          <t>Entry 记录</t>
        </is>
      </c>
      <c r="B1065" s="5">
        <f>IF('Daily Sale entry '!P1065="","",'Daily Sale entry '!O1065)</f>
        <v/>
      </c>
      <c r="C1065">
        <f>IF('Daily Sale entry '!P1065="","",'Daily Sale entry '!P1065)</f>
        <v/>
      </c>
      <c r="D1065">
        <f>IF(C1065="","",IF('Daily Sale entry '!Q1065="Credit Sale 赊销",'Daily Sale entry '!S1065,0))</f>
        <v/>
      </c>
      <c r="E1065">
        <f>IF(C1065="","",IF('Daily Sale entry '!Q1065="Collection 收款",'Daily Sale entry '!S1065,0))</f>
        <v/>
      </c>
      <c r="F1065" s="37">
        <f>IF(C1065="","",B1065+IF(E1065&gt;0,0,0.5)+ROW()/10000000)</f>
        <v/>
      </c>
      <c r="G1065">
        <f>IF(C1065="","",'Daily Sale entry '!Q1065&amp;IF('Daily Sale entry '!Q1065="Collection 收款"," ("&amp;'Daily Sale entry '!R1065&amp;")","")&amp;IF('Daily Sale entry '!U1065="",""," - "&amp;'Daily Sale entry '!U1065))</f>
        <v/>
      </c>
      <c r="H1065">
        <f>IF(C1065="","",COUNTIFS($C$2:$C$3001,C1065,$F$2:$F$3001,"&lt;"&amp;F1065)+1)</f>
        <v/>
      </c>
      <c r="I1065">
        <f>IF(C1065="","",C1065&amp;"|"&amp;H1065)</f>
        <v/>
      </c>
      <c r="J1065" s="6">
        <f>IF(C1065="","",IF(H1065=1,SUMIFS('Opening Balance'!$F$4:$F$303,'Opening Balance'!$G$4:$G$303,C1065),INDEX($L$2:$L$3001,MATCH(C1065&amp;"|"&amp;(H1065-1),$I$2:$I$3001,0))))</f>
        <v/>
      </c>
      <c r="K1065" s="6">
        <f>IF(C1065="","",IF(M1065&gt;0,M1065,IF(AND(E1065&gt;0,ROUND(J1065+D1065-E1065,2)&gt;0,ROUND(J1065+D1065-E1065,2)&lt;'Opening Balance'!$B$14),ROUND(J1065+D1065-E1065,2),0)))</f>
        <v/>
      </c>
      <c r="L1065" s="6">
        <f>IF(C1065="","",ROUND(J1065+D1065-E1065-K1065,2))</f>
        <v/>
      </c>
      <c r="M1065" s="6">
        <f>IF(C1065="","",IF('Daily Sale entry '!Q1065="Collection 收款",ROUND(N('Daily Sale entry '!T1065),2),0))</f>
        <v/>
      </c>
    </row>
    <row r="1066">
      <c r="A1066" t="inlineStr">
        <is>
          <t>Entry 记录</t>
        </is>
      </c>
      <c r="B1066" s="5">
        <f>IF('Daily Sale entry '!P1066="","",'Daily Sale entry '!O1066)</f>
        <v/>
      </c>
      <c r="C1066">
        <f>IF('Daily Sale entry '!P1066="","",'Daily Sale entry '!P1066)</f>
        <v/>
      </c>
      <c r="D1066">
        <f>IF(C1066="","",IF('Daily Sale entry '!Q1066="Credit Sale 赊销",'Daily Sale entry '!S1066,0))</f>
        <v/>
      </c>
      <c r="E1066">
        <f>IF(C1066="","",IF('Daily Sale entry '!Q1066="Collection 收款",'Daily Sale entry '!S1066,0))</f>
        <v/>
      </c>
      <c r="F1066" s="37">
        <f>IF(C1066="","",B1066+IF(E1066&gt;0,0,0.5)+ROW()/10000000)</f>
        <v/>
      </c>
      <c r="G1066">
        <f>IF(C1066="","",'Daily Sale entry '!Q1066&amp;IF('Daily Sale entry '!Q1066="Collection 收款"," ("&amp;'Daily Sale entry '!R1066&amp;")","")&amp;IF('Daily Sale entry '!U1066="",""," - "&amp;'Daily Sale entry '!U1066))</f>
        <v/>
      </c>
      <c r="H1066">
        <f>IF(C1066="","",COUNTIFS($C$2:$C$3001,C1066,$F$2:$F$3001,"&lt;"&amp;F1066)+1)</f>
        <v/>
      </c>
      <c r="I1066">
        <f>IF(C1066="","",C1066&amp;"|"&amp;H1066)</f>
        <v/>
      </c>
      <c r="J1066" s="6">
        <f>IF(C1066="","",IF(H1066=1,SUMIFS('Opening Balance'!$F$4:$F$303,'Opening Balance'!$G$4:$G$303,C1066),INDEX($L$2:$L$3001,MATCH(C1066&amp;"|"&amp;(H1066-1),$I$2:$I$3001,0))))</f>
        <v/>
      </c>
      <c r="K1066" s="6">
        <f>IF(C1066="","",IF(M1066&gt;0,M1066,IF(AND(E1066&gt;0,ROUND(J1066+D1066-E1066,2)&gt;0,ROUND(J1066+D1066-E1066,2)&lt;'Opening Balance'!$B$14),ROUND(J1066+D1066-E1066,2),0)))</f>
        <v/>
      </c>
      <c r="L1066" s="6">
        <f>IF(C1066="","",ROUND(J1066+D1066-E1066-K1066,2))</f>
        <v/>
      </c>
      <c r="M1066" s="6">
        <f>IF(C1066="","",IF('Daily Sale entry '!Q1066="Collection 收款",ROUND(N('Daily Sale entry '!T1066),2),0))</f>
        <v/>
      </c>
    </row>
    <row r="1067">
      <c r="A1067" t="inlineStr">
        <is>
          <t>Entry 记录</t>
        </is>
      </c>
      <c r="B1067" s="5">
        <f>IF('Daily Sale entry '!P1067="","",'Daily Sale entry '!O1067)</f>
        <v/>
      </c>
      <c r="C1067">
        <f>IF('Daily Sale entry '!P1067="","",'Daily Sale entry '!P1067)</f>
        <v/>
      </c>
      <c r="D1067">
        <f>IF(C1067="","",IF('Daily Sale entry '!Q1067="Credit Sale 赊销",'Daily Sale entry '!S1067,0))</f>
        <v/>
      </c>
      <c r="E1067">
        <f>IF(C1067="","",IF('Daily Sale entry '!Q1067="Collection 收款",'Daily Sale entry '!S1067,0))</f>
        <v/>
      </c>
      <c r="F1067" s="37">
        <f>IF(C1067="","",B1067+IF(E1067&gt;0,0,0.5)+ROW()/10000000)</f>
        <v/>
      </c>
      <c r="G1067">
        <f>IF(C1067="","",'Daily Sale entry '!Q1067&amp;IF('Daily Sale entry '!Q1067="Collection 收款"," ("&amp;'Daily Sale entry '!R1067&amp;")","")&amp;IF('Daily Sale entry '!U1067="",""," - "&amp;'Daily Sale entry '!U1067))</f>
        <v/>
      </c>
      <c r="H1067">
        <f>IF(C1067="","",COUNTIFS($C$2:$C$3001,C1067,$F$2:$F$3001,"&lt;"&amp;F1067)+1)</f>
        <v/>
      </c>
      <c r="I1067">
        <f>IF(C1067="","",C1067&amp;"|"&amp;H1067)</f>
        <v/>
      </c>
      <c r="J1067" s="6">
        <f>IF(C1067="","",IF(H1067=1,SUMIFS('Opening Balance'!$F$4:$F$303,'Opening Balance'!$G$4:$G$303,C1067),INDEX($L$2:$L$3001,MATCH(C1067&amp;"|"&amp;(H1067-1),$I$2:$I$3001,0))))</f>
        <v/>
      </c>
      <c r="K1067" s="6">
        <f>IF(C1067="","",IF(M1067&gt;0,M1067,IF(AND(E1067&gt;0,ROUND(J1067+D1067-E1067,2)&gt;0,ROUND(J1067+D1067-E1067,2)&lt;'Opening Balance'!$B$14),ROUND(J1067+D1067-E1067,2),0)))</f>
        <v/>
      </c>
      <c r="L1067" s="6">
        <f>IF(C1067="","",ROUND(J1067+D1067-E1067-K1067,2))</f>
        <v/>
      </c>
      <c r="M1067" s="6">
        <f>IF(C1067="","",IF('Daily Sale entry '!Q1067="Collection 收款",ROUND(N('Daily Sale entry '!T1067),2),0))</f>
        <v/>
      </c>
    </row>
    <row r="1068">
      <c r="A1068" t="inlineStr">
        <is>
          <t>Entry 记录</t>
        </is>
      </c>
      <c r="B1068" s="5">
        <f>IF('Daily Sale entry '!P1068="","",'Daily Sale entry '!O1068)</f>
        <v/>
      </c>
      <c r="C1068">
        <f>IF('Daily Sale entry '!P1068="","",'Daily Sale entry '!P1068)</f>
        <v/>
      </c>
      <c r="D1068">
        <f>IF(C1068="","",IF('Daily Sale entry '!Q1068="Credit Sale 赊销",'Daily Sale entry '!S1068,0))</f>
        <v/>
      </c>
      <c r="E1068">
        <f>IF(C1068="","",IF('Daily Sale entry '!Q1068="Collection 收款",'Daily Sale entry '!S1068,0))</f>
        <v/>
      </c>
      <c r="F1068" s="37">
        <f>IF(C1068="","",B1068+IF(E1068&gt;0,0,0.5)+ROW()/10000000)</f>
        <v/>
      </c>
      <c r="G1068">
        <f>IF(C1068="","",'Daily Sale entry '!Q1068&amp;IF('Daily Sale entry '!Q1068="Collection 收款"," ("&amp;'Daily Sale entry '!R1068&amp;")","")&amp;IF('Daily Sale entry '!U1068="",""," - "&amp;'Daily Sale entry '!U1068))</f>
        <v/>
      </c>
      <c r="H1068">
        <f>IF(C1068="","",COUNTIFS($C$2:$C$3001,C1068,$F$2:$F$3001,"&lt;"&amp;F1068)+1)</f>
        <v/>
      </c>
      <c r="I1068">
        <f>IF(C1068="","",C1068&amp;"|"&amp;H1068)</f>
        <v/>
      </c>
      <c r="J1068" s="6">
        <f>IF(C1068="","",IF(H1068=1,SUMIFS('Opening Balance'!$F$4:$F$303,'Opening Balance'!$G$4:$G$303,C1068),INDEX($L$2:$L$3001,MATCH(C1068&amp;"|"&amp;(H1068-1),$I$2:$I$3001,0))))</f>
        <v/>
      </c>
      <c r="K1068" s="6">
        <f>IF(C1068="","",IF(M1068&gt;0,M1068,IF(AND(E1068&gt;0,ROUND(J1068+D1068-E1068,2)&gt;0,ROUND(J1068+D1068-E1068,2)&lt;'Opening Balance'!$B$14),ROUND(J1068+D1068-E1068,2),0)))</f>
        <v/>
      </c>
      <c r="L1068" s="6">
        <f>IF(C1068="","",ROUND(J1068+D1068-E1068-K1068,2))</f>
        <v/>
      </c>
      <c r="M1068" s="6">
        <f>IF(C1068="","",IF('Daily Sale entry '!Q1068="Collection 收款",ROUND(N('Daily Sale entry '!T1068),2),0))</f>
        <v/>
      </c>
    </row>
    <row r="1069">
      <c r="A1069" t="inlineStr">
        <is>
          <t>Entry 记录</t>
        </is>
      </c>
      <c r="B1069" s="5">
        <f>IF('Daily Sale entry '!P1069="","",'Daily Sale entry '!O1069)</f>
        <v/>
      </c>
      <c r="C1069">
        <f>IF('Daily Sale entry '!P1069="","",'Daily Sale entry '!P1069)</f>
        <v/>
      </c>
      <c r="D1069">
        <f>IF(C1069="","",IF('Daily Sale entry '!Q1069="Credit Sale 赊销",'Daily Sale entry '!S1069,0))</f>
        <v/>
      </c>
      <c r="E1069">
        <f>IF(C1069="","",IF('Daily Sale entry '!Q1069="Collection 收款",'Daily Sale entry '!S1069,0))</f>
        <v/>
      </c>
      <c r="F1069" s="37">
        <f>IF(C1069="","",B1069+IF(E1069&gt;0,0,0.5)+ROW()/10000000)</f>
        <v/>
      </c>
      <c r="G1069">
        <f>IF(C1069="","",'Daily Sale entry '!Q1069&amp;IF('Daily Sale entry '!Q1069="Collection 收款"," ("&amp;'Daily Sale entry '!R1069&amp;")","")&amp;IF('Daily Sale entry '!U1069="",""," - "&amp;'Daily Sale entry '!U1069))</f>
        <v/>
      </c>
      <c r="H1069">
        <f>IF(C1069="","",COUNTIFS($C$2:$C$3001,C1069,$F$2:$F$3001,"&lt;"&amp;F1069)+1)</f>
        <v/>
      </c>
      <c r="I1069">
        <f>IF(C1069="","",C1069&amp;"|"&amp;H1069)</f>
        <v/>
      </c>
      <c r="J1069" s="6">
        <f>IF(C1069="","",IF(H1069=1,SUMIFS('Opening Balance'!$F$4:$F$303,'Opening Balance'!$G$4:$G$303,C1069),INDEX($L$2:$L$3001,MATCH(C1069&amp;"|"&amp;(H1069-1),$I$2:$I$3001,0))))</f>
        <v/>
      </c>
      <c r="K1069" s="6">
        <f>IF(C1069="","",IF(M1069&gt;0,M1069,IF(AND(E1069&gt;0,ROUND(J1069+D1069-E1069,2)&gt;0,ROUND(J1069+D1069-E1069,2)&lt;'Opening Balance'!$B$14),ROUND(J1069+D1069-E1069,2),0)))</f>
        <v/>
      </c>
      <c r="L1069" s="6">
        <f>IF(C1069="","",ROUND(J1069+D1069-E1069-K1069,2))</f>
        <v/>
      </c>
      <c r="M1069" s="6">
        <f>IF(C1069="","",IF('Daily Sale entry '!Q1069="Collection 收款",ROUND(N('Daily Sale entry '!T1069),2),0))</f>
        <v/>
      </c>
    </row>
    <row r="1070">
      <c r="A1070" t="inlineStr">
        <is>
          <t>Entry 记录</t>
        </is>
      </c>
      <c r="B1070" s="5">
        <f>IF('Daily Sale entry '!P1070="","",'Daily Sale entry '!O1070)</f>
        <v/>
      </c>
      <c r="C1070">
        <f>IF('Daily Sale entry '!P1070="","",'Daily Sale entry '!P1070)</f>
        <v/>
      </c>
      <c r="D1070">
        <f>IF(C1070="","",IF('Daily Sale entry '!Q1070="Credit Sale 赊销",'Daily Sale entry '!S1070,0))</f>
        <v/>
      </c>
      <c r="E1070">
        <f>IF(C1070="","",IF('Daily Sale entry '!Q1070="Collection 收款",'Daily Sale entry '!S1070,0))</f>
        <v/>
      </c>
      <c r="F1070" s="37">
        <f>IF(C1070="","",B1070+IF(E1070&gt;0,0,0.5)+ROW()/10000000)</f>
        <v/>
      </c>
      <c r="G1070">
        <f>IF(C1070="","",'Daily Sale entry '!Q1070&amp;IF('Daily Sale entry '!Q1070="Collection 收款"," ("&amp;'Daily Sale entry '!R1070&amp;")","")&amp;IF('Daily Sale entry '!U1070="",""," - "&amp;'Daily Sale entry '!U1070))</f>
        <v/>
      </c>
      <c r="H1070">
        <f>IF(C1070="","",COUNTIFS($C$2:$C$3001,C1070,$F$2:$F$3001,"&lt;"&amp;F1070)+1)</f>
        <v/>
      </c>
      <c r="I1070">
        <f>IF(C1070="","",C1070&amp;"|"&amp;H1070)</f>
        <v/>
      </c>
      <c r="J1070" s="6">
        <f>IF(C1070="","",IF(H1070=1,SUMIFS('Opening Balance'!$F$4:$F$303,'Opening Balance'!$G$4:$G$303,C1070),INDEX($L$2:$L$3001,MATCH(C1070&amp;"|"&amp;(H1070-1),$I$2:$I$3001,0))))</f>
        <v/>
      </c>
      <c r="K1070" s="6">
        <f>IF(C1070="","",IF(M1070&gt;0,M1070,IF(AND(E1070&gt;0,ROUND(J1070+D1070-E1070,2)&gt;0,ROUND(J1070+D1070-E1070,2)&lt;'Opening Balance'!$B$14),ROUND(J1070+D1070-E1070,2),0)))</f>
        <v/>
      </c>
      <c r="L1070" s="6">
        <f>IF(C1070="","",ROUND(J1070+D1070-E1070-K1070,2))</f>
        <v/>
      </c>
      <c r="M1070" s="6">
        <f>IF(C1070="","",IF('Daily Sale entry '!Q1070="Collection 收款",ROUND(N('Daily Sale entry '!T1070),2),0))</f>
        <v/>
      </c>
    </row>
    <row r="1071">
      <c r="A1071" t="inlineStr">
        <is>
          <t>Entry 记录</t>
        </is>
      </c>
      <c r="B1071" s="5">
        <f>IF('Daily Sale entry '!P1071="","",'Daily Sale entry '!O1071)</f>
        <v/>
      </c>
      <c r="C1071">
        <f>IF('Daily Sale entry '!P1071="","",'Daily Sale entry '!P1071)</f>
        <v/>
      </c>
      <c r="D1071">
        <f>IF(C1071="","",IF('Daily Sale entry '!Q1071="Credit Sale 赊销",'Daily Sale entry '!S1071,0))</f>
        <v/>
      </c>
      <c r="E1071">
        <f>IF(C1071="","",IF('Daily Sale entry '!Q1071="Collection 收款",'Daily Sale entry '!S1071,0))</f>
        <v/>
      </c>
      <c r="F1071" s="37">
        <f>IF(C1071="","",B1071+IF(E1071&gt;0,0,0.5)+ROW()/10000000)</f>
        <v/>
      </c>
      <c r="G1071">
        <f>IF(C1071="","",'Daily Sale entry '!Q1071&amp;IF('Daily Sale entry '!Q1071="Collection 收款"," ("&amp;'Daily Sale entry '!R1071&amp;")","")&amp;IF('Daily Sale entry '!U1071="",""," - "&amp;'Daily Sale entry '!U1071))</f>
        <v/>
      </c>
      <c r="H1071">
        <f>IF(C1071="","",COUNTIFS($C$2:$C$3001,C1071,$F$2:$F$3001,"&lt;"&amp;F1071)+1)</f>
        <v/>
      </c>
      <c r="I1071">
        <f>IF(C1071="","",C1071&amp;"|"&amp;H1071)</f>
        <v/>
      </c>
      <c r="J1071" s="6">
        <f>IF(C1071="","",IF(H1071=1,SUMIFS('Opening Balance'!$F$4:$F$303,'Opening Balance'!$G$4:$G$303,C1071),INDEX($L$2:$L$3001,MATCH(C1071&amp;"|"&amp;(H1071-1),$I$2:$I$3001,0))))</f>
        <v/>
      </c>
      <c r="K1071" s="6">
        <f>IF(C1071="","",IF(M1071&gt;0,M1071,IF(AND(E1071&gt;0,ROUND(J1071+D1071-E1071,2)&gt;0,ROUND(J1071+D1071-E1071,2)&lt;'Opening Balance'!$B$14),ROUND(J1071+D1071-E1071,2),0)))</f>
        <v/>
      </c>
      <c r="L1071" s="6">
        <f>IF(C1071="","",ROUND(J1071+D1071-E1071-K1071,2))</f>
        <v/>
      </c>
      <c r="M1071" s="6">
        <f>IF(C1071="","",IF('Daily Sale entry '!Q1071="Collection 收款",ROUND(N('Daily Sale entry '!T1071),2),0))</f>
        <v/>
      </c>
    </row>
    <row r="1072">
      <c r="A1072" t="inlineStr">
        <is>
          <t>Entry 记录</t>
        </is>
      </c>
      <c r="B1072" s="5">
        <f>IF('Daily Sale entry '!P1072="","",'Daily Sale entry '!O1072)</f>
        <v/>
      </c>
      <c r="C1072">
        <f>IF('Daily Sale entry '!P1072="","",'Daily Sale entry '!P1072)</f>
        <v/>
      </c>
      <c r="D1072">
        <f>IF(C1072="","",IF('Daily Sale entry '!Q1072="Credit Sale 赊销",'Daily Sale entry '!S1072,0))</f>
        <v/>
      </c>
      <c r="E1072">
        <f>IF(C1072="","",IF('Daily Sale entry '!Q1072="Collection 收款",'Daily Sale entry '!S1072,0))</f>
        <v/>
      </c>
      <c r="F1072" s="37">
        <f>IF(C1072="","",B1072+IF(E1072&gt;0,0,0.5)+ROW()/10000000)</f>
        <v/>
      </c>
      <c r="G1072">
        <f>IF(C1072="","",'Daily Sale entry '!Q1072&amp;IF('Daily Sale entry '!Q1072="Collection 收款"," ("&amp;'Daily Sale entry '!R1072&amp;")","")&amp;IF('Daily Sale entry '!U1072="",""," - "&amp;'Daily Sale entry '!U1072))</f>
        <v/>
      </c>
      <c r="H1072">
        <f>IF(C1072="","",COUNTIFS($C$2:$C$3001,C1072,$F$2:$F$3001,"&lt;"&amp;F1072)+1)</f>
        <v/>
      </c>
      <c r="I1072">
        <f>IF(C1072="","",C1072&amp;"|"&amp;H1072)</f>
        <v/>
      </c>
      <c r="J1072" s="6">
        <f>IF(C1072="","",IF(H1072=1,SUMIFS('Opening Balance'!$F$4:$F$303,'Opening Balance'!$G$4:$G$303,C1072),INDEX($L$2:$L$3001,MATCH(C1072&amp;"|"&amp;(H1072-1),$I$2:$I$3001,0))))</f>
        <v/>
      </c>
      <c r="K1072" s="6">
        <f>IF(C1072="","",IF(M1072&gt;0,M1072,IF(AND(E1072&gt;0,ROUND(J1072+D1072-E1072,2)&gt;0,ROUND(J1072+D1072-E1072,2)&lt;'Opening Balance'!$B$14),ROUND(J1072+D1072-E1072,2),0)))</f>
        <v/>
      </c>
      <c r="L1072" s="6">
        <f>IF(C1072="","",ROUND(J1072+D1072-E1072-K1072,2))</f>
        <v/>
      </c>
      <c r="M1072" s="6">
        <f>IF(C1072="","",IF('Daily Sale entry '!Q1072="Collection 收款",ROUND(N('Daily Sale entry '!T1072),2),0))</f>
        <v/>
      </c>
    </row>
    <row r="1073">
      <c r="A1073" t="inlineStr">
        <is>
          <t>Entry 记录</t>
        </is>
      </c>
      <c r="B1073" s="5">
        <f>IF('Daily Sale entry '!P1073="","",'Daily Sale entry '!O1073)</f>
        <v/>
      </c>
      <c r="C1073">
        <f>IF('Daily Sale entry '!P1073="","",'Daily Sale entry '!P1073)</f>
        <v/>
      </c>
      <c r="D1073">
        <f>IF(C1073="","",IF('Daily Sale entry '!Q1073="Credit Sale 赊销",'Daily Sale entry '!S1073,0))</f>
        <v/>
      </c>
      <c r="E1073">
        <f>IF(C1073="","",IF('Daily Sale entry '!Q1073="Collection 收款",'Daily Sale entry '!S1073,0))</f>
        <v/>
      </c>
      <c r="F1073" s="37">
        <f>IF(C1073="","",B1073+IF(E1073&gt;0,0,0.5)+ROW()/10000000)</f>
        <v/>
      </c>
      <c r="G1073">
        <f>IF(C1073="","",'Daily Sale entry '!Q1073&amp;IF('Daily Sale entry '!Q1073="Collection 收款"," ("&amp;'Daily Sale entry '!R1073&amp;")","")&amp;IF('Daily Sale entry '!U1073="",""," - "&amp;'Daily Sale entry '!U1073))</f>
        <v/>
      </c>
      <c r="H1073">
        <f>IF(C1073="","",COUNTIFS($C$2:$C$3001,C1073,$F$2:$F$3001,"&lt;"&amp;F1073)+1)</f>
        <v/>
      </c>
      <c r="I1073">
        <f>IF(C1073="","",C1073&amp;"|"&amp;H1073)</f>
        <v/>
      </c>
      <c r="J1073" s="6">
        <f>IF(C1073="","",IF(H1073=1,SUMIFS('Opening Balance'!$F$4:$F$303,'Opening Balance'!$G$4:$G$303,C1073),INDEX($L$2:$L$3001,MATCH(C1073&amp;"|"&amp;(H1073-1),$I$2:$I$3001,0))))</f>
        <v/>
      </c>
      <c r="K1073" s="6">
        <f>IF(C1073="","",IF(M1073&gt;0,M1073,IF(AND(E1073&gt;0,ROUND(J1073+D1073-E1073,2)&gt;0,ROUND(J1073+D1073-E1073,2)&lt;'Opening Balance'!$B$14),ROUND(J1073+D1073-E1073,2),0)))</f>
        <v/>
      </c>
      <c r="L1073" s="6">
        <f>IF(C1073="","",ROUND(J1073+D1073-E1073-K1073,2))</f>
        <v/>
      </c>
      <c r="M1073" s="6">
        <f>IF(C1073="","",IF('Daily Sale entry '!Q1073="Collection 收款",ROUND(N('Daily Sale entry '!T1073),2),0))</f>
        <v/>
      </c>
    </row>
    <row r="1074">
      <c r="A1074" t="inlineStr">
        <is>
          <t>Entry 记录</t>
        </is>
      </c>
      <c r="B1074" s="5">
        <f>IF('Daily Sale entry '!P1074="","",'Daily Sale entry '!O1074)</f>
        <v/>
      </c>
      <c r="C1074">
        <f>IF('Daily Sale entry '!P1074="","",'Daily Sale entry '!P1074)</f>
        <v/>
      </c>
      <c r="D1074">
        <f>IF(C1074="","",IF('Daily Sale entry '!Q1074="Credit Sale 赊销",'Daily Sale entry '!S1074,0))</f>
        <v/>
      </c>
      <c r="E1074">
        <f>IF(C1074="","",IF('Daily Sale entry '!Q1074="Collection 收款",'Daily Sale entry '!S1074,0))</f>
        <v/>
      </c>
      <c r="F1074" s="37">
        <f>IF(C1074="","",B1074+IF(E1074&gt;0,0,0.5)+ROW()/10000000)</f>
        <v/>
      </c>
      <c r="G1074">
        <f>IF(C1074="","",'Daily Sale entry '!Q1074&amp;IF('Daily Sale entry '!Q1074="Collection 收款"," ("&amp;'Daily Sale entry '!R1074&amp;")","")&amp;IF('Daily Sale entry '!U1074="",""," - "&amp;'Daily Sale entry '!U1074))</f>
        <v/>
      </c>
      <c r="H1074">
        <f>IF(C1074="","",COUNTIFS($C$2:$C$3001,C1074,$F$2:$F$3001,"&lt;"&amp;F1074)+1)</f>
        <v/>
      </c>
      <c r="I1074">
        <f>IF(C1074="","",C1074&amp;"|"&amp;H1074)</f>
        <v/>
      </c>
      <c r="J1074" s="6">
        <f>IF(C1074="","",IF(H1074=1,SUMIFS('Opening Balance'!$F$4:$F$303,'Opening Balance'!$G$4:$G$303,C1074),INDEX($L$2:$L$3001,MATCH(C1074&amp;"|"&amp;(H1074-1),$I$2:$I$3001,0))))</f>
        <v/>
      </c>
      <c r="K1074" s="6">
        <f>IF(C1074="","",IF(M1074&gt;0,M1074,IF(AND(E1074&gt;0,ROUND(J1074+D1074-E1074,2)&gt;0,ROUND(J1074+D1074-E1074,2)&lt;'Opening Balance'!$B$14),ROUND(J1074+D1074-E1074,2),0)))</f>
        <v/>
      </c>
      <c r="L1074" s="6">
        <f>IF(C1074="","",ROUND(J1074+D1074-E1074-K1074,2))</f>
        <v/>
      </c>
      <c r="M1074" s="6">
        <f>IF(C1074="","",IF('Daily Sale entry '!Q1074="Collection 收款",ROUND(N('Daily Sale entry '!T1074),2),0))</f>
        <v/>
      </c>
    </row>
    <row r="1075">
      <c r="A1075" t="inlineStr">
        <is>
          <t>Entry 记录</t>
        </is>
      </c>
      <c r="B1075" s="5">
        <f>IF('Daily Sale entry '!P1075="","",'Daily Sale entry '!O1075)</f>
        <v/>
      </c>
      <c r="C1075">
        <f>IF('Daily Sale entry '!P1075="","",'Daily Sale entry '!P1075)</f>
        <v/>
      </c>
      <c r="D1075">
        <f>IF(C1075="","",IF('Daily Sale entry '!Q1075="Credit Sale 赊销",'Daily Sale entry '!S1075,0))</f>
        <v/>
      </c>
      <c r="E1075">
        <f>IF(C1075="","",IF('Daily Sale entry '!Q1075="Collection 收款",'Daily Sale entry '!S1075,0))</f>
        <v/>
      </c>
      <c r="F1075" s="37">
        <f>IF(C1075="","",B1075+IF(E1075&gt;0,0,0.5)+ROW()/10000000)</f>
        <v/>
      </c>
      <c r="G1075">
        <f>IF(C1075="","",'Daily Sale entry '!Q1075&amp;IF('Daily Sale entry '!Q1075="Collection 收款"," ("&amp;'Daily Sale entry '!R1075&amp;")","")&amp;IF('Daily Sale entry '!U1075="",""," - "&amp;'Daily Sale entry '!U1075))</f>
        <v/>
      </c>
      <c r="H1075">
        <f>IF(C1075="","",COUNTIFS($C$2:$C$3001,C1075,$F$2:$F$3001,"&lt;"&amp;F1075)+1)</f>
        <v/>
      </c>
      <c r="I1075">
        <f>IF(C1075="","",C1075&amp;"|"&amp;H1075)</f>
        <v/>
      </c>
      <c r="J1075" s="6">
        <f>IF(C1075="","",IF(H1075=1,SUMIFS('Opening Balance'!$F$4:$F$303,'Opening Balance'!$G$4:$G$303,C1075),INDEX($L$2:$L$3001,MATCH(C1075&amp;"|"&amp;(H1075-1),$I$2:$I$3001,0))))</f>
        <v/>
      </c>
      <c r="K1075" s="6">
        <f>IF(C1075="","",IF(M1075&gt;0,M1075,IF(AND(E1075&gt;0,ROUND(J1075+D1075-E1075,2)&gt;0,ROUND(J1075+D1075-E1075,2)&lt;'Opening Balance'!$B$14),ROUND(J1075+D1075-E1075,2),0)))</f>
        <v/>
      </c>
      <c r="L1075" s="6">
        <f>IF(C1075="","",ROUND(J1075+D1075-E1075-K1075,2))</f>
        <v/>
      </c>
      <c r="M1075" s="6">
        <f>IF(C1075="","",IF('Daily Sale entry '!Q1075="Collection 收款",ROUND(N('Daily Sale entry '!T1075),2),0))</f>
        <v/>
      </c>
    </row>
    <row r="1076">
      <c r="A1076" t="inlineStr">
        <is>
          <t>Entry 记录</t>
        </is>
      </c>
      <c r="B1076" s="5">
        <f>IF('Daily Sale entry '!P1076="","",'Daily Sale entry '!O1076)</f>
        <v/>
      </c>
      <c r="C1076">
        <f>IF('Daily Sale entry '!P1076="","",'Daily Sale entry '!P1076)</f>
        <v/>
      </c>
      <c r="D1076">
        <f>IF(C1076="","",IF('Daily Sale entry '!Q1076="Credit Sale 赊销",'Daily Sale entry '!S1076,0))</f>
        <v/>
      </c>
      <c r="E1076">
        <f>IF(C1076="","",IF('Daily Sale entry '!Q1076="Collection 收款",'Daily Sale entry '!S1076,0))</f>
        <v/>
      </c>
      <c r="F1076" s="37">
        <f>IF(C1076="","",B1076+IF(E1076&gt;0,0,0.5)+ROW()/10000000)</f>
        <v/>
      </c>
      <c r="G1076">
        <f>IF(C1076="","",'Daily Sale entry '!Q1076&amp;IF('Daily Sale entry '!Q1076="Collection 收款"," ("&amp;'Daily Sale entry '!R1076&amp;")","")&amp;IF('Daily Sale entry '!U1076="",""," - "&amp;'Daily Sale entry '!U1076))</f>
        <v/>
      </c>
      <c r="H1076">
        <f>IF(C1076="","",COUNTIFS($C$2:$C$3001,C1076,$F$2:$F$3001,"&lt;"&amp;F1076)+1)</f>
        <v/>
      </c>
      <c r="I1076">
        <f>IF(C1076="","",C1076&amp;"|"&amp;H1076)</f>
        <v/>
      </c>
      <c r="J1076" s="6">
        <f>IF(C1076="","",IF(H1076=1,SUMIFS('Opening Balance'!$F$4:$F$303,'Opening Balance'!$G$4:$G$303,C1076),INDEX($L$2:$L$3001,MATCH(C1076&amp;"|"&amp;(H1076-1),$I$2:$I$3001,0))))</f>
        <v/>
      </c>
      <c r="K1076" s="6">
        <f>IF(C1076="","",IF(M1076&gt;0,M1076,IF(AND(E1076&gt;0,ROUND(J1076+D1076-E1076,2)&gt;0,ROUND(J1076+D1076-E1076,2)&lt;'Opening Balance'!$B$14),ROUND(J1076+D1076-E1076,2),0)))</f>
        <v/>
      </c>
      <c r="L1076" s="6">
        <f>IF(C1076="","",ROUND(J1076+D1076-E1076-K1076,2))</f>
        <v/>
      </c>
      <c r="M1076" s="6">
        <f>IF(C1076="","",IF('Daily Sale entry '!Q1076="Collection 收款",ROUND(N('Daily Sale entry '!T1076),2),0))</f>
        <v/>
      </c>
    </row>
    <row r="1077">
      <c r="A1077" t="inlineStr">
        <is>
          <t>Entry 记录</t>
        </is>
      </c>
      <c r="B1077" s="5">
        <f>IF('Daily Sale entry '!P1077="","",'Daily Sale entry '!O1077)</f>
        <v/>
      </c>
      <c r="C1077">
        <f>IF('Daily Sale entry '!P1077="","",'Daily Sale entry '!P1077)</f>
        <v/>
      </c>
      <c r="D1077">
        <f>IF(C1077="","",IF('Daily Sale entry '!Q1077="Credit Sale 赊销",'Daily Sale entry '!S1077,0))</f>
        <v/>
      </c>
      <c r="E1077">
        <f>IF(C1077="","",IF('Daily Sale entry '!Q1077="Collection 收款",'Daily Sale entry '!S1077,0))</f>
        <v/>
      </c>
      <c r="F1077" s="37">
        <f>IF(C1077="","",B1077+IF(E1077&gt;0,0,0.5)+ROW()/10000000)</f>
        <v/>
      </c>
      <c r="G1077">
        <f>IF(C1077="","",'Daily Sale entry '!Q1077&amp;IF('Daily Sale entry '!Q1077="Collection 收款"," ("&amp;'Daily Sale entry '!R1077&amp;")","")&amp;IF('Daily Sale entry '!U1077="",""," - "&amp;'Daily Sale entry '!U1077))</f>
        <v/>
      </c>
      <c r="H1077">
        <f>IF(C1077="","",COUNTIFS($C$2:$C$3001,C1077,$F$2:$F$3001,"&lt;"&amp;F1077)+1)</f>
        <v/>
      </c>
      <c r="I1077">
        <f>IF(C1077="","",C1077&amp;"|"&amp;H1077)</f>
        <v/>
      </c>
      <c r="J1077" s="6">
        <f>IF(C1077="","",IF(H1077=1,SUMIFS('Opening Balance'!$F$4:$F$303,'Opening Balance'!$G$4:$G$303,C1077),INDEX($L$2:$L$3001,MATCH(C1077&amp;"|"&amp;(H1077-1),$I$2:$I$3001,0))))</f>
        <v/>
      </c>
      <c r="K1077" s="6">
        <f>IF(C1077="","",IF(M1077&gt;0,M1077,IF(AND(E1077&gt;0,ROUND(J1077+D1077-E1077,2)&gt;0,ROUND(J1077+D1077-E1077,2)&lt;'Opening Balance'!$B$14),ROUND(J1077+D1077-E1077,2),0)))</f>
        <v/>
      </c>
      <c r="L1077" s="6">
        <f>IF(C1077="","",ROUND(J1077+D1077-E1077-K1077,2))</f>
        <v/>
      </c>
      <c r="M1077" s="6">
        <f>IF(C1077="","",IF('Daily Sale entry '!Q1077="Collection 收款",ROUND(N('Daily Sale entry '!T1077),2),0))</f>
        <v/>
      </c>
    </row>
    <row r="1078">
      <c r="A1078" t="inlineStr">
        <is>
          <t>Entry 记录</t>
        </is>
      </c>
      <c r="B1078" s="5">
        <f>IF('Daily Sale entry '!P1078="","",'Daily Sale entry '!O1078)</f>
        <v/>
      </c>
      <c r="C1078">
        <f>IF('Daily Sale entry '!P1078="","",'Daily Sale entry '!P1078)</f>
        <v/>
      </c>
      <c r="D1078">
        <f>IF(C1078="","",IF('Daily Sale entry '!Q1078="Credit Sale 赊销",'Daily Sale entry '!S1078,0))</f>
        <v/>
      </c>
      <c r="E1078">
        <f>IF(C1078="","",IF('Daily Sale entry '!Q1078="Collection 收款",'Daily Sale entry '!S1078,0))</f>
        <v/>
      </c>
      <c r="F1078" s="37">
        <f>IF(C1078="","",B1078+IF(E1078&gt;0,0,0.5)+ROW()/10000000)</f>
        <v/>
      </c>
      <c r="G1078">
        <f>IF(C1078="","",'Daily Sale entry '!Q1078&amp;IF('Daily Sale entry '!Q1078="Collection 收款"," ("&amp;'Daily Sale entry '!R1078&amp;")","")&amp;IF('Daily Sale entry '!U1078="",""," - "&amp;'Daily Sale entry '!U1078))</f>
        <v/>
      </c>
      <c r="H1078">
        <f>IF(C1078="","",COUNTIFS($C$2:$C$3001,C1078,$F$2:$F$3001,"&lt;"&amp;F1078)+1)</f>
        <v/>
      </c>
      <c r="I1078">
        <f>IF(C1078="","",C1078&amp;"|"&amp;H1078)</f>
        <v/>
      </c>
      <c r="J1078" s="6">
        <f>IF(C1078="","",IF(H1078=1,SUMIFS('Opening Balance'!$F$4:$F$303,'Opening Balance'!$G$4:$G$303,C1078),INDEX($L$2:$L$3001,MATCH(C1078&amp;"|"&amp;(H1078-1),$I$2:$I$3001,0))))</f>
        <v/>
      </c>
      <c r="K1078" s="6">
        <f>IF(C1078="","",IF(M1078&gt;0,M1078,IF(AND(E1078&gt;0,ROUND(J1078+D1078-E1078,2)&gt;0,ROUND(J1078+D1078-E1078,2)&lt;'Opening Balance'!$B$14),ROUND(J1078+D1078-E1078,2),0)))</f>
        <v/>
      </c>
      <c r="L1078" s="6">
        <f>IF(C1078="","",ROUND(J1078+D1078-E1078-K1078,2))</f>
        <v/>
      </c>
      <c r="M1078" s="6">
        <f>IF(C1078="","",IF('Daily Sale entry '!Q1078="Collection 收款",ROUND(N('Daily Sale entry '!T1078),2),0))</f>
        <v/>
      </c>
    </row>
    <row r="1079">
      <c r="A1079" t="inlineStr">
        <is>
          <t>Entry 记录</t>
        </is>
      </c>
      <c r="B1079" s="5">
        <f>IF('Daily Sale entry '!P1079="","",'Daily Sale entry '!O1079)</f>
        <v/>
      </c>
      <c r="C1079">
        <f>IF('Daily Sale entry '!P1079="","",'Daily Sale entry '!P1079)</f>
        <v/>
      </c>
      <c r="D1079">
        <f>IF(C1079="","",IF('Daily Sale entry '!Q1079="Credit Sale 赊销",'Daily Sale entry '!S1079,0))</f>
        <v/>
      </c>
      <c r="E1079">
        <f>IF(C1079="","",IF('Daily Sale entry '!Q1079="Collection 收款",'Daily Sale entry '!S1079,0))</f>
        <v/>
      </c>
      <c r="F1079" s="37">
        <f>IF(C1079="","",B1079+IF(E1079&gt;0,0,0.5)+ROW()/10000000)</f>
        <v/>
      </c>
      <c r="G1079">
        <f>IF(C1079="","",'Daily Sale entry '!Q1079&amp;IF('Daily Sale entry '!Q1079="Collection 收款"," ("&amp;'Daily Sale entry '!R1079&amp;")","")&amp;IF('Daily Sale entry '!U1079="",""," - "&amp;'Daily Sale entry '!U1079))</f>
        <v/>
      </c>
      <c r="H1079">
        <f>IF(C1079="","",COUNTIFS($C$2:$C$3001,C1079,$F$2:$F$3001,"&lt;"&amp;F1079)+1)</f>
        <v/>
      </c>
      <c r="I1079">
        <f>IF(C1079="","",C1079&amp;"|"&amp;H1079)</f>
        <v/>
      </c>
      <c r="J1079" s="6">
        <f>IF(C1079="","",IF(H1079=1,SUMIFS('Opening Balance'!$F$4:$F$303,'Opening Balance'!$G$4:$G$303,C1079),INDEX($L$2:$L$3001,MATCH(C1079&amp;"|"&amp;(H1079-1),$I$2:$I$3001,0))))</f>
        <v/>
      </c>
      <c r="K1079" s="6">
        <f>IF(C1079="","",IF(M1079&gt;0,M1079,IF(AND(E1079&gt;0,ROUND(J1079+D1079-E1079,2)&gt;0,ROUND(J1079+D1079-E1079,2)&lt;'Opening Balance'!$B$14),ROUND(J1079+D1079-E1079,2),0)))</f>
        <v/>
      </c>
      <c r="L1079" s="6">
        <f>IF(C1079="","",ROUND(J1079+D1079-E1079-K1079,2))</f>
        <v/>
      </c>
      <c r="M1079" s="6">
        <f>IF(C1079="","",IF('Daily Sale entry '!Q1079="Collection 收款",ROUND(N('Daily Sale entry '!T1079),2),0))</f>
        <v/>
      </c>
    </row>
    <row r="1080">
      <c r="A1080" t="inlineStr">
        <is>
          <t>Entry 记录</t>
        </is>
      </c>
      <c r="B1080" s="5">
        <f>IF('Daily Sale entry '!P1080="","",'Daily Sale entry '!O1080)</f>
        <v/>
      </c>
      <c r="C1080">
        <f>IF('Daily Sale entry '!P1080="","",'Daily Sale entry '!P1080)</f>
        <v/>
      </c>
      <c r="D1080">
        <f>IF(C1080="","",IF('Daily Sale entry '!Q1080="Credit Sale 赊销",'Daily Sale entry '!S1080,0))</f>
        <v/>
      </c>
      <c r="E1080">
        <f>IF(C1080="","",IF('Daily Sale entry '!Q1080="Collection 收款",'Daily Sale entry '!S1080,0))</f>
        <v/>
      </c>
      <c r="F1080" s="37">
        <f>IF(C1080="","",B1080+IF(E1080&gt;0,0,0.5)+ROW()/10000000)</f>
        <v/>
      </c>
      <c r="G1080">
        <f>IF(C1080="","",'Daily Sale entry '!Q1080&amp;IF('Daily Sale entry '!Q1080="Collection 收款"," ("&amp;'Daily Sale entry '!R1080&amp;")","")&amp;IF('Daily Sale entry '!U1080="",""," - "&amp;'Daily Sale entry '!U1080))</f>
        <v/>
      </c>
      <c r="H1080">
        <f>IF(C1080="","",COUNTIFS($C$2:$C$3001,C1080,$F$2:$F$3001,"&lt;"&amp;F1080)+1)</f>
        <v/>
      </c>
      <c r="I1080">
        <f>IF(C1080="","",C1080&amp;"|"&amp;H1080)</f>
        <v/>
      </c>
      <c r="J1080" s="6">
        <f>IF(C1080="","",IF(H1080=1,SUMIFS('Opening Balance'!$F$4:$F$303,'Opening Balance'!$G$4:$G$303,C1080),INDEX($L$2:$L$3001,MATCH(C1080&amp;"|"&amp;(H1080-1),$I$2:$I$3001,0))))</f>
        <v/>
      </c>
      <c r="K1080" s="6">
        <f>IF(C1080="","",IF(M1080&gt;0,M1080,IF(AND(E1080&gt;0,ROUND(J1080+D1080-E1080,2)&gt;0,ROUND(J1080+D1080-E1080,2)&lt;'Opening Balance'!$B$14),ROUND(J1080+D1080-E1080,2),0)))</f>
        <v/>
      </c>
      <c r="L1080" s="6">
        <f>IF(C1080="","",ROUND(J1080+D1080-E1080-K1080,2))</f>
        <v/>
      </c>
      <c r="M1080" s="6">
        <f>IF(C1080="","",IF('Daily Sale entry '!Q1080="Collection 收款",ROUND(N('Daily Sale entry '!T1080),2),0))</f>
        <v/>
      </c>
    </row>
    <row r="1081">
      <c r="A1081" t="inlineStr">
        <is>
          <t>Entry 记录</t>
        </is>
      </c>
      <c r="B1081" s="5">
        <f>IF('Daily Sale entry '!P1081="","",'Daily Sale entry '!O1081)</f>
        <v/>
      </c>
      <c r="C1081">
        <f>IF('Daily Sale entry '!P1081="","",'Daily Sale entry '!P1081)</f>
        <v/>
      </c>
      <c r="D1081">
        <f>IF(C1081="","",IF('Daily Sale entry '!Q1081="Credit Sale 赊销",'Daily Sale entry '!S1081,0))</f>
        <v/>
      </c>
      <c r="E1081">
        <f>IF(C1081="","",IF('Daily Sale entry '!Q1081="Collection 收款",'Daily Sale entry '!S1081,0))</f>
        <v/>
      </c>
      <c r="F1081" s="37">
        <f>IF(C1081="","",B1081+IF(E1081&gt;0,0,0.5)+ROW()/10000000)</f>
        <v/>
      </c>
      <c r="G1081">
        <f>IF(C1081="","",'Daily Sale entry '!Q1081&amp;IF('Daily Sale entry '!Q1081="Collection 收款"," ("&amp;'Daily Sale entry '!R1081&amp;")","")&amp;IF('Daily Sale entry '!U1081="",""," - "&amp;'Daily Sale entry '!U1081))</f>
        <v/>
      </c>
      <c r="H1081">
        <f>IF(C1081="","",COUNTIFS($C$2:$C$3001,C1081,$F$2:$F$3001,"&lt;"&amp;F1081)+1)</f>
        <v/>
      </c>
      <c r="I1081">
        <f>IF(C1081="","",C1081&amp;"|"&amp;H1081)</f>
        <v/>
      </c>
      <c r="J1081" s="6">
        <f>IF(C1081="","",IF(H1081=1,SUMIFS('Opening Balance'!$F$4:$F$303,'Opening Balance'!$G$4:$G$303,C1081),INDEX($L$2:$L$3001,MATCH(C1081&amp;"|"&amp;(H1081-1),$I$2:$I$3001,0))))</f>
        <v/>
      </c>
      <c r="K1081" s="6">
        <f>IF(C1081="","",IF(M1081&gt;0,M1081,IF(AND(E1081&gt;0,ROUND(J1081+D1081-E1081,2)&gt;0,ROUND(J1081+D1081-E1081,2)&lt;'Opening Balance'!$B$14),ROUND(J1081+D1081-E1081,2),0)))</f>
        <v/>
      </c>
      <c r="L1081" s="6">
        <f>IF(C1081="","",ROUND(J1081+D1081-E1081-K1081,2))</f>
        <v/>
      </c>
      <c r="M1081" s="6">
        <f>IF(C1081="","",IF('Daily Sale entry '!Q1081="Collection 收款",ROUND(N('Daily Sale entry '!T1081),2),0))</f>
        <v/>
      </c>
    </row>
    <row r="1082">
      <c r="A1082" t="inlineStr">
        <is>
          <t>Entry 记录</t>
        </is>
      </c>
      <c r="B1082" s="5">
        <f>IF('Daily Sale entry '!P1082="","",'Daily Sale entry '!O1082)</f>
        <v/>
      </c>
      <c r="C1082">
        <f>IF('Daily Sale entry '!P1082="","",'Daily Sale entry '!P1082)</f>
        <v/>
      </c>
      <c r="D1082">
        <f>IF(C1082="","",IF('Daily Sale entry '!Q1082="Credit Sale 赊销",'Daily Sale entry '!S1082,0))</f>
        <v/>
      </c>
      <c r="E1082">
        <f>IF(C1082="","",IF('Daily Sale entry '!Q1082="Collection 收款",'Daily Sale entry '!S1082,0))</f>
        <v/>
      </c>
      <c r="F1082" s="37">
        <f>IF(C1082="","",B1082+IF(E1082&gt;0,0,0.5)+ROW()/10000000)</f>
        <v/>
      </c>
      <c r="G1082">
        <f>IF(C1082="","",'Daily Sale entry '!Q1082&amp;IF('Daily Sale entry '!Q1082="Collection 收款"," ("&amp;'Daily Sale entry '!R1082&amp;")","")&amp;IF('Daily Sale entry '!U1082="",""," - "&amp;'Daily Sale entry '!U1082))</f>
        <v/>
      </c>
      <c r="H1082">
        <f>IF(C1082="","",COUNTIFS($C$2:$C$3001,C1082,$F$2:$F$3001,"&lt;"&amp;F1082)+1)</f>
        <v/>
      </c>
      <c r="I1082">
        <f>IF(C1082="","",C1082&amp;"|"&amp;H1082)</f>
        <v/>
      </c>
      <c r="J1082" s="6">
        <f>IF(C1082="","",IF(H1082=1,SUMIFS('Opening Balance'!$F$4:$F$303,'Opening Balance'!$G$4:$G$303,C1082),INDEX($L$2:$L$3001,MATCH(C1082&amp;"|"&amp;(H1082-1),$I$2:$I$3001,0))))</f>
        <v/>
      </c>
      <c r="K1082" s="6">
        <f>IF(C1082="","",IF(M1082&gt;0,M1082,IF(AND(E1082&gt;0,ROUND(J1082+D1082-E1082,2)&gt;0,ROUND(J1082+D1082-E1082,2)&lt;'Opening Balance'!$B$14),ROUND(J1082+D1082-E1082,2),0)))</f>
        <v/>
      </c>
      <c r="L1082" s="6">
        <f>IF(C1082="","",ROUND(J1082+D1082-E1082-K1082,2))</f>
        <v/>
      </c>
      <c r="M1082" s="6">
        <f>IF(C1082="","",IF('Daily Sale entry '!Q1082="Collection 收款",ROUND(N('Daily Sale entry '!T1082),2),0))</f>
        <v/>
      </c>
    </row>
    <row r="1083">
      <c r="A1083" t="inlineStr">
        <is>
          <t>Entry 记录</t>
        </is>
      </c>
      <c r="B1083" s="5">
        <f>IF('Daily Sale entry '!P1083="","",'Daily Sale entry '!O1083)</f>
        <v/>
      </c>
      <c r="C1083">
        <f>IF('Daily Sale entry '!P1083="","",'Daily Sale entry '!P1083)</f>
        <v/>
      </c>
      <c r="D1083">
        <f>IF(C1083="","",IF('Daily Sale entry '!Q1083="Credit Sale 赊销",'Daily Sale entry '!S1083,0))</f>
        <v/>
      </c>
      <c r="E1083">
        <f>IF(C1083="","",IF('Daily Sale entry '!Q1083="Collection 收款",'Daily Sale entry '!S1083,0))</f>
        <v/>
      </c>
      <c r="F1083" s="37">
        <f>IF(C1083="","",B1083+IF(E1083&gt;0,0,0.5)+ROW()/10000000)</f>
        <v/>
      </c>
      <c r="G1083">
        <f>IF(C1083="","",'Daily Sale entry '!Q1083&amp;IF('Daily Sale entry '!Q1083="Collection 收款"," ("&amp;'Daily Sale entry '!R1083&amp;")","")&amp;IF('Daily Sale entry '!U1083="",""," - "&amp;'Daily Sale entry '!U1083))</f>
        <v/>
      </c>
      <c r="H1083">
        <f>IF(C1083="","",COUNTIFS($C$2:$C$3001,C1083,$F$2:$F$3001,"&lt;"&amp;F1083)+1)</f>
        <v/>
      </c>
      <c r="I1083">
        <f>IF(C1083="","",C1083&amp;"|"&amp;H1083)</f>
        <v/>
      </c>
      <c r="J1083" s="6">
        <f>IF(C1083="","",IF(H1083=1,SUMIFS('Opening Balance'!$F$4:$F$303,'Opening Balance'!$G$4:$G$303,C1083),INDEX($L$2:$L$3001,MATCH(C1083&amp;"|"&amp;(H1083-1),$I$2:$I$3001,0))))</f>
        <v/>
      </c>
      <c r="K1083" s="6">
        <f>IF(C1083="","",IF(M1083&gt;0,M1083,IF(AND(E1083&gt;0,ROUND(J1083+D1083-E1083,2)&gt;0,ROUND(J1083+D1083-E1083,2)&lt;'Opening Balance'!$B$14),ROUND(J1083+D1083-E1083,2),0)))</f>
        <v/>
      </c>
      <c r="L1083" s="6">
        <f>IF(C1083="","",ROUND(J1083+D1083-E1083-K1083,2))</f>
        <v/>
      </c>
      <c r="M1083" s="6">
        <f>IF(C1083="","",IF('Daily Sale entry '!Q1083="Collection 收款",ROUND(N('Daily Sale entry '!T1083),2),0))</f>
        <v/>
      </c>
    </row>
    <row r="1084">
      <c r="A1084" t="inlineStr">
        <is>
          <t>Entry 记录</t>
        </is>
      </c>
      <c r="B1084" s="5">
        <f>IF('Daily Sale entry '!P1084="","",'Daily Sale entry '!O1084)</f>
        <v/>
      </c>
      <c r="C1084">
        <f>IF('Daily Sale entry '!P1084="","",'Daily Sale entry '!P1084)</f>
        <v/>
      </c>
      <c r="D1084">
        <f>IF(C1084="","",IF('Daily Sale entry '!Q1084="Credit Sale 赊销",'Daily Sale entry '!S1084,0))</f>
        <v/>
      </c>
      <c r="E1084">
        <f>IF(C1084="","",IF('Daily Sale entry '!Q1084="Collection 收款",'Daily Sale entry '!S1084,0))</f>
        <v/>
      </c>
      <c r="F1084" s="37">
        <f>IF(C1084="","",B1084+IF(E1084&gt;0,0,0.5)+ROW()/10000000)</f>
        <v/>
      </c>
      <c r="G1084">
        <f>IF(C1084="","",'Daily Sale entry '!Q1084&amp;IF('Daily Sale entry '!Q1084="Collection 收款"," ("&amp;'Daily Sale entry '!R1084&amp;")","")&amp;IF('Daily Sale entry '!U1084="",""," - "&amp;'Daily Sale entry '!U1084))</f>
        <v/>
      </c>
      <c r="H1084">
        <f>IF(C1084="","",COUNTIFS($C$2:$C$3001,C1084,$F$2:$F$3001,"&lt;"&amp;F1084)+1)</f>
        <v/>
      </c>
      <c r="I1084">
        <f>IF(C1084="","",C1084&amp;"|"&amp;H1084)</f>
        <v/>
      </c>
      <c r="J1084" s="6">
        <f>IF(C1084="","",IF(H1084=1,SUMIFS('Opening Balance'!$F$4:$F$303,'Opening Balance'!$G$4:$G$303,C1084),INDEX($L$2:$L$3001,MATCH(C1084&amp;"|"&amp;(H1084-1),$I$2:$I$3001,0))))</f>
        <v/>
      </c>
      <c r="K1084" s="6">
        <f>IF(C1084="","",IF(M1084&gt;0,M1084,IF(AND(E1084&gt;0,ROUND(J1084+D1084-E1084,2)&gt;0,ROUND(J1084+D1084-E1084,2)&lt;'Opening Balance'!$B$14),ROUND(J1084+D1084-E1084,2),0)))</f>
        <v/>
      </c>
      <c r="L1084" s="6">
        <f>IF(C1084="","",ROUND(J1084+D1084-E1084-K1084,2))</f>
        <v/>
      </c>
      <c r="M1084" s="6">
        <f>IF(C1084="","",IF('Daily Sale entry '!Q1084="Collection 收款",ROUND(N('Daily Sale entry '!T1084),2),0))</f>
        <v/>
      </c>
    </row>
    <row r="1085">
      <c r="A1085" t="inlineStr">
        <is>
          <t>Entry 记录</t>
        </is>
      </c>
      <c r="B1085" s="5">
        <f>IF('Daily Sale entry '!P1085="","",'Daily Sale entry '!O1085)</f>
        <v/>
      </c>
      <c r="C1085">
        <f>IF('Daily Sale entry '!P1085="","",'Daily Sale entry '!P1085)</f>
        <v/>
      </c>
      <c r="D1085">
        <f>IF(C1085="","",IF('Daily Sale entry '!Q1085="Credit Sale 赊销",'Daily Sale entry '!S1085,0))</f>
        <v/>
      </c>
      <c r="E1085">
        <f>IF(C1085="","",IF('Daily Sale entry '!Q1085="Collection 收款",'Daily Sale entry '!S1085,0))</f>
        <v/>
      </c>
      <c r="F1085" s="37">
        <f>IF(C1085="","",B1085+IF(E1085&gt;0,0,0.5)+ROW()/10000000)</f>
        <v/>
      </c>
      <c r="G1085">
        <f>IF(C1085="","",'Daily Sale entry '!Q1085&amp;IF('Daily Sale entry '!Q1085="Collection 收款"," ("&amp;'Daily Sale entry '!R1085&amp;")","")&amp;IF('Daily Sale entry '!U1085="",""," - "&amp;'Daily Sale entry '!U1085))</f>
        <v/>
      </c>
      <c r="H1085">
        <f>IF(C1085="","",COUNTIFS($C$2:$C$3001,C1085,$F$2:$F$3001,"&lt;"&amp;F1085)+1)</f>
        <v/>
      </c>
      <c r="I1085">
        <f>IF(C1085="","",C1085&amp;"|"&amp;H1085)</f>
        <v/>
      </c>
      <c r="J1085" s="6">
        <f>IF(C1085="","",IF(H1085=1,SUMIFS('Opening Balance'!$F$4:$F$303,'Opening Balance'!$G$4:$G$303,C1085),INDEX($L$2:$L$3001,MATCH(C1085&amp;"|"&amp;(H1085-1),$I$2:$I$3001,0))))</f>
        <v/>
      </c>
      <c r="K1085" s="6">
        <f>IF(C1085="","",IF(M1085&gt;0,M1085,IF(AND(E1085&gt;0,ROUND(J1085+D1085-E1085,2)&gt;0,ROUND(J1085+D1085-E1085,2)&lt;'Opening Balance'!$B$14),ROUND(J1085+D1085-E1085,2),0)))</f>
        <v/>
      </c>
      <c r="L1085" s="6">
        <f>IF(C1085="","",ROUND(J1085+D1085-E1085-K1085,2))</f>
        <v/>
      </c>
      <c r="M1085" s="6">
        <f>IF(C1085="","",IF('Daily Sale entry '!Q1085="Collection 收款",ROUND(N('Daily Sale entry '!T1085),2),0))</f>
        <v/>
      </c>
    </row>
    <row r="1086">
      <c r="A1086" t="inlineStr">
        <is>
          <t>Entry 记录</t>
        </is>
      </c>
      <c r="B1086" s="5">
        <f>IF('Daily Sale entry '!P1086="","",'Daily Sale entry '!O1086)</f>
        <v/>
      </c>
      <c r="C1086">
        <f>IF('Daily Sale entry '!P1086="","",'Daily Sale entry '!P1086)</f>
        <v/>
      </c>
      <c r="D1086">
        <f>IF(C1086="","",IF('Daily Sale entry '!Q1086="Credit Sale 赊销",'Daily Sale entry '!S1086,0))</f>
        <v/>
      </c>
      <c r="E1086">
        <f>IF(C1086="","",IF('Daily Sale entry '!Q1086="Collection 收款",'Daily Sale entry '!S1086,0))</f>
        <v/>
      </c>
      <c r="F1086" s="37">
        <f>IF(C1086="","",B1086+IF(E1086&gt;0,0,0.5)+ROW()/10000000)</f>
        <v/>
      </c>
      <c r="G1086">
        <f>IF(C1086="","",'Daily Sale entry '!Q1086&amp;IF('Daily Sale entry '!Q1086="Collection 收款"," ("&amp;'Daily Sale entry '!R1086&amp;")","")&amp;IF('Daily Sale entry '!U1086="",""," - "&amp;'Daily Sale entry '!U1086))</f>
        <v/>
      </c>
      <c r="H1086">
        <f>IF(C1086="","",COUNTIFS($C$2:$C$3001,C1086,$F$2:$F$3001,"&lt;"&amp;F1086)+1)</f>
        <v/>
      </c>
      <c r="I1086">
        <f>IF(C1086="","",C1086&amp;"|"&amp;H1086)</f>
        <v/>
      </c>
      <c r="J1086" s="6">
        <f>IF(C1086="","",IF(H1086=1,SUMIFS('Opening Balance'!$F$4:$F$303,'Opening Balance'!$G$4:$G$303,C1086),INDEX($L$2:$L$3001,MATCH(C1086&amp;"|"&amp;(H1086-1),$I$2:$I$3001,0))))</f>
        <v/>
      </c>
      <c r="K1086" s="6">
        <f>IF(C1086="","",IF(M1086&gt;0,M1086,IF(AND(E1086&gt;0,ROUND(J1086+D1086-E1086,2)&gt;0,ROUND(J1086+D1086-E1086,2)&lt;'Opening Balance'!$B$14),ROUND(J1086+D1086-E1086,2),0)))</f>
        <v/>
      </c>
      <c r="L1086" s="6">
        <f>IF(C1086="","",ROUND(J1086+D1086-E1086-K1086,2))</f>
        <v/>
      </c>
      <c r="M1086" s="6">
        <f>IF(C1086="","",IF('Daily Sale entry '!Q1086="Collection 收款",ROUND(N('Daily Sale entry '!T1086),2),0))</f>
        <v/>
      </c>
    </row>
    <row r="1087">
      <c r="A1087" t="inlineStr">
        <is>
          <t>Entry 记录</t>
        </is>
      </c>
      <c r="B1087" s="5">
        <f>IF('Daily Sale entry '!P1087="","",'Daily Sale entry '!O1087)</f>
        <v/>
      </c>
      <c r="C1087">
        <f>IF('Daily Sale entry '!P1087="","",'Daily Sale entry '!P1087)</f>
        <v/>
      </c>
      <c r="D1087">
        <f>IF(C1087="","",IF('Daily Sale entry '!Q1087="Credit Sale 赊销",'Daily Sale entry '!S1087,0))</f>
        <v/>
      </c>
      <c r="E1087">
        <f>IF(C1087="","",IF('Daily Sale entry '!Q1087="Collection 收款",'Daily Sale entry '!S1087,0))</f>
        <v/>
      </c>
      <c r="F1087" s="37">
        <f>IF(C1087="","",B1087+IF(E1087&gt;0,0,0.5)+ROW()/10000000)</f>
        <v/>
      </c>
      <c r="G1087">
        <f>IF(C1087="","",'Daily Sale entry '!Q1087&amp;IF('Daily Sale entry '!Q1087="Collection 收款"," ("&amp;'Daily Sale entry '!R1087&amp;")","")&amp;IF('Daily Sale entry '!U1087="",""," - "&amp;'Daily Sale entry '!U1087))</f>
        <v/>
      </c>
      <c r="H1087">
        <f>IF(C1087="","",COUNTIFS($C$2:$C$3001,C1087,$F$2:$F$3001,"&lt;"&amp;F1087)+1)</f>
        <v/>
      </c>
      <c r="I1087">
        <f>IF(C1087="","",C1087&amp;"|"&amp;H1087)</f>
        <v/>
      </c>
      <c r="J1087" s="6">
        <f>IF(C1087="","",IF(H1087=1,SUMIFS('Opening Balance'!$F$4:$F$303,'Opening Balance'!$G$4:$G$303,C1087),INDEX($L$2:$L$3001,MATCH(C1087&amp;"|"&amp;(H1087-1),$I$2:$I$3001,0))))</f>
        <v/>
      </c>
      <c r="K1087" s="6">
        <f>IF(C1087="","",IF(M1087&gt;0,M1087,IF(AND(E1087&gt;0,ROUND(J1087+D1087-E1087,2)&gt;0,ROUND(J1087+D1087-E1087,2)&lt;'Opening Balance'!$B$14),ROUND(J1087+D1087-E1087,2),0)))</f>
        <v/>
      </c>
      <c r="L1087" s="6">
        <f>IF(C1087="","",ROUND(J1087+D1087-E1087-K1087,2))</f>
        <v/>
      </c>
      <c r="M1087" s="6">
        <f>IF(C1087="","",IF('Daily Sale entry '!Q1087="Collection 收款",ROUND(N('Daily Sale entry '!T1087),2),0))</f>
        <v/>
      </c>
    </row>
    <row r="1088">
      <c r="A1088" t="inlineStr">
        <is>
          <t>Entry 记录</t>
        </is>
      </c>
      <c r="B1088" s="5">
        <f>IF('Daily Sale entry '!P1088="","",'Daily Sale entry '!O1088)</f>
        <v/>
      </c>
      <c r="C1088">
        <f>IF('Daily Sale entry '!P1088="","",'Daily Sale entry '!P1088)</f>
        <v/>
      </c>
      <c r="D1088">
        <f>IF(C1088="","",IF('Daily Sale entry '!Q1088="Credit Sale 赊销",'Daily Sale entry '!S1088,0))</f>
        <v/>
      </c>
      <c r="E1088">
        <f>IF(C1088="","",IF('Daily Sale entry '!Q1088="Collection 收款",'Daily Sale entry '!S1088,0))</f>
        <v/>
      </c>
      <c r="F1088" s="37">
        <f>IF(C1088="","",B1088+IF(E1088&gt;0,0,0.5)+ROW()/10000000)</f>
        <v/>
      </c>
      <c r="G1088">
        <f>IF(C1088="","",'Daily Sale entry '!Q1088&amp;IF('Daily Sale entry '!Q1088="Collection 收款"," ("&amp;'Daily Sale entry '!R1088&amp;")","")&amp;IF('Daily Sale entry '!U1088="",""," - "&amp;'Daily Sale entry '!U1088))</f>
        <v/>
      </c>
      <c r="H1088">
        <f>IF(C1088="","",COUNTIFS($C$2:$C$3001,C1088,$F$2:$F$3001,"&lt;"&amp;F1088)+1)</f>
        <v/>
      </c>
      <c r="I1088">
        <f>IF(C1088="","",C1088&amp;"|"&amp;H1088)</f>
        <v/>
      </c>
      <c r="J1088" s="6">
        <f>IF(C1088="","",IF(H1088=1,SUMIFS('Opening Balance'!$F$4:$F$303,'Opening Balance'!$G$4:$G$303,C1088),INDEX($L$2:$L$3001,MATCH(C1088&amp;"|"&amp;(H1088-1),$I$2:$I$3001,0))))</f>
        <v/>
      </c>
      <c r="K1088" s="6">
        <f>IF(C1088="","",IF(M1088&gt;0,M1088,IF(AND(E1088&gt;0,ROUND(J1088+D1088-E1088,2)&gt;0,ROUND(J1088+D1088-E1088,2)&lt;'Opening Balance'!$B$14),ROUND(J1088+D1088-E1088,2),0)))</f>
        <v/>
      </c>
      <c r="L1088" s="6">
        <f>IF(C1088="","",ROUND(J1088+D1088-E1088-K1088,2))</f>
        <v/>
      </c>
      <c r="M1088" s="6">
        <f>IF(C1088="","",IF('Daily Sale entry '!Q1088="Collection 收款",ROUND(N('Daily Sale entry '!T1088),2),0))</f>
        <v/>
      </c>
    </row>
    <row r="1089">
      <c r="A1089" t="inlineStr">
        <is>
          <t>Entry 记录</t>
        </is>
      </c>
      <c r="B1089" s="5">
        <f>IF('Daily Sale entry '!P1089="","",'Daily Sale entry '!O1089)</f>
        <v/>
      </c>
      <c r="C1089">
        <f>IF('Daily Sale entry '!P1089="","",'Daily Sale entry '!P1089)</f>
        <v/>
      </c>
      <c r="D1089">
        <f>IF(C1089="","",IF('Daily Sale entry '!Q1089="Credit Sale 赊销",'Daily Sale entry '!S1089,0))</f>
        <v/>
      </c>
      <c r="E1089">
        <f>IF(C1089="","",IF('Daily Sale entry '!Q1089="Collection 收款",'Daily Sale entry '!S1089,0))</f>
        <v/>
      </c>
      <c r="F1089" s="37">
        <f>IF(C1089="","",B1089+IF(E1089&gt;0,0,0.5)+ROW()/10000000)</f>
        <v/>
      </c>
      <c r="G1089">
        <f>IF(C1089="","",'Daily Sale entry '!Q1089&amp;IF('Daily Sale entry '!Q1089="Collection 收款"," ("&amp;'Daily Sale entry '!R1089&amp;")","")&amp;IF('Daily Sale entry '!U1089="",""," - "&amp;'Daily Sale entry '!U1089))</f>
        <v/>
      </c>
      <c r="H1089">
        <f>IF(C1089="","",COUNTIFS($C$2:$C$3001,C1089,$F$2:$F$3001,"&lt;"&amp;F1089)+1)</f>
        <v/>
      </c>
      <c r="I1089">
        <f>IF(C1089="","",C1089&amp;"|"&amp;H1089)</f>
        <v/>
      </c>
      <c r="J1089" s="6">
        <f>IF(C1089="","",IF(H1089=1,SUMIFS('Opening Balance'!$F$4:$F$303,'Opening Balance'!$G$4:$G$303,C1089),INDEX($L$2:$L$3001,MATCH(C1089&amp;"|"&amp;(H1089-1),$I$2:$I$3001,0))))</f>
        <v/>
      </c>
      <c r="K1089" s="6">
        <f>IF(C1089="","",IF(M1089&gt;0,M1089,IF(AND(E1089&gt;0,ROUND(J1089+D1089-E1089,2)&gt;0,ROUND(J1089+D1089-E1089,2)&lt;'Opening Balance'!$B$14),ROUND(J1089+D1089-E1089,2),0)))</f>
        <v/>
      </c>
      <c r="L1089" s="6">
        <f>IF(C1089="","",ROUND(J1089+D1089-E1089-K1089,2))</f>
        <v/>
      </c>
      <c r="M1089" s="6">
        <f>IF(C1089="","",IF('Daily Sale entry '!Q1089="Collection 收款",ROUND(N('Daily Sale entry '!T1089),2),0))</f>
        <v/>
      </c>
    </row>
    <row r="1090">
      <c r="A1090" t="inlineStr">
        <is>
          <t>Entry 记录</t>
        </is>
      </c>
      <c r="B1090" s="5">
        <f>IF('Daily Sale entry '!P1090="","",'Daily Sale entry '!O1090)</f>
        <v/>
      </c>
      <c r="C1090">
        <f>IF('Daily Sale entry '!P1090="","",'Daily Sale entry '!P1090)</f>
        <v/>
      </c>
      <c r="D1090">
        <f>IF(C1090="","",IF('Daily Sale entry '!Q1090="Credit Sale 赊销",'Daily Sale entry '!S1090,0))</f>
        <v/>
      </c>
      <c r="E1090">
        <f>IF(C1090="","",IF('Daily Sale entry '!Q1090="Collection 收款",'Daily Sale entry '!S1090,0))</f>
        <v/>
      </c>
      <c r="F1090" s="37">
        <f>IF(C1090="","",B1090+IF(E1090&gt;0,0,0.5)+ROW()/10000000)</f>
        <v/>
      </c>
      <c r="G1090">
        <f>IF(C1090="","",'Daily Sale entry '!Q1090&amp;IF('Daily Sale entry '!Q1090="Collection 收款"," ("&amp;'Daily Sale entry '!R1090&amp;")","")&amp;IF('Daily Sale entry '!U1090="",""," - "&amp;'Daily Sale entry '!U1090))</f>
        <v/>
      </c>
      <c r="H1090">
        <f>IF(C1090="","",COUNTIFS($C$2:$C$3001,C1090,$F$2:$F$3001,"&lt;"&amp;F1090)+1)</f>
        <v/>
      </c>
      <c r="I1090">
        <f>IF(C1090="","",C1090&amp;"|"&amp;H1090)</f>
        <v/>
      </c>
      <c r="J1090" s="6">
        <f>IF(C1090="","",IF(H1090=1,SUMIFS('Opening Balance'!$F$4:$F$303,'Opening Balance'!$G$4:$G$303,C1090),INDEX($L$2:$L$3001,MATCH(C1090&amp;"|"&amp;(H1090-1),$I$2:$I$3001,0))))</f>
        <v/>
      </c>
      <c r="K1090" s="6">
        <f>IF(C1090="","",IF(M1090&gt;0,M1090,IF(AND(E1090&gt;0,ROUND(J1090+D1090-E1090,2)&gt;0,ROUND(J1090+D1090-E1090,2)&lt;'Opening Balance'!$B$14),ROUND(J1090+D1090-E1090,2),0)))</f>
        <v/>
      </c>
      <c r="L1090" s="6">
        <f>IF(C1090="","",ROUND(J1090+D1090-E1090-K1090,2))</f>
        <v/>
      </c>
      <c r="M1090" s="6">
        <f>IF(C1090="","",IF('Daily Sale entry '!Q1090="Collection 收款",ROUND(N('Daily Sale entry '!T1090),2),0))</f>
        <v/>
      </c>
    </row>
    <row r="1091">
      <c r="A1091" t="inlineStr">
        <is>
          <t>Entry 记录</t>
        </is>
      </c>
      <c r="B1091" s="5">
        <f>IF('Daily Sale entry '!P1091="","",'Daily Sale entry '!O1091)</f>
        <v/>
      </c>
      <c r="C1091">
        <f>IF('Daily Sale entry '!P1091="","",'Daily Sale entry '!P1091)</f>
        <v/>
      </c>
      <c r="D1091">
        <f>IF(C1091="","",IF('Daily Sale entry '!Q1091="Credit Sale 赊销",'Daily Sale entry '!S1091,0))</f>
        <v/>
      </c>
      <c r="E1091">
        <f>IF(C1091="","",IF('Daily Sale entry '!Q1091="Collection 收款",'Daily Sale entry '!S1091,0))</f>
        <v/>
      </c>
      <c r="F1091" s="37">
        <f>IF(C1091="","",B1091+IF(E1091&gt;0,0,0.5)+ROW()/10000000)</f>
        <v/>
      </c>
      <c r="G1091">
        <f>IF(C1091="","",'Daily Sale entry '!Q1091&amp;IF('Daily Sale entry '!Q1091="Collection 收款"," ("&amp;'Daily Sale entry '!R1091&amp;")","")&amp;IF('Daily Sale entry '!U1091="",""," - "&amp;'Daily Sale entry '!U1091))</f>
        <v/>
      </c>
      <c r="H1091">
        <f>IF(C1091="","",COUNTIFS($C$2:$C$3001,C1091,$F$2:$F$3001,"&lt;"&amp;F1091)+1)</f>
        <v/>
      </c>
      <c r="I1091">
        <f>IF(C1091="","",C1091&amp;"|"&amp;H1091)</f>
        <v/>
      </c>
      <c r="J1091" s="6">
        <f>IF(C1091="","",IF(H1091=1,SUMIFS('Opening Balance'!$F$4:$F$303,'Opening Balance'!$G$4:$G$303,C1091),INDEX($L$2:$L$3001,MATCH(C1091&amp;"|"&amp;(H1091-1),$I$2:$I$3001,0))))</f>
        <v/>
      </c>
      <c r="K1091" s="6">
        <f>IF(C1091="","",IF(M1091&gt;0,M1091,IF(AND(E1091&gt;0,ROUND(J1091+D1091-E1091,2)&gt;0,ROUND(J1091+D1091-E1091,2)&lt;'Opening Balance'!$B$14),ROUND(J1091+D1091-E1091,2),0)))</f>
        <v/>
      </c>
      <c r="L1091" s="6">
        <f>IF(C1091="","",ROUND(J1091+D1091-E1091-K1091,2))</f>
        <v/>
      </c>
      <c r="M1091" s="6">
        <f>IF(C1091="","",IF('Daily Sale entry '!Q1091="Collection 收款",ROUND(N('Daily Sale entry '!T1091),2),0))</f>
        <v/>
      </c>
    </row>
    <row r="1092">
      <c r="A1092" t="inlineStr">
        <is>
          <t>Entry 记录</t>
        </is>
      </c>
      <c r="B1092" s="5">
        <f>IF('Daily Sale entry '!P1092="","",'Daily Sale entry '!O1092)</f>
        <v/>
      </c>
      <c r="C1092">
        <f>IF('Daily Sale entry '!P1092="","",'Daily Sale entry '!P1092)</f>
        <v/>
      </c>
      <c r="D1092">
        <f>IF(C1092="","",IF('Daily Sale entry '!Q1092="Credit Sale 赊销",'Daily Sale entry '!S1092,0))</f>
        <v/>
      </c>
      <c r="E1092">
        <f>IF(C1092="","",IF('Daily Sale entry '!Q1092="Collection 收款",'Daily Sale entry '!S1092,0))</f>
        <v/>
      </c>
      <c r="F1092" s="37">
        <f>IF(C1092="","",B1092+IF(E1092&gt;0,0,0.5)+ROW()/10000000)</f>
        <v/>
      </c>
      <c r="G1092">
        <f>IF(C1092="","",'Daily Sale entry '!Q1092&amp;IF('Daily Sale entry '!Q1092="Collection 收款"," ("&amp;'Daily Sale entry '!R1092&amp;")","")&amp;IF('Daily Sale entry '!U1092="",""," - "&amp;'Daily Sale entry '!U1092))</f>
        <v/>
      </c>
      <c r="H1092">
        <f>IF(C1092="","",COUNTIFS($C$2:$C$3001,C1092,$F$2:$F$3001,"&lt;"&amp;F1092)+1)</f>
        <v/>
      </c>
      <c r="I1092">
        <f>IF(C1092="","",C1092&amp;"|"&amp;H1092)</f>
        <v/>
      </c>
      <c r="J1092" s="6">
        <f>IF(C1092="","",IF(H1092=1,SUMIFS('Opening Balance'!$F$4:$F$303,'Opening Balance'!$G$4:$G$303,C1092),INDEX($L$2:$L$3001,MATCH(C1092&amp;"|"&amp;(H1092-1),$I$2:$I$3001,0))))</f>
        <v/>
      </c>
      <c r="K1092" s="6">
        <f>IF(C1092="","",IF(M1092&gt;0,M1092,IF(AND(E1092&gt;0,ROUND(J1092+D1092-E1092,2)&gt;0,ROUND(J1092+D1092-E1092,2)&lt;'Opening Balance'!$B$14),ROUND(J1092+D1092-E1092,2),0)))</f>
        <v/>
      </c>
      <c r="L1092" s="6">
        <f>IF(C1092="","",ROUND(J1092+D1092-E1092-K1092,2))</f>
        <v/>
      </c>
      <c r="M1092" s="6">
        <f>IF(C1092="","",IF('Daily Sale entry '!Q1092="Collection 收款",ROUND(N('Daily Sale entry '!T1092),2),0))</f>
        <v/>
      </c>
    </row>
    <row r="1093">
      <c r="A1093" t="inlineStr">
        <is>
          <t>Entry 记录</t>
        </is>
      </c>
      <c r="B1093" s="5">
        <f>IF('Daily Sale entry '!P1093="","",'Daily Sale entry '!O1093)</f>
        <v/>
      </c>
      <c r="C1093">
        <f>IF('Daily Sale entry '!P1093="","",'Daily Sale entry '!P1093)</f>
        <v/>
      </c>
      <c r="D1093">
        <f>IF(C1093="","",IF('Daily Sale entry '!Q1093="Credit Sale 赊销",'Daily Sale entry '!S1093,0))</f>
        <v/>
      </c>
      <c r="E1093">
        <f>IF(C1093="","",IF('Daily Sale entry '!Q1093="Collection 收款",'Daily Sale entry '!S1093,0))</f>
        <v/>
      </c>
      <c r="F1093" s="37">
        <f>IF(C1093="","",B1093+IF(E1093&gt;0,0,0.5)+ROW()/10000000)</f>
        <v/>
      </c>
      <c r="G1093">
        <f>IF(C1093="","",'Daily Sale entry '!Q1093&amp;IF('Daily Sale entry '!Q1093="Collection 收款"," ("&amp;'Daily Sale entry '!R1093&amp;")","")&amp;IF('Daily Sale entry '!U1093="",""," - "&amp;'Daily Sale entry '!U1093))</f>
        <v/>
      </c>
      <c r="H1093">
        <f>IF(C1093="","",COUNTIFS($C$2:$C$3001,C1093,$F$2:$F$3001,"&lt;"&amp;F1093)+1)</f>
        <v/>
      </c>
      <c r="I1093">
        <f>IF(C1093="","",C1093&amp;"|"&amp;H1093)</f>
        <v/>
      </c>
      <c r="J1093" s="6">
        <f>IF(C1093="","",IF(H1093=1,SUMIFS('Opening Balance'!$F$4:$F$303,'Opening Balance'!$G$4:$G$303,C1093),INDEX($L$2:$L$3001,MATCH(C1093&amp;"|"&amp;(H1093-1),$I$2:$I$3001,0))))</f>
        <v/>
      </c>
      <c r="K1093" s="6">
        <f>IF(C1093="","",IF(M1093&gt;0,M1093,IF(AND(E1093&gt;0,ROUND(J1093+D1093-E1093,2)&gt;0,ROUND(J1093+D1093-E1093,2)&lt;'Opening Balance'!$B$14),ROUND(J1093+D1093-E1093,2),0)))</f>
        <v/>
      </c>
      <c r="L1093" s="6">
        <f>IF(C1093="","",ROUND(J1093+D1093-E1093-K1093,2))</f>
        <v/>
      </c>
      <c r="M1093" s="6">
        <f>IF(C1093="","",IF('Daily Sale entry '!Q1093="Collection 收款",ROUND(N('Daily Sale entry '!T1093),2),0))</f>
        <v/>
      </c>
    </row>
    <row r="1094">
      <c r="A1094" t="inlineStr">
        <is>
          <t>Entry 记录</t>
        </is>
      </c>
      <c r="B1094" s="5">
        <f>IF('Daily Sale entry '!P1094="","",'Daily Sale entry '!O1094)</f>
        <v/>
      </c>
      <c r="C1094">
        <f>IF('Daily Sale entry '!P1094="","",'Daily Sale entry '!P1094)</f>
        <v/>
      </c>
      <c r="D1094">
        <f>IF(C1094="","",IF('Daily Sale entry '!Q1094="Credit Sale 赊销",'Daily Sale entry '!S1094,0))</f>
        <v/>
      </c>
      <c r="E1094">
        <f>IF(C1094="","",IF('Daily Sale entry '!Q1094="Collection 收款",'Daily Sale entry '!S1094,0))</f>
        <v/>
      </c>
      <c r="F1094" s="37">
        <f>IF(C1094="","",B1094+IF(E1094&gt;0,0,0.5)+ROW()/10000000)</f>
        <v/>
      </c>
      <c r="G1094">
        <f>IF(C1094="","",'Daily Sale entry '!Q1094&amp;IF('Daily Sale entry '!Q1094="Collection 收款"," ("&amp;'Daily Sale entry '!R1094&amp;")","")&amp;IF('Daily Sale entry '!U1094="",""," - "&amp;'Daily Sale entry '!U1094))</f>
        <v/>
      </c>
      <c r="H1094">
        <f>IF(C1094="","",COUNTIFS($C$2:$C$3001,C1094,$F$2:$F$3001,"&lt;"&amp;F1094)+1)</f>
        <v/>
      </c>
      <c r="I1094">
        <f>IF(C1094="","",C1094&amp;"|"&amp;H1094)</f>
        <v/>
      </c>
      <c r="J1094" s="6">
        <f>IF(C1094="","",IF(H1094=1,SUMIFS('Opening Balance'!$F$4:$F$303,'Opening Balance'!$G$4:$G$303,C1094),INDEX($L$2:$L$3001,MATCH(C1094&amp;"|"&amp;(H1094-1),$I$2:$I$3001,0))))</f>
        <v/>
      </c>
      <c r="K1094" s="6">
        <f>IF(C1094="","",IF(M1094&gt;0,M1094,IF(AND(E1094&gt;0,ROUND(J1094+D1094-E1094,2)&gt;0,ROUND(J1094+D1094-E1094,2)&lt;'Opening Balance'!$B$14),ROUND(J1094+D1094-E1094,2),0)))</f>
        <v/>
      </c>
      <c r="L1094" s="6">
        <f>IF(C1094="","",ROUND(J1094+D1094-E1094-K1094,2))</f>
        <v/>
      </c>
      <c r="M1094" s="6">
        <f>IF(C1094="","",IF('Daily Sale entry '!Q1094="Collection 收款",ROUND(N('Daily Sale entry '!T1094),2),0))</f>
        <v/>
      </c>
    </row>
    <row r="1095">
      <c r="A1095" t="inlineStr">
        <is>
          <t>Entry 记录</t>
        </is>
      </c>
      <c r="B1095" s="5">
        <f>IF('Daily Sale entry '!P1095="","",'Daily Sale entry '!O1095)</f>
        <v/>
      </c>
      <c r="C1095">
        <f>IF('Daily Sale entry '!P1095="","",'Daily Sale entry '!P1095)</f>
        <v/>
      </c>
      <c r="D1095">
        <f>IF(C1095="","",IF('Daily Sale entry '!Q1095="Credit Sale 赊销",'Daily Sale entry '!S1095,0))</f>
        <v/>
      </c>
      <c r="E1095">
        <f>IF(C1095="","",IF('Daily Sale entry '!Q1095="Collection 收款",'Daily Sale entry '!S1095,0))</f>
        <v/>
      </c>
      <c r="F1095" s="37">
        <f>IF(C1095="","",B1095+IF(E1095&gt;0,0,0.5)+ROW()/10000000)</f>
        <v/>
      </c>
      <c r="G1095">
        <f>IF(C1095="","",'Daily Sale entry '!Q1095&amp;IF('Daily Sale entry '!Q1095="Collection 收款"," ("&amp;'Daily Sale entry '!R1095&amp;")","")&amp;IF('Daily Sale entry '!U1095="",""," - "&amp;'Daily Sale entry '!U1095))</f>
        <v/>
      </c>
      <c r="H1095">
        <f>IF(C1095="","",COUNTIFS($C$2:$C$3001,C1095,$F$2:$F$3001,"&lt;"&amp;F1095)+1)</f>
        <v/>
      </c>
      <c r="I1095">
        <f>IF(C1095="","",C1095&amp;"|"&amp;H1095)</f>
        <v/>
      </c>
      <c r="J1095" s="6">
        <f>IF(C1095="","",IF(H1095=1,SUMIFS('Opening Balance'!$F$4:$F$303,'Opening Balance'!$G$4:$G$303,C1095),INDEX($L$2:$L$3001,MATCH(C1095&amp;"|"&amp;(H1095-1),$I$2:$I$3001,0))))</f>
        <v/>
      </c>
      <c r="K1095" s="6">
        <f>IF(C1095="","",IF(M1095&gt;0,M1095,IF(AND(E1095&gt;0,ROUND(J1095+D1095-E1095,2)&gt;0,ROUND(J1095+D1095-E1095,2)&lt;'Opening Balance'!$B$14),ROUND(J1095+D1095-E1095,2),0)))</f>
        <v/>
      </c>
      <c r="L1095" s="6">
        <f>IF(C1095="","",ROUND(J1095+D1095-E1095-K1095,2))</f>
        <v/>
      </c>
      <c r="M1095" s="6">
        <f>IF(C1095="","",IF('Daily Sale entry '!Q1095="Collection 收款",ROUND(N('Daily Sale entry '!T1095),2),0))</f>
        <v/>
      </c>
    </row>
    <row r="1096">
      <c r="A1096" t="inlineStr">
        <is>
          <t>Entry 记录</t>
        </is>
      </c>
      <c r="B1096" s="5">
        <f>IF('Daily Sale entry '!P1096="","",'Daily Sale entry '!O1096)</f>
        <v/>
      </c>
      <c r="C1096">
        <f>IF('Daily Sale entry '!P1096="","",'Daily Sale entry '!P1096)</f>
        <v/>
      </c>
      <c r="D1096">
        <f>IF(C1096="","",IF('Daily Sale entry '!Q1096="Credit Sale 赊销",'Daily Sale entry '!S1096,0))</f>
        <v/>
      </c>
      <c r="E1096">
        <f>IF(C1096="","",IF('Daily Sale entry '!Q1096="Collection 收款",'Daily Sale entry '!S1096,0))</f>
        <v/>
      </c>
      <c r="F1096" s="37">
        <f>IF(C1096="","",B1096+IF(E1096&gt;0,0,0.5)+ROW()/10000000)</f>
        <v/>
      </c>
      <c r="G1096">
        <f>IF(C1096="","",'Daily Sale entry '!Q1096&amp;IF('Daily Sale entry '!Q1096="Collection 收款"," ("&amp;'Daily Sale entry '!R1096&amp;")","")&amp;IF('Daily Sale entry '!U1096="",""," - "&amp;'Daily Sale entry '!U1096))</f>
        <v/>
      </c>
      <c r="H1096">
        <f>IF(C1096="","",COUNTIFS($C$2:$C$3001,C1096,$F$2:$F$3001,"&lt;"&amp;F1096)+1)</f>
        <v/>
      </c>
      <c r="I1096">
        <f>IF(C1096="","",C1096&amp;"|"&amp;H1096)</f>
        <v/>
      </c>
      <c r="J1096" s="6">
        <f>IF(C1096="","",IF(H1096=1,SUMIFS('Opening Balance'!$F$4:$F$303,'Opening Balance'!$G$4:$G$303,C1096),INDEX($L$2:$L$3001,MATCH(C1096&amp;"|"&amp;(H1096-1),$I$2:$I$3001,0))))</f>
        <v/>
      </c>
      <c r="K1096" s="6">
        <f>IF(C1096="","",IF(M1096&gt;0,M1096,IF(AND(E1096&gt;0,ROUND(J1096+D1096-E1096,2)&gt;0,ROUND(J1096+D1096-E1096,2)&lt;'Opening Balance'!$B$14),ROUND(J1096+D1096-E1096,2),0)))</f>
        <v/>
      </c>
      <c r="L1096" s="6">
        <f>IF(C1096="","",ROUND(J1096+D1096-E1096-K1096,2))</f>
        <v/>
      </c>
      <c r="M1096" s="6">
        <f>IF(C1096="","",IF('Daily Sale entry '!Q1096="Collection 收款",ROUND(N('Daily Sale entry '!T1096),2),0))</f>
        <v/>
      </c>
    </row>
    <row r="1097">
      <c r="A1097" t="inlineStr">
        <is>
          <t>Entry 记录</t>
        </is>
      </c>
      <c r="B1097" s="5">
        <f>IF('Daily Sale entry '!P1097="","",'Daily Sale entry '!O1097)</f>
        <v/>
      </c>
      <c r="C1097">
        <f>IF('Daily Sale entry '!P1097="","",'Daily Sale entry '!P1097)</f>
        <v/>
      </c>
      <c r="D1097">
        <f>IF(C1097="","",IF('Daily Sale entry '!Q1097="Credit Sale 赊销",'Daily Sale entry '!S1097,0))</f>
        <v/>
      </c>
      <c r="E1097">
        <f>IF(C1097="","",IF('Daily Sale entry '!Q1097="Collection 收款",'Daily Sale entry '!S1097,0))</f>
        <v/>
      </c>
      <c r="F1097" s="37">
        <f>IF(C1097="","",B1097+IF(E1097&gt;0,0,0.5)+ROW()/10000000)</f>
        <v/>
      </c>
      <c r="G1097">
        <f>IF(C1097="","",'Daily Sale entry '!Q1097&amp;IF('Daily Sale entry '!Q1097="Collection 收款"," ("&amp;'Daily Sale entry '!R1097&amp;")","")&amp;IF('Daily Sale entry '!U1097="",""," - "&amp;'Daily Sale entry '!U1097))</f>
        <v/>
      </c>
      <c r="H1097">
        <f>IF(C1097="","",COUNTIFS($C$2:$C$3001,C1097,$F$2:$F$3001,"&lt;"&amp;F1097)+1)</f>
        <v/>
      </c>
      <c r="I1097">
        <f>IF(C1097="","",C1097&amp;"|"&amp;H1097)</f>
        <v/>
      </c>
      <c r="J1097" s="6">
        <f>IF(C1097="","",IF(H1097=1,SUMIFS('Opening Balance'!$F$4:$F$303,'Opening Balance'!$G$4:$G$303,C1097),INDEX($L$2:$L$3001,MATCH(C1097&amp;"|"&amp;(H1097-1),$I$2:$I$3001,0))))</f>
        <v/>
      </c>
      <c r="K1097" s="6">
        <f>IF(C1097="","",IF(M1097&gt;0,M1097,IF(AND(E1097&gt;0,ROUND(J1097+D1097-E1097,2)&gt;0,ROUND(J1097+D1097-E1097,2)&lt;'Opening Balance'!$B$14),ROUND(J1097+D1097-E1097,2),0)))</f>
        <v/>
      </c>
      <c r="L1097" s="6">
        <f>IF(C1097="","",ROUND(J1097+D1097-E1097-K1097,2))</f>
        <v/>
      </c>
      <c r="M1097" s="6">
        <f>IF(C1097="","",IF('Daily Sale entry '!Q1097="Collection 收款",ROUND(N('Daily Sale entry '!T1097),2),0))</f>
        <v/>
      </c>
    </row>
    <row r="1098">
      <c r="A1098" t="inlineStr">
        <is>
          <t>Entry 记录</t>
        </is>
      </c>
      <c r="B1098" s="5">
        <f>IF('Daily Sale entry '!P1098="","",'Daily Sale entry '!O1098)</f>
        <v/>
      </c>
      <c r="C1098">
        <f>IF('Daily Sale entry '!P1098="","",'Daily Sale entry '!P1098)</f>
        <v/>
      </c>
      <c r="D1098">
        <f>IF(C1098="","",IF('Daily Sale entry '!Q1098="Credit Sale 赊销",'Daily Sale entry '!S1098,0))</f>
        <v/>
      </c>
      <c r="E1098">
        <f>IF(C1098="","",IF('Daily Sale entry '!Q1098="Collection 收款",'Daily Sale entry '!S1098,0))</f>
        <v/>
      </c>
      <c r="F1098" s="37">
        <f>IF(C1098="","",B1098+IF(E1098&gt;0,0,0.5)+ROW()/10000000)</f>
        <v/>
      </c>
      <c r="G1098">
        <f>IF(C1098="","",'Daily Sale entry '!Q1098&amp;IF('Daily Sale entry '!Q1098="Collection 收款"," ("&amp;'Daily Sale entry '!R1098&amp;")","")&amp;IF('Daily Sale entry '!U1098="",""," - "&amp;'Daily Sale entry '!U1098))</f>
        <v/>
      </c>
      <c r="H1098">
        <f>IF(C1098="","",COUNTIFS($C$2:$C$3001,C1098,$F$2:$F$3001,"&lt;"&amp;F1098)+1)</f>
        <v/>
      </c>
      <c r="I1098">
        <f>IF(C1098="","",C1098&amp;"|"&amp;H1098)</f>
        <v/>
      </c>
      <c r="J1098" s="6">
        <f>IF(C1098="","",IF(H1098=1,SUMIFS('Opening Balance'!$F$4:$F$303,'Opening Balance'!$G$4:$G$303,C1098),INDEX($L$2:$L$3001,MATCH(C1098&amp;"|"&amp;(H1098-1),$I$2:$I$3001,0))))</f>
        <v/>
      </c>
      <c r="K1098" s="6">
        <f>IF(C1098="","",IF(M1098&gt;0,M1098,IF(AND(E1098&gt;0,ROUND(J1098+D1098-E1098,2)&gt;0,ROUND(J1098+D1098-E1098,2)&lt;'Opening Balance'!$B$14),ROUND(J1098+D1098-E1098,2),0)))</f>
        <v/>
      </c>
      <c r="L1098" s="6">
        <f>IF(C1098="","",ROUND(J1098+D1098-E1098-K1098,2))</f>
        <v/>
      </c>
      <c r="M1098" s="6">
        <f>IF(C1098="","",IF('Daily Sale entry '!Q1098="Collection 收款",ROUND(N('Daily Sale entry '!T1098),2),0))</f>
        <v/>
      </c>
    </row>
    <row r="1099">
      <c r="A1099" t="inlineStr">
        <is>
          <t>Entry 记录</t>
        </is>
      </c>
      <c r="B1099" s="5">
        <f>IF('Daily Sale entry '!P1099="","",'Daily Sale entry '!O1099)</f>
        <v/>
      </c>
      <c r="C1099">
        <f>IF('Daily Sale entry '!P1099="","",'Daily Sale entry '!P1099)</f>
        <v/>
      </c>
      <c r="D1099">
        <f>IF(C1099="","",IF('Daily Sale entry '!Q1099="Credit Sale 赊销",'Daily Sale entry '!S1099,0))</f>
        <v/>
      </c>
      <c r="E1099">
        <f>IF(C1099="","",IF('Daily Sale entry '!Q1099="Collection 收款",'Daily Sale entry '!S1099,0))</f>
        <v/>
      </c>
      <c r="F1099" s="37">
        <f>IF(C1099="","",B1099+IF(E1099&gt;0,0,0.5)+ROW()/10000000)</f>
        <v/>
      </c>
      <c r="G1099">
        <f>IF(C1099="","",'Daily Sale entry '!Q1099&amp;IF('Daily Sale entry '!Q1099="Collection 收款"," ("&amp;'Daily Sale entry '!R1099&amp;")","")&amp;IF('Daily Sale entry '!U1099="",""," - "&amp;'Daily Sale entry '!U1099))</f>
        <v/>
      </c>
      <c r="H1099">
        <f>IF(C1099="","",COUNTIFS($C$2:$C$3001,C1099,$F$2:$F$3001,"&lt;"&amp;F1099)+1)</f>
        <v/>
      </c>
      <c r="I1099">
        <f>IF(C1099="","",C1099&amp;"|"&amp;H1099)</f>
        <v/>
      </c>
      <c r="J1099" s="6">
        <f>IF(C1099="","",IF(H1099=1,SUMIFS('Opening Balance'!$F$4:$F$303,'Opening Balance'!$G$4:$G$303,C1099),INDEX($L$2:$L$3001,MATCH(C1099&amp;"|"&amp;(H1099-1),$I$2:$I$3001,0))))</f>
        <v/>
      </c>
      <c r="K1099" s="6">
        <f>IF(C1099="","",IF(M1099&gt;0,M1099,IF(AND(E1099&gt;0,ROUND(J1099+D1099-E1099,2)&gt;0,ROUND(J1099+D1099-E1099,2)&lt;'Opening Balance'!$B$14),ROUND(J1099+D1099-E1099,2),0)))</f>
        <v/>
      </c>
      <c r="L1099" s="6">
        <f>IF(C1099="","",ROUND(J1099+D1099-E1099-K1099,2))</f>
        <v/>
      </c>
      <c r="M1099" s="6">
        <f>IF(C1099="","",IF('Daily Sale entry '!Q1099="Collection 收款",ROUND(N('Daily Sale entry '!T1099),2),0))</f>
        <v/>
      </c>
    </row>
    <row r="1100">
      <c r="A1100" t="inlineStr">
        <is>
          <t>Entry 记录</t>
        </is>
      </c>
      <c r="B1100" s="5">
        <f>IF('Daily Sale entry '!P1100="","",'Daily Sale entry '!O1100)</f>
        <v/>
      </c>
      <c r="C1100">
        <f>IF('Daily Sale entry '!P1100="","",'Daily Sale entry '!P1100)</f>
        <v/>
      </c>
      <c r="D1100">
        <f>IF(C1100="","",IF('Daily Sale entry '!Q1100="Credit Sale 赊销",'Daily Sale entry '!S1100,0))</f>
        <v/>
      </c>
      <c r="E1100">
        <f>IF(C1100="","",IF('Daily Sale entry '!Q1100="Collection 收款",'Daily Sale entry '!S1100,0))</f>
        <v/>
      </c>
      <c r="F1100" s="37">
        <f>IF(C1100="","",B1100+IF(E1100&gt;0,0,0.5)+ROW()/10000000)</f>
        <v/>
      </c>
      <c r="G1100">
        <f>IF(C1100="","",'Daily Sale entry '!Q1100&amp;IF('Daily Sale entry '!Q1100="Collection 收款"," ("&amp;'Daily Sale entry '!R1100&amp;")","")&amp;IF('Daily Sale entry '!U1100="",""," - "&amp;'Daily Sale entry '!U1100))</f>
        <v/>
      </c>
      <c r="H1100">
        <f>IF(C1100="","",COUNTIFS($C$2:$C$3001,C1100,$F$2:$F$3001,"&lt;"&amp;F1100)+1)</f>
        <v/>
      </c>
      <c r="I1100">
        <f>IF(C1100="","",C1100&amp;"|"&amp;H1100)</f>
        <v/>
      </c>
      <c r="J1100" s="6">
        <f>IF(C1100="","",IF(H1100=1,SUMIFS('Opening Balance'!$F$4:$F$303,'Opening Balance'!$G$4:$G$303,C1100),INDEX($L$2:$L$3001,MATCH(C1100&amp;"|"&amp;(H1100-1),$I$2:$I$3001,0))))</f>
        <v/>
      </c>
      <c r="K1100" s="6">
        <f>IF(C1100="","",IF(M1100&gt;0,M1100,IF(AND(E1100&gt;0,ROUND(J1100+D1100-E1100,2)&gt;0,ROUND(J1100+D1100-E1100,2)&lt;'Opening Balance'!$B$14),ROUND(J1100+D1100-E1100,2),0)))</f>
        <v/>
      </c>
      <c r="L1100" s="6">
        <f>IF(C1100="","",ROUND(J1100+D1100-E1100-K1100,2))</f>
        <v/>
      </c>
      <c r="M1100" s="6">
        <f>IF(C1100="","",IF('Daily Sale entry '!Q1100="Collection 收款",ROUND(N('Daily Sale entry '!T1100),2),0))</f>
        <v/>
      </c>
    </row>
    <row r="1101">
      <c r="A1101" t="inlineStr">
        <is>
          <t>Entry 记录</t>
        </is>
      </c>
      <c r="B1101" s="5">
        <f>IF('Daily Sale entry '!P1101="","",'Daily Sale entry '!O1101)</f>
        <v/>
      </c>
      <c r="C1101">
        <f>IF('Daily Sale entry '!P1101="","",'Daily Sale entry '!P1101)</f>
        <v/>
      </c>
      <c r="D1101">
        <f>IF(C1101="","",IF('Daily Sale entry '!Q1101="Credit Sale 赊销",'Daily Sale entry '!S1101,0))</f>
        <v/>
      </c>
      <c r="E1101">
        <f>IF(C1101="","",IF('Daily Sale entry '!Q1101="Collection 收款",'Daily Sale entry '!S1101,0))</f>
        <v/>
      </c>
      <c r="F1101" s="37">
        <f>IF(C1101="","",B1101+IF(E1101&gt;0,0,0.5)+ROW()/10000000)</f>
        <v/>
      </c>
      <c r="G1101">
        <f>IF(C1101="","",'Daily Sale entry '!Q1101&amp;IF('Daily Sale entry '!Q1101="Collection 收款"," ("&amp;'Daily Sale entry '!R1101&amp;")","")&amp;IF('Daily Sale entry '!U1101="",""," - "&amp;'Daily Sale entry '!U1101))</f>
        <v/>
      </c>
      <c r="H1101">
        <f>IF(C1101="","",COUNTIFS($C$2:$C$3001,C1101,$F$2:$F$3001,"&lt;"&amp;F1101)+1)</f>
        <v/>
      </c>
      <c r="I1101">
        <f>IF(C1101="","",C1101&amp;"|"&amp;H1101)</f>
        <v/>
      </c>
      <c r="J1101" s="6">
        <f>IF(C1101="","",IF(H1101=1,SUMIFS('Opening Balance'!$F$4:$F$303,'Opening Balance'!$G$4:$G$303,C1101),INDEX($L$2:$L$3001,MATCH(C1101&amp;"|"&amp;(H1101-1),$I$2:$I$3001,0))))</f>
        <v/>
      </c>
      <c r="K1101" s="6">
        <f>IF(C1101="","",IF(M1101&gt;0,M1101,IF(AND(E1101&gt;0,ROUND(J1101+D1101-E1101,2)&gt;0,ROUND(J1101+D1101-E1101,2)&lt;'Opening Balance'!$B$14),ROUND(J1101+D1101-E1101,2),0)))</f>
        <v/>
      </c>
      <c r="L1101" s="6">
        <f>IF(C1101="","",ROUND(J1101+D1101-E1101-K1101,2))</f>
        <v/>
      </c>
      <c r="M1101" s="6">
        <f>IF(C1101="","",IF('Daily Sale entry '!Q1101="Collection 收款",ROUND(N('Daily Sale entry '!T1101),2),0))</f>
        <v/>
      </c>
    </row>
    <row r="1102">
      <c r="A1102" t="inlineStr">
        <is>
          <t>Entry 记录</t>
        </is>
      </c>
      <c r="B1102" s="5">
        <f>IF('Daily Sale entry '!P1102="","",'Daily Sale entry '!O1102)</f>
        <v/>
      </c>
      <c r="C1102">
        <f>IF('Daily Sale entry '!P1102="","",'Daily Sale entry '!P1102)</f>
        <v/>
      </c>
      <c r="D1102">
        <f>IF(C1102="","",IF('Daily Sale entry '!Q1102="Credit Sale 赊销",'Daily Sale entry '!S1102,0))</f>
        <v/>
      </c>
      <c r="E1102">
        <f>IF(C1102="","",IF('Daily Sale entry '!Q1102="Collection 收款",'Daily Sale entry '!S1102,0))</f>
        <v/>
      </c>
      <c r="F1102" s="37">
        <f>IF(C1102="","",B1102+IF(E1102&gt;0,0,0.5)+ROW()/10000000)</f>
        <v/>
      </c>
      <c r="G1102">
        <f>IF(C1102="","",'Daily Sale entry '!Q1102&amp;IF('Daily Sale entry '!Q1102="Collection 收款"," ("&amp;'Daily Sale entry '!R1102&amp;")","")&amp;IF('Daily Sale entry '!U1102="",""," - "&amp;'Daily Sale entry '!U1102))</f>
        <v/>
      </c>
      <c r="H1102">
        <f>IF(C1102="","",COUNTIFS($C$2:$C$3001,C1102,$F$2:$F$3001,"&lt;"&amp;F1102)+1)</f>
        <v/>
      </c>
      <c r="I1102">
        <f>IF(C1102="","",C1102&amp;"|"&amp;H1102)</f>
        <v/>
      </c>
      <c r="J1102" s="6">
        <f>IF(C1102="","",IF(H1102=1,SUMIFS('Opening Balance'!$F$4:$F$303,'Opening Balance'!$G$4:$G$303,C1102),INDEX($L$2:$L$3001,MATCH(C1102&amp;"|"&amp;(H1102-1),$I$2:$I$3001,0))))</f>
        <v/>
      </c>
      <c r="K1102" s="6">
        <f>IF(C1102="","",IF(M1102&gt;0,M1102,IF(AND(E1102&gt;0,ROUND(J1102+D1102-E1102,2)&gt;0,ROUND(J1102+D1102-E1102,2)&lt;'Opening Balance'!$B$14),ROUND(J1102+D1102-E1102,2),0)))</f>
        <v/>
      </c>
      <c r="L1102" s="6">
        <f>IF(C1102="","",ROUND(J1102+D1102-E1102-K1102,2))</f>
        <v/>
      </c>
      <c r="M1102" s="6">
        <f>IF(C1102="","",IF('Daily Sale entry '!Q1102="Collection 收款",ROUND(N('Daily Sale entry '!T1102),2),0))</f>
        <v/>
      </c>
    </row>
    <row r="1103">
      <c r="A1103" t="inlineStr">
        <is>
          <t>Entry 记录</t>
        </is>
      </c>
      <c r="B1103" s="5">
        <f>IF('Daily Sale entry '!P1103="","",'Daily Sale entry '!O1103)</f>
        <v/>
      </c>
      <c r="C1103">
        <f>IF('Daily Sale entry '!P1103="","",'Daily Sale entry '!P1103)</f>
        <v/>
      </c>
      <c r="D1103">
        <f>IF(C1103="","",IF('Daily Sale entry '!Q1103="Credit Sale 赊销",'Daily Sale entry '!S1103,0))</f>
        <v/>
      </c>
      <c r="E1103">
        <f>IF(C1103="","",IF('Daily Sale entry '!Q1103="Collection 收款",'Daily Sale entry '!S1103,0))</f>
        <v/>
      </c>
      <c r="F1103" s="37">
        <f>IF(C1103="","",B1103+IF(E1103&gt;0,0,0.5)+ROW()/10000000)</f>
        <v/>
      </c>
      <c r="G1103">
        <f>IF(C1103="","",'Daily Sale entry '!Q1103&amp;IF('Daily Sale entry '!Q1103="Collection 收款"," ("&amp;'Daily Sale entry '!R1103&amp;")","")&amp;IF('Daily Sale entry '!U1103="",""," - "&amp;'Daily Sale entry '!U1103))</f>
        <v/>
      </c>
      <c r="H1103">
        <f>IF(C1103="","",COUNTIFS($C$2:$C$3001,C1103,$F$2:$F$3001,"&lt;"&amp;F1103)+1)</f>
        <v/>
      </c>
      <c r="I1103">
        <f>IF(C1103="","",C1103&amp;"|"&amp;H1103)</f>
        <v/>
      </c>
      <c r="J1103" s="6">
        <f>IF(C1103="","",IF(H1103=1,SUMIFS('Opening Balance'!$F$4:$F$303,'Opening Balance'!$G$4:$G$303,C1103),INDEX($L$2:$L$3001,MATCH(C1103&amp;"|"&amp;(H1103-1),$I$2:$I$3001,0))))</f>
        <v/>
      </c>
      <c r="K1103" s="6">
        <f>IF(C1103="","",IF(M1103&gt;0,M1103,IF(AND(E1103&gt;0,ROUND(J1103+D1103-E1103,2)&gt;0,ROUND(J1103+D1103-E1103,2)&lt;'Opening Balance'!$B$14),ROUND(J1103+D1103-E1103,2),0)))</f>
        <v/>
      </c>
      <c r="L1103" s="6">
        <f>IF(C1103="","",ROUND(J1103+D1103-E1103-K1103,2))</f>
        <v/>
      </c>
      <c r="M1103" s="6">
        <f>IF(C1103="","",IF('Daily Sale entry '!Q1103="Collection 收款",ROUND(N('Daily Sale entry '!T1103),2),0))</f>
        <v/>
      </c>
    </row>
    <row r="1104">
      <c r="A1104" t="inlineStr">
        <is>
          <t>Entry 记录</t>
        </is>
      </c>
      <c r="B1104" s="5">
        <f>IF('Daily Sale entry '!P1104="","",'Daily Sale entry '!O1104)</f>
        <v/>
      </c>
      <c r="C1104">
        <f>IF('Daily Sale entry '!P1104="","",'Daily Sale entry '!P1104)</f>
        <v/>
      </c>
      <c r="D1104">
        <f>IF(C1104="","",IF('Daily Sale entry '!Q1104="Credit Sale 赊销",'Daily Sale entry '!S1104,0))</f>
        <v/>
      </c>
      <c r="E1104">
        <f>IF(C1104="","",IF('Daily Sale entry '!Q1104="Collection 收款",'Daily Sale entry '!S1104,0))</f>
        <v/>
      </c>
      <c r="F1104" s="37">
        <f>IF(C1104="","",B1104+IF(E1104&gt;0,0,0.5)+ROW()/10000000)</f>
        <v/>
      </c>
      <c r="G1104">
        <f>IF(C1104="","",'Daily Sale entry '!Q1104&amp;IF('Daily Sale entry '!Q1104="Collection 收款"," ("&amp;'Daily Sale entry '!R1104&amp;")","")&amp;IF('Daily Sale entry '!U1104="",""," - "&amp;'Daily Sale entry '!U1104))</f>
        <v/>
      </c>
      <c r="H1104">
        <f>IF(C1104="","",COUNTIFS($C$2:$C$3001,C1104,$F$2:$F$3001,"&lt;"&amp;F1104)+1)</f>
        <v/>
      </c>
      <c r="I1104">
        <f>IF(C1104="","",C1104&amp;"|"&amp;H1104)</f>
        <v/>
      </c>
      <c r="J1104" s="6">
        <f>IF(C1104="","",IF(H1104=1,SUMIFS('Opening Balance'!$F$4:$F$303,'Opening Balance'!$G$4:$G$303,C1104),INDEX($L$2:$L$3001,MATCH(C1104&amp;"|"&amp;(H1104-1),$I$2:$I$3001,0))))</f>
        <v/>
      </c>
      <c r="K1104" s="6">
        <f>IF(C1104="","",IF(M1104&gt;0,M1104,IF(AND(E1104&gt;0,ROUND(J1104+D1104-E1104,2)&gt;0,ROUND(J1104+D1104-E1104,2)&lt;'Opening Balance'!$B$14),ROUND(J1104+D1104-E1104,2),0)))</f>
        <v/>
      </c>
      <c r="L1104" s="6">
        <f>IF(C1104="","",ROUND(J1104+D1104-E1104-K1104,2))</f>
        <v/>
      </c>
      <c r="M1104" s="6">
        <f>IF(C1104="","",IF('Daily Sale entry '!Q1104="Collection 收款",ROUND(N('Daily Sale entry '!T1104),2),0))</f>
        <v/>
      </c>
    </row>
    <row r="1105">
      <c r="A1105" t="inlineStr">
        <is>
          <t>Entry 记录</t>
        </is>
      </c>
      <c r="B1105" s="5">
        <f>IF('Daily Sale entry '!P1105="","",'Daily Sale entry '!O1105)</f>
        <v/>
      </c>
      <c r="C1105">
        <f>IF('Daily Sale entry '!P1105="","",'Daily Sale entry '!P1105)</f>
        <v/>
      </c>
      <c r="D1105">
        <f>IF(C1105="","",IF('Daily Sale entry '!Q1105="Credit Sale 赊销",'Daily Sale entry '!S1105,0))</f>
        <v/>
      </c>
      <c r="E1105">
        <f>IF(C1105="","",IF('Daily Sale entry '!Q1105="Collection 收款",'Daily Sale entry '!S1105,0))</f>
        <v/>
      </c>
      <c r="F1105" s="37">
        <f>IF(C1105="","",B1105+IF(E1105&gt;0,0,0.5)+ROW()/10000000)</f>
        <v/>
      </c>
      <c r="G1105">
        <f>IF(C1105="","",'Daily Sale entry '!Q1105&amp;IF('Daily Sale entry '!Q1105="Collection 收款"," ("&amp;'Daily Sale entry '!R1105&amp;")","")&amp;IF('Daily Sale entry '!U1105="",""," - "&amp;'Daily Sale entry '!U1105))</f>
        <v/>
      </c>
      <c r="H1105">
        <f>IF(C1105="","",COUNTIFS($C$2:$C$3001,C1105,$F$2:$F$3001,"&lt;"&amp;F1105)+1)</f>
        <v/>
      </c>
      <c r="I1105">
        <f>IF(C1105="","",C1105&amp;"|"&amp;H1105)</f>
        <v/>
      </c>
      <c r="J1105" s="6">
        <f>IF(C1105="","",IF(H1105=1,SUMIFS('Opening Balance'!$F$4:$F$303,'Opening Balance'!$G$4:$G$303,C1105),INDEX($L$2:$L$3001,MATCH(C1105&amp;"|"&amp;(H1105-1),$I$2:$I$3001,0))))</f>
        <v/>
      </c>
      <c r="K1105" s="6">
        <f>IF(C1105="","",IF(M1105&gt;0,M1105,IF(AND(E1105&gt;0,ROUND(J1105+D1105-E1105,2)&gt;0,ROUND(J1105+D1105-E1105,2)&lt;'Opening Balance'!$B$14),ROUND(J1105+D1105-E1105,2),0)))</f>
        <v/>
      </c>
      <c r="L1105" s="6">
        <f>IF(C1105="","",ROUND(J1105+D1105-E1105-K1105,2))</f>
        <v/>
      </c>
      <c r="M1105" s="6">
        <f>IF(C1105="","",IF('Daily Sale entry '!Q1105="Collection 收款",ROUND(N('Daily Sale entry '!T1105),2),0))</f>
        <v/>
      </c>
    </row>
    <row r="1106">
      <c r="A1106" t="inlineStr">
        <is>
          <t>Entry 记录</t>
        </is>
      </c>
      <c r="B1106" s="5">
        <f>IF('Daily Sale entry '!P1106="","",'Daily Sale entry '!O1106)</f>
        <v/>
      </c>
      <c r="C1106">
        <f>IF('Daily Sale entry '!P1106="","",'Daily Sale entry '!P1106)</f>
        <v/>
      </c>
      <c r="D1106">
        <f>IF(C1106="","",IF('Daily Sale entry '!Q1106="Credit Sale 赊销",'Daily Sale entry '!S1106,0))</f>
        <v/>
      </c>
      <c r="E1106">
        <f>IF(C1106="","",IF('Daily Sale entry '!Q1106="Collection 收款",'Daily Sale entry '!S1106,0))</f>
        <v/>
      </c>
      <c r="F1106" s="37">
        <f>IF(C1106="","",B1106+IF(E1106&gt;0,0,0.5)+ROW()/10000000)</f>
        <v/>
      </c>
      <c r="G1106">
        <f>IF(C1106="","",'Daily Sale entry '!Q1106&amp;IF('Daily Sale entry '!Q1106="Collection 收款"," ("&amp;'Daily Sale entry '!R1106&amp;")","")&amp;IF('Daily Sale entry '!U1106="",""," - "&amp;'Daily Sale entry '!U1106))</f>
        <v/>
      </c>
      <c r="H1106">
        <f>IF(C1106="","",COUNTIFS($C$2:$C$3001,C1106,$F$2:$F$3001,"&lt;"&amp;F1106)+1)</f>
        <v/>
      </c>
      <c r="I1106">
        <f>IF(C1106="","",C1106&amp;"|"&amp;H1106)</f>
        <v/>
      </c>
      <c r="J1106" s="6">
        <f>IF(C1106="","",IF(H1106=1,SUMIFS('Opening Balance'!$F$4:$F$303,'Opening Balance'!$G$4:$G$303,C1106),INDEX($L$2:$L$3001,MATCH(C1106&amp;"|"&amp;(H1106-1),$I$2:$I$3001,0))))</f>
        <v/>
      </c>
      <c r="K1106" s="6">
        <f>IF(C1106="","",IF(M1106&gt;0,M1106,IF(AND(E1106&gt;0,ROUND(J1106+D1106-E1106,2)&gt;0,ROUND(J1106+D1106-E1106,2)&lt;'Opening Balance'!$B$14),ROUND(J1106+D1106-E1106,2),0)))</f>
        <v/>
      </c>
      <c r="L1106" s="6">
        <f>IF(C1106="","",ROUND(J1106+D1106-E1106-K1106,2))</f>
        <v/>
      </c>
      <c r="M1106" s="6">
        <f>IF(C1106="","",IF('Daily Sale entry '!Q1106="Collection 收款",ROUND(N('Daily Sale entry '!T1106),2),0))</f>
        <v/>
      </c>
    </row>
    <row r="1107">
      <c r="A1107" t="inlineStr">
        <is>
          <t>Entry 记录</t>
        </is>
      </c>
      <c r="B1107" s="5">
        <f>IF('Daily Sale entry '!P1107="","",'Daily Sale entry '!O1107)</f>
        <v/>
      </c>
      <c r="C1107">
        <f>IF('Daily Sale entry '!P1107="","",'Daily Sale entry '!P1107)</f>
        <v/>
      </c>
      <c r="D1107">
        <f>IF(C1107="","",IF('Daily Sale entry '!Q1107="Credit Sale 赊销",'Daily Sale entry '!S1107,0))</f>
        <v/>
      </c>
      <c r="E1107">
        <f>IF(C1107="","",IF('Daily Sale entry '!Q1107="Collection 收款",'Daily Sale entry '!S1107,0))</f>
        <v/>
      </c>
      <c r="F1107" s="37">
        <f>IF(C1107="","",B1107+IF(E1107&gt;0,0,0.5)+ROW()/10000000)</f>
        <v/>
      </c>
      <c r="G1107">
        <f>IF(C1107="","",'Daily Sale entry '!Q1107&amp;IF('Daily Sale entry '!Q1107="Collection 收款"," ("&amp;'Daily Sale entry '!R1107&amp;")","")&amp;IF('Daily Sale entry '!U1107="",""," - "&amp;'Daily Sale entry '!U1107))</f>
        <v/>
      </c>
      <c r="H1107">
        <f>IF(C1107="","",COUNTIFS($C$2:$C$3001,C1107,$F$2:$F$3001,"&lt;"&amp;F1107)+1)</f>
        <v/>
      </c>
      <c r="I1107">
        <f>IF(C1107="","",C1107&amp;"|"&amp;H1107)</f>
        <v/>
      </c>
      <c r="J1107" s="6">
        <f>IF(C1107="","",IF(H1107=1,SUMIFS('Opening Balance'!$F$4:$F$303,'Opening Balance'!$G$4:$G$303,C1107),INDEX($L$2:$L$3001,MATCH(C1107&amp;"|"&amp;(H1107-1),$I$2:$I$3001,0))))</f>
        <v/>
      </c>
      <c r="K1107" s="6">
        <f>IF(C1107="","",IF(M1107&gt;0,M1107,IF(AND(E1107&gt;0,ROUND(J1107+D1107-E1107,2)&gt;0,ROUND(J1107+D1107-E1107,2)&lt;'Opening Balance'!$B$14),ROUND(J1107+D1107-E1107,2),0)))</f>
        <v/>
      </c>
      <c r="L1107" s="6">
        <f>IF(C1107="","",ROUND(J1107+D1107-E1107-K1107,2))</f>
        <v/>
      </c>
      <c r="M1107" s="6">
        <f>IF(C1107="","",IF('Daily Sale entry '!Q1107="Collection 收款",ROUND(N('Daily Sale entry '!T1107),2),0))</f>
        <v/>
      </c>
    </row>
    <row r="1108">
      <c r="A1108" t="inlineStr">
        <is>
          <t>Entry 记录</t>
        </is>
      </c>
      <c r="B1108" s="5">
        <f>IF('Daily Sale entry '!P1108="","",'Daily Sale entry '!O1108)</f>
        <v/>
      </c>
      <c r="C1108">
        <f>IF('Daily Sale entry '!P1108="","",'Daily Sale entry '!P1108)</f>
        <v/>
      </c>
      <c r="D1108">
        <f>IF(C1108="","",IF('Daily Sale entry '!Q1108="Credit Sale 赊销",'Daily Sale entry '!S1108,0))</f>
        <v/>
      </c>
      <c r="E1108">
        <f>IF(C1108="","",IF('Daily Sale entry '!Q1108="Collection 收款",'Daily Sale entry '!S1108,0))</f>
        <v/>
      </c>
      <c r="F1108" s="37">
        <f>IF(C1108="","",B1108+IF(E1108&gt;0,0,0.5)+ROW()/10000000)</f>
        <v/>
      </c>
      <c r="G1108">
        <f>IF(C1108="","",'Daily Sale entry '!Q1108&amp;IF('Daily Sale entry '!Q1108="Collection 收款"," ("&amp;'Daily Sale entry '!R1108&amp;")","")&amp;IF('Daily Sale entry '!U1108="",""," - "&amp;'Daily Sale entry '!U1108))</f>
        <v/>
      </c>
      <c r="H1108">
        <f>IF(C1108="","",COUNTIFS($C$2:$C$3001,C1108,$F$2:$F$3001,"&lt;"&amp;F1108)+1)</f>
        <v/>
      </c>
      <c r="I1108">
        <f>IF(C1108="","",C1108&amp;"|"&amp;H1108)</f>
        <v/>
      </c>
      <c r="J1108" s="6">
        <f>IF(C1108="","",IF(H1108=1,SUMIFS('Opening Balance'!$F$4:$F$303,'Opening Balance'!$G$4:$G$303,C1108),INDEX($L$2:$L$3001,MATCH(C1108&amp;"|"&amp;(H1108-1),$I$2:$I$3001,0))))</f>
        <v/>
      </c>
      <c r="K1108" s="6">
        <f>IF(C1108="","",IF(M1108&gt;0,M1108,IF(AND(E1108&gt;0,ROUND(J1108+D1108-E1108,2)&gt;0,ROUND(J1108+D1108-E1108,2)&lt;'Opening Balance'!$B$14),ROUND(J1108+D1108-E1108,2),0)))</f>
        <v/>
      </c>
      <c r="L1108" s="6">
        <f>IF(C1108="","",ROUND(J1108+D1108-E1108-K1108,2))</f>
        <v/>
      </c>
      <c r="M1108" s="6">
        <f>IF(C1108="","",IF('Daily Sale entry '!Q1108="Collection 收款",ROUND(N('Daily Sale entry '!T1108),2),0))</f>
        <v/>
      </c>
    </row>
    <row r="1109">
      <c r="A1109" t="inlineStr">
        <is>
          <t>Entry 记录</t>
        </is>
      </c>
      <c r="B1109" s="5">
        <f>IF('Daily Sale entry '!P1109="","",'Daily Sale entry '!O1109)</f>
        <v/>
      </c>
      <c r="C1109">
        <f>IF('Daily Sale entry '!P1109="","",'Daily Sale entry '!P1109)</f>
        <v/>
      </c>
      <c r="D1109">
        <f>IF(C1109="","",IF('Daily Sale entry '!Q1109="Credit Sale 赊销",'Daily Sale entry '!S1109,0))</f>
        <v/>
      </c>
      <c r="E1109">
        <f>IF(C1109="","",IF('Daily Sale entry '!Q1109="Collection 收款",'Daily Sale entry '!S1109,0))</f>
        <v/>
      </c>
      <c r="F1109" s="37">
        <f>IF(C1109="","",B1109+IF(E1109&gt;0,0,0.5)+ROW()/10000000)</f>
        <v/>
      </c>
      <c r="G1109">
        <f>IF(C1109="","",'Daily Sale entry '!Q1109&amp;IF('Daily Sale entry '!Q1109="Collection 收款"," ("&amp;'Daily Sale entry '!R1109&amp;")","")&amp;IF('Daily Sale entry '!U1109="",""," - "&amp;'Daily Sale entry '!U1109))</f>
        <v/>
      </c>
      <c r="H1109">
        <f>IF(C1109="","",COUNTIFS($C$2:$C$3001,C1109,$F$2:$F$3001,"&lt;"&amp;F1109)+1)</f>
        <v/>
      </c>
      <c r="I1109">
        <f>IF(C1109="","",C1109&amp;"|"&amp;H1109)</f>
        <v/>
      </c>
      <c r="J1109" s="6">
        <f>IF(C1109="","",IF(H1109=1,SUMIFS('Opening Balance'!$F$4:$F$303,'Opening Balance'!$G$4:$G$303,C1109),INDEX($L$2:$L$3001,MATCH(C1109&amp;"|"&amp;(H1109-1),$I$2:$I$3001,0))))</f>
        <v/>
      </c>
      <c r="K1109" s="6">
        <f>IF(C1109="","",IF(M1109&gt;0,M1109,IF(AND(E1109&gt;0,ROUND(J1109+D1109-E1109,2)&gt;0,ROUND(J1109+D1109-E1109,2)&lt;'Opening Balance'!$B$14),ROUND(J1109+D1109-E1109,2),0)))</f>
        <v/>
      </c>
      <c r="L1109" s="6">
        <f>IF(C1109="","",ROUND(J1109+D1109-E1109-K1109,2))</f>
        <v/>
      </c>
      <c r="M1109" s="6">
        <f>IF(C1109="","",IF('Daily Sale entry '!Q1109="Collection 收款",ROUND(N('Daily Sale entry '!T1109),2),0))</f>
        <v/>
      </c>
    </row>
    <row r="1110">
      <c r="A1110" t="inlineStr">
        <is>
          <t>Entry 记录</t>
        </is>
      </c>
      <c r="B1110" s="5">
        <f>IF('Daily Sale entry '!P1110="","",'Daily Sale entry '!O1110)</f>
        <v/>
      </c>
      <c r="C1110">
        <f>IF('Daily Sale entry '!P1110="","",'Daily Sale entry '!P1110)</f>
        <v/>
      </c>
      <c r="D1110">
        <f>IF(C1110="","",IF('Daily Sale entry '!Q1110="Credit Sale 赊销",'Daily Sale entry '!S1110,0))</f>
        <v/>
      </c>
      <c r="E1110">
        <f>IF(C1110="","",IF('Daily Sale entry '!Q1110="Collection 收款",'Daily Sale entry '!S1110,0))</f>
        <v/>
      </c>
      <c r="F1110" s="37">
        <f>IF(C1110="","",B1110+IF(E1110&gt;0,0,0.5)+ROW()/10000000)</f>
        <v/>
      </c>
      <c r="G1110">
        <f>IF(C1110="","",'Daily Sale entry '!Q1110&amp;IF('Daily Sale entry '!Q1110="Collection 收款"," ("&amp;'Daily Sale entry '!R1110&amp;")","")&amp;IF('Daily Sale entry '!U1110="",""," - "&amp;'Daily Sale entry '!U1110))</f>
        <v/>
      </c>
      <c r="H1110">
        <f>IF(C1110="","",COUNTIFS($C$2:$C$3001,C1110,$F$2:$F$3001,"&lt;"&amp;F1110)+1)</f>
        <v/>
      </c>
      <c r="I1110">
        <f>IF(C1110="","",C1110&amp;"|"&amp;H1110)</f>
        <v/>
      </c>
      <c r="J1110" s="6">
        <f>IF(C1110="","",IF(H1110=1,SUMIFS('Opening Balance'!$F$4:$F$303,'Opening Balance'!$G$4:$G$303,C1110),INDEX($L$2:$L$3001,MATCH(C1110&amp;"|"&amp;(H1110-1),$I$2:$I$3001,0))))</f>
        <v/>
      </c>
      <c r="K1110" s="6">
        <f>IF(C1110="","",IF(M1110&gt;0,M1110,IF(AND(E1110&gt;0,ROUND(J1110+D1110-E1110,2)&gt;0,ROUND(J1110+D1110-E1110,2)&lt;'Opening Balance'!$B$14),ROUND(J1110+D1110-E1110,2),0)))</f>
        <v/>
      </c>
      <c r="L1110" s="6">
        <f>IF(C1110="","",ROUND(J1110+D1110-E1110-K1110,2))</f>
        <v/>
      </c>
      <c r="M1110" s="6">
        <f>IF(C1110="","",IF('Daily Sale entry '!Q1110="Collection 收款",ROUND(N('Daily Sale entry '!T1110),2),0))</f>
        <v/>
      </c>
    </row>
    <row r="1111">
      <c r="A1111" t="inlineStr">
        <is>
          <t>Entry 记录</t>
        </is>
      </c>
      <c r="B1111" s="5">
        <f>IF('Daily Sale entry '!P1111="","",'Daily Sale entry '!O1111)</f>
        <v/>
      </c>
      <c r="C1111">
        <f>IF('Daily Sale entry '!P1111="","",'Daily Sale entry '!P1111)</f>
        <v/>
      </c>
      <c r="D1111">
        <f>IF(C1111="","",IF('Daily Sale entry '!Q1111="Credit Sale 赊销",'Daily Sale entry '!S1111,0))</f>
        <v/>
      </c>
      <c r="E1111">
        <f>IF(C1111="","",IF('Daily Sale entry '!Q1111="Collection 收款",'Daily Sale entry '!S1111,0))</f>
        <v/>
      </c>
      <c r="F1111" s="37">
        <f>IF(C1111="","",B1111+IF(E1111&gt;0,0,0.5)+ROW()/10000000)</f>
        <v/>
      </c>
      <c r="G1111">
        <f>IF(C1111="","",'Daily Sale entry '!Q1111&amp;IF('Daily Sale entry '!Q1111="Collection 收款"," ("&amp;'Daily Sale entry '!R1111&amp;")","")&amp;IF('Daily Sale entry '!U1111="",""," - "&amp;'Daily Sale entry '!U1111))</f>
        <v/>
      </c>
      <c r="H1111">
        <f>IF(C1111="","",COUNTIFS($C$2:$C$3001,C1111,$F$2:$F$3001,"&lt;"&amp;F1111)+1)</f>
        <v/>
      </c>
      <c r="I1111">
        <f>IF(C1111="","",C1111&amp;"|"&amp;H1111)</f>
        <v/>
      </c>
      <c r="J1111" s="6">
        <f>IF(C1111="","",IF(H1111=1,SUMIFS('Opening Balance'!$F$4:$F$303,'Opening Balance'!$G$4:$G$303,C1111),INDEX($L$2:$L$3001,MATCH(C1111&amp;"|"&amp;(H1111-1),$I$2:$I$3001,0))))</f>
        <v/>
      </c>
      <c r="K1111" s="6">
        <f>IF(C1111="","",IF(M1111&gt;0,M1111,IF(AND(E1111&gt;0,ROUND(J1111+D1111-E1111,2)&gt;0,ROUND(J1111+D1111-E1111,2)&lt;'Opening Balance'!$B$14),ROUND(J1111+D1111-E1111,2),0)))</f>
        <v/>
      </c>
      <c r="L1111" s="6">
        <f>IF(C1111="","",ROUND(J1111+D1111-E1111-K1111,2))</f>
        <v/>
      </c>
      <c r="M1111" s="6">
        <f>IF(C1111="","",IF('Daily Sale entry '!Q1111="Collection 收款",ROUND(N('Daily Sale entry '!T1111),2),0))</f>
        <v/>
      </c>
    </row>
    <row r="1112">
      <c r="A1112" t="inlineStr">
        <is>
          <t>Entry 记录</t>
        </is>
      </c>
      <c r="B1112" s="5">
        <f>IF('Daily Sale entry '!P1112="","",'Daily Sale entry '!O1112)</f>
        <v/>
      </c>
      <c r="C1112">
        <f>IF('Daily Sale entry '!P1112="","",'Daily Sale entry '!P1112)</f>
        <v/>
      </c>
      <c r="D1112">
        <f>IF(C1112="","",IF('Daily Sale entry '!Q1112="Credit Sale 赊销",'Daily Sale entry '!S1112,0))</f>
        <v/>
      </c>
      <c r="E1112">
        <f>IF(C1112="","",IF('Daily Sale entry '!Q1112="Collection 收款",'Daily Sale entry '!S1112,0))</f>
        <v/>
      </c>
      <c r="F1112" s="37">
        <f>IF(C1112="","",B1112+IF(E1112&gt;0,0,0.5)+ROW()/10000000)</f>
        <v/>
      </c>
      <c r="G1112">
        <f>IF(C1112="","",'Daily Sale entry '!Q1112&amp;IF('Daily Sale entry '!Q1112="Collection 收款"," ("&amp;'Daily Sale entry '!R1112&amp;")","")&amp;IF('Daily Sale entry '!U1112="",""," - "&amp;'Daily Sale entry '!U1112))</f>
        <v/>
      </c>
      <c r="H1112">
        <f>IF(C1112="","",COUNTIFS($C$2:$C$3001,C1112,$F$2:$F$3001,"&lt;"&amp;F1112)+1)</f>
        <v/>
      </c>
      <c r="I1112">
        <f>IF(C1112="","",C1112&amp;"|"&amp;H1112)</f>
        <v/>
      </c>
      <c r="J1112" s="6">
        <f>IF(C1112="","",IF(H1112=1,SUMIFS('Opening Balance'!$F$4:$F$303,'Opening Balance'!$G$4:$G$303,C1112),INDEX($L$2:$L$3001,MATCH(C1112&amp;"|"&amp;(H1112-1),$I$2:$I$3001,0))))</f>
        <v/>
      </c>
      <c r="K1112" s="6">
        <f>IF(C1112="","",IF(M1112&gt;0,M1112,IF(AND(E1112&gt;0,ROUND(J1112+D1112-E1112,2)&gt;0,ROUND(J1112+D1112-E1112,2)&lt;'Opening Balance'!$B$14),ROUND(J1112+D1112-E1112,2),0)))</f>
        <v/>
      </c>
      <c r="L1112" s="6">
        <f>IF(C1112="","",ROUND(J1112+D1112-E1112-K1112,2))</f>
        <v/>
      </c>
      <c r="M1112" s="6">
        <f>IF(C1112="","",IF('Daily Sale entry '!Q1112="Collection 收款",ROUND(N('Daily Sale entry '!T1112),2),0))</f>
        <v/>
      </c>
    </row>
    <row r="1113">
      <c r="A1113" t="inlineStr">
        <is>
          <t>Entry 记录</t>
        </is>
      </c>
      <c r="B1113" s="5">
        <f>IF('Daily Sale entry '!P1113="","",'Daily Sale entry '!O1113)</f>
        <v/>
      </c>
      <c r="C1113">
        <f>IF('Daily Sale entry '!P1113="","",'Daily Sale entry '!P1113)</f>
        <v/>
      </c>
      <c r="D1113">
        <f>IF(C1113="","",IF('Daily Sale entry '!Q1113="Credit Sale 赊销",'Daily Sale entry '!S1113,0))</f>
        <v/>
      </c>
      <c r="E1113">
        <f>IF(C1113="","",IF('Daily Sale entry '!Q1113="Collection 收款",'Daily Sale entry '!S1113,0))</f>
        <v/>
      </c>
      <c r="F1113" s="37">
        <f>IF(C1113="","",B1113+IF(E1113&gt;0,0,0.5)+ROW()/10000000)</f>
        <v/>
      </c>
      <c r="G1113">
        <f>IF(C1113="","",'Daily Sale entry '!Q1113&amp;IF('Daily Sale entry '!Q1113="Collection 收款"," ("&amp;'Daily Sale entry '!R1113&amp;")","")&amp;IF('Daily Sale entry '!U1113="",""," - "&amp;'Daily Sale entry '!U1113))</f>
        <v/>
      </c>
      <c r="H1113">
        <f>IF(C1113="","",COUNTIFS($C$2:$C$3001,C1113,$F$2:$F$3001,"&lt;"&amp;F1113)+1)</f>
        <v/>
      </c>
      <c r="I1113">
        <f>IF(C1113="","",C1113&amp;"|"&amp;H1113)</f>
        <v/>
      </c>
      <c r="J1113" s="6">
        <f>IF(C1113="","",IF(H1113=1,SUMIFS('Opening Balance'!$F$4:$F$303,'Opening Balance'!$G$4:$G$303,C1113),INDEX($L$2:$L$3001,MATCH(C1113&amp;"|"&amp;(H1113-1),$I$2:$I$3001,0))))</f>
        <v/>
      </c>
      <c r="K1113" s="6">
        <f>IF(C1113="","",IF(M1113&gt;0,M1113,IF(AND(E1113&gt;0,ROUND(J1113+D1113-E1113,2)&gt;0,ROUND(J1113+D1113-E1113,2)&lt;'Opening Balance'!$B$14),ROUND(J1113+D1113-E1113,2),0)))</f>
        <v/>
      </c>
      <c r="L1113" s="6">
        <f>IF(C1113="","",ROUND(J1113+D1113-E1113-K1113,2))</f>
        <v/>
      </c>
      <c r="M1113" s="6">
        <f>IF(C1113="","",IF('Daily Sale entry '!Q1113="Collection 收款",ROUND(N('Daily Sale entry '!T1113),2),0))</f>
        <v/>
      </c>
    </row>
    <row r="1114">
      <c r="A1114" t="inlineStr">
        <is>
          <t>Entry 记录</t>
        </is>
      </c>
      <c r="B1114" s="5">
        <f>IF('Daily Sale entry '!P1114="","",'Daily Sale entry '!O1114)</f>
        <v/>
      </c>
      <c r="C1114">
        <f>IF('Daily Sale entry '!P1114="","",'Daily Sale entry '!P1114)</f>
        <v/>
      </c>
      <c r="D1114">
        <f>IF(C1114="","",IF('Daily Sale entry '!Q1114="Credit Sale 赊销",'Daily Sale entry '!S1114,0))</f>
        <v/>
      </c>
      <c r="E1114">
        <f>IF(C1114="","",IF('Daily Sale entry '!Q1114="Collection 收款",'Daily Sale entry '!S1114,0))</f>
        <v/>
      </c>
      <c r="F1114" s="37">
        <f>IF(C1114="","",B1114+IF(E1114&gt;0,0,0.5)+ROW()/10000000)</f>
        <v/>
      </c>
      <c r="G1114">
        <f>IF(C1114="","",'Daily Sale entry '!Q1114&amp;IF('Daily Sale entry '!Q1114="Collection 收款"," ("&amp;'Daily Sale entry '!R1114&amp;")","")&amp;IF('Daily Sale entry '!U1114="",""," - "&amp;'Daily Sale entry '!U1114))</f>
        <v/>
      </c>
      <c r="H1114">
        <f>IF(C1114="","",COUNTIFS($C$2:$C$3001,C1114,$F$2:$F$3001,"&lt;"&amp;F1114)+1)</f>
        <v/>
      </c>
      <c r="I1114">
        <f>IF(C1114="","",C1114&amp;"|"&amp;H1114)</f>
        <v/>
      </c>
      <c r="J1114" s="6">
        <f>IF(C1114="","",IF(H1114=1,SUMIFS('Opening Balance'!$F$4:$F$303,'Opening Balance'!$G$4:$G$303,C1114),INDEX($L$2:$L$3001,MATCH(C1114&amp;"|"&amp;(H1114-1),$I$2:$I$3001,0))))</f>
        <v/>
      </c>
      <c r="K1114" s="6">
        <f>IF(C1114="","",IF(M1114&gt;0,M1114,IF(AND(E1114&gt;0,ROUND(J1114+D1114-E1114,2)&gt;0,ROUND(J1114+D1114-E1114,2)&lt;'Opening Balance'!$B$14),ROUND(J1114+D1114-E1114,2),0)))</f>
        <v/>
      </c>
      <c r="L1114" s="6">
        <f>IF(C1114="","",ROUND(J1114+D1114-E1114-K1114,2))</f>
        <v/>
      </c>
      <c r="M1114" s="6">
        <f>IF(C1114="","",IF('Daily Sale entry '!Q1114="Collection 收款",ROUND(N('Daily Sale entry '!T1114),2),0))</f>
        <v/>
      </c>
    </row>
    <row r="1115">
      <c r="A1115" t="inlineStr">
        <is>
          <t>Entry 记录</t>
        </is>
      </c>
      <c r="B1115" s="5">
        <f>IF('Daily Sale entry '!P1115="","",'Daily Sale entry '!O1115)</f>
        <v/>
      </c>
      <c r="C1115">
        <f>IF('Daily Sale entry '!P1115="","",'Daily Sale entry '!P1115)</f>
        <v/>
      </c>
      <c r="D1115">
        <f>IF(C1115="","",IF('Daily Sale entry '!Q1115="Credit Sale 赊销",'Daily Sale entry '!S1115,0))</f>
        <v/>
      </c>
      <c r="E1115">
        <f>IF(C1115="","",IF('Daily Sale entry '!Q1115="Collection 收款",'Daily Sale entry '!S1115,0))</f>
        <v/>
      </c>
      <c r="F1115" s="37">
        <f>IF(C1115="","",B1115+IF(E1115&gt;0,0,0.5)+ROW()/10000000)</f>
        <v/>
      </c>
      <c r="G1115">
        <f>IF(C1115="","",'Daily Sale entry '!Q1115&amp;IF('Daily Sale entry '!Q1115="Collection 收款"," ("&amp;'Daily Sale entry '!R1115&amp;")","")&amp;IF('Daily Sale entry '!U1115="",""," - "&amp;'Daily Sale entry '!U1115))</f>
        <v/>
      </c>
      <c r="H1115">
        <f>IF(C1115="","",COUNTIFS($C$2:$C$3001,C1115,$F$2:$F$3001,"&lt;"&amp;F1115)+1)</f>
        <v/>
      </c>
      <c r="I1115">
        <f>IF(C1115="","",C1115&amp;"|"&amp;H1115)</f>
        <v/>
      </c>
      <c r="J1115" s="6">
        <f>IF(C1115="","",IF(H1115=1,SUMIFS('Opening Balance'!$F$4:$F$303,'Opening Balance'!$G$4:$G$303,C1115),INDEX($L$2:$L$3001,MATCH(C1115&amp;"|"&amp;(H1115-1),$I$2:$I$3001,0))))</f>
        <v/>
      </c>
      <c r="K1115" s="6">
        <f>IF(C1115="","",IF(M1115&gt;0,M1115,IF(AND(E1115&gt;0,ROUND(J1115+D1115-E1115,2)&gt;0,ROUND(J1115+D1115-E1115,2)&lt;'Opening Balance'!$B$14),ROUND(J1115+D1115-E1115,2),0)))</f>
        <v/>
      </c>
      <c r="L1115" s="6">
        <f>IF(C1115="","",ROUND(J1115+D1115-E1115-K1115,2))</f>
        <v/>
      </c>
      <c r="M1115" s="6">
        <f>IF(C1115="","",IF('Daily Sale entry '!Q1115="Collection 收款",ROUND(N('Daily Sale entry '!T1115),2),0))</f>
        <v/>
      </c>
    </row>
    <row r="1116">
      <c r="A1116" t="inlineStr">
        <is>
          <t>Entry 记录</t>
        </is>
      </c>
      <c r="B1116" s="5">
        <f>IF('Daily Sale entry '!P1116="","",'Daily Sale entry '!O1116)</f>
        <v/>
      </c>
      <c r="C1116">
        <f>IF('Daily Sale entry '!P1116="","",'Daily Sale entry '!P1116)</f>
        <v/>
      </c>
      <c r="D1116">
        <f>IF(C1116="","",IF('Daily Sale entry '!Q1116="Credit Sale 赊销",'Daily Sale entry '!S1116,0))</f>
        <v/>
      </c>
      <c r="E1116">
        <f>IF(C1116="","",IF('Daily Sale entry '!Q1116="Collection 收款",'Daily Sale entry '!S1116,0))</f>
        <v/>
      </c>
      <c r="F1116" s="37">
        <f>IF(C1116="","",B1116+IF(E1116&gt;0,0,0.5)+ROW()/10000000)</f>
        <v/>
      </c>
      <c r="G1116">
        <f>IF(C1116="","",'Daily Sale entry '!Q1116&amp;IF('Daily Sale entry '!Q1116="Collection 收款"," ("&amp;'Daily Sale entry '!R1116&amp;")","")&amp;IF('Daily Sale entry '!U1116="",""," - "&amp;'Daily Sale entry '!U1116))</f>
        <v/>
      </c>
      <c r="H1116">
        <f>IF(C1116="","",COUNTIFS($C$2:$C$3001,C1116,$F$2:$F$3001,"&lt;"&amp;F1116)+1)</f>
        <v/>
      </c>
      <c r="I1116">
        <f>IF(C1116="","",C1116&amp;"|"&amp;H1116)</f>
        <v/>
      </c>
      <c r="J1116" s="6">
        <f>IF(C1116="","",IF(H1116=1,SUMIFS('Opening Balance'!$F$4:$F$303,'Opening Balance'!$G$4:$G$303,C1116),INDEX($L$2:$L$3001,MATCH(C1116&amp;"|"&amp;(H1116-1),$I$2:$I$3001,0))))</f>
        <v/>
      </c>
      <c r="K1116" s="6">
        <f>IF(C1116="","",IF(M1116&gt;0,M1116,IF(AND(E1116&gt;0,ROUND(J1116+D1116-E1116,2)&gt;0,ROUND(J1116+D1116-E1116,2)&lt;'Opening Balance'!$B$14),ROUND(J1116+D1116-E1116,2),0)))</f>
        <v/>
      </c>
      <c r="L1116" s="6">
        <f>IF(C1116="","",ROUND(J1116+D1116-E1116-K1116,2))</f>
        <v/>
      </c>
      <c r="M1116" s="6">
        <f>IF(C1116="","",IF('Daily Sale entry '!Q1116="Collection 收款",ROUND(N('Daily Sale entry '!T1116),2),0))</f>
        <v/>
      </c>
    </row>
    <row r="1117">
      <c r="A1117" t="inlineStr">
        <is>
          <t>Entry 记录</t>
        </is>
      </c>
      <c r="B1117" s="5">
        <f>IF('Daily Sale entry '!P1117="","",'Daily Sale entry '!O1117)</f>
        <v/>
      </c>
      <c r="C1117">
        <f>IF('Daily Sale entry '!P1117="","",'Daily Sale entry '!P1117)</f>
        <v/>
      </c>
      <c r="D1117">
        <f>IF(C1117="","",IF('Daily Sale entry '!Q1117="Credit Sale 赊销",'Daily Sale entry '!S1117,0))</f>
        <v/>
      </c>
      <c r="E1117">
        <f>IF(C1117="","",IF('Daily Sale entry '!Q1117="Collection 收款",'Daily Sale entry '!S1117,0))</f>
        <v/>
      </c>
      <c r="F1117" s="37">
        <f>IF(C1117="","",B1117+IF(E1117&gt;0,0,0.5)+ROW()/10000000)</f>
        <v/>
      </c>
      <c r="G1117">
        <f>IF(C1117="","",'Daily Sale entry '!Q1117&amp;IF('Daily Sale entry '!Q1117="Collection 收款"," ("&amp;'Daily Sale entry '!R1117&amp;")","")&amp;IF('Daily Sale entry '!U1117="",""," - "&amp;'Daily Sale entry '!U1117))</f>
        <v/>
      </c>
      <c r="H1117">
        <f>IF(C1117="","",COUNTIFS($C$2:$C$3001,C1117,$F$2:$F$3001,"&lt;"&amp;F1117)+1)</f>
        <v/>
      </c>
      <c r="I1117">
        <f>IF(C1117="","",C1117&amp;"|"&amp;H1117)</f>
        <v/>
      </c>
      <c r="J1117" s="6">
        <f>IF(C1117="","",IF(H1117=1,SUMIFS('Opening Balance'!$F$4:$F$303,'Opening Balance'!$G$4:$G$303,C1117),INDEX($L$2:$L$3001,MATCH(C1117&amp;"|"&amp;(H1117-1),$I$2:$I$3001,0))))</f>
        <v/>
      </c>
      <c r="K1117" s="6">
        <f>IF(C1117="","",IF(M1117&gt;0,M1117,IF(AND(E1117&gt;0,ROUND(J1117+D1117-E1117,2)&gt;0,ROUND(J1117+D1117-E1117,2)&lt;'Opening Balance'!$B$14),ROUND(J1117+D1117-E1117,2),0)))</f>
        <v/>
      </c>
      <c r="L1117" s="6">
        <f>IF(C1117="","",ROUND(J1117+D1117-E1117-K1117,2))</f>
        <v/>
      </c>
      <c r="M1117" s="6">
        <f>IF(C1117="","",IF('Daily Sale entry '!Q1117="Collection 收款",ROUND(N('Daily Sale entry '!T1117),2),0))</f>
        <v/>
      </c>
    </row>
    <row r="1118">
      <c r="A1118" t="inlineStr">
        <is>
          <t>Entry 记录</t>
        </is>
      </c>
      <c r="B1118" s="5">
        <f>IF('Daily Sale entry '!P1118="","",'Daily Sale entry '!O1118)</f>
        <v/>
      </c>
      <c r="C1118">
        <f>IF('Daily Sale entry '!P1118="","",'Daily Sale entry '!P1118)</f>
        <v/>
      </c>
      <c r="D1118">
        <f>IF(C1118="","",IF('Daily Sale entry '!Q1118="Credit Sale 赊销",'Daily Sale entry '!S1118,0))</f>
        <v/>
      </c>
      <c r="E1118">
        <f>IF(C1118="","",IF('Daily Sale entry '!Q1118="Collection 收款",'Daily Sale entry '!S1118,0))</f>
        <v/>
      </c>
      <c r="F1118" s="37">
        <f>IF(C1118="","",B1118+IF(E1118&gt;0,0,0.5)+ROW()/10000000)</f>
        <v/>
      </c>
      <c r="G1118">
        <f>IF(C1118="","",'Daily Sale entry '!Q1118&amp;IF('Daily Sale entry '!Q1118="Collection 收款"," ("&amp;'Daily Sale entry '!R1118&amp;")","")&amp;IF('Daily Sale entry '!U1118="",""," - "&amp;'Daily Sale entry '!U1118))</f>
        <v/>
      </c>
      <c r="H1118">
        <f>IF(C1118="","",COUNTIFS($C$2:$C$3001,C1118,$F$2:$F$3001,"&lt;"&amp;F1118)+1)</f>
        <v/>
      </c>
      <c r="I1118">
        <f>IF(C1118="","",C1118&amp;"|"&amp;H1118)</f>
        <v/>
      </c>
      <c r="J1118" s="6">
        <f>IF(C1118="","",IF(H1118=1,SUMIFS('Opening Balance'!$F$4:$F$303,'Opening Balance'!$G$4:$G$303,C1118),INDEX($L$2:$L$3001,MATCH(C1118&amp;"|"&amp;(H1118-1),$I$2:$I$3001,0))))</f>
        <v/>
      </c>
      <c r="K1118" s="6">
        <f>IF(C1118="","",IF(M1118&gt;0,M1118,IF(AND(E1118&gt;0,ROUND(J1118+D1118-E1118,2)&gt;0,ROUND(J1118+D1118-E1118,2)&lt;'Opening Balance'!$B$14),ROUND(J1118+D1118-E1118,2),0)))</f>
        <v/>
      </c>
      <c r="L1118" s="6">
        <f>IF(C1118="","",ROUND(J1118+D1118-E1118-K1118,2))</f>
        <v/>
      </c>
      <c r="M1118" s="6">
        <f>IF(C1118="","",IF('Daily Sale entry '!Q1118="Collection 收款",ROUND(N('Daily Sale entry '!T1118),2),0))</f>
        <v/>
      </c>
    </row>
    <row r="1119">
      <c r="A1119" t="inlineStr">
        <is>
          <t>Entry 记录</t>
        </is>
      </c>
      <c r="B1119" s="5">
        <f>IF('Daily Sale entry '!P1119="","",'Daily Sale entry '!O1119)</f>
        <v/>
      </c>
      <c r="C1119">
        <f>IF('Daily Sale entry '!P1119="","",'Daily Sale entry '!P1119)</f>
        <v/>
      </c>
      <c r="D1119">
        <f>IF(C1119="","",IF('Daily Sale entry '!Q1119="Credit Sale 赊销",'Daily Sale entry '!S1119,0))</f>
        <v/>
      </c>
      <c r="E1119">
        <f>IF(C1119="","",IF('Daily Sale entry '!Q1119="Collection 收款",'Daily Sale entry '!S1119,0))</f>
        <v/>
      </c>
      <c r="F1119" s="37">
        <f>IF(C1119="","",B1119+IF(E1119&gt;0,0,0.5)+ROW()/10000000)</f>
        <v/>
      </c>
      <c r="G1119">
        <f>IF(C1119="","",'Daily Sale entry '!Q1119&amp;IF('Daily Sale entry '!Q1119="Collection 收款"," ("&amp;'Daily Sale entry '!R1119&amp;")","")&amp;IF('Daily Sale entry '!U1119="",""," - "&amp;'Daily Sale entry '!U1119))</f>
        <v/>
      </c>
      <c r="H1119">
        <f>IF(C1119="","",COUNTIFS($C$2:$C$3001,C1119,$F$2:$F$3001,"&lt;"&amp;F1119)+1)</f>
        <v/>
      </c>
      <c r="I1119">
        <f>IF(C1119="","",C1119&amp;"|"&amp;H1119)</f>
        <v/>
      </c>
      <c r="J1119" s="6">
        <f>IF(C1119="","",IF(H1119=1,SUMIFS('Opening Balance'!$F$4:$F$303,'Opening Balance'!$G$4:$G$303,C1119),INDEX($L$2:$L$3001,MATCH(C1119&amp;"|"&amp;(H1119-1),$I$2:$I$3001,0))))</f>
        <v/>
      </c>
      <c r="K1119" s="6">
        <f>IF(C1119="","",IF(M1119&gt;0,M1119,IF(AND(E1119&gt;0,ROUND(J1119+D1119-E1119,2)&gt;0,ROUND(J1119+D1119-E1119,2)&lt;'Opening Balance'!$B$14),ROUND(J1119+D1119-E1119,2),0)))</f>
        <v/>
      </c>
      <c r="L1119" s="6">
        <f>IF(C1119="","",ROUND(J1119+D1119-E1119-K1119,2))</f>
        <v/>
      </c>
      <c r="M1119" s="6">
        <f>IF(C1119="","",IF('Daily Sale entry '!Q1119="Collection 收款",ROUND(N('Daily Sale entry '!T1119),2),0))</f>
        <v/>
      </c>
    </row>
    <row r="1120">
      <c r="A1120" t="inlineStr">
        <is>
          <t>Entry 记录</t>
        </is>
      </c>
      <c r="B1120" s="5">
        <f>IF('Daily Sale entry '!P1120="","",'Daily Sale entry '!O1120)</f>
        <v/>
      </c>
      <c r="C1120">
        <f>IF('Daily Sale entry '!P1120="","",'Daily Sale entry '!P1120)</f>
        <v/>
      </c>
      <c r="D1120">
        <f>IF(C1120="","",IF('Daily Sale entry '!Q1120="Credit Sale 赊销",'Daily Sale entry '!S1120,0))</f>
        <v/>
      </c>
      <c r="E1120">
        <f>IF(C1120="","",IF('Daily Sale entry '!Q1120="Collection 收款",'Daily Sale entry '!S1120,0))</f>
        <v/>
      </c>
      <c r="F1120" s="37">
        <f>IF(C1120="","",B1120+IF(E1120&gt;0,0,0.5)+ROW()/10000000)</f>
        <v/>
      </c>
      <c r="G1120">
        <f>IF(C1120="","",'Daily Sale entry '!Q1120&amp;IF('Daily Sale entry '!Q1120="Collection 收款"," ("&amp;'Daily Sale entry '!R1120&amp;")","")&amp;IF('Daily Sale entry '!U1120="",""," - "&amp;'Daily Sale entry '!U1120))</f>
        <v/>
      </c>
      <c r="H1120">
        <f>IF(C1120="","",COUNTIFS($C$2:$C$3001,C1120,$F$2:$F$3001,"&lt;"&amp;F1120)+1)</f>
        <v/>
      </c>
      <c r="I1120">
        <f>IF(C1120="","",C1120&amp;"|"&amp;H1120)</f>
        <v/>
      </c>
      <c r="J1120" s="6">
        <f>IF(C1120="","",IF(H1120=1,SUMIFS('Opening Balance'!$F$4:$F$303,'Opening Balance'!$G$4:$G$303,C1120),INDEX($L$2:$L$3001,MATCH(C1120&amp;"|"&amp;(H1120-1),$I$2:$I$3001,0))))</f>
        <v/>
      </c>
      <c r="K1120" s="6">
        <f>IF(C1120="","",IF(M1120&gt;0,M1120,IF(AND(E1120&gt;0,ROUND(J1120+D1120-E1120,2)&gt;0,ROUND(J1120+D1120-E1120,2)&lt;'Opening Balance'!$B$14),ROUND(J1120+D1120-E1120,2),0)))</f>
        <v/>
      </c>
      <c r="L1120" s="6">
        <f>IF(C1120="","",ROUND(J1120+D1120-E1120-K1120,2))</f>
        <v/>
      </c>
      <c r="M1120" s="6">
        <f>IF(C1120="","",IF('Daily Sale entry '!Q1120="Collection 收款",ROUND(N('Daily Sale entry '!T1120),2),0))</f>
        <v/>
      </c>
    </row>
    <row r="1121">
      <c r="A1121" t="inlineStr">
        <is>
          <t>Entry 记录</t>
        </is>
      </c>
      <c r="B1121" s="5">
        <f>IF('Daily Sale entry '!P1121="","",'Daily Sale entry '!O1121)</f>
        <v/>
      </c>
      <c r="C1121">
        <f>IF('Daily Sale entry '!P1121="","",'Daily Sale entry '!P1121)</f>
        <v/>
      </c>
      <c r="D1121">
        <f>IF(C1121="","",IF('Daily Sale entry '!Q1121="Credit Sale 赊销",'Daily Sale entry '!S1121,0))</f>
        <v/>
      </c>
      <c r="E1121">
        <f>IF(C1121="","",IF('Daily Sale entry '!Q1121="Collection 收款",'Daily Sale entry '!S1121,0))</f>
        <v/>
      </c>
      <c r="F1121" s="37">
        <f>IF(C1121="","",B1121+IF(E1121&gt;0,0,0.5)+ROW()/10000000)</f>
        <v/>
      </c>
      <c r="G1121">
        <f>IF(C1121="","",'Daily Sale entry '!Q1121&amp;IF('Daily Sale entry '!Q1121="Collection 收款"," ("&amp;'Daily Sale entry '!R1121&amp;")","")&amp;IF('Daily Sale entry '!U1121="",""," - "&amp;'Daily Sale entry '!U1121))</f>
        <v/>
      </c>
      <c r="H1121">
        <f>IF(C1121="","",COUNTIFS($C$2:$C$3001,C1121,$F$2:$F$3001,"&lt;"&amp;F1121)+1)</f>
        <v/>
      </c>
      <c r="I1121">
        <f>IF(C1121="","",C1121&amp;"|"&amp;H1121)</f>
        <v/>
      </c>
      <c r="J1121" s="6">
        <f>IF(C1121="","",IF(H1121=1,SUMIFS('Opening Balance'!$F$4:$F$303,'Opening Balance'!$G$4:$G$303,C1121),INDEX($L$2:$L$3001,MATCH(C1121&amp;"|"&amp;(H1121-1),$I$2:$I$3001,0))))</f>
        <v/>
      </c>
      <c r="K1121" s="6">
        <f>IF(C1121="","",IF(M1121&gt;0,M1121,IF(AND(E1121&gt;0,ROUND(J1121+D1121-E1121,2)&gt;0,ROUND(J1121+D1121-E1121,2)&lt;'Opening Balance'!$B$14),ROUND(J1121+D1121-E1121,2),0)))</f>
        <v/>
      </c>
      <c r="L1121" s="6">
        <f>IF(C1121="","",ROUND(J1121+D1121-E1121-K1121,2))</f>
        <v/>
      </c>
      <c r="M1121" s="6">
        <f>IF(C1121="","",IF('Daily Sale entry '!Q1121="Collection 收款",ROUND(N('Daily Sale entry '!T1121),2),0))</f>
        <v/>
      </c>
    </row>
    <row r="1122">
      <c r="A1122" t="inlineStr">
        <is>
          <t>Entry 记录</t>
        </is>
      </c>
      <c r="B1122" s="5">
        <f>IF('Daily Sale entry '!P1122="","",'Daily Sale entry '!O1122)</f>
        <v/>
      </c>
      <c r="C1122">
        <f>IF('Daily Sale entry '!P1122="","",'Daily Sale entry '!P1122)</f>
        <v/>
      </c>
      <c r="D1122">
        <f>IF(C1122="","",IF('Daily Sale entry '!Q1122="Credit Sale 赊销",'Daily Sale entry '!S1122,0))</f>
        <v/>
      </c>
      <c r="E1122">
        <f>IF(C1122="","",IF('Daily Sale entry '!Q1122="Collection 收款",'Daily Sale entry '!S1122,0))</f>
        <v/>
      </c>
      <c r="F1122" s="37">
        <f>IF(C1122="","",B1122+IF(E1122&gt;0,0,0.5)+ROW()/10000000)</f>
        <v/>
      </c>
      <c r="G1122">
        <f>IF(C1122="","",'Daily Sale entry '!Q1122&amp;IF('Daily Sale entry '!Q1122="Collection 收款"," ("&amp;'Daily Sale entry '!R1122&amp;")","")&amp;IF('Daily Sale entry '!U1122="",""," - "&amp;'Daily Sale entry '!U1122))</f>
        <v/>
      </c>
      <c r="H1122">
        <f>IF(C1122="","",COUNTIFS($C$2:$C$3001,C1122,$F$2:$F$3001,"&lt;"&amp;F1122)+1)</f>
        <v/>
      </c>
      <c r="I1122">
        <f>IF(C1122="","",C1122&amp;"|"&amp;H1122)</f>
        <v/>
      </c>
      <c r="J1122" s="6">
        <f>IF(C1122="","",IF(H1122=1,SUMIFS('Opening Balance'!$F$4:$F$303,'Opening Balance'!$G$4:$G$303,C1122),INDEX($L$2:$L$3001,MATCH(C1122&amp;"|"&amp;(H1122-1),$I$2:$I$3001,0))))</f>
        <v/>
      </c>
      <c r="K1122" s="6">
        <f>IF(C1122="","",IF(M1122&gt;0,M1122,IF(AND(E1122&gt;0,ROUND(J1122+D1122-E1122,2)&gt;0,ROUND(J1122+D1122-E1122,2)&lt;'Opening Balance'!$B$14),ROUND(J1122+D1122-E1122,2),0)))</f>
        <v/>
      </c>
      <c r="L1122" s="6">
        <f>IF(C1122="","",ROUND(J1122+D1122-E1122-K1122,2))</f>
        <v/>
      </c>
      <c r="M1122" s="6">
        <f>IF(C1122="","",IF('Daily Sale entry '!Q1122="Collection 收款",ROUND(N('Daily Sale entry '!T1122),2),0))</f>
        <v/>
      </c>
    </row>
    <row r="1123">
      <c r="A1123" t="inlineStr">
        <is>
          <t>Entry 记录</t>
        </is>
      </c>
      <c r="B1123" s="5">
        <f>IF('Daily Sale entry '!P1123="","",'Daily Sale entry '!O1123)</f>
        <v/>
      </c>
      <c r="C1123">
        <f>IF('Daily Sale entry '!P1123="","",'Daily Sale entry '!P1123)</f>
        <v/>
      </c>
      <c r="D1123">
        <f>IF(C1123="","",IF('Daily Sale entry '!Q1123="Credit Sale 赊销",'Daily Sale entry '!S1123,0))</f>
        <v/>
      </c>
      <c r="E1123">
        <f>IF(C1123="","",IF('Daily Sale entry '!Q1123="Collection 收款",'Daily Sale entry '!S1123,0))</f>
        <v/>
      </c>
      <c r="F1123" s="37">
        <f>IF(C1123="","",B1123+IF(E1123&gt;0,0,0.5)+ROW()/10000000)</f>
        <v/>
      </c>
      <c r="G1123">
        <f>IF(C1123="","",'Daily Sale entry '!Q1123&amp;IF('Daily Sale entry '!Q1123="Collection 收款"," ("&amp;'Daily Sale entry '!R1123&amp;")","")&amp;IF('Daily Sale entry '!U1123="",""," - "&amp;'Daily Sale entry '!U1123))</f>
        <v/>
      </c>
      <c r="H1123">
        <f>IF(C1123="","",COUNTIFS($C$2:$C$3001,C1123,$F$2:$F$3001,"&lt;"&amp;F1123)+1)</f>
        <v/>
      </c>
      <c r="I1123">
        <f>IF(C1123="","",C1123&amp;"|"&amp;H1123)</f>
        <v/>
      </c>
      <c r="J1123" s="6">
        <f>IF(C1123="","",IF(H1123=1,SUMIFS('Opening Balance'!$F$4:$F$303,'Opening Balance'!$G$4:$G$303,C1123),INDEX($L$2:$L$3001,MATCH(C1123&amp;"|"&amp;(H1123-1),$I$2:$I$3001,0))))</f>
        <v/>
      </c>
      <c r="K1123" s="6">
        <f>IF(C1123="","",IF(M1123&gt;0,M1123,IF(AND(E1123&gt;0,ROUND(J1123+D1123-E1123,2)&gt;0,ROUND(J1123+D1123-E1123,2)&lt;'Opening Balance'!$B$14),ROUND(J1123+D1123-E1123,2),0)))</f>
        <v/>
      </c>
      <c r="L1123" s="6">
        <f>IF(C1123="","",ROUND(J1123+D1123-E1123-K1123,2))</f>
        <v/>
      </c>
      <c r="M1123" s="6">
        <f>IF(C1123="","",IF('Daily Sale entry '!Q1123="Collection 收款",ROUND(N('Daily Sale entry '!T1123),2),0))</f>
        <v/>
      </c>
    </row>
    <row r="1124">
      <c r="A1124" t="inlineStr">
        <is>
          <t>Entry 记录</t>
        </is>
      </c>
      <c r="B1124" s="5">
        <f>IF('Daily Sale entry '!P1124="","",'Daily Sale entry '!O1124)</f>
        <v/>
      </c>
      <c r="C1124">
        <f>IF('Daily Sale entry '!P1124="","",'Daily Sale entry '!P1124)</f>
        <v/>
      </c>
      <c r="D1124">
        <f>IF(C1124="","",IF('Daily Sale entry '!Q1124="Credit Sale 赊销",'Daily Sale entry '!S1124,0))</f>
        <v/>
      </c>
      <c r="E1124">
        <f>IF(C1124="","",IF('Daily Sale entry '!Q1124="Collection 收款",'Daily Sale entry '!S1124,0))</f>
        <v/>
      </c>
      <c r="F1124" s="37">
        <f>IF(C1124="","",B1124+IF(E1124&gt;0,0,0.5)+ROW()/10000000)</f>
        <v/>
      </c>
      <c r="G1124">
        <f>IF(C1124="","",'Daily Sale entry '!Q1124&amp;IF('Daily Sale entry '!Q1124="Collection 收款"," ("&amp;'Daily Sale entry '!R1124&amp;")","")&amp;IF('Daily Sale entry '!U1124="",""," - "&amp;'Daily Sale entry '!U1124))</f>
        <v/>
      </c>
      <c r="H1124">
        <f>IF(C1124="","",COUNTIFS($C$2:$C$3001,C1124,$F$2:$F$3001,"&lt;"&amp;F1124)+1)</f>
        <v/>
      </c>
      <c r="I1124">
        <f>IF(C1124="","",C1124&amp;"|"&amp;H1124)</f>
        <v/>
      </c>
      <c r="J1124" s="6">
        <f>IF(C1124="","",IF(H1124=1,SUMIFS('Opening Balance'!$F$4:$F$303,'Opening Balance'!$G$4:$G$303,C1124),INDEX($L$2:$L$3001,MATCH(C1124&amp;"|"&amp;(H1124-1),$I$2:$I$3001,0))))</f>
        <v/>
      </c>
      <c r="K1124" s="6">
        <f>IF(C1124="","",IF(M1124&gt;0,M1124,IF(AND(E1124&gt;0,ROUND(J1124+D1124-E1124,2)&gt;0,ROUND(J1124+D1124-E1124,2)&lt;'Opening Balance'!$B$14),ROUND(J1124+D1124-E1124,2),0)))</f>
        <v/>
      </c>
      <c r="L1124" s="6">
        <f>IF(C1124="","",ROUND(J1124+D1124-E1124-K1124,2))</f>
        <v/>
      </c>
      <c r="M1124" s="6">
        <f>IF(C1124="","",IF('Daily Sale entry '!Q1124="Collection 收款",ROUND(N('Daily Sale entry '!T1124),2),0))</f>
        <v/>
      </c>
    </row>
    <row r="1125">
      <c r="A1125" t="inlineStr">
        <is>
          <t>Entry 记录</t>
        </is>
      </c>
      <c r="B1125" s="5">
        <f>IF('Daily Sale entry '!P1125="","",'Daily Sale entry '!O1125)</f>
        <v/>
      </c>
      <c r="C1125">
        <f>IF('Daily Sale entry '!P1125="","",'Daily Sale entry '!P1125)</f>
        <v/>
      </c>
      <c r="D1125">
        <f>IF(C1125="","",IF('Daily Sale entry '!Q1125="Credit Sale 赊销",'Daily Sale entry '!S1125,0))</f>
        <v/>
      </c>
      <c r="E1125">
        <f>IF(C1125="","",IF('Daily Sale entry '!Q1125="Collection 收款",'Daily Sale entry '!S1125,0))</f>
        <v/>
      </c>
      <c r="F1125" s="37">
        <f>IF(C1125="","",B1125+IF(E1125&gt;0,0,0.5)+ROW()/10000000)</f>
        <v/>
      </c>
      <c r="G1125">
        <f>IF(C1125="","",'Daily Sale entry '!Q1125&amp;IF('Daily Sale entry '!Q1125="Collection 收款"," ("&amp;'Daily Sale entry '!R1125&amp;")","")&amp;IF('Daily Sale entry '!U1125="",""," - "&amp;'Daily Sale entry '!U1125))</f>
        <v/>
      </c>
      <c r="H1125">
        <f>IF(C1125="","",COUNTIFS($C$2:$C$3001,C1125,$F$2:$F$3001,"&lt;"&amp;F1125)+1)</f>
        <v/>
      </c>
      <c r="I1125">
        <f>IF(C1125="","",C1125&amp;"|"&amp;H1125)</f>
        <v/>
      </c>
      <c r="J1125" s="6">
        <f>IF(C1125="","",IF(H1125=1,SUMIFS('Opening Balance'!$F$4:$F$303,'Opening Balance'!$G$4:$G$303,C1125),INDEX($L$2:$L$3001,MATCH(C1125&amp;"|"&amp;(H1125-1),$I$2:$I$3001,0))))</f>
        <v/>
      </c>
      <c r="K1125" s="6">
        <f>IF(C1125="","",IF(M1125&gt;0,M1125,IF(AND(E1125&gt;0,ROUND(J1125+D1125-E1125,2)&gt;0,ROUND(J1125+D1125-E1125,2)&lt;'Opening Balance'!$B$14),ROUND(J1125+D1125-E1125,2),0)))</f>
        <v/>
      </c>
      <c r="L1125" s="6">
        <f>IF(C1125="","",ROUND(J1125+D1125-E1125-K1125,2))</f>
        <v/>
      </c>
      <c r="M1125" s="6">
        <f>IF(C1125="","",IF('Daily Sale entry '!Q1125="Collection 收款",ROUND(N('Daily Sale entry '!T1125),2),0))</f>
        <v/>
      </c>
    </row>
    <row r="1126">
      <c r="A1126" t="inlineStr">
        <is>
          <t>Entry 记录</t>
        </is>
      </c>
      <c r="B1126" s="5">
        <f>IF('Daily Sale entry '!P1126="","",'Daily Sale entry '!O1126)</f>
        <v/>
      </c>
      <c r="C1126">
        <f>IF('Daily Sale entry '!P1126="","",'Daily Sale entry '!P1126)</f>
        <v/>
      </c>
      <c r="D1126">
        <f>IF(C1126="","",IF('Daily Sale entry '!Q1126="Credit Sale 赊销",'Daily Sale entry '!S1126,0))</f>
        <v/>
      </c>
      <c r="E1126">
        <f>IF(C1126="","",IF('Daily Sale entry '!Q1126="Collection 收款",'Daily Sale entry '!S1126,0))</f>
        <v/>
      </c>
      <c r="F1126" s="37">
        <f>IF(C1126="","",B1126+IF(E1126&gt;0,0,0.5)+ROW()/10000000)</f>
        <v/>
      </c>
      <c r="G1126">
        <f>IF(C1126="","",'Daily Sale entry '!Q1126&amp;IF('Daily Sale entry '!Q1126="Collection 收款"," ("&amp;'Daily Sale entry '!R1126&amp;")","")&amp;IF('Daily Sale entry '!U1126="",""," - "&amp;'Daily Sale entry '!U1126))</f>
        <v/>
      </c>
      <c r="H1126">
        <f>IF(C1126="","",COUNTIFS($C$2:$C$3001,C1126,$F$2:$F$3001,"&lt;"&amp;F1126)+1)</f>
        <v/>
      </c>
      <c r="I1126">
        <f>IF(C1126="","",C1126&amp;"|"&amp;H1126)</f>
        <v/>
      </c>
      <c r="J1126" s="6">
        <f>IF(C1126="","",IF(H1126=1,SUMIFS('Opening Balance'!$F$4:$F$303,'Opening Balance'!$G$4:$G$303,C1126),INDEX($L$2:$L$3001,MATCH(C1126&amp;"|"&amp;(H1126-1),$I$2:$I$3001,0))))</f>
        <v/>
      </c>
      <c r="K1126" s="6">
        <f>IF(C1126="","",IF(M1126&gt;0,M1126,IF(AND(E1126&gt;0,ROUND(J1126+D1126-E1126,2)&gt;0,ROUND(J1126+D1126-E1126,2)&lt;'Opening Balance'!$B$14),ROUND(J1126+D1126-E1126,2),0)))</f>
        <v/>
      </c>
      <c r="L1126" s="6">
        <f>IF(C1126="","",ROUND(J1126+D1126-E1126-K1126,2))</f>
        <v/>
      </c>
      <c r="M1126" s="6">
        <f>IF(C1126="","",IF('Daily Sale entry '!Q1126="Collection 收款",ROUND(N('Daily Sale entry '!T1126),2),0))</f>
        <v/>
      </c>
    </row>
    <row r="1127">
      <c r="A1127" t="inlineStr">
        <is>
          <t>Entry 记录</t>
        </is>
      </c>
      <c r="B1127" s="5">
        <f>IF('Daily Sale entry '!P1127="","",'Daily Sale entry '!O1127)</f>
        <v/>
      </c>
      <c r="C1127">
        <f>IF('Daily Sale entry '!P1127="","",'Daily Sale entry '!P1127)</f>
        <v/>
      </c>
      <c r="D1127">
        <f>IF(C1127="","",IF('Daily Sale entry '!Q1127="Credit Sale 赊销",'Daily Sale entry '!S1127,0))</f>
        <v/>
      </c>
      <c r="E1127">
        <f>IF(C1127="","",IF('Daily Sale entry '!Q1127="Collection 收款",'Daily Sale entry '!S1127,0))</f>
        <v/>
      </c>
      <c r="F1127" s="37">
        <f>IF(C1127="","",B1127+IF(E1127&gt;0,0,0.5)+ROW()/10000000)</f>
        <v/>
      </c>
      <c r="G1127">
        <f>IF(C1127="","",'Daily Sale entry '!Q1127&amp;IF('Daily Sale entry '!Q1127="Collection 收款"," ("&amp;'Daily Sale entry '!R1127&amp;")","")&amp;IF('Daily Sale entry '!U1127="",""," - "&amp;'Daily Sale entry '!U1127))</f>
        <v/>
      </c>
      <c r="H1127">
        <f>IF(C1127="","",COUNTIFS($C$2:$C$3001,C1127,$F$2:$F$3001,"&lt;"&amp;F1127)+1)</f>
        <v/>
      </c>
      <c r="I1127">
        <f>IF(C1127="","",C1127&amp;"|"&amp;H1127)</f>
        <v/>
      </c>
      <c r="J1127" s="6">
        <f>IF(C1127="","",IF(H1127=1,SUMIFS('Opening Balance'!$F$4:$F$303,'Opening Balance'!$G$4:$G$303,C1127),INDEX($L$2:$L$3001,MATCH(C1127&amp;"|"&amp;(H1127-1),$I$2:$I$3001,0))))</f>
        <v/>
      </c>
      <c r="K1127" s="6">
        <f>IF(C1127="","",IF(M1127&gt;0,M1127,IF(AND(E1127&gt;0,ROUND(J1127+D1127-E1127,2)&gt;0,ROUND(J1127+D1127-E1127,2)&lt;'Opening Balance'!$B$14),ROUND(J1127+D1127-E1127,2),0)))</f>
        <v/>
      </c>
      <c r="L1127" s="6">
        <f>IF(C1127="","",ROUND(J1127+D1127-E1127-K1127,2))</f>
        <v/>
      </c>
      <c r="M1127" s="6">
        <f>IF(C1127="","",IF('Daily Sale entry '!Q1127="Collection 收款",ROUND(N('Daily Sale entry '!T1127),2),0))</f>
        <v/>
      </c>
    </row>
    <row r="1128">
      <c r="A1128" t="inlineStr">
        <is>
          <t>Entry 记录</t>
        </is>
      </c>
      <c r="B1128" s="5">
        <f>IF('Daily Sale entry '!P1128="","",'Daily Sale entry '!O1128)</f>
        <v/>
      </c>
      <c r="C1128">
        <f>IF('Daily Sale entry '!P1128="","",'Daily Sale entry '!P1128)</f>
        <v/>
      </c>
      <c r="D1128">
        <f>IF(C1128="","",IF('Daily Sale entry '!Q1128="Credit Sale 赊销",'Daily Sale entry '!S1128,0))</f>
        <v/>
      </c>
      <c r="E1128">
        <f>IF(C1128="","",IF('Daily Sale entry '!Q1128="Collection 收款",'Daily Sale entry '!S1128,0))</f>
        <v/>
      </c>
      <c r="F1128" s="37">
        <f>IF(C1128="","",B1128+IF(E1128&gt;0,0,0.5)+ROW()/10000000)</f>
        <v/>
      </c>
      <c r="G1128">
        <f>IF(C1128="","",'Daily Sale entry '!Q1128&amp;IF('Daily Sale entry '!Q1128="Collection 收款"," ("&amp;'Daily Sale entry '!R1128&amp;")","")&amp;IF('Daily Sale entry '!U1128="",""," - "&amp;'Daily Sale entry '!U1128))</f>
        <v/>
      </c>
      <c r="H1128">
        <f>IF(C1128="","",COUNTIFS($C$2:$C$3001,C1128,$F$2:$F$3001,"&lt;"&amp;F1128)+1)</f>
        <v/>
      </c>
      <c r="I1128">
        <f>IF(C1128="","",C1128&amp;"|"&amp;H1128)</f>
        <v/>
      </c>
      <c r="J1128" s="6">
        <f>IF(C1128="","",IF(H1128=1,SUMIFS('Opening Balance'!$F$4:$F$303,'Opening Balance'!$G$4:$G$303,C1128),INDEX($L$2:$L$3001,MATCH(C1128&amp;"|"&amp;(H1128-1),$I$2:$I$3001,0))))</f>
        <v/>
      </c>
      <c r="K1128" s="6">
        <f>IF(C1128="","",IF(M1128&gt;0,M1128,IF(AND(E1128&gt;0,ROUND(J1128+D1128-E1128,2)&gt;0,ROUND(J1128+D1128-E1128,2)&lt;'Opening Balance'!$B$14),ROUND(J1128+D1128-E1128,2),0)))</f>
        <v/>
      </c>
      <c r="L1128" s="6">
        <f>IF(C1128="","",ROUND(J1128+D1128-E1128-K1128,2))</f>
        <v/>
      </c>
      <c r="M1128" s="6">
        <f>IF(C1128="","",IF('Daily Sale entry '!Q1128="Collection 收款",ROUND(N('Daily Sale entry '!T1128),2),0))</f>
        <v/>
      </c>
    </row>
    <row r="1129">
      <c r="A1129" t="inlineStr">
        <is>
          <t>Entry 记录</t>
        </is>
      </c>
      <c r="B1129" s="5">
        <f>IF('Daily Sale entry '!P1129="","",'Daily Sale entry '!O1129)</f>
        <v/>
      </c>
      <c r="C1129">
        <f>IF('Daily Sale entry '!P1129="","",'Daily Sale entry '!P1129)</f>
        <v/>
      </c>
      <c r="D1129">
        <f>IF(C1129="","",IF('Daily Sale entry '!Q1129="Credit Sale 赊销",'Daily Sale entry '!S1129,0))</f>
        <v/>
      </c>
      <c r="E1129">
        <f>IF(C1129="","",IF('Daily Sale entry '!Q1129="Collection 收款",'Daily Sale entry '!S1129,0))</f>
        <v/>
      </c>
      <c r="F1129" s="37">
        <f>IF(C1129="","",B1129+IF(E1129&gt;0,0,0.5)+ROW()/10000000)</f>
        <v/>
      </c>
      <c r="G1129">
        <f>IF(C1129="","",'Daily Sale entry '!Q1129&amp;IF('Daily Sale entry '!Q1129="Collection 收款"," ("&amp;'Daily Sale entry '!R1129&amp;")","")&amp;IF('Daily Sale entry '!U1129="",""," - "&amp;'Daily Sale entry '!U1129))</f>
        <v/>
      </c>
      <c r="H1129">
        <f>IF(C1129="","",COUNTIFS($C$2:$C$3001,C1129,$F$2:$F$3001,"&lt;"&amp;F1129)+1)</f>
        <v/>
      </c>
      <c r="I1129">
        <f>IF(C1129="","",C1129&amp;"|"&amp;H1129)</f>
        <v/>
      </c>
      <c r="J1129" s="6">
        <f>IF(C1129="","",IF(H1129=1,SUMIFS('Opening Balance'!$F$4:$F$303,'Opening Balance'!$G$4:$G$303,C1129),INDEX($L$2:$L$3001,MATCH(C1129&amp;"|"&amp;(H1129-1),$I$2:$I$3001,0))))</f>
        <v/>
      </c>
      <c r="K1129" s="6">
        <f>IF(C1129="","",IF(M1129&gt;0,M1129,IF(AND(E1129&gt;0,ROUND(J1129+D1129-E1129,2)&gt;0,ROUND(J1129+D1129-E1129,2)&lt;'Opening Balance'!$B$14),ROUND(J1129+D1129-E1129,2),0)))</f>
        <v/>
      </c>
      <c r="L1129" s="6">
        <f>IF(C1129="","",ROUND(J1129+D1129-E1129-K1129,2))</f>
        <v/>
      </c>
      <c r="M1129" s="6">
        <f>IF(C1129="","",IF('Daily Sale entry '!Q1129="Collection 收款",ROUND(N('Daily Sale entry '!T1129),2),0))</f>
        <v/>
      </c>
    </row>
    <row r="1130">
      <c r="A1130" t="inlineStr">
        <is>
          <t>Entry 记录</t>
        </is>
      </c>
      <c r="B1130" s="5">
        <f>IF('Daily Sale entry '!P1130="","",'Daily Sale entry '!O1130)</f>
        <v/>
      </c>
      <c r="C1130">
        <f>IF('Daily Sale entry '!P1130="","",'Daily Sale entry '!P1130)</f>
        <v/>
      </c>
      <c r="D1130">
        <f>IF(C1130="","",IF('Daily Sale entry '!Q1130="Credit Sale 赊销",'Daily Sale entry '!S1130,0))</f>
        <v/>
      </c>
      <c r="E1130">
        <f>IF(C1130="","",IF('Daily Sale entry '!Q1130="Collection 收款",'Daily Sale entry '!S1130,0))</f>
        <v/>
      </c>
      <c r="F1130" s="37">
        <f>IF(C1130="","",B1130+IF(E1130&gt;0,0,0.5)+ROW()/10000000)</f>
        <v/>
      </c>
      <c r="G1130">
        <f>IF(C1130="","",'Daily Sale entry '!Q1130&amp;IF('Daily Sale entry '!Q1130="Collection 收款"," ("&amp;'Daily Sale entry '!R1130&amp;")","")&amp;IF('Daily Sale entry '!U1130="",""," - "&amp;'Daily Sale entry '!U1130))</f>
        <v/>
      </c>
      <c r="H1130">
        <f>IF(C1130="","",COUNTIFS($C$2:$C$3001,C1130,$F$2:$F$3001,"&lt;"&amp;F1130)+1)</f>
        <v/>
      </c>
      <c r="I1130">
        <f>IF(C1130="","",C1130&amp;"|"&amp;H1130)</f>
        <v/>
      </c>
      <c r="J1130" s="6">
        <f>IF(C1130="","",IF(H1130=1,SUMIFS('Opening Balance'!$F$4:$F$303,'Opening Balance'!$G$4:$G$303,C1130),INDEX($L$2:$L$3001,MATCH(C1130&amp;"|"&amp;(H1130-1),$I$2:$I$3001,0))))</f>
        <v/>
      </c>
      <c r="K1130" s="6">
        <f>IF(C1130="","",IF(M1130&gt;0,M1130,IF(AND(E1130&gt;0,ROUND(J1130+D1130-E1130,2)&gt;0,ROUND(J1130+D1130-E1130,2)&lt;'Opening Balance'!$B$14),ROUND(J1130+D1130-E1130,2),0)))</f>
        <v/>
      </c>
      <c r="L1130" s="6">
        <f>IF(C1130="","",ROUND(J1130+D1130-E1130-K1130,2))</f>
        <v/>
      </c>
      <c r="M1130" s="6">
        <f>IF(C1130="","",IF('Daily Sale entry '!Q1130="Collection 收款",ROUND(N('Daily Sale entry '!T1130),2),0))</f>
        <v/>
      </c>
    </row>
    <row r="1131">
      <c r="A1131" t="inlineStr">
        <is>
          <t>Entry 记录</t>
        </is>
      </c>
      <c r="B1131" s="5">
        <f>IF('Daily Sale entry '!P1131="","",'Daily Sale entry '!O1131)</f>
        <v/>
      </c>
      <c r="C1131">
        <f>IF('Daily Sale entry '!P1131="","",'Daily Sale entry '!P1131)</f>
        <v/>
      </c>
      <c r="D1131">
        <f>IF(C1131="","",IF('Daily Sale entry '!Q1131="Credit Sale 赊销",'Daily Sale entry '!S1131,0))</f>
        <v/>
      </c>
      <c r="E1131">
        <f>IF(C1131="","",IF('Daily Sale entry '!Q1131="Collection 收款",'Daily Sale entry '!S1131,0))</f>
        <v/>
      </c>
      <c r="F1131" s="37">
        <f>IF(C1131="","",B1131+IF(E1131&gt;0,0,0.5)+ROW()/10000000)</f>
        <v/>
      </c>
      <c r="G1131">
        <f>IF(C1131="","",'Daily Sale entry '!Q1131&amp;IF('Daily Sale entry '!Q1131="Collection 收款"," ("&amp;'Daily Sale entry '!R1131&amp;")","")&amp;IF('Daily Sale entry '!U1131="",""," - "&amp;'Daily Sale entry '!U1131))</f>
        <v/>
      </c>
      <c r="H1131">
        <f>IF(C1131="","",COUNTIFS($C$2:$C$3001,C1131,$F$2:$F$3001,"&lt;"&amp;F1131)+1)</f>
        <v/>
      </c>
      <c r="I1131">
        <f>IF(C1131="","",C1131&amp;"|"&amp;H1131)</f>
        <v/>
      </c>
      <c r="J1131" s="6">
        <f>IF(C1131="","",IF(H1131=1,SUMIFS('Opening Balance'!$F$4:$F$303,'Opening Balance'!$G$4:$G$303,C1131),INDEX($L$2:$L$3001,MATCH(C1131&amp;"|"&amp;(H1131-1),$I$2:$I$3001,0))))</f>
        <v/>
      </c>
      <c r="K1131" s="6">
        <f>IF(C1131="","",IF(M1131&gt;0,M1131,IF(AND(E1131&gt;0,ROUND(J1131+D1131-E1131,2)&gt;0,ROUND(J1131+D1131-E1131,2)&lt;'Opening Balance'!$B$14),ROUND(J1131+D1131-E1131,2),0)))</f>
        <v/>
      </c>
      <c r="L1131" s="6">
        <f>IF(C1131="","",ROUND(J1131+D1131-E1131-K1131,2))</f>
        <v/>
      </c>
      <c r="M1131" s="6">
        <f>IF(C1131="","",IF('Daily Sale entry '!Q1131="Collection 收款",ROUND(N('Daily Sale entry '!T1131),2),0))</f>
        <v/>
      </c>
    </row>
    <row r="1132">
      <c r="A1132" t="inlineStr">
        <is>
          <t>Entry 记录</t>
        </is>
      </c>
      <c r="B1132" s="5">
        <f>IF('Daily Sale entry '!P1132="","",'Daily Sale entry '!O1132)</f>
        <v/>
      </c>
      <c r="C1132">
        <f>IF('Daily Sale entry '!P1132="","",'Daily Sale entry '!P1132)</f>
        <v/>
      </c>
      <c r="D1132">
        <f>IF(C1132="","",IF('Daily Sale entry '!Q1132="Credit Sale 赊销",'Daily Sale entry '!S1132,0))</f>
        <v/>
      </c>
      <c r="E1132">
        <f>IF(C1132="","",IF('Daily Sale entry '!Q1132="Collection 收款",'Daily Sale entry '!S1132,0))</f>
        <v/>
      </c>
      <c r="F1132" s="37">
        <f>IF(C1132="","",B1132+IF(E1132&gt;0,0,0.5)+ROW()/10000000)</f>
        <v/>
      </c>
      <c r="G1132">
        <f>IF(C1132="","",'Daily Sale entry '!Q1132&amp;IF('Daily Sale entry '!Q1132="Collection 收款"," ("&amp;'Daily Sale entry '!R1132&amp;")","")&amp;IF('Daily Sale entry '!U1132="",""," - "&amp;'Daily Sale entry '!U1132))</f>
        <v/>
      </c>
      <c r="H1132">
        <f>IF(C1132="","",COUNTIFS($C$2:$C$3001,C1132,$F$2:$F$3001,"&lt;"&amp;F1132)+1)</f>
        <v/>
      </c>
      <c r="I1132">
        <f>IF(C1132="","",C1132&amp;"|"&amp;H1132)</f>
        <v/>
      </c>
      <c r="J1132" s="6">
        <f>IF(C1132="","",IF(H1132=1,SUMIFS('Opening Balance'!$F$4:$F$303,'Opening Balance'!$G$4:$G$303,C1132),INDEX($L$2:$L$3001,MATCH(C1132&amp;"|"&amp;(H1132-1),$I$2:$I$3001,0))))</f>
        <v/>
      </c>
      <c r="K1132" s="6">
        <f>IF(C1132="","",IF(M1132&gt;0,M1132,IF(AND(E1132&gt;0,ROUND(J1132+D1132-E1132,2)&gt;0,ROUND(J1132+D1132-E1132,2)&lt;'Opening Balance'!$B$14),ROUND(J1132+D1132-E1132,2),0)))</f>
        <v/>
      </c>
      <c r="L1132" s="6">
        <f>IF(C1132="","",ROUND(J1132+D1132-E1132-K1132,2))</f>
        <v/>
      </c>
      <c r="M1132" s="6">
        <f>IF(C1132="","",IF('Daily Sale entry '!Q1132="Collection 收款",ROUND(N('Daily Sale entry '!T1132),2),0))</f>
        <v/>
      </c>
    </row>
    <row r="1133">
      <c r="A1133" t="inlineStr">
        <is>
          <t>Entry 记录</t>
        </is>
      </c>
      <c r="B1133" s="5">
        <f>IF('Daily Sale entry '!P1133="","",'Daily Sale entry '!O1133)</f>
        <v/>
      </c>
      <c r="C1133">
        <f>IF('Daily Sale entry '!P1133="","",'Daily Sale entry '!P1133)</f>
        <v/>
      </c>
      <c r="D1133">
        <f>IF(C1133="","",IF('Daily Sale entry '!Q1133="Credit Sale 赊销",'Daily Sale entry '!S1133,0))</f>
        <v/>
      </c>
      <c r="E1133">
        <f>IF(C1133="","",IF('Daily Sale entry '!Q1133="Collection 收款",'Daily Sale entry '!S1133,0))</f>
        <v/>
      </c>
      <c r="F1133" s="37">
        <f>IF(C1133="","",B1133+IF(E1133&gt;0,0,0.5)+ROW()/10000000)</f>
        <v/>
      </c>
      <c r="G1133">
        <f>IF(C1133="","",'Daily Sale entry '!Q1133&amp;IF('Daily Sale entry '!Q1133="Collection 收款"," ("&amp;'Daily Sale entry '!R1133&amp;")","")&amp;IF('Daily Sale entry '!U1133="",""," - "&amp;'Daily Sale entry '!U1133))</f>
        <v/>
      </c>
      <c r="H1133">
        <f>IF(C1133="","",COUNTIFS($C$2:$C$3001,C1133,$F$2:$F$3001,"&lt;"&amp;F1133)+1)</f>
        <v/>
      </c>
      <c r="I1133">
        <f>IF(C1133="","",C1133&amp;"|"&amp;H1133)</f>
        <v/>
      </c>
      <c r="J1133" s="6">
        <f>IF(C1133="","",IF(H1133=1,SUMIFS('Opening Balance'!$F$4:$F$303,'Opening Balance'!$G$4:$G$303,C1133),INDEX($L$2:$L$3001,MATCH(C1133&amp;"|"&amp;(H1133-1),$I$2:$I$3001,0))))</f>
        <v/>
      </c>
      <c r="K1133" s="6">
        <f>IF(C1133="","",IF(M1133&gt;0,M1133,IF(AND(E1133&gt;0,ROUND(J1133+D1133-E1133,2)&gt;0,ROUND(J1133+D1133-E1133,2)&lt;'Opening Balance'!$B$14),ROUND(J1133+D1133-E1133,2),0)))</f>
        <v/>
      </c>
      <c r="L1133" s="6">
        <f>IF(C1133="","",ROUND(J1133+D1133-E1133-K1133,2))</f>
        <v/>
      </c>
      <c r="M1133" s="6">
        <f>IF(C1133="","",IF('Daily Sale entry '!Q1133="Collection 收款",ROUND(N('Daily Sale entry '!T1133),2),0))</f>
        <v/>
      </c>
    </row>
    <row r="1134">
      <c r="A1134" t="inlineStr">
        <is>
          <t>Entry 记录</t>
        </is>
      </c>
      <c r="B1134" s="5">
        <f>IF('Daily Sale entry '!P1134="","",'Daily Sale entry '!O1134)</f>
        <v/>
      </c>
      <c r="C1134">
        <f>IF('Daily Sale entry '!P1134="","",'Daily Sale entry '!P1134)</f>
        <v/>
      </c>
      <c r="D1134">
        <f>IF(C1134="","",IF('Daily Sale entry '!Q1134="Credit Sale 赊销",'Daily Sale entry '!S1134,0))</f>
        <v/>
      </c>
      <c r="E1134">
        <f>IF(C1134="","",IF('Daily Sale entry '!Q1134="Collection 收款",'Daily Sale entry '!S1134,0))</f>
        <v/>
      </c>
      <c r="F1134" s="37">
        <f>IF(C1134="","",B1134+IF(E1134&gt;0,0,0.5)+ROW()/10000000)</f>
        <v/>
      </c>
      <c r="G1134">
        <f>IF(C1134="","",'Daily Sale entry '!Q1134&amp;IF('Daily Sale entry '!Q1134="Collection 收款"," ("&amp;'Daily Sale entry '!R1134&amp;")","")&amp;IF('Daily Sale entry '!U1134="",""," - "&amp;'Daily Sale entry '!U1134))</f>
        <v/>
      </c>
      <c r="H1134">
        <f>IF(C1134="","",COUNTIFS($C$2:$C$3001,C1134,$F$2:$F$3001,"&lt;"&amp;F1134)+1)</f>
        <v/>
      </c>
      <c r="I1134">
        <f>IF(C1134="","",C1134&amp;"|"&amp;H1134)</f>
        <v/>
      </c>
      <c r="J1134" s="6">
        <f>IF(C1134="","",IF(H1134=1,SUMIFS('Opening Balance'!$F$4:$F$303,'Opening Balance'!$G$4:$G$303,C1134),INDEX($L$2:$L$3001,MATCH(C1134&amp;"|"&amp;(H1134-1),$I$2:$I$3001,0))))</f>
        <v/>
      </c>
      <c r="K1134" s="6">
        <f>IF(C1134="","",IF(M1134&gt;0,M1134,IF(AND(E1134&gt;0,ROUND(J1134+D1134-E1134,2)&gt;0,ROUND(J1134+D1134-E1134,2)&lt;'Opening Balance'!$B$14),ROUND(J1134+D1134-E1134,2),0)))</f>
        <v/>
      </c>
      <c r="L1134" s="6">
        <f>IF(C1134="","",ROUND(J1134+D1134-E1134-K1134,2))</f>
        <v/>
      </c>
      <c r="M1134" s="6">
        <f>IF(C1134="","",IF('Daily Sale entry '!Q1134="Collection 收款",ROUND(N('Daily Sale entry '!T1134),2),0))</f>
        <v/>
      </c>
    </row>
    <row r="1135">
      <c r="A1135" t="inlineStr">
        <is>
          <t>Entry 记录</t>
        </is>
      </c>
      <c r="B1135" s="5">
        <f>IF('Daily Sale entry '!P1135="","",'Daily Sale entry '!O1135)</f>
        <v/>
      </c>
      <c r="C1135">
        <f>IF('Daily Sale entry '!P1135="","",'Daily Sale entry '!P1135)</f>
        <v/>
      </c>
      <c r="D1135">
        <f>IF(C1135="","",IF('Daily Sale entry '!Q1135="Credit Sale 赊销",'Daily Sale entry '!S1135,0))</f>
        <v/>
      </c>
      <c r="E1135">
        <f>IF(C1135="","",IF('Daily Sale entry '!Q1135="Collection 收款",'Daily Sale entry '!S1135,0))</f>
        <v/>
      </c>
      <c r="F1135" s="37">
        <f>IF(C1135="","",B1135+IF(E1135&gt;0,0,0.5)+ROW()/10000000)</f>
        <v/>
      </c>
      <c r="G1135">
        <f>IF(C1135="","",'Daily Sale entry '!Q1135&amp;IF('Daily Sale entry '!Q1135="Collection 收款"," ("&amp;'Daily Sale entry '!R1135&amp;")","")&amp;IF('Daily Sale entry '!U1135="",""," - "&amp;'Daily Sale entry '!U1135))</f>
        <v/>
      </c>
      <c r="H1135">
        <f>IF(C1135="","",COUNTIFS($C$2:$C$3001,C1135,$F$2:$F$3001,"&lt;"&amp;F1135)+1)</f>
        <v/>
      </c>
      <c r="I1135">
        <f>IF(C1135="","",C1135&amp;"|"&amp;H1135)</f>
        <v/>
      </c>
      <c r="J1135" s="6">
        <f>IF(C1135="","",IF(H1135=1,SUMIFS('Opening Balance'!$F$4:$F$303,'Opening Balance'!$G$4:$G$303,C1135),INDEX($L$2:$L$3001,MATCH(C1135&amp;"|"&amp;(H1135-1),$I$2:$I$3001,0))))</f>
        <v/>
      </c>
      <c r="K1135" s="6">
        <f>IF(C1135="","",IF(M1135&gt;0,M1135,IF(AND(E1135&gt;0,ROUND(J1135+D1135-E1135,2)&gt;0,ROUND(J1135+D1135-E1135,2)&lt;'Opening Balance'!$B$14),ROUND(J1135+D1135-E1135,2),0)))</f>
        <v/>
      </c>
      <c r="L1135" s="6">
        <f>IF(C1135="","",ROUND(J1135+D1135-E1135-K1135,2))</f>
        <v/>
      </c>
      <c r="M1135" s="6">
        <f>IF(C1135="","",IF('Daily Sale entry '!Q1135="Collection 收款",ROUND(N('Daily Sale entry '!T1135),2),0))</f>
        <v/>
      </c>
    </row>
    <row r="1136">
      <c r="A1136" t="inlineStr">
        <is>
          <t>Entry 记录</t>
        </is>
      </c>
      <c r="B1136" s="5">
        <f>IF('Daily Sale entry '!P1136="","",'Daily Sale entry '!O1136)</f>
        <v/>
      </c>
      <c r="C1136">
        <f>IF('Daily Sale entry '!P1136="","",'Daily Sale entry '!P1136)</f>
        <v/>
      </c>
      <c r="D1136">
        <f>IF(C1136="","",IF('Daily Sale entry '!Q1136="Credit Sale 赊销",'Daily Sale entry '!S1136,0))</f>
        <v/>
      </c>
      <c r="E1136">
        <f>IF(C1136="","",IF('Daily Sale entry '!Q1136="Collection 收款",'Daily Sale entry '!S1136,0))</f>
        <v/>
      </c>
      <c r="F1136" s="37">
        <f>IF(C1136="","",B1136+IF(E1136&gt;0,0,0.5)+ROW()/10000000)</f>
        <v/>
      </c>
      <c r="G1136">
        <f>IF(C1136="","",'Daily Sale entry '!Q1136&amp;IF('Daily Sale entry '!Q1136="Collection 收款"," ("&amp;'Daily Sale entry '!R1136&amp;")","")&amp;IF('Daily Sale entry '!U1136="",""," - "&amp;'Daily Sale entry '!U1136))</f>
        <v/>
      </c>
      <c r="H1136">
        <f>IF(C1136="","",COUNTIFS($C$2:$C$3001,C1136,$F$2:$F$3001,"&lt;"&amp;F1136)+1)</f>
        <v/>
      </c>
      <c r="I1136">
        <f>IF(C1136="","",C1136&amp;"|"&amp;H1136)</f>
        <v/>
      </c>
      <c r="J1136" s="6">
        <f>IF(C1136="","",IF(H1136=1,SUMIFS('Opening Balance'!$F$4:$F$303,'Opening Balance'!$G$4:$G$303,C1136),INDEX($L$2:$L$3001,MATCH(C1136&amp;"|"&amp;(H1136-1),$I$2:$I$3001,0))))</f>
        <v/>
      </c>
      <c r="K1136" s="6">
        <f>IF(C1136="","",IF(M1136&gt;0,M1136,IF(AND(E1136&gt;0,ROUND(J1136+D1136-E1136,2)&gt;0,ROUND(J1136+D1136-E1136,2)&lt;'Opening Balance'!$B$14),ROUND(J1136+D1136-E1136,2),0)))</f>
        <v/>
      </c>
      <c r="L1136" s="6">
        <f>IF(C1136="","",ROUND(J1136+D1136-E1136-K1136,2))</f>
        <v/>
      </c>
      <c r="M1136" s="6">
        <f>IF(C1136="","",IF('Daily Sale entry '!Q1136="Collection 收款",ROUND(N('Daily Sale entry '!T1136),2),0))</f>
        <v/>
      </c>
    </row>
    <row r="1137">
      <c r="A1137" t="inlineStr">
        <is>
          <t>Entry 记录</t>
        </is>
      </c>
      <c r="B1137" s="5">
        <f>IF('Daily Sale entry '!P1137="","",'Daily Sale entry '!O1137)</f>
        <v/>
      </c>
      <c r="C1137">
        <f>IF('Daily Sale entry '!P1137="","",'Daily Sale entry '!P1137)</f>
        <v/>
      </c>
      <c r="D1137">
        <f>IF(C1137="","",IF('Daily Sale entry '!Q1137="Credit Sale 赊销",'Daily Sale entry '!S1137,0))</f>
        <v/>
      </c>
      <c r="E1137">
        <f>IF(C1137="","",IF('Daily Sale entry '!Q1137="Collection 收款",'Daily Sale entry '!S1137,0))</f>
        <v/>
      </c>
      <c r="F1137" s="37">
        <f>IF(C1137="","",B1137+IF(E1137&gt;0,0,0.5)+ROW()/10000000)</f>
        <v/>
      </c>
      <c r="G1137">
        <f>IF(C1137="","",'Daily Sale entry '!Q1137&amp;IF('Daily Sale entry '!Q1137="Collection 收款"," ("&amp;'Daily Sale entry '!R1137&amp;")","")&amp;IF('Daily Sale entry '!U1137="",""," - "&amp;'Daily Sale entry '!U1137))</f>
        <v/>
      </c>
      <c r="H1137">
        <f>IF(C1137="","",COUNTIFS($C$2:$C$3001,C1137,$F$2:$F$3001,"&lt;"&amp;F1137)+1)</f>
        <v/>
      </c>
      <c r="I1137">
        <f>IF(C1137="","",C1137&amp;"|"&amp;H1137)</f>
        <v/>
      </c>
      <c r="J1137" s="6">
        <f>IF(C1137="","",IF(H1137=1,SUMIFS('Opening Balance'!$F$4:$F$303,'Opening Balance'!$G$4:$G$303,C1137),INDEX($L$2:$L$3001,MATCH(C1137&amp;"|"&amp;(H1137-1),$I$2:$I$3001,0))))</f>
        <v/>
      </c>
      <c r="K1137" s="6">
        <f>IF(C1137="","",IF(M1137&gt;0,M1137,IF(AND(E1137&gt;0,ROUND(J1137+D1137-E1137,2)&gt;0,ROUND(J1137+D1137-E1137,2)&lt;'Opening Balance'!$B$14),ROUND(J1137+D1137-E1137,2),0)))</f>
        <v/>
      </c>
      <c r="L1137" s="6">
        <f>IF(C1137="","",ROUND(J1137+D1137-E1137-K1137,2))</f>
        <v/>
      </c>
      <c r="M1137" s="6">
        <f>IF(C1137="","",IF('Daily Sale entry '!Q1137="Collection 收款",ROUND(N('Daily Sale entry '!T1137),2),0))</f>
        <v/>
      </c>
    </row>
    <row r="1138">
      <c r="A1138" t="inlineStr">
        <is>
          <t>Entry 记录</t>
        </is>
      </c>
      <c r="B1138" s="5">
        <f>IF('Daily Sale entry '!P1138="","",'Daily Sale entry '!O1138)</f>
        <v/>
      </c>
      <c r="C1138">
        <f>IF('Daily Sale entry '!P1138="","",'Daily Sale entry '!P1138)</f>
        <v/>
      </c>
      <c r="D1138">
        <f>IF(C1138="","",IF('Daily Sale entry '!Q1138="Credit Sale 赊销",'Daily Sale entry '!S1138,0))</f>
        <v/>
      </c>
      <c r="E1138">
        <f>IF(C1138="","",IF('Daily Sale entry '!Q1138="Collection 收款",'Daily Sale entry '!S1138,0))</f>
        <v/>
      </c>
      <c r="F1138" s="37">
        <f>IF(C1138="","",B1138+IF(E1138&gt;0,0,0.5)+ROW()/10000000)</f>
        <v/>
      </c>
      <c r="G1138">
        <f>IF(C1138="","",'Daily Sale entry '!Q1138&amp;IF('Daily Sale entry '!Q1138="Collection 收款"," ("&amp;'Daily Sale entry '!R1138&amp;")","")&amp;IF('Daily Sale entry '!U1138="",""," - "&amp;'Daily Sale entry '!U1138))</f>
        <v/>
      </c>
      <c r="H1138">
        <f>IF(C1138="","",COUNTIFS($C$2:$C$3001,C1138,$F$2:$F$3001,"&lt;"&amp;F1138)+1)</f>
        <v/>
      </c>
      <c r="I1138">
        <f>IF(C1138="","",C1138&amp;"|"&amp;H1138)</f>
        <v/>
      </c>
      <c r="J1138" s="6">
        <f>IF(C1138="","",IF(H1138=1,SUMIFS('Opening Balance'!$F$4:$F$303,'Opening Balance'!$G$4:$G$303,C1138),INDEX($L$2:$L$3001,MATCH(C1138&amp;"|"&amp;(H1138-1),$I$2:$I$3001,0))))</f>
        <v/>
      </c>
      <c r="K1138" s="6">
        <f>IF(C1138="","",IF(M1138&gt;0,M1138,IF(AND(E1138&gt;0,ROUND(J1138+D1138-E1138,2)&gt;0,ROUND(J1138+D1138-E1138,2)&lt;'Opening Balance'!$B$14),ROUND(J1138+D1138-E1138,2),0)))</f>
        <v/>
      </c>
      <c r="L1138" s="6">
        <f>IF(C1138="","",ROUND(J1138+D1138-E1138-K1138,2))</f>
        <v/>
      </c>
      <c r="M1138" s="6">
        <f>IF(C1138="","",IF('Daily Sale entry '!Q1138="Collection 收款",ROUND(N('Daily Sale entry '!T1138),2),0))</f>
        <v/>
      </c>
    </row>
    <row r="1139">
      <c r="A1139" t="inlineStr">
        <is>
          <t>Entry 记录</t>
        </is>
      </c>
      <c r="B1139" s="5">
        <f>IF('Daily Sale entry '!P1139="","",'Daily Sale entry '!O1139)</f>
        <v/>
      </c>
      <c r="C1139">
        <f>IF('Daily Sale entry '!P1139="","",'Daily Sale entry '!P1139)</f>
        <v/>
      </c>
      <c r="D1139">
        <f>IF(C1139="","",IF('Daily Sale entry '!Q1139="Credit Sale 赊销",'Daily Sale entry '!S1139,0))</f>
        <v/>
      </c>
      <c r="E1139">
        <f>IF(C1139="","",IF('Daily Sale entry '!Q1139="Collection 收款",'Daily Sale entry '!S1139,0))</f>
        <v/>
      </c>
      <c r="F1139" s="37">
        <f>IF(C1139="","",B1139+IF(E1139&gt;0,0,0.5)+ROW()/10000000)</f>
        <v/>
      </c>
      <c r="G1139">
        <f>IF(C1139="","",'Daily Sale entry '!Q1139&amp;IF('Daily Sale entry '!Q1139="Collection 收款"," ("&amp;'Daily Sale entry '!R1139&amp;")","")&amp;IF('Daily Sale entry '!U1139="",""," - "&amp;'Daily Sale entry '!U1139))</f>
        <v/>
      </c>
      <c r="H1139">
        <f>IF(C1139="","",COUNTIFS($C$2:$C$3001,C1139,$F$2:$F$3001,"&lt;"&amp;F1139)+1)</f>
        <v/>
      </c>
      <c r="I1139">
        <f>IF(C1139="","",C1139&amp;"|"&amp;H1139)</f>
        <v/>
      </c>
      <c r="J1139" s="6">
        <f>IF(C1139="","",IF(H1139=1,SUMIFS('Opening Balance'!$F$4:$F$303,'Opening Balance'!$G$4:$G$303,C1139),INDEX($L$2:$L$3001,MATCH(C1139&amp;"|"&amp;(H1139-1),$I$2:$I$3001,0))))</f>
        <v/>
      </c>
      <c r="K1139" s="6">
        <f>IF(C1139="","",IF(M1139&gt;0,M1139,IF(AND(E1139&gt;0,ROUND(J1139+D1139-E1139,2)&gt;0,ROUND(J1139+D1139-E1139,2)&lt;'Opening Balance'!$B$14),ROUND(J1139+D1139-E1139,2),0)))</f>
        <v/>
      </c>
      <c r="L1139" s="6">
        <f>IF(C1139="","",ROUND(J1139+D1139-E1139-K1139,2))</f>
        <v/>
      </c>
      <c r="M1139" s="6">
        <f>IF(C1139="","",IF('Daily Sale entry '!Q1139="Collection 收款",ROUND(N('Daily Sale entry '!T1139),2),0))</f>
        <v/>
      </c>
    </row>
    <row r="1140">
      <c r="A1140" t="inlineStr">
        <is>
          <t>Entry 记录</t>
        </is>
      </c>
      <c r="B1140" s="5">
        <f>IF('Daily Sale entry '!P1140="","",'Daily Sale entry '!O1140)</f>
        <v/>
      </c>
      <c r="C1140">
        <f>IF('Daily Sale entry '!P1140="","",'Daily Sale entry '!P1140)</f>
        <v/>
      </c>
      <c r="D1140">
        <f>IF(C1140="","",IF('Daily Sale entry '!Q1140="Credit Sale 赊销",'Daily Sale entry '!S1140,0))</f>
        <v/>
      </c>
      <c r="E1140">
        <f>IF(C1140="","",IF('Daily Sale entry '!Q1140="Collection 收款",'Daily Sale entry '!S1140,0))</f>
        <v/>
      </c>
      <c r="F1140" s="37">
        <f>IF(C1140="","",B1140+IF(E1140&gt;0,0,0.5)+ROW()/10000000)</f>
        <v/>
      </c>
      <c r="G1140">
        <f>IF(C1140="","",'Daily Sale entry '!Q1140&amp;IF('Daily Sale entry '!Q1140="Collection 收款"," ("&amp;'Daily Sale entry '!R1140&amp;")","")&amp;IF('Daily Sale entry '!U1140="",""," - "&amp;'Daily Sale entry '!U1140))</f>
        <v/>
      </c>
      <c r="H1140">
        <f>IF(C1140="","",COUNTIFS($C$2:$C$3001,C1140,$F$2:$F$3001,"&lt;"&amp;F1140)+1)</f>
        <v/>
      </c>
      <c r="I1140">
        <f>IF(C1140="","",C1140&amp;"|"&amp;H1140)</f>
        <v/>
      </c>
      <c r="J1140" s="6">
        <f>IF(C1140="","",IF(H1140=1,SUMIFS('Opening Balance'!$F$4:$F$303,'Opening Balance'!$G$4:$G$303,C1140),INDEX($L$2:$L$3001,MATCH(C1140&amp;"|"&amp;(H1140-1),$I$2:$I$3001,0))))</f>
        <v/>
      </c>
      <c r="K1140" s="6">
        <f>IF(C1140="","",IF(M1140&gt;0,M1140,IF(AND(E1140&gt;0,ROUND(J1140+D1140-E1140,2)&gt;0,ROUND(J1140+D1140-E1140,2)&lt;'Opening Balance'!$B$14),ROUND(J1140+D1140-E1140,2),0)))</f>
        <v/>
      </c>
      <c r="L1140" s="6">
        <f>IF(C1140="","",ROUND(J1140+D1140-E1140-K1140,2))</f>
        <v/>
      </c>
      <c r="M1140" s="6">
        <f>IF(C1140="","",IF('Daily Sale entry '!Q1140="Collection 收款",ROUND(N('Daily Sale entry '!T1140),2),0))</f>
        <v/>
      </c>
    </row>
    <row r="1141">
      <c r="A1141" t="inlineStr">
        <is>
          <t>Entry 记录</t>
        </is>
      </c>
      <c r="B1141" s="5">
        <f>IF('Daily Sale entry '!P1141="","",'Daily Sale entry '!O1141)</f>
        <v/>
      </c>
      <c r="C1141">
        <f>IF('Daily Sale entry '!P1141="","",'Daily Sale entry '!P1141)</f>
        <v/>
      </c>
      <c r="D1141">
        <f>IF(C1141="","",IF('Daily Sale entry '!Q1141="Credit Sale 赊销",'Daily Sale entry '!S1141,0))</f>
        <v/>
      </c>
      <c r="E1141">
        <f>IF(C1141="","",IF('Daily Sale entry '!Q1141="Collection 收款",'Daily Sale entry '!S1141,0))</f>
        <v/>
      </c>
      <c r="F1141" s="37">
        <f>IF(C1141="","",B1141+IF(E1141&gt;0,0,0.5)+ROW()/10000000)</f>
        <v/>
      </c>
      <c r="G1141">
        <f>IF(C1141="","",'Daily Sale entry '!Q1141&amp;IF('Daily Sale entry '!Q1141="Collection 收款"," ("&amp;'Daily Sale entry '!R1141&amp;")","")&amp;IF('Daily Sale entry '!U1141="",""," - "&amp;'Daily Sale entry '!U1141))</f>
        <v/>
      </c>
      <c r="H1141">
        <f>IF(C1141="","",COUNTIFS($C$2:$C$3001,C1141,$F$2:$F$3001,"&lt;"&amp;F1141)+1)</f>
        <v/>
      </c>
      <c r="I1141">
        <f>IF(C1141="","",C1141&amp;"|"&amp;H1141)</f>
        <v/>
      </c>
      <c r="J1141" s="6">
        <f>IF(C1141="","",IF(H1141=1,SUMIFS('Opening Balance'!$F$4:$F$303,'Opening Balance'!$G$4:$G$303,C1141),INDEX($L$2:$L$3001,MATCH(C1141&amp;"|"&amp;(H1141-1),$I$2:$I$3001,0))))</f>
        <v/>
      </c>
      <c r="K1141" s="6">
        <f>IF(C1141="","",IF(M1141&gt;0,M1141,IF(AND(E1141&gt;0,ROUND(J1141+D1141-E1141,2)&gt;0,ROUND(J1141+D1141-E1141,2)&lt;'Opening Balance'!$B$14),ROUND(J1141+D1141-E1141,2),0)))</f>
        <v/>
      </c>
      <c r="L1141" s="6">
        <f>IF(C1141="","",ROUND(J1141+D1141-E1141-K1141,2))</f>
        <v/>
      </c>
      <c r="M1141" s="6">
        <f>IF(C1141="","",IF('Daily Sale entry '!Q1141="Collection 收款",ROUND(N('Daily Sale entry '!T1141),2),0))</f>
        <v/>
      </c>
    </row>
    <row r="1142">
      <c r="A1142" t="inlineStr">
        <is>
          <t>Entry 记录</t>
        </is>
      </c>
      <c r="B1142" s="5">
        <f>IF('Daily Sale entry '!P1142="","",'Daily Sale entry '!O1142)</f>
        <v/>
      </c>
      <c r="C1142">
        <f>IF('Daily Sale entry '!P1142="","",'Daily Sale entry '!P1142)</f>
        <v/>
      </c>
      <c r="D1142">
        <f>IF(C1142="","",IF('Daily Sale entry '!Q1142="Credit Sale 赊销",'Daily Sale entry '!S1142,0))</f>
        <v/>
      </c>
      <c r="E1142">
        <f>IF(C1142="","",IF('Daily Sale entry '!Q1142="Collection 收款",'Daily Sale entry '!S1142,0))</f>
        <v/>
      </c>
      <c r="F1142" s="37">
        <f>IF(C1142="","",B1142+IF(E1142&gt;0,0,0.5)+ROW()/10000000)</f>
        <v/>
      </c>
      <c r="G1142">
        <f>IF(C1142="","",'Daily Sale entry '!Q1142&amp;IF('Daily Sale entry '!Q1142="Collection 收款"," ("&amp;'Daily Sale entry '!R1142&amp;")","")&amp;IF('Daily Sale entry '!U1142="",""," - "&amp;'Daily Sale entry '!U1142))</f>
        <v/>
      </c>
      <c r="H1142">
        <f>IF(C1142="","",COUNTIFS($C$2:$C$3001,C1142,$F$2:$F$3001,"&lt;"&amp;F1142)+1)</f>
        <v/>
      </c>
      <c r="I1142">
        <f>IF(C1142="","",C1142&amp;"|"&amp;H1142)</f>
        <v/>
      </c>
      <c r="J1142" s="6">
        <f>IF(C1142="","",IF(H1142=1,SUMIFS('Opening Balance'!$F$4:$F$303,'Opening Balance'!$G$4:$G$303,C1142),INDEX($L$2:$L$3001,MATCH(C1142&amp;"|"&amp;(H1142-1),$I$2:$I$3001,0))))</f>
        <v/>
      </c>
      <c r="K1142" s="6">
        <f>IF(C1142="","",IF(M1142&gt;0,M1142,IF(AND(E1142&gt;0,ROUND(J1142+D1142-E1142,2)&gt;0,ROUND(J1142+D1142-E1142,2)&lt;'Opening Balance'!$B$14),ROUND(J1142+D1142-E1142,2),0)))</f>
        <v/>
      </c>
      <c r="L1142" s="6">
        <f>IF(C1142="","",ROUND(J1142+D1142-E1142-K1142,2))</f>
        <v/>
      </c>
      <c r="M1142" s="6">
        <f>IF(C1142="","",IF('Daily Sale entry '!Q1142="Collection 收款",ROUND(N('Daily Sale entry '!T1142),2),0))</f>
        <v/>
      </c>
    </row>
    <row r="1143">
      <c r="A1143" t="inlineStr">
        <is>
          <t>Entry 记录</t>
        </is>
      </c>
      <c r="B1143" s="5">
        <f>IF('Daily Sale entry '!P1143="","",'Daily Sale entry '!O1143)</f>
        <v/>
      </c>
      <c r="C1143">
        <f>IF('Daily Sale entry '!P1143="","",'Daily Sale entry '!P1143)</f>
        <v/>
      </c>
      <c r="D1143">
        <f>IF(C1143="","",IF('Daily Sale entry '!Q1143="Credit Sale 赊销",'Daily Sale entry '!S1143,0))</f>
        <v/>
      </c>
      <c r="E1143">
        <f>IF(C1143="","",IF('Daily Sale entry '!Q1143="Collection 收款",'Daily Sale entry '!S1143,0))</f>
        <v/>
      </c>
      <c r="F1143" s="37">
        <f>IF(C1143="","",B1143+IF(E1143&gt;0,0,0.5)+ROW()/10000000)</f>
        <v/>
      </c>
      <c r="G1143">
        <f>IF(C1143="","",'Daily Sale entry '!Q1143&amp;IF('Daily Sale entry '!Q1143="Collection 收款"," ("&amp;'Daily Sale entry '!R1143&amp;")","")&amp;IF('Daily Sale entry '!U1143="",""," - "&amp;'Daily Sale entry '!U1143))</f>
        <v/>
      </c>
      <c r="H1143">
        <f>IF(C1143="","",COUNTIFS($C$2:$C$3001,C1143,$F$2:$F$3001,"&lt;"&amp;F1143)+1)</f>
        <v/>
      </c>
      <c r="I1143">
        <f>IF(C1143="","",C1143&amp;"|"&amp;H1143)</f>
        <v/>
      </c>
      <c r="J1143" s="6">
        <f>IF(C1143="","",IF(H1143=1,SUMIFS('Opening Balance'!$F$4:$F$303,'Opening Balance'!$G$4:$G$303,C1143),INDEX($L$2:$L$3001,MATCH(C1143&amp;"|"&amp;(H1143-1),$I$2:$I$3001,0))))</f>
        <v/>
      </c>
      <c r="K1143" s="6">
        <f>IF(C1143="","",IF(M1143&gt;0,M1143,IF(AND(E1143&gt;0,ROUND(J1143+D1143-E1143,2)&gt;0,ROUND(J1143+D1143-E1143,2)&lt;'Opening Balance'!$B$14),ROUND(J1143+D1143-E1143,2),0)))</f>
        <v/>
      </c>
      <c r="L1143" s="6">
        <f>IF(C1143="","",ROUND(J1143+D1143-E1143-K1143,2))</f>
        <v/>
      </c>
      <c r="M1143" s="6">
        <f>IF(C1143="","",IF('Daily Sale entry '!Q1143="Collection 收款",ROUND(N('Daily Sale entry '!T1143),2),0))</f>
        <v/>
      </c>
    </row>
    <row r="1144">
      <c r="A1144" t="inlineStr">
        <is>
          <t>Entry 记录</t>
        </is>
      </c>
      <c r="B1144" s="5">
        <f>IF('Daily Sale entry '!P1144="","",'Daily Sale entry '!O1144)</f>
        <v/>
      </c>
      <c r="C1144">
        <f>IF('Daily Sale entry '!P1144="","",'Daily Sale entry '!P1144)</f>
        <v/>
      </c>
      <c r="D1144">
        <f>IF(C1144="","",IF('Daily Sale entry '!Q1144="Credit Sale 赊销",'Daily Sale entry '!S1144,0))</f>
        <v/>
      </c>
      <c r="E1144">
        <f>IF(C1144="","",IF('Daily Sale entry '!Q1144="Collection 收款",'Daily Sale entry '!S1144,0))</f>
        <v/>
      </c>
      <c r="F1144" s="37">
        <f>IF(C1144="","",B1144+IF(E1144&gt;0,0,0.5)+ROW()/10000000)</f>
        <v/>
      </c>
      <c r="G1144">
        <f>IF(C1144="","",'Daily Sale entry '!Q1144&amp;IF('Daily Sale entry '!Q1144="Collection 收款"," ("&amp;'Daily Sale entry '!R1144&amp;")","")&amp;IF('Daily Sale entry '!U1144="",""," - "&amp;'Daily Sale entry '!U1144))</f>
        <v/>
      </c>
      <c r="H1144">
        <f>IF(C1144="","",COUNTIFS($C$2:$C$3001,C1144,$F$2:$F$3001,"&lt;"&amp;F1144)+1)</f>
        <v/>
      </c>
      <c r="I1144">
        <f>IF(C1144="","",C1144&amp;"|"&amp;H1144)</f>
        <v/>
      </c>
      <c r="J1144" s="6">
        <f>IF(C1144="","",IF(H1144=1,SUMIFS('Opening Balance'!$F$4:$F$303,'Opening Balance'!$G$4:$G$303,C1144),INDEX($L$2:$L$3001,MATCH(C1144&amp;"|"&amp;(H1144-1),$I$2:$I$3001,0))))</f>
        <v/>
      </c>
      <c r="K1144" s="6">
        <f>IF(C1144="","",IF(M1144&gt;0,M1144,IF(AND(E1144&gt;0,ROUND(J1144+D1144-E1144,2)&gt;0,ROUND(J1144+D1144-E1144,2)&lt;'Opening Balance'!$B$14),ROUND(J1144+D1144-E1144,2),0)))</f>
        <v/>
      </c>
      <c r="L1144" s="6">
        <f>IF(C1144="","",ROUND(J1144+D1144-E1144-K1144,2))</f>
        <v/>
      </c>
      <c r="M1144" s="6">
        <f>IF(C1144="","",IF('Daily Sale entry '!Q1144="Collection 收款",ROUND(N('Daily Sale entry '!T1144),2),0))</f>
        <v/>
      </c>
    </row>
    <row r="1145">
      <c r="A1145" t="inlineStr">
        <is>
          <t>Entry 记录</t>
        </is>
      </c>
      <c r="B1145" s="5">
        <f>IF('Daily Sale entry '!P1145="","",'Daily Sale entry '!O1145)</f>
        <v/>
      </c>
      <c r="C1145">
        <f>IF('Daily Sale entry '!P1145="","",'Daily Sale entry '!P1145)</f>
        <v/>
      </c>
      <c r="D1145">
        <f>IF(C1145="","",IF('Daily Sale entry '!Q1145="Credit Sale 赊销",'Daily Sale entry '!S1145,0))</f>
        <v/>
      </c>
      <c r="E1145">
        <f>IF(C1145="","",IF('Daily Sale entry '!Q1145="Collection 收款",'Daily Sale entry '!S1145,0))</f>
        <v/>
      </c>
      <c r="F1145" s="37">
        <f>IF(C1145="","",B1145+IF(E1145&gt;0,0,0.5)+ROW()/10000000)</f>
        <v/>
      </c>
      <c r="G1145">
        <f>IF(C1145="","",'Daily Sale entry '!Q1145&amp;IF('Daily Sale entry '!Q1145="Collection 收款"," ("&amp;'Daily Sale entry '!R1145&amp;")","")&amp;IF('Daily Sale entry '!U1145="",""," - "&amp;'Daily Sale entry '!U1145))</f>
        <v/>
      </c>
      <c r="H1145">
        <f>IF(C1145="","",COUNTIFS($C$2:$C$3001,C1145,$F$2:$F$3001,"&lt;"&amp;F1145)+1)</f>
        <v/>
      </c>
      <c r="I1145">
        <f>IF(C1145="","",C1145&amp;"|"&amp;H1145)</f>
        <v/>
      </c>
      <c r="J1145" s="6">
        <f>IF(C1145="","",IF(H1145=1,SUMIFS('Opening Balance'!$F$4:$F$303,'Opening Balance'!$G$4:$G$303,C1145),INDEX($L$2:$L$3001,MATCH(C1145&amp;"|"&amp;(H1145-1),$I$2:$I$3001,0))))</f>
        <v/>
      </c>
      <c r="K1145" s="6">
        <f>IF(C1145="","",IF(M1145&gt;0,M1145,IF(AND(E1145&gt;0,ROUND(J1145+D1145-E1145,2)&gt;0,ROUND(J1145+D1145-E1145,2)&lt;'Opening Balance'!$B$14),ROUND(J1145+D1145-E1145,2),0)))</f>
        <v/>
      </c>
      <c r="L1145" s="6">
        <f>IF(C1145="","",ROUND(J1145+D1145-E1145-K1145,2))</f>
        <v/>
      </c>
      <c r="M1145" s="6">
        <f>IF(C1145="","",IF('Daily Sale entry '!Q1145="Collection 收款",ROUND(N('Daily Sale entry '!T1145),2),0))</f>
        <v/>
      </c>
    </row>
    <row r="1146">
      <c r="A1146" t="inlineStr">
        <is>
          <t>Entry 记录</t>
        </is>
      </c>
      <c r="B1146" s="5">
        <f>IF('Daily Sale entry '!P1146="","",'Daily Sale entry '!O1146)</f>
        <v/>
      </c>
      <c r="C1146">
        <f>IF('Daily Sale entry '!P1146="","",'Daily Sale entry '!P1146)</f>
        <v/>
      </c>
      <c r="D1146">
        <f>IF(C1146="","",IF('Daily Sale entry '!Q1146="Credit Sale 赊销",'Daily Sale entry '!S1146,0))</f>
        <v/>
      </c>
      <c r="E1146">
        <f>IF(C1146="","",IF('Daily Sale entry '!Q1146="Collection 收款",'Daily Sale entry '!S1146,0))</f>
        <v/>
      </c>
      <c r="F1146" s="37">
        <f>IF(C1146="","",B1146+IF(E1146&gt;0,0,0.5)+ROW()/10000000)</f>
        <v/>
      </c>
      <c r="G1146">
        <f>IF(C1146="","",'Daily Sale entry '!Q1146&amp;IF('Daily Sale entry '!Q1146="Collection 收款"," ("&amp;'Daily Sale entry '!R1146&amp;")","")&amp;IF('Daily Sale entry '!U1146="",""," - "&amp;'Daily Sale entry '!U1146))</f>
        <v/>
      </c>
      <c r="H1146">
        <f>IF(C1146="","",COUNTIFS($C$2:$C$3001,C1146,$F$2:$F$3001,"&lt;"&amp;F1146)+1)</f>
        <v/>
      </c>
      <c r="I1146">
        <f>IF(C1146="","",C1146&amp;"|"&amp;H1146)</f>
        <v/>
      </c>
      <c r="J1146" s="6">
        <f>IF(C1146="","",IF(H1146=1,SUMIFS('Opening Balance'!$F$4:$F$303,'Opening Balance'!$G$4:$G$303,C1146),INDEX($L$2:$L$3001,MATCH(C1146&amp;"|"&amp;(H1146-1),$I$2:$I$3001,0))))</f>
        <v/>
      </c>
      <c r="K1146" s="6">
        <f>IF(C1146="","",IF(M1146&gt;0,M1146,IF(AND(E1146&gt;0,ROUND(J1146+D1146-E1146,2)&gt;0,ROUND(J1146+D1146-E1146,2)&lt;'Opening Balance'!$B$14),ROUND(J1146+D1146-E1146,2),0)))</f>
        <v/>
      </c>
      <c r="L1146" s="6">
        <f>IF(C1146="","",ROUND(J1146+D1146-E1146-K1146,2))</f>
        <v/>
      </c>
      <c r="M1146" s="6">
        <f>IF(C1146="","",IF('Daily Sale entry '!Q1146="Collection 收款",ROUND(N('Daily Sale entry '!T1146),2),0))</f>
        <v/>
      </c>
    </row>
    <row r="1147">
      <c r="A1147" t="inlineStr">
        <is>
          <t>Entry 记录</t>
        </is>
      </c>
      <c r="B1147" s="5">
        <f>IF('Daily Sale entry '!P1147="","",'Daily Sale entry '!O1147)</f>
        <v/>
      </c>
      <c r="C1147">
        <f>IF('Daily Sale entry '!P1147="","",'Daily Sale entry '!P1147)</f>
        <v/>
      </c>
      <c r="D1147">
        <f>IF(C1147="","",IF('Daily Sale entry '!Q1147="Credit Sale 赊销",'Daily Sale entry '!S1147,0))</f>
        <v/>
      </c>
      <c r="E1147">
        <f>IF(C1147="","",IF('Daily Sale entry '!Q1147="Collection 收款",'Daily Sale entry '!S1147,0))</f>
        <v/>
      </c>
      <c r="F1147" s="37">
        <f>IF(C1147="","",B1147+IF(E1147&gt;0,0,0.5)+ROW()/10000000)</f>
        <v/>
      </c>
      <c r="G1147">
        <f>IF(C1147="","",'Daily Sale entry '!Q1147&amp;IF('Daily Sale entry '!Q1147="Collection 收款"," ("&amp;'Daily Sale entry '!R1147&amp;")","")&amp;IF('Daily Sale entry '!U1147="",""," - "&amp;'Daily Sale entry '!U1147))</f>
        <v/>
      </c>
      <c r="H1147">
        <f>IF(C1147="","",COUNTIFS($C$2:$C$3001,C1147,$F$2:$F$3001,"&lt;"&amp;F1147)+1)</f>
        <v/>
      </c>
      <c r="I1147">
        <f>IF(C1147="","",C1147&amp;"|"&amp;H1147)</f>
        <v/>
      </c>
      <c r="J1147" s="6">
        <f>IF(C1147="","",IF(H1147=1,SUMIFS('Opening Balance'!$F$4:$F$303,'Opening Balance'!$G$4:$G$303,C1147),INDEX($L$2:$L$3001,MATCH(C1147&amp;"|"&amp;(H1147-1),$I$2:$I$3001,0))))</f>
        <v/>
      </c>
      <c r="K1147" s="6">
        <f>IF(C1147="","",IF(M1147&gt;0,M1147,IF(AND(E1147&gt;0,ROUND(J1147+D1147-E1147,2)&gt;0,ROUND(J1147+D1147-E1147,2)&lt;'Opening Balance'!$B$14),ROUND(J1147+D1147-E1147,2),0)))</f>
        <v/>
      </c>
      <c r="L1147" s="6">
        <f>IF(C1147="","",ROUND(J1147+D1147-E1147-K1147,2))</f>
        <v/>
      </c>
      <c r="M1147" s="6">
        <f>IF(C1147="","",IF('Daily Sale entry '!Q1147="Collection 收款",ROUND(N('Daily Sale entry '!T1147),2),0))</f>
        <v/>
      </c>
    </row>
    <row r="1148">
      <c r="A1148" t="inlineStr">
        <is>
          <t>Entry 记录</t>
        </is>
      </c>
      <c r="B1148" s="5">
        <f>IF('Daily Sale entry '!P1148="","",'Daily Sale entry '!O1148)</f>
        <v/>
      </c>
      <c r="C1148">
        <f>IF('Daily Sale entry '!P1148="","",'Daily Sale entry '!P1148)</f>
        <v/>
      </c>
      <c r="D1148">
        <f>IF(C1148="","",IF('Daily Sale entry '!Q1148="Credit Sale 赊销",'Daily Sale entry '!S1148,0))</f>
        <v/>
      </c>
      <c r="E1148">
        <f>IF(C1148="","",IF('Daily Sale entry '!Q1148="Collection 收款",'Daily Sale entry '!S1148,0))</f>
        <v/>
      </c>
      <c r="F1148" s="37">
        <f>IF(C1148="","",B1148+IF(E1148&gt;0,0,0.5)+ROW()/10000000)</f>
        <v/>
      </c>
      <c r="G1148">
        <f>IF(C1148="","",'Daily Sale entry '!Q1148&amp;IF('Daily Sale entry '!Q1148="Collection 收款"," ("&amp;'Daily Sale entry '!R1148&amp;")","")&amp;IF('Daily Sale entry '!U1148="",""," - "&amp;'Daily Sale entry '!U1148))</f>
        <v/>
      </c>
      <c r="H1148">
        <f>IF(C1148="","",COUNTIFS($C$2:$C$3001,C1148,$F$2:$F$3001,"&lt;"&amp;F1148)+1)</f>
        <v/>
      </c>
      <c r="I1148">
        <f>IF(C1148="","",C1148&amp;"|"&amp;H1148)</f>
        <v/>
      </c>
      <c r="J1148" s="6">
        <f>IF(C1148="","",IF(H1148=1,SUMIFS('Opening Balance'!$F$4:$F$303,'Opening Balance'!$G$4:$G$303,C1148),INDEX($L$2:$L$3001,MATCH(C1148&amp;"|"&amp;(H1148-1),$I$2:$I$3001,0))))</f>
        <v/>
      </c>
      <c r="K1148" s="6">
        <f>IF(C1148="","",IF(M1148&gt;0,M1148,IF(AND(E1148&gt;0,ROUND(J1148+D1148-E1148,2)&gt;0,ROUND(J1148+D1148-E1148,2)&lt;'Opening Balance'!$B$14),ROUND(J1148+D1148-E1148,2),0)))</f>
        <v/>
      </c>
      <c r="L1148" s="6">
        <f>IF(C1148="","",ROUND(J1148+D1148-E1148-K1148,2))</f>
        <v/>
      </c>
      <c r="M1148" s="6">
        <f>IF(C1148="","",IF('Daily Sale entry '!Q1148="Collection 收款",ROUND(N('Daily Sale entry '!T1148),2),0))</f>
        <v/>
      </c>
    </row>
    <row r="1149">
      <c r="A1149" t="inlineStr">
        <is>
          <t>Entry 记录</t>
        </is>
      </c>
      <c r="B1149" s="5">
        <f>IF('Daily Sale entry '!P1149="","",'Daily Sale entry '!O1149)</f>
        <v/>
      </c>
      <c r="C1149">
        <f>IF('Daily Sale entry '!P1149="","",'Daily Sale entry '!P1149)</f>
        <v/>
      </c>
      <c r="D1149">
        <f>IF(C1149="","",IF('Daily Sale entry '!Q1149="Credit Sale 赊销",'Daily Sale entry '!S1149,0))</f>
        <v/>
      </c>
      <c r="E1149">
        <f>IF(C1149="","",IF('Daily Sale entry '!Q1149="Collection 收款",'Daily Sale entry '!S1149,0))</f>
        <v/>
      </c>
      <c r="F1149" s="37">
        <f>IF(C1149="","",B1149+IF(E1149&gt;0,0,0.5)+ROW()/10000000)</f>
        <v/>
      </c>
      <c r="G1149">
        <f>IF(C1149="","",'Daily Sale entry '!Q1149&amp;IF('Daily Sale entry '!Q1149="Collection 收款"," ("&amp;'Daily Sale entry '!R1149&amp;")","")&amp;IF('Daily Sale entry '!U1149="",""," - "&amp;'Daily Sale entry '!U1149))</f>
        <v/>
      </c>
      <c r="H1149">
        <f>IF(C1149="","",COUNTIFS($C$2:$C$3001,C1149,$F$2:$F$3001,"&lt;"&amp;F1149)+1)</f>
        <v/>
      </c>
      <c r="I1149">
        <f>IF(C1149="","",C1149&amp;"|"&amp;H1149)</f>
        <v/>
      </c>
      <c r="J1149" s="6">
        <f>IF(C1149="","",IF(H1149=1,SUMIFS('Opening Balance'!$F$4:$F$303,'Opening Balance'!$G$4:$G$303,C1149),INDEX($L$2:$L$3001,MATCH(C1149&amp;"|"&amp;(H1149-1),$I$2:$I$3001,0))))</f>
        <v/>
      </c>
      <c r="K1149" s="6">
        <f>IF(C1149="","",IF(M1149&gt;0,M1149,IF(AND(E1149&gt;0,ROUND(J1149+D1149-E1149,2)&gt;0,ROUND(J1149+D1149-E1149,2)&lt;'Opening Balance'!$B$14),ROUND(J1149+D1149-E1149,2),0)))</f>
        <v/>
      </c>
      <c r="L1149" s="6">
        <f>IF(C1149="","",ROUND(J1149+D1149-E1149-K1149,2))</f>
        <v/>
      </c>
      <c r="M1149" s="6">
        <f>IF(C1149="","",IF('Daily Sale entry '!Q1149="Collection 收款",ROUND(N('Daily Sale entry '!T1149),2),0))</f>
        <v/>
      </c>
    </row>
    <row r="1150">
      <c r="A1150" t="inlineStr">
        <is>
          <t>Entry 记录</t>
        </is>
      </c>
      <c r="B1150" s="5">
        <f>IF('Daily Sale entry '!P1150="","",'Daily Sale entry '!O1150)</f>
        <v/>
      </c>
      <c r="C1150">
        <f>IF('Daily Sale entry '!P1150="","",'Daily Sale entry '!P1150)</f>
        <v/>
      </c>
      <c r="D1150">
        <f>IF(C1150="","",IF('Daily Sale entry '!Q1150="Credit Sale 赊销",'Daily Sale entry '!S1150,0))</f>
        <v/>
      </c>
      <c r="E1150">
        <f>IF(C1150="","",IF('Daily Sale entry '!Q1150="Collection 收款",'Daily Sale entry '!S1150,0))</f>
        <v/>
      </c>
      <c r="F1150" s="37">
        <f>IF(C1150="","",B1150+IF(E1150&gt;0,0,0.5)+ROW()/10000000)</f>
        <v/>
      </c>
      <c r="G1150">
        <f>IF(C1150="","",'Daily Sale entry '!Q1150&amp;IF('Daily Sale entry '!Q1150="Collection 收款"," ("&amp;'Daily Sale entry '!R1150&amp;")","")&amp;IF('Daily Sale entry '!U1150="",""," - "&amp;'Daily Sale entry '!U1150))</f>
        <v/>
      </c>
      <c r="H1150">
        <f>IF(C1150="","",COUNTIFS($C$2:$C$3001,C1150,$F$2:$F$3001,"&lt;"&amp;F1150)+1)</f>
        <v/>
      </c>
      <c r="I1150">
        <f>IF(C1150="","",C1150&amp;"|"&amp;H1150)</f>
        <v/>
      </c>
      <c r="J1150" s="6">
        <f>IF(C1150="","",IF(H1150=1,SUMIFS('Opening Balance'!$F$4:$F$303,'Opening Balance'!$G$4:$G$303,C1150),INDEX($L$2:$L$3001,MATCH(C1150&amp;"|"&amp;(H1150-1),$I$2:$I$3001,0))))</f>
        <v/>
      </c>
      <c r="K1150" s="6">
        <f>IF(C1150="","",IF(M1150&gt;0,M1150,IF(AND(E1150&gt;0,ROUND(J1150+D1150-E1150,2)&gt;0,ROUND(J1150+D1150-E1150,2)&lt;'Opening Balance'!$B$14),ROUND(J1150+D1150-E1150,2),0)))</f>
        <v/>
      </c>
      <c r="L1150" s="6">
        <f>IF(C1150="","",ROUND(J1150+D1150-E1150-K1150,2))</f>
        <v/>
      </c>
      <c r="M1150" s="6">
        <f>IF(C1150="","",IF('Daily Sale entry '!Q1150="Collection 收款",ROUND(N('Daily Sale entry '!T1150),2),0))</f>
        <v/>
      </c>
    </row>
    <row r="1151">
      <c r="A1151" t="inlineStr">
        <is>
          <t>Entry 记录</t>
        </is>
      </c>
      <c r="B1151" s="5">
        <f>IF('Daily Sale entry '!P1151="","",'Daily Sale entry '!O1151)</f>
        <v/>
      </c>
      <c r="C1151">
        <f>IF('Daily Sale entry '!P1151="","",'Daily Sale entry '!P1151)</f>
        <v/>
      </c>
      <c r="D1151">
        <f>IF(C1151="","",IF('Daily Sale entry '!Q1151="Credit Sale 赊销",'Daily Sale entry '!S1151,0))</f>
        <v/>
      </c>
      <c r="E1151">
        <f>IF(C1151="","",IF('Daily Sale entry '!Q1151="Collection 收款",'Daily Sale entry '!S1151,0))</f>
        <v/>
      </c>
      <c r="F1151" s="37">
        <f>IF(C1151="","",B1151+IF(E1151&gt;0,0,0.5)+ROW()/10000000)</f>
        <v/>
      </c>
      <c r="G1151">
        <f>IF(C1151="","",'Daily Sale entry '!Q1151&amp;IF('Daily Sale entry '!Q1151="Collection 收款"," ("&amp;'Daily Sale entry '!R1151&amp;")","")&amp;IF('Daily Sale entry '!U1151="",""," - "&amp;'Daily Sale entry '!U1151))</f>
        <v/>
      </c>
      <c r="H1151">
        <f>IF(C1151="","",COUNTIFS($C$2:$C$3001,C1151,$F$2:$F$3001,"&lt;"&amp;F1151)+1)</f>
        <v/>
      </c>
      <c r="I1151">
        <f>IF(C1151="","",C1151&amp;"|"&amp;H1151)</f>
        <v/>
      </c>
      <c r="J1151" s="6">
        <f>IF(C1151="","",IF(H1151=1,SUMIFS('Opening Balance'!$F$4:$F$303,'Opening Balance'!$G$4:$G$303,C1151),INDEX($L$2:$L$3001,MATCH(C1151&amp;"|"&amp;(H1151-1),$I$2:$I$3001,0))))</f>
        <v/>
      </c>
      <c r="K1151" s="6">
        <f>IF(C1151="","",IF(M1151&gt;0,M1151,IF(AND(E1151&gt;0,ROUND(J1151+D1151-E1151,2)&gt;0,ROUND(J1151+D1151-E1151,2)&lt;'Opening Balance'!$B$14),ROUND(J1151+D1151-E1151,2),0)))</f>
        <v/>
      </c>
      <c r="L1151" s="6">
        <f>IF(C1151="","",ROUND(J1151+D1151-E1151-K1151,2))</f>
        <v/>
      </c>
      <c r="M1151" s="6">
        <f>IF(C1151="","",IF('Daily Sale entry '!Q1151="Collection 收款",ROUND(N('Daily Sale entry '!T1151),2),0))</f>
        <v/>
      </c>
    </row>
    <row r="1152">
      <c r="A1152" t="inlineStr">
        <is>
          <t>Entry 记录</t>
        </is>
      </c>
      <c r="B1152" s="5">
        <f>IF('Daily Sale entry '!P1152="","",'Daily Sale entry '!O1152)</f>
        <v/>
      </c>
      <c r="C1152">
        <f>IF('Daily Sale entry '!P1152="","",'Daily Sale entry '!P1152)</f>
        <v/>
      </c>
      <c r="D1152">
        <f>IF(C1152="","",IF('Daily Sale entry '!Q1152="Credit Sale 赊销",'Daily Sale entry '!S1152,0))</f>
        <v/>
      </c>
      <c r="E1152">
        <f>IF(C1152="","",IF('Daily Sale entry '!Q1152="Collection 收款",'Daily Sale entry '!S1152,0))</f>
        <v/>
      </c>
      <c r="F1152" s="37">
        <f>IF(C1152="","",B1152+IF(E1152&gt;0,0,0.5)+ROW()/10000000)</f>
        <v/>
      </c>
      <c r="G1152">
        <f>IF(C1152="","",'Daily Sale entry '!Q1152&amp;IF('Daily Sale entry '!Q1152="Collection 收款"," ("&amp;'Daily Sale entry '!R1152&amp;")","")&amp;IF('Daily Sale entry '!U1152="",""," - "&amp;'Daily Sale entry '!U1152))</f>
        <v/>
      </c>
      <c r="H1152">
        <f>IF(C1152="","",COUNTIFS($C$2:$C$3001,C1152,$F$2:$F$3001,"&lt;"&amp;F1152)+1)</f>
        <v/>
      </c>
      <c r="I1152">
        <f>IF(C1152="","",C1152&amp;"|"&amp;H1152)</f>
        <v/>
      </c>
      <c r="J1152" s="6">
        <f>IF(C1152="","",IF(H1152=1,SUMIFS('Opening Balance'!$F$4:$F$303,'Opening Balance'!$G$4:$G$303,C1152),INDEX($L$2:$L$3001,MATCH(C1152&amp;"|"&amp;(H1152-1),$I$2:$I$3001,0))))</f>
        <v/>
      </c>
      <c r="K1152" s="6">
        <f>IF(C1152="","",IF(M1152&gt;0,M1152,IF(AND(E1152&gt;0,ROUND(J1152+D1152-E1152,2)&gt;0,ROUND(J1152+D1152-E1152,2)&lt;'Opening Balance'!$B$14),ROUND(J1152+D1152-E1152,2),0)))</f>
        <v/>
      </c>
      <c r="L1152" s="6">
        <f>IF(C1152="","",ROUND(J1152+D1152-E1152-K1152,2))</f>
        <v/>
      </c>
      <c r="M1152" s="6">
        <f>IF(C1152="","",IF('Daily Sale entry '!Q1152="Collection 收款",ROUND(N('Daily Sale entry '!T1152),2),0))</f>
        <v/>
      </c>
    </row>
    <row r="1153">
      <c r="A1153" t="inlineStr">
        <is>
          <t>Entry 记录</t>
        </is>
      </c>
      <c r="B1153" s="5">
        <f>IF('Daily Sale entry '!P1153="","",'Daily Sale entry '!O1153)</f>
        <v/>
      </c>
      <c r="C1153">
        <f>IF('Daily Sale entry '!P1153="","",'Daily Sale entry '!P1153)</f>
        <v/>
      </c>
      <c r="D1153">
        <f>IF(C1153="","",IF('Daily Sale entry '!Q1153="Credit Sale 赊销",'Daily Sale entry '!S1153,0))</f>
        <v/>
      </c>
      <c r="E1153">
        <f>IF(C1153="","",IF('Daily Sale entry '!Q1153="Collection 收款",'Daily Sale entry '!S1153,0))</f>
        <v/>
      </c>
      <c r="F1153" s="37">
        <f>IF(C1153="","",B1153+IF(E1153&gt;0,0,0.5)+ROW()/10000000)</f>
        <v/>
      </c>
      <c r="G1153">
        <f>IF(C1153="","",'Daily Sale entry '!Q1153&amp;IF('Daily Sale entry '!Q1153="Collection 收款"," ("&amp;'Daily Sale entry '!R1153&amp;")","")&amp;IF('Daily Sale entry '!U1153="",""," - "&amp;'Daily Sale entry '!U1153))</f>
        <v/>
      </c>
      <c r="H1153">
        <f>IF(C1153="","",COUNTIFS($C$2:$C$3001,C1153,$F$2:$F$3001,"&lt;"&amp;F1153)+1)</f>
        <v/>
      </c>
      <c r="I1153">
        <f>IF(C1153="","",C1153&amp;"|"&amp;H1153)</f>
        <v/>
      </c>
      <c r="J1153" s="6">
        <f>IF(C1153="","",IF(H1153=1,SUMIFS('Opening Balance'!$F$4:$F$303,'Opening Balance'!$G$4:$G$303,C1153),INDEX($L$2:$L$3001,MATCH(C1153&amp;"|"&amp;(H1153-1),$I$2:$I$3001,0))))</f>
        <v/>
      </c>
      <c r="K1153" s="6">
        <f>IF(C1153="","",IF(M1153&gt;0,M1153,IF(AND(E1153&gt;0,ROUND(J1153+D1153-E1153,2)&gt;0,ROUND(J1153+D1153-E1153,2)&lt;'Opening Balance'!$B$14),ROUND(J1153+D1153-E1153,2),0)))</f>
        <v/>
      </c>
      <c r="L1153" s="6">
        <f>IF(C1153="","",ROUND(J1153+D1153-E1153-K1153,2))</f>
        <v/>
      </c>
      <c r="M1153" s="6">
        <f>IF(C1153="","",IF('Daily Sale entry '!Q1153="Collection 收款",ROUND(N('Daily Sale entry '!T1153),2),0))</f>
        <v/>
      </c>
    </row>
    <row r="1154">
      <c r="A1154" t="inlineStr">
        <is>
          <t>Entry 记录</t>
        </is>
      </c>
      <c r="B1154" s="5">
        <f>IF('Daily Sale entry '!P1154="","",'Daily Sale entry '!O1154)</f>
        <v/>
      </c>
      <c r="C1154">
        <f>IF('Daily Sale entry '!P1154="","",'Daily Sale entry '!P1154)</f>
        <v/>
      </c>
      <c r="D1154">
        <f>IF(C1154="","",IF('Daily Sale entry '!Q1154="Credit Sale 赊销",'Daily Sale entry '!S1154,0))</f>
        <v/>
      </c>
      <c r="E1154">
        <f>IF(C1154="","",IF('Daily Sale entry '!Q1154="Collection 收款",'Daily Sale entry '!S1154,0))</f>
        <v/>
      </c>
      <c r="F1154" s="37">
        <f>IF(C1154="","",B1154+IF(E1154&gt;0,0,0.5)+ROW()/10000000)</f>
        <v/>
      </c>
      <c r="G1154">
        <f>IF(C1154="","",'Daily Sale entry '!Q1154&amp;IF('Daily Sale entry '!Q1154="Collection 收款"," ("&amp;'Daily Sale entry '!R1154&amp;")","")&amp;IF('Daily Sale entry '!U1154="",""," - "&amp;'Daily Sale entry '!U1154))</f>
        <v/>
      </c>
      <c r="H1154">
        <f>IF(C1154="","",COUNTIFS($C$2:$C$3001,C1154,$F$2:$F$3001,"&lt;"&amp;F1154)+1)</f>
        <v/>
      </c>
      <c r="I1154">
        <f>IF(C1154="","",C1154&amp;"|"&amp;H1154)</f>
        <v/>
      </c>
      <c r="J1154" s="6">
        <f>IF(C1154="","",IF(H1154=1,SUMIFS('Opening Balance'!$F$4:$F$303,'Opening Balance'!$G$4:$G$303,C1154),INDEX($L$2:$L$3001,MATCH(C1154&amp;"|"&amp;(H1154-1),$I$2:$I$3001,0))))</f>
        <v/>
      </c>
      <c r="K1154" s="6">
        <f>IF(C1154="","",IF(M1154&gt;0,M1154,IF(AND(E1154&gt;0,ROUND(J1154+D1154-E1154,2)&gt;0,ROUND(J1154+D1154-E1154,2)&lt;'Opening Balance'!$B$14),ROUND(J1154+D1154-E1154,2),0)))</f>
        <v/>
      </c>
      <c r="L1154" s="6">
        <f>IF(C1154="","",ROUND(J1154+D1154-E1154-K1154,2))</f>
        <v/>
      </c>
      <c r="M1154" s="6">
        <f>IF(C1154="","",IF('Daily Sale entry '!Q1154="Collection 收款",ROUND(N('Daily Sale entry '!T1154),2),0))</f>
        <v/>
      </c>
    </row>
    <row r="1155">
      <c r="A1155" t="inlineStr">
        <is>
          <t>Entry 记录</t>
        </is>
      </c>
      <c r="B1155" s="5">
        <f>IF('Daily Sale entry '!P1155="","",'Daily Sale entry '!O1155)</f>
        <v/>
      </c>
      <c r="C1155">
        <f>IF('Daily Sale entry '!P1155="","",'Daily Sale entry '!P1155)</f>
        <v/>
      </c>
      <c r="D1155">
        <f>IF(C1155="","",IF('Daily Sale entry '!Q1155="Credit Sale 赊销",'Daily Sale entry '!S1155,0))</f>
        <v/>
      </c>
      <c r="E1155">
        <f>IF(C1155="","",IF('Daily Sale entry '!Q1155="Collection 收款",'Daily Sale entry '!S1155,0))</f>
        <v/>
      </c>
      <c r="F1155" s="37">
        <f>IF(C1155="","",B1155+IF(E1155&gt;0,0,0.5)+ROW()/10000000)</f>
        <v/>
      </c>
      <c r="G1155">
        <f>IF(C1155="","",'Daily Sale entry '!Q1155&amp;IF('Daily Sale entry '!Q1155="Collection 收款"," ("&amp;'Daily Sale entry '!R1155&amp;")","")&amp;IF('Daily Sale entry '!U1155="",""," - "&amp;'Daily Sale entry '!U1155))</f>
        <v/>
      </c>
      <c r="H1155">
        <f>IF(C1155="","",COUNTIFS($C$2:$C$3001,C1155,$F$2:$F$3001,"&lt;"&amp;F1155)+1)</f>
        <v/>
      </c>
      <c r="I1155">
        <f>IF(C1155="","",C1155&amp;"|"&amp;H1155)</f>
        <v/>
      </c>
      <c r="J1155" s="6">
        <f>IF(C1155="","",IF(H1155=1,SUMIFS('Opening Balance'!$F$4:$F$303,'Opening Balance'!$G$4:$G$303,C1155),INDEX($L$2:$L$3001,MATCH(C1155&amp;"|"&amp;(H1155-1),$I$2:$I$3001,0))))</f>
        <v/>
      </c>
      <c r="K1155" s="6">
        <f>IF(C1155="","",IF(M1155&gt;0,M1155,IF(AND(E1155&gt;0,ROUND(J1155+D1155-E1155,2)&gt;0,ROUND(J1155+D1155-E1155,2)&lt;'Opening Balance'!$B$14),ROUND(J1155+D1155-E1155,2),0)))</f>
        <v/>
      </c>
      <c r="L1155" s="6">
        <f>IF(C1155="","",ROUND(J1155+D1155-E1155-K1155,2))</f>
        <v/>
      </c>
      <c r="M1155" s="6">
        <f>IF(C1155="","",IF('Daily Sale entry '!Q1155="Collection 收款",ROUND(N('Daily Sale entry '!T1155),2),0))</f>
        <v/>
      </c>
    </row>
    <row r="1156">
      <c r="A1156" t="inlineStr">
        <is>
          <t>Entry 记录</t>
        </is>
      </c>
      <c r="B1156" s="5">
        <f>IF('Daily Sale entry '!P1156="","",'Daily Sale entry '!O1156)</f>
        <v/>
      </c>
      <c r="C1156">
        <f>IF('Daily Sale entry '!P1156="","",'Daily Sale entry '!P1156)</f>
        <v/>
      </c>
      <c r="D1156">
        <f>IF(C1156="","",IF('Daily Sale entry '!Q1156="Credit Sale 赊销",'Daily Sale entry '!S1156,0))</f>
        <v/>
      </c>
      <c r="E1156">
        <f>IF(C1156="","",IF('Daily Sale entry '!Q1156="Collection 收款",'Daily Sale entry '!S1156,0))</f>
        <v/>
      </c>
      <c r="F1156" s="37">
        <f>IF(C1156="","",B1156+IF(E1156&gt;0,0,0.5)+ROW()/10000000)</f>
        <v/>
      </c>
      <c r="G1156">
        <f>IF(C1156="","",'Daily Sale entry '!Q1156&amp;IF('Daily Sale entry '!Q1156="Collection 收款"," ("&amp;'Daily Sale entry '!R1156&amp;")","")&amp;IF('Daily Sale entry '!U1156="",""," - "&amp;'Daily Sale entry '!U1156))</f>
        <v/>
      </c>
      <c r="H1156">
        <f>IF(C1156="","",COUNTIFS($C$2:$C$3001,C1156,$F$2:$F$3001,"&lt;"&amp;F1156)+1)</f>
        <v/>
      </c>
      <c r="I1156">
        <f>IF(C1156="","",C1156&amp;"|"&amp;H1156)</f>
        <v/>
      </c>
      <c r="J1156" s="6">
        <f>IF(C1156="","",IF(H1156=1,SUMIFS('Opening Balance'!$F$4:$F$303,'Opening Balance'!$G$4:$G$303,C1156),INDEX($L$2:$L$3001,MATCH(C1156&amp;"|"&amp;(H1156-1),$I$2:$I$3001,0))))</f>
        <v/>
      </c>
      <c r="K1156" s="6">
        <f>IF(C1156="","",IF(M1156&gt;0,M1156,IF(AND(E1156&gt;0,ROUND(J1156+D1156-E1156,2)&gt;0,ROUND(J1156+D1156-E1156,2)&lt;'Opening Balance'!$B$14),ROUND(J1156+D1156-E1156,2),0)))</f>
        <v/>
      </c>
      <c r="L1156" s="6">
        <f>IF(C1156="","",ROUND(J1156+D1156-E1156-K1156,2))</f>
        <v/>
      </c>
      <c r="M1156" s="6">
        <f>IF(C1156="","",IF('Daily Sale entry '!Q1156="Collection 收款",ROUND(N('Daily Sale entry '!T1156),2),0))</f>
        <v/>
      </c>
    </row>
    <row r="1157">
      <c r="A1157" t="inlineStr">
        <is>
          <t>Entry 记录</t>
        </is>
      </c>
      <c r="B1157" s="5">
        <f>IF('Daily Sale entry '!P1157="","",'Daily Sale entry '!O1157)</f>
        <v/>
      </c>
      <c r="C1157">
        <f>IF('Daily Sale entry '!P1157="","",'Daily Sale entry '!P1157)</f>
        <v/>
      </c>
      <c r="D1157">
        <f>IF(C1157="","",IF('Daily Sale entry '!Q1157="Credit Sale 赊销",'Daily Sale entry '!S1157,0))</f>
        <v/>
      </c>
      <c r="E1157">
        <f>IF(C1157="","",IF('Daily Sale entry '!Q1157="Collection 收款",'Daily Sale entry '!S1157,0))</f>
        <v/>
      </c>
      <c r="F1157" s="37">
        <f>IF(C1157="","",B1157+IF(E1157&gt;0,0,0.5)+ROW()/10000000)</f>
        <v/>
      </c>
      <c r="G1157">
        <f>IF(C1157="","",'Daily Sale entry '!Q1157&amp;IF('Daily Sale entry '!Q1157="Collection 收款"," ("&amp;'Daily Sale entry '!R1157&amp;")","")&amp;IF('Daily Sale entry '!U1157="",""," - "&amp;'Daily Sale entry '!U1157))</f>
        <v/>
      </c>
      <c r="H1157">
        <f>IF(C1157="","",COUNTIFS($C$2:$C$3001,C1157,$F$2:$F$3001,"&lt;"&amp;F1157)+1)</f>
        <v/>
      </c>
      <c r="I1157">
        <f>IF(C1157="","",C1157&amp;"|"&amp;H1157)</f>
        <v/>
      </c>
      <c r="J1157" s="6">
        <f>IF(C1157="","",IF(H1157=1,SUMIFS('Opening Balance'!$F$4:$F$303,'Opening Balance'!$G$4:$G$303,C1157),INDEX($L$2:$L$3001,MATCH(C1157&amp;"|"&amp;(H1157-1),$I$2:$I$3001,0))))</f>
        <v/>
      </c>
      <c r="K1157" s="6">
        <f>IF(C1157="","",IF(M1157&gt;0,M1157,IF(AND(E1157&gt;0,ROUND(J1157+D1157-E1157,2)&gt;0,ROUND(J1157+D1157-E1157,2)&lt;'Opening Balance'!$B$14),ROUND(J1157+D1157-E1157,2),0)))</f>
        <v/>
      </c>
      <c r="L1157" s="6">
        <f>IF(C1157="","",ROUND(J1157+D1157-E1157-K1157,2))</f>
        <v/>
      </c>
      <c r="M1157" s="6">
        <f>IF(C1157="","",IF('Daily Sale entry '!Q1157="Collection 收款",ROUND(N('Daily Sale entry '!T1157),2),0))</f>
        <v/>
      </c>
    </row>
    <row r="1158">
      <c r="A1158" t="inlineStr">
        <is>
          <t>Entry 记录</t>
        </is>
      </c>
      <c r="B1158" s="5">
        <f>IF('Daily Sale entry '!P1158="","",'Daily Sale entry '!O1158)</f>
        <v/>
      </c>
      <c r="C1158">
        <f>IF('Daily Sale entry '!P1158="","",'Daily Sale entry '!P1158)</f>
        <v/>
      </c>
      <c r="D1158">
        <f>IF(C1158="","",IF('Daily Sale entry '!Q1158="Credit Sale 赊销",'Daily Sale entry '!S1158,0))</f>
        <v/>
      </c>
      <c r="E1158">
        <f>IF(C1158="","",IF('Daily Sale entry '!Q1158="Collection 收款",'Daily Sale entry '!S1158,0))</f>
        <v/>
      </c>
      <c r="F1158" s="37">
        <f>IF(C1158="","",B1158+IF(E1158&gt;0,0,0.5)+ROW()/10000000)</f>
        <v/>
      </c>
      <c r="G1158">
        <f>IF(C1158="","",'Daily Sale entry '!Q1158&amp;IF('Daily Sale entry '!Q1158="Collection 收款"," ("&amp;'Daily Sale entry '!R1158&amp;")","")&amp;IF('Daily Sale entry '!U1158="",""," - "&amp;'Daily Sale entry '!U1158))</f>
        <v/>
      </c>
      <c r="H1158">
        <f>IF(C1158="","",COUNTIFS($C$2:$C$3001,C1158,$F$2:$F$3001,"&lt;"&amp;F1158)+1)</f>
        <v/>
      </c>
      <c r="I1158">
        <f>IF(C1158="","",C1158&amp;"|"&amp;H1158)</f>
        <v/>
      </c>
      <c r="J1158" s="6">
        <f>IF(C1158="","",IF(H1158=1,SUMIFS('Opening Balance'!$F$4:$F$303,'Opening Balance'!$G$4:$G$303,C1158),INDEX($L$2:$L$3001,MATCH(C1158&amp;"|"&amp;(H1158-1),$I$2:$I$3001,0))))</f>
        <v/>
      </c>
      <c r="K1158" s="6">
        <f>IF(C1158="","",IF(M1158&gt;0,M1158,IF(AND(E1158&gt;0,ROUND(J1158+D1158-E1158,2)&gt;0,ROUND(J1158+D1158-E1158,2)&lt;'Opening Balance'!$B$14),ROUND(J1158+D1158-E1158,2),0)))</f>
        <v/>
      </c>
      <c r="L1158" s="6">
        <f>IF(C1158="","",ROUND(J1158+D1158-E1158-K1158,2))</f>
        <v/>
      </c>
      <c r="M1158" s="6">
        <f>IF(C1158="","",IF('Daily Sale entry '!Q1158="Collection 收款",ROUND(N('Daily Sale entry '!T1158),2),0))</f>
        <v/>
      </c>
    </row>
    <row r="1159">
      <c r="A1159" t="inlineStr">
        <is>
          <t>Entry 记录</t>
        </is>
      </c>
      <c r="B1159" s="5">
        <f>IF('Daily Sale entry '!P1159="","",'Daily Sale entry '!O1159)</f>
        <v/>
      </c>
      <c r="C1159">
        <f>IF('Daily Sale entry '!P1159="","",'Daily Sale entry '!P1159)</f>
        <v/>
      </c>
      <c r="D1159">
        <f>IF(C1159="","",IF('Daily Sale entry '!Q1159="Credit Sale 赊销",'Daily Sale entry '!S1159,0))</f>
        <v/>
      </c>
      <c r="E1159">
        <f>IF(C1159="","",IF('Daily Sale entry '!Q1159="Collection 收款",'Daily Sale entry '!S1159,0))</f>
        <v/>
      </c>
      <c r="F1159" s="37">
        <f>IF(C1159="","",B1159+IF(E1159&gt;0,0,0.5)+ROW()/10000000)</f>
        <v/>
      </c>
      <c r="G1159">
        <f>IF(C1159="","",'Daily Sale entry '!Q1159&amp;IF('Daily Sale entry '!Q1159="Collection 收款"," ("&amp;'Daily Sale entry '!R1159&amp;")","")&amp;IF('Daily Sale entry '!U1159="",""," - "&amp;'Daily Sale entry '!U1159))</f>
        <v/>
      </c>
      <c r="H1159">
        <f>IF(C1159="","",COUNTIFS($C$2:$C$3001,C1159,$F$2:$F$3001,"&lt;"&amp;F1159)+1)</f>
        <v/>
      </c>
      <c r="I1159">
        <f>IF(C1159="","",C1159&amp;"|"&amp;H1159)</f>
        <v/>
      </c>
      <c r="J1159" s="6">
        <f>IF(C1159="","",IF(H1159=1,SUMIFS('Opening Balance'!$F$4:$F$303,'Opening Balance'!$G$4:$G$303,C1159),INDEX($L$2:$L$3001,MATCH(C1159&amp;"|"&amp;(H1159-1),$I$2:$I$3001,0))))</f>
        <v/>
      </c>
      <c r="K1159" s="6">
        <f>IF(C1159="","",IF(M1159&gt;0,M1159,IF(AND(E1159&gt;0,ROUND(J1159+D1159-E1159,2)&gt;0,ROUND(J1159+D1159-E1159,2)&lt;'Opening Balance'!$B$14),ROUND(J1159+D1159-E1159,2),0)))</f>
        <v/>
      </c>
      <c r="L1159" s="6">
        <f>IF(C1159="","",ROUND(J1159+D1159-E1159-K1159,2))</f>
        <v/>
      </c>
      <c r="M1159" s="6">
        <f>IF(C1159="","",IF('Daily Sale entry '!Q1159="Collection 收款",ROUND(N('Daily Sale entry '!T1159),2),0))</f>
        <v/>
      </c>
    </row>
    <row r="1160">
      <c r="A1160" t="inlineStr">
        <is>
          <t>Entry 记录</t>
        </is>
      </c>
      <c r="B1160" s="5">
        <f>IF('Daily Sale entry '!P1160="","",'Daily Sale entry '!O1160)</f>
        <v/>
      </c>
      <c r="C1160">
        <f>IF('Daily Sale entry '!P1160="","",'Daily Sale entry '!P1160)</f>
        <v/>
      </c>
      <c r="D1160">
        <f>IF(C1160="","",IF('Daily Sale entry '!Q1160="Credit Sale 赊销",'Daily Sale entry '!S1160,0))</f>
        <v/>
      </c>
      <c r="E1160">
        <f>IF(C1160="","",IF('Daily Sale entry '!Q1160="Collection 收款",'Daily Sale entry '!S1160,0))</f>
        <v/>
      </c>
      <c r="F1160" s="37">
        <f>IF(C1160="","",B1160+IF(E1160&gt;0,0,0.5)+ROW()/10000000)</f>
        <v/>
      </c>
      <c r="G1160">
        <f>IF(C1160="","",'Daily Sale entry '!Q1160&amp;IF('Daily Sale entry '!Q1160="Collection 收款"," ("&amp;'Daily Sale entry '!R1160&amp;")","")&amp;IF('Daily Sale entry '!U1160="",""," - "&amp;'Daily Sale entry '!U1160))</f>
        <v/>
      </c>
      <c r="H1160">
        <f>IF(C1160="","",COUNTIFS($C$2:$C$3001,C1160,$F$2:$F$3001,"&lt;"&amp;F1160)+1)</f>
        <v/>
      </c>
      <c r="I1160">
        <f>IF(C1160="","",C1160&amp;"|"&amp;H1160)</f>
        <v/>
      </c>
      <c r="J1160" s="6">
        <f>IF(C1160="","",IF(H1160=1,SUMIFS('Opening Balance'!$F$4:$F$303,'Opening Balance'!$G$4:$G$303,C1160),INDEX($L$2:$L$3001,MATCH(C1160&amp;"|"&amp;(H1160-1),$I$2:$I$3001,0))))</f>
        <v/>
      </c>
      <c r="K1160" s="6">
        <f>IF(C1160="","",IF(M1160&gt;0,M1160,IF(AND(E1160&gt;0,ROUND(J1160+D1160-E1160,2)&gt;0,ROUND(J1160+D1160-E1160,2)&lt;'Opening Balance'!$B$14),ROUND(J1160+D1160-E1160,2),0)))</f>
        <v/>
      </c>
      <c r="L1160" s="6">
        <f>IF(C1160="","",ROUND(J1160+D1160-E1160-K1160,2))</f>
        <v/>
      </c>
      <c r="M1160" s="6">
        <f>IF(C1160="","",IF('Daily Sale entry '!Q1160="Collection 收款",ROUND(N('Daily Sale entry '!T1160),2),0))</f>
        <v/>
      </c>
    </row>
    <row r="1161">
      <c r="A1161" t="inlineStr">
        <is>
          <t>Entry 记录</t>
        </is>
      </c>
      <c r="B1161" s="5">
        <f>IF('Daily Sale entry '!P1161="","",'Daily Sale entry '!O1161)</f>
        <v/>
      </c>
      <c r="C1161">
        <f>IF('Daily Sale entry '!P1161="","",'Daily Sale entry '!P1161)</f>
        <v/>
      </c>
      <c r="D1161">
        <f>IF(C1161="","",IF('Daily Sale entry '!Q1161="Credit Sale 赊销",'Daily Sale entry '!S1161,0))</f>
        <v/>
      </c>
      <c r="E1161">
        <f>IF(C1161="","",IF('Daily Sale entry '!Q1161="Collection 收款",'Daily Sale entry '!S1161,0))</f>
        <v/>
      </c>
      <c r="F1161" s="37">
        <f>IF(C1161="","",B1161+IF(E1161&gt;0,0,0.5)+ROW()/10000000)</f>
        <v/>
      </c>
      <c r="G1161">
        <f>IF(C1161="","",'Daily Sale entry '!Q1161&amp;IF('Daily Sale entry '!Q1161="Collection 收款"," ("&amp;'Daily Sale entry '!R1161&amp;")","")&amp;IF('Daily Sale entry '!U1161="",""," - "&amp;'Daily Sale entry '!U1161))</f>
        <v/>
      </c>
      <c r="H1161">
        <f>IF(C1161="","",COUNTIFS($C$2:$C$3001,C1161,$F$2:$F$3001,"&lt;"&amp;F1161)+1)</f>
        <v/>
      </c>
      <c r="I1161">
        <f>IF(C1161="","",C1161&amp;"|"&amp;H1161)</f>
        <v/>
      </c>
      <c r="J1161" s="6">
        <f>IF(C1161="","",IF(H1161=1,SUMIFS('Opening Balance'!$F$4:$F$303,'Opening Balance'!$G$4:$G$303,C1161),INDEX($L$2:$L$3001,MATCH(C1161&amp;"|"&amp;(H1161-1),$I$2:$I$3001,0))))</f>
        <v/>
      </c>
      <c r="K1161" s="6">
        <f>IF(C1161="","",IF(M1161&gt;0,M1161,IF(AND(E1161&gt;0,ROUND(J1161+D1161-E1161,2)&gt;0,ROUND(J1161+D1161-E1161,2)&lt;'Opening Balance'!$B$14),ROUND(J1161+D1161-E1161,2),0)))</f>
        <v/>
      </c>
      <c r="L1161" s="6">
        <f>IF(C1161="","",ROUND(J1161+D1161-E1161-K1161,2))</f>
        <v/>
      </c>
      <c r="M1161" s="6">
        <f>IF(C1161="","",IF('Daily Sale entry '!Q1161="Collection 收款",ROUND(N('Daily Sale entry '!T1161),2),0))</f>
        <v/>
      </c>
    </row>
    <row r="1162">
      <c r="A1162" t="inlineStr">
        <is>
          <t>Entry 记录</t>
        </is>
      </c>
      <c r="B1162" s="5">
        <f>IF('Daily Sale entry '!P1162="","",'Daily Sale entry '!O1162)</f>
        <v/>
      </c>
      <c r="C1162">
        <f>IF('Daily Sale entry '!P1162="","",'Daily Sale entry '!P1162)</f>
        <v/>
      </c>
      <c r="D1162">
        <f>IF(C1162="","",IF('Daily Sale entry '!Q1162="Credit Sale 赊销",'Daily Sale entry '!S1162,0))</f>
        <v/>
      </c>
      <c r="E1162">
        <f>IF(C1162="","",IF('Daily Sale entry '!Q1162="Collection 收款",'Daily Sale entry '!S1162,0))</f>
        <v/>
      </c>
      <c r="F1162" s="37">
        <f>IF(C1162="","",B1162+IF(E1162&gt;0,0,0.5)+ROW()/10000000)</f>
        <v/>
      </c>
      <c r="G1162">
        <f>IF(C1162="","",'Daily Sale entry '!Q1162&amp;IF('Daily Sale entry '!Q1162="Collection 收款"," ("&amp;'Daily Sale entry '!R1162&amp;")","")&amp;IF('Daily Sale entry '!U1162="",""," - "&amp;'Daily Sale entry '!U1162))</f>
        <v/>
      </c>
      <c r="H1162">
        <f>IF(C1162="","",COUNTIFS($C$2:$C$3001,C1162,$F$2:$F$3001,"&lt;"&amp;F1162)+1)</f>
        <v/>
      </c>
      <c r="I1162">
        <f>IF(C1162="","",C1162&amp;"|"&amp;H1162)</f>
        <v/>
      </c>
      <c r="J1162" s="6">
        <f>IF(C1162="","",IF(H1162=1,SUMIFS('Opening Balance'!$F$4:$F$303,'Opening Balance'!$G$4:$G$303,C1162),INDEX($L$2:$L$3001,MATCH(C1162&amp;"|"&amp;(H1162-1),$I$2:$I$3001,0))))</f>
        <v/>
      </c>
      <c r="K1162" s="6">
        <f>IF(C1162="","",IF(M1162&gt;0,M1162,IF(AND(E1162&gt;0,ROUND(J1162+D1162-E1162,2)&gt;0,ROUND(J1162+D1162-E1162,2)&lt;'Opening Balance'!$B$14),ROUND(J1162+D1162-E1162,2),0)))</f>
        <v/>
      </c>
      <c r="L1162" s="6">
        <f>IF(C1162="","",ROUND(J1162+D1162-E1162-K1162,2))</f>
        <v/>
      </c>
      <c r="M1162" s="6">
        <f>IF(C1162="","",IF('Daily Sale entry '!Q1162="Collection 收款",ROUND(N('Daily Sale entry '!T1162),2),0))</f>
        <v/>
      </c>
    </row>
    <row r="1163">
      <c r="A1163" t="inlineStr">
        <is>
          <t>Entry 记录</t>
        </is>
      </c>
      <c r="B1163" s="5">
        <f>IF('Daily Sale entry '!P1163="","",'Daily Sale entry '!O1163)</f>
        <v/>
      </c>
      <c r="C1163">
        <f>IF('Daily Sale entry '!P1163="","",'Daily Sale entry '!P1163)</f>
        <v/>
      </c>
      <c r="D1163">
        <f>IF(C1163="","",IF('Daily Sale entry '!Q1163="Credit Sale 赊销",'Daily Sale entry '!S1163,0))</f>
        <v/>
      </c>
      <c r="E1163">
        <f>IF(C1163="","",IF('Daily Sale entry '!Q1163="Collection 收款",'Daily Sale entry '!S1163,0))</f>
        <v/>
      </c>
      <c r="F1163" s="37">
        <f>IF(C1163="","",B1163+IF(E1163&gt;0,0,0.5)+ROW()/10000000)</f>
        <v/>
      </c>
      <c r="G1163">
        <f>IF(C1163="","",'Daily Sale entry '!Q1163&amp;IF('Daily Sale entry '!Q1163="Collection 收款"," ("&amp;'Daily Sale entry '!R1163&amp;")","")&amp;IF('Daily Sale entry '!U1163="",""," - "&amp;'Daily Sale entry '!U1163))</f>
        <v/>
      </c>
      <c r="H1163">
        <f>IF(C1163="","",COUNTIFS($C$2:$C$3001,C1163,$F$2:$F$3001,"&lt;"&amp;F1163)+1)</f>
        <v/>
      </c>
      <c r="I1163">
        <f>IF(C1163="","",C1163&amp;"|"&amp;H1163)</f>
        <v/>
      </c>
      <c r="J1163" s="6">
        <f>IF(C1163="","",IF(H1163=1,SUMIFS('Opening Balance'!$F$4:$F$303,'Opening Balance'!$G$4:$G$303,C1163),INDEX($L$2:$L$3001,MATCH(C1163&amp;"|"&amp;(H1163-1),$I$2:$I$3001,0))))</f>
        <v/>
      </c>
      <c r="K1163" s="6">
        <f>IF(C1163="","",IF(M1163&gt;0,M1163,IF(AND(E1163&gt;0,ROUND(J1163+D1163-E1163,2)&gt;0,ROUND(J1163+D1163-E1163,2)&lt;'Opening Balance'!$B$14),ROUND(J1163+D1163-E1163,2),0)))</f>
        <v/>
      </c>
      <c r="L1163" s="6">
        <f>IF(C1163="","",ROUND(J1163+D1163-E1163-K1163,2))</f>
        <v/>
      </c>
      <c r="M1163" s="6">
        <f>IF(C1163="","",IF('Daily Sale entry '!Q1163="Collection 收款",ROUND(N('Daily Sale entry '!T1163),2),0))</f>
        <v/>
      </c>
    </row>
    <row r="1164">
      <c r="A1164" t="inlineStr">
        <is>
          <t>Entry 记录</t>
        </is>
      </c>
      <c r="B1164" s="5">
        <f>IF('Daily Sale entry '!P1164="","",'Daily Sale entry '!O1164)</f>
        <v/>
      </c>
      <c r="C1164">
        <f>IF('Daily Sale entry '!P1164="","",'Daily Sale entry '!P1164)</f>
        <v/>
      </c>
      <c r="D1164">
        <f>IF(C1164="","",IF('Daily Sale entry '!Q1164="Credit Sale 赊销",'Daily Sale entry '!S1164,0))</f>
        <v/>
      </c>
      <c r="E1164">
        <f>IF(C1164="","",IF('Daily Sale entry '!Q1164="Collection 收款",'Daily Sale entry '!S1164,0))</f>
        <v/>
      </c>
      <c r="F1164" s="37">
        <f>IF(C1164="","",B1164+IF(E1164&gt;0,0,0.5)+ROW()/10000000)</f>
        <v/>
      </c>
      <c r="G1164">
        <f>IF(C1164="","",'Daily Sale entry '!Q1164&amp;IF('Daily Sale entry '!Q1164="Collection 收款"," ("&amp;'Daily Sale entry '!R1164&amp;")","")&amp;IF('Daily Sale entry '!U1164="",""," - "&amp;'Daily Sale entry '!U1164))</f>
        <v/>
      </c>
      <c r="H1164">
        <f>IF(C1164="","",COUNTIFS($C$2:$C$3001,C1164,$F$2:$F$3001,"&lt;"&amp;F1164)+1)</f>
        <v/>
      </c>
      <c r="I1164">
        <f>IF(C1164="","",C1164&amp;"|"&amp;H1164)</f>
        <v/>
      </c>
      <c r="J1164" s="6">
        <f>IF(C1164="","",IF(H1164=1,SUMIFS('Opening Balance'!$F$4:$F$303,'Opening Balance'!$G$4:$G$303,C1164),INDEX($L$2:$L$3001,MATCH(C1164&amp;"|"&amp;(H1164-1),$I$2:$I$3001,0))))</f>
        <v/>
      </c>
      <c r="K1164" s="6">
        <f>IF(C1164="","",IF(M1164&gt;0,M1164,IF(AND(E1164&gt;0,ROUND(J1164+D1164-E1164,2)&gt;0,ROUND(J1164+D1164-E1164,2)&lt;'Opening Balance'!$B$14),ROUND(J1164+D1164-E1164,2),0)))</f>
        <v/>
      </c>
      <c r="L1164" s="6">
        <f>IF(C1164="","",ROUND(J1164+D1164-E1164-K1164,2))</f>
        <v/>
      </c>
      <c r="M1164" s="6">
        <f>IF(C1164="","",IF('Daily Sale entry '!Q1164="Collection 收款",ROUND(N('Daily Sale entry '!T1164),2),0))</f>
        <v/>
      </c>
    </row>
    <row r="1165">
      <c r="A1165" t="inlineStr">
        <is>
          <t>Entry 记录</t>
        </is>
      </c>
      <c r="B1165" s="5">
        <f>IF('Daily Sale entry '!P1165="","",'Daily Sale entry '!O1165)</f>
        <v/>
      </c>
      <c r="C1165">
        <f>IF('Daily Sale entry '!P1165="","",'Daily Sale entry '!P1165)</f>
        <v/>
      </c>
      <c r="D1165">
        <f>IF(C1165="","",IF('Daily Sale entry '!Q1165="Credit Sale 赊销",'Daily Sale entry '!S1165,0))</f>
        <v/>
      </c>
      <c r="E1165">
        <f>IF(C1165="","",IF('Daily Sale entry '!Q1165="Collection 收款",'Daily Sale entry '!S1165,0))</f>
        <v/>
      </c>
      <c r="F1165" s="37">
        <f>IF(C1165="","",B1165+IF(E1165&gt;0,0,0.5)+ROW()/10000000)</f>
        <v/>
      </c>
      <c r="G1165">
        <f>IF(C1165="","",'Daily Sale entry '!Q1165&amp;IF('Daily Sale entry '!Q1165="Collection 收款"," ("&amp;'Daily Sale entry '!R1165&amp;")","")&amp;IF('Daily Sale entry '!U1165="",""," - "&amp;'Daily Sale entry '!U1165))</f>
        <v/>
      </c>
      <c r="H1165">
        <f>IF(C1165="","",COUNTIFS($C$2:$C$3001,C1165,$F$2:$F$3001,"&lt;"&amp;F1165)+1)</f>
        <v/>
      </c>
      <c r="I1165">
        <f>IF(C1165="","",C1165&amp;"|"&amp;H1165)</f>
        <v/>
      </c>
      <c r="J1165" s="6">
        <f>IF(C1165="","",IF(H1165=1,SUMIFS('Opening Balance'!$F$4:$F$303,'Opening Balance'!$G$4:$G$303,C1165),INDEX($L$2:$L$3001,MATCH(C1165&amp;"|"&amp;(H1165-1),$I$2:$I$3001,0))))</f>
        <v/>
      </c>
      <c r="K1165" s="6">
        <f>IF(C1165="","",IF(M1165&gt;0,M1165,IF(AND(E1165&gt;0,ROUND(J1165+D1165-E1165,2)&gt;0,ROUND(J1165+D1165-E1165,2)&lt;'Opening Balance'!$B$14),ROUND(J1165+D1165-E1165,2),0)))</f>
        <v/>
      </c>
      <c r="L1165" s="6">
        <f>IF(C1165="","",ROUND(J1165+D1165-E1165-K1165,2))</f>
        <v/>
      </c>
      <c r="M1165" s="6">
        <f>IF(C1165="","",IF('Daily Sale entry '!Q1165="Collection 收款",ROUND(N('Daily Sale entry '!T1165),2),0))</f>
        <v/>
      </c>
    </row>
    <row r="1166">
      <c r="A1166" t="inlineStr">
        <is>
          <t>Entry 记录</t>
        </is>
      </c>
      <c r="B1166" s="5">
        <f>IF('Daily Sale entry '!P1166="","",'Daily Sale entry '!O1166)</f>
        <v/>
      </c>
      <c r="C1166">
        <f>IF('Daily Sale entry '!P1166="","",'Daily Sale entry '!P1166)</f>
        <v/>
      </c>
      <c r="D1166">
        <f>IF(C1166="","",IF('Daily Sale entry '!Q1166="Credit Sale 赊销",'Daily Sale entry '!S1166,0))</f>
        <v/>
      </c>
      <c r="E1166">
        <f>IF(C1166="","",IF('Daily Sale entry '!Q1166="Collection 收款",'Daily Sale entry '!S1166,0))</f>
        <v/>
      </c>
      <c r="F1166" s="37">
        <f>IF(C1166="","",B1166+IF(E1166&gt;0,0,0.5)+ROW()/10000000)</f>
        <v/>
      </c>
      <c r="G1166">
        <f>IF(C1166="","",'Daily Sale entry '!Q1166&amp;IF('Daily Sale entry '!Q1166="Collection 收款"," ("&amp;'Daily Sale entry '!R1166&amp;")","")&amp;IF('Daily Sale entry '!U1166="",""," - "&amp;'Daily Sale entry '!U1166))</f>
        <v/>
      </c>
      <c r="H1166">
        <f>IF(C1166="","",COUNTIFS($C$2:$C$3001,C1166,$F$2:$F$3001,"&lt;"&amp;F1166)+1)</f>
        <v/>
      </c>
      <c r="I1166">
        <f>IF(C1166="","",C1166&amp;"|"&amp;H1166)</f>
        <v/>
      </c>
      <c r="J1166" s="6">
        <f>IF(C1166="","",IF(H1166=1,SUMIFS('Opening Balance'!$F$4:$F$303,'Opening Balance'!$G$4:$G$303,C1166),INDEX($L$2:$L$3001,MATCH(C1166&amp;"|"&amp;(H1166-1),$I$2:$I$3001,0))))</f>
        <v/>
      </c>
      <c r="K1166" s="6">
        <f>IF(C1166="","",IF(M1166&gt;0,M1166,IF(AND(E1166&gt;0,ROUND(J1166+D1166-E1166,2)&gt;0,ROUND(J1166+D1166-E1166,2)&lt;'Opening Balance'!$B$14),ROUND(J1166+D1166-E1166,2),0)))</f>
        <v/>
      </c>
      <c r="L1166" s="6">
        <f>IF(C1166="","",ROUND(J1166+D1166-E1166-K1166,2))</f>
        <v/>
      </c>
      <c r="M1166" s="6">
        <f>IF(C1166="","",IF('Daily Sale entry '!Q1166="Collection 收款",ROUND(N('Daily Sale entry '!T1166),2),0))</f>
        <v/>
      </c>
    </row>
    <row r="1167">
      <c r="A1167" t="inlineStr">
        <is>
          <t>Entry 记录</t>
        </is>
      </c>
      <c r="B1167" s="5">
        <f>IF('Daily Sale entry '!P1167="","",'Daily Sale entry '!O1167)</f>
        <v/>
      </c>
      <c r="C1167">
        <f>IF('Daily Sale entry '!P1167="","",'Daily Sale entry '!P1167)</f>
        <v/>
      </c>
      <c r="D1167">
        <f>IF(C1167="","",IF('Daily Sale entry '!Q1167="Credit Sale 赊销",'Daily Sale entry '!S1167,0))</f>
        <v/>
      </c>
      <c r="E1167">
        <f>IF(C1167="","",IF('Daily Sale entry '!Q1167="Collection 收款",'Daily Sale entry '!S1167,0))</f>
        <v/>
      </c>
      <c r="F1167" s="37">
        <f>IF(C1167="","",B1167+IF(E1167&gt;0,0,0.5)+ROW()/10000000)</f>
        <v/>
      </c>
      <c r="G1167">
        <f>IF(C1167="","",'Daily Sale entry '!Q1167&amp;IF('Daily Sale entry '!Q1167="Collection 收款"," ("&amp;'Daily Sale entry '!R1167&amp;")","")&amp;IF('Daily Sale entry '!U1167="",""," - "&amp;'Daily Sale entry '!U1167))</f>
        <v/>
      </c>
      <c r="H1167">
        <f>IF(C1167="","",COUNTIFS($C$2:$C$3001,C1167,$F$2:$F$3001,"&lt;"&amp;F1167)+1)</f>
        <v/>
      </c>
      <c r="I1167">
        <f>IF(C1167="","",C1167&amp;"|"&amp;H1167)</f>
        <v/>
      </c>
      <c r="J1167" s="6">
        <f>IF(C1167="","",IF(H1167=1,SUMIFS('Opening Balance'!$F$4:$F$303,'Opening Balance'!$G$4:$G$303,C1167),INDEX($L$2:$L$3001,MATCH(C1167&amp;"|"&amp;(H1167-1),$I$2:$I$3001,0))))</f>
        <v/>
      </c>
      <c r="K1167" s="6">
        <f>IF(C1167="","",IF(M1167&gt;0,M1167,IF(AND(E1167&gt;0,ROUND(J1167+D1167-E1167,2)&gt;0,ROUND(J1167+D1167-E1167,2)&lt;'Opening Balance'!$B$14),ROUND(J1167+D1167-E1167,2),0)))</f>
        <v/>
      </c>
      <c r="L1167" s="6">
        <f>IF(C1167="","",ROUND(J1167+D1167-E1167-K1167,2))</f>
        <v/>
      </c>
      <c r="M1167" s="6">
        <f>IF(C1167="","",IF('Daily Sale entry '!Q1167="Collection 收款",ROUND(N('Daily Sale entry '!T1167),2),0))</f>
        <v/>
      </c>
    </row>
    <row r="1168">
      <c r="A1168" t="inlineStr">
        <is>
          <t>Entry 记录</t>
        </is>
      </c>
      <c r="B1168" s="5">
        <f>IF('Daily Sale entry '!P1168="","",'Daily Sale entry '!O1168)</f>
        <v/>
      </c>
      <c r="C1168">
        <f>IF('Daily Sale entry '!P1168="","",'Daily Sale entry '!P1168)</f>
        <v/>
      </c>
      <c r="D1168">
        <f>IF(C1168="","",IF('Daily Sale entry '!Q1168="Credit Sale 赊销",'Daily Sale entry '!S1168,0))</f>
        <v/>
      </c>
      <c r="E1168">
        <f>IF(C1168="","",IF('Daily Sale entry '!Q1168="Collection 收款",'Daily Sale entry '!S1168,0))</f>
        <v/>
      </c>
      <c r="F1168" s="37">
        <f>IF(C1168="","",B1168+IF(E1168&gt;0,0,0.5)+ROW()/10000000)</f>
        <v/>
      </c>
      <c r="G1168">
        <f>IF(C1168="","",'Daily Sale entry '!Q1168&amp;IF('Daily Sale entry '!Q1168="Collection 收款"," ("&amp;'Daily Sale entry '!R1168&amp;")","")&amp;IF('Daily Sale entry '!U1168="",""," - "&amp;'Daily Sale entry '!U1168))</f>
        <v/>
      </c>
      <c r="H1168">
        <f>IF(C1168="","",COUNTIFS($C$2:$C$3001,C1168,$F$2:$F$3001,"&lt;"&amp;F1168)+1)</f>
        <v/>
      </c>
      <c r="I1168">
        <f>IF(C1168="","",C1168&amp;"|"&amp;H1168)</f>
        <v/>
      </c>
      <c r="J1168" s="6">
        <f>IF(C1168="","",IF(H1168=1,SUMIFS('Opening Balance'!$F$4:$F$303,'Opening Balance'!$G$4:$G$303,C1168),INDEX($L$2:$L$3001,MATCH(C1168&amp;"|"&amp;(H1168-1),$I$2:$I$3001,0))))</f>
        <v/>
      </c>
      <c r="K1168" s="6">
        <f>IF(C1168="","",IF(M1168&gt;0,M1168,IF(AND(E1168&gt;0,ROUND(J1168+D1168-E1168,2)&gt;0,ROUND(J1168+D1168-E1168,2)&lt;'Opening Balance'!$B$14),ROUND(J1168+D1168-E1168,2),0)))</f>
        <v/>
      </c>
      <c r="L1168" s="6">
        <f>IF(C1168="","",ROUND(J1168+D1168-E1168-K1168,2))</f>
        <v/>
      </c>
      <c r="M1168" s="6">
        <f>IF(C1168="","",IF('Daily Sale entry '!Q1168="Collection 收款",ROUND(N('Daily Sale entry '!T1168),2),0))</f>
        <v/>
      </c>
    </row>
    <row r="1169">
      <c r="A1169" t="inlineStr">
        <is>
          <t>Entry 记录</t>
        </is>
      </c>
      <c r="B1169" s="5">
        <f>IF('Daily Sale entry '!P1169="","",'Daily Sale entry '!O1169)</f>
        <v/>
      </c>
      <c r="C1169">
        <f>IF('Daily Sale entry '!P1169="","",'Daily Sale entry '!P1169)</f>
        <v/>
      </c>
      <c r="D1169">
        <f>IF(C1169="","",IF('Daily Sale entry '!Q1169="Credit Sale 赊销",'Daily Sale entry '!S1169,0))</f>
        <v/>
      </c>
      <c r="E1169">
        <f>IF(C1169="","",IF('Daily Sale entry '!Q1169="Collection 收款",'Daily Sale entry '!S1169,0))</f>
        <v/>
      </c>
      <c r="F1169" s="37">
        <f>IF(C1169="","",B1169+IF(E1169&gt;0,0,0.5)+ROW()/10000000)</f>
        <v/>
      </c>
      <c r="G1169">
        <f>IF(C1169="","",'Daily Sale entry '!Q1169&amp;IF('Daily Sale entry '!Q1169="Collection 收款"," ("&amp;'Daily Sale entry '!R1169&amp;")","")&amp;IF('Daily Sale entry '!U1169="",""," - "&amp;'Daily Sale entry '!U1169))</f>
        <v/>
      </c>
      <c r="H1169">
        <f>IF(C1169="","",COUNTIFS($C$2:$C$3001,C1169,$F$2:$F$3001,"&lt;"&amp;F1169)+1)</f>
        <v/>
      </c>
      <c r="I1169">
        <f>IF(C1169="","",C1169&amp;"|"&amp;H1169)</f>
        <v/>
      </c>
      <c r="J1169" s="6">
        <f>IF(C1169="","",IF(H1169=1,SUMIFS('Opening Balance'!$F$4:$F$303,'Opening Balance'!$G$4:$G$303,C1169),INDEX($L$2:$L$3001,MATCH(C1169&amp;"|"&amp;(H1169-1),$I$2:$I$3001,0))))</f>
        <v/>
      </c>
      <c r="K1169" s="6">
        <f>IF(C1169="","",IF(M1169&gt;0,M1169,IF(AND(E1169&gt;0,ROUND(J1169+D1169-E1169,2)&gt;0,ROUND(J1169+D1169-E1169,2)&lt;'Opening Balance'!$B$14),ROUND(J1169+D1169-E1169,2),0)))</f>
        <v/>
      </c>
      <c r="L1169" s="6">
        <f>IF(C1169="","",ROUND(J1169+D1169-E1169-K1169,2))</f>
        <v/>
      </c>
      <c r="M1169" s="6">
        <f>IF(C1169="","",IF('Daily Sale entry '!Q1169="Collection 收款",ROUND(N('Daily Sale entry '!T1169),2),0))</f>
        <v/>
      </c>
    </row>
    <row r="1170">
      <c r="A1170" t="inlineStr">
        <is>
          <t>Entry 记录</t>
        </is>
      </c>
      <c r="B1170" s="5">
        <f>IF('Daily Sale entry '!P1170="","",'Daily Sale entry '!O1170)</f>
        <v/>
      </c>
      <c r="C1170">
        <f>IF('Daily Sale entry '!P1170="","",'Daily Sale entry '!P1170)</f>
        <v/>
      </c>
      <c r="D1170">
        <f>IF(C1170="","",IF('Daily Sale entry '!Q1170="Credit Sale 赊销",'Daily Sale entry '!S1170,0))</f>
        <v/>
      </c>
      <c r="E1170">
        <f>IF(C1170="","",IF('Daily Sale entry '!Q1170="Collection 收款",'Daily Sale entry '!S1170,0))</f>
        <v/>
      </c>
      <c r="F1170" s="37">
        <f>IF(C1170="","",B1170+IF(E1170&gt;0,0,0.5)+ROW()/10000000)</f>
        <v/>
      </c>
      <c r="G1170">
        <f>IF(C1170="","",'Daily Sale entry '!Q1170&amp;IF('Daily Sale entry '!Q1170="Collection 收款"," ("&amp;'Daily Sale entry '!R1170&amp;")","")&amp;IF('Daily Sale entry '!U1170="",""," - "&amp;'Daily Sale entry '!U1170))</f>
        <v/>
      </c>
      <c r="H1170">
        <f>IF(C1170="","",COUNTIFS($C$2:$C$3001,C1170,$F$2:$F$3001,"&lt;"&amp;F1170)+1)</f>
        <v/>
      </c>
      <c r="I1170">
        <f>IF(C1170="","",C1170&amp;"|"&amp;H1170)</f>
        <v/>
      </c>
      <c r="J1170" s="6">
        <f>IF(C1170="","",IF(H1170=1,SUMIFS('Opening Balance'!$F$4:$F$303,'Opening Balance'!$G$4:$G$303,C1170),INDEX($L$2:$L$3001,MATCH(C1170&amp;"|"&amp;(H1170-1),$I$2:$I$3001,0))))</f>
        <v/>
      </c>
      <c r="K1170" s="6">
        <f>IF(C1170="","",IF(M1170&gt;0,M1170,IF(AND(E1170&gt;0,ROUND(J1170+D1170-E1170,2)&gt;0,ROUND(J1170+D1170-E1170,2)&lt;'Opening Balance'!$B$14),ROUND(J1170+D1170-E1170,2),0)))</f>
        <v/>
      </c>
      <c r="L1170" s="6">
        <f>IF(C1170="","",ROUND(J1170+D1170-E1170-K1170,2))</f>
        <v/>
      </c>
      <c r="M1170" s="6">
        <f>IF(C1170="","",IF('Daily Sale entry '!Q1170="Collection 收款",ROUND(N('Daily Sale entry '!T1170),2),0))</f>
        <v/>
      </c>
    </row>
    <row r="1171">
      <c r="A1171" t="inlineStr">
        <is>
          <t>Entry 记录</t>
        </is>
      </c>
      <c r="B1171" s="5">
        <f>IF('Daily Sale entry '!P1171="","",'Daily Sale entry '!O1171)</f>
        <v/>
      </c>
      <c r="C1171">
        <f>IF('Daily Sale entry '!P1171="","",'Daily Sale entry '!P1171)</f>
        <v/>
      </c>
      <c r="D1171">
        <f>IF(C1171="","",IF('Daily Sale entry '!Q1171="Credit Sale 赊销",'Daily Sale entry '!S1171,0))</f>
        <v/>
      </c>
      <c r="E1171">
        <f>IF(C1171="","",IF('Daily Sale entry '!Q1171="Collection 收款",'Daily Sale entry '!S1171,0))</f>
        <v/>
      </c>
      <c r="F1171" s="37">
        <f>IF(C1171="","",B1171+IF(E1171&gt;0,0,0.5)+ROW()/10000000)</f>
        <v/>
      </c>
      <c r="G1171">
        <f>IF(C1171="","",'Daily Sale entry '!Q1171&amp;IF('Daily Sale entry '!Q1171="Collection 收款"," ("&amp;'Daily Sale entry '!R1171&amp;")","")&amp;IF('Daily Sale entry '!U1171="",""," - "&amp;'Daily Sale entry '!U1171))</f>
        <v/>
      </c>
      <c r="H1171">
        <f>IF(C1171="","",COUNTIFS($C$2:$C$3001,C1171,$F$2:$F$3001,"&lt;"&amp;F1171)+1)</f>
        <v/>
      </c>
      <c r="I1171">
        <f>IF(C1171="","",C1171&amp;"|"&amp;H1171)</f>
        <v/>
      </c>
      <c r="J1171" s="6">
        <f>IF(C1171="","",IF(H1171=1,SUMIFS('Opening Balance'!$F$4:$F$303,'Opening Balance'!$G$4:$G$303,C1171),INDEX($L$2:$L$3001,MATCH(C1171&amp;"|"&amp;(H1171-1),$I$2:$I$3001,0))))</f>
        <v/>
      </c>
      <c r="K1171" s="6">
        <f>IF(C1171="","",IF(M1171&gt;0,M1171,IF(AND(E1171&gt;0,ROUND(J1171+D1171-E1171,2)&gt;0,ROUND(J1171+D1171-E1171,2)&lt;'Opening Balance'!$B$14),ROUND(J1171+D1171-E1171,2),0)))</f>
        <v/>
      </c>
      <c r="L1171" s="6">
        <f>IF(C1171="","",ROUND(J1171+D1171-E1171-K1171,2))</f>
        <v/>
      </c>
      <c r="M1171" s="6">
        <f>IF(C1171="","",IF('Daily Sale entry '!Q1171="Collection 收款",ROUND(N('Daily Sale entry '!T1171),2),0))</f>
        <v/>
      </c>
    </row>
    <row r="1172">
      <c r="A1172" t="inlineStr">
        <is>
          <t>Entry 记录</t>
        </is>
      </c>
      <c r="B1172" s="5">
        <f>IF('Daily Sale entry '!P1172="","",'Daily Sale entry '!O1172)</f>
        <v/>
      </c>
      <c r="C1172">
        <f>IF('Daily Sale entry '!P1172="","",'Daily Sale entry '!P1172)</f>
        <v/>
      </c>
      <c r="D1172">
        <f>IF(C1172="","",IF('Daily Sale entry '!Q1172="Credit Sale 赊销",'Daily Sale entry '!S1172,0))</f>
        <v/>
      </c>
      <c r="E1172">
        <f>IF(C1172="","",IF('Daily Sale entry '!Q1172="Collection 收款",'Daily Sale entry '!S1172,0))</f>
        <v/>
      </c>
      <c r="F1172" s="37">
        <f>IF(C1172="","",B1172+IF(E1172&gt;0,0,0.5)+ROW()/10000000)</f>
        <v/>
      </c>
      <c r="G1172">
        <f>IF(C1172="","",'Daily Sale entry '!Q1172&amp;IF('Daily Sale entry '!Q1172="Collection 收款"," ("&amp;'Daily Sale entry '!R1172&amp;")","")&amp;IF('Daily Sale entry '!U1172="",""," - "&amp;'Daily Sale entry '!U1172))</f>
        <v/>
      </c>
      <c r="H1172">
        <f>IF(C1172="","",COUNTIFS($C$2:$C$3001,C1172,$F$2:$F$3001,"&lt;"&amp;F1172)+1)</f>
        <v/>
      </c>
      <c r="I1172">
        <f>IF(C1172="","",C1172&amp;"|"&amp;H1172)</f>
        <v/>
      </c>
      <c r="J1172" s="6">
        <f>IF(C1172="","",IF(H1172=1,SUMIFS('Opening Balance'!$F$4:$F$303,'Opening Balance'!$G$4:$G$303,C1172),INDEX($L$2:$L$3001,MATCH(C1172&amp;"|"&amp;(H1172-1),$I$2:$I$3001,0))))</f>
        <v/>
      </c>
      <c r="K1172" s="6">
        <f>IF(C1172="","",IF(M1172&gt;0,M1172,IF(AND(E1172&gt;0,ROUND(J1172+D1172-E1172,2)&gt;0,ROUND(J1172+D1172-E1172,2)&lt;'Opening Balance'!$B$14),ROUND(J1172+D1172-E1172,2),0)))</f>
        <v/>
      </c>
      <c r="L1172" s="6">
        <f>IF(C1172="","",ROUND(J1172+D1172-E1172-K1172,2))</f>
        <v/>
      </c>
      <c r="M1172" s="6">
        <f>IF(C1172="","",IF('Daily Sale entry '!Q1172="Collection 收款",ROUND(N('Daily Sale entry '!T1172),2),0))</f>
        <v/>
      </c>
    </row>
    <row r="1173">
      <c r="A1173" t="inlineStr">
        <is>
          <t>Entry 记录</t>
        </is>
      </c>
      <c r="B1173" s="5">
        <f>IF('Daily Sale entry '!P1173="","",'Daily Sale entry '!O1173)</f>
        <v/>
      </c>
      <c r="C1173">
        <f>IF('Daily Sale entry '!P1173="","",'Daily Sale entry '!P1173)</f>
        <v/>
      </c>
      <c r="D1173">
        <f>IF(C1173="","",IF('Daily Sale entry '!Q1173="Credit Sale 赊销",'Daily Sale entry '!S1173,0))</f>
        <v/>
      </c>
      <c r="E1173">
        <f>IF(C1173="","",IF('Daily Sale entry '!Q1173="Collection 收款",'Daily Sale entry '!S1173,0))</f>
        <v/>
      </c>
      <c r="F1173" s="37">
        <f>IF(C1173="","",B1173+IF(E1173&gt;0,0,0.5)+ROW()/10000000)</f>
        <v/>
      </c>
      <c r="G1173">
        <f>IF(C1173="","",'Daily Sale entry '!Q1173&amp;IF('Daily Sale entry '!Q1173="Collection 收款"," ("&amp;'Daily Sale entry '!R1173&amp;")","")&amp;IF('Daily Sale entry '!U1173="",""," - "&amp;'Daily Sale entry '!U1173))</f>
        <v/>
      </c>
      <c r="H1173">
        <f>IF(C1173="","",COUNTIFS($C$2:$C$3001,C1173,$F$2:$F$3001,"&lt;"&amp;F1173)+1)</f>
        <v/>
      </c>
      <c r="I1173">
        <f>IF(C1173="","",C1173&amp;"|"&amp;H1173)</f>
        <v/>
      </c>
      <c r="J1173" s="6">
        <f>IF(C1173="","",IF(H1173=1,SUMIFS('Opening Balance'!$F$4:$F$303,'Opening Balance'!$G$4:$G$303,C1173),INDEX($L$2:$L$3001,MATCH(C1173&amp;"|"&amp;(H1173-1),$I$2:$I$3001,0))))</f>
        <v/>
      </c>
      <c r="K1173" s="6">
        <f>IF(C1173="","",IF(M1173&gt;0,M1173,IF(AND(E1173&gt;0,ROUND(J1173+D1173-E1173,2)&gt;0,ROUND(J1173+D1173-E1173,2)&lt;'Opening Balance'!$B$14),ROUND(J1173+D1173-E1173,2),0)))</f>
        <v/>
      </c>
      <c r="L1173" s="6">
        <f>IF(C1173="","",ROUND(J1173+D1173-E1173-K1173,2))</f>
        <v/>
      </c>
      <c r="M1173" s="6">
        <f>IF(C1173="","",IF('Daily Sale entry '!Q1173="Collection 收款",ROUND(N('Daily Sale entry '!T1173),2),0))</f>
        <v/>
      </c>
    </row>
    <row r="1174">
      <c r="A1174" t="inlineStr">
        <is>
          <t>Entry 记录</t>
        </is>
      </c>
      <c r="B1174" s="5">
        <f>IF('Daily Sale entry '!P1174="","",'Daily Sale entry '!O1174)</f>
        <v/>
      </c>
      <c r="C1174">
        <f>IF('Daily Sale entry '!P1174="","",'Daily Sale entry '!P1174)</f>
        <v/>
      </c>
      <c r="D1174">
        <f>IF(C1174="","",IF('Daily Sale entry '!Q1174="Credit Sale 赊销",'Daily Sale entry '!S1174,0))</f>
        <v/>
      </c>
      <c r="E1174">
        <f>IF(C1174="","",IF('Daily Sale entry '!Q1174="Collection 收款",'Daily Sale entry '!S1174,0))</f>
        <v/>
      </c>
      <c r="F1174" s="37">
        <f>IF(C1174="","",B1174+IF(E1174&gt;0,0,0.5)+ROW()/10000000)</f>
        <v/>
      </c>
      <c r="G1174">
        <f>IF(C1174="","",'Daily Sale entry '!Q1174&amp;IF('Daily Sale entry '!Q1174="Collection 收款"," ("&amp;'Daily Sale entry '!R1174&amp;")","")&amp;IF('Daily Sale entry '!U1174="",""," - "&amp;'Daily Sale entry '!U1174))</f>
        <v/>
      </c>
      <c r="H1174">
        <f>IF(C1174="","",COUNTIFS($C$2:$C$3001,C1174,$F$2:$F$3001,"&lt;"&amp;F1174)+1)</f>
        <v/>
      </c>
      <c r="I1174">
        <f>IF(C1174="","",C1174&amp;"|"&amp;H1174)</f>
        <v/>
      </c>
      <c r="J1174" s="6">
        <f>IF(C1174="","",IF(H1174=1,SUMIFS('Opening Balance'!$F$4:$F$303,'Opening Balance'!$G$4:$G$303,C1174),INDEX($L$2:$L$3001,MATCH(C1174&amp;"|"&amp;(H1174-1),$I$2:$I$3001,0))))</f>
        <v/>
      </c>
      <c r="K1174" s="6">
        <f>IF(C1174="","",IF(M1174&gt;0,M1174,IF(AND(E1174&gt;0,ROUND(J1174+D1174-E1174,2)&gt;0,ROUND(J1174+D1174-E1174,2)&lt;'Opening Balance'!$B$14),ROUND(J1174+D1174-E1174,2),0)))</f>
        <v/>
      </c>
      <c r="L1174" s="6">
        <f>IF(C1174="","",ROUND(J1174+D1174-E1174-K1174,2))</f>
        <v/>
      </c>
      <c r="M1174" s="6">
        <f>IF(C1174="","",IF('Daily Sale entry '!Q1174="Collection 收款",ROUND(N('Daily Sale entry '!T1174),2),0))</f>
        <v/>
      </c>
    </row>
    <row r="1175">
      <c r="A1175" t="inlineStr">
        <is>
          <t>Entry 记录</t>
        </is>
      </c>
      <c r="B1175" s="5">
        <f>IF('Daily Sale entry '!P1175="","",'Daily Sale entry '!O1175)</f>
        <v/>
      </c>
      <c r="C1175">
        <f>IF('Daily Sale entry '!P1175="","",'Daily Sale entry '!P1175)</f>
        <v/>
      </c>
      <c r="D1175">
        <f>IF(C1175="","",IF('Daily Sale entry '!Q1175="Credit Sale 赊销",'Daily Sale entry '!S1175,0))</f>
        <v/>
      </c>
      <c r="E1175">
        <f>IF(C1175="","",IF('Daily Sale entry '!Q1175="Collection 收款",'Daily Sale entry '!S1175,0))</f>
        <v/>
      </c>
      <c r="F1175" s="37">
        <f>IF(C1175="","",B1175+IF(E1175&gt;0,0,0.5)+ROW()/10000000)</f>
        <v/>
      </c>
      <c r="G1175">
        <f>IF(C1175="","",'Daily Sale entry '!Q1175&amp;IF('Daily Sale entry '!Q1175="Collection 收款"," ("&amp;'Daily Sale entry '!R1175&amp;")","")&amp;IF('Daily Sale entry '!U1175="",""," - "&amp;'Daily Sale entry '!U1175))</f>
        <v/>
      </c>
      <c r="H1175">
        <f>IF(C1175="","",COUNTIFS($C$2:$C$3001,C1175,$F$2:$F$3001,"&lt;"&amp;F1175)+1)</f>
        <v/>
      </c>
      <c r="I1175">
        <f>IF(C1175="","",C1175&amp;"|"&amp;H1175)</f>
        <v/>
      </c>
      <c r="J1175" s="6">
        <f>IF(C1175="","",IF(H1175=1,SUMIFS('Opening Balance'!$F$4:$F$303,'Opening Balance'!$G$4:$G$303,C1175),INDEX($L$2:$L$3001,MATCH(C1175&amp;"|"&amp;(H1175-1),$I$2:$I$3001,0))))</f>
        <v/>
      </c>
      <c r="K1175" s="6">
        <f>IF(C1175="","",IF(M1175&gt;0,M1175,IF(AND(E1175&gt;0,ROUND(J1175+D1175-E1175,2)&gt;0,ROUND(J1175+D1175-E1175,2)&lt;'Opening Balance'!$B$14),ROUND(J1175+D1175-E1175,2),0)))</f>
        <v/>
      </c>
      <c r="L1175" s="6">
        <f>IF(C1175="","",ROUND(J1175+D1175-E1175-K1175,2))</f>
        <v/>
      </c>
      <c r="M1175" s="6">
        <f>IF(C1175="","",IF('Daily Sale entry '!Q1175="Collection 收款",ROUND(N('Daily Sale entry '!T1175),2),0))</f>
        <v/>
      </c>
    </row>
    <row r="1176">
      <c r="A1176" t="inlineStr">
        <is>
          <t>Entry 记录</t>
        </is>
      </c>
      <c r="B1176" s="5">
        <f>IF('Daily Sale entry '!P1176="","",'Daily Sale entry '!O1176)</f>
        <v/>
      </c>
      <c r="C1176">
        <f>IF('Daily Sale entry '!P1176="","",'Daily Sale entry '!P1176)</f>
        <v/>
      </c>
      <c r="D1176">
        <f>IF(C1176="","",IF('Daily Sale entry '!Q1176="Credit Sale 赊销",'Daily Sale entry '!S1176,0))</f>
        <v/>
      </c>
      <c r="E1176">
        <f>IF(C1176="","",IF('Daily Sale entry '!Q1176="Collection 收款",'Daily Sale entry '!S1176,0))</f>
        <v/>
      </c>
      <c r="F1176" s="37">
        <f>IF(C1176="","",B1176+IF(E1176&gt;0,0,0.5)+ROW()/10000000)</f>
        <v/>
      </c>
      <c r="G1176">
        <f>IF(C1176="","",'Daily Sale entry '!Q1176&amp;IF('Daily Sale entry '!Q1176="Collection 收款"," ("&amp;'Daily Sale entry '!R1176&amp;")","")&amp;IF('Daily Sale entry '!U1176="",""," - "&amp;'Daily Sale entry '!U1176))</f>
        <v/>
      </c>
      <c r="H1176">
        <f>IF(C1176="","",COUNTIFS($C$2:$C$3001,C1176,$F$2:$F$3001,"&lt;"&amp;F1176)+1)</f>
        <v/>
      </c>
      <c r="I1176">
        <f>IF(C1176="","",C1176&amp;"|"&amp;H1176)</f>
        <v/>
      </c>
      <c r="J1176" s="6">
        <f>IF(C1176="","",IF(H1176=1,SUMIFS('Opening Balance'!$F$4:$F$303,'Opening Balance'!$G$4:$G$303,C1176),INDEX($L$2:$L$3001,MATCH(C1176&amp;"|"&amp;(H1176-1),$I$2:$I$3001,0))))</f>
        <v/>
      </c>
      <c r="K1176" s="6">
        <f>IF(C1176="","",IF(M1176&gt;0,M1176,IF(AND(E1176&gt;0,ROUND(J1176+D1176-E1176,2)&gt;0,ROUND(J1176+D1176-E1176,2)&lt;'Opening Balance'!$B$14),ROUND(J1176+D1176-E1176,2),0)))</f>
        <v/>
      </c>
      <c r="L1176" s="6">
        <f>IF(C1176="","",ROUND(J1176+D1176-E1176-K1176,2))</f>
        <v/>
      </c>
      <c r="M1176" s="6">
        <f>IF(C1176="","",IF('Daily Sale entry '!Q1176="Collection 收款",ROUND(N('Daily Sale entry '!T1176),2),0))</f>
        <v/>
      </c>
    </row>
    <row r="1177">
      <c r="A1177" t="inlineStr">
        <is>
          <t>Entry 记录</t>
        </is>
      </c>
      <c r="B1177" s="5">
        <f>IF('Daily Sale entry '!P1177="","",'Daily Sale entry '!O1177)</f>
        <v/>
      </c>
      <c r="C1177">
        <f>IF('Daily Sale entry '!P1177="","",'Daily Sale entry '!P1177)</f>
        <v/>
      </c>
      <c r="D1177">
        <f>IF(C1177="","",IF('Daily Sale entry '!Q1177="Credit Sale 赊销",'Daily Sale entry '!S1177,0))</f>
        <v/>
      </c>
      <c r="E1177">
        <f>IF(C1177="","",IF('Daily Sale entry '!Q1177="Collection 收款",'Daily Sale entry '!S1177,0))</f>
        <v/>
      </c>
      <c r="F1177" s="37">
        <f>IF(C1177="","",B1177+IF(E1177&gt;0,0,0.5)+ROW()/10000000)</f>
        <v/>
      </c>
      <c r="G1177">
        <f>IF(C1177="","",'Daily Sale entry '!Q1177&amp;IF('Daily Sale entry '!Q1177="Collection 收款"," ("&amp;'Daily Sale entry '!R1177&amp;")","")&amp;IF('Daily Sale entry '!U1177="",""," - "&amp;'Daily Sale entry '!U1177))</f>
        <v/>
      </c>
      <c r="H1177">
        <f>IF(C1177="","",COUNTIFS($C$2:$C$3001,C1177,$F$2:$F$3001,"&lt;"&amp;F1177)+1)</f>
        <v/>
      </c>
      <c r="I1177">
        <f>IF(C1177="","",C1177&amp;"|"&amp;H1177)</f>
        <v/>
      </c>
      <c r="J1177" s="6">
        <f>IF(C1177="","",IF(H1177=1,SUMIFS('Opening Balance'!$F$4:$F$303,'Opening Balance'!$G$4:$G$303,C1177),INDEX($L$2:$L$3001,MATCH(C1177&amp;"|"&amp;(H1177-1),$I$2:$I$3001,0))))</f>
        <v/>
      </c>
      <c r="K1177" s="6">
        <f>IF(C1177="","",IF(M1177&gt;0,M1177,IF(AND(E1177&gt;0,ROUND(J1177+D1177-E1177,2)&gt;0,ROUND(J1177+D1177-E1177,2)&lt;'Opening Balance'!$B$14),ROUND(J1177+D1177-E1177,2),0)))</f>
        <v/>
      </c>
      <c r="L1177" s="6">
        <f>IF(C1177="","",ROUND(J1177+D1177-E1177-K1177,2))</f>
        <v/>
      </c>
      <c r="M1177" s="6">
        <f>IF(C1177="","",IF('Daily Sale entry '!Q1177="Collection 收款",ROUND(N('Daily Sale entry '!T1177),2),0))</f>
        <v/>
      </c>
    </row>
    <row r="1178">
      <c r="A1178" t="inlineStr">
        <is>
          <t>Entry 记录</t>
        </is>
      </c>
      <c r="B1178" s="5">
        <f>IF('Daily Sale entry '!P1178="","",'Daily Sale entry '!O1178)</f>
        <v/>
      </c>
      <c r="C1178">
        <f>IF('Daily Sale entry '!P1178="","",'Daily Sale entry '!P1178)</f>
        <v/>
      </c>
      <c r="D1178">
        <f>IF(C1178="","",IF('Daily Sale entry '!Q1178="Credit Sale 赊销",'Daily Sale entry '!S1178,0))</f>
        <v/>
      </c>
      <c r="E1178">
        <f>IF(C1178="","",IF('Daily Sale entry '!Q1178="Collection 收款",'Daily Sale entry '!S1178,0))</f>
        <v/>
      </c>
      <c r="F1178" s="37">
        <f>IF(C1178="","",B1178+IF(E1178&gt;0,0,0.5)+ROW()/10000000)</f>
        <v/>
      </c>
      <c r="G1178">
        <f>IF(C1178="","",'Daily Sale entry '!Q1178&amp;IF('Daily Sale entry '!Q1178="Collection 收款"," ("&amp;'Daily Sale entry '!R1178&amp;")","")&amp;IF('Daily Sale entry '!U1178="",""," - "&amp;'Daily Sale entry '!U1178))</f>
        <v/>
      </c>
      <c r="H1178">
        <f>IF(C1178="","",COUNTIFS($C$2:$C$3001,C1178,$F$2:$F$3001,"&lt;"&amp;F1178)+1)</f>
        <v/>
      </c>
      <c r="I1178">
        <f>IF(C1178="","",C1178&amp;"|"&amp;H1178)</f>
        <v/>
      </c>
      <c r="J1178" s="6">
        <f>IF(C1178="","",IF(H1178=1,SUMIFS('Opening Balance'!$F$4:$F$303,'Opening Balance'!$G$4:$G$303,C1178),INDEX($L$2:$L$3001,MATCH(C1178&amp;"|"&amp;(H1178-1),$I$2:$I$3001,0))))</f>
        <v/>
      </c>
      <c r="K1178" s="6">
        <f>IF(C1178="","",IF(M1178&gt;0,M1178,IF(AND(E1178&gt;0,ROUND(J1178+D1178-E1178,2)&gt;0,ROUND(J1178+D1178-E1178,2)&lt;'Opening Balance'!$B$14),ROUND(J1178+D1178-E1178,2),0)))</f>
        <v/>
      </c>
      <c r="L1178" s="6">
        <f>IF(C1178="","",ROUND(J1178+D1178-E1178-K1178,2))</f>
        <v/>
      </c>
      <c r="M1178" s="6">
        <f>IF(C1178="","",IF('Daily Sale entry '!Q1178="Collection 收款",ROUND(N('Daily Sale entry '!T1178),2),0))</f>
        <v/>
      </c>
    </row>
    <row r="1179">
      <c r="A1179" t="inlineStr">
        <is>
          <t>Entry 记录</t>
        </is>
      </c>
      <c r="B1179" s="5">
        <f>IF('Daily Sale entry '!P1179="","",'Daily Sale entry '!O1179)</f>
        <v/>
      </c>
      <c r="C1179">
        <f>IF('Daily Sale entry '!P1179="","",'Daily Sale entry '!P1179)</f>
        <v/>
      </c>
      <c r="D1179">
        <f>IF(C1179="","",IF('Daily Sale entry '!Q1179="Credit Sale 赊销",'Daily Sale entry '!S1179,0))</f>
        <v/>
      </c>
      <c r="E1179">
        <f>IF(C1179="","",IF('Daily Sale entry '!Q1179="Collection 收款",'Daily Sale entry '!S1179,0))</f>
        <v/>
      </c>
      <c r="F1179" s="37">
        <f>IF(C1179="","",B1179+IF(E1179&gt;0,0,0.5)+ROW()/10000000)</f>
        <v/>
      </c>
      <c r="G1179">
        <f>IF(C1179="","",'Daily Sale entry '!Q1179&amp;IF('Daily Sale entry '!Q1179="Collection 收款"," ("&amp;'Daily Sale entry '!R1179&amp;")","")&amp;IF('Daily Sale entry '!U1179="",""," - "&amp;'Daily Sale entry '!U1179))</f>
        <v/>
      </c>
      <c r="H1179">
        <f>IF(C1179="","",COUNTIFS($C$2:$C$3001,C1179,$F$2:$F$3001,"&lt;"&amp;F1179)+1)</f>
        <v/>
      </c>
      <c r="I1179">
        <f>IF(C1179="","",C1179&amp;"|"&amp;H1179)</f>
        <v/>
      </c>
      <c r="J1179" s="6">
        <f>IF(C1179="","",IF(H1179=1,SUMIFS('Opening Balance'!$F$4:$F$303,'Opening Balance'!$G$4:$G$303,C1179),INDEX($L$2:$L$3001,MATCH(C1179&amp;"|"&amp;(H1179-1),$I$2:$I$3001,0))))</f>
        <v/>
      </c>
      <c r="K1179" s="6">
        <f>IF(C1179="","",IF(M1179&gt;0,M1179,IF(AND(E1179&gt;0,ROUND(J1179+D1179-E1179,2)&gt;0,ROUND(J1179+D1179-E1179,2)&lt;'Opening Balance'!$B$14),ROUND(J1179+D1179-E1179,2),0)))</f>
        <v/>
      </c>
      <c r="L1179" s="6">
        <f>IF(C1179="","",ROUND(J1179+D1179-E1179-K1179,2))</f>
        <v/>
      </c>
      <c r="M1179" s="6">
        <f>IF(C1179="","",IF('Daily Sale entry '!Q1179="Collection 收款",ROUND(N('Daily Sale entry '!T1179),2),0))</f>
        <v/>
      </c>
    </row>
    <row r="1180">
      <c r="A1180" t="inlineStr">
        <is>
          <t>Entry 记录</t>
        </is>
      </c>
      <c r="B1180" s="5">
        <f>IF('Daily Sale entry '!P1180="","",'Daily Sale entry '!O1180)</f>
        <v/>
      </c>
      <c r="C1180">
        <f>IF('Daily Sale entry '!P1180="","",'Daily Sale entry '!P1180)</f>
        <v/>
      </c>
      <c r="D1180">
        <f>IF(C1180="","",IF('Daily Sale entry '!Q1180="Credit Sale 赊销",'Daily Sale entry '!S1180,0))</f>
        <v/>
      </c>
      <c r="E1180">
        <f>IF(C1180="","",IF('Daily Sale entry '!Q1180="Collection 收款",'Daily Sale entry '!S1180,0))</f>
        <v/>
      </c>
      <c r="F1180" s="37">
        <f>IF(C1180="","",B1180+IF(E1180&gt;0,0,0.5)+ROW()/10000000)</f>
        <v/>
      </c>
      <c r="G1180">
        <f>IF(C1180="","",'Daily Sale entry '!Q1180&amp;IF('Daily Sale entry '!Q1180="Collection 收款"," ("&amp;'Daily Sale entry '!R1180&amp;")","")&amp;IF('Daily Sale entry '!U1180="",""," - "&amp;'Daily Sale entry '!U1180))</f>
        <v/>
      </c>
      <c r="H1180">
        <f>IF(C1180="","",COUNTIFS($C$2:$C$3001,C1180,$F$2:$F$3001,"&lt;"&amp;F1180)+1)</f>
        <v/>
      </c>
      <c r="I1180">
        <f>IF(C1180="","",C1180&amp;"|"&amp;H1180)</f>
        <v/>
      </c>
      <c r="J1180" s="6">
        <f>IF(C1180="","",IF(H1180=1,SUMIFS('Opening Balance'!$F$4:$F$303,'Opening Balance'!$G$4:$G$303,C1180),INDEX($L$2:$L$3001,MATCH(C1180&amp;"|"&amp;(H1180-1),$I$2:$I$3001,0))))</f>
        <v/>
      </c>
      <c r="K1180" s="6">
        <f>IF(C1180="","",IF(M1180&gt;0,M1180,IF(AND(E1180&gt;0,ROUND(J1180+D1180-E1180,2)&gt;0,ROUND(J1180+D1180-E1180,2)&lt;'Opening Balance'!$B$14),ROUND(J1180+D1180-E1180,2),0)))</f>
        <v/>
      </c>
      <c r="L1180" s="6">
        <f>IF(C1180="","",ROUND(J1180+D1180-E1180-K1180,2))</f>
        <v/>
      </c>
      <c r="M1180" s="6">
        <f>IF(C1180="","",IF('Daily Sale entry '!Q1180="Collection 收款",ROUND(N('Daily Sale entry '!T1180),2),0))</f>
        <v/>
      </c>
    </row>
    <row r="1181">
      <c r="A1181" t="inlineStr">
        <is>
          <t>Entry 记录</t>
        </is>
      </c>
      <c r="B1181" s="5">
        <f>IF('Daily Sale entry '!P1181="","",'Daily Sale entry '!O1181)</f>
        <v/>
      </c>
      <c r="C1181">
        <f>IF('Daily Sale entry '!P1181="","",'Daily Sale entry '!P1181)</f>
        <v/>
      </c>
      <c r="D1181">
        <f>IF(C1181="","",IF('Daily Sale entry '!Q1181="Credit Sale 赊销",'Daily Sale entry '!S1181,0))</f>
        <v/>
      </c>
      <c r="E1181">
        <f>IF(C1181="","",IF('Daily Sale entry '!Q1181="Collection 收款",'Daily Sale entry '!S1181,0))</f>
        <v/>
      </c>
      <c r="F1181" s="37">
        <f>IF(C1181="","",B1181+IF(E1181&gt;0,0,0.5)+ROW()/10000000)</f>
        <v/>
      </c>
      <c r="G1181">
        <f>IF(C1181="","",'Daily Sale entry '!Q1181&amp;IF('Daily Sale entry '!Q1181="Collection 收款"," ("&amp;'Daily Sale entry '!R1181&amp;")","")&amp;IF('Daily Sale entry '!U1181="",""," - "&amp;'Daily Sale entry '!U1181))</f>
        <v/>
      </c>
      <c r="H1181">
        <f>IF(C1181="","",COUNTIFS($C$2:$C$3001,C1181,$F$2:$F$3001,"&lt;"&amp;F1181)+1)</f>
        <v/>
      </c>
      <c r="I1181">
        <f>IF(C1181="","",C1181&amp;"|"&amp;H1181)</f>
        <v/>
      </c>
      <c r="J1181" s="6">
        <f>IF(C1181="","",IF(H1181=1,SUMIFS('Opening Balance'!$F$4:$F$303,'Opening Balance'!$G$4:$G$303,C1181),INDEX($L$2:$L$3001,MATCH(C1181&amp;"|"&amp;(H1181-1),$I$2:$I$3001,0))))</f>
        <v/>
      </c>
      <c r="K1181" s="6">
        <f>IF(C1181="","",IF(M1181&gt;0,M1181,IF(AND(E1181&gt;0,ROUND(J1181+D1181-E1181,2)&gt;0,ROUND(J1181+D1181-E1181,2)&lt;'Opening Balance'!$B$14),ROUND(J1181+D1181-E1181,2),0)))</f>
        <v/>
      </c>
      <c r="L1181" s="6">
        <f>IF(C1181="","",ROUND(J1181+D1181-E1181-K1181,2))</f>
        <v/>
      </c>
      <c r="M1181" s="6">
        <f>IF(C1181="","",IF('Daily Sale entry '!Q1181="Collection 收款",ROUND(N('Daily Sale entry '!T1181),2),0))</f>
        <v/>
      </c>
    </row>
    <row r="1182">
      <c r="A1182" t="inlineStr">
        <is>
          <t>Entry 记录</t>
        </is>
      </c>
      <c r="B1182" s="5">
        <f>IF('Daily Sale entry '!P1182="","",'Daily Sale entry '!O1182)</f>
        <v/>
      </c>
      <c r="C1182">
        <f>IF('Daily Sale entry '!P1182="","",'Daily Sale entry '!P1182)</f>
        <v/>
      </c>
      <c r="D1182">
        <f>IF(C1182="","",IF('Daily Sale entry '!Q1182="Credit Sale 赊销",'Daily Sale entry '!S1182,0))</f>
        <v/>
      </c>
      <c r="E1182">
        <f>IF(C1182="","",IF('Daily Sale entry '!Q1182="Collection 收款",'Daily Sale entry '!S1182,0))</f>
        <v/>
      </c>
      <c r="F1182" s="37">
        <f>IF(C1182="","",B1182+IF(E1182&gt;0,0,0.5)+ROW()/10000000)</f>
        <v/>
      </c>
      <c r="G1182">
        <f>IF(C1182="","",'Daily Sale entry '!Q1182&amp;IF('Daily Sale entry '!Q1182="Collection 收款"," ("&amp;'Daily Sale entry '!R1182&amp;")","")&amp;IF('Daily Sale entry '!U1182="",""," - "&amp;'Daily Sale entry '!U1182))</f>
        <v/>
      </c>
      <c r="H1182">
        <f>IF(C1182="","",COUNTIFS($C$2:$C$3001,C1182,$F$2:$F$3001,"&lt;"&amp;F1182)+1)</f>
        <v/>
      </c>
      <c r="I1182">
        <f>IF(C1182="","",C1182&amp;"|"&amp;H1182)</f>
        <v/>
      </c>
      <c r="J1182" s="6">
        <f>IF(C1182="","",IF(H1182=1,SUMIFS('Opening Balance'!$F$4:$F$303,'Opening Balance'!$G$4:$G$303,C1182),INDEX($L$2:$L$3001,MATCH(C1182&amp;"|"&amp;(H1182-1),$I$2:$I$3001,0))))</f>
        <v/>
      </c>
      <c r="K1182" s="6">
        <f>IF(C1182="","",IF(M1182&gt;0,M1182,IF(AND(E1182&gt;0,ROUND(J1182+D1182-E1182,2)&gt;0,ROUND(J1182+D1182-E1182,2)&lt;'Opening Balance'!$B$14),ROUND(J1182+D1182-E1182,2),0)))</f>
        <v/>
      </c>
      <c r="L1182" s="6">
        <f>IF(C1182="","",ROUND(J1182+D1182-E1182-K1182,2))</f>
        <v/>
      </c>
      <c r="M1182" s="6">
        <f>IF(C1182="","",IF('Daily Sale entry '!Q1182="Collection 收款",ROUND(N('Daily Sale entry '!T1182),2),0))</f>
        <v/>
      </c>
    </row>
    <row r="1183">
      <c r="A1183" t="inlineStr">
        <is>
          <t>Entry 记录</t>
        </is>
      </c>
      <c r="B1183" s="5">
        <f>IF('Daily Sale entry '!P1183="","",'Daily Sale entry '!O1183)</f>
        <v/>
      </c>
      <c r="C1183">
        <f>IF('Daily Sale entry '!P1183="","",'Daily Sale entry '!P1183)</f>
        <v/>
      </c>
      <c r="D1183">
        <f>IF(C1183="","",IF('Daily Sale entry '!Q1183="Credit Sale 赊销",'Daily Sale entry '!S1183,0))</f>
        <v/>
      </c>
      <c r="E1183">
        <f>IF(C1183="","",IF('Daily Sale entry '!Q1183="Collection 收款",'Daily Sale entry '!S1183,0))</f>
        <v/>
      </c>
      <c r="F1183" s="37">
        <f>IF(C1183="","",B1183+IF(E1183&gt;0,0,0.5)+ROW()/10000000)</f>
        <v/>
      </c>
      <c r="G1183">
        <f>IF(C1183="","",'Daily Sale entry '!Q1183&amp;IF('Daily Sale entry '!Q1183="Collection 收款"," ("&amp;'Daily Sale entry '!R1183&amp;")","")&amp;IF('Daily Sale entry '!U1183="",""," - "&amp;'Daily Sale entry '!U1183))</f>
        <v/>
      </c>
      <c r="H1183">
        <f>IF(C1183="","",COUNTIFS($C$2:$C$3001,C1183,$F$2:$F$3001,"&lt;"&amp;F1183)+1)</f>
        <v/>
      </c>
      <c r="I1183">
        <f>IF(C1183="","",C1183&amp;"|"&amp;H1183)</f>
        <v/>
      </c>
      <c r="J1183" s="6">
        <f>IF(C1183="","",IF(H1183=1,SUMIFS('Opening Balance'!$F$4:$F$303,'Opening Balance'!$G$4:$G$303,C1183),INDEX($L$2:$L$3001,MATCH(C1183&amp;"|"&amp;(H1183-1),$I$2:$I$3001,0))))</f>
        <v/>
      </c>
      <c r="K1183" s="6">
        <f>IF(C1183="","",IF(M1183&gt;0,M1183,IF(AND(E1183&gt;0,ROUND(J1183+D1183-E1183,2)&gt;0,ROUND(J1183+D1183-E1183,2)&lt;'Opening Balance'!$B$14),ROUND(J1183+D1183-E1183,2),0)))</f>
        <v/>
      </c>
      <c r="L1183" s="6">
        <f>IF(C1183="","",ROUND(J1183+D1183-E1183-K1183,2))</f>
        <v/>
      </c>
      <c r="M1183" s="6">
        <f>IF(C1183="","",IF('Daily Sale entry '!Q1183="Collection 收款",ROUND(N('Daily Sale entry '!T1183),2),0))</f>
        <v/>
      </c>
    </row>
    <row r="1184">
      <c r="A1184" t="inlineStr">
        <is>
          <t>Entry 记录</t>
        </is>
      </c>
      <c r="B1184" s="5">
        <f>IF('Daily Sale entry '!P1184="","",'Daily Sale entry '!O1184)</f>
        <v/>
      </c>
      <c r="C1184">
        <f>IF('Daily Sale entry '!P1184="","",'Daily Sale entry '!P1184)</f>
        <v/>
      </c>
      <c r="D1184">
        <f>IF(C1184="","",IF('Daily Sale entry '!Q1184="Credit Sale 赊销",'Daily Sale entry '!S1184,0))</f>
        <v/>
      </c>
      <c r="E1184">
        <f>IF(C1184="","",IF('Daily Sale entry '!Q1184="Collection 收款",'Daily Sale entry '!S1184,0))</f>
        <v/>
      </c>
      <c r="F1184" s="37">
        <f>IF(C1184="","",B1184+IF(E1184&gt;0,0,0.5)+ROW()/10000000)</f>
        <v/>
      </c>
      <c r="G1184">
        <f>IF(C1184="","",'Daily Sale entry '!Q1184&amp;IF('Daily Sale entry '!Q1184="Collection 收款"," ("&amp;'Daily Sale entry '!R1184&amp;")","")&amp;IF('Daily Sale entry '!U1184="",""," - "&amp;'Daily Sale entry '!U1184))</f>
        <v/>
      </c>
      <c r="H1184">
        <f>IF(C1184="","",COUNTIFS($C$2:$C$3001,C1184,$F$2:$F$3001,"&lt;"&amp;F1184)+1)</f>
        <v/>
      </c>
      <c r="I1184">
        <f>IF(C1184="","",C1184&amp;"|"&amp;H1184)</f>
        <v/>
      </c>
      <c r="J1184" s="6">
        <f>IF(C1184="","",IF(H1184=1,SUMIFS('Opening Balance'!$F$4:$F$303,'Opening Balance'!$G$4:$G$303,C1184),INDEX($L$2:$L$3001,MATCH(C1184&amp;"|"&amp;(H1184-1),$I$2:$I$3001,0))))</f>
        <v/>
      </c>
      <c r="K1184" s="6">
        <f>IF(C1184="","",IF(M1184&gt;0,M1184,IF(AND(E1184&gt;0,ROUND(J1184+D1184-E1184,2)&gt;0,ROUND(J1184+D1184-E1184,2)&lt;'Opening Balance'!$B$14),ROUND(J1184+D1184-E1184,2),0)))</f>
        <v/>
      </c>
      <c r="L1184" s="6">
        <f>IF(C1184="","",ROUND(J1184+D1184-E1184-K1184,2))</f>
        <v/>
      </c>
      <c r="M1184" s="6">
        <f>IF(C1184="","",IF('Daily Sale entry '!Q1184="Collection 收款",ROUND(N('Daily Sale entry '!T1184),2),0))</f>
        <v/>
      </c>
    </row>
    <row r="1185">
      <c r="A1185" t="inlineStr">
        <is>
          <t>Entry 记录</t>
        </is>
      </c>
      <c r="B1185" s="5">
        <f>IF('Daily Sale entry '!P1185="","",'Daily Sale entry '!O1185)</f>
        <v/>
      </c>
      <c r="C1185">
        <f>IF('Daily Sale entry '!P1185="","",'Daily Sale entry '!P1185)</f>
        <v/>
      </c>
      <c r="D1185">
        <f>IF(C1185="","",IF('Daily Sale entry '!Q1185="Credit Sale 赊销",'Daily Sale entry '!S1185,0))</f>
        <v/>
      </c>
      <c r="E1185">
        <f>IF(C1185="","",IF('Daily Sale entry '!Q1185="Collection 收款",'Daily Sale entry '!S1185,0))</f>
        <v/>
      </c>
      <c r="F1185" s="37">
        <f>IF(C1185="","",B1185+IF(E1185&gt;0,0,0.5)+ROW()/10000000)</f>
        <v/>
      </c>
      <c r="G1185">
        <f>IF(C1185="","",'Daily Sale entry '!Q1185&amp;IF('Daily Sale entry '!Q1185="Collection 收款"," ("&amp;'Daily Sale entry '!R1185&amp;")","")&amp;IF('Daily Sale entry '!U1185="",""," - "&amp;'Daily Sale entry '!U1185))</f>
        <v/>
      </c>
      <c r="H1185">
        <f>IF(C1185="","",COUNTIFS($C$2:$C$3001,C1185,$F$2:$F$3001,"&lt;"&amp;F1185)+1)</f>
        <v/>
      </c>
      <c r="I1185">
        <f>IF(C1185="","",C1185&amp;"|"&amp;H1185)</f>
        <v/>
      </c>
      <c r="J1185" s="6">
        <f>IF(C1185="","",IF(H1185=1,SUMIFS('Opening Balance'!$F$4:$F$303,'Opening Balance'!$G$4:$G$303,C1185),INDEX($L$2:$L$3001,MATCH(C1185&amp;"|"&amp;(H1185-1),$I$2:$I$3001,0))))</f>
        <v/>
      </c>
      <c r="K1185" s="6">
        <f>IF(C1185="","",IF(M1185&gt;0,M1185,IF(AND(E1185&gt;0,ROUND(J1185+D1185-E1185,2)&gt;0,ROUND(J1185+D1185-E1185,2)&lt;'Opening Balance'!$B$14),ROUND(J1185+D1185-E1185,2),0)))</f>
        <v/>
      </c>
      <c r="L1185" s="6">
        <f>IF(C1185="","",ROUND(J1185+D1185-E1185-K1185,2))</f>
        <v/>
      </c>
      <c r="M1185" s="6">
        <f>IF(C1185="","",IF('Daily Sale entry '!Q1185="Collection 收款",ROUND(N('Daily Sale entry '!T1185),2),0))</f>
        <v/>
      </c>
    </row>
    <row r="1186">
      <c r="A1186" t="inlineStr">
        <is>
          <t>Entry 记录</t>
        </is>
      </c>
      <c r="B1186" s="5">
        <f>IF('Daily Sale entry '!P1186="","",'Daily Sale entry '!O1186)</f>
        <v/>
      </c>
      <c r="C1186">
        <f>IF('Daily Sale entry '!P1186="","",'Daily Sale entry '!P1186)</f>
        <v/>
      </c>
      <c r="D1186">
        <f>IF(C1186="","",IF('Daily Sale entry '!Q1186="Credit Sale 赊销",'Daily Sale entry '!S1186,0))</f>
        <v/>
      </c>
      <c r="E1186">
        <f>IF(C1186="","",IF('Daily Sale entry '!Q1186="Collection 收款",'Daily Sale entry '!S1186,0))</f>
        <v/>
      </c>
      <c r="F1186" s="37">
        <f>IF(C1186="","",B1186+IF(E1186&gt;0,0,0.5)+ROW()/10000000)</f>
        <v/>
      </c>
      <c r="G1186">
        <f>IF(C1186="","",'Daily Sale entry '!Q1186&amp;IF('Daily Sale entry '!Q1186="Collection 收款"," ("&amp;'Daily Sale entry '!R1186&amp;")","")&amp;IF('Daily Sale entry '!U1186="",""," - "&amp;'Daily Sale entry '!U1186))</f>
        <v/>
      </c>
      <c r="H1186">
        <f>IF(C1186="","",COUNTIFS($C$2:$C$3001,C1186,$F$2:$F$3001,"&lt;"&amp;F1186)+1)</f>
        <v/>
      </c>
      <c r="I1186">
        <f>IF(C1186="","",C1186&amp;"|"&amp;H1186)</f>
        <v/>
      </c>
      <c r="J1186" s="6">
        <f>IF(C1186="","",IF(H1186=1,SUMIFS('Opening Balance'!$F$4:$F$303,'Opening Balance'!$G$4:$G$303,C1186),INDEX($L$2:$L$3001,MATCH(C1186&amp;"|"&amp;(H1186-1),$I$2:$I$3001,0))))</f>
        <v/>
      </c>
      <c r="K1186" s="6">
        <f>IF(C1186="","",IF(M1186&gt;0,M1186,IF(AND(E1186&gt;0,ROUND(J1186+D1186-E1186,2)&gt;0,ROUND(J1186+D1186-E1186,2)&lt;'Opening Balance'!$B$14),ROUND(J1186+D1186-E1186,2),0)))</f>
        <v/>
      </c>
      <c r="L1186" s="6">
        <f>IF(C1186="","",ROUND(J1186+D1186-E1186-K1186,2))</f>
        <v/>
      </c>
      <c r="M1186" s="6">
        <f>IF(C1186="","",IF('Daily Sale entry '!Q1186="Collection 收款",ROUND(N('Daily Sale entry '!T1186),2),0))</f>
        <v/>
      </c>
    </row>
    <row r="1187">
      <c r="A1187" t="inlineStr">
        <is>
          <t>Entry 记录</t>
        </is>
      </c>
      <c r="B1187" s="5">
        <f>IF('Daily Sale entry '!P1187="","",'Daily Sale entry '!O1187)</f>
        <v/>
      </c>
      <c r="C1187">
        <f>IF('Daily Sale entry '!P1187="","",'Daily Sale entry '!P1187)</f>
        <v/>
      </c>
      <c r="D1187">
        <f>IF(C1187="","",IF('Daily Sale entry '!Q1187="Credit Sale 赊销",'Daily Sale entry '!S1187,0))</f>
        <v/>
      </c>
      <c r="E1187">
        <f>IF(C1187="","",IF('Daily Sale entry '!Q1187="Collection 收款",'Daily Sale entry '!S1187,0))</f>
        <v/>
      </c>
      <c r="F1187" s="37">
        <f>IF(C1187="","",B1187+IF(E1187&gt;0,0,0.5)+ROW()/10000000)</f>
        <v/>
      </c>
      <c r="G1187">
        <f>IF(C1187="","",'Daily Sale entry '!Q1187&amp;IF('Daily Sale entry '!Q1187="Collection 收款"," ("&amp;'Daily Sale entry '!R1187&amp;")","")&amp;IF('Daily Sale entry '!U1187="",""," - "&amp;'Daily Sale entry '!U1187))</f>
        <v/>
      </c>
      <c r="H1187">
        <f>IF(C1187="","",COUNTIFS($C$2:$C$3001,C1187,$F$2:$F$3001,"&lt;"&amp;F1187)+1)</f>
        <v/>
      </c>
      <c r="I1187">
        <f>IF(C1187="","",C1187&amp;"|"&amp;H1187)</f>
        <v/>
      </c>
      <c r="J1187" s="6">
        <f>IF(C1187="","",IF(H1187=1,SUMIFS('Opening Balance'!$F$4:$F$303,'Opening Balance'!$G$4:$G$303,C1187),INDEX($L$2:$L$3001,MATCH(C1187&amp;"|"&amp;(H1187-1),$I$2:$I$3001,0))))</f>
        <v/>
      </c>
      <c r="K1187" s="6">
        <f>IF(C1187="","",IF(M1187&gt;0,M1187,IF(AND(E1187&gt;0,ROUND(J1187+D1187-E1187,2)&gt;0,ROUND(J1187+D1187-E1187,2)&lt;'Opening Balance'!$B$14),ROUND(J1187+D1187-E1187,2),0)))</f>
        <v/>
      </c>
      <c r="L1187" s="6">
        <f>IF(C1187="","",ROUND(J1187+D1187-E1187-K1187,2))</f>
        <v/>
      </c>
      <c r="M1187" s="6">
        <f>IF(C1187="","",IF('Daily Sale entry '!Q1187="Collection 收款",ROUND(N('Daily Sale entry '!T1187),2),0))</f>
        <v/>
      </c>
    </row>
    <row r="1188">
      <c r="A1188" t="inlineStr">
        <is>
          <t>Entry 记录</t>
        </is>
      </c>
      <c r="B1188" s="5">
        <f>IF('Daily Sale entry '!P1188="","",'Daily Sale entry '!O1188)</f>
        <v/>
      </c>
      <c r="C1188">
        <f>IF('Daily Sale entry '!P1188="","",'Daily Sale entry '!P1188)</f>
        <v/>
      </c>
      <c r="D1188">
        <f>IF(C1188="","",IF('Daily Sale entry '!Q1188="Credit Sale 赊销",'Daily Sale entry '!S1188,0))</f>
        <v/>
      </c>
      <c r="E1188">
        <f>IF(C1188="","",IF('Daily Sale entry '!Q1188="Collection 收款",'Daily Sale entry '!S1188,0))</f>
        <v/>
      </c>
      <c r="F1188" s="37">
        <f>IF(C1188="","",B1188+IF(E1188&gt;0,0,0.5)+ROW()/10000000)</f>
        <v/>
      </c>
      <c r="G1188">
        <f>IF(C1188="","",'Daily Sale entry '!Q1188&amp;IF('Daily Sale entry '!Q1188="Collection 收款"," ("&amp;'Daily Sale entry '!R1188&amp;")","")&amp;IF('Daily Sale entry '!U1188="",""," - "&amp;'Daily Sale entry '!U1188))</f>
        <v/>
      </c>
      <c r="H1188">
        <f>IF(C1188="","",COUNTIFS($C$2:$C$3001,C1188,$F$2:$F$3001,"&lt;"&amp;F1188)+1)</f>
        <v/>
      </c>
      <c r="I1188">
        <f>IF(C1188="","",C1188&amp;"|"&amp;H1188)</f>
        <v/>
      </c>
      <c r="J1188" s="6">
        <f>IF(C1188="","",IF(H1188=1,SUMIFS('Opening Balance'!$F$4:$F$303,'Opening Balance'!$G$4:$G$303,C1188),INDEX($L$2:$L$3001,MATCH(C1188&amp;"|"&amp;(H1188-1),$I$2:$I$3001,0))))</f>
        <v/>
      </c>
      <c r="K1188" s="6">
        <f>IF(C1188="","",IF(M1188&gt;0,M1188,IF(AND(E1188&gt;0,ROUND(J1188+D1188-E1188,2)&gt;0,ROUND(J1188+D1188-E1188,2)&lt;'Opening Balance'!$B$14),ROUND(J1188+D1188-E1188,2),0)))</f>
        <v/>
      </c>
      <c r="L1188" s="6">
        <f>IF(C1188="","",ROUND(J1188+D1188-E1188-K1188,2))</f>
        <v/>
      </c>
      <c r="M1188" s="6">
        <f>IF(C1188="","",IF('Daily Sale entry '!Q1188="Collection 收款",ROUND(N('Daily Sale entry '!T1188),2),0))</f>
        <v/>
      </c>
    </row>
    <row r="1189">
      <c r="A1189" t="inlineStr">
        <is>
          <t>Entry 记录</t>
        </is>
      </c>
      <c r="B1189" s="5">
        <f>IF('Daily Sale entry '!P1189="","",'Daily Sale entry '!O1189)</f>
        <v/>
      </c>
      <c r="C1189">
        <f>IF('Daily Sale entry '!P1189="","",'Daily Sale entry '!P1189)</f>
        <v/>
      </c>
      <c r="D1189">
        <f>IF(C1189="","",IF('Daily Sale entry '!Q1189="Credit Sale 赊销",'Daily Sale entry '!S1189,0))</f>
        <v/>
      </c>
      <c r="E1189">
        <f>IF(C1189="","",IF('Daily Sale entry '!Q1189="Collection 收款",'Daily Sale entry '!S1189,0))</f>
        <v/>
      </c>
      <c r="F1189" s="37">
        <f>IF(C1189="","",B1189+IF(E1189&gt;0,0,0.5)+ROW()/10000000)</f>
        <v/>
      </c>
      <c r="G1189">
        <f>IF(C1189="","",'Daily Sale entry '!Q1189&amp;IF('Daily Sale entry '!Q1189="Collection 收款"," ("&amp;'Daily Sale entry '!R1189&amp;")","")&amp;IF('Daily Sale entry '!U1189="",""," - "&amp;'Daily Sale entry '!U1189))</f>
        <v/>
      </c>
      <c r="H1189">
        <f>IF(C1189="","",COUNTIFS($C$2:$C$3001,C1189,$F$2:$F$3001,"&lt;"&amp;F1189)+1)</f>
        <v/>
      </c>
      <c r="I1189">
        <f>IF(C1189="","",C1189&amp;"|"&amp;H1189)</f>
        <v/>
      </c>
      <c r="J1189" s="6">
        <f>IF(C1189="","",IF(H1189=1,SUMIFS('Opening Balance'!$F$4:$F$303,'Opening Balance'!$G$4:$G$303,C1189),INDEX($L$2:$L$3001,MATCH(C1189&amp;"|"&amp;(H1189-1),$I$2:$I$3001,0))))</f>
        <v/>
      </c>
      <c r="K1189" s="6">
        <f>IF(C1189="","",IF(M1189&gt;0,M1189,IF(AND(E1189&gt;0,ROUND(J1189+D1189-E1189,2)&gt;0,ROUND(J1189+D1189-E1189,2)&lt;'Opening Balance'!$B$14),ROUND(J1189+D1189-E1189,2),0)))</f>
        <v/>
      </c>
      <c r="L1189" s="6">
        <f>IF(C1189="","",ROUND(J1189+D1189-E1189-K1189,2))</f>
        <v/>
      </c>
      <c r="M1189" s="6">
        <f>IF(C1189="","",IF('Daily Sale entry '!Q1189="Collection 收款",ROUND(N('Daily Sale entry '!T1189),2),0))</f>
        <v/>
      </c>
    </row>
    <row r="1190">
      <c r="A1190" t="inlineStr">
        <is>
          <t>Entry 记录</t>
        </is>
      </c>
      <c r="B1190" s="5">
        <f>IF('Daily Sale entry '!P1190="","",'Daily Sale entry '!O1190)</f>
        <v/>
      </c>
      <c r="C1190">
        <f>IF('Daily Sale entry '!P1190="","",'Daily Sale entry '!P1190)</f>
        <v/>
      </c>
      <c r="D1190">
        <f>IF(C1190="","",IF('Daily Sale entry '!Q1190="Credit Sale 赊销",'Daily Sale entry '!S1190,0))</f>
        <v/>
      </c>
      <c r="E1190">
        <f>IF(C1190="","",IF('Daily Sale entry '!Q1190="Collection 收款",'Daily Sale entry '!S1190,0))</f>
        <v/>
      </c>
      <c r="F1190" s="37">
        <f>IF(C1190="","",B1190+IF(E1190&gt;0,0,0.5)+ROW()/10000000)</f>
        <v/>
      </c>
      <c r="G1190">
        <f>IF(C1190="","",'Daily Sale entry '!Q1190&amp;IF('Daily Sale entry '!Q1190="Collection 收款"," ("&amp;'Daily Sale entry '!R1190&amp;")","")&amp;IF('Daily Sale entry '!U1190="",""," - "&amp;'Daily Sale entry '!U1190))</f>
        <v/>
      </c>
      <c r="H1190">
        <f>IF(C1190="","",COUNTIFS($C$2:$C$3001,C1190,$F$2:$F$3001,"&lt;"&amp;F1190)+1)</f>
        <v/>
      </c>
      <c r="I1190">
        <f>IF(C1190="","",C1190&amp;"|"&amp;H1190)</f>
        <v/>
      </c>
      <c r="J1190" s="6">
        <f>IF(C1190="","",IF(H1190=1,SUMIFS('Opening Balance'!$F$4:$F$303,'Opening Balance'!$G$4:$G$303,C1190),INDEX($L$2:$L$3001,MATCH(C1190&amp;"|"&amp;(H1190-1),$I$2:$I$3001,0))))</f>
        <v/>
      </c>
      <c r="K1190" s="6">
        <f>IF(C1190="","",IF(M1190&gt;0,M1190,IF(AND(E1190&gt;0,ROUND(J1190+D1190-E1190,2)&gt;0,ROUND(J1190+D1190-E1190,2)&lt;'Opening Balance'!$B$14),ROUND(J1190+D1190-E1190,2),0)))</f>
        <v/>
      </c>
      <c r="L1190" s="6">
        <f>IF(C1190="","",ROUND(J1190+D1190-E1190-K1190,2))</f>
        <v/>
      </c>
      <c r="M1190" s="6">
        <f>IF(C1190="","",IF('Daily Sale entry '!Q1190="Collection 收款",ROUND(N('Daily Sale entry '!T1190),2),0))</f>
        <v/>
      </c>
    </row>
    <row r="1191">
      <c r="A1191" t="inlineStr">
        <is>
          <t>Entry 记录</t>
        </is>
      </c>
      <c r="B1191" s="5">
        <f>IF('Daily Sale entry '!P1191="","",'Daily Sale entry '!O1191)</f>
        <v/>
      </c>
      <c r="C1191">
        <f>IF('Daily Sale entry '!P1191="","",'Daily Sale entry '!P1191)</f>
        <v/>
      </c>
      <c r="D1191">
        <f>IF(C1191="","",IF('Daily Sale entry '!Q1191="Credit Sale 赊销",'Daily Sale entry '!S1191,0))</f>
        <v/>
      </c>
      <c r="E1191">
        <f>IF(C1191="","",IF('Daily Sale entry '!Q1191="Collection 收款",'Daily Sale entry '!S1191,0))</f>
        <v/>
      </c>
      <c r="F1191" s="37">
        <f>IF(C1191="","",B1191+IF(E1191&gt;0,0,0.5)+ROW()/10000000)</f>
        <v/>
      </c>
      <c r="G1191">
        <f>IF(C1191="","",'Daily Sale entry '!Q1191&amp;IF('Daily Sale entry '!Q1191="Collection 收款"," ("&amp;'Daily Sale entry '!R1191&amp;")","")&amp;IF('Daily Sale entry '!U1191="",""," - "&amp;'Daily Sale entry '!U1191))</f>
        <v/>
      </c>
      <c r="H1191">
        <f>IF(C1191="","",COUNTIFS($C$2:$C$3001,C1191,$F$2:$F$3001,"&lt;"&amp;F1191)+1)</f>
        <v/>
      </c>
      <c r="I1191">
        <f>IF(C1191="","",C1191&amp;"|"&amp;H1191)</f>
        <v/>
      </c>
      <c r="J1191" s="6">
        <f>IF(C1191="","",IF(H1191=1,SUMIFS('Opening Balance'!$F$4:$F$303,'Opening Balance'!$G$4:$G$303,C1191),INDEX($L$2:$L$3001,MATCH(C1191&amp;"|"&amp;(H1191-1),$I$2:$I$3001,0))))</f>
        <v/>
      </c>
      <c r="K1191" s="6">
        <f>IF(C1191="","",IF(M1191&gt;0,M1191,IF(AND(E1191&gt;0,ROUND(J1191+D1191-E1191,2)&gt;0,ROUND(J1191+D1191-E1191,2)&lt;'Opening Balance'!$B$14),ROUND(J1191+D1191-E1191,2),0)))</f>
        <v/>
      </c>
      <c r="L1191" s="6">
        <f>IF(C1191="","",ROUND(J1191+D1191-E1191-K1191,2))</f>
        <v/>
      </c>
      <c r="M1191" s="6">
        <f>IF(C1191="","",IF('Daily Sale entry '!Q1191="Collection 收款",ROUND(N('Daily Sale entry '!T1191),2),0))</f>
        <v/>
      </c>
    </row>
    <row r="1192">
      <c r="A1192" t="inlineStr">
        <is>
          <t>Entry 记录</t>
        </is>
      </c>
      <c r="B1192" s="5">
        <f>IF('Daily Sale entry '!P1192="","",'Daily Sale entry '!O1192)</f>
        <v/>
      </c>
      <c r="C1192">
        <f>IF('Daily Sale entry '!P1192="","",'Daily Sale entry '!P1192)</f>
        <v/>
      </c>
      <c r="D1192">
        <f>IF(C1192="","",IF('Daily Sale entry '!Q1192="Credit Sale 赊销",'Daily Sale entry '!S1192,0))</f>
        <v/>
      </c>
      <c r="E1192">
        <f>IF(C1192="","",IF('Daily Sale entry '!Q1192="Collection 收款",'Daily Sale entry '!S1192,0))</f>
        <v/>
      </c>
      <c r="F1192" s="37">
        <f>IF(C1192="","",B1192+IF(E1192&gt;0,0,0.5)+ROW()/10000000)</f>
        <v/>
      </c>
      <c r="G1192">
        <f>IF(C1192="","",'Daily Sale entry '!Q1192&amp;IF('Daily Sale entry '!Q1192="Collection 收款"," ("&amp;'Daily Sale entry '!R1192&amp;")","")&amp;IF('Daily Sale entry '!U1192="",""," - "&amp;'Daily Sale entry '!U1192))</f>
        <v/>
      </c>
      <c r="H1192">
        <f>IF(C1192="","",COUNTIFS($C$2:$C$3001,C1192,$F$2:$F$3001,"&lt;"&amp;F1192)+1)</f>
        <v/>
      </c>
      <c r="I1192">
        <f>IF(C1192="","",C1192&amp;"|"&amp;H1192)</f>
        <v/>
      </c>
      <c r="J1192" s="6">
        <f>IF(C1192="","",IF(H1192=1,SUMIFS('Opening Balance'!$F$4:$F$303,'Opening Balance'!$G$4:$G$303,C1192),INDEX($L$2:$L$3001,MATCH(C1192&amp;"|"&amp;(H1192-1),$I$2:$I$3001,0))))</f>
        <v/>
      </c>
      <c r="K1192" s="6">
        <f>IF(C1192="","",IF(M1192&gt;0,M1192,IF(AND(E1192&gt;0,ROUND(J1192+D1192-E1192,2)&gt;0,ROUND(J1192+D1192-E1192,2)&lt;'Opening Balance'!$B$14),ROUND(J1192+D1192-E1192,2),0)))</f>
        <v/>
      </c>
      <c r="L1192" s="6">
        <f>IF(C1192="","",ROUND(J1192+D1192-E1192-K1192,2))</f>
        <v/>
      </c>
      <c r="M1192" s="6">
        <f>IF(C1192="","",IF('Daily Sale entry '!Q1192="Collection 收款",ROUND(N('Daily Sale entry '!T1192),2),0))</f>
        <v/>
      </c>
    </row>
    <row r="1193">
      <c r="A1193" t="inlineStr">
        <is>
          <t>Entry 记录</t>
        </is>
      </c>
      <c r="B1193" s="5">
        <f>IF('Daily Sale entry '!P1193="","",'Daily Sale entry '!O1193)</f>
        <v/>
      </c>
      <c r="C1193">
        <f>IF('Daily Sale entry '!P1193="","",'Daily Sale entry '!P1193)</f>
        <v/>
      </c>
      <c r="D1193">
        <f>IF(C1193="","",IF('Daily Sale entry '!Q1193="Credit Sale 赊销",'Daily Sale entry '!S1193,0))</f>
        <v/>
      </c>
      <c r="E1193">
        <f>IF(C1193="","",IF('Daily Sale entry '!Q1193="Collection 收款",'Daily Sale entry '!S1193,0))</f>
        <v/>
      </c>
      <c r="F1193" s="37">
        <f>IF(C1193="","",B1193+IF(E1193&gt;0,0,0.5)+ROW()/10000000)</f>
        <v/>
      </c>
      <c r="G1193">
        <f>IF(C1193="","",'Daily Sale entry '!Q1193&amp;IF('Daily Sale entry '!Q1193="Collection 收款"," ("&amp;'Daily Sale entry '!R1193&amp;")","")&amp;IF('Daily Sale entry '!U1193="",""," - "&amp;'Daily Sale entry '!U1193))</f>
        <v/>
      </c>
      <c r="H1193">
        <f>IF(C1193="","",COUNTIFS($C$2:$C$3001,C1193,$F$2:$F$3001,"&lt;"&amp;F1193)+1)</f>
        <v/>
      </c>
      <c r="I1193">
        <f>IF(C1193="","",C1193&amp;"|"&amp;H1193)</f>
        <v/>
      </c>
      <c r="J1193" s="6">
        <f>IF(C1193="","",IF(H1193=1,SUMIFS('Opening Balance'!$F$4:$F$303,'Opening Balance'!$G$4:$G$303,C1193),INDEX($L$2:$L$3001,MATCH(C1193&amp;"|"&amp;(H1193-1),$I$2:$I$3001,0))))</f>
        <v/>
      </c>
      <c r="K1193" s="6">
        <f>IF(C1193="","",IF(M1193&gt;0,M1193,IF(AND(E1193&gt;0,ROUND(J1193+D1193-E1193,2)&gt;0,ROUND(J1193+D1193-E1193,2)&lt;'Opening Balance'!$B$14),ROUND(J1193+D1193-E1193,2),0)))</f>
        <v/>
      </c>
      <c r="L1193" s="6">
        <f>IF(C1193="","",ROUND(J1193+D1193-E1193-K1193,2))</f>
        <v/>
      </c>
      <c r="M1193" s="6">
        <f>IF(C1193="","",IF('Daily Sale entry '!Q1193="Collection 收款",ROUND(N('Daily Sale entry '!T1193),2),0))</f>
        <v/>
      </c>
    </row>
    <row r="1194">
      <c r="A1194" t="inlineStr">
        <is>
          <t>Entry 记录</t>
        </is>
      </c>
      <c r="B1194" s="5">
        <f>IF('Daily Sale entry '!P1194="","",'Daily Sale entry '!O1194)</f>
        <v/>
      </c>
      <c r="C1194">
        <f>IF('Daily Sale entry '!P1194="","",'Daily Sale entry '!P1194)</f>
        <v/>
      </c>
      <c r="D1194">
        <f>IF(C1194="","",IF('Daily Sale entry '!Q1194="Credit Sale 赊销",'Daily Sale entry '!S1194,0))</f>
        <v/>
      </c>
      <c r="E1194">
        <f>IF(C1194="","",IF('Daily Sale entry '!Q1194="Collection 收款",'Daily Sale entry '!S1194,0))</f>
        <v/>
      </c>
      <c r="F1194" s="37">
        <f>IF(C1194="","",B1194+IF(E1194&gt;0,0,0.5)+ROW()/10000000)</f>
        <v/>
      </c>
      <c r="G1194">
        <f>IF(C1194="","",'Daily Sale entry '!Q1194&amp;IF('Daily Sale entry '!Q1194="Collection 收款"," ("&amp;'Daily Sale entry '!R1194&amp;")","")&amp;IF('Daily Sale entry '!U1194="",""," - "&amp;'Daily Sale entry '!U1194))</f>
        <v/>
      </c>
      <c r="H1194">
        <f>IF(C1194="","",COUNTIFS($C$2:$C$3001,C1194,$F$2:$F$3001,"&lt;"&amp;F1194)+1)</f>
        <v/>
      </c>
      <c r="I1194">
        <f>IF(C1194="","",C1194&amp;"|"&amp;H1194)</f>
        <v/>
      </c>
      <c r="J1194" s="6">
        <f>IF(C1194="","",IF(H1194=1,SUMIFS('Opening Balance'!$F$4:$F$303,'Opening Balance'!$G$4:$G$303,C1194),INDEX($L$2:$L$3001,MATCH(C1194&amp;"|"&amp;(H1194-1),$I$2:$I$3001,0))))</f>
        <v/>
      </c>
      <c r="K1194" s="6">
        <f>IF(C1194="","",IF(M1194&gt;0,M1194,IF(AND(E1194&gt;0,ROUND(J1194+D1194-E1194,2)&gt;0,ROUND(J1194+D1194-E1194,2)&lt;'Opening Balance'!$B$14),ROUND(J1194+D1194-E1194,2),0)))</f>
        <v/>
      </c>
      <c r="L1194" s="6">
        <f>IF(C1194="","",ROUND(J1194+D1194-E1194-K1194,2))</f>
        <v/>
      </c>
      <c r="M1194" s="6">
        <f>IF(C1194="","",IF('Daily Sale entry '!Q1194="Collection 收款",ROUND(N('Daily Sale entry '!T1194),2),0))</f>
        <v/>
      </c>
    </row>
    <row r="1195">
      <c r="A1195" t="inlineStr">
        <is>
          <t>Entry 记录</t>
        </is>
      </c>
      <c r="B1195" s="5">
        <f>IF('Daily Sale entry '!P1195="","",'Daily Sale entry '!O1195)</f>
        <v/>
      </c>
      <c r="C1195">
        <f>IF('Daily Sale entry '!P1195="","",'Daily Sale entry '!P1195)</f>
        <v/>
      </c>
      <c r="D1195">
        <f>IF(C1195="","",IF('Daily Sale entry '!Q1195="Credit Sale 赊销",'Daily Sale entry '!S1195,0))</f>
        <v/>
      </c>
      <c r="E1195">
        <f>IF(C1195="","",IF('Daily Sale entry '!Q1195="Collection 收款",'Daily Sale entry '!S1195,0))</f>
        <v/>
      </c>
      <c r="F1195" s="37">
        <f>IF(C1195="","",B1195+IF(E1195&gt;0,0,0.5)+ROW()/10000000)</f>
        <v/>
      </c>
      <c r="G1195">
        <f>IF(C1195="","",'Daily Sale entry '!Q1195&amp;IF('Daily Sale entry '!Q1195="Collection 收款"," ("&amp;'Daily Sale entry '!R1195&amp;")","")&amp;IF('Daily Sale entry '!U1195="",""," - "&amp;'Daily Sale entry '!U1195))</f>
        <v/>
      </c>
      <c r="H1195">
        <f>IF(C1195="","",COUNTIFS($C$2:$C$3001,C1195,$F$2:$F$3001,"&lt;"&amp;F1195)+1)</f>
        <v/>
      </c>
      <c r="I1195">
        <f>IF(C1195="","",C1195&amp;"|"&amp;H1195)</f>
        <v/>
      </c>
      <c r="J1195" s="6">
        <f>IF(C1195="","",IF(H1195=1,SUMIFS('Opening Balance'!$F$4:$F$303,'Opening Balance'!$G$4:$G$303,C1195),INDEX($L$2:$L$3001,MATCH(C1195&amp;"|"&amp;(H1195-1),$I$2:$I$3001,0))))</f>
        <v/>
      </c>
      <c r="K1195" s="6">
        <f>IF(C1195="","",IF(M1195&gt;0,M1195,IF(AND(E1195&gt;0,ROUND(J1195+D1195-E1195,2)&gt;0,ROUND(J1195+D1195-E1195,2)&lt;'Opening Balance'!$B$14),ROUND(J1195+D1195-E1195,2),0)))</f>
        <v/>
      </c>
      <c r="L1195" s="6">
        <f>IF(C1195="","",ROUND(J1195+D1195-E1195-K1195,2))</f>
        <v/>
      </c>
      <c r="M1195" s="6">
        <f>IF(C1195="","",IF('Daily Sale entry '!Q1195="Collection 收款",ROUND(N('Daily Sale entry '!T1195),2),0))</f>
        <v/>
      </c>
    </row>
    <row r="1196">
      <c r="A1196" t="inlineStr">
        <is>
          <t>Entry 记录</t>
        </is>
      </c>
      <c r="B1196" s="5">
        <f>IF('Daily Sale entry '!P1196="","",'Daily Sale entry '!O1196)</f>
        <v/>
      </c>
      <c r="C1196">
        <f>IF('Daily Sale entry '!P1196="","",'Daily Sale entry '!P1196)</f>
        <v/>
      </c>
      <c r="D1196">
        <f>IF(C1196="","",IF('Daily Sale entry '!Q1196="Credit Sale 赊销",'Daily Sale entry '!S1196,0))</f>
        <v/>
      </c>
      <c r="E1196">
        <f>IF(C1196="","",IF('Daily Sale entry '!Q1196="Collection 收款",'Daily Sale entry '!S1196,0))</f>
        <v/>
      </c>
      <c r="F1196" s="37">
        <f>IF(C1196="","",B1196+IF(E1196&gt;0,0,0.5)+ROW()/10000000)</f>
        <v/>
      </c>
      <c r="G1196">
        <f>IF(C1196="","",'Daily Sale entry '!Q1196&amp;IF('Daily Sale entry '!Q1196="Collection 收款"," ("&amp;'Daily Sale entry '!R1196&amp;")","")&amp;IF('Daily Sale entry '!U1196="",""," - "&amp;'Daily Sale entry '!U1196))</f>
        <v/>
      </c>
      <c r="H1196">
        <f>IF(C1196="","",COUNTIFS($C$2:$C$3001,C1196,$F$2:$F$3001,"&lt;"&amp;F1196)+1)</f>
        <v/>
      </c>
      <c r="I1196">
        <f>IF(C1196="","",C1196&amp;"|"&amp;H1196)</f>
        <v/>
      </c>
      <c r="J1196" s="6">
        <f>IF(C1196="","",IF(H1196=1,SUMIFS('Opening Balance'!$F$4:$F$303,'Opening Balance'!$G$4:$G$303,C1196),INDEX($L$2:$L$3001,MATCH(C1196&amp;"|"&amp;(H1196-1),$I$2:$I$3001,0))))</f>
        <v/>
      </c>
      <c r="K1196" s="6">
        <f>IF(C1196="","",IF(M1196&gt;0,M1196,IF(AND(E1196&gt;0,ROUND(J1196+D1196-E1196,2)&gt;0,ROUND(J1196+D1196-E1196,2)&lt;'Opening Balance'!$B$14),ROUND(J1196+D1196-E1196,2),0)))</f>
        <v/>
      </c>
      <c r="L1196" s="6">
        <f>IF(C1196="","",ROUND(J1196+D1196-E1196-K1196,2))</f>
        <v/>
      </c>
      <c r="M1196" s="6">
        <f>IF(C1196="","",IF('Daily Sale entry '!Q1196="Collection 收款",ROUND(N('Daily Sale entry '!T1196),2),0))</f>
        <v/>
      </c>
    </row>
    <row r="1197">
      <c r="A1197" t="inlineStr">
        <is>
          <t>Entry 记录</t>
        </is>
      </c>
      <c r="B1197" s="5">
        <f>IF('Daily Sale entry '!P1197="","",'Daily Sale entry '!O1197)</f>
        <v/>
      </c>
      <c r="C1197">
        <f>IF('Daily Sale entry '!P1197="","",'Daily Sale entry '!P1197)</f>
        <v/>
      </c>
      <c r="D1197">
        <f>IF(C1197="","",IF('Daily Sale entry '!Q1197="Credit Sale 赊销",'Daily Sale entry '!S1197,0))</f>
        <v/>
      </c>
      <c r="E1197">
        <f>IF(C1197="","",IF('Daily Sale entry '!Q1197="Collection 收款",'Daily Sale entry '!S1197,0))</f>
        <v/>
      </c>
      <c r="F1197" s="37">
        <f>IF(C1197="","",B1197+IF(E1197&gt;0,0,0.5)+ROW()/10000000)</f>
        <v/>
      </c>
      <c r="G1197">
        <f>IF(C1197="","",'Daily Sale entry '!Q1197&amp;IF('Daily Sale entry '!Q1197="Collection 收款"," ("&amp;'Daily Sale entry '!R1197&amp;")","")&amp;IF('Daily Sale entry '!U1197="",""," - "&amp;'Daily Sale entry '!U1197))</f>
        <v/>
      </c>
      <c r="H1197">
        <f>IF(C1197="","",COUNTIFS($C$2:$C$3001,C1197,$F$2:$F$3001,"&lt;"&amp;F1197)+1)</f>
        <v/>
      </c>
      <c r="I1197">
        <f>IF(C1197="","",C1197&amp;"|"&amp;H1197)</f>
        <v/>
      </c>
      <c r="J1197" s="6">
        <f>IF(C1197="","",IF(H1197=1,SUMIFS('Opening Balance'!$F$4:$F$303,'Opening Balance'!$G$4:$G$303,C1197),INDEX($L$2:$L$3001,MATCH(C1197&amp;"|"&amp;(H1197-1),$I$2:$I$3001,0))))</f>
        <v/>
      </c>
      <c r="K1197" s="6">
        <f>IF(C1197="","",IF(M1197&gt;0,M1197,IF(AND(E1197&gt;0,ROUND(J1197+D1197-E1197,2)&gt;0,ROUND(J1197+D1197-E1197,2)&lt;'Opening Balance'!$B$14),ROUND(J1197+D1197-E1197,2),0)))</f>
        <v/>
      </c>
      <c r="L1197" s="6">
        <f>IF(C1197="","",ROUND(J1197+D1197-E1197-K1197,2))</f>
        <v/>
      </c>
      <c r="M1197" s="6">
        <f>IF(C1197="","",IF('Daily Sale entry '!Q1197="Collection 收款",ROUND(N('Daily Sale entry '!T1197),2),0))</f>
        <v/>
      </c>
    </row>
    <row r="1198">
      <c r="A1198" t="inlineStr">
        <is>
          <t>Entry 记录</t>
        </is>
      </c>
      <c r="B1198" s="5">
        <f>IF('Daily Sale entry '!P1198="","",'Daily Sale entry '!O1198)</f>
        <v/>
      </c>
      <c r="C1198">
        <f>IF('Daily Sale entry '!P1198="","",'Daily Sale entry '!P1198)</f>
        <v/>
      </c>
      <c r="D1198">
        <f>IF(C1198="","",IF('Daily Sale entry '!Q1198="Credit Sale 赊销",'Daily Sale entry '!S1198,0))</f>
        <v/>
      </c>
      <c r="E1198">
        <f>IF(C1198="","",IF('Daily Sale entry '!Q1198="Collection 收款",'Daily Sale entry '!S1198,0))</f>
        <v/>
      </c>
      <c r="F1198" s="37">
        <f>IF(C1198="","",B1198+IF(E1198&gt;0,0,0.5)+ROW()/10000000)</f>
        <v/>
      </c>
      <c r="G1198">
        <f>IF(C1198="","",'Daily Sale entry '!Q1198&amp;IF('Daily Sale entry '!Q1198="Collection 收款"," ("&amp;'Daily Sale entry '!R1198&amp;")","")&amp;IF('Daily Sale entry '!U1198="",""," - "&amp;'Daily Sale entry '!U1198))</f>
        <v/>
      </c>
      <c r="H1198">
        <f>IF(C1198="","",COUNTIFS($C$2:$C$3001,C1198,$F$2:$F$3001,"&lt;"&amp;F1198)+1)</f>
        <v/>
      </c>
      <c r="I1198">
        <f>IF(C1198="","",C1198&amp;"|"&amp;H1198)</f>
        <v/>
      </c>
      <c r="J1198" s="6">
        <f>IF(C1198="","",IF(H1198=1,SUMIFS('Opening Balance'!$F$4:$F$303,'Opening Balance'!$G$4:$G$303,C1198),INDEX($L$2:$L$3001,MATCH(C1198&amp;"|"&amp;(H1198-1),$I$2:$I$3001,0))))</f>
        <v/>
      </c>
      <c r="K1198" s="6">
        <f>IF(C1198="","",IF(M1198&gt;0,M1198,IF(AND(E1198&gt;0,ROUND(J1198+D1198-E1198,2)&gt;0,ROUND(J1198+D1198-E1198,2)&lt;'Opening Balance'!$B$14),ROUND(J1198+D1198-E1198,2),0)))</f>
        <v/>
      </c>
      <c r="L1198" s="6">
        <f>IF(C1198="","",ROUND(J1198+D1198-E1198-K1198,2))</f>
        <v/>
      </c>
      <c r="M1198" s="6">
        <f>IF(C1198="","",IF('Daily Sale entry '!Q1198="Collection 收款",ROUND(N('Daily Sale entry '!T1198),2),0))</f>
        <v/>
      </c>
    </row>
    <row r="1199">
      <c r="A1199" t="inlineStr">
        <is>
          <t>Entry 记录</t>
        </is>
      </c>
      <c r="B1199" s="5">
        <f>IF('Daily Sale entry '!P1199="","",'Daily Sale entry '!O1199)</f>
        <v/>
      </c>
      <c r="C1199">
        <f>IF('Daily Sale entry '!P1199="","",'Daily Sale entry '!P1199)</f>
        <v/>
      </c>
      <c r="D1199">
        <f>IF(C1199="","",IF('Daily Sale entry '!Q1199="Credit Sale 赊销",'Daily Sale entry '!S1199,0))</f>
        <v/>
      </c>
      <c r="E1199">
        <f>IF(C1199="","",IF('Daily Sale entry '!Q1199="Collection 收款",'Daily Sale entry '!S1199,0))</f>
        <v/>
      </c>
      <c r="F1199" s="37">
        <f>IF(C1199="","",B1199+IF(E1199&gt;0,0,0.5)+ROW()/10000000)</f>
        <v/>
      </c>
      <c r="G1199">
        <f>IF(C1199="","",'Daily Sale entry '!Q1199&amp;IF('Daily Sale entry '!Q1199="Collection 收款"," ("&amp;'Daily Sale entry '!R1199&amp;")","")&amp;IF('Daily Sale entry '!U1199="",""," - "&amp;'Daily Sale entry '!U1199))</f>
        <v/>
      </c>
      <c r="H1199">
        <f>IF(C1199="","",COUNTIFS($C$2:$C$3001,C1199,$F$2:$F$3001,"&lt;"&amp;F1199)+1)</f>
        <v/>
      </c>
      <c r="I1199">
        <f>IF(C1199="","",C1199&amp;"|"&amp;H1199)</f>
        <v/>
      </c>
      <c r="J1199" s="6">
        <f>IF(C1199="","",IF(H1199=1,SUMIFS('Opening Balance'!$F$4:$F$303,'Opening Balance'!$G$4:$G$303,C1199),INDEX($L$2:$L$3001,MATCH(C1199&amp;"|"&amp;(H1199-1),$I$2:$I$3001,0))))</f>
        <v/>
      </c>
      <c r="K1199" s="6">
        <f>IF(C1199="","",IF(M1199&gt;0,M1199,IF(AND(E1199&gt;0,ROUND(J1199+D1199-E1199,2)&gt;0,ROUND(J1199+D1199-E1199,2)&lt;'Opening Balance'!$B$14),ROUND(J1199+D1199-E1199,2),0)))</f>
        <v/>
      </c>
      <c r="L1199" s="6">
        <f>IF(C1199="","",ROUND(J1199+D1199-E1199-K1199,2))</f>
        <v/>
      </c>
      <c r="M1199" s="6">
        <f>IF(C1199="","",IF('Daily Sale entry '!Q1199="Collection 收款",ROUND(N('Daily Sale entry '!T1199),2),0))</f>
        <v/>
      </c>
    </row>
    <row r="1200">
      <c r="A1200" t="inlineStr">
        <is>
          <t>Entry 记录</t>
        </is>
      </c>
      <c r="B1200" s="5">
        <f>IF('Daily Sale entry '!P1200="","",'Daily Sale entry '!O1200)</f>
        <v/>
      </c>
      <c r="C1200">
        <f>IF('Daily Sale entry '!P1200="","",'Daily Sale entry '!P1200)</f>
        <v/>
      </c>
      <c r="D1200">
        <f>IF(C1200="","",IF('Daily Sale entry '!Q1200="Credit Sale 赊销",'Daily Sale entry '!S1200,0))</f>
        <v/>
      </c>
      <c r="E1200">
        <f>IF(C1200="","",IF('Daily Sale entry '!Q1200="Collection 收款",'Daily Sale entry '!S1200,0))</f>
        <v/>
      </c>
      <c r="F1200" s="37">
        <f>IF(C1200="","",B1200+IF(E1200&gt;0,0,0.5)+ROW()/10000000)</f>
        <v/>
      </c>
      <c r="G1200">
        <f>IF(C1200="","",'Daily Sale entry '!Q1200&amp;IF('Daily Sale entry '!Q1200="Collection 收款"," ("&amp;'Daily Sale entry '!R1200&amp;")","")&amp;IF('Daily Sale entry '!U1200="",""," - "&amp;'Daily Sale entry '!U1200))</f>
        <v/>
      </c>
      <c r="H1200">
        <f>IF(C1200="","",COUNTIFS($C$2:$C$3001,C1200,$F$2:$F$3001,"&lt;"&amp;F1200)+1)</f>
        <v/>
      </c>
      <c r="I1200">
        <f>IF(C1200="","",C1200&amp;"|"&amp;H1200)</f>
        <v/>
      </c>
      <c r="J1200" s="6">
        <f>IF(C1200="","",IF(H1200=1,SUMIFS('Opening Balance'!$F$4:$F$303,'Opening Balance'!$G$4:$G$303,C1200),INDEX($L$2:$L$3001,MATCH(C1200&amp;"|"&amp;(H1200-1),$I$2:$I$3001,0))))</f>
        <v/>
      </c>
      <c r="K1200" s="6">
        <f>IF(C1200="","",IF(M1200&gt;0,M1200,IF(AND(E1200&gt;0,ROUND(J1200+D1200-E1200,2)&gt;0,ROUND(J1200+D1200-E1200,2)&lt;'Opening Balance'!$B$14),ROUND(J1200+D1200-E1200,2),0)))</f>
        <v/>
      </c>
      <c r="L1200" s="6">
        <f>IF(C1200="","",ROUND(J1200+D1200-E1200-K1200,2))</f>
        <v/>
      </c>
      <c r="M1200" s="6">
        <f>IF(C1200="","",IF('Daily Sale entry '!Q1200="Collection 收款",ROUND(N('Daily Sale entry '!T1200),2),0))</f>
        <v/>
      </c>
    </row>
    <row r="1201">
      <c r="A1201" t="inlineStr">
        <is>
          <t>Entry 记录</t>
        </is>
      </c>
      <c r="B1201" s="5">
        <f>IF('Daily Sale entry '!P1201="","",'Daily Sale entry '!O1201)</f>
        <v/>
      </c>
      <c r="C1201">
        <f>IF('Daily Sale entry '!P1201="","",'Daily Sale entry '!P1201)</f>
        <v/>
      </c>
      <c r="D1201">
        <f>IF(C1201="","",IF('Daily Sale entry '!Q1201="Credit Sale 赊销",'Daily Sale entry '!S1201,0))</f>
        <v/>
      </c>
      <c r="E1201">
        <f>IF(C1201="","",IF('Daily Sale entry '!Q1201="Collection 收款",'Daily Sale entry '!S1201,0))</f>
        <v/>
      </c>
      <c r="F1201" s="37">
        <f>IF(C1201="","",B1201+IF(E1201&gt;0,0,0.5)+ROW()/10000000)</f>
        <v/>
      </c>
      <c r="G1201">
        <f>IF(C1201="","",'Daily Sale entry '!Q1201&amp;IF('Daily Sale entry '!Q1201="Collection 收款"," ("&amp;'Daily Sale entry '!R1201&amp;")","")&amp;IF('Daily Sale entry '!U1201="",""," - "&amp;'Daily Sale entry '!U1201))</f>
        <v/>
      </c>
      <c r="H1201">
        <f>IF(C1201="","",COUNTIFS($C$2:$C$3001,C1201,$F$2:$F$3001,"&lt;"&amp;F1201)+1)</f>
        <v/>
      </c>
      <c r="I1201">
        <f>IF(C1201="","",C1201&amp;"|"&amp;H1201)</f>
        <v/>
      </c>
      <c r="J1201" s="6">
        <f>IF(C1201="","",IF(H1201=1,SUMIFS('Opening Balance'!$F$4:$F$303,'Opening Balance'!$G$4:$G$303,C1201),INDEX($L$2:$L$3001,MATCH(C1201&amp;"|"&amp;(H1201-1),$I$2:$I$3001,0))))</f>
        <v/>
      </c>
      <c r="K1201" s="6">
        <f>IF(C1201="","",IF(M1201&gt;0,M1201,IF(AND(E1201&gt;0,ROUND(J1201+D1201-E1201,2)&gt;0,ROUND(J1201+D1201-E1201,2)&lt;'Opening Balance'!$B$14),ROUND(J1201+D1201-E1201,2),0)))</f>
        <v/>
      </c>
      <c r="L1201" s="6">
        <f>IF(C1201="","",ROUND(J1201+D1201-E1201-K1201,2))</f>
        <v/>
      </c>
      <c r="M1201" s="6">
        <f>IF(C1201="","",IF('Daily Sale entry '!Q1201="Collection 收款",ROUND(N('Daily Sale entry '!T1201),2),0))</f>
        <v/>
      </c>
    </row>
    <row r="1202">
      <c r="A1202" t="inlineStr">
        <is>
          <t>Entry 记录</t>
        </is>
      </c>
      <c r="B1202" s="5">
        <f>IF('Daily Sale entry '!P1202="","",'Daily Sale entry '!O1202)</f>
        <v/>
      </c>
      <c r="C1202">
        <f>IF('Daily Sale entry '!P1202="","",'Daily Sale entry '!P1202)</f>
        <v/>
      </c>
      <c r="D1202">
        <f>IF(C1202="","",IF('Daily Sale entry '!Q1202="Credit Sale 赊销",'Daily Sale entry '!S1202,0))</f>
        <v/>
      </c>
      <c r="E1202">
        <f>IF(C1202="","",IF('Daily Sale entry '!Q1202="Collection 收款",'Daily Sale entry '!S1202,0))</f>
        <v/>
      </c>
      <c r="F1202" s="37">
        <f>IF(C1202="","",B1202+IF(E1202&gt;0,0,0.5)+ROW()/10000000)</f>
        <v/>
      </c>
      <c r="G1202">
        <f>IF(C1202="","",'Daily Sale entry '!Q1202&amp;IF('Daily Sale entry '!Q1202="Collection 收款"," ("&amp;'Daily Sale entry '!R1202&amp;")","")&amp;IF('Daily Sale entry '!U1202="",""," - "&amp;'Daily Sale entry '!U1202))</f>
        <v/>
      </c>
      <c r="H1202">
        <f>IF(C1202="","",COUNTIFS($C$2:$C$3001,C1202,$F$2:$F$3001,"&lt;"&amp;F1202)+1)</f>
        <v/>
      </c>
      <c r="I1202">
        <f>IF(C1202="","",C1202&amp;"|"&amp;H1202)</f>
        <v/>
      </c>
      <c r="J1202" s="6">
        <f>IF(C1202="","",IF(H1202=1,SUMIFS('Opening Balance'!$F$4:$F$303,'Opening Balance'!$G$4:$G$303,C1202),INDEX($L$2:$L$3001,MATCH(C1202&amp;"|"&amp;(H1202-1),$I$2:$I$3001,0))))</f>
        <v/>
      </c>
      <c r="K1202" s="6">
        <f>IF(C1202="","",IF(M1202&gt;0,M1202,IF(AND(E1202&gt;0,ROUND(J1202+D1202-E1202,2)&gt;0,ROUND(J1202+D1202-E1202,2)&lt;'Opening Balance'!$B$14),ROUND(J1202+D1202-E1202,2),0)))</f>
        <v/>
      </c>
      <c r="L1202" s="6">
        <f>IF(C1202="","",ROUND(J1202+D1202-E1202-K1202,2))</f>
        <v/>
      </c>
      <c r="M1202" s="6">
        <f>IF(C1202="","",IF('Daily Sale entry '!Q1202="Collection 收款",ROUND(N('Daily Sale entry '!T1202),2),0))</f>
        <v/>
      </c>
    </row>
    <row r="1203">
      <c r="A1203" t="inlineStr">
        <is>
          <t>Entry 记录</t>
        </is>
      </c>
      <c r="B1203" s="5">
        <f>IF('Daily Sale entry '!P1203="","",'Daily Sale entry '!O1203)</f>
        <v/>
      </c>
      <c r="C1203">
        <f>IF('Daily Sale entry '!P1203="","",'Daily Sale entry '!P1203)</f>
        <v/>
      </c>
      <c r="D1203">
        <f>IF(C1203="","",IF('Daily Sale entry '!Q1203="Credit Sale 赊销",'Daily Sale entry '!S1203,0))</f>
        <v/>
      </c>
      <c r="E1203">
        <f>IF(C1203="","",IF('Daily Sale entry '!Q1203="Collection 收款",'Daily Sale entry '!S1203,0))</f>
        <v/>
      </c>
      <c r="F1203" s="37">
        <f>IF(C1203="","",B1203+IF(E1203&gt;0,0,0.5)+ROW()/10000000)</f>
        <v/>
      </c>
      <c r="G1203">
        <f>IF(C1203="","",'Daily Sale entry '!Q1203&amp;IF('Daily Sale entry '!Q1203="Collection 收款"," ("&amp;'Daily Sale entry '!R1203&amp;")","")&amp;IF('Daily Sale entry '!U1203="",""," - "&amp;'Daily Sale entry '!U1203))</f>
        <v/>
      </c>
      <c r="H1203">
        <f>IF(C1203="","",COUNTIFS($C$2:$C$3001,C1203,$F$2:$F$3001,"&lt;"&amp;F1203)+1)</f>
        <v/>
      </c>
      <c r="I1203">
        <f>IF(C1203="","",C1203&amp;"|"&amp;H1203)</f>
        <v/>
      </c>
      <c r="J1203" s="6">
        <f>IF(C1203="","",IF(H1203=1,SUMIFS('Opening Balance'!$F$4:$F$303,'Opening Balance'!$G$4:$G$303,C1203),INDEX($L$2:$L$3001,MATCH(C1203&amp;"|"&amp;(H1203-1),$I$2:$I$3001,0))))</f>
        <v/>
      </c>
      <c r="K1203" s="6">
        <f>IF(C1203="","",IF(M1203&gt;0,M1203,IF(AND(E1203&gt;0,ROUND(J1203+D1203-E1203,2)&gt;0,ROUND(J1203+D1203-E1203,2)&lt;'Opening Balance'!$B$14),ROUND(J1203+D1203-E1203,2),0)))</f>
        <v/>
      </c>
      <c r="L1203" s="6">
        <f>IF(C1203="","",ROUND(J1203+D1203-E1203-K1203,2))</f>
        <v/>
      </c>
      <c r="M1203" s="6">
        <f>IF(C1203="","",IF('Daily Sale entry '!Q1203="Collection 收款",ROUND(N('Daily Sale entry '!T1203),2),0))</f>
        <v/>
      </c>
    </row>
    <row r="1204">
      <c r="A1204" t="inlineStr">
        <is>
          <t>Entry 记录</t>
        </is>
      </c>
      <c r="B1204" s="5">
        <f>IF('Daily Sale entry '!P1204="","",'Daily Sale entry '!O1204)</f>
        <v/>
      </c>
      <c r="C1204">
        <f>IF('Daily Sale entry '!P1204="","",'Daily Sale entry '!P1204)</f>
        <v/>
      </c>
      <c r="D1204">
        <f>IF(C1204="","",IF('Daily Sale entry '!Q1204="Credit Sale 赊销",'Daily Sale entry '!S1204,0))</f>
        <v/>
      </c>
      <c r="E1204">
        <f>IF(C1204="","",IF('Daily Sale entry '!Q1204="Collection 收款",'Daily Sale entry '!S1204,0))</f>
        <v/>
      </c>
      <c r="F1204" s="37">
        <f>IF(C1204="","",B1204+IF(E1204&gt;0,0,0.5)+ROW()/10000000)</f>
        <v/>
      </c>
      <c r="G1204">
        <f>IF(C1204="","",'Daily Sale entry '!Q1204&amp;IF('Daily Sale entry '!Q1204="Collection 收款"," ("&amp;'Daily Sale entry '!R1204&amp;")","")&amp;IF('Daily Sale entry '!U1204="",""," - "&amp;'Daily Sale entry '!U1204))</f>
        <v/>
      </c>
      <c r="H1204">
        <f>IF(C1204="","",COUNTIFS($C$2:$C$3001,C1204,$F$2:$F$3001,"&lt;"&amp;F1204)+1)</f>
        <v/>
      </c>
      <c r="I1204">
        <f>IF(C1204="","",C1204&amp;"|"&amp;H1204)</f>
        <v/>
      </c>
      <c r="J1204" s="6">
        <f>IF(C1204="","",IF(H1204=1,SUMIFS('Opening Balance'!$F$4:$F$303,'Opening Balance'!$G$4:$G$303,C1204),INDEX($L$2:$L$3001,MATCH(C1204&amp;"|"&amp;(H1204-1),$I$2:$I$3001,0))))</f>
        <v/>
      </c>
      <c r="K1204" s="6">
        <f>IF(C1204="","",IF(M1204&gt;0,M1204,IF(AND(E1204&gt;0,ROUND(J1204+D1204-E1204,2)&gt;0,ROUND(J1204+D1204-E1204,2)&lt;'Opening Balance'!$B$14),ROUND(J1204+D1204-E1204,2),0)))</f>
        <v/>
      </c>
      <c r="L1204" s="6">
        <f>IF(C1204="","",ROUND(J1204+D1204-E1204-K1204,2))</f>
        <v/>
      </c>
      <c r="M1204" s="6">
        <f>IF(C1204="","",IF('Daily Sale entry '!Q1204="Collection 收款",ROUND(N('Daily Sale entry '!T1204),2),0))</f>
        <v/>
      </c>
    </row>
    <row r="1205">
      <c r="A1205" t="inlineStr">
        <is>
          <t>Entry 记录</t>
        </is>
      </c>
      <c r="B1205" s="5">
        <f>IF('Daily Sale entry '!P1205="","",'Daily Sale entry '!O1205)</f>
        <v/>
      </c>
      <c r="C1205">
        <f>IF('Daily Sale entry '!P1205="","",'Daily Sale entry '!P1205)</f>
        <v/>
      </c>
      <c r="D1205">
        <f>IF(C1205="","",IF('Daily Sale entry '!Q1205="Credit Sale 赊销",'Daily Sale entry '!S1205,0))</f>
        <v/>
      </c>
      <c r="E1205">
        <f>IF(C1205="","",IF('Daily Sale entry '!Q1205="Collection 收款",'Daily Sale entry '!S1205,0))</f>
        <v/>
      </c>
      <c r="F1205" s="37">
        <f>IF(C1205="","",B1205+IF(E1205&gt;0,0,0.5)+ROW()/10000000)</f>
        <v/>
      </c>
      <c r="G1205">
        <f>IF(C1205="","",'Daily Sale entry '!Q1205&amp;IF('Daily Sale entry '!Q1205="Collection 收款"," ("&amp;'Daily Sale entry '!R1205&amp;")","")&amp;IF('Daily Sale entry '!U1205="",""," - "&amp;'Daily Sale entry '!U1205))</f>
        <v/>
      </c>
      <c r="H1205">
        <f>IF(C1205="","",COUNTIFS($C$2:$C$3001,C1205,$F$2:$F$3001,"&lt;"&amp;F1205)+1)</f>
        <v/>
      </c>
      <c r="I1205">
        <f>IF(C1205="","",C1205&amp;"|"&amp;H1205)</f>
        <v/>
      </c>
      <c r="J1205" s="6">
        <f>IF(C1205="","",IF(H1205=1,SUMIFS('Opening Balance'!$F$4:$F$303,'Opening Balance'!$G$4:$G$303,C1205),INDEX($L$2:$L$3001,MATCH(C1205&amp;"|"&amp;(H1205-1),$I$2:$I$3001,0))))</f>
        <v/>
      </c>
      <c r="K1205" s="6">
        <f>IF(C1205="","",IF(M1205&gt;0,M1205,IF(AND(E1205&gt;0,ROUND(J1205+D1205-E1205,2)&gt;0,ROUND(J1205+D1205-E1205,2)&lt;'Opening Balance'!$B$14),ROUND(J1205+D1205-E1205,2),0)))</f>
        <v/>
      </c>
      <c r="L1205" s="6">
        <f>IF(C1205="","",ROUND(J1205+D1205-E1205-K1205,2))</f>
        <v/>
      </c>
      <c r="M1205" s="6">
        <f>IF(C1205="","",IF('Daily Sale entry '!Q1205="Collection 收款",ROUND(N('Daily Sale entry '!T1205),2),0))</f>
        <v/>
      </c>
    </row>
    <row r="1206">
      <c r="A1206" t="inlineStr">
        <is>
          <t>Entry 记录</t>
        </is>
      </c>
      <c r="B1206" s="5">
        <f>IF('Daily Sale entry '!P1206="","",'Daily Sale entry '!O1206)</f>
        <v/>
      </c>
      <c r="C1206">
        <f>IF('Daily Sale entry '!P1206="","",'Daily Sale entry '!P1206)</f>
        <v/>
      </c>
      <c r="D1206">
        <f>IF(C1206="","",IF('Daily Sale entry '!Q1206="Credit Sale 赊销",'Daily Sale entry '!S1206,0))</f>
        <v/>
      </c>
      <c r="E1206">
        <f>IF(C1206="","",IF('Daily Sale entry '!Q1206="Collection 收款",'Daily Sale entry '!S1206,0))</f>
        <v/>
      </c>
      <c r="F1206" s="37">
        <f>IF(C1206="","",B1206+IF(E1206&gt;0,0,0.5)+ROW()/10000000)</f>
        <v/>
      </c>
      <c r="G1206">
        <f>IF(C1206="","",'Daily Sale entry '!Q1206&amp;IF('Daily Sale entry '!Q1206="Collection 收款"," ("&amp;'Daily Sale entry '!R1206&amp;")","")&amp;IF('Daily Sale entry '!U1206="",""," - "&amp;'Daily Sale entry '!U1206))</f>
        <v/>
      </c>
      <c r="H1206">
        <f>IF(C1206="","",COUNTIFS($C$2:$C$3001,C1206,$F$2:$F$3001,"&lt;"&amp;F1206)+1)</f>
        <v/>
      </c>
      <c r="I1206">
        <f>IF(C1206="","",C1206&amp;"|"&amp;H1206)</f>
        <v/>
      </c>
      <c r="J1206" s="6">
        <f>IF(C1206="","",IF(H1206=1,SUMIFS('Opening Balance'!$F$4:$F$303,'Opening Balance'!$G$4:$G$303,C1206),INDEX($L$2:$L$3001,MATCH(C1206&amp;"|"&amp;(H1206-1),$I$2:$I$3001,0))))</f>
        <v/>
      </c>
      <c r="K1206" s="6">
        <f>IF(C1206="","",IF(M1206&gt;0,M1206,IF(AND(E1206&gt;0,ROUND(J1206+D1206-E1206,2)&gt;0,ROUND(J1206+D1206-E1206,2)&lt;'Opening Balance'!$B$14),ROUND(J1206+D1206-E1206,2),0)))</f>
        <v/>
      </c>
      <c r="L1206" s="6">
        <f>IF(C1206="","",ROUND(J1206+D1206-E1206-K1206,2))</f>
        <v/>
      </c>
      <c r="M1206" s="6">
        <f>IF(C1206="","",IF('Daily Sale entry '!Q1206="Collection 收款",ROUND(N('Daily Sale entry '!T1206),2),0))</f>
        <v/>
      </c>
    </row>
    <row r="1207">
      <c r="A1207" t="inlineStr">
        <is>
          <t>Entry 记录</t>
        </is>
      </c>
      <c r="B1207" s="5">
        <f>IF('Daily Sale entry '!P1207="","",'Daily Sale entry '!O1207)</f>
        <v/>
      </c>
      <c r="C1207">
        <f>IF('Daily Sale entry '!P1207="","",'Daily Sale entry '!P1207)</f>
        <v/>
      </c>
      <c r="D1207">
        <f>IF(C1207="","",IF('Daily Sale entry '!Q1207="Credit Sale 赊销",'Daily Sale entry '!S1207,0))</f>
        <v/>
      </c>
      <c r="E1207">
        <f>IF(C1207="","",IF('Daily Sale entry '!Q1207="Collection 收款",'Daily Sale entry '!S1207,0))</f>
        <v/>
      </c>
      <c r="F1207" s="37">
        <f>IF(C1207="","",B1207+IF(E1207&gt;0,0,0.5)+ROW()/10000000)</f>
        <v/>
      </c>
      <c r="G1207">
        <f>IF(C1207="","",'Daily Sale entry '!Q1207&amp;IF('Daily Sale entry '!Q1207="Collection 收款"," ("&amp;'Daily Sale entry '!R1207&amp;")","")&amp;IF('Daily Sale entry '!U1207="",""," - "&amp;'Daily Sale entry '!U1207))</f>
        <v/>
      </c>
      <c r="H1207">
        <f>IF(C1207="","",COUNTIFS($C$2:$C$3001,C1207,$F$2:$F$3001,"&lt;"&amp;F1207)+1)</f>
        <v/>
      </c>
      <c r="I1207">
        <f>IF(C1207="","",C1207&amp;"|"&amp;H1207)</f>
        <v/>
      </c>
      <c r="J1207" s="6">
        <f>IF(C1207="","",IF(H1207=1,SUMIFS('Opening Balance'!$F$4:$F$303,'Opening Balance'!$G$4:$G$303,C1207),INDEX($L$2:$L$3001,MATCH(C1207&amp;"|"&amp;(H1207-1),$I$2:$I$3001,0))))</f>
        <v/>
      </c>
      <c r="K1207" s="6">
        <f>IF(C1207="","",IF(M1207&gt;0,M1207,IF(AND(E1207&gt;0,ROUND(J1207+D1207-E1207,2)&gt;0,ROUND(J1207+D1207-E1207,2)&lt;'Opening Balance'!$B$14),ROUND(J1207+D1207-E1207,2),0)))</f>
        <v/>
      </c>
      <c r="L1207" s="6">
        <f>IF(C1207="","",ROUND(J1207+D1207-E1207-K1207,2))</f>
        <v/>
      </c>
      <c r="M1207" s="6">
        <f>IF(C1207="","",IF('Daily Sale entry '!Q1207="Collection 收款",ROUND(N('Daily Sale entry '!T1207),2),0))</f>
        <v/>
      </c>
    </row>
    <row r="1208">
      <c r="A1208" t="inlineStr">
        <is>
          <t>Entry 记录</t>
        </is>
      </c>
      <c r="B1208" s="5">
        <f>IF('Daily Sale entry '!P1208="","",'Daily Sale entry '!O1208)</f>
        <v/>
      </c>
      <c r="C1208">
        <f>IF('Daily Sale entry '!P1208="","",'Daily Sale entry '!P1208)</f>
        <v/>
      </c>
      <c r="D1208">
        <f>IF(C1208="","",IF('Daily Sale entry '!Q1208="Credit Sale 赊销",'Daily Sale entry '!S1208,0))</f>
        <v/>
      </c>
      <c r="E1208">
        <f>IF(C1208="","",IF('Daily Sale entry '!Q1208="Collection 收款",'Daily Sale entry '!S1208,0))</f>
        <v/>
      </c>
      <c r="F1208" s="37">
        <f>IF(C1208="","",B1208+IF(E1208&gt;0,0,0.5)+ROW()/10000000)</f>
        <v/>
      </c>
      <c r="G1208">
        <f>IF(C1208="","",'Daily Sale entry '!Q1208&amp;IF('Daily Sale entry '!Q1208="Collection 收款"," ("&amp;'Daily Sale entry '!R1208&amp;")","")&amp;IF('Daily Sale entry '!U1208="",""," - "&amp;'Daily Sale entry '!U1208))</f>
        <v/>
      </c>
      <c r="H1208">
        <f>IF(C1208="","",COUNTIFS($C$2:$C$3001,C1208,$F$2:$F$3001,"&lt;"&amp;F1208)+1)</f>
        <v/>
      </c>
      <c r="I1208">
        <f>IF(C1208="","",C1208&amp;"|"&amp;H1208)</f>
        <v/>
      </c>
      <c r="J1208" s="6">
        <f>IF(C1208="","",IF(H1208=1,SUMIFS('Opening Balance'!$F$4:$F$303,'Opening Balance'!$G$4:$G$303,C1208),INDEX($L$2:$L$3001,MATCH(C1208&amp;"|"&amp;(H1208-1),$I$2:$I$3001,0))))</f>
        <v/>
      </c>
      <c r="K1208" s="6">
        <f>IF(C1208="","",IF(M1208&gt;0,M1208,IF(AND(E1208&gt;0,ROUND(J1208+D1208-E1208,2)&gt;0,ROUND(J1208+D1208-E1208,2)&lt;'Opening Balance'!$B$14),ROUND(J1208+D1208-E1208,2),0)))</f>
        <v/>
      </c>
      <c r="L1208" s="6">
        <f>IF(C1208="","",ROUND(J1208+D1208-E1208-K1208,2))</f>
        <v/>
      </c>
      <c r="M1208" s="6">
        <f>IF(C1208="","",IF('Daily Sale entry '!Q1208="Collection 收款",ROUND(N('Daily Sale entry '!T1208),2),0))</f>
        <v/>
      </c>
    </row>
    <row r="1209">
      <c r="A1209" t="inlineStr">
        <is>
          <t>Entry 记录</t>
        </is>
      </c>
      <c r="B1209" s="5">
        <f>IF('Daily Sale entry '!P1209="","",'Daily Sale entry '!O1209)</f>
        <v/>
      </c>
      <c r="C1209">
        <f>IF('Daily Sale entry '!P1209="","",'Daily Sale entry '!P1209)</f>
        <v/>
      </c>
      <c r="D1209">
        <f>IF(C1209="","",IF('Daily Sale entry '!Q1209="Credit Sale 赊销",'Daily Sale entry '!S1209,0))</f>
        <v/>
      </c>
      <c r="E1209">
        <f>IF(C1209="","",IF('Daily Sale entry '!Q1209="Collection 收款",'Daily Sale entry '!S1209,0))</f>
        <v/>
      </c>
      <c r="F1209" s="37">
        <f>IF(C1209="","",B1209+IF(E1209&gt;0,0,0.5)+ROW()/10000000)</f>
        <v/>
      </c>
      <c r="G1209">
        <f>IF(C1209="","",'Daily Sale entry '!Q1209&amp;IF('Daily Sale entry '!Q1209="Collection 收款"," ("&amp;'Daily Sale entry '!R1209&amp;")","")&amp;IF('Daily Sale entry '!U1209="",""," - "&amp;'Daily Sale entry '!U1209))</f>
        <v/>
      </c>
      <c r="H1209">
        <f>IF(C1209="","",COUNTIFS($C$2:$C$3001,C1209,$F$2:$F$3001,"&lt;"&amp;F1209)+1)</f>
        <v/>
      </c>
      <c r="I1209">
        <f>IF(C1209="","",C1209&amp;"|"&amp;H1209)</f>
        <v/>
      </c>
      <c r="J1209" s="6">
        <f>IF(C1209="","",IF(H1209=1,SUMIFS('Opening Balance'!$F$4:$F$303,'Opening Balance'!$G$4:$G$303,C1209),INDEX($L$2:$L$3001,MATCH(C1209&amp;"|"&amp;(H1209-1),$I$2:$I$3001,0))))</f>
        <v/>
      </c>
      <c r="K1209" s="6">
        <f>IF(C1209="","",IF(M1209&gt;0,M1209,IF(AND(E1209&gt;0,ROUND(J1209+D1209-E1209,2)&gt;0,ROUND(J1209+D1209-E1209,2)&lt;'Opening Balance'!$B$14),ROUND(J1209+D1209-E1209,2),0)))</f>
        <v/>
      </c>
      <c r="L1209" s="6">
        <f>IF(C1209="","",ROUND(J1209+D1209-E1209-K1209,2))</f>
        <v/>
      </c>
      <c r="M1209" s="6">
        <f>IF(C1209="","",IF('Daily Sale entry '!Q1209="Collection 收款",ROUND(N('Daily Sale entry '!T1209),2),0))</f>
        <v/>
      </c>
    </row>
    <row r="1210">
      <c r="A1210" t="inlineStr">
        <is>
          <t>Entry 记录</t>
        </is>
      </c>
      <c r="B1210" s="5">
        <f>IF('Daily Sale entry '!P1210="","",'Daily Sale entry '!O1210)</f>
        <v/>
      </c>
      <c r="C1210">
        <f>IF('Daily Sale entry '!P1210="","",'Daily Sale entry '!P1210)</f>
        <v/>
      </c>
      <c r="D1210">
        <f>IF(C1210="","",IF('Daily Sale entry '!Q1210="Credit Sale 赊销",'Daily Sale entry '!S1210,0))</f>
        <v/>
      </c>
      <c r="E1210">
        <f>IF(C1210="","",IF('Daily Sale entry '!Q1210="Collection 收款",'Daily Sale entry '!S1210,0))</f>
        <v/>
      </c>
      <c r="F1210" s="37">
        <f>IF(C1210="","",B1210+IF(E1210&gt;0,0,0.5)+ROW()/10000000)</f>
        <v/>
      </c>
      <c r="G1210">
        <f>IF(C1210="","",'Daily Sale entry '!Q1210&amp;IF('Daily Sale entry '!Q1210="Collection 收款"," ("&amp;'Daily Sale entry '!R1210&amp;")","")&amp;IF('Daily Sale entry '!U1210="",""," - "&amp;'Daily Sale entry '!U1210))</f>
        <v/>
      </c>
      <c r="H1210">
        <f>IF(C1210="","",COUNTIFS($C$2:$C$3001,C1210,$F$2:$F$3001,"&lt;"&amp;F1210)+1)</f>
        <v/>
      </c>
      <c r="I1210">
        <f>IF(C1210="","",C1210&amp;"|"&amp;H1210)</f>
        <v/>
      </c>
      <c r="J1210" s="6">
        <f>IF(C1210="","",IF(H1210=1,SUMIFS('Opening Balance'!$F$4:$F$303,'Opening Balance'!$G$4:$G$303,C1210),INDEX($L$2:$L$3001,MATCH(C1210&amp;"|"&amp;(H1210-1),$I$2:$I$3001,0))))</f>
        <v/>
      </c>
      <c r="K1210" s="6">
        <f>IF(C1210="","",IF(M1210&gt;0,M1210,IF(AND(E1210&gt;0,ROUND(J1210+D1210-E1210,2)&gt;0,ROUND(J1210+D1210-E1210,2)&lt;'Opening Balance'!$B$14),ROUND(J1210+D1210-E1210,2),0)))</f>
        <v/>
      </c>
      <c r="L1210" s="6">
        <f>IF(C1210="","",ROUND(J1210+D1210-E1210-K1210,2))</f>
        <v/>
      </c>
      <c r="M1210" s="6">
        <f>IF(C1210="","",IF('Daily Sale entry '!Q1210="Collection 收款",ROUND(N('Daily Sale entry '!T1210),2),0))</f>
        <v/>
      </c>
    </row>
    <row r="1211">
      <c r="A1211" t="inlineStr">
        <is>
          <t>Entry 记录</t>
        </is>
      </c>
      <c r="B1211" s="5">
        <f>IF('Daily Sale entry '!P1211="","",'Daily Sale entry '!O1211)</f>
        <v/>
      </c>
      <c r="C1211">
        <f>IF('Daily Sale entry '!P1211="","",'Daily Sale entry '!P1211)</f>
        <v/>
      </c>
      <c r="D1211">
        <f>IF(C1211="","",IF('Daily Sale entry '!Q1211="Credit Sale 赊销",'Daily Sale entry '!S1211,0))</f>
        <v/>
      </c>
      <c r="E1211">
        <f>IF(C1211="","",IF('Daily Sale entry '!Q1211="Collection 收款",'Daily Sale entry '!S1211,0))</f>
        <v/>
      </c>
      <c r="F1211" s="37">
        <f>IF(C1211="","",B1211+IF(E1211&gt;0,0,0.5)+ROW()/10000000)</f>
        <v/>
      </c>
      <c r="G1211">
        <f>IF(C1211="","",'Daily Sale entry '!Q1211&amp;IF('Daily Sale entry '!Q1211="Collection 收款"," ("&amp;'Daily Sale entry '!R1211&amp;")","")&amp;IF('Daily Sale entry '!U1211="",""," - "&amp;'Daily Sale entry '!U1211))</f>
        <v/>
      </c>
      <c r="H1211">
        <f>IF(C1211="","",COUNTIFS($C$2:$C$3001,C1211,$F$2:$F$3001,"&lt;"&amp;F1211)+1)</f>
        <v/>
      </c>
      <c r="I1211">
        <f>IF(C1211="","",C1211&amp;"|"&amp;H1211)</f>
        <v/>
      </c>
      <c r="J1211" s="6">
        <f>IF(C1211="","",IF(H1211=1,SUMIFS('Opening Balance'!$F$4:$F$303,'Opening Balance'!$G$4:$G$303,C1211),INDEX($L$2:$L$3001,MATCH(C1211&amp;"|"&amp;(H1211-1),$I$2:$I$3001,0))))</f>
        <v/>
      </c>
      <c r="K1211" s="6">
        <f>IF(C1211="","",IF(M1211&gt;0,M1211,IF(AND(E1211&gt;0,ROUND(J1211+D1211-E1211,2)&gt;0,ROUND(J1211+D1211-E1211,2)&lt;'Opening Balance'!$B$14),ROUND(J1211+D1211-E1211,2),0)))</f>
        <v/>
      </c>
      <c r="L1211" s="6">
        <f>IF(C1211="","",ROUND(J1211+D1211-E1211-K1211,2))</f>
        <v/>
      </c>
      <c r="M1211" s="6">
        <f>IF(C1211="","",IF('Daily Sale entry '!Q1211="Collection 收款",ROUND(N('Daily Sale entry '!T1211),2),0))</f>
        <v/>
      </c>
    </row>
    <row r="1212">
      <c r="A1212" t="inlineStr">
        <is>
          <t>Entry 记录</t>
        </is>
      </c>
      <c r="B1212" s="5">
        <f>IF('Daily Sale entry '!P1212="","",'Daily Sale entry '!O1212)</f>
        <v/>
      </c>
      <c r="C1212">
        <f>IF('Daily Sale entry '!P1212="","",'Daily Sale entry '!P1212)</f>
        <v/>
      </c>
      <c r="D1212">
        <f>IF(C1212="","",IF('Daily Sale entry '!Q1212="Credit Sale 赊销",'Daily Sale entry '!S1212,0))</f>
        <v/>
      </c>
      <c r="E1212">
        <f>IF(C1212="","",IF('Daily Sale entry '!Q1212="Collection 收款",'Daily Sale entry '!S1212,0))</f>
        <v/>
      </c>
      <c r="F1212" s="37">
        <f>IF(C1212="","",B1212+IF(E1212&gt;0,0,0.5)+ROW()/10000000)</f>
        <v/>
      </c>
      <c r="G1212">
        <f>IF(C1212="","",'Daily Sale entry '!Q1212&amp;IF('Daily Sale entry '!Q1212="Collection 收款"," ("&amp;'Daily Sale entry '!R1212&amp;")","")&amp;IF('Daily Sale entry '!U1212="",""," - "&amp;'Daily Sale entry '!U1212))</f>
        <v/>
      </c>
      <c r="H1212">
        <f>IF(C1212="","",COUNTIFS($C$2:$C$3001,C1212,$F$2:$F$3001,"&lt;"&amp;F1212)+1)</f>
        <v/>
      </c>
      <c r="I1212">
        <f>IF(C1212="","",C1212&amp;"|"&amp;H1212)</f>
        <v/>
      </c>
      <c r="J1212" s="6">
        <f>IF(C1212="","",IF(H1212=1,SUMIFS('Opening Balance'!$F$4:$F$303,'Opening Balance'!$G$4:$G$303,C1212),INDEX($L$2:$L$3001,MATCH(C1212&amp;"|"&amp;(H1212-1),$I$2:$I$3001,0))))</f>
        <v/>
      </c>
      <c r="K1212" s="6">
        <f>IF(C1212="","",IF(M1212&gt;0,M1212,IF(AND(E1212&gt;0,ROUND(J1212+D1212-E1212,2)&gt;0,ROUND(J1212+D1212-E1212,2)&lt;'Opening Balance'!$B$14),ROUND(J1212+D1212-E1212,2),0)))</f>
        <v/>
      </c>
      <c r="L1212" s="6">
        <f>IF(C1212="","",ROUND(J1212+D1212-E1212-K1212,2))</f>
        <v/>
      </c>
      <c r="M1212" s="6">
        <f>IF(C1212="","",IF('Daily Sale entry '!Q1212="Collection 收款",ROUND(N('Daily Sale entry '!T1212),2),0))</f>
        <v/>
      </c>
    </row>
    <row r="1213">
      <c r="A1213" t="inlineStr">
        <is>
          <t>Entry 记录</t>
        </is>
      </c>
      <c r="B1213" s="5">
        <f>IF('Daily Sale entry '!P1213="","",'Daily Sale entry '!O1213)</f>
        <v/>
      </c>
      <c r="C1213">
        <f>IF('Daily Sale entry '!P1213="","",'Daily Sale entry '!P1213)</f>
        <v/>
      </c>
      <c r="D1213">
        <f>IF(C1213="","",IF('Daily Sale entry '!Q1213="Credit Sale 赊销",'Daily Sale entry '!S1213,0))</f>
        <v/>
      </c>
      <c r="E1213">
        <f>IF(C1213="","",IF('Daily Sale entry '!Q1213="Collection 收款",'Daily Sale entry '!S1213,0))</f>
        <v/>
      </c>
      <c r="F1213" s="37">
        <f>IF(C1213="","",B1213+IF(E1213&gt;0,0,0.5)+ROW()/10000000)</f>
        <v/>
      </c>
      <c r="G1213">
        <f>IF(C1213="","",'Daily Sale entry '!Q1213&amp;IF('Daily Sale entry '!Q1213="Collection 收款"," ("&amp;'Daily Sale entry '!R1213&amp;")","")&amp;IF('Daily Sale entry '!U1213="",""," - "&amp;'Daily Sale entry '!U1213))</f>
        <v/>
      </c>
      <c r="H1213">
        <f>IF(C1213="","",COUNTIFS($C$2:$C$3001,C1213,$F$2:$F$3001,"&lt;"&amp;F1213)+1)</f>
        <v/>
      </c>
      <c r="I1213">
        <f>IF(C1213="","",C1213&amp;"|"&amp;H1213)</f>
        <v/>
      </c>
      <c r="J1213" s="6">
        <f>IF(C1213="","",IF(H1213=1,SUMIFS('Opening Balance'!$F$4:$F$303,'Opening Balance'!$G$4:$G$303,C1213),INDEX($L$2:$L$3001,MATCH(C1213&amp;"|"&amp;(H1213-1),$I$2:$I$3001,0))))</f>
        <v/>
      </c>
      <c r="K1213" s="6">
        <f>IF(C1213="","",IF(M1213&gt;0,M1213,IF(AND(E1213&gt;0,ROUND(J1213+D1213-E1213,2)&gt;0,ROUND(J1213+D1213-E1213,2)&lt;'Opening Balance'!$B$14),ROUND(J1213+D1213-E1213,2),0)))</f>
        <v/>
      </c>
      <c r="L1213" s="6">
        <f>IF(C1213="","",ROUND(J1213+D1213-E1213-K1213,2))</f>
        <v/>
      </c>
      <c r="M1213" s="6">
        <f>IF(C1213="","",IF('Daily Sale entry '!Q1213="Collection 收款",ROUND(N('Daily Sale entry '!T1213),2),0))</f>
        <v/>
      </c>
    </row>
    <row r="1214">
      <c r="A1214" t="inlineStr">
        <is>
          <t>Entry 记录</t>
        </is>
      </c>
      <c r="B1214" s="5">
        <f>IF('Daily Sale entry '!P1214="","",'Daily Sale entry '!O1214)</f>
        <v/>
      </c>
      <c r="C1214">
        <f>IF('Daily Sale entry '!P1214="","",'Daily Sale entry '!P1214)</f>
        <v/>
      </c>
      <c r="D1214">
        <f>IF(C1214="","",IF('Daily Sale entry '!Q1214="Credit Sale 赊销",'Daily Sale entry '!S1214,0))</f>
        <v/>
      </c>
      <c r="E1214">
        <f>IF(C1214="","",IF('Daily Sale entry '!Q1214="Collection 收款",'Daily Sale entry '!S1214,0))</f>
        <v/>
      </c>
      <c r="F1214" s="37">
        <f>IF(C1214="","",B1214+IF(E1214&gt;0,0,0.5)+ROW()/10000000)</f>
        <v/>
      </c>
      <c r="G1214">
        <f>IF(C1214="","",'Daily Sale entry '!Q1214&amp;IF('Daily Sale entry '!Q1214="Collection 收款"," ("&amp;'Daily Sale entry '!R1214&amp;")","")&amp;IF('Daily Sale entry '!U1214="",""," - "&amp;'Daily Sale entry '!U1214))</f>
        <v/>
      </c>
      <c r="H1214">
        <f>IF(C1214="","",COUNTIFS($C$2:$C$3001,C1214,$F$2:$F$3001,"&lt;"&amp;F1214)+1)</f>
        <v/>
      </c>
      <c r="I1214">
        <f>IF(C1214="","",C1214&amp;"|"&amp;H1214)</f>
        <v/>
      </c>
      <c r="J1214" s="6">
        <f>IF(C1214="","",IF(H1214=1,SUMIFS('Opening Balance'!$F$4:$F$303,'Opening Balance'!$G$4:$G$303,C1214),INDEX($L$2:$L$3001,MATCH(C1214&amp;"|"&amp;(H1214-1),$I$2:$I$3001,0))))</f>
        <v/>
      </c>
      <c r="K1214" s="6">
        <f>IF(C1214="","",IF(M1214&gt;0,M1214,IF(AND(E1214&gt;0,ROUND(J1214+D1214-E1214,2)&gt;0,ROUND(J1214+D1214-E1214,2)&lt;'Opening Balance'!$B$14),ROUND(J1214+D1214-E1214,2),0)))</f>
        <v/>
      </c>
      <c r="L1214" s="6">
        <f>IF(C1214="","",ROUND(J1214+D1214-E1214-K1214,2))</f>
        <v/>
      </c>
      <c r="M1214" s="6">
        <f>IF(C1214="","",IF('Daily Sale entry '!Q1214="Collection 收款",ROUND(N('Daily Sale entry '!T1214),2),0))</f>
        <v/>
      </c>
    </row>
    <row r="1215">
      <c r="A1215" t="inlineStr">
        <is>
          <t>Entry 记录</t>
        </is>
      </c>
      <c r="B1215" s="5">
        <f>IF('Daily Sale entry '!P1215="","",'Daily Sale entry '!O1215)</f>
        <v/>
      </c>
      <c r="C1215">
        <f>IF('Daily Sale entry '!P1215="","",'Daily Sale entry '!P1215)</f>
        <v/>
      </c>
      <c r="D1215">
        <f>IF(C1215="","",IF('Daily Sale entry '!Q1215="Credit Sale 赊销",'Daily Sale entry '!S1215,0))</f>
        <v/>
      </c>
      <c r="E1215">
        <f>IF(C1215="","",IF('Daily Sale entry '!Q1215="Collection 收款",'Daily Sale entry '!S1215,0))</f>
        <v/>
      </c>
      <c r="F1215" s="37">
        <f>IF(C1215="","",B1215+IF(E1215&gt;0,0,0.5)+ROW()/10000000)</f>
        <v/>
      </c>
      <c r="G1215">
        <f>IF(C1215="","",'Daily Sale entry '!Q1215&amp;IF('Daily Sale entry '!Q1215="Collection 收款"," ("&amp;'Daily Sale entry '!R1215&amp;")","")&amp;IF('Daily Sale entry '!U1215="",""," - "&amp;'Daily Sale entry '!U1215))</f>
        <v/>
      </c>
      <c r="H1215">
        <f>IF(C1215="","",COUNTIFS($C$2:$C$3001,C1215,$F$2:$F$3001,"&lt;"&amp;F1215)+1)</f>
        <v/>
      </c>
      <c r="I1215">
        <f>IF(C1215="","",C1215&amp;"|"&amp;H1215)</f>
        <v/>
      </c>
      <c r="J1215" s="6">
        <f>IF(C1215="","",IF(H1215=1,SUMIFS('Opening Balance'!$F$4:$F$303,'Opening Balance'!$G$4:$G$303,C1215),INDEX($L$2:$L$3001,MATCH(C1215&amp;"|"&amp;(H1215-1),$I$2:$I$3001,0))))</f>
        <v/>
      </c>
      <c r="K1215" s="6">
        <f>IF(C1215="","",IF(M1215&gt;0,M1215,IF(AND(E1215&gt;0,ROUND(J1215+D1215-E1215,2)&gt;0,ROUND(J1215+D1215-E1215,2)&lt;'Opening Balance'!$B$14),ROUND(J1215+D1215-E1215,2),0)))</f>
        <v/>
      </c>
      <c r="L1215" s="6">
        <f>IF(C1215="","",ROUND(J1215+D1215-E1215-K1215,2))</f>
        <v/>
      </c>
      <c r="M1215" s="6">
        <f>IF(C1215="","",IF('Daily Sale entry '!Q1215="Collection 收款",ROUND(N('Daily Sale entry '!T1215),2),0))</f>
        <v/>
      </c>
    </row>
    <row r="1216">
      <c r="A1216" t="inlineStr">
        <is>
          <t>Entry 记录</t>
        </is>
      </c>
      <c r="B1216" s="5">
        <f>IF('Daily Sale entry '!P1216="","",'Daily Sale entry '!O1216)</f>
        <v/>
      </c>
      <c r="C1216">
        <f>IF('Daily Sale entry '!P1216="","",'Daily Sale entry '!P1216)</f>
        <v/>
      </c>
      <c r="D1216">
        <f>IF(C1216="","",IF('Daily Sale entry '!Q1216="Credit Sale 赊销",'Daily Sale entry '!S1216,0))</f>
        <v/>
      </c>
      <c r="E1216">
        <f>IF(C1216="","",IF('Daily Sale entry '!Q1216="Collection 收款",'Daily Sale entry '!S1216,0))</f>
        <v/>
      </c>
      <c r="F1216" s="37">
        <f>IF(C1216="","",B1216+IF(E1216&gt;0,0,0.5)+ROW()/10000000)</f>
        <v/>
      </c>
      <c r="G1216">
        <f>IF(C1216="","",'Daily Sale entry '!Q1216&amp;IF('Daily Sale entry '!Q1216="Collection 收款"," ("&amp;'Daily Sale entry '!R1216&amp;")","")&amp;IF('Daily Sale entry '!U1216="",""," - "&amp;'Daily Sale entry '!U1216))</f>
        <v/>
      </c>
      <c r="H1216">
        <f>IF(C1216="","",COUNTIFS($C$2:$C$3001,C1216,$F$2:$F$3001,"&lt;"&amp;F1216)+1)</f>
        <v/>
      </c>
      <c r="I1216">
        <f>IF(C1216="","",C1216&amp;"|"&amp;H1216)</f>
        <v/>
      </c>
      <c r="J1216" s="6">
        <f>IF(C1216="","",IF(H1216=1,SUMIFS('Opening Balance'!$F$4:$F$303,'Opening Balance'!$G$4:$G$303,C1216),INDEX($L$2:$L$3001,MATCH(C1216&amp;"|"&amp;(H1216-1),$I$2:$I$3001,0))))</f>
        <v/>
      </c>
      <c r="K1216" s="6">
        <f>IF(C1216="","",IF(M1216&gt;0,M1216,IF(AND(E1216&gt;0,ROUND(J1216+D1216-E1216,2)&gt;0,ROUND(J1216+D1216-E1216,2)&lt;'Opening Balance'!$B$14),ROUND(J1216+D1216-E1216,2),0)))</f>
        <v/>
      </c>
      <c r="L1216" s="6">
        <f>IF(C1216="","",ROUND(J1216+D1216-E1216-K1216,2))</f>
        <v/>
      </c>
      <c r="M1216" s="6">
        <f>IF(C1216="","",IF('Daily Sale entry '!Q1216="Collection 收款",ROUND(N('Daily Sale entry '!T1216),2),0))</f>
        <v/>
      </c>
    </row>
    <row r="1217">
      <c r="A1217" t="inlineStr">
        <is>
          <t>Entry 记录</t>
        </is>
      </c>
      <c r="B1217" s="5">
        <f>IF('Daily Sale entry '!P1217="","",'Daily Sale entry '!O1217)</f>
        <v/>
      </c>
      <c r="C1217">
        <f>IF('Daily Sale entry '!P1217="","",'Daily Sale entry '!P1217)</f>
        <v/>
      </c>
      <c r="D1217">
        <f>IF(C1217="","",IF('Daily Sale entry '!Q1217="Credit Sale 赊销",'Daily Sale entry '!S1217,0))</f>
        <v/>
      </c>
      <c r="E1217">
        <f>IF(C1217="","",IF('Daily Sale entry '!Q1217="Collection 收款",'Daily Sale entry '!S1217,0))</f>
        <v/>
      </c>
      <c r="F1217" s="37">
        <f>IF(C1217="","",B1217+IF(E1217&gt;0,0,0.5)+ROW()/10000000)</f>
        <v/>
      </c>
      <c r="G1217">
        <f>IF(C1217="","",'Daily Sale entry '!Q1217&amp;IF('Daily Sale entry '!Q1217="Collection 收款"," ("&amp;'Daily Sale entry '!R1217&amp;")","")&amp;IF('Daily Sale entry '!U1217="",""," - "&amp;'Daily Sale entry '!U1217))</f>
        <v/>
      </c>
      <c r="H1217">
        <f>IF(C1217="","",COUNTIFS($C$2:$C$3001,C1217,$F$2:$F$3001,"&lt;"&amp;F1217)+1)</f>
        <v/>
      </c>
      <c r="I1217">
        <f>IF(C1217="","",C1217&amp;"|"&amp;H1217)</f>
        <v/>
      </c>
      <c r="J1217" s="6">
        <f>IF(C1217="","",IF(H1217=1,SUMIFS('Opening Balance'!$F$4:$F$303,'Opening Balance'!$G$4:$G$303,C1217),INDEX($L$2:$L$3001,MATCH(C1217&amp;"|"&amp;(H1217-1),$I$2:$I$3001,0))))</f>
        <v/>
      </c>
      <c r="K1217" s="6">
        <f>IF(C1217="","",IF(M1217&gt;0,M1217,IF(AND(E1217&gt;0,ROUND(J1217+D1217-E1217,2)&gt;0,ROUND(J1217+D1217-E1217,2)&lt;'Opening Balance'!$B$14),ROUND(J1217+D1217-E1217,2),0)))</f>
        <v/>
      </c>
      <c r="L1217" s="6">
        <f>IF(C1217="","",ROUND(J1217+D1217-E1217-K1217,2))</f>
        <v/>
      </c>
      <c r="M1217" s="6">
        <f>IF(C1217="","",IF('Daily Sale entry '!Q1217="Collection 收款",ROUND(N('Daily Sale entry '!T1217),2),0))</f>
        <v/>
      </c>
    </row>
    <row r="1218">
      <c r="A1218" t="inlineStr">
        <is>
          <t>Entry 记录</t>
        </is>
      </c>
      <c r="B1218" s="5">
        <f>IF('Daily Sale entry '!P1218="","",'Daily Sale entry '!O1218)</f>
        <v/>
      </c>
      <c r="C1218">
        <f>IF('Daily Sale entry '!P1218="","",'Daily Sale entry '!P1218)</f>
        <v/>
      </c>
      <c r="D1218">
        <f>IF(C1218="","",IF('Daily Sale entry '!Q1218="Credit Sale 赊销",'Daily Sale entry '!S1218,0))</f>
        <v/>
      </c>
      <c r="E1218">
        <f>IF(C1218="","",IF('Daily Sale entry '!Q1218="Collection 收款",'Daily Sale entry '!S1218,0))</f>
        <v/>
      </c>
      <c r="F1218" s="37">
        <f>IF(C1218="","",B1218+IF(E1218&gt;0,0,0.5)+ROW()/10000000)</f>
        <v/>
      </c>
      <c r="G1218">
        <f>IF(C1218="","",'Daily Sale entry '!Q1218&amp;IF('Daily Sale entry '!Q1218="Collection 收款"," ("&amp;'Daily Sale entry '!R1218&amp;")","")&amp;IF('Daily Sale entry '!U1218="",""," - "&amp;'Daily Sale entry '!U1218))</f>
        <v/>
      </c>
      <c r="H1218">
        <f>IF(C1218="","",COUNTIFS($C$2:$C$3001,C1218,$F$2:$F$3001,"&lt;"&amp;F1218)+1)</f>
        <v/>
      </c>
      <c r="I1218">
        <f>IF(C1218="","",C1218&amp;"|"&amp;H1218)</f>
        <v/>
      </c>
      <c r="J1218" s="6">
        <f>IF(C1218="","",IF(H1218=1,SUMIFS('Opening Balance'!$F$4:$F$303,'Opening Balance'!$G$4:$G$303,C1218),INDEX($L$2:$L$3001,MATCH(C1218&amp;"|"&amp;(H1218-1),$I$2:$I$3001,0))))</f>
        <v/>
      </c>
      <c r="K1218" s="6">
        <f>IF(C1218="","",IF(M1218&gt;0,M1218,IF(AND(E1218&gt;0,ROUND(J1218+D1218-E1218,2)&gt;0,ROUND(J1218+D1218-E1218,2)&lt;'Opening Balance'!$B$14),ROUND(J1218+D1218-E1218,2),0)))</f>
        <v/>
      </c>
      <c r="L1218" s="6">
        <f>IF(C1218="","",ROUND(J1218+D1218-E1218-K1218,2))</f>
        <v/>
      </c>
      <c r="M1218" s="6">
        <f>IF(C1218="","",IF('Daily Sale entry '!Q1218="Collection 收款",ROUND(N('Daily Sale entry '!T1218),2),0))</f>
        <v/>
      </c>
    </row>
    <row r="1219">
      <c r="A1219" t="inlineStr">
        <is>
          <t>Entry 记录</t>
        </is>
      </c>
      <c r="B1219" s="5">
        <f>IF('Daily Sale entry '!P1219="","",'Daily Sale entry '!O1219)</f>
        <v/>
      </c>
      <c r="C1219">
        <f>IF('Daily Sale entry '!P1219="","",'Daily Sale entry '!P1219)</f>
        <v/>
      </c>
      <c r="D1219">
        <f>IF(C1219="","",IF('Daily Sale entry '!Q1219="Credit Sale 赊销",'Daily Sale entry '!S1219,0))</f>
        <v/>
      </c>
      <c r="E1219">
        <f>IF(C1219="","",IF('Daily Sale entry '!Q1219="Collection 收款",'Daily Sale entry '!S1219,0))</f>
        <v/>
      </c>
      <c r="F1219" s="37">
        <f>IF(C1219="","",B1219+IF(E1219&gt;0,0,0.5)+ROW()/10000000)</f>
        <v/>
      </c>
      <c r="G1219">
        <f>IF(C1219="","",'Daily Sale entry '!Q1219&amp;IF('Daily Sale entry '!Q1219="Collection 收款"," ("&amp;'Daily Sale entry '!R1219&amp;")","")&amp;IF('Daily Sale entry '!U1219="",""," - "&amp;'Daily Sale entry '!U1219))</f>
        <v/>
      </c>
      <c r="H1219">
        <f>IF(C1219="","",COUNTIFS($C$2:$C$3001,C1219,$F$2:$F$3001,"&lt;"&amp;F1219)+1)</f>
        <v/>
      </c>
      <c r="I1219">
        <f>IF(C1219="","",C1219&amp;"|"&amp;H1219)</f>
        <v/>
      </c>
      <c r="J1219" s="6">
        <f>IF(C1219="","",IF(H1219=1,SUMIFS('Opening Balance'!$F$4:$F$303,'Opening Balance'!$G$4:$G$303,C1219),INDEX($L$2:$L$3001,MATCH(C1219&amp;"|"&amp;(H1219-1),$I$2:$I$3001,0))))</f>
        <v/>
      </c>
      <c r="K1219" s="6">
        <f>IF(C1219="","",IF(M1219&gt;0,M1219,IF(AND(E1219&gt;0,ROUND(J1219+D1219-E1219,2)&gt;0,ROUND(J1219+D1219-E1219,2)&lt;'Opening Balance'!$B$14),ROUND(J1219+D1219-E1219,2),0)))</f>
        <v/>
      </c>
      <c r="L1219" s="6">
        <f>IF(C1219="","",ROUND(J1219+D1219-E1219-K1219,2))</f>
        <v/>
      </c>
      <c r="M1219" s="6">
        <f>IF(C1219="","",IF('Daily Sale entry '!Q1219="Collection 收款",ROUND(N('Daily Sale entry '!T1219),2),0))</f>
        <v/>
      </c>
    </row>
    <row r="1220">
      <c r="A1220" t="inlineStr">
        <is>
          <t>Entry 记录</t>
        </is>
      </c>
      <c r="B1220" s="5">
        <f>IF('Daily Sale entry '!P1220="","",'Daily Sale entry '!O1220)</f>
        <v/>
      </c>
      <c r="C1220">
        <f>IF('Daily Sale entry '!P1220="","",'Daily Sale entry '!P1220)</f>
        <v/>
      </c>
      <c r="D1220">
        <f>IF(C1220="","",IF('Daily Sale entry '!Q1220="Credit Sale 赊销",'Daily Sale entry '!S1220,0))</f>
        <v/>
      </c>
      <c r="E1220">
        <f>IF(C1220="","",IF('Daily Sale entry '!Q1220="Collection 收款",'Daily Sale entry '!S1220,0))</f>
        <v/>
      </c>
      <c r="F1220" s="37">
        <f>IF(C1220="","",B1220+IF(E1220&gt;0,0,0.5)+ROW()/10000000)</f>
        <v/>
      </c>
      <c r="G1220">
        <f>IF(C1220="","",'Daily Sale entry '!Q1220&amp;IF('Daily Sale entry '!Q1220="Collection 收款"," ("&amp;'Daily Sale entry '!R1220&amp;")","")&amp;IF('Daily Sale entry '!U1220="",""," - "&amp;'Daily Sale entry '!U1220))</f>
        <v/>
      </c>
      <c r="H1220">
        <f>IF(C1220="","",COUNTIFS($C$2:$C$3001,C1220,$F$2:$F$3001,"&lt;"&amp;F1220)+1)</f>
        <v/>
      </c>
      <c r="I1220">
        <f>IF(C1220="","",C1220&amp;"|"&amp;H1220)</f>
        <v/>
      </c>
      <c r="J1220" s="6">
        <f>IF(C1220="","",IF(H1220=1,SUMIFS('Opening Balance'!$F$4:$F$303,'Opening Balance'!$G$4:$G$303,C1220),INDEX($L$2:$L$3001,MATCH(C1220&amp;"|"&amp;(H1220-1),$I$2:$I$3001,0))))</f>
        <v/>
      </c>
      <c r="K1220" s="6">
        <f>IF(C1220="","",IF(M1220&gt;0,M1220,IF(AND(E1220&gt;0,ROUND(J1220+D1220-E1220,2)&gt;0,ROUND(J1220+D1220-E1220,2)&lt;'Opening Balance'!$B$14),ROUND(J1220+D1220-E1220,2),0)))</f>
        <v/>
      </c>
      <c r="L1220" s="6">
        <f>IF(C1220="","",ROUND(J1220+D1220-E1220-K1220,2))</f>
        <v/>
      </c>
      <c r="M1220" s="6">
        <f>IF(C1220="","",IF('Daily Sale entry '!Q1220="Collection 收款",ROUND(N('Daily Sale entry '!T1220),2),0))</f>
        <v/>
      </c>
    </row>
    <row r="1221">
      <c r="A1221" t="inlineStr">
        <is>
          <t>Entry 记录</t>
        </is>
      </c>
      <c r="B1221" s="5">
        <f>IF('Daily Sale entry '!P1221="","",'Daily Sale entry '!O1221)</f>
        <v/>
      </c>
      <c r="C1221">
        <f>IF('Daily Sale entry '!P1221="","",'Daily Sale entry '!P1221)</f>
        <v/>
      </c>
      <c r="D1221">
        <f>IF(C1221="","",IF('Daily Sale entry '!Q1221="Credit Sale 赊销",'Daily Sale entry '!S1221,0))</f>
        <v/>
      </c>
      <c r="E1221">
        <f>IF(C1221="","",IF('Daily Sale entry '!Q1221="Collection 收款",'Daily Sale entry '!S1221,0))</f>
        <v/>
      </c>
      <c r="F1221" s="37">
        <f>IF(C1221="","",B1221+IF(E1221&gt;0,0,0.5)+ROW()/10000000)</f>
        <v/>
      </c>
      <c r="G1221">
        <f>IF(C1221="","",'Daily Sale entry '!Q1221&amp;IF('Daily Sale entry '!Q1221="Collection 收款"," ("&amp;'Daily Sale entry '!R1221&amp;")","")&amp;IF('Daily Sale entry '!U1221="",""," - "&amp;'Daily Sale entry '!U1221))</f>
        <v/>
      </c>
      <c r="H1221">
        <f>IF(C1221="","",COUNTIFS($C$2:$C$3001,C1221,$F$2:$F$3001,"&lt;"&amp;F1221)+1)</f>
        <v/>
      </c>
      <c r="I1221">
        <f>IF(C1221="","",C1221&amp;"|"&amp;H1221)</f>
        <v/>
      </c>
      <c r="J1221" s="6">
        <f>IF(C1221="","",IF(H1221=1,SUMIFS('Opening Balance'!$F$4:$F$303,'Opening Balance'!$G$4:$G$303,C1221),INDEX($L$2:$L$3001,MATCH(C1221&amp;"|"&amp;(H1221-1),$I$2:$I$3001,0))))</f>
        <v/>
      </c>
      <c r="K1221" s="6">
        <f>IF(C1221="","",IF(M1221&gt;0,M1221,IF(AND(E1221&gt;0,ROUND(J1221+D1221-E1221,2)&gt;0,ROUND(J1221+D1221-E1221,2)&lt;'Opening Balance'!$B$14),ROUND(J1221+D1221-E1221,2),0)))</f>
        <v/>
      </c>
      <c r="L1221" s="6">
        <f>IF(C1221="","",ROUND(J1221+D1221-E1221-K1221,2))</f>
        <v/>
      </c>
      <c r="M1221" s="6">
        <f>IF(C1221="","",IF('Daily Sale entry '!Q1221="Collection 收款",ROUND(N('Daily Sale entry '!T1221),2),0))</f>
        <v/>
      </c>
    </row>
    <row r="1222">
      <c r="A1222" t="inlineStr">
        <is>
          <t>Entry 记录</t>
        </is>
      </c>
      <c r="B1222" s="5">
        <f>IF('Daily Sale entry '!P1222="","",'Daily Sale entry '!O1222)</f>
        <v/>
      </c>
      <c r="C1222">
        <f>IF('Daily Sale entry '!P1222="","",'Daily Sale entry '!P1222)</f>
        <v/>
      </c>
      <c r="D1222">
        <f>IF(C1222="","",IF('Daily Sale entry '!Q1222="Credit Sale 赊销",'Daily Sale entry '!S1222,0))</f>
        <v/>
      </c>
      <c r="E1222">
        <f>IF(C1222="","",IF('Daily Sale entry '!Q1222="Collection 收款",'Daily Sale entry '!S1222,0))</f>
        <v/>
      </c>
      <c r="F1222" s="37">
        <f>IF(C1222="","",B1222+IF(E1222&gt;0,0,0.5)+ROW()/10000000)</f>
        <v/>
      </c>
      <c r="G1222">
        <f>IF(C1222="","",'Daily Sale entry '!Q1222&amp;IF('Daily Sale entry '!Q1222="Collection 收款"," ("&amp;'Daily Sale entry '!R1222&amp;")","")&amp;IF('Daily Sale entry '!U1222="",""," - "&amp;'Daily Sale entry '!U1222))</f>
        <v/>
      </c>
      <c r="H1222">
        <f>IF(C1222="","",COUNTIFS($C$2:$C$3001,C1222,$F$2:$F$3001,"&lt;"&amp;F1222)+1)</f>
        <v/>
      </c>
      <c r="I1222">
        <f>IF(C1222="","",C1222&amp;"|"&amp;H1222)</f>
        <v/>
      </c>
      <c r="J1222" s="6">
        <f>IF(C1222="","",IF(H1222=1,SUMIFS('Opening Balance'!$F$4:$F$303,'Opening Balance'!$G$4:$G$303,C1222),INDEX($L$2:$L$3001,MATCH(C1222&amp;"|"&amp;(H1222-1),$I$2:$I$3001,0))))</f>
        <v/>
      </c>
      <c r="K1222" s="6">
        <f>IF(C1222="","",IF(M1222&gt;0,M1222,IF(AND(E1222&gt;0,ROUND(J1222+D1222-E1222,2)&gt;0,ROUND(J1222+D1222-E1222,2)&lt;'Opening Balance'!$B$14),ROUND(J1222+D1222-E1222,2),0)))</f>
        <v/>
      </c>
      <c r="L1222" s="6">
        <f>IF(C1222="","",ROUND(J1222+D1222-E1222-K1222,2))</f>
        <v/>
      </c>
      <c r="M1222" s="6">
        <f>IF(C1222="","",IF('Daily Sale entry '!Q1222="Collection 收款",ROUND(N('Daily Sale entry '!T1222),2),0))</f>
        <v/>
      </c>
    </row>
    <row r="1223">
      <c r="A1223" t="inlineStr">
        <is>
          <t>Entry 记录</t>
        </is>
      </c>
      <c r="B1223" s="5">
        <f>IF('Daily Sale entry '!P1223="","",'Daily Sale entry '!O1223)</f>
        <v/>
      </c>
      <c r="C1223">
        <f>IF('Daily Sale entry '!P1223="","",'Daily Sale entry '!P1223)</f>
        <v/>
      </c>
      <c r="D1223">
        <f>IF(C1223="","",IF('Daily Sale entry '!Q1223="Credit Sale 赊销",'Daily Sale entry '!S1223,0))</f>
        <v/>
      </c>
      <c r="E1223">
        <f>IF(C1223="","",IF('Daily Sale entry '!Q1223="Collection 收款",'Daily Sale entry '!S1223,0))</f>
        <v/>
      </c>
      <c r="F1223" s="37">
        <f>IF(C1223="","",B1223+IF(E1223&gt;0,0,0.5)+ROW()/10000000)</f>
        <v/>
      </c>
      <c r="G1223">
        <f>IF(C1223="","",'Daily Sale entry '!Q1223&amp;IF('Daily Sale entry '!Q1223="Collection 收款"," ("&amp;'Daily Sale entry '!R1223&amp;")","")&amp;IF('Daily Sale entry '!U1223="",""," - "&amp;'Daily Sale entry '!U1223))</f>
        <v/>
      </c>
      <c r="H1223">
        <f>IF(C1223="","",COUNTIFS($C$2:$C$3001,C1223,$F$2:$F$3001,"&lt;"&amp;F1223)+1)</f>
        <v/>
      </c>
      <c r="I1223">
        <f>IF(C1223="","",C1223&amp;"|"&amp;H1223)</f>
        <v/>
      </c>
      <c r="J1223" s="6">
        <f>IF(C1223="","",IF(H1223=1,SUMIFS('Opening Balance'!$F$4:$F$303,'Opening Balance'!$G$4:$G$303,C1223),INDEX($L$2:$L$3001,MATCH(C1223&amp;"|"&amp;(H1223-1),$I$2:$I$3001,0))))</f>
        <v/>
      </c>
      <c r="K1223" s="6">
        <f>IF(C1223="","",IF(M1223&gt;0,M1223,IF(AND(E1223&gt;0,ROUND(J1223+D1223-E1223,2)&gt;0,ROUND(J1223+D1223-E1223,2)&lt;'Opening Balance'!$B$14),ROUND(J1223+D1223-E1223,2),0)))</f>
        <v/>
      </c>
      <c r="L1223" s="6">
        <f>IF(C1223="","",ROUND(J1223+D1223-E1223-K1223,2))</f>
        <v/>
      </c>
      <c r="M1223" s="6">
        <f>IF(C1223="","",IF('Daily Sale entry '!Q1223="Collection 收款",ROUND(N('Daily Sale entry '!T1223),2),0))</f>
        <v/>
      </c>
    </row>
    <row r="1224">
      <c r="A1224" t="inlineStr">
        <is>
          <t>Entry 记录</t>
        </is>
      </c>
      <c r="B1224" s="5">
        <f>IF('Daily Sale entry '!P1224="","",'Daily Sale entry '!O1224)</f>
        <v/>
      </c>
      <c r="C1224">
        <f>IF('Daily Sale entry '!P1224="","",'Daily Sale entry '!P1224)</f>
        <v/>
      </c>
      <c r="D1224">
        <f>IF(C1224="","",IF('Daily Sale entry '!Q1224="Credit Sale 赊销",'Daily Sale entry '!S1224,0))</f>
        <v/>
      </c>
      <c r="E1224">
        <f>IF(C1224="","",IF('Daily Sale entry '!Q1224="Collection 收款",'Daily Sale entry '!S1224,0))</f>
        <v/>
      </c>
      <c r="F1224" s="37">
        <f>IF(C1224="","",B1224+IF(E1224&gt;0,0,0.5)+ROW()/10000000)</f>
        <v/>
      </c>
      <c r="G1224">
        <f>IF(C1224="","",'Daily Sale entry '!Q1224&amp;IF('Daily Sale entry '!Q1224="Collection 收款"," ("&amp;'Daily Sale entry '!R1224&amp;")","")&amp;IF('Daily Sale entry '!U1224="",""," - "&amp;'Daily Sale entry '!U1224))</f>
        <v/>
      </c>
      <c r="H1224">
        <f>IF(C1224="","",COUNTIFS($C$2:$C$3001,C1224,$F$2:$F$3001,"&lt;"&amp;F1224)+1)</f>
        <v/>
      </c>
      <c r="I1224">
        <f>IF(C1224="","",C1224&amp;"|"&amp;H1224)</f>
        <v/>
      </c>
      <c r="J1224" s="6">
        <f>IF(C1224="","",IF(H1224=1,SUMIFS('Opening Balance'!$F$4:$F$303,'Opening Balance'!$G$4:$G$303,C1224),INDEX($L$2:$L$3001,MATCH(C1224&amp;"|"&amp;(H1224-1),$I$2:$I$3001,0))))</f>
        <v/>
      </c>
      <c r="K1224" s="6">
        <f>IF(C1224="","",IF(M1224&gt;0,M1224,IF(AND(E1224&gt;0,ROUND(J1224+D1224-E1224,2)&gt;0,ROUND(J1224+D1224-E1224,2)&lt;'Opening Balance'!$B$14),ROUND(J1224+D1224-E1224,2),0)))</f>
        <v/>
      </c>
      <c r="L1224" s="6">
        <f>IF(C1224="","",ROUND(J1224+D1224-E1224-K1224,2))</f>
        <v/>
      </c>
      <c r="M1224" s="6">
        <f>IF(C1224="","",IF('Daily Sale entry '!Q1224="Collection 收款",ROUND(N('Daily Sale entry '!T1224),2),0))</f>
        <v/>
      </c>
    </row>
    <row r="1225">
      <c r="A1225" t="inlineStr">
        <is>
          <t>Entry 记录</t>
        </is>
      </c>
      <c r="B1225" s="5">
        <f>IF('Daily Sale entry '!P1225="","",'Daily Sale entry '!O1225)</f>
        <v/>
      </c>
      <c r="C1225">
        <f>IF('Daily Sale entry '!P1225="","",'Daily Sale entry '!P1225)</f>
        <v/>
      </c>
      <c r="D1225">
        <f>IF(C1225="","",IF('Daily Sale entry '!Q1225="Credit Sale 赊销",'Daily Sale entry '!S1225,0))</f>
        <v/>
      </c>
      <c r="E1225">
        <f>IF(C1225="","",IF('Daily Sale entry '!Q1225="Collection 收款",'Daily Sale entry '!S1225,0))</f>
        <v/>
      </c>
      <c r="F1225" s="37">
        <f>IF(C1225="","",B1225+IF(E1225&gt;0,0,0.5)+ROW()/10000000)</f>
        <v/>
      </c>
      <c r="G1225">
        <f>IF(C1225="","",'Daily Sale entry '!Q1225&amp;IF('Daily Sale entry '!Q1225="Collection 收款"," ("&amp;'Daily Sale entry '!R1225&amp;")","")&amp;IF('Daily Sale entry '!U1225="",""," - "&amp;'Daily Sale entry '!U1225))</f>
        <v/>
      </c>
      <c r="H1225">
        <f>IF(C1225="","",COUNTIFS($C$2:$C$3001,C1225,$F$2:$F$3001,"&lt;"&amp;F1225)+1)</f>
        <v/>
      </c>
      <c r="I1225">
        <f>IF(C1225="","",C1225&amp;"|"&amp;H1225)</f>
        <v/>
      </c>
      <c r="J1225" s="6">
        <f>IF(C1225="","",IF(H1225=1,SUMIFS('Opening Balance'!$F$4:$F$303,'Opening Balance'!$G$4:$G$303,C1225),INDEX($L$2:$L$3001,MATCH(C1225&amp;"|"&amp;(H1225-1),$I$2:$I$3001,0))))</f>
        <v/>
      </c>
      <c r="K1225" s="6">
        <f>IF(C1225="","",IF(M1225&gt;0,M1225,IF(AND(E1225&gt;0,ROUND(J1225+D1225-E1225,2)&gt;0,ROUND(J1225+D1225-E1225,2)&lt;'Opening Balance'!$B$14),ROUND(J1225+D1225-E1225,2),0)))</f>
        <v/>
      </c>
      <c r="L1225" s="6">
        <f>IF(C1225="","",ROUND(J1225+D1225-E1225-K1225,2))</f>
        <v/>
      </c>
      <c r="M1225" s="6">
        <f>IF(C1225="","",IF('Daily Sale entry '!Q1225="Collection 收款",ROUND(N('Daily Sale entry '!T1225),2),0))</f>
        <v/>
      </c>
    </row>
    <row r="1226">
      <c r="A1226" t="inlineStr">
        <is>
          <t>Entry 记录</t>
        </is>
      </c>
      <c r="B1226" s="5">
        <f>IF('Daily Sale entry '!P1226="","",'Daily Sale entry '!O1226)</f>
        <v/>
      </c>
      <c r="C1226">
        <f>IF('Daily Sale entry '!P1226="","",'Daily Sale entry '!P1226)</f>
        <v/>
      </c>
      <c r="D1226">
        <f>IF(C1226="","",IF('Daily Sale entry '!Q1226="Credit Sale 赊销",'Daily Sale entry '!S1226,0))</f>
        <v/>
      </c>
      <c r="E1226">
        <f>IF(C1226="","",IF('Daily Sale entry '!Q1226="Collection 收款",'Daily Sale entry '!S1226,0))</f>
        <v/>
      </c>
      <c r="F1226" s="37">
        <f>IF(C1226="","",B1226+IF(E1226&gt;0,0,0.5)+ROW()/10000000)</f>
        <v/>
      </c>
      <c r="G1226">
        <f>IF(C1226="","",'Daily Sale entry '!Q1226&amp;IF('Daily Sale entry '!Q1226="Collection 收款"," ("&amp;'Daily Sale entry '!R1226&amp;")","")&amp;IF('Daily Sale entry '!U1226="",""," - "&amp;'Daily Sale entry '!U1226))</f>
        <v/>
      </c>
      <c r="H1226">
        <f>IF(C1226="","",COUNTIFS($C$2:$C$3001,C1226,$F$2:$F$3001,"&lt;"&amp;F1226)+1)</f>
        <v/>
      </c>
      <c r="I1226">
        <f>IF(C1226="","",C1226&amp;"|"&amp;H1226)</f>
        <v/>
      </c>
      <c r="J1226" s="6">
        <f>IF(C1226="","",IF(H1226=1,SUMIFS('Opening Balance'!$F$4:$F$303,'Opening Balance'!$G$4:$G$303,C1226),INDEX($L$2:$L$3001,MATCH(C1226&amp;"|"&amp;(H1226-1),$I$2:$I$3001,0))))</f>
        <v/>
      </c>
      <c r="K1226" s="6">
        <f>IF(C1226="","",IF(M1226&gt;0,M1226,IF(AND(E1226&gt;0,ROUND(J1226+D1226-E1226,2)&gt;0,ROUND(J1226+D1226-E1226,2)&lt;'Opening Balance'!$B$14),ROUND(J1226+D1226-E1226,2),0)))</f>
        <v/>
      </c>
      <c r="L1226" s="6">
        <f>IF(C1226="","",ROUND(J1226+D1226-E1226-K1226,2))</f>
        <v/>
      </c>
      <c r="M1226" s="6">
        <f>IF(C1226="","",IF('Daily Sale entry '!Q1226="Collection 收款",ROUND(N('Daily Sale entry '!T1226),2),0))</f>
        <v/>
      </c>
    </row>
    <row r="1227">
      <c r="A1227" t="inlineStr">
        <is>
          <t>Entry 记录</t>
        </is>
      </c>
      <c r="B1227" s="5">
        <f>IF('Daily Sale entry '!P1227="","",'Daily Sale entry '!O1227)</f>
        <v/>
      </c>
      <c r="C1227">
        <f>IF('Daily Sale entry '!P1227="","",'Daily Sale entry '!P1227)</f>
        <v/>
      </c>
      <c r="D1227">
        <f>IF(C1227="","",IF('Daily Sale entry '!Q1227="Credit Sale 赊销",'Daily Sale entry '!S1227,0))</f>
        <v/>
      </c>
      <c r="E1227">
        <f>IF(C1227="","",IF('Daily Sale entry '!Q1227="Collection 收款",'Daily Sale entry '!S1227,0))</f>
        <v/>
      </c>
      <c r="F1227" s="37">
        <f>IF(C1227="","",B1227+IF(E1227&gt;0,0,0.5)+ROW()/10000000)</f>
        <v/>
      </c>
      <c r="G1227">
        <f>IF(C1227="","",'Daily Sale entry '!Q1227&amp;IF('Daily Sale entry '!Q1227="Collection 收款"," ("&amp;'Daily Sale entry '!R1227&amp;")","")&amp;IF('Daily Sale entry '!U1227="",""," - "&amp;'Daily Sale entry '!U1227))</f>
        <v/>
      </c>
      <c r="H1227">
        <f>IF(C1227="","",COUNTIFS($C$2:$C$3001,C1227,$F$2:$F$3001,"&lt;"&amp;F1227)+1)</f>
        <v/>
      </c>
      <c r="I1227">
        <f>IF(C1227="","",C1227&amp;"|"&amp;H1227)</f>
        <v/>
      </c>
      <c r="J1227" s="6">
        <f>IF(C1227="","",IF(H1227=1,SUMIFS('Opening Balance'!$F$4:$F$303,'Opening Balance'!$G$4:$G$303,C1227),INDEX($L$2:$L$3001,MATCH(C1227&amp;"|"&amp;(H1227-1),$I$2:$I$3001,0))))</f>
        <v/>
      </c>
      <c r="K1227" s="6">
        <f>IF(C1227="","",IF(M1227&gt;0,M1227,IF(AND(E1227&gt;0,ROUND(J1227+D1227-E1227,2)&gt;0,ROUND(J1227+D1227-E1227,2)&lt;'Opening Balance'!$B$14),ROUND(J1227+D1227-E1227,2),0)))</f>
        <v/>
      </c>
      <c r="L1227" s="6">
        <f>IF(C1227="","",ROUND(J1227+D1227-E1227-K1227,2))</f>
        <v/>
      </c>
      <c r="M1227" s="6">
        <f>IF(C1227="","",IF('Daily Sale entry '!Q1227="Collection 收款",ROUND(N('Daily Sale entry '!T1227),2),0))</f>
        <v/>
      </c>
    </row>
    <row r="1228">
      <c r="A1228" t="inlineStr">
        <is>
          <t>Entry 记录</t>
        </is>
      </c>
      <c r="B1228" s="5">
        <f>IF('Daily Sale entry '!P1228="","",'Daily Sale entry '!O1228)</f>
        <v/>
      </c>
      <c r="C1228">
        <f>IF('Daily Sale entry '!P1228="","",'Daily Sale entry '!P1228)</f>
        <v/>
      </c>
      <c r="D1228">
        <f>IF(C1228="","",IF('Daily Sale entry '!Q1228="Credit Sale 赊销",'Daily Sale entry '!S1228,0))</f>
        <v/>
      </c>
      <c r="E1228">
        <f>IF(C1228="","",IF('Daily Sale entry '!Q1228="Collection 收款",'Daily Sale entry '!S1228,0))</f>
        <v/>
      </c>
      <c r="F1228" s="37">
        <f>IF(C1228="","",B1228+IF(E1228&gt;0,0,0.5)+ROW()/10000000)</f>
        <v/>
      </c>
      <c r="G1228">
        <f>IF(C1228="","",'Daily Sale entry '!Q1228&amp;IF('Daily Sale entry '!Q1228="Collection 收款"," ("&amp;'Daily Sale entry '!R1228&amp;")","")&amp;IF('Daily Sale entry '!U1228="",""," - "&amp;'Daily Sale entry '!U1228))</f>
        <v/>
      </c>
      <c r="H1228">
        <f>IF(C1228="","",COUNTIFS($C$2:$C$3001,C1228,$F$2:$F$3001,"&lt;"&amp;F1228)+1)</f>
        <v/>
      </c>
      <c r="I1228">
        <f>IF(C1228="","",C1228&amp;"|"&amp;H1228)</f>
        <v/>
      </c>
      <c r="J1228" s="6">
        <f>IF(C1228="","",IF(H1228=1,SUMIFS('Opening Balance'!$F$4:$F$303,'Opening Balance'!$G$4:$G$303,C1228),INDEX($L$2:$L$3001,MATCH(C1228&amp;"|"&amp;(H1228-1),$I$2:$I$3001,0))))</f>
        <v/>
      </c>
      <c r="K1228" s="6">
        <f>IF(C1228="","",IF(M1228&gt;0,M1228,IF(AND(E1228&gt;0,ROUND(J1228+D1228-E1228,2)&gt;0,ROUND(J1228+D1228-E1228,2)&lt;'Opening Balance'!$B$14),ROUND(J1228+D1228-E1228,2),0)))</f>
        <v/>
      </c>
      <c r="L1228" s="6">
        <f>IF(C1228="","",ROUND(J1228+D1228-E1228-K1228,2))</f>
        <v/>
      </c>
      <c r="M1228" s="6">
        <f>IF(C1228="","",IF('Daily Sale entry '!Q1228="Collection 收款",ROUND(N('Daily Sale entry '!T1228),2),0))</f>
        <v/>
      </c>
    </row>
    <row r="1229">
      <c r="A1229" t="inlineStr">
        <is>
          <t>Entry 记录</t>
        </is>
      </c>
      <c r="B1229" s="5">
        <f>IF('Daily Sale entry '!P1229="","",'Daily Sale entry '!O1229)</f>
        <v/>
      </c>
      <c r="C1229">
        <f>IF('Daily Sale entry '!P1229="","",'Daily Sale entry '!P1229)</f>
        <v/>
      </c>
      <c r="D1229">
        <f>IF(C1229="","",IF('Daily Sale entry '!Q1229="Credit Sale 赊销",'Daily Sale entry '!S1229,0))</f>
        <v/>
      </c>
      <c r="E1229">
        <f>IF(C1229="","",IF('Daily Sale entry '!Q1229="Collection 收款",'Daily Sale entry '!S1229,0))</f>
        <v/>
      </c>
      <c r="F1229" s="37">
        <f>IF(C1229="","",B1229+IF(E1229&gt;0,0,0.5)+ROW()/10000000)</f>
        <v/>
      </c>
      <c r="G1229">
        <f>IF(C1229="","",'Daily Sale entry '!Q1229&amp;IF('Daily Sale entry '!Q1229="Collection 收款"," ("&amp;'Daily Sale entry '!R1229&amp;")","")&amp;IF('Daily Sale entry '!U1229="",""," - "&amp;'Daily Sale entry '!U1229))</f>
        <v/>
      </c>
      <c r="H1229">
        <f>IF(C1229="","",COUNTIFS($C$2:$C$3001,C1229,$F$2:$F$3001,"&lt;"&amp;F1229)+1)</f>
        <v/>
      </c>
      <c r="I1229">
        <f>IF(C1229="","",C1229&amp;"|"&amp;H1229)</f>
        <v/>
      </c>
      <c r="J1229" s="6">
        <f>IF(C1229="","",IF(H1229=1,SUMIFS('Opening Balance'!$F$4:$F$303,'Opening Balance'!$G$4:$G$303,C1229),INDEX($L$2:$L$3001,MATCH(C1229&amp;"|"&amp;(H1229-1),$I$2:$I$3001,0))))</f>
        <v/>
      </c>
      <c r="K1229" s="6">
        <f>IF(C1229="","",IF(M1229&gt;0,M1229,IF(AND(E1229&gt;0,ROUND(J1229+D1229-E1229,2)&gt;0,ROUND(J1229+D1229-E1229,2)&lt;'Opening Balance'!$B$14),ROUND(J1229+D1229-E1229,2),0)))</f>
        <v/>
      </c>
      <c r="L1229" s="6">
        <f>IF(C1229="","",ROUND(J1229+D1229-E1229-K1229,2))</f>
        <v/>
      </c>
      <c r="M1229" s="6">
        <f>IF(C1229="","",IF('Daily Sale entry '!Q1229="Collection 收款",ROUND(N('Daily Sale entry '!T1229),2),0))</f>
        <v/>
      </c>
    </row>
    <row r="1230">
      <c r="A1230" t="inlineStr">
        <is>
          <t>Entry 记录</t>
        </is>
      </c>
      <c r="B1230" s="5">
        <f>IF('Daily Sale entry '!P1230="","",'Daily Sale entry '!O1230)</f>
        <v/>
      </c>
      <c r="C1230">
        <f>IF('Daily Sale entry '!P1230="","",'Daily Sale entry '!P1230)</f>
        <v/>
      </c>
      <c r="D1230">
        <f>IF(C1230="","",IF('Daily Sale entry '!Q1230="Credit Sale 赊销",'Daily Sale entry '!S1230,0))</f>
        <v/>
      </c>
      <c r="E1230">
        <f>IF(C1230="","",IF('Daily Sale entry '!Q1230="Collection 收款",'Daily Sale entry '!S1230,0))</f>
        <v/>
      </c>
      <c r="F1230" s="37">
        <f>IF(C1230="","",B1230+IF(E1230&gt;0,0,0.5)+ROW()/10000000)</f>
        <v/>
      </c>
      <c r="G1230">
        <f>IF(C1230="","",'Daily Sale entry '!Q1230&amp;IF('Daily Sale entry '!Q1230="Collection 收款"," ("&amp;'Daily Sale entry '!R1230&amp;")","")&amp;IF('Daily Sale entry '!U1230="",""," - "&amp;'Daily Sale entry '!U1230))</f>
        <v/>
      </c>
      <c r="H1230">
        <f>IF(C1230="","",COUNTIFS($C$2:$C$3001,C1230,$F$2:$F$3001,"&lt;"&amp;F1230)+1)</f>
        <v/>
      </c>
      <c r="I1230">
        <f>IF(C1230="","",C1230&amp;"|"&amp;H1230)</f>
        <v/>
      </c>
      <c r="J1230" s="6">
        <f>IF(C1230="","",IF(H1230=1,SUMIFS('Opening Balance'!$F$4:$F$303,'Opening Balance'!$G$4:$G$303,C1230),INDEX($L$2:$L$3001,MATCH(C1230&amp;"|"&amp;(H1230-1),$I$2:$I$3001,0))))</f>
        <v/>
      </c>
      <c r="K1230" s="6">
        <f>IF(C1230="","",IF(M1230&gt;0,M1230,IF(AND(E1230&gt;0,ROUND(J1230+D1230-E1230,2)&gt;0,ROUND(J1230+D1230-E1230,2)&lt;'Opening Balance'!$B$14),ROUND(J1230+D1230-E1230,2),0)))</f>
        <v/>
      </c>
      <c r="L1230" s="6">
        <f>IF(C1230="","",ROUND(J1230+D1230-E1230-K1230,2))</f>
        <v/>
      </c>
      <c r="M1230" s="6">
        <f>IF(C1230="","",IF('Daily Sale entry '!Q1230="Collection 收款",ROUND(N('Daily Sale entry '!T1230),2),0))</f>
        <v/>
      </c>
    </row>
    <row r="1231">
      <c r="A1231" t="inlineStr">
        <is>
          <t>Entry 记录</t>
        </is>
      </c>
      <c r="B1231" s="5">
        <f>IF('Daily Sale entry '!P1231="","",'Daily Sale entry '!O1231)</f>
        <v/>
      </c>
      <c r="C1231">
        <f>IF('Daily Sale entry '!P1231="","",'Daily Sale entry '!P1231)</f>
        <v/>
      </c>
      <c r="D1231">
        <f>IF(C1231="","",IF('Daily Sale entry '!Q1231="Credit Sale 赊销",'Daily Sale entry '!S1231,0))</f>
        <v/>
      </c>
      <c r="E1231">
        <f>IF(C1231="","",IF('Daily Sale entry '!Q1231="Collection 收款",'Daily Sale entry '!S1231,0))</f>
        <v/>
      </c>
      <c r="F1231" s="37">
        <f>IF(C1231="","",B1231+IF(E1231&gt;0,0,0.5)+ROW()/10000000)</f>
        <v/>
      </c>
      <c r="G1231">
        <f>IF(C1231="","",'Daily Sale entry '!Q1231&amp;IF('Daily Sale entry '!Q1231="Collection 收款"," ("&amp;'Daily Sale entry '!R1231&amp;")","")&amp;IF('Daily Sale entry '!U1231="",""," - "&amp;'Daily Sale entry '!U1231))</f>
        <v/>
      </c>
      <c r="H1231">
        <f>IF(C1231="","",COUNTIFS($C$2:$C$3001,C1231,$F$2:$F$3001,"&lt;"&amp;F1231)+1)</f>
        <v/>
      </c>
      <c r="I1231">
        <f>IF(C1231="","",C1231&amp;"|"&amp;H1231)</f>
        <v/>
      </c>
      <c r="J1231" s="6">
        <f>IF(C1231="","",IF(H1231=1,SUMIFS('Opening Balance'!$F$4:$F$303,'Opening Balance'!$G$4:$G$303,C1231),INDEX($L$2:$L$3001,MATCH(C1231&amp;"|"&amp;(H1231-1),$I$2:$I$3001,0))))</f>
        <v/>
      </c>
      <c r="K1231" s="6">
        <f>IF(C1231="","",IF(M1231&gt;0,M1231,IF(AND(E1231&gt;0,ROUND(J1231+D1231-E1231,2)&gt;0,ROUND(J1231+D1231-E1231,2)&lt;'Opening Balance'!$B$14),ROUND(J1231+D1231-E1231,2),0)))</f>
        <v/>
      </c>
      <c r="L1231" s="6">
        <f>IF(C1231="","",ROUND(J1231+D1231-E1231-K1231,2))</f>
        <v/>
      </c>
      <c r="M1231" s="6">
        <f>IF(C1231="","",IF('Daily Sale entry '!Q1231="Collection 收款",ROUND(N('Daily Sale entry '!T1231),2),0))</f>
        <v/>
      </c>
    </row>
    <row r="1232">
      <c r="A1232" t="inlineStr">
        <is>
          <t>Entry 记录</t>
        </is>
      </c>
      <c r="B1232" s="5">
        <f>IF('Daily Sale entry '!P1232="","",'Daily Sale entry '!O1232)</f>
        <v/>
      </c>
      <c r="C1232">
        <f>IF('Daily Sale entry '!P1232="","",'Daily Sale entry '!P1232)</f>
        <v/>
      </c>
      <c r="D1232">
        <f>IF(C1232="","",IF('Daily Sale entry '!Q1232="Credit Sale 赊销",'Daily Sale entry '!S1232,0))</f>
        <v/>
      </c>
      <c r="E1232">
        <f>IF(C1232="","",IF('Daily Sale entry '!Q1232="Collection 收款",'Daily Sale entry '!S1232,0))</f>
        <v/>
      </c>
      <c r="F1232" s="37">
        <f>IF(C1232="","",B1232+IF(E1232&gt;0,0,0.5)+ROW()/10000000)</f>
        <v/>
      </c>
      <c r="G1232">
        <f>IF(C1232="","",'Daily Sale entry '!Q1232&amp;IF('Daily Sale entry '!Q1232="Collection 收款"," ("&amp;'Daily Sale entry '!R1232&amp;")","")&amp;IF('Daily Sale entry '!U1232="",""," - "&amp;'Daily Sale entry '!U1232))</f>
        <v/>
      </c>
      <c r="H1232">
        <f>IF(C1232="","",COUNTIFS($C$2:$C$3001,C1232,$F$2:$F$3001,"&lt;"&amp;F1232)+1)</f>
        <v/>
      </c>
      <c r="I1232">
        <f>IF(C1232="","",C1232&amp;"|"&amp;H1232)</f>
        <v/>
      </c>
      <c r="J1232" s="6">
        <f>IF(C1232="","",IF(H1232=1,SUMIFS('Opening Balance'!$F$4:$F$303,'Opening Balance'!$G$4:$G$303,C1232),INDEX($L$2:$L$3001,MATCH(C1232&amp;"|"&amp;(H1232-1),$I$2:$I$3001,0))))</f>
        <v/>
      </c>
      <c r="K1232" s="6">
        <f>IF(C1232="","",IF(M1232&gt;0,M1232,IF(AND(E1232&gt;0,ROUND(J1232+D1232-E1232,2)&gt;0,ROUND(J1232+D1232-E1232,2)&lt;'Opening Balance'!$B$14),ROUND(J1232+D1232-E1232,2),0)))</f>
        <v/>
      </c>
      <c r="L1232" s="6">
        <f>IF(C1232="","",ROUND(J1232+D1232-E1232-K1232,2))</f>
        <v/>
      </c>
      <c r="M1232" s="6">
        <f>IF(C1232="","",IF('Daily Sale entry '!Q1232="Collection 收款",ROUND(N('Daily Sale entry '!T1232),2),0))</f>
        <v/>
      </c>
    </row>
    <row r="1233">
      <c r="A1233" t="inlineStr">
        <is>
          <t>Entry 记录</t>
        </is>
      </c>
      <c r="B1233" s="5">
        <f>IF('Daily Sale entry '!P1233="","",'Daily Sale entry '!O1233)</f>
        <v/>
      </c>
      <c r="C1233">
        <f>IF('Daily Sale entry '!P1233="","",'Daily Sale entry '!P1233)</f>
        <v/>
      </c>
      <c r="D1233">
        <f>IF(C1233="","",IF('Daily Sale entry '!Q1233="Credit Sale 赊销",'Daily Sale entry '!S1233,0))</f>
        <v/>
      </c>
      <c r="E1233">
        <f>IF(C1233="","",IF('Daily Sale entry '!Q1233="Collection 收款",'Daily Sale entry '!S1233,0))</f>
        <v/>
      </c>
      <c r="F1233" s="37">
        <f>IF(C1233="","",B1233+IF(E1233&gt;0,0,0.5)+ROW()/10000000)</f>
        <v/>
      </c>
      <c r="G1233">
        <f>IF(C1233="","",'Daily Sale entry '!Q1233&amp;IF('Daily Sale entry '!Q1233="Collection 收款"," ("&amp;'Daily Sale entry '!R1233&amp;")","")&amp;IF('Daily Sale entry '!U1233="",""," - "&amp;'Daily Sale entry '!U1233))</f>
        <v/>
      </c>
      <c r="H1233">
        <f>IF(C1233="","",COUNTIFS($C$2:$C$3001,C1233,$F$2:$F$3001,"&lt;"&amp;F1233)+1)</f>
        <v/>
      </c>
      <c r="I1233">
        <f>IF(C1233="","",C1233&amp;"|"&amp;H1233)</f>
        <v/>
      </c>
      <c r="J1233" s="6">
        <f>IF(C1233="","",IF(H1233=1,SUMIFS('Opening Balance'!$F$4:$F$303,'Opening Balance'!$G$4:$G$303,C1233),INDEX($L$2:$L$3001,MATCH(C1233&amp;"|"&amp;(H1233-1),$I$2:$I$3001,0))))</f>
        <v/>
      </c>
      <c r="K1233" s="6">
        <f>IF(C1233="","",IF(M1233&gt;0,M1233,IF(AND(E1233&gt;0,ROUND(J1233+D1233-E1233,2)&gt;0,ROUND(J1233+D1233-E1233,2)&lt;'Opening Balance'!$B$14),ROUND(J1233+D1233-E1233,2),0)))</f>
        <v/>
      </c>
      <c r="L1233" s="6">
        <f>IF(C1233="","",ROUND(J1233+D1233-E1233-K1233,2))</f>
        <v/>
      </c>
      <c r="M1233" s="6">
        <f>IF(C1233="","",IF('Daily Sale entry '!Q1233="Collection 收款",ROUND(N('Daily Sale entry '!T1233),2),0))</f>
        <v/>
      </c>
    </row>
    <row r="1234">
      <c r="A1234" t="inlineStr">
        <is>
          <t>Entry 记录</t>
        </is>
      </c>
      <c r="B1234" s="5">
        <f>IF('Daily Sale entry '!P1234="","",'Daily Sale entry '!O1234)</f>
        <v/>
      </c>
      <c r="C1234">
        <f>IF('Daily Sale entry '!P1234="","",'Daily Sale entry '!P1234)</f>
        <v/>
      </c>
      <c r="D1234">
        <f>IF(C1234="","",IF('Daily Sale entry '!Q1234="Credit Sale 赊销",'Daily Sale entry '!S1234,0))</f>
        <v/>
      </c>
      <c r="E1234">
        <f>IF(C1234="","",IF('Daily Sale entry '!Q1234="Collection 收款",'Daily Sale entry '!S1234,0))</f>
        <v/>
      </c>
      <c r="F1234" s="37">
        <f>IF(C1234="","",B1234+IF(E1234&gt;0,0,0.5)+ROW()/10000000)</f>
        <v/>
      </c>
      <c r="G1234">
        <f>IF(C1234="","",'Daily Sale entry '!Q1234&amp;IF('Daily Sale entry '!Q1234="Collection 收款"," ("&amp;'Daily Sale entry '!R1234&amp;")","")&amp;IF('Daily Sale entry '!U1234="",""," - "&amp;'Daily Sale entry '!U1234))</f>
        <v/>
      </c>
      <c r="H1234">
        <f>IF(C1234="","",COUNTIFS($C$2:$C$3001,C1234,$F$2:$F$3001,"&lt;"&amp;F1234)+1)</f>
        <v/>
      </c>
      <c r="I1234">
        <f>IF(C1234="","",C1234&amp;"|"&amp;H1234)</f>
        <v/>
      </c>
      <c r="J1234" s="6">
        <f>IF(C1234="","",IF(H1234=1,SUMIFS('Opening Balance'!$F$4:$F$303,'Opening Balance'!$G$4:$G$303,C1234),INDEX($L$2:$L$3001,MATCH(C1234&amp;"|"&amp;(H1234-1),$I$2:$I$3001,0))))</f>
        <v/>
      </c>
      <c r="K1234" s="6">
        <f>IF(C1234="","",IF(M1234&gt;0,M1234,IF(AND(E1234&gt;0,ROUND(J1234+D1234-E1234,2)&gt;0,ROUND(J1234+D1234-E1234,2)&lt;'Opening Balance'!$B$14),ROUND(J1234+D1234-E1234,2),0)))</f>
        <v/>
      </c>
      <c r="L1234" s="6">
        <f>IF(C1234="","",ROUND(J1234+D1234-E1234-K1234,2))</f>
        <v/>
      </c>
      <c r="M1234" s="6">
        <f>IF(C1234="","",IF('Daily Sale entry '!Q1234="Collection 收款",ROUND(N('Daily Sale entry '!T1234),2),0))</f>
        <v/>
      </c>
    </row>
    <row r="1235">
      <c r="A1235" t="inlineStr">
        <is>
          <t>Entry 记录</t>
        </is>
      </c>
      <c r="B1235" s="5">
        <f>IF('Daily Sale entry '!P1235="","",'Daily Sale entry '!O1235)</f>
        <v/>
      </c>
      <c r="C1235">
        <f>IF('Daily Sale entry '!P1235="","",'Daily Sale entry '!P1235)</f>
        <v/>
      </c>
      <c r="D1235">
        <f>IF(C1235="","",IF('Daily Sale entry '!Q1235="Credit Sale 赊销",'Daily Sale entry '!S1235,0))</f>
        <v/>
      </c>
      <c r="E1235">
        <f>IF(C1235="","",IF('Daily Sale entry '!Q1235="Collection 收款",'Daily Sale entry '!S1235,0))</f>
        <v/>
      </c>
      <c r="F1235" s="37">
        <f>IF(C1235="","",B1235+IF(E1235&gt;0,0,0.5)+ROW()/10000000)</f>
        <v/>
      </c>
      <c r="G1235">
        <f>IF(C1235="","",'Daily Sale entry '!Q1235&amp;IF('Daily Sale entry '!Q1235="Collection 收款"," ("&amp;'Daily Sale entry '!R1235&amp;")","")&amp;IF('Daily Sale entry '!U1235="",""," - "&amp;'Daily Sale entry '!U1235))</f>
        <v/>
      </c>
      <c r="H1235">
        <f>IF(C1235="","",COUNTIFS($C$2:$C$3001,C1235,$F$2:$F$3001,"&lt;"&amp;F1235)+1)</f>
        <v/>
      </c>
      <c r="I1235">
        <f>IF(C1235="","",C1235&amp;"|"&amp;H1235)</f>
        <v/>
      </c>
      <c r="J1235" s="6">
        <f>IF(C1235="","",IF(H1235=1,SUMIFS('Opening Balance'!$F$4:$F$303,'Opening Balance'!$G$4:$G$303,C1235),INDEX($L$2:$L$3001,MATCH(C1235&amp;"|"&amp;(H1235-1),$I$2:$I$3001,0))))</f>
        <v/>
      </c>
      <c r="K1235" s="6">
        <f>IF(C1235="","",IF(M1235&gt;0,M1235,IF(AND(E1235&gt;0,ROUND(J1235+D1235-E1235,2)&gt;0,ROUND(J1235+D1235-E1235,2)&lt;'Opening Balance'!$B$14),ROUND(J1235+D1235-E1235,2),0)))</f>
        <v/>
      </c>
      <c r="L1235" s="6">
        <f>IF(C1235="","",ROUND(J1235+D1235-E1235-K1235,2))</f>
        <v/>
      </c>
      <c r="M1235" s="6">
        <f>IF(C1235="","",IF('Daily Sale entry '!Q1235="Collection 收款",ROUND(N('Daily Sale entry '!T1235),2),0))</f>
        <v/>
      </c>
    </row>
    <row r="1236">
      <c r="A1236" t="inlineStr">
        <is>
          <t>Entry 记录</t>
        </is>
      </c>
      <c r="B1236" s="5">
        <f>IF('Daily Sale entry '!P1236="","",'Daily Sale entry '!O1236)</f>
        <v/>
      </c>
      <c r="C1236">
        <f>IF('Daily Sale entry '!P1236="","",'Daily Sale entry '!P1236)</f>
        <v/>
      </c>
      <c r="D1236">
        <f>IF(C1236="","",IF('Daily Sale entry '!Q1236="Credit Sale 赊销",'Daily Sale entry '!S1236,0))</f>
        <v/>
      </c>
      <c r="E1236">
        <f>IF(C1236="","",IF('Daily Sale entry '!Q1236="Collection 收款",'Daily Sale entry '!S1236,0))</f>
        <v/>
      </c>
      <c r="F1236" s="37">
        <f>IF(C1236="","",B1236+IF(E1236&gt;0,0,0.5)+ROW()/10000000)</f>
        <v/>
      </c>
      <c r="G1236">
        <f>IF(C1236="","",'Daily Sale entry '!Q1236&amp;IF('Daily Sale entry '!Q1236="Collection 收款"," ("&amp;'Daily Sale entry '!R1236&amp;")","")&amp;IF('Daily Sale entry '!U1236="",""," - "&amp;'Daily Sale entry '!U1236))</f>
        <v/>
      </c>
      <c r="H1236">
        <f>IF(C1236="","",COUNTIFS($C$2:$C$3001,C1236,$F$2:$F$3001,"&lt;"&amp;F1236)+1)</f>
        <v/>
      </c>
      <c r="I1236">
        <f>IF(C1236="","",C1236&amp;"|"&amp;H1236)</f>
        <v/>
      </c>
      <c r="J1236" s="6">
        <f>IF(C1236="","",IF(H1236=1,SUMIFS('Opening Balance'!$F$4:$F$303,'Opening Balance'!$G$4:$G$303,C1236),INDEX($L$2:$L$3001,MATCH(C1236&amp;"|"&amp;(H1236-1),$I$2:$I$3001,0))))</f>
        <v/>
      </c>
      <c r="K1236" s="6">
        <f>IF(C1236="","",IF(M1236&gt;0,M1236,IF(AND(E1236&gt;0,ROUND(J1236+D1236-E1236,2)&gt;0,ROUND(J1236+D1236-E1236,2)&lt;'Opening Balance'!$B$14),ROUND(J1236+D1236-E1236,2),0)))</f>
        <v/>
      </c>
      <c r="L1236" s="6">
        <f>IF(C1236="","",ROUND(J1236+D1236-E1236-K1236,2))</f>
        <v/>
      </c>
      <c r="M1236" s="6">
        <f>IF(C1236="","",IF('Daily Sale entry '!Q1236="Collection 收款",ROUND(N('Daily Sale entry '!T1236),2),0))</f>
        <v/>
      </c>
    </row>
    <row r="1237">
      <c r="A1237" t="inlineStr">
        <is>
          <t>Entry 记录</t>
        </is>
      </c>
      <c r="B1237" s="5">
        <f>IF('Daily Sale entry '!P1237="","",'Daily Sale entry '!O1237)</f>
        <v/>
      </c>
      <c r="C1237">
        <f>IF('Daily Sale entry '!P1237="","",'Daily Sale entry '!P1237)</f>
        <v/>
      </c>
      <c r="D1237">
        <f>IF(C1237="","",IF('Daily Sale entry '!Q1237="Credit Sale 赊销",'Daily Sale entry '!S1237,0))</f>
        <v/>
      </c>
      <c r="E1237">
        <f>IF(C1237="","",IF('Daily Sale entry '!Q1237="Collection 收款",'Daily Sale entry '!S1237,0))</f>
        <v/>
      </c>
      <c r="F1237" s="37">
        <f>IF(C1237="","",B1237+IF(E1237&gt;0,0,0.5)+ROW()/10000000)</f>
        <v/>
      </c>
      <c r="G1237">
        <f>IF(C1237="","",'Daily Sale entry '!Q1237&amp;IF('Daily Sale entry '!Q1237="Collection 收款"," ("&amp;'Daily Sale entry '!R1237&amp;")","")&amp;IF('Daily Sale entry '!U1237="",""," - "&amp;'Daily Sale entry '!U1237))</f>
        <v/>
      </c>
      <c r="H1237">
        <f>IF(C1237="","",COUNTIFS($C$2:$C$3001,C1237,$F$2:$F$3001,"&lt;"&amp;F1237)+1)</f>
        <v/>
      </c>
      <c r="I1237">
        <f>IF(C1237="","",C1237&amp;"|"&amp;H1237)</f>
        <v/>
      </c>
      <c r="J1237" s="6">
        <f>IF(C1237="","",IF(H1237=1,SUMIFS('Opening Balance'!$F$4:$F$303,'Opening Balance'!$G$4:$G$303,C1237),INDEX($L$2:$L$3001,MATCH(C1237&amp;"|"&amp;(H1237-1),$I$2:$I$3001,0))))</f>
        <v/>
      </c>
      <c r="K1237" s="6">
        <f>IF(C1237="","",IF(M1237&gt;0,M1237,IF(AND(E1237&gt;0,ROUND(J1237+D1237-E1237,2)&gt;0,ROUND(J1237+D1237-E1237,2)&lt;'Opening Balance'!$B$14),ROUND(J1237+D1237-E1237,2),0)))</f>
        <v/>
      </c>
      <c r="L1237" s="6">
        <f>IF(C1237="","",ROUND(J1237+D1237-E1237-K1237,2))</f>
        <v/>
      </c>
      <c r="M1237" s="6">
        <f>IF(C1237="","",IF('Daily Sale entry '!Q1237="Collection 收款",ROUND(N('Daily Sale entry '!T1237),2),0))</f>
        <v/>
      </c>
    </row>
    <row r="1238">
      <c r="A1238" t="inlineStr">
        <is>
          <t>Entry 记录</t>
        </is>
      </c>
      <c r="B1238" s="5">
        <f>IF('Daily Sale entry '!P1238="","",'Daily Sale entry '!O1238)</f>
        <v/>
      </c>
      <c r="C1238">
        <f>IF('Daily Sale entry '!P1238="","",'Daily Sale entry '!P1238)</f>
        <v/>
      </c>
      <c r="D1238">
        <f>IF(C1238="","",IF('Daily Sale entry '!Q1238="Credit Sale 赊销",'Daily Sale entry '!S1238,0))</f>
        <v/>
      </c>
      <c r="E1238">
        <f>IF(C1238="","",IF('Daily Sale entry '!Q1238="Collection 收款",'Daily Sale entry '!S1238,0))</f>
        <v/>
      </c>
      <c r="F1238" s="37">
        <f>IF(C1238="","",B1238+IF(E1238&gt;0,0,0.5)+ROW()/10000000)</f>
        <v/>
      </c>
      <c r="G1238">
        <f>IF(C1238="","",'Daily Sale entry '!Q1238&amp;IF('Daily Sale entry '!Q1238="Collection 收款"," ("&amp;'Daily Sale entry '!R1238&amp;")","")&amp;IF('Daily Sale entry '!U1238="",""," - "&amp;'Daily Sale entry '!U1238))</f>
        <v/>
      </c>
      <c r="H1238">
        <f>IF(C1238="","",COUNTIFS($C$2:$C$3001,C1238,$F$2:$F$3001,"&lt;"&amp;F1238)+1)</f>
        <v/>
      </c>
      <c r="I1238">
        <f>IF(C1238="","",C1238&amp;"|"&amp;H1238)</f>
        <v/>
      </c>
      <c r="J1238" s="6">
        <f>IF(C1238="","",IF(H1238=1,SUMIFS('Opening Balance'!$F$4:$F$303,'Opening Balance'!$G$4:$G$303,C1238),INDEX($L$2:$L$3001,MATCH(C1238&amp;"|"&amp;(H1238-1),$I$2:$I$3001,0))))</f>
        <v/>
      </c>
      <c r="K1238" s="6">
        <f>IF(C1238="","",IF(M1238&gt;0,M1238,IF(AND(E1238&gt;0,ROUND(J1238+D1238-E1238,2)&gt;0,ROUND(J1238+D1238-E1238,2)&lt;'Opening Balance'!$B$14),ROUND(J1238+D1238-E1238,2),0)))</f>
        <v/>
      </c>
      <c r="L1238" s="6">
        <f>IF(C1238="","",ROUND(J1238+D1238-E1238-K1238,2))</f>
        <v/>
      </c>
      <c r="M1238" s="6">
        <f>IF(C1238="","",IF('Daily Sale entry '!Q1238="Collection 收款",ROUND(N('Daily Sale entry '!T1238),2),0))</f>
        <v/>
      </c>
    </row>
    <row r="1239">
      <c r="A1239" t="inlineStr">
        <is>
          <t>Entry 记录</t>
        </is>
      </c>
      <c r="B1239" s="5">
        <f>IF('Daily Sale entry '!P1239="","",'Daily Sale entry '!O1239)</f>
        <v/>
      </c>
      <c r="C1239">
        <f>IF('Daily Sale entry '!P1239="","",'Daily Sale entry '!P1239)</f>
        <v/>
      </c>
      <c r="D1239">
        <f>IF(C1239="","",IF('Daily Sale entry '!Q1239="Credit Sale 赊销",'Daily Sale entry '!S1239,0))</f>
        <v/>
      </c>
      <c r="E1239">
        <f>IF(C1239="","",IF('Daily Sale entry '!Q1239="Collection 收款",'Daily Sale entry '!S1239,0))</f>
        <v/>
      </c>
      <c r="F1239" s="37">
        <f>IF(C1239="","",B1239+IF(E1239&gt;0,0,0.5)+ROW()/10000000)</f>
        <v/>
      </c>
      <c r="G1239">
        <f>IF(C1239="","",'Daily Sale entry '!Q1239&amp;IF('Daily Sale entry '!Q1239="Collection 收款"," ("&amp;'Daily Sale entry '!R1239&amp;")","")&amp;IF('Daily Sale entry '!U1239="",""," - "&amp;'Daily Sale entry '!U1239))</f>
        <v/>
      </c>
      <c r="H1239">
        <f>IF(C1239="","",COUNTIFS($C$2:$C$3001,C1239,$F$2:$F$3001,"&lt;"&amp;F1239)+1)</f>
        <v/>
      </c>
      <c r="I1239">
        <f>IF(C1239="","",C1239&amp;"|"&amp;H1239)</f>
        <v/>
      </c>
      <c r="J1239" s="6">
        <f>IF(C1239="","",IF(H1239=1,SUMIFS('Opening Balance'!$F$4:$F$303,'Opening Balance'!$G$4:$G$303,C1239),INDEX($L$2:$L$3001,MATCH(C1239&amp;"|"&amp;(H1239-1),$I$2:$I$3001,0))))</f>
        <v/>
      </c>
      <c r="K1239" s="6">
        <f>IF(C1239="","",IF(M1239&gt;0,M1239,IF(AND(E1239&gt;0,ROUND(J1239+D1239-E1239,2)&gt;0,ROUND(J1239+D1239-E1239,2)&lt;'Opening Balance'!$B$14),ROUND(J1239+D1239-E1239,2),0)))</f>
        <v/>
      </c>
      <c r="L1239" s="6">
        <f>IF(C1239="","",ROUND(J1239+D1239-E1239-K1239,2))</f>
        <v/>
      </c>
      <c r="M1239" s="6">
        <f>IF(C1239="","",IF('Daily Sale entry '!Q1239="Collection 收款",ROUND(N('Daily Sale entry '!T1239),2),0))</f>
        <v/>
      </c>
    </row>
    <row r="1240">
      <c r="A1240" t="inlineStr">
        <is>
          <t>Entry 记录</t>
        </is>
      </c>
      <c r="B1240" s="5">
        <f>IF('Daily Sale entry '!P1240="","",'Daily Sale entry '!O1240)</f>
        <v/>
      </c>
      <c r="C1240">
        <f>IF('Daily Sale entry '!P1240="","",'Daily Sale entry '!P1240)</f>
        <v/>
      </c>
      <c r="D1240">
        <f>IF(C1240="","",IF('Daily Sale entry '!Q1240="Credit Sale 赊销",'Daily Sale entry '!S1240,0))</f>
        <v/>
      </c>
      <c r="E1240">
        <f>IF(C1240="","",IF('Daily Sale entry '!Q1240="Collection 收款",'Daily Sale entry '!S1240,0))</f>
        <v/>
      </c>
      <c r="F1240" s="37">
        <f>IF(C1240="","",B1240+IF(E1240&gt;0,0,0.5)+ROW()/10000000)</f>
        <v/>
      </c>
      <c r="G1240">
        <f>IF(C1240="","",'Daily Sale entry '!Q1240&amp;IF('Daily Sale entry '!Q1240="Collection 收款"," ("&amp;'Daily Sale entry '!R1240&amp;")","")&amp;IF('Daily Sale entry '!U1240="",""," - "&amp;'Daily Sale entry '!U1240))</f>
        <v/>
      </c>
      <c r="H1240">
        <f>IF(C1240="","",COUNTIFS($C$2:$C$3001,C1240,$F$2:$F$3001,"&lt;"&amp;F1240)+1)</f>
        <v/>
      </c>
      <c r="I1240">
        <f>IF(C1240="","",C1240&amp;"|"&amp;H1240)</f>
        <v/>
      </c>
      <c r="J1240" s="6">
        <f>IF(C1240="","",IF(H1240=1,SUMIFS('Opening Balance'!$F$4:$F$303,'Opening Balance'!$G$4:$G$303,C1240),INDEX($L$2:$L$3001,MATCH(C1240&amp;"|"&amp;(H1240-1),$I$2:$I$3001,0))))</f>
        <v/>
      </c>
      <c r="K1240" s="6">
        <f>IF(C1240="","",IF(M1240&gt;0,M1240,IF(AND(E1240&gt;0,ROUND(J1240+D1240-E1240,2)&gt;0,ROUND(J1240+D1240-E1240,2)&lt;'Opening Balance'!$B$14),ROUND(J1240+D1240-E1240,2),0)))</f>
        <v/>
      </c>
      <c r="L1240" s="6">
        <f>IF(C1240="","",ROUND(J1240+D1240-E1240-K1240,2))</f>
        <v/>
      </c>
      <c r="M1240" s="6">
        <f>IF(C1240="","",IF('Daily Sale entry '!Q1240="Collection 收款",ROUND(N('Daily Sale entry '!T1240),2),0))</f>
        <v/>
      </c>
    </row>
    <row r="1241">
      <c r="A1241" t="inlineStr">
        <is>
          <t>Entry 记录</t>
        </is>
      </c>
      <c r="B1241" s="5">
        <f>IF('Daily Sale entry '!P1241="","",'Daily Sale entry '!O1241)</f>
        <v/>
      </c>
      <c r="C1241">
        <f>IF('Daily Sale entry '!P1241="","",'Daily Sale entry '!P1241)</f>
        <v/>
      </c>
      <c r="D1241">
        <f>IF(C1241="","",IF('Daily Sale entry '!Q1241="Credit Sale 赊销",'Daily Sale entry '!S1241,0))</f>
        <v/>
      </c>
      <c r="E1241">
        <f>IF(C1241="","",IF('Daily Sale entry '!Q1241="Collection 收款",'Daily Sale entry '!S1241,0))</f>
        <v/>
      </c>
      <c r="F1241" s="37">
        <f>IF(C1241="","",B1241+IF(E1241&gt;0,0,0.5)+ROW()/10000000)</f>
        <v/>
      </c>
      <c r="G1241">
        <f>IF(C1241="","",'Daily Sale entry '!Q1241&amp;IF('Daily Sale entry '!Q1241="Collection 收款"," ("&amp;'Daily Sale entry '!R1241&amp;")","")&amp;IF('Daily Sale entry '!U1241="",""," - "&amp;'Daily Sale entry '!U1241))</f>
        <v/>
      </c>
      <c r="H1241">
        <f>IF(C1241="","",COUNTIFS($C$2:$C$3001,C1241,$F$2:$F$3001,"&lt;"&amp;F1241)+1)</f>
        <v/>
      </c>
      <c r="I1241">
        <f>IF(C1241="","",C1241&amp;"|"&amp;H1241)</f>
        <v/>
      </c>
      <c r="J1241" s="6">
        <f>IF(C1241="","",IF(H1241=1,SUMIFS('Opening Balance'!$F$4:$F$303,'Opening Balance'!$G$4:$G$303,C1241),INDEX($L$2:$L$3001,MATCH(C1241&amp;"|"&amp;(H1241-1),$I$2:$I$3001,0))))</f>
        <v/>
      </c>
      <c r="K1241" s="6">
        <f>IF(C1241="","",IF(M1241&gt;0,M1241,IF(AND(E1241&gt;0,ROUND(J1241+D1241-E1241,2)&gt;0,ROUND(J1241+D1241-E1241,2)&lt;'Opening Balance'!$B$14),ROUND(J1241+D1241-E1241,2),0)))</f>
        <v/>
      </c>
      <c r="L1241" s="6">
        <f>IF(C1241="","",ROUND(J1241+D1241-E1241-K1241,2))</f>
        <v/>
      </c>
      <c r="M1241" s="6">
        <f>IF(C1241="","",IF('Daily Sale entry '!Q1241="Collection 收款",ROUND(N('Daily Sale entry '!T1241),2),0))</f>
        <v/>
      </c>
    </row>
    <row r="1242">
      <c r="A1242" t="inlineStr">
        <is>
          <t>Entry 记录</t>
        </is>
      </c>
      <c r="B1242" s="5">
        <f>IF('Daily Sale entry '!P1242="","",'Daily Sale entry '!O1242)</f>
        <v/>
      </c>
      <c r="C1242">
        <f>IF('Daily Sale entry '!P1242="","",'Daily Sale entry '!P1242)</f>
        <v/>
      </c>
      <c r="D1242">
        <f>IF(C1242="","",IF('Daily Sale entry '!Q1242="Credit Sale 赊销",'Daily Sale entry '!S1242,0))</f>
        <v/>
      </c>
      <c r="E1242">
        <f>IF(C1242="","",IF('Daily Sale entry '!Q1242="Collection 收款",'Daily Sale entry '!S1242,0))</f>
        <v/>
      </c>
      <c r="F1242" s="37">
        <f>IF(C1242="","",B1242+IF(E1242&gt;0,0,0.5)+ROW()/10000000)</f>
        <v/>
      </c>
      <c r="G1242">
        <f>IF(C1242="","",'Daily Sale entry '!Q1242&amp;IF('Daily Sale entry '!Q1242="Collection 收款"," ("&amp;'Daily Sale entry '!R1242&amp;")","")&amp;IF('Daily Sale entry '!U1242="",""," - "&amp;'Daily Sale entry '!U1242))</f>
        <v/>
      </c>
      <c r="H1242">
        <f>IF(C1242="","",COUNTIFS($C$2:$C$3001,C1242,$F$2:$F$3001,"&lt;"&amp;F1242)+1)</f>
        <v/>
      </c>
      <c r="I1242">
        <f>IF(C1242="","",C1242&amp;"|"&amp;H1242)</f>
        <v/>
      </c>
      <c r="J1242" s="6">
        <f>IF(C1242="","",IF(H1242=1,SUMIFS('Opening Balance'!$F$4:$F$303,'Opening Balance'!$G$4:$G$303,C1242),INDEX($L$2:$L$3001,MATCH(C1242&amp;"|"&amp;(H1242-1),$I$2:$I$3001,0))))</f>
        <v/>
      </c>
      <c r="K1242" s="6">
        <f>IF(C1242="","",IF(M1242&gt;0,M1242,IF(AND(E1242&gt;0,ROUND(J1242+D1242-E1242,2)&gt;0,ROUND(J1242+D1242-E1242,2)&lt;'Opening Balance'!$B$14),ROUND(J1242+D1242-E1242,2),0)))</f>
        <v/>
      </c>
      <c r="L1242" s="6">
        <f>IF(C1242="","",ROUND(J1242+D1242-E1242-K1242,2))</f>
        <v/>
      </c>
      <c r="M1242" s="6">
        <f>IF(C1242="","",IF('Daily Sale entry '!Q1242="Collection 收款",ROUND(N('Daily Sale entry '!T1242),2),0))</f>
        <v/>
      </c>
    </row>
    <row r="1243">
      <c r="A1243" t="inlineStr">
        <is>
          <t>Entry 记录</t>
        </is>
      </c>
      <c r="B1243" s="5">
        <f>IF('Daily Sale entry '!P1243="","",'Daily Sale entry '!O1243)</f>
        <v/>
      </c>
      <c r="C1243">
        <f>IF('Daily Sale entry '!P1243="","",'Daily Sale entry '!P1243)</f>
        <v/>
      </c>
      <c r="D1243">
        <f>IF(C1243="","",IF('Daily Sale entry '!Q1243="Credit Sale 赊销",'Daily Sale entry '!S1243,0))</f>
        <v/>
      </c>
      <c r="E1243">
        <f>IF(C1243="","",IF('Daily Sale entry '!Q1243="Collection 收款",'Daily Sale entry '!S1243,0))</f>
        <v/>
      </c>
      <c r="F1243" s="37">
        <f>IF(C1243="","",B1243+IF(E1243&gt;0,0,0.5)+ROW()/10000000)</f>
        <v/>
      </c>
      <c r="G1243">
        <f>IF(C1243="","",'Daily Sale entry '!Q1243&amp;IF('Daily Sale entry '!Q1243="Collection 收款"," ("&amp;'Daily Sale entry '!R1243&amp;")","")&amp;IF('Daily Sale entry '!U1243="",""," - "&amp;'Daily Sale entry '!U1243))</f>
        <v/>
      </c>
      <c r="H1243">
        <f>IF(C1243="","",COUNTIFS($C$2:$C$3001,C1243,$F$2:$F$3001,"&lt;"&amp;F1243)+1)</f>
        <v/>
      </c>
      <c r="I1243">
        <f>IF(C1243="","",C1243&amp;"|"&amp;H1243)</f>
        <v/>
      </c>
      <c r="J1243" s="6">
        <f>IF(C1243="","",IF(H1243=1,SUMIFS('Opening Balance'!$F$4:$F$303,'Opening Balance'!$G$4:$G$303,C1243),INDEX($L$2:$L$3001,MATCH(C1243&amp;"|"&amp;(H1243-1),$I$2:$I$3001,0))))</f>
        <v/>
      </c>
      <c r="K1243" s="6">
        <f>IF(C1243="","",IF(M1243&gt;0,M1243,IF(AND(E1243&gt;0,ROUND(J1243+D1243-E1243,2)&gt;0,ROUND(J1243+D1243-E1243,2)&lt;'Opening Balance'!$B$14),ROUND(J1243+D1243-E1243,2),0)))</f>
        <v/>
      </c>
      <c r="L1243" s="6">
        <f>IF(C1243="","",ROUND(J1243+D1243-E1243-K1243,2))</f>
        <v/>
      </c>
      <c r="M1243" s="6">
        <f>IF(C1243="","",IF('Daily Sale entry '!Q1243="Collection 收款",ROUND(N('Daily Sale entry '!T1243),2),0))</f>
        <v/>
      </c>
    </row>
    <row r="1244">
      <c r="A1244" t="inlineStr">
        <is>
          <t>Entry 记录</t>
        </is>
      </c>
      <c r="B1244" s="5">
        <f>IF('Daily Sale entry '!P1244="","",'Daily Sale entry '!O1244)</f>
        <v/>
      </c>
      <c r="C1244">
        <f>IF('Daily Sale entry '!P1244="","",'Daily Sale entry '!P1244)</f>
        <v/>
      </c>
      <c r="D1244">
        <f>IF(C1244="","",IF('Daily Sale entry '!Q1244="Credit Sale 赊销",'Daily Sale entry '!S1244,0))</f>
        <v/>
      </c>
      <c r="E1244">
        <f>IF(C1244="","",IF('Daily Sale entry '!Q1244="Collection 收款",'Daily Sale entry '!S1244,0))</f>
        <v/>
      </c>
      <c r="F1244" s="37">
        <f>IF(C1244="","",B1244+IF(E1244&gt;0,0,0.5)+ROW()/10000000)</f>
        <v/>
      </c>
      <c r="G1244">
        <f>IF(C1244="","",'Daily Sale entry '!Q1244&amp;IF('Daily Sale entry '!Q1244="Collection 收款"," ("&amp;'Daily Sale entry '!R1244&amp;")","")&amp;IF('Daily Sale entry '!U1244="",""," - "&amp;'Daily Sale entry '!U1244))</f>
        <v/>
      </c>
      <c r="H1244">
        <f>IF(C1244="","",COUNTIFS($C$2:$C$3001,C1244,$F$2:$F$3001,"&lt;"&amp;F1244)+1)</f>
        <v/>
      </c>
      <c r="I1244">
        <f>IF(C1244="","",C1244&amp;"|"&amp;H1244)</f>
        <v/>
      </c>
      <c r="J1244" s="6">
        <f>IF(C1244="","",IF(H1244=1,SUMIFS('Opening Balance'!$F$4:$F$303,'Opening Balance'!$G$4:$G$303,C1244),INDEX($L$2:$L$3001,MATCH(C1244&amp;"|"&amp;(H1244-1),$I$2:$I$3001,0))))</f>
        <v/>
      </c>
      <c r="K1244" s="6">
        <f>IF(C1244="","",IF(M1244&gt;0,M1244,IF(AND(E1244&gt;0,ROUND(J1244+D1244-E1244,2)&gt;0,ROUND(J1244+D1244-E1244,2)&lt;'Opening Balance'!$B$14),ROUND(J1244+D1244-E1244,2),0)))</f>
        <v/>
      </c>
      <c r="L1244" s="6">
        <f>IF(C1244="","",ROUND(J1244+D1244-E1244-K1244,2))</f>
        <v/>
      </c>
      <c r="M1244" s="6">
        <f>IF(C1244="","",IF('Daily Sale entry '!Q1244="Collection 收款",ROUND(N('Daily Sale entry '!T1244),2),0))</f>
        <v/>
      </c>
    </row>
    <row r="1245">
      <c r="A1245" t="inlineStr">
        <is>
          <t>Entry 记录</t>
        </is>
      </c>
      <c r="B1245" s="5">
        <f>IF('Daily Sale entry '!P1245="","",'Daily Sale entry '!O1245)</f>
        <v/>
      </c>
      <c r="C1245">
        <f>IF('Daily Sale entry '!P1245="","",'Daily Sale entry '!P1245)</f>
        <v/>
      </c>
      <c r="D1245">
        <f>IF(C1245="","",IF('Daily Sale entry '!Q1245="Credit Sale 赊销",'Daily Sale entry '!S1245,0))</f>
        <v/>
      </c>
      <c r="E1245">
        <f>IF(C1245="","",IF('Daily Sale entry '!Q1245="Collection 收款",'Daily Sale entry '!S1245,0))</f>
        <v/>
      </c>
      <c r="F1245" s="37">
        <f>IF(C1245="","",B1245+IF(E1245&gt;0,0,0.5)+ROW()/10000000)</f>
        <v/>
      </c>
      <c r="G1245">
        <f>IF(C1245="","",'Daily Sale entry '!Q1245&amp;IF('Daily Sale entry '!Q1245="Collection 收款"," ("&amp;'Daily Sale entry '!R1245&amp;")","")&amp;IF('Daily Sale entry '!U1245="",""," - "&amp;'Daily Sale entry '!U1245))</f>
        <v/>
      </c>
      <c r="H1245">
        <f>IF(C1245="","",COUNTIFS($C$2:$C$3001,C1245,$F$2:$F$3001,"&lt;"&amp;F1245)+1)</f>
        <v/>
      </c>
      <c r="I1245">
        <f>IF(C1245="","",C1245&amp;"|"&amp;H1245)</f>
        <v/>
      </c>
      <c r="J1245" s="6">
        <f>IF(C1245="","",IF(H1245=1,SUMIFS('Opening Balance'!$F$4:$F$303,'Opening Balance'!$G$4:$G$303,C1245),INDEX($L$2:$L$3001,MATCH(C1245&amp;"|"&amp;(H1245-1),$I$2:$I$3001,0))))</f>
        <v/>
      </c>
      <c r="K1245" s="6">
        <f>IF(C1245="","",IF(M1245&gt;0,M1245,IF(AND(E1245&gt;0,ROUND(J1245+D1245-E1245,2)&gt;0,ROUND(J1245+D1245-E1245,2)&lt;'Opening Balance'!$B$14),ROUND(J1245+D1245-E1245,2),0)))</f>
        <v/>
      </c>
      <c r="L1245" s="6">
        <f>IF(C1245="","",ROUND(J1245+D1245-E1245-K1245,2))</f>
        <v/>
      </c>
      <c r="M1245" s="6">
        <f>IF(C1245="","",IF('Daily Sale entry '!Q1245="Collection 收款",ROUND(N('Daily Sale entry '!T1245),2),0))</f>
        <v/>
      </c>
    </row>
    <row r="1246">
      <c r="A1246" t="inlineStr">
        <is>
          <t>Entry 记录</t>
        </is>
      </c>
      <c r="B1246" s="5">
        <f>IF('Daily Sale entry '!P1246="","",'Daily Sale entry '!O1246)</f>
        <v/>
      </c>
      <c r="C1246">
        <f>IF('Daily Sale entry '!P1246="","",'Daily Sale entry '!P1246)</f>
        <v/>
      </c>
      <c r="D1246">
        <f>IF(C1246="","",IF('Daily Sale entry '!Q1246="Credit Sale 赊销",'Daily Sale entry '!S1246,0))</f>
        <v/>
      </c>
      <c r="E1246">
        <f>IF(C1246="","",IF('Daily Sale entry '!Q1246="Collection 收款",'Daily Sale entry '!S1246,0))</f>
        <v/>
      </c>
      <c r="F1246" s="37">
        <f>IF(C1246="","",B1246+IF(E1246&gt;0,0,0.5)+ROW()/10000000)</f>
        <v/>
      </c>
      <c r="G1246">
        <f>IF(C1246="","",'Daily Sale entry '!Q1246&amp;IF('Daily Sale entry '!Q1246="Collection 收款"," ("&amp;'Daily Sale entry '!R1246&amp;")","")&amp;IF('Daily Sale entry '!U1246="",""," - "&amp;'Daily Sale entry '!U1246))</f>
        <v/>
      </c>
      <c r="H1246">
        <f>IF(C1246="","",COUNTIFS($C$2:$C$3001,C1246,$F$2:$F$3001,"&lt;"&amp;F1246)+1)</f>
        <v/>
      </c>
      <c r="I1246">
        <f>IF(C1246="","",C1246&amp;"|"&amp;H1246)</f>
        <v/>
      </c>
      <c r="J1246" s="6">
        <f>IF(C1246="","",IF(H1246=1,SUMIFS('Opening Balance'!$F$4:$F$303,'Opening Balance'!$G$4:$G$303,C1246),INDEX($L$2:$L$3001,MATCH(C1246&amp;"|"&amp;(H1246-1),$I$2:$I$3001,0))))</f>
        <v/>
      </c>
      <c r="K1246" s="6">
        <f>IF(C1246="","",IF(M1246&gt;0,M1246,IF(AND(E1246&gt;0,ROUND(J1246+D1246-E1246,2)&gt;0,ROUND(J1246+D1246-E1246,2)&lt;'Opening Balance'!$B$14),ROUND(J1246+D1246-E1246,2),0)))</f>
        <v/>
      </c>
      <c r="L1246" s="6">
        <f>IF(C1246="","",ROUND(J1246+D1246-E1246-K1246,2))</f>
        <v/>
      </c>
      <c r="M1246" s="6">
        <f>IF(C1246="","",IF('Daily Sale entry '!Q1246="Collection 收款",ROUND(N('Daily Sale entry '!T1246),2),0))</f>
        <v/>
      </c>
    </row>
    <row r="1247">
      <c r="A1247" t="inlineStr">
        <is>
          <t>Entry 记录</t>
        </is>
      </c>
      <c r="B1247" s="5">
        <f>IF('Daily Sale entry '!P1247="","",'Daily Sale entry '!O1247)</f>
        <v/>
      </c>
      <c r="C1247">
        <f>IF('Daily Sale entry '!P1247="","",'Daily Sale entry '!P1247)</f>
        <v/>
      </c>
      <c r="D1247">
        <f>IF(C1247="","",IF('Daily Sale entry '!Q1247="Credit Sale 赊销",'Daily Sale entry '!S1247,0))</f>
        <v/>
      </c>
      <c r="E1247">
        <f>IF(C1247="","",IF('Daily Sale entry '!Q1247="Collection 收款",'Daily Sale entry '!S1247,0))</f>
        <v/>
      </c>
      <c r="F1247" s="37">
        <f>IF(C1247="","",B1247+IF(E1247&gt;0,0,0.5)+ROW()/10000000)</f>
        <v/>
      </c>
      <c r="G1247">
        <f>IF(C1247="","",'Daily Sale entry '!Q1247&amp;IF('Daily Sale entry '!Q1247="Collection 收款"," ("&amp;'Daily Sale entry '!R1247&amp;")","")&amp;IF('Daily Sale entry '!U1247="",""," - "&amp;'Daily Sale entry '!U1247))</f>
        <v/>
      </c>
      <c r="H1247">
        <f>IF(C1247="","",COUNTIFS($C$2:$C$3001,C1247,$F$2:$F$3001,"&lt;"&amp;F1247)+1)</f>
        <v/>
      </c>
      <c r="I1247">
        <f>IF(C1247="","",C1247&amp;"|"&amp;H1247)</f>
        <v/>
      </c>
      <c r="J1247" s="6">
        <f>IF(C1247="","",IF(H1247=1,SUMIFS('Opening Balance'!$F$4:$F$303,'Opening Balance'!$G$4:$G$303,C1247),INDEX($L$2:$L$3001,MATCH(C1247&amp;"|"&amp;(H1247-1),$I$2:$I$3001,0))))</f>
        <v/>
      </c>
      <c r="K1247" s="6">
        <f>IF(C1247="","",IF(M1247&gt;0,M1247,IF(AND(E1247&gt;0,ROUND(J1247+D1247-E1247,2)&gt;0,ROUND(J1247+D1247-E1247,2)&lt;'Opening Balance'!$B$14),ROUND(J1247+D1247-E1247,2),0)))</f>
        <v/>
      </c>
      <c r="L1247" s="6">
        <f>IF(C1247="","",ROUND(J1247+D1247-E1247-K1247,2))</f>
        <v/>
      </c>
      <c r="M1247" s="6">
        <f>IF(C1247="","",IF('Daily Sale entry '!Q1247="Collection 收款",ROUND(N('Daily Sale entry '!T1247),2),0))</f>
        <v/>
      </c>
    </row>
    <row r="1248">
      <c r="A1248" t="inlineStr">
        <is>
          <t>Entry 记录</t>
        </is>
      </c>
      <c r="B1248" s="5">
        <f>IF('Daily Sale entry '!P1248="","",'Daily Sale entry '!O1248)</f>
        <v/>
      </c>
      <c r="C1248">
        <f>IF('Daily Sale entry '!P1248="","",'Daily Sale entry '!P1248)</f>
        <v/>
      </c>
      <c r="D1248">
        <f>IF(C1248="","",IF('Daily Sale entry '!Q1248="Credit Sale 赊销",'Daily Sale entry '!S1248,0))</f>
        <v/>
      </c>
      <c r="E1248">
        <f>IF(C1248="","",IF('Daily Sale entry '!Q1248="Collection 收款",'Daily Sale entry '!S1248,0))</f>
        <v/>
      </c>
      <c r="F1248" s="37">
        <f>IF(C1248="","",B1248+IF(E1248&gt;0,0,0.5)+ROW()/10000000)</f>
        <v/>
      </c>
      <c r="G1248">
        <f>IF(C1248="","",'Daily Sale entry '!Q1248&amp;IF('Daily Sale entry '!Q1248="Collection 收款"," ("&amp;'Daily Sale entry '!R1248&amp;")","")&amp;IF('Daily Sale entry '!U1248="",""," - "&amp;'Daily Sale entry '!U1248))</f>
        <v/>
      </c>
      <c r="H1248">
        <f>IF(C1248="","",COUNTIFS($C$2:$C$3001,C1248,$F$2:$F$3001,"&lt;"&amp;F1248)+1)</f>
        <v/>
      </c>
      <c r="I1248">
        <f>IF(C1248="","",C1248&amp;"|"&amp;H1248)</f>
        <v/>
      </c>
      <c r="J1248" s="6">
        <f>IF(C1248="","",IF(H1248=1,SUMIFS('Opening Balance'!$F$4:$F$303,'Opening Balance'!$G$4:$G$303,C1248),INDEX($L$2:$L$3001,MATCH(C1248&amp;"|"&amp;(H1248-1),$I$2:$I$3001,0))))</f>
        <v/>
      </c>
      <c r="K1248" s="6">
        <f>IF(C1248="","",IF(M1248&gt;0,M1248,IF(AND(E1248&gt;0,ROUND(J1248+D1248-E1248,2)&gt;0,ROUND(J1248+D1248-E1248,2)&lt;'Opening Balance'!$B$14),ROUND(J1248+D1248-E1248,2),0)))</f>
        <v/>
      </c>
      <c r="L1248" s="6">
        <f>IF(C1248="","",ROUND(J1248+D1248-E1248-K1248,2))</f>
        <v/>
      </c>
      <c r="M1248" s="6">
        <f>IF(C1248="","",IF('Daily Sale entry '!Q1248="Collection 收款",ROUND(N('Daily Sale entry '!T1248),2),0))</f>
        <v/>
      </c>
    </row>
    <row r="1249">
      <c r="A1249" t="inlineStr">
        <is>
          <t>Entry 记录</t>
        </is>
      </c>
      <c r="B1249" s="5">
        <f>IF('Daily Sale entry '!P1249="","",'Daily Sale entry '!O1249)</f>
        <v/>
      </c>
      <c r="C1249">
        <f>IF('Daily Sale entry '!P1249="","",'Daily Sale entry '!P1249)</f>
        <v/>
      </c>
      <c r="D1249">
        <f>IF(C1249="","",IF('Daily Sale entry '!Q1249="Credit Sale 赊销",'Daily Sale entry '!S1249,0))</f>
        <v/>
      </c>
      <c r="E1249">
        <f>IF(C1249="","",IF('Daily Sale entry '!Q1249="Collection 收款",'Daily Sale entry '!S1249,0))</f>
        <v/>
      </c>
      <c r="F1249" s="37">
        <f>IF(C1249="","",B1249+IF(E1249&gt;0,0,0.5)+ROW()/10000000)</f>
        <v/>
      </c>
      <c r="G1249">
        <f>IF(C1249="","",'Daily Sale entry '!Q1249&amp;IF('Daily Sale entry '!Q1249="Collection 收款"," ("&amp;'Daily Sale entry '!R1249&amp;")","")&amp;IF('Daily Sale entry '!U1249="",""," - "&amp;'Daily Sale entry '!U1249))</f>
        <v/>
      </c>
      <c r="H1249">
        <f>IF(C1249="","",COUNTIFS($C$2:$C$3001,C1249,$F$2:$F$3001,"&lt;"&amp;F1249)+1)</f>
        <v/>
      </c>
      <c r="I1249">
        <f>IF(C1249="","",C1249&amp;"|"&amp;H1249)</f>
        <v/>
      </c>
      <c r="J1249" s="6">
        <f>IF(C1249="","",IF(H1249=1,SUMIFS('Opening Balance'!$F$4:$F$303,'Opening Balance'!$G$4:$G$303,C1249),INDEX($L$2:$L$3001,MATCH(C1249&amp;"|"&amp;(H1249-1),$I$2:$I$3001,0))))</f>
        <v/>
      </c>
      <c r="K1249" s="6">
        <f>IF(C1249="","",IF(M1249&gt;0,M1249,IF(AND(E1249&gt;0,ROUND(J1249+D1249-E1249,2)&gt;0,ROUND(J1249+D1249-E1249,2)&lt;'Opening Balance'!$B$14),ROUND(J1249+D1249-E1249,2),0)))</f>
        <v/>
      </c>
      <c r="L1249" s="6">
        <f>IF(C1249="","",ROUND(J1249+D1249-E1249-K1249,2))</f>
        <v/>
      </c>
      <c r="M1249" s="6">
        <f>IF(C1249="","",IF('Daily Sale entry '!Q1249="Collection 收款",ROUND(N('Daily Sale entry '!T1249),2),0))</f>
        <v/>
      </c>
    </row>
    <row r="1250">
      <c r="A1250" t="inlineStr">
        <is>
          <t>Entry 记录</t>
        </is>
      </c>
      <c r="B1250" s="5">
        <f>IF('Daily Sale entry '!P1250="","",'Daily Sale entry '!O1250)</f>
        <v/>
      </c>
      <c r="C1250">
        <f>IF('Daily Sale entry '!P1250="","",'Daily Sale entry '!P1250)</f>
        <v/>
      </c>
      <c r="D1250">
        <f>IF(C1250="","",IF('Daily Sale entry '!Q1250="Credit Sale 赊销",'Daily Sale entry '!S1250,0))</f>
        <v/>
      </c>
      <c r="E1250">
        <f>IF(C1250="","",IF('Daily Sale entry '!Q1250="Collection 收款",'Daily Sale entry '!S1250,0))</f>
        <v/>
      </c>
      <c r="F1250" s="37">
        <f>IF(C1250="","",B1250+IF(E1250&gt;0,0,0.5)+ROW()/10000000)</f>
        <v/>
      </c>
      <c r="G1250">
        <f>IF(C1250="","",'Daily Sale entry '!Q1250&amp;IF('Daily Sale entry '!Q1250="Collection 收款"," ("&amp;'Daily Sale entry '!R1250&amp;")","")&amp;IF('Daily Sale entry '!U1250="",""," - "&amp;'Daily Sale entry '!U1250))</f>
        <v/>
      </c>
      <c r="H1250">
        <f>IF(C1250="","",COUNTIFS($C$2:$C$3001,C1250,$F$2:$F$3001,"&lt;"&amp;F1250)+1)</f>
        <v/>
      </c>
      <c r="I1250">
        <f>IF(C1250="","",C1250&amp;"|"&amp;H1250)</f>
        <v/>
      </c>
      <c r="J1250" s="6">
        <f>IF(C1250="","",IF(H1250=1,SUMIFS('Opening Balance'!$F$4:$F$303,'Opening Balance'!$G$4:$G$303,C1250),INDEX($L$2:$L$3001,MATCH(C1250&amp;"|"&amp;(H1250-1),$I$2:$I$3001,0))))</f>
        <v/>
      </c>
      <c r="K1250" s="6">
        <f>IF(C1250="","",IF(M1250&gt;0,M1250,IF(AND(E1250&gt;0,ROUND(J1250+D1250-E1250,2)&gt;0,ROUND(J1250+D1250-E1250,2)&lt;'Opening Balance'!$B$14),ROUND(J1250+D1250-E1250,2),0)))</f>
        <v/>
      </c>
      <c r="L1250" s="6">
        <f>IF(C1250="","",ROUND(J1250+D1250-E1250-K1250,2))</f>
        <v/>
      </c>
      <c r="M1250" s="6">
        <f>IF(C1250="","",IF('Daily Sale entry '!Q1250="Collection 收款",ROUND(N('Daily Sale entry '!T1250),2),0))</f>
        <v/>
      </c>
    </row>
    <row r="1251">
      <c r="A1251" t="inlineStr">
        <is>
          <t>Entry 记录</t>
        </is>
      </c>
      <c r="B1251" s="5">
        <f>IF('Daily Sale entry '!P1251="","",'Daily Sale entry '!O1251)</f>
        <v/>
      </c>
      <c r="C1251">
        <f>IF('Daily Sale entry '!P1251="","",'Daily Sale entry '!P1251)</f>
        <v/>
      </c>
      <c r="D1251">
        <f>IF(C1251="","",IF('Daily Sale entry '!Q1251="Credit Sale 赊销",'Daily Sale entry '!S1251,0))</f>
        <v/>
      </c>
      <c r="E1251">
        <f>IF(C1251="","",IF('Daily Sale entry '!Q1251="Collection 收款",'Daily Sale entry '!S1251,0))</f>
        <v/>
      </c>
      <c r="F1251" s="37">
        <f>IF(C1251="","",B1251+IF(E1251&gt;0,0,0.5)+ROW()/10000000)</f>
        <v/>
      </c>
      <c r="G1251">
        <f>IF(C1251="","",'Daily Sale entry '!Q1251&amp;IF('Daily Sale entry '!Q1251="Collection 收款"," ("&amp;'Daily Sale entry '!R1251&amp;")","")&amp;IF('Daily Sale entry '!U1251="",""," - "&amp;'Daily Sale entry '!U1251))</f>
        <v/>
      </c>
      <c r="H1251">
        <f>IF(C1251="","",COUNTIFS($C$2:$C$3001,C1251,$F$2:$F$3001,"&lt;"&amp;F1251)+1)</f>
        <v/>
      </c>
      <c r="I1251">
        <f>IF(C1251="","",C1251&amp;"|"&amp;H1251)</f>
        <v/>
      </c>
      <c r="J1251" s="6">
        <f>IF(C1251="","",IF(H1251=1,SUMIFS('Opening Balance'!$F$4:$F$303,'Opening Balance'!$G$4:$G$303,C1251),INDEX($L$2:$L$3001,MATCH(C1251&amp;"|"&amp;(H1251-1),$I$2:$I$3001,0))))</f>
        <v/>
      </c>
      <c r="K1251" s="6">
        <f>IF(C1251="","",IF(M1251&gt;0,M1251,IF(AND(E1251&gt;0,ROUND(J1251+D1251-E1251,2)&gt;0,ROUND(J1251+D1251-E1251,2)&lt;'Opening Balance'!$B$14),ROUND(J1251+D1251-E1251,2),0)))</f>
        <v/>
      </c>
      <c r="L1251" s="6">
        <f>IF(C1251="","",ROUND(J1251+D1251-E1251-K1251,2))</f>
        <v/>
      </c>
      <c r="M1251" s="6">
        <f>IF(C1251="","",IF('Daily Sale entry '!Q1251="Collection 收款",ROUND(N('Daily Sale entry '!T1251),2),0))</f>
        <v/>
      </c>
    </row>
    <row r="1252">
      <c r="A1252" t="inlineStr">
        <is>
          <t>Entry 记录</t>
        </is>
      </c>
      <c r="B1252" s="5">
        <f>IF('Daily Sale entry '!P1252="","",'Daily Sale entry '!O1252)</f>
        <v/>
      </c>
      <c r="C1252">
        <f>IF('Daily Sale entry '!P1252="","",'Daily Sale entry '!P1252)</f>
        <v/>
      </c>
      <c r="D1252">
        <f>IF(C1252="","",IF('Daily Sale entry '!Q1252="Credit Sale 赊销",'Daily Sale entry '!S1252,0))</f>
        <v/>
      </c>
      <c r="E1252">
        <f>IF(C1252="","",IF('Daily Sale entry '!Q1252="Collection 收款",'Daily Sale entry '!S1252,0))</f>
        <v/>
      </c>
      <c r="F1252" s="37">
        <f>IF(C1252="","",B1252+IF(E1252&gt;0,0,0.5)+ROW()/10000000)</f>
        <v/>
      </c>
      <c r="G1252">
        <f>IF(C1252="","",'Daily Sale entry '!Q1252&amp;IF('Daily Sale entry '!Q1252="Collection 收款"," ("&amp;'Daily Sale entry '!R1252&amp;")","")&amp;IF('Daily Sale entry '!U1252="",""," - "&amp;'Daily Sale entry '!U1252))</f>
        <v/>
      </c>
      <c r="H1252">
        <f>IF(C1252="","",COUNTIFS($C$2:$C$3001,C1252,$F$2:$F$3001,"&lt;"&amp;F1252)+1)</f>
        <v/>
      </c>
      <c r="I1252">
        <f>IF(C1252="","",C1252&amp;"|"&amp;H1252)</f>
        <v/>
      </c>
      <c r="J1252" s="6">
        <f>IF(C1252="","",IF(H1252=1,SUMIFS('Opening Balance'!$F$4:$F$303,'Opening Balance'!$G$4:$G$303,C1252),INDEX($L$2:$L$3001,MATCH(C1252&amp;"|"&amp;(H1252-1),$I$2:$I$3001,0))))</f>
        <v/>
      </c>
      <c r="K1252" s="6">
        <f>IF(C1252="","",IF(M1252&gt;0,M1252,IF(AND(E1252&gt;0,ROUND(J1252+D1252-E1252,2)&gt;0,ROUND(J1252+D1252-E1252,2)&lt;'Opening Balance'!$B$14),ROUND(J1252+D1252-E1252,2),0)))</f>
        <v/>
      </c>
      <c r="L1252" s="6">
        <f>IF(C1252="","",ROUND(J1252+D1252-E1252-K1252,2))</f>
        <v/>
      </c>
      <c r="M1252" s="6">
        <f>IF(C1252="","",IF('Daily Sale entry '!Q1252="Collection 收款",ROUND(N('Daily Sale entry '!T1252),2),0))</f>
        <v/>
      </c>
    </row>
    <row r="1253">
      <c r="A1253" t="inlineStr">
        <is>
          <t>Entry 记录</t>
        </is>
      </c>
      <c r="B1253" s="5">
        <f>IF('Daily Sale entry '!P1253="","",'Daily Sale entry '!O1253)</f>
        <v/>
      </c>
      <c r="C1253">
        <f>IF('Daily Sale entry '!P1253="","",'Daily Sale entry '!P1253)</f>
        <v/>
      </c>
      <c r="D1253">
        <f>IF(C1253="","",IF('Daily Sale entry '!Q1253="Credit Sale 赊销",'Daily Sale entry '!S1253,0))</f>
        <v/>
      </c>
      <c r="E1253">
        <f>IF(C1253="","",IF('Daily Sale entry '!Q1253="Collection 收款",'Daily Sale entry '!S1253,0))</f>
        <v/>
      </c>
      <c r="F1253" s="37">
        <f>IF(C1253="","",B1253+IF(E1253&gt;0,0,0.5)+ROW()/10000000)</f>
        <v/>
      </c>
      <c r="G1253">
        <f>IF(C1253="","",'Daily Sale entry '!Q1253&amp;IF('Daily Sale entry '!Q1253="Collection 收款"," ("&amp;'Daily Sale entry '!R1253&amp;")","")&amp;IF('Daily Sale entry '!U1253="",""," - "&amp;'Daily Sale entry '!U1253))</f>
        <v/>
      </c>
      <c r="H1253">
        <f>IF(C1253="","",COUNTIFS($C$2:$C$3001,C1253,$F$2:$F$3001,"&lt;"&amp;F1253)+1)</f>
        <v/>
      </c>
      <c r="I1253">
        <f>IF(C1253="","",C1253&amp;"|"&amp;H1253)</f>
        <v/>
      </c>
      <c r="J1253" s="6">
        <f>IF(C1253="","",IF(H1253=1,SUMIFS('Opening Balance'!$F$4:$F$303,'Opening Balance'!$G$4:$G$303,C1253),INDEX($L$2:$L$3001,MATCH(C1253&amp;"|"&amp;(H1253-1),$I$2:$I$3001,0))))</f>
        <v/>
      </c>
      <c r="K1253" s="6">
        <f>IF(C1253="","",IF(M1253&gt;0,M1253,IF(AND(E1253&gt;0,ROUND(J1253+D1253-E1253,2)&gt;0,ROUND(J1253+D1253-E1253,2)&lt;'Opening Balance'!$B$14),ROUND(J1253+D1253-E1253,2),0)))</f>
        <v/>
      </c>
      <c r="L1253" s="6">
        <f>IF(C1253="","",ROUND(J1253+D1253-E1253-K1253,2))</f>
        <v/>
      </c>
      <c r="M1253" s="6">
        <f>IF(C1253="","",IF('Daily Sale entry '!Q1253="Collection 收款",ROUND(N('Daily Sale entry '!T1253),2),0))</f>
        <v/>
      </c>
    </row>
    <row r="1254">
      <c r="A1254" t="inlineStr">
        <is>
          <t>Entry 记录</t>
        </is>
      </c>
      <c r="B1254" s="5">
        <f>IF('Daily Sale entry '!P1254="","",'Daily Sale entry '!O1254)</f>
        <v/>
      </c>
      <c r="C1254">
        <f>IF('Daily Sale entry '!P1254="","",'Daily Sale entry '!P1254)</f>
        <v/>
      </c>
      <c r="D1254">
        <f>IF(C1254="","",IF('Daily Sale entry '!Q1254="Credit Sale 赊销",'Daily Sale entry '!S1254,0))</f>
        <v/>
      </c>
      <c r="E1254">
        <f>IF(C1254="","",IF('Daily Sale entry '!Q1254="Collection 收款",'Daily Sale entry '!S1254,0))</f>
        <v/>
      </c>
      <c r="F1254" s="37">
        <f>IF(C1254="","",B1254+IF(E1254&gt;0,0,0.5)+ROW()/10000000)</f>
        <v/>
      </c>
      <c r="G1254">
        <f>IF(C1254="","",'Daily Sale entry '!Q1254&amp;IF('Daily Sale entry '!Q1254="Collection 收款"," ("&amp;'Daily Sale entry '!R1254&amp;")","")&amp;IF('Daily Sale entry '!U1254="",""," - "&amp;'Daily Sale entry '!U1254))</f>
        <v/>
      </c>
      <c r="H1254">
        <f>IF(C1254="","",COUNTIFS($C$2:$C$3001,C1254,$F$2:$F$3001,"&lt;"&amp;F1254)+1)</f>
        <v/>
      </c>
      <c r="I1254">
        <f>IF(C1254="","",C1254&amp;"|"&amp;H1254)</f>
        <v/>
      </c>
      <c r="J1254" s="6">
        <f>IF(C1254="","",IF(H1254=1,SUMIFS('Opening Balance'!$F$4:$F$303,'Opening Balance'!$G$4:$G$303,C1254),INDEX($L$2:$L$3001,MATCH(C1254&amp;"|"&amp;(H1254-1),$I$2:$I$3001,0))))</f>
        <v/>
      </c>
      <c r="K1254" s="6">
        <f>IF(C1254="","",IF(M1254&gt;0,M1254,IF(AND(E1254&gt;0,ROUND(J1254+D1254-E1254,2)&gt;0,ROUND(J1254+D1254-E1254,2)&lt;'Opening Balance'!$B$14),ROUND(J1254+D1254-E1254,2),0)))</f>
        <v/>
      </c>
      <c r="L1254" s="6">
        <f>IF(C1254="","",ROUND(J1254+D1254-E1254-K1254,2))</f>
        <v/>
      </c>
      <c r="M1254" s="6">
        <f>IF(C1254="","",IF('Daily Sale entry '!Q1254="Collection 收款",ROUND(N('Daily Sale entry '!T1254),2),0))</f>
        <v/>
      </c>
    </row>
    <row r="1255">
      <c r="A1255" t="inlineStr">
        <is>
          <t>Entry 记录</t>
        </is>
      </c>
      <c r="B1255" s="5">
        <f>IF('Daily Sale entry '!P1255="","",'Daily Sale entry '!O1255)</f>
        <v/>
      </c>
      <c r="C1255">
        <f>IF('Daily Sale entry '!P1255="","",'Daily Sale entry '!P1255)</f>
        <v/>
      </c>
      <c r="D1255">
        <f>IF(C1255="","",IF('Daily Sale entry '!Q1255="Credit Sale 赊销",'Daily Sale entry '!S1255,0))</f>
        <v/>
      </c>
      <c r="E1255">
        <f>IF(C1255="","",IF('Daily Sale entry '!Q1255="Collection 收款",'Daily Sale entry '!S1255,0))</f>
        <v/>
      </c>
      <c r="F1255" s="37">
        <f>IF(C1255="","",B1255+IF(E1255&gt;0,0,0.5)+ROW()/10000000)</f>
        <v/>
      </c>
      <c r="G1255">
        <f>IF(C1255="","",'Daily Sale entry '!Q1255&amp;IF('Daily Sale entry '!Q1255="Collection 收款"," ("&amp;'Daily Sale entry '!R1255&amp;")","")&amp;IF('Daily Sale entry '!U1255="",""," - "&amp;'Daily Sale entry '!U1255))</f>
        <v/>
      </c>
      <c r="H1255">
        <f>IF(C1255="","",COUNTIFS($C$2:$C$3001,C1255,$F$2:$F$3001,"&lt;"&amp;F1255)+1)</f>
        <v/>
      </c>
      <c r="I1255">
        <f>IF(C1255="","",C1255&amp;"|"&amp;H1255)</f>
        <v/>
      </c>
      <c r="J1255" s="6">
        <f>IF(C1255="","",IF(H1255=1,SUMIFS('Opening Balance'!$F$4:$F$303,'Opening Balance'!$G$4:$G$303,C1255),INDEX($L$2:$L$3001,MATCH(C1255&amp;"|"&amp;(H1255-1),$I$2:$I$3001,0))))</f>
        <v/>
      </c>
      <c r="K1255" s="6">
        <f>IF(C1255="","",IF(M1255&gt;0,M1255,IF(AND(E1255&gt;0,ROUND(J1255+D1255-E1255,2)&gt;0,ROUND(J1255+D1255-E1255,2)&lt;'Opening Balance'!$B$14),ROUND(J1255+D1255-E1255,2),0)))</f>
        <v/>
      </c>
      <c r="L1255" s="6">
        <f>IF(C1255="","",ROUND(J1255+D1255-E1255-K1255,2))</f>
        <v/>
      </c>
      <c r="M1255" s="6">
        <f>IF(C1255="","",IF('Daily Sale entry '!Q1255="Collection 收款",ROUND(N('Daily Sale entry '!T1255),2),0))</f>
        <v/>
      </c>
    </row>
    <row r="1256">
      <c r="A1256" t="inlineStr">
        <is>
          <t>Entry 记录</t>
        </is>
      </c>
      <c r="B1256" s="5">
        <f>IF('Daily Sale entry '!P1256="","",'Daily Sale entry '!O1256)</f>
        <v/>
      </c>
      <c r="C1256">
        <f>IF('Daily Sale entry '!P1256="","",'Daily Sale entry '!P1256)</f>
        <v/>
      </c>
      <c r="D1256">
        <f>IF(C1256="","",IF('Daily Sale entry '!Q1256="Credit Sale 赊销",'Daily Sale entry '!S1256,0))</f>
        <v/>
      </c>
      <c r="E1256">
        <f>IF(C1256="","",IF('Daily Sale entry '!Q1256="Collection 收款",'Daily Sale entry '!S1256,0))</f>
        <v/>
      </c>
      <c r="F1256" s="37">
        <f>IF(C1256="","",B1256+IF(E1256&gt;0,0,0.5)+ROW()/10000000)</f>
        <v/>
      </c>
      <c r="G1256">
        <f>IF(C1256="","",'Daily Sale entry '!Q1256&amp;IF('Daily Sale entry '!Q1256="Collection 收款"," ("&amp;'Daily Sale entry '!R1256&amp;")","")&amp;IF('Daily Sale entry '!U1256="",""," - "&amp;'Daily Sale entry '!U1256))</f>
        <v/>
      </c>
      <c r="H1256">
        <f>IF(C1256="","",COUNTIFS($C$2:$C$3001,C1256,$F$2:$F$3001,"&lt;"&amp;F1256)+1)</f>
        <v/>
      </c>
      <c r="I1256">
        <f>IF(C1256="","",C1256&amp;"|"&amp;H1256)</f>
        <v/>
      </c>
      <c r="J1256" s="6">
        <f>IF(C1256="","",IF(H1256=1,SUMIFS('Opening Balance'!$F$4:$F$303,'Opening Balance'!$G$4:$G$303,C1256),INDEX($L$2:$L$3001,MATCH(C1256&amp;"|"&amp;(H1256-1),$I$2:$I$3001,0))))</f>
        <v/>
      </c>
      <c r="K1256" s="6">
        <f>IF(C1256="","",IF(M1256&gt;0,M1256,IF(AND(E1256&gt;0,ROUND(J1256+D1256-E1256,2)&gt;0,ROUND(J1256+D1256-E1256,2)&lt;'Opening Balance'!$B$14),ROUND(J1256+D1256-E1256,2),0)))</f>
        <v/>
      </c>
      <c r="L1256" s="6">
        <f>IF(C1256="","",ROUND(J1256+D1256-E1256-K1256,2))</f>
        <v/>
      </c>
      <c r="M1256" s="6">
        <f>IF(C1256="","",IF('Daily Sale entry '!Q1256="Collection 收款",ROUND(N('Daily Sale entry '!T1256),2),0))</f>
        <v/>
      </c>
    </row>
    <row r="1257">
      <c r="A1257" t="inlineStr">
        <is>
          <t>Entry 记录</t>
        </is>
      </c>
      <c r="B1257" s="5">
        <f>IF('Daily Sale entry '!P1257="","",'Daily Sale entry '!O1257)</f>
        <v/>
      </c>
      <c r="C1257">
        <f>IF('Daily Sale entry '!P1257="","",'Daily Sale entry '!P1257)</f>
        <v/>
      </c>
      <c r="D1257">
        <f>IF(C1257="","",IF('Daily Sale entry '!Q1257="Credit Sale 赊销",'Daily Sale entry '!S1257,0))</f>
        <v/>
      </c>
      <c r="E1257">
        <f>IF(C1257="","",IF('Daily Sale entry '!Q1257="Collection 收款",'Daily Sale entry '!S1257,0))</f>
        <v/>
      </c>
      <c r="F1257" s="37">
        <f>IF(C1257="","",B1257+IF(E1257&gt;0,0,0.5)+ROW()/10000000)</f>
        <v/>
      </c>
      <c r="G1257">
        <f>IF(C1257="","",'Daily Sale entry '!Q1257&amp;IF('Daily Sale entry '!Q1257="Collection 收款"," ("&amp;'Daily Sale entry '!R1257&amp;")","")&amp;IF('Daily Sale entry '!U1257="",""," - "&amp;'Daily Sale entry '!U1257))</f>
        <v/>
      </c>
      <c r="H1257">
        <f>IF(C1257="","",COUNTIFS($C$2:$C$3001,C1257,$F$2:$F$3001,"&lt;"&amp;F1257)+1)</f>
        <v/>
      </c>
      <c r="I1257">
        <f>IF(C1257="","",C1257&amp;"|"&amp;H1257)</f>
        <v/>
      </c>
      <c r="J1257" s="6">
        <f>IF(C1257="","",IF(H1257=1,SUMIFS('Opening Balance'!$F$4:$F$303,'Opening Balance'!$G$4:$G$303,C1257),INDEX($L$2:$L$3001,MATCH(C1257&amp;"|"&amp;(H1257-1),$I$2:$I$3001,0))))</f>
        <v/>
      </c>
      <c r="K1257" s="6">
        <f>IF(C1257="","",IF(M1257&gt;0,M1257,IF(AND(E1257&gt;0,ROUND(J1257+D1257-E1257,2)&gt;0,ROUND(J1257+D1257-E1257,2)&lt;'Opening Balance'!$B$14),ROUND(J1257+D1257-E1257,2),0)))</f>
        <v/>
      </c>
      <c r="L1257" s="6">
        <f>IF(C1257="","",ROUND(J1257+D1257-E1257-K1257,2))</f>
        <v/>
      </c>
      <c r="M1257" s="6">
        <f>IF(C1257="","",IF('Daily Sale entry '!Q1257="Collection 收款",ROUND(N('Daily Sale entry '!T1257),2),0))</f>
        <v/>
      </c>
    </row>
    <row r="1258">
      <c r="A1258" t="inlineStr">
        <is>
          <t>Entry 记录</t>
        </is>
      </c>
      <c r="B1258" s="5">
        <f>IF('Daily Sale entry '!P1258="","",'Daily Sale entry '!O1258)</f>
        <v/>
      </c>
      <c r="C1258">
        <f>IF('Daily Sale entry '!P1258="","",'Daily Sale entry '!P1258)</f>
        <v/>
      </c>
      <c r="D1258">
        <f>IF(C1258="","",IF('Daily Sale entry '!Q1258="Credit Sale 赊销",'Daily Sale entry '!S1258,0))</f>
        <v/>
      </c>
      <c r="E1258">
        <f>IF(C1258="","",IF('Daily Sale entry '!Q1258="Collection 收款",'Daily Sale entry '!S1258,0))</f>
        <v/>
      </c>
      <c r="F1258" s="37">
        <f>IF(C1258="","",B1258+IF(E1258&gt;0,0,0.5)+ROW()/10000000)</f>
        <v/>
      </c>
      <c r="G1258">
        <f>IF(C1258="","",'Daily Sale entry '!Q1258&amp;IF('Daily Sale entry '!Q1258="Collection 收款"," ("&amp;'Daily Sale entry '!R1258&amp;")","")&amp;IF('Daily Sale entry '!U1258="",""," - "&amp;'Daily Sale entry '!U1258))</f>
        <v/>
      </c>
      <c r="H1258">
        <f>IF(C1258="","",COUNTIFS($C$2:$C$3001,C1258,$F$2:$F$3001,"&lt;"&amp;F1258)+1)</f>
        <v/>
      </c>
      <c r="I1258">
        <f>IF(C1258="","",C1258&amp;"|"&amp;H1258)</f>
        <v/>
      </c>
      <c r="J1258" s="6">
        <f>IF(C1258="","",IF(H1258=1,SUMIFS('Opening Balance'!$F$4:$F$303,'Opening Balance'!$G$4:$G$303,C1258),INDEX($L$2:$L$3001,MATCH(C1258&amp;"|"&amp;(H1258-1),$I$2:$I$3001,0))))</f>
        <v/>
      </c>
      <c r="K1258" s="6">
        <f>IF(C1258="","",IF(M1258&gt;0,M1258,IF(AND(E1258&gt;0,ROUND(J1258+D1258-E1258,2)&gt;0,ROUND(J1258+D1258-E1258,2)&lt;'Opening Balance'!$B$14),ROUND(J1258+D1258-E1258,2),0)))</f>
        <v/>
      </c>
      <c r="L1258" s="6">
        <f>IF(C1258="","",ROUND(J1258+D1258-E1258-K1258,2))</f>
        <v/>
      </c>
      <c r="M1258" s="6">
        <f>IF(C1258="","",IF('Daily Sale entry '!Q1258="Collection 收款",ROUND(N('Daily Sale entry '!T1258),2),0))</f>
        <v/>
      </c>
    </row>
    <row r="1259">
      <c r="A1259" t="inlineStr">
        <is>
          <t>Entry 记录</t>
        </is>
      </c>
      <c r="B1259" s="5">
        <f>IF('Daily Sale entry '!P1259="","",'Daily Sale entry '!O1259)</f>
        <v/>
      </c>
      <c r="C1259">
        <f>IF('Daily Sale entry '!P1259="","",'Daily Sale entry '!P1259)</f>
        <v/>
      </c>
      <c r="D1259">
        <f>IF(C1259="","",IF('Daily Sale entry '!Q1259="Credit Sale 赊销",'Daily Sale entry '!S1259,0))</f>
        <v/>
      </c>
      <c r="E1259">
        <f>IF(C1259="","",IF('Daily Sale entry '!Q1259="Collection 收款",'Daily Sale entry '!S1259,0))</f>
        <v/>
      </c>
      <c r="F1259" s="37">
        <f>IF(C1259="","",B1259+IF(E1259&gt;0,0,0.5)+ROW()/10000000)</f>
        <v/>
      </c>
      <c r="G1259">
        <f>IF(C1259="","",'Daily Sale entry '!Q1259&amp;IF('Daily Sale entry '!Q1259="Collection 收款"," ("&amp;'Daily Sale entry '!R1259&amp;")","")&amp;IF('Daily Sale entry '!U1259="",""," - "&amp;'Daily Sale entry '!U1259))</f>
        <v/>
      </c>
      <c r="H1259">
        <f>IF(C1259="","",COUNTIFS($C$2:$C$3001,C1259,$F$2:$F$3001,"&lt;"&amp;F1259)+1)</f>
        <v/>
      </c>
      <c r="I1259">
        <f>IF(C1259="","",C1259&amp;"|"&amp;H1259)</f>
        <v/>
      </c>
      <c r="J1259" s="6">
        <f>IF(C1259="","",IF(H1259=1,SUMIFS('Opening Balance'!$F$4:$F$303,'Opening Balance'!$G$4:$G$303,C1259),INDEX($L$2:$L$3001,MATCH(C1259&amp;"|"&amp;(H1259-1),$I$2:$I$3001,0))))</f>
        <v/>
      </c>
      <c r="K1259" s="6">
        <f>IF(C1259="","",IF(M1259&gt;0,M1259,IF(AND(E1259&gt;0,ROUND(J1259+D1259-E1259,2)&gt;0,ROUND(J1259+D1259-E1259,2)&lt;'Opening Balance'!$B$14),ROUND(J1259+D1259-E1259,2),0)))</f>
        <v/>
      </c>
      <c r="L1259" s="6">
        <f>IF(C1259="","",ROUND(J1259+D1259-E1259-K1259,2))</f>
        <v/>
      </c>
      <c r="M1259" s="6">
        <f>IF(C1259="","",IF('Daily Sale entry '!Q1259="Collection 收款",ROUND(N('Daily Sale entry '!T1259),2),0))</f>
        <v/>
      </c>
    </row>
    <row r="1260">
      <c r="A1260" t="inlineStr">
        <is>
          <t>Entry 记录</t>
        </is>
      </c>
      <c r="B1260" s="5">
        <f>IF('Daily Sale entry '!P1260="","",'Daily Sale entry '!O1260)</f>
        <v/>
      </c>
      <c r="C1260">
        <f>IF('Daily Sale entry '!P1260="","",'Daily Sale entry '!P1260)</f>
        <v/>
      </c>
      <c r="D1260">
        <f>IF(C1260="","",IF('Daily Sale entry '!Q1260="Credit Sale 赊销",'Daily Sale entry '!S1260,0))</f>
        <v/>
      </c>
      <c r="E1260">
        <f>IF(C1260="","",IF('Daily Sale entry '!Q1260="Collection 收款",'Daily Sale entry '!S1260,0))</f>
        <v/>
      </c>
      <c r="F1260" s="37">
        <f>IF(C1260="","",B1260+IF(E1260&gt;0,0,0.5)+ROW()/10000000)</f>
        <v/>
      </c>
      <c r="G1260">
        <f>IF(C1260="","",'Daily Sale entry '!Q1260&amp;IF('Daily Sale entry '!Q1260="Collection 收款"," ("&amp;'Daily Sale entry '!R1260&amp;")","")&amp;IF('Daily Sale entry '!U1260="",""," - "&amp;'Daily Sale entry '!U1260))</f>
        <v/>
      </c>
      <c r="H1260">
        <f>IF(C1260="","",COUNTIFS($C$2:$C$3001,C1260,$F$2:$F$3001,"&lt;"&amp;F1260)+1)</f>
        <v/>
      </c>
      <c r="I1260">
        <f>IF(C1260="","",C1260&amp;"|"&amp;H1260)</f>
        <v/>
      </c>
      <c r="J1260" s="6">
        <f>IF(C1260="","",IF(H1260=1,SUMIFS('Opening Balance'!$F$4:$F$303,'Opening Balance'!$G$4:$G$303,C1260),INDEX($L$2:$L$3001,MATCH(C1260&amp;"|"&amp;(H1260-1),$I$2:$I$3001,0))))</f>
        <v/>
      </c>
      <c r="K1260" s="6">
        <f>IF(C1260="","",IF(M1260&gt;0,M1260,IF(AND(E1260&gt;0,ROUND(J1260+D1260-E1260,2)&gt;0,ROUND(J1260+D1260-E1260,2)&lt;'Opening Balance'!$B$14),ROUND(J1260+D1260-E1260,2),0)))</f>
        <v/>
      </c>
      <c r="L1260" s="6">
        <f>IF(C1260="","",ROUND(J1260+D1260-E1260-K1260,2))</f>
        <v/>
      </c>
      <c r="M1260" s="6">
        <f>IF(C1260="","",IF('Daily Sale entry '!Q1260="Collection 收款",ROUND(N('Daily Sale entry '!T1260),2),0))</f>
        <v/>
      </c>
    </row>
    <row r="1261">
      <c r="A1261" t="inlineStr">
        <is>
          <t>Entry 记录</t>
        </is>
      </c>
      <c r="B1261" s="5">
        <f>IF('Daily Sale entry '!P1261="","",'Daily Sale entry '!O1261)</f>
        <v/>
      </c>
      <c r="C1261">
        <f>IF('Daily Sale entry '!P1261="","",'Daily Sale entry '!P1261)</f>
        <v/>
      </c>
      <c r="D1261">
        <f>IF(C1261="","",IF('Daily Sale entry '!Q1261="Credit Sale 赊销",'Daily Sale entry '!S1261,0))</f>
        <v/>
      </c>
      <c r="E1261">
        <f>IF(C1261="","",IF('Daily Sale entry '!Q1261="Collection 收款",'Daily Sale entry '!S1261,0))</f>
        <v/>
      </c>
      <c r="F1261" s="37">
        <f>IF(C1261="","",B1261+IF(E1261&gt;0,0,0.5)+ROW()/10000000)</f>
        <v/>
      </c>
      <c r="G1261">
        <f>IF(C1261="","",'Daily Sale entry '!Q1261&amp;IF('Daily Sale entry '!Q1261="Collection 收款"," ("&amp;'Daily Sale entry '!R1261&amp;")","")&amp;IF('Daily Sale entry '!U1261="",""," - "&amp;'Daily Sale entry '!U1261))</f>
        <v/>
      </c>
      <c r="H1261">
        <f>IF(C1261="","",COUNTIFS($C$2:$C$3001,C1261,$F$2:$F$3001,"&lt;"&amp;F1261)+1)</f>
        <v/>
      </c>
      <c r="I1261">
        <f>IF(C1261="","",C1261&amp;"|"&amp;H1261)</f>
        <v/>
      </c>
      <c r="J1261" s="6">
        <f>IF(C1261="","",IF(H1261=1,SUMIFS('Opening Balance'!$F$4:$F$303,'Opening Balance'!$G$4:$G$303,C1261),INDEX($L$2:$L$3001,MATCH(C1261&amp;"|"&amp;(H1261-1),$I$2:$I$3001,0))))</f>
        <v/>
      </c>
      <c r="K1261" s="6">
        <f>IF(C1261="","",IF(M1261&gt;0,M1261,IF(AND(E1261&gt;0,ROUND(J1261+D1261-E1261,2)&gt;0,ROUND(J1261+D1261-E1261,2)&lt;'Opening Balance'!$B$14),ROUND(J1261+D1261-E1261,2),0)))</f>
        <v/>
      </c>
      <c r="L1261" s="6">
        <f>IF(C1261="","",ROUND(J1261+D1261-E1261-K1261,2))</f>
        <v/>
      </c>
      <c r="M1261" s="6">
        <f>IF(C1261="","",IF('Daily Sale entry '!Q1261="Collection 收款",ROUND(N('Daily Sale entry '!T1261),2),0))</f>
        <v/>
      </c>
    </row>
    <row r="1262">
      <c r="A1262" t="inlineStr">
        <is>
          <t>Entry 记录</t>
        </is>
      </c>
      <c r="B1262" s="5">
        <f>IF('Daily Sale entry '!P1262="","",'Daily Sale entry '!O1262)</f>
        <v/>
      </c>
      <c r="C1262">
        <f>IF('Daily Sale entry '!P1262="","",'Daily Sale entry '!P1262)</f>
        <v/>
      </c>
      <c r="D1262">
        <f>IF(C1262="","",IF('Daily Sale entry '!Q1262="Credit Sale 赊销",'Daily Sale entry '!S1262,0))</f>
        <v/>
      </c>
      <c r="E1262">
        <f>IF(C1262="","",IF('Daily Sale entry '!Q1262="Collection 收款",'Daily Sale entry '!S1262,0))</f>
        <v/>
      </c>
      <c r="F1262" s="37">
        <f>IF(C1262="","",B1262+IF(E1262&gt;0,0,0.5)+ROW()/10000000)</f>
        <v/>
      </c>
      <c r="G1262">
        <f>IF(C1262="","",'Daily Sale entry '!Q1262&amp;IF('Daily Sale entry '!Q1262="Collection 收款"," ("&amp;'Daily Sale entry '!R1262&amp;")","")&amp;IF('Daily Sale entry '!U1262="",""," - "&amp;'Daily Sale entry '!U1262))</f>
        <v/>
      </c>
      <c r="H1262">
        <f>IF(C1262="","",COUNTIFS($C$2:$C$3001,C1262,$F$2:$F$3001,"&lt;"&amp;F1262)+1)</f>
        <v/>
      </c>
      <c r="I1262">
        <f>IF(C1262="","",C1262&amp;"|"&amp;H1262)</f>
        <v/>
      </c>
      <c r="J1262" s="6">
        <f>IF(C1262="","",IF(H1262=1,SUMIFS('Opening Balance'!$F$4:$F$303,'Opening Balance'!$G$4:$G$303,C1262),INDEX($L$2:$L$3001,MATCH(C1262&amp;"|"&amp;(H1262-1),$I$2:$I$3001,0))))</f>
        <v/>
      </c>
      <c r="K1262" s="6">
        <f>IF(C1262="","",IF(M1262&gt;0,M1262,IF(AND(E1262&gt;0,ROUND(J1262+D1262-E1262,2)&gt;0,ROUND(J1262+D1262-E1262,2)&lt;'Opening Balance'!$B$14),ROUND(J1262+D1262-E1262,2),0)))</f>
        <v/>
      </c>
      <c r="L1262" s="6">
        <f>IF(C1262="","",ROUND(J1262+D1262-E1262-K1262,2))</f>
        <v/>
      </c>
      <c r="M1262" s="6">
        <f>IF(C1262="","",IF('Daily Sale entry '!Q1262="Collection 收款",ROUND(N('Daily Sale entry '!T1262),2),0))</f>
        <v/>
      </c>
    </row>
    <row r="1263">
      <c r="A1263" t="inlineStr">
        <is>
          <t>Entry 记录</t>
        </is>
      </c>
      <c r="B1263" s="5">
        <f>IF('Daily Sale entry '!P1263="","",'Daily Sale entry '!O1263)</f>
        <v/>
      </c>
      <c r="C1263">
        <f>IF('Daily Sale entry '!P1263="","",'Daily Sale entry '!P1263)</f>
        <v/>
      </c>
      <c r="D1263">
        <f>IF(C1263="","",IF('Daily Sale entry '!Q1263="Credit Sale 赊销",'Daily Sale entry '!S1263,0))</f>
        <v/>
      </c>
      <c r="E1263">
        <f>IF(C1263="","",IF('Daily Sale entry '!Q1263="Collection 收款",'Daily Sale entry '!S1263,0))</f>
        <v/>
      </c>
      <c r="F1263" s="37">
        <f>IF(C1263="","",B1263+IF(E1263&gt;0,0,0.5)+ROW()/10000000)</f>
        <v/>
      </c>
      <c r="G1263">
        <f>IF(C1263="","",'Daily Sale entry '!Q1263&amp;IF('Daily Sale entry '!Q1263="Collection 收款"," ("&amp;'Daily Sale entry '!R1263&amp;")","")&amp;IF('Daily Sale entry '!U1263="",""," - "&amp;'Daily Sale entry '!U1263))</f>
        <v/>
      </c>
      <c r="H1263">
        <f>IF(C1263="","",COUNTIFS($C$2:$C$3001,C1263,$F$2:$F$3001,"&lt;"&amp;F1263)+1)</f>
        <v/>
      </c>
      <c r="I1263">
        <f>IF(C1263="","",C1263&amp;"|"&amp;H1263)</f>
        <v/>
      </c>
      <c r="J1263" s="6">
        <f>IF(C1263="","",IF(H1263=1,SUMIFS('Opening Balance'!$F$4:$F$303,'Opening Balance'!$G$4:$G$303,C1263),INDEX($L$2:$L$3001,MATCH(C1263&amp;"|"&amp;(H1263-1),$I$2:$I$3001,0))))</f>
        <v/>
      </c>
      <c r="K1263" s="6">
        <f>IF(C1263="","",IF(M1263&gt;0,M1263,IF(AND(E1263&gt;0,ROUND(J1263+D1263-E1263,2)&gt;0,ROUND(J1263+D1263-E1263,2)&lt;'Opening Balance'!$B$14),ROUND(J1263+D1263-E1263,2),0)))</f>
        <v/>
      </c>
      <c r="L1263" s="6">
        <f>IF(C1263="","",ROUND(J1263+D1263-E1263-K1263,2))</f>
        <v/>
      </c>
      <c r="M1263" s="6">
        <f>IF(C1263="","",IF('Daily Sale entry '!Q1263="Collection 收款",ROUND(N('Daily Sale entry '!T1263),2),0))</f>
        <v/>
      </c>
    </row>
    <row r="1264">
      <c r="A1264" t="inlineStr">
        <is>
          <t>Entry 记录</t>
        </is>
      </c>
      <c r="B1264" s="5">
        <f>IF('Daily Sale entry '!P1264="","",'Daily Sale entry '!O1264)</f>
        <v/>
      </c>
      <c r="C1264">
        <f>IF('Daily Sale entry '!P1264="","",'Daily Sale entry '!P1264)</f>
        <v/>
      </c>
      <c r="D1264">
        <f>IF(C1264="","",IF('Daily Sale entry '!Q1264="Credit Sale 赊销",'Daily Sale entry '!S1264,0))</f>
        <v/>
      </c>
      <c r="E1264">
        <f>IF(C1264="","",IF('Daily Sale entry '!Q1264="Collection 收款",'Daily Sale entry '!S1264,0))</f>
        <v/>
      </c>
      <c r="F1264" s="37">
        <f>IF(C1264="","",B1264+IF(E1264&gt;0,0,0.5)+ROW()/10000000)</f>
        <v/>
      </c>
      <c r="G1264">
        <f>IF(C1264="","",'Daily Sale entry '!Q1264&amp;IF('Daily Sale entry '!Q1264="Collection 收款"," ("&amp;'Daily Sale entry '!R1264&amp;")","")&amp;IF('Daily Sale entry '!U1264="",""," - "&amp;'Daily Sale entry '!U1264))</f>
        <v/>
      </c>
      <c r="H1264">
        <f>IF(C1264="","",COUNTIFS($C$2:$C$3001,C1264,$F$2:$F$3001,"&lt;"&amp;F1264)+1)</f>
        <v/>
      </c>
      <c r="I1264">
        <f>IF(C1264="","",C1264&amp;"|"&amp;H1264)</f>
        <v/>
      </c>
      <c r="J1264" s="6">
        <f>IF(C1264="","",IF(H1264=1,SUMIFS('Opening Balance'!$F$4:$F$303,'Opening Balance'!$G$4:$G$303,C1264),INDEX($L$2:$L$3001,MATCH(C1264&amp;"|"&amp;(H1264-1),$I$2:$I$3001,0))))</f>
        <v/>
      </c>
      <c r="K1264" s="6">
        <f>IF(C1264="","",IF(M1264&gt;0,M1264,IF(AND(E1264&gt;0,ROUND(J1264+D1264-E1264,2)&gt;0,ROUND(J1264+D1264-E1264,2)&lt;'Opening Balance'!$B$14),ROUND(J1264+D1264-E1264,2),0)))</f>
        <v/>
      </c>
      <c r="L1264" s="6">
        <f>IF(C1264="","",ROUND(J1264+D1264-E1264-K1264,2))</f>
        <v/>
      </c>
      <c r="M1264" s="6">
        <f>IF(C1264="","",IF('Daily Sale entry '!Q1264="Collection 收款",ROUND(N('Daily Sale entry '!T1264),2),0))</f>
        <v/>
      </c>
    </row>
    <row r="1265">
      <c r="A1265" t="inlineStr">
        <is>
          <t>Entry 记录</t>
        </is>
      </c>
      <c r="B1265" s="5">
        <f>IF('Daily Sale entry '!P1265="","",'Daily Sale entry '!O1265)</f>
        <v/>
      </c>
      <c r="C1265">
        <f>IF('Daily Sale entry '!P1265="","",'Daily Sale entry '!P1265)</f>
        <v/>
      </c>
      <c r="D1265">
        <f>IF(C1265="","",IF('Daily Sale entry '!Q1265="Credit Sale 赊销",'Daily Sale entry '!S1265,0))</f>
        <v/>
      </c>
      <c r="E1265">
        <f>IF(C1265="","",IF('Daily Sale entry '!Q1265="Collection 收款",'Daily Sale entry '!S1265,0))</f>
        <v/>
      </c>
      <c r="F1265" s="37">
        <f>IF(C1265="","",B1265+IF(E1265&gt;0,0,0.5)+ROW()/10000000)</f>
        <v/>
      </c>
      <c r="G1265">
        <f>IF(C1265="","",'Daily Sale entry '!Q1265&amp;IF('Daily Sale entry '!Q1265="Collection 收款"," ("&amp;'Daily Sale entry '!R1265&amp;")","")&amp;IF('Daily Sale entry '!U1265="",""," - "&amp;'Daily Sale entry '!U1265))</f>
        <v/>
      </c>
      <c r="H1265">
        <f>IF(C1265="","",COUNTIFS($C$2:$C$3001,C1265,$F$2:$F$3001,"&lt;"&amp;F1265)+1)</f>
        <v/>
      </c>
      <c r="I1265">
        <f>IF(C1265="","",C1265&amp;"|"&amp;H1265)</f>
        <v/>
      </c>
      <c r="J1265" s="6">
        <f>IF(C1265="","",IF(H1265=1,SUMIFS('Opening Balance'!$F$4:$F$303,'Opening Balance'!$G$4:$G$303,C1265),INDEX($L$2:$L$3001,MATCH(C1265&amp;"|"&amp;(H1265-1),$I$2:$I$3001,0))))</f>
        <v/>
      </c>
      <c r="K1265" s="6">
        <f>IF(C1265="","",IF(M1265&gt;0,M1265,IF(AND(E1265&gt;0,ROUND(J1265+D1265-E1265,2)&gt;0,ROUND(J1265+D1265-E1265,2)&lt;'Opening Balance'!$B$14),ROUND(J1265+D1265-E1265,2),0)))</f>
        <v/>
      </c>
      <c r="L1265" s="6">
        <f>IF(C1265="","",ROUND(J1265+D1265-E1265-K1265,2))</f>
        <v/>
      </c>
      <c r="M1265" s="6">
        <f>IF(C1265="","",IF('Daily Sale entry '!Q1265="Collection 收款",ROUND(N('Daily Sale entry '!T1265),2),0))</f>
        <v/>
      </c>
    </row>
    <row r="1266">
      <c r="A1266" t="inlineStr">
        <is>
          <t>Entry 记录</t>
        </is>
      </c>
      <c r="B1266" s="5">
        <f>IF('Daily Sale entry '!P1266="","",'Daily Sale entry '!O1266)</f>
        <v/>
      </c>
      <c r="C1266">
        <f>IF('Daily Sale entry '!P1266="","",'Daily Sale entry '!P1266)</f>
        <v/>
      </c>
      <c r="D1266">
        <f>IF(C1266="","",IF('Daily Sale entry '!Q1266="Credit Sale 赊销",'Daily Sale entry '!S1266,0))</f>
        <v/>
      </c>
      <c r="E1266">
        <f>IF(C1266="","",IF('Daily Sale entry '!Q1266="Collection 收款",'Daily Sale entry '!S1266,0))</f>
        <v/>
      </c>
      <c r="F1266" s="37">
        <f>IF(C1266="","",B1266+IF(E1266&gt;0,0,0.5)+ROW()/10000000)</f>
        <v/>
      </c>
      <c r="G1266">
        <f>IF(C1266="","",'Daily Sale entry '!Q1266&amp;IF('Daily Sale entry '!Q1266="Collection 收款"," ("&amp;'Daily Sale entry '!R1266&amp;")","")&amp;IF('Daily Sale entry '!U1266="",""," - "&amp;'Daily Sale entry '!U1266))</f>
        <v/>
      </c>
      <c r="H1266">
        <f>IF(C1266="","",COUNTIFS($C$2:$C$3001,C1266,$F$2:$F$3001,"&lt;"&amp;F1266)+1)</f>
        <v/>
      </c>
      <c r="I1266">
        <f>IF(C1266="","",C1266&amp;"|"&amp;H1266)</f>
        <v/>
      </c>
      <c r="J1266" s="6">
        <f>IF(C1266="","",IF(H1266=1,SUMIFS('Opening Balance'!$F$4:$F$303,'Opening Balance'!$G$4:$G$303,C1266),INDEX($L$2:$L$3001,MATCH(C1266&amp;"|"&amp;(H1266-1),$I$2:$I$3001,0))))</f>
        <v/>
      </c>
      <c r="K1266" s="6">
        <f>IF(C1266="","",IF(M1266&gt;0,M1266,IF(AND(E1266&gt;0,ROUND(J1266+D1266-E1266,2)&gt;0,ROUND(J1266+D1266-E1266,2)&lt;'Opening Balance'!$B$14),ROUND(J1266+D1266-E1266,2),0)))</f>
        <v/>
      </c>
      <c r="L1266" s="6">
        <f>IF(C1266="","",ROUND(J1266+D1266-E1266-K1266,2))</f>
        <v/>
      </c>
      <c r="M1266" s="6">
        <f>IF(C1266="","",IF('Daily Sale entry '!Q1266="Collection 收款",ROUND(N('Daily Sale entry '!T1266),2),0))</f>
        <v/>
      </c>
    </row>
    <row r="1267">
      <c r="A1267" t="inlineStr">
        <is>
          <t>Entry 记录</t>
        </is>
      </c>
      <c r="B1267" s="5">
        <f>IF('Daily Sale entry '!P1267="","",'Daily Sale entry '!O1267)</f>
        <v/>
      </c>
      <c r="C1267">
        <f>IF('Daily Sale entry '!P1267="","",'Daily Sale entry '!P1267)</f>
        <v/>
      </c>
      <c r="D1267">
        <f>IF(C1267="","",IF('Daily Sale entry '!Q1267="Credit Sale 赊销",'Daily Sale entry '!S1267,0))</f>
        <v/>
      </c>
      <c r="E1267">
        <f>IF(C1267="","",IF('Daily Sale entry '!Q1267="Collection 收款",'Daily Sale entry '!S1267,0))</f>
        <v/>
      </c>
      <c r="F1267" s="37">
        <f>IF(C1267="","",B1267+IF(E1267&gt;0,0,0.5)+ROW()/10000000)</f>
        <v/>
      </c>
      <c r="G1267">
        <f>IF(C1267="","",'Daily Sale entry '!Q1267&amp;IF('Daily Sale entry '!Q1267="Collection 收款"," ("&amp;'Daily Sale entry '!R1267&amp;")","")&amp;IF('Daily Sale entry '!U1267="",""," - "&amp;'Daily Sale entry '!U1267))</f>
        <v/>
      </c>
      <c r="H1267">
        <f>IF(C1267="","",COUNTIFS($C$2:$C$3001,C1267,$F$2:$F$3001,"&lt;"&amp;F1267)+1)</f>
        <v/>
      </c>
      <c r="I1267">
        <f>IF(C1267="","",C1267&amp;"|"&amp;H1267)</f>
        <v/>
      </c>
      <c r="J1267" s="6">
        <f>IF(C1267="","",IF(H1267=1,SUMIFS('Opening Balance'!$F$4:$F$303,'Opening Balance'!$G$4:$G$303,C1267),INDEX($L$2:$L$3001,MATCH(C1267&amp;"|"&amp;(H1267-1),$I$2:$I$3001,0))))</f>
        <v/>
      </c>
      <c r="K1267" s="6">
        <f>IF(C1267="","",IF(M1267&gt;0,M1267,IF(AND(E1267&gt;0,ROUND(J1267+D1267-E1267,2)&gt;0,ROUND(J1267+D1267-E1267,2)&lt;'Opening Balance'!$B$14),ROUND(J1267+D1267-E1267,2),0)))</f>
        <v/>
      </c>
      <c r="L1267" s="6">
        <f>IF(C1267="","",ROUND(J1267+D1267-E1267-K1267,2))</f>
        <v/>
      </c>
      <c r="M1267" s="6">
        <f>IF(C1267="","",IF('Daily Sale entry '!Q1267="Collection 收款",ROUND(N('Daily Sale entry '!T1267),2),0))</f>
        <v/>
      </c>
    </row>
    <row r="1268">
      <c r="A1268" t="inlineStr">
        <is>
          <t>Entry 记录</t>
        </is>
      </c>
      <c r="B1268" s="5">
        <f>IF('Daily Sale entry '!P1268="","",'Daily Sale entry '!O1268)</f>
        <v/>
      </c>
      <c r="C1268">
        <f>IF('Daily Sale entry '!P1268="","",'Daily Sale entry '!P1268)</f>
        <v/>
      </c>
      <c r="D1268">
        <f>IF(C1268="","",IF('Daily Sale entry '!Q1268="Credit Sale 赊销",'Daily Sale entry '!S1268,0))</f>
        <v/>
      </c>
      <c r="E1268">
        <f>IF(C1268="","",IF('Daily Sale entry '!Q1268="Collection 收款",'Daily Sale entry '!S1268,0))</f>
        <v/>
      </c>
      <c r="F1268" s="37">
        <f>IF(C1268="","",B1268+IF(E1268&gt;0,0,0.5)+ROW()/10000000)</f>
        <v/>
      </c>
      <c r="G1268">
        <f>IF(C1268="","",'Daily Sale entry '!Q1268&amp;IF('Daily Sale entry '!Q1268="Collection 收款"," ("&amp;'Daily Sale entry '!R1268&amp;")","")&amp;IF('Daily Sale entry '!U1268="",""," - "&amp;'Daily Sale entry '!U1268))</f>
        <v/>
      </c>
      <c r="H1268">
        <f>IF(C1268="","",COUNTIFS($C$2:$C$3001,C1268,$F$2:$F$3001,"&lt;"&amp;F1268)+1)</f>
        <v/>
      </c>
      <c r="I1268">
        <f>IF(C1268="","",C1268&amp;"|"&amp;H1268)</f>
        <v/>
      </c>
      <c r="J1268" s="6">
        <f>IF(C1268="","",IF(H1268=1,SUMIFS('Opening Balance'!$F$4:$F$303,'Opening Balance'!$G$4:$G$303,C1268),INDEX($L$2:$L$3001,MATCH(C1268&amp;"|"&amp;(H1268-1),$I$2:$I$3001,0))))</f>
        <v/>
      </c>
      <c r="K1268" s="6">
        <f>IF(C1268="","",IF(M1268&gt;0,M1268,IF(AND(E1268&gt;0,ROUND(J1268+D1268-E1268,2)&gt;0,ROUND(J1268+D1268-E1268,2)&lt;'Opening Balance'!$B$14),ROUND(J1268+D1268-E1268,2),0)))</f>
        <v/>
      </c>
      <c r="L1268" s="6">
        <f>IF(C1268="","",ROUND(J1268+D1268-E1268-K1268,2))</f>
        <v/>
      </c>
      <c r="M1268" s="6">
        <f>IF(C1268="","",IF('Daily Sale entry '!Q1268="Collection 收款",ROUND(N('Daily Sale entry '!T1268),2),0))</f>
        <v/>
      </c>
    </row>
    <row r="1269">
      <c r="A1269" t="inlineStr">
        <is>
          <t>Entry 记录</t>
        </is>
      </c>
      <c r="B1269" s="5">
        <f>IF('Daily Sale entry '!P1269="","",'Daily Sale entry '!O1269)</f>
        <v/>
      </c>
      <c r="C1269">
        <f>IF('Daily Sale entry '!P1269="","",'Daily Sale entry '!P1269)</f>
        <v/>
      </c>
      <c r="D1269">
        <f>IF(C1269="","",IF('Daily Sale entry '!Q1269="Credit Sale 赊销",'Daily Sale entry '!S1269,0))</f>
        <v/>
      </c>
      <c r="E1269">
        <f>IF(C1269="","",IF('Daily Sale entry '!Q1269="Collection 收款",'Daily Sale entry '!S1269,0))</f>
        <v/>
      </c>
      <c r="F1269" s="37">
        <f>IF(C1269="","",B1269+IF(E1269&gt;0,0,0.5)+ROW()/10000000)</f>
        <v/>
      </c>
      <c r="G1269">
        <f>IF(C1269="","",'Daily Sale entry '!Q1269&amp;IF('Daily Sale entry '!Q1269="Collection 收款"," ("&amp;'Daily Sale entry '!R1269&amp;")","")&amp;IF('Daily Sale entry '!U1269="",""," - "&amp;'Daily Sale entry '!U1269))</f>
        <v/>
      </c>
      <c r="H1269">
        <f>IF(C1269="","",COUNTIFS($C$2:$C$3001,C1269,$F$2:$F$3001,"&lt;"&amp;F1269)+1)</f>
        <v/>
      </c>
      <c r="I1269">
        <f>IF(C1269="","",C1269&amp;"|"&amp;H1269)</f>
        <v/>
      </c>
      <c r="J1269" s="6">
        <f>IF(C1269="","",IF(H1269=1,SUMIFS('Opening Balance'!$F$4:$F$303,'Opening Balance'!$G$4:$G$303,C1269),INDEX($L$2:$L$3001,MATCH(C1269&amp;"|"&amp;(H1269-1),$I$2:$I$3001,0))))</f>
        <v/>
      </c>
      <c r="K1269" s="6">
        <f>IF(C1269="","",IF(M1269&gt;0,M1269,IF(AND(E1269&gt;0,ROUND(J1269+D1269-E1269,2)&gt;0,ROUND(J1269+D1269-E1269,2)&lt;'Opening Balance'!$B$14),ROUND(J1269+D1269-E1269,2),0)))</f>
        <v/>
      </c>
      <c r="L1269" s="6">
        <f>IF(C1269="","",ROUND(J1269+D1269-E1269-K1269,2))</f>
        <v/>
      </c>
      <c r="M1269" s="6">
        <f>IF(C1269="","",IF('Daily Sale entry '!Q1269="Collection 收款",ROUND(N('Daily Sale entry '!T1269),2),0))</f>
        <v/>
      </c>
    </row>
    <row r="1270">
      <c r="A1270" t="inlineStr">
        <is>
          <t>Entry 记录</t>
        </is>
      </c>
      <c r="B1270" s="5">
        <f>IF('Daily Sale entry '!P1270="","",'Daily Sale entry '!O1270)</f>
        <v/>
      </c>
      <c r="C1270">
        <f>IF('Daily Sale entry '!P1270="","",'Daily Sale entry '!P1270)</f>
        <v/>
      </c>
      <c r="D1270">
        <f>IF(C1270="","",IF('Daily Sale entry '!Q1270="Credit Sale 赊销",'Daily Sale entry '!S1270,0))</f>
        <v/>
      </c>
      <c r="E1270">
        <f>IF(C1270="","",IF('Daily Sale entry '!Q1270="Collection 收款",'Daily Sale entry '!S1270,0))</f>
        <v/>
      </c>
      <c r="F1270" s="37">
        <f>IF(C1270="","",B1270+IF(E1270&gt;0,0,0.5)+ROW()/10000000)</f>
        <v/>
      </c>
      <c r="G1270">
        <f>IF(C1270="","",'Daily Sale entry '!Q1270&amp;IF('Daily Sale entry '!Q1270="Collection 收款"," ("&amp;'Daily Sale entry '!R1270&amp;")","")&amp;IF('Daily Sale entry '!U1270="",""," - "&amp;'Daily Sale entry '!U1270))</f>
        <v/>
      </c>
      <c r="H1270">
        <f>IF(C1270="","",COUNTIFS($C$2:$C$3001,C1270,$F$2:$F$3001,"&lt;"&amp;F1270)+1)</f>
        <v/>
      </c>
      <c r="I1270">
        <f>IF(C1270="","",C1270&amp;"|"&amp;H1270)</f>
        <v/>
      </c>
      <c r="J1270" s="6">
        <f>IF(C1270="","",IF(H1270=1,SUMIFS('Opening Balance'!$F$4:$F$303,'Opening Balance'!$G$4:$G$303,C1270),INDEX($L$2:$L$3001,MATCH(C1270&amp;"|"&amp;(H1270-1),$I$2:$I$3001,0))))</f>
        <v/>
      </c>
      <c r="K1270" s="6">
        <f>IF(C1270="","",IF(M1270&gt;0,M1270,IF(AND(E1270&gt;0,ROUND(J1270+D1270-E1270,2)&gt;0,ROUND(J1270+D1270-E1270,2)&lt;'Opening Balance'!$B$14),ROUND(J1270+D1270-E1270,2),0)))</f>
        <v/>
      </c>
      <c r="L1270" s="6">
        <f>IF(C1270="","",ROUND(J1270+D1270-E1270-K1270,2))</f>
        <v/>
      </c>
      <c r="M1270" s="6">
        <f>IF(C1270="","",IF('Daily Sale entry '!Q1270="Collection 收款",ROUND(N('Daily Sale entry '!T1270),2),0))</f>
        <v/>
      </c>
    </row>
    <row r="1271">
      <c r="A1271" t="inlineStr">
        <is>
          <t>Entry 记录</t>
        </is>
      </c>
      <c r="B1271" s="5">
        <f>IF('Daily Sale entry '!P1271="","",'Daily Sale entry '!O1271)</f>
        <v/>
      </c>
      <c r="C1271">
        <f>IF('Daily Sale entry '!P1271="","",'Daily Sale entry '!P1271)</f>
        <v/>
      </c>
      <c r="D1271">
        <f>IF(C1271="","",IF('Daily Sale entry '!Q1271="Credit Sale 赊销",'Daily Sale entry '!S1271,0))</f>
        <v/>
      </c>
      <c r="E1271">
        <f>IF(C1271="","",IF('Daily Sale entry '!Q1271="Collection 收款",'Daily Sale entry '!S1271,0))</f>
        <v/>
      </c>
      <c r="F1271" s="37">
        <f>IF(C1271="","",B1271+IF(E1271&gt;0,0,0.5)+ROW()/10000000)</f>
        <v/>
      </c>
      <c r="G1271">
        <f>IF(C1271="","",'Daily Sale entry '!Q1271&amp;IF('Daily Sale entry '!Q1271="Collection 收款"," ("&amp;'Daily Sale entry '!R1271&amp;")","")&amp;IF('Daily Sale entry '!U1271="",""," - "&amp;'Daily Sale entry '!U1271))</f>
        <v/>
      </c>
      <c r="H1271">
        <f>IF(C1271="","",COUNTIFS($C$2:$C$3001,C1271,$F$2:$F$3001,"&lt;"&amp;F1271)+1)</f>
        <v/>
      </c>
      <c r="I1271">
        <f>IF(C1271="","",C1271&amp;"|"&amp;H1271)</f>
        <v/>
      </c>
      <c r="J1271" s="6">
        <f>IF(C1271="","",IF(H1271=1,SUMIFS('Opening Balance'!$F$4:$F$303,'Opening Balance'!$G$4:$G$303,C1271),INDEX($L$2:$L$3001,MATCH(C1271&amp;"|"&amp;(H1271-1),$I$2:$I$3001,0))))</f>
        <v/>
      </c>
      <c r="K1271" s="6">
        <f>IF(C1271="","",IF(M1271&gt;0,M1271,IF(AND(E1271&gt;0,ROUND(J1271+D1271-E1271,2)&gt;0,ROUND(J1271+D1271-E1271,2)&lt;'Opening Balance'!$B$14),ROUND(J1271+D1271-E1271,2),0)))</f>
        <v/>
      </c>
      <c r="L1271" s="6">
        <f>IF(C1271="","",ROUND(J1271+D1271-E1271-K1271,2))</f>
        <v/>
      </c>
      <c r="M1271" s="6">
        <f>IF(C1271="","",IF('Daily Sale entry '!Q1271="Collection 收款",ROUND(N('Daily Sale entry '!T1271),2),0))</f>
        <v/>
      </c>
    </row>
    <row r="1272">
      <c r="A1272" t="inlineStr">
        <is>
          <t>Entry 记录</t>
        </is>
      </c>
      <c r="B1272" s="5">
        <f>IF('Daily Sale entry '!P1272="","",'Daily Sale entry '!O1272)</f>
        <v/>
      </c>
      <c r="C1272">
        <f>IF('Daily Sale entry '!P1272="","",'Daily Sale entry '!P1272)</f>
        <v/>
      </c>
      <c r="D1272">
        <f>IF(C1272="","",IF('Daily Sale entry '!Q1272="Credit Sale 赊销",'Daily Sale entry '!S1272,0))</f>
        <v/>
      </c>
      <c r="E1272">
        <f>IF(C1272="","",IF('Daily Sale entry '!Q1272="Collection 收款",'Daily Sale entry '!S1272,0))</f>
        <v/>
      </c>
      <c r="F1272" s="37">
        <f>IF(C1272="","",B1272+IF(E1272&gt;0,0,0.5)+ROW()/10000000)</f>
        <v/>
      </c>
      <c r="G1272">
        <f>IF(C1272="","",'Daily Sale entry '!Q1272&amp;IF('Daily Sale entry '!Q1272="Collection 收款"," ("&amp;'Daily Sale entry '!R1272&amp;")","")&amp;IF('Daily Sale entry '!U1272="",""," - "&amp;'Daily Sale entry '!U1272))</f>
        <v/>
      </c>
      <c r="H1272">
        <f>IF(C1272="","",COUNTIFS($C$2:$C$3001,C1272,$F$2:$F$3001,"&lt;"&amp;F1272)+1)</f>
        <v/>
      </c>
      <c r="I1272">
        <f>IF(C1272="","",C1272&amp;"|"&amp;H1272)</f>
        <v/>
      </c>
      <c r="J1272" s="6">
        <f>IF(C1272="","",IF(H1272=1,SUMIFS('Opening Balance'!$F$4:$F$303,'Opening Balance'!$G$4:$G$303,C1272),INDEX($L$2:$L$3001,MATCH(C1272&amp;"|"&amp;(H1272-1),$I$2:$I$3001,0))))</f>
        <v/>
      </c>
      <c r="K1272" s="6">
        <f>IF(C1272="","",IF(M1272&gt;0,M1272,IF(AND(E1272&gt;0,ROUND(J1272+D1272-E1272,2)&gt;0,ROUND(J1272+D1272-E1272,2)&lt;'Opening Balance'!$B$14),ROUND(J1272+D1272-E1272,2),0)))</f>
        <v/>
      </c>
      <c r="L1272" s="6">
        <f>IF(C1272="","",ROUND(J1272+D1272-E1272-K1272,2))</f>
        <v/>
      </c>
      <c r="M1272" s="6">
        <f>IF(C1272="","",IF('Daily Sale entry '!Q1272="Collection 收款",ROUND(N('Daily Sale entry '!T1272),2),0))</f>
        <v/>
      </c>
    </row>
    <row r="1273">
      <c r="A1273" t="inlineStr">
        <is>
          <t>Entry 记录</t>
        </is>
      </c>
      <c r="B1273" s="5">
        <f>IF('Daily Sale entry '!P1273="","",'Daily Sale entry '!O1273)</f>
        <v/>
      </c>
      <c r="C1273">
        <f>IF('Daily Sale entry '!P1273="","",'Daily Sale entry '!P1273)</f>
        <v/>
      </c>
      <c r="D1273">
        <f>IF(C1273="","",IF('Daily Sale entry '!Q1273="Credit Sale 赊销",'Daily Sale entry '!S1273,0))</f>
        <v/>
      </c>
      <c r="E1273">
        <f>IF(C1273="","",IF('Daily Sale entry '!Q1273="Collection 收款",'Daily Sale entry '!S1273,0))</f>
        <v/>
      </c>
      <c r="F1273" s="37">
        <f>IF(C1273="","",B1273+IF(E1273&gt;0,0,0.5)+ROW()/10000000)</f>
        <v/>
      </c>
      <c r="G1273">
        <f>IF(C1273="","",'Daily Sale entry '!Q1273&amp;IF('Daily Sale entry '!Q1273="Collection 收款"," ("&amp;'Daily Sale entry '!R1273&amp;")","")&amp;IF('Daily Sale entry '!U1273="",""," - "&amp;'Daily Sale entry '!U1273))</f>
        <v/>
      </c>
      <c r="H1273">
        <f>IF(C1273="","",COUNTIFS($C$2:$C$3001,C1273,$F$2:$F$3001,"&lt;"&amp;F1273)+1)</f>
        <v/>
      </c>
      <c r="I1273">
        <f>IF(C1273="","",C1273&amp;"|"&amp;H1273)</f>
        <v/>
      </c>
      <c r="J1273" s="6">
        <f>IF(C1273="","",IF(H1273=1,SUMIFS('Opening Balance'!$F$4:$F$303,'Opening Balance'!$G$4:$G$303,C1273),INDEX($L$2:$L$3001,MATCH(C1273&amp;"|"&amp;(H1273-1),$I$2:$I$3001,0))))</f>
        <v/>
      </c>
      <c r="K1273" s="6">
        <f>IF(C1273="","",IF(M1273&gt;0,M1273,IF(AND(E1273&gt;0,ROUND(J1273+D1273-E1273,2)&gt;0,ROUND(J1273+D1273-E1273,2)&lt;'Opening Balance'!$B$14),ROUND(J1273+D1273-E1273,2),0)))</f>
        <v/>
      </c>
      <c r="L1273" s="6">
        <f>IF(C1273="","",ROUND(J1273+D1273-E1273-K1273,2))</f>
        <v/>
      </c>
      <c r="M1273" s="6">
        <f>IF(C1273="","",IF('Daily Sale entry '!Q1273="Collection 收款",ROUND(N('Daily Sale entry '!T1273),2),0))</f>
        <v/>
      </c>
    </row>
    <row r="1274">
      <c r="A1274" t="inlineStr">
        <is>
          <t>Entry 记录</t>
        </is>
      </c>
      <c r="B1274" s="5">
        <f>IF('Daily Sale entry '!P1274="","",'Daily Sale entry '!O1274)</f>
        <v/>
      </c>
      <c r="C1274">
        <f>IF('Daily Sale entry '!P1274="","",'Daily Sale entry '!P1274)</f>
        <v/>
      </c>
      <c r="D1274">
        <f>IF(C1274="","",IF('Daily Sale entry '!Q1274="Credit Sale 赊销",'Daily Sale entry '!S1274,0))</f>
        <v/>
      </c>
      <c r="E1274">
        <f>IF(C1274="","",IF('Daily Sale entry '!Q1274="Collection 收款",'Daily Sale entry '!S1274,0))</f>
        <v/>
      </c>
      <c r="F1274" s="37">
        <f>IF(C1274="","",B1274+IF(E1274&gt;0,0,0.5)+ROW()/10000000)</f>
        <v/>
      </c>
      <c r="G1274">
        <f>IF(C1274="","",'Daily Sale entry '!Q1274&amp;IF('Daily Sale entry '!Q1274="Collection 收款"," ("&amp;'Daily Sale entry '!R1274&amp;")","")&amp;IF('Daily Sale entry '!U1274="",""," - "&amp;'Daily Sale entry '!U1274))</f>
        <v/>
      </c>
      <c r="H1274">
        <f>IF(C1274="","",COUNTIFS($C$2:$C$3001,C1274,$F$2:$F$3001,"&lt;"&amp;F1274)+1)</f>
        <v/>
      </c>
      <c r="I1274">
        <f>IF(C1274="","",C1274&amp;"|"&amp;H1274)</f>
        <v/>
      </c>
      <c r="J1274" s="6">
        <f>IF(C1274="","",IF(H1274=1,SUMIFS('Opening Balance'!$F$4:$F$303,'Opening Balance'!$G$4:$G$303,C1274),INDEX($L$2:$L$3001,MATCH(C1274&amp;"|"&amp;(H1274-1),$I$2:$I$3001,0))))</f>
        <v/>
      </c>
      <c r="K1274" s="6">
        <f>IF(C1274="","",IF(M1274&gt;0,M1274,IF(AND(E1274&gt;0,ROUND(J1274+D1274-E1274,2)&gt;0,ROUND(J1274+D1274-E1274,2)&lt;'Opening Balance'!$B$14),ROUND(J1274+D1274-E1274,2),0)))</f>
        <v/>
      </c>
      <c r="L1274" s="6">
        <f>IF(C1274="","",ROUND(J1274+D1274-E1274-K1274,2))</f>
        <v/>
      </c>
      <c r="M1274" s="6">
        <f>IF(C1274="","",IF('Daily Sale entry '!Q1274="Collection 收款",ROUND(N('Daily Sale entry '!T1274),2),0))</f>
        <v/>
      </c>
    </row>
    <row r="1275">
      <c r="A1275" t="inlineStr">
        <is>
          <t>Entry 记录</t>
        </is>
      </c>
      <c r="B1275" s="5">
        <f>IF('Daily Sale entry '!P1275="","",'Daily Sale entry '!O1275)</f>
        <v/>
      </c>
      <c r="C1275">
        <f>IF('Daily Sale entry '!P1275="","",'Daily Sale entry '!P1275)</f>
        <v/>
      </c>
      <c r="D1275">
        <f>IF(C1275="","",IF('Daily Sale entry '!Q1275="Credit Sale 赊销",'Daily Sale entry '!S1275,0))</f>
        <v/>
      </c>
      <c r="E1275">
        <f>IF(C1275="","",IF('Daily Sale entry '!Q1275="Collection 收款",'Daily Sale entry '!S1275,0))</f>
        <v/>
      </c>
      <c r="F1275" s="37">
        <f>IF(C1275="","",B1275+IF(E1275&gt;0,0,0.5)+ROW()/10000000)</f>
        <v/>
      </c>
      <c r="G1275">
        <f>IF(C1275="","",'Daily Sale entry '!Q1275&amp;IF('Daily Sale entry '!Q1275="Collection 收款"," ("&amp;'Daily Sale entry '!R1275&amp;")","")&amp;IF('Daily Sale entry '!U1275="",""," - "&amp;'Daily Sale entry '!U1275))</f>
        <v/>
      </c>
      <c r="H1275">
        <f>IF(C1275="","",COUNTIFS($C$2:$C$3001,C1275,$F$2:$F$3001,"&lt;"&amp;F1275)+1)</f>
        <v/>
      </c>
      <c r="I1275">
        <f>IF(C1275="","",C1275&amp;"|"&amp;H1275)</f>
        <v/>
      </c>
      <c r="J1275" s="6">
        <f>IF(C1275="","",IF(H1275=1,SUMIFS('Opening Balance'!$F$4:$F$303,'Opening Balance'!$G$4:$G$303,C1275),INDEX($L$2:$L$3001,MATCH(C1275&amp;"|"&amp;(H1275-1),$I$2:$I$3001,0))))</f>
        <v/>
      </c>
      <c r="K1275" s="6">
        <f>IF(C1275="","",IF(M1275&gt;0,M1275,IF(AND(E1275&gt;0,ROUND(J1275+D1275-E1275,2)&gt;0,ROUND(J1275+D1275-E1275,2)&lt;'Opening Balance'!$B$14),ROUND(J1275+D1275-E1275,2),0)))</f>
        <v/>
      </c>
      <c r="L1275" s="6">
        <f>IF(C1275="","",ROUND(J1275+D1275-E1275-K1275,2))</f>
        <v/>
      </c>
      <c r="M1275" s="6">
        <f>IF(C1275="","",IF('Daily Sale entry '!Q1275="Collection 收款",ROUND(N('Daily Sale entry '!T1275),2),0))</f>
        <v/>
      </c>
    </row>
    <row r="1276">
      <c r="A1276" t="inlineStr">
        <is>
          <t>Entry 记录</t>
        </is>
      </c>
      <c r="B1276" s="5">
        <f>IF('Daily Sale entry '!P1276="","",'Daily Sale entry '!O1276)</f>
        <v/>
      </c>
      <c r="C1276">
        <f>IF('Daily Sale entry '!P1276="","",'Daily Sale entry '!P1276)</f>
        <v/>
      </c>
      <c r="D1276">
        <f>IF(C1276="","",IF('Daily Sale entry '!Q1276="Credit Sale 赊销",'Daily Sale entry '!S1276,0))</f>
        <v/>
      </c>
      <c r="E1276">
        <f>IF(C1276="","",IF('Daily Sale entry '!Q1276="Collection 收款",'Daily Sale entry '!S1276,0))</f>
        <v/>
      </c>
      <c r="F1276" s="37">
        <f>IF(C1276="","",B1276+IF(E1276&gt;0,0,0.5)+ROW()/10000000)</f>
        <v/>
      </c>
      <c r="G1276">
        <f>IF(C1276="","",'Daily Sale entry '!Q1276&amp;IF('Daily Sale entry '!Q1276="Collection 收款"," ("&amp;'Daily Sale entry '!R1276&amp;")","")&amp;IF('Daily Sale entry '!U1276="",""," - "&amp;'Daily Sale entry '!U1276))</f>
        <v/>
      </c>
      <c r="H1276">
        <f>IF(C1276="","",COUNTIFS($C$2:$C$3001,C1276,$F$2:$F$3001,"&lt;"&amp;F1276)+1)</f>
        <v/>
      </c>
      <c r="I1276">
        <f>IF(C1276="","",C1276&amp;"|"&amp;H1276)</f>
        <v/>
      </c>
      <c r="J1276" s="6">
        <f>IF(C1276="","",IF(H1276=1,SUMIFS('Opening Balance'!$F$4:$F$303,'Opening Balance'!$G$4:$G$303,C1276),INDEX($L$2:$L$3001,MATCH(C1276&amp;"|"&amp;(H1276-1),$I$2:$I$3001,0))))</f>
        <v/>
      </c>
      <c r="K1276" s="6">
        <f>IF(C1276="","",IF(M1276&gt;0,M1276,IF(AND(E1276&gt;0,ROUND(J1276+D1276-E1276,2)&gt;0,ROUND(J1276+D1276-E1276,2)&lt;'Opening Balance'!$B$14),ROUND(J1276+D1276-E1276,2),0)))</f>
        <v/>
      </c>
      <c r="L1276" s="6">
        <f>IF(C1276="","",ROUND(J1276+D1276-E1276-K1276,2))</f>
        <v/>
      </c>
      <c r="M1276" s="6">
        <f>IF(C1276="","",IF('Daily Sale entry '!Q1276="Collection 收款",ROUND(N('Daily Sale entry '!T1276),2),0))</f>
        <v/>
      </c>
    </row>
    <row r="1277">
      <c r="A1277" t="inlineStr">
        <is>
          <t>Entry 记录</t>
        </is>
      </c>
      <c r="B1277" s="5">
        <f>IF('Daily Sale entry '!P1277="","",'Daily Sale entry '!O1277)</f>
        <v/>
      </c>
      <c r="C1277">
        <f>IF('Daily Sale entry '!P1277="","",'Daily Sale entry '!P1277)</f>
        <v/>
      </c>
      <c r="D1277">
        <f>IF(C1277="","",IF('Daily Sale entry '!Q1277="Credit Sale 赊销",'Daily Sale entry '!S1277,0))</f>
        <v/>
      </c>
      <c r="E1277">
        <f>IF(C1277="","",IF('Daily Sale entry '!Q1277="Collection 收款",'Daily Sale entry '!S1277,0))</f>
        <v/>
      </c>
      <c r="F1277" s="37">
        <f>IF(C1277="","",B1277+IF(E1277&gt;0,0,0.5)+ROW()/10000000)</f>
        <v/>
      </c>
      <c r="G1277">
        <f>IF(C1277="","",'Daily Sale entry '!Q1277&amp;IF('Daily Sale entry '!Q1277="Collection 收款"," ("&amp;'Daily Sale entry '!R1277&amp;")","")&amp;IF('Daily Sale entry '!U1277="",""," - "&amp;'Daily Sale entry '!U1277))</f>
        <v/>
      </c>
      <c r="H1277">
        <f>IF(C1277="","",COUNTIFS($C$2:$C$3001,C1277,$F$2:$F$3001,"&lt;"&amp;F1277)+1)</f>
        <v/>
      </c>
      <c r="I1277">
        <f>IF(C1277="","",C1277&amp;"|"&amp;H1277)</f>
        <v/>
      </c>
      <c r="J1277" s="6">
        <f>IF(C1277="","",IF(H1277=1,SUMIFS('Opening Balance'!$F$4:$F$303,'Opening Balance'!$G$4:$G$303,C1277),INDEX($L$2:$L$3001,MATCH(C1277&amp;"|"&amp;(H1277-1),$I$2:$I$3001,0))))</f>
        <v/>
      </c>
      <c r="K1277" s="6">
        <f>IF(C1277="","",IF(M1277&gt;0,M1277,IF(AND(E1277&gt;0,ROUND(J1277+D1277-E1277,2)&gt;0,ROUND(J1277+D1277-E1277,2)&lt;'Opening Balance'!$B$14),ROUND(J1277+D1277-E1277,2),0)))</f>
        <v/>
      </c>
      <c r="L1277" s="6">
        <f>IF(C1277="","",ROUND(J1277+D1277-E1277-K1277,2))</f>
        <v/>
      </c>
      <c r="M1277" s="6">
        <f>IF(C1277="","",IF('Daily Sale entry '!Q1277="Collection 收款",ROUND(N('Daily Sale entry '!T1277),2),0))</f>
        <v/>
      </c>
    </row>
    <row r="1278">
      <c r="A1278" t="inlineStr">
        <is>
          <t>Entry 记录</t>
        </is>
      </c>
      <c r="B1278" s="5">
        <f>IF('Daily Sale entry '!P1278="","",'Daily Sale entry '!O1278)</f>
        <v/>
      </c>
      <c r="C1278">
        <f>IF('Daily Sale entry '!P1278="","",'Daily Sale entry '!P1278)</f>
        <v/>
      </c>
      <c r="D1278">
        <f>IF(C1278="","",IF('Daily Sale entry '!Q1278="Credit Sale 赊销",'Daily Sale entry '!S1278,0))</f>
        <v/>
      </c>
      <c r="E1278">
        <f>IF(C1278="","",IF('Daily Sale entry '!Q1278="Collection 收款",'Daily Sale entry '!S1278,0))</f>
        <v/>
      </c>
      <c r="F1278" s="37">
        <f>IF(C1278="","",B1278+IF(E1278&gt;0,0,0.5)+ROW()/10000000)</f>
        <v/>
      </c>
      <c r="G1278">
        <f>IF(C1278="","",'Daily Sale entry '!Q1278&amp;IF('Daily Sale entry '!Q1278="Collection 收款"," ("&amp;'Daily Sale entry '!R1278&amp;")","")&amp;IF('Daily Sale entry '!U1278="",""," - "&amp;'Daily Sale entry '!U1278))</f>
        <v/>
      </c>
      <c r="H1278">
        <f>IF(C1278="","",COUNTIFS($C$2:$C$3001,C1278,$F$2:$F$3001,"&lt;"&amp;F1278)+1)</f>
        <v/>
      </c>
      <c r="I1278">
        <f>IF(C1278="","",C1278&amp;"|"&amp;H1278)</f>
        <v/>
      </c>
      <c r="J1278" s="6">
        <f>IF(C1278="","",IF(H1278=1,SUMIFS('Opening Balance'!$F$4:$F$303,'Opening Balance'!$G$4:$G$303,C1278),INDEX($L$2:$L$3001,MATCH(C1278&amp;"|"&amp;(H1278-1),$I$2:$I$3001,0))))</f>
        <v/>
      </c>
      <c r="K1278" s="6">
        <f>IF(C1278="","",IF(M1278&gt;0,M1278,IF(AND(E1278&gt;0,ROUND(J1278+D1278-E1278,2)&gt;0,ROUND(J1278+D1278-E1278,2)&lt;'Opening Balance'!$B$14),ROUND(J1278+D1278-E1278,2),0)))</f>
        <v/>
      </c>
      <c r="L1278" s="6">
        <f>IF(C1278="","",ROUND(J1278+D1278-E1278-K1278,2))</f>
        <v/>
      </c>
      <c r="M1278" s="6">
        <f>IF(C1278="","",IF('Daily Sale entry '!Q1278="Collection 收款",ROUND(N('Daily Sale entry '!T1278),2),0))</f>
        <v/>
      </c>
    </row>
    <row r="1279">
      <c r="A1279" t="inlineStr">
        <is>
          <t>Entry 记录</t>
        </is>
      </c>
      <c r="B1279" s="5">
        <f>IF('Daily Sale entry '!P1279="","",'Daily Sale entry '!O1279)</f>
        <v/>
      </c>
      <c r="C1279">
        <f>IF('Daily Sale entry '!P1279="","",'Daily Sale entry '!P1279)</f>
        <v/>
      </c>
      <c r="D1279">
        <f>IF(C1279="","",IF('Daily Sale entry '!Q1279="Credit Sale 赊销",'Daily Sale entry '!S1279,0))</f>
        <v/>
      </c>
      <c r="E1279">
        <f>IF(C1279="","",IF('Daily Sale entry '!Q1279="Collection 收款",'Daily Sale entry '!S1279,0))</f>
        <v/>
      </c>
      <c r="F1279" s="37">
        <f>IF(C1279="","",B1279+IF(E1279&gt;0,0,0.5)+ROW()/10000000)</f>
        <v/>
      </c>
      <c r="G1279">
        <f>IF(C1279="","",'Daily Sale entry '!Q1279&amp;IF('Daily Sale entry '!Q1279="Collection 收款"," ("&amp;'Daily Sale entry '!R1279&amp;")","")&amp;IF('Daily Sale entry '!U1279="",""," - "&amp;'Daily Sale entry '!U1279))</f>
        <v/>
      </c>
      <c r="H1279">
        <f>IF(C1279="","",COUNTIFS($C$2:$C$3001,C1279,$F$2:$F$3001,"&lt;"&amp;F1279)+1)</f>
        <v/>
      </c>
      <c r="I1279">
        <f>IF(C1279="","",C1279&amp;"|"&amp;H1279)</f>
        <v/>
      </c>
      <c r="J1279" s="6">
        <f>IF(C1279="","",IF(H1279=1,SUMIFS('Opening Balance'!$F$4:$F$303,'Opening Balance'!$G$4:$G$303,C1279),INDEX($L$2:$L$3001,MATCH(C1279&amp;"|"&amp;(H1279-1),$I$2:$I$3001,0))))</f>
        <v/>
      </c>
      <c r="K1279" s="6">
        <f>IF(C1279="","",IF(M1279&gt;0,M1279,IF(AND(E1279&gt;0,ROUND(J1279+D1279-E1279,2)&gt;0,ROUND(J1279+D1279-E1279,2)&lt;'Opening Balance'!$B$14),ROUND(J1279+D1279-E1279,2),0)))</f>
        <v/>
      </c>
      <c r="L1279" s="6">
        <f>IF(C1279="","",ROUND(J1279+D1279-E1279-K1279,2))</f>
        <v/>
      </c>
      <c r="M1279" s="6">
        <f>IF(C1279="","",IF('Daily Sale entry '!Q1279="Collection 收款",ROUND(N('Daily Sale entry '!T1279),2),0))</f>
        <v/>
      </c>
    </row>
    <row r="1280">
      <c r="A1280" t="inlineStr">
        <is>
          <t>Entry 记录</t>
        </is>
      </c>
      <c r="B1280" s="5">
        <f>IF('Daily Sale entry '!P1280="","",'Daily Sale entry '!O1280)</f>
        <v/>
      </c>
      <c r="C1280">
        <f>IF('Daily Sale entry '!P1280="","",'Daily Sale entry '!P1280)</f>
        <v/>
      </c>
      <c r="D1280">
        <f>IF(C1280="","",IF('Daily Sale entry '!Q1280="Credit Sale 赊销",'Daily Sale entry '!S1280,0))</f>
        <v/>
      </c>
      <c r="E1280">
        <f>IF(C1280="","",IF('Daily Sale entry '!Q1280="Collection 收款",'Daily Sale entry '!S1280,0))</f>
        <v/>
      </c>
      <c r="F1280" s="37">
        <f>IF(C1280="","",B1280+IF(E1280&gt;0,0,0.5)+ROW()/10000000)</f>
        <v/>
      </c>
      <c r="G1280">
        <f>IF(C1280="","",'Daily Sale entry '!Q1280&amp;IF('Daily Sale entry '!Q1280="Collection 收款"," ("&amp;'Daily Sale entry '!R1280&amp;")","")&amp;IF('Daily Sale entry '!U1280="",""," - "&amp;'Daily Sale entry '!U1280))</f>
        <v/>
      </c>
      <c r="H1280">
        <f>IF(C1280="","",COUNTIFS($C$2:$C$3001,C1280,$F$2:$F$3001,"&lt;"&amp;F1280)+1)</f>
        <v/>
      </c>
      <c r="I1280">
        <f>IF(C1280="","",C1280&amp;"|"&amp;H1280)</f>
        <v/>
      </c>
      <c r="J1280" s="6">
        <f>IF(C1280="","",IF(H1280=1,SUMIFS('Opening Balance'!$F$4:$F$303,'Opening Balance'!$G$4:$G$303,C1280),INDEX($L$2:$L$3001,MATCH(C1280&amp;"|"&amp;(H1280-1),$I$2:$I$3001,0))))</f>
        <v/>
      </c>
      <c r="K1280" s="6">
        <f>IF(C1280="","",IF(M1280&gt;0,M1280,IF(AND(E1280&gt;0,ROUND(J1280+D1280-E1280,2)&gt;0,ROUND(J1280+D1280-E1280,2)&lt;'Opening Balance'!$B$14),ROUND(J1280+D1280-E1280,2),0)))</f>
        <v/>
      </c>
      <c r="L1280" s="6">
        <f>IF(C1280="","",ROUND(J1280+D1280-E1280-K1280,2))</f>
        <v/>
      </c>
      <c r="M1280" s="6">
        <f>IF(C1280="","",IF('Daily Sale entry '!Q1280="Collection 收款",ROUND(N('Daily Sale entry '!T1280),2),0))</f>
        <v/>
      </c>
    </row>
    <row r="1281">
      <c r="A1281" t="inlineStr">
        <is>
          <t>Entry 记录</t>
        </is>
      </c>
      <c r="B1281" s="5">
        <f>IF('Daily Sale entry '!P1281="","",'Daily Sale entry '!O1281)</f>
        <v/>
      </c>
      <c r="C1281">
        <f>IF('Daily Sale entry '!P1281="","",'Daily Sale entry '!P1281)</f>
        <v/>
      </c>
      <c r="D1281">
        <f>IF(C1281="","",IF('Daily Sale entry '!Q1281="Credit Sale 赊销",'Daily Sale entry '!S1281,0))</f>
        <v/>
      </c>
      <c r="E1281">
        <f>IF(C1281="","",IF('Daily Sale entry '!Q1281="Collection 收款",'Daily Sale entry '!S1281,0))</f>
        <v/>
      </c>
      <c r="F1281" s="37">
        <f>IF(C1281="","",B1281+IF(E1281&gt;0,0,0.5)+ROW()/10000000)</f>
        <v/>
      </c>
      <c r="G1281">
        <f>IF(C1281="","",'Daily Sale entry '!Q1281&amp;IF('Daily Sale entry '!Q1281="Collection 收款"," ("&amp;'Daily Sale entry '!R1281&amp;")","")&amp;IF('Daily Sale entry '!U1281="",""," - "&amp;'Daily Sale entry '!U1281))</f>
        <v/>
      </c>
      <c r="H1281">
        <f>IF(C1281="","",COUNTIFS($C$2:$C$3001,C1281,$F$2:$F$3001,"&lt;"&amp;F1281)+1)</f>
        <v/>
      </c>
      <c r="I1281">
        <f>IF(C1281="","",C1281&amp;"|"&amp;H1281)</f>
        <v/>
      </c>
      <c r="J1281" s="6">
        <f>IF(C1281="","",IF(H1281=1,SUMIFS('Opening Balance'!$F$4:$F$303,'Opening Balance'!$G$4:$G$303,C1281),INDEX($L$2:$L$3001,MATCH(C1281&amp;"|"&amp;(H1281-1),$I$2:$I$3001,0))))</f>
        <v/>
      </c>
      <c r="K1281" s="6">
        <f>IF(C1281="","",IF(M1281&gt;0,M1281,IF(AND(E1281&gt;0,ROUND(J1281+D1281-E1281,2)&gt;0,ROUND(J1281+D1281-E1281,2)&lt;'Opening Balance'!$B$14),ROUND(J1281+D1281-E1281,2),0)))</f>
        <v/>
      </c>
      <c r="L1281" s="6">
        <f>IF(C1281="","",ROUND(J1281+D1281-E1281-K1281,2))</f>
        <v/>
      </c>
      <c r="M1281" s="6">
        <f>IF(C1281="","",IF('Daily Sale entry '!Q1281="Collection 收款",ROUND(N('Daily Sale entry '!T1281),2),0))</f>
        <v/>
      </c>
    </row>
    <row r="1282">
      <c r="A1282" t="inlineStr">
        <is>
          <t>Entry 记录</t>
        </is>
      </c>
      <c r="B1282" s="5">
        <f>IF('Daily Sale entry '!P1282="","",'Daily Sale entry '!O1282)</f>
        <v/>
      </c>
      <c r="C1282">
        <f>IF('Daily Sale entry '!P1282="","",'Daily Sale entry '!P1282)</f>
        <v/>
      </c>
      <c r="D1282">
        <f>IF(C1282="","",IF('Daily Sale entry '!Q1282="Credit Sale 赊销",'Daily Sale entry '!S1282,0))</f>
        <v/>
      </c>
      <c r="E1282">
        <f>IF(C1282="","",IF('Daily Sale entry '!Q1282="Collection 收款",'Daily Sale entry '!S1282,0))</f>
        <v/>
      </c>
      <c r="F1282" s="37">
        <f>IF(C1282="","",B1282+IF(E1282&gt;0,0,0.5)+ROW()/10000000)</f>
        <v/>
      </c>
      <c r="G1282">
        <f>IF(C1282="","",'Daily Sale entry '!Q1282&amp;IF('Daily Sale entry '!Q1282="Collection 收款"," ("&amp;'Daily Sale entry '!R1282&amp;")","")&amp;IF('Daily Sale entry '!U1282="",""," - "&amp;'Daily Sale entry '!U1282))</f>
        <v/>
      </c>
      <c r="H1282">
        <f>IF(C1282="","",COUNTIFS($C$2:$C$3001,C1282,$F$2:$F$3001,"&lt;"&amp;F1282)+1)</f>
        <v/>
      </c>
      <c r="I1282">
        <f>IF(C1282="","",C1282&amp;"|"&amp;H1282)</f>
        <v/>
      </c>
      <c r="J1282" s="6">
        <f>IF(C1282="","",IF(H1282=1,SUMIFS('Opening Balance'!$F$4:$F$303,'Opening Balance'!$G$4:$G$303,C1282),INDEX($L$2:$L$3001,MATCH(C1282&amp;"|"&amp;(H1282-1),$I$2:$I$3001,0))))</f>
        <v/>
      </c>
      <c r="K1282" s="6">
        <f>IF(C1282="","",IF(M1282&gt;0,M1282,IF(AND(E1282&gt;0,ROUND(J1282+D1282-E1282,2)&gt;0,ROUND(J1282+D1282-E1282,2)&lt;'Opening Balance'!$B$14),ROUND(J1282+D1282-E1282,2),0)))</f>
        <v/>
      </c>
      <c r="L1282" s="6">
        <f>IF(C1282="","",ROUND(J1282+D1282-E1282-K1282,2))</f>
        <v/>
      </c>
      <c r="M1282" s="6">
        <f>IF(C1282="","",IF('Daily Sale entry '!Q1282="Collection 收款",ROUND(N('Daily Sale entry '!T1282),2),0))</f>
        <v/>
      </c>
    </row>
    <row r="1283">
      <c r="A1283" t="inlineStr">
        <is>
          <t>Entry 记录</t>
        </is>
      </c>
      <c r="B1283" s="5">
        <f>IF('Daily Sale entry '!P1283="","",'Daily Sale entry '!O1283)</f>
        <v/>
      </c>
      <c r="C1283">
        <f>IF('Daily Sale entry '!P1283="","",'Daily Sale entry '!P1283)</f>
        <v/>
      </c>
      <c r="D1283">
        <f>IF(C1283="","",IF('Daily Sale entry '!Q1283="Credit Sale 赊销",'Daily Sale entry '!S1283,0))</f>
        <v/>
      </c>
      <c r="E1283">
        <f>IF(C1283="","",IF('Daily Sale entry '!Q1283="Collection 收款",'Daily Sale entry '!S1283,0))</f>
        <v/>
      </c>
      <c r="F1283" s="37">
        <f>IF(C1283="","",B1283+IF(E1283&gt;0,0,0.5)+ROW()/10000000)</f>
        <v/>
      </c>
      <c r="G1283">
        <f>IF(C1283="","",'Daily Sale entry '!Q1283&amp;IF('Daily Sale entry '!Q1283="Collection 收款"," ("&amp;'Daily Sale entry '!R1283&amp;")","")&amp;IF('Daily Sale entry '!U1283="",""," - "&amp;'Daily Sale entry '!U1283))</f>
        <v/>
      </c>
      <c r="H1283">
        <f>IF(C1283="","",COUNTIFS($C$2:$C$3001,C1283,$F$2:$F$3001,"&lt;"&amp;F1283)+1)</f>
        <v/>
      </c>
      <c r="I1283">
        <f>IF(C1283="","",C1283&amp;"|"&amp;H1283)</f>
        <v/>
      </c>
      <c r="J1283" s="6">
        <f>IF(C1283="","",IF(H1283=1,SUMIFS('Opening Balance'!$F$4:$F$303,'Opening Balance'!$G$4:$G$303,C1283),INDEX($L$2:$L$3001,MATCH(C1283&amp;"|"&amp;(H1283-1),$I$2:$I$3001,0))))</f>
        <v/>
      </c>
      <c r="K1283" s="6">
        <f>IF(C1283="","",IF(M1283&gt;0,M1283,IF(AND(E1283&gt;0,ROUND(J1283+D1283-E1283,2)&gt;0,ROUND(J1283+D1283-E1283,2)&lt;'Opening Balance'!$B$14),ROUND(J1283+D1283-E1283,2),0)))</f>
        <v/>
      </c>
      <c r="L1283" s="6">
        <f>IF(C1283="","",ROUND(J1283+D1283-E1283-K1283,2))</f>
        <v/>
      </c>
      <c r="M1283" s="6">
        <f>IF(C1283="","",IF('Daily Sale entry '!Q1283="Collection 收款",ROUND(N('Daily Sale entry '!T1283),2),0))</f>
        <v/>
      </c>
    </row>
    <row r="1284">
      <c r="A1284" t="inlineStr">
        <is>
          <t>Entry 记录</t>
        </is>
      </c>
      <c r="B1284" s="5">
        <f>IF('Daily Sale entry '!P1284="","",'Daily Sale entry '!O1284)</f>
        <v/>
      </c>
      <c r="C1284">
        <f>IF('Daily Sale entry '!P1284="","",'Daily Sale entry '!P1284)</f>
        <v/>
      </c>
      <c r="D1284">
        <f>IF(C1284="","",IF('Daily Sale entry '!Q1284="Credit Sale 赊销",'Daily Sale entry '!S1284,0))</f>
        <v/>
      </c>
      <c r="E1284">
        <f>IF(C1284="","",IF('Daily Sale entry '!Q1284="Collection 收款",'Daily Sale entry '!S1284,0))</f>
        <v/>
      </c>
      <c r="F1284" s="37">
        <f>IF(C1284="","",B1284+IF(E1284&gt;0,0,0.5)+ROW()/10000000)</f>
        <v/>
      </c>
      <c r="G1284">
        <f>IF(C1284="","",'Daily Sale entry '!Q1284&amp;IF('Daily Sale entry '!Q1284="Collection 收款"," ("&amp;'Daily Sale entry '!R1284&amp;")","")&amp;IF('Daily Sale entry '!U1284="",""," - "&amp;'Daily Sale entry '!U1284))</f>
        <v/>
      </c>
      <c r="H1284">
        <f>IF(C1284="","",COUNTIFS($C$2:$C$3001,C1284,$F$2:$F$3001,"&lt;"&amp;F1284)+1)</f>
        <v/>
      </c>
      <c r="I1284">
        <f>IF(C1284="","",C1284&amp;"|"&amp;H1284)</f>
        <v/>
      </c>
      <c r="J1284" s="6">
        <f>IF(C1284="","",IF(H1284=1,SUMIFS('Opening Balance'!$F$4:$F$303,'Opening Balance'!$G$4:$G$303,C1284),INDEX($L$2:$L$3001,MATCH(C1284&amp;"|"&amp;(H1284-1),$I$2:$I$3001,0))))</f>
        <v/>
      </c>
      <c r="K1284" s="6">
        <f>IF(C1284="","",IF(M1284&gt;0,M1284,IF(AND(E1284&gt;0,ROUND(J1284+D1284-E1284,2)&gt;0,ROUND(J1284+D1284-E1284,2)&lt;'Opening Balance'!$B$14),ROUND(J1284+D1284-E1284,2),0)))</f>
        <v/>
      </c>
      <c r="L1284" s="6">
        <f>IF(C1284="","",ROUND(J1284+D1284-E1284-K1284,2))</f>
        <v/>
      </c>
      <c r="M1284" s="6">
        <f>IF(C1284="","",IF('Daily Sale entry '!Q1284="Collection 收款",ROUND(N('Daily Sale entry '!T1284),2),0))</f>
        <v/>
      </c>
    </row>
    <row r="1285">
      <c r="A1285" t="inlineStr">
        <is>
          <t>Entry 记录</t>
        </is>
      </c>
      <c r="B1285" s="5">
        <f>IF('Daily Sale entry '!P1285="","",'Daily Sale entry '!O1285)</f>
        <v/>
      </c>
      <c r="C1285">
        <f>IF('Daily Sale entry '!P1285="","",'Daily Sale entry '!P1285)</f>
        <v/>
      </c>
      <c r="D1285">
        <f>IF(C1285="","",IF('Daily Sale entry '!Q1285="Credit Sale 赊销",'Daily Sale entry '!S1285,0))</f>
        <v/>
      </c>
      <c r="E1285">
        <f>IF(C1285="","",IF('Daily Sale entry '!Q1285="Collection 收款",'Daily Sale entry '!S1285,0))</f>
        <v/>
      </c>
      <c r="F1285" s="37">
        <f>IF(C1285="","",B1285+IF(E1285&gt;0,0,0.5)+ROW()/10000000)</f>
        <v/>
      </c>
      <c r="G1285">
        <f>IF(C1285="","",'Daily Sale entry '!Q1285&amp;IF('Daily Sale entry '!Q1285="Collection 收款"," ("&amp;'Daily Sale entry '!R1285&amp;")","")&amp;IF('Daily Sale entry '!U1285="",""," - "&amp;'Daily Sale entry '!U1285))</f>
        <v/>
      </c>
      <c r="H1285">
        <f>IF(C1285="","",COUNTIFS($C$2:$C$3001,C1285,$F$2:$F$3001,"&lt;"&amp;F1285)+1)</f>
        <v/>
      </c>
      <c r="I1285">
        <f>IF(C1285="","",C1285&amp;"|"&amp;H1285)</f>
        <v/>
      </c>
      <c r="J1285" s="6">
        <f>IF(C1285="","",IF(H1285=1,SUMIFS('Opening Balance'!$F$4:$F$303,'Opening Balance'!$G$4:$G$303,C1285),INDEX($L$2:$L$3001,MATCH(C1285&amp;"|"&amp;(H1285-1),$I$2:$I$3001,0))))</f>
        <v/>
      </c>
      <c r="K1285" s="6">
        <f>IF(C1285="","",IF(M1285&gt;0,M1285,IF(AND(E1285&gt;0,ROUND(J1285+D1285-E1285,2)&gt;0,ROUND(J1285+D1285-E1285,2)&lt;'Opening Balance'!$B$14),ROUND(J1285+D1285-E1285,2),0)))</f>
        <v/>
      </c>
      <c r="L1285" s="6">
        <f>IF(C1285="","",ROUND(J1285+D1285-E1285-K1285,2))</f>
        <v/>
      </c>
      <c r="M1285" s="6">
        <f>IF(C1285="","",IF('Daily Sale entry '!Q1285="Collection 收款",ROUND(N('Daily Sale entry '!T1285),2),0))</f>
        <v/>
      </c>
    </row>
    <row r="1286">
      <c r="A1286" t="inlineStr">
        <is>
          <t>Entry 记录</t>
        </is>
      </c>
      <c r="B1286" s="5">
        <f>IF('Daily Sale entry '!P1286="","",'Daily Sale entry '!O1286)</f>
        <v/>
      </c>
      <c r="C1286">
        <f>IF('Daily Sale entry '!P1286="","",'Daily Sale entry '!P1286)</f>
        <v/>
      </c>
      <c r="D1286">
        <f>IF(C1286="","",IF('Daily Sale entry '!Q1286="Credit Sale 赊销",'Daily Sale entry '!S1286,0))</f>
        <v/>
      </c>
      <c r="E1286">
        <f>IF(C1286="","",IF('Daily Sale entry '!Q1286="Collection 收款",'Daily Sale entry '!S1286,0))</f>
        <v/>
      </c>
      <c r="F1286" s="37">
        <f>IF(C1286="","",B1286+IF(E1286&gt;0,0,0.5)+ROW()/10000000)</f>
        <v/>
      </c>
      <c r="G1286">
        <f>IF(C1286="","",'Daily Sale entry '!Q1286&amp;IF('Daily Sale entry '!Q1286="Collection 收款"," ("&amp;'Daily Sale entry '!R1286&amp;")","")&amp;IF('Daily Sale entry '!U1286="",""," - "&amp;'Daily Sale entry '!U1286))</f>
        <v/>
      </c>
      <c r="H1286">
        <f>IF(C1286="","",COUNTIFS($C$2:$C$3001,C1286,$F$2:$F$3001,"&lt;"&amp;F1286)+1)</f>
        <v/>
      </c>
      <c r="I1286">
        <f>IF(C1286="","",C1286&amp;"|"&amp;H1286)</f>
        <v/>
      </c>
      <c r="J1286" s="6">
        <f>IF(C1286="","",IF(H1286=1,SUMIFS('Opening Balance'!$F$4:$F$303,'Opening Balance'!$G$4:$G$303,C1286),INDEX($L$2:$L$3001,MATCH(C1286&amp;"|"&amp;(H1286-1),$I$2:$I$3001,0))))</f>
        <v/>
      </c>
      <c r="K1286" s="6">
        <f>IF(C1286="","",IF(M1286&gt;0,M1286,IF(AND(E1286&gt;0,ROUND(J1286+D1286-E1286,2)&gt;0,ROUND(J1286+D1286-E1286,2)&lt;'Opening Balance'!$B$14),ROUND(J1286+D1286-E1286,2),0)))</f>
        <v/>
      </c>
      <c r="L1286" s="6">
        <f>IF(C1286="","",ROUND(J1286+D1286-E1286-K1286,2))</f>
        <v/>
      </c>
      <c r="M1286" s="6">
        <f>IF(C1286="","",IF('Daily Sale entry '!Q1286="Collection 收款",ROUND(N('Daily Sale entry '!T1286),2),0))</f>
        <v/>
      </c>
    </row>
    <row r="1287">
      <c r="A1287" t="inlineStr">
        <is>
          <t>Entry 记录</t>
        </is>
      </c>
      <c r="B1287" s="5">
        <f>IF('Daily Sale entry '!P1287="","",'Daily Sale entry '!O1287)</f>
        <v/>
      </c>
      <c r="C1287">
        <f>IF('Daily Sale entry '!P1287="","",'Daily Sale entry '!P1287)</f>
        <v/>
      </c>
      <c r="D1287">
        <f>IF(C1287="","",IF('Daily Sale entry '!Q1287="Credit Sale 赊销",'Daily Sale entry '!S1287,0))</f>
        <v/>
      </c>
      <c r="E1287">
        <f>IF(C1287="","",IF('Daily Sale entry '!Q1287="Collection 收款",'Daily Sale entry '!S1287,0))</f>
        <v/>
      </c>
      <c r="F1287" s="37">
        <f>IF(C1287="","",B1287+IF(E1287&gt;0,0,0.5)+ROW()/10000000)</f>
        <v/>
      </c>
      <c r="G1287">
        <f>IF(C1287="","",'Daily Sale entry '!Q1287&amp;IF('Daily Sale entry '!Q1287="Collection 收款"," ("&amp;'Daily Sale entry '!R1287&amp;")","")&amp;IF('Daily Sale entry '!U1287="",""," - "&amp;'Daily Sale entry '!U1287))</f>
        <v/>
      </c>
      <c r="H1287">
        <f>IF(C1287="","",COUNTIFS($C$2:$C$3001,C1287,$F$2:$F$3001,"&lt;"&amp;F1287)+1)</f>
        <v/>
      </c>
      <c r="I1287">
        <f>IF(C1287="","",C1287&amp;"|"&amp;H1287)</f>
        <v/>
      </c>
      <c r="J1287" s="6">
        <f>IF(C1287="","",IF(H1287=1,SUMIFS('Opening Balance'!$F$4:$F$303,'Opening Balance'!$G$4:$G$303,C1287),INDEX($L$2:$L$3001,MATCH(C1287&amp;"|"&amp;(H1287-1),$I$2:$I$3001,0))))</f>
        <v/>
      </c>
      <c r="K1287" s="6">
        <f>IF(C1287="","",IF(M1287&gt;0,M1287,IF(AND(E1287&gt;0,ROUND(J1287+D1287-E1287,2)&gt;0,ROUND(J1287+D1287-E1287,2)&lt;'Opening Balance'!$B$14),ROUND(J1287+D1287-E1287,2),0)))</f>
        <v/>
      </c>
      <c r="L1287" s="6">
        <f>IF(C1287="","",ROUND(J1287+D1287-E1287-K1287,2))</f>
        <v/>
      </c>
      <c r="M1287" s="6">
        <f>IF(C1287="","",IF('Daily Sale entry '!Q1287="Collection 收款",ROUND(N('Daily Sale entry '!T1287),2),0))</f>
        <v/>
      </c>
    </row>
    <row r="1288">
      <c r="A1288" t="inlineStr">
        <is>
          <t>Entry 记录</t>
        </is>
      </c>
      <c r="B1288" s="5">
        <f>IF('Daily Sale entry '!P1288="","",'Daily Sale entry '!O1288)</f>
        <v/>
      </c>
      <c r="C1288">
        <f>IF('Daily Sale entry '!P1288="","",'Daily Sale entry '!P1288)</f>
        <v/>
      </c>
      <c r="D1288">
        <f>IF(C1288="","",IF('Daily Sale entry '!Q1288="Credit Sale 赊销",'Daily Sale entry '!S1288,0))</f>
        <v/>
      </c>
      <c r="E1288">
        <f>IF(C1288="","",IF('Daily Sale entry '!Q1288="Collection 收款",'Daily Sale entry '!S1288,0))</f>
        <v/>
      </c>
      <c r="F1288" s="37">
        <f>IF(C1288="","",B1288+IF(E1288&gt;0,0,0.5)+ROW()/10000000)</f>
        <v/>
      </c>
      <c r="G1288">
        <f>IF(C1288="","",'Daily Sale entry '!Q1288&amp;IF('Daily Sale entry '!Q1288="Collection 收款"," ("&amp;'Daily Sale entry '!R1288&amp;")","")&amp;IF('Daily Sale entry '!U1288="",""," - "&amp;'Daily Sale entry '!U1288))</f>
        <v/>
      </c>
      <c r="H1288">
        <f>IF(C1288="","",COUNTIFS($C$2:$C$3001,C1288,$F$2:$F$3001,"&lt;"&amp;F1288)+1)</f>
        <v/>
      </c>
      <c r="I1288">
        <f>IF(C1288="","",C1288&amp;"|"&amp;H1288)</f>
        <v/>
      </c>
      <c r="J1288" s="6">
        <f>IF(C1288="","",IF(H1288=1,SUMIFS('Opening Balance'!$F$4:$F$303,'Opening Balance'!$G$4:$G$303,C1288),INDEX($L$2:$L$3001,MATCH(C1288&amp;"|"&amp;(H1288-1),$I$2:$I$3001,0))))</f>
        <v/>
      </c>
      <c r="K1288" s="6">
        <f>IF(C1288="","",IF(M1288&gt;0,M1288,IF(AND(E1288&gt;0,ROUND(J1288+D1288-E1288,2)&gt;0,ROUND(J1288+D1288-E1288,2)&lt;'Opening Balance'!$B$14),ROUND(J1288+D1288-E1288,2),0)))</f>
        <v/>
      </c>
      <c r="L1288" s="6">
        <f>IF(C1288="","",ROUND(J1288+D1288-E1288-K1288,2))</f>
        <v/>
      </c>
      <c r="M1288" s="6">
        <f>IF(C1288="","",IF('Daily Sale entry '!Q1288="Collection 收款",ROUND(N('Daily Sale entry '!T1288),2),0))</f>
        <v/>
      </c>
    </row>
    <row r="1289">
      <c r="A1289" t="inlineStr">
        <is>
          <t>Entry 记录</t>
        </is>
      </c>
      <c r="B1289" s="5">
        <f>IF('Daily Sale entry '!P1289="","",'Daily Sale entry '!O1289)</f>
        <v/>
      </c>
      <c r="C1289">
        <f>IF('Daily Sale entry '!P1289="","",'Daily Sale entry '!P1289)</f>
        <v/>
      </c>
      <c r="D1289">
        <f>IF(C1289="","",IF('Daily Sale entry '!Q1289="Credit Sale 赊销",'Daily Sale entry '!S1289,0))</f>
        <v/>
      </c>
      <c r="E1289">
        <f>IF(C1289="","",IF('Daily Sale entry '!Q1289="Collection 收款",'Daily Sale entry '!S1289,0))</f>
        <v/>
      </c>
      <c r="F1289" s="37">
        <f>IF(C1289="","",B1289+IF(E1289&gt;0,0,0.5)+ROW()/10000000)</f>
        <v/>
      </c>
      <c r="G1289">
        <f>IF(C1289="","",'Daily Sale entry '!Q1289&amp;IF('Daily Sale entry '!Q1289="Collection 收款"," ("&amp;'Daily Sale entry '!R1289&amp;")","")&amp;IF('Daily Sale entry '!U1289="",""," - "&amp;'Daily Sale entry '!U1289))</f>
        <v/>
      </c>
      <c r="H1289">
        <f>IF(C1289="","",COUNTIFS($C$2:$C$3001,C1289,$F$2:$F$3001,"&lt;"&amp;F1289)+1)</f>
        <v/>
      </c>
      <c r="I1289">
        <f>IF(C1289="","",C1289&amp;"|"&amp;H1289)</f>
        <v/>
      </c>
      <c r="J1289" s="6">
        <f>IF(C1289="","",IF(H1289=1,SUMIFS('Opening Balance'!$F$4:$F$303,'Opening Balance'!$G$4:$G$303,C1289),INDEX($L$2:$L$3001,MATCH(C1289&amp;"|"&amp;(H1289-1),$I$2:$I$3001,0))))</f>
        <v/>
      </c>
      <c r="K1289" s="6">
        <f>IF(C1289="","",IF(M1289&gt;0,M1289,IF(AND(E1289&gt;0,ROUND(J1289+D1289-E1289,2)&gt;0,ROUND(J1289+D1289-E1289,2)&lt;'Opening Balance'!$B$14),ROUND(J1289+D1289-E1289,2),0)))</f>
        <v/>
      </c>
      <c r="L1289" s="6">
        <f>IF(C1289="","",ROUND(J1289+D1289-E1289-K1289,2))</f>
        <v/>
      </c>
      <c r="M1289" s="6">
        <f>IF(C1289="","",IF('Daily Sale entry '!Q1289="Collection 收款",ROUND(N('Daily Sale entry '!T1289),2),0))</f>
        <v/>
      </c>
    </row>
    <row r="1290">
      <c r="A1290" t="inlineStr">
        <is>
          <t>Entry 记录</t>
        </is>
      </c>
      <c r="B1290" s="5">
        <f>IF('Daily Sale entry '!P1290="","",'Daily Sale entry '!O1290)</f>
        <v/>
      </c>
      <c r="C1290">
        <f>IF('Daily Sale entry '!P1290="","",'Daily Sale entry '!P1290)</f>
        <v/>
      </c>
      <c r="D1290">
        <f>IF(C1290="","",IF('Daily Sale entry '!Q1290="Credit Sale 赊销",'Daily Sale entry '!S1290,0))</f>
        <v/>
      </c>
      <c r="E1290">
        <f>IF(C1290="","",IF('Daily Sale entry '!Q1290="Collection 收款",'Daily Sale entry '!S1290,0))</f>
        <v/>
      </c>
      <c r="F1290" s="37">
        <f>IF(C1290="","",B1290+IF(E1290&gt;0,0,0.5)+ROW()/10000000)</f>
        <v/>
      </c>
      <c r="G1290">
        <f>IF(C1290="","",'Daily Sale entry '!Q1290&amp;IF('Daily Sale entry '!Q1290="Collection 收款"," ("&amp;'Daily Sale entry '!R1290&amp;")","")&amp;IF('Daily Sale entry '!U1290="",""," - "&amp;'Daily Sale entry '!U1290))</f>
        <v/>
      </c>
      <c r="H1290">
        <f>IF(C1290="","",COUNTIFS($C$2:$C$3001,C1290,$F$2:$F$3001,"&lt;"&amp;F1290)+1)</f>
        <v/>
      </c>
      <c r="I1290">
        <f>IF(C1290="","",C1290&amp;"|"&amp;H1290)</f>
        <v/>
      </c>
      <c r="J1290" s="6">
        <f>IF(C1290="","",IF(H1290=1,SUMIFS('Opening Balance'!$F$4:$F$303,'Opening Balance'!$G$4:$G$303,C1290),INDEX($L$2:$L$3001,MATCH(C1290&amp;"|"&amp;(H1290-1),$I$2:$I$3001,0))))</f>
        <v/>
      </c>
      <c r="K1290" s="6">
        <f>IF(C1290="","",IF(M1290&gt;0,M1290,IF(AND(E1290&gt;0,ROUND(J1290+D1290-E1290,2)&gt;0,ROUND(J1290+D1290-E1290,2)&lt;'Opening Balance'!$B$14),ROUND(J1290+D1290-E1290,2),0)))</f>
        <v/>
      </c>
      <c r="L1290" s="6">
        <f>IF(C1290="","",ROUND(J1290+D1290-E1290-K1290,2))</f>
        <v/>
      </c>
      <c r="M1290" s="6">
        <f>IF(C1290="","",IF('Daily Sale entry '!Q1290="Collection 收款",ROUND(N('Daily Sale entry '!T1290),2),0))</f>
        <v/>
      </c>
    </row>
    <row r="1291">
      <c r="A1291" t="inlineStr">
        <is>
          <t>Entry 记录</t>
        </is>
      </c>
      <c r="B1291" s="5">
        <f>IF('Daily Sale entry '!P1291="","",'Daily Sale entry '!O1291)</f>
        <v/>
      </c>
      <c r="C1291">
        <f>IF('Daily Sale entry '!P1291="","",'Daily Sale entry '!P1291)</f>
        <v/>
      </c>
      <c r="D1291">
        <f>IF(C1291="","",IF('Daily Sale entry '!Q1291="Credit Sale 赊销",'Daily Sale entry '!S1291,0))</f>
        <v/>
      </c>
      <c r="E1291">
        <f>IF(C1291="","",IF('Daily Sale entry '!Q1291="Collection 收款",'Daily Sale entry '!S1291,0))</f>
        <v/>
      </c>
      <c r="F1291" s="37">
        <f>IF(C1291="","",B1291+IF(E1291&gt;0,0,0.5)+ROW()/10000000)</f>
        <v/>
      </c>
      <c r="G1291">
        <f>IF(C1291="","",'Daily Sale entry '!Q1291&amp;IF('Daily Sale entry '!Q1291="Collection 收款"," ("&amp;'Daily Sale entry '!R1291&amp;")","")&amp;IF('Daily Sale entry '!U1291="",""," - "&amp;'Daily Sale entry '!U1291))</f>
        <v/>
      </c>
      <c r="H1291">
        <f>IF(C1291="","",COUNTIFS($C$2:$C$3001,C1291,$F$2:$F$3001,"&lt;"&amp;F1291)+1)</f>
        <v/>
      </c>
      <c r="I1291">
        <f>IF(C1291="","",C1291&amp;"|"&amp;H1291)</f>
        <v/>
      </c>
      <c r="J1291" s="6">
        <f>IF(C1291="","",IF(H1291=1,SUMIFS('Opening Balance'!$F$4:$F$303,'Opening Balance'!$G$4:$G$303,C1291),INDEX($L$2:$L$3001,MATCH(C1291&amp;"|"&amp;(H1291-1),$I$2:$I$3001,0))))</f>
        <v/>
      </c>
      <c r="K1291" s="6">
        <f>IF(C1291="","",IF(M1291&gt;0,M1291,IF(AND(E1291&gt;0,ROUND(J1291+D1291-E1291,2)&gt;0,ROUND(J1291+D1291-E1291,2)&lt;'Opening Balance'!$B$14),ROUND(J1291+D1291-E1291,2),0)))</f>
        <v/>
      </c>
      <c r="L1291" s="6">
        <f>IF(C1291="","",ROUND(J1291+D1291-E1291-K1291,2))</f>
        <v/>
      </c>
      <c r="M1291" s="6">
        <f>IF(C1291="","",IF('Daily Sale entry '!Q1291="Collection 收款",ROUND(N('Daily Sale entry '!T1291),2),0))</f>
        <v/>
      </c>
    </row>
    <row r="1292">
      <c r="A1292" t="inlineStr">
        <is>
          <t>Entry 记录</t>
        </is>
      </c>
      <c r="B1292" s="5">
        <f>IF('Daily Sale entry '!P1292="","",'Daily Sale entry '!O1292)</f>
        <v/>
      </c>
      <c r="C1292">
        <f>IF('Daily Sale entry '!P1292="","",'Daily Sale entry '!P1292)</f>
        <v/>
      </c>
      <c r="D1292">
        <f>IF(C1292="","",IF('Daily Sale entry '!Q1292="Credit Sale 赊销",'Daily Sale entry '!S1292,0))</f>
        <v/>
      </c>
      <c r="E1292">
        <f>IF(C1292="","",IF('Daily Sale entry '!Q1292="Collection 收款",'Daily Sale entry '!S1292,0))</f>
        <v/>
      </c>
      <c r="F1292" s="37">
        <f>IF(C1292="","",B1292+IF(E1292&gt;0,0,0.5)+ROW()/10000000)</f>
        <v/>
      </c>
      <c r="G1292">
        <f>IF(C1292="","",'Daily Sale entry '!Q1292&amp;IF('Daily Sale entry '!Q1292="Collection 收款"," ("&amp;'Daily Sale entry '!R1292&amp;")","")&amp;IF('Daily Sale entry '!U1292="",""," - "&amp;'Daily Sale entry '!U1292))</f>
        <v/>
      </c>
      <c r="H1292">
        <f>IF(C1292="","",COUNTIFS($C$2:$C$3001,C1292,$F$2:$F$3001,"&lt;"&amp;F1292)+1)</f>
        <v/>
      </c>
      <c r="I1292">
        <f>IF(C1292="","",C1292&amp;"|"&amp;H1292)</f>
        <v/>
      </c>
      <c r="J1292" s="6">
        <f>IF(C1292="","",IF(H1292=1,SUMIFS('Opening Balance'!$F$4:$F$303,'Opening Balance'!$G$4:$G$303,C1292),INDEX($L$2:$L$3001,MATCH(C1292&amp;"|"&amp;(H1292-1),$I$2:$I$3001,0))))</f>
        <v/>
      </c>
      <c r="K1292" s="6">
        <f>IF(C1292="","",IF(M1292&gt;0,M1292,IF(AND(E1292&gt;0,ROUND(J1292+D1292-E1292,2)&gt;0,ROUND(J1292+D1292-E1292,2)&lt;'Opening Balance'!$B$14),ROUND(J1292+D1292-E1292,2),0)))</f>
        <v/>
      </c>
      <c r="L1292" s="6">
        <f>IF(C1292="","",ROUND(J1292+D1292-E1292-K1292,2))</f>
        <v/>
      </c>
      <c r="M1292" s="6">
        <f>IF(C1292="","",IF('Daily Sale entry '!Q1292="Collection 收款",ROUND(N('Daily Sale entry '!T1292),2),0))</f>
        <v/>
      </c>
    </row>
    <row r="1293">
      <c r="A1293" t="inlineStr">
        <is>
          <t>Entry 记录</t>
        </is>
      </c>
      <c r="B1293" s="5">
        <f>IF('Daily Sale entry '!P1293="","",'Daily Sale entry '!O1293)</f>
        <v/>
      </c>
      <c r="C1293">
        <f>IF('Daily Sale entry '!P1293="","",'Daily Sale entry '!P1293)</f>
        <v/>
      </c>
      <c r="D1293">
        <f>IF(C1293="","",IF('Daily Sale entry '!Q1293="Credit Sale 赊销",'Daily Sale entry '!S1293,0))</f>
        <v/>
      </c>
      <c r="E1293">
        <f>IF(C1293="","",IF('Daily Sale entry '!Q1293="Collection 收款",'Daily Sale entry '!S1293,0))</f>
        <v/>
      </c>
      <c r="F1293" s="37">
        <f>IF(C1293="","",B1293+IF(E1293&gt;0,0,0.5)+ROW()/10000000)</f>
        <v/>
      </c>
      <c r="G1293">
        <f>IF(C1293="","",'Daily Sale entry '!Q1293&amp;IF('Daily Sale entry '!Q1293="Collection 收款"," ("&amp;'Daily Sale entry '!R1293&amp;")","")&amp;IF('Daily Sale entry '!U1293="",""," - "&amp;'Daily Sale entry '!U1293))</f>
        <v/>
      </c>
      <c r="H1293">
        <f>IF(C1293="","",COUNTIFS($C$2:$C$3001,C1293,$F$2:$F$3001,"&lt;"&amp;F1293)+1)</f>
        <v/>
      </c>
      <c r="I1293">
        <f>IF(C1293="","",C1293&amp;"|"&amp;H1293)</f>
        <v/>
      </c>
      <c r="J1293" s="6">
        <f>IF(C1293="","",IF(H1293=1,SUMIFS('Opening Balance'!$F$4:$F$303,'Opening Balance'!$G$4:$G$303,C1293),INDEX($L$2:$L$3001,MATCH(C1293&amp;"|"&amp;(H1293-1),$I$2:$I$3001,0))))</f>
        <v/>
      </c>
      <c r="K1293" s="6">
        <f>IF(C1293="","",IF(M1293&gt;0,M1293,IF(AND(E1293&gt;0,ROUND(J1293+D1293-E1293,2)&gt;0,ROUND(J1293+D1293-E1293,2)&lt;'Opening Balance'!$B$14),ROUND(J1293+D1293-E1293,2),0)))</f>
        <v/>
      </c>
      <c r="L1293" s="6">
        <f>IF(C1293="","",ROUND(J1293+D1293-E1293-K1293,2))</f>
        <v/>
      </c>
      <c r="M1293" s="6">
        <f>IF(C1293="","",IF('Daily Sale entry '!Q1293="Collection 收款",ROUND(N('Daily Sale entry '!T1293),2),0))</f>
        <v/>
      </c>
    </row>
    <row r="1294">
      <c r="A1294" t="inlineStr">
        <is>
          <t>Entry 记录</t>
        </is>
      </c>
      <c r="B1294" s="5">
        <f>IF('Daily Sale entry '!P1294="","",'Daily Sale entry '!O1294)</f>
        <v/>
      </c>
      <c r="C1294">
        <f>IF('Daily Sale entry '!P1294="","",'Daily Sale entry '!P1294)</f>
        <v/>
      </c>
      <c r="D1294">
        <f>IF(C1294="","",IF('Daily Sale entry '!Q1294="Credit Sale 赊销",'Daily Sale entry '!S1294,0))</f>
        <v/>
      </c>
      <c r="E1294">
        <f>IF(C1294="","",IF('Daily Sale entry '!Q1294="Collection 收款",'Daily Sale entry '!S1294,0))</f>
        <v/>
      </c>
      <c r="F1294" s="37">
        <f>IF(C1294="","",B1294+IF(E1294&gt;0,0,0.5)+ROW()/10000000)</f>
        <v/>
      </c>
      <c r="G1294">
        <f>IF(C1294="","",'Daily Sale entry '!Q1294&amp;IF('Daily Sale entry '!Q1294="Collection 收款"," ("&amp;'Daily Sale entry '!R1294&amp;")","")&amp;IF('Daily Sale entry '!U1294="",""," - "&amp;'Daily Sale entry '!U1294))</f>
        <v/>
      </c>
      <c r="H1294">
        <f>IF(C1294="","",COUNTIFS($C$2:$C$3001,C1294,$F$2:$F$3001,"&lt;"&amp;F1294)+1)</f>
        <v/>
      </c>
      <c r="I1294">
        <f>IF(C1294="","",C1294&amp;"|"&amp;H1294)</f>
        <v/>
      </c>
      <c r="J1294" s="6">
        <f>IF(C1294="","",IF(H1294=1,SUMIFS('Opening Balance'!$F$4:$F$303,'Opening Balance'!$G$4:$G$303,C1294),INDEX($L$2:$L$3001,MATCH(C1294&amp;"|"&amp;(H1294-1),$I$2:$I$3001,0))))</f>
        <v/>
      </c>
      <c r="K1294" s="6">
        <f>IF(C1294="","",IF(M1294&gt;0,M1294,IF(AND(E1294&gt;0,ROUND(J1294+D1294-E1294,2)&gt;0,ROUND(J1294+D1294-E1294,2)&lt;'Opening Balance'!$B$14),ROUND(J1294+D1294-E1294,2),0)))</f>
        <v/>
      </c>
      <c r="L1294" s="6">
        <f>IF(C1294="","",ROUND(J1294+D1294-E1294-K1294,2))</f>
        <v/>
      </c>
      <c r="M1294" s="6">
        <f>IF(C1294="","",IF('Daily Sale entry '!Q1294="Collection 收款",ROUND(N('Daily Sale entry '!T1294),2),0))</f>
        <v/>
      </c>
    </row>
    <row r="1295">
      <c r="A1295" t="inlineStr">
        <is>
          <t>Entry 记录</t>
        </is>
      </c>
      <c r="B1295" s="5">
        <f>IF('Daily Sale entry '!P1295="","",'Daily Sale entry '!O1295)</f>
        <v/>
      </c>
      <c r="C1295">
        <f>IF('Daily Sale entry '!P1295="","",'Daily Sale entry '!P1295)</f>
        <v/>
      </c>
      <c r="D1295">
        <f>IF(C1295="","",IF('Daily Sale entry '!Q1295="Credit Sale 赊销",'Daily Sale entry '!S1295,0))</f>
        <v/>
      </c>
      <c r="E1295">
        <f>IF(C1295="","",IF('Daily Sale entry '!Q1295="Collection 收款",'Daily Sale entry '!S1295,0))</f>
        <v/>
      </c>
      <c r="F1295" s="37">
        <f>IF(C1295="","",B1295+IF(E1295&gt;0,0,0.5)+ROW()/10000000)</f>
        <v/>
      </c>
      <c r="G1295">
        <f>IF(C1295="","",'Daily Sale entry '!Q1295&amp;IF('Daily Sale entry '!Q1295="Collection 收款"," ("&amp;'Daily Sale entry '!R1295&amp;")","")&amp;IF('Daily Sale entry '!U1295="",""," - "&amp;'Daily Sale entry '!U1295))</f>
        <v/>
      </c>
      <c r="H1295">
        <f>IF(C1295="","",COUNTIFS($C$2:$C$3001,C1295,$F$2:$F$3001,"&lt;"&amp;F1295)+1)</f>
        <v/>
      </c>
      <c r="I1295">
        <f>IF(C1295="","",C1295&amp;"|"&amp;H1295)</f>
        <v/>
      </c>
      <c r="J1295" s="6">
        <f>IF(C1295="","",IF(H1295=1,SUMIFS('Opening Balance'!$F$4:$F$303,'Opening Balance'!$G$4:$G$303,C1295),INDEX($L$2:$L$3001,MATCH(C1295&amp;"|"&amp;(H1295-1),$I$2:$I$3001,0))))</f>
        <v/>
      </c>
      <c r="K1295" s="6">
        <f>IF(C1295="","",IF(M1295&gt;0,M1295,IF(AND(E1295&gt;0,ROUND(J1295+D1295-E1295,2)&gt;0,ROUND(J1295+D1295-E1295,2)&lt;'Opening Balance'!$B$14),ROUND(J1295+D1295-E1295,2),0)))</f>
        <v/>
      </c>
      <c r="L1295" s="6">
        <f>IF(C1295="","",ROUND(J1295+D1295-E1295-K1295,2))</f>
        <v/>
      </c>
      <c r="M1295" s="6">
        <f>IF(C1295="","",IF('Daily Sale entry '!Q1295="Collection 收款",ROUND(N('Daily Sale entry '!T1295),2),0))</f>
        <v/>
      </c>
    </row>
    <row r="1296">
      <c r="A1296" t="inlineStr">
        <is>
          <t>Entry 记录</t>
        </is>
      </c>
      <c r="B1296" s="5">
        <f>IF('Daily Sale entry '!P1296="","",'Daily Sale entry '!O1296)</f>
        <v/>
      </c>
      <c r="C1296">
        <f>IF('Daily Sale entry '!P1296="","",'Daily Sale entry '!P1296)</f>
        <v/>
      </c>
      <c r="D1296">
        <f>IF(C1296="","",IF('Daily Sale entry '!Q1296="Credit Sale 赊销",'Daily Sale entry '!S1296,0))</f>
        <v/>
      </c>
      <c r="E1296">
        <f>IF(C1296="","",IF('Daily Sale entry '!Q1296="Collection 收款",'Daily Sale entry '!S1296,0))</f>
        <v/>
      </c>
      <c r="F1296" s="37">
        <f>IF(C1296="","",B1296+IF(E1296&gt;0,0,0.5)+ROW()/10000000)</f>
        <v/>
      </c>
      <c r="G1296">
        <f>IF(C1296="","",'Daily Sale entry '!Q1296&amp;IF('Daily Sale entry '!Q1296="Collection 收款"," ("&amp;'Daily Sale entry '!R1296&amp;")","")&amp;IF('Daily Sale entry '!U1296="",""," - "&amp;'Daily Sale entry '!U1296))</f>
        <v/>
      </c>
      <c r="H1296">
        <f>IF(C1296="","",COUNTIFS($C$2:$C$3001,C1296,$F$2:$F$3001,"&lt;"&amp;F1296)+1)</f>
        <v/>
      </c>
      <c r="I1296">
        <f>IF(C1296="","",C1296&amp;"|"&amp;H1296)</f>
        <v/>
      </c>
      <c r="J1296" s="6">
        <f>IF(C1296="","",IF(H1296=1,SUMIFS('Opening Balance'!$F$4:$F$303,'Opening Balance'!$G$4:$G$303,C1296),INDEX($L$2:$L$3001,MATCH(C1296&amp;"|"&amp;(H1296-1),$I$2:$I$3001,0))))</f>
        <v/>
      </c>
      <c r="K1296" s="6">
        <f>IF(C1296="","",IF(M1296&gt;0,M1296,IF(AND(E1296&gt;0,ROUND(J1296+D1296-E1296,2)&gt;0,ROUND(J1296+D1296-E1296,2)&lt;'Opening Balance'!$B$14),ROUND(J1296+D1296-E1296,2),0)))</f>
        <v/>
      </c>
      <c r="L1296" s="6">
        <f>IF(C1296="","",ROUND(J1296+D1296-E1296-K1296,2))</f>
        <v/>
      </c>
      <c r="M1296" s="6">
        <f>IF(C1296="","",IF('Daily Sale entry '!Q1296="Collection 收款",ROUND(N('Daily Sale entry '!T1296),2),0))</f>
        <v/>
      </c>
    </row>
    <row r="1297">
      <c r="A1297" t="inlineStr">
        <is>
          <t>Entry 记录</t>
        </is>
      </c>
      <c r="B1297" s="5">
        <f>IF('Daily Sale entry '!P1297="","",'Daily Sale entry '!O1297)</f>
        <v/>
      </c>
      <c r="C1297">
        <f>IF('Daily Sale entry '!P1297="","",'Daily Sale entry '!P1297)</f>
        <v/>
      </c>
      <c r="D1297">
        <f>IF(C1297="","",IF('Daily Sale entry '!Q1297="Credit Sale 赊销",'Daily Sale entry '!S1297,0))</f>
        <v/>
      </c>
      <c r="E1297">
        <f>IF(C1297="","",IF('Daily Sale entry '!Q1297="Collection 收款",'Daily Sale entry '!S1297,0))</f>
        <v/>
      </c>
      <c r="F1297" s="37">
        <f>IF(C1297="","",B1297+IF(E1297&gt;0,0,0.5)+ROW()/10000000)</f>
        <v/>
      </c>
      <c r="G1297">
        <f>IF(C1297="","",'Daily Sale entry '!Q1297&amp;IF('Daily Sale entry '!Q1297="Collection 收款"," ("&amp;'Daily Sale entry '!R1297&amp;")","")&amp;IF('Daily Sale entry '!U1297="",""," - "&amp;'Daily Sale entry '!U1297))</f>
        <v/>
      </c>
      <c r="H1297">
        <f>IF(C1297="","",COUNTIFS($C$2:$C$3001,C1297,$F$2:$F$3001,"&lt;"&amp;F1297)+1)</f>
        <v/>
      </c>
      <c r="I1297">
        <f>IF(C1297="","",C1297&amp;"|"&amp;H1297)</f>
        <v/>
      </c>
      <c r="J1297" s="6">
        <f>IF(C1297="","",IF(H1297=1,SUMIFS('Opening Balance'!$F$4:$F$303,'Opening Balance'!$G$4:$G$303,C1297),INDEX($L$2:$L$3001,MATCH(C1297&amp;"|"&amp;(H1297-1),$I$2:$I$3001,0))))</f>
        <v/>
      </c>
      <c r="K1297" s="6">
        <f>IF(C1297="","",IF(M1297&gt;0,M1297,IF(AND(E1297&gt;0,ROUND(J1297+D1297-E1297,2)&gt;0,ROUND(J1297+D1297-E1297,2)&lt;'Opening Balance'!$B$14),ROUND(J1297+D1297-E1297,2),0)))</f>
        <v/>
      </c>
      <c r="L1297" s="6">
        <f>IF(C1297="","",ROUND(J1297+D1297-E1297-K1297,2))</f>
        <v/>
      </c>
      <c r="M1297" s="6">
        <f>IF(C1297="","",IF('Daily Sale entry '!Q1297="Collection 收款",ROUND(N('Daily Sale entry '!T1297),2),0))</f>
        <v/>
      </c>
    </row>
    <row r="1298">
      <c r="A1298" t="inlineStr">
        <is>
          <t>Entry 记录</t>
        </is>
      </c>
      <c r="B1298" s="5">
        <f>IF('Daily Sale entry '!P1298="","",'Daily Sale entry '!O1298)</f>
        <v/>
      </c>
      <c r="C1298">
        <f>IF('Daily Sale entry '!P1298="","",'Daily Sale entry '!P1298)</f>
        <v/>
      </c>
      <c r="D1298">
        <f>IF(C1298="","",IF('Daily Sale entry '!Q1298="Credit Sale 赊销",'Daily Sale entry '!S1298,0))</f>
        <v/>
      </c>
      <c r="E1298">
        <f>IF(C1298="","",IF('Daily Sale entry '!Q1298="Collection 收款",'Daily Sale entry '!S1298,0))</f>
        <v/>
      </c>
      <c r="F1298" s="37">
        <f>IF(C1298="","",B1298+IF(E1298&gt;0,0,0.5)+ROW()/10000000)</f>
        <v/>
      </c>
      <c r="G1298">
        <f>IF(C1298="","",'Daily Sale entry '!Q1298&amp;IF('Daily Sale entry '!Q1298="Collection 收款"," ("&amp;'Daily Sale entry '!R1298&amp;")","")&amp;IF('Daily Sale entry '!U1298="",""," - "&amp;'Daily Sale entry '!U1298))</f>
        <v/>
      </c>
      <c r="H1298">
        <f>IF(C1298="","",COUNTIFS($C$2:$C$3001,C1298,$F$2:$F$3001,"&lt;"&amp;F1298)+1)</f>
        <v/>
      </c>
      <c r="I1298">
        <f>IF(C1298="","",C1298&amp;"|"&amp;H1298)</f>
        <v/>
      </c>
      <c r="J1298" s="6">
        <f>IF(C1298="","",IF(H1298=1,SUMIFS('Opening Balance'!$F$4:$F$303,'Opening Balance'!$G$4:$G$303,C1298),INDEX($L$2:$L$3001,MATCH(C1298&amp;"|"&amp;(H1298-1),$I$2:$I$3001,0))))</f>
        <v/>
      </c>
      <c r="K1298" s="6">
        <f>IF(C1298="","",IF(M1298&gt;0,M1298,IF(AND(E1298&gt;0,ROUND(J1298+D1298-E1298,2)&gt;0,ROUND(J1298+D1298-E1298,2)&lt;'Opening Balance'!$B$14),ROUND(J1298+D1298-E1298,2),0)))</f>
        <v/>
      </c>
      <c r="L1298" s="6">
        <f>IF(C1298="","",ROUND(J1298+D1298-E1298-K1298,2))</f>
        <v/>
      </c>
      <c r="M1298" s="6">
        <f>IF(C1298="","",IF('Daily Sale entry '!Q1298="Collection 收款",ROUND(N('Daily Sale entry '!T1298),2),0))</f>
        <v/>
      </c>
    </row>
    <row r="1299">
      <c r="A1299" t="inlineStr">
        <is>
          <t>Entry 记录</t>
        </is>
      </c>
      <c r="B1299" s="5">
        <f>IF('Daily Sale entry '!P1299="","",'Daily Sale entry '!O1299)</f>
        <v/>
      </c>
      <c r="C1299">
        <f>IF('Daily Sale entry '!P1299="","",'Daily Sale entry '!P1299)</f>
        <v/>
      </c>
      <c r="D1299">
        <f>IF(C1299="","",IF('Daily Sale entry '!Q1299="Credit Sale 赊销",'Daily Sale entry '!S1299,0))</f>
        <v/>
      </c>
      <c r="E1299">
        <f>IF(C1299="","",IF('Daily Sale entry '!Q1299="Collection 收款",'Daily Sale entry '!S1299,0))</f>
        <v/>
      </c>
      <c r="F1299" s="37">
        <f>IF(C1299="","",B1299+IF(E1299&gt;0,0,0.5)+ROW()/10000000)</f>
        <v/>
      </c>
      <c r="G1299">
        <f>IF(C1299="","",'Daily Sale entry '!Q1299&amp;IF('Daily Sale entry '!Q1299="Collection 收款"," ("&amp;'Daily Sale entry '!R1299&amp;")","")&amp;IF('Daily Sale entry '!U1299="",""," - "&amp;'Daily Sale entry '!U1299))</f>
        <v/>
      </c>
      <c r="H1299">
        <f>IF(C1299="","",COUNTIFS($C$2:$C$3001,C1299,$F$2:$F$3001,"&lt;"&amp;F1299)+1)</f>
        <v/>
      </c>
      <c r="I1299">
        <f>IF(C1299="","",C1299&amp;"|"&amp;H1299)</f>
        <v/>
      </c>
      <c r="J1299" s="6">
        <f>IF(C1299="","",IF(H1299=1,SUMIFS('Opening Balance'!$F$4:$F$303,'Opening Balance'!$G$4:$G$303,C1299),INDEX($L$2:$L$3001,MATCH(C1299&amp;"|"&amp;(H1299-1),$I$2:$I$3001,0))))</f>
        <v/>
      </c>
      <c r="K1299" s="6">
        <f>IF(C1299="","",IF(M1299&gt;0,M1299,IF(AND(E1299&gt;0,ROUND(J1299+D1299-E1299,2)&gt;0,ROUND(J1299+D1299-E1299,2)&lt;'Opening Balance'!$B$14),ROUND(J1299+D1299-E1299,2),0)))</f>
        <v/>
      </c>
      <c r="L1299" s="6">
        <f>IF(C1299="","",ROUND(J1299+D1299-E1299-K1299,2))</f>
        <v/>
      </c>
      <c r="M1299" s="6">
        <f>IF(C1299="","",IF('Daily Sale entry '!Q1299="Collection 收款",ROUND(N('Daily Sale entry '!T1299),2),0))</f>
        <v/>
      </c>
    </row>
    <row r="1300">
      <c r="A1300" t="inlineStr">
        <is>
          <t>Entry 记录</t>
        </is>
      </c>
      <c r="B1300" s="5">
        <f>IF('Daily Sale entry '!P1300="","",'Daily Sale entry '!O1300)</f>
        <v/>
      </c>
      <c r="C1300">
        <f>IF('Daily Sale entry '!P1300="","",'Daily Sale entry '!P1300)</f>
        <v/>
      </c>
      <c r="D1300">
        <f>IF(C1300="","",IF('Daily Sale entry '!Q1300="Credit Sale 赊销",'Daily Sale entry '!S1300,0))</f>
        <v/>
      </c>
      <c r="E1300">
        <f>IF(C1300="","",IF('Daily Sale entry '!Q1300="Collection 收款",'Daily Sale entry '!S1300,0))</f>
        <v/>
      </c>
      <c r="F1300" s="37">
        <f>IF(C1300="","",B1300+IF(E1300&gt;0,0,0.5)+ROW()/10000000)</f>
        <v/>
      </c>
      <c r="G1300">
        <f>IF(C1300="","",'Daily Sale entry '!Q1300&amp;IF('Daily Sale entry '!Q1300="Collection 收款"," ("&amp;'Daily Sale entry '!R1300&amp;")","")&amp;IF('Daily Sale entry '!U1300="",""," - "&amp;'Daily Sale entry '!U1300))</f>
        <v/>
      </c>
      <c r="H1300">
        <f>IF(C1300="","",COUNTIFS($C$2:$C$3001,C1300,$F$2:$F$3001,"&lt;"&amp;F1300)+1)</f>
        <v/>
      </c>
      <c r="I1300">
        <f>IF(C1300="","",C1300&amp;"|"&amp;H1300)</f>
        <v/>
      </c>
      <c r="J1300" s="6">
        <f>IF(C1300="","",IF(H1300=1,SUMIFS('Opening Balance'!$F$4:$F$303,'Opening Balance'!$G$4:$G$303,C1300),INDEX($L$2:$L$3001,MATCH(C1300&amp;"|"&amp;(H1300-1),$I$2:$I$3001,0))))</f>
        <v/>
      </c>
      <c r="K1300" s="6">
        <f>IF(C1300="","",IF(M1300&gt;0,M1300,IF(AND(E1300&gt;0,ROUND(J1300+D1300-E1300,2)&gt;0,ROUND(J1300+D1300-E1300,2)&lt;'Opening Balance'!$B$14),ROUND(J1300+D1300-E1300,2),0)))</f>
        <v/>
      </c>
      <c r="L1300" s="6">
        <f>IF(C1300="","",ROUND(J1300+D1300-E1300-K1300,2))</f>
        <v/>
      </c>
      <c r="M1300" s="6">
        <f>IF(C1300="","",IF('Daily Sale entry '!Q1300="Collection 收款",ROUND(N('Daily Sale entry '!T1300),2),0))</f>
        <v/>
      </c>
    </row>
    <row r="1301">
      <c r="A1301" t="inlineStr">
        <is>
          <t>Entry 记录</t>
        </is>
      </c>
      <c r="B1301" s="5">
        <f>IF('Daily Sale entry '!P1301="","",'Daily Sale entry '!O1301)</f>
        <v/>
      </c>
      <c r="C1301">
        <f>IF('Daily Sale entry '!P1301="","",'Daily Sale entry '!P1301)</f>
        <v/>
      </c>
      <c r="D1301">
        <f>IF(C1301="","",IF('Daily Sale entry '!Q1301="Credit Sale 赊销",'Daily Sale entry '!S1301,0))</f>
        <v/>
      </c>
      <c r="E1301">
        <f>IF(C1301="","",IF('Daily Sale entry '!Q1301="Collection 收款",'Daily Sale entry '!S1301,0))</f>
        <v/>
      </c>
      <c r="F1301" s="37">
        <f>IF(C1301="","",B1301+IF(E1301&gt;0,0,0.5)+ROW()/10000000)</f>
        <v/>
      </c>
      <c r="G1301">
        <f>IF(C1301="","",'Daily Sale entry '!Q1301&amp;IF('Daily Sale entry '!Q1301="Collection 收款"," ("&amp;'Daily Sale entry '!R1301&amp;")","")&amp;IF('Daily Sale entry '!U1301="",""," - "&amp;'Daily Sale entry '!U1301))</f>
        <v/>
      </c>
      <c r="H1301">
        <f>IF(C1301="","",COUNTIFS($C$2:$C$3001,C1301,$F$2:$F$3001,"&lt;"&amp;F1301)+1)</f>
        <v/>
      </c>
      <c r="I1301">
        <f>IF(C1301="","",C1301&amp;"|"&amp;H1301)</f>
        <v/>
      </c>
      <c r="J1301" s="6">
        <f>IF(C1301="","",IF(H1301=1,SUMIFS('Opening Balance'!$F$4:$F$303,'Opening Balance'!$G$4:$G$303,C1301),INDEX($L$2:$L$3001,MATCH(C1301&amp;"|"&amp;(H1301-1),$I$2:$I$3001,0))))</f>
        <v/>
      </c>
      <c r="K1301" s="6">
        <f>IF(C1301="","",IF(M1301&gt;0,M1301,IF(AND(E1301&gt;0,ROUND(J1301+D1301-E1301,2)&gt;0,ROUND(J1301+D1301-E1301,2)&lt;'Opening Balance'!$B$14),ROUND(J1301+D1301-E1301,2),0)))</f>
        <v/>
      </c>
      <c r="L1301" s="6">
        <f>IF(C1301="","",ROUND(J1301+D1301-E1301-K1301,2))</f>
        <v/>
      </c>
      <c r="M1301" s="6">
        <f>IF(C1301="","",IF('Daily Sale entry '!Q1301="Collection 收款",ROUND(N('Daily Sale entry '!T1301),2),0))</f>
        <v/>
      </c>
    </row>
    <row r="1302">
      <c r="A1302" t="inlineStr">
        <is>
          <t>Entry 记录</t>
        </is>
      </c>
      <c r="B1302" s="5">
        <f>IF('Daily Sale entry '!P1302="","",'Daily Sale entry '!O1302)</f>
        <v/>
      </c>
      <c r="C1302">
        <f>IF('Daily Sale entry '!P1302="","",'Daily Sale entry '!P1302)</f>
        <v/>
      </c>
      <c r="D1302">
        <f>IF(C1302="","",IF('Daily Sale entry '!Q1302="Credit Sale 赊销",'Daily Sale entry '!S1302,0))</f>
        <v/>
      </c>
      <c r="E1302">
        <f>IF(C1302="","",IF('Daily Sale entry '!Q1302="Collection 收款",'Daily Sale entry '!S1302,0))</f>
        <v/>
      </c>
      <c r="F1302" s="37">
        <f>IF(C1302="","",B1302+IF(E1302&gt;0,0,0.5)+ROW()/10000000)</f>
        <v/>
      </c>
      <c r="G1302">
        <f>IF(C1302="","",'Daily Sale entry '!Q1302&amp;IF('Daily Sale entry '!Q1302="Collection 收款"," ("&amp;'Daily Sale entry '!R1302&amp;")","")&amp;IF('Daily Sale entry '!U1302="",""," - "&amp;'Daily Sale entry '!U1302))</f>
        <v/>
      </c>
      <c r="H1302">
        <f>IF(C1302="","",COUNTIFS($C$2:$C$3001,C1302,$F$2:$F$3001,"&lt;"&amp;F1302)+1)</f>
        <v/>
      </c>
      <c r="I1302">
        <f>IF(C1302="","",C1302&amp;"|"&amp;H1302)</f>
        <v/>
      </c>
      <c r="J1302" s="6">
        <f>IF(C1302="","",IF(H1302=1,SUMIFS('Opening Balance'!$F$4:$F$303,'Opening Balance'!$G$4:$G$303,C1302),INDEX($L$2:$L$3001,MATCH(C1302&amp;"|"&amp;(H1302-1),$I$2:$I$3001,0))))</f>
        <v/>
      </c>
      <c r="K1302" s="6">
        <f>IF(C1302="","",IF(M1302&gt;0,M1302,IF(AND(E1302&gt;0,ROUND(J1302+D1302-E1302,2)&gt;0,ROUND(J1302+D1302-E1302,2)&lt;'Opening Balance'!$B$14),ROUND(J1302+D1302-E1302,2),0)))</f>
        <v/>
      </c>
      <c r="L1302" s="6">
        <f>IF(C1302="","",ROUND(J1302+D1302-E1302-K1302,2))</f>
        <v/>
      </c>
      <c r="M1302" s="6">
        <f>IF(C1302="","",IF('Daily Sale entry '!Q1302="Collection 收款",ROUND(N('Daily Sale entry '!T1302),2),0))</f>
        <v/>
      </c>
    </row>
    <row r="1303">
      <c r="A1303" t="inlineStr">
        <is>
          <t>Entry 记录</t>
        </is>
      </c>
      <c r="B1303" s="5">
        <f>IF('Daily Sale entry '!P1303="","",'Daily Sale entry '!O1303)</f>
        <v/>
      </c>
      <c r="C1303">
        <f>IF('Daily Sale entry '!P1303="","",'Daily Sale entry '!P1303)</f>
        <v/>
      </c>
      <c r="D1303">
        <f>IF(C1303="","",IF('Daily Sale entry '!Q1303="Credit Sale 赊销",'Daily Sale entry '!S1303,0))</f>
        <v/>
      </c>
      <c r="E1303">
        <f>IF(C1303="","",IF('Daily Sale entry '!Q1303="Collection 收款",'Daily Sale entry '!S1303,0))</f>
        <v/>
      </c>
      <c r="F1303" s="37">
        <f>IF(C1303="","",B1303+IF(E1303&gt;0,0,0.5)+ROW()/10000000)</f>
        <v/>
      </c>
      <c r="G1303">
        <f>IF(C1303="","",'Daily Sale entry '!Q1303&amp;IF('Daily Sale entry '!Q1303="Collection 收款"," ("&amp;'Daily Sale entry '!R1303&amp;")","")&amp;IF('Daily Sale entry '!U1303="",""," - "&amp;'Daily Sale entry '!U1303))</f>
        <v/>
      </c>
      <c r="H1303">
        <f>IF(C1303="","",COUNTIFS($C$2:$C$3001,C1303,$F$2:$F$3001,"&lt;"&amp;F1303)+1)</f>
        <v/>
      </c>
      <c r="I1303">
        <f>IF(C1303="","",C1303&amp;"|"&amp;H1303)</f>
        <v/>
      </c>
      <c r="J1303" s="6">
        <f>IF(C1303="","",IF(H1303=1,SUMIFS('Opening Balance'!$F$4:$F$303,'Opening Balance'!$G$4:$G$303,C1303),INDEX($L$2:$L$3001,MATCH(C1303&amp;"|"&amp;(H1303-1),$I$2:$I$3001,0))))</f>
        <v/>
      </c>
      <c r="K1303" s="6">
        <f>IF(C1303="","",IF(M1303&gt;0,M1303,IF(AND(E1303&gt;0,ROUND(J1303+D1303-E1303,2)&gt;0,ROUND(J1303+D1303-E1303,2)&lt;'Opening Balance'!$B$14),ROUND(J1303+D1303-E1303,2),0)))</f>
        <v/>
      </c>
      <c r="L1303" s="6">
        <f>IF(C1303="","",ROUND(J1303+D1303-E1303-K1303,2))</f>
        <v/>
      </c>
      <c r="M1303" s="6">
        <f>IF(C1303="","",IF('Daily Sale entry '!Q1303="Collection 收款",ROUND(N('Daily Sale entry '!T1303),2),0))</f>
        <v/>
      </c>
    </row>
    <row r="1304">
      <c r="A1304" t="inlineStr">
        <is>
          <t>Entry 记录</t>
        </is>
      </c>
      <c r="B1304" s="5">
        <f>IF('Daily Sale entry '!P1304="","",'Daily Sale entry '!O1304)</f>
        <v/>
      </c>
      <c r="C1304">
        <f>IF('Daily Sale entry '!P1304="","",'Daily Sale entry '!P1304)</f>
        <v/>
      </c>
      <c r="D1304">
        <f>IF(C1304="","",IF('Daily Sale entry '!Q1304="Credit Sale 赊销",'Daily Sale entry '!S1304,0))</f>
        <v/>
      </c>
      <c r="E1304">
        <f>IF(C1304="","",IF('Daily Sale entry '!Q1304="Collection 收款",'Daily Sale entry '!S1304,0))</f>
        <v/>
      </c>
      <c r="F1304" s="37">
        <f>IF(C1304="","",B1304+IF(E1304&gt;0,0,0.5)+ROW()/10000000)</f>
        <v/>
      </c>
      <c r="G1304">
        <f>IF(C1304="","",'Daily Sale entry '!Q1304&amp;IF('Daily Sale entry '!Q1304="Collection 收款"," ("&amp;'Daily Sale entry '!R1304&amp;")","")&amp;IF('Daily Sale entry '!U1304="",""," - "&amp;'Daily Sale entry '!U1304))</f>
        <v/>
      </c>
      <c r="H1304">
        <f>IF(C1304="","",COUNTIFS($C$2:$C$3001,C1304,$F$2:$F$3001,"&lt;"&amp;F1304)+1)</f>
        <v/>
      </c>
      <c r="I1304">
        <f>IF(C1304="","",C1304&amp;"|"&amp;H1304)</f>
        <v/>
      </c>
      <c r="J1304" s="6">
        <f>IF(C1304="","",IF(H1304=1,SUMIFS('Opening Balance'!$F$4:$F$303,'Opening Balance'!$G$4:$G$303,C1304),INDEX($L$2:$L$3001,MATCH(C1304&amp;"|"&amp;(H1304-1),$I$2:$I$3001,0))))</f>
        <v/>
      </c>
      <c r="K1304" s="6">
        <f>IF(C1304="","",IF(M1304&gt;0,M1304,IF(AND(E1304&gt;0,ROUND(J1304+D1304-E1304,2)&gt;0,ROUND(J1304+D1304-E1304,2)&lt;'Opening Balance'!$B$14),ROUND(J1304+D1304-E1304,2),0)))</f>
        <v/>
      </c>
      <c r="L1304" s="6">
        <f>IF(C1304="","",ROUND(J1304+D1304-E1304-K1304,2))</f>
        <v/>
      </c>
      <c r="M1304" s="6">
        <f>IF(C1304="","",IF('Daily Sale entry '!Q1304="Collection 收款",ROUND(N('Daily Sale entry '!T1304),2),0))</f>
        <v/>
      </c>
    </row>
    <row r="1305">
      <c r="A1305" t="inlineStr">
        <is>
          <t>Entry 记录</t>
        </is>
      </c>
      <c r="B1305" s="5">
        <f>IF('Daily Sale entry '!P1305="","",'Daily Sale entry '!O1305)</f>
        <v/>
      </c>
      <c r="C1305">
        <f>IF('Daily Sale entry '!P1305="","",'Daily Sale entry '!P1305)</f>
        <v/>
      </c>
      <c r="D1305">
        <f>IF(C1305="","",IF('Daily Sale entry '!Q1305="Credit Sale 赊销",'Daily Sale entry '!S1305,0))</f>
        <v/>
      </c>
      <c r="E1305">
        <f>IF(C1305="","",IF('Daily Sale entry '!Q1305="Collection 收款",'Daily Sale entry '!S1305,0))</f>
        <v/>
      </c>
      <c r="F1305" s="37">
        <f>IF(C1305="","",B1305+IF(E1305&gt;0,0,0.5)+ROW()/10000000)</f>
        <v/>
      </c>
      <c r="G1305">
        <f>IF(C1305="","",'Daily Sale entry '!Q1305&amp;IF('Daily Sale entry '!Q1305="Collection 收款"," ("&amp;'Daily Sale entry '!R1305&amp;")","")&amp;IF('Daily Sale entry '!U1305="",""," - "&amp;'Daily Sale entry '!U1305))</f>
        <v/>
      </c>
      <c r="H1305">
        <f>IF(C1305="","",COUNTIFS($C$2:$C$3001,C1305,$F$2:$F$3001,"&lt;"&amp;F1305)+1)</f>
        <v/>
      </c>
      <c r="I1305">
        <f>IF(C1305="","",C1305&amp;"|"&amp;H1305)</f>
        <v/>
      </c>
      <c r="J1305" s="6">
        <f>IF(C1305="","",IF(H1305=1,SUMIFS('Opening Balance'!$F$4:$F$303,'Opening Balance'!$G$4:$G$303,C1305),INDEX($L$2:$L$3001,MATCH(C1305&amp;"|"&amp;(H1305-1),$I$2:$I$3001,0))))</f>
        <v/>
      </c>
      <c r="K1305" s="6">
        <f>IF(C1305="","",IF(M1305&gt;0,M1305,IF(AND(E1305&gt;0,ROUND(J1305+D1305-E1305,2)&gt;0,ROUND(J1305+D1305-E1305,2)&lt;'Opening Balance'!$B$14),ROUND(J1305+D1305-E1305,2),0)))</f>
        <v/>
      </c>
      <c r="L1305" s="6">
        <f>IF(C1305="","",ROUND(J1305+D1305-E1305-K1305,2))</f>
        <v/>
      </c>
      <c r="M1305" s="6">
        <f>IF(C1305="","",IF('Daily Sale entry '!Q1305="Collection 收款",ROUND(N('Daily Sale entry '!T1305),2),0))</f>
        <v/>
      </c>
    </row>
    <row r="1306">
      <c r="A1306" t="inlineStr">
        <is>
          <t>Entry 记录</t>
        </is>
      </c>
      <c r="B1306" s="5">
        <f>IF('Daily Sale entry '!P1306="","",'Daily Sale entry '!O1306)</f>
        <v/>
      </c>
      <c r="C1306">
        <f>IF('Daily Sale entry '!P1306="","",'Daily Sale entry '!P1306)</f>
        <v/>
      </c>
      <c r="D1306">
        <f>IF(C1306="","",IF('Daily Sale entry '!Q1306="Credit Sale 赊销",'Daily Sale entry '!S1306,0))</f>
        <v/>
      </c>
      <c r="E1306">
        <f>IF(C1306="","",IF('Daily Sale entry '!Q1306="Collection 收款",'Daily Sale entry '!S1306,0))</f>
        <v/>
      </c>
      <c r="F1306" s="37">
        <f>IF(C1306="","",B1306+IF(E1306&gt;0,0,0.5)+ROW()/10000000)</f>
        <v/>
      </c>
      <c r="G1306">
        <f>IF(C1306="","",'Daily Sale entry '!Q1306&amp;IF('Daily Sale entry '!Q1306="Collection 收款"," ("&amp;'Daily Sale entry '!R1306&amp;")","")&amp;IF('Daily Sale entry '!U1306="",""," - "&amp;'Daily Sale entry '!U1306))</f>
        <v/>
      </c>
      <c r="H1306">
        <f>IF(C1306="","",COUNTIFS($C$2:$C$3001,C1306,$F$2:$F$3001,"&lt;"&amp;F1306)+1)</f>
        <v/>
      </c>
      <c r="I1306">
        <f>IF(C1306="","",C1306&amp;"|"&amp;H1306)</f>
        <v/>
      </c>
      <c r="J1306" s="6">
        <f>IF(C1306="","",IF(H1306=1,SUMIFS('Opening Balance'!$F$4:$F$303,'Opening Balance'!$G$4:$G$303,C1306),INDEX($L$2:$L$3001,MATCH(C1306&amp;"|"&amp;(H1306-1),$I$2:$I$3001,0))))</f>
        <v/>
      </c>
      <c r="K1306" s="6">
        <f>IF(C1306="","",IF(M1306&gt;0,M1306,IF(AND(E1306&gt;0,ROUND(J1306+D1306-E1306,2)&gt;0,ROUND(J1306+D1306-E1306,2)&lt;'Opening Balance'!$B$14),ROUND(J1306+D1306-E1306,2),0)))</f>
        <v/>
      </c>
      <c r="L1306" s="6">
        <f>IF(C1306="","",ROUND(J1306+D1306-E1306-K1306,2))</f>
        <v/>
      </c>
      <c r="M1306" s="6">
        <f>IF(C1306="","",IF('Daily Sale entry '!Q1306="Collection 收款",ROUND(N('Daily Sale entry '!T1306),2),0))</f>
        <v/>
      </c>
    </row>
    <row r="1307">
      <c r="A1307" t="inlineStr">
        <is>
          <t>Entry 记录</t>
        </is>
      </c>
      <c r="B1307" s="5">
        <f>IF('Daily Sale entry '!P1307="","",'Daily Sale entry '!O1307)</f>
        <v/>
      </c>
      <c r="C1307">
        <f>IF('Daily Sale entry '!P1307="","",'Daily Sale entry '!P1307)</f>
        <v/>
      </c>
      <c r="D1307">
        <f>IF(C1307="","",IF('Daily Sale entry '!Q1307="Credit Sale 赊销",'Daily Sale entry '!S1307,0))</f>
        <v/>
      </c>
      <c r="E1307">
        <f>IF(C1307="","",IF('Daily Sale entry '!Q1307="Collection 收款",'Daily Sale entry '!S1307,0))</f>
        <v/>
      </c>
      <c r="F1307" s="37">
        <f>IF(C1307="","",B1307+IF(E1307&gt;0,0,0.5)+ROW()/10000000)</f>
        <v/>
      </c>
      <c r="G1307">
        <f>IF(C1307="","",'Daily Sale entry '!Q1307&amp;IF('Daily Sale entry '!Q1307="Collection 收款"," ("&amp;'Daily Sale entry '!R1307&amp;")","")&amp;IF('Daily Sale entry '!U1307="",""," - "&amp;'Daily Sale entry '!U1307))</f>
        <v/>
      </c>
      <c r="H1307">
        <f>IF(C1307="","",COUNTIFS($C$2:$C$3001,C1307,$F$2:$F$3001,"&lt;"&amp;F1307)+1)</f>
        <v/>
      </c>
      <c r="I1307">
        <f>IF(C1307="","",C1307&amp;"|"&amp;H1307)</f>
        <v/>
      </c>
      <c r="J1307" s="6">
        <f>IF(C1307="","",IF(H1307=1,SUMIFS('Opening Balance'!$F$4:$F$303,'Opening Balance'!$G$4:$G$303,C1307),INDEX($L$2:$L$3001,MATCH(C1307&amp;"|"&amp;(H1307-1),$I$2:$I$3001,0))))</f>
        <v/>
      </c>
      <c r="K1307" s="6">
        <f>IF(C1307="","",IF(M1307&gt;0,M1307,IF(AND(E1307&gt;0,ROUND(J1307+D1307-E1307,2)&gt;0,ROUND(J1307+D1307-E1307,2)&lt;'Opening Balance'!$B$14),ROUND(J1307+D1307-E1307,2),0)))</f>
        <v/>
      </c>
      <c r="L1307" s="6">
        <f>IF(C1307="","",ROUND(J1307+D1307-E1307-K1307,2))</f>
        <v/>
      </c>
      <c r="M1307" s="6">
        <f>IF(C1307="","",IF('Daily Sale entry '!Q1307="Collection 收款",ROUND(N('Daily Sale entry '!T1307),2),0))</f>
        <v/>
      </c>
    </row>
    <row r="1308">
      <c r="A1308" t="inlineStr">
        <is>
          <t>Entry 记录</t>
        </is>
      </c>
      <c r="B1308" s="5">
        <f>IF('Daily Sale entry '!P1308="","",'Daily Sale entry '!O1308)</f>
        <v/>
      </c>
      <c r="C1308">
        <f>IF('Daily Sale entry '!P1308="","",'Daily Sale entry '!P1308)</f>
        <v/>
      </c>
      <c r="D1308">
        <f>IF(C1308="","",IF('Daily Sale entry '!Q1308="Credit Sale 赊销",'Daily Sale entry '!S1308,0))</f>
        <v/>
      </c>
      <c r="E1308">
        <f>IF(C1308="","",IF('Daily Sale entry '!Q1308="Collection 收款",'Daily Sale entry '!S1308,0))</f>
        <v/>
      </c>
      <c r="F1308" s="37">
        <f>IF(C1308="","",B1308+IF(E1308&gt;0,0,0.5)+ROW()/10000000)</f>
        <v/>
      </c>
      <c r="G1308">
        <f>IF(C1308="","",'Daily Sale entry '!Q1308&amp;IF('Daily Sale entry '!Q1308="Collection 收款"," ("&amp;'Daily Sale entry '!R1308&amp;")","")&amp;IF('Daily Sale entry '!U1308="",""," - "&amp;'Daily Sale entry '!U1308))</f>
        <v/>
      </c>
      <c r="H1308">
        <f>IF(C1308="","",COUNTIFS($C$2:$C$3001,C1308,$F$2:$F$3001,"&lt;"&amp;F1308)+1)</f>
        <v/>
      </c>
      <c r="I1308">
        <f>IF(C1308="","",C1308&amp;"|"&amp;H1308)</f>
        <v/>
      </c>
      <c r="J1308" s="6">
        <f>IF(C1308="","",IF(H1308=1,SUMIFS('Opening Balance'!$F$4:$F$303,'Opening Balance'!$G$4:$G$303,C1308),INDEX($L$2:$L$3001,MATCH(C1308&amp;"|"&amp;(H1308-1),$I$2:$I$3001,0))))</f>
        <v/>
      </c>
      <c r="K1308" s="6">
        <f>IF(C1308="","",IF(M1308&gt;0,M1308,IF(AND(E1308&gt;0,ROUND(J1308+D1308-E1308,2)&gt;0,ROUND(J1308+D1308-E1308,2)&lt;'Opening Balance'!$B$14),ROUND(J1308+D1308-E1308,2),0)))</f>
        <v/>
      </c>
      <c r="L1308" s="6">
        <f>IF(C1308="","",ROUND(J1308+D1308-E1308-K1308,2))</f>
        <v/>
      </c>
      <c r="M1308" s="6">
        <f>IF(C1308="","",IF('Daily Sale entry '!Q1308="Collection 收款",ROUND(N('Daily Sale entry '!T1308),2),0))</f>
        <v/>
      </c>
    </row>
    <row r="1309">
      <c r="A1309" t="inlineStr">
        <is>
          <t>Entry 记录</t>
        </is>
      </c>
      <c r="B1309" s="5">
        <f>IF('Daily Sale entry '!P1309="","",'Daily Sale entry '!O1309)</f>
        <v/>
      </c>
      <c r="C1309">
        <f>IF('Daily Sale entry '!P1309="","",'Daily Sale entry '!P1309)</f>
        <v/>
      </c>
      <c r="D1309">
        <f>IF(C1309="","",IF('Daily Sale entry '!Q1309="Credit Sale 赊销",'Daily Sale entry '!S1309,0))</f>
        <v/>
      </c>
      <c r="E1309">
        <f>IF(C1309="","",IF('Daily Sale entry '!Q1309="Collection 收款",'Daily Sale entry '!S1309,0))</f>
        <v/>
      </c>
      <c r="F1309" s="37">
        <f>IF(C1309="","",B1309+IF(E1309&gt;0,0,0.5)+ROW()/10000000)</f>
        <v/>
      </c>
      <c r="G1309">
        <f>IF(C1309="","",'Daily Sale entry '!Q1309&amp;IF('Daily Sale entry '!Q1309="Collection 收款"," ("&amp;'Daily Sale entry '!R1309&amp;")","")&amp;IF('Daily Sale entry '!U1309="",""," - "&amp;'Daily Sale entry '!U1309))</f>
        <v/>
      </c>
      <c r="H1309">
        <f>IF(C1309="","",COUNTIFS($C$2:$C$3001,C1309,$F$2:$F$3001,"&lt;"&amp;F1309)+1)</f>
        <v/>
      </c>
      <c r="I1309">
        <f>IF(C1309="","",C1309&amp;"|"&amp;H1309)</f>
        <v/>
      </c>
      <c r="J1309" s="6">
        <f>IF(C1309="","",IF(H1309=1,SUMIFS('Opening Balance'!$F$4:$F$303,'Opening Balance'!$G$4:$G$303,C1309),INDEX($L$2:$L$3001,MATCH(C1309&amp;"|"&amp;(H1309-1),$I$2:$I$3001,0))))</f>
        <v/>
      </c>
      <c r="K1309" s="6">
        <f>IF(C1309="","",IF(M1309&gt;0,M1309,IF(AND(E1309&gt;0,ROUND(J1309+D1309-E1309,2)&gt;0,ROUND(J1309+D1309-E1309,2)&lt;'Opening Balance'!$B$14),ROUND(J1309+D1309-E1309,2),0)))</f>
        <v/>
      </c>
      <c r="L1309" s="6">
        <f>IF(C1309="","",ROUND(J1309+D1309-E1309-K1309,2))</f>
        <v/>
      </c>
      <c r="M1309" s="6">
        <f>IF(C1309="","",IF('Daily Sale entry '!Q1309="Collection 收款",ROUND(N('Daily Sale entry '!T1309),2),0))</f>
        <v/>
      </c>
    </row>
    <row r="1310">
      <c r="A1310" t="inlineStr">
        <is>
          <t>Entry 记录</t>
        </is>
      </c>
      <c r="B1310" s="5">
        <f>IF('Daily Sale entry '!P1310="","",'Daily Sale entry '!O1310)</f>
        <v/>
      </c>
      <c r="C1310">
        <f>IF('Daily Sale entry '!P1310="","",'Daily Sale entry '!P1310)</f>
        <v/>
      </c>
      <c r="D1310">
        <f>IF(C1310="","",IF('Daily Sale entry '!Q1310="Credit Sale 赊销",'Daily Sale entry '!S1310,0))</f>
        <v/>
      </c>
      <c r="E1310">
        <f>IF(C1310="","",IF('Daily Sale entry '!Q1310="Collection 收款",'Daily Sale entry '!S1310,0))</f>
        <v/>
      </c>
      <c r="F1310" s="37">
        <f>IF(C1310="","",B1310+IF(E1310&gt;0,0,0.5)+ROW()/10000000)</f>
        <v/>
      </c>
      <c r="G1310">
        <f>IF(C1310="","",'Daily Sale entry '!Q1310&amp;IF('Daily Sale entry '!Q1310="Collection 收款"," ("&amp;'Daily Sale entry '!R1310&amp;")","")&amp;IF('Daily Sale entry '!U1310="",""," - "&amp;'Daily Sale entry '!U1310))</f>
        <v/>
      </c>
      <c r="H1310">
        <f>IF(C1310="","",COUNTIFS($C$2:$C$3001,C1310,$F$2:$F$3001,"&lt;"&amp;F1310)+1)</f>
        <v/>
      </c>
      <c r="I1310">
        <f>IF(C1310="","",C1310&amp;"|"&amp;H1310)</f>
        <v/>
      </c>
      <c r="J1310" s="6">
        <f>IF(C1310="","",IF(H1310=1,SUMIFS('Opening Balance'!$F$4:$F$303,'Opening Balance'!$G$4:$G$303,C1310),INDEX($L$2:$L$3001,MATCH(C1310&amp;"|"&amp;(H1310-1),$I$2:$I$3001,0))))</f>
        <v/>
      </c>
      <c r="K1310" s="6">
        <f>IF(C1310="","",IF(M1310&gt;0,M1310,IF(AND(E1310&gt;0,ROUND(J1310+D1310-E1310,2)&gt;0,ROUND(J1310+D1310-E1310,2)&lt;'Opening Balance'!$B$14),ROUND(J1310+D1310-E1310,2),0)))</f>
        <v/>
      </c>
      <c r="L1310" s="6">
        <f>IF(C1310="","",ROUND(J1310+D1310-E1310-K1310,2))</f>
        <v/>
      </c>
      <c r="M1310" s="6">
        <f>IF(C1310="","",IF('Daily Sale entry '!Q1310="Collection 收款",ROUND(N('Daily Sale entry '!T1310),2),0))</f>
        <v/>
      </c>
    </row>
    <row r="1311">
      <c r="A1311" t="inlineStr">
        <is>
          <t>Entry 记录</t>
        </is>
      </c>
      <c r="B1311" s="5">
        <f>IF('Daily Sale entry '!P1311="","",'Daily Sale entry '!O1311)</f>
        <v/>
      </c>
      <c r="C1311">
        <f>IF('Daily Sale entry '!P1311="","",'Daily Sale entry '!P1311)</f>
        <v/>
      </c>
      <c r="D1311">
        <f>IF(C1311="","",IF('Daily Sale entry '!Q1311="Credit Sale 赊销",'Daily Sale entry '!S1311,0))</f>
        <v/>
      </c>
      <c r="E1311">
        <f>IF(C1311="","",IF('Daily Sale entry '!Q1311="Collection 收款",'Daily Sale entry '!S1311,0))</f>
        <v/>
      </c>
      <c r="F1311" s="37">
        <f>IF(C1311="","",B1311+IF(E1311&gt;0,0,0.5)+ROW()/10000000)</f>
        <v/>
      </c>
      <c r="G1311">
        <f>IF(C1311="","",'Daily Sale entry '!Q1311&amp;IF('Daily Sale entry '!Q1311="Collection 收款"," ("&amp;'Daily Sale entry '!R1311&amp;")","")&amp;IF('Daily Sale entry '!U1311="",""," - "&amp;'Daily Sale entry '!U1311))</f>
        <v/>
      </c>
      <c r="H1311">
        <f>IF(C1311="","",COUNTIFS($C$2:$C$3001,C1311,$F$2:$F$3001,"&lt;"&amp;F1311)+1)</f>
        <v/>
      </c>
      <c r="I1311">
        <f>IF(C1311="","",C1311&amp;"|"&amp;H1311)</f>
        <v/>
      </c>
      <c r="J1311" s="6">
        <f>IF(C1311="","",IF(H1311=1,SUMIFS('Opening Balance'!$F$4:$F$303,'Opening Balance'!$G$4:$G$303,C1311),INDEX($L$2:$L$3001,MATCH(C1311&amp;"|"&amp;(H1311-1),$I$2:$I$3001,0))))</f>
        <v/>
      </c>
      <c r="K1311" s="6">
        <f>IF(C1311="","",IF(M1311&gt;0,M1311,IF(AND(E1311&gt;0,ROUND(J1311+D1311-E1311,2)&gt;0,ROUND(J1311+D1311-E1311,2)&lt;'Opening Balance'!$B$14),ROUND(J1311+D1311-E1311,2),0)))</f>
        <v/>
      </c>
      <c r="L1311" s="6">
        <f>IF(C1311="","",ROUND(J1311+D1311-E1311-K1311,2))</f>
        <v/>
      </c>
      <c r="M1311" s="6">
        <f>IF(C1311="","",IF('Daily Sale entry '!Q1311="Collection 收款",ROUND(N('Daily Sale entry '!T1311),2),0))</f>
        <v/>
      </c>
    </row>
    <row r="1312">
      <c r="A1312" t="inlineStr">
        <is>
          <t>Entry 记录</t>
        </is>
      </c>
      <c r="B1312" s="5">
        <f>IF('Daily Sale entry '!P1312="","",'Daily Sale entry '!O1312)</f>
        <v/>
      </c>
      <c r="C1312">
        <f>IF('Daily Sale entry '!P1312="","",'Daily Sale entry '!P1312)</f>
        <v/>
      </c>
      <c r="D1312">
        <f>IF(C1312="","",IF('Daily Sale entry '!Q1312="Credit Sale 赊销",'Daily Sale entry '!S1312,0))</f>
        <v/>
      </c>
      <c r="E1312">
        <f>IF(C1312="","",IF('Daily Sale entry '!Q1312="Collection 收款",'Daily Sale entry '!S1312,0))</f>
        <v/>
      </c>
      <c r="F1312" s="37">
        <f>IF(C1312="","",B1312+IF(E1312&gt;0,0,0.5)+ROW()/10000000)</f>
        <v/>
      </c>
      <c r="G1312">
        <f>IF(C1312="","",'Daily Sale entry '!Q1312&amp;IF('Daily Sale entry '!Q1312="Collection 收款"," ("&amp;'Daily Sale entry '!R1312&amp;")","")&amp;IF('Daily Sale entry '!U1312="",""," - "&amp;'Daily Sale entry '!U1312))</f>
        <v/>
      </c>
      <c r="H1312">
        <f>IF(C1312="","",COUNTIFS($C$2:$C$3001,C1312,$F$2:$F$3001,"&lt;"&amp;F1312)+1)</f>
        <v/>
      </c>
      <c r="I1312">
        <f>IF(C1312="","",C1312&amp;"|"&amp;H1312)</f>
        <v/>
      </c>
      <c r="J1312" s="6">
        <f>IF(C1312="","",IF(H1312=1,SUMIFS('Opening Balance'!$F$4:$F$303,'Opening Balance'!$G$4:$G$303,C1312),INDEX($L$2:$L$3001,MATCH(C1312&amp;"|"&amp;(H1312-1),$I$2:$I$3001,0))))</f>
        <v/>
      </c>
      <c r="K1312" s="6">
        <f>IF(C1312="","",IF(M1312&gt;0,M1312,IF(AND(E1312&gt;0,ROUND(J1312+D1312-E1312,2)&gt;0,ROUND(J1312+D1312-E1312,2)&lt;'Opening Balance'!$B$14),ROUND(J1312+D1312-E1312,2),0)))</f>
        <v/>
      </c>
      <c r="L1312" s="6">
        <f>IF(C1312="","",ROUND(J1312+D1312-E1312-K1312,2))</f>
        <v/>
      </c>
      <c r="M1312" s="6">
        <f>IF(C1312="","",IF('Daily Sale entry '!Q1312="Collection 收款",ROUND(N('Daily Sale entry '!T1312),2),0))</f>
        <v/>
      </c>
    </row>
    <row r="1313">
      <c r="A1313" t="inlineStr">
        <is>
          <t>Entry 记录</t>
        </is>
      </c>
      <c r="B1313" s="5">
        <f>IF('Daily Sale entry '!P1313="","",'Daily Sale entry '!O1313)</f>
        <v/>
      </c>
      <c r="C1313">
        <f>IF('Daily Sale entry '!P1313="","",'Daily Sale entry '!P1313)</f>
        <v/>
      </c>
      <c r="D1313">
        <f>IF(C1313="","",IF('Daily Sale entry '!Q1313="Credit Sale 赊销",'Daily Sale entry '!S1313,0))</f>
        <v/>
      </c>
      <c r="E1313">
        <f>IF(C1313="","",IF('Daily Sale entry '!Q1313="Collection 收款",'Daily Sale entry '!S1313,0))</f>
        <v/>
      </c>
      <c r="F1313" s="37">
        <f>IF(C1313="","",B1313+IF(E1313&gt;0,0,0.5)+ROW()/10000000)</f>
        <v/>
      </c>
      <c r="G1313">
        <f>IF(C1313="","",'Daily Sale entry '!Q1313&amp;IF('Daily Sale entry '!Q1313="Collection 收款"," ("&amp;'Daily Sale entry '!R1313&amp;")","")&amp;IF('Daily Sale entry '!U1313="",""," - "&amp;'Daily Sale entry '!U1313))</f>
        <v/>
      </c>
      <c r="H1313">
        <f>IF(C1313="","",COUNTIFS($C$2:$C$3001,C1313,$F$2:$F$3001,"&lt;"&amp;F1313)+1)</f>
        <v/>
      </c>
      <c r="I1313">
        <f>IF(C1313="","",C1313&amp;"|"&amp;H1313)</f>
        <v/>
      </c>
      <c r="J1313" s="6">
        <f>IF(C1313="","",IF(H1313=1,SUMIFS('Opening Balance'!$F$4:$F$303,'Opening Balance'!$G$4:$G$303,C1313),INDEX($L$2:$L$3001,MATCH(C1313&amp;"|"&amp;(H1313-1),$I$2:$I$3001,0))))</f>
        <v/>
      </c>
      <c r="K1313" s="6">
        <f>IF(C1313="","",IF(M1313&gt;0,M1313,IF(AND(E1313&gt;0,ROUND(J1313+D1313-E1313,2)&gt;0,ROUND(J1313+D1313-E1313,2)&lt;'Opening Balance'!$B$14),ROUND(J1313+D1313-E1313,2),0)))</f>
        <v/>
      </c>
      <c r="L1313" s="6">
        <f>IF(C1313="","",ROUND(J1313+D1313-E1313-K1313,2))</f>
        <v/>
      </c>
      <c r="M1313" s="6">
        <f>IF(C1313="","",IF('Daily Sale entry '!Q1313="Collection 收款",ROUND(N('Daily Sale entry '!T1313),2),0))</f>
        <v/>
      </c>
    </row>
    <row r="1314">
      <c r="A1314" t="inlineStr">
        <is>
          <t>Entry 记录</t>
        </is>
      </c>
      <c r="B1314" s="5">
        <f>IF('Daily Sale entry '!P1314="","",'Daily Sale entry '!O1314)</f>
        <v/>
      </c>
      <c r="C1314">
        <f>IF('Daily Sale entry '!P1314="","",'Daily Sale entry '!P1314)</f>
        <v/>
      </c>
      <c r="D1314">
        <f>IF(C1314="","",IF('Daily Sale entry '!Q1314="Credit Sale 赊销",'Daily Sale entry '!S1314,0))</f>
        <v/>
      </c>
      <c r="E1314">
        <f>IF(C1314="","",IF('Daily Sale entry '!Q1314="Collection 收款",'Daily Sale entry '!S1314,0))</f>
        <v/>
      </c>
      <c r="F1314" s="37">
        <f>IF(C1314="","",B1314+IF(E1314&gt;0,0,0.5)+ROW()/10000000)</f>
        <v/>
      </c>
      <c r="G1314">
        <f>IF(C1314="","",'Daily Sale entry '!Q1314&amp;IF('Daily Sale entry '!Q1314="Collection 收款"," ("&amp;'Daily Sale entry '!R1314&amp;")","")&amp;IF('Daily Sale entry '!U1314="",""," - "&amp;'Daily Sale entry '!U1314))</f>
        <v/>
      </c>
      <c r="H1314">
        <f>IF(C1314="","",COUNTIFS($C$2:$C$3001,C1314,$F$2:$F$3001,"&lt;"&amp;F1314)+1)</f>
        <v/>
      </c>
      <c r="I1314">
        <f>IF(C1314="","",C1314&amp;"|"&amp;H1314)</f>
        <v/>
      </c>
      <c r="J1314" s="6">
        <f>IF(C1314="","",IF(H1314=1,SUMIFS('Opening Balance'!$F$4:$F$303,'Opening Balance'!$G$4:$G$303,C1314),INDEX($L$2:$L$3001,MATCH(C1314&amp;"|"&amp;(H1314-1),$I$2:$I$3001,0))))</f>
        <v/>
      </c>
      <c r="K1314" s="6">
        <f>IF(C1314="","",IF(M1314&gt;0,M1314,IF(AND(E1314&gt;0,ROUND(J1314+D1314-E1314,2)&gt;0,ROUND(J1314+D1314-E1314,2)&lt;'Opening Balance'!$B$14),ROUND(J1314+D1314-E1314,2),0)))</f>
        <v/>
      </c>
      <c r="L1314" s="6">
        <f>IF(C1314="","",ROUND(J1314+D1314-E1314-K1314,2))</f>
        <v/>
      </c>
      <c r="M1314" s="6">
        <f>IF(C1314="","",IF('Daily Sale entry '!Q1314="Collection 收款",ROUND(N('Daily Sale entry '!T1314),2),0))</f>
        <v/>
      </c>
    </row>
    <row r="1315">
      <c r="A1315" t="inlineStr">
        <is>
          <t>Entry 记录</t>
        </is>
      </c>
      <c r="B1315" s="5">
        <f>IF('Daily Sale entry '!P1315="","",'Daily Sale entry '!O1315)</f>
        <v/>
      </c>
      <c r="C1315">
        <f>IF('Daily Sale entry '!P1315="","",'Daily Sale entry '!P1315)</f>
        <v/>
      </c>
      <c r="D1315">
        <f>IF(C1315="","",IF('Daily Sale entry '!Q1315="Credit Sale 赊销",'Daily Sale entry '!S1315,0))</f>
        <v/>
      </c>
      <c r="E1315">
        <f>IF(C1315="","",IF('Daily Sale entry '!Q1315="Collection 收款",'Daily Sale entry '!S1315,0))</f>
        <v/>
      </c>
      <c r="F1315" s="37">
        <f>IF(C1315="","",B1315+IF(E1315&gt;0,0,0.5)+ROW()/10000000)</f>
        <v/>
      </c>
      <c r="G1315">
        <f>IF(C1315="","",'Daily Sale entry '!Q1315&amp;IF('Daily Sale entry '!Q1315="Collection 收款"," ("&amp;'Daily Sale entry '!R1315&amp;")","")&amp;IF('Daily Sale entry '!U1315="",""," - "&amp;'Daily Sale entry '!U1315))</f>
        <v/>
      </c>
      <c r="H1315">
        <f>IF(C1315="","",COUNTIFS($C$2:$C$3001,C1315,$F$2:$F$3001,"&lt;"&amp;F1315)+1)</f>
        <v/>
      </c>
      <c r="I1315">
        <f>IF(C1315="","",C1315&amp;"|"&amp;H1315)</f>
        <v/>
      </c>
      <c r="J1315" s="6">
        <f>IF(C1315="","",IF(H1315=1,SUMIFS('Opening Balance'!$F$4:$F$303,'Opening Balance'!$G$4:$G$303,C1315),INDEX($L$2:$L$3001,MATCH(C1315&amp;"|"&amp;(H1315-1),$I$2:$I$3001,0))))</f>
        <v/>
      </c>
      <c r="K1315" s="6">
        <f>IF(C1315="","",IF(M1315&gt;0,M1315,IF(AND(E1315&gt;0,ROUND(J1315+D1315-E1315,2)&gt;0,ROUND(J1315+D1315-E1315,2)&lt;'Opening Balance'!$B$14),ROUND(J1315+D1315-E1315,2),0)))</f>
        <v/>
      </c>
      <c r="L1315" s="6">
        <f>IF(C1315="","",ROUND(J1315+D1315-E1315-K1315,2))</f>
        <v/>
      </c>
      <c r="M1315" s="6">
        <f>IF(C1315="","",IF('Daily Sale entry '!Q1315="Collection 收款",ROUND(N('Daily Sale entry '!T1315),2),0))</f>
        <v/>
      </c>
    </row>
    <row r="1316">
      <c r="A1316" t="inlineStr">
        <is>
          <t>Entry 记录</t>
        </is>
      </c>
      <c r="B1316" s="5">
        <f>IF('Daily Sale entry '!P1316="","",'Daily Sale entry '!O1316)</f>
        <v/>
      </c>
      <c r="C1316">
        <f>IF('Daily Sale entry '!P1316="","",'Daily Sale entry '!P1316)</f>
        <v/>
      </c>
      <c r="D1316">
        <f>IF(C1316="","",IF('Daily Sale entry '!Q1316="Credit Sale 赊销",'Daily Sale entry '!S1316,0))</f>
        <v/>
      </c>
      <c r="E1316">
        <f>IF(C1316="","",IF('Daily Sale entry '!Q1316="Collection 收款",'Daily Sale entry '!S1316,0))</f>
        <v/>
      </c>
      <c r="F1316" s="37">
        <f>IF(C1316="","",B1316+IF(E1316&gt;0,0,0.5)+ROW()/10000000)</f>
        <v/>
      </c>
      <c r="G1316">
        <f>IF(C1316="","",'Daily Sale entry '!Q1316&amp;IF('Daily Sale entry '!Q1316="Collection 收款"," ("&amp;'Daily Sale entry '!R1316&amp;")","")&amp;IF('Daily Sale entry '!U1316="",""," - "&amp;'Daily Sale entry '!U1316))</f>
        <v/>
      </c>
      <c r="H1316">
        <f>IF(C1316="","",COUNTIFS($C$2:$C$3001,C1316,$F$2:$F$3001,"&lt;"&amp;F1316)+1)</f>
        <v/>
      </c>
      <c r="I1316">
        <f>IF(C1316="","",C1316&amp;"|"&amp;H1316)</f>
        <v/>
      </c>
      <c r="J1316" s="6">
        <f>IF(C1316="","",IF(H1316=1,SUMIFS('Opening Balance'!$F$4:$F$303,'Opening Balance'!$G$4:$G$303,C1316),INDEX($L$2:$L$3001,MATCH(C1316&amp;"|"&amp;(H1316-1),$I$2:$I$3001,0))))</f>
        <v/>
      </c>
      <c r="K1316" s="6">
        <f>IF(C1316="","",IF(M1316&gt;0,M1316,IF(AND(E1316&gt;0,ROUND(J1316+D1316-E1316,2)&gt;0,ROUND(J1316+D1316-E1316,2)&lt;'Opening Balance'!$B$14),ROUND(J1316+D1316-E1316,2),0)))</f>
        <v/>
      </c>
      <c r="L1316" s="6">
        <f>IF(C1316="","",ROUND(J1316+D1316-E1316-K1316,2))</f>
        <v/>
      </c>
      <c r="M1316" s="6">
        <f>IF(C1316="","",IF('Daily Sale entry '!Q1316="Collection 收款",ROUND(N('Daily Sale entry '!T1316),2),0))</f>
        <v/>
      </c>
    </row>
    <row r="1317">
      <c r="A1317" t="inlineStr">
        <is>
          <t>Entry 记录</t>
        </is>
      </c>
      <c r="B1317" s="5">
        <f>IF('Daily Sale entry '!P1317="","",'Daily Sale entry '!O1317)</f>
        <v/>
      </c>
      <c r="C1317">
        <f>IF('Daily Sale entry '!P1317="","",'Daily Sale entry '!P1317)</f>
        <v/>
      </c>
      <c r="D1317">
        <f>IF(C1317="","",IF('Daily Sale entry '!Q1317="Credit Sale 赊销",'Daily Sale entry '!S1317,0))</f>
        <v/>
      </c>
      <c r="E1317">
        <f>IF(C1317="","",IF('Daily Sale entry '!Q1317="Collection 收款",'Daily Sale entry '!S1317,0))</f>
        <v/>
      </c>
      <c r="F1317" s="37">
        <f>IF(C1317="","",B1317+IF(E1317&gt;0,0,0.5)+ROW()/10000000)</f>
        <v/>
      </c>
      <c r="G1317">
        <f>IF(C1317="","",'Daily Sale entry '!Q1317&amp;IF('Daily Sale entry '!Q1317="Collection 收款"," ("&amp;'Daily Sale entry '!R1317&amp;")","")&amp;IF('Daily Sale entry '!U1317="",""," - "&amp;'Daily Sale entry '!U1317))</f>
        <v/>
      </c>
      <c r="H1317">
        <f>IF(C1317="","",COUNTIFS($C$2:$C$3001,C1317,$F$2:$F$3001,"&lt;"&amp;F1317)+1)</f>
        <v/>
      </c>
      <c r="I1317">
        <f>IF(C1317="","",C1317&amp;"|"&amp;H1317)</f>
        <v/>
      </c>
      <c r="J1317" s="6">
        <f>IF(C1317="","",IF(H1317=1,SUMIFS('Opening Balance'!$F$4:$F$303,'Opening Balance'!$G$4:$G$303,C1317),INDEX($L$2:$L$3001,MATCH(C1317&amp;"|"&amp;(H1317-1),$I$2:$I$3001,0))))</f>
        <v/>
      </c>
      <c r="K1317" s="6">
        <f>IF(C1317="","",IF(M1317&gt;0,M1317,IF(AND(E1317&gt;0,ROUND(J1317+D1317-E1317,2)&gt;0,ROUND(J1317+D1317-E1317,2)&lt;'Opening Balance'!$B$14),ROUND(J1317+D1317-E1317,2),0)))</f>
        <v/>
      </c>
      <c r="L1317" s="6">
        <f>IF(C1317="","",ROUND(J1317+D1317-E1317-K1317,2))</f>
        <v/>
      </c>
      <c r="M1317" s="6">
        <f>IF(C1317="","",IF('Daily Sale entry '!Q1317="Collection 收款",ROUND(N('Daily Sale entry '!T1317),2),0))</f>
        <v/>
      </c>
    </row>
    <row r="1318">
      <c r="A1318" t="inlineStr">
        <is>
          <t>Entry 记录</t>
        </is>
      </c>
      <c r="B1318" s="5">
        <f>IF('Daily Sale entry '!P1318="","",'Daily Sale entry '!O1318)</f>
        <v/>
      </c>
      <c r="C1318">
        <f>IF('Daily Sale entry '!P1318="","",'Daily Sale entry '!P1318)</f>
        <v/>
      </c>
      <c r="D1318">
        <f>IF(C1318="","",IF('Daily Sale entry '!Q1318="Credit Sale 赊销",'Daily Sale entry '!S1318,0))</f>
        <v/>
      </c>
      <c r="E1318">
        <f>IF(C1318="","",IF('Daily Sale entry '!Q1318="Collection 收款",'Daily Sale entry '!S1318,0))</f>
        <v/>
      </c>
      <c r="F1318" s="37">
        <f>IF(C1318="","",B1318+IF(E1318&gt;0,0,0.5)+ROW()/10000000)</f>
        <v/>
      </c>
      <c r="G1318">
        <f>IF(C1318="","",'Daily Sale entry '!Q1318&amp;IF('Daily Sale entry '!Q1318="Collection 收款"," ("&amp;'Daily Sale entry '!R1318&amp;")","")&amp;IF('Daily Sale entry '!U1318="",""," - "&amp;'Daily Sale entry '!U1318))</f>
        <v/>
      </c>
      <c r="H1318">
        <f>IF(C1318="","",COUNTIFS($C$2:$C$3001,C1318,$F$2:$F$3001,"&lt;"&amp;F1318)+1)</f>
        <v/>
      </c>
      <c r="I1318">
        <f>IF(C1318="","",C1318&amp;"|"&amp;H1318)</f>
        <v/>
      </c>
      <c r="J1318" s="6">
        <f>IF(C1318="","",IF(H1318=1,SUMIFS('Opening Balance'!$F$4:$F$303,'Opening Balance'!$G$4:$G$303,C1318),INDEX($L$2:$L$3001,MATCH(C1318&amp;"|"&amp;(H1318-1),$I$2:$I$3001,0))))</f>
        <v/>
      </c>
      <c r="K1318" s="6">
        <f>IF(C1318="","",IF(M1318&gt;0,M1318,IF(AND(E1318&gt;0,ROUND(J1318+D1318-E1318,2)&gt;0,ROUND(J1318+D1318-E1318,2)&lt;'Opening Balance'!$B$14),ROUND(J1318+D1318-E1318,2),0)))</f>
        <v/>
      </c>
      <c r="L1318" s="6">
        <f>IF(C1318="","",ROUND(J1318+D1318-E1318-K1318,2))</f>
        <v/>
      </c>
      <c r="M1318" s="6">
        <f>IF(C1318="","",IF('Daily Sale entry '!Q1318="Collection 收款",ROUND(N('Daily Sale entry '!T1318),2),0))</f>
        <v/>
      </c>
    </row>
    <row r="1319">
      <c r="A1319" t="inlineStr">
        <is>
          <t>Entry 记录</t>
        </is>
      </c>
      <c r="B1319" s="5">
        <f>IF('Daily Sale entry '!P1319="","",'Daily Sale entry '!O1319)</f>
        <v/>
      </c>
      <c r="C1319">
        <f>IF('Daily Sale entry '!P1319="","",'Daily Sale entry '!P1319)</f>
        <v/>
      </c>
      <c r="D1319">
        <f>IF(C1319="","",IF('Daily Sale entry '!Q1319="Credit Sale 赊销",'Daily Sale entry '!S1319,0))</f>
        <v/>
      </c>
      <c r="E1319">
        <f>IF(C1319="","",IF('Daily Sale entry '!Q1319="Collection 收款",'Daily Sale entry '!S1319,0))</f>
        <v/>
      </c>
      <c r="F1319" s="37">
        <f>IF(C1319="","",B1319+IF(E1319&gt;0,0,0.5)+ROW()/10000000)</f>
        <v/>
      </c>
      <c r="G1319">
        <f>IF(C1319="","",'Daily Sale entry '!Q1319&amp;IF('Daily Sale entry '!Q1319="Collection 收款"," ("&amp;'Daily Sale entry '!R1319&amp;")","")&amp;IF('Daily Sale entry '!U1319="",""," - "&amp;'Daily Sale entry '!U1319))</f>
        <v/>
      </c>
      <c r="H1319">
        <f>IF(C1319="","",COUNTIFS($C$2:$C$3001,C1319,$F$2:$F$3001,"&lt;"&amp;F1319)+1)</f>
        <v/>
      </c>
      <c r="I1319">
        <f>IF(C1319="","",C1319&amp;"|"&amp;H1319)</f>
        <v/>
      </c>
      <c r="J1319" s="6">
        <f>IF(C1319="","",IF(H1319=1,SUMIFS('Opening Balance'!$F$4:$F$303,'Opening Balance'!$G$4:$G$303,C1319),INDEX($L$2:$L$3001,MATCH(C1319&amp;"|"&amp;(H1319-1),$I$2:$I$3001,0))))</f>
        <v/>
      </c>
      <c r="K1319" s="6">
        <f>IF(C1319="","",IF(M1319&gt;0,M1319,IF(AND(E1319&gt;0,ROUND(J1319+D1319-E1319,2)&gt;0,ROUND(J1319+D1319-E1319,2)&lt;'Opening Balance'!$B$14),ROUND(J1319+D1319-E1319,2),0)))</f>
        <v/>
      </c>
      <c r="L1319" s="6">
        <f>IF(C1319="","",ROUND(J1319+D1319-E1319-K1319,2))</f>
        <v/>
      </c>
      <c r="M1319" s="6">
        <f>IF(C1319="","",IF('Daily Sale entry '!Q1319="Collection 收款",ROUND(N('Daily Sale entry '!T1319),2),0))</f>
        <v/>
      </c>
    </row>
    <row r="1320">
      <c r="A1320" t="inlineStr">
        <is>
          <t>Entry 记录</t>
        </is>
      </c>
      <c r="B1320" s="5">
        <f>IF('Daily Sale entry '!P1320="","",'Daily Sale entry '!O1320)</f>
        <v/>
      </c>
      <c r="C1320">
        <f>IF('Daily Sale entry '!P1320="","",'Daily Sale entry '!P1320)</f>
        <v/>
      </c>
      <c r="D1320">
        <f>IF(C1320="","",IF('Daily Sale entry '!Q1320="Credit Sale 赊销",'Daily Sale entry '!S1320,0))</f>
        <v/>
      </c>
      <c r="E1320">
        <f>IF(C1320="","",IF('Daily Sale entry '!Q1320="Collection 收款",'Daily Sale entry '!S1320,0))</f>
        <v/>
      </c>
      <c r="F1320" s="37">
        <f>IF(C1320="","",B1320+IF(E1320&gt;0,0,0.5)+ROW()/10000000)</f>
        <v/>
      </c>
      <c r="G1320">
        <f>IF(C1320="","",'Daily Sale entry '!Q1320&amp;IF('Daily Sale entry '!Q1320="Collection 收款"," ("&amp;'Daily Sale entry '!R1320&amp;")","")&amp;IF('Daily Sale entry '!U1320="",""," - "&amp;'Daily Sale entry '!U1320))</f>
        <v/>
      </c>
      <c r="H1320">
        <f>IF(C1320="","",COUNTIFS($C$2:$C$3001,C1320,$F$2:$F$3001,"&lt;"&amp;F1320)+1)</f>
        <v/>
      </c>
      <c r="I1320">
        <f>IF(C1320="","",C1320&amp;"|"&amp;H1320)</f>
        <v/>
      </c>
      <c r="J1320" s="6">
        <f>IF(C1320="","",IF(H1320=1,SUMIFS('Opening Balance'!$F$4:$F$303,'Opening Balance'!$G$4:$G$303,C1320),INDEX($L$2:$L$3001,MATCH(C1320&amp;"|"&amp;(H1320-1),$I$2:$I$3001,0))))</f>
        <v/>
      </c>
      <c r="K1320" s="6">
        <f>IF(C1320="","",IF(M1320&gt;0,M1320,IF(AND(E1320&gt;0,ROUND(J1320+D1320-E1320,2)&gt;0,ROUND(J1320+D1320-E1320,2)&lt;'Opening Balance'!$B$14),ROUND(J1320+D1320-E1320,2),0)))</f>
        <v/>
      </c>
      <c r="L1320" s="6">
        <f>IF(C1320="","",ROUND(J1320+D1320-E1320-K1320,2))</f>
        <v/>
      </c>
      <c r="M1320" s="6">
        <f>IF(C1320="","",IF('Daily Sale entry '!Q1320="Collection 收款",ROUND(N('Daily Sale entry '!T1320),2),0))</f>
        <v/>
      </c>
    </row>
    <row r="1321">
      <c r="A1321" t="inlineStr">
        <is>
          <t>Entry 记录</t>
        </is>
      </c>
      <c r="B1321" s="5">
        <f>IF('Daily Sale entry '!P1321="","",'Daily Sale entry '!O1321)</f>
        <v/>
      </c>
      <c r="C1321">
        <f>IF('Daily Sale entry '!P1321="","",'Daily Sale entry '!P1321)</f>
        <v/>
      </c>
      <c r="D1321">
        <f>IF(C1321="","",IF('Daily Sale entry '!Q1321="Credit Sale 赊销",'Daily Sale entry '!S1321,0))</f>
        <v/>
      </c>
      <c r="E1321">
        <f>IF(C1321="","",IF('Daily Sale entry '!Q1321="Collection 收款",'Daily Sale entry '!S1321,0))</f>
        <v/>
      </c>
      <c r="F1321" s="37">
        <f>IF(C1321="","",B1321+IF(E1321&gt;0,0,0.5)+ROW()/10000000)</f>
        <v/>
      </c>
      <c r="G1321">
        <f>IF(C1321="","",'Daily Sale entry '!Q1321&amp;IF('Daily Sale entry '!Q1321="Collection 收款"," ("&amp;'Daily Sale entry '!R1321&amp;")","")&amp;IF('Daily Sale entry '!U1321="",""," - "&amp;'Daily Sale entry '!U1321))</f>
        <v/>
      </c>
      <c r="H1321">
        <f>IF(C1321="","",COUNTIFS($C$2:$C$3001,C1321,$F$2:$F$3001,"&lt;"&amp;F1321)+1)</f>
        <v/>
      </c>
      <c r="I1321">
        <f>IF(C1321="","",C1321&amp;"|"&amp;H1321)</f>
        <v/>
      </c>
      <c r="J1321" s="6">
        <f>IF(C1321="","",IF(H1321=1,SUMIFS('Opening Balance'!$F$4:$F$303,'Opening Balance'!$G$4:$G$303,C1321),INDEX($L$2:$L$3001,MATCH(C1321&amp;"|"&amp;(H1321-1),$I$2:$I$3001,0))))</f>
        <v/>
      </c>
      <c r="K1321" s="6">
        <f>IF(C1321="","",IF(M1321&gt;0,M1321,IF(AND(E1321&gt;0,ROUND(J1321+D1321-E1321,2)&gt;0,ROUND(J1321+D1321-E1321,2)&lt;'Opening Balance'!$B$14),ROUND(J1321+D1321-E1321,2),0)))</f>
        <v/>
      </c>
      <c r="L1321" s="6">
        <f>IF(C1321="","",ROUND(J1321+D1321-E1321-K1321,2))</f>
        <v/>
      </c>
      <c r="M1321" s="6">
        <f>IF(C1321="","",IF('Daily Sale entry '!Q1321="Collection 收款",ROUND(N('Daily Sale entry '!T1321),2),0))</f>
        <v/>
      </c>
    </row>
    <row r="1322">
      <c r="A1322" t="inlineStr">
        <is>
          <t>Entry 记录</t>
        </is>
      </c>
      <c r="B1322" s="5">
        <f>IF('Daily Sale entry '!P1322="","",'Daily Sale entry '!O1322)</f>
        <v/>
      </c>
      <c r="C1322">
        <f>IF('Daily Sale entry '!P1322="","",'Daily Sale entry '!P1322)</f>
        <v/>
      </c>
      <c r="D1322">
        <f>IF(C1322="","",IF('Daily Sale entry '!Q1322="Credit Sale 赊销",'Daily Sale entry '!S1322,0))</f>
        <v/>
      </c>
      <c r="E1322">
        <f>IF(C1322="","",IF('Daily Sale entry '!Q1322="Collection 收款",'Daily Sale entry '!S1322,0))</f>
        <v/>
      </c>
      <c r="F1322" s="37">
        <f>IF(C1322="","",B1322+IF(E1322&gt;0,0,0.5)+ROW()/10000000)</f>
        <v/>
      </c>
      <c r="G1322">
        <f>IF(C1322="","",'Daily Sale entry '!Q1322&amp;IF('Daily Sale entry '!Q1322="Collection 收款"," ("&amp;'Daily Sale entry '!R1322&amp;")","")&amp;IF('Daily Sale entry '!U1322="",""," - "&amp;'Daily Sale entry '!U1322))</f>
        <v/>
      </c>
      <c r="H1322">
        <f>IF(C1322="","",COUNTIFS($C$2:$C$3001,C1322,$F$2:$F$3001,"&lt;"&amp;F1322)+1)</f>
        <v/>
      </c>
      <c r="I1322">
        <f>IF(C1322="","",C1322&amp;"|"&amp;H1322)</f>
        <v/>
      </c>
      <c r="J1322" s="6">
        <f>IF(C1322="","",IF(H1322=1,SUMIFS('Opening Balance'!$F$4:$F$303,'Opening Balance'!$G$4:$G$303,C1322),INDEX($L$2:$L$3001,MATCH(C1322&amp;"|"&amp;(H1322-1),$I$2:$I$3001,0))))</f>
        <v/>
      </c>
      <c r="K1322" s="6">
        <f>IF(C1322="","",IF(M1322&gt;0,M1322,IF(AND(E1322&gt;0,ROUND(J1322+D1322-E1322,2)&gt;0,ROUND(J1322+D1322-E1322,2)&lt;'Opening Balance'!$B$14),ROUND(J1322+D1322-E1322,2),0)))</f>
        <v/>
      </c>
      <c r="L1322" s="6">
        <f>IF(C1322="","",ROUND(J1322+D1322-E1322-K1322,2))</f>
        <v/>
      </c>
      <c r="M1322" s="6">
        <f>IF(C1322="","",IF('Daily Sale entry '!Q1322="Collection 收款",ROUND(N('Daily Sale entry '!T1322),2),0))</f>
        <v/>
      </c>
    </row>
    <row r="1323">
      <c r="A1323" t="inlineStr">
        <is>
          <t>Entry 记录</t>
        </is>
      </c>
      <c r="B1323" s="5">
        <f>IF('Daily Sale entry '!P1323="","",'Daily Sale entry '!O1323)</f>
        <v/>
      </c>
      <c r="C1323">
        <f>IF('Daily Sale entry '!P1323="","",'Daily Sale entry '!P1323)</f>
        <v/>
      </c>
      <c r="D1323">
        <f>IF(C1323="","",IF('Daily Sale entry '!Q1323="Credit Sale 赊销",'Daily Sale entry '!S1323,0))</f>
        <v/>
      </c>
      <c r="E1323">
        <f>IF(C1323="","",IF('Daily Sale entry '!Q1323="Collection 收款",'Daily Sale entry '!S1323,0))</f>
        <v/>
      </c>
      <c r="F1323" s="37">
        <f>IF(C1323="","",B1323+IF(E1323&gt;0,0,0.5)+ROW()/10000000)</f>
        <v/>
      </c>
      <c r="G1323">
        <f>IF(C1323="","",'Daily Sale entry '!Q1323&amp;IF('Daily Sale entry '!Q1323="Collection 收款"," ("&amp;'Daily Sale entry '!R1323&amp;")","")&amp;IF('Daily Sale entry '!U1323="",""," - "&amp;'Daily Sale entry '!U1323))</f>
        <v/>
      </c>
      <c r="H1323">
        <f>IF(C1323="","",COUNTIFS($C$2:$C$3001,C1323,$F$2:$F$3001,"&lt;"&amp;F1323)+1)</f>
        <v/>
      </c>
      <c r="I1323">
        <f>IF(C1323="","",C1323&amp;"|"&amp;H1323)</f>
        <v/>
      </c>
      <c r="J1323" s="6">
        <f>IF(C1323="","",IF(H1323=1,SUMIFS('Opening Balance'!$F$4:$F$303,'Opening Balance'!$G$4:$G$303,C1323),INDEX($L$2:$L$3001,MATCH(C1323&amp;"|"&amp;(H1323-1),$I$2:$I$3001,0))))</f>
        <v/>
      </c>
      <c r="K1323" s="6">
        <f>IF(C1323="","",IF(M1323&gt;0,M1323,IF(AND(E1323&gt;0,ROUND(J1323+D1323-E1323,2)&gt;0,ROUND(J1323+D1323-E1323,2)&lt;'Opening Balance'!$B$14),ROUND(J1323+D1323-E1323,2),0)))</f>
        <v/>
      </c>
      <c r="L1323" s="6">
        <f>IF(C1323="","",ROUND(J1323+D1323-E1323-K1323,2))</f>
        <v/>
      </c>
      <c r="M1323" s="6">
        <f>IF(C1323="","",IF('Daily Sale entry '!Q1323="Collection 收款",ROUND(N('Daily Sale entry '!T1323),2),0))</f>
        <v/>
      </c>
    </row>
    <row r="1324">
      <c r="A1324" t="inlineStr">
        <is>
          <t>Entry 记录</t>
        </is>
      </c>
      <c r="B1324" s="5">
        <f>IF('Daily Sale entry '!P1324="","",'Daily Sale entry '!O1324)</f>
        <v/>
      </c>
      <c r="C1324">
        <f>IF('Daily Sale entry '!P1324="","",'Daily Sale entry '!P1324)</f>
        <v/>
      </c>
      <c r="D1324">
        <f>IF(C1324="","",IF('Daily Sale entry '!Q1324="Credit Sale 赊销",'Daily Sale entry '!S1324,0))</f>
        <v/>
      </c>
      <c r="E1324">
        <f>IF(C1324="","",IF('Daily Sale entry '!Q1324="Collection 收款",'Daily Sale entry '!S1324,0))</f>
        <v/>
      </c>
      <c r="F1324" s="37">
        <f>IF(C1324="","",B1324+IF(E1324&gt;0,0,0.5)+ROW()/10000000)</f>
        <v/>
      </c>
      <c r="G1324">
        <f>IF(C1324="","",'Daily Sale entry '!Q1324&amp;IF('Daily Sale entry '!Q1324="Collection 收款"," ("&amp;'Daily Sale entry '!R1324&amp;")","")&amp;IF('Daily Sale entry '!U1324="",""," - "&amp;'Daily Sale entry '!U1324))</f>
        <v/>
      </c>
      <c r="H1324">
        <f>IF(C1324="","",COUNTIFS($C$2:$C$3001,C1324,$F$2:$F$3001,"&lt;"&amp;F1324)+1)</f>
        <v/>
      </c>
      <c r="I1324">
        <f>IF(C1324="","",C1324&amp;"|"&amp;H1324)</f>
        <v/>
      </c>
      <c r="J1324" s="6">
        <f>IF(C1324="","",IF(H1324=1,SUMIFS('Opening Balance'!$F$4:$F$303,'Opening Balance'!$G$4:$G$303,C1324),INDEX($L$2:$L$3001,MATCH(C1324&amp;"|"&amp;(H1324-1),$I$2:$I$3001,0))))</f>
        <v/>
      </c>
      <c r="K1324" s="6">
        <f>IF(C1324="","",IF(M1324&gt;0,M1324,IF(AND(E1324&gt;0,ROUND(J1324+D1324-E1324,2)&gt;0,ROUND(J1324+D1324-E1324,2)&lt;'Opening Balance'!$B$14),ROUND(J1324+D1324-E1324,2),0)))</f>
        <v/>
      </c>
      <c r="L1324" s="6">
        <f>IF(C1324="","",ROUND(J1324+D1324-E1324-K1324,2))</f>
        <v/>
      </c>
      <c r="M1324" s="6">
        <f>IF(C1324="","",IF('Daily Sale entry '!Q1324="Collection 收款",ROUND(N('Daily Sale entry '!T1324),2),0))</f>
        <v/>
      </c>
    </row>
    <row r="1325">
      <c r="A1325" t="inlineStr">
        <is>
          <t>Entry 记录</t>
        </is>
      </c>
      <c r="B1325" s="5">
        <f>IF('Daily Sale entry '!P1325="","",'Daily Sale entry '!O1325)</f>
        <v/>
      </c>
      <c r="C1325">
        <f>IF('Daily Sale entry '!P1325="","",'Daily Sale entry '!P1325)</f>
        <v/>
      </c>
      <c r="D1325">
        <f>IF(C1325="","",IF('Daily Sale entry '!Q1325="Credit Sale 赊销",'Daily Sale entry '!S1325,0))</f>
        <v/>
      </c>
      <c r="E1325">
        <f>IF(C1325="","",IF('Daily Sale entry '!Q1325="Collection 收款",'Daily Sale entry '!S1325,0))</f>
        <v/>
      </c>
      <c r="F1325" s="37">
        <f>IF(C1325="","",B1325+IF(E1325&gt;0,0,0.5)+ROW()/10000000)</f>
        <v/>
      </c>
      <c r="G1325">
        <f>IF(C1325="","",'Daily Sale entry '!Q1325&amp;IF('Daily Sale entry '!Q1325="Collection 收款"," ("&amp;'Daily Sale entry '!R1325&amp;")","")&amp;IF('Daily Sale entry '!U1325="",""," - "&amp;'Daily Sale entry '!U1325))</f>
        <v/>
      </c>
      <c r="H1325">
        <f>IF(C1325="","",COUNTIFS($C$2:$C$3001,C1325,$F$2:$F$3001,"&lt;"&amp;F1325)+1)</f>
        <v/>
      </c>
      <c r="I1325">
        <f>IF(C1325="","",C1325&amp;"|"&amp;H1325)</f>
        <v/>
      </c>
      <c r="J1325" s="6">
        <f>IF(C1325="","",IF(H1325=1,SUMIFS('Opening Balance'!$F$4:$F$303,'Opening Balance'!$G$4:$G$303,C1325),INDEX($L$2:$L$3001,MATCH(C1325&amp;"|"&amp;(H1325-1),$I$2:$I$3001,0))))</f>
        <v/>
      </c>
      <c r="K1325" s="6">
        <f>IF(C1325="","",IF(M1325&gt;0,M1325,IF(AND(E1325&gt;0,ROUND(J1325+D1325-E1325,2)&gt;0,ROUND(J1325+D1325-E1325,2)&lt;'Opening Balance'!$B$14),ROUND(J1325+D1325-E1325,2),0)))</f>
        <v/>
      </c>
      <c r="L1325" s="6">
        <f>IF(C1325="","",ROUND(J1325+D1325-E1325-K1325,2))</f>
        <v/>
      </c>
      <c r="M1325" s="6">
        <f>IF(C1325="","",IF('Daily Sale entry '!Q1325="Collection 收款",ROUND(N('Daily Sale entry '!T1325),2),0))</f>
        <v/>
      </c>
    </row>
    <row r="1326">
      <c r="A1326" t="inlineStr">
        <is>
          <t>Entry 记录</t>
        </is>
      </c>
      <c r="B1326" s="5">
        <f>IF('Daily Sale entry '!P1326="","",'Daily Sale entry '!O1326)</f>
        <v/>
      </c>
      <c r="C1326">
        <f>IF('Daily Sale entry '!P1326="","",'Daily Sale entry '!P1326)</f>
        <v/>
      </c>
      <c r="D1326">
        <f>IF(C1326="","",IF('Daily Sale entry '!Q1326="Credit Sale 赊销",'Daily Sale entry '!S1326,0))</f>
        <v/>
      </c>
      <c r="E1326">
        <f>IF(C1326="","",IF('Daily Sale entry '!Q1326="Collection 收款",'Daily Sale entry '!S1326,0))</f>
        <v/>
      </c>
      <c r="F1326" s="37">
        <f>IF(C1326="","",B1326+IF(E1326&gt;0,0,0.5)+ROW()/10000000)</f>
        <v/>
      </c>
      <c r="G1326">
        <f>IF(C1326="","",'Daily Sale entry '!Q1326&amp;IF('Daily Sale entry '!Q1326="Collection 收款"," ("&amp;'Daily Sale entry '!R1326&amp;")","")&amp;IF('Daily Sale entry '!U1326="",""," - "&amp;'Daily Sale entry '!U1326))</f>
        <v/>
      </c>
      <c r="H1326">
        <f>IF(C1326="","",COUNTIFS($C$2:$C$3001,C1326,$F$2:$F$3001,"&lt;"&amp;F1326)+1)</f>
        <v/>
      </c>
      <c r="I1326">
        <f>IF(C1326="","",C1326&amp;"|"&amp;H1326)</f>
        <v/>
      </c>
      <c r="J1326" s="6">
        <f>IF(C1326="","",IF(H1326=1,SUMIFS('Opening Balance'!$F$4:$F$303,'Opening Balance'!$G$4:$G$303,C1326),INDEX($L$2:$L$3001,MATCH(C1326&amp;"|"&amp;(H1326-1),$I$2:$I$3001,0))))</f>
        <v/>
      </c>
      <c r="K1326" s="6">
        <f>IF(C1326="","",IF(M1326&gt;0,M1326,IF(AND(E1326&gt;0,ROUND(J1326+D1326-E1326,2)&gt;0,ROUND(J1326+D1326-E1326,2)&lt;'Opening Balance'!$B$14),ROUND(J1326+D1326-E1326,2),0)))</f>
        <v/>
      </c>
      <c r="L1326" s="6">
        <f>IF(C1326="","",ROUND(J1326+D1326-E1326-K1326,2))</f>
        <v/>
      </c>
      <c r="M1326" s="6">
        <f>IF(C1326="","",IF('Daily Sale entry '!Q1326="Collection 收款",ROUND(N('Daily Sale entry '!T1326),2),0))</f>
        <v/>
      </c>
    </row>
    <row r="1327">
      <c r="A1327" t="inlineStr">
        <is>
          <t>Entry 记录</t>
        </is>
      </c>
      <c r="B1327" s="5">
        <f>IF('Daily Sale entry '!P1327="","",'Daily Sale entry '!O1327)</f>
        <v/>
      </c>
      <c r="C1327">
        <f>IF('Daily Sale entry '!P1327="","",'Daily Sale entry '!P1327)</f>
        <v/>
      </c>
      <c r="D1327">
        <f>IF(C1327="","",IF('Daily Sale entry '!Q1327="Credit Sale 赊销",'Daily Sale entry '!S1327,0))</f>
        <v/>
      </c>
      <c r="E1327">
        <f>IF(C1327="","",IF('Daily Sale entry '!Q1327="Collection 收款",'Daily Sale entry '!S1327,0))</f>
        <v/>
      </c>
      <c r="F1327" s="37">
        <f>IF(C1327="","",B1327+IF(E1327&gt;0,0,0.5)+ROW()/10000000)</f>
        <v/>
      </c>
      <c r="G1327">
        <f>IF(C1327="","",'Daily Sale entry '!Q1327&amp;IF('Daily Sale entry '!Q1327="Collection 收款"," ("&amp;'Daily Sale entry '!R1327&amp;")","")&amp;IF('Daily Sale entry '!U1327="",""," - "&amp;'Daily Sale entry '!U1327))</f>
        <v/>
      </c>
      <c r="H1327">
        <f>IF(C1327="","",COUNTIFS($C$2:$C$3001,C1327,$F$2:$F$3001,"&lt;"&amp;F1327)+1)</f>
        <v/>
      </c>
      <c r="I1327">
        <f>IF(C1327="","",C1327&amp;"|"&amp;H1327)</f>
        <v/>
      </c>
      <c r="J1327" s="6">
        <f>IF(C1327="","",IF(H1327=1,SUMIFS('Opening Balance'!$F$4:$F$303,'Opening Balance'!$G$4:$G$303,C1327),INDEX($L$2:$L$3001,MATCH(C1327&amp;"|"&amp;(H1327-1),$I$2:$I$3001,0))))</f>
        <v/>
      </c>
      <c r="K1327" s="6">
        <f>IF(C1327="","",IF(M1327&gt;0,M1327,IF(AND(E1327&gt;0,ROUND(J1327+D1327-E1327,2)&gt;0,ROUND(J1327+D1327-E1327,2)&lt;'Opening Balance'!$B$14),ROUND(J1327+D1327-E1327,2),0)))</f>
        <v/>
      </c>
      <c r="L1327" s="6">
        <f>IF(C1327="","",ROUND(J1327+D1327-E1327-K1327,2))</f>
        <v/>
      </c>
      <c r="M1327" s="6">
        <f>IF(C1327="","",IF('Daily Sale entry '!Q1327="Collection 收款",ROUND(N('Daily Sale entry '!T1327),2),0))</f>
        <v/>
      </c>
    </row>
    <row r="1328">
      <c r="A1328" t="inlineStr">
        <is>
          <t>Entry 记录</t>
        </is>
      </c>
      <c r="B1328" s="5">
        <f>IF('Daily Sale entry '!P1328="","",'Daily Sale entry '!O1328)</f>
        <v/>
      </c>
      <c r="C1328">
        <f>IF('Daily Sale entry '!P1328="","",'Daily Sale entry '!P1328)</f>
        <v/>
      </c>
      <c r="D1328">
        <f>IF(C1328="","",IF('Daily Sale entry '!Q1328="Credit Sale 赊销",'Daily Sale entry '!S1328,0))</f>
        <v/>
      </c>
      <c r="E1328">
        <f>IF(C1328="","",IF('Daily Sale entry '!Q1328="Collection 收款",'Daily Sale entry '!S1328,0))</f>
        <v/>
      </c>
      <c r="F1328" s="37">
        <f>IF(C1328="","",B1328+IF(E1328&gt;0,0,0.5)+ROW()/10000000)</f>
        <v/>
      </c>
      <c r="G1328">
        <f>IF(C1328="","",'Daily Sale entry '!Q1328&amp;IF('Daily Sale entry '!Q1328="Collection 收款"," ("&amp;'Daily Sale entry '!R1328&amp;")","")&amp;IF('Daily Sale entry '!U1328="",""," - "&amp;'Daily Sale entry '!U1328))</f>
        <v/>
      </c>
      <c r="H1328">
        <f>IF(C1328="","",COUNTIFS($C$2:$C$3001,C1328,$F$2:$F$3001,"&lt;"&amp;F1328)+1)</f>
        <v/>
      </c>
      <c r="I1328">
        <f>IF(C1328="","",C1328&amp;"|"&amp;H1328)</f>
        <v/>
      </c>
      <c r="J1328" s="6">
        <f>IF(C1328="","",IF(H1328=1,SUMIFS('Opening Balance'!$F$4:$F$303,'Opening Balance'!$G$4:$G$303,C1328),INDEX($L$2:$L$3001,MATCH(C1328&amp;"|"&amp;(H1328-1),$I$2:$I$3001,0))))</f>
        <v/>
      </c>
      <c r="K1328" s="6">
        <f>IF(C1328="","",IF(M1328&gt;0,M1328,IF(AND(E1328&gt;0,ROUND(J1328+D1328-E1328,2)&gt;0,ROUND(J1328+D1328-E1328,2)&lt;'Opening Balance'!$B$14),ROUND(J1328+D1328-E1328,2),0)))</f>
        <v/>
      </c>
      <c r="L1328" s="6">
        <f>IF(C1328="","",ROUND(J1328+D1328-E1328-K1328,2))</f>
        <v/>
      </c>
      <c r="M1328" s="6">
        <f>IF(C1328="","",IF('Daily Sale entry '!Q1328="Collection 收款",ROUND(N('Daily Sale entry '!T1328),2),0))</f>
        <v/>
      </c>
    </row>
    <row r="1329">
      <c r="A1329" t="inlineStr">
        <is>
          <t>Entry 记录</t>
        </is>
      </c>
      <c r="B1329" s="5">
        <f>IF('Daily Sale entry '!P1329="","",'Daily Sale entry '!O1329)</f>
        <v/>
      </c>
      <c r="C1329">
        <f>IF('Daily Sale entry '!P1329="","",'Daily Sale entry '!P1329)</f>
        <v/>
      </c>
      <c r="D1329">
        <f>IF(C1329="","",IF('Daily Sale entry '!Q1329="Credit Sale 赊销",'Daily Sale entry '!S1329,0))</f>
        <v/>
      </c>
      <c r="E1329">
        <f>IF(C1329="","",IF('Daily Sale entry '!Q1329="Collection 收款",'Daily Sale entry '!S1329,0))</f>
        <v/>
      </c>
      <c r="F1329" s="37">
        <f>IF(C1329="","",B1329+IF(E1329&gt;0,0,0.5)+ROW()/10000000)</f>
        <v/>
      </c>
      <c r="G1329">
        <f>IF(C1329="","",'Daily Sale entry '!Q1329&amp;IF('Daily Sale entry '!Q1329="Collection 收款"," ("&amp;'Daily Sale entry '!R1329&amp;")","")&amp;IF('Daily Sale entry '!U1329="",""," - "&amp;'Daily Sale entry '!U1329))</f>
        <v/>
      </c>
      <c r="H1329">
        <f>IF(C1329="","",COUNTIFS($C$2:$C$3001,C1329,$F$2:$F$3001,"&lt;"&amp;F1329)+1)</f>
        <v/>
      </c>
      <c r="I1329">
        <f>IF(C1329="","",C1329&amp;"|"&amp;H1329)</f>
        <v/>
      </c>
      <c r="J1329" s="6">
        <f>IF(C1329="","",IF(H1329=1,SUMIFS('Opening Balance'!$F$4:$F$303,'Opening Balance'!$G$4:$G$303,C1329),INDEX($L$2:$L$3001,MATCH(C1329&amp;"|"&amp;(H1329-1),$I$2:$I$3001,0))))</f>
        <v/>
      </c>
      <c r="K1329" s="6">
        <f>IF(C1329="","",IF(M1329&gt;0,M1329,IF(AND(E1329&gt;0,ROUND(J1329+D1329-E1329,2)&gt;0,ROUND(J1329+D1329-E1329,2)&lt;'Opening Balance'!$B$14),ROUND(J1329+D1329-E1329,2),0)))</f>
        <v/>
      </c>
      <c r="L1329" s="6">
        <f>IF(C1329="","",ROUND(J1329+D1329-E1329-K1329,2))</f>
        <v/>
      </c>
      <c r="M1329" s="6">
        <f>IF(C1329="","",IF('Daily Sale entry '!Q1329="Collection 收款",ROUND(N('Daily Sale entry '!T1329),2),0))</f>
        <v/>
      </c>
    </row>
    <row r="1330">
      <c r="A1330" t="inlineStr">
        <is>
          <t>Entry 记录</t>
        </is>
      </c>
      <c r="B1330" s="5">
        <f>IF('Daily Sale entry '!P1330="","",'Daily Sale entry '!O1330)</f>
        <v/>
      </c>
      <c r="C1330">
        <f>IF('Daily Sale entry '!P1330="","",'Daily Sale entry '!P1330)</f>
        <v/>
      </c>
      <c r="D1330">
        <f>IF(C1330="","",IF('Daily Sale entry '!Q1330="Credit Sale 赊销",'Daily Sale entry '!S1330,0))</f>
        <v/>
      </c>
      <c r="E1330">
        <f>IF(C1330="","",IF('Daily Sale entry '!Q1330="Collection 收款",'Daily Sale entry '!S1330,0))</f>
        <v/>
      </c>
      <c r="F1330" s="37">
        <f>IF(C1330="","",B1330+IF(E1330&gt;0,0,0.5)+ROW()/10000000)</f>
        <v/>
      </c>
      <c r="G1330">
        <f>IF(C1330="","",'Daily Sale entry '!Q1330&amp;IF('Daily Sale entry '!Q1330="Collection 收款"," ("&amp;'Daily Sale entry '!R1330&amp;")","")&amp;IF('Daily Sale entry '!U1330="",""," - "&amp;'Daily Sale entry '!U1330))</f>
        <v/>
      </c>
      <c r="H1330">
        <f>IF(C1330="","",COUNTIFS($C$2:$C$3001,C1330,$F$2:$F$3001,"&lt;"&amp;F1330)+1)</f>
        <v/>
      </c>
      <c r="I1330">
        <f>IF(C1330="","",C1330&amp;"|"&amp;H1330)</f>
        <v/>
      </c>
      <c r="J1330" s="6">
        <f>IF(C1330="","",IF(H1330=1,SUMIFS('Opening Balance'!$F$4:$F$303,'Opening Balance'!$G$4:$G$303,C1330),INDEX($L$2:$L$3001,MATCH(C1330&amp;"|"&amp;(H1330-1),$I$2:$I$3001,0))))</f>
        <v/>
      </c>
      <c r="K1330" s="6">
        <f>IF(C1330="","",IF(M1330&gt;0,M1330,IF(AND(E1330&gt;0,ROUND(J1330+D1330-E1330,2)&gt;0,ROUND(J1330+D1330-E1330,2)&lt;'Opening Balance'!$B$14),ROUND(J1330+D1330-E1330,2),0)))</f>
        <v/>
      </c>
      <c r="L1330" s="6">
        <f>IF(C1330="","",ROUND(J1330+D1330-E1330-K1330,2))</f>
        <v/>
      </c>
      <c r="M1330" s="6">
        <f>IF(C1330="","",IF('Daily Sale entry '!Q1330="Collection 收款",ROUND(N('Daily Sale entry '!T1330),2),0))</f>
        <v/>
      </c>
    </row>
    <row r="1331">
      <c r="A1331" t="inlineStr">
        <is>
          <t>Entry 记录</t>
        </is>
      </c>
      <c r="B1331" s="5">
        <f>IF('Daily Sale entry '!P1331="","",'Daily Sale entry '!O1331)</f>
        <v/>
      </c>
      <c r="C1331">
        <f>IF('Daily Sale entry '!P1331="","",'Daily Sale entry '!P1331)</f>
        <v/>
      </c>
      <c r="D1331">
        <f>IF(C1331="","",IF('Daily Sale entry '!Q1331="Credit Sale 赊销",'Daily Sale entry '!S1331,0))</f>
        <v/>
      </c>
      <c r="E1331">
        <f>IF(C1331="","",IF('Daily Sale entry '!Q1331="Collection 收款",'Daily Sale entry '!S1331,0))</f>
        <v/>
      </c>
      <c r="F1331" s="37">
        <f>IF(C1331="","",B1331+IF(E1331&gt;0,0,0.5)+ROW()/10000000)</f>
        <v/>
      </c>
      <c r="G1331">
        <f>IF(C1331="","",'Daily Sale entry '!Q1331&amp;IF('Daily Sale entry '!Q1331="Collection 收款"," ("&amp;'Daily Sale entry '!R1331&amp;")","")&amp;IF('Daily Sale entry '!U1331="",""," - "&amp;'Daily Sale entry '!U1331))</f>
        <v/>
      </c>
      <c r="H1331">
        <f>IF(C1331="","",COUNTIFS($C$2:$C$3001,C1331,$F$2:$F$3001,"&lt;"&amp;F1331)+1)</f>
        <v/>
      </c>
      <c r="I1331">
        <f>IF(C1331="","",C1331&amp;"|"&amp;H1331)</f>
        <v/>
      </c>
      <c r="J1331" s="6">
        <f>IF(C1331="","",IF(H1331=1,SUMIFS('Opening Balance'!$F$4:$F$303,'Opening Balance'!$G$4:$G$303,C1331),INDEX($L$2:$L$3001,MATCH(C1331&amp;"|"&amp;(H1331-1),$I$2:$I$3001,0))))</f>
        <v/>
      </c>
      <c r="K1331" s="6">
        <f>IF(C1331="","",IF(M1331&gt;0,M1331,IF(AND(E1331&gt;0,ROUND(J1331+D1331-E1331,2)&gt;0,ROUND(J1331+D1331-E1331,2)&lt;'Opening Balance'!$B$14),ROUND(J1331+D1331-E1331,2),0)))</f>
        <v/>
      </c>
      <c r="L1331" s="6">
        <f>IF(C1331="","",ROUND(J1331+D1331-E1331-K1331,2))</f>
        <v/>
      </c>
      <c r="M1331" s="6">
        <f>IF(C1331="","",IF('Daily Sale entry '!Q1331="Collection 收款",ROUND(N('Daily Sale entry '!T1331),2),0))</f>
        <v/>
      </c>
    </row>
    <row r="1332">
      <c r="A1332" t="inlineStr">
        <is>
          <t>Entry 记录</t>
        </is>
      </c>
      <c r="B1332" s="5">
        <f>IF('Daily Sale entry '!P1332="","",'Daily Sale entry '!O1332)</f>
        <v/>
      </c>
      <c r="C1332">
        <f>IF('Daily Sale entry '!P1332="","",'Daily Sale entry '!P1332)</f>
        <v/>
      </c>
      <c r="D1332">
        <f>IF(C1332="","",IF('Daily Sale entry '!Q1332="Credit Sale 赊销",'Daily Sale entry '!S1332,0))</f>
        <v/>
      </c>
      <c r="E1332">
        <f>IF(C1332="","",IF('Daily Sale entry '!Q1332="Collection 收款",'Daily Sale entry '!S1332,0))</f>
        <v/>
      </c>
      <c r="F1332" s="37">
        <f>IF(C1332="","",B1332+IF(E1332&gt;0,0,0.5)+ROW()/10000000)</f>
        <v/>
      </c>
      <c r="G1332">
        <f>IF(C1332="","",'Daily Sale entry '!Q1332&amp;IF('Daily Sale entry '!Q1332="Collection 收款"," ("&amp;'Daily Sale entry '!R1332&amp;")","")&amp;IF('Daily Sale entry '!U1332="",""," - "&amp;'Daily Sale entry '!U1332))</f>
        <v/>
      </c>
      <c r="H1332">
        <f>IF(C1332="","",COUNTIFS($C$2:$C$3001,C1332,$F$2:$F$3001,"&lt;"&amp;F1332)+1)</f>
        <v/>
      </c>
      <c r="I1332">
        <f>IF(C1332="","",C1332&amp;"|"&amp;H1332)</f>
        <v/>
      </c>
      <c r="J1332" s="6">
        <f>IF(C1332="","",IF(H1332=1,SUMIFS('Opening Balance'!$F$4:$F$303,'Opening Balance'!$G$4:$G$303,C1332),INDEX($L$2:$L$3001,MATCH(C1332&amp;"|"&amp;(H1332-1),$I$2:$I$3001,0))))</f>
        <v/>
      </c>
      <c r="K1332" s="6">
        <f>IF(C1332="","",IF(M1332&gt;0,M1332,IF(AND(E1332&gt;0,ROUND(J1332+D1332-E1332,2)&gt;0,ROUND(J1332+D1332-E1332,2)&lt;'Opening Balance'!$B$14),ROUND(J1332+D1332-E1332,2),0)))</f>
        <v/>
      </c>
      <c r="L1332" s="6">
        <f>IF(C1332="","",ROUND(J1332+D1332-E1332-K1332,2))</f>
        <v/>
      </c>
      <c r="M1332" s="6">
        <f>IF(C1332="","",IF('Daily Sale entry '!Q1332="Collection 收款",ROUND(N('Daily Sale entry '!T1332),2),0))</f>
        <v/>
      </c>
    </row>
    <row r="1333">
      <c r="A1333" t="inlineStr">
        <is>
          <t>Entry 记录</t>
        </is>
      </c>
      <c r="B1333" s="5">
        <f>IF('Daily Sale entry '!P1333="","",'Daily Sale entry '!O1333)</f>
        <v/>
      </c>
      <c r="C1333">
        <f>IF('Daily Sale entry '!P1333="","",'Daily Sale entry '!P1333)</f>
        <v/>
      </c>
      <c r="D1333">
        <f>IF(C1333="","",IF('Daily Sale entry '!Q1333="Credit Sale 赊销",'Daily Sale entry '!S1333,0))</f>
        <v/>
      </c>
      <c r="E1333">
        <f>IF(C1333="","",IF('Daily Sale entry '!Q1333="Collection 收款",'Daily Sale entry '!S1333,0))</f>
        <v/>
      </c>
      <c r="F1333" s="37">
        <f>IF(C1333="","",B1333+IF(E1333&gt;0,0,0.5)+ROW()/10000000)</f>
        <v/>
      </c>
      <c r="G1333">
        <f>IF(C1333="","",'Daily Sale entry '!Q1333&amp;IF('Daily Sale entry '!Q1333="Collection 收款"," ("&amp;'Daily Sale entry '!R1333&amp;")","")&amp;IF('Daily Sale entry '!U1333="",""," - "&amp;'Daily Sale entry '!U1333))</f>
        <v/>
      </c>
      <c r="H1333">
        <f>IF(C1333="","",COUNTIFS($C$2:$C$3001,C1333,$F$2:$F$3001,"&lt;"&amp;F1333)+1)</f>
        <v/>
      </c>
      <c r="I1333">
        <f>IF(C1333="","",C1333&amp;"|"&amp;H1333)</f>
        <v/>
      </c>
      <c r="J1333" s="6">
        <f>IF(C1333="","",IF(H1333=1,SUMIFS('Opening Balance'!$F$4:$F$303,'Opening Balance'!$G$4:$G$303,C1333),INDEX($L$2:$L$3001,MATCH(C1333&amp;"|"&amp;(H1333-1),$I$2:$I$3001,0))))</f>
        <v/>
      </c>
      <c r="K1333" s="6">
        <f>IF(C1333="","",IF(M1333&gt;0,M1333,IF(AND(E1333&gt;0,ROUND(J1333+D1333-E1333,2)&gt;0,ROUND(J1333+D1333-E1333,2)&lt;'Opening Balance'!$B$14),ROUND(J1333+D1333-E1333,2),0)))</f>
        <v/>
      </c>
      <c r="L1333" s="6">
        <f>IF(C1333="","",ROUND(J1333+D1333-E1333-K1333,2))</f>
        <v/>
      </c>
      <c r="M1333" s="6">
        <f>IF(C1333="","",IF('Daily Sale entry '!Q1333="Collection 收款",ROUND(N('Daily Sale entry '!T1333),2),0))</f>
        <v/>
      </c>
    </row>
    <row r="1334">
      <c r="A1334" t="inlineStr">
        <is>
          <t>Entry 记录</t>
        </is>
      </c>
      <c r="B1334" s="5">
        <f>IF('Daily Sale entry '!P1334="","",'Daily Sale entry '!O1334)</f>
        <v/>
      </c>
      <c r="C1334">
        <f>IF('Daily Sale entry '!P1334="","",'Daily Sale entry '!P1334)</f>
        <v/>
      </c>
      <c r="D1334">
        <f>IF(C1334="","",IF('Daily Sale entry '!Q1334="Credit Sale 赊销",'Daily Sale entry '!S1334,0))</f>
        <v/>
      </c>
      <c r="E1334">
        <f>IF(C1334="","",IF('Daily Sale entry '!Q1334="Collection 收款",'Daily Sale entry '!S1334,0))</f>
        <v/>
      </c>
      <c r="F1334" s="37">
        <f>IF(C1334="","",B1334+IF(E1334&gt;0,0,0.5)+ROW()/10000000)</f>
        <v/>
      </c>
      <c r="G1334">
        <f>IF(C1334="","",'Daily Sale entry '!Q1334&amp;IF('Daily Sale entry '!Q1334="Collection 收款"," ("&amp;'Daily Sale entry '!R1334&amp;")","")&amp;IF('Daily Sale entry '!U1334="",""," - "&amp;'Daily Sale entry '!U1334))</f>
        <v/>
      </c>
      <c r="H1334">
        <f>IF(C1334="","",COUNTIFS($C$2:$C$3001,C1334,$F$2:$F$3001,"&lt;"&amp;F1334)+1)</f>
        <v/>
      </c>
      <c r="I1334">
        <f>IF(C1334="","",C1334&amp;"|"&amp;H1334)</f>
        <v/>
      </c>
      <c r="J1334" s="6">
        <f>IF(C1334="","",IF(H1334=1,SUMIFS('Opening Balance'!$F$4:$F$303,'Opening Balance'!$G$4:$G$303,C1334),INDEX($L$2:$L$3001,MATCH(C1334&amp;"|"&amp;(H1334-1),$I$2:$I$3001,0))))</f>
        <v/>
      </c>
      <c r="K1334" s="6">
        <f>IF(C1334="","",IF(M1334&gt;0,M1334,IF(AND(E1334&gt;0,ROUND(J1334+D1334-E1334,2)&gt;0,ROUND(J1334+D1334-E1334,2)&lt;'Opening Balance'!$B$14),ROUND(J1334+D1334-E1334,2),0)))</f>
        <v/>
      </c>
      <c r="L1334" s="6">
        <f>IF(C1334="","",ROUND(J1334+D1334-E1334-K1334,2))</f>
        <v/>
      </c>
      <c r="M1334" s="6">
        <f>IF(C1334="","",IF('Daily Sale entry '!Q1334="Collection 收款",ROUND(N('Daily Sale entry '!T1334),2),0))</f>
        <v/>
      </c>
    </row>
    <row r="1335">
      <c r="A1335" t="inlineStr">
        <is>
          <t>Entry 记录</t>
        </is>
      </c>
      <c r="B1335" s="5">
        <f>IF('Daily Sale entry '!P1335="","",'Daily Sale entry '!O1335)</f>
        <v/>
      </c>
      <c r="C1335">
        <f>IF('Daily Sale entry '!P1335="","",'Daily Sale entry '!P1335)</f>
        <v/>
      </c>
      <c r="D1335">
        <f>IF(C1335="","",IF('Daily Sale entry '!Q1335="Credit Sale 赊销",'Daily Sale entry '!S1335,0))</f>
        <v/>
      </c>
      <c r="E1335">
        <f>IF(C1335="","",IF('Daily Sale entry '!Q1335="Collection 收款",'Daily Sale entry '!S1335,0))</f>
        <v/>
      </c>
      <c r="F1335" s="37">
        <f>IF(C1335="","",B1335+IF(E1335&gt;0,0,0.5)+ROW()/10000000)</f>
        <v/>
      </c>
      <c r="G1335">
        <f>IF(C1335="","",'Daily Sale entry '!Q1335&amp;IF('Daily Sale entry '!Q1335="Collection 收款"," ("&amp;'Daily Sale entry '!R1335&amp;")","")&amp;IF('Daily Sale entry '!U1335="",""," - "&amp;'Daily Sale entry '!U1335))</f>
        <v/>
      </c>
      <c r="H1335">
        <f>IF(C1335="","",COUNTIFS($C$2:$C$3001,C1335,$F$2:$F$3001,"&lt;"&amp;F1335)+1)</f>
        <v/>
      </c>
      <c r="I1335">
        <f>IF(C1335="","",C1335&amp;"|"&amp;H1335)</f>
        <v/>
      </c>
      <c r="J1335" s="6">
        <f>IF(C1335="","",IF(H1335=1,SUMIFS('Opening Balance'!$F$4:$F$303,'Opening Balance'!$G$4:$G$303,C1335),INDEX($L$2:$L$3001,MATCH(C1335&amp;"|"&amp;(H1335-1),$I$2:$I$3001,0))))</f>
        <v/>
      </c>
      <c r="K1335" s="6">
        <f>IF(C1335="","",IF(M1335&gt;0,M1335,IF(AND(E1335&gt;0,ROUND(J1335+D1335-E1335,2)&gt;0,ROUND(J1335+D1335-E1335,2)&lt;'Opening Balance'!$B$14),ROUND(J1335+D1335-E1335,2),0)))</f>
        <v/>
      </c>
      <c r="L1335" s="6">
        <f>IF(C1335="","",ROUND(J1335+D1335-E1335-K1335,2))</f>
        <v/>
      </c>
      <c r="M1335" s="6">
        <f>IF(C1335="","",IF('Daily Sale entry '!Q1335="Collection 收款",ROUND(N('Daily Sale entry '!T1335),2),0))</f>
        <v/>
      </c>
    </row>
    <row r="1336">
      <c r="A1336" t="inlineStr">
        <is>
          <t>Entry 记录</t>
        </is>
      </c>
      <c r="B1336" s="5">
        <f>IF('Daily Sale entry '!P1336="","",'Daily Sale entry '!O1336)</f>
        <v/>
      </c>
      <c r="C1336">
        <f>IF('Daily Sale entry '!P1336="","",'Daily Sale entry '!P1336)</f>
        <v/>
      </c>
      <c r="D1336">
        <f>IF(C1336="","",IF('Daily Sale entry '!Q1336="Credit Sale 赊销",'Daily Sale entry '!S1336,0))</f>
        <v/>
      </c>
      <c r="E1336">
        <f>IF(C1336="","",IF('Daily Sale entry '!Q1336="Collection 收款",'Daily Sale entry '!S1336,0))</f>
        <v/>
      </c>
      <c r="F1336" s="37">
        <f>IF(C1336="","",B1336+IF(E1336&gt;0,0,0.5)+ROW()/10000000)</f>
        <v/>
      </c>
      <c r="G1336">
        <f>IF(C1336="","",'Daily Sale entry '!Q1336&amp;IF('Daily Sale entry '!Q1336="Collection 收款"," ("&amp;'Daily Sale entry '!R1336&amp;")","")&amp;IF('Daily Sale entry '!U1336="",""," - "&amp;'Daily Sale entry '!U1336))</f>
        <v/>
      </c>
      <c r="H1336">
        <f>IF(C1336="","",COUNTIFS($C$2:$C$3001,C1336,$F$2:$F$3001,"&lt;"&amp;F1336)+1)</f>
        <v/>
      </c>
      <c r="I1336">
        <f>IF(C1336="","",C1336&amp;"|"&amp;H1336)</f>
        <v/>
      </c>
      <c r="J1336" s="6">
        <f>IF(C1336="","",IF(H1336=1,SUMIFS('Opening Balance'!$F$4:$F$303,'Opening Balance'!$G$4:$G$303,C1336),INDEX($L$2:$L$3001,MATCH(C1336&amp;"|"&amp;(H1336-1),$I$2:$I$3001,0))))</f>
        <v/>
      </c>
      <c r="K1336" s="6">
        <f>IF(C1336="","",IF(M1336&gt;0,M1336,IF(AND(E1336&gt;0,ROUND(J1336+D1336-E1336,2)&gt;0,ROUND(J1336+D1336-E1336,2)&lt;'Opening Balance'!$B$14),ROUND(J1336+D1336-E1336,2),0)))</f>
        <v/>
      </c>
      <c r="L1336" s="6">
        <f>IF(C1336="","",ROUND(J1336+D1336-E1336-K1336,2))</f>
        <v/>
      </c>
      <c r="M1336" s="6">
        <f>IF(C1336="","",IF('Daily Sale entry '!Q1336="Collection 收款",ROUND(N('Daily Sale entry '!T1336),2),0))</f>
        <v/>
      </c>
    </row>
    <row r="1337">
      <c r="A1337" t="inlineStr">
        <is>
          <t>Entry 记录</t>
        </is>
      </c>
      <c r="B1337" s="5">
        <f>IF('Daily Sale entry '!P1337="","",'Daily Sale entry '!O1337)</f>
        <v/>
      </c>
      <c r="C1337">
        <f>IF('Daily Sale entry '!P1337="","",'Daily Sale entry '!P1337)</f>
        <v/>
      </c>
      <c r="D1337">
        <f>IF(C1337="","",IF('Daily Sale entry '!Q1337="Credit Sale 赊销",'Daily Sale entry '!S1337,0))</f>
        <v/>
      </c>
      <c r="E1337">
        <f>IF(C1337="","",IF('Daily Sale entry '!Q1337="Collection 收款",'Daily Sale entry '!S1337,0))</f>
        <v/>
      </c>
      <c r="F1337" s="37">
        <f>IF(C1337="","",B1337+IF(E1337&gt;0,0,0.5)+ROW()/10000000)</f>
        <v/>
      </c>
      <c r="G1337">
        <f>IF(C1337="","",'Daily Sale entry '!Q1337&amp;IF('Daily Sale entry '!Q1337="Collection 收款"," ("&amp;'Daily Sale entry '!R1337&amp;")","")&amp;IF('Daily Sale entry '!U1337="",""," - "&amp;'Daily Sale entry '!U1337))</f>
        <v/>
      </c>
      <c r="H1337">
        <f>IF(C1337="","",COUNTIFS($C$2:$C$3001,C1337,$F$2:$F$3001,"&lt;"&amp;F1337)+1)</f>
        <v/>
      </c>
      <c r="I1337">
        <f>IF(C1337="","",C1337&amp;"|"&amp;H1337)</f>
        <v/>
      </c>
      <c r="J1337" s="6">
        <f>IF(C1337="","",IF(H1337=1,SUMIFS('Opening Balance'!$F$4:$F$303,'Opening Balance'!$G$4:$G$303,C1337),INDEX($L$2:$L$3001,MATCH(C1337&amp;"|"&amp;(H1337-1),$I$2:$I$3001,0))))</f>
        <v/>
      </c>
      <c r="K1337" s="6">
        <f>IF(C1337="","",IF(M1337&gt;0,M1337,IF(AND(E1337&gt;0,ROUND(J1337+D1337-E1337,2)&gt;0,ROUND(J1337+D1337-E1337,2)&lt;'Opening Balance'!$B$14),ROUND(J1337+D1337-E1337,2),0)))</f>
        <v/>
      </c>
      <c r="L1337" s="6">
        <f>IF(C1337="","",ROUND(J1337+D1337-E1337-K1337,2))</f>
        <v/>
      </c>
      <c r="M1337" s="6">
        <f>IF(C1337="","",IF('Daily Sale entry '!Q1337="Collection 收款",ROUND(N('Daily Sale entry '!T1337),2),0))</f>
        <v/>
      </c>
    </row>
    <row r="1338">
      <c r="A1338" t="inlineStr">
        <is>
          <t>Entry 记录</t>
        </is>
      </c>
      <c r="B1338" s="5">
        <f>IF('Daily Sale entry '!P1338="","",'Daily Sale entry '!O1338)</f>
        <v/>
      </c>
      <c r="C1338">
        <f>IF('Daily Sale entry '!P1338="","",'Daily Sale entry '!P1338)</f>
        <v/>
      </c>
      <c r="D1338">
        <f>IF(C1338="","",IF('Daily Sale entry '!Q1338="Credit Sale 赊销",'Daily Sale entry '!S1338,0))</f>
        <v/>
      </c>
      <c r="E1338">
        <f>IF(C1338="","",IF('Daily Sale entry '!Q1338="Collection 收款",'Daily Sale entry '!S1338,0))</f>
        <v/>
      </c>
      <c r="F1338" s="37">
        <f>IF(C1338="","",B1338+IF(E1338&gt;0,0,0.5)+ROW()/10000000)</f>
        <v/>
      </c>
      <c r="G1338">
        <f>IF(C1338="","",'Daily Sale entry '!Q1338&amp;IF('Daily Sale entry '!Q1338="Collection 收款"," ("&amp;'Daily Sale entry '!R1338&amp;")","")&amp;IF('Daily Sale entry '!U1338="",""," - "&amp;'Daily Sale entry '!U1338))</f>
        <v/>
      </c>
      <c r="H1338">
        <f>IF(C1338="","",COUNTIFS($C$2:$C$3001,C1338,$F$2:$F$3001,"&lt;"&amp;F1338)+1)</f>
        <v/>
      </c>
      <c r="I1338">
        <f>IF(C1338="","",C1338&amp;"|"&amp;H1338)</f>
        <v/>
      </c>
      <c r="J1338" s="6">
        <f>IF(C1338="","",IF(H1338=1,SUMIFS('Opening Balance'!$F$4:$F$303,'Opening Balance'!$G$4:$G$303,C1338),INDEX($L$2:$L$3001,MATCH(C1338&amp;"|"&amp;(H1338-1),$I$2:$I$3001,0))))</f>
        <v/>
      </c>
      <c r="K1338" s="6">
        <f>IF(C1338="","",IF(M1338&gt;0,M1338,IF(AND(E1338&gt;0,ROUND(J1338+D1338-E1338,2)&gt;0,ROUND(J1338+D1338-E1338,2)&lt;'Opening Balance'!$B$14),ROUND(J1338+D1338-E1338,2),0)))</f>
        <v/>
      </c>
      <c r="L1338" s="6">
        <f>IF(C1338="","",ROUND(J1338+D1338-E1338-K1338,2))</f>
        <v/>
      </c>
      <c r="M1338" s="6">
        <f>IF(C1338="","",IF('Daily Sale entry '!Q1338="Collection 收款",ROUND(N('Daily Sale entry '!T1338),2),0))</f>
        <v/>
      </c>
    </row>
    <row r="1339">
      <c r="A1339" t="inlineStr">
        <is>
          <t>Entry 记录</t>
        </is>
      </c>
      <c r="B1339" s="5">
        <f>IF('Daily Sale entry '!P1339="","",'Daily Sale entry '!O1339)</f>
        <v/>
      </c>
      <c r="C1339">
        <f>IF('Daily Sale entry '!P1339="","",'Daily Sale entry '!P1339)</f>
        <v/>
      </c>
      <c r="D1339">
        <f>IF(C1339="","",IF('Daily Sale entry '!Q1339="Credit Sale 赊销",'Daily Sale entry '!S1339,0))</f>
        <v/>
      </c>
      <c r="E1339">
        <f>IF(C1339="","",IF('Daily Sale entry '!Q1339="Collection 收款",'Daily Sale entry '!S1339,0))</f>
        <v/>
      </c>
      <c r="F1339" s="37">
        <f>IF(C1339="","",B1339+IF(E1339&gt;0,0,0.5)+ROW()/10000000)</f>
        <v/>
      </c>
      <c r="G1339">
        <f>IF(C1339="","",'Daily Sale entry '!Q1339&amp;IF('Daily Sale entry '!Q1339="Collection 收款"," ("&amp;'Daily Sale entry '!R1339&amp;")","")&amp;IF('Daily Sale entry '!U1339="",""," - "&amp;'Daily Sale entry '!U1339))</f>
        <v/>
      </c>
      <c r="H1339">
        <f>IF(C1339="","",COUNTIFS($C$2:$C$3001,C1339,$F$2:$F$3001,"&lt;"&amp;F1339)+1)</f>
        <v/>
      </c>
      <c r="I1339">
        <f>IF(C1339="","",C1339&amp;"|"&amp;H1339)</f>
        <v/>
      </c>
      <c r="J1339" s="6">
        <f>IF(C1339="","",IF(H1339=1,SUMIFS('Opening Balance'!$F$4:$F$303,'Opening Balance'!$G$4:$G$303,C1339),INDEX($L$2:$L$3001,MATCH(C1339&amp;"|"&amp;(H1339-1),$I$2:$I$3001,0))))</f>
        <v/>
      </c>
      <c r="K1339" s="6">
        <f>IF(C1339="","",IF(M1339&gt;0,M1339,IF(AND(E1339&gt;0,ROUND(J1339+D1339-E1339,2)&gt;0,ROUND(J1339+D1339-E1339,2)&lt;'Opening Balance'!$B$14),ROUND(J1339+D1339-E1339,2),0)))</f>
        <v/>
      </c>
      <c r="L1339" s="6">
        <f>IF(C1339="","",ROUND(J1339+D1339-E1339-K1339,2))</f>
        <v/>
      </c>
      <c r="M1339" s="6">
        <f>IF(C1339="","",IF('Daily Sale entry '!Q1339="Collection 收款",ROUND(N('Daily Sale entry '!T1339),2),0))</f>
        <v/>
      </c>
    </row>
    <row r="1340">
      <c r="A1340" t="inlineStr">
        <is>
          <t>Entry 记录</t>
        </is>
      </c>
      <c r="B1340" s="5">
        <f>IF('Daily Sale entry '!P1340="","",'Daily Sale entry '!O1340)</f>
        <v/>
      </c>
      <c r="C1340">
        <f>IF('Daily Sale entry '!P1340="","",'Daily Sale entry '!P1340)</f>
        <v/>
      </c>
      <c r="D1340">
        <f>IF(C1340="","",IF('Daily Sale entry '!Q1340="Credit Sale 赊销",'Daily Sale entry '!S1340,0))</f>
        <v/>
      </c>
      <c r="E1340">
        <f>IF(C1340="","",IF('Daily Sale entry '!Q1340="Collection 收款",'Daily Sale entry '!S1340,0))</f>
        <v/>
      </c>
      <c r="F1340" s="37">
        <f>IF(C1340="","",B1340+IF(E1340&gt;0,0,0.5)+ROW()/10000000)</f>
        <v/>
      </c>
      <c r="G1340">
        <f>IF(C1340="","",'Daily Sale entry '!Q1340&amp;IF('Daily Sale entry '!Q1340="Collection 收款"," ("&amp;'Daily Sale entry '!R1340&amp;")","")&amp;IF('Daily Sale entry '!U1340="",""," - "&amp;'Daily Sale entry '!U1340))</f>
        <v/>
      </c>
      <c r="H1340">
        <f>IF(C1340="","",COUNTIFS($C$2:$C$3001,C1340,$F$2:$F$3001,"&lt;"&amp;F1340)+1)</f>
        <v/>
      </c>
      <c r="I1340">
        <f>IF(C1340="","",C1340&amp;"|"&amp;H1340)</f>
        <v/>
      </c>
      <c r="J1340" s="6">
        <f>IF(C1340="","",IF(H1340=1,SUMIFS('Opening Balance'!$F$4:$F$303,'Opening Balance'!$G$4:$G$303,C1340),INDEX($L$2:$L$3001,MATCH(C1340&amp;"|"&amp;(H1340-1),$I$2:$I$3001,0))))</f>
        <v/>
      </c>
      <c r="K1340" s="6">
        <f>IF(C1340="","",IF(M1340&gt;0,M1340,IF(AND(E1340&gt;0,ROUND(J1340+D1340-E1340,2)&gt;0,ROUND(J1340+D1340-E1340,2)&lt;'Opening Balance'!$B$14),ROUND(J1340+D1340-E1340,2),0)))</f>
        <v/>
      </c>
      <c r="L1340" s="6">
        <f>IF(C1340="","",ROUND(J1340+D1340-E1340-K1340,2))</f>
        <v/>
      </c>
      <c r="M1340" s="6">
        <f>IF(C1340="","",IF('Daily Sale entry '!Q1340="Collection 收款",ROUND(N('Daily Sale entry '!T1340),2),0))</f>
        <v/>
      </c>
    </row>
    <row r="1341">
      <c r="A1341" t="inlineStr">
        <is>
          <t>Entry 记录</t>
        </is>
      </c>
      <c r="B1341" s="5">
        <f>IF('Daily Sale entry '!P1341="","",'Daily Sale entry '!O1341)</f>
        <v/>
      </c>
      <c r="C1341">
        <f>IF('Daily Sale entry '!P1341="","",'Daily Sale entry '!P1341)</f>
        <v/>
      </c>
      <c r="D1341">
        <f>IF(C1341="","",IF('Daily Sale entry '!Q1341="Credit Sale 赊销",'Daily Sale entry '!S1341,0))</f>
        <v/>
      </c>
      <c r="E1341">
        <f>IF(C1341="","",IF('Daily Sale entry '!Q1341="Collection 收款",'Daily Sale entry '!S1341,0))</f>
        <v/>
      </c>
      <c r="F1341" s="37">
        <f>IF(C1341="","",B1341+IF(E1341&gt;0,0,0.5)+ROW()/10000000)</f>
        <v/>
      </c>
      <c r="G1341">
        <f>IF(C1341="","",'Daily Sale entry '!Q1341&amp;IF('Daily Sale entry '!Q1341="Collection 收款"," ("&amp;'Daily Sale entry '!R1341&amp;")","")&amp;IF('Daily Sale entry '!U1341="",""," - "&amp;'Daily Sale entry '!U1341))</f>
        <v/>
      </c>
      <c r="H1341">
        <f>IF(C1341="","",COUNTIFS($C$2:$C$3001,C1341,$F$2:$F$3001,"&lt;"&amp;F1341)+1)</f>
        <v/>
      </c>
      <c r="I1341">
        <f>IF(C1341="","",C1341&amp;"|"&amp;H1341)</f>
        <v/>
      </c>
      <c r="J1341" s="6">
        <f>IF(C1341="","",IF(H1341=1,SUMIFS('Opening Balance'!$F$4:$F$303,'Opening Balance'!$G$4:$G$303,C1341),INDEX($L$2:$L$3001,MATCH(C1341&amp;"|"&amp;(H1341-1),$I$2:$I$3001,0))))</f>
        <v/>
      </c>
      <c r="K1341" s="6">
        <f>IF(C1341="","",IF(M1341&gt;0,M1341,IF(AND(E1341&gt;0,ROUND(J1341+D1341-E1341,2)&gt;0,ROUND(J1341+D1341-E1341,2)&lt;'Opening Balance'!$B$14),ROUND(J1341+D1341-E1341,2),0)))</f>
        <v/>
      </c>
      <c r="L1341" s="6">
        <f>IF(C1341="","",ROUND(J1341+D1341-E1341-K1341,2))</f>
        <v/>
      </c>
      <c r="M1341" s="6">
        <f>IF(C1341="","",IF('Daily Sale entry '!Q1341="Collection 收款",ROUND(N('Daily Sale entry '!T1341),2),0))</f>
        <v/>
      </c>
    </row>
    <row r="1342">
      <c r="A1342" t="inlineStr">
        <is>
          <t>Entry 记录</t>
        </is>
      </c>
      <c r="B1342" s="5">
        <f>IF('Daily Sale entry '!P1342="","",'Daily Sale entry '!O1342)</f>
        <v/>
      </c>
      <c r="C1342">
        <f>IF('Daily Sale entry '!P1342="","",'Daily Sale entry '!P1342)</f>
        <v/>
      </c>
      <c r="D1342">
        <f>IF(C1342="","",IF('Daily Sale entry '!Q1342="Credit Sale 赊销",'Daily Sale entry '!S1342,0))</f>
        <v/>
      </c>
      <c r="E1342">
        <f>IF(C1342="","",IF('Daily Sale entry '!Q1342="Collection 收款",'Daily Sale entry '!S1342,0))</f>
        <v/>
      </c>
      <c r="F1342" s="37">
        <f>IF(C1342="","",B1342+IF(E1342&gt;0,0,0.5)+ROW()/10000000)</f>
        <v/>
      </c>
      <c r="G1342">
        <f>IF(C1342="","",'Daily Sale entry '!Q1342&amp;IF('Daily Sale entry '!Q1342="Collection 收款"," ("&amp;'Daily Sale entry '!R1342&amp;")","")&amp;IF('Daily Sale entry '!U1342="",""," - "&amp;'Daily Sale entry '!U1342))</f>
        <v/>
      </c>
      <c r="H1342">
        <f>IF(C1342="","",COUNTIFS($C$2:$C$3001,C1342,$F$2:$F$3001,"&lt;"&amp;F1342)+1)</f>
        <v/>
      </c>
      <c r="I1342">
        <f>IF(C1342="","",C1342&amp;"|"&amp;H1342)</f>
        <v/>
      </c>
      <c r="J1342" s="6">
        <f>IF(C1342="","",IF(H1342=1,SUMIFS('Opening Balance'!$F$4:$F$303,'Opening Balance'!$G$4:$G$303,C1342),INDEX($L$2:$L$3001,MATCH(C1342&amp;"|"&amp;(H1342-1),$I$2:$I$3001,0))))</f>
        <v/>
      </c>
      <c r="K1342" s="6">
        <f>IF(C1342="","",IF(M1342&gt;0,M1342,IF(AND(E1342&gt;0,ROUND(J1342+D1342-E1342,2)&gt;0,ROUND(J1342+D1342-E1342,2)&lt;'Opening Balance'!$B$14),ROUND(J1342+D1342-E1342,2),0)))</f>
        <v/>
      </c>
      <c r="L1342" s="6">
        <f>IF(C1342="","",ROUND(J1342+D1342-E1342-K1342,2))</f>
        <v/>
      </c>
      <c r="M1342" s="6">
        <f>IF(C1342="","",IF('Daily Sale entry '!Q1342="Collection 收款",ROUND(N('Daily Sale entry '!T1342),2),0))</f>
        <v/>
      </c>
    </row>
    <row r="1343">
      <c r="A1343" t="inlineStr">
        <is>
          <t>Entry 记录</t>
        </is>
      </c>
      <c r="B1343" s="5">
        <f>IF('Daily Sale entry '!P1343="","",'Daily Sale entry '!O1343)</f>
        <v/>
      </c>
      <c r="C1343">
        <f>IF('Daily Sale entry '!P1343="","",'Daily Sale entry '!P1343)</f>
        <v/>
      </c>
      <c r="D1343">
        <f>IF(C1343="","",IF('Daily Sale entry '!Q1343="Credit Sale 赊销",'Daily Sale entry '!S1343,0))</f>
        <v/>
      </c>
      <c r="E1343">
        <f>IF(C1343="","",IF('Daily Sale entry '!Q1343="Collection 收款",'Daily Sale entry '!S1343,0))</f>
        <v/>
      </c>
      <c r="F1343" s="37">
        <f>IF(C1343="","",B1343+IF(E1343&gt;0,0,0.5)+ROW()/10000000)</f>
        <v/>
      </c>
      <c r="G1343">
        <f>IF(C1343="","",'Daily Sale entry '!Q1343&amp;IF('Daily Sale entry '!Q1343="Collection 收款"," ("&amp;'Daily Sale entry '!R1343&amp;")","")&amp;IF('Daily Sale entry '!U1343="",""," - "&amp;'Daily Sale entry '!U1343))</f>
        <v/>
      </c>
      <c r="H1343">
        <f>IF(C1343="","",COUNTIFS($C$2:$C$3001,C1343,$F$2:$F$3001,"&lt;"&amp;F1343)+1)</f>
        <v/>
      </c>
      <c r="I1343">
        <f>IF(C1343="","",C1343&amp;"|"&amp;H1343)</f>
        <v/>
      </c>
      <c r="J1343" s="6">
        <f>IF(C1343="","",IF(H1343=1,SUMIFS('Opening Balance'!$F$4:$F$303,'Opening Balance'!$G$4:$G$303,C1343),INDEX($L$2:$L$3001,MATCH(C1343&amp;"|"&amp;(H1343-1),$I$2:$I$3001,0))))</f>
        <v/>
      </c>
      <c r="K1343" s="6">
        <f>IF(C1343="","",IF(M1343&gt;0,M1343,IF(AND(E1343&gt;0,ROUND(J1343+D1343-E1343,2)&gt;0,ROUND(J1343+D1343-E1343,2)&lt;'Opening Balance'!$B$14),ROUND(J1343+D1343-E1343,2),0)))</f>
        <v/>
      </c>
      <c r="L1343" s="6">
        <f>IF(C1343="","",ROUND(J1343+D1343-E1343-K1343,2))</f>
        <v/>
      </c>
      <c r="M1343" s="6">
        <f>IF(C1343="","",IF('Daily Sale entry '!Q1343="Collection 收款",ROUND(N('Daily Sale entry '!T1343),2),0))</f>
        <v/>
      </c>
    </row>
    <row r="1344">
      <c r="A1344" t="inlineStr">
        <is>
          <t>Entry 记录</t>
        </is>
      </c>
      <c r="B1344" s="5">
        <f>IF('Daily Sale entry '!P1344="","",'Daily Sale entry '!O1344)</f>
        <v/>
      </c>
      <c r="C1344">
        <f>IF('Daily Sale entry '!P1344="","",'Daily Sale entry '!P1344)</f>
        <v/>
      </c>
      <c r="D1344">
        <f>IF(C1344="","",IF('Daily Sale entry '!Q1344="Credit Sale 赊销",'Daily Sale entry '!S1344,0))</f>
        <v/>
      </c>
      <c r="E1344">
        <f>IF(C1344="","",IF('Daily Sale entry '!Q1344="Collection 收款",'Daily Sale entry '!S1344,0))</f>
        <v/>
      </c>
      <c r="F1344" s="37">
        <f>IF(C1344="","",B1344+IF(E1344&gt;0,0,0.5)+ROW()/10000000)</f>
        <v/>
      </c>
      <c r="G1344">
        <f>IF(C1344="","",'Daily Sale entry '!Q1344&amp;IF('Daily Sale entry '!Q1344="Collection 收款"," ("&amp;'Daily Sale entry '!R1344&amp;")","")&amp;IF('Daily Sale entry '!U1344="",""," - "&amp;'Daily Sale entry '!U1344))</f>
        <v/>
      </c>
      <c r="H1344">
        <f>IF(C1344="","",COUNTIFS($C$2:$C$3001,C1344,$F$2:$F$3001,"&lt;"&amp;F1344)+1)</f>
        <v/>
      </c>
      <c r="I1344">
        <f>IF(C1344="","",C1344&amp;"|"&amp;H1344)</f>
        <v/>
      </c>
      <c r="J1344" s="6">
        <f>IF(C1344="","",IF(H1344=1,SUMIFS('Opening Balance'!$F$4:$F$303,'Opening Balance'!$G$4:$G$303,C1344),INDEX($L$2:$L$3001,MATCH(C1344&amp;"|"&amp;(H1344-1),$I$2:$I$3001,0))))</f>
        <v/>
      </c>
      <c r="K1344" s="6">
        <f>IF(C1344="","",IF(M1344&gt;0,M1344,IF(AND(E1344&gt;0,ROUND(J1344+D1344-E1344,2)&gt;0,ROUND(J1344+D1344-E1344,2)&lt;'Opening Balance'!$B$14),ROUND(J1344+D1344-E1344,2),0)))</f>
        <v/>
      </c>
      <c r="L1344" s="6">
        <f>IF(C1344="","",ROUND(J1344+D1344-E1344-K1344,2))</f>
        <v/>
      </c>
      <c r="M1344" s="6">
        <f>IF(C1344="","",IF('Daily Sale entry '!Q1344="Collection 收款",ROUND(N('Daily Sale entry '!T1344),2),0))</f>
        <v/>
      </c>
    </row>
    <row r="1345">
      <c r="A1345" t="inlineStr">
        <is>
          <t>Entry 记录</t>
        </is>
      </c>
      <c r="B1345" s="5">
        <f>IF('Daily Sale entry '!P1345="","",'Daily Sale entry '!O1345)</f>
        <v/>
      </c>
      <c r="C1345">
        <f>IF('Daily Sale entry '!P1345="","",'Daily Sale entry '!P1345)</f>
        <v/>
      </c>
      <c r="D1345">
        <f>IF(C1345="","",IF('Daily Sale entry '!Q1345="Credit Sale 赊销",'Daily Sale entry '!S1345,0))</f>
        <v/>
      </c>
      <c r="E1345">
        <f>IF(C1345="","",IF('Daily Sale entry '!Q1345="Collection 收款",'Daily Sale entry '!S1345,0))</f>
        <v/>
      </c>
      <c r="F1345" s="37">
        <f>IF(C1345="","",B1345+IF(E1345&gt;0,0,0.5)+ROW()/10000000)</f>
        <v/>
      </c>
      <c r="G1345">
        <f>IF(C1345="","",'Daily Sale entry '!Q1345&amp;IF('Daily Sale entry '!Q1345="Collection 收款"," ("&amp;'Daily Sale entry '!R1345&amp;")","")&amp;IF('Daily Sale entry '!U1345="",""," - "&amp;'Daily Sale entry '!U1345))</f>
        <v/>
      </c>
      <c r="H1345">
        <f>IF(C1345="","",COUNTIFS($C$2:$C$3001,C1345,$F$2:$F$3001,"&lt;"&amp;F1345)+1)</f>
        <v/>
      </c>
      <c r="I1345">
        <f>IF(C1345="","",C1345&amp;"|"&amp;H1345)</f>
        <v/>
      </c>
      <c r="J1345" s="6">
        <f>IF(C1345="","",IF(H1345=1,SUMIFS('Opening Balance'!$F$4:$F$303,'Opening Balance'!$G$4:$G$303,C1345),INDEX($L$2:$L$3001,MATCH(C1345&amp;"|"&amp;(H1345-1),$I$2:$I$3001,0))))</f>
        <v/>
      </c>
      <c r="K1345" s="6">
        <f>IF(C1345="","",IF(M1345&gt;0,M1345,IF(AND(E1345&gt;0,ROUND(J1345+D1345-E1345,2)&gt;0,ROUND(J1345+D1345-E1345,2)&lt;'Opening Balance'!$B$14),ROUND(J1345+D1345-E1345,2),0)))</f>
        <v/>
      </c>
      <c r="L1345" s="6">
        <f>IF(C1345="","",ROUND(J1345+D1345-E1345-K1345,2))</f>
        <v/>
      </c>
      <c r="M1345" s="6">
        <f>IF(C1345="","",IF('Daily Sale entry '!Q1345="Collection 收款",ROUND(N('Daily Sale entry '!T1345),2),0))</f>
        <v/>
      </c>
    </row>
    <row r="1346">
      <c r="A1346" t="inlineStr">
        <is>
          <t>Entry 记录</t>
        </is>
      </c>
      <c r="B1346" s="5">
        <f>IF('Daily Sale entry '!P1346="","",'Daily Sale entry '!O1346)</f>
        <v/>
      </c>
      <c r="C1346">
        <f>IF('Daily Sale entry '!P1346="","",'Daily Sale entry '!P1346)</f>
        <v/>
      </c>
      <c r="D1346">
        <f>IF(C1346="","",IF('Daily Sale entry '!Q1346="Credit Sale 赊销",'Daily Sale entry '!S1346,0))</f>
        <v/>
      </c>
      <c r="E1346">
        <f>IF(C1346="","",IF('Daily Sale entry '!Q1346="Collection 收款",'Daily Sale entry '!S1346,0))</f>
        <v/>
      </c>
      <c r="F1346" s="37">
        <f>IF(C1346="","",B1346+IF(E1346&gt;0,0,0.5)+ROW()/10000000)</f>
        <v/>
      </c>
      <c r="G1346">
        <f>IF(C1346="","",'Daily Sale entry '!Q1346&amp;IF('Daily Sale entry '!Q1346="Collection 收款"," ("&amp;'Daily Sale entry '!R1346&amp;")","")&amp;IF('Daily Sale entry '!U1346="",""," - "&amp;'Daily Sale entry '!U1346))</f>
        <v/>
      </c>
      <c r="H1346">
        <f>IF(C1346="","",COUNTIFS($C$2:$C$3001,C1346,$F$2:$F$3001,"&lt;"&amp;F1346)+1)</f>
        <v/>
      </c>
      <c r="I1346">
        <f>IF(C1346="","",C1346&amp;"|"&amp;H1346)</f>
        <v/>
      </c>
      <c r="J1346" s="6">
        <f>IF(C1346="","",IF(H1346=1,SUMIFS('Opening Balance'!$F$4:$F$303,'Opening Balance'!$G$4:$G$303,C1346),INDEX($L$2:$L$3001,MATCH(C1346&amp;"|"&amp;(H1346-1),$I$2:$I$3001,0))))</f>
        <v/>
      </c>
      <c r="K1346" s="6">
        <f>IF(C1346="","",IF(M1346&gt;0,M1346,IF(AND(E1346&gt;0,ROUND(J1346+D1346-E1346,2)&gt;0,ROUND(J1346+D1346-E1346,2)&lt;'Opening Balance'!$B$14),ROUND(J1346+D1346-E1346,2),0)))</f>
        <v/>
      </c>
      <c r="L1346" s="6">
        <f>IF(C1346="","",ROUND(J1346+D1346-E1346-K1346,2))</f>
        <v/>
      </c>
      <c r="M1346" s="6">
        <f>IF(C1346="","",IF('Daily Sale entry '!Q1346="Collection 收款",ROUND(N('Daily Sale entry '!T1346),2),0))</f>
        <v/>
      </c>
    </row>
    <row r="1347">
      <c r="A1347" t="inlineStr">
        <is>
          <t>Entry 记录</t>
        </is>
      </c>
      <c r="B1347" s="5">
        <f>IF('Daily Sale entry '!P1347="","",'Daily Sale entry '!O1347)</f>
        <v/>
      </c>
      <c r="C1347">
        <f>IF('Daily Sale entry '!P1347="","",'Daily Sale entry '!P1347)</f>
        <v/>
      </c>
      <c r="D1347">
        <f>IF(C1347="","",IF('Daily Sale entry '!Q1347="Credit Sale 赊销",'Daily Sale entry '!S1347,0))</f>
        <v/>
      </c>
      <c r="E1347">
        <f>IF(C1347="","",IF('Daily Sale entry '!Q1347="Collection 收款",'Daily Sale entry '!S1347,0))</f>
        <v/>
      </c>
      <c r="F1347" s="37">
        <f>IF(C1347="","",B1347+IF(E1347&gt;0,0,0.5)+ROW()/10000000)</f>
        <v/>
      </c>
      <c r="G1347">
        <f>IF(C1347="","",'Daily Sale entry '!Q1347&amp;IF('Daily Sale entry '!Q1347="Collection 收款"," ("&amp;'Daily Sale entry '!R1347&amp;")","")&amp;IF('Daily Sale entry '!U1347="",""," - "&amp;'Daily Sale entry '!U1347))</f>
        <v/>
      </c>
      <c r="H1347">
        <f>IF(C1347="","",COUNTIFS($C$2:$C$3001,C1347,$F$2:$F$3001,"&lt;"&amp;F1347)+1)</f>
        <v/>
      </c>
      <c r="I1347">
        <f>IF(C1347="","",C1347&amp;"|"&amp;H1347)</f>
        <v/>
      </c>
      <c r="J1347" s="6">
        <f>IF(C1347="","",IF(H1347=1,SUMIFS('Opening Balance'!$F$4:$F$303,'Opening Balance'!$G$4:$G$303,C1347),INDEX($L$2:$L$3001,MATCH(C1347&amp;"|"&amp;(H1347-1),$I$2:$I$3001,0))))</f>
        <v/>
      </c>
      <c r="K1347" s="6">
        <f>IF(C1347="","",IF(M1347&gt;0,M1347,IF(AND(E1347&gt;0,ROUND(J1347+D1347-E1347,2)&gt;0,ROUND(J1347+D1347-E1347,2)&lt;'Opening Balance'!$B$14),ROUND(J1347+D1347-E1347,2),0)))</f>
        <v/>
      </c>
      <c r="L1347" s="6">
        <f>IF(C1347="","",ROUND(J1347+D1347-E1347-K1347,2))</f>
        <v/>
      </c>
      <c r="M1347" s="6">
        <f>IF(C1347="","",IF('Daily Sale entry '!Q1347="Collection 收款",ROUND(N('Daily Sale entry '!T1347),2),0))</f>
        <v/>
      </c>
    </row>
    <row r="1348">
      <c r="A1348" t="inlineStr">
        <is>
          <t>Entry 记录</t>
        </is>
      </c>
      <c r="B1348" s="5">
        <f>IF('Daily Sale entry '!P1348="","",'Daily Sale entry '!O1348)</f>
        <v/>
      </c>
      <c r="C1348">
        <f>IF('Daily Sale entry '!P1348="","",'Daily Sale entry '!P1348)</f>
        <v/>
      </c>
      <c r="D1348">
        <f>IF(C1348="","",IF('Daily Sale entry '!Q1348="Credit Sale 赊销",'Daily Sale entry '!S1348,0))</f>
        <v/>
      </c>
      <c r="E1348">
        <f>IF(C1348="","",IF('Daily Sale entry '!Q1348="Collection 收款",'Daily Sale entry '!S1348,0))</f>
        <v/>
      </c>
      <c r="F1348" s="37">
        <f>IF(C1348="","",B1348+IF(E1348&gt;0,0,0.5)+ROW()/10000000)</f>
        <v/>
      </c>
      <c r="G1348">
        <f>IF(C1348="","",'Daily Sale entry '!Q1348&amp;IF('Daily Sale entry '!Q1348="Collection 收款"," ("&amp;'Daily Sale entry '!R1348&amp;")","")&amp;IF('Daily Sale entry '!U1348="",""," - "&amp;'Daily Sale entry '!U1348))</f>
        <v/>
      </c>
      <c r="H1348">
        <f>IF(C1348="","",COUNTIFS($C$2:$C$3001,C1348,$F$2:$F$3001,"&lt;"&amp;F1348)+1)</f>
        <v/>
      </c>
      <c r="I1348">
        <f>IF(C1348="","",C1348&amp;"|"&amp;H1348)</f>
        <v/>
      </c>
      <c r="J1348" s="6">
        <f>IF(C1348="","",IF(H1348=1,SUMIFS('Opening Balance'!$F$4:$F$303,'Opening Balance'!$G$4:$G$303,C1348),INDEX($L$2:$L$3001,MATCH(C1348&amp;"|"&amp;(H1348-1),$I$2:$I$3001,0))))</f>
        <v/>
      </c>
      <c r="K1348" s="6">
        <f>IF(C1348="","",IF(M1348&gt;0,M1348,IF(AND(E1348&gt;0,ROUND(J1348+D1348-E1348,2)&gt;0,ROUND(J1348+D1348-E1348,2)&lt;'Opening Balance'!$B$14),ROUND(J1348+D1348-E1348,2),0)))</f>
        <v/>
      </c>
      <c r="L1348" s="6">
        <f>IF(C1348="","",ROUND(J1348+D1348-E1348-K1348,2))</f>
        <v/>
      </c>
      <c r="M1348" s="6">
        <f>IF(C1348="","",IF('Daily Sale entry '!Q1348="Collection 收款",ROUND(N('Daily Sale entry '!T1348),2),0))</f>
        <v/>
      </c>
    </row>
    <row r="1349">
      <c r="A1349" t="inlineStr">
        <is>
          <t>Entry 记录</t>
        </is>
      </c>
      <c r="B1349" s="5">
        <f>IF('Daily Sale entry '!P1349="","",'Daily Sale entry '!O1349)</f>
        <v/>
      </c>
      <c r="C1349">
        <f>IF('Daily Sale entry '!P1349="","",'Daily Sale entry '!P1349)</f>
        <v/>
      </c>
      <c r="D1349">
        <f>IF(C1349="","",IF('Daily Sale entry '!Q1349="Credit Sale 赊销",'Daily Sale entry '!S1349,0))</f>
        <v/>
      </c>
      <c r="E1349">
        <f>IF(C1349="","",IF('Daily Sale entry '!Q1349="Collection 收款",'Daily Sale entry '!S1349,0))</f>
        <v/>
      </c>
      <c r="F1349" s="37">
        <f>IF(C1349="","",B1349+IF(E1349&gt;0,0,0.5)+ROW()/10000000)</f>
        <v/>
      </c>
      <c r="G1349">
        <f>IF(C1349="","",'Daily Sale entry '!Q1349&amp;IF('Daily Sale entry '!Q1349="Collection 收款"," ("&amp;'Daily Sale entry '!R1349&amp;")","")&amp;IF('Daily Sale entry '!U1349="",""," - "&amp;'Daily Sale entry '!U1349))</f>
        <v/>
      </c>
      <c r="H1349">
        <f>IF(C1349="","",COUNTIFS($C$2:$C$3001,C1349,$F$2:$F$3001,"&lt;"&amp;F1349)+1)</f>
        <v/>
      </c>
      <c r="I1349">
        <f>IF(C1349="","",C1349&amp;"|"&amp;H1349)</f>
        <v/>
      </c>
      <c r="J1349" s="6">
        <f>IF(C1349="","",IF(H1349=1,SUMIFS('Opening Balance'!$F$4:$F$303,'Opening Balance'!$G$4:$G$303,C1349),INDEX($L$2:$L$3001,MATCH(C1349&amp;"|"&amp;(H1349-1),$I$2:$I$3001,0))))</f>
        <v/>
      </c>
      <c r="K1349" s="6">
        <f>IF(C1349="","",IF(M1349&gt;0,M1349,IF(AND(E1349&gt;0,ROUND(J1349+D1349-E1349,2)&gt;0,ROUND(J1349+D1349-E1349,2)&lt;'Opening Balance'!$B$14),ROUND(J1349+D1349-E1349,2),0)))</f>
        <v/>
      </c>
      <c r="L1349" s="6">
        <f>IF(C1349="","",ROUND(J1349+D1349-E1349-K1349,2))</f>
        <v/>
      </c>
      <c r="M1349" s="6">
        <f>IF(C1349="","",IF('Daily Sale entry '!Q1349="Collection 收款",ROUND(N('Daily Sale entry '!T1349),2),0))</f>
        <v/>
      </c>
    </row>
    <row r="1350">
      <c r="A1350" t="inlineStr">
        <is>
          <t>Entry 记录</t>
        </is>
      </c>
      <c r="B1350" s="5">
        <f>IF('Daily Sale entry '!P1350="","",'Daily Sale entry '!O1350)</f>
        <v/>
      </c>
      <c r="C1350">
        <f>IF('Daily Sale entry '!P1350="","",'Daily Sale entry '!P1350)</f>
        <v/>
      </c>
      <c r="D1350">
        <f>IF(C1350="","",IF('Daily Sale entry '!Q1350="Credit Sale 赊销",'Daily Sale entry '!S1350,0))</f>
        <v/>
      </c>
      <c r="E1350">
        <f>IF(C1350="","",IF('Daily Sale entry '!Q1350="Collection 收款",'Daily Sale entry '!S1350,0))</f>
        <v/>
      </c>
      <c r="F1350" s="37">
        <f>IF(C1350="","",B1350+IF(E1350&gt;0,0,0.5)+ROW()/10000000)</f>
        <v/>
      </c>
      <c r="G1350">
        <f>IF(C1350="","",'Daily Sale entry '!Q1350&amp;IF('Daily Sale entry '!Q1350="Collection 收款"," ("&amp;'Daily Sale entry '!R1350&amp;")","")&amp;IF('Daily Sale entry '!U1350="",""," - "&amp;'Daily Sale entry '!U1350))</f>
        <v/>
      </c>
      <c r="H1350">
        <f>IF(C1350="","",COUNTIFS($C$2:$C$3001,C1350,$F$2:$F$3001,"&lt;"&amp;F1350)+1)</f>
        <v/>
      </c>
      <c r="I1350">
        <f>IF(C1350="","",C1350&amp;"|"&amp;H1350)</f>
        <v/>
      </c>
      <c r="J1350" s="6">
        <f>IF(C1350="","",IF(H1350=1,SUMIFS('Opening Balance'!$F$4:$F$303,'Opening Balance'!$G$4:$G$303,C1350),INDEX($L$2:$L$3001,MATCH(C1350&amp;"|"&amp;(H1350-1),$I$2:$I$3001,0))))</f>
        <v/>
      </c>
      <c r="K1350" s="6">
        <f>IF(C1350="","",IF(M1350&gt;0,M1350,IF(AND(E1350&gt;0,ROUND(J1350+D1350-E1350,2)&gt;0,ROUND(J1350+D1350-E1350,2)&lt;'Opening Balance'!$B$14),ROUND(J1350+D1350-E1350,2),0)))</f>
        <v/>
      </c>
      <c r="L1350" s="6">
        <f>IF(C1350="","",ROUND(J1350+D1350-E1350-K1350,2))</f>
        <v/>
      </c>
      <c r="M1350" s="6">
        <f>IF(C1350="","",IF('Daily Sale entry '!Q1350="Collection 收款",ROUND(N('Daily Sale entry '!T1350),2),0))</f>
        <v/>
      </c>
    </row>
    <row r="1351">
      <c r="A1351" t="inlineStr">
        <is>
          <t>Entry 记录</t>
        </is>
      </c>
      <c r="B1351" s="5">
        <f>IF('Daily Sale entry '!P1351="","",'Daily Sale entry '!O1351)</f>
        <v/>
      </c>
      <c r="C1351">
        <f>IF('Daily Sale entry '!P1351="","",'Daily Sale entry '!P1351)</f>
        <v/>
      </c>
      <c r="D1351">
        <f>IF(C1351="","",IF('Daily Sale entry '!Q1351="Credit Sale 赊销",'Daily Sale entry '!S1351,0))</f>
        <v/>
      </c>
      <c r="E1351">
        <f>IF(C1351="","",IF('Daily Sale entry '!Q1351="Collection 收款",'Daily Sale entry '!S1351,0))</f>
        <v/>
      </c>
      <c r="F1351" s="37">
        <f>IF(C1351="","",B1351+IF(E1351&gt;0,0,0.5)+ROW()/10000000)</f>
        <v/>
      </c>
      <c r="G1351">
        <f>IF(C1351="","",'Daily Sale entry '!Q1351&amp;IF('Daily Sale entry '!Q1351="Collection 收款"," ("&amp;'Daily Sale entry '!R1351&amp;")","")&amp;IF('Daily Sale entry '!U1351="",""," - "&amp;'Daily Sale entry '!U1351))</f>
        <v/>
      </c>
      <c r="H1351">
        <f>IF(C1351="","",COUNTIFS($C$2:$C$3001,C1351,$F$2:$F$3001,"&lt;"&amp;F1351)+1)</f>
        <v/>
      </c>
      <c r="I1351">
        <f>IF(C1351="","",C1351&amp;"|"&amp;H1351)</f>
        <v/>
      </c>
      <c r="J1351" s="6">
        <f>IF(C1351="","",IF(H1351=1,SUMIFS('Opening Balance'!$F$4:$F$303,'Opening Balance'!$G$4:$G$303,C1351),INDEX($L$2:$L$3001,MATCH(C1351&amp;"|"&amp;(H1351-1),$I$2:$I$3001,0))))</f>
        <v/>
      </c>
      <c r="K1351" s="6">
        <f>IF(C1351="","",IF(M1351&gt;0,M1351,IF(AND(E1351&gt;0,ROUND(J1351+D1351-E1351,2)&gt;0,ROUND(J1351+D1351-E1351,2)&lt;'Opening Balance'!$B$14),ROUND(J1351+D1351-E1351,2),0)))</f>
        <v/>
      </c>
      <c r="L1351" s="6">
        <f>IF(C1351="","",ROUND(J1351+D1351-E1351-K1351,2))</f>
        <v/>
      </c>
      <c r="M1351" s="6">
        <f>IF(C1351="","",IF('Daily Sale entry '!Q1351="Collection 收款",ROUND(N('Daily Sale entry '!T1351),2),0))</f>
        <v/>
      </c>
    </row>
    <row r="1352">
      <c r="A1352" t="inlineStr">
        <is>
          <t>Entry 记录</t>
        </is>
      </c>
      <c r="B1352" s="5">
        <f>IF('Daily Sale entry '!P1352="","",'Daily Sale entry '!O1352)</f>
        <v/>
      </c>
      <c r="C1352">
        <f>IF('Daily Sale entry '!P1352="","",'Daily Sale entry '!P1352)</f>
        <v/>
      </c>
      <c r="D1352">
        <f>IF(C1352="","",IF('Daily Sale entry '!Q1352="Credit Sale 赊销",'Daily Sale entry '!S1352,0))</f>
        <v/>
      </c>
      <c r="E1352">
        <f>IF(C1352="","",IF('Daily Sale entry '!Q1352="Collection 收款",'Daily Sale entry '!S1352,0))</f>
        <v/>
      </c>
      <c r="F1352" s="37">
        <f>IF(C1352="","",B1352+IF(E1352&gt;0,0,0.5)+ROW()/10000000)</f>
        <v/>
      </c>
      <c r="G1352">
        <f>IF(C1352="","",'Daily Sale entry '!Q1352&amp;IF('Daily Sale entry '!Q1352="Collection 收款"," ("&amp;'Daily Sale entry '!R1352&amp;")","")&amp;IF('Daily Sale entry '!U1352="",""," - "&amp;'Daily Sale entry '!U1352))</f>
        <v/>
      </c>
      <c r="H1352">
        <f>IF(C1352="","",COUNTIFS($C$2:$C$3001,C1352,$F$2:$F$3001,"&lt;"&amp;F1352)+1)</f>
        <v/>
      </c>
      <c r="I1352">
        <f>IF(C1352="","",C1352&amp;"|"&amp;H1352)</f>
        <v/>
      </c>
      <c r="J1352" s="6">
        <f>IF(C1352="","",IF(H1352=1,SUMIFS('Opening Balance'!$F$4:$F$303,'Opening Balance'!$G$4:$G$303,C1352),INDEX($L$2:$L$3001,MATCH(C1352&amp;"|"&amp;(H1352-1),$I$2:$I$3001,0))))</f>
        <v/>
      </c>
      <c r="K1352" s="6">
        <f>IF(C1352="","",IF(M1352&gt;0,M1352,IF(AND(E1352&gt;0,ROUND(J1352+D1352-E1352,2)&gt;0,ROUND(J1352+D1352-E1352,2)&lt;'Opening Balance'!$B$14),ROUND(J1352+D1352-E1352,2),0)))</f>
        <v/>
      </c>
      <c r="L1352" s="6">
        <f>IF(C1352="","",ROUND(J1352+D1352-E1352-K1352,2))</f>
        <v/>
      </c>
      <c r="M1352" s="6">
        <f>IF(C1352="","",IF('Daily Sale entry '!Q1352="Collection 收款",ROUND(N('Daily Sale entry '!T1352),2),0))</f>
        <v/>
      </c>
    </row>
    <row r="1353">
      <c r="A1353" t="inlineStr">
        <is>
          <t>Entry 记录</t>
        </is>
      </c>
      <c r="B1353" s="5">
        <f>IF('Daily Sale entry '!P1353="","",'Daily Sale entry '!O1353)</f>
        <v/>
      </c>
      <c r="C1353">
        <f>IF('Daily Sale entry '!P1353="","",'Daily Sale entry '!P1353)</f>
        <v/>
      </c>
      <c r="D1353">
        <f>IF(C1353="","",IF('Daily Sale entry '!Q1353="Credit Sale 赊销",'Daily Sale entry '!S1353,0))</f>
        <v/>
      </c>
      <c r="E1353">
        <f>IF(C1353="","",IF('Daily Sale entry '!Q1353="Collection 收款",'Daily Sale entry '!S1353,0))</f>
        <v/>
      </c>
      <c r="F1353" s="37">
        <f>IF(C1353="","",B1353+IF(E1353&gt;0,0,0.5)+ROW()/10000000)</f>
        <v/>
      </c>
      <c r="G1353">
        <f>IF(C1353="","",'Daily Sale entry '!Q1353&amp;IF('Daily Sale entry '!Q1353="Collection 收款"," ("&amp;'Daily Sale entry '!R1353&amp;")","")&amp;IF('Daily Sale entry '!U1353="",""," - "&amp;'Daily Sale entry '!U1353))</f>
        <v/>
      </c>
      <c r="H1353">
        <f>IF(C1353="","",COUNTIFS($C$2:$C$3001,C1353,$F$2:$F$3001,"&lt;"&amp;F1353)+1)</f>
        <v/>
      </c>
      <c r="I1353">
        <f>IF(C1353="","",C1353&amp;"|"&amp;H1353)</f>
        <v/>
      </c>
      <c r="J1353" s="6">
        <f>IF(C1353="","",IF(H1353=1,SUMIFS('Opening Balance'!$F$4:$F$303,'Opening Balance'!$G$4:$G$303,C1353),INDEX($L$2:$L$3001,MATCH(C1353&amp;"|"&amp;(H1353-1),$I$2:$I$3001,0))))</f>
        <v/>
      </c>
      <c r="K1353" s="6">
        <f>IF(C1353="","",IF(M1353&gt;0,M1353,IF(AND(E1353&gt;0,ROUND(J1353+D1353-E1353,2)&gt;0,ROUND(J1353+D1353-E1353,2)&lt;'Opening Balance'!$B$14),ROUND(J1353+D1353-E1353,2),0)))</f>
        <v/>
      </c>
      <c r="L1353" s="6">
        <f>IF(C1353="","",ROUND(J1353+D1353-E1353-K1353,2))</f>
        <v/>
      </c>
      <c r="M1353" s="6">
        <f>IF(C1353="","",IF('Daily Sale entry '!Q1353="Collection 收款",ROUND(N('Daily Sale entry '!T1353),2),0))</f>
        <v/>
      </c>
    </row>
    <row r="1354">
      <c r="A1354" t="inlineStr">
        <is>
          <t>Entry 记录</t>
        </is>
      </c>
      <c r="B1354" s="5">
        <f>IF('Daily Sale entry '!P1354="","",'Daily Sale entry '!O1354)</f>
        <v/>
      </c>
      <c r="C1354">
        <f>IF('Daily Sale entry '!P1354="","",'Daily Sale entry '!P1354)</f>
        <v/>
      </c>
      <c r="D1354">
        <f>IF(C1354="","",IF('Daily Sale entry '!Q1354="Credit Sale 赊销",'Daily Sale entry '!S1354,0))</f>
        <v/>
      </c>
      <c r="E1354">
        <f>IF(C1354="","",IF('Daily Sale entry '!Q1354="Collection 收款",'Daily Sale entry '!S1354,0))</f>
        <v/>
      </c>
      <c r="F1354" s="37">
        <f>IF(C1354="","",B1354+IF(E1354&gt;0,0,0.5)+ROW()/10000000)</f>
        <v/>
      </c>
      <c r="G1354">
        <f>IF(C1354="","",'Daily Sale entry '!Q1354&amp;IF('Daily Sale entry '!Q1354="Collection 收款"," ("&amp;'Daily Sale entry '!R1354&amp;")","")&amp;IF('Daily Sale entry '!U1354="",""," - "&amp;'Daily Sale entry '!U1354))</f>
        <v/>
      </c>
      <c r="H1354">
        <f>IF(C1354="","",COUNTIFS($C$2:$C$3001,C1354,$F$2:$F$3001,"&lt;"&amp;F1354)+1)</f>
        <v/>
      </c>
      <c r="I1354">
        <f>IF(C1354="","",C1354&amp;"|"&amp;H1354)</f>
        <v/>
      </c>
      <c r="J1354" s="6">
        <f>IF(C1354="","",IF(H1354=1,SUMIFS('Opening Balance'!$F$4:$F$303,'Opening Balance'!$G$4:$G$303,C1354),INDEX($L$2:$L$3001,MATCH(C1354&amp;"|"&amp;(H1354-1),$I$2:$I$3001,0))))</f>
        <v/>
      </c>
      <c r="K1354" s="6">
        <f>IF(C1354="","",IF(M1354&gt;0,M1354,IF(AND(E1354&gt;0,ROUND(J1354+D1354-E1354,2)&gt;0,ROUND(J1354+D1354-E1354,2)&lt;'Opening Balance'!$B$14),ROUND(J1354+D1354-E1354,2),0)))</f>
        <v/>
      </c>
      <c r="L1354" s="6">
        <f>IF(C1354="","",ROUND(J1354+D1354-E1354-K1354,2))</f>
        <v/>
      </c>
      <c r="M1354" s="6">
        <f>IF(C1354="","",IF('Daily Sale entry '!Q1354="Collection 收款",ROUND(N('Daily Sale entry '!T1354),2),0))</f>
        <v/>
      </c>
    </row>
    <row r="1355">
      <c r="A1355" t="inlineStr">
        <is>
          <t>Entry 记录</t>
        </is>
      </c>
      <c r="B1355" s="5">
        <f>IF('Daily Sale entry '!P1355="","",'Daily Sale entry '!O1355)</f>
        <v/>
      </c>
      <c r="C1355">
        <f>IF('Daily Sale entry '!P1355="","",'Daily Sale entry '!P1355)</f>
        <v/>
      </c>
      <c r="D1355">
        <f>IF(C1355="","",IF('Daily Sale entry '!Q1355="Credit Sale 赊销",'Daily Sale entry '!S1355,0))</f>
        <v/>
      </c>
      <c r="E1355">
        <f>IF(C1355="","",IF('Daily Sale entry '!Q1355="Collection 收款",'Daily Sale entry '!S1355,0))</f>
        <v/>
      </c>
      <c r="F1355" s="37">
        <f>IF(C1355="","",B1355+IF(E1355&gt;0,0,0.5)+ROW()/10000000)</f>
        <v/>
      </c>
      <c r="G1355">
        <f>IF(C1355="","",'Daily Sale entry '!Q1355&amp;IF('Daily Sale entry '!Q1355="Collection 收款"," ("&amp;'Daily Sale entry '!R1355&amp;")","")&amp;IF('Daily Sale entry '!U1355="",""," - "&amp;'Daily Sale entry '!U1355))</f>
        <v/>
      </c>
      <c r="H1355">
        <f>IF(C1355="","",COUNTIFS($C$2:$C$3001,C1355,$F$2:$F$3001,"&lt;"&amp;F1355)+1)</f>
        <v/>
      </c>
      <c r="I1355">
        <f>IF(C1355="","",C1355&amp;"|"&amp;H1355)</f>
        <v/>
      </c>
      <c r="J1355" s="6">
        <f>IF(C1355="","",IF(H1355=1,SUMIFS('Opening Balance'!$F$4:$F$303,'Opening Balance'!$G$4:$G$303,C1355),INDEX($L$2:$L$3001,MATCH(C1355&amp;"|"&amp;(H1355-1),$I$2:$I$3001,0))))</f>
        <v/>
      </c>
      <c r="K1355" s="6">
        <f>IF(C1355="","",IF(M1355&gt;0,M1355,IF(AND(E1355&gt;0,ROUND(J1355+D1355-E1355,2)&gt;0,ROUND(J1355+D1355-E1355,2)&lt;'Opening Balance'!$B$14),ROUND(J1355+D1355-E1355,2),0)))</f>
        <v/>
      </c>
      <c r="L1355" s="6">
        <f>IF(C1355="","",ROUND(J1355+D1355-E1355-K1355,2))</f>
        <v/>
      </c>
      <c r="M1355" s="6">
        <f>IF(C1355="","",IF('Daily Sale entry '!Q1355="Collection 收款",ROUND(N('Daily Sale entry '!T1355),2),0))</f>
        <v/>
      </c>
    </row>
    <row r="1356">
      <c r="A1356" t="inlineStr">
        <is>
          <t>Entry 记录</t>
        </is>
      </c>
      <c r="B1356" s="5">
        <f>IF('Daily Sale entry '!P1356="","",'Daily Sale entry '!O1356)</f>
        <v/>
      </c>
      <c r="C1356">
        <f>IF('Daily Sale entry '!P1356="","",'Daily Sale entry '!P1356)</f>
        <v/>
      </c>
      <c r="D1356">
        <f>IF(C1356="","",IF('Daily Sale entry '!Q1356="Credit Sale 赊销",'Daily Sale entry '!S1356,0))</f>
        <v/>
      </c>
      <c r="E1356">
        <f>IF(C1356="","",IF('Daily Sale entry '!Q1356="Collection 收款",'Daily Sale entry '!S1356,0))</f>
        <v/>
      </c>
      <c r="F1356" s="37">
        <f>IF(C1356="","",B1356+IF(E1356&gt;0,0,0.5)+ROW()/10000000)</f>
        <v/>
      </c>
      <c r="G1356">
        <f>IF(C1356="","",'Daily Sale entry '!Q1356&amp;IF('Daily Sale entry '!Q1356="Collection 收款"," ("&amp;'Daily Sale entry '!R1356&amp;")","")&amp;IF('Daily Sale entry '!U1356="",""," - "&amp;'Daily Sale entry '!U1356))</f>
        <v/>
      </c>
      <c r="H1356">
        <f>IF(C1356="","",COUNTIFS($C$2:$C$3001,C1356,$F$2:$F$3001,"&lt;"&amp;F1356)+1)</f>
        <v/>
      </c>
      <c r="I1356">
        <f>IF(C1356="","",C1356&amp;"|"&amp;H1356)</f>
        <v/>
      </c>
      <c r="J1356" s="6">
        <f>IF(C1356="","",IF(H1356=1,SUMIFS('Opening Balance'!$F$4:$F$303,'Opening Balance'!$G$4:$G$303,C1356),INDEX($L$2:$L$3001,MATCH(C1356&amp;"|"&amp;(H1356-1),$I$2:$I$3001,0))))</f>
        <v/>
      </c>
      <c r="K1356" s="6">
        <f>IF(C1356="","",IF(M1356&gt;0,M1356,IF(AND(E1356&gt;0,ROUND(J1356+D1356-E1356,2)&gt;0,ROUND(J1356+D1356-E1356,2)&lt;'Opening Balance'!$B$14),ROUND(J1356+D1356-E1356,2),0)))</f>
        <v/>
      </c>
      <c r="L1356" s="6">
        <f>IF(C1356="","",ROUND(J1356+D1356-E1356-K1356,2))</f>
        <v/>
      </c>
      <c r="M1356" s="6">
        <f>IF(C1356="","",IF('Daily Sale entry '!Q1356="Collection 收款",ROUND(N('Daily Sale entry '!T1356),2),0))</f>
        <v/>
      </c>
    </row>
    <row r="1357">
      <c r="A1357" t="inlineStr">
        <is>
          <t>Entry 记录</t>
        </is>
      </c>
      <c r="B1357" s="5">
        <f>IF('Daily Sale entry '!P1357="","",'Daily Sale entry '!O1357)</f>
        <v/>
      </c>
      <c r="C1357">
        <f>IF('Daily Sale entry '!P1357="","",'Daily Sale entry '!P1357)</f>
        <v/>
      </c>
      <c r="D1357">
        <f>IF(C1357="","",IF('Daily Sale entry '!Q1357="Credit Sale 赊销",'Daily Sale entry '!S1357,0))</f>
        <v/>
      </c>
      <c r="E1357">
        <f>IF(C1357="","",IF('Daily Sale entry '!Q1357="Collection 收款",'Daily Sale entry '!S1357,0))</f>
        <v/>
      </c>
      <c r="F1357" s="37">
        <f>IF(C1357="","",B1357+IF(E1357&gt;0,0,0.5)+ROW()/10000000)</f>
        <v/>
      </c>
      <c r="G1357">
        <f>IF(C1357="","",'Daily Sale entry '!Q1357&amp;IF('Daily Sale entry '!Q1357="Collection 收款"," ("&amp;'Daily Sale entry '!R1357&amp;")","")&amp;IF('Daily Sale entry '!U1357="",""," - "&amp;'Daily Sale entry '!U1357))</f>
        <v/>
      </c>
      <c r="H1357">
        <f>IF(C1357="","",COUNTIFS($C$2:$C$3001,C1357,$F$2:$F$3001,"&lt;"&amp;F1357)+1)</f>
        <v/>
      </c>
      <c r="I1357">
        <f>IF(C1357="","",C1357&amp;"|"&amp;H1357)</f>
        <v/>
      </c>
      <c r="J1357" s="6">
        <f>IF(C1357="","",IF(H1357=1,SUMIFS('Opening Balance'!$F$4:$F$303,'Opening Balance'!$G$4:$G$303,C1357),INDEX($L$2:$L$3001,MATCH(C1357&amp;"|"&amp;(H1357-1),$I$2:$I$3001,0))))</f>
        <v/>
      </c>
      <c r="K1357" s="6">
        <f>IF(C1357="","",IF(M1357&gt;0,M1357,IF(AND(E1357&gt;0,ROUND(J1357+D1357-E1357,2)&gt;0,ROUND(J1357+D1357-E1357,2)&lt;'Opening Balance'!$B$14),ROUND(J1357+D1357-E1357,2),0)))</f>
        <v/>
      </c>
      <c r="L1357" s="6">
        <f>IF(C1357="","",ROUND(J1357+D1357-E1357-K1357,2))</f>
        <v/>
      </c>
      <c r="M1357" s="6">
        <f>IF(C1357="","",IF('Daily Sale entry '!Q1357="Collection 收款",ROUND(N('Daily Sale entry '!T1357),2),0))</f>
        <v/>
      </c>
    </row>
    <row r="1358">
      <c r="A1358" t="inlineStr">
        <is>
          <t>Entry 记录</t>
        </is>
      </c>
      <c r="B1358" s="5">
        <f>IF('Daily Sale entry '!P1358="","",'Daily Sale entry '!O1358)</f>
        <v/>
      </c>
      <c r="C1358">
        <f>IF('Daily Sale entry '!P1358="","",'Daily Sale entry '!P1358)</f>
        <v/>
      </c>
      <c r="D1358">
        <f>IF(C1358="","",IF('Daily Sale entry '!Q1358="Credit Sale 赊销",'Daily Sale entry '!S1358,0))</f>
        <v/>
      </c>
      <c r="E1358">
        <f>IF(C1358="","",IF('Daily Sale entry '!Q1358="Collection 收款",'Daily Sale entry '!S1358,0))</f>
        <v/>
      </c>
      <c r="F1358" s="37">
        <f>IF(C1358="","",B1358+IF(E1358&gt;0,0,0.5)+ROW()/10000000)</f>
        <v/>
      </c>
      <c r="G1358">
        <f>IF(C1358="","",'Daily Sale entry '!Q1358&amp;IF('Daily Sale entry '!Q1358="Collection 收款"," ("&amp;'Daily Sale entry '!R1358&amp;")","")&amp;IF('Daily Sale entry '!U1358="",""," - "&amp;'Daily Sale entry '!U1358))</f>
        <v/>
      </c>
      <c r="H1358">
        <f>IF(C1358="","",COUNTIFS($C$2:$C$3001,C1358,$F$2:$F$3001,"&lt;"&amp;F1358)+1)</f>
        <v/>
      </c>
      <c r="I1358">
        <f>IF(C1358="","",C1358&amp;"|"&amp;H1358)</f>
        <v/>
      </c>
      <c r="J1358" s="6">
        <f>IF(C1358="","",IF(H1358=1,SUMIFS('Opening Balance'!$F$4:$F$303,'Opening Balance'!$G$4:$G$303,C1358),INDEX($L$2:$L$3001,MATCH(C1358&amp;"|"&amp;(H1358-1),$I$2:$I$3001,0))))</f>
        <v/>
      </c>
      <c r="K1358" s="6">
        <f>IF(C1358="","",IF(M1358&gt;0,M1358,IF(AND(E1358&gt;0,ROUND(J1358+D1358-E1358,2)&gt;0,ROUND(J1358+D1358-E1358,2)&lt;'Opening Balance'!$B$14),ROUND(J1358+D1358-E1358,2),0)))</f>
        <v/>
      </c>
      <c r="L1358" s="6">
        <f>IF(C1358="","",ROUND(J1358+D1358-E1358-K1358,2))</f>
        <v/>
      </c>
      <c r="M1358" s="6">
        <f>IF(C1358="","",IF('Daily Sale entry '!Q1358="Collection 收款",ROUND(N('Daily Sale entry '!T1358),2),0))</f>
        <v/>
      </c>
    </row>
    <row r="1359">
      <c r="A1359" t="inlineStr">
        <is>
          <t>Entry 记录</t>
        </is>
      </c>
      <c r="B1359" s="5">
        <f>IF('Daily Sale entry '!P1359="","",'Daily Sale entry '!O1359)</f>
        <v/>
      </c>
      <c r="C1359">
        <f>IF('Daily Sale entry '!P1359="","",'Daily Sale entry '!P1359)</f>
        <v/>
      </c>
      <c r="D1359">
        <f>IF(C1359="","",IF('Daily Sale entry '!Q1359="Credit Sale 赊销",'Daily Sale entry '!S1359,0))</f>
        <v/>
      </c>
      <c r="E1359">
        <f>IF(C1359="","",IF('Daily Sale entry '!Q1359="Collection 收款",'Daily Sale entry '!S1359,0))</f>
        <v/>
      </c>
      <c r="F1359" s="37">
        <f>IF(C1359="","",B1359+IF(E1359&gt;0,0,0.5)+ROW()/10000000)</f>
        <v/>
      </c>
      <c r="G1359">
        <f>IF(C1359="","",'Daily Sale entry '!Q1359&amp;IF('Daily Sale entry '!Q1359="Collection 收款"," ("&amp;'Daily Sale entry '!R1359&amp;")","")&amp;IF('Daily Sale entry '!U1359="",""," - "&amp;'Daily Sale entry '!U1359))</f>
        <v/>
      </c>
      <c r="H1359">
        <f>IF(C1359="","",COUNTIFS($C$2:$C$3001,C1359,$F$2:$F$3001,"&lt;"&amp;F1359)+1)</f>
        <v/>
      </c>
      <c r="I1359">
        <f>IF(C1359="","",C1359&amp;"|"&amp;H1359)</f>
        <v/>
      </c>
      <c r="J1359" s="6">
        <f>IF(C1359="","",IF(H1359=1,SUMIFS('Opening Balance'!$F$4:$F$303,'Opening Balance'!$G$4:$G$303,C1359),INDEX($L$2:$L$3001,MATCH(C1359&amp;"|"&amp;(H1359-1),$I$2:$I$3001,0))))</f>
        <v/>
      </c>
      <c r="K1359" s="6">
        <f>IF(C1359="","",IF(M1359&gt;0,M1359,IF(AND(E1359&gt;0,ROUND(J1359+D1359-E1359,2)&gt;0,ROUND(J1359+D1359-E1359,2)&lt;'Opening Balance'!$B$14),ROUND(J1359+D1359-E1359,2),0)))</f>
        <v/>
      </c>
      <c r="L1359" s="6">
        <f>IF(C1359="","",ROUND(J1359+D1359-E1359-K1359,2))</f>
        <v/>
      </c>
      <c r="M1359" s="6">
        <f>IF(C1359="","",IF('Daily Sale entry '!Q1359="Collection 收款",ROUND(N('Daily Sale entry '!T1359),2),0))</f>
        <v/>
      </c>
    </row>
    <row r="1360">
      <c r="A1360" t="inlineStr">
        <is>
          <t>Entry 记录</t>
        </is>
      </c>
      <c r="B1360" s="5">
        <f>IF('Daily Sale entry '!P1360="","",'Daily Sale entry '!O1360)</f>
        <v/>
      </c>
      <c r="C1360">
        <f>IF('Daily Sale entry '!P1360="","",'Daily Sale entry '!P1360)</f>
        <v/>
      </c>
      <c r="D1360">
        <f>IF(C1360="","",IF('Daily Sale entry '!Q1360="Credit Sale 赊销",'Daily Sale entry '!S1360,0))</f>
        <v/>
      </c>
      <c r="E1360">
        <f>IF(C1360="","",IF('Daily Sale entry '!Q1360="Collection 收款",'Daily Sale entry '!S1360,0))</f>
        <v/>
      </c>
      <c r="F1360" s="37">
        <f>IF(C1360="","",B1360+IF(E1360&gt;0,0,0.5)+ROW()/10000000)</f>
        <v/>
      </c>
      <c r="G1360">
        <f>IF(C1360="","",'Daily Sale entry '!Q1360&amp;IF('Daily Sale entry '!Q1360="Collection 收款"," ("&amp;'Daily Sale entry '!R1360&amp;")","")&amp;IF('Daily Sale entry '!U1360="",""," - "&amp;'Daily Sale entry '!U1360))</f>
        <v/>
      </c>
      <c r="H1360">
        <f>IF(C1360="","",COUNTIFS($C$2:$C$3001,C1360,$F$2:$F$3001,"&lt;"&amp;F1360)+1)</f>
        <v/>
      </c>
      <c r="I1360">
        <f>IF(C1360="","",C1360&amp;"|"&amp;H1360)</f>
        <v/>
      </c>
      <c r="J1360" s="6">
        <f>IF(C1360="","",IF(H1360=1,SUMIFS('Opening Balance'!$F$4:$F$303,'Opening Balance'!$G$4:$G$303,C1360),INDEX($L$2:$L$3001,MATCH(C1360&amp;"|"&amp;(H1360-1),$I$2:$I$3001,0))))</f>
        <v/>
      </c>
      <c r="K1360" s="6">
        <f>IF(C1360="","",IF(M1360&gt;0,M1360,IF(AND(E1360&gt;0,ROUND(J1360+D1360-E1360,2)&gt;0,ROUND(J1360+D1360-E1360,2)&lt;'Opening Balance'!$B$14),ROUND(J1360+D1360-E1360,2),0)))</f>
        <v/>
      </c>
      <c r="L1360" s="6">
        <f>IF(C1360="","",ROUND(J1360+D1360-E1360-K1360,2))</f>
        <v/>
      </c>
      <c r="M1360" s="6">
        <f>IF(C1360="","",IF('Daily Sale entry '!Q1360="Collection 收款",ROUND(N('Daily Sale entry '!T1360),2),0))</f>
        <v/>
      </c>
    </row>
    <row r="1361">
      <c r="A1361" t="inlineStr">
        <is>
          <t>Entry 记录</t>
        </is>
      </c>
      <c r="B1361" s="5">
        <f>IF('Daily Sale entry '!P1361="","",'Daily Sale entry '!O1361)</f>
        <v/>
      </c>
      <c r="C1361">
        <f>IF('Daily Sale entry '!P1361="","",'Daily Sale entry '!P1361)</f>
        <v/>
      </c>
      <c r="D1361">
        <f>IF(C1361="","",IF('Daily Sale entry '!Q1361="Credit Sale 赊销",'Daily Sale entry '!S1361,0))</f>
        <v/>
      </c>
      <c r="E1361">
        <f>IF(C1361="","",IF('Daily Sale entry '!Q1361="Collection 收款",'Daily Sale entry '!S1361,0))</f>
        <v/>
      </c>
      <c r="F1361" s="37">
        <f>IF(C1361="","",B1361+IF(E1361&gt;0,0,0.5)+ROW()/10000000)</f>
        <v/>
      </c>
      <c r="G1361">
        <f>IF(C1361="","",'Daily Sale entry '!Q1361&amp;IF('Daily Sale entry '!Q1361="Collection 收款"," ("&amp;'Daily Sale entry '!R1361&amp;")","")&amp;IF('Daily Sale entry '!U1361="",""," - "&amp;'Daily Sale entry '!U1361))</f>
        <v/>
      </c>
      <c r="H1361">
        <f>IF(C1361="","",COUNTIFS($C$2:$C$3001,C1361,$F$2:$F$3001,"&lt;"&amp;F1361)+1)</f>
        <v/>
      </c>
      <c r="I1361">
        <f>IF(C1361="","",C1361&amp;"|"&amp;H1361)</f>
        <v/>
      </c>
      <c r="J1361" s="6">
        <f>IF(C1361="","",IF(H1361=1,SUMIFS('Opening Balance'!$F$4:$F$303,'Opening Balance'!$G$4:$G$303,C1361),INDEX($L$2:$L$3001,MATCH(C1361&amp;"|"&amp;(H1361-1),$I$2:$I$3001,0))))</f>
        <v/>
      </c>
      <c r="K1361" s="6">
        <f>IF(C1361="","",IF(M1361&gt;0,M1361,IF(AND(E1361&gt;0,ROUND(J1361+D1361-E1361,2)&gt;0,ROUND(J1361+D1361-E1361,2)&lt;'Opening Balance'!$B$14),ROUND(J1361+D1361-E1361,2),0)))</f>
        <v/>
      </c>
      <c r="L1361" s="6">
        <f>IF(C1361="","",ROUND(J1361+D1361-E1361-K1361,2))</f>
        <v/>
      </c>
      <c r="M1361" s="6">
        <f>IF(C1361="","",IF('Daily Sale entry '!Q1361="Collection 收款",ROUND(N('Daily Sale entry '!T1361),2),0))</f>
        <v/>
      </c>
    </row>
    <row r="1362">
      <c r="A1362" t="inlineStr">
        <is>
          <t>Entry 记录</t>
        </is>
      </c>
      <c r="B1362" s="5">
        <f>IF('Daily Sale entry '!P1362="","",'Daily Sale entry '!O1362)</f>
        <v/>
      </c>
      <c r="C1362">
        <f>IF('Daily Sale entry '!P1362="","",'Daily Sale entry '!P1362)</f>
        <v/>
      </c>
      <c r="D1362">
        <f>IF(C1362="","",IF('Daily Sale entry '!Q1362="Credit Sale 赊销",'Daily Sale entry '!S1362,0))</f>
        <v/>
      </c>
      <c r="E1362">
        <f>IF(C1362="","",IF('Daily Sale entry '!Q1362="Collection 收款",'Daily Sale entry '!S1362,0))</f>
        <v/>
      </c>
      <c r="F1362" s="37">
        <f>IF(C1362="","",B1362+IF(E1362&gt;0,0,0.5)+ROW()/10000000)</f>
        <v/>
      </c>
      <c r="G1362">
        <f>IF(C1362="","",'Daily Sale entry '!Q1362&amp;IF('Daily Sale entry '!Q1362="Collection 收款"," ("&amp;'Daily Sale entry '!R1362&amp;")","")&amp;IF('Daily Sale entry '!U1362="",""," - "&amp;'Daily Sale entry '!U1362))</f>
        <v/>
      </c>
      <c r="H1362">
        <f>IF(C1362="","",COUNTIFS($C$2:$C$3001,C1362,$F$2:$F$3001,"&lt;"&amp;F1362)+1)</f>
        <v/>
      </c>
      <c r="I1362">
        <f>IF(C1362="","",C1362&amp;"|"&amp;H1362)</f>
        <v/>
      </c>
      <c r="J1362" s="6">
        <f>IF(C1362="","",IF(H1362=1,SUMIFS('Opening Balance'!$F$4:$F$303,'Opening Balance'!$G$4:$G$303,C1362),INDEX($L$2:$L$3001,MATCH(C1362&amp;"|"&amp;(H1362-1),$I$2:$I$3001,0))))</f>
        <v/>
      </c>
      <c r="K1362" s="6">
        <f>IF(C1362="","",IF(M1362&gt;0,M1362,IF(AND(E1362&gt;0,ROUND(J1362+D1362-E1362,2)&gt;0,ROUND(J1362+D1362-E1362,2)&lt;'Opening Balance'!$B$14),ROUND(J1362+D1362-E1362,2),0)))</f>
        <v/>
      </c>
      <c r="L1362" s="6">
        <f>IF(C1362="","",ROUND(J1362+D1362-E1362-K1362,2))</f>
        <v/>
      </c>
      <c r="M1362" s="6">
        <f>IF(C1362="","",IF('Daily Sale entry '!Q1362="Collection 收款",ROUND(N('Daily Sale entry '!T1362),2),0))</f>
        <v/>
      </c>
    </row>
    <row r="1363">
      <c r="A1363" t="inlineStr">
        <is>
          <t>Entry 记录</t>
        </is>
      </c>
      <c r="B1363" s="5">
        <f>IF('Daily Sale entry '!P1363="","",'Daily Sale entry '!O1363)</f>
        <v/>
      </c>
      <c r="C1363">
        <f>IF('Daily Sale entry '!P1363="","",'Daily Sale entry '!P1363)</f>
        <v/>
      </c>
      <c r="D1363">
        <f>IF(C1363="","",IF('Daily Sale entry '!Q1363="Credit Sale 赊销",'Daily Sale entry '!S1363,0))</f>
        <v/>
      </c>
      <c r="E1363">
        <f>IF(C1363="","",IF('Daily Sale entry '!Q1363="Collection 收款",'Daily Sale entry '!S1363,0))</f>
        <v/>
      </c>
      <c r="F1363" s="37">
        <f>IF(C1363="","",B1363+IF(E1363&gt;0,0,0.5)+ROW()/10000000)</f>
        <v/>
      </c>
      <c r="G1363">
        <f>IF(C1363="","",'Daily Sale entry '!Q1363&amp;IF('Daily Sale entry '!Q1363="Collection 收款"," ("&amp;'Daily Sale entry '!R1363&amp;")","")&amp;IF('Daily Sale entry '!U1363="",""," - "&amp;'Daily Sale entry '!U1363))</f>
        <v/>
      </c>
      <c r="H1363">
        <f>IF(C1363="","",COUNTIFS($C$2:$C$3001,C1363,$F$2:$F$3001,"&lt;"&amp;F1363)+1)</f>
        <v/>
      </c>
      <c r="I1363">
        <f>IF(C1363="","",C1363&amp;"|"&amp;H1363)</f>
        <v/>
      </c>
      <c r="J1363" s="6">
        <f>IF(C1363="","",IF(H1363=1,SUMIFS('Opening Balance'!$F$4:$F$303,'Opening Balance'!$G$4:$G$303,C1363),INDEX($L$2:$L$3001,MATCH(C1363&amp;"|"&amp;(H1363-1),$I$2:$I$3001,0))))</f>
        <v/>
      </c>
      <c r="K1363" s="6">
        <f>IF(C1363="","",IF(M1363&gt;0,M1363,IF(AND(E1363&gt;0,ROUND(J1363+D1363-E1363,2)&gt;0,ROUND(J1363+D1363-E1363,2)&lt;'Opening Balance'!$B$14),ROUND(J1363+D1363-E1363,2),0)))</f>
        <v/>
      </c>
      <c r="L1363" s="6">
        <f>IF(C1363="","",ROUND(J1363+D1363-E1363-K1363,2))</f>
        <v/>
      </c>
      <c r="M1363" s="6">
        <f>IF(C1363="","",IF('Daily Sale entry '!Q1363="Collection 收款",ROUND(N('Daily Sale entry '!T1363),2),0))</f>
        <v/>
      </c>
    </row>
    <row r="1364">
      <c r="A1364" t="inlineStr">
        <is>
          <t>Entry 记录</t>
        </is>
      </c>
      <c r="B1364" s="5">
        <f>IF('Daily Sale entry '!P1364="","",'Daily Sale entry '!O1364)</f>
        <v/>
      </c>
      <c r="C1364">
        <f>IF('Daily Sale entry '!P1364="","",'Daily Sale entry '!P1364)</f>
        <v/>
      </c>
      <c r="D1364">
        <f>IF(C1364="","",IF('Daily Sale entry '!Q1364="Credit Sale 赊销",'Daily Sale entry '!S1364,0))</f>
        <v/>
      </c>
      <c r="E1364">
        <f>IF(C1364="","",IF('Daily Sale entry '!Q1364="Collection 收款",'Daily Sale entry '!S1364,0))</f>
        <v/>
      </c>
      <c r="F1364" s="37">
        <f>IF(C1364="","",B1364+IF(E1364&gt;0,0,0.5)+ROW()/10000000)</f>
        <v/>
      </c>
      <c r="G1364">
        <f>IF(C1364="","",'Daily Sale entry '!Q1364&amp;IF('Daily Sale entry '!Q1364="Collection 收款"," ("&amp;'Daily Sale entry '!R1364&amp;")","")&amp;IF('Daily Sale entry '!U1364="",""," - "&amp;'Daily Sale entry '!U1364))</f>
        <v/>
      </c>
      <c r="H1364">
        <f>IF(C1364="","",COUNTIFS($C$2:$C$3001,C1364,$F$2:$F$3001,"&lt;"&amp;F1364)+1)</f>
        <v/>
      </c>
      <c r="I1364">
        <f>IF(C1364="","",C1364&amp;"|"&amp;H1364)</f>
        <v/>
      </c>
      <c r="J1364" s="6">
        <f>IF(C1364="","",IF(H1364=1,SUMIFS('Opening Balance'!$F$4:$F$303,'Opening Balance'!$G$4:$G$303,C1364),INDEX($L$2:$L$3001,MATCH(C1364&amp;"|"&amp;(H1364-1),$I$2:$I$3001,0))))</f>
        <v/>
      </c>
      <c r="K1364" s="6">
        <f>IF(C1364="","",IF(M1364&gt;0,M1364,IF(AND(E1364&gt;0,ROUND(J1364+D1364-E1364,2)&gt;0,ROUND(J1364+D1364-E1364,2)&lt;'Opening Balance'!$B$14),ROUND(J1364+D1364-E1364,2),0)))</f>
        <v/>
      </c>
      <c r="L1364" s="6">
        <f>IF(C1364="","",ROUND(J1364+D1364-E1364-K1364,2))</f>
        <v/>
      </c>
      <c r="M1364" s="6">
        <f>IF(C1364="","",IF('Daily Sale entry '!Q1364="Collection 收款",ROUND(N('Daily Sale entry '!T1364),2),0))</f>
        <v/>
      </c>
    </row>
    <row r="1365">
      <c r="A1365" t="inlineStr">
        <is>
          <t>Entry 记录</t>
        </is>
      </c>
      <c r="B1365" s="5">
        <f>IF('Daily Sale entry '!P1365="","",'Daily Sale entry '!O1365)</f>
        <v/>
      </c>
      <c r="C1365">
        <f>IF('Daily Sale entry '!P1365="","",'Daily Sale entry '!P1365)</f>
        <v/>
      </c>
      <c r="D1365">
        <f>IF(C1365="","",IF('Daily Sale entry '!Q1365="Credit Sale 赊销",'Daily Sale entry '!S1365,0))</f>
        <v/>
      </c>
      <c r="E1365">
        <f>IF(C1365="","",IF('Daily Sale entry '!Q1365="Collection 收款",'Daily Sale entry '!S1365,0))</f>
        <v/>
      </c>
      <c r="F1365" s="37">
        <f>IF(C1365="","",B1365+IF(E1365&gt;0,0,0.5)+ROW()/10000000)</f>
        <v/>
      </c>
      <c r="G1365">
        <f>IF(C1365="","",'Daily Sale entry '!Q1365&amp;IF('Daily Sale entry '!Q1365="Collection 收款"," ("&amp;'Daily Sale entry '!R1365&amp;")","")&amp;IF('Daily Sale entry '!U1365="",""," - "&amp;'Daily Sale entry '!U1365))</f>
        <v/>
      </c>
      <c r="H1365">
        <f>IF(C1365="","",COUNTIFS($C$2:$C$3001,C1365,$F$2:$F$3001,"&lt;"&amp;F1365)+1)</f>
        <v/>
      </c>
      <c r="I1365">
        <f>IF(C1365="","",C1365&amp;"|"&amp;H1365)</f>
        <v/>
      </c>
      <c r="J1365" s="6">
        <f>IF(C1365="","",IF(H1365=1,SUMIFS('Opening Balance'!$F$4:$F$303,'Opening Balance'!$G$4:$G$303,C1365),INDEX($L$2:$L$3001,MATCH(C1365&amp;"|"&amp;(H1365-1),$I$2:$I$3001,0))))</f>
        <v/>
      </c>
      <c r="K1365" s="6">
        <f>IF(C1365="","",IF(M1365&gt;0,M1365,IF(AND(E1365&gt;0,ROUND(J1365+D1365-E1365,2)&gt;0,ROUND(J1365+D1365-E1365,2)&lt;'Opening Balance'!$B$14),ROUND(J1365+D1365-E1365,2),0)))</f>
        <v/>
      </c>
      <c r="L1365" s="6">
        <f>IF(C1365="","",ROUND(J1365+D1365-E1365-K1365,2))</f>
        <v/>
      </c>
      <c r="M1365" s="6">
        <f>IF(C1365="","",IF('Daily Sale entry '!Q1365="Collection 收款",ROUND(N('Daily Sale entry '!T1365),2),0))</f>
        <v/>
      </c>
    </row>
    <row r="1366">
      <c r="A1366" t="inlineStr">
        <is>
          <t>Entry 记录</t>
        </is>
      </c>
      <c r="B1366" s="5">
        <f>IF('Daily Sale entry '!P1366="","",'Daily Sale entry '!O1366)</f>
        <v/>
      </c>
      <c r="C1366">
        <f>IF('Daily Sale entry '!P1366="","",'Daily Sale entry '!P1366)</f>
        <v/>
      </c>
      <c r="D1366">
        <f>IF(C1366="","",IF('Daily Sale entry '!Q1366="Credit Sale 赊销",'Daily Sale entry '!S1366,0))</f>
        <v/>
      </c>
      <c r="E1366">
        <f>IF(C1366="","",IF('Daily Sale entry '!Q1366="Collection 收款",'Daily Sale entry '!S1366,0))</f>
        <v/>
      </c>
      <c r="F1366" s="37">
        <f>IF(C1366="","",B1366+IF(E1366&gt;0,0,0.5)+ROW()/10000000)</f>
        <v/>
      </c>
      <c r="G1366">
        <f>IF(C1366="","",'Daily Sale entry '!Q1366&amp;IF('Daily Sale entry '!Q1366="Collection 收款"," ("&amp;'Daily Sale entry '!R1366&amp;")","")&amp;IF('Daily Sale entry '!U1366="",""," - "&amp;'Daily Sale entry '!U1366))</f>
        <v/>
      </c>
      <c r="H1366">
        <f>IF(C1366="","",COUNTIFS($C$2:$C$3001,C1366,$F$2:$F$3001,"&lt;"&amp;F1366)+1)</f>
        <v/>
      </c>
      <c r="I1366">
        <f>IF(C1366="","",C1366&amp;"|"&amp;H1366)</f>
        <v/>
      </c>
      <c r="J1366" s="6">
        <f>IF(C1366="","",IF(H1366=1,SUMIFS('Opening Balance'!$F$4:$F$303,'Opening Balance'!$G$4:$G$303,C1366),INDEX($L$2:$L$3001,MATCH(C1366&amp;"|"&amp;(H1366-1),$I$2:$I$3001,0))))</f>
        <v/>
      </c>
      <c r="K1366" s="6">
        <f>IF(C1366="","",IF(M1366&gt;0,M1366,IF(AND(E1366&gt;0,ROUND(J1366+D1366-E1366,2)&gt;0,ROUND(J1366+D1366-E1366,2)&lt;'Opening Balance'!$B$14),ROUND(J1366+D1366-E1366,2),0)))</f>
        <v/>
      </c>
      <c r="L1366" s="6">
        <f>IF(C1366="","",ROUND(J1366+D1366-E1366-K1366,2))</f>
        <v/>
      </c>
      <c r="M1366" s="6">
        <f>IF(C1366="","",IF('Daily Sale entry '!Q1366="Collection 收款",ROUND(N('Daily Sale entry '!T1366),2),0))</f>
        <v/>
      </c>
    </row>
    <row r="1367">
      <c r="A1367" t="inlineStr">
        <is>
          <t>Entry 记录</t>
        </is>
      </c>
      <c r="B1367" s="5">
        <f>IF('Daily Sale entry '!P1367="","",'Daily Sale entry '!O1367)</f>
        <v/>
      </c>
      <c r="C1367">
        <f>IF('Daily Sale entry '!P1367="","",'Daily Sale entry '!P1367)</f>
        <v/>
      </c>
      <c r="D1367">
        <f>IF(C1367="","",IF('Daily Sale entry '!Q1367="Credit Sale 赊销",'Daily Sale entry '!S1367,0))</f>
        <v/>
      </c>
      <c r="E1367">
        <f>IF(C1367="","",IF('Daily Sale entry '!Q1367="Collection 收款",'Daily Sale entry '!S1367,0))</f>
        <v/>
      </c>
      <c r="F1367" s="37">
        <f>IF(C1367="","",B1367+IF(E1367&gt;0,0,0.5)+ROW()/10000000)</f>
        <v/>
      </c>
      <c r="G1367">
        <f>IF(C1367="","",'Daily Sale entry '!Q1367&amp;IF('Daily Sale entry '!Q1367="Collection 收款"," ("&amp;'Daily Sale entry '!R1367&amp;")","")&amp;IF('Daily Sale entry '!U1367="",""," - "&amp;'Daily Sale entry '!U1367))</f>
        <v/>
      </c>
      <c r="H1367">
        <f>IF(C1367="","",COUNTIFS($C$2:$C$3001,C1367,$F$2:$F$3001,"&lt;"&amp;F1367)+1)</f>
        <v/>
      </c>
      <c r="I1367">
        <f>IF(C1367="","",C1367&amp;"|"&amp;H1367)</f>
        <v/>
      </c>
      <c r="J1367" s="6">
        <f>IF(C1367="","",IF(H1367=1,SUMIFS('Opening Balance'!$F$4:$F$303,'Opening Balance'!$G$4:$G$303,C1367),INDEX($L$2:$L$3001,MATCH(C1367&amp;"|"&amp;(H1367-1),$I$2:$I$3001,0))))</f>
        <v/>
      </c>
      <c r="K1367" s="6">
        <f>IF(C1367="","",IF(M1367&gt;0,M1367,IF(AND(E1367&gt;0,ROUND(J1367+D1367-E1367,2)&gt;0,ROUND(J1367+D1367-E1367,2)&lt;'Opening Balance'!$B$14),ROUND(J1367+D1367-E1367,2),0)))</f>
        <v/>
      </c>
      <c r="L1367" s="6">
        <f>IF(C1367="","",ROUND(J1367+D1367-E1367-K1367,2))</f>
        <v/>
      </c>
      <c r="M1367" s="6">
        <f>IF(C1367="","",IF('Daily Sale entry '!Q1367="Collection 收款",ROUND(N('Daily Sale entry '!T1367),2),0))</f>
        <v/>
      </c>
    </row>
    <row r="1368">
      <c r="A1368" t="inlineStr">
        <is>
          <t>Entry 记录</t>
        </is>
      </c>
      <c r="B1368" s="5">
        <f>IF('Daily Sale entry '!P1368="","",'Daily Sale entry '!O1368)</f>
        <v/>
      </c>
      <c r="C1368">
        <f>IF('Daily Sale entry '!P1368="","",'Daily Sale entry '!P1368)</f>
        <v/>
      </c>
      <c r="D1368">
        <f>IF(C1368="","",IF('Daily Sale entry '!Q1368="Credit Sale 赊销",'Daily Sale entry '!S1368,0))</f>
        <v/>
      </c>
      <c r="E1368">
        <f>IF(C1368="","",IF('Daily Sale entry '!Q1368="Collection 收款",'Daily Sale entry '!S1368,0))</f>
        <v/>
      </c>
      <c r="F1368" s="37">
        <f>IF(C1368="","",B1368+IF(E1368&gt;0,0,0.5)+ROW()/10000000)</f>
        <v/>
      </c>
      <c r="G1368">
        <f>IF(C1368="","",'Daily Sale entry '!Q1368&amp;IF('Daily Sale entry '!Q1368="Collection 收款"," ("&amp;'Daily Sale entry '!R1368&amp;")","")&amp;IF('Daily Sale entry '!U1368="",""," - "&amp;'Daily Sale entry '!U1368))</f>
        <v/>
      </c>
      <c r="H1368">
        <f>IF(C1368="","",COUNTIFS($C$2:$C$3001,C1368,$F$2:$F$3001,"&lt;"&amp;F1368)+1)</f>
        <v/>
      </c>
      <c r="I1368">
        <f>IF(C1368="","",C1368&amp;"|"&amp;H1368)</f>
        <v/>
      </c>
      <c r="J1368" s="6">
        <f>IF(C1368="","",IF(H1368=1,SUMIFS('Opening Balance'!$F$4:$F$303,'Opening Balance'!$G$4:$G$303,C1368),INDEX($L$2:$L$3001,MATCH(C1368&amp;"|"&amp;(H1368-1),$I$2:$I$3001,0))))</f>
        <v/>
      </c>
      <c r="K1368" s="6">
        <f>IF(C1368="","",IF(M1368&gt;0,M1368,IF(AND(E1368&gt;0,ROUND(J1368+D1368-E1368,2)&gt;0,ROUND(J1368+D1368-E1368,2)&lt;'Opening Balance'!$B$14),ROUND(J1368+D1368-E1368,2),0)))</f>
        <v/>
      </c>
      <c r="L1368" s="6">
        <f>IF(C1368="","",ROUND(J1368+D1368-E1368-K1368,2))</f>
        <v/>
      </c>
      <c r="M1368" s="6">
        <f>IF(C1368="","",IF('Daily Sale entry '!Q1368="Collection 收款",ROUND(N('Daily Sale entry '!T1368),2),0))</f>
        <v/>
      </c>
    </row>
    <row r="1369">
      <c r="A1369" t="inlineStr">
        <is>
          <t>Entry 记录</t>
        </is>
      </c>
      <c r="B1369" s="5">
        <f>IF('Daily Sale entry '!P1369="","",'Daily Sale entry '!O1369)</f>
        <v/>
      </c>
      <c r="C1369">
        <f>IF('Daily Sale entry '!P1369="","",'Daily Sale entry '!P1369)</f>
        <v/>
      </c>
      <c r="D1369">
        <f>IF(C1369="","",IF('Daily Sale entry '!Q1369="Credit Sale 赊销",'Daily Sale entry '!S1369,0))</f>
        <v/>
      </c>
      <c r="E1369">
        <f>IF(C1369="","",IF('Daily Sale entry '!Q1369="Collection 收款",'Daily Sale entry '!S1369,0))</f>
        <v/>
      </c>
      <c r="F1369" s="37">
        <f>IF(C1369="","",B1369+IF(E1369&gt;0,0,0.5)+ROW()/10000000)</f>
        <v/>
      </c>
      <c r="G1369">
        <f>IF(C1369="","",'Daily Sale entry '!Q1369&amp;IF('Daily Sale entry '!Q1369="Collection 收款"," ("&amp;'Daily Sale entry '!R1369&amp;")","")&amp;IF('Daily Sale entry '!U1369="",""," - "&amp;'Daily Sale entry '!U1369))</f>
        <v/>
      </c>
      <c r="H1369">
        <f>IF(C1369="","",COUNTIFS($C$2:$C$3001,C1369,$F$2:$F$3001,"&lt;"&amp;F1369)+1)</f>
        <v/>
      </c>
      <c r="I1369">
        <f>IF(C1369="","",C1369&amp;"|"&amp;H1369)</f>
        <v/>
      </c>
      <c r="J1369" s="6">
        <f>IF(C1369="","",IF(H1369=1,SUMIFS('Opening Balance'!$F$4:$F$303,'Opening Balance'!$G$4:$G$303,C1369),INDEX($L$2:$L$3001,MATCH(C1369&amp;"|"&amp;(H1369-1),$I$2:$I$3001,0))))</f>
        <v/>
      </c>
      <c r="K1369" s="6">
        <f>IF(C1369="","",IF(M1369&gt;0,M1369,IF(AND(E1369&gt;0,ROUND(J1369+D1369-E1369,2)&gt;0,ROUND(J1369+D1369-E1369,2)&lt;'Opening Balance'!$B$14),ROUND(J1369+D1369-E1369,2),0)))</f>
        <v/>
      </c>
      <c r="L1369" s="6">
        <f>IF(C1369="","",ROUND(J1369+D1369-E1369-K1369,2))</f>
        <v/>
      </c>
      <c r="M1369" s="6">
        <f>IF(C1369="","",IF('Daily Sale entry '!Q1369="Collection 收款",ROUND(N('Daily Sale entry '!T1369),2),0))</f>
        <v/>
      </c>
    </row>
    <row r="1370">
      <c r="A1370" t="inlineStr">
        <is>
          <t>Entry 记录</t>
        </is>
      </c>
      <c r="B1370" s="5">
        <f>IF('Daily Sale entry '!P1370="","",'Daily Sale entry '!O1370)</f>
        <v/>
      </c>
      <c r="C1370">
        <f>IF('Daily Sale entry '!P1370="","",'Daily Sale entry '!P1370)</f>
        <v/>
      </c>
      <c r="D1370">
        <f>IF(C1370="","",IF('Daily Sale entry '!Q1370="Credit Sale 赊销",'Daily Sale entry '!S1370,0))</f>
        <v/>
      </c>
      <c r="E1370">
        <f>IF(C1370="","",IF('Daily Sale entry '!Q1370="Collection 收款",'Daily Sale entry '!S1370,0))</f>
        <v/>
      </c>
      <c r="F1370" s="37">
        <f>IF(C1370="","",B1370+IF(E1370&gt;0,0,0.5)+ROW()/10000000)</f>
        <v/>
      </c>
      <c r="G1370">
        <f>IF(C1370="","",'Daily Sale entry '!Q1370&amp;IF('Daily Sale entry '!Q1370="Collection 收款"," ("&amp;'Daily Sale entry '!R1370&amp;")","")&amp;IF('Daily Sale entry '!U1370="",""," - "&amp;'Daily Sale entry '!U1370))</f>
        <v/>
      </c>
      <c r="H1370">
        <f>IF(C1370="","",COUNTIFS($C$2:$C$3001,C1370,$F$2:$F$3001,"&lt;"&amp;F1370)+1)</f>
        <v/>
      </c>
      <c r="I1370">
        <f>IF(C1370="","",C1370&amp;"|"&amp;H1370)</f>
        <v/>
      </c>
      <c r="J1370" s="6">
        <f>IF(C1370="","",IF(H1370=1,SUMIFS('Opening Balance'!$F$4:$F$303,'Opening Balance'!$G$4:$G$303,C1370),INDEX($L$2:$L$3001,MATCH(C1370&amp;"|"&amp;(H1370-1),$I$2:$I$3001,0))))</f>
        <v/>
      </c>
      <c r="K1370" s="6">
        <f>IF(C1370="","",IF(M1370&gt;0,M1370,IF(AND(E1370&gt;0,ROUND(J1370+D1370-E1370,2)&gt;0,ROUND(J1370+D1370-E1370,2)&lt;'Opening Balance'!$B$14),ROUND(J1370+D1370-E1370,2),0)))</f>
        <v/>
      </c>
      <c r="L1370" s="6">
        <f>IF(C1370="","",ROUND(J1370+D1370-E1370-K1370,2))</f>
        <v/>
      </c>
      <c r="M1370" s="6">
        <f>IF(C1370="","",IF('Daily Sale entry '!Q1370="Collection 收款",ROUND(N('Daily Sale entry '!T1370),2),0))</f>
        <v/>
      </c>
    </row>
    <row r="1371">
      <c r="A1371" t="inlineStr">
        <is>
          <t>Entry 记录</t>
        </is>
      </c>
      <c r="B1371" s="5">
        <f>IF('Daily Sale entry '!P1371="","",'Daily Sale entry '!O1371)</f>
        <v/>
      </c>
      <c r="C1371">
        <f>IF('Daily Sale entry '!P1371="","",'Daily Sale entry '!P1371)</f>
        <v/>
      </c>
      <c r="D1371">
        <f>IF(C1371="","",IF('Daily Sale entry '!Q1371="Credit Sale 赊销",'Daily Sale entry '!S1371,0))</f>
        <v/>
      </c>
      <c r="E1371">
        <f>IF(C1371="","",IF('Daily Sale entry '!Q1371="Collection 收款",'Daily Sale entry '!S1371,0))</f>
        <v/>
      </c>
      <c r="F1371" s="37">
        <f>IF(C1371="","",B1371+IF(E1371&gt;0,0,0.5)+ROW()/10000000)</f>
        <v/>
      </c>
      <c r="G1371">
        <f>IF(C1371="","",'Daily Sale entry '!Q1371&amp;IF('Daily Sale entry '!Q1371="Collection 收款"," ("&amp;'Daily Sale entry '!R1371&amp;")","")&amp;IF('Daily Sale entry '!U1371="",""," - "&amp;'Daily Sale entry '!U1371))</f>
        <v/>
      </c>
      <c r="H1371">
        <f>IF(C1371="","",COUNTIFS($C$2:$C$3001,C1371,$F$2:$F$3001,"&lt;"&amp;F1371)+1)</f>
        <v/>
      </c>
      <c r="I1371">
        <f>IF(C1371="","",C1371&amp;"|"&amp;H1371)</f>
        <v/>
      </c>
      <c r="J1371" s="6">
        <f>IF(C1371="","",IF(H1371=1,SUMIFS('Opening Balance'!$F$4:$F$303,'Opening Balance'!$G$4:$G$303,C1371),INDEX($L$2:$L$3001,MATCH(C1371&amp;"|"&amp;(H1371-1),$I$2:$I$3001,0))))</f>
        <v/>
      </c>
      <c r="K1371" s="6">
        <f>IF(C1371="","",IF(M1371&gt;0,M1371,IF(AND(E1371&gt;0,ROUND(J1371+D1371-E1371,2)&gt;0,ROUND(J1371+D1371-E1371,2)&lt;'Opening Balance'!$B$14),ROUND(J1371+D1371-E1371,2),0)))</f>
        <v/>
      </c>
      <c r="L1371" s="6">
        <f>IF(C1371="","",ROUND(J1371+D1371-E1371-K1371,2))</f>
        <v/>
      </c>
      <c r="M1371" s="6">
        <f>IF(C1371="","",IF('Daily Sale entry '!Q1371="Collection 收款",ROUND(N('Daily Sale entry '!T1371),2),0))</f>
        <v/>
      </c>
    </row>
    <row r="1372">
      <c r="A1372" t="inlineStr">
        <is>
          <t>Entry 记录</t>
        </is>
      </c>
      <c r="B1372" s="5">
        <f>IF('Daily Sale entry '!P1372="","",'Daily Sale entry '!O1372)</f>
        <v/>
      </c>
      <c r="C1372">
        <f>IF('Daily Sale entry '!P1372="","",'Daily Sale entry '!P1372)</f>
        <v/>
      </c>
      <c r="D1372">
        <f>IF(C1372="","",IF('Daily Sale entry '!Q1372="Credit Sale 赊销",'Daily Sale entry '!S1372,0))</f>
        <v/>
      </c>
      <c r="E1372">
        <f>IF(C1372="","",IF('Daily Sale entry '!Q1372="Collection 收款",'Daily Sale entry '!S1372,0))</f>
        <v/>
      </c>
      <c r="F1372" s="37">
        <f>IF(C1372="","",B1372+IF(E1372&gt;0,0,0.5)+ROW()/10000000)</f>
        <v/>
      </c>
      <c r="G1372">
        <f>IF(C1372="","",'Daily Sale entry '!Q1372&amp;IF('Daily Sale entry '!Q1372="Collection 收款"," ("&amp;'Daily Sale entry '!R1372&amp;")","")&amp;IF('Daily Sale entry '!U1372="",""," - "&amp;'Daily Sale entry '!U1372))</f>
        <v/>
      </c>
      <c r="H1372">
        <f>IF(C1372="","",COUNTIFS($C$2:$C$3001,C1372,$F$2:$F$3001,"&lt;"&amp;F1372)+1)</f>
        <v/>
      </c>
      <c r="I1372">
        <f>IF(C1372="","",C1372&amp;"|"&amp;H1372)</f>
        <v/>
      </c>
      <c r="J1372" s="6">
        <f>IF(C1372="","",IF(H1372=1,SUMIFS('Opening Balance'!$F$4:$F$303,'Opening Balance'!$G$4:$G$303,C1372),INDEX($L$2:$L$3001,MATCH(C1372&amp;"|"&amp;(H1372-1),$I$2:$I$3001,0))))</f>
        <v/>
      </c>
      <c r="K1372" s="6">
        <f>IF(C1372="","",IF(M1372&gt;0,M1372,IF(AND(E1372&gt;0,ROUND(J1372+D1372-E1372,2)&gt;0,ROUND(J1372+D1372-E1372,2)&lt;'Opening Balance'!$B$14),ROUND(J1372+D1372-E1372,2),0)))</f>
        <v/>
      </c>
      <c r="L1372" s="6">
        <f>IF(C1372="","",ROUND(J1372+D1372-E1372-K1372,2))</f>
        <v/>
      </c>
      <c r="M1372" s="6">
        <f>IF(C1372="","",IF('Daily Sale entry '!Q1372="Collection 收款",ROUND(N('Daily Sale entry '!T1372),2),0))</f>
        <v/>
      </c>
    </row>
    <row r="1373">
      <c r="A1373" t="inlineStr">
        <is>
          <t>Entry 记录</t>
        </is>
      </c>
      <c r="B1373" s="5">
        <f>IF('Daily Sale entry '!P1373="","",'Daily Sale entry '!O1373)</f>
        <v/>
      </c>
      <c r="C1373">
        <f>IF('Daily Sale entry '!P1373="","",'Daily Sale entry '!P1373)</f>
        <v/>
      </c>
      <c r="D1373">
        <f>IF(C1373="","",IF('Daily Sale entry '!Q1373="Credit Sale 赊销",'Daily Sale entry '!S1373,0))</f>
        <v/>
      </c>
      <c r="E1373">
        <f>IF(C1373="","",IF('Daily Sale entry '!Q1373="Collection 收款",'Daily Sale entry '!S1373,0))</f>
        <v/>
      </c>
      <c r="F1373" s="37">
        <f>IF(C1373="","",B1373+IF(E1373&gt;0,0,0.5)+ROW()/10000000)</f>
        <v/>
      </c>
      <c r="G1373">
        <f>IF(C1373="","",'Daily Sale entry '!Q1373&amp;IF('Daily Sale entry '!Q1373="Collection 收款"," ("&amp;'Daily Sale entry '!R1373&amp;")","")&amp;IF('Daily Sale entry '!U1373="",""," - "&amp;'Daily Sale entry '!U1373))</f>
        <v/>
      </c>
      <c r="H1373">
        <f>IF(C1373="","",COUNTIFS($C$2:$C$3001,C1373,$F$2:$F$3001,"&lt;"&amp;F1373)+1)</f>
        <v/>
      </c>
      <c r="I1373">
        <f>IF(C1373="","",C1373&amp;"|"&amp;H1373)</f>
        <v/>
      </c>
      <c r="J1373" s="6">
        <f>IF(C1373="","",IF(H1373=1,SUMIFS('Opening Balance'!$F$4:$F$303,'Opening Balance'!$G$4:$G$303,C1373),INDEX($L$2:$L$3001,MATCH(C1373&amp;"|"&amp;(H1373-1),$I$2:$I$3001,0))))</f>
        <v/>
      </c>
      <c r="K1373" s="6">
        <f>IF(C1373="","",IF(M1373&gt;0,M1373,IF(AND(E1373&gt;0,ROUND(J1373+D1373-E1373,2)&gt;0,ROUND(J1373+D1373-E1373,2)&lt;'Opening Balance'!$B$14),ROUND(J1373+D1373-E1373,2),0)))</f>
        <v/>
      </c>
      <c r="L1373" s="6">
        <f>IF(C1373="","",ROUND(J1373+D1373-E1373-K1373,2))</f>
        <v/>
      </c>
      <c r="M1373" s="6">
        <f>IF(C1373="","",IF('Daily Sale entry '!Q1373="Collection 收款",ROUND(N('Daily Sale entry '!T1373),2),0))</f>
        <v/>
      </c>
    </row>
    <row r="1374">
      <c r="A1374" t="inlineStr">
        <is>
          <t>Entry 记录</t>
        </is>
      </c>
      <c r="B1374" s="5">
        <f>IF('Daily Sale entry '!P1374="","",'Daily Sale entry '!O1374)</f>
        <v/>
      </c>
      <c r="C1374">
        <f>IF('Daily Sale entry '!P1374="","",'Daily Sale entry '!P1374)</f>
        <v/>
      </c>
      <c r="D1374">
        <f>IF(C1374="","",IF('Daily Sale entry '!Q1374="Credit Sale 赊销",'Daily Sale entry '!S1374,0))</f>
        <v/>
      </c>
      <c r="E1374">
        <f>IF(C1374="","",IF('Daily Sale entry '!Q1374="Collection 收款",'Daily Sale entry '!S1374,0))</f>
        <v/>
      </c>
      <c r="F1374" s="37">
        <f>IF(C1374="","",B1374+IF(E1374&gt;0,0,0.5)+ROW()/10000000)</f>
        <v/>
      </c>
      <c r="G1374">
        <f>IF(C1374="","",'Daily Sale entry '!Q1374&amp;IF('Daily Sale entry '!Q1374="Collection 收款"," ("&amp;'Daily Sale entry '!R1374&amp;")","")&amp;IF('Daily Sale entry '!U1374="",""," - "&amp;'Daily Sale entry '!U1374))</f>
        <v/>
      </c>
      <c r="H1374">
        <f>IF(C1374="","",COUNTIFS($C$2:$C$3001,C1374,$F$2:$F$3001,"&lt;"&amp;F1374)+1)</f>
        <v/>
      </c>
      <c r="I1374">
        <f>IF(C1374="","",C1374&amp;"|"&amp;H1374)</f>
        <v/>
      </c>
      <c r="J1374" s="6">
        <f>IF(C1374="","",IF(H1374=1,SUMIFS('Opening Balance'!$F$4:$F$303,'Opening Balance'!$G$4:$G$303,C1374),INDEX($L$2:$L$3001,MATCH(C1374&amp;"|"&amp;(H1374-1),$I$2:$I$3001,0))))</f>
        <v/>
      </c>
      <c r="K1374" s="6">
        <f>IF(C1374="","",IF(M1374&gt;0,M1374,IF(AND(E1374&gt;0,ROUND(J1374+D1374-E1374,2)&gt;0,ROUND(J1374+D1374-E1374,2)&lt;'Opening Balance'!$B$14),ROUND(J1374+D1374-E1374,2),0)))</f>
        <v/>
      </c>
      <c r="L1374" s="6">
        <f>IF(C1374="","",ROUND(J1374+D1374-E1374-K1374,2))</f>
        <v/>
      </c>
      <c r="M1374" s="6">
        <f>IF(C1374="","",IF('Daily Sale entry '!Q1374="Collection 收款",ROUND(N('Daily Sale entry '!T1374),2),0))</f>
        <v/>
      </c>
    </row>
    <row r="1375">
      <c r="A1375" t="inlineStr">
        <is>
          <t>Entry 记录</t>
        </is>
      </c>
      <c r="B1375" s="5">
        <f>IF('Daily Sale entry '!P1375="","",'Daily Sale entry '!O1375)</f>
        <v/>
      </c>
      <c r="C1375">
        <f>IF('Daily Sale entry '!P1375="","",'Daily Sale entry '!P1375)</f>
        <v/>
      </c>
      <c r="D1375">
        <f>IF(C1375="","",IF('Daily Sale entry '!Q1375="Credit Sale 赊销",'Daily Sale entry '!S1375,0))</f>
        <v/>
      </c>
      <c r="E1375">
        <f>IF(C1375="","",IF('Daily Sale entry '!Q1375="Collection 收款",'Daily Sale entry '!S1375,0))</f>
        <v/>
      </c>
      <c r="F1375" s="37">
        <f>IF(C1375="","",B1375+IF(E1375&gt;0,0,0.5)+ROW()/10000000)</f>
        <v/>
      </c>
      <c r="G1375">
        <f>IF(C1375="","",'Daily Sale entry '!Q1375&amp;IF('Daily Sale entry '!Q1375="Collection 收款"," ("&amp;'Daily Sale entry '!R1375&amp;")","")&amp;IF('Daily Sale entry '!U1375="",""," - "&amp;'Daily Sale entry '!U1375))</f>
        <v/>
      </c>
      <c r="H1375">
        <f>IF(C1375="","",COUNTIFS($C$2:$C$3001,C1375,$F$2:$F$3001,"&lt;"&amp;F1375)+1)</f>
        <v/>
      </c>
      <c r="I1375">
        <f>IF(C1375="","",C1375&amp;"|"&amp;H1375)</f>
        <v/>
      </c>
      <c r="J1375" s="6">
        <f>IF(C1375="","",IF(H1375=1,SUMIFS('Opening Balance'!$F$4:$F$303,'Opening Balance'!$G$4:$G$303,C1375),INDEX($L$2:$L$3001,MATCH(C1375&amp;"|"&amp;(H1375-1),$I$2:$I$3001,0))))</f>
        <v/>
      </c>
      <c r="K1375" s="6">
        <f>IF(C1375="","",IF(M1375&gt;0,M1375,IF(AND(E1375&gt;0,ROUND(J1375+D1375-E1375,2)&gt;0,ROUND(J1375+D1375-E1375,2)&lt;'Opening Balance'!$B$14),ROUND(J1375+D1375-E1375,2),0)))</f>
        <v/>
      </c>
      <c r="L1375" s="6">
        <f>IF(C1375="","",ROUND(J1375+D1375-E1375-K1375,2))</f>
        <v/>
      </c>
      <c r="M1375" s="6">
        <f>IF(C1375="","",IF('Daily Sale entry '!Q1375="Collection 收款",ROUND(N('Daily Sale entry '!T1375),2),0))</f>
        <v/>
      </c>
    </row>
    <row r="1376">
      <c r="A1376" t="inlineStr">
        <is>
          <t>Entry 记录</t>
        </is>
      </c>
      <c r="B1376" s="5">
        <f>IF('Daily Sale entry '!P1376="","",'Daily Sale entry '!O1376)</f>
        <v/>
      </c>
      <c r="C1376">
        <f>IF('Daily Sale entry '!P1376="","",'Daily Sale entry '!P1376)</f>
        <v/>
      </c>
      <c r="D1376">
        <f>IF(C1376="","",IF('Daily Sale entry '!Q1376="Credit Sale 赊销",'Daily Sale entry '!S1376,0))</f>
        <v/>
      </c>
      <c r="E1376">
        <f>IF(C1376="","",IF('Daily Sale entry '!Q1376="Collection 收款",'Daily Sale entry '!S1376,0))</f>
        <v/>
      </c>
      <c r="F1376" s="37">
        <f>IF(C1376="","",B1376+IF(E1376&gt;0,0,0.5)+ROW()/10000000)</f>
        <v/>
      </c>
      <c r="G1376">
        <f>IF(C1376="","",'Daily Sale entry '!Q1376&amp;IF('Daily Sale entry '!Q1376="Collection 收款"," ("&amp;'Daily Sale entry '!R1376&amp;")","")&amp;IF('Daily Sale entry '!U1376="",""," - "&amp;'Daily Sale entry '!U1376))</f>
        <v/>
      </c>
      <c r="H1376">
        <f>IF(C1376="","",COUNTIFS($C$2:$C$3001,C1376,$F$2:$F$3001,"&lt;"&amp;F1376)+1)</f>
        <v/>
      </c>
      <c r="I1376">
        <f>IF(C1376="","",C1376&amp;"|"&amp;H1376)</f>
        <v/>
      </c>
      <c r="J1376" s="6">
        <f>IF(C1376="","",IF(H1376=1,SUMIFS('Opening Balance'!$F$4:$F$303,'Opening Balance'!$G$4:$G$303,C1376),INDEX($L$2:$L$3001,MATCH(C1376&amp;"|"&amp;(H1376-1),$I$2:$I$3001,0))))</f>
        <v/>
      </c>
      <c r="K1376" s="6">
        <f>IF(C1376="","",IF(M1376&gt;0,M1376,IF(AND(E1376&gt;0,ROUND(J1376+D1376-E1376,2)&gt;0,ROUND(J1376+D1376-E1376,2)&lt;'Opening Balance'!$B$14),ROUND(J1376+D1376-E1376,2),0)))</f>
        <v/>
      </c>
      <c r="L1376" s="6">
        <f>IF(C1376="","",ROUND(J1376+D1376-E1376-K1376,2))</f>
        <v/>
      </c>
      <c r="M1376" s="6">
        <f>IF(C1376="","",IF('Daily Sale entry '!Q1376="Collection 收款",ROUND(N('Daily Sale entry '!T1376),2),0))</f>
        <v/>
      </c>
    </row>
    <row r="1377">
      <c r="A1377" t="inlineStr">
        <is>
          <t>Entry 记录</t>
        </is>
      </c>
      <c r="B1377" s="5">
        <f>IF('Daily Sale entry '!P1377="","",'Daily Sale entry '!O1377)</f>
        <v/>
      </c>
      <c r="C1377">
        <f>IF('Daily Sale entry '!P1377="","",'Daily Sale entry '!P1377)</f>
        <v/>
      </c>
      <c r="D1377">
        <f>IF(C1377="","",IF('Daily Sale entry '!Q1377="Credit Sale 赊销",'Daily Sale entry '!S1377,0))</f>
        <v/>
      </c>
      <c r="E1377">
        <f>IF(C1377="","",IF('Daily Sale entry '!Q1377="Collection 收款",'Daily Sale entry '!S1377,0))</f>
        <v/>
      </c>
      <c r="F1377" s="37">
        <f>IF(C1377="","",B1377+IF(E1377&gt;0,0,0.5)+ROW()/10000000)</f>
        <v/>
      </c>
      <c r="G1377">
        <f>IF(C1377="","",'Daily Sale entry '!Q1377&amp;IF('Daily Sale entry '!Q1377="Collection 收款"," ("&amp;'Daily Sale entry '!R1377&amp;")","")&amp;IF('Daily Sale entry '!U1377="",""," - "&amp;'Daily Sale entry '!U1377))</f>
        <v/>
      </c>
      <c r="H1377">
        <f>IF(C1377="","",COUNTIFS($C$2:$C$3001,C1377,$F$2:$F$3001,"&lt;"&amp;F1377)+1)</f>
        <v/>
      </c>
      <c r="I1377">
        <f>IF(C1377="","",C1377&amp;"|"&amp;H1377)</f>
        <v/>
      </c>
      <c r="J1377" s="6">
        <f>IF(C1377="","",IF(H1377=1,SUMIFS('Opening Balance'!$F$4:$F$303,'Opening Balance'!$G$4:$G$303,C1377),INDEX($L$2:$L$3001,MATCH(C1377&amp;"|"&amp;(H1377-1),$I$2:$I$3001,0))))</f>
        <v/>
      </c>
      <c r="K1377" s="6">
        <f>IF(C1377="","",IF(M1377&gt;0,M1377,IF(AND(E1377&gt;0,ROUND(J1377+D1377-E1377,2)&gt;0,ROUND(J1377+D1377-E1377,2)&lt;'Opening Balance'!$B$14),ROUND(J1377+D1377-E1377,2),0)))</f>
        <v/>
      </c>
      <c r="L1377" s="6">
        <f>IF(C1377="","",ROUND(J1377+D1377-E1377-K1377,2))</f>
        <v/>
      </c>
      <c r="M1377" s="6">
        <f>IF(C1377="","",IF('Daily Sale entry '!Q1377="Collection 收款",ROUND(N('Daily Sale entry '!T1377),2),0))</f>
        <v/>
      </c>
    </row>
    <row r="1378">
      <c r="A1378" t="inlineStr">
        <is>
          <t>Entry 记录</t>
        </is>
      </c>
      <c r="B1378" s="5">
        <f>IF('Daily Sale entry '!P1378="","",'Daily Sale entry '!O1378)</f>
        <v/>
      </c>
      <c r="C1378">
        <f>IF('Daily Sale entry '!P1378="","",'Daily Sale entry '!P1378)</f>
        <v/>
      </c>
      <c r="D1378">
        <f>IF(C1378="","",IF('Daily Sale entry '!Q1378="Credit Sale 赊销",'Daily Sale entry '!S1378,0))</f>
        <v/>
      </c>
      <c r="E1378">
        <f>IF(C1378="","",IF('Daily Sale entry '!Q1378="Collection 收款",'Daily Sale entry '!S1378,0))</f>
        <v/>
      </c>
      <c r="F1378" s="37">
        <f>IF(C1378="","",B1378+IF(E1378&gt;0,0,0.5)+ROW()/10000000)</f>
        <v/>
      </c>
      <c r="G1378">
        <f>IF(C1378="","",'Daily Sale entry '!Q1378&amp;IF('Daily Sale entry '!Q1378="Collection 收款"," ("&amp;'Daily Sale entry '!R1378&amp;")","")&amp;IF('Daily Sale entry '!U1378="",""," - "&amp;'Daily Sale entry '!U1378))</f>
        <v/>
      </c>
      <c r="H1378">
        <f>IF(C1378="","",COUNTIFS($C$2:$C$3001,C1378,$F$2:$F$3001,"&lt;"&amp;F1378)+1)</f>
        <v/>
      </c>
      <c r="I1378">
        <f>IF(C1378="","",C1378&amp;"|"&amp;H1378)</f>
        <v/>
      </c>
      <c r="J1378" s="6">
        <f>IF(C1378="","",IF(H1378=1,SUMIFS('Opening Balance'!$F$4:$F$303,'Opening Balance'!$G$4:$G$303,C1378),INDEX($L$2:$L$3001,MATCH(C1378&amp;"|"&amp;(H1378-1),$I$2:$I$3001,0))))</f>
        <v/>
      </c>
      <c r="K1378" s="6">
        <f>IF(C1378="","",IF(M1378&gt;0,M1378,IF(AND(E1378&gt;0,ROUND(J1378+D1378-E1378,2)&gt;0,ROUND(J1378+D1378-E1378,2)&lt;'Opening Balance'!$B$14),ROUND(J1378+D1378-E1378,2),0)))</f>
        <v/>
      </c>
      <c r="L1378" s="6">
        <f>IF(C1378="","",ROUND(J1378+D1378-E1378-K1378,2))</f>
        <v/>
      </c>
      <c r="M1378" s="6">
        <f>IF(C1378="","",IF('Daily Sale entry '!Q1378="Collection 收款",ROUND(N('Daily Sale entry '!T1378),2),0))</f>
        <v/>
      </c>
    </row>
    <row r="1379">
      <c r="A1379" t="inlineStr">
        <is>
          <t>Entry 记录</t>
        </is>
      </c>
      <c r="B1379" s="5">
        <f>IF('Daily Sale entry '!P1379="","",'Daily Sale entry '!O1379)</f>
        <v/>
      </c>
      <c r="C1379">
        <f>IF('Daily Sale entry '!P1379="","",'Daily Sale entry '!P1379)</f>
        <v/>
      </c>
      <c r="D1379">
        <f>IF(C1379="","",IF('Daily Sale entry '!Q1379="Credit Sale 赊销",'Daily Sale entry '!S1379,0))</f>
        <v/>
      </c>
      <c r="E1379">
        <f>IF(C1379="","",IF('Daily Sale entry '!Q1379="Collection 收款",'Daily Sale entry '!S1379,0))</f>
        <v/>
      </c>
      <c r="F1379" s="37">
        <f>IF(C1379="","",B1379+IF(E1379&gt;0,0,0.5)+ROW()/10000000)</f>
        <v/>
      </c>
      <c r="G1379">
        <f>IF(C1379="","",'Daily Sale entry '!Q1379&amp;IF('Daily Sale entry '!Q1379="Collection 收款"," ("&amp;'Daily Sale entry '!R1379&amp;")","")&amp;IF('Daily Sale entry '!U1379="",""," - "&amp;'Daily Sale entry '!U1379))</f>
        <v/>
      </c>
      <c r="H1379">
        <f>IF(C1379="","",COUNTIFS($C$2:$C$3001,C1379,$F$2:$F$3001,"&lt;"&amp;F1379)+1)</f>
        <v/>
      </c>
      <c r="I1379">
        <f>IF(C1379="","",C1379&amp;"|"&amp;H1379)</f>
        <v/>
      </c>
      <c r="J1379" s="6">
        <f>IF(C1379="","",IF(H1379=1,SUMIFS('Opening Balance'!$F$4:$F$303,'Opening Balance'!$G$4:$G$303,C1379),INDEX($L$2:$L$3001,MATCH(C1379&amp;"|"&amp;(H1379-1),$I$2:$I$3001,0))))</f>
        <v/>
      </c>
      <c r="K1379" s="6">
        <f>IF(C1379="","",IF(M1379&gt;0,M1379,IF(AND(E1379&gt;0,ROUND(J1379+D1379-E1379,2)&gt;0,ROUND(J1379+D1379-E1379,2)&lt;'Opening Balance'!$B$14),ROUND(J1379+D1379-E1379,2),0)))</f>
        <v/>
      </c>
      <c r="L1379" s="6">
        <f>IF(C1379="","",ROUND(J1379+D1379-E1379-K1379,2))</f>
        <v/>
      </c>
      <c r="M1379" s="6">
        <f>IF(C1379="","",IF('Daily Sale entry '!Q1379="Collection 收款",ROUND(N('Daily Sale entry '!T1379),2),0))</f>
        <v/>
      </c>
    </row>
    <row r="1380">
      <c r="A1380" t="inlineStr">
        <is>
          <t>Entry 记录</t>
        </is>
      </c>
      <c r="B1380" s="5">
        <f>IF('Daily Sale entry '!P1380="","",'Daily Sale entry '!O1380)</f>
        <v/>
      </c>
      <c r="C1380">
        <f>IF('Daily Sale entry '!P1380="","",'Daily Sale entry '!P1380)</f>
        <v/>
      </c>
      <c r="D1380">
        <f>IF(C1380="","",IF('Daily Sale entry '!Q1380="Credit Sale 赊销",'Daily Sale entry '!S1380,0))</f>
        <v/>
      </c>
      <c r="E1380">
        <f>IF(C1380="","",IF('Daily Sale entry '!Q1380="Collection 收款",'Daily Sale entry '!S1380,0))</f>
        <v/>
      </c>
      <c r="F1380" s="37">
        <f>IF(C1380="","",B1380+IF(E1380&gt;0,0,0.5)+ROW()/10000000)</f>
        <v/>
      </c>
      <c r="G1380">
        <f>IF(C1380="","",'Daily Sale entry '!Q1380&amp;IF('Daily Sale entry '!Q1380="Collection 收款"," ("&amp;'Daily Sale entry '!R1380&amp;")","")&amp;IF('Daily Sale entry '!U1380="",""," - "&amp;'Daily Sale entry '!U1380))</f>
        <v/>
      </c>
      <c r="H1380">
        <f>IF(C1380="","",COUNTIFS($C$2:$C$3001,C1380,$F$2:$F$3001,"&lt;"&amp;F1380)+1)</f>
        <v/>
      </c>
      <c r="I1380">
        <f>IF(C1380="","",C1380&amp;"|"&amp;H1380)</f>
        <v/>
      </c>
      <c r="J1380" s="6">
        <f>IF(C1380="","",IF(H1380=1,SUMIFS('Opening Balance'!$F$4:$F$303,'Opening Balance'!$G$4:$G$303,C1380),INDEX($L$2:$L$3001,MATCH(C1380&amp;"|"&amp;(H1380-1),$I$2:$I$3001,0))))</f>
        <v/>
      </c>
      <c r="K1380" s="6">
        <f>IF(C1380="","",IF(M1380&gt;0,M1380,IF(AND(E1380&gt;0,ROUND(J1380+D1380-E1380,2)&gt;0,ROUND(J1380+D1380-E1380,2)&lt;'Opening Balance'!$B$14),ROUND(J1380+D1380-E1380,2),0)))</f>
        <v/>
      </c>
      <c r="L1380" s="6">
        <f>IF(C1380="","",ROUND(J1380+D1380-E1380-K1380,2))</f>
        <v/>
      </c>
      <c r="M1380" s="6">
        <f>IF(C1380="","",IF('Daily Sale entry '!Q1380="Collection 收款",ROUND(N('Daily Sale entry '!T1380),2),0))</f>
        <v/>
      </c>
    </row>
    <row r="1381">
      <c r="A1381" t="inlineStr">
        <is>
          <t>Entry 记录</t>
        </is>
      </c>
      <c r="B1381" s="5">
        <f>IF('Daily Sale entry '!P1381="","",'Daily Sale entry '!O1381)</f>
        <v/>
      </c>
      <c r="C1381">
        <f>IF('Daily Sale entry '!P1381="","",'Daily Sale entry '!P1381)</f>
        <v/>
      </c>
      <c r="D1381">
        <f>IF(C1381="","",IF('Daily Sale entry '!Q1381="Credit Sale 赊销",'Daily Sale entry '!S1381,0))</f>
        <v/>
      </c>
      <c r="E1381">
        <f>IF(C1381="","",IF('Daily Sale entry '!Q1381="Collection 收款",'Daily Sale entry '!S1381,0))</f>
        <v/>
      </c>
      <c r="F1381" s="37">
        <f>IF(C1381="","",B1381+IF(E1381&gt;0,0,0.5)+ROW()/10000000)</f>
        <v/>
      </c>
      <c r="G1381">
        <f>IF(C1381="","",'Daily Sale entry '!Q1381&amp;IF('Daily Sale entry '!Q1381="Collection 收款"," ("&amp;'Daily Sale entry '!R1381&amp;")","")&amp;IF('Daily Sale entry '!U1381="",""," - "&amp;'Daily Sale entry '!U1381))</f>
        <v/>
      </c>
      <c r="H1381">
        <f>IF(C1381="","",COUNTIFS($C$2:$C$3001,C1381,$F$2:$F$3001,"&lt;"&amp;F1381)+1)</f>
        <v/>
      </c>
      <c r="I1381">
        <f>IF(C1381="","",C1381&amp;"|"&amp;H1381)</f>
        <v/>
      </c>
      <c r="J1381" s="6">
        <f>IF(C1381="","",IF(H1381=1,SUMIFS('Opening Balance'!$F$4:$F$303,'Opening Balance'!$G$4:$G$303,C1381),INDEX($L$2:$L$3001,MATCH(C1381&amp;"|"&amp;(H1381-1),$I$2:$I$3001,0))))</f>
        <v/>
      </c>
      <c r="K1381" s="6">
        <f>IF(C1381="","",IF(M1381&gt;0,M1381,IF(AND(E1381&gt;0,ROUND(J1381+D1381-E1381,2)&gt;0,ROUND(J1381+D1381-E1381,2)&lt;'Opening Balance'!$B$14),ROUND(J1381+D1381-E1381,2),0)))</f>
        <v/>
      </c>
      <c r="L1381" s="6">
        <f>IF(C1381="","",ROUND(J1381+D1381-E1381-K1381,2))</f>
        <v/>
      </c>
      <c r="M1381" s="6">
        <f>IF(C1381="","",IF('Daily Sale entry '!Q1381="Collection 收款",ROUND(N('Daily Sale entry '!T1381),2),0))</f>
        <v/>
      </c>
    </row>
    <row r="1382">
      <c r="A1382" t="inlineStr">
        <is>
          <t>Entry 记录</t>
        </is>
      </c>
      <c r="B1382" s="5">
        <f>IF('Daily Sale entry '!P1382="","",'Daily Sale entry '!O1382)</f>
        <v/>
      </c>
      <c r="C1382">
        <f>IF('Daily Sale entry '!P1382="","",'Daily Sale entry '!P1382)</f>
        <v/>
      </c>
      <c r="D1382">
        <f>IF(C1382="","",IF('Daily Sale entry '!Q1382="Credit Sale 赊销",'Daily Sale entry '!S1382,0))</f>
        <v/>
      </c>
      <c r="E1382">
        <f>IF(C1382="","",IF('Daily Sale entry '!Q1382="Collection 收款",'Daily Sale entry '!S1382,0))</f>
        <v/>
      </c>
      <c r="F1382" s="37">
        <f>IF(C1382="","",B1382+IF(E1382&gt;0,0,0.5)+ROW()/10000000)</f>
        <v/>
      </c>
      <c r="G1382">
        <f>IF(C1382="","",'Daily Sale entry '!Q1382&amp;IF('Daily Sale entry '!Q1382="Collection 收款"," ("&amp;'Daily Sale entry '!R1382&amp;")","")&amp;IF('Daily Sale entry '!U1382="",""," - "&amp;'Daily Sale entry '!U1382))</f>
        <v/>
      </c>
      <c r="H1382">
        <f>IF(C1382="","",COUNTIFS($C$2:$C$3001,C1382,$F$2:$F$3001,"&lt;"&amp;F1382)+1)</f>
        <v/>
      </c>
      <c r="I1382">
        <f>IF(C1382="","",C1382&amp;"|"&amp;H1382)</f>
        <v/>
      </c>
      <c r="J1382" s="6">
        <f>IF(C1382="","",IF(H1382=1,SUMIFS('Opening Balance'!$F$4:$F$303,'Opening Balance'!$G$4:$G$303,C1382),INDEX($L$2:$L$3001,MATCH(C1382&amp;"|"&amp;(H1382-1),$I$2:$I$3001,0))))</f>
        <v/>
      </c>
      <c r="K1382" s="6">
        <f>IF(C1382="","",IF(M1382&gt;0,M1382,IF(AND(E1382&gt;0,ROUND(J1382+D1382-E1382,2)&gt;0,ROUND(J1382+D1382-E1382,2)&lt;'Opening Balance'!$B$14),ROUND(J1382+D1382-E1382,2),0)))</f>
        <v/>
      </c>
      <c r="L1382" s="6">
        <f>IF(C1382="","",ROUND(J1382+D1382-E1382-K1382,2))</f>
        <v/>
      </c>
      <c r="M1382" s="6">
        <f>IF(C1382="","",IF('Daily Sale entry '!Q1382="Collection 收款",ROUND(N('Daily Sale entry '!T1382),2),0))</f>
        <v/>
      </c>
    </row>
    <row r="1383">
      <c r="A1383" t="inlineStr">
        <is>
          <t>Entry 记录</t>
        </is>
      </c>
      <c r="B1383" s="5">
        <f>IF('Daily Sale entry '!P1383="","",'Daily Sale entry '!O1383)</f>
        <v/>
      </c>
      <c r="C1383">
        <f>IF('Daily Sale entry '!P1383="","",'Daily Sale entry '!P1383)</f>
        <v/>
      </c>
      <c r="D1383">
        <f>IF(C1383="","",IF('Daily Sale entry '!Q1383="Credit Sale 赊销",'Daily Sale entry '!S1383,0))</f>
        <v/>
      </c>
      <c r="E1383">
        <f>IF(C1383="","",IF('Daily Sale entry '!Q1383="Collection 收款",'Daily Sale entry '!S1383,0))</f>
        <v/>
      </c>
      <c r="F1383" s="37">
        <f>IF(C1383="","",B1383+IF(E1383&gt;0,0,0.5)+ROW()/10000000)</f>
        <v/>
      </c>
      <c r="G1383">
        <f>IF(C1383="","",'Daily Sale entry '!Q1383&amp;IF('Daily Sale entry '!Q1383="Collection 收款"," ("&amp;'Daily Sale entry '!R1383&amp;")","")&amp;IF('Daily Sale entry '!U1383="",""," - "&amp;'Daily Sale entry '!U1383))</f>
        <v/>
      </c>
      <c r="H1383">
        <f>IF(C1383="","",COUNTIFS($C$2:$C$3001,C1383,$F$2:$F$3001,"&lt;"&amp;F1383)+1)</f>
        <v/>
      </c>
      <c r="I1383">
        <f>IF(C1383="","",C1383&amp;"|"&amp;H1383)</f>
        <v/>
      </c>
      <c r="J1383" s="6">
        <f>IF(C1383="","",IF(H1383=1,SUMIFS('Opening Balance'!$F$4:$F$303,'Opening Balance'!$G$4:$G$303,C1383),INDEX($L$2:$L$3001,MATCH(C1383&amp;"|"&amp;(H1383-1),$I$2:$I$3001,0))))</f>
        <v/>
      </c>
      <c r="K1383" s="6">
        <f>IF(C1383="","",IF(M1383&gt;0,M1383,IF(AND(E1383&gt;0,ROUND(J1383+D1383-E1383,2)&gt;0,ROUND(J1383+D1383-E1383,2)&lt;'Opening Balance'!$B$14),ROUND(J1383+D1383-E1383,2),0)))</f>
        <v/>
      </c>
      <c r="L1383" s="6">
        <f>IF(C1383="","",ROUND(J1383+D1383-E1383-K1383,2))</f>
        <v/>
      </c>
      <c r="M1383" s="6">
        <f>IF(C1383="","",IF('Daily Sale entry '!Q1383="Collection 收款",ROUND(N('Daily Sale entry '!T1383),2),0))</f>
        <v/>
      </c>
    </row>
    <row r="1384">
      <c r="A1384" t="inlineStr">
        <is>
          <t>Entry 记录</t>
        </is>
      </c>
      <c r="B1384" s="5">
        <f>IF('Daily Sale entry '!P1384="","",'Daily Sale entry '!O1384)</f>
        <v/>
      </c>
      <c r="C1384">
        <f>IF('Daily Sale entry '!P1384="","",'Daily Sale entry '!P1384)</f>
        <v/>
      </c>
      <c r="D1384">
        <f>IF(C1384="","",IF('Daily Sale entry '!Q1384="Credit Sale 赊销",'Daily Sale entry '!S1384,0))</f>
        <v/>
      </c>
      <c r="E1384">
        <f>IF(C1384="","",IF('Daily Sale entry '!Q1384="Collection 收款",'Daily Sale entry '!S1384,0))</f>
        <v/>
      </c>
      <c r="F1384" s="37">
        <f>IF(C1384="","",B1384+IF(E1384&gt;0,0,0.5)+ROW()/10000000)</f>
        <v/>
      </c>
      <c r="G1384">
        <f>IF(C1384="","",'Daily Sale entry '!Q1384&amp;IF('Daily Sale entry '!Q1384="Collection 收款"," ("&amp;'Daily Sale entry '!R1384&amp;")","")&amp;IF('Daily Sale entry '!U1384="",""," - "&amp;'Daily Sale entry '!U1384))</f>
        <v/>
      </c>
      <c r="H1384">
        <f>IF(C1384="","",COUNTIFS($C$2:$C$3001,C1384,$F$2:$F$3001,"&lt;"&amp;F1384)+1)</f>
        <v/>
      </c>
      <c r="I1384">
        <f>IF(C1384="","",C1384&amp;"|"&amp;H1384)</f>
        <v/>
      </c>
      <c r="J1384" s="6">
        <f>IF(C1384="","",IF(H1384=1,SUMIFS('Opening Balance'!$F$4:$F$303,'Opening Balance'!$G$4:$G$303,C1384),INDEX($L$2:$L$3001,MATCH(C1384&amp;"|"&amp;(H1384-1),$I$2:$I$3001,0))))</f>
        <v/>
      </c>
      <c r="K1384" s="6">
        <f>IF(C1384="","",IF(M1384&gt;0,M1384,IF(AND(E1384&gt;0,ROUND(J1384+D1384-E1384,2)&gt;0,ROUND(J1384+D1384-E1384,2)&lt;'Opening Balance'!$B$14),ROUND(J1384+D1384-E1384,2),0)))</f>
        <v/>
      </c>
      <c r="L1384" s="6">
        <f>IF(C1384="","",ROUND(J1384+D1384-E1384-K1384,2))</f>
        <v/>
      </c>
      <c r="M1384" s="6">
        <f>IF(C1384="","",IF('Daily Sale entry '!Q1384="Collection 收款",ROUND(N('Daily Sale entry '!T1384),2),0))</f>
        <v/>
      </c>
    </row>
    <row r="1385">
      <c r="A1385" t="inlineStr">
        <is>
          <t>Entry 记录</t>
        </is>
      </c>
      <c r="B1385" s="5">
        <f>IF('Daily Sale entry '!P1385="","",'Daily Sale entry '!O1385)</f>
        <v/>
      </c>
      <c r="C1385">
        <f>IF('Daily Sale entry '!P1385="","",'Daily Sale entry '!P1385)</f>
        <v/>
      </c>
      <c r="D1385">
        <f>IF(C1385="","",IF('Daily Sale entry '!Q1385="Credit Sale 赊销",'Daily Sale entry '!S1385,0))</f>
        <v/>
      </c>
      <c r="E1385">
        <f>IF(C1385="","",IF('Daily Sale entry '!Q1385="Collection 收款",'Daily Sale entry '!S1385,0))</f>
        <v/>
      </c>
      <c r="F1385" s="37">
        <f>IF(C1385="","",B1385+IF(E1385&gt;0,0,0.5)+ROW()/10000000)</f>
        <v/>
      </c>
      <c r="G1385">
        <f>IF(C1385="","",'Daily Sale entry '!Q1385&amp;IF('Daily Sale entry '!Q1385="Collection 收款"," ("&amp;'Daily Sale entry '!R1385&amp;")","")&amp;IF('Daily Sale entry '!U1385="",""," - "&amp;'Daily Sale entry '!U1385))</f>
        <v/>
      </c>
      <c r="H1385">
        <f>IF(C1385="","",COUNTIFS($C$2:$C$3001,C1385,$F$2:$F$3001,"&lt;"&amp;F1385)+1)</f>
        <v/>
      </c>
      <c r="I1385">
        <f>IF(C1385="","",C1385&amp;"|"&amp;H1385)</f>
        <v/>
      </c>
      <c r="J1385" s="6">
        <f>IF(C1385="","",IF(H1385=1,SUMIFS('Opening Balance'!$F$4:$F$303,'Opening Balance'!$G$4:$G$303,C1385),INDEX($L$2:$L$3001,MATCH(C1385&amp;"|"&amp;(H1385-1),$I$2:$I$3001,0))))</f>
        <v/>
      </c>
      <c r="K1385" s="6">
        <f>IF(C1385="","",IF(M1385&gt;0,M1385,IF(AND(E1385&gt;0,ROUND(J1385+D1385-E1385,2)&gt;0,ROUND(J1385+D1385-E1385,2)&lt;'Opening Balance'!$B$14),ROUND(J1385+D1385-E1385,2),0)))</f>
        <v/>
      </c>
      <c r="L1385" s="6">
        <f>IF(C1385="","",ROUND(J1385+D1385-E1385-K1385,2))</f>
        <v/>
      </c>
      <c r="M1385" s="6">
        <f>IF(C1385="","",IF('Daily Sale entry '!Q1385="Collection 收款",ROUND(N('Daily Sale entry '!T1385),2),0))</f>
        <v/>
      </c>
    </row>
    <row r="1386">
      <c r="A1386" t="inlineStr">
        <is>
          <t>Entry 记录</t>
        </is>
      </c>
      <c r="B1386" s="5">
        <f>IF('Daily Sale entry '!P1386="","",'Daily Sale entry '!O1386)</f>
        <v/>
      </c>
      <c r="C1386">
        <f>IF('Daily Sale entry '!P1386="","",'Daily Sale entry '!P1386)</f>
        <v/>
      </c>
      <c r="D1386">
        <f>IF(C1386="","",IF('Daily Sale entry '!Q1386="Credit Sale 赊销",'Daily Sale entry '!S1386,0))</f>
        <v/>
      </c>
      <c r="E1386">
        <f>IF(C1386="","",IF('Daily Sale entry '!Q1386="Collection 收款",'Daily Sale entry '!S1386,0))</f>
        <v/>
      </c>
      <c r="F1386" s="37">
        <f>IF(C1386="","",B1386+IF(E1386&gt;0,0,0.5)+ROW()/10000000)</f>
        <v/>
      </c>
      <c r="G1386">
        <f>IF(C1386="","",'Daily Sale entry '!Q1386&amp;IF('Daily Sale entry '!Q1386="Collection 收款"," ("&amp;'Daily Sale entry '!R1386&amp;")","")&amp;IF('Daily Sale entry '!U1386="",""," - "&amp;'Daily Sale entry '!U1386))</f>
        <v/>
      </c>
      <c r="H1386">
        <f>IF(C1386="","",COUNTIFS($C$2:$C$3001,C1386,$F$2:$F$3001,"&lt;"&amp;F1386)+1)</f>
        <v/>
      </c>
      <c r="I1386">
        <f>IF(C1386="","",C1386&amp;"|"&amp;H1386)</f>
        <v/>
      </c>
      <c r="J1386" s="6">
        <f>IF(C1386="","",IF(H1386=1,SUMIFS('Opening Balance'!$F$4:$F$303,'Opening Balance'!$G$4:$G$303,C1386),INDEX($L$2:$L$3001,MATCH(C1386&amp;"|"&amp;(H1386-1),$I$2:$I$3001,0))))</f>
        <v/>
      </c>
      <c r="K1386" s="6">
        <f>IF(C1386="","",IF(M1386&gt;0,M1386,IF(AND(E1386&gt;0,ROUND(J1386+D1386-E1386,2)&gt;0,ROUND(J1386+D1386-E1386,2)&lt;'Opening Balance'!$B$14),ROUND(J1386+D1386-E1386,2),0)))</f>
        <v/>
      </c>
      <c r="L1386" s="6">
        <f>IF(C1386="","",ROUND(J1386+D1386-E1386-K1386,2))</f>
        <v/>
      </c>
      <c r="M1386" s="6">
        <f>IF(C1386="","",IF('Daily Sale entry '!Q1386="Collection 收款",ROUND(N('Daily Sale entry '!T1386),2),0))</f>
        <v/>
      </c>
    </row>
    <row r="1387">
      <c r="A1387" t="inlineStr">
        <is>
          <t>Entry 记录</t>
        </is>
      </c>
      <c r="B1387" s="5">
        <f>IF('Daily Sale entry '!P1387="","",'Daily Sale entry '!O1387)</f>
        <v/>
      </c>
      <c r="C1387">
        <f>IF('Daily Sale entry '!P1387="","",'Daily Sale entry '!P1387)</f>
        <v/>
      </c>
      <c r="D1387">
        <f>IF(C1387="","",IF('Daily Sale entry '!Q1387="Credit Sale 赊销",'Daily Sale entry '!S1387,0))</f>
        <v/>
      </c>
      <c r="E1387">
        <f>IF(C1387="","",IF('Daily Sale entry '!Q1387="Collection 收款",'Daily Sale entry '!S1387,0))</f>
        <v/>
      </c>
      <c r="F1387" s="37">
        <f>IF(C1387="","",B1387+IF(E1387&gt;0,0,0.5)+ROW()/10000000)</f>
        <v/>
      </c>
      <c r="G1387">
        <f>IF(C1387="","",'Daily Sale entry '!Q1387&amp;IF('Daily Sale entry '!Q1387="Collection 收款"," ("&amp;'Daily Sale entry '!R1387&amp;")","")&amp;IF('Daily Sale entry '!U1387="",""," - "&amp;'Daily Sale entry '!U1387))</f>
        <v/>
      </c>
      <c r="H1387">
        <f>IF(C1387="","",COUNTIFS($C$2:$C$3001,C1387,$F$2:$F$3001,"&lt;"&amp;F1387)+1)</f>
        <v/>
      </c>
      <c r="I1387">
        <f>IF(C1387="","",C1387&amp;"|"&amp;H1387)</f>
        <v/>
      </c>
      <c r="J1387" s="6">
        <f>IF(C1387="","",IF(H1387=1,SUMIFS('Opening Balance'!$F$4:$F$303,'Opening Balance'!$G$4:$G$303,C1387),INDEX($L$2:$L$3001,MATCH(C1387&amp;"|"&amp;(H1387-1),$I$2:$I$3001,0))))</f>
        <v/>
      </c>
      <c r="K1387" s="6">
        <f>IF(C1387="","",IF(M1387&gt;0,M1387,IF(AND(E1387&gt;0,ROUND(J1387+D1387-E1387,2)&gt;0,ROUND(J1387+D1387-E1387,2)&lt;'Opening Balance'!$B$14),ROUND(J1387+D1387-E1387,2),0)))</f>
        <v/>
      </c>
      <c r="L1387" s="6">
        <f>IF(C1387="","",ROUND(J1387+D1387-E1387-K1387,2))</f>
        <v/>
      </c>
      <c r="M1387" s="6">
        <f>IF(C1387="","",IF('Daily Sale entry '!Q1387="Collection 收款",ROUND(N('Daily Sale entry '!T1387),2),0))</f>
        <v/>
      </c>
    </row>
    <row r="1388">
      <c r="A1388" t="inlineStr">
        <is>
          <t>Entry 记录</t>
        </is>
      </c>
      <c r="B1388" s="5">
        <f>IF('Daily Sale entry '!P1388="","",'Daily Sale entry '!O1388)</f>
        <v/>
      </c>
      <c r="C1388">
        <f>IF('Daily Sale entry '!P1388="","",'Daily Sale entry '!P1388)</f>
        <v/>
      </c>
      <c r="D1388">
        <f>IF(C1388="","",IF('Daily Sale entry '!Q1388="Credit Sale 赊销",'Daily Sale entry '!S1388,0))</f>
        <v/>
      </c>
      <c r="E1388">
        <f>IF(C1388="","",IF('Daily Sale entry '!Q1388="Collection 收款",'Daily Sale entry '!S1388,0))</f>
        <v/>
      </c>
      <c r="F1388" s="37">
        <f>IF(C1388="","",B1388+IF(E1388&gt;0,0,0.5)+ROW()/10000000)</f>
        <v/>
      </c>
      <c r="G1388">
        <f>IF(C1388="","",'Daily Sale entry '!Q1388&amp;IF('Daily Sale entry '!Q1388="Collection 收款"," ("&amp;'Daily Sale entry '!R1388&amp;")","")&amp;IF('Daily Sale entry '!U1388="",""," - "&amp;'Daily Sale entry '!U1388))</f>
        <v/>
      </c>
      <c r="H1388">
        <f>IF(C1388="","",COUNTIFS($C$2:$C$3001,C1388,$F$2:$F$3001,"&lt;"&amp;F1388)+1)</f>
        <v/>
      </c>
      <c r="I1388">
        <f>IF(C1388="","",C1388&amp;"|"&amp;H1388)</f>
        <v/>
      </c>
      <c r="J1388" s="6">
        <f>IF(C1388="","",IF(H1388=1,SUMIFS('Opening Balance'!$F$4:$F$303,'Opening Balance'!$G$4:$G$303,C1388),INDEX($L$2:$L$3001,MATCH(C1388&amp;"|"&amp;(H1388-1),$I$2:$I$3001,0))))</f>
        <v/>
      </c>
      <c r="K1388" s="6">
        <f>IF(C1388="","",IF(M1388&gt;0,M1388,IF(AND(E1388&gt;0,ROUND(J1388+D1388-E1388,2)&gt;0,ROUND(J1388+D1388-E1388,2)&lt;'Opening Balance'!$B$14),ROUND(J1388+D1388-E1388,2),0)))</f>
        <v/>
      </c>
      <c r="L1388" s="6">
        <f>IF(C1388="","",ROUND(J1388+D1388-E1388-K1388,2))</f>
        <v/>
      </c>
      <c r="M1388" s="6">
        <f>IF(C1388="","",IF('Daily Sale entry '!Q1388="Collection 收款",ROUND(N('Daily Sale entry '!T1388),2),0))</f>
        <v/>
      </c>
    </row>
    <row r="1389">
      <c r="A1389" t="inlineStr">
        <is>
          <t>Entry 记录</t>
        </is>
      </c>
      <c r="B1389" s="5">
        <f>IF('Daily Sale entry '!P1389="","",'Daily Sale entry '!O1389)</f>
        <v/>
      </c>
      <c r="C1389">
        <f>IF('Daily Sale entry '!P1389="","",'Daily Sale entry '!P1389)</f>
        <v/>
      </c>
      <c r="D1389">
        <f>IF(C1389="","",IF('Daily Sale entry '!Q1389="Credit Sale 赊销",'Daily Sale entry '!S1389,0))</f>
        <v/>
      </c>
      <c r="E1389">
        <f>IF(C1389="","",IF('Daily Sale entry '!Q1389="Collection 收款",'Daily Sale entry '!S1389,0))</f>
        <v/>
      </c>
      <c r="F1389" s="37">
        <f>IF(C1389="","",B1389+IF(E1389&gt;0,0,0.5)+ROW()/10000000)</f>
        <v/>
      </c>
      <c r="G1389">
        <f>IF(C1389="","",'Daily Sale entry '!Q1389&amp;IF('Daily Sale entry '!Q1389="Collection 收款"," ("&amp;'Daily Sale entry '!R1389&amp;")","")&amp;IF('Daily Sale entry '!U1389="",""," - "&amp;'Daily Sale entry '!U1389))</f>
        <v/>
      </c>
      <c r="H1389">
        <f>IF(C1389="","",COUNTIFS($C$2:$C$3001,C1389,$F$2:$F$3001,"&lt;"&amp;F1389)+1)</f>
        <v/>
      </c>
      <c r="I1389">
        <f>IF(C1389="","",C1389&amp;"|"&amp;H1389)</f>
        <v/>
      </c>
      <c r="J1389" s="6">
        <f>IF(C1389="","",IF(H1389=1,SUMIFS('Opening Balance'!$F$4:$F$303,'Opening Balance'!$G$4:$G$303,C1389),INDEX($L$2:$L$3001,MATCH(C1389&amp;"|"&amp;(H1389-1),$I$2:$I$3001,0))))</f>
        <v/>
      </c>
      <c r="K1389" s="6">
        <f>IF(C1389="","",IF(M1389&gt;0,M1389,IF(AND(E1389&gt;0,ROUND(J1389+D1389-E1389,2)&gt;0,ROUND(J1389+D1389-E1389,2)&lt;'Opening Balance'!$B$14),ROUND(J1389+D1389-E1389,2),0)))</f>
        <v/>
      </c>
      <c r="L1389" s="6">
        <f>IF(C1389="","",ROUND(J1389+D1389-E1389-K1389,2))</f>
        <v/>
      </c>
      <c r="M1389" s="6">
        <f>IF(C1389="","",IF('Daily Sale entry '!Q1389="Collection 收款",ROUND(N('Daily Sale entry '!T1389),2),0))</f>
        <v/>
      </c>
    </row>
    <row r="1390">
      <c r="A1390" t="inlineStr">
        <is>
          <t>Entry 记录</t>
        </is>
      </c>
      <c r="B1390" s="5">
        <f>IF('Daily Sale entry '!P1390="","",'Daily Sale entry '!O1390)</f>
        <v/>
      </c>
      <c r="C1390">
        <f>IF('Daily Sale entry '!P1390="","",'Daily Sale entry '!P1390)</f>
        <v/>
      </c>
      <c r="D1390">
        <f>IF(C1390="","",IF('Daily Sale entry '!Q1390="Credit Sale 赊销",'Daily Sale entry '!S1390,0))</f>
        <v/>
      </c>
      <c r="E1390">
        <f>IF(C1390="","",IF('Daily Sale entry '!Q1390="Collection 收款",'Daily Sale entry '!S1390,0))</f>
        <v/>
      </c>
      <c r="F1390" s="37">
        <f>IF(C1390="","",B1390+IF(E1390&gt;0,0,0.5)+ROW()/10000000)</f>
        <v/>
      </c>
      <c r="G1390">
        <f>IF(C1390="","",'Daily Sale entry '!Q1390&amp;IF('Daily Sale entry '!Q1390="Collection 收款"," ("&amp;'Daily Sale entry '!R1390&amp;")","")&amp;IF('Daily Sale entry '!U1390="",""," - "&amp;'Daily Sale entry '!U1390))</f>
        <v/>
      </c>
      <c r="H1390">
        <f>IF(C1390="","",COUNTIFS($C$2:$C$3001,C1390,$F$2:$F$3001,"&lt;"&amp;F1390)+1)</f>
        <v/>
      </c>
      <c r="I1390">
        <f>IF(C1390="","",C1390&amp;"|"&amp;H1390)</f>
        <v/>
      </c>
      <c r="J1390" s="6">
        <f>IF(C1390="","",IF(H1390=1,SUMIFS('Opening Balance'!$F$4:$F$303,'Opening Balance'!$G$4:$G$303,C1390),INDEX($L$2:$L$3001,MATCH(C1390&amp;"|"&amp;(H1390-1),$I$2:$I$3001,0))))</f>
        <v/>
      </c>
      <c r="K1390" s="6">
        <f>IF(C1390="","",IF(M1390&gt;0,M1390,IF(AND(E1390&gt;0,ROUND(J1390+D1390-E1390,2)&gt;0,ROUND(J1390+D1390-E1390,2)&lt;'Opening Balance'!$B$14),ROUND(J1390+D1390-E1390,2),0)))</f>
        <v/>
      </c>
      <c r="L1390" s="6">
        <f>IF(C1390="","",ROUND(J1390+D1390-E1390-K1390,2))</f>
        <v/>
      </c>
      <c r="M1390" s="6">
        <f>IF(C1390="","",IF('Daily Sale entry '!Q1390="Collection 收款",ROUND(N('Daily Sale entry '!T1390),2),0))</f>
        <v/>
      </c>
    </row>
    <row r="1391">
      <c r="A1391" t="inlineStr">
        <is>
          <t>Entry 记录</t>
        </is>
      </c>
      <c r="B1391" s="5">
        <f>IF('Daily Sale entry '!P1391="","",'Daily Sale entry '!O1391)</f>
        <v/>
      </c>
      <c r="C1391">
        <f>IF('Daily Sale entry '!P1391="","",'Daily Sale entry '!P1391)</f>
        <v/>
      </c>
      <c r="D1391">
        <f>IF(C1391="","",IF('Daily Sale entry '!Q1391="Credit Sale 赊销",'Daily Sale entry '!S1391,0))</f>
        <v/>
      </c>
      <c r="E1391">
        <f>IF(C1391="","",IF('Daily Sale entry '!Q1391="Collection 收款",'Daily Sale entry '!S1391,0))</f>
        <v/>
      </c>
      <c r="F1391" s="37">
        <f>IF(C1391="","",B1391+IF(E1391&gt;0,0,0.5)+ROW()/10000000)</f>
        <v/>
      </c>
      <c r="G1391">
        <f>IF(C1391="","",'Daily Sale entry '!Q1391&amp;IF('Daily Sale entry '!Q1391="Collection 收款"," ("&amp;'Daily Sale entry '!R1391&amp;")","")&amp;IF('Daily Sale entry '!U1391="",""," - "&amp;'Daily Sale entry '!U1391))</f>
        <v/>
      </c>
      <c r="H1391">
        <f>IF(C1391="","",COUNTIFS($C$2:$C$3001,C1391,$F$2:$F$3001,"&lt;"&amp;F1391)+1)</f>
        <v/>
      </c>
      <c r="I1391">
        <f>IF(C1391="","",C1391&amp;"|"&amp;H1391)</f>
        <v/>
      </c>
      <c r="J1391" s="6">
        <f>IF(C1391="","",IF(H1391=1,SUMIFS('Opening Balance'!$F$4:$F$303,'Opening Balance'!$G$4:$G$303,C1391),INDEX($L$2:$L$3001,MATCH(C1391&amp;"|"&amp;(H1391-1),$I$2:$I$3001,0))))</f>
        <v/>
      </c>
      <c r="K1391" s="6">
        <f>IF(C1391="","",IF(M1391&gt;0,M1391,IF(AND(E1391&gt;0,ROUND(J1391+D1391-E1391,2)&gt;0,ROUND(J1391+D1391-E1391,2)&lt;'Opening Balance'!$B$14),ROUND(J1391+D1391-E1391,2),0)))</f>
        <v/>
      </c>
      <c r="L1391" s="6">
        <f>IF(C1391="","",ROUND(J1391+D1391-E1391-K1391,2))</f>
        <v/>
      </c>
      <c r="M1391" s="6">
        <f>IF(C1391="","",IF('Daily Sale entry '!Q1391="Collection 收款",ROUND(N('Daily Sale entry '!T1391),2),0))</f>
        <v/>
      </c>
    </row>
    <row r="1392">
      <c r="A1392" t="inlineStr">
        <is>
          <t>Entry 记录</t>
        </is>
      </c>
      <c r="B1392" s="5">
        <f>IF('Daily Sale entry '!P1392="","",'Daily Sale entry '!O1392)</f>
        <v/>
      </c>
      <c r="C1392">
        <f>IF('Daily Sale entry '!P1392="","",'Daily Sale entry '!P1392)</f>
        <v/>
      </c>
      <c r="D1392">
        <f>IF(C1392="","",IF('Daily Sale entry '!Q1392="Credit Sale 赊销",'Daily Sale entry '!S1392,0))</f>
        <v/>
      </c>
      <c r="E1392">
        <f>IF(C1392="","",IF('Daily Sale entry '!Q1392="Collection 收款",'Daily Sale entry '!S1392,0))</f>
        <v/>
      </c>
      <c r="F1392" s="37">
        <f>IF(C1392="","",B1392+IF(E1392&gt;0,0,0.5)+ROW()/10000000)</f>
        <v/>
      </c>
      <c r="G1392">
        <f>IF(C1392="","",'Daily Sale entry '!Q1392&amp;IF('Daily Sale entry '!Q1392="Collection 收款"," ("&amp;'Daily Sale entry '!R1392&amp;")","")&amp;IF('Daily Sale entry '!U1392="",""," - "&amp;'Daily Sale entry '!U1392))</f>
        <v/>
      </c>
      <c r="H1392">
        <f>IF(C1392="","",COUNTIFS($C$2:$C$3001,C1392,$F$2:$F$3001,"&lt;"&amp;F1392)+1)</f>
        <v/>
      </c>
      <c r="I1392">
        <f>IF(C1392="","",C1392&amp;"|"&amp;H1392)</f>
        <v/>
      </c>
      <c r="J1392" s="6">
        <f>IF(C1392="","",IF(H1392=1,SUMIFS('Opening Balance'!$F$4:$F$303,'Opening Balance'!$G$4:$G$303,C1392),INDEX($L$2:$L$3001,MATCH(C1392&amp;"|"&amp;(H1392-1),$I$2:$I$3001,0))))</f>
        <v/>
      </c>
      <c r="K1392" s="6">
        <f>IF(C1392="","",IF(M1392&gt;0,M1392,IF(AND(E1392&gt;0,ROUND(J1392+D1392-E1392,2)&gt;0,ROUND(J1392+D1392-E1392,2)&lt;'Opening Balance'!$B$14),ROUND(J1392+D1392-E1392,2),0)))</f>
        <v/>
      </c>
      <c r="L1392" s="6">
        <f>IF(C1392="","",ROUND(J1392+D1392-E1392-K1392,2))</f>
        <v/>
      </c>
      <c r="M1392" s="6">
        <f>IF(C1392="","",IF('Daily Sale entry '!Q1392="Collection 收款",ROUND(N('Daily Sale entry '!T1392),2),0))</f>
        <v/>
      </c>
    </row>
    <row r="1393">
      <c r="A1393" t="inlineStr">
        <is>
          <t>Entry 记录</t>
        </is>
      </c>
      <c r="B1393" s="5">
        <f>IF('Daily Sale entry '!P1393="","",'Daily Sale entry '!O1393)</f>
        <v/>
      </c>
      <c r="C1393">
        <f>IF('Daily Sale entry '!P1393="","",'Daily Sale entry '!P1393)</f>
        <v/>
      </c>
      <c r="D1393">
        <f>IF(C1393="","",IF('Daily Sale entry '!Q1393="Credit Sale 赊销",'Daily Sale entry '!S1393,0))</f>
        <v/>
      </c>
      <c r="E1393">
        <f>IF(C1393="","",IF('Daily Sale entry '!Q1393="Collection 收款",'Daily Sale entry '!S1393,0))</f>
        <v/>
      </c>
      <c r="F1393" s="37">
        <f>IF(C1393="","",B1393+IF(E1393&gt;0,0,0.5)+ROW()/10000000)</f>
        <v/>
      </c>
      <c r="G1393">
        <f>IF(C1393="","",'Daily Sale entry '!Q1393&amp;IF('Daily Sale entry '!Q1393="Collection 收款"," ("&amp;'Daily Sale entry '!R1393&amp;")","")&amp;IF('Daily Sale entry '!U1393="",""," - "&amp;'Daily Sale entry '!U1393))</f>
        <v/>
      </c>
      <c r="H1393">
        <f>IF(C1393="","",COUNTIFS($C$2:$C$3001,C1393,$F$2:$F$3001,"&lt;"&amp;F1393)+1)</f>
        <v/>
      </c>
      <c r="I1393">
        <f>IF(C1393="","",C1393&amp;"|"&amp;H1393)</f>
        <v/>
      </c>
      <c r="J1393" s="6">
        <f>IF(C1393="","",IF(H1393=1,SUMIFS('Opening Balance'!$F$4:$F$303,'Opening Balance'!$G$4:$G$303,C1393),INDEX($L$2:$L$3001,MATCH(C1393&amp;"|"&amp;(H1393-1),$I$2:$I$3001,0))))</f>
        <v/>
      </c>
      <c r="K1393" s="6">
        <f>IF(C1393="","",IF(M1393&gt;0,M1393,IF(AND(E1393&gt;0,ROUND(J1393+D1393-E1393,2)&gt;0,ROUND(J1393+D1393-E1393,2)&lt;'Opening Balance'!$B$14),ROUND(J1393+D1393-E1393,2),0)))</f>
        <v/>
      </c>
      <c r="L1393" s="6">
        <f>IF(C1393="","",ROUND(J1393+D1393-E1393-K1393,2))</f>
        <v/>
      </c>
      <c r="M1393" s="6">
        <f>IF(C1393="","",IF('Daily Sale entry '!Q1393="Collection 收款",ROUND(N('Daily Sale entry '!T1393),2),0))</f>
        <v/>
      </c>
    </row>
    <row r="1394">
      <c r="A1394" t="inlineStr">
        <is>
          <t>Entry 记录</t>
        </is>
      </c>
      <c r="B1394" s="5">
        <f>IF('Daily Sale entry '!P1394="","",'Daily Sale entry '!O1394)</f>
        <v/>
      </c>
      <c r="C1394">
        <f>IF('Daily Sale entry '!P1394="","",'Daily Sale entry '!P1394)</f>
        <v/>
      </c>
      <c r="D1394">
        <f>IF(C1394="","",IF('Daily Sale entry '!Q1394="Credit Sale 赊销",'Daily Sale entry '!S1394,0))</f>
        <v/>
      </c>
      <c r="E1394">
        <f>IF(C1394="","",IF('Daily Sale entry '!Q1394="Collection 收款",'Daily Sale entry '!S1394,0))</f>
        <v/>
      </c>
      <c r="F1394" s="37">
        <f>IF(C1394="","",B1394+IF(E1394&gt;0,0,0.5)+ROW()/10000000)</f>
        <v/>
      </c>
      <c r="G1394">
        <f>IF(C1394="","",'Daily Sale entry '!Q1394&amp;IF('Daily Sale entry '!Q1394="Collection 收款"," ("&amp;'Daily Sale entry '!R1394&amp;")","")&amp;IF('Daily Sale entry '!U1394="",""," - "&amp;'Daily Sale entry '!U1394))</f>
        <v/>
      </c>
      <c r="H1394">
        <f>IF(C1394="","",COUNTIFS($C$2:$C$3001,C1394,$F$2:$F$3001,"&lt;"&amp;F1394)+1)</f>
        <v/>
      </c>
      <c r="I1394">
        <f>IF(C1394="","",C1394&amp;"|"&amp;H1394)</f>
        <v/>
      </c>
      <c r="J1394" s="6">
        <f>IF(C1394="","",IF(H1394=1,SUMIFS('Opening Balance'!$F$4:$F$303,'Opening Balance'!$G$4:$G$303,C1394),INDEX($L$2:$L$3001,MATCH(C1394&amp;"|"&amp;(H1394-1),$I$2:$I$3001,0))))</f>
        <v/>
      </c>
      <c r="K1394" s="6">
        <f>IF(C1394="","",IF(M1394&gt;0,M1394,IF(AND(E1394&gt;0,ROUND(J1394+D1394-E1394,2)&gt;0,ROUND(J1394+D1394-E1394,2)&lt;'Opening Balance'!$B$14),ROUND(J1394+D1394-E1394,2),0)))</f>
        <v/>
      </c>
      <c r="L1394" s="6">
        <f>IF(C1394="","",ROUND(J1394+D1394-E1394-K1394,2))</f>
        <v/>
      </c>
      <c r="M1394" s="6">
        <f>IF(C1394="","",IF('Daily Sale entry '!Q1394="Collection 收款",ROUND(N('Daily Sale entry '!T1394),2),0))</f>
        <v/>
      </c>
    </row>
    <row r="1395">
      <c r="A1395" t="inlineStr">
        <is>
          <t>Entry 记录</t>
        </is>
      </c>
      <c r="B1395" s="5">
        <f>IF('Daily Sale entry '!P1395="","",'Daily Sale entry '!O1395)</f>
        <v/>
      </c>
      <c r="C1395">
        <f>IF('Daily Sale entry '!P1395="","",'Daily Sale entry '!P1395)</f>
        <v/>
      </c>
      <c r="D1395">
        <f>IF(C1395="","",IF('Daily Sale entry '!Q1395="Credit Sale 赊销",'Daily Sale entry '!S1395,0))</f>
        <v/>
      </c>
      <c r="E1395">
        <f>IF(C1395="","",IF('Daily Sale entry '!Q1395="Collection 收款",'Daily Sale entry '!S1395,0))</f>
        <v/>
      </c>
      <c r="F1395" s="37">
        <f>IF(C1395="","",B1395+IF(E1395&gt;0,0,0.5)+ROW()/10000000)</f>
        <v/>
      </c>
      <c r="G1395">
        <f>IF(C1395="","",'Daily Sale entry '!Q1395&amp;IF('Daily Sale entry '!Q1395="Collection 收款"," ("&amp;'Daily Sale entry '!R1395&amp;")","")&amp;IF('Daily Sale entry '!U1395="",""," - "&amp;'Daily Sale entry '!U1395))</f>
        <v/>
      </c>
      <c r="H1395">
        <f>IF(C1395="","",COUNTIFS($C$2:$C$3001,C1395,$F$2:$F$3001,"&lt;"&amp;F1395)+1)</f>
        <v/>
      </c>
      <c r="I1395">
        <f>IF(C1395="","",C1395&amp;"|"&amp;H1395)</f>
        <v/>
      </c>
      <c r="J1395" s="6">
        <f>IF(C1395="","",IF(H1395=1,SUMIFS('Opening Balance'!$F$4:$F$303,'Opening Balance'!$G$4:$G$303,C1395),INDEX($L$2:$L$3001,MATCH(C1395&amp;"|"&amp;(H1395-1),$I$2:$I$3001,0))))</f>
        <v/>
      </c>
      <c r="K1395" s="6">
        <f>IF(C1395="","",IF(M1395&gt;0,M1395,IF(AND(E1395&gt;0,ROUND(J1395+D1395-E1395,2)&gt;0,ROUND(J1395+D1395-E1395,2)&lt;'Opening Balance'!$B$14),ROUND(J1395+D1395-E1395,2),0)))</f>
        <v/>
      </c>
      <c r="L1395" s="6">
        <f>IF(C1395="","",ROUND(J1395+D1395-E1395-K1395,2))</f>
        <v/>
      </c>
      <c r="M1395" s="6">
        <f>IF(C1395="","",IF('Daily Sale entry '!Q1395="Collection 收款",ROUND(N('Daily Sale entry '!T1395),2),0))</f>
        <v/>
      </c>
    </row>
    <row r="1396">
      <c r="A1396" t="inlineStr">
        <is>
          <t>Entry 记录</t>
        </is>
      </c>
      <c r="B1396" s="5">
        <f>IF('Daily Sale entry '!P1396="","",'Daily Sale entry '!O1396)</f>
        <v/>
      </c>
      <c r="C1396">
        <f>IF('Daily Sale entry '!P1396="","",'Daily Sale entry '!P1396)</f>
        <v/>
      </c>
      <c r="D1396">
        <f>IF(C1396="","",IF('Daily Sale entry '!Q1396="Credit Sale 赊销",'Daily Sale entry '!S1396,0))</f>
        <v/>
      </c>
      <c r="E1396">
        <f>IF(C1396="","",IF('Daily Sale entry '!Q1396="Collection 收款",'Daily Sale entry '!S1396,0))</f>
        <v/>
      </c>
      <c r="F1396" s="37">
        <f>IF(C1396="","",B1396+IF(E1396&gt;0,0,0.5)+ROW()/10000000)</f>
        <v/>
      </c>
      <c r="G1396">
        <f>IF(C1396="","",'Daily Sale entry '!Q1396&amp;IF('Daily Sale entry '!Q1396="Collection 收款"," ("&amp;'Daily Sale entry '!R1396&amp;")","")&amp;IF('Daily Sale entry '!U1396="",""," - "&amp;'Daily Sale entry '!U1396))</f>
        <v/>
      </c>
      <c r="H1396">
        <f>IF(C1396="","",COUNTIFS($C$2:$C$3001,C1396,$F$2:$F$3001,"&lt;"&amp;F1396)+1)</f>
        <v/>
      </c>
      <c r="I1396">
        <f>IF(C1396="","",C1396&amp;"|"&amp;H1396)</f>
        <v/>
      </c>
      <c r="J1396" s="6">
        <f>IF(C1396="","",IF(H1396=1,SUMIFS('Opening Balance'!$F$4:$F$303,'Opening Balance'!$G$4:$G$303,C1396),INDEX($L$2:$L$3001,MATCH(C1396&amp;"|"&amp;(H1396-1),$I$2:$I$3001,0))))</f>
        <v/>
      </c>
      <c r="K1396" s="6">
        <f>IF(C1396="","",IF(M1396&gt;0,M1396,IF(AND(E1396&gt;0,ROUND(J1396+D1396-E1396,2)&gt;0,ROUND(J1396+D1396-E1396,2)&lt;'Opening Balance'!$B$14),ROUND(J1396+D1396-E1396,2),0)))</f>
        <v/>
      </c>
      <c r="L1396" s="6">
        <f>IF(C1396="","",ROUND(J1396+D1396-E1396-K1396,2))</f>
        <v/>
      </c>
      <c r="M1396" s="6">
        <f>IF(C1396="","",IF('Daily Sale entry '!Q1396="Collection 收款",ROUND(N('Daily Sale entry '!T1396),2),0))</f>
        <v/>
      </c>
    </row>
    <row r="1397">
      <c r="A1397" t="inlineStr">
        <is>
          <t>Entry 记录</t>
        </is>
      </c>
      <c r="B1397" s="5">
        <f>IF('Daily Sale entry '!P1397="","",'Daily Sale entry '!O1397)</f>
        <v/>
      </c>
      <c r="C1397">
        <f>IF('Daily Sale entry '!P1397="","",'Daily Sale entry '!P1397)</f>
        <v/>
      </c>
      <c r="D1397">
        <f>IF(C1397="","",IF('Daily Sale entry '!Q1397="Credit Sale 赊销",'Daily Sale entry '!S1397,0))</f>
        <v/>
      </c>
      <c r="E1397">
        <f>IF(C1397="","",IF('Daily Sale entry '!Q1397="Collection 收款",'Daily Sale entry '!S1397,0))</f>
        <v/>
      </c>
      <c r="F1397" s="37">
        <f>IF(C1397="","",B1397+IF(E1397&gt;0,0,0.5)+ROW()/10000000)</f>
        <v/>
      </c>
      <c r="G1397">
        <f>IF(C1397="","",'Daily Sale entry '!Q1397&amp;IF('Daily Sale entry '!Q1397="Collection 收款"," ("&amp;'Daily Sale entry '!R1397&amp;")","")&amp;IF('Daily Sale entry '!U1397="",""," - "&amp;'Daily Sale entry '!U1397))</f>
        <v/>
      </c>
      <c r="H1397">
        <f>IF(C1397="","",COUNTIFS($C$2:$C$3001,C1397,$F$2:$F$3001,"&lt;"&amp;F1397)+1)</f>
        <v/>
      </c>
      <c r="I1397">
        <f>IF(C1397="","",C1397&amp;"|"&amp;H1397)</f>
        <v/>
      </c>
      <c r="J1397" s="6">
        <f>IF(C1397="","",IF(H1397=1,SUMIFS('Opening Balance'!$F$4:$F$303,'Opening Balance'!$G$4:$G$303,C1397),INDEX($L$2:$L$3001,MATCH(C1397&amp;"|"&amp;(H1397-1),$I$2:$I$3001,0))))</f>
        <v/>
      </c>
      <c r="K1397" s="6">
        <f>IF(C1397="","",IF(M1397&gt;0,M1397,IF(AND(E1397&gt;0,ROUND(J1397+D1397-E1397,2)&gt;0,ROUND(J1397+D1397-E1397,2)&lt;'Opening Balance'!$B$14),ROUND(J1397+D1397-E1397,2),0)))</f>
        <v/>
      </c>
      <c r="L1397" s="6">
        <f>IF(C1397="","",ROUND(J1397+D1397-E1397-K1397,2))</f>
        <v/>
      </c>
      <c r="M1397" s="6">
        <f>IF(C1397="","",IF('Daily Sale entry '!Q1397="Collection 收款",ROUND(N('Daily Sale entry '!T1397),2),0))</f>
        <v/>
      </c>
    </row>
    <row r="1398">
      <c r="A1398" t="inlineStr">
        <is>
          <t>Entry 记录</t>
        </is>
      </c>
      <c r="B1398" s="5">
        <f>IF('Daily Sale entry '!P1398="","",'Daily Sale entry '!O1398)</f>
        <v/>
      </c>
      <c r="C1398">
        <f>IF('Daily Sale entry '!P1398="","",'Daily Sale entry '!P1398)</f>
        <v/>
      </c>
      <c r="D1398">
        <f>IF(C1398="","",IF('Daily Sale entry '!Q1398="Credit Sale 赊销",'Daily Sale entry '!S1398,0))</f>
        <v/>
      </c>
      <c r="E1398">
        <f>IF(C1398="","",IF('Daily Sale entry '!Q1398="Collection 收款",'Daily Sale entry '!S1398,0))</f>
        <v/>
      </c>
      <c r="F1398" s="37">
        <f>IF(C1398="","",B1398+IF(E1398&gt;0,0,0.5)+ROW()/10000000)</f>
        <v/>
      </c>
      <c r="G1398">
        <f>IF(C1398="","",'Daily Sale entry '!Q1398&amp;IF('Daily Sale entry '!Q1398="Collection 收款"," ("&amp;'Daily Sale entry '!R1398&amp;")","")&amp;IF('Daily Sale entry '!U1398="",""," - "&amp;'Daily Sale entry '!U1398))</f>
        <v/>
      </c>
      <c r="H1398">
        <f>IF(C1398="","",COUNTIFS($C$2:$C$3001,C1398,$F$2:$F$3001,"&lt;"&amp;F1398)+1)</f>
        <v/>
      </c>
      <c r="I1398">
        <f>IF(C1398="","",C1398&amp;"|"&amp;H1398)</f>
        <v/>
      </c>
      <c r="J1398" s="6">
        <f>IF(C1398="","",IF(H1398=1,SUMIFS('Opening Balance'!$F$4:$F$303,'Opening Balance'!$G$4:$G$303,C1398),INDEX($L$2:$L$3001,MATCH(C1398&amp;"|"&amp;(H1398-1),$I$2:$I$3001,0))))</f>
        <v/>
      </c>
      <c r="K1398" s="6">
        <f>IF(C1398="","",IF(M1398&gt;0,M1398,IF(AND(E1398&gt;0,ROUND(J1398+D1398-E1398,2)&gt;0,ROUND(J1398+D1398-E1398,2)&lt;'Opening Balance'!$B$14),ROUND(J1398+D1398-E1398,2),0)))</f>
        <v/>
      </c>
      <c r="L1398" s="6">
        <f>IF(C1398="","",ROUND(J1398+D1398-E1398-K1398,2))</f>
        <v/>
      </c>
      <c r="M1398" s="6">
        <f>IF(C1398="","",IF('Daily Sale entry '!Q1398="Collection 收款",ROUND(N('Daily Sale entry '!T1398),2),0))</f>
        <v/>
      </c>
    </row>
    <row r="1399">
      <c r="A1399" t="inlineStr">
        <is>
          <t>Entry 记录</t>
        </is>
      </c>
      <c r="B1399" s="5">
        <f>IF('Daily Sale entry '!P1399="","",'Daily Sale entry '!O1399)</f>
        <v/>
      </c>
      <c r="C1399">
        <f>IF('Daily Sale entry '!P1399="","",'Daily Sale entry '!P1399)</f>
        <v/>
      </c>
      <c r="D1399">
        <f>IF(C1399="","",IF('Daily Sale entry '!Q1399="Credit Sale 赊销",'Daily Sale entry '!S1399,0))</f>
        <v/>
      </c>
      <c r="E1399">
        <f>IF(C1399="","",IF('Daily Sale entry '!Q1399="Collection 收款",'Daily Sale entry '!S1399,0))</f>
        <v/>
      </c>
      <c r="F1399" s="37">
        <f>IF(C1399="","",B1399+IF(E1399&gt;0,0,0.5)+ROW()/10000000)</f>
        <v/>
      </c>
      <c r="G1399">
        <f>IF(C1399="","",'Daily Sale entry '!Q1399&amp;IF('Daily Sale entry '!Q1399="Collection 收款"," ("&amp;'Daily Sale entry '!R1399&amp;")","")&amp;IF('Daily Sale entry '!U1399="",""," - "&amp;'Daily Sale entry '!U1399))</f>
        <v/>
      </c>
      <c r="H1399">
        <f>IF(C1399="","",COUNTIFS($C$2:$C$3001,C1399,$F$2:$F$3001,"&lt;"&amp;F1399)+1)</f>
        <v/>
      </c>
      <c r="I1399">
        <f>IF(C1399="","",C1399&amp;"|"&amp;H1399)</f>
        <v/>
      </c>
      <c r="J1399" s="6">
        <f>IF(C1399="","",IF(H1399=1,SUMIFS('Opening Balance'!$F$4:$F$303,'Opening Balance'!$G$4:$G$303,C1399),INDEX($L$2:$L$3001,MATCH(C1399&amp;"|"&amp;(H1399-1),$I$2:$I$3001,0))))</f>
        <v/>
      </c>
      <c r="K1399" s="6">
        <f>IF(C1399="","",IF(M1399&gt;0,M1399,IF(AND(E1399&gt;0,ROUND(J1399+D1399-E1399,2)&gt;0,ROUND(J1399+D1399-E1399,2)&lt;'Opening Balance'!$B$14),ROUND(J1399+D1399-E1399,2),0)))</f>
        <v/>
      </c>
      <c r="L1399" s="6">
        <f>IF(C1399="","",ROUND(J1399+D1399-E1399-K1399,2))</f>
        <v/>
      </c>
      <c r="M1399" s="6">
        <f>IF(C1399="","",IF('Daily Sale entry '!Q1399="Collection 收款",ROUND(N('Daily Sale entry '!T1399),2),0))</f>
        <v/>
      </c>
    </row>
    <row r="1400">
      <c r="A1400" t="inlineStr">
        <is>
          <t>Entry 记录</t>
        </is>
      </c>
      <c r="B1400" s="5">
        <f>IF('Daily Sale entry '!P1400="","",'Daily Sale entry '!O1400)</f>
        <v/>
      </c>
      <c r="C1400">
        <f>IF('Daily Sale entry '!P1400="","",'Daily Sale entry '!P1400)</f>
        <v/>
      </c>
      <c r="D1400">
        <f>IF(C1400="","",IF('Daily Sale entry '!Q1400="Credit Sale 赊销",'Daily Sale entry '!S1400,0))</f>
        <v/>
      </c>
      <c r="E1400">
        <f>IF(C1400="","",IF('Daily Sale entry '!Q1400="Collection 收款",'Daily Sale entry '!S1400,0))</f>
        <v/>
      </c>
      <c r="F1400" s="37">
        <f>IF(C1400="","",B1400+IF(E1400&gt;0,0,0.5)+ROW()/10000000)</f>
        <v/>
      </c>
      <c r="G1400">
        <f>IF(C1400="","",'Daily Sale entry '!Q1400&amp;IF('Daily Sale entry '!Q1400="Collection 收款"," ("&amp;'Daily Sale entry '!R1400&amp;")","")&amp;IF('Daily Sale entry '!U1400="",""," - "&amp;'Daily Sale entry '!U1400))</f>
        <v/>
      </c>
      <c r="H1400">
        <f>IF(C1400="","",COUNTIFS($C$2:$C$3001,C1400,$F$2:$F$3001,"&lt;"&amp;F1400)+1)</f>
        <v/>
      </c>
      <c r="I1400">
        <f>IF(C1400="","",C1400&amp;"|"&amp;H1400)</f>
        <v/>
      </c>
      <c r="J1400" s="6">
        <f>IF(C1400="","",IF(H1400=1,SUMIFS('Opening Balance'!$F$4:$F$303,'Opening Balance'!$G$4:$G$303,C1400),INDEX($L$2:$L$3001,MATCH(C1400&amp;"|"&amp;(H1400-1),$I$2:$I$3001,0))))</f>
        <v/>
      </c>
      <c r="K1400" s="6">
        <f>IF(C1400="","",IF(M1400&gt;0,M1400,IF(AND(E1400&gt;0,ROUND(J1400+D1400-E1400,2)&gt;0,ROUND(J1400+D1400-E1400,2)&lt;'Opening Balance'!$B$14),ROUND(J1400+D1400-E1400,2),0)))</f>
        <v/>
      </c>
      <c r="L1400" s="6">
        <f>IF(C1400="","",ROUND(J1400+D1400-E1400-K1400,2))</f>
        <v/>
      </c>
      <c r="M1400" s="6">
        <f>IF(C1400="","",IF('Daily Sale entry '!Q1400="Collection 收款",ROUND(N('Daily Sale entry '!T1400),2),0))</f>
        <v/>
      </c>
    </row>
    <row r="1401">
      <c r="A1401" t="inlineStr">
        <is>
          <t>Entry 记录</t>
        </is>
      </c>
      <c r="B1401" s="5">
        <f>IF('Daily Sale entry '!P1401="","",'Daily Sale entry '!O1401)</f>
        <v/>
      </c>
      <c r="C1401">
        <f>IF('Daily Sale entry '!P1401="","",'Daily Sale entry '!P1401)</f>
        <v/>
      </c>
      <c r="D1401">
        <f>IF(C1401="","",IF('Daily Sale entry '!Q1401="Credit Sale 赊销",'Daily Sale entry '!S1401,0))</f>
        <v/>
      </c>
      <c r="E1401">
        <f>IF(C1401="","",IF('Daily Sale entry '!Q1401="Collection 收款",'Daily Sale entry '!S1401,0))</f>
        <v/>
      </c>
      <c r="F1401" s="37">
        <f>IF(C1401="","",B1401+IF(E1401&gt;0,0,0.5)+ROW()/10000000)</f>
        <v/>
      </c>
      <c r="G1401">
        <f>IF(C1401="","",'Daily Sale entry '!Q1401&amp;IF('Daily Sale entry '!Q1401="Collection 收款"," ("&amp;'Daily Sale entry '!R1401&amp;")","")&amp;IF('Daily Sale entry '!U1401="",""," - "&amp;'Daily Sale entry '!U1401))</f>
        <v/>
      </c>
      <c r="H1401">
        <f>IF(C1401="","",COUNTIFS($C$2:$C$3001,C1401,$F$2:$F$3001,"&lt;"&amp;F1401)+1)</f>
        <v/>
      </c>
      <c r="I1401">
        <f>IF(C1401="","",C1401&amp;"|"&amp;H1401)</f>
        <v/>
      </c>
      <c r="J1401" s="6">
        <f>IF(C1401="","",IF(H1401=1,SUMIFS('Opening Balance'!$F$4:$F$303,'Opening Balance'!$G$4:$G$303,C1401),INDEX($L$2:$L$3001,MATCH(C1401&amp;"|"&amp;(H1401-1),$I$2:$I$3001,0))))</f>
        <v/>
      </c>
      <c r="K1401" s="6">
        <f>IF(C1401="","",IF(M1401&gt;0,M1401,IF(AND(E1401&gt;0,ROUND(J1401+D1401-E1401,2)&gt;0,ROUND(J1401+D1401-E1401,2)&lt;'Opening Balance'!$B$14),ROUND(J1401+D1401-E1401,2),0)))</f>
        <v/>
      </c>
      <c r="L1401" s="6">
        <f>IF(C1401="","",ROUND(J1401+D1401-E1401-K1401,2))</f>
        <v/>
      </c>
      <c r="M1401" s="6">
        <f>IF(C1401="","",IF('Daily Sale entry '!Q1401="Collection 收款",ROUND(N('Daily Sale entry '!T1401),2),0))</f>
        <v/>
      </c>
    </row>
    <row r="1402">
      <c r="A1402" t="inlineStr">
        <is>
          <t>Entry 记录</t>
        </is>
      </c>
      <c r="B1402" s="5">
        <f>IF('Daily Sale entry '!P1402="","",'Daily Sale entry '!O1402)</f>
        <v/>
      </c>
      <c r="C1402">
        <f>IF('Daily Sale entry '!P1402="","",'Daily Sale entry '!P1402)</f>
        <v/>
      </c>
      <c r="D1402">
        <f>IF(C1402="","",IF('Daily Sale entry '!Q1402="Credit Sale 赊销",'Daily Sale entry '!S1402,0))</f>
        <v/>
      </c>
      <c r="E1402">
        <f>IF(C1402="","",IF('Daily Sale entry '!Q1402="Collection 收款",'Daily Sale entry '!S1402,0))</f>
        <v/>
      </c>
      <c r="F1402" s="37">
        <f>IF(C1402="","",B1402+IF(E1402&gt;0,0,0.5)+ROW()/10000000)</f>
        <v/>
      </c>
      <c r="G1402">
        <f>IF(C1402="","",'Daily Sale entry '!Q1402&amp;IF('Daily Sale entry '!Q1402="Collection 收款"," ("&amp;'Daily Sale entry '!R1402&amp;")","")&amp;IF('Daily Sale entry '!U1402="",""," - "&amp;'Daily Sale entry '!U1402))</f>
        <v/>
      </c>
      <c r="H1402">
        <f>IF(C1402="","",COUNTIFS($C$2:$C$3001,C1402,$F$2:$F$3001,"&lt;"&amp;F1402)+1)</f>
        <v/>
      </c>
      <c r="I1402">
        <f>IF(C1402="","",C1402&amp;"|"&amp;H1402)</f>
        <v/>
      </c>
      <c r="J1402" s="6">
        <f>IF(C1402="","",IF(H1402=1,SUMIFS('Opening Balance'!$F$4:$F$303,'Opening Balance'!$G$4:$G$303,C1402),INDEX($L$2:$L$3001,MATCH(C1402&amp;"|"&amp;(H1402-1),$I$2:$I$3001,0))))</f>
        <v/>
      </c>
      <c r="K1402" s="6">
        <f>IF(C1402="","",IF(M1402&gt;0,M1402,IF(AND(E1402&gt;0,ROUND(J1402+D1402-E1402,2)&gt;0,ROUND(J1402+D1402-E1402,2)&lt;'Opening Balance'!$B$14),ROUND(J1402+D1402-E1402,2),0)))</f>
        <v/>
      </c>
      <c r="L1402" s="6">
        <f>IF(C1402="","",ROUND(J1402+D1402-E1402-K1402,2))</f>
        <v/>
      </c>
      <c r="M1402" s="6">
        <f>IF(C1402="","",IF('Daily Sale entry '!Q1402="Collection 收款",ROUND(N('Daily Sale entry '!T1402),2),0))</f>
        <v/>
      </c>
    </row>
    <row r="1403">
      <c r="A1403" t="inlineStr">
        <is>
          <t>Entry 记录</t>
        </is>
      </c>
      <c r="B1403" s="5">
        <f>IF('Daily Sale entry '!P1403="","",'Daily Sale entry '!O1403)</f>
        <v/>
      </c>
      <c r="C1403">
        <f>IF('Daily Sale entry '!P1403="","",'Daily Sale entry '!P1403)</f>
        <v/>
      </c>
      <c r="D1403">
        <f>IF(C1403="","",IF('Daily Sale entry '!Q1403="Credit Sale 赊销",'Daily Sale entry '!S1403,0))</f>
        <v/>
      </c>
      <c r="E1403">
        <f>IF(C1403="","",IF('Daily Sale entry '!Q1403="Collection 收款",'Daily Sale entry '!S1403,0))</f>
        <v/>
      </c>
      <c r="F1403" s="37">
        <f>IF(C1403="","",B1403+IF(E1403&gt;0,0,0.5)+ROW()/10000000)</f>
        <v/>
      </c>
      <c r="G1403">
        <f>IF(C1403="","",'Daily Sale entry '!Q1403&amp;IF('Daily Sale entry '!Q1403="Collection 收款"," ("&amp;'Daily Sale entry '!R1403&amp;")","")&amp;IF('Daily Sale entry '!U1403="",""," - "&amp;'Daily Sale entry '!U1403))</f>
        <v/>
      </c>
      <c r="H1403">
        <f>IF(C1403="","",COUNTIFS($C$2:$C$3001,C1403,$F$2:$F$3001,"&lt;"&amp;F1403)+1)</f>
        <v/>
      </c>
      <c r="I1403">
        <f>IF(C1403="","",C1403&amp;"|"&amp;H1403)</f>
        <v/>
      </c>
      <c r="J1403" s="6">
        <f>IF(C1403="","",IF(H1403=1,SUMIFS('Opening Balance'!$F$4:$F$303,'Opening Balance'!$G$4:$G$303,C1403),INDEX($L$2:$L$3001,MATCH(C1403&amp;"|"&amp;(H1403-1),$I$2:$I$3001,0))))</f>
        <v/>
      </c>
      <c r="K1403" s="6">
        <f>IF(C1403="","",IF(M1403&gt;0,M1403,IF(AND(E1403&gt;0,ROUND(J1403+D1403-E1403,2)&gt;0,ROUND(J1403+D1403-E1403,2)&lt;'Opening Balance'!$B$14),ROUND(J1403+D1403-E1403,2),0)))</f>
        <v/>
      </c>
      <c r="L1403" s="6">
        <f>IF(C1403="","",ROUND(J1403+D1403-E1403-K1403,2))</f>
        <v/>
      </c>
      <c r="M1403" s="6">
        <f>IF(C1403="","",IF('Daily Sale entry '!Q1403="Collection 收款",ROUND(N('Daily Sale entry '!T1403),2),0))</f>
        <v/>
      </c>
    </row>
    <row r="1404">
      <c r="A1404" t="inlineStr">
        <is>
          <t>Entry 记录</t>
        </is>
      </c>
      <c r="B1404" s="5">
        <f>IF('Daily Sale entry '!P1404="","",'Daily Sale entry '!O1404)</f>
        <v/>
      </c>
      <c r="C1404">
        <f>IF('Daily Sale entry '!P1404="","",'Daily Sale entry '!P1404)</f>
        <v/>
      </c>
      <c r="D1404">
        <f>IF(C1404="","",IF('Daily Sale entry '!Q1404="Credit Sale 赊销",'Daily Sale entry '!S1404,0))</f>
        <v/>
      </c>
      <c r="E1404">
        <f>IF(C1404="","",IF('Daily Sale entry '!Q1404="Collection 收款",'Daily Sale entry '!S1404,0))</f>
        <v/>
      </c>
      <c r="F1404" s="37">
        <f>IF(C1404="","",B1404+IF(E1404&gt;0,0,0.5)+ROW()/10000000)</f>
        <v/>
      </c>
      <c r="G1404">
        <f>IF(C1404="","",'Daily Sale entry '!Q1404&amp;IF('Daily Sale entry '!Q1404="Collection 收款"," ("&amp;'Daily Sale entry '!R1404&amp;")","")&amp;IF('Daily Sale entry '!U1404="",""," - "&amp;'Daily Sale entry '!U1404))</f>
        <v/>
      </c>
      <c r="H1404">
        <f>IF(C1404="","",COUNTIFS($C$2:$C$3001,C1404,$F$2:$F$3001,"&lt;"&amp;F1404)+1)</f>
        <v/>
      </c>
      <c r="I1404">
        <f>IF(C1404="","",C1404&amp;"|"&amp;H1404)</f>
        <v/>
      </c>
      <c r="J1404" s="6">
        <f>IF(C1404="","",IF(H1404=1,SUMIFS('Opening Balance'!$F$4:$F$303,'Opening Balance'!$G$4:$G$303,C1404),INDEX($L$2:$L$3001,MATCH(C1404&amp;"|"&amp;(H1404-1),$I$2:$I$3001,0))))</f>
        <v/>
      </c>
      <c r="K1404" s="6">
        <f>IF(C1404="","",IF(M1404&gt;0,M1404,IF(AND(E1404&gt;0,ROUND(J1404+D1404-E1404,2)&gt;0,ROUND(J1404+D1404-E1404,2)&lt;'Opening Balance'!$B$14),ROUND(J1404+D1404-E1404,2),0)))</f>
        <v/>
      </c>
      <c r="L1404" s="6">
        <f>IF(C1404="","",ROUND(J1404+D1404-E1404-K1404,2))</f>
        <v/>
      </c>
      <c r="M1404" s="6">
        <f>IF(C1404="","",IF('Daily Sale entry '!Q1404="Collection 收款",ROUND(N('Daily Sale entry '!T1404),2),0))</f>
        <v/>
      </c>
    </row>
    <row r="1405">
      <c r="A1405" t="inlineStr">
        <is>
          <t>Entry 记录</t>
        </is>
      </c>
      <c r="B1405" s="5">
        <f>IF('Daily Sale entry '!P1405="","",'Daily Sale entry '!O1405)</f>
        <v/>
      </c>
      <c r="C1405">
        <f>IF('Daily Sale entry '!P1405="","",'Daily Sale entry '!P1405)</f>
        <v/>
      </c>
      <c r="D1405">
        <f>IF(C1405="","",IF('Daily Sale entry '!Q1405="Credit Sale 赊销",'Daily Sale entry '!S1405,0))</f>
        <v/>
      </c>
      <c r="E1405">
        <f>IF(C1405="","",IF('Daily Sale entry '!Q1405="Collection 收款",'Daily Sale entry '!S1405,0))</f>
        <v/>
      </c>
      <c r="F1405" s="37">
        <f>IF(C1405="","",B1405+IF(E1405&gt;0,0,0.5)+ROW()/10000000)</f>
        <v/>
      </c>
      <c r="G1405">
        <f>IF(C1405="","",'Daily Sale entry '!Q1405&amp;IF('Daily Sale entry '!Q1405="Collection 收款"," ("&amp;'Daily Sale entry '!R1405&amp;")","")&amp;IF('Daily Sale entry '!U1405="",""," - "&amp;'Daily Sale entry '!U1405))</f>
        <v/>
      </c>
      <c r="H1405">
        <f>IF(C1405="","",COUNTIFS($C$2:$C$3001,C1405,$F$2:$F$3001,"&lt;"&amp;F1405)+1)</f>
        <v/>
      </c>
      <c r="I1405">
        <f>IF(C1405="","",C1405&amp;"|"&amp;H1405)</f>
        <v/>
      </c>
      <c r="J1405" s="6">
        <f>IF(C1405="","",IF(H1405=1,SUMIFS('Opening Balance'!$F$4:$F$303,'Opening Balance'!$G$4:$G$303,C1405),INDEX($L$2:$L$3001,MATCH(C1405&amp;"|"&amp;(H1405-1),$I$2:$I$3001,0))))</f>
        <v/>
      </c>
      <c r="K1405" s="6">
        <f>IF(C1405="","",IF(M1405&gt;0,M1405,IF(AND(E1405&gt;0,ROUND(J1405+D1405-E1405,2)&gt;0,ROUND(J1405+D1405-E1405,2)&lt;'Opening Balance'!$B$14),ROUND(J1405+D1405-E1405,2),0)))</f>
        <v/>
      </c>
      <c r="L1405" s="6">
        <f>IF(C1405="","",ROUND(J1405+D1405-E1405-K1405,2))</f>
        <v/>
      </c>
      <c r="M1405" s="6">
        <f>IF(C1405="","",IF('Daily Sale entry '!Q1405="Collection 收款",ROUND(N('Daily Sale entry '!T1405),2),0))</f>
        <v/>
      </c>
    </row>
    <row r="1406">
      <c r="A1406" t="inlineStr">
        <is>
          <t>Entry 记录</t>
        </is>
      </c>
      <c r="B1406" s="5">
        <f>IF('Daily Sale entry '!P1406="","",'Daily Sale entry '!O1406)</f>
        <v/>
      </c>
      <c r="C1406">
        <f>IF('Daily Sale entry '!P1406="","",'Daily Sale entry '!P1406)</f>
        <v/>
      </c>
      <c r="D1406">
        <f>IF(C1406="","",IF('Daily Sale entry '!Q1406="Credit Sale 赊销",'Daily Sale entry '!S1406,0))</f>
        <v/>
      </c>
      <c r="E1406">
        <f>IF(C1406="","",IF('Daily Sale entry '!Q1406="Collection 收款",'Daily Sale entry '!S1406,0))</f>
        <v/>
      </c>
      <c r="F1406" s="37">
        <f>IF(C1406="","",B1406+IF(E1406&gt;0,0,0.5)+ROW()/10000000)</f>
        <v/>
      </c>
      <c r="G1406">
        <f>IF(C1406="","",'Daily Sale entry '!Q1406&amp;IF('Daily Sale entry '!Q1406="Collection 收款"," ("&amp;'Daily Sale entry '!R1406&amp;")","")&amp;IF('Daily Sale entry '!U1406="",""," - "&amp;'Daily Sale entry '!U1406))</f>
        <v/>
      </c>
      <c r="H1406">
        <f>IF(C1406="","",COUNTIFS($C$2:$C$3001,C1406,$F$2:$F$3001,"&lt;"&amp;F1406)+1)</f>
        <v/>
      </c>
      <c r="I1406">
        <f>IF(C1406="","",C1406&amp;"|"&amp;H1406)</f>
        <v/>
      </c>
      <c r="J1406" s="6">
        <f>IF(C1406="","",IF(H1406=1,SUMIFS('Opening Balance'!$F$4:$F$303,'Opening Balance'!$G$4:$G$303,C1406),INDEX($L$2:$L$3001,MATCH(C1406&amp;"|"&amp;(H1406-1),$I$2:$I$3001,0))))</f>
        <v/>
      </c>
      <c r="K1406" s="6">
        <f>IF(C1406="","",IF(M1406&gt;0,M1406,IF(AND(E1406&gt;0,ROUND(J1406+D1406-E1406,2)&gt;0,ROUND(J1406+D1406-E1406,2)&lt;'Opening Balance'!$B$14),ROUND(J1406+D1406-E1406,2),0)))</f>
        <v/>
      </c>
      <c r="L1406" s="6">
        <f>IF(C1406="","",ROUND(J1406+D1406-E1406-K1406,2))</f>
        <v/>
      </c>
      <c r="M1406" s="6">
        <f>IF(C1406="","",IF('Daily Sale entry '!Q1406="Collection 收款",ROUND(N('Daily Sale entry '!T1406),2),0))</f>
        <v/>
      </c>
    </row>
    <row r="1407">
      <c r="A1407" t="inlineStr">
        <is>
          <t>Entry 记录</t>
        </is>
      </c>
      <c r="B1407" s="5">
        <f>IF('Daily Sale entry '!P1407="","",'Daily Sale entry '!O1407)</f>
        <v/>
      </c>
      <c r="C1407">
        <f>IF('Daily Sale entry '!P1407="","",'Daily Sale entry '!P1407)</f>
        <v/>
      </c>
      <c r="D1407">
        <f>IF(C1407="","",IF('Daily Sale entry '!Q1407="Credit Sale 赊销",'Daily Sale entry '!S1407,0))</f>
        <v/>
      </c>
      <c r="E1407">
        <f>IF(C1407="","",IF('Daily Sale entry '!Q1407="Collection 收款",'Daily Sale entry '!S1407,0))</f>
        <v/>
      </c>
      <c r="F1407" s="37">
        <f>IF(C1407="","",B1407+IF(E1407&gt;0,0,0.5)+ROW()/10000000)</f>
        <v/>
      </c>
      <c r="G1407">
        <f>IF(C1407="","",'Daily Sale entry '!Q1407&amp;IF('Daily Sale entry '!Q1407="Collection 收款"," ("&amp;'Daily Sale entry '!R1407&amp;")","")&amp;IF('Daily Sale entry '!U1407="",""," - "&amp;'Daily Sale entry '!U1407))</f>
        <v/>
      </c>
      <c r="H1407">
        <f>IF(C1407="","",COUNTIFS($C$2:$C$3001,C1407,$F$2:$F$3001,"&lt;"&amp;F1407)+1)</f>
        <v/>
      </c>
      <c r="I1407">
        <f>IF(C1407="","",C1407&amp;"|"&amp;H1407)</f>
        <v/>
      </c>
      <c r="J1407" s="6">
        <f>IF(C1407="","",IF(H1407=1,SUMIFS('Opening Balance'!$F$4:$F$303,'Opening Balance'!$G$4:$G$303,C1407),INDEX($L$2:$L$3001,MATCH(C1407&amp;"|"&amp;(H1407-1),$I$2:$I$3001,0))))</f>
        <v/>
      </c>
      <c r="K1407" s="6">
        <f>IF(C1407="","",IF(M1407&gt;0,M1407,IF(AND(E1407&gt;0,ROUND(J1407+D1407-E1407,2)&gt;0,ROUND(J1407+D1407-E1407,2)&lt;'Opening Balance'!$B$14),ROUND(J1407+D1407-E1407,2),0)))</f>
        <v/>
      </c>
      <c r="L1407" s="6">
        <f>IF(C1407="","",ROUND(J1407+D1407-E1407-K1407,2))</f>
        <v/>
      </c>
      <c r="M1407" s="6">
        <f>IF(C1407="","",IF('Daily Sale entry '!Q1407="Collection 收款",ROUND(N('Daily Sale entry '!T1407),2),0))</f>
        <v/>
      </c>
    </row>
    <row r="1408">
      <c r="A1408" t="inlineStr">
        <is>
          <t>Entry 记录</t>
        </is>
      </c>
      <c r="B1408" s="5">
        <f>IF('Daily Sale entry '!P1408="","",'Daily Sale entry '!O1408)</f>
        <v/>
      </c>
      <c r="C1408">
        <f>IF('Daily Sale entry '!P1408="","",'Daily Sale entry '!P1408)</f>
        <v/>
      </c>
      <c r="D1408">
        <f>IF(C1408="","",IF('Daily Sale entry '!Q1408="Credit Sale 赊销",'Daily Sale entry '!S1408,0))</f>
        <v/>
      </c>
      <c r="E1408">
        <f>IF(C1408="","",IF('Daily Sale entry '!Q1408="Collection 收款",'Daily Sale entry '!S1408,0))</f>
        <v/>
      </c>
      <c r="F1408" s="37">
        <f>IF(C1408="","",B1408+IF(E1408&gt;0,0,0.5)+ROW()/10000000)</f>
        <v/>
      </c>
      <c r="G1408">
        <f>IF(C1408="","",'Daily Sale entry '!Q1408&amp;IF('Daily Sale entry '!Q1408="Collection 收款"," ("&amp;'Daily Sale entry '!R1408&amp;")","")&amp;IF('Daily Sale entry '!U1408="",""," - "&amp;'Daily Sale entry '!U1408))</f>
        <v/>
      </c>
      <c r="H1408">
        <f>IF(C1408="","",COUNTIFS($C$2:$C$3001,C1408,$F$2:$F$3001,"&lt;"&amp;F1408)+1)</f>
        <v/>
      </c>
      <c r="I1408">
        <f>IF(C1408="","",C1408&amp;"|"&amp;H1408)</f>
        <v/>
      </c>
      <c r="J1408" s="6">
        <f>IF(C1408="","",IF(H1408=1,SUMIFS('Opening Balance'!$F$4:$F$303,'Opening Balance'!$G$4:$G$303,C1408),INDEX($L$2:$L$3001,MATCH(C1408&amp;"|"&amp;(H1408-1),$I$2:$I$3001,0))))</f>
        <v/>
      </c>
      <c r="K1408" s="6">
        <f>IF(C1408="","",IF(M1408&gt;0,M1408,IF(AND(E1408&gt;0,ROUND(J1408+D1408-E1408,2)&gt;0,ROUND(J1408+D1408-E1408,2)&lt;'Opening Balance'!$B$14),ROUND(J1408+D1408-E1408,2),0)))</f>
        <v/>
      </c>
      <c r="L1408" s="6">
        <f>IF(C1408="","",ROUND(J1408+D1408-E1408-K1408,2))</f>
        <v/>
      </c>
      <c r="M1408" s="6">
        <f>IF(C1408="","",IF('Daily Sale entry '!Q1408="Collection 收款",ROUND(N('Daily Sale entry '!T1408),2),0))</f>
        <v/>
      </c>
    </row>
    <row r="1409">
      <c r="A1409" t="inlineStr">
        <is>
          <t>Entry 记录</t>
        </is>
      </c>
      <c r="B1409" s="5">
        <f>IF('Daily Sale entry '!P1409="","",'Daily Sale entry '!O1409)</f>
        <v/>
      </c>
      <c r="C1409">
        <f>IF('Daily Sale entry '!P1409="","",'Daily Sale entry '!P1409)</f>
        <v/>
      </c>
      <c r="D1409">
        <f>IF(C1409="","",IF('Daily Sale entry '!Q1409="Credit Sale 赊销",'Daily Sale entry '!S1409,0))</f>
        <v/>
      </c>
      <c r="E1409">
        <f>IF(C1409="","",IF('Daily Sale entry '!Q1409="Collection 收款",'Daily Sale entry '!S1409,0))</f>
        <v/>
      </c>
      <c r="F1409" s="37">
        <f>IF(C1409="","",B1409+IF(E1409&gt;0,0,0.5)+ROW()/10000000)</f>
        <v/>
      </c>
      <c r="G1409">
        <f>IF(C1409="","",'Daily Sale entry '!Q1409&amp;IF('Daily Sale entry '!Q1409="Collection 收款"," ("&amp;'Daily Sale entry '!R1409&amp;")","")&amp;IF('Daily Sale entry '!U1409="",""," - "&amp;'Daily Sale entry '!U1409))</f>
        <v/>
      </c>
      <c r="H1409">
        <f>IF(C1409="","",COUNTIFS($C$2:$C$3001,C1409,$F$2:$F$3001,"&lt;"&amp;F1409)+1)</f>
        <v/>
      </c>
      <c r="I1409">
        <f>IF(C1409="","",C1409&amp;"|"&amp;H1409)</f>
        <v/>
      </c>
      <c r="J1409" s="6">
        <f>IF(C1409="","",IF(H1409=1,SUMIFS('Opening Balance'!$F$4:$F$303,'Opening Balance'!$G$4:$G$303,C1409),INDEX($L$2:$L$3001,MATCH(C1409&amp;"|"&amp;(H1409-1),$I$2:$I$3001,0))))</f>
        <v/>
      </c>
      <c r="K1409" s="6">
        <f>IF(C1409="","",IF(M1409&gt;0,M1409,IF(AND(E1409&gt;0,ROUND(J1409+D1409-E1409,2)&gt;0,ROUND(J1409+D1409-E1409,2)&lt;'Opening Balance'!$B$14),ROUND(J1409+D1409-E1409,2),0)))</f>
        <v/>
      </c>
      <c r="L1409" s="6">
        <f>IF(C1409="","",ROUND(J1409+D1409-E1409-K1409,2))</f>
        <v/>
      </c>
      <c r="M1409" s="6">
        <f>IF(C1409="","",IF('Daily Sale entry '!Q1409="Collection 收款",ROUND(N('Daily Sale entry '!T1409),2),0))</f>
        <v/>
      </c>
    </row>
    <row r="1410">
      <c r="A1410" t="inlineStr">
        <is>
          <t>Entry 记录</t>
        </is>
      </c>
      <c r="B1410" s="5">
        <f>IF('Daily Sale entry '!P1410="","",'Daily Sale entry '!O1410)</f>
        <v/>
      </c>
      <c r="C1410">
        <f>IF('Daily Sale entry '!P1410="","",'Daily Sale entry '!P1410)</f>
        <v/>
      </c>
      <c r="D1410">
        <f>IF(C1410="","",IF('Daily Sale entry '!Q1410="Credit Sale 赊销",'Daily Sale entry '!S1410,0))</f>
        <v/>
      </c>
      <c r="E1410">
        <f>IF(C1410="","",IF('Daily Sale entry '!Q1410="Collection 收款",'Daily Sale entry '!S1410,0))</f>
        <v/>
      </c>
      <c r="F1410" s="37">
        <f>IF(C1410="","",B1410+IF(E1410&gt;0,0,0.5)+ROW()/10000000)</f>
        <v/>
      </c>
      <c r="G1410">
        <f>IF(C1410="","",'Daily Sale entry '!Q1410&amp;IF('Daily Sale entry '!Q1410="Collection 收款"," ("&amp;'Daily Sale entry '!R1410&amp;")","")&amp;IF('Daily Sale entry '!U1410="",""," - "&amp;'Daily Sale entry '!U1410))</f>
        <v/>
      </c>
      <c r="H1410">
        <f>IF(C1410="","",COUNTIFS($C$2:$C$3001,C1410,$F$2:$F$3001,"&lt;"&amp;F1410)+1)</f>
        <v/>
      </c>
      <c r="I1410">
        <f>IF(C1410="","",C1410&amp;"|"&amp;H1410)</f>
        <v/>
      </c>
      <c r="J1410" s="6">
        <f>IF(C1410="","",IF(H1410=1,SUMIFS('Opening Balance'!$F$4:$F$303,'Opening Balance'!$G$4:$G$303,C1410),INDEX($L$2:$L$3001,MATCH(C1410&amp;"|"&amp;(H1410-1),$I$2:$I$3001,0))))</f>
        <v/>
      </c>
      <c r="K1410" s="6">
        <f>IF(C1410="","",IF(M1410&gt;0,M1410,IF(AND(E1410&gt;0,ROUND(J1410+D1410-E1410,2)&gt;0,ROUND(J1410+D1410-E1410,2)&lt;'Opening Balance'!$B$14),ROUND(J1410+D1410-E1410,2),0)))</f>
        <v/>
      </c>
      <c r="L1410" s="6">
        <f>IF(C1410="","",ROUND(J1410+D1410-E1410-K1410,2))</f>
        <v/>
      </c>
      <c r="M1410" s="6">
        <f>IF(C1410="","",IF('Daily Sale entry '!Q1410="Collection 收款",ROUND(N('Daily Sale entry '!T1410),2),0))</f>
        <v/>
      </c>
    </row>
    <row r="1411">
      <c r="A1411" t="inlineStr">
        <is>
          <t>Entry 记录</t>
        </is>
      </c>
      <c r="B1411" s="5">
        <f>IF('Daily Sale entry '!P1411="","",'Daily Sale entry '!O1411)</f>
        <v/>
      </c>
      <c r="C1411">
        <f>IF('Daily Sale entry '!P1411="","",'Daily Sale entry '!P1411)</f>
        <v/>
      </c>
      <c r="D1411">
        <f>IF(C1411="","",IF('Daily Sale entry '!Q1411="Credit Sale 赊销",'Daily Sale entry '!S1411,0))</f>
        <v/>
      </c>
      <c r="E1411">
        <f>IF(C1411="","",IF('Daily Sale entry '!Q1411="Collection 收款",'Daily Sale entry '!S1411,0))</f>
        <v/>
      </c>
      <c r="F1411" s="37">
        <f>IF(C1411="","",B1411+IF(E1411&gt;0,0,0.5)+ROW()/10000000)</f>
        <v/>
      </c>
      <c r="G1411">
        <f>IF(C1411="","",'Daily Sale entry '!Q1411&amp;IF('Daily Sale entry '!Q1411="Collection 收款"," ("&amp;'Daily Sale entry '!R1411&amp;")","")&amp;IF('Daily Sale entry '!U1411="",""," - "&amp;'Daily Sale entry '!U1411))</f>
        <v/>
      </c>
      <c r="H1411">
        <f>IF(C1411="","",COUNTIFS($C$2:$C$3001,C1411,$F$2:$F$3001,"&lt;"&amp;F1411)+1)</f>
        <v/>
      </c>
      <c r="I1411">
        <f>IF(C1411="","",C1411&amp;"|"&amp;H1411)</f>
        <v/>
      </c>
      <c r="J1411" s="6">
        <f>IF(C1411="","",IF(H1411=1,SUMIFS('Opening Balance'!$F$4:$F$303,'Opening Balance'!$G$4:$G$303,C1411),INDEX($L$2:$L$3001,MATCH(C1411&amp;"|"&amp;(H1411-1),$I$2:$I$3001,0))))</f>
        <v/>
      </c>
      <c r="K1411" s="6">
        <f>IF(C1411="","",IF(M1411&gt;0,M1411,IF(AND(E1411&gt;0,ROUND(J1411+D1411-E1411,2)&gt;0,ROUND(J1411+D1411-E1411,2)&lt;'Opening Balance'!$B$14),ROUND(J1411+D1411-E1411,2),0)))</f>
        <v/>
      </c>
      <c r="L1411" s="6">
        <f>IF(C1411="","",ROUND(J1411+D1411-E1411-K1411,2))</f>
        <v/>
      </c>
      <c r="M1411" s="6">
        <f>IF(C1411="","",IF('Daily Sale entry '!Q1411="Collection 收款",ROUND(N('Daily Sale entry '!T1411),2),0))</f>
        <v/>
      </c>
    </row>
    <row r="1412">
      <c r="A1412" t="inlineStr">
        <is>
          <t>Entry 记录</t>
        </is>
      </c>
      <c r="B1412" s="5">
        <f>IF('Daily Sale entry '!P1412="","",'Daily Sale entry '!O1412)</f>
        <v/>
      </c>
      <c r="C1412">
        <f>IF('Daily Sale entry '!P1412="","",'Daily Sale entry '!P1412)</f>
        <v/>
      </c>
      <c r="D1412">
        <f>IF(C1412="","",IF('Daily Sale entry '!Q1412="Credit Sale 赊销",'Daily Sale entry '!S1412,0))</f>
        <v/>
      </c>
      <c r="E1412">
        <f>IF(C1412="","",IF('Daily Sale entry '!Q1412="Collection 收款",'Daily Sale entry '!S1412,0))</f>
        <v/>
      </c>
      <c r="F1412" s="37">
        <f>IF(C1412="","",B1412+IF(E1412&gt;0,0,0.5)+ROW()/10000000)</f>
        <v/>
      </c>
      <c r="G1412">
        <f>IF(C1412="","",'Daily Sale entry '!Q1412&amp;IF('Daily Sale entry '!Q1412="Collection 收款"," ("&amp;'Daily Sale entry '!R1412&amp;")","")&amp;IF('Daily Sale entry '!U1412="",""," - "&amp;'Daily Sale entry '!U1412))</f>
        <v/>
      </c>
      <c r="H1412">
        <f>IF(C1412="","",COUNTIFS($C$2:$C$3001,C1412,$F$2:$F$3001,"&lt;"&amp;F1412)+1)</f>
        <v/>
      </c>
      <c r="I1412">
        <f>IF(C1412="","",C1412&amp;"|"&amp;H1412)</f>
        <v/>
      </c>
      <c r="J1412" s="6">
        <f>IF(C1412="","",IF(H1412=1,SUMIFS('Opening Balance'!$F$4:$F$303,'Opening Balance'!$G$4:$G$303,C1412),INDEX($L$2:$L$3001,MATCH(C1412&amp;"|"&amp;(H1412-1),$I$2:$I$3001,0))))</f>
        <v/>
      </c>
      <c r="K1412" s="6">
        <f>IF(C1412="","",IF(M1412&gt;0,M1412,IF(AND(E1412&gt;0,ROUND(J1412+D1412-E1412,2)&gt;0,ROUND(J1412+D1412-E1412,2)&lt;'Opening Balance'!$B$14),ROUND(J1412+D1412-E1412,2),0)))</f>
        <v/>
      </c>
      <c r="L1412" s="6">
        <f>IF(C1412="","",ROUND(J1412+D1412-E1412-K1412,2))</f>
        <v/>
      </c>
      <c r="M1412" s="6">
        <f>IF(C1412="","",IF('Daily Sale entry '!Q1412="Collection 收款",ROUND(N('Daily Sale entry '!T1412),2),0))</f>
        <v/>
      </c>
    </row>
    <row r="1413">
      <c r="A1413" t="inlineStr">
        <is>
          <t>Entry 记录</t>
        </is>
      </c>
      <c r="B1413" s="5">
        <f>IF('Daily Sale entry '!P1413="","",'Daily Sale entry '!O1413)</f>
        <v/>
      </c>
      <c r="C1413">
        <f>IF('Daily Sale entry '!P1413="","",'Daily Sale entry '!P1413)</f>
        <v/>
      </c>
      <c r="D1413">
        <f>IF(C1413="","",IF('Daily Sale entry '!Q1413="Credit Sale 赊销",'Daily Sale entry '!S1413,0))</f>
        <v/>
      </c>
      <c r="E1413">
        <f>IF(C1413="","",IF('Daily Sale entry '!Q1413="Collection 收款",'Daily Sale entry '!S1413,0))</f>
        <v/>
      </c>
      <c r="F1413" s="37">
        <f>IF(C1413="","",B1413+IF(E1413&gt;0,0,0.5)+ROW()/10000000)</f>
        <v/>
      </c>
      <c r="G1413">
        <f>IF(C1413="","",'Daily Sale entry '!Q1413&amp;IF('Daily Sale entry '!Q1413="Collection 收款"," ("&amp;'Daily Sale entry '!R1413&amp;")","")&amp;IF('Daily Sale entry '!U1413="",""," - "&amp;'Daily Sale entry '!U1413))</f>
        <v/>
      </c>
      <c r="H1413">
        <f>IF(C1413="","",COUNTIFS($C$2:$C$3001,C1413,$F$2:$F$3001,"&lt;"&amp;F1413)+1)</f>
        <v/>
      </c>
      <c r="I1413">
        <f>IF(C1413="","",C1413&amp;"|"&amp;H1413)</f>
        <v/>
      </c>
      <c r="J1413" s="6">
        <f>IF(C1413="","",IF(H1413=1,SUMIFS('Opening Balance'!$F$4:$F$303,'Opening Balance'!$G$4:$G$303,C1413),INDEX($L$2:$L$3001,MATCH(C1413&amp;"|"&amp;(H1413-1),$I$2:$I$3001,0))))</f>
        <v/>
      </c>
      <c r="K1413" s="6">
        <f>IF(C1413="","",IF(M1413&gt;0,M1413,IF(AND(E1413&gt;0,ROUND(J1413+D1413-E1413,2)&gt;0,ROUND(J1413+D1413-E1413,2)&lt;'Opening Balance'!$B$14),ROUND(J1413+D1413-E1413,2),0)))</f>
        <v/>
      </c>
      <c r="L1413" s="6">
        <f>IF(C1413="","",ROUND(J1413+D1413-E1413-K1413,2))</f>
        <v/>
      </c>
      <c r="M1413" s="6">
        <f>IF(C1413="","",IF('Daily Sale entry '!Q1413="Collection 收款",ROUND(N('Daily Sale entry '!T1413),2),0))</f>
        <v/>
      </c>
    </row>
    <row r="1414">
      <c r="A1414" t="inlineStr">
        <is>
          <t>Entry 记录</t>
        </is>
      </c>
      <c r="B1414" s="5">
        <f>IF('Daily Sale entry '!P1414="","",'Daily Sale entry '!O1414)</f>
        <v/>
      </c>
      <c r="C1414">
        <f>IF('Daily Sale entry '!P1414="","",'Daily Sale entry '!P1414)</f>
        <v/>
      </c>
      <c r="D1414">
        <f>IF(C1414="","",IF('Daily Sale entry '!Q1414="Credit Sale 赊销",'Daily Sale entry '!S1414,0))</f>
        <v/>
      </c>
      <c r="E1414">
        <f>IF(C1414="","",IF('Daily Sale entry '!Q1414="Collection 收款",'Daily Sale entry '!S1414,0))</f>
        <v/>
      </c>
      <c r="F1414" s="37">
        <f>IF(C1414="","",B1414+IF(E1414&gt;0,0,0.5)+ROW()/10000000)</f>
        <v/>
      </c>
      <c r="G1414">
        <f>IF(C1414="","",'Daily Sale entry '!Q1414&amp;IF('Daily Sale entry '!Q1414="Collection 收款"," ("&amp;'Daily Sale entry '!R1414&amp;")","")&amp;IF('Daily Sale entry '!U1414="",""," - "&amp;'Daily Sale entry '!U1414))</f>
        <v/>
      </c>
      <c r="H1414">
        <f>IF(C1414="","",COUNTIFS($C$2:$C$3001,C1414,$F$2:$F$3001,"&lt;"&amp;F1414)+1)</f>
        <v/>
      </c>
      <c r="I1414">
        <f>IF(C1414="","",C1414&amp;"|"&amp;H1414)</f>
        <v/>
      </c>
      <c r="J1414" s="6">
        <f>IF(C1414="","",IF(H1414=1,SUMIFS('Opening Balance'!$F$4:$F$303,'Opening Balance'!$G$4:$G$303,C1414),INDEX($L$2:$L$3001,MATCH(C1414&amp;"|"&amp;(H1414-1),$I$2:$I$3001,0))))</f>
        <v/>
      </c>
      <c r="K1414" s="6">
        <f>IF(C1414="","",IF(M1414&gt;0,M1414,IF(AND(E1414&gt;0,ROUND(J1414+D1414-E1414,2)&gt;0,ROUND(J1414+D1414-E1414,2)&lt;'Opening Balance'!$B$14),ROUND(J1414+D1414-E1414,2),0)))</f>
        <v/>
      </c>
      <c r="L1414" s="6">
        <f>IF(C1414="","",ROUND(J1414+D1414-E1414-K1414,2))</f>
        <v/>
      </c>
      <c r="M1414" s="6">
        <f>IF(C1414="","",IF('Daily Sale entry '!Q1414="Collection 收款",ROUND(N('Daily Sale entry '!T1414),2),0))</f>
        <v/>
      </c>
    </row>
    <row r="1415">
      <c r="A1415" t="inlineStr">
        <is>
          <t>Entry 记录</t>
        </is>
      </c>
      <c r="B1415" s="5">
        <f>IF('Daily Sale entry '!P1415="","",'Daily Sale entry '!O1415)</f>
        <v/>
      </c>
      <c r="C1415">
        <f>IF('Daily Sale entry '!P1415="","",'Daily Sale entry '!P1415)</f>
        <v/>
      </c>
      <c r="D1415">
        <f>IF(C1415="","",IF('Daily Sale entry '!Q1415="Credit Sale 赊销",'Daily Sale entry '!S1415,0))</f>
        <v/>
      </c>
      <c r="E1415">
        <f>IF(C1415="","",IF('Daily Sale entry '!Q1415="Collection 收款",'Daily Sale entry '!S1415,0))</f>
        <v/>
      </c>
      <c r="F1415" s="37">
        <f>IF(C1415="","",B1415+IF(E1415&gt;0,0,0.5)+ROW()/10000000)</f>
        <v/>
      </c>
      <c r="G1415">
        <f>IF(C1415="","",'Daily Sale entry '!Q1415&amp;IF('Daily Sale entry '!Q1415="Collection 收款"," ("&amp;'Daily Sale entry '!R1415&amp;")","")&amp;IF('Daily Sale entry '!U1415="",""," - "&amp;'Daily Sale entry '!U1415))</f>
        <v/>
      </c>
      <c r="H1415">
        <f>IF(C1415="","",COUNTIFS($C$2:$C$3001,C1415,$F$2:$F$3001,"&lt;"&amp;F1415)+1)</f>
        <v/>
      </c>
      <c r="I1415">
        <f>IF(C1415="","",C1415&amp;"|"&amp;H1415)</f>
        <v/>
      </c>
      <c r="J1415" s="6">
        <f>IF(C1415="","",IF(H1415=1,SUMIFS('Opening Balance'!$F$4:$F$303,'Opening Balance'!$G$4:$G$303,C1415),INDEX($L$2:$L$3001,MATCH(C1415&amp;"|"&amp;(H1415-1),$I$2:$I$3001,0))))</f>
        <v/>
      </c>
      <c r="K1415" s="6">
        <f>IF(C1415="","",IF(M1415&gt;0,M1415,IF(AND(E1415&gt;0,ROUND(J1415+D1415-E1415,2)&gt;0,ROUND(J1415+D1415-E1415,2)&lt;'Opening Balance'!$B$14),ROUND(J1415+D1415-E1415,2),0)))</f>
        <v/>
      </c>
      <c r="L1415" s="6">
        <f>IF(C1415="","",ROUND(J1415+D1415-E1415-K1415,2))</f>
        <v/>
      </c>
      <c r="M1415" s="6">
        <f>IF(C1415="","",IF('Daily Sale entry '!Q1415="Collection 收款",ROUND(N('Daily Sale entry '!T1415),2),0))</f>
        <v/>
      </c>
    </row>
    <row r="1416">
      <c r="A1416" t="inlineStr">
        <is>
          <t>Entry 记录</t>
        </is>
      </c>
      <c r="B1416" s="5">
        <f>IF('Daily Sale entry '!P1416="","",'Daily Sale entry '!O1416)</f>
        <v/>
      </c>
      <c r="C1416">
        <f>IF('Daily Sale entry '!P1416="","",'Daily Sale entry '!P1416)</f>
        <v/>
      </c>
      <c r="D1416">
        <f>IF(C1416="","",IF('Daily Sale entry '!Q1416="Credit Sale 赊销",'Daily Sale entry '!S1416,0))</f>
        <v/>
      </c>
      <c r="E1416">
        <f>IF(C1416="","",IF('Daily Sale entry '!Q1416="Collection 收款",'Daily Sale entry '!S1416,0))</f>
        <v/>
      </c>
      <c r="F1416" s="37">
        <f>IF(C1416="","",B1416+IF(E1416&gt;0,0,0.5)+ROW()/10000000)</f>
        <v/>
      </c>
      <c r="G1416">
        <f>IF(C1416="","",'Daily Sale entry '!Q1416&amp;IF('Daily Sale entry '!Q1416="Collection 收款"," ("&amp;'Daily Sale entry '!R1416&amp;")","")&amp;IF('Daily Sale entry '!U1416="",""," - "&amp;'Daily Sale entry '!U1416))</f>
        <v/>
      </c>
      <c r="H1416">
        <f>IF(C1416="","",COUNTIFS($C$2:$C$3001,C1416,$F$2:$F$3001,"&lt;"&amp;F1416)+1)</f>
        <v/>
      </c>
      <c r="I1416">
        <f>IF(C1416="","",C1416&amp;"|"&amp;H1416)</f>
        <v/>
      </c>
      <c r="J1416" s="6">
        <f>IF(C1416="","",IF(H1416=1,SUMIFS('Opening Balance'!$F$4:$F$303,'Opening Balance'!$G$4:$G$303,C1416),INDEX($L$2:$L$3001,MATCH(C1416&amp;"|"&amp;(H1416-1),$I$2:$I$3001,0))))</f>
        <v/>
      </c>
      <c r="K1416" s="6">
        <f>IF(C1416="","",IF(M1416&gt;0,M1416,IF(AND(E1416&gt;0,ROUND(J1416+D1416-E1416,2)&gt;0,ROUND(J1416+D1416-E1416,2)&lt;'Opening Balance'!$B$14),ROUND(J1416+D1416-E1416,2),0)))</f>
        <v/>
      </c>
      <c r="L1416" s="6">
        <f>IF(C1416="","",ROUND(J1416+D1416-E1416-K1416,2))</f>
        <v/>
      </c>
      <c r="M1416" s="6">
        <f>IF(C1416="","",IF('Daily Sale entry '!Q1416="Collection 收款",ROUND(N('Daily Sale entry '!T1416),2),0))</f>
        <v/>
      </c>
    </row>
    <row r="1417">
      <c r="A1417" t="inlineStr">
        <is>
          <t>Entry 记录</t>
        </is>
      </c>
      <c r="B1417" s="5">
        <f>IF('Daily Sale entry '!P1417="","",'Daily Sale entry '!O1417)</f>
        <v/>
      </c>
      <c r="C1417">
        <f>IF('Daily Sale entry '!P1417="","",'Daily Sale entry '!P1417)</f>
        <v/>
      </c>
      <c r="D1417">
        <f>IF(C1417="","",IF('Daily Sale entry '!Q1417="Credit Sale 赊销",'Daily Sale entry '!S1417,0))</f>
        <v/>
      </c>
      <c r="E1417">
        <f>IF(C1417="","",IF('Daily Sale entry '!Q1417="Collection 收款",'Daily Sale entry '!S1417,0))</f>
        <v/>
      </c>
      <c r="F1417" s="37">
        <f>IF(C1417="","",B1417+IF(E1417&gt;0,0,0.5)+ROW()/10000000)</f>
        <v/>
      </c>
      <c r="G1417">
        <f>IF(C1417="","",'Daily Sale entry '!Q1417&amp;IF('Daily Sale entry '!Q1417="Collection 收款"," ("&amp;'Daily Sale entry '!R1417&amp;")","")&amp;IF('Daily Sale entry '!U1417="",""," - "&amp;'Daily Sale entry '!U1417))</f>
        <v/>
      </c>
      <c r="H1417">
        <f>IF(C1417="","",COUNTIFS($C$2:$C$3001,C1417,$F$2:$F$3001,"&lt;"&amp;F1417)+1)</f>
        <v/>
      </c>
      <c r="I1417">
        <f>IF(C1417="","",C1417&amp;"|"&amp;H1417)</f>
        <v/>
      </c>
      <c r="J1417" s="6">
        <f>IF(C1417="","",IF(H1417=1,SUMIFS('Opening Balance'!$F$4:$F$303,'Opening Balance'!$G$4:$G$303,C1417),INDEX($L$2:$L$3001,MATCH(C1417&amp;"|"&amp;(H1417-1),$I$2:$I$3001,0))))</f>
        <v/>
      </c>
      <c r="K1417" s="6">
        <f>IF(C1417="","",IF(M1417&gt;0,M1417,IF(AND(E1417&gt;0,ROUND(J1417+D1417-E1417,2)&gt;0,ROUND(J1417+D1417-E1417,2)&lt;'Opening Balance'!$B$14),ROUND(J1417+D1417-E1417,2),0)))</f>
        <v/>
      </c>
      <c r="L1417" s="6">
        <f>IF(C1417="","",ROUND(J1417+D1417-E1417-K1417,2))</f>
        <v/>
      </c>
      <c r="M1417" s="6">
        <f>IF(C1417="","",IF('Daily Sale entry '!Q1417="Collection 收款",ROUND(N('Daily Sale entry '!T1417),2),0))</f>
        <v/>
      </c>
    </row>
    <row r="1418">
      <c r="A1418" t="inlineStr">
        <is>
          <t>Entry 记录</t>
        </is>
      </c>
      <c r="B1418" s="5">
        <f>IF('Daily Sale entry '!P1418="","",'Daily Sale entry '!O1418)</f>
        <v/>
      </c>
      <c r="C1418">
        <f>IF('Daily Sale entry '!P1418="","",'Daily Sale entry '!P1418)</f>
        <v/>
      </c>
      <c r="D1418">
        <f>IF(C1418="","",IF('Daily Sale entry '!Q1418="Credit Sale 赊销",'Daily Sale entry '!S1418,0))</f>
        <v/>
      </c>
      <c r="E1418">
        <f>IF(C1418="","",IF('Daily Sale entry '!Q1418="Collection 收款",'Daily Sale entry '!S1418,0))</f>
        <v/>
      </c>
      <c r="F1418" s="37">
        <f>IF(C1418="","",B1418+IF(E1418&gt;0,0,0.5)+ROW()/10000000)</f>
        <v/>
      </c>
      <c r="G1418">
        <f>IF(C1418="","",'Daily Sale entry '!Q1418&amp;IF('Daily Sale entry '!Q1418="Collection 收款"," ("&amp;'Daily Sale entry '!R1418&amp;")","")&amp;IF('Daily Sale entry '!U1418="",""," - "&amp;'Daily Sale entry '!U1418))</f>
        <v/>
      </c>
      <c r="H1418">
        <f>IF(C1418="","",COUNTIFS($C$2:$C$3001,C1418,$F$2:$F$3001,"&lt;"&amp;F1418)+1)</f>
        <v/>
      </c>
      <c r="I1418">
        <f>IF(C1418="","",C1418&amp;"|"&amp;H1418)</f>
        <v/>
      </c>
      <c r="J1418" s="6">
        <f>IF(C1418="","",IF(H1418=1,SUMIFS('Opening Balance'!$F$4:$F$303,'Opening Balance'!$G$4:$G$303,C1418),INDEX($L$2:$L$3001,MATCH(C1418&amp;"|"&amp;(H1418-1),$I$2:$I$3001,0))))</f>
        <v/>
      </c>
      <c r="K1418" s="6">
        <f>IF(C1418="","",IF(M1418&gt;0,M1418,IF(AND(E1418&gt;0,ROUND(J1418+D1418-E1418,2)&gt;0,ROUND(J1418+D1418-E1418,2)&lt;'Opening Balance'!$B$14),ROUND(J1418+D1418-E1418,2),0)))</f>
        <v/>
      </c>
      <c r="L1418" s="6">
        <f>IF(C1418="","",ROUND(J1418+D1418-E1418-K1418,2))</f>
        <v/>
      </c>
      <c r="M1418" s="6">
        <f>IF(C1418="","",IF('Daily Sale entry '!Q1418="Collection 收款",ROUND(N('Daily Sale entry '!T1418),2),0))</f>
        <v/>
      </c>
    </row>
    <row r="1419">
      <c r="A1419" t="inlineStr">
        <is>
          <t>Entry 记录</t>
        </is>
      </c>
      <c r="B1419" s="5">
        <f>IF('Daily Sale entry '!P1419="","",'Daily Sale entry '!O1419)</f>
        <v/>
      </c>
      <c r="C1419">
        <f>IF('Daily Sale entry '!P1419="","",'Daily Sale entry '!P1419)</f>
        <v/>
      </c>
      <c r="D1419">
        <f>IF(C1419="","",IF('Daily Sale entry '!Q1419="Credit Sale 赊销",'Daily Sale entry '!S1419,0))</f>
        <v/>
      </c>
      <c r="E1419">
        <f>IF(C1419="","",IF('Daily Sale entry '!Q1419="Collection 收款",'Daily Sale entry '!S1419,0))</f>
        <v/>
      </c>
      <c r="F1419" s="37">
        <f>IF(C1419="","",B1419+IF(E1419&gt;0,0,0.5)+ROW()/10000000)</f>
        <v/>
      </c>
      <c r="G1419">
        <f>IF(C1419="","",'Daily Sale entry '!Q1419&amp;IF('Daily Sale entry '!Q1419="Collection 收款"," ("&amp;'Daily Sale entry '!R1419&amp;")","")&amp;IF('Daily Sale entry '!U1419="",""," - "&amp;'Daily Sale entry '!U1419))</f>
        <v/>
      </c>
      <c r="H1419">
        <f>IF(C1419="","",COUNTIFS($C$2:$C$3001,C1419,$F$2:$F$3001,"&lt;"&amp;F1419)+1)</f>
        <v/>
      </c>
      <c r="I1419">
        <f>IF(C1419="","",C1419&amp;"|"&amp;H1419)</f>
        <v/>
      </c>
      <c r="J1419" s="6">
        <f>IF(C1419="","",IF(H1419=1,SUMIFS('Opening Balance'!$F$4:$F$303,'Opening Balance'!$G$4:$G$303,C1419),INDEX($L$2:$L$3001,MATCH(C1419&amp;"|"&amp;(H1419-1),$I$2:$I$3001,0))))</f>
        <v/>
      </c>
      <c r="K1419" s="6">
        <f>IF(C1419="","",IF(M1419&gt;0,M1419,IF(AND(E1419&gt;0,ROUND(J1419+D1419-E1419,2)&gt;0,ROUND(J1419+D1419-E1419,2)&lt;'Opening Balance'!$B$14),ROUND(J1419+D1419-E1419,2),0)))</f>
        <v/>
      </c>
      <c r="L1419" s="6">
        <f>IF(C1419="","",ROUND(J1419+D1419-E1419-K1419,2))</f>
        <v/>
      </c>
      <c r="M1419" s="6">
        <f>IF(C1419="","",IF('Daily Sale entry '!Q1419="Collection 收款",ROUND(N('Daily Sale entry '!T1419),2),0))</f>
        <v/>
      </c>
    </row>
    <row r="1420">
      <c r="A1420" t="inlineStr">
        <is>
          <t>Entry 记录</t>
        </is>
      </c>
      <c r="B1420" s="5">
        <f>IF('Daily Sale entry '!P1420="","",'Daily Sale entry '!O1420)</f>
        <v/>
      </c>
      <c r="C1420">
        <f>IF('Daily Sale entry '!P1420="","",'Daily Sale entry '!P1420)</f>
        <v/>
      </c>
      <c r="D1420">
        <f>IF(C1420="","",IF('Daily Sale entry '!Q1420="Credit Sale 赊销",'Daily Sale entry '!S1420,0))</f>
        <v/>
      </c>
      <c r="E1420">
        <f>IF(C1420="","",IF('Daily Sale entry '!Q1420="Collection 收款",'Daily Sale entry '!S1420,0))</f>
        <v/>
      </c>
      <c r="F1420" s="37">
        <f>IF(C1420="","",B1420+IF(E1420&gt;0,0,0.5)+ROW()/10000000)</f>
        <v/>
      </c>
      <c r="G1420">
        <f>IF(C1420="","",'Daily Sale entry '!Q1420&amp;IF('Daily Sale entry '!Q1420="Collection 收款"," ("&amp;'Daily Sale entry '!R1420&amp;")","")&amp;IF('Daily Sale entry '!U1420="",""," - "&amp;'Daily Sale entry '!U1420))</f>
        <v/>
      </c>
      <c r="H1420">
        <f>IF(C1420="","",COUNTIFS($C$2:$C$3001,C1420,$F$2:$F$3001,"&lt;"&amp;F1420)+1)</f>
        <v/>
      </c>
      <c r="I1420">
        <f>IF(C1420="","",C1420&amp;"|"&amp;H1420)</f>
        <v/>
      </c>
      <c r="J1420" s="6">
        <f>IF(C1420="","",IF(H1420=1,SUMIFS('Opening Balance'!$F$4:$F$303,'Opening Balance'!$G$4:$G$303,C1420),INDEX($L$2:$L$3001,MATCH(C1420&amp;"|"&amp;(H1420-1),$I$2:$I$3001,0))))</f>
        <v/>
      </c>
      <c r="K1420" s="6">
        <f>IF(C1420="","",IF(M1420&gt;0,M1420,IF(AND(E1420&gt;0,ROUND(J1420+D1420-E1420,2)&gt;0,ROUND(J1420+D1420-E1420,2)&lt;'Opening Balance'!$B$14),ROUND(J1420+D1420-E1420,2),0)))</f>
        <v/>
      </c>
      <c r="L1420" s="6">
        <f>IF(C1420="","",ROUND(J1420+D1420-E1420-K1420,2))</f>
        <v/>
      </c>
      <c r="M1420" s="6">
        <f>IF(C1420="","",IF('Daily Sale entry '!Q1420="Collection 收款",ROUND(N('Daily Sale entry '!T1420),2),0))</f>
        <v/>
      </c>
    </row>
    <row r="1421">
      <c r="A1421" t="inlineStr">
        <is>
          <t>Entry 记录</t>
        </is>
      </c>
      <c r="B1421" s="5">
        <f>IF('Daily Sale entry '!P1421="","",'Daily Sale entry '!O1421)</f>
        <v/>
      </c>
      <c r="C1421">
        <f>IF('Daily Sale entry '!P1421="","",'Daily Sale entry '!P1421)</f>
        <v/>
      </c>
      <c r="D1421">
        <f>IF(C1421="","",IF('Daily Sale entry '!Q1421="Credit Sale 赊销",'Daily Sale entry '!S1421,0))</f>
        <v/>
      </c>
      <c r="E1421">
        <f>IF(C1421="","",IF('Daily Sale entry '!Q1421="Collection 收款",'Daily Sale entry '!S1421,0))</f>
        <v/>
      </c>
      <c r="F1421" s="37">
        <f>IF(C1421="","",B1421+IF(E1421&gt;0,0,0.5)+ROW()/10000000)</f>
        <v/>
      </c>
      <c r="G1421">
        <f>IF(C1421="","",'Daily Sale entry '!Q1421&amp;IF('Daily Sale entry '!Q1421="Collection 收款"," ("&amp;'Daily Sale entry '!R1421&amp;")","")&amp;IF('Daily Sale entry '!U1421="",""," - "&amp;'Daily Sale entry '!U1421))</f>
        <v/>
      </c>
      <c r="H1421">
        <f>IF(C1421="","",COUNTIFS($C$2:$C$3001,C1421,$F$2:$F$3001,"&lt;"&amp;F1421)+1)</f>
        <v/>
      </c>
      <c r="I1421">
        <f>IF(C1421="","",C1421&amp;"|"&amp;H1421)</f>
        <v/>
      </c>
      <c r="J1421" s="6">
        <f>IF(C1421="","",IF(H1421=1,SUMIFS('Opening Balance'!$F$4:$F$303,'Opening Balance'!$G$4:$G$303,C1421),INDEX($L$2:$L$3001,MATCH(C1421&amp;"|"&amp;(H1421-1),$I$2:$I$3001,0))))</f>
        <v/>
      </c>
      <c r="K1421" s="6">
        <f>IF(C1421="","",IF(M1421&gt;0,M1421,IF(AND(E1421&gt;0,ROUND(J1421+D1421-E1421,2)&gt;0,ROUND(J1421+D1421-E1421,2)&lt;'Opening Balance'!$B$14),ROUND(J1421+D1421-E1421,2),0)))</f>
        <v/>
      </c>
      <c r="L1421" s="6">
        <f>IF(C1421="","",ROUND(J1421+D1421-E1421-K1421,2))</f>
        <v/>
      </c>
      <c r="M1421" s="6">
        <f>IF(C1421="","",IF('Daily Sale entry '!Q1421="Collection 收款",ROUND(N('Daily Sale entry '!T1421),2),0))</f>
        <v/>
      </c>
    </row>
    <row r="1422">
      <c r="A1422" t="inlineStr">
        <is>
          <t>Entry 记录</t>
        </is>
      </c>
      <c r="B1422" s="5">
        <f>IF('Daily Sale entry '!P1422="","",'Daily Sale entry '!O1422)</f>
        <v/>
      </c>
      <c r="C1422">
        <f>IF('Daily Sale entry '!P1422="","",'Daily Sale entry '!P1422)</f>
        <v/>
      </c>
      <c r="D1422">
        <f>IF(C1422="","",IF('Daily Sale entry '!Q1422="Credit Sale 赊销",'Daily Sale entry '!S1422,0))</f>
        <v/>
      </c>
      <c r="E1422">
        <f>IF(C1422="","",IF('Daily Sale entry '!Q1422="Collection 收款",'Daily Sale entry '!S1422,0))</f>
        <v/>
      </c>
      <c r="F1422" s="37">
        <f>IF(C1422="","",B1422+IF(E1422&gt;0,0,0.5)+ROW()/10000000)</f>
        <v/>
      </c>
      <c r="G1422">
        <f>IF(C1422="","",'Daily Sale entry '!Q1422&amp;IF('Daily Sale entry '!Q1422="Collection 收款"," ("&amp;'Daily Sale entry '!R1422&amp;")","")&amp;IF('Daily Sale entry '!U1422="",""," - "&amp;'Daily Sale entry '!U1422))</f>
        <v/>
      </c>
      <c r="H1422">
        <f>IF(C1422="","",COUNTIFS($C$2:$C$3001,C1422,$F$2:$F$3001,"&lt;"&amp;F1422)+1)</f>
        <v/>
      </c>
      <c r="I1422">
        <f>IF(C1422="","",C1422&amp;"|"&amp;H1422)</f>
        <v/>
      </c>
      <c r="J1422" s="6">
        <f>IF(C1422="","",IF(H1422=1,SUMIFS('Opening Balance'!$F$4:$F$303,'Opening Balance'!$G$4:$G$303,C1422),INDEX($L$2:$L$3001,MATCH(C1422&amp;"|"&amp;(H1422-1),$I$2:$I$3001,0))))</f>
        <v/>
      </c>
      <c r="K1422" s="6">
        <f>IF(C1422="","",IF(M1422&gt;0,M1422,IF(AND(E1422&gt;0,ROUND(J1422+D1422-E1422,2)&gt;0,ROUND(J1422+D1422-E1422,2)&lt;'Opening Balance'!$B$14),ROUND(J1422+D1422-E1422,2),0)))</f>
        <v/>
      </c>
      <c r="L1422" s="6">
        <f>IF(C1422="","",ROUND(J1422+D1422-E1422-K1422,2))</f>
        <v/>
      </c>
      <c r="M1422" s="6">
        <f>IF(C1422="","",IF('Daily Sale entry '!Q1422="Collection 收款",ROUND(N('Daily Sale entry '!T1422),2),0))</f>
        <v/>
      </c>
    </row>
    <row r="1423">
      <c r="A1423" t="inlineStr">
        <is>
          <t>Entry 记录</t>
        </is>
      </c>
      <c r="B1423" s="5">
        <f>IF('Daily Sale entry '!P1423="","",'Daily Sale entry '!O1423)</f>
        <v/>
      </c>
      <c r="C1423">
        <f>IF('Daily Sale entry '!P1423="","",'Daily Sale entry '!P1423)</f>
        <v/>
      </c>
      <c r="D1423">
        <f>IF(C1423="","",IF('Daily Sale entry '!Q1423="Credit Sale 赊销",'Daily Sale entry '!S1423,0))</f>
        <v/>
      </c>
      <c r="E1423">
        <f>IF(C1423="","",IF('Daily Sale entry '!Q1423="Collection 收款",'Daily Sale entry '!S1423,0))</f>
        <v/>
      </c>
      <c r="F1423" s="37">
        <f>IF(C1423="","",B1423+IF(E1423&gt;0,0,0.5)+ROW()/10000000)</f>
        <v/>
      </c>
      <c r="G1423">
        <f>IF(C1423="","",'Daily Sale entry '!Q1423&amp;IF('Daily Sale entry '!Q1423="Collection 收款"," ("&amp;'Daily Sale entry '!R1423&amp;")","")&amp;IF('Daily Sale entry '!U1423="",""," - "&amp;'Daily Sale entry '!U1423))</f>
        <v/>
      </c>
      <c r="H1423">
        <f>IF(C1423="","",COUNTIFS($C$2:$C$3001,C1423,$F$2:$F$3001,"&lt;"&amp;F1423)+1)</f>
        <v/>
      </c>
      <c r="I1423">
        <f>IF(C1423="","",C1423&amp;"|"&amp;H1423)</f>
        <v/>
      </c>
      <c r="J1423" s="6">
        <f>IF(C1423="","",IF(H1423=1,SUMIFS('Opening Balance'!$F$4:$F$303,'Opening Balance'!$G$4:$G$303,C1423),INDEX($L$2:$L$3001,MATCH(C1423&amp;"|"&amp;(H1423-1),$I$2:$I$3001,0))))</f>
        <v/>
      </c>
      <c r="K1423" s="6">
        <f>IF(C1423="","",IF(M1423&gt;0,M1423,IF(AND(E1423&gt;0,ROUND(J1423+D1423-E1423,2)&gt;0,ROUND(J1423+D1423-E1423,2)&lt;'Opening Balance'!$B$14),ROUND(J1423+D1423-E1423,2),0)))</f>
        <v/>
      </c>
      <c r="L1423" s="6">
        <f>IF(C1423="","",ROUND(J1423+D1423-E1423-K1423,2))</f>
        <v/>
      </c>
      <c r="M1423" s="6">
        <f>IF(C1423="","",IF('Daily Sale entry '!Q1423="Collection 收款",ROUND(N('Daily Sale entry '!T1423),2),0))</f>
        <v/>
      </c>
    </row>
    <row r="1424">
      <c r="A1424" t="inlineStr">
        <is>
          <t>Entry 记录</t>
        </is>
      </c>
      <c r="B1424" s="5">
        <f>IF('Daily Sale entry '!P1424="","",'Daily Sale entry '!O1424)</f>
        <v/>
      </c>
      <c r="C1424">
        <f>IF('Daily Sale entry '!P1424="","",'Daily Sale entry '!P1424)</f>
        <v/>
      </c>
      <c r="D1424">
        <f>IF(C1424="","",IF('Daily Sale entry '!Q1424="Credit Sale 赊销",'Daily Sale entry '!S1424,0))</f>
        <v/>
      </c>
      <c r="E1424">
        <f>IF(C1424="","",IF('Daily Sale entry '!Q1424="Collection 收款",'Daily Sale entry '!S1424,0))</f>
        <v/>
      </c>
      <c r="F1424" s="37">
        <f>IF(C1424="","",B1424+IF(E1424&gt;0,0,0.5)+ROW()/10000000)</f>
        <v/>
      </c>
      <c r="G1424">
        <f>IF(C1424="","",'Daily Sale entry '!Q1424&amp;IF('Daily Sale entry '!Q1424="Collection 收款"," ("&amp;'Daily Sale entry '!R1424&amp;")","")&amp;IF('Daily Sale entry '!U1424="",""," - "&amp;'Daily Sale entry '!U1424))</f>
        <v/>
      </c>
      <c r="H1424">
        <f>IF(C1424="","",COUNTIFS($C$2:$C$3001,C1424,$F$2:$F$3001,"&lt;"&amp;F1424)+1)</f>
        <v/>
      </c>
      <c r="I1424">
        <f>IF(C1424="","",C1424&amp;"|"&amp;H1424)</f>
        <v/>
      </c>
      <c r="J1424" s="6">
        <f>IF(C1424="","",IF(H1424=1,SUMIFS('Opening Balance'!$F$4:$F$303,'Opening Balance'!$G$4:$G$303,C1424),INDEX($L$2:$L$3001,MATCH(C1424&amp;"|"&amp;(H1424-1),$I$2:$I$3001,0))))</f>
        <v/>
      </c>
      <c r="K1424" s="6">
        <f>IF(C1424="","",IF(M1424&gt;0,M1424,IF(AND(E1424&gt;0,ROUND(J1424+D1424-E1424,2)&gt;0,ROUND(J1424+D1424-E1424,2)&lt;'Opening Balance'!$B$14),ROUND(J1424+D1424-E1424,2),0)))</f>
        <v/>
      </c>
      <c r="L1424" s="6">
        <f>IF(C1424="","",ROUND(J1424+D1424-E1424-K1424,2))</f>
        <v/>
      </c>
      <c r="M1424" s="6">
        <f>IF(C1424="","",IF('Daily Sale entry '!Q1424="Collection 收款",ROUND(N('Daily Sale entry '!T1424),2),0))</f>
        <v/>
      </c>
    </row>
    <row r="1425">
      <c r="A1425" t="inlineStr">
        <is>
          <t>Entry 记录</t>
        </is>
      </c>
      <c r="B1425" s="5">
        <f>IF('Daily Sale entry '!P1425="","",'Daily Sale entry '!O1425)</f>
        <v/>
      </c>
      <c r="C1425">
        <f>IF('Daily Sale entry '!P1425="","",'Daily Sale entry '!P1425)</f>
        <v/>
      </c>
      <c r="D1425">
        <f>IF(C1425="","",IF('Daily Sale entry '!Q1425="Credit Sale 赊销",'Daily Sale entry '!S1425,0))</f>
        <v/>
      </c>
      <c r="E1425">
        <f>IF(C1425="","",IF('Daily Sale entry '!Q1425="Collection 收款",'Daily Sale entry '!S1425,0))</f>
        <v/>
      </c>
      <c r="F1425" s="37">
        <f>IF(C1425="","",B1425+IF(E1425&gt;0,0,0.5)+ROW()/10000000)</f>
        <v/>
      </c>
      <c r="G1425">
        <f>IF(C1425="","",'Daily Sale entry '!Q1425&amp;IF('Daily Sale entry '!Q1425="Collection 收款"," ("&amp;'Daily Sale entry '!R1425&amp;")","")&amp;IF('Daily Sale entry '!U1425="",""," - "&amp;'Daily Sale entry '!U1425))</f>
        <v/>
      </c>
      <c r="H1425">
        <f>IF(C1425="","",COUNTIFS($C$2:$C$3001,C1425,$F$2:$F$3001,"&lt;"&amp;F1425)+1)</f>
        <v/>
      </c>
      <c r="I1425">
        <f>IF(C1425="","",C1425&amp;"|"&amp;H1425)</f>
        <v/>
      </c>
      <c r="J1425" s="6">
        <f>IF(C1425="","",IF(H1425=1,SUMIFS('Opening Balance'!$F$4:$F$303,'Opening Balance'!$G$4:$G$303,C1425),INDEX($L$2:$L$3001,MATCH(C1425&amp;"|"&amp;(H1425-1),$I$2:$I$3001,0))))</f>
        <v/>
      </c>
      <c r="K1425" s="6">
        <f>IF(C1425="","",IF(M1425&gt;0,M1425,IF(AND(E1425&gt;0,ROUND(J1425+D1425-E1425,2)&gt;0,ROUND(J1425+D1425-E1425,2)&lt;'Opening Balance'!$B$14),ROUND(J1425+D1425-E1425,2),0)))</f>
        <v/>
      </c>
      <c r="L1425" s="6">
        <f>IF(C1425="","",ROUND(J1425+D1425-E1425-K1425,2))</f>
        <v/>
      </c>
      <c r="M1425" s="6">
        <f>IF(C1425="","",IF('Daily Sale entry '!Q1425="Collection 收款",ROUND(N('Daily Sale entry '!T1425),2),0))</f>
        <v/>
      </c>
    </row>
    <row r="1426">
      <c r="A1426" t="inlineStr">
        <is>
          <t>Entry 记录</t>
        </is>
      </c>
      <c r="B1426" s="5">
        <f>IF('Daily Sale entry '!P1426="","",'Daily Sale entry '!O1426)</f>
        <v/>
      </c>
      <c r="C1426">
        <f>IF('Daily Sale entry '!P1426="","",'Daily Sale entry '!P1426)</f>
        <v/>
      </c>
      <c r="D1426">
        <f>IF(C1426="","",IF('Daily Sale entry '!Q1426="Credit Sale 赊销",'Daily Sale entry '!S1426,0))</f>
        <v/>
      </c>
      <c r="E1426">
        <f>IF(C1426="","",IF('Daily Sale entry '!Q1426="Collection 收款",'Daily Sale entry '!S1426,0))</f>
        <v/>
      </c>
      <c r="F1426" s="37">
        <f>IF(C1426="","",B1426+IF(E1426&gt;0,0,0.5)+ROW()/10000000)</f>
        <v/>
      </c>
      <c r="G1426">
        <f>IF(C1426="","",'Daily Sale entry '!Q1426&amp;IF('Daily Sale entry '!Q1426="Collection 收款"," ("&amp;'Daily Sale entry '!R1426&amp;")","")&amp;IF('Daily Sale entry '!U1426="",""," - "&amp;'Daily Sale entry '!U1426))</f>
        <v/>
      </c>
      <c r="H1426">
        <f>IF(C1426="","",COUNTIFS($C$2:$C$3001,C1426,$F$2:$F$3001,"&lt;"&amp;F1426)+1)</f>
        <v/>
      </c>
      <c r="I1426">
        <f>IF(C1426="","",C1426&amp;"|"&amp;H1426)</f>
        <v/>
      </c>
      <c r="J1426" s="6">
        <f>IF(C1426="","",IF(H1426=1,SUMIFS('Opening Balance'!$F$4:$F$303,'Opening Balance'!$G$4:$G$303,C1426),INDEX($L$2:$L$3001,MATCH(C1426&amp;"|"&amp;(H1426-1),$I$2:$I$3001,0))))</f>
        <v/>
      </c>
      <c r="K1426" s="6">
        <f>IF(C1426="","",IF(M1426&gt;0,M1426,IF(AND(E1426&gt;0,ROUND(J1426+D1426-E1426,2)&gt;0,ROUND(J1426+D1426-E1426,2)&lt;'Opening Balance'!$B$14),ROUND(J1426+D1426-E1426,2),0)))</f>
        <v/>
      </c>
      <c r="L1426" s="6">
        <f>IF(C1426="","",ROUND(J1426+D1426-E1426-K1426,2))</f>
        <v/>
      </c>
      <c r="M1426" s="6">
        <f>IF(C1426="","",IF('Daily Sale entry '!Q1426="Collection 收款",ROUND(N('Daily Sale entry '!T1426),2),0))</f>
        <v/>
      </c>
    </row>
    <row r="1427">
      <c r="A1427" t="inlineStr">
        <is>
          <t>Entry 记录</t>
        </is>
      </c>
      <c r="B1427" s="5">
        <f>IF('Daily Sale entry '!P1427="","",'Daily Sale entry '!O1427)</f>
        <v/>
      </c>
      <c r="C1427">
        <f>IF('Daily Sale entry '!P1427="","",'Daily Sale entry '!P1427)</f>
        <v/>
      </c>
      <c r="D1427">
        <f>IF(C1427="","",IF('Daily Sale entry '!Q1427="Credit Sale 赊销",'Daily Sale entry '!S1427,0))</f>
        <v/>
      </c>
      <c r="E1427">
        <f>IF(C1427="","",IF('Daily Sale entry '!Q1427="Collection 收款",'Daily Sale entry '!S1427,0))</f>
        <v/>
      </c>
      <c r="F1427" s="37">
        <f>IF(C1427="","",B1427+IF(E1427&gt;0,0,0.5)+ROW()/10000000)</f>
        <v/>
      </c>
      <c r="G1427">
        <f>IF(C1427="","",'Daily Sale entry '!Q1427&amp;IF('Daily Sale entry '!Q1427="Collection 收款"," ("&amp;'Daily Sale entry '!R1427&amp;")","")&amp;IF('Daily Sale entry '!U1427="",""," - "&amp;'Daily Sale entry '!U1427))</f>
        <v/>
      </c>
      <c r="H1427">
        <f>IF(C1427="","",COUNTIFS($C$2:$C$3001,C1427,$F$2:$F$3001,"&lt;"&amp;F1427)+1)</f>
        <v/>
      </c>
      <c r="I1427">
        <f>IF(C1427="","",C1427&amp;"|"&amp;H1427)</f>
        <v/>
      </c>
      <c r="J1427" s="6">
        <f>IF(C1427="","",IF(H1427=1,SUMIFS('Opening Balance'!$F$4:$F$303,'Opening Balance'!$G$4:$G$303,C1427),INDEX($L$2:$L$3001,MATCH(C1427&amp;"|"&amp;(H1427-1),$I$2:$I$3001,0))))</f>
        <v/>
      </c>
      <c r="K1427" s="6">
        <f>IF(C1427="","",IF(M1427&gt;0,M1427,IF(AND(E1427&gt;0,ROUND(J1427+D1427-E1427,2)&gt;0,ROUND(J1427+D1427-E1427,2)&lt;'Opening Balance'!$B$14),ROUND(J1427+D1427-E1427,2),0)))</f>
        <v/>
      </c>
      <c r="L1427" s="6">
        <f>IF(C1427="","",ROUND(J1427+D1427-E1427-K1427,2))</f>
        <v/>
      </c>
      <c r="M1427" s="6">
        <f>IF(C1427="","",IF('Daily Sale entry '!Q1427="Collection 收款",ROUND(N('Daily Sale entry '!T1427),2),0))</f>
        <v/>
      </c>
    </row>
    <row r="1428">
      <c r="A1428" t="inlineStr">
        <is>
          <t>Entry 记录</t>
        </is>
      </c>
      <c r="B1428" s="5">
        <f>IF('Daily Sale entry '!P1428="","",'Daily Sale entry '!O1428)</f>
        <v/>
      </c>
      <c r="C1428">
        <f>IF('Daily Sale entry '!P1428="","",'Daily Sale entry '!P1428)</f>
        <v/>
      </c>
      <c r="D1428">
        <f>IF(C1428="","",IF('Daily Sale entry '!Q1428="Credit Sale 赊销",'Daily Sale entry '!S1428,0))</f>
        <v/>
      </c>
      <c r="E1428">
        <f>IF(C1428="","",IF('Daily Sale entry '!Q1428="Collection 收款",'Daily Sale entry '!S1428,0))</f>
        <v/>
      </c>
      <c r="F1428" s="37">
        <f>IF(C1428="","",B1428+IF(E1428&gt;0,0,0.5)+ROW()/10000000)</f>
        <v/>
      </c>
      <c r="G1428">
        <f>IF(C1428="","",'Daily Sale entry '!Q1428&amp;IF('Daily Sale entry '!Q1428="Collection 收款"," ("&amp;'Daily Sale entry '!R1428&amp;")","")&amp;IF('Daily Sale entry '!U1428="",""," - "&amp;'Daily Sale entry '!U1428))</f>
        <v/>
      </c>
      <c r="H1428">
        <f>IF(C1428="","",COUNTIFS($C$2:$C$3001,C1428,$F$2:$F$3001,"&lt;"&amp;F1428)+1)</f>
        <v/>
      </c>
      <c r="I1428">
        <f>IF(C1428="","",C1428&amp;"|"&amp;H1428)</f>
        <v/>
      </c>
      <c r="J1428" s="6">
        <f>IF(C1428="","",IF(H1428=1,SUMIFS('Opening Balance'!$F$4:$F$303,'Opening Balance'!$G$4:$G$303,C1428),INDEX($L$2:$L$3001,MATCH(C1428&amp;"|"&amp;(H1428-1),$I$2:$I$3001,0))))</f>
        <v/>
      </c>
      <c r="K1428" s="6">
        <f>IF(C1428="","",IF(M1428&gt;0,M1428,IF(AND(E1428&gt;0,ROUND(J1428+D1428-E1428,2)&gt;0,ROUND(J1428+D1428-E1428,2)&lt;'Opening Balance'!$B$14),ROUND(J1428+D1428-E1428,2),0)))</f>
        <v/>
      </c>
      <c r="L1428" s="6">
        <f>IF(C1428="","",ROUND(J1428+D1428-E1428-K1428,2))</f>
        <v/>
      </c>
      <c r="M1428" s="6">
        <f>IF(C1428="","",IF('Daily Sale entry '!Q1428="Collection 收款",ROUND(N('Daily Sale entry '!T1428),2),0))</f>
        <v/>
      </c>
    </row>
    <row r="1429">
      <c r="A1429" t="inlineStr">
        <is>
          <t>Entry 记录</t>
        </is>
      </c>
      <c r="B1429" s="5">
        <f>IF('Daily Sale entry '!P1429="","",'Daily Sale entry '!O1429)</f>
        <v/>
      </c>
      <c r="C1429">
        <f>IF('Daily Sale entry '!P1429="","",'Daily Sale entry '!P1429)</f>
        <v/>
      </c>
      <c r="D1429">
        <f>IF(C1429="","",IF('Daily Sale entry '!Q1429="Credit Sale 赊销",'Daily Sale entry '!S1429,0))</f>
        <v/>
      </c>
      <c r="E1429">
        <f>IF(C1429="","",IF('Daily Sale entry '!Q1429="Collection 收款",'Daily Sale entry '!S1429,0))</f>
        <v/>
      </c>
      <c r="F1429" s="37">
        <f>IF(C1429="","",B1429+IF(E1429&gt;0,0,0.5)+ROW()/10000000)</f>
        <v/>
      </c>
      <c r="G1429">
        <f>IF(C1429="","",'Daily Sale entry '!Q1429&amp;IF('Daily Sale entry '!Q1429="Collection 收款"," ("&amp;'Daily Sale entry '!R1429&amp;")","")&amp;IF('Daily Sale entry '!U1429="",""," - "&amp;'Daily Sale entry '!U1429))</f>
        <v/>
      </c>
      <c r="H1429">
        <f>IF(C1429="","",COUNTIFS($C$2:$C$3001,C1429,$F$2:$F$3001,"&lt;"&amp;F1429)+1)</f>
        <v/>
      </c>
      <c r="I1429">
        <f>IF(C1429="","",C1429&amp;"|"&amp;H1429)</f>
        <v/>
      </c>
      <c r="J1429" s="6">
        <f>IF(C1429="","",IF(H1429=1,SUMIFS('Opening Balance'!$F$4:$F$303,'Opening Balance'!$G$4:$G$303,C1429),INDEX($L$2:$L$3001,MATCH(C1429&amp;"|"&amp;(H1429-1),$I$2:$I$3001,0))))</f>
        <v/>
      </c>
      <c r="K1429" s="6">
        <f>IF(C1429="","",IF(M1429&gt;0,M1429,IF(AND(E1429&gt;0,ROUND(J1429+D1429-E1429,2)&gt;0,ROUND(J1429+D1429-E1429,2)&lt;'Opening Balance'!$B$14),ROUND(J1429+D1429-E1429,2),0)))</f>
        <v/>
      </c>
      <c r="L1429" s="6">
        <f>IF(C1429="","",ROUND(J1429+D1429-E1429-K1429,2))</f>
        <v/>
      </c>
      <c r="M1429" s="6">
        <f>IF(C1429="","",IF('Daily Sale entry '!Q1429="Collection 收款",ROUND(N('Daily Sale entry '!T1429),2),0))</f>
        <v/>
      </c>
    </row>
    <row r="1430">
      <c r="A1430" t="inlineStr">
        <is>
          <t>Entry 记录</t>
        </is>
      </c>
      <c r="B1430" s="5">
        <f>IF('Daily Sale entry '!P1430="","",'Daily Sale entry '!O1430)</f>
        <v/>
      </c>
      <c r="C1430">
        <f>IF('Daily Sale entry '!P1430="","",'Daily Sale entry '!P1430)</f>
        <v/>
      </c>
      <c r="D1430">
        <f>IF(C1430="","",IF('Daily Sale entry '!Q1430="Credit Sale 赊销",'Daily Sale entry '!S1430,0))</f>
        <v/>
      </c>
      <c r="E1430">
        <f>IF(C1430="","",IF('Daily Sale entry '!Q1430="Collection 收款",'Daily Sale entry '!S1430,0))</f>
        <v/>
      </c>
      <c r="F1430" s="37">
        <f>IF(C1430="","",B1430+IF(E1430&gt;0,0,0.5)+ROW()/10000000)</f>
        <v/>
      </c>
      <c r="G1430">
        <f>IF(C1430="","",'Daily Sale entry '!Q1430&amp;IF('Daily Sale entry '!Q1430="Collection 收款"," ("&amp;'Daily Sale entry '!R1430&amp;")","")&amp;IF('Daily Sale entry '!U1430="",""," - "&amp;'Daily Sale entry '!U1430))</f>
        <v/>
      </c>
      <c r="H1430">
        <f>IF(C1430="","",COUNTIFS($C$2:$C$3001,C1430,$F$2:$F$3001,"&lt;"&amp;F1430)+1)</f>
        <v/>
      </c>
      <c r="I1430">
        <f>IF(C1430="","",C1430&amp;"|"&amp;H1430)</f>
        <v/>
      </c>
      <c r="J1430" s="6">
        <f>IF(C1430="","",IF(H1430=1,SUMIFS('Opening Balance'!$F$4:$F$303,'Opening Balance'!$G$4:$G$303,C1430),INDEX($L$2:$L$3001,MATCH(C1430&amp;"|"&amp;(H1430-1),$I$2:$I$3001,0))))</f>
        <v/>
      </c>
      <c r="K1430" s="6">
        <f>IF(C1430="","",IF(M1430&gt;0,M1430,IF(AND(E1430&gt;0,ROUND(J1430+D1430-E1430,2)&gt;0,ROUND(J1430+D1430-E1430,2)&lt;'Opening Balance'!$B$14),ROUND(J1430+D1430-E1430,2),0)))</f>
        <v/>
      </c>
      <c r="L1430" s="6">
        <f>IF(C1430="","",ROUND(J1430+D1430-E1430-K1430,2))</f>
        <v/>
      </c>
      <c r="M1430" s="6">
        <f>IF(C1430="","",IF('Daily Sale entry '!Q1430="Collection 收款",ROUND(N('Daily Sale entry '!T1430),2),0))</f>
        <v/>
      </c>
    </row>
    <row r="1431">
      <c r="A1431" t="inlineStr">
        <is>
          <t>Entry 记录</t>
        </is>
      </c>
      <c r="B1431" s="5">
        <f>IF('Daily Sale entry '!P1431="","",'Daily Sale entry '!O1431)</f>
        <v/>
      </c>
      <c r="C1431">
        <f>IF('Daily Sale entry '!P1431="","",'Daily Sale entry '!P1431)</f>
        <v/>
      </c>
      <c r="D1431">
        <f>IF(C1431="","",IF('Daily Sale entry '!Q1431="Credit Sale 赊销",'Daily Sale entry '!S1431,0))</f>
        <v/>
      </c>
      <c r="E1431">
        <f>IF(C1431="","",IF('Daily Sale entry '!Q1431="Collection 收款",'Daily Sale entry '!S1431,0))</f>
        <v/>
      </c>
      <c r="F1431" s="37">
        <f>IF(C1431="","",B1431+IF(E1431&gt;0,0,0.5)+ROW()/10000000)</f>
        <v/>
      </c>
      <c r="G1431">
        <f>IF(C1431="","",'Daily Sale entry '!Q1431&amp;IF('Daily Sale entry '!Q1431="Collection 收款"," ("&amp;'Daily Sale entry '!R1431&amp;")","")&amp;IF('Daily Sale entry '!U1431="",""," - "&amp;'Daily Sale entry '!U1431))</f>
        <v/>
      </c>
      <c r="H1431">
        <f>IF(C1431="","",COUNTIFS($C$2:$C$3001,C1431,$F$2:$F$3001,"&lt;"&amp;F1431)+1)</f>
        <v/>
      </c>
      <c r="I1431">
        <f>IF(C1431="","",C1431&amp;"|"&amp;H1431)</f>
        <v/>
      </c>
      <c r="J1431" s="6">
        <f>IF(C1431="","",IF(H1431=1,SUMIFS('Opening Balance'!$F$4:$F$303,'Opening Balance'!$G$4:$G$303,C1431),INDEX($L$2:$L$3001,MATCH(C1431&amp;"|"&amp;(H1431-1),$I$2:$I$3001,0))))</f>
        <v/>
      </c>
      <c r="K1431" s="6">
        <f>IF(C1431="","",IF(M1431&gt;0,M1431,IF(AND(E1431&gt;0,ROUND(J1431+D1431-E1431,2)&gt;0,ROUND(J1431+D1431-E1431,2)&lt;'Opening Balance'!$B$14),ROUND(J1431+D1431-E1431,2),0)))</f>
        <v/>
      </c>
      <c r="L1431" s="6">
        <f>IF(C1431="","",ROUND(J1431+D1431-E1431-K1431,2))</f>
        <v/>
      </c>
      <c r="M1431" s="6">
        <f>IF(C1431="","",IF('Daily Sale entry '!Q1431="Collection 收款",ROUND(N('Daily Sale entry '!T1431),2),0))</f>
        <v/>
      </c>
    </row>
    <row r="1432">
      <c r="A1432" t="inlineStr">
        <is>
          <t>Entry 记录</t>
        </is>
      </c>
      <c r="B1432" s="5">
        <f>IF('Daily Sale entry '!P1432="","",'Daily Sale entry '!O1432)</f>
        <v/>
      </c>
      <c r="C1432">
        <f>IF('Daily Sale entry '!P1432="","",'Daily Sale entry '!P1432)</f>
        <v/>
      </c>
      <c r="D1432">
        <f>IF(C1432="","",IF('Daily Sale entry '!Q1432="Credit Sale 赊销",'Daily Sale entry '!S1432,0))</f>
        <v/>
      </c>
      <c r="E1432">
        <f>IF(C1432="","",IF('Daily Sale entry '!Q1432="Collection 收款",'Daily Sale entry '!S1432,0))</f>
        <v/>
      </c>
      <c r="F1432" s="37">
        <f>IF(C1432="","",B1432+IF(E1432&gt;0,0,0.5)+ROW()/10000000)</f>
        <v/>
      </c>
      <c r="G1432">
        <f>IF(C1432="","",'Daily Sale entry '!Q1432&amp;IF('Daily Sale entry '!Q1432="Collection 收款"," ("&amp;'Daily Sale entry '!R1432&amp;")","")&amp;IF('Daily Sale entry '!U1432="",""," - "&amp;'Daily Sale entry '!U1432))</f>
        <v/>
      </c>
      <c r="H1432">
        <f>IF(C1432="","",COUNTIFS($C$2:$C$3001,C1432,$F$2:$F$3001,"&lt;"&amp;F1432)+1)</f>
        <v/>
      </c>
      <c r="I1432">
        <f>IF(C1432="","",C1432&amp;"|"&amp;H1432)</f>
        <v/>
      </c>
      <c r="J1432" s="6">
        <f>IF(C1432="","",IF(H1432=1,SUMIFS('Opening Balance'!$F$4:$F$303,'Opening Balance'!$G$4:$G$303,C1432),INDEX($L$2:$L$3001,MATCH(C1432&amp;"|"&amp;(H1432-1),$I$2:$I$3001,0))))</f>
        <v/>
      </c>
      <c r="K1432" s="6">
        <f>IF(C1432="","",IF(M1432&gt;0,M1432,IF(AND(E1432&gt;0,ROUND(J1432+D1432-E1432,2)&gt;0,ROUND(J1432+D1432-E1432,2)&lt;'Opening Balance'!$B$14),ROUND(J1432+D1432-E1432,2),0)))</f>
        <v/>
      </c>
      <c r="L1432" s="6">
        <f>IF(C1432="","",ROUND(J1432+D1432-E1432-K1432,2))</f>
        <v/>
      </c>
      <c r="M1432" s="6">
        <f>IF(C1432="","",IF('Daily Sale entry '!Q1432="Collection 收款",ROUND(N('Daily Sale entry '!T1432),2),0))</f>
        <v/>
      </c>
    </row>
    <row r="1433">
      <c r="A1433" t="inlineStr">
        <is>
          <t>Entry 记录</t>
        </is>
      </c>
      <c r="B1433" s="5">
        <f>IF('Daily Sale entry '!P1433="","",'Daily Sale entry '!O1433)</f>
        <v/>
      </c>
      <c r="C1433">
        <f>IF('Daily Sale entry '!P1433="","",'Daily Sale entry '!P1433)</f>
        <v/>
      </c>
      <c r="D1433">
        <f>IF(C1433="","",IF('Daily Sale entry '!Q1433="Credit Sale 赊销",'Daily Sale entry '!S1433,0))</f>
        <v/>
      </c>
      <c r="E1433">
        <f>IF(C1433="","",IF('Daily Sale entry '!Q1433="Collection 收款",'Daily Sale entry '!S1433,0))</f>
        <v/>
      </c>
      <c r="F1433" s="37">
        <f>IF(C1433="","",B1433+IF(E1433&gt;0,0,0.5)+ROW()/10000000)</f>
        <v/>
      </c>
      <c r="G1433">
        <f>IF(C1433="","",'Daily Sale entry '!Q1433&amp;IF('Daily Sale entry '!Q1433="Collection 收款"," ("&amp;'Daily Sale entry '!R1433&amp;")","")&amp;IF('Daily Sale entry '!U1433="",""," - "&amp;'Daily Sale entry '!U1433))</f>
        <v/>
      </c>
      <c r="H1433">
        <f>IF(C1433="","",COUNTIFS($C$2:$C$3001,C1433,$F$2:$F$3001,"&lt;"&amp;F1433)+1)</f>
        <v/>
      </c>
      <c r="I1433">
        <f>IF(C1433="","",C1433&amp;"|"&amp;H1433)</f>
        <v/>
      </c>
      <c r="J1433" s="6">
        <f>IF(C1433="","",IF(H1433=1,SUMIFS('Opening Balance'!$F$4:$F$303,'Opening Balance'!$G$4:$G$303,C1433),INDEX($L$2:$L$3001,MATCH(C1433&amp;"|"&amp;(H1433-1),$I$2:$I$3001,0))))</f>
        <v/>
      </c>
      <c r="K1433" s="6">
        <f>IF(C1433="","",IF(M1433&gt;0,M1433,IF(AND(E1433&gt;0,ROUND(J1433+D1433-E1433,2)&gt;0,ROUND(J1433+D1433-E1433,2)&lt;'Opening Balance'!$B$14),ROUND(J1433+D1433-E1433,2),0)))</f>
        <v/>
      </c>
      <c r="L1433" s="6">
        <f>IF(C1433="","",ROUND(J1433+D1433-E1433-K1433,2))</f>
        <v/>
      </c>
      <c r="M1433" s="6">
        <f>IF(C1433="","",IF('Daily Sale entry '!Q1433="Collection 收款",ROUND(N('Daily Sale entry '!T1433),2),0))</f>
        <v/>
      </c>
    </row>
    <row r="1434">
      <c r="A1434" t="inlineStr">
        <is>
          <t>Entry 记录</t>
        </is>
      </c>
      <c r="B1434" s="5">
        <f>IF('Daily Sale entry '!P1434="","",'Daily Sale entry '!O1434)</f>
        <v/>
      </c>
      <c r="C1434">
        <f>IF('Daily Sale entry '!P1434="","",'Daily Sale entry '!P1434)</f>
        <v/>
      </c>
      <c r="D1434">
        <f>IF(C1434="","",IF('Daily Sale entry '!Q1434="Credit Sale 赊销",'Daily Sale entry '!S1434,0))</f>
        <v/>
      </c>
      <c r="E1434">
        <f>IF(C1434="","",IF('Daily Sale entry '!Q1434="Collection 收款",'Daily Sale entry '!S1434,0))</f>
        <v/>
      </c>
      <c r="F1434" s="37">
        <f>IF(C1434="","",B1434+IF(E1434&gt;0,0,0.5)+ROW()/10000000)</f>
        <v/>
      </c>
      <c r="G1434">
        <f>IF(C1434="","",'Daily Sale entry '!Q1434&amp;IF('Daily Sale entry '!Q1434="Collection 收款"," ("&amp;'Daily Sale entry '!R1434&amp;")","")&amp;IF('Daily Sale entry '!U1434="",""," - "&amp;'Daily Sale entry '!U1434))</f>
        <v/>
      </c>
      <c r="H1434">
        <f>IF(C1434="","",COUNTIFS($C$2:$C$3001,C1434,$F$2:$F$3001,"&lt;"&amp;F1434)+1)</f>
        <v/>
      </c>
      <c r="I1434">
        <f>IF(C1434="","",C1434&amp;"|"&amp;H1434)</f>
        <v/>
      </c>
      <c r="J1434" s="6">
        <f>IF(C1434="","",IF(H1434=1,SUMIFS('Opening Balance'!$F$4:$F$303,'Opening Balance'!$G$4:$G$303,C1434),INDEX($L$2:$L$3001,MATCH(C1434&amp;"|"&amp;(H1434-1),$I$2:$I$3001,0))))</f>
        <v/>
      </c>
      <c r="K1434" s="6">
        <f>IF(C1434="","",IF(M1434&gt;0,M1434,IF(AND(E1434&gt;0,ROUND(J1434+D1434-E1434,2)&gt;0,ROUND(J1434+D1434-E1434,2)&lt;'Opening Balance'!$B$14),ROUND(J1434+D1434-E1434,2),0)))</f>
        <v/>
      </c>
      <c r="L1434" s="6">
        <f>IF(C1434="","",ROUND(J1434+D1434-E1434-K1434,2))</f>
        <v/>
      </c>
      <c r="M1434" s="6">
        <f>IF(C1434="","",IF('Daily Sale entry '!Q1434="Collection 收款",ROUND(N('Daily Sale entry '!T1434),2),0))</f>
        <v/>
      </c>
    </row>
    <row r="1435">
      <c r="A1435" t="inlineStr">
        <is>
          <t>Entry 记录</t>
        </is>
      </c>
      <c r="B1435" s="5">
        <f>IF('Daily Sale entry '!P1435="","",'Daily Sale entry '!O1435)</f>
        <v/>
      </c>
      <c r="C1435">
        <f>IF('Daily Sale entry '!P1435="","",'Daily Sale entry '!P1435)</f>
        <v/>
      </c>
      <c r="D1435">
        <f>IF(C1435="","",IF('Daily Sale entry '!Q1435="Credit Sale 赊销",'Daily Sale entry '!S1435,0))</f>
        <v/>
      </c>
      <c r="E1435">
        <f>IF(C1435="","",IF('Daily Sale entry '!Q1435="Collection 收款",'Daily Sale entry '!S1435,0))</f>
        <v/>
      </c>
      <c r="F1435" s="37">
        <f>IF(C1435="","",B1435+IF(E1435&gt;0,0,0.5)+ROW()/10000000)</f>
        <v/>
      </c>
      <c r="G1435">
        <f>IF(C1435="","",'Daily Sale entry '!Q1435&amp;IF('Daily Sale entry '!Q1435="Collection 收款"," ("&amp;'Daily Sale entry '!R1435&amp;")","")&amp;IF('Daily Sale entry '!U1435="",""," - "&amp;'Daily Sale entry '!U1435))</f>
        <v/>
      </c>
      <c r="H1435">
        <f>IF(C1435="","",COUNTIFS($C$2:$C$3001,C1435,$F$2:$F$3001,"&lt;"&amp;F1435)+1)</f>
        <v/>
      </c>
      <c r="I1435">
        <f>IF(C1435="","",C1435&amp;"|"&amp;H1435)</f>
        <v/>
      </c>
      <c r="J1435" s="6">
        <f>IF(C1435="","",IF(H1435=1,SUMIFS('Opening Balance'!$F$4:$F$303,'Opening Balance'!$G$4:$G$303,C1435),INDEX($L$2:$L$3001,MATCH(C1435&amp;"|"&amp;(H1435-1),$I$2:$I$3001,0))))</f>
        <v/>
      </c>
      <c r="K1435" s="6">
        <f>IF(C1435="","",IF(M1435&gt;0,M1435,IF(AND(E1435&gt;0,ROUND(J1435+D1435-E1435,2)&gt;0,ROUND(J1435+D1435-E1435,2)&lt;'Opening Balance'!$B$14),ROUND(J1435+D1435-E1435,2),0)))</f>
        <v/>
      </c>
      <c r="L1435" s="6">
        <f>IF(C1435="","",ROUND(J1435+D1435-E1435-K1435,2))</f>
        <v/>
      </c>
      <c r="M1435" s="6">
        <f>IF(C1435="","",IF('Daily Sale entry '!Q1435="Collection 收款",ROUND(N('Daily Sale entry '!T1435),2),0))</f>
        <v/>
      </c>
    </row>
    <row r="1436">
      <c r="A1436" t="inlineStr">
        <is>
          <t>Entry 记录</t>
        </is>
      </c>
      <c r="B1436" s="5">
        <f>IF('Daily Sale entry '!P1436="","",'Daily Sale entry '!O1436)</f>
        <v/>
      </c>
      <c r="C1436">
        <f>IF('Daily Sale entry '!P1436="","",'Daily Sale entry '!P1436)</f>
        <v/>
      </c>
      <c r="D1436">
        <f>IF(C1436="","",IF('Daily Sale entry '!Q1436="Credit Sale 赊销",'Daily Sale entry '!S1436,0))</f>
        <v/>
      </c>
      <c r="E1436">
        <f>IF(C1436="","",IF('Daily Sale entry '!Q1436="Collection 收款",'Daily Sale entry '!S1436,0))</f>
        <v/>
      </c>
      <c r="F1436" s="37">
        <f>IF(C1436="","",B1436+IF(E1436&gt;0,0,0.5)+ROW()/10000000)</f>
        <v/>
      </c>
      <c r="G1436">
        <f>IF(C1436="","",'Daily Sale entry '!Q1436&amp;IF('Daily Sale entry '!Q1436="Collection 收款"," ("&amp;'Daily Sale entry '!R1436&amp;")","")&amp;IF('Daily Sale entry '!U1436="",""," - "&amp;'Daily Sale entry '!U1436))</f>
        <v/>
      </c>
      <c r="H1436">
        <f>IF(C1436="","",COUNTIFS($C$2:$C$3001,C1436,$F$2:$F$3001,"&lt;"&amp;F1436)+1)</f>
        <v/>
      </c>
      <c r="I1436">
        <f>IF(C1436="","",C1436&amp;"|"&amp;H1436)</f>
        <v/>
      </c>
      <c r="J1436" s="6">
        <f>IF(C1436="","",IF(H1436=1,SUMIFS('Opening Balance'!$F$4:$F$303,'Opening Balance'!$G$4:$G$303,C1436),INDEX($L$2:$L$3001,MATCH(C1436&amp;"|"&amp;(H1436-1),$I$2:$I$3001,0))))</f>
        <v/>
      </c>
      <c r="K1436" s="6">
        <f>IF(C1436="","",IF(M1436&gt;0,M1436,IF(AND(E1436&gt;0,ROUND(J1436+D1436-E1436,2)&gt;0,ROUND(J1436+D1436-E1436,2)&lt;'Opening Balance'!$B$14),ROUND(J1436+D1436-E1436,2),0)))</f>
        <v/>
      </c>
      <c r="L1436" s="6">
        <f>IF(C1436="","",ROUND(J1436+D1436-E1436-K1436,2))</f>
        <v/>
      </c>
      <c r="M1436" s="6">
        <f>IF(C1436="","",IF('Daily Sale entry '!Q1436="Collection 收款",ROUND(N('Daily Sale entry '!T1436),2),0))</f>
        <v/>
      </c>
    </row>
    <row r="1437">
      <c r="A1437" t="inlineStr">
        <is>
          <t>Entry 记录</t>
        </is>
      </c>
      <c r="B1437" s="5">
        <f>IF('Daily Sale entry '!P1437="","",'Daily Sale entry '!O1437)</f>
        <v/>
      </c>
      <c r="C1437">
        <f>IF('Daily Sale entry '!P1437="","",'Daily Sale entry '!P1437)</f>
        <v/>
      </c>
      <c r="D1437">
        <f>IF(C1437="","",IF('Daily Sale entry '!Q1437="Credit Sale 赊销",'Daily Sale entry '!S1437,0))</f>
        <v/>
      </c>
      <c r="E1437">
        <f>IF(C1437="","",IF('Daily Sale entry '!Q1437="Collection 收款",'Daily Sale entry '!S1437,0))</f>
        <v/>
      </c>
      <c r="F1437" s="37">
        <f>IF(C1437="","",B1437+IF(E1437&gt;0,0,0.5)+ROW()/10000000)</f>
        <v/>
      </c>
      <c r="G1437">
        <f>IF(C1437="","",'Daily Sale entry '!Q1437&amp;IF('Daily Sale entry '!Q1437="Collection 收款"," ("&amp;'Daily Sale entry '!R1437&amp;")","")&amp;IF('Daily Sale entry '!U1437="",""," - "&amp;'Daily Sale entry '!U1437))</f>
        <v/>
      </c>
      <c r="H1437">
        <f>IF(C1437="","",COUNTIFS($C$2:$C$3001,C1437,$F$2:$F$3001,"&lt;"&amp;F1437)+1)</f>
        <v/>
      </c>
      <c r="I1437">
        <f>IF(C1437="","",C1437&amp;"|"&amp;H1437)</f>
        <v/>
      </c>
      <c r="J1437" s="6">
        <f>IF(C1437="","",IF(H1437=1,SUMIFS('Opening Balance'!$F$4:$F$303,'Opening Balance'!$G$4:$G$303,C1437),INDEX($L$2:$L$3001,MATCH(C1437&amp;"|"&amp;(H1437-1),$I$2:$I$3001,0))))</f>
        <v/>
      </c>
      <c r="K1437" s="6">
        <f>IF(C1437="","",IF(M1437&gt;0,M1437,IF(AND(E1437&gt;0,ROUND(J1437+D1437-E1437,2)&gt;0,ROUND(J1437+D1437-E1437,2)&lt;'Opening Balance'!$B$14),ROUND(J1437+D1437-E1437,2),0)))</f>
        <v/>
      </c>
      <c r="L1437" s="6">
        <f>IF(C1437="","",ROUND(J1437+D1437-E1437-K1437,2))</f>
        <v/>
      </c>
      <c r="M1437" s="6">
        <f>IF(C1437="","",IF('Daily Sale entry '!Q1437="Collection 收款",ROUND(N('Daily Sale entry '!T1437),2),0))</f>
        <v/>
      </c>
    </row>
    <row r="1438">
      <c r="A1438" t="inlineStr">
        <is>
          <t>Entry 记录</t>
        </is>
      </c>
      <c r="B1438" s="5">
        <f>IF('Daily Sale entry '!P1438="","",'Daily Sale entry '!O1438)</f>
        <v/>
      </c>
      <c r="C1438">
        <f>IF('Daily Sale entry '!P1438="","",'Daily Sale entry '!P1438)</f>
        <v/>
      </c>
      <c r="D1438">
        <f>IF(C1438="","",IF('Daily Sale entry '!Q1438="Credit Sale 赊销",'Daily Sale entry '!S1438,0))</f>
        <v/>
      </c>
      <c r="E1438">
        <f>IF(C1438="","",IF('Daily Sale entry '!Q1438="Collection 收款",'Daily Sale entry '!S1438,0))</f>
        <v/>
      </c>
      <c r="F1438" s="37">
        <f>IF(C1438="","",B1438+IF(E1438&gt;0,0,0.5)+ROW()/10000000)</f>
        <v/>
      </c>
      <c r="G1438">
        <f>IF(C1438="","",'Daily Sale entry '!Q1438&amp;IF('Daily Sale entry '!Q1438="Collection 收款"," ("&amp;'Daily Sale entry '!R1438&amp;")","")&amp;IF('Daily Sale entry '!U1438="",""," - "&amp;'Daily Sale entry '!U1438))</f>
        <v/>
      </c>
      <c r="H1438">
        <f>IF(C1438="","",COUNTIFS($C$2:$C$3001,C1438,$F$2:$F$3001,"&lt;"&amp;F1438)+1)</f>
        <v/>
      </c>
      <c r="I1438">
        <f>IF(C1438="","",C1438&amp;"|"&amp;H1438)</f>
        <v/>
      </c>
      <c r="J1438" s="6">
        <f>IF(C1438="","",IF(H1438=1,SUMIFS('Opening Balance'!$F$4:$F$303,'Opening Balance'!$G$4:$G$303,C1438),INDEX($L$2:$L$3001,MATCH(C1438&amp;"|"&amp;(H1438-1),$I$2:$I$3001,0))))</f>
        <v/>
      </c>
      <c r="K1438" s="6">
        <f>IF(C1438="","",IF(M1438&gt;0,M1438,IF(AND(E1438&gt;0,ROUND(J1438+D1438-E1438,2)&gt;0,ROUND(J1438+D1438-E1438,2)&lt;'Opening Balance'!$B$14),ROUND(J1438+D1438-E1438,2),0)))</f>
        <v/>
      </c>
      <c r="L1438" s="6">
        <f>IF(C1438="","",ROUND(J1438+D1438-E1438-K1438,2))</f>
        <v/>
      </c>
      <c r="M1438" s="6">
        <f>IF(C1438="","",IF('Daily Sale entry '!Q1438="Collection 收款",ROUND(N('Daily Sale entry '!T1438),2),0))</f>
        <v/>
      </c>
    </row>
    <row r="1439">
      <c r="A1439" t="inlineStr">
        <is>
          <t>Entry 记录</t>
        </is>
      </c>
      <c r="B1439" s="5">
        <f>IF('Daily Sale entry '!P1439="","",'Daily Sale entry '!O1439)</f>
        <v/>
      </c>
      <c r="C1439">
        <f>IF('Daily Sale entry '!P1439="","",'Daily Sale entry '!P1439)</f>
        <v/>
      </c>
      <c r="D1439">
        <f>IF(C1439="","",IF('Daily Sale entry '!Q1439="Credit Sale 赊销",'Daily Sale entry '!S1439,0))</f>
        <v/>
      </c>
      <c r="E1439">
        <f>IF(C1439="","",IF('Daily Sale entry '!Q1439="Collection 收款",'Daily Sale entry '!S1439,0))</f>
        <v/>
      </c>
      <c r="F1439" s="37">
        <f>IF(C1439="","",B1439+IF(E1439&gt;0,0,0.5)+ROW()/10000000)</f>
        <v/>
      </c>
      <c r="G1439">
        <f>IF(C1439="","",'Daily Sale entry '!Q1439&amp;IF('Daily Sale entry '!Q1439="Collection 收款"," ("&amp;'Daily Sale entry '!R1439&amp;")","")&amp;IF('Daily Sale entry '!U1439="",""," - "&amp;'Daily Sale entry '!U1439))</f>
        <v/>
      </c>
      <c r="H1439">
        <f>IF(C1439="","",COUNTIFS($C$2:$C$3001,C1439,$F$2:$F$3001,"&lt;"&amp;F1439)+1)</f>
        <v/>
      </c>
      <c r="I1439">
        <f>IF(C1439="","",C1439&amp;"|"&amp;H1439)</f>
        <v/>
      </c>
      <c r="J1439" s="6">
        <f>IF(C1439="","",IF(H1439=1,SUMIFS('Opening Balance'!$F$4:$F$303,'Opening Balance'!$G$4:$G$303,C1439),INDEX($L$2:$L$3001,MATCH(C1439&amp;"|"&amp;(H1439-1),$I$2:$I$3001,0))))</f>
        <v/>
      </c>
      <c r="K1439" s="6">
        <f>IF(C1439="","",IF(M1439&gt;0,M1439,IF(AND(E1439&gt;0,ROUND(J1439+D1439-E1439,2)&gt;0,ROUND(J1439+D1439-E1439,2)&lt;'Opening Balance'!$B$14),ROUND(J1439+D1439-E1439,2),0)))</f>
        <v/>
      </c>
      <c r="L1439" s="6">
        <f>IF(C1439="","",ROUND(J1439+D1439-E1439-K1439,2))</f>
        <v/>
      </c>
      <c r="M1439" s="6">
        <f>IF(C1439="","",IF('Daily Sale entry '!Q1439="Collection 收款",ROUND(N('Daily Sale entry '!T1439),2),0))</f>
        <v/>
      </c>
    </row>
    <row r="1440">
      <c r="A1440" t="inlineStr">
        <is>
          <t>Entry 记录</t>
        </is>
      </c>
      <c r="B1440" s="5">
        <f>IF('Daily Sale entry '!P1440="","",'Daily Sale entry '!O1440)</f>
        <v/>
      </c>
      <c r="C1440">
        <f>IF('Daily Sale entry '!P1440="","",'Daily Sale entry '!P1440)</f>
        <v/>
      </c>
      <c r="D1440">
        <f>IF(C1440="","",IF('Daily Sale entry '!Q1440="Credit Sale 赊销",'Daily Sale entry '!S1440,0))</f>
        <v/>
      </c>
      <c r="E1440">
        <f>IF(C1440="","",IF('Daily Sale entry '!Q1440="Collection 收款",'Daily Sale entry '!S1440,0))</f>
        <v/>
      </c>
      <c r="F1440" s="37">
        <f>IF(C1440="","",B1440+IF(E1440&gt;0,0,0.5)+ROW()/10000000)</f>
        <v/>
      </c>
      <c r="G1440">
        <f>IF(C1440="","",'Daily Sale entry '!Q1440&amp;IF('Daily Sale entry '!Q1440="Collection 收款"," ("&amp;'Daily Sale entry '!R1440&amp;")","")&amp;IF('Daily Sale entry '!U1440="",""," - "&amp;'Daily Sale entry '!U1440))</f>
        <v/>
      </c>
      <c r="H1440">
        <f>IF(C1440="","",COUNTIFS($C$2:$C$3001,C1440,$F$2:$F$3001,"&lt;"&amp;F1440)+1)</f>
        <v/>
      </c>
      <c r="I1440">
        <f>IF(C1440="","",C1440&amp;"|"&amp;H1440)</f>
        <v/>
      </c>
      <c r="J1440" s="6">
        <f>IF(C1440="","",IF(H1440=1,SUMIFS('Opening Balance'!$F$4:$F$303,'Opening Balance'!$G$4:$G$303,C1440),INDEX($L$2:$L$3001,MATCH(C1440&amp;"|"&amp;(H1440-1),$I$2:$I$3001,0))))</f>
        <v/>
      </c>
      <c r="K1440" s="6">
        <f>IF(C1440="","",IF(M1440&gt;0,M1440,IF(AND(E1440&gt;0,ROUND(J1440+D1440-E1440,2)&gt;0,ROUND(J1440+D1440-E1440,2)&lt;'Opening Balance'!$B$14),ROUND(J1440+D1440-E1440,2),0)))</f>
        <v/>
      </c>
      <c r="L1440" s="6">
        <f>IF(C1440="","",ROUND(J1440+D1440-E1440-K1440,2))</f>
        <v/>
      </c>
      <c r="M1440" s="6">
        <f>IF(C1440="","",IF('Daily Sale entry '!Q1440="Collection 收款",ROUND(N('Daily Sale entry '!T1440),2),0))</f>
        <v/>
      </c>
    </row>
    <row r="1441">
      <c r="A1441" t="inlineStr">
        <is>
          <t>Entry 记录</t>
        </is>
      </c>
      <c r="B1441" s="5">
        <f>IF('Daily Sale entry '!P1441="","",'Daily Sale entry '!O1441)</f>
        <v/>
      </c>
      <c r="C1441">
        <f>IF('Daily Sale entry '!P1441="","",'Daily Sale entry '!P1441)</f>
        <v/>
      </c>
      <c r="D1441">
        <f>IF(C1441="","",IF('Daily Sale entry '!Q1441="Credit Sale 赊销",'Daily Sale entry '!S1441,0))</f>
        <v/>
      </c>
      <c r="E1441">
        <f>IF(C1441="","",IF('Daily Sale entry '!Q1441="Collection 收款",'Daily Sale entry '!S1441,0))</f>
        <v/>
      </c>
      <c r="F1441" s="37">
        <f>IF(C1441="","",B1441+IF(E1441&gt;0,0,0.5)+ROW()/10000000)</f>
        <v/>
      </c>
      <c r="G1441">
        <f>IF(C1441="","",'Daily Sale entry '!Q1441&amp;IF('Daily Sale entry '!Q1441="Collection 收款"," ("&amp;'Daily Sale entry '!R1441&amp;")","")&amp;IF('Daily Sale entry '!U1441="",""," - "&amp;'Daily Sale entry '!U1441))</f>
        <v/>
      </c>
      <c r="H1441">
        <f>IF(C1441="","",COUNTIFS($C$2:$C$3001,C1441,$F$2:$F$3001,"&lt;"&amp;F1441)+1)</f>
        <v/>
      </c>
      <c r="I1441">
        <f>IF(C1441="","",C1441&amp;"|"&amp;H1441)</f>
        <v/>
      </c>
      <c r="J1441" s="6">
        <f>IF(C1441="","",IF(H1441=1,SUMIFS('Opening Balance'!$F$4:$F$303,'Opening Balance'!$G$4:$G$303,C1441),INDEX($L$2:$L$3001,MATCH(C1441&amp;"|"&amp;(H1441-1),$I$2:$I$3001,0))))</f>
        <v/>
      </c>
      <c r="K1441" s="6">
        <f>IF(C1441="","",IF(M1441&gt;0,M1441,IF(AND(E1441&gt;0,ROUND(J1441+D1441-E1441,2)&gt;0,ROUND(J1441+D1441-E1441,2)&lt;'Opening Balance'!$B$14),ROUND(J1441+D1441-E1441,2),0)))</f>
        <v/>
      </c>
      <c r="L1441" s="6">
        <f>IF(C1441="","",ROUND(J1441+D1441-E1441-K1441,2))</f>
        <v/>
      </c>
      <c r="M1441" s="6">
        <f>IF(C1441="","",IF('Daily Sale entry '!Q1441="Collection 收款",ROUND(N('Daily Sale entry '!T1441),2),0))</f>
        <v/>
      </c>
    </row>
    <row r="1442">
      <c r="A1442" t="inlineStr">
        <is>
          <t>Entry 记录</t>
        </is>
      </c>
      <c r="B1442" s="5">
        <f>IF('Daily Sale entry '!P1442="","",'Daily Sale entry '!O1442)</f>
        <v/>
      </c>
      <c r="C1442">
        <f>IF('Daily Sale entry '!P1442="","",'Daily Sale entry '!P1442)</f>
        <v/>
      </c>
      <c r="D1442">
        <f>IF(C1442="","",IF('Daily Sale entry '!Q1442="Credit Sale 赊销",'Daily Sale entry '!S1442,0))</f>
        <v/>
      </c>
      <c r="E1442">
        <f>IF(C1442="","",IF('Daily Sale entry '!Q1442="Collection 收款",'Daily Sale entry '!S1442,0))</f>
        <v/>
      </c>
      <c r="F1442" s="37">
        <f>IF(C1442="","",B1442+IF(E1442&gt;0,0,0.5)+ROW()/10000000)</f>
        <v/>
      </c>
      <c r="G1442">
        <f>IF(C1442="","",'Daily Sale entry '!Q1442&amp;IF('Daily Sale entry '!Q1442="Collection 收款"," ("&amp;'Daily Sale entry '!R1442&amp;")","")&amp;IF('Daily Sale entry '!U1442="",""," - "&amp;'Daily Sale entry '!U1442))</f>
        <v/>
      </c>
      <c r="H1442">
        <f>IF(C1442="","",COUNTIFS($C$2:$C$3001,C1442,$F$2:$F$3001,"&lt;"&amp;F1442)+1)</f>
        <v/>
      </c>
      <c r="I1442">
        <f>IF(C1442="","",C1442&amp;"|"&amp;H1442)</f>
        <v/>
      </c>
      <c r="J1442" s="6">
        <f>IF(C1442="","",IF(H1442=1,SUMIFS('Opening Balance'!$F$4:$F$303,'Opening Balance'!$G$4:$G$303,C1442),INDEX($L$2:$L$3001,MATCH(C1442&amp;"|"&amp;(H1442-1),$I$2:$I$3001,0))))</f>
        <v/>
      </c>
      <c r="K1442" s="6">
        <f>IF(C1442="","",IF(M1442&gt;0,M1442,IF(AND(E1442&gt;0,ROUND(J1442+D1442-E1442,2)&gt;0,ROUND(J1442+D1442-E1442,2)&lt;'Opening Balance'!$B$14),ROUND(J1442+D1442-E1442,2),0)))</f>
        <v/>
      </c>
      <c r="L1442" s="6">
        <f>IF(C1442="","",ROUND(J1442+D1442-E1442-K1442,2))</f>
        <v/>
      </c>
      <c r="M1442" s="6">
        <f>IF(C1442="","",IF('Daily Sale entry '!Q1442="Collection 收款",ROUND(N('Daily Sale entry '!T1442),2),0))</f>
        <v/>
      </c>
    </row>
    <row r="1443">
      <c r="A1443" t="inlineStr">
        <is>
          <t>Entry 记录</t>
        </is>
      </c>
      <c r="B1443" s="5">
        <f>IF('Daily Sale entry '!P1443="","",'Daily Sale entry '!O1443)</f>
        <v/>
      </c>
      <c r="C1443">
        <f>IF('Daily Sale entry '!P1443="","",'Daily Sale entry '!P1443)</f>
        <v/>
      </c>
      <c r="D1443">
        <f>IF(C1443="","",IF('Daily Sale entry '!Q1443="Credit Sale 赊销",'Daily Sale entry '!S1443,0))</f>
        <v/>
      </c>
      <c r="E1443">
        <f>IF(C1443="","",IF('Daily Sale entry '!Q1443="Collection 收款",'Daily Sale entry '!S1443,0))</f>
        <v/>
      </c>
      <c r="F1443" s="37">
        <f>IF(C1443="","",B1443+IF(E1443&gt;0,0,0.5)+ROW()/10000000)</f>
        <v/>
      </c>
      <c r="G1443">
        <f>IF(C1443="","",'Daily Sale entry '!Q1443&amp;IF('Daily Sale entry '!Q1443="Collection 收款"," ("&amp;'Daily Sale entry '!R1443&amp;")","")&amp;IF('Daily Sale entry '!U1443="",""," - "&amp;'Daily Sale entry '!U1443))</f>
        <v/>
      </c>
      <c r="H1443">
        <f>IF(C1443="","",COUNTIFS($C$2:$C$3001,C1443,$F$2:$F$3001,"&lt;"&amp;F1443)+1)</f>
        <v/>
      </c>
      <c r="I1443">
        <f>IF(C1443="","",C1443&amp;"|"&amp;H1443)</f>
        <v/>
      </c>
      <c r="J1443" s="6">
        <f>IF(C1443="","",IF(H1443=1,SUMIFS('Opening Balance'!$F$4:$F$303,'Opening Balance'!$G$4:$G$303,C1443),INDEX($L$2:$L$3001,MATCH(C1443&amp;"|"&amp;(H1443-1),$I$2:$I$3001,0))))</f>
        <v/>
      </c>
      <c r="K1443" s="6">
        <f>IF(C1443="","",IF(M1443&gt;0,M1443,IF(AND(E1443&gt;0,ROUND(J1443+D1443-E1443,2)&gt;0,ROUND(J1443+D1443-E1443,2)&lt;'Opening Balance'!$B$14),ROUND(J1443+D1443-E1443,2),0)))</f>
        <v/>
      </c>
      <c r="L1443" s="6">
        <f>IF(C1443="","",ROUND(J1443+D1443-E1443-K1443,2))</f>
        <v/>
      </c>
      <c r="M1443" s="6">
        <f>IF(C1443="","",IF('Daily Sale entry '!Q1443="Collection 收款",ROUND(N('Daily Sale entry '!T1443),2),0))</f>
        <v/>
      </c>
    </row>
    <row r="1444">
      <c r="A1444" t="inlineStr">
        <is>
          <t>Entry 记录</t>
        </is>
      </c>
      <c r="B1444" s="5">
        <f>IF('Daily Sale entry '!P1444="","",'Daily Sale entry '!O1444)</f>
        <v/>
      </c>
      <c r="C1444">
        <f>IF('Daily Sale entry '!P1444="","",'Daily Sale entry '!P1444)</f>
        <v/>
      </c>
      <c r="D1444">
        <f>IF(C1444="","",IF('Daily Sale entry '!Q1444="Credit Sale 赊销",'Daily Sale entry '!S1444,0))</f>
        <v/>
      </c>
      <c r="E1444">
        <f>IF(C1444="","",IF('Daily Sale entry '!Q1444="Collection 收款",'Daily Sale entry '!S1444,0))</f>
        <v/>
      </c>
      <c r="F1444" s="37">
        <f>IF(C1444="","",B1444+IF(E1444&gt;0,0,0.5)+ROW()/10000000)</f>
        <v/>
      </c>
      <c r="G1444">
        <f>IF(C1444="","",'Daily Sale entry '!Q1444&amp;IF('Daily Sale entry '!Q1444="Collection 收款"," ("&amp;'Daily Sale entry '!R1444&amp;")","")&amp;IF('Daily Sale entry '!U1444="",""," - "&amp;'Daily Sale entry '!U1444))</f>
        <v/>
      </c>
      <c r="H1444">
        <f>IF(C1444="","",COUNTIFS($C$2:$C$3001,C1444,$F$2:$F$3001,"&lt;"&amp;F1444)+1)</f>
        <v/>
      </c>
      <c r="I1444">
        <f>IF(C1444="","",C1444&amp;"|"&amp;H1444)</f>
        <v/>
      </c>
      <c r="J1444" s="6">
        <f>IF(C1444="","",IF(H1444=1,SUMIFS('Opening Balance'!$F$4:$F$303,'Opening Balance'!$G$4:$G$303,C1444),INDEX($L$2:$L$3001,MATCH(C1444&amp;"|"&amp;(H1444-1),$I$2:$I$3001,0))))</f>
        <v/>
      </c>
      <c r="K1444" s="6">
        <f>IF(C1444="","",IF(M1444&gt;0,M1444,IF(AND(E1444&gt;0,ROUND(J1444+D1444-E1444,2)&gt;0,ROUND(J1444+D1444-E1444,2)&lt;'Opening Balance'!$B$14),ROUND(J1444+D1444-E1444,2),0)))</f>
        <v/>
      </c>
      <c r="L1444" s="6">
        <f>IF(C1444="","",ROUND(J1444+D1444-E1444-K1444,2))</f>
        <v/>
      </c>
      <c r="M1444" s="6">
        <f>IF(C1444="","",IF('Daily Sale entry '!Q1444="Collection 收款",ROUND(N('Daily Sale entry '!T1444),2),0))</f>
        <v/>
      </c>
    </row>
    <row r="1445">
      <c r="A1445" t="inlineStr">
        <is>
          <t>Entry 记录</t>
        </is>
      </c>
      <c r="B1445" s="5">
        <f>IF('Daily Sale entry '!P1445="","",'Daily Sale entry '!O1445)</f>
        <v/>
      </c>
      <c r="C1445">
        <f>IF('Daily Sale entry '!P1445="","",'Daily Sale entry '!P1445)</f>
        <v/>
      </c>
      <c r="D1445">
        <f>IF(C1445="","",IF('Daily Sale entry '!Q1445="Credit Sale 赊销",'Daily Sale entry '!S1445,0))</f>
        <v/>
      </c>
      <c r="E1445">
        <f>IF(C1445="","",IF('Daily Sale entry '!Q1445="Collection 收款",'Daily Sale entry '!S1445,0))</f>
        <v/>
      </c>
      <c r="F1445" s="37">
        <f>IF(C1445="","",B1445+IF(E1445&gt;0,0,0.5)+ROW()/10000000)</f>
        <v/>
      </c>
      <c r="G1445">
        <f>IF(C1445="","",'Daily Sale entry '!Q1445&amp;IF('Daily Sale entry '!Q1445="Collection 收款"," ("&amp;'Daily Sale entry '!R1445&amp;")","")&amp;IF('Daily Sale entry '!U1445="",""," - "&amp;'Daily Sale entry '!U1445))</f>
        <v/>
      </c>
      <c r="H1445">
        <f>IF(C1445="","",COUNTIFS($C$2:$C$3001,C1445,$F$2:$F$3001,"&lt;"&amp;F1445)+1)</f>
        <v/>
      </c>
      <c r="I1445">
        <f>IF(C1445="","",C1445&amp;"|"&amp;H1445)</f>
        <v/>
      </c>
      <c r="J1445" s="6">
        <f>IF(C1445="","",IF(H1445=1,SUMIFS('Opening Balance'!$F$4:$F$303,'Opening Balance'!$G$4:$G$303,C1445),INDEX($L$2:$L$3001,MATCH(C1445&amp;"|"&amp;(H1445-1),$I$2:$I$3001,0))))</f>
        <v/>
      </c>
      <c r="K1445" s="6">
        <f>IF(C1445="","",IF(M1445&gt;0,M1445,IF(AND(E1445&gt;0,ROUND(J1445+D1445-E1445,2)&gt;0,ROUND(J1445+D1445-E1445,2)&lt;'Opening Balance'!$B$14),ROUND(J1445+D1445-E1445,2),0)))</f>
        <v/>
      </c>
      <c r="L1445" s="6">
        <f>IF(C1445="","",ROUND(J1445+D1445-E1445-K1445,2))</f>
        <v/>
      </c>
      <c r="M1445" s="6">
        <f>IF(C1445="","",IF('Daily Sale entry '!Q1445="Collection 收款",ROUND(N('Daily Sale entry '!T1445),2),0))</f>
        <v/>
      </c>
    </row>
    <row r="1446">
      <c r="A1446" t="inlineStr">
        <is>
          <t>Entry 记录</t>
        </is>
      </c>
      <c r="B1446" s="5">
        <f>IF('Daily Sale entry '!P1446="","",'Daily Sale entry '!O1446)</f>
        <v/>
      </c>
      <c r="C1446">
        <f>IF('Daily Sale entry '!P1446="","",'Daily Sale entry '!P1446)</f>
        <v/>
      </c>
      <c r="D1446">
        <f>IF(C1446="","",IF('Daily Sale entry '!Q1446="Credit Sale 赊销",'Daily Sale entry '!S1446,0))</f>
        <v/>
      </c>
      <c r="E1446">
        <f>IF(C1446="","",IF('Daily Sale entry '!Q1446="Collection 收款",'Daily Sale entry '!S1446,0))</f>
        <v/>
      </c>
      <c r="F1446" s="37">
        <f>IF(C1446="","",B1446+IF(E1446&gt;0,0,0.5)+ROW()/10000000)</f>
        <v/>
      </c>
      <c r="G1446">
        <f>IF(C1446="","",'Daily Sale entry '!Q1446&amp;IF('Daily Sale entry '!Q1446="Collection 收款"," ("&amp;'Daily Sale entry '!R1446&amp;")","")&amp;IF('Daily Sale entry '!U1446="",""," - "&amp;'Daily Sale entry '!U1446))</f>
        <v/>
      </c>
      <c r="H1446">
        <f>IF(C1446="","",COUNTIFS($C$2:$C$3001,C1446,$F$2:$F$3001,"&lt;"&amp;F1446)+1)</f>
        <v/>
      </c>
      <c r="I1446">
        <f>IF(C1446="","",C1446&amp;"|"&amp;H1446)</f>
        <v/>
      </c>
      <c r="J1446" s="6">
        <f>IF(C1446="","",IF(H1446=1,SUMIFS('Opening Balance'!$F$4:$F$303,'Opening Balance'!$G$4:$G$303,C1446),INDEX($L$2:$L$3001,MATCH(C1446&amp;"|"&amp;(H1446-1),$I$2:$I$3001,0))))</f>
        <v/>
      </c>
      <c r="K1446" s="6">
        <f>IF(C1446="","",IF(M1446&gt;0,M1446,IF(AND(E1446&gt;0,ROUND(J1446+D1446-E1446,2)&gt;0,ROUND(J1446+D1446-E1446,2)&lt;'Opening Balance'!$B$14),ROUND(J1446+D1446-E1446,2),0)))</f>
        <v/>
      </c>
      <c r="L1446" s="6">
        <f>IF(C1446="","",ROUND(J1446+D1446-E1446-K1446,2))</f>
        <v/>
      </c>
      <c r="M1446" s="6">
        <f>IF(C1446="","",IF('Daily Sale entry '!Q1446="Collection 收款",ROUND(N('Daily Sale entry '!T1446),2),0))</f>
        <v/>
      </c>
    </row>
    <row r="1447">
      <c r="A1447" t="inlineStr">
        <is>
          <t>Entry 记录</t>
        </is>
      </c>
      <c r="B1447" s="5">
        <f>IF('Daily Sale entry '!P1447="","",'Daily Sale entry '!O1447)</f>
        <v/>
      </c>
      <c r="C1447">
        <f>IF('Daily Sale entry '!P1447="","",'Daily Sale entry '!P1447)</f>
        <v/>
      </c>
      <c r="D1447">
        <f>IF(C1447="","",IF('Daily Sale entry '!Q1447="Credit Sale 赊销",'Daily Sale entry '!S1447,0))</f>
        <v/>
      </c>
      <c r="E1447">
        <f>IF(C1447="","",IF('Daily Sale entry '!Q1447="Collection 收款",'Daily Sale entry '!S1447,0))</f>
        <v/>
      </c>
      <c r="F1447" s="37">
        <f>IF(C1447="","",B1447+IF(E1447&gt;0,0,0.5)+ROW()/10000000)</f>
        <v/>
      </c>
      <c r="G1447">
        <f>IF(C1447="","",'Daily Sale entry '!Q1447&amp;IF('Daily Sale entry '!Q1447="Collection 收款"," ("&amp;'Daily Sale entry '!R1447&amp;")","")&amp;IF('Daily Sale entry '!U1447="",""," - "&amp;'Daily Sale entry '!U1447))</f>
        <v/>
      </c>
      <c r="H1447">
        <f>IF(C1447="","",COUNTIFS($C$2:$C$3001,C1447,$F$2:$F$3001,"&lt;"&amp;F1447)+1)</f>
        <v/>
      </c>
      <c r="I1447">
        <f>IF(C1447="","",C1447&amp;"|"&amp;H1447)</f>
        <v/>
      </c>
      <c r="J1447" s="6">
        <f>IF(C1447="","",IF(H1447=1,SUMIFS('Opening Balance'!$F$4:$F$303,'Opening Balance'!$G$4:$G$303,C1447),INDEX($L$2:$L$3001,MATCH(C1447&amp;"|"&amp;(H1447-1),$I$2:$I$3001,0))))</f>
        <v/>
      </c>
      <c r="K1447" s="6">
        <f>IF(C1447="","",IF(M1447&gt;0,M1447,IF(AND(E1447&gt;0,ROUND(J1447+D1447-E1447,2)&gt;0,ROUND(J1447+D1447-E1447,2)&lt;'Opening Balance'!$B$14),ROUND(J1447+D1447-E1447,2),0)))</f>
        <v/>
      </c>
      <c r="L1447" s="6">
        <f>IF(C1447="","",ROUND(J1447+D1447-E1447-K1447,2))</f>
        <v/>
      </c>
      <c r="M1447" s="6">
        <f>IF(C1447="","",IF('Daily Sale entry '!Q1447="Collection 收款",ROUND(N('Daily Sale entry '!T1447),2),0))</f>
        <v/>
      </c>
    </row>
    <row r="1448">
      <c r="A1448" t="inlineStr">
        <is>
          <t>Entry 记录</t>
        </is>
      </c>
      <c r="B1448" s="5">
        <f>IF('Daily Sale entry '!P1448="","",'Daily Sale entry '!O1448)</f>
        <v/>
      </c>
      <c r="C1448">
        <f>IF('Daily Sale entry '!P1448="","",'Daily Sale entry '!P1448)</f>
        <v/>
      </c>
      <c r="D1448">
        <f>IF(C1448="","",IF('Daily Sale entry '!Q1448="Credit Sale 赊销",'Daily Sale entry '!S1448,0))</f>
        <v/>
      </c>
      <c r="E1448">
        <f>IF(C1448="","",IF('Daily Sale entry '!Q1448="Collection 收款",'Daily Sale entry '!S1448,0))</f>
        <v/>
      </c>
      <c r="F1448" s="37">
        <f>IF(C1448="","",B1448+IF(E1448&gt;0,0,0.5)+ROW()/10000000)</f>
        <v/>
      </c>
      <c r="G1448">
        <f>IF(C1448="","",'Daily Sale entry '!Q1448&amp;IF('Daily Sale entry '!Q1448="Collection 收款"," ("&amp;'Daily Sale entry '!R1448&amp;")","")&amp;IF('Daily Sale entry '!U1448="",""," - "&amp;'Daily Sale entry '!U1448))</f>
        <v/>
      </c>
      <c r="H1448">
        <f>IF(C1448="","",COUNTIFS($C$2:$C$3001,C1448,$F$2:$F$3001,"&lt;"&amp;F1448)+1)</f>
        <v/>
      </c>
      <c r="I1448">
        <f>IF(C1448="","",C1448&amp;"|"&amp;H1448)</f>
        <v/>
      </c>
      <c r="J1448" s="6">
        <f>IF(C1448="","",IF(H1448=1,SUMIFS('Opening Balance'!$F$4:$F$303,'Opening Balance'!$G$4:$G$303,C1448),INDEX($L$2:$L$3001,MATCH(C1448&amp;"|"&amp;(H1448-1),$I$2:$I$3001,0))))</f>
        <v/>
      </c>
      <c r="K1448" s="6">
        <f>IF(C1448="","",IF(M1448&gt;0,M1448,IF(AND(E1448&gt;0,ROUND(J1448+D1448-E1448,2)&gt;0,ROUND(J1448+D1448-E1448,2)&lt;'Opening Balance'!$B$14),ROUND(J1448+D1448-E1448,2),0)))</f>
        <v/>
      </c>
      <c r="L1448" s="6">
        <f>IF(C1448="","",ROUND(J1448+D1448-E1448-K1448,2))</f>
        <v/>
      </c>
      <c r="M1448" s="6">
        <f>IF(C1448="","",IF('Daily Sale entry '!Q1448="Collection 收款",ROUND(N('Daily Sale entry '!T1448),2),0))</f>
        <v/>
      </c>
    </row>
    <row r="1449">
      <c r="A1449" t="inlineStr">
        <is>
          <t>Entry 记录</t>
        </is>
      </c>
      <c r="B1449" s="5">
        <f>IF('Daily Sale entry '!P1449="","",'Daily Sale entry '!O1449)</f>
        <v/>
      </c>
      <c r="C1449">
        <f>IF('Daily Sale entry '!P1449="","",'Daily Sale entry '!P1449)</f>
        <v/>
      </c>
      <c r="D1449">
        <f>IF(C1449="","",IF('Daily Sale entry '!Q1449="Credit Sale 赊销",'Daily Sale entry '!S1449,0))</f>
        <v/>
      </c>
      <c r="E1449">
        <f>IF(C1449="","",IF('Daily Sale entry '!Q1449="Collection 收款",'Daily Sale entry '!S1449,0))</f>
        <v/>
      </c>
      <c r="F1449" s="37">
        <f>IF(C1449="","",B1449+IF(E1449&gt;0,0,0.5)+ROW()/10000000)</f>
        <v/>
      </c>
      <c r="G1449">
        <f>IF(C1449="","",'Daily Sale entry '!Q1449&amp;IF('Daily Sale entry '!Q1449="Collection 收款"," ("&amp;'Daily Sale entry '!R1449&amp;")","")&amp;IF('Daily Sale entry '!U1449="",""," - "&amp;'Daily Sale entry '!U1449))</f>
        <v/>
      </c>
      <c r="H1449">
        <f>IF(C1449="","",COUNTIFS($C$2:$C$3001,C1449,$F$2:$F$3001,"&lt;"&amp;F1449)+1)</f>
        <v/>
      </c>
      <c r="I1449">
        <f>IF(C1449="","",C1449&amp;"|"&amp;H1449)</f>
        <v/>
      </c>
      <c r="J1449" s="6">
        <f>IF(C1449="","",IF(H1449=1,SUMIFS('Opening Balance'!$F$4:$F$303,'Opening Balance'!$G$4:$G$303,C1449),INDEX($L$2:$L$3001,MATCH(C1449&amp;"|"&amp;(H1449-1),$I$2:$I$3001,0))))</f>
        <v/>
      </c>
      <c r="K1449" s="6">
        <f>IF(C1449="","",IF(M1449&gt;0,M1449,IF(AND(E1449&gt;0,ROUND(J1449+D1449-E1449,2)&gt;0,ROUND(J1449+D1449-E1449,2)&lt;'Opening Balance'!$B$14),ROUND(J1449+D1449-E1449,2),0)))</f>
        <v/>
      </c>
      <c r="L1449" s="6">
        <f>IF(C1449="","",ROUND(J1449+D1449-E1449-K1449,2))</f>
        <v/>
      </c>
      <c r="M1449" s="6">
        <f>IF(C1449="","",IF('Daily Sale entry '!Q1449="Collection 收款",ROUND(N('Daily Sale entry '!T1449),2),0))</f>
        <v/>
      </c>
    </row>
    <row r="1450">
      <c r="A1450" t="inlineStr">
        <is>
          <t>Entry 记录</t>
        </is>
      </c>
      <c r="B1450" s="5">
        <f>IF('Daily Sale entry '!P1450="","",'Daily Sale entry '!O1450)</f>
        <v/>
      </c>
      <c r="C1450">
        <f>IF('Daily Sale entry '!P1450="","",'Daily Sale entry '!P1450)</f>
        <v/>
      </c>
      <c r="D1450">
        <f>IF(C1450="","",IF('Daily Sale entry '!Q1450="Credit Sale 赊销",'Daily Sale entry '!S1450,0))</f>
        <v/>
      </c>
      <c r="E1450">
        <f>IF(C1450="","",IF('Daily Sale entry '!Q1450="Collection 收款",'Daily Sale entry '!S1450,0))</f>
        <v/>
      </c>
      <c r="F1450" s="37">
        <f>IF(C1450="","",B1450+IF(E1450&gt;0,0,0.5)+ROW()/10000000)</f>
        <v/>
      </c>
      <c r="G1450">
        <f>IF(C1450="","",'Daily Sale entry '!Q1450&amp;IF('Daily Sale entry '!Q1450="Collection 收款"," ("&amp;'Daily Sale entry '!R1450&amp;")","")&amp;IF('Daily Sale entry '!U1450="",""," - "&amp;'Daily Sale entry '!U1450))</f>
        <v/>
      </c>
      <c r="H1450">
        <f>IF(C1450="","",COUNTIFS($C$2:$C$3001,C1450,$F$2:$F$3001,"&lt;"&amp;F1450)+1)</f>
        <v/>
      </c>
      <c r="I1450">
        <f>IF(C1450="","",C1450&amp;"|"&amp;H1450)</f>
        <v/>
      </c>
      <c r="J1450" s="6">
        <f>IF(C1450="","",IF(H1450=1,SUMIFS('Opening Balance'!$F$4:$F$303,'Opening Balance'!$G$4:$G$303,C1450),INDEX($L$2:$L$3001,MATCH(C1450&amp;"|"&amp;(H1450-1),$I$2:$I$3001,0))))</f>
        <v/>
      </c>
      <c r="K1450" s="6">
        <f>IF(C1450="","",IF(M1450&gt;0,M1450,IF(AND(E1450&gt;0,ROUND(J1450+D1450-E1450,2)&gt;0,ROUND(J1450+D1450-E1450,2)&lt;'Opening Balance'!$B$14),ROUND(J1450+D1450-E1450,2),0)))</f>
        <v/>
      </c>
      <c r="L1450" s="6">
        <f>IF(C1450="","",ROUND(J1450+D1450-E1450-K1450,2))</f>
        <v/>
      </c>
      <c r="M1450" s="6">
        <f>IF(C1450="","",IF('Daily Sale entry '!Q1450="Collection 收款",ROUND(N('Daily Sale entry '!T1450),2),0))</f>
        <v/>
      </c>
    </row>
    <row r="1451">
      <c r="A1451" t="inlineStr">
        <is>
          <t>Entry 记录</t>
        </is>
      </c>
      <c r="B1451" s="5">
        <f>IF('Daily Sale entry '!P1451="","",'Daily Sale entry '!O1451)</f>
        <v/>
      </c>
      <c r="C1451">
        <f>IF('Daily Sale entry '!P1451="","",'Daily Sale entry '!P1451)</f>
        <v/>
      </c>
      <c r="D1451">
        <f>IF(C1451="","",IF('Daily Sale entry '!Q1451="Credit Sale 赊销",'Daily Sale entry '!S1451,0))</f>
        <v/>
      </c>
      <c r="E1451">
        <f>IF(C1451="","",IF('Daily Sale entry '!Q1451="Collection 收款",'Daily Sale entry '!S1451,0))</f>
        <v/>
      </c>
      <c r="F1451" s="37">
        <f>IF(C1451="","",B1451+IF(E1451&gt;0,0,0.5)+ROW()/10000000)</f>
        <v/>
      </c>
      <c r="G1451">
        <f>IF(C1451="","",'Daily Sale entry '!Q1451&amp;IF('Daily Sale entry '!Q1451="Collection 收款"," ("&amp;'Daily Sale entry '!R1451&amp;")","")&amp;IF('Daily Sale entry '!U1451="",""," - "&amp;'Daily Sale entry '!U1451))</f>
        <v/>
      </c>
      <c r="H1451">
        <f>IF(C1451="","",COUNTIFS($C$2:$C$3001,C1451,$F$2:$F$3001,"&lt;"&amp;F1451)+1)</f>
        <v/>
      </c>
      <c r="I1451">
        <f>IF(C1451="","",C1451&amp;"|"&amp;H1451)</f>
        <v/>
      </c>
      <c r="J1451" s="6">
        <f>IF(C1451="","",IF(H1451=1,SUMIFS('Opening Balance'!$F$4:$F$303,'Opening Balance'!$G$4:$G$303,C1451),INDEX($L$2:$L$3001,MATCH(C1451&amp;"|"&amp;(H1451-1),$I$2:$I$3001,0))))</f>
        <v/>
      </c>
      <c r="K1451" s="6">
        <f>IF(C1451="","",IF(M1451&gt;0,M1451,IF(AND(E1451&gt;0,ROUND(J1451+D1451-E1451,2)&gt;0,ROUND(J1451+D1451-E1451,2)&lt;'Opening Balance'!$B$14),ROUND(J1451+D1451-E1451,2),0)))</f>
        <v/>
      </c>
      <c r="L1451" s="6">
        <f>IF(C1451="","",ROUND(J1451+D1451-E1451-K1451,2))</f>
        <v/>
      </c>
      <c r="M1451" s="6">
        <f>IF(C1451="","",IF('Daily Sale entry '!Q1451="Collection 收款",ROUND(N('Daily Sale entry '!T1451),2),0))</f>
        <v/>
      </c>
    </row>
    <row r="1452">
      <c r="A1452" t="inlineStr">
        <is>
          <t>Entry 记录</t>
        </is>
      </c>
      <c r="B1452" s="5">
        <f>IF('Daily Sale entry '!P1452="","",'Daily Sale entry '!O1452)</f>
        <v/>
      </c>
      <c r="C1452">
        <f>IF('Daily Sale entry '!P1452="","",'Daily Sale entry '!P1452)</f>
        <v/>
      </c>
      <c r="D1452">
        <f>IF(C1452="","",IF('Daily Sale entry '!Q1452="Credit Sale 赊销",'Daily Sale entry '!S1452,0))</f>
        <v/>
      </c>
      <c r="E1452">
        <f>IF(C1452="","",IF('Daily Sale entry '!Q1452="Collection 收款",'Daily Sale entry '!S1452,0))</f>
        <v/>
      </c>
      <c r="F1452" s="37">
        <f>IF(C1452="","",B1452+IF(E1452&gt;0,0,0.5)+ROW()/10000000)</f>
        <v/>
      </c>
      <c r="G1452">
        <f>IF(C1452="","",'Daily Sale entry '!Q1452&amp;IF('Daily Sale entry '!Q1452="Collection 收款"," ("&amp;'Daily Sale entry '!R1452&amp;")","")&amp;IF('Daily Sale entry '!U1452="",""," - "&amp;'Daily Sale entry '!U1452))</f>
        <v/>
      </c>
      <c r="H1452">
        <f>IF(C1452="","",COUNTIFS($C$2:$C$3001,C1452,$F$2:$F$3001,"&lt;"&amp;F1452)+1)</f>
        <v/>
      </c>
      <c r="I1452">
        <f>IF(C1452="","",C1452&amp;"|"&amp;H1452)</f>
        <v/>
      </c>
      <c r="J1452" s="6">
        <f>IF(C1452="","",IF(H1452=1,SUMIFS('Opening Balance'!$F$4:$F$303,'Opening Balance'!$G$4:$G$303,C1452),INDEX($L$2:$L$3001,MATCH(C1452&amp;"|"&amp;(H1452-1),$I$2:$I$3001,0))))</f>
        <v/>
      </c>
      <c r="K1452" s="6">
        <f>IF(C1452="","",IF(M1452&gt;0,M1452,IF(AND(E1452&gt;0,ROUND(J1452+D1452-E1452,2)&gt;0,ROUND(J1452+D1452-E1452,2)&lt;'Opening Balance'!$B$14),ROUND(J1452+D1452-E1452,2),0)))</f>
        <v/>
      </c>
      <c r="L1452" s="6">
        <f>IF(C1452="","",ROUND(J1452+D1452-E1452-K1452,2))</f>
        <v/>
      </c>
      <c r="M1452" s="6">
        <f>IF(C1452="","",IF('Daily Sale entry '!Q1452="Collection 收款",ROUND(N('Daily Sale entry '!T1452),2),0))</f>
        <v/>
      </c>
    </row>
    <row r="1453">
      <c r="A1453" t="inlineStr">
        <is>
          <t>Entry 记录</t>
        </is>
      </c>
      <c r="B1453" s="5">
        <f>IF('Daily Sale entry '!P1453="","",'Daily Sale entry '!O1453)</f>
        <v/>
      </c>
      <c r="C1453">
        <f>IF('Daily Sale entry '!P1453="","",'Daily Sale entry '!P1453)</f>
        <v/>
      </c>
      <c r="D1453">
        <f>IF(C1453="","",IF('Daily Sale entry '!Q1453="Credit Sale 赊销",'Daily Sale entry '!S1453,0))</f>
        <v/>
      </c>
      <c r="E1453">
        <f>IF(C1453="","",IF('Daily Sale entry '!Q1453="Collection 收款",'Daily Sale entry '!S1453,0))</f>
        <v/>
      </c>
      <c r="F1453" s="37">
        <f>IF(C1453="","",B1453+IF(E1453&gt;0,0,0.5)+ROW()/10000000)</f>
        <v/>
      </c>
      <c r="G1453">
        <f>IF(C1453="","",'Daily Sale entry '!Q1453&amp;IF('Daily Sale entry '!Q1453="Collection 收款"," ("&amp;'Daily Sale entry '!R1453&amp;")","")&amp;IF('Daily Sale entry '!U1453="",""," - "&amp;'Daily Sale entry '!U1453))</f>
        <v/>
      </c>
      <c r="H1453">
        <f>IF(C1453="","",COUNTIFS($C$2:$C$3001,C1453,$F$2:$F$3001,"&lt;"&amp;F1453)+1)</f>
        <v/>
      </c>
      <c r="I1453">
        <f>IF(C1453="","",C1453&amp;"|"&amp;H1453)</f>
        <v/>
      </c>
      <c r="J1453" s="6">
        <f>IF(C1453="","",IF(H1453=1,SUMIFS('Opening Balance'!$F$4:$F$303,'Opening Balance'!$G$4:$G$303,C1453),INDEX($L$2:$L$3001,MATCH(C1453&amp;"|"&amp;(H1453-1),$I$2:$I$3001,0))))</f>
        <v/>
      </c>
      <c r="K1453" s="6">
        <f>IF(C1453="","",IF(M1453&gt;0,M1453,IF(AND(E1453&gt;0,ROUND(J1453+D1453-E1453,2)&gt;0,ROUND(J1453+D1453-E1453,2)&lt;'Opening Balance'!$B$14),ROUND(J1453+D1453-E1453,2),0)))</f>
        <v/>
      </c>
      <c r="L1453" s="6">
        <f>IF(C1453="","",ROUND(J1453+D1453-E1453-K1453,2))</f>
        <v/>
      </c>
      <c r="M1453" s="6">
        <f>IF(C1453="","",IF('Daily Sale entry '!Q1453="Collection 收款",ROUND(N('Daily Sale entry '!T1453),2),0))</f>
        <v/>
      </c>
    </row>
    <row r="1454">
      <c r="A1454" t="inlineStr">
        <is>
          <t>Entry 记录</t>
        </is>
      </c>
      <c r="B1454" s="5">
        <f>IF('Daily Sale entry '!P1454="","",'Daily Sale entry '!O1454)</f>
        <v/>
      </c>
      <c r="C1454">
        <f>IF('Daily Sale entry '!P1454="","",'Daily Sale entry '!P1454)</f>
        <v/>
      </c>
      <c r="D1454">
        <f>IF(C1454="","",IF('Daily Sale entry '!Q1454="Credit Sale 赊销",'Daily Sale entry '!S1454,0))</f>
        <v/>
      </c>
      <c r="E1454">
        <f>IF(C1454="","",IF('Daily Sale entry '!Q1454="Collection 收款",'Daily Sale entry '!S1454,0))</f>
        <v/>
      </c>
      <c r="F1454" s="37">
        <f>IF(C1454="","",B1454+IF(E1454&gt;0,0,0.5)+ROW()/10000000)</f>
        <v/>
      </c>
      <c r="G1454">
        <f>IF(C1454="","",'Daily Sale entry '!Q1454&amp;IF('Daily Sale entry '!Q1454="Collection 收款"," ("&amp;'Daily Sale entry '!R1454&amp;")","")&amp;IF('Daily Sale entry '!U1454="",""," - "&amp;'Daily Sale entry '!U1454))</f>
        <v/>
      </c>
      <c r="H1454">
        <f>IF(C1454="","",COUNTIFS($C$2:$C$3001,C1454,$F$2:$F$3001,"&lt;"&amp;F1454)+1)</f>
        <v/>
      </c>
      <c r="I1454">
        <f>IF(C1454="","",C1454&amp;"|"&amp;H1454)</f>
        <v/>
      </c>
      <c r="J1454" s="6">
        <f>IF(C1454="","",IF(H1454=1,SUMIFS('Opening Balance'!$F$4:$F$303,'Opening Balance'!$G$4:$G$303,C1454),INDEX($L$2:$L$3001,MATCH(C1454&amp;"|"&amp;(H1454-1),$I$2:$I$3001,0))))</f>
        <v/>
      </c>
      <c r="K1454" s="6">
        <f>IF(C1454="","",IF(M1454&gt;0,M1454,IF(AND(E1454&gt;0,ROUND(J1454+D1454-E1454,2)&gt;0,ROUND(J1454+D1454-E1454,2)&lt;'Opening Balance'!$B$14),ROUND(J1454+D1454-E1454,2),0)))</f>
        <v/>
      </c>
      <c r="L1454" s="6">
        <f>IF(C1454="","",ROUND(J1454+D1454-E1454-K1454,2))</f>
        <v/>
      </c>
      <c r="M1454" s="6">
        <f>IF(C1454="","",IF('Daily Sale entry '!Q1454="Collection 收款",ROUND(N('Daily Sale entry '!T1454),2),0))</f>
        <v/>
      </c>
    </row>
    <row r="1455">
      <c r="A1455" t="inlineStr">
        <is>
          <t>Entry 记录</t>
        </is>
      </c>
      <c r="B1455" s="5">
        <f>IF('Daily Sale entry '!P1455="","",'Daily Sale entry '!O1455)</f>
        <v/>
      </c>
      <c r="C1455">
        <f>IF('Daily Sale entry '!P1455="","",'Daily Sale entry '!P1455)</f>
        <v/>
      </c>
      <c r="D1455">
        <f>IF(C1455="","",IF('Daily Sale entry '!Q1455="Credit Sale 赊销",'Daily Sale entry '!S1455,0))</f>
        <v/>
      </c>
      <c r="E1455">
        <f>IF(C1455="","",IF('Daily Sale entry '!Q1455="Collection 收款",'Daily Sale entry '!S1455,0))</f>
        <v/>
      </c>
      <c r="F1455" s="37">
        <f>IF(C1455="","",B1455+IF(E1455&gt;0,0,0.5)+ROW()/10000000)</f>
        <v/>
      </c>
      <c r="G1455">
        <f>IF(C1455="","",'Daily Sale entry '!Q1455&amp;IF('Daily Sale entry '!Q1455="Collection 收款"," ("&amp;'Daily Sale entry '!R1455&amp;")","")&amp;IF('Daily Sale entry '!U1455="",""," - "&amp;'Daily Sale entry '!U1455))</f>
        <v/>
      </c>
      <c r="H1455">
        <f>IF(C1455="","",COUNTIFS($C$2:$C$3001,C1455,$F$2:$F$3001,"&lt;"&amp;F1455)+1)</f>
        <v/>
      </c>
      <c r="I1455">
        <f>IF(C1455="","",C1455&amp;"|"&amp;H1455)</f>
        <v/>
      </c>
      <c r="J1455" s="6">
        <f>IF(C1455="","",IF(H1455=1,SUMIFS('Opening Balance'!$F$4:$F$303,'Opening Balance'!$G$4:$G$303,C1455),INDEX($L$2:$L$3001,MATCH(C1455&amp;"|"&amp;(H1455-1),$I$2:$I$3001,0))))</f>
        <v/>
      </c>
      <c r="K1455" s="6">
        <f>IF(C1455="","",IF(M1455&gt;0,M1455,IF(AND(E1455&gt;0,ROUND(J1455+D1455-E1455,2)&gt;0,ROUND(J1455+D1455-E1455,2)&lt;'Opening Balance'!$B$14),ROUND(J1455+D1455-E1455,2),0)))</f>
        <v/>
      </c>
      <c r="L1455" s="6">
        <f>IF(C1455="","",ROUND(J1455+D1455-E1455-K1455,2))</f>
        <v/>
      </c>
      <c r="M1455" s="6">
        <f>IF(C1455="","",IF('Daily Sale entry '!Q1455="Collection 收款",ROUND(N('Daily Sale entry '!T1455),2),0))</f>
        <v/>
      </c>
    </row>
    <row r="1456">
      <c r="A1456" t="inlineStr">
        <is>
          <t>Entry 记录</t>
        </is>
      </c>
      <c r="B1456" s="5">
        <f>IF('Daily Sale entry '!P1456="","",'Daily Sale entry '!O1456)</f>
        <v/>
      </c>
      <c r="C1456">
        <f>IF('Daily Sale entry '!P1456="","",'Daily Sale entry '!P1456)</f>
        <v/>
      </c>
      <c r="D1456">
        <f>IF(C1456="","",IF('Daily Sale entry '!Q1456="Credit Sale 赊销",'Daily Sale entry '!S1456,0))</f>
        <v/>
      </c>
      <c r="E1456">
        <f>IF(C1456="","",IF('Daily Sale entry '!Q1456="Collection 收款",'Daily Sale entry '!S1456,0))</f>
        <v/>
      </c>
      <c r="F1456" s="37">
        <f>IF(C1456="","",B1456+IF(E1456&gt;0,0,0.5)+ROW()/10000000)</f>
        <v/>
      </c>
      <c r="G1456">
        <f>IF(C1456="","",'Daily Sale entry '!Q1456&amp;IF('Daily Sale entry '!Q1456="Collection 收款"," ("&amp;'Daily Sale entry '!R1456&amp;")","")&amp;IF('Daily Sale entry '!U1456="",""," - "&amp;'Daily Sale entry '!U1456))</f>
        <v/>
      </c>
      <c r="H1456">
        <f>IF(C1456="","",COUNTIFS($C$2:$C$3001,C1456,$F$2:$F$3001,"&lt;"&amp;F1456)+1)</f>
        <v/>
      </c>
      <c r="I1456">
        <f>IF(C1456="","",C1456&amp;"|"&amp;H1456)</f>
        <v/>
      </c>
      <c r="J1456" s="6">
        <f>IF(C1456="","",IF(H1456=1,SUMIFS('Opening Balance'!$F$4:$F$303,'Opening Balance'!$G$4:$G$303,C1456),INDEX($L$2:$L$3001,MATCH(C1456&amp;"|"&amp;(H1456-1),$I$2:$I$3001,0))))</f>
        <v/>
      </c>
      <c r="K1456" s="6">
        <f>IF(C1456="","",IF(M1456&gt;0,M1456,IF(AND(E1456&gt;0,ROUND(J1456+D1456-E1456,2)&gt;0,ROUND(J1456+D1456-E1456,2)&lt;'Opening Balance'!$B$14),ROUND(J1456+D1456-E1456,2),0)))</f>
        <v/>
      </c>
      <c r="L1456" s="6">
        <f>IF(C1456="","",ROUND(J1456+D1456-E1456-K1456,2))</f>
        <v/>
      </c>
      <c r="M1456" s="6">
        <f>IF(C1456="","",IF('Daily Sale entry '!Q1456="Collection 收款",ROUND(N('Daily Sale entry '!T1456),2),0))</f>
        <v/>
      </c>
    </row>
    <row r="1457">
      <c r="A1457" t="inlineStr">
        <is>
          <t>Entry 记录</t>
        </is>
      </c>
      <c r="B1457" s="5">
        <f>IF('Daily Sale entry '!P1457="","",'Daily Sale entry '!O1457)</f>
        <v/>
      </c>
      <c r="C1457">
        <f>IF('Daily Sale entry '!P1457="","",'Daily Sale entry '!P1457)</f>
        <v/>
      </c>
      <c r="D1457">
        <f>IF(C1457="","",IF('Daily Sale entry '!Q1457="Credit Sale 赊销",'Daily Sale entry '!S1457,0))</f>
        <v/>
      </c>
      <c r="E1457">
        <f>IF(C1457="","",IF('Daily Sale entry '!Q1457="Collection 收款",'Daily Sale entry '!S1457,0))</f>
        <v/>
      </c>
      <c r="F1457" s="37">
        <f>IF(C1457="","",B1457+IF(E1457&gt;0,0,0.5)+ROW()/10000000)</f>
        <v/>
      </c>
      <c r="G1457">
        <f>IF(C1457="","",'Daily Sale entry '!Q1457&amp;IF('Daily Sale entry '!Q1457="Collection 收款"," ("&amp;'Daily Sale entry '!R1457&amp;")","")&amp;IF('Daily Sale entry '!U1457="",""," - "&amp;'Daily Sale entry '!U1457))</f>
        <v/>
      </c>
      <c r="H1457">
        <f>IF(C1457="","",COUNTIFS($C$2:$C$3001,C1457,$F$2:$F$3001,"&lt;"&amp;F1457)+1)</f>
        <v/>
      </c>
      <c r="I1457">
        <f>IF(C1457="","",C1457&amp;"|"&amp;H1457)</f>
        <v/>
      </c>
      <c r="J1457" s="6">
        <f>IF(C1457="","",IF(H1457=1,SUMIFS('Opening Balance'!$F$4:$F$303,'Opening Balance'!$G$4:$G$303,C1457),INDEX($L$2:$L$3001,MATCH(C1457&amp;"|"&amp;(H1457-1),$I$2:$I$3001,0))))</f>
        <v/>
      </c>
      <c r="K1457" s="6">
        <f>IF(C1457="","",IF(M1457&gt;0,M1457,IF(AND(E1457&gt;0,ROUND(J1457+D1457-E1457,2)&gt;0,ROUND(J1457+D1457-E1457,2)&lt;'Opening Balance'!$B$14),ROUND(J1457+D1457-E1457,2),0)))</f>
        <v/>
      </c>
      <c r="L1457" s="6">
        <f>IF(C1457="","",ROUND(J1457+D1457-E1457-K1457,2))</f>
        <v/>
      </c>
      <c r="M1457" s="6">
        <f>IF(C1457="","",IF('Daily Sale entry '!Q1457="Collection 收款",ROUND(N('Daily Sale entry '!T1457),2),0))</f>
        <v/>
      </c>
    </row>
    <row r="1458">
      <c r="A1458" t="inlineStr">
        <is>
          <t>Entry 记录</t>
        </is>
      </c>
      <c r="B1458" s="5">
        <f>IF('Daily Sale entry '!P1458="","",'Daily Sale entry '!O1458)</f>
        <v/>
      </c>
      <c r="C1458">
        <f>IF('Daily Sale entry '!P1458="","",'Daily Sale entry '!P1458)</f>
        <v/>
      </c>
      <c r="D1458">
        <f>IF(C1458="","",IF('Daily Sale entry '!Q1458="Credit Sale 赊销",'Daily Sale entry '!S1458,0))</f>
        <v/>
      </c>
      <c r="E1458">
        <f>IF(C1458="","",IF('Daily Sale entry '!Q1458="Collection 收款",'Daily Sale entry '!S1458,0))</f>
        <v/>
      </c>
      <c r="F1458" s="37">
        <f>IF(C1458="","",B1458+IF(E1458&gt;0,0,0.5)+ROW()/10000000)</f>
        <v/>
      </c>
      <c r="G1458">
        <f>IF(C1458="","",'Daily Sale entry '!Q1458&amp;IF('Daily Sale entry '!Q1458="Collection 收款"," ("&amp;'Daily Sale entry '!R1458&amp;")","")&amp;IF('Daily Sale entry '!U1458="",""," - "&amp;'Daily Sale entry '!U1458))</f>
        <v/>
      </c>
      <c r="H1458">
        <f>IF(C1458="","",COUNTIFS($C$2:$C$3001,C1458,$F$2:$F$3001,"&lt;"&amp;F1458)+1)</f>
        <v/>
      </c>
      <c r="I1458">
        <f>IF(C1458="","",C1458&amp;"|"&amp;H1458)</f>
        <v/>
      </c>
      <c r="J1458" s="6">
        <f>IF(C1458="","",IF(H1458=1,SUMIFS('Opening Balance'!$F$4:$F$303,'Opening Balance'!$G$4:$G$303,C1458),INDEX($L$2:$L$3001,MATCH(C1458&amp;"|"&amp;(H1458-1),$I$2:$I$3001,0))))</f>
        <v/>
      </c>
      <c r="K1458" s="6">
        <f>IF(C1458="","",IF(M1458&gt;0,M1458,IF(AND(E1458&gt;0,ROUND(J1458+D1458-E1458,2)&gt;0,ROUND(J1458+D1458-E1458,2)&lt;'Opening Balance'!$B$14),ROUND(J1458+D1458-E1458,2),0)))</f>
        <v/>
      </c>
      <c r="L1458" s="6">
        <f>IF(C1458="","",ROUND(J1458+D1458-E1458-K1458,2))</f>
        <v/>
      </c>
      <c r="M1458" s="6">
        <f>IF(C1458="","",IF('Daily Sale entry '!Q1458="Collection 收款",ROUND(N('Daily Sale entry '!T1458),2),0))</f>
        <v/>
      </c>
    </row>
    <row r="1459">
      <c r="A1459" t="inlineStr">
        <is>
          <t>Entry 记录</t>
        </is>
      </c>
      <c r="B1459" s="5">
        <f>IF('Daily Sale entry '!P1459="","",'Daily Sale entry '!O1459)</f>
        <v/>
      </c>
      <c r="C1459">
        <f>IF('Daily Sale entry '!P1459="","",'Daily Sale entry '!P1459)</f>
        <v/>
      </c>
      <c r="D1459">
        <f>IF(C1459="","",IF('Daily Sale entry '!Q1459="Credit Sale 赊销",'Daily Sale entry '!S1459,0))</f>
        <v/>
      </c>
      <c r="E1459">
        <f>IF(C1459="","",IF('Daily Sale entry '!Q1459="Collection 收款",'Daily Sale entry '!S1459,0))</f>
        <v/>
      </c>
      <c r="F1459" s="37">
        <f>IF(C1459="","",B1459+IF(E1459&gt;0,0,0.5)+ROW()/10000000)</f>
        <v/>
      </c>
      <c r="G1459">
        <f>IF(C1459="","",'Daily Sale entry '!Q1459&amp;IF('Daily Sale entry '!Q1459="Collection 收款"," ("&amp;'Daily Sale entry '!R1459&amp;")","")&amp;IF('Daily Sale entry '!U1459="",""," - "&amp;'Daily Sale entry '!U1459))</f>
        <v/>
      </c>
      <c r="H1459">
        <f>IF(C1459="","",COUNTIFS($C$2:$C$3001,C1459,$F$2:$F$3001,"&lt;"&amp;F1459)+1)</f>
        <v/>
      </c>
      <c r="I1459">
        <f>IF(C1459="","",C1459&amp;"|"&amp;H1459)</f>
        <v/>
      </c>
      <c r="J1459" s="6">
        <f>IF(C1459="","",IF(H1459=1,SUMIFS('Opening Balance'!$F$4:$F$303,'Opening Balance'!$G$4:$G$303,C1459),INDEX($L$2:$L$3001,MATCH(C1459&amp;"|"&amp;(H1459-1),$I$2:$I$3001,0))))</f>
        <v/>
      </c>
      <c r="K1459" s="6">
        <f>IF(C1459="","",IF(M1459&gt;0,M1459,IF(AND(E1459&gt;0,ROUND(J1459+D1459-E1459,2)&gt;0,ROUND(J1459+D1459-E1459,2)&lt;'Opening Balance'!$B$14),ROUND(J1459+D1459-E1459,2),0)))</f>
        <v/>
      </c>
      <c r="L1459" s="6">
        <f>IF(C1459="","",ROUND(J1459+D1459-E1459-K1459,2))</f>
        <v/>
      </c>
      <c r="M1459" s="6">
        <f>IF(C1459="","",IF('Daily Sale entry '!Q1459="Collection 收款",ROUND(N('Daily Sale entry '!T1459),2),0))</f>
        <v/>
      </c>
    </row>
    <row r="1460">
      <c r="A1460" t="inlineStr">
        <is>
          <t>Entry 记录</t>
        </is>
      </c>
      <c r="B1460" s="5">
        <f>IF('Daily Sale entry '!P1460="","",'Daily Sale entry '!O1460)</f>
        <v/>
      </c>
      <c r="C1460">
        <f>IF('Daily Sale entry '!P1460="","",'Daily Sale entry '!P1460)</f>
        <v/>
      </c>
      <c r="D1460">
        <f>IF(C1460="","",IF('Daily Sale entry '!Q1460="Credit Sale 赊销",'Daily Sale entry '!S1460,0))</f>
        <v/>
      </c>
      <c r="E1460">
        <f>IF(C1460="","",IF('Daily Sale entry '!Q1460="Collection 收款",'Daily Sale entry '!S1460,0))</f>
        <v/>
      </c>
      <c r="F1460" s="37">
        <f>IF(C1460="","",B1460+IF(E1460&gt;0,0,0.5)+ROW()/10000000)</f>
        <v/>
      </c>
      <c r="G1460">
        <f>IF(C1460="","",'Daily Sale entry '!Q1460&amp;IF('Daily Sale entry '!Q1460="Collection 收款"," ("&amp;'Daily Sale entry '!R1460&amp;")","")&amp;IF('Daily Sale entry '!U1460="",""," - "&amp;'Daily Sale entry '!U1460))</f>
        <v/>
      </c>
      <c r="H1460">
        <f>IF(C1460="","",COUNTIFS($C$2:$C$3001,C1460,$F$2:$F$3001,"&lt;"&amp;F1460)+1)</f>
        <v/>
      </c>
      <c r="I1460">
        <f>IF(C1460="","",C1460&amp;"|"&amp;H1460)</f>
        <v/>
      </c>
      <c r="J1460" s="6">
        <f>IF(C1460="","",IF(H1460=1,SUMIFS('Opening Balance'!$F$4:$F$303,'Opening Balance'!$G$4:$G$303,C1460),INDEX($L$2:$L$3001,MATCH(C1460&amp;"|"&amp;(H1460-1),$I$2:$I$3001,0))))</f>
        <v/>
      </c>
      <c r="K1460" s="6">
        <f>IF(C1460="","",IF(M1460&gt;0,M1460,IF(AND(E1460&gt;0,ROUND(J1460+D1460-E1460,2)&gt;0,ROUND(J1460+D1460-E1460,2)&lt;'Opening Balance'!$B$14),ROUND(J1460+D1460-E1460,2),0)))</f>
        <v/>
      </c>
      <c r="L1460" s="6">
        <f>IF(C1460="","",ROUND(J1460+D1460-E1460-K1460,2))</f>
        <v/>
      </c>
      <c r="M1460" s="6">
        <f>IF(C1460="","",IF('Daily Sale entry '!Q1460="Collection 收款",ROUND(N('Daily Sale entry '!T1460),2),0))</f>
        <v/>
      </c>
    </row>
    <row r="1461">
      <c r="A1461" t="inlineStr">
        <is>
          <t>Entry 记录</t>
        </is>
      </c>
      <c r="B1461" s="5">
        <f>IF('Daily Sale entry '!P1461="","",'Daily Sale entry '!O1461)</f>
        <v/>
      </c>
      <c r="C1461">
        <f>IF('Daily Sale entry '!P1461="","",'Daily Sale entry '!P1461)</f>
        <v/>
      </c>
      <c r="D1461">
        <f>IF(C1461="","",IF('Daily Sale entry '!Q1461="Credit Sale 赊销",'Daily Sale entry '!S1461,0))</f>
        <v/>
      </c>
      <c r="E1461">
        <f>IF(C1461="","",IF('Daily Sale entry '!Q1461="Collection 收款",'Daily Sale entry '!S1461,0))</f>
        <v/>
      </c>
      <c r="F1461" s="37">
        <f>IF(C1461="","",B1461+IF(E1461&gt;0,0,0.5)+ROW()/10000000)</f>
        <v/>
      </c>
      <c r="G1461">
        <f>IF(C1461="","",'Daily Sale entry '!Q1461&amp;IF('Daily Sale entry '!Q1461="Collection 收款"," ("&amp;'Daily Sale entry '!R1461&amp;")","")&amp;IF('Daily Sale entry '!U1461="",""," - "&amp;'Daily Sale entry '!U1461))</f>
        <v/>
      </c>
      <c r="H1461">
        <f>IF(C1461="","",COUNTIFS($C$2:$C$3001,C1461,$F$2:$F$3001,"&lt;"&amp;F1461)+1)</f>
        <v/>
      </c>
      <c r="I1461">
        <f>IF(C1461="","",C1461&amp;"|"&amp;H1461)</f>
        <v/>
      </c>
      <c r="J1461" s="6">
        <f>IF(C1461="","",IF(H1461=1,SUMIFS('Opening Balance'!$F$4:$F$303,'Opening Balance'!$G$4:$G$303,C1461),INDEX($L$2:$L$3001,MATCH(C1461&amp;"|"&amp;(H1461-1),$I$2:$I$3001,0))))</f>
        <v/>
      </c>
      <c r="K1461" s="6">
        <f>IF(C1461="","",IF(M1461&gt;0,M1461,IF(AND(E1461&gt;0,ROUND(J1461+D1461-E1461,2)&gt;0,ROUND(J1461+D1461-E1461,2)&lt;'Opening Balance'!$B$14),ROUND(J1461+D1461-E1461,2),0)))</f>
        <v/>
      </c>
      <c r="L1461" s="6">
        <f>IF(C1461="","",ROUND(J1461+D1461-E1461-K1461,2))</f>
        <v/>
      </c>
      <c r="M1461" s="6">
        <f>IF(C1461="","",IF('Daily Sale entry '!Q1461="Collection 收款",ROUND(N('Daily Sale entry '!T1461),2),0))</f>
        <v/>
      </c>
    </row>
    <row r="1462">
      <c r="A1462" t="inlineStr">
        <is>
          <t>Entry 记录</t>
        </is>
      </c>
      <c r="B1462" s="5">
        <f>IF('Daily Sale entry '!P1462="","",'Daily Sale entry '!O1462)</f>
        <v/>
      </c>
      <c r="C1462">
        <f>IF('Daily Sale entry '!P1462="","",'Daily Sale entry '!P1462)</f>
        <v/>
      </c>
      <c r="D1462">
        <f>IF(C1462="","",IF('Daily Sale entry '!Q1462="Credit Sale 赊销",'Daily Sale entry '!S1462,0))</f>
        <v/>
      </c>
      <c r="E1462">
        <f>IF(C1462="","",IF('Daily Sale entry '!Q1462="Collection 收款",'Daily Sale entry '!S1462,0))</f>
        <v/>
      </c>
      <c r="F1462" s="37">
        <f>IF(C1462="","",B1462+IF(E1462&gt;0,0,0.5)+ROW()/10000000)</f>
        <v/>
      </c>
      <c r="G1462">
        <f>IF(C1462="","",'Daily Sale entry '!Q1462&amp;IF('Daily Sale entry '!Q1462="Collection 收款"," ("&amp;'Daily Sale entry '!R1462&amp;")","")&amp;IF('Daily Sale entry '!U1462="",""," - "&amp;'Daily Sale entry '!U1462))</f>
        <v/>
      </c>
      <c r="H1462">
        <f>IF(C1462="","",COUNTIFS($C$2:$C$3001,C1462,$F$2:$F$3001,"&lt;"&amp;F1462)+1)</f>
        <v/>
      </c>
      <c r="I1462">
        <f>IF(C1462="","",C1462&amp;"|"&amp;H1462)</f>
        <v/>
      </c>
      <c r="J1462" s="6">
        <f>IF(C1462="","",IF(H1462=1,SUMIFS('Opening Balance'!$F$4:$F$303,'Opening Balance'!$G$4:$G$303,C1462),INDEX($L$2:$L$3001,MATCH(C1462&amp;"|"&amp;(H1462-1),$I$2:$I$3001,0))))</f>
        <v/>
      </c>
      <c r="K1462" s="6">
        <f>IF(C1462="","",IF(M1462&gt;0,M1462,IF(AND(E1462&gt;0,ROUND(J1462+D1462-E1462,2)&gt;0,ROUND(J1462+D1462-E1462,2)&lt;'Opening Balance'!$B$14),ROUND(J1462+D1462-E1462,2),0)))</f>
        <v/>
      </c>
      <c r="L1462" s="6">
        <f>IF(C1462="","",ROUND(J1462+D1462-E1462-K1462,2))</f>
        <v/>
      </c>
      <c r="M1462" s="6">
        <f>IF(C1462="","",IF('Daily Sale entry '!Q1462="Collection 收款",ROUND(N('Daily Sale entry '!T1462),2),0))</f>
        <v/>
      </c>
    </row>
    <row r="1463">
      <c r="A1463" t="inlineStr">
        <is>
          <t>Entry 记录</t>
        </is>
      </c>
      <c r="B1463" s="5">
        <f>IF('Daily Sale entry '!P1463="","",'Daily Sale entry '!O1463)</f>
        <v/>
      </c>
      <c r="C1463">
        <f>IF('Daily Sale entry '!P1463="","",'Daily Sale entry '!P1463)</f>
        <v/>
      </c>
      <c r="D1463">
        <f>IF(C1463="","",IF('Daily Sale entry '!Q1463="Credit Sale 赊销",'Daily Sale entry '!S1463,0))</f>
        <v/>
      </c>
      <c r="E1463">
        <f>IF(C1463="","",IF('Daily Sale entry '!Q1463="Collection 收款",'Daily Sale entry '!S1463,0))</f>
        <v/>
      </c>
      <c r="F1463" s="37">
        <f>IF(C1463="","",B1463+IF(E1463&gt;0,0,0.5)+ROW()/10000000)</f>
        <v/>
      </c>
      <c r="G1463">
        <f>IF(C1463="","",'Daily Sale entry '!Q1463&amp;IF('Daily Sale entry '!Q1463="Collection 收款"," ("&amp;'Daily Sale entry '!R1463&amp;")","")&amp;IF('Daily Sale entry '!U1463="",""," - "&amp;'Daily Sale entry '!U1463))</f>
        <v/>
      </c>
      <c r="H1463">
        <f>IF(C1463="","",COUNTIFS($C$2:$C$3001,C1463,$F$2:$F$3001,"&lt;"&amp;F1463)+1)</f>
        <v/>
      </c>
      <c r="I1463">
        <f>IF(C1463="","",C1463&amp;"|"&amp;H1463)</f>
        <v/>
      </c>
      <c r="J1463" s="6">
        <f>IF(C1463="","",IF(H1463=1,SUMIFS('Opening Balance'!$F$4:$F$303,'Opening Balance'!$G$4:$G$303,C1463),INDEX($L$2:$L$3001,MATCH(C1463&amp;"|"&amp;(H1463-1),$I$2:$I$3001,0))))</f>
        <v/>
      </c>
      <c r="K1463" s="6">
        <f>IF(C1463="","",IF(M1463&gt;0,M1463,IF(AND(E1463&gt;0,ROUND(J1463+D1463-E1463,2)&gt;0,ROUND(J1463+D1463-E1463,2)&lt;'Opening Balance'!$B$14),ROUND(J1463+D1463-E1463,2),0)))</f>
        <v/>
      </c>
      <c r="L1463" s="6">
        <f>IF(C1463="","",ROUND(J1463+D1463-E1463-K1463,2))</f>
        <v/>
      </c>
      <c r="M1463" s="6">
        <f>IF(C1463="","",IF('Daily Sale entry '!Q1463="Collection 收款",ROUND(N('Daily Sale entry '!T1463),2),0))</f>
        <v/>
      </c>
    </row>
    <row r="1464">
      <c r="A1464" t="inlineStr">
        <is>
          <t>Entry 记录</t>
        </is>
      </c>
      <c r="B1464" s="5">
        <f>IF('Daily Sale entry '!P1464="","",'Daily Sale entry '!O1464)</f>
        <v/>
      </c>
      <c r="C1464">
        <f>IF('Daily Sale entry '!P1464="","",'Daily Sale entry '!P1464)</f>
        <v/>
      </c>
      <c r="D1464">
        <f>IF(C1464="","",IF('Daily Sale entry '!Q1464="Credit Sale 赊销",'Daily Sale entry '!S1464,0))</f>
        <v/>
      </c>
      <c r="E1464">
        <f>IF(C1464="","",IF('Daily Sale entry '!Q1464="Collection 收款",'Daily Sale entry '!S1464,0))</f>
        <v/>
      </c>
      <c r="F1464" s="37">
        <f>IF(C1464="","",B1464+IF(E1464&gt;0,0,0.5)+ROW()/10000000)</f>
        <v/>
      </c>
      <c r="G1464">
        <f>IF(C1464="","",'Daily Sale entry '!Q1464&amp;IF('Daily Sale entry '!Q1464="Collection 收款"," ("&amp;'Daily Sale entry '!R1464&amp;")","")&amp;IF('Daily Sale entry '!U1464="",""," - "&amp;'Daily Sale entry '!U1464))</f>
        <v/>
      </c>
      <c r="H1464">
        <f>IF(C1464="","",COUNTIFS($C$2:$C$3001,C1464,$F$2:$F$3001,"&lt;"&amp;F1464)+1)</f>
        <v/>
      </c>
      <c r="I1464">
        <f>IF(C1464="","",C1464&amp;"|"&amp;H1464)</f>
        <v/>
      </c>
      <c r="J1464" s="6">
        <f>IF(C1464="","",IF(H1464=1,SUMIFS('Opening Balance'!$F$4:$F$303,'Opening Balance'!$G$4:$G$303,C1464),INDEX($L$2:$L$3001,MATCH(C1464&amp;"|"&amp;(H1464-1),$I$2:$I$3001,0))))</f>
        <v/>
      </c>
      <c r="K1464" s="6">
        <f>IF(C1464="","",IF(M1464&gt;0,M1464,IF(AND(E1464&gt;0,ROUND(J1464+D1464-E1464,2)&gt;0,ROUND(J1464+D1464-E1464,2)&lt;'Opening Balance'!$B$14),ROUND(J1464+D1464-E1464,2),0)))</f>
        <v/>
      </c>
      <c r="L1464" s="6">
        <f>IF(C1464="","",ROUND(J1464+D1464-E1464-K1464,2))</f>
        <v/>
      </c>
      <c r="M1464" s="6">
        <f>IF(C1464="","",IF('Daily Sale entry '!Q1464="Collection 收款",ROUND(N('Daily Sale entry '!T1464),2),0))</f>
        <v/>
      </c>
    </row>
    <row r="1465">
      <c r="A1465" t="inlineStr">
        <is>
          <t>Entry 记录</t>
        </is>
      </c>
      <c r="B1465" s="5">
        <f>IF('Daily Sale entry '!P1465="","",'Daily Sale entry '!O1465)</f>
        <v/>
      </c>
      <c r="C1465">
        <f>IF('Daily Sale entry '!P1465="","",'Daily Sale entry '!P1465)</f>
        <v/>
      </c>
      <c r="D1465">
        <f>IF(C1465="","",IF('Daily Sale entry '!Q1465="Credit Sale 赊销",'Daily Sale entry '!S1465,0))</f>
        <v/>
      </c>
      <c r="E1465">
        <f>IF(C1465="","",IF('Daily Sale entry '!Q1465="Collection 收款",'Daily Sale entry '!S1465,0))</f>
        <v/>
      </c>
      <c r="F1465" s="37">
        <f>IF(C1465="","",B1465+IF(E1465&gt;0,0,0.5)+ROW()/10000000)</f>
        <v/>
      </c>
      <c r="G1465">
        <f>IF(C1465="","",'Daily Sale entry '!Q1465&amp;IF('Daily Sale entry '!Q1465="Collection 收款"," ("&amp;'Daily Sale entry '!R1465&amp;")","")&amp;IF('Daily Sale entry '!U1465="",""," - "&amp;'Daily Sale entry '!U1465))</f>
        <v/>
      </c>
      <c r="H1465">
        <f>IF(C1465="","",COUNTIFS($C$2:$C$3001,C1465,$F$2:$F$3001,"&lt;"&amp;F1465)+1)</f>
        <v/>
      </c>
      <c r="I1465">
        <f>IF(C1465="","",C1465&amp;"|"&amp;H1465)</f>
        <v/>
      </c>
      <c r="J1465" s="6">
        <f>IF(C1465="","",IF(H1465=1,SUMIFS('Opening Balance'!$F$4:$F$303,'Opening Balance'!$G$4:$G$303,C1465),INDEX($L$2:$L$3001,MATCH(C1465&amp;"|"&amp;(H1465-1),$I$2:$I$3001,0))))</f>
        <v/>
      </c>
      <c r="K1465" s="6">
        <f>IF(C1465="","",IF(M1465&gt;0,M1465,IF(AND(E1465&gt;0,ROUND(J1465+D1465-E1465,2)&gt;0,ROUND(J1465+D1465-E1465,2)&lt;'Opening Balance'!$B$14),ROUND(J1465+D1465-E1465,2),0)))</f>
        <v/>
      </c>
      <c r="L1465" s="6">
        <f>IF(C1465="","",ROUND(J1465+D1465-E1465-K1465,2))</f>
        <v/>
      </c>
      <c r="M1465" s="6">
        <f>IF(C1465="","",IF('Daily Sale entry '!Q1465="Collection 收款",ROUND(N('Daily Sale entry '!T1465),2),0))</f>
        <v/>
      </c>
    </row>
    <row r="1466">
      <c r="A1466" t="inlineStr">
        <is>
          <t>Entry 记录</t>
        </is>
      </c>
      <c r="B1466" s="5">
        <f>IF('Daily Sale entry '!P1466="","",'Daily Sale entry '!O1466)</f>
        <v/>
      </c>
      <c r="C1466">
        <f>IF('Daily Sale entry '!P1466="","",'Daily Sale entry '!P1466)</f>
        <v/>
      </c>
      <c r="D1466">
        <f>IF(C1466="","",IF('Daily Sale entry '!Q1466="Credit Sale 赊销",'Daily Sale entry '!S1466,0))</f>
        <v/>
      </c>
      <c r="E1466">
        <f>IF(C1466="","",IF('Daily Sale entry '!Q1466="Collection 收款",'Daily Sale entry '!S1466,0))</f>
        <v/>
      </c>
      <c r="F1466" s="37">
        <f>IF(C1466="","",B1466+IF(E1466&gt;0,0,0.5)+ROW()/10000000)</f>
        <v/>
      </c>
      <c r="G1466">
        <f>IF(C1466="","",'Daily Sale entry '!Q1466&amp;IF('Daily Sale entry '!Q1466="Collection 收款"," ("&amp;'Daily Sale entry '!R1466&amp;")","")&amp;IF('Daily Sale entry '!U1466="",""," - "&amp;'Daily Sale entry '!U1466))</f>
        <v/>
      </c>
      <c r="H1466">
        <f>IF(C1466="","",COUNTIFS($C$2:$C$3001,C1466,$F$2:$F$3001,"&lt;"&amp;F1466)+1)</f>
        <v/>
      </c>
      <c r="I1466">
        <f>IF(C1466="","",C1466&amp;"|"&amp;H1466)</f>
        <v/>
      </c>
      <c r="J1466" s="6">
        <f>IF(C1466="","",IF(H1466=1,SUMIFS('Opening Balance'!$F$4:$F$303,'Opening Balance'!$G$4:$G$303,C1466),INDEX($L$2:$L$3001,MATCH(C1466&amp;"|"&amp;(H1466-1),$I$2:$I$3001,0))))</f>
        <v/>
      </c>
      <c r="K1466" s="6">
        <f>IF(C1466="","",IF(M1466&gt;0,M1466,IF(AND(E1466&gt;0,ROUND(J1466+D1466-E1466,2)&gt;0,ROUND(J1466+D1466-E1466,2)&lt;'Opening Balance'!$B$14),ROUND(J1466+D1466-E1466,2),0)))</f>
        <v/>
      </c>
      <c r="L1466" s="6">
        <f>IF(C1466="","",ROUND(J1466+D1466-E1466-K1466,2))</f>
        <v/>
      </c>
      <c r="M1466" s="6">
        <f>IF(C1466="","",IF('Daily Sale entry '!Q1466="Collection 收款",ROUND(N('Daily Sale entry '!T1466),2),0))</f>
        <v/>
      </c>
    </row>
    <row r="1467">
      <c r="A1467" t="inlineStr">
        <is>
          <t>Entry 记录</t>
        </is>
      </c>
      <c r="B1467" s="5">
        <f>IF('Daily Sale entry '!P1467="","",'Daily Sale entry '!O1467)</f>
        <v/>
      </c>
      <c r="C1467">
        <f>IF('Daily Sale entry '!P1467="","",'Daily Sale entry '!P1467)</f>
        <v/>
      </c>
      <c r="D1467">
        <f>IF(C1467="","",IF('Daily Sale entry '!Q1467="Credit Sale 赊销",'Daily Sale entry '!S1467,0))</f>
        <v/>
      </c>
      <c r="E1467">
        <f>IF(C1467="","",IF('Daily Sale entry '!Q1467="Collection 收款",'Daily Sale entry '!S1467,0))</f>
        <v/>
      </c>
      <c r="F1467" s="37">
        <f>IF(C1467="","",B1467+IF(E1467&gt;0,0,0.5)+ROW()/10000000)</f>
        <v/>
      </c>
      <c r="G1467">
        <f>IF(C1467="","",'Daily Sale entry '!Q1467&amp;IF('Daily Sale entry '!Q1467="Collection 收款"," ("&amp;'Daily Sale entry '!R1467&amp;")","")&amp;IF('Daily Sale entry '!U1467="",""," - "&amp;'Daily Sale entry '!U1467))</f>
        <v/>
      </c>
      <c r="H1467">
        <f>IF(C1467="","",COUNTIFS($C$2:$C$3001,C1467,$F$2:$F$3001,"&lt;"&amp;F1467)+1)</f>
        <v/>
      </c>
      <c r="I1467">
        <f>IF(C1467="","",C1467&amp;"|"&amp;H1467)</f>
        <v/>
      </c>
      <c r="J1467" s="6">
        <f>IF(C1467="","",IF(H1467=1,SUMIFS('Opening Balance'!$F$4:$F$303,'Opening Balance'!$G$4:$G$303,C1467),INDEX($L$2:$L$3001,MATCH(C1467&amp;"|"&amp;(H1467-1),$I$2:$I$3001,0))))</f>
        <v/>
      </c>
      <c r="K1467" s="6">
        <f>IF(C1467="","",IF(M1467&gt;0,M1467,IF(AND(E1467&gt;0,ROUND(J1467+D1467-E1467,2)&gt;0,ROUND(J1467+D1467-E1467,2)&lt;'Opening Balance'!$B$14),ROUND(J1467+D1467-E1467,2),0)))</f>
        <v/>
      </c>
      <c r="L1467" s="6">
        <f>IF(C1467="","",ROUND(J1467+D1467-E1467-K1467,2))</f>
        <v/>
      </c>
      <c r="M1467" s="6">
        <f>IF(C1467="","",IF('Daily Sale entry '!Q1467="Collection 收款",ROUND(N('Daily Sale entry '!T1467),2),0))</f>
        <v/>
      </c>
    </row>
    <row r="1468">
      <c r="A1468" t="inlineStr">
        <is>
          <t>Entry 记录</t>
        </is>
      </c>
      <c r="B1468" s="5">
        <f>IF('Daily Sale entry '!P1468="","",'Daily Sale entry '!O1468)</f>
        <v/>
      </c>
      <c r="C1468">
        <f>IF('Daily Sale entry '!P1468="","",'Daily Sale entry '!P1468)</f>
        <v/>
      </c>
      <c r="D1468">
        <f>IF(C1468="","",IF('Daily Sale entry '!Q1468="Credit Sale 赊销",'Daily Sale entry '!S1468,0))</f>
        <v/>
      </c>
      <c r="E1468">
        <f>IF(C1468="","",IF('Daily Sale entry '!Q1468="Collection 收款",'Daily Sale entry '!S1468,0))</f>
        <v/>
      </c>
      <c r="F1468" s="37">
        <f>IF(C1468="","",B1468+IF(E1468&gt;0,0,0.5)+ROW()/10000000)</f>
        <v/>
      </c>
      <c r="G1468">
        <f>IF(C1468="","",'Daily Sale entry '!Q1468&amp;IF('Daily Sale entry '!Q1468="Collection 收款"," ("&amp;'Daily Sale entry '!R1468&amp;")","")&amp;IF('Daily Sale entry '!U1468="",""," - "&amp;'Daily Sale entry '!U1468))</f>
        <v/>
      </c>
      <c r="H1468">
        <f>IF(C1468="","",COUNTIFS($C$2:$C$3001,C1468,$F$2:$F$3001,"&lt;"&amp;F1468)+1)</f>
        <v/>
      </c>
      <c r="I1468">
        <f>IF(C1468="","",C1468&amp;"|"&amp;H1468)</f>
        <v/>
      </c>
      <c r="J1468" s="6">
        <f>IF(C1468="","",IF(H1468=1,SUMIFS('Opening Balance'!$F$4:$F$303,'Opening Balance'!$G$4:$G$303,C1468),INDEX($L$2:$L$3001,MATCH(C1468&amp;"|"&amp;(H1468-1),$I$2:$I$3001,0))))</f>
        <v/>
      </c>
      <c r="K1468" s="6">
        <f>IF(C1468="","",IF(M1468&gt;0,M1468,IF(AND(E1468&gt;0,ROUND(J1468+D1468-E1468,2)&gt;0,ROUND(J1468+D1468-E1468,2)&lt;'Opening Balance'!$B$14),ROUND(J1468+D1468-E1468,2),0)))</f>
        <v/>
      </c>
      <c r="L1468" s="6">
        <f>IF(C1468="","",ROUND(J1468+D1468-E1468-K1468,2))</f>
        <v/>
      </c>
      <c r="M1468" s="6">
        <f>IF(C1468="","",IF('Daily Sale entry '!Q1468="Collection 收款",ROUND(N('Daily Sale entry '!T1468),2),0))</f>
        <v/>
      </c>
    </row>
    <row r="1469">
      <c r="A1469" t="inlineStr">
        <is>
          <t>Entry 记录</t>
        </is>
      </c>
      <c r="B1469" s="5">
        <f>IF('Daily Sale entry '!P1469="","",'Daily Sale entry '!O1469)</f>
        <v/>
      </c>
      <c r="C1469">
        <f>IF('Daily Sale entry '!P1469="","",'Daily Sale entry '!P1469)</f>
        <v/>
      </c>
      <c r="D1469">
        <f>IF(C1469="","",IF('Daily Sale entry '!Q1469="Credit Sale 赊销",'Daily Sale entry '!S1469,0))</f>
        <v/>
      </c>
      <c r="E1469">
        <f>IF(C1469="","",IF('Daily Sale entry '!Q1469="Collection 收款",'Daily Sale entry '!S1469,0))</f>
        <v/>
      </c>
      <c r="F1469" s="37">
        <f>IF(C1469="","",B1469+IF(E1469&gt;0,0,0.5)+ROW()/10000000)</f>
        <v/>
      </c>
      <c r="G1469">
        <f>IF(C1469="","",'Daily Sale entry '!Q1469&amp;IF('Daily Sale entry '!Q1469="Collection 收款"," ("&amp;'Daily Sale entry '!R1469&amp;")","")&amp;IF('Daily Sale entry '!U1469="",""," - "&amp;'Daily Sale entry '!U1469))</f>
        <v/>
      </c>
      <c r="H1469">
        <f>IF(C1469="","",COUNTIFS($C$2:$C$3001,C1469,$F$2:$F$3001,"&lt;"&amp;F1469)+1)</f>
        <v/>
      </c>
      <c r="I1469">
        <f>IF(C1469="","",C1469&amp;"|"&amp;H1469)</f>
        <v/>
      </c>
      <c r="J1469" s="6">
        <f>IF(C1469="","",IF(H1469=1,SUMIFS('Opening Balance'!$F$4:$F$303,'Opening Balance'!$G$4:$G$303,C1469),INDEX($L$2:$L$3001,MATCH(C1469&amp;"|"&amp;(H1469-1),$I$2:$I$3001,0))))</f>
        <v/>
      </c>
      <c r="K1469" s="6">
        <f>IF(C1469="","",IF(M1469&gt;0,M1469,IF(AND(E1469&gt;0,ROUND(J1469+D1469-E1469,2)&gt;0,ROUND(J1469+D1469-E1469,2)&lt;'Opening Balance'!$B$14),ROUND(J1469+D1469-E1469,2),0)))</f>
        <v/>
      </c>
      <c r="L1469" s="6">
        <f>IF(C1469="","",ROUND(J1469+D1469-E1469-K1469,2))</f>
        <v/>
      </c>
      <c r="M1469" s="6">
        <f>IF(C1469="","",IF('Daily Sale entry '!Q1469="Collection 收款",ROUND(N('Daily Sale entry '!T1469),2),0))</f>
        <v/>
      </c>
    </row>
    <row r="1470">
      <c r="A1470" t="inlineStr">
        <is>
          <t>Entry 记录</t>
        </is>
      </c>
      <c r="B1470" s="5">
        <f>IF('Daily Sale entry '!P1470="","",'Daily Sale entry '!O1470)</f>
        <v/>
      </c>
      <c r="C1470">
        <f>IF('Daily Sale entry '!P1470="","",'Daily Sale entry '!P1470)</f>
        <v/>
      </c>
      <c r="D1470">
        <f>IF(C1470="","",IF('Daily Sale entry '!Q1470="Credit Sale 赊销",'Daily Sale entry '!S1470,0))</f>
        <v/>
      </c>
      <c r="E1470">
        <f>IF(C1470="","",IF('Daily Sale entry '!Q1470="Collection 收款",'Daily Sale entry '!S1470,0))</f>
        <v/>
      </c>
      <c r="F1470" s="37">
        <f>IF(C1470="","",B1470+IF(E1470&gt;0,0,0.5)+ROW()/10000000)</f>
        <v/>
      </c>
      <c r="G1470">
        <f>IF(C1470="","",'Daily Sale entry '!Q1470&amp;IF('Daily Sale entry '!Q1470="Collection 收款"," ("&amp;'Daily Sale entry '!R1470&amp;")","")&amp;IF('Daily Sale entry '!U1470="",""," - "&amp;'Daily Sale entry '!U1470))</f>
        <v/>
      </c>
      <c r="H1470">
        <f>IF(C1470="","",COUNTIFS($C$2:$C$3001,C1470,$F$2:$F$3001,"&lt;"&amp;F1470)+1)</f>
        <v/>
      </c>
      <c r="I1470">
        <f>IF(C1470="","",C1470&amp;"|"&amp;H1470)</f>
        <v/>
      </c>
      <c r="J1470" s="6">
        <f>IF(C1470="","",IF(H1470=1,SUMIFS('Opening Balance'!$F$4:$F$303,'Opening Balance'!$G$4:$G$303,C1470),INDEX($L$2:$L$3001,MATCH(C1470&amp;"|"&amp;(H1470-1),$I$2:$I$3001,0))))</f>
        <v/>
      </c>
      <c r="K1470" s="6">
        <f>IF(C1470="","",IF(M1470&gt;0,M1470,IF(AND(E1470&gt;0,ROUND(J1470+D1470-E1470,2)&gt;0,ROUND(J1470+D1470-E1470,2)&lt;'Opening Balance'!$B$14),ROUND(J1470+D1470-E1470,2),0)))</f>
        <v/>
      </c>
      <c r="L1470" s="6">
        <f>IF(C1470="","",ROUND(J1470+D1470-E1470-K1470,2))</f>
        <v/>
      </c>
      <c r="M1470" s="6">
        <f>IF(C1470="","",IF('Daily Sale entry '!Q1470="Collection 收款",ROUND(N('Daily Sale entry '!T1470),2),0))</f>
        <v/>
      </c>
    </row>
    <row r="1471">
      <c r="A1471" t="inlineStr">
        <is>
          <t>Entry 记录</t>
        </is>
      </c>
      <c r="B1471" s="5">
        <f>IF('Daily Sale entry '!P1471="","",'Daily Sale entry '!O1471)</f>
        <v/>
      </c>
      <c r="C1471">
        <f>IF('Daily Sale entry '!P1471="","",'Daily Sale entry '!P1471)</f>
        <v/>
      </c>
      <c r="D1471">
        <f>IF(C1471="","",IF('Daily Sale entry '!Q1471="Credit Sale 赊销",'Daily Sale entry '!S1471,0))</f>
        <v/>
      </c>
      <c r="E1471">
        <f>IF(C1471="","",IF('Daily Sale entry '!Q1471="Collection 收款",'Daily Sale entry '!S1471,0))</f>
        <v/>
      </c>
      <c r="F1471" s="37">
        <f>IF(C1471="","",B1471+IF(E1471&gt;0,0,0.5)+ROW()/10000000)</f>
        <v/>
      </c>
      <c r="G1471">
        <f>IF(C1471="","",'Daily Sale entry '!Q1471&amp;IF('Daily Sale entry '!Q1471="Collection 收款"," ("&amp;'Daily Sale entry '!R1471&amp;")","")&amp;IF('Daily Sale entry '!U1471="",""," - "&amp;'Daily Sale entry '!U1471))</f>
        <v/>
      </c>
      <c r="H1471">
        <f>IF(C1471="","",COUNTIFS($C$2:$C$3001,C1471,$F$2:$F$3001,"&lt;"&amp;F1471)+1)</f>
        <v/>
      </c>
      <c r="I1471">
        <f>IF(C1471="","",C1471&amp;"|"&amp;H1471)</f>
        <v/>
      </c>
      <c r="J1471" s="6">
        <f>IF(C1471="","",IF(H1471=1,SUMIFS('Opening Balance'!$F$4:$F$303,'Opening Balance'!$G$4:$G$303,C1471),INDEX($L$2:$L$3001,MATCH(C1471&amp;"|"&amp;(H1471-1),$I$2:$I$3001,0))))</f>
        <v/>
      </c>
      <c r="K1471" s="6">
        <f>IF(C1471="","",IF(M1471&gt;0,M1471,IF(AND(E1471&gt;0,ROUND(J1471+D1471-E1471,2)&gt;0,ROUND(J1471+D1471-E1471,2)&lt;'Opening Balance'!$B$14),ROUND(J1471+D1471-E1471,2),0)))</f>
        <v/>
      </c>
      <c r="L1471" s="6">
        <f>IF(C1471="","",ROUND(J1471+D1471-E1471-K1471,2))</f>
        <v/>
      </c>
      <c r="M1471" s="6">
        <f>IF(C1471="","",IF('Daily Sale entry '!Q1471="Collection 收款",ROUND(N('Daily Sale entry '!T1471),2),0))</f>
        <v/>
      </c>
    </row>
    <row r="1472">
      <c r="A1472" t="inlineStr">
        <is>
          <t>Entry 记录</t>
        </is>
      </c>
      <c r="B1472" s="5">
        <f>IF('Daily Sale entry '!P1472="","",'Daily Sale entry '!O1472)</f>
        <v/>
      </c>
      <c r="C1472">
        <f>IF('Daily Sale entry '!P1472="","",'Daily Sale entry '!P1472)</f>
        <v/>
      </c>
      <c r="D1472">
        <f>IF(C1472="","",IF('Daily Sale entry '!Q1472="Credit Sale 赊销",'Daily Sale entry '!S1472,0))</f>
        <v/>
      </c>
      <c r="E1472">
        <f>IF(C1472="","",IF('Daily Sale entry '!Q1472="Collection 收款",'Daily Sale entry '!S1472,0))</f>
        <v/>
      </c>
      <c r="F1472" s="37">
        <f>IF(C1472="","",B1472+IF(E1472&gt;0,0,0.5)+ROW()/10000000)</f>
        <v/>
      </c>
      <c r="G1472">
        <f>IF(C1472="","",'Daily Sale entry '!Q1472&amp;IF('Daily Sale entry '!Q1472="Collection 收款"," ("&amp;'Daily Sale entry '!R1472&amp;")","")&amp;IF('Daily Sale entry '!U1472="",""," - "&amp;'Daily Sale entry '!U1472))</f>
        <v/>
      </c>
      <c r="H1472">
        <f>IF(C1472="","",COUNTIFS($C$2:$C$3001,C1472,$F$2:$F$3001,"&lt;"&amp;F1472)+1)</f>
        <v/>
      </c>
      <c r="I1472">
        <f>IF(C1472="","",C1472&amp;"|"&amp;H1472)</f>
        <v/>
      </c>
      <c r="J1472" s="6">
        <f>IF(C1472="","",IF(H1472=1,SUMIFS('Opening Balance'!$F$4:$F$303,'Opening Balance'!$G$4:$G$303,C1472),INDEX($L$2:$L$3001,MATCH(C1472&amp;"|"&amp;(H1472-1),$I$2:$I$3001,0))))</f>
        <v/>
      </c>
      <c r="K1472" s="6">
        <f>IF(C1472="","",IF(M1472&gt;0,M1472,IF(AND(E1472&gt;0,ROUND(J1472+D1472-E1472,2)&gt;0,ROUND(J1472+D1472-E1472,2)&lt;'Opening Balance'!$B$14),ROUND(J1472+D1472-E1472,2),0)))</f>
        <v/>
      </c>
      <c r="L1472" s="6">
        <f>IF(C1472="","",ROUND(J1472+D1472-E1472-K1472,2))</f>
        <v/>
      </c>
      <c r="M1472" s="6">
        <f>IF(C1472="","",IF('Daily Sale entry '!Q1472="Collection 收款",ROUND(N('Daily Sale entry '!T1472),2),0))</f>
        <v/>
      </c>
    </row>
    <row r="1473">
      <c r="A1473" t="inlineStr">
        <is>
          <t>Entry 记录</t>
        </is>
      </c>
      <c r="B1473" s="5">
        <f>IF('Daily Sale entry '!P1473="","",'Daily Sale entry '!O1473)</f>
        <v/>
      </c>
      <c r="C1473">
        <f>IF('Daily Sale entry '!P1473="","",'Daily Sale entry '!P1473)</f>
        <v/>
      </c>
      <c r="D1473">
        <f>IF(C1473="","",IF('Daily Sale entry '!Q1473="Credit Sale 赊销",'Daily Sale entry '!S1473,0))</f>
        <v/>
      </c>
      <c r="E1473">
        <f>IF(C1473="","",IF('Daily Sale entry '!Q1473="Collection 收款",'Daily Sale entry '!S1473,0))</f>
        <v/>
      </c>
      <c r="F1473" s="37">
        <f>IF(C1473="","",B1473+IF(E1473&gt;0,0,0.5)+ROW()/10000000)</f>
        <v/>
      </c>
      <c r="G1473">
        <f>IF(C1473="","",'Daily Sale entry '!Q1473&amp;IF('Daily Sale entry '!Q1473="Collection 收款"," ("&amp;'Daily Sale entry '!R1473&amp;")","")&amp;IF('Daily Sale entry '!U1473="",""," - "&amp;'Daily Sale entry '!U1473))</f>
        <v/>
      </c>
      <c r="H1473">
        <f>IF(C1473="","",COUNTIFS($C$2:$C$3001,C1473,$F$2:$F$3001,"&lt;"&amp;F1473)+1)</f>
        <v/>
      </c>
      <c r="I1473">
        <f>IF(C1473="","",C1473&amp;"|"&amp;H1473)</f>
        <v/>
      </c>
      <c r="J1473" s="6">
        <f>IF(C1473="","",IF(H1473=1,SUMIFS('Opening Balance'!$F$4:$F$303,'Opening Balance'!$G$4:$G$303,C1473),INDEX($L$2:$L$3001,MATCH(C1473&amp;"|"&amp;(H1473-1),$I$2:$I$3001,0))))</f>
        <v/>
      </c>
      <c r="K1473" s="6">
        <f>IF(C1473="","",IF(M1473&gt;0,M1473,IF(AND(E1473&gt;0,ROUND(J1473+D1473-E1473,2)&gt;0,ROUND(J1473+D1473-E1473,2)&lt;'Opening Balance'!$B$14),ROUND(J1473+D1473-E1473,2),0)))</f>
        <v/>
      </c>
      <c r="L1473" s="6">
        <f>IF(C1473="","",ROUND(J1473+D1473-E1473-K1473,2))</f>
        <v/>
      </c>
      <c r="M1473" s="6">
        <f>IF(C1473="","",IF('Daily Sale entry '!Q1473="Collection 收款",ROUND(N('Daily Sale entry '!T1473),2),0))</f>
        <v/>
      </c>
    </row>
    <row r="1474">
      <c r="A1474" t="inlineStr">
        <is>
          <t>Entry 记录</t>
        </is>
      </c>
      <c r="B1474" s="5">
        <f>IF('Daily Sale entry '!P1474="","",'Daily Sale entry '!O1474)</f>
        <v/>
      </c>
      <c r="C1474">
        <f>IF('Daily Sale entry '!P1474="","",'Daily Sale entry '!P1474)</f>
        <v/>
      </c>
      <c r="D1474">
        <f>IF(C1474="","",IF('Daily Sale entry '!Q1474="Credit Sale 赊销",'Daily Sale entry '!S1474,0))</f>
        <v/>
      </c>
      <c r="E1474">
        <f>IF(C1474="","",IF('Daily Sale entry '!Q1474="Collection 收款",'Daily Sale entry '!S1474,0))</f>
        <v/>
      </c>
      <c r="F1474" s="37">
        <f>IF(C1474="","",B1474+IF(E1474&gt;0,0,0.5)+ROW()/10000000)</f>
        <v/>
      </c>
      <c r="G1474">
        <f>IF(C1474="","",'Daily Sale entry '!Q1474&amp;IF('Daily Sale entry '!Q1474="Collection 收款"," ("&amp;'Daily Sale entry '!R1474&amp;")","")&amp;IF('Daily Sale entry '!U1474="",""," - "&amp;'Daily Sale entry '!U1474))</f>
        <v/>
      </c>
      <c r="H1474">
        <f>IF(C1474="","",COUNTIFS($C$2:$C$3001,C1474,$F$2:$F$3001,"&lt;"&amp;F1474)+1)</f>
        <v/>
      </c>
      <c r="I1474">
        <f>IF(C1474="","",C1474&amp;"|"&amp;H1474)</f>
        <v/>
      </c>
      <c r="J1474" s="6">
        <f>IF(C1474="","",IF(H1474=1,SUMIFS('Opening Balance'!$F$4:$F$303,'Opening Balance'!$G$4:$G$303,C1474),INDEX($L$2:$L$3001,MATCH(C1474&amp;"|"&amp;(H1474-1),$I$2:$I$3001,0))))</f>
        <v/>
      </c>
      <c r="K1474" s="6">
        <f>IF(C1474="","",IF(M1474&gt;0,M1474,IF(AND(E1474&gt;0,ROUND(J1474+D1474-E1474,2)&gt;0,ROUND(J1474+D1474-E1474,2)&lt;'Opening Balance'!$B$14),ROUND(J1474+D1474-E1474,2),0)))</f>
        <v/>
      </c>
      <c r="L1474" s="6">
        <f>IF(C1474="","",ROUND(J1474+D1474-E1474-K1474,2))</f>
        <v/>
      </c>
      <c r="M1474" s="6">
        <f>IF(C1474="","",IF('Daily Sale entry '!Q1474="Collection 收款",ROUND(N('Daily Sale entry '!T1474),2),0))</f>
        <v/>
      </c>
    </row>
    <row r="1475">
      <c r="A1475" t="inlineStr">
        <is>
          <t>Entry 记录</t>
        </is>
      </c>
      <c r="B1475" s="5">
        <f>IF('Daily Sale entry '!P1475="","",'Daily Sale entry '!O1475)</f>
        <v/>
      </c>
      <c r="C1475">
        <f>IF('Daily Sale entry '!P1475="","",'Daily Sale entry '!P1475)</f>
        <v/>
      </c>
      <c r="D1475">
        <f>IF(C1475="","",IF('Daily Sale entry '!Q1475="Credit Sale 赊销",'Daily Sale entry '!S1475,0))</f>
        <v/>
      </c>
      <c r="E1475">
        <f>IF(C1475="","",IF('Daily Sale entry '!Q1475="Collection 收款",'Daily Sale entry '!S1475,0))</f>
        <v/>
      </c>
      <c r="F1475" s="37">
        <f>IF(C1475="","",B1475+IF(E1475&gt;0,0,0.5)+ROW()/10000000)</f>
        <v/>
      </c>
      <c r="G1475">
        <f>IF(C1475="","",'Daily Sale entry '!Q1475&amp;IF('Daily Sale entry '!Q1475="Collection 收款"," ("&amp;'Daily Sale entry '!R1475&amp;")","")&amp;IF('Daily Sale entry '!U1475="",""," - "&amp;'Daily Sale entry '!U1475))</f>
        <v/>
      </c>
      <c r="H1475">
        <f>IF(C1475="","",COUNTIFS($C$2:$C$3001,C1475,$F$2:$F$3001,"&lt;"&amp;F1475)+1)</f>
        <v/>
      </c>
      <c r="I1475">
        <f>IF(C1475="","",C1475&amp;"|"&amp;H1475)</f>
        <v/>
      </c>
      <c r="J1475" s="6">
        <f>IF(C1475="","",IF(H1475=1,SUMIFS('Opening Balance'!$F$4:$F$303,'Opening Balance'!$G$4:$G$303,C1475),INDEX($L$2:$L$3001,MATCH(C1475&amp;"|"&amp;(H1475-1),$I$2:$I$3001,0))))</f>
        <v/>
      </c>
      <c r="K1475" s="6">
        <f>IF(C1475="","",IF(M1475&gt;0,M1475,IF(AND(E1475&gt;0,ROUND(J1475+D1475-E1475,2)&gt;0,ROUND(J1475+D1475-E1475,2)&lt;'Opening Balance'!$B$14),ROUND(J1475+D1475-E1475,2),0)))</f>
        <v/>
      </c>
      <c r="L1475" s="6">
        <f>IF(C1475="","",ROUND(J1475+D1475-E1475-K1475,2))</f>
        <v/>
      </c>
      <c r="M1475" s="6">
        <f>IF(C1475="","",IF('Daily Sale entry '!Q1475="Collection 收款",ROUND(N('Daily Sale entry '!T1475),2),0))</f>
        <v/>
      </c>
    </row>
    <row r="1476">
      <c r="A1476" t="inlineStr">
        <is>
          <t>Entry 记录</t>
        </is>
      </c>
      <c r="B1476" s="5">
        <f>IF('Daily Sale entry '!P1476="","",'Daily Sale entry '!O1476)</f>
        <v/>
      </c>
      <c r="C1476">
        <f>IF('Daily Sale entry '!P1476="","",'Daily Sale entry '!P1476)</f>
        <v/>
      </c>
      <c r="D1476">
        <f>IF(C1476="","",IF('Daily Sale entry '!Q1476="Credit Sale 赊销",'Daily Sale entry '!S1476,0))</f>
        <v/>
      </c>
      <c r="E1476">
        <f>IF(C1476="","",IF('Daily Sale entry '!Q1476="Collection 收款",'Daily Sale entry '!S1476,0))</f>
        <v/>
      </c>
      <c r="F1476" s="37">
        <f>IF(C1476="","",B1476+IF(E1476&gt;0,0,0.5)+ROW()/10000000)</f>
        <v/>
      </c>
      <c r="G1476">
        <f>IF(C1476="","",'Daily Sale entry '!Q1476&amp;IF('Daily Sale entry '!Q1476="Collection 收款"," ("&amp;'Daily Sale entry '!R1476&amp;")","")&amp;IF('Daily Sale entry '!U1476="",""," - "&amp;'Daily Sale entry '!U1476))</f>
        <v/>
      </c>
      <c r="H1476">
        <f>IF(C1476="","",COUNTIFS($C$2:$C$3001,C1476,$F$2:$F$3001,"&lt;"&amp;F1476)+1)</f>
        <v/>
      </c>
      <c r="I1476">
        <f>IF(C1476="","",C1476&amp;"|"&amp;H1476)</f>
        <v/>
      </c>
      <c r="J1476" s="6">
        <f>IF(C1476="","",IF(H1476=1,SUMIFS('Opening Balance'!$F$4:$F$303,'Opening Balance'!$G$4:$G$303,C1476),INDEX($L$2:$L$3001,MATCH(C1476&amp;"|"&amp;(H1476-1),$I$2:$I$3001,0))))</f>
        <v/>
      </c>
      <c r="K1476" s="6">
        <f>IF(C1476="","",IF(M1476&gt;0,M1476,IF(AND(E1476&gt;0,ROUND(J1476+D1476-E1476,2)&gt;0,ROUND(J1476+D1476-E1476,2)&lt;'Opening Balance'!$B$14),ROUND(J1476+D1476-E1476,2),0)))</f>
        <v/>
      </c>
      <c r="L1476" s="6">
        <f>IF(C1476="","",ROUND(J1476+D1476-E1476-K1476,2))</f>
        <v/>
      </c>
      <c r="M1476" s="6">
        <f>IF(C1476="","",IF('Daily Sale entry '!Q1476="Collection 收款",ROUND(N('Daily Sale entry '!T1476),2),0))</f>
        <v/>
      </c>
    </row>
    <row r="1477">
      <c r="A1477" t="inlineStr">
        <is>
          <t>Entry 记录</t>
        </is>
      </c>
      <c r="B1477" s="5">
        <f>IF('Daily Sale entry '!P1477="","",'Daily Sale entry '!O1477)</f>
        <v/>
      </c>
      <c r="C1477">
        <f>IF('Daily Sale entry '!P1477="","",'Daily Sale entry '!P1477)</f>
        <v/>
      </c>
      <c r="D1477">
        <f>IF(C1477="","",IF('Daily Sale entry '!Q1477="Credit Sale 赊销",'Daily Sale entry '!S1477,0))</f>
        <v/>
      </c>
      <c r="E1477">
        <f>IF(C1477="","",IF('Daily Sale entry '!Q1477="Collection 收款",'Daily Sale entry '!S1477,0))</f>
        <v/>
      </c>
      <c r="F1477" s="37">
        <f>IF(C1477="","",B1477+IF(E1477&gt;0,0,0.5)+ROW()/10000000)</f>
        <v/>
      </c>
      <c r="G1477">
        <f>IF(C1477="","",'Daily Sale entry '!Q1477&amp;IF('Daily Sale entry '!Q1477="Collection 收款"," ("&amp;'Daily Sale entry '!R1477&amp;")","")&amp;IF('Daily Sale entry '!U1477="",""," - "&amp;'Daily Sale entry '!U1477))</f>
        <v/>
      </c>
      <c r="H1477">
        <f>IF(C1477="","",COUNTIFS($C$2:$C$3001,C1477,$F$2:$F$3001,"&lt;"&amp;F1477)+1)</f>
        <v/>
      </c>
      <c r="I1477">
        <f>IF(C1477="","",C1477&amp;"|"&amp;H1477)</f>
        <v/>
      </c>
      <c r="J1477" s="6">
        <f>IF(C1477="","",IF(H1477=1,SUMIFS('Opening Balance'!$F$4:$F$303,'Opening Balance'!$G$4:$G$303,C1477),INDEX($L$2:$L$3001,MATCH(C1477&amp;"|"&amp;(H1477-1),$I$2:$I$3001,0))))</f>
        <v/>
      </c>
      <c r="K1477" s="6">
        <f>IF(C1477="","",IF(M1477&gt;0,M1477,IF(AND(E1477&gt;0,ROUND(J1477+D1477-E1477,2)&gt;0,ROUND(J1477+D1477-E1477,2)&lt;'Opening Balance'!$B$14),ROUND(J1477+D1477-E1477,2),0)))</f>
        <v/>
      </c>
      <c r="L1477" s="6">
        <f>IF(C1477="","",ROUND(J1477+D1477-E1477-K1477,2))</f>
        <v/>
      </c>
      <c r="M1477" s="6">
        <f>IF(C1477="","",IF('Daily Sale entry '!Q1477="Collection 收款",ROUND(N('Daily Sale entry '!T1477),2),0))</f>
        <v/>
      </c>
    </row>
    <row r="1478">
      <c r="A1478" t="inlineStr">
        <is>
          <t>Entry 记录</t>
        </is>
      </c>
      <c r="B1478" s="5">
        <f>IF('Daily Sale entry '!P1478="","",'Daily Sale entry '!O1478)</f>
        <v/>
      </c>
      <c r="C1478">
        <f>IF('Daily Sale entry '!P1478="","",'Daily Sale entry '!P1478)</f>
        <v/>
      </c>
      <c r="D1478">
        <f>IF(C1478="","",IF('Daily Sale entry '!Q1478="Credit Sale 赊销",'Daily Sale entry '!S1478,0))</f>
        <v/>
      </c>
      <c r="E1478">
        <f>IF(C1478="","",IF('Daily Sale entry '!Q1478="Collection 收款",'Daily Sale entry '!S1478,0))</f>
        <v/>
      </c>
      <c r="F1478" s="37">
        <f>IF(C1478="","",B1478+IF(E1478&gt;0,0,0.5)+ROW()/10000000)</f>
        <v/>
      </c>
      <c r="G1478">
        <f>IF(C1478="","",'Daily Sale entry '!Q1478&amp;IF('Daily Sale entry '!Q1478="Collection 收款"," ("&amp;'Daily Sale entry '!R1478&amp;")","")&amp;IF('Daily Sale entry '!U1478="",""," - "&amp;'Daily Sale entry '!U1478))</f>
        <v/>
      </c>
      <c r="H1478">
        <f>IF(C1478="","",COUNTIFS($C$2:$C$3001,C1478,$F$2:$F$3001,"&lt;"&amp;F1478)+1)</f>
        <v/>
      </c>
      <c r="I1478">
        <f>IF(C1478="","",C1478&amp;"|"&amp;H1478)</f>
        <v/>
      </c>
      <c r="J1478" s="6">
        <f>IF(C1478="","",IF(H1478=1,SUMIFS('Opening Balance'!$F$4:$F$303,'Opening Balance'!$G$4:$G$303,C1478),INDEX($L$2:$L$3001,MATCH(C1478&amp;"|"&amp;(H1478-1),$I$2:$I$3001,0))))</f>
        <v/>
      </c>
      <c r="K1478" s="6">
        <f>IF(C1478="","",IF(M1478&gt;0,M1478,IF(AND(E1478&gt;0,ROUND(J1478+D1478-E1478,2)&gt;0,ROUND(J1478+D1478-E1478,2)&lt;'Opening Balance'!$B$14),ROUND(J1478+D1478-E1478,2),0)))</f>
        <v/>
      </c>
      <c r="L1478" s="6">
        <f>IF(C1478="","",ROUND(J1478+D1478-E1478-K1478,2))</f>
        <v/>
      </c>
      <c r="M1478" s="6">
        <f>IF(C1478="","",IF('Daily Sale entry '!Q1478="Collection 收款",ROUND(N('Daily Sale entry '!T1478),2),0))</f>
        <v/>
      </c>
    </row>
    <row r="1479">
      <c r="A1479" t="inlineStr">
        <is>
          <t>Entry 记录</t>
        </is>
      </c>
      <c r="B1479" s="5">
        <f>IF('Daily Sale entry '!P1479="","",'Daily Sale entry '!O1479)</f>
        <v/>
      </c>
      <c r="C1479">
        <f>IF('Daily Sale entry '!P1479="","",'Daily Sale entry '!P1479)</f>
        <v/>
      </c>
      <c r="D1479">
        <f>IF(C1479="","",IF('Daily Sale entry '!Q1479="Credit Sale 赊销",'Daily Sale entry '!S1479,0))</f>
        <v/>
      </c>
      <c r="E1479">
        <f>IF(C1479="","",IF('Daily Sale entry '!Q1479="Collection 收款",'Daily Sale entry '!S1479,0))</f>
        <v/>
      </c>
      <c r="F1479" s="37">
        <f>IF(C1479="","",B1479+IF(E1479&gt;0,0,0.5)+ROW()/10000000)</f>
        <v/>
      </c>
      <c r="G1479">
        <f>IF(C1479="","",'Daily Sale entry '!Q1479&amp;IF('Daily Sale entry '!Q1479="Collection 收款"," ("&amp;'Daily Sale entry '!R1479&amp;")","")&amp;IF('Daily Sale entry '!U1479="",""," - "&amp;'Daily Sale entry '!U1479))</f>
        <v/>
      </c>
      <c r="H1479">
        <f>IF(C1479="","",COUNTIFS($C$2:$C$3001,C1479,$F$2:$F$3001,"&lt;"&amp;F1479)+1)</f>
        <v/>
      </c>
      <c r="I1479">
        <f>IF(C1479="","",C1479&amp;"|"&amp;H1479)</f>
        <v/>
      </c>
      <c r="J1479" s="6">
        <f>IF(C1479="","",IF(H1479=1,SUMIFS('Opening Balance'!$F$4:$F$303,'Opening Balance'!$G$4:$G$303,C1479),INDEX($L$2:$L$3001,MATCH(C1479&amp;"|"&amp;(H1479-1),$I$2:$I$3001,0))))</f>
        <v/>
      </c>
      <c r="K1479" s="6">
        <f>IF(C1479="","",IF(M1479&gt;0,M1479,IF(AND(E1479&gt;0,ROUND(J1479+D1479-E1479,2)&gt;0,ROUND(J1479+D1479-E1479,2)&lt;'Opening Balance'!$B$14),ROUND(J1479+D1479-E1479,2),0)))</f>
        <v/>
      </c>
      <c r="L1479" s="6">
        <f>IF(C1479="","",ROUND(J1479+D1479-E1479-K1479,2))</f>
        <v/>
      </c>
      <c r="M1479" s="6">
        <f>IF(C1479="","",IF('Daily Sale entry '!Q1479="Collection 收款",ROUND(N('Daily Sale entry '!T1479),2),0))</f>
        <v/>
      </c>
    </row>
    <row r="1480">
      <c r="A1480" t="inlineStr">
        <is>
          <t>Entry 记录</t>
        </is>
      </c>
      <c r="B1480" s="5">
        <f>IF('Daily Sale entry '!P1480="","",'Daily Sale entry '!O1480)</f>
        <v/>
      </c>
      <c r="C1480">
        <f>IF('Daily Sale entry '!P1480="","",'Daily Sale entry '!P1480)</f>
        <v/>
      </c>
      <c r="D1480">
        <f>IF(C1480="","",IF('Daily Sale entry '!Q1480="Credit Sale 赊销",'Daily Sale entry '!S1480,0))</f>
        <v/>
      </c>
      <c r="E1480">
        <f>IF(C1480="","",IF('Daily Sale entry '!Q1480="Collection 收款",'Daily Sale entry '!S1480,0))</f>
        <v/>
      </c>
      <c r="F1480" s="37">
        <f>IF(C1480="","",B1480+IF(E1480&gt;0,0,0.5)+ROW()/10000000)</f>
        <v/>
      </c>
      <c r="G1480">
        <f>IF(C1480="","",'Daily Sale entry '!Q1480&amp;IF('Daily Sale entry '!Q1480="Collection 收款"," ("&amp;'Daily Sale entry '!R1480&amp;")","")&amp;IF('Daily Sale entry '!U1480="",""," - "&amp;'Daily Sale entry '!U1480))</f>
        <v/>
      </c>
      <c r="H1480">
        <f>IF(C1480="","",COUNTIFS($C$2:$C$3001,C1480,$F$2:$F$3001,"&lt;"&amp;F1480)+1)</f>
        <v/>
      </c>
      <c r="I1480">
        <f>IF(C1480="","",C1480&amp;"|"&amp;H1480)</f>
        <v/>
      </c>
      <c r="J1480" s="6">
        <f>IF(C1480="","",IF(H1480=1,SUMIFS('Opening Balance'!$F$4:$F$303,'Opening Balance'!$G$4:$G$303,C1480),INDEX($L$2:$L$3001,MATCH(C1480&amp;"|"&amp;(H1480-1),$I$2:$I$3001,0))))</f>
        <v/>
      </c>
      <c r="K1480" s="6">
        <f>IF(C1480="","",IF(M1480&gt;0,M1480,IF(AND(E1480&gt;0,ROUND(J1480+D1480-E1480,2)&gt;0,ROUND(J1480+D1480-E1480,2)&lt;'Opening Balance'!$B$14),ROUND(J1480+D1480-E1480,2),0)))</f>
        <v/>
      </c>
      <c r="L1480" s="6">
        <f>IF(C1480="","",ROUND(J1480+D1480-E1480-K1480,2))</f>
        <v/>
      </c>
      <c r="M1480" s="6">
        <f>IF(C1480="","",IF('Daily Sale entry '!Q1480="Collection 收款",ROUND(N('Daily Sale entry '!T1480),2),0))</f>
        <v/>
      </c>
    </row>
    <row r="1481">
      <c r="A1481" t="inlineStr">
        <is>
          <t>Entry 记录</t>
        </is>
      </c>
      <c r="B1481" s="5">
        <f>IF('Daily Sale entry '!P1481="","",'Daily Sale entry '!O1481)</f>
        <v/>
      </c>
      <c r="C1481">
        <f>IF('Daily Sale entry '!P1481="","",'Daily Sale entry '!P1481)</f>
        <v/>
      </c>
      <c r="D1481">
        <f>IF(C1481="","",IF('Daily Sale entry '!Q1481="Credit Sale 赊销",'Daily Sale entry '!S1481,0))</f>
        <v/>
      </c>
      <c r="E1481">
        <f>IF(C1481="","",IF('Daily Sale entry '!Q1481="Collection 收款",'Daily Sale entry '!S1481,0))</f>
        <v/>
      </c>
      <c r="F1481" s="37">
        <f>IF(C1481="","",B1481+IF(E1481&gt;0,0,0.5)+ROW()/10000000)</f>
        <v/>
      </c>
      <c r="G1481">
        <f>IF(C1481="","",'Daily Sale entry '!Q1481&amp;IF('Daily Sale entry '!Q1481="Collection 收款"," ("&amp;'Daily Sale entry '!R1481&amp;")","")&amp;IF('Daily Sale entry '!U1481="",""," - "&amp;'Daily Sale entry '!U1481))</f>
        <v/>
      </c>
      <c r="H1481">
        <f>IF(C1481="","",COUNTIFS($C$2:$C$3001,C1481,$F$2:$F$3001,"&lt;"&amp;F1481)+1)</f>
        <v/>
      </c>
      <c r="I1481">
        <f>IF(C1481="","",C1481&amp;"|"&amp;H1481)</f>
        <v/>
      </c>
      <c r="J1481" s="6">
        <f>IF(C1481="","",IF(H1481=1,SUMIFS('Opening Balance'!$F$4:$F$303,'Opening Balance'!$G$4:$G$303,C1481),INDEX($L$2:$L$3001,MATCH(C1481&amp;"|"&amp;(H1481-1),$I$2:$I$3001,0))))</f>
        <v/>
      </c>
      <c r="K1481" s="6">
        <f>IF(C1481="","",IF(M1481&gt;0,M1481,IF(AND(E1481&gt;0,ROUND(J1481+D1481-E1481,2)&gt;0,ROUND(J1481+D1481-E1481,2)&lt;'Opening Balance'!$B$14),ROUND(J1481+D1481-E1481,2),0)))</f>
        <v/>
      </c>
      <c r="L1481" s="6">
        <f>IF(C1481="","",ROUND(J1481+D1481-E1481-K1481,2))</f>
        <v/>
      </c>
      <c r="M1481" s="6">
        <f>IF(C1481="","",IF('Daily Sale entry '!Q1481="Collection 收款",ROUND(N('Daily Sale entry '!T1481),2),0))</f>
        <v/>
      </c>
    </row>
    <row r="1482">
      <c r="A1482" t="inlineStr">
        <is>
          <t>Entry 记录</t>
        </is>
      </c>
      <c r="B1482" s="5">
        <f>IF('Daily Sale entry '!P1482="","",'Daily Sale entry '!O1482)</f>
        <v/>
      </c>
      <c r="C1482">
        <f>IF('Daily Sale entry '!P1482="","",'Daily Sale entry '!P1482)</f>
        <v/>
      </c>
      <c r="D1482">
        <f>IF(C1482="","",IF('Daily Sale entry '!Q1482="Credit Sale 赊销",'Daily Sale entry '!S1482,0))</f>
        <v/>
      </c>
      <c r="E1482">
        <f>IF(C1482="","",IF('Daily Sale entry '!Q1482="Collection 收款",'Daily Sale entry '!S1482,0))</f>
        <v/>
      </c>
      <c r="F1482" s="37">
        <f>IF(C1482="","",B1482+IF(E1482&gt;0,0,0.5)+ROW()/10000000)</f>
        <v/>
      </c>
      <c r="G1482">
        <f>IF(C1482="","",'Daily Sale entry '!Q1482&amp;IF('Daily Sale entry '!Q1482="Collection 收款"," ("&amp;'Daily Sale entry '!R1482&amp;")","")&amp;IF('Daily Sale entry '!U1482="",""," - "&amp;'Daily Sale entry '!U1482))</f>
        <v/>
      </c>
      <c r="H1482">
        <f>IF(C1482="","",COUNTIFS($C$2:$C$3001,C1482,$F$2:$F$3001,"&lt;"&amp;F1482)+1)</f>
        <v/>
      </c>
      <c r="I1482">
        <f>IF(C1482="","",C1482&amp;"|"&amp;H1482)</f>
        <v/>
      </c>
      <c r="J1482" s="6">
        <f>IF(C1482="","",IF(H1482=1,SUMIFS('Opening Balance'!$F$4:$F$303,'Opening Balance'!$G$4:$G$303,C1482),INDEX($L$2:$L$3001,MATCH(C1482&amp;"|"&amp;(H1482-1),$I$2:$I$3001,0))))</f>
        <v/>
      </c>
      <c r="K1482" s="6">
        <f>IF(C1482="","",IF(M1482&gt;0,M1482,IF(AND(E1482&gt;0,ROUND(J1482+D1482-E1482,2)&gt;0,ROUND(J1482+D1482-E1482,2)&lt;'Opening Balance'!$B$14),ROUND(J1482+D1482-E1482,2),0)))</f>
        <v/>
      </c>
      <c r="L1482" s="6">
        <f>IF(C1482="","",ROUND(J1482+D1482-E1482-K1482,2))</f>
        <v/>
      </c>
      <c r="M1482" s="6">
        <f>IF(C1482="","",IF('Daily Sale entry '!Q1482="Collection 收款",ROUND(N('Daily Sale entry '!T1482),2),0))</f>
        <v/>
      </c>
    </row>
    <row r="1483">
      <c r="A1483" t="inlineStr">
        <is>
          <t>Entry 记录</t>
        </is>
      </c>
      <c r="B1483" s="5">
        <f>IF('Daily Sale entry '!P1483="","",'Daily Sale entry '!O1483)</f>
        <v/>
      </c>
      <c r="C1483">
        <f>IF('Daily Sale entry '!P1483="","",'Daily Sale entry '!P1483)</f>
        <v/>
      </c>
      <c r="D1483">
        <f>IF(C1483="","",IF('Daily Sale entry '!Q1483="Credit Sale 赊销",'Daily Sale entry '!S1483,0))</f>
        <v/>
      </c>
      <c r="E1483">
        <f>IF(C1483="","",IF('Daily Sale entry '!Q1483="Collection 收款",'Daily Sale entry '!S1483,0))</f>
        <v/>
      </c>
      <c r="F1483" s="37">
        <f>IF(C1483="","",B1483+IF(E1483&gt;0,0,0.5)+ROW()/10000000)</f>
        <v/>
      </c>
      <c r="G1483">
        <f>IF(C1483="","",'Daily Sale entry '!Q1483&amp;IF('Daily Sale entry '!Q1483="Collection 收款"," ("&amp;'Daily Sale entry '!R1483&amp;")","")&amp;IF('Daily Sale entry '!U1483="",""," - "&amp;'Daily Sale entry '!U1483))</f>
        <v/>
      </c>
      <c r="H1483">
        <f>IF(C1483="","",COUNTIFS($C$2:$C$3001,C1483,$F$2:$F$3001,"&lt;"&amp;F1483)+1)</f>
        <v/>
      </c>
      <c r="I1483">
        <f>IF(C1483="","",C1483&amp;"|"&amp;H1483)</f>
        <v/>
      </c>
      <c r="J1483" s="6">
        <f>IF(C1483="","",IF(H1483=1,SUMIFS('Opening Balance'!$F$4:$F$303,'Opening Balance'!$G$4:$G$303,C1483),INDEX($L$2:$L$3001,MATCH(C1483&amp;"|"&amp;(H1483-1),$I$2:$I$3001,0))))</f>
        <v/>
      </c>
      <c r="K1483" s="6">
        <f>IF(C1483="","",IF(M1483&gt;0,M1483,IF(AND(E1483&gt;0,ROUND(J1483+D1483-E1483,2)&gt;0,ROUND(J1483+D1483-E1483,2)&lt;'Opening Balance'!$B$14),ROUND(J1483+D1483-E1483,2),0)))</f>
        <v/>
      </c>
      <c r="L1483" s="6">
        <f>IF(C1483="","",ROUND(J1483+D1483-E1483-K1483,2))</f>
        <v/>
      </c>
      <c r="M1483" s="6">
        <f>IF(C1483="","",IF('Daily Sale entry '!Q1483="Collection 收款",ROUND(N('Daily Sale entry '!T1483),2),0))</f>
        <v/>
      </c>
    </row>
    <row r="1484">
      <c r="A1484" t="inlineStr">
        <is>
          <t>Entry 记录</t>
        </is>
      </c>
      <c r="B1484" s="5">
        <f>IF('Daily Sale entry '!P1484="","",'Daily Sale entry '!O1484)</f>
        <v/>
      </c>
      <c r="C1484">
        <f>IF('Daily Sale entry '!P1484="","",'Daily Sale entry '!P1484)</f>
        <v/>
      </c>
      <c r="D1484">
        <f>IF(C1484="","",IF('Daily Sale entry '!Q1484="Credit Sale 赊销",'Daily Sale entry '!S1484,0))</f>
        <v/>
      </c>
      <c r="E1484">
        <f>IF(C1484="","",IF('Daily Sale entry '!Q1484="Collection 收款",'Daily Sale entry '!S1484,0))</f>
        <v/>
      </c>
      <c r="F1484" s="37">
        <f>IF(C1484="","",B1484+IF(E1484&gt;0,0,0.5)+ROW()/10000000)</f>
        <v/>
      </c>
      <c r="G1484">
        <f>IF(C1484="","",'Daily Sale entry '!Q1484&amp;IF('Daily Sale entry '!Q1484="Collection 收款"," ("&amp;'Daily Sale entry '!R1484&amp;")","")&amp;IF('Daily Sale entry '!U1484="",""," - "&amp;'Daily Sale entry '!U1484))</f>
        <v/>
      </c>
      <c r="H1484">
        <f>IF(C1484="","",COUNTIFS($C$2:$C$3001,C1484,$F$2:$F$3001,"&lt;"&amp;F1484)+1)</f>
        <v/>
      </c>
      <c r="I1484">
        <f>IF(C1484="","",C1484&amp;"|"&amp;H1484)</f>
        <v/>
      </c>
      <c r="J1484" s="6">
        <f>IF(C1484="","",IF(H1484=1,SUMIFS('Opening Balance'!$F$4:$F$303,'Opening Balance'!$G$4:$G$303,C1484),INDEX($L$2:$L$3001,MATCH(C1484&amp;"|"&amp;(H1484-1),$I$2:$I$3001,0))))</f>
        <v/>
      </c>
      <c r="K1484" s="6">
        <f>IF(C1484="","",IF(M1484&gt;0,M1484,IF(AND(E1484&gt;0,ROUND(J1484+D1484-E1484,2)&gt;0,ROUND(J1484+D1484-E1484,2)&lt;'Opening Balance'!$B$14),ROUND(J1484+D1484-E1484,2),0)))</f>
        <v/>
      </c>
      <c r="L1484" s="6">
        <f>IF(C1484="","",ROUND(J1484+D1484-E1484-K1484,2))</f>
        <v/>
      </c>
      <c r="M1484" s="6">
        <f>IF(C1484="","",IF('Daily Sale entry '!Q1484="Collection 收款",ROUND(N('Daily Sale entry '!T1484),2),0))</f>
        <v/>
      </c>
    </row>
    <row r="1485">
      <c r="A1485" t="inlineStr">
        <is>
          <t>Entry 记录</t>
        </is>
      </c>
      <c r="B1485" s="5">
        <f>IF('Daily Sale entry '!P1485="","",'Daily Sale entry '!O1485)</f>
        <v/>
      </c>
      <c r="C1485">
        <f>IF('Daily Sale entry '!P1485="","",'Daily Sale entry '!P1485)</f>
        <v/>
      </c>
      <c r="D1485">
        <f>IF(C1485="","",IF('Daily Sale entry '!Q1485="Credit Sale 赊销",'Daily Sale entry '!S1485,0))</f>
        <v/>
      </c>
      <c r="E1485">
        <f>IF(C1485="","",IF('Daily Sale entry '!Q1485="Collection 收款",'Daily Sale entry '!S1485,0))</f>
        <v/>
      </c>
      <c r="F1485" s="37">
        <f>IF(C1485="","",B1485+IF(E1485&gt;0,0,0.5)+ROW()/10000000)</f>
        <v/>
      </c>
      <c r="G1485">
        <f>IF(C1485="","",'Daily Sale entry '!Q1485&amp;IF('Daily Sale entry '!Q1485="Collection 收款"," ("&amp;'Daily Sale entry '!R1485&amp;")","")&amp;IF('Daily Sale entry '!U1485="",""," - "&amp;'Daily Sale entry '!U1485))</f>
        <v/>
      </c>
      <c r="H1485">
        <f>IF(C1485="","",COUNTIFS($C$2:$C$3001,C1485,$F$2:$F$3001,"&lt;"&amp;F1485)+1)</f>
        <v/>
      </c>
      <c r="I1485">
        <f>IF(C1485="","",C1485&amp;"|"&amp;H1485)</f>
        <v/>
      </c>
      <c r="J1485" s="6">
        <f>IF(C1485="","",IF(H1485=1,SUMIFS('Opening Balance'!$F$4:$F$303,'Opening Balance'!$G$4:$G$303,C1485),INDEX($L$2:$L$3001,MATCH(C1485&amp;"|"&amp;(H1485-1),$I$2:$I$3001,0))))</f>
        <v/>
      </c>
      <c r="K1485" s="6">
        <f>IF(C1485="","",IF(M1485&gt;0,M1485,IF(AND(E1485&gt;0,ROUND(J1485+D1485-E1485,2)&gt;0,ROUND(J1485+D1485-E1485,2)&lt;'Opening Balance'!$B$14),ROUND(J1485+D1485-E1485,2),0)))</f>
        <v/>
      </c>
      <c r="L1485" s="6">
        <f>IF(C1485="","",ROUND(J1485+D1485-E1485-K1485,2))</f>
        <v/>
      </c>
      <c r="M1485" s="6">
        <f>IF(C1485="","",IF('Daily Sale entry '!Q1485="Collection 收款",ROUND(N('Daily Sale entry '!T1485),2),0))</f>
        <v/>
      </c>
    </row>
    <row r="1486">
      <c r="A1486" t="inlineStr">
        <is>
          <t>Entry 记录</t>
        </is>
      </c>
      <c r="B1486" s="5">
        <f>IF('Daily Sale entry '!P1486="","",'Daily Sale entry '!O1486)</f>
        <v/>
      </c>
      <c r="C1486">
        <f>IF('Daily Sale entry '!P1486="","",'Daily Sale entry '!P1486)</f>
        <v/>
      </c>
      <c r="D1486">
        <f>IF(C1486="","",IF('Daily Sale entry '!Q1486="Credit Sale 赊销",'Daily Sale entry '!S1486,0))</f>
        <v/>
      </c>
      <c r="E1486">
        <f>IF(C1486="","",IF('Daily Sale entry '!Q1486="Collection 收款",'Daily Sale entry '!S1486,0))</f>
        <v/>
      </c>
      <c r="F1486" s="37">
        <f>IF(C1486="","",B1486+IF(E1486&gt;0,0,0.5)+ROW()/10000000)</f>
        <v/>
      </c>
      <c r="G1486">
        <f>IF(C1486="","",'Daily Sale entry '!Q1486&amp;IF('Daily Sale entry '!Q1486="Collection 收款"," ("&amp;'Daily Sale entry '!R1486&amp;")","")&amp;IF('Daily Sale entry '!U1486="",""," - "&amp;'Daily Sale entry '!U1486))</f>
        <v/>
      </c>
      <c r="H1486">
        <f>IF(C1486="","",COUNTIFS($C$2:$C$3001,C1486,$F$2:$F$3001,"&lt;"&amp;F1486)+1)</f>
        <v/>
      </c>
      <c r="I1486">
        <f>IF(C1486="","",C1486&amp;"|"&amp;H1486)</f>
        <v/>
      </c>
      <c r="J1486" s="6">
        <f>IF(C1486="","",IF(H1486=1,SUMIFS('Opening Balance'!$F$4:$F$303,'Opening Balance'!$G$4:$G$303,C1486),INDEX($L$2:$L$3001,MATCH(C1486&amp;"|"&amp;(H1486-1),$I$2:$I$3001,0))))</f>
        <v/>
      </c>
      <c r="K1486" s="6">
        <f>IF(C1486="","",IF(M1486&gt;0,M1486,IF(AND(E1486&gt;0,ROUND(J1486+D1486-E1486,2)&gt;0,ROUND(J1486+D1486-E1486,2)&lt;'Opening Balance'!$B$14),ROUND(J1486+D1486-E1486,2),0)))</f>
        <v/>
      </c>
      <c r="L1486" s="6">
        <f>IF(C1486="","",ROUND(J1486+D1486-E1486-K1486,2))</f>
        <v/>
      </c>
      <c r="M1486" s="6">
        <f>IF(C1486="","",IF('Daily Sale entry '!Q1486="Collection 收款",ROUND(N('Daily Sale entry '!T1486),2),0))</f>
        <v/>
      </c>
    </row>
    <row r="1487">
      <c r="A1487" t="inlineStr">
        <is>
          <t>Entry 记录</t>
        </is>
      </c>
      <c r="B1487" s="5">
        <f>IF('Daily Sale entry '!P1487="","",'Daily Sale entry '!O1487)</f>
        <v/>
      </c>
      <c r="C1487">
        <f>IF('Daily Sale entry '!P1487="","",'Daily Sale entry '!P1487)</f>
        <v/>
      </c>
      <c r="D1487">
        <f>IF(C1487="","",IF('Daily Sale entry '!Q1487="Credit Sale 赊销",'Daily Sale entry '!S1487,0))</f>
        <v/>
      </c>
      <c r="E1487">
        <f>IF(C1487="","",IF('Daily Sale entry '!Q1487="Collection 收款",'Daily Sale entry '!S1487,0))</f>
        <v/>
      </c>
      <c r="F1487" s="37">
        <f>IF(C1487="","",B1487+IF(E1487&gt;0,0,0.5)+ROW()/10000000)</f>
        <v/>
      </c>
      <c r="G1487">
        <f>IF(C1487="","",'Daily Sale entry '!Q1487&amp;IF('Daily Sale entry '!Q1487="Collection 收款"," ("&amp;'Daily Sale entry '!R1487&amp;")","")&amp;IF('Daily Sale entry '!U1487="",""," - "&amp;'Daily Sale entry '!U1487))</f>
        <v/>
      </c>
      <c r="H1487">
        <f>IF(C1487="","",COUNTIFS($C$2:$C$3001,C1487,$F$2:$F$3001,"&lt;"&amp;F1487)+1)</f>
        <v/>
      </c>
      <c r="I1487">
        <f>IF(C1487="","",C1487&amp;"|"&amp;H1487)</f>
        <v/>
      </c>
      <c r="J1487" s="6">
        <f>IF(C1487="","",IF(H1487=1,SUMIFS('Opening Balance'!$F$4:$F$303,'Opening Balance'!$G$4:$G$303,C1487),INDEX($L$2:$L$3001,MATCH(C1487&amp;"|"&amp;(H1487-1),$I$2:$I$3001,0))))</f>
        <v/>
      </c>
      <c r="K1487" s="6">
        <f>IF(C1487="","",IF(M1487&gt;0,M1487,IF(AND(E1487&gt;0,ROUND(J1487+D1487-E1487,2)&gt;0,ROUND(J1487+D1487-E1487,2)&lt;'Opening Balance'!$B$14),ROUND(J1487+D1487-E1487,2),0)))</f>
        <v/>
      </c>
      <c r="L1487" s="6">
        <f>IF(C1487="","",ROUND(J1487+D1487-E1487-K1487,2))</f>
        <v/>
      </c>
      <c r="M1487" s="6">
        <f>IF(C1487="","",IF('Daily Sale entry '!Q1487="Collection 收款",ROUND(N('Daily Sale entry '!T1487),2),0))</f>
        <v/>
      </c>
    </row>
    <row r="1488">
      <c r="A1488" t="inlineStr">
        <is>
          <t>Entry 记录</t>
        </is>
      </c>
      <c r="B1488" s="5">
        <f>IF('Daily Sale entry '!P1488="","",'Daily Sale entry '!O1488)</f>
        <v/>
      </c>
      <c r="C1488">
        <f>IF('Daily Sale entry '!P1488="","",'Daily Sale entry '!P1488)</f>
        <v/>
      </c>
      <c r="D1488">
        <f>IF(C1488="","",IF('Daily Sale entry '!Q1488="Credit Sale 赊销",'Daily Sale entry '!S1488,0))</f>
        <v/>
      </c>
      <c r="E1488">
        <f>IF(C1488="","",IF('Daily Sale entry '!Q1488="Collection 收款",'Daily Sale entry '!S1488,0))</f>
        <v/>
      </c>
      <c r="F1488" s="37">
        <f>IF(C1488="","",B1488+IF(E1488&gt;0,0,0.5)+ROW()/10000000)</f>
        <v/>
      </c>
      <c r="G1488">
        <f>IF(C1488="","",'Daily Sale entry '!Q1488&amp;IF('Daily Sale entry '!Q1488="Collection 收款"," ("&amp;'Daily Sale entry '!R1488&amp;")","")&amp;IF('Daily Sale entry '!U1488="",""," - "&amp;'Daily Sale entry '!U1488))</f>
        <v/>
      </c>
      <c r="H1488">
        <f>IF(C1488="","",COUNTIFS($C$2:$C$3001,C1488,$F$2:$F$3001,"&lt;"&amp;F1488)+1)</f>
        <v/>
      </c>
      <c r="I1488">
        <f>IF(C1488="","",C1488&amp;"|"&amp;H1488)</f>
        <v/>
      </c>
      <c r="J1488" s="6">
        <f>IF(C1488="","",IF(H1488=1,SUMIFS('Opening Balance'!$F$4:$F$303,'Opening Balance'!$G$4:$G$303,C1488),INDEX($L$2:$L$3001,MATCH(C1488&amp;"|"&amp;(H1488-1),$I$2:$I$3001,0))))</f>
        <v/>
      </c>
      <c r="K1488" s="6">
        <f>IF(C1488="","",IF(M1488&gt;0,M1488,IF(AND(E1488&gt;0,ROUND(J1488+D1488-E1488,2)&gt;0,ROUND(J1488+D1488-E1488,2)&lt;'Opening Balance'!$B$14),ROUND(J1488+D1488-E1488,2),0)))</f>
        <v/>
      </c>
      <c r="L1488" s="6">
        <f>IF(C1488="","",ROUND(J1488+D1488-E1488-K1488,2))</f>
        <v/>
      </c>
      <c r="M1488" s="6">
        <f>IF(C1488="","",IF('Daily Sale entry '!Q1488="Collection 收款",ROUND(N('Daily Sale entry '!T1488),2),0))</f>
        <v/>
      </c>
    </row>
    <row r="1489">
      <c r="A1489" t="inlineStr">
        <is>
          <t>Entry 记录</t>
        </is>
      </c>
      <c r="B1489" s="5">
        <f>IF('Daily Sale entry '!P1489="","",'Daily Sale entry '!O1489)</f>
        <v/>
      </c>
      <c r="C1489">
        <f>IF('Daily Sale entry '!P1489="","",'Daily Sale entry '!P1489)</f>
        <v/>
      </c>
      <c r="D1489">
        <f>IF(C1489="","",IF('Daily Sale entry '!Q1489="Credit Sale 赊销",'Daily Sale entry '!S1489,0))</f>
        <v/>
      </c>
      <c r="E1489">
        <f>IF(C1489="","",IF('Daily Sale entry '!Q1489="Collection 收款",'Daily Sale entry '!S1489,0))</f>
        <v/>
      </c>
      <c r="F1489" s="37">
        <f>IF(C1489="","",B1489+IF(E1489&gt;0,0,0.5)+ROW()/10000000)</f>
        <v/>
      </c>
      <c r="G1489">
        <f>IF(C1489="","",'Daily Sale entry '!Q1489&amp;IF('Daily Sale entry '!Q1489="Collection 收款"," ("&amp;'Daily Sale entry '!R1489&amp;")","")&amp;IF('Daily Sale entry '!U1489="",""," - "&amp;'Daily Sale entry '!U1489))</f>
        <v/>
      </c>
      <c r="H1489">
        <f>IF(C1489="","",COUNTIFS($C$2:$C$3001,C1489,$F$2:$F$3001,"&lt;"&amp;F1489)+1)</f>
        <v/>
      </c>
      <c r="I1489">
        <f>IF(C1489="","",C1489&amp;"|"&amp;H1489)</f>
        <v/>
      </c>
      <c r="J1489" s="6">
        <f>IF(C1489="","",IF(H1489=1,SUMIFS('Opening Balance'!$F$4:$F$303,'Opening Balance'!$G$4:$G$303,C1489),INDEX($L$2:$L$3001,MATCH(C1489&amp;"|"&amp;(H1489-1),$I$2:$I$3001,0))))</f>
        <v/>
      </c>
      <c r="K1489" s="6">
        <f>IF(C1489="","",IF(M1489&gt;0,M1489,IF(AND(E1489&gt;0,ROUND(J1489+D1489-E1489,2)&gt;0,ROUND(J1489+D1489-E1489,2)&lt;'Opening Balance'!$B$14),ROUND(J1489+D1489-E1489,2),0)))</f>
        <v/>
      </c>
      <c r="L1489" s="6">
        <f>IF(C1489="","",ROUND(J1489+D1489-E1489-K1489,2))</f>
        <v/>
      </c>
      <c r="M1489" s="6">
        <f>IF(C1489="","",IF('Daily Sale entry '!Q1489="Collection 收款",ROUND(N('Daily Sale entry '!T1489),2),0))</f>
        <v/>
      </c>
    </row>
    <row r="1490">
      <c r="A1490" t="inlineStr">
        <is>
          <t>Entry 记录</t>
        </is>
      </c>
      <c r="B1490" s="5">
        <f>IF('Daily Sale entry '!P1490="","",'Daily Sale entry '!O1490)</f>
        <v/>
      </c>
      <c r="C1490">
        <f>IF('Daily Sale entry '!P1490="","",'Daily Sale entry '!P1490)</f>
        <v/>
      </c>
      <c r="D1490">
        <f>IF(C1490="","",IF('Daily Sale entry '!Q1490="Credit Sale 赊销",'Daily Sale entry '!S1490,0))</f>
        <v/>
      </c>
      <c r="E1490">
        <f>IF(C1490="","",IF('Daily Sale entry '!Q1490="Collection 收款",'Daily Sale entry '!S1490,0))</f>
        <v/>
      </c>
      <c r="F1490" s="37">
        <f>IF(C1490="","",B1490+IF(E1490&gt;0,0,0.5)+ROW()/10000000)</f>
        <v/>
      </c>
      <c r="G1490">
        <f>IF(C1490="","",'Daily Sale entry '!Q1490&amp;IF('Daily Sale entry '!Q1490="Collection 收款"," ("&amp;'Daily Sale entry '!R1490&amp;")","")&amp;IF('Daily Sale entry '!U1490="",""," - "&amp;'Daily Sale entry '!U1490))</f>
        <v/>
      </c>
      <c r="H1490">
        <f>IF(C1490="","",COUNTIFS($C$2:$C$3001,C1490,$F$2:$F$3001,"&lt;"&amp;F1490)+1)</f>
        <v/>
      </c>
      <c r="I1490">
        <f>IF(C1490="","",C1490&amp;"|"&amp;H1490)</f>
        <v/>
      </c>
      <c r="J1490" s="6">
        <f>IF(C1490="","",IF(H1490=1,SUMIFS('Opening Balance'!$F$4:$F$303,'Opening Balance'!$G$4:$G$303,C1490),INDEX($L$2:$L$3001,MATCH(C1490&amp;"|"&amp;(H1490-1),$I$2:$I$3001,0))))</f>
        <v/>
      </c>
      <c r="K1490" s="6">
        <f>IF(C1490="","",IF(M1490&gt;0,M1490,IF(AND(E1490&gt;0,ROUND(J1490+D1490-E1490,2)&gt;0,ROUND(J1490+D1490-E1490,2)&lt;'Opening Balance'!$B$14),ROUND(J1490+D1490-E1490,2),0)))</f>
        <v/>
      </c>
      <c r="L1490" s="6">
        <f>IF(C1490="","",ROUND(J1490+D1490-E1490-K1490,2))</f>
        <v/>
      </c>
      <c r="M1490" s="6">
        <f>IF(C1490="","",IF('Daily Sale entry '!Q1490="Collection 收款",ROUND(N('Daily Sale entry '!T1490),2),0))</f>
        <v/>
      </c>
    </row>
    <row r="1491">
      <c r="A1491" t="inlineStr">
        <is>
          <t>Entry 记录</t>
        </is>
      </c>
      <c r="B1491" s="5">
        <f>IF('Daily Sale entry '!P1491="","",'Daily Sale entry '!O1491)</f>
        <v/>
      </c>
      <c r="C1491">
        <f>IF('Daily Sale entry '!P1491="","",'Daily Sale entry '!P1491)</f>
        <v/>
      </c>
      <c r="D1491">
        <f>IF(C1491="","",IF('Daily Sale entry '!Q1491="Credit Sale 赊销",'Daily Sale entry '!S1491,0))</f>
        <v/>
      </c>
      <c r="E1491">
        <f>IF(C1491="","",IF('Daily Sale entry '!Q1491="Collection 收款",'Daily Sale entry '!S1491,0))</f>
        <v/>
      </c>
      <c r="F1491" s="37">
        <f>IF(C1491="","",B1491+IF(E1491&gt;0,0,0.5)+ROW()/10000000)</f>
        <v/>
      </c>
      <c r="G1491">
        <f>IF(C1491="","",'Daily Sale entry '!Q1491&amp;IF('Daily Sale entry '!Q1491="Collection 收款"," ("&amp;'Daily Sale entry '!R1491&amp;")","")&amp;IF('Daily Sale entry '!U1491="",""," - "&amp;'Daily Sale entry '!U1491))</f>
        <v/>
      </c>
      <c r="H1491">
        <f>IF(C1491="","",COUNTIFS($C$2:$C$3001,C1491,$F$2:$F$3001,"&lt;"&amp;F1491)+1)</f>
        <v/>
      </c>
      <c r="I1491">
        <f>IF(C1491="","",C1491&amp;"|"&amp;H1491)</f>
        <v/>
      </c>
      <c r="J1491" s="6">
        <f>IF(C1491="","",IF(H1491=1,SUMIFS('Opening Balance'!$F$4:$F$303,'Opening Balance'!$G$4:$G$303,C1491),INDEX($L$2:$L$3001,MATCH(C1491&amp;"|"&amp;(H1491-1),$I$2:$I$3001,0))))</f>
        <v/>
      </c>
      <c r="K1491" s="6">
        <f>IF(C1491="","",IF(M1491&gt;0,M1491,IF(AND(E1491&gt;0,ROUND(J1491+D1491-E1491,2)&gt;0,ROUND(J1491+D1491-E1491,2)&lt;'Opening Balance'!$B$14),ROUND(J1491+D1491-E1491,2),0)))</f>
        <v/>
      </c>
      <c r="L1491" s="6">
        <f>IF(C1491="","",ROUND(J1491+D1491-E1491-K1491,2))</f>
        <v/>
      </c>
      <c r="M1491" s="6">
        <f>IF(C1491="","",IF('Daily Sale entry '!Q1491="Collection 收款",ROUND(N('Daily Sale entry '!T1491),2),0))</f>
        <v/>
      </c>
    </row>
    <row r="1492">
      <c r="A1492" t="inlineStr">
        <is>
          <t>Entry 记录</t>
        </is>
      </c>
      <c r="B1492" s="5">
        <f>IF('Daily Sale entry '!P1492="","",'Daily Sale entry '!O1492)</f>
        <v/>
      </c>
      <c r="C1492">
        <f>IF('Daily Sale entry '!P1492="","",'Daily Sale entry '!P1492)</f>
        <v/>
      </c>
      <c r="D1492">
        <f>IF(C1492="","",IF('Daily Sale entry '!Q1492="Credit Sale 赊销",'Daily Sale entry '!S1492,0))</f>
        <v/>
      </c>
      <c r="E1492">
        <f>IF(C1492="","",IF('Daily Sale entry '!Q1492="Collection 收款",'Daily Sale entry '!S1492,0))</f>
        <v/>
      </c>
      <c r="F1492" s="37">
        <f>IF(C1492="","",B1492+IF(E1492&gt;0,0,0.5)+ROW()/10000000)</f>
        <v/>
      </c>
      <c r="G1492">
        <f>IF(C1492="","",'Daily Sale entry '!Q1492&amp;IF('Daily Sale entry '!Q1492="Collection 收款"," ("&amp;'Daily Sale entry '!R1492&amp;")","")&amp;IF('Daily Sale entry '!U1492="",""," - "&amp;'Daily Sale entry '!U1492))</f>
        <v/>
      </c>
      <c r="H1492">
        <f>IF(C1492="","",COUNTIFS($C$2:$C$3001,C1492,$F$2:$F$3001,"&lt;"&amp;F1492)+1)</f>
        <v/>
      </c>
      <c r="I1492">
        <f>IF(C1492="","",C1492&amp;"|"&amp;H1492)</f>
        <v/>
      </c>
      <c r="J1492" s="6">
        <f>IF(C1492="","",IF(H1492=1,SUMIFS('Opening Balance'!$F$4:$F$303,'Opening Balance'!$G$4:$G$303,C1492),INDEX($L$2:$L$3001,MATCH(C1492&amp;"|"&amp;(H1492-1),$I$2:$I$3001,0))))</f>
        <v/>
      </c>
      <c r="K1492" s="6">
        <f>IF(C1492="","",IF(M1492&gt;0,M1492,IF(AND(E1492&gt;0,ROUND(J1492+D1492-E1492,2)&gt;0,ROUND(J1492+D1492-E1492,2)&lt;'Opening Balance'!$B$14),ROUND(J1492+D1492-E1492,2),0)))</f>
        <v/>
      </c>
      <c r="L1492" s="6">
        <f>IF(C1492="","",ROUND(J1492+D1492-E1492-K1492,2))</f>
        <v/>
      </c>
      <c r="M1492" s="6">
        <f>IF(C1492="","",IF('Daily Sale entry '!Q1492="Collection 收款",ROUND(N('Daily Sale entry '!T1492),2),0))</f>
        <v/>
      </c>
    </row>
    <row r="1493">
      <c r="A1493" t="inlineStr">
        <is>
          <t>Entry 记录</t>
        </is>
      </c>
      <c r="B1493" s="5">
        <f>IF('Daily Sale entry '!P1493="","",'Daily Sale entry '!O1493)</f>
        <v/>
      </c>
      <c r="C1493">
        <f>IF('Daily Sale entry '!P1493="","",'Daily Sale entry '!P1493)</f>
        <v/>
      </c>
      <c r="D1493">
        <f>IF(C1493="","",IF('Daily Sale entry '!Q1493="Credit Sale 赊销",'Daily Sale entry '!S1493,0))</f>
        <v/>
      </c>
      <c r="E1493">
        <f>IF(C1493="","",IF('Daily Sale entry '!Q1493="Collection 收款",'Daily Sale entry '!S1493,0))</f>
        <v/>
      </c>
      <c r="F1493" s="37">
        <f>IF(C1493="","",B1493+IF(E1493&gt;0,0,0.5)+ROW()/10000000)</f>
        <v/>
      </c>
      <c r="G1493">
        <f>IF(C1493="","",'Daily Sale entry '!Q1493&amp;IF('Daily Sale entry '!Q1493="Collection 收款"," ("&amp;'Daily Sale entry '!R1493&amp;")","")&amp;IF('Daily Sale entry '!U1493="",""," - "&amp;'Daily Sale entry '!U1493))</f>
        <v/>
      </c>
      <c r="H1493">
        <f>IF(C1493="","",COUNTIFS($C$2:$C$3001,C1493,$F$2:$F$3001,"&lt;"&amp;F1493)+1)</f>
        <v/>
      </c>
      <c r="I1493">
        <f>IF(C1493="","",C1493&amp;"|"&amp;H1493)</f>
        <v/>
      </c>
      <c r="J1493" s="6">
        <f>IF(C1493="","",IF(H1493=1,SUMIFS('Opening Balance'!$F$4:$F$303,'Opening Balance'!$G$4:$G$303,C1493),INDEX($L$2:$L$3001,MATCH(C1493&amp;"|"&amp;(H1493-1),$I$2:$I$3001,0))))</f>
        <v/>
      </c>
      <c r="K1493" s="6">
        <f>IF(C1493="","",IF(M1493&gt;0,M1493,IF(AND(E1493&gt;0,ROUND(J1493+D1493-E1493,2)&gt;0,ROUND(J1493+D1493-E1493,2)&lt;'Opening Balance'!$B$14),ROUND(J1493+D1493-E1493,2),0)))</f>
        <v/>
      </c>
      <c r="L1493" s="6">
        <f>IF(C1493="","",ROUND(J1493+D1493-E1493-K1493,2))</f>
        <v/>
      </c>
      <c r="M1493" s="6">
        <f>IF(C1493="","",IF('Daily Sale entry '!Q1493="Collection 收款",ROUND(N('Daily Sale entry '!T1493),2),0))</f>
        <v/>
      </c>
    </row>
    <row r="1494">
      <c r="A1494" t="inlineStr">
        <is>
          <t>Entry 记录</t>
        </is>
      </c>
      <c r="B1494" s="5">
        <f>IF('Daily Sale entry '!P1494="","",'Daily Sale entry '!O1494)</f>
        <v/>
      </c>
      <c r="C1494">
        <f>IF('Daily Sale entry '!P1494="","",'Daily Sale entry '!P1494)</f>
        <v/>
      </c>
      <c r="D1494">
        <f>IF(C1494="","",IF('Daily Sale entry '!Q1494="Credit Sale 赊销",'Daily Sale entry '!S1494,0))</f>
        <v/>
      </c>
      <c r="E1494">
        <f>IF(C1494="","",IF('Daily Sale entry '!Q1494="Collection 收款",'Daily Sale entry '!S1494,0))</f>
        <v/>
      </c>
      <c r="F1494" s="37">
        <f>IF(C1494="","",B1494+IF(E1494&gt;0,0,0.5)+ROW()/10000000)</f>
        <v/>
      </c>
      <c r="G1494">
        <f>IF(C1494="","",'Daily Sale entry '!Q1494&amp;IF('Daily Sale entry '!Q1494="Collection 收款"," ("&amp;'Daily Sale entry '!R1494&amp;")","")&amp;IF('Daily Sale entry '!U1494="",""," - "&amp;'Daily Sale entry '!U1494))</f>
        <v/>
      </c>
      <c r="H1494">
        <f>IF(C1494="","",COUNTIFS($C$2:$C$3001,C1494,$F$2:$F$3001,"&lt;"&amp;F1494)+1)</f>
        <v/>
      </c>
      <c r="I1494">
        <f>IF(C1494="","",C1494&amp;"|"&amp;H1494)</f>
        <v/>
      </c>
      <c r="J1494" s="6">
        <f>IF(C1494="","",IF(H1494=1,SUMIFS('Opening Balance'!$F$4:$F$303,'Opening Balance'!$G$4:$G$303,C1494),INDEX($L$2:$L$3001,MATCH(C1494&amp;"|"&amp;(H1494-1),$I$2:$I$3001,0))))</f>
        <v/>
      </c>
      <c r="K1494" s="6">
        <f>IF(C1494="","",IF(M1494&gt;0,M1494,IF(AND(E1494&gt;0,ROUND(J1494+D1494-E1494,2)&gt;0,ROUND(J1494+D1494-E1494,2)&lt;'Opening Balance'!$B$14),ROUND(J1494+D1494-E1494,2),0)))</f>
        <v/>
      </c>
      <c r="L1494" s="6">
        <f>IF(C1494="","",ROUND(J1494+D1494-E1494-K1494,2))</f>
        <v/>
      </c>
      <c r="M1494" s="6">
        <f>IF(C1494="","",IF('Daily Sale entry '!Q1494="Collection 收款",ROUND(N('Daily Sale entry '!T1494),2),0))</f>
        <v/>
      </c>
    </row>
    <row r="1495">
      <c r="A1495" t="inlineStr">
        <is>
          <t>Entry 记录</t>
        </is>
      </c>
      <c r="B1495" s="5">
        <f>IF('Daily Sale entry '!P1495="","",'Daily Sale entry '!O1495)</f>
        <v/>
      </c>
      <c r="C1495">
        <f>IF('Daily Sale entry '!P1495="","",'Daily Sale entry '!P1495)</f>
        <v/>
      </c>
      <c r="D1495">
        <f>IF(C1495="","",IF('Daily Sale entry '!Q1495="Credit Sale 赊销",'Daily Sale entry '!S1495,0))</f>
        <v/>
      </c>
      <c r="E1495">
        <f>IF(C1495="","",IF('Daily Sale entry '!Q1495="Collection 收款",'Daily Sale entry '!S1495,0))</f>
        <v/>
      </c>
      <c r="F1495" s="37">
        <f>IF(C1495="","",B1495+IF(E1495&gt;0,0,0.5)+ROW()/10000000)</f>
        <v/>
      </c>
      <c r="G1495">
        <f>IF(C1495="","",'Daily Sale entry '!Q1495&amp;IF('Daily Sale entry '!Q1495="Collection 收款"," ("&amp;'Daily Sale entry '!R1495&amp;")","")&amp;IF('Daily Sale entry '!U1495="",""," - "&amp;'Daily Sale entry '!U1495))</f>
        <v/>
      </c>
      <c r="H1495">
        <f>IF(C1495="","",COUNTIFS($C$2:$C$3001,C1495,$F$2:$F$3001,"&lt;"&amp;F1495)+1)</f>
        <v/>
      </c>
      <c r="I1495">
        <f>IF(C1495="","",C1495&amp;"|"&amp;H1495)</f>
        <v/>
      </c>
      <c r="J1495" s="6">
        <f>IF(C1495="","",IF(H1495=1,SUMIFS('Opening Balance'!$F$4:$F$303,'Opening Balance'!$G$4:$G$303,C1495),INDEX($L$2:$L$3001,MATCH(C1495&amp;"|"&amp;(H1495-1),$I$2:$I$3001,0))))</f>
        <v/>
      </c>
      <c r="K1495" s="6">
        <f>IF(C1495="","",IF(M1495&gt;0,M1495,IF(AND(E1495&gt;0,ROUND(J1495+D1495-E1495,2)&gt;0,ROUND(J1495+D1495-E1495,2)&lt;'Opening Balance'!$B$14),ROUND(J1495+D1495-E1495,2),0)))</f>
        <v/>
      </c>
      <c r="L1495" s="6">
        <f>IF(C1495="","",ROUND(J1495+D1495-E1495-K1495,2))</f>
        <v/>
      </c>
      <c r="M1495" s="6">
        <f>IF(C1495="","",IF('Daily Sale entry '!Q1495="Collection 收款",ROUND(N('Daily Sale entry '!T1495),2),0))</f>
        <v/>
      </c>
    </row>
    <row r="1496">
      <c r="A1496" t="inlineStr">
        <is>
          <t>Entry 记录</t>
        </is>
      </c>
      <c r="B1496" s="5">
        <f>IF('Daily Sale entry '!P1496="","",'Daily Sale entry '!O1496)</f>
        <v/>
      </c>
      <c r="C1496">
        <f>IF('Daily Sale entry '!P1496="","",'Daily Sale entry '!P1496)</f>
        <v/>
      </c>
      <c r="D1496">
        <f>IF(C1496="","",IF('Daily Sale entry '!Q1496="Credit Sale 赊销",'Daily Sale entry '!S1496,0))</f>
        <v/>
      </c>
      <c r="E1496">
        <f>IF(C1496="","",IF('Daily Sale entry '!Q1496="Collection 收款",'Daily Sale entry '!S1496,0))</f>
        <v/>
      </c>
      <c r="F1496" s="37">
        <f>IF(C1496="","",B1496+IF(E1496&gt;0,0,0.5)+ROW()/10000000)</f>
        <v/>
      </c>
      <c r="G1496">
        <f>IF(C1496="","",'Daily Sale entry '!Q1496&amp;IF('Daily Sale entry '!Q1496="Collection 收款"," ("&amp;'Daily Sale entry '!R1496&amp;")","")&amp;IF('Daily Sale entry '!U1496="",""," - "&amp;'Daily Sale entry '!U1496))</f>
        <v/>
      </c>
      <c r="H1496">
        <f>IF(C1496="","",COUNTIFS($C$2:$C$3001,C1496,$F$2:$F$3001,"&lt;"&amp;F1496)+1)</f>
        <v/>
      </c>
      <c r="I1496">
        <f>IF(C1496="","",C1496&amp;"|"&amp;H1496)</f>
        <v/>
      </c>
      <c r="J1496" s="6">
        <f>IF(C1496="","",IF(H1496=1,SUMIFS('Opening Balance'!$F$4:$F$303,'Opening Balance'!$G$4:$G$303,C1496),INDEX($L$2:$L$3001,MATCH(C1496&amp;"|"&amp;(H1496-1),$I$2:$I$3001,0))))</f>
        <v/>
      </c>
      <c r="K1496" s="6">
        <f>IF(C1496="","",IF(M1496&gt;0,M1496,IF(AND(E1496&gt;0,ROUND(J1496+D1496-E1496,2)&gt;0,ROUND(J1496+D1496-E1496,2)&lt;'Opening Balance'!$B$14),ROUND(J1496+D1496-E1496,2),0)))</f>
        <v/>
      </c>
      <c r="L1496" s="6">
        <f>IF(C1496="","",ROUND(J1496+D1496-E1496-K1496,2))</f>
        <v/>
      </c>
      <c r="M1496" s="6">
        <f>IF(C1496="","",IF('Daily Sale entry '!Q1496="Collection 收款",ROUND(N('Daily Sale entry '!T1496),2),0))</f>
        <v/>
      </c>
    </row>
    <row r="1497">
      <c r="A1497" t="inlineStr">
        <is>
          <t>Entry 记录</t>
        </is>
      </c>
      <c r="B1497" s="5">
        <f>IF('Daily Sale entry '!P1497="","",'Daily Sale entry '!O1497)</f>
        <v/>
      </c>
      <c r="C1497">
        <f>IF('Daily Sale entry '!P1497="","",'Daily Sale entry '!P1497)</f>
        <v/>
      </c>
      <c r="D1497">
        <f>IF(C1497="","",IF('Daily Sale entry '!Q1497="Credit Sale 赊销",'Daily Sale entry '!S1497,0))</f>
        <v/>
      </c>
      <c r="E1497">
        <f>IF(C1497="","",IF('Daily Sale entry '!Q1497="Collection 收款",'Daily Sale entry '!S1497,0))</f>
        <v/>
      </c>
      <c r="F1497" s="37">
        <f>IF(C1497="","",B1497+IF(E1497&gt;0,0,0.5)+ROW()/10000000)</f>
        <v/>
      </c>
      <c r="G1497">
        <f>IF(C1497="","",'Daily Sale entry '!Q1497&amp;IF('Daily Sale entry '!Q1497="Collection 收款"," ("&amp;'Daily Sale entry '!R1497&amp;")","")&amp;IF('Daily Sale entry '!U1497="",""," - "&amp;'Daily Sale entry '!U1497))</f>
        <v/>
      </c>
      <c r="H1497">
        <f>IF(C1497="","",COUNTIFS($C$2:$C$3001,C1497,$F$2:$F$3001,"&lt;"&amp;F1497)+1)</f>
        <v/>
      </c>
      <c r="I1497">
        <f>IF(C1497="","",C1497&amp;"|"&amp;H1497)</f>
        <v/>
      </c>
      <c r="J1497" s="6">
        <f>IF(C1497="","",IF(H1497=1,SUMIFS('Opening Balance'!$F$4:$F$303,'Opening Balance'!$G$4:$G$303,C1497),INDEX($L$2:$L$3001,MATCH(C1497&amp;"|"&amp;(H1497-1),$I$2:$I$3001,0))))</f>
        <v/>
      </c>
      <c r="K1497" s="6">
        <f>IF(C1497="","",IF(M1497&gt;0,M1497,IF(AND(E1497&gt;0,ROUND(J1497+D1497-E1497,2)&gt;0,ROUND(J1497+D1497-E1497,2)&lt;'Opening Balance'!$B$14),ROUND(J1497+D1497-E1497,2),0)))</f>
        <v/>
      </c>
      <c r="L1497" s="6">
        <f>IF(C1497="","",ROUND(J1497+D1497-E1497-K1497,2))</f>
        <v/>
      </c>
      <c r="M1497" s="6">
        <f>IF(C1497="","",IF('Daily Sale entry '!Q1497="Collection 收款",ROUND(N('Daily Sale entry '!T1497),2),0))</f>
        <v/>
      </c>
    </row>
    <row r="1498">
      <c r="A1498" t="inlineStr">
        <is>
          <t>Entry 记录</t>
        </is>
      </c>
      <c r="B1498" s="5">
        <f>IF('Daily Sale entry '!P1498="","",'Daily Sale entry '!O1498)</f>
        <v/>
      </c>
      <c r="C1498">
        <f>IF('Daily Sale entry '!P1498="","",'Daily Sale entry '!P1498)</f>
        <v/>
      </c>
      <c r="D1498">
        <f>IF(C1498="","",IF('Daily Sale entry '!Q1498="Credit Sale 赊销",'Daily Sale entry '!S1498,0))</f>
        <v/>
      </c>
      <c r="E1498">
        <f>IF(C1498="","",IF('Daily Sale entry '!Q1498="Collection 收款",'Daily Sale entry '!S1498,0))</f>
        <v/>
      </c>
      <c r="F1498" s="37">
        <f>IF(C1498="","",B1498+IF(E1498&gt;0,0,0.5)+ROW()/10000000)</f>
        <v/>
      </c>
      <c r="G1498">
        <f>IF(C1498="","",'Daily Sale entry '!Q1498&amp;IF('Daily Sale entry '!Q1498="Collection 收款"," ("&amp;'Daily Sale entry '!R1498&amp;")","")&amp;IF('Daily Sale entry '!U1498="",""," - "&amp;'Daily Sale entry '!U1498))</f>
        <v/>
      </c>
      <c r="H1498">
        <f>IF(C1498="","",COUNTIFS($C$2:$C$3001,C1498,$F$2:$F$3001,"&lt;"&amp;F1498)+1)</f>
        <v/>
      </c>
      <c r="I1498">
        <f>IF(C1498="","",C1498&amp;"|"&amp;H1498)</f>
        <v/>
      </c>
      <c r="J1498" s="6">
        <f>IF(C1498="","",IF(H1498=1,SUMIFS('Opening Balance'!$F$4:$F$303,'Opening Balance'!$G$4:$G$303,C1498),INDEX($L$2:$L$3001,MATCH(C1498&amp;"|"&amp;(H1498-1),$I$2:$I$3001,0))))</f>
        <v/>
      </c>
      <c r="K1498" s="6">
        <f>IF(C1498="","",IF(M1498&gt;0,M1498,IF(AND(E1498&gt;0,ROUND(J1498+D1498-E1498,2)&gt;0,ROUND(J1498+D1498-E1498,2)&lt;'Opening Balance'!$B$14),ROUND(J1498+D1498-E1498,2),0)))</f>
        <v/>
      </c>
      <c r="L1498" s="6">
        <f>IF(C1498="","",ROUND(J1498+D1498-E1498-K1498,2))</f>
        <v/>
      </c>
      <c r="M1498" s="6">
        <f>IF(C1498="","",IF('Daily Sale entry '!Q1498="Collection 收款",ROUND(N('Daily Sale entry '!T1498),2),0))</f>
        <v/>
      </c>
    </row>
    <row r="1499">
      <c r="A1499" t="inlineStr">
        <is>
          <t>Entry 记录</t>
        </is>
      </c>
      <c r="B1499" s="5">
        <f>IF('Daily Sale entry '!P1499="","",'Daily Sale entry '!O1499)</f>
        <v/>
      </c>
      <c r="C1499">
        <f>IF('Daily Sale entry '!P1499="","",'Daily Sale entry '!P1499)</f>
        <v/>
      </c>
      <c r="D1499">
        <f>IF(C1499="","",IF('Daily Sale entry '!Q1499="Credit Sale 赊销",'Daily Sale entry '!S1499,0))</f>
        <v/>
      </c>
      <c r="E1499">
        <f>IF(C1499="","",IF('Daily Sale entry '!Q1499="Collection 收款",'Daily Sale entry '!S1499,0))</f>
        <v/>
      </c>
      <c r="F1499" s="37">
        <f>IF(C1499="","",B1499+IF(E1499&gt;0,0,0.5)+ROW()/10000000)</f>
        <v/>
      </c>
      <c r="G1499">
        <f>IF(C1499="","",'Daily Sale entry '!Q1499&amp;IF('Daily Sale entry '!Q1499="Collection 收款"," ("&amp;'Daily Sale entry '!R1499&amp;")","")&amp;IF('Daily Sale entry '!U1499="",""," - "&amp;'Daily Sale entry '!U1499))</f>
        <v/>
      </c>
      <c r="H1499">
        <f>IF(C1499="","",COUNTIFS($C$2:$C$3001,C1499,$F$2:$F$3001,"&lt;"&amp;F1499)+1)</f>
        <v/>
      </c>
      <c r="I1499">
        <f>IF(C1499="","",C1499&amp;"|"&amp;H1499)</f>
        <v/>
      </c>
      <c r="J1499" s="6">
        <f>IF(C1499="","",IF(H1499=1,SUMIFS('Opening Balance'!$F$4:$F$303,'Opening Balance'!$G$4:$G$303,C1499),INDEX($L$2:$L$3001,MATCH(C1499&amp;"|"&amp;(H1499-1),$I$2:$I$3001,0))))</f>
        <v/>
      </c>
      <c r="K1499" s="6">
        <f>IF(C1499="","",IF(M1499&gt;0,M1499,IF(AND(E1499&gt;0,ROUND(J1499+D1499-E1499,2)&gt;0,ROUND(J1499+D1499-E1499,2)&lt;'Opening Balance'!$B$14),ROUND(J1499+D1499-E1499,2),0)))</f>
        <v/>
      </c>
      <c r="L1499" s="6">
        <f>IF(C1499="","",ROUND(J1499+D1499-E1499-K1499,2))</f>
        <v/>
      </c>
      <c r="M1499" s="6">
        <f>IF(C1499="","",IF('Daily Sale entry '!Q1499="Collection 收款",ROUND(N('Daily Sale entry '!T1499),2),0))</f>
        <v/>
      </c>
    </row>
    <row r="1500">
      <c r="A1500" t="inlineStr">
        <is>
          <t>Entry 记录</t>
        </is>
      </c>
      <c r="B1500" s="5">
        <f>IF('Daily Sale entry '!P1500="","",'Daily Sale entry '!O1500)</f>
        <v/>
      </c>
      <c r="C1500">
        <f>IF('Daily Sale entry '!P1500="","",'Daily Sale entry '!P1500)</f>
        <v/>
      </c>
      <c r="D1500">
        <f>IF(C1500="","",IF('Daily Sale entry '!Q1500="Credit Sale 赊销",'Daily Sale entry '!S1500,0))</f>
        <v/>
      </c>
      <c r="E1500">
        <f>IF(C1500="","",IF('Daily Sale entry '!Q1500="Collection 收款",'Daily Sale entry '!S1500,0))</f>
        <v/>
      </c>
      <c r="F1500" s="37">
        <f>IF(C1500="","",B1500+IF(E1500&gt;0,0,0.5)+ROW()/10000000)</f>
        <v/>
      </c>
      <c r="G1500">
        <f>IF(C1500="","",'Daily Sale entry '!Q1500&amp;IF('Daily Sale entry '!Q1500="Collection 收款"," ("&amp;'Daily Sale entry '!R1500&amp;")","")&amp;IF('Daily Sale entry '!U1500="",""," - "&amp;'Daily Sale entry '!U1500))</f>
        <v/>
      </c>
      <c r="H1500">
        <f>IF(C1500="","",COUNTIFS($C$2:$C$3001,C1500,$F$2:$F$3001,"&lt;"&amp;F1500)+1)</f>
        <v/>
      </c>
      <c r="I1500">
        <f>IF(C1500="","",C1500&amp;"|"&amp;H1500)</f>
        <v/>
      </c>
      <c r="J1500" s="6">
        <f>IF(C1500="","",IF(H1500=1,SUMIFS('Opening Balance'!$F$4:$F$303,'Opening Balance'!$G$4:$G$303,C1500),INDEX($L$2:$L$3001,MATCH(C1500&amp;"|"&amp;(H1500-1),$I$2:$I$3001,0))))</f>
        <v/>
      </c>
      <c r="K1500" s="6">
        <f>IF(C1500="","",IF(M1500&gt;0,M1500,IF(AND(E1500&gt;0,ROUND(J1500+D1500-E1500,2)&gt;0,ROUND(J1500+D1500-E1500,2)&lt;'Opening Balance'!$B$14),ROUND(J1500+D1500-E1500,2),0)))</f>
        <v/>
      </c>
      <c r="L1500" s="6">
        <f>IF(C1500="","",ROUND(J1500+D1500-E1500-K1500,2))</f>
        <v/>
      </c>
      <c r="M1500" s="6">
        <f>IF(C1500="","",IF('Daily Sale entry '!Q1500="Collection 收款",ROUND(N('Daily Sale entry '!T1500),2),0))</f>
        <v/>
      </c>
    </row>
    <row r="1501">
      <c r="A1501" t="inlineStr">
        <is>
          <t>Entry 记录</t>
        </is>
      </c>
      <c r="B1501" s="5">
        <f>IF('Daily Sale entry '!P1501="","",'Daily Sale entry '!O1501)</f>
        <v/>
      </c>
      <c r="C1501">
        <f>IF('Daily Sale entry '!P1501="","",'Daily Sale entry '!P1501)</f>
        <v/>
      </c>
      <c r="D1501">
        <f>IF(C1501="","",IF('Daily Sale entry '!Q1501="Credit Sale 赊销",'Daily Sale entry '!S1501,0))</f>
        <v/>
      </c>
      <c r="E1501">
        <f>IF(C1501="","",IF('Daily Sale entry '!Q1501="Collection 收款",'Daily Sale entry '!S1501,0))</f>
        <v/>
      </c>
      <c r="F1501" s="37">
        <f>IF(C1501="","",B1501+IF(E1501&gt;0,0,0.5)+ROW()/10000000)</f>
        <v/>
      </c>
      <c r="G1501">
        <f>IF(C1501="","",'Daily Sale entry '!Q1501&amp;IF('Daily Sale entry '!Q1501="Collection 收款"," ("&amp;'Daily Sale entry '!R1501&amp;")","")&amp;IF('Daily Sale entry '!U1501="",""," - "&amp;'Daily Sale entry '!U1501))</f>
        <v/>
      </c>
      <c r="H1501">
        <f>IF(C1501="","",COUNTIFS($C$2:$C$3001,C1501,$F$2:$F$3001,"&lt;"&amp;F1501)+1)</f>
        <v/>
      </c>
      <c r="I1501">
        <f>IF(C1501="","",C1501&amp;"|"&amp;H1501)</f>
        <v/>
      </c>
      <c r="J1501" s="6">
        <f>IF(C1501="","",IF(H1501=1,SUMIFS('Opening Balance'!$F$4:$F$303,'Opening Balance'!$G$4:$G$303,C1501),INDEX($L$2:$L$3001,MATCH(C1501&amp;"|"&amp;(H1501-1),$I$2:$I$3001,0))))</f>
        <v/>
      </c>
      <c r="K1501" s="6">
        <f>IF(C1501="","",IF(M1501&gt;0,M1501,IF(AND(E1501&gt;0,ROUND(J1501+D1501-E1501,2)&gt;0,ROUND(J1501+D1501-E1501,2)&lt;'Opening Balance'!$B$14),ROUND(J1501+D1501-E1501,2),0)))</f>
        <v/>
      </c>
      <c r="L1501" s="6">
        <f>IF(C1501="","",ROUND(J1501+D1501-E1501-K1501,2))</f>
        <v/>
      </c>
      <c r="M1501" s="6">
        <f>IF(C1501="","",IF('Daily Sale entry '!Q1501="Collection 收款",ROUND(N('Daily Sale entry '!T1501),2),0))</f>
        <v/>
      </c>
    </row>
    <row r="1502">
      <c r="A1502" t="inlineStr">
        <is>
          <t>Bank 银行</t>
        </is>
      </c>
      <c r="B1502" s="5">
        <f>IF(AND('Daily Sale entry '!Z2="Online collection 网上收款",'Daily Sale entry '!AA2&lt;&gt;""),'Daily Sale entry '!X2,"")</f>
        <v/>
      </c>
      <c r="C1502">
        <f>IF(B1502="","",'Daily Sale entry '!AA2)</f>
        <v/>
      </c>
      <c r="D1502">
        <f>IF(C1502="","",0)</f>
        <v/>
      </c>
      <c r="E1502">
        <f>IF(C1502="","",'Daily Sale entry '!AC2)</f>
        <v/>
      </c>
      <c r="F1502" s="37">
        <f>IF(C1502="","",B1502+IF(E1502&gt;0,0,0.5)+ROW()/10000000)</f>
        <v/>
      </c>
      <c r="G1502">
        <f>IF(C1502="","","Collection 收款 (Online 网上)"&amp;IF('Daily Sale entry '!Y2="",""," - "&amp;'Daily Sale entry '!Y2))</f>
        <v/>
      </c>
      <c r="H1502">
        <f>IF(C1502="","",COUNTIFS($C$2:$C$3001,C1502,$F$2:$F$3001,"&lt;"&amp;F1502)+1)</f>
        <v/>
      </c>
      <c r="I1502">
        <f>IF(C1502="","",C1502&amp;"|"&amp;H1502)</f>
        <v/>
      </c>
      <c r="J1502" s="6">
        <f>IF(C1502="","",IF(H1502=1,SUMIFS('Opening Balance'!$F$4:$F$303,'Opening Balance'!$G$4:$G$303,C1502),INDEX($L$2:$L$3001,MATCH(C1502&amp;"|"&amp;(H1502-1),$I$2:$I$3001,0))))</f>
        <v/>
      </c>
      <c r="K1502" s="6">
        <f>IF(C1502="","",IF(M1502&gt;0,M1502,IF(AND(E1502&gt;0,ROUND(J1502+D1502-E1502,2)&gt;0,ROUND(J1502+D1502-E1502,2)&lt;'Opening Balance'!$B$14),ROUND(J1502+D1502-E1502,2),0)))</f>
        <v/>
      </c>
      <c r="L1502" s="6">
        <f>IF(C1502="","",ROUND(J1502+D1502-E1502-K1502,2))</f>
        <v/>
      </c>
      <c r="M1502" s="6">
        <f>IF(C1502="","",0)</f>
        <v/>
      </c>
    </row>
    <row r="1503">
      <c r="A1503" t="inlineStr">
        <is>
          <t>Bank 银行</t>
        </is>
      </c>
      <c r="B1503" s="5">
        <f>IF(AND('Daily Sale entry '!Z3="Online collection 网上收款",'Daily Sale entry '!AA3&lt;&gt;""),'Daily Sale entry '!X3,"")</f>
        <v/>
      </c>
      <c r="C1503">
        <f>IF(B1503="","",'Daily Sale entry '!AA3)</f>
        <v/>
      </c>
      <c r="D1503">
        <f>IF(C1503="","",0)</f>
        <v/>
      </c>
      <c r="E1503">
        <f>IF(C1503="","",'Daily Sale entry '!AC3)</f>
        <v/>
      </c>
      <c r="F1503" s="37">
        <f>IF(C1503="","",B1503+IF(E1503&gt;0,0,0.5)+ROW()/10000000)</f>
        <v/>
      </c>
      <c r="G1503">
        <f>IF(C1503="","","Collection 收款 (Online 网上)"&amp;IF('Daily Sale entry '!Y3="",""," - "&amp;'Daily Sale entry '!Y3))</f>
        <v/>
      </c>
      <c r="H1503">
        <f>IF(C1503="","",COUNTIFS($C$2:$C$3001,C1503,$F$2:$F$3001,"&lt;"&amp;F1503)+1)</f>
        <v/>
      </c>
      <c r="I1503">
        <f>IF(C1503="","",C1503&amp;"|"&amp;H1503)</f>
        <v/>
      </c>
      <c r="J1503" s="6">
        <f>IF(C1503="","",IF(H1503=1,SUMIFS('Opening Balance'!$F$4:$F$303,'Opening Balance'!$G$4:$G$303,C1503),INDEX($L$2:$L$3001,MATCH(C1503&amp;"|"&amp;(H1503-1),$I$2:$I$3001,0))))</f>
        <v/>
      </c>
      <c r="K1503" s="6">
        <f>IF(C1503="","",IF(M1503&gt;0,M1503,IF(AND(E1503&gt;0,ROUND(J1503+D1503-E1503,2)&gt;0,ROUND(J1503+D1503-E1503,2)&lt;'Opening Balance'!$B$14),ROUND(J1503+D1503-E1503,2),0)))</f>
        <v/>
      </c>
      <c r="L1503" s="6">
        <f>IF(C1503="","",ROUND(J1503+D1503-E1503-K1503,2))</f>
        <v/>
      </c>
      <c r="M1503" s="6">
        <f>IF(C1503="","",0)</f>
        <v/>
      </c>
    </row>
    <row r="1504">
      <c r="A1504" t="inlineStr">
        <is>
          <t>Bank 银行</t>
        </is>
      </c>
      <c r="B1504" s="5">
        <f>IF(AND('Daily Sale entry '!Z4="Online collection 网上收款",'Daily Sale entry '!AA4&lt;&gt;""),'Daily Sale entry '!X4,"")</f>
        <v/>
      </c>
      <c r="C1504">
        <f>IF(B1504="","",'Daily Sale entry '!AA4)</f>
        <v/>
      </c>
      <c r="D1504">
        <f>IF(C1504="","",0)</f>
        <v/>
      </c>
      <c r="E1504">
        <f>IF(C1504="","",'Daily Sale entry '!AC4)</f>
        <v/>
      </c>
      <c r="F1504" s="37">
        <f>IF(C1504="","",B1504+IF(E1504&gt;0,0,0.5)+ROW()/10000000)</f>
        <v/>
      </c>
      <c r="G1504">
        <f>IF(C1504="","","Collection 收款 (Online 网上)"&amp;IF('Daily Sale entry '!Y4="",""," - "&amp;'Daily Sale entry '!Y4))</f>
        <v/>
      </c>
      <c r="H1504">
        <f>IF(C1504="","",COUNTIFS($C$2:$C$3001,C1504,$F$2:$F$3001,"&lt;"&amp;F1504)+1)</f>
        <v/>
      </c>
      <c r="I1504">
        <f>IF(C1504="","",C1504&amp;"|"&amp;H1504)</f>
        <v/>
      </c>
      <c r="J1504" s="6">
        <f>IF(C1504="","",IF(H1504=1,SUMIFS('Opening Balance'!$F$4:$F$303,'Opening Balance'!$G$4:$G$303,C1504),INDEX($L$2:$L$3001,MATCH(C1504&amp;"|"&amp;(H1504-1),$I$2:$I$3001,0))))</f>
        <v/>
      </c>
      <c r="K1504" s="6">
        <f>IF(C1504="","",IF(M1504&gt;0,M1504,IF(AND(E1504&gt;0,ROUND(J1504+D1504-E1504,2)&gt;0,ROUND(J1504+D1504-E1504,2)&lt;'Opening Balance'!$B$14),ROUND(J1504+D1504-E1504,2),0)))</f>
        <v/>
      </c>
      <c r="L1504" s="6">
        <f>IF(C1504="","",ROUND(J1504+D1504-E1504-K1504,2))</f>
        <v/>
      </c>
      <c r="M1504" s="6">
        <f>IF(C1504="","",0)</f>
        <v/>
      </c>
    </row>
    <row r="1505">
      <c r="A1505" t="inlineStr">
        <is>
          <t>Bank 银行</t>
        </is>
      </c>
      <c r="B1505" s="5">
        <f>IF(AND('Daily Sale entry '!Z5="Online collection 网上收款",'Daily Sale entry '!AA5&lt;&gt;""),'Daily Sale entry '!X5,"")</f>
        <v/>
      </c>
      <c r="C1505">
        <f>IF(B1505="","",'Daily Sale entry '!AA5)</f>
        <v/>
      </c>
      <c r="D1505">
        <f>IF(C1505="","",0)</f>
        <v/>
      </c>
      <c r="E1505">
        <f>IF(C1505="","",'Daily Sale entry '!AC5)</f>
        <v/>
      </c>
      <c r="F1505" s="37">
        <f>IF(C1505="","",B1505+IF(E1505&gt;0,0,0.5)+ROW()/10000000)</f>
        <v/>
      </c>
      <c r="G1505">
        <f>IF(C1505="","","Collection 收款 (Online 网上)"&amp;IF('Daily Sale entry '!Y5="",""," - "&amp;'Daily Sale entry '!Y5))</f>
        <v/>
      </c>
      <c r="H1505">
        <f>IF(C1505="","",COUNTIFS($C$2:$C$3001,C1505,$F$2:$F$3001,"&lt;"&amp;F1505)+1)</f>
        <v/>
      </c>
      <c r="I1505">
        <f>IF(C1505="","",C1505&amp;"|"&amp;H1505)</f>
        <v/>
      </c>
      <c r="J1505" s="6">
        <f>IF(C1505="","",IF(H1505=1,SUMIFS('Opening Balance'!$F$4:$F$303,'Opening Balance'!$G$4:$G$303,C1505),INDEX($L$2:$L$3001,MATCH(C1505&amp;"|"&amp;(H1505-1),$I$2:$I$3001,0))))</f>
        <v/>
      </c>
      <c r="K1505" s="6">
        <f>IF(C1505="","",IF(M1505&gt;0,M1505,IF(AND(E1505&gt;0,ROUND(J1505+D1505-E1505,2)&gt;0,ROUND(J1505+D1505-E1505,2)&lt;'Opening Balance'!$B$14),ROUND(J1505+D1505-E1505,2),0)))</f>
        <v/>
      </c>
      <c r="L1505" s="6">
        <f>IF(C1505="","",ROUND(J1505+D1505-E1505-K1505,2))</f>
        <v/>
      </c>
      <c r="M1505" s="6">
        <f>IF(C1505="","",0)</f>
        <v/>
      </c>
    </row>
    <row r="1506">
      <c r="A1506" t="inlineStr">
        <is>
          <t>Bank 银行</t>
        </is>
      </c>
      <c r="B1506" s="5">
        <f>IF(AND('Daily Sale entry '!Z6="Online collection 网上收款",'Daily Sale entry '!AA6&lt;&gt;""),'Daily Sale entry '!X6,"")</f>
        <v/>
      </c>
      <c r="C1506">
        <f>IF(B1506="","",'Daily Sale entry '!AA6)</f>
        <v/>
      </c>
      <c r="D1506">
        <f>IF(C1506="","",0)</f>
        <v/>
      </c>
      <c r="E1506">
        <f>IF(C1506="","",'Daily Sale entry '!AC6)</f>
        <v/>
      </c>
      <c r="F1506" s="37">
        <f>IF(C1506="","",B1506+IF(E1506&gt;0,0,0.5)+ROW()/10000000)</f>
        <v/>
      </c>
      <c r="G1506">
        <f>IF(C1506="","","Collection 收款 (Online 网上)"&amp;IF('Daily Sale entry '!Y6="",""," - "&amp;'Daily Sale entry '!Y6))</f>
        <v/>
      </c>
      <c r="H1506">
        <f>IF(C1506="","",COUNTIFS($C$2:$C$3001,C1506,$F$2:$F$3001,"&lt;"&amp;F1506)+1)</f>
        <v/>
      </c>
      <c r="I1506">
        <f>IF(C1506="","",C1506&amp;"|"&amp;H1506)</f>
        <v/>
      </c>
      <c r="J1506" s="6">
        <f>IF(C1506="","",IF(H1506=1,SUMIFS('Opening Balance'!$F$4:$F$303,'Opening Balance'!$G$4:$G$303,C1506),INDEX($L$2:$L$3001,MATCH(C1506&amp;"|"&amp;(H1506-1),$I$2:$I$3001,0))))</f>
        <v/>
      </c>
      <c r="K1506" s="6">
        <f>IF(C1506="","",IF(M1506&gt;0,M1506,IF(AND(E1506&gt;0,ROUND(J1506+D1506-E1506,2)&gt;0,ROUND(J1506+D1506-E1506,2)&lt;'Opening Balance'!$B$14),ROUND(J1506+D1506-E1506,2),0)))</f>
        <v/>
      </c>
      <c r="L1506" s="6">
        <f>IF(C1506="","",ROUND(J1506+D1506-E1506-K1506,2))</f>
        <v/>
      </c>
      <c r="M1506" s="6">
        <f>IF(C1506="","",0)</f>
        <v/>
      </c>
    </row>
    <row r="1507">
      <c r="A1507" t="inlineStr">
        <is>
          <t>Bank 银行</t>
        </is>
      </c>
      <c r="B1507" s="5">
        <f>IF(AND('Daily Sale entry '!Z7="Online collection 网上收款",'Daily Sale entry '!AA7&lt;&gt;""),'Daily Sale entry '!X7,"")</f>
        <v/>
      </c>
      <c r="C1507">
        <f>IF(B1507="","",'Daily Sale entry '!AA7)</f>
        <v/>
      </c>
      <c r="D1507">
        <f>IF(C1507="","",0)</f>
        <v/>
      </c>
      <c r="E1507">
        <f>IF(C1507="","",'Daily Sale entry '!AC7)</f>
        <v/>
      </c>
      <c r="F1507" s="37">
        <f>IF(C1507="","",B1507+IF(E1507&gt;0,0,0.5)+ROW()/10000000)</f>
        <v/>
      </c>
      <c r="G1507">
        <f>IF(C1507="","","Collection 收款 (Online 网上)"&amp;IF('Daily Sale entry '!Y7="",""," - "&amp;'Daily Sale entry '!Y7))</f>
        <v/>
      </c>
      <c r="H1507">
        <f>IF(C1507="","",COUNTIFS($C$2:$C$3001,C1507,$F$2:$F$3001,"&lt;"&amp;F1507)+1)</f>
        <v/>
      </c>
      <c r="I1507">
        <f>IF(C1507="","",C1507&amp;"|"&amp;H1507)</f>
        <v/>
      </c>
      <c r="J1507" s="6">
        <f>IF(C1507="","",IF(H1507=1,SUMIFS('Opening Balance'!$F$4:$F$303,'Opening Balance'!$G$4:$G$303,C1507),INDEX($L$2:$L$3001,MATCH(C1507&amp;"|"&amp;(H1507-1),$I$2:$I$3001,0))))</f>
        <v/>
      </c>
      <c r="K1507" s="6">
        <f>IF(C1507="","",IF(M1507&gt;0,M1507,IF(AND(E1507&gt;0,ROUND(J1507+D1507-E1507,2)&gt;0,ROUND(J1507+D1507-E1507,2)&lt;'Opening Balance'!$B$14),ROUND(J1507+D1507-E1507,2),0)))</f>
        <v/>
      </c>
      <c r="L1507" s="6">
        <f>IF(C1507="","",ROUND(J1507+D1507-E1507-K1507,2))</f>
        <v/>
      </c>
      <c r="M1507" s="6">
        <f>IF(C1507="","",0)</f>
        <v/>
      </c>
    </row>
    <row r="1508">
      <c r="A1508" t="inlineStr">
        <is>
          <t>Bank 银行</t>
        </is>
      </c>
      <c r="B1508" s="5">
        <f>IF(AND('Daily Sale entry '!Z8="Online collection 网上收款",'Daily Sale entry '!AA8&lt;&gt;""),'Daily Sale entry '!X8,"")</f>
        <v/>
      </c>
      <c r="C1508">
        <f>IF(B1508="","",'Daily Sale entry '!AA8)</f>
        <v/>
      </c>
      <c r="D1508">
        <f>IF(C1508="","",0)</f>
        <v/>
      </c>
      <c r="E1508">
        <f>IF(C1508="","",'Daily Sale entry '!AC8)</f>
        <v/>
      </c>
      <c r="F1508" s="37">
        <f>IF(C1508="","",B1508+IF(E1508&gt;0,0,0.5)+ROW()/10000000)</f>
        <v/>
      </c>
      <c r="G1508">
        <f>IF(C1508="","","Collection 收款 (Online 网上)"&amp;IF('Daily Sale entry '!Y8="",""," - "&amp;'Daily Sale entry '!Y8))</f>
        <v/>
      </c>
      <c r="H1508">
        <f>IF(C1508="","",COUNTIFS($C$2:$C$3001,C1508,$F$2:$F$3001,"&lt;"&amp;F1508)+1)</f>
        <v/>
      </c>
      <c r="I1508">
        <f>IF(C1508="","",C1508&amp;"|"&amp;H1508)</f>
        <v/>
      </c>
      <c r="J1508" s="6">
        <f>IF(C1508="","",IF(H1508=1,SUMIFS('Opening Balance'!$F$4:$F$303,'Opening Balance'!$G$4:$G$303,C1508),INDEX($L$2:$L$3001,MATCH(C1508&amp;"|"&amp;(H1508-1),$I$2:$I$3001,0))))</f>
        <v/>
      </c>
      <c r="K1508" s="6">
        <f>IF(C1508="","",IF(M1508&gt;0,M1508,IF(AND(E1508&gt;0,ROUND(J1508+D1508-E1508,2)&gt;0,ROUND(J1508+D1508-E1508,2)&lt;'Opening Balance'!$B$14),ROUND(J1508+D1508-E1508,2),0)))</f>
        <v/>
      </c>
      <c r="L1508" s="6">
        <f>IF(C1508="","",ROUND(J1508+D1508-E1508-K1508,2))</f>
        <v/>
      </c>
      <c r="M1508" s="6">
        <f>IF(C1508="","",0)</f>
        <v/>
      </c>
    </row>
    <row r="1509">
      <c r="A1509" t="inlineStr">
        <is>
          <t>Bank 银行</t>
        </is>
      </c>
      <c r="B1509" s="5">
        <f>IF(AND('Daily Sale entry '!Z9="Online collection 网上收款",'Daily Sale entry '!AA9&lt;&gt;""),'Daily Sale entry '!X9,"")</f>
        <v/>
      </c>
      <c r="C1509">
        <f>IF(B1509="","",'Daily Sale entry '!AA9)</f>
        <v/>
      </c>
      <c r="D1509">
        <f>IF(C1509="","",0)</f>
        <v/>
      </c>
      <c r="E1509">
        <f>IF(C1509="","",'Daily Sale entry '!AC9)</f>
        <v/>
      </c>
      <c r="F1509" s="37">
        <f>IF(C1509="","",B1509+IF(E1509&gt;0,0,0.5)+ROW()/10000000)</f>
        <v/>
      </c>
      <c r="G1509">
        <f>IF(C1509="","","Collection 收款 (Online 网上)"&amp;IF('Daily Sale entry '!Y9="",""," - "&amp;'Daily Sale entry '!Y9))</f>
        <v/>
      </c>
      <c r="H1509">
        <f>IF(C1509="","",COUNTIFS($C$2:$C$3001,C1509,$F$2:$F$3001,"&lt;"&amp;F1509)+1)</f>
        <v/>
      </c>
      <c r="I1509">
        <f>IF(C1509="","",C1509&amp;"|"&amp;H1509)</f>
        <v/>
      </c>
      <c r="J1509" s="6">
        <f>IF(C1509="","",IF(H1509=1,SUMIFS('Opening Balance'!$F$4:$F$303,'Opening Balance'!$G$4:$G$303,C1509),INDEX($L$2:$L$3001,MATCH(C1509&amp;"|"&amp;(H1509-1),$I$2:$I$3001,0))))</f>
        <v/>
      </c>
      <c r="K1509" s="6">
        <f>IF(C1509="","",IF(M1509&gt;0,M1509,IF(AND(E1509&gt;0,ROUND(J1509+D1509-E1509,2)&gt;0,ROUND(J1509+D1509-E1509,2)&lt;'Opening Balance'!$B$14),ROUND(J1509+D1509-E1509,2),0)))</f>
        <v/>
      </c>
      <c r="L1509" s="6">
        <f>IF(C1509="","",ROUND(J1509+D1509-E1509-K1509,2))</f>
        <v/>
      </c>
      <c r="M1509" s="6">
        <f>IF(C1509="","",0)</f>
        <v/>
      </c>
    </row>
    <row r="1510">
      <c r="A1510" t="inlineStr">
        <is>
          <t>Bank 银行</t>
        </is>
      </c>
      <c r="B1510" s="5">
        <f>IF(AND('Daily Sale entry '!Z10="Online collection 网上收款",'Daily Sale entry '!AA10&lt;&gt;""),'Daily Sale entry '!X10,"")</f>
        <v/>
      </c>
      <c r="C1510">
        <f>IF(B1510="","",'Daily Sale entry '!AA10)</f>
        <v/>
      </c>
      <c r="D1510">
        <f>IF(C1510="","",0)</f>
        <v/>
      </c>
      <c r="E1510">
        <f>IF(C1510="","",'Daily Sale entry '!AC10)</f>
        <v/>
      </c>
      <c r="F1510" s="37">
        <f>IF(C1510="","",B1510+IF(E1510&gt;0,0,0.5)+ROW()/10000000)</f>
        <v/>
      </c>
      <c r="G1510">
        <f>IF(C1510="","","Collection 收款 (Online 网上)"&amp;IF('Daily Sale entry '!Y10="",""," - "&amp;'Daily Sale entry '!Y10))</f>
        <v/>
      </c>
      <c r="H1510">
        <f>IF(C1510="","",COUNTIFS($C$2:$C$3001,C1510,$F$2:$F$3001,"&lt;"&amp;F1510)+1)</f>
        <v/>
      </c>
      <c r="I1510">
        <f>IF(C1510="","",C1510&amp;"|"&amp;H1510)</f>
        <v/>
      </c>
      <c r="J1510" s="6">
        <f>IF(C1510="","",IF(H1510=1,SUMIFS('Opening Balance'!$F$4:$F$303,'Opening Balance'!$G$4:$G$303,C1510),INDEX($L$2:$L$3001,MATCH(C1510&amp;"|"&amp;(H1510-1),$I$2:$I$3001,0))))</f>
        <v/>
      </c>
      <c r="K1510" s="6">
        <f>IF(C1510="","",IF(M1510&gt;0,M1510,IF(AND(E1510&gt;0,ROUND(J1510+D1510-E1510,2)&gt;0,ROUND(J1510+D1510-E1510,2)&lt;'Opening Balance'!$B$14),ROUND(J1510+D1510-E1510,2),0)))</f>
        <v/>
      </c>
      <c r="L1510" s="6">
        <f>IF(C1510="","",ROUND(J1510+D1510-E1510-K1510,2))</f>
        <v/>
      </c>
      <c r="M1510" s="6">
        <f>IF(C1510="","",0)</f>
        <v/>
      </c>
    </row>
    <row r="1511">
      <c r="A1511" t="inlineStr">
        <is>
          <t>Bank 银行</t>
        </is>
      </c>
      <c r="B1511" s="5">
        <f>IF(AND('Daily Sale entry '!Z11="Online collection 网上收款",'Daily Sale entry '!AA11&lt;&gt;""),'Daily Sale entry '!X11,"")</f>
        <v/>
      </c>
      <c r="C1511">
        <f>IF(B1511="","",'Daily Sale entry '!AA11)</f>
        <v/>
      </c>
      <c r="D1511">
        <f>IF(C1511="","",0)</f>
        <v/>
      </c>
      <c r="E1511">
        <f>IF(C1511="","",'Daily Sale entry '!AC11)</f>
        <v/>
      </c>
      <c r="F1511" s="37">
        <f>IF(C1511="","",B1511+IF(E1511&gt;0,0,0.5)+ROW()/10000000)</f>
        <v/>
      </c>
      <c r="G1511">
        <f>IF(C1511="","","Collection 收款 (Online 网上)"&amp;IF('Daily Sale entry '!Y11="",""," - "&amp;'Daily Sale entry '!Y11))</f>
        <v/>
      </c>
      <c r="H1511">
        <f>IF(C1511="","",COUNTIFS($C$2:$C$3001,C1511,$F$2:$F$3001,"&lt;"&amp;F1511)+1)</f>
        <v/>
      </c>
      <c r="I1511">
        <f>IF(C1511="","",C1511&amp;"|"&amp;H1511)</f>
        <v/>
      </c>
      <c r="J1511" s="6">
        <f>IF(C1511="","",IF(H1511=1,SUMIFS('Opening Balance'!$F$4:$F$303,'Opening Balance'!$G$4:$G$303,C1511),INDEX($L$2:$L$3001,MATCH(C1511&amp;"|"&amp;(H1511-1),$I$2:$I$3001,0))))</f>
        <v/>
      </c>
      <c r="K1511" s="6">
        <f>IF(C1511="","",IF(M1511&gt;0,M1511,IF(AND(E1511&gt;0,ROUND(J1511+D1511-E1511,2)&gt;0,ROUND(J1511+D1511-E1511,2)&lt;'Opening Balance'!$B$14),ROUND(J1511+D1511-E1511,2),0)))</f>
        <v/>
      </c>
      <c r="L1511" s="6">
        <f>IF(C1511="","",ROUND(J1511+D1511-E1511-K1511,2))</f>
        <v/>
      </c>
      <c r="M1511" s="6">
        <f>IF(C1511="","",0)</f>
        <v/>
      </c>
    </row>
    <row r="1512">
      <c r="A1512" t="inlineStr">
        <is>
          <t>Bank 银行</t>
        </is>
      </c>
      <c r="B1512" s="5">
        <f>IF(AND('Daily Sale entry '!Z12="Online collection 网上收款",'Daily Sale entry '!AA12&lt;&gt;""),'Daily Sale entry '!X12,"")</f>
        <v/>
      </c>
      <c r="C1512">
        <f>IF(B1512="","",'Daily Sale entry '!AA12)</f>
        <v/>
      </c>
      <c r="D1512">
        <f>IF(C1512="","",0)</f>
        <v/>
      </c>
      <c r="E1512">
        <f>IF(C1512="","",'Daily Sale entry '!AC12)</f>
        <v/>
      </c>
      <c r="F1512" s="37">
        <f>IF(C1512="","",B1512+IF(E1512&gt;0,0,0.5)+ROW()/10000000)</f>
        <v/>
      </c>
      <c r="G1512">
        <f>IF(C1512="","","Collection 收款 (Online 网上)"&amp;IF('Daily Sale entry '!Y12="",""," - "&amp;'Daily Sale entry '!Y12))</f>
        <v/>
      </c>
      <c r="H1512">
        <f>IF(C1512="","",COUNTIFS($C$2:$C$3001,C1512,$F$2:$F$3001,"&lt;"&amp;F1512)+1)</f>
        <v/>
      </c>
      <c r="I1512">
        <f>IF(C1512="","",C1512&amp;"|"&amp;H1512)</f>
        <v/>
      </c>
      <c r="J1512" s="6">
        <f>IF(C1512="","",IF(H1512=1,SUMIFS('Opening Balance'!$F$4:$F$303,'Opening Balance'!$G$4:$G$303,C1512),INDEX($L$2:$L$3001,MATCH(C1512&amp;"|"&amp;(H1512-1),$I$2:$I$3001,0))))</f>
        <v/>
      </c>
      <c r="K1512" s="6">
        <f>IF(C1512="","",IF(M1512&gt;0,M1512,IF(AND(E1512&gt;0,ROUND(J1512+D1512-E1512,2)&gt;0,ROUND(J1512+D1512-E1512,2)&lt;'Opening Balance'!$B$14),ROUND(J1512+D1512-E1512,2),0)))</f>
        <v/>
      </c>
      <c r="L1512" s="6">
        <f>IF(C1512="","",ROUND(J1512+D1512-E1512-K1512,2))</f>
        <v/>
      </c>
      <c r="M1512" s="6">
        <f>IF(C1512="","",0)</f>
        <v/>
      </c>
    </row>
    <row r="1513">
      <c r="A1513" t="inlineStr">
        <is>
          <t>Bank 银行</t>
        </is>
      </c>
      <c r="B1513" s="5">
        <f>IF(AND('Daily Sale entry '!Z13="Online collection 网上收款",'Daily Sale entry '!AA13&lt;&gt;""),'Daily Sale entry '!X13,"")</f>
        <v/>
      </c>
      <c r="C1513">
        <f>IF(B1513="","",'Daily Sale entry '!AA13)</f>
        <v/>
      </c>
      <c r="D1513">
        <f>IF(C1513="","",0)</f>
        <v/>
      </c>
      <c r="E1513">
        <f>IF(C1513="","",'Daily Sale entry '!AC13)</f>
        <v/>
      </c>
      <c r="F1513" s="37">
        <f>IF(C1513="","",B1513+IF(E1513&gt;0,0,0.5)+ROW()/10000000)</f>
        <v/>
      </c>
      <c r="G1513">
        <f>IF(C1513="","","Collection 收款 (Online 网上)"&amp;IF('Daily Sale entry '!Y13="",""," - "&amp;'Daily Sale entry '!Y13))</f>
        <v/>
      </c>
      <c r="H1513">
        <f>IF(C1513="","",COUNTIFS($C$2:$C$3001,C1513,$F$2:$F$3001,"&lt;"&amp;F1513)+1)</f>
        <v/>
      </c>
      <c r="I1513">
        <f>IF(C1513="","",C1513&amp;"|"&amp;H1513)</f>
        <v/>
      </c>
      <c r="J1513" s="6">
        <f>IF(C1513="","",IF(H1513=1,SUMIFS('Opening Balance'!$F$4:$F$303,'Opening Balance'!$G$4:$G$303,C1513),INDEX($L$2:$L$3001,MATCH(C1513&amp;"|"&amp;(H1513-1),$I$2:$I$3001,0))))</f>
        <v/>
      </c>
      <c r="K1513" s="6">
        <f>IF(C1513="","",IF(M1513&gt;0,M1513,IF(AND(E1513&gt;0,ROUND(J1513+D1513-E1513,2)&gt;0,ROUND(J1513+D1513-E1513,2)&lt;'Opening Balance'!$B$14),ROUND(J1513+D1513-E1513,2),0)))</f>
        <v/>
      </c>
      <c r="L1513" s="6">
        <f>IF(C1513="","",ROUND(J1513+D1513-E1513-K1513,2))</f>
        <v/>
      </c>
      <c r="M1513" s="6">
        <f>IF(C1513="","",0)</f>
        <v/>
      </c>
    </row>
    <row r="1514">
      <c r="A1514" t="inlineStr">
        <is>
          <t>Bank 银行</t>
        </is>
      </c>
      <c r="B1514" s="5">
        <f>IF(AND('Daily Sale entry '!Z14="Online collection 网上收款",'Daily Sale entry '!AA14&lt;&gt;""),'Daily Sale entry '!X14,"")</f>
        <v/>
      </c>
      <c r="C1514">
        <f>IF(B1514="","",'Daily Sale entry '!AA14)</f>
        <v/>
      </c>
      <c r="D1514">
        <f>IF(C1514="","",0)</f>
        <v/>
      </c>
      <c r="E1514">
        <f>IF(C1514="","",'Daily Sale entry '!AC14)</f>
        <v/>
      </c>
      <c r="F1514" s="37">
        <f>IF(C1514="","",B1514+IF(E1514&gt;0,0,0.5)+ROW()/10000000)</f>
        <v/>
      </c>
      <c r="G1514">
        <f>IF(C1514="","","Collection 收款 (Online 网上)"&amp;IF('Daily Sale entry '!Y14="",""," - "&amp;'Daily Sale entry '!Y14))</f>
        <v/>
      </c>
      <c r="H1514">
        <f>IF(C1514="","",COUNTIFS($C$2:$C$3001,C1514,$F$2:$F$3001,"&lt;"&amp;F1514)+1)</f>
        <v/>
      </c>
      <c r="I1514">
        <f>IF(C1514="","",C1514&amp;"|"&amp;H1514)</f>
        <v/>
      </c>
      <c r="J1514" s="6">
        <f>IF(C1514="","",IF(H1514=1,SUMIFS('Opening Balance'!$F$4:$F$303,'Opening Balance'!$G$4:$G$303,C1514),INDEX($L$2:$L$3001,MATCH(C1514&amp;"|"&amp;(H1514-1),$I$2:$I$3001,0))))</f>
        <v/>
      </c>
      <c r="K1514" s="6">
        <f>IF(C1514="","",IF(M1514&gt;0,M1514,IF(AND(E1514&gt;0,ROUND(J1514+D1514-E1514,2)&gt;0,ROUND(J1514+D1514-E1514,2)&lt;'Opening Balance'!$B$14),ROUND(J1514+D1514-E1514,2),0)))</f>
        <v/>
      </c>
      <c r="L1514" s="6">
        <f>IF(C1514="","",ROUND(J1514+D1514-E1514-K1514,2))</f>
        <v/>
      </c>
      <c r="M1514" s="6">
        <f>IF(C1514="","",0)</f>
        <v/>
      </c>
    </row>
    <row r="1515">
      <c r="A1515" t="inlineStr">
        <is>
          <t>Bank 银行</t>
        </is>
      </c>
      <c r="B1515" s="5">
        <f>IF(AND('Daily Sale entry '!Z15="Online collection 网上收款",'Daily Sale entry '!AA15&lt;&gt;""),'Daily Sale entry '!X15,"")</f>
        <v/>
      </c>
      <c r="C1515">
        <f>IF(B1515="","",'Daily Sale entry '!AA15)</f>
        <v/>
      </c>
      <c r="D1515">
        <f>IF(C1515="","",0)</f>
        <v/>
      </c>
      <c r="E1515">
        <f>IF(C1515="","",'Daily Sale entry '!AC15)</f>
        <v/>
      </c>
      <c r="F1515" s="37">
        <f>IF(C1515="","",B1515+IF(E1515&gt;0,0,0.5)+ROW()/10000000)</f>
        <v/>
      </c>
      <c r="G1515">
        <f>IF(C1515="","","Collection 收款 (Online 网上)"&amp;IF('Daily Sale entry '!Y15="",""," - "&amp;'Daily Sale entry '!Y15))</f>
        <v/>
      </c>
      <c r="H1515">
        <f>IF(C1515="","",COUNTIFS($C$2:$C$3001,C1515,$F$2:$F$3001,"&lt;"&amp;F1515)+1)</f>
        <v/>
      </c>
      <c r="I1515">
        <f>IF(C1515="","",C1515&amp;"|"&amp;H1515)</f>
        <v/>
      </c>
      <c r="J1515" s="6">
        <f>IF(C1515="","",IF(H1515=1,SUMIFS('Opening Balance'!$F$4:$F$303,'Opening Balance'!$G$4:$G$303,C1515),INDEX($L$2:$L$3001,MATCH(C1515&amp;"|"&amp;(H1515-1),$I$2:$I$3001,0))))</f>
        <v/>
      </c>
      <c r="K1515" s="6">
        <f>IF(C1515="","",IF(M1515&gt;0,M1515,IF(AND(E1515&gt;0,ROUND(J1515+D1515-E1515,2)&gt;0,ROUND(J1515+D1515-E1515,2)&lt;'Opening Balance'!$B$14),ROUND(J1515+D1515-E1515,2),0)))</f>
        <v/>
      </c>
      <c r="L1515" s="6">
        <f>IF(C1515="","",ROUND(J1515+D1515-E1515-K1515,2))</f>
        <v/>
      </c>
      <c r="M1515" s="6">
        <f>IF(C1515="","",0)</f>
        <v/>
      </c>
    </row>
    <row r="1516">
      <c r="A1516" t="inlineStr">
        <is>
          <t>Bank 银行</t>
        </is>
      </c>
      <c r="B1516" s="5">
        <f>IF(AND('Daily Sale entry '!Z16="Online collection 网上收款",'Daily Sale entry '!AA16&lt;&gt;""),'Daily Sale entry '!X16,"")</f>
        <v/>
      </c>
      <c r="C1516">
        <f>IF(B1516="","",'Daily Sale entry '!AA16)</f>
        <v/>
      </c>
      <c r="D1516">
        <f>IF(C1516="","",0)</f>
        <v/>
      </c>
      <c r="E1516">
        <f>IF(C1516="","",'Daily Sale entry '!AC16)</f>
        <v/>
      </c>
      <c r="F1516" s="37">
        <f>IF(C1516="","",B1516+IF(E1516&gt;0,0,0.5)+ROW()/10000000)</f>
        <v/>
      </c>
      <c r="G1516">
        <f>IF(C1516="","","Collection 收款 (Online 网上)"&amp;IF('Daily Sale entry '!Y16="",""," - "&amp;'Daily Sale entry '!Y16))</f>
        <v/>
      </c>
      <c r="H1516">
        <f>IF(C1516="","",COUNTIFS($C$2:$C$3001,C1516,$F$2:$F$3001,"&lt;"&amp;F1516)+1)</f>
        <v/>
      </c>
      <c r="I1516">
        <f>IF(C1516="","",C1516&amp;"|"&amp;H1516)</f>
        <v/>
      </c>
      <c r="J1516" s="6">
        <f>IF(C1516="","",IF(H1516=1,SUMIFS('Opening Balance'!$F$4:$F$303,'Opening Balance'!$G$4:$G$303,C1516),INDEX($L$2:$L$3001,MATCH(C1516&amp;"|"&amp;(H1516-1),$I$2:$I$3001,0))))</f>
        <v/>
      </c>
      <c r="K1516" s="6">
        <f>IF(C1516="","",IF(M1516&gt;0,M1516,IF(AND(E1516&gt;0,ROUND(J1516+D1516-E1516,2)&gt;0,ROUND(J1516+D1516-E1516,2)&lt;'Opening Balance'!$B$14),ROUND(J1516+D1516-E1516,2),0)))</f>
        <v/>
      </c>
      <c r="L1516" s="6">
        <f>IF(C1516="","",ROUND(J1516+D1516-E1516-K1516,2))</f>
        <v/>
      </c>
      <c r="M1516" s="6">
        <f>IF(C1516="","",0)</f>
        <v/>
      </c>
    </row>
    <row r="1517">
      <c r="A1517" t="inlineStr">
        <is>
          <t>Bank 银行</t>
        </is>
      </c>
      <c r="B1517" s="5">
        <f>IF(AND('Daily Sale entry '!Z17="Online collection 网上收款",'Daily Sale entry '!AA17&lt;&gt;""),'Daily Sale entry '!X17,"")</f>
        <v/>
      </c>
      <c r="C1517">
        <f>IF(B1517="","",'Daily Sale entry '!AA17)</f>
        <v/>
      </c>
      <c r="D1517">
        <f>IF(C1517="","",0)</f>
        <v/>
      </c>
      <c r="E1517">
        <f>IF(C1517="","",'Daily Sale entry '!AC17)</f>
        <v/>
      </c>
      <c r="F1517" s="37">
        <f>IF(C1517="","",B1517+IF(E1517&gt;0,0,0.5)+ROW()/10000000)</f>
        <v/>
      </c>
      <c r="G1517">
        <f>IF(C1517="","","Collection 收款 (Online 网上)"&amp;IF('Daily Sale entry '!Y17="",""," - "&amp;'Daily Sale entry '!Y17))</f>
        <v/>
      </c>
      <c r="H1517">
        <f>IF(C1517="","",COUNTIFS($C$2:$C$3001,C1517,$F$2:$F$3001,"&lt;"&amp;F1517)+1)</f>
        <v/>
      </c>
      <c r="I1517">
        <f>IF(C1517="","",C1517&amp;"|"&amp;H1517)</f>
        <v/>
      </c>
      <c r="J1517" s="6">
        <f>IF(C1517="","",IF(H1517=1,SUMIFS('Opening Balance'!$F$4:$F$303,'Opening Balance'!$G$4:$G$303,C1517),INDEX($L$2:$L$3001,MATCH(C1517&amp;"|"&amp;(H1517-1),$I$2:$I$3001,0))))</f>
        <v/>
      </c>
      <c r="K1517" s="6">
        <f>IF(C1517="","",IF(M1517&gt;0,M1517,IF(AND(E1517&gt;0,ROUND(J1517+D1517-E1517,2)&gt;0,ROUND(J1517+D1517-E1517,2)&lt;'Opening Balance'!$B$14),ROUND(J1517+D1517-E1517,2),0)))</f>
        <v/>
      </c>
      <c r="L1517" s="6">
        <f>IF(C1517="","",ROUND(J1517+D1517-E1517-K1517,2))</f>
        <v/>
      </c>
      <c r="M1517" s="6">
        <f>IF(C1517="","",0)</f>
        <v/>
      </c>
    </row>
    <row r="1518">
      <c r="A1518" t="inlineStr">
        <is>
          <t>Bank 银行</t>
        </is>
      </c>
      <c r="B1518" s="5">
        <f>IF(AND('Daily Sale entry '!Z18="Online collection 网上收款",'Daily Sale entry '!AA18&lt;&gt;""),'Daily Sale entry '!X18,"")</f>
        <v/>
      </c>
      <c r="C1518">
        <f>IF(B1518="","",'Daily Sale entry '!AA18)</f>
        <v/>
      </c>
      <c r="D1518">
        <f>IF(C1518="","",0)</f>
        <v/>
      </c>
      <c r="E1518">
        <f>IF(C1518="","",'Daily Sale entry '!AC18)</f>
        <v/>
      </c>
      <c r="F1518" s="37">
        <f>IF(C1518="","",B1518+IF(E1518&gt;0,0,0.5)+ROW()/10000000)</f>
        <v/>
      </c>
      <c r="G1518">
        <f>IF(C1518="","","Collection 收款 (Online 网上)"&amp;IF('Daily Sale entry '!Y18="",""," - "&amp;'Daily Sale entry '!Y18))</f>
        <v/>
      </c>
      <c r="H1518">
        <f>IF(C1518="","",COUNTIFS($C$2:$C$3001,C1518,$F$2:$F$3001,"&lt;"&amp;F1518)+1)</f>
        <v/>
      </c>
      <c r="I1518">
        <f>IF(C1518="","",C1518&amp;"|"&amp;H1518)</f>
        <v/>
      </c>
      <c r="J1518" s="6">
        <f>IF(C1518="","",IF(H1518=1,SUMIFS('Opening Balance'!$F$4:$F$303,'Opening Balance'!$G$4:$G$303,C1518),INDEX($L$2:$L$3001,MATCH(C1518&amp;"|"&amp;(H1518-1),$I$2:$I$3001,0))))</f>
        <v/>
      </c>
      <c r="K1518" s="6">
        <f>IF(C1518="","",IF(M1518&gt;0,M1518,IF(AND(E1518&gt;0,ROUND(J1518+D1518-E1518,2)&gt;0,ROUND(J1518+D1518-E1518,2)&lt;'Opening Balance'!$B$14),ROUND(J1518+D1518-E1518,2),0)))</f>
        <v/>
      </c>
      <c r="L1518" s="6">
        <f>IF(C1518="","",ROUND(J1518+D1518-E1518-K1518,2))</f>
        <v/>
      </c>
      <c r="M1518" s="6">
        <f>IF(C1518="","",0)</f>
        <v/>
      </c>
    </row>
    <row r="1519">
      <c r="A1519" t="inlineStr">
        <is>
          <t>Bank 银行</t>
        </is>
      </c>
      <c r="B1519" s="5">
        <f>IF(AND('Daily Sale entry '!Z19="Online collection 网上收款",'Daily Sale entry '!AA19&lt;&gt;""),'Daily Sale entry '!X19,"")</f>
        <v/>
      </c>
      <c r="C1519">
        <f>IF(B1519="","",'Daily Sale entry '!AA19)</f>
        <v/>
      </c>
      <c r="D1519">
        <f>IF(C1519="","",0)</f>
        <v/>
      </c>
      <c r="E1519">
        <f>IF(C1519="","",'Daily Sale entry '!AC19)</f>
        <v/>
      </c>
      <c r="F1519" s="37">
        <f>IF(C1519="","",B1519+IF(E1519&gt;0,0,0.5)+ROW()/10000000)</f>
        <v/>
      </c>
      <c r="G1519">
        <f>IF(C1519="","","Collection 收款 (Online 网上)"&amp;IF('Daily Sale entry '!Y19="",""," - "&amp;'Daily Sale entry '!Y19))</f>
        <v/>
      </c>
      <c r="H1519">
        <f>IF(C1519="","",COUNTIFS($C$2:$C$3001,C1519,$F$2:$F$3001,"&lt;"&amp;F1519)+1)</f>
        <v/>
      </c>
      <c r="I1519">
        <f>IF(C1519="","",C1519&amp;"|"&amp;H1519)</f>
        <v/>
      </c>
      <c r="J1519" s="6">
        <f>IF(C1519="","",IF(H1519=1,SUMIFS('Opening Balance'!$F$4:$F$303,'Opening Balance'!$G$4:$G$303,C1519),INDEX($L$2:$L$3001,MATCH(C1519&amp;"|"&amp;(H1519-1),$I$2:$I$3001,0))))</f>
        <v/>
      </c>
      <c r="K1519" s="6">
        <f>IF(C1519="","",IF(M1519&gt;0,M1519,IF(AND(E1519&gt;0,ROUND(J1519+D1519-E1519,2)&gt;0,ROUND(J1519+D1519-E1519,2)&lt;'Opening Balance'!$B$14),ROUND(J1519+D1519-E1519,2),0)))</f>
        <v/>
      </c>
      <c r="L1519" s="6">
        <f>IF(C1519="","",ROUND(J1519+D1519-E1519-K1519,2))</f>
        <v/>
      </c>
      <c r="M1519" s="6">
        <f>IF(C1519="","",0)</f>
        <v/>
      </c>
    </row>
    <row r="1520">
      <c r="A1520" t="inlineStr">
        <is>
          <t>Bank 银行</t>
        </is>
      </c>
      <c r="B1520" s="5">
        <f>IF(AND('Daily Sale entry '!Z20="Online collection 网上收款",'Daily Sale entry '!AA20&lt;&gt;""),'Daily Sale entry '!X20,"")</f>
        <v/>
      </c>
      <c r="C1520">
        <f>IF(B1520="","",'Daily Sale entry '!AA20)</f>
        <v/>
      </c>
      <c r="D1520">
        <f>IF(C1520="","",0)</f>
        <v/>
      </c>
      <c r="E1520">
        <f>IF(C1520="","",'Daily Sale entry '!AC20)</f>
        <v/>
      </c>
      <c r="F1520" s="37">
        <f>IF(C1520="","",B1520+IF(E1520&gt;0,0,0.5)+ROW()/10000000)</f>
        <v/>
      </c>
      <c r="G1520">
        <f>IF(C1520="","","Collection 收款 (Online 网上)"&amp;IF('Daily Sale entry '!Y20="",""," - "&amp;'Daily Sale entry '!Y20))</f>
        <v/>
      </c>
      <c r="H1520">
        <f>IF(C1520="","",COUNTIFS($C$2:$C$3001,C1520,$F$2:$F$3001,"&lt;"&amp;F1520)+1)</f>
        <v/>
      </c>
      <c r="I1520">
        <f>IF(C1520="","",C1520&amp;"|"&amp;H1520)</f>
        <v/>
      </c>
      <c r="J1520" s="6">
        <f>IF(C1520="","",IF(H1520=1,SUMIFS('Opening Balance'!$F$4:$F$303,'Opening Balance'!$G$4:$G$303,C1520),INDEX($L$2:$L$3001,MATCH(C1520&amp;"|"&amp;(H1520-1),$I$2:$I$3001,0))))</f>
        <v/>
      </c>
      <c r="K1520" s="6">
        <f>IF(C1520="","",IF(M1520&gt;0,M1520,IF(AND(E1520&gt;0,ROUND(J1520+D1520-E1520,2)&gt;0,ROUND(J1520+D1520-E1520,2)&lt;'Opening Balance'!$B$14),ROUND(J1520+D1520-E1520,2),0)))</f>
        <v/>
      </c>
      <c r="L1520" s="6">
        <f>IF(C1520="","",ROUND(J1520+D1520-E1520-K1520,2))</f>
        <v/>
      </c>
      <c r="M1520" s="6">
        <f>IF(C1520="","",0)</f>
        <v/>
      </c>
    </row>
    <row r="1521">
      <c r="A1521" t="inlineStr">
        <is>
          <t>Bank 银行</t>
        </is>
      </c>
      <c r="B1521" s="5">
        <f>IF(AND('Daily Sale entry '!Z21="Online collection 网上收款",'Daily Sale entry '!AA21&lt;&gt;""),'Daily Sale entry '!X21,"")</f>
        <v/>
      </c>
      <c r="C1521">
        <f>IF(B1521="","",'Daily Sale entry '!AA21)</f>
        <v/>
      </c>
      <c r="D1521">
        <f>IF(C1521="","",0)</f>
        <v/>
      </c>
      <c r="E1521">
        <f>IF(C1521="","",'Daily Sale entry '!AC21)</f>
        <v/>
      </c>
      <c r="F1521" s="37">
        <f>IF(C1521="","",B1521+IF(E1521&gt;0,0,0.5)+ROW()/10000000)</f>
        <v/>
      </c>
      <c r="G1521">
        <f>IF(C1521="","","Collection 收款 (Online 网上)"&amp;IF('Daily Sale entry '!Y21="",""," - "&amp;'Daily Sale entry '!Y21))</f>
        <v/>
      </c>
      <c r="H1521">
        <f>IF(C1521="","",COUNTIFS($C$2:$C$3001,C1521,$F$2:$F$3001,"&lt;"&amp;F1521)+1)</f>
        <v/>
      </c>
      <c r="I1521">
        <f>IF(C1521="","",C1521&amp;"|"&amp;H1521)</f>
        <v/>
      </c>
      <c r="J1521" s="6">
        <f>IF(C1521="","",IF(H1521=1,SUMIFS('Opening Balance'!$F$4:$F$303,'Opening Balance'!$G$4:$G$303,C1521),INDEX($L$2:$L$3001,MATCH(C1521&amp;"|"&amp;(H1521-1),$I$2:$I$3001,0))))</f>
        <v/>
      </c>
      <c r="K1521" s="6">
        <f>IF(C1521="","",IF(M1521&gt;0,M1521,IF(AND(E1521&gt;0,ROUND(J1521+D1521-E1521,2)&gt;0,ROUND(J1521+D1521-E1521,2)&lt;'Opening Balance'!$B$14),ROUND(J1521+D1521-E1521,2),0)))</f>
        <v/>
      </c>
      <c r="L1521" s="6">
        <f>IF(C1521="","",ROUND(J1521+D1521-E1521-K1521,2))</f>
        <v/>
      </c>
      <c r="M1521" s="6">
        <f>IF(C1521="","",0)</f>
        <v/>
      </c>
    </row>
    <row r="1522">
      <c r="A1522" t="inlineStr">
        <is>
          <t>Bank 银行</t>
        </is>
      </c>
      <c r="B1522" s="5">
        <f>IF(AND('Daily Sale entry '!Z22="Online collection 网上收款",'Daily Sale entry '!AA22&lt;&gt;""),'Daily Sale entry '!X22,"")</f>
        <v/>
      </c>
      <c r="C1522">
        <f>IF(B1522="","",'Daily Sale entry '!AA22)</f>
        <v/>
      </c>
      <c r="D1522">
        <f>IF(C1522="","",0)</f>
        <v/>
      </c>
      <c r="E1522">
        <f>IF(C1522="","",'Daily Sale entry '!AC22)</f>
        <v/>
      </c>
      <c r="F1522" s="37">
        <f>IF(C1522="","",B1522+IF(E1522&gt;0,0,0.5)+ROW()/10000000)</f>
        <v/>
      </c>
      <c r="G1522">
        <f>IF(C1522="","","Collection 收款 (Online 网上)"&amp;IF('Daily Sale entry '!Y22="",""," - "&amp;'Daily Sale entry '!Y22))</f>
        <v/>
      </c>
      <c r="H1522">
        <f>IF(C1522="","",COUNTIFS($C$2:$C$3001,C1522,$F$2:$F$3001,"&lt;"&amp;F1522)+1)</f>
        <v/>
      </c>
      <c r="I1522">
        <f>IF(C1522="","",C1522&amp;"|"&amp;H1522)</f>
        <v/>
      </c>
      <c r="J1522" s="6">
        <f>IF(C1522="","",IF(H1522=1,SUMIFS('Opening Balance'!$F$4:$F$303,'Opening Balance'!$G$4:$G$303,C1522),INDEX($L$2:$L$3001,MATCH(C1522&amp;"|"&amp;(H1522-1),$I$2:$I$3001,0))))</f>
        <v/>
      </c>
      <c r="K1522" s="6">
        <f>IF(C1522="","",IF(M1522&gt;0,M1522,IF(AND(E1522&gt;0,ROUND(J1522+D1522-E1522,2)&gt;0,ROUND(J1522+D1522-E1522,2)&lt;'Opening Balance'!$B$14),ROUND(J1522+D1522-E1522,2),0)))</f>
        <v/>
      </c>
      <c r="L1522" s="6">
        <f>IF(C1522="","",ROUND(J1522+D1522-E1522-K1522,2))</f>
        <v/>
      </c>
      <c r="M1522" s="6">
        <f>IF(C1522="","",0)</f>
        <v/>
      </c>
    </row>
    <row r="1523">
      <c r="A1523" t="inlineStr">
        <is>
          <t>Bank 银行</t>
        </is>
      </c>
      <c r="B1523" s="5">
        <f>IF(AND('Daily Sale entry '!Z23="Online collection 网上收款",'Daily Sale entry '!AA23&lt;&gt;""),'Daily Sale entry '!X23,"")</f>
        <v/>
      </c>
      <c r="C1523">
        <f>IF(B1523="","",'Daily Sale entry '!AA23)</f>
        <v/>
      </c>
      <c r="D1523">
        <f>IF(C1523="","",0)</f>
        <v/>
      </c>
      <c r="E1523">
        <f>IF(C1523="","",'Daily Sale entry '!AC23)</f>
        <v/>
      </c>
      <c r="F1523" s="37">
        <f>IF(C1523="","",B1523+IF(E1523&gt;0,0,0.5)+ROW()/10000000)</f>
        <v/>
      </c>
      <c r="G1523">
        <f>IF(C1523="","","Collection 收款 (Online 网上)"&amp;IF('Daily Sale entry '!Y23="",""," - "&amp;'Daily Sale entry '!Y23))</f>
        <v/>
      </c>
      <c r="H1523">
        <f>IF(C1523="","",COUNTIFS($C$2:$C$3001,C1523,$F$2:$F$3001,"&lt;"&amp;F1523)+1)</f>
        <v/>
      </c>
      <c r="I1523">
        <f>IF(C1523="","",C1523&amp;"|"&amp;H1523)</f>
        <v/>
      </c>
      <c r="J1523" s="6">
        <f>IF(C1523="","",IF(H1523=1,SUMIFS('Opening Balance'!$F$4:$F$303,'Opening Balance'!$G$4:$G$303,C1523),INDEX($L$2:$L$3001,MATCH(C1523&amp;"|"&amp;(H1523-1),$I$2:$I$3001,0))))</f>
        <v/>
      </c>
      <c r="K1523" s="6">
        <f>IF(C1523="","",IF(M1523&gt;0,M1523,IF(AND(E1523&gt;0,ROUND(J1523+D1523-E1523,2)&gt;0,ROUND(J1523+D1523-E1523,2)&lt;'Opening Balance'!$B$14),ROUND(J1523+D1523-E1523,2),0)))</f>
        <v/>
      </c>
      <c r="L1523" s="6">
        <f>IF(C1523="","",ROUND(J1523+D1523-E1523-K1523,2))</f>
        <v/>
      </c>
      <c r="M1523" s="6">
        <f>IF(C1523="","",0)</f>
        <v/>
      </c>
    </row>
    <row r="1524">
      <c r="A1524" t="inlineStr">
        <is>
          <t>Bank 银行</t>
        </is>
      </c>
      <c r="B1524" s="5">
        <f>IF(AND('Daily Sale entry '!Z24="Online collection 网上收款",'Daily Sale entry '!AA24&lt;&gt;""),'Daily Sale entry '!X24,"")</f>
        <v/>
      </c>
      <c r="C1524">
        <f>IF(B1524="","",'Daily Sale entry '!AA24)</f>
        <v/>
      </c>
      <c r="D1524">
        <f>IF(C1524="","",0)</f>
        <v/>
      </c>
      <c r="E1524">
        <f>IF(C1524="","",'Daily Sale entry '!AC24)</f>
        <v/>
      </c>
      <c r="F1524" s="37">
        <f>IF(C1524="","",B1524+IF(E1524&gt;0,0,0.5)+ROW()/10000000)</f>
        <v/>
      </c>
      <c r="G1524">
        <f>IF(C1524="","","Collection 收款 (Online 网上)"&amp;IF('Daily Sale entry '!Y24="",""," - "&amp;'Daily Sale entry '!Y24))</f>
        <v/>
      </c>
      <c r="H1524">
        <f>IF(C1524="","",COUNTIFS($C$2:$C$3001,C1524,$F$2:$F$3001,"&lt;"&amp;F1524)+1)</f>
        <v/>
      </c>
      <c r="I1524">
        <f>IF(C1524="","",C1524&amp;"|"&amp;H1524)</f>
        <v/>
      </c>
      <c r="J1524" s="6">
        <f>IF(C1524="","",IF(H1524=1,SUMIFS('Opening Balance'!$F$4:$F$303,'Opening Balance'!$G$4:$G$303,C1524),INDEX($L$2:$L$3001,MATCH(C1524&amp;"|"&amp;(H1524-1),$I$2:$I$3001,0))))</f>
        <v/>
      </c>
      <c r="K1524" s="6">
        <f>IF(C1524="","",IF(M1524&gt;0,M1524,IF(AND(E1524&gt;0,ROUND(J1524+D1524-E1524,2)&gt;0,ROUND(J1524+D1524-E1524,2)&lt;'Opening Balance'!$B$14),ROUND(J1524+D1524-E1524,2),0)))</f>
        <v/>
      </c>
      <c r="L1524" s="6">
        <f>IF(C1524="","",ROUND(J1524+D1524-E1524-K1524,2))</f>
        <v/>
      </c>
      <c r="M1524" s="6">
        <f>IF(C1524="","",0)</f>
        <v/>
      </c>
    </row>
    <row r="1525">
      <c r="A1525" t="inlineStr">
        <is>
          <t>Bank 银行</t>
        </is>
      </c>
      <c r="B1525" s="5">
        <f>IF(AND('Daily Sale entry '!Z25="Online collection 网上收款",'Daily Sale entry '!AA25&lt;&gt;""),'Daily Sale entry '!X25,"")</f>
        <v/>
      </c>
      <c r="C1525">
        <f>IF(B1525="","",'Daily Sale entry '!AA25)</f>
        <v/>
      </c>
      <c r="D1525">
        <f>IF(C1525="","",0)</f>
        <v/>
      </c>
      <c r="E1525">
        <f>IF(C1525="","",'Daily Sale entry '!AC25)</f>
        <v/>
      </c>
      <c r="F1525" s="37">
        <f>IF(C1525="","",B1525+IF(E1525&gt;0,0,0.5)+ROW()/10000000)</f>
        <v/>
      </c>
      <c r="G1525">
        <f>IF(C1525="","","Collection 收款 (Online 网上)"&amp;IF('Daily Sale entry '!Y25="",""," - "&amp;'Daily Sale entry '!Y25))</f>
        <v/>
      </c>
      <c r="H1525">
        <f>IF(C1525="","",COUNTIFS($C$2:$C$3001,C1525,$F$2:$F$3001,"&lt;"&amp;F1525)+1)</f>
        <v/>
      </c>
      <c r="I1525">
        <f>IF(C1525="","",C1525&amp;"|"&amp;H1525)</f>
        <v/>
      </c>
      <c r="J1525" s="6">
        <f>IF(C1525="","",IF(H1525=1,SUMIFS('Opening Balance'!$F$4:$F$303,'Opening Balance'!$G$4:$G$303,C1525),INDEX($L$2:$L$3001,MATCH(C1525&amp;"|"&amp;(H1525-1),$I$2:$I$3001,0))))</f>
        <v/>
      </c>
      <c r="K1525" s="6">
        <f>IF(C1525="","",IF(M1525&gt;0,M1525,IF(AND(E1525&gt;0,ROUND(J1525+D1525-E1525,2)&gt;0,ROUND(J1525+D1525-E1525,2)&lt;'Opening Balance'!$B$14),ROUND(J1525+D1525-E1525,2),0)))</f>
        <v/>
      </c>
      <c r="L1525" s="6">
        <f>IF(C1525="","",ROUND(J1525+D1525-E1525-K1525,2))</f>
        <v/>
      </c>
      <c r="M1525" s="6">
        <f>IF(C1525="","",0)</f>
        <v/>
      </c>
    </row>
    <row r="1526">
      <c r="A1526" t="inlineStr">
        <is>
          <t>Bank 银行</t>
        </is>
      </c>
      <c r="B1526" s="5">
        <f>IF(AND('Daily Sale entry '!Z26="Online collection 网上收款",'Daily Sale entry '!AA26&lt;&gt;""),'Daily Sale entry '!X26,"")</f>
        <v/>
      </c>
      <c r="C1526">
        <f>IF(B1526="","",'Daily Sale entry '!AA26)</f>
        <v/>
      </c>
      <c r="D1526">
        <f>IF(C1526="","",0)</f>
        <v/>
      </c>
      <c r="E1526">
        <f>IF(C1526="","",'Daily Sale entry '!AC26)</f>
        <v/>
      </c>
      <c r="F1526" s="37">
        <f>IF(C1526="","",B1526+IF(E1526&gt;0,0,0.5)+ROW()/10000000)</f>
        <v/>
      </c>
      <c r="G1526">
        <f>IF(C1526="","","Collection 收款 (Online 网上)"&amp;IF('Daily Sale entry '!Y26="",""," - "&amp;'Daily Sale entry '!Y26))</f>
        <v/>
      </c>
      <c r="H1526">
        <f>IF(C1526="","",COUNTIFS($C$2:$C$3001,C1526,$F$2:$F$3001,"&lt;"&amp;F1526)+1)</f>
        <v/>
      </c>
      <c r="I1526">
        <f>IF(C1526="","",C1526&amp;"|"&amp;H1526)</f>
        <v/>
      </c>
      <c r="J1526" s="6">
        <f>IF(C1526="","",IF(H1526=1,SUMIFS('Opening Balance'!$F$4:$F$303,'Opening Balance'!$G$4:$G$303,C1526),INDEX($L$2:$L$3001,MATCH(C1526&amp;"|"&amp;(H1526-1),$I$2:$I$3001,0))))</f>
        <v/>
      </c>
      <c r="K1526" s="6">
        <f>IF(C1526="","",IF(M1526&gt;0,M1526,IF(AND(E1526&gt;0,ROUND(J1526+D1526-E1526,2)&gt;0,ROUND(J1526+D1526-E1526,2)&lt;'Opening Balance'!$B$14),ROUND(J1526+D1526-E1526,2),0)))</f>
        <v/>
      </c>
      <c r="L1526" s="6">
        <f>IF(C1526="","",ROUND(J1526+D1526-E1526-K1526,2))</f>
        <v/>
      </c>
      <c r="M1526" s="6">
        <f>IF(C1526="","",0)</f>
        <v/>
      </c>
    </row>
    <row r="1527">
      <c r="A1527" t="inlineStr">
        <is>
          <t>Bank 银行</t>
        </is>
      </c>
      <c r="B1527" s="5">
        <f>IF(AND('Daily Sale entry '!Z27="Online collection 网上收款",'Daily Sale entry '!AA27&lt;&gt;""),'Daily Sale entry '!X27,"")</f>
        <v/>
      </c>
      <c r="C1527">
        <f>IF(B1527="","",'Daily Sale entry '!AA27)</f>
        <v/>
      </c>
      <c r="D1527">
        <f>IF(C1527="","",0)</f>
        <v/>
      </c>
      <c r="E1527">
        <f>IF(C1527="","",'Daily Sale entry '!AC27)</f>
        <v/>
      </c>
      <c r="F1527" s="37">
        <f>IF(C1527="","",B1527+IF(E1527&gt;0,0,0.5)+ROW()/10000000)</f>
        <v/>
      </c>
      <c r="G1527">
        <f>IF(C1527="","","Collection 收款 (Online 网上)"&amp;IF('Daily Sale entry '!Y27="",""," - "&amp;'Daily Sale entry '!Y27))</f>
        <v/>
      </c>
      <c r="H1527">
        <f>IF(C1527="","",COUNTIFS($C$2:$C$3001,C1527,$F$2:$F$3001,"&lt;"&amp;F1527)+1)</f>
        <v/>
      </c>
      <c r="I1527">
        <f>IF(C1527="","",C1527&amp;"|"&amp;H1527)</f>
        <v/>
      </c>
      <c r="J1527" s="6">
        <f>IF(C1527="","",IF(H1527=1,SUMIFS('Opening Balance'!$F$4:$F$303,'Opening Balance'!$G$4:$G$303,C1527),INDEX($L$2:$L$3001,MATCH(C1527&amp;"|"&amp;(H1527-1),$I$2:$I$3001,0))))</f>
        <v/>
      </c>
      <c r="K1527" s="6">
        <f>IF(C1527="","",IF(M1527&gt;0,M1527,IF(AND(E1527&gt;0,ROUND(J1527+D1527-E1527,2)&gt;0,ROUND(J1527+D1527-E1527,2)&lt;'Opening Balance'!$B$14),ROUND(J1527+D1527-E1527,2),0)))</f>
        <v/>
      </c>
      <c r="L1527" s="6">
        <f>IF(C1527="","",ROUND(J1527+D1527-E1527-K1527,2))</f>
        <v/>
      </c>
      <c r="M1527" s="6">
        <f>IF(C1527="","",0)</f>
        <v/>
      </c>
    </row>
    <row r="1528">
      <c r="A1528" t="inlineStr">
        <is>
          <t>Bank 银行</t>
        </is>
      </c>
      <c r="B1528" s="5">
        <f>IF(AND('Daily Sale entry '!Z28="Online collection 网上收款",'Daily Sale entry '!AA28&lt;&gt;""),'Daily Sale entry '!X28,"")</f>
        <v/>
      </c>
      <c r="C1528">
        <f>IF(B1528="","",'Daily Sale entry '!AA28)</f>
        <v/>
      </c>
      <c r="D1528">
        <f>IF(C1528="","",0)</f>
        <v/>
      </c>
      <c r="E1528">
        <f>IF(C1528="","",'Daily Sale entry '!AC28)</f>
        <v/>
      </c>
      <c r="F1528" s="37">
        <f>IF(C1528="","",B1528+IF(E1528&gt;0,0,0.5)+ROW()/10000000)</f>
        <v/>
      </c>
      <c r="G1528">
        <f>IF(C1528="","","Collection 收款 (Online 网上)"&amp;IF('Daily Sale entry '!Y28="",""," - "&amp;'Daily Sale entry '!Y28))</f>
        <v/>
      </c>
      <c r="H1528">
        <f>IF(C1528="","",COUNTIFS($C$2:$C$3001,C1528,$F$2:$F$3001,"&lt;"&amp;F1528)+1)</f>
        <v/>
      </c>
      <c r="I1528">
        <f>IF(C1528="","",C1528&amp;"|"&amp;H1528)</f>
        <v/>
      </c>
      <c r="J1528" s="6">
        <f>IF(C1528="","",IF(H1528=1,SUMIFS('Opening Balance'!$F$4:$F$303,'Opening Balance'!$G$4:$G$303,C1528),INDEX($L$2:$L$3001,MATCH(C1528&amp;"|"&amp;(H1528-1),$I$2:$I$3001,0))))</f>
        <v/>
      </c>
      <c r="K1528" s="6">
        <f>IF(C1528="","",IF(M1528&gt;0,M1528,IF(AND(E1528&gt;0,ROUND(J1528+D1528-E1528,2)&gt;0,ROUND(J1528+D1528-E1528,2)&lt;'Opening Balance'!$B$14),ROUND(J1528+D1528-E1528,2),0)))</f>
        <v/>
      </c>
      <c r="L1528" s="6">
        <f>IF(C1528="","",ROUND(J1528+D1528-E1528-K1528,2))</f>
        <v/>
      </c>
      <c r="M1528" s="6">
        <f>IF(C1528="","",0)</f>
        <v/>
      </c>
    </row>
    <row r="1529">
      <c r="A1529" t="inlineStr">
        <is>
          <t>Bank 银行</t>
        </is>
      </c>
      <c r="B1529" s="5">
        <f>IF(AND('Daily Sale entry '!Z29="Online collection 网上收款",'Daily Sale entry '!AA29&lt;&gt;""),'Daily Sale entry '!X29,"")</f>
        <v/>
      </c>
      <c r="C1529">
        <f>IF(B1529="","",'Daily Sale entry '!AA29)</f>
        <v/>
      </c>
      <c r="D1529">
        <f>IF(C1529="","",0)</f>
        <v/>
      </c>
      <c r="E1529">
        <f>IF(C1529="","",'Daily Sale entry '!AC29)</f>
        <v/>
      </c>
      <c r="F1529" s="37">
        <f>IF(C1529="","",B1529+IF(E1529&gt;0,0,0.5)+ROW()/10000000)</f>
        <v/>
      </c>
      <c r="G1529">
        <f>IF(C1529="","","Collection 收款 (Online 网上)"&amp;IF('Daily Sale entry '!Y29="",""," - "&amp;'Daily Sale entry '!Y29))</f>
        <v/>
      </c>
      <c r="H1529">
        <f>IF(C1529="","",COUNTIFS($C$2:$C$3001,C1529,$F$2:$F$3001,"&lt;"&amp;F1529)+1)</f>
        <v/>
      </c>
      <c r="I1529">
        <f>IF(C1529="","",C1529&amp;"|"&amp;H1529)</f>
        <v/>
      </c>
      <c r="J1529" s="6">
        <f>IF(C1529="","",IF(H1529=1,SUMIFS('Opening Balance'!$F$4:$F$303,'Opening Balance'!$G$4:$G$303,C1529),INDEX($L$2:$L$3001,MATCH(C1529&amp;"|"&amp;(H1529-1),$I$2:$I$3001,0))))</f>
        <v/>
      </c>
      <c r="K1529" s="6">
        <f>IF(C1529="","",IF(M1529&gt;0,M1529,IF(AND(E1529&gt;0,ROUND(J1529+D1529-E1529,2)&gt;0,ROUND(J1529+D1529-E1529,2)&lt;'Opening Balance'!$B$14),ROUND(J1529+D1529-E1529,2),0)))</f>
        <v/>
      </c>
      <c r="L1529" s="6">
        <f>IF(C1529="","",ROUND(J1529+D1529-E1529-K1529,2))</f>
        <v/>
      </c>
      <c r="M1529" s="6">
        <f>IF(C1529="","",0)</f>
        <v/>
      </c>
    </row>
    <row r="1530">
      <c r="A1530" t="inlineStr">
        <is>
          <t>Bank 银行</t>
        </is>
      </c>
      <c r="B1530" s="5">
        <f>IF(AND('Daily Sale entry '!Z30="Online collection 网上收款",'Daily Sale entry '!AA30&lt;&gt;""),'Daily Sale entry '!X30,"")</f>
        <v/>
      </c>
      <c r="C1530">
        <f>IF(B1530="","",'Daily Sale entry '!AA30)</f>
        <v/>
      </c>
      <c r="D1530">
        <f>IF(C1530="","",0)</f>
        <v/>
      </c>
      <c r="E1530">
        <f>IF(C1530="","",'Daily Sale entry '!AC30)</f>
        <v/>
      </c>
      <c r="F1530" s="37">
        <f>IF(C1530="","",B1530+IF(E1530&gt;0,0,0.5)+ROW()/10000000)</f>
        <v/>
      </c>
      <c r="G1530">
        <f>IF(C1530="","","Collection 收款 (Online 网上)"&amp;IF('Daily Sale entry '!Y30="",""," - "&amp;'Daily Sale entry '!Y30))</f>
        <v/>
      </c>
      <c r="H1530">
        <f>IF(C1530="","",COUNTIFS($C$2:$C$3001,C1530,$F$2:$F$3001,"&lt;"&amp;F1530)+1)</f>
        <v/>
      </c>
      <c r="I1530">
        <f>IF(C1530="","",C1530&amp;"|"&amp;H1530)</f>
        <v/>
      </c>
      <c r="J1530" s="6">
        <f>IF(C1530="","",IF(H1530=1,SUMIFS('Opening Balance'!$F$4:$F$303,'Opening Balance'!$G$4:$G$303,C1530),INDEX($L$2:$L$3001,MATCH(C1530&amp;"|"&amp;(H1530-1),$I$2:$I$3001,0))))</f>
        <v/>
      </c>
      <c r="K1530" s="6">
        <f>IF(C1530="","",IF(M1530&gt;0,M1530,IF(AND(E1530&gt;0,ROUND(J1530+D1530-E1530,2)&gt;0,ROUND(J1530+D1530-E1530,2)&lt;'Opening Balance'!$B$14),ROUND(J1530+D1530-E1530,2),0)))</f>
        <v/>
      </c>
      <c r="L1530" s="6">
        <f>IF(C1530="","",ROUND(J1530+D1530-E1530-K1530,2))</f>
        <v/>
      </c>
      <c r="M1530" s="6">
        <f>IF(C1530="","",0)</f>
        <v/>
      </c>
    </row>
    <row r="1531">
      <c r="A1531" t="inlineStr">
        <is>
          <t>Bank 银行</t>
        </is>
      </c>
      <c r="B1531" s="5">
        <f>IF(AND('Daily Sale entry '!Z31="Online collection 网上收款",'Daily Sale entry '!AA31&lt;&gt;""),'Daily Sale entry '!X31,"")</f>
        <v/>
      </c>
      <c r="C1531">
        <f>IF(B1531="","",'Daily Sale entry '!AA31)</f>
        <v/>
      </c>
      <c r="D1531">
        <f>IF(C1531="","",0)</f>
        <v/>
      </c>
      <c r="E1531">
        <f>IF(C1531="","",'Daily Sale entry '!AC31)</f>
        <v/>
      </c>
      <c r="F1531" s="37">
        <f>IF(C1531="","",B1531+IF(E1531&gt;0,0,0.5)+ROW()/10000000)</f>
        <v/>
      </c>
      <c r="G1531">
        <f>IF(C1531="","","Collection 收款 (Online 网上)"&amp;IF('Daily Sale entry '!Y31="",""," - "&amp;'Daily Sale entry '!Y31))</f>
        <v/>
      </c>
      <c r="H1531">
        <f>IF(C1531="","",COUNTIFS($C$2:$C$3001,C1531,$F$2:$F$3001,"&lt;"&amp;F1531)+1)</f>
        <v/>
      </c>
      <c r="I1531">
        <f>IF(C1531="","",C1531&amp;"|"&amp;H1531)</f>
        <v/>
      </c>
      <c r="J1531" s="6">
        <f>IF(C1531="","",IF(H1531=1,SUMIFS('Opening Balance'!$F$4:$F$303,'Opening Balance'!$G$4:$G$303,C1531),INDEX($L$2:$L$3001,MATCH(C1531&amp;"|"&amp;(H1531-1),$I$2:$I$3001,0))))</f>
        <v/>
      </c>
      <c r="K1531" s="6">
        <f>IF(C1531="","",IF(M1531&gt;0,M1531,IF(AND(E1531&gt;0,ROUND(J1531+D1531-E1531,2)&gt;0,ROUND(J1531+D1531-E1531,2)&lt;'Opening Balance'!$B$14),ROUND(J1531+D1531-E1531,2),0)))</f>
        <v/>
      </c>
      <c r="L1531" s="6">
        <f>IF(C1531="","",ROUND(J1531+D1531-E1531-K1531,2))</f>
        <v/>
      </c>
      <c r="M1531" s="6">
        <f>IF(C1531="","",0)</f>
        <v/>
      </c>
    </row>
    <row r="1532">
      <c r="A1532" t="inlineStr">
        <is>
          <t>Bank 银行</t>
        </is>
      </c>
      <c r="B1532" s="5">
        <f>IF(AND('Daily Sale entry '!Z32="Online collection 网上收款",'Daily Sale entry '!AA32&lt;&gt;""),'Daily Sale entry '!X32,"")</f>
        <v/>
      </c>
      <c r="C1532">
        <f>IF(B1532="","",'Daily Sale entry '!AA32)</f>
        <v/>
      </c>
      <c r="D1532">
        <f>IF(C1532="","",0)</f>
        <v/>
      </c>
      <c r="E1532">
        <f>IF(C1532="","",'Daily Sale entry '!AC32)</f>
        <v/>
      </c>
      <c r="F1532" s="37">
        <f>IF(C1532="","",B1532+IF(E1532&gt;0,0,0.5)+ROW()/10000000)</f>
        <v/>
      </c>
      <c r="G1532">
        <f>IF(C1532="","","Collection 收款 (Online 网上)"&amp;IF('Daily Sale entry '!Y32="",""," - "&amp;'Daily Sale entry '!Y32))</f>
        <v/>
      </c>
      <c r="H1532">
        <f>IF(C1532="","",COUNTIFS($C$2:$C$3001,C1532,$F$2:$F$3001,"&lt;"&amp;F1532)+1)</f>
        <v/>
      </c>
      <c r="I1532">
        <f>IF(C1532="","",C1532&amp;"|"&amp;H1532)</f>
        <v/>
      </c>
      <c r="J1532" s="6">
        <f>IF(C1532="","",IF(H1532=1,SUMIFS('Opening Balance'!$F$4:$F$303,'Opening Balance'!$G$4:$G$303,C1532),INDEX($L$2:$L$3001,MATCH(C1532&amp;"|"&amp;(H1532-1),$I$2:$I$3001,0))))</f>
        <v/>
      </c>
      <c r="K1532" s="6">
        <f>IF(C1532="","",IF(M1532&gt;0,M1532,IF(AND(E1532&gt;0,ROUND(J1532+D1532-E1532,2)&gt;0,ROUND(J1532+D1532-E1532,2)&lt;'Opening Balance'!$B$14),ROUND(J1532+D1532-E1532,2),0)))</f>
        <v/>
      </c>
      <c r="L1532" s="6">
        <f>IF(C1532="","",ROUND(J1532+D1532-E1532-K1532,2))</f>
        <v/>
      </c>
      <c r="M1532" s="6">
        <f>IF(C1532="","",0)</f>
        <v/>
      </c>
    </row>
    <row r="1533">
      <c r="A1533" t="inlineStr">
        <is>
          <t>Bank 银行</t>
        </is>
      </c>
      <c r="B1533" s="5">
        <f>IF(AND('Daily Sale entry '!Z33="Online collection 网上收款",'Daily Sale entry '!AA33&lt;&gt;""),'Daily Sale entry '!X33,"")</f>
        <v/>
      </c>
      <c r="C1533">
        <f>IF(B1533="","",'Daily Sale entry '!AA33)</f>
        <v/>
      </c>
      <c r="D1533">
        <f>IF(C1533="","",0)</f>
        <v/>
      </c>
      <c r="E1533">
        <f>IF(C1533="","",'Daily Sale entry '!AC33)</f>
        <v/>
      </c>
      <c r="F1533" s="37">
        <f>IF(C1533="","",B1533+IF(E1533&gt;0,0,0.5)+ROW()/10000000)</f>
        <v/>
      </c>
      <c r="G1533">
        <f>IF(C1533="","","Collection 收款 (Online 网上)"&amp;IF('Daily Sale entry '!Y33="",""," - "&amp;'Daily Sale entry '!Y33))</f>
        <v/>
      </c>
      <c r="H1533">
        <f>IF(C1533="","",COUNTIFS($C$2:$C$3001,C1533,$F$2:$F$3001,"&lt;"&amp;F1533)+1)</f>
        <v/>
      </c>
      <c r="I1533">
        <f>IF(C1533="","",C1533&amp;"|"&amp;H1533)</f>
        <v/>
      </c>
      <c r="J1533" s="6">
        <f>IF(C1533="","",IF(H1533=1,SUMIFS('Opening Balance'!$F$4:$F$303,'Opening Balance'!$G$4:$G$303,C1533),INDEX($L$2:$L$3001,MATCH(C1533&amp;"|"&amp;(H1533-1),$I$2:$I$3001,0))))</f>
        <v/>
      </c>
      <c r="K1533" s="6">
        <f>IF(C1533="","",IF(M1533&gt;0,M1533,IF(AND(E1533&gt;0,ROUND(J1533+D1533-E1533,2)&gt;0,ROUND(J1533+D1533-E1533,2)&lt;'Opening Balance'!$B$14),ROUND(J1533+D1533-E1533,2),0)))</f>
        <v/>
      </c>
      <c r="L1533" s="6">
        <f>IF(C1533="","",ROUND(J1533+D1533-E1533-K1533,2))</f>
        <v/>
      </c>
      <c r="M1533" s="6">
        <f>IF(C1533="","",0)</f>
        <v/>
      </c>
    </row>
    <row r="1534">
      <c r="A1534" t="inlineStr">
        <is>
          <t>Bank 银行</t>
        </is>
      </c>
      <c r="B1534" s="5">
        <f>IF(AND('Daily Sale entry '!Z34="Online collection 网上收款",'Daily Sale entry '!AA34&lt;&gt;""),'Daily Sale entry '!X34,"")</f>
        <v/>
      </c>
      <c r="C1534">
        <f>IF(B1534="","",'Daily Sale entry '!AA34)</f>
        <v/>
      </c>
      <c r="D1534">
        <f>IF(C1534="","",0)</f>
        <v/>
      </c>
      <c r="E1534">
        <f>IF(C1534="","",'Daily Sale entry '!AC34)</f>
        <v/>
      </c>
      <c r="F1534" s="37">
        <f>IF(C1534="","",B1534+IF(E1534&gt;0,0,0.5)+ROW()/10000000)</f>
        <v/>
      </c>
      <c r="G1534">
        <f>IF(C1534="","","Collection 收款 (Online 网上)"&amp;IF('Daily Sale entry '!Y34="",""," - "&amp;'Daily Sale entry '!Y34))</f>
        <v/>
      </c>
      <c r="H1534">
        <f>IF(C1534="","",COUNTIFS($C$2:$C$3001,C1534,$F$2:$F$3001,"&lt;"&amp;F1534)+1)</f>
        <v/>
      </c>
      <c r="I1534">
        <f>IF(C1534="","",C1534&amp;"|"&amp;H1534)</f>
        <v/>
      </c>
      <c r="J1534" s="6">
        <f>IF(C1534="","",IF(H1534=1,SUMIFS('Opening Balance'!$F$4:$F$303,'Opening Balance'!$G$4:$G$303,C1534),INDEX($L$2:$L$3001,MATCH(C1534&amp;"|"&amp;(H1534-1),$I$2:$I$3001,0))))</f>
        <v/>
      </c>
      <c r="K1534" s="6">
        <f>IF(C1534="","",IF(M1534&gt;0,M1534,IF(AND(E1534&gt;0,ROUND(J1534+D1534-E1534,2)&gt;0,ROUND(J1534+D1534-E1534,2)&lt;'Opening Balance'!$B$14),ROUND(J1534+D1534-E1534,2),0)))</f>
        <v/>
      </c>
      <c r="L1534" s="6">
        <f>IF(C1534="","",ROUND(J1534+D1534-E1534-K1534,2))</f>
        <v/>
      </c>
      <c r="M1534" s="6">
        <f>IF(C1534="","",0)</f>
        <v/>
      </c>
    </row>
    <row r="1535">
      <c r="A1535" t="inlineStr">
        <is>
          <t>Bank 银行</t>
        </is>
      </c>
      <c r="B1535" s="5">
        <f>IF(AND('Daily Sale entry '!Z35="Online collection 网上收款",'Daily Sale entry '!AA35&lt;&gt;""),'Daily Sale entry '!X35,"")</f>
        <v/>
      </c>
      <c r="C1535">
        <f>IF(B1535="","",'Daily Sale entry '!AA35)</f>
        <v/>
      </c>
      <c r="D1535">
        <f>IF(C1535="","",0)</f>
        <v/>
      </c>
      <c r="E1535">
        <f>IF(C1535="","",'Daily Sale entry '!AC35)</f>
        <v/>
      </c>
      <c r="F1535" s="37">
        <f>IF(C1535="","",B1535+IF(E1535&gt;0,0,0.5)+ROW()/10000000)</f>
        <v/>
      </c>
      <c r="G1535">
        <f>IF(C1535="","","Collection 收款 (Online 网上)"&amp;IF('Daily Sale entry '!Y35="",""," - "&amp;'Daily Sale entry '!Y35))</f>
        <v/>
      </c>
      <c r="H1535">
        <f>IF(C1535="","",COUNTIFS($C$2:$C$3001,C1535,$F$2:$F$3001,"&lt;"&amp;F1535)+1)</f>
        <v/>
      </c>
      <c r="I1535">
        <f>IF(C1535="","",C1535&amp;"|"&amp;H1535)</f>
        <v/>
      </c>
      <c r="J1535" s="6">
        <f>IF(C1535="","",IF(H1535=1,SUMIFS('Opening Balance'!$F$4:$F$303,'Opening Balance'!$G$4:$G$303,C1535),INDEX($L$2:$L$3001,MATCH(C1535&amp;"|"&amp;(H1535-1),$I$2:$I$3001,0))))</f>
        <v/>
      </c>
      <c r="K1535" s="6">
        <f>IF(C1535="","",IF(M1535&gt;0,M1535,IF(AND(E1535&gt;0,ROUND(J1535+D1535-E1535,2)&gt;0,ROUND(J1535+D1535-E1535,2)&lt;'Opening Balance'!$B$14),ROUND(J1535+D1535-E1535,2),0)))</f>
        <v/>
      </c>
      <c r="L1535" s="6">
        <f>IF(C1535="","",ROUND(J1535+D1535-E1535-K1535,2))</f>
        <v/>
      </c>
      <c r="M1535" s="6">
        <f>IF(C1535="","",0)</f>
        <v/>
      </c>
    </row>
    <row r="1536">
      <c r="A1536" t="inlineStr">
        <is>
          <t>Bank 银行</t>
        </is>
      </c>
      <c r="B1536" s="5">
        <f>IF(AND('Daily Sale entry '!Z36="Online collection 网上收款",'Daily Sale entry '!AA36&lt;&gt;""),'Daily Sale entry '!X36,"")</f>
        <v/>
      </c>
      <c r="C1536">
        <f>IF(B1536="","",'Daily Sale entry '!AA36)</f>
        <v/>
      </c>
      <c r="D1536">
        <f>IF(C1536="","",0)</f>
        <v/>
      </c>
      <c r="E1536">
        <f>IF(C1536="","",'Daily Sale entry '!AC36)</f>
        <v/>
      </c>
      <c r="F1536" s="37">
        <f>IF(C1536="","",B1536+IF(E1536&gt;0,0,0.5)+ROW()/10000000)</f>
        <v/>
      </c>
      <c r="G1536">
        <f>IF(C1536="","","Collection 收款 (Online 网上)"&amp;IF('Daily Sale entry '!Y36="",""," - "&amp;'Daily Sale entry '!Y36))</f>
        <v/>
      </c>
      <c r="H1536">
        <f>IF(C1536="","",COUNTIFS($C$2:$C$3001,C1536,$F$2:$F$3001,"&lt;"&amp;F1536)+1)</f>
        <v/>
      </c>
      <c r="I1536">
        <f>IF(C1536="","",C1536&amp;"|"&amp;H1536)</f>
        <v/>
      </c>
      <c r="J1536" s="6">
        <f>IF(C1536="","",IF(H1536=1,SUMIFS('Opening Balance'!$F$4:$F$303,'Opening Balance'!$G$4:$G$303,C1536),INDEX($L$2:$L$3001,MATCH(C1536&amp;"|"&amp;(H1536-1),$I$2:$I$3001,0))))</f>
        <v/>
      </c>
      <c r="K1536" s="6">
        <f>IF(C1536="","",IF(M1536&gt;0,M1536,IF(AND(E1536&gt;0,ROUND(J1536+D1536-E1536,2)&gt;0,ROUND(J1536+D1536-E1536,2)&lt;'Opening Balance'!$B$14),ROUND(J1536+D1536-E1536,2),0)))</f>
        <v/>
      </c>
      <c r="L1536" s="6">
        <f>IF(C1536="","",ROUND(J1536+D1536-E1536-K1536,2))</f>
        <v/>
      </c>
      <c r="M1536" s="6">
        <f>IF(C1536="","",0)</f>
        <v/>
      </c>
    </row>
    <row r="1537">
      <c r="A1537" t="inlineStr">
        <is>
          <t>Bank 银行</t>
        </is>
      </c>
      <c r="B1537" s="5">
        <f>IF(AND('Daily Sale entry '!Z37="Online collection 网上收款",'Daily Sale entry '!AA37&lt;&gt;""),'Daily Sale entry '!X37,"")</f>
        <v/>
      </c>
      <c r="C1537">
        <f>IF(B1537="","",'Daily Sale entry '!AA37)</f>
        <v/>
      </c>
      <c r="D1537">
        <f>IF(C1537="","",0)</f>
        <v/>
      </c>
      <c r="E1537">
        <f>IF(C1537="","",'Daily Sale entry '!AC37)</f>
        <v/>
      </c>
      <c r="F1537" s="37">
        <f>IF(C1537="","",B1537+IF(E1537&gt;0,0,0.5)+ROW()/10000000)</f>
        <v/>
      </c>
      <c r="G1537">
        <f>IF(C1537="","","Collection 收款 (Online 网上)"&amp;IF('Daily Sale entry '!Y37="",""," - "&amp;'Daily Sale entry '!Y37))</f>
        <v/>
      </c>
      <c r="H1537">
        <f>IF(C1537="","",COUNTIFS($C$2:$C$3001,C1537,$F$2:$F$3001,"&lt;"&amp;F1537)+1)</f>
        <v/>
      </c>
      <c r="I1537">
        <f>IF(C1537="","",C1537&amp;"|"&amp;H1537)</f>
        <v/>
      </c>
      <c r="J1537" s="6">
        <f>IF(C1537="","",IF(H1537=1,SUMIFS('Opening Balance'!$F$4:$F$303,'Opening Balance'!$G$4:$G$303,C1537),INDEX($L$2:$L$3001,MATCH(C1537&amp;"|"&amp;(H1537-1),$I$2:$I$3001,0))))</f>
        <v/>
      </c>
      <c r="K1537" s="6">
        <f>IF(C1537="","",IF(M1537&gt;0,M1537,IF(AND(E1537&gt;0,ROUND(J1537+D1537-E1537,2)&gt;0,ROUND(J1537+D1537-E1537,2)&lt;'Opening Balance'!$B$14),ROUND(J1537+D1537-E1537,2),0)))</f>
        <v/>
      </c>
      <c r="L1537" s="6">
        <f>IF(C1537="","",ROUND(J1537+D1537-E1537-K1537,2))</f>
        <v/>
      </c>
      <c r="M1537" s="6">
        <f>IF(C1537="","",0)</f>
        <v/>
      </c>
    </row>
    <row r="1538">
      <c r="A1538" t="inlineStr">
        <is>
          <t>Bank 银行</t>
        </is>
      </c>
      <c r="B1538" s="5">
        <f>IF(AND('Daily Sale entry '!Z38="Online collection 网上收款",'Daily Sale entry '!AA38&lt;&gt;""),'Daily Sale entry '!X38,"")</f>
        <v/>
      </c>
      <c r="C1538">
        <f>IF(B1538="","",'Daily Sale entry '!AA38)</f>
        <v/>
      </c>
      <c r="D1538">
        <f>IF(C1538="","",0)</f>
        <v/>
      </c>
      <c r="E1538">
        <f>IF(C1538="","",'Daily Sale entry '!AC38)</f>
        <v/>
      </c>
      <c r="F1538" s="37">
        <f>IF(C1538="","",B1538+IF(E1538&gt;0,0,0.5)+ROW()/10000000)</f>
        <v/>
      </c>
      <c r="G1538">
        <f>IF(C1538="","","Collection 收款 (Online 网上)"&amp;IF('Daily Sale entry '!Y38="",""," - "&amp;'Daily Sale entry '!Y38))</f>
        <v/>
      </c>
      <c r="H1538">
        <f>IF(C1538="","",COUNTIFS($C$2:$C$3001,C1538,$F$2:$F$3001,"&lt;"&amp;F1538)+1)</f>
        <v/>
      </c>
      <c r="I1538">
        <f>IF(C1538="","",C1538&amp;"|"&amp;H1538)</f>
        <v/>
      </c>
      <c r="J1538" s="6">
        <f>IF(C1538="","",IF(H1538=1,SUMIFS('Opening Balance'!$F$4:$F$303,'Opening Balance'!$G$4:$G$303,C1538),INDEX($L$2:$L$3001,MATCH(C1538&amp;"|"&amp;(H1538-1),$I$2:$I$3001,0))))</f>
        <v/>
      </c>
      <c r="K1538" s="6">
        <f>IF(C1538="","",IF(M1538&gt;0,M1538,IF(AND(E1538&gt;0,ROUND(J1538+D1538-E1538,2)&gt;0,ROUND(J1538+D1538-E1538,2)&lt;'Opening Balance'!$B$14),ROUND(J1538+D1538-E1538,2),0)))</f>
        <v/>
      </c>
      <c r="L1538" s="6">
        <f>IF(C1538="","",ROUND(J1538+D1538-E1538-K1538,2))</f>
        <v/>
      </c>
      <c r="M1538" s="6">
        <f>IF(C1538="","",0)</f>
        <v/>
      </c>
    </row>
    <row r="1539">
      <c r="A1539" t="inlineStr">
        <is>
          <t>Bank 银行</t>
        </is>
      </c>
      <c r="B1539" s="5">
        <f>IF(AND('Daily Sale entry '!Z39="Online collection 网上收款",'Daily Sale entry '!AA39&lt;&gt;""),'Daily Sale entry '!X39,"")</f>
        <v/>
      </c>
      <c r="C1539">
        <f>IF(B1539="","",'Daily Sale entry '!AA39)</f>
        <v/>
      </c>
      <c r="D1539">
        <f>IF(C1539="","",0)</f>
        <v/>
      </c>
      <c r="E1539">
        <f>IF(C1539="","",'Daily Sale entry '!AC39)</f>
        <v/>
      </c>
      <c r="F1539" s="37">
        <f>IF(C1539="","",B1539+IF(E1539&gt;0,0,0.5)+ROW()/10000000)</f>
        <v/>
      </c>
      <c r="G1539">
        <f>IF(C1539="","","Collection 收款 (Online 网上)"&amp;IF('Daily Sale entry '!Y39="",""," - "&amp;'Daily Sale entry '!Y39))</f>
        <v/>
      </c>
      <c r="H1539">
        <f>IF(C1539="","",COUNTIFS($C$2:$C$3001,C1539,$F$2:$F$3001,"&lt;"&amp;F1539)+1)</f>
        <v/>
      </c>
      <c r="I1539">
        <f>IF(C1539="","",C1539&amp;"|"&amp;H1539)</f>
        <v/>
      </c>
      <c r="J1539" s="6">
        <f>IF(C1539="","",IF(H1539=1,SUMIFS('Opening Balance'!$F$4:$F$303,'Opening Balance'!$G$4:$G$303,C1539),INDEX($L$2:$L$3001,MATCH(C1539&amp;"|"&amp;(H1539-1),$I$2:$I$3001,0))))</f>
        <v/>
      </c>
      <c r="K1539" s="6">
        <f>IF(C1539="","",IF(M1539&gt;0,M1539,IF(AND(E1539&gt;0,ROUND(J1539+D1539-E1539,2)&gt;0,ROUND(J1539+D1539-E1539,2)&lt;'Opening Balance'!$B$14),ROUND(J1539+D1539-E1539,2),0)))</f>
        <v/>
      </c>
      <c r="L1539" s="6">
        <f>IF(C1539="","",ROUND(J1539+D1539-E1539-K1539,2))</f>
        <v/>
      </c>
      <c r="M1539" s="6">
        <f>IF(C1539="","",0)</f>
        <v/>
      </c>
    </row>
    <row r="1540">
      <c r="A1540" t="inlineStr">
        <is>
          <t>Bank 银行</t>
        </is>
      </c>
      <c r="B1540" s="5">
        <f>IF(AND('Daily Sale entry '!Z40="Online collection 网上收款",'Daily Sale entry '!AA40&lt;&gt;""),'Daily Sale entry '!X40,"")</f>
        <v/>
      </c>
      <c r="C1540">
        <f>IF(B1540="","",'Daily Sale entry '!AA40)</f>
        <v/>
      </c>
      <c r="D1540">
        <f>IF(C1540="","",0)</f>
        <v/>
      </c>
      <c r="E1540">
        <f>IF(C1540="","",'Daily Sale entry '!AC40)</f>
        <v/>
      </c>
      <c r="F1540" s="37">
        <f>IF(C1540="","",B1540+IF(E1540&gt;0,0,0.5)+ROW()/10000000)</f>
        <v/>
      </c>
      <c r="G1540">
        <f>IF(C1540="","","Collection 收款 (Online 网上)"&amp;IF('Daily Sale entry '!Y40="",""," - "&amp;'Daily Sale entry '!Y40))</f>
        <v/>
      </c>
      <c r="H1540">
        <f>IF(C1540="","",COUNTIFS($C$2:$C$3001,C1540,$F$2:$F$3001,"&lt;"&amp;F1540)+1)</f>
        <v/>
      </c>
      <c r="I1540">
        <f>IF(C1540="","",C1540&amp;"|"&amp;H1540)</f>
        <v/>
      </c>
      <c r="J1540" s="6">
        <f>IF(C1540="","",IF(H1540=1,SUMIFS('Opening Balance'!$F$4:$F$303,'Opening Balance'!$G$4:$G$303,C1540),INDEX($L$2:$L$3001,MATCH(C1540&amp;"|"&amp;(H1540-1),$I$2:$I$3001,0))))</f>
        <v/>
      </c>
      <c r="K1540" s="6">
        <f>IF(C1540="","",IF(M1540&gt;0,M1540,IF(AND(E1540&gt;0,ROUND(J1540+D1540-E1540,2)&gt;0,ROUND(J1540+D1540-E1540,2)&lt;'Opening Balance'!$B$14),ROUND(J1540+D1540-E1540,2),0)))</f>
        <v/>
      </c>
      <c r="L1540" s="6">
        <f>IF(C1540="","",ROUND(J1540+D1540-E1540-K1540,2))</f>
        <v/>
      </c>
      <c r="M1540" s="6">
        <f>IF(C1540="","",0)</f>
        <v/>
      </c>
    </row>
    <row r="1541">
      <c r="A1541" t="inlineStr">
        <is>
          <t>Bank 银行</t>
        </is>
      </c>
      <c r="B1541" s="5">
        <f>IF(AND('Daily Sale entry '!Z41="Online collection 网上收款",'Daily Sale entry '!AA41&lt;&gt;""),'Daily Sale entry '!X41,"")</f>
        <v/>
      </c>
      <c r="C1541">
        <f>IF(B1541="","",'Daily Sale entry '!AA41)</f>
        <v/>
      </c>
      <c r="D1541">
        <f>IF(C1541="","",0)</f>
        <v/>
      </c>
      <c r="E1541">
        <f>IF(C1541="","",'Daily Sale entry '!AC41)</f>
        <v/>
      </c>
      <c r="F1541" s="37">
        <f>IF(C1541="","",B1541+IF(E1541&gt;0,0,0.5)+ROW()/10000000)</f>
        <v/>
      </c>
      <c r="G1541">
        <f>IF(C1541="","","Collection 收款 (Online 网上)"&amp;IF('Daily Sale entry '!Y41="",""," - "&amp;'Daily Sale entry '!Y41))</f>
        <v/>
      </c>
      <c r="H1541">
        <f>IF(C1541="","",COUNTIFS($C$2:$C$3001,C1541,$F$2:$F$3001,"&lt;"&amp;F1541)+1)</f>
        <v/>
      </c>
      <c r="I1541">
        <f>IF(C1541="","",C1541&amp;"|"&amp;H1541)</f>
        <v/>
      </c>
      <c r="J1541" s="6">
        <f>IF(C1541="","",IF(H1541=1,SUMIFS('Opening Balance'!$F$4:$F$303,'Opening Balance'!$G$4:$G$303,C1541),INDEX($L$2:$L$3001,MATCH(C1541&amp;"|"&amp;(H1541-1),$I$2:$I$3001,0))))</f>
        <v/>
      </c>
      <c r="K1541" s="6">
        <f>IF(C1541="","",IF(M1541&gt;0,M1541,IF(AND(E1541&gt;0,ROUND(J1541+D1541-E1541,2)&gt;0,ROUND(J1541+D1541-E1541,2)&lt;'Opening Balance'!$B$14),ROUND(J1541+D1541-E1541,2),0)))</f>
        <v/>
      </c>
      <c r="L1541" s="6">
        <f>IF(C1541="","",ROUND(J1541+D1541-E1541-K1541,2))</f>
        <v/>
      </c>
      <c r="M1541" s="6">
        <f>IF(C1541="","",0)</f>
        <v/>
      </c>
    </row>
    <row r="1542">
      <c r="A1542" t="inlineStr">
        <is>
          <t>Bank 银行</t>
        </is>
      </c>
      <c r="B1542" s="5">
        <f>IF(AND('Daily Sale entry '!Z42="Online collection 网上收款",'Daily Sale entry '!AA42&lt;&gt;""),'Daily Sale entry '!X42,"")</f>
        <v/>
      </c>
      <c r="C1542">
        <f>IF(B1542="","",'Daily Sale entry '!AA42)</f>
        <v/>
      </c>
      <c r="D1542">
        <f>IF(C1542="","",0)</f>
        <v/>
      </c>
      <c r="E1542">
        <f>IF(C1542="","",'Daily Sale entry '!AC42)</f>
        <v/>
      </c>
      <c r="F1542" s="37">
        <f>IF(C1542="","",B1542+IF(E1542&gt;0,0,0.5)+ROW()/10000000)</f>
        <v/>
      </c>
      <c r="G1542">
        <f>IF(C1542="","","Collection 收款 (Online 网上)"&amp;IF('Daily Sale entry '!Y42="",""," - "&amp;'Daily Sale entry '!Y42))</f>
        <v/>
      </c>
      <c r="H1542">
        <f>IF(C1542="","",COUNTIFS($C$2:$C$3001,C1542,$F$2:$F$3001,"&lt;"&amp;F1542)+1)</f>
        <v/>
      </c>
      <c r="I1542">
        <f>IF(C1542="","",C1542&amp;"|"&amp;H1542)</f>
        <v/>
      </c>
      <c r="J1542" s="6">
        <f>IF(C1542="","",IF(H1542=1,SUMIFS('Opening Balance'!$F$4:$F$303,'Opening Balance'!$G$4:$G$303,C1542),INDEX($L$2:$L$3001,MATCH(C1542&amp;"|"&amp;(H1542-1),$I$2:$I$3001,0))))</f>
        <v/>
      </c>
      <c r="K1542" s="6">
        <f>IF(C1542="","",IF(M1542&gt;0,M1542,IF(AND(E1542&gt;0,ROUND(J1542+D1542-E1542,2)&gt;0,ROUND(J1542+D1542-E1542,2)&lt;'Opening Balance'!$B$14),ROUND(J1542+D1542-E1542,2),0)))</f>
        <v/>
      </c>
      <c r="L1542" s="6">
        <f>IF(C1542="","",ROUND(J1542+D1542-E1542-K1542,2))</f>
        <v/>
      </c>
      <c r="M1542" s="6">
        <f>IF(C1542="","",0)</f>
        <v/>
      </c>
    </row>
    <row r="1543">
      <c r="A1543" t="inlineStr">
        <is>
          <t>Bank 银行</t>
        </is>
      </c>
      <c r="B1543" s="5">
        <f>IF(AND('Daily Sale entry '!Z43="Online collection 网上收款",'Daily Sale entry '!AA43&lt;&gt;""),'Daily Sale entry '!X43,"")</f>
        <v/>
      </c>
      <c r="C1543">
        <f>IF(B1543="","",'Daily Sale entry '!AA43)</f>
        <v/>
      </c>
      <c r="D1543">
        <f>IF(C1543="","",0)</f>
        <v/>
      </c>
      <c r="E1543">
        <f>IF(C1543="","",'Daily Sale entry '!AC43)</f>
        <v/>
      </c>
      <c r="F1543" s="37">
        <f>IF(C1543="","",B1543+IF(E1543&gt;0,0,0.5)+ROW()/10000000)</f>
        <v/>
      </c>
      <c r="G1543">
        <f>IF(C1543="","","Collection 收款 (Online 网上)"&amp;IF('Daily Sale entry '!Y43="",""," - "&amp;'Daily Sale entry '!Y43))</f>
        <v/>
      </c>
      <c r="H1543">
        <f>IF(C1543="","",COUNTIFS($C$2:$C$3001,C1543,$F$2:$F$3001,"&lt;"&amp;F1543)+1)</f>
        <v/>
      </c>
      <c r="I1543">
        <f>IF(C1543="","",C1543&amp;"|"&amp;H1543)</f>
        <v/>
      </c>
      <c r="J1543" s="6">
        <f>IF(C1543="","",IF(H1543=1,SUMIFS('Opening Balance'!$F$4:$F$303,'Opening Balance'!$G$4:$G$303,C1543),INDEX($L$2:$L$3001,MATCH(C1543&amp;"|"&amp;(H1543-1),$I$2:$I$3001,0))))</f>
        <v/>
      </c>
      <c r="K1543" s="6">
        <f>IF(C1543="","",IF(M1543&gt;0,M1543,IF(AND(E1543&gt;0,ROUND(J1543+D1543-E1543,2)&gt;0,ROUND(J1543+D1543-E1543,2)&lt;'Opening Balance'!$B$14),ROUND(J1543+D1543-E1543,2),0)))</f>
        <v/>
      </c>
      <c r="L1543" s="6">
        <f>IF(C1543="","",ROUND(J1543+D1543-E1543-K1543,2))</f>
        <v/>
      </c>
      <c r="M1543" s="6">
        <f>IF(C1543="","",0)</f>
        <v/>
      </c>
    </row>
    <row r="1544">
      <c r="A1544" t="inlineStr">
        <is>
          <t>Bank 银行</t>
        </is>
      </c>
      <c r="B1544" s="5">
        <f>IF(AND('Daily Sale entry '!Z44="Online collection 网上收款",'Daily Sale entry '!AA44&lt;&gt;""),'Daily Sale entry '!X44,"")</f>
        <v/>
      </c>
      <c r="C1544">
        <f>IF(B1544="","",'Daily Sale entry '!AA44)</f>
        <v/>
      </c>
      <c r="D1544">
        <f>IF(C1544="","",0)</f>
        <v/>
      </c>
      <c r="E1544">
        <f>IF(C1544="","",'Daily Sale entry '!AC44)</f>
        <v/>
      </c>
      <c r="F1544" s="37">
        <f>IF(C1544="","",B1544+IF(E1544&gt;0,0,0.5)+ROW()/10000000)</f>
        <v/>
      </c>
      <c r="G1544">
        <f>IF(C1544="","","Collection 收款 (Online 网上)"&amp;IF('Daily Sale entry '!Y44="",""," - "&amp;'Daily Sale entry '!Y44))</f>
        <v/>
      </c>
      <c r="H1544">
        <f>IF(C1544="","",COUNTIFS($C$2:$C$3001,C1544,$F$2:$F$3001,"&lt;"&amp;F1544)+1)</f>
        <v/>
      </c>
      <c r="I1544">
        <f>IF(C1544="","",C1544&amp;"|"&amp;H1544)</f>
        <v/>
      </c>
      <c r="J1544" s="6">
        <f>IF(C1544="","",IF(H1544=1,SUMIFS('Opening Balance'!$F$4:$F$303,'Opening Balance'!$G$4:$G$303,C1544),INDEX($L$2:$L$3001,MATCH(C1544&amp;"|"&amp;(H1544-1),$I$2:$I$3001,0))))</f>
        <v/>
      </c>
      <c r="K1544" s="6">
        <f>IF(C1544="","",IF(M1544&gt;0,M1544,IF(AND(E1544&gt;0,ROUND(J1544+D1544-E1544,2)&gt;0,ROUND(J1544+D1544-E1544,2)&lt;'Opening Balance'!$B$14),ROUND(J1544+D1544-E1544,2),0)))</f>
        <v/>
      </c>
      <c r="L1544" s="6">
        <f>IF(C1544="","",ROUND(J1544+D1544-E1544-K1544,2))</f>
        <v/>
      </c>
      <c r="M1544" s="6">
        <f>IF(C1544="","",0)</f>
        <v/>
      </c>
    </row>
    <row r="1545">
      <c r="A1545" t="inlineStr">
        <is>
          <t>Bank 银行</t>
        </is>
      </c>
      <c r="B1545" s="5">
        <f>IF(AND('Daily Sale entry '!Z45="Online collection 网上收款",'Daily Sale entry '!AA45&lt;&gt;""),'Daily Sale entry '!X45,"")</f>
        <v/>
      </c>
      <c r="C1545">
        <f>IF(B1545="","",'Daily Sale entry '!AA45)</f>
        <v/>
      </c>
      <c r="D1545">
        <f>IF(C1545="","",0)</f>
        <v/>
      </c>
      <c r="E1545">
        <f>IF(C1545="","",'Daily Sale entry '!AC45)</f>
        <v/>
      </c>
      <c r="F1545" s="37">
        <f>IF(C1545="","",B1545+IF(E1545&gt;0,0,0.5)+ROW()/10000000)</f>
        <v/>
      </c>
      <c r="G1545">
        <f>IF(C1545="","","Collection 收款 (Online 网上)"&amp;IF('Daily Sale entry '!Y45="",""," - "&amp;'Daily Sale entry '!Y45))</f>
        <v/>
      </c>
      <c r="H1545">
        <f>IF(C1545="","",COUNTIFS($C$2:$C$3001,C1545,$F$2:$F$3001,"&lt;"&amp;F1545)+1)</f>
        <v/>
      </c>
      <c r="I1545">
        <f>IF(C1545="","",C1545&amp;"|"&amp;H1545)</f>
        <v/>
      </c>
      <c r="J1545" s="6">
        <f>IF(C1545="","",IF(H1545=1,SUMIFS('Opening Balance'!$F$4:$F$303,'Opening Balance'!$G$4:$G$303,C1545),INDEX($L$2:$L$3001,MATCH(C1545&amp;"|"&amp;(H1545-1),$I$2:$I$3001,0))))</f>
        <v/>
      </c>
      <c r="K1545" s="6">
        <f>IF(C1545="","",IF(M1545&gt;0,M1545,IF(AND(E1545&gt;0,ROUND(J1545+D1545-E1545,2)&gt;0,ROUND(J1545+D1545-E1545,2)&lt;'Opening Balance'!$B$14),ROUND(J1545+D1545-E1545,2),0)))</f>
        <v/>
      </c>
      <c r="L1545" s="6">
        <f>IF(C1545="","",ROUND(J1545+D1545-E1545-K1545,2))</f>
        <v/>
      </c>
      <c r="M1545" s="6">
        <f>IF(C1545="","",0)</f>
        <v/>
      </c>
    </row>
    <row r="1546">
      <c r="A1546" t="inlineStr">
        <is>
          <t>Bank 银行</t>
        </is>
      </c>
      <c r="B1546" s="5">
        <f>IF(AND('Daily Sale entry '!Z46="Online collection 网上收款",'Daily Sale entry '!AA46&lt;&gt;""),'Daily Sale entry '!X46,"")</f>
        <v/>
      </c>
      <c r="C1546">
        <f>IF(B1546="","",'Daily Sale entry '!AA46)</f>
        <v/>
      </c>
      <c r="D1546">
        <f>IF(C1546="","",0)</f>
        <v/>
      </c>
      <c r="E1546">
        <f>IF(C1546="","",'Daily Sale entry '!AC46)</f>
        <v/>
      </c>
      <c r="F1546" s="37">
        <f>IF(C1546="","",B1546+IF(E1546&gt;0,0,0.5)+ROW()/10000000)</f>
        <v/>
      </c>
      <c r="G1546">
        <f>IF(C1546="","","Collection 收款 (Online 网上)"&amp;IF('Daily Sale entry '!Y46="",""," - "&amp;'Daily Sale entry '!Y46))</f>
        <v/>
      </c>
      <c r="H1546">
        <f>IF(C1546="","",COUNTIFS($C$2:$C$3001,C1546,$F$2:$F$3001,"&lt;"&amp;F1546)+1)</f>
        <v/>
      </c>
      <c r="I1546">
        <f>IF(C1546="","",C1546&amp;"|"&amp;H1546)</f>
        <v/>
      </c>
      <c r="J1546" s="6">
        <f>IF(C1546="","",IF(H1546=1,SUMIFS('Opening Balance'!$F$4:$F$303,'Opening Balance'!$G$4:$G$303,C1546),INDEX($L$2:$L$3001,MATCH(C1546&amp;"|"&amp;(H1546-1),$I$2:$I$3001,0))))</f>
        <v/>
      </c>
      <c r="K1546" s="6">
        <f>IF(C1546="","",IF(M1546&gt;0,M1546,IF(AND(E1546&gt;0,ROUND(J1546+D1546-E1546,2)&gt;0,ROUND(J1546+D1546-E1546,2)&lt;'Opening Balance'!$B$14),ROUND(J1546+D1546-E1546,2),0)))</f>
        <v/>
      </c>
      <c r="L1546" s="6">
        <f>IF(C1546="","",ROUND(J1546+D1546-E1546-K1546,2))</f>
        <v/>
      </c>
      <c r="M1546" s="6">
        <f>IF(C1546="","",0)</f>
        <v/>
      </c>
    </row>
    <row r="1547">
      <c r="A1547" t="inlineStr">
        <is>
          <t>Bank 银行</t>
        </is>
      </c>
      <c r="B1547" s="5">
        <f>IF(AND('Daily Sale entry '!Z47="Online collection 网上收款",'Daily Sale entry '!AA47&lt;&gt;""),'Daily Sale entry '!X47,"")</f>
        <v/>
      </c>
      <c r="C1547">
        <f>IF(B1547="","",'Daily Sale entry '!AA47)</f>
        <v/>
      </c>
      <c r="D1547">
        <f>IF(C1547="","",0)</f>
        <v/>
      </c>
      <c r="E1547">
        <f>IF(C1547="","",'Daily Sale entry '!AC47)</f>
        <v/>
      </c>
      <c r="F1547" s="37">
        <f>IF(C1547="","",B1547+IF(E1547&gt;0,0,0.5)+ROW()/10000000)</f>
        <v/>
      </c>
      <c r="G1547">
        <f>IF(C1547="","","Collection 收款 (Online 网上)"&amp;IF('Daily Sale entry '!Y47="",""," - "&amp;'Daily Sale entry '!Y47))</f>
        <v/>
      </c>
      <c r="H1547">
        <f>IF(C1547="","",COUNTIFS($C$2:$C$3001,C1547,$F$2:$F$3001,"&lt;"&amp;F1547)+1)</f>
        <v/>
      </c>
      <c r="I1547">
        <f>IF(C1547="","",C1547&amp;"|"&amp;H1547)</f>
        <v/>
      </c>
      <c r="J1547" s="6">
        <f>IF(C1547="","",IF(H1547=1,SUMIFS('Opening Balance'!$F$4:$F$303,'Opening Balance'!$G$4:$G$303,C1547),INDEX($L$2:$L$3001,MATCH(C1547&amp;"|"&amp;(H1547-1),$I$2:$I$3001,0))))</f>
        <v/>
      </c>
      <c r="K1547" s="6">
        <f>IF(C1547="","",IF(M1547&gt;0,M1547,IF(AND(E1547&gt;0,ROUND(J1547+D1547-E1547,2)&gt;0,ROUND(J1547+D1547-E1547,2)&lt;'Opening Balance'!$B$14),ROUND(J1547+D1547-E1547,2),0)))</f>
        <v/>
      </c>
      <c r="L1547" s="6">
        <f>IF(C1547="","",ROUND(J1547+D1547-E1547-K1547,2))</f>
        <v/>
      </c>
      <c r="M1547" s="6">
        <f>IF(C1547="","",0)</f>
        <v/>
      </c>
    </row>
    <row r="1548">
      <c r="A1548" t="inlineStr">
        <is>
          <t>Bank 银行</t>
        </is>
      </c>
      <c r="B1548" s="5">
        <f>IF(AND('Daily Sale entry '!Z48="Online collection 网上收款",'Daily Sale entry '!AA48&lt;&gt;""),'Daily Sale entry '!X48,"")</f>
        <v/>
      </c>
      <c r="C1548">
        <f>IF(B1548="","",'Daily Sale entry '!AA48)</f>
        <v/>
      </c>
      <c r="D1548">
        <f>IF(C1548="","",0)</f>
        <v/>
      </c>
      <c r="E1548">
        <f>IF(C1548="","",'Daily Sale entry '!AC48)</f>
        <v/>
      </c>
      <c r="F1548" s="37">
        <f>IF(C1548="","",B1548+IF(E1548&gt;0,0,0.5)+ROW()/10000000)</f>
        <v/>
      </c>
      <c r="G1548">
        <f>IF(C1548="","","Collection 收款 (Online 网上)"&amp;IF('Daily Sale entry '!Y48="",""," - "&amp;'Daily Sale entry '!Y48))</f>
        <v/>
      </c>
      <c r="H1548">
        <f>IF(C1548="","",COUNTIFS($C$2:$C$3001,C1548,$F$2:$F$3001,"&lt;"&amp;F1548)+1)</f>
        <v/>
      </c>
      <c r="I1548">
        <f>IF(C1548="","",C1548&amp;"|"&amp;H1548)</f>
        <v/>
      </c>
      <c r="J1548" s="6">
        <f>IF(C1548="","",IF(H1548=1,SUMIFS('Opening Balance'!$F$4:$F$303,'Opening Balance'!$G$4:$G$303,C1548),INDEX($L$2:$L$3001,MATCH(C1548&amp;"|"&amp;(H1548-1),$I$2:$I$3001,0))))</f>
        <v/>
      </c>
      <c r="K1548" s="6">
        <f>IF(C1548="","",IF(M1548&gt;0,M1548,IF(AND(E1548&gt;0,ROUND(J1548+D1548-E1548,2)&gt;0,ROUND(J1548+D1548-E1548,2)&lt;'Opening Balance'!$B$14),ROUND(J1548+D1548-E1548,2),0)))</f>
        <v/>
      </c>
      <c r="L1548" s="6">
        <f>IF(C1548="","",ROUND(J1548+D1548-E1548-K1548,2))</f>
        <v/>
      </c>
      <c r="M1548" s="6">
        <f>IF(C1548="","",0)</f>
        <v/>
      </c>
    </row>
    <row r="1549">
      <c r="A1549" t="inlineStr">
        <is>
          <t>Bank 银行</t>
        </is>
      </c>
      <c r="B1549" s="5">
        <f>IF(AND('Daily Sale entry '!Z49="Online collection 网上收款",'Daily Sale entry '!AA49&lt;&gt;""),'Daily Sale entry '!X49,"")</f>
        <v/>
      </c>
      <c r="C1549">
        <f>IF(B1549="","",'Daily Sale entry '!AA49)</f>
        <v/>
      </c>
      <c r="D1549">
        <f>IF(C1549="","",0)</f>
        <v/>
      </c>
      <c r="E1549">
        <f>IF(C1549="","",'Daily Sale entry '!AC49)</f>
        <v/>
      </c>
      <c r="F1549" s="37">
        <f>IF(C1549="","",B1549+IF(E1549&gt;0,0,0.5)+ROW()/10000000)</f>
        <v/>
      </c>
      <c r="G1549">
        <f>IF(C1549="","","Collection 收款 (Online 网上)"&amp;IF('Daily Sale entry '!Y49="",""," - "&amp;'Daily Sale entry '!Y49))</f>
        <v/>
      </c>
      <c r="H1549">
        <f>IF(C1549="","",COUNTIFS($C$2:$C$3001,C1549,$F$2:$F$3001,"&lt;"&amp;F1549)+1)</f>
        <v/>
      </c>
      <c r="I1549">
        <f>IF(C1549="","",C1549&amp;"|"&amp;H1549)</f>
        <v/>
      </c>
      <c r="J1549" s="6">
        <f>IF(C1549="","",IF(H1549=1,SUMIFS('Opening Balance'!$F$4:$F$303,'Opening Balance'!$G$4:$G$303,C1549),INDEX($L$2:$L$3001,MATCH(C1549&amp;"|"&amp;(H1549-1),$I$2:$I$3001,0))))</f>
        <v/>
      </c>
      <c r="K1549" s="6">
        <f>IF(C1549="","",IF(M1549&gt;0,M1549,IF(AND(E1549&gt;0,ROUND(J1549+D1549-E1549,2)&gt;0,ROUND(J1549+D1549-E1549,2)&lt;'Opening Balance'!$B$14),ROUND(J1549+D1549-E1549,2),0)))</f>
        <v/>
      </c>
      <c r="L1549" s="6">
        <f>IF(C1549="","",ROUND(J1549+D1549-E1549-K1549,2))</f>
        <v/>
      </c>
      <c r="M1549" s="6">
        <f>IF(C1549="","",0)</f>
        <v/>
      </c>
    </row>
    <row r="1550">
      <c r="A1550" t="inlineStr">
        <is>
          <t>Bank 银行</t>
        </is>
      </c>
      <c r="B1550" s="5">
        <f>IF(AND('Daily Sale entry '!Z50="Online collection 网上收款",'Daily Sale entry '!AA50&lt;&gt;""),'Daily Sale entry '!X50,"")</f>
        <v/>
      </c>
      <c r="C1550">
        <f>IF(B1550="","",'Daily Sale entry '!AA50)</f>
        <v/>
      </c>
      <c r="D1550">
        <f>IF(C1550="","",0)</f>
        <v/>
      </c>
      <c r="E1550">
        <f>IF(C1550="","",'Daily Sale entry '!AC50)</f>
        <v/>
      </c>
      <c r="F1550" s="37">
        <f>IF(C1550="","",B1550+IF(E1550&gt;0,0,0.5)+ROW()/10000000)</f>
        <v/>
      </c>
      <c r="G1550">
        <f>IF(C1550="","","Collection 收款 (Online 网上)"&amp;IF('Daily Sale entry '!Y50="",""," - "&amp;'Daily Sale entry '!Y50))</f>
        <v/>
      </c>
      <c r="H1550">
        <f>IF(C1550="","",COUNTIFS($C$2:$C$3001,C1550,$F$2:$F$3001,"&lt;"&amp;F1550)+1)</f>
        <v/>
      </c>
      <c r="I1550">
        <f>IF(C1550="","",C1550&amp;"|"&amp;H1550)</f>
        <v/>
      </c>
      <c r="J1550" s="6">
        <f>IF(C1550="","",IF(H1550=1,SUMIFS('Opening Balance'!$F$4:$F$303,'Opening Balance'!$G$4:$G$303,C1550),INDEX($L$2:$L$3001,MATCH(C1550&amp;"|"&amp;(H1550-1),$I$2:$I$3001,0))))</f>
        <v/>
      </c>
      <c r="K1550" s="6">
        <f>IF(C1550="","",IF(M1550&gt;0,M1550,IF(AND(E1550&gt;0,ROUND(J1550+D1550-E1550,2)&gt;0,ROUND(J1550+D1550-E1550,2)&lt;'Opening Balance'!$B$14),ROUND(J1550+D1550-E1550,2),0)))</f>
        <v/>
      </c>
      <c r="L1550" s="6">
        <f>IF(C1550="","",ROUND(J1550+D1550-E1550-K1550,2))</f>
        <v/>
      </c>
      <c r="M1550" s="6">
        <f>IF(C1550="","",0)</f>
        <v/>
      </c>
    </row>
    <row r="1551">
      <c r="A1551" t="inlineStr">
        <is>
          <t>Bank 银行</t>
        </is>
      </c>
      <c r="B1551" s="5">
        <f>IF(AND('Daily Sale entry '!Z51="Online collection 网上收款",'Daily Sale entry '!AA51&lt;&gt;""),'Daily Sale entry '!X51,"")</f>
        <v/>
      </c>
      <c r="C1551">
        <f>IF(B1551="","",'Daily Sale entry '!AA51)</f>
        <v/>
      </c>
      <c r="D1551">
        <f>IF(C1551="","",0)</f>
        <v/>
      </c>
      <c r="E1551">
        <f>IF(C1551="","",'Daily Sale entry '!AC51)</f>
        <v/>
      </c>
      <c r="F1551" s="37">
        <f>IF(C1551="","",B1551+IF(E1551&gt;0,0,0.5)+ROW()/10000000)</f>
        <v/>
      </c>
      <c r="G1551">
        <f>IF(C1551="","","Collection 收款 (Online 网上)"&amp;IF('Daily Sale entry '!Y51="",""," - "&amp;'Daily Sale entry '!Y51))</f>
        <v/>
      </c>
      <c r="H1551">
        <f>IF(C1551="","",COUNTIFS($C$2:$C$3001,C1551,$F$2:$F$3001,"&lt;"&amp;F1551)+1)</f>
        <v/>
      </c>
      <c r="I1551">
        <f>IF(C1551="","",C1551&amp;"|"&amp;H1551)</f>
        <v/>
      </c>
      <c r="J1551" s="6">
        <f>IF(C1551="","",IF(H1551=1,SUMIFS('Opening Balance'!$F$4:$F$303,'Opening Balance'!$G$4:$G$303,C1551),INDEX($L$2:$L$3001,MATCH(C1551&amp;"|"&amp;(H1551-1),$I$2:$I$3001,0))))</f>
        <v/>
      </c>
      <c r="K1551" s="6">
        <f>IF(C1551="","",IF(M1551&gt;0,M1551,IF(AND(E1551&gt;0,ROUND(J1551+D1551-E1551,2)&gt;0,ROUND(J1551+D1551-E1551,2)&lt;'Opening Balance'!$B$14),ROUND(J1551+D1551-E1551,2),0)))</f>
        <v/>
      </c>
      <c r="L1551" s="6">
        <f>IF(C1551="","",ROUND(J1551+D1551-E1551-K1551,2))</f>
        <v/>
      </c>
      <c r="M1551" s="6">
        <f>IF(C1551="","",0)</f>
        <v/>
      </c>
    </row>
    <row r="1552">
      <c r="A1552" t="inlineStr">
        <is>
          <t>Bank 银行</t>
        </is>
      </c>
      <c r="B1552" s="5">
        <f>IF(AND('Daily Sale entry '!Z52="Online collection 网上收款",'Daily Sale entry '!AA52&lt;&gt;""),'Daily Sale entry '!X52,"")</f>
        <v/>
      </c>
      <c r="C1552">
        <f>IF(B1552="","",'Daily Sale entry '!AA52)</f>
        <v/>
      </c>
      <c r="D1552">
        <f>IF(C1552="","",0)</f>
        <v/>
      </c>
      <c r="E1552">
        <f>IF(C1552="","",'Daily Sale entry '!AC52)</f>
        <v/>
      </c>
      <c r="F1552" s="37">
        <f>IF(C1552="","",B1552+IF(E1552&gt;0,0,0.5)+ROW()/10000000)</f>
        <v/>
      </c>
      <c r="G1552">
        <f>IF(C1552="","","Collection 收款 (Online 网上)"&amp;IF('Daily Sale entry '!Y52="",""," - "&amp;'Daily Sale entry '!Y52))</f>
        <v/>
      </c>
      <c r="H1552">
        <f>IF(C1552="","",COUNTIFS($C$2:$C$3001,C1552,$F$2:$F$3001,"&lt;"&amp;F1552)+1)</f>
        <v/>
      </c>
      <c r="I1552">
        <f>IF(C1552="","",C1552&amp;"|"&amp;H1552)</f>
        <v/>
      </c>
      <c r="J1552" s="6">
        <f>IF(C1552="","",IF(H1552=1,SUMIFS('Opening Balance'!$F$4:$F$303,'Opening Balance'!$G$4:$G$303,C1552),INDEX($L$2:$L$3001,MATCH(C1552&amp;"|"&amp;(H1552-1),$I$2:$I$3001,0))))</f>
        <v/>
      </c>
      <c r="K1552" s="6">
        <f>IF(C1552="","",IF(M1552&gt;0,M1552,IF(AND(E1552&gt;0,ROUND(J1552+D1552-E1552,2)&gt;0,ROUND(J1552+D1552-E1552,2)&lt;'Opening Balance'!$B$14),ROUND(J1552+D1552-E1552,2),0)))</f>
        <v/>
      </c>
      <c r="L1552" s="6">
        <f>IF(C1552="","",ROUND(J1552+D1552-E1552-K1552,2))</f>
        <v/>
      </c>
      <c r="M1552" s="6">
        <f>IF(C1552="","",0)</f>
        <v/>
      </c>
    </row>
    <row r="1553">
      <c r="A1553" t="inlineStr">
        <is>
          <t>Bank 银行</t>
        </is>
      </c>
      <c r="B1553" s="5">
        <f>IF(AND('Daily Sale entry '!Z53="Online collection 网上收款",'Daily Sale entry '!AA53&lt;&gt;""),'Daily Sale entry '!X53,"")</f>
        <v/>
      </c>
      <c r="C1553">
        <f>IF(B1553="","",'Daily Sale entry '!AA53)</f>
        <v/>
      </c>
      <c r="D1553">
        <f>IF(C1553="","",0)</f>
        <v/>
      </c>
      <c r="E1553">
        <f>IF(C1553="","",'Daily Sale entry '!AC53)</f>
        <v/>
      </c>
      <c r="F1553" s="37">
        <f>IF(C1553="","",B1553+IF(E1553&gt;0,0,0.5)+ROW()/10000000)</f>
        <v/>
      </c>
      <c r="G1553">
        <f>IF(C1553="","","Collection 收款 (Online 网上)"&amp;IF('Daily Sale entry '!Y53="",""," - "&amp;'Daily Sale entry '!Y53))</f>
        <v/>
      </c>
      <c r="H1553">
        <f>IF(C1553="","",COUNTIFS($C$2:$C$3001,C1553,$F$2:$F$3001,"&lt;"&amp;F1553)+1)</f>
        <v/>
      </c>
      <c r="I1553">
        <f>IF(C1553="","",C1553&amp;"|"&amp;H1553)</f>
        <v/>
      </c>
      <c r="J1553" s="6">
        <f>IF(C1553="","",IF(H1553=1,SUMIFS('Opening Balance'!$F$4:$F$303,'Opening Balance'!$G$4:$G$303,C1553),INDEX($L$2:$L$3001,MATCH(C1553&amp;"|"&amp;(H1553-1),$I$2:$I$3001,0))))</f>
        <v/>
      </c>
      <c r="K1553" s="6">
        <f>IF(C1553="","",IF(M1553&gt;0,M1553,IF(AND(E1553&gt;0,ROUND(J1553+D1553-E1553,2)&gt;0,ROUND(J1553+D1553-E1553,2)&lt;'Opening Balance'!$B$14),ROUND(J1553+D1553-E1553,2),0)))</f>
        <v/>
      </c>
      <c r="L1553" s="6">
        <f>IF(C1553="","",ROUND(J1553+D1553-E1553-K1553,2))</f>
        <v/>
      </c>
      <c r="M1553" s="6">
        <f>IF(C1553="","",0)</f>
        <v/>
      </c>
    </row>
    <row r="1554">
      <c r="A1554" t="inlineStr">
        <is>
          <t>Bank 银行</t>
        </is>
      </c>
      <c r="B1554" s="5">
        <f>IF(AND('Daily Sale entry '!Z54="Online collection 网上收款",'Daily Sale entry '!AA54&lt;&gt;""),'Daily Sale entry '!X54,"")</f>
        <v/>
      </c>
      <c r="C1554">
        <f>IF(B1554="","",'Daily Sale entry '!AA54)</f>
        <v/>
      </c>
      <c r="D1554">
        <f>IF(C1554="","",0)</f>
        <v/>
      </c>
      <c r="E1554">
        <f>IF(C1554="","",'Daily Sale entry '!AC54)</f>
        <v/>
      </c>
      <c r="F1554" s="37">
        <f>IF(C1554="","",B1554+IF(E1554&gt;0,0,0.5)+ROW()/10000000)</f>
        <v/>
      </c>
      <c r="G1554">
        <f>IF(C1554="","","Collection 收款 (Online 网上)"&amp;IF('Daily Sale entry '!Y54="",""," - "&amp;'Daily Sale entry '!Y54))</f>
        <v/>
      </c>
      <c r="H1554">
        <f>IF(C1554="","",COUNTIFS($C$2:$C$3001,C1554,$F$2:$F$3001,"&lt;"&amp;F1554)+1)</f>
        <v/>
      </c>
      <c r="I1554">
        <f>IF(C1554="","",C1554&amp;"|"&amp;H1554)</f>
        <v/>
      </c>
      <c r="J1554" s="6">
        <f>IF(C1554="","",IF(H1554=1,SUMIFS('Opening Balance'!$F$4:$F$303,'Opening Balance'!$G$4:$G$303,C1554),INDEX($L$2:$L$3001,MATCH(C1554&amp;"|"&amp;(H1554-1),$I$2:$I$3001,0))))</f>
        <v/>
      </c>
      <c r="K1554" s="6">
        <f>IF(C1554="","",IF(M1554&gt;0,M1554,IF(AND(E1554&gt;0,ROUND(J1554+D1554-E1554,2)&gt;0,ROUND(J1554+D1554-E1554,2)&lt;'Opening Balance'!$B$14),ROUND(J1554+D1554-E1554,2),0)))</f>
        <v/>
      </c>
      <c r="L1554" s="6">
        <f>IF(C1554="","",ROUND(J1554+D1554-E1554-K1554,2))</f>
        <v/>
      </c>
      <c r="M1554" s="6">
        <f>IF(C1554="","",0)</f>
        <v/>
      </c>
    </row>
    <row r="1555">
      <c r="A1555" t="inlineStr">
        <is>
          <t>Bank 银行</t>
        </is>
      </c>
      <c r="B1555" s="5">
        <f>IF(AND('Daily Sale entry '!Z55="Online collection 网上收款",'Daily Sale entry '!AA55&lt;&gt;""),'Daily Sale entry '!X55,"")</f>
        <v/>
      </c>
      <c r="C1555">
        <f>IF(B1555="","",'Daily Sale entry '!AA55)</f>
        <v/>
      </c>
      <c r="D1555">
        <f>IF(C1555="","",0)</f>
        <v/>
      </c>
      <c r="E1555">
        <f>IF(C1555="","",'Daily Sale entry '!AC55)</f>
        <v/>
      </c>
      <c r="F1555" s="37">
        <f>IF(C1555="","",B1555+IF(E1555&gt;0,0,0.5)+ROW()/10000000)</f>
        <v/>
      </c>
      <c r="G1555">
        <f>IF(C1555="","","Collection 收款 (Online 网上)"&amp;IF('Daily Sale entry '!Y55="",""," - "&amp;'Daily Sale entry '!Y55))</f>
        <v/>
      </c>
      <c r="H1555">
        <f>IF(C1555="","",COUNTIFS($C$2:$C$3001,C1555,$F$2:$F$3001,"&lt;"&amp;F1555)+1)</f>
        <v/>
      </c>
      <c r="I1555">
        <f>IF(C1555="","",C1555&amp;"|"&amp;H1555)</f>
        <v/>
      </c>
      <c r="J1555" s="6">
        <f>IF(C1555="","",IF(H1555=1,SUMIFS('Opening Balance'!$F$4:$F$303,'Opening Balance'!$G$4:$G$303,C1555),INDEX($L$2:$L$3001,MATCH(C1555&amp;"|"&amp;(H1555-1),$I$2:$I$3001,0))))</f>
        <v/>
      </c>
      <c r="K1555" s="6">
        <f>IF(C1555="","",IF(M1555&gt;0,M1555,IF(AND(E1555&gt;0,ROUND(J1555+D1555-E1555,2)&gt;0,ROUND(J1555+D1555-E1555,2)&lt;'Opening Balance'!$B$14),ROUND(J1555+D1555-E1555,2),0)))</f>
        <v/>
      </c>
      <c r="L1555" s="6">
        <f>IF(C1555="","",ROUND(J1555+D1555-E1555-K1555,2))</f>
        <v/>
      </c>
      <c r="M1555" s="6">
        <f>IF(C1555="","",0)</f>
        <v/>
      </c>
    </row>
    <row r="1556">
      <c r="A1556" t="inlineStr">
        <is>
          <t>Bank 银行</t>
        </is>
      </c>
      <c r="B1556" s="5">
        <f>IF(AND('Daily Sale entry '!Z56="Online collection 网上收款",'Daily Sale entry '!AA56&lt;&gt;""),'Daily Sale entry '!X56,"")</f>
        <v/>
      </c>
      <c r="C1556">
        <f>IF(B1556="","",'Daily Sale entry '!AA56)</f>
        <v/>
      </c>
      <c r="D1556">
        <f>IF(C1556="","",0)</f>
        <v/>
      </c>
      <c r="E1556">
        <f>IF(C1556="","",'Daily Sale entry '!AC56)</f>
        <v/>
      </c>
      <c r="F1556" s="37">
        <f>IF(C1556="","",B1556+IF(E1556&gt;0,0,0.5)+ROW()/10000000)</f>
        <v/>
      </c>
      <c r="G1556">
        <f>IF(C1556="","","Collection 收款 (Online 网上)"&amp;IF('Daily Sale entry '!Y56="",""," - "&amp;'Daily Sale entry '!Y56))</f>
        <v/>
      </c>
      <c r="H1556">
        <f>IF(C1556="","",COUNTIFS($C$2:$C$3001,C1556,$F$2:$F$3001,"&lt;"&amp;F1556)+1)</f>
        <v/>
      </c>
      <c r="I1556">
        <f>IF(C1556="","",C1556&amp;"|"&amp;H1556)</f>
        <v/>
      </c>
      <c r="J1556" s="6">
        <f>IF(C1556="","",IF(H1556=1,SUMIFS('Opening Balance'!$F$4:$F$303,'Opening Balance'!$G$4:$G$303,C1556),INDEX($L$2:$L$3001,MATCH(C1556&amp;"|"&amp;(H1556-1),$I$2:$I$3001,0))))</f>
        <v/>
      </c>
      <c r="K1556" s="6">
        <f>IF(C1556="","",IF(M1556&gt;0,M1556,IF(AND(E1556&gt;0,ROUND(J1556+D1556-E1556,2)&gt;0,ROUND(J1556+D1556-E1556,2)&lt;'Opening Balance'!$B$14),ROUND(J1556+D1556-E1556,2),0)))</f>
        <v/>
      </c>
      <c r="L1556" s="6">
        <f>IF(C1556="","",ROUND(J1556+D1556-E1556-K1556,2))</f>
        <v/>
      </c>
      <c r="M1556" s="6">
        <f>IF(C1556="","",0)</f>
        <v/>
      </c>
    </row>
    <row r="1557">
      <c r="A1557" t="inlineStr">
        <is>
          <t>Bank 银行</t>
        </is>
      </c>
      <c r="B1557" s="5">
        <f>IF(AND('Daily Sale entry '!Z57="Online collection 网上收款",'Daily Sale entry '!AA57&lt;&gt;""),'Daily Sale entry '!X57,"")</f>
        <v/>
      </c>
      <c r="C1557">
        <f>IF(B1557="","",'Daily Sale entry '!AA57)</f>
        <v/>
      </c>
      <c r="D1557">
        <f>IF(C1557="","",0)</f>
        <v/>
      </c>
      <c r="E1557">
        <f>IF(C1557="","",'Daily Sale entry '!AC57)</f>
        <v/>
      </c>
      <c r="F1557" s="37">
        <f>IF(C1557="","",B1557+IF(E1557&gt;0,0,0.5)+ROW()/10000000)</f>
        <v/>
      </c>
      <c r="G1557">
        <f>IF(C1557="","","Collection 收款 (Online 网上)"&amp;IF('Daily Sale entry '!Y57="",""," - "&amp;'Daily Sale entry '!Y57))</f>
        <v/>
      </c>
      <c r="H1557">
        <f>IF(C1557="","",COUNTIFS($C$2:$C$3001,C1557,$F$2:$F$3001,"&lt;"&amp;F1557)+1)</f>
        <v/>
      </c>
      <c r="I1557">
        <f>IF(C1557="","",C1557&amp;"|"&amp;H1557)</f>
        <v/>
      </c>
      <c r="J1557" s="6">
        <f>IF(C1557="","",IF(H1557=1,SUMIFS('Opening Balance'!$F$4:$F$303,'Opening Balance'!$G$4:$G$303,C1557),INDEX($L$2:$L$3001,MATCH(C1557&amp;"|"&amp;(H1557-1),$I$2:$I$3001,0))))</f>
        <v/>
      </c>
      <c r="K1557" s="6">
        <f>IF(C1557="","",IF(M1557&gt;0,M1557,IF(AND(E1557&gt;0,ROUND(J1557+D1557-E1557,2)&gt;0,ROUND(J1557+D1557-E1557,2)&lt;'Opening Balance'!$B$14),ROUND(J1557+D1557-E1557,2),0)))</f>
        <v/>
      </c>
      <c r="L1557" s="6">
        <f>IF(C1557="","",ROUND(J1557+D1557-E1557-K1557,2))</f>
        <v/>
      </c>
      <c r="M1557" s="6">
        <f>IF(C1557="","",0)</f>
        <v/>
      </c>
    </row>
    <row r="1558">
      <c r="A1558" t="inlineStr">
        <is>
          <t>Bank 银行</t>
        </is>
      </c>
      <c r="B1558" s="5">
        <f>IF(AND('Daily Sale entry '!Z58="Online collection 网上收款",'Daily Sale entry '!AA58&lt;&gt;""),'Daily Sale entry '!X58,"")</f>
        <v/>
      </c>
      <c r="C1558">
        <f>IF(B1558="","",'Daily Sale entry '!AA58)</f>
        <v/>
      </c>
      <c r="D1558">
        <f>IF(C1558="","",0)</f>
        <v/>
      </c>
      <c r="E1558">
        <f>IF(C1558="","",'Daily Sale entry '!AC58)</f>
        <v/>
      </c>
      <c r="F1558" s="37">
        <f>IF(C1558="","",B1558+IF(E1558&gt;0,0,0.5)+ROW()/10000000)</f>
        <v/>
      </c>
      <c r="G1558">
        <f>IF(C1558="","","Collection 收款 (Online 网上)"&amp;IF('Daily Sale entry '!Y58="",""," - "&amp;'Daily Sale entry '!Y58))</f>
        <v/>
      </c>
      <c r="H1558">
        <f>IF(C1558="","",COUNTIFS($C$2:$C$3001,C1558,$F$2:$F$3001,"&lt;"&amp;F1558)+1)</f>
        <v/>
      </c>
      <c r="I1558">
        <f>IF(C1558="","",C1558&amp;"|"&amp;H1558)</f>
        <v/>
      </c>
      <c r="J1558" s="6">
        <f>IF(C1558="","",IF(H1558=1,SUMIFS('Opening Balance'!$F$4:$F$303,'Opening Balance'!$G$4:$G$303,C1558),INDEX($L$2:$L$3001,MATCH(C1558&amp;"|"&amp;(H1558-1),$I$2:$I$3001,0))))</f>
        <v/>
      </c>
      <c r="K1558" s="6">
        <f>IF(C1558="","",IF(M1558&gt;0,M1558,IF(AND(E1558&gt;0,ROUND(J1558+D1558-E1558,2)&gt;0,ROUND(J1558+D1558-E1558,2)&lt;'Opening Balance'!$B$14),ROUND(J1558+D1558-E1558,2),0)))</f>
        <v/>
      </c>
      <c r="L1558" s="6">
        <f>IF(C1558="","",ROUND(J1558+D1558-E1558-K1558,2))</f>
        <v/>
      </c>
      <c r="M1558" s="6">
        <f>IF(C1558="","",0)</f>
        <v/>
      </c>
    </row>
    <row r="1559">
      <c r="A1559" t="inlineStr">
        <is>
          <t>Bank 银行</t>
        </is>
      </c>
      <c r="B1559" s="5">
        <f>IF(AND('Daily Sale entry '!Z59="Online collection 网上收款",'Daily Sale entry '!AA59&lt;&gt;""),'Daily Sale entry '!X59,"")</f>
        <v/>
      </c>
      <c r="C1559">
        <f>IF(B1559="","",'Daily Sale entry '!AA59)</f>
        <v/>
      </c>
      <c r="D1559">
        <f>IF(C1559="","",0)</f>
        <v/>
      </c>
      <c r="E1559">
        <f>IF(C1559="","",'Daily Sale entry '!AC59)</f>
        <v/>
      </c>
      <c r="F1559" s="37">
        <f>IF(C1559="","",B1559+IF(E1559&gt;0,0,0.5)+ROW()/10000000)</f>
        <v/>
      </c>
      <c r="G1559">
        <f>IF(C1559="","","Collection 收款 (Online 网上)"&amp;IF('Daily Sale entry '!Y59="",""," - "&amp;'Daily Sale entry '!Y59))</f>
        <v/>
      </c>
      <c r="H1559">
        <f>IF(C1559="","",COUNTIFS($C$2:$C$3001,C1559,$F$2:$F$3001,"&lt;"&amp;F1559)+1)</f>
        <v/>
      </c>
      <c r="I1559">
        <f>IF(C1559="","",C1559&amp;"|"&amp;H1559)</f>
        <v/>
      </c>
      <c r="J1559" s="6">
        <f>IF(C1559="","",IF(H1559=1,SUMIFS('Opening Balance'!$F$4:$F$303,'Opening Balance'!$G$4:$G$303,C1559),INDEX($L$2:$L$3001,MATCH(C1559&amp;"|"&amp;(H1559-1),$I$2:$I$3001,0))))</f>
        <v/>
      </c>
      <c r="K1559" s="6">
        <f>IF(C1559="","",IF(M1559&gt;0,M1559,IF(AND(E1559&gt;0,ROUND(J1559+D1559-E1559,2)&gt;0,ROUND(J1559+D1559-E1559,2)&lt;'Opening Balance'!$B$14),ROUND(J1559+D1559-E1559,2),0)))</f>
        <v/>
      </c>
      <c r="L1559" s="6">
        <f>IF(C1559="","",ROUND(J1559+D1559-E1559-K1559,2))</f>
        <v/>
      </c>
      <c r="M1559" s="6">
        <f>IF(C1559="","",0)</f>
        <v/>
      </c>
    </row>
    <row r="1560">
      <c r="A1560" t="inlineStr">
        <is>
          <t>Bank 银行</t>
        </is>
      </c>
      <c r="B1560" s="5">
        <f>IF(AND('Daily Sale entry '!Z60="Online collection 网上收款",'Daily Sale entry '!AA60&lt;&gt;""),'Daily Sale entry '!X60,"")</f>
        <v/>
      </c>
      <c r="C1560">
        <f>IF(B1560="","",'Daily Sale entry '!AA60)</f>
        <v/>
      </c>
      <c r="D1560">
        <f>IF(C1560="","",0)</f>
        <v/>
      </c>
      <c r="E1560">
        <f>IF(C1560="","",'Daily Sale entry '!AC60)</f>
        <v/>
      </c>
      <c r="F1560" s="37">
        <f>IF(C1560="","",B1560+IF(E1560&gt;0,0,0.5)+ROW()/10000000)</f>
        <v/>
      </c>
      <c r="G1560">
        <f>IF(C1560="","","Collection 收款 (Online 网上)"&amp;IF('Daily Sale entry '!Y60="",""," - "&amp;'Daily Sale entry '!Y60))</f>
        <v/>
      </c>
      <c r="H1560">
        <f>IF(C1560="","",COUNTIFS($C$2:$C$3001,C1560,$F$2:$F$3001,"&lt;"&amp;F1560)+1)</f>
        <v/>
      </c>
      <c r="I1560">
        <f>IF(C1560="","",C1560&amp;"|"&amp;H1560)</f>
        <v/>
      </c>
      <c r="J1560" s="6">
        <f>IF(C1560="","",IF(H1560=1,SUMIFS('Opening Balance'!$F$4:$F$303,'Opening Balance'!$G$4:$G$303,C1560),INDEX($L$2:$L$3001,MATCH(C1560&amp;"|"&amp;(H1560-1),$I$2:$I$3001,0))))</f>
        <v/>
      </c>
      <c r="K1560" s="6">
        <f>IF(C1560="","",IF(M1560&gt;0,M1560,IF(AND(E1560&gt;0,ROUND(J1560+D1560-E1560,2)&gt;0,ROUND(J1560+D1560-E1560,2)&lt;'Opening Balance'!$B$14),ROUND(J1560+D1560-E1560,2),0)))</f>
        <v/>
      </c>
      <c r="L1560" s="6">
        <f>IF(C1560="","",ROUND(J1560+D1560-E1560-K1560,2))</f>
        <v/>
      </c>
      <c r="M1560" s="6">
        <f>IF(C1560="","",0)</f>
        <v/>
      </c>
    </row>
    <row r="1561">
      <c r="A1561" t="inlineStr">
        <is>
          <t>Bank 银行</t>
        </is>
      </c>
      <c r="B1561" s="5">
        <f>IF(AND('Daily Sale entry '!Z61="Online collection 网上收款",'Daily Sale entry '!AA61&lt;&gt;""),'Daily Sale entry '!X61,"")</f>
        <v/>
      </c>
      <c r="C1561">
        <f>IF(B1561="","",'Daily Sale entry '!AA61)</f>
        <v/>
      </c>
      <c r="D1561">
        <f>IF(C1561="","",0)</f>
        <v/>
      </c>
      <c r="E1561">
        <f>IF(C1561="","",'Daily Sale entry '!AC61)</f>
        <v/>
      </c>
      <c r="F1561" s="37">
        <f>IF(C1561="","",B1561+IF(E1561&gt;0,0,0.5)+ROW()/10000000)</f>
        <v/>
      </c>
      <c r="G1561">
        <f>IF(C1561="","","Collection 收款 (Online 网上)"&amp;IF('Daily Sale entry '!Y61="",""," - "&amp;'Daily Sale entry '!Y61))</f>
        <v/>
      </c>
      <c r="H1561">
        <f>IF(C1561="","",COUNTIFS($C$2:$C$3001,C1561,$F$2:$F$3001,"&lt;"&amp;F1561)+1)</f>
        <v/>
      </c>
      <c r="I1561">
        <f>IF(C1561="","",C1561&amp;"|"&amp;H1561)</f>
        <v/>
      </c>
      <c r="J1561" s="6">
        <f>IF(C1561="","",IF(H1561=1,SUMIFS('Opening Balance'!$F$4:$F$303,'Opening Balance'!$G$4:$G$303,C1561),INDEX($L$2:$L$3001,MATCH(C1561&amp;"|"&amp;(H1561-1),$I$2:$I$3001,0))))</f>
        <v/>
      </c>
      <c r="K1561" s="6">
        <f>IF(C1561="","",IF(M1561&gt;0,M1561,IF(AND(E1561&gt;0,ROUND(J1561+D1561-E1561,2)&gt;0,ROUND(J1561+D1561-E1561,2)&lt;'Opening Balance'!$B$14),ROUND(J1561+D1561-E1561,2),0)))</f>
        <v/>
      </c>
      <c r="L1561" s="6">
        <f>IF(C1561="","",ROUND(J1561+D1561-E1561-K1561,2))</f>
        <v/>
      </c>
      <c r="M1561" s="6">
        <f>IF(C1561="","",0)</f>
        <v/>
      </c>
    </row>
    <row r="1562">
      <c r="A1562" t="inlineStr">
        <is>
          <t>Bank 银行</t>
        </is>
      </c>
      <c r="B1562" s="5">
        <f>IF(AND('Daily Sale entry '!Z62="Online collection 网上收款",'Daily Sale entry '!AA62&lt;&gt;""),'Daily Sale entry '!X62,"")</f>
        <v/>
      </c>
      <c r="C1562">
        <f>IF(B1562="","",'Daily Sale entry '!AA62)</f>
        <v/>
      </c>
      <c r="D1562">
        <f>IF(C1562="","",0)</f>
        <v/>
      </c>
      <c r="E1562">
        <f>IF(C1562="","",'Daily Sale entry '!AC62)</f>
        <v/>
      </c>
      <c r="F1562" s="37">
        <f>IF(C1562="","",B1562+IF(E1562&gt;0,0,0.5)+ROW()/10000000)</f>
        <v/>
      </c>
      <c r="G1562">
        <f>IF(C1562="","","Collection 收款 (Online 网上)"&amp;IF('Daily Sale entry '!Y62="",""," - "&amp;'Daily Sale entry '!Y62))</f>
        <v/>
      </c>
      <c r="H1562">
        <f>IF(C1562="","",COUNTIFS($C$2:$C$3001,C1562,$F$2:$F$3001,"&lt;"&amp;F1562)+1)</f>
        <v/>
      </c>
      <c r="I1562">
        <f>IF(C1562="","",C1562&amp;"|"&amp;H1562)</f>
        <v/>
      </c>
      <c r="J1562" s="6">
        <f>IF(C1562="","",IF(H1562=1,SUMIFS('Opening Balance'!$F$4:$F$303,'Opening Balance'!$G$4:$G$303,C1562),INDEX($L$2:$L$3001,MATCH(C1562&amp;"|"&amp;(H1562-1),$I$2:$I$3001,0))))</f>
        <v/>
      </c>
      <c r="K1562" s="6">
        <f>IF(C1562="","",IF(M1562&gt;0,M1562,IF(AND(E1562&gt;0,ROUND(J1562+D1562-E1562,2)&gt;0,ROUND(J1562+D1562-E1562,2)&lt;'Opening Balance'!$B$14),ROUND(J1562+D1562-E1562,2),0)))</f>
        <v/>
      </c>
      <c r="L1562" s="6">
        <f>IF(C1562="","",ROUND(J1562+D1562-E1562-K1562,2))</f>
        <v/>
      </c>
      <c r="M1562" s="6">
        <f>IF(C1562="","",0)</f>
        <v/>
      </c>
    </row>
    <row r="1563">
      <c r="A1563" t="inlineStr">
        <is>
          <t>Bank 银行</t>
        </is>
      </c>
      <c r="B1563" s="5">
        <f>IF(AND('Daily Sale entry '!Z63="Online collection 网上收款",'Daily Sale entry '!AA63&lt;&gt;""),'Daily Sale entry '!X63,"")</f>
        <v/>
      </c>
      <c r="C1563">
        <f>IF(B1563="","",'Daily Sale entry '!AA63)</f>
        <v/>
      </c>
      <c r="D1563">
        <f>IF(C1563="","",0)</f>
        <v/>
      </c>
      <c r="E1563">
        <f>IF(C1563="","",'Daily Sale entry '!AC63)</f>
        <v/>
      </c>
      <c r="F1563" s="37">
        <f>IF(C1563="","",B1563+IF(E1563&gt;0,0,0.5)+ROW()/10000000)</f>
        <v/>
      </c>
      <c r="G1563">
        <f>IF(C1563="","","Collection 收款 (Online 网上)"&amp;IF('Daily Sale entry '!Y63="",""," - "&amp;'Daily Sale entry '!Y63))</f>
        <v/>
      </c>
      <c r="H1563">
        <f>IF(C1563="","",COUNTIFS($C$2:$C$3001,C1563,$F$2:$F$3001,"&lt;"&amp;F1563)+1)</f>
        <v/>
      </c>
      <c r="I1563">
        <f>IF(C1563="","",C1563&amp;"|"&amp;H1563)</f>
        <v/>
      </c>
      <c r="J1563" s="6">
        <f>IF(C1563="","",IF(H1563=1,SUMIFS('Opening Balance'!$F$4:$F$303,'Opening Balance'!$G$4:$G$303,C1563),INDEX($L$2:$L$3001,MATCH(C1563&amp;"|"&amp;(H1563-1),$I$2:$I$3001,0))))</f>
        <v/>
      </c>
      <c r="K1563" s="6">
        <f>IF(C1563="","",IF(M1563&gt;0,M1563,IF(AND(E1563&gt;0,ROUND(J1563+D1563-E1563,2)&gt;0,ROUND(J1563+D1563-E1563,2)&lt;'Opening Balance'!$B$14),ROUND(J1563+D1563-E1563,2),0)))</f>
        <v/>
      </c>
      <c r="L1563" s="6">
        <f>IF(C1563="","",ROUND(J1563+D1563-E1563-K1563,2))</f>
        <v/>
      </c>
      <c r="M1563" s="6">
        <f>IF(C1563="","",0)</f>
        <v/>
      </c>
    </row>
    <row r="1564">
      <c r="A1564" t="inlineStr">
        <is>
          <t>Bank 银行</t>
        </is>
      </c>
      <c r="B1564" s="5">
        <f>IF(AND('Daily Sale entry '!Z64="Online collection 网上收款",'Daily Sale entry '!AA64&lt;&gt;""),'Daily Sale entry '!X64,"")</f>
        <v/>
      </c>
      <c r="C1564">
        <f>IF(B1564="","",'Daily Sale entry '!AA64)</f>
        <v/>
      </c>
      <c r="D1564">
        <f>IF(C1564="","",0)</f>
        <v/>
      </c>
      <c r="E1564">
        <f>IF(C1564="","",'Daily Sale entry '!AC64)</f>
        <v/>
      </c>
      <c r="F1564" s="37">
        <f>IF(C1564="","",B1564+IF(E1564&gt;0,0,0.5)+ROW()/10000000)</f>
        <v/>
      </c>
      <c r="G1564">
        <f>IF(C1564="","","Collection 收款 (Online 网上)"&amp;IF('Daily Sale entry '!Y64="",""," - "&amp;'Daily Sale entry '!Y64))</f>
        <v/>
      </c>
      <c r="H1564">
        <f>IF(C1564="","",COUNTIFS($C$2:$C$3001,C1564,$F$2:$F$3001,"&lt;"&amp;F1564)+1)</f>
        <v/>
      </c>
      <c r="I1564">
        <f>IF(C1564="","",C1564&amp;"|"&amp;H1564)</f>
        <v/>
      </c>
      <c r="J1564" s="6">
        <f>IF(C1564="","",IF(H1564=1,SUMIFS('Opening Balance'!$F$4:$F$303,'Opening Balance'!$G$4:$G$303,C1564),INDEX($L$2:$L$3001,MATCH(C1564&amp;"|"&amp;(H1564-1),$I$2:$I$3001,0))))</f>
        <v/>
      </c>
      <c r="K1564" s="6">
        <f>IF(C1564="","",IF(M1564&gt;0,M1564,IF(AND(E1564&gt;0,ROUND(J1564+D1564-E1564,2)&gt;0,ROUND(J1564+D1564-E1564,2)&lt;'Opening Balance'!$B$14),ROUND(J1564+D1564-E1564,2),0)))</f>
        <v/>
      </c>
      <c r="L1564" s="6">
        <f>IF(C1564="","",ROUND(J1564+D1564-E1564-K1564,2))</f>
        <v/>
      </c>
      <c r="M1564" s="6">
        <f>IF(C1564="","",0)</f>
        <v/>
      </c>
    </row>
    <row r="1565">
      <c r="A1565" t="inlineStr">
        <is>
          <t>Bank 银行</t>
        </is>
      </c>
      <c r="B1565" s="5">
        <f>IF(AND('Daily Sale entry '!Z65="Online collection 网上收款",'Daily Sale entry '!AA65&lt;&gt;""),'Daily Sale entry '!X65,"")</f>
        <v/>
      </c>
      <c r="C1565">
        <f>IF(B1565="","",'Daily Sale entry '!AA65)</f>
        <v/>
      </c>
      <c r="D1565">
        <f>IF(C1565="","",0)</f>
        <v/>
      </c>
      <c r="E1565">
        <f>IF(C1565="","",'Daily Sale entry '!AC65)</f>
        <v/>
      </c>
      <c r="F1565" s="37">
        <f>IF(C1565="","",B1565+IF(E1565&gt;0,0,0.5)+ROW()/10000000)</f>
        <v/>
      </c>
      <c r="G1565">
        <f>IF(C1565="","","Collection 收款 (Online 网上)"&amp;IF('Daily Sale entry '!Y65="",""," - "&amp;'Daily Sale entry '!Y65))</f>
        <v/>
      </c>
      <c r="H1565">
        <f>IF(C1565="","",COUNTIFS($C$2:$C$3001,C1565,$F$2:$F$3001,"&lt;"&amp;F1565)+1)</f>
        <v/>
      </c>
      <c r="I1565">
        <f>IF(C1565="","",C1565&amp;"|"&amp;H1565)</f>
        <v/>
      </c>
      <c r="J1565" s="6">
        <f>IF(C1565="","",IF(H1565=1,SUMIFS('Opening Balance'!$F$4:$F$303,'Opening Balance'!$G$4:$G$303,C1565),INDEX($L$2:$L$3001,MATCH(C1565&amp;"|"&amp;(H1565-1),$I$2:$I$3001,0))))</f>
        <v/>
      </c>
      <c r="K1565" s="6">
        <f>IF(C1565="","",IF(M1565&gt;0,M1565,IF(AND(E1565&gt;0,ROUND(J1565+D1565-E1565,2)&gt;0,ROUND(J1565+D1565-E1565,2)&lt;'Opening Balance'!$B$14),ROUND(J1565+D1565-E1565,2),0)))</f>
        <v/>
      </c>
      <c r="L1565" s="6">
        <f>IF(C1565="","",ROUND(J1565+D1565-E1565-K1565,2))</f>
        <v/>
      </c>
      <c r="M1565" s="6">
        <f>IF(C1565="","",0)</f>
        <v/>
      </c>
    </row>
    <row r="1566">
      <c r="A1566" t="inlineStr">
        <is>
          <t>Bank 银行</t>
        </is>
      </c>
      <c r="B1566" s="5">
        <f>IF(AND('Daily Sale entry '!Z66="Online collection 网上收款",'Daily Sale entry '!AA66&lt;&gt;""),'Daily Sale entry '!X66,"")</f>
        <v/>
      </c>
      <c r="C1566">
        <f>IF(B1566="","",'Daily Sale entry '!AA66)</f>
        <v/>
      </c>
      <c r="D1566">
        <f>IF(C1566="","",0)</f>
        <v/>
      </c>
      <c r="E1566">
        <f>IF(C1566="","",'Daily Sale entry '!AC66)</f>
        <v/>
      </c>
      <c r="F1566" s="37">
        <f>IF(C1566="","",B1566+IF(E1566&gt;0,0,0.5)+ROW()/10000000)</f>
        <v/>
      </c>
      <c r="G1566">
        <f>IF(C1566="","","Collection 收款 (Online 网上)"&amp;IF('Daily Sale entry '!Y66="",""," - "&amp;'Daily Sale entry '!Y66))</f>
        <v/>
      </c>
      <c r="H1566">
        <f>IF(C1566="","",COUNTIFS($C$2:$C$3001,C1566,$F$2:$F$3001,"&lt;"&amp;F1566)+1)</f>
        <v/>
      </c>
      <c r="I1566">
        <f>IF(C1566="","",C1566&amp;"|"&amp;H1566)</f>
        <v/>
      </c>
      <c r="J1566" s="6">
        <f>IF(C1566="","",IF(H1566=1,SUMIFS('Opening Balance'!$F$4:$F$303,'Opening Balance'!$G$4:$G$303,C1566),INDEX($L$2:$L$3001,MATCH(C1566&amp;"|"&amp;(H1566-1),$I$2:$I$3001,0))))</f>
        <v/>
      </c>
      <c r="K1566" s="6">
        <f>IF(C1566="","",IF(M1566&gt;0,M1566,IF(AND(E1566&gt;0,ROUND(J1566+D1566-E1566,2)&gt;0,ROUND(J1566+D1566-E1566,2)&lt;'Opening Balance'!$B$14),ROUND(J1566+D1566-E1566,2),0)))</f>
        <v/>
      </c>
      <c r="L1566" s="6">
        <f>IF(C1566="","",ROUND(J1566+D1566-E1566-K1566,2))</f>
        <v/>
      </c>
      <c r="M1566" s="6">
        <f>IF(C1566="","",0)</f>
        <v/>
      </c>
    </row>
    <row r="1567">
      <c r="A1567" t="inlineStr">
        <is>
          <t>Bank 银行</t>
        </is>
      </c>
      <c r="B1567" s="5">
        <f>IF(AND('Daily Sale entry '!Z67="Online collection 网上收款",'Daily Sale entry '!AA67&lt;&gt;""),'Daily Sale entry '!X67,"")</f>
        <v/>
      </c>
      <c r="C1567">
        <f>IF(B1567="","",'Daily Sale entry '!AA67)</f>
        <v/>
      </c>
      <c r="D1567">
        <f>IF(C1567="","",0)</f>
        <v/>
      </c>
      <c r="E1567">
        <f>IF(C1567="","",'Daily Sale entry '!AC67)</f>
        <v/>
      </c>
      <c r="F1567" s="37">
        <f>IF(C1567="","",B1567+IF(E1567&gt;0,0,0.5)+ROW()/10000000)</f>
        <v/>
      </c>
      <c r="G1567">
        <f>IF(C1567="","","Collection 收款 (Online 网上)"&amp;IF('Daily Sale entry '!Y67="",""," - "&amp;'Daily Sale entry '!Y67))</f>
        <v/>
      </c>
      <c r="H1567">
        <f>IF(C1567="","",COUNTIFS($C$2:$C$3001,C1567,$F$2:$F$3001,"&lt;"&amp;F1567)+1)</f>
        <v/>
      </c>
      <c r="I1567">
        <f>IF(C1567="","",C1567&amp;"|"&amp;H1567)</f>
        <v/>
      </c>
      <c r="J1567" s="6">
        <f>IF(C1567="","",IF(H1567=1,SUMIFS('Opening Balance'!$F$4:$F$303,'Opening Balance'!$G$4:$G$303,C1567),INDEX($L$2:$L$3001,MATCH(C1567&amp;"|"&amp;(H1567-1),$I$2:$I$3001,0))))</f>
        <v/>
      </c>
      <c r="K1567" s="6">
        <f>IF(C1567="","",IF(M1567&gt;0,M1567,IF(AND(E1567&gt;0,ROUND(J1567+D1567-E1567,2)&gt;0,ROUND(J1567+D1567-E1567,2)&lt;'Opening Balance'!$B$14),ROUND(J1567+D1567-E1567,2),0)))</f>
        <v/>
      </c>
      <c r="L1567" s="6">
        <f>IF(C1567="","",ROUND(J1567+D1567-E1567-K1567,2))</f>
        <v/>
      </c>
      <c r="M1567" s="6">
        <f>IF(C1567="","",0)</f>
        <v/>
      </c>
    </row>
    <row r="1568">
      <c r="A1568" t="inlineStr">
        <is>
          <t>Bank 银行</t>
        </is>
      </c>
      <c r="B1568" s="5">
        <f>IF(AND('Daily Sale entry '!Z68="Online collection 网上收款",'Daily Sale entry '!AA68&lt;&gt;""),'Daily Sale entry '!X68,"")</f>
        <v/>
      </c>
      <c r="C1568">
        <f>IF(B1568="","",'Daily Sale entry '!AA68)</f>
        <v/>
      </c>
      <c r="D1568">
        <f>IF(C1568="","",0)</f>
        <v/>
      </c>
      <c r="E1568">
        <f>IF(C1568="","",'Daily Sale entry '!AC68)</f>
        <v/>
      </c>
      <c r="F1568" s="37">
        <f>IF(C1568="","",B1568+IF(E1568&gt;0,0,0.5)+ROW()/10000000)</f>
        <v/>
      </c>
      <c r="G1568">
        <f>IF(C1568="","","Collection 收款 (Online 网上)"&amp;IF('Daily Sale entry '!Y68="",""," - "&amp;'Daily Sale entry '!Y68))</f>
        <v/>
      </c>
      <c r="H1568">
        <f>IF(C1568="","",COUNTIFS($C$2:$C$3001,C1568,$F$2:$F$3001,"&lt;"&amp;F1568)+1)</f>
        <v/>
      </c>
      <c r="I1568">
        <f>IF(C1568="","",C1568&amp;"|"&amp;H1568)</f>
        <v/>
      </c>
      <c r="J1568" s="6">
        <f>IF(C1568="","",IF(H1568=1,SUMIFS('Opening Balance'!$F$4:$F$303,'Opening Balance'!$G$4:$G$303,C1568),INDEX($L$2:$L$3001,MATCH(C1568&amp;"|"&amp;(H1568-1),$I$2:$I$3001,0))))</f>
        <v/>
      </c>
      <c r="K1568" s="6">
        <f>IF(C1568="","",IF(M1568&gt;0,M1568,IF(AND(E1568&gt;0,ROUND(J1568+D1568-E1568,2)&gt;0,ROUND(J1568+D1568-E1568,2)&lt;'Opening Balance'!$B$14),ROUND(J1568+D1568-E1568,2),0)))</f>
        <v/>
      </c>
      <c r="L1568" s="6">
        <f>IF(C1568="","",ROUND(J1568+D1568-E1568-K1568,2))</f>
        <v/>
      </c>
      <c r="M1568" s="6">
        <f>IF(C1568="","",0)</f>
        <v/>
      </c>
    </row>
    <row r="1569">
      <c r="A1569" t="inlineStr">
        <is>
          <t>Bank 银行</t>
        </is>
      </c>
      <c r="B1569" s="5">
        <f>IF(AND('Daily Sale entry '!Z69="Online collection 网上收款",'Daily Sale entry '!AA69&lt;&gt;""),'Daily Sale entry '!X69,"")</f>
        <v/>
      </c>
      <c r="C1569">
        <f>IF(B1569="","",'Daily Sale entry '!AA69)</f>
        <v/>
      </c>
      <c r="D1569">
        <f>IF(C1569="","",0)</f>
        <v/>
      </c>
      <c r="E1569">
        <f>IF(C1569="","",'Daily Sale entry '!AC69)</f>
        <v/>
      </c>
      <c r="F1569" s="37">
        <f>IF(C1569="","",B1569+IF(E1569&gt;0,0,0.5)+ROW()/10000000)</f>
        <v/>
      </c>
      <c r="G1569">
        <f>IF(C1569="","","Collection 收款 (Online 网上)"&amp;IF('Daily Sale entry '!Y69="",""," - "&amp;'Daily Sale entry '!Y69))</f>
        <v/>
      </c>
      <c r="H1569">
        <f>IF(C1569="","",COUNTIFS($C$2:$C$3001,C1569,$F$2:$F$3001,"&lt;"&amp;F1569)+1)</f>
        <v/>
      </c>
      <c r="I1569">
        <f>IF(C1569="","",C1569&amp;"|"&amp;H1569)</f>
        <v/>
      </c>
      <c r="J1569" s="6">
        <f>IF(C1569="","",IF(H1569=1,SUMIFS('Opening Balance'!$F$4:$F$303,'Opening Balance'!$G$4:$G$303,C1569),INDEX($L$2:$L$3001,MATCH(C1569&amp;"|"&amp;(H1569-1),$I$2:$I$3001,0))))</f>
        <v/>
      </c>
      <c r="K1569" s="6">
        <f>IF(C1569="","",IF(M1569&gt;0,M1569,IF(AND(E1569&gt;0,ROUND(J1569+D1569-E1569,2)&gt;0,ROUND(J1569+D1569-E1569,2)&lt;'Opening Balance'!$B$14),ROUND(J1569+D1569-E1569,2),0)))</f>
        <v/>
      </c>
      <c r="L1569" s="6">
        <f>IF(C1569="","",ROUND(J1569+D1569-E1569-K1569,2))</f>
        <v/>
      </c>
      <c r="M1569" s="6">
        <f>IF(C1569="","",0)</f>
        <v/>
      </c>
    </row>
    <row r="1570">
      <c r="A1570" t="inlineStr">
        <is>
          <t>Bank 银行</t>
        </is>
      </c>
      <c r="B1570" s="5">
        <f>IF(AND('Daily Sale entry '!Z70="Online collection 网上收款",'Daily Sale entry '!AA70&lt;&gt;""),'Daily Sale entry '!X70,"")</f>
        <v/>
      </c>
      <c r="C1570">
        <f>IF(B1570="","",'Daily Sale entry '!AA70)</f>
        <v/>
      </c>
      <c r="D1570">
        <f>IF(C1570="","",0)</f>
        <v/>
      </c>
      <c r="E1570">
        <f>IF(C1570="","",'Daily Sale entry '!AC70)</f>
        <v/>
      </c>
      <c r="F1570" s="37">
        <f>IF(C1570="","",B1570+IF(E1570&gt;0,0,0.5)+ROW()/10000000)</f>
        <v/>
      </c>
      <c r="G1570">
        <f>IF(C1570="","","Collection 收款 (Online 网上)"&amp;IF('Daily Sale entry '!Y70="",""," - "&amp;'Daily Sale entry '!Y70))</f>
        <v/>
      </c>
      <c r="H1570">
        <f>IF(C1570="","",COUNTIFS($C$2:$C$3001,C1570,$F$2:$F$3001,"&lt;"&amp;F1570)+1)</f>
        <v/>
      </c>
      <c r="I1570">
        <f>IF(C1570="","",C1570&amp;"|"&amp;H1570)</f>
        <v/>
      </c>
      <c r="J1570" s="6">
        <f>IF(C1570="","",IF(H1570=1,SUMIFS('Opening Balance'!$F$4:$F$303,'Opening Balance'!$G$4:$G$303,C1570),INDEX($L$2:$L$3001,MATCH(C1570&amp;"|"&amp;(H1570-1),$I$2:$I$3001,0))))</f>
        <v/>
      </c>
      <c r="K1570" s="6">
        <f>IF(C1570="","",IF(M1570&gt;0,M1570,IF(AND(E1570&gt;0,ROUND(J1570+D1570-E1570,2)&gt;0,ROUND(J1570+D1570-E1570,2)&lt;'Opening Balance'!$B$14),ROUND(J1570+D1570-E1570,2),0)))</f>
        <v/>
      </c>
      <c r="L1570" s="6">
        <f>IF(C1570="","",ROUND(J1570+D1570-E1570-K1570,2))</f>
        <v/>
      </c>
      <c r="M1570" s="6">
        <f>IF(C1570="","",0)</f>
        <v/>
      </c>
    </row>
    <row r="1571">
      <c r="A1571" t="inlineStr">
        <is>
          <t>Bank 银行</t>
        </is>
      </c>
      <c r="B1571" s="5">
        <f>IF(AND('Daily Sale entry '!Z71="Online collection 网上收款",'Daily Sale entry '!AA71&lt;&gt;""),'Daily Sale entry '!X71,"")</f>
        <v/>
      </c>
      <c r="C1571">
        <f>IF(B1571="","",'Daily Sale entry '!AA71)</f>
        <v/>
      </c>
      <c r="D1571">
        <f>IF(C1571="","",0)</f>
        <v/>
      </c>
      <c r="E1571">
        <f>IF(C1571="","",'Daily Sale entry '!AC71)</f>
        <v/>
      </c>
      <c r="F1571" s="37">
        <f>IF(C1571="","",B1571+IF(E1571&gt;0,0,0.5)+ROW()/10000000)</f>
        <v/>
      </c>
      <c r="G1571">
        <f>IF(C1571="","","Collection 收款 (Online 网上)"&amp;IF('Daily Sale entry '!Y71="",""," - "&amp;'Daily Sale entry '!Y71))</f>
        <v/>
      </c>
      <c r="H1571">
        <f>IF(C1571="","",COUNTIFS($C$2:$C$3001,C1571,$F$2:$F$3001,"&lt;"&amp;F1571)+1)</f>
        <v/>
      </c>
      <c r="I1571">
        <f>IF(C1571="","",C1571&amp;"|"&amp;H1571)</f>
        <v/>
      </c>
      <c r="J1571" s="6">
        <f>IF(C1571="","",IF(H1571=1,SUMIFS('Opening Balance'!$F$4:$F$303,'Opening Balance'!$G$4:$G$303,C1571),INDEX($L$2:$L$3001,MATCH(C1571&amp;"|"&amp;(H1571-1),$I$2:$I$3001,0))))</f>
        <v/>
      </c>
      <c r="K1571" s="6">
        <f>IF(C1571="","",IF(M1571&gt;0,M1571,IF(AND(E1571&gt;0,ROUND(J1571+D1571-E1571,2)&gt;0,ROUND(J1571+D1571-E1571,2)&lt;'Opening Balance'!$B$14),ROUND(J1571+D1571-E1571,2),0)))</f>
        <v/>
      </c>
      <c r="L1571" s="6">
        <f>IF(C1571="","",ROUND(J1571+D1571-E1571-K1571,2))</f>
        <v/>
      </c>
      <c r="M1571" s="6">
        <f>IF(C1571="","",0)</f>
        <v/>
      </c>
    </row>
    <row r="1572">
      <c r="A1572" t="inlineStr">
        <is>
          <t>Bank 银行</t>
        </is>
      </c>
      <c r="B1572" s="5">
        <f>IF(AND('Daily Sale entry '!Z72="Online collection 网上收款",'Daily Sale entry '!AA72&lt;&gt;""),'Daily Sale entry '!X72,"")</f>
        <v/>
      </c>
      <c r="C1572">
        <f>IF(B1572="","",'Daily Sale entry '!AA72)</f>
        <v/>
      </c>
      <c r="D1572">
        <f>IF(C1572="","",0)</f>
        <v/>
      </c>
      <c r="E1572">
        <f>IF(C1572="","",'Daily Sale entry '!AC72)</f>
        <v/>
      </c>
      <c r="F1572" s="37">
        <f>IF(C1572="","",B1572+IF(E1572&gt;0,0,0.5)+ROW()/10000000)</f>
        <v/>
      </c>
      <c r="G1572">
        <f>IF(C1572="","","Collection 收款 (Online 网上)"&amp;IF('Daily Sale entry '!Y72="",""," - "&amp;'Daily Sale entry '!Y72))</f>
        <v/>
      </c>
      <c r="H1572">
        <f>IF(C1572="","",COUNTIFS($C$2:$C$3001,C1572,$F$2:$F$3001,"&lt;"&amp;F1572)+1)</f>
        <v/>
      </c>
      <c r="I1572">
        <f>IF(C1572="","",C1572&amp;"|"&amp;H1572)</f>
        <v/>
      </c>
      <c r="J1572" s="6">
        <f>IF(C1572="","",IF(H1572=1,SUMIFS('Opening Balance'!$F$4:$F$303,'Opening Balance'!$G$4:$G$303,C1572),INDEX($L$2:$L$3001,MATCH(C1572&amp;"|"&amp;(H1572-1),$I$2:$I$3001,0))))</f>
        <v/>
      </c>
      <c r="K1572" s="6">
        <f>IF(C1572="","",IF(M1572&gt;0,M1572,IF(AND(E1572&gt;0,ROUND(J1572+D1572-E1572,2)&gt;0,ROUND(J1572+D1572-E1572,2)&lt;'Opening Balance'!$B$14),ROUND(J1572+D1572-E1572,2),0)))</f>
        <v/>
      </c>
      <c r="L1572" s="6">
        <f>IF(C1572="","",ROUND(J1572+D1572-E1572-K1572,2))</f>
        <v/>
      </c>
      <c r="M1572" s="6">
        <f>IF(C1572="","",0)</f>
        <v/>
      </c>
    </row>
    <row r="1573">
      <c r="A1573" t="inlineStr">
        <is>
          <t>Bank 银行</t>
        </is>
      </c>
      <c r="B1573" s="5">
        <f>IF(AND('Daily Sale entry '!Z73="Online collection 网上收款",'Daily Sale entry '!AA73&lt;&gt;""),'Daily Sale entry '!X73,"")</f>
        <v/>
      </c>
      <c r="C1573">
        <f>IF(B1573="","",'Daily Sale entry '!AA73)</f>
        <v/>
      </c>
      <c r="D1573">
        <f>IF(C1573="","",0)</f>
        <v/>
      </c>
      <c r="E1573">
        <f>IF(C1573="","",'Daily Sale entry '!AC73)</f>
        <v/>
      </c>
      <c r="F1573" s="37">
        <f>IF(C1573="","",B1573+IF(E1573&gt;0,0,0.5)+ROW()/10000000)</f>
        <v/>
      </c>
      <c r="G1573">
        <f>IF(C1573="","","Collection 收款 (Online 网上)"&amp;IF('Daily Sale entry '!Y73="",""," - "&amp;'Daily Sale entry '!Y73))</f>
        <v/>
      </c>
      <c r="H1573">
        <f>IF(C1573="","",COUNTIFS($C$2:$C$3001,C1573,$F$2:$F$3001,"&lt;"&amp;F1573)+1)</f>
        <v/>
      </c>
      <c r="I1573">
        <f>IF(C1573="","",C1573&amp;"|"&amp;H1573)</f>
        <v/>
      </c>
      <c r="J1573" s="6">
        <f>IF(C1573="","",IF(H1573=1,SUMIFS('Opening Balance'!$F$4:$F$303,'Opening Balance'!$G$4:$G$303,C1573),INDEX($L$2:$L$3001,MATCH(C1573&amp;"|"&amp;(H1573-1),$I$2:$I$3001,0))))</f>
        <v/>
      </c>
      <c r="K1573" s="6">
        <f>IF(C1573="","",IF(M1573&gt;0,M1573,IF(AND(E1573&gt;0,ROUND(J1573+D1573-E1573,2)&gt;0,ROUND(J1573+D1573-E1573,2)&lt;'Opening Balance'!$B$14),ROUND(J1573+D1573-E1573,2),0)))</f>
        <v/>
      </c>
      <c r="L1573" s="6">
        <f>IF(C1573="","",ROUND(J1573+D1573-E1573-K1573,2))</f>
        <v/>
      </c>
      <c r="M1573" s="6">
        <f>IF(C1573="","",0)</f>
        <v/>
      </c>
    </row>
    <row r="1574">
      <c r="A1574" t="inlineStr">
        <is>
          <t>Bank 银行</t>
        </is>
      </c>
      <c r="B1574" s="5">
        <f>IF(AND('Daily Sale entry '!Z74="Online collection 网上收款",'Daily Sale entry '!AA74&lt;&gt;""),'Daily Sale entry '!X74,"")</f>
        <v/>
      </c>
      <c r="C1574">
        <f>IF(B1574="","",'Daily Sale entry '!AA74)</f>
        <v/>
      </c>
      <c r="D1574">
        <f>IF(C1574="","",0)</f>
        <v/>
      </c>
      <c r="E1574">
        <f>IF(C1574="","",'Daily Sale entry '!AC74)</f>
        <v/>
      </c>
      <c r="F1574" s="37">
        <f>IF(C1574="","",B1574+IF(E1574&gt;0,0,0.5)+ROW()/10000000)</f>
        <v/>
      </c>
      <c r="G1574">
        <f>IF(C1574="","","Collection 收款 (Online 网上)"&amp;IF('Daily Sale entry '!Y74="",""," - "&amp;'Daily Sale entry '!Y74))</f>
        <v/>
      </c>
      <c r="H1574">
        <f>IF(C1574="","",COUNTIFS($C$2:$C$3001,C1574,$F$2:$F$3001,"&lt;"&amp;F1574)+1)</f>
        <v/>
      </c>
      <c r="I1574">
        <f>IF(C1574="","",C1574&amp;"|"&amp;H1574)</f>
        <v/>
      </c>
      <c r="J1574" s="6">
        <f>IF(C1574="","",IF(H1574=1,SUMIFS('Opening Balance'!$F$4:$F$303,'Opening Balance'!$G$4:$G$303,C1574),INDEX($L$2:$L$3001,MATCH(C1574&amp;"|"&amp;(H1574-1),$I$2:$I$3001,0))))</f>
        <v/>
      </c>
      <c r="K1574" s="6">
        <f>IF(C1574="","",IF(M1574&gt;0,M1574,IF(AND(E1574&gt;0,ROUND(J1574+D1574-E1574,2)&gt;0,ROUND(J1574+D1574-E1574,2)&lt;'Opening Balance'!$B$14),ROUND(J1574+D1574-E1574,2),0)))</f>
        <v/>
      </c>
      <c r="L1574" s="6">
        <f>IF(C1574="","",ROUND(J1574+D1574-E1574-K1574,2))</f>
        <v/>
      </c>
      <c r="M1574" s="6">
        <f>IF(C1574="","",0)</f>
        <v/>
      </c>
    </row>
    <row r="1575">
      <c r="A1575" t="inlineStr">
        <is>
          <t>Bank 银行</t>
        </is>
      </c>
      <c r="B1575" s="5">
        <f>IF(AND('Daily Sale entry '!Z75="Online collection 网上收款",'Daily Sale entry '!AA75&lt;&gt;""),'Daily Sale entry '!X75,"")</f>
        <v/>
      </c>
      <c r="C1575">
        <f>IF(B1575="","",'Daily Sale entry '!AA75)</f>
        <v/>
      </c>
      <c r="D1575">
        <f>IF(C1575="","",0)</f>
        <v/>
      </c>
      <c r="E1575">
        <f>IF(C1575="","",'Daily Sale entry '!AC75)</f>
        <v/>
      </c>
      <c r="F1575" s="37">
        <f>IF(C1575="","",B1575+IF(E1575&gt;0,0,0.5)+ROW()/10000000)</f>
        <v/>
      </c>
      <c r="G1575">
        <f>IF(C1575="","","Collection 收款 (Online 网上)"&amp;IF('Daily Sale entry '!Y75="",""," - "&amp;'Daily Sale entry '!Y75))</f>
        <v/>
      </c>
      <c r="H1575">
        <f>IF(C1575="","",COUNTIFS($C$2:$C$3001,C1575,$F$2:$F$3001,"&lt;"&amp;F1575)+1)</f>
        <v/>
      </c>
      <c r="I1575">
        <f>IF(C1575="","",C1575&amp;"|"&amp;H1575)</f>
        <v/>
      </c>
      <c r="J1575" s="6">
        <f>IF(C1575="","",IF(H1575=1,SUMIFS('Opening Balance'!$F$4:$F$303,'Opening Balance'!$G$4:$G$303,C1575),INDEX($L$2:$L$3001,MATCH(C1575&amp;"|"&amp;(H1575-1),$I$2:$I$3001,0))))</f>
        <v/>
      </c>
      <c r="K1575" s="6">
        <f>IF(C1575="","",IF(M1575&gt;0,M1575,IF(AND(E1575&gt;0,ROUND(J1575+D1575-E1575,2)&gt;0,ROUND(J1575+D1575-E1575,2)&lt;'Opening Balance'!$B$14),ROUND(J1575+D1575-E1575,2),0)))</f>
        <v/>
      </c>
      <c r="L1575" s="6">
        <f>IF(C1575="","",ROUND(J1575+D1575-E1575-K1575,2))</f>
        <v/>
      </c>
      <c r="M1575" s="6">
        <f>IF(C1575="","",0)</f>
        <v/>
      </c>
    </row>
    <row r="1576">
      <c r="A1576" t="inlineStr">
        <is>
          <t>Bank 银行</t>
        </is>
      </c>
      <c r="B1576" s="5">
        <f>IF(AND('Daily Sale entry '!Z76="Online collection 网上收款",'Daily Sale entry '!AA76&lt;&gt;""),'Daily Sale entry '!X76,"")</f>
        <v/>
      </c>
      <c r="C1576">
        <f>IF(B1576="","",'Daily Sale entry '!AA76)</f>
        <v/>
      </c>
      <c r="D1576">
        <f>IF(C1576="","",0)</f>
        <v/>
      </c>
      <c r="E1576">
        <f>IF(C1576="","",'Daily Sale entry '!AC76)</f>
        <v/>
      </c>
      <c r="F1576" s="37">
        <f>IF(C1576="","",B1576+IF(E1576&gt;0,0,0.5)+ROW()/10000000)</f>
        <v/>
      </c>
      <c r="G1576">
        <f>IF(C1576="","","Collection 收款 (Online 网上)"&amp;IF('Daily Sale entry '!Y76="",""," - "&amp;'Daily Sale entry '!Y76))</f>
        <v/>
      </c>
      <c r="H1576">
        <f>IF(C1576="","",COUNTIFS($C$2:$C$3001,C1576,$F$2:$F$3001,"&lt;"&amp;F1576)+1)</f>
        <v/>
      </c>
      <c r="I1576">
        <f>IF(C1576="","",C1576&amp;"|"&amp;H1576)</f>
        <v/>
      </c>
      <c r="J1576" s="6">
        <f>IF(C1576="","",IF(H1576=1,SUMIFS('Opening Balance'!$F$4:$F$303,'Opening Balance'!$G$4:$G$303,C1576),INDEX($L$2:$L$3001,MATCH(C1576&amp;"|"&amp;(H1576-1),$I$2:$I$3001,0))))</f>
        <v/>
      </c>
      <c r="K1576" s="6">
        <f>IF(C1576="","",IF(M1576&gt;0,M1576,IF(AND(E1576&gt;0,ROUND(J1576+D1576-E1576,2)&gt;0,ROUND(J1576+D1576-E1576,2)&lt;'Opening Balance'!$B$14),ROUND(J1576+D1576-E1576,2),0)))</f>
        <v/>
      </c>
      <c r="L1576" s="6">
        <f>IF(C1576="","",ROUND(J1576+D1576-E1576-K1576,2))</f>
        <v/>
      </c>
      <c r="M1576" s="6">
        <f>IF(C1576="","",0)</f>
        <v/>
      </c>
    </row>
    <row r="1577">
      <c r="A1577" t="inlineStr">
        <is>
          <t>Bank 银行</t>
        </is>
      </c>
      <c r="B1577" s="5">
        <f>IF(AND('Daily Sale entry '!Z77="Online collection 网上收款",'Daily Sale entry '!AA77&lt;&gt;""),'Daily Sale entry '!X77,"")</f>
        <v/>
      </c>
      <c r="C1577">
        <f>IF(B1577="","",'Daily Sale entry '!AA77)</f>
        <v/>
      </c>
      <c r="D1577">
        <f>IF(C1577="","",0)</f>
        <v/>
      </c>
      <c r="E1577">
        <f>IF(C1577="","",'Daily Sale entry '!AC77)</f>
        <v/>
      </c>
      <c r="F1577" s="37">
        <f>IF(C1577="","",B1577+IF(E1577&gt;0,0,0.5)+ROW()/10000000)</f>
        <v/>
      </c>
      <c r="G1577">
        <f>IF(C1577="","","Collection 收款 (Online 网上)"&amp;IF('Daily Sale entry '!Y77="",""," - "&amp;'Daily Sale entry '!Y77))</f>
        <v/>
      </c>
      <c r="H1577">
        <f>IF(C1577="","",COUNTIFS($C$2:$C$3001,C1577,$F$2:$F$3001,"&lt;"&amp;F1577)+1)</f>
        <v/>
      </c>
      <c r="I1577">
        <f>IF(C1577="","",C1577&amp;"|"&amp;H1577)</f>
        <v/>
      </c>
      <c r="J1577" s="6">
        <f>IF(C1577="","",IF(H1577=1,SUMIFS('Opening Balance'!$F$4:$F$303,'Opening Balance'!$G$4:$G$303,C1577),INDEX($L$2:$L$3001,MATCH(C1577&amp;"|"&amp;(H1577-1),$I$2:$I$3001,0))))</f>
        <v/>
      </c>
      <c r="K1577" s="6">
        <f>IF(C1577="","",IF(M1577&gt;0,M1577,IF(AND(E1577&gt;0,ROUND(J1577+D1577-E1577,2)&gt;0,ROUND(J1577+D1577-E1577,2)&lt;'Opening Balance'!$B$14),ROUND(J1577+D1577-E1577,2),0)))</f>
        <v/>
      </c>
      <c r="L1577" s="6">
        <f>IF(C1577="","",ROUND(J1577+D1577-E1577-K1577,2))</f>
        <v/>
      </c>
      <c r="M1577" s="6">
        <f>IF(C1577="","",0)</f>
        <v/>
      </c>
    </row>
    <row r="1578">
      <c r="A1578" t="inlineStr">
        <is>
          <t>Bank 银行</t>
        </is>
      </c>
      <c r="B1578" s="5">
        <f>IF(AND('Daily Sale entry '!Z78="Online collection 网上收款",'Daily Sale entry '!AA78&lt;&gt;""),'Daily Sale entry '!X78,"")</f>
        <v/>
      </c>
      <c r="C1578">
        <f>IF(B1578="","",'Daily Sale entry '!AA78)</f>
        <v/>
      </c>
      <c r="D1578">
        <f>IF(C1578="","",0)</f>
        <v/>
      </c>
      <c r="E1578">
        <f>IF(C1578="","",'Daily Sale entry '!AC78)</f>
        <v/>
      </c>
      <c r="F1578" s="37">
        <f>IF(C1578="","",B1578+IF(E1578&gt;0,0,0.5)+ROW()/10000000)</f>
        <v/>
      </c>
      <c r="G1578">
        <f>IF(C1578="","","Collection 收款 (Online 网上)"&amp;IF('Daily Sale entry '!Y78="",""," - "&amp;'Daily Sale entry '!Y78))</f>
        <v/>
      </c>
      <c r="H1578">
        <f>IF(C1578="","",COUNTIFS($C$2:$C$3001,C1578,$F$2:$F$3001,"&lt;"&amp;F1578)+1)</f>
        <v/>
      </c>
      <c r="I1578">
        <f>IF(C1578="","",C1578&amp;"|"&amp;H1578)</f>
        <v/>
      </c>
      <c r="J1578" s="6">
        <f>IF(C1578="","",IF(H1578=1,SUMIFS('Opening Balance'!$F$4:$F$303,'Opening Balance'!$G$4:$G$303,C1578),INDEX($L$2:$L$3001,MATCH(C1578&amp;"|"&amp;(H1578-1),$I$2:$I$3001,0))))</f>
        <v/>
      </c>
      <c r="K1578" s="6">
        <f>IF(C1578="","",IF(M1578&gt;0,M1578,IF(AND(E1578&gt;0,ROUND(J1578+D1578-E1578,2)&gt;0,ROUND(J1578+D1578-E1578,2)&lt;'Opening Balance'!$B$14),ROUND(J1578+D1578-E1578,2),0)))</f>
        <v/>
      </c>
      <c r="L1578" s="6">
        <f>IF(C1578="","",ROUND(J1578+D1578-E1578-K1578,2))</f>
        <v/>
      </c>
      <c r="M1578" s="6">
        <f>IF(C1578="","",0)</f>
        <v/>
      </c>
    </row>
    <row r="1579">
      <c r="A1579" t="inlineStr">
        <is>
          <t>Bank 银行</t>
        </is>
      </c>
      <c r="B1579" s="5">
        <f>IF(AND('Daily Sale entry '!Z79="Online collection 网上收款",'Daily Sale entry '!AA79&lt;&gt;""),'Daily Sale entry '!X79,"")</f>
        <v/>
      </c>
      <c r="C1579">
        <f>IF(B1579="","",'Daily Sale entry '!AA79)</f>
        <v/>
      </c>
      <c r="D1579">
        <f>IF(C1579="","",0)</f>
        <v/>
      </c>
      <c r="E1579">
        <f>IF(C1579="","",'Daily Sale entry '!AC79)</f>
        <v/>
      </c>
      <c r="F1579" s="37">
        <f>IF(C1579="","",B1579+IF(E1579&gt;0,0,0.5)+ROW()/10000000)</f>
        <v/>
      </c>
      <c r="G1579">
        <f>IF(C1579="","","Collection 收款 (Online 网上)"&amp;IF('Daily Sale entry '!Y79="",""," - "&amp;'Daily Sale entry '!Y79))</f>
        <v/>
      </c>
      <c r="H1579">
        <f>IF(C1579="","",COUNTIFS($C$2:$C$3001,C1579,$F$2:$F$3001,"&lt;"&amp;F1579)+1)</f>
        <v/>
      </c>
      <c r="I1579">
        <f>IF(C1579="","",C1579&amp;"|"&amp;H1579)</f>
        <v/>
      </c>
      <c r="J1579" s="6">
        <f>IF(C1579="","",IF(H1579=1,SUMIFS('Opening Balance'!$F$4:$F$303,'Opening Balance'!$G$4:$G$303,C1579),INDEX($L$2:$L$3001,MATCH(C1579&amp;"|"&amp;(H1579-1),$I$2:$I$3001,0))))</f>
        <v/>
      </c>
      <c r="K1579" s="6">
        <f>IF(C1579="","",IF(M1579&gt;0,M1579,IF(AND(E1579&gt;0,ROUND(J1579+D1579-E1579,2)&gt;0,ROUND(J1579+D1579-E1579,2)&lt;'Opening Balance'!$B$14),ROUND(J1579+D1579-E1579,2),0)))</f>
        <v/>
      </c>
      <c r="L1579" s="6">
        <f>IF(C1579="","",ROUND(J1579+D1579-E1579-K1579,2))</f>
        <v/>
      </c>
      <c r="M1579" s="6">
        <f>IF(C1579="","",0)</f>
        <v/>
      </c>
    </row>
    <row r="1580">
      <c r="A1580" t="inlineStr">
        <is>
          <t>Bank 银行</t>
        </is>
      </c>
      <c r="B1580" s="5">
        <f>IF(AND('Daily Sale entry '!Z80="Online collection 网上收款",'Daily Sale entry '!AA80&lt;&gt;""),'Daily Sale entry '!X80,"")</f>
        <v/>
      </c>
      <c r="C1580">
        <f>IF(B1580="","",'Daily Sale entry '!AA80)</f>
        <v/>
      </c>
      <c r="D1580">
        <f>IF(C1580="","",0)</f>
        <v/>
      </c>
      <c r="E1580">
        <f>IF(C1580="","",'Daily Sale entry '!AC80)</f>
        <v/>
      </c>
      <c r="F1580" s="37">
        <f>IF(C1580="","",B1580+IF(E1580&gt;0,0,0.5)+ROW()/10000000)</f>
        <v/>
      </c>
      <c r="G1580">
        <f>IF(C1580="","","Collection 收款 (Online 网上)"&amp;IF('Daily Sale entry '!Y80="",""," - "&amp;'Daily Sale entry '!Y80))</f>
        <v/>
      </c>
      <c r="H1580">
        <f>IF(C1580="","",COUNTIFS($C$2:$C$3001,C1580,$F$2:$F$3001,"&lt;"&amp;F1580)+1)</f>
        <v/>
      </c>
      <c r="I1580">
        <f>IF(C1580="","",C1580&amp;"|"&amp;H1580)</f>
        <v/>
      </c>
      <c r="J1580" s="6">
        <f>IF(C1580="","",IF(H1580=1,SUMIFS('Opening Balance'!$F$4:$F$303,'Opening Balance'!$G$4:$G$303,C1580),INDEX($L$2:$L$3001,MATCH(C1580&amp;"|"&amp;(H1580-1),$I$2:$I$3001,0))))</f>
        <v/>
      </c>
      <c r="K1580" s="6">
        <f>IF(C1580="","",IF(M1580&gt;0,M1580,IF(AND(E1580&gt;0,ROUND(J1580+D1580-E1580,2)&gt;0,ROUND(J1580+D1580-E1580,2)&lt;'Opening Balance'!$B$14),ROUND(J1580+D1580-E1580,2),0)))</f>
        <v/>
      </c>
      <c r="L1580" s="6">
        <f>IF(C1580="","",ROUND(J1580+D1580-E1580-K1580,2))</f>
        <v/>
      </c>
      <c r="M1580" s="6">
        <f>IF(C1580="","",0)</f>
        <v/>
      </c>
    </row>
    <row r="1581">
      <c r="A1581" t="inlineStr">
        <is>
          <t>Bank 银行</t>
        </is>
      </c>
      <c r="B1581" s="5">
        <f>IF(AND('Daily Sale entry '!Z81="Online collection 网上收款",'Daily Sale entry '!AA81&lt;&gt;""),'Daily Sale entry '!X81,"")</f>
        <v/>
      </c>
      <c r="C1581">
        <f>IF(B1581="","",'Daily Sale entry '!AA81)</f>
        <v/>
      </c>
      <c r="D1581">
        <f>IF(C1581="","",0)</f>
        <v/>
      </c>
      <c r="E1581">
        <f>IF(C1581="","",'Daily Sale entry '!AC81)</f>
        <v/>
      </c>
      <c r="F1581" s="37">
        <f>IF(C1581="","",B1581+IF(E1581&gt;0,0,0.5)+ROW()/10000000)</f>
        <v/>
      </c>
      <c r="G1581">
        <f>IF(C1581="","","Collection 收款 (Online 网上)"&amp;IF('Daily Sale entry '!Y81="",""," - "&amp;'Daily Sale entry '!Y81))</f>
        <v/>
      </c>
      <c r="H1581">
        <f>IF(C1581="","",COUNTIFS($C$2:$C$3001,C1581,$F$2:$F$3001,"&lt;"&amp;F1581)+1)</f>
        <v/>
      </c>
      <c r="I1581">
        <f>IF(C1581="","",C1581&amp;"|"&amp;H1581)</f>
        <v/>
      </c>
      <c r="J1581" s="6">
        <f>IF(C1581="","",IF(H1581=1,SUMIFS('Opening Balance'!$F$4:$F$303,'Opening Balance'!$G$4:$G$303,C1581),INDEX($L$2:$L$3001,MATCH(C1581&amp;"|"&amp;(H1581-1),$I$2:$I$3001,0))))</f>
        <v/>
      </c>
      <c r="K1581" s="6">
        <f>IF(C1581="","",IF(M1581&gt;0,M1581,IF(AND(E1581&gt;0,ROUND(J1581+D1581-E1581,2)&gt;0,ROUND(J1581+D1581-E1581,2)&lt;'Opening Balance'!$B$14),ROUND(J1581+D1581-E1581,2),0)))</f>
        <v/>
      </c>
      <c r="L1581" s="6">
        <f>IF(C1581="","",ROUND(J1581+D1581-E1581-K1581,2))</f>
        <v/>
      </c>
      <c r="M1581" s="6">
        <f>IF(C1581="","",0)</f>
        <v/>
      </c>
    </row>
    <row r="1582">
      <c r="A1582" t="inlineStr">
        <is>
          <t>Bank 银行</t>
        </is>
      </c>
      <c r="B1582" s="5">
        <f>IF(AND('Daily Sale entry '!Z82="Online collection 网上收款",'Daily Sale entry '!AA82&lt;&gt;""),'Daily Sale entry '!X82,"")</f>
        <v/>
      </c>
      <c r="C1582">
        <f>IF(B1582="","",'Daily Sale entry '!AA82)</f>
        <v/>
      </c>
      <c r="D1582">
        <f>IF(C1582="","",0)</f>
        <v/>
      </c>
      <c r="E1582">
        <f>IF(C1582="","",'Daily Sale entry '!AC82)</f>
        <v/>
      </c>
      <c r="F1582" s="37">
        <f>IF(C1582="","",B1582+IF(E1582&gt;0,0,0.5)+ROW()/10000000)</f>
        <v/>
      </c>
      <c r="G1582">
        <f>IF(C1582="","","Collection 收款 (Online 网上)"&amp;IF('Daily Sale entry '!Y82="",""," - "&amp;'Daily Sale entry '!Y82))</f>
        <v/>
      </c>
      <c r="H1582">
        <f>IF(C1582="","",COUNTIFS($C$2:$C$3001,C1582,$F$2:$F$3001,"&lt;"&amp;F1582)+1)</f>
        <v/>
      </c>
      <c r="I1582">
        <f>IF(C1582="","",C1582&amp;"|"&amp;H1582)</f>
        <v/>
      </c>
      <c r="J1582" s="6">
        <f>IF(C1582="","",IF(H1582=1,SUMIFS('Opening Balance'!$F$4:$F$303,'Opening Balance'!$G$4:$G$303,C1582),INDEX($L$2:$L$3001,MATCH(C1582&amp;"|"&amp;(H1582-1),$I$2:$I$3001,0))))</f>
        <v/>
      </c>
      <c r="K1582" s="6">
        <f>IF(C1582="","",IF(M1582&gt;0,M1582,IF(AND(E1582&gt;0,ROUND(J1582+D1582-E1582,2)&gt;0,ROUND(J1582+D1582-E1582,2)&lt;'Opening Balance'!$B$14),ROUND(J1582+D1582-E1582,2),0)))</f>
        <v/>
      </c>
      <c r="L1582" s="6">
        <f>IF(C1582="","",ROUND(J1582+D1582-E1582-K1582,2))</f>
        <v/>
      </c>
      <c r="M1582" s="6">
        <f>IF(C1582="","",0)</f>
        <v/>
      </c>
    </row>
    <row r="1583">
      <c r="A1583" t="inlineStr">
        <is>
          <t>Bank 银行</t>
        </is>
      </c>
      <c r="B1583" s="5">
        <f>IF(AND('Daily Sale entry '!Z83="Online collection 网上收款",'Daily Sale entry '!AA83&lt;&gt;""),'Daily Sale entry '!X83,"")</f>
        <v/>
      </c>
      <c r="C1583">
        <f>IF(B1583="","",'Daily Sale entry '!AA83)</f>
        <v/>
      </c>
      <c r="D1583">
        <f>IF(C1583="","",0)</f>
        <v/>
      </c>
      <c r="E1583">
        <f>IF(C1583="","",'Daily Sale entry '!AC83)</f>
        <v/>
      </c>
      <c r="F1583" s="37">
        <f>IF(C1583="","",B1583+IF(E1583&gt;0,0,0.5)+ROW()/10000000)</f>
        <v/>
      </c>
      <c r="G1583">
        <f>IF(C1583="","","Collection 收款 (Online 网上)"&amp;IF('Daily Sale entry '!Y83="",""," - "&amp;'Daily Sale entry '!Y83))</f>
        <v/>
      </c>
      <c r="H1583">
        <f>IF(C1583="","",COUNTIFS($C$2:$C$3001,C1583,$F$2:$F$3001,"&lt;"&amp;F1583)+1)</f>
        <v/>
      </c>
      <c r="I1583">
        <f>IF(C1583="","",C1583&amp;"|"&amp;H1583)</f>
        <v/>
      </c>
      <c r="J1583" s="6">
        <f>IF(C1583="","",IF(H1583=1,SUMIFS('Opening Balance'!$F$4:$F$303,'Opening Balance'!$G$4:$G$303,C1583),INDEX($L$2:$L$3001,MATCH(C1583&amp;"|"&amp;(H1583-1),$I$2:$I$3001,0))))</f>
        <v/>
      </c>
      <c r="K1583" s="6">
        <f>IF(C1583="","",IF(M1583&gt;0,M1583,IF(AND(E1583&gt;0,ROUND(J1583+D1583-E1583,2)&gt;0,ROUND(J1583+D1583-E1583,2)&lt;'Opening Balance'!$B$14),ROUND(J1583+D1583-E1583,2),0)))</f>
        <v/>
      </c>
      <c r="L1583" s="6">
        <f>IF(C1583="","",ROUND(J1583+D1583-E1583-K1583,2))</f>
        <v/>
      </c>
      <c r="M1583" s="6">
        <f>IF(C1583="","",0)</f>
        <v/>
      </c>
    </row>
    <row r="1584">
      <c r="A1584" t="inlineStr">
        <is>
          <t>Bank 银行</t>
        </is>
      </c>
      <c r="B1584" s="5">
        <f>IF(AND('Daily Sale entry '!Z84="Online collection 网上收款",'Daily Sale entry '!AA84&lt;&gt;""),'Daily Sale entry '!X84,"")</f>
        <v/>
      </c>
      <c r="C1584">
        <f>IF(B1584="","",'Daily Sale entry '!AA84)</f>
        <v/>
      </c>
      <c r="D1584">
        <f>IF(C1584="","",0)</f>
        <v/>
      </c>
      <c r="E1584">
        <f>IF(C1584="","",'Daily Sale entry '!AC84)</f>
        <v/>
      </c>
      <c r="F1584" s="37">
        <f>IF(C1584="","",B1584+IF(E1584&gt;0,0,0.5)+ROW()/10000000)</f>
        <v/>
      </c>
      <c r="G1584">
        <f>IF(C1584="","","Collection 收款 (Online 网上)"&amp;IF('Daily Sale entry '!Y84="",""," - "&amp;'Daily Sale entry '!Y84))</f>
        <v/>
      </c>
      <c r="H1584">
        <f>IF(C1584="","",COUNTIFS($C$2:$C$3001,C1584,$F$2:$F$3001,"&lt;"&amp;F1584)+1)</f>
        <v/>
      </c>
      <c r="I1584">
        <f>IF(C1584="","",C1584&amp;"|"&amp;H1584)</f>
        <v/>
      </c>
      <c r="J1584" s="6">
        <f>IF(C1584="","",IF(H1584=1,SUMIFS('Opening Balance'!$F$4:$F$303,'Opening Balance'!$G$4:$G$303,C1584),INDEX($L$2:$L$3001,MATCH(C1584&amp;"|"&amp;(H1584-1),$I$2:$I$3001,0))))</f>
        <v/>
      </c>
      <c r="K1584" s="6">
        <f>IF(C1584="","",IF(M1584&gt;0,M1584,IF(AND(E1584&gt;0,ROUND(J1584+D1584-E1584,2)&gt;0,ROUND(J1584+D1584-E1584,2)&lt;'Opening Balance'!$B$14),ROUND(J1584+D1584-E1584,2),0)))</f>
        <v/>
      </c>
      <c r="L1584" s="6">
        <f>IF(C1584="","",ROUND(J1584+D1584-E1584-K1584,2))</f>
        <v/>
      </c>
      <c r="M1584" s="6">
        <f>IF(C1584="","",0)</f>
        <v/>
      </c>
    </row>
    <row r="1585">
      <c r="A1585" t="inlineStr">
        <is>
          <t>Bank 银行</t>
        </is>
      </c>
      <c r="B1585" s="5">
        <f>IF(AND('Daily Sale entry '!Z85="Online collection 网上收款",'Daily Sale entry '!AA85&lt;&gt;""),'Daily Sale entry '!X85,"")</f>
        <v/>
      </c>
      <c r="C1585">
        <f>IF(B1585="","",'Daily Sale entry '!AA85)</f>
        <v/>
      </c>
      <c r="D1585">
        <f>IF(C1585="","",0)</f>
        <v/>
      </c>
      <c r="E1585">
        <f>IF(C1585="","",'Daily Sale entry '!AC85)</f>
        <v/>
      </c>
      <c r="F1585" s="37">
        <f>IF(C1585="","",B1585+IF(E1585&gt;0,0,0.5)+ROW()/10000000)</f>
        <v/>
      </c>
      <c r="G1585">
        <f>IF(C1585="","","Collection 收款 (Online 网上)"&amp;IF('Daily Sale entry '!Y85="",""," - "&amp;'Daily Sale entry '!Y85))</f>
        <v/>
      </c>
      <c r="H1585">
        <f>IF(C1585="","",COUNTIFS($C$2:$C$3001,C1585,$F$2:$F$3001,"&lt;"&amp;F1585)+1)</f>
        <v/>
      </c>
      <c r="I1585">
        <f>IF(C1585="","",C1585&amp;"|"&amp;H1585)</f>
        <v/>
      </c>
      <c r="J1585" s="6">
        <f>IF(C1585="","",IF(H1585=1,SUMIFS('Opening Balance'!$F$4:$F$303,'Opening Balance'!$G$4:$G$303,C1585),INDEX($L$2:$L$3001,MATCH(C1585&amp;"|"&amp;(H1585-1),$I$2:$I$3001,0))))</f>
        <v/>
      </c>
      <c r="K1585" s="6">
        <f>IF(C1585="","",IF(M1585&gt;0,M1585,IF(AND(E1585&gt;0,ROUND(J1585+D1585-E1585,2)&gt;0,ROUND(J1585+D1585-E1585,2)&lt;'Opening Balance'!$B$14),ROUND(J1585+D1585-E1585,2),0)))</f>
        <v/>
      </c>
      <c r="L1585" s="6">
        <f>IF(C1585="","",ROUND(J1585+D1585-E1585-K1585,2))</f>
        <v/>
      </c>
      <c r="M1585" s="6">
        <f>IF(C1585="","",0)</f>
        <v/>
      </c>
    </row>
    <row r="1586">
      <c r="A1586" t="inlineStr">
        <is>
          <t>Bank 银行</t>
        </is>
      </c>
      <c r="B1586" s="5">
        <f>IF(AND('Daily Sale entry '!Z86="Online collection 网上收款",'Daily Sale entry '!AA86&lt;&gt;""),'Daily Sale entry '!X86,"")</f>
        <v/>
      </c>
      <c r="C1586">
        <f>IF(B1586="","",'Daily Sale entry '!AA86)</f>
        <v/>
      </c>
      <c r="D1586">
        <f>IF(C1586="","",0)</f>
        <v/>
      </c>
      <c r="E1586">
        <f>IF(C1586="","",'Daily Sale entry '!AC86)</f>
        <v/>
      </c>
      <c r="F1586" s="37">
        <f>IF(C1586="","",B1586+IF(E1586&gt;0,0,0.5)+ROW()/10000000)</f>
        <v/>
      </c>
      <c r="G1586">
        <f>IF(C1586="","","Collection 收款 (Online 网上)"&amp;IF('Daily Sale entry '!Y86="",""," - "&amp;'Daily Sale entry '!Y86))</f>
        <v/>
      </c>
      <c r="H1586">
        <f>IF(C1586="","",COUNTIFS($C$2:$C$3001,C1586,$F$2:$F$3001,"&lt;"&amp;F1586)+1)</f>
        <v/>
      </c>
      <c r="I1586">
        <f>IF(C1586="","",C1586&amp;"|"&amp;H1586)</f>
        <v/>
      </c>
      <c r="J1586" s="6">
        <f>IF(C1586="","",IF(H1586=1,SUMIFS('Opening Balance'!$F$4:$F$303,'Opening Balance'!$G$4:$G$303,C1586),INDEX($L$2:$L$3001,MATCH(C1586&amp;"|"&amp;(H1586-1),$I$2:$I$3001,0))))</f>
        <v/>
      </c>
      <c r="K1586" s="6">
        <f>IF(C1586="","",IF(M1586&gt;0,M1586,IF(AND(E1586&gt;0,ROUND(J1586+D1586-E1586,2)&gt;0,ROUND(J1586+D1586-E1586,2)&lt;'Opening Balance'!$B$14),ROUND(J1586+D1586-E1586,2),0)))</f>
        <v/>
      </c>
      <c r="L1586" s="6">
        <f>IF(C1586="","",ROUND(J1586+D1586-E1586-K1586,2))</f>
        <v/>
      </c>
      <c r="M1586" s="6">
        <f>IF(C1586="","",0)</f>
        <v/>
      </c>
    </row>
    <row r="1587">
      <c r="A1587" t="inlineStr">
        <is>
          <t>Bank 银行</t>
        </is>
      </c>
      <c r="B1587" s="5">
        <f>IF(AND('Daily Sale entry '!Z87="Online collection 网上收款",'Daily Sale entry '!AA87&lt;&gt;""),'Daily Sale entry '!X87,"")</f>
        <v/>
      </c>
      <c r="C1587">
        <f>IF(B1587="","",'Daily Sale entry '!AA87)</f>
        <v/>
      </c>
      <c r="D1587">
        <f>IF(C1587="","",0)</f>
        <v/>
      </c>
      <c r="E1587">
        <f>IF(C1587="","",'Daily Sale entry '!AC87)</f>
        <v/>
      </c>
      <c r="F1587" s="37">
        <f>IF(C1587="","",B1587+IF(E1587&gt;0,0,0.5)+ROW()/10000000)</f>
        <v/>
      </c>
      <c r="G1587">
        <f>IF(C1587="","","Collection 收款 (Online 网上)"&amp;IF('Daily Sale entry '!Y87="",""," - "&amp;'Daily Sale entry '!Y87))</f>
        <v/>
      </c>
      <c r="H1587">
        <f>IF(C1587="","",COUNTIFS($C$2:$C$3001,C1587,$F$2:$F$3001,"&lt;"&amp;F1587)+1)</f>
        <v/>
      </c>
      <c r="I1587">
        <f>IF(C1587="","",C1587&amp;"|"&amp;H1587)</f>
        <v/>
      </c>
      <c r="J1587" s="6">
        <f>IF(C1587="","",IF(H1587=1,SUMIFS('Opening Balance'!$F$4:$F$303,'Opening Balance'!$G$4:$G$303,C1587),INDEX($L$2:$L$3001,MATCH(C1587&amp;"|"&amp;(H1587-1),$I$2:$I$3001,0))))</f>
        <v/>
      </c>
      <c r="K1587" s="6">
        <f>IF(C1587="","",IF(M1587&gt;0,M1587,IF(AND(E1587&gt;0,ROUND(J1587+D1587-E1587,2)&gt;0,ROUND(J1587+D1587-E1587,2)&lt;'Opening Balance'!$B$14),ROUND(J1587+D1587-E1587,2),0)))</f>
        <v/>
      </c>
      <c r="L1587" s="6">
        <f>IF(C1587="","",ROUND(J1587+D1587-E1587-K1587,2))</f>
        <v/>
      </c>
      <c r="M1587" s="6">
        <f>IF(C1587="","",0)</f>
        <v/>
      </c>
    </row>
    <row r="1588">
      <c r="A1588" t="inlineStr">
        <is>
          <t>Bank 银行</t>
        </is>
      </c>
      <c r="B1588" s="5">
        <f>IF(AND('Daily Sale entry '!Z88="Online collection 网上收款",'Daily Sale entry '!AA88&lt;&gt;""),'Daily Sale entry '!X88,"")</f>
        <v/>
      </c>
      <c r="C1588">
        <f>IF(B1588="","",'Daily Sale entry '!AA88)</f>
        <v/>
      </c>
      <c r="D1588">
        <f>IF(C1588="","",0)</f>
        <v/>
      </c>
      <c r="E1588">
        <f>IF(C1588="","",'Daily Sale entry '!AC88)</f>
        <v/>
      </c>
      <c r="F1588" s="37">
        <f>IF(C1588="","",B1588+IF(E1588&gt;0,0,0.5)+ROW()/10000000)</f>
        <v/>
      </c>
      <c r="G1588">
        <f>IF(C1588="","","Collection 收款 (Online 网上)"&amp;IF('Daily Sale entry '!Y88="",""," - "&amp;'Daily Sale entry '!Y88))</f>
        <v/>
      </c>
      <c r="H1588">
        <f>IF(C1588="","",COUNTIFS($C$2:$C$3001,C1588,$F$2:$F$3001,"&lt;"&amp;F1588)+1)</f>
        <v/>
      </c>
      <c r="I1588">
        <f>IF(C1588="","",C1588&amp;"|"&amp;H1588)</f>
        <v/>
      </c>
      <c r="J1588" s="6">
        <f>IF(C1588="","",IF(H1588=1,SUMIFS('Opening Balance'!$F$4:$F$303,'Opening Balance'!$G$4:$G$303,C1588),INDEX($L$2:$L$3001,MATCH(C1588&amp;"|"&amp;(H1588-1),$I$2:$I$3001,0))))</f>
        <v/>
      </c>
      <c r="K1588" s="6">
        <f>IF(C1588="","",IF(M1588&gt;0,M1588,IF(AND(E1588&gt;0,ROUND(J1588+D1588-E1588,2)&gt;0,ROUND(J1588+D1588-E1588,2)&lt;'Opening Balance'!$B$14),ROUND(J1588+D1588-E1588,2),0)))</f>
        <v/>
      </c>
      <c r="L1588" s="6">
        <f>IF(C1588="","",ROUND(J1588+D1588-E1588-K1588,2))</f>
        <v/>
      </c>
      <c r="M1588" s="6">
        <f>IF(C1588="","",0)</f>
        <v/>
      </c>
    </row>
    <row r="1589">
      <c r="A1589" t="inlineStr">
        <is>
          <t>Bank 银行</t>
        </is>
      </c>
      <c r="B1589" s="5">
        <f>IF(AND('Daily Sale entry '!Z89="Online collection 网上收款",'Daily Sale entry '!AA89&lt;&gt;""),'Daily Sale entry '!X89,"")</f>
        <v/>
      </c>
      <c r="C1589">
        <f>IF(B1589="","",'Daily Sale entry '!AA89)</f>
        <v/>
      </c>
      <c r="D1589">
        <f>IF(C1589="","",0)</f>
        <v/>
      </c>
      <c r="E1589">
        <f>IF(C1589="","",'Daily Sale entry '!AC89)</f>
        <v/>
      </c>
      <c r="F1589" s="37">
        <f>IF(C1589="","",B1589+IF(E1589&gt;0,0,0.5)+ROW()/10000000)</f>
        <v/>
      </c>
      <c r="G1589">
        <f>IF(C1589="","","Collection 收款 (Online 网上)"&amp;IF('Daily Sale entry '!Y89="",""," - "&amp;'Daily Sale entry '!Y89))</f>
        <v/>
      </c>
      <c r="H1589">
        <f>IF(C1589="","",COUNTIFS($C$2:$C$3001,C1589,$F$2:$F$3001,"&lt;"&amp;F1589)+1)</f>
        <v/>
      </c>
      <c r="I1589">
        <f>IF(C1589="","",C1589&amp;"|"&amp;H1589)</f>
        <v/>
      </c>
      <c r="J1589" s="6">
        <f>IF(C1589="","",IF(H1589=1,SUMIFS('Opening Balance'!$F$4:$F$303,'Opening Balance'!$G$4:$G$303,C1589),INDEX($L$2:$L$3001,MATCH(C1589&amp;"|"&amp;(H1589-1),$I$2:$I$3001,0))))</f>
        <v/>
      </c>
      <c r="K1589" s="6">
        <f>IF(C1589="","",IF(M1589&gt;0,M1589,IF(AND(E1589&gt;0,ROUND(J1589+D1589-E1589,2)&gt;0,ROUND(J1589+D1589-E1589,2)&lt;'Opening Balance'!$B$14),ROUND(J1589+D1589-E1589,2),0)))</f>
        <v/>
      </c>
      <c r="L1589" s="6">
        <f>IF(C1589="","",ROUND(J1589+D1589-E1589-K1589,2))</f>
        <v/>
      </c>
      <c r="M1589" s="6">
        <f>IF(C1589="","",0)</f>
        <v/>
      </c>
    </row>
    <row r="1590">
      <c r="A1590" t="inlineStr">
        <is>
          <t>Bank 银行</t>
        </is>
      </c>
      <c r="B1590" s="5">
        <f>IF(AND('Daily Sale entry '!Z90="Online collection 网上收款",'Daily Sale entry '!AA90&lt;&gt;""),'Daily Sale entry '!X90,"")</f>
        <v/>
      </c>
      <c r="C1590">
        <f>IF(B1590="","",'Daily Sale entry '!AA90)</f>
        <v/>
      </c>
      <c r="D1590">
        <f>IF(C1590="","",0)</f>
        <v/>
      </c>
      <c r="E1590">
        <f>IF(C1590="","",'Daily Sale entry '!AC90)</f>
        <v/>
      </c>
      <c r="F1590" s="37">
        <f>IF(C1590="","",B1590+IF(E1590&gt;0,0,0.5)+ROW()/10000000)</f>
        <v/>
      </c>
      <c r="G1590">
        <f>IF(C1590="","","Collection 收款 (Online 网上)"&amp;IF('Daily Sale entry '!Y90="",""," - "&amp;'Daily Sale entry '!Y90))</f>
        <v/>
      </c>
      <c r="H1590">
        <f>IF(C1590="","",COUNTIFS($C$2:$C$3001,C1590,$F$2:$F$3001,"&lt;"&amp;F1590)+1)</f>
        <v/>
      </c>
      <c r="I1590">
        <f>IF(C1590="","",C1590&amp;"|"&amp;H1590)</f>
        <v/>
      </c>
      <c r="J1590" s="6">
        <f>IF(C1590="","",IF(H1590=1,SUMIFS('Opening Balance'!$F$4:$F$303,'Opening Balance'!$G$4:$G$303,C1590),INDEX($L$2:$L$3001,MATCH(C1590&amp;"|"&amp;(H1590-1),$I$2:$I$3001,0))))</f>
        <v/>
      </c>
      <c r="K1590" s="6">
        <f>IF(C1590="","",IF(M1590&gt;0,M1590,IF(AND(E1590&gt;0,ROUND(J1590+D1590-E1590,2)&gt;0,ROUND(J1590+D1590-E1590,2)&lt;'Opening Balance'!$B$14),ROUND(J1590+D1590-E1590,2),0)))</f>
        <v/>
      </c>
      <c r="L1590" s="6">
        <f>IF(C1590="","",ROUND(J1590+D1590-E1590-K1590,2))</f>
        <v/>
      </c>
      <c r="M1590" s="6">
        <f>IF(C1590="","",0)</f>
        <v/>
      </c>
    </row>
    <row r="1591">
      <c r="A1591" t="inlineStr">
        <is>
          <t>Bank 银行</t>
        </is>
      </c>
      <c r="B1591" s="5">
        <f>IF(AND('Daily Sale entry '!Z91="Online collection 网上收款",'Daily Sale entry '!AA91&lt;&gt;""),'Daily Sale entry '!X91,"")</f>
        <v/>
      </c>
      <c r="C1591">
        <f>IF(B1591="","",'Daily Sale entry '!AA91)</f>
        <v/>
      </c>
      <c r="D1591">
        <f>IF(C1591="","",0)</f>
        <v/>
      </c>
      <c r="E1591">
        <f>IF(C1591="","",'Daily Sale entry '!AC91)</f>
        <v/>
      </c>
      <c r="F1591" s="37">
        <f>IF(C1591="","",B1591+IF(E1591&gt;0,0,0.5)+ROW()/10000000)</f>
        <v/>
      </c>
      <c r="G1591">
        <f>IF(C1591="","","Collection 收款 (Online 网上)"&amp;IF('Daily Sale entry '!Y91="",""," - "&amp;'Daily Sale entry '!Y91))</f>
        <v/>
      </c>
      <c r="H1591">
        <f>IF(C1591="","",COUNTIFS($C$2:$C$3001,C1591,$F$2:$F$3001,"&lt;"&amp;F1591)+1)</f>
        <v/>
      </c>
      <c r="I1591">
        <f>IF(C1591="","",C1591&amp;"|"&amp;H1591)</f>
        <v/>
      </c>
      <c r="J1591" s="6">
        <f>IF(C1591="","",IF(H1591=1,SUMIFS('Opening Balance'!$F$4:$F$303,'Opening Balance'!$G$4:$G$303,C1591),INDEX($L$2:$L$3001,MATCH(C1591&amp;"|"&amp;(H1591-1),$I$2:$I$3001,0))))</f>
        <v/>
      </c>
      <c r="K1591" s="6">
        <f>IF(C1591="","",IF(M1591&gt;0,M1591,IF(AND(E1591&gt;0,ROUND(J1591+D1591-E1591,2)&gt;0,ROUND(J1591+D1591-E1591,2)&lt;'Opening Balance'!$B$14),ROUND(J1591+D1591-E1591,2),0)))</f>
        <v/>
      </c>
      <c r="L1591" s="6">
        <f>IF(C1591="","",ROUND(J1591+D1591-E1591-K1591,2))</f>
        <v/>
      </c>
      <c r="M1591" s="6">
        <f>IF(C1591="","",0)</f>
        <v/>
      </c>
    </row>
    <row r="1592">
      <c r="A1592" t="inlineStr">
        <is>
          <t>Bank 银行</t>
        </is>
      </c>
      <c r="B1592" s="5">
        <f>IF(AND('Daily Sale entry '!Z92="Online collection 网上收款",'Daily Sale entry '!AA92&lt;&gt;""),'Daily Sale entry '!X92,"")</f>
        <v/>
      </c>
      <c r="C1592">
        <f>IF(B1592="","",'Daily Sale entry '!AA92)</f>
        <v/>
      </c>
      <c r="D1592">
        <f>IF(C1592="","",0)</f>
        <v/>
      </c>
      <c r="E1592">
        <f>IF(C1592="","",'Daily Sale entry '!AC92)</f>
        <v/>
      </c>
      <c r="F1592" s="37">
        <f>IF(C1592="","",B1592+IF(E1592&gt;0,0,0.5)+ROW()/10000000)</f>
        <v/>
      </c>
      <c r="G1592">
        <f>IF(C1592="","","Collection 收款 (Online 网上)"&amp;IF('Daily Sale entry '!Y92="",""," - "&amp;'Daily Sale entry '!Y92))</f>
        <v/>
      </c>
      <c r="H1592">
        <f>IF(C1592="","",COUNTIFS($C$2:$C$3001,C1592,$F$2:$F$3001,"&lt;"&amp;F1592)+1)</f>
        <v/>
      </c>
      <c r="I1592">
        <f>IF(C1592="","",C1592&amp;"|"&amp;H1592)</f>
        <v/>
      </c>
      <c r="J1592" s="6">
        <f>IF(C1592="","",IF(H1592=1,SUMIFS('Opening Balance'!$F$4:$F$303,'Opening Balance'!$G$4:$G$303,C1592),INDEX($L$2:$L$3001,MATCH(C1592&amp;"|"&amp;(H1592-1),$I$2:$I$3001,0))))</f>
        <v/>
      </c>
      <c r="K1592" s="6">
        <f>IF(C1592="","",IF(M1592&gt;0,M1592,IF(AND(E1592&gt;0,ROUND(J1592+D1592-E1592,2)&gt;0,ROUND(J1592+D1592-E1592,2)&lt;'Opening Balance'!$B$14),ROUND(J1592+D1592-E1592,2),0)))</f>
        <v/>
      </c>
      <c r="L1592" s="6">
        <f>IF(C1592="","",ROUND(J1592+D1592-E1592-K1592,2))</f>
        <v/>
      </c>
      <c r="M1592" s="6">
        <f>IF(C1592="","",0)</f>
        <v/>
      </c>
    </row>
    <row r="1593">
      <c r="A1593" t="inlineStr">
        <is>
          <t>Bank 银行</t>
        </is>
      </c>
      <c r="B1593" s="5">
        <f>IF(AND('Daily Sale entry '!Z93="Online collection 网上收款",'Daily Sale entry '!AA93&lt;&gt;""),'Daily Sale entry '!X93,"")</f>
        <v/>
      </c>
      <c r="C1593">
        <f>IF(B1593="","",'Daily Sale entry '!AA93)</f>
        <v/>
      </c>
      <c r="D1593">
        <f>IF(C1593="","",0)</f>
        <v/>
      </c>
      <c r="E1593">
        <f>IF(C1593="","",'Daily Sale entry '!AC93)</f>
        <v/>
      </c>
      <c r="F1593" s="37">
        <f>IF(C1593="","",B1593+IF(E1593&gt;0,0,0.5)+ROW()/10000000)</f>
        <v/>
      </c>
      <c r="G1593">
        <f>IF(C1593="","","Collection 收款 (Online 网上)"&amp;IF('Daily Sale entry '!Y93="",""," - "&amp;'Daily Sale entry '!Y93))</f>
        <v/>
      </c>
      <c r="H1593">
        <f>IF(C1593="","",COUNTIFS($C$2:$C$3001,C1593,$F$2:$F$3001,"&lt;"&amp;F1593)+1)</f>
        <v/>
      </c>
      <c r="I1593">
        <f>IF(C1593="","",C1593&amp;"|"&amp;H1593)</f>
        <v/>
      </c>
      <c r="J1593" s="6">
        <f>IF(C1593="","",IF(H1593=1,SUMIFS('Opening Balance'!$F$4:$F$303,'Opening Balance'!$G$4:$G$303,C1593),INDEX($L$2:$L$3001,MATCH(C1593&amp;"|"&amp;(H1593-1),$I$2:$I$3001,0))))</f>
        <v/>
      </c>
      <c r="K1593" s="6">
        <f>IF(C1593="","",IF(M1593&gt;0,M1593,IF(AND(E1593&gt;0,ROUND(J1593+D1593-E1593,2)&gt;0,ROUND(J1593+D1593-E1593,2)&lt;'Opening Balance'!$B$14),ROUND(J1593+D1593-E1593,2),0)))</f>
        <v/>
      </c>
      <c r="L1593" s="6">
        <f>IF(C1593="","",ROUND(J1593+D1593-E1593-K1593,2))</f>
        <v/>
      </c>
      <c r="M1593" s="6">
        <f>IF(C1593="","",0)</f>
        <v/>
      </c>
    </row>
    <row r="1594">
      <c r="A1594" t="inlineStr">
        <is>
          <t>Bank 银行</t>
        </is>
      </c>
      <c r="B1594" s="5">
        <f>IF(AND('Daily Sale entry '!Z94="Online collection 网上收款",'Daily Sale entry '!AA94&lt;&gt;""),'Daily Sale entry '!X94,"")</f>
        <v/>
      </c>
      <c r="C1594">
        <f>IF(B1594="","",'Daily Sale entry '!AA94)</f>
        <v/>
      </c>
      <c r="D1594">
        <f>IF(C1594="","",0)</f>
        <v/>
      </c>
      <c r="E1594">
        <f>IF(C1594="","",'Daily Sale entry '!AC94)</f>
        <v/>
      </c>
      <c r="F1594" s="37">
        <f>IF(C1594="","",B1594+IF(E1594&gt;0,0,0.5)+ROW()/10000000)</f>
        <v/>
      </c>
      <c r="G1594">
        <f>IF(C1594="","","Collection 收款 (Online 网上)"&amp;IF('Daily Sale entry '!Y94="",""," - "&amp;'Daily Sale entry '!Y94))</f>
        <v/>
      </c>
      <c r="H1594">
        <f>IF(C1594="","",COUNTIFS($C$2:$C$3001,C1594,$F$2:$F$3001,"&lt;"&amp;F1594)+1)</f>
        <v/>
      </c>
      <c r="I1594">
        <f>IF(C1594="","",C1594&amp;"|"&amp;H1594)</f>
        <v/>
      </c>
      <c r="J1594" s="6">
        <f>IF(C1594="","",IF(H1594=1,SUMIFS('Opening Balance'!$F$4:$F$303,'Opening Balance'!$G$4:$G$303,C1594),INDEX($L$2:$L$3001,MATCH(C1594&amp;"|"&amp;(H1594-1),$I$2:$I$3001,0))))</f>
        <v/>
      </c>
      <c r="K1594" s="6">
        <f>IF(C1594="","",IF(M1594&gt;0,M1594,IF(AND(E1594&gt;0,ROUND(J1594+D1594-E1594,2)&gt;0,ROUND(J1594+D1594-E1594,2)&lt;'Opening Balance'!$B$14),ROUND(J1594+D1594-E1594,2),0)))</f>
        <v/>
      </c>
      <c r="L1594" s="6">
        <f>IF(C1594="","",ROUND(J1594+D1594-E1594-K1594,2))</f>
        <v/>
      </c>
      <c r="M1594" s="6">
        <f>IF(C1594="","",0)</f>
        <v/>
      </c>
    </row>
    <row r="1595">
      <c r="A1595" t="inlineStr">
        <is>
          <t>Bank 银行</t>
        </is>
      </c>
      <c r="B1595" s="5">
        <f>IF(AND('Daily Sale entry '!Z95="Online collection 网上收款",'Daily Sale entry '!AA95&lt;&gt;""),'Daily Sale entry '!X95,"")</f>
        <v/>
      </c>
      <c r="C1595">
        <f>IF(B1595="","",'Daily Sale entry '!AA95)</f>
        <v/>
      </c>
      <c r="D1595">
        <f>IF(C1595="","",0)</f>
        <v/>
      </c>
      <c r="E1595">
        <f>IF(C1595="","",'Daily Sale entry '!AC95)</f>
        <v/>
      </c>
      <c r="F1595" s="37">
        <f>IF(C1595="","",B1595+IF(E1595&gt;0,0,0.5)+ROW()/10000000)</f>
        <v/>
      </c>
      <c r="G1595">
        <f>IF(C1595="","","Collection 收款 (Online 网上)"&amp;IF('Daily Sale entry '!Y95="",""," - "&amp;'Daily Sale entry '!Y95))</f>
        <v/>
      </c>
      <c r="H1595">
        <f>IF(C1595="","",COUNTIFS($C$2:$C$3001,C1595,$F$2:$F$3001,"&lt;"&amp;F1595)+1)</f>
        <v/>
      </c>
      <c r="I1595">
        <f>IF(C1595="","",C1595&amp;"|"&amp;H1595)</f>
        <v/>
      </c>
      <c r="J1595" s="6">
        <f>IF(C1595="","",IF(H1595=1,SUMIFS('Opening Balance'!$F$4:$F$303,'Opening Balance'!$G$4:$G$303,C1595),INDEX($L$2:$L$3001,MATCH(C1595&amp;"|"&amp;(H1595-1),$I$2:$I$3001,0))))</f>
        <v/>
      </c>
      <c r="K1595" s="6">
        <f>IF(C1595="","",IF(M1595&gt;0,M1595,IF(AND(E1595&gt;0,ROUND(J1595+D1595-E1595,2)&gt;0,ROUND(J1595+D1595-E1595,2)&lt;'Opening Balance'!$B$14),ROUND(J1595+D1595-E1595,2),0)))</f>
        <v/>
      </c>
      <c r="L1595" s="6">
        <f>IF(C1595="","",ROUND(J1595+D1595-E1595-K1595,2))</f>
        <v/>
      </c>
      <c r="M1595" s="6">
        <f>IF(C1595="","",0)</f>
        <v/>
      </c>
    </row>
    <row r="1596">
      <c r="A1596" t="inlineStr">
        <is>
          <t>Bank 银行</t>
        </is>
      </c>
      <c r="B1596" s="5">
        <f>IF(AND('Daily Sale entry '!Z96="Online collection 网上收款",'Daily Sale entry '!AA96&lt;&gt;""),'Daily Sale entry '!X96,"")</f>
        <v/>
      </c>
      <c r="C1596">
        <f>IF(B1596="","",'Daily Sale entry '!AA96)</f>
        <v/>
      </c>
      <c r="D1596">
        <f>IF(C1596="","",0)</f>
        <v/>
      </c>
      <c r="E1596">
        <f>IF(C1596="","",'Daily Sale entry '!AC96)</f>
        <v/>
      </c>
      <c r="F1596" s="37">
        <f>IF(C1596="","",B1596+IF(E1596&gt;0,0,0.5)+ROW()/10000000)</f>
        <v/>
      </c>
      <c r="G1596">
        <f>IF(C1596="","","Collection 收款 (Online 网上)"&amp;IF('Daily Sale entry '!Y96="",""," - "&amp;'Daily Sale entry '!Y96))</f>
        <v/>
      </c>
      <c r="H1596">
        <f>IF(C1596="","",COUNTIFS($C$2:$C$3001,C1596,$F$2:$F$3001,"&lt;"&amp;F1596)+1)</f>
        <v/>
      </c>
      <c r="I1596">
        <f>IF(C1596="","",C1596&amp;"|"&amp;H1596)</f>
        <v/>
      </c>
      <c r="J1596" s="6">
        <f>IF(C1596="","",IF(H1596=1,SUMIFS('Opening Balance'!$F$4:$F$303,'Opening Balance'!$G$4:$G$303,C1596),INDEX($L$2:$L$3001,MATCH(C1596&amp;"|"&amp;(H1596-1),$I$2:$I$3001,0))))</f>
        <v/>
      </c>
      <c r="K1596" s="6">
        <f>IF(C1596="","",IF(M1596&gt;0,M1596,IF(AND(E1596&gt;0,ROUND(J1596+D1596-E1596,2)&gt;0,ROUND(J1596+D1596-E1596,2)&lt;'Opening Balance'!$B$14),ROUND(J1596+D1596-E1596,2),0)))</f>
        <v/>
      </c>
      <c r="L1596" s="6">
        <f>IF(C1596="","",ROUND(J1596+D1596-E1596-K1596,2))</f>
        <v/>
      </c>
      <c r="M1596" s="6">
        <f>IF(C1596="","",0)</f>
        <v/>
      </c>
    </row>
    <row r="1597">
      <c r="A1597" t="inlineStr">
        <is>
          <t>Bank 银行</t>
        </is>
      </c>
      <c r="B1597" s="5">
        <f>IF(AND('Daily Sale entry '!Z97="Online collection 网上收款",'Daily Sale entry '!AA97&lt;&gt;""),'Daily Sale entry '!X97,"")</f>
        <v/>
      </c>
      <c r="C1597">
        <f>IF(B1597="","",'Daily Sale entry '!AA97)</f>
        <v/>
      </c>
      <c r="D1597">
        <f>IF(C1597="","",0)</f>
        <v/>
      </c>
      <c r="E1597">
        <f>IF(C1597="","",'Daily Sale entry '!AC97)</f>
        <v/>
      </c>
      <c r="F1597" s="37">
        <f>IF(C1597="","",B1597+IF(E1597&gt;0,0,0.5)+ROW()/10000000)</f>
        <v/>
      </c>
      <c r="G1597">
        <f>IF(C1597="","","Collection 收款 (Online 网上)"&amp;IF('Daily Sale entry '!Y97="",""," - "&amp;'Daily Sale entry '!Y97))</f>
        <v/>
      </c>
      <c r="H1597">
        <f>IF(C1597="","",COUNTIFS($C$2:$C$3001,C1597,$F$2:$F$3001,"&lt;"&amp;F1597)+1)</f>
        <v/>
      </c>
      <c r="I1597">
        <f>IF(C1597="","",C1597&amp;"|"&amp;H1597)</f>
        <v/>
      </c>
      <c r="J1597" s="6">
        <f>IF(C1597="","",IF(H1597=1,SUMIFS('Opening Balance'!$F$4:$F$303,'Opening Balance'!$G$4:$G$303,C1597),INDEX($L$2:$L$3001,MATCH(C1597&amp;"|"&amp;(H1597-1),$I$2:$I$3001,0))))</f>
        <v/>
      </c>
      <c r="K1597" s="6">
        <f>IF(C1597="","",IF(M1597&gt;0,M1597,IF(AND(E1597&gt;0,ROUND(J1597+D1597-E1597,2)&gt;0,ROUND(J1597+D1597-E1597,2)&lt;'Opening Balance'!$B$14),ROUND(J1597+D1597-E1597,2),0)))</f>
        <v/>
      </c>
      <c r="L1597" s="6">
        <f>IF(C1597="","",ROUND(J1597+D1597-E1597-K1597,2))</f>
        <v/>
      </c>
      <c r="M1597" s="6">
        <f>IF(C1597="","",0)</f>
        <v/>
      </c>
    </row>
    <row r="1598">
      <c r="A1598" t="inlineStr">
        <is>
          <t>Bank 银行</t>
        </is>
      </c>
      <c r="B1598" s="5">
        <f>IF(AND('Daily Sale entry '!Z98="Online collection 网上收款",'Daily Sale entry '!AA98&lt;&gt;""),'Daily Sale entry '!X98,"")</f>
        <v/>
      </c>
      <c r="C1598">
        <f>IF(B1598="","",'Daily Sale entry '!AA98)</f>
        <v/>
      </c>
      <c r="D1598">
        <f>IF(C1598="","",0)</f>
        <v/>
      </c>
      <c r="E1598">
        <f>IF(C1598="","",'Daily Sale entry '!AC98)</f>
        <v/>
      </c>
      <c r="F1598" s="37">
        <f>IF(C1598="","",B1598+IF(E1598&gt;0,0,0.5)+ROW()/10000000)</f>
        <v/>
      </c>
      <c r="G1598">
        <f>IF(C1598="","","Collection 收款 (Online 网上)"&amp;IF('Daily Sale entry '!Y98="",""," - "&amp;'Daily Sale entry '!Y98))</f>
        <v/>
      </c>
      <c r="H1598">
        <f>IF(C1598="","",COUNTIFS($C$2:$C$3001,C1598,$F$2:$F$3001,"&lt;"&amp;F1598)+1)</f>
        <v/>
      </c>
      <c r="I1598">
        <f>IF(C1598="","",C1598&amp;"|"&amp;H1598)</f>
        <v/>
      </c>
      <c r="J1598" s="6">
        <f>IF(C1598="","",IF(H1598=1,SUMIFS('Opening Balance'!$F$4:$F$303,'Opening Balance'!$G$4:$G$303,C1598),INDEX($L$2:$L$3001,MATCH(C1598&amp;"|"&amp;(H1598-1),$I$2:$I$3001,0))))</f>
        <v/>
      </c>
      <c r="K1598" s="6">
        <f>IF(C1598="","",IF(M1598&gt;0,M1598,IF(AND(E1598&gt;0,ROUND(J1598+D1598-E1598,2)&gt;0,ROUND(J1598+D1598-E1598,2)&lt;'Opening Balance'!$B$14),ROUND(J1598+D1598-E1598,2),0)))</f>
        <v/>
      </c>
      <c r="L1598" s="6">
        <f>IF(C1598="","",ROUND(J1598+D1598-E1598-K1598,2))</f>
        <v/>
      </c>
      <c r="M1598" s="6">
        <f>IF(C1598="","",0)</f>
        <v/>
      </c>
    </row>
    <row r="1599">
      <c r="A1599" t="inlineStr">
        <is>
          <t>Bank 银行</t>
        </is>
      </c>
      <c r="B1599" s="5">
        <f>IF(AND('Daily Sale entry '!Z99="Online collection 网上收款",'Daily Sale entry '!AA99&lt;&gt;""),'Daily Sale entry '!X99,"")</f>
        <v/>
      </c>
      <c r="C1599">
        <f>IF(B1599="","",'Daily Sale entry '!AA99)</f>
        <v/>
      </c>
      <c r="D1599">
        <f>IF(C1599="","",0)</f>
        <v/>
      </c>
      <c r="E1599">
        <f>IF(C1599="","",'Daily Sale entry '!AC99)</f>
        <v/>
      </c>
      <c r="F1599" s="37">
        <f>IF(C1599="","",B1599+IF(E1599&gt;0,0,0.5)+ROW()/10000000)</f>
        <v/>
      </c>
      <c r="G1599">
        <f>IF(C1599="","","Collection 收款 (Online 网上)"&amp;IF('Daily Sale entry '!Y99="",""," - "&amp;'Daily Sale entry '!Y99))</f>
        <v/>
      </c>
      <c r="H1599">
        <f>IF(C1599="","",COUNTIFS($C$2:$C$3001,C1599,$F$2:$F$3001,"&lt;"&amp;F1599)+1)</f>
        <v/>
      </c>
      <c r="I1599">
        <f>IF(C1599="","",C1599&amp;"|"&amp;H1599)</f>
        <v/>
      </c>
      <c r="J1599" s="6">
        <f>IF(C1599="","",IF(H1599=1,SUMIFS('Opening Balance'!$F$4:$F$303,'Opening Balance'!$G$4:$G$303,C1599),INDEX($L$2:$L$3001,MATCH(C1599&amp;"|"&amp;(H1599-1),$I$2:$I$3001,0))))</f>
        <v/>
      </c>
      <c r="K1599" s="6">
        <f>IF(C1599="","",IF(M1599&gt;0,M1599,IF(AND(E1599&gt;0,ROUND(J1599+D1599-E1599,2)&gt;0,ROUND(J1599+D1599-E1599,2)&lt;'Opening Balance'!$B$14),ROUND(J1599+D1599-E1599,2),0)))</f>
        <v/>
      </c>
      <c r="L1599" s="6">
        <f>IF(C1599="","",ROUND(J1599+D1599-E1599-K1599,2))</f>
        <v/>
      </c>
      <c r="M1599" s="6">
        <f>IF(C1599="","",0)</f>
        <v/>
      </c>
    </row>
    <row r="1600">
      <c r="A1600" t="inlineStr">
        <is>
          <t>Bank 银行</t>
        </is>
      </c>
      <c r="B1600" s="5">
        <f>IF(AND('Daily Sale entry '!Z100="Online collection 网上收款",'Daily Sale entry '!AA100&lt;&gt;""),'Daily Sale entry '!X100,"")</f>
        <v/>
      </c>
      <c r="C1600">
        <f>IF(B1600="","",'Daily Sale entry '!AA100)</f>
        <v/>
      </c>
      <c r="D1600">
        <f>IF(C1600="","",0)</f>
        <v/>
      </c>
      <c r="E1600">
        <f>IF(C1600="","",'Daily Sale entry '!AC100)</f>
        <v/>
      </c>
      <c r="F1600" s="37">
        <f>IF(C1600="","",B1600+IF(E1600&gt;0,0,0.5)+ROW()/10000000)</f>
        <v/>
      </c>
      <c r="G1600">
        <f>IF(C1600="","","Collection 收款 (Online 网上)"&amp;IF('Daily Sale entry '!Y100="",""," - "&amp;'Daily Sale entry '!Y100))</f>
        <v/>
      </c>
      <c r="H1600">
        <f>IF(C1600="","",COUNTIFS($C$2:$C$3001,C1600,$F$2:$F$3001,"&lt;"&amp;F1600)+1)</f>
        <v/>
      </c>
      <c r="I1600">
        <f>IF(C1600="","",C1600&amp;"|"&amp;H1600)</f>
        <v/>
      </c>
      <c r="J1600" s="6">
        <f>IF(C1600="","",IF(H1600=1,SUMIFS('Opening Balance'!$F$4:$F$303,'Opening Balance'!$G$4:$G$303,C1600),INDEX($L$2:$L$3001,MATCH(C1600&amp;"|"&amp;(H1600-1),$I$2:$I$3001,0))))</f>
        <v/>
      </c>
      <c r="K1600" s="6">
        <f>IF(C1600="","",IF(M1600&gt;0,M1600,IF(AND(E1600&gt;0,ROUND(J1600+D1600-E1600,2)&gt;0,ROUND(J1600+D1600-E1600,2)&lt;'Opening Balance'!$B$14),ROUND(J1600+D1600-E1600,2),0)))</f>
        <v/>
      </c>
      <c r="L1600" s="6">
        <f>IF(C1600="","",ROUND(J1600+D1600-E1600-K1600,2))</f>
        <v/>
      </c>
      <c r="M1600" s="6">
        <f>IF(C1600="","",0)</f>
        <v/>
      </c>
    </row>
    <row r="1601">
      <c r="A1601" t="inlineStr">
        <is>
          <t>Bank 银行</t>
        </is>
      </c>
      <c r="B1601" s="5">
        <f>IF(AND('Daily Sale entry '!Z101="Online collection 网上收款",'Daily Sale entry '!AA101&lt;&gt;""),'Daily Sale entry '!X101,"")</f>
        <v/>
      </c>
      <c r="C1601">
        <f>IF(B1601="","",'Daily Sale entry '!AA101)</f>
        <v/>
      </c>
      <c r="D1601">
        <f>IF(C1601="","",0)</f>
        <v/>
      </c>
      <c r="E1601">
        <f>IF(C1601="","",'Daily Sale entry '!AC101)</f>
        <v/>
      </c>
      <c r="F1601" s="37">
        <f>IF(C1601="","",B1601+IF(E1601&gt;0,0,0.5)+ROW()/10000000)</f>
        <v/>
      </c>
      <c r="G1601">
        <f>IF(C1601="","","Collection 收款 (Online 网上)"&amp;IF('Daily Sale entry '!Y101="",""," - "&amp;'Daily Sale entry '!Y101))</f>
        <v/>
      </c>
      <c r="H1601">
        <f>IF(C1601="","",COUNTIFS($C$2:$C$3001,C1601,$F$2:$F$3001,"&lt;"&amp;F1601)+1)</f>
        <v/>
      </c>
      <c r="I1601">
        <f>IF(C1601="","",C1601&amp;"|"&amp;H1601)</f>
        <v/>
      </c>
      <c r="J1601" s="6">
        <f>IF(C1601="","",IF(H1601=1,SUMIFS('Opening Balance'!$F$4:$F$303,'Opening Balance'!$G$4:$G$303,C1601),INDEX($L$2:$L$3001,MATCH(C1601&amp;"|"&amp;(H1601-1),$I$2:$I$3001,0))))</f>
        <v/>
      </c>
      <c r="K1601" s="6">
        <f>IF(C1601="","",IF(M1601&gt;0,M1601,IF(AND(E1601&gt;0,ROUND(J1601+D1601-E1601,2)&gt;0,ROUND(J1601+D1601-E1601,2)&lt;'Opening Balance'!$B$14),ROUND(J1601+D1601-E1601,2),0)))</f>
        <v/>
      </c>
      <c r="L1601" s="6">
        <f>IF(C1601="","",ROUND(J1601+D1601-E1601-K1601,2))</f>
        <v/>
      </c>
      <c r="M1601" s="6">
        <f>IF(C1601="","",0)</f>
        <v/>
      </c>
    </row>
    <row r="1602">
      <c r="A1602" t="inlineStr">
        <is>
          <t>Bank 银行</t>
        </is>
      </c>
      <c r="B1602" s="5">
        <f>IF(AND('Daily Sale entry '!Z102="Online collection 网上收款",'Daily Sale entry '!AA102&lt;&gt;""),'Daily Sale entry '!X102,"")</f>
        <v/>
      </c>
      <c r="C1602">
        <f>IF(B1602="","",'Daily Sale entry '!AA102)</f>
        <v/>
      </c>
      <c r="D1602">
        <f>IF(C1602="","",0)</f>
        <v/>
      </c>
      <c r="E1602">
        <f>IF(C1602="","",'Daily Sale entry '!AC102)</f>
        <v/>
      </c>
      <c r="F1602" s="37">
        <f>IF(C1602="","",B1602+IF(E1602&gt;0,0,0.5)+ROW()/10000000)</f>
        <v/>
      </c>
      <c r="G1602">
        <f>IF(C1602="","","Collection 收款 (Online 网上)"&amp;IF('Daily Sale entry '!Y102="",""," - "&amp;'Daily Sale entry '!Y102))</f>
        <v/>
      </c>
      <c r="H1602">
        <f>IF(C1602="","",COUNTIFS($C$2:$C$3001,C1602,$F$2:$F$3001,"&lt;"&amp;F1602)+1)</f>
        <v/>
      </c>
      <c r="I1602">
        <f>IF(C1602="","",C1602&amp;"|"&amp;H1602)</f>
        <v/>
      </c>
      <c r="J1602" s="6">
        <f>IF(C1602="","",IF(H1602=1,SUMIFS('Opening Balance'!$F$4:$F$303,'Opening Balance'!$G$4:$G$303,C1602),INDEX($L$2:$L$3001,MATCH(C1602&amp;"|"&amp;(H1602-1),$I$2:$I$3001,0))))</f>
        <v/>
      </c>
      <c r="K1602" s="6">
        <f>IF(C1602="","",IF(M1602&gt;0,M1602,IF(AND(E1602&gt;0,ROUND(J1602+D1602-E1602,2)&gt;0,ROUND(J1602+D1602-E1602,2)&lt;'Opening Balance'!$B$14),ROUND(J1602+D1602-E1602,2),0)))</f>
        <v/>
      </c>
      <c r="L1602" s="6">
        <f>IF(C1602="","",ROUND(J1602+D1602-E1602-K1602,2))</f>
        <v/>
      </c>
      <c r="M1602" s="6">
        <f>IF(C1602="","",0)</f>
        <v/>
      </c>
    </row>
    <row r="1603">
      <c r="A1603" t="inlineStr">
        <is>
          <t>Bank 银行</t>
        </is>
      </c>
      <c r="B1603" s="5">
        <f>IF(AND('Daily Sale entry '!Z103="Online collection 网上收款",'Daily Sale entry '!AA103&lt;&gt;""),'Daily Sale entry '!X103,"")</f>
        <v/>
      </c>
      <c r="C1603">
        <f>IF(B1603="","",'Daily Sale entry '!AA103)</f>
        <v/>
      </c>
      <c r="D1603">
        <f>IF(C1603="","",0)</f>
        <v/>
      </c>
      <c r="E1603">
        <f>IF(C1603="","",'Daily Sale entry '!AC103)</f>
        <v/>
      </c>
      <c r="F1603" s="37">
        <f>IF(C1603="","",B1603+IF(E1603&gt;0,0,0.5)+ROW()/10000000)</f>
        <v/>
      </c>
      <c r="G1603">
        <f>IF(C1603="","","Collection 收款 (Online 网上)"&amp;IF('Daily Sale entry '!Y103="",""," - "&amp;'Daily Sale entry '!Y103))</f>
        <v/>
      </c>
      <c r="H1603">
        <f>IF(C1603="","",COUNTIFS($C$2:$C$3001,C1603,$F$2:$F$3001,"&lt;"&amp;F1603)+1)</f>
        <v/>
      </c>
      <c r="I1603">
        <f>IF(C1603="","",C1603&amp;"|"&amp;H1603)</f>
        <v/>
      </c>
      <c r="J1603" s="6">
        <f>IF(C1603="","",IF(H1603=1,SUMIFS('Opening Balance'!$F$4:$F$303,'Opening Balance'!$G$4:$G$303,C1603),INDEX($L$2:$L$3001,MATCH(C1603&amp;"|"&amp;(H1603-1),$I$2:$I$3001,0))))</f>
        <v/>
      </c>
      <c r="K1603" s="6">
        <f>IF(C1603="","",IF(M1603&gt;0,M1603,IF(AND(E1603&gt;0,ROUND(J1603+D1603-E1603,2)&gt;0,ROUND(J1603+D1603-E1603,2)&lt;'Opening Balance'!$B$14),ROUND(J1603+D1603-E1603,2),0)))</f>
        <v/>
      </c>
      <c r="L1603" s="6">
        <f>IF(C1603="","",ROUND(J1603+D1603-E1603-K1603,2))</f>
        <v/>
      </c>
      <c r="M1603" s="6">
        <f>IF(C1603="","",0)</f>
        <v/>
      </c>
    </row>
    <row r="1604">
      <c r="A1604" t="inlineStr">
        <is>
          <t>Bank 银行</t>
        </is>
      </c>
      <c r="B1604" s="5">
        <f>IF(AND('Daily Sale entry '!Z104="Online collection 网上收款",'Daily Sale entry '!AA104&lt;&gt;""),'Daily Sale entry '!X104,"")</f>
        <v/>
      </c>
      <c r="C1604">
        <f>IF(B1604="","",'Daily Sale entry '!AA104)</f>
        <v/>
      </c>
      <c r="D1604">
        <f>IF(C1604="","",0)</f>
        <v/>
      </c>
      <c r="E1604">
        <f>IF(C1604="","",'Daily Sale entry '!AC104)</f>
        <v/>
      </c>
      <c r="F1604" s="37">
        <f>IF(C1604="","",B1604+IF(E1604&gt;0,0,0.5)+ROW()/10000000)</f>
        <v/>
      </c>
      <c r="G1604">
        <f>IF(C1604="","","Collection 收款 (Online 网上)"&amp;IF('Daily Sale entry '!Y104="",""," - "&amp;'Daily Sale entry '!Y104))</f>
        <v/>
      </c>
      <c r="H1604">
        <f>IF(C1604="","",COUNTIFS($C$2:$C$3001,C1604,$F$2:$F$3001,"&lt;"&amp;F1604)+1)</f>
        <v/>
      </c>
      <c r="I1604">
        <f>IF(C1604="","",C1604&amp;"|"&amp;H1604)</f>
        <v/>
      </c>
      <c r="J1604" s="6">
        <f>IF(C1604="","",IF(H1604=1,SUMIFS('Opening Balance'!$F$4:$F$303,'Opening Balance'!$G$4:$G$303,C1604),INDEX($L$2:$L$3001,MATCH(C1604&amp;"|"&amp;(H1604-1),$I$2:$I$3001,0))))</f>
        <v/>
      </c>
      <c r="K1604" s="6">
        <f>IF(C1604="","",IF(M1604&gt;0,M1604,IF(AND(E1604&gt;0,ROUND(J1604+D1604-E1604,2)&gt;0,ROUND(J1604+D1604-E1604,2)&lt;'Opening Balance'!$B$14),ROUND(J1604+D1604-E1604,2),0)))</f>
        <v/>
      </c>
      <c r="L1604" s="6">
        <f>IF(C1604="","",ROUND(J1604+D1604-E1604-K1604,2))</f>
        <v/>
      </c>
      <c r="M1604" s="6">
        <f>IF(C1604="","",0)</f>
        <v/>
      </c>
    </row>
    <row r="1605">
      <c r="A1605" t="inlineStr">
        <is>
          <t>Bank 银行</t>
        </is>
      </c>
      <c r="B1605" s="5">
        <f>IF(AND('Daily Sale entry '!Z105="Online collection 网上收款",'Daily Sale entry '!AA105&lt;&gt;""),'Daily Sale entry '!X105,"")</f>
        <v/>
      </c>
      <c r="C1605">
        <f>IF(B1605="","",'Daily Sale entry '!AA105)</f>
        <v/>
      </c>
      <c r="D1605">
        <f>IF(C1605="","",0)</f>
        <v/>
      </c>
      <c r="E1605">
        <f>IF(C1605="","",'Daily Sale entry '!AC105)</f>
        <v/>
      </c>
      <c r="F1605" s="37">
        <f>IF(C1605="","",B1605+IF(E1605&gt;0,0,0.5)+ROW()/10000000)</f>
        <v/>
      </c>
      <c r="G1605">
        <f>IF(C1605="","","Collection 收款 (Online 网上)"&amp;IF('Daily Sale entry '!Y105="",""," - "&amp;'Daily Sale entry '!Y105))</f>
        <v/>
      </c>
      <c r="H1605">
        <f>IF(C1605="","",COUNTIFS($C$2:$C$3001,C1605,$F$2:$F$3001,"&lt;"&amp;F1605)+1)</f>
        <v/>
      </c>
      <c r="I1605">
        <f>IF(C1605="","",C1605&amp;"|"&amp;H1605)</f>
        <v/>
      </c>
      <c r="J1605" s="6">
        <f>IF(C1605="","",IF(H1605=1,SUMIFS('Opening Balance'!$F$4:$F$303,'Opening Balance'!$G$4:$G$303,C1605),INDEX($L$2:$L$3001,MATCH(C1605&amp;"|"&amp;(H1605-1),$I$2:$I$3001,0))))</f>
        <v/>
      </c>
      <c r="K1605" s="6">
        <f>IF(C1605="","",IF(M1605&gt;0,M1605,IF(AND(E1605&gt;0,ROUND(J1605+D1605-E1605,2)&gt;0,ROUND(J1605+D1605-E1605,2)&lt;'Opening Balance'!$B$14),ROUND(J1605+D1605-E1605,2),0)))</f>
        <v/>
      </c>
      <c r="L1605" s="6">
        <f>IF(C1605="","",ROUND(J1605+D1605-E1605-K1605,2))</f>
        <v/>
      </c>
      <c r="M1605" s="6">
        <f>IF(C1605="","",0)</f>
        <v/>
      </c>
    </row>
    <row r="1606">
      <c r="A1606" t="inlineStr">
        <is>
          <t>Bank 银行</t>
        </is>
      </c>
      <c r="B1606" s="5">
        <f>IF(AND('Daily Sale entry '!Z106="Online collection 网上收款",'Daily Sale entry '!AA106&lt;&gt;""),'Daily Sale entry '!X106,"")</f>
        <v/>
      </c>
      <c r="C1606">
        <f>IF(B1606="","",'Daily Sale entry '!AA106)</f>
        <v/>
      </c>
      <c r="D1606">
        <f>IF(C1606="","",0)</f>
        <v/>
      </c>
      <c r="E1606">
        <f>IF(C1606="","",'Daily Sale entry '!AC106)</f>
        <v/>
      </c>
      <c r="F1606" s="37">
        <f>IF(C1606="","",B1606+IF(E1606&gt;0,0,0.5)+ROW()/10000000)</f>
        <v/>
      </c>
      <c r="G1606">
        <f>IF(C1606="","","Collection 收款 (Online 网上)"&amp;IF('Daily Sale entry '!Y106="",""," - "&amp;'Daily Sale entry '!Y106))</f>
        <v/>
      </c>
      <c r="H1606">
        <f>IF(C1606="","",COUNTIFS($C$2:$C$3001,C1606,$F$2:$F$3001,"&lt;"&amp;F1606)+1)</f>
        <v/>
      </c>
      <c r="I1606">
        <f>IF(C1606="","",C1606&amp;"|"&amp;H1606)</f>
        <v/>
      </c>
      <c r="J1606" s="6">
        <f>IF(C1606="","",IF(H1606=1,SUMIFS('Opening Balance'!$F$4:$F$303,'Opening Balance'!$G$4:$G$303,C1606),INDEX($L$2:$L$3001,MATCH(C1606&amp;"|"&amp;(H1606-1),$I$2:$I$3001,0))))</f>
        <v/>
      </c>
      <c r="K1606" s="6">
        <f>IF(C1606="","",IF(M1606&gt;0,M1606,IF(AND(E1606&gt;0,ROUND(J1606+D1606-E1606,2)&gt;0,ROUND(J1606+D1606-E1606,2)&lt;'Opening Balance'!$B$14),ROUND(J1606+D1606-E1606,2),0)))</f>
        <v/>
      </c>
      <c r="L1606" s="6">
        <f>IF(C1606="","",ROUND(J1606+D1606-E1606-K1606,2))</f>
        <v/>
      </c>
      <c r="M1606" s="6">
        <f>IF(C1606="","",0)</f>
        <v/>
      </c>
    </row>
    <row r="1607">
      <c r="A1607" t="inlineStr">
        <is>
          <t>Bank 银行</t>
        </is>
      </c>
      <c r="B1607" s="5">
        <f>IF(AND('Daily Sale entry '!Z107="Online collection 网上收款",'Daily Sale entry '!AA107&lt;&gt;""),'Daily Sale entry '!X107,"")</f>
        <v/>
      </c>
      <c r="C1607">
        <f>IF(B1607="","",'Daily Sale entry '!AA107)</f>
        <v/>
      </c>
      <c r="D1607">
        <f>IF(C1607="","",0)</f>
        <v/>
      </c>
      <c r="E1607">
        <f>IF(C1607="","",'Daily Sale entry '!AC107)</f>
        <v/>
      </c>
      <c r="F1607" s="37">
        <f>IF(C1607="","",B1607+IF(E1607&gt;0,0,0.5)+ROW()/10000000)</f>
        <v/>
      </c>
      <c r="G1607">
        <f>IF(C1607="","","Collection 收款 (Online 网上)"&amp;IF('Daily Sale entry '!Y107="",""," - "&amp;'Daily Sale entry '!Y107))</f>
        <v/>
      </c>
      <c r="H1607">
        <f>IF(C1607="","",COUNTIFS($C$2:$C$3001,C1607,$F$2:$F$3001,"&lt;"&amp;F1607)+1)</f>
        <v/>
      </c>
      <c r="I1607">
        <f>IF(C1607="","",C1607&amp;"|"&amp;H1607)</f>
        <v/>
      </c>
      <c r="J1607" s="6">
        <f>IF(C1607="","",IF(H1607=1,SUMIFS('Opening Balance'!$F$4:$F$303,'Opening Balance'!$G$4:$G$303,C1607),INDEX($L$2:$L$3001,MATCH(C1607&amp;"|"&amp;(H1607-1),$I$2:$I$3001,0))))</f>
        <v/>
      </c>
      <c r="K1607" s="6">
        <f>IF(C1607="","",IF(M1607&gt;0,M1607,IF(AND(E1607&gt;0,ROUND(J1607+D1607-E1607,2)&gt;0,ROUND(J1607+D1607-E1607,2)&lt;'Opening Balance'!$B$14),ROUND(J1607+D1607-E1607,2),0)))</f>
        <v/>
      </c>
      <c r="L1607" s="6">
        <f>IF(C1607="","",ROUND(J1607+D1607-E1607-K1607,2))</f>
        <v/>
      </c>
      <c r="M1607" s="6">
        <f>IF(C1607="","",0)</f>
        <v/>
      </c>
    </row>
    <row r="1608">
      <c r="A1608" t="inlineStr">
        <is>
          <t>Bank 银行</t>
        </is>
      </c>
      <c r="B1608" s="5">
        <f>IF(AND('Daily Sale entry '!Z108="Online collection 网上收款",'Daily Sale entry '!AA108&lt;&gt;""),'Daily Sale entry '!X108,"")</f>
        <v/>
      </c>
      <c r="C1608">
        <f>IF(B1608="","",'Daily Sale entry '!AA108)</f>
        <v/>
      </c>
      <c r="D1608">
        <f>IF(C1608="","",0)</f>
        <v/>
      </c>
      <c r="E1608">
        <f>IF(C1608="","",'Daily Sale entry '!AC108)</f>
        <v/>
      </c>
      <c r="F1608" s="37">
        <f>IF(C1608="","",B1608+IF(E1608&gt;0,0,0.5)+ROW()/10000000)</f>
        <v/>
      </c>
      <c r="G1608">
        <f>IF(C1608="","","Collection 收款 (Online 网上)"&amp;IF('Daily Sale entry '!Y108="",""," - "&amp;'Daily Sale entry '!Y108))</f>
        <v/>
      </c>
      <c r="H1608">
        <f>IF(C1608="","",COUNTIFS($C$2:$C$3001,C1608,$F$2:$F$3001,"&lt;"&amp;F1608)+1)</f>
        <v/>
      </c>
      <c r="I1608">
        <f>IF(C1608="","",C1608&amp;"|"&amp;H1608)</f>
        <v/>
      </c>
      <c r="J1608" s="6">
        <f>IF(C1608="","",IF(H1608=1,SUMIFS('Opening Balance'!$F$4:$F$303,'Opening Balance'!$G$4:$G$303,C1608),INDEX($L$2:$L$3001,MATCH(C1608&amp;"|"&amp;(H1608-1),$I$2:$I$3001,0))))</f>
        <v/>
      </c>
      <c r="K1608" s="6">
        <f>IF(C1608="","",IF(M1608&gt;0,M1608,IF(AND(E1608&gt;0,ROUND(J1608+D1608-E1608,2)&gt;0,ROUND(J1608+D1608-E1608,2)&lt;'Opening Balance'!$B$14),ROUND(J1608+D1608-E1608,2),0)))</f>
        <v/>
      </c>
      <c r="L1608" s="6">
        <f>IF(C1608="","",ROUND(J1608+D1608-E1608-K1608,2))</f>
        <v/>
      </c>
      <c r="M1608" s="6">
        <f>IF(C1608="","",0)</f>
        <v/>
      </c>
    </row>
    <row r="1609">
      <c r="A1609" t="inlineStr">
        <is>
          <t>Bank 银行</t>
        </is>
      </c>
      <c r="B1609" s="5">
        <f>IF(AND('Daily Sale entry '!Z109="Online collection 网上收款",'Daily Sale entry '!AA109&lt;&gt;""),'Daily Sale entry '!X109,"")</f>
        <v/>
      </c>
      <c r="C1609">
        <f>IF(B1609="","",'Daily Sale entry '!AA109)</f>
        <v/>
      </c>
      <c r="D1609">
        <f>IF(C1609="","",0)</f>
        <v/>
      </c>
      <c r="E1609">
        <f>IF(C1609="","",'Daily Sale entry '!AC109)</f>
        <v/>
      </c>
      <c r="F1609" s="37">
        <f>IF(C1609="","",B1609+IF(E1609&gt;0,0,0.5)+ROW()/10000000)</f>
        <v/>
      </c>
      <c r="G1609">
        <f>IF(C1609="","","Collection 收款 (Online 网上)"&amp;IF('Daily Sale entry '!Y109="",""," - "&amp;'Daily Sale entry '!Y109))</f>
        <v/>
      </c>
      <c r="H1609">
        <f>IF(C1609="","",COUNTIFS($C$2:$C$3001,C1609,$F$2:$F$3001,"&lt;"&amp;F1609)+1)</f>
        <v/>
      </c>
      <c r="I1609">
        <f>IF(C1609="","",C1609&amp;"|"&amp;H1609)</f>
        <v/>
      </c>
      <c r="J1609" s="6">
        <f>IF(C1609="","",IF(H1609=1,SUMIFS('Opening Balance'!$F$4:$F$303,'Opening Balance'!$G$4:$G$303,C1609),INDEX($L$2:$L$3001,MATCH(C1609&amp;"|"&amp;(H1609-1),$I$2:$I$3001,0))))</f>
        <v/>
      </c>
      <c r="K1609" s="6">
        <f>IF(C1609="","",IF(M1609&gt;0,M1609,IF(AND(E1609&gt;0,ROUND(J1609+D1609-E1609,2)&gt;0,ROUND(J1609+D1609-E1609,2)&lt;'Opening Balance'!$B$14),ROUND(J1609+D1609-E1609,2),0)))</f>
        <v/>
      </c>
      <c r="L1609" s="6">
        <f>IF(C1609="","",ROUND(J1609+D1609-E1609-K1609,2))</f>
        <v/>
      </c>
      <c r="M1609" s="6">
        <f>IF(C1609="","",0)</f>
        <v/>
      </c>
    </row>
    <row r="1610">
      <c r="A1610" t="inlineStr">
        <is>
          <t>Bank 银行</t>
        </is>
      </c>
      <c r="B1610" s="5">
        <f>IF(AND('Daily Sale entry '!Z110="Online collection 网上收款",'Daily Sale entry '!AA110&lt;&gt;""),'Daily Sale entry '!X110,"")</f>
        <v/>
      </c>
      <c r="C1610">
        <f>IF(B1610="","",'Daily Sale entry '!AA110)</f>
        <v/>
      </c>
      <c r="D1610">
        <f>IF(C1610="","",0)</f>
        <v/>
      </c>
      <c r="E1610">
        <f>IF(C1610="","",'Daily Sale entry '!AC110)</f>
        <v/>
      </c>
      <c r="F1610" s="37">
        <f>IF(C1610="","",B1610+IF(E1610&gt;0,0,0.5)+ROW()/10000000)</f>
        <v/>
      </c>
      <c r="G1610">
        <f>IF(C1610="","","Collection 收款 (Online 网上)"&amp;IF('Daily Sale entry '!Y110="",""," - "&amp;'Daily Sale entry '!Y110))</f>
        <v/>
      </c>
      <c r="H1610">
        <f>IF(C1610="","",COUNTIFS($C$2:$C$3001,C1610,$F$2:$F$3001,"&lt;"&amp;F1610)+1)</f>
        <v/>
      </c>
      <c r="I1610">
        <f>IF(C1610="","",C1610&amp;"|"&amp;H1610)</f>
        <v/>
      </c>
      <c r="J1610" s="6">
        <f>IF(C1610="","",IF(H1610=1,SUMIFS('Opening Balance'!$F$4:$F$303,'Opening Balance'!$G$4:$G$303,C1610),INDEX($L$2:$L$3001,MATCH(C1610&amp;"|"&amp;(H1610-1),$I$2:$I$3001,0))))</f>
        <v/>
      </c>
      <c r="K1610" s="6">
        <f>IF(C1610="","",IF(M1610&gt;0,M1610,IF(AND(E1610&gt;0,ROUND(J1610+D1610-E1610,2)&gt;0,ROUND(J1610+D1610-E1610,2)&lt;'Opening Balance'!$B$14),ROUND(J1610+D1610-E1610,2),0)))</f>
        <v/>
      </c>
      <c r="L1610" s="6">
        <f>IF(C1610="","",ROUND(J1610+D1610-E1610-K1610,2))</f>
        <v/>
      </c>
      <c r="M1610" s="6">
        <f>IF(C1610="","",0)</f>
        <v/>
      </c>
    </row>
    <row r="1611">
      <c r="A1611" t="inlineStr">
        <is>
          <t>Bank 银行</t>
        </is>
      </c>
      <c r="B1611" s="5">
        <f>IF(AND('Daily Sale entry '!Z111="Online collection 网上收款",'Daily Sale entry '!AA111&lt;&gt;""),'Daily Sale entry '!X111,"")</f>
        <v/>
      </c>
      <c r="C1611">
        <f>IF(B1611="","",'Daily Sale entry '!AA111)</f>
        <v/>
      </c>
      <c r="D1611">
        <f>IF(C1611="","",0)</f>
        <v/>
      </c>
      <c r="E1611">
        <f>IF(C1611="","",'Daily Sale entry '!AC111)</f>
        <v/>
      </c>
      <c r="F1611" s="37">
        <f>IF(C1611="","",B1611+IF(E1611&gt;0,0,0.5)+ROW()/10000000)</f>
        <v/>
      </c>
      <c r="G1611">
        <f>IF(C1611="","","Collection 收款 (Online 网上)"&amp;IF('Daily Sale entry '!Y111="",""," - "&amp;'Daily Sale entry '!Y111))</f>
        <v/>
      </c>
      <c r="H1611">
        <f>IF(C1611="","",COUNTIFS($C$2:$C$3001,C1611,$F$2:$F$3001,"&lt;"&amp;F1611)+1)</f>
        <v/>
      </c>
      <c r="I1611">
        <f>IF(C1611="","",C1611&amp;"|"&amp;H1611)</f>
        <v/>
      </c>
      <c r="J1611" s="6">
        <f>IF(C1611="","",IF(H1611=1,SUMIFS('Opening Balance'!$F$4:$F$303,'Opening Balance'!$G$4:$G$303,C1611),INDEX($L$2:$L$3001,MATCH(C1611&amp;"|"&amp;(H1611-1),$I$2:$I$3001,0))))</f>
        <v/>
      </c>
      <c r="K1611" s="6">
        <f>IF(C1611="","",IF(M1611&gt;0,M1611,IF(AND(E1611&gt;0,ROUND(J1611+D1611-E1611,2)&gt;0,ROUND(J1611+D1611-E1611,2)&lt;'Opening Balance'!$B$14),ROUND(J1611+D1611-E1611,2),0)))</f>
        <v/>
      </c>
      <c r="L1611" s="6">
        <f>IF(C1611="","",ROUND(J1611+D1611-E1611-K1611,2))</f>
        <v/>
      </c>
      <c r="M1611" s="6">
        <f>IF(C1611="","",0)</f>
        <v/>
      </c>
    </row>
    <row r="1612">
      <c r="A1612" t="inlineStr">
        <is>
          <t>Bank 银行</t>
        </is>
      </c>
      <c r="B1612" s="5">
        <f>IF(AND('Daily Sale entry '!Z112="Online collection 网上收款",'Daily Sale entry '!AA112&lt;&gt;""),'Daily Sale entry '!X112,"")</f>
        <v/>
      </c>
      <c r="C1612">
        <f>IF(B1612="","",'Daily Sale entry '!AA112)</f>
        <v/>
      </c>
      <c r="D1612">
        <f>IF(C1612="","",0)</f>
        <v/>
      </c>
      <c r="E1612">
        <f>IF(C1612="","",'Daily Sale entry '!AC112)</f>
        <v/>
      </c>
      <c r="F1612" s="37">
        <f>IF(C1612="","",B1612+IF(E1612&gt;0,0,0.5)+ROW()/10000000)</f>
        <v/>
      </c>
      <c r="G1612">
        <f>IF(C1612="","","Collection 收款 (Online 网上)"&amp;IF('Daily Sale entry '!Y112="",""," - "&amp;'Daily Sale entry '!Y112))</f>
        <v/>
      </c>
      <c r="H1612">
        <f>IF(C1612="","",COUNTIFS($C$2:$C$3001,C1612,$F$2:$F$3001,"&lt;"&amp;F1612)+1)</f>
        <v/>
      </c>
      <c r="I1612">
        <f>IF(C1612="","",C1612&amp;"|"&amp;H1612)</f>
        <v/>
      </c>
      <c r="J1612" s="6">
        <f>IF(C1612="","",IF(H1612=1,SUMIFS('Opening Balance'!$F$4:$F$303,'Opening Balance'!$G$4:$G$303,C1612),INDEX($L$2:$L$3001,MATCH(C1612&amp;"|"&amp;(H1612-1),$I$2:$I$3001,0))))</f>
        <v/>
      </c>
      <c r="K1612" s="6">
        <f>IF(C1612="","",IF(M1612&gt;0,M1612,IF(AND(E1612&gt;0,ROUND(J1612+D1612-E1612,2)&gt;0,ROUND(J1612+D1612-E1612,2)&lt;'Opening Balance'!$B$14),ROUND(J1612+D1612-E1612,2),0)))</f>
        <v/>
      </c>
      <c r="L1612" s="6">
        <f>IF(C1612="","",ROUND(J1612+D1612-E1612-K1612,2))</f>
        <v/>
      </c>
      <c r="M1612" s="6">
        <f>IF(C1612="","",0)</f>
        <v/>
      </c>
    </row>
    <row r="1613">
      <c r="A1613" t="inlineStr">
        <is>
          <t>Bank 银行</t>
        </is>
      </c>
      <c r="B1613" s="5">
        <f>IF(AND('Daily Sale entry '!Z113="Online collection 网上收款",'Daily Sale entry '!AA113&lt;&gt;""),'Daily Sale entry '!X113,"")</f>
        <v/>
      </c>
      <c r="C1613">
        <f>IF(B1613="","",'Daily Sale entry '!AA113)</f>
        <v/>
      </c>
      <c r="D1613">
        <f>IF(C1613="","",0)</f>
        <v/>
      </c>
      <c r="E1613">
        <f>IF(C1613="","",'Daily Sale entry '!AC113)</f>
        <v/>
      </c>
      <c r="F1613" s="37">
        <f>IF(C1613="","",B1613+IF(E1613&gt;0,0,0.5)+ROW()/10000000)</f>
        <v/>
      </c>
      <c r="G1613">
        <f>IF(C1613="","","Collection 收款 (Online 网上)"&amp;IF('Daily Sale entry '!Y113="",""," - "&amp;'Daily Sale entry '!Y113))</f>
        <v/>
      </c>
      <c r="H1613">
        <f>IF(C1613="","",COUNTIFS($C$2:$C$3001,C1613,$F$2:$F$3001,"&lt;"&amp;F1613)+1)</f>
        <v/>
      </c>
      <c r="I1613">
        <f>IF(C1613="","",C1613&amp;"|"&amp;H1613)</f>
        <v/>
      </c>
      <c r="J1613" s="6">
        <f>IF(C1613="","",IF(H1613=1,SUMIFS('Opening Balance'!$F$4:$F$303,'Opening Balance'!$G$4:$G$303,C1613),INDEX($L$2:$L$3001,MATCH(C1613&amp;"|"&amp;(H1613-1),$I$2:$I$3001,0))))</f>
        <v/>
      </c>
      <c r="K1613" s="6">
        <f>IF(C1613="","",IF(M1613&gt;0,M1613,IF(AND(E1613&gt;0,ROUND(J1613+D1613-E1613,2)&gt;0,ROUND(J1613+D1613-E1613,2)&lt;'Opening Balance'!$B$14),ROUND(J1613+D1613-E1613,2),0)))</f>
        <v/>
      </c>
      <c r="L1613" s="6">
        <f>IF(C1613="","",ROUND(J1613+D1613-E1613-K1613,2))</f>
        <v/>
      </c>
      <c r="M1613" s="6">
        <f>IF(C1613="","",0)</f>
        <v/>
      </c>
    </row>
    <row r="1614">
      <c r="A1614" t="inlineStr">
        <is>
          <t>Bank 银行</t>
        </is>
      </c>
      <c r="B1614" s="5">
        <f>IF(AND('Daily Sale entry '!Z114="Online collection 网上收款",'Daily Sale entry '!AA114&lt;&gt;""),'Daily Sale entry '!X114,"")</f>
        <v/>
      </c>
      <c r="C1614">
        <f>IF(B1614="","",'Daily Sale entry '!AA114)</f>
        <v/>
      </c>
      <c r="D1614">
        <f>IF(C1614="","",0)</f>
        <v/>
      </c>
      <c r="E1614">
        <f>IF(C1614="","",'Daily Sale entry '!AC114)</f>
        <v/>
      </c>
      <c r="F1614" s="37">
        <f>IF(C1614="","",B1614+IF(E1614&gt;0,0,0.5)+ROW()/10000000)</f>
        <v/>
      </c>
      <c r="G1614">
        <f>IF(C1614="","","Collection 收款 (Online 网上)"&amp;IF('Daily Sale entry '!Y114="",""," - "&amp;'Daily Sale entry '!Y114))</f>
        <v/>
      </c>
      <c r="H1614">
        <f>IF(C1614="","",COUNTIFS($C$2:$C$3001,C1614,$F$2:$F$3001,"&lt;"&amp;F1614)+1)</f>
        <v/>
      </c>
      <c r="I1614">
        <f>IF(C1614="","",C1614&amp;"|"&amp;H1614)</f>
        <v/>
      </c>
      <c r="J1614" s="6">
        <f>IF(C1614="","",IF(H1614=1,SUMIFS('Opening Balance'!$F$4:$F$303,'Opening Balance'!$G$4:$G$303,C1614),INDEX($L$2:$L$3001,MATCH(C1614&amp;"|"&amp;(H1614-1),$I$2:$I$3001,0))))</f>
        <v/>
      </c>
      <c r="K1614" s="6">
        <f>IF(C1614="","",IF(M1614&gt;0,M1614,IF(AND(E1614&gt;0,ROUND(J1614+D1614-E1614,2)&gt;0,ROUND(J1614+D1614-E1614,2)&lt;'Opening Balance'!$B$14),ROUND(J1614+D1614-E1614,2),0)))</f>
        <v/>
      </c>
      <c r="L1614" s="6">
        <f>IF(C1614="","",ROUND(J1614+D1614-E1614-K1614,2))</f>
        <v/>
      </c>
      <c r="M1614" s="6">
        <f>IF(C1614="","",0)</f>
        <v/>
      </c>
    </row>
    <row r="1615">
      <c r="A1615" t="inlineStr">
        <is>
          <t>Bank 银行</t>
        </is>
      </c>
      <c r="B1615" s="5">
        <f>IF(AND('Daily Sale entry '!Z115="Online collection 网上收款",'Daily Sale entry '!AA115&lt;&gt;""),'Daily Sale entry '!X115,"")</f>
        <v/>
      </c>
      <c r="C1615">
        <f>IF(B1615="","",'Daily Sale entry '!AA115)</f>
        <v/>
      </c>
      <c r="D1615">
        <f>IF(C1615="","",0)</f>
        <v/>
      </c>
      <c r="E1615">
        <f>IF(C1615="","",'Daily Sale entry '!AC115)</f>
        <v/>
      </c>
      <c r="F1615" s="37">
        <f>IF(C1615="","",B1615+IF(E1615&gt;0,0,0.5)+ROW()/10000000)</f>
        <v/>
      </c>
      <c r="G1615">
        <f>IF(C1615="","","Collection 收款 (Online 网上)"&amp;IF('Daily Sale entry '!Y115="",""," - "&amp;'Daily Sale entry '!Y115))</f>
        <v/>
      </c>
      <c r="H1615">
        <f>IF(C1615="","",COUNTIFS($C$2:$C$3001,C1615,$F$2:$F$3001,"&lt;"&amp;F1615)+1)</f>
        <v/>
      </c>
      <c r="I1615">
        <f>IF(C1615="","",C1615&amp;"|"&amp;H1615)</f>
        <v/>
      </c>
      <c r="J1615" s="6">
        <f>IF(C1615="","",IF(H1615=1,SUMIFS('Opening Balance'!$F$4:$F$303,'Opening Balance'!$G$4:$G$303,C1615),INDEX($L$2:$L$3001,MATCH(C1615&amp;"|"&amp;(H1615-1),$I$2:$I$3001,0))))</f>
        <v/>
      </c>
      <c r="K1615" s="6">
        <f>IF(C1615="","",IF(M1615&gt;0,M1615,IF(AND(E1615&gt;0,ROUND(J1615+D1615-E1615,2)&gt;0,ROUND(J1615+D1615-E1615,2)&lt;'Opening Balance'!$B$14),ROUND(J1615+D1615-E1615,2),0)))</f>
        <v/>
      </c>
      <c r="L1615" s="6">
        <f>IF(C1615="","",ROUND(J1615+D1615-E1615-K1615,2))</f>
        <v/>
      </c>
      <c r="M1615" s="6">
        <f>IF(C1615="","",0)</f>
        <v/>
      </c>
    </row>
    <row r="1616">
      <c r="A1616" t="inlineStr">
        <is>
          <t>Bank 银行</t>
        </is>
      </c>
      <c r="B1616" s="5">
        <f>IF(AND('Daily Sale entry '!Z116="Online collection 网上收款",'Daily Sale entry '!AA116&lt;&gt;""),'Daily Sale entry '!X116,"")</f>
        <v/>
      </c>
      <c r="C1616">
        <f>IF(B1616="","",'Daily Sale entry '!AA116)</f>
        <v/>
      </c>
      <c r="D1616">
        <f>IF(C1616="","",0)</f>
        <v/>
      </c>
      <c r="E1616">
        <f>IF(C1616="","",'Daily Sale entry '!AC116)</f>
        <v/>
      </c>
      <c r="F1616" s="37">
        <f>IF(C1616="","",B1616+IF(E1616&gt;0,0,0.5)+ROW()/10000000)</f>
        <v/>
      </c>
      <c r="G1616">
        <f>IF(C1616="","","Collection 收款 (Online 网上)"&amp;IF('Daily Sale entry '!Y116="",""," - "&amp;'Daily Sale entry '!Y116))</f>
        <v/>
      </c>
      <c r="H1616">
        <f>IF(C1616="","",COUNTIFS($C$2:$C$3001,C1616,$F$2:$F$3001,"&lt;"&amp;F1616)+1)</f>
        <v/>
      </c>
      <c r="I1616">
        <f>IF(C1616="","",C1616&amp;"|"&amp;H1616)</f>
        <v/>
      </c>
      <c r="J1616" s="6">
        <f>IF(C1616="","",IF(H1616=1,SUMIFS('Opening Balance'!$F$4:$F$303,'Opening Balance'!$G$4:$G$303,C1616),INDEX($L$2:$L$3001,MATCH(C1616&amp;"|"&amp;(H1616-1),$I$2:$I$3001,0))))</f>
        <v/>
      </c>
      <c r="K1616" s="6">
        <f>IF(C1616="","",IF(M1616&gt;0,M1616,IF(AND(E1616&gt;0,ROUND(J1616+D1616-E1616,2)&gt;0,ROUND(J1616+D1616-E1616,2)&lt;'Opening Balance'!$B$14),ROUND(J1616+D1616-E1616,2),0)))</f>
        <v/>
      </c>
      <c r="L1616" s="6">
        <f>IF(C1616="","",ROUND(J1616+D1616-E1616-K1616,2))</f>
        <v/>
      </c>
      <c r="M1616" s="6">
        <f>IF(C1616="","",0)</f>
        <v/>
      </c>
    </row>
    <row r="1617">
      <c r="A1617" t="inlineStr">
        <is>
          <t>Bank 银行</t>
        </is>
      </c>
      <c r="B1617" s="5">
        <f>IF(AND('Daily Sale entry '!Z117="Online collection 网上收款",'Daily Sale entry '!AA117&lt;&gt;""),'Daily Sale entry '!X117,"")</f>
        <v/>
      </c>
      <c r="C1617">
        <f>IF(B1617="","",'Daily Sale entry '!AA117)</f>
        <v/>
      </c>
      <c r="D1617">
        <f>IF(C1617="","",0)</f>
        <v/>
      </c>
      <c r="E1617">
        <f>IF(C1617="","",'Daily Sale entry '!AC117)</f>
        <v/>
      </c>
      <c r="F1617" s="37">
        <f>IF(C1617="","",B1617+IF(E1617&gt;0,0,0.5)+ROW()/10000000)</f>
        <v/>
      </c>
      <c r="G1617">
        <f>IF(C1617="","","Collection 收款 (Online 网上)"&amp;IF('Daily Sale entry '!Y117="",""," - "&amp;'Daily Sale entry '!Y117))</f>
        <v/>
      </c>
      <c r="H1617">
        <f>IF(C1617="","",COUNTIFS($C$2:$C$3001,C1617,$F$2:$F$3001,"&lt;"&amp;F1617)+1)</f>
        <v/>
      </c>
      <c r="I1617">
        <f>IF(C1617="","",C1617&amp;"|"&amp;H1617)</f>
        <v/>
      </c>
      <c r="J1617" s="6">
        <f>IF(C1617="","",IF(H1617=1,SUMIFS('Opening Balance'!$F$4:$F$303,'Opening Balance'!$G$4:$G$303,C1617),INDEX($L$2:$L$3001,MATCH(C1617&amp;"|"&amp;(H1617-1),$I$2:$I$3001,0))))</f>
        <v/>
      </c>
      <c r="K1617" s="6">
        <f>IF(C1617="","",IF(M1617&gt;0,M1617,IF(AND(E1617&gt;0,ROUND(J1617+D1617-E1617,2)&gt;0,ROUND(J1617+D1617-E1617,2)&lt;'Opening Balance'!$B$14),ROUND(J1617+D1617-E1617,2),0)))</f>
        <v/>
      </c>
      <c r="L1617" s="6">
        <f>IF(C1617="","",ROUND(J1617+D1617-E1617-K1617,2))</f>
        <v/>
      </c>
      <c r="M1617" s="6">
        <f>IF(C1617="","",0)</f>
        <v/>
      </c>
    </row>
    <row r="1618">
      <c r="A1618" t="inlineStr">
        <is>
          <t>Bank 银行</t>
        </is>
      </c>
      <c r="B1618" s="5">
        <f>IF(AND('Daily Sale entry '!Z118="Online collection 网上收款",'Daily Sale entry '!AA118&lt;&gt;""),'Daily Sale entry '!X118,"")</f>
        <v/>
      </c>
      <c r="C1618">
        <f>IF(B1618="","",'Daily Sale entry '!AA118)</f>
        <v/>
      </c>
      <c r="D1618">
        <f>IF(C1618="","",0)</f>
        <v/>
      </c>
      <c r="E1618">
        <f>IF(C1618="","",'Daily Sale entry '!AC118)</f>
        <v/>
      </c>
      <c r="F1618" s="37">
        <f>IF(C1618="","",B1618+IF(E1618&gt;0,0,0.5)+ROW()/10000000)</f>
        <v/>
      </c>
      <c r="G1618">
        <f>IF(C1618="","","Collection 收款 (Online 网上)"&amp;IF('Daily Sale entry '!Y118="",""," - "&amp;'Daily Sale entry '!Y118))</f>
        <v/>
      </c>
      <c r="H1618">
        <f>IF(C1618="","",COUNTIFS($C$2:$C$3001,C1618,$F$2:$F$3001,"&lt;"&amp;F1618)+1)</f>
        <v/>
      </c>
      <c r="I1618">
        <f>IF(C1618="","",C1618&amp;"|"&amp;H1618)</f>
        <v/>
      </c>
      <c r="J1618" s="6">
        <f>IF(C1618="","",IF(H1618=1,SUMIFS('Opening Balance'!$F$4:$F$303,'Opening Balance'!$G$4:$G$303,C1618),INDEX($L$2:$L$3001,MATCH(C1618&amp;"|"&amp;(H1618-1),$I$2:$I$3001,0))))</f>
        <v/>
      </c>
      <c r="K1618" s="6">
        <f>IF(C1618="","",IF(M1618&gt;0,M1618,IF(AND(E1618&gt;0,ROUND(J1618+D1618-E1618,2)&gt;0,ROUND(J1618+D1618-E1618,2)&lt;'Opening Balance'!$B$14),ROUND(J1618+D1618-E1618,2),0)))</f>
        <v/>
      </c>
      <c r="L1618" s="6">
        <f>IF(C1618="","",ROUND(J1618+D1618-E1618-K1618,2))</f>
        <v/>
      </c>
      <c r="M1618" s="6">
        <f>IF(C1618="","",0)</f>
        <v/>
      </c>
    </row>
    <row r="1619">
      <c r="A1619" t="inlineStr">
        <is>
          <t>Bank 银行</t>
        </is>
      </c>
      <c r="B1619" s="5">
        <f>IF(AND('Daily Sale entry '!Z119="Online collection 网上收款",'Daily Sale entry '!AA119&lt;&gt;""),'Daily Sale entry '!X119,"")</f>
        <v/>
      </c>
      <c r="C1619">
        <f>IF(B1619="","",'Daily Sale entry '!AA119)</f>
        <v/>
      </c>
      <c r="D1619">
        <f>IF(C1619="","",0)</f>
        <v/>
      </c>
      <c r="E1619">
        <f>IF(C1619="","",'Daily Sale entry '!AC119)</f>
        <v/>
      </c>
      <c r="F1619" s="37">
        <f>IF(C1619="","",B1619+IF(E1619&gt;0,0,0.5)+ROW()/10000000)</f>
        <v/>
      </c>
      <c r="G1619">
        <f>IF(C1619="","","Collection 收款 (Online 网上)"&amp;IF('Daily Sale entry '!Y119="",""," - "&amp;'Daily Sale entry '!Y119))</f>
        <v/>
      </c>
      <c r="H1619">
        <f>IF(C1619="","",COUNTIFS($C$2:$C$3001,C1619,$F$2:$F$3001,"&lt;"&amp;F1619)+1)</f>
        <v/>
      </c>
      <c r="I1619">
        <f>IF(C1619="","",C1619&amp;"|"&amp;H1619)</f>
        <v/>
      </c>
      <c r="J1619" s="6">
        <f>IF(C1619="","",IF(H1619=1,SUMIFS('Opening Balance'!$F$4:$F$303,'Opening Balance'!$G$4:$G$303,C1619),INDEX($L$2:$L$3001,MATCH(C1619&amp;"|"&amp;(H1619-1),$I$2:$I$3001,0))))</f>
        <v/>
      </c>
      <c r="K1619" s="6">
        <f>IF(C1619="","",IF(M1619&gt;0,M1619,IF(AND(E1619&gt;0,ROUND(J1619+D1619-E1619,2)&gt;0,ROUND(J1619+D1619-E1619,2)&lt;'Opening Balance'!$B$14),ROUND(J1619+D1619-E1619,2),0)))</f>
        <v/>
      </c>
      <c r="L1619" s="6">
        <f>IF(C1619="","",ROUND(J1619+D1619-E1619-K1619,2))</f>
        <v/>
      </c>
      <c r="M1619" s="6">
        <f>IF(C1619="","",0)</f>
        <v/>
      </c>
    </row>
    <row r="1620">
      <c r="A1620" t="inlineStr">
        <is>
          <t>Bank 银行</t>
        </is>
      </c>
      <c r="B1620" s="5">
        <f>IF(AND('Daily Sale entry '!Z120="Online collection 网上收款",'Daily Sale entry '!AA120&lt;&gt;""),'Daily Sale entry '!X120,"")</f>
        <v/>
      </c>
      <c r="C1620">
        <f>IF(B1620="","",'Daily Sale entry '!AA120)</f>
        <v/>
      </c>
      <c r="D1620">
        <f>IF(C1620="","",0)</f>
        <v/>
      </c>
      <c r="E1620">
        <f>IF(C1620="","",'Daily Sale entry '!AC120)</f>
        <v/>
      </c>
      <c r="F1620" s="37">
        <f>IF(C1620="","",B1620+IF(E1620&gt;0,0,0.5)+ROW()/10000000)</f>
        <v/>
      </c>
      <c r="G1620">
        <f>IF(C1620="","","Collection 收款 (Online 网上)"&amp;IF('Daily Sale entry '!Y120="",""," - "&amp;'Daily Sale entry '!Y120))</f>
        <v/>
      </c>
      <c r="H1620">
        <f>IF(C1620="","",COUNTIFS($C$2:$C$3001,C1620,$F$2:$F$3001,"&lt;"&amp;F1620)+1)</f>
        <v/>
      </c>
      <c r="I1620">
        <f>IF(C1620="","",C1620&amp;"|"&amp;H1620)</f>
        <v/>
      </c>
      <c r="J1620" s="6">
        <f>IF(C1620="","",IF(H1620=1,SUMIFS('Opening Balance'!$F$4:$F$303,'Opening Balance'!$G$4:$G$303,C1620),INDEX($L$2:$L$3001,MATCH(C1620&amp;"|"&amp;(H1620-1),$I$2:$I$3001,0))))</f>
        <v/>
      </c>
      <c r="K1620" s="6">
        <f>IF(C1620="","",IF(M1620&gt;0,M1620,IF(AND(E1620&gt;0,ROUND(J1620+D1620-E1620,2)&gt;0,ROUND(J1620+D1620-E1620,2)&lt;'Opening Balance'!$B$14),ROUND(J1620+D1620-E1620,2),0)))</f>
        <v/>
      </c>
      <c r="L1620" s="6">
        <f>IF(C1620="","",ROUND(J1620+D1620-E1620-K1620,2))</f>
        <v/>
      </c>
      <c r="M1620" s="6">
        <f>IF(C1620="","",0)</f>
        <v/>
      </c>
    </row>
    <row r="1621">
      <c r="A1621" t="inlineStr">
        <is>
          <t>Bank 银行</t>
        </is>
      </c>
      <c r="B1621" s="5">
        <f>IF(AND('Daily Sale entry '!Z121="Online collection 网上收款",'Daily Sale entry '!AA121&lt;&gt;""),'Daily Sale entry '!X121,"")</f>
        <v/>
      </c>
      <c r="C1621">
        <f>IF(B1621="","",'Daily Sale entry '!AA121)</f>
        <v/>
      </c>
      <c r="D1621">
        <f>IF(C1621="","",0)</f>
        <v/>
      </c>
      <c r="E1621">
        <f>IF(C1621="","",'Daily Sale entry '!AC121)</f>
        <v/>
      </c>
      <c r="F1621" s="37">
        <f>IF(C1621="","",B1621+IF(E1621&gt;0,0,0.5)+ROW()/10000000)</f>
        <v/>
      </c>
      <c r="G1621">
        <f>IF(C1621="","","Collection 收款 (Online 网上)"&amp;IF('Daily Sale entry '!Y121="",""," - "&amp;'Daily Sale entry '!Y121))</f>
        <v/>
      </c>
      <c r="H1621">
        <f>IF(C1621="","",COUNTIFS($C$2:$C$3001,C1621,$F$2:$F$3001,"&lt;"&amp;F1621)+1)</f>
        <v/>
      </c>
      <c r="I1621">
        <f>IF(C1621="","",C1621&amp;"|"&amp;H1621)</f>
        <v/>
      </c>
      <c r="J1621" s="6">
        <f>IF(C1621="","",IF(H1621=1,SUMIFS('Opening Balance'!$F$4:$F$303,'Opening Balance'!$G$4:$G$303,C1621),INDEX($L$2:$L$3001,MATCH(C1621&amp;"|"&amp;(H1621-1),$I$2:$I$3001,0))))</f>
        <v/>
      </c>
      <c r="K1621" s="6">
        <f>IF(C1621="","",IF(M1621&gt;0,M1621,IF(AND(E1621&gt;0,ROUND(J1621+D1621-E1621,2)&gt;0,ROUND(J1621+D1621-E1621,2)&lt;'Opening Balance'!$B$14),ROUND(J1621+D1621-E1621,2),0)))</f>
        <v/>
      </c>
      <c r="L1621" s="6">
        <f>IF(C1621="","",ROUND(J1621+D1621-E1621-K1621,2))</f>
        <v/>
      </c>
      <c r="M1621" s="6">
        <f>IF(C1621="","",0)</f>
        <v/>
      </c>
    </row>
    <row r="1622">
      <c r="A1622" t="inlineStr">
        <is>
          <t>Bank 银行</t>
        </is>
      </c>
      <c r="B1622" s="5">
        <f>IF(AND('Daily Sale entry '!Z122="Online collection 网上收款",'Daily Sale entry '!AA122&lt;&gt;""),'Daily Sale entry '!X122,"")</f>
        <v/>
      </c>
      <c r="C1622">
        <f>IF(B1622="","",'Daily Sale entry '!AA122)</f>
        <v/>
      </c>
      <c r="D1622">
        <f>IF(C1622="","",0)</f>
        <v/>
      </c>
      <c r="E1622">
        <f>IF(C1622="","",'Daily Sale entry '!AC122)</f>
        <v/>
      </c>
      <c r="F1622" s="37">
        <f>IF(C1622="","",B1622+IF(E1622&gt;0,0,0.5)+ROW()/10000000)</f>
        <v/>
      </c>
      <c r="G1622">
        <f>IF(C1622="","","Collection 收款 (Online 网上)"&amp;IF('Daily Sale entry '!Y122="",""," - "&amp;'Daily Sale entry '!Y122))</f>
        <v/>
      </c>
      <c r="H1622">
        <f>IF(C1622="","",COUNTIFS($C$2:$C$3001,C1622,$F$2:$F$3001,"&lt;"&amp;F1622)+1)</f>
        <v/>
      </c>
      <c r="I1622">
        <f>IF(C1622="","",C1622&amp;"|"&amp;H1622)</f>
        <v/>
      </c>
      <c r="J1622" s="6">
        <f>IF(C1622="","",IF(H1622=1,SUMIFS('Opening Balance'!$F$4:$F$303,'Opening Balance'!$G$4:$G$303,C1622),INDEX($L$2:$L$3001,MATCH(C1622&amp;"|"&amp;(H1622-1),$I$2:$I$3001,0))))</f>
        <v/>
      </c>
      <c r="K1622" s="6">
        <f>IF(C1622="","",IF(M1622&gt;0,M1622,IF(AND(E1622&gt;0,ROUND(J1622+D1622-E1622,2)&gt;0,ROUND(J1622+D1622-E1622,2)&lt;'Opening Balance'!$B$14),ROUND(J1622+D1622-E1622,2),0)))</f>
        <v/>
      </c>
      <c r="L1622" s="6">
        <f>IF(C1622="","",ROUND(J1622+D1622-E1622-K1622,2))</f>
        <v/>
      </c>
      <c r="M1622" s="6">
        <f>IF(C1622="","",0)</f>
        <v/>
      </c>
    </row>
    <row r="1623">
      <c r="A1623" t="inlineStr">
        <is>
          <t>Bank 银行</t>
        </is>
      </c>
      <c r="B1623" s="5">
        <f>IF(AND('Daily Sale entry '!Z123="Online collection 网上收款",'Daily Sale entry '!AA123&lt;&gt;""),'Daily Sale entry '!X123,"")</f>
        <v/>
      </c>
      <c r="C1623">
        <f>IF(B1623="","",'Daily Sale entry '!AA123)</f>
        <v/>
      </c>
      <c r="D1623">
        <f>IF(C1623="","",0)</f>
        <v/>
      </c>
      <c r="E1623">
        <f>IF(C1623="","",'Daily Sale entry '!AC123)</f>
        <v/>
      </c>
      <c r="F1623" s="37">
        <f>IF(C1623="","",B1623+IF(E1623&gt;0,0,0.5)+ROW()/10000000)</f>
        <v/>
      </c>
      <c r="G1623">
        <f>IF(C1623="","","Collection 收款 (Online 网上)"&amp;IF('Daily Sale entry '!Y123="",""," - "&amp;'Daily Sale entry '!Y123))</f>
        <v/>
      </c>
      <c r="H1623">
        <f>IF(C1623="","",COUNTIFS($C$2:$C$3001,C1623,$F$2:$F$3001,"&lt;"&amp;F1623)+1)</f>
        <v/>
      </c>
      <c r="I1623">
        <f>IF(C1623="","",C1623&amp;"|"&amp;H1623)</f>
        <v/>
      </c>
      <c r="J1623" s="6">
        <f>IF(C1623="","",IF(H1623=1,SUMIFS('Opening Balance'!$F$4:$F$303,'Opening Balance'!$G$4:$G$303,C1623),INDEX($L$2:$L$3001,MATCH(C1623&amp;"|"&amp;(H1623-1),$I$2:$I$3001,0))))</f>
        <v/>
      </c>
      <c r="K1623" s="6">
        <f>IF(C1623="","",IF(M1623&gt;0,M1623,IF(AND(E1623&gt;0,ROUND(J1623+D1623-E1623,2)&gt;0,ROUND(J1623+D1623-E1623,2)&lt;'Opening Balance'!$B$14),ROUND(J1623+D1623-E1623,2),0)))</f>
        <v/>
      </c>
      <c r="L1623" s="6">
        <f>IF(C1623="","",ROUND(J1623+D1623-E1623-K1623,2))</f>
        <v/>
      </c>
      <c r="M1623" s="6">
        <f>IF(C1623="","",0)</f>
        <v/>
      </c>
    </row>
    <row r="1624">
      <c r="A1624" t="inlineStr">
        <is>
          <t>Bank 银行</t>
        </is>
      </c>
      <c r="B1624" s="5">
        <f>IF(AND('Daily Sale entry '!Z124="Online collection 网上收款",'Daily Sale entry '!AA124&lt;&gt;""),'Daily Sale entry '!X124,"")</f>
        <v/>
      </c>
      <c r="C1624">
        <f>IF(B1624="","",'Daily Sale entry '!AA124)</f>
        <v/>
      </c>
      <c r="D1624">
        <f>IF(C1624="","",0)</f>
        <v/>
      </c>
      <c r="E1624">
        <f>IF(C1624="","",'Daily Sale entry '!AC124)</f>
        <v/>
      </c>
      <c r="F1624" s="37">
        <f>IF(C1624="","",B1624+IF(E1624&gt;0,0,0.5)+ROW()/10000000)</f>
        <v/>
      </c>
      <c r="G1624">
        <f>IF(C1624="","","Collection 收款 (Online 网上)"&amp;IF('Daily Sale entry '!Y124="",""," - "&amp;'Daily Sale entry '!Y124))</f>
        <v/>
      </c>
      <c r="H1624">
        <f>IF(C1624="","",COUNTIFS($C$2:$C$3001,C1624,$F$2:$F$3001,"&lt;"&amp;F1624)+1)</f>
        <v/>
      </c>
      <c r="I1624">
        <f>IF(C1624="","",C1624&amp;"|"&amp;H1624)</f>
        <v/>
      </c>
      <c r="J1624" s="6">
        <f>IF(C1624="","",IF(H1624=1,SUMIFS('Opening Balance'!$F$4:$F$303,'Opening Balance'!$G$4:$G$303,C1624),INDEX($L$2:$L$3001,MATCH(C1624&amp;"|"&amp;(H1624-1),$I$2:$I$3001,0))))</f>
        <v/>
      </c>
      <c r="K1624" s="6">
        <f>IF(C1624="","",IF(M1624&gt;0,M1624,IF(AND(E1624&gt;0,ROUND(J1624+D1624-E1624,2)&gt;0,ROUND(J1624+D1624-E1624,2)&lt;'Opening Balance'!$B$14),ROUND(J1624+D1624-E1624,2),0)))</f>
        <v/>
      </c>
      <c r="L1624" s="6">
        <f>IF(C1624="","",ROUND(J1624+D1624-E1624-K1624,2))</f>
        <v/>
      </c>
      <c r="M1624" s="6">
        <f>IF(C1624="","",0)</f>
        <v/>
      </c>
    </row>
    <row r="1625">
      <c r="A1625" t="inlineStr">
        <is>
          <t>Bank 银行</t>
        </is>
      </c>
      <c r="B1625" s="5">
        <f>IF(AND('Daily Sale entry '!Z125="Online collection 网上收款",'Daily Sale entry '!AA125&lt;&gt;""),'Daily Sale entry '!X125,"")</f>
        <v/>
      </c>
      <c r="C1625">
        <f>IF(B1625="","",'Daily Sale entry '!AA125)</f>
        <v/>
      </c>
      <c r="D1625">
        <f>IF(C1625="","",0)</f>
        <v/>
      </c>
      <c r="E1625">
        <f>IF(C1625="","",'Daily Sale entry '!AC125)</f>
        <v/>
      </c>
      <c r="F1625" s="37">
        <f>IF(C1625="","",B1625+IF(E1625&gt;0,0,0.5)+ROW()/10000000)</f>
        <v/>
      </c>
      <c r="G1625">
        <f>IF(C1625="","","Collection 收款 (Online 网上)"&amp;IF('Daily Sale entry '!Y125="",""," - "&amp;'Daily Sale entry '!Y125))</f>
        <v/>
      </c>
      <c r="H1625">
        <f>IF(C1625="","",COUNTIFS($C$2:$C$3001,C1625,$F$2:$F$3001,"&lt;"&amp;F1625)+1)</f>
        <v/>
      </c>
      <c r="I1625">
        <f>IF(C1625="","",C1625&amp;"|"&amp;H1625)</f>
        <v/>
      </c>
      <c r="J1625" s="6">
        <f>IF(C1625="","",IF(H1625=1,SUMIFS('Opening Balance'!$F$4:$F$303,'Opening Balance'!$G$4:$G$303,C1625),INDEX($L$2:$L$3001,MATCH(C1625&amp;"|"&amp;(H1625-1),$I$2:$I$3001,0))))</f>
        <v/>
      </c>
      <c r="K1625" s="6">
        <f>IF(C1625="","",IF(M1625&gt;0,M1625,IF(AND(E1625&gt;0,ROUND(J1625+D1625-E1625,2)&gt;0,ROUND(J1625+D1625-E1625,2)&lt;'Opening Balance'!$B$14),ROUND(J1625+D1625-E1625,2),0)))</f>
        <v/>
      </c>
      <c r="L1625" s="6">
        <f>IF(C1625="","",ROUND(J1625+D1625-E1625-K1625,2))</f>
        <v/>
      </c>
      <c r="M1625" s="6">
        <f>IF(C1625="","",0)</f>
        <v/>
      </c>
    </row>
    <row r="1626">
      <c r="A1626" t="inlineStr">
        <is>
          <t>Bank 银行</t>
        </is>
      </c>
      <c r="B1626" s="5">
        <f>IF(AND('Daily Sale entry '!Z126="Online collection 网上收款",'Daily Sale entry '!AA126&lt;&gt;""),'Daily Sale entry '!X126,"")</f>
        <v/>
      </c>
      <c r="C1626">
        <f>IF(B1626="","",'Daily Sale entry '!AA126)</f>
        <v/>
      </c>
      <c r="D1626">
        <f>IF(C1626="","",0)</f>
        <v/>
      </c>
      <c r="E1626">
        <f>IF(C1626="","",'Daily Sale entry '!AC126)</f>
        <v/>
      </c>
      <c r="F1626" s="37">
        <f>IF(C1626="","",B1626+IF(E1626&gt;0,0,0.5)+ROW()/10000000)</f>
        <v/>
      </c>
      <c r="G1626">
        <f>IF(C1626="","","Collection 收款 (Online 网上)"&amp;IF('Daily Sale entry '!Y126="",""," - "&amp;'Daily Sale entry '!Y126))</f>
        <v/>
      </c>
      <c r="H1626">
        <f>IF(C1626="","",COUNTIFS($C$2:$C$3001,C1626,$F$2:$F$3001,"&lt;"&amp;F1626)+1)</f>
        <v/>
      </c>
      <c r="I1626">
        <f>IF(C1626="","",C1626&amp;"|"&amp;H1626)</f>
        <v/>
      </c>
      <c r="J1626" s="6">
        <f>IF(C1626="","",IF(H1626=1,SUMIFS('Opening Balance'!$F$4:$F$303,'Opening Balance'!$G$4:$G$303,C1626),INDEX($L$2:$L$3001,MATCH(C1626&amp;"|"&amp;(H1626-1),$I$2:$I$3001,0))))</f>
        <v/>
      </c>
      <c r="K1626" s="6">
        <f>IF(C1626="","",IF(M1626&gt;0,M1626,IF(AND(E1626&gt;0,ROUND(J1626+D1626-E1626,2)&gt;0,ROUND(J1626+D1626-E1626,2)&lt;'Opening Balance'!$B$14),ROUND(J1626+D1626-E1626,2),0)))</f>
        <v/>
      </c>
      <c r="L1626" s="6">
        <f>IF(C1626="","",ROUND(J1626+D1626-E1626-K1626,2))</f>
        <v/>
      </c>
      <c r="M1626" s="6">
        <f>IF(C1626="","",0)</f>
        <v/>
      </c>
    </row>
    <row r="1627">
      <c r="A1627" t="inlineStr">
        <is>
          <t>Bank 银行</t>
        </is>
      </c>
      <c r="B1627" s="5">
        <f>IF(AND('Daily Sale entry '!Z127="Online collection 网上收款",'Daily Sale entry '!AA127&lt;&gt;""),'Daily Sale entry '!X127,"")</f>
        <v/>
      </c>
      <c r="C1627">
        <f>IF(B1627="","",'Daily Sale entry '!AA127)</f>
        <v/>
      </c>
      <c r="D1627">
        <f>IF(C1627="","",0)</f>
        <v/>
      </c>
      <c r="E1627">
        <f>IF(C1627="","",'Daily Sale entry '!AC127)</f>
        <v/>
      </c>
      <c r="F1627" s="37">
        <f>IF(C1627="","",B1627+IF(E1627&gt;0,0,0.5)+ROW()/10000000)</f>
        <v/>
      </c>
      <c r="G1627">
        <f>IF(C1627="","","Collection 收款 (Online 网上)"&amp;IF('Daily Sale entry '!Y127="",""," - "&amp;'Daily Sale entry '!Y127))</f>
        <v/>
      </c>
      <c r="H1627">
        <f>IF(C1627="","",COUNTIFS($C$2:$C$3001,C1627,$F$2:$F$3001,"&lt;"&amp;F1627)+1)</f>
        <v/>
      </c>
      <c r="I1627">
        <f>IF(C1627="","",C1627&amp;"|"&amp;H1627)</f>
        <v/>
      </c>
      <c r="J1627" s="6">
        <f>IF(C1627="","",IF(H1627=1,SUMIFS('Opening Balance'!$F$4:$F$303,'Opening Balance'!$G$4:$G$303,C1627),INDEX($L$2:$L$3001,MATCH(C1627&amp;"|"&amp;(H1627-1),$I$2:$I$3001,0))))</f>
        <v/>
      </c>
      <c r="K1627" s="6">
        <f>IF(C1627="","",IF(M1627&gt;0,M1627,IF(AND(E1627&gt;0,ROUND(J1627+D1627-E1627,2)&gt;0,ROUND(J1627+D1627-E1627,2)&lt;'Opening Balance'!$B$14),ROUND(J1627+D1627-E1627,2),0)))</f>
        <v/>
      </c>
      <c r="L1627" s="6">
        <f>IF(C1627="","",ROUND(J1627+D1627-E1627-K1627,2))</f>
        <v/>
      </c>
      <c r="M1627" s="6">
        <f>IF(C1627="","",0)</f>
        <v/>
      </c>
    </row>
    <row r="1628">
      <c r="A1628" t="inlineStr">
        <is>
          <t>Bank 银行</t>
        </is>
      </c>
      <c r="B1628" s="5">
        <f>IF(AND('Daily Sale entry '!Z128="Online collection 网上收款",'Daily Sale entry '!AA128&lt;&gt;""),'Daily Sale entry '!X128,"")</f>
        <v/>
      </c>
      <c r="C1628">
        <f>IF(B1628="","",'Daily Sale entry '!AA128)</f>
        <v/>
      </c>
      <c r="D1628">
        <f>IF(C1628="","",0)</f>
        <v/>
      </c>
      <c r="E1628">
        <f>IF(C1628="","",'Daily Sale entry '!AC128)</f>
        <v/>
      </c>
      <c r="F1628" s="37">
        <f>IF(C1628="","",B1628+IF(E1628&gt;0,0,0.5)+ROW()/10000000)</f>
        <v/>
      </c>
      <c r="G1628">
        <f>IF(C1628="","","Collection 收款 (Online 网上)"&amp;IF('Daily Sale entry '!Y128="",""," - "&amp;'Daily Sale entry '!Y128))</f>
        <v/>
      </c>
      <c r="H1628">
        <f>IF(C1628="","",COUNTIFS($C$2:$C$3001,C1628,$F$2:$F$3001,"&lt;"&amp;F1628)+1)</f>
        <v/>
      </c>
      <c r="I1628">
        <f>IF(C1628="","",C1628&amp;"|"&amp;H1628)</f>
        <v/>
      </c>
      <c r="J1628" s="6">
        <f>IF(C1628="","",IF(H1628=1,SUMIFS('Opening Balance'!$F$4:$F$303,'Opening Balance'!$G$4:$G$303,C1628),INDEX($L$2:$L$3001,MATCH(C1628&amp;"|"&amp;(H1628-1),$I$2:$I$3001,0))))</f>
        <v/>
      </c>
      <c r="K1628" s="6">
        <f>IF(C1628="","",IF(M1628&gt;0,M1628,IF(AND(E1628&gt;0,ROUND(J1628+D1628-E1628,2)&gt;0,ROUND(J1628+D1628-E1628,2)&lt;'Opening Balance'!$B$14),ROUND(J1628+D1628-E1628,2),0)))</f>
        <v/>
      </c>
      <c r="L1628" s="6">
        <f>IF(C1628="","",ROUND(J1628+D1628-E1628-K1628,2))</f>
        <v/>
      </c>
      <c r="M1628" s="6">
        <f>IF(C1628="","",0)</f>
        <v/>
      </c>
    </row>
    <row r="1629">
      <c r="A1629" t="inlineStr">
        <is>
          <t>Bank 银行</t>
        </is>
      </c>
      <c r="B1629" s="5">
        <f>IF(AND('Daily Sale entry '!Z129="Online collection 网上收款",'Daily Sale entry '!AA129&lt;&gt;""),'Daily Sale entry '!X129,"")</f>
        <v/>
      </c>
      <c r="C1629">
        <f>IF(B1629="","",'Daily Sale entry '!AA129)</f>
        <v/>
      </c>
      <c r="D1629">
        <f>IF(C1629="","",0)</f>
        <v/>
      </c>
      <c r="E1629">
        <f>IF(C1629="","",'Daily Sale entry '!AC129)</f>
        <v/>
      </c>
      <c r="F1629" s="37">
        <f>IF(C1629="","",B1629+IF(E1629&gt;0,0,0.5)+ROW()/10000000)</f>
        <v/>
      </c>
      <c r="G1629">
        <f>IF(C1629="","","Collection 收款 (Online 网上)"&amp;IF('Daily Sale entry '!Y129="",""," - "&amp;'Daily Sale entry '!Y129))</f>
        <v/>
      </c>
      <c r="H1629">
        <f>IF(C1629="","",COUNTIFS($C$2:$C$3001,C1629,$F$2:$F$3001,"&lt;"&amp;F1629)+1)</f>
        <v/>
      </c>
      <c r="I1629">
        <f>IF(C1629="","",C1629&amp;"|"&amp;H1629)</f>
        <v/>
      </c>
      <c r="J1629" s="6">
        <f>IF(C1629="","",IF(H1629=1,SUMIFS('Opening Balance'!$F$4:$F$303,'Opening Balance'!$G$4:$G$303,C1629),INDEX($L$2:$L$3001,MATCH(C1629&amp;"|"&amp;(H1629-1),$I$2:$I$3001,0))))</f>
        <v/>
      </c>
      <c r="K1629" s="6">
        <f>IF(C1629="","",IF(M1629&gt;0,M1629,IF(AND(E1629&gt;0,ROUND(J1629+D1629-E1629,2)&gt;0,ROUND(J1629+D1629-E1629,2)&lt;'Opening Balance'!$B$14),ROUND(J1629+D1629-E1629,2),0)))</f>
        <v/>
      </c>
      <c r="L1629" s="6">
        <f>IF(C1629="","",ROUND(J1629+D1629-E1629-K1629,2))</f>
        <v/>
      </c>
      <c r="M1629" s="6">
        <f>IF(C1629="","",0)</f>
        <v/>
      </c>
    </row>
    <row r="1630">
      <c r="A1630" t="inlineStr">
        <is>
          <t>Bank 银行</t>
        </is>
      </c>
      <c r="B1630" s="5">
        <f>IF(AND('Daily Sale entry '!Z130="Online collection 网上收款",'Daily Sale entry '!AA130&lt;&gt;""),'Daily Sale entry '!X130,"")</f>
        <v/>
      </c>
      <c r="C1630">
        <f>IF(B1630="","",'Daily Sale entry '!AA130)</f>
        <v/>
      </c>
      <c r="D1630">
        <f>IF(C1630="","",0)</f>
        <v/>
      </c>
      <c r="E1630">
        <f>IF(C1630="","",'Daily Sale entry '!AC130)</f>
        <v/>
      </c>
      <c r="F1630" s="37">
        <f>IF(C1630="","",B1630+IF(E1630&gt;0,0,0.5)+ROW()/10000000)</f>
        <v/>
      </c>
      <c r="G1630">
        <f>IF(C1630="","","Collection 收款 (Online 网上)"&amp;IF('Daily Sale entry '!Y130="",""," - "&amp;'Daily Sale entry '!Y130))</f>
        <v/>
      </c>
      <c r="H1630">
        <f>IF(C1630="","",COUNTIFS($C$2:$C$3001,C1630,$F$2:$F$3001,"&lt;"&amp;F1630)+1)</f>
        <v/>
      </c>
      <c r="I1630">
        <f>IF(C1630="","",C1630&amp;"|"&amp;H1630)</f>
        <v/>
      </c>
      <c r="J1630" s="6">
        <f>IF(C1630="","",IF(H1630=1,SUMIFS('Opening Balance'!$F$4:$F$303,'Opening Balance'!$G$4:$G$303,C1630),INDEX($L$2:$L$3001,MATCH(C1630&amp;"|"&amp;(H1630-1),$I$2:$I$3001,0))))</f>
        <v/>
      </c>
      <c r="K1630" s="6">
        <f>IF(C1630="","",IF(M1630&gt;0,M1630,IF(AND(E1630&gt;0,ROUND(J1630+D1630-E1630,2)&gt;0,ROUND(J1630+D1630-E1630,2)&lt;'Opening Balance'!$B$14),ROUND(J1630+D1630-E1630,2),0)))</f>
        <v/>
      </c>
      <c r="L1630" s="6">
        <f>IF(C1630="","",ROUND(J1630+D1630-E1630-K1630,2))</f>
        <v/>
      </c>
      <c r="M1630" s="6">
        <f>IF(C1630="","",0)</f>
        <v/>
      </c>
    </row>
    <row r="1631">
      <c r="A1631" t="inlineStr">
        <is>
          <t>Bank 银行</t>
        </is>
      </c>
      <c r="B1631" s="5">
        <f>IF(AND('Daily Sale entry '!Z131="Online collection 网上收款",'Daily Sale entry '!AA131&lt;&gt;""),'Daily Sale entry '!X131,"")</f>
        <v/>
      </c>
      <c r="C1631">
        <f>IF(B1631="","",'Daily Sale entry '!AA131)</f>
        <v/>
      </c>
      <c r="D1631">
        <f>IF(C1631="","",0)</f>
        <v/>
      </c>
      <c r="E1631">
        <f>IF(C1631="","",'Daily Sale entry '!AC131)</f>
        <v/>
      </c>
      <c r="F1631" s="37">
        <f>IF(C1631="","",B1631+IF(E1631&gt;0,0,0.5)+ROW()/10000000)</f>
        <v/>
      </c>
      <c r="G1631">
        <f>IF(C1631="","","Collection 收款 (Online 网上)"&amp;IF('Daily Sale entry '!Y131="",""," - "&amp;'Daily Sale entry '!Y131))</f>
        <v/>
      </c>
      <c r="H1631">
        <f>IF(C1631="","",COUNTIFS($C$2:$C$3001,C1631,$F$2:$F$3001,"&lt;"&amp;F1631)+1)</f>
        <v/>
      </c>
      <c r="I1631">
        <f>IF(C1631="","",C1631&amp;"|"&amp;H1631)</f>
        <v/>
      </c>
      <c r="J1631" s="6">
        <f>IF(C1631="","",IF(H1631=1,SUMIFS('Opening Balance'!$F$4:$F$303,'Opening Balance'!$G$4:$G$303,C1631),INDEX($L$2:$L$3001,MATCH(C1631&amp;"|"&amp;(H1631-1),$I$2:$I$3001,0))))</f>
        <v/>
      </c>
      <c r="K1631" s="6">
        <f>IF(C1631="","",IF(M1631&gt;0,M1631,IF(AND(E1631&gt;0,ROUND(J1631+D1631-E1631,2)&gt;0,ROUND(J1631+D1631-E1631,2)&lt;'Opening Balance'!$B$14),ROUND(J1631+D1631-E1631,2),0)))</f>
        <v/>
      </c>
      <c r="L1631" s="6">
        <f>IF(C1631="","",ROUND(J1631+D1631-E1631-K1631,2))</f>
        <v/>
      </c>
      <c r="M1631" s="6">
        <f>IF(C1631="","",0)</f>
        <v/>
      </c>
    </row>
    <row r="1632">
      <c r="A1632" t="inlineStr">
        <is>
          <t>Bank 银行</t>
        </is>
      </c>
      <c r="B1632" s="5">
        <f>IF(AND('Daily Sale entry '!Z132="Online collection 网上收款",'Daily Sale entry '!AA132&lt;&gt;""),'Daily Sale entry '!X132,"")</f>
        <v/>
      </c>
      <c r="C1632">
        <f>IF(B1632="","",'Daily Sale entry '!AA132)</f>
        <v/>
      </c>
      <c r="D1632">
        <f>IF(C1632="","",0)</f>
        <v/>
      </c>
      <c r="E1632">
        <f>IF(C1632="","",'Daily Sale entry '!AC132)</f>
        <v/>
      </c>
      <c r="F1632" s="37">
        <f>IF(C1632="","",B1632+IF(E1632&gt;0,0,0.5)+ROW()/10000000)</f>
        <v/>
      </c>
      <c r="G1632">
        <f>IF(C1632="","","Collection 收款 (Online 网上)"&amp;IF('Daily Sale entry '!Y132="",""," - "&amp;'Daily Sale entry '!Y132))</f>
        <v/>
      </c>
      <c r="H1632">
        <f>IF(C1632="","",COUNTIFS($C$2:$C$3001,C1632,$F$2:$F$3001,"&lt;"&amp;F1632)+1)</f>
        <v/>
      </c>
      <c r="I1632">
        <f>IF(C1632="","",C1632&amp;"|"&amp;H1632)</f>
        <v/>
      </c>
      <c r="J1632" s="6">
        <f>IF(C1632="","",IF(H1632=1,SUMIFS('Opening Balance'!$F$4:$F$303,'Opening Balance'!$G$4:$G$303,C1632),INDEX($L$2:$L$3001,MATCH(C1632&amp;"|"&amp;(H1632-1),$I$2:$I$3001,0))))</f>
        <v/>
      </c>
      <c r="K1632" s="6">
        <f>IF(C1632="","",IF(M1632&gt;0,M1632,IF(AND(E1632&gt;0,ROUND(J1632+D1632-E1632,2)&gt;0,ROUND(J1632+D1632-E1632,2)&lt;'Opening Balance'!$B$14),ROUND(J1632+D1632-E1632,2),0)))</f>
        <v/>
      </c>
      <c r="L1632" s="6">
        <f>IF(C1632="","",ROUND(J1632+D1632-E1632-K1632,2))</f>
        <v/>
      </c>
      <c r="M1632" s="6">
        <f>IF(C1632="","",0)</f>
        <v/>
      </c>
    </row>
    <row r="1633">
      <c r="A1633" t="inlineStr">
        <is>
          <t>Bank 银行</t>
        </is>
      </c>
      <c r="B1633" s="5">
        <f>IF(AND('Daily Sale entry '!Z133="Online collection 网上收款",'Daily Sale entry '!AA133&lt;&gt;""),'Daily Sale entry '!X133,"")</f>
        <v/>
      </c>
      <c r="C1633">
        <f>IF(B1633="","",'Daily Sale entry '!AA133)</f>
        <v/>
      </c>
      <c r="D1633">
        <f>IF(C1633="","",0)</f>
        <v/>
      </c>
      <c r="E1633">
        <f>IF(C1633="","",'Daily Sale entry '!AC133)</f>
        <v/>
      </c>
      <c r="F1633" s="37">
        <f>IF(C1633="","",B1633+IF(E1633&gt;0,0,0.5)+ROW()/10000000)</f>
        <v/>
      </c>
      <c r="G1633">
        <f>IF(C1633="","","Collection 收款 (Online 网上)"&amp;IF('Daily Sale entry '!Y133="",""," - "&amp;'Daily Sale entry '!Y133))</f>
        <v/>
      </c>
      <c r="H1633">
        <f>IF(C1633="","",COUNTIFS($C$2:$C$3001,C1633,$F$2:$F$3001,"&lt;"&amp;F1633)+1)</f>
        <v/>
      </c>
      <c r="I1633">
        <f>IF(C1633="","",C1633&amp;"|"&amp;H1633)</f>
        <v/>
      </c>
      <c r="J1633" s="6">
        <f>IF(C1633="","",IF(H1633=1,SUMIFS('Opening Balance'!$F$4:$F$303,'Opening Balance'!$G$4:$G$303,C1633),INDEX($L$2:$L$3001,MATCH(C1633&amp;"|"&amp;(H1633-1),$I$2:$I$3001,0))))</f>
        <v/>
      </c>
      <c r="K1633" s="6">
        <f>IF(C1633="","",IF(M1633&gt;0,M1633,IF(AND(E1633&gt;0,ROUND(J1633+D1633-E1633,2)&gt;0,ROUND(J1633+D1633-E1633,2)&lt;'Opening Balance'!$B$14),ROUND(J1633+D1633-E1633,2),0)))</f>
        <v/>
      </c>
      <c r="L1633" s="6">
        <f>IF(C1633="","",ROUND(J1633+D1633-E1633-K1633,2))</f>
        <v/>
      </c>
      <c r="M1633" s="6">
        <f>IF(C1633="","",0)</f>
        <v/>
      </c>
    </row>
    <row r="1634">
      <c r="A1634" t="inlineStr">
        <is>
          <t>Bank 银行</t>
        </is>
      </c>
      <c r="B1634" s="5">
        <f>IF(AND('Daily Sale entry '!Z134="Online collection 网上收款",'Daily Sale entry '!AA134&lt;&gt;""),'Daily Sale entry '!X134,"")</f>
        <v/>
      </c>
      <c r="C1634">
        <f>IF(B1634="","",'Daily Sale entry '!AA134)</f>
        <v/>
      </c>
      <c r="D1634">
        <f>IF(C1634="","",0)</f>
        <v/>
      </c>
      <c r="E1634">
        <f>IF(C1634="","",'Daily Sale entry '!AC134)</f>
        <v/>
      </c>
      <c r="F1634" s="37">
        <f>IF(C1634="","",B1634+IF(E1634&gt;0,0,0.5)+ROW()/10000000)</f>
        <v/>
      </c>
      <c r="G1634">
        <f>IF(C1634="","","Collection 收款 (Online 网上)"&amp;IF('Daily Sale entry '!Y134="",""," - "&amp;'Daily Sale entry '!Y134))</f>
        <v/>
      </c>
      <c r="H1634">
        <f>IF(C1634="","",COUNTIFS($C$2:$C$3001,C1634,$F$2:$F$3001,"&lt;"&amp;F1634)+1)</f>
        <v/>
      </c>
      <c r="I1634">
        <f>IF(C1634="","",C1634&amp;"|"&amp;H1634)</f>
        <v/>
      </c>
      <c r="J1634" s="6">
        <f>IF(C1634="","",IF(H1634=1,SUMIFS('Opening Balance'!$F$4:$F$303,'Opening Balance'!$G$4:$G$303,C1634),INDEX($L$2:$L$3001,MATCH(C1634&amp;"|"&amp;(H1634-1),$I$2:$I$3001,0))))</f>
        <v/>
      </c>
      <c r="K1634" s="6">
        <f>IF(C1634="","",IF(M1634&gt;0,M1634,IF(AND(E1634&gt;0,ROUND(J1634+D1634-E1634,2)&gt;0,ROUND(J1634+D1634-E1634,2)&lt;'Opening Balance'!$B$14),ROUND(J1634+D1634-E1634,2),0)))</f>
        <v/>
      </c>
      <c r="L1634" s="6">
        <f>IF(C1634="","",ROUND(J1634+D1634-E1634-K1634,2))</f>
        <v/>
      </c>
      <c r="M1634" s="6">
        <f>IF(C1634="","",0)</f>
        <v/>
      </c>
    </row>
    <row r="1635">
      <c r="A1635" t="inlineStr">
        <is>
          <t>Bank 银行</t>
        </is>
      </c>
      <c r="B1635" s="5">
        <f>IF(AND('Daily Sale entry '!Z135="Online collection 网上收款",'Daily Sale entry '!AA135&lt;&gt;""),'Daily Sale entry '!X135,"")</f>
        <v/>
      </c>
      <c r="C1635">
        <f>IF(B1635="","",'Daily Sale entry '!AA135)</f>
        <v/>
      </c>
      <c r="D1635">
        <f>IF(C1635="","",0)</f>
        <v/>
      </c>
      <c r="E1635">
        <f>IF(C1635="","",'Daily Sale entry '!AC135)</f>
        <v/>
      </c>
      <c r="F1635" s="37">
        <f>IF(C1635="","",B1635+IF(E1635&gt;0,0,0.5)+ROW()/10000000)</f>
        <v/>
      </c>
      <c r="G1635">
        <f>IF(C1635="","","Collection 收款 (Online 网上)"&amp;IF('Daily Sale entry '!Y135="",""," - "&amp;'Daily Sale entry '!Y135))</f>
        <v/>
      </c>
      <c r="H1635">
        <f>IF(C1635="","",COUNTIFS($C$2:$C$3001,C1635,$F$2:$F$3001,"&lt;"&amp;F1635)+1)</f>
        <v/>
      </c>
      <c r="I1635">
        <f>IF(C1635="","",C1635&amp;"|"&amp;H1635)</f>
        <v/>
      </c>
      <c r="J1635" s="6">
        <f>IF(C1635="","",IF(H1635=1,SUMIFS('Opening Balance'!$F$4:$F$303,'Opening Balance'!$G$4:$G$303,C1635),INDEX($L$2:$L$3001,MATCH(C1635&amp;"|"&amp;(H1635-1),$I$2:$I$3001,0))))</f>
        <v/>
      </c>
      <c r="K1635" s="6">
        <f>IF(C1635="","",IF(M1635&gt;0,M1635,IF(AND(E1635&gt;0,ROUND(J1635+D1635-E1635,2)&gt;0,ROUND(J1635+D1635-E1635,2)&lt;'Opening Balance'!$B$14),ROUND(J1635+D1635-E1635,2),0)))</f>
        <v/>
      </c>
      <c r="L1635" s="6">
        <f>IF(C1635="","",ROUND(J1635+D1635-E1635-K1635,2))</f>
        <v/>
      </c>
      <c r="M1635" s="6">
        <f>IF(C1635="","",0)</f>
        <v/>
      </c>
    </row>
    <row r="1636">
      <c r="A1636" t="inlineStr">
        <is>
          <t>Bank 银行</t>
        </is>
      </c>
      <c r="B1636" s="5">
        <f>IF(AND('Daily Sale entry '!Z136="Online collection 网上收款",'Daily Sale entry '!AA136&lt;&gt;""),'Daily Sale entry '!X136,"")</f>
        <v/>
      </c>
      <c r="C1636">
        <f>IF(B1636="","",'Daily Sale entry '!AA136)</f>
        <v/>
      </c>
      <c r="D1636">
        <f>IF(C1636="","",0)</f>
        <v/>
      </c>
      <c r="E1636">
        <f>IF(C1636="","",'Daily Sale entry '!AC136)</f>
        <v/>
      </c>
      <c r="F1636" s="37">
        <f>IF(C1636="","",B1636+IF(E1636&gt;0,0,0.5)+ROW()/10000000)</f>
        <v/>
      </c>
      <c r="G1636">
        <f>IF(C1636="","","Collection 收款 (Online 网上)"&amp;IF('Daily Sale entry '!Y136="",""," - "&amp;'Daily Sale entry '!Y136))</f>
        <v/>
      </c>
      <c r="H1636">
        <f>IF(C1636="","",COUNTIFS($C$2:$C$3001,C1636,$F$2:$F$3001,"&lt;"&amp;F1636)+1)</f>
        <v/>
      </c>
      <c r="I1636">
        <f>IF(C1636="","",C1636&amp;"|"&amp;H1636)</f>
        <v/>
      </c>
      <c r="J1636" s="6">
        <f>IF(C1636="","",IF(H1636=1,SUMIFS('Opening Balance'!$F$4:$F$303,'Opening Balance'!$G$4:$G$303,C1636),INDEX($L$2:$L$3001,MATCH(C1636&amp;"|"&amp;(H1636-1),$I$2:$I$3001,0))))</f>
        <v/>
      </c>
      <c r="K1636" s="6">
        <f>IF(C1636="","",IF(M1636&gt;0,M1636,IF(AND(E1636&gt;0,ROUND(J1636+D1636-E1636,2)&gt;0,ROUND(J1636+D1636-E1636,2)&lt;'Opening Balance'!$B$14),ROUND(J1636+D1636-E1636,2),0)))</f>
        <v/>
      </c>
      <c r="L1636" s="6">
        <f>IF(C1636="","",ROUND(J1636+D1636-E1636-K1636,2))</f>
        <v/>
      </c>
      <c r="M1636" s="6">
        <f>IF(C1636="","",0)</f>
        <v/>
      </c>
    </row>
    <row r="1637">
      <c r="A1637" t="inlineStr">
        <is>
          <t>Bank 银行</t>
        </is>
      </c>
      <c r="B1637" s="5">
        <f>IF(AND('Daily Sale entry '!Z137="Online collection 网上收款",'Daily Sale entry '!AA137&lt;&gt;""),'Daily Sale entry '!X137,"")</f>
        <v/>
      </c>
      <c r="C1637">
        <f>IF(B1637="","",'Daily Sale entry '!AA137)</f>
        <v/>
      </c>
      <c r="D1637">
        <f>IF(C1637="","",0)</f>
        <v/>
      </c>
      <c r="E1637">
        <f>IF(C1637="","",'Daily Sale entry '!AC137)</f>
        <v/>
      </c>
      <c r="F1637" s="37">
        <f>IF(C1637="","",B1637+IF(E1637&gt;0,0,0.5)+ROW()/10000000)</f>
        <v/>
      </c>
      <c r="G1637">
        <f>IF(C1637="","","Collection 收款 (Online 网上)"&amp;IF('Daily Sale entry '!Y137="",""," - "&amp;'Daily Sale entry '!Y137))</f>
        <v/>
      </c>
      <c r="H1637">
        <f>IF(C1637="","",COUNTIFS($C$2:$C$3001,C1637,$F$2:$F$3001,"&lt;"&amp;F1637)+1)</f>
        <v/>
      </c>
      <c r="I1637">
        <f>IF(C1637="","",C1637&amp;"|"&amp;H1637)</f>
        <v/>
      </c>
      <c r="J1637" s="6">
        <f>IF(C1637="","",IF(H1637=1,SUMIFS('Opening Balance'!$F$4:$F$303,'Opening Balance'!$G$4:$G$303,C1637),INDEX($L$2:$L$3001,MATCH(C1637&amp;"|"&amp;(H1637-1),$I$2:$I$3001,0))))</f>
        <v/>
      </c>
      <c r="K1637" s="6">
        <f>IF(C1637="","",IF(M1637&gt;0,M1637,IF(AND(E1637&gt;0,ROUND(J1637+D1637-E1637,2)&gt;0,ROUND(J1637+D1637-E1637,2)&lt;'Opening Balance'!$B$14),ROUND(J1637+D1637-E1637,2),0)))</f>
        <v/>
      </c>
      <c r="L1637" s="6">
        <f>IF(C1637="","",ROUND(J1637+D1637-E1637-K1637,2))</f>
        <v/>
      </c>
      <c r="M1637" s="6">
        <f>IF(C1637="","",0)</f>
        <v/>
      </c>
    </row>
    <row r="1638">
      <c r="A1638" t="inlineStr">
        <is>
          <t>Bank 银行</t>
        </is>
      </c>
      <c r="B1638" s="5">
        <f>IF(AND('Daily Sale entry '!Z138="Online collection 网上收款",'Daily Sale entry '!AA138&lt;&gt;""),'Daily Sale entry '!X138,"")</f>
        <v/>
      </c>
      <c r="C1638">
        <f>IF(B1638="","",'Daily Sale entry '!AA138)</f>
        <v/>
      </c>
      <c r="D1638">
        <f>IF(C1638="","",0)</f>
        <v/>
      </c>
      <c r="E1638">
        <f>IF(C1638="","",'Daily Sale entry '!AC138)</f>
        <v/>
      </c>
      <c r="F1638" s="37">
        <f>IF(C1638="","",B1638+IF(E1638&gt;0,0,0.5)+ROW()/10000000)</f>
        <v/>
      </c>
      <c r="G1638">
        <f>IF(C1638="","","Collection 收款 (Online 网上)"&amp;IF('Daily Sale entry '!Y138="",""," - "&amp;'Daily Sale entry '!Y138))</f>
        <v/>
      </c>
      <c r="H1638">
        <f>IF(C1638="","",COUNTIFS($C$2:$C$3001,C1638,$F$2:$F$3001,"&lt;"&amp;F1638)+1)</f>
        <v/>
      </c>
      <c r="I1638">
        <f>IF(C1638="","",C1638&amp;"|"&amp;H1638)</f>
        <v/>
      </c>
      <c r="J1638" s="6">
        <f>IF(C1638="","",IF(H1638=1,SUMIFS('Opening Balance'!$F$4:$F$303,'Opening Balance'!$G$4:$G$303,C1638),INDEX($L$2:$L$3001,MATCH(C1638&amp;"|"&amp;(H1638-1),$I$2:$I$3001,0))))</f>
        <v/>
      </c>
      <c r="K1638" s="6">
        <f>IF(C1638="","",IF(M1638&gt;0,M1638,IF(AND(E1638&gt;0,ROUND(J1638+D1638-E1638,2)&gt;0,ROUND(J1638+D1638-E1638,2)&lt;'Opening Balance'!$B$14),ROUND(J1638+D1638-E1638,2),0)))</f>
        <v/>
      </c>
      <c r="L1638" s="6">
        <f>IF(C1638="","",ROUND(J1638+D1638-E1638-K1638,2))</f>
        <v/>
      </c>
      <c r="M1638" s="6">
        <f>IF(C1638="","",0)</f>
        <v/>
      </c>
    </row>
    <row r="1639">
      <c r="A1639" t="inlineStr">
        <is>
          <t>Bank 银行</t>
        </is>
      </c>
      <c r="B1639" s="5">
        <f>IF(AND('Daily Sale entry '!Z139="Online collection 网上收款",'Daily Sale entry '!AA139&lt;&gt;""),'Daily Sale entry '!X139,"")</f>
        <v/>
      </c>
      <c r="C1639">
        <f>IF(B1639="","",'Daily Sale entry '!AA139)</f>
        <v/>
      </c>
      <c r="D1639">
        <f>IF(C1639="","",0)</f>
        <v/>
      </c>
      <c r="E1639">
        <f>IF(C1639="","",'Daily Sale entry '!AC139)</f>
        <v/>
      </c>
      <c r="F1639" s="37">
        <f>IF(C1639="","",B1639+IF(E1639&gt;0,0,0.5)+ROW()/10000000)</f>
        <v/>
      </c>
      <c r="G1639">
        <f>IF(C1639="","","Collection 收款 (Online 网上)"&amp;IF('Daily Sale entry '!Y139="",""," - "&amp;'Daily Sale entry '!Y139))</f>
        <v/>
      </c>
      <c r="H1639">
        <f>IF(C1639="","",COUNTIFS($C$2:$C$3001,C1639,$F$2:$F$3001,"&lt;"&amp;F1639)+1)</f>
        <v/>
      </c>
      <c r="I1639">
        <f>IF(C1639="","",C1639&amp;"|"&amp;H1639)</f>
        <v/>
      </c>
      <c r="J1639" s="6">
        <f>IF(C1639="","",IF(H1639=1,SUMIFS('Opening Balance'!$F$4:$F$303,'Opening Balance'!$G$4:$G$303,C1639),INDEX($L$2:$L$3001,MATCH(C1639&amp;"|"&amp;(H1639-1),$I$2:$I$3001,0))))</f>
        <v/>
      </c>
      <c r="K1639" s="6">
        <f>IF(C1639="","",IF(M1639&gt;0,M1639,IF(AND(E1639&gt;0,ROUND(J1639+D1639-E1639,2)&gt;0,ROUND(J1639+D1639-E1639,2)&lt;'Opening Balance'!$B$14),ROUND(J1639+D1639-E1639,2),0)))</f>
        <v/>
      </c>
      <c r="L1639" s="6">
        <f>IF(C1639="","",ROUND(J1639+D1639-E1639-K1639,2))</f>
        <v/>
      </c>
      <c r="M1639" s="6">
        <f>IF(C1639="","",0)</f>
        <v/>
      </c>
    </row>
    <row r="1640">
      <c r="A1640" t="inlineStr">
        <is>
          <t>Bank 银行</t>
        </is>
      </c>
      <c r="B1640" s="5">
        <f>IF(AND('Daily Sale entry '!Z140="Online collection 网上收款",'Daily Sale entry '!AA140&lt;&gt;""),'Daily Sale entry '!X140,"")</f>
        <v/>
      </c>
      <c r="C1640">
        <f>IF(B1640="","",'Daily Sale entry '!AA140)</f>
        <v/>
      </c>
      <c r="D1640">
        <f>IF(C1640="","",0)</f>
        <v/>
      </c>
      <c r="E1640">
        <f>IF(C1640="","",'Daily Sale entry '!AC140)</f>
        <v/>
      </c>
      <c r="F1640" s="37">
        <f>IF(C1640="","",B1640+IF(E1640&gt;0,0,0.5)+ROW()/10000000)</f>
        <v/>
      </c>
      <c r="G1640">
        <f>IF(C1640="","","Collection 收款 (Online 网上)"&amp;IF('Daily Sale entry '!Y140="",""," - "&amp;'Daily Sale entry '!Y140))</f>
        <v/>
      </c>
      <c r="H1640">
        <f>IF(C1640="","",COUNTIFS($C$2:$C$3001,C1640,$F$2:$F$3001,"&lt;"&amp;F1640)+1)</f>
        <v/>
      </c>
      <c r="I1640">
        <f>IF(C1640="","",C1640&amp;"|"&amp;H1640)</f>
        <v/>
      </c>
      <c r="J1640" s="6">
        <f>IF(C1640="","",IF(H1640=1,SUMIFS('Opening Balance'!$F$4:$F$303,'Opening Balance'!$G$4:$G$303,C1640),INDEX($L$2:$L$3001,MATCH(C1640&amp;"|"&amp;(H1640-1),$I$2:$I$3001,0))))</f>
        <v/>
      </c>
      <c r="K1640" s="6">
        <f>IF(C1640="","",IF(M1640&gt;0,M1640,IF(AND(E1640&gt;0,ROUND(J1640+D1640-E1640,2)&gt;0,ROUND(J1640+D1640-E1640,2)&lt;'Opening Balance'!$B$14),ROUND(J1640+D1640-E1640,2),0)))</f>
        <v/>
      </c>
      <c r="L1640" s="6">
        <f>IF(C1640="","",ROUND(J1640+D1640-E1640-K1640,2))</f>
        <v/>
      </c>
      <c r="M1640" s="6">
        <f>IF(C1640="","",0)</f>
        <v/>
      </c>
    </row>
    <row r="1641">
      <c r="A1641" t="inlineStr">
        <is>
          <t>Bank 银行</t>
        </is>
      </c>
      <c r="B1641" s="5">
        <f>IF(AND('Daily Sale entry '!Z141="Online collection 网上收款",'Daily Sale entry '!AA141&lt;&gt;""),'Daily Sale entry '!X141,"")</f>
        <v/>
      </c>
      <c r="C1641">
        <f>IF(B1641="","",'Daily Sale entry '!AA141)</f>
        <v/>
      </c>
      <c r="D1641">
        <f>IF(C1641="","",0)</f>
        <v/>
      </c>
      <c r="E1641">
        <f>IF(C1641="","",'Daily Sale entry '!AC141)</f>
        <v/>
      </c>
      <c r="F1641" s="37">
        <f>IF(C1641="","",B1641+IF(E1641&gt;0,0,0.5)+ROW()/10000000)</f>
        <v/>
      </c>
      <c r="G1641">
        <f>IF(C1641="","","Collection 收款 (Online 网上)"&amp;IF('Daily Sale entry '!Y141="",""," - "&amp;'Daily Sale entry '!Y141))</f>
        <v/>
      </c>
      <c r="H1641">
        <f>IF(C1641="","",COUNTIFS($C$2:$C$3001,C1641,$F$2:$F$3001,"&lt;"&amp;F1641)+1)</f>
        <v/>
      </c>
      <c r="I1641">
        <f>IF(C1641="","",C1641&amp;"|"&amp;H1641)</f>
        <v/>
      </c>
      <c r="J1641" s="6">
        <f>IF(C1641="","",IF(H1641=1,SUMIFS('Opening Balance'!$F$4:$F$303,'Opening Balance'!$G$4:$G$303,C1641),INDEX($L$2:$L$3001,MATCH(C1641&amp;"|"&amp;(H1641-1),$I$2:$I$3001,0))))</f>
        <v/>
      </c>
      <c r="K1641" s="6">
        <f>IF(C1641="","",IF(M1641&gt;0,M1641,IF(AND(E1641&gt;0,ROUND(J1641+D1641-E1641,2)&gt;0,ROUND(J1641+D1641-E1641,2)&lt;'Opening Balance'!$B$14),ROUND(J1641+D1641-E1641,2),0)))</f>
        <v/>
      </c>
      <c r="L1641" s="6">
        <f>IF(C1641="","",ROUND(J1641+D1641-E1641-K1641,2))</f>
        <v/>
      </c>
      <c r="M1641" s="6">
        <f>IF(C1641="","",0)</f>
        <v/>
      </c>
    </row>
    <row r="1642">
      <c r="A1642" t="inlineStr">
        <is>
          <t>Bank 银行</t>
        </is>
      </c>
      <c r="B1642" s="5">
        <f>IF(AND('Daily Sale entry '!Z142="Online collection 网上收款",'Daily Sale entry '!AA142&lt;&gt;""),'Daily Sale entry '!X142,"")</f>
        <v/>
      </c>
      <c r="C1642">
        <f>IF(B1642="","",'Daily Sale entry '!AA142)</f>
        <v/>
      </c>
      <c r="D1642">
        <f>IF(C1642="","",0)</f>
        <v/>
      </c>
      <c r="E1642">
        <f>IF(C1642="","",'Daily Sale entry '!AC142)</f>
        <v/>
      </c>
      <c r="F1642" s="37">
        <f>IF(C1642="","",B1642+IF(E1642&gt;0,0,0.5)+ROW()/10000000)</f>
        <v/>
      </c>
      <c r="G1642">
        <f>IF(C1642="","","Collection 收款 (Online 网上)"&amp;IF('Daily Sale entry '!Y142="",""," - "&amp;'Daily Sale entry '!Y142))</f>
        <v/>
      </c>
      <c r="H1642">
        <f>IF(C1642="","",COUNTIFS($C$2:$C$3001,C1642,$F$2:$F$3001,"&lt;"&amp;F1642)+1)</f>
        <v/>
      </c>
      <c r="I1642">
        <f>IF(C1642="","",C1642&amp;"|"&amp;H1642)</f>
        <v/>
      </c>
      <c r="J1642" s="6">
        <f>IF(C1642="","",IF(H1642=1,SUMIFS('Opening Balance'!$F$4:$F$303,'Opening Balance'!$G$4:$G$303,C1642),INDEX($L$2:$L$3001,MATCH(C1642&amp;"|"&amp;(H1642-1),$I$2:$I$3001,0))))</f>
        <v/>
      </c>
      <c r="K1642" s="6">
        <f>IF(C1642="","",IF(M1642&gt;0,M1642,IF(AND(E1642&gt;0,ROUND(J1642+D1642-E1642,2)&gt;0,ROUND(J1642+D1642-E1642,2)&lt;'Opening Balance'!$B$14),ROUND(J1642+D1642-E1642,2),0)))</f>
        <v/>
      </c>
      <c r="L1642" s="6">
        <f>IF(C1642="","",ROUND(J1642+D1642-E1642-K1642,2))</f>
        <v/>
      </c>
      <c r="M1642" s="6">
        <f>IF(C1642="","",0)</f>
        <v/>
      </c>
    </row>
    <row r="1643">
      <c r="A1643" t="inlineStr">
        <is>
          <t>Bank 银行</t>
        </is>
      </c>
      <c r="B1643" s="5">
        <f>IF(AND('Daily Sale entry '!Z143="Online collection 网上收款",'Daily Sale entry '!AA143&lt;&gt;""),'Daily Sale entry '!X143,"")</f>
        <v/>
      </c>
      <c r="C1643">
        <f>IF(B1643="","",'Daily Sale entry '!AA143)</f>
        <v/>
      </c>
      <c r="D1643">
        <f>IF(C1643="","",0)</f>
        <v/>
      </c>
      <c r="E1643">
        <f>IF(C1643="","",'Daily Sale entry '!AC143)</f>
        <v/>
      </c>
      <c r="F1643" s="37">
        <f>IF(C1643="","",B1643+IF(E1643&gt;0,0,0.5)+ROW()/10000000)</f>
        <v/>
      </c>
      <c r="G1643">
        <f>IF(C1643="","","Collection 收款 (Online 网上)"&amp;IF('Daily Sale entry '!Y143="",""," - "&amp;'Daily Sale entry '!Y143))</f>
        <v/>
      </c>
      <c r="H1643">
        <f>IF(C1643="","",COUNTIFS($C$2:$C$3001,C1643,$F$2:$F$3001,"&lt;"&amp;F1643)+1)</f>
        <v/>
      </c>
      <c r="I1643">
        <f>IF(C1643="","",C1643&amp;"|"&amp;H1643)</f>
        <v/>
      </c>
      <c r="J1643" s="6">
        <f>IF(C1643="","",IF(H1643=1,SUMIFS('Opening Balance'!$F$4:$F$303,'Opening Balance'!$G$4:$G$303,C1643),INDEX($L$2:$L$3001,MATCH(C1643&amp;"|"&amp;(H1643-1),$I$2:$I$3001,0))))</f>
        <v/>
      </c>
      <c r="K1643" s="6">
        <f>IF(C1643="","",IF(M1643&gt;0,M1643,IF(AND(E1643&gt;0,ROUND(J1643+D1643-E1643,2)&gt;0,ROUND(J1643+D1643-E1643,2)&lt;'Opening Balance'!$B$14),ROUND(J1643+D1643-E1643,2),0)))</f>
        <v/>
      </c>
      <c r="L1643" s="6">
        <f>IF(C1643="","",ROUND(J1643+D1643-E1643-K1643,2))</f>
        <v/>
      </c>
      <c r="M1643" s="6">
        <f>IF(C1643="","",0)</f>
        <v/>
      </c>
    </row>
    <row r="1644">
      <c r="A1644" t="inlineStr">
        <is>
          <t>Bank 银行</t>
        </is>
      </c>
      <c r="B1644" s="5">
        <f>IF(AND('Daily Sale entry '!Z144="Online collection 网上收款",'Daily Sale entry '!AA144&lt;&gt;""),'Daily Sale entry '!X144,"")</f>
        <v/>
      </c>
      <c r="C1644">
        <f>IF(B1644="","",'Daily Sale entry '!AA144)</f>
        <v/>
      </c>
      <c r="D1644">
        <f>IF(C1644="","",0)</f>
        <v/>
      </c>
      <c r="E1644">
        <f>IF(C1644="","",'Daily Sale entry '!AC144)</f>
        <v/>
      </c>
      <c r="F1644" s="37">
        <f>IF(C1644="","",B1644+IF(E1644&gt;0,0,0.5)+ROW()/10000000)</f>
        <v/>
      </c>
      <c r="G1644">
        <f>IF(C1644="","","Collection 收款 (Online 网上)"&amp;IF('Daily Sale entry '!Y144="",""," - "&amp;'Daily Sale entry '!Y144))</f>
        <v/>
      </c>
      <c r="H1644">
        <f>IF(C1644="","",COUNTIFS($C$2:$C$3001,C1644,$F$2:$F$3001,"&lt;"&amp;F1644)+1)</f>
        <v/>
      </c>
      <c r="I1644">
        <f>IF(C1644="","",C1644&amp;"|"&amp;H1644)</f>
        <v/>
      </c>
      <c r="J1644" s="6">
        <f>IF(C1644="","",IF(H1644=1,SUMIFS('Opening Balance'!$F$4:$F$303,'Opening Balance'!$G$4:$G$303,C1644),INDEX($L$2:$L$3001,MATCH(C1644&amp;"|"&amp;(H1644-1),$I$2:$I$3001,0))))</f>
        <v/>
      </c>
      <c r="K1644" s="6">
        <f>IF(C1644="","",IF(M1644&gt;0,M1644,IF(AND(E1644&gt;0,ROUND(J1644+D1644-E1644,2)&gt;0,ROUND(J1644+D1644-E1644,2)&lt;'Opening Balance'!$B$14),ROUND(J1644+D1644-E1644,2),0)))</f>
        <v/>
      </c>
      <c r="L1644" s="6">
        <f>IF(C1644="","",ROUND(J1644+D1644-E1644-K1644,2))</f>
        <v/>
      </c>
      <c r="M1644" s="6">
        <f>IF(C1644="","",0)</f>
        <v/>
      </c>
    </row>
    <row r="1645">
      <c r="A1645" t="inlineStr">
        <is>
          <t>Bank 银行</t>
        </is>
      </c>
      <c r="B1645" s="5">
        <f>IF(AND('Daily Sale entry '!Z145="Online collection 网上收款",'Daily Sale entry '!AA145&lt;&gt;""),'Daily Sale entry '!X145,"")</f>
        <v/>
      </c>
      <c r="C1645">
        <f>IF(B1645="","",'Daily Sale entry '!AA145)</f>
        <v/>
      </c>
      <c r="D1645">
        <f>IF(C1645="","",0)</f>
        <v/>
      </c>
      <c r="E1645">
        <f>IF(C1645="","",'Daily Sale entry '!AC145)</f>
        <v/>
      </c>
      <c r="F1645" s="37">
        <f>IF(C1645="","",B1645+IF(E1645&gt;0,0,0.5)+ROW()/10000000)</f>
        <v/>
      </c>
      <c r="G1645">
        <f>IF(C1645="","","Collection 收款 (Online 网上)"&amp;IF('Daily Sale entry '!Y145="",""," - "&amp;'Daily Sale entry '!Y145))</f>
        <v/>
      </c>
      <c r="H1645">
        <f>IF(C1645="","",COUNTIFS($C$2:$C$3001,C1645,$F$2:$F$3001,"&lt;"&amp;F1645)+1)</f>
        <v/>
      </c>
      <c r="I1645">
        <f>IF(C1645="","",C1645&amp;"|"&amp;H1645)</f>
        <v/>
      </c>
      <c r="J1645" s="6">
        <f>IF(C1645="","",IF(H1645=1,SUMIFS('Opening Balance'!$F$4:$F$303,'Opening Balance'!$G$4:$G$303,C1645),INDEX($L$2:$L$3001,MATCH(C1645&amp;"|"&amp;(H1645-1),$I$2:$I$3001,0))))</f>
        <v/>
      </c>
      <c r="K1645" s="6">
        <f>IF(C1645="","",IF(M1645&gt;0,M1645,IF(AND(E1645&gt;0,ROUND(J1645+D1645-E1645,2)&gt;0,ROUND(J1645+D1645-E1645,2)&lt;'Opening Balance'!$B$14),ROUND(J1645+D1645-E1645,2),0)))</f>
        <v/>
      </c>
      <c r="L1645" s="6">
        <f>IF(C1645="","",ROUND(J1645+D1645-E1645-K1645,2))</f>
        <v/>
      </c>
      <c r="M1645" s="6">
        <f>IF(C1645="","",0)</f>
        <v/>
      </c>
    </row>
    <row r="1646">
      <c r="A1646" t="inlineStr">
        <is>
          <t>Bank 银行</t>
        </is>
      </c>
      <c r="B1646" s="5">
        <f>IF(AND('Daily Sale entry '!Z146="Online collection 网上收款",'Daily Sale entry '!AA146&lt;&gt;""),'Daily Sale entry '!X146,"")</f>
        <v/>
      </c>
      <c r="C1646">
        <f>IF(B1646="","",'Daily Sale entry '!AA146)</f>
        <v/>
      </c>
      <c r="D1646">
        <f>IF(C1646="","",0)</f>
        <v/>
      </c>
      <c r="E1646">
        <f>IF(C1646="","",'Daily Sale entry '!AC146)</f>
        <v/>
      </c>
      <c r="F1646" s="37">
        <f>IF(C1646="","",B1646+IF(E1646&gt;0,0,0.5)+ROW()/10000000)</f>
        <v/>
      </c>
      <c r="G1646">
        <f>IF(C1646="","","Collection 收款 (Online 网上)"&amp;IF('Daily Sale entry '!Y146="",""," - "&amp;'Daily Sale entry '!Y146))</f>
        <v/>
      </c>
      <c r="H1646">
        <f>IF(C1646="","",COUNTIFS($C$2:$C$3001,C1646,$F$2:$F$3001,"&lt;"&amp;F1646)+1)</f>
        <v/>
      </c>
      <c r="I1646">
        <f>IF(C1646="","",C1646&amp;"|"&amp;H1646)</f>
        <v/>
      </c>
      <c r="J1646" s="6">
        <f>IF(C1646="","",IF(H1646=1,SUMIFS('Opening Balance'!$F$4:$F$303,'Opening Balance'!$G$4:$G$303,C1646),INDEX($L$2:$L$3001,MATCH(C1646&amp;"|"&amp;(H1646-1),$I$2:$I$3001,0))))</f>
        <v/>
      </c>
      <c r="K1646" s="6">
        <f>IF(C1646="","",IF(M1646&gt;0,M1646,IF(AND(E1646&gt;0,ROUND(J1646+D1646-E1646,2)&gt;0,ROUND(J1646+D1646-E1646,2)&lt;'Opening Balance'!$B$14),ROUND(J1646+D1646-E1646,2),0)))</f>
        <v/>
      </c>
      <c r="L1646" s="6">
        <f>IF(C1646="","",ROUND(J1646+D1646-E1646-K1646,2))</f>
        <v/>
      </c>
      <c r="M1646" s="6">
        <f>IF(C1646="","",0)</f>
        <v/>
      </c>
    </row>
    <row r="1647">
      <c r="A1647" t="inlineStr">
        <is>
          <t>Bank 银行</t>
        </is>
      </c>
      <c r="B1647" s="5">
        <f>IF(AND('Daily Sale entry '!Z147="Online collection 网上收款",'Daily Sale entry '!AA147&lt;&gt;""),'Daily Sale entry '!X147,"")</f>
        <v/>
      </c>
      <c r="C1647">
        <f>IF(B1647="","",'Daily Sale entry '!AA147)</f>
        <v/>
      </c>
      <c r="D1647">
        <f>IF(C1647="","",0)</f>
        <v/>
      </c>
      <c r="E1647">
        <f>IF(C1647="","",'Daily Sale entry '!AC147)</f>
        <v/>
      </c>
      <c r="F1647" s="37">
        <f>IF(C1647="","",B1647+IF(E1647&gt;0,0,0.5)+ROW()/10000000)</f>
        <v/>
      </c>
      <c r="G1647">
        <f>IF(C1647="","","Collection 收款 (Online 网上)"&amp;IF('Daily Sale entry '!Y147="",""," - "&amp;'Daily Sale entry '!Y147))</f>
        <v/>
      </c>
      <c r="H1647">
        <f>IF(C1647="","",COUNTIFS($C$2:$C$3001,C1647,$F$2:$F$3001,"&lt;"&amp;F1647)+1)</f>
        <v/>
      </c>
      <c r="I1647">
        <f>IF(C1647="","",C1647&amp;"|"&amp;H1647)</f>
        <v/>
      </c>
      <c r="J1647" s="6">
        <f>IF(C1647="","",IF(H1647=1,SUMIFS('Opening Balance'!$F$4:$F$303,'Opening Balance'!$G$4:$G$303,C1647),INDEX($L$2:$L$3001,MATCH(C1647&amp;"|"&amp;(H1647-1),$I$2:$I$3001,0))))</f>
        <v/>
      </c>
      <c r="K1647" s="6">
        <f>IF(C1647="","",IF(M1647&gt;0,M1647,IF(AND(E1647&gt;0,ROUND(J1647+D1647-E1647,2)&gt;0,ROUND(J1647+D1647-E1647,2)&lt;'Opening Balance'!$B$14),ROUND(J1647+D1647-E1647,2),0)))</f>
        <v/>
      </c>
      <c r="L1647" s="6">
        <f>IF(C1647="","",ROUND(J1647+D1647-E1647-K1647,2))</f>
        <v/>
      </c>
      <c r="M1647" s="6">
        <f>IF(C1647="","",0)</f>
        <v/>
      </c>
    </row>
    <row r="1648">
      <c r="A1648" t="inlineStr">
        <is>
          <t>Bank 银行</t>
        </is>
      </c>
      <c r="B1648" s="5">
        <f>IF(AND('Daily Sale entry '!Z148="Online collection 网上收款",'Daily Sale entry '!AA148&lt;&gt;""),'Daily Sale entry '!X148,"")</f>
        <v/>
      </c>
      <c r="C1648">
        <f>IF(B1648="","",'Daily Sale entry '!AA148)</f>
        <v/>
      </c>
      <c r="D1648">
        <f>IF(C1648="","",0)</f>
        <v/>
      </c>
      <c r="E1648">
        <f>IF(C1648="","",'Daily Sale entry '!AC148)</f>
        <v/>
      </c>
      <c r="F1648" s="37">
        <f>IF(C1648="","",B1648+IF(E1648&gt;0,0,0.5)+ROW()/10000000)</f>
        <v/>
      </c>
      <c r="G1648">
        <f>IF(C1648="","","Collection 收款 (Online 网上)"&amp;IF('Daily Sale entry '!Y148="",""," - "&amp;'Daily Sale entry '!Y148))</f>
        <v/>
      </c>
      <c r="H1648">
        <f>IF(C1648="","",COUNTIFS($C$2:$C$3001,C1648,$F$2:$F$3001,"&lt;"&amp;F1648)+1)</f>
        <v/>
      </c>
      <c r="I1648">
        <f>IF(C1648="","",C1648&amp;"|"&amp;H1648)</f>
        <v/>
      </c>
      <c r="J1648" s="6">
        <f>IF(C1648="","",IF(H1648=1,SUMIFS('Opening Balance'!$F$4:$F$303,'Opening Balance'!$G$4:$G$303,C1648),INDEX($L$2:$L$3001,MATCH(C1648&amp;"|"&amp;(H1648-1),$I$2:$I$3001,0))))</f>
        <v/>
      </c>
      <c r="K1648" s="6">
        <f>IF(C1648="","",IF(M1648&gt;0,M1648,IF(AND(E1648&gt;0,ROUND(J1648+D1648-E1648,2)&gt;0,ROUND(J1648+D1648-E1648,2)&lt;'Opening Balance'!$B$14),ROUND(J1648+D1648-E1648,2),0)))</f>
        <v/>
      </c>
      <c r="L1648" s="6">
        <f>IF(C1648="","",ROUND(J1648+D1648-E1648-K1648,2))</f>
        <v/>
      </c>
      <c r="M1648" s="6">
        <f>IF(C1648="","",0)</f>
        <v/>
      </c>
    </row>
    <row r="1649">
      <c r="A1649" t="inlineStr">
        <is>
          <t>Bank 银行</t>
        </is>
      </c>
      <c r="B1649" s="5">
        <f>IF(AND('Daily Sale entry '!Z149="Online collection 网上收款",'Daily Sale entry '!AA149&lt;&gt;""),'Daily Sale entry '!X149,"")</f>
        <v/>
      </c>
      <c r="C1649">
        <f>IF(B1649="","",'Daily Sale entry '!AA149)</f>
        <v/>
      </c>
      <c r="D1649">
        <f>IF(C1649="","",0)</f>
        <v/>
      </c>
      <c r="E1649">
        <f>IF(C1649="","",'Daily Sale entry '!AC149)</f>
        <v/>
      </c>
      <c r="F1649" s="37">
        <f>IF(C1649="","",B1649+IF(E1649&gt;0,0,0.5)+ROW()/10000000)</f>
        <v/>
      </c>
      <c r="G1649">
        <f>IF(C1649="","","Collection 收款 (Online 网上)"&amp;IF('Daily Sale entry '!Y149="",""," - "&amp;'Daily Sale entry '!Y149))</f>
        <v/>
      </c>
      <c r="H1649">
        <f>IF(C1649="","",COUNTIFS($C$2:$C$3001,C1649,$F$2:$F$3001,"&lt;"&amp;F1649)+1)</f>
        <v/>
      </c>
      <c r="I1649">
        <f>IF(C1649="","",C1649&amp;"|"&amp;H1649)</f>
        <v/>
      </c>
      <c r="J1649" s="6">
        <f>IF(C1649="","",IF(H1649=1,SUMIFS('Opening Balance'!$F$4:$F$303,'Opening Balance'!$G$4:$G$303,C1649),INDEX($L$2:$L$3001,MATCH(C1649&amp;"|"&amp;(H1649-1),$I$2:$I$3001,0))))</f>
        <v/>
      </c>
      <c r="K1649" s="6">
        <f>IF(C1649="","",IF(M1649&gt;0,M1649,IF(AND(E1649&gt;0,ROUND(J1649+D1649-E1649,2)&gt;0,ROUND(J1649+D1649-E1649,2)&lt;'Opening Balance'!$B$14),ROUND(J1649+D1649-E1649,2),0)))</f>
        <v/>
      </c>
      <c r="L1649" s="6">
        <f>IF(C1649="","",ROUND(J1649+D1649-E1649-K1649,2))</f>
        <v/>
      </c>
      <c r="M1649" s="6">
        <f>IF(C1649="","",0)</f>
        <v/>
      </c>
    </row>
    <row r="1650">
      <c r="A1650" t="inlineStr">
        <is>
          <t>Bank 银行</t>
        </is>
      </c>
      <c r="B1650" s="5">
        <f>IF(AND('Daily Sale entry '!Z150="Online collection 网上收款",'Daily Sale entry '!AA150&lt;&gt;""),'Daily Sale entry '!X150,"")</f>
        <v/>
      </c>
      <c r="C1650">
        <f>IF(B1650="","",'Daily Sale entry '!AA150)</f>
        <v/>
      </c>
      <c r="D1650">
        <f>IF(C1650="","",0)</f>
        <v/>
      </c>
      <c r="E1650">
        <f>IF(C1650="","",'Daily Sale entry '!AC150)</f>
        <v/>
      </c>
      <c r="F1650" s="37">
        <f>IF(C1650="","",B1650+IF(E1650&gt;0,0,0.5)+ROW()/10000000)</f>
        <v/>
      </c>
      <c r="G1650">
        <f>IF(C1650="","","Collection 收款 (Online 网上)"&amp;IF('Daily Sale entry '!Y150="",""," - "&amp;'Daily Sale entry '!Y150))</f>
        <v/>
      </c>
      <c r="H1650">
        <f>IF(C1650="","",COUNTIFS($C$2:$C$3001,C1650,$F$2:$F$3001,"&lt;"&amp;F1650)+1)</f>
        <v/>
      </c>
      <c r="I1650">
        <f>IF(C1650="","",C1650&amp;"|"&amp;H1650)</f>
        <v/>
      </c>
      <c r="J1650" s="6">
        <f>IF(C1650="","",IF(H1650=1,SUMIFS('Opening Balance'!$F$4:$F$303,'Opening Balance'!$G$4:$G$303,C1650),INDEX($L$2:$L$3001,MATCH(C1650&amp;"|"&amp;(H1650-1),$I$2:$I$3001,0))))</f>
        <v/>
      </c>
      <c r="K1650" s="6">
        <f>IF(C1650="","",IF(M1650&gt;0,M1650,IF(AND(E1650&gt;0,ROUND(J1650+D1650-E1650,2)&gt;0,ROUND(J1650+D1650-E1650,2)&lt;'Opening Balance'!$B$14),ROUND(J1650+D1650-E1650,2),0)))</f>
        <v/>
      </c>
      <c r="L1650" s="6">
        <f>IF(C1650="","",ROUND(J1650+D1650-E1650-K1650,2))</f>
        <v/>
      </c>
      <c r="M1650" s="6">
        <f>IF(C1650="","",0)</f>
        <v/>
      </c>
    </row>
    <row r="1651">
      <c r="A1651" t="inlineStr">
        <is>
          <t>Bank 银行</t>
        </is>
      </c>
      <c r="B1651" s="5">
        <f>IF(AND('Daily Sale entry '!Z151="Online collection 网上收款",'Daily Sale entry '!AA151&lt;&gt;""),'Daily Sale entry '!X151,"")</f>
        <v/>
      </c>
      <c r="C1651">
        <f>IF(B1651="","",'Daily Sale entry '!AA151)</f>
        <v/>
      </c>
      <c r="D1651">
        <f>IF(C1651="","",0)</f>
        <v/>
      </c>
      <c r="E1651">
        <f>IF(C1651="","",'Daily Sale entry '!AC151)</f>
        <v/>
      </c>
      <c r="F1651" s="37">
        <f>IF(C1651="","",B1651+IF(E1651&gt;0,0,0.5)+ROW()/10000000)</f>
        <v/>
      </c>
      <c r="G1651">
        <f>IF(C1651="","","Collection 收款 (Online 网上)"&amp;IF('Daily Sale entry '!Y151="",""," - "&amp;'Daily Sale entry '!Y151))</f>
        <v/>
      </c>
      <c r="H1651">
        <f>IF(C1651="","",COUNTIFS($C$2:$C$3001,C1651,$F$2:$F$3001,"&lt;"&amp;F1651)+1)</f>
        <v/>
      </c>
      <c r="I1651">
        <f>IF(C1651="","",C1651&amp;"|"&amp;H1651)</f>
        <v/>
      </c>
      <c r="J1651" s="6">
        <f>IF(C1651="","",IF(H1651=1,SUMIFS('Opening Balance'!$F$4:$F$303,'Opening Balance'!$G$4:$G$303,C1651),INDEX($L$2:$L$3001,MATCH(C1651&amp;"|"&amp;(H1651-1),$I$2:$I$3001,0))))</f>
        <v/>
      </c>
      <c r="K1651" s="6">
        <f>IF(C1651="","",IF(M1651&gt;0,M1651,IF(AND(E1651&gt;0,ROUND(J1651+D1651-E1651,2)&gt;0,ROUND(J1651+D1651-E1651,2)&lt;'Opening Balance'!$B$14),ROUND(J1651+D1651-E1651,2),0)))</f>
        <v/>
      </c>
      <c r="L1651" s="6">
        <f>IF(C1651="","",ROUND(J1651+D1651-E1651-K1651,2))</f>
        <v/>
      </c>
      <c r="M1651" s="6">
        <f>IF(C1651="","",0)</f>
        <v/>
      </c>
    </row>
    <row r="1652">
      <c r="A1652" t="inlineStr">
        <is>
          <t>Bank 银行</t>
        </is>
      </c>
      <c r="B1652" s="5">
        <f>IF(AND('Daily Sale entry '!Z152="Online collection 网上收款",'Daily Sale entry '!AA152&lt;&gt;""),'Daily Sale entry '!X152,"")</f>
        <v/>
      </c>
      <c r="C1652">
        <f>IF(B1652="","",'Daily Sale entry '!AA152)</f>
        <v/>
      </c>
      <c r="D1652">
        <f>IF(C1652="","",0)</f>
        <v/>
      </c>
      <c r="E1652">
        <f>IF(C1652="","",'Daily Sale entry '!AC152)</f>
        <v/>
      </c>
      <c r="F1652" s="37">
        <f>IF(C1652="","",B1652+IF(E1652&gt;0,0,0.5)+ROW()/10000000)</f>
        <v/>
      </c>
      <c r="G1652">
        <f>IF(C1652="","","Collection 收款 (Online 网上)"&amp;IF('Daily Sale entry '!Y152="",""," - "&amp;'Daily Sale entry '!Y152))</f>
        <v/>
      </c>
      <c r="H1652">
        <f>IF(C1652="","",COUNTIFS($C$2:$C$3001,C1652,$F$2:$F$3001,"&lt;"&amp;F1652)+1)</f>
        <v/>
      </c>
      <c r="I1652">
        <f>IF(C1652="","",C1652&amp;"|"&amp;H1652)</f>
        <v/>
      </c>
      <c r="J1652" s="6">
        <f>IF(C1652="","",IF(H1652=1,SUMIFS('Opening Balance'!$F$4:$F$303,'Opening Balance'!$G$4:$G$303,C1652),INDEX($L$2:$L$3001,MATCH(C1652&amp;"|"&amp;(H1652-1),$I$2:$I$3001,0))))</f>
        <v/>
      </c>
      <c r="K1652" s="6">
        <f>IF(C1652="","",IF(M1652&gt;0,M1652,IF(AND(E1652&gt;0,ROUND(J1652+D1652-E1652,2)&gt;0,ROUND(J1652+D1652-E1652,2)&lt;'Opening Balance'!$B$14),ROUND(J1652+D1652-E1652,2),0)))</f>
        <v/>
      </c>
      <c r="L1652" s="6">
        <f>IF(C1652="","",ROUND(J1652+D1652-E1652-K1652,2))</f>
        <v/>
      </c>
      <c r="M1652" s="6">
        <f>IF(C1652="","",0)</f>
        <v/>
      </c>
    </row>
    <row r="1653">
      <c r="A1653" t="inlineStr">
        <is>
          <t>Bank 银行</t>
        </is>
      </c>
      <c r="B1653" s="5">
        <f>IF(AND('Daily Sale entry '!Z153="Online collection 网上收款",'Daily Sale entry '!AA153&lt;&gt;""),'Daily Sale entry '!X153,"")</f>
        <v/>
      </c>
      <c r="C1653">
        <f>IF(B1653="","",'Daily Sale entry '!AA153)</f>
        <v/>
      </c>
      <c r="D1653">
        <f>IF(C1653="","",0)</f>
        <v/>
      </c>
      <c r="E1653">
        <f>IF(C1653="","",'Daily Sale entry '!AC153)</f>
        <v/>
      </c>
      <c r="F1653" s="37">
        <f>IF(C1653="","",B1653+IF(E1653&gt;0,0,0.5)+ROW()/10000000)</f>
        <v/>
      </c>
      <c r="G1653">
        <f>IF(C1653="","","Collection 收款 (Online 网上)"&amp;IF('Daily Sale entry '!Y153="",""," - "&amp;'Daily Sale entry '!Y153))</f>
        <v/>
      </c>
      <c r="H1653">
        <f>IF(C1653="","",COUNTIFS($C$2:$C$3001,C1653,$F$2:$F$3001,"&lt;"&amp;F1653)+1)</f>
        <v/>
      </c>
      <c r="I1653">
        <f>IF(C1653="","",C1653&amp;"|"&amp;H1653)</f>
        <v/>
      </c>
      <c r="J1653" s="6">
        <f>IF(C1653="","",IF(H1653=1,SUMIFS('Opening Balance'!$F$4:$F$303,'Opening Balance'!$G$4:$G$303,C1653),INDEX($L$2:$L$3001,MATCH(C1653&amp;"|"&amp;(H1653-1),$I$2:$I$3001,0))))</f>
        <v/>
      </c>
      <c r="K1653" s="6">
        <f>IF(C1653="","",IF(M1653&gt;0,M1653,IF(AND(E1653&gt;0,ROUND(J1653+D1653-E1653,2)&gt;0,ROUND(J1653+D1653-E1653,2)&lt;'Opening Balance'!$B$14),ROUND(J1653+D1653-E1653,2),0)))</f>
        <v/>
      </c>
      <c r="L1653" s="6">
        <f>IF(C1653="","",ROUND(J1653+D1653-E1653-K1653,2))</f>
        <v/>
      </c>
      <c r="M1653" s="6">
        <f>IF(C1653="","",0)</f>
        <v/>
      </c>
    </row>
    <row r="1654">
      <c r="A1654" t="inlineStr">
        <is>
          <t>Bank 银行</t>
        </is>
      </c>
      <c r="B1654" s="5">
        <f>IF(AND('Daily Sale entry '!Z154="Online collection 网上收款",'Daily Sale entry '!AA154&lt;&gt;""),'Daily Sale entry '!X154,"")</f>
        <v/>
      </c>
      <c r="C1654">
        <f>IF(B1654="","",'Daily Sale entry '!AA154)</f>
        <v/>
      </c>
      <c r="D1654">
        <f>IF(C1654="","",0)</f>
        <v/>
      </c>
      <c r="E1654">
        <f>IF(C1654="","",'Daily Sale entry '!AC154)</f>
        <v/>
      </c>
      <c r="F1654" s="37">
        <f>IF(C1654="","",B1654+IF(E1654&gt;0,0,0.5)+ROW()/10000000)</f>
        <v/>
      </c>
      <c r="G1654">
        <f>IF(C1654="","","Collection 收款 (Online 网上)"&amp;IF('Daily Sale entry '!Y154="",""," - "&amp;'Daily Sale entry '!Y154))</f>
        <v/>
      </c>
      <c r="H1654">
        <f>IF(C1654="","",COUNTIFS($C$2:$C$3001,C1654,$F$2:$F$3001,"&lt;"&amp;F1654)+1)</f>
        <v/>
      </c>
      <c r="I1654">
        <f>IF(C1654="","",C1654&amp;"|"&amp;H1654)</f>
        <v/>
      </c>
      <c r="J1654" s="6">
        <f>IF(C1654="","",IF(H1654=1,SUMIFS('Opening Balance'!$F$4:$F$303,'Opening Balance'!$G$4:$G$303,C1654),INDEX($L$2:$L$3001,MATCH(C1654&amp;"|"&amp;(H1654-1),$I$2:$I$3001,0))))</f>
        <v/>
      </c>
      <c r="K1654" s="6">
        <f>IF(C1654="","",IF(M1654&gt;0,M1654,IF(AND(E1654&gt;0,ROUND(J1654+D1654-E1654,2)&gt;0,ROUND(J1654+D1654-E1654,2)&lt;'Opening Balance'!$B$14),ROUND(J1654+D1654-E1654,2),0)))</f>
        <v/>
      </c>
      <c r="L1654" s="6">
        <f>IF(C1654="","",ROUND(J1654+D1654-E1654-K1654,2))</f>
        <v/>
      </c>
      <c r="M1654" s="6">
        <f>IF(C1654="","",0)</f>
        <v/>
      </c>
    </row>
    <row r="1655">
      <c r="A1655" t="inlineStr">
        <is>
          <t>Bank 银行</t>
        </is>
      </c>
      <c r="B1655" s="5">
        <f>IF(AND('Daily Sale entry '!Z155="Online collection 网上收款",'Daily Sale entry '!AA155&lt;&gt;""),'Daily Sale entry '!X155,"")</f>
        <v/>
      </c>
      <c r="C1655">
        <f>IF(B1655="","",'Daily Sale entry '!AA155)</f>
        <v/>
      </c>
      <c r="D1655">
        <f>IF(C1655="","",0)</f>
        <v/>
      </c>
      <c r="E1655">
        <f>IF(C1655="","",'Daily Sale entry '!AC155)</f>
        <v/>
      </c>
      <c r="F1655" s="37">
        <f>IF(C1655="","",B1655+IF(E1655&gt;0,0,0.5)+ROW()/10000000)</f>
        <v/>
      </c>
      <c r="G1655">
        <f>IF(C1655="","","Collection 收款 (Online 网上)"&amp;IF('Daily Sale entry '!Y155="",""," - "&amp;'Daily Sale entry '!Y155))</f>
        <v/>
      </c>
      <c r="H1655">
        <f>IF(C1655="","",COUNTIFS($C$2:$C$3001,C1655,$F$2:$F$3001,"&lt;"&amp;F1655)+1)</f>
        <v/>
      </c>
      <c r="I1655">
        <f>IF(C1655="","",C1655&amp;"|"&amp;H1655)</f>
        <v/>
      </c>
      <c r="J1655" s="6">
        <f>IF(C1655="","",IF(H1655=1,SUMIFS('Opening Balance'!$F$4:$F$303,'Opening Balance'!$G$4:$G$303,C1655),INDEX($L$2:$L$3001,MATCH(C1655&amp;"|"&amp;(H1655-1),$I$2:$I$3001,0))))</f>
        <v/>
      </c>
      <c r="K1655" s="6">
        <f>IF(C1655="","",IF(M1655&gt;0,M1655,IF(AND(E1655&gt;0,ROUND(J1655+D1655-E1655,2)&gt;0,ROUND(J1655+D1655-E1655,2)&lt;'Opening Balance'!$B$14),ROUND(J1655+D1655-E1655,2),0)))</f>
        <v/>
      </c>
      <c r="L1655" s="6">
        <f>IF(C1655="","",ROUND(J1655+D1655-E1655-K1655,2))</f>
        <v/>
      </c>
      <c r="M1655" s="6">
        <f>IF(C1655="","",0)</f>
        <v/>
      </c>
    </row>
    <row r="1656">
      <c r="A1656" t="inlineStr">
        <is>
          <t>Bank 银行</t>
        </is>
      </c>
      <c r="B1656" s="5">
        <f>IF(AND('Daily Sale entry '!Z156="Online collection 网上收款",'Daily Sale entry '!AA156&lt;&gt;""),'Daily Sale entry '!X156,"")</f>
        <v/>
      </c>
      <c r="C1656">
        <f>IF(B1656="","",'Daily Sale entry '!AA156)</f>
        <v/>
      </c>
      <c r="D1656">
        <f>IF(C1656="","",0)</f>
        <v/>
      </c>
      <c r="E1656">
        <f>IF(C1656="","",'Daily Sale entry '!AC156)</f>
        <v/>
      </c>
      <c r="F1656" s="37">
        <f>IF(C1656="","",B1656+IF(E1656&gt;0,0,0.5)+ROW()/10000000)</f>
        <v/>
      </c>
      <c r="G1656">
        <f>IF(C1656="","","Collection 收款 (Online 网上)"&amp;IF('Daily Sale entry '!Y156="",""," - "&amp;'Daily Sale entry '!Y156))</f>
        <v/>
      </c>
      <c r="H1656">
        <f>IF(C1656="","",COUNTIFS($C$2:$C$3001,C1656,$F$2:$F$3001,"&lt;"&amp;F1656)+1)</f>
        <v/>
      </c>
      <c r="I1656">
        <f>IF(C1656="","",C1656&amp;"|"&amp;H1656)</f>
        <v/>
      </c>
      <c r="J1656" s="6">
        <f>IF(C1656="","",IF(H1656=1,SUMIFS('Opening Balance'!$F$4:$F$303,'Opening Balance'!$G$4:$G$303,C1656),INDEX($L$2:$L$3001,MATCH(C1656&amp;"|"&amp;(H1656-1),$I$2:$I$3001,0))))</f>
        <v/>
      </c>
      <c r="K1656" s="6">
        <f>IF(C1656="","",IF(M1656&gt;0,M1656,IF(AND(E1656&gt;0,ROUND(J1656+D1656-E1656,2)&gt;0,ROUND(J1656+D1656-E1656,2)&lt;'Opening Balance'!$B$14),ROUND(J1656+D1656-E1656,2),0)))</f>
        <v/>
      </c>
      <c r="L1656" s="6">
        <f>IF(C1656="","",ROUND(J1656+D1656-E1656-K1656,2))</f>
        <v/>
      </c>
      <c r="M1656" s="6">
        <f>IF(C1656="","",0)</f>
        <v/>
      </c>
    </row>
    <row r="1657">
      <c r="A1657" t="inlineStr">
        <is>
          <t>Bank 银行</t>
        </is>
      </c>
      <c r="B1657" s="5">
        <f>IF(AND('Daily Sale entry '!Z157="Online collection 网上收款",'Daily Sale entry '!AA157&lt;&gt;""),'Daily Sale entry '!X157,"")</f>
        <v/>
      </c>
      <c r="C1657">
        <f>IF(B1657="","",'Daily Sale entry '!AA157)</f>
        <v/>
      </c>
      <c r="D1657">
        <f>IF(C1657="","",0)</f>
        <v/>
      </c>
      <c r="E1657">
        <f>IF(C1657="","",'Daily Sale entry '!AC157)</f>
        <v/>
      </c>
      <c r="F1657" s="37">
        <f>IF(C1657="","",B1657+IF(E1657&gt;0,0,0.5)+ROW()/10000000)</f>
        <v/>
      </c>
      <c r="G1657">
        <f>IF(C1657="","","Collection 收款 (Online 网上)"&amp;IF('Daily Sale entry '!Y157="",""," - "&amp;'Daily Sale entry '!Y157))</f>
        <v/>
      </c>
      <c r="H1657">
        <f>IF(C1657="","",COUNTIFS($C$2:$C$3001,C1657,$F$2:$F$3001,"&lt;"&amp;F1657)+1)</f>
        <v/>
      </c>
      <c r="I1657">
        <f>IF(C1657="","",C1657&amp;"|"&amp;H1657)</f>
        <v/>
      </c>
      <c r="J1657" s="6">
        <f>IF(C1657="","",IF(H1657=1,SUMIFS('Opening Balance'!$F$4:$F$303,'Opening Balance'!$G$4:$G$303,C1657),INDEX($L$2:$L$3001,MATCH(C1657&amp;"|"&amp;(H1657-1),$I$2:$I$3001,0))))</f>
        <v/>
      </c>
      <c r="K1657" s="6">
        <f>IF(C1657="","",IF(M1657&gt;0,M1657,IF(AND(E1657&gt;0,ROUND(J1657+D1657-E1657,2)&gt;0,ROUND(J1657+D1657-E1657,2)&lt;'Opening Balance'!$B$14),ROUND(J1657+D1657-E1657,2),0)))</f>
        <v/>
      </c>
      <c r="L1657" s="6">
        <f>IF(C1657="","",ROUND(J1657+D1657-E1657-K1657,2))</f>
        <v/>
      </c>
      <c r="M1657" s="6">
        <f>IF(C1657="","",0)</f>
        <v/>
      </c>
    </row>
    <row r="1658">
      <c r="A1658" t="inlineStr">
        <is>
          <t>Bank 银行</t>
        </is>
      </c>
      <c r="B1658" s="5">
        <f>IF(AND('Daily Sale entry '!Z158="Online collection 网上收款",'Daily Sale entry '!AA158&lt;&gt;""),'Daily Sale entry '!X158,"")</f>
        <v/>
      </c>
      <c r="C1658">
        <f>IF(B1658="","",'Daily Sale entry '!AA158)</f>
        <v/>
      </c>
      <c r="D1658">
        <f>IF(C1658="","",0)</f>
        <v/>
      </c>
      <c r="E1658">
        <f>IF(C1658="","",'Daily Sale entry '!AC158)</f>
        <v/>
      </c>
      <c r="F1658" s="37">
        <f>IF(C1658="","",B1658+IF(E1658&gt;0,0,0.5)+ROW()/10000000)</f>
        <v/>
      </c>
      <c r="G1658">
        <f>IF(C1658="","","Collection 收款 (Online 网上)"&amp;IF('Daily Sale entry '!Y158="",""," - "&amp;'Daily Sale entry '!Y158))</f>
        <v/>
      </c>
      <c r="H1658">
        <f>IF(C1658="","",COUNTIFS($C$2:$C$3001,C1658,$F$2:$F$3001,"&lt;"&amp;F1658)+1)</f>
        <v/>
      </c>
      <c r="I1658">
        <f>IF(C1658="","",C1658&amp;"|"&amp;H1658)</f>
        <v/>
      </c>
      <c r="J1658" s="6">
        <f>IF(C1658="","",IF(H1658=1,SUMIFS('Opening Balance'!$F$4:$F$303,'Opening Balance'!$G$4:$G$303,C1658),INDEX($L$2:$L$3001,MATCH(C1658&amp;"|"&amp;(H1658-1),$I$2:$I$3001,0))))</f>
        <v/>
      </c>
      <c r="K1658" s="6">
        <f>IF(C1658="","",IF(M1658&gt;0,M1658,IF(AND(E1658&gt;0,ROUND(J1658+D1658-E1658,2)&gt;0,ROUND(J1658+D1658-E1658,2)&lt;'Opening Balance'!$B$14),ROUND(J1658+D1658-E1658,2),0)))</f>
        <v/>
      </c>
      <c r="L1658" s="6">
        <f>IF(C1658="","",ROUND(J1658+D1658-E1658-K1658,2))</f>
        <v/>
      </c>
      <c r="M1658" s="6">
        <f>IF(C1658="","",0)</f>
        <v/>
      </c>
    </row>
    <row r="1659">
      <c r="A1659" t="inlineStr">
        <is>
          <t>Bank 银行</t>
        </is>
      </c>
      <c r="B1659" s="5">
        <f>IF(AND('Daily Sale entry '!Z159="Online collection 网上收款",'Daily Sale entry '!AA159&lt;&gt;""),'Daily Sale entry '!X159,"")</f>
        <v/>
      </c>
      <c r="C1659">
        <f>IF(B1659="","",'Daily Sale entry '!AA159)</f>
        <v/>
      </c>
      <c r="D1659">
        <f>IF(C1659="","",0)</f>
        <v/>
      </c>
      <c r="E1659">
        <f>IF(C1659="","",'Daily Sale entry '!AC159)</f>
        <v/>
      </c>
      <c r="F1659" s="37">
        <f>IF(C1659="","",B1659+IF(E1659&gt;0,0,0.5)+ROW()/10000000)</f>
        <v/>
      </c>
      <c r="G1659">
        <f>IF(C1659="","","Collection 收款 (Online 网上)"&amp;IF('Daily Sale entry '!Y159="",""," - "&amp;'Daily Sale entry '!Y159))</f>
        <v/>
      </c>
      <c r="H1659">
        <f>IF(C1659="","",COUNTIFS($C$2:$C$3001,C1659,$F$2:$F$3001,"&lt;"&amp;F1659)+1)</f>
        <v/>
      </c>
      <c r="I1659">
        <f>IF(C1659="","",C1659&amp;"|"&amp;H1659)</f>
        <v/>
      </c>
      <c r="J1659" s="6">
        <f>IF(C1659="","",IF(H1659=1,SUMIFS('Opening Balance'!$F$4:$F$303,'Opening Balance'!$G$4:$G$303,C1659),INDEX($L$2:$L$3001,MATCH(C1659&amp;"|"&amp;(H1659-1),$I$2:$I$3001,0))))</f>
        <v/>
      </c>
      <c r="K1659" s="6">
        <f>IF(C1659="","",IF(M1659&gt;0,M1659,IF(AND(E1659&gt;0,ROUND(J1659+D1659-E1659,2)&gt;0,ROUND(J1659+D1659-E1659,2)&lt;'Opening Balance'!$B$14),ROUND(J1659+D1659-E1659,2),0)))</f>
        <v/>
      </c>
      <c r="L1659" s="6">
        <f>IF(C1659="","",ROUND(J1659+D1659-E1659-K1659,2))</f>
        <v/>
      </c>
      <c r="M1659" s="6">
        <f>IF(C1659="","",0)</f>
        <v/>
      </c>
    </row>
    <row r="1660">
      <c r="A1660" t="inlineStr">
        <is>
          <t>Bank 银行</t>
        </is>
      </c>
      <c r="B1660" s="5">
        <f>IF(AND('Daily Sale entry '!Z160="Online collection 网上收款",'Daily Sale entry '!AA160&lt;&gt;""),'Daily Sale entry '!X160,"")</f>
        <v/>
      </c>
      <c r="C1660">
        <f>IF(B1660="","",'Daily Sale entry '!AA160)</f>
        <v/>
      </c>
      <c r="D1660">
        <f>IF(C1660="","",0)</f>
        <v/>
      </c>
      <c r="E1660">
        <f>IF(C1660="","",'Daily Sale entry '!AC160)</f>
        <v/>
      </c>
      <c r="F1660" s="37">
        <f>IF(C1660="","",B1660+IF(E1660&gt;0,0,0.5)+ROW()/10000000)</f>
        <v/>
      </c>
      <c r="G1660">
        <f>IF(C1660="","","Collection 收款 (Online 网上)"&amp;IF('Daily Sale entry '!Y160="",""," - "&amp;'Daily Sale entry '!Y160))</f>
        <v/>
      </c>
      <c r="H1660">
        <f>IF(C1660="","",COUNTIFS($C$2:$C$3001,C1660,$F$2:$F$3001,"&lt;"&amp;F1660)+1)</f>
        <v/>
      </c>
      <c r="I1660">
        <f>IF(C1660="","",C1660&amp;"|"&amp;H1660)</f>
        <v/>
      </c>
      <c r="J1660" s="6">
        <f>IF(C1660="","",IF(H1660=1,SUMIFS('Opening Balance'!$F$4:$F$303,'Opening Balance'!$G$4:$G$303,C1660),INDEX($L$2:$L$3001,MATCH(C1660&amp;"|"&amp;(H1660-1),$I$2:$I$3001,0))))</f>
        <v/>
      </c>
      <c r="K1660" s="6">
        <f>IF(C1660="","",IF(M1660&gt;0,M1660,IF(AND(E1660&gt;0,ROUND(J1660+D1660-E1660,2)&gt;0,ROUND(J1660+D1660-E1660,2)&lt;'Opening Balance'!$B$14),ROUND(J1660+D1660-E1660,2),0)))</f>
        <v/>
      </c>
      <c r="L1660" s="6">
        <f>IF(C1660="","",ROUND(J1660+D1660-E1660-K1660,2))</f>
        <v/>
      </c>
      <c r="M1660" s="6">
        <f>IF(C1660="","",0)</f>
        <v/>
      </c>
    </row>
    <row r="1661">
      <c r="A1661" t="inlineStr">
        <is>
          <t>Bank 银行</t>
        </is>
      </c>
      <c r="B1661" s="5">
        <f>IF(AND('Daily Sale entry '!Z161="Online collection 网上收款",'Daily Sale entry '!AA161&lt;&gt;""),'Daily Sale entry '!X161,"")</f>
        <v/>
      </c>
      <c r="C1661">
        <f>IF(B1661="","",'Daily Sale entry '!AA161)</f>
        <v/>
      </c>
      <c r="D1661">
        <f>IF(C1661="","",0)</f>
        <v/>
      </c>
      <c r="E1661">
        <f>IF(C1661="","",'Daily Sale entry '!AC161)</f>
        <v/>
      </c>
      <c r="F1661" s="37">
        <f>IF(C1661="","",B1661+IF(E1661&gt;0,0,0.5)+ROW()/10000000)</f>
        <v/>
      </c>
      <c r="G1661">
        <f>IF(C1661="","","Collection 收款 (Online 网上)"&amp;IF('Daily Sale entry '!Y161="",""," - "&amp;'Daily Sale entry '!Y161))</f>
        <v/>
      </c>
      <c r="H1661">
        <f>IF(C1661="","",COUNTIFS($C$2:$C$3001,C1661,$F$2:$F$3001,"&lt;"&amp;F1661)+1)</f>
        <v/>
      </c>
      <c r="I1661">
        <f>IF(C1661="","",C1661&amp;"|"&amp;H1661)</f>
        <v/>
      </c>
      <c r="J1661" s="6">
        <f>IF(C1661="","",IF(H1661=1,SUMIFS('Opening Balance'!$F$4:$F$303,'Opening Balance'!$G$4:$G$303,C1661),INDEX($L$2:$L$3001,MATCH(C1661&amp;"|"&amp;(H1661-1),$I$2:$I$3001,0))))</f>
        <v/>
      </c>
      <c r="K1661" s="6">
        <f>IF(C1661="","",IF(M1661&gt;0,M1661,IF(AND(E1661&gt;0,ROUND(J1661+D1661-E1661,2)&gt;0,ROUND(J1661+D1661-E1661,2)&lt;'Opening Balance'!$B$14),ROUND(J1661+D1661-E1661,2),0)))</f>
        <v/>
      </c>
      <c r="L1661" s="6">
        <f>IF(C1661="","",ROUND(J1661+D1661-E1661-K1661,2))</f>
        <v/>
      </c>
      <c r="M1661" s="6">
        <f>IF(C1661="","",0)</f>
        <v/>
      </c>
    </row>
    <row r="1662">
      <c r="A1662" t="inlineStr">
        <is>
          <t>Bank 银行</t>
        </is>
      </c>
      <c r="B1662" s="5">
        <f>IF(AND('Daily Sale entry '!Z162="Online collection 网上收款",'Daily Sale entry '!AA162&lt;&gt;""),'Daily Sale entry '!X162,"")</f>
        <v/>
      </c>
      <c r="C1662">
        <f>IF(B1662="","",'Daily Sale entry '!AA162)</f>
        <v/>
      </c>
      <c r="D1662">
        <f>IF(C1662="","",0)</f>
        <v/>
      </c>
      <c r="E1662">
        <f>IF(C1662="","",'Daily Sale entry '!AC162)</f>
        <v/>
      </c>
      <c r="F1662" s="37">
        <f>IF(C1662="","",B1662+IF(E1662&gt;0,0,0.5)+ROW()/10000000)</f>
        <v/>
      </c>
      <c r="G1662">
        <f>IF(C1662="","","Collection 收款 (Online 网上)"&amp;IF('Daily Sale entry '!Y162="",""," - "&amp;'Daily Sale entry '!Y162))</f>
        <v/>
      </c>
      <c r="H1662">
        <f>IF(C1662="","",COUNTIFS($C$2:$C$3001,C1662,$F$2:$F$3001,"&lt;"&amp;F1662)+1)</f>
        <v/>
      </c>
      <c r="I1662">
        <f>IF(C1662="","",C1662&amp;"|"&amp;H1662)</f>
        <v/>
      </c>
      <c r="J1662" s="6">
        <f>IF(C1662="","",IF(H1662=1,SUMIFS('Opening Balance'!$F$4:$F$303,'Opening Balance'!$G$4:$G$303,C1662),INDEX($L$2:$L$3001,MATCH(C1662&amp;"|"&amp;(H1662-1),$I$2:$I$3001,0))))</f>
        <v/>
      </c>
      <c r="K1662" s="6">
        <f>IF(C1662="","",IF(M1662&gt;0,M1662,IF(AND(E1662&gt;0,ROUND(J1662+D1662-E1662,2)&gt;0,ROUND(J1662+D1662-E1662,2)&lt;'Opening Balance'!$B$14),ROUND(J1662+D1662-E1662,2),0)))</f>
        <v/>
      </c>
      <c r="L1662" s="6">
        <f>IF(C1662="","",ROUND(J1662+D1662-E1662-K1662,2))</f>
        <v/>
      </c>
      <c r="M1662" s="6">
        <f>IF(C1662="","",0)</f>
        <v/>
      </c>
    </row>
    <row r="1663">
      <c r="A1663" t="inlineStr">
        <is>
          <t>Bank 银行</t>
        </is>
      </c>
      <c r="B1663" s="5">
        <f>IF(AND('Daily Sale entry '!Z163="Online collection 网上收款",'Daily Sale entry '!AA163&lt;&gt;""),'Daily Sale entry '!X163,"")</f>
        <v/>
      </c>
      <c r="C1663">
        <f>IF(B1663="","",'Daily Sale entry '!AA163)</f>
        <v/>
      </c>
      <c r="D1663">
        <f>IF(C1663="","",0)</f>
        <v/>
      </c>
      <c r="E1663">
        <f>IF(C1663="","",'Daily Sale entry '!AC163)</f>
        <v/>
      </c>
      <c r="F1663" s="37">
        <f>IF(C1663="","",B1663+IF(E1663&gt;0,0,0.5)+ROW()/10000000)</f>
        <v/>
      </c>
      <c r="G1663">
        <f>IF(C1663="","","Collection 收款 (Online 网上)"&amp;IF('Daily Sale entry '!Y163="",""," - "&amp;'Daily Sale entry '!Y163))</f>
        <v/>
      </c>
      <c r="H1663">
        <f>IF(C1663="","",COUNTIFS($C$2:$C$3001,C1663,$F$2:$F$3001,"&lt;"&amp;F1663)+1)</f>
        <v/>
      </c>
      <c r="I1663">
        <f>IF(C1663="","",C1663&amp;"|"&amp;H1663)</f>
        <v/>
      </c>
      <c r="J1663" s="6">
        <f>IF(C1663="","",IF(H1663=1,SUMIFS('Opening Balance'!$F$4:$F$303,'Opening Balance'!$G$4:$G$303,C1663),INDEX($L$2:$L$3001,MATCH(C1663&amp;"|"&amp;(H1663-1),$I$2:$I$3001,0))))</f>
        <v/>
      </c>
      <c r="K1663" s="6">
        <f>IF(C1663="","",IF(M1663&gt;0,M1663,IF(AND(E1663&gt;0,ROUND(J1663+D1663-E1663,2)&gt;0,ROUND(J1663+D1663-E1663,2)&lt;'Opening Balance'!$B$14),ROUND(J1663+D1663-E1663,2),0)))</f>
        <v/>
      </c>
      <c r="L1663" s="6">
        <f>IF(C1663="","",ROUND(J1663+D1663-E1663-K1663,2))</f>
        <v/>
      </c>
      <c r="M1663" s="6">
        <f>IF(C1663="","",0)</f>
        <v/>
      </c>
    </row>
    <row r="1664">
      <c r="A1664" t="inlineStr">
        <is>
          <t>Bank 银行</t>
        </is>
      </c>
      <c r="B1664" s="5">
        <f>IF(AND('Daily Sale entry '!Z164="Online collection 网上收款",'Daily Sale entry '!AA164&lt;&gt;""),'Daily Sale entry '!X164,"")</f>
        <v/>
      </c>
      <c r="C1664">
        <f>IF(B1664="","",'Daily Sale entry '!AA164)</f>
        <v/>
      </c>
      <c r="D1664">
        <f>IF(C1664="","",0)</f>
        <v/>
      </c>
      <c r="E1664">
        <f>IF(C1664="","",'Daily Sale entry '!AC164)</f>
        <v/>
      </c>
      <c r="F1664" s="37">
        <f>IF(C1664="","",B1664+IF(E1664&gt;0,0,0.5)+ROW()/10000000)</f>
        <v/>
      </c>
      <c r="G1664">
        <f>IF(C1664="","","Collection 收款 (Online 网上)"&amp;IF('Daily Sale entry '!Y164="",""," - "&amp;'Daily Sale entry '!Y164))</f>
        <v/>
      </c>
      <c r="H1664">
        <f>IF(C1664="","",COUNTIFS($C$2:$C$3001,C1664,$F$2:$F$3001,"&lt;"&amp;F1664)+1)</f>
        <v/>
      </c>
      <c r="I1664">
        <f>IF(C1664="","",C1664&amp;"|"&amp;H1664)</f>
        <v/>
      </c>
      <c r="J1664" s="6">
        <f>IF(C1664="","",IF(H1664=1,SUMIFS('Opening Balance'!$F$4:$F$303,'Opening Balance'!$G$4:$G$303,C1664),INDEX($L$2:$L$3001,MATCH(C1664&amp;"|"&amp;(H1664-1),$I$2:$I$3001,0))))</f>
        <v/>
      </c>
      <c r="K1664" s="6">
        <f>IF(C1664="","",IF(M1664&gt;0,M1664,IF(AND(E1664&gt;0,ROUND(J1664+D1664-E1664,2)&gt;0,ROUND(J1664+D1664-E1664,2)&lt;'Opening Balance'!$B$14),ROUND(J1664+D1664-E1664,2),0)))</f>
        <v/>
      </c>
      <c r="L1664" s="6">
        <f>IF(C1664="","",ROUND(J1664+D1664-E1664-K1664,2))</f>
        <v/>
      </c>
      <c r="M1664" s="6">
        <f>IF(C1664="","",0)</f>
        <v/>
      </c>
    </row>
    <row r="1665">
      <c r="A1665" t="inlineStr">
        <is>
          <t>Bank 银行</t>
        </is>
      </c>
      <c r="B1665" s="5">
        <f>IF(AND('Daily Sale entry '!Z165="Online collection 网上收款",'Daily Sale entry '!AA165&lt;&gt;""),'Daily Sale entry '!X165,"")</f>
        <v/>
      </c>
      <c r="C1665">
        <f>IF(B1665="","",'Daily Sale entry '!AA165)</f>
        <v/>
      </c>
      <c r="D1665">
        <f>IF(C1665="","",0)</f>
        <v/>
      </c>
      <c r="E1665">
        <f>IF(C1665="","",'Daily Sale entry '!AC165)</f>
        <v/>
      </c>
      <c r="F1665" s="37">
        <f>IF(C1665="","",B1665+IF(E1665&gt;0,0,0.5)+ROW()/10000000)</f>
        <v/>
      </c>
      <c r="G1665">
        <f>IF(C1665="","","Collection 收款 (Online 网上)"&amp;IF('Daily Sale entry '!Y165="",""," - "&amp;'Daily Sale entry '!Y165))</f>
        <v/>
      </c>
      <c r="H1665">
        <f>IF(C1665="","",COUNTIFS($C$2:$C$3001,C1665,$F$2:$F$3001,"&lt;"&amp;F1665)+1)</f>
        <v/>
      </c>
      <c r="I1665">
        <f>IF(C1665="","",C1665&amp;"|"&amp;H1665)</f>
        <v/>
      </c>
      <c r="J1665" s="6">
        <f>IF(C1665="","",IF(H1665=1,SUMIFS('Opening Balance'!$F$4:$F$303,'Opening Balance'!$G$4:$G$303,C1665),INDEX($L$2:$L$3001,MATCH(C1665&amp;"|"&amp;(H1665-1),$I$2:$I$3001,0))))</f>
        <v/>
      </c>
      <c r="K1665" s="6">
        <f>IF(C1665="","",IF(M1665&gt;0,M1665,IF(AND(E1665&gt;0,ROUND(J1665+D1665-E1665,2)&gt;0,ROUND(J1665+D1665-E1665,2)&lt;'Opening Balance'!$B$14),ROUND(J1665+D1665-E1665,2),0)))</f>
        <v/>
      </c>
      <c r="L1665" s="6">
        <f>IF(C1665="","",ROUND(J1665+D1665-E1665-K1665,2))</f>
        <v/>
      </c>
      <c r="M1665" s="6">
        <f>IF(C1665="","",0)</f>
        <v/>
      </c>
    </row>
    <row r="1666">
      <c r="A1666" t="inlineStr">
        <is>
          <t>Bank 银行</t>
        </is>
      </c>
      <c r="B1666" s="5">
        <f>IF(AND('Daily Sale entry '!Z166="Online collection 网上收款",'Daily Sale entry '!AA166&lt;&gt;""),'Daily Sale entry '!X166,"")</f>
        <v/>
      </c>
      <c r="C1666">
        <f>IF(B1666="","",'Daily Sale entry '!AA166)</f>
        <v/>
      </c>
      <c r="D1666">
        <f>IF(C1666="","",0)</f>
        <v/>
      </c>
      <c r="E1666">
        <f>IF(C1666="","",'Daily Sale entry '!AC166)</f>
        <v/>
      </c>
      <c r="F1666" s="37">
        <f>IF(C1666="","",B1666+IF(E1666&gt;0,0,0.5)+ROW()/10000000)</f>
        <v/>
      </c>
      <c r="G1666">
        <f>IF(C1666="","","Collection 收款 (Online 网上)"&amp;IF('Daily Sale entry '!Y166="",""," - "&amp;'Daily Sale entry '!Y166))</f>
        <v/>
      </c>
      <c r="H1666">
        <f>IF(C1666="","",COUNTIFS($C$2:$C$3001,C1666,$F$2:$F$3001,"&lt;"&amp;F1666)+1)</f>
        <v/>
      </c>
      <c r="I1666">
        <f>IF(C1666="","",C1666&amp;"|"&amp;H1666)</f>
        <v/>
      </c>
      <c r="J1666" s="6">
        <f>IF(C1666="","",IF(H1666=1,SUMIFS('Opening Balance'!$F$4:$F$303,'Opening Balance'!$G$4:$G$303,C1666),INDEX($L$2:$L$3001,MATCH(C1666&amp;"|"&amp;(H1666-1),$I$2:$I$3001,0))))</f>
        <v/>
      </c>
      <c r="K1666" s="6">
        <f>IF(C1666="","",IF(M1666&gt;0,M1666,IF(AND(E1666&gt;0,ROUND(J1666+D1666-E1666,2)&gt;0,ROUND(J1666+D1666-E1666,2)&lt;'Opening Balance'!$B$14),ROUND(J1666+D1666-E1666,2),0)))</f>
        <v/>
      </c>
      <c r="L1666" s="6">
        <f>IF(C1666="","",ROUND(J1666+D1666-E1666-K1666,2))</f>
        <v/>
      </c>
      <c r="M1666" s="6">
        <f>IF(C1666="","",0)</f>
        <v/>
      </c>
    </row>
    <row r="1667">
      <c r="A1667" t="inlineStr">
        <is>
          <t>Bank 银行</t>
        </is>
      </c>
      <c r="B1667" s="5">
        <f>IF(AND('Daily Sale entry '!Z167="Online collection 网上收款",'Daily Sale entry '!AA167&lt;&gt;""),'Daily Sale entry '!X167,"")</f>
        <v/>
      </c>
      <c r="C1667">
        <f>IF(B1667="","",'Daily Sale entry '!AA167)</f>
        <v/>
      </c>
      <c r="D1667">
        <f>IF(C1667="","",0)</f>
        <v/>
      </c>
      <c r="E1667">
        <f>IF(C1667="","",'Daily Sale entry '!AC167)</f>
        <v/>
      </c>
      <c r="F1667" s="37">
        <f>IF(C1667="","",B1667+IF(E1667&gt;0,0,0.5)+ROW()/10000000)</f>
        <v/>
      </c>
      <c r="G1667">
        <f>IF(C1667="","","Collection 收款 (Online 网上)"&amp;IF('Daily Sale entry '!Y167="",""," - "&amp;'Daily Sale entry '!Y167))</f>
        <v/>
      </c>
      <c r="H1667">
        <f>IF(C1667="","",COUNTIFS($C$2:$C$3001,C1667,$F$2:$F$3001,"&lt;"&amp;F1667)+1)</f>
        <v/>
      </c>
      <c r="I1667">
        <f>IF(C1667="","",C1667&amp;"|"&amp;H1667)</f>
        <v/>
      </c>
      <c r="J1667" s="6">
        <f>IF(C1667="","",IF(H1667=1,SUMIFS('Opening Balance'!$F$4:$F$303,'Opening Balance'!$G$4:$G$303,C1667),INDEX($L$2:$L$3001,MATCH(C1667&amp;"|"&amp;(H1667-1),$I$2:$I$3001,0))))</f>
        <v/>
      </c>
      <c r="K1667" s="6">
        <f>IF(C1667="","",IF(M1667&gt;0,M1667,IF(AND(E1667&gt;0,ROUND(J1667+D1667-E1667,2)&gt;0,ROUND(J1667+D1667-E1667,2)&lt;'Opening Balance'!$B$14),ROUND(J1667+D1667-E1667,2),0)))</f>
        <v/>
      </c>
      <c r="L1667" s="6">
        <f>IF(C1667="","",ROUND(J1667+D1667-E1667-K1667,2))</f>
        <v/>
      </c>
      <c r="M1667" s="6">
        <f>IF(C1667="","",0)</f>
        <v/>
      </c>
    </row>
    <row r="1668">
      <c r="A1668" t="inlineStr">
        <is>
          <t>Bank 银行</t>
        </is>
      </c>
      <c r="B1668" s="5">
        <f>IF(AND('Daily Sale entry '!Z168="Online collection 网上收款",'Daily Sale entry '!AA168&lt;&gt;""),'Daily Sale entry '!X168,"")</f>
        <v/>
      </c>
      <c r="C1668">
        <f>IF(B1668="","",'Daily Sale entry '!AA168)</f>
        <v/>
      </c>
      <c r="D1668">
        <f>IF(C1668="","",0)</f>
        <v/>
      </c>
      <c r="E1668">
        <f>IF(C1668="","",'Daily Sale entry '!AC168)</f>
        <v/>
      </c>
      <c r="F1668" s="37">
        <f>IF(C1668="","",B1668+IF(E1668&gt;0,0,0.5)+ROW()/10000000)</f>
        <v/>
      </c>
      <c r="G1668">
        <f>IF(C1668="","","Collection 收款 (Online 网上)"&amp;IF('Daily Sale entry '!Y168="",""," - "&amp;'Daily Sale entry '!Y168))</f>
        <v/>
      </c>
      <c r="H1668">
        <f>IF(C1668="","",COUNTIFS($C$2:$C$3001,C1668,$F$2:$F$3001,"&lt;"&amp;F1668)+1)</f>
        <v/>
      </c>
      <c r="I1668">
        <f>IF(C1668="","",C1668&amp;"|"&amp;H1668)</f>
        <v/>
      </c>
      <c r="J1668" s="6">
        <f>IF(C1668="","",IF(H1668=1,SUMIFS('Opening Balance'!$F$4:$F$303,'Opening Balance'!$G$4:$G$303,C1668),INDEX($L$2:$L$3001,MATCH(C1668&amp;"|"&amp;(H1668-1),$I$2:$I$3001,0))))</f>
        <v/>
      </c>
      <c r="K1668" s="6">
        <f>IF(C1668="","",IF(M1668&gt;0,M1668,IF(AND(E1668&gt;0,ROUND(J1668+D1668-E1668,2)&gt;0,ROUND(J1668+D1668-E1668,2)&lt;'Opening Balance'!$B$14),ROUND(J1668+D1668-E1668,2),0)))</f>
        <v/>
      </c>
      <c r="L1668" s="6">
        <f>IF(C1668="","",ROUND(J1668+D1668-E1668-K1668,2))</f>
        <v/>
      </c>
      <c r="M1668" s="6">
        <f>IF(C1668="","",0)</f>
        <v/>
      </c>
    </row>
    <row r="1669">
      <c r="A1669" t="inlineStr">
        <is>
          <t>Bank 银行</t>
        </is>
      </c>
      <c r="B1669" s="5">
        <f>IF(AND('Daily Sale entry '!Z169="Online collection 网上收款",'Daily Sale entry '!AA169&lt;&gt;""),'Daily Sale entry '!X169,"")</f>
        <v/>
      </c>
      <c r="C1669">
        <f>IF(B1669="","",'Daily Sale entry '!AA169)</f>
        <v/>
      </c>
      <c r="D1669">
        <f>IF(C1669="","",0)</f>
        <v/>
      </c>
      <c r="E1669">
        <f>IF(C1669="","",'Daily Sale entry '!AC169)</f>
        <v/>
      </c>
      <c r="F1669" s="37">
        <f>IF(C1669="","",B1669+IF(E1669&gt;0,0,0.5)+ROW()/10000000)</f>
        <v/>
      </c>
      <c r="G1669">
        <f>IF(C1669="","","Collection 收款 (Online 网上)"&amp;IF('Daily Sale entry '!Y169="",""," - "&amp;'Daily Sale entry '!Y169))</f>
        <v/>
      </c>
      <c r="H1669">
        <f>IF(C1669="","",COUNTIFS($C$2:$C$3001,C1669,$F$2:$F$3001,"&lt;"&amp;F1669)+1)</f>
        <v/>
      </c>
      <c r="I1669">
        <f>IF(C1669="","",C1669&amp;"|"&amp;H1669)</f>
        <v/>
      </c>
      <c r="J1669" s="6">
        <f>IF(C1669="","",IF(H1669=1,SUMIFS('Opening Balance'!$F$4:$F$303,'Opening Balance'!$G$4:$G$303,C1669),INDEX($L$2:$L$3001,MATCH(C1669&amp;"|"&amp;(H1669-1),$I$2:$I$3001,0))))</f>
        <v/>
      </c>
      <c r="K1669" s="6">
        <f>IF(C1669="","",IF(M1669&gt;0,M1669,IF(AND(E1669&gt;0,ROUND(J1669+D1669-E1669,2)&gt;0,ROUND(J1669+D1669-E1669,2)&lt;'Opening Balance'!$B$14),ROUND(J1669+D1669-E1669,2),0)))</f>
        <v/>
      </c>
      <c r="L1669" s="6">
        <f>IF(C1669="","",ROUND(J1669+D1669-E1669-K1669,2))</f>
        <v/>
      </c>
      <c r="M1669" s="6">
        <f>IF(C1669="","",0)</f>
        <v/>
      </c>
    </row>
    <row r="1670">
      <c r="A1670" t="inlineStr">
        <is>
          <t>Bank 银行</t>
        </is>
      </c>
      <c r="B1670" s="5">
        <f>IF(AND('Daily Sale entry '!Z170="Online collection 网上收款",'Daily Sale entry '!AA170&lt;&gt;""),'Daily Sale entry '!X170,"")</f>
        <v/>
      </c>
      <c r="C1670">
        <f>IF(B1670="","",'Daily Sale entry '!AA170)</f>
        <v/>
      </c>
      <c r="D1670">
        <f>IF(C1670="","",0)</f>
        <v/>
      </c>
      <c r="E1670">
        <f>IF(C1670="","",'Daily Sale entry '!AC170)</f>
        <v/>
      </c>
      <c r="F1670" s="37">
        <f>IF(C1670="","",B1670+IF(E1670&gt;0,0,0.5)+ROW()/10000000)</f>
        <v/>
      </c>
      <c r="G1670">
        <f>IF(C1670="","","Collection 收款 (Online 网上)"&amp;IF('Daily Sale entry '!Y170="",""," - "&amp;'Daily Sale entry '!Y170))</f>
        <v/>
      </c>
      <c r="H1670">
        <f>IF(C1670="","",COUNTIFS($C$2:$C$3001,C1670,$F$2:$F$3001,"&lt;"&amp;F1670)+1)</f>
        <v/>
      </c>
      <c r="I1670">
        <f>IF(C1670="","",C1670&amp;"|"&amp;H1670)</f>
        <v/>
      </c>
      <c r="J1670" s="6">
        <f>IF(C1670="","",IF(H1670=1,SUMIFS('Opening Balance'!$F$4:$F$303,'Opening Balance'!$G$4:$G$303,C1670),INDEX($L$2:$L$3001,MATCH(C1670&amp;"|"&amp;(H1670-1),$I$2:$I$3001,0))))</f>
        <v/>
      </c>
      <c r="K1670" s="6">
        <f>IF(C1670="","",IF(M1670&gt;0,M1670,IF(AND(E1670&gt;0,ROUND(J1670+D1670-E1670,2)&gt;0,ROUND(J1670+D1670-E1670,2)&lt;'Opening Balance'!$B$14),ROUND(J1670+D1670-E1670,2),0)))</f>
        <v/>
      </c>
      <c r="L1670" s="6">
        <f>IF(C1670="","",ROUND(J1670+D1670-E1670-K1670,2))</f>
        <v/>
      </c>
      <c r="M1670" s="6">
        <f>IF(C1670="","",0)</f>
        <v/>
      </c>
    </row>
    <row r="1671">
      <c r="A1671" t="inlineStr">
        <is>
          <t>Bank 银行</t>
        </is>
      </c>
      <c r="B1671" s="5">
        <f>IF(AND('Daily Sale entry '!Z171="Online collection 网上收款",'Daily Sale entry '!AA171&lt;&gt;""),'Daily Sale entry '!X171,"")</f>
        <v/>
      </c>
      <c r="C1671">
        <f>IF(B1671="","",'Daily Sale entry '!AA171)</f>
        <v/>
      </c>
      <c r="D1671">
        <f>IF(C1671="","",0)</f>
        <v/>
      </c>
      <c r="E1671">
        <f>IF(C1671="","",'Daily Sale entry '!AC171)</f>
        <v/>
      </c>
      <c r="F1671" s="37">
        <f>IF(C1671="","",B1671+IF(E1671&gt;0,0,0.5)+ROW()/10000000)</f>
        <v/>
      </c>
      <c r="G1671">
        <f>IF(C1671="","","Collection 收款 (Online 网上)"&amp;IF('Daily Sale entry '!Y171="",""," - "&amp;'Daily Sale entry '!Y171))</f>
        <v/>
      </c>
      <c r="H1671">
        <f>IF(C1671="","",COUNTIFS($C$2:$C$3001,C1671,$F$2:$F$3001,"&lt;"&amp;F1671)+1)</f>
        <v/>
      </c>
      <c r="I1671">
        <f>IF(C1671="","",C1671&amp;"|"&amp;H1671)</f>
        <v/>
      </c>
      <c r="J1671" s="6">
        <f>IF(C1671="","",IF(H1671=1,SUMIFS('Opening Balance'!$F$4:$F$303,'Opening Balance'!$G$4:$G$303,C1671),INDEX($L$2:$L$3001,MATCH(C1671&amp;"|"&amp;(H1671-1),$I$2:$I$3001,0))))</f>
        <v/>
      </c>
      <c r="K1671" s="6">
        <f>IF(C1671="","",IF(M1671&gt;0,M1671,IF(AND(E1671&gt;0,ROUND(J1671+D1671-E1671,2)&gt;0,ROUND(J1671+D1671-E1671,2)&lt;'Opening Balance'!$B$14),ROUND(J1671+D1671-E1671,2),0)))</f>
        <v/>
      </c>
      <c r="L1671" s="6">
        <f>IF(C1671="","",ROUND(J1671+D1671-E1671-K1671,2))</f>
        <v/>
      </c>
      <c r="M1671" s="6">
        <f>IF(C1671="","",0)</f>
        <v/>
      </c>
    </row>
    <row r="1672">
      <c r="A1672" t="inlineStr">
        <is>
          <t>Bank 银行</t>
        </is>
      </c>
      <c r="B1672" s="5">
        <f>IF(AND('Daily Sale entry '!Z172="Online collection 网上收款",'Daily Sale entry '!AA172&lt;&gt;""),'Daily Sale entry '!X172,"")</f>
        <v/>
      </c>
      <c r="C1672">
        <f>IF(B1672="","",'Daily Sale entry '!AA172)</f>
        <v/>
      </c>
      <c r="D1672">
        <f>IF(C1672="","",0)</f>
        <v/>
      </c>
      <c r="E1672">
        <f>IF(C1672="","",'Daily Sale entry '!AC172)</f>
        <v/>
      </c>
      <c r="F1672" s="37">
        <f>IF(C1672="","",B1672+IF(E1672&gt;0,0,0.5)+ROW()/10000000)</f>
        <v/>
      </c>
      <c r="G1672">
        <f>IF(C1672="","","Collection 收款 (Online 网上)"&amp;IF('Daily Sale entry '!Y172="",""," - "&amp;'Daily Sale entry '!Y172))</f>
        <v/>
      </c>
      <c r="H1672">
        <f>IF(C1672="","",COUNTIFS($C$2:$C$3001,C1672,$F$2:$F$3001,"&lt;"&amp;F1672)+1)</f>
        <v/>
      </c>
      <c r="I1672">
        <f>IF(C1672="","",C1672&amp;"|"&amp;H1672)</f>
        <v/>
      </c>
      <c r="J1672" s="6">
        <f>IF(C1672="","",IF(H1672=1,SUMIFS('Opening Balance'!$F$4:$F$303,'Opening Balance'!$G$4:$G$303,C1672),INDEX($L$2:$L$3001,MATCH(C1672&amp;"|"&amp;(H1672-1),$I$2:$I$3001,0))))</f>
        <v/>
      </c>
      <c r="K1672" s="6">
        <f>IF(C1672="","",IF(M1672&gt;0,M1672,IF(AND(E1672&gt;0,ROUND(J1672+D1672-E1672,2)&gt;0,ROUND(J1672+D1672-E1672,2)&lt;'Opening Balance'!$B$14),ROUND(J1672+D1672-E1672,2),0)))</f>
        <v/>
      </c>
      <c r="L1672" s="6">
        <f>IF(C1672="","",ROUND(J1672+D1672-E1672-K1672,2))</f>
        <v/>
      </c>
      <c r="M1672" s="6">
        <f>IF(C1672="","",0)</f>
        <v/>
      </c>
    </row>
    <row r="1673">
      <c r="A1673" t="inlineStr">
        <is>
          <t>Bank 银行</t>
        </is>
      </c>
      <c r="B1673" s="5">
        <f>IF(AND('Daily Sale entry '!Z173="Online collection 网上收款",'Daily Sale entry '!AA173&lt;&gt;""),'Daily Sale entry '!X173,"")</f>
        <v/>
      </c>
      <c r="C1673">
        <f>IF(B1673="","",'Daily Sale entry '!AA173)</f>
        <v/>
      </c>
      <c r="D1673">
        <f>IF(C1673="","",0)</f>
        <v/>
      </c>
      <c r="E1673">
        <f>IF(C1673="","",'Daily Sale entry '!AC173)</f>
        <v/>
      </c>
      <c r="F1673" s="37">
        <f>IF(C1673="","",B1673+IF(E1673&gt;0,0,0.5)+ROW()/10000000)</f>
        <v/>
      </c>
      <c r="G1673">
        <f>IF(C1673="","","Collection 收款 (Online 网上)"&amp;IF('Daily Sale entry '!Y173="",""," - "&amp;'Daily Sale entry '!Y173))</f>
        <v/>
      </c>
      <c r="H1673">
        <f>IF(C1673="","",COUNTIFS($C$2:$C$3001,C1673,$F$2:$F$3001,"&lt;"&amp;F1673)+1)</f>
        <v/>
      </c>
      <c r="I1673">
        <f>IF(C1673="","",C1673&amp;"|"&amp;H1673)</f>
        <v/>
      </c>
      <c r="J1673" s="6">
        <f>IF(C1673="","",IF(H1673=1,SUMIFS('Opening Balance'!$F$4:$F$303,'Opening Balance'!$G$4:$G$303,C1673),INDEX($L$2:$L$3001,MATCH(C1673&amp;"|"&amp;(H1673-1),$I$2:$I$3001,0))))</f>
        <v/>
      </c>
      <c r="K1673" s="6">
        <f>IF(C1673="","",IF(M1673&gt;0,M1673,IF(AND(E1673&gt;0,ROUND(J1673+D1673-E1673,2)&gt;0,ROUND(J1673+D1673-E1673,2)&lt;'Opening Balance'!$B$14),ROUND(J1673+D1673-E1673,2),0)))</f>
        <v/>
      </c>
      <c r="L1673" s="6">
        <f>IF(C1673="","",ROUND(J1673+D1673-E1673-K1673,2))</f>
        <v/>
      </c>
      <c r="M1673" s="6">
        <f>IF(C1673="","",0)</f>
        <v/>
      </c>
    </row>
    <row r="1674">
      <c r="A1674" t="inlineStr">
        <is>
          <t>Bank 银行</t>
        </is>
      </c>
      <c r="B1674" s="5">
        <f>IF(AND('Daily Sale entry '!Z174="Online collection 网上收款",'Daily Sale entry '!AA174&lt;&gt;""),'Daily Sale entry '!X174,"")</f>
        <v/>
      </c>
      <c r="C1674">
        <f>IF(B1674="","",'Daily Sale entry '!AA174)</f>
        <v/>
      </c>
      <c r="D1674">
        <f>IF(C1674="","",0)</f>
        <v/>
      </c>
      <c r="E1674">
        <f>IF(C1674="","",'Daily Sale entry '!AC174)</f>
        <v/>
      </c>
      <c r="F1674" s="37">
        <f>IF(C1674="","",B1674+IF(E1674&gt;0,0,0.5)+ROW()/10000000)</f>
        <v/>
      </c>
      <c r="G1674">
        <f>IF(C1674="","","Collection 收款 (Online 网上)"&amp;IF('Daily Sale entry '!Y174="",""," - "&amp;'Daily Sale entry '!Y174))</f>
        <v/>
      </c>
      <c r="H1674">
        <f>IF(C1674="","",COUNTIFS($C$2:$C$3001,C1674,$F$2:$F$3001,"&lt;"&amp;F1674)+1)</f>
        <v/>
      </c>
      <c r="I1674">
        <f>IF(C1674="","",C1674&amp;"|"&amp;H1674)</f>
        <v/>
      </c>
      <c r="J1674" s="6">
        <f>IF(C1674="","",IF(H1674=1,SUMIFS('Opening Balance'!$F$4:$F$303,'Opening Balance'!$G$4:$G$303,C1674),INDEX($L$2:$L$3001,MATCH(C1674&amp;"|"&amp;(H1674-1),$I$2:$I$3001,0))))</f>
        <v/>
      </c>
      <c r="K1674" s="6">
        <f>IF(C1674="","",IF(M1674&gt;0,M1674,IF(AND(E1674&gt;0,ROUND(J1674+D1674-E1674,2)&gt;0,ROUND(J1674+D1674-E1674,2)&lt;'Opening Balance'!$B$14),ROUND(J1674+D1674-E1674,2),0)))</f>
        <v/>
      </c>
      <c r="L1674" s="6">
        <f>IF(C1674="","",ROUND(J1674+D1674-E1674-K1674,2))</f>
        <v/>
      </c>
      <c r="M1674" s="6">
        <f>IF(C1674="","",0)</f>
        <v/>
      </c>
    </row>
    <row r="1675">
      <c r="A1675" t="inlineStr">
        <is>
          <t>Bank 银行</t>
        </is>
      </c>
      <c r="B1675" s="5">
        <f>IF(AND('Daily Sale entry '!Z175="Online collection 网上收款",'Daily Sale entry '!AA175&lt;&gt;""),'Daily Sale entry '!X175,"")</f>
        <v/>
      </c>
      <c r="C1675">
        <f>IF(B1675="","",'Daily Sale entry '!AA175)</f>
        <v/>
      </c>
      <c r="D1675">
        <f>IF(C1675="","",0)</f>
        <v/>
      </c>
      <c r="E1675">
        <f>IF(C1675="","",'Daily Sale entry '!AC175)</f>
        <v/>
      </c>
      <c r="F1675" s="37">
        <f>IF(C1675="","",B1675+IF(E1675&gt;0,0,0.5)+ROW()/10000000)</f>
        <v/>
      </c>
      <c r="G1675">
        <f>IF(C1675="","","Collection 收款 (Online 网上)"&amp;IF('Daily Sale entry '!Y175="",""," - "&amp;'Daily Sale entry '!Y175))</f>
        <v/>
      </c>
      <c r="H1675">
        <f>IF(C1675="","",COUNTIFS($C$2:$C$3001,C1675,$F$2:$F$3001,"&lt;"&amp;F1675)+1)</f>
        <v/>
      </c>
      <c r="I1675">
        <f>IF(C1675="","",C1675&amp;"|"&amp;H1675)</f>
        <v/>
      </c>
      <c r="J1675" s="6">
        <f>IF(C1675="","",IF(H1675=1,SUMIFS('Opening Balance'!$F$4:$F$303,'Opening Balance'!$G$4:$G$303,C1675),INDEX($L$2:$L$3001,MATCH(C1675&amp;"|"&amp;(H1675-1),$I$2:$I$3001,0))))</f>
        <v/>
      </c>
      <c r="K1675" s="6">
        <f>IF(C1675="","",IF(M1675&gt;0,M1675,IF(AND(E1675&gt;0,ROUND(J1675+D1675-E1675,2)&gt;0,ROUND(J1675+D1675-E1675,2)&lt;'Opening Balance'!$B$14),ROUND(J1675+D1675-E1675,2),0)))</f>
        <v/>
      </c>
      <c r="L1675" s="6">
        <f>IF(C1675="","",ROUND(J1675+D1675-E1675-K1675,2))</f>
        <v/>
      </c>
      <c r="M1675" s="6">
        <f>IF(C1675="","",0)</f>
        <v/>
      </c>
    </row>
    <row r="1676">
      <c r="A1676" t="inlineStr">
        <is>
          <t>Bank 银行</t>
        </is>
      </c>
      <c r="B1676" s="5">
        <f>IF(AND('Daily Sale entry '!Z176="Online collection 网上收款",'Daily Sale entry '!AA176&lt;&gt;""),'Daily Sale entry '!X176,"")</f>
        <v/>
      </c>
      <c r="C1676">
        <f>IF(B1676="","",'Daily Sale entry '!AA176)</f>
        <v/>
      </c>
      <c r="D1676">
        <f>IF(C1676="","",0)</f>
        <v/>
      </c>
      <c r="E1676">
        <f>IF(C1676="","",'Daily Sale entry '!AC176)</f>
        <v/>
      </c>
      <c r="F1676" s="37">
        <f>IF(C1676="","",B1676+IF(E1676&gt;0,0,0.5)+ROW()/10000000)</f>
        <v/>
      </c>
      <c r="G1676">
        <f>IF(C1676="","","Collection 收款 (Online 网上)"&amp;IF('Daily Sale entry '!Y176="",""," - "&amp;'Daily Sale entry '!Y176))</f>
        <v/>
      </c>
      <c r="H1676">
        <f>IF(C1676="","",COUNTIFS($C$2:$C$3001,C1676,$F$2:$F$3001,"&lt;"&amp;F1676)+1)</f>
        <v/>
      </c>
      <c r="I1676">
        <f>IF(C1676="","",C1676&amp;"|"&amp;H1676)</f>
        <v/>
      </c>
      <c r="J1676" s="6">
        <f>IF(C1676="","",IF(H1676=1,SUMIFS('Opening Balance'!$F$4:$F$303,'Opening Balance'!$G$4:$G$303,C1676),INDEX($L$2:$L$3001,MATCH(C1676&amp;"|"&amp;(H1676-1),$I$2:$I$3001,0))))</f>
        <v/>
      </c>
      <c r="K1676" s="6">
        <f>IF(C1676="","",IF(M1676&gt;0,M1676,IF(AND(E1676&gt;0,ROUND(J1676+D1676-E1676,2)&gt;0,ROUND(J1676+D1676-E1676,2)&lt;'Opening Balance'!$B$14),ROUND(J1676+D1676-E1676,2),0)))</f>
        <v/>
      </c>
      <c r="L1676" s="6">
        <f>IF(C1676="","",ROUND(J1676+D1676-E1676-K1676,2))</f>
        <v/>
      </c>
      <c r="M1676" s="6">
        <f>IF(C1676="","",0)</f>
        <v/>
      </c>
    </row>
    <row r="1677">
      <c r="A1677" t="inlineStr">
        <is>
          <t>Bank 银行</t>
        </is>
      </c>
      <c r="B1677" s="5">
        <f>IF(AND('Daily Sale entry '!Z177="Online collection 网上收款",'Daily Sale entry '!AA177&lt;&gt;""),'Daily Sale entry '!X177,"")</f>
        <v/>
      </c>
      <c r="C1677">
        <f>IF(B1677="","",'Daily Sale entry '!AA177)</f>
        <v/>
      </c>
      <c r="D1677">
        <f>IF(C1677="","",0)</f>
        <v/>
      </c>
      <c r="E1677">
        <f>IF(C1677="","",'Daily Sale entry '!AC177)</f>
        <v/>
      </c>
      <c r="F1677" s="37">
        <f>IF(C1677="","",B1677+IF(E1677&gt;0,0,0.5)+ROW()/10000000)</f>
        <v/>
      </c>
      <c r="G1677">
        <f>IF(C1677="","","Collection 收款 (Online 网上)"&amp;IF('Daily Sale entry '!Y177="",""," - "&amp;'Daily Sale entry '!Y177))</f>
        <v/>
      </c>
      <c r="H1677">
        <f>IF(C1677="","",COUNTIFS($C$2:$C$3001,C1677,$F$2:$F$3001,"&lt;"&amp;F1677)+1)</f>
        <v/>
      </c>
      <c r="I1677">
        <f>IF(C1677="","",C1677&amp;"|"&amp;H1677)</f>
        <v/>
      </c>
      <c r="J1677" s="6">
        <f>IF(C1677="","",IF(H1677=1,SUMIFS('Opening Balance'!$F$4:$F$303,'Opening Balance'!$G$4:$G$303,C1677),INDEX($L$2:$L$3001,MATCH(C1677&amp;"|"&amp;(H1677-1),$I$2:$I$3001,0))))</f>
        <v/>
      </c>
      <c r="K1677" s="6">
        <f>IF(C1677="","",IF(M1677&gt;0,M1677,IF(AND(E1677&gt;0,ROUND(J1677+D1677-E1677,2)&gt;0,ROUND(J1677+D1677-E1677,2)&lt;'Opening Balance'!$B$14),ROUND(J1677+D1677-E1677,2),0)))</f>
        <v/>
      </c>
      <c r="L1677" s="6">
        <f>IF(C1677="","",ROUND(J1677+D1677-E1677-K1677,2))</f>
        <v/>
      </c>
      <c r="M1677" s="6">
        <f>IF(C1677="","",0)</f>
        <v/>
      </c>
    </row>
    <row r="1678">
      <c r="A1678" t="inlineStr">
        <is>
          <t>Bank 银行</t>
        </is>
      </c>
      <c r="B1678" s="5">
        <f>IF(AND('Daily Sale entry '!Z178="Online collection 网上收款",'Daily Sale entry '!AA178&lt;&gt;""),'Daily Sale entry '!X178,"")</f>
        <v/>
      </c>
      <c r="C1678">
        <f>IF(B1678="","",'Daily Sale entry '!AA178)</f>
        <v/>
      </c>
      <c r="D1678">
        <f>IF(C1678="","",0)</f>
        <v/>
      </c>
      <c r="E1678">
        <f>IF(C1678="","",'Daily Sale entry '!AC178)</f>
        <v/>
      </c>
      <c r="F1678" s="37">
        <f>IF(C1678="","",B1678+IF(E1678&gt;0,0,0.5)+ROW()/10000000)</f>
        <v/>
      </c>
      <c r="G1678">
        <f>IF(C1678="","","Collection 收款 (Online 网上)"&amp;IF('Daily Sale entry '!Y178="",""," - "&amp;'Daily Sale entry '!Y178))</f>
        <v/>
      </c>
      <c r="H1678">
        <f>IF(C1678="","",COUNTIFS($C$2:$C$3001,C1678,$F$2:$F$3001,"&lt;"&amp;F1678)+1)</f>
        <v/>
      </c>
      <c r="I1678">
        <f>IF(C1678="","",C1678&amp;"|"&amp;H1678)</f>
        <v/>
      </c>
      <c r="J1678" s="6">
        <f>IF(C1678="","",IF(H1678=1,SUMIFS('Opening Balance'!$F$4:$F$303,'Opening Balance'!$G$4:$G$303,C1678),INDEX($L$2:$L$3001,MATCH(C1678&amp;"|"&amp;(H1678-1),$I$2:$I$3001,0))))</f>
        <v/>
      </c>
      <c r="K1678" s="6">
        <f>IF(C1678="","",IF(M1678&gt;0,M1678,IF(AND(E1678&gt;0,ROUND(J1678+D1678-E1678,2)&gt;0,ROUND(J1678+D1678-E1678,2)&lt;'Opening Balance'!$B$14),ROUND(J1678+D1678-E1678,2),0)))</f>
        <v/>
      </c>
      <c r="L1678" s="6">
        <f>IF(C1678="","",ROUND(J1678+D1678-E1678-K1678,2))</f>
        <v/>
      </c>
      <c r="M1678" s="6">
        <f>IF(C1678="","",0)</f>
        <v/>
      </c>
    </row>
    <row r="1679">
      <c r="A1679" t="inlineStr">
        <is>
          <t>Bank 银行</t>
        </is>
      </c>
      <c r="B1679" s="5">
        <f>IF(AND('Daily Sale entry '!Z179="Online collection 网上收款",'Daily Sale entry '!AA179&lt;&gt;""),'Daily Sale entry '!X179,"")</f>
        <v/>
      </c>
      <c r="C1679">
        <f>IF(B1679="","",'Daily Sale entry '!AA179)</f>
        <v/>
      </c>
      <c r="D1679">
        <f>IF(C1679="","",0)</f>
        <v/>
      </c>
      <c r="E1679">
        <f>IF(C1679="","",'Daily Sale entry '!AC179)</f>
        <v/>
      </c>
      <c r="F1679" s="37">
        <f>IF(C1679="","",B1679+IF(E1679&gt;0,0,0.5)+ROW()/10000000)</f>
        <v/>
      </c>
      <c r="G1679">
        <f>IF(C1679="","","Collection 收款 (Online 网上)"&amp;IF('Daily Sale entry '!Y179="",""," - "&amp;'Daily Sale entry '!Y179))</f>
        <v/>
      </c>
      <c r="H1679">
        <f>IF(C1679="","",COUNTIFS($C$2:$C$3001,C1679,$F$2:$F$3001,"&lt;"&amp;F1679)+1)</f>
        <v/>
      </c>
      <c r="I1679">
        <f>IF(C1679="","",C1679&amp;"|"&amp;H1679)</f>
        <v/>
      </c>
      <c r="J1679" s="6">
        <f>IF(C1679="","",IF(H1679=1,SUMIFS('Opening Balance'!$F$4:$F$303,'Opening Balance'!$G$4:$G$303,C1679),INDEX($L$2:$L$3001,MATCH(C1679&amp;"|"&amp;(H1679-1),$I$2:$I$3001,0))))</f>
        <v/>
      </c>
      <c r="K1679" s="6">
        <f>IF(C1679="","",IF(M1679&gt;0,M1679,IF(AND(E1679&gt;0,ROUND(J1679+D1679-E1679,2)&gt;0,ROUND(J1679+D1679-E1679,2)&lt;'Opening Balance'!$B$14),ROUND(J1679+D1679-E1679,2),0)))</f>
        <v/>
      </c>
      <c r="L1679" s="6">
        <f>IF(C1679="","",ROUND(J1679+D1679-E1679-K1679,2))</f>
        <v/>
      </c>
      <c r="M1679" s="6">
        <f>IF(C1679="","",0)</f>
        <v/>
      </c>
    </row>
    <row r="1680">
      <c r="A1680" t="inlineStr">
        <is>
          <t>Bank 银行</t>
        </is>
      </c>
      <c r="B1680" s="5">
        <f>IF(AND('Daily Sale entry '!Z180="Online collection 网上收款",'Daily Sale entry '!AA180&lt;&gt;""),'Daily Sale entry '!X180,"")</f>
        <v/>
      </c>
      <c r="C1680">
        <f>IF(B1680="","",'Daily Sale entry '!AA180)</f>
        <v/>
      </c>
      <c r="D1680">
        <f>IF(C1680="","",0)</f>
        <v/>
      </c>
      <c r="E1680">
        <f>IF(C1680="","",'Daily Sale entry '!AC180)</f>
        <v/>
      </c>
      <c r="F1680" s="37">
        <f>IF(C1680="","",B1680+IF(E1680&gt;0,0,0.5)+ROW()/10000000)</f>
        <v/>
      </c>
      <c r="G1680">
        <f>IF(C1680="","","Collection 收款 (Online 网上)"&amp;IF('Daily Sale entry '!Y180="",""," - "&amp;'Daily Sale entry '!Y180))</f>
        <v/>
      </c>
      <c r="H1680">
        <f>IF(C1680="","",COUNTIFS($C$2:$C$3001,C1680,$F$2:$F$3001,"&lt;"&amp;F1680)+1)</f>
        <v/>
      </c>
      <c r="I1680">
        <f>IF(C1680="","",C1680&amp;"|"&amp;H1680)</f>
        <v/>
      </c>
      <c r="J1680" s="6">
        <f>IF(C1680="","",IF(H1680=1,SUMIFS('Opening Balance'!$F$4:$F$303,'Opening Balance'!$G$4:$G$303,C1680),INDEX($L$2:$L$3001,MATCH(C1680&amp;"|"&amp;(H1680-1),$I$2:$I$3001,0))))</f>
        <v/>
      </c>
      <c r="K1680" s="6">
        <f>IF(C1680="","",IF(M1680&gt;0,M1680,IF(AND(E1680&gt;0,ROUND(J1680+D1680-E1680,2)&gt;0,ROUND(J1680+D1680-E1680,2)&lt;'Opening Balance'!$B$14),ROUND(J1680+D1680-E1680,2),0)))</f>
        <v/>
      </c>
      <c r="L1680" s="6">
        <f>IF(C1680="","",ROUND(J1680+D1680-E1680-K1680,2))</f>
        <v/>
      </c>
      <c r="M1680" s="6">
        <f>IF(C1680="","",0)</f>
        <v/>
      </c>
    </row>
    <row r="1681">
      <c r="A1681" t="inlineStr">
        <is>
          <t>Bank 银行</t>
        </is>
      </c>
      <c r="B1681" s="5">
        <f>IF(AND('Daily Sale entry '!Z181="Online collection 网上收款",'Daily Sale entry '!AA181&lt;&gt;""),'Daily Sale entry '!X181,"")</f>
        <v/>
      </c>
      <c r="C1681">
        <f>IF(B1681="","",'Daily Sale entry '!AA181)</f>
        <v/>
      </c>
      <c r="D1681">
        <f>IF(C1681="","",0)</f>
        <v/>
      </c>
      <c r="E1681">
        <f>IF(C1681="","",'Daily Sale entry '!AC181)</f>
        <v/>
      </c>
      <c r="F1681" s="37">
        <f>IF(C1681="","",B1681+IF(E1681&gt;0,0,0.5)+ROW()/10000000)</f>
        <v/>
      </c>
      <c r="G1681">
        <f>IF(C1681="","","Collection 收款 (Online 网上)"&amp;IF('Daily Sale entry '!Y181="",""," - "&amp;'Daily Sale entry '!Y181))</f>
        <v/>
      </c>
      <c r="H1681">
        <f>IF(C1681="","",COUNTIFS($C$2:$C$3001,C1681,$F$2:$F$3001,"&lt;"&amp;F1681)+1)</f>
        <v/>
      </c>
      <c r="I1681">
        <f>IF(C1681="","",C1681&amp;"|"&amp;H1681)</f>
        <v/>
      </c>
      <c r="J1681" s="6">
        <f>IF(C1681="","",IF(H1681=1,SUMIFS('Opening Balance'!$F$4:$F$303,'Opening Balance'!$G$4:$G$303,C1681),INDEX($L$2:$L$3001,MATCH(C1681&amp;"|"&amp;(H1681-1),$I$2:$I$3001,0))))</f>
        <v/>
      </c>
      <c r="K1681" s="6">
        <f>IF(C1681="","",IF(M1681&gt;0,M1681,IF(AND(E1681&gt;0,ROUND(J1681+D1681-E1681,2)&gt;0,ROUND(J1681+D1681-E1681,2)&lt;'Opening Balance'!$B$14),ROUND(J1681+D1681-E1681,2),0)))</f>
        <v/>
      </c>
      <c r="L1681" s="6">
        <f>IF(C1681="","",ROUND(J1681+D1681-E1681-K1681,2))</f>
        <v/>
      </c>
      <c r="M1681" s="6">
        <f>IF(C1681="","",0)</f>
        <v/>
      </c>
    </row>
    <row r="1682">
      <c r="A1682" t="inlineStr">
        <is>
          <t>Bank 银行</t>
        </is>
      </c>
      <c r="B1682" s="5">
        <f>IF(AND('Daily Sale entry '!Z182="Online collection 网上收款",'Daily Sale entry '!AA182&lt;&gt;""),'Daily Sale entry '!X182,"")</f>
        <v/>
      </c>
      <c r="C1682">
        <f>IF(B1682="","",'Daily Sale entry '!AA182)</f>
        <v/>
      </c>
      <c r="D1682">
        <f>IF(C1682="","",0)</f>
        <v/>
      </c>
      <c r="E1682">
        <f>IF(C1682="","",'Daily Sale entry '!AC182)</f>
        <v/>
      </c>
      <c r="F1682" s="37">
        <f>IF(C1682="","",B1682+IF(E1682&gt;0,0,0.5)+ROW()/10000000)</f>
        <v/>
      </c>
      <c r="G1682">
        <f>IF(C1682="","","Collection 收款 (Online 网上)"&amp;IF('Daily Sale entry '!Y182="",""," - "&amp;'Daily Sale entry '!Y182))</f>
        <v/>
      </c>
      <c r="H1682">
        <f>IF(C1682="","",COUNTIFS($C$2:$C$3001,C1682,$F$2:$F$3001,"&lt;"&amp;F1682)+1)</f>
        <v/>
      </c>
      <c r="I1682">
        <f>IF(C1682="","",C1682&amp;"|"&amp;H1682)</f>
        <v/>
      </c>
      <c r="J1682" s="6">
        <f>IF(C1682="","",IF(H1682=1,SUMIFS('Opening Balance'!$F$4:$F$303,'Opening Balance'!$G$4:$G$303,C1682),INDEX($L$2:$L$3001,MATCH(C1682&amp;"|"&amp;(H1682-1),$I$2:$I$3001,0))))</f>
        <v/>
      </c>
      <c r="K1682" s="6">
        <f>IF(C1682="","",IF(M1682&gt;0,M1682,IF(AND(E1682&gt;0,ROUND(J1682+D1682-E1682,2)&gt;0,ROUND(J1682+D1682-E1682,2)&lt;'Opening Balance'!$B$14),ROUND(J1682+D1682-E1682,2),0)))</f>
        <v/>
      </c>
      <c r="L1682" s="6">
        <f>IF(C1682="","",ROUND(J1682+D1682-E1682-K1682,2))</f>
        <v/>
      </c>
      <c r="M1682" s="6">
        <f>IF(C1682="","",0)</f>
        <v/>
      </c>
    </row>
    <row r="1683">
      <c r="A1683" t="inlineStr">
        <is>
          <t>Bank 银行</t>
        </is>
      </c>
      <c r="B1683" s="5">
        <f>IF(AND('Daily Sale entry '!Z183="Online collection 网上收款",'Daily Sale entry '!AA183&lt;&gt;""),'Daily Sale entry '!X183,"")</f>
        <v/>
      </c>
      <c r="C1683">
        <f>IF(B1683="","",'Daily Sale entry '!AA183)</f>
        <v/>
      </c>
      <c r="D1683">
        <f>IF(C1683="","",0)</f>
        <v/>
      </c>
      <c r="E1683">
        <f>IF(C1683="","",'Daily Sale entry '!AC183)</f>
        <v/>
      </c>
      <c r="F1683" s="37">
        <f>IF(C1683="","",B1683+IF(E1683&gt;0,0,0.5)+ROW()/10000000)</f>
        <v/>
      </c>
      <c r="G1683">
        <f>IF(C1683="","","Collection 收款 (Online 网上)"&amp;IF('Daily Sale entry '!Y183="",""," - "&amp;'Daily Sale entry '!Y183))</f>
        <v/>
      </c>
      <c r="H1683">
        <f>IF(C1683="","",COUNTIFS($C$2:$C$3001,C1683,$F$2:$F$3001,"&lt;"&amp;F1683)+1)</f>
        <v/>
      </c>
      <c r="I1683">
        <f>IF(C1683="","",C1683&amp;"|"&amp;H1683)</f>
        <v/>
      </c>
      <c r="J1683" s="6">
        <f>IF(C1683="","",IF(H1683=1,SUMIFS('Opening Balance'!$F$4:$F$303,'Opening Balance'!$G$4:$G$303,C1683),INDEX($L$2:$L$3001,MATCH(C1683&amp;"|"&amp;(H1683-1),$I$2:$I$3001,0))))</f>
        <v/>
      </c>
      <c r="K1683" s="6">
        <f>IF(C1683="","",IF(M1683&gt;0,M1683,IF(AND(E1683&gt;0,ROUND(J1683+D1683-E1683,2)&gt;0,ROUND(J1683+D1683-E1683,2)&lt;'Opening Balance'!$B$14),ROUND(J1683+D1683-E1683,2),0)))</f>
        <v/>
      </c>
      <c r="L1683" s="6">
        <f>IF(C1683="","",ROUND(J1683+D1683-E1683-K1683,2))</f>
        <v/>
      </c>
      <c r="M1683" s="6">
        <f>IF(C1683="","",0)</f>
        <v/>
      </c>
    </row>
    <row r="1684">
      <c r="A1684" t="inlineStr">
        <is>
          <t>Bank 银行</t>
        </is>
      </c>
      <c r="B1684" s="5">
        <f>IF(AND('Daily Sale entry '!Z184="Online collection 网上收款",'Daily Sale entry '!AA184&lt;&gt;""),'Daily Sale entry '!X184,"")</f>
        <v/>
      </c>
      <c r="C1684">
        <f>IF(B1684="","",'Daily Sale entry '!AA184)</f>
        <v/>
      </c>
      <c r="D1684">
        <f>IF(C1684="","",0)</f>
        <v/>
      </c>
      <c r="E1684">
        <f>IF(C1684="","",'Daily Sale entry '!AC184)</f>
        <v/>
      </c>
      <c r="F1684" s="37">
        <f>IF(C1684="","",B1684+IF(E1684&gt;0,0,0.5)+ROW()/10000000)</f>
        <v/>
      </c>
      <c r="G1684">
        <f>IF(C1684="","","Collection 收款 (Online 网上)"&amp;IF('Daily Sale entry '!Y184="",""," - "&amp;'Daily Sale entry '!Y184))</f>
        <v/>
      </c>
      <c r="H1684">
        <f>IF(C1684="","",COUNTIFS($C$2:$C$3001,C1684,$F$2:$F$3001,"&lt;"&amp;F1684)+1)</f>
        <v/>
      </c>
      <c r="I1684">
        <f>IF(C1684="","",C1684&amp;"|"&amp;H1684)</f>
        <v/>
      </c>
      <c r="J1684" s="6">
        <f>IF(C1684="","",IF(H1684=1,SUMIFS('Opening Balance'!$F$4:$F$303,'Opening Balance'!$G$4:$G$303,C1684),INDEX($L$2:$L$3001,MATCH(C1684&amp;"|"&amp;(H1684-1),$I$2:$I$3001,0))))</f>
        <v/>
      </c>
      <c r="K1684" s="6">
        <f>IF(C1684="","",IF(M1684&gt;0,M1684,IF(AND(E1684&gt;0,ROUND(J1684+D1684-E1684,2)&gt;0,ROUND(J1684+D1684-E1684,2)&lt;'Opening Balance'!$B$14),ROUND(J1684+D1684-E1684,2),0)))</f>
        <v/>
      </c>
      <c r="L1684" s="6">
        <f>IF(C1684="","",ROUND(J1684+D1684-E1684-K1684,2))</f>
        <v/>
      </c>
      <c r="M1684" s="6">
        <f>IF(C1684="","",0)</f>
        <v/>
      </c>
    </row>
    <row r="1685">
      <c r="A1685" t="inlineStr">
        <is>
          <t>Bank 银行</t>
        </is>
      </c>
      <c r="B1685" s="5">
        <f>IF(AND('Daily Sale entry '!Z185="Online collection 网上收款",'Daily Sale entry '!AA185&lt;&gt;""),'Daily Sale entry '!X185,"")</f>
        <v/>
      </c>
      <c r="C1685">
        <f>IF(B1685="","",'Daily Sale entry '!AA185)</f>
        <v/>
      </c>
      <c r="D1685">
        <f>IF(C1685="","",0)</f>
        <v/>
      </c>
      <c r="E1685">
        <f>IF(C1685="","",'Daily Sale entry '!AC185)</f>
        <v/>
      </c>
      <c r="F1685" s="37">
        <f>IF(C1685="","",B1685+IF(E1685&gt;0,0,0.5)+ROW()/10000000)</f>
        <v/>
      </c>
      <c r="G1685">
        <f>IF(C1685="","","Collection 收款 (Online 网上)"&amp;IF('Daily Sale entry '!Y185="",""," - "&amp;'Daily Sale entry '!Y185))</f>
        <v/>
      </c>
      <c r="H1685">
        <f>IF(C1685="","",COUNTIFS($C$2:$C$3001,C1685,$F$2:$F$3001,"&lt;"&amp;F1685)+1)</f>
        <v/>
      </c>
      <c r="I1685">
        <f>IF(C1685="","",C1685&amp;"|"&amp;H1685)</f>
        <v/>
      </c>
      <c r="J1685" s="6">
        <f>IF(C1685="","",IF(H1685=1,SUMIFS('Opening Balance'!$F$4:$F$303,'Opening Balance'!$G$4:$G$303,C1685),INDEX($L$2:$L$3001,MATCH(C1685&amp;"|"&amp;(H1685-1),$I$2:$I$3001,0))))</f>
        <v/>
      </c>
      <c r="K1685" s="6">
        <f>IF(C1685="","",IF(M1685&gt;0,M1685,IF(AND(E1685&gt;0,ROUND(J1685+D1685-E1685,2)&gt;0,ROUND(J1685+D1685-E1685,2)&lt;'Opening Balance'!$B$14),ROUND(J1685+D1685-E1685,2),0)))</f>
        <v/>
      </c>
      <c r="L1685" s="6">
        <f>IF(C1685="","",ROUND(J1685+D1685-E1685-K1685,2))</f>
        <v/>
      </c>
      <c r="M1685" s="6">
        <f>IF(C1685="","",0)</f>
        <v/>
      </c>
    </row>
    <row r="1686">
      <c r="A1686" t="inlineStr">
        <is>
          <t>Bank 银行</t>
        </is>
      </c>
      <c r="B1686" s="5">
        <f>IF(AND('Daily Sale entry '!Z186="Online collection 网上收款",'Daily Sale entry '!AA186&lt;&gt;""),'Daily Sale entry '!X186,"")</f>
        <v/>
      </c>
      <c r="C1686">
        <f>IF(B1686="","",'Daily Sale entry '!AA186)</f>
        <v/>
      </c>
      <c r="D1686">
        <f>IF(C1686="","",0)</f>
        <v/>
      </c>
      <c r="E1686">
        <f>IF(C1686="","",'Daily Sale entry '!AC186)</f>
        <v/>
      </c>
      <c r="F1686" s="37">
        <f>IF(C1686="","",B1686+IF(E1686&gt;0,0,0.5)+ROW()/10000000)</f>
        <v/>
      </c>
      <c r="G1686">
        <f>IF(C1686="","","Collection 收款 (Online 网上)"&amp;IF('Daily Sale entry '!Y186="",""," - "&amp;'Daily Sale entry '!Y186))</f>
        <v/>
      </c>
      <c r="H1686">
        <f>IF(C1686="","",COUNTIFS($C$2:$C$3001,C1686,$F$2:$F$3001,"&lt;"&amp;F1686)+1)</f>
        <v/>
      </c>
      <c r="I1686">
        <f>IF(C1686="","",C1686&amp;"|"&amp;H1686)</f>
        <v/>
      </c>
      <c r="J1686" s="6">
        <f>IF(C1686="","",IF(H1686=1,SUMIFS('Opening Balance'!$F$4:$F$303,'Opening Balance'!$G$4:$G$303,C1686),INDEX($L$2:$L$3001,MATCH(C1686&amp;"|"&amp;(H1686-1),$I$2:$I$3001,0))))</f>
        <v/>
      </c>
      <c r="K1686" s="6">
        <f>IF(C1686="","",IF(M1686&gt;0,M1686,IF(AND(E1686&gt;0,ROUND(J1686+D1686-E1686,2)&gt;0,ROUND(J1686+D1686-E1686,2)&lt;'Opening Balance'!$B$14),ROUND(J1686+D1686-E1686,2),0)))</f>
        <v/>
      </c>
      <c r="L1686" s="6">
        <f>IF(C1686="","",ROUND(J1686+D1686-E1686-K1686,2))</f>
        <v/>
      </c>
      <c r="M1686" s="6">
        <f>IF(C1686="","",0)</f>
        <v/>
      </c>
    </row>
    <row r="1687">
      <c r="A1687" t="inlineStr">
        <is>
          <t>Bank 银行</t>
        </is>
      </c>
      <c r="B1687" s="5">
        <f>IF(AND('Daily Sale entry '!Z187="Online collection 网上收款",'Daily Sale entry '!AA187&lt;&gt;""),'Daily Sale entry '!X187,"")</f>
        <v/>
      </c>
      <c r="C1687">
        <f>IF(B1687="","",'Daily Sale entry '!AA187)</f>
        <v/>
      </c>
      <c r="D1687">
        <f>IF(C1687="","",0)</f>
        <v/>
      </c>
      <c r="E1687">
        <f>IF(C1687="","",'Daily Sale entry '!AC187)</f>
        <v/>
      </c>
      <c r="F1687" s="37">
        <f>IF(C1687="","",B1687+IF(E1687&gt;0,0,0.5)+ROW()/10000000)</f>
        <v/>
      </c>
      <c r="G1687">
        <f>IF(C1687="","","Collection 收款 (Online 网上)"&amp;IF('Daily Sale entry '!Y187="",""," - "&amp;'Daily Sale entry '!Y187))</f>
        <v/>
      </c>
      <c r="H1687">
        <f>IF(C1687="","",COUNTIFS($C$2:$C$3001,C1687,$F$2:$F$3001,"&lt;"&amp;F1687)+1)</f>
        <v/>
      </c>
      <c r="I1687">
        <f>IF(C1687="","",C1687&amp;"|"&amp;H1687)</f>
        <v/>
      </c>
      <c r="J1687" s="6">
        <f>IF(C1687="","",IF(H1687=1,SUMIFS('Opening Balance'!$F$4:$F$303,'Opening Balance'!$G$4:$G$303,C1687),INDEX($L$2:$L$3001,MATCH(C1687&amp;"|"&amp;(H1687-1),$I$2:$I$3001,0))))</f>
        <v/>
      </c>
      <c r="K1687" s="6">
        <f>IF(C1687="","",IF(M1687&gt;0,M1687,IF(AND(E1687&gt;0,ROUND(J1687+D1687-E1687,2)&gt;0,ROUND(J1687+D1687-E1687,2)&lt;'Opening Balance'!$B$14),ROUND(J1687+D1687-E1687,2),0)))</f>
        <v/>
      </c>
      <c r="L1687" s="6">
        <f>IF(C1687="","",ROUND(J1687+D1687-E1687-K1687,2))</f>
        <v/>
      </c>
      <c r="M1687" s="6">
        <f>IF(C1687="","",0)</f>
        <v/>
      </c>
    </row>
    <row r="1688">
      <c r="A1688" t="inlineStr">
        <is>
          <t>Bank 银行</t>
        </is>
      </c>
      <c r="B1688" s="5">
        <f>IF(AND('Daily Sale entry '!Z188="Online collection 网上收款",'Daily Sale entry '!AA188&lt;&gt;""),'Daily Sale entry '!X188,"")</f>
        <v/>
      </c>
      <c r="C1688">
        <f>IF(B1688="","",'Daily Sale entry '!AA188)</f>
        <v/>
      </c>
      <c r="D1688">
        <f>IF(C1688="","",0)</f>
        <v/>
      </c>
      <c r="E1688">
        <f>IF(C1688="","",'Daily Sale entry '!AC188)</f>
        <v/>
      </c>
      <c r="F1688" s="37">
        <f>IF(C1688="","",B1688+IF(E1688&gt;0,0,0.5)+ROW()/10000000)</f>
        <v/>
      </c>
      <c r="G1688">
        <f>IF(C1688="","","Collection 收款 (Online 网上)"&amp;IF('Daily Sale entry '!Y188="",""," - "&amp;'Daily Sale entry '!Y188))</f>
        <v/>
      </c>
      <c r="H1688">
        <f>IF(C1688="","",COUNTIFS($C$2:$C$3001,C1688,$F$2:$F$3001,"&lt;"&amp;F1688)+1)</f>
        <v/>
      </c>
      <c r="I1688">
        <f>IF(C1688="","",C1688&amp;"|"&amp;H1688)</f>
        <v/>
      </c>
      <c r="J1688" s="6">
        <f>IF(C1688="","",IF(H1688=1,SUMIFS('Opening Balance'!$F$4:$F$303,'Opening Balance'!$G$4:$G$303,C1688),INDEX($L$2:$L$3001,MATCH(C1688&amp;"|"&amp;(H1688-1),$I$2:$I$3001,0))))</f>
        <v/>
      </c>
      <c r="K1688" s="6">
        <f>IF(C1688="","",IF(M1688&gt;0,M1688,IF(AND(E1688&gt;0,ROUND(J1688+D1688-E1688,2)&gt;0,ROUND(J1688+D1688-E1688,2)&lt;'Opening Balance'!$B$14),ROUND(J1688+D1688-E1688,2),0)))</f>
        <v/>
      </c>
      <c r="L1688" s="6">
        <f>IF(C1688="","",ROUND(J1688+D1688-E1688-K1688,2))</f>
        <v/>
      </c>
      <c r="M1688" s="6">
        <f>IF(C1688="","",0)</f>
        <v/>
      </c>
    </row>
    <row r="1689">
      <c r="A1689" t="inlineStr">
        <is>
          <t>Bank 银行</t>
        </is>
      </c>
      <c r="B1689" s="5">
        <f>IF(AND('Daily Sale entry '!Z189="Online collection 网上收款",'Daily Sale entry '!AA189&lt;&gt;""),'Daily Sale entry '!X189,"")</f>
        <v/>
      </c>
      <c r="C1689">
        <f>IF(B1689="","",'Daily Sale entry '!AA189)</f>
        <v/>
      </c>
      <c r="D1689">
        <f>IF(C1689="","",0)</f>
        <v/>
      </c>
      <c r="E1689">
        <f>IF(C1689="","",'Daily Sale entry '!AC189)</f>
        <v/>
      </c>
      <c r="F1689" s="37">
        <f>IF(C1689="","",B1689+IF(E1689&gt;0,0,0.5)+ROW()/10000000)</f>
        <v/>
      </c>
      <c r="G1689">
        <f>IF(C1689="","","Collection 收款 (Online 网上)"&amp;IF('Daily Sale entry '!Y189="",""," - "&amp;'Daily Sale entry '!Y189))</f>
        <v/>
      </c>
      <c r="H1689">
        <f>IF(C1689="","",COUNTIFS($C$2:$C$3001,C1689,$F$2:$F$3001,"&lt;"&amp;F1689)+1)</f>
        <v/>
      </c>
      <c r="I1689">
        <f>IF(C1689="","",C1689&amp;"|"&amp;H1689)</f>
        <v/>
      </c>
      <c r="J1689" s="6">
        <f>IF(C1689="","",IF(H1689=1,SUMIFS('Opening Balance'!$F$4:$F$303,'Opening Balance'!$G$4:$G$303,C1689),INDEX($L$2:$L$3001,MATCH(C1689&amp;"|"&amp;(H1689-1),$I$2:$I$3001,0))))</f>
        <v/>
      </c>
      <c r="K1689" s="6">
        <f>IF(C1689="","",IF(M1689&gt;0,M1689,IF(AND(E1689&gt;0,ROUND(J1689+D1689-E1689,2)&gt;0,ROUND(J1689+D1689-E1689,2)&lt;'Opening Balance'!$B$14),ROUND(J1689+D1689-E1689,2),0)))</f>
        <v/>
      </c>
      <c r="L1689" s="6">
        <f>IF(C1689="","",ROUND(J1689+D1689-E1689-K1689,2))</f>
        <v/>
      </c>
      <c r="M1689" s="6">
        <f>IF(C1689="","",0)</f>
        <v/>
      </c>
    </row>
    <row r="1690">
      <c r="A1690" t="inlineStr">
        <is>
          <t>Bank 银行</t>
        </is>
      </c>
      <c r="B1690" s="5">
        <f>IF(AND('Daily Sale entry '!Z190="Online collection 网上收款",'Daily Sale entry '!AA190&lt;&gt;""),'Daily Sale entry '!X190,"")</f>
        <v/>
      </c>
      <c r="C1690">
        <f>IF(B1690="","",'Daily Sale entry '!AA190)</f>
        <v/>
      </c>
      <c r="D1690">
        <f>IF(C1690="","",0)</f>
        <v/>
      </c>
      <c r="E1690">
        <f>IF(C1690="","",'Daily Sale entry '!AC190)</f>
        <v/>
      </c>
      <c r="F1690" s="37">
        <f>IF(C1690="","",B1690+IF(E1690&gt;0,0,0.5)+ROW()/10000000)</f>
        <v/>
      </c>
      <c r="G1690">
        <f>IF(C1690="","","Collection 收款 (Online 网上)"&amp;IF('Daily Sale entry '!Y190="",""," - "&amp;'Daily Sale entry '!Y190))</f>
        <v/>
      </c>
      <c r="H1690">
        <f>IF(C1690="","",COUNTIFS($C$2:$C$3001,C1690,$F$2:$F$3001,"&lt;"&amp;F1690)+1)</f>
        <v/>
      </c>
      <c r="I1690">
        <f>IF(C1690="","",C1690&amp;"|"&amp;H1690)</f>
        <v/>
      </c>
      <c r="J1690" s="6">
        <f>IF(C1690="","",IF(H1690=1,SUMIFS('Opening Balance'!$F$4:$F$303,'Opening Balance'!$G$4:$G$303,C1690),INDEX($L$2:$L$3001,MATCH(C1690&amp;"|"&amp;(H1690-1),$I$2:$I$3001,0))))</f>
        <v/>
      </c>
      <c r="K1690" s="6">
        <f>IF(C1690="","",IF(M1690&gt;0,M1690,IF(AND(E1690&gt;0,ROUND(J1690+D1690-E1690,2)&gt;0,ROUND(J1690+D1690-E1690,2)&lt;'Opening Balance'!$B$14),ROUND(J1690+D1690-E1690,2),0)))</f>
        <v/>
      </c>
      <c r="L1690" s="6">
        <f>IF(C1690="","",ROUND(J1690+D1690-E1690-K1690,2))</f>
        <v/>
      </c>
      <c r="M1690" s="6">
        <f>IF(C1690="","",0)</f>
        <v/>
      </c>
    </row>
    <row r="1691">
      <c r="A1691" t="inlineStr">
        <is>
          <t>Bank 银行</t>
        </is>
      </c>
      <c r="B1691" s="5">
        <f>IF(AND('Daily Sale entry '!Z191="Online collection 网上收款",'Daily Sale entry '!AA191&lt;&gt;""),'Daily Sale entry '!X191,"")</f>
        <v/>
      </c>
      <c r="C1691">
        <f>IF(B1691="","",'Daily Sale entry '!AA191)</f>
        <v/>
      </c>
      <c r="D1691">
        <f>IF(C1691="","",0)</f>
        <v/>
      </c>
      <c r="E1691">
        <f>IF(C1691="","",'Daily Sale entry '!AC191)</f>
        <v/>
      </c>
      <c r="F1691" s="37">
        <f>IF(C1691="","",B1691+IF(E1691&gt;0,0,0.5)+ROW()/10000000)</f>
        <v/>
      </c>
      <c r="G1691">
        <f>IF(C1691="","","Collection 收款 (Online 网上)"&amp;IF('Daily Sale entry '!Y191="",""," - "&amp;'Daily Sale entry '!Y191))</f>
        <v/>
      </c>
      <c r="H1691">
        <f>IF(C1691="","",COUNTIFS($C$2:$C$3001,C1691,$F$2:$F$3001,"&lt;"&amp;F1691)+1)</f>
        <v/>
      </c>
      <c r="I1691">
        <f>IF(C1691="","",C1691&amp;"|"&amp;H1691)</f>
        <v/>
      </c>
      <c r="J1691" s="6">
        <f>IF(C1691="","",IF(H1691=1,SUMIFS('Opening Balance'!$F$4:$F$303,'Opening Balance'!$G$4:$G$303,C1691),INDEX($L$2:$L$3001,MATCH(C1691&amp;"|"&amp;(H1691-1),$I$2:$I$3001,0))))</f>
        <v/>
      </c>
      <c r="K1691" s="6">
        <f>IF(C1691="","",IF(M1691&gt;0,M1691,IF(AND(E1691&gt;0,ROUND(J1691+D1691-E1691,2)&gt;0,ROUND(J1691+D1691-E1691,2)&lt;'Opening Balance'!$B$14),ROUND(J1691+D1691-E1691,2),0)))</f>
        <v/>
      </c>
      <c r="L1691" s="6">
        <f>IF(C1691="","",ROUND(J1691+D1691-E1691-K1691,2))</f>
        <v/>
      </c>
      <c r="M1691" s="6">
        <f>IF(C1691="","",0)</f>
        <v/>
      </c>
    </row>
    <row r="1692">
      <c r="A1692" t="inlineStr">
        <is>
          <t>Bank 银行</t>
        </is>
      </c>
      <c r="B1692" s="5">
        <f>IF(AND('Daily Sale entry '!Z192="Online collection 网上收款",'Daily Sale entry '!AA192&lt;&gt;""),'Daily Sale entry '!X192,"")</f>
        <v/>
      </c>
      <c r="C1692">
        <f>IF(B1692="","",'Daily Sale entry '!AA192)</f>
        <v/>
      </c>
      <c r="D1692">
        <f>IF(C1692="","",0)</f>
        <v/>
      </c>
      <c r="E1692">
        <f>IF(C1692="","",'Daily Sale entry '!AC192)</f>
        <v/>
      </c>
      <c r="F1692" s="37">
        <f>IF(C1692="","",B1692+IF(E1692&gt;0,0,0.5)+ROW()/10000000)</f>
        <v/>
      </c>
      <c r="G1692">
        <f>IF(C1692="","","Collection 收款 (Online 网上)"&amp;IF('Daily Sale entry '!Y192="",""," - "&amp;'Daily Sale entry '!Y192))</f>
        <v/>
      </c>
      <c r="H1692">
        <f>IF(C1692="","",COUNTIFS($C$2:$C$3001,C1692,$F$2:$F$3001,"&lt;"&amp;F1692)+1)</f>
        <v/>
      </c>
      <c r="I1692">
        <f>IF(C1692="","",C1692&amp;"|"&amp;H1692)</f>
        <v/>
      </c>
      <c r="J1692" s="6">
        <f>IF(C1692="","",IF(H1692=1,SUMIFS('Opening Balance'!$F$4:$F$303,'Opening Balance'!$G$4:$G$303,C1692),INDEX($L$2:$L$3001,MATCH(C1692&amp;"|"&amp;(H1692-1),$I$2:$I$3001,0))))</f>
        <v/>
      </c>
      <c r="K1692" s="6">
        <f>IF(C1692="","",IF(M1692&gt;0,M1692,IF(AND(E1692&gt;0,ROUND(J1692+D1692-E1692,2)&gt;0,ROUND(J1692+D1692-E1692,2)&lt;'Opening Balance'!$B$14),ROUND(J1692+D1692-E1692,2),0)))</f>
        <v/>
      </c>
      <c r="L1692" s="6">
        <f>IF(C1692="","",ROUND(J1692+D1692-E1692-K1692,2))</f>
        <v/>
      </c>
      <c r="M1692" s="6">
        <f>IF(C1692="","",0)</f>
        <v/>
      </c>
    </row>
    <row r="1693">
      <c r="A1693" t="inlineStr">
        <is>
          <t>Bank 银行</t>
        </is>
      </c>
      <c r="B1693" s="5">
        <f>IF(AND('Daily Sale entry '!Z193="Online collection 网上收款",'Daily Sale entry '!AA193&lt;&gt;""),'Daily Sale entry '!X193,"")</f>
        <v/>
      </c>
      <c r="C1693">
        <f>IF(B1693="","",'Daily Sale entry '!AA193)</f>
        <v/>
      </c>
      <c r="D1693">
        <f>IF(C1693="","",0)</f>
        <v/>
      </c>
      <c r="E1693">
        <f>IF(C1693="","",'Daily Sale entry '!AC193)</f>
        <v/>
      </c>
      <c r="F1693" s="37">
        <f>IF(C1693="","",B1693+IF(E1693&gt;0,0,0.5)+ROW()/10000000)</f>
        <v/>
      </c>
      <c r="G1693">
        <f>IF(C1693="","","Collection 收款 (Online 网上)"&amp;IF('Daily Sale entry '!Y193="",""," - "&amp;'Daily Sale entry '!Y193))</f>
        <v/>
      </c>
      <c r="H1693">
        <f>IF(C1693="","",COUNTIFS($C$2:$C$3001,C1693,$F$2:$F$3001,"&lt;"&amp;F1693)+1)</f>
        <v/>
      </c>
      <c r="I1693">
        <f>IF(C1693="","",C1693&amp;"|"&amp;H1693)</f>
        <v/>
      </c>
      <c r="J1693" s="6">
        <f>IF(C1693="","",IF(H1693=1,SUMIFS('Opening Balance'!$F$4:$F$303,'Opening Balance'!$G$4:$G$303,C1693),INDEX($L$2:$L$3001,MATCH(C1693&amp;"|"&amp;(H1693-1),$I$2:$I$3001,0))))</f>
        <v/>
      </c>
      <c r="K1693" s="6">
        <f>IF(C1693="","",IF(M1693&gt;0,M1693,IF(AND(E1693&gt;0,ROUND(J1693+D1693-E1693,2)&gt;0,ROUND(J1693+D1693-E1693,2)&lt;'Opening Balance'!$B$14),ROUND(J1693+D1693-E1693,2),0)))</f>
        <v/>
      </c>
      <c r="L1693" s="6">
        <f>IF(C1693="","",ROUND(J1693+D1693-E1693-K1693,2))</f>
        <v/>
      </c>
      <c r="M1693" s="6">
        <f>IF(C1693="","",0)</f>
        <v/>
      </c>
    </row>
    <row r="1694">
      <c r="A1694" t="inlineStr">
        <is>
          <t>Bank 银行</t>
        </is>
      </c>
      <c r="B1694" s="5">
        <f>IF(AND('Daily Sale entry '!Z194="Online collection 网上收款",'Daily Sale entry '!AA194&lt;&gt;""),'Daily Sale entry '!X194,"")</f>
        <v/>
      </c>
      <c r="C1694">
        <f>IF(B1694="","",'Daily Sale entry '!AA194)</f>
        <v/>
      </c>
      <c r="D1694">
        <f>IF(C1694="","",0)</f>
        <v/>
      </c>
      <c r="E1694">
        <f>IF(C1694="","",'Daily Sale entry '!AC194)</f>
        <v/>
      </c>
      <c r="F1694" s="37">
        <f>IF(C1694="","",B1694+IF(E1694&gt;0,0,0.5)+ROW()/10000000)</f>
        <v/>
      </c>
      <c r="G1694">
        <f>IF(C1694="","","Collection 收款 (Online 网上)"&amp;IF('Daily Sale entry '!Y194="",""," - "&amp;'Daily Sale entry '!Y194))</f>
        <v/>
      </c>
      <c r="H1694">
        <f>IF(C1694="","",COUNTIFS($C$2:$C$3001,C1694,$F$2:$F$3001,"&lt;"&amp;F1694)+1)</f>
        <v/>
      </c>
      <c r="I1694">
        <f>IF(C1694="","",C1694&amp;"|"&amp;H1694)</f>
        <v/>
      </c>
      <c r="J1694" s="6">
        <f>IF(C1694="","",IF(H1694=1,SUMIFS('Opening Balance'!$F$4:$F$303,'Opening Balance'!$G$4:$G$303,C1694),INDEX($L$2:$L$3001,MATCH(C1694&amp;"|"&amp;(H1694-1),$I$2:$I$3001,0))))</f>
        <v/>
      </c>
      <c r="K1694" s="6">
        <f>IF(C1694="","",IF(M1694&gt;0,M1694,IF(AND(E1694&gt;0,ROUND(J1694+D1694-E1694,2)&gt;0,ROUND(J1694+D1694-E1694,2)&lt;'Opening Balance'!$B$14),ROUND(J1694+D1694-E1694,2),0)))</f>
        <v/>
      </c>
      <c r="L1694" s="6">
        <f>IF(C1694="","",ROUND(J1694+D1694-E1694-K1694,2))</f>
        <v/>
      </c>
      <c r="M1694" s="6">
        <f>IF(C1694="","",0)</f>
        <v/>
      </c>
    </row>
    <row r="1695">
      <c r="A1695" t="inlineStr">
        <is>
          <t>Bank 银行</t>
        </is>
      </c>
      <c r="B1695" s="5">
        <f>IF(AND('Daily Sale entry '!Z195="Online collection 网上收款",'Daily Sale entry '!AA195&lt;&gt;""),'Daily Sale entry '!X195,"")</f>
        <v/>
      </c>
      <c r="C1695">
        <f>IF(B1695="","",'Daily Sale entry '!AA195)</f>
        <v/>
      </c>
      <c r="D1695">
        <f>IF(C1695="","",0)</f>
        <v/>
      </c>
      <c r="E1695">
        <f>IF(C1695="","",'Daily Sale entry '!AC195)</f>
        <v/>
      </c>
      <c r="F1695" s="37">
        <f>IF(C1695="","",B1695+IF(E1695&gt;0,0,0.5)+ROW()/10000000)</f>
        <v/>
      </c>
      <c r="G1695">
        <f>IF(C1695="","","Collection 收款 (Online 网上)"&amp;IF('Daily Sale entry '!Y195="",""," - "&amp;'Daily Sale entry '!Y195))</f>
        <v/>
      </c>
      <c r="H1695">
        <f>IF(C1695="","",COUNTIFS($C$2:$C$3001,C1695,$F$2:$F$3001,"&lt;"&amp;F1695)+1)</f>
        <v/>
      </c>
      <c r="I1695">
        <f>IF(C1695="","",C1695&amp;"|"&amp;H1695)</f>
        <v/>
      </c>
      <c r="J1695" s="6">
        <f>IF(C1695="","",IF(H1695=1,SUMIFS('Opening Balance'!$F$4:$F$303,'Opening Balance'!$G$4:$G$303,C1695),INDEX($L$2:$L$3001,MATCH(C1695&amp;"|"&amp;(H1695-1),$I$2:$I$3001,0))))</f>
        <v/>
      </c>
      <c r="K1695" s="6">
        <f>IF(C1695="","",IF(M1695&gt;0,M1695,IF(AND(E1695&gt;0,ROUND(J1695+D1695-E1695,2)&gt;0,ROUND(J1695+D1695-E1695,2)&lt;'Opening Balance'!$B$14),ROUND(J1695+D1695-E1695,2),0)))</f>
        <v/>
      </c>
      <c r="L1695" s="6">
        <f>IF(C1695="","",ROUND(J1695+D1695-E1695-K1695,2))</f>
        <v/>
      </c>
      <c r="M1695" s="6">
        <f>IF(C1695="","",0)</f>
        <v/>
      </c>
    </row>
    <row r="1696">
      <c r="A1696" t="inlineStr">
        <is>
          <t>Bank 银行</t>
        </is>
      </c>
      <c r="B1696" s="5">
        <f>IF(AND('Daily Sale entry '!Z196="Online collection 网上收款",'Daily Sale entry '!AA196&lt;&gt;""),'Daily Sale entry '!X196,"")</f>
        <v/>
      </c>
      <c r="C1696">
        <f>IF(B1696="","",'Daily Sale entry '!AA196)</f>
        <v/>
      </c>
      <c r="D1696">
        <f>IF(C1696="","",0)</f>
        <v/>
      </c>
      <c r="E1696">
        <f>IF(C1696="","",'Daily Sale entry '!AC196)</f>
        <v/>
      </c>
      <c r="F1696" s="37">
        <f>IF(C1696="","",B1696+IF(E1696&gt;0,0,0.5)+ROW()/10000000)</f>
        <v/>
      </c>
      <c r="G1696">
        <f>IF(C1696="","","Collection 收款 (Online 网上)"&amp;IF('Daily Sale entry '!Y196="",""," - "&amp;'Daily Sale entry '!Y196))</f>
        <v/>
      </c>
      <c r="H1696">
        <f>IF(C1696="","",COUNTIFS($C$2:$C$3001,C1696,$F$2:$F$3001,"&lt;"&amp;F1696)+1)</f>
        <v/>
      </c>
      <c r="I1696">
        <f>IF(C1696="","",C1696&amp;"|"&amp;H1696)</f>
        <v/>
      </c>
      <c r="J1696" s="6">
        <f>IF(C1696="","",IF(H1696=1,SUMIFS('Opening Balance'!$F$4:$F$303,'Opening Balance'!$G$4:$G$303,C1696),INDEX($L$2:$L$3001,MATCH(C1696&amp;"|"&amp;(H1696-1),$I$2:$I$3001,0))))</f>
        <v/>
      </c>
      <c r="K1696" s="6">
        <f>IF(C1696="","",IF(M1696&gt;0,M1696,IF(AND(E1696&gt;0,ROUND(J1696+D1696-E1696,2)&gt;0,ROUND(J1696+D1696-E1696,2)&lt;'Opening Balance'!$B$14),ROUND(J1696+D1696-E1696,2),0)))</f>
        <v/>
      </c>
      <c r="L1696" s="6">
        <f>IF(C1696="","",ROUND(J1696+D1696-E1696-K1696,2))</f>
        <v/>
      </c>
      <c r="M1696" s="6">
        <f>IF(C1696="","",0)</f>
        <v/>
      </c>
    </row>
    <row r="1697">
      <c r="A1697" t="inlineStr">
        <is>
          <t>Bank 银行</t>
        </is>
      </c>
      <c r="B1697" s="5">
        <f>IF(AND('Daily Sale entry '!Z197="Online collection 网上收款",'Daily Sale entry '!AA197&lt;&gt;""),'Daily Sale entry '!X197,"")</f>
        <v/>
      </c>
      <c r="C1697">
        <f>IF(B1697="","",'Daily Sale entry '!AA197)</f>
        <v/>
      </c>
      <c r="D1697">
        <f>IF(C1697="","",0)</f>
        <v/>
      </c>
      <c r="E1697">
        <f>IF(C1697="","",'Daily Sale entry '!AC197)</f>
        <v/>
      </c>
      <c r="F1697" s="37">
        <f>IF(C1697="","",B1697+IF(E1697&gt;0,0,0.5)+ROW()/10000000)</f>
        <v/>
      </c>
      <c r="G1697">
        <f>IF(C1697="","","Collection 收款 (Online 网上)"&amp;IF('Daily Sale entry '!Y197="",""," - "&amp;'Daily Sale entry '!Y197))</f>
        <v/>
      </c>
      <c r="H1697">
        <f>IF(C1697="","",COUNTIFS($C$2:$C$3001,C1697,$F$2:$F$3001,"&lt;"&amp;F1697)+1)</f>
        <v/>
      </c>
      <c r="I1697">
        <f>IF(C1697="","",C1697&amp;"|"&amp;H1697)</f>
        <v/>
      </c>
      <c r="J1697" s="6">
        <f>IF(C1697="","",IF(H1697=1,SUMIFS('Opening Balance'!$F$4:$F$303,'Opening Balance'!$G$4:$G$303,C1697),INDEX($L$2:$L$3001,MATCH(C1697&amp;"|"&amp;(H1697-1),$I$2:$I$3001,0))))</f>
        <v/>
      </c>
      <c r="K1697" s="6">
        <f>IF(C1697="","",IF(M1697&gt;0,M1697,IF(AND(E1697&gt;0,ROUND(J1697+D1697-E1697,2)&gt;0,ROUND(J1697+D1697-E1697,2)&lt;'Opening Balance'!$B$14),ROUND(J1697+D1697-E1697,2),0)))</f>
        <v/>
      </c>
      <c r="L1697" s="6">
        <f>IF(C1697="","",ROUND(J1697+D1697-E1697-K1697,2))</f>
        <v/>
      </c>
      <c r="M1697" s="6">
        <f>IF(C1697="","",0)</f>
        <v/>
      </c>
    </row>
    <row r="1698">
      <c r="A1698" t="inlineStr">
        <is>
          <t>Bank 银行</t>
        </is>
      </c>
      <c r="B1698" s="5">
        <f>IF(AND('Daily Sale entry '!Z198="Online collection 网上收款",'Daily Sale entry '!AA198&lt;&gt;""),'Daily Sale entry '!X198,"")</f>
        <v/>
      </c>
      <c r="C1698">
        <f>IF(B1698="","",'Daily Sale entry '!AA198)</f>
        <v/>
      </c>
      <c r="D1698">
        <f>IF(C1698="","",0)</f>
        <v/>
      </c>
      <c r="E1698">
        <f>IF(C1698="","",'Daily Sale entry '!AC198)</f>
        <v/>
      </c>
      <c r="F1698" s="37">
        <f>IF(C1698="","",B1698+IF(E1698&gt;0,0,0.5)+ROW()/10000000)</f>
        <v/>
      </c>
      <c r="G1698">
        <f>IF(C1698="","","Collection 收款 (Online 网上)"&amp;IF('Daily Sale entry '!Y198="",""," - "&amp;'Daily Sale entry '!Y198))</f>
        <v/>
      </c>
      <c r="H1698">
        <f>IF(C1698="","",COUNTIFS($C$2:$C$3001,C1698,$F$2:$F$3001,"&lt;"&amp;F1698)+1)</f>
        <v/>
      </c>
      <c r="I1698">
        <f>IF(C1698="","",C1698&amp;"|"&amp;H1698)</f>
        <v/>
      </c>
      <c r="J1698" s="6">
        <f>IF(C1698="","",IF(H1698=1,SUMIFS('Opening Balance'!$F$4:$F$303,'Opening Balance'!$G$4:$G$303,C1698),INDEX($L$2:$L$3001,MATCH(C1698&amp;"|"&amp;(H1698-1),$I$2:$I$3001,0))))</f>
        <v/>
      </c>
      <c r="K1698" s="6">
        <f>IF(C1698="","",IF(M1698&gt;0,M1698,IF(AND(E1698&gt;0,ROUND(J1698+D1698-E1698,2)&gt;0,ROUND(J1698+D1698-E1698,2)&lt;'Opening Balance'!$B$14),ROUND(J1698+D1698-E1698,2),0)))</f>
        <v/>
      </c>
      <c r="L1698" s="6">
        <f>IF(C1698="","",ROUND(J1698+D1698-E1698-K1698,2))</f>
        <v/>
      </c>
      <c r="M1698" s="6">
        <f>IF(C1698="","",0)</f>
        <v/>
      </c>
    </row>
    <row r="1699">
      <c r="A1699" t="inlineStr">
        <is>
          <t>Bank 银行</t>
        </is>
      </c>
      <c r="B1699" s="5">
        <f>IF(AND('Daily Sale entry '!Z199="Online collection 网上收款",'Daily Sale entry '!AA199&lt;&gt;""),'Daily Sale entry '!X199,"")</f>
        <v/>
      </c>
      <c r="C1699">
        <f>IF(B1699="","",'Daily Sale entry '!AA199)</f>
        <v/>
      </c>
      <c r="D1699">
        <f>IF(C1699="","",0)</f>
        <v/>
      </c>
      <c r="E1699">
        <f>IF(C1699="","",'Daily Sale entry '!AC199)</f>
        <v/>
      </c>
      <c r="F1699" s="37">
        <f>IF(C1699="","",B1699+IF(E1699&gt;0,0,0.5)+ROW()/10000000)</f>
        <v/>
      </c>
      <c r="G1699">
        <f>IF(C1699="","","Collection 收款 (Online 网上)"&amp;IF('Daily Sale entry '!Y199="",""," - "&amp;'Daily Sale entry '!Y199))</f>
        <v/>
      </c>
      <c r="H1699">
        <f>IF(C1699="","",COUNTIFS($C$2:$C$3001,C1699,$F$2:$F$3001,"&lt;"&amp;F1699)+1)</f>
        <v/>
      </c>
      <c r="I1699">
        <f>IF(C1699="","",C1699&amp;"|"&amp;H1699)</f>
        <v/>
      </c>
      <c r="J1699" s="6">
        <f>IF(C1699="","",IF(H1699=1,SUMIFS('Opening Balance'!$F$4:$F$303,'Opening Balance'!$G$4:$G$303,C1699),INDEX($L$2:$L$3001,MATCH(C1699&amp;"|"&amp;(H1699-1),$I$2:$I$3001,0))))</f>
        <v/>
      </c>
      <c r="K1699" s="6">
        <f>IF(C1699="","",IF(M1699&gt;0,M1699,IF(AND(E1699&gt;0,ROUND(J1699+D1699-E1699,2)&gt;0,ROUND(J1699+D1699-E1699,2)&lt;'Opening Balance'!$B$14),ROUND(J1699+D1699-E1699,2),0)))</f>
        <v/>
      </c>
      <c r="L1699" s="6">
        <f>IF(C1699="","",ROUND(J1699+D1699-E1699-K1699,2))</f>
        <v/>
      </c>
      <c r="M1699" s="6">
        <f>IF(C1699="","",0)</f>
        <v/>
      </c>
    </row>
    <row r="1700">
      <c r="A1700" t="inlineStr">
        <is>
          <t>Bank 银行</t>
        </is>
      </c>
      <c r="B1700" s="5">
        <f>IF(AND('Daily Sale entry '!Z200="Online collection 网上收款",'Daily Sale entry '!AA200&lt;&gt;""),'Daily Sale entry '!X200,"")</f>
        <v/>
      </c>
      <c r="C1700">
        <f>IF(B1700="","",'Daily Sale entry '!AA200)</f>
        <v/>
      </c>
      <c r="D1700">
        <f>IF(C1700="","",0)</f>
        <v/>
      </c>
      <c r="E1700">
        <f>IF(C1700="","",'Daily Sale entry '!AC200)</f>
        <v/>
      </c>
      <c r="F1700" s="37">
        <f>IF(C1700="","",B1700+IF(E1700&gt;0,0,0.5)+ROW()/10000000)</f>
        <v/>
      </c>
      <c r="G1700">
        <f>IF(C1700="","","Collection 收款 (Online 网上)"&amp;IF('Daily Sale entry '!Y200="",""," - "&amp;'Daily Sale entry '!Y200))</f>
        <v/>
      </c>
      <c r="H1700">
        <f>IF(C1700="","",COUNTIFS($C$2:$C$3001,C1700,$F$2:$F$3001,"&lt;"&amp;F1700)+1)</f>
        <v/>
      </c>
      <c r="I1700">
        <f>IF(C1700="","",C1700&amp;"|"&amp;H1700)</f>
        <v/>
      </c>
      <c r="J1700" s="6">
        <f>IF(C1700="","",IF(H1700=1,SUMIFS('Opening Balance'!$F$4:$F$303,'Opening Balance'!$G$4:$G$303,C1700),INDEX($L$2:$L$3001,MATCH(C1700&amp;"|"&amp;(H1700-1),$I$2:$I$3001,0))))</f>
        <v/>
      </c>
      <c r="K1700" s="6">
        <f>IF(C1700="","",IF(M1700&gt;0,M1700,IF(AND(E1700&gt;0,ROUND(J1700+D1700-E1700,2)&gt;0,ROUND(J1700+D1700-E1700,2)&lt;'Opening Balance'!$B$14),ROUND(J1700+D1700-E1700,2),0)))</f>
        <v/>
      </c>
      <c r="L1700" s="6">
        <f>IF(C1700="","",ROUND(J1700+D1700-E1700-K1700,2))</f>
        <v/>
      </c>
      <c r="M1700" s="6">
        <f>IF(C1700="","",0)</f>
        <v/>
      </c>
    </row>
    <row r="1701">
      <c r="A1701" t="inlineStr">
        <is>
          <t>Bank 银行</t>
        </is>
      </c>
      <c r="B1701" s="5">
        <f>IF(AND('Daily Sale entry '!Z201="Online collection 网上收款",'Daily Sale entry '!AA201&lt;&gt;""),'Daily Sale entry '!X201,"")</f>
        <v/>
      </c>
      <c r="C1701">
        <f>IF(B1701="","",'Daily Sale entry '!AA201)</f>
        <v/>
      </c>
      <c r="D1701">
        <f>IF(C1701="","",0)</f>
        <v/>
      </c>
      <c r="E1701">
        <f>IF(C1701="","",'Daily Sale entry '!AC201)</f>
        <v/>
      </c>
      <c r="F1701" s="37">
        <f>IF(C1701="","",B1701+IF(E1701&gt;0,0,0.5)+ROW()/10000000)</f>
        <v/>
      </c>
      <c r="G1701">
        <f>IF(C1701="","","Collection 收款 (Online 网上)"&amp;IF('Daily Sale entry '!Y201="",""," - "&amp;'Daily Sale entry '!Y201))</f>
        <v/>
      </c>
      <c r="H1701">
        <f>IF(C1701="","",COUNTIFS($C$2:$C$3001,C1701,$F$2:$F$3001,"&lt;"&amp;F1701)+1)</f>
        <v/>
      </c>
      <c r="I1701">
        <f>IF(C1701="","",C1701&amp;"|"&amp;H1701)</f>
        <v/>
      </c>
      <c r="J1701" s="6">
        <f>IF(C1701="","",IF(H1701=1,SUMIFS('Opening Balance'!$F$4:$F$303,'Opening Balance'!$G$4:$G$303,C1701),INDEX($L$2:$L$3001,MATCH(C1701&amp;"|"&amp;(H1701-1),$I$2:$I$3001,0))))</f>
        <v/>
      </c>
      <c r="K1701" s="6">
        <f>IF(C1701="","",IF(M1701&gt;0,M1701,IF(AND(E1701&gt;0,ROUND(J1701+D1701-E1701,2)&gt;0,ROUND(J1701+D1701-E1701,2)&lt;'Opening Balance'!$B$14),ROUND(J1701+D1701-E1701,2),0)))</f>
        <v/>
      </c>
      <c r="L1701" s="6">
        <f>IF(C1701="","",ROUND(J1701+D1701-E1701-K1701,2))</f>
        <v/>
      </c>
      <c r="M1701" s="6">
        <f>IF(C1701="","",0)</f>
        <v/>
      </c>
    </row>
    <row r="1702">
      <c r="A1702" t="inlineStr">
        <is>
          <t>Bank 银行</t>
        </is>
      </c>
      <c r="B1702" s="5">
        <f>IF(AND('Daily Sale entry '!Z202="Online collection 网上收款",'Daily Sale entry '!AA202&lt;&gt;""),'Daily Sale entry '!X202,"")</f>
        <v/>
      </c>
      <c r="C1702">
        <f>IF(B1702="","",'Daily Sale entry '!AA202)</f>
        <v/>
      </c>
      <c r="D1702">
        <f>IF(C1702="","",0)</f>
        <v/>
      </c>
      <c r="E1702">
        <f>IF(C1702="","",'Daily Sale entry '!AC202)</f>
        <v/>
      </c>
      <c r="F1702" s="37">
        <f>IF(C1702="","",B1702+IF(E1702&gt;0,0,0.5)+ROW()/10000000)</f>
        <v/>
      </c>
      <c r="G1702">
        <f>IF(C1702="","","Collection 收款 (Online 网上)"&amp;IF('Daily Sale entry '!Y202="",""," - "&amp;'Daily Sale entry '!Y202))</f>
        <v/>
      </c>
      <c r="H1702">
        <f>IF(C1702="","",COUNTIFS($C$2:$C$3001,C1702,$F$2:$F$3001,"&lt;"&amp;F1702)+1)</f>
        <v/>
      </c>
      <c r="I1702">
        <f>IF(C1702="","",C1702&amp;"|"&amp;H1702)</f>
        <v/>
      </c>
      <c r="J1702" s="6">
        <f>IF(C1702="","",IF(H1702=1,SUMIFS('Opening Balance'!$F$4:$F$303,'Opening Balance'!$G$4:$G$303,C1702),INDEX($L$2:$L$3001,MATCH(C1702&amp;"|"&amp;(H1702-1),$I$2:$I$3001,0))))</f>
        <v/>
      </c>
      <c r="K1702" s="6">
        <f>IF(C1702="","",IF(M1702&gt;0,M1702,IF(AND(E1702&gt;0,ROUND(J1702+D1702-E1702,2)&gt;0,ROUND(J1702+D1702-E1702,2)&lt;'Opening Balance'!$B$14),ROUND(J1702+D1702-E1702,2),0)))</f>
        <v/>
      </c>
      <c r="L1702" s="6">
        <f>IF(C1702="","",ROUND(J1702+D1702-E1702-K1702,2))</f>
        <v/>
      </c>
      <c r="M1702" s="6">
        <f>IF(C1702="","",0)</f>
        <v/>
      </c>
    </row>
    <row r="1703">
      <c r="A1703" t="inlineStr">
        <is>
          <t>Bank 银行</t>
        </is>
      </c>
      <c r="B1703" s="5">
        <f>IF(AND('Daily Sale entry '!Z203="Online collection 网上收款",'Daily Sale entry '!AA203&lt;&gt;""),'Daily Sale entry '!X203,"")</f>
        <v/>
      </c>
      <c r="C1703">
        <f>IF(B1703="","",'Daily Sale entry '!AA203)</f>
        <v/>
      </c>
      <c r="D1703">
        <f>IF(C1703="","",0)</f>
        <v/>
      </c>
      <c r="E1703">
        <f>IF(C1703="","",'Daily Sale entry '!AC203)</f>
        <v/>
      </c>
      <c r="F1703" s="37">
        <f>IF(C1703="","",B1703+IF(E1703&gt;0,0,0.5)+ROW()/10000000)</f>
        <v/>
      </c>
      <c r="G1703">
        <f>IF(C1703="","","Collection 收款 (Online 网上)"&amp;IF('Daily Sale entry '!Y203="",""," - "&amp;'Daily Sale entry '!Y203))</f>
        <v/>
      </c>
      <c r="H1703">
        <f>IF(C1703="","",COUNTIFS($C$2:$C$3001,C1703,$F$2:$F$3001,"&lt;"&amp;F1703)+1)</f>
        <v/>
      </c>
      <c r="I1703">
        <f>IF(C1703="","",C1703&amp;"|"&amp;H1703)</f>
        <v/>
      </c>
      <c r="J1703" s="6">
        <f>IF(C1703="","",IF(H1703=1,SUMIFS('Opening Balance'!$F$4:$F$303,'Opening Balance'!$G$4:$G$303,C1703),INDEX($L$2:$L$3001,MATCH(C1703&amp;"|"&amp;(H1703-1),$I$2:$I$3001,0))))</f>
        <v/>
      </c>
      <c r="K1703" s="6">
        <f>IF(C1703="","",IF(M1703&gt;0,M1703,IF(AND(E1703&gt;0,ROUND(J1703+D1703-E1703,2)&gt;0,ROUND(J1703+D1703-E1703,2)&lt;'Opening Balance'!$B$14),ROUND(J1703+D1703-E1703,2),0)))</f>
        <v/>
      </c>
      <c r="L1703" s="6">
        <f>IF(C1703="","",ROUND(J1703+D1703-E1703-K1703,2))</f>
        <v/>
      </c>
      <c r="M1703" s="6">
        <f>IF(C1703="","",0)</f>
        <v/>
      </c>
    </row>
    <row r="1704">
      <c r="A1704" t="inlineStr">
        <is>
          <t>Bank 银行</t>
        </is>
      </c>
      <c r="B1704" s="5">
        <f>IF(AND('Daily Sale entry '!Z204="Online collection 网上收款",'Daily Sale entry '!AA204&lt;&gt;""),'Daily Sale entry '!X204,"")</f>
        <v/>
      </c>
      <c r="C1704">
        <f>IF(B1704="","",'Daily Sale entry '!AA204)</f>
        <v/>
      </c>
      <c r="D1704">
        <f>IF(C1704="","",0)</f>
        <v/>
      </c>
      <c r="E1704">
        <f>IF(C1704="","",'Daily Sale entry '!AC204)</f>
        <v/>
      </c>
      <c r="F1704" s="37">
        <f>IF(C1704="","",B1704+IF(E1704&gt;0,0,0.5)+ROW()/10000000)</f>
        <v/>
      </c>
      <c r="G1704">
        <f>IF(C1704="","","Collection 收款 (Online 网上)"&amp;IF('Daily Sale entry '!Y204="",""," - "&amp;'Daily Sale entry '!Y204))</f>
        <v/>
      </c>
      <c r="H1704">
        <f>IF(C1704="","",COUNTIFS($C$2:$C$3001,C1704,$F$2:$F$3001,"&lt;"&amp;F1704)+1)</f>
        <v/>
      </c>
      <c r="I1704">
        <f>IF(C1704="","",C1704&amp;"|"&amp;H1704)</f>
        <v/>
      </c>
      <c r="J1704" s="6">
        <f>IF(C1704="","",IF(H1704=1,SUMIFS('Opening Balance'!$F$4:$F$303,'Opening Balance'!$G$4:$G$303,C1704),INDEX($L$2:$L$3001,MATCH(C1704&amp;"|"&amp;(H1704-1),$I$2:$I$3001,0))))</f>
        <v/>
      </c>
      <c r="K1704" s="6">
        <f>IF(C1704="","",IF(M1704&gt;0,M1704,IF(AND(E1704&gt;0,ROUND(J1704+D1704-E1704,2)&gt;0,ROUND(J1704+D1704-E1704,2)&lt;'Opening Balance'!$B$14),ROUND(J1704+D1704-E1704,2),0)))</f>
        <v/>
      </c>
      <c r="L1704" s="6">
        <f>IF(C1704="","",ROUND(J1704+D1704-E1704-K1704,2))</f>
        <v/>
      </c>
      <c r="M1704" s="6">
        <f>IF(C1704="","",0)</f>
        <v/>
      </c>
    </row>
    <row r="1705">
      <c r="A1705" t="inlineStr">
        <is>
          <t>Bank 银行</t>
        </is>
      </c>
      <c r="B1705" s="5">
        <f>IF(AND('Daily Sale entry '!Z205="Online collection 网上收款",'Daily Sale entry '!AA205&lt;&gt;""),'Daily Sale entry '!X205,"")</f>
        <v/>
      </c>
      <c r="C1705">
        <f>IF(B1705="","",'Daily Sale entry '!AA205)</f>
        <v/>
      </c>
      <c r="D1705">
        <f>IF(C1705="","",0)</f>
        <v/>
      </c>
      <c r="E1705">
        <f>IF(C1705="","",'Daily Sale entry '!AC205)</f>
        <v/>
      </c>
      <c r="F1705" s="37">
        <f>IF(C1705="","",B1705+IF(E1705&gt;0,0,0.5)+ROW()/10000000)</f>
        <v/>
      </c>
      <c r="G1705">
        <f>IF(C1705="","","Collection 收款 (Online 网上)"&amp;IF('Daily Sale entry '!Y205="",""," - "&amp;'Daily Sale entry '!Y205))</f>
        <v/>
      </c>
      <c r="H1705">
        <f>IF(C1705="","",COUNTIFS($C$2:$C$3001,C1705,$F$2:$F$3001,"&lt;"&amp;F1705)+1)</f>
        <v/>
      </c>
      <c r="I1705">
        <f>IF(C1705="","",C1705&amp;"|"&amp;H1705)</f>
        <v/>
      </c>
      <c r="J1705" s="6">
        <f>IF(C1705="","",IF(H1705=1,SUMIFS('Opening Balance'!$F$4:$F$303,'Opening Balance'!$G$4:$G$303,C1705),INDEX($L$2:$L$3001,MATCH(C1705&amp;"|"&amp;(H1705-1),$I$2:$I$3001,0))))</f>
        <v/>
      </c>
      <c r="K1705" s="6">
        <f>IF(C1705="","",IF(M1705&gt;0,M1705,IF(AND(E1705&gt;0,ROUND(J1705+D1705-E1705,2)&gt;0,ROUND(J1705+D1705-E1705,2)&lt;'Opening Balance'!$B$14),ROUND(J1705+D1705-E1705,2),0)))</f>
        <v/>
      </c>
      <c r="L1705" s="6">
        <f>IF(C1705="","",ROUND(J1705+D1705-E1705-K1705,2))</f>
        <v/>
      </c>
      <c r="M1705" s="6">
        <f>IF(C1705="","",0)</f>
        <v/>
      </c>
    </row>
    <row r="1706">
      <c r="A1706" t="inlineStr">
        <is>
          <t>Bank 银行</t>
        </is>
      </c>
      <c r="B1706" s="5">
        <f>IF(AND('Daily Sale entry '!Z206="Online collection 网上收款",'Daily Sale entry '!AA206&lt;&gt;""),'Daily Sale entry '!X206,"")</f>
        <v/>
      </c>
      <c r="C1706">
        <f>IF(B1706="","",'Daily Sale entry '!AA206)</f>
        <v/>
      </c>
      <c r="D1706">
        <f>IF(C1706="","",0)</f>
        <v/>
      </c>
      <c r="E1706">
        <f>IF(C1706="","",'Daily Sale entry '!AC206)</f>
        <v/>
      </c>
      <c r="F1706" s="37">
        <f>IF(C1706="","",B1706+IF(E1706&gt;0,0,0.5)+ROW()/10000000)</f>
        <v/>
      </c>
      <c r="G1706">
        <f>IF(C1706="","","Collection 收款 (Online 网上)"&amp;IF('Daily Sale entry '!Y206="",""," - "&amp;'Daily Sale entry '!Y206))</f>
        <v/>
      </c>
      <c r="H1706">
        <f>IF(C1706="","",COUNTIFS($C$2:$C$3001,C1706,$F$2:$F$3001,"&lt;"&amp;F1706)+1)</f>
        <v/>
      </c>
      <c r="I1706">
        <f>IF(C1706="","",C1706&amp;"|"&amp;H1706)</f>
        <v/>
      </c>
      <c r="J1706" s="6">
        <f>IF(C1706="","",IF(H1706=1,SUMIFS('Opening Balance'!$F$4:$F$303,'Opening Balance'!$G$4:$G$303,C1706),INDEX($L$2:$L$3001,MATCH(C1706&amp;"|"&amp;(H1706-1),$I$2:$I$3001,0))))</f>
        <v/>
      </c>
      <c r="K1706" s="6">
        <f>IF(C1706="","",IF(M1706&gt;0,M1706,IF(AND(E1706&gt;0,ROUND(J1706+D1706-E1706,2)&gt;0,ROUND(J1706+D1706-E1706,2)&lt;'Opening Balance'!$B$14),ROUND(J1706+D1706-E1706,2),0)))</f>
        <v/>
      </c>
      <c r="L1706" s="6">
        <f>IF(C1706="","",ROUND(J1706+D1706-E1706-K1706,2))</f>
        <v/>
      </c>
      <c r="M1706" s="6">
        <f>IF(C1706="","",0)</f>
        <v/>
      </c>
    </row>
    <row r="1707">
      <c r="A1707" t="inlineStr">
        <is>
          <t>Bank 银行</t>
        </is>
      </c>
      <c r="B1707" s="5">
        <f>IF(AND('Daily Sale entry '!Z207="Online collection 网上收款",'Daily Sale entry '!AA207&lt;&gt;""),'Daily Sale entry '!X207,"")</f>
        <v/>
      </c>
      <c r="C1707">
        <f>IF(B1707="","",'Daily Sale entry '!AA207)</f>
        <v/>
      </c>
      <c r="D1707">
        <f>IF(C1707="","",0)</f>
        <v/>
      </c>
      <c r="E1707">
        <f>IF(C1707="","",'Daily Sale entry '!AC207)</f>
        <v/>
      </c>
      <c r="F1707" s="37">
        <f>IF(C1707="","",B1707+IF(E1707&gt;0,0,0.5)+ROW()/10000000)</f>
        <v/>
      </c>
      <c r="G1707">
        <f>IF(C1707="","","Collection 收款 (Online 网上)"&amp;IF('Daily Sale entry '!Y207="",""," - "&amp;'Daily Sale entry '!Y207))</f>
        <v/>
      </c>
      <c r="H1707">
        <f>IF(C1707="","",COUNTIFS($C$2:$C$3001,C1707,$F$2:$F$3001,"&lt;"&amp;F1707)+1)</f>
        <v/>
      </c>
      <c r="I1707">
        <f>IF(C1707="","",C1707&amp;"|"&amp;H1707)</f>
        <v/>
      </c>
      <c r="J1707" s="6">
        <f>IF(C1707="","",IF(H1707=1,SUMIFS('Opening Balance'!$F$4:$F$303,'Opening Balance'!$G$4:$G$303,C1707),INDEX($L$2:$L$3001,MATCH(C1707&amp;"|"&amp;(H1707-1),$I$2:$I$3001,0))))</f>
        <v/>
      </c>
      <c r="K1707" s="6">
        <f>IF(C1707="","",IF(M1707&gt;0,M1707,IF(AND(E1707&gt;0,ROUND(J1707+D1707-E1707,2)&gt;0,ROUND(J1707+D1707-E1707,2)&lt;'Opening Balance'!$B$14),ROUND(J1707+D1707-E1707,2),0)))</f>
        <v/>
      </c>
      <c r="L1707" s="6">
        <f>IF(C1707="","",ROUND(J1707+D1707-E1707-K1707,2))</f>
        <v/>
      </c>
      <c r="M1707" s="6">
        <f>IF(C1707="","",0)</f>
        <v/>
      </c>
    </row>
    <row r="1708">
      <c r="A1708" t="inlineStr">
        <is>
          <t>Bank 银行</t>
        </is>
      </c>
      <c r="B1708" s="5">
        <f>IF(AND('Daily Sale entry '!Z208="Online collection 网上收款",'Daily Sale entry '!AA208&lt;&gt;""),'Daily Sale entry '!X208,"")</f>
        <v/>
      </c>
      <c r="C1708">
        <f>IF(B1708="","",'Daily Sale entry '!AA208)</f>
        <v/>
      </c>
      <c r="D1708">
        <f>IF(C1708="","",0)</f>
        <v/>
      </c>
      <c r="E1708">
        <f>IF(C1708="","",'Daily Sale entry '!AC208)</f>
        <v/>
      </c>
      <c r="F1708" s="37">
        <f>IF(C1708="","",B1708+IF(E1708&gt;0,0,0.5)+ROW()/10000000)</f>
        <v/>
      </c>
      <c r="G1708">
        <f>IF(C1708="","","Collection 收款 (Online 网上)"&amp;IF('Daily Sale entry '!Y208="",""," - "&amp;'Daily Sale entry '!Y208))</f>
        <v/>
      </c>
      <c r="H1708">
        <f>IF(C1708="","",COUNTIFS($C$2:$C$3001,C1708,$F$2:$F$3001,"&lt;"&amp;F1708)+1)</f>
        <v/>
      </c>
      <c r="I1708">
        <f>IF(C1708="","",C1708&amp;"|"&amp;H1708)</f>
        <v/>
      </c>
      <c r="J1708" s="6">
        <f>IF(C1708="","",IF(H1708=1,SUMIFS('Opening Balance'!$F$4:$F$303,'Opening Balance'!$G$4:$G$303,C1708),INDEX($L$2:$L$3001,MATCH(C1708&amp;"|"&amp;(H1708-1),$I$2:$I$3001,0))))</f>
        <v/>
      </c>
      <c r="K1708" s="6">
        <f>IF(C1708="","",IF(M1708&gt;0,M1708,IF(AND(E1708&gt;0,ROUND(J1708+D1708-E1708,2)&gt;0,ROUND(J1708+D1708-E1708,2)&lt;'Opening Balance'!$B$14),ROUND(J1708+D1708-E1708,2),0)))</f>
        <v/>
      </c>
      <c r="L1708" s="6">
        <f>IF(C1708="","",ROUND(J1708+D1708-E1708-K1708,2))</f>
        <v/>
      </c>
      <c r="M1708" s="6">
        <f>IF(C1708="","",0)</f>
        <v/>
      </c>
    </row>
    <row r="1709">
      <c r="A1709" t="inlineStr">
        <is>
          <t>Bank 银行</t>
        </is>
      </c>
      <c r="B1709" s="5">
        <f>IF(AND('Daily Sale entry '!Z209="Online collection 网上收款",'Daily Sale entry '!AA209&lt;&gt;""),'Daily Sale entry '!X209,"")</f>
        <v/>
      </c>
      <c r="C1709">
        <f>IF(B1709="","",'Daily Sale entry '!AA209)</f>
        <v/>
      </c>
      <c r="D1709">
        <f>IF(C1709="","",0)</f>
        <v/>
      </c>
      <c r="E1709">
        <f>IF(C1709="","",'Daily Sale entry '!AC209)</f>
        <v/>
      </c>
      <c r="F1709" s="37">
        <f>IF(C1709="","",B1709+IF(E1709&gt;0,0,0.5)+ROW()/10000000)</f>
        <v/>
      </c>
      <c r="G1709">
        <f>IF(C1709="","","Collection 收款 (Online 网上)"&amp;IF('Daily Sale entry '!Y209="",""," - "&amp;'Daily Sale entry '!Y209))</f>
        <v/>
      </c>
      <c r="H1709">
        <f>IF(C1709="","",COUNTIFS($C$2:$C$3001,C1709,$F$2:$F$3001,"&lt;"&amp;F1709)+1)</f>
        <v/>
      </c>
      <c r="I1709">
        <f>IF(C1709="","",C1709&amp;"|"&amp;H1709)</f>
        <v/>
      </c>
      <c r="J1709" s="6">
        <f>IF(C1709="","",IF(H1709=1,SUMIFS('Opening Balance'!$F$4:$F$303,'Opening Balance'!$G$4:$G$303,C1709),INDEX($L$2:$L$3001,MATCH(C1709&amp;"|"&amp;(H1709-1),$I$2:$I$3001,0))))</f>
        <v/>
      </c>
      <c r="K1709" s="6">
        <f>IF(C1709="","",IF(M1709&gt;0,M1709,IF(AND(E1709&gt;0,ROUND(J1709+D1709-E1709,2)&gt;0,ROUND(J1709+D1709-E1709,2)&lt;'Opening Balance'!$B$14),ROUND(J1709+D1709-E1709,2),0)))</f>
        <v/>
      </c>
      <c r="L1709" s="6">
        <f>IF(C1709="","",ROUND(J1709+D1709-E1709-K1709,2))</f>
        <v/>
      </c>
      <c r="M1709" s="6">
        <f>IF(C1709="","",0)</f>
        <v/>
      </c>
    </row>
    <row r="1710">
      <c r="A1710" t="inlineStr">
        <is>
          <t>Bank 银行</t>
        </is>
      </c>
      <c r="B1710" s="5">
        <f>IF(AND('Daily Sale entry '!Z210="Online collection 网上收款",'Daily Sale entry '!AA210&lt;&gt;""),'Daily Sale entry '!X210,"")</f>
        <v/>
      </c>
      <c r="C1710">
        <f>IF(B1710="","",'Daily Sale entry '!AA210)</f>
        <v/>
      </c>
      <c r="D1710">
        <f>IF(C1710="","",0)</f>
        <v/>
      </c>
      <c r="E1710">
        <f>IF(C1710="","",'Daily Sale entry '!AC210)</f>
        <v/>
      </c>
      <c r="F1710" s="37">
        <f>IF(C1710="","",B1710+IF(E1710&gt;0,0,0.5)+ROW()/10000000)</f>
        <v/>
      </c>
      <c r="G1710">
        <f>IF(C1710="","","Collection 收款 (Online 网上)"&amp;IF('Daily Sale entry '!Y210="",""," - "&amp;'Daily Sale entry '!Y210))</f>
        <v/>
      </c>
      <c r="H1710">
        <f>IF(C1710="","",COUNTIFS($C$2:$C$3001,C1710,$F$2:$F$3001,"&lt;"&amp;F1710)+1)</f>
        <v/>
      </c>
      <c r="I1710">
        <f>IF(C1710="","",C1710&amp;"|"&amp;H1710)</f>
        <v/>
      </c>
      <c r="J1710" s="6">
        <f>IF(C1710="","",IF(H1710=1,SUMIFS('Opening Balance'!$F$4:$F$303,'Opening Balance'!$G$4:$G$303,C1710),INDEX($L$2:$L$3001,MATCH(C1710&amp;"|"&amp;(H1710-1),$I$2:$I$3001,0))))</f>
        <v/>
      </c>
      <c r="K1710" s="6">
        <f>IF(C1710="","",IF(M1710&gt;0,M1710,IF(AND(E1710&gt;0,ROUND(J1710+D1710-E1710,2)&gt;0,ROUND(J1710+D1710-E1710,2)&lt;'Opening Balance'!$B$14),ROUND(J1710+D1710-E1710,2),0)))</f>
        <v/>
      </c>
      <c r="L1710" s="6">
        <f>IF(C1710="","",ROUND(J1710+D1710-E1710-K1710,2))</f>
        <v/>
      </c>
      <c r="M1710" s="6">
        <f>IF(C1710="","",0)</f>
        <v/>
      </c>
    </row>
    <row r="1711">
      <c r="A1711" t="inlineStr">
        <is>
          <t>Bank 银行</t>
        </is>
      </c>
      <c r="B1711" s="5">
        <f>IF(AND('Daily Sale entry '!Z211="Online collection 网上收款",'Daily Sale entry '!AA211&lt;&gt;""),'Daily Sale entry '!X211,"")</f>
        <v/>
      </c>
      <c r="C1711">
        <f>IF(B1711="","",'Daily Sale entry '!AA211)</f>
        <v/>
      </c>
      <c r="D1711">
        <f>IF(C1711="","",0)</f>
        <v/>
      </c>
      <c r="E1711">
        <f>IF(C1711="","",'Daily Sale entry '!AC211)</f>
        <v/>
      </c>
      <c r="F1711" s="37">
        <f>IF(C1711="","",B1711+IF(E1711&gt;0,0,0.5)+ROW()/10000000)</f>
        <v/>
      </c>
      <c r="G1711">
        <f>IF(C1711="","","Collection 收款 (Online 网上)"&amp;IF('Daily Sale entry '!Y211="",""," - "&amp;'Daily Sale entry '!Y211))</f>
        <v/>
      </c>
      <c r="H1711">
        <f>IF(C1711="","",COUNTIFS($C$2:$C$3001,C1711,$F$2:$F$3001,"&lt;"&amp;F1711)+1)</f>
        <v/>
      </c>
      <c r="I1711">
        <f>IF(C1711="","",C1711&amp;"|"&amp;H1711)</f>
        <v/>
      </c>
      <c r="J1711" s="6">
        <f>IF(C1711="","",IF(H1711=1,SUMIFS('Opening Balance'!$F$4:$F$303,'Opening Balance'!$G$4:$G$303,C1711),INDEX($L$2:$L$3001,MATCH(C1711&amp;"|"&amp;(H1711-1),$I$2:$I$3001,0))))</f>
        <v/>
      </c>
      <c r="K1711" s="6">
        <f>IF(C1711="","",IF(M1711&gt;0,M1711,IF(AND(E1711&gt;0,ROUND(J1711+D1711-E1711,2)&gt;0,ROUND(J1711+D1711-E1711,2)&lt;'Opening Balance'!$B$14),ROUND(J1711+D1711-E1711,2),0)))</f>
        <v/>
      </c>
      <c r="L1711" s="6">
        <f>IF(C1711="","",ROUND(J1711+D1711-E1711-K1711,2))</f>
        <v/>
      </c>
      <c r="M1711" s="6">
        <f>IF(C1711="","",0)</f>
        <v/>
      </c>
    </row>
    <row r="1712">
      <c r="A1712" t="inlineStr">
        <is>
          <t>Bank 银行</t>
        </is>
      </c>
      <c r="B1712" s="5">
        <f>IF(AND('Daily Sale entry '!Z212="Online collection 网上收款",'Daily Sale entry '!AA212&lt;&gt;""),'Daily Sale entry '!X212,"")</f>
        <v/>
      </c>
      <c r="C1712">
        <f>IF(B1712="","",'Daily Sale entry '!AA212)</f>
        <v/>
      </c>
      <c r="D1712">
        <f>IF(C1712="","",0)</f>
        <v/>
      </c>
      <c r="E1712">
        <f>IF(C1712="","",'Daily Sale entry '!AC212)</f>
        <v/>
      </c>
      <c r="F1712" s="37">
        <f>IF(C1712="","",B1712+IF(E1712&gt;0,0,0.5)+ROW()/10000000)</f>
        <v/>
      </c>
      <c r="G1712">
        <f>IF(C1712="","","Collection 收款 (Online 网上)"&amp;IF('Daily Sale entry '!Y212="",""," - "&amp;'Daily Sale entry '!Y212))</f>
        <v/>
      </c>
      <c r="H1712">
        <f>IF(C1712="","",COUNTIFS($C$2:$C$3001,C1712,$F$2:$F$3001,"&lt;"&amp;F1712)+1)</f>
        <v/>
      </c>
      <c r="I1712">
        <f>IF(C1712="","",C1712&amp;"|"&amp;H1712)</f>
        <v/>
      </c>
      <c r="J1712" s="6">
        <f>IF(C1712="","",IF(H1712=1,SUMIFS('Opening Balance'!$F$4:$F$303,'Opening Balance'!$G$4:$G$303,C1712),INDEX($L$2:$L$3001,MATCH(C1712&amp;"|"&amp;(H1712-1),$I$2:$I$3001,0))))</f>
        <v/>
      </c>
      <c r="K1712" s="6">
        <f>IF(C1712="","",IF(M1712&gt;0,M1712,IF(AND(E1712&gt;0,ROUND(J1712+D1712-E1712,2)&gt;0,ROUND(J1712+D1712-E1712,2)&lt;'Opening Balance'!$B$14),ROUND(J1712+D1712-E1712,2),0)))</f>
        <v/>
      </c>
      <c r="L1712" s="6">
        <f>IF(C1712="","",ROUND(J1712+D1712-E1712-K1712,2))</f>
        <v/>
      </c>
      <c r="M1712" s="6">
        <f>IF(C1712="","",0)</f>
        <v/>
      </c>
    </row>
    <row r="1713">
      <c r="A1713" t="inlineStr">
        <is>
          <t>Bank 银行</t>
        </is>
      </c>
      <c r="B1713" s="5">
        <f>IF(AND('Daily Sale entry '!Z213="Online collection 网上收款",'Daily Sale entry '!AA213&lt;&gt;""),'Daily Sale entry '!X213,"")</f>
        <v/>
      </c>
      <c r="C1713">
        <f>IF(B1713="","",'Daily Sale entry '!AA213)</f>
        <v/>
      </c>
      <c r="D1713">
        <f>IF(C1713="","",0)</f>
        <v/>
      </c>
      <c r="E1713">
        <f>IF(C1713="","",'Daily Sale entry '!AC213)</f>
        <v/>
      </c>
      <c r="F1713" s="37">
        <f>IF(C1713="","",B1713+IF(E1713&gt;0,0,0.5)+ROW()/10000000)</f>
        <v/>
      </c>
      <c r="G1713">
        <f>IF(C1713="","","Collection 收款 (Online 网上)"&amp;IF('Daily Sale entry '!Y213="",""," - "&amp;'Daily Sale entry '!Y213))</f>
        <v/>
      </c>
      <c r="H1713">
        <f>IF(C1713="","",COUNTIFS($C$2:$C$3001,C1713,$F$2:$F$3001,"&lt;"&amp;F1713)+1)</f>
        <v/>
      </c>
      <c r="I1713">
        <f>IF(C1713="","",C1713&amp;"|"&amp;H1713)</f>
        <v/>
      </c>
      <c r="J1713" s="6">
        <f>IF(C1713="","",IF(H1713=1,SUMIFS('Opening Balance'!$F$4:$F$303,'Opening Balance'!$G$4:$G$303,C1713),INDEX($L$2:$L$3001,MATCH(C1713&amp;"|"&amp;(H1713-1),$I$2:$I$3001,0))))</f>
        <v/>
      </c>
      <c r="K1713" s="6">
        <f>IF(C1713="","",IF(M1713&gt;0,M1713,IF(AND(E1713&gt;0,ROUND(J1713+D1713-E1713,2)&gt;0,ROUND(J1713+D1713-E1713,2)&lt;'Opening Balance'!$B$14),ROUND(J1713+D1713-E1713,2),0)))</f>
        <v/>
      </c>
      <c r="L1713" s="6">
        <f>IF(C1713="","",ROUND(J1713+D1713-E1713-K1713,2))</f>
        <v/>
      </c>
      <c r="M1713" s="6">
        <f>IF(C1713="","",0)</f>
        <v/>
      </c>
    </row>
    <row r="1714">
      <c r="A1714" t="inlineStr">
        <is>
          <t>Bank 银行</t>
        </is>
      </c>
      <c r="B1714" s="5">
        <f>IF(AND('Daily Sale entry '!Z214="Online collection 网上收款",'Daily Sale entry '!AA214&lt;&gt;""),'Daily Sale entry '!X214,"")</f>
        <v/>
      </c>
      <c r="C1714">
        <f>IF(B1714="","",'Daily Sale entry '!AA214)</f>
        <v/>
      </c>
      <c r="D1714">
        <f>IF(C1714="","",0)</f>
        <v/>
      </c>
      <c r="E1714">
        <f>IF(C1714="","",'Daily Sale entry '!AC214)</f>
        <v/>
      </c>
      <c r="F1714" s="37">
        <f>IF(C1714="","",B1714+IF(E1714&gt;0,0,0.5)+ROW()/10000000)</f>
        <v/>
      </c>
      <c r="G1714">
        <f>IF(C1714="","","Collection 收款 (Online 网上)"&amp;IF('Daily Sale entry '!Y214="",""," - "&amp;'Daily Sale entry '!Y214))</f>
        <v/>
      </c>
      <c r="H1714">
        <f>IF(C1714="","",COUNTIFS($C$2:$C$3001,C1714,$F$2:$F$3001,"&lt;"&amp;F1714)+1)</f>
        <v/>
      </c>
      <c r="I1714">
        <f>IF(C1714="","",C1714&amp;"|"&amp;H1714)</f>
        <v/>
      </c>
      <c r="J1714" s="6">
        <f>IF(C1714="","",IF(H1714=1,SUMIFS('Opening Balance'!$F$4:$F$303,'Opening Balance'!$G$4:$G$303,C1714),INDEX($L$2:$L$3001,MATCH(C1714&amp;"|"&amp;(H1714-1),$I$2:$I$3001,0))))</f>
        <v/>
      </c>
      <c r="K1714" s="6">
        <f>IF(C1714="","",IF(M1714&gt;0,M1714,IF(AND(E1714&gt;0,ROUND(J1714+D1714-E1714,2)&gt;0,ROUND(J1714+D1714-E1714,2)&lt;'Opening Balance'!$B$14),ROUND(J1714+D1714-E1714,2),0)))</f>
        <v/>
      </c>
      <c r="L1714" s="6">
        <f>IF(C1714="","",ROUND(J1714+D1714-E1714-K1714,2))</f>
        <v/>
      </c>
      <c r="M1714" s="6">
        <f>IF(C1714="","",0)</f>
        <v/>
      </c>
    </row>
    <row r="1715">
      <c r="A1715" t="inlineStr">
        <is>
          <t>Bank 银行</t>
        </is>
      </c>
      <c r="B1715" s="5">
        <f>IF(AND('Daily Sale entry '!Z215="Online collection 网上收款",'Daily Sale entry '!AA215&lt;&gt;""),'Daily Sale entry '!X215,"")</f>
        <v/>
      </c>
      <c r="C1715">
        <f>IF(B1715="","",'Daily Sale entry '!AA215)</f>
        <v/>
      </c>
      <c r="D1715">
        <f>IF(C1715="","",0)</f>
        <v/>
      </c>
      <c r="E1715">
        <f>IF(C1715="","",'Daily Sale entry '!AC215)</f>
        <v/>
      </c>
      <c r="F1715" s="37">
        <f>IF(C1715="","",B1715+IF(E1715&gt;0,0,0.5)+ROW()/10000000)</f>
        <v/>
      </c>
      <c r="G1715">
        <f>IF(C1715="","","Collection 收款 (Online 网上)"&amp;IF('Daily Sale entry '!Y215="",""," - "&amp;'Daily Sale entry '!Y215))</f>
        <v/>
      </c>
      <c r="H1715">
        <f>IF(C1715="","",COUNTIFS($C$2:$C$3001,C1715,$F$2:$F$3001,"&lt;"&amp;F1715)+1)</f>
        <v/>
      </c>
      <c r="I1715">
        <f>IF(C1715="","",C1715&amp;"|"&amp;H1715)</f>
        <v/>
      </c>
      <c r="J1715" s="6">
        <f>IF(C1715="","",IF(H1715=1,SUMIFS('Opening Balance'!$F$4:$F$303,'Opening Balance'!$G$4:$G$303,C1715),INDEX($L$2:$L$3001,MATCH(C1715&amp;"|"&amp;(H1715-1),$I$2:$I$3001,0))))</f>
        <v/>
      </c>
      <c r="K1715" s="6">
        <f>IF(C1715="","",IF(M1715&gt;0,M1715,IF(AND(E1715&gt;0,ROUND(J1715+D1715-E1715,2)&gt;0,ROUND(J1715+D1715-E1715,2)&lt;'Opening Balance'!$B$14),ROUND(J1715+D1715-E1715,2),0)))</f>
        <v/>
      </c>
      <c r="L1715" s="6">
        <f>IF(C1715="","",ROUND(J1715+D1715-E1715-K1715,2))</f>
        <v/>
      </c>
      <c r="M1715" s="6">
        <f>IF(C1715="","",0)</f>
        <v/>
      </c>
    </row>
    <row r="1716">
      <c r="A1716" t="inlineStr">
        <is>
          <t>Bank 银行</t>
        </is>
      </c>
      <c r="B1716" s="5">
        <f>IF(AND('Daily Sale entry '!Z216="Online collection 网上收款",'Daily Sale entry '!AA216&lt;&gt;""),'Daily Sale entry '!X216,"")</f>
        <v/>
      </c>
      <c r="C1716">
        <f>IF(B1716="","",'Daily Sale entry '!AA216)</f>
        <v/>
      </c>
      <c r="D1716">
        <f>IF(C1716="","",0)</f>
        <v/>
      </c>
      <c r="E1716">
        <f>IF(C1716="","",'Daily Sale entry '!AC216)</f>
        <v/>
      </c>
      <c r="F1716" s="37">
        <f>IF(C1716="","",B1716+IF(E1716&gt;0,0,0.5)+ROW()/10000000)</f>
        <v/>
      </c>
      <c r="G1716">
        <f>IF(C1716="","","Collection 收款 (Online 网上)"&amp;IF('Daily Sale entry '!Y216="",""," - "&amp;'Daily Sale entry '!Y216))</f>
        <v/>
      </c>
      <c r="H1716">
        <f>IF(C1716="","",COUNTIFS($C$2:$C$3001,C1716,$F$2:$F$3001,"&lt;"&amp;F1716)+1)</f>
        <v/>
      </c>
      <c r="I1716">
        <f>IF(C1716="","",C1716&amp;"|"&amp;H1716)</f>
        <v/>
      </c>
      <c r="J1716" s="6">
        <f>IF(C1716="","",IF(H1716=1,SUMIFS('Opening Balance'!$F$4:$F$303,'Opening Balance'!$G$4:$G$303,C1716),INDEX($L$2:$L$3001,MATCH(C1716&amp;"|"&amp;(H1716-1),$I$2:$I$3001,0))))</f>
        <v/>
      </c>
      <c r="K1716" s="6">
        <f>IF(C1716="","",IF(M1716&gt;0,M1716,IF(AND(E1716&gt;0,ROUND(J1716+D1716-E1716,2)&gt;0,ROUND(J1716+D1716-E1716,2)&lt;'Opening Balance'!$B$14),ROUND(J1716+D1716-E1716,2),0)))</f>
        <v/>
      </c>
      <c r="L1716" s="6">
        <f>IF(C1716="","",ROUND(J1716+D1716-E1716-K1716,2))</f>
        <v/>
      </c>
      <c r="M1716" s="6">
        <f>IF(C1716="","",0)</f>
        <v/>
      </c>
    </row>
    <row r="1717">
      <c r="A1717" t="inlineStr">
        <is>
          <t>Bank 银行</t>
        </is>
      </c>
      <c r="B1717" s="5">
        <f>IF(AND('Daily Sale entry '!Z217="Online collection 网上收款",'Daily Sale entry '!AA217&lt;&gt;""),'Daily Sale entry '!X217,"")</f>
        <v/>
      </c>
      <c r="C1717">
        <f>IF(B1717="","",'Daily Sale entry '!AA217)</f>
        <v/>
      </c>
      <c r="D1717">
        <f>IF(C1717="","",0)</f>
        <v/>
      </c>
      <c r="E1717">
        <f>IF(C1717="","",'Daily Sale entry '!AC217)</f>
        <v/>
      </c>
      <c r="F1717" s="37">
        <f>IF(C1717="","",B1717+IF(E1717&gt;0,0,0.5)+ROW()/10000000)</f>
        <v/>
      </c>
      <c r="G1717">
        <f>IF(C1717="","","Collection 收款 (Online 网上)"&amp;IF('Daily Sale entry '!Y217="",""," - "&amp;'Daily Sale entry '!Y217))</f>
        <v/>
      </c>
      <c r="H1717">
        <f>IF(C1717="","",COUNTIFS($C$2:$C$3001,C1717,$F$2:$F$3001,"&lt;"&amp;F1717)+1)</f>
        <v/>
      </c>
      <c r="I1717">
        <f>IF(C1717="","",C1717&amp;"|"&amp;H1717)</f>
        <v/>
      </c>
      <c r="J1717" s="6">
        <f>IF(C1717="","",IF(H1717=1,SUMIFS('Opening Balance'!$F$4:$F$303,'Opening Balance'!$G$4:$G$303,C1717),INDEX($L$2:$L$3001,MATCH(C1717&amp;"|"&amp;(H1717-1),$I$2:$I$3001,0))))</f>
        <v/>
      </c>
      <c r="K1717" s="6">
        <f>IF(C1717="","",IF(M1717&gt;0,M1717,IF(AND(E1717&gt;0,ROUND(J1717+D1717-E1717,2)&gt;0,ROUND(J1717+D1717-E1717,2)&lt;'Opening Balance'!$B$14),ROUND(J1717+D1717-E1717,2),0)))</f>
        <v/>
      </c>
      <c r="L1717" s="6">
        <f>IF(C1717="","",ROUND(J1717+D1717-E1717-K1717,2))</f>
        <v/>
      </c>
      <c r="M1717" s="6">
        <f>IF(C1717="","",0)</f>
        <v/>
      </c>
    </row>
    <row r="1718">
      <c r="A1718" t="inlineStr">
        <is>
          <t>Bank 银行</t>
        </is>
      </c>
      <c r="B1718" s="5">
        <f>IF(AND('Daily Sale entry '!Z218="Online collection 网上收款",'Daily Sale entry '!AA218&lt;&gt;""),'Daily Sale entry '!X218,"")</f>
        <v/>
      </c>
      <c r="C1718">
        <f>IF(B1718="","",'Daily Sale entry '!AA218)</f>
        <v/>
      </c>
      <c r="D1718">
        <f>IF(C1718="","",0)</f>
        <v/>
      </c>
      <c r="E1718">
        <f>IF(C1718="","",'Daily Sale entry '!AC218)</f>
        <v/>
      </c>
      <c r="F1718" s="37">
        <f>IF(C1718="","",B1718+IF(E1718&gt;0,0,0.5)+ROW()/10000000)</f>
        <v/>
      </c>
      <c r="G1718">
        <f>IF(C1718="","","Collection 收款 (Online 网上)"&amp;IF('Daily Sale entry '!Y218="",""," - "&amp;'Daily Sale entry '!Y218))</f>
        <v/>
      </c>
      <c r="H1718">
        <f>IF(C1718="","",COUNTIFS($C$2:$C$3001,C1718,$F$2:$F$3001,"&lt;"&amp;F1718)+1)</f>
        <v/>
      </c>
      <c r="I1718">
        <f>IF(C1718="","",C1718&amp;"|"&amp;H1718)</f>
        <v/>
      </c>
      <c r="J1718" s="6">
        <f>IF(C1718="","",IF(H1718=1,SUMIFS('Opening Balance'!$F$4:$F$303,'Opening Balance'!$G$4:$G$303,C1718),INDEX($L$2:$L$3001,MATCH(C1718&amp;"|"&amp;(H1718-1),$I$2:$I$3001,0))))</f>
        <v/>
      </c>
      <c r="K1718" s="6">
        <f>IF(C1718="","",IF(M1718&gt;0,M1718,IF(AND(E1718&gt;0,ROUND(J1718+D1718-E1718,2)&gt;0,ROUND(J1718+D1718-E1718,2)&lt;'Opening Balance'!$B$14),ROUND(J1718+D1718-E1718,2),0)))</f>
        <v/>
      </c>
      <c r="L1718" s="6">
        <f>IF(C1718="","",ROUND(J1718+D1718-E1718-K1718,2))</f>
        <v/>
      </c>
      <c r="M1718" s="6">
        <f>IF(C1718="","",0)</f>
        <v/>
      </c>
    </row>
    <row r="1719">
      <c r="A1719" t="inlineStr">
        <is>
          <t>Bank 银行</t>
        </is>
      </c>
      <c r="B1719" s="5">
        <f>IF(AND('Daily Sale entry '!Z219="Online collection 网上收款",'Daily Sale entry '!AA219&lt;&gt;""),'Daily Sale entry '!X219,"")</f>
        <v/>
      </c>
      <c r="C1719">
        <f>IF(B1719="","",'Daily Sale entry '!AA219)</f>
        <v/>
      </c>
      <c r="D1719">
        <f>IF(C1719="","",0)</f>
        <v/>
      </c>
      <c r="E1719">
        <f>IF(C1719="","",'Daily Sale entry '!AC219)</f>
        <v/>
      </c>
      <c r="F1719" s="37">
        <f>IF(C1719="","",B1719+IF(E1719&gt;0,0,0.5)+ROW()/10000000)</f>
        <v/>
      </c>
      <c r="G1719">
        <f>IF(C1719="","","Collection 收款 (Online 网上)"&amp;IF('Daily Sale entry '!Y219="",""," - "&amp;'Daily Sale entry '!Y219))</f>
        <v/>
      </c>
      <c r="H1719">
        <f>IF(C1719="","",COUNTIFS($C$2:$C$3001,C1719,$F$2:$F$3001,"&lt;"&amp;F1719)+1)</f>
        <v/>
      </c>
      <c r="I1719">
        <f>IF(C1719="","",C1719&amp;"|"&amp;H1719)</f>
        <v/>
      </c>
      <c r="J1719" s="6">
        <f>IF(C1719="","",IF(H1719=1,SUMIFS('Opening Balance'!$F$4:$F$303,'Opening Balance'!$G$4:$G$303,C1719),INDEX($L$2:$L$3001,MATCH(C1719&amp;"|"&amp;(H1719-1),$I$2:$I$3001,0))))</f>
        <v/>
      </c>
      <c r="K1719" s="6">
        <f>IF(C1719="","",IF(M1719&gt;0,M1719,IF(AND(E1719&gt;0,ROUND(J1719+D1719-E1719,2)&gt;0,ROUND(J1719+D1719-E1719,2)&lt;'Opening Balance'!$B$14),ROUND(J1719+D1719-E1719,2),0)))</f>
        <v/>
      </c>
      <c r="L1719" s="6">
        <f>IF(C1719="","",ROUND(J1719+D1719-E1719-K1719,2))</f>
        <v/>
      </c>
      <c r="M1719" s="6">
        <f>IF(C1719="","",0)</f>
        <v/>
      </c>
    </row>
    <row r="1720">
      <c r="A1720" t="inlineStr">
        <is>
          <t>Bank 银行</t>
        </is>
      </c>
      <c r="B1720" s="5">
        <f>IF(AND('Daily Sale entry '!Z220="Online collection 网上收款",'Daily Sale entry '!AA220&lt;&gt;""),'Daily Sale entry '!X220,"")</f>
        <v/>
      </c>
      <c r="C1720">
        <f>IF(B1720="","",'Daily Sale entry '!AA220)</f>
        <v/>
      </c>
      <c r="D1720">
        <f>IF(C1720="","",0)</f>
        <v/>
      </c>
      <c r="E1720">
        <f>IF(C1720="","",'Daily Sale entry '!AC220)</f>
        <v/>
      </c>
      <c r="F1720" s="37">
        <f>IF(C1720="","",B1720+IF(E1720&gt;0,0,0.5)+ROW()/10000000)</f>
        <v/>
      </c>
      <c r="G1720">
        <f>IF(C1720="","","Collection 收款 (Online 网上)"&amp;IF('Daily Sale entry '!Y220="",""," - "&amp;'Daily Sale entry '!Y220))</f>
        <v/>
      </c>
      <c r="H1720">
        <f>IF(C1720="","",COUNTIFS($C$2:$C$3001,C1720,$F$2:$F$3001,"&lt;"&amp;F1720)+1)</f>
        <v/>
      </c>
      <c r="I1720">
        <f>IF(C1720="","",C1720&amp;"|"&amp;H1720)</f>
        <v/>
      </c>
      <c r="J1720" s="6">
        <f>IF(C1720="","",IF(H1720=1,SUMIFS('Opening Balance'!$F$4:$F$303,'Opening Balance'!$G$4:$G$303,C1720),INDEX($L$2:$L$3001,MATCH(C1720&amp;"|"&amp;(H1720-1),$I$2:$I$3001,0))))</f>
        <v/>
      </c>
      <c r="K1720" s="6">
        <f>IF(C1720="","",IF(M1720&gt;0,M1720,IF(AND(E1720&gt;0,ROUND(J1720+D1720-E1720,2)&gt;0,ROUND(J1720+D1720-E1720,2)&lt;'Opening Balance'!$B$14),ROUND(J1720+D1720-E1720,2),0)))</f>
        <v/>
      </c>
      <c r="L1720" s="6">
        <f>IF(C1720="","",ROUND(J1720+D1720-E1720-K1720,2))</f>
        <v/>
      </c>
      <c r="M1720" s="6">
        <f>IF(C1720="","",0)</f>
        <v/>
      </c>
    </row>
    <row r="1721">
      <c r="A1721" t="inlineStr">
        <is>
          <t>Bank 银行</t>
        </is>
      </c>
      <c r="B1721" s="5">
        <f>IF(AND('Daily Sale entry '!Z221="Online collection 网上收款",'Daily Sale entry '!AA221&lt;&gt;""),'Daily Sale entry '!X221,"")</f>
        <v/>
      </c>
      <c r="C1721">
        <f>IF(B1721="","",'Daily Sale entry '!AA221)</f>
        <v/>
      </c>
      <c r="D1721">
        <f>IF(C1721="","",0)</f>
        <v/>
      </c>
      <c r="E1721">
        <f>IF(C1721="","",'Daily Sale entry '!AC221)</f>
        <v/>
      </c>
      <c r="F1721" s="37">
        <f>IF(C1721="","",B1721+IF(E1721&gt;0,0,0.5)+ROW()/10000000)</f>
        <v/>
      </c>
      <c r="G1721">
        <f>IF(C1721="","","Collection 收款 (Online 网上)"&amp;IF('Daily Sale entry '!Y221="",""," - "&amp;'Daily Sale entry '!Y221))</f>
        <v/>
      </c>
      <c r="H1721">
        <f>IF(C1721="","",COUNTIFS($C$2:$C$3001,C1721,$F$2:$F$3001,"&lt;"&amp;F1721)+1)</f>
        <v/>
      </c>
      <c r="I1721">
        <f>IF(C1721="","",C1721&amp;"|"&amp;H1721)</f>
        <v/>
      </c>
      <c r="J1721" s="6">
        <f>IF(C1721="","",IF(H1721=1,SUMIFS('Opening Balance'!$F$4:$F$303,'Opening Balance'!$G$4:$G$303,C1721),INDEX($L$2:$L$3001,MATCH(C1721&amp;"|"&amp;(H1721-1),$I$2:$I$3001,0))))</f>
        <v/>
      </c>
      <c r="K1721" s="6">
        <f>IF(C1721="","",IF(M1721&gt;0,M1721,IF(AND(E1721&gt;0,ROUND(J1721+D1721-E1721,2)&gt;0,ROUND(J1721+D1721-E1721,2)&lt;'Opening Balance'!$B$14),ROUND(J1721+D1721-E1721,2),0)))</f>
        <v/>
      </c>
      <c r="L1721" s="6">
        <f>IF(C1721="","",ROUND(J1721+D1721-E1721-K1721,2))</f>
        <v/>
      </c>
      <c r="M1721" s="6">
        <f>IF(C1721="","",0)</f>
        <v/>
      </c>
    </row>
    <row r="1722">
      <c r="A1722" t="inlineStr">
        <is>
          <t>Bank 银行</t>
        </is>
      </c>
      <c r="B1722" s="5">
        <f>IF(AND('Daily Sale entry '!Z222="Online collection 网上收款",'Daily Sale entry '!AA222&lt;&gt;""),'Daily Sale entry '!X222,"")</f>
        <v/>
      </c>
      <c r="C1722">
        <f>IF(B1722="","",'Daily Sale entry '!AA222)</f>
        <v/>
      </c>
      <c r="D1722">
        <f>IF(C1722="","",0)</f>
        <v/>
      </c>
      <c r="E1722">
        <f>IF(C1722="","",'Daily Sale entry '!AC222)</f>
        <v/>
      </c>
      <c r="F1722" s="37">
        <f>IF(C1722="","",B1722+IF(E1722&gt;0,0,0.5)+ROW()/10000000)</f>
        <v/>
      </c>
      <c r="G1722">
        <f>IF(C1722="","","Collection 收款 (Online 网上)"&amp;IF('Daily Sale entry '!Y222="",""," - "&amp;'Daily Sale entry '!Y222))</f>
        <v/>
      </c>
      <c r="H1722">
        <f>IF(C1722="","",COUNTIFS($C$2:$C$3001,C1722,$F$2:$F$3001,"&lt;"&amp;F1722)+1)</f>
        <v/>
      </c>
      <c r="I1722">
        <f>IF(C1722="","",C1722&amp;"|"&amp;H1722)</f>
        <v/>
      </c>
      <c r="J1722" s="6">
        <f>IF(C1722="","",IF(H1722=1,SUMIFS('Opening Balance'!$F$4:$F$303,'Opening Balance'!$G$4:$G$303,C1722),INDEX($L$2:$L$3001,MATCH(C1722&amp;"|"&amp;(H1722-1),$I$2:$I$3001,0))))</f>
        <v/>
      </c>
      <c r="K1722" s="6">
        <f>IF(C1722="","",IF(M1722&gt;0,M1722,IF(AND(E1722&gt;0,ROUND(J1722+D1722-E1722,2)&gt;0,ROUND(J1722+D1722-E1722,2)&lt;'Opening Balance'!$B$14),ROUND(J1722+D1722-E1722,2),0)))</f>
        <v/>
      </c>
      <c r="L1722" s="6">
        <f>IF(C1722="","",ROUND(J1722+D1722-E1722-K1722,2))</f>
        <v/>
      </c>
      <c r="M1722" s="6">
        <f>IF(C1722="","",0)</f>
        <v/>
      </c>
    </row>
    <row r="1723">
      <c r="A1723" t="inlineStr">
        <is>
          <t>Bank 银行</t>
        </is>
      </c>
      <c r="B1723" s="5">
        <f>IF(AND('Daily Sale entry '!Z223="Online collection 网上收款",'Daily Sale entry '!AA223&lt;&gt;""),'Daily Sale entry '!X223,"")</f>
        <v/>
      </c>
      <c r="C1723">
        <f>IF(B1723="","",'Daily Sale entry '!AA223)</f>
        <v/>
      </c>
      <c r="D1723">
        <f>IF(C1723="","",0)</f>
        <v/>
      </c>
      <c r="E1723">
        <f>IF(C1723="","",'Daily Sale entry '!AC223)</f>
        <v/>
      </c>
      <c r="F1723" s="37">
        <f>IF(C1723="","",B1723+IF(E1723&gt;0,0,0.5)+ROW()/10000000)</f>
        <v/>
      </c>
      <c r="G1723">
        <f>IF(C1723="","","Collection 收款 (Online 网上)"&amp;IF('Daily Sale entry '!Y223="",""," - "&amp;'Daily Sale entry '!Y223))</f>
        <v/>
      </c>
      <c r="H1723">
        <f>IF(C1723="","",COUNTIFS($C$2:$C$3001,C1723,$F$2:$F$3001,"&lt;"&amp;F1723)+1)</f>
        <v/>
      </c>
      <c r="I1723">
        <f>IF(C1723="","",C1723&amp;"|"&amp;H1723)</f>
        <v/>
      </c>
      <c r="J1723" s="6">
        <f>IF(C1723="","",IF(H1723=1,SUMIFS('Opening Balance'!$F$4:$F$303,'Opening Balance'!$G$4:$G$303,C1723),INDEX($L$2:$L$3001,MATCH(C1723&amp;"|"&amp;(H1723-1),$I$2:$I$3001,0))))</f>
        <v/>
      </c>
      <c r="K1723" s="6">
        <f>IF(C1723="","",IF(M1723&gt;0,M1723,IF(AND(E1723&gt;0,ROUND(J1723+D1723-E1723,2)&gt;0,ROUND(J1723+D1723-E1723,2)&lt;'Opening Balance'!$B$14),ROUND(J1723+D1723-E1723,2),0)))</f>
        <v/>
      </c>
      <c r="L1723" s="6">
        <f>IF(C1723="","",ROUND(J1723+D1723-E1723-K1723,2))</f>
        <v/>
      </c>
      <c r="M1723" s="6">
        <f>IF(C1723="","",0)</f>
        <v/>
      </c>
    </row>
    <row r="1724">
      <c r="A1724" t="inlineStr">
        <is>
          <t>Bank 银行</t>
        </is>
      </c>
      <c r="B1724" s="5">
        <f>IF(AND('Daily Sale entry '!Z224="Online collection 网上收款",'Daily Sale entry '!AA224&lt;&gt;""),'Daily Sale entry '!X224,"")</f>
        <v/>
      </c>
      <c r="C1724">
        <f>IF(B1724="","",'Daily Sale entry '!AA224)</f>
        <v/>
      </c>
      <c r="D1724">
        <f>IF(C1724="","",0)</f>
        <v/>
      </c>
      <c r="E1724">
        <f>IF(C1724="","",'Daily Sale entry '!AC224)</f>
        <v/>
      </c>
      <c r="F1724" s="37">
        <f>IF(C1724="","",B1724+IF(E1724&gt;0,0,0.5)+ROW()/10000000)</f>
        <v/>
      </c>
      <c r="G1724">
        <f>IF(C1724="","","Collection 收款 (Online 网上)"&amp;IF('Daily Sale entry '!Y224="",""," - "&amp;'Daily Sale entry '!Y224))</f>
        <v/>
      </c>
      <c r="H1724">
        <f>IF(C1724="","",COUNTIFS($C$2:$C$3001,C1724,$F$2:$F$3001,"&lt;"&amp;F1724)+1)</f>
        <v/>
      </c>
      <c r="I1724">
        <f>IF(C1724="","",C1724&amp;"|"&amp;H1724)</f>
        <v/>
      </c>
      <c r="J1724" s="6">
        <f>IF(C1724="","",IF(H1724=1,SUMIFS('Opening Balance'!$F$4:$F$303,'Opening Balance'!$G$4:$G$303,C1724),INDEX($L$2:$L$3001,MATCH(C1724&amp;"|"&amp;(H1724-1),$I$2:$I$3001,0))))</f>
        <v/>
      </c>
      <c r="K1724" s="6">
        <f>IF(C1724="","",IF(M1724&gt;0,M1724,IF(AND(E1724&gt;0,ROUND(J1724+D1724-E1724,2)&gt;0,ROUND(J1724+D1724-E1724,2)&lt;'Opening Balance'!$B$14),ROUND(J1724+D1724-E1724,2),0)))</f>
        <v/>
      </c>
      <c r="L1724" s="6">
        <f>IF(C1724="","",ROUND(J1724+D1724-E1724-K1724,2))</f>
        <v/>
      </c>
      <c r="M1724" s="6">
        <f>IF(C1724="","",0)</f>
        <v/>
      </c>
    </row>
    <row r="1725">
      <c r="A1725" t="inlineStr">
        <is>
          <t>Bank 银行</t>
        </is>
      </c>
      <c r="B1725" s="5">
        <f>IF(AND('Daily Sale entry '!Z225="Online collection 网上收款",'Daily Sale entry '!AA225&lt;&gt;""),'Daily Sale entry '!X225,"")</f>
        <v/>
      </c>
      <c r="C1725">
        <f>IF(B1725="","",'Daily Sale entry '!AA225)</f>
        <v/>
      </c>
      <c r="D1725">
        <f>IF(C1725="","",0)</f>
        <v/>
      </c>
      <c r="E1725">
        <f>IF(C1725="","",'Daily Sale entry '!AC225)</f>
        <v/>
      </c>
      <c r="F1725" s="37">
        <f>IF(C1725="","",B1725+IF(E1725&gt;0,0,0.5)+ROW()/10000000)</f>
        <v/>
      </c>
      <c r="G1725">
        <f>IF(C1725="","","Collection 收款 (Online 网上)"&amp;IF('Daily Sale entry '!Y225="",""," - "&amp;'Daily Sale entry '!Y225))</f>
        <v/>
      </c>
      <c r="H1725">
        <f>IF(C1725="","",COUNTIFS($C$2:$C$3001,C1725,$F$2:$F$3001,"&lt;"&amp;F1725)+1)</f>
        <v/>
      </c>
      <c r="I1725">
        <f>IF(C1725="","",C1725&amp;"|"&amp;H1725)</f>
        <v/>
      </c>
      <c r="J1725" s="6">
        <f>IF(C1725="","",IF(H1725=1,SUMIFS('Opening Balance'!$F$4:$F$303,'Opening Balance'!$G$4:$G$303,C1725),INDEX($L$2:$L$3001,MATCH(C1725&amp;"|"&amp;(H1725-1),$I$2:$I$3001,0))))</f>
        <v/>
      </c>
      <c r="K1725" s="6">
        <f>IF(C1725="","",IF(M1725&gt;0,M1725,IF(AND(E1725&gt;0,ROUND(J1725+D1725-E1725,2)&gt;0,ROUND(J1725+D1725-E1725,2)&lt;'Opening Balance'!$B$14),ROUND(J1725+D1725-E1725,2),0)))</f>
        <v/>
      </c>
      <c r="L1725" s="6">
        <f>IF(C1725="","",ROUND(J1725+D1725-E1725-K1725,2))</f>
        <v/>
      </c>
      <c r="M1725" s="6">
        <f>IF(C1725="","",0)</f>
        <v/>
      </c>
    </row>
    <row r="1726">
      <c r="A1726" t="inlineStr">
        <is>
          <t>Bank 银行</t>
        </is>
      </c>
      <c r="B1726" s="5">
        <f>IF(AND('Daily Sale entry '!Z226="Online collection 网上收款",'Daily Sale entry '!AA226&lt;&gt;""),'Daily Sale entry '!X226,"")</f>
        <v/>
      </c>
      <c r="C1726">
        <f>IF(B1726="","",'Daily Sale entry '!AA226)</f>
        <v/>
      </c>
      <c r="D1726">
        <f>IF(C1726="","",0)</f>
        <v/>
      </c>
      <c r="E1726">
        <f>IF(C1726="","",'Daily Sale entry '!AC226)</f>
        <v/>
      </c>
      <c r="F1726" s="37">
        <f>IF(C1726="","",B1726+IF(E1726&gt;0,0,0.5)+ROW()/10000000)</f>
        <v/>
      </c>
      <c r="G1726">
        <f>IF(C1726="","","Collection 收款 (Online 网上)"&amp;IF('Daily Sale entry '!Y226="",""," - "&amp;'Daily Sale entry '!Y226))</f>
        <v/>
      </c>
      <c r="H1726">
        <f>IF(C1726="","",COUNTIFS($C$2:$C$3001,C1726,$F$2:$F$3001,"&lt;"&amp;F1726)+1)</f>
        <v/>
      </c>
      <c r="I1726">
        <f>IF(C1726="","",C1726&amp;"|"&amp;H1726)</f>
        <v/>
      </c>
      <c r="J1726" s="6">
        <f>IF(C1726="","",IF(H1726=1,SUMIFS('Opening Balance'!$F$4:$F$303,'Opening Balance'!$G$4:$G$303,C1726),INDEX($L$2:$L$3001,MATCH(C1726&amp;"|"&amp;(H1726-1),$I$2:$I$3001,0))))</f>
        <v/>
      </c>
      <c r="K1726" s="6">
        <f>IF(C1726="","",IF(M1726&gt;0,M1726,IF(AND(E1726&gt;0,ROUND(J1726+D1726-E1726,2)&gt;0,ROUND(J1726+D1726-E1726,2)&lt;'Opening Balance'!$B$14),ROUND(J1726+D1726-E1726,2),0)))</f>
        <v/>
      </c>
      <c r="L1726" s="6">
        <f>IF(C1726="","",ROUND(J1726+D1726-E1726-K1726,2))</f>
        <v/>
      </c>
      <c r="M1726" s="6">
        <f>IF(C1726="","",0)</f>
        <v/>
      </c>
    </row>
    <row r="1727">
      <c r="A1727" t="inlineStr">
        <is>
          <t>Bank 银行</t>
        </is>
      </c>
      <c r="B1727" s="5">
        <f>IF(AND('Daily Sale entry '!Z227="Online collection 网上收款",'Daily Sale entry '!AA227&lt;&gt;""),'Daily Sale entry '!X227,"")</f>
        <v/>
      </c>
      <c r="C1727">
        <f>IF(B1727="","",'Daily Sale entry '!AA227)</f>
        <v/>
      </c>
      <c r="D1727">
        <f>IF(C1727="","",0)</f>
        <v/>
      </c>
      <c r="E1727">
        <f>IF(C1727="","",'Daily Sale entry '!AC227)</f>
        <v/>
      </c>
      <c r="F1727" s="37">
        <f>IF(C1727="","",B1727+IF(E1727&gt;0,0,0.5)+ROW()/10000000)</f>
        <v/>
      </c>
      <c r="G1727">
        <f>IF(C1727="","","Collection 收款 (Online 网上)"&amp;IF('Daily Sale entry '!Y227="",""," - "&amp;'Daily Sale entry '!Y227))</f>
        <v/>
      </c>
      <c r="H1727">
        <f>IF(C1727="","",COUNTIFS($C$2:$C$3001,C1727,$F$2:$F$3001,"&lt;"&amp;F1727)+1)</f>
        <v/>
      </c>
      <c r="I1727">
        <f>IF(C1727="","",C1727&amp;"|"&amp;H1727)</f>
        <v/>
      </c>
      <c r="J1727" s="6">
        <f>IF(C1727="","",IF(H1727=1,SUMIFS('Opening Balance'!$F$4:$F$303,'Opening Balance'!$G$4:$G$303,C1727),INDEX($L$2:$L$3001,MATCH(C1727&amp;"|"&amp;(H1727-1),$I$2:$I$3001,0))))</f>
        <v/>
      </c>
      <c r="K1727" s="6">
        <f>IF(C1727="","",IF(M1727&gt;0,M1727,IF(AND(E1727&gt;0,ROUND(J1727+D1727-E1727,2)&gt;0,ROUND(J1727+D1727-E1727,2)&lt;'Opening Balance'!$B$14),ROUND(J1727+D1727-E1727,2),0)))</f>
        <v/>
      </c>
      <c r="L1727" s="6">
        <f>IF(C1727="","",ROUND(J1727+D1727-E1727-K1727,2))</f>
        <v/>
      </c>
      <c r="M1727" s="6">
        <f>IF(C1727="","",0)</f>
        <v/>
      </c>
    </row>
    <row r="1728">
      <c r="A1728" t="inlineStr">
        <is>
          <t>Bank 银行</t>
        </is>
      </c>
      <c r="B1728" s="5">
        <f>IF(AND('Daily Sale entry '!Z228="Online collection 网上收款",'Daily Sale entry '!AA228&lt;&gt;""),'Daily Sale entry '!X228,"")</f>
        <v/>
      </c>
      <c r="C1728">
        <f>IF(B1728="","",'Daily Sale entry '!AA228)</f>
        <v/>
      </c>
      <c r="D1728">
        <f>IF(C1728="","",0)</f>
        <v/>
      </c>
      <c r="E1728">
        <f>IF(C1728="","",'Daily Sale entry '!AC228)</f>
        <v/>
      </c>
      <c r="F1728" s="37">
        <f>IF(C1728="","",B1728+IF(E1728&gt;0,0,0.5)+ROW()/10000000)</f>
        <v/>
      </c>
      <c r="G1728">
        <f>IF(C1728="","","Collection 收款 (Online 网上)"&amp;IF('Daily Sale entry '!Y228="",""," - "&amp;'Daily Sale entry '!Y228))</f>
        <v/>
      </c>
      <c r="H1728">
        <f>IF(C1728="","",COUNTIFS($C$2:$C$3001,C1728,$F$2:$F$3001,"&lt;"&amp;F1728)+1)</f>
        <v/>
      </c>
      <c r="I1728">
        <f>IF(C1728="","",C1728&amp;"|"&amp;H1728)</f>
        <v/>
      </c>
      <c r="J1728" s="6">
        <f>IF(C1728="","",IF(H1728=1,SUMIFS('Opening Balance'!$F$4:$F$303,'Opening Balance'!$G$4:$G$303,C1728),INDEX($L$2:$L$3001,MATCH(C1728&amp;"|"&amp;(H1728-1),$I$2:$I$3001,0))))</f>
        <v/>
      </c>
      <c r="K1728" s="6">
        <f>IF(C1728="","",IF(M1728&gt;0,M1728,IF(AND(E1728&gt;0,ROUND(J1728+D1728-E1728,2)&gt;0,ROUND(J1728+D1728-E1728,2)&lt;'Opening Balance'!$B$14),ROUND(J1728+D1728-E1728,2),0)))</f>
        <v/>
      </c>
      <c r="L1728" s="6">
        <f>IF(C1728="","",ROUND(J1728+D1728-E1728-K1728,2))</f>
        <v/>
      </c>
      <c r="M1728" s="6">
        <f>IF(C1728="","",0)</f>
        <v/>
      </c>
    </row>
    <row r="1729">
      <c r="A1729" t="inlineStr">
        <is>
          <t>Bank 银行</t>
        </is>
      </c>
      <c r="B1729" s="5">
        <f>IF(AND('Daily Sale entry '!Z229="Online collection 网上收款",'Daily Sale entry '!AA229&lt;&gt;""),'Daily Sale entry '!X229,"")</f>
        <v/>
      </c>
      <c r="C1729">
        <f>IF(B1729="","",'Daily Sale entry '!AA229)</f>
        <v/>
      </c>
      <c r="D1729">
        <f>IF(C1729="","",0)</f>
        <v/>
      </c>
      <c r="E1729">
        <f>IF(C1729="","",'Daily Sale entry '!AC229)</f>
        <v/>
      </c>
      <c r="F1729" s="37">
        <f>IF(C1729="","",B1729+IF(E1729&gt;0,0,0.5)+ROW()/10000000)</f>
        <v/>
      </c>
      <c r="G1729">
        <f>IF(C1729="","","Collection 收款 (Online 网上)"&amp;IF('Daily Sale entry '!Y229="",""," - "&amp;'Daily Sale entry '!Y229))</f>
        <v/>
      </c>
      <c r="H1729">
        <f>IF(C1729="","",COUNTIFS($C$2:$C$3001,C1729,$F$2:$F$3001,"&lt;"&amp;F1729)+1)</f>
        <v/>
      </c>
      <c r="I1729">
        <f>IF(C1729="","",C1729&amp;"|"&amp;H1729)</f>
        <v/>
      </c>
      <c r="J1729" s="6">
        <f>IF(C1729="","",IF(H1729=1,SUMIFS('Opening Balance'!$F$4:$F$303,'Opening Balance'!$G$4:$G$303,C1729),INDEX($L$2:$L$3001,MATCH(C1729&amp;"|"&amp;(H1729-1),$I$2:$I$3001,0))))</f>
        <v/>
      </c>
      <c r="K1729" s="6">
        <f>IF(C1729="","",IF(M1729&gt;0,M1729,IF(AND(E1729&gt;0,ROUND(J1729+D1729-E1729,2)&gt;0,ROUND(J1729+D1729-E1729,2)&lt;'Opening Balance'!$B$14),ROUND(J1729+D1729-E1729,2),0)))</f>
        <v/>
      </c>
      <c r="L1729" s="6">
        <f>IF(C1729="","",ROUND(J1729+D1729-E1729-K1729,2))</f>
        <v/>
      </c>
      <c r="M1729" s="6">
        <f>IF(C1729="","",0)</f>
        <v/>
      </c>
    </row>
    <row r="1730">
      <c r="A1730" t="inlineStr">
        <is>
          <t>Bank 银行</t>
        </is>
      </c>
      <c r="B1730" s="5">
        <f>IF(AND('Daily Sale entry '!Z230="Online collection 网上收款",'Daily Sale entry '!AA230&lt;&gt;""),'Daily Sale entry '!X230,"")</f>
        <v/>
      </c>
      <c r="C1730">
        <f>IF(B1730="","",'Daily Sale entry '!AA230)</f>
        <v/>
      </c>
      <c r="D1730">
        <f>IF(C1730="","",0)</f>
        <v/>
      </c>
      <c r="E1730">
        <f>IF(C1730="","",'Daily Sale entry '!AC230)</f>
        <v/>
      </c>
      <c r="F1730" s="37">
        <f>IF(C1730="","",B1730+IF(E1730&gt;0,0,0.5)+ROW()/10000000)</f>
        <v/>
      </c>
      <c r="G1730">
        <f>IF(C1730="","","Collection 收款 (Online 网上)"&amp;IF('Daily Sale entry '!Y230="",""," - "&amp;'Daily Sale entry '!Y230))</f>
        <v/>
      </c>
      <c r="H1730">
        <f>IF(C1730="","",COUNTIFS($C$2:$C$3001,C1730,$F$2:$F$3001,"&lt;"&amp;F1730)+1)</f>
        <v/>
      </c>
      <c r="I1730">
        <f>IF(C1730="","",C1730&amp;"|"&amp;H1730)</f>
        <v/>
      </c>
      <c r="J1730" s="6">
        <f>IF(C1730="","",IF(H1730=1,SUMIFS('Opening Balance'!$F$4:$F$303,'Opening Balance'!$G$4:$G$303,C1730),INDEX($L$2:$L$3001,MATCH(C1730&amp;"|"&amp;(H1730-1),$I$2:$I$3001,0))))</f>
        <v/>
      </c>
      <c r="K1730" s="6">
        <f>IF(C1730="","",IF(M1730&gt;0,M1730,IF(AND(E1730&gt;0,ROUND(J1730+D1730-E1730,2)&gt;0,ROUND(J1730+D1730-E1730,2)&lt;'Opening Balance'!$B$14),ROUND(J1730+D1730-E1730,2),0)))</f>
        <v/>
      </c>
      <c r="L1730" s="6">
        <f>IF(C1730="","",ROUND(J1730+D1730-E1730-K1730,2))</f>
        <v/>
      </c>
      <c r="M1730" s="6">
        <f>IF(C1730="","",0)</f>
        <v/>
      </c>
    </row>
    <row r="1731">
      <c r="A1731" t="inlineStr">
        <is>
          <t>Bank 银行</t>
        </is>
      </c>
      <c r="B1731" s="5">
        <f>IF(AND('Daily Sale entry '!Z231="Online collection 网上收款",'Daily Sale entry '!AA231&lt;&gt;""),'Daily Sale entry '!X231,"")</f>
        <v/>
      </c>
      <c r="C1731">
        <f>IF(B1731="","",'Daily Sale entry '!AA231)</f>
        <v/>
      </c>
      <c r="D1731">
        <f>IF(C1731="","",0)</f>
        <v/>
      </c>
      <c r="E1731">
        <f>IF(C1731="","",'Daily Sale entry '!AC231)</f>
        <v/>
      </c>
      <c r="F1731" s="37">
        <f>IF(C1731="","",B1731+IF(E1731&gt;0,0,0.5)+ROW()/10000000)</f>
        <v/>
      </c>
      <c r="G1731">
        <f>IF(C1731="","","Collection 收款 (Online 网上)"&amp;IF('Daily Sale entry '!Y231="",""," - "&amp;'Daily Sale entry '!Y231))</f>
        <v/>
      </c>
      <c r="H1731">
        <f>IF(C1731="","",COUNTIFS($C$2:$C$3001,C1731,$F$2:$F$3001,"&lt;"&amp;F1731)+1)</f>
        <v/>
      </c>
      <c r="I1731">
        <f>IF(C1731="","",C1731&amp;"|"&amp;H1731)</f>
        <v/>
      </c>
      <c r="J1731" s="6">
        <f>IF(C1731="","",IF(H1731=1,SUMIFS('Opening Balance'!$F$4:$F$303,'Opening Balance'!$G$4:$G$303,C1731),INDEX($L$2:$L$3001,MATCH(C1731&amp;"|"&amp;(H1731-1),$I$2:$I$3001,0))))</f>
        <v/>
      </c>
      <c r="K1731" s="6">
        <f>IF(C1731="","",IF(M1731&gt;0,M1731,IF(AND(E1731&gt;0,ROUND(J1731+D1731-E1731,2)&gt;0,ROUND(J1731+D1731-E1731,2)&lt;'Opening Balance'!$B$14),ROUND(J1731+D1731-E1731,2),0)))</f>
        <v/>
      </c>
      <c r="L1731" s="6">
        <f>IF(C1731="","",ROUND(J1731+D1731-E1731-K1731,2))</f>
        <v/>
      </c>
      <c r="M1731" s="6">
        <f>IF(C1731="","",0)</f>
        <v/>
      </c>
    </row>
    <row r="1732">
      <c r="A1732" t="inlineStr">
        <is>
          <t>Bank 银行</t>
        </is>
      </c>
      <c r="B1732" s="5">
        <f>IF(AND('Daily Sale entry '!Z232="Online collection 网上收款",'Daily Sale entry '!AA232&lt;&gt;""),'Daily Sale entry '!X232,"")</f>
        <v/>
      </c>
      <c r="C1732">
        <f>IF(B1732="","",'Daily Sale entry '!AA232)</f>
        <v/>
      </c>
      <c r="D1732">
        <f>IF(C1732="","",0)</f>
        <v/>
      </c>
      <c r="E1732">
        <f>IF(C1732="","",'Daily Sale entry '!AC232)</f>
        <v/>
      </c>
      <c r="F1732" s="37">
        <f>IF(C1732="","",B1732+IF(E1732&gt;0,0,0.5)+ROW()/10000000)</f>
        <v/>
      </c>
      <c r="G1732">
        <f>IF(C1732="","","Collection 收款 (Online 网上)"&amp;IF('Daily Sale entry '!Y232="",""," - "&amp;'Daily Sale entry '!Y232))</f>
        <v/>
      </c>
      <c r="H1732">
        <f>IF(C1732="","",COUNTIFS($C$2:$C$3001,C1732,$F$2:$F$3001,"&lt;"&amp;F1732)+1)</f>
        <v/>
      </c>
      <c r="I1732">
        <f>IF(C1732="","",C1732&amp;"|"&amp;H1732)</f>
        <v/>
      </c>
      <c r="J1732" s="6">
        <f>IF(C1732="","",IF(H1732=1,SUMIFS('Opening Balance'!$F$4:$F$303,'Opening Balance'!$G$4:$G$303,C1732),INDEX($L$2:$L$3001,MATCH(C1732&amp;"|"&amp;(H1732-1),$I$2:$I$3001,0))))</f>
        <v/>
      </c>
      <c r="K1732" s="6">
        <f>IF(C1732="","",IF(M1732&gt;0,M1732,IF(AND(E1732&gt;0,ROUND(J1732+D1732-E1732,2)&gt;0,ROUND(J1732+D1732-E1732,2)&lt;'Opening Balance'!$B$14),ROUND(J1732+D1732-E1732,2),0)))</f>
        <v/>
      </c>
      <c r="L1732" s="6">
        <f>IF(C1732="","",ROUND(J1732+D1732-E1732-K1732,2))</f>
        <v/>
      </c>
      <c r="M1732" s="6">
        <f>IF(C1732="","",0)</f>
        <v/>
      </c>
    </row>
    <row r="1733">
      <c r="A1733" t="inlineStr">
        <is>
          <t>Bank 银行</t>
        </is>
      </c>
      <c r="B1733" s="5">
        <f>IF(AND('Daily Sale entry '!Z233="Online collection 网上收款",'Daily Sale entry '!AA233&lt;&gt;""),'Daily Sale entry '!X233,"")</f>
        <v/>
      </c>
      <c r="C1733">
        <f>IF(B1733="","",'Daily Sale entry '!AA233)</f>
        <v/>
      </c>
      <c r="D1733">
        <f>IF(C1733="","",0)</f>
        <v/>
      </c>
      <c r="E1733">
        <f>IF(C1733="","",'Daily Sale entry '!AC233)</f>
        <v/>
      </c>
      <c r="F1733" s="37">
        <f>IF(C1733="","",B1733+IF(E1733&gt;0,0,0.5)+ROW()/10000000)</f>
        <v/>
      </c>
      <c r="G1733">
        <f>IF(C1733="","","Collection 收款 (Online 网上)"&amp;IF('Daily Sale entry '!Y233="",""," - "&amp;'Daily Sale entry '!Y233))</f>
        <v/>
      </c>
      <c r="H1733">
        <f>IF(C1733="","",COUNTIFS($C$2:$C$3001,C1733,$F$2:$F$3001,"&lt;"&amp;F1733)+1)</f>
        <v/>
      </c>
      <c r="I1733">
        <f>IF(C1733="","",C1733&amp;"|"&amp;H1733)</f>
        <v/>
      </c>
      <c r="J1733" s="6">
        <f>IF(C1733="","",IF(H1733=1,SUMIFS('Opening Balance'!$F$4:$F$303,'Opening Balance'!$G$4:$G$303,C1733),INDEX($L$2:$L$3001,MATCH(C1733&amp;"|"&amp;(H1733-1),$I$2:$I$3001,0))))</f>
        <v/>
      </c>
      <c r="K1733" s="6">
        <f>IF(C1733="","",IF(M1733&gt;0,M1733,IF(AND(E1733&gt;0,ROUND(J1733+D1733-E1733,2)&gt;0,ROUND(J1733+D1733-E1733,2)&lt;'Opening Balance'!$B$14),ROUND(J1733+D1733-E1733,2),0)))</f>
        <v/>
      </c>
      <c r="L1733" s="6">
        <f>IF(C1733="","",ROUND(J1733+D1733-E1733-K1733,2))</f>
        <v/>
      </c>
      <c r="M1733" s="6">
        <f>IF(C1733="","",0)</f>
        <v/>
      </c>
    </row>
    <row r="1734">
      <c r="A1734" t="inlineStr">
        <is>
          <t>Bank 银行</t>
        </is>
      </c>
      <c r="B1734" s="5">
        <f>IF(AND('Daily Sale entry '!Z234="Online collection 网上收款",'Daily Sale entry '!AA234&lt;&gt;""),'Daily Sale entry '!X234,"")</f>
        <v/>
      </c>
      <c r="C1734">
        <f>IF(B1734="","",'Daily Sale entry '!AA234)</f>
        <v/>
      </c>
      <c r="D1734">
        <f>IF(C1734="","",0)</f>
        <v/>
      </c>
      <c r="E1734">
        <f>IF(C1734="","",'Daily Sale entry '!AC234)</f>
        <v/>
      </c>
      <c r="F1734" s="37">
        <f>IF(C1734="","",B1734+IF(E1734&gt;0,0,0.5)+ROW()/10000000)</f>
        <v/>
      </c>
      <c r="G1734">
        <f>IF(C1734="","","Collection 收款 (Online 网上)"&amp;IF('Daily Sale entry '!Y234="",""," - "&amp;'Daily Sale entry '!Y234))</f>
        <v/>
      </c>
      <c r="H1734">
        <f>IF(C1734="","",COUNTIFS($C$2:$C$3001,C1734,$F$2:$F$3001,"&lt;"&amp;F1734)+1)</f>
        <v/>
      </c>
      <c r="I1734">
        <f>IF(C1734="","",C1734&amp;"|"&amp;H1734)</f>
        <v/>
      </c>
      <c r="J1734" s="6">
        <f>IF(C1734="","",IF(H1734=1,SUMIFS('Opening Balance'!$F$4:$F$303,'Opening Balance'!$G$4:$G$303,C1734),INDEX($L$2:$L$3001,MATCH(C1734&amp;"|"&amp;(H1734-1),$I$2:$I$3001,0))))</f>
        <v/>
      </c>
      <c r="K1734" s="6">
        <f>IF(C1734="","",IF(M1734&gt;0,M1734,IF(AND(E1734&gt;0,ROUND(J1734+D1734-E1734,2)&gt;0,ROUND(J1734+D1734-E1734,2)&lt;'Opening Balance'!$B$14),ROUND(J1734+D1734-E1734,2),0)))</f>
        <v/>
      </c>
      <c r="L1734" s="6">
        <f>IF(C1734="","",ROUND(J1734+D1734-E1734-K1734,2))</f>
        <v/>
      </c>
      <c r="M1734" s="6">
        <f>IF(C1734="","",0)</f>
        <v/>
      </c>
    </row>
    <row r="1735">
      <c r="A1735" t="inlineStr">
        <is>
          <t>Bank 银行</t>
        </is>
      </c>
      <c r="B1735" s="5">
        <f>IF(AND('Daily Sale entry '!Z235="Online collection 网上收款",'Daily Sale entry '!AA235&lt;&gt;""),'Daily Sale entry '!X235,"")</f>
        <v/>
      </c>
      <c r="C1735">
        <f>IF(B1735="","",'Daily Sale entry '!AA235)</f>
        <v/>
      </c>
      <c r="D1735">
        <f>IF(C1735="","",0)</f>
        <v/>
      </c>
      <c r="E1735">
        <f>IF(C1735="","",'Daily Sale entry '!AC235)</f>
        <v/>
      </c>
      <c r="F1735" s="37">
        <f>IF(C1735="","",B1735+IF(E1735&gt;0,0,0.5)+ROW()/10000000)</f>
        <v/>
      </c>
      <c r="G1735">
        <f>IF(C1735="","","Collection 收款 (Online 网上)"&amp;IF('Daily Sale entry '!Y235="",""," - "&amp;'Daily Sale entry '!Y235))</f>
        <v/>
      </c>
      <c r="H1735">
        <f>IF(C1735="","",COUNTIFS($C$2:$C$3001,C1735,$F$2:$F$3001,"&lt;"&amp;F1735)+1)</f>
        <v/>
      </c>
      <c r="I1735">
        <f>IF(C1735="","",C1735&amp;"|"&amp;H1735)</f>
        <v/>
      </c>
      <c r="J1735" s="6">
        <f>IF(C1735="","",IF(H1735=1,SUMIFS('Opening Balance'!$F$4:$F$303,'Opening Balance'!$G$4:$G$303,C1735),INDEX($L$2:$L$3001,MATCH(C1735&amp;"|"&amp;(H1735-1),$I$2:$I$3001,0))))</f>
        <v/>
      </c>
      <c r="K1735" s="6">
        <f>IF(C1735="","",IF(M1735&gt;0,M1735,IF(AND(E1735&gt;0,ROUND(J1735+D1735-E1735,2)&gt;0,ROUND(J1735+D1735-E1735,2)&lt;'Opening Balance'!$B$14),ROUND(J1735+D1735-E1735,2),0)))</f>
        <v/>
      </c>
      <c r="L1735" s="6">
        <f>IF(C1735="","",ROUND(J1735+D1735-E1735-K1735,2))</f>
        <v/>
      </c>
      <c r="M1735" s="6">
        <f>IF(C1735="","",0)</f>
        <v/>
      </c>
    </row>
    <row r="1736">
      <c r="A1736" t="inlineStr">
        <is>
          <t>Bank 银行</t>
        </is>
      </c>
      <c r="B1736" s="5">
        <f>IF(AND('Daily Sale entry '!Z236="Online collection 网上收款",'Daily Sale entry '!AA236&lt;&gt;""),'Daily Sale entry '!X236,"")</f>
        <v/>
      </c>
      <c r="C1736">
        <f>IF(B1736="","",'Daily Sale entry '!AA236)</f>
        <v/>
      </c>
      <c r="D1736">
        <f>IF(C1736="","",0)</f>
        <v/>
      </c>
      <c r="E1736">
        <f>IF(C1736="","",'Daily Sale entry '!AC236)</f>
        <v/>
      </c>
      <c r="F1736" s="37">
        <f>IF(C1736="","",B1736+IF(E1736&gt;0,0,0.5)+ROW()/10000000)</f>
        <v/>
      </c>
      <c r="G1736">
        <f>IF(C1736="","","Collection 收款 (Online 网上)"&amp;IF('Daily Sale entry '!Y236="",""," - "&amp;'Daily Sale entry '!Y236))</f>
        <v/>
      </c>
      <c r="H1736">
        <f>IF(C1736="","",COUNTIFS($C$2:$C$3001,C1736,$F$2:$F$3001,"&lt;"&amp;F1736)+1)</f>
        <v/>
      </c>
      <c r="I1736">
        <f>IF(C1736="","",C1736&amp;"|"&amp;H1736)</f>
        <v/>
      </c>
      <c r="J1736" s="6">
        <f>IF(C1736="","",IF(H1736=1,SUMIFS('Opening Balance'!$F$4:$F$303,'Opening Balance'!$G$4:$G$303,C1736),INDEX($L$2:$L$3001,MATCH(C1736&amp;"|"&amp;(H1736-1),$I$2:$I$3001,0))))</f>
        <v/>
      </c>
      <c r="K1736" s="6">
        <f>IF(C1736="","",IF(M1736&gt;0,M1736,IF(AND(E1736&gt;0,ROUND(J1736+D1736-E1736,2)&gt;0,ROUND(J1736+D1736-E1736,2)&lt;'Opening Balance'!$B$14),ROUND(J1736+D1736-E1736,2),0)))</f>
        <v/>
      </c>
      <c r="L1736" s="6">
        <f>IF(C1736="","",ROUND(J1736+D1736-E1736-K1736,2))</f>
        <v/>
      </c>
      <c r="M1736" s="6">
        <f>IF(C1736="","",0)</f>
        <v/>
      </c>
    </row>
    <row r="1737">
      <c r="A1737" t="inlineStr">
        <is>
          <t>Bank 银行</t>
        </is>
      </c>
      <c r="B1737" s="5">
        <f>IF(AND('Daily Sale entry '!Z237="Online collection 网上收款",'Daily Sale entry '!AA237&lt;&gt;""),'Daily Sale entry '!X237,"")</f>
        <v/>
      </c>
      <c r="C1737">
        <f>IF(B1737="","",'Daily Sale entry '!AA237)</f>
        <v/>
      </c>
      <c r="D1737">
        <f>IF(C1737="","",0)</f>
        <v/>
      </c>
      <c r="E1737">
        <f>IF(C1737="","",'Daily Sale entry '!AC237)</f>
        <v/>
      </c>
      <c r="F1737" s="37">
        <f>IF(C1737="","",B1737+IF(E1737&gt;0,0,0.5)+ROW()/10000000)</f>
        <v/>
      </c>
      <c r="G1737">
        <f>IF(C1737="","","Collection 收款 (Online 网上)"&amp;IF('Daily Sale entry '!Y237="",""," - "&amp;'Daily Sale entry '!Y237))</f>
        <v/>
      </c>
      <c r="H1737">
        <f>IF(C1737="","",COUNTIFS($C$2:$C$3001,C1737,$F$2:$F$3001,"&lt;"&amp;F1737)+1)</f>
        <v/>
      </c>
      <c r="I1737">
        <f>IF(C1737="","",C1737&amp;"|"&amp;H1737)</f>
        <v/>
      </c>
      <c r="J1737" s="6">
        <f>IF(C1737="","",IF(H1737=1,SUMIFS('Opening Balance'!$F$4:$F$303,'Opening Balance'!$G$4:$G$303,C1737),INDEX($L$2:$L$3001,MATCH(C1737&amp;"|"&amp;(H1737-1),$I$2:$I$3001,0))))</f>
        <v/>
      </c>
      <c r="K1737" s="6">
        <f>IF(C1737="","",IF(M1737&gt;0,M1737,IF(AND(E1737&gt;0,ROUND(J1737+D1737-E1737,2)&gt;0,ROUND(J1737+D1737-E1737,2)&lt;'Opening Balance'!$B$14),ROUND(J1737+D1737-E1737,2),0)))</f>
        <v/>
      </c>
      <c r="L1737" s="6">
        <f>IF(C1737="","",ROUND(J1737+D1737-E1737-K1737,2))</f>
        <v/>
      </c>
      <c r="M1737" s="6">
        <f>IF(C1737="","",0)</f>
        <v/>
      </c>
    </row>
    <row r="1738">
      <c r="A1738" t="inlineStr">
        <is>
          <t>Bank 银行</t>
        </is>
      </c>
      <c r="B1738" s="5">
        <f>IF(AND('Daily Sale entry '!Z238="Online collection 网上收款",'Daily Sale entry '!AA238&lt;&gt;""),'Daily Sale entry '!X238,"")</f>
        <v/>
      </c>
      <c r="C1738">
        <f>IF(B1738="","",'Daily Sale entry '!AA238)</f>
        <v/>
      </c>
      <c r="D1738">
        <f>IF(C1738="","",0)</f>
        <v/>
      </c>
      <c r="E1738">
        <f>IF(C1738="","",'Daily Sale entry '!AC238)</f>
        <v/>
      </c>
      <c r="F1738" s="37">
        <f>IF(C1738="","",B1738+IF(E1738&gt;0,0,0.5)+ROW()/10000000)</f>
        <v/>
      </c>
      <c r="G1738">
        <f>IF(C1738="","","Collection 收款 (Online 网上)"&amp;IF('Daily Sale entry '!Y238="",""," - "&amp;'Daily Sale entry '!Y238))</f>
        <v/>
      </c>
      <c r="H1738">
        <f>IF(C1738="","",COUNTIFS($C$2:$C$3001,C1738,$F$2:$F$3001,"&lt;"&amp;F1738)+1)</f>
        <v/>
      </c>
      <c r="I1738">
        <f>IF(C1738="","",C1738&amp;"|"&amp;H1738)</f>
        <v/>
      </c>
      <c r="J1738" s="6">
        <f>IF(C1738="","",IF(H1738=1,SUMIFS('Opening Balance'!$F$4:$F$303,'Opening Balance'!$G$4:$G$303,C1738),INDEX($L$2:$L$3001,MATCH(C1738&amp;"|"&amp;(H1738-1),$I$2:$I$3001,0))))</f>
        <v/>
      </c>
      <c r="K1738" s="6">
        <f>IF(C1738="","",IF(M1738&gt;0,M1738,IF(AND(E1738&gt;0,ROUND(J1738+D1738-E1738,2)&gt;0,ROUND(J1738+D1738-E1738,2)&lt;'Opening Balance'!$B$14),ROUND(J1738+D1738-E1738,2),0)))</f>
        <v/>
      </c>
      <c r="L1738" s="6">
        <f>IF(C1738="","",ROUND(J1738+D1738-E1738-K1738,2))</f>
        <v/>
      </c>
      <c r="M1738" s="6">
        <f>IF(C1738="","",0)</f>
        <v/>
      </c>
    </row>
    <row r="1739">
      <c r="A1739" t="inlineStr">
        <is>
          <t>Bank 银行</t>
        </is>
      </c>
      <c r="B1739" s="5">
        <f>IF(AND('Daily Sale entry '!Z239="Online collection 网上收款",'Daily Sale entry '!AA239&lt;&gt;""),'Daily Sale entry '!X239,"")</f>
        <v/>
      </c>
      <c r="C1739">
        <f>IF(B1739="","",'Daily Sale entry '!AA239)</f>
        <v/>
      </c>
      <c r="D1739">
        <f>IF(C1739="","",0)</f>
        <v/>
      </c>
      <c r="E1739">
        <f>IF(C1739="","",'Daily Sale entry '!AC239)</f>
        <v/>
      </c>
      <c r="F1739" s="37">
        <f>IF(C1739="","",B1739+IF(E1739&gt;0,0,0.5)+ROW()/10000000)</f>
        <v/>
      </c>
      <c r="G1739">
        <f>IF(C1739="","","Collection 收款 (Online 网上)"&amp;IF('Daily Sale entry '!Y239="",""," - "&amp;'Daily Sale entry '!Y239))</f>
        <v/>
      </c>
      <c r="H1739">
        <f>IF(C1739="","",COUNTIFS($C$2:$C$3001,C1739,$F$2:$F$3001,"&lt;"&amp;F1739)+1)</f>
        <v/>
      </c>
      <c r="I1739">
        <f>IF(C1739="","",C1739&amp;"|"&amp;H1739)</f>
        <v/>
      </c>
      <c r="J1739" s="6">
        <f>IF(C1739="","",IF(H1739=1,SUMIFS('Opening Balance'!$F$4:$F$303,'Opening Balance'!$G$4:$G$303,C1739),INDEX($L$2:$L$3001,MATCH(C1739&amp;"|"&amp;(H1739-1),$I$2:$I$3001,0))))</f>
        <v/>
      </c>
      <c r="K1739" s="6">
        <f>IF(C1739="","",IF(M1739&gt;0,M1739,IF(AND(E1739&gt;0,ROUND(J1739+D1739-E1739,2)&gt;0,ROUND(J1739+D1739-E1739,2)&lt;'Opening Balance'!$B$14),ROUND(J1739+D1739-E1739,2),0)))</f>
        <v/>
      </c>
      <c r="L1739" s="6">
        <f>IF(C1739="","",ROUND(J1739+D1739-E1739-K1739,2))</f>
        <v/>
      </c>
      <c r="M1739" s="6">
        <f>IF(C1739="","",0)</f>
        <v/>
      </c>
    </row>
    <row r="1740">
      <c r="A1740" t="inlineStr">
        <is>
          <t>Bank 银行</t>
        </is>
      </c>
      <c r="B1740" s="5">
        <f>IF(AND('Daily Sale entry '!Z240="Online collection 网上收款",'Daily Sale entry '!AA240&lt;&gt;""),'Daily Sale entry '!X240,"")</f>
        <v/>
      </c>
      <c r="C1740">
        <f>IF(B1740="","",'Daily Sale entry '!AA240)</f>
        <v/>
      </c>
      <c r="D1740">
        <f>IF(C1740="","",0)</f>
        <v/>
      </c>
      <c r="E1740">
        <f>IF(C1740="","",'Daily Sale entry '!AC240)</f>
        <v/>
      </c>
      <c r="F1740" s="37">
        <f>IF(C1740="","",B1740+IF(E1740&gt;0,0,0.5)+ROW()/10000000)</f>
        <v/>
      </c>
      <c r="G1740">
        <f>IF(C1740="","","Collection 收款 (Online 网上)"&amp;IF('Daily Sale entry '!Y240="",""," - "&amp;'Daily Sale entry '!Y240))</f>
        <v/>
      </c>
      <c r="H1740">
        <f>IF(C1740="","",COUNTIFS($C$2:$C$3001,C1740,$F$2:$F$3001,"&lt;"&amp;F1740)+1)</f>
        <v/>
      </c>
      <c r="I1740">
        <f>IF(C1740="","",C1740&amp;"|"&amp;H1740)</f>
        <v/>
      </c>
      <c r="J1740" s="6">
        <f>IF(C1740="","",IF(H1740=1,SUMIFS('Opening Balance'!$F$4:$F$303,'Opening Balance'!$G$4:$G$303,C1740),INDEX($L$2:$L$3001,MATCH(C1740&amp;"|"&amp;(H1740-1),$I$2:$I$3001,0))))</f>
        <v/>
      </c>
      <c r="K1740" s="6">
        <f>IF(C1740="","",IF(M1740&gt;0,M1740,IF(AND(E1740&gt;0,ROUND(J1740+D1740-E1740,2)&gt;0,ROUND(J1740+D1740-E1740,2)&lt;'Opening Balance'!$B$14),ROUND(J1740+D1740-E1740,2),0)))</f>
        <v/>
      </c>
      <c r="L1740" s="6">
        <f>IF(C1740="","",ROUND(J1740+D1740-E1740-K1740,2))</f>
        <v/>
      </c>
      <c r="M1740" s="6">
        <f>IF(C1740="","",0)</f>
        <v/>
      </c>
    </row>
    <row r="1741">
      <c r="A1741" t="inlineStr">
        <is>
          <t>Bank 银行</t>
        </is>
      </c>
      <c r="B1741" s="5">
        <f>IF(AND('Daily Sale entry '!Z241="Online collection 网上收款",'Daily Sale entry '!AA241&lt;&gt;""),'Daily Sale entry '!X241,"")</f>
        <v/>
      </c>
      <c r="C1741">
        <f>IF(B1741="","",'Daily Sale entry '!AA241)</f>
        <v/>
      </c>
      <c r="D1741">
        <f>IF(C1741="","",0)</f>
        <v/>
      </c>
      <c r="E1741">
        <f>IF(C1741="","",'Daily Sale entry '!AC241)</f>
        <v/>
      </c>
      <c r="F1741" s="37">
        <f>IF(C1741="","",B1741+IF(E1741&gt;0,0,0.5)+ROW()/10000000)</f>
        <v/>
      </c>
      <c r="G1741">
        <f>IF(C1741="","","Collection 收款 (Online 网上)"&amp;IF('Daily Sale entry '!Y241="",""," - "&amp;'Daily Sale entry '!Y241))</f>
        <v/>
      </c>
      <c r="H1741">
        <f>IF(C1741="","",COUNTIFS($C$2:$C$3001,C1741,$F$2:$F$3001,"&lt;"&amp;F1741)+1)</f>
        <v/>
      </c>
      <c r="I1741">
        <f>IF(C1741="","",C1741&amp;"|"&amp;H1741)</f>
        <v/>
      </c>
      <c r="J1741" s="6">
        <f>IF(C1741="","",IF(H1741=1,SUMIFS('Opening Balance'!$F$4:$F$303,'Opening Balance'!$G$4:$G$303,C1741),INDEX($L$2:$L$3001,MATCH(C1741&amp;"|"&amp;(H1741-1),$I$2:$I$3001,0))))</f>
        <v/>
      </c>
      <c r="K1741" s="6">
        <f>IF(C1741="","",IF(M1741&gt;0,M1741,IF(AND(E1741&gt;0,ROUND(J1741+D1741-E1741,2)&gt;0,ROUND(J1741+D1741-E1741,2)&lt;'Opening Balance'!$B$14),ROUND(J1741+D1741-E1741,2),0)))</f>
        <v/>
      </c>
      <c r="L1741" s="6">
        <f>IF(C1741="","",ROUND(J1741+D1741-E1741-K1741,2))</f>
        <v/>
      </c>
      <c r="M1741" s="6">
        <f>IF(C1741="","",0)</f>
        <v/>
      </c>
    </row>
    <row r="1742">
      <c r="A1742" t="inlineStr">
        <is>
          <t>Bank 银行</t>
        </is>
      </c>
      <c r="B1742" s="5">
        <f>IF(AND('Daily Sale entry '!Z242="Online collection 网上收款",'Daily Sale entry '!AA242&lt;&gt;""),'Daily Sale entry '!X242,"")</f>
        <v/>
      </c>
      <c r="C1742">
        <f>IF(B1742="","",'Daily Sale entry '!AA242)</f>
        <v/>
      </c>
      <c r="D1742">
        <f>IF(C1742="","",0)</f>
        <v/>
      </c>
      <c r="E1742">
        <f>IF(C1742="","",'Daily Sale entry '!AC242)</f>
        <v/>
      </c>
      <c r="F1742" s="37">
        <f>IF(C1742="","",B1742+IF(E1742&gt;0,0,0.5)+ROW()/10000000)</f>
        <v/>
      </c>
      <c r="G1742">
        <f>IF(C1742="","","Collection 收款 (Online 网上)"&amp;IF('Daily Sale entry '!Y242="",""," - "&amp;'Daily Sale entry '!Y242))</f>
        <v/>
      </c>
      <c r="H1742">
        <f>IF(C1742="","",COUNTIFS($C$2:$C$3001,C1742,$F$2:$F$3001,"&lt;"&amp;F1742)+1)</f>
        <v/>
      </c>
      <c r="I1742">
        <f>IF(C1742="","",C1742&amp;"|"&amp;H1742)</f>
        <v/>
      </c>
      <c r="J1742" s="6">
        <f>IF(C1742="","",IF(H1742=1,SUMIFS('Opening Balance'!$F$4:$F$303,'Opening Balance'!$G$4:$G$303,C1742),INDEX($L$2:$L$3001,MATCH(C1742&amp;"|"&amp;(H1742-1),$I$2:$I$3001,0))))</f>
        <v/>
      </c>
      <c r="K1742" s="6">
        <f>IF(C1742="","",IF(M1742&gt;0,M1742,IF(AND(E1742&gt;0,ROUND(J1742+D1742-E1742,2)&gt;0,ROUND(J1742+D1742-E1742,2)&lt;'Opening Balance'!$B$14),ROUND(J1742+D1742-E1742,2),0)))</f>
        <v/>
      </c>
      <c r="L1742" s="6">
        <f>IF(C1742="","",ROUND(J1742+D1742-E1742-K1742,2))</f>
        <v/>
      </c>
      <c r="M1742" s="6">
        <f>IF(C1742="","",0)</f>
        <v/>
      </c>
    </row>
    <row r="1743">
      <c r="A1743" t="inlineStr">
        <is>
          <t>Bank 银行</t>
        </is>
      </c>
      <c r="B1743" s="5">
        <f>IF(AND('Daily Sale entry '!Z243="Online collection 网上收款",'Daily Sale entry '!AA243&lt;&gt;""),'Daily Sale entry '!X243,"")</f>
        <v/>
      </c>
      <c r="C1743">
        <f>IF(B1743="","",'Daily Sale entry '!AA243)</f>
        <v/>
      </c>
      <c r="D1743">
        <f>IF(C1743="","",0)</f>
        <v/>
      </c>
      <c r="E1743">
        <f>IF(C1743="","",'Daily Sale entry '!AC243)</f>
        <v/>
      </c>
      <c r="F1743" s="37">
        <f>IF(C1743="","",B1743+IF(E1743&gt;0,0,0.5)+ROW()/10000000)</f>
        <v/>
      </c>
      <c r="G1743">
        <f>IF(C1743="","","Collection 收款 (Online 网上)"&amp;IF('Daily Sale entry '!Y243="",""," - "&amp;'Daily Sale entry '!Y243))</f>
        <v/>
      </c>
      <c r="H1743">
        <f>IF(C1743="","",COUNTIFS($C$2:$C$3001,C1743,$F$2:$F$3001,"&lt;"&amp;F1743)+1)</f>
        <v/>
      </c>
      <c r="I1743">
        <f>IF(C1743="","",C1743&amp;"|"&amp;H1743)</f>
        <v/>
      </c>
      <c r="J1743" s="6">
        <f>IF(C1743="","",IF(H1743=1,SUMIFS('Opening Balance'!$F$4:$F$303,'Opening Balance'!$G$4:$G$303,C1743),INDEX($L$2:$L$3001,MATCH(C1743&amp;"|"&amp;(H1743-1),$I$2:$I$3001,0))))</f>
        <v/>
      </c>
      <c r="K1743" s="6">
        <f>IF(C1743="","",IF(M1743&gt;0,M1743,IF(AND(E1743&gt;0,ROUND(J1743+D1743-E1743,2)&gt;0,ROUND(J1743+D1743-E1743,2)&lt;'Opening Balance'!$B$14),ROUND(J1743+D1743-E1743,2),0)))</f>
        <v/>
      </c>
      <c r="L1743" s="6">
        <f>IF(C1743="","",ROUND(J1743+D1743-E1743-K1743,2))</f>
        <v/>
      </c>
      <c r="M1743" s="6">
        <f>IF(C1743="","",0)</f>
        <v/>
      </c>
    </row>
    <row r="1744">
      <c r="A1744" t="inlineStr">
        <is>
          <t>Bank 银行</t>
        </is>
      </c>
      <c r="B1744" s="5">
        <f>IF(AND('Daily Sale entry '!Z244="Online collection 网上收款",'Daily Sale entry '!AA244&lt;&gt;""),'Daily Sale entry '!X244,"")</f>
        <v/>
      </c>
      <c r="C1744">
        <f>IF(B1744="","",'Daily Sale entry '!AA244)</f>
        <v/>
      </c>
      <c r="D1744">
        <f>IF(C1744="","",0)</f>
        <v/>
      </c>
      <c r="E1744">
        <f>IF(C1744="","",'Daily Sale entry '!AC244)</f>
        <v/>
      </c>
      <c r="F1744" s="37">
        <f>IF(C1744="","",B1744+IF(E1744&gt;0,0,0.5)+ROW()/10000000)</f>
        <v/>
      </c>
      <c r="G1744">
        <f>IF(C1744="","","Collection 收款 (Online 网上)"&amp;IF('Daily Sale entry '!Y244="",""," - "&amp;'Daily Sale entry '!Y244))</f>
        <v/>
      </c>
      <c r="H1744">
        <f>IF(C1744="","",COUNTIFS($C$2:$C$3001,C1744,$F$2:$F$3001,"&lt;"&amp;F1744)+1)</f>
        <v/>
      </c>
      <c r="I1744">
        <f>IF(C1744="","",C1744&amp;"|"&amp;H1744)</f>
        <v/>
      </c>
      <c r="J1744" s="6">
        <f>IF(C1744="","",IF(H1744=1,SUMIFS('Opening Balance'!$F$4:$F$303,'Opening Balance'!$G$4:$G$303,C1744),INDEX($L$2:$L$3001,MATCH(C1744&amp;"|"&amp;(H1744-1),$I$2:$I$3001,0))))</f>
        <v/>
      </c>
      <c r="K1744" s="6">
        <f>IF(C1744="","",IF(M1744&gt;0,M1744,IF(AND(E1744&gt;0,ROUND(J1744+D1744-E1744,2)&gt;0,ROUND(J1744+D1744-E1744,2)&lt;'Opening Balance'!$B$14),ROUND(J1744+D1744-E1744,2),0)))</f>
        <v/>
      </c>
      <c r="L1744" s="6">
        <f>IF(C1744="","",ROUND(J1744+D1744-E1744-K1744,2))</f>
        <v/>
      </c>
      <c r="M1744" s="6">
        <f>IF(C1744="","",0)</f>
        <v/>
      </c>
    </row>
    <row r="1745">
      <c r="A1745" t="inlineStr">
        <is>
          <t>Bank 银行</t>
        </is>
      </c>
      <c r="B1745" s="5">
        <f>IF(AND('Daily Sale entry '!Z245="Online collection 网上收款",'Daily Sale entry '!AA245&lt;&gt;""),'Daily Sale entry '!X245,"")</f>
        <v/>
      </c>
      <c r="C1745">
        <f>IF(B1745="","",'Daily Sale entry '!AA245)</f>
        <v/>
      </c>
      <c r="D1745">
        <f>IF(C1745="","",0)</f>
        <v/>
      </c>
      <c r="E1745">
        <f>IF(C1745="","",'Daily Sale entry '!AC245)</f>
        <v/>
      </c>
      <c r="F1745" s="37">
        <f>IF(C1745="","",B1745+IF(E1745&gt;0,0,0.5)+ROW()/10000000)</f>
        <v/>
      </c>
      <c r="G1745">
        <f>IF(C1745="","","Collection 收款 (Online 网上)"&amp;IF('Daily Sale entry '!Y245="",""," - "&amp;'Daily Sale entry '!Y245))</f>
        <v/>
      </c>
      <c r="H1745">
        <f>IF(C1745="","",COUNTIFS($C$2:$C$3001,C1745,$F$2:$F$3001,"&lt;"&amp;F1745)+1)</f>
        <v/>
      </c>
      <c r="I1745">
        <f>IF(C1745="","",C1745&amp;"|"&amp;H1745)</f>
        <v/>
      </c>
      <c r="J1745" s="6">
        <f>IF(C1745="","",IF(H1745=1,SUMIFS('Opening Balance'!$F$4:$F$303,'Opening Balance'!$G$4:$G$303,C1745),INDEX($L$2:$L$3001,MATCH(C1745&amp;"|"&amp;(H1745-1),$I$2:$I$3001,0))))</f>
        <v/>
      </c>
      <c r="K1745" s="6">
        <f>IF(C1745="","",IF(M1745&gt;0,M1745,IF(AND(E1745&gt;0,ROUND(J1745+D1745-E1745,2)&gt;0,ROUND(J1745+D1745-E1745,2)&lt;'Opening Balance'!$B$14),ROUND(J1745+D1745-E1745,2),0)))</f>
        <v/>
      </c>
      <c r="L1745" s="6">
        <f>IF(C1745="","",ROUND(J1745+D1745-E1745-K1745,2))</f>
        <v/>
      </c>
      <c r="M1745" s="6">
        <f>IF(C1745="","",0)</f>
        <v/>
      </c>
    </row>
    <row r="1746">
      <c r="A1746" t="inlineStr">
        <is>
          <t>Bank 银行</t>
        </is>
      </c>
      <c r="B1746" s="5">
        <f>IF(AND('Daily Sale entry '!Z246="Online collection 网上收款",'Daily Sale entry '!AA246&lt;&gt;""),'Daily Sale entry '!X246,"")</f>
        <v/>
      </c>
      <c r="C1746">
        <f>IF(B1746="","",'Daily Sale entry '!AA246)</f>
        <v/>
      </c>
      <c r="D1746">
        <f>IF(C1746="","",0)</f>
        <v/>
      </c>
      <c r="E1746">
        <f>IF(C1746="","",'Daily Sale entry '!AC246)</f>
        <v/>
      </c>
      <c r="F1746" s="37">
        <f>IF(C1746="","",B1746+IF(E1746&gt;0,0,0.5)+ROW()/10000000)</f>
        <v/>
      </c>
      <c r="G1746">
        <f>IF(C1746="","","Collection 收款 (Online 网上)"&amp;IF('Daily Sale entry '!Y246="",""," - "&amp;'Daily Sale entry '!Y246))</f>
        <v/>
      </c>
      <c r="H1746">
        <f>IF(C1746="","",COUNTIFS($C$2:$C$3001,C1746,$F$2:$F$3001,"&lt;"&amp;F1746)+1)</f>
        <v/>
      </c>
      <c r="I1746">
        <f>IF(C1746="","",C1746&amp;"|"&amp;H1746)</f>
        <v/>
      </c>
      <c r="J1746" s="6">
        <f>IF(C1746="","",IF(H1746=1,SUMIFS('Opening Balance'!$F$4:$F$303,'Opening Balance'!$G$4:$G$303,C1746),INDEX($L$2:$L$3001,MATCH(C1746&amp;"|"&amp;(H1746-1),$I$2:$I$3001,0))))</f>
        <v/>
      </c>
      <c r="K1746" s="6">
        <f>IF(C1746="","",IF(M1746&gt;0,M1746,IF(AND(E1746&gt;0,ROUND(J1746+D1746-E1746,2)&gt;0,ROUND(J1746+D1746-E1746,2)&lt;'Opening Balance'!$B$14),ROUND(J1746+D1746-E1746,2),0)))</f>
        <v/>
      </c>
      <c r="L1746" s="6">
        <f>IF(C1746="","",ROUND(J1746+D1746-E1746-K1746,2))</f>
        <v/>
      </c>
      <c r="M1746" s="6">
        <f>IF(C1746="","",0)</f>
        <v/>
      </c>
    </row>
    <row r="1747">
      <c r="A1747" t="inlineStr">
        <is>
          <t>Bank 银行</t>
        </is>
      </c>
      <c r="B1747" s="5">
        <f>IF(AND('Daily Sale entry '!Z247="Online collection 网上收款",'Daily Sale entry '!AA247&lt;&gt;""),'Daily Sale entry '!X247,"")</f>
        <v/>
      </c>
      <c r="C1747">
        <f>IF(B1747="","",'Daily Sale entry '!AA247)</f>
        <v/>
      </c>
      <c r="D1747">
        <f>IF(C1747="","",0)</f>
        <v/>
      </c>
      <c r="E1747">
        <f>IF(C1747="","",'Daily Sale entry '!AC247)</f>
        <v/>
      </c>
      <c r="F1747" s="37">
        <f>IF(C1747="","",B1747+IF(E1747&gt;0,0,0.5)+ROW()/10000000)</f>
        <v/>
      </c>
      <c r="G1747">
        <f>IF(C1747="","","Collection 收款 (Online 网上)"&amp;IF('Daily Sale entry '!Y247="",""," - "&amp;'Daily Sale entry '!Y247))</f>
        <v/>
      </c>
      <c r="H1747">
        <f>IF(C1747="","",COUNTIFS($C$2:$C$3001,C1747,$F$2:$F$3001,"&lt;"&amp;F1747)+1)</f>
        <v/>
      </c>
      <c r="I1747">
        <f>IF(C1747="","",C1747&amp;"|"&amp;H1747)</f>
        <v/>
      </c>
      <c r="J1747" s="6">
        <f>IF(C1747="","",IF(H1747=1,SUMIFS('Opening Balance'!$F$4:$F$303,'Opening Balance'!$G$4:$G$303,C1747),INDEX($L$2:$L$3001,MATCH(C1747&amp;"|"&amp;(H1747-1),$I$2:$I$3001,0))))</f>
        <v/>
      </c>
      <c r="K1747" s="6">
        <f>IF(C1747="","",IF(M1747&gt;0,M1747,IF(AND(E1747&gt;0,ROUND(J1747+D1747-E1747,2)&gt;0,ROUND(J1747+D1747-E1747,2)&lt;'Opening Balance'!$B$14),ROUND(J1747+D1747-E1747,2),0)))</f>
        <v/>
      </c>
      <c r="L1747" s="6">
        <f>IF(C1747="","",ROUND(J1747+D1747-E1747-K1747,2))</f>
        <v/>
      </c>
      <c r="M1747" s="6">
        <f>IF(C1747="","",0)</f>
        <v/>
      </c>
    </row>
    <row r="1748">
      <c r="A1748" t="inlineStr">
        <is>
          <t>Bank 银行</t>
        </is>
      </c>
      <c r="B1748" s="5">
        <f>IF(AND('Daily Sale entry '!Z248="Online collection 网上收款",'Daily Sale entry '!AA248&lt;&gt;""),'Daily Sale entry '!X248,"")</f>
        <v/>
      </c>
      <c r="C1748">
        <f>IF(B1748="","",'Daily Sale entry '!AA248)</f>
        <v/>
      </c>
      <c r="D1748">
        <f>IF(C1748="","",0)</f>
        <v/>
      </c>
      <c r="E1748">
        <f>IF(C1748="","",'Daily Sale entry '!AC248)</f>
        <v/>
      </c>
      <c r="F1748" s="37">
        <f>IF(C1748="","",B1748+IF(E1748&gt;0,0,0.5)+ROW()/10000000)</f>
        <v/>
      </c>
      <c r="G1748">
        <f>IF(C1748="","","Collection 收款 (Online 网上)"&amp;IF('Daily Sale entry '!Y248="",""," - "&amp;'Daily Sale entry '!Y248))</f>
        <v/>
      </c>
      <c r="H1748">
        <f>IF(C1748="","",COUNTIFS($C$2:$C$3001,C1748,$F$2:$F$3001,"&lt;"&amp;F1748)+1)</f>
        <v/>
      </c>
      <c r="I1748">
        <f>IF(C1748="","",C1748&amp;"|"&amp;H1748)</f>
        <v/>
      </c>
      <c r="J1748" s="6">
        <f>IF(C1748="","",IF(H1748=1,SUMIFS('Opening Balance'!$F$4:$F$303,'Opening Balance'!$G$4:$G$303,C1748),INDEX($L$2:$L$3001,MATCH(C1748&amp;"|"&amp;(H1748-1),$I$2:$I$3001,0))))</f>
        <v/>
      </c>
      <c r="K1748" s="6">
        <f>IF(C1748="","",IF(M1748&gt;0,M1748,IF(AND(E1748&gt;0,ROUND(J1748+D1748-E1748,2)&gt;0,ROUND(J1748+D1748-E1748,2)&lt;'Opening Balance'!$B$14),ROUND(J1748+D1748-E1748,2),0)))</f>
        <v/>
      </c>
      <c r="L1748" s="6">
        <f>IF(C1748="","",ROUND(J1748+D1748-E1748-K1748,2))</f>
        <v/>
      </c>
      <c r="M1748" s="6">
        <f>IF(C1748="","",0)</f>
        <v/>
      </c>
    </row>
    <row r="1749">
      <c r="A1749" t="inlineStr">
        <is>
          <t>Bank 银行</t>
        </is>
      </c>
      <c r="B1749" s="5">
        <f>IF(AND('Daily Sale entry '!Z249="Online collection 网上收款",'Daily Sale entry '!AA249&lt;&gt;""),'Daily Sale entry '!X249,"")</f>
        <v/>
      </c>
      <c r="C1749">
        <f>IF(B1749="","",'Daily Sale entry '!AA249)</f>
        <v/>
      </c>
      <c r="D1749">
        <f>IF(C1749="","",0)</f>
        <v/>
      </c>
      <c r="E1749">
        <f>IF(C1749="","",'Daily Sale entry '!AC249)</f>
        <v/>
      </c>
      <c r="F1749" s="37">
        <f>IF(C1749="","",B1749+IF(E1749&gt;0,0,0.5)+ROW()/10000000)</f>
        <v/>
      </c>
      <c r="G1749">
        <f>IF(C1749="","","Collection 收款 (Online 网上)"&amp;IF('Daily Sale entry '!Y249="",""," - "&amp;'Daily Sale entry '!Y249))</f>
        <v/>
      </c>
      <c r="H1749">
        <f>IF(C1749="","",COUNTIFS($C$2:$C$3001,C1749,$F$2:$F$3001,"&lt;"&amp;F1749)+1)</f>
        <v/>
      </c>
      <c r="I1749">
        <f>IF(C1749="","",C1749&amp;"|"&amp;H1749)</f>
        <v/>
      </c>
      <c r="J1749" s="6">
        <f>IF(C1749="","",IF(H1749=1,SUMIFS('Opening Balance'!$F$4:$F$303,'Opening Balance'!$G$4:$G$303,C1749),INDEX($L$2:$L$3001,MATCH(C1749&amp;"|"&amp;(H1749-1),$I$2:$I$3001,0))))</f>
        <v/>
      </c>
      <c r="K1749" s="6">
        <f>IF(C1749="","",IF(M1749&gt;0,M1749,IF(AND(E1749&gt;0,ROUND(J1749+D1749-E1749,2)&gt;0,ROUND(J1749+D1749-E1749,2)&lt;'Opening Balance'!$B$14),ROUND(J1749+D1749-E1749,2),0)))</f>
        <v/>
      </c>
      <c r="L1749" s="6">
        <f>IF(C1749="","",ROUND(J1749+D1749-E1749-K1749,2))</f>
        <v/>
      </c>
      <c r="M1749" s="6">
        <f>IF(C1749="","",0)</f>
        <v/>
      </c>
    </row>
    <row r="1750">
      <c r="A1750" t="inlineStr">
        <is>
          <t>Bank 银行</t>
        </is>
      </c>
      <c r="B1750" s="5">
        <f>IF(AND('Daily Sale entry '!Z250="Online collection 网上收款",'Daily Sale entry '!AA250&lt;&gt;""),'Daily Sale entry '!X250,"")</f>
        <v/>
      </c>
      <c r="C1750">
        <f>IF(B1750="","",'Daily Sale entry '!AA250)</f>
        <v/>
      </c>
      <c r="D1750">
        <f>IF(C1750="","",0)</f>
        <v/>
      </c>
      <c r="E1750">
        <f>IF(C1750="","",'Daily Sale entry '!AC250)</f>
        <v/>
      </c>
      <c r="F1750" s="37">
        <f>IF(C1750="","",B1750+IF(E1750&gt;0,0,0.5)+ROW()/10000000)</f>
        <v/>
      </c>
      <c r="G1750">
        <f>IF(C1750="","","Collection 收款 (Online 网上)"&amp;IF('Daily Sale entry '!Y250="",""," - "&amp;'Daily Sale entry '!Y250))</f>
        <v/>
      </c>
      <c r="H1750">
        <f>IF(C1750="","",COUNTIFS($C$2:$C$3001,C1750,$F$2:$F$3001,"&lt;"&amp;F1750)+1)</f>
        <v/>
      </c>
      <c r="I1750">
        <f>IF(C1750="","",C1750&amp;"|"&amp;H1750)</f>
        <v/>
      </c>
      <c r="J1750" s="6">
        <f>IF(C1750="","",IF(H1750=1,SUMIFS('Opening Balance'!$F$4:$F$303,'Opening Balance'!$G$4:$G$303,C1750),INDEX($L$2:$L$3001,MATCH(C1750&amp;"|"&amp;(H1750-1),$I$2:$I$3001,0))))</f>
        <v/>
      </c>
      <c r="K1750" s="6">
        <f>IF(C1750="","",IF(M1750&gt;0,M1750,IF(AND(E1750&gt;0,ROUND(J1750+D1750-E1750,2)&gt;0,ROUND(J1750+D1750-E1750,2)&lt;'Opening Balance'!$B$14),ROUND(J1750+D1750-E1750,2),0)))</f>
        <v/>
      </c>
      <c r="L1750" s="6">
        <f>IF(C1750="","",ROUND(J1750+D1750-E1750-K1750,2))</f>
        <v/>
      </c>
      <c r="M1750" s="6">
        <f>IF(C1750="","",0)</f>
        <v/>
      </c>
    </row>
    <row r="1751">
      <c r="A1751" t="inlineStr">
        <is>
          <t>Bank 银行</t>
        </is>
      </c>
      <c r="B1751" s="5">
        <f>IF(AND('Daily Sale entry '!Z251="Online collection 网上收款",'Daily Sale entry '!AA251&lt;&gt;""),'Daily Sale entry '!X251,"")</f>
        <v/>
      </c>
      <c r="C1751">
        <f>IF(B1751="","",'Daily Sale entry '!AA251)</f>
        <v/>
      </c>
      <c r="D1751">
        <f>IF(C1751="","",0)</f>
        <v/>
      </c>
      <c r="E1751">
        <f>IF(C1751="","",'Daily Sale entry '!AC251)</f>
        <v/>
      </c>
      <c r="F1751" s="37">
        <f>IF(C1751="","",B1751+IF(E1751&gt;0,0,0.5)+ROW()/10000000)</f>
        <v/>
      </c>
      <c r="G1751">
        <f>IF(C1751="","","Collection 收款 (Online 网上)"&amp;IF('Daily Sale entry '!Y251="",""," - "&amp;'Daily Sale entry '!Y251))</f>
        <v/>
      </c>
      <c r="H1751">
        <f>IF(C1751="","",COUNTIFS($C$2:$C$3001,C1751,$F$2:$F$3001,"&lt;"&amp;F1751)+1)</f>
        <v/>
      </c>
      <c r="I1751">
        <f>IF(C1751="","",C1751&amp;"|"&amp;H1751)</f>
        <v/>
      </c>
      <c r="J1751" s="6">
        <f>IF(C1751="","",IF(H1751=1,SUMIFS('Opening Balance'!$F$4:$F$303,'Opening Balance'!$G$4:$G$303,C1751),INDEX($L$2:$L$3001,MATCH(C1751&amp;"|"&amp;(H1751-1),$I$2:$I$3001,0))))</f>
        <v/>
      </c>
      <c r="K1751" s="6">
        <f>IF(C1751="","",IF(M1751&gt;0,M1751,IF(AND(E1751&gt;0,ROUND(J1751+D1751-E1751,2)&gt;0,ROUND(J1751+D1751-E1751,2)&lt;'Opening Balance'!$B$14),ROUND(J1751+D1751-E1751,2),0)))</f>
        <v/>
      </c>
      <c r="L1751" s="6">
        <f>IF(C1751="","",ROUND(J1751+D1751-E1751-K1751,2))</f>
        <v/>
      </c>
      <c r="M1751" s="6">
        <f>IF(C1751="","",0)</f>
        <v/>
      </c>
    </row>
    <row r="1752">
      <c r="A1752" t="inlineStr">
        <is>
          <t>Bank 银行</t>
        </is>
      </c>
      <c r="B1752" s="5">
        <f>IF(AND('Daily Sale entry '!Z252="Online collection 网上收款",'Daily Sale entry '!AA252&lt;&gt;""),'Daily Sale entry '!X252,"")</f>
        <v/>
      </c>
      <c r="C1752">
        <f>IF(B1752="","",'Daily Sale entry '!AA252)</f>
        <v/>
      </c>
      <c r="D1752">
        <f>IF(C1752="","",0)</f>
        <v/>
      </c>
      <c r="E1752">
        <f>IF(C1752="","",'Daily Sale entry '!AC252)</f>
        <v/>
      </c>
      <c r="F1752" s="37">
        <f>IF(C1752="","",B1752+IF(E1752&gt;0,0,0.5)+ROW()/10000000)</f>
        <v/>
      </c>
      <c r="G1752">
        <f>IF(C1752="","","Collection 收款 (Online 网上)"&amp;IF('Daily Sale entry '!Y252="",""," - "&amp;'Daily Sale entry '!Y252))</f>
        <v/>
      </c>
      <c r="H1752">
        <f>IF(C1752="","",COUNTIFS($C$2:$C$3001,C1752,$F$2:$F$3001,"&lt;"&amp;F1752)+1)</f>
        <v/>
      </c>
      <c r="I1752">
        <f>IF(C1752="","",C1752&amp;"|"&amp;H1752)</f>
        <v/>
      </c>
      <c r="J1752" s="6">
        <f>IF(C1752="","",IF(H1752=1,SUMIFS('Opening Balance'!$F$4:$F$303,'Opening Balance'!$G$4:$G$303,C1752),INDEX($L$2:$L$3001,MATCH(C1752&amp;"|"&amp;(H1752-1),$I$2:$I$3001,0))))</f>
        <v/>
      </c>
      <c r="K1752" s="6">
        <f>IF(C1752="","",IF(M1752&gt;0,M1752,IF(AND(E1752&gt;0,ROUND(J1752+D1752-E1752,2)&gt;0,ROUND(J1752+D1752-E1752,2)&lt;'Opening Balance'!$B$14),ROUND(J1752+D1752-E1752,2),0)))</f>
        <v/>
      </c>
      <c r="L1752" s="6">
        <f>IF(C1752="","",ROUND(J1752+D1752-E1752-K1752,2))</f>
        <v/>
      </c>
      <c r="M1752" s="6">
        <f>IF(C1752="","",0)</f>
        <v/>
      </c>
    </row>
    <row r="1753">
      <c r="A1753" t="inlineStr">
        <is>
          <t>Bank 银行</t>
        </is>
      </c>
      <c r="B1753" s="5">
        <f>IF(AND('Daily Sale entry '!Z253="Online collection 网上收款",'Daily Sale entry '!AA253&lt;&gt;""),'Daily Sale entry '!X253,"")</f>
        <v/>
      </c>
      <c r="C1753">
        <f>IF(B1753="","",'Daily Sale entry '!AA253)</f>
        <v/>
      </c>
      <c r="D1753">
        <f>IF(C1753="","",0)</f>
        <v/>
      </c>
      <c r="E1753">
        <f>IF(C1753="","",'Daily Sale entry '!AC253)</f>
        <v/>
      </c>
      <c r="F1753" s="37">
        <f>IF(C1753="","",B1753+IF(E1753&gt;0,0,0.5)+ROW()/10000000)</f>
        <v/>
      </c>
      <c r="G1753">
        <f>IF(C1753="","","Collection 收款 (Online 网上)"&amp;IF('Daily Sale entry '!Y253="",""," - "&amp;'Daily Sale entry '!Y253))</f>
        <v/>
      </c>
      <c r="H1753">
        <f>IF(C1753="","",COUNTIFS($C$2:$C$3001,C1753,$F$2:$F$3001,"&lt;"&amp;F1753)+1)</f>
        <v/>
      </c>
      <c r="I1753">
        <f>IF(C1753="","",C1753&amp;"|"&amp;H1753)</f>
        <v/>
      </c>
      <c r="J1753" s="6">
        <f>IF(C1753="","",IF(H1753=1,SUMIFS('Opening Balance'!$F$4:$F$303,'Opening Balance'!$G$4:$G$303,C1753),INDEX($L$2:$L$3001,MATCH(C1753&amp;"|"&amp;(H1753-1),$I$2:$I$3001,0))))</f>
        <v/>
      </c>
      <c r="K1753" s="6">
        <f>IF(C1753="","",IF(M1753&gt;0,M1753,IF(AND(E1753&gt;0,ROUND(J1753+D1753-E1753,2)&gt;0,ROUND(J1753+D1753-E1753,2)&lt;'Opening Balance'!$B$14),ROUND(J1753+D1753-E1753,2),0)))</f>
        <v/>
      </c>
      <c r="L1753" s="6">
        <f>IF(C1753="","",ROUND(J1753+D1753-E1753-K1753,2))</f>
        <v/>
      </c>
      <c r="M1753" s="6">
        <f>IF(C1753="","",0)</f>
        <v/>
      </c>
    </row>
    <row r="1754">
      <c r="A1754" t="inlineStr">
        <is>
          <t>Bank 银行</t>
        </is>
      </c>
      <c r="B1754" s="5">
        <f>IF(AND('Daily Sale entry '!Z254="Online collection 网上收款",'Daily Sale entry '!AA254&lt;&gt;""),'Daily Sale entry '!X254,"")</f>
        <v/>
      </c>
      <c r="C1754">
        <f>IF(B1754="","",'Daily Sale entry '!AA254)</f>
        <v/>
      </c>
      <c r="D1754">
        <f>IF(C1754="","",0)</f>
        <v/>
      </c>
      <c r="E1754">
        <f>IF(C1754="","",'Daily Sale entry '!AC254)</f>
        <v/>
      </c>
      <c r="F1754" s="37">
        <f>IF(C1754="","",B1754+IF(E1754&gt;0,0,0.5)+ROW()/10000000)</f>
        <v/>
      </c>
      <c r="G1754">
        <f>IF(C1754="","","Collection 收款 (Online 网上)"&amp;IF('Daily Sale entry '!Y254="",""," - "&amp;'Daily Sale entry '!Y254))</f>
        <v/>
      </c>
      <c r="H1754">
        <f>IF(C1754="","",COUNTIFS($C$2:$C$3001,C1754,$F$2:$F$3001,"&lt;"&amp;F1754)+1)</f>
        <v/>
      </c>
      <c r="I1754">
        <f>IF(C1754="","",C1754&amp;"|"&amp;H1754)</f>
        <v/>
      </c>
      <c r="J1754" s="6">
        <f>IF(C1754="","",IF(H1754=1,SUMIFS('Opening Balance'!$F$4:$F$303,'Opening Balance'!$G$4:$G$303,C1754),INDEX($L$2:$L$3001,MATCH(C1754&amp;"|"&amp;(H1754-1),$I$2:$I$3001,0))))</f>
        <v/>
      </c>
      <c r="K1754" s="6">
        <f>IF(C1754="","",IF(M1754&gt;0,M1754,IF(AND(E1754&gt;0,ROUND(J1754+D1754-E1754,2)&gt;0,ROUND(J1754+D1754-E1754,2)&lt;'Opening Balance'!$B$14),ROUND(J1754+D1754-E1754,2),0)))</f>
        <v/>
      </c>
      <c r="L1754" s="6">
        <f>IF(C1754="","",ROUND(J1754+D1754-E1754-K1754,2))</f>
        <v/>
      </c>
      <c r="M1754" s="6">
        <f>IF(C1754="","",0)</f>
        <v/>
      </c>
    </row>
    <row r="1755">
      <c r="A1755" t="inlineStr">
        <is>
          <t>Bank 银行</t>
        </is>
      </c>
      <c r="B1755" s="5">
        <f>IF(AND('Daily Sale entry '!Z255="Online collection 网上收款",'Daily Sale entry '!AA255&lt;&gt;""),'Daily Sale entry '!X255,"")</f>
        <v/>
      </c>
      <c r="C1755">
        <f>IF(B1755="","",'Daily Sale entry '!AA255)</f>
        <v/>
      </c>
      <c r="D1755">
        <f>IF(C1755="","",0)</f>
        <v/>
      </c>
      <c r="E1755">
        <f>IF(C1755="","",'Daily Sale entry '!AC255)</f>
        <v/>
      </c>
      <c r="F1755" s="37">
        <f>IF(C1755="","",B1755+IF(E1755&gt;0,0,0.5)+ROW()/10000000)</f>
        <v/>
      </c>
      <c r="G1755">
        <f>IF(C1755="","","Collection 收款 (Online 网上)"&amp;IF('Daily Sale entry '!Y255="",""," - "&amp;'Daily Sale entry '!Y255))</f>
        <v/>
      </c>
      <c r="H1755">
        <f>IF(C1755="","",COUNTIFS($C$2:$C$3001,C1755,$F$2:$F$3001,"&lt;"&amp;F1755)+1)</f>
        <v/>
      </c>
      <c r="I1755">
        <f>IF(C1755="","",C1755&amp;"|"&amp;H1755)</f>
        <v/>
      </c>
      <c r="J1755" s="6">
        <f>IF(C1755="","",IF(H1755=1,SUMIFS('Opening Balance'!$F$4:$F$303,'Opening Balance'!$G$4:$G$303,C1755),INDEX($L$2:$L$3001,MATCH(C1755&amp;"|"&amp;(H1755-1),$I$2:$I$3001,0))))</f>
        <v/>
      </c>
      <c r="K1755" s="6">
        <f>IF(C1755="","",IF(M1755&gt;0,M1755,IF(AND(E1755&gt;0,ROUND(J1755+D1755-E1755,2)&gt;0,ROUND(J1755+D1755-E1755,2)&lt;'Opening Balance'!$B$14),ROUND(J1755+D1755-E1755,2),0)))</f>
        <v/>
      </c>
      <c r="L1755" s="6">
        <f>IF(C1755="","",ROUND(J1755+D1755-E1755-K1755,2))</f>
        <v/>
      </c>
      <c r="M1755" s="6">
        <f>IF(C1755="","",0)</f>
        <v/>
      </c>
    </row>
    <row r="1756">
      <c r="A1756" t="inlineStr">
        <is>
          <t>Bank 银行</t>
        </is>
      </c>
      <c r="B1756" s="5">
        <f>IF(AND('Daily Sale entry '!Z256="Online collection 网上收款",'Daily Sale entry '!AA256&lt;&gt;""),'Daily Sale entry '!X256,"")</f>
        <v/>
      </c>
      <c r="C1756">
        <f>IF(B1756="","",'Daily Sale entry '!AA256)</f>
        <v/>
      </c>
      <c r="D1756">
        <f>IF(C1756="","",0)</f>
        <v/>
      </c>
      <c r="E1756">
        <f>IF(C1756="","",'Daily Sale entry '!AC256)</f>
        <v/>
      </c>
      <c r="F1756" s="37">
        <f>IF(C1756="","",B1756+IF(E1756&gt;0,0,0.5)+ROW()/10000000)</f>
        <v/>
      </c>
      <c r="G1756">
        <f>IF(C1756="","","Collection 收款 (Online 网上)"&amp;IF('Daily Sale entry '!Y256="",""," - "&amp;'Daily Sale entry '!Y256))</f>
        <v/>
      </c>
      <c r="H1756">
        <f>IF(C1756="","",COUNTIFS($C$2:$C$3001,C1756,$F$2:$F$3001,"&lt;"&amp;F1756)+1)</f>
        <v/>
      </c>
      <c r="I1756">
        <f>IF(C1756="","",C1756&amp;"|"&amp;H1756)</f>
        <v/>
      </c>
      <c r="J1756" s="6">
        <f>IF(C1756="","",IF(H1756=1,SUMIFS('Opening Balance'!$F$4:$F$303,'Opening Balance'!$G$4:$G$303,C1756),INDEX($L$2:$L$3001,MATCH(C1756&amp;"|"&amp;(H1756-1),$I$2:$I$3001,0))))</f>
        <v/>
      </c>
      <c r="K1756" s="6">
        <f>IF(C1756="","",IF(M1756&gt;0,M1756,IF(AND(E1756&gt;0,ROUND(J1756+D1756-E1756,2)&gt;0,ROUND(J1756+D1756-E1756,2)&lt;'Opening Balance'!$B$14),ROUND(J1756+D1756-E1756,2),0)))</f>
        <v/>
      </c>
      <c r="L1756" s="6">
        <f>IF(C1756="","",ROUND(J1756+D1756-E1756-K1756,2))</f>
        <v/>
      </c>
      <c r="M1756" s="6">
        <f>IF(C1756="","",0)</f>
        <v/>
      </c>
    </row>
    <row r="1757">
      <c r="A1757" t="inlineStr">
        <is>
          <t>Bank 银行</t>
        </is>
      </c>
      <c r="B1757" s="5">
        <f>IF(AND('Daily Sale entry '!Z257="Online collection 网上收款",'Daily Sale entry '!AA257&lt;&gt;""),'Daily Sale entry '!X257,"")</f>
        <v/>
      </c>
      <c r="C1757">
        <f>IF(B1757="","",'Daily Sale entry '!AA257)</f>
        <v/>
      </c>
      <c r="D1757">
        <f>IF(C1757="","",0)</f>
        <v/>
      </c>
      <c r="E1757">
        <f>IF(C1757="","",'Daily Sale entry '!AC257)</f>
        <v/>
      </c>
      <c r="F1757" s="37">
        <f>IF(C1757="","",B1757+IF(E1757&gt;0,0,0.5)+ROW()/10000000)</f>
        <v/>
      </c>
      <c r="G1757">
        <f>IF(C1757="","","Collection 收款 (Online 网上)"&amp;IF('Daily Sale entry '!Y257="",""," - "&amp;'Daily Sale entry '!Y257))</f>
        <v/>
      </c>
      <c r="H1757">
        <f>IF(C1757="","",COUNTIFS($C$2:$C$3001,C1757,$F$2:$F$3001,"&lt;"&amp;F1757)+1)</f>
        <v/>
      </c>
      <c r="I1757">
        <f>IF(C1757="","",C1757&amp;"|"&amp;H1757)</f>
        <v/>
      </c>
      <c r="J1757" s="6">
        <f>IF(C1757="","",IF(H1757=1,SUMIFS('Opening Balance'!$F$4:$F$303,'Opening Balance'!$G$4:$G$303,C1757),INDEX($L$2:$L$3001,MATCH(C1757&amp;"|"&amp;(H1757-1),$I$2:$I$3001,0))))</f>
        <v/>
      </c>
      <c r="K1757" s="6">
        <f>IF(C1757="","",IF(M1757&gt;0,M1757,IF(AND(E1757&gt;0,ROUND(J1757+D1757-E1757,2)&gt;0,ROUND(J1757+D1757-E1757,2)&lt;'Opening Balance'!$B$14),ROUND(J1757+D1757-E1757,2),0)))</f>
        <v/>
      </c>
      <c r="L1757" s="6">
        <f>IF(C1757="","",ROUND(J1757+D1757-E1757-K1757,2))</f>
        <v/>
      </c>
      <c r="M1757" s="6">
        <f>IF(C1757="","",0)</f>
        <v/>
      </c>
    </row>
    <row r="1758">
      <c r="A1758" t="inlineStr">
        <is>
          <t>Bank 银行</t>
        </is>
      </c>
      <c r="B1758" s="5">
        <f>IF(AND('Daily Sale entry '!Z258="Online collection 网上收款",'Daily Sale entry '!AA258&lt;&gt;""),'Daily Sale entry '!X258,"")</f>
        <v/>
      </c>
      <c r="C1758">
        <f>IF(B1758="","",'Daily Sale entry '!AA258)</f>
        <v/>
      </c>
      <c r="D1758">
        <f>IF(C1758="","",0)</f>
        <v/>
      </c>
      <c r="E1758">
        <f>IF(C1758="","",'Daily Sale entry '!AC258)</f>
        <v/>
      </c>
      <c r="F1758" s="37">
        <f>IF(C1758="","",B1758+IF(E1758&gt;0,0,0.5)+ROW()/10000000)</f>
        <v/>
      </c>
      <c r="G1758">
        <f>IF(C1758="","","Collection 收款 (Online 网上)"&amp;IF('Daily Sale entry '!Y258="",""," - "&amp;'Daily Sale entry '!Y258))</f>
        <v/>
      </c>
      <c r="H1758">
        <f>IF(C1758="","",COUNTIFS($C$2:$C$3001,C1758,$F$2:$F$3001,"&lt;"&amp;F1758)+1)</f>
        <v/>
      </c>
      <c r="I1758">
        <f>IF(C1758="","",C1758&amp;"|"&amp;H1758)</f>
        <v/>
      </c>
      <c r="J1758" s="6">
        <f>IF(C1758="","",IF(H1758=1,SUMIFS('Opening Balance'!$F$4:$F$303,'Opening Balance'!$G$4:$G$303,C1758),INDEX($L$2:$L$3001,MATCH(C1758&amp;"|"&amp;(H1758-1),$I$2:$I$3001,0))))</f>
        <v/>
      </c>
      <c r="K1758" s="6">
        <f>IF(C1758="","",IF(M1758&gt;0,M1758,IF(AND(E1758&gt;0,ROUND(J1758+D1758-E1758,2)&gt;0,ROUND(J1758+D1758-E1758,2)&lt;'Opening Balance'!$B$14),ROUND(J1758+D1758-E1758,2),0)))</f>
        <v/>
      </c>
      <c r="L1758" s="6">
        <f>IF(C1758="","",ROUND(J1758+D1758-E1758-K1758,2))</f>
        <v/>
      </c>
      <c r="M1758" s="6">
        <f>IF(C1758="","",0)</f>
        <v/>
      </c>
    </row>
    <row r="1759">
      <c r="A1759" t="inlineStr">
        <is>
          <t>Bank 银行</t>
        </is>
      </c>
      <c r="B1759" s="5">
        <f>IF(AND('Daily Sale entry '!Z259="Online collection 网上收款",'Daily Sale entry '!AA259&lt;&gt;""),'Daily Sale entry '!X259,"")</f>
        <v/>
      </c>
      <c r="C1759">
        <f>IF(B1759="","",'Daily Sale entry '!AA259)</f>
        <v/>
      </c>
      <c r="D1759">
        <f>IF(C1759="","",0)</f>
        <v/>
      </c>
      <c r="E1759">
        <f>IF(C1759="","",'Daily Sale entry '!AC259)</f>
        <v/>
      </c>
      <c r="F1759" s="37">
        <f>IF(C1759="","",B1759+IF(E1759&gt;0,0,0.5)+ROW()/10000000)</f>
        <v/>
      </c>
      <c r="G1759">
        <f>IF(C1759="","","Collection 收款 (Online 网上)"&amp;IF('Daily Sale entry '!Y259="",""," - "&amp;'Daily Sale entry '!Y259))</f>
        <v/>
      </c>
      <c r="H1759">
        <f>IF(C1759="","",COUNTIFS($C$2:$C$3001,C1759,$F$2:$F$3001,"&lt;"&amp;F1759)+1)</f>
        <v/>
      </c>
      <c r="I1759">
        <f>IF(C1759="","",C1759&amp;"|"&amp;H1759)</f>
        <v/>
      </c>
      <c r="J1759" s="6">
        <f>IF(C1759="","",IF(H1759=1,SUMIFS('Opening Balance'!$F$4:$F$303,'Opening Balance'!$G$4:$G$303,C1759),INDEX($L$2:$L$3001,MATCH(C1759&amp;"|"&amp;(H1759-1),$I$2:$I$3001,0))))</f>
        <v/>
      </c>
      <c r="K1759" s="6">
        <f>IF(C1759="","",IF(M1759&gt;0,M1759,IF(AND(E1759&gt;0,ROUND(J1759+D1759-E1759,2)&gt;0,ROUND(J1759+D1759-E1759,2)&lt;'Opening Balance'!$B$14),ROUND(J1759+D1759-E1759,2),0)))</f>
        <v/>
      </c>
      <c r="L1759" s="6">
        <f>IF(C1759="","",ROUND(J1759+D1759-E1759-K1759,2))</f>
        <v/>
      </c>
      <c r="M1759" s="6">
        <f>IF(C1759="","",0)</f>
        <v/>
      </c>
    </row>
    <row r="1760">
      <c r="A1760" t="inlineStr">
        <is>
          <t>Bank 银行</t>
        </is>
      </c>
      <c r="B1760" s="5">
        <f>IF(AND('Daily Sale entry '!Z260="Online collection 网上收款",'Daily Sale entry '!AA260&lt;&gt;""),'Daily Sale entry '!X260,"")</f>
        <v/>
      </c>
      <c r="C1760">
        <f>IF(B1760="","",'Daily Sale entry '!AA260)</f>
        <v/>
      </c>
      <c r="D1760">
        <f>IF(C1760="","",0)</f>
        <v/>
      </c>
      <c r="E1760">
        <f>IF(C1760="","",'Daily Sale entry '!AC260)</f>
        <v/>
      </c>
      <c r="F1760" s="37">
        <f>IF(C1760="","",B1760+IF(E1760&gt;0,0,0.5)+ROW()/10000000)</f>
        <v/>
      </c>
      <c r="G1760">
        <f>IF(C1760="","","Collection 收款 (Online 网上)"&amp;IF('Daily Sale entry '!Y260="",""," - "&amp;'Daily Sale entry '!Y260))</f>
        <v/>
      </c>
      <c r="H1760">
        <f>IF(C1760="","",COUNTIFS($C$2:$C$3001,C1760,$F$2:$F$3001,"&lt;"&amp;F1760)+1)</f>
        <v/>
      </c>
      <c r="I1760">
        <f>IF(C1760="","",C1760&amp;"|"&amp;H1760)</f>
        <v/>
      </c>
      <c r="J1760" s="6">
        <f>IF(C1760="","",IF(H1760=1,SUMIFS('Opening Balance'!$F$4:$F$303,'Opening Balance'!$G$4:$G$303,C1760),INDEX($L$2:$L$3001,MATCH(C1760&amp;"|"&amp;(H1760-1),$I$2:$I$3001,0))))</f>
        <v/>
      </c>
      <c r="K1760" s="6">
        <f>IF(C1760="","",IF(M1760&gt;0,M1760,IF(AND(E1760&gt;0,ROUND(J1760+D1760-E1760,2)&gt;0,ROUND(J1760+D1760-E1760,2)&lt;'Opening Balance'!$B$14),ROUND(J1760+D1760-E1760,2),0)))</f>
        <v/>
      </c>
      <c r="L1760" s="6">
        <f>IF(C1760="","",ROUND(J1760+D1760-E1760-K1760,2))</f>
        <v/>
      </c>
      <c r="M1760" s="6">
        <f>IF(C1760="","",0)</f>
        <v/>
      </c>
    </row>
    <row r="1761">
      <c r="A1761" t="inlineStr">
        <is>
          <t>Bank 银行</t>
        </is>
      </c>
      <c r="B1761" s="5">
        <f>IF(AND('Daily Sale entry '!Z261="Online collection 网上收款",'Daily Sale entry '!AA261&lt;&gt;""),'Daily Sale entry '!X261,"")</f>
        <v/>
      </c>
      <c r="C1761">
        <f>IF(B1761="","",'Daily Sale entry '!AA261)</f>
        <v/>
      </c>
      <c r="D1761">
        <f>IF(C1761="","",0)</f>
        <v/>
      </c>
      <c r="E1761">
        <f>IF(C1761="","",'Daily Sale entry '!AC261)</f>
        <v/>
      </c>
      <c r="F1761" s="37">
        <f>IF(C1761="","",B1761+IF(E1761&gt;0,0,0.5)+ROW()/10000000)</f>
        <v/>
      </c>
      <c r="G1761">
        <f>IF(C1761="","","Collection 收款 (Online 网上)"&amp;IF('Daily Sale entry '!Y261="",""," - "&amp;'Daily Sale entry '!Y261))</f>
        <v/>
      </c>
      <c r="H1761">
        <f>IF(C1761="","",COUNTIFS($C$2:$C$3001,C1761,$F$2:$F$3001,"&lt;"&amp;F1761)+1)</f>
        <v/>
      </c>
      <c r="I1761">
        <f>IF(C1761="","",C1761&amp;"|"&amp;H1761)</f>
        <v/>
      </c>
      <c r="J1761" s="6">
        <f>IF(C1761="","",IF(H1761=1,SUMIFS('Opening Balance'!$F$4:$F$303,'Opening Balance'!$G$4:$G$303,C1761),INDEX($L$2:$L$3001,MATCH(C1761&amp;"|"&amp;(H1761-1),$I$2:$I$3001,0))))</f>
        <v/>
      </c>
      <c r="K1761" s="6">
        <f>IF(C1761="","",IF(M1761&gt;0,M1761,IF(AND(E1761&gt;0,ROUND(J1761+D1761-E1761,2)&gt;0,ROUND(J1761+D1761-E1761,2)&lt;'Opening Balance'!$B$14),ROUND(J1761+D1761-E1761,2),0)))</f>
        <v/>
      </c>
      <c r="L1761" s="6">
        <f>IF(C1761="","",ROUND(J1761+D1761-E1761-K1761,2))</f>
        <v/>
      </c>
      <c r="M1761" s="6">
        <f>IF(C1761="","",0)</f>
        <v/>
      </c>
    </row>
    <row r="1762">
      <c r="A1762" t="inlineStr">
        <is>
          <t>Bank 银行</t>
        </is>
      </c>
      <c r="B1762" s="5">
        <f>IF(AND('Daily Sale entry '!Z262="Online collection 网上收款",'Daily Sale entry '!AA262&lt;&gt;""),'Daily Sale entry '!X262,"")</f>
        <v/>
      </c>
      <c r="C1762">
        <f>IF(B1762="","",'Daily Sale entry '!AA262)</f>
        <v/>
      </c>
      <c r="D1762">
        <f>IF(C1762="","",0)</f>
        <v/>
      </c>
      <c r="E1762">
        <f>IF(C1762="","",'Daily Sale entry '!AC262)</f>
        <v/>
      </c>
      <c r="F1762" s="37">
        <f>IF(C1762="","",B1762+IF(E1762&gt;0,0,0.5)+ROW()/10000000)</f>
        <v/>
      </c>
      <c r="G1762">
        <f>IF(C1762="","","Collection 收款 (Online 网上)"&amp;IF('Daily Sale entry '!Y262="",""," - "&amp;'Daily Sale entry '!Y262))</f>
        <v/>
      </c>
      <c r="H1762">
        <f>IF(C1762="","",COUNTIFS($C$2:$C$3001,C1762,$F$2:$F$3001,"&lt;"&amp;F1762)+1)</f>
        <v/>
      </c>
      <c r="I1762">
        <f>IF(C1762="","",C1762&amp;"|"&amp;H1762)</f>
        <v/>
      </c>
      <c r="J1762" s="6">
        <f>IF(C1762="","",IF(H1762=1,SUMIFS('Opening Balance'!$F$4:$F$303,'Opening Balance'!$G$4:$G$303,C1762),INDEX($L$2:$L$3001,MATCH(C1762&amp;"|"&amp;(H1762-1),$I$2:$I$3001,0))))</f>
        <v/>
      </c>
      <c r="K1762" s="6">
        <f>IF(C1762="","",IF(M1762&gt;0,M1762,IF(AND(E1762&gt;0,ROUND(J1762+D1762-E1762,2)&gt;0,ROUND(J1762+D1762-E1762,2)&lt;'Opening Balance'!$B$14),ROUND(J1762+D1762-E1762,2),0)))</f>
        <v/>
      </c>
      <c r="L1762" s="6">
        <f>IF(C1762="","",ROUND(J1762+D1762-E1762-K1762,2))</f>
        <v/>
      </c>
      <c r="M1762" s="6">
        <f>IF(C1762="","",0)</f>
        <v/>
      </c>
    </row>
    <row r="1763">
      <c r="A1763" t="inlineStr">
        <is>
          <t>Bank 银行</t>
        </is>
      </c>
      <c r="B1763" s="5">
        <f>IF(AND('Daily Sale entry '!Z263="Online collection 网上收款",'Daily Sale entry '!AA263&lt;&gt;""),'Daily Sale entry '!X263,"")</f>
        <v/>
      </c>
      <c r="C1763">
        <f>IF(B1763="","",'Daily Sale entry '!AA263)</f>
        <v/>
      </c>
      <c r="D1763">
        <f>IF(C1763="","",0)</f>
        <v/>
      </c>
      <c r="E1763">
        <f>IF(C1763="","",'Daily Sale entry '!AC263)</f>
        <v/>
      </c>
      <c r="F1763" s="37">
        <f>IF(C1763="","",B1763+IF(E1763&gt;0,0,0.5)+ROW()/10000000)</f>
        <v/>
      </c>
      <c r="G1763">
        <f>IF(C1763="","","Collection 收款 (Online 网上)"&amp;IF('Daily Sale entry '!Y263="",""," - "&amp;'Daily Sale entry '!Y263))</f>
        <v/>
      </c>
      <c r="H1763">
        <f>IF(C1763="","",COUNTIFS($C$2:$C$3001,C1763,$F$2:$F$3001,"&lt;"&amp;F1763)+1)</f>
        <v/>
      </c>
      <c r="I1763">
        <f>IF(C1763="","",C1763&amp;"|"&amp;H1763)</f>
        <v/>
      </c>
      <c r="J1763" s="6">
        <f>IF(C1763="","",IF(H1763=1,SUMIFS('Opening Balance'!$F$4:$F$303,'Opening Balance'!$G$4:$G$303,C1763),INDEX($L$2:$L$3001,MATCH(C1763&amp;"|"&amp;(H1763-1),$I$2:$I$3001,0))))</f>
        <v/>
      </c>
      <c r="K1763" s="6">
        <f>IF(C1763="","",IF(M1763&gt;0,M1763,IF(AND(E1763&gt;0,ROUND(J1763+D1763-E1763,2)&gt;0,ROUND(J1763+D1763-E1763,2)&lt;'Opening Balance'!$B$14),ROUND(J1763+D1763-E1763,2),0)))</f>
        <v/>
      </c>
      <c r="L1763" s="6">
        <f>IF(C1763="","",ROUND(J1763+D1763-E1763-K1763,2))</f>
        <v/>
      </c>
      <c r="M1763" s="6">
        <f>IF(C1763="","",0)</f>
        <v/>
      </c>
    </row>
    <row r="1764">
      <c r="A1764" t="inlineStr">
        <is>
          <t>Bank 银行</t>
        </is>
      </c>
      <c r="B1764" s="5">
        <f>IF(AND('Daily Sale entry '!Z264="Online collection 网上收款",'Daily Sale entry '!AA264&lt;&gt;""),'Daily Sale entry '!X264,"")</f>
        <v/>
      </c>
      <c r="C1764">
        <f>IF(B1764="","",'Daily Sale entry '!AA264)</f>
        <v/>
      </c>
      <c r="D1764">
        <f>IF(C1764="","",0)</f>
        <v/>
      </c>
      <c r="E1764">
        <f>IF(C1764="","",'Daily Sale entry '!AC264)</f>
        <v/>
      </c>
      <c r="F1764" s="37">
        <f>IF(C1764="","",B1764+IF(E1764&gt;0,0,0.5)+ROW()/10000000)</f>
        <v/>
      </c>
      <c r="G1764">
        <f>IF(C1764="","","Collection 收款 (Online 网上)"&amp;IF('Daily Sale entry '!Y264="",""," - "&amp;'Daily Sale entry '!Y264))</f>
        <v/>
      </c>
      <c r="H1764">
        <f>IF(C1764="","",COUNTIFS($C$2:$C$3001,C1764,$F$2:$F$3001,"&lt;"&amp;F1764)+1)</f>
        <v/>
      </c>
      <c r="I1764">
        <f>IF(C1764="","",C1764&amp;"|"&amp;H1764)</f>
        <v/>
      </c>
      <c r="J1764" s="6">
        <f>IF(C1764="","",IF(H1764=1,SUMIFS('Opening Balance'!$F$4:$F$303,'Opening Balance'!$G$4:$G$303,C1764),INDEX($L$2:$L$3001,MATCH(C1764&amp;"|"&amp;(H1764-1),$I$2:$I$3001,0))))</f>
        <v/>
      </c>
      <c r="K1764" s="6">
        <f>IF(C1764="","",IF(M1764&gt;0,M1764,IF(AND(E1764&gt;0,ROUND(J1764+D1764-E1764,2)&gt;0,ROUND(J1764+D1764-E1764,2)&lt;'Opening Balance'!$B$14),ROUND(J1764+D1764-E1764,2),0)))</f>
        <v/>
      </c>
      <c r="L1764" s="6">
        <f>IF(C1764="","",ROUND(J1764+D1764-E1764-K1764,2))</f>
        <v/>
      </c>
      <c r="M1764" s="6">
        <f>IF(C1764="","",0)</f>
        <v/>
      </c>
    </row>
    <row r="1765">
      <c r="A1765" t="inlineStr">
        <is>
          <t>Bank 银行</t>
        </is>
      </c>
      <c r="B1765" s="5">
        <f>IF(AND('Daily Sale entry '!Z265="Online collection 网上收款",'Daily Sale entry '!AA265&lt;&gt;""),'Daily Sale entry '!X265,"")</f>
        <v/>
      </c>
      <c r="C1765">
        <f>IF(B1765="","",'Daily Sale entry '!AA265)</f>
        <v/>
      </c>
      <c r="D1765">
        <f>IF(C1765="","",0)</f>
        <v/>
      </c>
      <c r="E1765">
        <f>IF(C1765="","",'Daily Sale entry '!AC265)</f>
        <v/>
      </c>
      <c r="F1765" s="37">
        <f>IF(C1765="","",B1765+IF(E1765&gt;0,0,0.5)+ROW()/10000000)</f>
        <v/>
      </c>
      <c r="G1765">
        <f>IF(C1765="","","Collection 收款 (Online 网上)"&amp;IF('Daily Sale entry '!Y265="",""," - "&amp;'Daily Sale entry '!Y265))</f>
        <v/>
      </c>
      <c r="H1765">
        <f>IF(C1765="","",COUNTIFS($C$2:$C$3001,C1765,$F$2:$F$3001,"&lt;"&amp;F1765)+1)</f>
        <v/>
      </c>
      <c r="I1765">
        <f>IF(C1765="","",C1765&amp;"|"&amp;H1765)</f>
        <v/>
      </c>
      <c r="J1765" s="6">
        <f>IF(C1765="","",IF(H1765=1,SUMIFS('Opening Balance'!$F$4:$F$303,'Opening Balance'!$G$4:$G$303,C1765),INDEX($L$2:$L$3001,MATCH(C1765&amp;"|"&amp;(H1765-1),$I$2:$I$3001,0))))</f>
        <v/>
      </c>
      <c r="K1765" s="6">
        <f>IF(C1765="","",IF(M1765&gt;0,M1765,IF(AND(E1765&gt;0,ROUND(J1765+D1765-E1765,2)&gt;0,ROUND(J1765+D1765-E1765,2)&lt;'Opening Balance'!$B$14),ROUND(J1765+D1765-E1765,2),0)))</f>
        <v/>
      </c>
      <c r="L1765" s="6">
        <f>IF(C1765="","",ROUND(J1765+D1765-E1765-K1765,2))</f>
        <v/>
      </c>
      <c r="M1765" s="6">
        <f>IF(C1765="","",0)</f>
        <v/>
      </c>
    </row>
    <row r="1766">
      <c r="A1766" t="inlineStr">
        <is>
          <t>Bank 银行</t>
        </is>
      </c>
      <c r="B1766" s="5">
        <f>IF(AND('Daily Sale entry '!Z266="Online collection 网上收款",'Daily Sale entry '!AA266&lt;&gt;""),'Daily Sale entry '!X266,"")</f>
        <v/>
      </c>
      <c r="C1766">
        <f>IF(B1766="","",'Daily Sale entry '!AA266)</f>
        <v/>
      </c>
      <c r="D1766">
        <f>IF(C1766="","",0)</f>
        <v/>
      </c>
      <c r="E1766">
        <f>IF(C1766="","",'Daily Sale entry '!AC266)</f>
        <v/>
      </c>
      <c r="F1766" s="37">
        <f>IF(C1766="","",B1766+IF(E1766&gt;0,0,0.5)+ROW()/10000000)</f>
        <v/>
      </c>
      <c r="G1766">
        <f>IF(C1766="","","Collection 收款 (Online 网上)"&amp;IF('Daily Sale entry '!Y266="",""," - "&amp;'Daily Sale entry '!Y266))</f>
        <v/>
      </c>
      <c r="H1766">
        <f>IF(C1766="","",COUNTIFS($C$2:$C$3001,C1766,$F$2:$F$3001,"&lt;"&amp;F1766)+1)</f>
        <v/>
      </c>
      <c r="I1766">
        <f>IF(C1766="","",C1766&amp;"|"&amp;H1766)</f>
        <v/>
      </c>
      <c r="J1766" s="6">
        <f>IF(C1766="","",IF(H1766=1,SUMIFS('Opening Balance'!$F$4:$F$303,'Opening Balance'!$G$4:$G$303,C1766),INDEX($L$2:$L$3001,MATCH(C1766&amp;"|"&amp;(H1766-1),$I$2:$I$3001,0))))</f>
        <v/>
      </c>
      <c r="K1766" s="6">
        <f>IF(C1766="","",IF(M1766&gt;0,M1766,IF(AND(E1766&gt;0,ROUND(J1766+D1766-E1766,2)&gt;0,ROUND(J1766+D1766-E1766,2)&lt;'Opening Balance'!$B$14),ROUND(J1766+D1766-E1766,2),0)))</f>
        <v/>
      </c>
      <c r="L1766" s="6">
        <f>IF(C1766="","",ROUND(J1766+D1766-E1766-K1766,2))</f>
        <v/>
      </c>
      <c r="M1766" s="6">
        <f>IF(C1766="","",0)</f>
        <v/>
      </c>
    </row>
    <row r="1767">
      <c r="A1767" t="inlineStr">
        <is>
          <t>Bank 银行</t>
        </is>
      </c>
      <c r="B1767" s="5">
        <f>IF(AND('Daily Sale entry '!Z267="Online collection 网上收款",'Daily Sale entry '!AA267&lt;&gt;""),'Daily Sale entry '!X267,"")</f>
        <v/>
      </c>
      <c r="C1767">
        <f>IF(B1767="","",'Daily Sale entry '!AA267)</f>
        <v/>
      </c>
      <c r="D1767">
        <f>IF(C1767="","",0)</f>
        <v/>
      </c>
      <c r="E1767">
        <f>IF(C1767="","",'Daily Sale entry '!AC267)</f>
        <v/>
      </c>
      <c r="F1767" s="37">
        <f>IF(C1767="","",B1767+IF(E1767&gt;0,0,0.5)+ROW()/10000000)</f>
        <v/>
      </c>
      <c r="G1767">
        <f>IF(C1767="","","Collection 收款 (Online 网上)"&amp;IF('Daily Sale entry '!Y267="",""," - "&amp;'Daily Sale entry '!Y267))</f>
        <v/>
      </c>
      <c r="H1767">
        <f>IF(C1767="","",COUNTIFS($C$2:$C$3001,C1767,$F$2:$F$3001,"&lt;"&amp;F1767)+1)</f>
        <v/>
      </c>
      <c r="I1767">
        <f>IF(C1767="","",C1767&amp;"|"&amp;H1767)</f>
        <v/>
      </c>
      <c r="J1767" s="6">
        <f>IF(C1767="","",IF(H1767=1,SUMIFS('Opening Balance'!$F$4:$F$303,'Opening Balance'!$G$4:$G$303,C1767),INDEX($L$2:$L$3001,MATCH(C1767&amp;"|"&amp;(H1767-1),$I$2:$I$3001,0))))</f>
        <v/>
      </c>
      <c r="K1767" s="6">
        <f>IF(C1767="","",IF(M1767&gt;0,M1767,IF(AND(E1767&gt;0,ROUND(J1767+D1767-E1767,2)&gt;0,ROUND(J1767+D1767-E1767,2)&lt;'Opening Balance'!$B$14),ROUND(J1767+D1767-E1767,2),0)))</f>
        <v/>
      </c>
      <c r="L1767" s="6">
        <f>IF(C1767="","",ROUND(J1767+D1767-E1767-K1767,2))</f>
        <v/>
      </c>
      <c r="M1767" s="6">
        <f>IF(C1767="","",0)</f>
        <v/>
      </c>
    </row>
    <row r="1768">
      <c r="A1768" t="inlineStr">
        <is>
          <t>Bank 银行</t>
        </is>
      </c>
      <c r="B1768" s="5">
        <f>IF(AND('Daily Sale entry '!Z268="Online collection 网上收款",'Daily Sale entry '!AA268&lt;&gt;""),'Daily Sale entry '!X268,"")</f>
        <v/>
      </c>
      <c r="C1768">
        <f>IF(B1768="","",'Daily Sale entry '!AA268)</f>
        <v/>
      </c>
      <c r="D1768">
        <f>IF(C1768="","",0)</f>
        <v/>
      </c>
      <c r="E1768">
        <f>IF(C1768="","",'Daily Sale entry '!AC268)</f>
        <v/>
      </c>
      <c r="F1768" s="37">
        <f>IF(C1768="","",B1768+IF(E1768&gt;0,0,0.5)+ROW()/10000000)</f>
        <v/>
      </c>
      <c r="G1768">
        <f>IF(C1768="","","Collection 收款 (Online 网上)"&amp;IF('Daily Sale entry '!Y268="",""," - "&amp;'Daily Sale entry '!Y268))</f>
        <v/>
      </c>
      <c r="H1768">
        <f>IF(C1768="","",COUNTIFS($C$2:$C$3001,C1768,$F$2:$F$3001,"&lt;"&amp;F1768)+1)</f>
        <v/>
      </c>
      <c r="I1768">
        <f>IF(C1768="","",C1768&amp;"|"&amp;H1768)</f>
        <v/>
      </c>
      <c r="J1768" s="6">
        <f>IF(C1768="","",IF(H1768=1,SUMIFS('Opening Balance'!$F$4:$F$303,'Opening Balance'!$G$4:$G$303,C1768),INDEX($L$2:$L$3001,MATCH(C1768&amp;"|"&amp;(H1768-1),$I$2:$I$3001,0))))</f>
        <v/>
      </c>
      <c r="K1768" s="6">
        <f>IF(C1768="","",IF(M1768&gt;0,M1768,IF(AND(E1768&gt;0,ROUND(J1768+D1768-E1768,2)&gt;0,ROUND(J1768+D1768-E1768,2)&lt;'Opening Balance'!$B$14),ROUND(J1768+D1768-E1768,2),0)))</f>
        <v/>
      </c>
      <c r="L1768" s="6">
        <f>IF(C1768="","",ROUND(J1768+D1768-E1768-K1768,2))</f>
        <v/>
      </c>
      <c r="M1768" s="6">
        <f>IF(C1768="","",0)</f>
        <v/>
      </c>
    </row>
    <row r="1769">
      <c r="A1769" t="inlineStr">
        <is>
          <t>Bank 银行</t>
        </is>
      </c>
      <c r="B1769" s="5">
        <f>IF(AND('Daily Sale entry '!Z269="Online collection 网上收款",'Daily Sale entry '!AA269&lt;&gt;""),'Daily Sale entry '!X269,"")</f>
        <v/>
      </c>
      <c r="C1769">
        <f>IF(B1769="","",'Daily Sale entry '!AA269)</f>
        <v/>
      </c>
      <c r="D1769">
        <f>IF(C1769="","",0)</f>
        <v/>
      </c>
      <c r="E1769">
        <f>IF(C1769="","",'Daily Sale entry '!AC269)</f>
        <v/>
      </c>
      <c r="F1769" s="37">
        <f>IF(C1769="","",B1769+IF(E1769&gt;0,0,0.5)+ROW()/10000000)</f>
        <v/>
      </c>
      <c r="G1769">
        <f>IF(C1769="","","Collection 收款 (Online 网上)"&amp;IF('Daily Sale entry '!Y269="",""," - "&amp;'Daily Sale entry '!Y269))</f>
        <v/>
      </c>
      <c r="H1769">
        <f>IF(C1769="","",COUNTIFS($C$2:$C$3001,C1769,$F$2:$F$3001,"&lt;"&amp;F1769)+1)</f>
        <v/>
      </c>
      <c r="I1769">
        <f>IF(C1769="","",C1769&amp;"|"&amp;H1769)</f>
        <v/>
      </c>
      <c r="J1769" s="6">
        <f>IF(C1769="","",IF(H1769=1,SUMIFS('Opening Balance'!$F$4:$F$303,'Opening Balance'!$G$4:$G$303,C1769),INDEX($L$2:$L$3001,MATCH(C1769&amp;"|"&amp;(H1769-1),$I$2:$I$3001,0))))</f>
        <v/>
      </c>
      <c r="K1769" s="6">
        <f>IF(C1769="","",IF(M1769&gt;0,M1769,IF(AND(E1769&gt;0,ROUND(J1769+D1769-E1769,2)&gt;0,ROUND(J1769+D1769-E1769,2)&lt;'Opening Balance'!$B$14),ROUND(J1769+D1769-E1769,2),0)))</f>
        <v/>
      </c>
      <c r="L1769" s="6">
        <f>IF(C1769="","",ROUND(J1769+D1769-E1769-K1769,2))</f>
        <v/>
      </c>
      <c r="M1769" s="6">
        <f>IF(C1769="","",0)</f>
        <v/>
      </c>
    </row>
    <row r="1770">
      <c r="A1770" t="inlineStr">
        <is>
          <t>Bank 银行</t>
        </is>
      </c>
      <c r="B1770" s="5">
        <f>IF(AND('Daily Sale entry '!Z270="Online collection 网上收款",'Daily Sale entry '!AA270&lt;&gt;""),'Daily Sale entry '!X270,"")</f>
        <v/>
      </c>
      <c r="C1770">
        <f>IF(B1770="","",'Daily Sale entry '!AA270)</f>
        <v/>
      </c>
      <c r="D1770">
        <f>IF(C1770="","",0)</f>
        <v/>
      </c>
      <c r="E1770">
        <f>IF(C1770="","",'Daily Sale entry '!AC270)</f>
        <v/>
      </c>
      <c r="F1770" s="37">
        <f>IF(C1770="","",B1770+IF(E1770&gt;0,0,0.5)+ROW()/10000000)</f>
        <v/>
      </c>
      <c r="G1770">
        <f>IF(C1770="","","Collection 收款 (Online 网上)"&amp;IF('Daily Sale entry '!Y270="",""," - "&amp;'Daily Sale entry '!Y270))</f>
        <v/>
      </c>
      <c r="H1770">
        <f>IF(C1770="","",COUNTIFS($C$2:$C$3001,C1770,$F$2:$F$3001,"&lt;"&amp;F1770)+1)</f>
        <v/>
      </c>
      <c r="I1770">
        <f>IF(C1770="","",C1770&amp;"|"&amp;H1770)</f>
        <v/>
      </c>
      <c r="J1770" s="6">
        <f>IF(C1770="","",IF(H1770=1,SUMIFS('Opening Balance'!$F$4:$F$303,'Opening Balance'!$G$4:$G$303,C1770),INDEX($L$2:$L$3001,MATCH(C1770&amp;"|"&amp;(H1770-1),$I$2:$I$3001,0))))</f>
        <v/>
      </c>
      <c r="K1770" s="6">
        <f>IF(C1770="","",IF(M1770&gt;0,M1770,IF(AND(E1770&gt;0,ROUND(J1770+D1770-E1770,2)&gt;0,ROUND(J1770+D1770-E1770,2)&lt;'Opening Balance'!$B$14),ROUND(J1770+D1770-E1770,2),0)))</f>
        <v/>
      </c>
      <c r="L1770" s="6">
        <f>IF(C1770="","",ROUND(J1770+D1770-E1770-K1770,2))</f>
        <v/>
      </c>
      <c r="M1770" s="6">
        <f>IF(C1770="","",0)</f>
        <v/>
      </c>
    </row>
    <row r="1771">
      <c r="A1771" t="inlineStr">
        <is>
          <t>Bank 银行</t>
        </is>
      </c>
      <c r="B1771" s="5">
        <f>IF(AND('Daily Sale entry '!Z271="Online collection 网上收款",'Daily Sale entry '!AA271&lt;&gt;""),'Daily Sale entry '!X271,"")</f>
        <v/>
      </c>
      <c r="C1771">
        <f>IF(B1771="","",'Daily Sale entry '!AA271)</f>
        <v/>
      </c>
      <c r="D1771">
        <f>IF(C1771="","",0)</f>
        <v/>
      </c>
      <c r="E1771">
        <f>IF(C1771="","",'Daily Sale entry '!AC271)</f>
        <v/>
      </c>
      <c r="F1771" s="37">
        <f>IF(C1771="","",B1771+IF(E1771&gt;0,0,0.5)+ROW()/10000000)</f>
        <v/>
      </c>
      <c r="G1771">
        <f>IF(C1771="","","Collection 收款 (Online 网上)"&amp;IF('Daily Sale entry '!Y271="",""," - "&amp;'Daily Sale entry '!Y271))</f>
        <v/>
      </c>
      <c r="H1771">
        <f>IF(C1771="","",COUNTIFS($C$2:$C$3001,C1771,$F$2:$F$3001,"&lt;"&amp;F1771)+1)</f>
        <v/>
      </c>
      <c r="I1771">
        <f>IF(C1771="","",C1771&amp;"|"&amp;H1771)</f>
        <v/>
      </c>
      <c r="J1771" s="6">
        <f>IF(C1771="","",IF(H1771=1,SUMIFS('Opening Balance'!$F$4:$F$303,'Opening Balance'!$G$4:$G$303,C1771),INDEX($L$2:$L$3001,MATCH(C1771&amp;"|"&amp;(H1771-1),$I$2:$I$3001,0))))</f>
        <v/>
      </c>
      <c r="K1771" s="6">
        <f>IF(C1771="","",IF(M1771&gt;0,M1771,IF(AND(E1771&gt;0,ROUND(J1771+D1771-E1771,2)&gt;0,ROUND(J1771+D1771-E1771,2)&lt;'Opening Balance'!$B$14),ROUND(J1771+D1771-E1771,2),0)))</f>
        <v/>
      </c>
      <c r="L1771" s="6">
        <f>IF(C1771="","",ROUND(J1771+D1771-E1771-K1771,2))</f>
        <v/>
      </c>
      <c r="M1771" s="6">
        <f>IF(C1771="","",0)</f>
        <v/>
      </c>
    </row>
    <row r="1772">
      <c r="A1772" t="inlineStr">
        <is>
          <t>Bank 银行</t>
        </is>
      </c>
      <c r="B1772" s="5">
        <f>IF(AND('Daily Sale entry '!Z272="Online collection 网上收款",'Daily Sale entry '!AA272&lt;&gt;""),'Daily Sale entry '!X272,"")</f>
        <v/>
      </c>
      <c r="C1772">
        <f>IF(B1772="","",'Daily Sale entry '!AA272)</f>
        <v/>
      </c>
      <c r="D1772">
        <f>IF(C1772="","",0)</f>
        <v/>
      </c>
      <c r="E1772">
        <f>IF(C1772="","",'Daily Sale entry '!AC272)</f>
        <v/>
      </c>
      <c r="F1772" s="37">
        <f>IF(C1772="","",B1772+IF(E1772&gt;0,0,0.5)+ROW()/10000000)</f>
        <v/>
      </c>
      <c r="G1772">
        <f>IF(C1772="","","Collection 收款 (Online 网上)"&amp;IF('Daily Sale entry '!Y272="",""," - "&amp;'Daily Sale entry '!Y272))</f>
        <v/>
      </c>
      <c r="H1772">
        <f>IF(C1772="","",COUNTIFS($C$2:$C$3001,C1772,$F$2:$F$3001,"&lt;"&amp;F1772)+1)</f>
        <v/>
      </c>
      <c r="I1772">
        <f>IF(C1772="","",C1772&amp;"|"&amp;H1772)</f>
        <v/>
      </c>
      <c r="J1772" s="6">
        <f>IF(C1772="","",IF(H1772=1,SUMIFS('Opening Balance'!$F$4:$F$303,'Opening Balance'!$G$4:$G$303,C1772),INDEX($L$2:$L$3001,MATCH(C1772&amp;"|"&amp;(H1772-1),$I$2:$I$3001,0))))</f>
        <v/>
      </c>
      <c r="K1772" s="6">
        <f>IF(C1772="","",IF(M1772&gt;0,M1772,IF(AND(E1772&gt;0,ROUND(J1772+D1772-E1772,2)&gt;0,ROUND(J1772+D1772-E1772,2)&lt;'Opening Balance'!$B$14),ROUND(J1772+D1772-E1772,2),0)))</f>
        <v/>
      </c>
      <c r="L1772" s="6">
        <f>IF(C1772="","",ROUND(J1772+D1772-E1772-K1772,2))</f>
        <v/>
      </c>
      <c r="M1772" s="6">
        <f>IF(C1772="","",0)</f>
        <v/>
      </c>
    </row>
    <row r="1773">
      <c r="A1773" t="inlineStr">
        <is>
          <t>Bank 银行</t>
        </is>
      </c>
      <c r="B1773" s="5">
        <f>IF(AND('Daily Sale entry '!Z273="Online collection 网上收款",'Daily Sale entry '!AA273&lt;&gt;""),'Daily Sale entry '!X273,"")</f>
        <v/>
      </c>
      <c r="C1773">
        <f>IF(B1773="","",'Daily Sale entry '!AA273)</f>
        <v/>
      </c>
      <c r="D1773">
        <f>IF(C1773="","",0)</f>
        <v/>
      </c>
      <c r="E1773">
        <f>IF(C1773="","",'Daily Sale entry '!AC273)</f>
        <v/>
      </c>
      <c r="F1773" s="37">
        <f>IF(C1773="","",B1773+IF(E1773&gt;0,0,0.5)+ROW()/10000000)</f>
        <v/>
      </c>
      <c r="G1773">
        <f>IF(C1773="","","Collection 收款 (Online 网上)"&amp;IF('Daily Sale entry '!Y273="",""," - "&amp;'Daily Sale entry '!Y273))</f>
        <v/>
      </c>
      <c r="H1773">
        <f>IF(C1773="","",COUNTIFS($C$2:$C$3001,C1773,$F$2:$F$3001,"&lt;"&amp;F1773)+1)</f>
        <v/>
      </c>
      <c r="I1773">
        <f>IF(C1773="","",C1773&amp;"|"&amp;H1773)</f>
        <v/>
      </c>
      <c r="J1773" s="6">
        <f>IF(C1773="","",IF(H1773=1,SUMIFS('Opening Balance'!$F$4:$F$303,'Opening Balance'!$G$4:$G$303,C1773),INDEX($L$2:$L$3001,MATCH(C1773&amp;"|"&amp;(H1773-1),$I$2:$I$3001,0))))</f>
        <v/>
      </c>
      <c r="K1773" s="6">
        <f>IF(C1773="","",IF(M1773&gt;0,M1773,IF(AND(E1773&gt;0,ROUND(J1773+D1773-E1773,2)&gt;0,ROUND(J1773+D1773-E1773,2)&lt;'Opening Balance'!$B$14),ROUND(J1773+D1773-E1773,2),0)))</f>
        <v/>
      </c>
      <c r="L1773" s="6">
        <f>IF(C1773="","",ROUND(J1773+D1773-E1773-K1773,2))</f>
        <v/>
      </c>
      <c r="M1773" s="6">
        <f>IF(C1773="","",0)</f>
        <v/>
      </c>
    </row>
    <row r="1774">
      <c r="A1774" t="inlineStr">
        <is>
          <t>Bank 银行</t>
        </is>
      </c>
      <c r="B1774" s="5">
        <f>IF(AND('Daily Sale entry '!Z274="Online collection 网上收款",'Daily Sale entry '!AA274&lt;&gt;""),'Daily Sale entry '!X274,"")</f>
        <v/>
      </c>
      <c r="C1774">
        <f>IF(B1774="","",'Daily Sale entry '!AA274)</f>
        <v/>
      </c>
      <c r="D1774">
        <f>IF(C1774="","",0)</f>
        <v/>
      </c>
      <c r="E1774">
        <f>IF(C1774="","",'Daily Sale entry '!AC274)</f>
        <v/>
      </c>
      <c r="F1774" s="37">
        <f>IF(C1774="","",B1774+IF(E1774&gt;0,0,0.5)+ROW()/10000000)</f>
        <v/>
      </c>
      <c r="G1774">
        <f>IF(C1774="","","Collection 收款 (Online 网上)"&amp;IF('Daily Sale entry '!Y274="",""," - "&amp;'Daily Sale entry '!Y274))</f>
        <v/>
      </c>
      <c r="H1774">
        <f>IF(C1774="","",COUNTIFS($C$2:$C$3001,C1774,$F$2:$F$3001,"&lt;"&amp;F1774)+1)</f>
        <v/>
      </c>
      <c r="I1774">
        <f>IF(C1774="","",C1774&amp;"|"&amp;H1774)</f>
        <v/>
      </c>
      <c r="J1774" s="6">
        <f>IF(C1774="","",IF(H1774=1,SUMIFS('Opening Balance'!$F$4:$F$303,'Opening Balance'!$G$4:$G$303,C1774),INDEX($L$2:$L$3001,MATCH(C1774&amp;"|"&amp;(H1774-1),$I$2:$I$3001,0))))</f>
        <v/>
      </c>
      <c r="K1774" s="6">
        <f>IF(C1774="","",IF(M1774&gt;0,M1774,IF(AND(E1774&gt;0,ROUND(J1774+D1774-E1774,2)&gt;0,ROUND(J1774+D1774-E1774,2)&lt;'Opening Balance'!$B$14),ROUND(J1774+D1774-E1774,2),0)))</f>
        <v/>
      </c>
      <c r="L1774" s="6">
        <f>IF(C1774="","",ROUND(J1774+D1774-E1774-K1774,2))</f>
        <v/>
      </c>
      <c r="M1774" s="6">
        <f>IF(C1774="","",0)</f>
        <v/>
      </c>
    </row>
    <row r="1775">
      <c r="A1775" t="inlineStr">
        <is>
          <t>Bank 银行</t>
        </is>
      </c>
      <c r="B1775" s="5">
        <f>IF(AND('Daily Sale entry '!Z275="Online collection 网上收款",'Daily Sale entry '!AA275&lt;&gt;""),'Daily Sale entry '!X275,"")</f>
        <v/>
      </c>
      <c r="C1775">
        <f>IF(B1775="","",'Daily Sale entry '!AA275)</f>
        <v/>
      </c>
      <c r="D1775">
        <f>IF(C1775="","",0)</f>
        <v/>
      </c>
      <c r="E1775">
        <f>IF(C1775="","",'Daily Sale entry '!AC275)</f>
        <v/>
      </c>
      <c r="F1775" s="37">
        <f>IF(C1775="","",B1775+IF(E1775&gt;0,0,0.5)+ROW()/10000000)</f>
        <v/>
      </c>
      <c r="G1775">
        <f>IF(C1775="","","Collection 收款 (Online 网上)"&amp;IF('Daily Sale entry '!Y275="",""," - "&amp;'Daily Sale entry '!Y275))</f>
        <v/>
      </c>
      <c r="H1775">
        <f>IF(C1775="","",COUNTIFS($C$2:$C$3001,C1775,$F$2:$F$3001,"&lt;"&amp;F1775)+1)</f>
        <v/>
      </c>
      <c r="I1775">
        <f>IF(C1775="","",C1775&amp;"|"&amp;H1775)</f>
        <v/>
      </c>
      <c r="J1775" s="6">
        <f>IF(C1775="","",IF(H1775=1,SUMIFS('Opening Balance'!$F$4:$F$303,'Opening Balance'!$G$4:$G$303,C1775),INDEX($L$2:$L$3001,MATCH(C1775&amp;"|"&amp;(H1775-1),$I$2:$I$3001,0))))</f>
        <v/>
      </c>
      <c r="K1775" s="6">
        <f>IF(C1775="","",IF(M1775&gt;0,M1775,IF(AND(E1775&gt;0,ROUND(J1775+D1775-E1775,2)&gt;0,ROUND(J1775+D1775-E1775,2)&lt;'Opening Balance'!$B$14),ROUND(J1775+D1775-E1775,2),0)))</f>
        <v/>
      </c>
      <c r="L1775" s="6">
        <f>IF(C1775="","",ROUND(J1775+D1775-E1775-K1775,2))</f>
        <v/>
      </c>
      <c r="M1775" s="6">
        <f>IF(C1775="","",0)</f>
        <v/>
      </c>
    </row>
    <row r="1776">
      <c r="A1776" t="inlineStr">
        <is>
          <t>Bank 银行</t>
        </is>
      </c>
      <c r="B1776" s="5">
        <f>IF(AND('Daily Sale entry '!Z276="Online collection 网上收款",'Daily Sale entry '!AA276&lt;&gt;""),'Daily Sale entry '!X276,"")</f>
        <v/>
      </c>
      <c r="C1776">
        <f>IF(B1776="","",'Daily Sale entry '!AA276)</f>
        <v/>
      </c>
      <c r="D1776">
        <f>IF(C1776="","",0)</f>
        <v/>
      </c>
      <c r="E1776">
        <f>IF(C1776="","",'Daily Sale entry '!AC276)</f>
        <v/>
      </c>
      <c r="F1776" s="37">
        <f>IF(C1776="","",B1776+IF(E1776&gt;0,0,0.5)+ROW()/10000000)</f>
        <v/>
      </c>
      <c r="G1776">
        <f>IF(C1776="","","Collection 收款 (Online 网上)"&amp;IF('Daily Sale entry '!Y276="",""," - "&amp;'Daily Sale entry '!Y276))</f>
        <v/>
      </c>
      <c r="H1776">
        <f>IF(C1776="","",COUNTIFS($C$2:$C$3001,C1776,$F$2:$F$3001,"&lt;"&amp;F1776)+1)</f>
        <v/>
      </c>
      <c r="I1776">
        <f>IF(C1776="","",C1776&amp;"|"&amp;H1776)</f>
        <v/>
      </c>
      <c r="J1776" s="6">
        <f>IF(C1776="","",IF(H1776=1,SUMIFS('Opening Balance'!$F$4:$F$303,'Opening Balance'!$G$4:$G$303,C1776),INDEX($L$2:$L$3001,MATCH(C1776&amp;"|"&amp;(H1776-1),$I$2:$I$3001,0))))</f>
        <v/>
      </c>
      <c r="K1776" s="6">
        <f>IF(C1776="","",IF(M1776&gt;0,M1776,IF(AND(E1776&gt;0,ROUND(J1776+D1776-E1776,2)&gt;0,ROUND(J1776+D1776-E1776,2)&lt;'Opening Balance'!$B$14),ROUND(J1776+D1776-E1776,2),0)))</f>
        <v/>
      </c>
      <c r="L1776" s="6">
        <f>IF(C1776="","",ROUND(J1776+D1776-E1776-K1776,2))</f>
        <v/>
      </c>
      <c r="M1776" s="6">
        <f>IF(C1776="","",0)</f>
        <v/>
      </c>
    </row>
    <row r="1777">
      <c r="A1777" t="inlineStr">
        <is>
          <t>Bank 银行</t>
        </is>
      </c>
      <c r="B1777" s="5">
        <f>IF(AND('Daily Sale entry '!Z277="Online collection 网上收款",'Daily Sale entry '!AA277&lt;&gt;""),'Daily Sale entry '!X277,"")</f>
        <v/>
      </c>
      <c r="C1777">
        <f>IF(B1777="","",'Daily Sale entry '!AA277)</f>
        <v/>
      </c>
      <c r="D1777">
        <f>IF(C1777="","",0)</f>
        <v/>
      </c>
      <c r="E1777">
        <f>IF(C1777="","",'Daily Sale entry '!AC277)</f>
        <v/>
      </c>
      <c r="F1777" s="37">
        <f>IF(C1777="","",B1777+IF(E1777&gt;0,0,0.5)+ROW()/10000000)</f>
        <v/>
      </c>
      <c r="G1777">
        <f>IF(C1777="","","Collection 收款 (Online 网上)"&amp;IF('Daily Sale entry '!Y277="",""," - "&amp;'Daily Sale entry '!Y277))</f>
        <v/>
      </c>
      <c r="H1777">
        <f>IF(C1777="","",COUNTIFS($C$2:$C$3001,C1777,$F$2:$F$3001,"&lt;"&amp;F1777)+1)</f>
        <v/>
      </c>
      <c r="I1777">
        <f>IF(C1777="","",C1777&amp;"|"&amp;H1777)</f>
        <v/>
      </c>
      <c r="J1777" s="6">
        <f>IF(C1777="","",IF(H1777=1,SUMIFS('Opening Balance'!$F$4:$F$303,'Opening Balance'!$G$4:$G$303,C1777),INDEX($L$2:$L$3001,MATCH(C1777&amp;"|"&amp;(H1777-1),$I$2:$I$3001,0))))</f>
        <v/>
      </c>
      <c r="K1777" s="6">
        <f>IF(C1777="","",IF(M1777&gt;0,M1777,IF(AND(E1777&gt;0,ROUND(J1777+D1777-E1777,2)&gt;0,ROUND(J1777+D1777-E1777,2)&lt;'Opening Balance'!$B$14),ROUND(J1777+D1777-E1777,2),0)))</f>
        <v/>
      </c>
      <c r="L1777" s="6">
        <f>IF(C1777="","",ROUND(J1777+D1777-E1777-K1777,2))</f>
        <v/>
      </c>
      <c r="M1777" s="6">
        <f>IF(C1777="","",0)</f>
        <v/>
      </c>
    </row>
    <row r="1778">
      <c r="A1778" t="inlineStr">
        <is>
          <t>Bank 银行</t>
        </is>
      </c>
      <c r="B1778" s="5">
        <f>IF(AND('Daily Sale entry '!Z278="Online collection 网上收款",'Daily Sale entry '!AA278&lt;&gt;""),'Daily Sale entry '!X278,"")</f>
        <v/>
      </c>
      <c r="C1778">
        <f>IF(B1778="","",'Daily Sale entry '!AA278)</f>
        <v/>
      </c>
      <c r="D1778">
        <f>IF(C1778="","",0)</f>
        <v/>
      </c>
      <c r="E1778">
        <f>IF(C1778="","",'Daily Sale entry '!AC278)</f>
        <v/>
      </c>
      <c r="F1778" s="37">
        <f>IF(C1778="","",B1778+IF(E1778&gt;0,0,0.5)+ROW()/10000000)</f>
        <v/>
      </c>
      <c r="G1778">
        <f>IF(C1778="","","Collection 收款 (Online 网上)"&amp;IF('Daily Sale entry '!Y278="",""," - "&amp;'Daily Sale entry '!Y278))</f>
        <v/>
      </c>
      <c r="H1778">
        <f>IF(C1778="","",COUNTIFS($C$2:$C$3001,C1778,$F$2:$F$3001,"&lt;"&amp;F1778)+1)</f>
        <v/>
      </c>
      <c r="I1778">
        <f>IF(C1778="","",C1778&amp;"|"&amp;H1778)</f>
        <v/>
      </c>
      <c r="J1778" s="6">
        <f>IF(C1778="","",IF(H1778=1,SUMIFS('Opening Balance'!$F$4:$F$303,'Opening Balance'!$G$4:$G$303,C1778),INDEX($L$2:$L$3001,MATCH(C1778&amp;"|"&amp;(H1778-1),$I$2:$I$3001,0))))</f>
        <v/>
      </c>
      <c r="K1778" s="6">
        <f>IF(C1778="","",IF(M1778&gt;0,M1778,IF(AND(E1778&gt;0,ROUND(J1778+D1778-E1778,2)&gt;0,ROUND(J1778+D1778-E1778,2)&lt;'Opening Balance'!$B$14),ROUND(J1778+D1778-E1778,2),0)))</f>
        <v/>
      </c>
      <c r="L1778" s="6">
        <f>IF(C1778="","",ROUND(J1778+D1778-E1778-K1778,2))</f>
        <v/>
      </c>
      <c r="M1778" s="6">
        <f>IF(C1778="","",0)</f>
        <v/>
      </c>
    </row>
    <row r="1779">
      <c r="A1779" t="inlineStr">
        <is>
          <t>Bank 银行</t>
        </is>
      </c>
      <c r="B1779" s="5">
        <f>IF(AND('Daily Sale entry '!Z279="Online collection 网上收款",'Daily Sale entry '!AA279&lt;&gt;""),'Daily Sale entry '!X279,"")</f>
        <v/>
      </c>
      <c r="C1779">
        <f>IF(B1779="","",'Daily Sale entry '!AA279)</f>
        <v/>
      </c>
      <c r="D1779">
        <f>IF(C1779="","",0)</f>
        <v/>
      </c>
      <c r="E1779">
        <f>IF(C1779="","",'Daily Sale entry '!AC279)</f>
        <v/>
      </c>
      <c r="F1779" s="37">
        <f>IF(C1779="","",B1779+IF(E1779&gt;0,0,0.5)+ROW()/10000000)</f>
        <v/>
      </c>
      <c r="G1779">
        <f>IF(C1779="","","Collection 收款 (Online 网上)"&amp;IF('Daily Sale entry '!Y279="",""," - "&amp;'Daily Sale entry '!Y279))</f>
        <v/>
      </c>
      <c r="H1779">
        <f>IF(C1779="","",COUNTIFS($C$2:$C$3001,C1779,$F$2:$F$3001,"&lt;"&amp;F1779)+1)</f>
        <v/>
      </c>
      <c r="I1779">
        <f>IF(C1779="","",C1779&amp;"|"&amp;H1779)</f>
        <v/>
      </c>
      <c r="J1779" s="6">
        <f>IF(C1779="","",IF(H1779=1,SUMIFS('Opening Balance'!$F$4:$F$303,'Opening Balance'!$G$4:$G$303,C1779),INDEX($L$2:$L$3001,MATCH(C1779&amp;"|"&amp;(H1779-1),$I$2:$I$3001,0))))</f>
        <v/>
      </c>
      <c r="K1779" s="6">
        <f>IF(C1779="","",IF(M1779&gt;0,M1779,IF(AND(E1779&gt;0,ROUND(J1779+D1779-E1779,2)&gt;0,ROUND(J1779+D1779-E1779,2)&lt;'Opening Balance'!$B$14),ROUND(J1779+D1779-E1779,2),0)))</f>
        <v/>
      </c>
      <c r="L1779" s="6">
        <f>IF(C1779="","",ROUND(J1779+D1779-E1779-K1779,2))</f>
        <v/>
      </c>
      <c r="M1779" s="6">
        <f>IF(C1779="","",0)</f>
        <v/>
      </c>
    </row>
    <row r="1780">
      <c r="A1780" t="inlineStr">
        <is>
          <t>Bank 银行</t>
        </is>
      </c>
      <c r="B1780" s="5">
        <f>IF(AND('Daily Sale entry '!Z280="Online collection 网上收款",'Daily Sale entry '!AA280&lt;&gt;""),'Daily Sale entry '!X280,"")</f>
        <v/>
      </c>
      <c r="C1780">
        <f>IF(B1780="","",'Daily Sale entry '!AA280)</f>
        <v/>
      </c>
      <c r="D1780">
        <f>IF(C1780="","",0)</f>
        <v/>
      </c>
      <c r="E1780">
        <f>IF(C1780="","",'Daily Sale entry '!AC280)</f>
        <v/>
      </c>
      <c r="F1780" s="37">
        <f>IF(C1780="","",B1780+IF(E1780&gt;0,0,0.5)+ROW()/10000000)</f>
        <v/>
      </c>
      <c r="G1780">
        <f>IF(C1780="","","Collection 收款 (Online 网上)"&amp;IF('Daily Sale entry '!Y280="",""," - "&amp;'Daily Sale entry '!Y280))</f>
        <v/>
      </c>
      <c r="H1780">
        <f>IF(C1780="","",COUNTIFS($C$2:$C$3001,C1780,$F$2:$F$3001,"&lt;"&amp;F1780)+1)</f>
        <v/>
      </c>
      <c r="I1780">
        <f>IF(C1780="","",C1780&amp;"|"&amp;H1780)</f>
        <v/>
      </c>
      <c r="J1780" s="6">
        <f>IF(C1780="","",IF(H1780=1,SUMIFS('Opening Balance'!$F$4:$F$303,'Opening Balance'!$G$4:$G$303,C1780),INDEX($L$2:$L$3001,MATCH(C1780&amp;"|"&amp;(H1780-1),$I$2:$I$3001,0))))</f>
        <v/>
      </c>
      <c r="K1780" s="6">
        <f>IF(C1780="","",IF(M1780&gt;0,M1780,IF(AND(E1780&gt;0,ROUND(J1780+D1780-E1780,2)&gt;0,ROUND(J1780+D1780-E1780,2)&lt;'Opening Balance'!$B$14),ROUND(J1780+D1780-E1780,2),0)))</f>
        <v/>
      </c>
      <c r="L1780" s="6">
        <f>IF(C1780="","",ROUND(J1780+D1780-E1780-K1780,2))</f>
        <v/>
      </c>
      <c r="M1780" s="6">
        <f>IF(C1780="","",0)</f>
        <v/>
      </c>
    </row>
    <row r="1781">
      <c r="A1781" t="inlineStr">
        <is>
          <t>Bank 银行</t>
        </is>
      </c>
      <c r="B1781" s="5">
        <f>IF(AND('Daily Sale entry '!Z281="Online collection 网上收款",'Daily Sale entry '!AA281&lt;&gt;""),'Daily Sale entry '!X281,"")</f>
        <v/>
      </c>
      <c r="C1781">
        <f>IF(B1781="","",'Daily Sale entry '!AA281)</f>
        <v/>
      </c>
      <c r="D1781">
        <f>IF(C1781="","",0)</f>
        <v/>
      </c>
      <c r="E1781">
        <f>IF(C1781="","",'Daily Sale entry '!AC281)</f>
        <v/>
      </c>
      <c r="F1781" s="37">
        <f>IF(C1781="","",B1781+IF(E1781&gt;0,0,0.5)+ROW()/10000000)</f>
        <v/>
      </c>
      <c r="G1781">
        <f>IF(C1781="","","Collection 收款 (Online 网上)"&amp;IF('Daily Sale entry '!Y281="",""," - "&amp;'Daily Sale entry '!Y281))</f>
        <v/>
      </c>
      <c r="H1781">
        <f>IF(C1781="","",COUNTIFS($C$2:$C$3001,C1781,$F$2:$F$3001,"&lt;"&amp;F1781)+1)</f>
        <v/>
      </c>
      <c r="I1781">
        <f>IF(C1781="","",C1781&amp;"|"&amp;H1781)</f>
        <v/>
      </c>
      <c r="J1781" s="6">
        <f>IF(C1781="","",IF(H1781=1,SUMIFS('Opening Balance'!$F$4:$F$303,'Opening Balance'!$G$4:$G$303,C1781),INDEX($L$2:$L$3001,MATCH(C1781&amp;"|"&amp;(H1781-1),$I$2:$I$3001,0))))</f>
        <v/>
      </c>
      <c r="K1781" s="6">
        <f>IF(C1781="","",IF(M1781&gt;0,M1781,IF(AND(E1781&gt;0,ROUND(J1781+D1781-E1781,2)&gt;0,ROUND(J1781+D1781-E1781,2)&lt;'Opening Balance'!$B$14),ROUND(J1781+D1781-E1781,2),0)))</f>
        <v/>
      </c>
      <c r="L1781" s="6">
        <f>IF(C1781="","",ROUND(J1781+D1781-E1781-K1781,2))</f>
        <v/>
      </c>
      <c r="M1781" s="6">
        <f>IF(C1781="","",0)</f>
        <v/>
      </c>
    </row>
    <row r="1782">
      <c r="A1782" t="inlineStr">
        <is>
          <t>Bank 银行</t>
        </is>
      </c>
      <c r="B1782" s="5">
        <f>IF(AND('Daily Sale entry '!Z282="Online collection 网上收款",'Daily Sale entry '!AA282&lt;&gt;""),'Daily Sale entry '!X282,"")</f>
        <v/>
      </c>
      <c r="C1782">
        <f>IF(B1782="","",'Daily Sale entry '!AA282)</f>
        <v/>
      </c>
      <c r="D1782">
        <f>IF(C1782="","",0)</f>
        <v/>
      </c>
      <c r="E1782">
        <f>IF(C1782="","",'Daily Sale entry '!AC282)</f>
        <v/>
      </c>
      <c r="F1782" s="37">
        <f>IF(C1782="","",B1782+IF(E1782&gt;0,0,0.5)+ROW()/10000000)</f>
        <v/>
      </c>
      <c r="G1782">
        <f>IF(C1782="","","Collection 收款 (Online 网上)"&amp;IF('Daily Sale entry '!Y282="",""," - "&amp;'Daily Sale entry '!Y282))</f>
        <v/>
      </c>
      <c r="H1782">
        <f>IF(C1782="","",COUNTIFS($C$2:$C$3001,C1782,$F$2:$F$3001,"&lt;"&amp;F1782)+1)</f>
        <v/>
      </c>
      <c r="I1782">
        <f>IF(C1782="","",C1782&amp;"|"&amp;H1782)</f>
        <v/>
      </c>
      <c r="J1782" s="6">
        <f>IF(C1782="","",IF(H1782=1,SUMIFS('Opening Balance'!$F$4:$F$303,'Opening Balance'!$G$4:$G$303,C1782),INDEX($L$2:$L$3001,MATCH(C1782&amp;"|"&amp;(H1782-1),$I$2:$I$3001,0))))</f>
        <v/>
      </c>
      <c r="K1782" s="6">
        <f>IF(C1782="","",IF(M1782&gt;0,M1782,IF(AND(E1782&gt;0,ROUND(J1782+D1782-E1782,2)&gt;0,ROUND(J1782+D1782-E1782,2)&lt;'Opening Balance'!$B$14),ROUND(J1782+D1782-E1782,2),0)))</f>
        <v/>
      </c>
      <c r="L1782" s="6">
        <f>IF(C1782="","",ROUND(J1782+D1782-E1782-K1782,2))</f>
        <v/>
      </c>
      <c r="M1782" s="6">
        <f>IF(C1782="","",0)</f>
        <v/>
      </c>
    </row>
    <row r="1783">
      <c r="A1783" t="inlineStr">
        <is>
          <t>Bank 银行</t>
        </is>
      </c>
      <c r="B1783" s="5">
        <f>IF(AND('Daily Sale entry '!Z283="Online collection 网上收款",'Daily Sale entry '!AA283&lt;&gt;""),'Daily Sale entry '!X283,"")</f>
        <v/>
      </c>
      <c r="C1783">
        <f>IF(B1783="","",'Daily Sale entry '!AA283)</f>
        <v/>
      </c>
      <c r="D1783">
        <f>IF(C1783="","",0)</f>
        <v/>
      </c>
      <c r="E1783">
        <f>IF(C1783="","",'Daily Sale entry '!AC283)</f>
        <v/>
      </c>
      <c r="F1783" s="37">
        <f>IF(C1783="","",B1783+IF(E1783&gt;0,0,0.5)+ROW()/10000000)</f>
        <v/>
      </c>
      <c r="G1783">
        <f>IF(C1783="","","Collection 收款 (Online 网上)"&amp;IF('Daily Sale entry '!Y283="",""," - "&amp;'Daily Sale entry '!Y283))</f>
        <v/>
      </c>
      <c r="H1783">
        <f>IF(C1783="","",COUNTIFS($C$2:$C$3001,C1783,$F$2:$F$3001,"&lt;"&amp;F1783)+1)</f>
        <v/>
      </c>
      <c r="I1783">
        <f>IF(C1783="","",C1783&amp;"|"&amp;H1783)</f>
        <v/>
      </c>
      <c r="J1783" s="6">
        <f>IF(C1783="","",IF(H1783=1,SUMIFS('Opening Balance'!$F$4:$F$303,'Opening Balance'!$G$4:$G$303,C1783),INDEX($L$2:$L$3001,MATCH(C1783&amp;"|"&amp;(H1783-1),$I$2:$I$3001,0))))</f>
        <v/>
      </c>
      <c r="K1783" s="6">
        <f>IF(C1783="","",IF(M1783&gt;0,M1783,IF(AND(E1783&gt;0,ROUND(J1783+D1783-E1783,2)&gt;0,ROUND(J1783+D1783-E1783,2)&lt;'Opening Balance'!$B$14),ROUND(J1783+D1783-E1783,2),0)))</f>
        <v/>
      </c>
      <c r="L1783" s="6">
        <f>IF(C1783="","",ROUND(J1783+D1783-E1783-K1783,2))</f>
        <v/>
      </c>
      <c r="M1783" s="6">
        <f>IF(C1783="","",0)</f>
        <v/>
      </c>
    </row>
    <row r="1784">
      <c r="A1784" t="inlineStr">
        <is>
          <t>Bank 银行</t>
        </is>
      </c>
      <c r="B1784" s="5">
        <f>IF(AND('Daily Sale entry '!Z284="Online collection 网上收款",'Daily Sale entry '!AA284&lt;&gt;""),'Daily Sale entry '!X284,"")</f>
        <v/>
      </c>
      <c r="C1784">
        <f>IF(B1784="","",'Daily Sale entry '!AA284)</f>
        <v/>
      </c>
      <c r="D1784">
        <f>IF(C1784="","",0)</f>
        <v/>
      </c>
      <c r="E1784">
        <f>IF(C1784="","",'Daily Sale entry '!AC284)</f>
        <v/>
      </c>
      <c r="F1784" s="37">
        <f>IF(C1784="","",B1784+IF(E1784&gt;0,0,0.5)+ROW()/10000000)</f>
        <v/>
      </c>
      <c r="G1784">
        <f>IF(C1784="","","Collection 收款 (Online 网上)"&amp;IF('Daily Sale entry '!Y284="",""," - "&amp;'Daily Sale entry '!Y284))</f>
        <v/>
      </c>
      <c r="H1784">
        <f>IF(C1784="","",COUNTIFS($C$2:$C$3001,C1784,$F$2:$F$3001,"&lt;"&amp;F1784)+1)</f>
        <v/>
      </c>
      <c r="I1784">
        <f>IF(C1784="","",C1784&amp;"|"&amp;H1784)</f>
        <v/>
      </c>
      <c r="J1784" s="6">
        <f>IF(C1784="","",IF(H1784=1,SUMIFS('Opening Balance'!$F$4:$F$303,'Opening Balance'!$G$4:$G$303,C1784),INDEX($L$2:$L$3001,MATCH(C1784&amp;"|"&amp;(H1784-1),$I$2:$I$3001,0))))</f>
        <v/>
      </c>
      <c r="K1784" s="6">
        <f>IF(C1784="","",IF(M1784&gt;0,M1784,IF(AND(E1784&gt;0,ROUND(J1784+D1784-E1784,2)&gt;0,ROUND(J1784+D1784-E1784,2)&lt;'Opening Balance'!$B$14),ROUND(J1784+D1784-E1784,2),0)))</f>
        <v/>
      </c>
      <c r="L1784" s="6">
        <f>IF(C1784="","",ROUND(J1784+D1784-E1784-K1784,2))</f>
        <v/>
      </c>
      <c r="M1784" s="6">
        <f>IF(C1784="","",0)</f>
        <v/>
      </c>
    </row>
    <row r="1785">
      <c r="A1785" t="inlineStr">
        <is>
          <t>Bank 银行</t>
        </is>
      </c>
      <c r="B1785" s="5">
        <f>IF(AND('Daily Sale entry '!Z285="Online collection 网上收款",'Daily Sale entry '!AA285&lt;&gt;""),'Daily Sale entry '!X285,"")</f>
        <v/>
      </c>
      <c r="C1785">
        <f>IF(B1785="","",'Daily Sale entry '!AA285)</f>
        <v/>
      </c>
      <c r="D1785">
        <f>IF(C1785="","",0)</f>
        <v/>
      </c>
      <c r="E1785">
        <f>IF(C1785="","",'Daily Sale entry '!AC285)</f>
        <v/>
      </c>
      <c r="F1785" s="37">
        <f>IF(C1785="","",B1785+IF(E1785&gt;0,0,0.5)+ROW()/10000000)</f>
        <v/>
      </c>
      <c r="G1785">
        <f>IF(C1785="","","Collection 收款 (Online 网上)"&amp;IF('Daily Sale entry '!Y285="",""," - "&amp;'Daily Sale entry '!Y285))</f>
        <v/>
      </c>
      <c r="H1785">
        <f>IF(C1785="","",COUNTIFS($C$2:$C$3001,C1785,$F$2:$F$3001,"&lt;"&amp;F1785)+1)</f>
        <v/>
      </c>
      <c r="I1785">
        <f>IF(C1785="","",C1785&amp;"|"&amp;H1785)</f>
        <v/>
      </c>
      <c r="J1785" s="6">
        <f>IF(C1785="","",IF(H1785=1,SUMIFS('Opening Balance'!$F$4:$F$303,'Opening Balance'!$G$4:$G$303,C1785),INDEX($L$2:$L$3001,MATCH(C1785&amp;"|"&amp;(H1785-1),$I$2:$I$3001,0))))</f>
        <v/>
      </c>
      <c r="K1785" s="6">
        <f>IF(C1785="","",IF(M1785&gt;0,M1785,IF(AND(E1785&gt;0,ROUND(J1785+D1785-E1785,2)&gt;0,ROUND(J1785+D1785-E1785,2)&lt;'Opening Balance'!$B$14),ROUND(J1785+D1785-E1785,2),0)))</f>
        <v/>
      </c>
      <c r="L1785" s="6">
        <f>IF(C1785="","",ROUND(J1785+D1785-E1785-K1785,2))</f>
        <v/>
      </c>
      <c r="M1785" s="6">
        <f>IF(C1785="","",0)</f>
        <v/>
      </c>
    </row>
    <row r="1786">
      <c r="A1786" t="inlineStr">
        <is>
          <t>Bank 银行</t>
        </is>
      </c>
      <c r="B1786" s="5">
        <f>IF(AND('Daily Sale entry '!Z286="Online collection 网上收款",'Daily Sale entry '!AA286&lt;&gt;""),'Daily Sale entry '!X286,"")</f>
        <v/>
      </c>
      <c r="C1786">
        <f>IF(B1786="","",'Daily Sale entry '!AA286)</f>
        <v/>
      </c>
      <c r="D1786">
        <f>IF(C1786="","",0)</f>
        <v/>
      </c>
      <c r="E1786">
        <f>IF(C1786="","",'Daily Sale entry '!AC286)</f>
        <v/>
      </c>
      <c r="F1786" s="37">
        <f>IF(C1786="","",B1786+IF(E1786&gt;0,0,0.5)+ROW()/10000000)</f>
        <v/>
      </c>
      <c r="G1786">
        <f>IF(C1786="","","Collection 收款 (Online 网上)"&amp;IF('Daily Sale entry '!Y286="",""," - "&amp;'Daily Sale entry '!Y286))</f>
        <v/>
      </c>
      <c r="H1786">
        <f>IF(C1786="","",COUNTIFS($C$2:$C$3001,C1786,$F$2:$F$3001,"&lt;"&amp;F1786)+1)</f>
        <v/>
      </c>
      <c r="I1786">
        <f>IF(C1786="","",C1786&amp;"|"&amp;H1786)</f>
        <v/>
      </c>
      <c r="J1786" s="6">
        <f>IF(C1786="","",IF(H1786=1,SUMIFS('Opening Balance'!$F$4:$F$303,'Opening Balance'!$G$4:$G$303,C1786),INDEX($L$2:$L$3001,MATCH(C1786&amp;"|"&amp;(H1786-1),$I$2:$I$3001,0))))</f>
        <v/>
      </c>
      <c r="K1786" s="6">
        <f>IF(C1786="","",IF(M1786&gt;0,M1786,IF(AND(E1786&gt;0,ROUND(J1786+D1786-E1786,2)&gt;0,ROUND(J1786+D1786-E1786,2)&lt;'Opening Balance'!$B$14),ROUND(J1786+D1786-E1786,2),0)))</f>
        <v/>
      </c>
      <c r="L1786" s="6">
        <f>IF(C1786="","",ROUND(J1786+D1786-E1786-K1786,2))</f>
        <v/>
      </c>
      <c r="M1786" s="6">
        <f>IF(C1786="","",0)</f>
        <v/>
      </c>
    </row>
    <row r="1787">
      <c r="A1787" t="inlineStr">
        <is>
          <t>Bank 银行</t>
        </is>
      </c>
      <c r="B1787" s="5">
        <f>IF(AND('Daily Sale entry '!Z287="Online collection 网上收款",'Daily Sale entry '!AA287&lt;&gt;""),'Daily Sale entry '!X287,"")</f>
        <v/>
      </c>
      <c r="C1787">
        <f>IF(B1787="","",'Daily Sale entry '!AA287)</f>
        <v/>
      </c>
      <c r="D1787">
        <f>IF(C1787="","",0)</f>
        <v/>
      </c>
      <c r="E1787">
        <f>IF(C1787="","",'Daily Sale entry '!AC287)</f>
        <v/>
      </c>
      <c r="F1787" s="37">
        <f>IF(C1787="","",B1787+IF(E1787&gt;0,0,0.5)+ROW()/10000000)</f>
        <v/>
      </c>
      <c r="G1787">
        <f>IF(C1787="","","Collection 收款 (Online 网上)"&amp;IF('Daily Sale entry '!Y287="",""," - "&amp;'Daily Sale entry '!Y287))</f>
        <v/>
      </c>
      <c r="H1787">
        <f>IF(C1787="","",COUNTIFS($C$2:$C$3001,C1787,$F$2:$F$3001,"&lt;"&amp;F1787)+1)</f>
        <v/>
      </c>
      <c r="I1787">
        <f>IF(C1787="","",C1787&amp;"|"&amp;H1787)</f>
        <v/>
      </c>
      <c r="J1787" s="6">
        <f>IF(C1787="","",IF(H1787=1,SUMIFS('Opening Balance'!$F$4:$F$303,'Opening Balance'!$G$4:$G$303,C1787),INDEX($L$2:$L$3001,MATCH(C1787&amp;"|"&amp;(H1787-1),$I$2:$I$3001,0))))</f>
        <v/>
      </c>
      <c r="K1787" s="6">
        <f>IF(C1787="","",IF(M1787&gt;0,M1787,IF(AND(E1787&gt;0,ROUND(J1787+D1787-E1787,2)&gt;0,ROUND(J1787+D1787-E1787,2)&lt;'Opening Balance'!$B$14),ROUND(J1787+D1787-E1787,2),0)))</f>
        <v/>
      </c>
      <c r="L1787" s="6">
        <f>IF(C1787="","",ROUND(J1787+D1787-E1787-K1787,2))</f>
        <v/>
      </c>
      <c r="M1787" s="6">
        <f>IF(C1787="","",0)</f>
        <v/>
      </c>
    </row>
    <row r="1788">
      <c r="A1788" t="inlineStr">
        <is>
          <t>Bank 银行</t>
        </is>
      </c>
      <c r="B1788" s="5">
        <f>IF(AND('Daily Sale entry '!Z288="Online collection 网上收款",'Daily Sale entry '!AA288&lt;&gt;""),'Daily Sale entry '!X288,"")</f>
        <v/>
      </c>
      <c r="C1788">
        <f>IF(B1788="","",'Daily Sale entry '!AA288)</f>
        <v/>
      </c>
      <c r="D1788">
        <f>IF(C1788="","",0)</f>
        <v/>
      </c>
      <c r="E1788">
        <f>IF(C1788="","",'Daily Sale entry '!AC288)</f>
        <v/>
      </c>
      <c r="F1788" s="37">
        <f>IF(C1788="","",B1788+IF(E1788&gt;0,0,0.5)+ROW()/10000000)</f>
        <v/>
      </c>
      <c r="G1788">
        <f>IF(C1788="","","Collection 收款 (Online 网上)"&amp;IF('Daily Sale entry '!Y288="",""," - "&amp;'Daily Sale entry '!Y288))</f>
        <v/>
      </c>
      <c r="H1788">
        <f>IF(C1788="","",COUNTIFS($C$2:$C$3001,C1788,$F$2:$F$3001,"&lt;"&amp;F1788)+1)</f>
        <v/>
      </c>
      <c r="I1788">
        <f>IF(C1788="","",C1788&amp;"|"&amp;H1788)</f>
        <v/>
      </c>
      <c r="J1788" s="6">
        <f>IF(C1788="","",IF(H1788=1,SUMIFS('Opening Balance'!$F$4:$F$303,'Opening Balance'!$G$4:$G$303,C1788),INDEX($L$2:$L$3001,MATCH(C1788&amp;"|"&amp;(H1788-1),$I$2:$I$3001,0))))</f>
        <v/>
      </c>
      <c r="K1788" s="6">
        <f>IF(C1788="","",IF(M1788&gt;0,M1788,IF(AND(E1788&gt;0,ROUND(J1788+D1788-E1788,2)&gt;0,ROUND(J1788+D1788-E1788,2)&lt;'Opening Balance'!$B$14),ROUND(J1788+D1788-E1788,2),0)))</f>
        <v/>
      </c>
      <c r="L1788" s="6">
        <f>IF(C1788="","",ROUND(J1788+D1788-E1788-K1788,2))</f>
        <v/>
      </c>
      <c r="M1788" s="6">
        <f>IF(C1788="","",0)</f>
        <v/>
      </c>
    </row>
    <row r="1789">
      <c r="A1789" t="inlineStr">
        <is>
          <t>Bank 银行</t>
        </is>
      </c>
      <c r="B1789" s="5">
        <f>IF(AND('Daily Sale entry '!Z289="Online collection 网上收款",'Daily Sale entry '!AA289&lt;&gt;""),'Daily Sale entry '!X289,"")</f>
        <v/>
      </c>
      <c r="C1789">
        <f>IF(B1789="","",'Daily Sale entry '!AA289)</f>
        <v/>
      </c>
      <c r="D1789">
        <f>IF(C1789="","",0)</f>
        <v/>
      </c>
      <c r="E1789">
        <f>IF(C1789="","",'Daily Sale entry '!AC289)</f>
        <v/>
      </c>
      <c r="F1789" s="37">
        <f>IF(C1789="","",B1789+IF(E1789&gt;0,0,0.5)+ROW()/10000000)</f>
        <v/>
      </c>
      <c r="G1789">
        <f>IF(C1789="","","Collection 收款 (Online 网上)"&amp;IF('Daily Sale entry '!Y289="",""," - "&amp;'Daily Sale entry '!Y289))</f>
        <v/>
      </c>
      <c r="H1789">
        <f>IF(C1789="","",COUNTIFS($C$2:$C$3001,C1789,$F$2:$F$3001,"&lt;"&amp;F1789)+1)</f>
        <v/>
      </c>
      <c r="I1789">
        <f>IF(C1789="","",C1789&amp;"|"&amp;H1789)</f>
        <v/>
      </c>
      <c r="J1789" s="6">
        <f>IF(C1789="","",IF(H1789=1,SUMIFS('Opening Balance'!$F$4:$F$303,'Opening Balance'!$G$4:$G$303,C1789),INDEX($L$2:$L$3001,MATCH(C1789&amp;"|"&amp;(H1789-1),$I$2:$I$3001,0))))</f>
        <v/>
      </c>
      <c r="K1789" s="6">
        <f>IF(C1789="","",IF(M1789&gt;0,M1789,IF(AND(E1789&gt;0,ROUND(J1789+D1789-E1789,2)&gt;0,ROUND(J1789+D1789-E1789,2)&lt;'Opening Balance'!$B$14),ROUND(J1789+D1789-E1789,2),0)))</f>
        <v/>
      </c>
      <c r="L1789" s="6">
        <f>IF(C1789="","",ROUND(J1789+D1789-E1789-K1789,2))</f>
        <v/>
      </c>
      <c r="M1789" s="6">
        <f>IF(C1789="","",0)</f>
        <v/>
      </c>
    </row>
    <row r="1790">
      <c r="A1790" t="inlineStr">
        <is>
          <t>Bank 银行</t>
        </is>
      </c>
      <c r="B1790" s="5">
        <f>IF(AND('Daily Sale entry '!Z290="Online collection 网上收款",'Daily Sale entry '!AA290&lt;&gt;""),'Daily Sale entry '!X290,"")</f>
        <v/>
      </c>
      <c r="C1790">
        <f>IF(B1790="","",'Daily Sale entry '!AA290)</f>
        <v/>
      </c>
      <c r="D1790">
        <f>IF(C1790="","",0)</f>
        <v/>
      </c>
      <c r="E1790">
        <f>IF(C1790="","",'Daily Sale entry '!AC290)</f>
        <v/>
      </c>
      <c r="F1790" s="37">
        <f>IF(C1790="","",B1790+IF(E1790&gt;0,0,0.5)+ROW()/10000000)</f>
        <v/>
      </c>
      <c r="G1790">
        <f>IF(C1790="","","Collection 收款 (Online 网上)"&amp;IF('Daily Sale entry '!Y290="",""," - "&amp;'Daily Sale entry '!Y290))</f>
        <v/>
      </c>
      <c r="H1790">
        <f>IF(C1790="","",COUNTIFS($C$2:$C$3001,C1790,$F$2:$F$3001,"&lt;"&amp;F1790)+1)</f>
        <v/>
      </c>
      <c r="I1790">
        <f>IF(C1790="","",C1790&amp;"|"&amp;H1790)</f>
        <v/>
      </c>
      <c r="J1790" s="6">
        <f>IF(C1790="","",IF(H1790=1,SUMIFS('Opening Balance'!$F$4:$F$303,'Opening Balance'!$G$4:$G$303,C1790),INDEX($L$2:$L$3001,MATCH(C1790&amp;"|"&amp;(H1790-1),$I$2:$I$3001,0))))</f>
        <v/>
      </c>
      <c r="K1790" s="6">
        <f>IF(C1790="","",IF(M1790&gt;0,M1790,IF(AND(E1790&gt;0,ROUND(J1790+D1790-E1790,2)&gt;0,ROUND(J1790+D1790-E1790,2)&lt;'Opening Balance'!$B$14),ROUND(J1790+D1790-E1790,2),0)))</f>
        <v/>
      </c>
      <c r="L1790" s="6">
        <f>IF(C1790="","",ROUND(J1790+D1790-E1790-K1790,2))</f>
        <v/>
      </c>
      <c r="M1790" s="6">
        <f>IF(C1790="","",0)</f>
        <v/>
      </c>
    </row>
    <row r="1791">
      <c r="A1791" t="inlineStr">
        <is>
          <t>Bank 银行</t>
        </is>
      </c>
      <c r="B1791" s="5">
        <f>IF(AND('Daily Sale entry '!Z291="Online collection 网上收款",'Daily Sale entry '!AA291&lt;&gt;""),'Daily Sale entry '!X291,"")</f>
        <v/>
      </c>
      <c r="C1791">
        <f>IF(B1791="","",'Daily Sale entry '!AA291)</f>
        <v/>
      </c>
      <c r="D1791">
        <f>IF(C1791="","",0)</f>
        <v/>
      </c>
      <c r="E1791">
        <f>IF(C1791="","",'Daily Sale entry '!AC291)</f>
        <v/>
      </c>
      <c r="F1791" s="37">
        <f>IF(C1791="","",B1791+IF(E1791&gt;0,0,0.5)+ROW()/10000000)</f>
        <v/>
      </c>
      <c r="G1791">
        <f>IF(C1791="","","Collection 收款 (Online 网上)"&amp;IF('Daily Sale entry '!Y291="",""," - "&amp;'Daily Sale entry '!Y291))</f>
        <v/>
      </c>
      <c r="H1791">
        <f>IF(C1791="","",COUNTIFS($C$2:$C$3001,C1791,$F$2:$F$3001,"&lt;"&amp;F1791)+1)</f>
        <v/>
      </c>
      <c r="I1791">
        <f>IF(C1791="","",C1791&amp;"|"&amp;H1791)</f>
        <v/>
      </c>
      <c r="J1791" s="6">
        <f>IF(C1791="","",IF(H1791=1,SUMIFS('Opening Balance'!$F$4:$F$303,'Opening Balance'!$G$4:$G$303,C1791),INDEX($L$2:$L$3001,MATCH(C1791&amp;"|"&amp;(H1791-1),$I$2:$I$3001,0))))</f>
        <v/>
      </c>
      <c r="K1791" s="6">
        <f>IF(C1791="","",IF(M1791&gt;0,M1791,IF(AND(E1791&gt;0,ROUND(J1791+D1791-E1791,2)&gt;0,ROUND(J1791+D1791-E1791,2)&lt;'Opening Balance'!$B$14),ROUND(J1791+D1791-E1791,2),0)))</f>
        <v/>
      </c>
      <c r="L1791" s="6">
        <f>IF(C1791="","",ROUND(J1791+D1791-E1791-K1791,2))</f>
        <v/>
      </c>
      <c r="M1791" s="6">
        <f>IF(C1791="","",0)</f>
        <v/>
      </c>
    </row>
    <row r="1792">
      <c r="A1792" t="inlineStr">
        <is>
          <t>Bank 银行</t>
        </is>
      </c>
      <c r="B1792" s="5">
        <f>IF(AND('Daily Sale entry '!Z292="Online collection 网上收款",'Daily Sale entry '!AA292&lt;&gt;""),'Daily Sale entry '!X292,"")</f>
        <v/>
      </c>
      <c r="C1792">
        <f>IF(B1792="","",'Daily Sale entry '!AA292)</f>
        <v/>
      </c>
      <c r="D1792">
        <f>IF(C1792="","",0)</f>
        <v/>
      </c>
      <c r="E1792">
        <f>IF(C1792="","",'Daily Sale entry '!AC292)</f>
        <v/>
      </c>
      <c r="F1792" s="37">
        <f>IF(C1792="","",B1792+IF(E1792&gt;0,0,0.5)+ROW()/10000000)</f>
        <v/>
      </c>
      <c r="G1792">
        <f>IF(C1792="","","Collection 收款 (Online 网上)"&amp;IF('Daily Sale entry '!Y292="",""," - "&amp;'Daily Sale entry '!Y292))</f>
        <v/>
      </c>
      <c r="H1792">
        <f>IF(C1792="","",COUNTIFS($C$2:$C$3001,C1792,$F$2:$F$3001,"&lt;"&amp;F1792)+1)</f>
        <v/>
      </c>
      <c r="I1792">
        <f>IF(C1792="","",C1792&amp;"|"&amp;H1792)</f>
        <v/>
      </c>
      <c r="J1792" s="6">
        <f>IF(C1792="","",IF(H1792=1,SUMIFS('Opening Balance'!$F$4:$F$303,'Opening Balance'!$G$4:$G$303,C1792),INDEX($L$2:$L$3001,MATCH(C1792&amp;"|"&amp;(H1792-1),$I$2:$I$3001,0))))</f>
        <v/>
      </c>
      <c r="K1792" s="6">
        <f>IF(C1792="","",IF(M1792&gt;0,M1792,IF(AND(E1792&gt;0,ROUND(J1792+D1792-E1792,2)&gt;0,ROUND(J1792+D1792-E1792,2)&lt;'Opening Balance'!$B$14),ROUND(J1792+D1792-E1792,2),0)))</f>
        <v/>
      </c>
      <c r="L1792" s="6">
        <f>IF(C1792="","",ROUND(J1792+D1792-E1792-K1792,2))</f>
        <v/>
      </c>
      <c r="M1792" s="6">
        <f>IF(C1792="","",0)</f>
        <v/>
      </c>
    </row>
    <row r="1793">
      <c r="A1793" t="inlineStr">
        <is>
          <t>Bank 银行</t>
        </is>
      </c>
      <c r="B1793" s="5">
        <f>IF(AND('Daily Sale entry '!Z293="Online collection 网上收款",'Daily Sale entry '!AA293&lt;&gt;""),'Daily Sale entry '!X293,"")</f>
        <v/>
      </c>
      <c r="C1793">
        <f>IF(B1793="","",'Daily Sale entry '!AA293)</f>
        <v/>
      </c>
      <c r="D1793">
        <f>IF(C1793="","",0)</f>
        <v/>
      </c>
      <c r="E1793">
        <f>IF(C1793="","",'Daily Sale entry '!AC293)</f>
        <v/>
      </c>
      <c r="F1793" s="37">
        <f>IF(C1793="","",B1793+IF(E1793&gt;0,0,0.5)+ROW()/10000000)</f>
        <v/>
      </c>
      <c r="G1793">
        <f>IF(C1793="","","Collection 收款 (Online 网上)"&amp;IF('Daily Sale entry '!Y293="",""," - "&amp;'Daily Sale entry '!Y293))</f>
        <v/>
      </c>
      <c r="H1793">
        <f>IF(C1793="","",COUNTIFS($C$2:$C$3001,C1793,$F$2:$F$3001,"&lt;"&amp;F1793)+1)</f>
        <v/>
      </c>
      <c r="I1793">
        <f>IF(C1793="","",C1793&amp;"|"&amp;H1793)</f>
        <v/>
      </c>
      <c r="J1793" s="6">
        <f>IF(C1793="","",IF(H1793=1,SUMIFS('Opening Balance'!$F$4:$F$303,'Opening Balance'!$G$4:$G$303,C1793),INDEX($L$2:$L$3001,MATCH(C1793&amp;"|"&amp;(H1793-1),$I$2:$I$3001,0))))</f>
        <v/>
      </c>
      <c r="K1793" s="6">
        <f>IF(C1793="","",IF(M1793&gt;0,M1793,IF(AND(E1793&gt;0,ROUND(J1793+D1793-E1793,2)&gt;0,ROUND(J1793+D1793-E1793,2)&lt;'Opening Balance'!$B$14),ROUND(J1793+D1793-E1793,2),0)))</f>
        <v/>
      </c>
      <c r="L1793" s="6">
        <f>IF(C1793="","",ROUND(J1793+D1793-E1793-K1793,2))</f>
        <v/>
      </c>
      <c r="M1793" s="6">
        <f>IF(C1793="","",0)</f>
        <v/>
      </c>
    </row>
    <row r="1794">
      <c r="A1794" t="inlineStr">
        <is>
          <t>Bank 银行</t>
        </is>
      </c>
      <c r="B1794" s="5">
        <f>IF(AND('Daily Sale entry '!Z294="Online collection 网上收款",'Daily Sale entry '!AA294&lt;&gt;""),'Daily Sale entry '!X294,"")</f>
        <v/>
      </c>
      <c r="C1794">
        <f>IF(B1794="","",'Daily Sale entry '!AA294)</f>
        <v/>
      </c>
      <c r="D1794">
        <f>IF(C1794="","",0)</f>
        <v/>
      </c>
      <c r="E1794">
        <f>IF(C1794="","",'Daily Sale entry '!AC294)</f>
        <v/>
      </c>
      <c r="F1794" s="37">
        <f>IF(C1794="","",B1794+IF(E1794&gt;0,0,0.5)+ROW()/10000000)</f>
        <v/>
      </c>
      <c r="G1794">
        <f>IF(C1794="","","Collection 收款 (Online 网上)"&amp;IF('Daily Sale entry '!Y294="",""," - "&amp;'Daily Sale entry '!Y294))</f>
        <v/>
      </c>
      <c r="H1794">
        <f>IF(C1794="","",COUNTIFS($C$2:$C$3001,C1794,$F$2:$F$3001,"&lt;"&amp;F1794)+1)</f>
        <v/>
      </c>
      <c r="I1794">
        <f>IF(C1794="","",C1794&amp;"|"&amp;H1794)</f>
        <v/>
      </c>
      <c r="J1794" s="6">
        <f>IF(C1794="","",IF(H1794=1,SUMIFS('Opening Balance'!$F$4:$F$303,'Opening Balance'!$G$4:$G$303,C1794),INDEX($L$2:$L$3001,MATCH(C1794&amp;"|"&amp;(H1794-1),$I$2:$I$3001,0))))</f>
        <v/>
      </c>
      <c r="K1794" s="6">
        <f>IF(C1794="","",IF(M1794&gt;0,M1794,IF(AND(E1794&gt;0,ROUND(J1794+D1794-E1794,2)&gt;0,ROUND(J1794+D1794-E1794,2)&lt;'Opening Balance'!$B$14),ROUND(J1794+D1794-E1794,2),0)))</f>
        <v/>
      </c>
      <c r="L1794" s="6">
        <f>IF(C1794="","",ROUND(J1794+D1794-E1794-K1794,2))</f>
        <v/>
      </c>
      <c r="M1794" s="6">
        <f>IF(C1794="","",0)</f>
        <v/>
      </c>
    </row>
    <row r="1795">
      <c r="A1795" t="inlineStr">
        <is>
          <t>Bank 银行</t>
        </is>
      </c>
      <c r="B1795" s="5">
        <f>IF(AND('Daily Sale entry '!Z295="Online collection 网上收款",'Daily Sale entry '!AA295&lt;&gt;""),'Daily Sale entry '!X295,"")</f>
        <v/>
      </c>
      <c r="C1795">
        <f>IF(B1795="","",'Daily Sale entry '!AA295)</f>
        <v/>
      </c>
      <c r="D1795">
        <f>IF(C1795="","",0)</f>
        <v/>
      </c>
      <c r="E1795">
        <f>IF(C1795="","",'Daily Sale entry '!AC295)</f>
        <v/>
      </c>
      <c r="F1795" s="37">
        <f>IF(C1795="","",B1795+IF(E1795&gt;0,0,0.5)+ROW()/10000000)</f>
        <v/>
      </c>
      <c r="G1795">
        <f>IF(C1795="","","Collection 收款 (Online 网上)"&amp;IF('Daily Sale entry '!Y295="",""," - "&amp;'Daily Sale entry '!Y295))</f>
        <v/>
      </c>
      <c r="H1795">
        <f>IF(C1795="","",COUNTIFS($C$2:$C$3001,C1795,$F$2:$F$3001,"&lt;"&amp;F1795)+1)</f>
        <v/>
      </c>
      <c r="I1795">
        <f>IF(C1795="","",C1795&amp;"|"&amp;H1795)</f>
        <v/>
      </c>
      <c r="J1795" s="6">
        <f>IF(C1795="","",IF(H1795=1,SUMIFS('Opening Balance'!$F$4:$F$303,'Opening Balance'!$G$4:$G$303,C1795),INDEX($L$2:$L$3001,MATCH(C1795&amp;"|"&amp;(H1795-1),$I$2:$I$3001,0))))</f>
        <v/>
      </c>
      <c r="K1795" s="6">
        <f>IF(C1795="","",IF(M1795&gt;0,M1795,IF(AND(E1795&gt;0,ROUND(J1795+D1795-E1795,2)&gt;0,ROUND(J1795+D1795-E1795,2)&lt;'Opening Balance'!$B$14),ROUND(J1795+D1795-E1795,2),0)))</f>
        <v/>
      </c>
      <c r="L1795" s="6">
        <f>IF(C1795="","",ROUND(J1795+D1795-E1795-K1795,2))</f>
        <v/>
      </c>
      <c r="M1795" s="6">
        <f>IF(C1795="","",0)</f>
        <v/>
      </c>
    </row>
    <row r="1796">
      <c r="A1796" t="inlineStr">
        <is>
          <t>Bank 银行</t>
        </is>
      </c>
      <c r="B1796" s="5">
        <f>IF(AND('Daily Sale entry '!Z296="Online collection 网上收款",'Daily Sale entry '!AA296&lt;&gt;""),'Daily Sale entry '!X296,"")</f>
        <v/>
      </c>
      <c r="C1796">
        <f>IF(B1796="","",'Daily Sale entry '!AA296)</f>
        <v/>
      </c>
      <c r="D1796">
        <f>IF(C1796="","",0)</f>
        <v/>
      </c>
      <c r="E1796">
        <f>IF(C1796="","",'Daily Sale entry '!AC296)</f>
        <v/>
      </c>
      <c r="F1796" s="37">
        <f>IF(C1796="","",B1796+IF(E1796&gt;0,0,0.5)+ROW()/10000000)</f>
        <v/>
      </c>
      <c r="G1796">
        <f>IF(C1796="","","Collection 收款 (Online 网上)"&amp;IF('Daily Sale entry '!Y296="",""," - "&amp;'Daily Sale entry '!Y296))</f>
        <v/>
      </c>
      <c r="H1796">
        <f>IF(C1796="","",COUNTIFS($C$2:$C$3001,C1796,$F$2:$F$3001,"&lt;"&amp;F1796)+1)</f>
        <v/>
      </c>
      <c r="I1796">
        <f>IF(C1796="","",C1796&amp;"|"&amp;H1796)</f>
        <v/>
      </c>
      <c r="J1796" s="6">
        <f>IF(C1796="","",IF(H1796=1,SUMIFS('Opening Balance'!$F$4:$F$303,'Opening Balance'!$G$4:$G$303,C1796),INDEX($L$2:$L$3001,MATCH(C1796&amp;"|"&amp;(H1796-1),$I$2:$I$3001,0))))</f>
        <v/>
      </c>
      <c r="K1796" s="6">
        <f>IF(C1796="","",IF(M1796&gt;0,M1796,IF(AND(E1796&gt;0,ROUND(J1796+D1796-E1796,2)&gt;0,ROUND(J1796+D1796-E1796,2)&lt;'Opening Balance'!$B$14),ROUND(J1796+D1796-E1796,2),0)))</f>
        <v/>
      </c>
      <c r="L1796" s="6">
        <f>IF(C1796="","",ROUND(J1796+D1796-E1796-K1796,2))</f>
        <v/>
      </c>
      <c r="M1796" s="6">
        <f>IF(C1796="","",0)</f>
        <v/>
      </c>
    </row>
    <row r="1797">
      <c r="A1797" t="inlineStr">
        <is>
          <t>Bank 银行</t>
        </is>
      </c>
      <c r="B1797" s="5">
        <f>IF(AND('Daily Sale entry '!Z297="Online collection 网上收款",'Daily Sale entry '!AA297&lt;&gt;""),'Daily Sale entry '!X297,"")</f>
        <v/>
      </c>
      <c r="C1797">
        <f>IF(B1797="","",'Daily Sale entry '!AA297)</f>
        <v/>
      </c>
      <c r="D1797">
        <f>IF(C1797="","",0)</f>
        <v/>
      </c>
      <c r="E1797">
        <f>IF(C1797="","",'Daily Sale entry '!AC297)</f>
        <v/>
      </c>
      <c r="F1797" s="37">
        <f>IF(C1797="","",B1797+IF(E1797&gt;0,0,0.5)+ROW()/10000000)</f>
        <v/>
      </c>
      <c r="G1797">
        <f>IF(C1797="","","Collection 收款 (Online 网上)"&amp;IF('Daily Sale entry '!Y297="",""," - "&amp;'Daily Sale entry '!Y297))</f>
        <v/>
      </c>
      <c r="H1797">
        <f>IF(C1797="","",COUNTIFS($C$2:$C$3001,C1797,$F$2:$F$3001,"&lt;"&amp;F1797)+1)</f>
        <v/>
      </c>
      <c r="I1797">
        <f>IF(C1797="","",C1797&amp;"|"&amp;H1797)</f>
        <v/>
      </c>
      <c r="J1797" s="6">
        <f>IF(C1797="","",IF(H1797=1,SUMIFS('Opening Balance'!$F$4:$F$303,'Opening Balance'!$G$4:$G$303,C1797),INDEX($L$2:$L$3001,MATCH(C1797&amp;"|"&amp;(H1797-1),$I$2:$I$3001,0))))</f>
        <v/>
      </c>
      <c r="K1797" s="6">
        <f>IF(C1797="","",IF(M1797&gt;0,M1797,IF(AND(E1797&gt;0,ROUND(J1797+D1797-E1797,2)&gt;0,ROUND(J1797+D1797-E1797,2)&lt;'Opening Balance'!$B$14),ROUND(J1797+D1797-E1797,2),0)))</f>
        <v/>
      </c>
      <c r="L1797" s="6">
        <f>IF(C1797="","",ROUND(J1797+D1797-E1797-K1797,2))</f>
        <v/>
      </c>
      <c r="M1797" s="6">
        <f>IF(C1797="","",0)</f>
        <v/>
      </c>
    </row>
    <row r="1798">
      <c r="A1798" t="inlineStr">
        <is>
          <t>Bank 银行</t>
        </is>
      </c>
      <c r="B1798" s="5">
        <f>IF(AND('Daily Sale entry '!Z298="Online collection 网上收款",'Daily Sale entry '!AA298&lt;&gt;""),'Daily Sale entry '!X298,"")</f>
        <v/>
      </c>
      <c r="C1798">
        <f>IF(B1798="","",'Daily Sale entry '!AA298)</f>
        <v/>
      </c>
      <c r="D1798">
        <f>IF(C1798="","",0)</f>
        <v/>
      </c>
      <c r="E1798">
        <f>IF(C1798="","",'Daily Sale entry '!AC298)</f>
        <v/>
      </c>
      <c r="F1798" s="37">
        <f>IF(C1798="","",B1798+IF(E1798&gt;0,0,0.5)+ROW()/10000000)</f>
        <v/>
      </c>
      <c r="G1798">
        <f>IF(C1798="","","Collection 收款 (Online 网上)"&amp;IF('Daily Sale entry '!Y298="",""," - "&amp;'Daily Sale entry '!Y298))</f>
        <v/>
      </c>
      <c r="H1798">
        <f>IF(C1798="","",COUNTIFS($C$2:$C$3001,C1798,$F$2:$F$3001,"&lt;"&amp;F1798)+1)</f>
        <v/>
      </c>
      <c r="I1798">
        <f>IF(C1798="","",C1798&amp;"|"&amp;H1798)</f>
        <v/>
      </c>
      <c r="J1798" s="6">
        <f>IF(C1798="","",IF(H1798=1,SUMIFS('Opening Balance'!$F$4:$F$303,'Opening Balance'!$G$4:$G$303,C1798),INDEX($L$2:$L$3001,MATCH(C1798&amp;"|"&amp;(H1798-1),$I$2:$I$3001,0))))</f>
        <v/>
      </c>
      <c r="K1798" s="6">
        <f>IF(C1798="","",IF(M1798&gt;0,M1798,IF(AND(E1798&gt;0,ROUND(J1798+D1798-E1798,2)&gt;0,ROUND(J1798+D1798-E1798,2)&lt;'Opening Balance'!$B$14),ROUND(J1798+D1798-E1798,2),0)))</f>
        <v/>
      </c>
      <c r="L1798" s="6">
        <f>IF(C1798="","",ROUND(J1798+D1798-E1798-K1798,2))</f>
        <v/>
      </c>
      <c r="M1798" s="6">
        <f>IF(C1798="","",0)</f>
        <v/>
      </c>
    </row>
    <row r="1799">
      <c r="A1799" t="inlineStr">
        <is>
          <t>Bank 银行</t>
        </is>
      </c>
      <c r="B1799" s="5">
        <f>IF(AND('Daily Sale entry '!Z299="Online collection 网上收款",'Daily Sale entry '!AA299&lt;&gt;""),'Daily Sale entry '!X299,"")</f>
        <v/>
      </c>
      <c r="C1799">
        <f>IF(B1799="","",'Daily Sale entry '!AA299)</f>
        <v/>
      </c>
      <c r="D1799">
        <f>IF(C1799="","",0)</f>
        <v/>
      </c>
      <c r="E1799">
        <f>IF(C1799="","",'Daily Sale entry '!AC299)</f>
        <v/>
      </c>
      <c r="F1799" s="37">
        <f>IF(C1799="","",B1799+IF(E1799&gt;0,0,0.5)+ROW()/10000000)</f>
        <v/>
      </c>
      <c r="G1799">
        <f>IF(C1799="","","Collection 收款 (Online 网上)"&amp;IF('Daily Sale entry '!Y299="",""," - "&amp;'Daily Sale entry '!Y299))</f>
        <v/>
      </c>
      <c r="H1799">
        <f>IF(C1799="","",COUNTIFS($C$2:$C$3001,C1799,$F$2:$F$3001,"&lt;"&amp;F1799)+1)</f>
        <v/>
      </c>
      <c r="I1799">
        <f>IF(C1799="","",C1799&amp;"|"&amp;H1799)</f>
        <v/>
      </c>
      <c r="J1799" s="6">
        <f>IF(C1799="","",IF(H1799=1,SUMIFS('Opening Balance'!$F$4:$F$303,'Opening Balance'!$G$4:$G$303,C1799),INDEX($L$2:$L$3001,MATCH(C1799&amp;"|"&amp;(H1799-1),$I$2:$I$3001,0))))</f>
        <v/>
      </c>
      <c r="K1799" s="6">
        <f>IF(C1799="","",IF(M1799&gt;0,M1799,IF(AND(E1799&gt;0,ROUND(J1799+D1799-E1799,2)&gt;0,ROUND(J1799+D1799-E1799,2)&lt;'Opening Balance'!$B$14),ROUND(J1799+D1799-E1799,2),0)))</f>
        <v/>
      </c>
      <c r="L1799" s="6">
        <f>IF(C1799="","",ROUND(J1799+D1799-E1799-K1799,2))</f>
        <v/>
      </c>
      <c r="M1799" s="6">
        <f>IF(C1799="","",0)</f>
        <v/>
      </c>
    </row>
    <row r="1800">
      <c r="A1800" t="inlineStr">
        <is>
          <t>Bank 银行</t>
        </is>
      </c>
      <c r="B1800" s="5">
        <f>IF(AND('Daily Sale entry '!Z300="Online collection 网上收款",'Daily Sale entry '!AA300&lt;&gt;""),'Daily Sale entry '!X300,"")</f>
        <v/>
      </c>
      <c r="C1800">
        <f>IF(B1800="","",'Daily Sale entry '!AA300)</f>
        <v/>
      </c>
      <c r="D1800">
        <f>IF(C1800="","",0)</f>
        <v/>
      </c>
      <c r="E1800">
        <f>IF(C1800="","",'Daily Sale entry '!AC300)</f>
        <v/>
      </c>
      <c r="F1800" s="37">
        <f>IF(C1800="","",B1800+IF(E1800&gt;0,0,0.5)+ROW()/10000000)</f>
        <v/>
      </c>
      <c r="G1800">
        <f>IF(C1800="","","Collection 收款 (Online 网上)"&amp;IF('Daily Sale entry '!Y300="",""," - "&amp;'Daily Sale entry '!Y300))</f>
        <v/>
      </c>
      <c r="H1800">
        <f>IF(C1800="","",COUNTIFS($C$2:$C$3001,C1800,$F$2:$F$3001,"&lt;"&amp;F1800)+1)</f>
        <v/>
      </c>
      <c r="I1800">
        <f>IF(C1800="","",C1800&amp;"|"&amp;H1800)</f>
        <v/>
      </c>
      <c r="J1800" s="6">
        <f>IF(C1800="","",IF(H1800=1,SUMIFS('Opening Balance'!$F$4:$F$303,'Opening Balance'!$G$4:$G$303,C1800),INDEX($L$2:$L$3001,MATCH(C1800&amp;"|"&amp;(H1800-1),$I$2:$I$3001,0))))</f>
        <v/>
      </c>
      <c r="K1800" s="6">
        <f>IF(C1800="","",IF(M1800&gt;0,M1800,IF(AND(E1800&gt;0,ROUND(J1800+D1800-E1800,2)&gt;0,ROUND(J1800+D1800-E1800,2)&lt;'Opening Balance'!$B$14),ROUND(J1800+D1800-E1800,2),0)))</f>
        <v/>
      </c>
      <c r="L1800" s="6">
        <f>IF(C1800="","",ROUND(J1800+D1800-E1800-K1800,2))</f>
        <v/>
      </c>
      <c r="M1800" s="6">
        <f>IF(C1800="","",0)</f>
        <v/>
      </c>
    </row>
    <row r="1801">
      <c r="A1801" t="inlineStr">
        <is>
          <t>Bank 银行</t>
        </is>
      </c>
      <c r="B1801" s="5">
        <f>IF(AND('Daily Sale entry '!Z301="Online collection 网上收款",'Daily Sale entry '!AA301&lt;&gt;""),'Daily Sale entry '!X301,"")</f>
        <v/>
      </c>
      <c r="C1801">
        <f>IF(B1801="","",'Daily Sale entry '!AA301)</f>
        <v/>
      </c>
      <c r="D1801">
        <f>IF(C1801="","",0)</f>
        <v/>
      </c>
      <c r="E1801">
        <f>IF(C1801="","",'Daily Sale entry '!AC301)</f>
        <v/>
      </c>
      <c r="F1801" s="37">
        <f>IF(C1801="","",B1801+IF(E1801&gt;0,0,0.5)+ROW()/10000000)</f>
        <v/>
      </c>
      <c r="G1801">
        <f>IF(C1801="","","Collection 收款 (Online 网上)"&amp;IF('Daily Sale entry '!Y301="",""," - "&amp;'Daily Sale entry '!Y301))</f>
        <v/>
      </c>
      <c r="H1801">
        <f>IF(C1801="","",COUNTIFS($C$2:$C$3001,C1801,$F$2:$F$3001,"&lt;"&amp;F1801)+1)</f>
        <v/>
      </c>
      <c r="I1801">
        <f>IF(C1801="","",C1801&amp;"|"&amp;H1801)</f>
        <v/>
      </c>
      <c r="J1801" s="6">
        <f>IF(C1801="","",IF(H1801=1,SUMIFS('Opening Balance'!$F$4:$F$303,'Opening Balance'!$G$4:$G$303,C1801),INDEX($L$2:$L$3001,MATCH(C1801&amp;"|"&amp;(H1801-1),$I$2:$I$3001,0))))</f>
        <v/>
      </c>
      <c r="K1801" s="6">
        <f>IF(C1801="","",IF(M1801&gt;0,M1801,IF(AND(E1801&gt;0,ROUND(J1801+D1801-E1801,2)&gt;0,ROUND(J1801+D1801-E1801,2)&lt;'Opening Balance'!$B$14),ROUND(J1801+D1801-E1801,2),0)))</f>
        <v/>
      </c>
      <c r="L1801" s="6">
        <f>IF(C1801="","",ROUND(J1801+D1801-E1801-K1801,2))</f>
        <v/>
      </c>
      <c r="M1801" s="6">
        <f>IF(C1801="","",0)</f>
        <v/>
      </c>
    </row>
    <row r="1802">
      <c r="A1802" t="inlineStr">
        <is>
          <t>Bank 银行</t>
        </is>
      </c>
      <c r="B1802" s="5">
        <f>IF(AND('Daily Sale entry '!Z302="Online collection 网上收款",'Daily Sale entry '!AA302&lt;&gt;""),'Daily Sale entry '!X302,"")</f>
        <v/>
      </c>
      <c r="C1802">
        <f>IF(B1802="","",'Daily Sale entry '!AA302)</f>
        <v/>
      </c>
      <c r="D1802">
        <f>IF(C1802="","",0)</f>
        <v/>
      </c>
      <c r="E1802">
        <f>IF(C1802="","",'Daily Sale entry '!AC302)</f>
        <v/>
      </c>
      <c r="F1802" s="37">
        <f>IF(C1802="","",B1802+IF(E1802&gt;0,0,0.5)+ROW()/10000000)</f>
        <v/>
      </c>
      <c r="G1802">
        <f>IF(C1802="","","Collection 收款 (Online 网上)"&amp;IF('Daily Sale entry '!Y302="",""," - "&amp;'Daily Sale entry '!Y302))</f>
        <v/>
      </c>
      <c r="H1802">
        <f>IF(C1802="","",COUNTIFS($C$2:$C$3001,C1802,$F$2:$F$3001,"&lt;"&amp;F1802)+1)</f>
        <v/>
      </c>
      <c r="I1802">
        <f>IF(C1802="","",C1802&amp;"|"&amp;H1802)</f>
        <v/>
      </c>
      <c r="J1802" s="6">
        <f>IF(C1802="","",IF(H1802=1,SUMIFS('Opening Balance'!$F$4:$F$303,'Opening Balance'!$G$4:$G$303,C1802),INDEX($L$2:$L$3001,MATCH(C1802&amp;"|"&amp;(H1802-1),$I$2:$I$3001,0))))</f>
        <v/>
      </c>
      <c r="K1802" s="6">
        <f>IF(C1802="","",IF(M1802&gt;0,M1802,IF(AND(E1802&gt;0,ROUND(J1802+D1802-E1802,2)&gt;0,ROUND(J1802+D1802-E1802,2)&lt;'Opening Balance'!$B$14),ROUND(J1802+D1802-E1802,2),0)))</f>
        <v/>
      </c>
      <c r="L1802" s="6">
        <f>IF(C1802="","",ROUND(J1802+D1802-E1802-K1802,2))</f>
        <v/>
      </c>
      <c r="M1802" s="6">
        <f>IF(C1802="","",0)</f>
        <v/>
      </c>
    </row>
    <row r="1803">
      <c r="A1803" t="inlineStr">
        <is>
          <t>Bank 银行</t>
        </is>
      </c>
      <c r="B1803" s="5">
        <f>IF(AND('Daily Sale entry '!Z303="Online collection 网上收款",'Daily Sale entry '!AA303&lt;&gt;""),'Daily Sale entry '!X303,"")</f>
        <v/>
      </c>
      <c r="C1803">
        <f>IF(B1803="","",'Daily Sale entry '!AA303)</f>
        <v/>
      </c>
      <c r="D1803">
        <f>IF(C1803="","",0)</f>
        <v/>
      </c>
      <c r="E1803">
        <f>IF(C1803="","",'Daily Sale entry '!AC303)</f>
        <v/>
      </c>
      <c r="F1803" s="37">
        <f>IF(C1803="","",B1803+IF(E1803&gt;0,0,0.5)+ROW()/10000000)</f>
        <v/>
      </c>
      <c r="G1803">
        <f>IF(C1803="","","Collection 收款 (Online 网上)"&amp;IF('Daily Sale entry '!Y303="",""," - "&amp;'Daily Sale entry '!Y303))</f>
        <v/>
      </c>
      <c r="H1803">
        <f>IF(C1803="","",COUNTIFS($C$2:$C$3001,C1803,$F$2:$F$3001,"&lt;"&amp;F1803)+1)</f>
        <v/>
      </c>
      <c r="I1803">
        <f>IF(C1803="","",C1803&amp;"|"&amp;H1803)</f>
        <v/>
      </c>
      <c r="J1803" s="6">
        <f>IF(C1803="","",IF(H1803=1,SUMIFS('Opening Balance'!$F$4:$F$303,'Opening Balance'!$G$4:$G$303,C1803),INDEX($L$2:$L$3001,MATCH(C1803&amp;"|"&amp;(H1803-1),$I$2:$I$3001,0))))</f>
        <v/>
      </c>
      <c r="K1803" s="6">
        <f>IF(C1803="","",IF(M1803&gt;0,M1803,IF(AND(E1803&gt;0,ROUND(J1803+D1803-E1803,2)&gt;0,ROUND(J1803+D1803-E1803,2)&lt;'Opening Balance'!$B$14),ROUND(J1803+D1803-E1803,2),0)))</f>
        <v/>
      </c>
      <c r="L1803" s="6">
        <f>IF(C1803="","",ROUND(J1803+D1803-E1803-K1803,2))</f>
        <v/>
      </c>
      <c r="M1803" s="6">
        <f>IF(C1803="","",0)</f>
        <v/>
      </c>
    </row>
    <row r="1804">
      <c r="A1804" t="inlineStr">
        <is>
          <t>Bank 银行</t>
        </is>
      </c>
      <c r="B1804" s="5">
        <f>IF(AND('Daily Sale entry '!Z304="Online collection 网上收款",'Daily Sale entry '!AA304&lt;&gt;""),'Daily Sale entry '!X304,"")</f>
        <v/>
      </c>
      <c r="C1804">
        <f>IF(B1804="","",'Daily Sale entry '!AA304)</f>
        <v/>
      </c>
      <c r="D1804">
        <f>IF(C1804="","",0)</f>
        <v/>
      </c>
      <c r="E1804">
        <f>IF(C1804="","",'Daily Sale entry '!AC304)</f>
        <v/>
      </c>
      <c r="F1804" s="37">
        <f>IF(C1804="","",B1804+IF(E1804&gt;0,0,0.5)+ROW()/10000000)</f>
        <v/>
      </c>
      <c r="G1804">
        <f>IF(C1804="","","Collection 收款 (Online 网上)"&amp;IF('Daily Sale entry '!Y304="",""," - "&amp;'Daily Sale entry '!Y304))</f>
        <v/>
      </c>
      <c r="H1804">
        <f>IF(C1804="","",COUNTIFS($C$2:$C$3001,C1804,$F$2:$F$3001,"&lt;"&amp;F1804)+1)</f>
        <v/>
      </c>
      <c r="I1804">
        <f>IF(C1804="","",C1804&amp;"|"&amp;H1804)</f>
        <v/>
      </c>
      <c r="J1804" s="6">
        <f>IF(C1804="","",IF(H1804=1,SUMIFS('Opening Balance'!$F$4:$F$303,'Opening Balance'!$G$4:$G$303,C1804),INDEX($L$2:$L$3001,MATCH(C1804&amp;"|"&amp;(H1804-1),$I$2:$I$3001,0))))</f>
        <v/>
      </c>
      <c r="K1804" s="6">
        <f>IF(C1804="","",IF(M1804&gt;0,M1804,IF(AND(E1804&gt;0,ROUND(J1804+D1804-E1804,2)&gt;0,ROUND(J1804+D1804-E1804,2)&lt;'Opening Balance'!$B$14),ROUND(J1804+D1804-E1804,2),0)))</f>
        <v/>
      </c>
      <c r="L1804" s="6">
        <f>IF(C1804="","",ROUND(J1804+D1804-E1804-K1804,2))</f>
        <v/>
      </c>
      <c r="M1804" s="6">
        <f>IF(C1804="","",0)</f>
        <v/>
      </c>
    </row>
    <row r="1805">
      <c r="A1805" t="inlineStr">
        <is>
          <t>Bank 银行</t>
        </is>
      </c>
      <c r="B1805" s="5">
        <f>IF(AND('Daily Sale entry '!Z305="Online collection 网上收款",'Daily Sale entry '!AA305&lt;&gt;""),'Daily Sale entry '!X305,"")</f>
        <v/>
      </c>
      <c r="C1805">
        <f>IF(B1805="","",'Daily Sale entry '!AA305)</f>
        <v/>
      </c>
      <c r="D1805">
        <f>IF(C1805="","",0)</f>
        <v/>
      </c>
      <c r="E1805">
        <f>IF(C1805="","",'Daily Sale entry '!AC305)</f>
        <v/>
      </c>
      <c r="F1805" s="37">
        <f>IF(C1805="","",B1805+IF(E1805&gt;0,0,0.5)+ROW()/10000000)</f>
        <v/>
      </c>
      <c r="G1805">
        <f>IF(C1805="","","Collection 收款 (Online 网上)"&amp;IF('Daily Sale entry '!Y305="",""," - "&amp;'Daily Sale entry '!Y305))</f>
        <v/>
      </c>
      <c r="H1805">
        <f>IF(C1805="","",COUNTIFS($C$2:$C$3001,C1805,$F$2:$F$3001,"&lt;"&amp;F1805)+1)</f>
        <v/>
      </c>
      <c r="I1805">
        <f>IF(C1805="","",C1805&amp;"|"&amp;H1805)</f>
        <v/>
      </c>
      <c r="J1805" s="6">
        <f>IF(C1805="","",IF(H1805=1,SUMIFS('Opening Balance'!$F$4:$F$303,'Opening Balance'!$G$4:$G$303,C1805),INDEX($L$2:$L$3001,MATCH(C1805&amp;"|"&amp;(H1805-1),$I$2:$I$3001,0))))</f>
        <v/>
      </c>
      <c r="K1805" s="6">
        <f>IF(C1805="","",IF(M1805&gt;0,M1805,IF(AND(E1805&gt;0,ROUND(J1805+D1805-E1805,2)&gt;0,ROUND(J1805+D1805-E1805,2)&lt;'Opening Balance'!$B$14),ROUND(J1805+D1805-E1805,2),0)))</f>
        <v/>
      </c>
      <c r="L1805" s="6">
        <f>IF(C1805="","",ROUND(J1805+D1805-E1805-K1805,2))</f>
        <v/>
      </c>
      <c r="M1805" s="6">
        <f>IF(C1805="","",0)</f>
        <v/>
      </c>
    </row>
    <row r="1806">
      <c r="A1806" t="inlineStr">
        <is>
          <t>Bank 银行</t>
        </is>
      </c>
      <c r="B1806" s="5">
        <f>IF(AND('Daily Sale entry '!Z306="Online collection 网上收款",'Daily Sale entry '!AA306&lt;&gt;""),'Daily Sale entry '!X306,"")</f>
        <v/>
      </c>
      <c r="C1806">
        <f>IF(B1806="","",'Daily Sale entry '!AA306)</f>
        <v/>
      </c>
      <c r="D1806">
        <f>IF(C1806="","",0)</f>
        <v/>
      </c>
      <c r="E1806">
        <f>IF(C1806="","",'Daily Sale entry '!AC306)</f>
        <v/>
      </c>
      <c r="F1806" s="37">
        <f>IF(C1806="","",B1806+IF(E1806&gt;0,0,0.5)+ROW()/10000000)</f>
        <v/>
      </c>
      <c r="G1806">
        <f>IF(C1806="","","Collection 收款 (Online 网上)"&amp;IF('Daily Sale entry '!Y306="",""," - "&amp;'Daily Sale entry '!Y306))</f>
        <v/>
      </c>
      <c r="H1806">
        <f>IF(C1806="","",COUNTIFS($C$2:$C$3001,C1806,$F$2:$F$3001,"&lt;"&amp;F1806)+1)</f>
        <v/>
      </c>
      <c r="I1806">
        <f>IF(C1806="","",C1806&amp;"|"&amp;H1806)</f>
        <v/>
      </c>
      <c r="J1806" s="6">
        <f>IF(C1806="","",IF(H1806=1,SUMIFS('Opening Balance'!$F$4:$F$303,'Opening Balance'!$G$4:$G$303,C1806),INDEX($L$2:$L$3001,MATCH(C1806&amp;"|"&amp;(H1806-1),$I$2:$I$3001,0))))</f>
        <v/>
      </c>
      <c r="K1806" s="6">
        <f>IF(C1806="","",IF(M1806&gt;0,M1806,IF(AND(E1806&gt;0,ROUND(J1806+D1806-E1806,2)&gt;0,ROUND(J1806+D1806-E1806,2)&lt;'Opening Balance'!$B$14),ROUND(J1806+D1806-E1806,2),0)))</f>
        <v/>
      </c>
      <c r="L1806" s="6">
        <f>IF(C1806="","",ROUND(J1806+D1806-E1806-K1806,2))</f>
        <v/>
      </c>
      <c r="M1806" s="6">
        <f>IF(C1806="","",0)</f>
        <v/>
      </c>
    </row>
    <row r="1807">
      <c r="A1807" t="inlineStr">
        <is>
          <t>Bank 银行</t>
        </is>
      </c>
      <c r="B1807" s="5">
        <f>IF(AND('Daily Sale entry '!Z307="Online collection 网上收款",'Daily Sale entry '!AA307&lt;&gt;""),'Daily Sale entry '!X307,"")</f>
        <v/>
      </c>
      <c r="C1807">
        <f>IF(B1807="","",'Daily Sale entry '!AA307)</f>
        <v/>
      </c>
      <c r="D1807">
        <f>IF(C1807="","",0)</f>
        <v/>
      </c>
      <c r="E1807">
        <f>IF(C1807="","",'Daily Sale entry '!AC307)</f>
        <v/>
      </c>
      <c r="F1807" s="37">
        <f>IF(C1807="","",B1807+IF(E1807&gt;0,0,0.5)+ROW()/10000000)</f>
        <v/>
      </c>
      <c r="G1807">
        <f>IF(C1807="","","Collection 收款 (Online 网上)"&amp;IF('Daily Sale entry '!Y307="",""," - "&amp;'Daily Sale entry '!Y307))</f>
        <v/>
      </c>
      <c r="H1807">
        <f>IF(C1807="","",COUNTIFS($C$2:$C$3001,C1807,$F$2:$F$3001,"&lt;"&amp;F1807)+1)</f>
        <v/>
      </c>
      <c r="I1807">
        <f>IF(C1807="","",C1807&amp;"|"&amp;H1807)</f>
        <v/>
      </c>
      <c r="J1807" s="6">
        <f>IF(C1807="","",IF(H1807=1,SUMIFS('Opening Balance'!$F$4:$F$303,'Opening Balance'!$G$4:$G$303,C1807),INDEX($L$2:$L$3001,MATCH(C1807&amp;"|"&amp;(H1807-1),$I$2:$I$3001,0))))</f>
        <v/>
      </c>
      <c r="K1807" s="6">
        <f>IF(C1807="","",IF(M1807&gt;0,M1807,IF(AND(E1807&gt;0,ROUND(J1807+D1807-E1807,2)&gt;0,ROUND(J1807+D1807-E1807,2)&lt;'Opening Balance'!$B$14),ROUND(J1807+D1807-E1807,2),0)))</f>
        <v/>
      </c>
      <c r="L1807" s="6">
        <f>IF(C1807="","",ROUND(J1807+D1807-E1807-K1807,2))</f>
        <v/>
      </c>
      <c r="M1807" s="6">
        <f>IF(C1807="","",0)</f>
        <v/>
      </c>
    </row>
    <row r="1808">
      <c r="A1808" t="inlineStr">
        <is>
          <t>Bank 银行</t>
        </is>
      </c>
      <c r="B1808" s="5">
        <f>IF(AND('Daily Sale entry '!Z308="Online collection 网上收款",'Daily Sale entry '!AA308&lt;&gt;""),'Daily Sale entry '!X308,"")</f>
        <v/>
      </c>
      <c r="C1808">
        <f>IF(B1808="","",'Daily Sale entry '!AA308)</f>
        <v/>
      </c>
      <c r="D1808">
        <f>IF(C1808="","",0)</f>
        <v/>
      </c>
      <c r="E1808">
        <f>IF(C1808="","",'Daily Sale entry '!AC308)</f>
        <v/>
      </c>
      <c r="F1808" s="37">
        <f>IF(C1808="","",B1808+IF(E1808&gt;0,0,0.5)+ROW()/10000000)</f>
        <v/>
      </c>
      <c r="G1808">
        <f>IF(C1808="","","Collection 收款 (Online 网上)"&amp;IF('Daily Sale entry '!Y308="",""," - "&amp;'Daily Sale entry '!Y308))</f>
        <v/>
      </c>
      <c r="H1808">
        <f>IF(C1808="","",COUNTIFS($C$2:$C$3001,C1808,$F$2:$F$3001,"&lt;"&amp;F1808)+1)</f>
        <v/>
      </c>
      <c r="I1808">
        <f>IF(C1808="","",C1808&amp;"|"&amp;H1808)</f>
        <v/>
      </c>
      <c r="J1808" s="6">
        <f>IF(C1808="","",IF(H1808=1,SUMIFS('Opening Balance'!$F$4:$F$303,'Opening Balance'!$G$4:$G$303,C1808),INDEX($L$2:$L$3001,MATCH(C1808&amp;"|"&amp;(H1808-1),$I$2:$I$3001,0))))</f>
        <v/>
      </c>
      <c r="K1808" s="6">
        <f>IF(C1808="","",IF(M1808&gt;0,M1808,IF(AND(E1808&gt;0,ROUND(J1808+D1808-E1808,2)&gt;0,ROUND(J1808+D1808-E1808,2)&lt;'Opening Balance'!$B$14),ROUND(J1808+D1808-E1808,2),0)))</f>
        <v/>
      </c>
      <c r="L1808" s="6">
        <f>IF(C1808="","",ROUND(J1808+D1808-E1808-K1808,2))</f>
        <v/>
      </c>
      <c r="M1808" s="6">
        <f>IF(C1808="","",0)</f>
        <v/>
      </c>
    </row>
    <row r="1809">
      <c r="A1809" t="inlineStr">
        <is>
          <t>Bank 银行</t>
        </is>
      </c>
      <c r="B1809" s="5">
        <f>IF(AND('Daily Sale entry '!Z309="Online collection 网上收款",'Daily Sale entry '!AA309&lt;&gt;""),'Daily Sale entry '!X309,"")</f>
        <v/>
      </c>
      <c r="C1809">
        <f>IF(B1809="","",'Daily Sale entry '!AA309)</f>
        <v/>
      </c>
      <c r="D1809">
        <f>IF(C1809="","",0)</f>
        <v/>
      </c>
      <c r="E1809">
        <f>IF(C1809="","",'Daily Sale entry '!AC309)</f>
        <v/>
      </c>
      <c r="F1809" s="37">
        <f>IF(C1809="","",B1809+IF(E1809&gt;0,0,0.5)+ROW()/10000000)</f>
        <v/>
      </c>
      <c r="G1809">
        <f>IF(C1809="","","Collection 收款 (Online 网上)"&amp;IF('Daily Sale entry '!Y309="",""," - "&amp;'Daily Sale entry '!Y309))</f>
        <v/>
      </c>
      <c r="H1809">
        <f>IF(C1809="","",COUNTIFS($C$2:$C$3001,C1809,$F$2:$F$3001,"&lt;"&amp;F1809)+1)</f>
        <v/>
      </c>
      <c r="I1809">
        <f>IF(C1809="","",C1809&amp;"|"&amp;H1809)</f>
        <v/>
      </c>
      <c r="J1809" s="6">
        <f>IF(C1809="","",IF(H1809=1,SUMIFS('Opening Balance'!$F$4:$F$303,'Opening Balance'!$G$4:$G$303,C1809),INDEX($L$2:$L$3001,MATCH(C1809&amp;"|"&amp;(H1809-1),$I$2:$I$3001,0))))</f>
        <v/>
      </c>
      <c r="K1809" s="6">
        <f>IF(C1809="","",IF(M1809&gt;0,M1809,IF(AND(E1809&gt;0,ROUND(J1809+D1809-E1809,2)&gt;0,ROUND(J1809+D1809-E1809,2)&lt;'Opening Balance'!$B$14),ROUND(J1809+D1809-E1809,2),0)))</f>
        <v/>
      </c>
      <c r="L1809" s="6">
        <f>IF(C1809="","",ROUND(J1809+D1809-E1809-K1809,2))</f>
        <v/>
      </c>
      <c r="M1809" s="6">
        <f>IF(C1809="","",0)</f>
        <v/>
      </c>
    </row>
    <row r="1810">
      <c r="A1810" t="inlineStr">
        <is>
          <t>Bank 银行</t>
        </is>
      </c>
      <c r="B1810" s="5">
        <f>IF(AND('Daily Sale entry '!Z310="Online collection 网上收款",'Daily Sale entry '!AA310&lt;&gt;""),'Daily Sale entry '!X310,"")</f>
        <v/>
      </c>
      <c r="C1810">
        <f>IF(B1810="","",'Daily Sale entry '!AA310)</f>
        <v/>
      </c>
      <c r="D1810">
        <f>IF(C1810="","",0)</f>
        <v/>
      </c>
      <c r="E1810">
        <f>IF(C1810="","",'Daily Sale entry '!AC310)</f>
        <v/>
      </c>
      <c r="F1810" s="37">
        <f>IF(C1810="","",B1810+IF(E1810&gt;0,0,0.5)+ROW()/10000000)</f>
        <v/>
      </c>
      <c r="G1810">
        <f>IF(C1810="","","Collection 收款 (Online 网上)"&amp;IF('Daily Sale entry '!Y310="",""," - "&amp;'Daily Sale entry '!Y310))</f>
        <v/>
      </c>
      <c r="H1810">
        <f>IF(C1810="","",COUNTIFS($C$2:$C$3001,C1810,$F$2:$F$3001,"&lt;"&amp;F1810)+1)</f>
        <v/>
      </c>
      <c r="I1810">
        <f>IF(C1810="","",C1810&amp;"|"&amp;H1810)</f>
        <v/>
      </c>
      <c r="J1810" s="6">
        <f>IF(C1810="","",IF(H1810=1,SUMIFS('Opening Balance'!$F$4:$F$303,'Opening Balance'!$G$4:$G$303,C1810),INDEX($L$2:$L$3001,MATCH(C1810&amp;"|"&amp;(H1810-1),$I$2:$I$3001,0))))</f>
        <v/>
      </c>
      <c r="K1810" s="6">
        <f>IF(C1810="","",IF(M1810&gt;0,M1810,IF(AND(E1810&gt;0,ROUND(J1810+D1810-E1810,2)&gt;0,ROUND(J1810+D1810-E1810,2)&lt;'Opening Balance'!$B$14),ROUND(J1810+D1810-E1810,2),0)))</f>
        <v/>
      </c>
      <c r="L1810" s="6">
        <f>IF(C1810="","",ROUND(J1810+D1810-E1810-K1810,2))</f>
        <v/>
      </c>
      <c r="M1810" s="6">
        <f>IF(C1810="","",0)</f>
        <v/>
      </c>
    </row>
    <row r="1811">
      <c r="A1811" t="inlineStr">
        <is>
          <t>Bank 银行</t>
        </is>
      </c>
      <c r="B1811" s="5">
        <f>IF(AND('Daily Sale entry '!Z311="Online collection 网上收款",'Daily Sale entry '!AA311&lt;&gt;""),'Daily Sale entry '!X311,"")</f>
        <v/>
      </c>
      <c r="C1811">
        <f>IF(B1811="","",'Daily Sale entry '!AA311)</f>
        <v/>
      </c>
      <c r="D1811">
        <f>IF(C1811="","",0)</f>
        <v/>
      </c>
      <c r="E1811">
        <f>IF(C1811="","",'Daily Sale entry '!AC311)</f>
        <v/>
      </c>
      <c r="F1811" s="37">
        <f>IF(C1811="","",B1811+IF(E1811&gt;0,0,0.5)+ROW()/10000000)</f>
        <v/>
      </c>
      <c r="G1811">
        <f>IF(C1811="","","Collection 收款 (Online 网上)"&amp;IF('Daily Sale entry '!Y311="",""," - "&amp;'Daily Sale entry '!Y311))</f>
        <v/>
      </c>
      <c r="H1811">
        <f>IF(C1811="","",COUNTIFS($C$2:$C$3001,C1811,$F$2:$F$3001,"&lt;"&amp;F1811)+1)</f>
        <v/>
      </c>
      <c r="I1811">
        <f>IF(C1811="","",C1811&amp;"|"&amp;H1811)</f>
        <v/>
      </c>
      <c r="J1811" s="6">
        <f>IF(C1811="","",IF(H1811=1,SUMIFS('Opening Balance'!$F$4:$F$303,'Opening Balance'!$G$4:$G$303,C1811),INDEX($L$2:$L$3001,MATCH(C1811&amp;"|"&amp;(H1811-1),$I$2:$I$3001,0))))</f>
        <v/>
      </c>
      <c r="K1811" s="6">
        <f>IF(C1811="","",IF(M1811&gt;0,M1811,IF(AND(E1811&gt;0,ROUND(J1811+D1811-E1811,2)&gt;0,ROUND(J1811+D1811-E1811,2)&lt;'Opening Balance'!$B$14),ROUND(J1811+D1811-E1811,2),0)))</f>
        <v/>
      </c>
      <c r="L1811" s="6">
        <f>IF(C1811="","",ROUND(J1811+D1811-E1811-K1811,2))</f>
        <v/>
      </c>
      <c r="M1811" s="6">
        <f>IF(C1811="","",0)</f>
        <v/>
      </c>
    </row>
    <row r="1812">
      <c r="A1812" t="inlineStr">
        <is>
          <t>Bank 银行</t>
        </is>
      </c>
      <c r="B1812" s="5">
        <f>IF(AND('Daily Sale entry '!Z312="Online collection 网上收款",'Daily Sale entry '!AA312&lt;&gt;""),'Daily Sale entry '!X312,"")</f>
        <v/>
      </c>
      <c r="C1812">
        <f>IF(B1812="","",'Daily Sale entry '!AA312)</f>
        <v/>
      </c>
      <c r="D1812">
        <f>IF(C1812="","",0)</f>
        <v/>
      </c>
      <c r="E1812">
        <f>IF(C1812="","",'Daily Sale entry '!AC312)</f>
        <v/>
      </c>
      <c r="F1812" s="37">
        <f>IF(C1812="","",B1812+IF(E1812&gt;0,0,0.5)+ROW()/10000000)</f>
        <v/>
      </c>
      <c r="G1812">
        <f>IF(C1812="","","Collection 收款 (Online 网上)"&amp;IF('Daily Sale entry '!Y312="",""," - "&amp;'Daily Sale entry '!Y312))</f>
        <v/>
      </c>
      <c r="H1812">
        <f>IF(C1812="","",COUNTIFS($C$2:$C$3001,C1812,$F$2:$F$3001,"&lt;"&amp;F1812)+1)</f>
        <v/>
      </c>
      <c r="I1812">
        <f>IF(C1812="","",C1812&amp;"|"&amp;H1812)</f>
        <v/>
      </c>
      <c r="J1812" s="6">
        <f>IF(C1812="","",IF(H1812=1,SUMIFS('Opening Balance'!$F$4:$F$303,'Opening Balance'!$G$4:$G$303,C1812),INDEX($L$2:$L$3001,MATCH(C1812&amp;"|"&amp;(H1812-1),$I$2:$I$3001,0))))</f>
        <v/>
      </c>
      <c r="K1812" s="6">
        <f>IF(C1812="","",IF(M1812&gt;0,M1812,IF(AND(E1812&gt;0,ROUND(J1812+D1812-E1812,2)&gt;0,ROUND(J1812+D1812-E1812,2)&lt;'Opening Balance'!$B$14),ROUND(J1812+D1812-E1812,2),0)))</f>
        <v/>
      </c>
      <c r="L1812" s="6">
        <f>IF(C1812="","",ROUND(J1812+D1812-E1812-K1812,2))</f>
        <v/>
      </c>
      <c r="M1812" s="6">
        <f>IF(C1812="","",0)</f>
        <v/>
      </c>
    </row>
    <row r="1813">
      <c r="A1813" t="inlineStr">
        <is>
          <t>Bank 银行</t>
        </is>
      </c>
      <c r="B1813" s="5">
        <f>IF(AND('Daily Sale entry '!Z313="Online collection 网上收款",'Daily Sale entry '!AA313&lt;&gt;""),'Daily Sale entry '!X313,"")</f>
        <v/>
      </c>
      <c r="C1813">
        <f>IF(B1813="","",'Daily Sale entry '!AA313)</f>
        <v/>
      </c>
      <c r="D1813">
        <f>IF(C1813="","",0)</f>
        <v/>
      </c>
      <c r="E1813">
        <f>IF(C1813="","",'Daily Sale entry '!AC313)</f>
        <v/>
      </c>
      <c r="F1813" s="37">
        <f>IF(C1813="","",B1813+IF(E1813&gt;0,0,0.5)+ROW()/10000000)</f>
        <v/>
      </c>
      <c r="G1813">
        <f>IF(C1813="","","Collection 收款 (Online 网上)"&amp;IF('Daily Sale entry '!Y313="",""," - "&amp;'Daily Sale entry '!Y313))</f>
        <v/>
      </c>
      <c r="H1813">
        <f>IF(C1813="","",COUNTIFS($C$2:$C$3001,C1813,$F$2:$F$3001,"&lt;"&amp;F1813)+1)</f>
        <v/>
      </c>
      <c r="I1813">
        <f>IF(C1813="","",C1813&amp;"|"&amp;H1813)</f>
        <v/>
      </c>
      <c r="J1813" s="6">
        <f>IF(C1813="","",IF(H1813=1,SUMIFS('Opening Balance'!$F$4:$F$303,'Opening Balance'!$G$4:$G$303,C1813),INDEX($L$2:$L$3001,MATCH(C1813&amp;"|"&amp;(H1813-1),$I$2:$I$3001,0))))</f>
        <v/>
      </c>
      <c r="K1813" s="6">
        <f>IF(C1813="","",IF(M1813&gt;0,M1813,IF(AND(E1813&gt;0,ROUND(J1813+D1813-E1813,2)&gt;0,ROUND(J1813+D1813-E1813,2)&lt;'Opening Balance'!$B$14),ROUND(J1813+D1813-E1813,2),0)))</f>
        <v/>
      </c>
      <c r="L1813" s="6">
        <f>IF(C1813="","",ROUND(J1813+D1813-E1813-K1813,2))</f>
        <v/>
      </c>
      <c r="M1813" s="6">
        <f>IF(C1813="","",0)</f>
        <v/>
      </c>
    </row>
    <row r="1814">
      <c r="A1814" t="inlineStr">
        <is>
          <t>Bank 银行</t>
        </is>
      </c>
      <c r="B1814" s="5">
        <f>IF(AND('Daily Sale entry '!Z314="Online collection 网上收款",'Daily Sale entry '!AA314&lt;&gt;""),'Daily Sale entry '!X314,"")</f>
        <v/>
      </c>
      <c r="C1814">
        <f>IF(B1814="","",'Daily Sale entry '!AA314)</f>
        <v/>
      </c>
      <c r="D1814">
        <f>IF(C1814="","",0)</f>
        <v/>
      </c>
      <c r="E1814">
        <f>IF(C1814="","",'Daily Sale entry '!AC314)</f>
        <v/>
      </c>
      <c r="F1814" s="37">
        <f>IF(C1814="","",B1814+IF(E1814&gt;0,0,0.5)+ROW()/10000000)</f>
        <v/>
      </c>
      <c r="G1814">
        <f>IF(C1814="","","Collection 收款 (Online 网上)"&amp;IF('Daily Sale entry '!Y314="",""," - "&amp;'Daily Sale entry '!Y314))</f>
        <v/>
      </c>
      <c r="H1814">
        <f>IF(C1814="","",COUNTIFS($C$2:$C$3001,C1814,$F$2:$F$3001,"&lt;"&amp;F1814)+1)</f>
        <v/>
      </c>
      <c r="I1814">
        <f>IF(C1814="","",C1814&amp;"|"&amp;H1814)</f>
        <v/>
      </c>
      <c r="J1814" s="6">
        <f>IF(C1814="","",IF(H1814=1,SUMIFS('Opening Balance'!$F$4:$F$303,'Opening Balance'!$G$4:$G$303,C1814),INDEX($L$2:$L$3001,MATCH(C1814&amp;"|"&amp;(H1814-1),$I$2:$I$3001,0))))</f>
        <v/>
      </c>
      <c r="K1814" s="6">
        <f>IF(C1814="","",IF(M1814&gt;0,M1814,IF(AND(E1814&gt;0,ROUND(J1814+D1814-E1814,2)&gt;0,ROUND(J1814+D1814-E1814,2)&lt;'Opening Balance'!$B$14),ROUND(J1814+D1814-E1814,2),0)))</f>
        <v/>
      </c>
      <c r="L1814" s="6">
        <f>IF(C1814="","",ROUND(J1814+D1814-E1814-K1814,2))</f>
        <v/>
      </c>
      <c r="M1814" s="6">
        <f>IF(C1814="","",0)</f>
        <v/>
      </c>
    </row>
    <row r="1815">
      <c r="A1815" t="inlineStr">
        <is>
          <t>Bank 银行</t>
        </is>
      </c>
      <c r="B1815" s="5">
        <f>IF(AND('Daily Sale entry '!Z315="Online collection 网上收款",'Daily Sale entry '!AA315&lt;&gt;""),'Daily Sale entry '!X315,"")</f>
        <v/>
      </c>
      <c r="C1815">
        <f>IF(B1815="","",'Daily Sale entry '!AA315)</f>
        <v/>
      </c>
      <c r="D1815">
        <f>IF(C1815="","",0)</f>
        <v/>
      </c>
      <c r="E1815">
        <f>IF(C1815="","",'Daily Sale entry '!AC315)</f>
        <v/>
      </c>
      <c r="F1815" s="37">
        <f>IF(C1815="","",B1815+IF(E1815&gt;0,0,0.5)+ROW()/10000000)</f>
        <v/>
      </c>
      <c r="G1815">
        <f>IF(C1815="","","Collection 收款 (Online 网上)"&amp;IF('Daily Sale entry '!Y315="",""," - "&amp;'Daily Sale entry '!Y315))</f>
        <v/>
      </c>
      <c r="H1815">
        <f>IF(C1815="","",COUNTIFS($C$2:$C$3001,C1815,$F$2:$F$3001,"&lt;"&amp;F1815)+1)</f>
        <v/>
      </c>
      <c r="I1815">
        <f>IF(C1815="","",C1815&amp;"|"&amp;H1815)</f>
        <v/>
      </c>
      <c r="J1815" s="6">
        <f>IF(C1815="","",IF(H1815=1,SUMIFS('Opening Balance'!$F$4:$F$303,'Opening Balance'!$G$4:$G$303,C1815),INDEX($L$2:$L$3001,MATCH(C1815&amp;"|"&amp;(H1815-1),$I$2:$I$3001,0))))</f>
        <v/>
      </c>
      <c r="K1815" s="6">
        <f>IF(C1815="","",IF(M1815&gt;0,M1815,IF(AND(E1815&gt;0,ROUND(J1815+D1815-E1815,2)&gt;0,ROUND(J1815+D1815-E1815,2)&lt;'Opening Balance'!$B$14),ROUND(J1815+D1815-E1815,2),0)))</f>
        <v/>
      </c>
      <c r="L1815" s="6">
        <f>IF(C1815="","",ROUND(J1815+D1815-E1815-K1815,2))</f>
        <v/>
      </c>
      <c r="M1815" s="6">
        <f>IF(C1815="","",0)</f>
        <v/>
      </c>
    </row>
    <row r="1816">
      <c r="A1816" t="inlineStr">
        <is>
          <t>Bank 银行</t>
        </is>
      </c>
      <c r="B1816" s="5">
        <f>IF(AND('Daily Sale entry '!Z316="Online collection 网上收款",'Daily Sale entry '!AA316&lt;&gt;""),'Daily Sale entry '!X316,"")</f>
        <v/>
      </c>
      <c r="C1816">
        <f>IF(B1816="","",'Daily Sale entry '!AA316)</f>
        <v/>
      </c>
      <c r="D1816">
        <f>IF(C1816="","",0)</f>
        <v/>
      </c>
      <c r="E1816">
        <f>IF(C1816="","",'Daily Sale entry '!AC316)</f>
        <v/>
      </c>
      <c r="F1816" s="37">
        <f>IF(C1816="","",B1816+IF(E1816&gt;0,0,0.5)+ROW()/10000000)</f>
        <v/>
      </c>
      <c r="G1816">
        <f>IF(C1816="","","Collection 收款 (Online 网上)"&amp;IF('Daily Sale entry '!Y316="",""," - "&amp;'Daily Sale entry '!Y316))</f>
        <v/>
      </c>
      <c r="H1816">
        <f>IF(C1816="","",COUNTIFS($C$2:$C$3001,C1816,$F$2:$F$3001,"&lt;"&amp;F1816)+1)</f>
        <v/>
      </c>
      <c r="I1816">
        <f>IF(C1816="","",C1816&amp;"|"&amp;H1816)</f>
        <v/>
      </c>
      <c r="J1816" s="6">
        <f>IF(C1816="","",IF(H1816=1,SUMIFS('Opening Balance'!$F$4:$F$303,'Opening Balance'!$G$4:$G$303,C1816),INDEX($L$2:$L$3001,MATCH(C1816&amp;"|"&amp;(H1816-1),$I$2:$I$3001,0))))</f>
        <v/>
      </c>
      <c r="K1816" s="6">
        <f>IF(C1816="","",IF(M1816&gt;0,M1816,IF(AND(E1816&gt;0,ROUND(J1816+D1816-E1816,2)&gt;0,ROUND(J1816+D1816-E1816,2)&lt;'Opening Balance'!$B$14),ROUND(J1816+D1816-E1816,2),0)))</f>
        <v/>
      </c>
      <c r="L1816" s="6">
        <f>IF(C1816="","",ROUND(J1816+D1816-E1816-K1816,2))</f>
        <v/>
      </c>
      <c r="M1816" s="6">
        <f>IF(C1816="","",0)</f>
        <v/>
      </c>
    </row>
    <row r="1817">
      <c r="A1817" t="inlineStr">
        <is>
          <t>Bank 银行</t>
        </is>
      </c>
      <c r="B1817" s="5">
        <f>IF(AND('Daily Sale entry '!Z317="Online collection 网上收款",'Daily Sale entry '!AA317&lt;&gt;""),'Daily Sale entry '!X317,"")</f>
        <v/>
      </c>
      <c r="C1817">
        <f>IF(B1817="","",'Daily Sale entry '!AA317)</f>
        <v/>
      </c>
      <c r="D1817">
        <f>IF(C1817="","",0)</f>
        <v/>
      </c>
      <c r="E1817">
        <f>IF(C1817="","",'Daily Sale entry '!AC317)</f>
        <v/>
      </c>
      <c r="F1817" s="37">
        <f>IF(C1817="","",B1817+IF(E1817&gt;0,0,0.5)+ROW()/10000000)</f>
        <v/>
      </c>
      <c r="G1817">
        <f>IF(C1817="","","Collection 收款 (Online 网上)"&amp;IF('Daily Sale entry '!Y317="",""," - "&amp;'Daily Sale entry '!Y317))</f>
        <v/>
      </c>
      <c r="H1817">
        <f>IF(C1817="","",COUNTIFS($C$2:$C$3001,C1817,$F$2:$F$3001,"&lt;"&amp;F1817)+1)</f>
        <v/>
      </c>
      <c r="I1817">
        <f>IF(C1817="","",C1817&amp;"|"&amp;H1817)</f>
        <v/>
      </c>
      <c r="J1817" s="6">
        <f>IF(C1817="","",IF(H1817=1,SUMIFS('Opening Balance'!$F$4:$F$303,'Opening Balance'!$G$4:$G$303,C1817),INDEX($L$2:$L$3001,MATCH(C1817&amp;"|"&amp;(H1817-1),$I$2:$I$3001,0))))</f>
        <v/>
      </c>
      <c r="K1817" s="6">
        <f>IF(C1817="","",IF(M1817&gt;0,M1817,IF(AND(E1817&gt;0,ROUND(J1817+D1817-E1817,2)&gt;0,ROUND(J1817+D1817-E1817,2)&lt;'Opening Balance'!$B$14),ROUND(J1817+D1817-E1817,2),0)))</f>
        <v/>
      </c>
      <c r="L1817" s="6">
        <f>IF(C1817="","",ROUND(J1817+D1817-E1817-K1817,2))</f>
        <v/>
      </c>
      <c r="M1817" s="6">
        <f>IF(C1817="","",0)</f>
        <v/>
      </c>
    </row>
    <row r="1818">
      <c r="A1818" t="inlineStr">
        <is>
          <t>Bank 银行</t>
        </is>
      </c>
      <c r="B1818" s="5">
        <f>IF(AND('Daily Sale entry '!Z318="Online collection 网上收款",'Daily Sale entry '!AA318&lt;&gt;""),'Daily Sale entry '!X318,"")</f>
        <v/>
      </c>
      <c r="C1818">
        <f>IF(B1818="","",'Daily Sale entry '!AA318)</f>
        <v/>
      </c>
      <c r="D1818">
        <f>IF(C1818="","",0)</f>
        <v/>
      </c>
      <c r="E1818">
        <f>IF(C1818="","",'Daily Sale entry '!AC318)</f>
        <v/>
      </c>
      <c r="F1818" s="37">
        <f>IF(C1818="","",B1818+IF(E1818&gt;0,0,0.5)+ROW()/10000000)</f>
        <v/>
      </c>
      <c r="G1818">
        <f>IF(C1818="","","Collection 收款 (Online 网上)"&amp;IF('Daily Sale entry '!Y318="",""," - "&amp;'Daily Sale entry '!Y318))</f>
        <v/>
      </c>
      <c r="H1818">
        <f>IF(C1818="","",COUNTIFS($C$2:$C$3001,C1818,$F$2:$F$3001,"&lt;"&amp;F1818)+1)</f>
        <v/>
      </c>
      <c r="I1818">
        <f>IF(C1818="","",C1818&amp;"|"&amp;H1818)</f>
        <v/>
      </c>
      <c r="J1818" s="6">
        <f>IF(C1818="","",IF(H1818=1,SUMIFS('Opening Balance'!$F$4:$F$303,'Opening Balance'!$G$4:$G$303,C1818),INDEX($L$2:$L$3001,MATCH(C1818&amp;"|"&amp;(H1818-1),$I$2:$I$3001,0))))</f>
        <v/>
      </c>
      <c r="K1818" s="6">
        <f>IF(C1818="","",IF(M1818&gt;0,M1818,IF(AND(E1818&gt;0,ROUND(J1818+D1818-E1818,2)&gt;0,ROUND(J1818+D1818-E1818,2)&lt;'Opening Balance'!$B$14),ROUND(J1818+D1818-E1818,2),0)))</f>
        <v/>
      </c>
      <c r="L1818" s="6">
        <f>IF(C1818="","",ROUND(J1818+D1818-E1818-K1818,2))</f>
        <v/>
      </c>
      <c r="M1818" s="6">
        <f>IF(C1818="","",0)</f>
        <v/>
      </c>
    </row>
    <row r="1819">
      <c r="A1819" t="inlineStr">
        <is>
          <t>Bank 银行</t>
        </is>
      </c>
      <c r="B1819" s="5">
        <f>IF(AND('Daily Sale entry '!Z319="Online collection 网上收款",'Daily Sale entry '!AA319&lt;&gt;""),'Daily Sale entry '!X319,"")</f>
        <v/>
      </c>
      <c r="C1819">
        <f>IF(B1819="","",'Daily Sale entry '!AA319)</f>
        <v/>
      </c>
      <c r="D1819">
        <f>IF(C1819="","",0)</f>
        <v/>
      </c>
      <c r="E1819">
        <f>IF(C1819="","",'Daily Sale entry '!AC319)</f>
        <v/>
      </c>
      <c r="F1819" s="37">
        <f>IF(C1819="","",B1819+IF(E1819&gt;0,0,0.5)+ROW()/10000000)</f>
        <v/>
      </c>
      <c r="G1819">
        <f>IF(C1819="","","Collection 收款 (Online 网上)"&amp;IF('Daily Sale entry '!Y319="",""," - "&amp;'Daily Sale entry '!Y319))</f>
        <v/>
      </c>
      <c r="H1819">
        <f>IF(C1819="","",COUNTIFS($C$2:$C$3001,C1819,$F$2:$F$3001,"&lt;"&amp;F1819)+1)</f>
        <v/>
      </c>
      <c r="I1819">
        <f>IF(C1819="","",C1819&amp;"|"&amp;H1819)</f>
        <v/>
      </c>
      <c r="J1819" s="6">
        <f>IF(C1819="","",IF(H1819=1,SUMIFS('Opening Balance'!$F$4:$F$303,'Opening Balance'!$G$4:$G$303,C1819),INDEX($L$2:$L$3001,MATCH(C1819&amp;"|"&amp;(H1819-1),$I$2:$I$3001,0))))</f>
        <v/>
      </c>
      <c r="K1819" s="6">
        <f>IF(C1819="","",IF(M1819&gt;0,M1819,IF(AND(E1819&gt;0,ROUND(J1819+D1819-E1819,2)&gt;0,ROUND(J1819+D1819-E1819,2)&lt;'Opening Balance'!$B$14),ROUND(J1819+D1819-E1819,2),0)))</f>
        <v/>
      </c>
      <c r="L1819" s="6">
        <f>IF(C1819="","",ROUND(J1819+D1819-E1819-K1819,2))</f>
        <v/>
      </c>
      <c r="M1819" s="6">
        <f>IF(C1819="","",0)</f>
        <v/>
      </c>
    </row>
    <row r="1820">
      <c r="A1820" t="inlineStr">
        <is>
          <t>Bank 银行</t>
        </is>
      </c>
      <c r="B1820" s="5">
        <f>IF(AND('Daily Sale entry '!Z320="Online collection 网上收款",'Daily Sale entry '!AA320&lt;&gt;""),'Daily Sale entry '!X320,"")</f>
        <v/>
      </c>
      <c r="C1820">
        <f>IF(B1820="","",'Daily Sale entry '!AA320)</f>
        <v/>
      </c>
      <c r="D1820">
        <f>IF(C1820="","",0)</f>
        <v/>
      </c>
      <c r="E1820">
        <f>IF(C1820="","",'Daily Sale entry '!AC320)</f>
        <v/>
      </c>
      <c r="F1820" s="37">
        <f>IF(C1820="","",B1820+IF(E1820&gt;0,0,0.5)+ROW()/10000000)</f>
        <v/>
      </c>
      <c r="G1820">
        <f>IF(C1820="","","Collection 收款 (Online 网上)"&amp;IF('Daily Sale entry '!Y320="",""," - "&amp;'Daily Sale entry '!Y320))</f>
        <v/>
      </c>
      <c r="H1820">
        <f>IF(C1820="","",COUNTIFS($C$2:$C$3001,C1820,$F$2:$F$3001,"&lt;"&amp;F1820)+1)</f>
        <v/>
      </c>
      <c r="I1820">
        <f>IF(C1820="","",C1820&amp;"|"&amp;H1820)</f>
        <v/>
      </c>
      <c r="J1820" s="6">
        <f>IF(C1820="","",IF(H1820=1,SUMIFS('Opening Balance'!$F$4:$F$303,'Opening Balance'!$G$4:$G$303,C1820),INDEX($L$2:$L$3001,MATCH(C1820&amp;"|"&amp;(H1820-1),$I$2:$I$3001,0))))</f>
        <v/>
      </c>
      <c r="K1820" s="6">
        <f>IF(C1820="","",IF(M1820&gt;0,M1820,IF(AND(E1820&gt;0,ROUND(J1820+D1820-E1820,2)&gt;0,ROUND(J1820+D1820-E1820,2)&lt;'Opening Balance'!$B$14),ROUND(J1820+D1820-E1820,2),0)))</f>
        <v/>
      </c>
      <c r="L1820" s="6">
        <f>IF(C1820="","",ROUND(J1820+D1820-E1820-K1820,2))</f>
        <v/>
      </c>
      <c r="M1820" s="6">
        <f>IF(C1820="","",0)</f>
        <v/>
      </c>
    </row>
    <row r="1821">
      <c r="A1821" t="inlineStr">
        <is>
          <t>Bank 银行</t>
        </is>
      </c>
      <c r="B1821" s="5">
        <f>IF(AND('Daily Sale entry '!Z321="Online collection 网上收款",'Daily Sale entry '!AA321&lt;&gt;""),'Daily Sale entry '!X321,"")</f>
        <v/>
      </c>
      <c r="C1821">
        <f>IF(B1821="","",'Daily Sale entry '!AA321)</f>
        <v/>
      </c>
      <c r="D1821">
        <f>IF(C1821="","",0)</f>
        <v/>
      </c>
      <c r="E1821">
        <f>IF(C1821="","",'Daily Sale entry '!AC321)</f>
        <v/>
      </c>
      <c r="F1821" s="37">
        <f>IF(C1821="","",B1821+IF(E1821&gt;0,0,0.5)+ROW()/10000000)</f>
        <v/>
      </c>
      <c r="G1821">
        <f>IF(C1821="","","Collection 收款 (Online 网上)"&amp;IF('Daily Sale entry '!Y321="",""," - "&amp;'Daily Sale entry '!Y321))</f>
        <v/>
      </c>
      <c r="H1821">
        <f>IF(C1821="","",COUNTIFS($C$2:$C$3001,C1821,$F$2:$F$3001,"&lt;"&amp;F1821)+1)</f>
        <v/>
      </c>
      <c r="I1821">
        <f>IF(C1821="","",C1821&amp;"|"&amp;H1821)</f>
        <v/>
      </c>
      <c r="J1821" s="6">
        <f>IF(C1821="","",IF(H1821=1,SUMIFS('Opening Balance'!$F$4:$F$303,'Opening Balance'!$G$4:$G$303,C1821),INDEX($L$2:$L$3001,MATCH(C1821&amp;"|"&amp;(H1821-1),$I$2:$I$3001,0))))</f>
        <v/>
      </c>
      <c r="K1821" s="6">
        <f>IF(C1821="","",IF(M1821&gt;0,M1821,IF(AND(E1821&gt;0,ROUND(J1821+D1821-E1821,2)&gt;0,ROUND(J1821+D1821-E1821,2)&lt;'Opening Balance'!$B$14),ROUND(J1821+D1821-E1821,2),0)))</f>
        <v/>
      </c>
      <c r="L1821" s="6">
        <f>IF(C1821="","",ROUND(J1821+D1821-E1821-K1821,2))</f>
        <v/>
      </c>
      <c r="M1821" s="6">
        <f>IF(C1821="","",0)</f>
        <v/>
      </c>
    </row>
    <row r="1822">
      <c r="A1822" t="inlineStr">
        <is>
          <t>Bank 银行</t>
        </is>
      </c>
      <c r="B1822" s="5">
        <f>IF(AND('Daily Sale entry '!Z322="Online collection 网上收款",'Daily Sale entry '!AA322&lt;&gt;""),'Daily Sale entry '!X322,"")</f>
        <v/>
      </c>
      <c r="C1822">
        <f>IF(B1822="","",'Daily Sale entry '!AA322)</f>
        <v/>
      </c>
      <c r="D1822">
        <f>IF(C1822="","",0)</f>
        <v/>
      </c>
      <c r="E1822">
        <f>IF(C1822="","",'Daily Sale entry '!AC322)</f>
        <v/>
      </c>
      <c r="F1822" s="37">
        <f>IF(C1822="","",B1822+IF(E1822&gt;0,0,0.5)+ROW()/10000000)</f>
        <v/>
      </c>
      <c r="G1822">
        <f>IF(C1822="","","Collection 收款 (Online 网上)"&amp;IF('Daily Sale entry '!Y322="",""," - "&amp;'Daily Sale entry '!Y322))</f>
        <v/>
      </c>
      <c r="H1822">
        <f>IF(C1822="","",COUNTIFS($C$2:$C$3001,C1822,$F$2:$F$3001,"&lt;"&amp;F1822)+1)</f>
        <v/>
      </c>
      <c r="I1822">
        <f>IF(C1822="","",C1822&amp;"|"&amp;H1822)</f>
        <v/>
      </c>
      <c r="J1822" s="6">
        <f>IF(C1822="","",IF(H1822=1,SUMIFS('Opening Balance'!$F$4:$F$303,'Opening Balance'!$G$4:$G$303,C1822),INDEX($L$2:$L$3001,MATCH(C1822&amp;"|"&amp;(H1822-1),$I$2:$I$3001,0))))</f>
        <v/>
      </c>
      <c r="K1822" s="6">
        <f>IF(C1822="","",IF(M1822&gt;0,M1822,IF(AND(E1822&gt;0,ROUND(J1822+D1822-E1822,2)&gt;0,ROUND(J1822+D1822-E1822,2)&lt;'Opening Balance'!$B$14),ROUND(J1822+D1822-E1822,2),0)))</f>
        <v/>
      </c>
      <c r="L1822" s="6">
        <f>IF(C1822="","",ROUND(J1822+D1822-E1822-K1822,2))</f>
        <v/>
      </c>
      <c r="M1822" s="6">
        <f>IF(C1822="","",0)</f>
        <v/>
      </c>
    </row>
    <row r="1823">
      <c r="A1823" t="inlineStr">
        <is>
          <t>Bank 银行</t>
        </is>
      </c>
      <c r="B1823" s="5">
        <f>IF(AND('Daily Sale entry '!Z323="Online collection 网上收款",'Daily Sale entry '!AA323&lt;&gt;""),'Daily Sale entry '!X323,"")</f>
        <v/>
      </c>
      <c r="C1823">
        <f>IF(B1823="","",'Daily Sale entry '!AA323)</f>
        <v/>
      </c>
      <c r="D1823">
        <f>IF(C1823="","",0)</f>
        <v/>
      </c>
      <c r="E1823">
        <f>IF(C1823="","",'Daily Sale entry '!AC323)</f>
        <v/>
      </c>
      <c r="F1823" s="37">
        <f>IF(C1823="","",B1823+IF(E1823&gt;0,0,0.5)+ROW()/10000000)</f>
        <v/>
      </c>
      <c r="G1823">
        <f>IF(C1823="","","Collection 收款 (Online 网上)"&amp;IF('Daily Sale entry '!Y323="",""," - "&amp;'Daily Sale entry '!Y323))</f>
        <v/>
      </c>
      <c r="H1823">
        <f>IF(C1823="","",COUNTIFS($C$2:$C$3001,C1823,$F$2:$F$3001,"&lt;"&amp;F1823)+1)</f>
        <v/>
      </c>
      <c r="I1823">
        <f>IF(C1823="","",C1823&amp;"|"&amp;H1823)</f>
        <v/>
      </c>
      <c r="J1823" s="6">
        <f>IF(C1823="","",IF(H1823=1,SUMIFS('Opening Balance'!$F$4:$F$303,'Opening Balance'!$G$4:$G$303,C1823),INDEX($L$2:$L$3001,MATCH(C1823&amp;"|"&amp;(H1823-1),$I$2:$I$3001,0))))</f>
        <v/>
      </c>
      <c r="K1823" s="6">
        <f>IF(C1823="","",IF(M1823&gt;0,M1823,IF(AND(E1823&gt;0,ROUND(J1823+D1823-E1823,2)&gt;0,ROUND(J1823+D1823-E1823,2)&lt;'Opening Balance'!$B$14),ROUND(J1823+D1823-E1823,2),0)))</f>
        <v/>
      </c>
      <c r="L1823" s="6">
        <f>IF(C1823="","",ROUND(J1823+D1823-E1823-K1823,2))</f>
        <v/>
      </c>
      <c r="M1823" s="6">
        <f>IF(C1823="","",0)</f>
        <v/>
      </c>
    </row>
    <row r="1824">
      <c r="A1824" t="inlineStr">
        <is>
          <t>Bank 银行</t>
        </is>
      </c>
      <c r="B1824" s="5">
        <f>IF(AND('Daily Sale entry '!Z324="Online collection 网上收款",'Daily Sale entry '!AA324&lt;&gt;""),'Daily Sale entry '!X324,"")</f>
        <v/>
      </c>
      <c r="C1824">
        <f>IF(B1824="","",'Daily Sale entry '!AA324)</f>
        <v/>
      </c>
      <c r="D1824">
        <f>IF(C1824="","",0)</f>
        <v/>
      </c>
      <c r="E1824">
        <f>IF(C1824="","",'Daily Sale entry '!AC324)</f>
        <v/>
      </c>
      <c r="F1824" s="37">
        <f>IF(C1824="","",B1824+IF(E1824&gt;0,0,0.5)+ROW()/10000000)</f>
        <v/>
      </c>
      <c r="G1824">
        <f>IF(C1824="","","Collection 收款 (Online 网上)"&amp;IF('Daily Sale entry '!Y324="",""," - "&amp;'Daily Sale entry '!Y324))</f>
        <v/>
      </c>
      <c r="H1824">
        <f>IF(C1824="","",COUNTIFS($C$2:$C$3001,C1824,$F$2:$F$3001,"&lt;"&amp;F1824)+1)</f>
        <v/>
      </c>
      <c r="I1824">
        <f>IF(C1824="","",C1824&amp;"|"&amp;H1824)</f>
        <v/>
      </c>
      <c r="J1824" s="6">
        <f>IF(C1824="","",IF(H1824=1,SUMIFS('Opening Balance'!$F$4:$F$303,'Opening Balance'!$G$4:$G$303,C1824),INDEX($L$2:$L$3001,MATCH(C1824&amp;"|"&amp;(H1824-1),$I$2:$I$3001,0))))</f>
        <v/>
      </c>
      <c r="K1824" s="6">
        <f>IF(C1824="","",IF(M1824&gt;0,M1824,IF(AND(E1824&gt;0,ROUND(J1824+D1824-E1824,2)&gt;0,ROUND(J1824+D1824-E1824,2)&lt;'Opening Balance'!$B$14),ROUND(J1824+D1824-E1824,2),0)))</f>
        <v/>
      </c>
      <c r="L1824" s="6">
        <f>IF(C1824="","",ROUND(J1824+D1824-E1824-K1824,2))</f>
        <v/>
      </c>
      <c r="M1824" s="6">
        <f>IF(C1824="","",0)</f>
        <v/>
      </c>
    </row>
    <row r="1825">
      <c r="A1825" t="inlineStr">
        <is>
          <t>Bank 银行</t>
        </is>
      </c>
      <c r="B1825" s="5">
        <f>IF(AND('Daily Sale entry '!Z325="Online collection 网上收款",'Daily Sale entry '!AA325&lt;&gt;""),'Daily Sale entry '!X325,"")</f>
        <v/>
      </c>
      <c r="C1825">
        <f>IF(B1825="","",'Daily Sale entry '!AA325)</f>
        <v/>
      </c>
      <c r="D1825">
        <f>IF(C1825="","",0)</f>
        <v/>
      </c>
      <c r="E1825">
        <f>IF(C1825="","",'Daily Sale entry '!AC325)</f>
        <v/>
      </c>
      <c r="F1825" s="37">
        <f>IF(C1825="","",B1825+IF(E1825&gt;0,0,0.5)+ROW()/10000000)</f>
        <v/>
      </c>
      <c r="G1825">
        <f>IF(C1825="","","Collection 收款 (Online 网上)"&amp;IF('Daily Sale entry '!Y325="",""," - "&amp;'Daily Sale entry '!Y325))</f>
        <v/>
      </c>
      <c r="H1825">
        <f>IF(C1825="","",COUNTIFS($C$2:$C$3001,C1825,$F$2:$F$3001,"&lt;"&amp;F1825)+1)</f>
        <v/>
      </c>
      <c r="I1825">
        <f>IF(C1825="","",C1825&amp;"|"&amp;H1825)</f>
        <v/>
      </c>
      <c r="J1825" s="6">
        <f>IF(C1825="","",IF(H1825=1,SUMIFS('Opening Balance'!$F$4:$F$303,'Opening Balance'!$G$4:$G$303,C1825),INDEX($L$2:$L$3001,MATCH(C1825&amp;"|"&amp;(H1825-1),$I$2:$I$3001,0))))</f>
        <v/>
      </c>
      <c r="K1825" s="6">
        <f>IF(C1825="","",IF(M1825&gt;0,M1825,IF(AND(E1825&gt;0,ROUND(J1825+D1825-E1825,2)&gt;0,ROUND(J1825+D1825-E1825,2)&lt;'Opening Balance'!$B$14),ROUND(J1825+D1825-E1825,2),0)))</f>
        <v/>
      </c>
      <c r="L1825" s="6">
        <f>IF(C1825="","",ROUND(J1825+D1825-E1825-K1825,2))</f>
        <v/>
      </c>
      <c r="M1825" s="6">
        <f>IF(C1825="","",0)</f>
        <v/>
      </c>
    </row>
    <row r="1826">
      <c r="A1826" t="inlineStr">
        <is>
          <t>Bank 银行</t>
        </is>
      </c>
      <c r="B1826" s="5">
        <f>IF(AND('Daily Sale entry '!Z326="Online collection 网上收款",'Daily Sale entry '!AA326&lt;&gt;""),'Daily Sale entry '!X326,"")</f>
        <v/>
      </c>
      <c r="C1826">
        <f>IF(B1826="","",'Daily Sale entry '!AA326)</f>
        <v/>
      </c>
      <c r="D1826">
        <f>IF(C1826="","",0)</f>
        <v/>
      </c>
      <c r="E1826">
        <f>IF(C1826="","",'Daily Sale entry '!AC326)</f>
        <v/>
      </c>
      <c r="F1826" s="37">
        <f>IF(C1826="","",B1826+IF(E1826&gt;0,0,0.5)+ROW()/10000000)</f>
        <v/>
      </c>
      <c r="G1826">
        <f>IF(C1826="","","Collection 收款 (Online 网上)"&amp;IF('Daily Sale entry '!Y326="",""," - "&amp;'Daily Sale entry '!Y326))</f>
        <v/>
      </c>
      <c r="H1826">
        <f>IF(C1826="","",COUNTIFS($C$2:$C$3001,C1826,$F$2:$F$3001,"&lt;"&amp;F1826)+1)</f>
        <v/>
      </c>
      <c r="I1826">
        <f>IF(C1826="","",C1826&amp;"|"&amp;H1826)</f>
        <v/>
      </c>
      <c r="J1826" s="6">
        <f>IF(C1826="","",IF(H1826=1,SUMIFS('Opening Balance'!$F$4:$F$303,'Opening Balance'!$G$4:$G$303,C1826),INDEX($L$2:$L$3001,MATCH(C1826&amp;"|"&amp;(H1826-1),$I$2:$I$3001,0))))</f>
        <v/>
      </c>
      <c r="K1826" s="6">
        <f>IF(C1826="","",IF(M1826&gt;0,M1826,IF(AND(E1826&gt;0,ROUND(J1826+D1826-E1826,2)&gt;0,ROUND(J1826+D1826-E1826,2)&lt;'Opening Balance'!$B$14),ROUND(J1826+D1826-E1826,2),0)))</f>
        <v/>
      </c>
      <c r="L1826" s="6">
        <f>IF(C1826="","",ROUND(J1826+D1826-E1826-K1826,2))</f>
        <v/>
      </c>
      <c r="M1826" s="6">
        <f>IF(C1826="","",0)</f>
        <v/>
      </c>
    </row>
    <row r="1827">
      <c r="A1827" t="inlineStr">
        <is>
          <t>Bank 银行</t>
        </is>
      </c>
      <c r="B1827" s="5">
        <f>IF(AND('Daily Sale entry '!Z327="Online collection 网上收款",'Daily Sale entry '!AA327&lt;&gt;""),'Daily Sale entry '!X327,"")</f>
        <v/>
      </c>
      <c r="C1827">
        <f>IF(B1827="","",'Daily Sale entry '!AA327)</f>
        <v/>
      </c>
      <c r="D1827">
        <f>IF(C1827="","",0)</f>
        <v/>
      </c>
      <c r="E1827">
        <f>IF(C1827="","",'Daily Sale entry '!AC327)</f>
        <v/>
      </c>
      <c r="F1827" s="37">
        <f>IF(C1827="","",B1827+IF(E1827&gt;0,0,0.5)+ROW()/10000000)</f>
        <v/>
      </c>
      <c r="G1827">
        <f>IF(C1827="","","Collection 收款 (Online 网上)"&amp;IF('Daily Sale entry '!Y327="",""," - "&amp;'Daily Sale entry '!Y327))</f>
        <v/>
      </c>
      <c r="H1827">
        <f>IF(C1827="","",COUNTIFS($C$2:$C$3001,C1827,$F$2:$F$3001,"&lt;"&amp;F1827)+1)</f>
        <v/>
      </c>
      <c r="I1827">
        <f>IF(C1827="","",C1827&amp;"|"&amp;H1827)</f>
        <v/>
      </c>
      <c r="J1827" s="6">
        <f>IF(C1827="","",IF(H1827=1,SUMIFS('Opening Balance'!$F$4:$F$303,'Opening Balance'!$G$4:$G$303,C1827),INDEX($L$2:$L$3001,MATCH(C1827&amp;"|"&amp;(H1827-1),$I$2:$I$3001,0))))</f>
        <v/>
      </c>
      <c r="K1827" s="6">
        <f>IF(C1827="","",IF(M1827&gt;0,M1827,IF(AND(E1827&gt;0,ROUND(J1827+D1827-E1827,2)&gt;0,ROUND(J1827+D1827-E1827,2)&lt;'Opening Balance'!$B$14),ROUND(J1827+D1827-E1827,2),0)))</f>
        <v/>
      </c>
      <c r="L1827" s="6">
        <f>IF(C1827="","",ROUND(J1827+D1827-E1827-K1827,2))</f>
        <v/>
      </c>
      <c r="M1827" s="6">
        <f>IF(C1827="","",0)</f>
        <v/>
      </c>
    </row>
    <row r="1828">
      <c r="A1828" t="inlineStr">
        <is>
          <t>Bank 银行</t>
        </is>
      </c>
      <c r="B1828" s="5">
        <f>IF(AND('Daily Sale entry '!Z328="Online collection 网上收款",'Daily Sale entry '!AA328&lt;&gt;""),'Daily Sale entry '!X328,"")</f>
        <v/>
      </c>
      <c r="C1828">
        <f>IF(B1828="","",'Daily Sale entry '!AA328)</f>
        <v/>
      </c>
      <c r="D1828">
        <f>IF(C1828="","",0)</f>
        <v/>
      </c>
      <c r="E1828">
        <f>IF(C1828="","",'Daily Sale entry '!AC328)</f>
        <v/>
      </c>
      <c r="F1828" s="37">
        <f>IF(C1828="","",B1828+IF(E1828&gt;0,0,0.5)+ROW()/10000000)</f>
        <v/>
      </c>
      <c r="G1828">
        <f>IF(C1828="","","Collection 收款 (Online 网上)"&amp;IF('Daily Sale entry '!Y328="",""," - "&amp;'Daily Sale entry '!Y328))</f>
        <v/>
      </c>
      <c r="H1828">
        <f>IF(C1828="","",COUNTIFS($C$2:$C$3001,C1828,$F$2:$F$3001,"&lt;"&amp;F1828)+1)</f>
        <v/>
      </c>
      <c r="I1828">
        <f>IF(C1828="","",C1828&amp;"|"&amp;H1828)</f>
        <v/>
      </c>
      <c r="J1828" s="6">
        <f>IF(C1828="","",IF(H1828=1,SUMIFS('Opening Balance'!$F$4:$F$303,'Opening Balance'!$G$4:$G$303,C1828),INDEX($L$2:$L$3001,MATCH(C1828&amp;"|"&amp;(H1828-1),$I$2:$I$3001,0))))</f>
        <v/>
      </c>
      <c r="K1828" s="6">
        <f>IF(C1828="","",IF(M1828&gt;0,M1828,IF(AND(E1828&gt;0,ROUND(J1828+D1828-E1828,2)&gt;0,ROUND(J1828+D1828-E1828,2)&lt;'Opening Balance'!$B$14),ROUND(J1828+D1828-E1828,2),0)))</f>
        <v/>
      </c>
      <c r="L1828" s="6">
        <f>IF(C1828="","",ROUND(J1828+D1828-E1828-K1828,2))</f>
        <v/>
      </c>
      <c r="M1828" s="6">
        <f>IF(C1828="","",0)</f>
        <v/>
      </c>
    </row>
    <row r="1829">
      <c r="A1829" t="inlineStr">
        <is>
          <t>Bank 银行</t>
        </is>
      </c>
      <c r="B1829" s="5">
        <f>IF(AND('Daily Sale entry '!Z329="Online collection 网上收款",'Daily Sale entry '!AA329&lt;&gt;""),'Daily Sale entry '!X329,"")</f>
        <v/>
      </c>
      <c r="C1829">
        <f>IF(B1829="","",'Daily Sale entry '!AA329)</f>
        <v/>
      </c>
      <c r="D1829">
        <f>IF(C1829="","",0)</f>
        <v/>
      </c>
      <c r="E1829">
        <f>IF(C1829="","",'Daily Sale entry '!AC329)</f>
        <v/>
      </c>
      <c r="F1829" s="37">
        <f>IF(C1829="","",B1829+IF(E1829&gt;0,0,0.5)+ROW()/10000000)</f>
        <v/>
      </c>
      <c r="G1829">
        <f>IF(C1829="","","Collection 收款 (Online 网上)"&amp;IF('Daily Sale entry '!Y329="",""," - "&amp;'Daily Sale entry '!Y329))</f>
        <v/>
      </c>
      <c r="H1829">
        <f>IF(C1829="","",COUNTIFS($C$2:$C$3001,C1829,$F$2:$F$3001,"&lt;"&amp;F1829)+1)</f>
        <v/>
      </c>
      <c r="I1829">
        <f>IF(C1829="","",C1829&amp;"|"&amp;H1829)</f>
        <v/>
      </c>
      <c r="J1829" s="6">
        <f>IF(C1829="","",IF(H1829=1,SUMIFS('Opening Balance'!$F$4:$F$303,'Opening Balance'!$G$4:$G$303,C1829),INDEX($L$2:$L$3001,MATCH(C1829&amp;"|"&amp;(H1829-1),$I$2:$I$3001,0))))</f>
        <v/>
      </c>
      <c r="K1829" s="6">
        <f>IF(C1829="","",IF(M1829&gt;0,M1829,IF(AND(E1829&gt;0,ROUND(J1829+D1829-E1829,2)&gt;0,ROUND(J1829+D1829-E1829,2)&lt;'Opening Balance'!$B$14),ROUND(J1829+D1829-E1829,2),0)))</f>
        <v/>
      </c>
      <c r="L1829" s="6">
        <f>IF(C1829="","",ROUND(J1829+D1829-E1829-K1829,2))</f>
        <v/>
      </c>
      <c r="M1829" s="6">
        <f>IF(C1829="","",0)</f>
        <v/>
      </c>
    </row>
    <row r="1830">
      <c r="A1830" t="inlineStr">
        <is>
          <t>Bank 银行</t>
        </is>
      </c>
      <c r="B1830" s="5">
        <f>IF(AND('Daily Sale entry '!Z330="Online collection 网上收款",'Daily Sale entry '!AA330&lt;&gt;""),'Daily Sale entry '!X330,"")</f>
        <v/>
      </c>
      <c r="C1830">
        <f>IF(B1830="","",'Daily Sale entry '!AA330)</f>
        <v/>
      </c>
      <c r="D1830">
        <f>IF(C1830="","",0)</f>
        <v/>
      </c>
      <c r="E1830">
        <f>IF(C1830="","",'Daily Sale entry '!AC330)</f>
        <v/>
      </c>
      <c r="F1830" s="37">
        <f>IF(C1830="","",B1830+IF(E1830&gt;0,0,0.5)+ROW()/10000000)</f>
        <v/>
      </c>
      <c r="G1830">
        <f>IF(C1830="","","Collection 收款 (Online 网上)"&amp;IF('Daily Sale entry '!Y330="",""," - "&amp;'Daily Sale entry '!Y330))</f>
        <v/>
      </c>
      <c r="H1830">
        <f>IF(C1830="","",COUNTIFS($C$2:$C$3001,C1830,$F$2:$F$3001,"&lt;"&amp;F1830)+1)</f>
        <v/>
      </c>
      <c r="I1830">
        <f>IF(C1830="","",C1830&amp;"|"&amp;H1830)</f>
        <v/>
      </c>
      <c r="J1830" s="6">
        <f>IF(C1830="","",IF(H1830=1,SUMIFS('Opening Balance'!$F$4:$F$303,'Opening Balance'!$G$4:$G$303,C1830),INDEX($L$2:$L$3001,MATCH(C1830&amp;"|"&amp;(H1830-1),$I$2:$I$3001,0))))</f>
        <v/>
      </c>
      <c r="K1830" s="6">
        <f>IF(C1830="","",IF(M1830&gt;0,M1830,IF(AND(E1830&gt;0,ROUND(J1830+D1830-E1830,2)&gt;0,ROUND(J1830+D1830-E1830,2)&lt;'Opening Balance'!$B$14),ROUND(J1830+D1830-E1830,2),0)))</f>
        <v/>
      </c>
      <c r="L1830" s="6">
        <f>IF(C1830="","",ROUND(J1830+D1830-E1830-K1830,2))</f>
        <v/>
      </c>
      <c r="M1830" s="6">
        <f>IF(C1830="","",0)</f>
        <v/>
      </c>
    </row>
    <row r="1831">
      <c r="A1831" t="inlineStr">
        <is>
          <t>Bank 银行</t>
        </is>
      </c>
      <c r="B1831" s="5">
        <f>IF(AND('Daily Sale entry '!Z331="Online collection 网上收款",'Daily Sale entry '!AA331&lt;&gt;""),'Daily Sale entry '!X331,"")</f>
        <v/>
      </c>
      <c r="C1831">
        <f>IF(B1831="","",'Daily Sale entry '!AA331)</f>
        <v/>
      </c>
      <c r="D1831">
        <f>IF(C1831="","",0)</f>
        <v/>
      </c>
      <c r="E1831">
        <f>IF(C1831="","",'Daily Sale entry '!AC331)</f>
        <v/>
      </c>
      <c r="F1831" s="37">
        <f>IF(C1831="","",B1831+IF(E1831&gt;0,0,0.5)+ROW()/10000000)</f>
        <v/>
      </c>
      <c r="G1831">
        <f>IF(C1831="","","Collection 收款 (Online 网上)"&amp;IF('Daily Sale entry '!Y331="",""," - "&amp;'Daily Sale entry '!Y331))</f>
        <v/>
      </c>
      <c r="H1831">
        <f>IF(C1831="","",COUNTIFS($C$2:$C$3001,C1831,$F$2:$F$3001,"&lt;"&amp;F1831)+1)</f>
        <v/>
      </c>
      <c r="I1831">
        <f>IF(C1831="","",C1831&amp;"|"&amp;H1831)</f>
        <v/>
      </c>
      <c r="J1831" s="6">
        <f>IF(C1831="","",IF(H1831=1,SUMIFS('Opening Balance'!$F$4:$F$303,'Opening Balance'!$G$4:$G$303,C1831),INDEX($L$2:$L$3001,MATCH(C1831&amp;"|"&amp;(H1831-1),$I$2:$I$3001,0))))</f>
        <v/>
      </c>
      <c r="K1831" s="6">
        <f>IF(C1831="","",IF(M1831&gt;0,M1831,IF(AND(E1831&gt;0,ROUND(J1831+D1831-E1831,2)&gt;0,ROUND(J1831+D1831-E1831,2)&lt;'Opening Balance'!$B$14),ROUND(J1831+D1831-E1831,2),0)))</f>
        <v/>
      </c>
      <c r="L1831" s="6">
        <f>IF(C1831="","",ROUND(J1831+D1831-E1831-K1831,2))</f>
        <v/>
      </c>
      <c r="M1831" s="6">
        <f>IF(C1831="","",0)</f>
        <v/>
      </c>
    </row>
    <row r="1832">
      <c r="A1832" t="inlineStr">
        <is>
          <t>Bank 银行</t>
        </is>
      </c>
      <c r="B1832" s="5">
        <f>IF(AND('Daily Sale entry '!Z332="Online collection 网上收款",'Daily Sale entry '!AA332&lt;&gt;""),'Daily Sale entry '!X332,"")</f>
        <v/>
      </c>
      <c r="C1832">
        <f>IF(B1832="","",'Daily Sale entry '!AA332)</f>
        <v/>
      </c>
      <c r="D1832">
        <f>IF(C1832="","",0)</f>
        <v/>
      </c>
      <c r="E1832">
        <f>IF(C1832="","",'Daily Sale entry '!AC332)</f>
        <v/>
      </c>
      <c r="F1832" s="37">
        <f>IF(C1832="","",B1832+IF(E1832&gt;0,0,0.5)+ROW()/10000000)</f>
        <v/>
      </c>
      <c r="G1832">
        <f>IF(C1832="","","Collection 收款 (Online 网上)"&amp;IF('Daily Sale entry '!Y332="",""," - "&amp;'Daily Sale entry '!Y332))</f>
        <v/>
      </c>
      <c r="H1832">
        <f>IF(C1832="","",COUNTIFS($C$2:$C$3001,C1832,$F$2:$F$3001,"&lt;"&amp;F1832)+1)</f>
        <v/>
      </c>
      <c r="I1832">
        <f>IF(C1832="","",C1832&amp;"|"&amp;H1832)</f>
        <v/>
      </c>
      <c r="J1832" s="6">
        <f>IF(C1832="","",IF(H1832=1,SUMIFS('Opening Balance'!$F$4:$F$303,'Opening Balance'!$G$4:$G$303,C1832),INDEX($L$2:$L$3001,MATCH(C1832&amp;"|"&amp;(H1832-1),$I$2:$I$3001,0))))</f>
        <v/>
      </c>
      <c r="K1832" s="6">
        <f>IF(C1832="","",IF(M1832&gt;0,M1832,IF(AND(E1832&gt;0,ROUND(J1832+D1832-E1832,2)&gt;0,ROUND(J1832+D1832-E1832,2)&lt;'Opening Balance'!$B$14),ROUND(J1832+D1832-E1832,2),0)))</f>
        <v/>
      </c>
      <c r="L1832" s="6">
        <f>IF(C1832="","",ROUND(J1832+D1832-E1832-K1832,2))</f>
        <v/>
      </c>
      <c r="M1832" s="6">
        <f>IF(C1832="","",0)</f>
        <v/>
      </c>
    </row>
    <row r="1833">
      <c r="A1833" t="inlineStr">
        <is>
          <t>Bank 银行</t>
        </is>
      </c>
      <c r="B1833" s="5">
        <f>IF(AND('Daily Sale entry '!Z333="Online collection 网上收款",'Daily Sale entry '!AA333&lt;&gt;""),'Daily Sale entry '!X333,"")</f>
        <v/>
      </c>
      <c r="C1833">
        <f>IF(B1833="","",'Daily Sale entry '!AA333)</f>
        <v/>
      </c>
      <c r="D1833">
        <f>IF(C1833="","",0)</f>
        <v/>
      </c>
      <c r="E1833">
        <f>IF(C1833="","",'Daily Sale entry '!AC333)</f>
        <v/>
      </c>
      <c r="F1833" s="37">
        <f>IF(C1833="","",B1833+IF(E1833&gt;0,0,0.5)+ROW()/10000000)</f>
        <v/>
      </c>
      <c r="G1833">
        <f>IF(C1833="","","Collection 收款 (Online 网上)"&amp;IF('Daily Sale entry '!Y333="",""," - "&amp;'Daily Sale entry '!Y333))</f>
        <v/>
      </c>
      <c r="H1833">
        <f>IF(C1833="","",COUNTIFS($C$2:$C$3001,C1833,$F$2:$F$3001,"&lt;"&amp;F1833)+1)</f>
        <v/>
      </c>
      <c r="I1833">
        <f>IF(C1833="","",C1833&amp;"|"&amp;H1833)</f>
        <v/>
      </c>
      <c r="J1833" s="6">
        <f>IF(C1833="","",IF(H1833=1,SUMIFS('Opening Balance'!$F$4:$F$303,'Opening Balance'!$G$4:$G$303,C1833),INDEX($L$2:$L$3001,MATCH(C1833&amp;"|"&amp;(H1833-1),$I$2:$I$3001,0))))</f>
        <v/>
      </c>
      <c r="K1833" s="6">
        <f>IF(C1833="","",IF(M1833&gt;0,M1833,IF(AND(E1833&gt;0,ROUND(J1833+D1833-E1833,2)&gt;0,ROUND(J1833+D1833-E1833,2)&lt;'Opening Balance'!$B$14),ROUND(J1833+D1833-E1833,2),0)))</f>
        <v/>
      </c>
      <c r="L1833" s="6">
        <f>IF(C1833="","",ROUND(J1833+D1833-E1833-K1833,2))</f>
        <v/>
      </c>
      <c r="M1833" s="6">
        <f>IF(C1833="","",0)</f>
        <v/>
      </c>
    </row>
    <row r="1834">
      <c r="A1834" t="inlineStr">
        <is>
          <t>Bank 银行</t>
        </is>
      </c>
      <c r="B1834" s="5">
        <f>IF(AND('Daily Sale entry '!Z334="Online collection 网上收款",'Daily Sale entry '!AA334&lt;&gt;""),'Daily Sale entry '!X334,"")</f>
        <v/>
      </c>
      <c r="C1834">
        <f>IF(B1834="","",'Daily Sale entry '!AA334)</f>
        <v/>
      </c>
      <c r="D1834">
        <f>IF(C1834="","",0)</f>
        <v/>
      </c>
      <c r="E1834">
        <f>IF(C1834="","",'Daily Sale entry '!AC334)</f>
        <v/>
      </c>
      <c r="F1834" s="37">
        <f>IF(C1834="","",B1834+IF(E1834&gt;0,0,0.5)+ROW()/10000000)</f>
        <v/>
      </c>
      <c r="G1834">
        <f>IF(C1834="","","Collection 收款 (Online 网上)"&amp;IF('Daily Sale entry '!Y334="",""," - "&amp;'Daily Sale entry '!Y334))</f>
        <v/>
      </c>
      <c r="H1834">
        <f>IF(C1834="","",COUNTIFS($C$2:$C$3001,C1834,$F$2:$F$3001,"&lt;"&amp;F1834)+1)</f>
        <v/>
      </c>
      <c r="I1834">
        <f>IF(C1834="","",C1834&amp;"|"&amp;H1834)</f>
        <v/>
      </c>
      <c r="J1834" s="6">
        <f>IF(C1834="","",IF(H1834=1,SUMIFS('Opening Balance'!$F$4:$F$303,'Opening Balance'!$G$4:$G$303,C1834),INDEX($L$2:$L$3001,MATCH(C1834&amp;"|"&amp;(H1834-1),$I$2:$I$3001,0))))</f>
        <v/>
      </c>
      <c r="K1834" s="6">
        <f>IF(C1834="","",IF(M1834&gt;0,M1834,IF(AND(E1834&gt;0,ROUND(J1834+D1834-E1834,2)&gt;0,ROUND(J1834+D1834-E1834,2)&lt;'Opening Balance'!$B$14),ROUND(J1834+D1834-E1834,2),0)))</f>
        <v/>
      </c>
      <c r="L1834" s="6">
        <f>IF(C1834="","",ROUND(J1834+D1834-E1834-K1834,2))</f>
        <v/>
      </c>
      <c r="M1834" s="6">
        <f>IF(C1834="","",0)</f>
        <v/>
      </c>
    </row>
    <row r="1835">
      <c r="A1835" t="inlineStr">
        <is>
          <t>Bank 银行</t>
        </is>
      </c>
      <c r="B1835" s="5">
        <f>IF(AND('Daily Sale entry '!Z335="Online collection 网上收款",'Daily Sale entry '!AA335&lt;&gt;""),'Daily Sale entry '!X335,"")</f>
        <v/>
      </c>
      <c r="C1835">
        <f>IF(B1835="","",'Daily Sale entry '!AA335)</f>
        <v/>
      </c>
      <c r="D1835">
        <f>IF(C1835="","",0)</f>
        <v/>
      </c>
      <c r="E1835">
        <f>IF(C1835="","",'Daily Sale entry '!AC335)</f>
        <v/>
      </c>
      <c r="F1835" s="37">
        <f>IF(C1835="","",B1835+IF(E1835&gt;0,0,0.5)+ROW()/10000000)</f>
        <v/>
      </c>
      <c r="G1835">
        <f>IF(C1835="","","Collection 收款 (Online 网上)"&amp;IF('Daily Sale entry '!Y335="",""," - "&amp;'Daily Sale entry '!Y335))</f>
        <v/>
      </c>
      <c r="H1835">
        <f>IF(C1835="","",COUNTIFS($C$2:$C$3001,C1835,$F$2:$F$3001,"&lt;"&amp;F1835)+1)</f>
        <v/>
      </c>
      <c r="I1835">
        <f>IF(C1835="","",C1835&amp;"|"&amp;H1835)</f>
        <v/>
      </c>
      <c r="J1835" s="6">
        <f>IF(C1835="","",IF(H1835=1,SUMIFS('Opening Balance'!$F$4:$F$303,'Opening Balance'!$G$4:$G$303,C1835),INDEX($L$2:$L$3001,MATCH(C1835&amp;"|"&amp;(H1835-1),$I$2:$I$3001,0))))</f>
        <v/>
      </c>
      <c r="K1835" s="6">
        <f>IF(C1835="","",IF(M1835&gt;0,M1835,IF(AND(E1835&gt;0,ROUND(J1835+D1835-E1835,2)&gt;0,ROUND(J1835+D1835-E1835,2)&lt;'Opening Balance'!$B$14),ROUND(J1835+D1835-E1835,2),0)))</f>
        <v/>
      </c>
      <c r="L1835" s="6">
        <f>IF(C1835="","",ROUND(J1835+D1835-E1835-K1835,2))</f>
        <v/>
      </c>
      <c r="M1835" s="6">
        <f>IF(C1835="","",0)</f>
        <v/>
      </c>
    </row>
    <row r="1836">
      <c r="A1836" t="inlineStr">
        <is>
          <t>Bank 银行</t>
        </is>
      </c>
      <c r="B1836" s="5">
        <f>IF(AND('Daily Sale entry '!Z336="Online collection 网上收款",'Daily Sale entry '!AA336&lt;&gt;""),'Daily Sale entry '!X336,"")</f>
        <v/>
      </c>
      <c r="C1836">
        <f>IF(B1836="","",'Daily Sale entry '!AA336)</f>
        <v/>
      </c>
      <c r="D1836">
        <f>IF(C1836="","",0)</f>
        <v/>
      </c>
      <c r="E1836">
        <f>IF(C1836="","",'Daily Sale entry '!AC336)</f>
        <v/>
      </c>
      <c r="F1836" s="37">
        <f>IF(C1836="","",B1836+IF(E1836&gt;0,0,0.5)+ROW()/10000000)</f>
        <v/>
      </c>
      <c r="G1836">
        <f>IF(C1836="","","Collection 收款 (Online 网上)"&amp;IF('Daily Sale entry '!Y336="",""," - "&amp;'Daily Sale entry '!Y336))</f>
        <v/>
      </c>
      <c r="H1836">
        <f>IF(C1836="","",COUNTIFS($C$2:$C$3001,C1836,$F$2:$F$3001,"&lt;"&amp;F1836)+1)</f>
        <v/>
      </c>
      <c r="I1836">
        <f>IF(C1836="","",C1836&amp;"|"&amp;H1836)</f>
        <v/>
      </c>
      <c r="J1836" s="6">
        <f>IF(C1836="","",IF(H1836=1,SUMIFS('Opening Balance'!$F$4:$F$303,'Opening Balance'!$G$4:$G$303,C1836),INDEX($L$2:$L$3001,MATCH(C1836&amp;"|"&amp;(H1836-1),$I$2:$I$3001,0))))</f>
        <v/>
      </c>
      <c r="K1836" s="6">
        <f>IF(C1836="","",IF(M1836&gt;0,M1836,IF(AND(E1836&gt;0,ROUND(J1836+D1836-E1836,2)&gt;0,ROUND(J1836+D1836-E1836,2)&lt;'Opening Balance'!$B$14),ROUND(J1836+D1836-E1836,2),0)))</f>
        <v/>
      </c>
      <c r="L1836" s="6">
        <f>IF(C1836="","",ROUND(J1836+D1836-E1836-K1836,2))</f>
        <v/>
      </c>
      <c r="M1836" s="6">
        <f>IF(C1836="","",0)</f>
        <v/>
      </c>
    </row>
    <row r="1837">
      <c r="A1837" t="inlineStr">
        <is>
          <t>Bank 银行</t>
        </is>
      </c>
      <c r="B1837" s="5">
        <f>IF(AND('Daily Sale entry '!Z337="Online collection 网上收款",'Daily Sale entry '!AA337&lt;&gt;""),'Daily Sale entry '!X337,"")</f>
        <v/>
      </c>
      <c r="C1837">
        <f>IF(B1837="","",'Daily Sale entry '!AA337)</f>
        <v/>
      </c>
      <c r="D1837">
        <f>IF(C1837="","",0)</f>
        <v/>
      </c>
      <c r="E1837">
        <f>IF(C1837="","",'Daily Sale entry '!AC337)</f>
        <v/>
      </c>
      <c r="F1837" s="37">
        <f>IF(C1837="","",B1837+IF(E1837&gt;0,0,0.5)+ROW()/10000000)</f>
        <v/>
      </c>
      <c r="G1837">
        <f>IF(C1837="","","Collection 收款 (Online 网上)"&amp;IF('Daily Sale entry '!Y337="",""," - "&amp;'Daily Sale entry '!Y337))</f>
        <v/>
      </c>
      <c r="H1837">
        <f>IF(C1837="","",COUNTIFS($C$2:$C$3001,C1837,$F$2:$F$3001,"&lt;"&amp;F1837)+1)</f>
        <v/>
      </c>
      <c r="I1837">
        <f>IF(C1837="","",C1837&amp;"|"&amp;H1837)</f>
        <v/>
      </c>
      <c r="J1837" s="6">
        <f>IF(C1837="","",IF(H1837=1,SUMIFS('Opening Balance'!$F$4:$F$303,'Opening Balance'!$G$4:$G$303,C1837),INDEX($L$2:$L$3001,MATCH(C1837&amp;"|"&amp;(H1837-1),$I$2:$I$3001,0))))</f>
        <v/>
      </c>
      <c r="K1837" s="6">
        <f>IF(C1837="","",IF(M1837&gt;0,M1837,IF(AND(E1837&gt;0,ROUND(J1837+D1837-E1837,2)&gt;0,ROUND(J1837+D1837-E1837,2)&lt;'Opening Balance'!$B$14),ROUND(J1837+D1837-E1837,2),0)))</f>
        <v/>
      </c>
      <c r="L1837" s="6">
        <f>IF(C1837="","",ROUND(J1837+D1837-E1837-K1837,2))</f>
        <v/>
      </c>
      <c r="M1837" s="6">
        <f>IF(C1837="","",0)</f>
        <v/>
      </c>
    </row>
    <row r="1838">
      <c r="A1838" t="inlineStr">
        <is>
          <t>Bank 银行</t>
        </is>
      </c>
      <c r="B1838" s="5">
        <f>IF(AND('Daily Sale entry '!Z338="Online collection 网上收款",'Daily Sale entry '!AA338&lt;&gt;""),'Daily Sale entry '!X338,"")</f>
        <v/>
      </c>
      <c r="C1838">
        <f>IF(B1838="","",'Daily Sale entry '!AA338)</f>
        <v/>
      </c>
      <c r="D1838">
        <f>IF(C1838="","",0)</f>
        <v/>
      </c>
      <c r="E1838">
        <f>IF(C1838="","",'Daily Sale entry '!AC338)</f>
        <v/>
      </c>
      <c r="F1838" s="37">
        <f>IF(C1838="","",B1838+IF(E1838&gt;0,0,0.5)+ROW()/10000000)</f>
        <v/>
      </c>
      <c r="G1838">
        <f>IF(C1838="","","Collection 收款 (Online 网上)"&amp;IF('Daily Sale entry '!Y338="",""," - "&amp;'Daily Sale entry '!Y338))</f>
        <v/>
      </c>
      <c r="H1838">
        <f>IF(C1838="","",COUNTIFS($C$2:$C$3001,C1838,$F$2:$F$3001,"&lt;"&amp;F1838)+1)</f>
        <v/>
      </c>
      <c r="I1838">
        <f>IF(C1838="","",C1838&amp;"|"&amp;H1838)</f>
        <v/>
      </c>
      <c r="J1838" s="6">
        <f>IF(C1838="","",IF(H1838=1,SUMIFS('Opening Balance'!$F$4:$F$303,'Opening Balance'!$G$4:$G$303,C1838),INDEX($L$2:$L$3001,MATCH(C1838&amp;"|"&amp;(H1838-1),$I$2:$I$3001,0))))</f>
        <v/>
      </c>
      <c r="K1838" s="6">
        <f>IF(C1838="","",IF(M1838&gt;0,M1838,IF(AND(E1838&gt;0,ROUND(J1838+D1838-E1838,2)&gt;0,ROUND(J1838+D1838-E1838,2)&lt;'Opening Balance'!$B$14),ROUND(J1838+D1838-E1838,2),0)))</f>
        <v/>
      </c>
      <c r="L1838" s="6">
        <f>IF(C1838="","",ROUND(J1838+D1838-E1838-K1838,2))</f>
        <v/>
      </c>
      <c r="M1838" s="6">
        <f>IF(C1838="","",0)</f>
        <v/>
      </c>
    </row>
    <row r="1839">
      <c r="A1839" t="inlineStr">
        <is>
          <t>Bank 银行</t>
        </is>
      </c>
      <c r="B1839" s="5">
        <f>IF(AND('Daily Sale entry '!Z339="Online collection 网上收款",'Daily Sale entry '!AA339&lt;&gt;""),'Daily Sale entry '!X339,"")</f>
        <v/>
      </c>
      <c r="C1839">
        <f>IF(B1839="","",'Daily Sale entry '!AA339)</f>
        <v/>
      </c>
      <c r="D1839">
        <f>IF(C1839="","",0)</f>
        <v/>
      </c>
      <c r="E1839">
        <f>IF(C1839="","",'Daily Sale entry '!AC339)</f>
        <v/>
      </c>
      <c r="F1839" s="37">
        <f>IF(C1839="","",B1839+IF(E1839&gt;0,0,0.5)+ROW()/10000000)</f>
        <v/>
      </c>
      <c r="G1839">
        <f>IF(C1839="","","Collection 收款 (Online 网上)"&amp;IF('Daily Sale entry '!Y339="",""," - "&amp;'Daily Sale entry '!Y339))</f>
        <v/>
      </c>
      <c r="H1839">
        <f>IF(C1839="","",COUNTIFS($C$2:$C$3001,C1839,$F$2:$F$3001,"&lt;"&amp;F1839)+1)</f>
        <v/>
      </c>
      <c r="I1839">
        <f>IF(C1839="","",C1839&amp;"|"&amp;H1839)</f>
        <v/>
      </c>
      <c r="J1839" s="6">
        <f>IF(C1839="","",IF(H1839=1,SUMIFS('Opening Balance'!$F$4:$F$303,'Opening Balance'!$G$4:$G$303,C1839),INDEX($L$2:$L$3001,MATCH(C1839&amp;"|"&amp;(H1839-1),$I$2:$I$3001,0))))</f>
        <v/>
      </c>
      <c r="K1839" s="6">
        <f>IF(C1839="","",IF(M1839&gt;0,M1839,IF(AND(E1839&gt;0,ROUND(J1839+D1839-E1839,2)&gt;0,ROUND(J1839+D1839-E1839,2)&lt;'Opening Balance'!$B$14),ROUND(J1839+D1839-E1839,2),0)))</f>
        <v/>
      </c>
      <c r="L1839" s="6">
        <f>IF(C1839="","",ROUND(J1839+D1839-E1839-K1839,2))</f>
        <v/>
      </c>
      <c r="M1839" s="6">
        <f>IF(C1839="","",0)</f>
        <v/>
      </c>
    </row>
    <row r="1840">
      <c r="A1840" t="inlineStr">
        <is>
          <t>Bank 银行</t>
        </is>
      </c>
      <c r="B1840" s="5">
        <f>IF(AND('Daily Sale entry '!Z340="Online collection 网上收款",'Daily Sale entry '!AA340&lt;&gt;""),'Daily Sale entry '!X340,"")</f>
        <v/>
      </c>
      <c r="C1840">
        <f>IF(B1840="","",'Daily Sale entry '!AA340)</f>
        <v/>
      </c>
      <c r="D1840">
        <f>IF(C1840="","",0)</f>
        <v/>
      </c>
      <c r="E1840">
        <f>IF(C1840="","",'Daily Sale entry '!AC340)</f>
        <v/>
      </c>
      <c r="F1840" s="37">
        <f>IF(C1840="","",B1840+IF(E1840&gt;0,0,0.5)+ROW()/10000000)</f>
        <v/>
      </c>
      <c r="G1840">
        <f>IF(C1840="","","Collection 收款 (Online 网上)"&amp;IF('Daily Sale entry '!Y340="",""," - "&amp;'Daily Sale entry '!Y340))</f>
        <v/>
      </c>
      <c r="H1840">
        <f>IF(C1840="","",COUNTIFS($C$2:$C$3001,C1840,$F$2:$F$3001,"&lt;"&amp;F1840)+1)</f>
        <v/>
      </c>
      <c r="I1840">
        <f>IF(C1840="","",C1840&amp;"|"&amp;H1840)</f>
        <v/>
      </c>
      <c r="J1840" s="6">
        <f>IF(C1840="","",IF(H1840=1,SUMIFS('Opening Balance'!$F$4:$F$303,'Opening Balance'!$G$4:$G$303,C1840),INDEX($L$2:$L$3001,MATCH(C1840&amp;"|"&amp;(H1840-1),$I$2:$I$3001,0))))</f>
        <v/>
      </c>
      <c r="K1840" s="6">
        <f>IF(C1840="","",IF(M1840&gt;0,M1840,IF(AND(E1840&gt;0,ROUND(J1840+D1840-E1840,2)&gt;0,ROUND(J1840+D1840-E1840,2)&lt;'Opening Balance'!$B$14),ROUND(J1840+D1840-E1840,2),0)))</f>
        <v/>
      </c>
      <c r="L1840" s="6">
        <f>IF(C1840="","",ROUND(J1840+D1840-E1840-K1840,2))</f>
        <v/>
      </c>
      <c r="M1840" s="6">
        <f>IF(C1840="","",0)</f>
        <v/>
      </c>
    </row>
    <row r="1841">
      <c r="A1841" t="inlineStr">
        <is>
          <t>Bank 银行</t>
        </is>
      </c>
      <c r="B1841" s="5">
        <f>IF(AND('Daily Sale entry '!Z341="Online collection 网上收款",'Daily Sale entry '!AA341&lt;&gt;""),'Daily Sale entry '!X341,"")</f>
        <v/>
      </c>
      <c r="C1841">
        <f>IF(B1841="","",'Daily Sale entry '!AA341)</f>
        <v/>
      </c>
      <c r="D1841">
        <f>IF(C1841="","",0)</f>
        <v/>
      </c>
      <c r="E1841">
        <f>IF(C1841="","",'Daily Sale entry '!AC341)</f>
        <v/>
      </c>
      <c r="F1841" s="37">
        <f>IF(C1841="","",B1841+IF(E1841&gt;0,0,0.5)+ROW()/10000000)</f>
        <v/>
      </c>
      <c r="G1841">
        <f>IF(C1841="","","Collection 收款 (Online 网上)"&amp;IF('Daily Sale entry '!Y341="",""," - "&amp;'Daily Sale entry '!Y341))</f>
        <v/>
      </c>
      <c r="H1841">
        <f>IF(C1841="","",COUNTIFS($C$2:$C$3001,C1841,$F$2:$F$3001,"&lt;"&amp;F1841)+1)</f>
        <v/>
      </c>
      <c r="I1841">
        <f>IF(C1841="","",C1841&amp;"|"&amp;H1841)</f>
        <v/>
      </c>
      <c r="J1841" s="6">
        <f>IF(C1841="","",IF(H1841=1,SUMIFS('Opening Balance'!$F$4:$F$303,'Opening Balance'!$G$4:$G$303,C1841),INDEX($L$2:$L$3001,MATCH(C1841&amp;"|"&amp;(H1841-1),$I$2:$I$3001,0))))</f>
        <v/>
      </c>
      <c r="K1841" s="6">
        <f>IF(C1841="","",IF(M1841&gt;0,M1841,IF(AND(E1841&gt;0,ROUND(J1841+D1841-E1841,2)&gt;0,ROUND(J1841+D1841-E1841,2)&lt;'Opening Balance'!$B$14),ROUND(J1841+D1841-E1841,2),0)))</f>
        <v/>
      </c>
      <c r="L1841" s="6">
        <f>IF(C1841="","",ROUND(J1841+D1841-E1841-K1841,2))</f>
        <v/>
      </c>
      <c r="M1841" s="6">
        <f>IF(C1841="","",0)</f>
        <v/>
      </c>
    </row>
    <row r="1842">
      <c r="A1842" t="inlineStr">
        <is>
          <t>Bank 银行</t>
        </is>
      </c>
      <c r="B1842" s="5">
        <f>IF(AND('Daily Sale entry '!Z342="Online collection 网上收款",'Daily Sale entry '!AA342&lt;&gt;""),'Daily Sale entry '!X342,"")</f>
        <v/>
      </c>
      <c r="C1842">
        <f>IF(B1842="","",'Daily Sale entry '!AA342)</f>
        <v/>
      </c>
      <c r="D1842">
        <f>IF(C1842="","",0)</f>
        <v/>
      </c>
      <c r="E1842">
        <f>IF(C1842="","",'Daily Sale entry '!AC342)</f>
        <v/>
      </c>
      <c r="F1842" s="37">
        <f>IF(C1842="","",B1842+IF(E1842&gt;0,0,0.5)+ROW()/10000000)</f>
        <v/>
      </c>
      <c r="G1842">
        <f>IF(C1842="","","Collection 收款 (Online 网上)"&amp;IF('Daily Sale entry '!Y342="",""," - "&amp;'Daily Sale entry '!Y342))</f>
        <v/>
      </c>
      <c r="H1842">
        <f>IF(C1842="","",COUNTIFS($C$2:$C$3001,C1842,$F$2:$F$3001,"&lt;"&amp;F1842)+1)</f>
        <v/>
      </c>
      <c r="I1842">
        <f>IF(C1842="","",C1842&amp;"|"&amp;H1842)</f>
        <v/>
      </c>
      <c r="J1842" s="6">
        <f>IF(C1842="","",IF(H1842=1,SUMIFS('Opening Balance'!$F$4:$F$303,'Opening Balance'!$G$4:$G$303,C1842),INDEX($L$2:$L$3001,MATCH(C1842&amp;"|"&amp;(H1842-1),$I$2:$I$3001,0))))</f>
        <v/>
      </c>
      <c r="K1842" s="6">
        <f>IF(C1842="","",IF(M1842&gt;0,M1842,IF(AND(E1842&gt;0,ROUND(J1842+D1842-E1842,2)&gt;0,ROUND(J1842+D1842-E1842,2)&lt;'Opening Balance'!$B$14),ROUND(J1842+D1842-E1842,2),0)))</f>
        <v/>
      </c>
      <c r="L1842" s="6">
        <f>IF(C1842="","",ROUND(J1842+D1842-E1842-K1842,2))</f>
        <v/>
      </c>
      <c r="M1842" s="6">
        <f>IF(C1842="","",0)</f>
        <v/>
      </c>
    </row>
    <row r="1843">
      <c r="A1843" t="inlineStr">
        <is>
          <t>Bank 银行</t>
        </is>
      </c>
      <c r="B1843" s="5">
        <f>IF(AND('Daily Sale entry '!Z343="Online collection 网上收款",'Daily Sale entry '!AA343&lt;&gt;""),'Daily Sale entry '!X343,"")</f>
        <v/>
      </c>
      <c r="C1843">
        <f>IF(B1843="","",'Daily Sale entry '!AA343)</f>
        <v/>
      </c>
      <c r="D1843">
        <f>IF(C1843="","",0)</f>
        <v/>
      </c>
      <c r="E1843">
        <f>IF(C1843="","",'Daily Sale entry '!AC343)</f>
        <v/>
      </c>
      <c r="F1843" s="37">
        <f>IF(C1843="","",B1843+IF(E1843&gt;0,0,0.5)+ROW()/10000000)</f>
        <v/>
      </c>
      <c r="G1843">
        <f>IF(C1843="","","Collection 收款 (Online 网上)"&amp;IF('Daily Sale entry '!Y343="",""," - "&amp;'Daily Sale entry '!Y343))</f>
        <v/>
      </c>
      <c r="H1843">
        <f>IF(C1843="","",COUNTIFS($C$2:$C$3001,C1843,$F$2:$F$3001,"&lt;"&amp;F1843)+1)</f>
        <v/>
      </c>
      <c r="I1843">
        <f>IF(C1843="","",C1843&amp;"|"&amp;H1843)</f>
        <v/>
      </c>
      <c r="J1843" s="6">
        <f>IF(C1843="","",IF(H1843=1,SUMIFS('Opening Balance'!$F$4:$F$303,'Opening Balance'!$G$4:$G$303,C1843),INDEX($L$2:$L$3001,MATCH(C1843&amp;"|"&amp;(H1843-1),$I$2:$I$3001,0))))</f>
        <v/>
      </c>
      <c r="K1843" s="6">
        <f>IF(C1843="","",IF(M1843&gt;0,M1843,IF(AND(E1843&gt;0,ROUND(J1843+D1843-E1843,2)&gt;0,ROUND(J1843+D1843-E1843,2)&lt;'Opening Balance'!$B$14),ROUND(J1843+D1843-E1843,2),0)))</f>
        <v/>
      </c>
      <c r="L1843" s="6">
        <f>IF(C1843="","",ROUND(J1843+D1843-E1843-K1843,2))</f>
        <v/>
      </c>
      <c r="M1843" s="6">
        <f>IF(C1843="","",0)</f>
        <v/>
      </c>
    </row>
    <row r="1844">
      <c r="A1844" t="inlineStr">
        <is>
          <t>Bank 银行</t>
        </is>
      </c>
      <c r="B1844" s="5">
        <f>IF(AND('Daily Sale entry '!Z344="Online collection 网上收款",'Daily Sale entry '!AA344&lt;&gt;""),'Daily Sale entry '!X344,"")</f>
        <v/>
      </c>
      <c r="C1844">
        <f>IF(B1844="","",'Daily Sale entry '!AA344)</f>
        <v/>
      </c>
      <c r="D1844">
        <f>IF(C1844="","",0)</f>
        <v/>
      </c>
      <c r="E1844">
        <f>IF(C1844="","",'Daily Sale entry '!AC344)</f>
        <v/>
      </c>
      <c r="F1844" s="37">
        <f>IF(C1844="","",B1844+IF(E1844&gt;0,0,0.5)+ROW()/10000000)</f>
        <v/>
      </c>
      <c r="G1844">
        <f>IF(C1844="","","Collection 收款 (Online 网上)"&amp;IF('Daily Sale entry '!Y344="",""," - "&amp;'Daily Sale entry '!Y344))</f>
        <v/>
      </c>
      <c r="H1844">
        <f>IF(C1844="","",COUNTIFS($C$2:$C$3001,C1844,$F$2:$F$3001,"&lt;"&amp;F1844)+1)</f>
        <v/>
      </c>
      <c r="I1844">
        <f>IF(C1844="","",C1844&amp;"|"&amp;H1844)</f>
        <v/>
      </c>
      <c r="J1844" s="6">
        <f>IF(C1844="","",IF(H1844=1,SUMIFS('Opening Balance'!$F$4:$F$303,'Opening Balance'!$G$4:$G$303,C1844),INDEX($L$2:$L$3001,MATCH(C1844&amp;"|"&amp;(H1844-1),$I$2:$I$3001,0))))</f>
        <v/>
      </c>
      <c r="K1844" s="6">
        <f>IF(C1844="","",IF(M1844&gt;0,M1844,IF(AND(E1844&gt;0,ROUND(J1844+D1844-E1844,2)&gt;0,ROUND(J1844+D1844-E1844,2)&lt;'Opening Balance'!$B$14),ROUND(J1844+D1844-E1844,2),0)))</f>
        <v/>
      </c>
      <c r="L1844" s="6">
        <f>IF(C1844="","",ROUND(J1844+D1844-E1844-K1844,2))</f>
        <v/>
      </c>
      <c r="M1844" s="6">
        <f>IF(C1844="","",0)</f>
        <v/>
      </c>
    </row>
    <row r="1845">
      <c r="A1845" t="inlineStr">
        <is>
          <t>Bank 银行</t>
        </is>
      </c>
      <c r="B1845" s="5">
        <f>IF(AND('Daily Sale entry '!Z345="Online collection 网上收款",'Daily Sale entry '!AA345&lt;&gt;""),'Daily Sale entry '!X345,"")</f>
        <v/>
      </c>
      <c r="C1845">
        <f>IF(B1845="","",'Daily Sale entry '!AA345)</f>
        <v/>
      </c>
      <c r="D1845">
        <f>IF(C1845="","",0)</f>
        <v/>
      </c>
      <c r="E1845">
        <f>IF(C1845="","",'Daily Sale entry '!AC345)</f>
        <v/>
      </c>
      <c r="F1845" s="37">
        <f>IF(C1845="","",B1845+IF(E1845&gt;0,0,0.5)+ROW()/10000000)</f>
        <v/>
      </c>
      <c r="G1845">
        <f>IF(C1845="","","Collection 收款 (Online 网上)"&amp;IF('Daily Sale entry '!Y345="",""," - "&amp;'Daily Sale entry '!Y345))</f>
        <v/>
      </c>
      <c r="H1845">
        <f>IF(C1845="","",COUNTIFS($C$2:$C$3001,C1845,$F$2:$F$3001,"&lt;"&amp;F1845)+1)</f>
        <v/>
      </c>
      <c r="I1845">
        <f>IF(C1845="","",C1845&amp;"|"&amp;H1845)</f>
        <v/>
      </c>
      <c r="J1845" s="6">
        <f>IF(C1845="","",IF(H1845=1,SUMIFS('Opening Balance'!$F$4:$F$303,'Opening Balance'!$G$4:$G$303,C1845),INDEX($L$2:$L$3001,MATCH(C1845&amp;"|"&amp;(H1845-1),$I$2:$I$3001,0))))</f>
        <v/>
      </c>
      <c r="K1845" s="6">
        <f>IF(C1845="","",IF(M1845&gt;0,M1845,IF(AND(E1845&gt;0,ROUND(J1845+D1845-E1845,2)&gt;0,ROUND(J1845+D1845-E1845,2)&lt;'Opening Balance'!$B$14),ROUND(J1845+D1845-E1845,2),0)))</f>
        <v/>
      </c>
      <c r="L1845" s="6">
        <f>IF(C1845="","",ROUND(J1845+D1845-E1845-K1845,2))</f>
        <v/>
      </c>
      <c r="M1845" s="6">
        <f>IF(C1845="","",0)</f>
        <v/>
      </c>
    </row>
    <row r="1846">
      <c r="A1846" t="inlineStr">
        <is>
          <t>Bank 银行</t>
        </is>
      </c>
      <c r="B1846" s="5">
        <f>IF(AND('Daily Sale entry '!Z346="Online collection 网上收款",'Daily Sale entry '!AA346&lt;&gt;""),'Daily Sale entry '!X346,"")</f>
        <v/>
      </c>
      <c r="C1846">
        <f>IF(B1846="","",'Daily Sale entry '!AA346)</f>
        <v/>
      </c>
      <c r="D1846">
        <f>IF(C1846="","",0)</f>
        <v/>
      </c>
      <c r="E1846">
        <f>IF(C1846="","",'Daily Sale entry '!AC346)</f>
        <v/>
      </c>
      <c r="F1846" s="37">
        <f>IF(C1846="","",B1846+IF(E1846&gt;0,0,0.5)+ROW()/10000000)</f>
        <v/>
      </c>
      <c r="G1846">
        <f>IF(C1846="","","Collection 收款 (Online 网上)"&amp;IF('Daily Sale entry '!Y346="",""," - "&amp;'Daily Sale entry '!Y346))</f>
        <v/>
      </c>
      <c r="H1846">
        <f>IF(C1846="","",COUNTIFS($C$2:$C$3001,C1846,$F$2:$F$3001,"&lt;"&amp;F1846)+1)</f>
        <v/>
      </c>
      <c r="I1846">
        <f>IF(C1846="","",C1846&amp;"|"&amp;H1846)</f>
        <v/>
      </c>
      <c r="J1846" s="6">
        <f>IF(C1846="","",IF(H1846=1,SUMIFS('Opening Balance'!$F$4:$F$303,'Opening Balance'!$G$4:$G$303,C1846),INDEX($L$2:$L$3001,MATCH(C1846&amp;"|"&amp;(H1846-1),$I$2:$I$3001,0))))</f>
        <v/>
      </c>
      <c r="K1846" s="6">
        <f>IF(C1846="","",IF(M1846&gt;0,M1846,IF(AND(E1846&gt;0,ROUND(J1846+D1846-E1846,2)&gt;0,ROUND(J1846+D1846-E1846,2)&lt;'Opening Balance'!$B$14),ROUND(J1846+D1846-E1846,2),0)))</f>
        <v/>
      </c>
      <c r="L1846" s="6">
        <f>IF(C1846="","",ROUND(J1846+D1846-E1846-K1846,2))</f>
        <v/>
      </c>
      <c r="M1846" s="6">
        <f>IF(C1846="","",0)</f>
        <v/>
      </c>
    </row>
    <row r="1847">
      <c r="A1847" t="inlineStr">
        <is>
          <t>Bank 银行</t>
        </is>
      </c>
      <c r="B1847" s="5">
        <f>IF(AND('Daily Sale entry '!Z347="Online collection 网上收款",'Daily Sale entry '!AA347&lt;&gt;""),'Daily Sale entry '!X347,"")</f>
        <v/>
      </c>
      <c r="C1847">
        <f>IF(B1847="","",'Daily Sale entry '!AA347)</f>
        <v/>
      </c>
      <c r="D1847">
        <f>IF(C1847="","",0)</f>
        <v/>
      </c>
      <c r="E1847">
        <f>IF(C1847="","",'Daily Sale entry '!AC347)</f>
        <v/>
      </c>
      <c r="F1847" s="37">
        <f>IF(C1847="","",B1847+IF(E1847&gt;0,0,0.5)+ROW()/10000000)</f>
        <v/>
      </c>
      <c r="G1847">
        <f>IF(C1847="","","Collection 收款 (Online 网上)"&amp;IF('Daily Sale entry '!Y347="",""," - "&amp;'Daily Sale entry '!Y347))</f>
        <v/>
      </c>
      <c r="H1847">
        <f>IF(C1847="","",COUNTIFS($C$2:$C$3001,C1847,$F$2:$F$3001,"&lt;"&amp;F1847)+1)</f>
        <v/>
      </c>
      <c r="I1847">
        <f>IF(C1847="","",C1847&amp;"|"&amp;H1847)</f>
        <v/>
      </c>
      <c r="J1847" s="6">
        <f>IF(C1847="","",IF(H1847=1,SUMIFS('Opening Balance'!$F$4:$F$303,'Opening Balance'!$G$4:$G$303,C1847),INDEX($L$2:$L$3001,MATCH(C1847&amp;"|"&amp;(H1847-1),$I$2:$I$3001,0))))</f>
        <v/>
      </c>
      <c r="K1847" s="6">
        <f>IF(C1847="","",IF(M1847&gt;0,M1847,IF(AND(E1847&gt;0,ROUND(J1847+D1847-E1847,2)&gt;0,ROUND(J1847+D1847-E1847,2)&lt;'Opening Balance'!$B$14),ROUND(J1847+D1847-E1847,2),0)))</f>
        <v/>
      </c>
      <c r="L1847" s="6">
        <f>IF(C1847="","",ROUND(J1847+D1847-E1847-K1847,2))</f>
        <v/>
      </c>
      <c r="M1847" s="6">
        <f>IF(C1847="","",0)</f>
        <v/>
      </c>
    </row>
    <row r="1848">
      <c r="A1848" t="inlineStr">
        <is>
          <t>Bank 银行</t>
        </is>
      </c>
      <c r="B1848" s="5">
        <f>IF(AND('Daily Sale entry '!Z348="Online collection 网上收款",'Daily Sale entry '!AA348&lt;&gt;""),'Daily Sale entry '!X348,"")</f>
        <v/>
      </c>
      <c r="C1848">
        <f>IF(B1848="","",'Daily Sale entry '!AA348)</f>
        <v/>
      </c>
      <c r="D1848">
        <f>IF(C1848="","",0)</f>
        <v/>
      </c>
      <c r="E1848">
        <f>IF(C1848="","",'Daily Sale entry '!AC348)</f>
        <v/>
      </c>
      <c r="F1848" s="37">
        <f>IF(C1848="","",B1848+IF(E1848&gt;0,0,0.5)+ROW()/10000000)</f>
        <v/>
      </c>
      <c r="G1848">
        <f>IF(C1848="","","Collection 收款 (Online 网上)"&amp;IF('Daily Sale entry '!Y348="",""," - "&amp;'Daily Sale entry '!Y348))</f>
        <v/>
      </c>
      <c r="H1848">
        <f>IF(C1848="","",COUNTIFS($C$2:$C$3001,C1848,$F$2:$F$3001,"&lt;"&amp;F1848)+1)</f>
        <v/>
      </c>
      <c r="I1848">
        <f>IF(C1848="","",C1848&amp;"|"&amp;H1848)</f>
        <v/>
      </c>
      <c r="J1848" s="6">
        <f>IF(C1848="","",IF(H1848=1,SUMIFS('Opening Balance'!$F$4:$F$303,'Opening Balance'!$G$4:$G$303,C1848),INDEX($L$2:$L$3001,MATCH(C1848&amp;"|"&amp;(H1848-1),$I$2:$I$3001,0))))</f>
        <v/>
      </c>
      <c r="K1848" s="6">
        <f>IF(C1848="","",IF(M1848&gt;0,M1848,IF(AND(E1848&gt;0,ROUND(J1848+D1848-E1848,2)&gt;0,ROUND(J1848+D1848-E1848,2)&lt;'Opening Balance'!$B$14),ROUND(J1848+D1848-E1848,2),0)))</f>
        <v/>
      </c>
      <c r="L1848" s="6">
        <f>IF(C1848="","",ROUND(J1848+D1848-E1848-K1848,2))</f>
        <v/>
      </c>
      <c r="M1848" s="6">
        <f>IF(C1848="","",0)</f>
        <v/>
      </c>
    </row>
    <row r="1849">
      <c r="A1849" t="inlineStr">
        <is>
          <t>Bank 银行</t>
        </is>
      </c>
      <c r="B1849" s="5">
        <f>IF(AND('Daily Sale entry '!Z349="Online collection 网上收款",'Daily Sale entry '!AA349&lt;&gt;""),'Daily Sale entry '!X349,"")</f>
        <v/>
      </c>
      <c r="C1849">
        <f>IF(B1849="","",'Daily Sale entry '!AA349)</f>
        <v/>
      </c>
      <c r="D1849">
        <f>IF(C1849="","",0)</f>
        <v/>
      </c>
      <c r="E1849">
        <f>IF(C1849="","",'Daily Sale entry '!AC349)</f>
        <v/>
      </c>
      <c r="F1849" s="37">
        <f>IF(C1849="","",B1849+IF(E1849&gt;0,0,0.5)+ROW()/10000000)</f>
        <v/>
      </c>
      <c r="G1849">
        <f>IF(C1849="","","Collection 收款 (Online 网上)"&amp;IF('Daily Sale entry '!Y349="",""," - "&amp;'Daily Sale entry '!Y349))</f>
        <v/>
      </c>
      <c r="H1849">
        <f>IF(C1849="","",COUNTIFS($C$2:$C$3001,C1849,$F$2:$F$3001,"&lt;"&amp;F1849)+1)</f>
        <v/>
      </c>
      <c r="I1849">
        <f>IF(C1849="","",C1849&amp;"|"&amp;H1849)</f>
        <v/>
      </c>
      <c r="J1849" s="6">
        <f>IF(C1849="","",IF(H1849=1,SUMIFS('Opening Balance'!$F$4:$F$303,'Opening Balance'!$G$4:$G$303,C1849),INDEX($L$2:$L$3001,MATCH(C1849&amp;"|"&amp;(H1849-1),$I$2:$I$3001,0))))</f>
        <v/>
      </c>
      <c r="K1849" s="6">
        <f>IF(C1849="","",IF(M1849&gt;0,M1849,IF(AND(E1849&gt;0,ROUND(J1849+D1849-E1849,2)&gt;0,ROUND(J1849+D1849-E1849,2)&lt;'Opening Balance'!$B$14),ROUND(J1849+D1849-E1849,2),0)))</f>
        <v/>
      </c>
      <c r="L1849" s="6">
        <f>IF(C1849="","",ROUND(J1849+D1849-E1849-K1849,2))</f>
        <v/>
      </c>
      <c r="M1849" s="6">
        <f>IF(C1849="","",0)</f>
        <v/>
      </c>
    </row>
    <row r="1850">
      <c r="A1850" t="inlineStr">
        <is>
          <t>Bank 银行</t>
        </is>
      </c>
      <c r="B1850" s="5">
        <f>IF(AND('Daily Sale entry '!Z350="Online collection 网上收款",'Daily Sale entry '!AA350&lt;&gt;""),'Daily Sale entry '!X350,"")</f>
        <v/>
      </c>
      <c r="C1850">
        <f>IF(B1850="","",'Daily Sale entry '!AA350)</f>
        <v/>
      </c>
      <c r="D1850">
        <f>IF(C1850="","",0)</f>
        <v/>
      </c>
      <c r="E1850">
        <f>IF(C1850="","",'Daily Sale entry '!AC350)</f>
        <v/>
      </c>
      <c r="F1850" s="37">
        <f>IF(C1850="","",B1850+IF(E1850&gt;0,0,0.5)+ROW()/10000000)</f>
        <v/>
      </c>
      <c r="G1850">
        <f>IF(C1850="","","Collection 收款 (Online 网上)"&amp;IF('Daily Sale entry '!Y350="",""," - "&amp;'Daily Sale entry '!Y350))</f>
        <v/>
      </c>
      <c r="H1850">
        <f>IF(C1850="","",COUNTIFS($C$2:$C$3001,C1850,$F$2:$F$3001,"&lt;"&amp;F1850)+1)</f>
        <v/>
      </c>
      <c r="I1850">
        <f>IF(C1850="","",C1850&amp;"|"&amp;H1850)</f>
        <v/>
      </c>
      <c r="J1850" s="6">
        <f>IF(C1850="","",IF(H1850=1,SUMIFS('Opening Balance'!$F$4:$F$303,'Opening Balance'!$G$4:$G$303,C1850),INDEX($L$2:$L$3001,MATCH(C1850&amp;"|"&amp;(H1850-1),$I$2:$I$3001,0))))</f>
        <v/>
      </c>
      <c r="K1850" s="6">
        <f>IF(C1850="","",IF(M1850&gt;0,M1850,IF(AND(E1850&gt;0,ROUND(J1850+D1850-E1850,2)&gt;0,ROUND(J1850+D1850-E1850,2)&lt;'Opening Balance'!$B$14),ROUND(J1850+D1850-E1850,2),0)))</f>
        <v/>
      </c>
      <c r="L1850" s="6">
        <f>IF(C1850="","",ROUND(J1850+D1850-E1850-K1850,2))</f>
        <v/>
      </c>
      <c r="M1850" s="6">
        <f>IF(C1850="","",0)</f>
        <v/>
      </c>
    </row>
    <row r="1851">
      <c r="A1851" t="inlineStr">
        <is>
          <t>Bank 银行</t>
        </is>
      </c>
      <c r="B1851" s="5">
        <f>IF(AND('Daily Sale entry '!Z351="Online collection 网上收款",'Daily Sale entry '!AA351&lt;&gt;""),'Daily Sale entry '!X351,"")</f>
        <v/>
      </c>
      <c r="C1851">
        <f>IF(B1851="","",'Daily Sale entry '!AA351)</f>
        <v/>
      </c>
      <c r="D1851">
        <f>IF(C1851="","",0)</f>
        <v/>
      </c>
      <c r="E1851">
        <f>IF(C1851="","",'Daily Sale entry '!AC351)</f>
        <v/>
      </c>
      <c r="F1851" s="37">
        <f>IF(C1851="","",B1851+IF(E1851&gt;0,0,0.5)+ROW()/10000000)</f>
        <v/>
      </c>
      <c r="G1851">
        <f>IF(C1851="","","Collection 收款 (Online 网上)"&amp;IF('Daily Sale entry '!Y351="",""," - "&amp;'Daily Sale entry '!Y351))</f>
        <v/>
      </c>
      <c r="H1851">
        <f>IF(C1851="","",COUNTIFS($C$2:$C$3001,C1851,$F$2:$F$3001,"&lt;"&amp;F1851)+1)</f>
        <v/>
      </c>
      <c r="I1851">
        <f>IF(C1851="","",C1851&amp;"|"&amp;H1851)</f>
        <v/>
      </c>
      <c r="J1851" s="6">
        <f>IF(C1851="","",IF(H1851=1,SUMIFS('Opening Balance'!$F$4:$F$303,'Opening Balance'!$G$4:$G$303,C1851),INDEX($L$2:$L$3001,MATCH(C1851&amp;"|"&amp;(H1851-1),$I$2:$I$3001,0))))</f>
        <v/>
      </c>
      <c r="K1851" s="6">
        <f>IF(C1851="","",IF(M1851&gt;0,M1851,IF(AND(E1851&gt;0,ROUND(J1851+D1851-E1851,2)&gt;0,ROUND(J1851+D1851-E1851,2)&lt;'Opening Balance'!$B$14),ROUND(J1851+D1851-E1851,2),0)))</f>
        <v/>
      </c>
      <c r="L1851" s="6">
        <f>IF(C1851="","",ROUND(J1851+D1851-E1851-K1851,2))</f>
        <v/>
      </c>
      <c r="M1851" s="6">
        <f>IF(C1851="","",0)</f>
        <v/>
      </c>
    </row>
    <row r="1852">
      <c r="A1852" t="inlineStr">
        <is>
          <t>Bank 银行</t>
        </is>
      </c>
      <c r="B1852" s="5">
        <f>IF(AND('Daily Sale entry '!Z352="Online collection 网上收款",'Daily Sale entry '!AA352&lt;&gt;""),'Daily Sale entry '!X352,"")</f>
        <v/>
      </c>
      <c r="C1852">
        <f>IF(B1852="","",'Daily Sale entry '!AA352)</f>
        <v/>
      </c>
      <c r="D1852">
        <f>IF(C1852="","",0)</f>
        <v/>
      </c>
      <c r="E1852">
        <f>IF(C1852="","",'Daily Sale entry '!AC352)</f>
        <v/>
      </c>
      <c r="F1852" s="37">
        <f>IF(C1852="","",B1852+IF(E1852&gt;0,0,0.5)+ROW()/10000000)</f>
        <v/>
      </c>
      <c r="G1852">
        <f>IF(C1852="","","Collection 收款 (Online 网上)"&amp;IF('Daily Sale entry '!Y352="",""," - "&amp;'Daily Sale entry '!Y352))</f>
        <v/>
      </c>
      <c r="H1852">
        <f>IF(C1852="","",COUNTIFS($C$2:$C$3001,C1852,$F$2:$F$3001,"&lt;"&amp;F1852)+1)</f>
        <v/>
      </c>
      <c r="I1852">
        <f>IF(C1852="","",C1852&amp;"|"&amp;H1852)</f>
        <v/>
      </c>
      <c r="J1852" s="6">
        <f>IF(C1852="","",IF(H1852=1,SUMIFS('Opening Balance'!$F$4:$F$303,'Opening Balance'!$G$4:$G$303,C1852),INDEX($L$2:$L$3001,MATCH(C1852&amp;"|"&amp;(H1852-1),$I$2:$I$3001,0))))</f>
        <v/>
      </c>
      <c r="K1852" s="6">
        <f>IF(C1852="","",IF(M1852&gt;0,M1852,IF(AND(E1852&gt;0,ROUND(J1852+D1852-E1852,2)&gt;0,ROUND(J1852+D1852-E1852,2)&lt;'Opening Balance'!$B$14),ROUND(J1852+D1852-E1852,2),0)))</f>
        <v/>
      </c>
      <c r="L1852" s="6">
        <f>IF(C1852="","",ROUND(J1852+D1852-E1852-K1852,2))</f>
        <v/>
      </c>
      <c r="M1852" s="6">
        <f>IF(C1852="","",0)</f>
        <v/>
      </c>
    </row>
    <row r="1853">
      <c r="A1853" t="inlineStr">
        <is>
          <t>Bank 银行</t>
        </is>
      </c>
      <c r="B1853" s="5">
        <f>IF(AND('Daily Sale entry '!Z353="Online collection 网上收款",'Daily Sale entry '!AA353&lt;&gt;""),'Daily Sale entry '!X353,"")</f>
        <v/>
      </c>
      <c r="C1853">
        <f>IF(B1853="","",'Daily Sale entry '!AA353)</f>
        <v/>
      </c>
      <c r="D1853">
        <f>IF(C1853="","",0)</f>
        <v/>
      </c>
      <c r="E1853">
        <f>IF(C1853="","",'Daily Sale entry '!AC353)</f>
        <v/>
      </c>
      <c r="F1853" s="37">
        <f>IF(C1853="","",B1853+IF(E1853&gt;0,0,0.5)+ROW()/10000000)</f>
        <v/>
      </c>
      <c r="G1853">
        <f>IF(C1853="","","Collection 收款 (Online 网上)"&amp;IF('Daily Sale entry '!Y353="",""," - "&amp;'Daily Sale entry '!Y353))</f>
        <v/>
      </c>
      <c r="H1853">
        <f>IF(C1853="","",COUNTIFS($C$2:$C$3001,C1853,$F$2:$F$3001,"&lt;"&amp;F1853)+1)</f>
        <v/>
      </c>
      <c r="I1853">
        <f>IF(C1853="","",C1853&amp;"|"&amp;H1853)</f>
        <v/>
      </c>
      <c r="J1853" s="6">
        <f>IF(C1853="","",IF(H1853=1,SUMIFS('Opening Balance'!$F$4:$F$303,'Opening Balance'!$G$4:$G$303,C1853),INDEX($L$2:$L$3001,MATCH(C1853&amp;"|"&amp;(H1853-1),$I$2:$I$3001,0))))</f>
        <v/>
      </c>
      <c r="K1853" s="6">
        <f>IF(C1853="","",IF(M1853&gt;0,M1853,IF(AND(E1853&gt;0,ROUND(J1853+D1853-E1853,2)&gt;0,ROUND(J1853+D1853-E1853,2)&lt;'Opening Balance'!$B$14),ROUND(J1853+D1853-E1853,2),0)))</f>
        <v/>
      </c>
      <c r="L1853" s="6">
        <f>IF(C1853="","",ROUND(J1853+D1853-E1853-K1853,2))</f>
        <v/>
      </c>
      <c r="M1853" s="6">
        <f>IF(C1853="","",0)</f>
        <v/>
      </c>
    </row>
    <row r="1854">
      <c r="A1854" t="inlineStr">
        <is>
          <t>Bank 银行</t>
        </is>
      </c>
      <c r="B1854" s="5">
        <f>IF(AND('Daily Sale entry '!Z354="Online collection 网上收款",'Daily Sale entry '!AA354&lt;&gt;""),'Daily Sale entry '!X354,"")</f>
        <v/>
      </c>
      <c r="C1854">
        <f>IF(B1854="","",'Daily Sale entry '!AA354)</f>
        <v/>
      </c>
      <c r="D1854">
        <f>IF(C1854="","",0)</f>
        <v/>
      </c>
      <c r="E1854">
        <f>IF(C1854="","",'Daily Sale entry '!AC354)</f>
        <v/>
      </c>
      <c r="F1854" s="37">
        <f>IF(C1854="","",B1854+IF(E1854&gt;0,0,0.5)+ROW()/10000000)</f>
        <v/>
      </c>
      <c r="G1854">
        <f>IF(C1854="","","Collection 收款 (Online 网上)"&amp;IF('Daily Sale entry '!Y354="",""," - "&amp;'Daily Sale entry '!Y354))</f>
        <v/>
      </c>
      <c r="H1854">
        <f>IF(C1854="","",COUNTIFS($C$2:$C$3001,C1854,$F$2:$F$3001,"&lt;"&amp;F1854)+1)</f>
        <v/>
      </c>
      <c r="I1854">
        <f>IF(C1854="","",C1854&amp;"|"&amp;H1854)</f>
        <v/>
      </c>
      <c r="J1854" s="6">
        <f>IF(C1854="","",IF(H1854=1,SUMIFS('Opening Balance'!$F$4:$F$303,'Opening Balance'!$G$4:$G$303,C1854),INDEX($L$2:$L$3001,MATCH(C1854&amp;"|"&amp;(H1854-1),$I$2:$I$3001,0))))</f>
        <v/>
      </c>
      <c r="K1854" s="6">
        <f>IF(C1854="","",IF(M1854&gt;0,M1854,IF(AND(E1854&gt;0,ROUND(J1854+D1854-E1854,2)&gt;0,ROUND(J1854+D1854-E1854,2)&lt;'Opening Balance'!$B$14),ROUND(J1854+D1854-E1854,2),0)))</f>
        <v/>
      </c>
      <c r="L1854" s="6">
        <f>IF(C1854="","",ROUND(J1854+D1854-E1854-K1854,2))</f>
        <v/>
      </c>
      <c r="M1854" s="6">
        <f>IF(C1854="","",0)</f>
        <v/>
      </c>
    </row>
    <row r="1855">
      <c r="A1855" t="inlineStr">
        <is>
          <t>Bank 银行</t>
        </is>
      </c>
      <c r="B1855" s="5">
        <f>IF(AND('Daily Sale entry '!Z355="Online collection 网上收款",'Daily Sale entry '!AA355&lt;&gt;""),'Daily Sale entry '!X355,"")</f>
        <v/>
      </c>
      <c r="C1855">
        <f>IF(B1855="","",'Daily Sale entry '!AA355)</f>
        <v/>
      </c>
      <c r="D1855">
        <f>IF(C1855="","",0)</f>
        <v/>
      </c>
      <c r="E1855">
        <f>IF(C1855="","",'Daily Sale entry '!AC355)</f>
        <v/>
      </c>
      <c r="F1855" s="37">
        <f>IF(C1855="","",B1855+IF(E1855&gt;0,0,0.5)+ROW()/10000000)</f>
        <v/>
      </c>
      <c r="G1855">
        <f>IF(C1855="","","Collection 收款 (Online 网上)"&amp;IF('Daily Sale entry '!Y355="",""," - "&amp;'Daily Sale entry '!Y355))</f>
        <v/>
      </c>
      <c r="H1855">
        <f>IF(C1855="","",COUNTIFS($C$2:$C$3001,C1855,$F$2:$F$3001,"&lt;"&amp;F1855)+1)</f>
        <v/>
      </c>
      <c r="I1855">
        <f>IF(C1855="","",C1855&amp;"|"&amp;H1855)</f>
        <v/>
      </c>
      <c r="J1855" s="6">
        <f>IF(C1855="","",IF(H1855=1,SUMIFS('Opening Balance'!$F$4:$F$303,'Opening Balance'!$G$4:$G$303,C1855),INDEX($L$2:$L$3001,MATCH(C1855&amp;"|"&amp;(H1855-1),$I$2:$I$3001,0))))</f>
        <v/>
      </c>
      <c r="K1855" s="6">
        <f>IF(C1855="","",IF(M1855&gt;0,M1855,IF(AND(E1855&gt;0,ROUND(J1855+D1855-E1855,2)&gt;0,ROUND(J1855+D1855-E1855,2)&lt;'Opening Balance'!$B$14),ROUND(J1855+D1855-E1855,2),0)))</f>
        <v/>
      </c>
      <c r="L1855" s="6">
        <f>IF(C1855="","",ROUND(J1855+D1855-E1855-K1855,2))</f>
        <v/>
      </c>
      <c r="M1855" s="6">
        <f>IF(C1855="","",0)</f>
        <v/>
      </c>
    </row>
    <row r="1856">
      <c r="A1856" t="inlineStr">
        <is>
          <t>Bank 银行</t>
        </is>
      </c>
      <c r="B1856" s="5">
        <f>IF(AND('Daily Sale entry '!Z356="Online collection 网上收款",'Daily Sale entry '!AA356&lt;&gt;""),'Daily Sale entry '!X356,"")</f>
        <v/>
      </c>
      <c r="C1856">
        <f>IF(B1856="","",'Daily Sale entry '!AA356)</f>
        <v/>
      </c>
      <c r="D1856">
        <f>IF(C1856="","",0)</f>
        <v/>
      </c>
      <c r="E1856">
        <f>IF(C1856="","",'Daily Sale entry '!AC356)</f>
        <v/>
      </c>
      <c r="F1856" s="37">
        <f>IF(C1856="","",B1856+IF(E1856&gt;0,0,0.5)+ROW()/10000000)</f>
        <v/>
      </c>
      <c r="G1856">
        <f>IF(C1856="","","Collection 收款 (Online 网上)"&amp;IF('Daily Sale entry '!Y356="",""," - "&amp;'Daily Sale entry '!Y356))</f>
        <v/>
      </c>
      <c r="H1856">
        <f>IF(C1856="","",COUNTIFS($C$2:$C$3001,C1856,$F$2:$F$3001,"&lt;"&amp;F1856)+1)</f>
        <v/>
      </c>
      <c r="I1856">
        <f>IF(C1856="","",C1856&amp;"|"&amp;H1856)</f>
        <v/>
      </c>
      <c r="J1856" s="6">
        <f>IF(C1856="","",IF(H1856=1,SUMIFS('Opening Balance'!$F$4:$F$303,'Opening Balance'!$G$4:$G$303,C1856),INDEX($L$2:$L$3001,MATCH(C1856&amp;"|"&amp;(H1856-1),$I$2:$I$3001,0))))</f>
        <v/>
      </c>
      <c r="K1856" s="6">
        <f>IF(C1856="","",IF(M1856&gt;0,M1856,IF(AND(E1856&gt;0,ROUND(J1856+D1856-E1856,2)&gt;0,ROUND(J1856+D1856-E1856,2)&lt;'Opening Balance'!$B$14),ROUND(J1856+D1856-E1856,2),0)))</f>
        <v/>
      </c>
      <c r="L1856" s="6">
        <f>IF(C1856="","",ROUND(J1856+D1856-E1856-K1856,2))</f>
        <v/>
      </c>
      <c r="M1856" s="6">
        <f>IF(C1856="","",0)</f>
        <v/>
      </c>
    </row>
    <row r="1857">
      <c r="A1857" t="inlineStr">
        <is>
          <t>Bank 银行</t>
        </is>
      </c>
      <c r="B1857" s="5">
        <f>IF(AND('Daily Sale entry '!Z357="Online collection 网上收款",'Daily Sale entry '!AA357&lt;&gt;""),'Daily Sale entry '!X357,"")</f>
        <v/>
      </c>
      <c r="C1857">
        <f>IF(B1857="","",'Daily Sale entry '!AA357)</f>
        <v/>
      </c>
      <c r="D1857">
        <f>IF(C1857="","",0)</f>
        <v/>
      </c>
      <c r="E1857">
        <f>IF(C1857="","",'Daily Sale entry '!AC357)</f>
        <v/>
      </c>
      <c r="F1857" s="37">
        <f>IF(C1857="","",B1857+IF(E1857&gt;0,0,0.5)+ROW()/10000000)</f>
        <v/>
      </c>
      <c r="G1857">
        <f>IF(C1857="","","Collection 收款 (Online 网上)"&amp;IF('Daily Sale entry '!Y357="",""," - "&amp;'Daily Sale entry '!Y357))</f>
        <v/>
      </c>
      <c r="H1857">
        <f>IF(C1857="","",COUNTIFS($C$2:$C$3001,C1857,$F$2:$F$3001,"&lt;"&amp;F1857)+1)</f>
        <v/>
      </c>
      <c r="I1857">
        <f>IF(C1857="","",C1857&amp;"|"&amp;H1857)</f>
        <v/>
      </c>
      <c r="J1857" s="6">
        <f>IF(C1857="","",IF(H1857=1,SUMIFS('Opening Balance'!$F$4:$F$303,'Opening Balance'!$G$4:$G$303,C1857),INDEX($L$2:$L$3001,MATCH(C1857&amp;"|"&amp;(H1857-1),$I$2:$I$3001,0))))</f>
        <v/>
      </c>
      <c r="K1857" s="6">
        <f>IF(C1857="","",IF(M1857&gt;0,M1857,IF(AND(E1857&gt;0,ROUND(J1857+D1857-E1857,2)&gt;0,ROUND(J1857+D1857-E1857,2)&lt;'Opening Balance'!$B$14),ROUND(J1857+D1857-E1857,2),0)))</f>
        <v/>
      </c>
      <c r="L1857" s="6">
        <f>IF(C1857="","",ROUND(J1857+D1857-E1857-K1857,2))</f>
        <v/>
      </c>
      <c r="M1857" s="6">
        <f>IF(C1857="","",0)</f>
        <v/>
      </c>
    </row>
    <row r="1858">
      <c r="A1858" t="inlineStr">
        <is>
          <t>Bank 银行</t>
        </is>
      </c>
      <c r="B1858" s="5">
        <f>IF(AND('Daily Sale entry '!Z358="Online collection 网上收款",'Daily Sale entry '!AA358&lt;&gt;""),'Daily Sale entry '!X358,"")</f>
        <v/>
      </c>
      <c r="C1858">
        <f>IF(B1858="","",'Daily Sale entry '!AA358)</f>
        <v/>
      </c>
      <c r="D1858">
        <f>IF(C1858="","",0)</f>
        <v/>
      </c>
      <c r="E1858">
        <f>IF(C1858="","",'Daily Sale entry '!AC358)</f>
        <v/>
      </c>
      <c r="F1858" s="37">
        <f>IF(C1858="","",B1858+IF(E1858&gt;0,0,0.5)+ROW()/10000000)</f>
        <v/>
      </c>
      <c r="G1858">
        <f>IF(C1858="","","Collection 收款 (Online 网上)"&amp;IF('Daily Sale entry '!Y358="",""," - "&amp;'Daily Sale entry '!Y358))</f>
        <v/>
      </c>
      <c r="H1858">
        <f>IF(C1858="","",COUNTIFS($C$2:$C$3001,C1858,$F$2:$F$3001,"&lt;"&amp;F1858)+1)</f>
        <v/>
      </c>
      <c r="I1858">
        <f>IF(C1858="","",C1858&amp;"|"&amp;H1858)</f>
        <v/>
      </c>
      <c r="J1858" s="6">
        <f>IF(C1858="","",IF(H1858=1,SUMIFS('Opening Balance'!$F$4:$F$303,'Opening Balance'!$G$4:$G$303,C1858),INDEX($L$2:$L$3001,MATCH(C1858&amp;"|"&amp;(H1858-1),$I$2:$I$3001,0))))</f>
        <v/>
      </c>
      <c r="K1858" s="6">
        <f>IF(C1858="","",IF(M1858&gt;0,M1858,IF(AND(E1858&gt;0,ROUND(J1858+D1858-E1858,2)&gt;0,ROUND(J1858+D1858-E1858,2)&lt;'Opening Balance'!$B$14),ROUND(J1858+D1858-E1858,2),0)))</f>
        <v/>
      </c>
      <c r="L1858" s="6">
        <f>IF(C1858="","",ROUND(J1858+D1858-E1858-K1858,2))</f>
        <v/>
      </c>
      <c r="M1858" s="6">
        <f>IF(C1858="","",0)</f>
        <v/>
      </c>
    </row>
    <row r="1859">
      <c r="A1859" t="inlineStr">
        <is>
          <t>Bank 银行</t>
        </is>
      </c>
      <c r="B1859" s="5">
        <f>IF(AND('Daily Sale entry '!Z359="Online collection 网上收款",'Daily Sale entry '!AA359&lt;&gt;""),'Daily Sale entry '!X359,"")</f>
        <v/>
      </c>
      <c r="C1859">
        <f>IF(B1859="","",'Daily Sale entry '!AA359)</f>
        <v/>
      </c>
      <c r="D1859">
        <f>IF(C1859="","",0)</f>
        <v/>
      </c>
      <c r="E1859">
        <f>IF(C1859="","",'Daily Sale entry '!AC359)</f>
        <v/>
      </c>
      <c r="F1859" s="37">
        <f>IF(C1859="","",B1859+IF(E1859&gt;0,0,0.5)+ROW()/10000000)</f>
        <v/>
      </c>
      <c r="G1859">
        <f>IF(C1859="","","Collection 收款 (Online 网上)"&amp;IF('Daily Sale entry '!Y359="",""," - "&amp;'Daily Sale entry '!Y359))</f>
        <v/>
      </c>
      <c r="H1859">
        <f>IF(C1859="","",COUNTIFS($C$2:$C$3001,C1859,$F$2:$F$3001,"&lt;"&amp;F1859)+1)</f>
        <v/>
      </c>
      <c r="I1859">
        <f>IF(C1859="","",C1859&amp;"|"&amp;H1859)</f>
        <v/>
      </c>
      <c r="J1859" s="6">
        <f>IF(C1859="","",IF(H1859=1,SUMIFS('Opening Balance'!$F$4:$F$303,'Opening Balance'!$G$4:$G$303,C1859),INDEX($L$2:$L$3001,MATCH(C1859&amp;"|"&amp;(H1859-1),$I$2:$I$3001,0))))</f>
        <v/>
      </c>
      <c r="K1859" s="6">
        <f>IF(C1859="","",IF(M1859&gt;0,M1859,IF(AND(E1859&gt;0,ROUND(J1859+D1859-E1859,2)&gt;0,ROUND(J1859+D1859-E1859,2)&lt;'Opening Balance'!$B$14),ROUND(J1859+D1859-E1859,2),0)))</f>
        <v/>
      </c>
      <c r="L1859" s="6">
        <f>IF(C1859="","",ROUND(J1859+D1859-E1859-K1859,2))</f>
        <v/>
      </c>
      <c r="M1859" s="6">
        <f>IF(C1859="","",0)</f>
        <v/>
      </c>
    </row>
    <row r="1860">
      <c r="A1860" t="inlineStr">
        <is>
          <t>Bank 银行</t>
        </is>
      </c>
      <c r="B1860" s="5">
        <f>IF(AND('Daily Sale entry '!Z360="Online collection 网上收款",'Daily Sale entry '!AA360&lt;&gt;""),'Daily Sale entry '!X360,"")</f>
        <v/>
      </c>
      <c r="C1860">
        <f>IF(B1860="","",'Daily Sale entry '!AA360)</f>
        <v/>
      </c>
      <c r="D1860">
        <f>IF(C1860="","",0)</f>
        <v/>
      </c>
      <c r="E1860">
        <f>IF(C1860="","",'Daily Sale entry '!AC360)</f>
        <v/>
      </c>
      <c r="F1860" s="37">
        <f>IF(C1860="","",B1860+IF(E1860&gt;0,0,0.5)+ROW()/10000000)</f>
        <v/>
      </c>
      <c r="G1860">
        <f>IF(C1860="","","Collection 收款 (Online 网上)"&amp;IF('Daily Sale entry '!Y360="",""," - "&amp;'Daily Sale entry '!Y360))</f>
        <v/>
      </c>
      <c r="H1860">
        <f>IF(C1860="","",COUNTIFS($C$2:$C$3001,C1860,$F$2:$F$3001,"&lt;"&amp;F1860)+1)</f>
        <v/>
      </c>
      <c r="I1860">
        <f>IF(C1860="","",C1860&amp;"|"&amp;H1860)</f>
        <v/>
      </c>
      <c r="J1860" s="6">
        <f>IF(C1860="","",IF(H1860=1,SUMIFS('Opening Balance'!$F$4:$F$303,'Opening Balance'!$G$4:$G$303,C1860),INDEX($L$2:$L$3001,MATCH(C1860&amp;"|"&amp;(H1860-1),$I$2:$I$3001,0))))</f>
        <v/>
      </c>
      <c r="K1860" s="6">
        <f>IF(C1860="","",IF(M1860&gt;0,M1860,IF(AND(E1860&gt;0,ROUND(J1860+D1860-E1860,2)&gt;0,ROUND(J1860+D1860-E1860,2)&lt;'Opening Balance'!$B$14),ROUND(J1860+D1860-E1860,2),0)))</f>
        <v/>
      </c>
      <c r="L1860" s="6">
        <f>IF(C1860="","",ROUND(J1860+D1860-E1860-K1860,2))</f>
        <v/>
      </c>
      <c r="M1860" s="6">
        <f>IF(C1860="","",0)</f>
        <v/>
      </c>
    </row>
    <row r="1861">
      <c r="A1861" t="inlineStr">
        <is>
          <t>Bank 银行</t>
        </is>
      </c>
      <c r="B1861" s="5">
        <f>IF(AND('Daily Sale entry '!Z361="Online collection 网上收款",'Daily Sale entry '!AA361&lt;&gt;""),'Daily Sale entry '!X361,"")</f>
        <v/>
      </c>
      <c r="C1861">
        <f>IF(B1861="","",'Daily Sale entry '!AA361)</f>
        <v/>
      </c>
      <c r="D1861">
        <f>IF(C1861="","",0)</f>
        <v/>
      </c>
      <c r="E1861">
        <f>IF(C1861="","",'Daily Sale entry '!AC361)</f>
        <v/>
      </c>
      <c r="F1861" s="37">
        <f>IF(C1861="","",B1861+IF(E1861&gt;0,0,0.5)+ROW()/10000000)</f>
        <v/>
      </c>
      <c r="G1861">
        <f>IF(C1861="","","Collection 收款 (Online 网上)"&amp;IF('Daily Sale entry '!Y361="",""," - "&amp;'Daily Sale entry '!Y361))</f>
        <v/>
      </c>
      <c r="H1861">
        <f>IF(C1861="","",COUNTIFS($C$2:$C$3001,C1861,$F$2:$F$3001,"&lt;"&amp;F1861)+1)</f>
        <v/>
      </c>
      <c r="I1861">
        <f>IF(C1861="","",C1861&amp;"|"&amp;H1861)</f>
        <v/>
      </c>
      <c r="J1861" s="6">
        <f>IF(C1861="","",IF(H1861=1,SUMIFS('Opening Balance'!$F$4:$F$303,'Opening Balance'!$G$4:$G$303,C1861),INDEX($L$2:$L$3001,MATCH(C1861&amp;"|"&amp;(H1861-1),$I$2:$I$3001,0))))</f>
        <v/>
      </c>
      <c r="K1861" s="6">
        <f>IF(C1861="","",IF(M1861&gt;0,M1861,IF(AND(E1861&gt;0,ROUND(J1861+D1861-E1861,2)&gt;0,ROUND(J1861+D1861-E1861,2)&lt;'Opening Balance'!$B$14),ROUND(J1861+D1861-E1861,2),0)))</f>
        <v/>
      </c>
      <c r="L1861" s="6">
        <f>IF(C1861="","",ROUND(J1861+D1861-E1861-K1861,2))</f>
        <v/>
      </c>
      <c r="M1861" s="6">
        <f>IF(C1861="","",0)</f>
        <v/>
      </c>
    </row>
    <row r="1862">
      <c r="A1862" t="inlineStr">
        <is>
          <t>Bank 银行</t>
        </is>
      </c>
      <c r="B1862" s="5">
        <f>IF(AND('Daily Sale entry '!Z362="Online collection 网上收款",'Daily Sale entry '!AA362&lt;&gt;""),'Daily Sale entry '!X362,"")</f>
        <v/>
      </c>
      <c r="C1862">
        <f>IF(B1862="","",'Daily Sale entry '!AA362)</f>
        <v/>
      </c>
      <c r="D1862">
        <f>IF(C1862="","",0)</f>
        <v/>
      </c>
      <c r="E1862">
        <f>IF(C1862="","",'Daily Sale entry '!AC362)</f>
        <v/>
      </c>
      <c r="F1862" s="37">
        <f>IF(C1862="","",B1862+IF(E1862&gt;0,0,0.5)+ROW()/10000000)</f>
        <v/>
      </c>
      <c r="G1862">
        <f>IF(C1862="","","Collection 收款 (Online 网上)"&amp;IF('Daily Sale entry '!Y362="",""," - "&amp;'Daily Sale entry '!Y362))</f>
        <v/>
      </c>
      <c r="H1862">
        <f>IF(C1862="","",COUNTIFS($C$2:$C$3001,C1862,$F$2:$F$3001,"&lt;"&amp;F1862)+1)</f>
        <v/>
      </c>
      <c r="I1862">
        <f>IF(C1862="","",C1862&amp;"|"&amp;H1862)</f>
        <v/>
      </c>
      <c r="J1862" s="6">
        <f>IF(C1862="","",IF(H1862=1,SUMIFS('Opening Balance'!$F$4:$F$303,'Opening Balance'!$G$4:$G$303,C1862),INDEX($L$2:$L$3001,MATCH(C1862&amp;"|"&amp;(H1862-1),$I$2:$I$3001,0))))</f>
        <v/>
      </c>
      <c r="K1862" s="6">
        <f>IF(C1862="","",IF(M1862&gt;0,M1862,IF(AND(E1862&gt;0,ROUND(J1862+D1862-E1862,2)&gt;0,ROUND(J1862+D1862-E1862,2)&lt;'Opening Balance'!$B$14),ROUND(J1862+D1862-E1862,2),0)))</f>
        <v/>
      </c>
      <c r="L1862" s="6">
        <f>IF(C1862="","",ROUND(J1862+D1862-E1862-K1862,2))</f>
        <v/>
      </c>
      <c r="M1862" s="6">
        <f>IF(C1862="","",0)</f>
        <v/>
      </c>
    </row>
    <row r="1863">
      <c r="A1863" t="inlineStr">
        <is>
          <t>Bank 银行</t>
        </is>
      </c>
      <c r="B1863" s="5">
        <f>IF(AND('Daily Sale entry '!Z363="Online collection 网上收款",'Daily Sale entry '!AA363&lt;&gt;""),'Daily Sale entry '!X363,"")</f>
        <v/>
      </c>
      <c r="C1863">
        <f>IF(B1863="","",'Daily Sale entry '!AA363)</f>
        <v/>
      </c>
      <c r="D1863">
        <f>IF(C1863="","",0)</f>
        <v/>
      </c>
      <c r="E1863">
        <f>IF(C1863="","",'Daily Sale entry '!AC363)</f>
        <v/>
      </c>
      <c r="F1863" s="37">
        <f>IF(C1863="","",B1863+IF(E1863&gt;0,0,0.5)+ROW()/10000000)</f>
        <v/>
      </c>
      <c r="G1863">
        <f>IF(C1863="","","Collection 收款 (Online 网上)"&amp;IF('Daily Sale entry '!Y363="",""," - "&amp;'Daily Sale entry '!Y363))</f>
        <v/>
      </c>
      <c r="H1863">
        <f>IF(C1863="","",COUNTIFS($C$2:$C$3001,C1863,$F$2:$F$3001,"&lt;"&amp;F1863)+1)</f>
        <v/>
      </c>
      <c r="I1863">
        <f>IF(C1863="","",C1863&amp;"|"&amp;H1863)</f>
        <v/>
      </c>
      <c r="J1863" s="6">
        <f>IF(C1863="","",IF(H1863=1,SUMIFS('Opening Balance'!$F$4:$F$303,'Opening Balance'!$G$4:$G$303,C1863),INDEX($L$2:$L$3001,MATCH(C1863&amp;"|"&amp;(H1863-1),$I$2:$I$3001,0))))</f>
        <v/>
      </c>
      <c r="K1863" s="6">
        <f>IF(C1863="","",IF(M1863&gt;0,M1863,IF(AND(E1863&gt;0,ROUND(J1863+D1863-E1863,2)&gt;0,ROUND(J1863+D1863-E1863,2)&lt;'Opening Balance'!$B$14),ROUND(J1863+D1863-E1863,2),0)))</f>
        <v/>
      </c>
      <c r="L1863" s="6">
        <f>IF(C1863="","",ROUND(J1863+D1863-E1863-K1863,2))</f>
        <v/>
      </c>
      <c r="M1863" s="6">
        <f>IF(C1863="","",0)</f>
        <v/>
      </c>
    </row>
    <row r="1864">
      <c r="A1864" t="inlineStr">
        <is>
          <t>Bank 银行</t>
        </is>
      </c>
      <c r="B1864" s="5">
        <f>IF(AND('Daily Sale entry '!Z364="Online collection 网上收款",'Daily Sale entry '!AA364&lt;&gt;""),'Daily Sale entry '!X364,"")</f>
        <v/>
      </c>
      <c r="C1864">
        <f>IF(B1864="","",'Daily Sale entry '!AA364)</f>
        <v/>
      </c>
      <c r="D1864">
        <f>IF(C1864="","",0)</f>
        <v/>
      </c>
      <c r="E1864">
        <f>IF(C1864="","",'Daily Sale entry '!AC364)</f>
        <v/>
      </c>
      <c r="F1864" s="37">
        <f>IF(C1864="","",B1864+IF(E1864&gt;0,0,0.5)+ROW()/10000000)</f>
        <v/>
      </c>
      <c r="G1864">
        <f>IF(C1864="","","Collection 收款 (Online 网上)"&amp;IF('Daily Sale entry '!Y364="",""," - "&amp;'Daily Sale entry '!Y364))</f>
        <v/>
      </c>
      <c r="H1864">
        <f>IF(C1864="","",COUNTIFS($C$2:$C$3001,C1864,$F$2:$F$3001,"&lt;"&amp;F1864)+1)</f>
        <v/>
      </c>
      <c r="I1864">
        <f>IF(C1864="","",C1864&amp;"|"&amp;H1864)</f>
        <v/>
      </c>
      <c r="J1864" s="6">
        <f>IF(C1864="","",IF(H1864=1,SUMIFS('Opening Balance'!$F$4:$F$303,'Opening Balance'!$G$4:$G$303,C1864),INDEX($L$2:$L$3001,MATCH(C1864&amp;"|"&amp;(H1864-1),$I$2:$I$3001,0))))</f>
        <v/>
      </c>
      <c r="K1864" s="6">
        <f>IF(C1864="","",IF(M1864&gt;0,M1864,IF(AND(E1864&gt;0,ROUND(J1864+D1864-E1864,2)&gt;0,ROUND(J1864+D1864-E1864,2)&lt;'Opening Balance'!$B$14),ROUND(J1864+D1864-E1864,2),0)))</f>
        <v/>
      </c>
      <c r="L1864" s="6">
        <f>IF(C1864="","",ROUND(J1864+D1864-E1864-K1864,2))</f>
        <v/>
      </c>
      <c r="M1864" s="6">
        <f>IF(C1864="","",0)</f>
        <v/>
      </c>
    </row>
    <row r="1865">
      <c r="A1865" t="inlineStr">
        <is>
          <t>Bank 银行</t>
        </is>
      </c>
      <c r="B1865" s="5">
        <f>IF(AND('Daily Sale entry '!Z365="Online collection 网上收款",'Daily Sale entry '!AA365&lt;&gt;""),'Daily Sale entry '!X365,"")</f>
        <v/>
      </c>
      <c r="C1865">
        <f>IF(B1865="","",'Daily Sale entry '!AA365)</f>
        <v/>
      </c>
      <c r="D1865">
        <f>IF(C1865="","",0)</f>
        <v/>
      </c>
      <c r="E1865">
        <f>IF(C1865="","",'Daily Sale entry '!AC365)</f>
        <v/>
      </c>
      <c r="F1865" s="37">
        <f>IF(C1865="","",B1865+IF(E1865&gt;0,0,0.5)+ROW()/10000000)</f>
        <v/>
      </c>
      <c r="G1865">
        <f>IF(C1865="","","Collection 收款 (Online 网上)"&amp;IF('Daily Sale entry '!Y365="",""," - "&amp;'Daily Sale entry '!Y365))</f>
        <v/>
      </c>
      <c r="H1865">
        <f>IF(C1865="","",COUNTIFS($C$2:$C$3001,C1865,$F$2:$F$3001,"&lt;"&amp;F1865)+1)</f>
        <v/>
      </c>
      <c r="I1865">
        <f>IF(C1865="","",C1865&amp;"|"&amp;H1865)</f>
        <v/>
      </c>
      <c r="J1865" s="6">
        <f>IF(C1865="","",IF(H1865=1,SUMIFS('Opening Balance'!$F$4:$F$303,'Opening Balance'!$G$4:$G$303,C1865),INDEX($L$2:$L$3001,MATCH(C1865&amp;"|"&amp;(H1865-1),$I$2:$I$3001,0))))</f>
        <v/>
      </c>
      <c r="K1865" s="6">
        <f>IF(C1865="","",IF(M1865&gt;0,M1865,IF(AND(E1865&gt;0,ROUND(J1865+D1865-E1865,2)&gt;0,ROUND(J1865+D1865-E1865,2)&lt;'Opening Balance'!$B$14),ROUND(J1865+D1865-E1865,2),0)))</f>
        <v/>
      </c>
      <c r="L1865" s="6">
        <f>IF(C1865="","",ROUND(J1865+D1865-E1865-K1865,2))</f>
        <v/>
      </c>
      <c r="M1865" s="6">
        <f>IF(C1865="","",0)</f>
        <v/>
      </c>
    </row>
    <row r="1866">
      <c r="A1866" t="inlineStr">
        <is>
          <t>Bank 银行</t>
        </is>
      </c>
      <c r="B1866" s="5">
        <f>IF(AND('Daily Sale entry '!Z366="Online collection 网上收款",'Daily Sale entry '!AA366&lt;&gt;""),'Daily Sale entry '!X366,"")</f>
        <v/>
      </c>
      <c r="C1866">
        <f>IF(B1866="","",'Daily Sale entry '!AA366)</f>
        <v/>
      </c>
      <c r="D1866">
        <f>IF(C1866="","",0)</f>
        <v/>
      </c>
      <c r="E1866">
        <f>IF(C1866="","",'Daily Sale entry '!AC366)</f>
        <v/>
      </c>
      <c r="F1866" s="37">
        <f>IF(C1866="","",B1866+IF(E1866&gt;0,0,0.5)+ROW()/10000000)</f>
        <v/>
      </c>
      <c r="G1866">
        <f>IF(C1866="","","Collection 收款 (Online 网上)"&amp;IF('Daily Sale entry '!Y366="",""," - "&amp;'Daily Sale entry '!Y366))</f>
        <v/>
      </c>
      <c r="H1866">
        <f>IF(C1866="","",COUNTIFS($C$2:$C$3001,C1866,$F$2:$F$3001,"&lt;"&amp;F1866)+1)</f>
        <v/>
      </c>
      <c r="I1866">
        <f>IF(C1866="","",C1866&amp;"|"&amp;H1866)</f>
        <v/>
      </c>
      <c r="J1866" s="6">
        <f>IF(C1866="","",IF(H1866=1,SUMIFS('Opening Balance'!$F$4:$F$303,'Opening Balance'!$G$4:$G$303,C1866),INDEX($L$2:$L$3001,MATCH(C1866&amp;"|"&amp;(H1866-1),$I$2:$I$3001,0))))</f>
        <v/>
      </c>
      <c r="K1866" s="6">
        <f>IF(C1866="","",IF(M1866&gt;0,M1866,IF(AND(E1866&gt;0,ROUND(J1866+D1866-E1866,2)&gt;0,ROUND(J1866+D1866-E1866,2)&lt;'Opening Balance'!$B$14),ROUND(J1866+D1866-E1866,2),0)))</f>
        <v/>
      </c>
      <c r="L1866" s="6">
        <f>IF(C1866="","",ROUND(J1866+D1866-E1866-K1866,2))</f>
        <v/>
      </c>
      <c r="M1866" s="6">
        <f>IF(C1866="","",0)</f>
        <v/>
      </c>
    </row>
    <row r="1867">
      <c r="A1867" t="inlineStr">
        <is>
          <t>Bank 银行</t>
        </is>
      </c>
      <c r="B1867" s="5">
        <f>IF(AND('Daily Sale entry '!Z367="Online collection 网上收款",'Daily Sale entry '!AA367&lt;&gt;""),'Daily Sale entry '!X367,"")</f>
        <v/>
      </c>
      <c r="C1867">
        <f>IF(B1867="","",'Daily Sale entry '!AA367)</f>
        <v/>
      </c>
      <c r="D1867">
        <f>IF(C1867="","",0)</f>
        <v/>
      </c>
      <c r="E1867">
        <f>IF(C1867="","",'Daily Sale entry '!AC367)</f>
        <v/>
      </c>
      <c r="F1867" s="37">
        <f>IF(C1867="","",B1867+IF(E1867&gt;0,0,0.5)+ROW()/10000000)</f>
        <v/>
      </c>
      <c r="G1867">
        <f>IF(C1867="","","Collection 收款 (Online 网上)"&amp;IF('Daily Sale entry '!Y367="",""," - "&amp;'Daily Sale entry '!Y367))</f>
        <v/>
      </c>
      <c r="H1867">
        <f>IF(C1867="","",COUNTIFS($C$2:$C$3001,C1867,$F$2:$F$3001,"&lt;"&amp;F1867)+1)</f>
        <v/>
      </c>
      <c r="I1867">
        <f>IF(C1867="","",C1867&amp;"|"&amp;H1867)</f>
        <v/>
      </c>
      <c r="J1867" s="6">
        <f>IF(C1867="","",IF(H1867=1,SUMIFS('Opening Balance'!$F$4:$F$303,'Opening Balance'!$G$4:$G$303,C1867),INDEX($L$2:$L$3001,MATCH(C1867&amp;"|"&amp;(H1867-1),$I$2:$I$3001,0))))</f>
        <v/>
      </c>
      <c r="K1867" s="6">
        <f>IF(C1867="","",IF(M1867&gt;0,M1867,IF(AND(E1867&gt;0,ROUND(J1867+D1867-E1867,2)&gt;0,ROUND(J1867+D1867-E1867,2)&lt;'Opening Balance'!$B$14),ROUND(J1867+D1867-E1867,2),0)))</f>
        <v/>
      </c>
      <c r="L1867" s="6">
        <f>IF(C1867="","",ROUND(J1867+D1867-E1867-K1867,2))</f>
        <v/>
      </c>
      <c r="M1867" s="6">
        <f>IF(C1867="","",0)</f>
        <v/>
      </c>
    </row>
    <row r="1868">
      <c r="A1868" t="inlineStr">
        <is>
          <t>Bank 银行</t>
        </is>
      </c>
      <c r="B1868" s="5">
        <f>IF(AND('Daily Sale entry '!Z368="Online collection 网上收款",'Daily Sale entry '!AA368&lt;&gt;""),'Daily Sale entry '!X368,"")</f>
        <v/>
      </c>
      <c r="C1868">
        <f>IF(B1868="","",'Daily Sale entry '!AA368)</f>
        <v/>
      </c>
      <c r="D1868">
        <f>IF(C1868="","",0)</f>
        <v/>
      </c>
      <c r="E1868">
        <f>IF(C1868="","",'Daily Sale entry '!AC368)</f>
        <v/>
      </c>
      <c r="F1868" s="37">
        <f>IF(C1868="","",B1868+IF(E1868&gt;0,0,0.5)+ROW()/10000000)</f>
        <v/>
      </c>
      <c r="G1868">
        <f>IF(C1868="","","Collection 收款 (Online 网上)"&amp;IF('Daily Sale entry '!Y368="",""," - "&amp;'Daily Sale entry '!Y368))</f>
        <v/>
      </c>
      <c r="H1868">
        <f>IF(C1868="","",COUNTIFS($C$2:$C$3001,C1868,$F$2:$F$3001,"&lt;"&amp;F1868)+1)</f>
        <v/>
      </c>
      <c r="I1868">
        <f>IF(C1868="","",C1868&amp;"|"&amp;H1868)</f>
        <v/>
      </c>
      <c r="J1868" s="6">
        <f>IF(C1868="","",IF(H1868=1,SUMIFS('Opening Balance'!$F$4:$F$303,'Opening Balance'!$G$4:$G$303,C1868),INDEX($L$2:$L$3001,MATCH(C1868&amp;"|"&amp;(H1868-1),$I$2:$I$3001,0))))</f>
        <v/>
      </c>
      <c r="K1868" s="6">
        <f>IF(C1868="","",IF(M1868&gt;0,M1868,IF(AND(E1868&gt;0,ROUND(J1868+D1868-E1868,2)&gt;0,ROUND(J1868+D1868-E1868,2)&lt;'Opening Balance'!$B$14),ROUND(J1868+D1868-E1868,2),0)))</f>
        <v/>
      </c>
      <c r="L1868" s="6">
        <f>IF(C1868="","",ROUND(J1868+D1868-E1868-K1868,2))</f>
        <v/>
      </c>
      <c r="M1868" s="6">
        <f>IF(C1868="","",0)</f>
        <v/>
      </c>
    </row>
    <row r="1869">
      <c r="A1869" t="inlineStr">
        <is>
          <t>Bank 银行</t>
        </is>
      </c>
      <c r="B1869" s="5">
        <f>IF(AND('Daily Sale entry '!Z369="Online collection 网上收款",'Daily Sale entry '!AA369&lt;&gt;""),'Daily Sale entry '!X369,"")</f>
        <v/>
      </c>
      <c r="C1869">
        <f>IF(B1869="","",'Daily Sale entry '!AA369)</f>
        <v/>
      </c>
      <c r="D1869">
        <f>IF(C1869="","",0)</f>
        <v/>
      </c>
      <c r="E1869">
        <f>IF(C1869="","",'Daily Sale entry '!AC369)</f>
        <v/>
      </c>
      <c r="F1869" s="37">
        <f>IF(C1869="","",B1869+IF(E1869&gt;0,0,0.5)+ROW()/10000000)</f>
        <v/>
      </c>
      <c r="G1869">
        <f>IF(C1869="","","Collection 收款 (Online 网上)"&amp;IF('Daily Sale entry '!Y369="",""," - "&amp;'Daily Sale entry '!Y369))</f>
        <v/>
      </c>
      <c r="H1869">
        <f>IF(C1869="","",COUNTIFS($C$2:$C$3001,C1869,$F$2:$F$3001,"&lt;"&amp;F1869)+1)</f>
        <v/>
      </c>
      <c r="I1869">
        <f>IF(C1869="","",C1869&amp;"|"&amp;H1869)</f>
        <v/>
      </c>
      <c r="J1869" s="6">
        <f>IF(C1869="","",IF(H1869=1,SUMIFS('Opening Balance'!$F$4:$F$303,'Opening Balance'!$G$4:$G$303,C1869),INDEX($L$2:$L$3001,MATCH(C1869&amp;"|"&amp;(H1869-1),$I$2:$I$3001,0))))</f>
        <v/>
      </c>
      <c r="K1869" s="6">
        <f>IF(C1869="","",IF(M1869&gt;0,M1869,IF(AND(E1869&gt;0,ROUND(J1869+D1869-E1869,2)&gt;0,ROUND(J1869+D1869-E1869,2)&lt;'Opening Balance'!$B$14),ROUND(J1869+D1869-E1869,2),0)))</f>
        <v/>
      </c>
      <c r="L1869" s="6">
        <f>IF(C1869="","",ROUND(J1869+D1869-E1869-K1869,2))</f>
        <v/>
      </c>
      <c r="M1869" s="6">
        <f>IF(C1869="","",0)</f>
        <v/>
      </c>
    </row>
    <row r="1870">
      <c r="A1870" t="inlineStr">
        <is>
          <t>Bank 银行</t>
        </is>
      </c>
      <c r="B1870" s="5">
        <f>IF(AND('Daily Sale entry '!Z370="Online collection 网上收款",'Daily Sale entry '!AA370&lt;&gt;""),'Daily Sale entry '!X370,"")</f>
        <v/>
      </c>
      <c r="C1870">
        <f>IF(B1870="","",'Daily Sale entry '!AA370)</f>
        <v/>
      </c>
      <c r="D1870">
        <f>IF(C1870="","",0)</f>
        <v/>
      </c>
      <c r="E1870">
        <f>IF(C1870="","",'Daily Sale entry '!AC370)</f>
        <v/>
      </c>
      <c r="F1870" s="37">
        <f>IF(C1870="","",B1870+IF(E1870&gt;0,0,0.5)+ROW()/10000000)</f>
        <v/>
      </c>
      <c r="G1870">
        <f>IF(C1870="","","Collection 收款 (Online 网上)"&amp;IF('Daily Sale entry '!Y370="",""," - "&amp;'Daily Sale entry '!Y370))</f>
        <v/>
      </c>
      <c r="H1870">
        <f>IF(C1870="","",COUNTIFS($C$2:$C$3001,C1870,$F$2:$F$3001,"&lt;"&amp;F1870)+1)</f>
        <v/>
      </c>
      <c r="I1870">
        <f>IF(C1870="","",C1870&amp;"|"&amp;H1870)</f>
        <v/>
      </c>
      <c r="J1870" s="6">
        <f>IF(C1870="","",IF(H1870=1,SUMIFS('Opening Balance'!$F$4:$F$303,'Opening Balance'!$G$4:$G$303,C1870),INDEX($L$2:$L$3001,MATCH(C1870&amp;"|"&amp;(H1870-1),$I$2:$I$3001,0))))</f>
        <v/>
      </c>
      <c r="K1870" s="6">
        <f>IF(C1870="","",IF(M1870&gt;0,M1870,IF(AND(E1870&gt;0,ROUND(J1870+D1870-E1870,2)&gt;0,ROUND(J1870+D1870-E1870,2)&lt;'Opening Balance'!$B$14),ROUND(J1870+D1870-E1870,2),0)))</f>
        <v/>
      </c>
      <c r="L1870" s="6">
        <f>IF(C1870="","",ROUND(J1870+D1870-E1870-K1870,2))</f>
        <v/>
      </c>
      <c r="M1870" s="6">
        <f>IF(C1870="","",0)</f>
        <v/>
      </c>
    </row>
    <row r="1871">
      <c r="A1871" t="inlineStr">
        <is>
          <t>Bank 银行</t>
        </is>
      </c>
      <c r="B1871" s="5">
        <f>IF(AND('Daily Sale entry '!Z371="Online collection 网上收款",'Daily Sale entry '!AA371&lt;&gt;""),'Daily Sale entry '!X371,"")</f>
        <v/>
      </c>
      <c r="C1871">
        <f>IF(B1871="","",'Daily Sale entry '!AA371)</f>
        <v/>
      </c>
      <c r="D1871">
        <f>IF(C1871="","",0)</f>
        <v/>
      </c>
      <c r="E1871">
        <f>IF(C1871="","",'Daily Sale entry '!AC371)</f>
        <v/>
      </c>
      <c r="F1871" s="37">
        <f>IF(C1871="","",B1871+IF(E1871&gt;0,0,0.5)+ROW()/10000000)</f>
        <v/>
      </c>
      <c r="G1871">
        <f>IF(C1871="","","Collection 收款 (Online 网上)"&amp;IF('Daily Sale entry '!Y371="",""," - "&amp;'Daily Sale entry '!Y371))</f>
        <v/>
      </c>
      <c r="H1871">
        <f>IF(C1871="","",COUNTIFS($C$2:$C$3001,C1871,$F$2:$F$3001,"&lt;"&amp;F1871)+1)</f>
        <v/>
      </c>
      <c r="I1871">
        <f>IF(C1871="","",C1871&amp;"|"&amp;H1871)</f>
        <v/>
      </c>
      <c r="J1871" s="6">
        <f>IF(C1871="","",IF(H1871=1,SUMIFS('Opening Balance'!$F$4:$F$303,'Opening Balance'!$G$4:$G$303,C1871),INDEX($L$2:$L$3001,MATCH(C1871&amp;"|"&amp;(H1871-1),$I$2:$I$3001,0))))</f>
        <v/>
      </c>
      <c r="K1871" s="6">
        <f>IF(C1871="","",IF(M1871&gt;0,M1871,IF(AND(E1871&gt;0,ROUND(J1871+D1871-E1871,2)&gt;0,ROUND(J1871+D1871-E1871,2)&lt;'Opening Balance'!$B$14),ROUND(J1871+D1871-E1871,2),0)))</f>
        <v/>
      </c>
      <c r="L1871" s="6">
        <f>IF(C1871="","",ROUND(J1871+D1871-E1871-K1871,2))</f>
        <v/>
      </c>
      <c r="M1871" s="6">
        <f>IF(C1871="","",0)</f>
        <v/>
      </c>
    </row>
    <row r="1872">
      <c r="A1872" t="inlineStr">
        <is>
          <t>Bank 银行</t>
        </is>
      </c>
      <c r="B1872" s="5">
        <f>IF(AND('Daily Sale entry '!Z372="Online collection 网上收款",'Daily Sale entry '!AA372&lt;&gt;""),'Daily Sale entry '!X372,"")</f>
        <v/>
      </c>
      <c r="C1872">
        <f>IF(B1872="","",'Daily Sale entry '!AA372)</f>
        <v/>
      </c>
      <c r="D1872">
        <f>IF(C1872="","",0)</f>
        <v/>
      </c>
      <c r="E1872">
        <f>IF(C1872="","",'Daily Sale entry '!AC372)</f>
        <v/>
      </c>
      <c r="F1872" s="37">
        <f>IF(C1872="","",B1872+IF(E1872&gt;0,0,0.5)+ROW()/10000000)</f>
        <v/>
      </c>
      <c r="G1872">
        <f>IF(C1872="","","Collection 收款 (Online 网上)"&amp;IF('Daily Sale entry '!Y372="",""," - "&amp;'Daily Sale entry '!Y372))</f>
        <v/>
      </c>
      <c r="H1872">
        <f>IF(C1872="","",COUNTIFS($C$2:$C$3001,C1872,$F$2:$F$3001,"&lt;"&amp;F1872)+1)</f>
        <v/>
      </c>
      <c r="I1872">
        <f>IF(C1872="","",C1872&amp;"|"&amp;H1872)</f>
        <v/>
      </c>
      <c r="J1872" s="6">
        <f>IF(C1872="","",IF(H1872=1,SUMIFS('Opening Balance'!$F$4:$F$303,'Opening Balance'!$G$4:$G$303,C1872),INDEX($L$2:$L$3001,MATCH(C1872&amp;"|"&amp;(H1872-1),$I$2:$I$3001,0))))</f>
        <v/>
      </c>
      <c r="K1872" s="6">
        <f>IF(C1872="","",IF(M1872&gt;0,M1872,IF(AND(E1872&gt;0,ROUND(J1872+D1872-E1872,2)&gt;0,ROUND(J1872+D1872-E1872,2)&lt;'Opening Balance'!$B$14),ROUND(J1872+D1872-E1872,2),0)))</f>
        <v/>
      </c>
      <c r="L1872" s="6">
        <f>IF(C1872="","",ROUND(J1872+D1872-E1872-K1872,2))</f>
        <v/>
      </c>
      <c r="M1872" s="6">
        <f>IF(C1872="","",0)</f>
        <v/>
      </c>
    </row>
    <row r="1873">
      <c r="A1873" t="inlineStr">
        <is>
          <t>Bank 银行</t>
        </is>
      </c>
      <c r="B1873" s="5">
        <f>IF(AND('Daily Sale entry '!Z373="Online collection 网上收款",'Daily Sale entry '!AA373&lt;&gt;""),'Daily Sale entry '!X373,"")</f>
        <v/>
      </c>
      <c r="C1873">
        <f>IF(B1873="","",'Daily Sale entry '!AA373)</f>
        <v/>
      </c>
      <c r="D1873">
        <f>IF(C1873="","",0)</f>
        <v/>
      </c>
      <c r="E1873">
        <f>IF(C1873="","",'Daily Sale entry '!AC373)</f>
        <v/>
      </c>
      <c r="F1873" s="37">
        <f>IF(C1873="","",B1873+IF(E1873&gt;0,0,0.5)+ROW()/10000000)</f>
        <v/>
      </c>
      <c r="G1873">
        <f>IF(C1873="","","Collection 收款 (Online 网上)"&amp;IF('Daily Sale entry '!Y373="",""," - "&amp;'Daily Sale entry '!Y373))</f>
        <v/>
      </c>
      <c r="H1873">
        <f>IF(C1873="","",COUNTIFS($C$2:$C$3001,C1873,$F$2:$F$3001,"&lt;"&amp;F1873)+1)</f>
        <v/>
      </c>
      <c r="I1873">
        <f>IF(C1873="","",C1873&amp;"|"&amp;H1873)</f>
        <v/>
      </c>
      <c r="J1873" s="6">
        <f>IF(C1873="","",IF(H1873=1,SUMIFS('Opening Balance'!$F$4:$F$303,'Opening Balance'!$G$4:$G$303,C1873),INDEX($L$2:$L$3001,MATCH(C1873&amp;"|"&amp;(H1873-1),$I$2:$I$3001,0))))</f>
        <v/>
      </c>
      <c r="K1873" s="6">
        <f>IF(C1873="","",IF(M1873&gt;0,M1873,IF(AND(E1873&gt;0,ROUND(J1873+D1873-E1873,2)&gt;0,ROUND(J1873+D1873-E1873,2)&lt;'Opening Balance'!$B$14),ROUND(J1873+D1873-E1873,2),0)))</f>
        <v/>
      </c>
      <c r="L1873" s="6">
        <f>IF(C1873="","",ROUND(J1873+D1873-E1873-K1873,2))</f>
        <v/>
      </c>
      <c r="M1873" s="6">
        <f>IF(C1873="","",0)</f>
        <v/>
      </c>
    </row>
    <row r="1874">
      <c r="A1874" t="inlineStr">
        <is>
          <t>Bank 银行</t>
        </is>
      </c>
      <c r="B1874" s="5">
        <f>IF(AND('Daily Sale entry '!Z374="Online collection 网上收款",'Daily Sale entry '!AA374&lt;&gt;""),'Daily Sale entry '!X374,"")</f>
        <v/>
      </c>
      <c r="C1874">
        <f>IF(B1874="","",'Daily Sale entry '!AA374)</f>
        <v/>
      </c>
      <c r="D1874">
        <f>IF(C1874="","",0)</f>
        <v/>
      </c>
      <c r="E1874">
        <f>IF(C1874="","",'Daily Sale entry '!AC374)</f>
        <v/>
      </c>
      <c r="F1874" s="37">
        <f>IF(C1874="","",B1874+IF(E1874&gt;0,0,0.5)+ROW()/10000000)</f>
        <v/>
      </c>
      <c r="G1874">
        <f>IF(C1874="","","Collection 收款 (Online 网上)"&amp;IF('Daily Sale entry '!Y374="",""," - "&amp;'Daily Sale entry '!Y374))</f>
        <v/>
      </c>
      <c r="H1874">
        <f>IF(C1874="","",COUNTIFS($C$2:$C$3001,C1874,$F$2:$F$3001,"&lt;"&amp;F1874)+1)</f>
        <v/>
      </c>
      <c r="I1874">
        <f>IF(C1874="","",C1874&amp;"|"&amp;H1874)</f>
        <v/>
      </c>
      <c r="J1874" s="6">
        <f>IF(C1874="","",IF(H1874=1,SUMIFS('Opening Balance'!$F$4:$F$303,'Opening Balance'!$G$4:$G$303,C1874),INDEX($L$2:$L$3001,MATCH(C1874&amp;"|"&amp;(H1874-1),$I$2:$I$3001,0))))</f>
        <v/>
      </c>
      <c r="K1874" s="6">
        <f>IF(C1874="","",IF(M1874&gt;0,M1874,IF(AND(E1874&gt;0,ROUND(J1874+D1874-E1874,2)&gt;0,ROUND(J1874+D1874-E1874,2)&lt;'Opening Balance'!$B$14),ROUND(J1874+D1874-E1874,2),0)))</f>
        <v/>
      </c>
      <c r="L1874" s="6">
        <f>IF(C1874="","",ROUND(J1874+D1874-E1874-K1874,2))</f>
        <v/>
      </c>
      <c r="M1874" s="6">
        <f>IF(C1874="","",0)</f>
        <v/>
      </c>
    </row>
    <row r="1875">
      <c r="A1875" t="inlineStr">
        <is>
          <t>Bank 银行</t>
        </is>
      </c>
      <c r="B1875" s="5">
        <f>IF(AND('Daily Sale entry '!Z375="Online collection 网上收款",'Daily Sale entry '!AA375&lt;&gt;""),'Daily Sale entry '!X375,"")</f>
        <v/>
      </c>
      <c r="C1875">
        <f>IF(B1875="","",'Daily Sale entry '!AA375)</f>
        <v/>
      </c>
      <c r="D1875">
        <f>IF(C1875="","",0)</f>
        <v/>
      </c>
      <c r="E1875">
        <f>IF(C1875="","",'Daily Sale entry '!AC375)</f>
        <v/>
      </c>
      <c r="F1875" s="37">
        <f>IF(C1875="","",B1875+IF(E1875&gt;0,0,0.5)+ROW()/10000000)</f>
        <v/>
      </c>
      <c r="G1875">
        <f>IF(C1875="","","Collection 收款 (Online 网上)"&amp;IF('Daily Sale entry '!Y375="",""," - "&amp;'Daily Sale entry '!Y375))</f>
        <v/>
      </c>
      <c r="H1875">
        <f>IF(C1875="","",COUNTIFS($C$2:$C$3001,C1875,$F$2:$F$3001,"&lt;"&amp;F1875)+1)</f>
        <v/>
      </c>
      <c r="I1875">
        <f>IF(C1875="","",C1875&amp;"|"&amp;H1875)</f>
        <v/>
      </c>
      <c r="J1875" s="6">
        <f>IF(C1875="","",IF(H1875=1,SUMIFS('Opening Balance'!$F$4:$F$303,'Opening Balance'!$G$4:$G$303,C1875),INDEX($L$2:$L$3001,MATCH(C1875&amp;"|"&amp;(H1875-1),$I$2:$I$3001,0))))</f>
        <v/>
      </c>
      <c r="K1875" s="6">
        <f>IF(C1875="","",IF(M1875&gt;0,M1875,IF(AND(E1875&gt;0,ROUND(J1875+D1875-E1875,2)&gt;0,ROUND(J1875+D1875-E1875,2)&lt;'Opening Balance'!$B$14),ROUND(J1875+D1875-E1875,2),0)))</f>
        <v/>
      </c>
      <c r="L1875" s="6">
        <f>IF(C1875="","",ROUND(J1875+D1875-E1875-K1875,2))</f>
        <v/>
      </c>
      <c r="M1875" s="6">
        <f>IF(C1875="","",0)</f>
        <v/>
      </c>
    </row>
    <row r="1876">
      <c r="A1876" t="inlineStr">
        <is>
          <t>Bank 银行</t>
        </is>
      </c>
      <c r="B1876" s="5">
        <f>IF(AND('Daily Sale entry '!Z376="Online collection 网上收款",'Daily Sale entry '!AA376&lt;&gt;""),'Daily Sale entry '!X376,"")</f>
        <v/>
      </c>
      <c r="C1876">
        <f>IF(B1876="","",'Daily Sale entry '!AA376)</f>
        <v/>
      </c>
      <c r="D1876">
        <f>IF(C1876="","",0)</f>
        <v/>
      </c>
      <c r="E1876">
        <f>IF(C1876="","",'Daily Sale entry '!AC376)</f>
        <v/>
      </c>
      <c r="F1876" s="37">
        <f>IF(C1876="","",B1876+IF(E1876&gt;0,0,0.5)+ROW()/10000000)</f>
        <v/>
      </c>
      <c r="G1876">
        <f>IF(C1876="","","Collection 收款 (Online 网上)"&amp;IF('Daily Sale entry '!Y376="",""," - "&amp;'Daily Sale entry '!Y376))</f>
        <v/>
      </c>
      <c r="H1876">
        <f>IF(C1876="","",COUNTIFS($C$2:$C$3001,C1876,$F$2:$F$3001,"&lt;"&amp;F1876)+1)</f>
        <v/>
      </c>
      <c r="I1876">
        <f>IF(C1876="","",C1876&amp;"|"&amp;H1876)</f>
        <v/>
      </c>
      <c r="J1876" s="6">
        <f>IF(C1876="","",IF(H1876=1,SUMIFS('Opening Balance'!$F$4:$F$303,'Opening Balance'!$G$4:$G$303,C1876),INDEX($L$2:$L$3001,MATCH(C1876&amp;"|"&amp;(H1876-1),$I$2:$I$3001,0))))</f>
        <v/>
      </c>
      <c r="K1876" s="6">
        <f>IF(C1876="","",IF(M1876&gt;0,M1876,IF(AND(E1876&gt;0,ROUND(J1876+D1876-E1876,2)&gt;0,ROUND(J1876+D1876-E1876,2)&lt;'Opening Balance'!$B$14),ROUND(J1876+D1876-E1876,2),0)))</f>
        <v/>
      </c>
      <c r="L1876" s="6">
        <f>IF(C1876="","",ROUND(J1876+D1876-E1876-K1876,2))</f>
        <v/>
      </c>
      <c r="M1876" s="6">
        <f>IF(C1876="","",0)</f>
        <v/>
      </c>
    </row>
    <row r="1877">
      <c r="A1877" t="inlineStr">
        <is>
          <t>Bank 银行</t>
        </is>
      </c>
      <c r="B1877" s="5">
        <f>IF(AND('Daily Sale entry '!Z377="Online collection 网上收款",'Daily Sale entry '!AA377&lt;&gt;""),'Daily Sale entry '!X377,"")</f>
        <v/>
      </c>
      <c r="C1877">
        <f>IF(B1877="","",'Daily Sale entry '!AA377)</f>
        <v/>
      </c>
      <c r="D1877">
        <f>IF(C1877="","",0)</f>
        <v/>
      </c>
      <c r="E1877">
        <f>IF(C1877="","",'Daily Sale entry '!AC377)</f>
        <v/>
      </c>
      <c r="F1877" s="37">
        <f>IF(C1877="","",B1877+IF(E1877&gt;0,0,0.5)+ROW()/10000000)</f>
        <v/>
      </c>
      <c r="G1877">
        <f>IF(C1877="","","Collection 收款 (Online 网上)"&amp;IF('Daily Sale entry '!Y377="",""," - "&amp;'Daily Sale entry '!Y377))</f>
        <v/>
      </c>
      <c r="H1877">
        <f>IF(C1877="","",COUNTIFS($C$2:$C$3001,C1877,$F$2:$F$3001,"&lt;"&amp;F1877)+1)</f>
        <v/>
      </c>
      <c r="I1877">
        <f>IF(C1877="","",C1877&amp;"|"&amp;H1877)</f>
        <v/>
      </c>
      <c r="J1877" s="6">
        <f>IF(C1877="","",IF(H1877=1,SUMIFS('Opening Balance'!$F$4:$F$303,'Opening Balance'!$G$4:$G$303,C1877),INDEX($L$2:$L$3001,MATCH(C1877&amp;"|"&amp;(H1877-1),$I$2:$I$3001,0))))</f>
        <v/>
      </c>
      <c r="K1877" s="6">
        <f>IF(C1877="","",IF(M1877&gt;0,M1877,IF(AND(E1877&gt;0,ROUND(J1877+D1877-E1877,2)&gt;0,ROUND(J1877+D1877-E1877,2)&lt;'Opening Balance'!$B$14),ROUND(J1877+D1877-E1877,2),0)))</f>
        <v/>
      </c>
      <c r="L1877" s="6">
        <f>IF(C1877="","",ROUND(J1877+D1877-E1877-K1877,2))</f>
        <v/>
      </c>
      <c r="M1877" s="6">
        <f>IF(C1877="","",0)</f>
        <v/>
      </c>
    </row>
    <row r="1878">
      <c r="A1878" t="inlineStr">
        <is>
          <t>Bank 银行</t>
        </is>
      </c>
      <c r="B1878" s="5">
        <f>IF(AND('Daily Sale entry '!Z378="Online collection 网上收款",'Daily Sale entry '!AA378&lt;&gt;""),'Daily Sale entry '!X378,"")</f>
        <v/>
      </c>
      <c r="C1878">
        <f>IF(B1878="","",'Daily Sale entry '!AA378)</f>
        <v/>
      </c>
      <c r="D1878">
        <f>IF(C1878="","",0)</f>
        <v/>
      </c>
      <c r="E1878">
        <f>IF(C1878="","",'Daily Sale entry '!AC378)</f>
        <v/>
      </c>
      <c r="F1878" s="37">
        <f>IF(C1878="","",B1878+IF(E1878&gt;0,0,0.5)+ROW()/10000000)</f>
        <v/>
      </c>
      <c r="G1878">
        <f>IF(C1878="","","Collection 收款 (Online 网上)"&amp;IF('Daily Sale entry '!Y378="",""," - "&amp;'Daily Sale entry '!Y378))</f>
        <v/>
      </c>
      <c r="H1878">
        <f>IF(C1878="","",COUNTIFS($C$2:$C$3001,C1878,$F$2:$F$3001,"&lt;"&amp;F1878)+1)</f>
        <v/>
      </c>
      <c r="I1878">
        <f>IF(C1878="","",C1878&amp;"|"&amp;H1878)</f>
        <v/>
      </c>
      <c r="J1878" s="6">
        <f>IF(C1878="","",IF(H1878=1,SUMIFS('Opening Balance'!$F$4:$F$303,'Opening Balance'!$G$4:$G$303,C1878),INDEX($L$2:$L$3001,MATCH(C1878&amp;"|"&amp;(H1878-1),$I$2:$I$3001,0))))</f>
        <v/>
      </c>
      <c r="K1878" s="6">
        <f>IF(C1878="","",IF(M1878&gt;0,M1878,IF(AND(E1878&gt;0,ROUND(J1878+D1878-E1878,2)&gt;0,ROUND(J1878+D1878-E1878,2)&lt;'Opening Balance'!$B$14),ROUND(J1878+D1878-E1878,2),0)))</f>
        <v/>
      </c>
      <c r="L1878" s="6">
        <f>IF(C1878="","",ROUND(J1878+D1878-E1878-K1878,2))</f>
        <v/>
      </c>
      <c r="M1878" s="6">
        <f>IF(C1878="","",0)</f>
        <v/>
      </c>
    </row>
    <row r="1879">
      <c r="A1879" t="inlineStr">
        <is>
          <t>Bank 银行</t>
        </is>
      </c>
      <c r="B1879" s="5">
        <f>IF(AND('Daily Sale entry '!Z379="Online collection 网上收款",'Daily Sale entry '!AA379&lt;&gt;""),'Daily Sale entry '!X379,"")</f>
        <v/>
      </c>
      <c r="C1879">
        <f>IF(B1879="","",'Daily Sale entry '!AA379)</f>
        <v/>
      </c>
      <c r="D1879">
        <f>IF(C1879="","",0)</f>
        <v/>
      </c>
      <c r="E1879">
        <f>IF(C1879="","",'Daily Sale entry '!AC379)</f>
        <v/>
      </c>
      <c r="F1879" s="37">
        <f>IF(C1879="","",B1879+IF(E1879&gt;0,0,0.5)+ROW()/10000000)</f>
        <v/>
      </c>
      <c r="G1879">
        <f>IF(C1879="","","Collection 收款 (Online 网上)"&amp;IF('Daily Sale entry '!Y379="",""," - "&amp;'Daily Sale entry '!Y379))</f>
        <v/>
      </c>
      <c r="H1879">
        <f>IF(C1879="","",COUNTIFS($C$2:$C$3001,C1879,$F$2:$F$3001,"&lt;"&amp;F1879)+1)</f>
        <v/>
      </c>
      <c r="I1879">
        <f>IF(C1879="","",C1879&amp;"|"&amp;H1879)</f>
        <v/>
      </c>
      <c r="J1879" s="6">
        <f>IF(C1879="","",IF(H1879=1,SUMIFS('Opening Balance'!$F$4:$F$303,'Opening Balance'!$G$4:$G$303,C1879),INDEX($L$2:$L$3001,MATCH(C1879&amp;"|"&amp;(H1879-1),$I$2:$I$3001,0))))</f>
        <v/>
      </c>
      <c r="K1879" s="6">
        <f>IF(C1879="","",IF(M1879&gt;0,M1879,IF(AND(E1879&gt;0,ROUND(J1879+D1879-E1879,2)&gt;0,ROUND(J1879+D1879-E1879,2)&lt;'Opening Balance'!$B$14),ROUND(J1879+D1879-E1879,2),0)))</f>
        <v/>
      </c>
      <c r="L1879" s="6">
        <f>IF(C1879="","",ROUND(J1879+D1879-E1879-K1879,2))</f>
        <v/>
      </c>
      <c r="M1879" s="6">
        <f>IF(C1879="","",0)</f>
        <v/>
      </c>
    </row>
    <row r="1880">
      <c r="A1880" t="inlineStr">
        <is>
          <t>Bank 银行</t>
        </is>
      </c>
      <c r="B1880" s="5">
        <f>IF(AND('Daily Sale entry '!Z380="Online collection 网上收款",'Daily Sale entry '!AA380&lt;&gt;""),'Daily Sale entry '!X380,"")</f>
        <v/>
      </c>
      <c r="C1880">
        <f>IF(B1880="","",'Daily Sale entry '!AA380)</f>
        <v/>
      </c>
      <c r="D1880">
        <f>IF(C1880="","",0)</f>
        <v/>
      </c>
      <c r="E1880">
        <f>IF(C1880="","",'Daily Sale entry '!AC380)</f>
        <v/>
      </c>
      <c r="F1880" s="37">
        <f>IF(C1880="","",B1880+IF(E1880&gt;0,0,0.5)+ROW()/10000000)</f>
        <v/>
      </c>
      <c r="G1880">
        <f>IF(C1880="","","Collection 收款 (Online 网上)"&amp;IF('Daily Sale entry '!Y380="",""," - "&amp;'Daily Sale entry '!Y380))</f>
        <v/>
      </c>
      <c r="H1880">
        <f>IF(C1880="","",COUNTIFS($C$2:$C$3001,C1880,$F$2:$F$3001,"&lt;"&amp;F1880)+1)</f>
        <v/>
      </c>
      <c r="I1880">
        <f>IF(C1880="","",C1880&amp;"|"&amp;H1880)</f>
        <v/>
      </c>
      <c r="J1880" s="6">
        <f>IF(C1880="","",IF(H1880=1,SUMIFS('Opening Balance'!$F$4:$F$303,'Opening Balance'!$G$4:$G$303,C1880),INDEX($L$2:$L$3001,MATCH(C1880&amp;"|"&amp;(H1880-1),$I$2:$I$3001,0))))</f>
        <v/>
      </c>
      <c r="K1880" s="6">
        <f>IF(C1880="","",IF(M1880&gt;0,M1880,IF(AND(E1880&gt;0,ROUND(J1880+D1880-E1880,2)&gt;0,ROUND(J1880+D1880-E1880,2)&lt;'Opening Balance'!$B$14),ROUND(J1880+D1880-E1880,2),0)))</f>
        <v/>
      </c>
      <c r="L1880" s="6">
        <f>IF(C1880="","",ROUND(J1880+D1880-E1880-K1880,2))</f>
        <v/>
      </c>
      <c r="M1880" s="6">
        <f>IF(C1880="","",0)</f>
        <v/>
      </c>
    </row>
    <row r="1881">
      <c r="A1881" t="inlineStr">
        <is>
          <t>Bank 银行</t>
        </is>
      </c>
      <c r="B1881" s="5">
        <f>IF(AND('Daily Sale entry '!Z381="Online collection 网上收款",'Daily Sale entry '!AA381&lt;&gt;""),'Daily Sale entry '!X381,"")</f>
        <v/>
      </c>
      <c r="C1881">
        <f>IF(B1881="","",'Daily Sale entry '!AA381)</f>
        <v/>
      </c>
      <c r="D1881">
        <f>IF(C1881="","",0)</f>
        <v/>
      </c>
      <c r="E1881">
        <f>IF(C1881="","",'Daily Sale entry '!AC381)</f>
        <v/>
      </c>
      <c r="F1881" s="37">
        <f>IF(C1881="","",B1881+IF(E1881&gt;0,0,0.5)+ROW()/10000000)</f>
        <v/>
      </c>
      <c r="G1881">
        <f>IF(C1881="","","Collection 收款 (Online 网上)"&amp;IF('Daily Sale entry '!Y381="",""," - "&amp;'Daily Sale entry '!Y381))</f>
        <v/>
      </c>
      <c r="H1881">
        <f>IF(C1881="","",COUNTIFS($C$2:$C$3001,C1881,$F$2:$F$3001,"&lt;"&amp;F1881)+1)</f>
        <v/>
      </c>
      <c r="I1881">
        <f>IF(C1881="","",C1881&amp;"|"&amp;H1881)</f>
        <v/>
      </c>
      <c r="J1881" s="6">
        <f>IF(C1881="","",IF(H1881=1,SUMIFS('Opening Balance'!$F$4:$F$303,'Opening Balance'!$G$4:$G$303,C1881),INDEX($L$2:$L$3001,MATCH(C1881&amp;"|"&amp;(H1881-1),$I$2:$I$3001,0))))</f>
        <v/>
      </c>
      <c r="K1881" s="6">
        <f>IF(C1881="","",IF(M1881&gt;0,M1881,IF(AND(E1881&gt;0,ROUND(J1881+D1881-E1881,2)&gt;0,ROUND(J1881+D1881-E1881,2)&lt;'Opening Balance'!$B$14),ROUND(J1881+D1881-E1881,2),0)))</f>
        <v/>
      </c>
      <c r="L1881" s="6">
        <f>IF(C1881="","",ROUND(J1881+D1881-E1881-K1881,2))</f>
        <v/>
      </c>
      <c r="M1881" s="6">
        <f>IF(C1881="","",0)</f>
        <v/>
      </c>
    </row>
    <row r="1882">
      <c r="A1882" t="inlineStr">
        <is>
          <t>Bank 银行</t>
        </is>
      </c>
      <c r="B1882" s="5">
        <f>IF(AND('Daily Sale entry '!Z382="Online collection 网上收款",'Daily Sale entry '!AA382&lt;&gt;""),'Daily Sale entry '!X382,"")</f>
        <v/>
      </c>
      <c r="C1882">
        <f>IF(B1882="","",'Daily Sale entry '!AA382)</f>
        <v/>
      </c>
      <c r="D1882">
        <f>IF(C1882="","",0)</f>
        <v/>
      </c>
      <c r="E1882">
        <f>IF(C1882="","",'Daily Sale entry '!AC382)</f>
        <v/>
      </c>
      <c r="F1882" s="37">
        <f>IF(C1882="","",B1882+IF(E1882&gt;0,0,0.5)+ROW()/10000000)</f>
        <v/>
      </c>
      <c r="G1882">
        <f>IF(C1882="","","Collection 收款 (Online 网上)"&amp;IF('Daily Sale entry '!Y382="",""," - "&amp;'Daily Sale entry '!Y382))</f>
        <v/>
      </c>
      <c r="H1882">
        <f>IF(C1882="","",COUNTIFS($C$2:$C$3001,C1882,$F$2:$F$3001,"&lt;"&amp;F1882)+1)</f>
        <v/>
      </c>
      <c r="I1882">
        <f>IF(C1882="","",C1882&amp;"|"&amp;H1882)</f>
        <v/>
      </c>
      <c r="J1882" s="6">
        <f>IF(C1882="","",IF(H1882=1,SUMIFS('Opening Balance'!$F$4:$F$303,'Opening Balance'!$G$4:$G$303,C1882),INDEX($L$2:$L$3001,MATCH(C1882&amp;"|"&amp;(H1882-1),$I$2:$I$3001,0))))</f>
        <v/>
      </c>
      <c r="K1882" s="6">
        <f>IF(C1882="","",IF(M1882&gt;0,M1882,IF(AND(E1882&gt;0,ROUND(J1882+D1882-E1882,2)&gt;0,ROUND(J1882+D1882-E1882,2)&lt;'Opening Balance'!$B$14),ROUND(J1882+D1882-E1882,2),0)))</f>
        <v/>
      </c>
      <c r="L1882" s="6">
        <f>IF(C1882="","",ROUND(J1882+D1882-E1882-K1882,2))</f>
        <v/>
      </c>
      <c r="M1882" s="6">
        <f>IF(C1882="","",0)</f>
        <v/>
      </c>
    </row>
    <row r="1883">
      <c r="A1883" t="inlineStr">
        <is>
          <t>Bank 银行</t>
        </is>
      </c>
      <c r="B1883" s="5">
        <f>IF(AND('Daily Sale entry '!Z383="Online collection 网上收款",'Daily Sale entry '!AA383&lt;&gt;""),'Daily Sale entry '!X383,"")</f>
        <v/>
      </c>
      <c r="C1883">
        <f>IF(B1883="","",'Daily Sale entry '!AA383)</f>
        <v/>
      </c>
      <c r="D1883">
        <f>IF(C1883="","",0)</f>
        <v/>
      </c>
      <c r="E1883">
        <f>IF(C1883="","",'Daily Sale entry '!AC383)</f>
        <v/>
      </c>
      <c r="F1883" s="37">
        <f>IF(C1883="","",B1883+IF(E1883&gt;0,0,0.5)+ROW()/10000000)</f>
        <v/>
      </c>
      <c r="G1883">
        <f>IF(C1883="","","Collection 收款 (Online 网上)"&amp;IF('Daily Sale entry '!Y383="",""," - "&amp;'Daily Sale entry '!Y383))</f>
        <v/>
      </c>
      <c r="H1883">
        <f>IF(C1883="","",COUNTIFS($C$2:$C$3001,C1883,$F$2:$F$3001,"&lt;"&amp;F1883)+1)</f>
        <v/>
      </c>
      <c r="I1883">
        <f>IF(C1883="","",C1883&amp;"|"&amp;H1883)</f>
        <v/>
      </c>
      <c r="J1883" s="6">
        <f>IF(C1883="","",IF(H1883=1,SUMIFS('Opening Balance'!$F$4:$F$303,'Opening Balance'!$G$4:$G$303,C1883),INDEX($L$2:$L$3001,MATCH(C1883&amp;"|"&amp;(H1883-1),$I$2:$I$3001,0))))</f>
        <v/>
      </c>
      <c r="K1883" s="6">
        <f>IF(C1883="","",IF(M1883&gt;0,M1883,IF(AND(E1883&gt;0,ROUND(J1883+D1883-E1883,2)&gt;0,ROUND(J1883+D1883-E1883,2)&lt;'Opening Balance'!$B$14),ROUND(J1883+D1883-E1883,2),0)))</f>
        <v/>
      </c>
      <c r="L1883" s="6">
        <f>IF(C1883="","",ROUND(J1883+D1883-E1883-K1883,2))</f>
        <v/>
      </c>
      <c r="M1883" s="6">
        <f>IF(C1883="","",0)</f>
        <v/>
      </c>
    </row>
    <row r="1884">
      <c r="A1884" t="inlineStr">
        <is>
          <t>Bank 银行</t>
        </is>
      </c>
      <c r="B1884" s="5">
        <f>IF(AND('Daily Sale entry '!Z384="Online collection 网上收款",'Daily Sale entry '!AA384&lt;&gt;""),'Daily Sale entry '!X384,"")</f>
        <v/>
      </c>
      <c r="C1884">
        <f>IF(B1884="","",'Daily Sale entry '!AA384)</f>
        <v/>
      </c>
      <c r="D1884">
        <f>IF(C1884="","",0)</f>
        <v/>
      </c>
      <c r="E1884">
        <f>IF(C1884="","",'Daily Sale entry '!AC384)</f>
        <v/>
      </c>
      <c r="F1884" s="37">
        <f>IF(C1884="","",B1884+IF(E1884&gt;0,0,0.5)+ROW()/10000000)</f>
        <v/>
      </c>
      <c r="G1884">
        <f>IF(C1884="","","Collection 收款 (Online 网上)"&amp;IF('Daily Sale entry '!Y384="",""," - "&amp;'Daily Sale entry '!Y384))</f>
        <v/>
      </c>
      <c r="H1884">
        <f>IF(C1884="","",COUNTIFS($C$2:$C$3001,C1884,$F$2:$F$3001,"&lt;"&amp;F1884)+1)</f>
        <v/>
      </c>
      <c r="I1884">
        <f>IF(C1884="","",C1884&amp;"|"&amp;H1884)</f>
        <v/>
      </c>
      <c r="J1884" s="6">
        <f>IF(C1884="","",IF(H1884=1,SUMIFS('Opening Balance'!$F$4:$F$303,'Opening Balance'!$G$4:$G$303,C1884),INDEX($L$2:$L$3001,MATCH(C1884&amp;"|"&amp;(H1884-1),$I$2:$I$3001,0))))</f>
        <v/>
      </c>
      <c r="K1884" s="6">
        <f>IF(C1884="","",IF(M1884&gt;0,M1884,IF(AND(E1884&gt;0,ROUND(J1884+D1884-E1884,2)&gt;0,ROUND(J1884+D1884-E1884,2)&lt;'Opening Balance'!$B$14),ROUND(J1884+D1884-E1884,2),0)))</f>
        <v/>
      </c>
      <c r="L1884" s="6">
        <f>IF(C1884="","",ROUND(J1884+D1884-E1884-K1884,2))</f>
        <v/>
      </c>
      <c r="M1884" s="6">
        <f>IF(C1884="","",0)</f>
        <v/>
      </c>
    </row>
    <row r="1885">
      <c r="A1885" t="inlineStr">
        <is>
          <t>Bank 银行</t>
        </is>
      </c>
      <c r="B1885" s="5">
        <f>IF(AND('Daily Sale entry '!Z385="Online collection 网上收款",'Daily Sale entry '!AA385&lt;&gt;""),'Daily Sale entry '!X385,"")</f>
        <v/>
      </c>
      <c r="C1885">
        <f>IF(B1885="","",'Daily Sale entry '!AA385)</f>
        <v/>
      </c>
      <c r="D1885">
        <f>IF(C1885="","",0)</f>
        <v/>
      </c>
      <c r="E1885">
        <f>IF(C1885="","",'Daily Sale entry '!AC385)</f>
        <v/>
      </c>
      <c r="F1885" s="37">
        <f>IF(C1885="","",B1885+IF(E1885&gt;0,0,0.5)+ROW()/10000000)</f>
        <v/>
      </c>
      <c r="G1885">
        <f>IF(C1885="","","Collection 收款 (Online 网上)"&amp;IF('Daily Sale entry '!Y385="",""," - "&amp;'Daily Sale entry '!Y385))</f>
        <v/>
      </c>
      <c r="H1885">
        <f>IF(C1885="","",COUNTIFS($C$2:$C$3001,C1885,$F$2:$F$3001,"&lt;"&amp;F1885)+1)</f>
        <v/>
      </c>
      <c r="I1885">
        <f>IF(C1885="","",C1885&amp;"|"&amp;H1885)</f>
        <v/>
      </c>
      <c r="J1885" s="6">
        <f>IF(C1885="","",IF(H1885=1,SUMIFS('Opening Balance'!$F$4:$F$303,'Opening Balance'!$G$4:$G$303,C1885),INDEX($L$2:$L$3001,MATCH(C1885&amp;"|"&amp;(H1885-1),$I$2:$I$3001,0))))</f>
        <v/>
      </c>
      <c r="K1885" s="6">
        <f>IF(C1885="","",IF(M1885&gt;0,M1885,IF(AND(E1885&gt;0,ROUND(J1885+D1885-E1885,2)&gt;0,ROUND(J1885+D1885-E1885,2)&lt;'Opening Balance'!$B$14),ROUND(J1885+D1885-E1885,2),0)))</f>
        <v/>
      </c>
      <c r="L1885" s="6">
        <f>IF(C1885="","",ROUND(J1885+D1885-E1885-K1885,2))</f>
        <v/>
      </c>
      <c r="M1885" s="6">
        <f>IF(C1885="","",0)</f>
        <v/>
      </c>
    </row>
    <row r="1886">
      <c r="A1886" t="inlineStr">
        <is>
          <t>Bank 银行</t>
        </is>
      </c>
      <c r="B1886" s="5">
        <f>IF(AND('Daily Sale entry '!Z386="Online collection 网上收款",'Daily Sale entry '!AA386&lt;&gt;""),'Daily Sale entry '!X386,"")</f>
        <v/>
      </c>
      <c r="C1886">
        <f>IF(B1886="","",'Daily Sale entry '!AA386)</f>
        <v/>
      </c>
      <c r="D1886">
        <f>IF(C1886="","",0)</f>
        <v/>
      </c>
      <c r="E1886">
        <f>IF(C1886="","",'Daily Sale entry '!AC386)</f>
        <v/>
      </c>
      <c r="F1886" s="37">
        <f>IF(C1886="","",B1886+IF(E1886&gt;0,0,0.5)+ROW()/10000000)</f>
        <v/>
      </c>
      <c r="G1886">
        <f>IF(C1886="","","Collection 收款 (Online 网上)"&amp;IF('Daily Sale entry '!Y386="",""," - "&amp;'Daily Sale entry '!Y386))</f>
        <v/>
      </c>
      <c r="H1886">
        <f>IF(C1886="","",COUNTIFS($C$2:$C$3001,C1886,$F$2:$F$3001,"&lt;"&amp;F1886)+1)</f>
        <v/>
      </c>
      <c r="I1886">
        <f>IF(C1886="","",C1886&amp;"|"&amp;H1886)</f>
        <v/>
      </c>
      <c r="J1886" s="6">
        <f>IF(C1886="","",IF(H1886=1,SUMIFS('Opening Balance'!$F$4:$F$303,'Opening Balance'!$G$4:$G$303,C1886),INDEX($L$2:$L$3001,MATCH(C1886&amp;"|"&amp;(H1886-1),$I$2:$I$3001,0))))</f>
        <v/>
      </c>
      <c r="K1886" s="6">
        <f>IF(C1886="","",IF(M1886&gt;0,M1886,IF(AND(E1886&gt;0,ROUND(J1886+D1886-E1886,2)&gt;0,ROUND(J1886+D1886-E1886,2)&lt;'Opening Balance'!$B$14),ROUND(J1886+D1886-E1886,2),0)))</f>
        <v/>
      </c>
      <c r="L1886" s="6">
        <f>IF(C1886="","",ROUND(J1886+D1886-E1886-K1886,2))</f>
        <v/>
      </c>
      <c r="M1886" s="6">
        <f>IF(C1886="","",0)</f>
        <v/>
      </c>
    </row>
    <row r="1887">
      <c r="A1887" t="inlineStr">
        <is>
          <t>Bank 银行</t>
        </is>
      </c>
      <c r="B1887" s="5">
        <f>IF(AND('Daily Sale entry '!Z387="Online collection 网上收款",'Daily Sale entry '!AA387&lt;&gt;""),'Daily Sale entry '!X387,"")</f>
        <v/>
      </c>
      <c r="C1887">
        <f>IF(B1887="","",'Daily Sale entry '!AA387)</f>
        <v/>
      </c>
      <c r="D1887">
        <f>IF(C1887="","",0)</f>
        <v/>
      </c>
      <c r="E1887">
        <f>IF(C1887="","",'Daily Sale entry '!AC387)</f>
        <v/>
      </c>
      <c r="F1887" s="37">
        <f>IF(C1887="","",B1887+IF(E1887&gt;0,0,0.5)+ROW()/10000000)</f>
        <v/>
      </c>
      <c r="G1887">
        <f>IF(C1887="","","Collection 收款 (Online 网上)"&amp;IF('Daily Sale entry '!Y387="",""," - "&amp;'Daily Sale entry '!Y387))</f>
        <v/>
      </c>
      <c r="H1887">
        <f>IF(C1887="","",COUNTIFS($C$2:$C$3001,C1887,$F$2:$F$3001,"&lt;"&amp;F1887)+1)</f>
        <v/>
      </c>
      <c r="I1887">
        <f>IF(C1887="","",C1887&amp;"|"&amp;H1887)</f>
        <v/>
      </c>
      <c r="J1887" s="6">
        <f>IF(C1887="","",IF(H1887=1,SUMIFS('Opening Balance'!$F$4:$F$303,'Opening Balance'!$G$4:$G$303,C1887),INDEX($L$2:$L$3001,MATCH(C1887&amp;"|"&amp;(H1887-1),$I$2:$I$3001,0))))</f>
        <v/>
      </c>
      <c r="K1887" s="6">
        <f>IF(C1887="","",IF(M1887&gt;0,M1887,IF(AND(E1887&gt;0,ROUND(J1887+D1887-E1887,2)&gt;0,ROUND(J1887+D1887-E1887,2)&lt;'Opening Balance'!$B$14),ROUND(J1887+D1887-E1887,2),0)))</f>
        <v/>
      </c>
      <c r="L1887" s="6">
        <f>IF(C1887="","",ROUND(J1887+D1887-E1887-K1887,2))</f>
        <v/>
      </c>
      <c r="M1887" s="6">
        <f>IF(C1887="","",0)</f>
        <v/>
      </c>
    </row>
    <row r="1888">
      <c r="A1888" t="inlineStr">
        <is>
          <t>Bank 银行</t>
        </is>
      </c>
      <c r="B1888" s="5">
        <f>IF(AND('Daily Sale entry '!Z388="Online collection 网上收款",'Daily Sale entry '!AA388&lt;&gt;""),'Daily Sale entry '!X388,"")</f>
        <v/>
      </c>
      <c r="C1888">
        <f>IF(B1888="","",'Daily Sale entry '!AA388)</f>
        <v/>
      </c>
      <c r="D1888">
        <f>IF(C1888="","",0)</f>
        <v/>
      </c>
      <c r="E1888">
        <f>IF(C1888="","",'Daily Sale entry '!AC388)</f>
        <v/>
      </c>
      <c r="F1888" s="37">
        <f>IF(C1888="","",B1888+IF(E1888&gt;0,0,0.5)+ROW()/10000000)</f>
        <v/>
      </c>
      <c r="G1888">
        <f>IF(C1888="","","Collection 收款 (Online 网上)"&amp;IF('Daily Sale entry '!Y388="",""," - "&amp;'Daily Sale entry '!Y388))</f>
        <v/>
      </c>
      <c r="H1888">
        <f>IF(C1888="","",COUNTIFS($C$2:$C$3001,C1888,$F$2:$F$3001,"&lt;"&amp;F1888)+1)</f>
        <v/>
      </c>
      <c r="I1888">
        <f>IF(C1888="","",C1888&amp;"|"&amp;H1888)</f>
        <v/>
      </c>
      <c r="J1888" s="6">
        <f>IF(C1888="","",IF(H1888=1,SUMIFS('Opening Balance'!$F$4:$F$303,'Opening Balance'!$G$4:$G$303,C1888),INDEX($L$2:$L$3001,MATCH(C1888&amp;"|"&amp;(H1888-1),$I$2:$I$3001,0))))</f>
        <v/>
      </c>
      <c r="K1888" s="6">
        <f>IF(C1888="","",IF(M1888&gt;0,M1888,IF(AND(E1888&gt;0,ROUND(J1888+D1888-E1888,2)&gt;0,ROUND(J1888+D1888-E1888,2)&lt;'Opening Balance'!$B$14),ROUND(J1888+D1888-E1888,2),0)))</f>
        <v/>
      </c>
      <c r="L1888" s="6">
        <f>IF(C1888="","",ROUND(J1888+D1888-E1888-K1888,2))</f>
        <v/>
      </c>
      <c r="M1888" s="6">
        <f>IF(C1888="","",0)</f>
        <v/>
      </c>
    </row>
    <row r="1889">
      <c r="A1889" t="inlineStr">
        <is>
          <t>Bank 银行</t>
        </is>
      </c>
      <c r="B1889" s="5">
        <f>IF(AND('Daily Sale entry '!Z389="Online collection 网上收款",'Daily Sale entry '!AA389&lt;&gt;""),'Daily Sale entry '!X389,"")</f>
        <v/>
      </c>
      <c r="C1889">
        <f>IF(B1889="","",'Daily Sale entry '!AA389)</f>
        <v/>
      </c>
      <c r="D1889">
        <f>IF(C1889="","",0)</f>
        <v/>
      </c>
      <c r="E1889">
        <f>IF(C1889="","",'Daily Sale entry '!AC389)</f>
        <v/>
      </c>
      <c r="F1889" s="37">
        <f>IF(C1889="","",B1889+IF(E1889&gt;0,0,0.5)+ROW()/10000000)</f>
        <v/>
      </c>
      <c r="G1889">
        <f>IF(C1889="","","Collection 收款 (Online 网上)"&amp;IF('Daily Sale entry '!Y389="",""," - "&amp;'Daily Sale entry '!Y389))</f>
        <v/>
      </c>
      <c r="H1889">
        <f>IF(C1889="","",COUNTIFS($C$2:$C$3001,C1889,$F$2:$F$3001,"&lt;"&amp;F1889)+1)</f>
        <v/>
      </c>
      <c r="I1889">
        <f>IF(C1889="","",C1889&amp;"|"&amp;H1889)</f>
        <v/>
      </c>
      <c r="J1889" s="6">
        <f>IF(C1889="","",IF(H1889=1,SUMIFS('Opening Balance'!$F$4:$F$303,'Opening Balance'!$G$4:$G$303,C1889),INDEX($L$2:$L$3001,MATCH(C1889&amp;"|"&amp;(H1889-1),$I$2:$I$3001,0))))</f>
        <v/>
      </c>
      <c r="K1889" s="6">
        <f>IF(C1889="","",IF(M1889&gt;0,M1889,IF(AND(E1889&gt;0,ROUND(J1889+D1889-E1889,2)&gt;0,ROUND(J1889+D1889-E1889,2)&lt;'Opening Balance'!$B$14),ROUND(J1889+D1889-E1889,2),0)))</f>
        <v/>
      </c>
      <c r="L1889" s="6">
        <f>IF(C1889="","",ROUND(J1889+D1889-E1889-K1889,2))</f>
        <v/>
      </c>
      <c r="M1889" s="6">
        <f>IF(C1889="","",0)</f>
        <v/>
      </c>
    </row>
    <row r="1890">
      <c r="A1890" t="inlineStr">
        <is>
          <t>Bank 银行</t>
        </is>
      </c>
      <c r="B1890" s="5">
        <f>IF(AND('Daily Sale entry '!Z390="Online collection 网上收款",'Daily Sale entry '!AA390&lt;&gt;""),'Daily Sale entry '!X390,"")</f>
        <v/>
      </c>
      <c r="C1890">
        <f>IF(B1890="","",'Daily Sale entry '!AA390)</f>
        <v/>
      </c>
      <c r="D1890">
        <f>IF(C1890="","",0)</f>
        <v/>
      </c>
      <c r="E1890">
        <f>IF(C1890="","",'Daily Sale entry '!AC390)</f>
        <v/>
      </c>
      <c r="F1890" s="37">
        <f>IF(C1890="","",B1890+IF(E1890&gt;0,0,0.5)+ROW()/10000000)</f>
        <v/>
      </c>
      <c r="G1890">
        <f>IF(C1890="","","Collection 收款 (Online 网上)"&amp;IF('Daily Sale entry '!Y390="",""," - "&amp;'Daily Sale entry '!Y390))</f>
        <v/>
      </c>
      <c r="H1890">
        <f>IF(C1890="","",COUNTIFS($C$2:$C$3001,C1890,$F$2:$F$3001,"&lt;"&amp;F1890)+1)</f>
        <v/>
      </c>
      <c r="I1890">
        <f>IF(C1890="","",C1890&amp;"|"&amp;H1890)</f>
        <v/>
      </c>
      <c r="J1890" s="6">
        <f>IF(C1890="","",IF(H1890=1,SUMIFS('Opening Balance'!$F$4:$F$303,'Opening Balance'!$G$4:$G$303,C1890),INDEX($L$2:$L$3001,MATCH(C1890&amp;"|"&amp;(H1890-1),$I$2:$I$3001,0))))</f>
        <v/>
      </c>
      <c r="K1890" s="6">
        <f>IF(C1890="","",IF(M1890&gt;0,M1890,IF(AND(E1890&gt;0,ROUND(J1890+D1890-E1890,2)&gt;0,ROUND(J1890+D1890-E1890,2)&lt;'Opening Balance'!$B$14),ROUND(J1890+D1890-E1890,2),0)))</f>
        <v/>
      </c>
      <c r="L1890" s="6">
        <f>IF(C1890="","",ROUND(J1890+D1890-E1890-K1890,2))</f>
        <v/>
      </c>
      <c r="M1890" s="6">
        <f>IF(C1890="","",0)</f>
        <v/>
      </c>
    </row>
    <row r="1891">
      <c r="A1891" t="inlineStr">
        <is>
          <t>Bank 银行</t>
        </is>
      </c>
      <c r="B1891" s="5">
        <f>IF(AND('Daily Sale entry '!Z391="Online collection 网上收款",'Daily Sale entry '!AA391&lt;&gt;""),'Daily Sale entry '!X391,"")</f>
        <v/>
      </c>
      <c r="C1891">
        <f>IF(B1891="","",'Daily Sale entry '!AA391)</f>
        <v/>
      </c>
      <c r="D1891">
        <f>IF(C1891="","",0)</f>
        <v/>
      </c>
      <c r="E1891">
        <f>IF(C1891="","",'Daily Sale entry '!AC391)</f>
        <v/>
      </c>
      <c r="F1891" s="37">
        <f>IF(C1891="","",B1891+IF(E1891&gt;0,0,0.5)+ROW()/10000000)</f>
        <v/>
      </c>
      <c r="G1891">
        <f>IF(C1891="","","Collection 收款 (Online 网上)"&amp;IF('Daily Sale entry '!Y391="",""," - "&amp;'Daily Sale entry '!Y391))</f>
        <v/>
      </c>
      <c r="H1891">
        <f>IF(C1891="","",COUNTIFS($C$2:$C$3001,C1891,$F$2:$F$3001,"&lt;"&amp;F1891)+1)</f>
        <v/>
      </c>
      <c r="I1891">
        <f>IF(C1891="","",C1891&amp;"|"&amp;H1891)</f>
        <v/>
      </c>
      <c r="J1891" s="6">
        <f>IF(C1891="","",IF(H1891=1,SUMIFS('Opening Balance'!$F$4:$F$303,'Opening Balance'!$G$4:$G$303,C1891),INDEX($L$2:$L$3001,MATCH(C1891&amp;"|"&amp;(H1891-1),$I$2:$I$3001,0))))</f>
        <v/>
      </c>
      <c r="K1891" s="6">
        <f>IF(C1891="","",IF(M1891&gt;0,M1891,IF(AND(E1891&gt;0,ROUND(J1891+D1891-E1891,2)&gt;0,ROUND(J1891+D1891-E1891,2)&lt;'Opening Balance'!$B$14),ROUND(J1891+D1891-E1891,2),0)))</f>
        <v/>
      </c>
      <c r="L1891" s="6">
        <f>IF(C1891="","",ROUND(J1891+D1891-E1891-K1891,2))</f>
        <v/>
      </c>
      <c r="M1891" s="6">
        <f>IF(C1891="","",0)</f>
        <v/>
      </c>
    </row>
    <row r="1892">
      <c r="A1892" t="inlineStr">
        <is>
          <t>Bank 银行</t>
        </is>
      </c>
      <c r="B1892" s="5">
        <f>IF(AND('Daily Sale entry '!Z392="Online collection 网上收款",'Daily Sale entry '!AA392&lt;&gt;""),'Daily Sale entry '!X392,"")</f>
        <v/>
      </c>
      <c r="C1892">
        <f>IF(B1892="","",'Daily Sale entry '!AA392)</f>
        <v/>
      </c>
      <c r="D1892">
        <f>IF(C1892="","",0)</f>
        <v/>
      </c>
      <c r="E1892">
        <f>IF(C1892="","",'Daily Sale entry '!AC392)</f>
        <v/>
      </c>
      <c r="F1892" s="37">
        <f>IF(C1892="","",B1892+IF(E1892&gt;0,0,0.5)+ROW()/10000000)</f>
        <v/>
      </c>
      <c r="G1892">
        <f>IF(C1892="","","Collection 收款 (Online 网上)"&amp;IF('Daily Sale entry '!Y392="",""," - "&amp;'Daily Sale entry '!Y392))</f>
        <v/>
      </c>
      <c r="H1892">
        <f>IF(C1892="","",COUNTIFS($C$2:$C$3001,C1892,$F$2:$F$3001,"&lt;"&amp;F1892)+1)</f>
        <v/>
      </c>
      <c r="I1892">
        <f>IF(C1892="","",C1892&amp;"|"&amp;H1892)</f>
        <v/>
      </c>
      <c r="J1892" s="6">
        <f>IF(C1892="","",IF(H1892=1,SUMIFS('Opening Balance'!$F$4:$F$303,'Opening Balance'!$G$4:$G$303,C1892),INDEX($L$2:$L$3001,MATCH(C1892&amp;"|"&amp;(H1892-1),$I$2:$I$3001,0))))</f>
        <v/>
      </c>
      <c r="K1892" s="6">
        <f>IF(C1892="","",IF(M1892&gt;0,M1892,IF(AND(E1892&gt;0,ROUND(J1892+D1892-E1892,2)&gt;0,ROUND(J1892+D1892-E1892,2)&lt;'Opening Balance'!$B$14),ROUND(J1892+D1892-E1892,2),0)))</f>
        <v/>
      </c>
      <c r="L1892" s="6">
        <f>IF(C1892="","",ROUND(J1892+D1892-E1892-K1892,2))</f>
        <v/>
      </c>
      <c r="M1892" s="6">
        <f>IF(C1892="","",0)</f>
        <v/>
      </c>
    </row>
    <row r="1893">
      <c r="A1893" t="inlineStr">
        <is>
          <t>Bank 银行</t>
        </is>
      </c>
      <c r="B1893" s="5">
        <f>IF(AND('Daily Sale entry '!Z393="Online collection 网上收款",'Daily Sale entry '!AA393&lt;&gt;""),'Daily Sale entry '!X393,"")</f>
        <v/>
      </c>
      <c r="C1893">
        <f>IF(B1893="","",'Daily Sale entry '!AA393)</f>
        <v/>
      </c>
      <c r="D1893">
        <f>IF(C1893="","",0)</f>
        <v/>
      </c>
      <c r="E1893">
        <f>IF(C1893="","",'Daily Sale entry '!AC393)</f>
        <v/>
      </c>
      <c r="F1893" s="37">
        <f>IF(C1893="","",B1893+IF(E1893&gt;0,0,0.5)+ROW()/10000000)</f>
        <v/>
      </c>
      <c r="G1893">
        <f>IF(C1893="","","Collection 收款 (Online 网上)"&amp;IF('Daily Sale entry '!Y393="",""," - "&amp;'Daily Sale entry '!Y393))</f>
        <v/>
      </c>
      <c r="H1893">
        <f>IF(C1893="","",COUNTIFS($C$2:$C$3001,C1893,$F$2:$F$3001,"&lt;"&amp;F1893)+1)</f>
        <v/>
      </c>
      <c r="I1893">
        <f>IF(C1893="","",C1893&amp;"|"&amp;H1893)</f>
        <v/>
      </c>
      <c r="J1893" s="6">
        <f>IF(C1893="","",IF(H1893=1,SUMIFS('Opening Balance'!$F$4:$F$303,'Opening Balance'!$G$4:$G$303,C1893),INDEX($L$2:$L$3001,MATCH(C1893&amp;"|"&amp;(H1893-1),$I$2:$I$3001,0))))</f>
        <v/>
      </c>
      <c r="K1893" s="6">
        <f>IF(C1893="","",IF(M1893&gt;0,M1893,IF(AND(E1893&gt;0,ROUND(J1893+D1893-E1893,2)&gt;0,ROUND(J1893+D1893-E1893,2)&lt;'Opening Balance'!$B$14),ROUND(J1893+D1893-E1893,2),0)))</f>
        <v/>
      </c>
      <c r="L1893" s="6">
        <f>IF(C1893="","",ROUND(J1893+D1893-E1893-K1893,2))</f>
        <v/>
      </c>
      <c r="M1893" s="6">
        <f>IF(C1893="","",0)</f>
        <v/>
      </c>
    </row>
    <row r="1894">
      <c r="A1894" t="inlineStr">
        <is>
          <t>Bank 银行</t>
        </is>
      </c>
      <c r="B1894" s="5">
        <f>IF(AND('Daily Sale entry '!Z394="Online collection 网上收款",'Daily Sale entry '!AA394&lt;&gt;""),'Daily Sale entry '!X394,"")</f>
        <v/>
      </c>
      <c r="C1894">
        <f>IF(B1894="","",'Daily Sale entry '!AA394)</f>
        <v/>
      </c>
      <c r="D1894">
        <f>IF(C1894="","",0)</f>
        <v/>
      </c>
      <c r="E1894">
        <f>IF(C1894="","",'Daily Sale entry '!AC394)</f>
        <v/>
      </c>
      <c r="F1894" s="37">
        <f>IF(C1894="","",B1894+IF(E1894&gt;0,0,0.5)+ROW()/10000000)</f>
        <v/>
      </c>
      <c r="G1894">
        <f>IF(C1894="","","Collection 收款 (Online 网上)"&amp;IF('Daily Sale entry '!Y394="",""," - "&amp;'Daily Sale entry '!Y394))</f>
        <v/>
      </c>
      <c r="H1894">
        <f>IF(C1894="","",COUNTIFS($C$2:$C$3001,C1894,$F$2:$F$3001,"&lt;"&amp;F1894)+1)</f>
        <v/>
      </c>
      <c r="I1894">
        <f>IF(C1894="","",C1894&amp;"|"&amp;H1894)</f>
        <v/>
      </c>
      <c r="J1894" s="6">
        <f>IF(C1894="","",IF(H1894=1,SUMIFS('Opening Balance'!$F$4:$F$303,'Opening Balance'!$G$4:$G$303,C1894),INDEX($L$2:$L$3001,MATCH(C1894&amp;"|"&amp;(H1894-1),$I$2:$I$3001,0))))</f>
        <v/>
      </c>
      <c r="K1894" s="6">
        <f>IF(C1894="","",IF(M1894&gt;0,M1894,IF(AND(E1894&gt;0,ROUND(J1894+D1894-E1894,2)&gt;0,ROUND(J1894+D1894-E1894,2)&lt;'Opening Balance'!$B$14),ROUND(J1894+D1894-E1894,2),0)))</f>
        <v/>
      </c>
      <c r="L1894" s="6">
        <f>IF(C1894="","",ROUND(J1894+D1894-E1894-K1894,2))</f>
        <v/>
      </c>
      <c r="M1894" s="6">
        <f>IF(C1894="","",0)</f>
        <v/>
      </c>
    </row>
    <row r="1895">
      <c r="A1895" t="inlineStr">
        <is>
          <t>Bank 银行</t>
        </is>
      </c>
      <c r="B1895" s="5">
        <f>IF(AND('Daily Sale entry '!Z395="Online collection 网上收款",'Daily Sale entry '!AA395&lt;&gt;""),'Daily Sale entry '!X395,"")</f>
        <v/>
      </c>
      <c r="C1895">
        <f>IF(B1895="","",'Daily Sale entry '!AA395)</f>
        <v/>
      </c>
      <c r="D1895">
        <f>IF(C1895="","",0)</f>
        <v/>
      </c>
      <c r="E1895">
        <f>IF(C1895="","",'Daily Sale entry '!AC395)</f>
        <v/>
      </c>
      <c r="F1895" s="37">
        <f>IF(C1895="","",B1895+IF(E1895&gt;0,0,0.5)+ROW()/10000000)</f>
        <v/>
      </c>
      <c r="G1895">
        <f>IF(C1895="","","Collection 收款 (Online 网上)"&amp;IF('Daily Sale entry '!Y395="",""," - "&amp;'Daily Sale entry '!Y395))</f>
        <v/>
      </c>
      <c r="H1895">
        <f>IF(C1895="","",COUNTIFS($C$2:$C$3001,C1895,$F$2:$F$3001,"&lt;"&amp;F1895)+1)</f>
        <v/>
      </c>
      <c r="I1895">
        <f>IF(C1895="","",C1895&amp;"|"&amp;H1895)</f>
        <v/>
      </c>
      <c r="J1895" s="6">
        <f>IF(C1895="","",IF(H1895=1,SUMIFS('Opening Balance'!$F$4:$F$303,'Opening Balance'!$G$4:$G$303,C1895),INDEX($L$2:$L$3001,MATCH(C1895&amp;"|"&amp;(H1895-1),$I$2:$I$3001,0))))</f>
        <v/>
      </c>
      <c r="K1895" s="6">
        <f>IF(C1895="","",IF(M1895&gt;0,M1895,IF(AND(E1895&gt;0,ROUND(J1895+D1895-E1895,2)&gt;0,ROUND(J1895+D1895-E1895,2)&lt;'Opening Balance'!$B$14),ROUND(J1895+D1895-E1895,2),0)))</f>
        <v/>
      </c>
      <c r="L1895" s="6">
        <f>IF(C1895="","",ROUND(J1895+D1895-E1895-K1895,2))</f>
        <v/>
      </c>
      <c r="M1895" s="6">
        <f>IF(C1895="","",0)</f>
        <v/>
      </c>
    </row>
    <row r="1896">
      <c r="A1896" t="inlineStr">
        <is>
          <t>Bank 银行</t>
        </is>
      </c>
      <c r="B1896" s="5">
        <f>IF(AND('Daily Sale entry '!Z396="Online collection 网上收款",'Daily Sale entry '!AA396&lt;&gt;""),'Daily Sale entry '!X396,"")</f>
        <v/>
      </c>
      <c r="C1896">
        <f>IF(B1896="","",'Daily Sale entry '!AA396)</f>
        <v/>
      </c>
      <c r="D1896">
        <f>IF(C1896="","",0)</f>
        <v/>
      </c>
      <c r="E1896">
        <f>IF(C1896="","",'Daily Sale entry '!AC396)</f>
        <v/>
      </c>
      <c r="F1896" s="37">
        <f>IF(C1896="","",B1896+IF(E1896&gt;0,0,0.5)+ROW()/10000000)</f>
        <v/>
      </c>
      <c r="G1896">
        <f>IF(C1896="","","Collection 收款 (Online 网上)"&amp;IF('Daily Sale entry '!Y396="",""," - "&amp;'Daily Sale entry '!Y396))</f>
        <v/>
      </c>
      <c r="H1896">
        <f>IF(C1896="","",COUNTIFS($C$2:$C$3001,C1896,$F$2:$F$3001,"&lt;"&amp;F1896)+1)</f>
        <v/>
      </c>
      <c r="I1896">
        <f>IF(C1896="","",C1896&amp;"|"&amp;H1896)</f>
        <v/>
      </c>
      <c r="J1896" s="6">
        <f>IF(C1896="","",IF(H1896=1,SUMIFS('Opening Balance'!$F$4:$F$303,'Opening Balance'!$G$4:$G$303,C1896),INDEX($L$2:$L$3001,MATCH(C1896&amp;"|"&amp;(H1896-1),$I$2:$I$3001,0))))</f>
        <v/>
      </c>
      <c r="K1896" s="6">
        <f>IF(C1896="","",IF(M1896&gt;0,M1896,IF(AND(E1896&gt;0,ROUND(J1896+D1896-E1896,2)&gt;0,ROUND(J1896+D1896-E1896,2)&lt;'Opening Balance'!$B$14),ROUND(J1896+D1896-E1896,2),0)))</f>
        <v/>
      </c>
      <c r="L1896" s="6">
        <f>IF(C1896="","",ROUND(J1896+D1896-E1896-K1896,2))</f>
        <v/>
      </c>
      <c r="M1896" s="6">
        <f>IF(C1896="","",0)</f>
        <v/>
      </c>
    </row>
    <row r="1897">
      <c r="A1897" t="inlineStr">
        <is>
          <t>Bank 银行</t>
        </is>
      </c>
      <c r="B1897" s="5">
        <f>IF(AND('Daily Sale entry '!Z397="Online collection 网上收款",'Daily Sale entry '!AA397&lt;&gt;""),'Daily Sale entry '!X397,"")</f>
        <v/>
      </c>
      <c r="C1897">
        <f>IF(B1897="","",'Daily Sale entry '!AA397)</f>
        <v/>
      </c>
      <c r="D1897">
        <f>IF(C1897="","",0)</f>
        <v/>
      </c>
      <c r="E1897">
        <f>IF(C1897="","",'Daily Sale entry '!AC397)</f>
        <v/>
      </c>
      <c r="F1897" s="37">
        <f>IF(C1897="","",B1897+IF(E1897&gt;0,0,0.5)+ROW()/10000000)</f>
        <v/>
      </c>
      <c r="G1897">
        <f>IF(C1897="","","Collection 收款 (Online 网上)"&amp;IF('Daily Sale entry '!Y397="",""," - "&amp;'Daily Sale entry '!Y397))</f>
        <v/>
      </c>
      <c r="H1897">
        <f>IF(C1897="","",COUNTIFS($C$2:$C$3001,C1897,$F$2:$F$3001,"&lt;"&amp;F1897)+1)</f>
        <v/>
      </c>
      <c r="I1897">
        <f>IF(C1897="","",C1897&amp;"|"&amp;H1897)</f>
        <v/>
      </c>
      <c r="J1897" s="6">
        <f>IF(C1897="","",IF(H1897=1,SUMIFS('Opening Balance'!$F$4:$F$303,'Opening Balance'!$G$4:$G$303,C1897),INDEX($L$2:$L$3001,MATCH(C1897&amp;"|"&amp;(H1897-1),$I$2:$I$3001,0))))</f>
        <v/>
      </c>
      <c r="K1897" s="6">
        <f>IF(C1897="","",IF(M1897&gt;0,M1897,IF(AND(E1897&gt;0,ROUND(J1897+D1897-E1897,2)&gt;0,ROUND(J1897+D1897-E1897,2)&lt;'Opening Balance'!$B$14),ROUND(J1897+D1897-E1897,2),0)))</f>
        <v/>
      </c>
      <c r="L1897" s="6">
        <f>IF(C1897="","",ROUND(J1897+D1897-E1897-K1897,2))</f>
        <v/>
      </c>
      <c r="M1897" s="6">
        <f>IF(C1897="","",0)</f>
        <v/>
      </c>
    </row>
    <row r="1898">
      <c r="A1898" t="inlineStr">
        <is>
          <t>Bank 银行</t>
        </is>
      </c>
      <c r="B1898" s="5">
        <f>IF(AND('Daily Sale entry '!Z398="Online collection 网上收款",'Daily Sale entry '!AA398&lt;&gt;""),'Daily Sale entry '!X398,"")</f>
        <v/>
      </c>
      <c r="C1898">
        <f>IF(B1898="","",'Daily Sale entry '!AA398)</f>
        <v/>
      </c>
      <c r="D1898">
        <f>IF(C1898="","",0)</f>
        <v/>
      </c>
      <c r="E1898">
        <f>IF(C1898="","",'Daily Sale entry '!AC398)</f>
        <v/>
      </c>
      <c r="F1898" s="37">
        <f>IF(C1898="","",B1898+IF(E1898&gt;0,0,0.5)+ROW()/10000000)</f>
        <v/>
      </c>
      <c r="G1898">
        <f>IF(C1898="","","Collection 收款 (Online 网上)"&amp;IF('Daily Sale entry '!Y398="",""," - "&amp;'Daily Sale entry '!Y398))</f>
        <v/>
      </c>
      <c r="H1898">
        <f>IF(C1898="","",COUNTIFS($C$2:$C$3001,C1898,$F$2:$F$3001,"&lt;"&amp;F1898)+1)</f>
        <v/>
      </c>
      <c r="I1898">
        <f>IF(C1898="","",C1898&amp;"|"&amp;H1898)</f>
        <v/>
      </c>
      <c r="J1898" s="6">
        <f>IF(C1898="","",IF(H1898=1,SUMIFS('Opening Balance'!$F$4:$F$303,'Opening Balance'!$G$4:$G$303,C1898),INDEX($L$2:$L$3001,MATCH(C1898&amp;"|"&amp;(H1898-1),$I$2:$I$3001,0))))</f>
        <v/>
      </c>
      <c r="K1898" s="6">
        <f>IF(C1898="","",IF(M1898&gt;0,M1898,IF(AND(E1898&gt;0,ROUND(J1898+D1898-E1898,2)&gt;0,ROUND(J1898+D1898-E1898,2)&lt;'Opening Balance'!$B$14),ROUND(J1898+D1898-E1898,2),0)))</f>
        <v/>
      </c>
      <c r="L1898" s="6">
        <f>IF(C1898="","",ROUND(J1898+D1898-E1898-K1898,2))</f>
        <v/>
      </c>
      <c r="M1898" s="6">
        <f>IF(C1898="","",0)</f>
        <v/>
      </c>
    </row>
    <row r="1899">
      <c r="A1899" t="inlineStr">
        <is>
          <t>Bank 银行</t>
        </is>
      </c>
      <c r="B1899" s="5">
        <f>IF(AND('Daily Sale entry '!Z399="Online collection 网上收款",'Daily Sale entry '!AA399&lt;&gt;""),'Daily Sale entry '!X399,"")</f>
        <v/>
      </c>
      <c r="C1899">
        <f>IF(B1899="","",'Daily Sale entry '!AA399)</f>
        <v/>
      </c>
      <c r="D1899">
        <f>IF(C1899="","",0)</f>
        <v/>
      </c>
      <c r="E1899">
        <f>IF(C1899="","",'Daily Sale entry '!AC399)</f>
        <v/>
      </c>
      <c r="F1899" s="37">
        <f>IF(C1899="","",B1899+IF(E1899&gt;0,0,0.5)+ROW()/10000000)</f>
        <v/>
      </c>
      <c r="G1899">
        <f>IF(C1899="","","Collection 收款 (Online 网上)"&amp;IF('Daily Sale entry '!Y399="",""," - "&amp;'Daily Sale entry '!Y399))</f>
        <v/>
      </c>
      <c r="H1899">
        <f>IF(C1899="","",COUNTIFS($C$2:$C$3001,C1899,$F$2:$F$3001,"&lt;"&amp;F1899)+1)</f>
        <v/>
      </c>
      <c r="I1899">
        <f>IF(C1899="","",C1899&amp;"|"&amp;H1899)</f>
        <v/>
      </c>
      <c r="J1899" s="6">
        <f>IF(C1899="","",IF(H1899=1,SUMIFS('Opening Balance'!$F$4:$F$303,'Opening Balance'!$G$4:$G$303,C1899),INDEX($L$2:$L$3001,MATCH(C1899&amp;"|"&amp;(H1899-1),$I$2:$I$3001,0))))</f>
        <v/>
      </c>
      <c r="K1899" s="6">
        <f>IF(C1899="","",IF(M1899&gt;0,M1899,IF(AND(E1899&gt;0,ROUND(J1899+D1899-E1899,2)&gt;0,ROUND(J1899+D1899-E1899,2)&lt;'Opening Balance'!$B$14),ROUND(J1899+D1899-E1899,2),0)))</f>
        <v/>
      </c>
      <c r="L1899" s="6">
        <f>IF(C1899="","",ROUND(J1899+D1899-E1899-K1899,2))</f>
        <v/>
      </c>
      <c r="M1899" s="6">
        <f>IF(C1899="","",0)</f>
        <v/>
      </c>
    </row>
    <row r="1900">
      <c r="A1900" t="inlineStr">
        <is>
          <t>Bank 银行</t>
        </is>
      </c>
      <c r="B1900" s="5">
        <f>IF(AND('Daily Sale entry '!Z400="Online collection 网上收款",'Daily Sale entry '!AA400&lt;&gt;""),'Daily Sale entry '!X400,"")</f>
        <v/>
      </c>
      <c r="C1900">
        <f>IF(B1900="","",'Daily Sale entry '!AA400)</f>
        <v/>
      </c>
      <c r="D1900">
        <f>IF(C1900="","",0)</f>
        <v/>
      </c>
      <c r="E1900">
        <f>IF(C1900="","",'Daily Sale entry '!AC400)</f>
        <v/>
      </c>
      <c r="F1900" s="37">
        <f>IF(C1900="","",B1900+IF(E1900&gt;0,0,0.5)+ROW()/10000000)</f>
        <v/>
      </c>
      <c r="G1900">
        <f>IF(C1900="","","Collection 收款 (Online 网上)"&amp;IF('Daily Sale entry '!Y400="",""," - "&amp;'Daily Sale entry '!Y400))</f>
        <v/>
      </c>
      <c r="H1900">
        <f>IF(C1900="","",COUNTIFS($C$2:$C$3001,C1900,$F$2:$F$3001,"&lt;"&amp;F1900)+1)</f>
        <v/>
      </c>
      <c r="I1900">
        <f>IF(C1900="","",C1900&amp;"|"&amp;H1900)</f>
        <v/>
      </c>
      <c r="J1900" s="6">
        <f>IF(C1900="","",IF(H1900=1,SUMIFS('Opening Balance'!$F$4:$F$303,'Opening Balance'!$G$4:$G$303,C1900),INDEX($L$2:$L$3001,MATCH(C1900&amp;"|"&amp;(H1900-1),$I$2:$I$3001,0))))</f>
        <v/>
      </c>
      <c r="K1900" s="6">
        <f>IF(C1900="","",IF(M1900&gt;0,M1900,IF(AND(E1900&gt;0,ROUND(J1900+D1900-E1900,2)&gt;0,ROUND(J1900+D1900-E1900,2)&lt;'Opening Balance'!$B$14),ROUND(J1900+D1900-E1900,2),0)))</f>
        <v/>
      </c>
      <c r="L1900" s="6">
        <f>IF(C1900="","",ROUND(J1900+D1900-E1900-K1900,2))</f>
        <v/>
      </c>
      <c r="M1900" s="6">
        <f>IF(C1900="","",0)</f>
        <v/>
      </c>
    </row>
    <row r="1901">
      <c r="A1901" t="inlineStr">
        <is>
          <t>Bank 银行</t>
        </is>
      </c>
      <c r="B1901" s="5">
        <f>IF(AND('Daily Sale entry '!Z401="Online collection 网上收款",'Daily Sale entry '!AA401&lt;&gt;""),'Daily Sale entry '!X401,"")</f>
        <v/>
      </c>
      <c r="C1901">
        <f>IF(B1901="","",'Daily Sale entry '!AA401)</f>
        <v/>
      </c>
      <c r="D1901">
        <f>IF(C1901="","",0)</f>
        <v/>
      </c>
      <c r="E1901">
        <f>IF(C1901="","",'Daily Sale entry '!AC401)</f>
        <v/>
      </c>
      <c r="F1901" s="37">
        <f>IF(C1901="","",B1901+IF(E1901&gt;0,0,0.5)+ROW()/10000000)</f>
        <v/>
      </c>
      <c r="G1901">
        <f>IF(C1901="","","Collection 收款 (Online 网上)"&amp;IF('Daily Sale entry '!Y401="",""," - "&amp;'Daily Sale entry '!Y401))</f>
        <v/>
      </c>
      <c r="H1901">
        <f>IF(C1901="","",COUNTIFS($C$2:$C$3001,C1901,$F$2:$F$3001,"&lt;"&amp;F1901)+1)</f>
        <v/>
      </c>
      <c r="I1901">
        <f>IF(C1901="","",C1901&amp;"|"&amp;H1901)</f>
        <v/>
      </c>
      <c r="J1901" s="6">
        <f>IF(C1901="","",IF(H1901=1,SUMIFS('Opening Balance'!$F$4:$F$303,'Opening Balance'!$G$4:$G$303,C1901),INDEX($L$2:$L$3001,MATCH(C1901&amp;"|"&amp;(H1901-1),$I$2:$I$3001,0))))</f>
        <v/>
      </c>
      <c r="K1901" s="6">
        <f>IF(C1901="","",IF(M1901&gt;0,M1901,IF(AND(E1901&gt;0,ROUND(J1901+D1901-E1901,2)&gt;0,ROUND(J1901+D1901-E1901,2)&lt;'Opening Balance'!$B$14),ROUND(J1901+D1901-E1901,2),0)))</f>
        <v/>
      </c>
      <c r="L1901" s="6">
        <f>IF(C1901="","",ROUND(J1901+D1901-E1901-K1901,2))</f>
        <v/>
      </c>
      <c r="M1901" s="6">
        <f>IF(C1901="","",0)</f>
        <v/>
      </c>
    </row>
    <row r="1902">
      <c r="A1902" t="inlineStr">
        <is>
          <t>Bank 银行</t>
        </is>
      </c>
      <c r="B1902" s="5">
        <f>IF(AND('Daily Sale entry '!Z402="Online collection 网上收款",'Daily Sale entry '!AA402&lt;&gt;""),'Daily Sale entry '!X402,"")</f>
        <v/>
      </c>
      <c r="C1902">
        <f>IF(B1902="","",'Daily Sale entry '!AA402)</f>
        <v/>
      </c>
      <c r="D1902">
        <f>IF(C1902="","",0)</f>
        <v/>
      </c>
      <c r="E1902">
        <f>IF(C1902="","",'Daily Sale entry '!AC402)</f>
        <v/>
      </c>
      <c r="F1902" s="37">
        <f>IF(C1902="","",B1902+IF(E1902&gt;0,0,0.5)+ROW()/10000000)</f>
        <v/>
      </c>
      <c r="G1902">
        <f>IF(C1902="","","Collection 收款 (Online 网上)"&amp;IF('Daily Sale entry '!Y402="",""," - "&amp;'Daily Sale entry '!Y402))</f>
        <v/>
      </c>
      <c r="H1902">
        <f>IF(C1902="","",COUNTIFS($C$2:$C$3001,C1902,$F$2:$F$3001,"&lt;"&amp;F1902)+1)</f>
        <v/>
      </c>
      <c r="I1902">
        <f>IF(C1902="","",C1902&amp;"|"&amp;H1902)</f>
        <v/>
      </c>
      <c r="J1902" s="6">
        <f>IF(C1902="","",IF(H1902=1,SUMIFS('Opening Balance'!$F$4:$F$303,'Opening Balance'!$G$4:$G$303,C1902),INDEX($L$2:$L$3001,MATCH(C1902&amp;"|"&amp;(H1902-1),$I$2:$I$3001,0))))</f>
        <v/>
      </c>
      <c r="K1902" s="6">
        <f>IF(C1902="","",IF(M1902&gt;0,M1902,IF(AND(E1902&gt;0,ROUND(J1902+D1902-E1902,2)&gt;0,ROUND(J1902+D1902-E1902,2)&lt;'Opening Balance'!$B$14),ROUND(J1902+D1902-E1902,2),0)))</f>
        <v/>
      </c>
      <c r="L1902" s="6">
        <f>IF(C1902="","",ROUND(J1902+D1902-E1902-K1902,2))</f>
        <v/>
      </c>
      <c r="M1902" s="6">
        <f>IF(C1902="","",0)</f>
        <v/>
      </c>
    </row>
    <row r="1903">
      <c r="A1903" t="inlineStr">
        <is>
          <t>Bank 银行</t>
        </is>
      </c>
      <c r="B1903" s="5">
        <f>IF(AND('Daily Sale entry '!Z403="Online collection 网上收款",'Daily Sale entry '!AA403&lt;&gt;""),'Daily Sale entry '!X403,"")</f>
        <v/>
      </c>
      <c r="C1903">
        <f>IF(B1903="","",'Daily Sale entry '!AA403)</f>
        <v/>
      </c>
      <c r="D1903">
        <f>IF(C1903="","",0)</f>
        <v/>
      </c>
      <c r="E1903">
        <f>IF(C1903="","",'Daily Sale entry '!AC403)</f>
        <v/>
      </c>
      <c r="F1903" s="37">
        <f>IF(C1903="","",B1903+IF(E1903&gt;0,0,0.5)+ROW()/10000000)</f>
        <v/>
      </c>
      <c r="G1903">
        <f>IF(C1903="","","Collection 收款 (Online 网上)"&amp;IF('Daily Sale entry '!Y403="",""," - "&amp;'Daily Sale entry '!Y403))</f>
        <v/>
      </c>
      <c r="H1903">
        <f>IF(C1903="","",COUNTIFS($C$2:$C$3001,C1903,$F$2:$F$3001,"&lt;"&amp;F1903)+1)</f>
        <v/>
      </c>
      <c r="I1903">
        <f>IF(C1903="","",C1903&amp;"|"&amp;H1903)</f>
        <v/>
      </c>
      <c r="J1903" s="6">
        <f>IF(C1903="","",IF(H1903=1,SUMIFS('Opening Balance'!$F$4:$F$303,'Opening Balance'!$G$4:$G$303,C1903),INDEX($L$2:$L$3001,MATCH(C1903&amp;"|"&amp;(H1903-1),$I$2:$I$3001,0))))</f>
        <v/>
      </c>
      <c r="K1903" s="6">
        <f>IF(C1903="","",IF(M1903&gt;0,M1903,IF(AND(E1903&gt;0,ROUND(J1903+D1903-E1903,2)&gt;0,ROUND(J1903+D1903-E1903,2)&lt;'Opening Balance'!$B$14),ROUND(J1903+D1903-E1903,2),0)))</f>
        <v/>
      </c>
      <c r="L1903" s="6">
        <f>IF(C1903="","",ROUND(J1903+D1903-E1903-K1903,2))</f>
        <v/>
      </c>
      <c r="M1903" s="6">
        <f>IF(C1903="","",0)</f>
        <v/>
      </c>
    </row>
    <row r="1904">
      <c r="A1904" t="inlineStr">
        <is>
          <t>Bank 银行</t>
        </is>
      </c>
      <c r="B1904" s="5">
        <f>IF(AND('Daily Sale entry '!Z404="Online collection 网上收款",'Daily Sale entry '!AA404&lt;&gt;""),'Daily Sale entry '!X404,"")</f>
        <v/>
      </c>
      <c r="C1904">
        <f>IF(B1904="","",'Daily Sale entry '!AA404)</f>
        <v/>
      </c>
      <c r="D1904">
        <f>IF(C1904="","",0)</f>
        <v/>
      </c>
      <c r="E1904">
        <f>IF(C1904="","",'Daily Sale entry '!AC404)</f>
        <v/>
      </c>
      <c r="F1904" s="37">
        <f>IF(C1904="","",B1904+IF(E1904&gt;0,0,0.5)+ROW()/10000000)</f>
        <v/>
      </c>
      <c r="G1904">
        <f>IF(C1904="","","Collection 收款 (Online 网上)"&amp;IF('Daily Sale entry '!Y404="",""," - "&amp;'Daily Sale entry '!Y404))</f>
        <v/>
      </c>
      <c r="H1904">
        <f>IF(C1904="","",COUNTIFS($C$2:$C$3001,C1904,$F$2:$F$3001,"&lt;"&amp;F1904)+1)</f>
        <v/>
      </c>
      <c r="I1904">
        <f>IF(C1904="","",C1904&amp;"|"&amp;H1904)</f>
        <v/>
      </c>
      <c r="J1904" s="6">
        <f>IF(C1904="","",IF(H1904=1,SUMIFS('Opening Balance'!$F$4:$F$303,'Opening Balance'!$G$4:$G$303,C1904),INDEX($L$2:$L$3001,MATCH(C1904&amp;"|"&amp;(H1904-1),$I$2:$I$3001,0))))</f>
        <v/>
      </c>
      <c r="K1904" s="6">
        <f>IF(C1904="","",IF(M1904&gt;0,M1904,IF(AND(E1904&gt;0,ROUND(J1904+D1904-E1904,2)&gt;0,ROUND(J1904+D1904-E1904,2)&lt;'Opening Balance'!$B$14),ROUND(J1904+D1904-E1904,2),0)))</f>
        <v/>
      </c>
      <c r="L1904" s="6">
        <f>IF(C1904="","",ROUND(J1904+D1904-E1904-K1904,2))</f>
        <v/>
      </c>
      <c r="M1904" s="6">
        <f>IF(C1904="","",0)</f>
        <v/>
      </c>
    </row>
    <row r="1905">
      <c r="A1905" t="inlineStr">
        <is>
          <t>Bank 银行</t>
        </is>
      </c>
      <c r="B1905" s="5">
        <f>IF(AND('Daily Sale entry '!Z405="Online collection 网上收款",'Daily Sale entry '!AA405&lt;&gt;""),'Daily Sale entry '!X405,"")</f>
        <v/>
      </c>
      <c r="C1905">
        <f>IF(B1905="","",'Daily Sale entry '!AA405)</f>
        <v/>
      </c>
      <c r="D1905">
        <f>IF(C1905="","",0)</f>
        <v/>
      </c>
      <c r="E1905">
        <f>IF(C1905="","",'Daily Sale entry '!AC405)</f>
        <v/>
      </c>
      <c r="F1905" s="37">
        <f>IF(C1905="","",B1905+IF(E1905&gt;0,0,0.5)+ROW()/10000000)</f>
        <v/>
      </c>
      <c r="G1905">
        <f>IF(C1905="","","Collection 收款 (Online 网上)"&amp;IF('Daily Sale entry '!Y405="",""," - "&amp;'Daily Sale entry '!Y405))</f>
        <v/>
      </c>
      <c r="H1905">
        <f>IF(C1905="","",COUNTIFS($C$2:$C$3001,C1905,$F$2:$F$3001,"&lt;"&amp;F1905)+1)</f>
        <v/>
      </c>
      <c r="I1905">
        <f>IF(C1905="","",C1905&amp;"|"&amp;H1905)</f>
        <v/>
      </c>
      <c r="J1905" s="6">
        <f>IF(C1905="","",IF(H1905=1,SUMIFS('Opening Balance'!$F$4:$F$303,'Opening Balance'!$G$4:$G$303,C1905),INDEX($L$2:$L$3001,MATCH(C1905&amp;"|"&amp;(H1905-1),$I$2:$I$3001,0))))</f>
        <v/>
      </c>
      <c r="K1905" s="6">
        <f>IF(C1905="","",IF(M1905&gt;0,M1905,IF(AND(E1905&gt;0,ROUND(J1905+D1905-E1905,2)&gt;0,ROUND(J1905+D1905-E1905,2)&lt;'Opening Balance'!$B$14),ROUND(J1905+D1905-E1905,2),0)))</f>
        <v/>
      </c>
      <c r="L1905" s="6">
        <f>IF(C1905="","",ROUND(J1905+D1905-E1905-K1905,2))</f>
        <v/>
      </c>
      <c r="M1905" s="6">
        <f>IF(C1905="","",0)</f>
        <v/>
      </c>
    </row>
    <row r="1906">
      <c r="A1906" t="inlineStr">
        <is>
          <t>Bank 银行</t>
        </is>
      </c>
      <c r="B1906" s="5">
        <f>IF(AND('Daily Sale entry '!Z406="Online collection 网上收款",'Daily Sale entry '!AA406&lt;&gt;""),'Daily Sale entry '!X406,"")</f>
        <v/>
      </c>
      <c r="C1906">
        <f>IF(B1906="","",'Daily Sale entry '!AA406)</f>
        <v/>
      </c>
      <c r="D1906">
        <f>IF(C1906="","",0)</f>
        <v/>
      </c>
      <c r="E1906">
        <f>IF(C1906="","",'Daily Sale entry '!AC406)</f>
        <v/>
      </c>
      <c r="F1906" s="37">
        <f>IF(C1906="","",B1906+IF(E1906&gt;0,0,0.5)+ROW()/10000000)</f>
        <v/>
      </c>
      <c r="G1906">
        <f>IF(C1906="","","Collection 收款 (Online 网上)"&amp;IF('Daily Sale entry '!Y406="",""," - "&amp;'Daily Sale entry '!Y406))</f>
        <v/>
      </c>
      <c r="H1906">
        <f>IF(C1906="","",COUNTIFS($C$2:$C$3001,C1906,$F$2:$F$3001,"&lt;"&amp;F1906)+1)</f>
        <v/>
      </c>
      <c r="I1906">
        <f>IF(C1906="","",C1906&amp;"|"&amp;H1906)</f>
        <v/>
      </c>
      <c r="J1906" s="6">
        <f>IF(C1906="","",IF(H1906=1,SUMIFS('Opening Balance'!$F$4:$F$303,'Opening Balance'!$G$4:$G$303,C1906),INDEX($L$2:$L$3001,MATCH(C1906&amp;"|"&amp;(H1906-1),$I$2:$I$3001,0))))</f>
        <v/>
      </c>
      <c r="K1906" s="6">
        <f>IF(C1906="","",IF(M1906&gt;0,M1906,IF(AND(E1906&gt;0,ROUND(J1906+D1906-E1906,2)&gt;0,ROUND(J1906+D1906-E1906,2)&lt;'Opening Balance'!$B$14),ROUND(J1906+D1906-E1906,2),0)))</f>
        <v/>
      </c>
      <c r="L1906" s="6">
        <f>IF(C1906="","",ROUND(J1906+D1906-E1906-K1906,2))</f>
        <v/>
      </c>
      <c r="M1906" s="6">
        <f>IF(C1906="","",0)</f>
        <v/>
      </c>
    </row>
    <row r="1907">
      <c r="A1907" t="inlineStr">
        <is>
          <t>Bank 银行</t>
        </is>
      </c>
      <c r="B1907" s="5">
        <f>IF(AND('Daily Sale entry '!Z407="Online collection 网上收款",'Daily Sale entry '!AA407&lt;&gt;""),'Daily Sale entry '!X407,"")</f>
        <v/>
      </c>
      <c r="C1907">
        <f>IF(B1907="","",'Daily Sale entry '!AA407)</f>
        <v/>
      </c>
      <c r="D1907">
        <f>IF(C1907="","",0)</f>
        <v/>
      </c>
      <c r="E1907">
        <f>IF(C1907="","",'Daily Sale entry '!AC407)</f>
        <v/>
      </c>
      <c r="F1907" s="37">
        <f>IF(C1907="","",B1907+IF(E1907&gt;0,0,0.5)+ROW()/10000000)</f>
        <v/>
      </c>
      <c r="G1907">
        <f>IF(C1907="","","Collection 收款 (Online 网上)"&amp;IF('Daily Sale entry '!Y407="",""," - "&amp;'Daily Sale entry '!Y407))</f>
        <v/>
      </c>
      <c r="H1907">
        <f>IF(C1907="","",COUNTIFS($C$2:$C$3001,C1907,$F$2:$F$3001,"&lt;"&amp;F1907)+1)</f>
        <v/>
      </c>
      <c r="I1907">
        <f>IF(C1907="","",C1907&amp;"|"&amp;H1907)</f>
        <v/>
      </c>
      <c r="J1907" s="6">
        <f>IF(C1907="","",IF(H1907=1,SUMIFS('Opening Balance'!$F$4:$F$303,'Opening Balance'!$G$4:$G$303,C1907),INDEX($L$2:$L$3001,MATCH(C1907&amp;"|"&amp;(H1907-1),$I$2:$I$3001,0))))</f>
        <v/>
      </c>
      <c r="K1907" s="6">
        <f>IF(C1907="","",IF(M1907&gt;0,M1907,IF(AND(E1907&gt;0,ROUND(J1907+D1907-E1907,2)&gt;0,ROUND(J1907+D1907-E1907,2)&lt;'Opening Balance'!$B$14),ROUND(J1907+D1907-E1907,2),0)))</f>
        <v/>
      </c>
      <c r="L1907" s="6">
        <f>IF(C1907="","",ROUND(J1907+D1907-E1907-K1907,2))</f>
        <v/>
      </c>
      <c r="M1907" s="6">
        <f>IF(C1907="","",0)</f>
        <v/>
      </c>
    </row>
    <row r="1908">
      <c r="A1908" t="inlineStr">
        <is>
          <t>Bank 银行</t>
        </is>
      </c>
      <c r="B1908" s="5">
        <f>IF(AND('Daily Sale entry '!Z408="Online collection 网上收款",'Daily Sale entry '!AA408&lt;&gt;""),'Daily Sale entry '!X408,"")</f>
        <v/>
      </c>
      <c r="C1908">
        <f>IF(B1908="","",'Daily Sale entry '!AA408)</f>
        <v/>
      </c>
      <c r="D1908">
        <f>IF(C1908="","",0)</f>
        <v/>
      </c>
      <c r="E1908">
        <f>IF(C1908="","",'Daily Sale entry '!AC408)</f>
        <v/>
      </c>
      <c r="F1908" s="37">
        <f>IF(C1908="","",B1908+IF(E1908&gt;0,0,0.5)+ROW()/10000000)</f>
        <v/>
      </c>
      <c r="G1908">
        <f>IF(C1908="","","Collection 收款 (Online 网上)"&amp;IF('Daily Sale entry '!Y408="",""," - "&amp;'Daily Sale entry '!Y408))</f>
        <v/>
      </c>
      <c r="H1908">
        <f>IF(C1908="","",COUNTIFS($C$2:$C$3001,C1908,$F$2:$F$3001,"&lt;"&amp;F1908)+1)</f>
        <v/>
      </c>
      <c r="I1908">
        <f>IF(C1908="","",C1908&amp;"|"&amp;H1908)</f>
        <v/>
      </c>
      <c r="J1908" s="6">
        <f>IF(C1908="","",IF(H1908=1,SUMIFS('Opening Balance'!$F$4:$F$303,'Opening Balance'!$G$4:$G$303,C1908),INDEX($L$2:$L$3001,MATCH(C1908&amp;"|"&amp;(H1908-1),$I$2:$I$3001,0))))</f>
        <v/>
      </c>
      <c r="K1908" s="6">
        <f>IF(C1908="","",IF(M1908&gt;0,M1908,IF(AND(E1908&gt;0,ROUND(J1908+D1908-E1908,2)&gt;0,ROUND(J1908+D1908-E1908,2)&lt;'Opening Balance'!$B$14),ROUND(J1908+D1908-E1908,2),0)))</f>
        <v/>
      </c>
      <c r="L1908" s="6">
        <f>IF(C1908="","",ROUND(J1908+D1908-E1908-K1908,2))</f>
        <v/>
      </c>
      <c r="M1908" s="6">
        <f>IF(C1908="","",0)</f>
        <v/>
      </c>
    </row>
    <row r="1909">
      <c r="A1909" t="inlineStr">
        <is>
          <t>Bank 银行</t>
        </is>
      </c>
      <c r="B1909" s="5">
        <f>IF(AND('Daily Sale entry '!Z409="Online collection 网上收款",'Daily Sale entry '!AA409&lt;&gt;""),'Daily Sale entry '!X409,"")</f>
        <v/>
      </c>
      <c r="C1909">
        <f>IF(B1909="","",'Daily Sale entry '!AA409)</f>
        <v/>
      </c>
      <c r="D1909">
        <f>IF(C1909="","",0)</f>
        <v/>
      </c>
      <c r="E1909">
        <f>IF(C1909="","",'Daily Sale entry '!AC409)</f>
        <v/>
      </c>
      <c r="F1909" s="37">
        <f>IF(C1909="","",B1909+IF(E1909&gt;0,0,0.5)+ROW()/10000000)</f>
        <v/>
      </c>
      <c r="G1909">
        <f>IF(C1909="","","Collection 收款 (Online 网上)"&amp;IF('Daily Sale entry '!Y409="",""," - "&amp;'Daily Sale entry '!Y409))</f>
        <v/>
      </c>
      <c r="H1909">
        <f>IF(C1909="","",COUNTIFS($C$2:$C$3001,C1909,$F$2:$F$3001,"&lt;"&amp;F1909)+1)</f>
        <v/>
      </c>
      <c r="I1909">
        <f>IF(C1909="","",C1909&amp;"|"&amp;H1909)</f>
        <v/>
      </c>
      <c r="J1909" s="6">
        <f>IF(C1909="","",IF(H1909=1,SUMIFS('Opening Balance'!$F$4:$F$303,'Opening Balance'!$G$4:$G$303,C1909),INDEX($L$2:$L$3001,MATCH(C1909&amp;"|"&amp;(H1909-1),$I$2:$I$3001,0))))</f>
        <v/>
      </c>
      <c r="K1909" s="6">
        <f>IF(C1909="","",IF(M1909&gt;0,M1909,IF(AND(E1909&gt;0,ROUND(J1909+D1909-E1909,2)&gt;0,ROUND(J1909+D1909-E1909,2)&lt;'Opening Balance'!$B$14),ROUND(J1909+D1909-E1909,2),0)))</f>
        <v/>
      </c>
      <c r="L1909" s="6">
        <f>IF(C1909="","",ROUND(J1909+D1909-E1909-K1909,2))</f>
        <v/>
      </c>
      <c r="M1909" s="6">
        <f>IF(C1909="","",0)</f>
        <v/>
      </c>
    </row>
    <row r="1910">
      <c r="A1910" t="inlineStr">
        <is>
          <t>Bank 银行</t>
        </is>
      </c>
      <c r="B1910" s="5">
        <f>IF(AND('Daily Sale entry '!Z410="Online collection 网上收款",'Daily Sale entry '!AA410&lt;&gt;""),'Daily Sale entry '!X410,"")</f>
        <v/>
      </c>
      <c r="C1910">
        <f>IF(B1910="","",'Daily Sale entry '!AA410)</f>
        <v/>
      </c>
      <c r="D1910">
        <f>IF(C1910="","",0)</f>
        <v/>
      </c>
      <c r="E1910">
        <f>IF(C1910="","",'Daily Sale entry '!AC410)</f>
        <v/>
      </c>
      <c r="F1910" s="37">
        <f>IF(C1910="","",B1910+IF(E1910&gt;0,0,0.5)+ROW()/10000000)</f>
        <v/>
      </c>
      <c r="G1910">
        <f>IF(C1910="","","Collection 收款 (Online 网上)"&amp;IF('Daily Sale entry '!Y410="",""," - "&amp;'Daily Sale entry '!Y410))</f>
        <v/>
      </c>
      <c r="H1910">
        <f>IF(C1910="","",COUNTIFS($C$2:$C$3001,C1910,$F$2:$F$3001,"&lt;"&amp;F1910)+1)</f>
        <v/>
      </c>
      <c r="I1910">
        <f>IF(C1910="","",C1910&amp;"|"&amp;H1910)</f>
        <v/>
      </c>
      <c r="J1910" s="6">
        <f>IF(C1910="","",IF(H1910=1,SUMIFS('Opening Balance'!$F$4:$F$303,'Opening Balance'!$G$4:$G$303,C1910),INDEX($L$2:$L$3001,MATCH(C1910&amp;"|"&amp;(H1910-1),$I$2:$I$3001,0))))</f>
        <v/>
      </c>
      <c r="K1910" s="6">
        <f>IF(C1910="","",IF(M1910&gt;0,M1910,IF(AND(E1910&gt;0,ROUND(J1910+D1910-E1910,2)&gt;0,ROUND(J1910+D1910-E1910,2)&lt;'Opening Balance'!$B$14),ROUND(J1910+D1910-E1910,2),0)))</f>
        <v/>
      </c>
      <c r="L1910" s="6">
        <f>IF(C1910="","",ROUND(J1910+D1910-E1910-K1910,2))</f>
        <v/>
      </c>
      <c r="M1910" s="6">
        <f>IF(C1910="","",0)</f>
        <v/>
      </c>
    </row>
    <row r="1911">
      <c r="A1911" t="inlineStr">
        <is>
          <t>Bank 银行</t>
        </is>
      </c>
      <c r="B1911" s="5">
        <f>IF(AND('Daily Sale entry '!Z411="Online collection 网上收款",'Daily Sale entry '!AA411&lt;&gt;""),'Daily Sale entry '!X411,"")</f>
        <v/>
      </c>
      <c r="C1911">
        <f>IF(B1911="","",'Daily Sale entry '!AA411)</f>
        <v/>
      </c>
      <c r="D1911">
        <f>IF(C1911="","",0)</f>
        <v/>
      </c>
      <c r="E1911">
        <f>IF(C1911="","",'Daily Sale entry '!AC411)</f>
        <v/>
      </c>
      <c r="F1911" s="37">
        <f>IF(C1911="","",B1911+IF(E1911&gt;0,0,0.5)+ROW()/10000000)</f>
        <v/>
      </c>
      <c r="G1911">
        <f>IF(C1911="","","Collection 收款 (Online 网上)"&amp;IF('Daily Sale entry '!Y411="",""," - "&amp;'Daily Sale entry '!Y411))</f>
        <v/>
      </c>
      <c r="H1911">
        <f>IF(C1911="","",COUNTIFS($C$2:$C$3001,C1911,$F$2:$F$3001,"&lt;"&amp;F1911)+1)</f>
        <v/>
      </c>
      <c r="I1911">
        <f>IF(C1911="","",C1911&amp;"|"&amp;H1911)</f>
        <v/>
      </c>
      <c r="J1911" s="6">
        <f>IF(C1911="","",IF(H1911=1,SUMIFS('Opening Balance'!$F$4:$F$303,'Opening Balance'!$G$4:$G$303,C1911),INDEX($L$2:$L$3001,MATCH(C1911&amp;"|"&amp;(H1911-1),$I$2:$I$3001,0))))</f>
        <v/>
      </c>
      <c r="K1911" s="6">
        <f>IF(C1911="","",IF(M1911&gt;0,M1911,IF(AND(E1911&gt;0,ROUND(J1911+D1911-E1911,2)&gt;0,ROUND(J1911+D1911-E1911,2)&lt;'Opening Balance'!$B$14),ROUND(J1911+D1911-E1911,2),0)))</f>
        <v/>
      </c>
      <c r="L1911" s="6">
        <f>IF(C1911="","",ROUND(J1911+D1911-E1911-K1911,2))</f>
        <v/>
      </c>
      <c r="M1911" s="6">
        <f>IF(C1911="","",0)</f>
        <v/>
      </c>
    </row>
    <row r="1912">
      <c r="A1912" t="inlineStr">
        <is>
          <t>Bank 银行</t>
        </is>
      </c>
      <c r="B1912" s="5">
        <f>IF(AND('Daily Sale entry '!Z412="Online collection 网上收款",'Daily Sale entry '!AA412&lt;&gt;""),'Daily Sale entry '!X412,"")</f>
        <v/>
      </c>
      <c r="C1912">
        <f>IF(B1912="","",'Daily Sale entry '!AA412)</f>
        <v/>
      </c>
      <c r="D1912">
        <f>IF(C1912="","",0)</f>
        <v/>
      </c>
      <c r="E1912">
        <f>IF(C1912="","",'Daily Sale entry '!AC412)</f>
        <v/>
      </c>
      <c r="F1912" s="37">
        <f>IF(C1912="","",B1912+IF(E1912&gt;0,0,0.5)+ROW()/10000000)</f>
        <v/>
      </c>
      <c r="G1912">
        <f>IF(C1912="","","Collection 收款 (Online 网上)"&amp;IF('Daily Sale entry '!Y412="",""," - "&amp;'Daily Sale entry '!Y412))</f>
        <v/>
      </c>
      <c r="H1912">
        <f>IF(C1912="","",COUNTIFS($C$2:$C$3001,C1912,$F$2:$F$3001,"&lt;"&amp;F1912)+1)</f>
        <v/>
      </c>
      <c r="I1912">
        <f>IF(C1912="","",C1912&amp;"|"&amp;H1912)</f>
        <v/>
      </c>
      <c r="J1912" s="6">
        <f>IF(C1912="","",IF(H1912=1,SUMIFS('Opening Balance'!$F$4:$F$303,'Opening Balance'!$G$4:$G$303,C1912),INDEX($L$2:$L$3001,MATCH(C1912&amp;"|"&amp;(H1912-1),$I$2:$I$3001,0))))</f>
        <v/>
      </c>
      <c r="K1912" s="6">
        <f>IF(C1912="","",IF(M1912&gt;0,M1912,IF(AND(E1912&gt;0,ROUND(J1912+D1912-E1912,2)&gt;0,ROUND(J1912+D1912-E1912,2)&lt;'Opening Balance'!$B$14),ROUND(J1912+D1912-E1912,2),0)))</f>
        <v/>
      </c>
      <c r="L1912" s="6">
        <f>IF(C1912="","",ROUND(J1912+D1912-E1912-K1912,2))</f>
        <v/>
      </c>
      <c r="M1912" s="6">
        <f>IF(C1912="","",0)</f>
        <v/>
      </c>
    </row>
    <row r="1913">
      <c r="A1913" t="inlineStr">
        <is>
          <t>Bank 银行</t>
        </is>
      </c>
      <c r="B1913" s="5">
        <f>IF(AND('Daily Sale entry '!Z413="Online collection 网上收款",'Daily Sale entry '!AA413&lt;&gt;""),'Daily Sale entry '!X413,"")</f>
        <v/>
      </c>
      <c r="C1913">
        <f>IF(B1913="","",'Daily Sale entry '!AA413)</f>
        <v/>
      </c>
      <c r="D1913">
        <f>IF(C1913="","",0)</f>
        <v/>
      </c>
      <c r="E1913">
        <f>IF(C1913="","",'Daily Sale entry '!AC413)</f>
        <v/>
      </c>
      <c r="F1913" s="37">
        <f>IF(C1913="","",B1913+IF(E1913&gt;0,0,0.5)+ROW()/10000000)</f>
        <v/>
      </c>
      <c r="G1913">
        <f>IF(C1913="","","Collection 收款 (Online 网上)"&amp;IF('Daily Sale entry '!Y413="",""," - "&amp;'Daily Sale entry '!Y413))</f>
        <v/>
      </c>
      <c r="H1913">
        <f>IF(C1913="","",COUNTIFS($C$2:$C$3001,C1913,$F$2:$F$3001,"&lt;"&amp;F1913)+1)</f>
        <v/>
      </c>
      <c r="I1913">
        <f>IF(C1913="","",C1913&amp;"|"&amp;H1913)</f>
        <v/>
      </c>
      <c r="J1913" s="6">
        <f>IF(C1913="","",IF(H1913=1,SUMIFS('Opening Balance'!$F$4:$F$303,'Opening Balance'!$G$4:$G$303,C1913),INDEX($L$2:$L$3001,MATCH(C1913&amp;"|"&amp;(H1913-1),$I$2:$I$3001,0))))</f>
        <v/>
      </c>
      <c r="K1913" s="6">
        <f>IF(C1913="","",IF(M1913&gt;0,M1913,IF(AND(E1913&gt;0,ROUND(J1913+D1913-E1913,2)&gt;0,ROUND(J1913+D1913-E1913,2)&lt;'Opening Balance'!$B$14),ROUND(J1913+D1913-E1913,2),0)))</f>
        <v/>
      </c>
      <c r="L1913" s="6">
        <f>IF(C1913="","",ROUND(J1913+D1913-E1913-K1913,2))</f>
        <v/>
      </c>
      <c r="M1913" s="6">
        <f>IF(C1913="","",0)</f>
        <v/>
      </c>
    </row>
    <row r="1914">
      <c r="A1914" t="inlineStr">
        <is>
          <t>Bank 银行</t>
        </is>
      </c>
      <c r="B1914" s="5">
        <f>IF(AND('Daily Sale entry '!Z414="Online collection 网上收款",'Daily Sale entry '!AA414&lt;&gt;""),'Daily Sale entry '!X414,"")</f>
        <v/>
      </c>
      <c r="C1914">
        <f>IF(B1914="","",'Daily Sale entry '!AA414)</f>
        <v/>
      </c>
      <c r="D1914">
        <f>IF(C1914="","",0)</f>
        <v/>
      </c>
      <c r="E1914">
        <f>IF(C1914="","",'Daily Sale entry '!AC414)</f>
        <v/>
      </c>
      <c r="F1914" s="37">
        <f>IF(C1914="","",B1914+IF(E1914&gt;0,0,0.5)+ROW()/10000000)</f>
        <v/>
      </c>
      <c r="G1914">
        <f>IF(C1914="","","Collection 收款 (Online 网上)"&amp;IF('Daily Sale entry '!Y414="",""," - "&amp;'Daily Sale entry '!Y414))</f>
        <v/>
      </c>
      <c r="H1914">
        <f>IF(C1914="","",COUNTIFS($C$2:$C$3001,C1914,$F$2:$F$3001,"&lt;"&amp;F1914)+1)</f>
        <v/>
      </c>
      <c r="I1914">
        <f>IF(C1914="","",C1914&amp;"|"&amp;H1914)</f>
        <v/>
      </c>
      <c r="J1914" s="6">
        <f>IF(C1914="","",IF(H1914=1,SUMIFS('Opening Balance'!$F$4:$F$303,'Opening Balance'!$G$4:$G$303,C1914),INDEX($L$2:$L$3001,MATCH(C1914&amp;"|"&amp;(H1914-1),$I$2:$I$3001,0))))</f>
        <v/>
      </c>
      <c r="K1914" s="6">
        <f>IF(C1914="","",IF(M1914&gt;0,M1914,IF(AND(E1914&gt;0,ROUND(J1914+D1914-E1914,2)&gt;0,ROUND(J1914+D1914-E1914,2)&lt;'Opening Balance'!$B$14),ROUND(J1914+D1914-E1914,2),0)))</f>
        <v/>
      </c>
      <c r="L1914" s="6">
        <f>IF(C1914="","",ROUND(J1914+D1914-E1914-K1914,2))</f>
        <v/>
      </c>
      <c r="M1914" s="6">
        <f>IF(C1914="","",0)</f>
        <v/>
      </c>
    </row>
    <row r="1915">
      <c r="A1915" t="inlineStr">
        <is>
          <t>Bank 银行</t>
        </is>
      </c>
      <c r="B1915" s="5">
        <f>IF(AND('Daily Sale entry '!Z415="Online collection 网上收款",'Daily Sale entry '!AA415&lt;&gt;""),'Daily Sale entry '!X415,"")</f>
        <v/>
      </c>
      <c r="C1915">
        <f>IF(B1915="","",'Daily Sale entry '!AA415)</f>
        <v/>
      </c>
      <c r="D1915">
        <f>IF(C1915="","",0)</f>
        <v/>
      </c>
      <c r="E1915">
        <f>IF(C1915="","",'Daily Sale entry '!AC415)</f>
        <v/>
      </c>
      <c r="F1915" s="37">
        <f>IF(C1915="","",B1915+IF(E1915&gt;0,0,0.5)+ROW()/10000000)</f>
        <v/>
      </c>
      <c r="G1915">
        <f>IF(C1915="","","Collection 收款 (Online 网上)"&amp;IF('Daily Sale entry '!Y415="",""," - "&amp;'Daily Sale entry '!Y415))</f>
        <v/>
      </c>
      <c r="H1915">
        <f>IF(C1915="","",COUNTIFS($C$2:$C$3001,C1915,$F$2:$F$3001,"&lt;"&amp;F1915)+1)</f>
        <v/>
      </c>
      <c r="I1915">
        <f>IF(C1915="","",C1915&amp;"|"&amp;H1915)</f>
        <v/>
      </c>
      <c r="J1915" s="6">
        <f>IF(C1915="","",IF(H1915=1,SUMIFS('Opening Balance'!$F$4:$F$303,'Opening Balance'!$G$4:$G$303,C1915),INDEX($L$2:$L$3001,MATCH(C1915&amp;"|"&amp;(H1915-1),$I$2:$I$3001,0))))</f>
        <v/>
      </c>
      <c r="K1915" s="6">
        <f>IF(C1915="","",IF(M1915&gt;0,M1915,IF(AND(E1915&gt;0,ROUND(J1915+D1915-E1915,2)&gt;0,ROUND(J1915+D1915-E1915,2)&lt;'Opening Balance'!$B$14),ROUND(J1915+D1915-E1915,2),0)))</f>
        <v/>
      </c>
      <c r="L1915" s="6">
        <f>IF(C1915="","",ROUND(J1915+D1915-E1915-K1915,2))</f>
        <v/>
      </c>
      <c r="M1915" s="6">
        <f>IF(C1915="","",0)</f>
        <v/>
      </c>
    </row>
    <row r="1916">
      <c r="A1916" t="inlineStr">
        <is>
          <t>Bank 银行</t>
        </is>
      </c>
      <c r="B1916" s="5">
        <f>IF(AND('Daily Sale entry '!Z416="Online collection 网上收款",'Daily Sale entry '!AA416&lt;&gt;""),'Daily Sale entry '!X416,"")</f>
        <v/>
      </c>
      <c r="C1916">
        <f>IF(B1916="","",'Daily Sale entry '!AA416)</f>
        <v/>
      </c>
      <c r="D1916">
        <f>IF(C1916="","",0)</f>
        <v/>
      </c>
      <c r="E1916">
        <f>IF(C1916="","",'Daily Sale entry '!AC416)</f>
        <v/>
      </c>
      <c r="F1916" s="37">
        <f>IF(C1916="","",B1916+IF(E1916&gt;0,0,0.5)+ROW()/10000000)</f>
        <v/>
      </c>
      <c r="G1916">
        <f>IF(C1916="","","Collection 收款 (Online 网上)"&amp;IF('Daily Sale entry '!Y416="",""," - "&amp;'Daily Sale entry '!Y416))</f>
        <v/>
      </c>
      <c r="H1916">
        <f>IF(C1916="","",COUNTIFS($C$2:$C$3001,C1916,$F$2:$F$3001,"&lt;"&amp;F1916)+1)</f>
        <v/>
      </c>
      <c r="I1916">
        <f>IF(C1916="","",C1916&amp;"|"&amp;H1916)</f>
        <v/>
      </c>
      <c r="J1916" s="6">
        <f>IF(C1916="","",IF(H1916=1,SUMIFS('Opening Balance'!$F$4:$F$303,'Opening Balance'!$G$4:$G$303,C1916),INDEX($L$2:$L$3001,MATCH(C1916&amp;"|"&amp;(H1916-1),$I$2:$I$3001,0))))</f>
        <v/>
      </c>
      <c r="K1916" s="6">
        <f>IF(C1916="","",IF(M1916&gt;0,M1916,IF(AND(E1916&gt;0,ROUND(J1916+D1916-E1916,2)&gt;0,ROUND(J1916+D1916-E1916,2)&lt;'Opening Balance'!$B$14),ROUND(J1916+D1916-E1916,2),0)))</f>
        <v/>
      </c>
      <c r="L1916" s="6">
        <f>IF(C1916="","",ROUND(J1916+D1916-E1916-K1916,2))</f>
        <v/>
      </c>
      <c r="M1916" s="6">
        <f>IF(C1916="","",0)</f>
        <v/>
      </c>
    </row>
    <row r="1917">
      <c r="A1917" t="inlineStr">
        <is>
          <t>Bank 银行</t>
        </is>
      </c>
      <c r="B1917" s="5">
        <f>IF(AND('Daily Sale entry '!Z417="Online collection 网上收款",'Daily Sale entry '!AA417&lt;&gt;""),'Daily Sale entry '!X417,"")</f>
        <v/>
      </c>
      <c r="C1917">
        <f>IF(B1917="","",'Daily Sale entry '!AA417)</f>
        <v/>
      </c>
      <c r="D1917">
        <f>IF(C1917="","",0)</f>
        <v/>
      </c>
      <c r="E1917">
        <f>IF(C1917="","",'Daily Sale entry '!AC417)</f>
        <v/>
      </c>
      <c r="F1917" s="37">
        <f>IF(C1917="","",B1917+IF(E1917&gt;0,0,0.5)+ROW()/10000000)</f>
        <v/>
      </c>
      <c r="G1917">
        <f>IF(C1917="","","Collection 收款 (Online 网上)"&amp;IF('Daily Sale entry '!Y417="",""," - "&amp;'Daily Sale entry '!Y417))</f>
        <v/>
      </c>
      <c r="H1917">
        <f>IF(C1917="","",COUNTIFS($C$2:$C$3001,C1917,$F$2:$F$3001,"&lt;"&amp;F1917)+1)</f>
        <v/>
      </c>
      <c r="I1917">
        <f>IF(C1917="","",C1917&amp;"|"&amp;H1917)</f>
        <v/>
      </c>
      <c r="J1917" s="6">
        <f>IF(C1917="","",IF(H1917=1,SUMIFS('Opening Balance'!$F$4:$F$303,'Opening Balance'!$G$4:$G$303,C1917),INDEX($L$2:$L$3001,MATCH(C1917&amp;"|"&amp;(H1917-1),$I$2:$I$3001,0))))</f>
        <v/>
      </c>
      <c r="K1917" s="6">
        <f>IF(C1917="","",IF(M1917&gt;0,M1917,IF(AND(E1917&gt;0,ROUND(J1917+D1917-E1917,2)&gt;0,ROUND(J1917+D1917-E1917,2)&lt;'Opening Balance'!$B$14),ROUND(J1917+D1917-E1917,2),0)))</f>
        <v/>
      </c>
      <c r="L1917" s="6">
        <f>IF(C1917="","",ROUND(J1917+D1917-E1917-K1917,2))</f>
        <v/>
      </c>
      <c r="M1917" s="6">
        <f>IF(C1917="","",0)</f>
        <v/>
      </c>
    </row>
    <row r="1918">
      <c r="A1918" t="inlineStr">
        <is>
          <t>Bank 银行</t>
        </is>
      </c>
      <c r="B1918" s="5">
        <f>IF(AND('Daily Sale entry '!Z418="Online collection 网上收款",'Daily Sale entry '!AA418&lt;&gt;""),'Daily Sale entry '!X418,"")</f>
        <v/>
      </c>
      <c r="C1918">
        <f>IF(B1918="","",'Daily Sale entry '!AA418)</f>
        <v/>
      </c>
      <c r="D1918">
        <f>IF(C1918="","",0)</f>
        <v/>
      </c>
      <c r="E1918">
        <f>IF(C1918="","",'Daily Sale entry '!AC418)</f>
        <v/>
      </c>
      <c r="F1918" s="37">
        <f>IF(C1918="","",B1918+IF(E1918&gt;0,0,0.5)+ROW()/10000000)</f>
        <v/>
      </c>
      <c r="G1918">
        <f>IF(C1918="","","Collection 收款 (Online 网上)"&amp;IF('Daily Sale entry '!Y418="",""," - "&amp;'Daily Sale entry '!Y418))</f>
        <v/>
      </c>
      <c r="H1918">
        <f>IF(C1918="","",COUNTIFS($C$2:$C$3001,C1918,$F$2:$F$3001,"&lt;"&amp;F1918)+1)</f>
        <v/>
      </c>
      <c r="I1918">
        <f>IF(C1918="","",C1918&amp;"|"&amp;H1918)</f>
        <v/>
      </c>
      <c r="J1918" s="6">
        <f>IF(C1918="","",IF(H1918=1,SUMIFS('Opening Balance'!$F$4:$F$303,'Opening Balance'!$G$4:$G$303,C1918),INDEX($L$2:$L$3001,MATCH(C1918&amp;"|"&amp;(H1918-1),$I$2:$I$3001,0))))</f>
        <v/>
      </c>
      <c r="K1918" s="6">
        <f>IF(C1918="","",IF(M1918&gt;0,M1918,IF(AND(E1918&gt;0,ROUND(J1918+D1918-E1918,2)&gt;0,ROUND(J1918+D1918-E1918,2)&lt;'Opening Balance'!$B$14),ROUND(J1918+D1918-E1918,2),0)))</f>
        <v/>
      </c>
      <c r="L1918" s="6">
        <f>IF(C1918="","",ROUND(J1918+D1918-E1918-K1918,2))</f>
        <v/>
      </c>
      <c r="M1918" s="6">
        <f>IF(C1918="","",0)</f>
        <v/>
      </c>
    </row>
    <row r="1919">
      <c r="A1919" t="inlineStr">
        <is>
          <t>Bank 银行</t>
        </is>
      </c>
      <c r="B1919" s="5">
        <f>IF(AND('Daily Sale entry '!Z419="Online collection 网上收款",'Daily Sale entry '!AA419&lt;&gt;""),'Daily Sale entry '!X419,"")</f>
        <v/>
      </c>
      <c r="C1919">
        <f>IF(B1919="","",'Daily Sale entry '!AA419)</f>
        <v/>
      </c>
      <c r="D1919">
        <f>IF(C1919="","",0)</f>
        <v/>
      </c>
      <c r="E1919">
        <f>IF(C1919="","",'Daily Sale entry '!AC419)</f>
        <v/>
      </c>
      <c r="F1919" s="37">
        <f>IF(C1919="","",B1919+IF(E1919&gt;0,0,0.5)+ROW()/10000000)</f>
        <v/>
      </c>
      <c r="G1919">
        <f>IF(C1919="","","Collection 收款 (Online 网上)"&amp;IF('Daily Sale entry '!Y419="",""," - "&amp;'Daily Sale entry '!Y419))</f>
        <v/>
      </c>
      <c r="H1919">
        <f>IF(C1919="","",COUNTIFS($C$2:$C$3001,C1919,$F$2:$F$3001,"&lt;"&amp;F1919)+1)</f>
        <v/>
      </c>
      <c r="I1919">
        <f>IF(C1919="","",C1919&amp;"|"&amp;H1919)</f>
        <v/>
      </c>
      <c r="J1919" s="6">
        <f>IF(C1919="","",IF(H1919=1,SUMIFS('Opening Balance'!$F$4:$F$303,'Opening Balance'!$G$4:$G$303,C1919),INDEX($L$2:$L$3001,MATCH(C1919&amp;"|"&amp;(H1919-1),$I$2:$I$3001,0))))</f>
        <v/>
      </c>
      <c r="K1919" s="6">
        <f>IF(C1919="","",IF(M1919&gt;0,M1919,IF(AND(E1919&gt;0,ROUND(J1919+D1919-E1919,2)&gt;0,ROUND(J1919+D1919-E1919,2)&lt;'Opening Balance'!$B$14),ROUND(J1919+D1919-E1919,2),0)))</f>
        <v/>
      </c>
      <c r="L1919" s="6">
        <f>IF(C1919="","",ROUND(J1919+D1919-E1919-K1919,2))</f>
        <v/>
      </c>
      <c r="M1919" s="6">
        <f>IF(C1919="","",0)</f>
        <v/>
      </c>
    </row>
    <row r="1920">
      <c r="A1920" t="inlineStr">
        <is>
          <t>Bank 银行</t>
        </is>
      </c>
      <c r="B1920" s="5">
        <f>IF(AND('Daily Sale entry '!Z420="Online collection 网上收款",'Daily Sale entry '!AA420&lt;&gt;""),'Daily Sale entry '!X420,"")</f>
        <v/>
      </c>
      <c r="C1920">
        <f>IF(B1920="","",'Daily Sale entry '!AA420)</f>
        <v/>
      </c>
      <c r="D1920">
        <f>IF(C1920="","",0)</f>
        <v/>
      </c>
      <c r="E1920">
        <f>IF(C1920="","",'Daily Sale entry '!AC420)</f>
        <v/>
      </c>
      <c r="F1920" s="37">
        <f>IF(C1920="","",B1920+IF(E1920&gt;0,0,0.5)+ROW()/10000000)</f>
        <v/>
      </c>
      <c r="G1920">
        <f>IF(C1920="","","Collection 收款 (Online 网上)"&amp;IF('Daily Sale entry '!Y420="",""," - "&amp;'Daily Sale entry '!Y420))</f>
        <v/>
      </c>
      <c r="H1920">
        <f>IF(C1920="","",COUNTIFS($C$2:$C$3001,C1920,$F$2:$F$3001,"&lt;"&amp;F1920)+1)</f>
        <v/>
      </c>
      <c r="I1920">
        <f>IF(C1920="","",C1920&amp;"|"&amp;H1920)</f>
        <v/>
      </c>
      <c r="J1920" s="6">
        <f>IF(C1920="","",IF(H1920=1,SUMIFS('Opening Balance'!$F$4:$F$303,'Opening Balance'!$G$4:$G$303,C1920),INDEX($L$2:$L$3001,MATCH(C1920&amp;"|"&amp;(H1920-1),$I$2:$I$3001,0))))</f>
        <v/>
      </c>
      <c r="K1920" s="6">
        <f>IF(C1920="","",IF(M1920&gt;0,M1920,IF(AND(E1920&gt;0,ROUND(J1920+D1920-E1920,2)&gt;0,ROUND(J1920+D1920-E1920,2)&lt;'Opening Balance'!$B$14),ROUND(J1920+D1920-E1920,2),0)))</f>
        <v/>
      </c>
      <c r="L1920" s="6">
        <f>IF(C1920="","",ROUND(J1920+D1920-E1920-K1920,2))</f>
        <v/>
      </c>
      <c r="M1920" s="6">
        <f>IF(C1920="","",0)</f>
        <v/>
      </c>
    </row>
    <row r="1921">
      <c r="A1921" t="inlineStr">
        <is>
          <t>Bank 银行</t>
        </is>
      </c>
      <c r="B1921" s="5">
        <f>IF(AND('Daily Sale entry '!Z421="Online collection 网上收款",'Daily Sale entry '!AA421&lt;&gt;""),'Daily Sale entry '!X421,"")</f>
        <v/>
      </c>
      <c r="C1921">
        <f>IF(B1921="","",'Daily Sale entry '!AA421)</f>
        <v/>
      </c>
      <c r="D1921">
        <f>IF(C1921="","",0)</f>
        <v/>
      </c>
      <c r="E1921">
        <f>IF(C1921="","",'Daily Sale entry '!AC421)</f>
        <v/>
      </c>
      <c r="F1921" s="37">
        <f>IF(C1921="","",B1921+IF(E1921&gt;0,0,0.5)+ROW()/10000000)</f>
        <v/>
      </c>
      <c r="G1921">
        <f>IF(C1921="","","Collection 收款 (Online 网上)"&amp;IF('Daily Sale entry '!Y421="",""," - "&amp;'Daily Sale entry '!Y421))</f>
        <v/>
      </c>
      <c r="H1921">
        <f>IF(C1921="","",COUNTIFS($C$2:$C$3001,C1921,$F$2:$F$3001,"&lt;"&amp;F1921)+1)</f>
        <v/>
      </c>
      <c r="I1921">
        <f>IF(C1921="","",C1921&amp;"|"&amp;H1921)</f>
        <v/>
      </c>
      <c r="J1921" s="6">
        <f>IF(C1921="","",IF(H1921=1,SUMIFS('Opening Balance'!$F$4:$F$303,'Opening Balance'!$G$4:$G$303,C1921),INDEX($L$2:$L$3001,MATCH(C1921&amp;"|"&amp;(H1921-1),$I$2:$I$3001,0))))</f>
        <v/>
      </c>
      <c r="K1921" s="6">
        <f>IF(C1921="","",IF(M1921&gt;0,M1921,IF(AND(E1921&gt;0,ROUND(J1921+D1921-E1921,2)&gt;0,ROUND(J1921+D1921-E1921,2)&lt;'Opening Balance'!$B$14),ROUND(J1921+D1921-E1921,2),0)))</f>
        <v/>
      </c>
      <c r="L1921" s="6">
        <f>IF(C1921="","",ROUND(J1921+D1921-E1921-K1921,2))</f>
        <v/>
      </c>
      <c r="M1921" s="6">
        <f>IF(C1921="","",0)</f>
        <v/>
      </c>
    </row>
    <row r="1922">
      <c r="A1922" t="inlineStr">
        <is>
          <t>Bank 银行</t>
        </is>
      </c>
      <c r="B1922" s="5">
        <f>IF(AND('Daily Sale entry '!Z422="Online collection 网上收款",'Daily Sale entry '!AA422&lt;&gt;""),'Daily Sale entry '!X422,"")</f>
        <v/>
      </c>
      <c r="C1922">
        <f>IF(B1922="","",'Daily Sale entry '!AA422)</f>
        <v/>
      </c>
      <c r="D1922">
        <f>IF(C1922="","",0)</f>
        <v/>
      </c>
      <c r="E1922">
        <f>IF(C1922="","",'Daily Sale entry '!AC422)</f>
        <v/>
      </c>
      <c r="F1922" s="37">
        <f>IF(C1922="","",B1922+IF(E1922&gt;0,0,0.5)+ROW()/10000000)</f>
        <v/>
      </c>
      <c r="G1922">
        <f>IF(C1922="","","Collection 收款 (Online 网上)"&amp;IF('Daily Sale entry '!Y422="",""," - "&amp;'Daily Sale entry '!Y422))</f>
        <v/>
      </c>
      <c r="H1922">
        <f>IF(C1922="","",COUNTIFS($C$2:$C$3001,C1922,$F$2:$F$3001,"&lt;"&amp;F1922)+1)</f>
        <v/>
      </c>
      <c r="I1922">
        <f>IF(C1922="","",C1922&amp;"|"&amp;H1922)</f>
        <v/>
      </c>
      <c r="J1922" s="6">
        <f>IF(C1922="","",IF(H1922=1,SUMIFS('Opening Balance'!$F$4:$F$303,'Opening Balance'!$G$4:$G$303,C1922),INDEX($L$2:$L$3001,MATCH(C1922&amp;"|"&amp;(H1922-1),$I$2:$I$3001,0))))</f>
        <v/>
      </c>
      <c r="K1922" s="6">
        <f>IF(C1922="","",IF(M1922&gt;0,M1922,IF(AND(E1922&gt;0,ROUND(J1922+D1922-E1922,2)&gt;0,ROUND(J1922+D1922-E1922,2)&lt;'Opening Balance'!$B$14),ROUND(J1922+D1922-E1922,2),0)))</f>
        <v/>
      </c>
      <c r="L1922" s="6">
        <f>IF(C1922="","",ROUND(J1922+D1922-E1922-K1922,2))</f>
        <v/>
      </c>
      <c r="M1922" s="6">
        <f>IF(C1922="","",0)</f>
        <v/>
      </c>
    </row>
    <row r="1923">
      <c r="A1923" t="inlineStr">
        <is>
          <t>Bank 银行</t>
        </is>
      </c>
      <c r="B1923" s="5">
        <f>IF(AND('Daily Sale entry '!Z423="Online collection 网上收款",'Daily Sale entry '!AA423&lt;&gt;""),'Daily Sale entry '!X423,"")</f>
        <v/>
      </c>
      <c r="C1923">
        <f>IF(B1923="","",'Daily Sale entry '!AA423)</f>
        <v/>
      </c>
      <c r="D1923">
        <f>IF(C1923="","",0)</f>
        <v/>
      </c>
      <c r="E1923">
        <f>IF(C1923="","",'Daily Sale entry '!AC423)</f>
        <v/>
      </c>
      <c r="F1923" s="37">
        <f>IF(C1923="","",B1923+IF(E1923&gt;0,0,0.5)+ROW()/10000000)</f>
        <v/>
      </c>
      <c r="G1923">
        <f>IF(C1923="","","Collection 收款 (Online 网上)"&amp;IF('Daily Sale entry '!Y423="",""," - "&amp;'Daily Sale entry '!Y423))</f>
        <v/>
      </c>
      <c r="H1923">
        <f>IF(C1923="","",COUNTIFS($C$2:$C$3001,C1923,$F$2:$F$3001,"&lt;"&amp;F1923)+1)</f>
        <v/>
      </c>
      <c r="I1923">
        <f>IF(C1923="","",C1923&amp;"|"&amp;H1923)</f>
        <v/>
      </c>
      <c r="J1923" s="6">
        <f>IF(C1923="","",IF(H1923=1,SUMIFS('Opening Balance'!$F$4:$F$303,'Opening Balance'!$G$4:$G$303,C1923),INDEX($L$2:$L$3001,MATCH(C1923&amp;"|"&amp;(H1923-1),$I$2:$I$3001,0))))</f>
        <v/>
      </c>
      <c r="K1923" s="6">
        <f>IF(C1923="","",IF(M1923&gt;0,M1923,IF(AND(E1923&gt;0,ROUND(J1923+D1923-E1923,2)&gt;0,ROUND(J1923+D1923-E1923,2)&lt;'Opening Balance'!$B$14),ROUND(J1923+D1923-E1923,2),0)))</f>
        <v/>
      </c>
      <c r="L1923" s="6">
        <f>IF(C1923="","",ROUND(J1923+D1923-E1923-K1923,2))</f>
        <v/>
      </c>
      <c r="M1923" s="6">
        <f>IF(C1923="","",0)</f>
        <v/>
      </c>
    </row>
    <row r="1924">
      <c r="A1924" t="inlineStr">
        <is>
          <t>Bank 银行</t>
        </is>
      </c>
      <c r="B1924" s="5">
        <f>IF(AND('Daily Sale entry '!Z424="Online collection 网上收款",'Daily Sale entry '!AA424&lt;&gt;""),'Daily Sale entry '!X424,"")</f>
        <v/>
      </c>
      <c r="C1924">
        <f>IF(B1924="","",'Daily Sale entry '!AA424)</f>
        <v/>
      </c>
      <c r="D1924">
        <f>IF(C1924="","",0)</f>
        <v/>
      </c>
      <c r="E1924">
        <f>IF(C1924="","",'Daily Sale entry '!AC424)</f>
        <v/>
      </c>
      <c r="F1924" s="37">
        <f>IF(C1924="","",B1924+IF(E1924&gt;0,0,0.5)+ROW()/10000000)</f>
        <v/>
      </c>
      <c r="G1924">
        <f>IF(C1924="","","Collection 收款 (Online 网上)"&amp;IF('Daily Sale entry '!Y424="",""," - "&amp;'Daily Sale entry '!Y424))</f>
        <v/>
      </c>
      <c r="H1924">
        <f>IF(C1924="","",COUNTIFS($C$2:$C$3001,C1924,$F$2:$F$3001,"&lt;"&amp;F1924)+1)</f>
        <v/>
      </c>
      <c r="I1924">
        <f>IF(C1924="","",C1924&amp;"|"&amp;H1924)</f>
        <v/>
      </c>
      <c r="J1924" s="6">
        <f>IF(C1924="","",IF(H1924=1,SUMIFS('Opening Balance'!$F$4:$F$303,'Opening Balance'!$G$4:$G$303,C1924),INDEX($L$2:$L$3001,MATCH(C1924&amp;"|"&amp;(H1924-1),$I$2:$I$3001,0))))</f>
        <v/>
      </c>
      <c r="K1924" s="6">
        <f>IF(C1924="","",IF(M1924&gt;0,M1924,IF(AND(E1924&gt;0,ROUND(J1924+D1924-E1924,2)&gt;0,ROUND(J1924+D1924-E1924,2)&lt;'Opening Balance'!$B$14),ROUND(J1924+D1924-E1924,2),0)))</f>
        <v/>
      </c>
      <c r="L1924" s="6">
        <f>IF(C1924="","",ROUND(J1924+D1924-E1924-K1924,2))</f>
        <v/>
      </c>
      <c r="M1924" s="6">
        <f>IF(C1924="","",0)</f>
        <v/>
      </c>
    </row>
    <row r="1925">
      <c r="A1925" t="inlineStr">
        <is>
          <t>Bank 银行</t>
        </is>
      </c>
      <c r="B1925" s="5">
        <f>IF(AND('Daily Sale entry '!Z425="Online collection 网上收款",'Daily Sale entry '!AA425&lt;&gt;""),'Daily Sale entry '!X425,"")</f>
        <v/>
      </c>
      <c r="C1925">
        <f>IF(B1925="","",'Daily Sale entry '!AA425)</f>
        <v/>
      </c>
      <c r="D1925">
        <f>IF(C1925="","",0)</f>
        <v/>
      </c>
      <c r="E1925">
        <f>IF(C1925="","",'Daily Sale entry '!AC425)</f>
        <v/>
      </c>
      <c r="F1925" s="37">
        <f>IF(C1925="","",B1925+IF(E1925&gt;0,0,0.5)+ROW()/10000000)</f>
        <v/>
      </c>
      <c r="G1925">
        <f>IF(C1925="","","Collection 收款 (Online 网上)"&amp;IF('Daily Sale entry '!Y425="",""," - "&amp;'Daily Sale entry '!Y425))</f>
        <v/>
      </c>
      <c r="H1925">
        <f>IF(C1925="","",COUNTIFS($C$2:$C$3001,C1925,$F$2:$F$3001,"&lt;"&amp;F1925)+1)</f>
        <v/>
      </c>
      <c r="I1925">
        <f>IF(C1925="","",C1925&amp;"|"&amp;H1925)</f>
        <v/>
      </c>
      <c r="J1925" s="6">
        <f>IF(C1925="","",IF(H1925=1,SUMIFS('Opening Balance'!$F$4:$F$303,'Opening Balance'!$G$4:$G$303,C1925),INDEX($L$2:$L$3001,MATCH(C1925&amp;"|"&amp;(H1925-1),$I$2:$I$3001,0))))</f>
        <v/>
      </c>
      <c r="K1925" s="6">
        <f>IF(C1925="","",IF(M1925&gt;0,M1925,IF(AND(E1925&gt;0,ROUND(J1925+D1925-E1925,2)&gt;0,ROUND(J1925+D1925-E1925,2)&lt;'Opening Balance'!$B$14),ROUND(J1925+D1925-E1925,2),0)))</f>
        <v/>
      </c>
      <c r="L1925" s="6">
        <f>IF(C1925="","",ROUND(J1925+D1925-E1925-K1925,2))</f>
        <v/>
      </c>
      <c r="M1925" s="6">
        <f>IF(C1925="","",0)</f>
        <v/>
      </c>
    </row>
    <row r="1926">
      <c r="A1926" t="inlineStr">
        <is>
          <t>Bank 银行</t>
        </is>
      </c>
      <c r="B1926" s="5">
        <f>IF(AND('Daily Sale entry '!Z426="Online collection 网上收款",'Daily Sale entry '!AA426&lt;&gt;""),'Daily Sale entry '!X426,"")</f>
        <v/>
      </c>
      <c r="C1926">
        <f>IF(B1926="","",'Daily Sale entry '!AA426)</f>
        <v/>
      </c>
      <c r="D1926">
        <f>IF(C1926="","",0)</f>
        <v/>
      </c>
      <c r="E1926">
        <f>IF(C1926="","",'Daily Sale entry '!AC426)</f>
        <v/>
      </c>
      <c r="F1926" s="37">
        <f>IF(C1926="","",B1926+IF(E1926&gt;0,0,0.5)+ROW()/10000000)</f>
        <v/>
      </c>
      <c r="G1926">
        <f>IF(C1926="","","Collection 收款 (Online 网上)"&amp;IF('Daily Sale entry '!Y426="",""," - "&amp;'Daily Sale entry '!Y426))</f>
        <v/>
      </c>
      <c r="H1926">
        <f>IF(C1926="","",COUNTIFS($C$2:$C$3001,C1926,$F$2:$F$3001,"&lt;"&amp;F1926)+1)</f>
        <v/>
      </c>
      <c r="I1926">
        <f>IF(C1926="","",C1926&amp;"|"&amp;H1926)</f>
        <v/>
      </c>
      <c r="J1926" s="6">
        <f>IF(C1926="","",IF(H1926=1,SUMIFS('Opening Balance'!$F$4:$F$303,'Opening Balance'!$G$4:$G$303,C1926),INDEX($L$2:$L$3001,MATCH(C1926&amp;"|"&amp;(H1926-1),$I$2:$I$3001,0))))</f>
        <v/>
      </c>
      <c r="K1926" s="6">
        <f>IF(C1926="","",IF(M1926&gt;0,M1926,IF(AND(E1926&gt;0,ROUND(J1926+D1926-E1926,2)&gt;0,ROUND(J1926+D1926-E1926,2)&lt;'Opening Balance'!$B$14),ROUND(J1926+D1926-E1926,2),0)))</f>
        <v/>
      </c>
      <c r="L1926" s="6">
        <f>IF(C1926="","",ROUND(J1926+D1926-E1926-K1926,2))</f>
        <v/>
      </c>
      <c r="M1926" s="6">
        <f>IF(C1926="","",0)</f>
        <v/>
      </c>
    </row>
    <row r="1927">
      <c r="A1927" t="inlineStr">
        <is>
          <t>Bank 银行</t>
        </is>
      </c>
      <c r="B1927" s="5">
        <f>IF(AND('Daily Sale entry '!Z427="Online collection 网上收款",'Daily Sale entry '!AA427&lt;&gt;""),'Daily Sale entry '!X427,"")</f>
        <v/>
      </c>
      <c r="C1927">
        <f>IF(B1927="","",'Daily Sale entry '!AA427)</f>
        <v/>
      </c>
      <c r="D1927">
        <f>IF(C1927="","",0)</f>
        <v/>
      </c>
      <c r="E1927">
        <f>IF(C1927="","",'Daily Sale entry '!AC427)</f>
        <v/>
      </c>
      <c r="F1927" s="37">
        <f>IF(C1927="","",B1927+IF(E1927&gt;0,0,0.5)+ROW()/10000000)</f>
        <v/>
      </c>
      <c r="G1927">
        <f>IF(C1927="","","Collection 收款 (Online 网上)"&amp;IF('Daily Sale entry '!Y427="",""," - "&amp;'Daily Sale entry '!Y427))</f>
        <v/>
      </c>
      <c r="H1927">
        <f>IF(C1927="","",COUNTIFS($C$2:$C$3001,C1927,$F$2:$F$3001,"&lt;"&amp;F1927)+1)</f>
        <v/>
      </c>
      <c r="I1927">
        <f>IF(C1927="","",C1927&amp;"|"&amp;H1927)</f>
        <v/>
      </c>
      <c r="J1927" s="6">
        <f>IF(C1927="","",IF(H1927=1,SUMIFS('Opening Balance'!$F$4:$F$303,'Opening Balance'!$G$4:$G$303,C1927),INDEX($L$2:$L$3001,MATCH(C1927&amp;"|"&amp;(H1927-1),$I$2:$I$3001,0))))</f>
        <v/>
      </c>
      <c r="K1927" s="6">
        <f>IF(C1927="","",IF(M1927&gt;0,M1927,IF(AND(E1927&gt;0,ROUND(J1927+D1927-E1927,2)&gt;0,ROUND(J1927+D1927-E1927,2)&lt;'Opening Balance'!$B$14),ROUND(J1927+D1927-E1927,2),0)))</f>
        <v/>
      </c>
      <c r="L1927" s="6">
        <f>IF(C1927="","",ROUND(J1927+D1927-E1927-K1927,2))</f>
        <v/>
      </c>
      <c r="M1927" s="6">
        <f>IF(C1927="","",0)</f>
        <v/>
      </c>
    </row>
    <row r="1928">
      <c r="A1928" t="inlineStr">
        <is>
          <t>Bank 银行</t>
        </is>
      </c>
      <c r="B1928" s="5">
        <f>IF(AND('Daily Sale entry '!Z428="Online collection 网上收款",'Daily Sale entry '!AA428&lt;&gt;""),'Daily Sale entry '!X428,"")</f>
        <v/>
      </c>
      <c r="C1928">
        <f>IF(B1928="","",'Daily Sale entry '!AA428)</f>
        <v/>
      </c>
      <c r="D1928">
        <f>IF(C1928="","",0)</f>
        <v/>
      </c>
      <c r="E1928">
        <f>IF(C1928="","",'Daily Sale entry '!AC428)</f>
        <v/>
      </c>
      <c r="F1928" s="37">
        <f>IF(C1928="","",B1928+IF(E1928&gt;0,0,0.5)+ROW()/10000000)</f>
        <v/>
      </c>
      <c r="G1928">
        <f>IF(C1928="","","Collection 收款 (Online 网上)"&amp;IF('Daily Sale entry '!Y428="",""," - "&amp;'Daily Sale entry '!Y428))</f>
        <v/>
      </c>
      <c r="H1928">
        <f>IF(C1928="","",COUNTIFS($C$2:$C$3001,C1928,$F$2:$F$3001,"&lt;"&amp;F1928)+1)</f>
        <v/>
      </c>
      <c r="I1928">
        <f>IF(C1928="","",C1928&amp;"|"&amp;H1928)</f>
        <v/>
      </c>
      <c r="J1928" s="6">
        <f>IF(C1928="","",IF(H1928=1,SUMIFS('Opening Balance'!$F$4:$F$303,'Opening Balance'!$G$4:$G$303,C1928),INDEX($L$2:$L$3001,MATCH(C1928&amp;"|"&amp;(H1928-1),$I$2:$I$3001,0))))</f>
        <v/>
      </c>
      <c r="K1928" s="6">
        <f>IF(C1928="","",IF(M1928&gt;0,M1928,IF(AND(E1928&gt;0,ROUND(J1928+D1928-E1928,2)&gt;0,ROUND(J1928+D1928-E1928,2)&lt;'Opening Balance'!$B$14),ROUND(J1928+D1928-E1928,2),0)))</f>
        <v/>
      </c>
      <c r="L1928" s="6">
        <f>IF(C1928="","",ROUND(J1928+D1928-E1928-K1928,2))</f>
        <v/>
      </c>
      <c r="M1928" s="6">
        <f>IF(C1928="","",0)</f>
        <v/>
      </c>
    </row>
    <row r="1929">
      <c r="A1929" t="inlineStr">
        <is>
          <t>Bank 银行</t>
        </is>
      </c>
      <c r="B1929" s="5">
        <f>IF(AND('Daily Sale entry '!Z429="Online collection 网上收款",'Daily Sale entry '!AA429&lt;&gt;""),'Daily Sale entry '!X429,"")</f>
        <v/>
      </c>
      <c r="C1929">
        <f>IF(B1929="","",'Daily Sale entry '!AA429)</f>
        <v/>
      </c>
      <c r="D1929">
        <f>IF(C1929="","",0)</f>
        <v/>
      </c>
      <c r="E1929">
        <f>IF(C1929="","",'Daily Sale entry '!AC429)</f>
        <v/>
      </c>
      <c r="F1929" s="37">
        <f>IF(C1929="","",B1929+IF(E1929&gt;0,0,0.5)+ROW()/10000000)</f>
        <v/>
      </c>
      <c r="G1929">
        <f>IF(C1929="","","Collection 收款 (Online 网上)"&amp;IF('Daily Sale entry '!Y429="",""," - "&amp;'Daily Sale entry '!Y429))</f>
        <v/>
      </c>
      <c r="H1929">
        <f>IF(C1929="","",COUNTIFS($C$2:$C$3001,C1929,$F$2:$F$3001,"&lt;"&amp;F1929)+1)</f>
        <v/>
      </c>
      <c r="I1929">
        <f>IF(C1929="","",C1929&amp;"|"&amp;H1929)</f>
        <v/>
      </c>
      <c r="J1929" s="6">
        <f>IF(C1929="","",IF(H1929=1,SUMIFS('Opening Balance'!$F$4:$F$303,'Opening Balance'!$G$4:$G$303,C1929),INDEX($L$2:$L$3001,MATCH(C1929&amp;"|"&amp;(H1929-1),$I$2:$I$3001,0))))</f>
        <v/>
      </c>
      <c r="K1929" s="6">
        <f>IF(C1929="","",IF(M1929&gt;0,M1929,IF(AND(E1929&gt;0,ROUND(J1929+D1929-E1929,2)&gt;0,ROUND(J1929+D1929-E1929,2)&lt;'Opening Balance'!$B$14),ROUND(J1929+D1929-E1929,2),0)))</f>
        <v/>
      </c>
      <c r="L1929" s="6">
        <f>IF(C1929="","",ROUND(J1929+D1929-E1929-K1929,2))</f>
        <v/>
      </c>
      <c r="M1929" s="6">
        <f>IF(C1929="","",0)</f>
        <v/>
      </c>
    </row>
    <row r="1930">
      <c r="A1930" t="inlineStr">
        <is>
          <t>Bank 银行</t>
        </is>
      </c>
      <c r="B1930" s="5">
        <f>IF(AND('Daily Sale entry '!Z430="Online collection 网上收款",'Daily Sale entry '!AA430&lt;&gt;""),'Daily Sale entry '!X430,"")</f>
        <v/>
      </c>
      <c r="C1930">
        <f>IF(B1930="","",'Daily Sale entry '!AA430)</f>
        <v/>
      </c>
      <c r="D1930">
        <f>IF(C1930="","",0)</f>
        <v/>
      </c>
      <c r="E1930">
        <f>IF(C1930="","",'Daily Sale entry '!AC430)</f>
        <v/>
      </c>
      <c r="F1930" s="37">
        <f>IF(C1930="","",B1930+IF(E1930&gt;0,0,0.5)+ROW()/10000000)</f>
        <v/>
      </c>
      <c r="G1930">
        <f>IF(C1930="","","Collection 收款 (Online 网上)"&amp;IF('Daily Sale entry '!Y430="",""," - "&amp;'Daily Sale entry '!Y430))</f>
        <v/>
      </c>
      <c r="H1930">
        <f>IF(C1930="","",COUNTIFS($C$2:$C$3001,C1930,$F$2:$F$3001,"&lt;"&amp;F1930)+1)</f>
        <v/>
      </c>
      <c r="I1930">
        <f>IF(C1930="","",C1930&amp;"|"&amp;H1930)</f>
        <v/>
      </c>
      <c r="J1930" s="6">
        <f>IF(C1930="","",IF(H1930=1,SUMIFS('Opening Balance'!$F$4:$F$303,'Opening Balance'!$G$4:$G$303,C1930),INDEX($L$2:$L$3001,MATCH(C1930&amp;"|"&amp;(H1930-1),$I$2:$I$3001,0))))</f>
        <v/>
      </c>
      <c r="K1930" s="6">
        <f>IF(C1930="","",IF(M1930&gt;0,M1930,IF(AND(E1930&gt;0,ROUND(J1930+D1930-E1930,2)&gt;0,ROUND(J1930+D1930-E1930,2)&lt;'Opening Balance'!$B$14),ROUND(J1930+D1930-E1930,2),0)))</f>
        <v/>
      </c>
      <c r="L1930" s="6">
        <f>IF(C1930="","",ROUND(J1930+D1930-E1930-K1930,2))</f>
        <v/>
      </c>
      <c r="M1930" s="6">
        <f>IF(C1930="","",0)</f>
        <v/>
      </c>
    </row>
    <row r="1931">
      <c r="A1931" t="inlineStr">
        <is>
          <t>Bank 银行</t>
        </is>
      </c>
      <c r="B1931" s="5">
        <f>IF(AND('Daily Sale entry '!Z431="Online collection 网上收款",'Daily Sale entry '!AA431&lt;&gt;""),'Daily Sale entry '!X431,"")</f>
        <v/>
      </c>
      <c r="C1931">
        <f>IF(B1931="","",'Daily Sale entry '!AA431)</f>
        <v/>
      </c>
      <c r="D1931">
        <f>IF(C1931="","",0)</f>
        <v/>
      </c>
      <c r="E1931">
        <f>IF(C1931="","",'Daily Sale entry '!AC431)</f>
        <v/>
      </c>
      <c r="F1931" s="37">
        <f>IF(C1931="","",B1931+IF(E1931&gt;0,0,0.5)+ROW()/10000000)</f>
        <v/>
      </c>
      <c r="G1931">
        <f>IF(C1931="","","Collection 收款 (Online 网上)"&amp;IF('Daily Sale entry '!Y431="",""," - "&amp;'Daily Sale entry '!Y431))</f>
        <v/>
      </c>
      <c r="H1931">
        <f>IF(C1931="","",COUNTIFS($C$2:$C$3001,C1931,$F$2:$F$3001,"&lt;"&amp;F1931)+1)</f>
        <v/>
      </c>
      <c r="I1931">
        <f>IF(C1931="","",C1931&amp;"|"&amp;H1931)</f>
        <v/>
      </c>
      <c r="J1931" s="6">
        <f>IF(C1931="","",IF(H1931=1,SUMIFS('Opening Balance'!$F$4:$F$303,'Opening Balance'!$G$4:$G$303,C1931),INDEX($L$2:$L$3001,MATCH(C1931&amp;"|"&amp;(H1931-1),$I$2:$I$3001,0))))</f>
        <v/>
      </c>
      <c r="K1931" s="6">
        <f>IF(C1931="","",IF(M1931&gt;0,M1931,IF(AND(E1931&gt;0,ROUND(J1931+D1931-E1931,2)&gt;0,ROUND(J1931+D1931-E1931,2)&lt;'Opening Balance'!$B$14),ROUND(J1931+D1931-E1931,2),0)))</f>
        <v/>
      </c>
      <c r="L1931" s="6">
        <f>IF(C1931="","",ROUND(J1931+D1931-E1931-K1931,2))</f>
        <v/>
      </c>
      <c r="M1931" s="6">
        <f>IF(C1931="","",0)</f>
        <v/>
      </c>
    </row>
    <row r="1932">
      <c r="A1932" t="inlineStr">
        <is>
          <t>Bank 银行</t>
        </is>
      </c>
      <c r="B1932" s="5">
        <f>IF(AND('Daily Sale entry '!Z432="Online collection 网上收款",'Daily Sale entry '!AA432&lt;&gt;""),'Daily Sale entry '!X432,"")</f>
        <v/>
      </c>
      <c r="C1932">
        <f>IF(B1932="","",'Daily Sale entry '!AA432)</f>
        <v/>
      </c>
      <c r="D1932">
        <f>IF(C1932="","",0)</f>
        <v/>
      </c>
      <c r="E1932">
        <f>IF(C1932="","",'Daily Sale entry '!AC432)</f>
        <v/>
      </c>
      <c r="F1932" s="37">
        <f>IF(C1932="","",B1932+IF(E1932&gt;0,0,0.5)+ROW()/10000000)</f>
        <v/>
      </c>
      <c r="G1932">
        <f>IF(C1932="","","Collection 收款 (Online 网上)"&amp;IF('Daily Sale entry '!Y432="",""," - "&amp;'Daily Sale entry '!Y432))</f>
        <v/>
      </c>
      <c r="H1932">
        <f>IF(C1932="","",COUNTIFS($C$2:$C$3001,C1932,$F$2:$F$3001,"&lt;"&amp;F1932)+1)</f>
        <v/>
      </c>
      <c r="I1932">
        <f>IF(C1932="","",C1932&amp;"|"&amp;H1932)</f>
        <v/>
      </c>
      <c r="J1932" s="6">
        <f>IF(C1932="","",IF(H1932=1,SUMIFS('Opening Balance'!$F$4:$F$303,'Opening Balance'!$G$4:$G$303,C1932),INDEX($L$2:$L$3001,MATCH(C1932&amp;"|"&amp;(H1932-1),$I$2:$I$3001,0))))</f>
        <v/>
      </c>
      <c r="K1932" s="6">
        <f>IF(C1932="","",IF(M1932&gt;0,M1932,IF(AND(E1932&gt;0,ROUND(J1932+D1932-E1932,2)&gt;0,ROUND(J1932+D1932-E1932,2)&lt;'Opening Balance'!$B$14),ROUND(J1932+D1932-E1932,2),0)))</f>
        <v/>
      </c>
      <c r="L1932" s="6">
        <f>IF(C1932="","",ROUND(J1932+D1932-E1932-K1932,2))</f>
        <v/>
      </c>
      <c r="M1932" s="6">
        <f>IF(C1932="","",0)</f>
        <v/>
      </c>
    </row>
    <row r="1933">
      <c r="A1933" t="inlineStr">
        <is>
          <t>Bank 银行</t>
        </is>
      </c>
      <c r="B1933" s="5">
        <f>IF(AND('Daily Sale entry '!Z433="Online collection 网上收款",'Daily Sale entry '!AA433&lt;&gt;""),'Daily Sale entry '!X433,"")</f>
        <v/>
      </c>
      <c r="C1933">
        <f>IF(B1933="","",'Daily Sale entry '!AA433)</f>
        <v/>
      </c>
      <c r="D1933">
        <f>IF(C1933="","",0)</f>
        <v/>
      </c>
      <c r="E1933">
        <f>IF(C1933="","",'Daily Sale entry '!AC433)</f>
        <v/>
      </c>
      <c r="F1933" s="37">
        <f>IF(C1933="","",B1933+IF(E1933&gt;0,0,0.5)+ROW()/10000000)</f>
        <v/>
      </c>
      <c r="G1933">
        <f>IF(C1933="","","Collection 收款 (Online 网上)"&amp;IF('Daily Sale entry '!Y433="",""," - "&amp;'Daily Sale entry '!Y433))</f>
        <v/>
      </c>
      <c r="H1933">
        <f>IF(C1933="","",COUNTIFS($C$2:$C$3001,C1933,$F$2:$F$3001,"&lt;"&amp;F1933)+1)</f>
        <v/>
      </c>
      <c r="I1933">
        <f>IF(C1933="","",C1933&amp;"|"&amp;H1933)</f>
        <v/>
      </c>
      <c r="J1933" s="6">
        <f>IF(C1933="","",IF(H1933=1,SUMIFS('Opening Balance'!$F$4:$F$303,'Opening Balance'!$G$4:$G$303,C1933),INDEX($L$2:$L$3001,MATCH(C1933&amp;"|"&amp;(H1933-1),$I$2:$I$3001,0))))</f>
        <v/>
      </c>
      <c r="K1933" s="6">
        <f>IF(C1933="","",IF(M1933&gt;0,M1933,IF(AND(E1933&gt;0,ROUND(J1933+D1933-E1933,2)&gt;0,ROUND(J1933+D1933-E1933,2)&lt;'Opening Balance'!$B$14),ROUND(J1933+D1933-E1933,2),0)))</f>
        <v/>
      </c>
      <c r="L1933" s="6">
        <f>IF(C1933="","",ROUND(J1933+D1933-E1933-K1933,2))</f>
        <v/>
      </c>
      <c r="M1933" s="6">
        <f>IF(C1933="","",0)</f>
        <v/>
      </c>
    </row>
    <row r="1934">
      <c r="A1934" t="inlineStr">
        <is>
          <t>Bank 银行</t>
        </is>
      </c>
      <c r="B1934" s="5">
        <f>IF(AND('Daily Sale entry '!Z434="Online collection 网上收款",'Daily Sale entry '!AA434&lt;&gt;""),'Daily Sale entry '!X434,"")</f>
        <v/>
      </c>
      <c r="C1934">
        <f>IF(B1934="","",'Daily Sale entry '!AA434)</f>
        <v/>
      </c>
      <c r="D1934">
        <f>IF(C1934="","",0)</f>
        <v/>
      </c>
      <c r="E1934">
        <f>IF(C1934="","",'Daily Sale entry '!AC434)</f>
        <v/>
      </c>
      <c r="F1934" s="37">
        <f>IF(C1934="","",B1934+IF(E1934&gt;0,0,0.5)+ROW()/10000000)</f>
        <v/>
      </c>
      <c r="G1934">
        <f>IF(C1934="","","Collection 收款 (Online 网上)"&amp;IF('Daily Sale entry '!Y434="",""," - "&amp;'Daily Sale entry '!Y434))</f>
        <v/>
      </c>
      <c r="H1934">
        <f>IF(C1934="","",COUNTIFS($C$2:$C$3001,C1934,$F$2:$F$3001,"&lt;"&amp;F1934)+1)</f>
        <v/>
      </c>
      <c r="I1934">
        <f>IF(C1934="","",C1934&amp;"|"&amp;H1934)</f>
        <v/>
      </c>
      <c r="J1934" s="6">
        <f>IF(C1934="","",IF(H1934=1,SUMIFS('Opening Balance'!$F$4:$F$303,'Opening Balance'!$G$4:$G$303,C1934),INDEX($L$2:$L$3001,MATCH(C1934&amp;"|"&amp;(H1934-1),$I$2:$I$3001,0))))</f>
        <v/>
      </c>
      <c r="K1934" s="6">
        <f>IF(C1934="","",IF(M1934&gt;0,M1934,IF(AND(E1934&gt;0,ROUND(J1934+D1934-E1934,2)&gt;0,ROUND(J1934+D1934-E1934,2)&lt;'Opening Balance'!$B$14),ROUND(J1934+D1934-E1934,2),0)))</f>
        <v/>
      </c>
      <c r="L1934" s="6">
        <f>IF(C1934="","",ROUND(J1934+D1934-E1934-K1934,2))</f>
        <v/>
      </c>
      <c r="M1934" s="6">
        <f>IF(C1934="","",0)</f>
        <v/>
      </c>
    </row>
    <row r="1935">
      <c r="A1935" t="inlineStr">
        <is>
          <t>Bank 银行</t>
        </is>
      </c>
      <c r="B1935" s="5">
        <f>IF(AND('Daily Sale entry '!Z435="Online collection 网上收款",'Daily Sale entry '!AA435&lt;&gt;""),'Daily Sale entry '!X435,"")</f>
        <v/>
      </c>
      <c r="C1935">
        <f>IF(B1935="","",'Daily Sale entry '!AA435)</f>
        <v/>
      </c>
      <c r="D1935">
        <f>IF(C1935="","",0)</f>
        <v/>
      </c>
      <c r="E1935">
        <f>IF(C1935="","",'Daily Sale entry '!AC435)</f>
        <v/>
      </c>
      <c r="F1935" s="37">
        <f>IF(C1935="","",B1935+IF(E1935&gt;0,0,0.5)+ROW()/10000000)</f>
        <v/>
      </c>
      <c r="G1935">
        <f>IF(C1935="","","Collection 收款 (Online 网上)"&amp;IF('Daily Sale entry '!Y435="",""," - "&amp;'Daily Sale entry '!Y435))</f>
        <v/>
      </c>
      <c r="H1935">
        <f>IF(C1935="","",COUNTIFS($C$2:$C$3001,C1935,$F$2:$F$3001,"&lt;"&amp;F1935)+1)</f>
        <v/>
      </c>
      <c r="I1935">
        <f>IF(C1935="","",C1935&amp;"|"&amp;H1935)</f>
        <v/>
      </c>
      <c r="J1935" s="6">
        <f>IF(C1935="","",IF(H1935=1,SUMIFS('Opening Balance'!$F$4:$F$303,'Opening Balance'!$G$4:$G$303,C1935),INDEX($L$2:$L$3001,MATCH(C1935&amp;"|"&amp;(H1935-1),$I$2:$I$3001,0))))</f>
        <v/>
      </c>
      <c r="K1935" s="6">
        <f>IF(C1935="","",IF(M1935&gt;0,M1935,IF(AND(E1935&gt;0,ROUND(J1935+D1935-E1935,2)&gt;0,ROUND(J1935+D1935-E1935,2)&lt;'Opening Balance'!$B$14),ROUND(J1935+D1935-E1935,2),0)))</f>
        <v/>
      </c>
      <c r="L1935" s="6">
        <f>IF(C1935="","",ROUND(J1935+D1935-E1935-K1935,2))</f>
        <v/>
      </c>
      <c r="M1935" s="6">
        <f>IF(C1935="","",0)</f>
        <v/>
      </c>
    </row>
    <row r="1936">
      <c r="A1936" t="inlineStr">
        <is>
          <t>Bank 银行</t>
        </is>
      </c>
      <c r="B1936" s="5">
        <f>IF(AND('Daily Sale entry '!Z436="Online collection 网上收款",'Daily Sale entry '!AA436&lt;&gt;""),'Daily Sale entry '!X436,"")</f>
        <v/>
      </c>
      <c r="C1936">
        <f>IF(B1936="","",'Daily Sale entry '!AA436)</f>
        <v/>
      </c>
      <c r="D1936">
        <f>IF(C1936="","",0)</f>
        <v/>
      </c>
      <c r="E1936">
        <f>IF(C1936="","",'Daily Sale entry '!AC436)</f>
        <v/>
      </c>
      <c r="F1936" s="37">
        <f>IF(C1936="","",B1936+IF(E1936&gt;0,0,0.5)+ROW()/10000000)</f>
        <v/>
      </c>
      <c r="G1936">
        <f>IF(C1936="","","Collection 收款 (Online 网上)"&amp;IF('Daily Sale entry '!Y436="",""," - "&amp;'Daily Sale entry '!Y436))</f>
        <v/>
      </c>
      <c r="H1936">
        <f>IF(C1936="","",COUNTIFS($C$2:$C$3001,C1936,$F$2:$F$3001,"&lt;"&amp;F1936)+1)</f>
        <v/>
      </c>
      <c r="I1936">
        <f>IF(C1936="","",C1936&amp;"|"&amp;H1936)</f>
        <v/>
      </c>
      <c r="J1936" s="6">
        <f>IF(C1936="","",IF(H1936=1,SUMIFS('Opening Balance'!$F$4:$F$303,'Opening Balance'!$G$4:$G$303,C1936),INDEX($L$2:$L$3001,MATCH(C1936&amp;"|"&amp;(H1936-1),$I$2:$I$3001,0))))</f>
        <v/>
      </c>
      <c r="K1936" s="6">
        <f>IF(C1936="","",IF(M1936&gt;0,M1936,IF(AND(E1936&gt;0,ROUND(J1936+D1936-E1936,2)&gt;0,ROUND(J1936+D1936-E1936,2)&lt;'Opening Balance'!$B$14),ROUND(J1936+D1936-E1936,2),0)))</f>
        <v/>
      </c>
      <c r="L1936" s="6">
        <f>IF(C1936="","",ROUND(J1936+D1936-E1936-K1936,2))</f>
        <v/>
      </c>
      <c r="M1936" s="6">
        <f>IF(C1936="","",0)</f>
        <v/>
      </c>
    </row>
    <row r="1937">
      <c r="A1937" t="inlineStr">
        <is>
          <t>Bank 银行</t>
        </is>
      </c>
      <c r="B1937" s="5">
        <f>IF(AND('Daily Sale entry '!Z437="Online collection 网上收款",'Daily Sale entry '!AA437&lt;&gt;""),'Daily Sale entry '!X437,"")</f>
        <v/>
      </c>
      <c r="C1937">
        <f>IF(B1937="","",'Daily Sale entry '!AA437)</f>
        <v/>
      </c>
      <c r="D1937">
        <f>IF(C1937="","",0)</f>
        <v/>
      </c>
      <c r="E1937">
        <f>IF(C1937="","",'Daily Sale entry '!AC437)</f>
        <v/>
      </c>
      <c r="F1937" s="37">
        <f>IF(C1937="","",B1937+IF(E1937&gt;0,0,0.5)+ROW()/10000000)</f>
        <v/>
      </c>
      <c r="G1937">
        <f>IF(C1937="","","Collection 收款 (Online 网上)"&amp;IF('Daily Sale entry '!Y437="",""," - "&amp;'Daily Sale entry '!Y437))</f>
        <v/>
      </c>
      <c r="H1937">
        <f>IF(C1937="","",COUNTIFS($C$2:$C$3001,C1937,$F$2:$F$3001,"&lt;"&amp;F1937)+1)</f>
        <v/>
      </c>
      <c r="I1937">
        <f>IF(C1937="","",C1937&amp;"|"&amp;H1937)</f>
        <v/>
      </c>
      <c r="J1937" s="6">
        <f>IF(C1937="","",IF(H1937=1,SUMIFS('Opening Balance'!$F$4:$F$303,'Opening Balance'!$G$4:$G$303,C1937),INDEX($L$2:$L$3001,MATCH(C1937&amp;"|"&amp;(H1937-1),$I$2:$I$3001,0))))</f>
        <v/>
      </c>
      <c r="K1937" s="6">
        <f>IF(C1937="","",IF(M1937&gt;0,M1937,IF(AND(E1937&gt;0,ROUND(J1937+D1937-E1937,2)&gt;0,ROUND(J1937+D1937-E1937,2)&lt;'Opening Balance'!$B$14),ROUND(J1937+D1937-E1937,2),0)))</f>
        <v/>
      </c>
      <c r="L1937" s="6">
        <f>IF(C1937="","",ROUND(J1937+D1937-E1937-K1937,2))</f>
        <v/>
      </c>
      <c r="M1937" s="6">
        <f>IF(C1937="","",0)</f>
        <v/>
      </c>
    </row>
    <row r="1938">
      <c r="A1938" t="inlineStr">
        <is>
          <t>Bank 银行</t>
        </is>
      </c>
      <c r="B1938" s="5">
        <f>IF(AND('Daily Sale entry '!Z438="Online collection 网上收款",'Daily Sale entry '!AA438&lt;&gt;""),'Daily Sale entry '!X438,"")</f>
        <v/>
      </c>
      <c r="C1938">
        <f>IF(B1938="","",'Daily Sale entry '!AA438)</f>
        <v/>
      </c>
      <c r="D1938">
        <f>IF(C1938="","",0)</f>
        <v/>
      </c>
      <c r="E1938">
        <f>IF(C1938="","",'Daily Sale entry '!AC438)</f>
        <v/>
      </c>
      <c r="F1938" s="37">
        <f>IF(C1938="","",B1938+IF(E1938&gt;0,0,0.5)+ROW()/10000000)</f>
        <v/>
      </c>
      <c r="G1938">
        <f>IF(C1938="","","Collection 收款 (Online 网上)"&amp;IF('Daily Sale entry '!Y438="",""," - "&amp;'Daily Sale entry '!Y438))</f>
        <v/>
      </c>
      <c r="H1938">
        <f>IF(C1938="","",COUNTIFS($C$2:$C$3001,C1938,$F$2:$F$3001,"&lt;"&amp;F1938)+1)</f>
        <v/>
      </c>
      <c r="I1938">
        <f>IF(C1938="","",C1938&amp;"|"&amp;H1938)</f>
        <v/>
      </c>
      <c r="J1938" s="6">
        <f>IF(C1938="","",IF(H1938=1,SUMIFS('Opening Balance'!$F$4:$F$303,'Opening Balance'!$G$4:$G$303,C1938),INDEX($L$2:$L$3001,MATCH(C1938&amp;"|"&amp;(H1938-1),$I$2:$I$3001,0))))</f>
        <v/>
      </c>
      <c r="K1938" s="6">
        <f>IF(C1938="","",IF(M1938&gt;0,M1938,IF(AND(E1938&gt;0,ROUND(J1938+D1938-E1938,2)&gt;0,ROUND(J1938+D1938-E1938,2)&lt;'Opening Balance'!$B$14),ROUND(J1938+D1938-E1938,2),0)))</f>
        <v/>
      </c>
      <c r="L1938" s="6">
        <f>IF(C1938="","",ROUND(J1938+D1938-E1938-K1938,2))</f>
        <v/>
      </c>
      <c r="M1938" s="6">
        <f>IF(C1938="","",0)</f>
        <v/>
      </c>
    </row>
    <row r="1939">
      <c r="A1939" t="inlineStr">
        <is>
          <t>Bank 银行</t>
        </is>
      </c>
      <c r="B1939" s="5">
        <f>IF(AND('Daily Sale entry '!Z439="Online collection 网上收款",'Daily Sale entry '!AA439&lt;&gt;""),'Daily Sale entry '!X439,"")</f>
        <v/>
      </c>
      <c r="C1939">
        <f>IF(B1939="","",'Daily Sale entry '!AA439)</f>
        <v/>
      </c>
      <c r="D1939">
        <f>IF(C1939="","",0)</f>
        <v/>
      </c>
      <c r="E1939">
        <f>IF(C1939="","",'Daily Sale entry '!AC439)</f>
        <v/>
      </c>
      <c r="F1939" s="37">
        <f>IF(C1939="","",B1939+IF(E1939&gt;0,0,0.5)+ROW()/10000000)</f>
        <v/>
      </c>
      <c r="G1939">
        <f>IF(C1939="","","Collection 收款 (Online 网上)"&amp;IF('Daily Sale entry '!Y439="",""," - "&amp;'Daily Sale entry '!Y439))</f>
        <v/>
      </c>
      <c r="H1939">
        <f>IF(C1939="","",COUNTIFS($C$2:$C$3001,C1939,$F$2:$F$3001,"&lt;"&amp;F1939)+1)</f>
        <v/>
      </c>
      <c r="I1939">
        <f>IF(C1939="","",C1939&amp;"|"&amp;H1939)</f>
        <v/>
      </c>
      <c r="J1939" s="6">
        <f>IF(C1939="","",IF(H1939=1,SUMIFS('Opening Balance'!$F$4:$F$303,'Opening Balance'!$G$4:$G$303,C1939),INDEX($L$2:$L$3001,MATCH(C1939&amp;"|"&amp;(H1939-1),$I$2:$I$3001,0))))</f>
        <v/>
      </c>
      <c r="K1939" s="6">
        <f>IF(C1939="","",IF(M1939&gt;0,M1939,IF(AND(E1939&gt;0,ROUND(J1939+D1939-E1939,2)&gt;0,ROUND(J1939+D1939-E1939,2)&lt;'Opening Balance'!$B$14),ROUND(J1939+D1939-E1939,2),0)))</f>
        <v/>
      </c>
      <c r="L1939" s="6">
        <f>IF(C1939="","",ROUND(J1939+D1939-E1939-K1939,2))</f>
        <v/>
      </c>
      <c r="M1939" s="6">
        <f>IF(C1939="","",0)</f>
        <v/>
      </c>
    </row>
    <row r="1940">
      <c r="A1940" t="inlineStr">
        <is>
          <t>Bank 银行</t>
        </is>
      </c>
      <c r="B1940" s="5">
        <f>IF(AND('Daily Sale entry '!Z440="Online collection 网上收款",'Daily Sale entry '!AA440&lt;&gt;""),'Daily Sale entry '!X440,"")</f>
        <v/>
      </c>
      <c r="C1940">
        <f>IF(B1940="","",'Daily Sale entry '!AA440)</f>
        <v/>
      </c>
      <c r="D1940">
        <f>IF(C1940="","",0)</f>
        <v/>
      </c>
      <c r="E1940">
        <f>IF(C1940="","",'Daily Sale entry '!AC440)</f>
        <v/>
      </c>
      <c r="F1940" s="37">
        <f>IF(C1940="","",B1940+IF(E1940&gt;0,0,0.5)+ROW()/10000000)</f>
        <v/>
      </c>
      <c r="G1940">
        <f>IF(C1940="","","Collection 收款 (Online 网上)"&amp;IF('Daily Sale entry '!Y440="",""," - "&amp;'Daily Sale entry '!Y440))</f>
        <v/>
      </c>
      <c r="H1940">
        <f>IF(C1940="","",COUNTIFS($C$2:$C$3001,C1940,$F$2:$F$3001,"&lt;"&amp;F1940)+1)</f>
        <v/>
      </c>
      <c r="I1940">
        <f>IF(C1940="","",C1940&amp;"|"&amp;H1940)</f>
        <v/>
      </c>
      <c r="J1940" s="6">
        <f>IF(C1940="","",IF(H1940=1,SUMIFS('Opening Balance'!$F$4:$F$303,'Opening Balance'!$G$4:$G$303,C1940),INDEX($L$2:$L$3001,MATCH(C1940&amp;"|"&amp;(H1940-1),$I$2:$I$3001,0))))</f>
        <v/>
      </c>
      <c r="K1940" s="6">
        <f>IF(C1940="","",IF(M1940&gt;0,M1940,IF(AND(E1940&gt;0,ROUND(J1940+D1940-E1940,2)&gt;0,ROUND(J1940+D1940-E1940,2)&lt;'Opening Balance'!$B$14),ROUND(J1940+D1940-E1940,2),0)))</f>
        <v/>
      </c>
      <c r="L1940" s="6">
        <f>IF(C1940="","",ROUND(J1940+D1940-E1940-K1940,2))</f>
        <v/>
      </c>
      <c r="M1940" s="6">
        <f>IF(C1940="","",0)</f>
        <v/>
      </c>
    </row>
    <row r="1941">
      <c r="A1941" t="inlineStr">
        <is>
          <t>Bank 银行</t>
        </is>
      </c>
      <c r="B1941" s="5">
        <f>IF(AND('Daily Sale entry '!Z441="Online collection 网上收款",'Daily Sale entry '!AA441&lt;&gt;""),'Daily Sale entry '!X441,"")</f>
        <v/>
      </c>
      <c r="C1941">
        <f>IF(B1941="","",'Daily Sale entry '!AA441)</f>
        <v/>
      </c>
      <c r="D1941">
        <f>IF(C1941="","",0)</f>
        <v/>
      </c>
      <c r="E1941">
        <f>IF(C1941="","",'Daily Sale entry '!AC441)</f>
        <v/>
      </c>
      <c r="F1941" s="37">
        <f>IF(C1941="","",B1941+IF(E1941&gt;0,0,0.5)+ROW()/10000000)</f>
        <v/>
      </c>
      <c r="G1941">
        <f>IF(C1941="","","Collection 收款 (Online 网上)"&amp;IF('Daily Sale entry '!Y441="",""," - "&amp;'Daily Sale entry '!Y441))</f>
        <v/>
      </c>
      <c r="H1941">
        <f>IF(C1941="","",COUNTIFS($C$2:$C$3001,C1941,$F$2:$F$3001,"&lt;"&amp;F1941)+1)</f>
        <v/>
      </c>
      <c r="I1941">
        <f>IF(C1941="","",C1941&amp;"|"&amp;H1941)</f>
        <v/>
      </c>
      <c r="J1941" s="6">
        <f>IF(C1941="","",IF(H1941=1,SUMIFS('Opening Balance'!$F$4:$F$303,'Opening Balance'!$G$4:$G$303,C1941),INDEX($L$2:$L$3001,MATCH(C1941&amp;"|"&amp;(H1941-1),$I$2:$I$3001,0))))</f>
        <v/>
      </c>
      <c r="K1941" s="6">
        <f>IF(C1941="","",IF(M1941&gt;0,M1941,IF(AND(E1941&gt;0,ROUND(J1941+D1941-E1941,2)&gt;0,ROUND(J1941+D1941-E1941,2)&lt;'Opening Balance'!$B$14),ROUND(J1941+D1941-E1941,2),0)))</f>
        <v/>
      </c>
      <c r="L1941" s="6">
        <f>IF(C1941="","",ROUND(J1941+D1941-E1941-K1941,2))</f>
        <v/>
      </c>
      <c r="M1941" s="6">
        <f>IF(C1941="","",0)</f>
        <v/>
      </c>
    </row>
    <row r="1942">
      <c r="A1942" t="inlineStr">
        <is>
          <t>Bank 银行</t>
        </is>
      </c>
      <c r="B1942" s="5">
        <f>IF(AND('Daily Sale entry '!Z442="Online collection 网上收款",'Daily Sale entry '!AA442&lt;&gt;""),'Daily Sale entry '!X442,"")</f>
        <v/>
      </c>
      <c r="C1942">
        <f>IF(B1942="","",'Daily Sale entry '!AA442)</f>
        <v/>
      </c>
      <c r="D1942">
        <f>IF(C1942="","",0)</f>
        <v/>
      </c>
      <c r="E1942">
        <f>IF(C1942="","",'Daily Sale entry '!AC442)</f>
        <v/>
      </c>
      <c r="F1942" s="37">
        <f>IF(C1942="","",B1942+IF(E1942&gt;0,0,0.5)+ROW()/10000000)</f>
        <v/>
      </c>
      <c r="G1942">
        <f>IF(C1942="","","Collection 收款 (Online 网上)"&amp;IF('Daily Sale entry '!Y442="",""," - "&amp;'Daily Sale entry '!Y442))</f>
        <v/>
      </c>
      <c r="H1942">
        <f>IF(C1942="","",COUNTIFS($C$2:$C$3001,C1942,$F$2:$F$3001,"&lt;"&amp;F1942)+1)</f>
        <v/>
      </c>
      <c r="I1942">
        <f>IF(C1942="","",C1942&amp;"|"&amp;H1942)</f>
        <v/>
      </c>
      <c r="J1942" s="6">
        <f>IF(C1942="","",IF(H1942=1,SUMIFS('Opening Balance'!$F$4:$F$303,'Opening Balance'!$G$4:$G$303,C1942),INDEX($L$2:$L$3001,MATCH(C1942&amp;"|"&amp;(H1942-1),$I$2:$I$3001,0))))</f>
        <v/>
      </c>
      <c r="K1942" s="6">
        <f>IF(C1942="","",IF(M1942&gt;0,M1942,IF(AND(E1942&gt;0,ROUND(J1942+D1942-E1942,2)&gt;0,ROUND(J1942+D1942-E1942,2)&lt;'Opening Balance'!$B$14),ROUND(J1942+D1942-E1942,2),0)))</f>
        <v/>
      </c>
      <c r="L1942" s="6">
        <f>IF(C1942="","",ROUND(J1942+D1942-E1942-K1942,2))</f>
        <v/>
      </c>
      <c r="M1942" s="6">
        <f>IF(C1942="","",0)</f>
        <v/>
      </c>
    </row>
    <row r="1943">
      <c r="A1943" t="inlineStr">
        <is>
          <t>Bank 银行</t>
        </is>
      </c>
      <c r="B1943" s="5">
        <f>IF(AND('Daily Sale entry '!Z443="Online collection 网上收款",'Daily Sale entry '!AA443&lt;&gt;""),'Daily Sale entry '!X443,"")</f>
        <v/>
      </c>
      <c r="C1943">
        <f>IF(B1943="","",'Daily Sale entry '!AA443)</f>
        <v/>
      </c>
      <c r="D1943">
        <f>IF(C1943="","",0)</f>
        <v/>
      </c>
      <c r="E1943">
        <f>IF(C1943="","",'Daily Sale entry '!AC443)</f>
        <v/>
      </c>
      <c r="F1943" s="37">
        <f>IF(C1943="","",B1943+IF(E1943&gt;0,0,0.5)+ROW()/10000000)</f>
        <v/>
      </c>
      <c r="G1943">
        <f>IF(C1943="","","Collection 收款 (Online 网上)"&amp;IF('Daily Sale entry '!Y443="",""," - "&amp;'Daily Sale entry '!Y443))</f>
        <v/>
      </c>
      <c r="H1943">
        <f>IF(C1943="","",COUNTIFS($C$2:$C$3001,C1943,$F$2:$F$3001,"&lt;"&amp;F1943)+1)</f>
        <v/>
      </c>
      <c r="I1943">
        <f>IF(C1943="","",C1943&amp;"|"&amp;H1943)</f>
        <v/>
      </c>
      <c r="J1943" s="6">
        <f>IF(C1943="","",IF(H1943=1,SUMIFS('Opening Balance'!$F$4:$F$303,'Opening Balance'!$G$4:$G$303,C1943),INDEX($L$2:$L$3001,MATCH(C1943&amp;"|"&amp;(H1943-1),$I$2:$I$3001,0))))</f>
        <v/>
      </c>
      <c r="K1943" s="6">
        <f>IF(C1943="","",IF(M1943&gt;0,M1943,IF(AND(E1943&gt;0,ROUND(J1943+D1943-E1943,2)&gt;0,ROUND(J1943+D1943-E1943,2)&lt;'Opening Balance'!$B$14),ROUND(J1943+D1943-E1943,2),0)))</f>
        <v/>
      </c>
      <c r="L1943" s="6">
        <f>IF(C1943="","",ROUND(J1943+D1943-E1943-K1943,2))</f>
        <v/>
      </c>
      <c r="M1943" s="6">
        <f>IF(C1943="","",0)</f>
        <v/>
      </c>
    </row>
    <row r="1944">
      <c r="A1944" t="inlineStr">
        <is>
          <t>Bank 银行</t>
        </is>
      </c>
      <c r="B1944" s="5">
        <f>IF(AND('Daily Sale entry '!Z444="Online collection 网上收款",'Daily Sale entry '!AA444&lt;&gt;""),'Daily Sale entry '!X444,"")</f>
        <v/>
      </c>
      <c r="C1944">
        <f>IF(B1944="","",'Daily Sale entry '!AA444)</f>
        <v/>
      </c>
      <c r="D1944">
        <f>IF(C1944="","",0)</f>
        <v/>
      </c>
      <c r="E1944">
        <f>IF(C1944="","",'Daily Sale entry '!AC444)</f>
        <v/>
      </c>
      <c r="F1944" s="37">
        <f>IF(C1944="","",B1944+IF(E1944&gt;0,0,0.5)+ROW()/10000000)</f>
        <v/>
      </c>
      <c r="G1944">
        <f>IF(C1944="","","Collection 收款 (Online 网上)"&amp;IF('Daily Sale entry '!Y444="",""," - "&amp;'Daily Sale entry '!Y444))</f>
        <v/>
      </c>
      <c r="H1944">
        <f>IF(C1944="","",COUNTIFS($C$2:$C$3001,C1944,$F$2:$F$3001,"&lt;"&amp;F1944)+1)</f>
        <v/>
      </c>
      <c r="I1944">
        <f>IF(C1944="","",C1944&amp;"|"&amp;H1944)</f>
        <v/>
      </c>
      <c r="J1944" s="6">
        <f>IF(C1944="","",IF(H1944=1,SUMIFS('Opening Balance'!$F$4:$F$303,'Opening Balance'!$G$4:$G$303,C1944),INDEX($L$2:$L$3001,MATCH(C1944&amp;"|"&amp;(H1944-1),$I$2:$I$3001,0))))</f>
        <v/>
      </c>
      <c r="K1944" s="6">
        <f>IF(C1944="","",IF(M1944&gt;0,M1944,IF(AND(E1944&gt;0,ROUND(J1944+D1944-E1944,2)&gt;0,ROUND(J1944+D1944-E1944,2)&lt;'Opening Balance'!$B$14),ROUND(J1944+D1944-E1944,2),0)))</f>
        <v/>
      </c>
      <c r="L1944" s="6">
        <f>IF(C1944="","",ROUND(J1944+D1944-E1944-K1944,2))</f>
        <v/>
      </c>
      <c r="M1944" s="6">
        <f>IF(C1944="","",0)</f>
        <v/>
      </c>
    </row>
    <row r="1945">
      <c r="A1945" t="inlineStr">
        <is>
          <t>Bank 银行</t>
        </is>
      </c>
      <c r="B1945" s="5">
        <f>IF(AND('Daily Sale entry '!Z445="Online collection 网上收款",'Daily Sale entry '!AA445&lt;&gt;""),'Daily Sale entry '!X445,"")</f>
        <v/>
      </c>
      <c r="C1945">
        <f>IF(B1945="","",'Daily Sale entry '!AA445)</f>
        <v/>
      </c>
      <c r="D1945">
        <f>IF(C1945="","",0)</f>
        <v/>
      </c>
      <c r="E1945">
        <f>IF(C1945="","",'Daily Sale entry '!AC445)</f>
        <v/>
      </c>
      <c r="F1945" s="37">
        <f>IF(C1945="","",B1945+IF(E1945&gt;0,0,0.5)+ROW()/10000000)</f>
        <v/>
      </c>
      <c r="G1945">
        <f>IF(C1945="","","Collection 收款 (Online 网上)"&amp;IF('Daily Sale entry '!Y445="",""," - "&amp;'Daily Sale entry '!Y445))</f>
        <v/>
      </c>
      <c r="H1945">
        <f>IF(C1945="","",COUNTIFS($C$2:$C$3001,C1945,$F$2:$F$3001,"&lt;"&amp;F1945)+1)</f>
        <v/>
      </c>
      <c r="I1945">
        <f>IF(C1945="","",C1945&amp;"|"&amp;H1945)</f>
        <v/>
      </c>
      <c r="J1945" s="6">
        <f>IF(C1945="","",IF(H1945=1,SUMIFS('Opening Balance'!$F$4:$F$303,'Opening Balance'!$G$4:$G$303,C1945),INDEX($L$2:$L$3001,MATCH(C1945&amp;"|"&amp;(H1945-1),$I$2:$I$3001,0))))</f>
        <v/>
      </c>
      <c r="K1945" s="6">
        <f>IF(C1945="","",IF(M1945&gt;0,M1945,IF(AND(E1945&gt;0,ROUND(J1945+D1945-E1945,2)&gt;0,ROUND(J1945+D1945-E1945,2)&lt;'Opening Balance'!$B$14),ROUND(J1945+D1945-E1945,2),0)))</f>
        <v/>
      </c>
      <c r="L1945" s="6">
        <f>IF(C1945="","",ROUND(J1945+D1945-E1945-K1945,2))</f>
        <v/>
      </c>
      <c r="M1945" s="6">
        <f>IF(C1945="","",0)</f>
        <v/>
      </c>
    </row>
    <row r="1946">
      <c r="A1946" t="inlineStr">
        <is>
          <t>Bank 银行</t>
        </is>
      </c>
      <c r="B1946" s="5">
        <f>IF(AND('Daily Sale entry '!Z446="Online collection 网上收款",'Daily Sale entry '!AA446&lt;&gt;""),'Daily Sale entry '!X446,"")</f>
        <v/>
      </c>
      <c r="C1946">
        <f>IF(B1946="","",'Daily Sale entry '!AA446)</f>
        <v/>
      </c>
      <c r="D1946">
        <f>IF(C1946="","",0)</f>
        <v/>
      </c>
      <c r="E1946">
        <f>IF(C1946="","",'Daily Sale entry '!AC446)</f>
        <v/>
      </c>
      <c r="F1946" s="37">
        <f>IF(C1946="","",B1946+IF(E1946&gt;0,0,0.5)+ROW()/10000000)</f>
        <v/>
      </c>
      <c r="G1946">
        <f>IF(C1946="","","Collection 收款 (Online 网上)"&amp;IF('Daily Sale entry '!Y446="",""," - "&amp;'Daily Sale entry '!Y446))</f>
        <v/>
      </c>
      <c r="H1946">
        <f>IF(C1946="","",COUNTIFS($C$2:$C$3001,C1946,$F$2:$F$3001,"&lt;"&amp;F1946)+1)</f>
        <v/>
      </c>
      <c r="I1946">
        <f>IF(C1946="","",C1946&amp;"|"&amp;H1946)</f>
        <v/>
      </c>
      <c r="J1946" s="6">
        <f>IF(C1946="","",IF(H1946=1,SUMIFS('Opening Balance'!$F$4:$F$303,'Opening Balance'!$G$4:$G$303,C1946),INDEX($L$2:$L$3001,MATCH(C1946&amp;"|"&amp;(H1946-1),$I$2:$I$3001,0))))</f>
        <v/>
      </c>
      <c r="K1946" s="6">
        <f>IF(C1946="","",IF(M1946&gt;0,M1946,IF(AND(E1946&gt;0,ROUND(J1946+D1946-E1946,2)&gt;0,ROUND(J1946+D1946-E1946,2)&lt;'Opening Balance'!$B$14),ROUND(J1946+D1946-E1946,2),0)))</f>
        <v/>
      </c>
      <c r="L1946" s="6">
        <f>IF(C1946="","",ROUND(J1946+D1946-E1946-K1946,2))</f>
        <v/>
      </c>
      <c r="M1946" s="6">
        <f>IF(C1946="","",0)</f>
        <v/>
      </c>
    </row>
    <row r="1947">
      <c r="A1947" t="inlineStr">
        <is>
          <t>Bank 银行</t>
        </is>
      </c>
      <c r="B1947" s="5">
        <f>IF(AND('Daily Sale entry '!Z447="Online collection 网上收款",'Daily Sale entry '!AA447&lt;&gt;""),'Daily Sale entry '!X447,"")</f>
        <v/>
      </c>
      <c r="C1947">
        <f>IF(B1947="","",'Daily Sale entry '!AA447)</f>
        <v/>
      </c>
      <c r="D1947">
        <f>IF(C1947="","",0)</f>
        <v/>
      </c>
      <c r="E1947">
        <f>IF(C1947="","",'Daily Sale entry '!AC447)</f>
        <v/>
      </c>
      <c r="F1947" s="37">
        <f>IF(C1947="","",B1947+IF(E1947&gt;0,0,0.5)+ROW()/10000000)</f>
        <v/>
      </c>
      <c r="G1947">
        <f>IF(C1947="","","Collection 收款 (Online 网上)"&amp;IF('Daily Sale entry '!Y447="",""," - "&amp;'Daily Sale entry '!Y447))</f>
        <v/>
      </c>
      <c r="H1947">
        <f>IF(C1947="","",COUNTIFS($C$2:$C$3001,C1947,$F$2:$F$3001,"&lt;"&amp;F1947)+1)</f>
        <v/>
      </c>
      <c r="I1947">
        <f>IF(C1947="","",C1947&amp;"|"&amp;H1947)</f>
        <v/>
      </c>
      <c r="J1947" s="6">
        <f>IF(C1947="","",IF(H1947=1,SUMIFS('Opening Balance'!$F$4:$F$303,'Opening Balance'!$G$4:$G$303,C1947),INDEX($L$2:$L$3001,MATCH(C1947&amp;"|"&amp;(H1947-1),$I$2:$I$3001,0))))</f>
        <v/>
      </c>
      <c r="K1947" s="6">
        <f>IF(C1947="","",IF(M1947&gt;0,M1947,IF(AND(E1947&gt;0,ROUND(J1947+D1947-E1947,2)&gt;0,ROUND(J1947+D1947-E1947,2)&lt;'Opening Balance'!$B$14),ROUND(J1947+D1947-E1947,2),0)))</f>
        <v/>
      </c>
      <c r="L1947" s="6">
        <f>IF(C1947="","",ROUND(J1947+D1947-E1947-K1947,2))</f>
        <v/>
      </c>
      <c r="M1947" s="6">
        <f>IF(C1947="","",0)</f>
        <v/>
      </c>
    </row>
    <row r="1948">
      <c r="A1948" t="inlineStr">
        <is>
          <t>Bank 银行</t>
        </is>
      </c>
      <c r="B1948" s="5">
        <f>IF(AND('Daily Sale entry '!Z448="Online collection 网上收款",'Daily Sale entry '!AA448&lt;&gt;""),'Daily Sale entry '!X448,"")</f>
        <v/>
      </c>
      <c r="C1948">
        <f>IF(B1948="","",'Daily Sale entry '!AA448)</f>
        <v/>
      </c>
      <c r="D1948">
        <f>IF(C1948="","",0)</f>
        <v/>
      </c>
      <c r="E1948">
        <f>IF(C1948="","",'Daily Sale entry '!AC448)</f>
        <v/>
      </c>
      <c r="F1948" s="37">
        <f>IF(C1948="","",B1948+IF(E1948&gt;0,0,0.5)+ROW()/10000000)</f>
        <v/>
      </c>
      <c r="G1948">
        <f>IF(C1948="","","Collection 收款 (Online 网上)"&amp;IF('Daily Sale entry '!Y448="",""," - "&amp;'Daily Sale entry '!Y448))</f>
        <v/>
      </c>
      <c r="H1948">
        <f>IF(C1948="","",COUNTIFS($C$2:$C$3001,C1948,$F$2:$F$3001,"&lt;"&amp;F1948)+1)</f>
        <v/>
      </c>
      <c r="I1948">
        <f>IF(C1948="","",C1948&amp;"|"&amp;H1948)</f>
        <v/>
      </c>
      <c r="J1948" s="6">
        <f>IF(C1948="","",IF(H1948=1,SUMIFS('Opening Balance'!$F$4:$F$303,'Opening Balance'!$G$4:$G$303,C1948),INDEX($L$2:$L$3001,MATCH(C1948&amp;"|"&amp;(H1948-1),$I$2:$I$3001,0))))</f>
        <v/>
      </c>
      <c r="K1948" s="6">
        <f>IF(C1948="","",IF(M1948&gt;0,M1948,IF(AND(E1948&gt;0,ROUND(J1948+D1948-E1948,2)&gt;0,ROUND(J1948+D1948-E1948,2)&lt;'Opening Balance'!$B$14),ROUND(J1948+D1948-E1948,2),0)))</f>
        <v/>
      </c>
      <c r="L1948" s="6">
        <f>IF(C1948="","",ROUND(J1948+D1948-E1948-K1948,2))</f>
        <v/>
      </c>
      <c r="M1948" s="6">
        <f>IF(C1948="","",0)</f>
        <v/>
      </c>
    </row>
    <row r="1949">
      <c r="A1949" t="inlineStr">
        <is>
          <t>Bank 银行</t>
        </is>
      </c>
      <c r="B1949" s="5">
        <f>IF(AND('Daily Sale entry '!Z449="Online collection 网上收款",'Daily Sale entry '!AA449&lt;&gt;""),'Daily Sale entry '!X449,"")</f>
        <v/>
      </c>
      <c r="C1949">
        <f>IF(B1949="","",'Daily Sale entry '!AA449)</f>
        <v/>
      </c>
      <c r="D1949">
        <f>IF(C1949="","",0)</f>
        <v/>
      </c>
      <c r="E1949">
        <f>IF(C1949="","",'Daily Sale entry '!AC449)</f>
        <v/>
      </c>
      <c r="F1949" s="37">
        <f>IF(C1949="","",B1949+IF(E1949&gt;0,0,0.5)+ROW()/10000000)</f>
        <v/>
      </c>
      <c r="G1949">
        <f>IF(C1949="","","Collection 收款 (Online 网上)"&amp;IF('Daily Sale entry '!Y449="",""," - "&amp;'Daily Sale entry '!Y449))</f>
        <v/>
      </c>
      <c r="H1949">
        <f>IF(C1949="","",COUNTIFS($C$2:$C$3001,C1949,$F$2:$F$3001,"&lt;"&amp;F1949)+1)</f>
        <v/>
      </c>
      <c r="I1949">
        <f>IF(C1949="","",C1949&amp;"|"&amp;H1949)</f>
        <v/>
      </c>
      <c r="J1949" s="6">
        <f>IF(C1949="","",IF(H1949=1,SUMIFS('Opening Balance'!$F$4:$F$303,'Opening Balance'!$G$4:$G$303,C1949),INDEX($L$2:$L$3001,MATCH(C1949&amp;"|"&amp;(H1949-1),$I$2:$I$3001,0))))</f>
        <v/>
      </c>
      <c r="K1949" s="6">
        <f>IF(C1949="","",IF(M1949&gt;0,M1949,IF(AND(E1949&gt;0,ROUND(J1949+D1949-E1949,2)&gt;0,ROUND(J1949+D1949-E1949,2)&lt;'Opening Balance'!$B$14),ROUND(J1949+D1949-E1949,2),0)))</f>
        <v/>
      </c>
      <c r="L1949" s="6">
        <f>IF(C1949="","",ROUND(J1949+D1949-E1949-K1949,2))</f>
        <v/>
      </c>
      <c r="M1949" s="6">
        <f>IF(C1949="","",0)</f>
        <v/>
      </c>
    </row>
    <row r="1950">
      <c r="A1950" t="inlineStr">
        <is>
          <t>Bank 银行</t>
        </is>
      </c>
      <c r="B1950" s="5">
        <f>IF(AND('Daily Sale entry '!Z450="Online collection 网上收款",'Daily Sale entry '!AA450&lt;&gt;""),'Daily Sale entry '!X450,"")</f>
        <v/>
      </c>
      <c r="C1950">
        <f>IF(B1950="","",'Daily Sale entry '!AA450)</f>
        <v/>
      </c>
      <c r="D1950">
        <f>IF(C1950="","",0)</f>
        <v/>
      </c>
      <c r="E1950">
        <f>IF(C1950="","",'Daily Sale entry '!AC450)</f>
        <v/>
      </c>
      <c r="F1950" s="37">
        <f>IF(C1950="","",B1950+IF(E1950&gt;0,0,0.5)+ROW()/10000000)</f>
        <v/>
      </c>
      <c r="G1950">
        <f>IF(C1950="","","Collection 收款 (Online 网上)"&amp;IF('Daily Sale entry '!Y450="",""," - "&amp;'Daily Sale entry '!Y450))</f>
        <v/>
      </c>
      <c r="H1950">
        <f>IF(C1950="","",COUNTIFS($C$2:$C$3001,C1950,$F$2:$F$3001,"&lt;"&amp;F1950)+1)</f>
        <v/>
      </c>
      <c r="I1950">
        <f>IF(C1950="","",C1950&amp;"|"&amp;H1950)</f>
        <v/>
      </c>
      <c r="J1950" s="6">
        <f>IF(C1950="","",IF(H1950=1,SUMIFS('Opening Balance'!$F$4:$F$303,'Opening Balance'!$G$4:$G$303,C1950),INDEX($L$2:$L$3001,MATCH(C1950&amp;"|"&amp;(H1950-1),$I$2:$I$3001,0))))</f>
        <v/>
      </c>
      <c r="K1950" s="6">
        <f>IF(C1950="","",IF(M1950&gt;0,M1950,IF(AND(E1950&gt;0,ROUND(J1950+D1950-E1950,2)&gt;0,ROUND(J1950+D1950-E1950,2)&lt;'Opening Balance'!$B$14),ROUND(J1950+D1950-E1950,2),0)))</f>
        <v/>
      </c>
      <c r="L1950" s="6">
        <f>IF(C1950="","",ROUND(J1950+D1950-E1950-K1950,2))</f>
        <v/>
      </c>
      <c r="M1950" s="6">
        <f>IF(C1950="","",0)</f>
        <v/>
      </c>
    </row>
    <row r="1951">
      <c r="A1951" t="inlineStr">
        <is>
          <t>Bank 银行</t>
        </is>
      </c>
      <c r="B1951" s="5">
        <f>IF(AND('Daily Sale entry '!Z451="Online collection 网上收款",'Daily Sale entry '!AA451&lt;&gt;""),'Daily Sale entry '!X451,"")</f>
        <v/>
      </c>
      <c r="C1951">
        <f>IF(B1951="","",'Daily Sale entry '!AA451)</f>
        <v/>
      </c>
      <c r="D1951">
        <f>IF(C1951="","",0)</f>
        <v/>
      </c>
      <c r="E1951">
        <f>IF(C1951="","",'Daily Sale entry '!AC451)</f>
        <v/>
      </c>
      <c r="F1951" s="37">
        <f>IF(C1951="","",B1951+IF(E1951&gt;0,0,0.5)+ROW()/10000000)</f>
        <v/>
      </c>
      <c r="G1951">
        <f>IF(C1951="","","Collection 收款 (Online 网上)"&amp;IF('Daily Sale entry '!Y451="",""," - "&amp;'Daily Sale entry '!Y451))</f>
        <v/>
      </c>
      <c r="H1951">
        <f>IF(C1951="","",COUNTIFS($C$2:$C$3001,C1951,$F$2:$F$3001,"&lt;"&amp;F1951)+1)</f>
        <v/>
      </c>
      <c r="I1951">
        <f>IF(C1951="","",C1951&amp;"|"&amp;H1951)</f>
        <v/>
      </c>
      <c r="J1951" s="6">
        <f>IF(C1951="","",IF(H1951=1,SUMIFS('Opening Balance'!$F$4:$F$303,'Opening Balance'!$G$4:$G$303,C1951),INDEX($L$2:$L$3001,MATCH(C1951&amp;"|"&amp;(H1951-1),$I$2:$I$3001,0))))</f>
        <v/>
      </c>
      <c r="K1951" s="6">
        <f>IF(C1951="","",IF(M1951&gt;0,M1951,IF(AND(E1951&gt;0,ROUND(J1951+D1951-E1951,2)&gt;0,ROUND(J1951+D1951-E1951,2)&lt;'Opening Balance'!$B$14),ROUND(J1951+D1951-E1951,2),0)))</f>
        <v/>
      </c>
      <c r="L1951" s="6">
        <f>IF(C1951="","",ROUND(J1951+D1951-E1951-K1951,2))</f>
        <v/>
      </c>
      <c r="M1951" s="6">
        <f>IF(C1951="","",0)</f>
        <v/>
      </c>
    </row>
    <row r="1952">
      <c r="A1952" t="inlineStr">
        <is>
          <t>Bank 银行</t>
        </is>
      </c>
      <c r="B1952" s="5">
        <f>IF(AND('Daily Sale entry '!Z452="Online collection 网上收款",'Daily Sale entry '!AA452&lt;&gt;""),'Daily Sale entry '!X452,"")</f>
        <v/>
      </c>
      <c r="C1952">
        <f>IF(B1952="","",'Daily Sale entry '!AA452)</f>
        <v/>
      </c>
      <c r="D1952">
        <f>IF(C1952="","",0)</f>
        <v/>
      </c>
      <c r="E1952">
        <f>IF(C1952="","",'Daily Sale entry '!AC452)</f>
        <v/>
      </c>
      <c r="F1952" s="37">
        <f>IF(C1952="","",B1952+IF(E1952&gt;0,0,0.5)+ROW()/10000000)</f>
        <v/>
      </c>
      <c r="G1952">
        <f>IF(C1952="","","Collection 收款 (Online 网上)"&amp;IF('Daily Sale entry '!Y452="",""," - "&amp;'Daily Sale entry '!Y452))</f>
        <v/>
      </c>
      <c r="H1952">
        <f>IF(C1952="","",COUNTIFS($C$2:$C$3001,C1952,$F$2:$F$3001,"&lt;"&amp;F1952)+1)</f>
        <v/>
      </c>
      <c r="I1952">
        <f>IF(C1952="","",C1952&amp;"|"&amp;H1952)</f>
        <v/>
      </c>
      <c r="J1952" s="6">
        <f>IF(C1952="","",IF(H1952=1,SUMIFS('Opening Balance'!$F$4:$F$303,'Opening Balance'!$G$4:$G$303,C1952),INDEX($L$2:$L$3001,MATCH(C1952&amp;"|"&amp;(H1952-1),$I$2:$I$3001,0))))</f>
        <v/>
      </c>
      <c r="K1952" s="6">
        <f>IF(C1952="","",IF(M1952&gt;0,M1952,IF(AND(E1952&gt;0,ROUND(J1952+D1952-E1952,2)&gt;0,ROUND(J1952+D1952-E1952,2)&lt;'Opening Balance'!$B$14),ROUND(J1952+D1952-E1952,2),0)))</f>
        <v/>
      </c>
      <c r="L1952" s="6">
        <f>IF(C1952="","",ROUND(J1952+D1952-E1952-K1952,2))</f>
        <v/>
      </c>
      <c r="M1952" s="6">
        <f>IF(C1952="","",0)</f>
        <v/>
      </c>
    </row>
    <row r="1953">
      <c r="A1953" t="inlineStr">
        <is>
          <t>Bank 银行</t>
        </is>
      </c>
      <c r="B1953" s="5">
        <f>IF(AND('Daily Sale entry '!Z453="Online collection 网上收款",'Daily Sale entry '!AA453&lt;&gt;""),'Daily Sale entry '!X453,"")</f>
        <v/>
      </c>
      <c r="C1953">
        <f>IF(B1953="","",'Daily Sale entry '!AA453)</f>
        <v/>
      </c>
      <c r="D1953">
        <f>IF(C1953="","",0)</f>
        <v/>
      </c>
      <c r="E1953">
        <f>IF(C1953="","",'Daily Sale entry '!AC453)</f>
        <v/>
      </c>
      <c r="F1953" s="37">
        <f>IF(C1953="","",B1953+IF(E1953&gt;0,0,0.5)+ROW()/10000000)</f>
        <v/>
      </c>
      <c r="G1953">
        <f>IF(C1953="","","Collection 收款 (Online 网上)"&amp;IF('Daily Sale entry '!Y453="",""," - "&amp;'Daily Sale entry '!Y453))</f>
        <v/>
      </c>
      <c r="H1953">
        <f>IF(C1953="","",COUNTIFS($C$2:$C$3001,C1953,$F$2:$F$3001,"&lt;"&amp;F1953)+1)</f>
        <v/>
      </c>
      <c r="I1953">
        <f>IF(C1953="","",C1953&amp;"|"&amp;H1953)</f>
        <v/>
      </c>
      <c r="J1953" s="6">
        <f>IF(C1953="","",IF(H1953=1,SUMIFS('Opening Balance'!$F$4:$F$303,'Opening Balance'!$G$4:$G$303,C1953),INDEX($L$2:$L$3001,MATCH(C1953&amp;"|"&amp;(H1953-1),$I$2:$I$3001,0))))</f>
        <v/>
      </c>
      <c r="K1953" s="6">
        <f>IF(C1953="","",IF(M1953&gt;0,M1953,IF(AND(E1953&gt;0,ROUND(J1953+D1953-E1953,2)&gt;0,ROUND(J1953+D1953-E1953,2)&lt;'Opening Balance'!$B$14),ROUND(J1953+D1953-E1953,2),0)))</f>
        <v/>
      </c>
      <c r="L1953" s="6">
        <f>IF(C1953="","",ROUND(J1953+D1953-E1953-K1953,2))</f>
        <v/>
      </c>
      <c r="M1953" s="6">
        <f>IF(C1953="","",0)</f>
        <v/>
      </c>
    </row>
    <row r="1954">
      <c r="A1954" t="inlineStr">
        <is>
          <t>Bank 银行</t>
        </is>
      </c>
      <c r="B1954" s="5">
        <f>IF(AND('Daily Sale entry '!Z454="Online collection 网上收款",'Daily Sale entry '!AA454&lt;&gt;""),'Daily Sale entry '!X454,"")</f>
        <v/>
      </c>
      <c r="C1954">
        <f>IF(B1954="","",'Daily Sale entry '!AA454)</f>
        <v/>
      </c>
      <c r="D1954">
        <f>IF(C1954="","",0)</f>
        <v/>
      </c>
      <c r="E1954">
        <f>IF(C1954="","",'Daily Sale entry '!AC454)</f>
        <v/>
      </c>
      <c r="F1954" s="37">
        <f>IF(C1954="","",B1954+IF(E1954&gt;0,0,0.5)+ROW()/10000000)</f>
        <v/>
      </c>
      <c r="G1954">
        <f>IF(C1954="","","Collection 收款 (Online 网上)"&amp;IF('Daily Sale entry '!Y454="",""," - "&amp;'Daily Sale entry '!Y454))</f>
        <v/>
      </c>
      <c r="H1954">
        <f>IF(C1954="","",COUNTIFS($C$2:$C$3001,C1954,$F$2:$F$3001,"&lt;"&amp;F1954)+1)</f>
        <v/>
      </c>
      <c r="I1954">
        <f>IF(C1954="","",C1954&amp;"|"&amp;H1954)</f>
        <v/>
      </c>
      <c r="J1954" s="6">
        <f>IF(C1954="","",IF(H1954=1,SUMIFS('Opening Balance'!$F$4:$F$303,'Opening Balance'!$G$4:$G$303,C1954),INDEX($L$2:$L$3001,MATCH(C1954&amp;"|"&amp;(H1954-1),$I$2:$I$3001,0))))</f>
        <v/>
      </c>
      <c r="K1954" s="6">
        <f>IF(C1954="","",IF(M1954&gt;0,M1954,IF(AND(E1954&gt;0,ROUND(J1954+D1954-E1954,2)&gt;0,ROUND(J1954+D1954-E1954,2)&lt;'Opening Balance'!$B$14),ROUND(J1954+D1954-E1954,2),0)))</f>
        <v/>
      </c>
      <c r="L1954" s="6">
        <f>IF(C1954="","",ROUND(J1954+D1954-E1954-K1954,2))</f>
        <v/>
      </c>
      <c r="M1954" s="6">
        <f>IF(C1954="","",0)</f>
        <v/>
      </c>
    </row>
    <row r="1955">
      <c r="A1955" t="inlineStr">
        <is>
          <t>Bank 银行</t>
        </is>
      </c>
      <c r="B1955" s="5">
        <f>IF(AND('Daily Sale entry '!Z455="Online collection 网上收款",'Daily Sale entry '!AA455&lt;&gt;""),'Daily Sale entry '!X455,"")</f>
        <v/>
      </c>
      <c r="C1955">
        <f>IF(B1955="","",'Daily Sale entry '!AA455)</f>
        <v/>
      </c>
      <c r="D1955">
        <f>IF(C1955="","",0)</f>
        <v/>
      </c>
      <c r="E1955">
        <f>IF(C1955="","",'Daily Sale entry '!AC455)</f>
        <v/>
      </c>
      <c r="F1955" s="37">
        <f>IF(C1955="","",B1955+IF(E1955&gt;0,0,0.5)+ROW()/10000000)</f>
        <v/>
      </c>
      <c r="G1955">
        <f>IF(C1955="","","Collection 收款 (Online 网上)"&amp;IF('Daily Sale entry '!Y455="",""," - "&amp;'Daily Sale entry '!Y455))</f>
        <v/>
      </c>
      <c r="H1955">
        <f>IF(C1955="","",COUNTIFS($C$2:$C$3001,C1955,$F$2:$F$3001,"&lt;"&amp;F1955)+1)</f>
        <v/>
      </c>
      <c r="I1955">
        <f>IF(C1955="","",C1955&amp;"|"&amp;H1955)</f>
        <v/>
      </c>
      <c r="J1955" s="6">
        <f>IF(C1955="","",IF(H1955=1,SUMIFS('Opening Balance'!$F$4:$F$303,'Opening Balance'!$G$4:$G$303,C1955),INDEX($L$2:$L$3001,MATCH(C1955&amp;"|"&amp;(H1955-1),$I$2:$I$3001,0))))</f>
        <v/>
      </c>
      <c r="K1955" s="6">
        <f>IF(C1955="","",IF(M1955&gt;0,M1955,IF(AND(E1955&gt;0,ROUND(J1955+D1955-E1955,2)&gt;0,ROUND(J1955+D1955-E1955,2)&lt;'Opening Balance'!$B$14),ROUND(J1955+D1955-E1955,2),0)))</f>
        <v/>
      </c>
      <c r="L1955" s="6">
        <f>IF(C1955="","",ROUND(J1955+D1955-E1955-K1955,2))</f>
        <v/>
      </c>
      <c r="M1955" s="6">
        <f>IF(C1955="","",0)</f>
        <v/>
      </c>
    </row>
    <row r="1956">
      <c r="A1956" t="inlineStr">
        <is>
          <t>Bank 银行</t>
        </is>
      </c>
      <c r="B1956" s="5">
        <f>IF(AND('Daily Sale entry '!Z456="Online collection 网上收款",'Daily Sale entry '!AA456&lt;&gt;""),'Daily Sale entry '!X456,"")</f>
        <v/>
      </c>
      <c r="C1956">
        <f>IF(B1956="","",'Daily Sale entry '!AA456)</f>
        <v/>
      </c>
      <c r="D1956">
        <f>IF(C1956="","",0)</f>
        <v/>
      </c>
      <c r="E1956">
        <f>IF(C1956="","",'Daily Sale entry '!AC456)</f>
        <v/>
      </c>
      <c r="F1956" s="37">
        <f>IF(C1956="","",B1956+IF(E1956&gt;0,0,0.5)+ROW()/10000000)</f>
        <v/>
      </c>
      <c r="G1956">
        <f>IF(C1956="","","Collection 收款 (Online 网上)"&amp;IF('Daily Sale entry '!Y456="",""," - "&amp;'Daily Sale entry '!Y456))</f>
        <v/>
      </c>
      <c r="H1956">
        <f>IF(C1956="","",COUNTIFS($C$2:$C$3001,C1956,$F$2:$F$3001,"&lt;"&amp;F1956)+1)</f>
        <v/>
      </c>
      <c r="I1956">
        <f>IF(C1956="","",C1956&amp;"|"&amp;H1956)</f>
        <v/>
      </c>
      <c r="J1956" s="6">
        <f>IF(C1956="","",IF(H1956=1,SUMIFS('Opening Balance'!$F$4:$F$303,'Opening Balance'!$G$4:$G$303,C1956),INDEX($L$2:$L$3001,MATCH(C1956&amp;"|"&amp;(H1956-1),$I$2:$I$3001,0))))</f>
        <v/>
      </c>
      <c r="K1956" s="6">
        <f>IF(C1956="","",IF(M1956&gt;0,M1956,IF(AND(E1956&gt;0,ROUND(J1956+D1956-E1956,2)&gt;0,ROUND(J1956+D1956-E1956,2)&lt;'Opening Balance'!$B$14),ROUND(J1956+D1956-E1956,2),0)))</f>
        <v/>
      </c>
      <c r="L1956" s="6">
        <f>IF(C1956="","",ROUND(J1956+D1956-E1956-K1956,2))</f>
        <v/>
      </c>
      <c r="M1956" s="6">
        <f>IF(C1956="","",0)</f>
        <v/>
      </c>
    </row>
    <row r="1957">
      <c r="A1957" t="inlineStr">
        <is>
          <t>Bank 银行</t>
        </is>
      </c>
      <c r="B1957" s="5">
        <f>IF(AND('Daily Sale entry '!Z457="Online collection 网上收款",'Daily Sale entry '!AA457&lt;&gt;""),'Daily Sale entry '!X457,"")</f>
        <v/>
      </c>
      <c r="C1957">
        <f>IF(B1957="","",'Daily Sale entry '!AA457)</f>
        <v/>
      </c>
      <c r="D1957">
        <f>IF(C1957="","",0)</f>
        <v/>
      </c>
      <c r="E1957">
        <f>IF(C1957="","",'Daily Sale entry '!AC457)</f>
        <v/>
      </c>
      <c r="F1957" s="37">
        <f>IF(C1957="","",B1957+IF(E1957&gt;0,0,0.5)+ROW()/10000000)</f>
        <v/>
      </c>
      <c r="G1957">
        <f>IF(C1957="","","Collection 收款 (Online 网上)"&amp;IF('Daily Sale entry '!Y457="",""," - "&amp;'Daily Sale entry '!Y457))</f>
        <v/>
      </c>
      <c r="H1957">
        <f>IF(C1957="","",COUNTIFS($C$2:$C$3001,C1957,$F$2:$F$3001,"&lt;"&amp;F1957)+1)</f>
        <v/>
      </c>
      <c r="I1957">
        <f>IF(C1957="","",C1957&amp;"|"&amp;H1957)</f>
        <v/>
      </c>
      <c r="J1957" s="6">
        <f>IF(C1957="","",IF(H1957=1,SUMIFS('Opening Balance'!$F$4:$F$303,'Opening Balance'!$G$4:$G$303,C1957),INDEX($L$2:$L$3001,MATCH(C1957&amp;"|"&amp;(H1957-1),$I$2:$I$3001,0))))</f>
        <v/>
      </c>
      <c r="K1957" s="6">
        <f>IF(C1957="","",IF(M1957&gt;0,M1957,IF(AND(E1957&gt;0,ROUND(J1957+D1957-E1957,2)&gt;0,ROUND(J1957+D1957-E1957,2)&lt;'Opening Balance'!$B$14),ROUND(J1957+D1957-E1957,2),0)))</f>
        <v/>
      </c>
      <c r="L1957" s="6">
        <f>IF(C1957="","",ROUND(J1957+D1957-E1957-K1957,2))</f>
        <v/>
      </c>
      <c r="M1957" s="6">
        <f>IF(C1957="","",0)</f>
        <v/>
      </c>
    </row>
    <row r="1958">
      <c r="A1958" t="inlineStr">
        <is>
          <t>Bank 银行</t>
        </is>
      </c>
      <c r="B1958" s="5">
        <f>IF(AND('Daily Sale entry '!Z458="Online collection 网上收款",'Daily Sale entry '!AA458&lt;&gt;""),'Daily Sale entry '!X458,"")</f>
        <v/>
      </c>
      <c r="C1958">
        <f>IF(B1958="","",'Daily Sale entry '!AA458)</f>
        <v/>
      </c>
      <c r="D1958">
        <f>IF(C1958="","",0)</f>
        <v/>
      </c>
      <c r="E1958">
        <f>IF(C1958="","",'Daily Sale entry '!AC458)</f>
        <v/>
      </c>
      <c r="F1958" s="37">
        <f>IF(C1958="","",B1958+IF(E1958&gt;0,0,0.5)+ROW()/10000000)</f>
        <v/>
      </c>
      <c r="G1958">
        <f>IF(C1958="","","Collection 收款 (Online 网上)"&amp;IF('Daily Sale entry '!Y458="",""," - "&amp;'Daily Sale entry '!Y458))</f>
        <v/>
      </c>
      <c r="H1958">
        <f>IF(C1958="","",COUNTIFS($C$2:$C$3001,C1958,$F$2:$F$3001,"&lt;"&amp;F1958)+1)</f>
        <v/>
      </c>
      <c r="I1958">
        <f>IF(C1958="","",C1958&amp;"|"&amp;H1958)</f>
        <v/>
      </c>
      <c r="J1958" s="6">
        <f>IF(C1958="","",IF(H1958=1,SUMIFS('Opening Balance'!$F$4:$F$303,'Opening Balance'!$G$4:$G$303,C1958),INDEX($L$2:$L$3001,MATCH(C1958&amp;"|"&amp;(H1958-1),$I$2:$I$3001,0))))</f>
        <v/>
      </c>
      <c r="K1958" s="6">
        <f>IF(C1958="","",IF(M1958&gt;0,M1958,IF(AND(E1958&gt;0,ROUND(J1958+D1958-E1958,2)&gt;0,ROUND(J1958+D1958-E1958,2)&lt;'Opening Balance'!$B$14),ROUND(J1958+D1958-E1958,2),0)))</f>
        <v/>
      </c>
      <c r="L1958" s="6">
        <f>IF(C1958="","",ROUND(J1958+D1958-E1958-K1958,2))</f>
        <v/>
      </c>
      <c r="M1958" s="6">
        <f>IF(C1958="","",0)</f>
        <v/>
      </c>
    </row>
    <row r="1959">
      <c r="A1959" t="inlineStr">
        <is>
          <t>Bank 银行</t>
        </is>
      </c>
      <c r="B1959" s="5">
        <f>IF(AND('Daily Sale entry '!Z459="Online collection 网上收款",'Daily Sale entry '!AA459&lt;&gt;""),'Daily Sale entry '!X459,"")</f>
        <v/>
      </c>
      <c r="C1959">
        <f>IF(B1959="","",'Daily Sale entry '!AA459)</f>
        <v/>
      </c>
      <c r="D1959">
        <f>IF(C1959="","",0)</f>
        <v/>
      </c>
      <c r="E1959">
        <f>IF(C1959="","",'Daily Sale entry '!AC459)</f>
        <v/>
      </c>
      <c r="F1959" s="37">
        <f>IF(C1959="","",B1959+IF(E1959&gt;0,0,0.5)+ROW()/10000000)</f>
        <v/>
      </c>
      <c r="G1959">
        <f>IF(C1959="","","Collection 收款 (Online 网上)"&amp;IF('Daily Sale entry '!Y459="",""," - "&amp;'Daily Sale entry '!Y459))</f>
        <v/>
      </c>
      <c r="H1959">
        <f>IF(C1959="","",COUNTIFS($C$2:$C$3001,C1959,$F$2:$F$3001,"&lt;"&amp;F1959)+1)</f>
        <v/>
      </c>
      <c r="I1959">
        <f>IF(C1959="","",C1959&amp;"|"&amp;H1959)</f>
        <v/>
      </c>
      <c r="J1959" s="6">
        <f>IF(C1959="","",IF(H1959=1,SUMIFS('Opening Balance'!$F$4:$F$303,'Opening Balance'!$G$4:$G$303,C1959),INDEX($L$2:$L$3001,MATCH(C1959&amp;"|"&amp;(H1959-1),$I$2:$I$3001,0))))</f>
        <v/>
      </c>
      <c r="K1959" s="6">
        <f>IF(C1959="","",IF(M1959&gt;0,M1959,IF(AND(E1959&gt;0,ROUND(J1959+D1959-E1959,2)&gt;0,ROUND(J1959+D1959-E1959,2)&lt;'Opening Balance'!$B$14),ROUND(J1959+D1959-E1959,2),0)))</f>
        <v/>
      </c>
      <c r="L1959" s="6">
        <f>IF(C1959="","",ROUND(J1959+D1959-E1959-K1959,2))</f>
        <v/>
      </c>
      <c r="M1959" s="6">
        <f>IF(C1959="","",0)</f>
        <v/>
      </c>
    </row>
    <row r="1960">
      <c r="A1960" t="inlineStr">
        <is>
          <t>Bank 银行</t>
        </is>
      </c>
      <c r="B1960" s="5">
        <f>IF(AND('Daily Sale entry '!Z460="Online collection 网上收款",'Daily Sale entry '!AA460&lt;&gt;""),'Daily Sale entry '!X460,"")</f>
        <v/>
      </c>
      <c r="C1960">
        <f>IF(B1960="","",'Daily Sale entry '!AA460)</f>
        <v/>
      </c>
      <c r="D1960">
        <f>IF(C1960="","",0)</f>
        <v/>
      </c>
      <c r="E1960">
        <f>IF(C1960="","",'Daily Sale entry '!AC460)</f>
        <v/>
      </c>
      <c r="F1960" s="37">
        <f>IF(C1960="","",B1960+IF(E1960&gt;0,0,0.5)+ROW()/10000000)</f>
        <v/>
      </c>
      <c r="G1960">
        <f>IF(C1960="","","Collection 收款 (Online 网上)"&amp;IF('Daily Sale entry '!Y460="",""," - "&amp;'Daily Sale entry '!Y460))</f>
        <v/>
      </c>
      <c r="H1960">
        <f>IF(C1960="","",COUNTIFS($C$2:$C$3001,C1960,$F$2:$F$3001,"&lt;"&amp;F1960)+1)</f>
        <v/>
      </c>
      <c r="I1960">
        <f>IF(C1960="","",C1960&amp;"|"&amp;H1960)</f>
        <v/>
      </c>
      <c r="J1960" s="6">
        <f>IF(C1960="","",IF(H1960=1,SUMIFS('Opening Balance'!$F$4:$F$303,'Opening Balance'!$G$4:$G$303,C1960),INDEX($L$2:$L$3001,MATCH(C1960&amp;"|"&amp;(H1960-1),$I$2:$I$3001,0))))</f>
        <v/>
      </c>
      <c r="K1960" s="6">
        <f>IF(C1960="","",IF(M1960&gt;0,M1960,IF(AND(E1960&gt;0,ROUND(J1960+D1960-E1960,2)&gt;0,ROUND(J1960+D1960-E1960,2)&lt;'Opening Balance'!$B$14),ROUND(J1960+D1960-E1960,2),0)))</f>
        <v/>
      </c>
      <c r="L1960" s="6">
        <f>IF(C1960="","",ROUND(J1960+D1960-E1960-K1960,2))</f>
        <v/>
      </c>
      <c r="M1960" s="6">
        <f>IF(C1960="","",0)</f>
        <v/>
      </c>
    </row>
    <row r="1961">
      <c r="A1961" t="inlineStr">
        <is>
          <t>Bank 银行</t>
        </is>
      </c>
      <c r="B1961" s="5">
        <f>IF(AND('Daily Sale entry '!Z461="Online collection 网上收款",'Daily Sale entry '!AA461&lt;&gt;""),'Daily Sale entry '!X461,"")</f>
        <v/>
      </c>
      <c r="C1961">
        <f>IF(B1961="","",'Daily Sale entry '!AA461)</f>
        <v/>
      </c>
      <c r="D1961">
        <f>IF(C1961="","",0)</f>
        <v/>
      </c>
      <c r="E1961">
        <f>IF(C1961="","",'Daily Sale entry '!AC461)</f>
        <v/>
      </c>
      <c r="F1961" s="37">
        <f>IF(C1961="","",B1961+IF(E1961&gt;0,0,0.5)+ROW()/10000000)</f>
        <v/>
      </c>
      <c r="G1961">
        <f>IF(C1961="","","Collection 收款 (Online 网上)"&amp;IF('Daily Sale entry '!Y461="",""," - "&amp;'Daily Sale entry '!Y461))</f>
        <v/>
      </c>
      <c r="H1961">
        <f>IF(C1961="","",COUNTIFS($C$2:$C$3001,C1961,$F$2:$F$3001,"&lt;"&amp;F1961)+1)</f>
        <v/>
      </c>
      <c r="I1961">
        <f>IF(C1961="","",C1961&amp;"|"&amp;H1961)</f>
        <v/>
      </c>
      <c r="J1961" s="6">
        <f>IF(C1961="","",IF(H1961=1,SUMIFS('Opening Balance'!$F$4:$F$303,'Opening Balance'!$G$4:$G$303,C1961),INDEX($L$2:$L$3001,MATCH(C1961&amp;"|"&amp;(H1961-1),$I$2:$I$3001,0))))</f>
        <v/>
      </c>
      <c r="K1961" s="6">
        <f>IF(C1961="","",IF(M1961&gt;0,M1961,IF(AND(E1961&gt;0,ROUND(J1961+D1961-E1961,2)&gt;0,ROUND(J1961+D1961-E1961,2)&lt;'Opening Balance'!$B$14),ROUND(J1961+D1961-E1961,2),0)))</f>
        <v/>
      </c>
      <c r="L1961" s="6">
        <f>IF(C1961="","",ROUND(J1961+D1961-E1961-K1961,2))</f>
        <v/>
      </c>
      <c r="M1961" s="6">
        <f>IF(C1961="","",0)</f>
        <v/>
      </c>
    </row>
    <row r="1962">
      <c r="A1962" t="inlineStr">
        <is>
          <t>Bank 银行</t>
        </is>
      </c>
      <c r="B1962" s="5">
        <f>IF(AND('Daily Sale entry '!Z462="Online collection 网上收款",'Daily Sale entry '!AA462&lt;&gt;""),'Daily Sale entry '!X462,"")</f>
        <v/>
      </c>
      <c r="C1962">
        <f>IF(B1962="","",'Daily Sale entry '!AA462)</f>
        <v/>
      </c>
      <c r="D1962">
        <f>IF(C1962="","",0)</f>
        <v/>
      </c>
      <c r="E1962">
        <f>IF(C1962="","",'Daily Sale entry '!AC462)</f>
        <v/>
      </c>
      <c r="F1962" s="37">
        <f>IF(C1962="","",B1962+IF(E1962&gt;0,0,0.5)+ROW()/10000000)</f>
        <v/>
      </c>
      <c r="G1962">
        <f>IF(C1962="","","Collection 收款 (Online 网上)"&amp;IF('Daily Sale entry '!Y462="",""," - "&amp;'Daily Sale entry '!Y462))</f>
        <v/>
      </c>
      <c r="H1962">
        <f>IF(C1962="","",COUNTIFS($C$2:$C$3001,C1962,$F$2:$F$3001,"&lt;"&amp;F1962)+1)</f>
        <v/>
      </c>
      <c r="I1962">
        <f>IF(C1962="","",C1962&amp;"|"&amp;H1962)</f>
        <v/>
      </c>
      <c r="J1962" s="6">
        <f>IF(C1962="","",IF(H1962=1,SUMIFS('Opening Balance'!$F$4:$F$303,'Opening Balance'!$G$4:$G$303,C1962),INDEX($L$2:$L$3001,MATCH(C1962&amp;"|"&amp;(H1962-1),$I$2:$I$3001,0))))</f>
        <v/>
      </c>
      <c r="K1962" s="6">
        <f>IF(C1962="","",IF(M1962&gt;0,M1962,IF(AND(E1962&gt;0,ROUND(J1962+D1962-E1962,2)&gt;0,ROUND(J1962+D1962-E1962,2)&lt;'Opening Balance'!$B$14),ROUND(J1962+D1962-E1962,2),0)))</f>
        <v/>
      </c>
      <c r="L1962" s="6">
        <f>IF(C1962="","",ROUND(J1962+D1962-E1962-K1962,2))</f>
        <v/>
      </c>
      <c r="M1962" s="6">
        <f>IF(C1962="","",0)</f>
        <v/>
      </c>
    </row>
    <row r="1963">
      <c r="A1963" t="inlineStr">
        <is>
          <t>Bank 银行</t>
        </is>
      </c>
      <c r="B1963" s="5">
        <f>IF(AND('Daily Sale entry '!Z463="Online collection 网上收款",'Daily Sale entry '!AA463&lt;&gt;""),'Daily Sale entry '!X463,"")</f>
        <v/>
      </c>
      <c r="C1963">
        <f>IF(B1963="","",'Daily Sale entry '!AA463)</f>
        <v/>
      </c>
      <c r="D1963">
        <f>IF(C1963="","",0)</f>
        <v/>
      </c>
      <c r="E1963">
        <f>IF(C1963="","",'Daily Sale entry '!AC463)</f>
        <v/>
      </c>
      <c r="F1963" s="37">
        <f>IF(C1963="","",B1963+IF(E1963&gt;0,0,0.5)+ROW()/10000000)</f>
        <v/>
      </c>
      <c r="G1963">
        <f>IF(C1963="","","Collection 收款 (Online 网上)"&amp;IF('Daily Sale entry '!Y463="",""," - "&amp;'Daily Sale entry '!Y463))</f>
        <v/>
      </c>
      <c r="H1963">
        <f>IF(C1963="","",COUNTIFS($C$2:$C$3001,C1963,$F$2:$F$3001,"&lt;"&amp;F1963)+1)</f>
        <v/>
      </c>
      <c r="I1963">
        <f>IF(C1963="","",C1963&amp;"|"&amp;H1963)</f>
        <v/>
      </c>
      <c r="J1963" s="6">
        <f>IF(C1963="","",IF(H1963=1,SUMIFS('Opening Balance'!$F$4:$F$303,'Opening Balance'!$G$4:$G$303,C1963),INDEX($L$2:$L$3001,MATCH(C1963&amp;"|"&amp;(H1963-1),$I$2:$I$3001,0))))</f>
        <v/>
      </c>
      <c r="K1963" s="6">
        <f>IF(C1963="","",IF(M1963&gt;0,M1963,IF(AND(E1963&gt;0,ROUND(J1963+D1963-E1963,2)&gt;0,ROUND(J1963+D1963-E1963,2)&lt;'Opening Balance'!$B$14),ROUND(J1963+D1963-E1963,2),0)))</f>
        <v/>
      </c>
      <c r="L1963" s="6">
        <f>IF(C1963="","",ROUND(J1963+D1963-E1963-K1963,2))</f>
        <v/>
      </c>
      <c r="M1963" s="6">
        <f>IF(C1963="","",0)</f>
        <v/>
      </c>
    </row>
    <row r="1964">
      <c r="A1964" t="inlineStr">
        <is>
          <t>Bank 银行</t>
        </is>
      </c>
      <c r="B1964" s="5">
        <f>IF(AND('Daily Sale entry '!Z464="Online collection 网上收款",'Daily Sale entry '!AA464&lt;&gt;""),'Daily Sale entry '!X464,"")</f>
        <v/>
      </c>
      <c r="C1964">
        <f>IF(B1964="","",'Daily Sale entry '!AA464)</f>
        <v/>
      </c>
      <c r="D1964">
        <f>IF(C1964="","",0)</f>
        <v/>
      </c>
      <c r="E1964">
        <f>IF(C1964="","",'Daily Sale entry '!AC464)</f>
        <v/>
      </c>
      <c r="F1964" s="37">
        <f>IF(C1964="","",B1964+IF(E1964&gt;0,0,0.5)+ROW()/10000000)</f>
        <v/>
      </c>
      <c r="G1964">
        <f>IF(C1964="","","Collection 收款 (Online 网上)"&amp;IF('Daily Sale entry '!Y464="",""," - "&amp;'Daily Sale entry '!Y464))</f>
        <v/>
      </c>
      <c r="H1964">
        <f>IF(C1964="","",COUNTIFS($C$2:$C$3001,C1964,$F$2:$F$3001,"&lt;"&amp;F1964)+1)</f>
        <v/>
      </c>
      <c r="I1964">
        <f>IF(C1964="","",C1964&amp;"|"&amp;H1964)</f>
        <v/>
      </c>
      <c r="J1964" s="6">
        <f>IF(C1964="","",IF(H1964=1,SUMIFS('Opening Balance'!$F$4:$F$303,'Opening Balance'!$G$4:$G$303,C1964),INDEX($L$2:$L$3001,MATCH(C1964&amp;"|"&amp;(H1964-1),$I$2:$I$3001,0))))</f>
        <v/>
      </c>
      <c r="K1964" s="6">
        <f>IF(C1964="","",IF(M1964&gt;0,M1964,IF(AND(E1964&gt;0,ROUND(J1964+D1964-E1964,2)&gt;0,ROUND(J1964+D1964-E1964,2)&lt;'Opening Balance'!$B$14),ROUND(J1964+D1964-E1964,2),0)))</f>
        <v/>
      </c>
      <c r="L1964" s="6">
        <f>IF(C1964="","",ROUND(J1964+D1964-E1964-K1964,2))</f>
        <v/>
      </c>
      <c r="M1964" s="6">
        <f>IF(C1964="","",0)</f>
        <v/>
      </c>
    </row>
    <row r="1965">
      <c r="A1965" t="inlineStr">
        <is>
          <t>Bank 银行</t>
        </is>
      </c>
      <c r="B1965" s="5">
        <f>IF(AND('Daily Sale entry '!Z465="Online collection 网上收款",'Daily Sale entry '!AA465&lt;&gt;""),'Daily Sale entry '!X465,"")</f>
        <v/>
      </c>
      <c r="C1965">
        <f>IF(B1965="","",'Daily Sale entry '!AA465)</f>
        <v/>
      </c>
      <c r="D1965">
        <f>IF(C1965="","",0)</f>
        <v/>
      </c>
      <c r="E1965">
        <f>IF(C1965="","",'Daily Sale entry '!AC465)</f>
        <v/>
      </c>
      <c r="F1965" s="37">
        <f>IF(C1965="","",B1965+IF(E1965&gt;0,0,0.5)+ROW()/10000000)</f>
        <v/>
      </c>
      <c r="G1965">
        <f>IF(C1965="","","Collection 收款 (Online 网上)"&amp;IF('Daily Sale entry '!Y465="",""," - "&amp;'Daily Sale entry '!Y465))</f>
        <v/>
      </c>
      <c r="H1965">
        <f>IF(C1965="","",COUNTIFS($C$2:$C$3001,C1965,$F$2:$F$3001,"&lt;"&amp;F1965)+1)</f>
        <v/>
      </c>
      <c r="I1965">
        <f>IF(C1965="","",C1965&amp;"|"&amp;H1965)</f>
        <v/>
      </c>
      <c r="J1965" s="6">
        <f>IF(C1965="","",IF(H1965=1,SUMIFS('Opening Balance'!$F$4:$F$303,'Opening Balance'!$G$4:$G$303,C1965),INDEX($L$2:$L$3001,MATCH(C1965&amp;"|"&amp;(H1965-1),$I$2:$I$3001,0))))</f>
        <v/>
      </c>
      <c r="K1965" s="6">
        <f>IF(C1965="","",IF(M1965&gt;0,M1965,IF(AND(E1965&gt;0,ROUND(J1965+D1965-E1965,2)&gt;0,ROUND(J1965+D1965-E1965,2)&lt;'Opening Balance'!$B$14),ROUND(J1965+D1965-E1965,2),0)))</f>
        <v/>
      </c>
      <c r="L1965" s="6">
        <f>IF(C1965="","",ROUND(J1965+D1965-E1965-K1965,2))</f>
        <v/>
      </c>
      <c r="M1965" s="6">
        <f>IF(C1965="","",0)</f>
        <v/>
      </c>
    </row>
    <row r="1966">
      <c r="A1966" t="inlineStr">
        <is>
          <t>Bank 银行</t>
        </is>
      </c>
      <c r="B1966" s="5">
        <f>IF(AND('Daily Sale entry '!Z466="Online collection 网上收款",'Daily Sale entry '!AA466&lt;&gt;""),'Daily Sale entry '!X466,"")</f>
        <v/>
      </c>
      <c r="C1966">
        <f>IF(B1966="","",'Daily Sale entry '!AA466)</f>
        <v/>
      </c>
      <c r="D1966">
        <f>IF(C1966="","",0)</f>
        <v/>
      </c>
      <c r="E1966">
        <f>IF(C1966="","",'Daily Sale entry '!AC466)</f>
        <v/>
      </c>
      <c r="F1966" s="37">
        <f>IF(C1966="","",B1966+IF(E1966&gt;0,0,0.5)+ROW()/10000000)</f>
        <v/>
      </c>
      <c r="G1966">
        <f>IF(C1966="","","Collection 收款 (Online 网上)"&amp;IF('Daily Sale entry '!Y466="",""," - "&amp;'Daily Sale entry '!Y466))</f>
        <v/>
      </c>
      <c r="H1966">
        <f>IF(C1966="","",COUNTIFS($C$2:$C$3001,C1966,$F$2:$F$3001,"&lt;"&amp;F1966)+1)</f>
        <v/>
      </c>
      <c r="I1966">
        <f>IF(C1966="","",C1966&amp;"|"&amp;H1966)</f>
        <v/>
      </c>
      <c r="J1966" s="6">
        <f>IF(C1966="","",IF(H1966=1,SUMIFS('Opening Balance'!$F$4:$F$303,'Opening Balance'!$G$4:$G$303,C1966),INDEX($L$2:$L$3001,MATCH(C1966&amp;"|"&amp;(H1966-1),$I$2:$I$3001,0))))</f>
        <v/>
      </c>
      <c r="K1966" s="6">
        <f>IF(C1966="","",IF(M1966&gt;0,M1966,IF(AND(E1966&gt;0,ROUND(J1966+D1966-E1966,2)&gt;0,ROUND(J1966+D1966-E1966,2)&lt;'Opening Balance'!$B$14),ROUND(J1966+D1966-E1966,2),0)))</f>
        <v/>
      </c>
      <c r="L1966" s="6">
        <f>IF(C1966="","",ROUND(J1966+D1966-E1966-K1966,2))</f>
        <v/>
      </c>
      <c r="M1966" s="6">
        <f>IF(C1966="","",0)</f>
        <v/>
      </c>
    </row>
    <row r="1967">
      <c r="A1967" t="inlineStr">
        <is>
          <t>Bank 银行</t>
        </is>
      </c>
      <c r="B1967" s="5">
        <f>IF(AND('Daily Sale entry '!Z467="Online collection 网上收款",'Daily Sale entry '!AA467&lt;&gt;""),'Daily Sale entry '!X467,"")</f>
        <v/>
      </c>
      <c r="C1967">
        <f>IF(B1967="","",'Daily Sale entry '!AA467)</f>
        <v/>
      </c>
      <c r="D1967">
        <f>IF(C1967="","",0)</f>
        <v/>
      </c>
      <c r="E1967">
        <f>IF(C1967="","",'Daily Sale entry '!AC467)</f>
        <v/>
      </c>
      <c r="F1967" s="37">
        <f>IF(C1967="","",B1967+IF(E1967&gt;0,0,0.5)+ROW()/10000000)</f>
        <v/>
      </c>
      <c r="G1967">
        <f>IF(C1967="","","Collection 收款 (Online 网上)"&amp;IF('Daily Sale entry '!Y467="",""," - "&amp;'Daily Sale entry '!Y467))</f>
        <v/>
      </c>
      <c r="H1967">
        <f>IF(C1967="","",COUNTIFS($C$2:$C$3001,C1967,$F$2:$F$3001,"&lt;"&amp;F1967)+1)</f>
        <v/>
      </c>
      <c r="I1967">
        <f>IF(C1967="","",C1967&amp;"|"&amp;H1967)</f>
        <v/>
      </c>
      <c r="J1967" s="6">
        <f>IF(C1967="","",IF(H1967=1,SUMIFS('Opening Balance'!$F$4:$F$303,'Opening Balance'!$G$4:$G$303,C1967),INDEX($L$2:$L$3001,MATCH(C1967&amp;"|"&amp;(H1967-1),$I$2:$I$3001,0))))</f>
        <v/>
      </c>
      <c r="K1967" s="6">
        <f>IF(C1967="","",IF(M1967&gt;0,M1967,IF(AND(E1967&gt;0,ROUND(J1967+D1967-E1967,2)&gt;0,ROUND(J1967+D1967-E1967,2)&lt;'Opening Balance'!$B$14),ROUND(J1967+D1967-E1967,2),0)))</f>
        <v/>
      </c>
      <c r="L1967" s="6">
        <f>IF(C1967="","",ROUND(J1967+D1967-E1967-K1967,2))</f>
        <v/>
      </c>
      <c r="M1967" s="6">
        <f>IF(C1967="","",0)</f>
        <v/>
      </c>
    </row>
    <row r="1968">
      <c r="A1968" t="inlineStr">
        <is>
          <t>Bank 银行</t>
        </is>
      </c>
      <c r="B1968" s="5">
        <f>IF(AND('Daily Sale entry '!Z468="Online collection 网上收款",'Daily Sale entry '!AA468&lt;&gt;""),'Daily Sale entry '!X468,"")</f>
        <v/>
      </c>
      <c r="C1968">
        <f>IF(B1968="","",'Daily Sale entry '!AA468)</f>
        <v/>
      </c>
      <c r="D1968">
        <f>IF(C1968="","",0)</f>
        <v/>
      </c>
      <c r="E1968">
        <f>IF(C1968="","",'Daily Sale entry '!AC468)</f>
        <v/>
      </c>
      <c r="F1968" s="37">
        <f>IF(C1968="","",B1968+IF(E1968&gt;0,0,0.5)+ROW()/10000000)</f>
        <v/>
      </c>
      <c r="G1968">
        <f>IF(C1968="","","Collection 收款 (Online 网上)"&amp;IF('Daily Sale entry '!Y468="",""," - "&amp;'Daily Sale entry '!Y468))</f>
        <v/>
      </c>
      <c r="H1968">
        <f>IF(C1968="","",COUNTIFS($C$2:$C$3001,C1968,$F$2:$F$3001,"&lt;"&amp;F1968)+1)</f>
        <v/>
      </c>
      <c r="I1968">
        <f>IF(C1968="","",C1968&amp;"|"&amp;H1968)</f>
        <v/>
      </c>
      <c r="J1968" s="6">
        <f>IF(C1968="","",IF(H1968=1,SUMIFS('Opening Balance'!$F$4:$F$303,'Opening Balance'!$G$4:$G$303,C1968),INDEX($L$2:$L$3001,MATCH(C1968&amp;"|"&amp;(H1968-1),$I$2:$I$3001,0))))</f>
        <v/>
      </c>
      <c r="K1968" s="6">
        <f>IF(C1968="","",IF(M1968&gt;0,M1968,IF(AND(E1968&gt;0,ROUND(J1968+D1968-E1968,2)&gt;0,ROUND(J1968+D1968-E1968,2)&lt;'Opening Balance'!$B$14),ROUND(J1968+D1968-E1968,2),0)))</f>
        <v/>
      </c>
      <c r="L1968" s="6">
        <f>IF(C1968="","",ROUND(J1968+D1968-E1968-K1968,2))</f>
        <v/>
      </c>
      <c r="M1968" s="6">
        <f>IF(C1968="","",0)</f>
        <v/>
      </c>
    </row>
    <row r="1969">
      <c r="A1969" t="inlineStr">
        <is>
          <t>Bank 银行</t>
        </is>
      </c>
      <c r="B1969" s="5">
        <f>IF(AND('Daily Sale entry '!Z469="Online collection 网上收款",'Daily Sale entry '!AA469&lt;&gt;""),'Daily Sale entry '!X469,"")</f>
        <v/>
      </c>
      <c r="C1969">
        <f>IF(B1969="","",'Daily Sale entry '!AA469)</f>
        <v/>
      </c>
      <c r="D1969">
        <f>IF(C1969="","",0)</f>
        <v/>
      </c>
      <c r="E1969">
        <f>IF(C1969="","",'Daily Sale entry '!AC469)</f>
        <v/>
      </c>
      <c r="F1969" s="37">
        <f>IF(C1969="","",B1969+IF(E1969&gt;0,0,0.5)+ROW()/10000000)</f>
        <v/>
      </c>
      <c r="G1969">
        <f>IF(C1969="","","Collection 收款 (Online 网上)"&amp;IF('Daily Sale entry '!Y469="",""," - "&amp;'Daily Sale entry '!Y469))</f>
        <v/>
      </c>
      <c r="H1969">
        <f>IF(C1969="","",COUNTIFS($C$2:$C$3001,C1969,$F$2:$F$3001,"&lt;"&amp;F1969)+1)</f>
        <v/>
      </c>
      <c r="I1969">
        <f>IF(C1969="","",C1969&amp;"|"&amp;H1969)</f>
        <v/>
      </c>
      <c r="J1969" s="6">
        <f>IF(C1969="","",IF(H1969=1,SUMIFS('Opening Balance'!$F$4:$F$303,'Opening Balance'!$G$4:$G$303,C1969),INDEX($L$2:$L$3001,MATCH(C1969&amp;"|"&amp;(H1969-1),$I$2:$I$3001,0))))</f>
        <v/>
      </c>
      <c r="K1969" s="6">
        <f>IF(C1969="","",IF(M1969&gt;0,M1969,IF(AND(E1969&gt;0,ROUND(J1969+D1969-E1969,2)&gt;0,ROUND(J1969+D1969-E1969,2)&lt;'Opening Balance'!$B$14),ROUND(J1969+D1969-E1969,2),0)))</f>
        <v/>
      </c>
      <c r="L1969" s="6">
        <f>IF(C1969="","",ROUND(J1969+D1969-E1969-K1969,2))</f>
        <v/>
      </c>
      <c r="M1969" s="6">
        <f>IF(C1969="","",0)</f>
        <v/>
      </c>
    </row>
    <row r="1970">
      <c r="A1970" t="inlineStr">
        <is>
          <t>Bank 银行</t>
        </is>
      </c>
      <c r="B1970" s="5">
        <f>IF(AND('Daily Sale entry '!Z470="Online collection 网上收款",'Daily Sale entry '!AA470&lt;&gt;""),'Daily Sale entry '!X470,"")</f>
        <v/>
      </c>
      <c r="C1970">
        <f>IF(B1970="","",'Daily Sale entry '!AA470)</f>
        <v/>
      </c>
      <c r="D1970">
        <f>IF(C1970="","",0)</f>
        <v/>
      </c>
      <c r="E1970">
        <f>IF(C1970="","",'Daily Sale entry '!AC470)</f>
        <v/>
      </c>
      <c r="F1970" s="37">
        <f>IF(C1970="","",B1970+IF(E1970&gt;0,0,0.5)+ROW()/10000000)</f>
        <v/>
      </c>
      <c r="G1970">
        <f>IF(C1970="","","Collection 收款 (Online 网上)"&amp;IF('Daily Sale entry '!Y470="",""," - "&amp;'Daily Sale entry '!Y470))</f>
        <v/>
      </c>
      <c r="H1970">
        <f>IF(C1970="","",COUNTIFS($C$2:$C$3001,C1970,$F$2:$F$3001,"&lt;"&amp;F1970)+1)</f>
        <v/>
      </c>
      <c r="I1970">
        <f>IF(C1970="","",C1970&amp;"|"&amp;H1970)</f>
        <v/>
      </c>
      <c r="J1970" s="6">
        <f>IF(C1970="","",IF(H1970=1,SUMIFS('Opening Balance'!$F$4:$F$303,'Opening Balance'!$G$4:$G$303,C1970),INDEX($L$2:$L$3001,MATCH(C1970&amp;"|"&amp;(H1970-1),$I$2:$I$3001,0))))</f>
        <v/>
      </c>
      <c r="K1970" s="6">
        <f>IF(C1970="","",IF(M1970&gt;0,M1970,IF(AND(E1970&gt;0,ROUND(J1970+D1970-E1970,2)&gt;0,ROUND(J1970+D1970-E1970,2)&lt;'Opening Balance'!$B$14),ROUND(J1970+D1970-E1970,2),0)))</f>
        <v/>
      </c>
      <c r="L1970" s="6">
        <f>IF(C1970="","",ROUND(J1970+D1970-E1970-K1970,2))</f>
        <v/>
      </c>
      <c r="M1970" s="6">
        <f>IF(C1970="","",0)</f>
        <v/>
      </c>
    </row>
    <row r="1971">
      <c r="A1971" t="inlineStr">
        <is>
          <t>Bank 银行</t>
        </is>
      </c>
      <c r="B1971" s="5">
        <f>IF(AND('Daily Sale entry '!Z471="Online collection 网上收款",'Daily Sale entry '!AA471&lt;&gt;""),'Daily Sale entry '!X471,"")</f>
        <v/>
      </c>
      <c r="C1971">
        <f>IF(B1971="","",'Daily Sale entry '!AA471)</f>
        <v/>
      </c>
      <c r="D1971">
        <f>IF(C1971="","",0)</f>
        <v/>
      </c>
      <c r="E1971">
        <f>IF(C1971="","",'Daily Sale entry '!AC471)</f>
        <v/>
      </c>
      <c r="F1971" s="37">
        <f>IF(C1971="","",B1971+IF(E1971&gt;0,0,0.5)+ROW()/10000000)</f>
        <v/>
      </c>
      <c r="G1971">
        <f>IF(C1971="","","Collection 收款 (Online 网上)"&amp;IF('Daily Sale entry '!Y471="",""," - "&amp;'Daily Sale entry '!Y471))</f>
        <v/>
      </c>
      <c r="H1971">
        <f>IF(C1971="","",COUNTIFS($C$2:$C$3001,C1971,$F$2:$F$3001,"&lt;"&amp;F1971)+1)</f>
        <v/>
      </c>
      <c r="I1971">
        <f>IF(C1971="","",C1971&amp;"|"&amp;H1971)</f>
        <v/>
      </c>
      <c r="J1971" s="6">
        <f>IF(C1971="","",IF(H1971=1,SUMIFS('Opening Balance'!$F$4:$F$303,'Opening Balance'!$G$4:$G$303,C1971),INDEX($L$2:$L$3001,MATCH(C1971&amp;"|"&amp;(H1971-1),$I$2:$I$3001,0))))</f>
        <v/>
      </c>
      <c r="K1971" s="6">
        <f>IF(C1971="","",IF(M1971&gt;0,M1971,IF(AND(E1971&gt;0,ROUND(J1971+D1971-E1971,2)&gt;0,ROUND(J1971+D1971-E1971,2)&lt;'Opening Balance'!$B$14),ROUND(J1971+D1971-E1971,2),0)))</f>
        <v/>
      </c>
      <c r="L1971" s="6">
        <f>IF(C1971="","",ROUND(J1971+D1971-E1971-K1971,2))</f>
        <v/>
      </c>
      <c r="M1971" s="6">
        <f>IF(C1971="","",0)</f>
        <v/>
      </c>
    </row>
    <row r="1972">
      <c r="A1972" t="inlineStr">
        <is>
          <t>Bank 银行</t>
        </is>
      </c>
      <c r="B1972" s="5">
        <f>IF(AND('Daily Sale entry '!Z472="Online collection 网上收款",'Daily Sale entry '!AA472&lt;&gt;""),'Daily Sale entry '!X472,"")</f>
        <v/>
      </c>
      <c r="C1972">
        <f>IF(B1972="","",'Daily Sale entry '!AA472)</f>
        <v/>
      </c>
      <c r="D1972">
        <f>IF(C1972="","",0)</f>
        <v/>
      </c>
      <c r="E1972">
        <f>IF(C1972="","",'Daily Sale entry '!AC472)</f>
        <v/>
      </c>
      <c r="F1972" s="37">
        <f>IF(C1972="","",B1972+IF(E1972&gt;0,0,0.5)+ROW()/10000000)</f>
        <v/>
      </c>
      <c r="G1972">
        <f>IF(C1972="","","Collection 收款 (Online 网上)"&amp;IF('Daily Sale entry '!Y472="",""," - "&amp;'Daily Sale entry '!Y472))</f>
        <v/>
      </c>
      <c r="H1972">
        <f>IF(C1972="","",COUNTIFS($C$2:$C$3001,C1972,$F$2:$F$3001,"&lt;"&amp;F1972)+1)</f>
        <v/>
      </c>
      <c r="I1972">
        <f>IF(C1972="","",C1972&amp;"|"&amp;H1972)</f>
        <v/>
      </c>
      <c r="J1972" s="6">
        <f>IF(C1972="","",IF(H1972=1,SUMIFS('Opening Balance'!$F$4:$F$303,'Opening Balance'!$G$4:$G$303,C1972),INDEX($L$2:$L$3001,MATCH(C1972&amp;"|"&amp;(H1972-1),$I$2:$I$3001,0))))</f>
        <v/>
      </c>
      <c r="K1972" s="6">
        <f>IF(C1972="","",IF(M1972&gt;0,M1972,IF(AND(E1972&gt;0,ROUND(J1972+D1972-E1972,2)&gt;0,ROUND(J1972+D1972-E1972,2)&lt;'Opening Balance'!$B$14),ROUND(J1972+D1972-E1972,2),0)))</f>
        <v/>
      </c>
      <c r="L1972" s="6">
        <f>IF(C1972="","",ROUND(J1972+D1972-E1972-K1972,2))</f>
        <v/>
      </c>
      <c r="M1972" s="6">
        <f>IF(C1972="","",0)</f>
        <v/>
      </c>
    </row>
    <row r="1973">
      <c r="A1973" t="inlineStr">
        <is>
          <t>Bank 银行</t>
        </is>
      </c>
      <c r="B1973" s="5">
        <f>IF(AND('Daily Sale entry '!Z473="Online collection 网上收款",'Daily Sale entry '!AA473&lt;&gt;""),'Daily Sale entry '!X473,"")</f>
        <v/>
      </c>
      <c r="C1973">
        <f>IF(B1973="","",'Daily Sale entry '!AA473)</f>
        <v/>
      </c>
      <c r="D1973">
        <f>IF(C1973="","",0)</f>
        <v/>
      </c>
      <c r="E1973">
        <f>IF(C1973="","",'Daily Sale entry '!AC473)</f>
        <v/>
      </c>
      <c r="F1973" s="37">
        <f>IF(C1973="","",B1973+IF(E1973&gt;0,0,0.5)+ROW()/10000000)</f>
        <v/>
      </c>
      <c r="G1973">
        <f>IF(C1973="","","Collection 收款 (Online 网上)"&amp;IF('Daily Sale entry '!Y473="",""," - "&amp;'Daily Sale entry '!Y473))</f>
        <v/>
      </c>
      <c r="H1973">
        <f>IF(C1973="","",COUNTIFS($C$2:$C$3001,C1973,$F$2:$F$3001,"&lt;"&amp;F1973)+1)</f>
        <v/>
      </c>
      <c r="I1973">
        <f>IF(C1973="","",C1973&amp;"|"&amp;H1973)</f>
        <v/>
      </c>
      <c r="J1973" s="6">
        <f>IF(C1973="","",IF(H1973=1,SUMIFS('Opening Balance'!$F$4:$F$303,'Opening Balance'!$G$4:$G$303,C1973),INDEX($L$2:$L$3001,MATCH(C1973&amp;"|"&amp;(H1973-1),$I$2:$I$3001,0))))</f>
        <v/>
      </c>
      <c r="K1973" s="6">
        <f>IF(C1973="","",IF(M1973&gt;0,M1973,IF(AND(E1973&gt;0,ROUND(J1973+D1973-E1973,2)&gt;0,ROUND(J1973+D1973-E1973,2)&lt;'Opening Balance'!$B$14),ROUND(J1973+D1973-E1973,2),0)))</f>
        <v/>
      </c>
      <c r="L1973" s="6">
        <f>IF(C1973="","",ROUND(J1973+D1973-E1973-K1973,2))</f>
        <v/>
      </c>
      <c r="M1973" s="6">
        <f>IF(C1973="","",0)</f>
        <v/>
      </c>
    </row>
    <row r="1974">
      <c r="A1974" t="inlineStr">
        <is>
          <t>Bank 银行</t>
        </is>
      </c>
      <c r="B1974" s="5">
        <f>IF(AND('Daily Sale entry '!Z474="Online collection 网上收款",'Daily Sale entry '!AA474&lt;&gt;""),'Daily Sale entry '!X474,"")</f>
        <v/>
      </c>
      <c r="C1974">
        <f>IF(B1974="","",'Daily Sale entry '!AA474)</f>
        <v/>
      </c>
      <c r="D1974">
        <f>IF(C1974="","",0)</f>
        <v/>
      </c>
      <c r="E1974">
        <f>IF(C1974="","",'Daily Sale entry '!AC474)</f>
        <v/>
      </c>
      <c r="F1974" s="37">
        <f>IF(C1974="","",B1974+IF(E1974&gt;0,0,0.5)+ROW()/10000000)</f>
        <v/>
      </c>
      <c r="G1974">
        <f>IF(C1974="","","Collection 收款 (Online 网上)"&amp;IF('Daily Sale entry '!Y474="",""," - "&amp;'Daily Sale entry '!Y474))</f>
        <v/>
      </c>
      <c r="H1974">
        <f>IF(C1974="","",COUNTIFS($C$2:$C$3001,C1974,$F$2:$F$3001,"&lt;"&amp;F1974)+1)</f>
        <v/>
      </c>
      <c r="I1974">
        <f>IF(C1974="","",C1974&amp;"|"&amp;H1974)</f>
        <v/>
      </c>
      <c r="J1974" s="6">
        <f>IF(C1974="","",IF(H1974=1,SUMIFS('Opening Balance'!$F$4:$F$303,'Opening Balance'!$G$4:$G$303,C1974),INDEX($L$2:$L$3001,MATCH(C1974&amp;"|"&amp;(H1974-1),$I$2:$I$3001,0))))</f>
        <v/>
      </c>
      <c r="K1974" s="6">
        <f>IF(C1974="","",IF(M1974&gt;0,M1974,IF(AND(E1974&gt;0,ROUND(J1974+D1974-E1974,2)&gt;0,ROUND(J1974+D1974-E1974,2)&lt;'Opening Balance'!$B$14),ROUND(J1974+D1974-E1974,2),0)))</f>
        <v/>
      </c>
      <c r="L1974" s="6">
        <f>IF(C1974="","",ROUND(J1974+D1974-E1974-K1974,2))</f>
        <v/>
      </c>
      <c r="M1974" s="6">
        <f>IF(C1974="","",0)</f>
        <v/>
      </c>
    </row>
    <row r="1975">
      <c r="A1975" t="inlineStr">
        <is>
          <t>Bank 银行</t>
        </is>
      </c>
      <c r="B1975" s="5">
        <f>IF(AND('Daily Sale entry '!Z475="Online collection 网上收款",'Daily Sale entry '!AA475&lt;&gt;""),'Daily Sale entry '!X475,"")</f>
        <v/>
      </c>
      <c r="C1975">
        <f>IF(B1975="","",'Daily Sale entry '!AA475)</f>
        <v/>
      </c>
      <c r="D1975">
        <f>IF(C1975="","",0)</f>
        <v/>
      </c>
      <c r="E1975">
        <f>IF(C1975="","",'Daily Sale entry '!AC475)</f>
        <v/>
      </c>
      <c r="F1975" s="37">
        <f>IF(C1975="","",B1975+IF(E1975&gt;0,0,0.5)+ROW()/10000000)</f>
        <v/>
      </c>
      <c r="G1975">
        <f>IF(C1975="","","Collection 收款 (Online 网上)"&amp;IF('Daily Sale entry '!Y475="",""," - "&amp;'Daily Sale entry '!Y475))</f>
        <v/>
      </c>
      <c r="H1975">
        <f>IF(C1975="","",COUNTIFS($C$2:$C$3001,C1975,$F$2:$F$3001,"&lt;"&amp;F1975)+1)</f>
        <v/>
      </c>
      <c r="I1975">
        <f>IF(C1975="","",C1975&amp;"|"&amp;H1975)</f>
        <v/>
      </c>
      <c r="J1975" s="6">
        <f>IF(C1975="","",IF(H1975=1,SUMIFS('Opening Balance'!$F$4:$F$303,'Opening Balance'!$G$4:$G$303,C1975),INDEX($L$2:$L$3001,MATCH(C1975&amp;"|"&amp;(H1975-1),$I$2:$I$3001,0))))</f>
        <v/>
      </c>
      <c r="K1975" s="6">
        <f>IF(C1975="","",IF(M1975&gt;0,M1975,IF(AND(E1975&gt;0,ROUND(J1975+D1975-E1975,2)&gt;0,ROUND(J1975+D1975-E1975,2)&lt;'Opening Balance'!$B$14),ROUND(J1975+D1975-E1975,2),0)))</f>
        <v/>
      </c>
      <c r="L1975" s="6">
        <f>IF(C1975="","",ROUND(J1975+D1975-E1975-K1975,2))</f>
        <v/>
      </c>
      <c r="M1975" s="6">
        <f>IF(C1975="","",0)</f>
        <v/>
      </c>
    </row>
    <row r="1976">
      <c r="A1976" t="inlineStr">
        <is>
          <t>Bank 银行</t>
        </is>
      </c>
      <c r="B1976" s="5">
        <f>IF(AND('Daily Sale entry '!Z476="Online collection 网上收款",'Daily Sale entry '!AA476&lt;&gt;""),'Daily Sale entry '!X476,"")</f>
        <v/>
      </c>
      <c r="C1976">
        <f>IF(B1976="","",'Daily Sale entry '!AA476)</f>
        <v/>
      </c>
      <c r="D1976">
        <f>IF(C1976="","",0)</f>
        <v/>
      </c>
      <c r="E1976">
        <f>IF(C1976="","",'Daily Sale entry '!AC476)</f>
        <v/>
      </c>
      <c r="F1976" s="37">
        <f>IF(C1976="","",B1976+IF(E1976&gt;0,0,0.5)+ROW()/10000000)</f>
        <v/>
      </c>
      <c r="G1976">
        <f>IF(C1976="","","Collection 收款 (Online 网上)"&amp;IF('Daily Sale entry '!Y476="",""," - "&amp;'Daily Sale entry '!Y476))</f>
        <v/>
      </c>
      <c r="H1976">
        <f>IF(C1976="","",COUNTIFS($C$2:$C$3001,C1976,$F$2:$F$3001,"&lt;"&amp;F1976)+1)</f>
        <v/>
      </c>
      <c r="I1976">
        <f>IF(C1976="","",C1976&amp;"|"&amp;H1976)</f>
        <v/>
      </c>
      <c r="J1976" s="6">
        <f>IF(C1976="","",IF(H1976=1,SUMIFS('Opening Balance'!$F$4:$F$303,'Opening Balance'!$G$4:$G$303,C1976),INDEX($L$2:$L$3001,MATCH(C1976&amp;"|"&amp;(H1976-1),$I$2:$I$3001,0))))</f>
        <v/>
      </c>
      <c r="K1976" s="6">
        <f>IF(C1976="","",IF(M1976&gt;0,M1976,IF(AND(E1976&gt;0,ROUND(J1976+D1976-E1976,2)&gt;0,ROUND(J1976+D1976-E1976,2)&lt;'Opening Balance'!$B$14),ROUND(J1976+D1976-E1976,2),0)))</f>
        <v/>
      </c>
      <c r="L1976" s="6">
        <f>IF(C1976="","",ROUND(J1976+D1976-E1976-K1976,2))</f>
        <v/>
      </c>
      <c r="M1976" s="6">
        <f>IF(C1976="","",0)</f>
        <v/>
      </c>
    </row>
    <row r="1977">
      <c r="A1977" t="inlineStr">
        <is>
          <t>Bank 银行</t>
        </is>
      </c>
      <c r="B1977" s="5">
        <f>IF(AND('Daily Sale entry '!Z477="Online collection 网上收款",'Daily Sale entry '!AA477&lt;&gt;""),'Daily Sale entry '!X477,"")</f>
        <v/>
      </c>
      <c r="C1977">
        <f>IF(B1977="","",'Daily Sale entry '!AA477)</f>
        <v/>
      </c>
      <c r="D1977">
        <f>IF(C1977="","",0)</f>
        <v/>
      </c>
      <c r="E1977">
        <f>IF(C1977="","",'Daily Sale entry '!AC477)</f>
        <v/>
      </c>
      <c r="F1977" s="37">
        <f>IF(C1977="","",B1977+IF(E1977&gt;0,0,0.5)+ROW()/10000000)</f>
        <v/>
      </c>
      <c r="G1977">
        <f>IF(C1977="","","Collection 收款 (Online 网上)"&amp;IF('Daily Sale entry '!Y477="",""," - "&amp;'Daily Sale entry '!Y477))</f>
        <v/>
      </c>
      <c r="H1977">
        <f>IF(C1977="","",COUNTIFS($C$2:$C$3001,C1977,$F$2:$F$3001,"&lt;"&amp;F1977)+1)</f>
        <v/>
      </c>
      <c r="I1977">
        <f>IF(C1977="","",C1977&amp;"|"&amp;H1977)</f>
        <v/>
      </c>
      <c r="J1977" s="6">
        <f>IF(C1977="","",IF(H1977=1,SUMIFS('Opening Balance'!$F$4:$F$303,'Opening Balance'!$G$4:$G$303,C1977),INDEX($L$2:$L$3001,MATCH(C1977&amp;"|"&amp;(H1977-1),$I$2:$I$3001,0))))</f>
        <v/>
      </c>
      <c r="K1977" s="6">
        <f>IF(C1977="","",IF(M1977&gt;0,M1977,IF(AND(E1977&gt;0,ROUND(J1977+D1977-E1977,2)&gt;0,ROUND(J1977+D1977-E1977,2)&lt;'Opening Balance'!$B$14),ROUND(J1977+D1977-E1977,2),0)))</f>
        <v/>
      </c>
      <c r="L1977" s="6">
        <f>IF(C1977="","",ROUND(J1977+D1977-E1977-K1977,2))</f>
        <v/>
      </c>
      <c r="M1977" s="6">
        <f>IF(C1977="","",0)</f>
        <v/>
      </c>
    </row>
    <row r="1978">
      <c r="A1978" t="inlineStr">
        <is>
          <t>Bank 银行</t>
        </is>
      </c>
      <c r="B1978" s="5">
        <f>IF(AND('Daily Sale entry '!Z478="Online collection 网上收款",'Daily Sale entry '!AA478&lt;&gt;""),'Daily Sale entry '!X478,"")</f>
        <v/>
      </c>
      <c r="C1978">
        <f>IF(B1978="","",'Daily Sale entry '!AA478)</f>
        <v/>
      </c>
      <c r="D1978">
        <f>IF(C1978="","",0)</f>
        <v/>
      </c>
      <c r="E1978">
        <f>IF(C1978="","",'Daily Sale entry '!AC478)</f>
        <v/>
      </c>
      <c r="F1978" s="37">
        <f>IF(C1978="","",B1978+IF(E1978&gt;0,0,0.5)+ROW()/10000000)</f>
        <v/>
      </c>
      <c r="G1978">
        <f>IF(C1978="","","Collection 收款 (Online 网上)"&amp;IF('Daily Sale entry '!Y478="",""," - "&amp;'Daily Sale entry '!Y478))</f>
        <v/>
      </c>
      <c r="H1978">
        <f>IF(C1978="","",COUNTIFS($C$2:$C$3001,C1978,$F$2:$F$3001,"&lt;"&amp;F1978)+1)</f>
        <v/>
      </c>
      <c r="I1978">
        <f>IF(C1978="","",C1978&amp;"|"&amp;H1978)</f>
        <v/>
      </c>
      <c r="J1978" s="6">
        <f>IF(C1978="","",IF(H1978=1,SUMIFS('Opening Balance'!$F$4:$F$303,'Opening Balance'!$G$4:$G$303,C1978),INDEX($L$2:$L$3001,MATCH(C1978&amp;"|"&amp;(H1978-1),$I$2:$I$3001,0))))</f>
        <v/>
      </c>
      <c r="K1978" s="6">
        <f>IF(C1978="","",IF(M1978&gt;0,M1978,IF(AND(E1978&gt;0,ROUND(J1978+D1978-E1978,2)&gt;0,ROUND(J1978+D1978-E1978,2)&lt;'Opening Balance'!$B$14),ROUND(J1978+D1978-E1978,2),0)))</f>
        <v/>
      </c>
      <c r="L1978" s="6">
        <f>IF(C1978="","",ROUND(J1978+D1978-E1978-K1978,2))</f>
        <v/>
      </c>
      <c r="M1978" s="6">
        <f>IF(C1978="","",0)</f>
        <v/>
      </c>
    </row>
    <row r="1979">
      <c r="A1979" t="inlineStr">
        <is>
          <t>Bank 银行</t>
        </is>
      </c>
      <c r="B1979" s="5">
        <f>IF(AND('Daily Sale entry '!Z479="Online collection 网上收款",'Daily Sale entry '!AA479&lt;&gt;""),'Daily Sale entry '!X479,"")</f>
        <v/>
      </c>
      <c r="C1979">
        <f>IF(B1979="","",'Daily Sale entry '!AA479)</f>
        <v/>
      </c>
      <c r="D1979">
        <f>IF(C1979="","",0)</f>
        <v/>
      </c>
      <c r="E1979">
        <f>IF(C1979="","",'Daily Sale entry '!AC479)</f>
        <v/>
      </c>
      <c r="F1979" s="37">
        <f>IF(C1979="","",B1979+IF(E1979&gt;0,0,0.5)+ROW()/10000000)</f>
        <v/>
      </c>
      <c r="G1979">
        <f>IF(C1979="","","Collection 收款 (Online 网上)"&amp;IF('Daily Sale entry '!Y479="",""," - "&amp;'Daily Sale entry '!Y479))</f>
        <v/>
      </c>
      <c r="H1979">
        <f>IF(C1979="","",COUNTIFS($C$2:$C$3001,C1979,$F$2:$F$3001,"&lt;"&amp;F1979)+1)</f>
        <v/>
      </c>
      <c r="I1979">
        <f>IF(C1979="","",C1979&amp;"|"&amp;H1979)</f>
        <v/>
      </c>
      <c r="J1979" s="6">
        <f>IF(C1979="","",IF(H1979=1,SUMIFS('Opening Balance'!$F$4:$F$303,'Opening Balance'!$G$4:$G$303,C1979),INDEX($L$2:$L$3001,MATCH(C1979&amp;"|"&amp;(H1979-1),$I$2:$I$3001,0))))</f>
        <v/>
      </c>
      <c r="K1979" s="6">
        <f>IF(C1979="","",IF(M1979&gt;0,M1979,IF(AND(E1979&gt;0,ROUND(J1979+D1979-E1979,2)&gt;0,ROUND(J1979+D1979-E1979,2)&lt;'Opening Balance'!$B$14),ROUND(J1979+D1979-E1979,2),0)))</f>
        <v/>
      </c>
      <c r="L1979" s="6">
        <f>IF(C1979="","",ROUND(J1979+D1979-E1979-K1979,2))</f>
        <v/>
      </c>
      <c r="M1979" s="6">
        <f>IF(C1979="","",0)</f>
        <v/>
      </c>
    </row>
    <row r="1980">
      <c r="A1980" t="inlineStr">
        <is>
          <t>Bank 银行</t>
        </is>
      </c>
      <c r="B1980" s="5">
        <f>IF(AND('Daily Sale entry '!Z480="Online collection 网上收款",'Daily Sale entry '!AA480&lt;&gt;""),'Daily Sale entry '!X480,"")</f>
        <v/>
      </c>
      <c r="C1980">
        <f>IF(B1980="","",'Daily Sale entry '!AA480)</f>
        <v/>
      </c>
      <c r="D1980">
        <f>IF(C1980="","",0)</f>
        <v/>
      </c>
      <c r="E1980">
        <f>IF(C1980="","",'Daily Sale entry '!AC480)</f>
        <v/>
      </c>
      <c r="F1980" s="37">
        <f>IF(C1980="","",B1980+IF(E1980&gt;0,0,0.5)+ROW()/10000000)</f>
        <v/>
      </c>
      <c r="G1980">
        <f>IF(C1980="","","Collection 收款 (Online 网上)"&amp;IF('Daily Sale entry '!Y480="",""," - "&amp;'Daily Sale entry '!Y480))</f>
        <v/>
      </c>
      <c r="H1980">
        <f>IF(C1980="","",COUNTIFS($C$2:$C$3001,C1980,$F$2:$F$3001,"&lt;"&amp;F1980)+1)</f>
        <v/>
      </c>
      <c r="I1980">
        <f>IF(C1980="","",C1980&amp;"|"&amp;H1980)</f>
        <v/>
      </c>
      <c r="J1980" s="6">
        <f>IF(C1980="","",IF(H1980=1,SUMIFS('Opening Balance'!$F$4:$F$303,'Opening Balance'!$G$4:$G$303,C1980),INDEX($L$2:$L$3001,MATCH(C1980&amp;"|"&amp;(H1980-1),$I$2:$I$3001,0))))</f>
        <v/>
      </c>
      <c r="K1980" s="6">
        <f>IF(C1980="","",IF(M1980&gt;0,M1980,IF(AND(E1980&gt;0,ROUND(J1980+D1980-E1980,2)&gt;0,ROUND(J1980+D1980-E1980,2)&lt;'Opening Balance'!$B$14),ROUND(J1980+D1980-E1980,2),0)))</f>
        <v/>
      </c>
      <c r="L1980" s="6">
        <f>IF(C1980="","",ROUND(J1980+D1980-E1980-K1980,2))</f>
        <v/>
      </c>
      <c r="M1980" s="6">
        <f>IF(C1980="","",0)</f>
        <v/>
      </c>
    </row>
    <row r="1981">
      <c r="A1981" t="inlineStr">
        <is>
          <t>Bank 银行</t>
        </is>
      </c>
      <c r="B1981" s="5">
        <f>IF(AND('Daily Sale entry '!Z481="Online collection 网上收款",'Daily Sale entry '!AA481&lt;&gt;""),'Daily Sale entry '!X481,"")</f>
        <v/>
      </c>
      <c r="C1981">
        <f>IF(B1981="","",'Daily Sale entry '!AA481)</f>
        <v/>
      </c>
      <c r="D1981">
        <f>IF(C1981="","",0)</f>
        <v/>
      </c>
      <c r="E1981">
        <f>IF(C1981="","",'Daily Sale entry '!AC481)</f>
        <v/>
      </c>
      <c r="F1981" s="37">
        <f>IF(C1981="","",B1981+IF(E1981&gt;0,0,0.5)+ROW()/10000000)</f>
        <v/>
      </c>
      <c r="G1981">
        <f>IF(C1981="","","Collection 收款 (Online 网上)"&amp;IF('Daily Sale entry '!Y481="",""," - "&amp;'Daily Sale entry '!Y481))</f>
        <v/>
      </c>
      <c r="H1981">
        <f>IF(C1981="","",COUNTIFS($C$2:$C$3001,C1981,$F$2:$F$3001,"&lt;"&amp;F1981)+1)</f>
        <v/>
      </c>
      <c r="I1981">
        <f>IF(C1981="","",C1981&amp;"|"&amp;H1981)</f>
        <v/>
      </c>
      <c r="J1981" s="6">
        <f>IF(C1981="","",IF(H1981=1,SUMIFS('Opening Balance'!$F$4:$F$303,'Opening Balance'!$G$4:$G$303,C1981),INDEX($L$2:$L$3001,MATCH(C1981&amp;"|"&amp;(H1981-1),$I$2:$I$3001,0))))</f>
        <v/>
      </c>
      <c r="K1981" s="6">
        <f>IF(C1981="","",IF(M1981&gt;0,M1981,IF(AND(E1981&gt;0,ROUND(J1981+D1981-E1981,2)&gt;0,ROUND(J1981+D1981-E1981,2)&lt;'Opening Balance'!$B$14),ROUND(J1981+D1981-E1981,2),0)))</f>
        <v/>
      </c>
      <c r="L1981" s="6">
        <f>IF(C1981="","",ROUND(J1981+D1981-E1981-K1981,2))</f>
        <v/>
      </c>
      <c r="M1981" s="6">
        <f>IF(C1981="","",0)</f>
        <v/>
      </c>
    </row>
    <row r="1982">
      <c r="A1982" t="inlineStr">
        <is>
          <t>Bank 银行</t>
        </is>
      </c>
      <c r="B1982" s="5">
        <f>IF(AND('Daily Sale entry '!Z482="Online collection 网上收款",'Daily Sale entry '!AA482&lt;&gt;""),'Daily Sale entry '!X482,"")</f>
        <v/>
      </c>
      <c r="C1982">
        <f>IF(B1982="","",'Daily Sale entry '!AA482)</f>
        <v/>
      </c>
      <c r="D1982">
        <f>IF(C1982="","",0)</f>
        <v/>
      </c>
      <c r="E1982">
        <f>IF(C1982="","",'Daily Sale entry '!AC482)</f>
        <v/>
      </c>
      <c r="F1982" s="37">
        <f>IF(C1982="","",B1982+IF(E1982&gt;0,0,0.5)+ROW()/10000000)</f>
        <v/>
      </c>
      <c r="G1982">
        <f>IF(C1982="","","Collection 收款 (Online 网上)"&amp;IF('Daily Sale entry '!Y482="",""," - "&amp;'Daily Sale entry '!Y482))</f>
        <v/>
      </c>
      <c r="H1982">
        <f>IF(C1982="","",COUNTIFS($C$2:$C$3001,C1982,$F$2:$F$3001,"&lt;"&amp;F1982)+1)</f>
        <v/>
      </c>
      <c r="I1982">
        <f>IF(C1982="","",C1982&amp;"|"&amp;H1982)</f>
        <v/>
      </c>
      <c r="J1982" s="6">
        <f>IF(C1982="","",IF(H1982=1,SUMIFS('Opening Balance'!$F$4:$F$303,'Opening Balance'!$G$4:$G$303,C1982),INDEX($L$2:$L$3001,MATCH(C1982&amp;"|"&amp;(H1982-1),$I$2:$I$3001,0))))</f>
        <v/>
      </c>
      <c r="K1982" s="6">
        <f>IF(C1982="","",IF(M1982&gt;0,M1982,IF(AND(E1982&gt;0,ROUND(J1982+D1982-E1982,2)&gt;0,ROUND(J1982+D1982-E1982,2)&lt;'Opening Balance'!$B$14),ROUND(J1982+D1982-E1982,2),0)))</f>
        <v/>
      </c>
      <c r="L1982" s="6">
        <f>IF(C1982="","",ROUND(J1982+D1982-E1982-K1982,2))</f>
        <v/>
      </c>
      <c r="M1982" s="6">
        <f>IF(C1982="","",0)</f>
        <v/>
      </c>
    </row>
    <row r="1983">
      <c r="A1983" t="inlineStr">
        <is>
          <t>Bank 银行</t>
        </is>
      </c>
      <c r="B1983" s="5">
        <f>IF(AND('Daily Sale entry '!Z483="Online collection 网上收款",'Daily Sale entry '!AA483&lt;&gt;""),'Daily Sale entry '!X483,"")</f>
        <v/>
      </c>
      <c r="C1983">
        <f>IF(B1983="","",'Daily Sale entry '!AA483)</f>
        <v/>
      </c>
      <c r="D1983">
        <f>IF(C1983="","",0)</f>
        <v/>
      </c>
      <c r="E1983">
        <f>IF(C1983="","",'Daily Sale entry '!AC483)</f>
        <v/>
      </c>
      <c r="F1983" s="37">
        <f>IF(C1983="","",B1983+IF(E1983&gt;0,0,0.5)+ROW()/10000000)</f>
        <v/>
      </c>
      <c r="G1983">
        <f>IF(C1983="","","Collection 收款 (Online 网上)"&amp;IF('Daily Sale entry '!Y483="",""," - "&amp;'Daily Sale entry '!Y483))</f>
        <v/>
      </c>
      <c r="H1983">
        <f>IF(C1983="","",COUNTIFS($C$2:$C$3001,C1983,$F$2:$F$3001,"&lt;"&amp;F1983)+1)</f>
        <v/>
      </c>
      <c r="I1983">
        <f>IF(C1983="","",C1983&amp;"|"&amp;H1983)</f>
        <v/>
      </c>
      <c r="J1983" s="6">
        <f>IF(C1983="","",IF(H1983=1,SUMIFS('Opening Balance'!$F$4:$F$303,'Opening Balance'!$G$4:$G$303,C1983),INDEX($L$2:$L$3001,MATCH(C1983&amp;"|"&amp;(H1983-1),$I$2:$I$3001,0))))</f>
        <v/>
      </c>
      <c r="K1983" s="6">
        <f>IF(C1983="","",IF(M1983&gt;0,M1983,IF(AND(E1983&gt;0,ROUND(J1983+D1983-E1983,2)&gt;0,ROUND(J1983+D1983-E1983,2)&lt;'Opening Balance'!$B$14),ROUND(J1983+D1983-E1983,2),0)))</f>
        <v/>
      </c>
      <c r="L1983" s="6">
        <f>IF(C1983="","",ROUND(J1983+D1983-E1983-K1983,2))</f>
        <v/>
      </c>
      <c r="M1983" s="6">
        <f>IF(C1983="","",0)</f>
        <v/>
      </c>
    </row>
    <row r="1984">
      <c r="A1984" t="inlineStr">
        <is>
          <t>Bank 银行</t>
        </is>
      </c>
      <c r="B1984" s="5">
        <f>IF(AND('Daily Sale entry '!Z484="Online collection 网上收款",'Daily Sale entry '!AA484&lt;&gt;""),'Daily Sale entry '!X484,"")</f>
        <v/>
      </c>
      <c r="C1984">
        <f>IF(B1984="","",'Daily Sale entry '!AA484)</f>
        <v/>
      </c>
      <c r="D1984">
        <f>IF(C1984="","",0)</f>
        <v/>
      </c>
      <c r="E1984">
        <f>IF(C1984="","",'Daily Sale entry '!AC484)</f>
        <v/>
      </c>
      <c r="F1984" s="37">
        <f>IF(C1984="","",B1984+IF(E1984&gt;0,0,0.5)+ROW()/10000000)</f>
        <v/>
      </c>
      <c r="G1984">
        <f>IF(C1984="","","Collection 收款 (Online 网上)"&amp;IF('Daily Sale entry '!Y484="",""," - "&amp;'Daily Sale entry '!Y484))</f>
        <v/>
      </c>
      <c r="H1984">
        <f>IF(C1984="","",COUNTIFS($C$2:$C$3001,C1984,$F$2:$F$3001,"&lt;"&amp;F1984)+1)</f>
        <v/>
      </c>
      <c r="I1984">
        <f>IF(C1984="","",C1984&amp;"|"&amp;H1984)</f>
        <v/>
      </c>
      <c r="J1984" s="6">
        <f>IF(C1984="","",IF(H1984=1,SUMIFS('Opening Balance'!$F$4:$F$303,'Opening Balance'!$G$4:$G$303,C1984),INDEX($L$2:$L$3001,MATCH(C1984&amp;"|"&amp;(H1984-1),$I$2:$I$3001,0))))</f>
        <v/>
      </c>
      <c r="K1984" s="6">
        <f>IF(C1984="","",IF(M1984&gt;0,M1984,IF(AND(E1984&gt;0,ROUND(J1984+D1984-E1984,2)&gt;0,ROUND(J1984+D1984-E1984,2)&lt;'Opening Balance'!$B$14),ROUND(J1984+D1984-E1984,2),0)))</f>
        <v/>
      </c>
      <c r="L1984" s="6">
        <f>IF(C1984="","",ROUND(J1984+D1984-E1984-K1984,2))</f>
        <v/>
      </c>
      <c r="M1984" s="6">
        <f>IF(C1984="","",0)</f>
        <v/>
      </c>
    </row>
    <row r="1985">
      <c r="A1985" t="inlineStr">
        <is>
          <t>Bank 银行</t>
        </is>
      </c>
      <c r="B1985" s="5">
        <f>IF(AND('Daily Sale entry '!Z485="Online collection 网上收款",'Daily Sale entry '!AA485&lt;&gt;""),'Daily Sale entry '!X485,"")</f>
        <v/>
      </c>
      <c r="C1985">
        <f>IF(B1985="","",'Daily Sale entry '!AA485)</f>
        <v/>
      </c>
      <c r="D1985">
        <f>IF(C1985="","",0)</f>
        <v/>
      </c>
      <c r="E1985">
        <f>IF(C1985="","",'Daily Sale entry '!AC485)</f>
        <v/>
      </c>
      <c r="F1985" s="37">
        <f>IF(C1985="","",B1985+IF(E1985&gt;0,0,0.5)+ROW()/10000000)</f>
        <v/>
      </c>
      <c r="G1985">
        <f>IF(C1985="","","Collection 收款 (Online 网上)"&amp;IF('Daily Sale entry '!Y485="",""," - "&amp;'Daily Sale entry '!Y485))</f>
        <v/>
      </c>
      <c r="H1985">
        <f>IF(C1985="","",COUNTIFS($C$2:$C$3001,C1985,$F$2:$F$3001,"&lt;"&amp;F1985)+1)</f>
        <v/>
      </c>
      <c r="I1985">
        <f>IF(C1985="","",C1985&amp;"|"&amp;H1985)</f>
        <v/>
      </c>
      <c r="J1985" s="6">
        <f>IF(C1985="","",IF(H1985=1,SUMIFS('Opening Balance'!$F$4:$F$303,'Opening Balance'!$G$4:$G$303,C1985),INDEX($L$2:$L$3001,MATCH(C1985&amp;"|"&amp;(H1985-1),$I$2:$I$3001,0))))</f>
        <v/>
      </c>
      <c r="K1985" s="6">
        <f>IF(C1985="","",IF(M1985&gt;0,M1985,IF(AND(E1985&gt;0,ROUND(J1985+D1985-E1985,2)&gt;0,ROUND(J1985+D1985-E1985,2)&lt;'Opening Balance'!$B$14),ROUND(J1985+D1985-E1985,2),0)))</f>
        <v/>
      </c>
      <c r="L1985" s="6">
        <f>IF(C1985="","",ROUND(J1985+D1985-E1985-K1985,2))</f>
        <v/>
      </c>
      <c r="M1985" s="6">
        <f>IF(C1985="","",0)</f>
        <v/>
      </c>
    </row>
    <row r="1986">
      <c r="A1986" t="inlineStr">
        <is>
          <t>Bank 银行</t>
        </is>
      </c>
      <c r="B1986" s="5">
        <f>IF(AND('Daily Sale entry '!Z486="Online collection 网上收款",'Daily Sale entry '!AA486&lt;&gt;""),'Daily Sale entry '!X486,"")</f>
        <v/>
      </c>
      <c r="C1986">
        <f>IF(B1986="","",'Daily Sale entry '!AA486)</f>
        <v/>
      </c>
      <c r="D1986">
        <f>IF(C1986="","",0)</f>
        <v/>
      </c>
      <c r="E1986">
        <f>IF(C1986="","",'Daily Sale entry '!AC486)</f>
        <v/>
      </c>
      <c r="F1986" s="37">
        <f>IF(C1986="","",B1986+IF(E1986&gt;0,0,0.5)+ROW()/10000000)</f>
        <v/>
      </c>
      <c r="G1986">
        <f>IF(C1986="","","Collection 收款 (Online 网上)"&amp;IF('Daily Sale entry '!Y486="",""," - "&amp;'Daily Sale entry '!Y486))</f>
        <v/>
      </c>
      <c r="H1986">
        <f>IF(C1986="","",COUNTIFS($C$2:$C$3001,C1986,$F$2:$F$3001,"&lt;"&amp;F1986)+1)</f>
        <v/>
      </c>
      <c r="I1986">
        <f>IF(C1986="","",C1986&amp;"|"&amp;H1986)</f>
        <v/>
      </c>
      <c r="J1986" s="6">
        <f>IF(C1986="","",IF(H1986=1,SUMIFS('Opening Balance'!$F$4:$F$303,'Opening Balance'!$G$4:$G$303,C1986),INDEX($L$2:$L$3001,MATCH(C1986&amp;"|"&amp;(H1986-1),$I$2:$I$3001,0))))</f>
        <v/>
      </c>
      <c r="K1986" s="6">
        <f>IF(C1986="","",IF(M1986&gt;0,M1986,IF(AND(E1986&gt;0,ROUND(J1986+D1986-E1986,2)&gt;0,ROUND(J1986+D1986-E1986,2)&lt;'Opening Balance'!$B$14),ROUND(J1986+D1986-E1986,2),0)))</f>
        <v/>
      </c>
      <c r="L1986" s="6">
        <f>IF(C1986="","",ROUND(J1986+D1986-E1986-K1986,2))</f>
        <v/>
      </c>
      <c r="M1986" s="6">
        <f>IF(C1986="","",0)</f>
        <v/>
      </c>
    </row>
    <row r="1987">
      <c r="A1987" t="inlineStr">
        <is>
          <t>Bank 银行</t>
        </is>
      </c>
      <c r="B1987" s="5">
        <f>IF(AND('Daily Sale entry '!Z487="Online collection 网上收款",'Daily Sale entry '!AA487&lt;&gt;""),'Daily Sale entry '!X487,"")</f>
        <v/>
      </c>
      <c r="C1987">
        <f>IF(B1987="","",'Daily Sale entry '!AA487)</f>
        <v/>
      </c>
      <c r="D1987">
        <f>IF(C1987="","",0)</f>
        <v/>
      </c>
      <c r="E1987">
        <f>IF(C1987="","",'Daily Sale entry '!AC487)</f>
        <v/>
      </c>
      <c r="F1987" s="37">
        <f>IF(C1987="","",B1987+IF(E1987&gt;0,0,0.5)+ROW()/10000000)</f>
        <v/>
      </c>
      <c r="G1987">
        <f>IF(C1987="","","Collection 收款 (Online 网上)"&amp;IF('Daily Sale entry '!Y487="",""," - "&amp;'Daily Sale entry '!Y487))</f>
        <v/>
      </c>
      <c r="H1987">
        <f>IF(C1987="","",COUNTIFS($C$2:$C$3001,C1987,$F$2:$F$3001,"&lt;"&amp;F1987)+1)</f>
        <v/>
      </c>
      <c r="I1987">
        <f>IF(C1987="","",C1987&amp;"|"&amp;H1987)</f>
        <v/>
      </c>
      <c r="J1987" s="6">
        <f>IF(C1987="","",IF(H1987=1,SUMIFS('Opening Balance'!$F$4:$F$303,'Opening Balance'!$G$4:$G$303,C1987),INDEX($L$2:$L$3001,MATCH(C1987&amp;"|"&amp;(H1987-1),$I$2:$I$3001,0))))</f>
        <v/>
      </c>
      <c r="K1987" s="6">
        <f>IF(C1987="","",IF(M1987&gt;0,M1987,IF(AND(E1987&gt;0,ROUND(J1987+D1987-E1987,2)&gt;0,ROUND(J1987+D1987-E1987,2)&lt;'Opening Balance'!$B$14),ROUND(J1987+D1987-E1987,2),0)))</f>
        <v/>
      </c>
      <c r="L1987" s="6">
        <f>IF(C1987="","",ROUND(J1987+D1987-E1987-K1987,2))</f>
        <v/>
      </c>
      <c r="M1987" s="6">
        <f>IF(C1987="","",0)</f>
        <v/>
      </c>
    </row>
    <row r="1988">
      <c r="A1988" t="inlineStr">
        <is>
          <t>Bank 银行</t>
        </is>
      </c>
      <c r="B1988" s="5">
        <f>IF(AND('Daily Sale entry '!Z488="Online collection 网上收款",'Daily Sale entry '!AA488&lt;&gt;""),'Daily Sale entry '!X488,"")</f>
        <v/>
      </c>
      <c r="C1988">
        <f>IF(B1988="","",'Daily Sale entry '!AA488)</f>
        <v/>
      </c>
      <c r="D1988">
        <f>IF(C1988="","",0)</f>
        <v/>
      </c>
      <c r="E1988">
        <f>IF(C1988="","",'Daily Sale entry '!AC488)</f>
        <v/>
      </c>
      <c r="F1988" s="37">
        <f>IF(C1988="","",B1988+IF(E1988&gt;0,0,0.5)+ROW()/10000000)</f>
        <v/>
      </c>
      <c r="G1988">
        <f>IF(C1988="","","Collection 收款 (Online 网上)"&amp;IF('Daily Sale entry '!Y488="",""," - "&amp;'Daily Sale entry '!Y488))</f>
        <v/>
      </c>
      <c r="H1988">
        <f>IF(C1988="","",COUNTIFS($C$2:$C$3001,C1988,$F$2:$F$3001,"&lt;"&amp;F1988)+1)</f>
        <v/>
      </c>
      <c r="I1988">
        <f>IF(C1988="","",C1988&amp;"|"&amp;H1988)</f>
        <v/>
      </c>
      <c r="J1988" s="6">
        <f>IF(C1988="","",IF(H1988=1,SUMIFS('Opening Balance'!$F$4:$F$303,'Opening Balance'!$G$4:$G$303,C1988),INDEX($L$2:$L$3001,MATCH(C1988&amp;"|"&amp;(H1988-1),$I$2:$I$3001,0))))</f>
        <v/>
      </c>
      <c r="K1988" s="6">
        <f>IF(C1988="","",IF(M1988&gt;0,M1988,IF(AND(E1988&gt;0,ROUND(J1988+D1988-E1988,2)&gt;0,ROUND(J1988+D1988-E1988,2)&lt;'Opening Balance'!$B$14),ROUND(J1988+D1988-E1988,2),0)))</f>
        <v/>
      </c>
      <c r="L1988" s="6">
        <f>IF(C1988="","",ROUND(J1988+D1988-E1988-K1988,2))</f>
        <v/>
      </c>
      <c r="M1988" s="6">
        <f>IF(C1988="","",0)</f>
        <v/>
      </c>
    </row>
    <row r="1989">
      <c r="A1989" t="inlineStr">
        <is>
          <t>Bank 银行</t>
        </is>
      </c>
      <c r="B1989" s="5">
        <f>IF(AND('Daily Sale entry '!Z489="Online collection 网上收款",'Daily Sale entry '!AA489&lt;&gt;""),'Daily Sale entry '!X489,"")</f>
        <v/>
      </c>
      <c r="C1989">
        <f>IF(B1989="","",'Daily Sale entry '!AA489)</f>
        <v/>
      </c>
      <c r="D1989">
        <f>IF(C1989="","",0)</f>
        <v/>
      </c>
      <c r="E1989">
        <f>IF(C1989="","",'Daily Sale entry '!AC489)</f>
        <v/>
      </c>
      <c r="F1989" s="37">
        <f>IF(C1989="","",B1989+IF(E1989&gt;0,0,0.5)+ROW()/10000000)</f>
        <v/>
      </c>
      <c r="G1989">
        <f>IF(C1989="","","Collection 收款 (Online 网上)"&amp;IF('Daily Sale entry '!Y489="",""," - "&amp;'Daily Sale entry '!Y489))</f>
        <v/>
      </c>
      <c r="H1989">
        <f>IF(C1989="","",COUNTIFS($C$2:$C$3001,C1989,$F$2:$F$3001,"&lt;"&amp;F1989)+1)</f>
        <v/>
      </c>
      <c r="I1989">
        <f>IF(C1989="","",C1989&amp;"|"&amp;H1989)</f>
        <v/>
      </c>
      <c r="J1989" s="6">
        <f>IF(C1989="","",IF(H1989=1,SUMIFS('Opening Balance'!$F$4:$F$303,'Opening Balance'!$G$4:$G$303,C1989),INDEX($L$2:$L$3001,MATCH(C1989&amp;"|"&amp;(H1989-1),$I$2:$I$3001,0))))</f>
        <v/>
      </c>
      <c r="K1989" s="6">
        <f>IF(C1989="","",IF(M1989&gt;0,M1989,IF(AND(E1989&gt;0,ROUND(J1989+D1989-E1989,2)&gt;0,ROUND(J1989+D1989-E1989,2)&lt;'Opening Balance'!$B$14),ROUND(J1989+D1989-E1989,2),0)))</f>
        <v/>
      </c>
      <c r="L1989" s="6">
        <f>IF(C1989="","",ROUND(J1989+D1989-E1989-K1989,2))</f>
        <v/>
      </c>
      <c r="M1989" s="6">
        <f>IF(C1989="","",0)</f>
        <v/>
      </c>
    </row>
    <row r="1990">
      <c r="A1990" t="inlineStr">
        <is>
          <t>Bank 银行</t>
        </is>
      </c>
      <c r="B1990" s="5">
        <f>IF(AND('Daily Sale entry '!Z490="Online collection 网上收款",'Daily Sale entry '!AA490&lt;&gt;""),'Daily Sale entry '!X490,"")</f>
        <v/>
      </c>
      <c r="C1990">
        <f>IF(B1990="","",'Daily Sale entry '!AA490)</f>
        <v/>
      </c>
      <c r="D1990">
        <f>IF(C1990="","",0)</f>
        <v/>
      </c>
      <c r="E1990">
        <f>IF(C1990="","",'Daily Sale entry '!AC490)</f>
        <v/>
      </c>
      <c r="F1990" s="37">
        <f>IF(C1990="","",B1990+IF(E1990&gt;0,0,0.5)+ROW()/10000000)</f>
        <v/>
      </c>
      <c r="G1990">
        <f>IF(C1990="","","Collection 收款 (Online 网上)"&amp;IF('Daily Sale entry '!Y490="",""," - "&amp;'Daily Sale entry '!Y490))</f>
        <v/>
      </c>
      <c r="H1990">
        <f>IF(C1990="","",COUNTIFS($C$2:$C$3001,C1990,$F$2:$F$3001,"&lt;"&amp;F1990)+1)</f>
        <v/>
      </c>
      <c r="I1990">
        <f>IF(C1990="","",C1990&amp;"|"&amp;H1990)</f>
        <v/>
      </c>
      <c r="J1990" s="6">
        <f>IF(C1990="","",IF(H1990=1,SUMIFS('Opening Balance'!$F$4:$F$303,'Opening Balance'!$G$4:$G$303,C1990),INDEX($L$2:$L$3001,MATCH(C1990&amp;"|"&amp;(H1990-1),$I$2:$I$3001,0))))</f>
        <v/>
      </c>
      <c r="K1990" s="6">
        <f>IF(C1990="","",IF(M1990&gt;0,M1990,IF(AND(E1990&gt;0,ROUND(J1990+D1990-E1990,2)&gt;0,ROUND(J1990+D1990-E1990,2)&lt;'Opening Balance'!$B$14),ROUND(J1990+D1990-E1990,2),0)))</f>
        <v/>
      </c>
      <c r="L1990" s="6">
        <f>IF(C1990="","",ROUND(J1990+D1990-E1990-K1990,2))</f>
        <v/>
      </c>
      <c r="M1990" s="6">
        <f>IF(C1990="","",0)</f>
        <v/>
      </c>
    </row>
    <row r="1991">
      <c r="A1991" t="inlineStr">
        <is>
          <t>Bank 银行</t>
        </is>
      </c>
      <c r="B1991" s="5">
        <f>IF(AND('Daily Sale entry '!Z491="Online collection 网上收款",'Daily Sale entry '!AA491&lt;&gt;""),'Daily Sale entry '!X491,"")</f>
        <v/>
      </c>
      <c r="C1991">
        <f>IF(B1991="","",'Daily Sale entry '!AA491)</f>
        <v/>
      </c>
      <c r="D1991">
        <f>IF(C1991="","",0)</f>
        <v/>
      </c>
      <c r="E1991">
        <f>IF(C1991="","",'Daily Sale entry '!AC491)</f>
        <v/>
      </c>
      <c r="F1991" s="37">
        <f>IF(C1991="","",B1991+IF(E1991&gt;0,0,0.5)+ROW()/10000000)</f>
        <v/>
      </c>
      <c r="G1991">
        <f>IF(C1991="","","Collection 收款 (Online 网上)"&amp;IF('Daily Sale entry '!Y491="",""," - "&amp;'Daily Sale entry '!Y491))</f>
        <v/>
      </c>
      <c r="H1991">
        <f>IF(C1991="","",COUNTIFS($C$2:$C$3001,C1991,$F$2:$F$3001,"&lt;"&amp;F1991)+1)</f>
        <v/>
      </c>
      <c r="I1991">
        <f>IF(C1991="","",C1991&amp;"|"&amp;H1991)</f>
        <v/>
      </c>
      <c r="J1991" s="6">
        <f>IF(C1991="","",IF(H1991=1,SUMIFS('Opening Balance'!$F$4:$F$303,'Opening Balance'!$G$4:$G$303,C1991),INDEX($L$2:$L$3001,MATCH(C1991&amp;"|"&amp;(H1991-1),$I$2:$I$3001,0))))</f>
        <v/>
      </c>
      <c r="K1991" s="6">
        <f>IF(C1991="","",IF(M1991&gt;0,M1991,IF(AND(E1991&gt;0,ROUND(J1991+D1991-E1991,2)&gt;0,ROUND(J1991+D1991-E1991,2)&lt;'Opening Balance'!$B$14),ROUND(J1991+D1991-E1991,2),0)))</f>
        <v/>
      </c>
      <c r="L1991" s="6">
        <f>IF(C1991="","",ROUND(J1991+D1991-E1991-K1991,2))</f>
        <v/>
      </c>
      <c r="M1991" s="6">
        <f>IF(C1991="","",0)</f>
        <v/>
      </c>
    </row>
    <row r="1992">
      <c r="A1992" t="inlineStr">
        <is>
          <t>Bank 银行</t>
        </is>
      </c>
      <c r="B1992" s="5">
        <f>IF(AND('Daily Sale entry '!Z492="Online collection 网上收款",'Daily Sale entry '!AA492&lt;&gt;""),'Daily Sale entry '!X492,"")</f>
        <v/>
      </c>
      <c r="C1992">
        <f>IF(B1992="","",'Daily Sale entry '!AA492)</f>
        <v/>
      </c>
      <c r="D1992">
        <f>IF(C1992="","",0)</f>
        <v/>
      </c>
      <c r="E1992">
        <f>IF(C1992="","",'Daily Sale entry '!AC492)</f>
        <v/>
      </c>
      <c r="F1992" s="37">
        <f>IF(C1992="","",B1992+IF(E1992&gt;0,0,0.5)+ROW()/10000000)</f>
        <v/>
      </c>
      <c r="G1992">
        <f>IF(C1992="","","Collection 收款 (Online 网上)"&amp;IF('Daily Sale entry '!Y492="",""," - "&amp;'Daily Sale entry '!Y492))</f>
        <v/>
      </c>
      <c r="H1992">
        <f>IF(C1992="","",COUNTIFS($C$2:$C$3001,C1992,$F$2:$F$3001,"&lt;"&amp;F1992)+1)</f>
        <v/>
      </c>
      <c r="I1992">
        <f>IF(C1992="","",C1992&amp;"|"&amp;H1992)</f>
        <v/>
      </c>
      <c r="J1992" s="6">
        <f>IF(C1992="","",IF(H1992=1,SUMIFS('Opening Balance'!$F$4:$F$303,'Opening Balance'!$G$4:$G$303,C1992),INDEX($L$2:$L$3001,MATCH(C1992&amp;"|"&amp;(H1992-1),$I$2:$I$3001,0))))</f>
        <v/>
      </c>
      <c r="K1992" s="6">
        <f>IF(C1992="","",IF(M1992&gt;0,M1992,IF(AND(E1992&gt;0,ROUND(J1992+D1992-E1992,2)&gt;0,ROUND(J1992+D1992-E1992,2)&lt;'Opening Balance'!$B$14),ROUND(J1992+D1992-E1992,2),0)))</f>
        <v/>
      </c>
      <c r="L1992" s="6">
        <f>IF(C1992="","",ROUND(J1992+D1992-E1992-K1992,2))</f>
        <v/>
      </c>
      <c r="M1992" s="6">
        <f>IF(C1992="","",0)</f>
        <v/>
      </c>
    </row>
    <row r="1993">
      <c r="A1993" t="inlineStr">
        <is>
          <t>Bank 银行</t>
        </is>
      </c>
      <c r="B1993" s="5">
        <f>IF(AND('Daily Sale entry '!Z493="Online collection 网上收款",'Daily Sale entry '!AA493&lt;&gt;""),'Daily Sale entry '!X493,"")</f>
        <v/>
      </c>
      <c r="C1993">
        <f>IF(B1993="","",'Daily Sale entry '!AA493)</f>
        <v/>
      </c>
      <c r="D1993">
        <f>IF(C1993="","",0)</f>
        <v/>
      </c>
      <c r="E1993">
        <f>IF(C1993="","",'Daily Sale entry '!AC493)</f>
        <v/>
      </c>
      <c r="F1993" s="37">
        <f>IF(C1993="","",B1993+IF(E1993&gt;0,0,0.5)+ROW()/10000000)</f>
        <v/>
      </c>
      <c r="G1993">
        <f>IF(C1993="","","Collection 收款 (Online 网上)"&amp;IF('Daily Sale entry '!Y493="",""," - "&amp;'Daily Sale entry '!Y493))</f>
        <v/>
      </c>
      <c r="H1993">
        <f>IF(C1993="","",COUNTIFS($C$2:$C$3001,C1993,$F$2:$F$3001,"&lt;"&amp;F1993)+1)</f>
        <v/>
      </c>
      <c r="I1993">
        <f>IF(C1993="","",C1993&amp;"|"&amp;H1993)</f>
        <v/>
      </c>
      <c r="J1993" s="6">
        <f>IF(C1993="","",IF(H1993=1,SUMIFS('Opening Balance'!$F$4:$F$303,'Opening Balance'!$G$4:$G$303,C1993),INDEX($L$2:$L$3001,MATCH(C1993&amp;"|"&amp;(H1993-1),$I$2:$I$3001,0))))</f>
        <v/>
      </c>
      <c r="K1993" s="6">
        <f>IF(C1993="","",IF(M1993&gt;0,M1993,IF(AND(E1993&gt;0,ROUND(J1993+D1993-E1993,2)&gt;0,ROUND(J1993+D1993-E1993,2)&lt;'Opening Balance'!$B$14),ROUND(J1993+D1993-E1993,2),0)))</f>
        <v/>
      </c>
      <c r="L1993" s="6">
        <f>IF(C1993="","",ROUND(J1993+D1993-E1993-K1993,2))</f>
        <v/>
      </c>
      <c r="M1993" s="6">
        <f>IF(C1993="","",0)</f>
        <v/>
      </c>
    </row>
    <row r="1994">
      <c r="A1994" t="inlineStr">
        <is>
          <t>Bank 银行</t>
        </is>
      </c>
      <c r="B1994" s="5">
        <f>IF(AND('Daily Sale entry '!Z494="Online collection 网上收款",'Daily Sale entry '!AA494&lt;&gt;""),'Daily Sale entry '!X494,"")</f>
        <v/>
      </c>
      <c r="C1994">
        <f>IF(B1994="","",'Daily Sale entry '!AA494)</f>
        <v/>
      </c>
      <c r="D1994">
        <f>IF(C1994="","",0)</f>
        <v/>
      </c>
      <c r="E1994">
        <f>IF(C1994="","",'Daily Sale entry '!AC494)</f>
        <v/>
      </c>
      <c r="F1994" s="37">
        <f>IF(C1994="","",B1994+IF(E1994&gt;0,0,0.5)+ROW()/10000000)</f>
        <v/>
      </c>
      <c r="G1994">
        <f>IF(C1994="","","Collection 收款 (Online 网上)"&amp;IF('Daily Sale entry '!Y494="",""," - "&amp;'Daily Sale entry '!Y494))</f>
        <v/>
      </c>
      <c r="H1994">
        <f>IF(C1994="","",COUNTIFS($C$2:$C$3001,C1994,$F$2:$F$3001,"&lt;"&amp;F1994)+1)</f>
        <v/>
      </c>
      <c r="I1994">
        <f>IF(C1994="","",C1994&amp;"|"&amp;H1994)</f>
        <v/>
      </c>
      <c r="J1994" s="6">
        <f>IF(C1994="","",IF(H1994=1,SUMIFS('Opening Balance'!$F$4:$F$303,'Opening Balance'!$G$4:$G$303,C1994),INDEX($L$2:$L$3001,MATCH(C1994&amp;"|"&amp;(H1994-1),$I$2:$I$3001,0))))</f>
        <v/>
      </c>
      <c r="K1994" s="6">
        <f>IF(C1994="","",IF(M1994&gt;0,M1994,IF(AND(E1994&gt;0,ROUND(J1994+D1994-E1994,2)&gt;0,ROUND(J1994+D1994-E1994,2)&lt;'Opening Balance'!$B$14),ROUND(J1994+D1994-E1994,2),0)))</f>
        <v/>
      </c>
      <c r="L1994" s="6">
        <f>IF(C1994="","",ROUND(J1994+D1994-E1994-K1994,2))</f>
        <v/>
      </c>
      <c r="M1994" s="6">
        <f>IF(C1994="","",0)</f>
        <v/>
      </c>
    </row>
    <row r="1995">
      <c r="A1995" t="inlineStr">
        <is>
          <t>Bank 银行</t>
        </is>
      </c>
      <c r="B1995" s="5">
        <f>IF(AND('Daily Sale entry '!Z495="Online collection 网上收款",'Daily Sale entry '!AA495&lt;&gt;""),'Daily Sale entry '!X495,"")</f>
        <v/>
      </c>
      <c r="C1995">
        <f>IF(B1995="","",'Daily Sale entry '!AA495)</f>
        <v/>
      </c>
      <c r="D1995">
        <f>IF(C1995="","",0)</f>
        <v/>
      </c>
      <c r="E1995">
        <f>IF(C1995="","",'Daily Sale entry '!AC495)</f>
        <v/>
      </c>
      <c r="F1995" s="37">
        <f>IF(C1995="","",B1995+IF(E1995&gt;0,0,0.5)+ROW()/10000000)</f>
        <v/>
      </c>
      <c r="G1995">
        <f>IF(C1995="","","Collection 收款 (Online 网上)"&amp;IF('Daily Sale entry '!Y495="",""," - "&amp;'Daily Sale entry '!Y495))</f>
        <v/>
      </c>
      <c r="H1995">
        <f>IF(C1995="","",COUNTIFS($C$2:$C$3001,C1995,$F$2:$F$3001,"&lt;"&amp;F1995)+1)</f>
        <v/>
      </c>
      <c r="I1995">
        <f>IF(C1995="","",C1995&amp;"|"&amp;H1995)</f>
        <v/>
      </c>
      <c r="J1995" s="6">
        <f>IF(C1995="","",IF(H1995=1,SUMIFS('Opening Balance'!$F$4:$F$303,'Opening Balance'!$G$4:$G$303,C1995),INDEX($L$2:$L$3001,MATCH(C1995&amp;"|"&amp;(H1995-1),$I$2:$I$3001,0))))</f>
        <v/>
      </c>
      <c r="K1995" s="6">
        <f>IF(C1995="","",IF(M1995&gt;0,M1995,IF(AND(E1995&gt;0,ROUND(J1995+D1995-E1995,2)&gt;0,ROUND(J1995+D1995-E1995,2)&lt;'Opening Balance'!$B$14),ROUND(J1995+D1995-E1995,2),0)))</f>
        <v/>
      </c>
      <c r="L1995" s="6">
        <f>IF(C1995="","",ROUND(J1995+D1995-E1995-K1995,2))</f>
        <v/>
      </c>
      <c r="M1995" s="6">
        <f>IF(C1995="","",0)</f>
        <v/>
      </c>
    </row>
    <row r="1996">
      <c r="A1996" t="inlineStr">
        <is>
          <t>Bank 银行</t>
        </is>
      </c>
      <c r="B1996" s="5">
        <f>IF(AND('Daily Sale entry '!Z496="Online collection 网上收款",'Daily Sale entry '!AA496&lt;&gt;""),'Daily Sale entry '!X496,"")</f>
        <v/>
      </c>
      <c r="C1996">
        <f>IF(B1996="","",'Daily Sale entry '!AA496)</f>
        <v/>
      </c>
      <c r="D1996">
        <f>IF(C1996="","",0)</f>
        <v/>
      </c>
      <c r="E1996">
        <f>IF(C1996="","",'Daily Sale entry '!AC496)</f>
        <v/>
      </c>
      <c r="F1996" s="37">
        <f>IF(C1996="","",B1996+IF(E1996&gt;0,0,0.5)+ROW()/10000000)</f>
        <v/>
      </c>
      <c r="G1996">
        <f>IF(C1996="","","Collection 收款 (Online 网上)"&amp;IF('Daily Sale entry '!Y496="",""," - "&amp;'Daily Sale entry '!Y496))</f>
        <v/>
      </c>
      <c r="H1996">
        <f>IF(C1996="","",COUNTIFS($C$2:$C$3001,C1996,$F$2:$F$3001,"&lt;"&amp;F1996)+1)</f>
        <v/>
      </c>
      <c r="I1996">
        <f>IF(C1996="","",C1996&amp;"|"&amp;H1996)</f>
        <v/>
      </c>
      <c r="J1996" s="6">
        <f>IF(C1996="","",IF(H1996=1,SUMIFS('Opening Balance'!$F$4:$F$303,'Opening Balance'!$G$4:$G$303,C1996),INDEX($L$2:$L$3001,MATCH(C1996&amp;"|"&amp;(H1996-1),$I$2:$I$3001,0))))</f>
        <v/>
      </c>
      <c r="K1996" s="6">
        <f>IF(C1996="","",IF(M1996&gt;0,M1996,IF(AND(E1996&gt;0,ROUND(J1996+D1996-E1996,2)&gt;0,ROUND(J1996+D1996-E1996,2)&lt;'Opening Balance'!$B$14),ROUND(J1996+D1996-E1996,2),0)))</f>
        <v/>
      </c>
      <c r="L1996" s="6">
        <f>IF(C1996="","",ROUND(J1996+D1996-E1996-K1996,2))</f>
        <v/>
      </c>
      <c r="M1996" s="6">
        <f>IF(C1996="","",0)</f>
        <v/>
      </c>
    </row>
    <row r="1997">
      <c r="A1997" t="inlineStr">
        <is>
          <t>Bank 银行</t>
        </is>
      </c>
      <c r="B1997" s="5">
        <f>IF(AND('Daily Sale entry '!Z497="Online collection 网上收款",'Daily Sale entry '!AA497&lt;&gt;""),'Daily Sale entry '!X497,"")</f>
        <v/>
      </c>
      <c r="C1997">
        <f>IF(B1997="","",'Daily Sale entry '!AA497)</f>
        <v/>
      </c>
      <c r="D1997">
        <f>IF(C1997="","",0)</f>
        <v/>
      </c>
      <c r="E1997">
        <f>IF(C1997="","",'Daily Sale entry '!AC497)</f>
        <v/>
      </c>
      <c r="F1997" s="37">
        <f>IF(C1997="","",B1997+IF(E1997&gt;0,0,0.5)+ROW()/10000000)</f>
        <v/>
      </c>
      <c r="G1997">
        <f>IF(C1997="","","Collection 收款 (Online 网上)"&amp;IF('Daily Sale entry '!Y497="",""," - "&amp;'Daily Sale entry '!Y497))</f>
        <v/>
      </c>
      <c r="H1997">
        <f>IF(C1997="","",COUNTIFS($C$2:$C$3001,C1997,$F$2:$F$3001,"&lt;"&amp;F1997)+1)</f>
        <v/>
      </c>
      <c r="I1997">
        <f>IF(C1997="","",C1997&amp;"|"&amp;H1997)</f>
        <v/>
      </c>
      <c r="J1997" s="6">
        <f>IF(C1997="","",IF(H1997=1,SUMIFS('Opening Balance'!$F$4:$F$303,'Opening Balance'!$G$4:$G$303,C1997),INDEX($L$2:$L$3001,MATCH(C1997&amp;"|"&amp;(H1997-1),$I$2:$I$3001,0))))</f>
        <v/>
      </c>
      <c r="K1997" s="6">
        <f>IF(C1997="","",IF(M1997&gt;0,M1997,IF(AND(E1997&gt;0,ROUND(J1997+D1997-E1997,2)&gt;0,ROUND(J1997+D1997-E1997,2)&lt;'Opening Balance'!$B$14),ROUND(J1997+D1997-E1997,2),0)))</f>
        <v/>
      </c>
      <c r="L1997" s="6">
        <f>IF(C1997="","",ROUND(J1997+D1997-E1997-K1997,2))</f>
        <v/>
      </c>
      <c r="M1997" s="6">
        <f>IF(C1997="","",0)</f>
        <v/>
      </c>
    </row>
    <row r="1998">
      <c r="A1998" t="inlineStr">
        <is>
          <t>Bank 银行</t>
        </is>
      </c>
      <c r="B1998" s="5">
        <f>IF(AND('Daily Sale entry '!Z498="Online collection 网上收款",'Daily Sale entry '!AA498&lt;&gt;""),'Daily Sale entry '!X498,"")</f>
        <v/>
      </c>
      <c r="C1998">
        <f>IF(B1998="","",'Daily Sale entry '!AA498)</f>
        <v/>
      </c>
      <c r="D1998">
        <f>IF(C1998="","",0)</f>
        <v/>
      </c>
      <c r="E1998">
        <f>IF(C1998="","",'Daily Sale entry '!AC498)</f>
        <v/>
      </c>
      <c r="F1998" s="37">
        <f>IF(C1998="","",B1998+IF(E1998&gt;0,0,0.5)+ROW()/10000000)</f>
        <v/>
      </c>
      <c r="G1998">
        <f>IF(C1998="","","Collection 收款 (Online 网上)"&amp;IF('Daily Sale entry '!Y498="",""," - "&amp;'Daily Sale entry '!Y498))</f>
        <v/>
      </c>
      <c r="H1998">
        <f>IF(C1998="","",COUNTIFS($C$2:$C$3001,C1998,$F$2:$F$3001,"&lt;"&amp;F1998)+1)</f>
        <v/>
      </c>
      <c r="I1998">
        <f>IF(C1998="","",C1998&amp;"|"&amp;H1998)</f>
        <v/>
      </c>
      <c r="J1998" s="6">
        <f>IF(C1998="","",IF(H1998=1,SUMIFS('Opening Balance'!$F$4:$F$303,'Opening Balance'!$G$4:$G$303,C1998),INDEX($L$2:$L$3001,MATCH(C1998&amp;"|"&amp;(H1998-1),$I$2:$I$3001,0))))</f>
        <v/>
      </c>
      <c r="K1998" s="6">
        <f>IF(C1998="","",IF(M1998&gt;0,M1998,IF(AND(E1998&gt;0,ROUND(J1998+D1998-E1998,2)&gt;0,ROUND(J1998+D1998-E1998,2)&lt;'Opening Balance'!$B$14),ROUND(J1998+D1998-E1998,2),0)))</f>
        <v/>
      </c>
      <c r="L1998" s="6">
        <f>IF(C1998="","",ROUND(J1998+D1998-E1998-K1998,2))</f>
        <v/>
      </c>
      <c r="M1998" s="6">
        <f>IF(C1998="","",0)</f>
        <v/>
      </c>
    </row>
    <row r="1999">
      <c r="A1999" t="inlineStr">
        <is>
          <t>Bank 银行</t>
        </is>
      </c>
      <c r="B1999" s="5">
        <f>IF(AND('Daily Sale entry '!Z499="Online collection 网上收款",'Daily Sale entry '!AA499&lt;&gt;""),'Daily Sale entry '!X499,"")</f>
        <v/>
      </c>
      <c r="C1999">
        <f>IF(B1999="","",'Daily Sale entry '!AA499)</f>
        <v/>
      </c>
      <c r="D1999">
        <f>IF(C1999="","",0)</f>
        <v/>
      </c>
      <c r="E1999">
        <f>IF(C1999="","",'Daily Sale entry '!AC499)</f>
        <v/>
      </c>
      <c r="F1999" s="37">
        <f>IF(C1999="","",B1999+IF(E1999&gt;0,0,0.5)+ROW()/10000000)</f>
        <v/>
      </c>
      <c r="G1999">
        <f>IF(C1999="","","Collection 收款 (Online 网上)"&amp;IF('Daily Sale entry '!Y499="",""," - "&amp;'Daily Sale entry '!Y499))</f>
        <v/>
      </c>
      <c r="H1999">
        <f>IF(C1999="","",COUNTIFS($C$2:$C$3001,C1999,$F$2:$F$3001,"&lt;"&amp;F1999)+1)</f>
        <v/>
      </c>
      <c r="I1999">
        <f>IF(C1999="","",C1999&amp;"|"&amp;H1999)</f>
        <v/>
      </c>
      <c r="J1999" s="6">
        <f>IF(C1999="","",IF(H1999=1,SUMIFS('Opening Balance'!$F$4:$F$303,'Opening Balance'!$G$4:$G$303,C1999),INDEX($L$2:$L$3001,MATCH(C1999&amp;"|"&amp;(H1999-1),$I$2:$I$3001,0))))</f>
        <v/>
      </c>
      <c r="K1999" s="6">
        <f>IF(C1999="","",IF(M1999&gt;0,M1999,IF(AND(E1999&gt;0,ROUND(J1999+D1999-E1999,2)&gt;0,ROUND(J1999+D1999-E1999,2)&lt;'Opening Balance'!$B$14),ROUND(J1999+D1999-E1999,2),0)))</f>
        <v/>
      </c>
      <c r="L1999" s="6">
        <f>IF(C1999="","",ROUND(J1999+D1999-E1999-K1999,2))</f>
        <v/>
      </c>
      <c r="M1999" s="6">
        <f>IF(C1999="","",0)</f>
        <v/>
      </c>
    </row>
    <row r="2000">
      <c r="A2000" t="inlineStr">
        <is>
          <t>Bank 银行</t>
        </is>
      </c>
      <c r="B2000" s="5">
        <f>IF(AND('Daily Sale entry '!Z500="Online collection 网上收款",'Daily Sale entry '!AA500&lt;&gt;""),'Daily Sale entry '!X500,"")</f>
        <v/>
      </c>
      <c r="C2000">
        <f>IF(B2000="","",'Daily Sale entry '!AA500)</f>
        <v/>
      </c>
      <c r="D2000">
        <f>IF(C2000="","",0)</f>
        <v/>
      </c>
      <c r="E2000">
        <f>IF(C2000="","",'Daily Sale entry '!AC500)</f>
        <v/>
      </c>
      <c r="F2000" s="37">
        <f>IF(C2000="","",B2000+IF(E2000&gt;0,0,0.5)+ROW()/10000000)</f>
        <v/>
      </c>
      <c r="G2000">
        <f>IF(C2000="","","Collection 收款 (Online 网上)"&amp;IF('Daily Sale entry '!Y500="",""," - "&amp;'Daily Sale entry '!Y500))</f>
        <v/>
      </c>
      <c r="H2000">
        <f>IF(C2000="","",COUNTIFS($C$2:$C$3001,C2000,$F$2:$F$3001,"&lt;"&amp;F2000)+1)</f>
        <v/>
      </c>
      <c r="I2000">
        <f>IF(C2000="","",C2000&amp;"|"&amp;H2000)</f>
        <v/>
      </c>
      <c r="J2000" s="6">
        <f>IF(C2000="","",IF(H2000=1,SUMIFS('Opening Balance'!$F$4:$F$303,'Opening Balance'!$G$4:$G$303,C2000),INDEX($L$2:$L$3001,MATCH(C2000&amp;"|"&amp;(H2000-1),$I$2:$I$3001,0))))</f>
        <v/>
      </c>
      <c r="K2000" s="6">
        <f>IF(C2000="","",IF(M2000&gt;0,M2000,IF(AND(E2000&gt;0,ROUND(J2000+D2000-E2000,2)&gt;0,ROUND(J2000+D2000-E2000,2)&lt;'Opening Balance'!$B$14),ROUND(J2000+D2000-E2000,2),0)))</f>
        <v/>
      </c>
      <c r="L2000" s="6">
        <f>IF(C2000="","",ROUND(J2000+D2000-E2000-K2000,2))</f>
        <v/>
      </c>
      <c r="M2000" s="6">
        <f>IF(C2000="","",0)</f>
        <v/>
      </c>
    </row>
    <row r="2001">
      <c r="A2001" t="inlineStr">
        <is>
          <t>Bank 银行</t>
        </is>
      </c>
      <c r="B2001" s="5">
        <f>IF(AND('Daily Sale entry '!Z501="Online collection 网上收款",'Daily Sale entry '!AA501&lt;&gt;""),'Daily Sale entry '!X501,"")</f>
        <v/>
      </c>
      <c r="C2001">
        <f>IF(B2001="","",'Daily Sale entry '!AA501)</f>
        <v/>
      </c>
      <c r="D2001">
        <f>IF(C2001="","",0)</f>
        <v/>
      </c>
      <c r="E2001">
        <f>IF(C2001="","",'Daily Sale entry '!AC501)</f>
        <v/>
      </c>
      <c r="F2001" s="37">
        <f>IF(C2001="","",B2001+IF(E2001&gt;0,0,0.5)+ROW()/10000000)</f>
        <v/>
      </c>
      <c r="G2001">
        <f>IF(C2001="","","Collection 收款 (Online 网上)"&amp;IF('Daily Sale entry '!Y501="",""," - "&amp;'Daily Sale entry '!Y501))</f>
        <v/>
      </c>
      <c r="H2001">
        <f>IF(C2001="","",COUNTIFS($C$2:$C$3001,C2001,$F$2:$F$3001,"&lt;"&amp;F2001)+1)</f>
        <v/>
      </c>
      <c r="I2001">
        <f>IF(C2001="","",C2001&amp;"|"&amp;H2001)</f>
        <v/>
      </c>
      <c r="J2001" s="6">
        <f>IF(C2001="","",IF(H2001=1,SUMIFS('Opening Balance'!$F$4:$F$303,'Opening Balance'!$G$4:$G$303,C2001),INDEX($L$2:$L$3001,MATCH(C2001&amp;"|"&amp;(H2001-1),$I$2:$I$3001,0))))</f>
        <v/>
      </c>
      <c r="K2001" s="6">
        <f>IF(C2001="","",IF(M2001&gt;0,M2001,IF(AND(E2001&gt;0,ROUND(J2001+D2001-E2001,2)&gt;0,ROUND(J2001+D2001-E2001,2)&lt;'Opening Balance'!$B$14),ROUND(J2001+D2001-E2001,2),0)))</f>
        <v/>
      </c>
      <c r="L2001" s="6">
        <f>IF(C2001="","",ROUND(J2001+D2001-E2001-K2001,2))</f>
        <v/>
      </c>
      <c r="M2001" s="6">
        <f>IF(C2001="","",0)</f>
        <v/>
      </c>
    </row>
    <row r="2002">
      <c r="A2002" t="inlineStr">
        <is>
          <t>Bank 银行</t>
        </is>
      </c>
      <c r="B2002" s="5">
        <f>IF(AND('Daily Sale entry '!Z502="Online collection 网上收款",'Daily Sale entry '!AA502&lt;&gt;""),'Daily Sale entry '!X502,"")</f>
        <v/>
      </c>
      <c r="C2002">
        <f>IF(B2002="","",'Daily Sale entry '!AA502)</f>
        <v/>
      </c>
      <c r="D2002">
        <f>IF(C2002="","",0)</f>
        <v/>
      </c>
      <c r="E2002">
        <f>IF(C2002="","",'Daily Sale entry '!AC502)</f>
        <v/>
      </c>
      <c r="F2002" s="37">
        <f>IF(C2002="","",B2002+IF(E2002&gt;0,0,0.5)+ROW()/10000000)</f>
        <v/>
      </c>
      <c r="G2002">
        <f>IF(C2002="","","Collection 收款 (Online 网上)"&amp;IF('Daily Sale entry '!Y502="",""," - "&amp;'Daily Sale entry '!Y502))</f>
        <v/>
      </c>
      <c r="H2002">
        <f>IF(C2002="","",COUNTIFS($C$2:$C$3001,C2002,$F$2:$F$3001,"&lt;"&amp;F2002)+1)</f>
        <v/>
      </c>
      <c r="I2002">
        <f>IF(C2002="","",C2002&amp;"|"&amp;H2002)</f>
        <v/>
      </c>
      <c r="J2002" s="6">
        <f>IF(C2002="","",IF(H2002=1,SUMIFS('Opening Balance'!$F$4:$F$303,'Opening Balance'!$G$4:$G$303,C2002),INDEX($L$2:$L$3001,MATCH(C2002&amp;"|"&amp;(H2002-1),$I$2:$I$3001,0))))</f>
        <v/>
      </c>
      <c r="K2002" s="6">
        <f>IF(C2002="","",IF(M2002&gt;0,M2002,IF(AND(E2002&gt;0,ROUND(J2002+D2002-E2002,2)&gt;0,ROUND(J2002+D2002-E2002,2)&lt;'Opening Balance'!$B$14),ROUND(J2002+D2002-E2002,2),0)))</f>
        <v/>
      </c>
      <c r="L2002" s="6">
        <f>IF(C2002="","",ROUND(J2002+D2002-E2002-K2002,2))</f>
        <v/>
      </c>
      <c r="M2002" s="6">
        <f>IF(C2002="","",0)</f>
        <v/>
      </c>
    </row>
    <row r="2003">
      <c r="A2003" t="inlineStr">
        <is>
          <t>Bank 银行</t>
        </is>
      </c>
      <c r="B2003" s="5">
        <f>IF(AND('Daily Sale entry '!Z503="Online collection 网上收款",'Daily Sale entry '!AA503&lt;&gt;""),'Daily Sale entry '!X503,"")</f>
        <v/>
      </c>
      <c r="C2003">
        <f>IF(B2003="","",'Daily Sale entry '!AA503)</f>
        <v/>
      </c>
      <c r="D2003">
        <f>IF(C2003="","",0)</f>
        <v/>
      </c>
      <c r="E2003">
        <f>IF(C2003="","",'Daily Sale entry '!AC503)</f>
        <v/>
      </c>
      <c r="F2003" s="37">
        <f>IF(C2003="","",B2003+IF(E2003&gt;0,0,0.5)+ROW()/10000000)</f>
        <v/>
      </c>
      <c r="G2003">
        <f>IF(C2003="","","Collection 收款 (Online 网上)"&amp;IF('Daily Sale entry '!Y503="",""," - "&amp;'Daily Sale entry '!Y503))</f>
        <v/>
      </c>
      <c r="H2003">
        <f>IF(C2003="","",COUNTIFS($C$2:$C$3001,C2003,$F$2:$F$3001,"&lt;"&amp;F2003)+1)</f>
        <v/>
      </c>
      <c r="I2003">
        <f>IF(C2003="","",C2003&amp;"|"&amp;H2003)</f>
        <v/>
      </c>
      <c r="J2003" s="6">
        <f>IF(C2003="","",IF(H2003=1,SUMIFS('Opening Balance'!$F$4:$F$303,'Opening Balance'!$G$4:$G$303,C2003),INDEX($L$2:$L$3001,MATCH(C2003&amp;"|"&amp;(H2003-1),$I$2:$I$3001,0))))</f>
        <v/>
      </c>
      <c r="K2003" s="6">
        <f>IF(C2003="","",IF(M2003&gt;0,M2003,IF(AND(E2003&gt;0,ROUND(J2003+D2003-E2003,2)&gt;0,ROUND(J2003+D2003-E2003,2)&lt;'Opening Balance'!$B$14),ROUND(J2003+D2003-E2003,2),0)))</f>
        <v/>
      </c>
      <c r="L2003" s="6">
        <f>IF(C2003="","",ROUND(J2003+D2003-E2003-K2003,2))</f>
        <v/>
      </c>
      <c r="M2003" s="6">
        <f>IF(C2003="","",0)</f>
        <v/>
      </c>
    </row>
    <row r="2004">
      <c r="A2004" t="inlineStr">
        <is>
          <t>Bank 银行</t>
        </is>
      </c>
      <c r="B2004" s="5">
        <f>IF(AND('Daily Sale entry '!Z504="Online collection 网上收款",'Daily Sale entry '!AA504&lt;&gt;""),'Daily Sale entry '!X504,"")</f>
        <v/>
      </c>
      <c r="C2004">
        <f>IF(B2004="","",'Daily Sale entry '!AA504)</f>
        <v/>
      </c>
      <c r="D2004">
        <f>IF(C2004="","",0)</f>
        <v/>
      </c>
      <c r="E2004">
        <f>IF(C2004="","",'Daily Sale entry '!AC504)</f>
        <v/>
      </c>
      <c r="F2004" s="37">
        <f>IF(C2004="","",B2004+IF(E2004&gt;0,0,0.5)+ROW()/10000000)</f>
        <v/>
      </c>
      <c r="G2004">
        <f>IF(C2004="","","Collection 收款 (Online 网上)"&amp;IF('Daily Sale entry '!Y504="",""," - "&amp;'Daily Sale entry '!Y504))</f>
        <v/>
      </c>
      <c r="H2004">
        <f>IF(C2004="","",COUNTIFS($C$2:$C$3001,C2004,$F$2:$F$3001,"&lt;"&amp;F2004)+1)</f>
        <v/>
      </c>
      <c r="I2004">
        <f>IF(C2004="","",C2004&amp;"|"&amp;H2004)</f>
        <v/>
      </c>
      <c r="J2004" s="6">
        <f>IF(C2004="","",IF(H2004=1,SUMIFS('Opening Balance'!$F$4:$F$303,'Opening Balance'!$G$4:$G$303,C2004),INDEX($L$2:$L$3001,MATCH(C2004&amp;"|"&amp;(H2004-1),$I$2:$I$3001,0))))</f>
        <v/>
      </c>
      <c r="K2004" s="6">
        <f>IF(C2004="","",IF(M2004&gt;0,M2004,IF(AND(E2004&gt;0,ROUND(J2004+D2004-E2004,2)&gt;0,ROUND(J2004+D2004-E2004,2)&lt;'Opening Balance'!$B$14),ROUND(J2004+D2004-E2004,2),0)))</f>
        <v/>
      </c>
      <c r="L2004" s="6">
        <f>IF(C2004="","",ROUND(J2004+D2004-E2004-K2004,2))</f>
        <v/>
      </c>
      <c r="M2004" s="6">
        <f>IF(C2004="","",0)</f>
        <v/>
      </c>
    </row>
    <row r="2005">
      <c r="A2005" t="inlineStr">
        <is>
          <t>Bank 银行</t>
        </is>
      </c>
      <c r="B2005" s="5">
        <f>IF(AND('Daily Sale entry '!Z505="Online collection 网上收款",'Daily Sale entry '!AA505&lt;&gt;""),'Daily Sale entry '!X505,"")</f>
        <v/>
      </c>
      <c r="C2005">
        <f>IF(B2005="","",'Daily Sale entry '!AA505)</f>
        <v/>
      </c>
      <c r="D2005">
        <f>IF(C2005="","",0)</f>
        <v/>
      </c>
      <c r="E2005">
        <f>IF(C2005="","",'Daily Sale entry '!AC505)</f>
        <v/>
      </c>
      <c r="F2005" s="37">
        <f>IF(C2005="","",B2005+IF(E2005&gt;0,0,0.5)+ROW()/10000000)</f>
        <v/>
      </c>
      <c r="G2005">
        <f>IF(C2005="","","Collection 收款 (Online 网上)"&amp;IF('Daily Sale entry '!Y505="",""," - "&amp;'Daily Sale entry '!Y505))</f>
        <v/>
      </c>
      <c r="H2005">
        <f>IF(C2005="","",COUNTIFS($C$2:$C$3001,C2005,$F$2:$F$3001,"&lt;"&amp;F2005)+1)</f>
        <v/>
      </c>
      <c r="I2005">
        <f>IF(C2005="","",C2005&amp;"|"&amp;H2005)</f>
        <v/>
      </c>
      <c r="J2005" s="6">
        <f>IF(C2005="","",IF(H2005=1,SUMIFS('Opening Balance'!$F$4:$F$303,'Opening Balance'!$G$4:$G$303,C2005),INDEX($L$2:$L$3001,MATCH(C2005&amp;"|"&amp;(H2005-1),$I$2:$I$3001,0))))</f>
        <v/>
      </c>
      <c r="K2005" s="6">
        <f>IF(C2005="","",IF(M2005&gt;0,M2005,IF(AND(E2005&gt;0,ROUND(J2005+D2005-E2005,2)&gt;0,ROUND(J2005+D2005-E2005,2)&lt;'Opening Balance'!$B$14),ROUND(J2005+D2005-E2005,2),0)))</f>
        <v/>
      </c>
      <c r="L2005" s="6">
        <f>IF(C2005="","",ROUND(J2005+D2005-E2005-K2005,2))</f>
        <v/>
      </c>
      <c r="M2005" s="6">
        <f>IF(C2005="","",0)</f>
        <v/>
      </c>
    </row>
    <row r="2006">
      <c r="A2006" t="inlineStr">
        <is>
          <t>Bank 银行</t>
        </is>
      </c>
      <c r="B2006" s="5">
        <f>IF(AND('Daily Sale entry '!Z506="Online collection 网上收款",'Daily Sale entry '!AA506&lt;&gt;""),'Daily Sale entry '!X506,"")</f>
        <v/>
      </c>
      <c r="C2006">
        <f>IF(B2006="","",'Daily Sale entry '!AA506)</f>
        <v/>
      </c>
      <c r="D2006">
        <f>IF(C2006="","",0)</f>
        <v/>
      </c>
      <c r="E2006">
        <f>IF(C2006="","",'Daily Sale entry '!AC506)</f>
        <v/>
      </c>
      <c r="F2006" s="37">
        <f>IF(C2006="","",B2006+IF(E2006&gt;0,0,0.5)+ROW()/10000000)</f>
        <v/>
      </c>
      <c r="G2006">
        <f>IF(C2006="","","Collection 收款 (Online 网上)"&amp;IF('Daily Sale entry '!Y506="",""," - "&amp;'Daily Sale entry '!Y506))</f>
        <v/>
      </c>
      <c r="H2006">
        <f>IF(C2006="","",COUNTIFS($C$2:$C$3001,C2006,$F$2:$F$3001,"&lt;"&amp;F2006)+1)</f>
        <v/>
      </c>
      <c r="I2006">
        <f>IF(C2006="","",C2006&amp;"|"&amp;H2006)</f>
        <v/>
      </c>
      <c r="J2006" s="6">
        <f>IF(C2006="","",IF(H2006=1,SUMIFS('Opening Balance'!$F$4:$F$303,'Opening Balance'!$G$4:$G$303,C2006),INDEX($L$2:$L$3001,MATCH(C2006&amp;"|"&amp;(H2006-1),$I$2:$I$3001,0))))</f>
        <v/>
      </c>
      <c r="K2006" s="6">
        <f>IF(C2006="","",IF(M2006&gt;0,M2006,IF(AND(E2006&gt;0,ROUND(J2006+D2006-E2006,2)&gt;0,ROUND(J2006+D2006-E2006,2)&lt;'Opening Balance'!$B$14),ROUND(J2006+D2006-E2006,2),0)))</f>
        <v/>
      </c>
      <c r="L2006" s="6">
        <f>IF(C2006="","",ROUND(J2006+D2006-E2006-K2006,2))</f>
        <v/>
      </c>
      <c r="M2006" s="6">
        <f>IF(C2006="","",0)</f>
        <v/>
      </c>
    </row>
    <row r="2007">
      <c r="A2007" t="inlineStr">
        <is>
          <t>Bank 银行</t>
        </is>
      </c>
      <c r="B2007" s="5">
        <f>IF(AND('Daily Sale entry '!Z507="Online collection 网上收款",'Daily Sale entry '!AA507&lt;&gt;""),'Daily Sale entry '!X507,"")</f>
        <v/>
      </c>
      <c r="C2007">
        <f>IF(B2007="","",'Daily Sale entry '!AA507)</f>
        <v/>
      </c>
      <c r="D2007">
        <f>IF(C2007="","",0)</f>
        <v/>
      </c>
      <c r="E2007">
        <f>IF(C2007="","",'Daily Sale entry '!AC507)</f>
        <v/>
      </c>
      <c r="F2007" s="37">
        <f>IF(C2007="","",B2007+IF(E2007&gt;0,0,0.5)+ROW()/10000000)</f>
        <v/>
      </c>
      <c r="G2007">
        <f>IF(C2007="","","Collection 收款 (Online 网上)"&amp;IF('Daily Sale entry '!Y507="",""," - "&amp;'Daily Sale entry '!Y507))</f>
        <v/>
      </c>
      <c r="H2007">
        <f>IF(C2007="","",COUNTIFS($C$2:$C$3001,C2007,$F$2:$F$3001,"&lt;"&amp;F2007)+1)</f>
        <v/>
      </c>
      <c r="I2007">
        <f>IF(C2007="","",C2007&amp;"|"&amp;H2007)</f>
        <v/>
      </c>
      <c r="J2007" s="6">
        <f>IF(C2007="","",IF(H2007=1,SUMIFS('Opening Balance'!$F$4:$F$303,'Opening Balance'!$G$4:$G$303,C2007),INDEX($L$2:$L$3001,MATCH(C2007&amp;"|"&amp;(H2007-1),$I$2:$I$3001,0))))</f>
        <v/>
      </c>
      <c r="K2007" s="6">
        <f>IF(C2007="","",IF(M2007&gt;0,M2007,IF(AND(E2007&gt;0,ROUND(J2007+D2007-E2007,2)&gt;0,ROUND(J2007+D2007-E2007,2)&lt;'Opening Balance'!$B$14),ROUND(J2007+D2007-E2007,2),0)))</f>
        <v/>
      </c>
      <c r="L2007" s="6">
        <f>IF(C2007="","",ROUND(J2007+D2007-E2007-K2007,2))</f>
        <v/>
      </c>
      <c r="M2007" s="6">
        <f>IF(C2007="","",0)</f>
        <v/>
      </c>
    </row>
    <row r="2008">
      <c r="A2008" t="inlineStr">
        <is>
          <t>Bank 银行</t>
        </is>
      </c>
      <c r="B2008" s="5">
        <f>IF(AND('Daily Sale entry '!Z508="Online collection 网上收款",'Daily Sale entry '!AA508&lt;&gt;""),'Daily Sale entry '!X508,"")</f>
        <v/>
      </c>
      <c r="C2008">
        <f>IF(B2008="","",'Daily Sale entry '!AA508)</f>
        <v/>
      </c>
      <c r="D2008">
        <f>IF(C2008="","",0)</f>
        <v/>
      </c>
      <c r="E2008">
        <f>IF(C2008="","",'Daily Sale entry '!AC508)</f>
        <v/>
      </c>
      <c r="F2008" s="37">
        <f>IF(C2008="","",B2008+IF(E2008&gt;0,0,0.5)+ROW()/10000000)</f>
        <v/>
      </c>
      <c r="G2008">
        <f>IF(C2008="","","Collection 收款 (Online 网上)"&amp;IF('Daily Sale entry '!Y508="",""," - "&amp;'Daily Sale entry '!Y508))</f>
        <v/>
      </c>
      <c r="H2008">
        <f>IF(C2008="","",COUNTIFS($C$2:$C$3001,C2008,$F$2:$F$3001,"&lt;"&amp;F2008)+1)</f>
        <v/>
      </c>
      <c r="I2008">
        <f>IF(C2008="","",C2008&amp;"|"&amp;H2008)</f>
        <v/>
      </c>
      <c r="J2008" s="6">
        <f>IF(C2008="","",IF(H2008=1,SUMIFS('Opening Balance'!$F$4:$F$303,'Opening Balance'!$G$4:$G$303,C2008),INDEX($L$2:$L$3001,MATCH(C2008&amp;"|"&amp;(H2008-1),$I$2:$I$3001,0))))</f>
        <v/>
      </c>
      <c r="K2008" s="6">
        <f>IF(C2008="","",IF(M2008&gt;0,M2008,IF(AND(E2008&gt;0,ROUND(J2008+D2008-E2008,2)&gt;0,ROUND(J2008+D2008-E2008,2)&lt;'Opening Balance'!$B$14),ROUND(J2008+D2008-E2008,2),0)))</f>
        <v/>
      </c>
      <c r="L2008" s="6">
        <f>IF(C2008="","",ROUND(J2008+D2008-E2008-K2008,2))</f>
        <v/>
      </c>
      <c r="M2008" s="6">
        <f>IF(C2008="","",0)</f>
        <v/>
      </c>
    </row>
    <row r="2009">
      <c r="A2009" t="inlineStr">
        <is>
          <t>Bank 银行</t>
        </is>
      </c>
      <c r="B2009" s="5">
        <f>IF(AND('Daily Sale entry '!Z509="Online collection 网上收款",'Daily Sale entry '!AA509&lt;&gt;""),'Daily Sale entry '!X509,"")</f>
        <v/>
      </c>
      <c r="C2009">
        <f>IF(B2009="","",'Daily Sale entry '!AA509)</f>
        <v/>
      </c>
      <c r="D2009">
        <f>IF(C2009="","",0)</f>
        <v/>
      </c>
      <c r="E2009">
        <f>IF(C2009="","",'Daily Sale entry '!AC509)</f>
        <v/>
      </c>
      <c r="F2009" s="37">
        <f>IF(C2009="","",B2009+IF(E2009&gt;0,0,0.5)+ROW()/10000000)</f>
        <v/>
      </c>
      <c r="G2009">
        <f>IF(C2009="","","Collection 收款 (Online 网上)"&amp;IF('Daily Sale entry '!Y509="",""," - "&amp;'Daily Sale entry '!Y509))</f>
        <v/>
      </c>
      <c r="H2009">
        <f>IF(C2009="","",COUNTIFS($C$2:$C$3001,C2009,$F$2:$F$3001,"&lt;"&amp;F2009)+1)</f>
        <v/>
      </c>
      <c r="I2009">
        <f>IF(C2009="","",C2009&amp;"|"&amp;H2009)</f>
        <v/>
      </c>
      <c r="J2009" s="6">
        <f>IF(C2009="","",IF(H2009=1,SUMIFS('Opening Balance'!$F$4:$F$303,'Opening Balance'!$G$4:$G$303,C2009),INDEX($L$2:$L$3001,MATCH(C2009&amp;"|"&amp;(H2009-1),$I$2:$I$3001,0))))</f>
        <v/>
      </c>
      <c r="K2009" s="6">
        <f>IF(C2009="","",IF(M2009&gt;0,M2009,IF(AND(E2009&gt;0,ROUND(J2009+D2009-E2009,2)&gt;0,ROUND(J2009+D2009-E2009,2)&lt;'Opening Balance'!$B$14),ROUND(J2009+D2009-E2009,2),0)))</f>
        <v/>
      </c>
      <c r="L2009" s="6">
        <f>IF(C2009="","",ROUND(J2009+D2009-E2009-K2009,2))</f>
        <v/>
      </c>
      <c r="M2009" s="6">
        <f>IF(C2009="","",0)</f>
        <v/>
      </c>
    </row>
    <row r="2010">
      <c r="A2010" t="inlineStr">
        <is>
          <t>Bank 银行</t>
        </is>
      </c>
      <c r="B2010" s="5">
        <f>IF(AND('Daily Sale entry '!Z510="Online collection 网上收款",'Daily Sale entry '!AA510&lt;&gt;""),'Daily Sale entry '!X510,"")</f>
        <v/>
      </c>
      <c r="C2010">
        <f>IF(B2010="","",'Daily Sale entry '!AA510)</f>
        <v/>
      </c>
      <c r="D2010">
        <f>IF(C2010="","",0)</f>
        <v/>
      </c>
      <c r="E2010">
        <f>IF(C2010="","",'Daily Sale entry '!AC510)</f>
        <v/>
      </c>
      <c r="F2010" s="37">
        <f>IF(C2010="","",B2010+IF(E2010&gt;0,0,0.5)+ROW()/10000000)</f>
        <v/>
      </c>
      <c r="G2010">
        <f>IF(C2010="","","Collection 收款 (Online 网上)"&amp;IF('Daily Sale entry '!Y510="",""," - "&amp;'Daily Sale entry '!Y510))</f>
        <v/>
      </c>
      <c r="H2010">
        <f>IF(C2010="","",COUNTIFS($C$2:$C$3001,C2010,$F$2:$F$3001,"&lt;"&amp;F2010)+1)</f>
        <v/>
      </c>
      <c r="I2010">
        <f>IF(C2010="","",C2010&amp;"|"&amp;H2010)</f>
        <v/>
      </c>
      <c r="J2010" s="6">
        <f>IF(C2010="","",IF(H2010=1,SUMIFS('Opening Balance'!$F$4:$F$303,'Opening Balance'!$G$4:$G$303,C2010),INDEX($L$2:$L$3001,MATCH(C2010&amp;"|"&amp;(H2010-1),$I$2:$I$3001,0))))</f>
        <v/>
      </c>
      <c r="K2010" s="6">
        <f>IF(C2010="","",IF(M2010&gt;0,M2010,IF(AND(E2010&gt;0,ROUND(J2010+D2010-E2010,2)&gt;0,ROUND(J2010+D2010-E2010,2)&lt;'Opening Balance'!$B$14),ROUND(J2010+D2010-E2010,2),0)))</f>
        <v/>
      </c>
      <c r="L2010" s="6">
        <f>IF(C2010="","",ROUND(J2010+D2010-E2010-K2010,2))</f>
        <v/>
      </c>
      <c r="M2010" s="6">
        <f>IF(C2010="","",0)</f>
        <v/>
      </c>
    </row>
    <row r="2011">
      <c r="A2011" t="inlineStr">
        <is>
          <t>Bank 银行</t>
        </is>
      </c>
      <c r="B2011" s="5">
        <f>IF(AND('Daily Sale entry '!Z511="Online collection 网上收款",'Daily Sale entry '!AA511&lt;&gt;""),'Daily Sale entry '!X511,"")</f>
        <v/>
      </c>
      <c r="C2011">
        <f>IF(B2011="","",'Daily Sale entry '!AA511)</f>
        <v/>
      </c>
      <c r="D2011">
        <f>IF(C2011="","",0)</f>
        <v/>
      </c>
      <c r="E2011">
        <f>IF(C2011="","",'Daily Sale entry '!AC511)</f>
        <v/>
      </c>
      <c r="F2011" s="37">
        <f>IF(C2011="","",B2011+IF(E2011&gt;0,0,0.5)+ROW()/10000000)</f>
        <v/>
      </c>
      <c r="G2011">
        <f>IF(C2011="","","Collection 收款 (Online 网上)"&amp;IF('Daily Sale entry '!Y511="",""," - "&amp;'Daily Sale entry '!Y511))</f>
        <v/>
      </c>
      <c r="H2011">
        <f>IF(C2011="","",COUNTIFS($C$2:$C$3001,C2011,$F$2:$F$3001,"&lt;"&amp;F2011)+1)</f>
        <v/>
      </c>
      <c r="I2011">
        <f>IF(C2011="","",C2011&amp;"|"&amp;H2011)</f>
        <v/>
      </c>
      <c r="J2011" s="6">
        <f>IF(C2011="","",IF(H2011=1,SUMIFS('Opening Balance'!$F$4:$F$303,'Opening Balance'!$G$4:$G$303,C2011),INDEX($L$2:$L$3001,MATCH(C2011&amp;"|"&amp;(H2011-1),$I$2:$I$3001,0))))</f>
        <v/>
      </c>
      <c r="K2011" s="6">
        <f>IF(C2011="","",IF(M2011&gt;0,M2011,IF(AND(E2011&gt;0,ROUND(J2011+D2011-E2011,2)&gt;0,ROUND(J2011+D2011-E2011,2)&lt;'Opening Balance'!$B$14),ROUND(J2011+D2011-E2011,2),0)))</f>
        <v/>
      </c>
      <c r="L2011" s="6">
        <f>IF(C2011="","",ROUND(J2011+D2011-E2011-K2011,2))</f>
        <v/>
      </c>
      <c r="M2011" s="6">
        <f>IF(C2011="","",0)</f>
        <v/>
      </c>
    </row>
    <row r="2012">
      <c r="A2012" t="inlineStr">
        <is>
          <t>Bank 银行</t>
        </is>
      </c>
      <c r="B2012" s="5">
        <f>IF(AND('Daily Sale entry '!Z512="Online collection 网上收款",'Daily Sale entry '!AA512&lt;&gt;""),'Daily Sale entry '!X512,"")</f>
        <v/>
      </c>
      <c r="C2012">
        <f>IF(B2012="","",'Daily Sale entry '!AA512)</f>
        <v/>
      </c>
      <c r="D2012">
        <f>IF(C2012="","",0)</f>
        <v/>
      </c>
      <c r="E2012">
        <f>IF(C2012="","",'Daily Sale entry '!AC512)</f>
        <v/>
      </c>
      <c r="F2012" s="37">
        <f>IF(C2012="","",B2012+IF(E2012&gt;0,0,0.5)+ROW()/10000000)</f>
        <v/>
      </c>
      <c r="G2012">
        <f>IF(C2012="","","Collection 收款 (Online 网上)"&amp;IF('Daily Sale entry '!Y512="",""," - "&amp;'Daily Sale entry '!Y512))</f>
        <v/>
      </c>
      <c r="H2012">
        <f>IF(C2012="","",COUNTIFS($C$2:$C$3001,C2012,$F$2:$F$3001,"&lt;"&amp;F2012)+1)</f>
        <v/>
      </c>
      <c r="I2012">
        <f>IF(C2012="","",C2012&amp;"|"&amp;H2012)</f>
        <v/>
      </c>
      <c r="J2012" s="6">
        <f>IF(C2012="","",IF(H2012=1,SUMIFS('Opening Balance'!$F$4:$F$303,'Opening Balance'!$G$4:$G$303,C2012),INDEX($L$2:$L$3001,MATCH(C2012&amp;"|"&amp;(H2012-1),$I$2:$I$3001,0))))</f>
        <v/>
      </c>
      <c r="K2012" s="6">
        <f>IF(C2012="","",IF(M2012&gt;0,M2012,IF(AND(E2012&gt;0,ROUND(J2012+D2012-E2012,2)&gt;0,ROUND(J2012+D2012-E2012,2)&lt;'Opening Balance'!$B$14),ROUND(J2012+D2012-E2012,2),0)))</f>
        <v/>
      </c>
      <c r="L2012" s="6">
        <f>IF(C2012="","",ROUND(J2012+D2012-E2012-K2012,2))</f>
        <v/>
      </c>
      <c r="M2012" s="6">
        <f>IF(C2012="","",0)</f>
        <v/>
      </c>
    </row>
    <row r="2013">
      <c r="A2013" t="inlineStr">
        <is>
          <t>Bank 银行</t>
        </is>
      </c>
      <c r="B2013" s="5">
        <f>IF(AND('Daily Sale entry '!Z513="Online collection 网上收款",'Daily Sale entry '!AA513&lt;&gt;""),'Daily Sale entry '!X513,"")</f>
        <v/>
      </c>
      <c r="C2013">
        <f>IF(B2013="","",'Daily Sale entry '!AA513)</f>
        <v/>
      </c>
      <c r="D2013">
        <f>IF(C2013="","",0)</f>
        <v/>
      </c>
      <c r="E2013">
        <f>IF(C2013="","",'Daily Sale entry '!AC513)</f>
        <v/>
      </c>
      <c r="F2013" s="37">
        <f>IF(C2013="","",B2013+IF(E2013&gt;0,0,0.5)+ROW()/10000000)</f>
        <v/>
      </c>
      <c r="G2013">
        <f>IF(C2013="","","Collection 收款 (Online 网上)"&amp;IF('Daily Sale entry '!Y513="",""," - "&amp;'Daily Sale entry '!Y513))</f>
        <v/>
      </c>
      <c r="H2013">
        <f>IF(C2013="","",COUNTIFS($C$2:$C$3001,C2013,$F$2:$F$3001,"&lt;"&amp;F2013)+1)</f>
        <v/>
      </c>
      <c r="I2013">
        <f>IF(C2013="","",C2013&amp;"|"&amp;H2013)</f>
        <v/>
      </c>
      <c r="J2013" s="6">
        <f>IF(C2013="","",IF(H2013=1,SUMIFS('Opening Balance'!$F$4:$F$303,'Opening Balance'!$G$4:$G$303,C2013),INDEX($L$2:$L$3001,MATCH(C2013&amp;"|"&amp;(H2013-1),$I$2:$I$3001,0))))</f>
        <v/>
      </c>
      <c r="K2013" s="6">
        <f>IF(C2013="","",IF(M2013&gt;0,M2013,IF(AND(E2013&gt;0,ROUND(J2013+D2013-E2013,2)&gt;0,ROUND(J2013+D2013-E2013,2)&lt;'Opening Balance'!$B$14),ROUND(J2013+D2013-E2013,2),0)))</f>
        <v/>
      </c>
      <c r="L2013" s="6">
        <f>IF(C2013="","",ROUND(J2013+D2013-E2013-K2013,2))</f>
        <v/>
      </c>
      <c r="M2013" s="6">
        <f>IF(C2013="","",0)</f>
        <v/>
      </c>
    </row>
    <row r="2014">
      <c r="A2014" t="inlineStr">
        <is>
          <t>Bank 银行</t>
        </is>
      </c>
      <c r="B2014" s="5">
        <f>IF(AND('Daily Sale entry '!Z514="Online collection 网上收款",'Daily Sale entry '!AA514&lt;&gt;""),'Daily Sale entry '!X514,"")</f>
        <v/>
      </c>
      <c r="C2014">
        <f>IF(B2014="","",'Daily Sale entry '!AA514)</f>
        <v/>
      </c>
      <c r="D2014">
        <f>IF(C2014="","",0)</f>
        <v/>
      </c>
      <c r="E2014">
        <f>IF(C2014="","",'Daily Sale entry '!AC514)</f>
        <v/>
      </c>
      <c r="F2014" s="37">
        <f>IF(C2014="","",B2014+IF(E2014&gt;0,0,0.5)+ROW()/10000000)</f>
        <v/>
      </c>
      <c r="G2014">
        <f>IF(C2014="","","Collection 收款 (Online 网上)"&amp;IF('Daily Sale entry '!Y514="",""," - "&amp;'Daily Sale entry '!Y514))</f>
        <v/>
      </c>
      <c r="H2014">
        <f>IF(C2014="","",COUNTIFS($C$2:$C$3001,C2014,$F$2:$F$3001,"&lt;"&amp;F2014)+1)</f>
        <v/>
      </c>
      <c r="I2014">
        <f>IF(C2014="","",C2014&amp;"|"&amp;H2014)</f>
        <v/>
      </c>
      <c r="J2014" s="6">
        <f>IF(C2014="","",IF(H2014=1,SUMIFS('Opening Balance'!$F$4:$F$303,'Opening Balance'!$G$4:$G$303,C2014),INDEX($L$2:$L$3001,MATCH(C2014&amp;"|"&amp;(H2014-1),$I$2:$I$3001,0))))</f>
        <v/>
      </c>
      <c r="K2014" s="6">
        <f>IF(C2014="","",IF(M2014&gt;0,M2014,IF(AND(E2014&gt;0,ROUND(J2014+D2014-E2014,2)&gt;0,ROUND(J2014+D2014-E2014,2)&lt;'Opening Balance'!$B$14),ROUND(J2014+D2014-E2014,2),0)))</f>
        <v/>
      </c>
      <c r="L2014" s="6">
        <f>IF(C2014="","",ROUND(J2014+D2014-E2014-K2014,2))</f>
        <v/>
      </c>
      <c r="M2014" s="6">
        <f>IF(C2014="","",0)</f>
        <v/>
      </c>
    </row>
    <row r="2015">
      <c r="A2015" t="inlineStr">
        <is>
          <t>Bank 银行</t>
        </is>
      </c>
      <c r="B2015" s="5">
        <f>IF(AND('Daily Sale entry '!Z515="Online collection 网上收款",'Daily Sale entry '!AA515&lt;&gt;""),'Daily Sale entry '!X515,"")</f>
        <v/>
      </c>
      <c r="C2015">
        <f>IF(B2015="","",'Daily Sale entry '!AA515)</f>
        <v/>
      </c>
      <c r="D2015">
        <f>IF(C2015="","",0)</f>
        <v/>
      </c>
      <c r="E2015">
        <f>IF(C2015="","",'Daily Sale entry '!AC515)</f>
        <v/>
      </c>
      <c r="F2015" s="37">
        <f>IF(C2015="","",B2015+IF(E2015&gt;0,0,0.5)+ROW()/10000000)</f>
        <v/>
      </c>
      <c r="G2015">
        <f>IF(C2015="","","Collection 收款 (Online 网上)"&amp;IF('Daily Sale entry '!Y515="",""," - "&amp;'Daily Sale entry '!Y515))</f>
        <v/>
      </c>
      <c r="H2015">
        <f>IF(C2015="","",COUNTIFS($C$2:$C$3001,C2015,$F$2:$F$3001,"&lt;"&amp;F2015)+1)</f>
        <v/>
      </c>
      <c r="I2015">
        <f>IF(C2015="","",C2015&amp;"|"&amp;H2015)</f>
        <v/>
      </c>
      <c r="J2015" s="6">
        <f>IF(C2015="","",IF(H2015=1,SUMIFS('Opening Balance'!$F$4:$F$303,'Opening Balance'!$G$4:$G$303,C2015),INDEX($L$2:$L$3001,MATCH(C2015&amp;"|"&amp;(H2015-1),$I$2:$I$3001,0))))</f>
        <v/>
      </c>
      <c r="K2015" s="6">
        <f>IF(C2015="","",IF(M2015&gt;0,M2015,IF(AND(E2015&gt;0,ROUND(J2015+D2015-E2015,2)&gt;0,ROUND(J2015+D2015-E2015,2)&lt;'Opening Balance'!$B$14),ROUND(J2015+D2015-E2015,2),0)))</f>
        <v/>
      </c>
      <c r="L2015" s="6">
        <f>IF(C2015="","",ROUND(J2015+D2015-E2015-K2015,2))</f>
        <v/>
      </c>
      <c r="M2015" s="6">
        <f>IF(C2015="","",0)</f>
        <v/>
      </c>
    </row>
    <row r="2016">
      <c r="A2016" t="inlineStr">
        <is>
          <t>Bank 银行</t>
        </is>
      </c>
      <c r="B2016" s="5">
        <f>IF(AND('Daily Sale entry '!Z516="Online collection 网上收款",'Daily Sale entry '!AA516&lt;&gt;""),'Daily Sale entry '!X516,"")</f>
        <v/>
      </c>
      <c r="C2016">
        <f>IF(B2016="","",'Daily Sale entry '!AA516)</f>
        <v/>
      </c>
      <c r="D2016">
        <f>IF(C2016="","",0)</f>
        <v/>
      </c>
      <c r="E2016">
        <f>IF(C2016="","",'Daily Sale entry '!AC516)</f>
        <v/>
      </c>
      <c r="F2016" s="37">
        <f>IF(C2016="","",B2016+IF(E2016&gt;0,0,0.5)+ROW()/10000000)</f>
        <v/>
      </c>
      <c r="G2016">
        <f>IF(C2016="","","Collection 收款 (Online 网上)"&amp;IF('Daily Sale entry '!Y516="",""," - "&amp;'Daily Sale entry '!Y516))</f>
        <v/>
      </c>
      <c r="H2016">
        <f>IF(C2016="","",COUNTIFS($C$2:$C$3001,C2016,$F$2:$F$3001,"&lt;"&amp;F2016)+1)</f>
        <v/>
      </c>
      <c r="I2016">
        <f>IF(C2016="","",C2016&amp;"|"&amp;H2016)</f>
        <v/>
      </c>
      <c r="J2016" s="6">
        <f>IF(C2016="","",IF(H2016=1,SUMIFS('Opening Balance'!$F$4:$F$303,'Opening Balance'!$G$4:$G$303,C2016),INDEX($L$2:$L$3001,MATCH(C2016&amp;"|"&amp;(H2016-1),$I$2:$I$3001,0))))</f>
        <v/>
      </c>
      <c r="K2016" s="6">
        <f>IF(C2016="","",IF(M2016&gt;0,M2016,IF(AND(E2016&gt;0,ROUND(J2016+D2016-E2016,2)&gt;0,ROUND(J2016+D2016-E2016,2)&lt;'Opening Balance'!$B$14),ROUND(J2016+D2016-E2016,2),0)))</f>
        <v/>
      </c>
      <c r="L2016" s="6">
        <f>IF(C2016="","",ROUND(J2016+D2016-E2016-K2016,2))</f>
        <v/>
      </c>
      <c r="M2016" s="6">
        <f>IF(C2016="","",0)</f>
        <v/>
      </c>
    </row>
    <row r="2017">
      <c r="A2017" t="inlineStr">
        <is>
          <t>Bank 银行</t>
        </is>
      </c>
      <c r="B2017" s="5">
        <f>IF(AND('Daily Sale entry '!Z517="Online collection 网上收款",'Daily Sale entry '!AA517&lt;&gt;""),'Daily Sale entry '!X517,"")</f>
        <v/>
      </c>
      <c r="C2017">
        <f>IF(B2017="","",'Daily Sale entry '!AA517)</f>
        <v/>
      </c>
      <c r="D2017">
        <f>IF(C2017="","",0)</f>
        <v/>
      </c>
      <c r="E2017">
        <f>IF(C2017="","",'Daily Sale entry '!AC517)</f>
        <v/>
      </c>
      <c r="F2017" s="37">
        <f>IF(C2017="","",B2017+IF(E2017&gt;0,0,0.5)+ROW()/10000000)</f>
        <v/>
      </c>
      <c r="G2017">
        <f>IF(C2017="","","Collection 收款 (Online 网上)"&amp;IF('Daily Sale entry '!Y517="",""," - "&amp;'Daily Sale entry '!Y517))</f>
        <v/>
      </c>
      <c r="H2017">
        <f>IF(C2017="","",COUNTIFS($C$2:$C$3001,C2017,$F$2:$F$3001,"&lt;"&amp;F2017)+1)</f>
        <v/>
      </c>
      <c r="I2017">
        <f>IF(C2017="","",C2017&amp;"|"&amp;H2017)</f>
        <v/>
      </c>
      <c r="J2017" s="6">
        <f>IF(C2017="","",IF(H2017=1,SUMIFS('Opening Balance'!$F$4:$F$303,'Opening Balance'!$G$4:$G$303,C2017),INDEX($L$2:$L$3001,MATCH(C2017&amp;"|"&amp;(H2017-1),$I$2:$I$3001,0))))</f>
        <v/>
      </c>
      <c r="K2017" s="6">
        <f>IF(C2017="","",IF(M2017&gt;0,M2017,IF(AND(E2017&gt;0,ROUND(J2017+D2017-E2017,2)&gt;0,ROUND(J2017+D2017-E2017,2)&lt;'Opening Balance'!$B$14),ROUND(J2017+D2017-E2017,2),0)))</f>
        <v/>
      </c>
      <c r="L2017" s="6">
        <f>IF(C2017="","",ROUND(J2017+D2017-E2017-K2017,2))</f>
        <v/>
      </c>
      <c r="M2017" s="6">
        <f>IF(C2017="","",0)</f>
        <v/>
      </c>
    </row>
    <row r="2018">
      <c r="A2018" t="inlineStr">
        <is>
          <t>Bank 银行</t>
        </is>
      </c>
      <c r="B2018" s="5">
        <f>IF(AND('Daily Sale entry '!Z518="Online collection 网上收款",'Daily Sale entry '!AA518&lt;&gt;""),'Daily Sale entry '!X518,"")</f>
        <v/>
      </c>
      <c r="C2018">
        <f>IF(B2018="","",'Daily Sale entry '!AA518)</f>
        <v/>
      </c>
      <c r="D2018">
        <f>IF(C2018="","",0)</f>
        <v/>
      </c>
      <c r="E2018">
        <f>IF(C2018="","",'Daily Sale entry '!AC518)</f>
        <v/>
      </c>
      <c r="F2018" s="37">
        <f>IF(C2018="","",B2018+IF(E2018&gt;0,0,0.5)+ROW()/10000000)</f>
        <v/>
      </c>
      <c r="G2018">
        <f>IF(C2018="","","Collection 收款 (Online 网上)"&amp;IF('Daily Sale entry '!Y518="",""," - "&amp;'Daily Sale entry '!Y518))</f>
        <v/>
      </c>
      <c r="H2018">
        <f>IF(C2018="","",COUNTIFS($C$2:$C$3001,C2018,$F$2:$F$3001,"&lt;"&amp;F2018)+1)</f>
        <v/>
      </c>
      <c r="I2018">
        <f>IF(C2018="","",C2018&amp;"|"&amp;H2018)</f>
        <v/>
      </c>
      <c r="J2018" s="6">
        <f>IF(C2018="","",IF(H2018=1,SUMIFS('Opening Balance'!$F$4:$F$303,'Opening Balance'!$G$4:$G$303,C2018),INDEX($L$2:$L$3001,MATCH(C2018&amp;"|"&amp;(H2018-1),$I$2:$I$3001,0))))</f>
        <v/>
      </c>
      <c r="K2018" s="6">
        <f>IF(C2018="","",IF(M2018&gt;0,M2018,IF(AND(E2018&gt;0,ROUND(J2018+D2018-E2018,2)&gt;0,ROUND(J2018+D2018-E2018,2)&lt;'Opening Balance'!$B$14),ROUND(J2018+D2018-E2018,2),0)))</f>
        <v/>
      </c>
      <c r="L2018" s="6">
        <f>IF(C2018="","",ROUND(J2018+D2018-E2018-K2018,2))</f>
        <v/>
      </c>
      <c r="M2018" s="6">
        <f>IF(C2018="","",0)</f>
        <v/>
      </c>
    </row>
    <row r="2019">
      <c r="A2019" t="inlineStr">
        <is>
          <t>Bank 银行</t>
        </is>
      </c>
      <c r="B2019" s="5">
        <f>IF(AND('Daily Sale entry '!Z519="Online collection 网上收款",'Daily Sale entry '!AA519&lt;&gt;""),'Daily Sale entry '!X519,"")</f>
        <v/>
      </c>
      <c r="C2019">
        <f>IF(B2019="","",'Daily Sale entry '!AA519)</f>
        <v/>
      </c>
      <c r="D2019">
        <f>IF(C2019="","",0)</f>
        <v/>
      </c>
      <c r="E2019">
        <f>IF(C2019="","",'Daily Sale entry '!AC519)</f>
        <v/>
      </c>
      <c r="F2019" s="37">
        <f>IF(C2019="","",B2019+IF(E2019&gt;0,0,0.5)+ROW()/10000000)</f>
        <v/>
      </c>
      <c r="G2019">
        <f>IF(C2019="","","Collection 收款 (Online 网上)"&amp;IF('Daily Sale entry '!Y519="",""," - "&amp;'Daily Sale entry '!Y519))</f>
        <v/>
      </c>
      <c r="H2019">
        <f>IF(C2019="","",COUNTIFS($C$2:$C$3001,C2019,$F$2:$F$3001,"&lt;"&amp;F2019)+1)</f>
        <v/>
      </c>
      <c r="I2019">
        <f>IF(C2019="","",C2019&amp;"|"&amp;H2019)</f>
        <v/>
      </c>
      <c r="J2019" s="6">
        <f>IF(C2019="","",IF(H2019=1,SUMIFS('Opening Balance'!$F$4:$F$303,'Opening Balance'!$G$4:$G$303,C2019),INDEX($L$2:$L$3001,MATCH(C2019&amp;"|"&amp;(H2019-1),$I$2:$I$3001,0))))</f>
        <v/>
      </c>
      <c r="K2019" s="6">
        <f>IF(C2019="","",IF(M2019&gt;0,M2019,IF(AND(E2019&gt;0,ROUND(J2019+D2019-E2019,2)&gt;0,ROUND(J2019+D2019-E2019,2)&lt;'Opening Balance'!$B$14),ROUND(J2019+D2019-E2019,2),0)))</f>
        <v/>
      </c>
      <c r="L2019" s="6">
        <f>IF(C2019="","",ROUND(J2019+D2019-E2019-K2019,2))</f>
        <v/>
      </c>
      <c r="M2019" s="6">
        <f>IF(C2019="","",0)</f>
        <v/>
      </c>
    </row>
    <row r="2020">
      <c r="A2020" t="inlineStr">
        <is>
          <t>Bank 银行</t>
        </is>
      </c>
      <c r="B2020" s="5">
        <f>IF(AND('Daily Sale entry '!Z520="Online collection 网上收款",'Daily Sale entry '!AA520&lt;&gt;""),'Daily Sale entry '!X520,"")</f>
        <v/>
      </c>
      <c r="C2020">
        <f>IF(B2020="","",'Daily Sale entry '!AA520)</f>
        <v/>
      </c>
      <c r="D2020">
        <f>IF(C2020="","",0)</f>
        <v/>
      </c>
      <c r="E2020">
        <f>IF(C2020="","",'Daily Sale entry '!AC520)</f>
        <v/>
      </c>
      <c r="F2020" s="37">
        <f>IF(C2020="","",B2020+IF(E2020&gt;0,0,0.5)+ROW()/10000000)</f>
        <v/>
      </c>
      <c r="G2020">
        <f>IF(C2020="","","Collection 收款 (Online 网上)"&amp;IF('Daily Sale entry '!Y520="",""," - "&amp;'Daily Sale entry '!Y520))</f>
        <v/>
      </c>
      <c r="H2020">
        <f>IF(C2020="","",COUNTIFS($C$2:$C$3001,C2020,$F$2:$F$3001,"&lt;"&amp;F2020)+1)</f>
        <v/>
      </c>
      <c r="I2020">
        <f>IF(C2020="","",C2020&amp;"|"&amp;H2020)</f>
        <v/>
      </c>
      <c r="J2020" s="6">
        <f>IF(C2020="","",IF(H2020=1,SUMIFS('Opening Balance'!$F$4:$F$303,'Opening Balance'!$G$4:$G$303,C2020),INDEX($L$2:$L$3001,MATCH(C2020&amp;"|"&amp;(H2020-1),$I$2:$I$3001,0))))</f>
        <v/>
      </c>
      <c r="K2020" s="6">
        <f>IF(C2020="","",IF(M2020&gt;0,M2020,IF(AND(E2020&gt;0,ROUND(J2020+D2020-E2020,2)&gt;0,ROUND(J2020+D2020-E2020,2)&lt;'Opening Balance'!$B$14),ROUND(J2020+D2020-E2020,2),0)))</f>
        <v/>
      </c>
      <c r="L2020" s="6">
        <f>IF(C2020="","",ROUND(J2020+D2020-E2020-K2020,2))</f>
        <v/>
      </c>
      <c r="M2020" s="6">
        <f>IF(C2020="","",0)</f>
        <v/>
      </c>
    </row>
    <row r="2021">
      <c r="A2021" t="inlineStr">
        <is>
          <t>Bank 银行</t>
        </is>
      </c>
      <c r="B2021" s="5">
        <f>IF(AND('Daily Sale entry '!Z521="Online collection 网上收款",'Daily Sale entry '!AA521&lt;&gt;""),'Daily Sale entry '!X521,"")</f>
        <v/>
      </c>
      <c r="C2021">
        <f>IF(B2021="","",'Daily Sale entry '!AA521)</f>
        <v/>
      </c>
      <c r="D2021">
        <f>IF(C2021="","",0)</f>
        <v/>
      </c>
      <c r="E2021">
        <f>IF(C2021="","",'Daily Sale entry '!AC521)</f>
        <v/>
      </c>
      <c r="F2021" s="37">
        <f>IF(C2021="","",B2021+IF(E2021&gt;0,0,0.5)+ROW()/10000000)</f>
        <v/>
      </c>
      <c r="G2021">
        <f>IF(C2021="","","Collection 收款 (Online 网上)"&amp;IF('Daily Sale entry '!Y521="",""," - "&amp;'Daily Sale entry '!Y521))</f>
        <v/>
      </c>
      <c r="H2021">
        <f>IF(C2021="","",COUNTIFS($C$2:$C$3001,C2021,$F$2:$F$3001,"&lt;"&amp;F2021)+1)</f>
        <v/>
      </c>
      <c r="I2021">
        <f>IF(C2021="","",C2021&amp;"|"&amp;H2021)</f>
        <v/>
      </c>
      <c r="J2021" s="6">
        <f>IF(C2021="","",IF(H2021=1,SUMIFS('Opening Balance'!$F$4:$F$303,'Opening Balance'!$G$4:$G$303,C2021),INDEX($L$2:$L$3001,MATCH(C2021&amp;"|"&amp;(H2021-1),$I$2:$I$3001,0))))</f>
        <v/>
      </c>
      <c r="K2021" s="6">
        <f>IF(C2021="","",IF(M2021&gt;0,M2021,IF(AND(E2021&gt;0,ROUND(J2021+D2021-E2021,2)&gt;0,ROUND(J2021+D2021-E2021,2)&lt;'Opening Balance'!$B$14),ROUND(J2021+D2021-E2021,2),0)))</f>
        <v/>
      </c>
      <c r="L2021" s="6">
        <f>IF(C2021="","",ROUND(J2021+D2021-E2021-K2021,2))</f>
        <v/>
      </c>
      <c r="M2021" s="6">
        <f>IF(C2021="","",0)</f>
        <v/>
      </c>
    </row>
    <row r="2022">
      <c r="A2022" t="inlineStr">
        <is>
          <t>Bank 银行</t>
        </is>
      </c>
      <c r="B2022" s="5">
        <f>IF(AND('Daily Sale entry '!Z522="Online collection 网上收款",'Daily Sale entry '!AA522&lt;&gt;""),'Daily Sale entry '!X522,"")</f>
        <v/>
      </c>
      <c r="C2022">
        <f>IF(B2022="","",'Daily Sale entry '!AA522)</f>
        <v/>
      </c>
      <c r="D2022">
        <f>IF(C2022="","",0)</f>
        <v/>
      </c>
      <c r="E2022">
        <f>IF(C2022="","",'Daily Sale entry '!AC522)</f>
        <v/>
      </c>
      <c r="F2022" s="37">
        <f>IF(C2022="","",B2022+IF(E2022&gt;0,0,0.5)+ROW()/10000000)</f>
        <v/>
      </c>
      <c r="G2022">
        <f>IF(C2022="","","Collection 收款 (Online 网上)"&amp;IF('Daily Sale entry '!Y522="",""," - "&amp;'Daily Sale entry '!Y522))</f>
        <v/>
      </c>
      <c r="H2022">
        <f>IF(C2022="","",COUNTIFS($C$2:$C$3001,C2022,$F$2:$F$3001,"&lt;"&amp;F2022)+1)</f>
        <v/>
      </c>
      <c r="I2022">
        <f>IF(C2022="","",C2022&amp;"|"&amp;H2022)</f>
        <v/>
      </c>
      <c r="J2022" s="6">
        <f>IF(C2022="","",IF(H2022=1,SUMIFS('Opening Balance'!$F$4:$F$303,'Opening Balance'!$G$4:$G$303,C2022),INDEX($L$2:$L$3001,MATCH(C2022&amp;"|"&amp;(H2022-1),$I$2:$I$3001,0))))</f>
        <v/>
      </c>
      <c r="K2022" s="6">
        <f>IF(C2022="","",IF(M2022&gt;0,M2022,IF(AND(E2022&gt;0,ROUND(J2022+D2022-E2022,2)&gt;0,ROUND(J2022+D2022-E2022,2)&lt;'Opening Balance'!$B$14),ROUND(J2022+D2022-E2022,2),0)))</f>
        <v/>
      </c>
      <c r="L2022" s="6">
        <f>IF(C2022="","",ROUND(J2022+D2022-E2022-K2022,2))</f>
        <v/>
      </c>
      <c r="M2022" s="6">
        <f>IF(C2022="","",0)</f>
        <v/>
      </c>
    </row>
    <row r="2023">
      <c r="A2023" t="inlineStr">
        <is>
          <t>Bank 银行</t>
        </is>
      </c>
      <c r="B2023" s="5">
        <f>IF(AND('Daily Sale entry '!Z523="Online collection 网上收款",'Daily Sale entry '!AA523&lt;&gt;""),'Daily Sale entry '!X523,"")</f>
        <v/>
      </c>
      <c r="C2023">
        <f>IF(B2023="","",'Daily Sale entry '!AA523)</f>
        <v/>
      </c>
      <c r="D2023">
        <f>IF(C2023="","",0)</f>
        <v/>
      </c>
      <c r="E2023">
        <f>IF(C2023="","",'Daily Sale entry '!AC523)</f>
        <v/>
      </c>
      <c r="F2023" s="37">
        <f>IF(C2023="","",B2023+IF(E2023&gt;0,0,0.5)+ROW()/10000000)</f>
        <v/>
      </c>
      <c r="G2023">
        <f>IF(C2023="","","Collection 收款 (Online 网上)"&amp;IF('Daily Sale entry '!Y523="",""," - "&amp;'Daily Sale entry '!Y523))</f>
        <v/>
      </c>
      <c r="H2023">
        <f>IF(C2023="","",COUNTIFS($C$2:$C$3001,C2023,$F$2:$F$3001,"&lt;"&amp;F2023)+1)</f>
        <v/>
      </c>
      <c r="I2023">
        <f>IF(C2023="","",C2023&amp;"|"&amp;H2023)</f>
        <v/>
      </c>
      <c r="J2023" s="6">
        <f>IF(C2023="","",IF(H2023=1,SUMIFS('Opening Balance'!$F$4:$F$303,'Opening Balance'!$G$4:$G$303,C2023),INDEX($L$2:$L$3001,MATCH(C2023&amp;"|"&amp;(H2023-1),$I$2:$I$3001,0))))</f>
        <v/>
      </c>
      <c r="K2023" s="6">
        <f>IF(C2023="","",IF(M2023&gt;0,M2023,IF(AND(E2023&gt;0,ROUND(J2023+D2023-E2023,2)&gt;0,ROUND(J2023+D2023-E2023,2)&lt;'Opening Balance'!$B$14),ROUND(J2023+D2023-E2023,2),0)))</f>
        <v/>
      </c>
      <c r="L2023" s="6">
        <f>IF(C2023="","",ROUND(J2023+D2023-E2023-K2023,2))</f>
        <v/>
      </c>
      <c r="M2023" s="6">
        <f>IF(C2023="","",0)</f>
        <v/>
      </c>
    </row>
    <row r="2024">
      <c r="A2024" t="inlineStr">
        <is>
          <t>Bank 银行</t>
        </is>
      </c>
      <c r="B2024" s="5">
        <f>IF(AND('Daily Sale entry '!Z524="Online collection 网上收款",'Daily Sale entry '!AA524&lt;&gt;""),'Daily Sale entry '!X524,"")</f>
        <v/>
      </c>
      <c r="C2024">
        <f>IF(B2024="","",'Daily Sale entry '!AA524)</f>
        <v/>
      </c>
      <c r="D2024">
        <f>IF(C2024="","",0)</f>
        <v/>
      </c>
      <c r="E2024">
        <f>IF(C2024="","",'Daily Sale entry '!AC524)</f>
        <v/>
      </c>
      <c r="F2024" s="37">
        <f>IF(C2024="","",B2024+IF(E2024&gt;0,0,0.5)+ROW()/10000000)</f>
        <v/>
      </c>
      <c r="G2024">
        <f>IF(C2024="","","Collection 收款 (Online 网上)"&amp;IF('Daily Sale entry '!Y524="",""," - "&amp;'Daily Sale entry '!Y524))</f>
        <v/>
      </c>
      <c r="H2024">
        <f>IF(C2024="","",COUNTIFS($C$2:$C$3001,C2024,$F$2:$F$3001,"&lt;"&amp;F2024)+1)</f>
        <v/>
      </c>
      <c r="I2024">
        <f>IF(C2024="","",C2024&amp;"|"&amp;H2024)</f>
        <v/>
      </c>
      <c r="J2024" s="6">
        <f>IF(C2024="","",IF(H2024=1,SUMIFS('Opening Balance'!$F$4:$F$303,'Opening Balance'!$G$4:$G$303,C2024),INDEX($L$2:$L$3001,MATCH(C2024&amp;"|"&amp;(H2024-1),$I$2:$I$3001,0))))</f>
        <v/>
      </c>
      <c r="K2024" s="6">
        <f>IF(C2024="","",IF(M2024&gt;0,M2024,IF(AND(E2024&gt;0,ROUND(J2024+D2024-E2024,2)&gt;0,ROUND(J2024+D2024-E2024,2)&lt;'Opening Balance'!$B$14),ROUND(J2024+D2024-E2024,2),0)))</f>
        <v/>
      </c>
      <c r="L2024" s="6">
        <f>IF(C2024="","",ROUND(J2024+D2024-E2024-K2024,2))</f>
        <v/>
      </c>
      <c r="M2024" s="6">
        <f>IF(C2024="","",0)</f>
        <v/>
      </c>
    </row>
    <row r="2025">
      <c r="A2025" t="inlineStr">
        <is>
          <t>Bank 银行</t>
        </is>
      </c>
      <c r="B2025" s="5">
        <f>IF(AND('Daily Sale entry '!Z525="Online collection 网上收款",'Daily Sale entry '!AA525&lt;&gt;""),'Daily Sale entry '!X525,"")</f>
        <v/>
      </c>
      <c r="C2025">
        <f>IF(B2025="","",'Daily Sale entry '!AA525)</f>
        <v/>
      </c>
      <c r="D2025">
        <f>IF(C2025="","",0)</f>
        <v/>
      </c>
      <c r="E2025">
        <f>IF(C2025="","",'Daily Sale entry '!AC525)</f>
        <v/>
      </c>
      <c r="F2025" s="37">
        <f>IF(C2025="","",B2025+IF(E2025&gt;0,0,0.5)+ROW()/10000000)</f>
        <v/>
      </c>
      <c r="G2025">
        <f>IF(C2025="","","Collection 收款 (Online 网上)"&amp;IF('Daily Sale entry '!Y525="",""," - "&amp;'Daily Sale entry '!Y525))</f>
        <v/>
      </c>
      <c r="H2025">
        <f>IF(C2025="","",COUNTIFS($C$2:$C$3001,C2025,$F$2:$F$3001,"&lt;"&amp;F2025)+1)</f>
        <v/>
      </c>
      <c r="I2025">
        <f>IF(C2025="","",C2025&amp;"|"&amp;H2025)</f>
        <v/>
      </c>
      <c r="J2025" s="6">
        <f>IF(C2025="","",IF(H2025=1,SUMIFS('Opening Balance'!$F$4:$F$303,'Opening Balance'!$G$4:$G$303,C2025),INDEX($L$2:$L$3001,MATCH(C2025&amp;"|"&amp;(H2025-1),$I$2:$I$3001,0))))</f>
        <v/>
      </c>
      <c r="K2025" s="6">
        <f>IF(C2025="","",IF(M2025&gt;0,M2025,IF(AND(E2025&gt;0,ROUND(J2025+D2025-E2025,2)&gt;0,ROUND(J2025+D2025-E2025,2)&lt;'Opening Balance'!$B$14),ROUND(J2025+D2025-E2025,2),0)))</f>
        <v/>
      </c>
      <c r="L2025" s="6">
        <f>IF(C2025="","",ROUND(J2025+D2025-E2025-K2025,2))</f>
        <v/>
      </c>
      <c r="M2025" s="6">
        <f>IF(C2025="","",0)</f>
        <v/>
      </c>
    </row>
    <row r="2026">
      <c r="A2026" t="inlineStr">
        <is>
          <t>Bank 银行</t>
        </is>
      </c>
      <c r="B2026" s="5">
        <f>IF(AND('Daily Sale entry '!Z526="Online collection 网上收款",'Daily Sale entry '!AA526&lt;&gt;""),'Daily Sale entry '!X526,"")</f>
        <v/>
      </c>
      <c r="C2026">
        <f>IF(B2026="","",'Daily Sale entry '!AA526)</f>
        <v/>
      </c>
      <c r="D2026">
        <f>IF(C2026="","",0)</f>
        <v/>
      </c>
      <c r="E2026">
        <f>IF(C2026="","",'Daily Sale entry '!AC526)</f>
        <v/>
      </c>
      <c r="F2026" s="37">
        <f>IF(C2026="","",B2026+IF(E2026&gt;0,0,0.5)+ROW()/10000000)</f>
        <v/>
      </c>
      <c r="G2026">
        <f>IF(C2026="","","Collection 收款 (Online 网上)"&amp;IF('Daily Sale entry '!Y526="",""," - "&amp;'Daily Sale entry '!Y526))</f>
        <v/>
      </c>
      <c r="H2026">
        <f>IF(C2026="","",COUNTIFS($C$2:$C$3001,C2026,$F$2:$F$3001,"&lt;"&amp;F2026)+1)</f>
        <v/>
      </c>
      <c r="I2026">
        <f>IF(C2026="","",C2026&amp;"|"&amp;H2026)</f>
        <v/>
      </c>
      <c r="J2026" s="6">
        <f>IF(C2026="","",IF(H2026=1,SUMIFS('Opening Balance'!$F$4:$F$303,'Opening Balance'!$G$4:$G$303,C2026),INDEX($L$2:$L$3001,MATCH(C2026&amp;"|"&amp;(H2026-1),$I$2:$I$3001,0))))</f>
        <v/>
      </c>
      <c r="K2026" s="6">
        <f>IF(C2026="","",IF(M2026&gt;0,M2026,IF(AND(E2026&gt;0,ROUND(J2026+D2026-E2026,2)&gt;0,ROUND(J2026+D2026-E2026,2)&lt;'Opening Balance'!$B$14),ROUND(J2026+D2026-E2026,2),0)))</f>
        <v/>
      </c>
      <c r="L2026" s="6">
        <f>IF(C2026="","",ROUND(J2026+D2026-E2026-K2026,2))</f>
        <v/>
      </c>
      <c r="M2026" s="6">
        <f>IF(C2026="","",0)</f>
        <v/>
      </c>
    </row>
    <row r="2027">
      <c r="A2027" t="inlineStr">
        <is>
          <t>Bank 银行</t>
        </is>
      </c>
      <c r="B2027" s="5">
        <f>IF(AND('Daily Sale entry '!Z527="Online collection 网上收款",'Daily Sale entry '!AA527&lt;&gt;""),'Daily Sale entry '!X527,"")</f>
        <v/>
      </c>
      <c r="C2027">
        <f>IF(B2027="","",'Daily Sale entry '!AA527)</f>
        <v/>
      </c>
      <c r="D2027">
        <f>IF(C2027="","",0)</f>
        <v/>
      </c>
      <c r="E2027">
        <f>IF(C2027="","",'Daily Sale entry '!AC527)</f>
        <v/>
      </c>
      <c r="F2027" s="37">
        <f>IF(C2027="","",B2027+IF(E2027&gt;0,0,0.5)+ROW()/10000000)</f>
        <v/>
      </c>
      <c r="G2027">
        <f>IF(C2027="","","Collection 收款 (Online 网上)"&amp;IF('Daily Sale entry '!Y527="",""," - "&amp;'Daily Sale entry '!Y527))</f>
        <v/>
      </c>
      <c r="H2027">
        <f>IF(C2027="","",COUNTIFS($C$2:$C$3001,C2027,$F$2:$F$3001,"&lt;"&amp;F2027)+1)</f>
        <v/>
      </c>
      <c r="I2027">
        <f>IF(C2027="","",C2027&amp;"|"&amp;H2027)</f>
        <v/>
      </c>
      <c r="J2027" s="6">
        <f>IF(C2027="","",IF(H2027=1,SUMIFS('Opening Balance'!$F$4:$F$303,'Opening Balance'!$G$4:$G$303,C2027),INDEX($L$2:$L$3001,MATCH(C2027&amp;"|"&amp;(H2027-1),$I$2:$I$3001,0))))</f>
        <v/>
      </c>
      <c r="K2027" s="6">
        <f>IF(C2027="","",IF(M2027&gt;0,M2027,IF(AND(E2027&gt;0,ROUND(J2027+D2027-E2027,2)&gt;0,ROUND(J2027+D2027-E2027,2)&lt;'Opening Balance'!$B$14),ROUND(J2027+D2027-E2027,2),0)))</f>
        <v/>
      </c>
      <c r="L2027" s="6">
        <f>IF(C2027="","",ROUND(J2027+D2027-E2027-K2027,2))</f>
        <v/>
      </c>
      <c r="M2027" s="6">
        <f>IF(C2027="","",0)</f>
        <v/>
      </c>
    </row>
    <row r="2028">
      <c r="A2028" t="inlineStr">
        <is>
          <t>Bank 银行</t>
        </is>
      </c>
      <c r="B2028" s="5">
        <f>IF(AND('Daily Sale entry '!Z528="Online collection 网上收款",'Daily Sale entry '!AA528&lt;&gt;""),'Daily Sale entry '!X528,"")</f>
        <v/>
      </c>
      <c r="C2028">
        <f>IF(B2028="","",'Daily Sale entry '!AA528)</f>
        <v/>
      </c>
      <c r="D2028">
        <f>IF(C2028="","",0)</f>
        <v/>
      </c>
      <c r="E2028">
        <f>IF(C2028="","",'Daily Sale entry '!AC528)</f>
        <v/>
      </c>
      <c r="F2028" s="37">
        <f>IF(C2028="","",B2028+IF(E2028&gt;0,0,0.5)+ROW()/10000000)</f>
        <v/>
      </c>
      <c r="G2028">
        <f>IF(C2028="","","Collection 收款 (Online 网上)"&amp;IF('Daily Sale entry '!Y528="",""," - "&amp;'Daily Sale entry '!Y528))</f>
        <v/>
      </c>
      <c r="H2028">
        <f>IF(C2028="","",COUNTIFS($C$2:$C$3001,C2028,$F$2:$F$3001,"&lt;"&amp;F2028)+1)</f>
        <v/>
      </c>
      <c r="I2028">
        <f>IF(C2028="","",C2028&amp;"|"&amp;H2028)</f>
        <v/>
      </c>
      <c r="J2028" s="6">
        <f>IF(C2028="","",IF(H2028=1,SUMIFS('Opening Balance'!$F$4:$F$303,'Opening Balance'!$G$4:$G$303,C2028),INDEX($L$2:$L$3001,MATCH(C2028&amp;"|"&amp;(H2028-1),$I$2:$I$3001,0))))</f>
        <v/>
      </c>
      <c r="K2028" s="6">
        <f>IF(C2028="","",IF(M2028&gt;0,M2028,IF(AND(E2028&gt;0,ROUND(J2028+D2028-E2028,2)&gt;0,ROUND(J2028+D2028-E2028,2)&lt;'Opening Balance'!$B$14),ROUND(J2028+D2028-E2028,2),0)))</f>
        <v/>
      </c>
      <c r="L2028" s="6">
        <f>IF(C2028="","",ROUND(J2028+D2028-E2028-K2028,2))</f>
        <v/>
      </c>
      <c r="M2028" s="6">
        <f>IF(C2028="","",0)</f>
        <v/>
      </c>
    </row>
    <row r="2029">
      <c r="A2029" t="inlineStr">
        <is>
          <t>Bank 银行</t>
        </is>
      </c>
      <c r="B2029" s="5">
        <f>IF(AND('Daily Sale entry '!Z529="Online collection 网上收款",'Daily Sale entry '!AA529&lt;&gt;""),'Daily Sale entry '!X529,"")</f>
        <v/>
      </c>
      <c r="C2029">
        <f>IF(B2029="","",'Daily Sale entry '!AA529)</f>
        <v/>
      </c>
      <c r="D2029">
        <f>IF(C2029="","",0)</f>
        <v/>
      </c>
      <c r="E2029">
        <f>IF(C2029="","",'Daily Sale entry '!AC529)</f>
        <v/>
      </c>
      <c r="F2029" s="37">
        <f>IF(C2029="","",B2029+IF(E2029&gt;0,0,0.5)+ROW()/10000000)</f>
        <v/>
      </c>
      <c r="G2029">
        <f>IF(C2029="","","Collection 收款 (Online 网上)"&amp;IF('Daily Sale entry '!Y529="",""," - "&amp;'Daily Sale entry '!Y529))</f>
        <v/>
      </c>
      <c r="H2029">
        <f>IF(C2029="","",COUNTIFS($C$2:$C$3001,C2029,$F$2:$F$3001,"&lt;"&amp;F2029)+1)</f>
        <v/>
      </c>
      <c r="I2029">
        <f>IF(C2029="","",C2029&amp;"|"&amp;H2029)</f>
        <v/>
      </c>
      <c r="J2029" s="6">
        <f>IF(C2029="","",IF(H2029=1,SUMIFS('Opening Balance'!$F$4:$F$303,'Opening Balance'!$G$4:$G$303,C2029),INDEX($L$2:$L$3001,MATCH(C2029&amp;"|"&amp;(H2029-1),$I$2:$I$3001,0))))</f>
        <v/>
      </c>
      <c r="K2029" s="6">
        <f>IF(C2029="","",IF(M2029&gt;0,M2029,IF(AND(E2029&gt;0,ROUND(J2029+D2029-E2029,2)&gt;0,ROUND(J2029+D2029-E2029,2)&lt;'Opening Balance'!$B$14),ROUND(J2029+D2029-E2029,2),0)))</f>
        <v/>
      </c>
      <c r="L2029" s="6">
        <f>IF(C2029="","",ROUND(J2029+D2029-E2029-K2029,2))</f>
        <v/>
      </c>
      <c r="M2029" s="6">
        <f>IF(C2029="","",0)</f>
        <v/>
      </c>
    </row>
    <row r="2030">
      <c r="A2030" t="inlineStr">
        <is>
          <t>Bank 银行</t>
        </is>
      </c>
      <c r="B2030" s="5">
        <f>IF(AND('Daily Sale entry '!Z530="Online collection 网上收款",'Daily Sale entry '!AA530&lt;&gt;""),'Daily Sale entry '!X530,"")</f>
        <v/>
      </c>
      <c r="C2030">
        <f>IF(B2030="","",'Daily Sale entry '!AA530)</f>
        <v/>
      </c>
      <c r="D2030">
        <f>IF(C2030="","",0)</f>
        <v/>
      </c>
      <c r="E2030">
        <f>IF(C2030="","",'Daily Sale entry '!AC530)</f>
        <v/>
      </c>
      <c r="F2030" s="37">
        <f>IF(C2030="","",B2030+IF(E2030&gt;0,0,0.5)+ROW()/10000000)</f>
        <v/>
      </c>
      <c r="G2030">
        <f>IF(C2030="","","Collection 收款 (Online 网上)"&amp;IF('Daily Sale entry '!Y530="",""," - "&amp;'Daily Sale entry '!Y530))</f>
        <v/>
      </c>
      <c r="H2030">
        <f>IF(C2030="","",COUNTIFS($C$2:$C$3001,C2030,$F$2:$F$3001,"&lt;"&amp;F2030)+1)</f>
        <v/>
      </c>
      <c r="I2030">
        <f>IF(C2030="","",C2030&amp;"|"&amp;H2030)</f>
        <v/>
      </c>
      <c r="J2030" s="6">
        <f>IF(C2030="","",IF(H2030=1,SUMIFS('Opening Balance'!$F$4:$F$303,'Opening Balance'!$G$4:$G$303,C2030),INDEX($L$2:$L$3001,MATCH(C2030&amp;"|"&amp;(H2030-1),$I$2:$I$3001,0))))</f>
        <v/>
      </c>
      <c r="K2030" s="6">
        <f>IF(C2030="","",IF(M2030&gt;0,M2030,IF(AND(E2030&gt;0,ROUND(J2030+D2030-E2030,2)&gt;0,ROUND(J2030+D2030-E2030,2)&lt;'Opening Balance'!$B$14),ROUND(J2030+D2030-E2030,2),0)))</f>
        <v/>
      </c>
      <c r="L2030" s="6">
        <f>IF(C2030="","",ROUND(J2030+D2030-E2030-K2030,2))</f>
        <v/>
      </c>
      <c r="M2030" s="6">
        <f>IF(C2030="","",0)</f>
        <v/>
      </c>
    </row>
    <row r="2031">
      <c r="A2031" t="inlineStr">
        <is>
          <t>Bank 银行</t>
        </is>
      </c>
      <c r="B2031" s="5">
        <f>IF(AND('Daily Sale entry '!Z531="Online collection 网上收款",'Daily Sale entry '!AA531&lt;&gt;""),'Daily Sale entry '!X531,"")</f>
        <v/>
      </c>
      <c r="C2031">
        <f>IF(B2031="","",'Daily Sale entry '!AA531)</f>
        <v/>
      </c>
      <c r="D2031">
        <f>IF(C2031="","",0)</f>
        <v/>
      </c>
      <c r="E2031">
        <f>IF(C2031="","",'Daily Sale entry '!AC531)</f>
        <v/>
      </c>
      <c r="F2031" s="37">
        <f>IF(C2031="","",B2031+IF(E2031&gt;0,0,0.5)+ROW()/10000000)</f>
        <v/>
      </c>
      <c r="G2031">
        <f>IF(C2031="","","Collection 收款 (Online 网上)"&amp;IF('Daily Sale entry '!Y531="",""," - "&amp;'Daily Sale entry '!Y531))</f>
        <v/>
      </c>
      <c r="H2031">
        <f>IF(C2031="","",COUNTIFS($C$2:$C$3001,C2031,$F$2:$F$3001,"&lt;"&amp;F2031)+1)</f>
        <v/>
      </c>
      <c r="I2031">
        <f>IF(C2031="","",C2031&amp;"|"&amp;H2031)</f>
        <v/>
      </c>
      <c r="J2031" s="6">
        <f>IF(C2031="","",IF(H2031=1,SUMIFS('Opening Balance'!$F$4:$F$303,'Opening Balance'!$G$4:$G$303,C2031),INDEX($L$2:$L$3001,MATCH(C2031&amp;"|"&amp;(H2031-1),$I$2:$I$3001,0))))</f>
        <v/>
      </c>
      <c r="K2031" s="6">
        <f>IF(C2031="","",IF(M2031&gt;0,M2031,IF(AND(E2031&gt;0,ROUND(J2031+D2031-E2031,2)&gt;0,ROUND(J2031+D2031-E2031,2)&lt;'Opening Balance'!$B$14),ROUND(J2031+D2031-E2031,2),0)))</f>
        <v/>
      </c>
      <c r="L2031" s="6">
        <f>IF(C2031="","",ROUND(J2031+D2031-E2031-K2031,2))</f>
        <v/>
      </c>
      <c r="M2031" s="6">
        <f>IF(C2031="","",0)</f>
        <v/>
      </c>
    </row>
    <row r="2032">
      <c r="A2032" t="inlineStr">
        <is>
          <t>Bank 银行</t>
        </is>
      </c>
      <c r="B2032" s="5">
        <f>IF(AND('Daily Sale entry '!Z532="Online collection 网上收款",'Daily Sale entry '!AA532&lt;&gt;""),'Daily Sale entry '!X532,"")</f>
        <v/>
      </c>
      <c r="C2032">
        <f>IF(B2032="","",'Daily Sale entry '!AA532)</f>
        <v/>
      </c>
      <c r="D2032">
        <f>IF(C2032="","",0)</f>
        <v/>
      </c>
      <c r="E2032">
        <f>IF(C2032="","",'Daily Sale entry '!AC532)</f>
        <v/>
      </c>
      <c r="F2032" s="37">
        <f>IF(C2032="","",B2032+IF(E2032&gt;0,0,0.5)+ROW()/10000000)</f>
        <v/>
      </c>
      <c r="G2032">
        <f>IF(C2032="","","Collection 收款 (Online 网上)"&amp;IF('Daily Sale entry '!Y532="",""," - "&amp;'Daily Sale entry '!Y532))</f>
        <v/>
      </c>
      <c r="H2032">
        <f>IF(C2032="","",COUNTIFS($C$2:$C$3001,C2032,$F$2:$F$3001,"&lt;"&amp;F2032)+1)</f>
        <v/>
      </c>
      <c r="I2032">
        <f>IF(C2032="","",C2032&amp;"|"&amp;H2032)</f>
        <v/>
      </c>
      <c r="J2032" s="6">
        <f>IF(C2032="","",IF(H2032=1,SUMIFS('Opening Balance'!$F$4:$F$303,'Opening Balance'!$G$4:$G$303,C2032),INDEX($L$2:$L$3001,MATCH(C2032&amp;"|"&amp;(H2032-1),$I$2:$I$3001,0))))</f>
        <v/>
      </c>
      <c r="K2032" s="6">
        <f>IF(C2032="","",IF(M2032&gt;0,M2032,IF(AND(E2032&gt;0,ROUND(J2032+D2032-E2032,2)&gt;0,ROUND(J2032+D2032-E2032,2)&lt;'Opening Balance'!$B$14),ROUND(J2032+D2032-E2032,2),0)))</f>
        <v/>
      </c>
      <c r="L2032" s="6">
        <f>IF(C2032="","",ROUND(J2032+D2032-E2032-K2032,2))</f>
        <v/>
      </c>
      <c r="M2032" s="6">
        <f>IF(C2032="","",0)</f>
        <v/>
      </c>
    </row>
    <row r="2033">
      <c r="A2033" t="inlineStr">
        <is>
          <t>Bank 银行</t>
        </is>
      </c>
      <c r="B2033" s="5">
        <f>IF(AND('Daily Sale entry '!Z533="Online collection 网上收款",'Daily Sale entry '!AA533&lt;&gt;""),'Daily Sale entry '!X533,"")</f>
        <v/>
      </c>
      <c r="C2033">
        <f>IF(B2033="","",'Daily Sale entry '!AA533)</f>
        <v/>
      </c>
      <c r="D2033">
        <f>IF(C2033="","",0)</f>
        <v/>
      </c>
      <c r="E2033">
        <f>IF(C2033="","",'Daily Sale entry '!AC533)</f>
        <v/>
      </c>
      <c r="F2033" s="37">
        <f>IF(C2033="","",B2033+IF(E2033&gt;0,0,0.5)+ROW()/10000000)</f>
        <v/>
      </c>
      <c r="G2033">
        <f>IF(C2033="","","Collection 收款 (Online 网上)"&amp;IF('Daily Sale entry '!Y533="",""," - "&amp;'Daily Sale entry '!Y533))</f>
        <v/>
      </c>
      <c r="H2033">
        <f>IF(C2033="","",COUNTIFS($C$2:$C$3001,C2033,$F$2:$F$3001,"&lt;"&amp;F2033)+1)</f>
        <v/>
      </c>
      <c r="I2033">
        <f>IF(C2033="","",C2033&amp;"|"&amp;H2033)</f>
        <v/>
      </c>
      <c r="J2033" s="6">
        <f>IF(C2033="","",IF(H2033=1,SUMIFS('Opening Balance'!$F$4:$F$303,'Opening Balance'!$G$4:$G$303,C2033),INDEX($L$2:$L$3001,MATCH(C2033&amp;"|"&amp;(H2033-1),$I$2:$I$3001,0))))</f>
        <v/>
      </c>
      <c r="K2033" s="6">
        <f>IF(C2033="","",IF(M2033&gt;0,M2033,IF(AND(E2033&gt;0,ROUND(J2033+D2033-E2033,2)&gt;0,ROUND(J2033+D2033-E2033,2)&lt;'Opening Balance'!$B$14),ROUND(J2033+D2033-E2033,2),0)))</f>
        <v/>
      </c>
      <c r="L2033" s="6">
        <f>IF(C2033="","",ROUND(J2033+D2033-E2033-K2033,2))</f>
        <v/>
      </c>
      <c r="M2033" s="6">
        <f>IF(C2033="","",0)</f>
        <v/>
      </c>
    </row>
    <row r="2034">
      <c r="A2034" t="inlineStr">
        <is>
          <t>Bank 银行</t>
        </is>
      </c>
      <c r="B2034" s="5">
        <f>IF(AND('Daily Sale entry '!Z534="Online collection 网上收款",'Daily Sale entry '!AA534&lt;&gt;""),'Daily Sale entry '!X534,"")</f>
        <v/>
      </c>
      <c r="C2034">
        <f>IF(B2034="","",'Daily Sale entry '!AA534)</f>
        <v/>
      </c>
      <c r="D2034">
        <f>IF(C2034="","",0)</f>
        <v/>
      </c>
      <c r="E2034">
        <f>IF(C2034="","",'Daily Sale entry '!AC534)</f>
        <v/>
      </c>
      <c r="F2034" s="37">
        <f>IF(C2034="","",B2034+IF(E2034&gt;0,0,0.5)+ROW()/10000000)</f>
        <v/>
      </c>
      <c r="G2034">
        <f>IF(C2034="","","Collection 收款 (Online 网上)"&amp;IF('Daily Sale entry '!Y534="",""," - "&amp;'Daily Sale entry '!Y534))</f>
        <v/>
      </c>
      <c r="H2034">
        <f>IF(C2034="","",COUNTIFS($C$2:$C$3001,C2034,$F$2:$F$3001,"&lt;"&amp;F2034)+1)</f>
        <v/>
      </c>
      <c r="I2034">
        <f>IF(C2034="","",C2034&amp;"|"&amp;H2034)</f>
        <v/>
      </c>
      <c r="J2034" s="6">
        <f>IF(C2034="","",IF(H2034=1,SUMIFS('Opening Balance'!$F$4:$F$303,'Opening Balance'!$G$4:$G$303,C2034),INDEX($L$2:$L$3001,MATCH(C2034&amp;"|"&amp;(H2034-1),$I$2:$I$3001,0))))</f>
        <v/>
      </c>
      <c r="K2034" s="6">
        <f>IF(C2034="","",IF(M2034&gt;0,M2034,IF(AND(E2034&gt;0,ROUND(J2034+D2034-E2034,2)&gt;0,ROUND(J2034+D2034-E2034,2)&lt;'Opening Balance'!$B$14),ROUND(J2034+D2034-E2034,2),0)))</f>
        <v/>
      </c>
      <c r="L2034" s="6">
        <f>IF(C2034="","",ROUND(J2034+D2034-E2034-K2034,2))</f>
        <v/>
      </c>
      <c r="M2034" s="6">
        <f>IF(C2034="","",0)</f>
        <v/>
      </c>
    </row>
    <row r="2035">
      <c r="A2035" t="inlineStr">
        <is>
          <t>Bank 银行</t>
        </is>
      </c>
      <c r="B2035" s="5">
        <f>IF(AND('Daily Sale entry '!Z535="Online collection 网上收款",'Daily Sale entry '!AA535&lt;&gt;""),'Daily Sale entry '!X535,"")</f>
        <v/>
      </c>
      <c r="C2035">
        <f>IF(B2035="","",'Daily Sale entry '!AA535)</f>
        <v/>
      </c>
      <c r="D2035">
        <f>IF(C2035="","",0)</f>
        <v/>
      </c>
      <c r="E2035">
        <f>IF(C2035="","",'Daily Sale entry '!AC535)</f>
        <v/>
      </c>
      <c r="F2035" s="37">
        <f>IF(C2035="","",B2035+IF(E2035&gt;0,0,0.5)+ROW()/10000000)</f>
        <v/>
      </c>
      <c r="G2035">
        <f>IF(C2035="","","Collection 收款 (Online 网上)"&amp;IF('Daily Sale entry '!Y535="",""," - "&amp;'Daily Sale entry '!Y535))</f>
        <v/>
      </c>
      <c r="H2035">
        <f>IF(C2035="","",COUNTIFS($C$2:$C$3001,C2035,$F$2:$F$3001,"&lt;"&amp;F2035)+1)</f>
        <v/>
      </c>
      <c r="I2035">
        <f>IF(C2035="","",C2035&amp;"|"&amp;H2035)</f>
        <v/>
      </c>
      <c r="J2035" s="6">
        <f>IF(C2035="","",IF(H2035=1,SUMIFS('Opening Balance'!$F$4:$F$303,'Opening Balance'!$G$4:$G$303,C2035),INDEX($L$2:$L$3001,MATCH(C2035&amp;"|"&amp;(H2035-1),$I$2:$I$3001,0))))</f>
        <v/>
      </c>
      <c r="K2035" s="6">
        <f>IF(C2035="","",IF(M2035&gt;0,M2035,IF(AND(E2035&gt;0,ROUND(J2035+D2035-E2035,2)&gt;0,ROUND(J2035+D2035-E2035,2)&lt;'Opening Balance'!$B$14),ROUND(J2035+D2035-E2035,2),0)))</f>
        <v/>
      </c>
      <c r="L2035" s="6">
        <f>IF(C2035="","",ROUND(J2035+D2035-E2035-K2035,2))</f>
        <v/>
      </c>
      <c r="M2035" s="6">
        <f>IF(C2035="","",0)</f>
        <v/>
      </c>
    </row>
    <row r="2036">
      <c r="A2036" t="inlineStr">
        <is>
          <t>Bank 银行</t>
        </is>
      </c>
      <c r="B2036" s="5">
        <f>IF(AND('Daily Sale entry '!Z536="Online collection 网上收款",'Daily Sale entry '!AA536&lt;&gt;""),'Daily Sale entry '!X536,"")</f>
        <v/>
      </c>
      <c r="C2036">
        <f>IF(B2036="","",'Daily Sale entry '!AA536)</f>
        <v/>
      </c>
      <c r="D2036">
        <f>IF(C2036="","",0)</f>
        <v/>
      </c>
      <c r="E2036">
        <f>IF(C2036="","",'Daily Sale entry '!AC536)</f>
        <v/>
      </c>
      <c r="F2036" s="37">
        <f>IF(C2036="","",B2036+IF(E2036&gt;0,0,0.5)+ROW()/10000000)</f>
        <v/>
      </c>
      <c r="G2036">
        <f>IF(C2036="","","Collection 收款 (Online 网上)"&amp;IF('Daily Sale entry '!Y536="",""," - "&amp;'Daily Sale entry '!Y536))</f>
        <v/>
      </c>
      <c r="H2036">
        <f>IF(C2036="","",COUNTIFS($C$2:$C$3001,C2036,$F$2:$F$3001,"&lt;"&amp;F2036)+1)</f>
        <v/>
      </c>
      <c r="I2036">
        <f>IF(C2036="","",C2036&amp;"|"&amp;H2036)</f>
        <v/>
      </c>
      <c r="J2036" s="6">
        <f>IF(C2036="","",IF(H2036=1,SUMIFS('Opening Balance'!$F$4:$F$303,'Opening Balance'!$G$4:$G$303,C2036),INDEX($L$2:$L$3001,MATCH(C2036&amp;"|"&amp;(H2036-1),$I$2:$I$3001,0))))</f>
        <v/>
      </c>
      <c r="K2036" s="6">
        <f>IF(C2036="","",IF(M2036&gt;0,M2036,IF(AND(E2036&gt;0,ROUND(J2036+D2036-E2036,2)&gt;0,ROUND(J2036+D2036-E2036,2)&lt;'Opening Balance'!$B$14),ROUND(J2036+D2036-E2036,2),0)))</f>
        <v/>
      </c>
      <c r="L2036" s="6">
        <f>IF(C2036="","",ROUND(J2036+D2036-E2036-K2036,2))</f>
        <v/>
      </c>
      <c r="M2036" s="6">
        <f>IF(C2036="","",0)</f>
        <v/>
      </c>
    </row>
    <row r="2037">
      <c r="A2037" t="inlineStr">
        <is>
          <t>Bank 银行</t>
        </is>
      </c>
      <c r="B2037" s="5">
        <f>IF(AND('Daily Sale entry '!Z537="Online collection 网上收款",'Daily Sale entry '!AA537&lt;&gt;""),'Daily Sale entry '!X537,"")</f>
        <v/>
      </c>
      <c r="C2037">
        <f>IF(B2037="","",'Daily Sale entry '!AA537)</f>
        <v/>
      </c>
      <c r="D2037">
        <f>IF(C2037="","",0)</f>
        <v/>
      </c>
      <c r="E2037">
        <f>IF(C2037="","",'Daily Sale entry '!AC537)</f>
        <v/>
      </c>
      <c r="F2037" s="37">
        <f>IF(C2037="","",B2037+IF(E2037&gt;0,0,0.5)+ROW()/10000000)</f>
        <v/>
      </c>
      <c r="G2037">
        <f>IF(C2037="","","Collection 收款 (Online 网上)"&amp;IF('Daily Sale entry '!Y537="",""," - "&amp;'Daily Sale entry '!Y537))</f>
        <v/>
      </c>
      <c r="H2037">
        <f>IF(C2037="","",COUNTIFS($C$2:$C$3001,C2037,$F$2:$F$3001,"&lt;"&amp;F2037)+1)</f>
        <v/>
      </c>
      <c r="I2037">
        <f>IF(C2037="","",C2037&amp;"|"&amp;H2037)</f>
        <v/>
      </c>
      <c r="J2037" s="6">
        <f>IF(C2037="","",IF(H2037=1,SUMIFS('Opening Balance'!$F$4:$F$303,'Opening Balance'!$G$4:$G$303,C2037),INDEX($L$2:$L$3001,MATCH(C2037&amp;"|"&amp;(H2037-1),$I$2:$I$3001,0))))</f>
        <v/>
      </c>
      <c r="K2037" s="6">
        <f>IF(C2037="","",IF(M2037&gt;0,M2037,IF(AND(E2037&gt;0,ROUND(J2037+D2037-E2037,2)&gt;0,ROUND(J2037+D2037-E2037,2)&lt;'Opening Balance'!$B$14),ROUND(J2037+D2037-E2037,2),0)))</f>
        <v/>
      </c>
      <c r="L2037" s="6">
        <f>IF(C2037="","",ROUND(J2037+D2037-E2037-K2037,2))</f>
        <v/>
      </c>
      <c r="M2037" s="6">
        <f>IF(C2037="","",0)</f>
        <v/>
      </c>
    </row>
    <row r="2038">
      <c r="A2038" t="inlineStr">
        <is>
          <t>Bank 银行</t>
        </is>
      </c>
      <c r="B2038" s="5">
        <f>IF(AND('Daily Sale entry '!Z538="Online collection 网上收款",'Daily Sale entry '!AA538&lt;&gt;""),'Daily Sale entry '!X538,"")</f>
        <v/>
      </c>
      <c r="C2038">
        <f>IF(B2038="","",'Daily Sale entry '!AA538)</f>
        <v/>
      </c>
      <c r="D2038">
        <f>IF(C2038="","",0)</f>
        <v/>
      </c>
      <c r="E2038">
        <f>IF(C2038="","",'Daily Sale entry '!AC538)</f>
        <v/>
      </c>
      <c r="F2038" s="37">
        <f>IF(C2038="","",B2038+IF(E2038&gt;0,0,0.5)+ROW()/10000000)</f>
        <v/>
      </c>
      <c r="G2038">
        <f>IF(C2038="","","Collection 收款 (Online 网上)"&amp;IF('Daily Sale entry '!Y538="",""," - "&amp;'Daily Sale entry '!Y538))</f>
        <v/>
      </c>
      <c r="H2038">
        <f>IF(C2038="","",COUNTIFS($C$2:$C$3001,C2038,$F$2:$F$3001,"&lt;"&amp;F2038)+1)</f>
        <v/>
      </c>
      <c r="I2038">
        <f>IF(C2038="","",C2038&amp;"|"&amp;H2038)</f>
        <v/>
      </c>
      <c r="J2038" s="6">
        <f>IF(C2038="","",IF(H2038=1,SUMIFS('Opening Balance'!$F$4:$F$303,'Opening Balance'!$G$4:$G$303,C2038),INDEX($L$2:$L$3001,MATCH(C2038&amp;"|"&amp;(H2038-1),$I$2:$I$3001,0))))</f>
        <v/>
      </c>
      <c r="K2038" s="6">
        <f>IF(C2038="","",IF(M2038&gt;0,M2038,IF(AND(E2038&gt;0,ROUND(J2038+D2038-E2038,2)&gt;0,ROUND(J2038+D2038-E2038,2)&lt;'Opening Balance'!$B$14),ROUND(J2038+D2038-E2038,2),0)))</f>
        <v/>
      </c>
      <c r="L2038" s="6">
        <f>IF(C2038="","",ROUND(J2038+D2038-E2038-K2038,2))</f>
        <v/>
      </c>
      <c r="M2038" s="6">
        <f>IF(C2038="","",0)</f>
        <v/>
      </c>
    </row>
    <row r="2039">
      <c r="A2039" t="inlineStr">
        <is>
          <t>Bank 银行</t>
        </is>
      </c>
      <c r="B2039" s="5">
        <f>IF(AND('Daily Sale entry '!Z539="Online collection 网上收款",'Daily Sale entry '!AA539&lt;&gt;""),'Daily Sale entry '!X539,"")</f>
        <v/>
      </c>
      <c r="C2039">
        <f>IF(B2039="","",'Daily Sale entry '!AA539)</f>
        <v/>
      </c>
      <c r="D2039">
        <f>IF(C2039="","",0)</f>
        <v/>
      </c>
      <c r="E2039">
        <f>IF(C2039="","",'Daily Sale entry '!AC539)</f>
        <v/>
      </c>
      <c r="F2039" s="37">
        <f>IF(C2039="","",B2039+IF(E2039&gt;0,0,0.5)+ROW()/10000000)</f>
        <v/>
      </c>
      <c r="G2039">
        <f>IF(C2039="","","Collection 收款 (Online 网上)"&amp;IF('Daily Sale entry '!Y539="",""," - "&amp;'Daily Sale entry '!Y539))</f>
        <v/>
      </c>
      <c r="H2039">
        <f>IF(C2039="","",COUNTIFS($C$2:$C$3001,C2039,$F$2:$F$3001,"&lt;"&amp;F2039)+1)</f>
        <v/>
      </c>
      <c r="I2039">
        <f>IF(C2039="","",C2039&amp;"|"&amp;H2039)</f>
        <v/>
      </c>
      <c r="J2039" s="6">
        <f>IF(C2039="","",IF(H2039=1,SUMIFS('Opening Balance'!$F$4:$F$303,'Opening Balance'!$G$4:$G$303,C2039),INDEX($L$2:$L$3001,MATCH(C2039&amp;"|"&amp;(H2039-1),$I$2:$I$3001,0))))</f>
        <v/>
      </c>
      <c r="K2039" s="6">
        <f>IF(C2039="","",IF(M2039&gt;0,M2039,IF(AND(E2039&gt;0,ROUND(J2039+D2039-E2039,2)&gt;0,ROUND(J2039+D2039-E2039,2)&lt;'Opening Balance'!$B$14),ROUND(J2039+D2039-E2039,2),0)))</f>
        <v/>
      </c>
      <c r="L2039" s="6">
        <f>IF(C2039="","",ROUND(J2039+D2039-E2039-K2039,2))</f>
        <v/>
      </c>
      <c r="M2039" s="6">
        <f>IF(C2039="","",0)</f>
        <v/>
      </c>
    </row>
    <row r="2040">
      <c r="A2040" t="inlineStr">
        <is>
          <t>Bank 银行</t>
        </is>
      </c>
      <c r="B2040" s="5">
        <f>IF(AND('Daily Sale entry '!Z540="Online collection 网上收款",'Daily Sale entry '!AA540&lt;&gt;""),'Daily Sale entry '!X540,"")</f>
        <v/>
      </c>
      <c r="C2040">
        <f>IF(B2040="","",'Daily Sale entry '!AA540)</f>
        <v/>
      </c>
      <c r="D2040">
        <f>IF(C2040="","",0)</f>
        <v/>
      </c>
      <c r="E2040">
        <f>IF(C2040="","",'Daily Sale entry '!AC540)</f>
        <v/>
      </c>
      <c r="F2040" s="37">
        <f>IF(C2040="","",B2040+IF(E2040&gt;0,0,0.5)+ROW()/10000000)</f>
        <v/>
      </c>
      <c r="G2040">
        <f>IF(C2040="","","Collection 收款 (Online 网上)"&amp;IF('Daily Sale entry '!Y540="",""," - "&amp;'Daily Sale entry '!Y540))</f>
        <v/>
      </c>
      <c r="H2040">
        <f>IF(C2040="","",COUNTIFS($C$2:$C$3001,C2040,$F$2:$F$3001,"&lt;"&amp;F2040)+1)</f>
        <v/>
      </c>
      <c r="I2040">
        <f>IF(C2040="","",C2040&amp;"|"&amp;H2040)</f>
        <v/>
      </c>
      <c r="J2040" s="6">
        <f>IF(C2040="","",IF(H2040=1,SUMIFS('Opening Balance'!$F$4:$F$303,'Opening Balance'!$G$4:$G$303,C2040),INDEX($L$2:$L$3001,MATCH(C2040&amp;"|"&amp;(H2040-1),$I$2:$I$3001,0))))</f>
        <v/>
      </c>
      <c r="K2040" s="6">
        <f>IF(C2040="","",IF(M2040&gt;0,M2040,IF(AND(E2040&gt;0,ROUND(J2040+D2040-E2040,2)&gt;0,ROUND(J2040+D2040-E2040,2)&lt;'Opening Balance'!$B$14),ROUND(J2040+D2040-E2040,2),0)))</f>
        <v/>
      </c>
      <c r="L2040" s="6">
        <f>IF(C2040="","",ROUND(J2040+D2040-E2040-K2040,2))</f>
        <v/>
      </c>
      <c r="M2040" s="6">
        <f>IF(C2040="","",0)</f>
        <v/>
      </c>
    </row>
    <row r="2041">
      <c r="A2041" t="inlineStr">
        <is>
          <t>Bank 银行</t>
        </is>
      </c>
      <c r="B2041" s="5">
        <f>IF(AND('Daily Sale entry '!Z541="Online collection 网上收款",'Daily Sale entry '!AA541&lt;&gt;""),'Daily Sale entry '!X541,"")</f>
        <v/>
      </c>
      <c r="C2041">
        <f>IF(B2041="","",'Daily Sale entry '!AA541)</f>
        <v/>
      </c>
      <c r="D2041">
        <f>IF(C2041="","",0)</f>
        <v/>
      </c>
      <c r="E2041">
        <f>IF(C2041="","",'Daily Sale entry '!AC541)</f>
        <v/>
      </c>
      <c r="F2041" s="37">
        <f>IF(C2041="","",B2041+IF(E2041&gt;0,0,0.5)+ROW()/10000000)</f>
        <v/>
      </c>
      <c r="G2041">
        <f>IF(C2041="","","Collection 收款 (Online 网上)"&amp;IF('Daily Sale entry '!Y541="",""," - "&amp;'Daily Sale entry '!Y541))</f>
        <v/>
      </c>
      <c r="H2041">
        <f>IF(C2041="","",COUNTIFS($C$2:$C$3001,C2041,$F$2:$F$3001,"&lt;"&amp;F2041)+1)</f>
        <v/>
      </c>
      <c r="I2041">
        <f>IF(C2041="","",C2041&amp;"|"&amp;H2041)</f>
        <v/>
      </c>
      <c r="J2041" s="6">
        <f>IF(C2041="","",IF(H2041=1,SUMIFS('Opening Balance'!$F$4:$F$303,'Opening Balance'!$G$4:$G$303,C2041),INDEX($L$2:$L$3001,MATCH(C2041&amp;"|"&amp;(H2041-1),$I$2:$I$3001,0))))</f>
        <v/>
      </c>
      <c r="K2041" s="6">
        <f>IF(C2041="","",IF(M2041&gt;0,M2041,IF(AND(E2041&gt;0,ROUND(J2041+D2041-E2041,2)&gt;0,ROUND(J2041+D2041-E2041,2)&lt;'Opening Balance'!$B$14),ROUND(J2041+D2041-E2041,2),0)))</f>
        <v/>
      </c>
      <c r="L2041" s="6">
        <f>IF(C2041="","",ROUND(J2041+D2041-E2041-K2041,2))</f>
        <v/>
      </c>
      <c r="M2041" s="6">
        <f>IF(C2041="","",0)</f>
        <v/>
      </c>
    </row>
    <row r="2042">
      <c r="A2042" t="inlineStr">
        <is>
          <t>Bank 银行</t>
        </is>
      </c>
      <c r="B2042" s="5">
        <f>IF(AND('Daily Sale entry '!Z542="Online collection 网上收款",'Daily Sale entry '!AA542&lt;&gt;""),'Daily Sale entry '!X542,"")</f>
        <v/>
      </c>
      <c r="C2042">
        <f>IF(B2042="","",'Daily Sale entry '!AA542)</f>
        <v/>
      </c>
      <c r="D2042">
        <f>IF(C2042="","",0)</f>
        <v/>
      </c>
      <c r="E2042">
        <f>IF(C2042="","",'Daily Sale entry '!AC542)</f>
        <v/>
      </c>
      <c r="F2042" s="37">
        <f>IF(C2042="","",B2042+IF(E2042&gt;0,0,0.5)+ROW()/10000000)</f>
        <v/>
      </c>
      <c r="G2042">
        <f>IF(C2042="","","Collection 收款 (Online 网上)"&amp;IF('Daily Sale entry '!Y542="",""," - "&amp;'Daily Sale entry '!Y542))</f>
        <v/>
      </c>
      <c r="H2042">
        <f>IF(C2042="","",COUNTIFS($C$2:$C$3001,C2042,$F$2:$F$3001,"&lt;"&amp;F2042)+1)</f>
        <v/>
      </c>
      <c r="I2042">
        <f>IF(C2042="","",C2042&amp;"|"&amp;H2042)</f>
        <v/>
      </c>
      <c r="J2042" s="6">
        <f>IF(C2042="","",IF(H2042=1,SUMIFS('Opening Balance'!$F$4:$F$303,'Opening Balance'!$G$4:$G$303,C2042),INDEX($L$2:$L$3001,MATCH(C2042&amp;"|"&amp;(H2042-1),$I$2:$I$3001,0))))</f>
        <v/>
      </c>
      <c r="K2042" s="6">
        <f>IF(C2042="","",IF(M2042&gt;0,M2042,IF(AND(E2042&gt;0,ROUND(J2042+D2042-E2042,2)&gt;0,ROUND(J2042+D2042-E2042,2)&lt;'Opening Balance'!$B$14),ROUND(J2042+D2042-E2042,2),0)))</f>
        <v/>
      </c>
      <c r="L2042" s="6">
        <f>IF(C2042="","",ROUND(J2042+D2042-E2042-K2042,2))</f>
        <v/>
      </c>
      <c r="M2042" s="6">
        <f>IF(C2042="","",0)</f>
        <v/>
      </c>
    </row>
    <row r="2043">
      <c r="A2043" t="inlineStr">
        <is>
          <t>Bank 银行</t>
        </is>
      </c>
      <c r="B2043" s="5">
        <f>IF(AND('Daily Sale entry '!Z543="Online collection 网上收款",'Daily Sale entry '!AA543&lt;&gt;""),'Daily Sale entry '!X543,"")</f>
        <v/>
      </c>
      <c r="C2043">
        <f>IF(B2043="","",'Daily Sale entry '!AA543)</f>
        <v/>
      </c>
      <c r="D2043">
        <f>IF(C2043="","",0)</f>
        <v/>
      </c>
      <c r="E2043">
        <f>IF(C2043="","",'Daily Sale entry '!AC543)</f>
        <v/>
      </c>
      <c r="F2043" s="37">
        <f>IF(C2043="","",B2043+IF(E2043&gt;0,0,0.5)+ROW()/10000000)</f>
        <v/>
      </c>
      <c r="G2043">
        <f>IF(C2043="","","Collection 收款 (Online 网上)"&amp;IF('Daily Sale entry '!Y543="",""," - "&amp;'Daily Sale entry '!Y543))</f>
        <v/>
      </c>
      <c r="H2043">
        <f>IF(C2043="","",COUNTIFS($C$2:$C$3001,C2043,$F$2:$F$3001,"&lt;"&amp;F2043)+1)</f>
        <v/>
      </c>
      <c r="I2043">
        <f>IF(C2043="","",C2043&amp;"|"&amp;H2043)</f>
        <v/>
      </c>
      <c r="J2043" s="6">
        <f>IF(C2043="","",IF(H2043=1,SUMIFS('Opening Balance'!$F$4:$F$303,'Opening Balance'!$G$4:$G$303,C2043),INDEX($L$2:$L$3001,MATCH(C2043&amp;"|"&amp;(H2043-1),$I$2:$I$3001,0))))</f>
        <v/>
      </c>
      <c r="K2043" s="6">
        <f>IF(C2043="","",IF(M2043&gt;0,M2043,IF(AND(E2043&gt;0,ROUND(J2043+D2043-E2043,2)&gt;0,ROUND(J2043+D2043-E2043,2)&lt;'Opening Balance'!$B$14),ROUND(J2043+D2043-E2043,2),0)))</f>
        <v/>
      </c>
      <c r="L2043" s="6">
        <f>IF(C2043="","",ROUND(J2043+D2043-E2043-K2043,2))</f>
        <v/>
      </c>
      <c r="M2043" s="6">
        <f>IF(C2043="","",0)</f>
        <v/>
      </c>
    </row>
    <row r="2044">
      <c r="A2044" t="inlineStr">
        <is>
          <t>Bank 银行</t>
        </is>
      </c>
      <c r="B2044" s="5">
        <f>IF(AND('Daily Sale entry '!Z544="Online collection 网上收款",'Daily Sale entry '!AA544&lt;&gt;""),'Daily Sale entry '!X544,"")</f>
        <v/>
      </c>
      <c r="C2044">
        <f>IF(B2044="","",'Daily Sale entry '!AA544)</f>
        <v/>
      </c>
      <c r="D2044">
        <f>IF(C2044="","",0)</f>
        <v/>
      </c>
      <c r="E2044">
        <f>IF(C2044="","",'Daily Sale entry '!AC544)</f>
        <v/>
      </c>
      <c r="F2044" s="37">
        <f>IF(C2044="","",B2044+IF(E2044&gt;0,0,0.5)+ROW()/10000000)</f>
        <v/>
      </c>
      <c r="G2044">
        <f>IF(C2044="","","Collection 收款 (Online 网上)"&amp;IF('Daily Sale entry '!Y544="",""," - "&amp;'Daily Sale entry '!Y544))</f>
        <v/>
      </c>
      <c r="H2044">
        <f>IF(C2044="","",COUNTIFS($C$2:$C$3001,C2044,$F$2:$F$3001,"&lt;"&amp;F2044)+1)</f>
        <v/>
      </c>
      <c r="I2044">
        <f>IF(C2044="","",C2044&amp;"|"&amp;H2044)</f>
        <v/>
      </c>
      <c r="J2044" s="6">
        <f>IF(C2044="","",IF(H2044=1,SUMIFS('Opening Balance'!$F$4:$F$303,'Opening Balance'!$G$4:$G$303,C2044),INDEX($L$2:$L$3001,MATCH(C2044&amp;"|"&amp;(H2044-1),$I$2:$I$3001,0))))</f>
        <v/>
      </c>
      <c r="K2044" s="6">
        <f>IF(C2044="","",IF(M2044&gt;0,M2044,IF(AND(E2044&gt;0,ROUND(J2044+D2044-E2044,2)&gt;0,ROUND(J2044+D2044-E2044,2)&lt;'Opening Balance'!$B$14),ROUND(J2044+D2044-E2044,2),0)))</f>
        <v/>
      </c>
      <c r="L2044" s="6">
        <f>IF(C2044="","",ROUND(J2044+D2044-E2044-K2044,2))</f>
        <v/>
      </c>
      <c r="M2044" s="6">
        <f>IF(C2044="","",0)</f>
        <v/>
      </c>
    </row>
    <row r="2045">
      <c r="A2045" t="inlineStr">
        <is>
          <t>Bank 银行</t>
        </is>
      </c>
      <c r="B2045" s="5">
        <f>IF(AND('Daily Sale entry '!Z545="Online collection 网上收款",'Daily Sale entry '!AA545&lt;&gt;""),'Daily Sale entry '!X545,"")</f>
        <v/>
      </c>
      <c r="C2045">
        <f>IF(B2045="","",'Daily Sale entry '!AA545)</f>
        <v/>
      </c>
      <c r="D2045">
        <f>IF(C2045="","",0)</f>
        <v/>
      </c>
      <c r="E2045">
        <f>IF(C2045="","",'Daily Sale entry '!AC545)</f>
        <v/>
      </c>
      <c r="F2045" s="37">
        <f>IF(C2045="","",B2045+IF(E2045&gt;0,0,0.5)+ROW()/10000000)</f>
        <v/>
      </c>
      <c r="G2045">
        <f>IF(C2045="","","Collection 收款 (Online 网上)"&amp;IF('Daily Sale entry '!Y545="",""," - "&amp;'Daily Sale entry '!Y545))</f>
        <v/>
      </c>
      <c r="H2045">
        <f>IF(C2045="","",COUNTIFS($C$2:$C$3001,C2045,$F$2:$F$3001,"&lt;"&amp;F2045)+1)</f>
        <v/>
      </c>
      <c r="I2045">
        <f>IF(C2045="","",C2045&amp;"|"&amp;H2045)</f>
        <v/>
      </c>
      <c r="J2045" s="6">
        <f>IF(C2045="","",IF(H2045=1,SUMIFS('Opening Balance'!$F$4:$F$303,'Opening Balance'!$G$4:$G$303,C2045),INDEX($L$2:$L$3001,MATCH(C2045&amp;"|"&amp;(H2045-1),$I$2:$I$3001,0))))</f>
        <v/>
      </c>
      <c r="K2045" s="6">
        <f>IF(C2045="","",IF(M2045&gt;0,M2045,IF(AND(E2045&gt;0,ROUND(J2045+D2045-E2045,2)&gt;0,ROUND(J2045+D2045-E2045,2)&lt;'Opening Balance'!$B$14),ROUND(J2045+D2045-E2045,2),0)))</f>
        <v/>
      </c>
      <c r="L2045" s="6">
        <f>IF(C2045="","",ROUND(J2045+D2045-E2045-K2045,2))</f>
        <v/>
      </c>
      <c r="M2045" s="6">
        <f>IF(C2045="","",0)</f>
        <v/>
      </c>
    </row>
    <row r="2046">
      <c r="A2046" t="inlineStr">
        <is>
          <t>Bank 银行</t>
        </is>
      </c>
      <c r="B2046" s="5">
        <f>IF(AND('Daily Sale entry '!Z546="Online collection 网上收款",'Daily Sale entry '!AA546&lt;&gt;""),'Daily Sale entry '!X546,"")</f>
        <v/>
      </c>
      <c r="C2046">
        <f>IF(B2046="","",'Daily Sale entry '!AA546)</f>
        <v/>
      </c>
      <c r="D2046">
        <f>IF(C2046="","",0)</f>
        <v/>
      </c>
      <c r="E2046">
        <f>IF(C2046="","",'Daily Sale entry '!AC546)</f>
        <v/>
      </c>
      <c r="F2046" s="37">
        <f>IF(C2046="","",B2046+IF(E2046&gt;0,0,0.5)+ROW()/10000000)</f>
        <v/>
      </c>
      <c r="G2046">
        <f>IF(C2046="","","Collection 收款 (Online 网上)"&amp;IF('Daily Sale entry '!Y546="",""," - "&amp;'Daily Sale entry '!Y546))</f>
        <v/>
      </c>
      <c r="H2046">
        <f>IF(C2046="","",COUNTIFS($C$2:$C$3001,C2046,$F$2:$F$3001,"&lt;"&amp;F2046)+1)</f>
        <v/>
      </c>
      <c r="I2046">
        <f>IF(C2046="","",C2046&amp;"|"&amp;H2046)</f>
        <v/>
      </c>
      <c r="J2046" s="6">
        <f>IF(C2046="","",IF(H2046=1,SUMIFS('Opening Balance'!$F$4:$F$303,'Opening Balance'!$G$4:$G$303,C2046),INDEX($L$2:$L$3001,MATCH(C2046&amp;"|"&amp;(H2046-1),$I$2:$I$3001,0))))</f>
        <v/>
      </c>
      <c r="K2046" s="6">
        <f>IF(C2046="","",IF(M2046&gt;0,M2046,IF(AND(E2046&gt;0,ROUND(J2046+D2046-E2046,2)&gt;0,ROUND(J2046+D2046-E2046,2)&lt;'Opening Balance'!$B$14),ROUND(J2046+D2046-E2046,2),0)))</f>
        <v/>
      </c>
      <c r="L2046" s="6">
        <f>IF(C2046="","",ROUND(J2046+D2046-E2046-K2046,2))</f>
        <v/>
      </c>
      <c r="M2046" s="6">
        <f>IF(C2046="","",0)</f>
        <v/>
      </c>
    </row>
    <row r="2047">
      <c r="A2047" t="inlineStr">
        <is>
          <t>Bank 银行</t>
        </is>
      </c>
      <c r="B2047" s="5">
        <f>IF(AND('Daily Sale entry '!Z547="Online collection 网上收款",'Daily Sale entry '!AA547&lt;&gt;""),'Daily Sale entry '!X547,"")</f>
        <v/>
      </c>
      <c r="C2047">
        <f>IF(B2047="","",'Daily Sale entry '!AA547)</f>
        <v/>
      </c>
      <c r="D2047">
        <f>IF(C2047="","",0)</f>
        <v/>
      </c>
      <c r="E2047">
        <f>IF(C2047="","",'Daily Sale entry '!AC547)</f>
        <v/>
      </c>
      <c r="F2047" s="37">
        <f>IF(C2047="","",B2047+IF(E2047&gt;0,0,0.5)+ROW()/10000000)</f>
        <v/>
      </c>
      <c r="G2047">
        <f>IF(C2047="","","Collection 收款 (Online 网上)"&amp;IF('Daily Sale entry '!Y547="",""," - "&amp;'Daily Sale entry '!Y547))</f>
        <v/>
      </c>
      <c r="H2047">
        <f>IF(C2047="","",COUNTIFS($C$2:$C$3001,C2047,$F$2:$F$3001,"&lt;"&amp;F2047)+1)</f>
        <v/>
      </c>
      <c r="I2047">
        <f>IF(C2047="","",C2047&amp;"|"&amp;H2047)</f>
        <v/>
      </c>
      <c r="J2047" s="6">
        <f>IF(C2047="","",IF(H2047=1,SUMIFS('Opening Balance'!$F$4:$F$303,'Opening Balance'!$G$4:$G$303,C2047),INDEX($L$2:$L$3001,MATCH(C2047&amp;"|"&amp;(H2047-1),$I$2:$I$3001,0))))</f>
        <v/>
      </c>
      <c r="K2047" s="6">
        <f>IF(C2047="","",IF(M2047&gt;0,M2047,IF(AND(E2047&gt;0,ROUND(J2047+D2047-E2047,2)&gt;0,ROUND(J2047+D2047-E2047,2)&lt;'Opening Balance'!$B$14),ROUND(J2047+D2047-E2047,2),0)))</f>
        <v/>
      </c>
      <c r="L2047" s="6">
        <f>IF(C2047="","",ROUND(J2047+D2047-E2047-K2047,2))</f>
        <v/>
      </c>
      <c r="M2047" s="6">
        <f>IF(C2047="","",0)</f>
        <v/>
      </c>
    </row>
    <row r="2048">
      <c r="A2048" t="inlineStr">
        <is>
          <t>Bank 银行</t>
        </is>
      </c>
      <c r="B2048" s="5">
        <f>IF(AND('Daily Sale entry '!Z548="Online collection 网上收款",'Daily Sale entry '!AA548&lt;&gt;""),'Daily Sale entry '!X548,"")</f>
        <v/>
      </c>
      <c r="C2048">
        <f>IF(B2048="","",'Daily Sale entry '!AA548)</f>
        <v/>
      </c>
      <c r="D2048">
        <f>IF(C2048="","",0)</f>
        <v/>
      </c>
      <c r="E2048">
        <f>IF(C2048="","",'Daily Sale entry '!AC548)</f>
        <v/>
      </c>
      <c r="F2048" s="37">
        <f>IF(C2048="","",B2048+IF(E2048&gt;0,0,0.5)+ROW()/10000000)</f>
        <v/>
      </c>
      <c r="G2048">
        <f>IF(C2048="","","Collection 收款 (Online 网上)"&amp;IF('Daily Sale entry '!Y548="",""," - "&amp;'Daily Sale entry '!Y548))</f>
        <v/>
      </c>
      <c r="H2048">
        <f>IF(C2048="","",COUNTIFS($C$2:$C$3001,C2048,$F$2:$F$3001,"&lt;"&amp;F2048)+1)</f>
        <v/>
      </c>
      <c r="I2048">
        <f>IF(C2048="","",C2048&amp;"|"&amp;H2048)</f>
        <v/>
      </c>
      <c r="J2048" s="6">
        <f>IF(C2048="","",IF(H2048=1,SUMIFS('Opening Balance'!$F$4:$F$303,'Opening Balance'!$G$4:$G$303,C2048),INDEX($L$2:$L$3001,MATCH(C2048&amp;"|"&amp;(H2048-1),$I$2:$I$3001,0))))</f>
        <v/>
      </c>
      <c r="K2048" s="6">
        <f>IF(C2048="","",IF(M2048&gt;0,M2048,IF(AND(E2048&gt;0,ROUND(J2048+D2048-E2048,2)&gt;0,ROUND(J2048+D2048-E2048,2)&lt;'Opening Balance'!$B$14),ROUND(J2048+D2048-E2048,2),0)))</f>
        <v/>
      </c>
      <c r="L2048" s="6">
        <f>IF(C2048="","",ROUND(J2048+D2048-E2048-K2048,2))</f>
        <v/>
      </c>
      <c r="M2048" s="6">
        <f>IF(C2048="","",0)</f>
        <v/>
      </c>
    </row>
    <row r="2049">
      <c r="A2049" t="inlineStr">
        <is>
          <t>Bank 银行</t>
        </is>
      </c>
      <c r="B2049" s="5">
        <f>IF(AND('Daily Sale entry '!Z549="Online collection 网上收款",'Daily Sale entry '!AA549&lt;&gt;""),'Daily Sale entry '!X549,"")</f>
        <v/>
      </c>
      <c r="C2049">
        <f>IF(B2049="","",'Daily Sale entry '!AA549)</f>
        <v/>
      </c>
      <c r="D2049">
        <f>IF(C2049="","",0)</f>
        <v/>
      </c>
      <c r="E2049">
        <f>IF(C2049="","",'Daily Sale entry '!AC549)</f>
        <v/>
      </c>
      <c r="F2049" s="37">
        <f>IF(C2049="","",B2049+IF(E2049&gt;0,0,0.5)+ROW()/10000000)</f>
        <v/>
      </c>
      <c r="G2049">
        <f>IF(C2049="","","Collection 收款 (Online 网上)"&amp;IF('Daily Sale entry '!Y549="",""," - "&amp;'Daily Sale entry '!Y549))</f>
        <v/>
      </c>
      <c r="H2049">
        <f>IF(C2049="","",COUNTIFS($C$2:$C$3001,C2049,$F$2:$F$3001,"&lt;"&amp;F2049)+1)</f>
        <v/>
      </c>
      <c r="I2049">
        <f>IF(C2049="","",C2049&amp;"|"&amp;H2049)</f>
        <v/>
      </c>
      <c r="J2049" s="6">
        <f>IF(C2049="","",IF(H2049=1,SUMIFS('Opening Balance'!$F$4:$F$303,'Opening Balance'!$G$4:$G$303,C2049),INDEX($L$2:$L$3001,MATCH(C2049&amp;"|"&amp;(H2049-1),$I$2:$I$3001,0))))</f>
        <v/>
      </c>
      <c r="K2049" s="6">
        <f>IF(C2049="","",IF(M2049&gt;0,M2049,IF(AND(E2049&gt;0,ROUND(J2049+D2049-E2049,2)&gt;0,ROUND(J2049+D2049-E2049,2)&lt;'Opening Balance'!$B$14),ROUND(J2049+D2049-E2049,2),0)))</f>
        <v/>
      </c>
      <c r="L2049" s="6">
        <f>IF(C2049="","",ROUND(J2049+D2049-E2049-K2049,2))</f>
        <v/>
      </c>
      <c r="M2049" s="6">
        <f>IF(C2049="","",0)</f>
        <v/>
      </c>
    </row>
    <row r="2050">
      <c r="A2050" t="inlineStr">
        <is>
          <t>Bank 银行</t>
        </is>
      </c>
      <c r="B2050" s="5">
        <f>IF(AND('Daily Sale entry '!Z550="Online collection 网上收款",'Daily Sale entry '!AA550&lt;&gt;""),'Daily Sale entry '!X550,"")</f>
        <v/>
      </c>
      <c r="C2050">
        <f>IF(B2050="","",'Daily Sale entry '!AA550)</f>
        <v/>
      </c>
      <c r="D2050">
        <f>IF(C2050="","",0)</f>
        <v/>
      </c>
      <c r="E2050">
        <f>IF(C2050="","",'Daily Sale entry '!AC550)</f>
        <v/>
      </c>
      <c r="F2050" s="37">
        <f>IF(C2050="","",B2050+IF(E2050&gt;0,0,0.5)+ROW()/10000000)</f>
        <v/>
      </c>
      <c r="G2050">
        <f>IF(C2050="","","Collection 收款 (Online 网上)"&amp;IF('Daily Sale entry '!Y550="",""," - "&amp;'Daily Sale entry '!Y550))</f>
        <v/>
      </c>
      <c r="H2050">
        <f>IF(C2050="","",COUNTIFS($C$2:$C$3001,C2050,$F$2:$F$3001,"&lt;"&amp;F2050)+1)</f>
        <v/>
      </c>
      <c r="I2050">
        <f>IF(C2050="","",C2050&amp;"|"&amp;H2050)</f>
        <v/>
      </c>
      <c r="J2050" s="6">
        <f>IF(C2050="","",IF(H2050=1,SUMIFS('Opening Balance'!$F$4:$F$303,'Opening Balance'!$G$4:$G$303,C2050),INDEX($L$2:$L$3001,MATCH(C2050&amp;"|"&amp;(H2050-1),$I$2:$I$3001,0))))</f>
        <v/>
      </c>
      <c r="K2050" s="6">
        <f>IF(C2050="","",IF(M2050&gt;0,M2050,IF(AND(E2050&gt;0,ROUND(J2050+D2050-E2050,2)&gt;0,ROUND(J2050+D2050-E2050,2)&lt;'Opening Balance'!$B$14),ROUND(J2050+D2050-E2050,2),0)))</f>
        <v/>
      </c>
      <c r="L2050" s="6">
        <f>IF(C2050="","",ROUND(J2050+D2050-E2050-K2050,2))</f>
        <v/>
      </c>
      <c r="M2050" s="6">
        <f>IF(C2050="","",0)</f>
        <v/>
      </c>
    </row>
    <row r="2051">
      <c r="A2051" t="inlineStr">
        <is>
          <t>Bank 银行</t>
        </is>
      </c>
      <c r="B2051" s="5">
        <f>IF(AND('Daily Sale entry '!Z551="Online collection 网上收款",'Daily Sale entry '!AA551&lt;&gt;""),'Daily Sale entry '!X551,"")</f>
        <v/>
      </c>
      <c r="C2051">
        <f>IF(B2051="","",'Daily Sale entry '!AA551)</f>
        <v/>
      </c>
      <c r="D2051">
        <f>IF(C2051="","",0)</f>
        <v/>
      </c>
      <c r="E2051">
        <f>IF(C2051="","",'Daily Sale entry '!AC551)</f>
        <v/>
      </c>
      <c r="F2051" s="37">
        <f>IF(C2051="","",B2051+IF(E2051&gt;0,0,0.5)+ROW()/10000000)</f>
        <v/>
      </c>
      <c r="G2051">
        <f>IF(C2051="","","Collection 收款 (Online 网上)"&amp;IF('Daily Sale entry '!Y551="",""," - "&amp;'Daily Sale entry '!Y551))</f>
        <v/>
      </c>
      <c r="H2051">
        <f>IF(C2051="","",COUNTIFS($C$2:$C$3001,C2051,$F$2:$F$3001,"&lt;"&amp;F2051)+1)</f>
        <v/>
      </c>
      <c r="I2051">
        <f>IF(C2051="","",C2051&amp;"|"&amp;H2051)</f>
        <v/>
      </c>
      <c r="J2051" s="6">
        <f>IF(C2051="","",IF(H2051=1,SUMIFS('Opening Balance'!$F$4:$F$303,'Opening Balance'!$G$4:$G$303,C2051),INDEX($L$2:$L$3001,MATCH(C2051&amp;"|"&amp;(H2051-1),$I$2:$I$3001,0))))</f>
        <v/>
      </c>
      <c r="K2051" s="6">
        <f>IF(C2051="","",IF(M2051&gt;0,M2051,IF(AND(E2051&gt;0,ROUND(J2051+D2051-E2051,2)&gt;0,ROUND(J2051+D2051-E2051,2)&lt;'Opening Balance'!$B$14),ROUND(J2051+D2051-E2051,2),0)))</f>
        <v/>
      </c>
      <c r="L2051" s="6">
        <f>IF(C2051="","",ROUND(J2051+D2051-E2051-K2051,2))</f>
        <v/>
      </c>
      <c r="M2051" s="6">
        <f>IF(C2051="","",0)</f>
        <v/>
      </c>
    </row>
    <row r="2052">
      <c r="A2052" t="inlineStr">
        <is>
          <t>Bank 银行</t>
        </is>
      </c>
      <c r="B2052" s="5">
        <f>IF(AND('Daily Sale entry '!Z552="Online collection 网上收款",'Daily Sale entry '!AA552&lt;&gt;""),'Daily Sale entry '!X552,"")</f>
        <v/>
      </c>
      <c r="C2052">
        <f>IF(B2052="","",'Daily Sale entry '!AA552)</f>
        <v/>
      </c>
      <c r="D2052">
        <f>IF(C2052="","",0)</f>
        <v/>
      </c>
      <c r="E2052">
        <f>IF(C2052="","",'Daily Sale entry '!AC552)</f>
        <v/>
      </c>
      <c r="F2052" s="37">
        <f>IF(C2052="","",B2052+IF(E2052&gt;0,0,0.5)+ROW()/10000000)</f>
        <v/>
      </c>
      <c r="G2052">
        <f>IF(C2052="","","Collection 收款 (Online 网上)"&amp;IF('Daily Sale entry '!Y552="",""," - "&amp;'Daily Sale entry '!Y552))</f>
        <v/>
      </c>
      <c r="H2052">
        <f>IF(C2052="","",COUNTIFS($C$2:$C$3001,C2052,$F$2:$F$3001,"&lt;"&amp;F2052)+1)</f>
        <v/>
      </c>
      <c r="I2052">
        <f>IF(C2052="","",C2052&amp;"|"&amp;H2052)</f>
        <v/>
      </c>
      <c r="J2052" s="6">
        <f>IF(C2052="","",IF(H2052=1,SUMIFS('Opening Balance'!$F$4:$F$303,'Opening Balance'!$G$4:$G$303,C2052),INDEX($L$2:$L$3001,MATCH(C2052&amp;"|"&amp;(H2052-1),$I$2:$I$3001,0))))</f>
        <v/>
      </c>
      <c r="K2052" s="6">
        <f>IF(C2052="","",IF(M2052&gt;0,M2052,IF(AND(E2052&gt;0,ROUND(J2052+D2052-E2052,2)&gt;0,ROUND(J2052+D2052-E2052,2)&lt;'Opening Balance'!$B$14),ROUND(J2052+D2052-E2052,2),0)))</f>
        <v/>
      </c>
      <c r="L2052" s="6">
        <f>IF(C2052="","",ROUND(J2052+D2052-E2052-K2052,2))</f>
        <v/>
      </c>
      <c r="M2052" s="6">
        <f>IF(C2052="","",0)</f>
        <v/>
      </c>
    </row>
    <row r="2053">
      <c r="A2053" t="inlineStr">
        <is>
          <t>Bank 银行</t>
        </is>
      </c>
      <c r="B2053" s="5">
        <f>IF(AND('Daily Sale entry '!Z553="Online collection 网上收款",'Daily Sale entry '!AA553&lt;&gt;""),'Daily Sale entry '!X553,"")</f>
        <v/>
      </c>
      <c r="C2053">
        <f>IF(B2053="","",'Daily Sale entry '!AA553)</f>
        <v/>
      </c>
      <c r="D2053">
        <f>IF(C2053="","",0)</f>
        <v/>
      </c>
      <c r="E2053">
        <f>IF(C2053="","",'Daily Sale entry '!AC553)</f>
        <v/>
      </c>
      <c r="F2053" s="37">
        <f>IF(C2053="","",B2053+IF(E2053&gt;0,0,0.5)+ROW()/10000000)</f>
        <v/>
      </c>
      <c r="G2053">
        <f>IF(C2053="","","Collection 收款 (Online 网上)"&amp;IF('Daily Sale entry '!Y553="",""," - "&amp;'Daily Sale entry '!Y553))</f>
        <v/>
      </c>
      <c r="H2053">
        <f>IF(C2053="","",COUNTIFS($C$2:$C$3001,C2053,$F$2:$F$3001,"&lt;"&amp;F2053)+1)</f>
        <v/>
      </c>
      <c r="I2053">
        <f>IF(C2053="","",C2053&amp;"|"&amp;H2053)</f>
        <v/>
      </c>
      <c r="J2053" s="6">
        <f>IF(C2053="","",IF(H2053=1,SUMIFS('Opening Balance'!$F$4:$F$303,'Opening Balance'!$G$4:$G$303,C2053),INDEX($L$2:$L$3001,MATCH(C2053&amp;"|"&amp;(H2053-1),$I$2:$I$3001,0))))</f>
        <v/>
      </c>
      <c r="K2053" s="6">
        <f>IF(C2053="","",IF(M2053&gt;0,M2053,IF(AND(E2053&gt;0,ROUND(J2053+D2053-E2053,2)&gt;0,ROUND(J2053+D2053-E2053,2)&lt;'Opening Balance'!$B$14),ROUND(J2053+D2053-E2053,2),0)))</f>
        <v/>
      </c>
      <c r="L2053" s="6">
        <f>IF(C2053="","",ROUND(J2053+D2053-E2053-K2053,2))</f>
        <v/>
      </c>
      <c r="M2053" s="6">
        <f>IF(C2053="","",0)</f>
        <v/>
      </c>
    </row>
    <row r="2054">
      <c r="A2054" t="inlineStr">
        <is>
          <t>Bank 银行</t>
        </is>
      </c>
      <c r="B2054" s="5">
        <f>IF(AND('Daily Sale entry '!Z554="Online collection 网上收款",'Daily Sale entry '!AA554&lt;&gt;""),'Daily Sale entry '!X554,"")</f>
        <v/>
      </c>
      <c r="C2054">
        <f>IF(B2054="","",'Daily Sale entry '!AA554)</f>
        <v/>
      </c>
      <c r="D2054">
        <f>IF(C2054="","",0)</f>
        <v/>
      </c>
      <c r="E2054">
        <f>IF(C2054="","",'Daily Sale entry '!AC554)</f>
        <v/>
      </c>
      <c r="F2054" s="37">
        <f>IF(C2054="","",B2054+IF(E2054&gt;0,0,0.5)+ROW()/10000000)</f>
        <v/>
      </c>
      <c r="G2054">
        <f>IF(C2054="","","Collection 收款 (Online 网上)"&amp;IF('Daily Sale entry '!Y554="",""," - "&amp;'Daily Sale entry '!Y554))</f>
        <v/>
      </c>
      <c r="H2054">
        <f>IF(C2054="","",COUNTIFS($C$2:$C$3001,C2054,$F$2:$F$3001,"&lt;"&amp;F2054)+1)</f>
        <v/>
      </c>
      <c r="I2054">
        <f>IF(C2054="","",C2054&amp;"|"&amp;H2054)</f>
        <v/>
      </c>
      <c r="J2054" s="6">
        <f>IF(C2054="","",IF(H2054=1,SUMIFS('Opening Balance'!$F$4:$F$303,'Opening Balance'!$G$4:$G$303,C2054),INDEX($L$2:$L$3001,MATCH(C2054&amp;"|"&amp;(H2054-1),$I$2:$I$3001,0))))</f>
        <v/>
      </c>
      <c r="K2054" s="6">
        <f>IF(C2054="","",IF(M2054&gt;0,M2054,IF(AND(E2054&gt;0,ROUND(J2054+D2054-E2054,2)&gt;0,ROUND(J2054+D2054-E2054,2)&lt;'Opening Balance'!$B$14),ROUND(J2054+D2054-E2054,2),0)))</f>
        <v/>
      </c>
      <c r="L2054" s="6">
        <f>IF(C2054="","",ROUND(J2054+D2054-E2054-K2054,2))</f>
        <v/>
      </c>
      <c r="M2054" s="6">
        <f>IF(C2054="","",0)</f>
        <v/>
      </c>
    </row>
    <row r="2055">
      <c r="A2055" t="inlineStr">
        <is>
          <t>Bank 银行</t>
        </is>
      </c>
      <c r="B2055" s="5">
        <f>IF(AND('Daily Sale entry '!Z555="Online collection 网上收款",'Daily Sale entry '!AA555&lt;&gt;""),'Daily Sale entry '!X555,"")</f>
        <v/>
      </c>
      <c r="C2055">
        <f>IF(B2055="","",'Daily Sale entry '!AA555)</f>
        <v/>
      </c>
      <c r="D2055">
        <f>IF(C2055="","",0)</f>
        <v/>
      </c>
      <c r="E2055">
        <f>IF(C2055="","",'Daily Sale entry '!AC555)</f>
        <v/>
      </c>
      <c r="F2055" s="37">
        <f>IF(C2055="","",B2055+IF(E2055&gt;0,0,0.5)+ROW()/10000000)</f>
        <v/>
      </c>
      <c r="G2055">
        <f>IF(C2055="","","Collection 收款 (Online 网上)"&amp;IF('Daily Sale entry '!Y555="",""," - "&amp;'Daily Sale entry '!Y555))</f>
        <v/>
      </c>
      <c r="H2055">
        <f>IF(C2055="","",COUNTIFS($C$2:$C$3001,C2055,$F$2:$F$3001,"&lt;"&amp;F2055)+1)</f>
        <v/>
      </c>
      <c r="I2055">
        <f>IF(C2055="","",C2055&amp;"|"&amp;H2055)</f>
        <v/>
      </c>
      <c r="J2055" s="6">
        <f>IF(C2055="","",IF(H2055=1,SUMIFS('Opening Balance'!$F$4:$F$303,'Opening Balance'!$G$4:$G$303,C2055),INDEX($L$2:$L$3001,MATCH(C2055&amp;"|"&amp;(H2055-1),$I$2:$I$3001,0))))</f>
        <v/>
      </c>
      <c r="K2055" s="6">
        <f>IF(C2055="","",IF(M2055&gt;0,M2055,IF(AND(E2055&gt;0,ROUND(J2055+D2055-E2055,2)&gt;0,ROUND(J2055+D2055-E2055,2)&lt;'Opening Balance'!$B$14),ROUND(J2055+D2055-E2055,2),0)))</f>
        <v/>
      </c>
      <c r="L2055" s="6">
        <f>IF(C2055="","",ROUND(J2055+D2055-E2055-K2055,2))</f>
        <v/>
      </c>
      <c r="M2055" s="6">
        <f>IF(C2055="","",0)</f>
        <v/>
      </c>
    </row>
    <row r="2056">
      <c r="A2056" t="inlineStr">
        <is>
          <t>Bank 银行</t>
        </is>
      </c>
      <c r="B2056" s="5">
        <f>IF(AND('Daily Sale entry '!Z556="Online collection 网上收款",'Daily Sale entry '!AA556&lt;&gt;""),'Daily Sale entry '!X556,"")</f>
        <v/>
      </c>
      <c r="C2056">
        <f>IF(B2056="","",'Daily Sale entry '!AA556)</f>
        <v/>
      </c>
      <c r="D2056">
        <f>IF(C2056="","",0)</f>
        <v/>
      </c>
      <c r="E2056">
        <f>IF(C2056="","",'Daily Sale entry '!AC556)</f>
        <v/>
      </c>
      <c r="F2056" s="37">
        <f>IF(C2056="","",B2056+IF(E2056&gt;0,0,0.5)+ROW()/10000000)</f>
        <v/>
      </c>
      <c r="G2056">
        <f>IF(C2056="","","Collection 收款 (Online 网上)"&amp;IF('Daily Sale entry '!Y556="",""," - "&amp;'Daily Sale entry '!Y556))</f>
        <v/>
      </c>
      <c r="H2056">
        <f>IF(C2056="","",COUNTIFS($C$2:$C$3001,C2056,$F$2:$F$3001,"&lt;"&amp;F2056)+1)</f>
        <v/>
      </c>
      <c r="I2056">
        <f>IF(C2056="","",C2056&amp;"|"&amp;H2056)</f>
        <v/>
      </c>
      <c r="J2056" s="6">
        <f>IF(C2056="","",IF(H2056=1,SUMIFS('Opening Balance'!$F$4:$F$303,'Opening Balance'!$G$4:$G$303,C2056),INDEX($L$2:$L$3001,MATCH(C2056&amp;"|"&amp;(H2056-1),$I$2:$I$3001,0))))</f>
        <v/>
      </c>
      <c r="K2056" s="6">
        <f>IF(C2056="","",IF(M2056&gt;0,M2056,IF(AND(E2056&gt;0,ROUND(J2056+D2056-E2056,2)&gt;0,ROUND(J2056+D2056-E2056,2)&lt;'Opening Balance'!$B$14),ROUND(J2056+D2056-E2056,2),0)))</f>
        <v/>
      </c>
      <c r="L2056" s="6">
        <f>IF(C2056="","",ROUND(J2056+D2056-E2056-K2056,2))</f>
        <v/>
      </c>
      <c r="M2056" s="6">
        <f>IF(C2056="","",0)</f>
        <v/>
      </c>
    </row>
    <row r="2057">
      <c r="A2057" t="inlineStr">
        <is>
          <t>Bank 银行</t>
        </is>
      </c>
      <c r="B2057" s="5">
        <f>IF(AND('Daily Sale entry '!Z557="Online collection 网上收款",'Daily Sale entry '!AA557&lt;&gt;""),'Daily Sale entry '!X557,"")</f>
        <v/>
      </c>
      <c r="C2057">
        <f>IF(B2057="","",'Daily Sale entry '!AA557)</f>
        <v/>
      </c>
      <c r="D2057">
        <f>IF(C2057="","",0)</f>
        <v/>
      </c>
      <c r="E2057">
        <f>IF(C2057="","",'Daily Sale entry '!AC557)</f>
        <v/>
      </c>
      <c r="F2057" s="37">
        <f>IF(C2057="","",B2057+IF(E2057&gt;0,0,0.5)+ROW()/10000000)</f>
        <v/>
      </c>
      <c r="G2057">
        <f>IF(C2057="","","Collection 收款 (Online 网上)"&amp;IF('Daily Sale entry '!Y557="",""," - "&amp;'Daily Sale entry '!Y557))</f>
        <v/>
      </c>
      <c r="H2057">
        <f>IF(C2057="","",COUNTIFS($C$2:$C$3001,C2057,$F$2:$F$3001,"&lt;"&amp;F2057)+1)</f>
        <v/>
      </c>
      <c r="I2057">
        <f>IF(C2057="","",C2057&amp;"|"&amp;H2057)</f>
        <v/>
      </c>
      <c r="J2057" s="6">
        <f>IF(C2057="","",IF(H2057=1,SUMIFS('Opening Balance'!$F$4:$F$303,'Opening Balance'!$G$4:$G$303,C2057),INDEX($L$2:$L$3001,MATCH(C2057&amp;"|"&amp;(H2057-1),$I$2:$I$3001,0))))</f>
        <v/>
      </c>
      <c r="K2057" s="6">
        <f>IF(C2057="","",IF(M2057&gt;0,M2057,IF(AND(E2057&gt;0,ROUND(J2057+D2057-E2057,2)&gt;0,ROUND(J2057+D2057-E2057,2)&lt;'Opening Balance'!$B$14),ROUND(J2057+D2057-E2057,2),0)))</f>
        <v/>
      </c>
      <c r="L2057" s="6">
        <f>IF(C2057="","",ROUND(J2057+D2057-E2057-K2057,2))</f>
        <v/>
      </c>
      <c r="M2057" s="6">
        <f>IF(C2057="","",0)</f>
        <v/>
      </c>
    </row>
    <row r="2058">
      <c r="A2058" t="inlineStr">
        <is>
          <t>Bank 银行</t>
        </is>
      </c>
      <c r="B2058" s="5">
        <f>IF(AND('Daily Sale entry '!Z558="Online collection 网上收款",'Daily Sale entry '!AA558&lt;&gt;""),'Daily Sale entry '!X558,"")</f>
        <v/>
      </c>
      <c r="C2058">
        <f>IF(B2058="","",'Daily Sale entry '!AA558)</f>
        <v/>
      </c>
      <c r="D2058">
        <f>IF(C2058="","",0)</f>
        <v/>
      </c>
      <c r="E2058">
        <f>IF(C2058="","",'Daily Sale entry '!AC558)</f>
        <v/>
      </c>
      <c r="F2058" s="37">
        <f>IF(C2058="","",B2058+IF(E2058&gt;0,0,0.5)+ROW()/10000000)</f>
        <v/>
      </c>
      <c r="G2058">
        <f>IF(C2058="","","Collection 收款 (Online 网上)"&amp;IF('Daily Sale entry '!Y558="",""," - "&amp;'Daily Sale entry '!Y558))</f>
        <v/>
      </c>
      <c r="H2058">
        <f>IF(C2058="","",COUNTIFS($C$2:$C$3001,C2058,$F$2:$F$3001,"&lt;"&amp;F2058)+1)</f>
        <v/>
      </c>
      <c r="I2058">
        <f>IF(C2058="","",C2058&amp;"|"&amp;H2058)</f>
        <v/>
      </c>
      <c r="J2058" s="6">
        <f>IF(C2058="","",IF(H2058=1,SUMIFS('Opening Balance'!$F$4:$F$303,'Opening Balance'!$G$4:$G$303,C2058),INDEX($L$2:$L$3001,MATCH(C2058&amp;"|"&amp;(H2058-1),$I$2:$I$3001,0))))</f>
        <v/>
      </c>
      <c r="K2058" s="6">
        <f>IF(C2058="","",IF(M2058&gt;0,M2058,IF(AND(E2058&gt;0,ROUND(J2058+D2058-E2058,2)&gt;0,ROUND(J2058+D2058-E2058,2)&lt;'Opening Balance'!$B$14),ROUND(J2058+D2058-E2058,2),0)))</f>
        <v/>
      </c>
      <c r="L2058" s="6">
        <f>IF(C2058="","",ROUND(J2058+D2058-E2058-K2058,2))</f>
        <v/>
      </c>
      <c r="M2058" s="6">
        <f>IF(C2058="","",0)</f>
        <v/>
      </c>
    </row>
    <row r="2059">
      <c r="A2059" t="inlineStr">
        <is>
          <t>Bank 银行</t>
        </is>
      </c>
      <c r="B2059" s="5">
        <f>IF(AND('Daily Sale entry '!Z559="Online collection 网上收款",'Daily Sale entry '!AA559&lt;&gt;""),'Daily Sale entry '!X559,"")</f>
        <v/>
      </c>
      <c r="C2059">
        <f>IF(B2059="","",'Daily Sale entry '!AA559)</f>
        <v/>
      </c>
      <c r="D2059">
        <f>IF(C2059="","",0)</f>
        <v/>
      </c>
      <c r="E2059">
        <f>IF(C2059="","",'Daily Sale entry '!AC559)</f>
        <v/>
      </c>
      <c r="F2059" s="37">
        <f>IF(C2059="","",B2059+IF(E2059&gt;0,0,0.5)+ROW()/10000000)</f>
        <v/>
      </c>
      <c r="G2059">
        <f>IF(C2059="","","Collection 收款 (Online 网上)"&amp;IF('Daily Sale entry '!Y559="",""," - "&amp;'Daily Sale entry '!Y559))</f>
        <v/>
      </c>
      <c r="H2059">
        <f>IF(C2059="","",COUNTIFS($C$2:$C$3001,C2059,$F$2:$F$3001,"&lt;"&amp;F2059)+1)</f>
        <v/>
      </c>
      <c r="I2059">
        <f>IF(C2059="","",C2059&amp;"|"&amp;H2059)</f>
        <v/>
      </c>
      <c r="J2059" s="6">
        <f>IF(C2059="","",IF(H2059=1,SUMIFS('Opening Balance'!$F$4:$F$303,'Opening Balance'!$G$4:$G$303,C2059),INDEX($L$2:$L$3001,MATCH(C2059&amp;"|"&amp;(H2059-1),$I$2:$I$3001,0))))</f>
        <v/>
      </c>
      <c r="K2059" s="6">
        <f>IF(C2059="","",IF(M2059&gt;0,M2059,IF(AND(E2059&gt;0,ROUND(J2059+D2059-E2059,2)&gt;0,ROUND(J2059+D2059-E2059,2)&lt;'Opening Balance'!$B$14),ROUND(J2059+D2059-E2059,2),0)))</f>
        <v/>
      </c>
      <c r="L2059" s="6">
        <f>IF(C2059="","",ROUND(J2059+D2059-E2059-K2059,2))</f>
        <v/>
      </c>
      <c r="M2059" s="6">
        <f>IF(C2059="","",0)</f>
        <v/>
      </c>
    </row>
    <row r="2060">
      <c r="A2060" t="inlineStr">
        <is>
          <t>Bank 银行</t>
        </is>
      </c>
      <c r="B2060" s="5">
        <f>IF(AND('Daily Sale entry '!Z560="Online collection 网上收款",'Daily Sale entry '!AA560&lt;&gt;""),'Daily Sale entry '!X560,"")</f>
        <v/>
      </c>
      <c r="C2060">
        <f>IF(B2060="","",'Daily Sale entry '!AA560)</f>
        <v/>
      </c>
      <c r="D2060">
        <f>IF(C2060="","",0)</f>
        <v/>
      </c>
      <c r="E2060">
        <f>IF(C2060="","",'Daily Sale entry '!AC560)</f>
        <v/>
      </c>
      <c r="F2060" s="37">
        <f>IF(C2060="","",B2060+IF(E2060&gt;0,0,0.5)+ROW()/10000000)</f>
        <v/>
      </c>
      <c r="G2060">
        <f>IF(C2060="","","Collection 收款 (Online 网上)"&amp;IF('Daily Sale entry '!Y560="",""," - "&amp;'Daily Sale entry '!Y560))</f>
        <v/>
      </c>
      <c r="H2060">
        <f>IF(C2060="","",COUNTIFS($C$2:$C$3001,C2060,$F$2:$F$3001,"&lt;"&amp;F2060)+1)</f>
        <v/>
      </c>
      <c r="I2060">
        <f>IF(C2060="","",C2060&amp;"|"&amp;H2060)</f>
        <v/>
      </c>
      <c r="J2060" s="6">
        <f>IF(C2060="","",IF(H2060=1,SUMIFS('Opening Balance'!$F$4:$F$303,'Opening Balance'!$G$4:$G$303,C2060),INDEX($L$2:$L$3001,MATCH(C2060&amp;"|"&amp;(H2060-1),$I$2:$I$3001,0))))</f>
        <v/>
      </c>
      <c r="K2060" s="6">
        <f>IF(C2060="","",IF(M2060&gt;0,M2060,IF(AND(E2060&gt;0,ROUND(J2060+D2060-E2060,2)&gt;0,ROUND(J2060+D2060-E2060,2)&lt;'Opening Balance'!$B$14),ROUND(J2060+D2060-E2060,2),0)))</f>
        <v/>
      </c>
      <c r="L2060" s="6">
        <f>IF(C2060="","",ROUND(J2060+D2060-E2060-K2060,2))</f>
        <v/>
      </c>
      <c r="M2060" s="6">
        <f>IF(C2060="","",0)</f>
        <v/>
      </c>
    </row>
    <row r="2061">
      <c r="A2061" t="inlineStr">
        <is>
          <t>Bank 银行</t>
        </is>
      </c>
      <c r="B2061" s="5">
        <f>IF(AND('Daily Sale entry '!Z561="Online collection 网上收款",'Daily Sale entry '!AA561&lt;&gt;""),'Daily Sale entry '!X561,"")</f>
        <v/>
      </c>
      <c r="C2061">
        <f>IF(B2061="","",'Daily Sale entry '!AA561)</f>
        <v/>
      </c>
      <c r="D2061">
        <f>IF(C2061="","",0)</f>
        <v/>
      </c>
      <c r="E2061">
        <f>IF(C2061="","",'Daily Sale entry '!AC561)</f>
        <v/>
      </c>
      <c r="F2061" s="37">
        <f>IF(C2061="","",B2061+IF(E2061&gt;0,0,0.5)+ROW()/10000000)</f>
        <v/>
      </c>
      <c r="G2061">
        <f>IF(C2061="","","Collection 收款 (Online 网上)"&amp;IF('Daily Sale entry '!Y561="",""," - "&amp;'Daily Sale entry '!Y561))</f>
        <v/>
      </c>
      <c r="H2061">
        <f>IF(C2061="","",COUNTIFS($C$2:$C$3001,C2061,$F$2:$F$3001,"&lt;"&amp;F2061)+1)</f>
        <v/>
      </c>
      <c r="I2061">
        <f>IF(C2061="","",C2061&amp;"|"&amp;H2061)</f>
        <v/>
      </c>
      <c r="J2061" s="6">
        <f>IF(C2061="","",IF(H2061=1,SUMIFS('Opening Balance'!$F$4:$F$303,'Opening Balance'!$G$4:$G$303,C2061),INDEX($L$2:$L$3001,MATCH(C2061&amp;"|"&amp;(H2061-1),$I$2:$I$3001,0))))</f>
        <v/>
      </c>
      <c r="K2061" s="6">
        <f>IF(C2061="","",IF(M2061&gt;0,M2061,IF(AND(E2061&gt;0,ROUND(J2061+D2061-E2061,2)&gt;0,ROUND(J2061+D2061-E2061,2)&lt;'Opening Balance'!$B$14),ROUND(J2061+D2061-E2061,2),0)))</f>
        <v/>
      </c>
      <c r="L2061" s="6">
        <f>IF(C2061="","",ROUND(J2061+D2061-E2061-K2061,2))</f>
        <v/>
      </c>
      <c r="M2061" s="6">
        <f>IF(C2061="","",0)</f>
        <v/>
      </c>
    </row>
    <row r="2062">
      <c r="A2062" t="inlineStr">
        <is>
          <t>Bank 银行</t>
        </is>
      </c>
      <c r="B2062" s="5">
        <f>IF(AND('Daily Sale entry '!Z562="Online collection 网上收款",'Daily Sale entry '!AA562&lt;&gt;""),'Daily Sale entry '!X562,"")</f>
        <v/>
      </c>
      <c r="C2062">
        <f>IF(B2062="","",'Daily Sale entry '!AA562)</f>
        <v/>
      </c>
      <c r="D2062">
        <f>IF(C2062="","",0)</f>
        <v/>
      </c>
      <c r="E2062">
        <f>IF(C2062="","",'Daily Sale entry '!AC562)</f>
        <v/>
      </c>
      <c r="F2062" s="37">
        <f>IF(C2062="","",B2062+IF(E2062&gt;0,0,0.5)+ROW()/10000000)</f>
        <v/>
      </c>
      <c r="G2062">
        <f>IF(C2062="","","Collection 收款 (Online 网上)"&amp;IF('Daily Sale entry '!Y562="",""," - "&amp;'Daily Sale entry '!Y562))</f>
        <v/>
      </c>
      <c r="H2062">
        <f>IF(C2062="","",COUNTIFS($C$2:$C$3001,C2062,$F$2:$F$3001,"&lt;"&amp;F2062)+1)</f>
        <v/>
      </c>
      <c r="I2062">
        <f>IF(C2062="","",C2062&amp;"|"&amp;H2062)</f>
        <v/>
      </c>
      <c r="J2062" s="6">
        <f>IF(C2062="","",IF(H2062=1,SUMIFS('Opening Balance'!$F$4:$F$303,'Opening Balance'!$G$4:$G$303,C2062),INDEX($L$2:$L$3001,MATCH(C2062&amp;"|"&amp;(H2062-1),$I$2:$I$3001,0))))</f>
        <v/>
      </c>
      <c r="K2062" s="6">
        <f>IF(C2062="","",IF(M2062&gt;0,M2062,IF(AND(E2062&gt;0,ROUND(J2062+D2062-E2062,2)&gt;0,ROUND(J2062+D2062-E2062,2)&lt;'Opening Balance'!$B$14),ROUND(J2062+D2062-E2062,2),0)))</f>
        <v/>
      </c>
      <c r="L2062" s="6">
        <f>IF(C2062="","",ROUND(J2062+D2062-E2062-K2062,2))</f>
        <v/>
      </c>
      <c r="M2062" s="6">
        <f>IF(C2062="","",0)</f>
        <v/>
      </c>
    </row>
    <row r="2063">
      <c r="A2063" t="inlineStr">
        <is>
          <t>Bank 银行</t>
        </is>
      </c>
      <c r="B2063" s="5">
        <f>IF(AND('Daily Sale entry '!Z563="Online collection 网上收款",'Daily Sale entry '!AA563&lt;&gt;""),'Daily Sale entry '!X563,"")</f>
        <v/>
      </c>
      <c r="C2063">
        <f>IF(B2063="","",'Daily Sale entry '!AA563)</f>
        <v/>
      </c>
      <c r="D2063">
        <f>IF(C2063="","",0)</f>
        <v/>
      </c>
      <c r="E2063">
        <f>IF(C2063="","",'Daily Sale entry '!AC563)</f>
        <v/>
      </c>
      <c r="F2063" s="37">
        <f>IF(C2063="","",B2063+IF(E2063&gt;0,0,0.5)+ROW()/10000000)</f>
        <v/>
      </c>
      <c r="G2063">
        <f>IF(C2063="","","Collection 收款 (Online 网上)"&amp;IF('Daily Sale entry '!Y563="",""," - "&amp;'Daily Sale entry '!Y563))</f>
        <v/>
      </c>
      <c r="H2063">
        <f>IF(C2063="","",COUNTIFS($C$2:$C$3001,C2063,$F$2:$F$3001,"&lt;"&amp;F2063)+1)</f>
        <v/>
      </c>
      <c r="I2063">
        <f>IF(C2063="","",C2063&amp;"|"&amp;H2063)</f>
        <v/>
      </c>
      <c r="J2063" s="6">
        <f>IF(C2063="","",IF(H2063=1,SUMIFS('Opening Balance'!$F$4:$F$303,'Opening Balance'!$G$4:$G$303,C2063),INDEX($L$2:$L$3001,MATCH(C2063&amp;"|"&amp;(H2063-1),$I$2:$I$3001,0))))</f>
        <v/>
      </c>
      <c r="K2063" s="6">
        <f>IF(C2063="","",IF(M2063&gt;0,M2063,IF(AND(E2063&gt;0,ROUND(J2063+D2063-E2063,2)&gt;0,ROUND(J2063+D2063-E2063,2)&lt;'Opening Balance'!$B$14),ROUND(J2063+D2063-E2063,2),0)))</f>
        <v/>
      </c>
      <c r="L2063" s="6">
        <f>IF(C2063="","",ROUND(J2063+D2063-E2063-K2063,2))</f>
        <v/>
      </c>
      <c r="M2063" s="6">
        <f>IF(C2063="","",0)</f>
        <v/>
      </c>
    </row>
    <row r="2064">
      <c r="A2064" t="inlineStr">
        <is>
          <t>Bank 银行</t>
        </is>
      </c>
      <c r="B2064" s="5">
        <f>IF(AND('Daily Sale entry '!Z564="Online collection 网上收款",'Daily Sale entry '!AA564&lt;&gt;""),'Daily Sale entry '!X564,"")</f>
        <v/>
      </c>
      <c r="C2064">
        <f>IF(B2064="","",'Daily Sale entry '!AA564)</f>
        <v/>
      </c>
      <c r="D2064">
        <f>IF(C2064="","",0)</f>
        <v/>
      </c>
      <c r="E2064">
        <f>IF(C2064="","",'Daily Sale entry '!AC564)</f>
        <v/>
      </c>
      <c r="F2064" s="37">
        <f>IF(C2064="","",B2064+IF(E2064&gt;0,0,0.5)+ROW()/10000000)</f>
        <v/>
      </c>
      <c r="G2064">
        <f>IF(C2064="","","Collection 收款 (Online 网上)"&amp;IF('Daily Sale entry '!Y564="",""," - "&amp;'Daily Sale entry '!Y564))</f>
        <v/>
      </c>
      <c r="H2064">
        <f>IF(C2064="","",COUNTIFS($C$2:$C$3001,C2064,$F$2:$F$3001,"&lt;"&amp;F2064)+1)</f>
        <v/>
      </c>
      <c r="I2064">
        <f>IF(C2064="","",C2064&amp;"|"&amp;H2064)</f>
        <v/>
      </c>
      <c r="J2064" s="6">
        <f>IF(C2064="","",IF(H2064=1,SUMIFS('Opening Balance'!$F$4:$F$303,'Opening Balance'!$G$4:$G$303,C2064),INDEX($L$2:$L$3001,MATCH(C2064&amp;"|"&amp;(H2064-1),$I$2:$I$3001,0))))</f>
        <v/>
      </c>
      <c r="K2064" s="6">
        <f>IF(C2064="","",IF(M2064&gt;0,M2064,IF(AND(E2064&gt;0,ROUND(J2064+D2064-E2064,2)&gt;0,ROUND(J2064+D2064-E2064,2)&lt;'Opening Balance'!$B$14),ROUND(J2064+D2064-E2064,2),0)))</f>
        <v/>
      </c>
      <c r="L2064" s="6">
        <f>IF(C2064="","",ROUND(J2064+D2064-E2064-K2064,2))</f>
        <v/>
      </c>
      <c r="M2064" s="6">
        <f>IF(C2064="","",0)</f>
        <v/>
      </c>
    </row>
    <row r="2065">
      <c r="A2065" t="inlineStr">
        <is>
          <t>Bank 银行</t>
        </is>
      </c>
      <c r="B2065" s="5">
        <f>IF(AND('Daily Sale entry '!Z565="Online collection 网上收款",'Daily Sale entry '!AA565&lt;&gt;""),'Daily Sale entry '!X565,"")</f>
        <v/>
      </c>
      <c r="C2065">
        <f>IF(B2065="","",'Daily Sale entry '!AA565)</f>
        <v/>
      </c>
      <c r="D2065">
        <f>IF(C2065="","",0)</f>
        <v/>
      </c>
      <c r="E2065">
        <f>IF(C2065="","",'Daily Sale entry '!AC565)</f>
        <v/>
      </c>
      <c r="F2065" s="37">
        <f>IF(C2065="","",B2065+IF(E2065&gt;0,0,0.5)+ROW()/10000000)</f>
        <v/>
      </c>
      <c r="G2065">
        <f>IF(C2065="","","Collection 收款 (Online 网上)"&amp;IF('Daily Sale entry '!Y565="",""," - "&amp;'Daily Sale entry '!Y565))</f>
        <v/>
      </c>
      <c r="H2065">
        <f>IF(C2065="","",COUNTIFS($C$2:$C$3001,C2065,$F$2:$F$3001,"&lt;"&amp;F2065)+1)</f>
        <v/>
      </c>
      <c r="I2065">
        <f>IF(C2065="","",C2065&amp;"|"&amp;H2065)</f>
        <v/>
      </c>
      <c r="J2065" s="6">
        <f>IF(C2065="","",IF(H2065=1,SUMIFS('Opening Balance'!$F$4:$F$303,'Opening Balance'!$G$4:$G$303,C2065),INDEX($L$2:$L$3001,MATCH(C2065&amp;"|"&amp;(H2065-1),$I$2:$I$3001,0))))</f>
        <v/>
      </c>
      <c r="K2065" s="6">
        <f>IF(C2065="","",IF(M2065&gt;0,M2065,IF(AND(E2065&gt;0,ROUND(J2065+D2065-E2065,2)&gt;0,ROUND(J2065+D2065-E2065,2)&lt;'Opening Balance'!$B$14),ROUND(J2065+D2065-E2065,2),0)))</f>
        <v/>
      </c>
      <c r="L2065" s="6">
        <f>IF(C2065="","",ROUND(J2065+D2065-E2065-K2065,2))</f>
        <v/>
      </c>
      <c r="M2065" s="6">
        <f>IF(C2065="","",0)</f>
        <v/>
      </c>
    </row>
    <row r="2066">
      <c r="A2066" t="inlineStr">
        <is>
          <t>Bank 银行</t>
        </is>
      </c>
      <c r="B2066" s="5">
        <f>IF(AND('Daily Sale entry '!Z566="Online collection 网上收款",'Daily Sale entry '!AA566&lt;&gt;""),'Daily Sale entry '!X566,"")</f>
        <v/>
      </c>
      <c r="C2066">
        <f>IF(B2066="","",'Daily Sale entry '!AA566)</f>
        <v/>
      </c>
      <c r="D2066">
        <f>IF(C2066="","",0)</f>
        <v/>
      </c>
      <c r="E2066">
        <f>IF(C2066="","",'Daily Sale entry '!AC566)</f>
        <v/>
      </c>
      <c r="F2066" s="37">
        <f>IF(C2066="","",B2066+IF(E2066&gt;0,0,0.5)+ROW()/10000000)</f>
        <v/>
      </c>
      <c r="G2066">
        <f>IF(C2066="","","Collection 收款 (Online 网上)"&amp;IF('Daily Sale entry '!Y566="",""," - "&amp;'Daily Sale entry '!Y566))</f>
        <v/>
      </c>
      <c r="H2066">
        <f>IF(C2066="","",COUNTIFS($C$2:$C$3001,C2066,$F$2:$F$3001,"&lt;"&amp;F2066)+1)</f>
        <v/>
      </c>
      <c r="I2066">
        <f>IF(C2066="","",C2066&amp;"|"&amp;H2066)</f>
        <v/>
      </c>
      <c r="J2066" s="6">
        <f>IF(C2066="","",IF(H2066=1,SUMIFS('Opening Balance'!$F$4:$F$303,'Opening Balance'!$G$4:$G$303,C2066),INDEX($L$2:$L$3001,MATCH(C2066&amp;"|"&amp;(H2066-1),$I$2:$I$3001,0))))</f>
        <v/>
      </c>
      <c r="K2066" s="6">
        <f>IF(C2066="","",IF(M2066&gt;0,M2066,IF(AND(E2066&gt;0,ROUND(J2066+D2066-E2066,2)&gt;0,ROUND(J2066+D2066-E2066,2)&lt;'Opening Balance'!$B$14),ROUND(J2066+D2066-E2066,2),0)))</f>
        <v/>
      </c>
      <c r="L2066" s="6">
        <f>IF(C2066="","",ROUND(J2066+D2066-E2066-K2066,2))</f>
        <v/>
      </c>
      <c r="M2066" s="6">
        <f>IF(C2066="","",0)</f>
        <v/>
      </c>
    </row>
    <row r="2067">
      <c r="A2067" t="inlineStr">
        <is>
          <t>Bank 银行</t>
        </is>
      </c>
      <c r="B2067" s="5">
        <f>IF(AND('Daily Sale entry '!Z567="Online collection 网上收款",'Daily Sale entry '!AA567&lt;&gt;""),'Daily Sale entry '!X567,"")</f>
        <v/>
      </c>
      <c r="C2067">
        <f>IF(B2067="","",'Daily Sale entry '!AA567)</f>
        <v/>
      </c>
      <c r="D2067">
        <f>IF(C2067="","",0)</f>
        <v/>
      </c>
      <c r="E2067">
        <f>IF(C2067="","",'Daily Sale entry '!AC567)</f>
        <v/>
      </c>
      <c r="F2067" s="37">
        <f>IF(C2067="","",B2067+IF(E2067&gt;0,0,0.5)+ROW()/10000000)</f>
        <v/>
      </c>
      <c r="G2067">
        <f>IF(C2067="","","Collection 收款 (Online 网上)"&amp;IF('Daily Sale entry '!Y567="",""," - "&amp;'Daily Sale entry '!Y567))</f>
        <v/>
      </c>
      <c r="H2067">
        <f>IF(C2067="","",COUNTIFS($C$2:$C$3001,C2067,$F$2:$F$3001,"&lt;"&amp;F2067)+1)</f>
        <v/>
      </c>
      <c r="I2067">
        <f>IF(C2067="","",C2067&amp;"|"&amp;H2067)</f>
        <v/>
      </c>
      <c r="J2067" s="6">
        <f>IF(C2067="","",IF(H2067=1,SUMIFS('Opening Balance'!$F$4:$F$303,'Opening Balance'!$G$4:$G$303,C2067),INDEX($L$2:$L$3001,MATCH(C2067&amp;"|"&amp;(H2067-1),$I$2:$I$3001,0))))</f>
        <v/>
      </c>
      <c r="K2067" s="6">
        <f>IF(C2067="","",IF(M2067&gt;0,M2067,IF(AND(E2067&gt;0,ROUND(J2067+D2067-E2067,2)&gt;0,ROUND(J2067+D2067-E2067,2)&lt;'Opening Balance'!$B$14),ROUND(J2067+D2067-E2067,2),0)))</f>
        <v/>
      </c>
      <c r="L2067" s="6">
        <f>IF(C2067="","",ROUND(J2067+D2067-E2067-K2067,2))</f>
        <v/>
      </c>
      <c r="M2067" s="6">
        <f>IF(C2067="","",0)</f>
        <v/>
      </c>
    </row>
    <row r="2068">
      <c r="A2068" t="inlineStr">
        <is>
          <t>Bank 银行</t>
        </is>
      </c>
      <c r="B2068" s="5">
        <f>IF(AND('Daily Sale entry '!Z568="Online collection 网上收款",'Daily Sale entry '!AA568&lt;&gt;""),'Daily Sale entry '!X568,"")</f>
        <v/>
      </c>
      <c r="C2068">
        <f>IF(B2068="","",'Daily Sale entry '!AA568)</f>
        <v/>
      </c>
      <c r="D2068">
        <f>IF(C2068="","",0)</f>
        <v/>
      </c>
      <c r="E2068">
        <f>IF(C2068="","",'Daily Sale entry '!AC568)</f>
        <v/>
      </c>
      <c r="F2068" s="37">
        <f>IF(C2068="","",B2068+IF(E2068&gt;0,0,0.5)+ROW()/10000000)</f>
        <v/>
      </c>
      <c r="G2068">
        <f>IF(C2068="","","Collection 收款 (Online 网上)"&amp;IF('Daily Sale entry '!Y568="",""," - "&amp;'Daily Sale entry '!Y568))</f>
        <v/>
      </c>
      <c r="H2068">
        <f>IF(C2068="","",COUNTIFS($C$2:$C$3001,C2068,$F$2:$F$3001,"&lt;"&amp;F2068)+1)</f>
        <v/>
      </c>
      <c r="I2068">
        <f>IF(C2068="","",C2068&amp;"|"&amp;H2068)</f>
        <v/>
      </c>
      <c r="J2068" s="6">
        <f>IF(C2068="","",IF(H2068=1,SUMIFS('Opening Balance'!$F$4:$F$303,'Opening Balance'!$G$4:$G$303,C2068),INDEX($L$2:$L$3001,MATCH(C2068&amp;"|"&amp;(H2068-1),$I$2:$I$3001,0))))</f>
        <v/>
      </c>
      <c r="K2068" s="6">
        <f>IF(C2068="","",IF(M2068&gt;0,M2068,IF(AND(E2068&gt;0,ROUND(J2068+D2068-E2068,2)&gt;0,ROUND(J2068+D2068-E2068,2)&lt;'Opening Balance'!$B$14),ROUND(J2068+D2068-E2068,2),0)))</f>
        <v/>
      </c>
      <c r="L2068" s="6">
        <f>IF(C2068="","",ROUND(J2068+D2068-E2068-K2068,2))</f>
        <v/>
      </c>
      <c r="M2068" s="6">
        <f>IF(C2068="","",0)</f>
        <v/>
      </c>
    </row>
    <row r="2069">
      <c r="A2069" t="inlineStr">
        <is>
          <t>Bank 银行</t>
        </is>
      </c>
      <c r="B2069" s="5">
        <f>IF(AND('Daily Sale entry '!Z569="Online collection 网上收款",'Daily Sale entry '!AA569&lt;&gt;""),'Daily Sale entry '!X569,"")</f>
        <v/>
      </c>
      <c r="C2069">
        <f>IF(B2069="","",'Daily Sale entry '!AA569)</f>
        <v/>
      </c>
      <c r="D2069">
        <f>IF(C2069="","",0)</f>
        <v/>
      </c>
      <c r="E2069">
        <f>IF(C2069="","",'Daily Sale entry '!AC569)</f>
        <v/>
      </c>
      <c r="F2069" s="37">
        <f>IF(C2069="","",B2069+IF(E2069&gt;0,0,0.5)+ROW()/10000000)</f>
        <v/>
      </c>
      <c r="G2069">
        <f>IF(C2069="","","Collection 收款 (Online 网上)"&amp;IF('Daily Sale entry '!Y569="",""," - "&amp;'Daily Sale entry '!Y569))</f>
        <v/>
      </c>
      <c r="H2069">
        <f>IF(C2069="","",COUNTIFS($C$2:$C$3001,C2069,$F$2:$F$3001,"&lt;"&amp;F2069)+1)</f>
        <v/>
      </c>
      <c r="I2069">
        <f>IF(C2069="","",C2069&amp;"|"&amp;H2069)</f>
        <v/>
      </c>
      <c r="J2069" s="6">
        <f>IF(C2069="","",IF(H2069=1,SUMIFS('Opening Balance'!$F$4:$F$303,'Opening Balance'!$G$4:$G$303,C2069),INDEX($L$2:$L$3001,MATCH(C2069&amp;"|"&amp;(H2069-1),$I$2:$I$3001,0))))</f>
        <v/>
      </c>
      <c r="K2069" s="6">
        <f>IF(C2069="","",IF(M2069&gt;0,M2069,IF(AND(E2069&gt;0,ROUND(J2069+D2069-E2069,2)&gt;0,ROUND(J2069+D2069-E2069,2)&lt;'Opening Balance'!$B$14),ROUND(J2069+D2069-E2069,2),0)))</f>
        <v/>
      </c>
      <c r="L2069" s="6">
        <f>IF(C2069="","",ROUND(J2069+D2069-E2069-K2069,2))</f>
        <v/>
      </c>
      <c r="M2069" s="6">
        <f>IF(C2069="","",0)</f>
        <v/>
      </c>
    </row>
    <row r="2070">
      <c r="A2070" t="inlineStr">
        <is>
          <t>Bank 银行</t>
        </is>
      </c>
      <c r="B2070" s="5">
        <f>IF(AND('Daily Sale entry '!Z570="Online collection 网上收款",'Daily Sale entry '!AA570&lt;&gt;""),'Daily Sale entry '!X570,"")</f>
        <v/>
      </c>
      <c r="C2070">
        <f>IF(B2070="","",'Daily Sale entry '!AA570)</f>
        <v/>
      </c>
      <c r="D2070">
        <f>IF(C2070="","",0)</f>
        <v/>
      </c>
      <c r="E2070">
        <f>IF(C2070="","",'Daily Sale entry '!AC570)</f>
        <v/>
      </c>
      <c r="F2070" s="37">
        <f>IF(C2070="","",B2070+IF(E2070&gt;0,0,0.5)+ROW()/10000000)</f>
        <v/>
      </c>
      <c r="G2070">
        <f>IF(C2070="","","Collection 收款 (Online 网上)"&amp;IF('Daily Sale entry '!Y570="",""," - "&amp;'Daily Sale entry '!Y570))</f>
        <v/>
      </c>
      <c r="H2070">
        <f>IF(C2070="","",COUNTIFS($C$2:$C$3001,C2070,$F$2:$F$3001,"&lt;"&amp;F2070)+1)</f>
        <v/>
      </c>
      <c r="I2070">
        <f>IF(C2070="","",C2070&amp;"|"&amp;H2070)</f>
        <v/>
      </c>
      <c r="J2070" s="6">
        <f>IF(C2070="","",IF(H2070=1,SUMIFS('Opening Balance'!$F$4:$F$303,'Opening Balance'!$G$4:$G$303,C2070),INDEX($L$2:$L$3001,MATCH(C2070&amp;"|"&amp;(H2070-1),$I$2:$I$3001,0))))</f>
        <v/>
      </c>
      <c r="K2070" s="6">
        <f>IF(C2070="","",IF(M2070&gt;0,M2070,IF(AND(E2070&gt;0,ROUND(J2070+D2070-E2070,2)&gt;0,ROUND(J2070+D2070-E2070,2)&lt;'Opening Balance'!$B$14),ROUND(J2070+D2070-E2070,2),0)))</f>
        <v/>
      </c>
      <c r="L2070" s="6">
        <f>IF(C2070="","",ROUND(J2070+D2070-E2070-K2070,2))</f>
        <v/>
      </c>
      <c r="M2070" s="6">
        <f>IF(C2070="","",0)</f>
        <v/>
      </c>
    </row>
    <row r="2071">
      <c r="A2071" t="inlineStr">
        <is>
          <t>Bank 银行</t>
        </is>
      </c>
      <c r="B2071" s="5">
        <f>IF(AND('Daily Sale entry '!Z571="Online collection 网上收款",'Daily Sale entry '!AA571&lt;&gt;""),'Daily Sale entry '!X571,"")</f>
        <v/>
      </c>
      <c r="C2071">
        <f>IF(B2071="","",'Daily Sale entry '!AA571)</f>
        <v/>
      </c>
      <c r="D2071">
        <f>IF(C2071="","",0)</f>
        <v/>
      </c>
      <c r="E2071">
        <f>IF(C2071="","",'Daily Sale entry '!AC571)</f>
        <v/>
      </c>
      <c r="F2071" s="37">
        <f>IF(C2071="","",B2071+IF(E2071&gt;0,0,0.5)+ROW()/10000000)</f>
        <v/>
      </c>
      <c r="G2071">
        <f>IF(C2071="","","Collection 收款 (Online 网上)"&amp;IF('Daily Sale entry '!Y571="",""," - "&amp;'Daily Sale entry '!Y571))</f>
        <v/>
      </c>
      <c r="H2071">
        <f>IF(C2071="","",COUNTIFS($C$2:$C$3001,C2071,$F$2:$F$3001,"&lt;"&amp;F2071)+1)</f>
        <v/>
      </c>
      <c r="I2071">
        <f>IF(C2071="","",C2071&amp;"|"&amp;H2071)</f>
        <v/>
      </c>
      <c r="J2071" s="6">
        <f>IF(C2071="","",IF(H2071=1,SUMIFS('Opening Balance'!$F$4:$F$303,'Opening Balance'!$G$4:$G$303,C2071),INDEX($L$2:$L$3001,MATCH(C2071&amp;"|"&amp;(H2071-1),$I$2:$I$3001,0))))</f>
        <v/>
      </c>
      <c r="K2071" s="6">
        <f>IF(C2071="","",IF(M2071&gt;0,M2071,IF(AND(E2071&gt;0,ROUND(J2071+D2071-E2071,2)&gt;0,ROUND(J2071+D2071-E2071,2)&lt;'Opening Balance'!$B$14),ROUND(J2071+D2071-E2071,2),0)))</f>
        <v/>
      </c>
      <c r="L2071" s="6">
        <f>IF(C2071="","",ROUND(J2071+D2071-E2071-K2071,2))</f>
        <v/>
      </c>
      <c r="M2071" s="6">
        <f>IF(C2071="","",0)</f>
        <v/>
      </c>
    </row>
    <row r="2072">
      <c r="A2072" t="inlineStr">
        <is>
          <t>Bank 银行</t>
        </is>
      </c>
      <c r="B2072" s="5">
        <f>IF(AND('Daily Sale entry '!Z572="Online collection 网上收款",'Daily Sale entry '!AA572&lt;&gt;""),'Daily Sale entry '!X572,"")</f>
        <v/>
      </c>
      <c r="C2072">
        <f>IF(B2072="","",'Daily Sale entry '!AA572)</f>
        <v/>
      </c>
      <c r="D2072">
        <f>IF(C2072="","",0)</f>
        <v/>
      </c>
      <c r="E2072">
        <f>IF(C2072="","",'Daily Sale entry '!AC572)</f>
        <v/>
      </c>
      <c r="F2072" s="37">
        <f>IF(C2072="","",B2072+IF(E2072&gt;0,0,0.5)+ROW()/10000000)</f>
        <v/>
      </c>
      <c r="G2072">
        <f>IF(C2072="","","Collection 收款 (Online 网上)"&amp;IF('Daily Sale entry '!Y572="",""," - "&amp;'Daily Sale entry '!Y572))</f>
        <v/>
      </c>
      <c r="H2072">
        <f>IF(C2072="","",COUNTIFS($C$2:$C$3001,C2072,$F$2:$F$3001,"&lt;"&amp;F2072)+1)</f>
        <v/>
      </c>
      <c r="I2072">
        <f>IF(C2072="","",C2072&amp;"|"&amp;H2072)</f>
        <v/>
      </c>
      <c r="J2072" s="6">
        <f>IF(C2072="","",IF(H2072=1,SUMIFS('Opening Balance'!$F$4:$F$303,'Opening Balance'!$G$4:$G$303,C2072),INDEX($L$2:$L$3001,MATCH(C2072&amp;"|"&amp;(H2072-1),$I$2:$I$3001,0))))</f>
        <v/>
      </c>
      <c r="K2072" s="6">
        <f>IF(C2072="","",IF(M2072&gt;0,M2072,IF(AND(E2072&gt;0,ROUND(J2072+D2072-E2072,2)&gt;0,ROUND(J2072+D2072-E2072,2)&lt;'Opening Balance'!$B$14),ROUND(J2072+D2072-E2072,2),0)))</f>
        <v/>
      </c>
      <c r="L2072" s="6">
        <f>IF(C2072="","",ROUND(J2072+D2072-E2072-K2072,2))</f>
        <v/>
      </c>
      <c r="M2072" s="6">
        <f>IF(C2072="","",0)</f>
        <v/>
      </c>
    </row>
    <row r="2073">
      <c r="A2073" t="inlineStr">
        <is>
          <t>Bank 银行</t>
        </is>
      </c>
      <c r="B2073" s="5">
        <f>IF(AND('Daily Sale entry '!Z573="Online collection 网上收款",'Daily Sale entry '!AA573&lt;&gt;""),'Daily Sale entry '!X573,"")</f>
        <v/>
      </c>
      <c r="C2073">
        <f>IF(B2073="","",'Daily Sale entry '!AA573)</f>
        <v/>
      </c>
      <c r="D2073">
        <f>IF(C2073="","",0)</f>
        <v/>
      </c>
      <c r="E2073">
        <f>IF(C2073="","",'Daily Sale entry '!AC573)</f>
        <v/>
      </c>
      <c r="F2073" s="37">
        <f>IF(C2073="","",B2073+IF(E2073&gt;0,0,0.5)+ROW()/10000000)</f>
        <v/>
      </c>
      <c r="G2073">
        <f>IF(C2073="","","Collection 收款 (Online 网上)"&amp;IF('Daily Sale entry '!Y573="",""," - "&amp;'Daily Sale entry '!Y573))</f>
        <v/>
      </c>
      <c r="H2073">
        <f>IF(C2073="","",COUNTIFS($C$2:$C$3001,C2073,$F$2:$F$3001,"&lt;"&amp;F2073)+1)</f>
        <v/>
      </c>
      <c r="I2073">
        <f>IF(C2073="","",C2073&amp;"|"&amp;H2073)</f>
        <v/>
      </c>
      <c r="J2073" s="6">
        <f>IF(C2073="","",IF(H2073=1,SUMIFS('Opening Balance'!$F$4:$F$303,'Opening Balance'!$G$4:$G$303,C2073),INDEX($L$2:$L$3001,MATCH(C2073&amp;"|"&amp;(H2073-1),$I$2:$I$3001,0))))</f>
        <v/>
      </c>
      <c r="K2073" s="6">
        <f>IF(C2073="","",IF(M2073&gt;0,M2073,IF(AND(E2073&gt;0,ROUND(J2073+D2073-E2073,2)&gt;0,ROUND(J2073+D2073-E2073,2)&lt;'Opening Balance'!$B$14),ROUND(J2073+D2073-E2073,2),0)))</f>
        <v/>
      </c>
      <c r="L2073" s="6">
        <f>IF(C2073="","",ROUND(J2073+D2073-E2073-K2073,2))</f>
        <v/>
      </c>
      <c r="M2073" s="6">
        <f>IF(C2073="","",0)</f>
        <v/>
      </c>
    </row>
    <row r="2074">
      <c r="A2074" t="inlineStr">
        <is>
          <t>Bank 银行</t>
        </is>
      </c>
      <c r="B2074" s="5">
        <f>IF(AND('Daily Sale entry '!Z574="Online collection 网上收款",'Daily Sale entry '!AA574&lt;&gt;""),'Daily Sale entry '!X574,"")</f>
        <v/>
      </c>
      <c r="C2074">
        <f>IF(B2074="","",'Daily Sale entry '!AA574)</f>
        <v/>
      </c>
      <c r="D2074">
        <f>IF(C2074="","",0)</f>
        <v/>
      </c>
      <c r="E2074">
        <f>IF(C2074="","",'Daily Sale entry '!AC574)</f>
        <v/>
      </c>
      <c r="F2074" s="37">
        <f>IF(C2074="","",B2074+IF(E2074&gt;0,0,0.5)+ROW()/10000000)</f>
        <v/>
      </c>
      <c r="G2074">
        <f>IF(C2074="","","Collection 收款 (Online 网上)"&amp;IF('Daily Sale entry '!Y574="",""," - "&amp;'Daily Sale entry '!Y574))</f>
        <v/>
      </c>
      <c r="H2074">
        <f>IF(C2074="","",COUNTIFS($C$2:$C$3001,C2074,$F$2:$F$3001,"&lt;"&amp;F2074)+1)</f>
        <v/>
      </c>
      <c r="I2074">
        <f>IF(C2074="","",C2074&amp;"|"&amp;H2074)</f>
        <v/>
      </c>
      <c r="J2074" s="6">
        <f>IF(C2074="","",IF(H2074=1,SUMIFS('Opening Balance'!$F$4:$F$303,'Opening Balance'!$G$4:$G$303,C2074),INDEX($L$2:$L$3001,MATCH(C2074&amp;"|"&amp;(H2074-1),$I$2:$I$3001,0))))</f>
        <v/>
      </c>
      <c r="K2074" s="6">
        <f>IF(C2074="","",IF(M2074&gt;0,M2074,IF(AND(E2074&gt;0,ROUND(J2074+D2074-E2074,2)&gt;0,ROUND(J2074+D2074-E2074,2)&lt;'Opening Balance'!$B$14),ROUND(J2074+D2074-E2074,2),0)))</f>
        <v/>
      </c>
      <c r="L2074" s="6">
        <f>IF(C2074="","",ROUND(J2074+D2074-E2074-K2074,2))</f>
        <v/>
      </c>
      <c r="M2074" s="6">
        <f>IF(C2074="","",0)</f>
        <v/>
      </c>
    </row>
    <row r="2075">
      <c r="A2075" t="inlineStr">
        <is>
          <t>Bank 银行</t>
        </is>
      </c>
      <c r="B2075" s="5">
        <f>IF(AND('Daily Sale entry '!Z575="Online collection 网上收款",'Daily Sale entry '!AA575&lt;&gt;""),'Daily Sale entry '!X575,"")</f>
        <v/>
      </c>
      <c r="C2075">
        <f>IF(B2075="","",'Daily Sale entry '!AA575)</f>
        <v/>
      </c>
      <c r="D2075">
        <f>IF(C2075="","",0)</f>
        <v/>
      </c>
      <c r="E2075">
        <f>IF(C2075="","",'Daily Sale entry '!AC575)</f>
        <v/>
      </c>
      <c r="F2075" s="37">
        <f>IF(C2075="","",B2075+IF(E2075&gt;0,0,0.5)+ROW()/10000000)</f>
        <v/>
      </c>
      <c r="G2075">
        <f>IF(C2075="","","Collection 收款 (Online 网上)"&amp;IF('Daily Sale entry '!Y575="",""," - "&amp;'Daily Sale entry '!Y575))</f>
        <v/>
      </c>
      <c r="H2075">
        <f>IF(C2075="","",COUNTIFS($C$2:$C$3001,C2075,$F$2:$F$3001,"&lt;"&amp;F2075)+1)</f>
        <v/>
      </c>
      <c r="I2075">
        <f>IF(C2075="","",C2075&amp;"|"&amp;H2075)</f>
        <v/>
      </c>
      <c r="J2075" s="6">
        <f>IF(C2075="","",IF(H2075=1,SUMIFS('Opening Balance'!$F$4:$F$303,'Opening Balance'!$G$4:$G$303,C2075),INDEX($L$2:$L$3001,MATCH(C2075&amp;"|"&amp;(H2075-1),$I$2:$I$3001,0))))</f>
        <v/>
      </c>
      <c r="K2075" s="6">
        <f>IF(C2075="","",IF(M2075&gt;0,M2075,IF(AND(E2075&gt;0,ROUND(J2075+D2075-E2075,2)&gt;0,ROUND(J2075+D2075-E2075,2)&lt;'Opening Balance'!$B$14),ROUND(J2075+D2075-E2075,2),0)))</f>
        <v/>
      </c>
      <c r="L2075" s="6">
        <f>IF(C2075="","",ROUND(J2075+D2075-E2075-K2075,2))</f>
        <v/>
      </c>
      <c r="M2075" s="6">
        <f>IF(C2075="","",0)</f>
        <v/>
      </c>
    </row>
    <row r="2076">
      <c r="A2076" t="inlineStr">
        <is>
          <t>Bank 银行</t>
        </is>
      </c>
      <c r="B2076" s="5">
        <f>IF(AND('Daily Sale entry '!Z576="Online collection 网上收款",'Daily Sale entry '!AA576&lt;&gt;""),'Daily Sale entry '!X576,"")</f>
        <v/>
      </c>
      <c r="C2076">
        <f>IF(B2076="","",'Daily Sale entry '!AA576)</f>
        <v/>
      </c>
      <c r="D2076">
        <f>IF(C2076="","",0)</f>
        <v/>
      </c>
      <c r="E2076">
        <f>IF(C2076="","",'Daily Sale entry '!AC576)</f>
        <v/>
      </c>
      <c r="F2076" s="37">
        <f>IF(C2076="","",B2076+IF(E2076&gt;0,0,0.5)+ROW()/10000000)</f>
        <v/>
      </c>
      <c r="G2076">
        <f>IF(C2076="","","Collection 收款 (Online 网上)"&amp;IF('Daily Sale entry '!Y576="",""," - "&amp;'Daily Sale entry '!Y576))</f>
        <v/>
      </c>
      <c r="H2076">
        <f>IF(C2076="","",COUNTIFS($C$2:$C$3001,C2076,$F$2:$F$3001,"&lt;"&amp;F2076)+1)</f>
        <v/>
      </c>
      <c r="I2076">
        <f>IF(C2076="","",C2076&amp;"|"&amp;H2076)</f>
        <v/>
      </c>
      <c r="J2076" s="6">
        <f>IF(C2076="","",IF(H2076=1,SUMIFS('Opening Balance'!$F$4:$F$303,'Opening Balance'!$G$4:$G$303,C2076),INDEX($L$2:$L$3001,MATCH(C2076&amp;"|"&amp;(H2076-1),$I$2:$I$3001,0))))</f>
        <v/>
      </c>
      <c r="K2076" s="6">
        <f>IF(C2076="","",IF(M2076&gt;0,M2076,IF(AND(E2076&gt;0,ROUND(J2076+D2076-E2076,2)&gt;0,ROUND(J2076+D2076-E2076,2)&lt;'Opening Balance'!$B$14),ROUND(J2076+D2076-E2076,2),0)))</f>
        <v/>
      </c>
      <c r="L2076" s="6">
        <f>IF(C2076="","",ROUND(J2076+D2076-E2076-K2076,2))</f>
        <v/>
      </c>
      <c r="M2076" s="6">
        <f>IF(C2076="","",0)</f>
        <v/>
      </c>
    </row>
    <row r="2077">
      <c r="A2077" t="inlineStr">
        <is>
          <t>Bank 银行</t>
        </is>
      </c>
      <c r="B2077" s="5">
        <f>IF(AND('Daily Sale entry '!Z577="Online collection 网上收款",'Daily Sale entry '!AA577&lt;&gt;""),'Daily Sale entry '!X577,"")</f>
        <v/>
      </c>
      <c r="C2077">
        <f>IF(B2077="","",'Daily Sale entry '!AA577)</f>
        <v/>
      </c>
      <c r="D2077">
        <f>IF(C2077="","",0)</f>
        <v/>
      </c>
      <c r="E2077">
        <f>IF(C2077="","",'Daily Sale entry '!AC577)</f>
        <v/>
      </c>
      <c r="F2077" s="37">
        <f>IF(C2077="","",B2077+IF(E2077&gt;0,0,0.5)+ROW()/10000000)</f>
        <v/>
      </c>
      <c r="G2077">
        <f>IF(C2077="","","Collection 收款 (Online 网上)"&amp;IF('Daily Sale entry '!Y577="",""," - "&amp;'Daily Sale entry '!Y577))</f>
        <v/>
      </c>
      <c r="H2077">
        <f>IF(C2077="","",COUNTIFS($C$2:$C$3001,C2077,$F$2:$F$3001,"&lt;"&amp;F2077)+1)</f>
        <v/>
      </c>
      <c r="I2077">
        <f>IF(C2077="","",C2077&amp;"|"&amp;H2077)</f>
        <v/>
      </c>
      <c r="J2077" s="6">
        <f>IF(C2077="","",IF(H2077=1,SUMIFS('Opening Balance'!$F$4:$F$303,'Opening Balance'!$G$4:$G$303,C2077),INDEX($L$2:$L$3001,MATCH(C2077&amp;"|"&amp;(H2077-1),$I$2:$I$3001,0))))</f>
        <v/>
      </c>
      <c r="K2077" s="6">
        <f>IF(C2077="","",IF(M2077&gt;0,M2077,IF(AND(E2077&gt;0,ROUND(J2077+D2077-E2077,2)&gt;0,ROUND(J2077+D2077-E2077,2)&lt;'Opening Balance'!$B$14),ROUND(J2077+D2077-E2077,2),0)))</f>
        <v/>
      </c>
      <c r="L2077" s="6">
        <f>IF(C2077="","",ROUND(J2077+D2077-E2077-K2077,2))</f>
        <v/>
      </c>
      <c r="M2077" s="6">
        <f>IF(C2077="","",0)</f>
        <v/>
      </c>
    </row>
    <row r="2078">
      <c r="A2078" t="inlineStr">
        <is>
          <t>Bank 银行</t>
        </is>
      </c>
      <c r="B2078" s="5">
        <f>IF(AND('Daily Sale entry '!Z578="Online collection 网上收款",'Daily Sale entry '!AA578&lt;&gt;""),'Daily Sale entry '!X578,"")</f>
        <v/>
      </c>
      <c r="C2078">
        <f>IF(B2078="","",'Daily Sale entry '!AA578)</f>
        <v/>
      </c>
      <c r="D2078">
        <f>IF(C2078="","",0)</f>
        <v/>
      </c>
      <c r="E2078">
        <f>IF(C2078="","",'Daily Sale entry '!AC578)</f>
        <v/>
      </c>
      <c r="F2078" s="37">
        <f>IF(C2078="","",B2078+IF(E2078&gt;0,0,0.5)+ROW()/10000000)</f>
        <v/>
      </c>
      <c r="G2078">
        <f>IF(C2078="","","Collection 收款 (Online 网上)"&amp;IF('Daily Sale entry '!Y578="",""," - "&amp;'Daily Sale entry '!Y578))</f>
        <v/>
      </c>
      <c r="H2078">
        <f>IF(C2078="","",COUNTIFS($C$2:$C$3001,C2078,$F$2:$F$3001,"&lt;"&amp;F2078)+1)</f>
        <v/>
      </c>
      <c r="I2078">
        <f>IF(C2078="","",C2078&amp;"|"&amp;H2078)</f>
        <v/>
      </c>
      <c r="J2078" s="6">
        <f>IF(C2078="","",IF(H2078=1,SUMIFS('Opening Balance'!$F$4:$F$303,'Opening Balance'!$G$4:$G$303,C2078),INDEX($L$2:$L$3001,MATCH(C2078&amp;"|"&amp;(H2078-1),$I$2:$I$3001,0))))</f>
        <v/>
      </c>
      <c r="K2078" s="6">
        <f>IF(C2078="","",IF(M2078&gt;0,M2078,IF(AND(E2078&gt;0,ROUND(J2078+D2078-E2078,2)&gt;0,ROUND(J2078+D2078-E2078,2)&lt;'Opening Balance'!$B$14),ROUND(J2078+D2078-E2078,2),0)))</f>
        <v/>
      </c>
      <c r="L2078" s="6">
        <f>IF(C2078="","",ROUND(J2078+D2078-E2078-K2078,2))</f>
        <v/>
      </c>
      <c r="M2078" s="6">
        <f>IF(C2078="","",0)</f>
        <v/>
      </c>
    </row>
    <row r="2079">
      <c r="A2079" t="inlineStr">
        <is>
          <t>Bank 银行</t>
        </is>
      </c>
      <c r="B2079" s="5">
        <f>IF(AND('Daily Sale entry '!Z579="Online collection 网上收款",'Daily Sale entry '!AA579&lt;&gt;""),'Daily Sale entry '!X579,"")</f>
        <v/>
      </c>
      <c r="C2079">
        <f>IF(B2079="","",'Daily Sale entry '!AA579)</f>
        <v/>
      </c>
      <c r="D2079">
        <f>IF(C2079="","",0)</f>
        <v/>
      </c>
      <c r="E2079">
        <f>IF(C2079="","",'Daily Sale entry '!AC579)</f>
        <v/>
      </c>
      <c r="F2079" s="37">
        <f>IF(C2079="","",B2079+IF(E2079&gt;0,0,0.5)+ROW()/10000000)</f>
        <v/>
      </c>
      <c r="G2079">
        <f>IF(C2079="","","Collection 收款 (Online 网上)"&amp;IF('Daily Sale entry '!Y579="",""," - "&amp;'Daily Sale entry '!Y579))</f>
        <v/>
      </c>
      <c r="H2079">
        <f>IF(C2079="","",COUNTIFS($C$2:$C$3001,C2079,$F$2:$F$3001,"&lt;"&amp;F2079)+1)</f>
        <v/>
      </c>
      <c r="I2079">
        <f>IF(C2079="","",C2079&amp;"|"&amp;H2079)</f>
        <v/>
      </c>
      <c r="J2079" s="6">
        <f>IF(C2079="","",IF(H2079=1,SUMIFS('Opening Balance'!$F$4:$F$303,'Opening Balance'!$G$4:$G$303,C2079),INDEX($L$2:$L$3001,MATCH(C2079&amp;"|"&amp;(H2079-1),$I$2:$I$3001,0))))</f>
        <v/>
      </c>
      <c r="K2079" s="6">
        <f>IF(C2079="","",IF(M2079&gt;0,M2079,IF(AND(E2079&gt;0,ROUND(J2079+D2079-E2079,2)&gt;0,ROUND(J2079+D2079-E2079,2)&lt;'Opening Balance'!$B$14),ROUND(J2079+D2079-E2079,2),0)))</f>
        <v/>
      </c>
      <c r="L2079" s="6">
        <f>IF(C2079="","",ROUND(J2079+D2079-E2079-K2079,2))</f>
        <v/>
      </c>
      <c r="M2079" s="6">
        <f>IF(C2079="","",0)</f>
        <v/>
      </c>
    </row>
    <row r="2080">
      <c r="A2080" t="inlineStr">
        <is>
          <t>Bank 银行</t>
        </is>
      </c>
      <c r="B2080" s="5">
        <f>IF(AND('Daily Sale entry '!Z580="Online collection 网上收款",'Daily Sale entry '!AA580&lt;&gt;""),'Daily Sale entry '!X580,"")</f>
        <v/>
      </c>
      <c r="C2080">
        <f>IF(B2080="","",'Daily Sale entry '!AA580)</f>
        <v/>
      </c>
      <c r="D2080">
        <f>IF(C2080="","",0)</f>
        <v/>
      </c>
      <c r="E2080">
        <f>IF(C2080="","",'Daily Sale entry '!AC580)</f>
        <v/>
      </c>
      <c r="F2080" s="37">
        <f>IF(C2080="","",B2080+IF(E2080&gt;0,0,0.5)+ROW()/10000000)</f>
        <v/>
      </c>
      <c r="G2080">
        <f>IF(C2080="","","Collection 收款 (Online 网上)"&amp;IF('Daily Sale entry '!Y580="",""," - "&amp;'Daily Sale entry '!Y580))</f>
        <v/>
      </c>
      <c r="H2080">
        <f>IF(C2080="","",COUNTIFS($C$2:$C$3001,C2080,$F$2:$F$3001,"&lt;"&amp;F2080)+1)</f>
        <v/>
      </c>
      <c r="I2080">
        <f>IF(C2080="","",C2080&amp;"|"&amp;H2080)</f>
        <v/>
      </c>
      <c r="J2080" s="6">
        <f>IF(C2080="","",IF(H2080=1,SUMIFS('Opening Balance'!$F$4:$F$303,'Opening Balance'!$G$4:$G$303,C2080),INDEX($L$2:$L$3001,MATCH(C2080&amp;"|"&amp;(H2080-1),$I$2:$I$3001,0))))</f>
        <v/>
      </c>
      <c r="K2080" s="6">
        <f>IF(C2080="","",IF(M2080&gt;0,M2080,IF(AND(E2080&gt;0,ROUND(J2080+D2080-E2080,2)&gt;0,ROUND(J2080+D2080-E2080,2)&lt;'Opening Balance'!$B$14),ROUND(J2080+D2080-E2080,2),0)))</f>
        <v/>
      </c>
      <c r="L2080" s="6">
        <f>IF(C2080="","",ROUND(J2080+D2080-E2080-K2080,2))</f>
        <v/>
      </c>
      <c r="M2080" s="6">
        <f>IF(C2080="","",0)</f>
        <v/>
      </c>
    </row>
    <row r="2081">
      <c r="A2081" t="inlineStr">
        <is>
          <t>Bank 银行</t>
        </is>
      </c>
      <c r="B2081" s="5">
        <f>IF(AND('Daily Sale entry '!Z581="Online collection 网上收款",'Daily Sale entry '!AA581&lt;&gt;""),'Daily Sale entry '!X581,"")</f>
        <v/>
      </c>
      <c r="C2081">
        <f>IF(B2081="","",'Daily Sale entry '!AA581)</f>
        <v/>
      </c>
      <c r="D2081">
        <f>IF(C2081="","",0)</f>
        <v/>
      </c>
      <c r="E2081">
        <f>IF(C2081="","",'Daily Sale entry '!AC581)</f>
        <v/>
      </c>
      <c r="F2081" s="37">
        <f>IF(C2081="","",B2081+IF(E2081&gt;0,0,0.5)+ROW()/10000000)</f>
        <v/>
      </c>
      <c r="G2081">
        <f>IF(C2081="","","Collection 收款 (Online 网上)"&amp;IF('Daily Sale entry '!Y581="",""," - "&amp;'Daily Sale entry '!Y581))</f>
        <v/>
      </c>
      <c r="H2081">
        <f>IF(C2081="","",COUNTIFS($C$2:$C$3001,C2081,$F$2:$F$3001,"&lt;"&amp;F2081)+1)</f>
        <v/>
      </c>
      <c r="I2081">
        <f>IF(C2081="","",C2081&amp;"|"&amp;H2081)</f>
        <v/>
      </c>
      <c r="J2081" s="6">
        <f>IF(C2081="","",IF(H2081=1,SUMIFS('Opening Balance'!$F$4:$F$303,'Opening Balance'!$G$4:$G$303,C2081),INDEX($L$2:$L$3001,MATCH(C2081&amp;"|"&amp;(H2081-1),$I$2:$I$3001,0))))</f>
        <v/>
      </c>
      <c r="K2081" s="6">
        <f>IF(C2081="","",IF(M2081&gt;0,M2081,IF(AND(E2081&gt;0,ROUND(J2081+D2081-E2081,2)&gt;0,ROUND(J2081+D2081-E2081,2)&lt;'Opening Balance'!$B$14),ROUND(J2081+D2081-E2081,2),0)))</f>
        <v/>
      </c>
      <c r="L2081" s="6">
        <f>IF(C2081="","",ROUND(J2081+D2081-E2081-K2081,2))</f>
        <v/>
      </c>
      <c r="M2081" s="6">
        <f>IF(C2081="","",0)</f>
        <v/>
      </c>
    </row>
    <row r="2082">
      <c r="A2082" t="inlineStr">
        <is>
          <t>Bank 银行</t>
        </is>
      </c>
      <c r="B2082" s="5">
        <f>IF(AND('Daily Sale entry '!Z582="Online collection 网上收款",'Daily Sale entry '!AA582&lt;&gt;""),'Daily Sale entry '!X582,"")</f>
        <v/>
      </c>
      <c r="C2082">
        <f>IF(B2082="","",'Daily Sale entry '!AA582)</f>
        <v/>
      </c>
      <c r="D2082">
        <f>IF(C2082="","",0)</f>
        <v/>
      </c>
      <c r="E2082">
        <f>IF(C2082="","",'Daily Sale entry '!AC582)</f>
        <v/>
      </c>
      <c r="F2082" s="37">
        <f>IF(C2082="","",B2082+IF(E2082&gt;0,0,0.5)+ROW()/10000000)</f>
        <v/>
      </c>
      <c r="G2082">
        <f>IF(C2082="","","Collection 收款 (Online 网上)"&amp;IF('Daily Sale entry '!Y582="",""," - "&amp;'Daily Sale entry '!Y582))</f>
        <v/>
      </c>
      <c r="H2082">
        <f>IF(C2082="","",COUNTIFS($C$2:$C$3001,C2082,$F$2:$F$3001,"&lt;"&amp;F2082)+1)</f>
        <v/>
      </c>
      <c r="I2082">
        <f>IF(C2082="","",C2082&amp;"|"&amp;H2082)</f>
        <v/>
      </c>
      <c r="J2082" s="6">
        <f>IF(C2082="","",IF(H2082=1,SUMIFS('Opening Balance'!$F$4:$F$303,'Opening Balance'!$G$4:$G$303,C2082),INDEX($L$2:$L$3001,MATCH(C2082&amp;"|"&amp;(H2082-1),$I$2:$I$3001,0))))</f>
        <v/>
      </c>
      <c r="K2082" s="6">
        <f>IF(C2082="","",IF(M2082&gt;0,M2082,IF(AND(E2082&gt;0,ROUND(J2082+D2082-E2082,2)&gt;0,ROUND(J2082+D2082-E2082,2)&lt;'Opening Balance'!$B$14),ROUND(J2082+D2082-E2082,2),0)))</f>
        <v/>
      </c>
      <c r="L2082" s="6">
        <f>IF(C2082="","",ROUND(J2082+D2082-E2082-K2082,2))</f>
        <v/>
      </c>
      <c r="M2082" s="6">
        <f>IF(C2082="","",0)</f>
        <v/>
      </c>
    </row>
    <row r="2083">
      <c r="A2083" t="inlineStr">
        <is>
          <t>Bank 银行</t>
        </is>
      </c>
      <c r="B2083" s="5">
        <f>IF(AND('Daily Sale entry '!Z583="Online collection 网上收款",'Daily Sale entry '!AA583&lt;&gt;""),'Daily Sale entry '!X583,"")</f>
        <v/>
      </c>
      <c r="C2083">
        <f>IF(B2083="","",'Daily Sale entry '!AA583)</f>
        <v/>
      </c>
      <c r="D2083">
        <f>IF(C2083="","",0)</f>
        <v/>
      </c>
      <c r="E2083">
        <f>IF(C2083="","",'Daily Sale entry '!AC583)</f>
        <v/>
      </c>
      <c r="F2083" s="37">
        <f>IF(C2083="","",B2083+IF(E2083&gt;0,0,0.5)+ROW()/10000000)</f>
        <v/>
      </c>
      <c r="G2083">
        <f>IF(C2083="","","Collection 收款 (Online 网上)"&amp;IF('Daily Sale entry '!Y583="",""," - "&amp;'Daily Sale entry '!Y583))</f>
        <v/>
      </c>
      <c r="H2083">
        <f>IF(C2083="","",COUNTIFS($C$2:$C$3001,C2083,$F$2:$F$3001,"&lt;"&amp;F2083)+1)</f>
        <v/>
      </c>
      <c r="I2083">
        <f>IF(C2083="","",C2083&amp;"|"&amp;H2083)</f>
        <v/>
      </c>
      <c r="J2083" s="6">
        <f>IF(C2083="","",IF(H2083=1,SUMIFS('Opening Balance'!$F$4:$F$303,'Opening Balance'!$G$4:$G$303,C2083),INDEX($L$2:$L$3001,MATCH(C2083&amp;"|"&amp;(H2083-1),$I$2:$I$3001,0))))</f>
        <v/>
      </c>
      <c r="K2083" s="6">
        <f>IF(C2083="","",IF(M2083&gt;0,M2083,IF(AND(E2083&gt;0,ROUND(J2083+D2083-E2083,2)&gt;0,ROUND(J2083+D2083-E2083,2)&lt;'Opening Balance'!$B$14),ROUND(J2083+D2083-E2083,2),0)))</f>
        <v/>
      </c>
      <c r="L2083" s="6">
        <f>IF(C2083="","",ROUND(J2083+D2083-E2083-K2083,2))</f>
        <v/>
      </c>
      <c r="M2083" s="6">
        <f>IF(C2083="","",0)</f>
        <v/>
      </c>
    </row>
    <row r="2084">
      <c r="A2084" t="inlineStr">
        <is>
          <t>Bank 银行</t>
        </is>
      </c>
      <c r="B2084" s="5">
        <f>IF(AND('Daily Sale entry '!Z584="Online collection 网上收款",'Daily Sale entry '!AA584&lt;&gt;""),'Daily Sale entry '!X584,"")</f>
        <v/>
      </c>
      <c r="C2084">
        <f>IF(B2084="","",'Daily Sale entry '!AA584)</f>
        <v/>
      </c>
      <c r="D2084">
        <f>IF(C2084="","",0)</f>
        <v/>
      </c>
      <c r="E2084">
        <f>IF(C2084="","",'Daily Sale entry '!AC584)</f>
        <v/>
      </c>
      <c r="F2084" s="37">
        <f>IF(C2084="","",B2084+IF(E2084&gt;0,0,0.5)+ROW()/10000000)</f>
        <v/>
      </c>
      <c r="G2084">
        <f>IF(C2084="","","Collection 收款 (Online 网上)"&amp;IF('Daily Sale entry '!Y584="",""," - "&amp;'Daily Sale entry '!Y584))</f>
        <v/>
      </c>
      <c r="H2084">
        <f>IF(C2084="","",COUNTIFS($C$2:$C$3001,C2084,$F$2:$F$3001,"&lt;"&amp;F2084)+1)</f>
        <v/>
      </c>
      <c r="I2084">
        <f>IF(C2084="","",C2084&amp;"|"&amp;H2084)</f>
        <v/>
      </c>
      <c r="J2084" s="6">
        <f>IF(C2084="","",IF(H2084=1,SUMIFS('Opening Balance'!$F$4:$F$303,'Opening Balance'!$G$4:$G$303,C2084),INDEX($L$2:$L$3001,MATCH(C2084&amp;"|"&amp;(H2084-1),$I$2:$I$3001,0))))</f>
        <v/>
      </c>
      <c r="K2084" s="6">
        <f>IF(C2084="","",IF(M2084&gt;0,M2084,IF(AND(E2084&gt;0,ROUND(J2084+D2084-E2084,2)&gt;0,ROUND(J2084+D2084-E2084,2)&lt;'Opening Balance'!$B$14),ROUND(J2084+D2084-E2084,2),0)))</f>
        <v/>
      </c>
      <c r="L2084" s="6">
        <f>IF(C2084="","",ROUND(J2084+D2084-E2084-K2084,2))</f>
        <v/>
      </c>
      <c r="M2084" s="6">
        <f>IF(C2084="","",0)</f>
        <v/>
      </c>
    </row>
    <row r="2085">
      <c r="A2085" t="inlineStr">
        <is>
          <t>Bank 银行</t>
        </is>
      </c>
      <c r="B2085" s="5">
        <f>IF(AND('Daily Sale entry '!Z585="Online collection 网上收款",'Daily Sale entry '!AA585&lt;&gt;""),'Daily Sale entry '!X585,"")</f>
        <v/>
      </c>
      <c r="C2085">
        <f>IF(B2085="","",'Daily Sale entry '!AA585)</f>
        <v/>
      </c>
      <c r="D2085">
        <f>IF(C2085="","",0)</f>
        <v/>
      </c>
      <c r="E2085">
        <f>IF(C2085="","",'Daily Sale entry '!AC585)</f>
        <v/>
      </c>
      <c r="F2085" s="37">
        <f>IF(C2085="","",B2085+IF(E2085&gt;0,0,0.5)+ROW()/10000000)</f>
        <v/>
      </c>
      <c r="G2085">
        <f>IF(C2085="","","Collection 收款 (Online 网上)"&amp;IF('Daily Sale entry '!Y585="",""," - "&amp;'Daily Sale entry '!Y585))</f>
        <v/>
      </c>
      <c r="H2085">
        <f>IF(C2085="","",COUNTIFS($C$2:$C$3001,C2085,$F$2:$F$3001,"&lt;"&amp;F2085)+1)</f>
        <v/>
      </c>
      <c r="I2085">
        <f>IF(C2085="","",C2085&amp;"|"&amp;H2085)</f>
        <v/>
      </c>
      <c r="J2085" s="6">
        <f>IF(C2085="","",IF(H2085=1,SUMIFS('Opening Balance'!$F$4:$F$303,'Opening Balance'!$G$4:$G$303,C2085),INDEX($L$2:$L$3001,MATCH(C2085&amp;"|"&amp;(H2085-1),$I$2:$I$3001,0))))</f>
        <v/>
      </c>
      <c r="K2085" s="6">
        <f>IF(C2085="","",IF(M2085&gt;0,M2085,IF(AND(E2085&gt;0,ROUND(J2085+D2085-E2085,2)&gt;0,ROUND(J2085+D2085-E2085,2)&lt;'Opening Balance'!$B$14),ROUND(J2085+D2085-E2085,2),0)))</f>
        <v/>
      </c>
      <c r="L2085" s="6">
        <f>IF(C2085="","",ROUND(J2085+D2085-E2085-K2085,2))</f>
        <v/>
      </c>
      <c r="M2085" s="6">
        <f>IF(C2085="","",0)</f>
        <v/>
      </c>
    </row>
    <row r="2086">
      <c r="A2086" t="inlineStr">
        <is>
          <t>Bank 银行</t>
        </is>
      </c>
      <c r="B2086" s="5">
        <f>IF(AND('Daily Sale entry '!Z586="Online collection 网上收款",'Daily Sale entry '!AA586&lt;&gt;""),'Daily Sale entry '!X586,"")</f>
        <v/>
      </c>
      <c r="C2086">
        <f>IF(B2086="","",'Daily Sale entry '!AA586)</f>
        <v/>
      </c>
      <c r="D2086">
        <f>IF(C2086="","",0)</f>
        <v/>
      </c>
      <c r="E2086">
        <f>IF(C2086="","",'Daily Sale entry '!AC586)</f>
        <v/>
      </c>
      <c r="F2086" s="37">
        <f>IF(C2086="","",B2086+IF(E2086&gt;0,0,0.5)+ROW()/10000000)</f>
        <v/>
      </c>
      <c r="G2086">
        <f>IF(C2086="","","Collection 收款 (Online 网上)"&amp;IF('Daily Sale entry '!Y586="",""," - "&amp;'Daily Sale entry '!Y586))</f>
        <v/>
      </c>
      <c r="H2086">
        <f>IF(C2086="","",COUNTIFS($C$2:$C$3001,C2086,$F$2:$F$3001,"&lt;"&amp;F2086)+1)</f>
        <v/>
      </c>
      <c r="I2086">
        <f>IF(C2086="","",C2086&amp;"|"&amp;H2086)</f>
        <v/>
      </c>
      <c r="J2086" s="6">
        <f>IF(C2086="","",IF(H2086=1,SUMIFS('Opening Balance'!$F$4:$F$303,'Opening Balance'!$G$4:$G$303,C2086),INDEX($L$2:$L$3001,MATCH(C2086&amp;"|"&amp;(H2086-1),$I$2:$I$3001,0))))</f>
        <v/>
      </c>
      <c r="K2086" s="6">
        <f>IF(C2086="","",IF(M2086&gt;0,M2086,IF(AND(E2086&gt;0,ROUND(J2086+D2086-E2086,2)&gt;0,ROUND(J2086+D2086-E2086,2)&lt;'Opening Balance'!$B$14),ROUND(J2086+D2086-E2086,2),0)))</f>
        <v/>
      </c>
      <c r="L2086" s="6">
        <f>IF(C2086="","",ROUND(J2086+D2086-E2086-K2086,2))</f>
        <v/>
      </c>
      <c r="M2086" s="6">
        <f>IF(C2086="","",0)</f>
        <v/>
      </c>
    </row>
    <row r="2087">
      <c r="A2087" t="inlineStr">
        <is>
          <t>Bank 银行</t>
        </is>
      </c>
      <c r="B2087" s="5">
        <f>IF(AND('Daily Sale entry '!Z587="Online collection 网上收款",'Daily Sale entry '!AA587&lt;&gt;""),'Daily Sale entry '!X587,"")</f>
        <v/>
      </c>
      <c r="C2087">
        <f>IF(B2087="","",'Daily Sale entry '!AA587)</f>
        <v/>
      </c>
      <c r="D2087">
        <f>IF(C2087="","",0)</f>
        <v/>
      </c>
      <c r="E2087">
        <f>IF(C2087="","",'Daily Sale entry '!AC587)</f>
        <v/>
      </c>
      <c r="F2087" s="37">
        <f>IF(C2087="","",B2087+IF(E2087&gt;0,0,0.5)+ROW()/10000000)</f>
        <v/>
      </c>
      <c r="G2087">
        <f>IF(C2087="","","Collection 收款 (Online 网上)"&amp;IF('Daily Sale entry '!Y587="",""," - "&amp;'Daily Sale entry '!Y587))</f>
        <v/>
      </c>
      <c r="H2087">
        <f>IF(C2087="","",COUNTIFS($C$2:$C$3001,C2087,$F$2:$F$3001,"&lt;"&amp;F2087)+1)</f>
        <v/>
      </c>
      <c r="I2087">
        <f>IF(C2087="","",C2087&amp;"|"&amp;H2087)</f>
        <v/>
      </c>
      <c r="J2087" s="6">
        <f>IF(C2087="","",IF(H2087=1,SUMIFS('Opening Balance'!$F$4:$F$303,'Opening Balance'!$G$4:$G$303,C2087),INDEX($L$2:$L$3001,MATCH(C2087&amp;"|"&amp;(H2087-1),$I$2:$I$3001,0))))</f>
        <v/>
      </c>
      <c r="K2087" s="6">
        <f>IF(C2087="","",IF(M2087&gt;0,M2087,IF(AND(E2087&gt;0,ROUND(J2087+D2087-E2087,2)&gt;0,ROUND(J2087+D2087-E2087,2)&lt;'Opening Balance'!$B$14),ROUND(J2087+D2087-E2087,2),0)))</f>
        <v/>
      </c>
      <c r="L2087" s="6">
        <f>IF(C2087="","",ROUND(J2087+D2087-E2087-K2087,2))</f>
        <v/>
      </c>
      <c r="M2087" s="6">
        <f>IF(C2087="","",0)</f>
        <v/>
      </c>
    </row>
    <row r="2088">
      <c r="A2088" t="inlineStr">
        <is>
          <t>Bank 银行</t>
        </is>
      </c>
      <c r="B2088" s="5">
        <f>IF(AND('Daily Sale entry '!Z588="Online collection 网上收款",'Daily Sale entry '!AA588&lt;&gt;""),'Daily Sale entry '!X588,"")</f>
        <v/>
      </c>
      <c r="C2088">
        <f>IF(B2088="","",'Daily Sale entry '!AA588)</f>
        <v/>
      </c>
      <c r="D2088">
        <f>IF(C2088="","",0)</f>
        <v/>
      </c>
      <c r="E2088">
        <f>IF(C2088="","",'Daily Sale entry '!AC588)</f>
        <v/>
      </c>
      <c r="F2088" s="37">
        <f>IF(C2088="","",B2088+IF(E2088&gt;0,0,0.5)+ROW()/10000000)</f>
        <v/>
      </c>
      <c r="G2088">
        <f>IF(C2088="","","Collection 收款 (Online 网上)"&amp;IF('Daily Sale entry '!Y588="",""," - "&amp;'Daily Sale entry '!Y588))</f>
        <v/>
      </c>
      <c r="H2088">
        <f>IF(C2088="","",COUNTIFS($C$2:$C$3001,C2088,$F$2:$F$3001,"&lt;"&amp;F2088)+1)</f>
        <v/>
      </c>
      <c r="I2088">
        <f>IF(C2088="","",C2088&amp;"|"&amp;H2088)</f>
        <v/>
      </c>
      <c r="J2088" s="6">
        <f>IF(C2088="","",IF(H2088=1,SUMIFS('Opening Balance'!$F$4:$F$303,'Opening Balance'!$G$4:$G$303,C2088),INDEX($L$2:$L$3001,MATCH(C2088&amp;"|"&amp;(H2088-1),$I$2:$I$3001,0))))</f>
        <v/>
      </c>
      <c r="K2088" s="6">
        <f>IF(C2088="","",IF(M2088&gt;0,M2088,IF(AND(E2088&gt;0,ROUND(J2088+D2088-E2088,2)&gt;0,ROUND(J2088+D2088-E2088,2)&lt;'Opening Balance'!$B$14),ROUND(J2088+D2088-E2088,2),0)))</f>
        <v/>
      </c>
      <c r="L2088" s="6">
        <f>IF(C2088="","",ROUND(J2088+D2088-E2088-K2088,2))</f>
        <v/>
      </c>
      <c r="M2088" s="6">
        <f>IF(C2088="","",0)</f>
        <v/>
      </c>
    </row>
    <row r="2089">
      <c r="A2089" t="inlineStr">
        <is>
          <t>Bank 银行</t>
        </is>
      </c>
      <c r="B2089" s="5">
        <f>IF(AND('Daily Sale entry '!Z589="Online collection 网上收款",'Daily Sale entry '!AA589&lt;&gt;""),'Daily Sale entry '!X589,"")</f>
        <v/>
      </c>
      <c r="C2089">
        <f>IF(B2089="","",'Daily Sale entry '!AA589)</f>
        <v/>
      </c>
      <c r="D2089">
        <f>IF(C2089="","",0)</f>
        <v/>
      </c>
      <c r="E2089">
        <f>IF(C2089="","",'Daily Sale entry '!AC589)</f>
        <v/>
      </c>
      <c r="F2089" s="37">
        <f>IF(C2089="","",B2089+IF(E2089&gt;0,0,0.5)+ROW()/10000000)</f>
        <v/>
      </c>
      <c r="G2089">
        <f>IF(C2089="","","Collection 收款 (Online 网上)"&amp;IF('Daily Sale entry '!Y589="",""," - "&amp;'Daily Sale entry '!Y589))</f>
        <v/>
      </c>
      <c r="H2089">
        <f>IF(C2089="","",COUNTIFS($C$2:$C$3001,C2089,$F$2:$F$3001,"&lt;"&amp;F2089)+1)</f>
        <v/>
      </c>
      <c r="I2089">
        <f>IF(C2089="","",C2089&amp;"|"&amp;H2089)</f>
        <v/>
      </c>
      <c r="J2089" s="6">
        <f>IF(C2089="","",IF(H2089=1,SUMIFS('Opening Balance'!$F$4:$F$303,'Opening Balance'!$G$4:$G$303,C2089),INDEX($L$2:$L$3001,MATCH(C2089&amp;"|"&amp;(H2089-1),$I$2:$I$3001,0))))</f>
        <v/>
      </c>
      <c r="K2089" s="6">
        <f>IF(C2089="","",IF(M2089&gt;0,M2089,IF(AND(E2089&gt;0,ROUND(J2089+D2089-E2089,2)&gt;0,ROUND(J2089+D2089-E2089,2)&lt;'Opening Balance'!$B$14),ROUND(J2089+D2089-E2089,2),0)))</f>
        <v/>
      </c>
      <c r="L2089" s="6">
        <f>IF(C2089="","",ROUND(J2089+D2089-E2089-K2089,2))</f>
        <v/>
      </c>
      <c r="M2089" s="6">
        <f>IF(C2089="","",0)</f>
        <v/>
      </c>
    </row>
    <row r="2090">
      <c r="A2090" t="inlineStr">
        <is>
          <t>Bank 银行</t>
        </is>
      </c>
      <c r="B2090" s="5">
        <f>IF(AND('Daily Sale entry '!Z590="Online collection 网上收款",'Daily Sale entry '!AA590&lt;&gt;""),'Daily Sale entry '!X590,"")</f>
        <v/>
      </c>
      <c r="C2090">
        <f>IF(B2090="","",'Daily Sale entry '!AA590)</f>
        <v/>
      </c>
      <c r="D2090">
        <f>IF(C2090="","",0)</f>
        <v/>
      </c>
      <c r="E2090">
        <f>IF(C2090="","",'Daily Sale entry '!AC590)</f>
        <v/>
      </c>
      <c r="F2090" s="37">
        <f>IF(C2090="","",B2090+IF(E2090&gt;0,0,0.5)+ROW()/10000000)</f>
        <v/>
      </c>
      <c r="G2090">
        <f>IF(C2090="","","Collection 收款 (Online 网上)"&amp;IF('Daily Sale entry '!Y590="",""," - "&amp;'Daily Sale entry '!Y590))</f>
        <v/>
      </c>
      <c r="H2090">
        <f>IF(C2090="","",COUNTIFS($C$2:$C$3001,C2090,$F$2:$F$3001,"&lt;"&amp;F2090)+1)</f>
        <v/>
      </c>
      <c r="I2090">
        <f>IF(C2090="","",C2090&amp;"|"&amp;H2090)</f>
        <v/>
      </c>
      <c r="J2090" s="6">
        <f>IF(C2090="","",IF(H2090=1,SUMIFS('Opening Balance'!$F$4:$F$303,'Opening Balance'!$G$4:$G$303,C2090),INDEX($L$2:$L$3001,MATCH(C2090&amp;"|"&amp;(H2090-1),$I$2:$I$3001,0))))</f>
        <v/>
      </c>
      <c r="K2090" s="6">
        <f>IF(C2090="","",IF(M2090&gt;0,M2090,IF(AND(E2090&gt;0,ROUND(J2090+D2090-E2090,2)&gt;0,ROUND(J2090+D2090-E2090,2)&lt;'Opening Balance'!$B$14),ROUND(J2090+D2090-E2090,2),0)))</f>
        <v/>
      </c>
      <c r="L2090" s="6">
        <f>IF(C2090="","",ROUND(J2090+D2090-E2090-K2090,2))</f>
        <v/>
      </c>
      <c r="M2090" s="6">
        <f>IF(C2090="","",0)</f>
        <v/>
      </c>
    </row>
    <row r="2091">
      <c r="A2091" t="inlineStr">
        <is>
          <t>Bank 银行</t>
        </is>
      </c>
      <c r="B2091" s="5">
        <f>IF(AND('Daily Sale entry '!Z591="Online collection 网上收款",'Daily Sale entry '!AA591&lt;&gt;""),'Daily Sale entry '!X591,"")</f>
        <v/>
      </c>
      <c r="C2091">
        <f>IF(B2091="","",'Daily Sale entry '!AA591)</f>
        <v/>
      </c>
      <c r="D2091">
        <f>IF(C2091="","",0)</f>
        <v/>
      </c>
      <c r="E2091">
        <f>IF(C2091="","",'Daily Sale entry '!AC591)</f>
        <v/>
      </c>
      <c r="F2091" s="37">
        <f>IF(C2091="","",B2091+IF(E2091&gt;0,0,0.5)+ROW()/10000000)</f>
        <v/>
      </c>
      <c r="G2091">
        <f>IF(C2091="","","Collection 收款 (Online 网上)"&amp;IF('Daily Sale entry '!Y591="",""," - "&amp;'Daily Sale entry '!Y591))</f>
        <v/>
      </c>
      <c r="H2091">
        <f>IF(C2091="","",COUNTIFS($C$2:$C$3001,C2091,$F$2:$F$3001,"&lt;"&amp;F2091)+1)</f>
        <v/>
      </c>
      <c r="I2091">
        <f>IF(C2091="","",C2091&amp;"|"&amp;H2091)</f>
        <v/>
      </c>
      <c r="J2091" s="6">
        <f>IF(C2091="","",IF(H2091=1,SUMIFS('Opening Balance'!$F$4:$F$303,'Opening Balance'!$G$4:$G$303,C2091),INDEX($L$2:$L$3001,MATCH(C2091&amp;"|"&amp;(H2091-1),$I$2:$I$3001,0))))</f>
        <v/>
      </c>
      <c r="K2091" s="6">
        <f>IF(C2091="","",IF(M2091&gt;0,M2091,IF(AND(E2091&gt;0,ROUND(J2091+D2091-E2091,2)&gt;0,ROUND(J2091+D2091-E2091,2)&lt;'Opening Balance'!$B$14),ROUND(J2091+D2091-E2091,2),0)))</f>
        <v/>
      </c>
      <c r="L2091" s="6">
        <f>IF(C2091="","",ROUND(J2091+D2091-E2091-K2091,2))</f>
        <v/>
      </c>
      <c r="M2091" s="6">
        <f>IF(C2091="","",0)</f>
        <v/>
      </c>
    </row>
    <row r="2092">
      <c r="A2092" t="inlineStr">
        <is>
          <t>Bank 银行</t>
        </is>
      </c>
      <c r="B2092" s="5">
        <f>IF(AND('Daily Sale entry '!Z592="Online collection 网上收款",'Daily Sale entry '!AA592&lt;&gt;""),'Daily Sale entry '!X592,"")</f>
        <v/>
      </c>
      <c r="C2092">
        <f>IF(B2092="","",'Daily Sale entry '!AA592)</f>
        <v/>
      </c>
      <c r="D2092">
        <f>IF(C2092="","",0)</f>
        <v/>
      </c>
      <c r="E2092">
        <f>IF(C2092="","",'Daily Sale entry '!AC592)</f>
        <v/>
      </c>
      <c r="F2092" s="37">
        <f>IF(C2092="","",B2092+IF(E2092&gt;0,0,0.5)+ROW()/10000000)</f>
        <v/>
      </c>
      <c r="G2092">
        <f>IF(C2092="","","Collection 收款 (Online 网上)"&amp;IF('Daily Sale entry '!Y592="",""," - "&amp;'Daily Sale entry '!Y592))</f>
        <v/>
      </c>
      <c r="H2092">
        <f>IF(C2092="","",COUNTIFS($C$2:$C$3001,C2092,$F$2:$F$3001,"&lt;"&amp;F2092)+1)</f>
        <v/>
      </c>
      <c r="I2092">
        <f>IF(C2092="","",C2092&amp;"|"&amp;H2092)</f>
        <v/>
      </c>
      <c r="J2092" s="6">
        <f>IF(C2092="","",IF(H2092=1,SUMIFS('Opening Balance'!$F$4:$F$303,'Opening Balance'!$G$4:$G$303,C2092),INDEX($L$2:$L$3001,MATCH(C2092&amp;"|"&amp;(H2092-1),$I$2:$I$3001,0))))</f>
        <v/>
      </c>
      <c r="K2092" s="6">
        <f>IF(C2092="","",IF(M2092&gt;0,M2092,IF(AND(E2092&gt;0,ROUND(J2092+D2092-E2092,2)&gt;0,ROUND(J2092+D2092-E2092,2)&lt;'Opening Balance'!$B$14),ROUND(J2092+D2092-E2092,2),0)))</f>
        <v/>
      </c>
      <c r="L2092" s="6">
        <f>IF(C2092="","",ROUND(J2092+D2092-E2092-K2092,2))</f>
        <v/>
      </c>
      <c r="M2092" s="6">
        <f>IF(C2092="","",0)</f>
        <v/>
      </c>
    </row>
    <row r="2093">
      <c r="A2093" t="inlineStr">
        <is>
          <t>Bank 银行</t>
        </is>
      </c>
      <c r="B2093" s="5">
        <f>IF(AND('Daily Sale entry '!Z593="Online collection 网上收款",'Daily Sale entry '!AA593&lt;&gt;""),'Daily Sale entry '!X593,"")</f>
        <v/>
      </c>
      <c r="C2093">
        <f>IF(B2093="","",'Daily Sale entry '!AA593)</f>
        <v/>
      </c>
      <c r="D2093">
        <f>IF(C2093="","",0)</f>
        <v/>
      </c>
      <c r="E2093">
        <f>IF(C2093="","",'Daily Sale entry '!AC593)</f>
        <v/>
      </c>
      <c r="F2093" s="37">
        <f>IF(C2093="","",B2093+IF(E2093&gt;0,0,0.5)+ROW()/10000000)</f>
        <v/>
      </c>
      <c r="G2093">
        <f>IF(C2093="","","Collection 收款 (Online 网上)"&amp;IF('Daily Sale entry '!Y593="",""," - "&amp;'Daily Sale entry '!Y593))</f>
        <v/>
      </c>
      <c r="H2093">
        <f>IF(C2093="","",COUNTIFS($C$2:$C$3001,C2093,$F$2:$F$3001,"&lt;"&amp;F2093)+1)</f>
        <v/>
      </c>
      <c r="I2093">
        <f>IF(C2093="","",C2093&amp;"|"&amp;H2093)</f>
        <v/>
      </c>
      <c r="J2093" s="6">
        <f>IF(C2093="","",IF(H2093=1,SUMIFS('Opening Balance'!$F$4:$F$303,'Opening Balance'!$G$4:$G$303,C2093),INDEX($L$2:$L$3001,MATCH(C2093&amp;"|"&amp;(H2093-1),$I$2:$I$3001,0))))</f>
        <v/>
      </c>
      <c r="K2093" s="6">
        <f>IF(C2093="","",IF(M2093&gt;0,M2093,IF(AND(E2093&gt;0,ROUND(J2093+D2093-E2093,2)&gt;0,ROUND(J2093+D2093-E2093,2)&lt;'Opening Balance'!$B$14),ROUND(J2093+D2093-E2093,2),0)))</f>
        <v/>
      </c>
      <c r="L2093" s="6">
        <f>IF(C2093="","",ROUND(J2093+D2093-E2093-K2093,2))</f>
        <v/>
      </c>
      <c r="M2093" s="6">
        <f>IF(C2093="","",0)</f>
        <v/>
      </c>
    </row>
    <row r="2094">
      <c r="A2094" t="inlineStr">
        <is>
          <t>Bank 银行</t>
        </is>
      </c>
      <c r="B2094" s="5">
        <f>IF(AND('Daily Sale entry '!Z594="Online collection 网上收款",'Daily Sale entry '!AA594&lt;&gt;""),'Daily Sale entry '!X594,"")</f>
        <v/>
      </c>
      <c r="C2094">
        <f>IF(B2094="","",'Daily Sale entry '!AA594)</f>
        <v/>
      </c>
      <c r="D2094">
        <f>IF(C2094="","",0)</f>
        <v/>
      </c>
      <c r="E2094">
        <f>IF(C2094="","",'Daily Sale entry '!AC594)</f>
        <v/>
      </c>
      <c r="F2094" s="37">
        <f>IF(C2094="","",B2094+IF(E2094&gt;0,0,0.5)+ROW()/10000000)</f>
        <v/>
      </c>
      <c r="G2094">
        <f>IF(C2094="","","Collection 收款 (Online 网上)"&amp;IF('Daily Sale entry '!Y594="",""," - "&amp;'Daily Sale entry '!Y594))</f>
        <v/>
      </c>
      <c r="H2094">
        <f>IF(C2094="","",COUNTIFS($C$2:$C$3001,C2094,$F$2:$F$3001,"&lt;"&amp;F2094)+1)</f>
        <v/>
      </c>
      <c r="I2094">
        <f>IF(C2094="","",C2094&amp;"|"&amp;H2094)</f>
        <v/>
      </c>
      <c r="J2094" s="6">
        <f>IF(C2094="","",IF(H2094=1,SUMIFS('Opening Balance'!$F$4:$F$303,'Opening Balance'!$G$4:$G$303,C2094),INDEX($L$2:$L$3001,MATCH(C2094&amp;"|"&amp;(H2094-1),$I$2:$I$3001,0))))</f>
        <v/>
      </c>
      <c r="K2094" s="6">
        <f>IF(C2094="","",IF(M2094&gt;0,M2094,IF(AND(E2094&gt;0,ROUND(J2094+D2094-E2094,2)&gt;0,ROUND(J2094+D2094-E2094,2)&lt;'Opening Balance'!$B$14),ROUND(J2094+D2094-E2094,2),0)))</f>
        <v/>
      </c>
      <c r="L2094" s="6">
        <f>IF(C2094="","",ROUND(J2094+D2094-E2094-K2094,2))</f>
        <v/>
      </c>
      <c r="M2094" s="6">
        <f>IF(C2094="","",0)</f>
        <v/>
      </c>
    </row>
    <row r="2095">
      <c r="A2095" t="inlineStr">
        <is>
          <t>Bank 银行</t>
        </is>
      </c>
      <c r="B2095" s="5">
        <f>IF(AND('Daily Sale entry '!Z595="Online collection 网上收款",'Daily Sale entry '!AA595&lt;&gt;""),'Daily Sale entry '!X595,"")</f>
        <v/>
      </c>
      <c r="C2095">
        <f>IF(B2095="","",'Daily Sale entry '!AA595)</f>
        <v/>
      </c>
      <c r="D2095">
        <f>IF(C2095="","",0)</f>
        <v/>
      </c>
      <c r="E2095">
        <f>IF(C2095="","",'Daily Sale entry '!AC595)</f>
        <v/>
      </c>
      <c r="F2095" s="37">
        <f>IF(C2095="","",B2095+IF(E2095&gt;0,0,0.5)+ROW()/10000000)</f>
        <v/>
      </c>
      <c r="G2095">
        <f>IF(C2095="","","Collection 收款 (Online 网上)"&amp;IF('Daily Sale entry '!Y595="",""," - "&amp;'Daily Sale entry '!Y595))</f>
        <v/>
      </c>
      <c r="H2095">
        <f>IF(C2095="","",COUNTIFS($C$2:$C$3001,C2095,$F$2:$F$3001,"&lt;"&amp;F2095)+1)</f>
        <v/>
      </c>
      <c r="I2095">
        <f>IF(C2095="","",C2095&amp;"|"&amp;H2095)</f>
        <v/>
      </c>
      <c r="J2095" s="6">
        <f>IF(C2095="","",IF(H2095=1,SUMIFS('Opening Balance'!$F$4:$F$303,'Opening Balance'!$G$4:$G$303,C2095),INDEX($L$2:$L$3001,MATCH(C2095&amp;"|"&amp;(H2095-1),$I$2:$I$3001,0))))</f>
        <v/>
      </c>
      <c r="K2095" s="6">
        <f>IF(C2095="","",IF(M2095&gt;0,M2095,IF(AND(E2095&gt;0,ROUND(J2095+D2095-E2095,2)&gt;0,ROUND(J2095+D2095-E2095,2)&lt;'Opening Balance'!$B$14),ROUND(J2095+D2095-E2095,2),0)))</f>
        <v/>
      </c>
      <c r="L2095" s="6">
        <f>IF(C2095="","",ROUND(J2095+D2095-E2095-K2095,2))</f>
        <v/>
      </c>
      <c r="M2095" s="6">
        <f>IF(C2095="","",0)</f>
        <v/>
      </c>
    </row>
    <row r="2096">
      <c r="A2096" t="inlineStr">
        <is>
          <t>Bank 银行</t>
        </is>
      </c>
      <c r="B2096" s="5">
        <f>IF(AND('Daily Sale entry '!Z596="Online collection 网上收款",'Daily Sale entry '!AA596&lt;&gt;""),'Daily Sale entry '!X596,"")</f>
        <v/>
      </c>
      <c r="C2096">
        <f>IF(B2096="","",'Daily Sale entry '!AA596)</f>
        <v/>
      </c>
      <c r="D2096">
        <f>IF(C2096="","",0)</f>
        <v/>
      </c>
      <c r="E2096">
        <f>IF(C2096="","",'Daily Sale entry '!AC596)</f>
        <v/>
      </c>
      <c r="F2096" s="37">
        <f>IF(C2096="","",B2096+IF(E2096&gt;0,0,0.5)+ROW()/10000000)</f>
        <v/>
      </c>
      <c r="G2096">
        <f>IF(C2096="","","Collection 收款 (Online 网上)"&amp;IF('Daily Sale entry '!Y596="",""," - "&amp;'Daily Sale entry '!Y596))</f>
        <v/>
      </c>
      <c r="H2096">
        <f>IF(C2096="","",COUNTIFS($C$2:$C$3001,C2096,$F$2:$F$3001,"&lt;"&amp;F2096)+1)</f>
        <v/>
      </c>
      <c r="I2096">
        <f>IF(C2096="","",C2096&amp;"|"&amp;H2096)</f>
        <v/>
      </c>
      <c r="J2096" s="6">
        <f>IF(C2096="","",IF(H2096=1,SUMIFS('Opening Balance'!$F$4:$F$303,'Opening Balance'!$G$4:$G$303,C2096),INDEX($L$2:$L$3001,MATCH(C2096&amp;"|"&amp;(H2096-1),$I$2:$I$3001,0))))</f>
        <v/>
      </c>
      <c r="K2096" s="6">
        <f>IF(C2096="","",IF(M2096&gt;0,M2096,IF(AND(E2096&gt;0,ROUND(J2096+D2096-E2096,2)&gt;0,ROUND(J2096+D2096-E2096,2)&lt;'Opening Balance'!$B$14),ROUND(J2096+D2096-E2096,2),0)))</f>
        <v/>
      </c>
      <c r="L2096" s="6">
        <f>IF(C2096="","",ROUND(J2096+D2096-E2096-K2096,2))</f>
        <v/>
      </c>
      <c r="M2096" s="6">
        <f>IF(C2096="","",0)</f>
        <v/>
      </c>
    </row>
    <row r="2097">
      <c r="A2097" t="inlineStr">
        <is>
          <t>Bank 银行</t>
        </is>
      </c>
      <c r="B2097" s="5">
        <f>IF(AND('Daily Sale entry '!Z597="Online collection 网上收款",'Daily Sale entry '!AA597&lt;&gt;""),'Daily Sale entry '!X597,"")</f>
        <v/>
      </c>
      <c r="C2097">
        <f>IF(B2097="","",'Daily Sale entry '!AA597)</f>
        <v/>
      </c>
      <c r="D2097">
        <f>IF(C2097="","",0)</f>
        <v/>
      </c>
      <c r="E2097">
        <f>IF(C2097="","",'Daily Sale entry '!AC597)</f>
        <v/>
      </c>
      <c r="F2097" s="37">
        <f>IF(C2097="","",B2097+IF(E2097&gt;0,0,0.5)+ROW()/10000000)</f>
        <v/>
      </c>
      <c r="G2097">
        <f>IF(C2097="","","Collection 收款 (Online 网上)"&amp;IF('Daily Sale entry '!Y597="",""," - "&amp;'Daily Sale entry '!Y597))</f>
        <v/>
      </c>
      <c r="H2097">
        <f>IF(C2097="","",COUNTIFS($C$2:$C$3001,C2097,$F$2:$F$3001,"&lt;"&amp;F2097)+1)</f>
        <v/>
      </c>
      <c r="I2097">
        <f>IF(C2097="","",C2097&amp;"|"&amp;H2097)</f>
        <v/>
      </c>
      <c r="J2097" s="6">
        <f>IF(C2097="","",IF(H2097=1,SUMIFS('Opening Balance'!$F$4:$F$303,'Opening Balance'!$G$4:$G$303,C2097),INDEX($L$2:$L$3001,MATCH(C2097&amp;"|"&amp;(H2097-1),$I$2:$I$3001,0))))</f>
        <v/>
      </c>
      <c r="K2097" s="6">
        <f>IF(C2097="","",IF(M2097&gt;0,M2097,IF(AND(E2097&gt;0,ROUND(J2097+D2097-E2097,2)&gt;0,ROUND(J2097+D2097-E2097,2)&lt;'Opening Balance'!$B$14),ROUND(J2097+D2097-E2097,2),0)))</f>
        <v/>
      </c>
      <c r="L2097" s="6">
        <f>IF(C2097="","",ROUND(J2097+D2097-E2097-K2097,2))</f>
        <v/>
      </c>
      <c r="M2097" s="6">
        <f>IF(C2097="","",0)</f>
        <v/>
      </c>
    </row>
    <row r="2098">
      <c r="A2098" t="inlineStr">
        <is>
          <t>Bank 银行</t>
        </is>
      </c>
      <c r="B2098" s="5">
        <f>IF(AND('Daily Sale entry '!Z598="Online collection 网上收款",'Daily Sale entry '!AA598&lt;&gt;""),'Daily Sale entry '!X598,"")</f>
        <v/>
      </c>
      <c r="C2098">
        <f>IF(B2098="","",'Daily Sale entry '!AA598)</f>
        <v/>
      </c>
      <c r="D2098">
        <f>IF(C2098="","",0)</f>
        <v/>
      </c>
      <c r="E2098">
        <f>IF(C2098="","",'Daily Sale entry '!AC598)</f>
        <v/>
      </c>
      <c r="F2098" s="37">
        <f>IF(C2098="","",B2098+IF(E2098&gt;0,0,0.5)+ROW()/10000000)</f>
        <v/>
      </c>
      <c r="G2098">
        <f>IF(C2098="","","Collection 收款 (Online 网上)"&amp;IF('Daily Sale entry '!Y598="",""," - "&amp;'Daily Sale entry '!Y598))</f>
        <v/>
      </c>
      <c r="H2098">
        <f>IF(C2098="","",COUNTIFS($C$2:$C$3001,C2098,$F$2:$F$3001,"&lt;"&amp;F2098)+1)</f>
        <v/>
      </c>
      <c r="I2098">
        <f>IF(C2098="","",C2098&amp;"|"&amp;H2098)</f>
        <v/>
      </c>
      <c r="J2098" s="6">
        <f>IF(C2098="","",IF(H2098=1,SUMIFS('Opening Balance'!$F$4:$F$303,'Opening Balance'!$G$4:$G$303,C2098),INDEX($L$2:$L$3001,MATCH(C2098&amp;"|"&amp;(H2098-1),$I$2:$I$3001,0))))</f>
        <v/>
      </c>
      <c r="K2098" s="6">
        <f>IF(C2098="","",IF(M2098&gt;0,M2098,IF(AND(E2098&gt;0,ROUND(J2098+D2098-E2098,2)&gt;0,ROUND(J2098+D2098-E2098,2)&lt;'Opening Balance'!$B$14),ROUND(J2098+D2098-E2098,2),0)))</f>
        <v/>
      </c>
      <c r="L2098" s="6">
        <f>IF(C2098="","",ROUND(J2098+D2098-E2098-K2098,2))</f>
        <v/>
      </c>
      <c r="M2098" s="6">
        <f>IF(C2098="","",0)</f>
        <v/>
      </c>
    </row>
    <row r="2099">
      <c r="A2099" t="inlineStr">
        <is>
          <t>Bank 银行</t>
        </is>
      </c>
      <c r="B2099" s="5">
        <f>IF(AND('Daily Sale entry '!Z599="Online collection 网上收款",'Daily Sale entry '!AA599&lt;&gt;""),'Daily Sale entry '!X599,"")</f>
        <v/>
      </c>
      <c r="C2099">
        <f>IF(B2099="","",'Daily Sale entry '!AA599)</f>
        <v/>
      </c>
      <c r="D2099">
        <f>IF(C2099="","",0)</f>
        <v/>
      </c>
      <c r="E2099">
        <f>IF(C2099="","",'Daily Sale entry '!AC599)</f>
        <v/>
      </c>
      <c r="F2099" s="37">
        <f>IF(C2099="","",B2099+IF(E2099&gt;0,0,0.5)+ROW()/10000000)</f>
        <v/>
      </c>
      <c r="G2099">
        <f>IF(C2099="","","Collection 收款 (Online 网上)"&amp;IF('Daily Sale entry '!Y599="",""," - "&amp;'Daily Sale entry '!Y599))</f>
        <v/>
      </c>
      <c r="H2099">
        <f>IF(C2099="","",COUNTIFS($C$2:$C$3001,C2099,$F$2:$F$3001,"&lt;"&amp;F2099)+1)</f>
        <v/>
      </c>
      <c r="I2099">
        <f>IF(C2099="","",C2099&amp;"|"&amp;H2099)</f>
        <v/>
      </c>
      <c r="J2099" s="6">
        <f>IF(C2099="","",IF(H2099=1,SUMIFS('Opening Balance'!$F$4:$F$303,'Opening Balance'!$G$4:$G$303,C2099),INDEX($L$2:$L$3001,MATCH(C2099&amp;"|"&amp;(H2099-1),$I$2:$I$3001,0))))</f>
        <v/>
      </c>
      <c r="K2099" s="6">
        <f>IF(C2099="","",IF(M2099&gt;0,M2099,IF(AND(E2099&gt;0,ROUND(J2099+D2099-E2099,2)&gt;0,ROUND(J2099+D2099-E2099,2)&lt;'Opening Balance'!$B$14),ROUND(J2099+D2099-E2099,2),0)))</f>
        <v/>
      </c>
      <c r="L2099" s="6">
        <f>IF(C2099="","",ROUND(J2099+D2099-E2099-K2099,2))</f>
        <v/>
      </c>
      <c r="M2099" s="6">
        <f>IF(C2099="","",0)</f>
        <v/>
      </c>
    </row>
    <row r="2100">
      <c r="A2100" t="inlineStr">
        <is>
          <t>Bank 银行</t>
        </is>
      </c>
      <c r="B2100" s="5">
        <f>IF(AND('Daily Sale entry '!Z600="Online collection 网上收款",'Daily Sale entry '!AA600&lt;&gt;""),'Daily Sale entry '!X600,"")</f>
        <v/>
      </c>
      <c r="C2100">
        <f>IF(B2100="","",'Daily Sale entry '!AA600)</f>
        <v/>
      </c>
      <c r="D2100">
        <f>IF(C2100="","",0)</f>
        <v/>
      </c>
      <c r="E2100">
        <f>IF(C2100="","",'Daily Sale entry '!AC600)</f>
        <v/>
      </c>
      <c r="F2100" s="37">
        <f>IF(C2100="","",B2100+IF(E2100&gt;0,0,0.5)+ROW()/10000000)</f>
        <v/>
      </c>
      <c r="G2100">
        <f>IF(C2100="","","Collection 收款 (Online 网上)"&amp;IF('Daily Sale entry '!Y600="",""," - "&amp;'Daily Sale entry '!Y600))</f>
        <v/>
      </c>
      <c r="H2100">
        <f>IF(C2100="","",COUNTIFS($C$2:$C$3001,C2100,$F$2:$F$3001,"&lt;"&amp;F2100)+1)</f>
        <v/>
      </c>
      <c r="I2100">
        <f>IF(C2100="","",C2100&amp;"|"&amp;H2100)</f>
        <v/>
      </c>
      <c r="J2100" s="6">
        <f>IF(C2100="","",IF(H2100=1,SUMIFS('Opening Balance'!$F$4:$F$303,'Opening Balance'!$G$4:$G$303,C2100),INDEX($L$2:$L$3001,MATCH(C2100&amp;"|"&amp;(H2100-1),$I$2:$I$3001,0))))</f>
        <v/>
      </c>
      <c r="K2100" s="6">
        <f>IF(C2100="","",IF(M2100&gt;0,M2100,IF(AND(E2100&gt;0,ROUND(J2100+D2100-E2100,2)&gt;0,ROUND(J2100+D2100-E2100,2)&lt;'Opening Balance'!$B$14),ROUND(J2100+D2100-E2100,2),0)))</f>
        <v/>
      </c>
      <c r="L2100" s="6">
        <f>IF(C2100="","",ROUND(J2100+D2100-E2100-K2100,2))</f>
        <v/>
      </c>
      <c r="M2100" s="6">
        <f>IF(C2100="","",0)</f>
        <v/>
      </c>
    </row>
    <row r="2101">
      <c r="A2101" t="inlineStr">
        <is>
          <t>Bank 银行</t>
        </is>
      </c>
      <c r="B2101" s="5">
        <f>IF(AND('Daily Sale entry '!Z601="Online collection 网上收款",'Daily Sale entry '!AA601&lt;&gt;""),'Daily Sale entry '!X601,"")</f>
        <v/>
      </c>
      <c r="C2101">
        <f>IF(B2101="","",'Daily Sale entry '!AA601)</f>
        <v/>
      </c>
      <c r="D2101">
        <f>IF(C2101="","",0)</f>
        <v/>
      </c>
      <c r="E2101">
        <f>IF(C2101="","",'Daily Sale entry '!AC601)</f>
        <v/>
      </c>
      <c r="F2101" s="37">
        <f>IF(C2101="","",B2101+IF(E2101&gt;0,0,0.5)+ROW()/10000000)</f>
        <v/>
      </c>
      <c r="G2101">
        <f>IF(C2101="","","Collection 收款 (Online 网上)"&amp;IF('Daily Sale entry '!Y601="",""," - "&amp;'Daily Sale entry '!Y601))</f>
        <v/>
      </c>
      <c r="H2101">
        <f>IF(C2101="","",COUNTIFS($C$2:$C$3001,C2101,$F$2:$F$3001,"&lt;"&amp;F2101)+1)</f>
        <v/>
      </c>
      <c r="I2101">
        <f>IF(C2101="","",C2101&amp;"|"&amp;H2101)</f>
        <v/>
      </c>
      <c r="J2101" s="6">
        <f>IF(C2101="","",IF(H2101=1,SUMIFS('Opening Balance'!$F$4:$F$303,'Opening Balance'!$G$4:$G$303,C2101),INDEX($L$2:$L$3001,MATCH(C2101&amp;"|"&amp;(H2101-1),$I$2:$I$3001,0))))</f>
        <v/>
      </c>
      <c r="K2101" s="6">
        <f>IF(C2101="","",IF(M2101&gt;0,M2101,IF(AND(E2101&gt;0,ROUND(J2101+D2101-E2101,2)&gt;0,ROUND(J2101+D2101-E2101,2)&lt;'Opening Balance'!$B$14),ROUND(J2101+D2101-E2101,2),0)))</f>
        <v/>
      </c>
      <c r="L2101" s="6">
        <f>IF(C2101="","",ROUND(J2101+D2101-E2101-K2101,2))</f>
        <v/>
      </c>
      <c r="M2101" s="6">
        <f>IF(C2101="","",0)</f>
        <v/>
      </c>
    </row>
    <row r="2102">
      <c r="A2102" t="inlineStr">
        <is>
          <t>Bank 银行</t>
        </is>
      </c>
      <c r="B2102" s="5">
        <f>IF(AND('Daily Sale entry '!Z602="Online collection 网上收款",'Daily Sale entry '!AA602&lt;&gt;""),'Daily Sale entry '!X602,"")</f>
        <v/>
      </c>
      <c r="C2102">
        <f>IF(B2102="","",'Daily Sale entry '!AA602)</f>
        <v/>
      </c>
      <c r="D2102">
        <f>IF(C2102="","",0)</f>
        <v/>
      </c>
      <c r="E2102">
        <f>IF(C2102="","",'Daily Sale entry '!AC602)</f>
        <v/>
      </c>
      <c r="F2102" s="37">
        <f>IF(C2102="","",B2102+IF(E2102&gt;0,0,0.5)+ROW()/10000000)</f>
        <v/>
      </c>
      <c r="G2102">
        <f>IF(C2102="","","Collection 收款 (Online 网上)"&amp;IF('Daily Sale entry '!Y602="",""," - "&amp;'Daily Sale entry '!Y602))</f>
        <v/>
      </c>
      <c r="H2102">
        <f>IF(C2102="","",COUNTIFS($C$2:$C$3001,C2102,$F$2:$F$3001,"&lt;"&amp;F2102)+1)</f>
        <v/>
      </c>
      <c r="I2102">
        <f>IF(C2102="","",C2102&amp;"|"&amp;H2102)</f>
        <v/>
      </c>
      <c r="J2102" s="6">
        <f>IF(C2102="","",IF(H2102=1,SUMIFS('Opening Balance'!$F$4:$F$303,'Opening Balance'!$G$4:$G$303,C2102),INDEX($L$2:$L$3001,MATCH(C2102&amp;"|"&amp;(H2102-1),$I$2:$I$3001,0))))</f>
        <v/>
      </c>
      <c r="K2102" s="6">
        <f>IF(C2102="","",IF(M2102&gt;0,M2102,IF(AND(E2102&gt;0,ROUND(J2102+D2102-E2102,2)&gt;0,ROUND(J2102+D2102-E2102,2)&lt;'Opening Balance'!$B$14),ROUND(J2102+D2102-E2102,2),0)))</f>
        <v/>
      </c>
      <c r="L2102" s="6">
        <f>IF(C2102="","",ROUND(J2102+D2102-E2102-K2102,2))</f>
        <v/>
      </c>
      <c r="M2102" s="6">
        <f>IF(C2102="","",0)</f>
        <v/>
      </c>
    </row>
    <row r="2103">
      <c r="A2103" t="inlineStr">
        <is>
          <t>Bank 银行</t>
        </is>
      </c>
      <c r="B2103" s="5">
        <f>IF(AND('Daily Sale entry '!Z603="Online collection 网上收款",'Daily Sale entry '!AA603&lt;&gt;""),'Daily Sale entry '!X603,"")</f>
        <v/>
      </c>
      <c r="C2103">
        <f>IF(B2103="","",'Daily Sale entry '!AA603)</f>
        <v/>
      </c>
      <c r="D2103">
        <f>IF(C2103="","",0)</f>
        <v/>
      </c>
      <c r="E2103">
        <f>IF(C2103="","",'Daily Sale entry '!AC603)</f>
        <v/>
      </c>
      <c r="F2103" s="37">
        <f>IF(C2103="","",B2103+IF(E2103&gt;0,0,0.5)+ROW()/10000000)</f>
        <v/>
      </c>
      <c r="G2103">
        <f>IF(C2103="","","Collection 收款 (Online 网上)"&amp;IF('Daily Sale entry '!Y603="",""," - "&amp;'Daily Sale entry '!Y603))</f>
        <v/>
      </c>
      <c r="H2103">
        <f>IF(C2103="","",COUNTIFS($C$2:$C$3001,C2103,$F$2:$F$3001,"&lt;"&amp;F2103)+1)</f>
        <v/>
      </c>
      <c r="I2103">
        <f>IF(C2103="","",C2103&amp;"|"&amp;H2103)</f>
        <v/>
      </c>
      <c r="J2103" s="6">
        <f>IF(C2103="","",IF(H2103=1,SUMIFS('Opening Balance'!$F$4:$F$303,'Opening Balance'!$G$4:$G$303,C2103),INDEX($L$2:$L$3001,MATCH(C2103&amp;"|"&amp;(H2103-1),$I$2:$I$3001,0))))</f>
        <v/>
      </c>
      <c r="K2103" s="6">
        <f>IF(C2103="","",IF(M2103&gt;0,M2103,IF(AND(E2103&gt;0,ROUND(J2103+D2103-E2103,2)&gt;0,ROUND(J2103+D2103-E2103,2)&lt;'Opening Balance'!$B$14),ROUND(J2103+D2103-E2103,2),0)))</f>
        <v/>
      </c>
      <c r="L2103" s="6">
        <f>IF(C2103="","",ROUND(J2103+D2103-E2103-K2103,2))</f>
        <v/>
      </c>
      <c r="M2103" s="6">
        <f>IF(C2103="","",0)</f>
        <v/>
      </c>
    </row>
    <row r="2104">
      <c r="A2104" t="inlineStr">
        <is>
          <t>Bank 银行</t>
        </is>
      </c>
      <c r="B2104" s="5">
        <f>IF(AND('Daily Sale entry '!Z604="Online collection 网上收款",'Daily Sale entry '!AA604&lt;&gt;""),'Daily Sale entry '!X604,"")</f>
        <v/>
      </c>
      <c r="C2104">
        <f>IF(B2104="","",'Daily Sale entry '!AA604)</f>
        <v/>
      </c>
      <c r="D2104">
        <f>IF(C2104="","",0)</f>
        <v/>
      </c>
      <c r="E2104">
        <f>IF(C2104="","",'Daily Sale entry '!AC604)</f>
        <v/>
      </c>
      <c r="F2104" s="37">
        <f>IF(C2104="","",B2104+IF(E2104&gt;0,0,0.5)+ROW()/10000000)</f>
        <v/>
      </c>
      <c r="G2104">
        <f>IF(C2104="","","Collection 收款 (Online 网上)"&amp;IF('Daily Sale entry '!Y604="",""," - "&amp;'Daily Sale entry '!Y604))</f>
        <v/>
      </c>
      <c r="H2104">
        <f>IF(C2104="","",COUNTIFS($C$2:$C$3001,C2104,$F$2:$F$3001,"&lt;"&amp;F2104)+1)</f>
        <v/>
      </c>
      <c r="I2104">
        <f>IF(C2104="","",C2104&amp;"|"&amp;H2104)</f>
        <v/>
      </c>
      <c r="J2104" s="6">
        <f>IF(C2104="","",IF(H2104=1,SUMIFS('Opening Balance'!$F$4:$F$303,'Opening Balance'!$G$4:$G$303,C2104),INDEX($L$2:$L$3001,MATCH(C2104&amp;"|"&amp;(H2104-1),$I$2:$I$3001,0))))</f>
        <v/>
      </c>
      <c r="K2104" s="6">
        <f>IF(C2104="","",IF(M2104&gt;0,M2104,IF(AND(E2104&gt;0,ROUND(J2104+D2104-E2104,2)&gt;0,ROUND(J2104+D2104-E2104,2)&lt;'Opening Balance'!$B$14),ROUND(J2104+D2104-E2104,2),0)))</f>
        <v/>
      </c>
      <c r="L2104" s="6">
        <f>IF(C2104="","",ROUND(J2104+D2104-E2104-K2104,2))</f>
        <v/>
      </c>
      <c r="M2104" s="6">
        <f>IF(C2104="","",0)</f>
        <v/>
      </c>
    </row>
    <row r="2105">
      <c r="A2105" t="inlineStr">
        <is>
          <t>Bank 银行</t>
        </is>
      </c>
      <c r="B2105" s="5">
        <f>IF(AND('Daily Sale entry '!Z605="Online collection 网上收款",'Daily Sale entry '!AA605&lt;&gt;""),'Daily Sale entry '!X605,"")</f>
        <v/>
      </c>
      <c r="C2105">
        <f>IF(B2105="","",'Daily Sale entry '!AA605)</f>
        <v/>
      </c>
      <c r="D2105">
        <f>IF(C2105="","",0)</f>
        <v/>
      </c>
      <c r="E2105">
        <f>IF(C2105="","",'Daily Sale entry '!AC605)</f>
        <v/>
      </c>
      <c r="F2105" s="37">
        <f>IF(C2105="","",B2105+IF(E2105&gt;0,0,0.5)+ROW()/10000000)</f>
        <v/>
      </c>
      <c r="G2105">
        <f>IF(C2105="","","Collection 收款 (Online 网上)"&amp;IF('Daily Sale entry '!Y605="",""," - "&amp;'Daily Sale entry '!Y605))</f>
        <v/>
      </c>
      <c r="H2105">
        <f>IF(C2105="","",COUNTIFS($C$2:$C$3001,C2105,$F$2:$F$3001,"&lt;"&amp;F2105)+1)</f>
        <v/>
      </c>
      <c r="I2105">
        <f>IF(C2105="","",C2105&amp;"|"&amp;H2105)</f>
        <v/>
      </c>
      <c r="J2105" s="6">
        <f>IF(C2105="","",IF(H2105=1,SUMIFS('Opening Balance'!$F$4:$F$303,'Opening Balance'!$G$4:$G$303,C2105),INDEX($L$2:$L$3001,MATCH(C2105&amp;"|"&amp;(H2105-1),$I$2:$I$3001,0))))</f>
        <v/>
      </c>
      <c r="K2105" s="6">
        <f>IF(C2105="","",IF(M2105&gt;0,M2105,IF(AND(E2105&gt;0,ROUND(J2105+D2105-E2105,2)&gt;0,ROUND(J2105+D2105-E2105,2)&lt;'Opening Balance'!$B$14),ROUND(J2105+D2105-E2105,2),0)))</f>
        <v/>
      </c>
      <c r="L2105" s="6">
        <f>IF(C2105="","",ROUND(J2105+D2105-E2105-K2105,2))</f>
        <v/>
      </c>
      <c r="M2105" s="6">
        <f>IF(C2105="","",0)</f>
        <v/>
      </c>
    </row>
    <row r="2106">
      <c r="A2106" t="inlineStr">
        <is>
          <t>Bank 银行</t>
        </is>
      </c>
      <c r="B2106" s="5">
        <f>IF(AND('Daily Sale entry '!Z606="Online collection 网上收款",'Daily Sale entry '!AA606&lt;&gt;""),'Daily Sale entry '!X606,"")</f>
        <v/>
      </c>
      <c r="C2106">
        <f>IF(B2106="","",'Daily Sale entry '!AA606)</f>
        <v/>
      </c>
      <c r="D2106">
        <f>IF(C2106="","",0)</f>
        <v/>
      </c>
      <c r="E2106">
        <f>IF(C2106="","",'Daily Sale entry '!AC606)</f>
        <v/>
      </c>
      <c r="F2106" s="37">
        <f>IF(C2106="","",B2106+IF(E2106&gt;0,0,0.5)+ROW()/10000000)</f>
        <v/>
      </c>
      <c r="G2106">
        <f>IF(C2106="","","Collection 收款 (Online 网上)"&amp;IF('Daily Sale entry '!Y606="",""," - "&amp;'Daily Sale entry '!Y606))</f>
        <v/>
      </c>
      <c r="H2106">
        <f>IF(C2106="","",COUNTIFS($C$2:$C$3001,C2106,$F$2:$F$3001,"&lt;"&amp;F2106)+1)</f>
        <v/>
      </c>
      <c r="I2106">
        <f>IF(C2106="","",C2106&amp;"|"&amp;H2106)</f>
        <v/>
      </c>
      <c r="J2106" s="6">
        <f>IF(C2106="","",IF(H2106=1,SUMIFS('Opening Balance'!$F$4:$F$303,'Opening Balance'!$G$4:$G$303,C2106),INDEX($L$2:$L$3001,MATCH(C2106&amp;"|"&amp;(H2106-1),$I$2:$I$3001,0))))</f>
        <v/>
      </c>
      <c r="K2106" s="6">
        <f>IF(C2106="","",IF(M2106&gt;0,M2106,IF(AND(E2106&gt;0,ROUND(J2106+D2106-E2106,2)&gt;0,ROUND(J2106+D2106-E2106,2)&lt;'Opening Balance'!$B$14),ROUND(J2106+D2106-E2106,2),0)))</f>
        <v/>
      </c>
      <c r="L2106" s="6">
        <f>IF(C2106="","",ROUND(J2106+D2106-E2106-K2106,2))</f>
        <v/>
      </c>
      <c r="M2106" s="6">
        <f>IF(C2106="","",0)</f>
        <v/>
      </c>
    </row>
    <row r="2107">
      <c r="A2107" t="inlineStr">
        <is>
          <t>Bank 银行</t>
        </is>
      </c>
      <c r="B2107" s="5">
        <f>IF(AND('Daily Sale entry '!Z607="Online collection 网上收款",'Daily Sale entry '!AA607&lt;&gt;""),'Daily Sale entry '!X607,"")</f>
        <v/>
      </c>
      <c r="C2107">
        <f>IF(B2107="","",'Daily Sale entry '!AA607)</f>
        <v/>
      </c>
      <c r="D2107">
        <f>IF(C2107="","",0)</f>
        <v/>
      </c>
      <c r="E2107">
        <f>IF(C2107="","",'Daily Sale entry '!AC607)</f>
        <v/>
      </c>
      <c r="F2107" s="37">
        <f>IF(C2107="","",B2107+IF(E2107&gt;0,0,0.5)+ROW()/10000000)</f>
        <v/>
      </c>
      <c r="G2107">
        <f>IF(C2107="","","Collection 收款 (Online 网上)"&amp;IF('Daily Sale entry '!Y607="",""," - "&amp;'Daily Sale entry '!Y607))</f>
        <v/>
      </c>
      <c r="H2107">
        <f>IF(C2107="","",COUNTIFS($C$2:$C$3001,C2107,$F$2:$F$3001,"&lt;"&amp;F2107)+1)</f>
        <v/>
      </c>
      <c r="I2107">
        <f>IF(C2107="","",C2107&amp;"|"&amp;H2107)</f>
        <v/>
      </c>
      <c r="J2107" s="6">
        <f>IF(C2107="","",IF(H2107=1,SUMIFS('Opening Balance'!$F$4:$F$303,'Opening Balance'!$G$4:$G$303,C2107),INDEX($L$2:$L$3001,MATCH(C2107&amp;"|"&amp;(H2107-1),$I$2:$I$3001,0))))</f>
        <v/>
      </c>
      <c r="K2107" s="6">
        <f>IF(C2107="","",IF(M2107&gt;0,M2107,IF(AND(E2107&gt;0,ROUND(J2107+D2107-E2107,2)&gt;0,ROUND(J2107+D2107-E2107,2)&lt;'Opening Balance'!$B$14),ROUND(J2107+D2107-E2107,2),0)))</f>
        <v/>
      </c>
      <c r="L2107" s="6">
        <f>IF(C2107="","",ROUND(J2107+D2107-E2107-K2107,2))</f>
        <v/>
      </c>
      <c r="M2107" s="6">
        <f>IF(C2107="","",0)</f>
        <v/>
      </c>
    </row>
    <row r="2108">
      <c r="A2108" t="inlineStr">
        <is>
          <t>Bank 银行</t>
        </is>
      </c>
      <c r="B2108" s="5">
        <f>IF(AND('Daily Sale entry '!Z608="Online collection 网上收款",'Daily Sale entry '!AA608&lt;&gt;""),'Daily Sale entry '!X608,"")</f>
        <v/>
      </c>
      <c r="C2108">
        <f>IF(B2108="","",'Daily Sale entry '!AA608)</f>
        <v/>
      </c>
      <c r="D2108">
        <f>IF(C2108="","",0)</f>
        <v/>
      </c>
      <c r="E2108">
        <f>IF(C2108="","",'Daily Sale entry '!AC608)</f>
        <v/>
      </c>
      <c r="F2108" s="37">
        <f>IF(C2108="","",B2108+IF(E2108&gt;0,0,0.5)+ROW()/10000000)</f>
        <v/>
      </c>
      <c r="G2108">
        <f>IF(C2108="","","Collection 收款 (Online 网上)"&amp;IF('Daily Sale entry '!Y608="",""," - "&amp;'Daily Sale entry '!Y608))</f>
        <v/>
      </c>
      <c r="H2108">
        <f>IF(C2108="","",COUNTIFS($C$2:$C$3001,C2108,$F$2:$F$3001,"&lt;"&amp;F2108)+1)</f>
        <v/>
      </c>
      <c r="I2108">
        <f>IF(C2108="","",C2108&amp;"|"&amp;H2108)</f>
        <v/>
      </c>
      <c r="J2108" s="6">
        <f>IF(C2108="","",IF(H2108=1,SUMIFS('Opening Balance'!$F$4:$F$303,'Opening Balance'!$G$4:$G$303,C2108),INDEX($L$2:$L$3001,MATCH(C2108&amp;"|"&amp;(H2108-1),$I$2:$I$3001,0))))</f>
        <v/>
      </c>
      <c r="K2108" s="6">
        <f>IF(C2108="","",IF(M2108&gt;0,M2108,IF(AND(E2108&gt;0,ROUND(J2108+D2108-E2108,2)&gt;0,ROUND(J2108+D2108-E2108,2)&lt;'Opening Balance'!$B$14),ROUND(J2108+D2108-E2108,2),0)))</f>
        <v/>
      </c>
      <c r="L2108" s="6">
        <f>IF(C2108="","",ROUND(J2108+D2108-E2108-K2108,2))</f>
        <v/>
      </c>
      <c r="M2108" s="6">
        <f>IF(C2108="","",0)</f>
        <v/>
      </c>
    </row>
    <row r="2109">
      <c r="A2109" t="inlineStr">
        <is>
          <t>Bank 银行</t>
        </is>
      </c>
      <c r="B2109" s="5">
        <f>IF(AND('Daily Sale entry '!Z609="Online collection 网上收款",'Daily Sale entry '!AA609&lt;&gt;""),'Daily Sale entry '!X609,"")</f>
        <v/>
      </c>
      <c r="C2109">
        <f>IF(B2109="","",'Daily Sale entry '!AA609)</f>
        <v/>
      </c>
      <c r="D2109">
        <f>IF(C2109="","",0)</f>
        <v/>
      </c>
      <c r="E2109">
        <f>IF(C2109="","",'Daily Sale entry '!AC609)</f>
        <v/>
      </c>
      <c r="F2109" s="37">
        <f>IF(C2109="","",B2109+IF(E2109&gt;0,0,0.5)+ROW()/10000000)</f>
        <v/>
      </c>
      <c r="G2109">
        <f>IF(C2109="","","Collection 收款 (Online 网上)"&amp;IF('Daily Sale entry '!Y609="",""," - "&amp;'Daily Sale entry '!Y609))</f>
        <v/>
      </c>
      <c r="H2109">
        <f>IF(C2109="","",COUNTIFS($C$2:$C$3001,C2109,$F$2:$F$3001,"&lt;"&amp;F2109)+1)</f>
        <v/>
      </c>
      <c r="I2109">
        <f>IF(C2109="","",C2109&amp;"|"&amp;H2109)</f>
        <v/>
      </c>
      <c r="J2109" s="6">
        <f>IF(C2109="","",IF(H2109=1,SUMIFS('Opening Balance'!$F$4:$F$303,'Opening Balance'!$G$4:$G$303,C2109),INDEX($L$2:$L$3001,MATCH(C2109&amp;"|"&amp;(H2109-1),$I$2:$I$3001,0))))</f>
        <v/>
      </c>
      <c r="K2109" s="6">
        <f>IF(C2109="","",IF(M2109&gt;0,M2109,IF(AND(E2109&gt;0,ROUND(J2109+D2109-E2109,2)&gt;0,ROUND(J2109+D2109-E2109,2)&lt;'Opening Balance'!$B$14),ROUND(J2109+D2109-E2109,2),0)))</f>
        <v/>
      </c>
      <c r="L2109" s="6">
        <f>IF(C2109="","",ROUND(J2109+D2109-E2109-K2109,2))</f>
        <v/>
      </c>
      <c r="M2109" s="6">
        <f>IF(C2109="","",0)</f>
        <v/>
      </c>
    </row>
    <row r="2110">
      <c r="A2110" t="inlineStr">
        <is>
          <t>Bank 银行</t>
        </is>
      </c>
      <c r="B2110" s="5">
        <f>IF(AND('Daily Sale entry '!Z610="Online collection 网上收款",'Daily Sale entry '!AA610&lt;&gt;""),'Daily Sale entry '!X610,"")</f>
        <v/>
      </c>
      <c r="C2110">
        <f>IF(B2110="","",'Daily Sale entry '!AA610)</f>
        <v/>
      </c>
      <c r="D2110">
        <f>IF(C2110="","",0)</f>
        <v/>
      </c>
      <c r="E2110">
        <f>IF(C2110="","",'Daily Sale entry '!AC610)</f>
        <v/>
      </c>
      <c r="F2110" s="37">
        <f>IF(C2110="","",B2110+IF(E2110&gt;0,0,0.5)+ROW()/10000000)</f>
        <v/>
      </c>
      <c r="G2110">
        <f>IF(C2110="","","Collection 收款 (Online 网上)"&amp;IF('Daily Sale entry '!Y610="",""," - "&amp;'Daily Sale entry '!Y610))</f>
        <v/>
      </c>
      <c r="H2110">
        <f>IF(C2110="","",COUNTIFS($C$2:$C$3001,C2110,$F$2:$F$3001,"&lt;"&amp;F2110)+1)</f>
        <v/>
      </c>
      <c r="I2110">
        <f>IF(C2110="","",C2110&amp;"|"&amp;H2110)</f>
        <v/>
      </c>
      <c r="J2110" s="6">
        <f>IF(C2110="","",IF(H2110=1,SUMIFS('Opening Balance'!$F$4:$F$303,'Opening Balance'!$G$4:$G$303,C2110),INDEX($L$2:$L$3001,MATCH(C2110&amp;"|"&amp;(H2110-1),$I$2:$I$3001,0))))</f>
        <v/>
      </c>
      <c r="K2110" s="6">
        <f>IF(C2110="","",IF(M2110&gt;0,M2110,IF(AND(E2110&gt;0,ROUND(J2110+D2110-E2110,2)&gt;0,ROUND(J2110+D2110-E2110,2)&lt;'Opening Balance'!$B$14),ROUND(J2110+D2110-E2110,2),0)))</f>
        <v/>
      </c>
      <c r="L2110" s="6">
        <f>IF(C2110="","",ROUND(J2110+D2110-E2110-K2110,2))</f>
        <v/>
      </c>
      <c r="M2110" s="6">
        <f>IF(C2110="","",0)</f>
        <v/>
      </c>
    </row>
    <row r="2111">
      <c r="A2111" t="inlineStr">
        <is>
          <t>Bank 银行</t>
        </is>
      </c>
      <c r="B2111" s="5">
        <f>IF(AND('Daily Sale entry '!Z611="Online collection 网上收款",'Daily Sale entry '!AA611&lt;&gt;""),'Daily Sale entry '!X611,"")</f>
        <v/>
      </c>
      <c r="C2111">
        <f>IF(B2111="","",'Daily Sale entry '!AA611)</f>
        <v/>
      </c>
      <c r="D2111">
        <f>IF(C2111="","",0)</f>
        <v/>
      </c>
      <c r="E2111">
        <f>IF(C2111="","",'Daily Sale entry '!AC611)</f>
        <v/>
      </c>
      <c r="F2111" s="37">
        <f>IF(C2111="","",B2111+IF(E2111&gt;0,0,0.5)+ROW()/10000000)</f>
        <v/>
      </c>
      <c r="G2111">
        <f>IF(C2111="","","Collection 收款 (Online 网上)"&amp;IF('Daily Sale entry '!Y611="",""," - "&amp;'Daily Sale entry '!Y611))</f>
        <v/>
      </c>
      <c r="H2111">
        <f>IF(C2111="","",COUNTIFS($C$2:$C$3001,C2111,$F$2:$F$3001,"&lt;"&amp;F2111)+1)</f>
        <v/>
      </c>
      <c r="I2111">
        <f>IF(C2111="","",C2111&amp;"|"&amp;H2111)</f>
        <v/>
      </c>
      <c r="J2111" s="6">
        <f>IF(C2111="","",IF(H2111=1,SUMIFS('Opening Balance'!$F$4:$F$303,'Opening Balance'!$G$4:$G$303,C2111),INDEX($L$2:$L$3001,MATCH(C2111&amp;"|"&amp;(H2111-1),$I$2:$I$3001,0))))</f>
        <v/>
      </c>
      <c r="K2111" s="6">
        <f>IF(C2111="","",IF(M2111&gt;0,M2111,IF(AND(E2111&gt;0,ROUND(J2111+D2111-E2111,2)&gt;0,ROUND(J2111+D2111-E2111,2)&lt;'Opening Balance'!$B$14),ROUND(J2111+D2111-E2111,2),0)))</f>
        <v/>
      </c>
      <c r="L2111" s="6">
        <f>IF(C2111="","",ROUND(J2111+D2111-E2111-K2111,2))</f>
        <v/>
      </c>
      <c r="M2111" s="6">
        <f>IF(C2111="","",0)</f>
        <v/>
      </c>
    </row>
    <row r="2112">
      <c r="A2112" t="inlineStr">
        <is>
          <t>Bank 银行</t>
        </is>
      </c>
      <c r="B2112" s="5">
        <f>IF(AND('Daily Sale entry '!Z612="Online collection 网上收款",'Daily Sale entry '!AA612&lt;&gt;""),'Daily Sale entry '!X612,"")</f>
        <v/>
      </c>
      <c r="C2112">
        <f>IF(B2112="","",'Daily Sale entry '!AA612)</f>
        <v/>
      </c>
      <c r="D2112">
        <f>IF(C2112="","",0)</f>
        <v/>
      </c>
      <c r="E2112">
        <f>IF(C2112="","",'Daily Sale entry '!AC612)</f>
        <v/>
      </c>
      <c r="F2112" s="37">
        <f>IF(C2112="","",B2112+IF(E2112&gt;0,0,0.5)+ROW()/10000000)</f>
        <v/>
      </c>
      <c r="G2112">
        <f>IF(C2112="","","Collection 收款 (Online 网上)"&amp;IF('Daily Sale entry '!Y612="",""," - "&amp;'Daily Sale entry '!Y612))</f>
        <v/>
      </c>
      <c r="H2112">
        <f>IF(C2112="","",COUNTIFS($C$2:$C$3001,C2112,$F$2:$F$3001,"&lt;"&amp;F2112)+1)</f>
        <v/>
      </c>
      <c r="I2112">
        <f>IF(C2112="","",C2112&amp;"|"&amp;H2112)</f>
        <v/>
      </c>
      <c r="J2112" s="6">
        <f>IF(C2112="","",IF(H2112=1,SUMIFS('Opening Balance'!$F$4:$F$303,'Opening Balance'!$G$4:$G$303,C2112),INDEX($L$2:$L$3001,MATCH(C2112&amp;"|"&amp;(H2112-1),$I$2:$I$3001,0))))</f>
        <v/>
      </c>
      <c r="K2112" s="6">
        <f>IF(C2112="","",IF(M2112&gt;0,M2112,IF(AND(E2112&gt;0,ROUND(J2112+D2112-E2112,2)&gt;0,ROUND(J2112+D2112-E2112,2)&lt;'Opening Balance'!$B$14),ROUND(J2112+D2112-E2112,2),0)))</f>
        <v/>
      </c>
      <c r="L2112" s="6">
        <f>IF(C2112="","",ROUND(J2112+D2112-E2112-K2112,2))</f>
        <v/>
      </c>
      <c r="M2112" s="6">
        <f>IF(C2112="","",0)</f>
        <v/>
      </c>
    </row>
    <row r="2113">
      <c r="A2113" t="inlineStr">
        <is>
          <t>Bank 银行</t>
        </is>
      </c>
      <c r="B2113" s="5">
        <f>IF(AND('Daily Sale entry '!Z613="Online collection 网上收款",'Daily Sale entry '!AA613&lt;&gt;""),'Daily Sale entry '!X613,"")</f>
        <v/>
      </c>
      <c r="C2113">
        <f>IF(B2113="","",'Daily Sale entry '!AA613)</f>
        <v/>
      </c>
      <c r="D2113">
        <f>IF(C2113="","",0)</f>
        <v/>
      </c>
      <c r="E2113">
        <f>IF(C2113="","",'Daily Sale entry '!AC613)</f>
        <v/>
      </c>
      <c r="F2113" s="37">
        <f>IF(C2113="","",B2113+IF(E2113&gt;0,0,0.5)+ROW()/10000000)</f>
        <v/>
      </c>
      <c r="G2113">
        <f>IF(C2113="","","Collection 收款 (Online 网上)"&amp;IF('Daily Sale entry '!Y613="",""," - "&amp;'Daily Sale entry '!Y613))</f>
        <v/>
      </c>
      <c r="H2113">
        <f>IF(C2113="","",COUNTIFS($C$2:$C$3001,C2113,$F$2:$F$3001,"&lt;"&amp;F2113)+1)</f>
        <v/>
      </c>
      <c r="I2113">
        <f>IF(C2113="","",C2113&amp;"|"&amp;H2113)</f>
        <v/>
      </c>
      <c r="J2113" s="6">
        <f>IF(C2113="","",IF(H2113=1,SUMIFS('Opening Balance'!$F$4:$F$303,'Opening Balance'!$G$4:$G$303,C2113),INDEX($L$2:$L$3001,MATCH(C2113&amp;"|"&amp;(H2113-1),$I$2:$I$3001,0))))</f>
        <v/>
      </c>
      <c r="K2113" s="6">
        <f>IF(C2113="","",IF(M2113&gt;0,M2113,IF(AND(E2113&gt;0,ROUND(J2113+D2113-E2113,2)&gt;0,ROUND(J2113+D2113-E2113,2)&lt;'Opening Balance'!$B$14),ROUND(J2113+D2113-E2113,2),0)))</f>
        <v/>
      </c>
      <c r="L2113" s="6">
        <f>IF(C2113="","",ROUND(J2113+D2113-E2113-K2113,2))</f>
        <v/>
      </c>
      <c r="M2113" s="6">
        <f>IF(C2113="","",0)</f>
        <v/>
      </c>
    </row>
    <row r="2114">
      <c r="A2114" t="inlineStr">
        <is>
          <t>Bank 银行</t>
        </is>
      </c>
      <c r="B2114" s="5">
        <f>IF(AND('Daily Sale entry '!Z614="Online collection 网上收款",'Daily Sale entry '!AA614&lt;&gt;""),'Daily Sale entry '!X614,"")</f>
        <v/>
      </c>
      <c r="C2114">
        <f>IF(B2114="","",'Daily Sale entry '!AA614)</f>
        <v/>
      </c>
      <c r="D2114">
        <f>IF(C2114="","",0)</f>
        <v/>
      </c>
      <c r="E2114">
        <f>IF(C2114="","",'Daily Sale entry '!AC614)</f>
        <v/>
      </c>
      <c r="F2114" s="37">
        <f>IF(C2114="","",B2114+IF(E2114&gt;0,0,0.5)+ROW()/10000000)</f>
        <v/>
      </c>
      <c r="G2114">
        <f>IF(C2114="","","Collection 收款 (Online 网上)"&amp;IF('Daily Sale entry '!Y614="",""," - "&amp;'Daily Sale entry '!Y614))</f>
        <v/>
      </c>
      <c r="H2114">
        <f>IF(C2114="","",COUNTIFS($C$2:$C$3001,C2114,$F$2:$F$3001,"&lt;"&amp;F2114)+1)</f>
        <v/>
      </c>
      <c r="I2114">
        <f>IF(C2114="","",C2114&amp;"|"&amp;H2114)</f>
        <v/>
      </c>
      <c r="J2114" s="6">
        <f>IF(C2114="","",IF(H2114=1,SUMIFS('Opening Balance'!$F$4:$F$303,'Opening Balance'!$G$4:$G$303,C2114),INDEX($L$2:$L$3001,MATCH(C2114&amp;"|"&amp;(H2114-1),$I$2:$I$3001,0))))</f>
        <v/>
      </c>
      <c r="K2114" s="6">
        <f>IF(C2114="","",IF(M2114&gt;0,M2114,IF(AND(E2114&gt;0,ROUND(J2114+D2114-E2114,2)&gt;0,ROUND(J2114+D2114-E2114,2)&lt;'Opening Balance'!$B$14),ROUND(J2114+D2114-E2114,2),0)))</f>
        <v/>
      </c>
      <c r="L2114" s="6">
        <f>IF(C2114="","",ROUND(J2114+D2114-E2114-K2114,2))</f>
        <v/>
      </c>
      <c r="M2114" s="6">
        <f>IF(C2114="","",0)</f>
        <v/>
      </c>
    </row>
    <row r="2115">
      <c r="A2115" t="inlineStr">
        <is>
          <t>Bank 银行</t>
        </is>
      </c>
      <c r="B2115" s="5">
        <f>IF(AND('Daily Sale entry '!Z615="Online collection 网上收款",'Daily Sale entry '!AA615&lt;&gt;""),'Daily Sale entry '!X615,"")</f>
        <v/>
      </c>
      <c r="C2115">
        <f>IF(B2115="","",'Daily Sale entry '!AA615)</f>
        <v/>
      </c>
      <c r="D2115">
        <f>IF(C2115="","",0)</f>
        <v/>
      </c>
      <c r="E2115">
        <f>IF(C2115="","",'Daily Sale entry '!AC615)</f>
        <v/>
      </c>
      <c r="F2115" s="37">
        <f>IF(C2115="","",B2115+IF(E2115&gt;0,0,0.5)+ROW()/10000000)</f>
        <v/>
      </c>
      <c r="G2115">
        <f>IF(C2115="","","Collection 收款 (Online 网上)"&amp;IF('Daily Sale entry '!Y615="",""," - "&amp;'Daily Sale entry '!Y615))</f>
        <v/>
      </c>
      <c r="H2115">
        <f>IF(C2115="","",COUNTIFS($C$2:$C$3001,C2115,$F$2:$F$3001,"&lt;"&amp;F2115)+1)</f>
        <v/>
      </c>
      <c r="I2115">
        <f>IF(C2115="","",C2115&amp;"|"&amp;H2115)</f>
        <v/>
      </c>
      <c r="J2115" s="6">
        <f>IF(C2115="","",IF(H2115=1,SUMIFS('Opening Balance'!$F$4:$F$303,'Opening Balance'!$G$4:$G$303,C2115),INDEX($L$2:$L$3001,MATCH(C2115&amp;"|"&amp;(H2115-1),$I$2:$I$3001,0))))</f>
        <v/>
      </c>
      <c r="K2115" s="6">
        <f>IF(C2115="","",IF(M2115&gt;0,M2115,IF(AND(E2115&gt;0,ROUND(J2115+D2115-E2115,2)&gt;0,ROUND(J2115+D2115-E2115,2)&lt;'Opening Balance'!$B$14),ROUND(J2115+D2115-E2115,2),0)))</f>
        <v/>
      </c>
      <c r="L2115" s="6">
        <f>IF(C2115="","",ROUND(J2115+D2115-E2115-K2115,2))</f>
        <v/>
      </c>
      <c r="M2115" s="6">
        <f>IF(C2115="","",0)</f>
        <v/>
      </c>
    </row>
    <row r="2116">
      <c r="A2116" t="inlineStr">
        <is>
          <t>Bank 银行</t>
        </is>
      </c>
      <c r="B2116" s="5">
        <f>IF(AND('Daily Sale entry '!Z616="Online collection 网上收款",'Daily Sale entry '!AA616&lt;&gt;""),'Daily Sale entry '!X616,"")</f>
        <v/>
      </c>
      <c r="C2116">
        <f>IF(B2116="","",'Daily Sale entry '!AA616)</f>
        <v/>
      </c>
      <c r="D2116">
        <f>IF(C2116="","",0)</f>
        <v/>
      </c>
      <c r="E2116">
        <f>IF(C2116="","",'Daily Sale entry '!AC616)</f>
        <v/>
      </c>
      <c r="F2116" s="37">
        <f>IF(C2116="","",B2116+IF(E2116&gt;0,0,0.5)+ROW()/10000000)</f>
        <v/>
      </c>
      <c r="G2116">
        <f>IF(C2116="","","Collection 收款 (Online 网上)"&amp;IF('Daily Sale entry '!Y616="",""," - "&amp;'Daily Sale entry '!Y616))</f>
        <v/>
      </c>
      <c r="H2116">
        <f>IF(C2116="","",COUNTIFS($C$2:$C$3001,C2116,$F$2:$F$3001,"&lt;"&amp;F2116)+1)</f>
        <v/>
      </c>
      <c r="I2116">
        <f>IF(C2116="","",C2116&amp;"|"&amp;H2116)</f>
        <v/>
      </c>
      <c r="J2116" s="6">
        <f>IF(C2116="","",IF(H2116=1,SUMIFS('Opening Balance'!$F$4:$F$303,'Opening Balance'!$G$4:$G$303,C2116),INDEX($L$2:$L$3001,MATCH(C2116&amp;"|"&amp;(H2116-1),$I$2:$I$3001,0))))</f>
        <v/>
      </c>
      <c r="K2116" s="6">
        <f>IF(C2116="","",IF(M2116&gt;0,M2116,IF(AND(E2116&gt;0,ROUND(J2116+D2116-E2116,2)&gt;0,ROUND(J2116+D2116-E2116,2)&lt;'Opening Balance'!$B$14),ROUND(J2116+D2116-E2116,2),0)))</f>
        <v/>
      </c>
      <c r="L2116" s="6">
        <f>IF(C2116="","",ROUND(J2116+D2116-E2116-K2116,2))</f>
        <v/>
      </c>
      <c r="M2116" s="6">
        <f>IF(C2116="","",0)</f>
        <v/>
      </c>
    </row>
    <row r="2117">
      <c r="A2117" t="inlineStr">
        <is>
          <t>Bank 银行</t>
        </is>
      </c>
      <c r="B2117" s="5">
        <f>IF(AND('Daily Sale entry '!Z617="Online collection 网上收款",'Daily Sale entry '!AA617&lt;&gt;""),'Daily Sale entry '!X617,"")</f>
        <v/>
      </c>
      <c r="C2117">
        <f>IF(B2117="","",'Daily Sale entry '!AA617)</f>
        <v/>
      </c>
      <c r="D2117">
        <f>IF(C2117="","",0)</f>
        <v/>
      </c>
      <c r="E2117">
        <f>IF(C2117="","",'Daily Sale entry '!AC617)</f>
        <v/>
      </c>
      <c r="F2117" s="37">
        <f>IF(C2117="","",B2117+IF(E2117&gt;0,0,0.5)+ROW()/10000000)</f>
        <v/>
      </c>
      <c r="G2117">
        <f>IF(C2117="","","Collection 收款 (Online 网上)"&amp;IF('Daily Sale entry '!Y617="",""," - "&amp;'Daily Sale entry '!Y617))</f>
        <v/>
      </c>
      <c r="H2117">
        <f>IF(C2117="","",COUNTIFS($C$2:$C$3001,C2117,$F$2:$F$3001,"&lt;"&amp;F2117)+1)</f>
        <v/>
      </c>
      <c r="I2117">
        <f>IF(C2117="","",C2117&amp;"|"&amp;H2117)</f>
        <v/>
      </c>
      <c r="J2117" s="6">
        <f>IF(C2117="","",IF(H2117=1,SUMIFS('Opening Balance'!$F$4:$F$303,'Opening Balance'!$G$4:$G$303,C2117),INDEX($L$2:$L$3001,MATCH(C2117&amp;"|"&amp;(H2117-1),$I$2:$I$3001,0))))</f>
        <v/>
      </c>
      <c r="K2117" s="6">
        <f>IF(C2117="","",IF(M2117&gt;0,M2117,IF(AND(E2117&gt;0,ROUND(J2117+D2117-E2117,2)&gt;0,ROUND(J2117+D2117-E2117,2)&lt;'Opening Balance'!$B$14),ROUND(J2117+D2117-E2117,2),0)))</f>
        <v/>
      </c>
      <c r="L2117" s="6">
        <f>IF(C2117="","",ROUND(J2117+D2117-E2117-K2117,2))</f>
        <v/>
      </c>
      <c r="M2117" s="6">
        <f>IF(C2117="","",0)</f>
        <v/>
      </c>
    </row>
    <row r="2118">
      <c r="A2118" t="inlineStr">
        <is>
          <t>Bank 银行</t>
        </is>
      </c>
      <c r="B2118" s="5">
        <f>IF(AND('Daily Sale entry '!Z618="Online collection 网上收款",'Daily Sale entry '!AA618&lt;&gt;""),'Daily Sale entry '!X618,"")</f>
        <v/>
      </c>
      <c r="C2118">
        <f>IF(B2118="","",'Daily Sale entry '!AA618)</f>
        <v/>
      </c>
      <c r="D2118">
        <f>IF(C2118="","",0)</f>
        <v/>
      </c>
      <c r="E2118">
        <f>IF(C2118="","",'Daily Sale entry '!AC618)</f>
        <v/>
      </c>
      <c r="F2118" s="37">
        <f>IF(C2118="","",B2118+IF(E2118&gt;0,0,0.5)+ROW()/10000000)</f>
        <v/>
      </c>
      <c r="G2118">
        <f>IF(C2118="","","Collection 收款 (Online 网上)"&amp;IF('Daily Sale entry '!Y618="",""," - "&amp;'Daily Sale entry '!Y618))</f>
        <v/>
      </c>
      <c r="H2118">
        <f>IF(C2118="","",COUNTIFS($C$2:$C$3001,C2118,$F$2:$F$3001,"&lt;"&amp;F2118)+1)</f>
        <v/>
      </c>
      <c r="I2118">
        <f>IF(C2118="","",C2118&amp;"|"&amp;H2118)</f>
        <v/>
      </c>
      <c r="J2118" s="6">
        <f>IF(C2118="","",IF(H2118=1,SUMIFS('Opening Balance'!$F$4:$F$303,'Opening Balance'!$G$4:$G$303,C2118),INDEX($L$2:$L$3001,MATCH(C2118&amp;"|"&amp;(H2118-1),$I$2:$I$3001,0))))</f>
        <v/>
      </c>
      <c r="K2118" s="6">
        <f>IF(C2118="","",IF(M2118&gt;0,M2118,IF(AND(E2118&gt;0,ROUND(J2118+D2118-E2118,2)&gt;0,ROUND(J2118+D2118-E2118,2)&lt;'Opening Balance'!$B$14),ROUND(J2118+D2118-E2118,2),0)))</f>
        <v/>
      </c>
      <c r="L2118" s="6">
        <f>IF(C2118="","",ROUND(J2118+D2118-E2118-K2118,2))</f>
        <v/>
      </c>
      <c r="M2118" s="6">
        <f>IF(C2118="","",0)</f>
        <v/>
      </c>
    </row>
    <row r="2119">
      <c r="A2119" t="inlineStr">
        <is>
          <t>Bank 银行</t>
        </is>
      </c>
      <c r="B2119" s="5">
        <f>IF(AND('Daily Sale entry '!Z619="Online collection 网上收款",'Daily Sale entry '!AA619&lt;&gt;""),'Daily Sale entry '!X619,"")</f>
        <v/>
      </c>
      <c r="C2119">
        <f>IF(B2119="","",'Daily Sale entry '!AA619)</f>
        <v/>
      </c>
      <c r="D2119">
        <f>IF(C2119="","",0)</f>
        <v/>
      </c>
      <c r="E2119">
        <f>IF(C2119="","",'Daily Sale entry '!AC619)</f>
        <v/>
      </c>
      <c r="F2119" s="37">
        <f>IF(C2119="","",B2119+IF(E2119&gt;0,0,0.5)+ROW()/10000000)</f>
        <v/>
      </c>
      <c r="G2119">
        <f>IF(C2119="","","Collection 收款 (Online 网上)"&amp;IF('Daily Sale entry '!Y619="",""," - "&amp;'Daily Sale entry '!Y619))</f>
        <v/>
      </c>
      <c r="H2119">
        <f>IF(C2119="","",COUNTIFS($C$2:$C$3001,C2119,$F$2:$F$3001,"&lt;"&amp;F2119)+1)</f>
        <v/>
      </c>
      <c r="I2119">
        <f>IF(C2119="","",C2119&amp;"|"&amp;H2119)</f>
        <v/>
      </c>
      <c r="J2119" s="6">
        <f>IF(C2119="","",IF(H2119=1,SUMIFS('Opening Balance'!$F$4:$F$303,'Opening Balance'!$G$4:$G$303,C2119),INDEX($L$2:$L$3001,MATCH(C2119&amp;"|"&amp;(H2119-1),$I$2:$I$3001,0))))</f>
        <v/>
      </c>
      <c r="K2119" s="6">
        <f>IF(C2119="","",IF(M2119&gt;0,M2119,IF(AND(E2119&gt;0,ROUND(J2119+D2119-E2119,2)&gt;0,ROUND(J2119+D2119-E2119,2)&lt;'Opening Balance'!$B$14),ROUND(J2119+D2119-E2119,2),0)))</f>
        <v/>
      </c>
      <c r="L2119" s="6">
        <f>IF(C2119="","",ROUND(J2119+D2119-E2119-K2119,2))</f>
        <v/>
      </c>
      <c r="M2119" s="6">
        <f>IF(C2119="","",0)</f>
        <v/>
      </c>
    </row>
    <row r="2120">
      <c r="A2120" t="inlineStr">
        <is>
          <t>Bank 银行</t>
        </is>
      </c>
      <c r="B2120" s="5">
        <f>IF(AND('Daily Sale entry '!Z620="Online collection 网上收款",'Daily Sale entry '!AA620&lt;&gt;""),'Daily Sale entry '!X620,"")</f>
        <v/>
      </c>
      <c r="C2120">
        <f>IF(B2120="","",'Daily Sale entry '!AA620)</f>
        <v/>
      </c>
      <c r="D2120">
        <f>IF(C2120="","",0)</f>
        <v/>
      </c>
      <c r="E2120">
        <f>IF(C2120="","",'Daily Sale entry '!AC620)</f>
        <v/>
      </c>
      <c r="F2120" s="37">
        <f>IF(C2120="","",B2120+IF(E2120&gt;0,0,0.5)+ROW()/10000000)</f>
        <v/>
      </c>
      <c r="G2120">
        <f>IF(C2120="","","Collection 收款 (Online 网上)"&amp;IF('Daily Sale entry '!Y620="",""," - "&amp;'Daily Sale entry '!Y620))</f>
        <v/>
      </c>
      <c r="H2120">
        <f>IF(C2120="","",COUNTIFS($C$2:$C$3001,C2120,$F$2:$F$3001,"&lt;"&amp;F2120)+1)</f>
        <v/>
      </c>
      <c r="I2120">
        <f>IF(C2120="","",C2120&amp;"|"&amp;H2120)</f>
        <v/>
      </c>
      <c r="J2120" s="6">
        <f>IF(C2120="","",IF(H2120=1,SUMIFS('Opening Balance'!$F$4:$F$303,'Opening Balance'!$G$4:$G$303,C2120),INDEX($L$2:$L$3001,MATCH(C2120&amp;"|"&amp;(H2120-1),$I$2:$I$3001,0))))</f>
        <v/>
      </c>
      <c r="K2120" s="6">
        <f>IF(C2120="","",IF(M2120&gt;0,M2120,IF(AND(E2120&gt;0,ROUND(J2120+D2120-E2120,2)&gt;0,ROUND(J2120+D2120-E2120,2)&lt;'Opening Balance'!$B$14),ROUND(J2120+D2120-E2120,2),0)))</f>
        <v/>
      </c>
      <c r="L2120" s="6">
        <f>IF(C2120="","",ROUND(J2120+D2120-E2120-K2120,2))</f>
        <v/>
      </c>
      <c r="M2120" s="6">
        <f>IF(C2120="","",0)</f>
        <v/>
      </c>
    </row>
    <row r="2121">
      <c r="A2121" t="inlineStr">
        <is>
          <t>Bank 银行</t>
        </is>
      </c>
      <c r="B2121" s="5">
        <f>IF(AND('Daily Sale entry '!Z621="Online collection 网上收款",'Daily Sale entry '!AA621&lt;&gt;""),'Daily Sale entry '!X621,"")</f>
        <v/>
      </c>
      <c r="C2121">
        <f>IF(B2121="","",'Daily Sale entry '!AA621)</f>
        <v/>
      </c>
      <c r="D2121">
        <f>IF(C2121="","",0)</f>
        <v/>
      </c>
      <c r="E2121">
        <f>IF(C2121="","",'Daily Sale entry '!AC621)</f>
        <v/>
      </c>
      <c r="F2121" s="37">
        <f>IF(C2121="","",B2121+IF(E2121&gt;0,0,0.5)+ROW()/10000000)</f>
        <v/>
      </c>
      <c r="G2121">
        <f>IF(C2121="","","Collection 收款 (Online 网上)"&amp;IF('Daily Sale entry '!Y621="",""," - "&amp;'Daily Sale entry '!Y621))</f>
        <v/>
      </c>
      <c r="H2121">
        <f>IF(C2121="","",COUNTIFS($C$2:$C$3001,C2121,$F$2:$F$3001,"&lt;"&amp;F2121)+1)</f>
        <v/>
      </c>
      <c r="I2121">
        <f>IF(C2121="","",C2121&amp;"|"&amp;H2121)</f>
        <v/>
      </c>
      <c r="J2121" s="6">
        <f>IF(C2121="","",IF(H2121=1,SUMIFS('Opening Balance'!$F$4:$F$303,'Opening Balance'!$G$4:$G$303,C2121),INDEX($L$2:$L$3001,MATCH(C2121&amp;"|"&amp;(H2121-1),$I$2:$I$3001,0))))</f>
        <v/>
      </c>
      <c r="K2121" s="6">
        <f>IF(C2121="","",IF(M2121&gt;0,M2121,IF(AND(E2121&gt;0,ROUND(J2121+D2121-E2121,2)&gt;0,ROUND(J2121+D2121-E2121,2)&lt;'Opening Balance'!$B$14),ROUND(J2121+D2121-E2121,2),0)))</f>
        <v/>
      </c>
      <c r="L2121" s="6">
        <f>IF(C2121="","",ROUND(J2121+D2121-E2121-K2121,2))</f>
        <v/>
      </c>
      <c r="M2121" s="6">
        <f>IF(C2121="","",0)</f>
        <v/>
      </c>
    </row>
    <row r="2122">
      <c r="A2122" t="inlineStr">
        <is>
          <t>Bank 银行</t>
        </is>
      </c>
      <c r="B2122" s="5">
        <f>IF(AND('Daily Sale entry '!Z622="Online collection 网上收款",'Daily Sale entry '!AA622&lt;&gt;""),'Daily Sale entry '!X622,"")</f>
        <v/>
      </c>
      <c r="C2122">
        <f>IF(B2122="","",'Daily Sale entry '!AA622)</f>
        <v/>
      </c>
      <c r="D2122">
        <f>IF(C2122="","",0)</f>
        <v/>
      </c>
      <c r="E2122">
        <f>IF(C2122="","",'Daily Sale entry '!AC622)</f>
        <v/>
      </c>
      <c r="F2122" s="37">
        <f>IF(C2122="","",B2122+IF(E2122&gt;0,0,0.5)+ROW()/10000000)</f>
        <v/>
      </c>
      <c r="G2122">
        <f>IF(C2122="","","Collection 收款 (Online 网上)"&amp;IF('Daily Sale entry '!Y622="",""," - "&amp;'Daily Sale entry '!Y622))</f>
        <v/>
      </c>
      <c r="H2122">
        <f>IF(C2122="","",COUNTIFS($C$2:$C$3001,C2122,$F$2:$F$3001,"&lt;"&amp;F2122)+1)</f>
        <v/>
      </c>
      <c r="I2122">
        <f>IF(C2122="","",C2122&amp;"|"&amp;H2122)</f>
        <v/>
      </c>
      <c r="J2122" s="6">
        <f>IF(C2122="","",IF(H2122=1,SUMIFS('Opening Balance'!$F$4:$F$303,'Opening Balance'!$G$4:$G$303,C2122),INDEX($L$2:$L$3001,MATCH(C2122&amp;"|"&amp;(H2122-1),$I$2:$I$3001,0))))</f>
        <v/>
      </c>
      <c r="K2122" s="6">
        <f>IF(C2122="","",IF(M2122&gt;0,M2122,IF(AND(E2122&gt;0,ROUND(J2122+D2122-E2122,2)&gt;0,ROUND(J2122+D2122-E2122,2)&lt;'Opening Balance'!$B$14),ROUND(J2122+D2122-E2122,2),0)))</f>
        <v/>
      </c>
      <c r="L2122" s="6">
        <f>IF(C2122="","",ROUND(J2122+D2122-E2122-K2122,2))</f>
        <v/>
      </c>
      <c r="M2122" s="6">
        <f>IF(C2122="","",0)</f>
        <v/>
      </c>
    </row>
    <row r="2123">
      <c r="A2123" t="inlineStr">
        <is>
          <t>Bank 银行</t>
        </is>
      </c>
      <c r="B2123" s="5">
        <f>IF(AND('Daily Sale entry '!Z623="Online collection 网上收款",'Daily Sale entry '!AA623&lt;&gt;""),'Daily Sale entry '!X623,"")</f>
        <v/>
      </c>
      <c r="C2123">
        <f>IF(B2123="","",'Daily Sale entry '!AA623)</f>
        <v/>
      </c>
      <c r="D2123">
        <f>IF(C2123="","",0)</f>
        <v/>
      </c>
      <c r="E2123">
        <f>IF(C2123="","",'Daily Sale entry '!AC623)</f>
        <v/>
      </c>
      <c r="F2123" s="37">
        <f>IF(C2123="","",B2123+IF(E2123&gt;0,0,0.5)+ROW()/10000000)</f>
        <v/>
      </c>
      <c r="G2123">
        <f>IF(C2123="","","Collection 收款 (Online 网上)"&amp;IF('Daily Sale entry '!Y623="",""," - "&amp;'Daily Sale entry '!Y623))</f>
        <v/>
      </c>
      <c r="H2123">
        <f>IF(C2123="","",COUNTIFS($C$2:$C$3001,C2123,$F$2:$F$3001,"&lt;"&amp;F2123)+1)</f>
        <v/>
      </c>
      <c r="I2123">
        <f>IF(C2123="","",C2123&amp;"|"&amp;H2123)</f>
        <v/>
      </c>
      <c r="J2123" s="6">
        <f>IF(C2123="","",IF(H2123=1,SUMIFS('Opening Balance'!$F$4:$F$303,'Opening Balance'!$G$4:$G$303,C2123),INDEX($L$2:$L$3001,MATCH(C2123&amp;"|"&amp;(H2123-1),$I$2:$I$3001,0))))</f>
        <v/>
      </c>
      <c r="K2123" s="6">
        <f>IF(C2123="","",IF(M2123&gt;0,M2123,IF(AND(E2123&gt;0,ROUND(J2123+D2123-E2123,2)&gt;0,ROUND(J2123+D2123-E2123,2)&lt;'Opening Balance'!$B$14),ROUND(J2123+D2123-E2123,2),0)))</f>
        <v/>
      </c>
      <c r="L2123" s="6">
        <f>IF(C2123="","",ROUND(J2123+D2123-E2123-K2123,2))</f>
        <v/>
      </c>
      <c r="M2123" s="6">
        <f>IF(C2123="","",0)</f>
        <v/>
      </c>
    </row>
    <row r="2124">
      <c r="A2124" t="inlineStr">
        <is>
          <t>Bank 银行</t>
        </is>
      </c>
      <c r="B2124" s="5">
        <f>IF(AND('Daily Sale entry '!Z624="Online collection 网上收款",'Daily Sale entry '!AA624&lt;&gt;""),'Daily Sale entry '!X624,"")</f>
        <v/>
      </c>
      <c r="C2124">
        <f>IF(B2124="","",'Daily Sale entry '!AA624)</f>
        <v/>
      </c>
      <c r="D2124">
        <f>IF(C2124="","",0)</f>
        <v/>
      </c>
      <c r="E2124">
        <f>IF(C2124="","",'Daily Sale entry '!AC624)</f>
        <v/>
      </c>
      <c r="F2124" s="37">
        <f>IF(C2124="","",B2124+IF(E2124&gt;0,0,0.5)+ROW()/10000000)</f>
        <v/>
      </c>
      <c r="G2124">
        <f>IF(C2124="","","Collection 收款 (Online 网上)"&amp;IF('Daily Sale entry '!Y624="",""," - "&amp;'Daily Sale entry '!Y624))</f>
        <v/>
      </c>
      <c r="H2124">
        <f>IF(C2124="","",COUNTIFS($C$2:$C$3001,C2124,$F$2:$F$3001,"&lt;"&amp;F2124)+1)</f>
        <v/>
      </c>
      <c r="I2124">
        <f>IF(C2124="","",C2124&amp;"|"&amp;H2124)</f>
        <v/>
      </c>
      <c r="J2124" s="6">
        <f>IF(C2124="","",IF(H2124=1,SUMIFS('Opening Balance'!$F$4:$F$303,'Opening Balance'!$G$4:$G$303,C2124),INDEX($L$2:$L$3001,MATCH(C2124&amp;"|"&amp;(H2124-1),$I$2:$I$3001,0))))</f>
        <v/>
      </c>
      <c r="K2124" s="6">
        <f>IF(C2124="","",IF(M2124&gt;0,M2124,IF(AND(E2124&gt;0,ROUND(J2124+D2124-E2124,2)&gt;0,ROUND(J2124+D2124-E2124,2)&lt;'Opening Balance'!$B$14),ROUND(J2124+D2124-E2124,2),0)))</f>
        <v/>
      </c>
      <c r="L2124" s="6">
        <f>IF(C2124="","",ROUND(J2124+D2124-E2124-K2124,2))</f>
        <v/>
      </c>
      <c r="M2124" s="6">
        <f>IF(C2124="","",0)</f>
        <v/>
      </c>
    </row>
    <row r="2125">
      <c r="A2125" t="inlineStr">
        <is>
          <t>Bank 银行</t>
        </is>
      </c>
      <c r="B2125" s="5">
        <f>IF(AND('Daily Sale entry '!Z625="Online collection 网上收款",'Daily Sale entry '!AA625&lt;&gt;""),'Daily Sale entry '!X625,"")</f>
        <v/>
      </c>
      <c r="C2125">
        <f>IF(B2125="","",'Daily Sale entry '!AA625)</f>
        <v/>
      </c>
      <c r="D2125">
        <f>IF(C2125="","",0)</f>
        <v/>
      </c>
      <c r="E2125">
        <f>IF(C2125="","",'Daily Sale entry '!AC625)</f>
        <v/>
      </c>
      <c r="F2125" s="37">
        <f>IF(C2125="","",B2125+IF(E2125&gt;0,0,0.5)+ROW()/10000000)</f>
        <v/>
      </c>
      <c r="G2125">
        <f>IF(C2125="","","Collection 收款 (Online 网上)"&amp;IF('Daily Sale entry '!Y625="",""," - "&amp;'Daily Sale entry '!Y625))</f>
        <v/>
      </c>
      <c r="H2125">
        <f>IF(C2125="","",COUNTIFS($C$2:$C$3001,C2125,$F$2:$F$3001,"&lt;"&amp;F2125)+1)</f>
        <v/>
      </c>
      <c r="I2125">
        <f>IF(C2125="","",C2125&amp;"|"&amp;H2125)</f>
        <v/>
      </c>
      <c r="J2125" s="6">
        <f>IF(C2125="","",IF(H2125=1,SUMIFS('Opening Balance'!$F$4:$F$303,'Opening Balance'!$G$4:$G$303,C2125),INDEX($L$2:$L$3001,MATCH(C2125&amp;"|"&amp;(H2125-1),$I$2:$I$3001,0))))</f>
        <v/>
      </c>
      <c r="K2125" s="6">
        <f>IF(C2125="","",IF(M2125&gt;0,M2125,IF(AND(E2125&gt;0,ROUND(J2125+D2125-E2125,2)&gt;0,ROUND(J2125+D2125-E2125,2)&lt;'Opening Balance'!$B$14),ROUND(J2125+D2125-E2125,2),0)))</f>
        <v/>
      </c>
      <c r="L2125" s="6">
        <f>IF(C2125="","",ROUND(J2125+D2125-E2125-K2125,2))</f>
        <v/>
      </c>
      <c r="M2125" s="6">
        <f>IF(C2125="","",0)</f>
        <v/>
      </c>
    </row>
    <row r="2126">
      <c r="A2126" t="inlineStr">
        <is>
          <t>Bank 银行</t>
        </is>
      </c>
      <c r="B2126" s="5">
        <f>IF(AND('Daily Sale entry '!Z626="Online collection 网上收款",'Daily Sale entry '!AA626&lt;&gt;""),'Daily Sale entry '!X626,"")</f>
        <v/>
      </c>
      <c r="C2126">
        <f>IF(B2126="","",'Daily Sale entry '!AA626)</f>
        <v/>
      </c>
      <c r="D2126">
        <f>IF(C2126="","",0)</f>
        <v/>
      </c>
      <c r="E2126">
        <f>IF(C2126="","",'Daily Sale entry '!AC626)</f>
        <v/>
      </c>
      <c r="F2126" s="37">
        <f>IF(C2126="","",B2126+IF(E2126&gt;0,0,0.5)+ROW()/10000000)</f>
        <v/>
      </c>
      <c r="G2126">
        <f>IF(C2126="","","Collection 收款 (Online 网上)"&amp;IF('Daily Sale entry '!Y626="",""," - "&amp;'Daily Sale entry '!Y626))</f>
        <v/>
      </c>
      <c r="H2126">
        <f>IF(C2126="","",COUNTIFS($C$2:$C$3001,C2126,$F$2:$F$3001,"&lt;"&amp;F2126)+1)</f>
        <v/>
      </c>
      <c r="I2126">
        <f>IF(C2126="","",C2126&amp;"|"&amp;H2126)</f>
        <v/>
      </c>
      <c r="J2126" s="6">
        <f>IF(C2126="","",IF(H2126=1,SUMIFS('Opening Balance'!$F$4:$F$303,'Opening Balance'!$G$4:$G$303,C2126),INDEX($L$2:$L$3001,MATCH(C2126&amp;"|"&amp;(H2126-1),$I$2:$I$3001,0))))</f>
        <v/>
      </c>
      <c r="K2126" s="6">
        <f>IF(C2126="","",IF(M2126&gt;0,M2126,IF(AND(E2126&gt;0,ROUND(J2126+D2126-E2126,2)&gt;0,ROUND(J2126+D2126-E2126,2)&lt;'Opening Balance'!$B$14),ROUND(J2126+D2126-E2126,2),0)))</f>
        <v/>
      </c>
      <c r="L2126" s="6">
        <f>IF(C2126="","",ROUND(J2126+D2126-E2126-K2126,2))</f>
        <v/>
      </c>
      <c r="M2126" s="6">
        <f>IF(C2126="","",0)</f>
        <v/>
      </c>
    </row>
    <row r="2127">
      <c r="A2127" t="inlineStr">
        <is>
          <t>Bank 银行</t>
        </is>
      </c>
      <c r="B2127" s="5">
        <f>IF(AND('Daily Sale entry '!Z627="Online collection 网上收款",'Daily Sale entry '!AA627&lt;&gt;""),'Daily Sale entry '!X627,"")</f>
        <v/>
      </c>
      <c r="C2127">
        <f>IF(B2127="","",'Daily Sale entry '!AA627)</f>
        <v/>
      </c>
      <c r="D2127">
        <f>IF(C2127="","",0)</f>
        <v/>
      </c>
      <c r="E2127">
        <f>IF(C2127="","",'Daily Sale entry '!AC627)</f>
        <v/>
      </c>
      <c r="F2127" s="37">
        <f>IF(C2127="","",B2127+IF(E2127&gt;0,0,0.5)+ROW()/10000000)</f>
        <v/>
      </c>
      <c r="G2127">
        <f>IF(C2127="","","Collection 收款 (Online 网上)"&amp;IF('Daily Sale entry '!Y627="",""," - "&amp;'Daily Sale entry '!Y627))</f>
        <v/>
      </c>
      <c r="H2127">
        <f>IF(C2127="","",COUNTIFS($C$2:$C$3001,C2127,$F$2:$F$3001,"&lt;"&amp;F2127)+1)</f>
        <v/>
      </c>
      <c r="I2127">
        <f>IF(C2127="","",C2127&amp;"|"&amp;H2127)</f>
        <v/>
      </c>
      <c r="J2127" s="6">
        <f>IF(C2127="","",IF(H2127=1,SUMIFS('Opening Balance'!$F$4:$F$303,'Opening Balance'!$G$4:$G$303,C2127),INDEX($L$2:$L$3001,MATCH(C2127&amp;"|"&amp;(H2127-1),$I$2:$I$3001,0))))</f>
        <v/>
      </c>
      <c r="K2127" s="6">
        <f>IF(C2127="","",IF(M2127&gt;0,M2127,IF(AND(E2127&gt;0,ROUND(J2127+D2127-E2127,2)&gt;0,ROUND(J2127+D2127-E2127,2)&lt;'Opening Balance'!$B$14),ROUND(J2127+D2127-E2127,2),0)))</f>
        <v/>
      </c>
      <c r="L2127" s="6">
        <f>IF(C2127="","",ROUND(J2127+D2127-E2127-K2127,2))</f>
        <v/>
      </c>
      <c r="M2127" s="6">
        <f>IF(C2127="","",0)</f>
        <v/>
      </c>
    </row>
    <row r="2128">
      <c r="A2128" t="inlineStr">
        <is>
          <t>Bank 银行</t>
        </is>
      </c>
      <c r="B2128" s="5">
        <f>IF(AND('Daily Sale entry '!Z628="Online collection 网上收款",'Daily Sale entry '!AA628&lt;&gt;""),'Daily Sale entry '!X628,"")</f>
        <v/>
      </c>
      <c r="C2128">
        <f>IF(B2128="","",'Daily Sale entry '!AA628)</f>
        <v/>
      </c>
      <c r="D2128">
        <f>IF(C2128="","",0)</f>
        <v/>
      </c>
      <c r="E2128">
        <f>IF(C2128="","",'Daily Sale entry '!AC628)</f>
        <v/>
      </c>
      <c r="F2128" s="37">
        <f>IF(C2128="","",B2128+IF(E2128&gt;0,0,0.5)+ROW()/10000000)</f>
        <v/>
      </c>
      <c r="G2128">
        <f>IF(C2128="","","Collection 收款 (Online 网上)"&amp;IF('Daily Sale entry '!Y628="",""," - "&amp;'Daily Sale entry '!Y628))</f>
        <v/>
      </c>
      <c r="H2128">
        <f>IF(C2128="","",COUNTIFS($C$2:$C$3001,C2128,$F$2:$F$3001,"&lt;"&amp;F2128)+1)</f>
        <v/>
      </c>
      <c r="I2128">
        <f>IF(C2128="","",C2128&amp;"|"&amp;H2128)</f>
        <v/>
      </c>
      <c r="J2128" s="6">
        <f>IF(C2128="","",IF(H2128=1,SUMIFS('Opening Balance'!$F$4:$F$303,'Opening Balance'!$G$4:$G$303,C2128),INDEX($L$2:$L$3001,MATCH(C2128&amp;"|"&amp;(H2128-1),$I$2:$I$3001,0))))</f>
        <v/>
      </c>
      <c r="K2128" s="6">
        <f>IF(C2128="","",IF(M2128&gt;0,M2128,IF(AND(E2128&gt;0,ROUND(J2128+D2128-E2128,2)&gt;0,ROUND(J2128+D2128-E2128,2)&lt;'Opening Balance'!$B$14),ROUND(J2128+D2128-E2128,2),0)))</f>
        <v/>
      </c>
      <c r="L2128" s="6">
        <f>IF(C2128="","",ROUND(J2128+D2128-E2128-K2128,2))</f>
        <v/>
      </c>
      <c r="M2128" s="6">
        <f>IF(C2128="","",0)</f>
        <v/>
      </c>
    </row>
    <row r="2129">
      <c r="A2129" t="inlineStr">
        <is>
          <t>Bank 银行</t>
        </is>
      </c>
      <c r="B2129" s="5">
        <f>IF(AND('Daily Sale entry '!Z629="Online collection 网上收款",'Daily Sale entry '!AA629&lt;&gt;""),'Daily Sale entry '!X629,"")</f>
        <v/>
      </c>
      <c r="C2129">
        <f>IF(B2129="","",'Daily Sale entry '!AA629)</f>
        <v/>
      </c>
      <c r="D2129">
        <f>IF(C2129="","",0)</f>
        <v/>
      </c>
      <c r="E2129">
        <f>IF(C2129="","",'Daily Sale entry '!AC629)</f>
        <v/>
      </c>
      <c r="F2129" s="37">
        <f>IF(C2129="","",B2129+IF(E2129&gt;0,0,0.5)+ROW()/10000000)</f>
        <v/>
      </c>
      <c r="G2129">
        <f>IF(C2129="","","Collection 收款 (Online 网上)"&amp;IF('Daily Sale entry '!Y629="",""," - "&amp;'Daily Sale entry '!Y629))</f>
        <v/>
      </c>
      <c r="H2129">
        <f>IF(C2129="","",COUNTIFS($C$2:$C$3001,C2129,$F$2:$F$3001,"&lt;"&amp;F2129)+1)</f>
        <v/>
      </c>
      <c r="I2129">
        <f>IF(C2129="","",C2129&amp;"|"&amp;H2129)</f>
        <v/>
      </c>
      <c r="J2129" s="6">
        <f>IF(C2129="","",IF(H2129=1,SUMIFS('Opening Balance'!$F$4:$F$303,'Opening Balance'!$G$4:$G$303,C2129),INDEX($L$2:$L$3001,MATCH(C2129&amp;"|"&amp;(H2129-1),$I$2:$I$3001,0))))</f>
        <v/>
      </c>
      <c r="K2129" s="6">
        <f>IF(C2129="","",IF(M2129&gt;0,M2129,IF(AND(E2129&gt;0,ROUND(J2129+D2129-E2129,2)&gt;0,ROUND(J2129+D2129-E2129,2)&lt;'Opening Balance'!$B$14),ROUND(J2129+D2129-E2129,2),0)))</f>
        <v/>
      </c>
      <c r="L2129" s="6">
        <f>IF(C2129="","",ROUND(J2129+D2129-E2129-K2129,2))</f>
        <v/>
      </c>
      <c r="M2129" s="6">
        <f>IF(C2129="","",0)</f>
        <v/>
      </c>
    </row>
    <row r="2130">
      <c r="A2130" t="inlineStr">
        <is>
          <t>Bank 银行</t>
        </is>
      </c>
      <c r="B2130" s="5">
        <f>IF(AND('Daily Sale entry '!Z630="Online collection 网上收款",'Daily Sale entry '!AA630&lt;&gt;""),'Daily Sale entry '!X630,"")</f>
        <v/>
      </c>
      <c r="C2130">
        <f>IF(B2130="","",'Daily Sale entry '!AA630)</f>
        <v/>
      </c>
      <c r="D2130">
        <f>IF(C2130="","",0)</f>
        <v/>
      </c>
      <c r="E2130">
        <f>IF(C2130="","",'Daily Sale entry '!AC630)</f>
        <v/>
      </c>
      <c r="F2130" s="37">
        <f>IF(C2130="","",B2130+IF(E2130&gt;0,0,0.5)+ROW()/10000000)</f>
        <v/>
      </c>
      <c r="G2130">
        <f>IF(C2130="","","Collection 收款 (Online 网上)"&amp;IF('Daily Sale entry '!Y630="",""," - "&amp;'Daily Sale entry '!Y630))</f>
        <v/>
      </c>
      <c r="H2130">
        <f>IF(C2130="","",COUNTIFS($C$2:$C$3001,C2130,$F$2:$F$3001,"&lt;"&amp;F2130)+1)</f>
        <v/>
      </c>
      <c r="I2130">
        <f>IF(C2130="","",C2130&amp;"|"&amp;H2130)</f>
        <v/>
      </c>
      <c r="J2130" s="6">
        <f>IF(C2130="","",IF(H2130=1,SUMIFS('Opening Balance'!$F$4:$F$303,'Opening Balance'!$G$4:$G$303,C2130),INDEX($L$2:$L$3001,MATCH(C2130&amp;"|"&amp;(H2130-1),$I$2:$I$3001,0))))</f>
        <v/>
      </c>
      <c r="K2130" s="6">
        <f>IF(C2130="","",IF(M2130&gt;0,M2130,IF(AND(E2130&gt;0,ROUND(J2130+D2130-E2130,2)&gt;0,ROUND(J2130+D2130-E2130,2)&lt;'Opening Balance'!$B$14),ROUND(J2130+D2130-E2130,2),0)))</f>
        <v/>
      </c>
      <c r="L2130" s="6">
        <f>IF(C2130="","",ROUND(J2130+D2130-E2130-K2130,2))</f>
        <v/>
      </c>
      <c r="M2130" s="6">
        <f>IF(C2130="","",0)</f>
        <v/>
      </c>
    </row>
    <row r="2131">
      <c r="A2131" t="inlineStr">
        <is>
          <t>Bank 银行</t>
        </is>
      </c>
      <c r="B2131" s="5">
        <f>IF(AND('Daily Sale entry '!Z631="Online collection 网上收款",'Daily Sale entry '!AA631&lt;&gt;""),'Daily Sale entry '!X631,"")</f>
        <v/>
      </c>
      <c r="C2131">
        <f>IF(B2131="","",'Daily Sale entry '!AA631)</f>
        <v/>
      </c>
      <c r="D2131">
        <f>IF(C2131="","",0)</f>
        <v/>
      </c>
      <c r="E2131">
        <f>IF(C2131="","",'Daily Sale entry '!AC631)</f>
        <v/>
      </c>
      <c r="F2131" s="37">
        <f>IF(C2131="","",B2131+IF(E2131&gt;0,0,0.5)+ROW()/10000000)</f>
        <v/>
      </c>
      <c r="G2131">
        <f>IF(C2131="","","Collection 收款 (Online 网上)"&amp;IF('Daily Sale entry '!Y631="",""," - "&amp;'Daily Sale entry '!Y631))</f>
        <v/>
      </c>
      <c r="H2131">
        <f>IF(C2131="","",COUNTIFS($C$2:$C$3001,C2131,$F$2:$F$3001,"&lt;"&amp;F2131)+1)</f>
        <v/>
      </c>
      <c r="I2131">
        <f>IF(C2131="","",C2131&amp;"|"&amp;H2131)</f>
        <v/>
      </c>
      <c r="J2131" s="6">
        <f>IF(C2131="","",IF(H2131=1,SUMIFS('Opening Balance'!$F$4:$F$303,'Opening Balance'!$G$4:$G$303,C2131),INDEX($L$2:$L$3001,MATCH(C2131&amp;"|"&amp;(H2131-1),$I$2:$I$3001,0))))</f>
        <v/>
      </c>
      <c r="K2131" s="6">
        <f>IF(C2131="","",IF(M2131&gt;0,M2131,IF(AND(E2131&gt;0,ROUND(J2131+D2131-E2131,2)&gt;0,ROUND(J2131+D2131-E2131,2)&lt;'Opening Balance'!$B$14),ROUND(J2131+D2131-E2131,2),0)))</f>
        <v/>
      </c>
      <c r="L2131" s="6">
        <f>IF(C2131="","",ROUND(J2131+D2131-E2131-K2131,2))</f>
        <v/>
      </c>
      <c r="M2131" s="6">
        <f>IF(C2131="","",0)</f>
        <v/>
      </c>
    </row>
    <row r="2132">
      <c r="A2132" t="inlineStr">
        <is>
          <t>Bank 银行</t>
        </is>
      </c>
      <c r="B2132" s="5">
        <f>IF(AND('Daily Sale entry '!Z632="Online collection 网上收款",'Daily Sale entry '!AA632&lt;&gt;""),'Daily Sale entry '!X632,"")</f>
        <v/>
      </c>
      <c r="C2132">
        <f>IF(B2132="","",'Daily Sale entry '!AA632)</f>
        <v/>
      </c>
      <c r="D2132">
        <f>IF(C2132="","",0)</f>
        <v/>
      </c>
      <c r="E2132">
        <f>IF(C2132="","",'Daily Sale entry '!AC632)</f>
        <v/>
      </c>
      <c r="F2132" s="37">
        <f>IF(C2132="","",B2132+IF(E2132&gt;0,0,0.5)+ROW()/10000000)</f>
        <v/>
      </c>
      <c r="G2132">
        <f>IF(C2132="","","Collection 收款 (Online 网上)"&amp;IF('Daily Sale entry '!Y632="",""," - "&amp;'Daily Sale entry '!Y632))</f>
        <v/>
      </c>
      <c r="H2132">
        <f>IF(C2132="","",COUNTIFS($C$2:$C$3001,C2132,$F$2:$F$3001,"&lt;"&amp;F2132)+1)</f>
        <v/>
      </c>
      <c r="I2132">
        <f>IF(C2132="","",C2132&amp;"|"&amp;H2132)</f>
        <v/>
      </c>
      <c r="J2132" s="6">
        <f>IF(C2132="","",IF(H2132=1,SUMIFS('Opening Balance'!$F$4:$F$303,'Opening Balance'!$G$4:$G$303,C2132),INDEX($L$2:$L$3001,MATCH(C2132&amp;"|"&amp;(H2132-1),$I$2:$I$3001,0))))</f>
        <v/>
      </c>
      <c r="K2132" s="6">
        <f>IF(C2132="","",IF(M2132&gt;0,M2132,IF(AND(E2132&gt;0,ROUND(J2132+D2132-E2132,2)&gt;0,ROUND(J2132+D2132-E2132,2)&lt;'Opening Balance'!$B$14),ROUND(J2132+D2132-E2132,2),0)))</f>
        <v/>
      </c>
      <c r="L2132" s="6">
        <f>IF(C2132="","",ROUND(J2132+D2132-E2132-K2132,2))</f>
        <v/>
      </c>
      <c r="M2132" s="6">
        <f>IF(C2132="","",0)</f>
        <v/>
      </c>
    </row>
    <row r="2133">
      <c r="A2133" t="inlineStr">
        <is>
          <t>Bank 银行</t>
        </is>
      </c>
      <c r="B2133" s="5">
        <f>IF(AND('Daily Sale entry '!Z633="Online collection 网上收款",'Daily Sale entry '!AA633&lt;&gt;""),'Daily Sale entry '!X633,"")</f>
        <v/>
      </c>
      <c r="C2133">
        <f>IF(B2133="","",'Daily Sale entry '!AA633)</f>
        <v/>
      </c>
      <c r="D2133">
        <f>IF(C2133="","",0)</f>
        <v/>
      </c>
      <c r="E2133">
        <f>IF(C2133="","",'Daily Sale entry '!AC633)</f>
        <v/>
      </c>
      <c r="F2133" s="37">
        <f>IF(C2133="","",B2133+IF(E2133&gt;0,0,0.5)+ROW()/10000000)</f>
        <v/>
      </c>
      <c r="G2133">
        <f>IF(C2133="","","Collection 收款 (Online 网上)"&amp;IF('Daily Sale entry '!Y633="",""," - "&amp;'Daily Sale entry '!Y633))</f>
        <v/>
      </c>
      <c r="H2133">
        <f>IF(C2133="","",COUNTIFS($C$2:$C$3001,C2133,$F$2:$F$3001,"&lt;"&amp;F2133)+1)</f>
        <v/>
      </c>
      <c r="I2133">
        <f>IF(C2133="","",C2133&amp;"|"&amp;H2133)</f>
        <v/>
      </c>
      <c r="J2133" s="6">
        <f>IF(C2133="","",IF(H2133=1,SUMIFS('Opening Balance'!$F$4:$F$303,'Opening Balance'!$G$4:$G$303,C2133),INDEX($L$2:$L$3001,MATCH(C2133&amp;"|"&amp;(H2133-1),$I$2:$I$3001,0))))</f>
        <v/>
      </c>
      <c r="K2133" s="6">
        <f>IF(C2133="","",IF(M2133&gt;0,M2133,IF(AND(E2133&gt;0,ROUND(J2133+D2133-E2133,2)&gt;0,ROUND(J2133+D2133-E2133,2)&lt;'Opening Balance'!$B$14),ROUND(J2133+D2133-E2133,2),0)))</f>
        <v/>
      </c>
      <c r="L2133" s="6">
        <f>IF(C2133="","",ROUND(J2133+D2133-E2133-K2133,2))</f>
        <v/>
      </c>
      <c r="M2133" s="6">
        <f>IF(C2133="","",0)</f>
        <v/>
      </c>
    </row>
    <row r="2134">
      <c r="A2134" t="inlineStr">
        <is>
          <t>Bank 银行</t>
        </is>
      </c>
      <c r="B2134" s="5">
        <f>IF(AND('Daily Sale entry '!Z634="Online collection 网上收款",'Daily Sale entry '!AA634&lt;&gt;""),'Daily Sale entry '!X634,"")</f>
        <v/>
      </c>
      <c r="C2134">
        <f>IF(B2134="","",'Daily Sale entry '!AA634)</f>
        <v/>
      </c>
      <c r="D2134">
        <f>IF(C2134="","",0)</f>
        <v/>
      </c>
      <c r="E2134">
        <f>IF(C2134="","",'Daily Sale entry '!AC634)</f>
        <v/>
      </c>
      <c r="F2134" s="37">
        <f>IF(C2134="","",B2134+IF(E2134&gt;0,0,0.5)+ROW()/10000000)</f>
        <v/>
      </c>
      <c r="G2134">
        <f>IF(C2134="","","Collection 收款 (Online 网上)"&amp;IF('Daily Sale entry '!Y634="",""," - "&amp;'Daily Sale entry '!Y634))</f>
        <v/>
      </c>
      <c r="H2134">
        <f>IF(C2134="","",COUNTIFS($C$2:$C$3001,C2134,$F$2:$F$3001,"&lt;"&amp;F2134)+1)</f>
        <v/>
      </c>
      <c r="I2134">
        <f>IF(C2134="","",C2134&amp;"|"&amp;H2134)</f>
        <v/>
      </c>
      <c r="J2134" s="6">
        <f>IF(C2134="","",IF(H2134=1,SUMIFS('Opening Balance'!$F$4:$F$303,'Opening Balance'!$G$4:$G$303,C2134),INDEX($L$2:$L$3001,MATCH(C2134&amp;"|"&amp;(H2134-1),$I$2:$I$3001,0))))</f>
        <v/>
      </c>
      <c r="K2134" s="6">
        <f>IF(C2134="","",IF(M2134&gt;0,M2134,IF(AND(E2134&gt;0,ROUND(J2134+D2134-E2134,2)&gt;0,ROUND(J2134+D2134-E2134,2)&lt;'Opening Balance'!$B$14),ROUND(J2134+D2134-E2134,2),0)))</f>
        <v/>
      </c>
      <c r="L2134" s="6">
        <f>IF(C2134="","",ROUND(J2134+D2134-E2134-K2134,2))</f>
        <v/>
      </c>
      <c r="M2134" s="6">
        <f>IF(C2134="","",0)</f>
        <v/>
      </c>
    </row>
    <row r="2135">
      <c r="A2135" t="inlineStr">
        <is>
          <t>Bank 银行</t>
        </is>
      </c>
      <c r="B2135" s="5">
        <f>IF(AND('Daily Sale entry '!Z635="Online collection 网上收款",'Daily Sale entry '!AA635&lt;&gt;""),'Daily Sale entry '!X635,"")</f>
        <v/>
      </c>
      <c r="C2135">
        <f>IF(B2135="","",'Daily Sale entry '!AA635)</f>
        <v/>
      </c>
      <c r="D2135">
        <f>IF(C2135="","",0)</f>
        <v/>
      </c>
      <c r="E2135">
        <f>IF(C2135="","",'Daily Sale entry '!AC635)</f>
        <v/>
      </c>
      <c r="F2135" s="37">
        <f>IF(C2135="","",B2135+IF(E2135&gt;0,0,0.5)+ROW()/10000000)</f>
        <v/>
      </c>
      <c r="G2135">
        <f>IF(C2135="","","Collection 收款 (Online 网上)"&amp;IF('Daily Sale entry '!Y635="",""," - "&amp;'Daily Sale entry '!Y635))</f>
        <v/>
      </c>
      <c r="H2135">
        <f>IF(C2135="","",COUNTIFS($C$2:$C$3001,C2135,$F$2:$F$3001,"&lt;"&amp;F2135)+1)</f>
        <v/>
      </c>
      <c r="I2135">
        <f>IF(C2135="","",C2135&amp;"|"&amp;H2135)</f>
        <v/>
      </c>
      <c r="J2135" s="6">
        <f>IF(C2135="","",IF(H2135=1,SUMIFS('Opening Balance'!$F$4:$F$303,'Opening Balance'!$G$4:$G$303,C2135),INDEX($L$2:$L$3001,MATCH(C2135&amp;"|"&amp;(H2135-1),$I$2:$I$3001,0))))</f>
        <v/>
      </c>
      <c r="K2135" s="6">
        <f>IF(C2135="","",IF(M2135&gt;0,M2135,IF(AND(E2135&gt;0,ROUND(J2135+D2135-E2135,2)&gt;0,ROUND(J2135+D2135-E2135,2)&lt;'Opening Balance'!$B$14),ROUND(J2135+D2135-E2135,2),0)))</f>
        <v/>
      </c>
      <c r="L2135" s="6">
        <f>IF(C2135="","",ROUND(J2135+D2135-E2135-K2135,2))</f>
        <v/>
      </c>
      <c r="M2135" s="6">
        <f>IF(C2135="","",0)</f>
        <v/>
      </c>
    </row>
    <row r="2136">
      <c r="A2136" t="inlineStr">
        <is>
          <t>Bank 银行</t>
        </is>
      </c>
      <c r="B2136" s="5">
        <f>IF(AND('Daily Sale entry '!Z636="Online collection 网上收款",'Daily Sale entry '!AA636&lt;&gt;""),'Daily Sale entry '!X636,"")</f>
        <v/>
      </c>
      <c r="C2136">
        <f>IF(B2136="","",'Daily Sale entry '!AA636)</f>
        <v/>
      </c>
      <c r="D2136">
        <f>IF(C2136="","",0)</f>
        <v/>
      </c>
      <c r="E2136">
        <f>IF(C2136="","",'Daily Sale entry '!AC636)</f>
        <v/>
      </c>
      <c r="F2136" s="37">
        <f>IF(C2136="","",B2136+IF(E2136&gt;0,0,0.5)+ROW()/10000000)</f>
        <v/>
      </c>
      <c r="G2136">
        <f>IF(C2136="","","Collection 收款 (Online 网上)"&amp;IF('Daily Sale entry '!Y636="",""," - "&amp;'Daily Sale entry '!Y636))</f>
        <v/>
      </c>
      <c r="H2136">
        <f>IF(C2136="","",COUNTIFS($C$2:$C$3001,C2136,$F$2:$F$3001,"&lt;"&amp;F2136)+1)</f>
        <v/>
      </c>
      <c r="I2136">
        <f>IF(C2136="","",C2136&amp;"|"&amp;H2136)</f>
        <v/>
      </c>
      <c r="J2136" s="6">
        <f>IF(C2136="","",IF(H2136=1,SUMIFS('Opening Balance'!$F$4:$F$303,'Opening Balance'!$G$4:$G$303,C2136),INDEX($L$2:$L$3001,MATCH(C2136&amp;"|"&amp;(H2136-1),$I$2:$I$3001,0))))</f>
        <v/>
      </c>
      <c r="K2136" s="6">
        <f>IF(C2136="","",IF(M2136&gt;0,M2136,IF(AND(E2136&gt;0,ROUND(J2136+D2136-E2136,2)&gt;0,ROUND(J2136+D2136-E2136,2)&lt;'Opening Balance'!$B$14),ROUND(J2136+D2136-E2136,2),0)))</f>
        <v/>
      </c>
      <c r="L2136" s="6">
        <f>IF(C2136="","",ROUND(J2136+D2136-E2136-K2136,2))</f>
        <v/>
      </c>
      <c r="M2136" s="6">
        <f>IF(C2136="","",0)</f>
        <v/>
      </c>
    </row>
    <row r="2137">
      <c r="A2137" t="inlineStr">
        <is>
          <t>Bank 银行</t>
        </is>
      </c>
      <c r="B2137" s="5">
        <f>IF(AND('Daily Sale entry '!Z637="Online collection 网上收款",'Daily Sale entry '!AA637&lt;&gt;""),'Daily Sale entry '!X637,"")</f>
        <v/>
      </c>
      <c r="C2137">
        <f>IF(B2137="","",'Daily Sale entry '!AA637)</f>
        <v/>
      </c>
      <c r="D2137">
        <f>IF(C2137="","",0)</f>
        <v/>
      </c>
      <c r="E2137">
        <f>IF(C2137="","",'Daily Sale entry '!AC637)</f>
        <v/>
      </c>
      <c r="F2137" s="37">
        <f>IF(C2137="","",B2137+IF(E2137&gt;0,0,0.5)+ROW()/10000000)</f>
        <v/>
      </c>
      <c r="G2137">
        <f>IF(C2137="","","Collection 收款 (Online 网上)"&amp;IF('Daily Sale entry '!Y637="",""," - "&amp;'Daily Sale entry '!Y637))</f>
        <v/>
      </c>
      <c r="H2137">
        <f>IF(C2137="","",COUNTIFS($C$2:$C$3001,C2137,$F$2:$F$3001,"&lt;"&amp;F2137)+1)</f>
        <v/>
      </c>
      <c r="I2137">
        <f>IF(C2137="","",C2137&amp;"|"&amp;H2137)</f>
        <v/>
      </c>
      <c r="J2137" s="6">
        <f>IF(C2137="","",IF(H2137=1,SUMIFS('Opening Balance'!$F$4:$F$303,'Opening Balance'!$G$4:$G$303,C2137),INDEX($L$2:$L$3001,MATCH(C2137&amp;"|"&amp;(H2137-1),$I$2:$I$3001,0))))</f>
        <v/>
      </c>
      <c r="K2137" s="6">
        <f>IF(C2137="","",IF(M2137&gt;0,M2137,IF(AND(E2137&gt;0,ROUND(J2137+D2137-E2137,2)&gt;0,ROUND(J2137+D2137-E2137,2)&lt;'Opening Balance'!$B$14),ROUND(J2137+D2137-E2137,2),0)))</f>
        <v/>
      </c>
      <c r="L2137" s="6">
        <f>IF(C2137="","",ROUND(J2137+D2137-E2137-K2137,2))</f>
        <v/>
      </c>
      <c r="M2137" s="6">
        <f>IF(C2137="","",0)</f>
        <v/>
      </c>
    </row>
    <row r="2138">
      <c r="A2138" t="inlineStr">
        <is>
          <t>Bank 银行</t>
        </is>
      </c>
      <c r="B2138" s="5">
        <f>IF(AND('Daily Sale entry '!Z638="Online collection 网上收款",'Daily Sale entry '!AA638&lt;&gt;""),'Daily Sale entry '!X638,"")</f>
        <v/>
      </c>
      <c r="C2138">
        <f>IF(B2138="","",'Daily Sale entry '!AA638)</f>
        <v/>
      </c>
      <c r="D2138">
        <f>IF(C2138="","",0)</f>
        <v/>
      </c>
      <c r="E2138">
        <f>IF(C2138="","",'Daily Sale entry '!AC638)</f>
        <v/>
      </c>
      <c r="F2138" s="37">
        <f>IF(C2138="","",B2138+IF(E2138&gt;0,0,0.5)+ROW()/10000000)</f>
        <v/>
      </c>
      <c r="G2138">
        <f>IF(C2138="","","Collection 收款 (Online 网上)"&amp;IF('Daily Sale entry '!Y638="",""," - "&amp;'Daily Sale entry '!Y638))</f>
        <v/>
      </c>
      <c r="H2138">
        <f>IF(C2138="","",COUNTIFS($C$2:$C$3001,C2138,$F$2:$F$3001,"&lt;"&amp;F2138)+1)</f>
        <v/>
      </c>
      <c r="I2138">
        <f>IF(C2138="","",C2138&amp;"|"&amp;H2138)</f>
        <v/>
      </c>
      <c r="J2138" s="6">
        <f>IF(C2138="","",IF(H2138=1,SUMIFS('Opening Balance'!$F$4:$F$303,'Opening Balance'!$G$4:$G$303,C2138),INDEX($L$2:$L$3001,MATCH(C2138&amp;"|"&amp;(H2138-1),$I$2:$I$3001,0))))</f>
        <v/>
      </c>
      <c r="K2138" s="6">
        <f>IF(C2138="","",IF(M2138&gt;0,M2138,IF(AND(E2138&gt;0,ROUND(J2138+D2138-E2138,2)&gt;0,ROUND(J2138+D2138-E2138,2)&lt;'Opening Balance'!$B$14),ROUND(J2138+D2138-E2138,2),0)))</f>
        <v/>
      </c>
      <c r="L2138" s="6">
        <f>IF(C2138="","",ROUND(J2138+D2138-E2138-K2138,2))</f>
        <v/>
      </c>
      <c r="M2138" s="6">
        <f>IF(C2138="","",0)</f>
        <v/>
      </c>
    </row>
    <row r="2139">
      <c r="A2139" t="inlineStr">
        <is>
          <t>Bank 银行</t>
        </is>
      </c>
      <c r="B2139" s="5">
        <f>IF(AND('Daily Sale entry '!Z639="Online collection 网上收款",'Daily Sale entry '!AA639&lt;&gt;""),'Daily Sale entry '!X639,"")</f>
        <v/>
      </c>
      <c r="C2139">
        <f>IF(B2139="","",'Daily Sale entry '!AA639)</f>
        <v/>
      </c>
      <c r="D2139">
        <f>IF(C2139="","",0)</f>
        <v/>
      </c>
      <c r="E2139">
        <f>IF(C2139="","",'Daily Sale entry '!AC639)</f>
        <v/>
      </c>
      <c r="F2139" s="37">
        <f>IF(C2139="","",B2139+IF(E2139&gt;0,0,0.5)+ROW()/10000000)</f>
        <v/>
      </c>
      <c r="G2139">
        <f>IF(C2139="","","Collection 收款 (Online 网上)"&amp;IF('Daily Sale entry '!Y639="",""," - "&amp;'Daily Sale entry '!Y639))</f>
        <v/>
      </c>
      <c r="H2139">
        <f>IF(C2139="","",COUNTIFS($C$2:$C$3001,C2139,$F$2:$F$3001,"&lt;"&amp;F2139)+1)</f>
        <v/>
      </c>
      <c r="I2139">
        <f>IF(C2139="","",C2139&amp;"|"&amp;H2139)</f>
        <v/>
      </c>
      <c r="J2139" s="6">
        <f>IF(C2139="","",IF(H2139=1,SUMIFS('Opening Balance'!$F$4:$F$303,'Opening Balance'!$G$4:$G$303,C2139),INDEX($L$2:$L$3001,MATCH(C2139&amp;"|"&amp;(H2139-1),$I$2:$I$3001,0))))</f>
        <v/>
      </c>
      <c r="K2139" s="6">
        <f>IF(C2139="","",IF(M2139&gt;0,M2139,IF(AND(E2139&gt;0,ROUND(J2139+D2139-E2139,2)&gt;0,ROUND(J2139+D2139-E2139,2)&lt;'Opening Balance'!$B$14),ROUND(J2139+D2139-E2139,2),0)))</f>
        <v/>
      </c>
      <c r="L2139" s="6">
        <f>IF(C2139="","",ROUND(J2139+D2139-E2139-K2139,2))</f>
        <v/>
      </c>
      <c r="M2139" s="6">
        <f>IF(C2139="","",0)</f>
        <v/>
      </c>
    </row>
    <row r="2140">
      <c r="A2140" t="inlineStr">
        <is>
          <t>Bank 银行</t>
        </is>
      </c>
      <c r="B2140" s="5">
        <f>IF(AND('Daily Sale entry '!Z640="Online collection 网上收款",'Daily Sale entry '!AA640&lt;&gt;""),'Daily Sale entry '!X640,"")</f>
        <v/>
      </c>
      <c r="C2140">
        <f>IF(B2140="","",'Daily Sale entry '!AA640)</f>
        <v/>
      </c>
      <c r="D2140">
        <f>IF(C2140="","",0)</f>
        <v/>
      </c>
      <c r="E2140">
        <f>IF(C2140="","",'Daily Sale entry '!AC640)</f>
        <v/>
      </c>
      <c r="F2140" s="37">
        <f>IF(C2140="","",B2140+IF(E2140&gt;0,0,0.5)+ROW()/10000000)</f>
        <v/>
      </c>
      <c r="G2140">
        <f>IF(C2140="","","Collection 收款 (Online 网上)"&amp;IF('Daily Sale entry '!Y640="",""," - "&amp;'Daily Sale entry '!Y640))</f>
        <v/>
      </c>
      <c r="H2140">
        <f>IF(C2140="","",COUNTIFS($C$2:$C$3001,C2140,$F$2:$F$3001,"&lt;"&amp;F2140)+1)</f>
        <v/>
      </c>
      <c r="I2140">
        <f>IF(C2140="","",C2140&amp;"|"&amp;H2140)</f>
        <v/>
      </c>
      <c r="J2140" s="6">
        <f>IF(C2140="","",IF(H2140=1,SUMIFS('Opening Balance'!$F$4:$F$303,'Opening Balance'!$G$4:$G$303,C2140),INDEX($L$2:$L$3001,MATCH(C2140&amp;"|"&amp;(H2140-1),$I$2:$I$3001,0))))</f>
        <v/>
      </c>
      <c r="K2140" s="6">
        <f>IF(C2140="","",IF(M2140&gt;0,M2140,IF(AND(E2140&gt;0,ROUND(J2140+D2140-E2140,2)&gt;0,ROUND(J2140+D2140-E2140,2)&lt;'Opening Balance'!$B$14),ROUND(J2140+D2140-E2140,2),0)))</f>
        <v/>
      </c>
      <c r="L2140" s="6">
        <f>IF(C2140="","",ROUND(J2140+D2140-E2140-K2140,2))</f>
        <v/>
      </c>
      <c r="M2140" s="6">
        <f>IF(C2140="","",0)</f>
        <v/>
      </c>
    </row>
    <row r="2141">
      <c r="A2141" t="inlineStr">
        <is>
          <t>Bank 银行</t>
        </is>
      </c>
      <c r="B2141" s="5">
        <f>IF(AND('Daily Sale entry '!Z641="Online collection 网上收款",'Daily Sale entry '!AA641&lt;&gt;""),'Daily Sale entry '!X641,"")</f>
        <v/>
      </c>
      <c r="C2141">
        <f>IF(B2141="","",'Daily Sale entry '!AA641)</f>
        <v/>
      </c>
      <c r="D2141">
        <f>IF(C2141="","",0)</f>
        <v/>
      </c>
      <c r="E2141">
        <f>IF(C2141="","",'Daily Sale entry '!AC641)</f>
        <v/>
      </c>
      <c r="F2141" s="37">
        <f>IF(C2141="","",B2141+IF(E2141&gt;0,0,0.5)+ROW()/10000000)</f>
        <v/>
      </c>
      <c r="G2141">
        <f>IF(C2141="","","Collection 收款 (Online 网上)"&amp;IF('Daily Sale entry '!Y641="",""," - "&amp;'Daily Sale entry '!Y641))</f>
        <v/>
      </c>
      <c r="H2141">
        <f>IF(C2141="","",COUNTIFS($C$2:$C$3001,C2141,$F$2:$F$3001,"&lt;"&amp;F2141)+1)</f>
        <v/>
      </c>
      <c r="I2141">
        <f>IF(C2141="","",C2141&amp;"|"&amp;H2141)</f>
        <v/>
      </c>
      <c r="J2141" s="6">
        <f>IF(C2141="","",IF(H2141=1,SUMIFS('Opening Balance'!$F$4:$F$303,'Opening Balance'!$G$4:$G$303,C2141),INDEX($L$2:$L$3001,MATCH(C2141&amp;"|"&amp;(H2141-1),$I$2:$I$3001,0))))</f>
        <v/>
      </c>
      <c r="K2141" s="6">
        <f>IF(C2141="","",IF(M2141&gt;0,M2141,IF(AND(E2141&gt;0,ROUND(J2141+D2141-E2141,2)&gt;0,ROUND(J2141+D2141-E2141,2)&lt;'Opening Balance'!$B$14),ROUND(J2141+D2141-E2141,2),0)))</f>
        <v/>
      </c>
      <c r="L2141" s="6">
        <f>IF(C2141="","",ROUND(J2141+D2141-E2141-K2141,2))</f>
        <v/>
      </c>
      <c r="M2141" s="6">
        <f>IF(C2141="","",0)</f>
        <v/>
      </c>
    </row>
    <row r="2142">
      <c r="A2142" t="inlineStr">
        <is>
          <t>Bank 银行</t>
        </is>
      </c>
      <c r="B2142" s="5">
        <f>IF(AND('Daily Sale entry '!Z642="Online collection 网上收款",'Daily Sale entry '!AA642&lt;&gt;""),'Daily Sale entry '!X642,"")</f>
        <v/>
      </c>
      <c r="C2142">
        <f>IF(B2142="","",'Daily Sale entry '!AA642)</f>
        <v/>
      </c>
      <c r="D2142">
        <f>IF(C2142="","",0)</f>
        <v/>
      </c>
      <c r="E2142">
        <f>IF(C2142="","",'Daily Sale entry '!AC642)</f>
        <v/>
      </c>
      <c r="F2142" s="37">
        <f>IF(C2142="","",B2142+IF(E2142&gt;0,0,0.5)+ROW()/10000000)</f>
        <v/>
      </c>
      <c r="G2142">
        <f>IF(C2142="","","Collection 收款 (Online 网上)"&amp;IF('Daily Sale entry '!Y642="",""," - "&amp;'Daily Sale entry '!Y642))</f>
        <v/>
      </c>
      <c r="H2142">
        <f>IF(C2142="","",COUNTIFS($C$2:$C$3001,C2142,$F$2:$F$3001,"&lt;"&amp;F2142)+1)</f>
        <v/>
      </c>
      <c r="I2142">
        <f>IF(C2142="","",C2142&amp;"|"&amp;H2142)</f>
        <v/>
      </c>
      <c r="J2142" s="6">
        <f>IF(C2142="","",IF(H2142=1,SUMIFS('Opening Balance'!$F$4:$F$303,'Opening Balance'!$G$4:$G$303,C2142),INDEX($L$2:$L$3001,MATCH(C2142&amp;"|"&amp;(H2142-1),$I$2:$I$3001,0))))</f>
        <v/>
      </c>
      <c r="K2142" s="6">
        <f>IF(C2142="","",IF(M2142&gt;0,M2142,IF(AND(E2142&gt;0,ROUND(J2142+D2142-E2142,2)&gt;0,ROUND(J2142+D2142-E2142,2)&lt;'Opening Balance'!$B$14),ROUND(J2142+D2142-E2142,2),0)))</f>
        <v/>
      </c>
      <c r="L2142" s="6">
        <f>IF(C2142="","",ROUND(J2142+D2142-E2142-K2142,2))</f>
        <v/>
      </c>
      <c r="M2142" s="6">
        <f>IF(C2142="","",0)</f>
        <v/>
      </c>
    </row>
    <row r="2143">
      <c r="A2143" t="inlineStr">
        <is>
          <t>Bank 银行</t>
        </is>
      </c>
      <c r="B2143" s="5">
        <f>IF(AND('Daily Sale entry '!Z643="Online collection 网上收款",'Daily Sale entry '!AA643&lt;&gt;""),'Daily Sale entry '!X643,"")</f>
        <v/>
      </c>
      <c r="C2143">
        <f>IF(B2143="","",'Daily Sale entry '!AA643)</f>
        <v/>
      </c>
      <c r="D2143">
        <f>IF(C2143="","",0)</f>
        <v/>
      </c>
      <c r="E2143">
        <f>IF(C2143="","",'Daily Sale entry '!AC643)</f>
        <v/>
      </c>
      <c r="F2143" s="37">
        <f>IF(C2143="","",B2143+IF(E2143&gt;0,0,0.5)+ROW()/10000000)</f>
        <v/>
      </c>
      <c r="G2143">
        <f>IF(C2143="","","Collection 收款 (Online 网上)"&amp;IF('Daily Sale entry '!Y643="",""," - "&amp;'Daily Sale entry '!Y643))</f>
        <v/>
      </c>
      <c r="H2143">
        <f>IF(C2143="","",COUNTIFS($C$2:$C$3001,C2143,$F$2:$F$3001,"&lt;"&amp;F2143)+1)</f>
        <v/>
      </c>
      <c r="I2143">
        <f>IF(C2143="","",C2143&amp;"|"&amp;H2143)</f>
        <v/>
      </c>
      <c r="J2143" s="6">
        <f>IF(C2143="","",IF(H2143=1,SUMIFS('Opening Balance'!$F$4:$F$303,'Opening Balance'!$G$4:$G$303,C2143),INDEX($L$2:$L$3001,MATCH(C2143&amp;"|"&amp;(H2143-1),$I$2:$I$3001,0))))</f>
        <v/>
      </c>
      <c r="K2143" s="6">
        <f>IF(C2143="","",IF(M2143&gt;0,M2143,IF(AND(E2143&gt;0,ROUND(J2143+D2143-E2143,2)&gt;0,ROUND(J2143+D2143-E2143,2)&lt;'Opening Balance'!$B$14),ROUND(J2143+D2143-E2143,2),0)))</f>
        <v/>
      </c>
      <c r="L2143" s="6">
        <f>IF(C2143="","",ROUND(J2143+D2143-E2143-K2143,2))</f>
        <v/>
      </c>
      <c r="M2143" s="6">
        <f>IF(C2143="","",0)</f>
        <v/>
      </c>
    </row>
    <row r="2144">
      <c r="A2144" t="inlineStr">
        <is>
          <t>Bank 银行</t>
        </is>
      </c>
      <c r="B2144" s="5">
        <f>IF(AND('Daily Sale entry '!Z644="Online collection 网上收款",'Daily Sale entry '!AA644&lt;&gt;""),'Daily Sale entry '!X644,"")</f>
        <v/>
      </c>
      <c r="C2144">
        <f>IF(B2144="","",'Daily Sale entry '!AA644)</f>
        <v/>
      </c>
      <c r="D2144">
        <f>IF(C2144="","",0)</f>
        <v/>
      </c>
      <c r="E2144">
        <f>IF(C2144="","",'Daily Sale entry '!AC644)</f>
        <v/>
      </c>
      <c r="F2144" s="37">
        <f>IF(C2144="","",B2144+IF(E2144&gt;0,0,0.5)+ROW()/10000000)</f>
        <v/>
      </c>
      <c r="G2144">
        <f>IF(C2144="","","Collection 收款 (Online 网上)"&amp;IF('Daily Sale entry '!Y644="",""," - "&amp;'Daily Sale entry '!Y644))</f>
        <v/>
      </c>
      <c r="H2144">
        <f>IF(C2144="","",COUNTIFS($C$2:$C$3001,C2144,$F$2:$F$3001,"&lt;"&amp;F2144)+1)</f>
        <v/>
      </c>
      <c r="I2144">
        <f>IF(C2144="","",C2144&amp;"|"&amp;H2144)</f>
        <v/>
      </c>
      <c r="J2144" s="6">
        <f>IF(C2144="","",IF(H2144=1,SUMIFS('Opening Balance'!$F$4:$F$303,'Opening Balance'!$G$4:$G$303,C2144),INDEX($L$2:$L$3001,MATCH(C2144&amp;"|"&amp;(H2144-1),$I$2:$I$3001,0))))</f>
        <v/>
      </c>
      <c r="K2144" s="6">
        <f>IF(C2144="","",IF(M2144&gt;0,M2144,IF(AND(E2144&gt;0,ROUND(J2144+D2144-E2144,2)&gt;0,ROUND(J2144+D2144-E2144,2)&lt;'Opening Balance'!$B$14),ROUND(J2144+D2144-E2144,2),0)))</f>
        <v/>
      </c>
      <c r="L2144" s="6">
        <f>IF(C2144="","",ROUND(J2144+D2144-E2144-K2144,2))</f>
        <v/>
      </c>
      <c r="M2144" s="6">
        <f>IF(C2144="","",0)</f>
        <v/>
      </c>
    </row>
    <row r="2145">
      <c r="A2145" t="inlineStr">
        <is>
          <t>Bank 银行</t>
        </is>
      </c>
      <c r="B2145" s="5">
        <f>IF(AND('Daily Sale entry '!Z645="Online collection 网上收款",'Daily Sale entry '!AA645&lt;&gt;""),'Daily Sale entry '!X645,"")</f>
        <v/>
      </c>
      <c r="C2145">
        <f>IF(B2145="","",'Daily Sale entry '!AA645)</f>
        <v/>
      </c>
      <c r="D2145">
        <f>IF(C2145="","",0)</f>
        <v/>
      </c>
      <c r="E2145">
        <f>IF(C2145="","",'Daily Sale entry '!AC645)</f>
        <v/>
      </c>
      <c r="F2145" s="37">
        <f>IF(C2145="","",B2145+IF(E2145&gt;0,0,0.5)+ROW()/10000000)</f>
        <v/>
      </c>
      <c r="G2145">
        <f>IF(C2145="","","Collection 收款 (Online 网上)"&amp;IF('Daily Sale entry '!Y645="",""," - "&amp;'Daily Sale entry '!Y645))</f>
        <v/>
      </c>
      <c r="H2145">
        <f>IF(C2145="","",COUNTIFS($C$2:$C$3001,C2145,$F$2:$F$3001,"&lt;"&amp;F2145)+1)</f>
        <v/>
      </c>
      <c r="I2145">
        <f>IF(C2145="","",C2145&amp;"|"&amp;H2145)</f>
        <v/>
      </c>
      <c r="J2145" s="6">
        <f>IF(C2145="","",IF(H2145=1,SUMIFS('Opening Balance'!$F$4:$F$303,'Opening Balance'!$G$4:$G$303,C2145),INDEX($L$2:$L$3001,MATCH(C2145&amp;"|"&amp;(H2145-1),$I$2:$I$3001,0))))</f>
        <v/>
      </c>
      <c r="K2145" s="6">
        <f>IF(C2145="","",IF(M2145&gt;0,M2145,IF(AND(E2145&gt;0,ROUND(J2145+D2145-E2145,2)&gt;0,ROUND(J2145+D2145-E2145,2)&lt;'Opening Balance'!$B$14),ROUND(J2145+D2145-E2145,2),0)))</f>
        <v/>
      </c>
      <c r="L2145" s="6">
        <f>IF(C2145="","",ROUND(J2145+D2145-E2145-K2145,2))</f>
        <v/>
      </c>
      <c r="M2145" s="6">
        <f>IF(C2145="","",0)</f>
        <v/>
      </c>
    </row>
    <row r="2146">
      <c r="A2146" t="inlineStr">
        <is>
          <t>Bank 银行</t>
        </is>
      </c>
      <c r="B2146" s="5">
        <f>IF(AND('Daily Sale entry '!Z646="Online collection 网上收款",'Daily Sale entry '!AA646&lt;&gt;""),'Daily Sale entry '!X646,"")</f>
        <v/>
      </c>
      <c r="C2146">
        <f>IF(B2146="","",'Daily Sale entry '!AA646)</f>
        <v/>
      </c>
      <c r="D2146">
        <f>IF(C2146="","",0)</f>
        <v/>
      </c>
      <c r="E2146">
        <f>IF(C2146="","",'Daily Sale entry '!AC646)</f>
        <v/>
      </c>
      <c r="F2146" s="37">
        <f>IF(C2146="","",B2146+IF(E2146&gt;0,0,0.5)+ROW()/10000000)</f>
        <v/>
      </c>
      <c r="G2146">
        <f>IF(C2146="","","Collection 收款 (Online 网上)"&amp;IF('Daily Sale entry '!Y646="",""," - "&amp;'Daily Sale entry '!Y646))</f>
        <v/>
      </c>
      <c r="H2146">
        <f>IF(C2146="","",COUNTIFS($C$2:$C$3001,C2146,$F$2:$F$3001,"&lt;"&amp;F2146)+1)</f>
        <v/>
      </c>
      <c r="I2146">
        <f>IF(C2146="","",C2146&amp;"|"&amp;H2146)</f>
        <v/>
      </c>
      <c r="J2146" s="6">
        <f>IF(C2146="","",IF(H2146=1,SUMIFS('Opening Balance'!$F$4:$F$303,'Opening Balance'!$G$4:$G$303,C2146),INDEX($L$2:$L$3001,MATCH(C2146&amp;"|"&amp;(H2146-1),$I$2:$I$3001,0))))</f>
        <v/>
      </c>
      <c r="K2146" s="6">
        <f>IF(C2146="","",IF(M2146&gt;0,M2146,IF(AND(E2146&gt;0,ROUND(J2146+D2146-E2146,2)&gt;0,ROUND(J2146+D2146-E2146,2)&lt;'Opening Balance'!$B$14),ROUND(J2146+D2146-E2146,2),0)))</f>
        <v/>
      </c>
      <c r="L2146" s="6">
        <f>IF(C2146="","",ROUND(J2146+D2146-E2146-K2146,2))</f>
        <v/>
      </c>
      <c r="M2146" s="6">
        <f>IF(C2146="","",0)</f>
        <v/>
      </c>
    </row>
    <row r="2147">
      <c r="A2147" t="inlineStr">
        <is>
          <t>Bank 银行</t>
        </is>
      </c>
      <c r="B2147" s="5">
        <f>IF(AND('Daily Sale entry '!Z647="Online collection 网上收款",'Daily Sale entry '!AA647&lt;&gt;""),'Daily Sale entry '!X647,"")</f>
        <v/>
      </c>
      <c r="C2147">
        <f>IF(B2147="","",'Daily Sale entry '!AA647)</f>
        <v/>
      </c>
      <c r="D2147">
        <f>IF(C2147="","",0)</f>
        <v/>
      </c>
      <c r="E2147">
        <f>IF(C2147="","",'Daily Sale entry '!AC647)</f>
        <v/>
      </c>
      <c r="F2147" s="37">
        <f>IF(C2147="","",B2147+IF(E2147&gt;0,0,0.5)+ROW()/10000000)</f>
        <v/>
      </c>
      <c r="G2147">
        <f>IF(C2147="","","Collection 收款 (Online 网上)"&amp;IF('Daily Sale entry '!Y647="",""," - "&amp;'Daily Sale entry '!Y647))</f>
        <v/>
      </c>
      <c r="H2147">
        <f>IF(C2147="","",COUNTIFS($C$2:$C$3001,C2147,$F$2:$F$3001,"&lt;"&amp;F2147)+1)</f>
        <v/>
      </c>
      <c r="I2147">
        <f>IF(C2147="","",C2147&amp;"|"&amp;H2147)</f>
        <v/>
      </c>
      <c r="J2147" s="6">
        <f>IF(C2147="","",IF(H2147=1,SUMIFS('Opening Balance'!$F$4:$F$303,'Opening Balance'!$G$4:$G$303,C2147),INDEX($L$2:$L$3001,MATCH(C2147&amp;"|"&amp;(H2147-1),$I$2:$I$3001,0))))</f>
        <v/>
      </c>
      <c r="K2147" s="6">
        <f>IF(C2147="","",IF(M2147&gt;0,M2147,IF(AND(E2147&gt;0,ROUND(J2147+D2147-E2147,2)&gt;0,ROUND(J2147+D2147-E2147,2)&lt;'Opening Balance'!$B$14),ROUND(J2147+D2147-E2147,2),0)))</f>
        <v/>
      </c>
      <c r="L2147" s="6">
        <f>IF(C2147="","",ROUND(J2147+D2147-E2147-K2147,2))</f>
        <v/>
      </c>
      <c r="M2147" s="6">
        <f>IF(C2147="","",0)</f>
        <v/>
      </c>
    </row>
    <row r="2148">
      <c r="A2148" t="inlineStr">
        <is>
          <t>Bank 银行</t>
        </is>
      </c>
      <c r="B2148" s="5">
        <f>IF(AND('Daily Sale entry '!Z648="Online collection 网上收款",'Daily Sale entry '!AA648&lt;&gt;""),'Daily Sale entry '!X648,"")</f>
        <v/>
      </c>
      <c r="C2148">
        <f>IF(B2148="","",'Daily Sale entry '!AA648)</f>
        <v/>
      </c>
      <c r="D2148">
        <f>IF(C2148="","",0)</f>
        <v/>
      </c>
      <c r="E2148">
        <f>IF(C2148="","",'Daily Sale entry '!AC648)</f>
        <v/>
      </c>
      <c r="F2148" s="37">
        <f>IF(C2148="","",B2148+IF(E2148&gt;0,0,0.5)+ROW()/10000000)</f>
        <v/>
      </c>
      <c r="G2148">
        <f>IF(C2148="","","Collection 收款 (Online 网上)"&amp;IF('Daily Sale entry '!Y648="",""," - "&amp;'Daily Sale entry '!Y648))</f>
        <v/>
      </c>
      <c r="H2148">
        <f>IF(C2148="","",COUNTIFS($C$2:$C$3001,C2148,$F$2:$F$3001,"&lt;"&amp;F2148)+1)</f>
        <v/>
      </c>
      <c r="I2148">
        <f>IF(C2148="","",C2148&amp;"|"&amp;H2148)</f>
        <v/>
      </c>
      <c r="J2148" s="6">
        <f>IF(C2148="","",IF(H2148=1,SUMIFS('Opening Balance'!$F$4:$F$303,'Opening Balance'!$G$4:$G$303,C2148),INDEX($L$2:$L$3001,MATCH(C2148&amp;"|"&amp;(H2148-1),$I$2:$I$3001,0))))</f>
        <v/>
      </c>
      <c r="K2148" s="6">
        <f>IF(C2148="","",IF(M2148&gt;0,M2148,IF(AND(E2148&gt;0,ROUND(J2148+D2148-E2148,2)&gt;0,ROUND(J2148+D2148-E2148,2)&lt;'Opening Balance'!$B$14),ROUND(J2148+D2148-E2148,2),0)))</f>
        <v/>
      </c>
      <c r="L2148" s="6">
        <f>IF(C2148="","",ROUND(J2148+D2148-E2148-K2148,2))</f>
        <v/>
      </c>
      <c r="M2148" s="6">
        <f>IF(C2148="","",0)</f>
        <v/>
      </c>
    </row>
    <row r="2149">
      <c r="A2149" t="inlineStr">
        <is>
          <t>Bank 银行</t>
        </is>
      </c>
      <c r="B2149" s="5">
        <f>IF(AND('Daily Sale entry '!Z649="Online collection 网上收款",'Daily Sale entry '!AA649&lt;&gt;""),'Daily Sale entry '!X649,"")</f>
        <v/>
      </c>
      <c r="C2149">
        <f>IF(B2149="","",'Daily Sale entry '!AA649)</f>
        <v/>
      </c>
      <c r="D2149">
        <f>IF(C2149="","",0)</f>
        <v/>
      </c>
      <c r="E2149">
        <f>IF(C2149="","",'Daily Sale entry '!AC649)</f>
        <v/>
      </c>
      <c r="F2149" s="37">
        <f>IF(C2149="","",B2149+IF(E2149&gt;0,0,0.5)+ROW()/10000000)</f>
        <v/>
      </c>
      <c r="G2149">
        <f>IF(C2149="","","Collection 收款 (Online 网上)"&amp;IF('Daily Sale entry '!Y649="",""," - "&amp;'Daily Sale entry '!Y649))</f>
        <v/>
      </c>
      <c r="H2149">
        <f>IF(C2149="","",COUNTIFS($C$2:$C$3001,C2149,$F$2:$F$3001,"&lt;"&amp;F2149)+1)</f>
        <v/>
      </c>
      <c r="I2149">
        <f>IF(C2149="","",C2149&amp;"|"&amp;H2149)</f>
        <v/>
      </c>
      <c r="J2149" s="6">
        <f>IF(C2149="","",IF(H2149=1,SUMIFS('Opening Balance'!$F$4:$F$303,'Opening Balance'!$G$4:$G$303,C2149),INDEX($L$2:$L$3001,MATCH(C2149&amp;"|"&amp;(H2149-1),$I$2:$I$3001,0))))</f>
        <v/>
      </c>
      <c r="K2149" s="6">
        <f>IF(C2149="","",IF(M2149&gt;0,M2149,IF(AND(E2149&gt;0,ROUND(J2149+D2149-E2149,2)&gt;0,ROUND(J2149+D2149-E2149,2)&lt;'Opening Balance'!$B$14),ROUND(J2149+D2149-E2149,2),0)))</f>
        <v/>
      </c>
      <c r="L2149" s="6">
        <f>IF(C2149="","",ROUND(J2149+D2149-E2149-K2149,2))</f>
        <v/>
      </c>
      <c r="M2149" s="6">
        <f>IF(C2149="","",0)</f>
        <v/>
      </c>
    </row>
    <row r="2150">
      <c r="A2150" t="inlineStr">
        <is>
          <t>Bank 银行</t>
        </is>
      </c>
      <c r="B2150" s="5">
        <f>IF(AND('Daily Sale entry '!Z650="Online collection 网上收款",'Daily Sale entry '!AA650&lt;&gt;""),'Daily Sale entry '!X650,"")</f>
        <v/>
      </c>
      <c r="C2150">
        <f>IF(B2150="","",'Daily Sale entry '!AA650)</f>
        <v/>
      </c>
      <c r="D2150">
        <f>IF(C2150="","",0)</f>
        <v/>
      </c>
      <c r="E2150">
        <f>IF(C2150="","",'Daily Sale entry '!AC650)</f>
        <v/>
      </c>
      <c r="F2150" s="37">
        <f>IF(C2150="","",B2150+IF(E2150&gt;0,0,0.5)+ROW()/10000000)</f>
        <v/>
      </c>
      <c r="G2150">
        <f>IF(C2150="","","Collection 收款 (Online 网上)"&amp;IF('Daily Sale entry '!Y650="",""," - "&amp;'Daily Sale entry '!Y650))</f>
        <v/>
      </c>
      <c r="H2150">
        <f>IF(C2150="","",COUNTIFS($C$2:$C$3001,C2150,$F$2:$F$3001,"&lt;"&amp;F2150)+1)</f>
        <v/>
      </c>
      <c r="I2150">
        <f>IF(C2150="","",C2150&amp;"|"&amp;H2150)</f>
        <v/>
      </c>
      <c r="J2150" s="6">
        <f>IF(C2150="","",IF(H2150=1,SUMIFS('Opening Balance'!$F$4:$F$303,'Opening Balance'!$G$4:$G$303,C2150),INDEX($L$2:$L$3001,MATCH(C2150&amp;"|"&amp;(H2150-1),$I$2:$I$3001,0))))</f>
        <v/>
      </c>
      <c r="K2150" s="6">
        <f>IF(C2150="","",IF(M2150&gt;0,M2150,IF(AND(E2150&gt;0,ROUND(J2150+D2150-E2150,2)&gt;0,ROUND(J2150+D2150-E2150,2)&lt;'Opening Balance'!$B$14),ROUND(J2150+D2150-E2150,2),0)))</f>
        <v/>
      </c>
      <c r="L2150" s="6">
        <f>IF(C2150="","",ROUND(J2150+D2150-E2150-K2150,2))</f>
        <v/>
      </c>
      <c r="M2150" s="6">
        <f>IF(C2150="","",0)</f>
        <v/>
      </c>
    </row>
    <row r="2151">
      <c r="A2151" t="inlineStr">
        <is>
          <t>Bank 银行</t>
        </is>
      </c>
      <c r="B2151" s="5">
        <f>IF(AND('Daily Sale entry '!Z651="Online collection 网上收款",'Daily Sale entry '!AA651&lt;&gt;""),'Daily Sale entry '!X651,"")</f>
        <v/>
      </c>
      <c r="C2151">
        <f>IF(B2151="","",'Daily Sale entry '!AA651)</f>
        <v/>
      </c>
      <c r="D2151">
        <f>IF(C2151="","",0)</f>
        <v/>
      </c>
      <c r="E2151">
        <f>IF(C2151="","",'Daily Sale entry '!AC651)</f>
        <v/>
      </c>
      <c r="F2151" s="37">
        <f>IF(C2151="","",B2151+IF(E2151&gt;0,0,0.5)+ROW()/10000000)</f>
        <v/>
      </c>
      <c r="G2151">
        <f>IF(C2151="","","Collection 收款 (Online 网上)"&amp;IF('Daily Sale entry '!Y651="",""," - "&amp;'Daily Sale entry '!Y651))</f>
        <v/>
      </c>
      <c r="H2151">
        <f>IF(C2151="","",COUNTIFS($C$2:$C$3001,C2151,$F$2:$F$3001,"&lt;"&amp;F2151)+1)</f>
        <v/>
      </c>
      <c r="I2151">
        <f>IF(C2151="","",C2151&amp;"|"&amp;H2151)</f>
        <v/>
      </c>
      <c r="J2151" s="6">
        <f>IF(C2151="","",IF(H2151=1,SUMIFS('Opening Balance'!$F$4:$F$303,'Opening Balance'!$G$4:$G$303,C2151),INDEX($L$2:$L$3001,MATCH(C2151&amp;"|"&amp;(H2151-1),$I$2:$I$3001,0))))</f>
        <v/>
      </c>
      <c r="K2151" s="6">
        <f>IF(C2151="","",IF(M2151&gt;0,M2151,IF(AND(E2151&gt;0,ROUND(J2151+D2151-E2151,2)&gt;0,ROUND(J2151+D2151-E2151,2)&lt;'Opening Balance'!$B$14),ROUND(J2151+D2151-E2151,2),0)))</f>
        <v/>
      </c>
      <c r="L2151" s="6">
        <f>IF(C2151="","",ROUND(J2151+D2151-E2151-K2151,2))</f>
        <v/>
      </c>
      <c r="M2151" s="6">
        <f>IF(C2151="","",0)</f>
        <v/>
      </c>
    </row>
    <row r="2152">
      <c r="A2152" t="inlineStr">
        <is>
          <t>Bank 银行</t>
        </is>
      </c>
      <c r="B2152" s="5">
        <f>IF(AND('Daily Sale entry '!Z652="Online collection 网上收款",'Daily Sale entry '!AA652&lt;&gt;""),'Daily Sale entry '!X652,"")</f>
        <v/>
      </c>
      <c r="C2152">
        <f>IF(B2152="","",'Daily Sale entry '!AA652)</f>
        <v/>
      </c>
      <c r="D2152">
        <f>IF(C2152="","",0)</f>
        <v/>
      </c>
      <c r="E2152">
        <f>IF(C2152="","",'Daily Sale entry '!AC652)</f>
        <v/>
      </c>
      <c r="F2152" s="37">
        <f>IF(C2152="","",B2152+IF(E2152&gt;0,0,0.5)+ROW()/10000000)</f>
        <v/>
      </c>
      <c r="G2152">
        <f>IF(C2152="","","Collection 收款 (Online 网上)"&amp;IF('Daily Sale entry '!Y652="",""," - "&amp;'Daily Sale entry '!Y652))</f>
        <v/>
      </c>
      <c r="H2152">
        <f>IF(C2152="","",COUNTIFS($C$2:$C$3001,C2152,$F$2:$F$3001,"&lt;"&amp;F2152)+1)</f>
        <v/>
      </c>
      <c r="I2152">
        <f>IF(C2152="","",C2152&amp;"|"&amp;H2152)</f>
        <v/>
      </c>
      <c r="J2152" s="6">
        <f>IF(C2152="","",IF(H2152=1,SUMIFS('Opening Balance'!$F$4:$F$303,'Opening Balance'!$G$4:$G$303,C2152),INDEX($L$2:$L$3001,MATCH(C2152&amp;"|"&amp;(H2152-1),$I$2:$I$3001,0))))</f>
        <v/>
      </c>
      <c r="K2152" s="6">
        <f>IF(C2152="","",IF(M2152&gt;0,M2152,IF(AND(E2152&gt;0,ROUND(J2152+D2152-E2152,2)&gt;0,ROUND(J2152+D2152-E2152,2)&lt;'Opening Balance'!$B$14),ROUND(J2152+D2152-E2152,2),0)))</f>
        <v/>
      </c>
      <c r="L2152" s="6">
        <f>IF(C2152="","",ROUND(J2152+D2152-E2152-K2152,2))</f>
        <v/>
      </c>
      <c r="M2152" s="6">
        <f>IF(C2152="","",0)</f>
        <v/>
      </c>
    </row>
    <row r="2153">
      <c r="A2153" t="inlineStr">
        <is>
          <t>Bank 银行</t>
        </is>
      </c>
      <c r="B2153" s="5">
        <f>IF(AND('Daily Sale entry '!Z653="Online collection 网上收款",'Daily Sale entry '!AA653&lt;&gt;""),'Daily Sale entry '!X653,"")</f>
        <v/>
      </c>
      <c r="C2153">
        <f>IF(B2153="","",'Daily Sale entry '!AA653)</f>
        <v/>
      </c>
      <c r="D2153">
        <f>IF(C2153="","",0)</f>
        <v/>
      </c>
      <c r="E2153">
        <f>IF(C2153="","",'Daily Sale entry '!AC653)</f>
        <v/>
      </c>
      <c r="F2153" s="37">
        <f>IF(C2153="","",B2153+IF(E2153&gt;0,0,0.5)+ROW()/10000000)</f>
        <v/>
      </c>
      <c r="G2153">
        <f>IF(C2153="","","Collection 收款 (Online 网上)"&amp;IF('Daily Sale entry '!Y653="",""," - "&amp;'Daily Sale entry '!Y653))</f>
        <v/>
      </c>
      <c r="H2153">
        <f>IF(C2153="","",COUNTIFS($C$2:$C$3001,C2153,$F$2:$F$3001,"&lt;"&amp;F2153)+1)</f>
        <v/>
      </c>
      <c r="I2153">
        <f>IF(C2153="","",C2153&amp;"|"&amp;H2153)</f>
        <v/>
      </c>
      <c r="J2153" s="6">
        <f>IF(C2153="","",IF(H2153=1,SUMIFS('Opening Balance'!$F$4:$F$303,'Opening Balance'!$G$4:$G$303,C2153),INDEX($L$2:$L$3001,MATCH(C2153&amp;"|"&amp;(H2153-1),$I$2:$I$3001,0))))</f>
        <v/>
      </c>
      <c r="K2153" s="6">
        <f>IF(C2153="","",IF(M2153&gt;0,M2153,IF(AND(E2153&gt;0,ROUND(J2153+D2153-E2153,2)&gt;0,ROUND(J2153+D2153-E2153,2)&lt;'Opening Balance'!$B$14),ROUND(J2153+D2153-E2153,2),0)))</f>
        <v/>
      </c>
      <c r="L2153" s="6">
        <f>IF(C2153="","",ROUND(J2153+D2153-E2153-K2153,2))</f>
        <v/>
      </c>
      <c r="M2153" s="6">
        <f>IF(C2153="","",0)</f>
        <v/>
      </c>
    </row>
    <row r="2154">
      <c r="A2154" t="inlineStr">
        <is>
          <t>Bank 银行</t>
        </is>
      </c>
      <c r="B2154" s="5">
        <f>IF(AND('Daily Sale entry '!Z654="Online collection 网上收款",'Daily Sale entry '!AA654&lt;&gt;""),'Daily Sale entry '!X654,"")</f>
        <v/>
      </c>
      <c r="C2154">
        <f>IF(B2154="","",'Daily Sale entry '!AA654)</f>
        <v/>
      </c>
      <c r="D2154">
        <f>IF(C2154="","",0)</f>
        <v/>
      </c>
      <c r="E2154">
        <f>IF(C2154="","",'Daily Sale entry '!AC654)</f>
        <v/>
      </c>
      <c r="F2154" s="37">
        <f>IF(C2154="","",B2154+IF(E2154&gt;0,0,0.5)+ROW()/10000000)</f>
        <v/>
      </c>
      <c r="G2154">
        <f>IF(C2154="","","Collection 收款 (Online 网上)"&amp;IF('Daily Sale entry '!Y654="",""," - "&amp;'Daily Sale entry '!Y654))</f>
        <v/>
      </c>
      <c r="H2154">
        <f>IF(C2154="","",COUNTIFS($C$2:$C$3001,C2154,$F$2:$F$3001,"&lt;"&amp;F2154)+1)</f>
        <v/>
      </c>
      <c r="I2154">
        <f>IF(C2154="","",C2154&amp;"|"&amp;H2154)</f>
        <v/>
      </c>
      <c r="J2154" s="6">
        <f>IF(C2154="","",IF(H2154=1,SUMIFS('Opening Balance'!$F$4:$F$303,'Opening Balance'!$G$4:$G$303,C2154),INDEX($L$2:$L$3001,MATCH(C2154&amp;"|"&amp;(H2154-1),$I$2:$I$3001,0))))</f>
        <v/>
      </c>
      <c r="K2154" s="6">
        <f>IF(C2154="","",IF(M2154&gt;0,M2154,IF(AND(E2154&gt;0,ROUND(J2154+D2154-E2154,2)&gt;0,ROUND(J2154+D2154-E2154,2)&lt;'Opening Balance'!$B$14),ROUND(J2154+D2154-E2154,2),0)))</f>
        <v/>
      </c>
      <c r="L2154" s="6">
        <f>IF(C2154="","",ROUND(J2154+D2154-E2154-K2154,2))</f>
        <v/>
      </c>
      <c r="M2154" s="6">
        <f>IF(C2154="","",0)</f>
        <v/>
      </c>
    </row>
    <row r="2155">
      <c r="A2155" t="inlineStr">
        <is>
          <t>Bank 银行</t>
        </is>
      </c>
      <c r="B2155" s="5">
        <f>IF(AND('Daily Sale entry '!Z655="Online collection 网上收款",'Daily Sale entry '!AA655&lt;&gt;""),'Daily Sale entry '!X655,"")</f>
        <v/>
      </c>
      <c r="C2155">
        <f>IF(B2155="","",'Daily Sale entry '!AA655)</f>
        <v/>
      </c>
      <c r="D2155">
        <f>IF(C2155="","",0)</f>
        <v/>
      </c>
      <c r="E2155">
        <f>IF(C2155="","",'Daily Sale entry '!AC655)</f>
        <v/>
      </c>
      <c r="F2155" s="37">
        <f>IF(C2155="","",B2155+IF(E2155&gt;0,0,0.5)+ROW()/10000000)</f>
        <v/>
      </c>
      <c r="G2155">
        <f>IF(C2155="","","Collection 收款 (Online 网上)"&amp;IF('Daily Sale entry '!Y655="",""," - "&amp;'Daily Sale entry '!Y655))</f>
        <v/>
      </c>
      <c r="H2155">
        <f>IF(C2155="","",COUNTIFS($C$2:$C$3001,C2155,$F$2:$F$3001,"&lt;"&amp;F2155)+1)</f>
        <v/>
      </c>
      <c r="I2155">
        <f>IF(C2155="","",C2155&amp;"|"&amp;H2155)</f>
        <v/>
      </c>
      <c r="J2155" s="6">
        <f>IF(C2155="","",IF(H2155=1,SUMIFS('Opening Balance'!$F$4:$F$303,'Opening Balance'!$G$4:$G$303,C2155),INDEX($L$2:$L$3001,MATCH(C2155&amp;"|"&amp;(H2155-1),$I$2:$I$3001,0))))</f>
        <v/>
      </c>
      <c r="K2155" s="6">
        <f>IF(C2155="","",IF(M2155&gt;0,M2155,IF(AND(E2155&gt;0,ROUND(J2155+D2155-E2155,2)&gt;0,ROUND(J2155+D2155-E2155,2)&lt;'Opening Balance'!$B$14),ROUND(J2155+D2155-E2155,2),0)))</f>
        <v/>
      </c>
      <c r="L2155" s="6">
        <f>IF(C2155="","",ROUND(J2155+D2155-E2155-K2155,2))</f>
        <v/>
      </c>
      <c r="M2155" s="6">
        <f>IF(C2155="","",0)</f>
        <v/>
      </c>
    </row>
    <row r="2156">
      <c r="A2156" t="inlineStr">
        <is>
          <t>Bank 银行</t>
        </is>
      </c>
      <c r="B2156" s="5">
        <f>IF(AND('Daily Sale entry '!Z656="Online collection 网上收款",'Daily Sale entry '!AA656&lt;&gt;""),'Daily Sale entry '!X656,"")</f>
        <v/>
      </c>
      <c r="C2156">
        <f>IF(B2156="","",'Daily Sale entry '!AA656)</f>
        <v/>
      </c>
      <c r="D2156">
        <f>IF(C2156="","",0)</f>
        <v/>
      </c>
      <c r="E2156">
        <f>IF(C2156="","",'Daily Sale entry '!AC656)</f>
        <v/>
      </c>
      <c r="F2156" s="37">
        <f>IF(C2156="","",B2156+IF(E2156&gt;0,0,0.5)+ROW()/10000000)</f>
        <v/>
      </c>
      <c r="G2156">
        <f>IF(C2156="","","Collection 收款 (Online 网上)"&amp;IF('Daily Sale entry '!Y656="",""," - "&amp;'Daily Sale entry '!Y656))</f>
        <v/>
      </c>
      <c r="H2156">
        <f>IF(C2156="","",COUNTIFS($C$2:$C$3001,C2156,$F$2:$F$3001,"&lt;"&amp;F2156)+1)</f>
        <v/>
      </c>
      <c r="I2156">
        <f>IF(C2156="","",C2156&amp;"|"&amp;H2156)</f>
        <v/>
      </c>
      <c r="J2156" s="6">
        <f>IF(C2156="","",IF(H2156=1,SUMIFS('Opening Balance'!$F$4:$F$303,'Opening Balance'!$G$4:$G$303,C2156),INDEX($L$2:$L$3001,MATCH(C2156&amp;"|"&amp;(H2156-1),$I$2:$I$3001,0))))</f>
        <v/>
      </c>
      <c r="K2156" s="6">
        <f>IF(C2156="","",IF(M2156&gt;0,M2156,IF(AND(E2156&gt;0,ROUND(J2156+D2156-E2156,2)&gt;0,ROUND(J2156+D2156-E2156,2)&lt;'Opening Balance'!$B$14),ROUND(J2156+D2156-E2156,2),0)))</f>
        <v/>
      </c>
      <c r="L2156" s="6">
        <f>IF(C2156="","",ROUND(J2156+D2156-E2156-K2156,2))</f>
        <v/>
      </c>
      <c r="M2156" s="6">
        <f>IF(C2156="","",0)</f>
        <v/>
      </c>
    </row>
    <row r="2157">
      <c r="A2157" t="inlineStr">
        <is>
          <t>Bank 银行</t>
        </is>
      </c>
      <c r="B2157" s="5">
        <f>IF(AND('Daily Sale entry '!Z657="Online collection 网上收款",'Daily Sale entry '!AA657&lt;&gt;""),'Daily Sale entry '!X657,"")</f>
        <v/>
      </c>
      <c r="C2157">
        <f>IF(B2157="","",'Daily Sale entry '!AA657)</f>
        <v/>
      </c>
      <c r="D2157">
        <f>IF(C2157="","",0)</f>
        <v/>
      </c>
      <c r="E2157">
        <f>IF(C2157="","",'Daily Sale entry '!AC657)</f>
        <v/>
      </c>
      <c r="F2157" s="37">
        <f>IF(C2157="","",B2157+IF(E2157&gt;0,0,0.5)+ROW()/10000000)</f>
        <v/>
      </c>
      <c r="G2157">
        <f>IF(C2157="","","Collection 收款 (Online 网上)"&amp;IF('Daily Sale entry '!Y657="",""," - "&amp;'Daily Sale entry '!Y657))</f>
        <v/>
      </c>
      <c r="H2157">
        <f>IF(C2157="","",COUNTIFS($C$2:$C$3001,C2157,$F$2:$F$3001,"&lt;"&amp;F2157)+1)</f>
        <v/>
      </c>
      <c r="I2157">
        <f>IF(C2157="","",C2157&amp;"|"&amp;H2157)</f>
        <v/>
      </c>
      <c r="J2157" s="6">
        <f>IF(C2157="","",IF(H2157=1,SUMIFS('Opening Balance'!$F$4:$F$303,'Opening Balance'!$G$4:$G$303,C2157),INDEX($L$2:$L$3001,MATCH(C2157&amp;"|"&amp;(H2157-1),$I$2:$I$3001,0))))</f>
        <v/>
      </c>
      <c r="K2157" s="6">
        <f>IF(C2157="","",IF(M2157&gt;0,M2157,IF(AND(E2157&gt;0,ROUND(J2157+D2157-E2157,2)&gt;0,ROUND(J2157+D2157-E2157,2)&lt;'Opening Balance'!$B$14),ROUND(J2157+D2157-E2157,2),0)))</f>
        <v/>
      </c>
      <c r="L2157" s="6">
        <f>IF(C2157="","",ROUND(J2157+D2157-E2157-K2157,2))</f>
        <v/>
      </c>
      <c r="M2157" s="6">
        <f>IF(C2157="","",0)</f>
        <v/>
      </c>
    </row>
    <row r="2158">
      <c r="A2158" t="inlineStr">
        <is>
          <t>Bank 银行</t>
        </is>
      </c>
      <c r="B2158" s="5">
        <f>IF(AND('Daily Sale entry '!Z658="Online collection 网上收款",'Daily Sale entry '!AA658&lt;&gt;""),'Daily Sale entry '!X658,"")</f>
        <v/>
      </c>
      <c r="C2158">
        <f>IF(B2158="","",'Daily Sale entry '!AA658)</f>
        <v/>
      </c>
      <c r="D2158">
        <f>IF(C2158="","",0)</f>
        <v/>
      </c>
      <c r="E2158">
        <f>IF(C2158="","",'Daily Sale entry '!AC658)</f>
        <v/>
      </c>
      <c r="F2158" s="37">
        <f>IF(C2158="","",B2158+IF(E2158&gt;0,0,0.5)+ROW()/10000000)</f>
        <v/>
      </c>
      <c r="G2158">
        <f>IF(C2158="","","Collection 收款 (Online 网上)"&amp;IF('Daily Sale entry '!Y658="",""," - "&amp;'Daily Sale entry '!Y658))</f>
        <v/>
      </c>
      <c r="H2158">
        <f>IF(C2158="","",COUNTIFS($C$2:$C$3001,C2158,$F$2:$F$3001,"&lt;"&amp;F2158)+1)</f>
        <v/>
      </c>
      <c r="I2158">
        <f>IF(C2158="","",C2158&amp;"|"&amp;H2158)</f>
        <v/>
      </c>
      <c r="J2158" s="6">
        <f>IF(C2158="","",IF(H2158=1,SUMIFS('Opening Balance'!$F$4:$F$303,'Opening Balance'!$G$4:$G$303,C2158),INDEX($L$2:$L$3001,MATCH(C2158&amp;"|"&amp;(H2158-1),$I$2:$I$3001,0))))</f>
        <v/>
      </c>
      <c r="K2158" s="6">
        <f>IF(C2158="","",IF(M2158&gt;0,M2158,IF(AND(E2158&gt;0,ROUND(J2158+D2158-E2158,2)&gt;0,ROUND(J2158+D2158-E2158,2)&lt;'Opening Balance'!$B$14),ROUND(J2158+D2158-E2158,2),0)))</f>
        <v/>
      </c>
      <c r="L2158" s="6">
        <f>IF(C2158="","",ROUND(J2158+D2158-E2158-K2158,2))</f>
        <v/>
      </c>
      <c r="M2158" s="6">
        <f>IF(C2158="","",0)</f>
        <v/>
      </c>
    </row>
    <row r="2159">
      <c r="A2159" t="inlineStr">
        <is>
          <t>Bank 银行</t>
        </is>
      </c>
      <c r="B2159" s="5">
        <f>IF(AND('Daily Sale entry '!Z659="Online collection 网上收款",'Daily Sale entry '!AA659&lt;&gt;""),'Daily Sale entry '!X659,"")</f>
        <v/>
      </c>
      <c r="C2159">
        <f>IF(B2159="","",'Daily Sale entry '!AA659)</f>
        <v/>
      </c>
      <c r="D2159">
        <f>IF(C2159="","",0)</f>
        <v/>
      </c>
      <c r="E2159">
        <f>IF(C2159="","",'Daily Sale entry '!AC659)</f>
        <v/>
      </c>
      <c r="F2159" s="37">
        <f>IF(C2159="","",B2159+IF(E2159&gt;0,0,0.5)+ROW()/10000000)</f>
        <v/>
      </c>
      <c r="G2159">
        <f>IF(C2159="","","Collection 收款 (Online 网上)"&amp;IF('Daily Sale entry '!Y659="",""," - "&amp;'Daily Sale entry '!Y659))</f>
        <v/>
      </c>
      <c r="H2159">
        <f>IF(C2159="","",COUNTIFS($C$2:$C$3001,C2159,$F$2:$F$3001,"&lt;"&amp;F2159)+1)</f>
        <v/>
      </c>
      <c r="I2159">
        <f>IF(C2159="","",C2159&amp;"|"&amp;H2159)</f>
        <v/>
      </c>
      <c r="J2159" s="6">
        <f>IF(C2159="","",IF(H2159=1,SUMIFS('Opening Balance'!$F$4:$F$303,'Opening Balance'!$G$4:$G$303,C2159),INDEX($L$2:$L$3001,MATCH(C2159&amp;"|"&amp;(H2159-1),$I$2:$I$3001,0))))</f>
        <v/>
      </c>
      <c r="K2159" s="6">
        <f>IF(C2159="","",IF(M2159&gt;0,M2159,IF(AND(E2159&gt;0,ROUND(J2159+D2159-E2159,2)&gt;0,ROUND(J2159+D2159-E2159,2)&lt;'Opening Balance'!$B$14),ROUND(J2159+D2159-E2159,2),0)))</f>
        <v/>
      </c>
      <c r="L2159" s="6">
        <f>IF(C2159="","",ROUND(J2159+D2159-E2159-K2159,2))</f>
        <v/>
      </c>
      <c r="M2159" s="6">
        <f>IF(C2159="","",0)</f>
        <v/>
      </c>
    </row>
    <row r="2160">
      <c r="A2160" t="inlineStr">
        <is>
          <t>Bank 银行</t>
        </is>
      </c>
      <c r="B2160" s="5">
        <f>IF(AND('Daily Sale entry '!Z660="Online collection 网上收款",'Daily Sale entry '!AA660&lt;&gt;""),'Daily Sale entry '!X660,"")</f>
        <v/>
      </c>
      <c r="C2160">
        <f>IF(B2160="","",'Daily Sale entry '!AA660)</f>
        <v/>
      </c>
      <c r="D2160">
        <f>IF(C2160="","",0)</f>
        <v/>
      </c>
      <c r="E2160">
        <f>IF(C2160="","",'Daily Sale entry '!AC660)</f>
        <v/>
      </c>
      <c r="F2160" s="37">
        <f>IF(C2160="","",B2160+IF(E2160&gt;0,0,0.5)+ROW()/10000000)</f>
        <v/>
      </c>
      <c r="G2160">
        <f>IF(C2160="","","Collection 收款 (Online 网上)"&amp;IF('Daily Sale entry '!Y660="",""," - "&amp;'Daily Sale entry '!Y660))</f>
        <v/>
      </c>
      <c r="H2160">
        <f>IF(C2160="","",COUNTIFS($C$2:$C$3001,C2160,$F$2:$F$3001,"&lt;"&amp;F2160)+1)</f>
        <v/>
      </c>
      <c r="I2160">
        <f>IF(C2160="","",C2160&amp;"|"&amp;H2160)</f>
        <v/>
      </c>
      <c r="J2160" s="6">
        <f>IF(C2160="","",IF(H2160=1,SUMIFS('Opening Balance'!$F$4:$F$303,'Opening Balance'!$G$4:$G$303,C2160),INDEX($L$2:$L$3001,MATCH(C2160&amp;"|"&amp;(H2160-1),$I$2:$I$3001,0))))</f>
        <v/>
      </c>
      <c r="K2160" s="6">
        <f>IF(C2160="","",IF(M2160&gt;0,M2160,IF(AND(E2160&gt;0,ROUND(J2160+D2160-E2160,2)&gt;0,ROUND(J2160+D2160-E2160,2)&lt;'Opening Balance'!$B$14),ROUND(J2160+D2160-E2160,2),0)))</f>
        <v/>
      </c>
      <c r="L2160" s="6">
        <f>IF(C2160="","",ROUND(J2160+D2160-E2160-K2160,2))</f>
        <v/>
      </c>
      <c r="M2160" s="6">
        <f>IF(C2160="","",0)</f>
        <v/>
      </c>
    </row>
    <row r="2161">
      <c r="A2161" t="inlineStr">
        <is>
          <t>Bank 银行</t>
        </is>
      </c>
      <c r="B2161" s="5">
        <f>IF(AND('Daily Sale entry '!Z661="Online collection 网上收款",'Daily Sale entry '!AA661&lt;&gt;""),'Daily Sale entry '!X661,"")</f>
        <v/>
      </c>
      <c r="C2161">
        <f>IF(B2161="","",'Daily Sale entry '!AA661)</f>
        <v/>
      </c>
      <c r="D2161">
        <f>IF(C2161="","",0)</f>
        <v/>
      </c>
      <c r="E2161">
        <f>IF(C2161="","",'Daily Sale entry '!AC661)</f>
        <v/>
      </c>
      <c r="F2161" s="37">
        <f>IF(C2161="","",B2161+IF(E2161&gt;0,0,0.5)+ROW()/10000000)</f>
        <v/>
      </c>
      <c r="G2161">
        <f>IF(C2161="","","Collection 收款 (Online 网上)"&amp;IF('Daily Sale entry '!Y661="",""," - "&amp;'Daily Sale entry '!Y661))</f>
        <v/>
      </c>
      <c r="H2161">
        <f>IF(C2161="","",COUNTIFS($C$2:$C$3001,C2161,$F$2:$F$3001,"&lt;"&amp;F2161)+1)</f>
        <v/>
      </c>
      <c r="I2161">
        <f>IF(C2161="","",C2161&amp;"|"&amp;H2161)</f>
        <v/>
      </c>
      <c r="J2161" s="6">
        <f>IF(C2161="","",IF(H2161=1,SUMIFS('Opening Balance'!$F$4:$F$303,'Opening Balance'!$G$4:$G$303,C2161),INDEX($L$2:$L$3001,MATCH(C2161&amp;"|"&amp;(H2161-1),$I$2:$I$3001,0))))</f>
        <v/>
      </c>
      <c r="K2161" s="6">
        <f>IF(C2161="","",IF(M2161&gt;0,M2161,IF(AND(E2161&gt;0,ROUND(J2161+D2161-E2161,2)&gt;0,ROUND(J2161+D2161-E2161,2)&lt;'Opening Balance'!$B$14),ROUND(J2161+D2161-E2161,2),0)))</f>
        <v/>
      </c>
      <c r="L2161" s="6">
        <f>IF(C2161="","",ROUND(J2161+D2161-E2161-K2161,2))</f>
        <v/>
      </c>
      <c r="M2161" s="6">
        <f>IF(C2161="","",0)</f>
        <v/>
      </c>
    </row>
    <row r="2162">
      <c r="A2162" t="inlineStr">
        <is>
          <t>Bank 银行</t>
        </is>
      </c>
      <c r="B2162" s="5">
        <f>IF(AND('Daily Sale entry '!Z662="Online collection 网上收款",'Daily Sale entry '!AA662&lt;&gt;""),'Daily Sale entry '!X662,"")</f>
        <v/>
      </c>
      <c r="C2162">
        <f>IF(B2162="","",'Daily Sale entry '!AA662)</f>
        <v/>
      </c>
      <c r="D2162">
        <f>IF(C2162="","",0)</f>
        <v/>
      </c>
      <c r="E2162">
        <f>IF(C2162="","",'Daily Sale entry '!AC662)</f>
        <v/>
      </c>
      <c r="F2162" s="37">
        <f>IF(C2162="","",B2162+IF(E2162&gt;0,0,0.5)+ROW()/10000000)</f>
        <v/>
      </c>
      <c r="G2162">
        <f>IF(C2162="","","Collection 收款 (Online 网上)"&amp;IF('Daily Sale entry '!Y662="",""," - "&amp;'Daily Sale entry '!Y662))</f>
        <v/>
      </c>
      <c r="H2162">
        <f>IF(C2162="","",COUNTIFS($C$2:$C$3001,C2162,$F$2:$F$3001,"&lt;"&amp;F2162)+1)</f>
        <v/>
      </c>
      <c r="I2162">
        <f>IF(C2162="","",C2162&amp;"|"&amp;H2162)</f>
        <v/>
      </c>
      <c r="J2162" s="6">
        <f>IF(C2162="","",IF(H2162=1,SUMIFS('Opening Balance'!$F$4:$F$303,'Opening Balance'!$G$4:$G$303,C2162),INDEX($L$2:$L$3001,MATCH(C2162&amp;"|"&amp;(H2162-1),$I$2:$I$3001,0))))</f>
        <v/>
      </c>
      <c r="K2162" s="6">
        <f>IF(C2162="","",IF(M2162&gt;0,M2162,IF(AND(E2162&gt;0,ROUND(J2162+D2162-E2162,2)&gt;0,ROUND(J2162+D2162-E2162,2)&lt;'Opening Balance'!$B$14),ROUND(J2162+D2162-E2162,2),0)))</f>
        <v/>
      </c>
      <c r="L2162" s="6">
        <f>IF(C2162="","",ROUND(J2162+D2162-E2162-K2162,2))</f>
        <v/>
      </c>
      <c r="M2162" s="6">
        <f>IF(C2162="","",0)</f>
        <v/>
      </c>
    </row>
    <row r="2163">
      <c r="A2163" t="inlineStr">
        <is>
          <t>Bank 银行</t>
        </is>
      </c>
      <c r="B2163" s="5">
        <f>IF(AND('Daily Sale entry '!Z663="Online collection 网上收款",'Daily Sale entry '!AA663&lt;&gt;""),'Daily Sale entry '!X663,"")</f>
        <v/>
      </c>
      <c r="C2163">
        <f>IF(B2163="","",'Daily Sale entry '!AA663)</f>
        <v/>
      </c>
      <c r="D2163">
        <f>IF(C2163="","",0)</f>
        <v/>
      </c>
      <c r="E2163">
        <f>IF(C2163="","",'Daily Sale entry '!AC663)</f>
        <v/>
      </c>
      <c r="F2163" s="37">
        <f>IF(C2163="","",B2163+IF(E2163&gt;0,0,0.5)+ROW()/10000000)</f>
        <v/>
      </c>
      <c r="G2163">
        <f>IF(C2163="","","Collection 收款 (Online 网上)"&amp;IF('Daily Sale entry '!Y663="",""," - "&amp;'Daily Sale entry '!Y663))</f>
        <v/>
      </c>
      <c r="H2163">
        <f>IF(C2163="","",COUNTIFS($C$2:$C$3001,C2163,$F$2:$F$3001,"&lt;"&amp;F2163)+1)</f>
        <v/>
      </c>
      <c r="I2163">
        <f>IF(C2163="","",C2163&amp;"|"&amp;H2163)</f>
        <v/>
      </c>
      <c r="J2163" s="6">
        <f>IF(C2163="","",IF(H2163=1,SUMIFS('Opening Balance'!$F$4:$F$303,'Opening Balance'!$G$4:$G$303,C2163),INDEX($L$2:$L$3001,MATCH(C2163&amp;"|"&amp;(H2163-1),$I$2:$I$3001,0))))</f>
        <v/>
      </c>
      <c r="K2163" s="6">
        <f>IF(C2163="","",IF(M2163&gt;0,M2163,IF(AND(E2163&gt;0,ROUND(J2163+D2163-E2163,2)&gt;0,ROUND(J2163+D2163-E2163,2)&lt;'Opening Balance'!$B$14),ROUND(J2163+D2163-E2163,2),0)))</f>
        <v/>
      </c>
      <c r="L2163" s="6">
        <f>IF(C2163="","",ROUND(J2163+D2163-E2163-K2163,2))</f>
        <v/>
      </c>
      <c r="M2163" s="6">
        <f>IF(C2163="","",0)</f>
        <v/>
      </c>
    </row>
    <row r="2164">
      <c r="A2164" t="inlineStr">
        <is>
          <t>Bank 银行</t>
        </is>
      </c>
      <c r="B2164" s="5">
        <f>IF(AND('Daily Sale entry '!Z664="Online collection 网上收款",'Daily Sale entry '!AA664&lt;&gt;""),'Daily Sale entry '!X664,"")</f>
        <v/>
      </c>
      <c r="C2164">
        <f>IF(B2164="","",'Daily Sale entry '!AA664)</f>
        <v/>
      </c>
      <c r="D2164">
        <f>IF(C2164="","",0)</f>
        <v/>
      </c>
      <c r="E2164">
        <f>IF(C2164="","",'Daily Sale entry '!AC664)</f>
        <v/>
      </c>
      <c r="F2164" s="37">
        <f>IF(C2164="","",B2164+IF(E2164&gt;0,0,0.5)+ROW()/10000000)</f>
        <v/>
      </c>
      <c r="G2164">
        <f>IF(C2164="","","Collection 收款 (Online 网上)"&amp;IF('Daily Sale entry '!Y664="",""," - "&amp;'Daily Sale entry '!Y664))</f>
        <v/>
      </c>
      <c r="H2164">
        <f>IF(C2164="","",COUNTIFS($C$2:$C$3001,C2164,$F$2:$F$3001,"&lt;"&amp;F2164)+1)</f>
        <v/>
      </c>
      <c r="I2164">
        <f>IF(C2164="","",C2164&amp;"|"&amp;H2164)</f>
        <v/>
      </c>
      <c r="J2164" s="6">
        <f>IF(C2164="","",IF(H2164=1,SUMIFS('Opening Balance'!$F$4:$F$303,'Opening Balance'!$G$4:$G$303,C2164),INDEX($L$2:$L$3001,MATCH(C2164&amp;"|"&amp;(H2164-1),$I$2:$I$3001,0))))</f>
        <v/>
      </c>
      <c r="K2164" s="6">
        <f>IF(C2164="","",IF(M2164&gt;0,M2164,IF(AND(E2164&gt;0,ROUND(J2164+D2164-E2164,2)&gt;0,ROUND(J2164+D2164-E2164,2)&lt;'Opening Balance'!$B$14),ROUND(J2164+D2164-E2164,2),0)))</f>
        <v/>
      </c>
      <c r="L2164" s="6">
        <f>IF(C2164="","",ROUND(J2164+D2164-E2164-K2164,2))</f>
        <v/>
      </c>
      <c r="M2164" s="6">
        <f>IF(C2164="","",0)</f>
        <v/>
      </c>
    </row>
    <row r="2165">
      <c r="A2165" t="inlineStr">
        <is>
          <t>Bank 银行</t>
        </is>
      </c>
      <c r="B2165" s="5">
        <f>IF(AND('Daily Sale entry '!Z665="Online collection 网上收款",'Daily Sale entry '!AA665&lt;&gt;""),'Daily Sale entry '!X665,"")</f>
        <v/>
      </c>
      <c r="C2165">
        <f>IF(B2165="","",'Daily Sale entry '!AA665)</f>
        <v/>
      </c>
      <c r="D2165">
        <f>IF(C2165="","",0)</f>
        <v/>
      </c>
      <c r="E2165">
        <f>IF(C2165="","",'Daily Sale entry '!AC665)</f>
        <v/>
      </c>
      <c r="F2165" s="37">
        <f>IF(C2165="","",B2165+IF(E2165&gt;0,0,0.5)+ROW()/10000000)</f>
        <v/>
      </c>
      <c r="G2165">
        <f>IF(C2165="","","Collection 收款 (Online 网上)"&amp;IF('Daily Sale entry '!Y665="",""," - "&amp;'Daily Sale entry '!Y665))</f>
        <v/>
      </c>
      <c r="H2165">
        <f>IF(C2165="","",COUNTIFS($C$2:$C$3001,C2165,$F$2:$F$3001,"&lt;"&amp;F2165)+1)</f>
        <v/>
      </c>
      <c r="I2165">
        <f>IF(C2165="","",C2165&amp;"|"&amp;H2165)</f>
        <v/>
      </c>
      <c r="J2165" s="6">
        <f>IF(C2165="","",IF(H2165=1,SUMIFS('Opening Balance'!$F$4:$F$303,'Opening Balance'!$G$4:$G$303,C2165),INDEX($L$2:$L$3001,MATCH(C2165&amp;"|"&amp;(H2165-1),$I$2:$I$3001,0))))</f>
        <v/>
      </c>
      <c r="K2165" s="6">
        <f>IF(C2165="","",IF(M2165&gt;0,M2165,IF(AND(E2165&gt;0,ROUND(J2165+D2165-E2165,2)&gt;0,ROUND(J2165+D2165-E2165,2)&lt;'Opening Balance'!$B$14),ROUND(J2165+D2165-E2165,2),0)))</f>
        <v/>
      </c>
      <c r="L2165" s="6">
        <f>IF(C2165="","",ROUND(J2165+D2165-E2165-K2165,2))</f>
        <v/>
      </c>
      <c r="M2165" s="6">
        <f>IF(C2165="","",0)</f>
        <v/>
      </c>
    </row>
    <row r="2166">
      <c r="A2166" t="inlineStr">
        <is>
          <t>Bank 银行</t>
        </is>
      </c>
      <c r="B2166" s="5">
        <f>IF(AND('Daily Sale entry '!Z666="Online collection 网上收款",'Daily Sale entry '!AA666&lt;&gt;""),'Daily Sale entry '!X666,"")</f>
        <v/>
      </c>
      <c r="C2166">
        <f>IF(B2166="","",'Daily Sale entry '!AA666)</f>
        <v/>
      </c>
      <c r="D2166">
        <f>IF(C2166="","",0)</f>
        <v/>
      </c>
      <c r="E2166">
        <f>IF(C2166="","",'Daily Sale entry '!AC666)</f>
        <v/>
      </c>
      <c r="F2166" s="37">
        <f>IF(C2166="","",B2166+IF(E2166&gt;0,0,0.5)+ROW()/10000000)</f>
        <v/>
      </c>
      <c r="G2166">
        <f>IF(C2166="","","Collection 收款 (Online 网上)"&amp;IF('Daily Sale entry '!Y666="",""," - "&amp;'Daily Sale entry '!Y666))</f>
        <v/>
      </c>
      <c r="H2166">
        <f>IF(C2166="","",COUNTIFS($C$2:$C$3001,C2166,$F$2:$F$3001,"&lt;"&amp;F2166)+1)</f>
        <v/>
      </c>
      <c r="I2166">
        <f>IF(C2166="","",C2166&amp;"|"&amp;H2166)</f>
        <v/>
      </c>
      <c r="J2166" s="6">
        <f>IF(C2166="","",IF(H2166=1,SUMIFS('Opening Balance'!$F$4:$F$303,'Opening Balance'!$G$4:$G$303,C2166),INDEX($L$2:$L$3001,MATCH(C2166&amp;"|"&amp;(H2166-1),$I$2:$I$3001,0))))</f>
        <v/>
      </c>
      <c r="K2166" s="6">
        <f>IF(C2166="","",IF(M2166&gt;0,M2166,IF(AND(E2166&gt;0,ROUND(J2166+D2166-E2166,2)&gt;0,ROUND(J2166+D2166-E2166,2)&lt;'Opening Balance'!$B$14),ROUND(J2166+D2166-E2166,2),0)))</f>
        <v/>
      </c>
      <c r="L2166" s="6">
        <f>IF(C2166="","",ROUND(J2166+D2166-E2166-K2166,2))</f>
        <v/>
      </c>
      <c r="M2166" s="6">
        <f>IF(C2166="","",0)</f>
        <v/>
      </c>
    </row>
    <row r="2167">
      <c r="A2167" t="inlineStr">
        <is>
          <t>Bank 银行</t>
        </is>
      </c>
      <c r="B2167" s="5">
        <f>IF(AND('Daily Sale entry '!Z667="Online collection 网上收款",'Daily Sale entry '!AA667&lt;&gt;""),'Daily Sale entry '!X667,"")</f>
        <v/>
      </c>
      <c r="C2167">
        <f>IF(B2167="","",'Daily Sale entry '!AA667)</f>
        <v/>
      </c>
      <c r="D2167">
        <f>IF(C2167="","",0)</f>
        <v/>
      </c>
      <c r="E2167">
        <f>IF(C2167="","",'Daily Sale entry '!AC667)</f>
        <v/>
      </c>
      <c r="F2167" s="37">
        <f>IF(C2167="","",B2167+IF(E2167&gt;0,0,0.5)+ROW()/10000000)</f>
        <v/>
      </c>
      <c r="G2167">
        <f>IF(C2167="","","Collection 收款 (Online 网上)"&amp;IF('Daily Sale entry '!Y667="",""," - "&amp;'Daily Sale entry '!Y667))</f>
        <v/>
      </c>
      <c r="H2167">
        <f>IF(C2167="","",COUNTIFS($C$2:$C$3001,C2167,$F$2:$F$3001,"&lt;"&amp;F2167)+1)</f>
        <v/>
      </c>
      <c r="I2167">
        <f>IF(C2167="","",C2167&amp;"|"&amp;H2167)</f>
        <v/>
      </c>
      <c r="J2167" s="6">
        <f>IF(C2167="","",IF(H2167=1,SUMIFS('Opening Balance'!$F$4:$F$303,'Opening Balance'!$G$4:$G$303,C2167),INDEX($L$2:$L$3001,MATCH(C2167&amp;"|"&amp;(H2167-1),$I$2:$I$3001,0))))</f>
        <v/>
      </c>
      <c r="K2167" s="6">
        <f>IF(C2167="","",IF(M2167&gt;0,M2167,IF(AND(E2167&gt;0,ROUND(J2167+D2167-E2167,2)&gt;0,ROUND(J2167+D2167-E2167,2)&lt;'Opening Balance'!$B$14),ROUND(J2167+D2167-E2167,2),0)))</f>
        <v/>
      </c>
      <c r="L2167" s="6">
        <f>IF(C2167="","",ROUND(J2167+D2167-E2167-K2167,2))</f>
        <v/>
      </c>
      <c r="M2167" s="6">
        <f>IF(C2167="","",0)</f>
        <v/>
      </c>
    </row>
    <row r="2168">
      <c r="A2168" t="inlineStr">
        <is>
          <t>Bank 银行</t>
        </is>
      </c>
      <c r="B2168" s="5">
        <f>IF(AND('Daily Sale entry '!Z668="Online collection 网上收款",'Daily Sale entry '!AA668&lt;&gt;""),'Daily Sale entry '!X668,"")</f>
        <v/>
      </c>
      <c r="C2168">
        <f>IF(B2168="","",'Daily Sale entry '!AA668)</f>
        <v/>
      </c>
      <c r="D2168">
        <f>IF(C2168="","",0)</f>
        <v/>
      </c>
      <c r="E2168">
        <f>IF(C2168="","",'Daily Sale entry '!AC668)</f>
        <v/>
      </c>
      <c r="F2168" s="37">
        <f>IF(C2168="","",B2168+IF(E2168&gt;0,0,0.5)+ROW()/10000000)</f>
        <v/>
      </c>
      <c r="G2168">
        <f>IF(C2168="","","Collection 收款 (Online 网上)"&amp;IF('Daily Sale entry '!Y668="",""," - "&amp;'Daily Sale entry '!Y668))</f>
        <v/>
      </c>
      <c r="H2168">
        <f>IF(C2168="","",COUNTIFS($C$2:$C$3001,C2168,$F$2:$F$3001,"&lt;"&amp;F2168)+1)</f>
        <v/>
      </c>
      <c r="I2168">
        <f>IF(C2168="","",C2168&amp;"|"&amp;H2168)</f>
        <v/>
      </c>
      <c r="J2168" s="6">
        <f>IF(C2168="","",IF(H2168=1,SUMIFS('Opening Balance'!$F$4:$F$303,'Opening Balance'!$G$4:$G$303,C2168),INDEX($L$2:$L$3001,MATCH(C2168&amp;"|"&amp;(H2168-1),$I$2:$I$3001,0))))</f>
        <v/>
      </c>
      <c r="K2168" s="6">
        <f>IF(C2168="","",IF(M2168&gt;0,M2168,IF(AND(E2168&gt;0,ROUND(J2168+D2168-E2168,2)&gt;0,ROUND(J2168+D2168-E2168,2)&lt;'Opening Balance'!$B$14),ROUND(J2168+D2168-E2168,2),0)))</f>
        <v/>
      </c>
      <c r="L2168" s="6">
        <f>IF(C2168="","",ROUND(J2168+D2168-E2168-K2168,2))</f>
        <v/>
      </c>
      <c r="M2168" s="6">
        <f>IF(C2168="","",0)</f>
        <v/>
      </c>
    </row>
    <row r="2169">
      <c r="A2169" t="inlineStr">
        <is>
          <t>Bank 银行</t>
        </is>
      </c>
      <c r="B2169" s="5">
        <f>IF(AND('Daily Sale entry '!Z669="Online collection 网上收款",'Daily Sale entry '!AA669&lt;&gt;""),'Daily Sale entry '!X669,"")</f>
        <v/>
      </c>
      <c r="C2169">
        <f>IF(B2169="","",'Daily Sale entry '!AA669)</f>
        <v/>
      </c>
      <c r="D2169">
        <f>IF(C2169="","",0)</f>
        <v/>
      </c>
      <c r="E2169">
        <f>IF(C2169="","",'Daily Sale entry '!AC669)</f>
        <v/>
      </c>
      <c r="F2169" s="37">
        <f>IF(C2169="","",B2169+IF(E2169&gt;0,0,0.5)+ROW()/10000000)</f>
        <v/>
      </c>
      <c r="G2169">
        <f>IF(C2169="","","Collection 收款 (Online 网上)"&amp;IF('Daily Sale entry '!Y669="",""," - "&amp;'Daily Sale entry '!Y669))</f>
        <v/>
      </c>
      <c r="H2169">
        <f>IF(C2169="","",COUNTIFS($C$2:$C$3001,C2169,$F$2:$F$3001,"&lt;"&amp;F2169)+1)</f>
        <v/>
      </c>
      <c r="I2169">
        <f>IF(C2169="","",C2169&amp;"|"&amp;H2169)</f>
        <v/>
      </c>
      <c r="J2169" s="6">
        <f>IF(C2169="","",IF(H2169=1,SUMIFS('Opening Balance'!$F$4:$F$303,'Opening Balance'!$G$4:$G$303,C2169),INDEX($L$2:$L$3001,MATCH(C2169&amp;"|"&amp;(H2169-1),$I$2:$I$3001,0))))</f>
        <v/>
      </c>
      <c r="K2169" s="6">
        <f>IF(C2169="","",IF(M2169&gt;0,M2169,IF(AND(E2169&gt;0,ROUND(J2169+D2169-E2169,2)&gt;0,ROUND(J2169+D2169-E2169,2)&lt;'Opening Balance'!$B$14),ROUND(J2169+D2169-E2169,2),0)))</f>
        <v/>
      </c>
      <c r="L2169" s="6">
        <f>IF(C2169="","",ROUND(J2169+D2169-E2169-K2169,2))</f>
        <v/>
      </c>
      <c r="M2169" s="6">
        <f>IF(C2169="","",0)</f>
        <v/>
      </c>
    </row>
    <row r="2170">
      <c r="A2170" t="inlineStr">
        <is>
          <t>Bank 银行</t>
        </is>
      </c>
      <c r="B2170" s="5">
        <f>IF(AND('Daily Sale entry '!Z670="Online collection 网上收款",'Daily Sale entry '!AA670&lt;&gt;""),'Daily Sale entry '!X670,"")</f>
        <v/>
      </c>
      <c r="C2170">
        <f>IF(B2170="","",'Daily Sale entry '!AA670)</f>
        <v/>
      </c>
      <c r="D2170">
        <f>IF(C2170="","",0)</f>
        <v/>
      </c>
      <c r="E2170">
        <f>IF(C2170="","",'Daily Sale entry '!AC670)</f>
        <v/>
      </c>
      <c r="F2170" s="37">
        <f>IF(C2170="","",B2170+IF(E2170&gt;0,0,0.5)+ROW()/10000000)</f>
        <v/>
      </c>
      <c r="G2170">
        <f>IF(C2170="","","Collection 收款 (Online 网上)"&amp;IF('Daily Sale entry '!Y670="",""," - "&amp;'Daily Sale entry '!Y670))</f>
        <v/>
      </c>
      <c r="H2170">
        <f>IF(C2170="","",COUNTIFS($C$2:$C$3001,C2170,$F$2:$F$3001,"&lt;"&amp;F2170)+1)</f>
        <v/>
      </c>
      <c r="I2170">
        <f>IF(C2170="","",C2170&amp;"|"&amp;H2170)</f>
        <v/>
      </c>
      <c r="J2170" s="6">
        <f>IF(C2170="","",IF(H2170=1,SUMIFS('Opening Balance'!$F$4:$F$303,'Opening Balance'!$G$4:$G$303,C2170),INDEX($L$2:$L$3001,MATCH(C2170&amp;"|"&amp;(H2170-1),$I$2:$I$3001,0))))</f>
        <v/>
      </c>
      <c r="K2170" s="6">
        <f>IF(C2170="","",IF(M2170&gt;0,M2170,IF(AND(E2170&gt;0,ROUND(J2170+D2170-E2170,2)&gt;0,ROUND(J2170+D2170-E2170,2)&lt;'Opening Balance'!$B$14),ROUND(J2170+D2170-E2170,2),0)))</f>
        <v/>
      </c>
      <c r="L2170" s="6">
        <f>IF(C2170="","",ROUND(J2170+D2170-E2170-K2170,2))</f>
        <v/>
      </c>
      <c r="M2170" s="6">
        <f>IF(C2170="","",0)</f>
        <v/>
      </c>
    </row>
    <row r="2171">
      <c r="A2171" t="inlineStr">
        <is>
          <t>Bank 银行</t>
        </is>
      </c>
      <c r="B2171" s="5">
        <f>IF(AND('Daily Sale entry '!Z671="Online collection 网上收款",'Daily Sale entry '!AA671&lt;&gt;""),'Daily Sale entry '!X671,"")</f>
        <v/>
      </c>
      <c r="C2171">
        <f>IF(B2171="","",'Daily Sale entry '!AA671)</f>
        <v/>
      </c>
      <c r="D2171">
        <f>IF(C2171="","",0)</f>
        <v/>
      </c>
      <c r="E2171">
        <f>IF(C2171="","",'Daily Sale entry '!AC671)</f>
        <v/>
      </c>
      <c r="F2171" s="37">
        <f>IF(C2171="","",B2171+IF(E2171&gt;0,0,0.5)+ROW()/10000000)</f>
        <v/>
      </c>
      <c r="G2171">
        <f>IF(C2171="","","Collection 收款 (Online 网上)"&amp;IF('Daily Sale entry '!Y671="",""," - "&amp;'Daily Sale entry '!Y671))</f>
        <v/>
      </c>
      <c r="H2171">
        <f>IF(C2171="","",COUNTIFS($C$2:$C$3001,C2171,$F$2:$F$3001,"&lt;"&amp;F2171)+1)</f>
        <v/>
      </c>
      <c r="I2171">
        <f>IF(C2171="","",C2171&amp;"|"&amp;H2171)</f>
        <v/>
      </c>
      <c r="J2171" s="6">
        <f>IF(C2171="","",IF(H2171=1,SUMIFS('Opening Balance'!$F$4:$F$303,'Opening Balance'!$G$4:$G$303,C2171),INDEX($L$2:$L$3001,MATCH(C2171&amp;"|"&amp;(H2171-1),$I$2:$I$3001,0))))</f>
        <v/>
      </c>
      <c r="K2171" s="6">
        <f>IF(C2171="","",IF(M2171&gt;0,M2171,IF(AND(E2171&gt;0,ROUND(J2171+D2171-E2171,2)&gt;0,ROUND(J2171+D2171-E2171,2)&lt;'Opening Balance'!$B$14),ROUND(J2171+D2171-E2171,2),0)))</f>
        <v/>
      </c>
      <c r="L2171" s="6">
        <f>IF(C2171="","",ROUND(J2171+D2171-E2171-K2171,2))</f>
        <v/>
      </c>
      <c r="M2171" s="6">
        <f>IF(C2171="","",0)</f>
        <v/>
      </c>
    </row>
    <row r="2172">
      <c r="A2172" t="inlineStr">
        <is>
          <t>Bank 银行</t>
        </is>
      </c>
      <c r="B2172" s="5">
        <f>IF(AND('Daily Sale entry '!Z672="Online collection 网上收款",'Daily Sale entry '!AA672&lt;&gt;""),'Daily Sale entry '!X672,"")</f>
        <v/>
      </c>
      <c r="C2172">
        <f>IF(B2172="","",'Daily Sale entry '!AA672)</f>
        <v/>
      </c>
      <c r="D2172">
        <f>IF(C2172="","",0)</f>
        <v/>
      </c>
      <c r="E2172">
        <f>IF(C2172="","",'Daily Sale entry '!AC672)</f>
        <v/>
      </c>
      <c r="F2172" s="37">
        <f>IF(C2172="","",B2172+IF(E2172&gt;0,0,0.5)+ROW()/10000000)</f>
        <v/>
      </c>
      <c r="G2172">
        <f>IF(C2172="","","Collection 收款 (Online 网上)"&amp;IF('Daily Sale entry '!Y672="",""," - "&amp;'Daily Sale entry '!Y672))</f>
        <v/>
      </c>
      <c r="H2172">
        <f>IF(C2172="","",COUNTIFS($C$2:$C$3001,C2172,$F$2:$F$3001,"&lt;"&amp;F2172)+1)</f>
        <v/>
      </c>
      <c r="I2172">
        <f>IF(C2172="","",C2172&amp;"|"&amp;H2172)</f>
        <v/>
      </c>
      <c r="J2172" s="6">
        <f>IF(C2172="","",IF(H2172=1,SUMIFS('Opening Balance'!$F$4:$F$303,'Opening Balance'!$G$4:$G$303,C2172),INDEX($L$2:$L$3001,MATCH(C2172&amp;"|"&amp;(H2172-1),$I$2:$I$3001,0))))</f>
        <v/>
      </c>
      <c r="K2172" s="6">
        <f>IF(C2172="","",IF(M2172&gt;0,M2172,IF(AND(E2172&gt;0,ROUND(J2172+D2172-E2172,2)&gt;0,ROUND(J2172+D2172-E2172,2)&lt;'Opening Balance'!$B$14),ROUND(J2172+D2172-E2172,2),0)))</f>
        <v/>
      </c>
      <c r="L2172" s="6">
        <f>IF(C2172="","",ROUND(J2172+D2172-E2172-K2172,2))</f>
        <v/>
      </c>
      <c r="M2172" s="6">
        <f>IF(C2172="","",0)</f>
        <v/>
      </c>
    </row>
    <row r="2173">
      <c r="A2173" t="inlineStr">
        <is>
          <t>Bank 银行</t>
        </is>
      </c>
      <c r="B2173" s="5">
        <f>IF(AND('Daily Sale entry '!Z673="Online collection 网上收款",'Daily Sale entry '!AA673&lt;&gt;""),'Daily Sale entry '!X673,"")</f>
        <v/>
      </c>
      <c r="C2173">
        <f>IF(B2173="","",'Daily Sale entry '!AA673)</f>
        <v/>
      </c>
      <c r="D2173">
        <f>IF(C2173="","",0)</f>
        <v/>
      </c>
      <c r="E2173">
        <f>IF(C2173="","",'Daily Sale entry '!AC673)</f>
        <v/>
      </c>
      <c r="F2173" s="37">
        <f>IF(C2173="","",B2173+IF(E2173&gt;0,0,0.5)+ROW()/10000000)</f>
        <v/>
      </c>
      <c r="G2173">
        <f>IF(C2173="","","Collection 收款 (Online 网上)"&amp;IF('Daily Sale entry '!Y673="",""," - "&amp;'Daily Sale entry '!Y673))</f>
        <v/>
      </c>
      <c r="H2173">
        <f>IF(C2173="","",COUNTIFS($C$2:$C$3001,C2173,$F$2:$F$3001,"&lt;"&amp;F2173)+1)</f>
        <v/>
      </c>
      <c r="I2173">
        <f>IF(C2173="","",C2173&amp;"|"&amp;H2173)</f>
        <v/>
      </c>
      <c r="J2173" s="6">
        <f>IF(C2173="","",IF(H2173=1,SUMIFS('Opening Balance'!$F$4:$F$303,'Opening Balance'!$G$4:$G$303,C2173),INDEX($L$2:$L$3001,MATCH(C2173&amp;"|"&amp;(H2173-1),$I$2:$I$3001,0))))</f>
        <v/>
      </c>
      <c r="K2173" s="6">
        <f>IF(C2173="","",IF(M2173&gt;0,M2173,IF(AND(E2173&gt;0,ROUND(J2173+D2173-E2173,2)&gt;0,ROUND(J2173+D2173-E2173,2)&lt;'Opening Balance'!$B$14),ROUND(J2173+D2173-E2173,2),0)))</f>
        <v/>
      </c>
      <c r="L2173" s="6">
        <f>IF(C2173="","",ROUND(J2173+D2173-E2173-K2173,2))</f>
        <v/>
      </c>
      <c r="M2173" s="6">
        <f>IF(C2173="","",0)</f>
        <v/>
      </c>
    </row>
    <row r="2174">
      <c r="A2174" t="inlineStr">
        <is>
          <t>Bank 银行</t>
        </is>
      </c>
      <c r="B2174" s="5">
        <f>IF(AND('Daily Sale entry '!Z674="Online collection 网上收款",'Daily Sale entry '!AA674&lt;&gt;""),'Daily Sale entry '!X674,"")</f>
        <v/>
      </c>
      <c r="C2174">
        <f>IF(B2174="","",'Daily Sale entry '!AA674)</f>
        <v/>
      </c>
      <c r="D2174">
        <f>IF(C2174="","",0)</f>
        <v/>
      </c>
      <c r="E2174">
        <f>IF(C2174="","",'Daily Sale entry '!AC674)</f>
        <v/>
      </c>
      <c r="F2174" s="37">
        <f>IF(C2174="","",B2174+IF(E2174&gt;0,0,0.5)+ROW()/10000000)</f>
        <v/>
      </c>
      <c r="G2174">
        <f>IF(C2174="","","Collection 收款 (Online 网上)"&amp;IF('Daily Sale entry '!Y674="",""," - "&amp;'Daily Sale entry '!Y674))</f>
        <v/>
      </c>
      <c r="H2174">
        <f>IF(C2174="","",COUNTIFS($C$2:$C$3001,C2174,$F$2:$F$3001,"&lt;"&amp;F2174)+1)</f>
        <v/>
      </c>
      <c r="I2174">
        <f>IF(C2174="","",C2174&amp;"|"&amp;H2174)</f>
        <v/>
      </c>
      <c r="J2174" s="6">
        <f>IF(C2174="","",IF(H2174=1,SUMIFS('Opening Balance'!$F$4:$F$303,'Opening Balance'!$G$4:$G$303,C2174),INDEX($L$2:$L$3001,MATCH(C2174&amp;"|"&amp;(H2174-1),$I$2:$I$3001,0))))</f>
        <v/>
      </c>
      <c r="K2174" s="6">
        <f>IF(C2174="","",IF(M2174&gt;0,M2174,IF(AND(E2174&gt;0,ROUND(J2174+D2174-E2174,2)&gt;0,ROUND(J2174+D2174-E2174,2)&lt;'Opening Balance'!$B$14),ROUND(J2174+D2174-E2174,2),0)))</f>
        <v/>
      </c>
      <c r="L2174" s="6">
        <f>IF(C2174="","",ROUND(J2174+D2174-E2174-K2174,2))</f>
        <v/>
      </c>
      <c r="M2174" s="6">
        <f>IF(C2174="","",0)</f>
        <v/>
      </c>
    </row>
    <row r="2175">
      <c r="A2175" t="inlineStr">
        <is>
          <t>Bank 银行</t>
        </is>
      </c>
      <c r="B2175" s="5">
        <f>IF(AND('Daily Sale entry '!Z675="Online collection 网上收款",'Daily Sale entry '!AA675&lt;&gt;""),'Daily Sale entry '!X675,"")</f>
        <v/>
      </c>
      <c r="C2175">
        <f>IF(B2175="","",'Daily Sale entry '!AA675)</f>
        <v/>
      </c>
      <c r="D2175">
        <f>IF(C2175="","",0)</f>
        <v/>
      </c>
      <c r="E2175">
        <f>IF(C2175="","",'Daily Sale entry '!AC675)</f>
        <v/>
      </c>
      <c r="F2175" s="37">
        <f>IF(C2175="","",B2175+IF(E2175&gt;0,0,0.5)+ROW()/10000000)</f>
        <v/>
      </c>
      <c r="G2175">
        <f>IF(C2175="","","Collection 收款 (Online 网上)"&amp;IF('Daily Sale entry '!Y675="",""," - "&amp;'Daily Sale entry '!Y675))</f>
        <v/>
      </c>
      <c r="H2175">
        <f>IF(C2175="","",COUNTIFS($C$2:$C$3001,C2175,$F$2:$F$3001,"&lt;"&amp;F2175)+1)</f>
        <v/>
      </c>
      <c r="I2175">
        <f>IF(C2175="","",C2175&amp;"|"&amp;H2175)</f>
        <v/>
      </c>
      <c r="J2175" s="6">
        <f>IF(C2175="","",IF(H2175=1,SUMIFS('Opening Balance'!$F$4:$F$303,'Opening Balance'!$G$4:$G$303,C2175),INDEX($L$2:$L$3001,MATCH(C2175&amp;"|"&amp;(H2175-1),$I$2:$I$3001,0))))</f>
        <v/>
      </c>
      <c r="K2175" s="6">
        <f>IF(C2175="","",IF(M2175&gt;0,M2175,IF(AND(E2175&gt;0,ROUND(J2175+D2175-E2175,2)&gt;0,ROUND(J2175+D2175-E2175,2)&lt;'Opening Balance'!$B$14),ROUND(J2175+D2175-E2175,2),0)))</f>
        <v/>
      </c>
      <c r="L2175" s="6">
        <f>IF(C2175="","",ROUND(J2175+D2175-E2175-K2175,2))</f>
        <v/>
      </c>
      <c r="M2175" s="6">
        <f>IF(C2175="","",0)</f>
        <v/>
      </c>
    </row>
    <row r="2176">
      <c r="A2176" t="inlineStr">
        <is>
          <t>Bank 银行</t>
        </is>
      </c>
      <c r="B2176" s="5">
        <f>IF(AND('Daily Sale entry '!Z676="Online collection 网上收款",'Daily Sale entry '!AA676&lt;&gt;""),'Daily Sale entry '!X676,"")</f>
        <v/>
      </c>
      <c r="C2176">
        <f>IF(B2176="","",'Daily Sale entry '!AA676)</f>
        <v/>
      </c>
      <c r="D2176">
        <f>IF(C2176="","",0)</f>
        <v/>
      </c>
      <c r="E2176">
        <f>IF(C2176="","",'Daily Sale entry '!AC676)</f>
        <v/>
      </c>
      <c r="F2176" s="37">
        <f>IF(C2176="","",B2176+IF(E2176&gt;0,0,0.5)+ROW()/10000000)</f>
        <v/>
      </c>
      <c r="G2176">
        <f>IF(C2176="","","Collection 收款 (Online 网上)"&amp;IF('Daily Sale entry '!Y676="",""," - "&amp;'Daily Sale entry '!Y676))</f>
        <v/>
      </c>
      <c r="H2176">
        <f>IF(C2176="","",COUNTIFS($C$2:$C$3001,C2176,$F$2:$F$3001,"&lt;"&amp;F2176)+1)</f>
        <v/>
      </c>
      <c r="I2176">
        <f>IF(C2176="","",C2176&amp;"|"&amp;H2176)</f>
        <v/>
      </c>
      <c r="J2176" s="6">
        <f>IF(C2176="","",IF(H2176=1,SUMIFS('Opening Balance'!$F$4:$F$303,'Opening Balance'!$G$4:$G$303,C2176),INDEX($L$2:$L$3001,MATCH(C2176&amp;"|"&amp;(H2176-1),$I$2:$I$3001,0))))</f>
        <v/>
      </c>
      <c r="K2176" s="6">
        <f>IF(C2176="","",IF(M2176&gt;0,M2176,IF(AND(E2176&gt;0,ROUND(J2176+D2176-E2176,2)&gt;0,ROUND(J2176+D2176-E2176,2)&lt;'Opening Balance'!$B$14),ROUND(J2176+D2176-E2176,2),0)))</f>
        <v/>
      </c>
      <c r="L2176" s="6">
        <f>IF(C2176="","",ROUND(J2176+D2176-E2176-K2176,2))</f>
        <v/>
      </c>
      <c r="M2176" s="6">
        <f>IF(C2176="","",0)</f>
        <v/>
      </c>
    </row>
    <row r="2177">
      <c r="A2177" t="inlineStr">
        <is>
          <t>Bank 银行</t>
        </is>
      </c>
      <c r="B2177" s="5">
        <f>IF(AND('Daily Sale entry '!Z677="Online collection 网上收款",'Daily Sale entry '!AA677&lt;&gt;""),'Daily Sale entry '!X677,"")</f>
        <v/>
      </c>
      <c r="C2177">
        <f>IF(B2177="","",'Daily Sale entry '!AA677)</f>
        <v/>
      </c>
      <c r="D2177">
        <f>IF(C2177="","",0)</f>
        <v/>
      </c>
      <c r="E2177">
        <f>IF(C2177="","",'Daily Sale entry '!AC677)</f>
        <v/>
      </c>
      <c r="F2177" s="37">
        <f>IF(C2177="","",B2177+IF(E2177&gt;0,0,0.5)+ROW()/10000000)</f>
        <v/>
      </c>
      <c r="G2177">
        <f>IF(C2177="","","Collection 收款 (Online 网上)"&amp;IF('Daily Sale entry '!Y677="",""," - "&amp;'Daily Sale entry '!Y677))</f>
        <v/>
      </c>
      <c r="H2177">
        <f>IF(C2177="","",COUNTIFS($C$2:$C$3001,C2177,$F$2:$F$3001,"&lt;"&amp;F2177)+1)</f>
        <v/>
      </c>
      <c r="I2177">
        <f>IF(C2177="","",C2177&amp;"|"&amp;H2177)</f>
        <v/>
      </c>
      <c r="J2177" s="6">
        <f>IF(C2177="","",IF(H2177=1,SUMIFS('Opening Balance'!$F$4:$F$303,'Opening Balance'!$G$4:$G$303,C2177),INDEX($L$2:$L$3001,MATCH(C2177&amp;"|"&amp;(H2177-1),$I$2:$I$3001,0))))</f>
        <v/>
      </c>
      <c r="K2177" s="6">
        <f>IF(C2177="","",IF(M2177&gt;0,M2177,IF(AND(E2177&gt;0,ROUND(J2177+D2177-E2177,2)&gt;0,ROUND(J2177+D2177-E2177,2)&lt;'Opening Balance'!$B$14),ROUND(J2177+D2177-E2177,2),0)))</f>
        <v/>
      </c>
      <c r="L2177" s="6">
        <f>IF(C2177="","",ROUND(J2177+D2177-E2177-K2177,2))</f>
        <v/>
      </c>
      <c r="M2177" s="6">
        <f>IF(C2177="","",0)</f>
        <v/>
      </c>
    </row>
    <row r="2178">
      <c r="A2178" t="inlineStr">
        <is>
          <t>Bank 银行</t>
        </is>
      </c>
      <c r="B2178" s="5">
        <f>IF(AND('Daily Sale entry '!Z678="Online collection 网上收款",'Daily Sale entry '!AA678&lt;&gt;""),'Daily Sale entry '!X678,"")</f>
        <v/>
      </c>
      <c r="C2178">
        <f>IF(B2178="","",'Daily Sale entry '!AA678)</f>
        <v/>
      </c>
      <c r="D2178">
        <f>IF(C2178="","",0)</f>
        <v/>
      </c>
      <c r="E2178">
        <f>IF(C2178="","",'Daily Sale entry '!AC678)</f>
        <v/>
      </c>
      <c r="F2178" s="37">
        <f>IF(C2178="","",B2178+IF(E2178&gt;0,0,0.5)+ROW()/10000000)</f>
        <v/>
      </c>
      <c r="G2178">
        <f>IF(C2178="","","Collection 收款 (Online 网上)"&amp;IF('Daily Sale entry '!Y678="",""," - "&amp;'Daily Sale entry '!Y678))</f>
        <v/>
      </c>
      <c r="H2178">
        <f>IF(C2178="","",COUNTIFS($C$2:$C$3001,C2178,$F$2:$F$3001,"&lt;"&amp;F2178)+1)</f>
        <v/>
      </c>
      <c r="I2178">
        <f>IF(C2178="","",C2178&amp;"|"&amp;H2178)</f>
        <v/>
      </c>
      <c r="J2178" s="6">
        <f>IF(C2178="","",IF(H2178=1,SUMIFS('Opening Balance'!$F$4:$F$303,'Opening Balance'!$G$4:$G$303,C2178),INDEX($L$2:$L$3001,MATCH(C2178&amp;"|"&amp;(H2178-1),$I$2:$I$3001,0))))</f>
        <v/>
      </c>
      <c r="K2178" s="6">
        <f>IF(C2178="","",IF(M2178&gt;0,M2178,IF(AND(E2178&gt;0,ROUND(J2178+D2178-E2178,2)&gt;0,ROUND(J2178+D2178-E2178,2)&lt;'Opening Balance'!$B$14),ROUND(J2178+D2178-E2178,2),0)))</f>
        <v/>
      </c>
      <c r="L2178" s="6">
        <f>IF(C2178="","",ROUND(J2178+D2178-E2178-K2178,2))</f>
        <v/>
      </c>
      <c r="M2178" s="6">
        <f>IF(C2178="","",0)</f>
        <v/>
      </c>
    </row>
    <row r="2179">
      <c r="A2179" t="inlineStr">
        <is>
          <t>Bank 银行</t>
        </is>
      </c>
      <c r="B2179" s="5">
        <f>IF(AND('Daily Sale entry '!Z679="Online collection 网上收款",'Daily Sale entry '!AA679&lt;&gt;""),'Daily Sale entry '!X679,"")</f>
        <v/>
      </c>
      <c r="C2179">
        <f>IF(B2179="","",'Daily Sale entry '!AA679)</f>
        <v/>
      </c>
      <c r="D2179">
        <f>IF(C2179="","",0)</f>
        <v/>
      </c>
      <c r="E2179">
        <f>IF(C2179="","",'Daily Sale entry '!AC679)</f>
        <v/>
      </c>
      <c r="F2179" s="37">
        <f>IF(C2179="","",B2179+IF(E2179&gt;0,0,0.5)+ROW()/10000000)</f>
        <v/>
      </c>
      <c r="G2179">
        <f>IF(C2179="","","Collection 收款 (Online 网上)"&amp;IF('Daily Sale entry '!Y679="",""," - "&amp;'Daily Sale entry '!Y679))</f>
        <v/>
      </c>
      <c r="H2179">
        <f>IF(C2179="","",COUNTIFS($C$2:$C$3001,C2179,$F$2:$F$3001,"&lt;"&amp;F2179)+1)</f>
        <v/>
      </c>
      <c r="I2179">
        <f>IF(C2179="","",C2179&amp;"|"&amp;H2179)</f>
        <v/>
      </c>
      <c r="J2179" s="6">
        <f>IF(C2179="","",IF(H2179=1,SUMIFS('Opening Balance'!$F$4:$F$303,'Opening Balance'!$G$4:$G$303,C2179),INDEX($L$2:$L$3001,MATCH(C2179&amp;"|"&amp;(H2179-1),$I$2:$I$3001,0))))</f>
        <v/>
      </c>
      <c r="K2179" s="6">
        <f>IF(C2179="","",IF(M2179&gt;0,M2179,IF(AND(E2179&gt;0,ROUND(J2179+D2179-E2179,2)&gt;0,ROUND(J2179+D2179-E2179,2)&lt;'Opening Balance'!$B$14),ROUND(J2179+D2179-E2179,2),0)))</f>
        <v/>
      </c>
      <c r="L2179" s="6">
        <f>IF(C2179="","",ROUND(J2179+D2179-E2179-K2179,2))</f>
        <v/>
      </c>
      <c r="M2179" s="6">
        <f>IF(C2179="","",0)</f>
        <v/>
      </c>
    </row>
    <row r="2180">
      <c r="A2180" t="inlineStr">
        <is>
          <t>Bank 银行</t>
        </is>
      </c>
      <c r="B2180" s="5">
        <f>IF(AND('Daily Sale entry '!Z680="Online collection 网上收款",'Daily Sale entry '!AA680&lt;&gt;""),'Daily Sale entry '!X680,"")</f>
        <v/>
      </c>
      <c r="C2180">
        <f>IF(B2180="","",'Daily Sale entry '!AA680)</f>
        <v/>
      </c>
      <c r="D2180">
        <f>IF(C2180="","",0)</f>
        <v/>
      </c>
      <c r="E2180">
        <f>IF(C2180="","",'Daily Sale entry '!AC680)</f>
        <v/>
      </c>
      <c r="F2180" s="37">
        <f>IF(C2180="","",B2180+IF(E2180&gt;0,0,0.5)+ROW()/10000000)</f>
        <v/>
      </c>
      <c r="G2180">
        <f>IF(C2180="","","Collection 收款 (Online 网上)"&amp;IF('Daily Sale entry '!Y680="",""," - "&amp;'Daily Sale entry '!Y680))</f>
        <v/>
      </c>
      <c r="H2180">
        <f>IF(C2180="","",COUNTIFS($C$2:$C$3001,C2180,$F$2:$F$3001,"&lt;"&amp;F2180)+1)</f>
        <v/>
      </c>
      <c r="I2180">
        <f>IF(C2180="","",C2180&amp;"|"&amp;H2180)</f>
        <v/>
      </c>
      <c r="J2180" s="6">
        <f>IF(C2180="","",IF(H2180=1,SUMIFS('Opening Balance'!$F$4:$F$303,'Opening Balance'!$G$4:$G$303,C2180),INDEX($L$2:$L$3001,MATCH(C2180&amp;"|"&amp;(H2180-1),$I$2:$I$3001,0))))</f>
        <v/>
      </c>
      <c r="K2180" s="6">
        <f>IF(C2180="","",IF(M2180&gt;0,M2180,IF(AND(E2180&gt;0,ROUND(J2180+D2180-E2180,2)&gt;0,ROUND(J2180+D2180-E2180,2)&lt;'Opening Balance'!$B$14),ROUND(J2180+D2180-E2180,2),0)))</f>
        <v/>
      </c>
      <c r="L2180" s="6">
        <f>IF(C2180="","",ROUND(J2180+D2180-E2180-K2180,2))</f>
        <v/>
      </c>
      <c r="M2180" s="6">
        <f>IF(C2180="","",0)</f>
        <v/>
      </c>
    </row>
    <row r="2181">
      <c r="A2181" t="inlineStr">
        <is>
          <t>Bank 银行</t>
        </is>
      </c>
      <c r="B2181" s="5">
        <f>IF(AND('Daily Sale entry '!Z681="Online collection 网上收款",'Daily Sale entry '!AA681&lt;&gt;""),'Daily Sale entry '!X681,"")</f>
        <v/>
      </c>
      <c r="C2181">
        <f>IF(B2181="","",'Daily Sale entry '!AA681)</f>
        <v/>
      </c>
      <c r="D2181">
        <f>IF(C2181="","",0)</f>
        <v/>
      </c>
      <c r="E2181">
        <f>IF(C2181="","",'Daily Sale entry '!AC681)</f>
        <v/>
      </c>
      <c r="F2181" s="37">
        <f>IF(C2181="","",B2181+IF(E2181&gt;0,0,0.5)+ROW()/10000000)</f>
        <v/>
      </c>
      <c r="G2181">
        <f>IF(C2181="","","Collection 收款 (Online 网上)"&amp;IF('Daily Sale entry '!Y681="",""," - "&amp;'Daily Sale entry '!Y681))</f>
        <v/>
      </c>
      <c r="H2181">
        <f>IF(C2181="","",COUNTIFS($C$2:$C$3001,C2181,$F$2:$F$3001,"&lt;"&amp;F2181)+1)</f>
        <v/>
      </c>
      <c r="I2181">
        <f>IF(C2181="","",C2181&amp;"|"&amp;H2181)</f>
        <v/>
      </c>
      <c r="J2181" s="6">
        <f>IF(C2181="","",IF(H2181=1,SUMIFS('Opening Balance'!$F$4:$F$303,'Opening Balance'!$G$4:$G$303,C2181),INDEX($L$2:$L$3001,MATCH(C2181&amp;"|"&amp;(H2181-1),$I$2:$I$3001,0))))</f>
        <v/>
      </c>
      <c r="K2181" s="6">
        <f>IF(C2181="","",IF(M2181&gt;0,M2181,IF(AND(E2181&gt;0,ROUND(J2181+D2181-E2181,2)&gt;0,ROUND(J2181+D2181-E2181,2)&lt;'Opening Balance'!$B$14),ROUND(J2181+D2181-E2181,2),0)))</f>
        <v/>
      </c>
      <c r="L2181" s="6">
        <f>IF(C2181="","",ROUND(J2181+D2181-E2181-K2181,2))</f>
        <v/>
      </c>
      <c r="M2181" s="6">
        <f>IF(C2181="","",0)</f>
        <v/>
      </c>
    </row>
    <row r="2182">
      <c r="A2182" t="inlineStr">
        <is>
          <t>Bank 银行</t>
        </is>
      </c>
      <c r="B2182" s="5">
        <f>IF(AND('Daily Sale entry '!Z682="Online collection 网上收款",'Daily Sale entry '!AA682&lt;&gt;""),'Daily Sale entry '!X682,"")</f>
        <v/>
      </c>
      <c r="C2182">
        <f>IF(B2182="","",'Daily Sale entry '!AA682)</f>
        <v/>
      </c>
      <c r="D2182">
        <f>IF(C2182="","",0)</f>
        <v/>
      </c>
      <c r="E2182">
        <f>IF(C2182="","",'Daily Sale entry '!AC682)</f>
        <v/>
      </c>
      <c r="F2182" s="37">
        <f>IF(C2182="","",B2182+IF(E2182&gt;0,0,0.5)+ROW()/10000000)</f>
        <v/>
      </c>
      <c r="G2182">
        <f>IF(C2182="","","Collection 收款 (Online 网上)"&amp;IF('Daily Sale entry '!Y682="",""," - "&amp;'Daily Sale entry '!Y682))</f>
        <v/>
      </c>
      <c r="H2182">
        <f>IF(C2182="","",COUNTIFS($C$2:$C$3001,C2182,$F$2:$F$3001,"&lt;"&amp;F2182)+1)</f>
        <v/>
      </c>
      <c r="I2182">
        <f>IF(C2182="","",C2182&amp;"|"&amp;H2182)</f>
        <v/>
      </c>
      <c r="J2182" s="6">
        <f>IF(C2182="","",IF(H2182=1,SUMIFS('Opening Balance'!$F$4:$F$303,'Opening Balance'!$G$4:$G$303,C2182),INDEX($L$2:$L$3001,MATCH(C2182&amp;"|"&amp;(H2182-1),$I$2:$I$3001,0))))</f>
        <v/>
      </c>
      <c r="K2182" s="6">
        <f>IF(C2182="","",IF(M2182&gt;0,M2182,IF(AND(E2182&gt;0,ROUND(J2182+D2182-E2182,2)&gt;0,ROUND(J2182+D2182-E2182,2)&lt;'Opening Balance'!$B$14),ROUND(J2182+D2182-E2182,2),0)))</f>
        <v/>
      </c>
      <c r="L2182" s="6">
        <f>IF(C2182="","",ROUND(J2182+D2182-E2182-K2182,2))</f>
        <v/>
      </c>
      <c r="M2182" s="6">
        <f>IF(C2182="","",0)</f>
        <v/>
      </c>
    </row>
    <row r="2183">
      <c r="A2183" t="inlineStr">
        <is>
          <t>Bank 银行</t>
        </is>
      </c>
      <c r="B2183" s="5">
        <f>IF(AND('Daily Sale entry '!Z683="Online collection 网上收款",'Daily Sale entry '!AA683&lt;&gt;""),'Daily Sale entry '!X683,"")</f>
        <v/>
      </c>
      <c r="C2183">
        <f>IF(B2183="","",'Daily Sale entry '!AA683)</f>
        <v/>
      </c>
      <c r="D2183">
        <f>IF(C2183="","",0)</f>
        <v/>
      </c>
      <c r="E2183">
        <f>IF(C2183="","",'Daily Sale entry '!AC683)</f>
        <v/>
      </c>
      <c r="F2183" s="37">
        <f>IF(C2183="","",B2183+IF(E2183&gt;0,0,0.5)+ROW()/10000000)</f>
        <v/>
      </c>
      <c r="G2183">
        <f>IF(C2183="","","Collection 收款 (Online 网上)"&amp;IF('Daily Sale entry '!Y683="",""," - "&amp;'Daily Sale entry '!Y683))</f>
        <v/>
      </c>
      <c r="H2183">
        <f>IF(C2183="","",COUNTIFS($C$2:$C$3001,C2183,$F$2:$F$3001,"&lt;"&amp;F2183)+1)</f>
        <v/>
      </c>
      <c r="I2183">
        <f>IF(C2183="","",C2183&amp;"|"&amp;H2183)</f>
        <v/>
      </c>
      <c r="J2183" s="6">
        <f>IF(C2183="","",IF(H2183=1,SUMIFS('Opening Balance'!$F$4:$F$303,'Opening Balance'!$G$4:$G$303,C2183),INDEX($L$2:$L$3001,MATCH(C2183&amp;"|"&amp;(H2183-1),$I$2:$I$3001,0))))</f>
        <v/>
      </c>
      <c r="K2183" s="6">
        <f>IF(C2183="","",IF(M2183&gt;0,M2183,IF(AND(E2183&gt;0,ROUND(J2183+D2183-E2183,2)&gt;0,ROUND(J2183+D2183-E2183,2)&lt;'Opening Balance'!$B$14),ROUND(J2183+D2183-E2183,2),0)))</f>
        <v/>
      </c>
      <c r="L2183" s="6">
        <f>IF(C2183="","",ROUND(J2183+D2183-E2183-K2183,2))</f>
        <v/>
      </c>
      <c r="M2183" s="6">
        <f>IF(C2183="","",0)</f>
        <v/>
      </c>
    </row>
    <row r="2184">
      <c r="A2184" t="inlineStr">
        <is>
          <t>Bank 银行</t>
        </is>
      </c>
      <c r="B2184" s="5">
        <f>IF(AND('Daily Sale entry '!Z684="Online collection 网上收款",'Daily Sale entry '!AA684&lt;&gt;""),'Daily Sale entry '!X684,"")</f>
        <v/>
      </c>
      <c r="C2184">
        <f>IF(B2184="","",'Daily Sale entry '!AA684)</f>
        <v/>
      </c>
      <c r="D2184">
        <f>IF(C2184="","",0)</f>
        <v/>
      </c>
      <c r="E2184">
        <f>IF(C2184="","",'Daily Sale entry '!AC684)</f>
        <v/>
      </c>
      <c r="F2184" s="37">
        <f>IF(C2184="","",B2184+IF(E2184&gt;0,0,0.5)+ROW()/10000000)</f>
        <v/>
      </c>
      <c r="G2184">
        <f>IF(C2184="","","Collection 收款 (Online 网上)"&amp;IF('Daily Sale entry '!Y684="",""," - "&amp;'Daily Sale entry '!Y684))</f>
        <v/>
      </c>
      <c r="H2184">
        <f>IF(C2184="","",COUNTIFS($C$2:$C$3001,C2184,$F$2:$F$3001,"&lt;"&amp;F2184)+1)</f>
        <v/>
      </c>
      <c r="I2184">
        <f>IF(C2184="","",C2184&amp;"|"&amp;H2184)</f>
        <v/>
      </c>
      <c r="J2184" s="6">
        <f>IF(C2184="","",IF(H2184=1,SUMIFS('Opening Balance'!$F$4:$F$303,'Opening Balance'!$G$4:$G$303,C2184),INDEX($L$2:$L$3001,MATCH(C2184&amp;"|"&amp;(H2184-1),$I$2:$I$3001,0))))</f>
        <v/>
      </c>
      <c r="K2184" s="6">
        <f>IF(C2184="","",IF(M2184&gt;0,M2184,IF(AND(E2184&gt;0,ROUND(J2184+D2184-E2184,2)&gt;0,ROUND(J2184+D2184-E2184,2)&lt;'Opening Balance'!$B$14),ROUND(J2184+D2184-E2184,2),0)))</f>
        <v/>
      </c>
      <c r="L2184" s="6">
        <f>IF(C2184="","",ROUND(J2184+D2184-E2184-K2184,2))</f>
        <v/>
      </c>
      <c r="M2184" s="6">
        <f>IF(C2184="","",0)</f>
        <v/>
      </c>
    </row>
    <row r="2185">
      <c r="A2185" t="inlineStr">
        <is>
          <t>Bank 银行</t>
        </is>
      </c>
      <c r="B2185" s="5">
        <f>IF(AND('Daily Sale entry '!Z685="Online collection 网上收款",'Daily Sale entry '!AA685&lt;&gt;""),'Daily Sale entry '!X685,"")</f>
        <v/>
      </c>
      <c r="C2185">
        <f>IF(B2185="","",'Daily Sale entry '!AA685)</f>
        <v/>
      </c>
      <c r="D2185">
        <f>IF(C2185="","",0)</f>
        <v/>
      </c>
      <c r="E2185">
        <f>IF(C2185="","",'Daily Sale entry '!AC685)</f>
        <v/>
      </c>
      <c r="F2185" s="37">
        <f>IF(C2185="","",B2185+IF(E2185&gt;0,0,0.5)+ROW()/10000000)</f>
        <v/>
      </c>
      <c r="G2185">
        <f>IF(C2185="","","Collection 收款 (Online 网上)"&amp;IF('Daily Sale entry '!Y685="",""," - "&amp;'Daily Sale entry '!Y685))</f>
        <v/>
      </c>
      <c r="H2185">
        <f>IF(C2185="","",COUNTIFS($C$2:$C$3001,C2185,$F$2:$F$3001,"&lt;"&amp;F2185)+1)</f>
        <v/>
      </c>
      <c r="I2185">
        <f>IF(C2185="","",C2185&amp;"|"&amp;H2185)</f>
        <v/>
      </c>
      <c r="J2185" s="6">
        <f>IF(C2185="","",IF(H2185=1,SUMIFS('Opening Balance'!$F$4:$F$303,'Opening Balance'!$G$4:$G$303,C2185),INDEX($L$2:$L$3001,MATCH(C2185&amp;"|"&amp;(H2185-1),$I$2:$I$3001,0))))</f>
        <v/>
      </c>
      <c r="K2185" s="6">
        <f>IF(C2185="","",IF(M2185&gt;0,M2185,IF(AND(E2185&gt;0,ROUND(J2185+D2185-E2185,2)&gt;0,ROUND(J2185+D2185-E2185,2)&lt;'Opening Balance'!$B$14),ROUND(J2185+D2185-E2185,2),0)))</f>
        <v/>
      </c>
      <c r="L2185" s="6">
        <f>IF(C2185="","",ROUND(J2185+D2185-E2185-K2185,2))</f>
        <v/>
      </c>
      <c r="M2185" s="6">
        <f>IF(C2185="","",0)</f>
        <v/>
      </c>
    </row>
    <row r="2186">
      <c r="A2186" t="inlineStr">
        <is>
          <t>Bank 银行</t>
        </is>
      </c>
      <c r="B2186" s="5">
        <f>IF(AND('Daily Sale entry '!Z686="Online collection 网上收款",'Daily Sale entry '!AA686&lt;&gt;""),'Daily Sale entry '!X686,"")</f>
        <v/>
      </c>
      <c r="C2186">
        <f>IF(B2186="","",'Daily Sale entry '!AA686)</f>
        <v/>
      </c>
      <c r="D2186">
        <f>IF(C2186="","",0)</f>
        <v/>
      </c>
      <c r="E2186">
        <f>IF(C2186="","",'Daily Sale entry '!AC686)</f>
        <v/>
      </c>
      <c r="F2186" s="37">
        <f>IF(C2186="","",B2186+IF(E2186&gt;0,0,0.5)+ROW()/10000000)</f>
        <v/>
      </c>
      <c r="G2186">
        <f>IF(C2186="","","Collection 收款 (Online 网上)"&amp;IF('Daily Sale entry '!Y686="",""," - "&amp;'Daily Sale entry '!Y686))</f>
        <v/>
      </c>
      <c r="H2186">
        <f>IF(C2186="","",COUNTIFS($C$2:$C$3001,C2186,$F$2:$F$3001,"&lt;"&amp;F2186)+1)</f>
        <v/>
      </c>
      <c r="I2186">
        <f>IF(C2186="","",C2186&amp;"|"&amp;H2186)</f>
        <v/>
      </c>
      <c r="J2186" s="6">
        <f>IF(C2186="","",IF(H2186=1,SUMIFS('Opening Balance'!$F$4:$F$303,'Opening Balance'!$G$4:$G$303,C2186),INDEX($L$2:$L$3001,MATCH(C2186&amp;"|"&amp;(H2186-1),$I$2:$I$3001,0))))</f>
        <v/>
      </c>
      <c r="K2186" s="6">
        <f>IF(C2186="","",IF(M2186&gt;0,M2186,IF(AND(E2186&gt;0,ROUND(J2186+D2186-E2186,2)&gt;0,ROUND(J2186+D2186-E2186,2)&lt;'Opening Balance'!$B$14),ROUND(J2186+D2186-E2186,2),0)))</f>
        <v/>
      </c>
      <c r="L2186" s="6">
        <f>IF(C2186="","",ROUND(J2186+D2186-E2186-K2186,2))</f>
        <v/>
      </c>
      <c r="M2186" s="6">
        <f>IF(C2186="","",0)</f>
        <v/>
      </c>
    </row>
    <row r="2187">
      <c r="A2187" t="inlineStr">
        <is>
          <t>Bank 银行</t>
        </is>
      </c>
      <c r="B2187" s="5">
        <f>IF(AND('Daily Sale entry '!Z687="Online collection 网上收款",'Daily Sale entry '!AA687&lt;&gt;""),'Daily Sale entry '!X687,"")</f>
        <v/>
      </c>
      <c r="C2187">
        <f>IF(B2187="","",'Daily Sale entry '!AA687)</f>
        <v/>
      </c>
      <c r="D2187">
        <f>IF(C2187="","",0)</f>
        <v/>
      </c>
      <c r="E2187">
        <f>IF(C2187="","",'Daily Sale entry '!AC687)</f>
        <v/>
      </c>
      <c r="F2187" s="37">
        <f>IF(C2187="","",B2187+IF(E2187&gt;0,0,0.5)+ROW()/10000000)</f>
        <v/>
      </c>
      <c r="G2187">
        <f>IF(C2187="","","Collection 收款 (Online 网上)"&amp;IF('Daily Sale entry '!Y687="",""," - "&amp;'Daily Sale entry '!Y687))</f>
        <v/>
      </c>
      <c r="H2187">
        <f>IF(C2187="","",COUNTIFS($C$2:$C$3001,C2187,$F$2:$F$3001,"&lt;"&amp;F2187)+1)</f>
        <v/>
      </c>
      <c r="I2187">
        <f>IF(C2187="","",C2187&amp;"|"&amp;H2187)</f>
        <v/>
      </c>
      <c r="J2187" s="6">
        <f>IF(C2187="","",IF(H2187=1,SUMIFS('Opening Balance'!$F$4:$F$303,'Opening Balance'!$G$4:$G$303,C2187),INDEX($L$2:$L$3001,MATCH(C2187&amp;"|"&amp;(H2187-1),$I$2:$I$3001,0))))</f>
        <v/>
      </c>
      <c r="K2187" s="6">
        <f>IF(C2187="","",IF(M2187&gt;0,M2187,IF(AND(E2187&gt;0,ROUND(J2187+D2187-E2187,2)&gt;0,ROUND(J2187+D2187-E2187,2)&lt;'Opening Balance'!$B$14),ROUND(J2187+D2187-E2187,2),0)))</f>
        <v/>
      </c>
      <c r="L2187" s="6">
        <f>IF(C2187="","",ROUND(J2187+D2187-E2187-K2187,2))</f>
        <v/>
      </c>
      <c r="M2187" s="6">
        <f>IF(C2187="","",0)</f>
        <v/>
      </c>
    </row>
    <row r="2188">
      <c r="A2188" t="inlineStr">
        <is>
          <t>Bank 银行</t>
        </is>
      </c>
      <c r="B2188" s="5">
        <f>IF(AND('Daily Sale entry '!Z688="Online collection 网上收款",'Daily Sale entry '!AA688&lt;&gt;""),'Daily Sale entry '!X688,"")</f>
        <v/>
      </c>
      <c r="C2188">
        <f>IF(B2188="","",'Daily Sale entry '!AA688)</f>
        <v/>
      </c>
      <c r="D2188">
        <f>IF(C2188="","",0)</f>
        <v/>
      </c>
      <c r="E2188">
        <f>IF(C2188="","",'Daily Sale entry '!AC688)</f>
        <v/>
      </c>
      <c r="F2188" s="37">
        <f>IF(C2188="","",B2188+IF(E2188&gt;0,0,0.5)+ROW()/10000000)</f>
        <v/>
      </c>
      <c r="G2188">
        <f>IF(C2188="","","Collection 收款 (Online 网上)"&amp;IF('Daily Sale entry '!Y688="",""," - "&amp;'Daily Sale entry '!Y688))</f>
        <v/>
      </c>
      <c r="H2188">
        <f>IF(C2188="","",COUNTIFS($C$2:$C$3001,C2188,$F$2:$F$3001,"&lt;"&amp;F2188)+1)</f>
        <v/>
      </c>
      <c r="I2188">
        <f>IF(C2188="","",C2188&amp;"|"&amp;H2188)</f>
        <v/>
      </c>
      <c r="J2188" s="6">
        <f>IF(C2188="","",IF(H2188=1,SUMIFS('Opening Balance'!$F$4:$F$303,'Opening Balance'!$G$4:$G$303,C2188),INDEX($L$2:$L$3001,MATCH(C2188&amp;"|"&amp;(H2188-1),$I$2:$I$3001,0))))</f>
        <v/>
      </c>
      <c r="K2188" s="6">
        <f>IF(C2188="","",IF(M2188&gt;0,M2188,IF(AND(E2188&gt;0,ROUND(J2188+D2188-E2188,2)&gt;0,ROUND(J2188+D2188-E2188,2)&lt;'Opening Balance'!$B$14),ROUND(J2188+D2188-E2188,2),0)))</f>
        <v/>
      </c>
      <c r="L2188" s="6">
        <f>IF(C2188="","",ROUND(J2188+D2188-E2188-K2188,2))</f>
        <v/>
      </c>
      <c r="M2188" s="6">
        <f>IF(C2188="","",0)</f>
        <v/>
      </c>
    </row>
    <row r="2189">
      <c r="A2189" t="inlineStr">
        <is>
          <t>Bank 银行</t>
        </is>
      </c>
      <c r="B2189" s="5">
        <f>IF(AND('Daily Sale entry '!Z689="Online collection 网上收款",'Daily Sale entry '!AA689&lt;&gt;""),'Daily Sale entry '!X689,"")</f>
        <v/>
      </c>
      <c r="C2189">
        <f>IF(B2189="","",'Daily Sale entry '!AA689)</f>
        <v/>
      </c>
      <c r="D2189">
        <f>IF(C2189="","",0)</f>
        <v/>
      </c>
      <c r="E2189">
        <f>IF(C2189="","",'Daily Sale entry '!AC689)</f>
        <v/>
      </c>
      <c r="F2189" s="37">
        <f>IF(C2189="","",B2189+IF(E2189&gt;0,0,0.5)+ROW()/10000000)</f>
        <v/>
      </c>
      <c r="G2189">
        <f>IF(C2189="","","Collection 收款 (Online 网上)"&amp;IF('Daily Sale entry '!Y689="",""," - "&amp;'Daily Sale entry '!Y689))</f>
        <v/>
      </c>
      <c r="H2189">
        <f>IF(C2189="","",COUNTIFS($C$2:$C$3001,C2189,$F$2:$F$3001,"&lt;"&amp;F2189)+1)</f>
        <v/>
      </c>
      <c r="I2189">
        <f>IF(C2189="","",C2189&amp;"|"&amp;H2189)</f>
        <v/>
      </c>
      <c r="J2189" s="6">
        <f>IF(C2189="","",IF(H2189=1,SUMIFS('Opening Balance'!$F$4:$F$303,'Opening Balance'!$G$4:$G$303,C2189),INDEX($L$2:$L$3001,MATCH(C2189&amp;"|"&amp;(H2189-1),$I$2:$I$3001,0))))</f>
        <v/>
      </c>
      <c r="K2189" s="6">
        <f>IF(C2189="","",IF(M2189&gt;0,M2189,IF(AND(E2189&gt;0,ROUND(J2189+D2189-E2189,2)&gt;0,ROUND(J2189+D2189-E2189,2)&lt;'Opening Balance'!$B$14),ROUND(J2189+D2189-E2189,2),0)))</f>
        <v/>
      </c>
      <c r="L2189" s="6">
        <f>IF(C2189="","",ROUND(J2189+D2189-E2189-K2189,2))</f>
        <v/>
      </c>
      <c r="M2189" s="6">
        <f>IF(C2189="","",0)</f>
        <v/>
      </c>
    </row>
    <row r="2190">
      <c r="A2190" t="inlineStr">
        <is>
          <t>Bank 银行</t>
        </is>
      </c>
      <c r="B2190" s="5">
        <f>IF(AND('Daily Sale entry '!Z690="Online collection 网上收款",'Daily Sale entry '!AA690&lt;&gt;""),'Daily Sale entry '!X690,"")</f>
        <v/>
      </c>
      <c r="C2190">
        <f>IF(B2190="","",'Daily Sale entry '!AA690)</f>
        <v/>
      </c>
      <c r="D2190">
        <f>IF(C2190="","",0)</f>
        <v/>
      </c>
      <c r="E2190">
        <f>IF(C2190="","",'Daily Sale entry '!AC690)</f>
        <v/>
      </c>
      <c r="F2190" s="37">
        <f>IF(C2190="","",B2190+IF(E2190&gt;0,0,0.5)+ROW()/10000000)</f>
        <v/>
      </c>
      <c r="G2190">
        <f>IF(C2190="","","Collection 收款 (Online 网上)"&amp;IF('Daily Sale entry '!Y690="",""," - "&amp;'Daily Sale entry '!Y690))</f>
        <v/>
      </c>
      <c r="H2190">
        <f>IF(C2190="","",COUNTIFS($C$2:$C$3001,C2190,$F$2:$F$3001,"&lt;"&amp;F2190)+1)</f>
        <v/>
      </c>
      <c r="I2190">
        <f>IF(C2190="","",C2190&amp;"|"&amp;H2190)</f>
        <v/>
      </c>
      <c r="J2190" s="6">
        <f>IF(C2190="","",IF(H2190=1,SUMIFS('Opening Balance'!$F$4:$F$303,'Opening Balance'!$G$4:$G$303,C2190),INDEX($L$2:$L$3001,MATCH(C2190&amp;"|"&amp;(H2190-1),$I$2:$I$3001,0))))</f>
        <v/>
      </c>
      <c r="K2190" s="6">
        <f>IF(C2190="","",IF(M2190&gt;0,M2190,IF(AND(E2190&gt;0,ROUND(J2190+D2190-E2190,2)&gt;0,ROUND(J2190+D2190-E2190,2)&lt;'Opening Balance'!$B$14),ROUND(J2190+D2190-E2190,2),0)))</f>
        <v/>
      </c>
      <c r="L2190" s="6">
        <f>IF(C2190="","",ROUND(J2190+D2190-E2190-K2190,2))</f>
        <v/>
      </c>
      <c r="M2190" s="6">
        <f>IF(C2190="","",0)</f>
        <v/>
      </c>
    </row>
    <row r="2191">
      <c r="A2191" t="inlineStr">
        <is>
          <t>Bank 银行</t>
        </is>
      </c>
      <c r="B2191" s="5">
        <f>IF(AND('Daily Sale entry '!Z691="Online collection 网上收款",'Daily Sale entry '!AA691&lt;&gt;""),'Daily Sale entry '!X691,"")</f>
        <v/>
      </c>
      <c r="C2191">
        <f>IF(B2191="","",'Daily Sale entry '!AA691)</f>
        <v/>
      </c>
      <c r="D2191">
        <f>IF(C2191="","",0)</f>
        <v/>
      </c>
      <c r="E2191">
        <f>IF(C2191="","",'Daily Sale entry '!AC691)</f>
        <v/>
      </c>
      <c r="F2191" s="37">
        <f>IF(C2191="","",B2191+IF(E2191&gt;0,0,0.5)+ROW()/10000000)</f>
        <v/>
      </c>
      <c r="G2191">
        <f>IF(C2191="","","Collection 收款 (Online 网上)"&amp;IF('Daily Sale entry '!Y691="",""," - "&amp;'Daily Sale entry '!Y691))</f>
        <v/>
      </c>
      <c r="H2191">
        <f>IF(C2191="","",COUNTIFS($C$2:$C$3001,C2191,$F$2:$F$3001,"&lt;"&amp;F2191)+1)</f>
        <v/>
      </c>
      <c r="I2191">
        <f>IF(C2191="","",C2191&amp;"|"&amp;H2191)</f>
        <v/>
      </c>
      <c r="J2191" s="6">
        <f>IF(C2191="","",IF(H2191=1,SUMIFS('Opening Balance'!$F$4:$F$303,'Opening Balance'!$G$4:$G$303,C2191),INDEX($L$2:$L$3001,MATCH(C2191&amp;"|"&amp;(H2191-1),$I$2:$I$3001,0))))</f>
        <v/>
      </c>
      <c r="K2191" s="6">
        <f>IF(C2191="","",IF(M2191&gt;0,M2191,IF(AND(E2191&gt;0,ROUND(J2191+D2191-E2191,2)&gt;0,ROUND(J2191+D2191-E2191,2)&lt;'Opening Balance'!$B$14),ROUND(J2191+D2191-E2191,2),0)))</f>
        <v/>
      </c>
      <c r="L2191" s="6">
        <f>IF(C2191="","",ROUND(J2191+D2191-E2191-K2191,2))</f>
        <v/>
      </c>
      <c r="M2191" s="6">
        <f>IF(C2191="","",0)</f>
        <v/>
      </c>
    </row>
    <row r="2192">
      <c r="A2192" t="inlineStr">
        <is>
          <t>Bank 银行</t>
        </is>
      </c>
      <c r="B2192" s="5">
        <f>IF(AND('Daily Sale entry '!Z692="Online collection 网上收款",'Daily Sale entry '!AA692&lt;&gt;""),'Daily Sale entry '!X692,"")</f>
        <v/>
      </c>
      <c r="C2192">
        <f>IF(B2192="","",'Daily Sale entry '!AA692)</f>
        <v/>
      </c>
      <c r="D2192">
        <f>IF(C2192="","",0)</f>
        <v/>
      </c>
      <c r="E2192">
        <f>IF(C2192="","",'Daily Sale entry '!AC692)</f>
        <v/>
      </c>
      <c r="F2192" s="37">
        <f>IF(C2192="","",B2192+IF(E2192&gt;0,0,0.5)+ROW()/10000000)</f>
        <v/>
      </c>
      <c r="G2192">
        <f>IF(C2192="","","Collection 收款 (Online 网上)"&amp;IF('Daily Sale entry '!Y692="",""," - "&amp;'Daily Sale entry '!Y692))</f>
        <v/>
      </c>
      <c r="H2192">
        <f>IF(C2192="","",COUNTIFS($C$2:$C$3001,C2192,$F$2:$F$3001,"&lt;"&amp;F2192)+1)</f>
        <v/>
      </c>
      <c r="I2192">
        <f>IF(C2192="","",C2192&amp;"|"&amp;H2192)</f>
        <v/>
      </c>
      <c r="J2192" s="6">
        <f>IF(C2192="","",IF(H2192=1,SUMIFS('Opening Balance'!$F$4:$F$303,'Opening Balance'!$G$4:$G$303,C2192),INDEX($L$2:$L$3001,MATCH(C2192&amp;"|"&amp;(H2192-1),$I$2:$I$3001,0))))</f>
        <v/>
      </c>
      <c r="K2192" s="6">
        <f>IF(C2192="","",IF(M2192&gt;0,M2192,IF(AND(E2192&gt;0,ROUND(J2192+D2192-E2192,2)&gt;0,ROUND(J2192+D2192-E2192,2)&lt;'Opening Balance'!$B$14),ROUND(J2192+D2192-E2192,2),0)))</f>
        <v/>
      </c>
      <c r="L2192" s="6">
        <f>IF(C2192="","",ROUND(J2192+D2192-E2192-K2192,2))</f>
        <v/>
      </c>
      <c r="M2192" s="6">
        <f>IF(C2192="","",0)</f>
        <v/>
      </c>
    </row>
    <row r="2193">
      <c r="A2193" t="inlineStr">
        <is>
          <t>Bank 银行</t>
        </is>
      </c>
      <c r="B2193" s="5">
        <f>IF(AND('Daily Sale entry '!Z693="Online collection 网上收款",'Daily Sale entry '!AA693&lt;&gt;""),'Daily Sale entry '!X693,"")</f>
        <v/>
      </c>
      <c r="C2193">
        <f>IF(B2193="","",'Daily Sale entry '!AA693)</f>
        <v/>
      </c>
      <c r="D2193">
        <f>IF(C2193="","",0)</f>
        <v/>
      </c>
      <c r="E2193">
        <f>IF(C2193="","",'Daily Sale entry '!AC693)</f>
        <v/>
      </c>
      <c r="F2193" s="37">
        <f>IF(C2193="","",B2193+IF(E2193&gt;0,0,0.5)+ROW()/10000000)</f>
        <v/>
      </c>
      <c r="G2193">
        <f>IF(C2193="","","Collection 收款 (Online 网上)"&amp;IF('Daily Sale entry '!Y693="",""," - "&amp;'Daily Sale entry '!Y693))</f>
        <v/>
      </c>
      <c r="H2193">
        <f>IF(C2193="","",COUNTIFS($C$2:$C$3001,C2193,$F$2:$F$3001,"&lt;"&amp;F2193)+1)</f>
        <v/>
      </c>
      <c r="I2193">
        <f>IF(C2193="","",C2193&amp;"|"&amp;H2193)</f>
        <v/>
      </c>
      <c r="J2193" s="6">
        <f>IF(C2193="","",IF(H2193=1,SUMIFS('Opening Balance'!$F$4:$F$303,'Opening Balance'!$G$4:$G$303,C2193),INDEX($L$2:$L$3001,MATCH(C2193&amp;"|"&amp;(H2193-1),$I$2:$I$3001,0))))</f>
        <v/>
      </c>
      <c r="K2193" s="6">
        <f>IF(C2193="","",IF(M2193&gt;0,M2193,IF(AND(E2193&gt;0,ROUND(J2193+D2193-E2193,2)&gt;0,ROUND(J2193+D2193-E2193,2)&lt;'Opening Balance'!$B$14),ROUND(J2193+D2193-E2193,2),0)))</f>
        <v/>
      </c>
      <c r="L2193" s="6">
        <f>IF(C2193="","",ROUND(J2193+D2193-E2193-K2193,2))</f>
        <v/>
      </c>
      <c r="M2193" s="6">
        <f>IF(C2193="","",0)</f>
        <v/>
      </c>
    </row>
    <row r="2194">
      <c r="A2194" t="inlineStr">
        <is>
          <t>Bank 银行</t>
        </is>
      </c>
      <c r="B2194" s="5">
        <f>IF(AND('Daily Sale entry '!Z694="Online collection 网上收款",'Daily Sale entry '!AA694&lt;&gt;""),'Daily Sale entry '!X694,"")</f>
        <v/>
      </c>
      <c r="C2194">
        <f>IF(B2194="","",'Daily Sale entry '!AA694)</f>
        <v/>
      </c>
      <c r="D2194">
        <f>IF(C2194="","",0)</f>
        <v/>
      </c>
      <c r="E2194">
        <f>IF(C2194="","",'Daily Sale entry '!AC694)</f>
        <v/>
      </c>
      <c r="F2194" s="37">
        <f>IF(C2194="","",B2194+IF(E2194&gt;0,0,0.5)+ROW()/10000000)</f>
        <v/>
      </c>
      <c r="G2194">
        <f>IF(C2194="","","Collection 收款 (Online 网上)"&amp;IF('Daily Sale entry '!Y694="",""," - "&amp;'Daily Sale entry '!Y694))</f>
        <v/>
      </c>
      <c r="H2194">
        <f>IF(C2194="","",COUNTIFS($C$2:$C$3001,C2194,$F$2:$F$3001,"&lt;"&amp;F2194)+1)</f>
        <v/>
      </c>
      <c r="I2194">
        <f>IF(C2194="","",C2194&amp;"|"&amp;H2194)</f>
        <v/>
      </c>
      <c r="J2194" s="6">
        <f>IF(C2194="","",IF(H2194=1,SUMIFS('Opening Balance'!$F$4:$F$303,'Opening Balance'!$G$4:$G$303,C2194),INDEX($L$2:$L$3001,MATCH(C2194&amp;"|"&amp;(H2194-1),$I$2:$I$3001,0))))</f>
        <v/>
      </c>
      <c r="K2194" s="6">
        <f>IF(C2194="","",IF(M2194&gt;0,M2194,IF(AND(E2194&gt;0,ROUND(J2194+D2194-E2194,2)&gt;0,ROUND(J2194+D2194-E2194,2)&lt;'Opening Balance'!$B$14),ROUND(J2194+D2194-E2194,2),0)))</f>
        <v/>
      </c>
      <c r="L2194" s="6">
        <f>IF(C2194="","",ROUND(J2194+D2194-E2194-K2194,2))</f>
        <v/>
      </c>
      <c r="M2194" s="6">
        <f>IF(C2194="","",0)</f>
        <v/>
      </c>
    </row>
    <row r="2195">
      <c r="A2195" t="inlineStr">
        <is>
          <t>Bank 银行</t>
        </is>
      </c>
      <c r="B2195" s="5">
        <f>IF(AND('Daily Sale entry '!Z695="Online collection 网上收款",'Daily Sale entry '!AA695&lt;&gt;""),'Daily Sale entry '!X695,"")</f>
        <v/>
      </c>
      <c r="C2195">
        <f>IF(B2195="","",'Daily Sale entry '!AA695)</f>
        <v/>
      </c>
      <c r="D2195">
        <f>IF(C2195="","",0)</f>
        <v/>
      </c>
      <c r="E2195">
        <f>IF(C2195="","",'Daily Sale entry '!AC695)</f>
        <v/>
      </c>
      <c r="F2195" s="37">
        <f>IF(C2195="","",B2195+IF(E2195&gt;0,0,0.5)+ROW()/10000000)</f>
        <v/>
      </c>
      <c r="G2195">
        <f>IF(C2195="","","Collection 收款 (Online 网上)"&amp;IF('Daily Sale entry '!Y695="",""," - "&amp;'Daily Sale entry '!Y695))</f>
        <v/>
      </c>
      <c r="H2195">
        <f>IF(C2195="","",COUNTIFS($C$2:$C$3001,C2195,$F$2:$F$3001,"&lt;"&amp;F2195)+1)</f>
        <v/>
      </c>
      <c r="I2195">
        <f>IF(C2195="","",C2195&amp;"|"&amp;H2195)</f>
        <v/>
      </c>
      <c r="J2195" s="6">
        <f>IF(C2195="","",IF(H2195=1,SUMIFS('Opening Balance'!$F$4:$F$303,'Opening Balance'!$G$4:$G$303,C2195),INDEX($L$2:$L$3001,MATCH(C2195&amp;"|"&amp;(H2195-1),$I$2:$I$3001,0))))</f>
        <v/>
      </c>
      <c r="K2195" s="6">
        <f>IF(C2195="","",IF(M2195&gt;0,M2195,IF(AND(E2195&gt;0,ROUND(J2195+D2195-E2195,2)&gt;0,ROUND(J2195+D2195-E2195,2)&lt;'Opening Balance'!$B$14),ROUND(J2195+D2195-E2195,2),0)))</f>
        <v/>
      </c>
      <c r="L2195" s="6">
        <f>IF(C2195="","",ROUND(J2195+D2195-E2195-K2195,2))</f>
        <v/>
      </c>
      <c r="M2195" s="6">
        <f>IF(C2195="","",0)</f>
        <v/>
      </c>
    </row>
    <row r="2196">
      <c r="A2196" t="inlineStr">
        <is>
          <t>Bank 银行</t>
        </is>
      </c>
      <c r="B2196" s="5">
        <f>IF(AND('Daily Sale entry '!Z696="Online collection 网上收款",'Daily Sale entry '!AA696&lt;&gt;""),'Daily Sale entry '!X696,"")</f>
        <v/>
      </c>
      <c r="C2196">
        <f>IF(B2196="","",'Daily Sale entry '!AA696)</f>
        <v/>
      </c>
      <c r="D2196">
        <f>IF(C2196="","",0)</f>
        <v/>
      </c>
      <c r="E2196">
        <f>IF(C2196="","",'Daily Sale entry '!AC696)</f>
        <v/>
      </c>
      <c r="F2196" s="37">
        <f>IF(C2196="","",B2196+IF(E2196&gt;0,0,0.5)+ROW()/10000000)</f>
        <v/>
      </c>
      <c r="G2196">
        <f>IF(C2196="","","Collection 收款 (Online 网上)"&amp;IF('Daily Sale entry '!Y696="",""," - "&amp;'Daily Sale entry '!Y696))</f>
        <v/>
      </c>
      <c r="H2196">
        <f>IF(C2196="","",COUNTIFS($C$2:$C$3001,C2196,$F$2:$F$3001,"&lt;"&amp;F2196)+1)</f>
        <v/>
      </c>
      <c r="I2196">
        <f>IF(C2196="","",C2196&amp;"|"&amp;H2196)</f>
        <v/>
      </c>
      <c r="J2196" s="6">
        <f>IF(C2196="","",IF(H2196=1,SUMIFS('Opening Balance'!$F$4:$F$303,'Opening Balance'!$G$4:$G$303,C2196),INDEX($L$2:$L$3001,MATCH(C2196&amp;"|"&amp;(H2196-1),$I$2:$I$3001,0))))</f>
        <v/>
      </c>
      <c r="K2196" s="6">
        <f>IF(C2196="","",IF(M2196&gt;0,M2196,IF(AND(E2196&gt;0,ROUND(J2196+D2196-E2196,2)&gt;0,ROUND(J2196+D2196-E2196,2)&lt;'Opening Balance'!$B$14),ROUND(J2196+D2196-E2196,2),0)))</f>
        <v/>
      </c>
      <c r="L2196" s="6">
        <f>IF(C2196="","",ROUND(J2196+D2196-E2196-K2196,2))</f>
        <v/>
      </c>
      <c r="M2196" s="6">
        <f>IF(C2196="","",0)</f>
        <v/>
      </c>
    </row>
    <row r="2197">
      <c r="A2197" t="inlineStr">
        <is>
          <t>Bank 银行</t>
        </is>
      </c>
      <c r="B2197" s="5">
        <f>IF(AND('Daily Sale entry '!Z697="Online collection 网上收款",'Daily Sale entry '!AA697&lt;&gt;""),'Daily Sale entry '!X697,"")</f>
        <v/>
      </c>
      <c r="C2197">
        <f>IF(B2197="","",'Daily Sale entry '!AA697)</f>
        <v/>
      </c>
      <c r="D2197">
        <f>IF(C2197="","",0)</f>
        <v/>
      </c>
      <c r="E2197">
        <f>IF(C2197="","",'Daily Sale entry '!AC697)</f>
        <v/>
      </c>
      <c r="F2197" s="37">
        <f>IF(C2197="","",B2197+IF(E2197&gt;0,0,0.5)+ROW()/10000000)</f>
        <v/>
      </c>
      <c r="G2197">
        <f>IF(C2197="","","Collection 收款 (Online 网上)"&amp;IF('Daily Sale entry '!Y697="",""," - "&amp;'Daily Sale entry '!Y697))</f>
        <v/>
      </c>
      <c r="H2197">
        <f>IF(C2197="","",COUNTIFS($C$2:$C$3001,C2197,$F$2:$F$3001,"&lt;"&amp;F2197)+1)</f>
        <v/>
      </c>
      <c r="I2197">
        <f>IF(C2197="","",C2197&amp;"|"&amp;H2197)</f>
        <v/>
      </c>
      <c r="J2197" s="6">
        <f>IF(C2197="","",IF(H2197=1,SUMIFS('Opening Balance'!$F$4:$F$303,'Opening Balance'!$G$4:$G$303,C2197),INDEX($L$2:$L$3001,MATCH(C2197&amp;"|"&amp;(H2197-1),$I$2:$I$3001,0))))</f>
        <v/>
      </c>
      <c r="K2197" s="6">
        <f>IF(C2197="","",IF(M2197&gt;0,M2197,IF(AND(E2197&gt;0,ROUND(J2197+D2197-E2197,2)&gt;0,ROUND(J2197+D2197-E2197,2)&lt;'Opening Balance'!$B$14),ROUND(J2197+D2197-E2197,2),0)))</f>
        <v/>
      </c>
      <c r="L2197" s="6">
        <f>IF(C2197="","",ROUND(J2197+D2197-E2197-K2197,2))</f>
        <v/>
      </c>
      <c r="M2197" s="6">
        <f>IF(C2197="","",0)</f>
        <v/>
      </c>
    </row>
    <row r="2198">
      <c r="A2198" t="inlineStr">
        <is>
          <t>Bank 银行</t>
        </is>
      </c>
      <c r="B2198" s="5">
        <f>IF(AND('Daily Sale entry '!Z698="Online collection 网上收款",'Daily Sale entry '!AA698&lt;&gt;""),'Daily Sale entry '!X698,"")</f>
        <v/>
      </c>
      <c r="C2198">
        <f>IF(B2198="","",'Daily Sale entry '!AA698)</f>
        <v/>
      </c>
      <c r="D2198">
        <f>IF(C2198="","",0)</f>
        <v/>
      </c>
      <c r="E2198">
        <f>IF(C2198="","",'Daily Sale entry '!AC698)</f>
        <v/>
      </c>
      <c r="F2198" s="37">
        <f>IF(C2198="","",B2198+IF(E2198&gt;0,0,0.5)+ROW()/10000000)</f>
        <v/>
      </c>
      <c r="G2198">
        <f>IF(C2198="","","Collection 收款 (Online 网上)"&amp;IF('Daily Sale entry '!Y698="",""," - "&amp;'Daily Sale entry '!Y698))</f>
        <v/>
      </c>
      <c r="H2198">
        <f>IF(C2198="","",COUNTIFS($C$2:$C$3001,C2198,$F$2:$F$3001,"&lt;"&amp;F2198)+1)</f>
        <v/>
      </c>
      <c r="I2198">
        <f>IF(C2198="","",C2198&amp;"|"&amp;H2198)</f>
        <v/>
      </c>
      <c r="J2198" s="6">
        <f>IF(C2198="","",IF(H2198=1,SUMIFS('Opening Balance'!$F$4:$F$303,'Opening Balance'!$G$4:$G$303,C2198),INDEX($L$2:$L$3001,MATCH(C2198&amp;"|"&amp;(H2198-1),$I$2:$I$3001,0))))</f>
        <v/>
      </c>
      <c r="K2198" s="6">
        <f>IF(C2198="","",IF(M2198&gt;0,M2198,IF(AND(E2198&gt;0,ROUND(J2198+D2198-E2198,2)&gt;0,ROUND(J2198+D2198-E2198,2)&lt;'Opening Balance'!$B$14),ROUND(J2198+D2198-E2198,2),0)))</f>
        <v/>
      </c>
      <c r="L2198" s="6">
        <f>IF(C2198="","",ROUND(J2198+D2198-E2198-K2198,2))</f>
        <v/>
      </c>
      <c r="M2198" s="6">
        <f>IF(C2198="","",0)</f>
        <v/>
      </c>
    </row>
    <row r="2199">
      <c r="A2199" t="inlineStr">
        <is>
          <t>Bank 银行</t>
        </is>
      </c>
      <c r="B2199" s="5">
        <f>IF(AND('Daily Sale entry '!Z699="Online collection 网上收款",'Daily Sale entry '!AA699&lt;&gt;""),'Daily Sale entry '!X699,"")</f>
        <v/>
      </c>
      <c r="C2199">
        <f>IF(B2199="","",'Daily Sale entry '!AA699)</f>
        <v/>
      </c>
      <c r="D2199">
        <f>IF(C2199="","",0)</f>
        <v/>
      </c>
      <c r="E2199">
        <f>IF(C2199="","",'Daily Sale entry '!AC699)</f>
        <v/>
      </c>
      <c r="F2199" s="37">
        <f>IF(C2199="","",B2199+IF(E2199&gt;0,0,0.5)+ROW()/10000000)</f>
        <v/>
      </c>
      <c r="G2199">
        <f>IF(C2199="","","Collection 收款 (Online 网上)"&amp;IF('Daily Sale entry '!Y699="",""," - "&amp;'Daily Sale entry '!Y699))</f>
        <v/>
      </c>
      <c r="H2199">
        <f>IF(C2199="","",COUNTIFS($C$2:$C$3001,C2199,$F$2:$F$3001,"&lt;"&amp;F2199)+1)</f>
        <v/>
      </c>
      <c r="I2199">
        <f>IF(C2199="","",C2199&amp;"|"&amp;H2199)</f>
        <v/>
      </c>
      <c r="J2199" s="6">
        <f>IF(C2199="","",IF(H2199=1,SUMIFS('Opening Balance'!$F$4:$F$303,'Opening Balance'!$G$4:$G$303,C2199),INDEX($L$2:$L$3001,MATCH(C2199&amp;"|"&amp;(H2199-1),$I$2:$I$3001,0))))</f>
        <v/>
      </c>
      <c r="K2199" s="6">
        <f>IF(C2199="","",IF(M2199&gt;0,M2199,IF(AND(E2199&gt;0,ROUND(J2199+D2199-E2199,2)&gt;0,ROUND(J2199+D2199-E2199,2)&lt;'Opening Balance'!$B$14),ROUND(J2199+D2199-E2199,2),0)))</f>
        <v/>
      </c>
      <c r="L2199" s="6">
        <f>IF(C2199="","",ROUND(J2199+D2199-E2199-K2199,2))</f>
        <v/>
      </c>
      <c r="M2199" s="6">
        <f>IF(C2199="","",0)</f>
        <v/>
      </c>
    </row>
    <row r="2200">
      <c r="A2200" t="inlineStr">
        <is>
          <t>Bank 银行</t>
        </is>
      </c>
      <c r="B2200" s="5">
        <f>IF(AND('Daily Sale entry '!Z700="Online collection 网上收款",'Daily Sale entry '!AA700&lt;&gt;""),'Daily Sale entry '!X700,"")</f>
        <v/>
      </c>
      <c r="C2200">
        <f>IF(B2200="","",'Daily Sale entry '!AA700)</f>
        <v/>
      </c>
      <c r="D2200">
        <f>IF(C2200="","",0)</f>
        <v/>
      </c>
      <c r="E2200">
        <f>IF(C2200="","",'Daily Sale entry '!AC700)</f>
        <v/>
      </c>
      <c r="F2200" s="37">
        <f>IF(C2200="","",B2200+IF(E2200&gt;0,0,0.5)+ROW()/10000000)</f>
        <v/>
      </c>
      <c r="G2200">
        <f>IF(C2200="","","Collection 收款 (Online 网上)"&amp;IF('Daily Sale entry '!Y700="",""," - "&amp;'Daily Sale entry '!Y700))</f>
        <v/>
      </c>
      <c r="H2200">
        <f>IF(C2200="","",COUNTIFS($C$2:$C$3001,C2200,$F$2:$F$3001,"&lt;"&amp;F2200)+1)</f>
        <v/>
      </c>
      <c r="I2200">
        <f>IF(C2200="","",C2200&amp;"|"&amp;H2200)</f>
        <v/>
      </c>
      <c r="J2200" s="6">
        <f>IF(C2200="","",IF(H2200=1,SUMIFS('Opening Balance'!$F$4:$F$303,'Opening Balance'!$G$4:$G$303,C2200),INDEX($L$2:$L$3001,MATCH(C2200&amp;"|"&amp;(H2200-1),$I$2:$I$3001,0))))</f>
        <v/>
      </c>
      <c r="K2200" s="6">
        <f>IF(C2200="","",IF(M2200&gt;0,M2200,IF(AND(E2200&gt;0,ROUND(J2200+D2200-E2200,2)&gt;0,ROUND(J2200+D2200-E2200,2)&lt;'Opening Balance'!$B$14),ROUND(J2200+D2200-E2200,2),0)))</f>
        <v/>
      </c>
      <c r="L2200" s="6">
        <f>IF(C2200="","",ROUND(J2200+D2200-E2200-K2200,2))</f>
        <v/>
      </c>
      <c r="M2200" s="6">
        <f>IF(C2200="","",0)</f>
        <v/>
      </c>
    </row>
    <row r="2201">
      <c r="A2201" t="inlineStr">
        <is>
          <t>Bank 银行</t>
        </is>
      </c>
      <c r="B2201" s="5">
        <f>IF(AND('Daily Sale entry '!Z701="Online collection 网上收款",'Daily Sale entry '!AA701&lt;&gt;""),'Daily Sale entry '!X701,"")</f>
        <v/>
      </c>
      <c r="C2201">
        <f>IF(B2201="","",'Daily Sale entry '!AA701)</f>
        <v/>
      </c>
      <c r="D2201">
        <f>IF(C2201="","",0)</f>
        <v/>
      </c>
      <c r="E2201">
        <f>IF(C2201="","",'Daily Sale entry '!AC701)</f>
        <v/>
      </c>
      <c r="F2201" s="37">
        <f>IF(C2201="","",B2201+IF(E2201&gt;0,0,0.5)+ROW()/10000000)</f>
        <v/>
      </c>
      <c r="G2201">
        <f>IF(C2201="","","Collection 收款 (Online 网上)"&amp;IF('Daily Sale entry '!Y701="",""," - "&amp;'Daily Sale entry '!Y701))</f>
        <v/>
      </c>
      <c r="H2201">
        <f>IF(C2201="","",COUNTIFS($C$2:$C$3001,C2201,$F$2:$F$3001,"&lt;"&amp;F2201)+1)</f>
        <v/>
      </c>
      <c r="I2201">
        <f>IF(C2201="","",C2201&amp;"|"&amp;H2201)</f>
        <v/>
      </c>
      <c r="J2201" s="6">
        <f>IF(C2201="","",IF(H2201=1,SUMIFS('Opening Balance'!$F$4:$F$303,'Opening Balance'!$G$4:$G$303,C2201),INDEX($L$2:$L$3001,MATCH(C2201&amp;"|"&amp;(H2201-1),$I$2:$I$3001,0))))</f>
        <v/>
      </c>
      <c r="K2201" s="6">
        <f>IF(C2201="","",IF(M2201&gt;0,M2201,IF(AND(E2201&gt;0,ROUND(J2201+D2201-E2201,2)&gt;0,ROUND(J2201+D2201-E2201,2)&lt;'Opening Balance'!$B$14),ROUND(J2201+D2201-E2201,2),0)))</f>
        <v/>
      </c>
      <c r="L2201" s="6">
        <f>IF(C2201="","",ROUND(J2201+D2201-E2201-K2201,2))</f>
        <v/>
      </c>
      <c r="M2201" s="6">
        <f>IF(C2201="","",0)</f>
        <v/>
      </c>
    </row>
    <row r="2202">
      <c r="A2202" t="inlineStr">
        <is>
          <t>Bank 银行</t>
        </is>
      </c>
      <c r="B2202" s="5">
        <f>IF(AND('Daily Sale entry '!Z702="Online collection 网上收款",'Daily Sale entry '!AA702&lt;&gt;""),'Daily Sale entry '!X702,"")</f>
        <v/>
      </c>
      <c r="C2202">
        <f>IF(B2202="","",'Daily Sale entry '!AA702)</f>
        <v/>
      </c>
      <c r="D2202">
        <f>IF(C2202="","",0)</f>
        <v/>
      </c>
      <c r="E2202">
        <f>IF(C2202="","",'Daily Sale entry '!AC702)</f>
        <v/>
      </c>
      <c r="F2202" s="37">
        <f>IF(C2202="","",B2202+IF(E2202&gt;0,0,0.5)+ROW()/10000000)</f>
        <v/>
      </c>
      <c r="G2202">
        <f>IF(C2202="","","Collection 收款 (Online 网上)"&amp;IF('Daily Sale entry '!Y702="",""," - "&amp;'Daily Sale entry '!Y702))</f>
        <v/>
      </c>
      <c r="H2202">
        <f>IF(C2202="","",COUNTIFS($C$2:$C$3001,C2202,$F$2:$F$3001,"&lt;"&amp;F2202)+1)</f>
        <v/>
      </c>
      <c r="I2202">
        <f>IF(C2202="","",C2202&amp;"|"&amp;H2202)</f>
        <v/>
      </c>
      <c r="J2202" s="6">
        <f>IF(C2202="","",IF(H2202=1,SUMIFS('Opening Balance'!$F$4:$F$303,'Opening Balance'!$G$4:$G$303,C2202),INDEX($L$2:$L$3001,MATCH(C2202&amp;"|"&amp;(H2202-1),$I$2:$I$3001,0))))</f>
        <v/>
      </c>
      <c r="K2202" s="6">
        <f>IF(C2202="","",IF(M2202&gt;0,M2202,IF(AND(E2202&gt;0,ROUND(J2202+D2202-E2202,2)&gt;0,ROUND(J2202+D2202-E2202,2)&lt;'Opening Balance'!$B$14),ROUND(J2202+D2202-E2202,2),0)))</f>
        <v/>
      </c>
      <c r="L2202" s="6">
        <f>IF(C2202="","",ROUND(J2202+D2202-E2202-K2202,2))</f>
        <v/>
      </c>
      <c r="M2202" s="6">
        <f>IF(C2202="","",0)</f>
        <v/>
      </c>
    </row>
    <row r="2203">
      <c r="A2203" t="inlineStr">
        <is>
          <t>Bank 银行</t>
        </is>
      </c>
      <c r="B2203" s="5">
        <f>IF(AND('Daily Sale entry '!Z703="Online collection 网上收款",'Daily Sale entry '!AA703&lt;&gt;""),'Daily Sale entry '!X703,"")</f>
        <v/>
      </c>
      <c r="C2203">
        <f>IF(B2203="","",'Daily Sale entry '!AA703)</f>
        <v/>
      </c>
      <c r="D2203">
        <f>IF(C2203="","",0)</f>
        <v/>
      </c>
      <c r="E2203">
        <f>IF(C2203="","",'Daily Sale entry '!AC703)</f>
        <v/>
      </c>
      <c r="F2203" s="37">
        <f>IF(C2203="","",B2203+IF(E2203&gt;0,0,0.5)+ROW()/10000000)</f>
        <v/>
      </c>
      <c r="G2203">
        <f>IF(C2203="","","Collection 收款 (Online 网上)"&amp;IF('Daily Sale entry '!Y703="",""," - "&amp;'Daily Sale entry '!Y703))</f>
        <v/>
      </c>
      <c r="H2203">
        <f>IF(C2203="","",COUNTIFS($C$2:$C$3001,C2203,$F$2:$F$3001,"&lt;"&amp;F2203)+1)</f>
        <v/>
      </c>
      <c r="I2203">
        <f>IF(C2203="","",C2203&amp;"|"&amp;H2203)</f>
        <v/>
      </c>
      <c r="J2203" s="6">
        <f>IF(C2203="","",IF(H2203=1,SUMIFS('Opening Balance'!$F$4:$F$303,'Opening Balance'!$G$4:$G$303,C2203),INDEX($L$2:$L$3001,MATCH(C2203&amp;"|"&amp;(H2203-1),$I$2:$I$3001,0))))</f>
        <v/>
      </c>
      <c r="K2203" s="6">
        <f>IF(C2203="","",IF(M2203&gt;0,M2203,IF(AND(E2203&gt;0,ROUND(J2203+D2203-E2203,2)&gt;0,ROUND(J2203+D2203-E2203,2)&lt;'Opening Balance'!$B$14),ROUND(J2203+D2203-E2203,2),0)))</f>
        <v/>
      </c>
      <c r="L2203" s="6">
        <f>IF(C2203="","",ROUND(J2203+D2203-E2203-K2203,2))</f>
        <v/>
      </c>
      <c r="M2203" s="6">
        <f>IF(C2203="","",0)</f>
        <v/>
      </c>
    </row>
    <row r="2204">
      <c r="A2204" t="inlineStr">
        <is>
          <t>Bank 银行</t>
        </is>
      </c>
      <c r="B2204" s="5">
        <f>IF(AND('Daily Sale entry '!Z704="Online collection 网上收款",'Daily Sale entry '!AA704&lt;&gt;""),'Daily Sale entry '!X704,"")</f>
        <v/>
      </c>
      <c r="C2204">
        <f>IF(B2204="","",'Daily Sale entry '!AA704)</f>
        <v/>
      </c>
      <c r="D2204">
        <f>IF(C2204="","",0)</f>
        <v/>
      </c>
      <c r="E2204">
        <f>IF(C2204="","",'Daily Sale entry '!AC704)</f>
        <v/>
      </c>
      <c r="F2204" s="37">
        <f>IF(C2204="","",B2204+IF(E2204&gt;0,0,0.5)+ROW()/10000000)</f>
        <v/>
      </c>
      <c r="G2204">
        <f>IF(C2204="","","Collection 收款 (Online 网上)"&amp;IF('Daily Sale entry '!Y704="",""," - "&amp;'Daily Sale entry '!Y704))</f>
        <v/>
      </c>
      <c r="H2204">
        <f>IF(C2204="","",COUNTIFS($C$2:$C$3001,C2204,$F$2:$F$3001,"&lt;"&amp;F2204)+1)</f>
        <v/>
      </c>
      <c r="I2204">
        <f>IF(C2204="","",C2204&amp;"|"&amp;H2204)</f>
        <v/>
      </c>
      <c r="J2204" s="6">
        <f>IF(C2204="","",IF(H2204=1,SUMIFS('Opening Balance'!$F$4:$F$303,'Opening Balance'!$G$4:$G$303,C2204),INDEX($L$2:$L$3001,MATCH(C2204&amp;"|"&amp;(H2204-1),$I$2:$I$3001,0))))</f>
        <v/>
      </c>
      <c r="K2204" s="6">
        <f>IF(C2204="","",IF(M2204&gt;0,M2204,IF(AND(E2204&gt;0,ROUND(J2204+D2204-E2204,2)&gt;0,ROUND(J2204+D2204-E2204,2)&lt;'Opening Balance'!$B$14),ROUND(J2204+D2204-E2204,2),0)))</f>
        <v/>
      </c>
      <c r="L2204" s="6">
        <f>IF(C2204="","",ROUND(J2204+D2204-E2204-K2204,2))</f>
        <v/>
      </c>
      <c r="M2204" s="6">
        <f>IF(C2204="","",0)</f>
        <v/>
      </c>
    </row>
    <row r="2205">
      <c r="A2205" t="inlineStr">
        <is>
          <t>Bank 银行</t>
        </is>
      </c>
      <c r="B2205" s="5">
        <f>IF(AND('Daily Sale entry '!Z705="Online collection 网上收款",'Daily Sale entry '!AA705&lt;&gt;""),'Daily Sale entry '!X705,"")</f>
        <v/>
      </c>
      <c r="C2205">
        <f>IF(B2205="","",'Daily Sale entry '!AA705)</f>
        <v/>
      </c>
      <c r="D2205">
        <f>IF(C2205="","",0)</f>
        <v/>
      </c>
      <c r="E2205">
        <f>IF(C2205="","",'Daily Sale entry '!AC705)</f>
        <v/>
      </c>
      <c r="F2205" s="37">
        <f>IF(C2205="","",B2205+IF(E2205&gt;0,0,0.5)+ROW()/10000000)</f>
        <v/>
      </c>
      <c r="G2205">
        <f>IF(C2205="","","Collection 收款 (Online 网上)"&amp;IF('Daily Sale entry '!Y705="",""," - "&amp;'Daily Sale entry '!Y705))</f>
        <v/>
      </c>
      <c r="H2205">
        <f>IF(C2205="","",COUNTIFS($C$2:$C$3001,C2205,$F$2:$F$3001,"&lt;"&amp;F2205)+1)</f>
        <v/>
      </c>
      <c r="I2205">
        <f>IF(C2205="","",C2205&amp;"|"&amp;H2205)</f>
        <v/>
      </c>
      <c r="J2205" s="6">
        <f>IF(C2205="","",IF(H2205=1,SUMIFS('Opening Balance'!$F$4:$F$303,'Opening Balance'!$G$4:$G$303,C2205),INDEX($L$2:$L$3001,MATCH(C2205&amp;"|"&amp;(H2205-1),$I$2:$I$3001,0))))</f>
        <v/>
      </c>
      <c r="K2205" s="6">
        <f>IF(C2205="","",IF(M2205&gt;0,M2205,IF(AND(E2205&gt;0,ROUND(J2205+D2205-E2205,2)&gt;0,ROUND(J2205+D2205-E2205,2)&lt;'Opening Balance'!$B$14),ROUND(J2205+D2205-E2205,2),0)))</f>
        <v/>
      </c>
      <c r="L2205" s="6">
        <f>IF(C2205="","",ROUND(J2205+D2205-E2205-K2205,2))</f>
        <v/>
      </c>
      <c r="M2205" s="6">
        <f>IF(C2205="","",0)</f>
        <v/>
      </c>
    </row>
    <row r="2206">
      <c r="A2206" t="inlineStr">
        <is>
          <t>Bank 银行</t>
        </is>
      </c>
      <c r="B2206" s="5">
        <f>IF(AND('Daily Sale entry '!Z706="Online collection 网上收款",'Daily Sale entry '!AA706&lt;&gt;""),'Daily Sale entry '!X706,"")</f>
        <v/>
      </c>
      <c r="C2206">
        <f>IF(B2206="","",'Daily Sale entry '!AA706)</f>
        <v/>
      </c>
      <c r="D2206">
        <f>IF(C2206="","",0)</f>
        <v/>
      </c>
      <c r="E2206">
        <f>IF(C2206="","",'Daily Sale entry '!AC706)</f>
        <v/>
      </c>
      <c r="F2206" s="37">
        <f>IF(C2206="","",B2206+IF(E2206&gt;0,0,0.5)+ROW()/10000000)</f>
        <v/>
      </c>
      <c r="G2206">
        <f>IF(C2206="","","Collection 收款 (Online 网上)"&amp;IF('Daily Sale entry '!Y706="",""," - "&amp;'Daily Sale entry '!Y706))</f>
        <v/>
      </c>
      <c r="H2206">
        <f>IF(C2206="","",COUNTIFS($C$2:$C$3001,C2206,$F$2:$F$3001,"&lt;"&amp;F2206)+1)</f>
        <v/>
      </c>
      <c r="I2206">
        <f>IF(C2206="","",C2206&amp;"|"&amp;H2206)</f>
        <v/>
      </c>
      <c r="J2206" s="6">
        <f>IF(C2206="","",IF(H2206=1,SUMIFS('Opening Balance'!$F$4:$F$303,'Opening Balance'!$G$4:$G$303,C2206),INDEX($L$2:$L$3001,MATCH(C2206&amp;"|"&amp;(H2206-1),$I$2:$I$3001,0))))</f>
        <v/>
      </c>
      <c r="K2206" s="6">
        <f>IF(C2206="","",IF(M2206&gt;0,M2206,IF(AND(E2206&gt;0,ROUND(J2206+D2206-E2206,2)&gt;0,ROUND(J2206+D2206-E2206,2)&lt;'Opening Balance'!$B$14),ROUND(J2206+D2206-E2206,2),0)))</f>
        <v/>
      </c>
      <c r="L2206" s="6">
        <f>IF(C2206="","",ROUND(J2206+D2206-E2206-K2206,2))</f>
        <v/>
      </c>
      <c r="M2206" s="6">
        <f>IF(C2206="","",0)</f>
        <v/>
      </c>
    </row>
    <row r="2207">
      <c r="A2207" t="inlineStr">
        <is>
          <t>Bank 银行</t>
        </is>
      </c>
      <c r="B2207" s="5">
        <f>IF(AND('Daily Sale entry '!Z707="Online collection 网上收款",'Daily Sale entry '!AA707&lt;&gt;""),'Daily Sale entry '!X707,"")</f>
        <v/>
      </c>
      <c r="C2207">
        <f>IF(B2207="","",'Daily Sale entry '!AA707)</f>
        <v/>
      </c>
      <c r="D2207">
        <f>IF(C2207="","",0)</f>
        <v/>
      </c>
      <c r="E2207">
        <f>IF(C2207="","",'Daily Sale entry '!AC707)</f>
        <v/>
      </c>
      <c r="F2207" s="37">
        <f>IF(C2207="","",B2207+IF(E2207&gt;0,0,0.5)+ROW()/10000000)</f>
        <v/>
      </c>
      <c r="G2207">
        <f>IF(C2207="","","Collection 收款 (Online 网上)"&amp;IF('Daily Sale entry '!Y707="",""," - "&amp;'Daily Sale entry '!Y707))</f>
        <v/>
      </c>
      <c r="H2207">
        <f>IF(C2207="","",COUNTIFS($C$2:$C$3001,C2207,$F$2:$F$3001,"&lt;"&amp;F2207)+1)</f>
        <v/>
      </c>
      <c r="I2207">
        <f>IF(C2207="","",C2207&amp;"|"&amp;H2207)</f>
        <v/>
      </c>
      <c r="J2207" s="6">
        <f>IF(C2207="","",IF(H2207=1,SUMIFS('Opening Balance'!$F$4:$F$303,'Opening Balance'!$G$4:$G$303,C2207),INDEX($L$2:$L$3001,MATCH(C2207&amp;"|"&amp;(H2207-1),$I$2:$I$3001,0))))</f>
        <v/>
      </c>
      <c r="K2207" s="6">
        <f>IF(C2207="","",IF(M2207&gt;0,M2207,IF(AND(E2207&gt;0,ROUND(J2207+D2207-E2207,2)&gt;0,ROUND(J2207+D2207-E2207,2)&lt;'Opening Balance'!$B$14),ROUND(J2207+D2207-E2207,2),0)))</f>
        <v/>
      </c>
      <c r="L2207" s="6">
        <f>IF(C2207="","",ROUND(J2207+D2207-E2207-K2207,2))</f>
        <v/>
      </c>
      <c r="M2207" s="6">
        <f>IF(C2207="","",0)</f>
        <v/>
      </c>
    </row>
    <row r="2208">
      <c r="A2208" t="inlineStr">
        <is>
          <t>Bank 银行</t>
        </is>
      </c>
      <c r="B2208" s="5">
        <f>IF(AND('Daily Sale entry '!Z708="Online collection 网上收款",'Daily Sale entry '!AA708&lt;&gt;""),'Daily Sale entry '!X708,"")</f>
        <v/>
      </c>
      <c r="C2208">
        <f>IF(B2208="","",'Daily Sale entry '!AA708)</f>
        <v/>
      </c>
      <c r="D2208">
        <f>IF(C2208="","",0)</f>
        <v/>
      </c>
      <c r="E2208">
        <f>IF(C2208="","",'Daily Sale entry '!AC708)</f>
        <v/>
      </c>
      <c r="F2208" s="37">
        <f>IF(C2208="","",B2208+IF(E2208&gt;0,0,0.5)+ROW()/10000000)</f>
        <v/>
      </c>
      <c r="G2208">
        <f>IF(C2208="","","Collection 收款 (Online 网上)"&amp;IF('Daily Sale entry '!Y708="",""," - "&amp;'Daily Sale entry '!Y708))</f>
        <v/>
      </c>
      <c r="H2208">
        <f>IF(C2208="","",COUNTIFS($C$2:$C$3001,C2208,$F$2:$F$3001,"&lt;"&amp;F2208)+1)</f>
        <v/>
      </c>
      <c r="I2208">
        <f>IF(C2208="","",C2208&amp;"|"&amp;H2208)</f>
        <v/>
      </c>
      <c r="J2208" s="6">
        <f>IF(C2208="","",IF(H2208=1,SUMIFS('Opening Balance'!$F$4:$F$303,'Opening Balance'!$G$4:$G$303,C2208),INDEX($L$2:$L$3001,MATCH(C2208&amp;"|"&amp;(H2208-1),$I$2:$I$3001,0))))</f>
        <v/>
      </c>
      <c r="K2208" s="6">
        <f>IF(C2208="","",IF(M2208&gt;0,M2208,IF(AND(E2208&gt;0,ROUND(J2208+D2208-E2208,2)&gt;0,ROUND(J2208+D2208-E2208,2)&lt;'Opening Balance'!$B$14),ROUND(J2208+D2208-E2208,2),0)))</f>
        <v/>
      </c>
      <c r="L2208" s="6">
        <f>IF(C2208="","",ROUND(J2208+D2208-E2208-K2208,2))</f>
        <v/>
      </c>
      <c r="M2208" s="6">
        <f>IF(C2208="","",0)</f>
        <v/>
      </c>
    </row>
    <row r="2209">
      <c r="A2209" t="inlineStr">
        <is>
          <t>Bank 银行</t>
        </is>
      </c>
      <c r="B2209" s="5">
        <f>IF(AND('Daily Sale entry '!Z709="Online collection 网上收款",'Daily Sale entry '!AA709&lt;&gt;""),'Daily Sale entry '!X709,"")</f>
        <v/>
      </c>
      <c r="C2209">
        <f>IF(B2209="","",'Daily Sale entry '!AA709)</f>
        <v/>
      </c>
      <c r="D2209">
        <f>IF(C2209="","",0)</f>
        <v/>
      </c>
      <c r="E2209">
        <f>IF(C2209="","",'Daily Sale entry '!AC709)</f>
        <v/>
      </c>
      <c r="F2209" s="37">
        <f>IF(C2209="","",B2209+IF(E2209&gt;0,0,0.5)+ROW()/10000000)</f>
        <v/>
      </c>
      <c r="G2209">
        <f>IF(C2209="","","Collection 收款 (Online 网上)"&amp;IF('Daily Sale entry '!Y709="",""," - "&amp;'Daily Sale entry '!Y709))</f>
        <v/>
      </c>
      <c r="H2209">
        <f>IF(C2209="","",COUNTIFS($C$2:$C$3001,C2209,$F$2:$F$3001,"&lt;"&amp;F2209)+1)</f>
        <v/>
      </c>
      <c r="I2209">
        <f>IF(C2209="","",C2209&amp;"|"&amp;H2209)</f>
        <v/>
      </c>
      <c r="J2209" s="6">
        <f>IF(C2209="","",IF(H2209=1,SUMIFS('Opening Balance'!$F$4:$F$303,'Opening Balance'!$G$4:$G$303,C2209),INDEX($L$2:$L$3001,MATCH(C2209&amp;"|"&amp;(H2209-1),$I$2:$I$3001,0))))</f>
        <v/>
      </c>
      <c r="K2209" s="6">
        <f>IF(C2209="","",IF(M2209&gt;0,M2209,IF(AND(E2209&gt;0,ROUND(J2209+D2209-E2209,2)&gt;0,ROUND(J2209+D2209-E2209,2)&lt;'Opening Balance'!$B$14),ROUND(J2209+D2209-E2209,2),0)))</f>
        <v/>
      </c>
      <c r="L2209" s="6">
        <f>IF(C2209="","",ROUND(J2209+D2209-E2209-K2209,2))</f>
        <v/>
      </c>
      <c r="M2209" s="6">
        <f>IF(C2209="","",0)</f>
        <v/>
      </c>
    </row>
    <row r="2210">
      <c r="A2210" t="inlineStr">
        <is>
          <t>Bank 银行</t>
        </is>
      </c>
      <c r="B2210" s="5">
        <f>IF(AND('Daily Sale entry '!Z710="Online collection 网上收款",'Daily Sale entry '!AA710&lt;&gt;""),'Daily Sale entry '!X710,"")</f>
        <v/>
      </c>
      <c r="C2210">
        <f>IF(B2210="","",'Daily Sale entry '!AA710)</f>
        <v/>
      </c>
      <c r="D2210">
        <f>IF(C2210="","",0)</f>
        <v/>
      </c>
      <c r="E2210">
        <f>IF(C2210="","",'Daily Sale entry '!AC710)</f>
        <v/>
      </c>
      <c r="F2210" s="37">
        <f>IF(C2210="","",B2210+IF(E2210&gt;0,0,0.5)+ROW()/10000000)</f>
        <v/>
      </c>
      <c r="G2210">
        <f>IF(C2210="","","Collection 收款 (Online 网上)"&amp;IF('Daily Sale entry '!Y710="",""," - "&amp;'Daily Sale entry '!Y710))</f>
        <v/>
      </c>
      <c r="H2210">
        <f>IF(C2210="","",COUNTIFS($C$2:$C$3001,C2210,$F$2:$F$3001,"&lt;"&amp;F2210)+1)</f>
        <v/>
      </c>
      <c r="I2210">
        <f>IF(C2210="","",C2210&amp;"|"&amp;H2210)</f>
        <v/>
      </c>
      <c r="J2210" s="6">
        <f>IF(C2210="","",IF(H2210=1,SUMIFS('Opening Balance'!$F$4:$F$303,'Opening Balance'!$G$4:$G$303,C2210),INDEX($L$2:$L$3001,MATCH(C2210&amp;"|"&amp;(H2210-1),$I$2:$I$3001,0))))</f>
        <v/>
      </c>
      <c r="K2210" s="6">
        <f>IF(C2210="","",IF(M2210&gt;0,M2210,IF(AND(E2210&gt;0,ROUND(J2210+D2210-E2210,2)&gt;0,ROUND(J2210+D2210-E2210,2)&lt;'Opening Balance'!$B$14),ROUND(J2210+D2210-E2210,2),0)))</f>
        <v/>
      </c>
      <c r="L2210" s="6">
        <f>IF(C2210="","",ROUND(J2210+D2210-E2210-K2210,2))</f>
        <v/>
      </c>
      <c r="M2210" s="6">
        <f>IF(C2210="","",0)</f>
        <v/>
      </c>
    </row>
    <row r="2211">
      <c r="A2211" t="inlineStr">
        <is>
          <t>Bank 银行</t>
        </is>
      </c>
      <c r="B2211" s="5">
        <f>IF(AND('Daily Sale entry '!Z711="Online collection 网上收款",'Daily Sale entry '!AA711&lt;&gt;""),'Daily Sale entry '!X711,"")</f>
        <v/>
      </c>
      <c r="C2211">
        <f>IF(B2211="","",'Daily Sale entry '!AA711)</f>
        <v/>
      </c>
      <c r="D2211">
        <f>IF(C2211="","",0)</f>
        <v/>
      </c>
      <c r="E2211">
        <f>IF(C2211="","",'Daily Sale entry '!AC711)</f>
        <v/>
      </c>
      <c r="F2211" s="37">
        <f>IF(C2211="","",B2211+IF(E2211&gt;0,0,0.5)+ROW()/10000000)</f>
        <v/>
      </c>
      <c r="G2211">
        <f>IF(C2211="","","Collection 收款 (Online 网上)"&amp;IF('Daily Sale entry '!Y711="",""," - "&amp;'Daily Sale entry '!Y711))</f>
        <v/>
      </c>
      <c r="H2211">
        <f>IF(C2211="","",COUNTIFS($C$2:$C$3001,C2211,$F$2:$F$3001,"&lt;"&amp;F2211)+1)</f>
        <v/>
      </c>
      <c r="I2211">
        <f>IF(C2211="","",C2211&amp;"|"&amp;H2211)</f>
        <v/>
      </c>
      <c r="J2211" s="6">
        <f>IF(C2211="","",IF(H2211=1,SUMIFS('Opening Balance'!$F$4:$F$303,'Opening Balance'!$G$4:$G$303,C2211),INDEX($L$2:$L$3001,MATCH(C2211&amp;"|"&amp;(H2211-1),$I$2:$I$3001,0))))</f>
        <v/>
      </c>
      <c r="K2211" s="6">
        <f>IF(C2211="","",IF(M2211&gt;0,M2211,IF(AND(E2211&gt;0,ROUND(J2211+D2211-E2211,2)&gt;0,ROUND(J2211+D2211-E2211,2)&lt;'Opening Balance'!$B$14),ROUND(J2211+D2211-E2211,2),0)))</f>
        <v/>
      </c>
      <c r="L2211" s="6">
        <f>IF(C2211="","",ROUND(J2211+D2211-E2211-K2211,2))</f>
        <v/>
      </c>
      <c r="M2211" s="6">
        <f>IF(C2211="","",0)</f>
        <v/>
      </c>
    </row>
    <row r="2212">
      <c r="A2212" t="inlineStr">
        <is>
          <t>Bank 银行</t>
        </is>
      </c>
      <c r="B2212" s="5">
        <f>IF(AND('Daily Sale entry '!Z712="Online collection 网上收款",'Daily Sale entry '!AA712&lt;&gt;""),'Daily Sale entry '!X712,"")</f>
        <v/>
      </c>
      <c r="C2212">
        <f>IF(B2212="","",'Daily Sale entry '!AA712)</f>
        <v/>
      </c>
      <c r="D2212">
        <f>IF(C2212="","",0)</f>
        <v/>
      </c>
      <c r="E2212">
        <f>IF(C2212="","",'Daily Sale entry '!AC712)</f>
        <v/>
      </c>
      <c r="F2212" s="37">
        <f>IF(C2212="","",B2212+IF(E2212&gt;0,0,0.5)+ROW()/10000000)</f>
        <v/>
      </c>
      <c r="G2212">
        <f>IF(C2212="","","Collection 收款 (Online 网上)"&amp;IF('Daily Sale entry '!Y712="",""," - "&amp;'Daily Sale entry '!Y712))</f>
        <v/>
      </c>
      <c r="H2212">
        <f>IF(C2212="","",COUNTIFS($C$2:$C$3001,C2212,$F$2:$F$3001,"&lt;"&amp;F2212)+1)</f>
        <v/>
      </c>
      <c r="I2212">
        <f>IF(C2212="","",C2212&amp;"|"&amp;H2212)</f>
        <v/>
      </c>
      <c r="J2212" s="6">
        <f>IF(C2212="","",IF(H2212=1,SUMIFS('Opening Balance'!$F$4:$F$303,'Opening Balance'!$G$4:$G$303,C2212),INDEX($L$2:$L$3001,MATCH(C2212&amp;"|"&amp;(H2212-1),$I$2:$I$3001,0))))</f>
        <v/>
      </c>
      <c r="K2212" s="6">
        <f>IF(C2212="","",IF(M2212&gt;0,M2212,IF(AND(E2212&gt;0,ROUND(J2212+D2212-E2212,2)&gt;0,ROUND(J2212+D2212-E2212,2)&lt;'Opening Balance'!$B$14),ROUND(J2212+D2212-E2212,2),0)))</f>
        <v/>
      </c>
      <c r="L2212" s="6">
        <f>IF(C2212="","",ROUND(J2212+D2212-E2212-K2212,2))</f>
        <v/>
      </c>
      <c r="M2212" s="6">
        <f>IF(C2212="","",0)</f>
        <v/>
      </c>
    </row>
    <row r="2213">
      <c r="A2213" t="inlineStr">
        <is>
          <t>Bank 银行</t>
        </is>
      </c>
      <c r="B2213" s="5">
        <f>IF(AND('Daily Sale entry '!Z713="Online collection 网上收款",'Daily Sale entry '!AA713&lt;&gt;""),'Daily Sale entry '!X713,"")</f>
        <v/>
      </c>
      <c r="C2213">
        <f>IF(B2213="","",'Daily Sale entry '!AA713)</f>
        <v/>
      </c>
      <c r="D2213">
        <f>IF(C2213="","",0)</f>
        <v/>
      </c>
      <c r="E2213">
        <f>IF(C2213="","",'Daily Sale entry '!AC713)</f>
        <v/>
      </c>
      <c r="F2213" s="37">
        <f>IF(C2213="","",B2213+IF(E2213&gt;0,0,0.5)+ROW()/10000000)</f>
        <v/>
      </c>
      <c r="G2213">
        <f>IF(C2213="","","Collection 收款 (Online 网上)"&amp;IF('Daily Sale entry '!Y713="",""," - "&amp;'Daily Sale entry '!Y713))</f>
        <v/>
      </c>
      <c r="H2213">
        <f>IF(C2213="","",COUNTIFS($C$2:$C$3001,C2213,$F$2:$F$3001,"&lt;"&amp;F2213)+1)</f>
        <v/>
      </c>
      <c r="I2213">
        <f>IF(C2213="","",C2213&amp;"|"&amp;H2213)</f>
        <v/>
      </c>
      <c r="J2213" s="6">
        <f>IF(C2213="","",IF(H2213=1,SUMIFS('Opening Balance'!$F$4:$F$303,'Opening Balance'!$G$4:$G$303,C2213),INDEX($L$2:$L$3001,MATCH(C2213&amp;"|"&amp;(H2213-1),$I$2:$I$3001,0))))</f>
        <v/>
      </c>
      <c r="K2213" s="6">
        <f>IF(C2213="","",IF(M2213&gt;0,M2213,IF(AND(E2213&gt;0,ROUND(J2213+D2213-E2213,2)&gt;0,ROUND(J2213+D2213-E2213,2)&lt;'Opening Balance'!$B$14),ROUND(J2213+D2213-E2213,2),0)))</f>
        <v/>
      </c>
      <c r="L2213" s="6">
        <f>IF(C2213="","",ROUND(J2213+D2213-E2213-K2213,2))</f>
        <v/>
      </c>
      <c r="M2213" s="6">
        <f>IF(C2213="","",0)</f>
        <v/>
      </c>
    </row>
    <row r="2214">
      <c r="A2214" t="inlineStr">
        <is>
          <t>Bank 银行</t>
        </is>
      </c>
      <c r="B2214" s="5">
        <f>IF(AND('Daily Sale entry '!Z714="Online collection 网上收款",'Daily Sale entry '!AA714&lt;&gt;""),'Daily Sale entry '!X714,"")</f>
        <v/>
      </c>
      <c r="C2214">
        <f>IF(B2214="","",'Daily Sale entry '!AA714)</f>
        <v/>
      </c>
      <c r="D2214">
        <f>IF(C2214="","",0)</f>
        <v/>
      </c>
      <c r="E2214">
        <f>IF(C2214="","",'Daily Sale entry '!AC714)</f>
        <v/>
      </c>
      <c r="F2214" s="37">
        <f>IF(C2214="","",B2214+IF(E2214&gt;0,0,0.5)+ROW()/10000000)</f>
        <v/>
      </c>
      <c r="G2214">
        <f>IF(C2214="","","Collection 收款 (Online 网上)"&amp;IF('Daily Sale entry '!Y714="",""," - "&amp;'Daily Sale entry '!Y714))</f>
        <v/>
      </c>
      <c r="H2214">
        <f>IF(C2214="","",COUNTIFS($C$2:$C$3001,C2214,$F$2:$F$3001,"&lt;"&amp;F2214)+1)</f>
        <v/>
      </c>
      <c r="I2214">
        <f>IF(C2214="","",C2214&amp;"|"&amp;H2214)</f>
        <v/>
      </c>
      <c r="J2214" s="6">
        <f>IF(C2214="","",IF(H2214=1,SUMIFS('Opening Balance'!$F$4:$F$303,'Opening Balance'!$G$4:$G$303,C2214),INDEX($L$2:$L$3001,MATCH(C2214&amp;"|"&amp;(H2214-1),$I$2:$I$3001,0))))</f>
        <v/>
      </c>
      <c r="K2214" s="6">
        <f>IF(C2214="","",IF(M2214&gt;0,M2214,IF(AND(E2214&gt;0,ROUND(J2214+D2214-E2214,2)&gt;0,ROUND(J2214+D2214-E2214,2)&lt;'Opening Balance'!$B$14),ROUND(J2214+D2214-E2214,2),0)))</f>
        <v/>
      </c>
      <c r="L2214" s="6">
        <f>IF(C2214="","",ROUND(J2214+D2214-E2214-K2214,2))</f>
        <v/>
      </c>
      <c r="M2214" s="6">
        <f>IF(C2214="","",0)</f>
        <v/>
      </c>
    </row>
    <row r="2215">
      <c r="A2215" t="inlineStr">
        <is>
          <t>Bank 银行</t>
        </is>
      </c>
      <c r="B2215" s="5">
        <f>IF(AND('Daily Sale entry '!Z715="Online collection 网上收款",'Daily Sale entry '!AA715&lt;&gt;""),'Daily Sale entry '!X715,"")</f>
        <v/>
      </c>
      <c r="C2215">
        <f>IF(B2215="","",'Daily Sale entry '!AA715)</f>
        <v/>
      </c>
      <c r="D2215">
        <f>IF(C2215="","",0)</f>
        <v/>
      </c>
      <c r="E2215">
        <f>IF(C2215="","",'Daily Sale entry '!AC715)</f>
        <v/>
      </c>
      <c r="F2215" s="37">
        <f>IF(C2215="","",B2215+IF(E2215&gt;0,0,0.5)+ROW()/10000000)</f>
        <v/>
      </c>
      <c r="G2215">
        <f>IF(C2215="","","Collection 收款 (Online 网上)"&amp;IF('Daily Sale entry '!Y715="",""," - "&amp;'Daily Sale entry '!Y715))</f>
        <v/>
      </c>
      <c r="H2215">
        <f>IF(C2215="","",COUNTIFS($C$2:$C$3001,C2215,$F$2:$F$3001,"&lt;"&amp;F2215)+1)</f>
        <v/>
      </c>
      <c r="I2215">
        <f>IF(C2215="","",C2215&amp;"|"&amp;H2215)</f>
        <v/>
      </c>
      <c r="J2215" s="6">
        <f>IF(C2215="","",IF(H2215=1,SUMIFS('Opening Balance'!$F$4:$F$303,'Opening Balance'!$G$4:$G$303,C2215),INDEX($L$2:$L$3001,MATCH(C2215&amp;"|"&amp;(H2215-1),$I$2:$I$3001,0))))</f>
        <v/>
      </c>
      <c r="K2215" s="6">
        <f>IF(C2215="","",IF(M2215&gt;0,M2215,IF(AND(E2215&gt;0,ROUND(J2215+D2215-E2215,2)&gt;0,ROUND(J2215+D2215-E2215,2)&lt;'Opening Balance'!$B$14),ROUND(J2215+D2215-E2215,2),0)))</f>
        <v/>
      </c>
      <c r="L2215" s="6">
        <f>IF(C2215="","",ROUND(J2215+D2215-E2215-K2215,2))</f>
        <v/>
      </c>
      <c r="M2215" s="6">
        <f>IF(C2215="","",0)</f>
        <v/>
      </c>
    </row>
    <row r="2216">
      <c r="A2216" t="inlineStr">
        <is>
          <t>Bank 银行</t>
        </is>
      </c>
      <c r="B2216" s="5">
        <f>IF(AND('Daily Sale entry '!Z716="Online collection 网上收款",'Daily Sale entry '!AA716&lt;&gt;""),'Daily Sale entry '!X716,"")</f>
        <v/>
      </c>
      <c r="C2216">
        <f>IF(B2216="","",'Daily Sale entry '!AA716)</f>
        <v/>
      </c>
      <c r="D2216">
        <f>IF(C2216="","",0)</f>
        <v/>
      </c>
      <c r="E2216">
        <f>IF(C2216="","",'Daily Sale entry '!AC716)</f>
        <v/>
      </c>
      <c r="F2216" s="37">
        <f>IF(C2216="","",B2216+IF(E2216&gt;0,0,0.5)+ROW()/10000000)</f>
        <v/>
      </c>
      <c r="G2216">
        <f>IF(C2216="","","Collection 收款 (Online 网上)"&amp;IF('Daily Sale entry '!Y716="",""," - "&amp;'Daily Sale entry '!Y716))</f>
        <v/>
      </c>
      <c r="H2216">
        <f>IF(C2216="","",COUNTIFS($C$2:$C$3001,C2216,$F$2:$F$3001,"&lt;"&amp;F2216)+1)</f>
        <v/>
      </c>
      <c r="I2216">
        <f>IF(C2216="","",C2216&amp;"|"&amp;H2216)</f>
        <v/>
      </c>
      <c r="J2216" s="6">
        <f>IF(C2216="","",IF(H2216=1,SUMIFS('Opening Balance'!$F$4:$F$303,'Opening Balance'!$G$4:$G$303,C2216),INDEX($L$2:$L$3001,MATCH(C2216&amp;"|"&amp;(H2216-1),$I$2:$I$3001,0))))</f>
        <v/>
      </c>
      <c r="K2216" s="6">
        <f>IF(C2216="","",IF(M2216&gt;0,M2216,IF(AND(E2216&gt;0,ROUND(J2216+D2216-E2216,2)&gt;0,ROUND(J2216+D2216-E2216,2)&lt;'Opening Balance'!$B$14),ROUND(J2216+D2216-E2216,2),0)))</f>
        <v/>
      </c>
      <c r="L2216" s="6">
        <f>IF(C2216="","",ROUND(J2216+D2216-E2216-K2216,2))</f>
        <v/>
      </c>
      <c r="M2216" s="6">
        <f>IF(C2216="","",0)</f>
        <v/>
      </c>
    </row>
    <row r="2217">
      <c r="A2217" t="inlineStr">
        <is>
          <t>Bank 银行</t>
        </is>
      </c>
      <c r="B2217" s="5">
        <f>IF(AND('Daily Sale entry '!Z717="Online collection 网上收款",'Daily Sale entry '!AA717&lt;&gt;""),'Daily Sale entry '!X717,"")</f>
        <v/>
      </c>
      <c r="C2217">
        <f>IF(B2217="","",'Daily Sale entry '!AA717)</f>
        <v/>
      </c>
      <c r="D2217">
        <f>IF(C2217="","",0)</f>
        <v/>
      </c>
      <c r="E2217">
        <f>IF(C2217="","",'Daily Sale entry '!AC717)</f>
        <v/>
      </c>
      <c r="F2217" s="37">
        <f>IF(C2217="","",B2217+IF(E2217&gt;0,0,0.5)+ROW()/10000000)</f>
        <v/>
      </c>
      <c r="G2217">
        <f>IF(C2217="","","Collection 收款 (Online 网上)"&amp;IF('Daily Sale entry '!Y717="",""," - "&amp;'Daily Sale entry '!Y717))</f>
        <v/>
      </c>
      <c r="H2217">
        <f>IF(C2217="","",COUNTIFS($C$2:$C$3001,C2217,$F$2:$F$3001,"&lt;"&amp;F2217)+1)</f>
        <v/>
      </c>
      <c r="I2217">
        <f>IF(C2217="","",C2217&amp;"|"&amp;H2217)</f>
        <v/>
      </c>
      <c r="J2217" s="6">
        <f>IF(C2217="","",IF(H2217=1,SUMIFS('Opening Balance'!$F$4:$F$303,'Opening Balance'!$G$4:$G$303,C2217),INDEX($L$2:$L$3001,MATCH(C2217&amp;"|"&amp;(H2217-1),$I$2:$I$3001,0))))</f>
        <v/>
      </c>
      <c r="K2217" s="6">
        <f>IF(C2217="","",IF(M2217&gt;0,M2217,IF(AND(E2217&gt;0,ROUND(J2217+D2217-E2217,2)&gt;0,ROUND(J2217+D2217-E2217,2)&lt;'Opening Balance'!$B$14),ROUND(J2217+D2217-E2217,2),0)))</f>
        <v/>
      </c>
      <c r="L2217" s="6">
        <f>IF(C2217="","",ROUND(J2217+D2217-E2217-K2217,2))</f>
        <v/>
      </c>
      <c r="M2217" s="6">
        <f>IF(C2217="","",0)</f>
        <v/>
      </c>
    </row>
    <row r="2218">
      <c r="A2218" t="inlineStr">
        <is>
          <t>Bank 银行</t>
        </is>
      </c>
      <c r="B2218" s="5">
        <f>IF(AND('Daily Sale entry '!Z718="Online collection 网上收款",'Daily Sale entry '!AA718&lt;&gt;""),'Daily Sale entry '!X718,"")</f>
        <v/>
      </c>
      <c r="C2218">
        <f>IF(B2218="","",'Daily Sale entry '!AA718)</f>
        <v/>
      </c>
      <c r="D2218">
        <f>IF(C2218="","",0)</f>
        <v/>
      </c>
      <c r="E2218">
        <f>IF(C2218="","",'Daily Sale entry '!AC718)</f>
        <v/>
      </c>
      <c r="F2218" s="37">
        <f>IF(C2218="","",B2218+IF(E2218&gt;0,0,0.5)+ROW()/10000000)</f>
        <v/>
      </c>
      <c r="G2218">
        <f>IF(C2218="","","Collection 收款 (Online 网上)"&amp;IF('Daily Sale entry '!Y718="",""," - "&amp;'Daily Sale entry '!Y718))</f>
        <v/>
      </c>
      <c r="H2218">
        <f>IF(C2218="","",COUNTIFS($C$2:$C$3001,C2218,$F$2:$F$3001,"&lt;"&amp;F2218)+1)</f>
        <v/>
      </c>
      <c r="I2218">
        <f>IF(C2218="","",C2218&amp;"|"&amp;H2218)</f>
        <v/>
      </c>
      <c r="J2218" s="6">
        <f>IF(C2218="","",IF(H2218=1,SUMIFS('Opening Balance'!$F$4:$F$303,'Opening Balance'!$G$4:$G$303,C2218),INDEX($L$2:$L$3001,MATCH(C2218&amp;"|"&amp;(H2218-1),$I$2:$I$3001,0))))</f>
        <v/>
      </c>
      <c r="K2218" s="6">
        <f>IF(C2218="","",IF(M2218&gt;0,M2218,IF(AND(E2218&gt;0,ROUND(J2218+D2218-E2218,2)&gt;0,ROUND(J2218+D2218-E2218,2)&lt;'Opening Balance'!$B$14),ROUND(J2218+D2218-E2218,2),0)))</f>
        <v/>
      </c>
      <c r="L2218" s="6">
        <f>IF(C2218="","",ROUND(J2218+D2218-E2218-K2218,2))</f>
        <v/>
      </c>
      <c r="M2218" s="6">
        <f>IF(C2218="","",0)</f>
        <v/>
      </c>
    </row>
    <row r="2219">
      <c r="A2219" t="inlineStr">
        <is>
          <t>Bank 银行</t>
        </is>
      </c>
      <c r="B2219" s="5">
        <f>IF(AND('Daily Sale entry '!Z719="Online collection 网上收款",'Daily Sale entry '!AA719&lt;&gt;""),'Daily Sale entry '!X719,"")</f>
        <v/>
      </c>
      <c r="C2219">
        <f>IF(B2219="","",'Daily Sale entry '!AA719)</f>
        <v/>
      </c>
      <c r="D2219">
        <f>IF(C2219="","",0)</f>
        <v/>
      </c>
      <c r="E2219">
        <f>IF(C2219="","",'Daily Sale entry '!AC719)</f>
        <v/>
      </c>
      <c r="F2219" s="37">
        <f>IF(C2219="","",B2219+IF(E2219&gt;0,0,0.5)+ROW()/10000000)</f>
        <v/>
      </c>
      <c r="G2219">
        <f>IF(C2219="","","Collection 收款 (Online 网上)"&amp;IF('Daily Sale entry '!Y719="",""," - "&amp;'Daily Sale entry '!Y719))</f>
        <v/>
      </c>
      <c r="H2219">
        <f>IF(C2219="","",COUNTIFS($C$2:$C$3001,C2219,$F$2:$F$3001,"&lt;"&amp;F2219)+1)</f>
        <v/>
      </c>
      <c r="I2219">
        <f>IF(C2219="","",C2219&amp;"|"&amp;H2219)</f>
        <v/>
      </c>
      <c r="J2219" s="6">
        <f>IF(C2219="","",IF(H2219=1,SUMIFS('Opening Balance'!$F$4:$F$303,'Opening Balance'!$G$4:$G$303,C2219),INDEX($L$2:$L$3001,MATCH(C2219&amp;"|"&amp;(H2219-1),$I$2:$I$3001,0))))</f>
        <v/>
      </c>
      <c r="K2219" s="6">
        <f>IF(C2219="","",IF(M2219&gt;0,M2219,IF(AND(E2219&gt;0,ROUND(J2219+D2219-E2219,2)&gt;0,ROUND(J2219+D2219-E2219,2)&lt;'Opening Balance'!$B$14),ROUND(J2219+D2219-E2219,2),0)))</f>
        <v/>
      </c>
      <c r="L2219" s="6">
        <f>IF(C2219="","",ROUND(J2219+D2219-E2219-K2219,2))</f>
        <v/>
      </c>
      <c r="M2219" s="6">
        <f>IF(C2219="","",0)</f>
        <v/>
      </c>
    </row>
    <row r="2220">
      <c r="A2220" t="inlineStr">
        <is>
          <t>Bank 银行</t>
        </is>
      </c>
      <c r="B2220" s="5">
        <f>IF(AND('Daily Sale entry '!Z720="Online collection 网上收款",'Daily Sale entry '!AA720&lt;&gt;""),'Daily Sale entry '!X720,"")</f>
        <v/>
      </c>
      <c r="C2220">
        <f>IF(B2220="","",'Daily Sale entry '!AA720)</f>
        <v/>
      </c>
      <c r="D2220">
        <f>IF(C2220="","",0)</f>
        <v/>
      </c>
      <c r="E2220">
        <f>IF(C2220="","",'Daily Sale entry '!AC720)</f>
        <v/>
      </c>
      <c r="F2220" s="37">
        <f>IF(C2220="","",B2220+IF(E2220&gt;0,0,0.5)+ROW()/10000000)</f>
        <v/>
      </c>
      <c r="G2220">
        <f>IF(C2220="","","Collection 收款 (Online 网上)"&amp;IF('Daily Sale entry '!Y720="",""," - "&amp;'Daily Sale entry '!Y720))</f>
        <v/>
      </c>
      <c r="H2220">
        <f>IF(C2220="","",COUNTIFS($C$2:$C$3001,C2220,$F$2:$F$3001,"&lt;"&amp;F2220)+1)</f>
        <v/>
      </c>
      <c r="I2220">
        <f>IF(C2220="","",C2220&amp;"|"&amp;H2220)</f>
        <v/>
      </c>
      <c r="J2220" s="6">
        <f>IF(C2220="","",IF(H2220=1,SUMIFS('Opening Balance'!$F$4:$F$303,'Opening Balance'!$G$4:$G$303,C2220),INDEX($L$2:$L$3001,MATCH(C2220&amp;"|"&amp;(H2220-1),$I$2:$I$3001,0))))</f>
        <v/>
      </c>
      <c r="K2220" s="6">
        <f>IF(C2220="","",IF(M2220&gt;0,M2220,IF(AND(E2220&gt;0,ROUND(J2220+D2220-E2220,2)&gt;0,ROUND(J2220+D2220-E2220,2)&lt;'Opening Balance'!$B$14),ROUND(J2220+D2220-E2220,2),0)))</f>
        <v/>
      </c>
      <c r="L2220" s="6">
        <f>IF(C2220="","",ROUND(J2220+D2220-E2220-K2220,2))</f>
        <v/>
      </c>
      <c r="M2220" s="6">
        <f>IF(C2220="","",0)</f>
        <v/>
      </c>
    </row>
    <row r="2221">
      <c r="A2221" t="inlineStr">
        <is>
          <t>Bank 银行</t>
        </is>
      </c>
      <c r="B2221" s="5">
        <f>IF(AND('Daily Sale entry '!Z721="Online collection 网上收款",'Daily Sale entry '!AA721&lt;&gt;""),'Daily Sale entry '!X721,"")</f>
        <v/>
      </c>
      <c r="C2221">
        <f>IF(B2221="","",'Daily Sale entry '!AA721)</f>
        <v/>
      </c>
      <c r="D2221">
        <f>IF(C2221="","",0)</f>
        <v/>
      </c>
      <c r="E2221">
        <f>IF(C2221="","",'Daily Sale entry '!AC721)</f>
        <v/>
      </c>
      <c r="F2221" s="37">
        <f>IF(C2221="","",B2221+IF(E2221&gt;0,0,0.5)+ROW()/10000000)</f>
        <v/>
      </c>
      <c r="G2221">
        <f>IF(C2221="","","Collection 收款 (Online 网上)"&amp;IF('Daily Sale entry '!Y721="",""," - "&amp;'Daily Sale entry '!Y721))</f>
        <v/>
      </c>
      <c r="H2221">
        <f>IF(C2221="","",COUNTIFS($C$2:$C$3001,C2221,$F$2:$F$3001,"&lt;"&amp;F2221)+1)</f>
        <v/>
      </c>
      <c r="I2221">
        <f>IF(C2221="","",C2221&amp;"|"&amp;H2221)</f>
        <v/>
      </c>
      <c r="J2221" s="6">
        <f>IF(C2221="","",IF(H2221=1,SUMIFS('Opening Balance'!$F$4:$F$303,'Opening Balance'!$G$4:$G$303,C2221),INDEX($L$2:$L$3001,MATCH(C2221&amp;"|"&amp;(H2221-1),$I$2:$I$3001,0))))</f>
        <v/>
      </c>
      <c r="K2221" s="6">
        <f>IF(C2221="","",IF(M2221&gt;0,M2221,IF(AND(E2221&gt;0,ROUND(J2221+D2221-E2221,2)&gt;0,ROUND(J2221+D2221-E2221,2)&lt;'Opening Balance'!$B$14),ROUND(J2221+D2221-E2221,2),0)))</f>
        <v/>
      </c>
      <c r="L2221" s="6">
        <f>IF(C2221="","",ROUND(J2221+D2221-E2221-K2221,2))</f>
        <v/>
      </c>
      <c r="M2221" s="6">
        <f>IF(C2221="","",0)</f>
        <v/>
      </c>
    </row>
    <row r="2222">
      <c r="A2222" t="inlineStr">
        <is>
          <t>Bank 银行</t>
        </is>
      </c>
      <c r="B2222" s="5">
        <f>IF(AND('Daily Sale entry '!Z722="Online collection 网上收款",'Daily Sale entry '!AA722&lt;&gt;""),'Daily Sale entry '!X722,"")</f>
        <v/>
      </c>
      <c r="C2222">
        <f>IF(B2222="","",'Daily Sale entry '!AA722)</f>
        <v/>
      </c>
      <c r="D2222">
        <f>IF(C2222="","",0)</f>
        <v/>
      </c>
      <c r="E2222">
        <f>IF(C2222="","",'Daily Sale entry '!AC722)</f>
        <v/>
      </c>
      <c r="F2222" s="37">
        <f>IF(C2222="","",B2222+IF(E2222&gt;0,0,0.5)+ROW()/10000000)</f>
        <v/>
      </c>
      <c r="G2222">
        <f>IF(C2222="","","Collection 收款 (Online 网上)"&amp;IF('Daily Sale entry '!Y722="",""," - "&amp;'Daily Sale entry '!Y722))</f>
        <v/>
      </c>
      <c r="H2222">
        <f>IF(C2222="","",COUNTIFS($C$2:$C$3001,C2222,$F$2:$F$3001,"&lt;"&amp;F2222)+1)</f>
        <v/>
      </c>
      <c r="I2222">
        <f>IF(C2222="","",C2222&amp;"|"&amp;H2222)</f>
        <v/>
      </c>
      <c r="J2222" s="6">
        <f>IF(C2222="","",IF(H2222=1,SUMIFS('Opening Balance'!$F$4:$F$303,'Opening Balance'!$G$4:$G$303,C2222),INDEX($L$2:$L$3001,MATCH(C2222&amp;"|"&amp;(H2222-1),$I$2:$I$3001,0))))</f>
        <v/>
      </c>
      <c r="K2222" s="6">
        <f>IF(C2222="","",IF(M2222&gt;0,M2222,IF(AND(E2222&gt;0,ROUND(J2222+D2222-E2222,2)&gt;0,ROUND(J2222+D2222-E2222,2)&lt;'Opening Balance'!$B$14),ROUND(J2222+D2222-E2222,2),0)))</f>
        <v/>
      </c>
      <c r="L2222" s="6">
        <f>IF(C2222="","",ROUND(J2222+D2222-E2222-K2222,2))</f>
        <v/>
      </c>
      <c r="M2222" s="6">
        <f>IF(C2222="","",0)</f>
        <v/>
      </c>
    </row>
    <row r="2223">
      <c r="A2223" t="inlineStr">
        <is>
          <t>Bank 银行</t>
        </is>
      </c>
      <c r="B2223" s="5">
        <f>IF(AND('Daily Sale entry '!Z723="Online collection 网上收款",'Daily Sale entry '!AA723&lt;&gt;""),'Daily Sale entry '!X723,"")</f>
        <v/>
      </c>
      <c r="C2223">
        <f>IF(B2223="","",'Daily Sale entry '!AA723)</f>
        <v/>
      </c>
      <c r="D2223">
        <f>IF(C2223="","",0)</f>
        <v/>
      </c>
      <c r="E2223">
        <f>IF(C2223="","",'Daily Sale entry '!AC723)</f>
        <v/>
      </c>
      <c r="F2223" s="37">
        <f>IF(C2223="","",B2223+IF(E2223&gt;0,0,0.5)+ROW()/10000000)</f>
        <v/>
      </c>
      <c r="G2223">
        <f>IF(C2223="","","Collection 收款 (Online 网上)"&amp;IF('Daily Sale entry '!Y723="",""," - "&amp;'Daily Sale entry '!Y723))</f>
        <v/>
      </c>
      <c r="H2223">
        <f>IF(C2223="","",COUNTIFS($C$2:$C$3001,C2223,$F$2:$F$3001,"&lt;"&amp;F2223)+1)</f>
        <v/>
      </c>
      <c r="I2223">
        <f>IF(C2223="","",C2223&amp;"|"&amp;H2223)</f>
        <v/>
      </c>
      <c r="J2223" s="6">
        <f>IF(C2223="","",IF(H2223=1,SUMIFS('Opening Balance'!$F$4:$F$303,'Opening Balance'!$G$4:$G$303,C2223),INDEX($L$2:$L$3001,MATCH(C2223&amp;"|"&amp;(H2223-1),$I$2:$I$3001,0))))</f>
        <v/>
      </c>
      <c r="K2223" s="6">
        <f>IF(C2223="","",IF(M2223&gt;0,M2223,IF(AND(E2223&gt;0,ROUND(J2223+D2223-E2223,2)&gt;0,ROUND(J2223+D2223-E2223,2)&lt;'Opening Balance'!$B$14),ROUND(J2223+D2223-E2223,2),0)))</f>
        <v/>
      </c>
      <c r="L2223" s="6">
        <f>IF(C2223="","",ROUND(J2223+D2223-E2223-K2223,2))</f>
        <v/>
      </c>
      <c r="M2223" s="6">
        <f>IF(C2223="","",0)</f>
        <v/>
      </c>
    </row>
    <row r="2224">
      <c r="A2224" t="inlineStr">
        <is>
          <t>Bank 银行</t>
        </is>
      </c>
      <c r="B2224" s="5">
        <f>IF(AND('Daily Sale entry '!Z724="Online collection 网上收款",'Daily Sale entry '!AA724&lt;&gt;""),'Daily Sale entry '!X724,"")</f>
        <v/>
      </c>
      <c r="C2224">
        <f>IF(B2224="","",'Daily Sale entry '!AA724)</f>
        <v/>
      </c>
      <c r="D2224">
        <f>IF(C2224="","",0)</f>
        <v/>
      </c>
      <c r="E2224">
        <f>IF(C2224="","",'Daily Sale entry '!AC724)</f>
        <v/>
      </c>
      <c r="F2224" s="37">
        <f>IF(C2224="","",B2224+IF(E2224&gt;0,0,0.5)+ROW()/10000000)</f>
        <v/>
      </c>
      <c r="G2224">
        <f>IF(C2224="","","Collection 收款 (Online 网上)"&amp;IF('Daily Sale entry '!Y724="",""," - "&amp;'Daily Sale entry '!Y724))</f>
        <v/>
      </c>
      <c r="H2224">
        <f>IF(C2224="","",COUNTIFS($C$2:$C$3001,C2224,$F$2:$F$3001,"&lt;"&amp;F2224)+1)</f>
        <v/>
      </c>
      <c r="I2224">
        <f>IF(C2224="","",C2224&amp;"|"&amp;H2224)</f>
        <v/>
      </c>
      <c r="J2224" s="6">
        <f>IF(C2224="","",IF(H2224=1,SUMIFS('Opening Balance'!$F$4:$F$303,'Opening Balance'!$G$4:$G$303,C2224),INDEX($L$2:$L$3001,MATCH(C2224&amp;"|"&amp;(H2224-1),$I$2:$I$3001,0))))</f>
        <v/>
      </c>
      <c r="K2224" s="6">
        <f>IF(C2224="","",IF(M2224&gt;0,M2224,IF(AND(E2224&gt;0,ROUND(J2224+D2224-E2224,2)&gt;0,ROUND(J2224+D2224-E2224,2)&lt;'Opening Balance'!$B$14),ROUND(J2224+D2224-E2224,2),0)))</f>
        <v/>
      </c>
      <c r="L2224" s="6">
        <f>IF(C2224="","",ROUND(J2224+D2224-E2224-K2224,2))</f>
        <v/>
      </c>
      <c r="M2224" s="6">
        <f>IF(C2224="","",0)</f>
        <v/>
      </c>
    </row>
    <row r="2225">
      <c r="A2225" t="inlineStr">
        <is>
          <t>Bank 银行</t>
        </is>
      </c>
      <c r="B2225" s="5">
        <f>IF(AND('Daily Sale entry '!Z725="Online collection 网上收款",'Daily Sale entry '!AA725&lt;&gt;""),'Daily Sale entry '!X725,"")</f>
        <v/>
      </c>
      <c r="C2225">
        <f>IF(B2225="","",'Daily Sale entry '!AA725)</f>
        <v/>
      </c>
      <c r="D2225">
        <f>IF(C2225="","",0)</f>
        <v/>
      </c>
      <c r="E2225">
        <f>IF(C2225="","",'Daily Sale entry '!AC725)</f>
        <v/>
      </c>
      <c r="F2225" s="37">
        <f>IF(C2225="","",B2225+IF(E2225&gt;0,0,0.5)+ROW()/10000000)</f>
        <v/>
      </c>
      <c r="G2225">
        <f>IF(C2225="","","Collection 收款 (Online 网上)"&amp;IF('Daily Sale entry '!Y725="",""," - "&amp;'Daily Sale entry '!Y725))</f>
        <v/>
      </c>
      <c r="H2225">
        <f>IF(C2225="","",COUNTIFS($C$2:$C$3001,C2225,$F$2:$F$3001,"&lt;"&amp;F2225)+1)</f>
        <v/>
      </c>
      <c r="I2225">
        <f>IF(C2225="","",C2225&amp;"|"&amp;H2225)</f>
        <v/>
      </c>
      <c r="J2225" s="6">
        <f>IF(C2225="","",IF(H2225=1,SUMIFS('Opening Balance'!$F$4:$F$303,'Opening Balance'!$G$4:$G$303,C2225),INDEX($L$2:$L$3001,MATCH(C2225&amp;"|"&amp;(H2225-1),$I$2:$I$3001,0))))</f>
        <v/>
      </c>
      <c r="K2225" s="6">
        <f>IF(C2225="","",IF(M2225&gt;0,M2225,IF(AND(E2225&gt;0,ROUND(J2225+D2225-E2225,2)&gt;0,ROUND(J2225+D2225-E2225,2)&lt;'Opening Balance'!$B$14),ROUND(J2225+D2225-E2225,2),0)))</f>
        <v/>
      </c>
      <c r="L2225" s="6">
        <f>IF(C2225="","",ROUND(J2225+D2225-E2225-K2225,2))</f>
        <v/>
      </c>
      <c r="M2225" s="6">
        <f>IF(C2225="","",0)</f>
        <v/>
      </c>
    </row>
    <row r="2226">
      <c r="A2226" t="inlineStr">
        <is>
          <t>Bank 银行</t>
        </is>
      </c>
      <c r="B2226" s="5">
        <f>IF(AND('Daily Sale entry '!Z726="Online collection 网上收款",'Daily Sale entry '!AA726&lt;&gt;""),'Daily Sale entry '!X726,"")</f>
        <v/>
      </c>
      <c r="C2226">
        <f>IF(B2226="","",'Daily Sale entry '!AA726)</f>
        <v/>
      </c>
      <c r="D2226">
        <f>IF(C2226="","",0)</f>
        <v/>
      </c>
      <c r="E2226">
        <f>IF(C2226="","",'Daily Sale entry '!AC726)</f>
        <v/>
      </c>
      <c r="F2226" s="37">
        <f>IF(C2226="","",B2226+IF(E2226&gt;0,0,0.5)+ROW()/10000000)</f>
        <v/>
      </c>
      <c r="G2226">
        <f>IF(C2226="","","Collection 收款 (Online 网上)"&amp;IF('Daily Sale entry '!Y726="",""," - "&amp;'Daily Sale entry '!Y726))</f>
        <v/>
      </c>
      <c r="H2226">
        <f>IF(C2226="","",COUNTIFS($C$2:$C$3001,C2226,$F$2:$F$3001,"&lt;"&amp;F2226)+1)</f>
        <v/>
      </c>
      <c r="I2226">
        <f>IF(C2226="","",C2226&amp;"|"&amp;H2226)</f>
        <v/>
      </c>
      <c r="J2226" s="6">
        <f>IF(C2226="","",IF(H2226=1,SUMIFS('Opening Balance'!$F$4:$F$303,'Opening Balance'!$G$4:$G$303,C2226),INDEX($L$2:$L$3001,MATCH(C2226&amp;"|"&amp;(H2226-1),$I$2:$I$3001,0))))</f>
        <v/>
      </c>
      <c r="K2226" s="6">
        <f>IF(C2226="","",IF(M2226&gt;0,M2226,IF(AND(E2226&gt;0,ROUND(J2226+D2226-E2226,2)&gt;0,ROUND(J2226+D2226-E2226,2)&lt;'Opening Balance'!$B$14),ROUND(J2226+D2226-E2226,2),0)))</f>
        <v/>
      </c>
      <c r="L2226" s="6">
        <f>IF(C2226="","",ROUND(J2226+D2226-E2226-K2226,2))</f>
        <v/>
      </c>
      <c r="M2226" s="6">
        <f>IF(C2226="","",0)</f>
        <v/>
      </c>
    </row>
    <row r="2227">
      <c r="A2227" t="inlineStr">
        <is>
          <t>Bank 银行</t>
        </is>
      </c>
      <c r="B2227" s="5">
        <f>IF(AND('Daily Sale entry '!Z727="Online collection 网上收款",'Daily Sale entry '!AA727&lt;&gt;""),'Daily Sale entry '!X727,"")</f>
        <v/>
      </c>
      <c r="C2227">
        <f>IF(B2227="","",'Daily Sale entry '!AA727)</f>
        <v/>
      </c>
      <c r="D2227">
        <f>IF(C2227="","",0)</f>
        <v/>
      </c>
      <c r="E2227">
        <f>IF(C2227="","",'Daily Sale entry '!AC727)</f>
        <v/>
      </c>
      <c r="F2227" s="37">
        <f>IF(C2227="","",B2227+IF(E2227&gt;0,0,0.5)+ROW()/10000000)</f>
        <v/>
      </c>
      <c r="G2227">
        <f>IF(C2227="","","Collection 收款 (Online 网上)"&amp;IF('Daily Sale entry '!Y727="",""," - "&amp;'Daily Sale entry '!Y727))</f>
        <v/>
      </c>
      <c r="H2227">
        <f>IF(C2227="","",COUNTIFS($C$2:$C$3001,C2227,$F$2:$F$3001,"&lt;"&amp;F2227)+1)</f>
        <v/>
      </c>
      <c r="I2227">
        <f>IF(C2227="","",C2227&amp;"|"&amp;H2227)</f>
        <v/>
      </c>
      <c r="J2227" s="6">
        <f>IF(C2227="","",IF(H2227=1,SUMIFS('Opening Balance'!$F$4:$F$303,'Opening Balance'!$G$4:$G$303,C2227),INDEX($L$2:$L$3001,MATCH(C2227&amp;"|"&amp;(H2227-1),$I$2:$I$3001,0))))</f>
        <v/>
      </c>
      <c r="K2227" s="6">
        <f>IF(C2227="","",IF(M2227&gt;0,M2227,IF(AND(E2227&gt;0,ROUND(J2227+D2227-E2227,2)&gt;0,ROUND(J2227+D2227-E2227,2)&lt;'Opening Balance'!$B$14),ROUND(J2227+D2227-E2227,2),0)))</f>
        <v/>
      </c>
      <c r="L2227" s="6">
        <f>IF(C2227="","",ROUND(J2227+D2227-E2227-K2227,2))</f>
        <v/>
      </c>
      <c r="M2227" s="6">
        <f>IF(C2227="","",0)</f>
        <v/>
      </c>
    </row>
    <row r="2228">
      <c r="A2228" t="inlineStr">
        <is>
          <t>Bank 银行</t>
        </is>
      </c>
      <c r="B2228" s="5">
        <f>IF(AND('Daily Sale entry '!Z728="Online collection 网上收款",'Daily Sale entry '!AA728&lt;&gt;""),'Daily Sale entry '!X728,"")</f>
        <v/>
      </c>
      <c r="C2228">
        <f>IF(B2228="","",'Daily Sale entry '!AA728)</f>
        <v/>
      </c>
      <c r="D2228">
        <f>IF(C2228="","",0)</f>
        <v/>
      </c>
      <c r="E2228">
        <f>IF(C2228="","",'Daily Sale entry '!AC728)</f>
        <v/>
      </c>
      <c r="F2228" s="37">
        <f>IF(C2228="","",B2228+IF(E2228&gt;0,0,0.5)+ROW()/10000000)</f>
        <v/>
      </c>
      <c r="G2228">
        <f>IF(C2228="","","Collection 收款 (Online 网上)"&amp;IF('Daily Sale entry '!Y728="",""," - "&amp;'Daily Sale entry '!Y728))</f>
        <v/>
      </c>
      <c r="H2228">
        <f>IF(C2228="","",COUNTIFS($C$2:$C$3001,C2228,$F$2:$F$3001,"&lt;"&amp;F2228)+1)</f>
        <v/>
      </c>
      <c r="I2228">
        <f>IF(C2228="","",C2228&amp;"|"&amp;H2228)</f>
        <v/>
      </c>
      <c r="J2228" s="6">
        <f>IF(C2228="","",IF(H2228=1,SUMIFS('Opening Balance'!$F$4:$F$303,'Opening Balance'!$G$4:$G$303,C2228),INDEX($L$2:$L$3001,MATCH(C2228&amp;"|"&amp;(H2228-1),$I$2:$I$3001,0))))</f>
        <v/>
      </c>
      <c r="K2228" s="6">
        <f>IF(C2228="","",IF(M2228&gt;0,M2228,IF(AND(E2228&gt;0,ROUND(J2228+D2228-E2228,2)&gt;0,ROUND(J2228+D2228-E2228,2)&lt;'Opening Balance'!$B$14),ROUND(J2228+D2228-E2228,2),0)))</f>
        <v/>
      </c>
      <c r="L2228" s="6">
        <f>IF(C2228="","",ROUND(J2228+D2228-E2228-K2228,2))</f>
        <v/>
      </c>
      <c r="M2228" s="6">
        <f>IF(C2228="","",0)</f>
        <v/>
      </c>
    </row>
    <row r="2229">
      <c r="A2229" t="inlineStr">
        <is>
          <t>Bank 银行</t>
        </is>
      </c>
      <c r="B2229" s="5">
        <f>IF(AND('Daily Sale entry '!Z729="Online collection 网上收款",'Daily Sale entry '!AA729&lt;&gt;""),'Daily Sale entry '!X729,"")</f>
        <v/>
      </c>
      <c r="C2229">
        <f>IF(B2229="","",'Daily Sale entry '!AA729)</f>
        <v/>
      </c>
      <c r="D2229">
        <f>IF(C2229="","",0)</f>
        <v/>
      </c>
      <c r="E2229">
        <f>IF(C2229="","",'Daily Sale entry '!AC729)</f>
        <v/>
      </c>
      <c r="F2229" s="37">
        <f>IF(C2229="","",B2229+IF(E2229&gt;0,0,0.5)+ROW()/10000000)</f>
        <v/>
      </c>
      <c r="G2229">
        <f>IF(C2229="","","Collection 收款 (Online 网上)"&amp;IF('Daily Sale entry '!Y729="",""," - "&amp;'Daily Sale entry '!Y729))</f>
        <v/>
      </c>
      <c r="H2229">
        <f>IF(C2229="","",COUNTIFS($C$2:$C$3001,C2229,$F$2:$F$3001,"&lt;"&amp;F2229)+1)</f>
        <v/>
      </c>
      <c r="I2229">
        <f>IF(C2229="","",C2229&amp;"|"&amp;H2229)</f>
        <v/>
      </c>
      <c r="J2229" s="6">
        <f>IF(C2229="","",IF(H2229=1,SUMIFS('Opening Balance'!$F$4:$F$303,'Opening Balance'!$G$4:$G$303,C2229),INDEX($L$2:$L$3001,MATCH(C2229&amp;"|"&amp;(H2229-1),$I$2:$I$3001,0))))</f>
        <v/>
      </c>
      <c r="K2229" s="6">
        <f>IF(C2229="","",IF(M2229&gt;0,M2229,IF(AND(E2229&gt;0,ROUND(J2229+D2229-E2229,2)&gt;0,ROUND(J2229+D2229-E2229,2)&lt;'Opening Balance'!$B$14),ROUND(J2229+D2229-E2229,2),0)))</f>
        <v/>
      </c>
      <c r="L2229" s="6">
        <f>IF(C2229="","",ROUND(J2229+D2229-E2229-K2229,2))</f>
        <v/>
      </c>
      <c r="M2229" s="6">
        <f>IF(C2229="","",0)</f>
        <v/>
      </c>
    </row>
    <row r="2230">
      <c r="A2230" t="inlineStr">
        <is>
          <t>Bank 银行</t>
        </is>
      </c>
      <c r="B2230" s="5">
        <f>IF(AND('Daily Sale entry '!Z730="Online collection 网上收款",'Daily Sale entry '!AA730&lt;&gt;""),'Daily Sale entry '!X730,"")</f>
        <v/>
      </c>
      <c r="C2230">
        <f>IF(B2230="","",'Daily Sale entry '!AA730)</f>
        <v/>
      </c>
      <c r="D2230">
        <f>IF(C2230="","",0)</f>
        <v/>
      </c>
      <c r="E2230">
        <f>IF(C2230="","",'Daily Sale entry '!AC730)</f>
        <v/>
      </c>
      <c r="F2230" s="37">
        <f>IF(C2230="","",B2230+IF(E2230&gt;0,0,0.5)+ROW()/10000000)</f>
        <v/>
      </c>
      <c r="G2230">
        <f>IF(C2230="","","Collection 收款 (Online 网上)"&amp;IF('Daily Sale entry '!Y730="",""," - "&amp;'Daily Sale entry '!Y730))</f>
        <v/>
      </c>
      <c r="H2230">
        <f>IF(C2230="","",COUNTIFS($C$2:$C$3001,C2230,$F$2:$F$3001,"&lt;"&amp;F2230)+1)</f>
        <v/>
      </c>
      <c r="I2230">
        <f>IF(C2230="","",C2230&amp;"|"&amp;H2230)</f>
        <v/>
      </c>
      <c r="J2230" s="6">
        <f>IF(C2230="","",IF(H2230=1,SUMIFS('Opening Balance'!$F$4:$F$303,'Opening Balance'!$G$4:$G$303,C2230),INDEX($L$2:$L$3001,MATCH(C2230&amp;"|"&amp;(H2230-1),$I$2:$I$3001,0))))</f>
        <v/>
      </c>
      <c r="K2230" s="6">
        <f>IF(C2230="","",IF(M2230&gt;0,M2230,IF(AND(E2230&gt;0,ROUND(J2230+D2230-E2230,2)&gt;0,ROUND(J2230+D2230-E2230,2)&lt;'Opening Balance'!$B$14),ROUND(J2230+D2230-E2230,2),0)))</f>
        <v/>
      </c>
      <c r="L2230" s="6">
        <f>IF(C2230="","",ROUND(J2230+D2230-E2230-K2230,2))</f>
        <v/>
      </c>
      <c r="M2230" s="6">
        <f>IF(C2230="","",0)</f>
        <v/>
      </c>
    </row>
    <row r="2231">
      <c r="A2231" t="inlineStr">
        <is>
          <t>Bank 银行</t>
        </is>
      </c>
      <c r="B2231" s="5">
        <f>IF(AND('Daily Sale entry '!Z731="Online collection 网上收款",'Daily Sale entry '!AA731&lt;&gt;""),'Daily Sale entry '!X731,"")</f>
        <v/>
      </c>
      <c r="C2231">
        <f>IF(B2231="","",'Daily Sale entry '!AA731)</f>
        <v/>
      </c>
      <c r="D2231">
        <f>IF(C2231="","",0)</f>
        <v/>
      </c>
      <c r="E2231">
        <f>IF(C2231="","",'Daily Sale entry '!AC731)</f>
        <v/>
      </c>
      <c r="F2231" s="37">
        <f>IF(C2231="","",B2231+IF(E2231&gt;0,0,0.5)+ROW()/10000000)</f>
        <v/>
      </c>
      <c r="G2231">
        <f>IF(C2231="","","Collection 收款 (Online 网上)"&amp;IF('Daily Sale entry '!Y731="",""," - "&amp;'Daily Sale entry '!Y731))</f>
        <v/>
      </c>
      <c r="H2231">
        <f>IF(C2231="","",COUNTIFS($C$2:$C$3001,C2231,$F$2:$F$3001,"&lt;"&amp;F2231)+1)</f>
        <v/>
      </c>
      <c r="I2231">
        <f>IF(C2231="","",C2231&amp;"|"&amp;H2231)</f>
        <v/>
      </c>
      <c r="J2231" s="6">
        <f>IF(C2231="","",IF(H2231=1,SUMIFS('Opening Balance'!$F$4:$F$303,'Opening Balance'!$G$4:$G$303,C2231),INDEX($L$2:$L$3001,MATCH(C2231&amp;"|"&amp;(H2231-1),$I$2:$I$3001,0))))</f>
        <v/>
      </c>
      <c r="K2231" s="6">
        <f>IF(C2231="","",IF(M2231&gt;0,M2231,IF(AND(E2231&gt;0,ROUND(J2231+D2231-E2231,2)&gt;0,ROUND(J2231+D2231-E2231,2)&lt;'Opening Balance'!$B$14),ROUND(J2231+D2231-E2231,2),0)))</f>
        <v/>
      </c>
      <c r="L2231" s="6">
        <f>IF(C2231="","",ROUND(J2231+D2231-E2231-K2231,2))</f>
        <v/>
      </c>
      <c r="M2231" s="6">
        <f>IF(C2231="","",0)</f>
        <v/>
      </c>
    </row>
    <row r="2232">
      <c r="A2232" t="inlineStr">
        <is>
          <t>Bank 银行</t>
        </is>
      </c>
      <c r="B2232" s="5">
        <f>IF(AND('Daily Sale entry '!Z732="Online collection 网上收款",'Daily Sale entry '!AA732&lt;&gt;""),'Daily Sale entry '!X732,"")</f>
        <v/>
      </c>
      <c r="C2232">
        <f>IF(B2232="","",'Daily Sale entry '!AA732)</f>
        <v/>
      </c>
      <c r="D2232">
        <f>IF(C2232="","",0)</f>
        <v/>
      </c>
      <c r="E2232">
        <f>IF(C2232="","",'Daily Sale entry '!AC732)</f>
        <v/>
      </c>
      <c r="F2232" s="37">
        <f>IF(C2232="","",B2232+IF(E2232&gt;0,0,0.5)+ROW()/10000000)</f>
        <v/>
      </c>
      <c r="G2232">
        <f>IF(C2232="","","Collection 收款 (Online 网上)"&amp;IF('Daily Sale entry '!Y732="",""," - "&amp;'Daily Sale entry '!Y732))</f>
        <v/>
      </c>
      <c r="H2232">
        <f>IF(C2232="","",COUNTIFS($C$2:$C$3001,C2232,$F$2:$F$3001,"&lt;"&amp;F2232)+1)</f>
        <v/>
      </c>
      <c r="I2232">
        <f>IF(C2232="","",C2232&amp;"|"&amp;H2232)</f>
        <v/>
      </c>
      <c r="J2232" s="6">
        <f>IF(C2232="","",IF(H2232=1,SUMIFS('Opening Balance'!$F$4:$F$303,'Opening Balance'!$G$4:$G$303,C2232),INDEX($L$2:$L$3001,MATCH(C2232&amp;"|"&amp;(H2232-1),$I$2:$I$3001,0))))</f>
        <v/>
      </c>
      <c r="K2232" s="6">
        <f>IF(C2232="","",IF(M2232&gt;0,M2232,IF(AND(E2232&gt;0,ROUND(J2232+D2232-E2232,2)&gt;0,ROUND(J2232+D2232-E2232,2)&lt;'Opening Balance'!$B$14),ROUND(J2232+D2232-E2232,2),0)))</f>
        <v/>
      </c>
      <c r="L2232" s="6">
        <f>IF(C2232="","",ROUND(J2232+D2232-E2232-K2232,2))</f>
        <v/>
      </c>
      <c r="M2232" s="6">
        <f>IF(C2232="","",0)</f>
        <v/>
      </c>
    </row>
    <row r="2233">
      <c r="A2233" t="inlineStr">
        <is>
          <t>Bank 银行</t>
        </is>
      </c>
      <c r="B2233" s="5">
        <f>IF(AND('Daily Sale entry '!Z733="Online collection 网上收款",'Daily Sale entry '!AA733&lt;&gt;""),'Daily Sale entry '!X733,"")</f>
        <v/>
      </c>
      <c r="C2233">
        <f>IF(B2233="","",'Daily Sale entry '!AA733)</f>
        <v/>
      </c>
      <c r="D2233">
        <f>IF(C2233="","",0)</f>
        <v/>
      </c>
      <c r="E2233">
        <f>IF(C2233="","",'Daily Sale entry '!AC733)</f>
        <v/>
      </c>
      <c r="F2233" s="37">
        <f>IF(C2233="","",B2233+IF(E2233&gt;0,0,0.5)+ROW()/10000000)</f>
        <v/>
      </c>
      <c r="G2233">
        <f>IF(C2233="","","Collection 收款 (Online 网上)"&amp;IF('Daily Sale entry '!Y733="",""," - "&amp;'Daily Sale entry '!Y733))</f>
        <v/>
      </c>
      <c r="H2233">
        <f>IF(C2233="","",COUNTIFS($C$2:$C$3001,C2233,$F$2:$F$3001,"&lt;"&amp;F2233)+1)</f>
        <v/>
      </c>
      <c r="I2233">
        <f>IF(C2233="","",C2233&amp;"|"&amp;H2233)</f>
        <v/>
      </c>
      <c r="J2233" s="6">
        <f>IF(C2233="","",IF(H2233=1,SUMIFS('Opening Balance'!$F$4:$F$303,'Opening Balance'!$G$4:$G$303,C2233),INDEX($L$2:$L$3001,MATCH(C2233&amp;"|"&amp;(H2233-1),$I$2:$I$3001,0))))</f>
        <v/>
      </c>
      <c r="K2233" s="6">
        <f>IF(C2233="","",IF(M2233&gt;0,M2233,IF(AND(E2233&gt;0,ROUND(J2233+D2233-E2233,2)&gt;0,ROUND(J2233+D2233-E2233,2)&lt;'Opening Balance'!$B$14),ROUND(J2233+D2233-E2233,2),0)))</f>
        <v/>
      </c>
      <c r="L2233" s="6">
        <f>IF(C2233="","",ROUND(J2233+D2233-E2233-K2233,2))</f>
        <v/>
      </c>
      <c r="M2233" s="6">
        <f>IF(C2233="","",0)</f>
        <v/>
      </c>
    </row>
    <row r="2234">
      <c r="A2234" t="inlineStr">
        <is>
          <t>Bank 银行</t>
        </is>
      </c>
      <c r="B2234" s="5">
        <f>IF(AND('Daily Sale entry '!Z734="Online collection 网上收款",'Daily Sale entry '!AA734&lt;&gt;""),'Daily Sale entry '!X734,"")</f>
        <v/>
      </c>
      <c r="C2234">
        <f>IF(B2234="","",'Daily Sale entry '!AA734)</f>
        <v/>
      </c>
      <c r="D2234">
        <f>IF(C2234="","",0)</f>
        <v/>
      </c>
      <c r="E2234">
        <f>IF(C2234="","",'Daily Sale entry '!AC734)</f>
        <v/>
      </c>
      <c r="F2234" s="37">
        <f>IF(C2234="","",B2234+IF(E2234&gt;0,0,0.5)+ROW()/10000000)</f>
        <v/>
      </c>
      <c r="G2234">
        <f>IF(C2234="","","Collection 收款 (Online 网上)"&amp;IF('Daily Sale entry '!Y734="",""," - "&amp;'Daily Sale entry '!Y734))</f>
        <v/>
      </c>
      <c r="H2234">
        <f>IF(C2234="","",COUNTIFS($C$2:$C$3001,C2234,$F$2:$F$3001,"&lt;"&amp;F2234)+1)</f>
        <v/>
      </c>
      <c r="I2234">
        <f>IF(C2234="","",C2234&amp;"|"&amp;H2234)</f>
        <v/>
      </c>
      <c r="J2234" s="6">
        <f>IF(C2234="","",IF(H2234=1,SUMIFS('Opening Balance'!$F$4:$F$303,'Opening Balance'!$G$4:$G$303,C2234),INDEX($L$2:$L$3001,MATCH(C2234&amp;"|"&amp;(H2234-1),$I$2:$I$3001,0))))</f>
        <v/>
      </c>
      <c r="K2234" s="6">
        <f>IF(C2234="","",IF(M2234&gt;0,M2234,IF(AND(E2234&gt;0,ROUND(J2234+D2234-E2234,2)&gt;0,ROUND(J2234+D2234-E2234,2)&lt;'Opening Balance'!$B$14),ROUND(J2234+D2234-E2234,2),0)))</f>
        <v/>
      </c>
      <c r="L2234" s="6">
        <f>IF(C2234="","",ROUND(J2234+D2234-E2234-K2234,2))</f>
        <v/>
      </c>
      <c r="M2234" s="6">
        <f>IF(C2234="","",0)</f>
        <v/>
      </c>
    </row>
    <row r="2235">
      <c r="A2235" t="inlineStr">
        <is>
          <t>Bank 银行</t>
        </is>
      </c>
      <c r="B2235" s="5">
        <f>IF(AND('Daily Sale entry '!Z735="Online collection 网上收款",'Daily Sale entry '!AA735&lt;&gt;""),'Daily Sale entry '!X735,"")</f>
        <v/>
      </c>
      <c r="C2235">
        <f>IF(B2235="","",'Daily Sale entry '!AA735)</f>
        <v/>
      </c>
      <c r="D2235">
        <f>IF(C2235="","",0)</f>
        <v/>
      </c>
      <c r="E2235">
        <f>IF(C2235="","",'Daily Sale entry '!AC735)</f>
        <v/>
      </c>
      <c r="F2235" s="37">
        <f>IF(C2235="","",B2235+IF(E2235&gt;0,0,0.5)+ROW()/10000000)</f>
        <v/>
      </c>
      <c r="G2235">
        <f>IF(C2235="","","Collection 收款 (Online 网上)"&amp;IF('Daily Sale entry '!Y735="",""," - "&amp;'Daily Sale entry '!Y735))</f>
        <v/>
      </c>
      <c r="H2235">
        <f>IF(C2235="","",COUNTIFS($C$2:$C$3001,C2235,$F$2:$F$3001,"&lt;"&amp;F2235)+1)</f>
        <v/>
      </c>
      <c r="I2235">
        <f>IF(C2235="","",C2235&amp;"|"&amp;H2235)</f>
        <v/>
      </c>
      <c r="J2235" s="6">
        <f>IF(C2235="","",IF(H2235=1,SUMIFS('Opening Balance'!$F$4:$F$303,'Opening Balance'!$G$4:$G$303,C2235),INDEX($L$2:$L$3001,MATCH(C2235&amp;"|"&amp;(H2235-1),$I$2:$I$3001,0))))</f>
        <v/>
      </c>
      <c r="K2235" s="6">
        <f>IF(C2235="","",IF(M2235&gt;0,M2235,IF(AND(E2235&gt;0,ROUND(J2235+D2235-E2235,2)&gt;0,ROUND(J2235+D2235-E2235,2)&lt;'Opening Balance'!$B$14),ROUND(J2235+D2235-E2235,2),0)))</f>
        <v/>
      </c>
      <c r="L2235" s="6">
        <f>IF(C2235="","",ROUND(J2235+D2235-E2235-K2235,2))</f>
        <v/>
      </c>
      <c r="M2235" s="6">
        <f>IF(C2235="","",0)</f>
        <v/>
      </c>
    </row>
    <row r="2236">
      <c r="A2236" t="inlineStr">
        <is>
          <t>Bank 银行</t>
        </is>
      </c>
      <c r="B2236" s="5">
        <f>IF(AND('Daily Sale entry '!Z736="Online collection 网上收款",'Daily Sale entry '!AA736&lt;&gt;""),'Daily Sale entry '!X736,"")</f>
        <v/>
      </c>
      <c r="C2236">
        <f>IF(B2236="","",'Daily Sale entry '!AA736)</f>
        <v/>
      </c>
      <c r="D2236">
        <f>IF(C2236="","",0)</f>
        <v/>
      </c>
      <c r="E2236">
        <f>IF(C2236="","",'Daily Sale entry '!AC736)</f>
        <v/>
      </c>
      <c r="F2236" s="37">
        <f>IF(C2236="","",B2236+IF(E2236&gt;0,0,0.5)+ROW()/10000000)</f>
        <v/>
      </c>
      <c r="G2236">
        <f>IF(C2236="","","Collection 收款 (Online 网上)"&amp;IF('Daily Sale entry '!Y736="",""," - "&amp;'Daily Sale entry '!Y736))</f>
        <v/>
      </c>
      <c r="H2236">
        <f>IF(C2236="","",COUNTIFS($C$2:$C$3001,C2236,$F$2:$F$3001,"&lt;"&amp;F2236)+1)</f>
        <v/>
      </c>
      <c r="I2236">
        <f>IF(C2236="","",C2236&amp;"|"&amp;H2236)</f>
        <v/>
      </c>
      <c r="J2236" s="6">
        <f>IF(C2236="","",IF(H2236=1,SUMIFS('Opening Balance'!$F$4:$F$303,'Opening Balance'!$G$4:$G$303,C2236),INDEX($L$2:$L$3001,MATCH(C2236&amp;"|"&amp;(H2236-1),$I$2:$I$3001,0))))</f>
        <v/>
      </c>
      <c r="K2236" s="6">
        <f>IF(C2236="","",IF(M2236&gt;0,M2236,IF(AND(E2236&gt;0,ROUND(J2236+D2236-E2236,2)&gt;0,ROUND(J2236+D2236-E2236,2)&lt;'Opening Balance'!$B$14),ROUND(J2236+D2236-E2236,2),0)))</f>
        <v/>
      </c>
      <c r="L2236" s="6">
        <f>IF(C2236="","",ROUND(J2236+D2236-E2236-K2236,2))</f>
        <v/>
      </c>
      <c r="M2236" s="6">
        <f>IF(C2236="","",0)</f>
        <v/>
      </c>
    </row>
    <row r="2237">
      <c r="A2237" t="inlineStr">
        <is>
          <t>Bank 银行</t>
        </is>
      </c>
      <c r="B2237" s="5">
        <f>IF(AND('Daily Sale entry '!Z737="Online collection 网上收款",'Daily Sale entry '!AA737&lt;&gt;""),'Daily Sale entry '!X737,"")</f>
        <v/>
      </c>
      <c r="C2237">
        <f>IF(B2237="","",'Daily Sale entry '!AA737)</f>
        <v/>
      </c>
      <c r="D2237">
        <f>IF(C2237="","",0)</f>
        <v/>
      </c>
      <c r="E2237">
        <f>IF(C2237="","",'Daily Sale entry '!AC737)</f>
        <v/>
      </c>
      <c r="F2237" s="37">
        <f>IF(C2237="","",B2237+IF(E2237&gt;0,0,0.5)+ROW()/10000000)</f>
        <v/>
      </c>
      <c r="G2237">
        <f>IF(C2237="","","Collection 收款 (Online 网上)"&amp;IF('Daily Sale entry '!Y737="",""," - "&amp;'Daily Sale entry '!Y737))</f>
        <v/>
      </c>
      <c r="H2237">
        <f>IF(C2237="","",COUNTIFS($C$2:$C$3001,C2237,$F$2:$F$3001,"&lt;"&amp;F2237)+1)</f>
        <v/>
      </c>
      <c r="I2237">
        <f>IF(C2237="","",C2237&amp;"|"&amp;H2237)</f>
        <v/>
      </c>
      <c r="J2237" s="6">
        <f>IF(C2237="","",IF(H2237=1,SUMIFS('Opening Balance'!$F$4:$F$303,'Opening Balance'!$G$4:$G$303,C2237),INDEX($L$2:$L$3001,MATCH(C2237&amp;"|"&amp;(H2237-1),$I$2:$I$3001,0))))</f>
        <v/>
      </c>
      <c r="K2237" s="6">
        <f>IF(C2237="","",IF(M2237&gt;0,M2237,IF(AND(E2237&gt;0,ROUND(J2237+D2237-E2237,2)&gt;0,ROUND(J2237+D2237-E2237,2)&lt;'Opening Balance'!$B$14),ROUND(J2237+D2237-E2237,2),0)))</f>
        <v/>
      </c>
      <c r="L2237" s="6">
        <f>IF(C2237="","",ROUND(J2237+D2237-E2237-K2237,2))</f>
        <v/>
      </c>
      <c r="M2237" s="6">
        <f>IF(C2237="","",0)</f>
        <v/>
      </c>
    </row>
    <row r="2238">
      <c r="A2238" t="inlineStr">
        <is>
          <t>Bank 银行</t>
        </is>
      </c>
      <c r="B2238" s="5">
        <f>IF(AND('Daily Sale entry '!Z738="Online collection 网上收款",'Daily Sale entry '!AA738&lt;&gt;""),'Daily Sale entry '!X738,"")</f>
        <v/>
      </c>
      <c r="C2238">
        <f>IF(B2238="","",'Daily Sale entry '!AA738)</f>
        <v/>
      </c>
      <c r="D2238">
        <f>IF(C2238="","",0)</f>
        <v/>
      </c>
      <c r="E2238">
        <f>IF(C2238="","",'Daily Sale entry '!AC738)</f>
        <v/>
      </c>
      <c r="F2238" s="37">
        <f>IF(C2238="","",B2238+IF(E2238&gt;0,0,0.5)+ROW()/10000000)</f>
        <v/>
      </c>
      <c r="G2238">
        <f>IF(C2238="","","Collection 收款 (Online 网上)"&amp;IF('Daily Sale entry '!Y738="",""," - "&amp;'Daily Sale entry '!Y738))</f>
        <v/>
      </c>
      <c r="H2238">
        <f>IF(C2238="","",COUNTIFS($C$2:$C$3001,C2238,$F$2:$F$3001,"&lt;"&amp;F2238)+1)</f>
        <v/>
      </c>
      <c r="I2238">
        <f>IF(C2238="","",C2238&amp;"|"&amp;H2238)</f>
        <v/>
      </c>
      <c r="J2238" s="6">
        <f>IF(C2238="","",IF(H2238=1,SUMIFS('Opening Balance'!$F$4:$F$303,'Opening Balance'!$G$4:$G$303,C2238),INDEX($L$2:$L$3001,MATCH(C2238&amp;"|"&amp;(H2238-1),$I$2:$I$3001,0))))</f>
        <v/>
      </c>
      <c r="K2238" s="6">
        <f>IF(C2238="","",IF(M2238&gt;0,M2238,IF(AND(E2238&gt;0,ROUND(J2238+D2238-E2238,2)&gt;0,ROUND(J2238+D2238-E2238,2)&lt;'Opening Balance'!$B$14),ROUND(J2238+D2238-E2238,2),0)))</f>
        <v/>
      </c>
      <c r="L2238" s="6">
        <f>IF(C2238="","",ROUND(J2238+D2238-E2238-K2238,2))</f>
        <v/>
      </c>
      <c r="M2238" s="6">
        <f>IF(C2238="","",0)</f>
        <v/>
      </c>
    </row>
    <row r="2239">
      <c r="A2239" t="inlineStr">
        <is>
          <t>Bank 银行</t>
        </is>
      </c>
      <c r="B2239" s="5">
        <f>IF(AND('Daily Sale entry '!Z739="Online collection 网上收款",'Daily Sale entry '!AA739&lt;&gt;""),'Daily Sale entry '!X739,"")</f>
        <v/>
      </c>
      <c r="C2239">
        <f>IF(B2239="","",'Daily Sale entry '!AA739)</f>
        <v/>
      </c>
      <c r="D2239">
        <f>IF(C2239="","",0)</f>
        <v/>
      </c>
      <c r="E2239">
        <f>IF(C2239="","",'Daily Sale entry '!AC739)</f>
        <v/>
      </c>
      <c r="F2239" s="37">
        <f>IF(C2239="","",B2239+IF(E2239&gt;0,0,0.5)+ROW()/10000000)</f>
        <v/>
      </c>
      <c r="G2239">
        <f>IF(C2239="","","Collection 收款 (Online 网上)"&amp;IF('Daily Sale entry '!Y739="",""," - "&amp;'Daily Sale entry '!Y739))</f>
        <v/>
      </c>
      <c r="H2239">
        <f>IF(C2239="","",COUNTIFS($C$2:$C$3001,C2239,$F$2:$F$3001,"&lt;"&amp;F2239)+1)</f>
        <v/>
      </c>
      <c r="I2239">
        <f>IF(C2239="","",C2239&amp;"|"&amp;H2239)</f>
        <v/>
      </c>
      <c r="J2239" s="6">
        <f>IF(C2239="","",IF(H2239=1,SUMIFS('Opening Balance'!$F$4:$F$303,'Opening Balance'!$G$4:$G$303,C2239),INDEX($L$2:$L$3001,MATCH(C2239&amp;"|"&amp;(H2239-1),$I$2:$I$3001,0))))</f>
        <v/>
      </c>
      <c r="K2239" s="6">
        <f>IF(C2239="","",IF(M2239&gt;0,M2239,IF(AND(E2239&gt;0,ROUND(J2239+D2239-E2239,2)&gt;0,ROUND(J2239+D2239-E2239,2)&lt;'Opening Balance'!$B$14),ROUND(J2239+D2239-E2239,2),0)))</f>
        <v/>
      </c>
      <c r="L2239" s="6">
        <f>IF(C2239="","",ROUND(J2239+D2239-E2239-K2239,2))</f>
        <v/>
      </c>
      <c r="M2239" s="6">
        <f>IF(C2239="","",0)</f>
        <v/>
      </c>
    </row>
    <row r="2240">
      <c r="A2240" t="inlineStr">
        <is>
          <t>Bank 银行</t>
        </is>
      </c>
      <c r="B2240" s="5">
        <f>IF(AND('Daily Sale entry '!Z740="Online collection 网上收款",'Daily Sale entry '!AA740&lt;&gt;""),'Daily Sale entry '!X740,"")</f>
        <v/>
      </c>
      <c r="C2240">
        <f>IF(B2240="","",'Daily Sale entry '!AA740)</f>
        <v/>
      </c>
      <c r="D2240">
        <f>IF(C2240="","",0)</f>
        <v/>
      </c>
      <c r="E2240">
        <f>IF(C2240="","",'Daily Sale entry '!AC740)</f>
        <v/>
      </c>
      <c r="F2240" s="37">
        <f>IF(C2240="","",B2240+IF(E2240&gt;0,0,0.5)+ROW()/10000000)</f>
        <v/>
      </c>
      <c r="G2240">
        <f>IF(C2240="","","Collection 收款 (Online 网上)"&amp;IF('Daily Sale entry '!Y740="",""," - "&amp;'Daily Sale entry '!Y740))</f>
        <v/>
      </c>
      <c r="H2240">
        <f>IF(C2240="","",COUNTIFS($C$2:$C$3001,C2240,$F$2:$F$3001,"&lt;"&amp;F2240)+1)</f>
        <v/>
      </c>
      <c r="I2240">
        <f>IF(C2240="","",C2240&amp;"|"&amp;H2240)</f>
        <v/>
      </c>
      <c r="J2240" s="6">
        <f>IF(C2240="","",IF(H2240=1,SUMIFS('Opening Balance'!$F$4:$F$303,'Opening Balance'!$G$4:$G$303,C2240),INDEX($L$2:$L$3001,MATCH(C2240&amp;"|"&amp;(H2240-1),$I$2:$I$3001,0))))</f>
        <v/>
      </c>
      <c r="K2240" s="6">
        <f>IF(C2240="","",IF(M2240&gt;0,M2240,IF(AND(E2240&gt;0,ROUND(J2240+D2240-E2240,2)&gt;0,ROUND(J2240+D2240-E2240,2)&lt;'Opening Balance'!$B$14),ROUND(J2240+D2240-E2240,2),0)))</f>
        <v/>
      </c>
      <c r="L2240" s="6">
        <f>IF(C2240="","",ROUND(J2240+D2240-E2240-K2240,2))</f>
        <v/>
      </c>
      <c r="M2240" s="6">
        <f>IF(C2240="","",0)</f>
        <v/>
      </c>
    </row>
    <row r="2241">
      <c r="A2241" t="inlineStr">
        <is>
          <t>Bank 银行</t>
        </is>
      </c>
      <c r="B2241" s="5">
        <f>IF(AND('Daily Sale entry '!Z741="Online collection 网上收款",'Daily Sale entry '!AA741&lt;&gt;""),'Daily Sale entry '!X741,"")</f>
        <v/>
      </c>
      <c r="C2241">
        <f>IF(B2241="","",'Daily Sale entry '!AA741)</f>
        <v/>
      </c>
      <c r="D2241">
        <f>IF(C2241="","",0)</f>
        <v/>
      </c>
      <c r="E2241">
        <f>IF(C2241="","",'Daily Sale entry '!AC741)</f>
        <v/>
      </c>
      <c r="F2241" s="37">
        <f>IF(C2241="","",B2241+IF(E2241&gt;0,0,0.5)+ROW()/10000000)</f>
        <v/>
      </c>
      <c r="G2241">
        <f>IF(C2241="","","Collection 收款 (Online 网上)"&amp;IF('Daily Sale entry '!Y741="",""," - "&amp;'Daily Sale entry '!Y741))</f>
        <v/>
      </c>
      <c r="H2241">
        <f>IF(C2241="","",COUNTIFS($C$2:$C$3001,C2241,$F$2:$F$3001,"&lt;"&amp;F2241)+1)</f>
        <v/>
      </c>
      <c r="I2241">
        <f>IF(C2241="","",C2241&amp;"|"&amp;H2241)</f>
        <v/>
      </c>
      <c r="J2241" s="6">
        <f>IF(C2241="","",IF(H2241=1,SUMIFS('Opening Balance'!$F$4:$F$303,'Opening Balance'!$G$4:$G$303,C2241),INDEX($L$2:$L$3001,MATCH(C2241&amp;"|"&amp;(H2241-1),$I$2:$I$3001,0))))</f>
        <v/>
      </c>
      <c r="K2241" s="6">
        <f>IF(C2241="","",IF(M2241&gt;0,M2241,IF(AND(E2241&gt;0,ROUND(J2241+D2241-E2241,2)&gt;0,ROUND(J2241+D2241-E2241,2)&lt;'Opening Balance'!$B$14),ROUND(J2241+D2241-E2241,2),0)))</f>
        <v/>
      </c>
      <c r="L2241" s="6">
        <f>IF(C2241="","",ROUND(J2241+D2241-E2241-K2241,2))</f>
        <v/>
      </c>
      <c r="M2241" s="6">
        <f>IF(C2241="","",0)</f>
        <v/>
      </c>
    </row>
    <row r="2242">
      <c r="A2242" t="inlineStr">
        <is>
          <t>Bank 银行</t>
        </is>
      </c>
      <c r="B2242" s="5">
        <f>IF(AND('Daily Sale entry '!Z742="Online collection 网上收款",'Daily Sale entry '!AA742&lt;&gt;""),'Daily Sale entry '!X742,"")</f>
        <v/>
      </c>
      <c r="C2242">
        <f>IF(B2242="","",'Daily Sale entry '!AA742)</f>
        <v/>
      </c>
      <c r="D2242">
        <f>IF(C2242="","",0)</f>
        <v/>
      </c>
      <c r="E2242">
        <f>IF(C2242="","",'Daily Sale entry '!AC742)</f>
        <v/>
      </c>
      <c r="F2242" s="37">
        <f>IF(C2242="","",B2242+IF(E2242&gt;0,0,0.5)+ROW()/10000000)</f>
        <v/>
      </c>
      <c r="G2242">
        <f>IF(C2242="","","Collection 收款 (Online 网上)"&amp;IF('Daily Sale entry '!Y742="",""," - "&amp;'Daily Sale entry '!Y742))</f>
        <v/>
      </c>
      <c r="H2242">
        <f>IF(C2242="","",COUNTIFS($C$2:$C$3001,C2242,$F$2:$F$3001,"&lt;"&amp;F2242)+1)</f>
        <v/>
      </c>
      <c r="I2242">
        <f>IF(C2242="","",C2242&amp;"|"&amp;H2242)</f>
        <v/>
      </c>
      <c r="J2242" s="6">
        <f>IF(C2242="","",IF(H2242=1,SUMIFS('Opening Balance'!$F$4:$F$303,'Opening Balance'!$G$4:$G$303,C2242),INDEX($L$2:$L$3001,MATCH(C2242&amp;"|"&amp;(H2242-1),$I$2:$I$3001,0))))</f>
        <v/>
      </c>
      <c r="K2242" s="6">
        <f>IF(C2242="","",IF(M2242&gt;0,M2242,IF(AND(E2242&gt;0,ROUND(J2242+D2242-E2242,2)&gt;0,ROUND(J2242+D2242-E2242,2)&lt;'Opening Balance'!$B$14),ROUND(J2242+D2242-E2242,2),0)))</f>
        <v/>
      </c>
      <c r="L2242" s="6">
        <f>IF(C2242="","",ROUND(J2242+D2242-E2242-K2242,2))</f>
        <v/>
      </c>
      <c r="M2242" s="6">
        <f>IF(C2242="","",0)</f>
        <v/>
      </c>
    </row>
    <row r="2243">
      <c r="A2243" t="inlineStr">
        <is>
          <t>Bank 银行</t>
        </is>
      </c>
      <c r="B2243" s="5">
        <f>IF(AND('Daily Sale entry '!Z743="Online collection 网上收款",'Daily Sale entry '!AA743&lt;&gt;""),'Daily Sale entry '!X743,"")</f>
        <v/>
      </c>
      <c r="C2243">
        <f>IF(B2243="","",'Daily Sale entry '!AA743)</f>
        <v/>
      </c>
      <c r="D2243">
        <f>IF(C2243="","",0)</f>
        <v/>
      </c>
      <c r="E2243">
        <f>IF(C2243="","",'Daily Sale entry '!AC743)</f>
        <v/>
      </c>
      <c r="F2243" s="37">
        <f>IF(C2243="","",B2243+IF(E2243&gt;0,0,0.5)+ROW()/10000000)</f>
        <v/>
      </c>
      <c r="G2243">
        <f>IF(C2243="","","Collection 收款 (Online 网上)"&amp;IF('Daily Sale entry '!Y743="",""," - "&amp;'Daily Sale entry '!Y743))</f>
        <v/>
      </c>
      <c r="H2243">
        <f>IF(C2243="","",COUNTIFS($C$2:$C$3001,C2243,$F$2:$F$3001,"&lt;"&amp;F2243)+1)</f>
        <v/>
      </c>
      <c r="I2243">
        <f>IF(C2243="","",C2243&amp;"|"&amp;H2243)</f>
        <v/>
      </c>
      <c r="J2243" s="6">
        <f>IF(C2243="","",IF(H2243=1,SUMIFS('Opening Balance'!$F$4:$F$303,'Opening Balance'!$G$4:$G$303,C2243),INDEX($L$2:$L$3001,MATCH(C2243&amp;"|"&amp;(H2243-1),$I$2:$I$3001,0))))</f>
        <v/>
      </c>
      <c r="K2243" s="6">
        <f>IF(C2243="","",IF(M2243&gt;0,M2243,IF(AND(E2243&gt;0,ROUND(J2243+D2243-E2243,2)&gt;0,ROUND(J2243+D2243-E2243,2)&lt;'Opening Balance'!$B$14),ROUND(J2243+D2243-E2243,2),0)))</f>
        <v/>
      </c>
      <c r="L2243" s="6">
        <f>IF(C2243="","",ROUND(J2243+D2243-E2243-K2243,2))</f>
        <v/>
      </c>
      <c r="M2243" s="6">
        <f>IF(C2243="","",0)</f>
        <v/>
      </c>
    </row>
    <row r="2244">
      <c r="A2244" t="inlineStr">
        <is>
          <t>Bank 银行</t>
        </is>
      </c>
      <c r="B2244" s="5">
        <f>IF(AND('Daily Sale entry '!Z744="Online collection 网上收款",'Daily Sale entry '!AA744&lt;&gt;""),'Daily Sale entry '!X744,"")</f>
        <v/>
      </c>
      <c r="C2244">
        <f>IF(B2244="","",'Daily Sale entry '!AA744)</f>
        <v/>
      </c>
      <c r="D2244">
        <f>IF(C2244="","",0)</f>
        <v/>
      </c>
      <c r="E2244">
        <f>IF(C2244="","",'Daily Sale entry '!AC744)</f>
        <v/>
      </c>
      <c r="F2244" s="37">
        <f>IF(C2244="","",B2244+IF(E2244&gt;0,0,0.5)+ROW()/10000000)</f>
        <v/>
      </c>
      <c r="G2244">
        <f>IF(C2244="","","Collection 收款 (Online 网上)"&amp;IF('Daily Sale entry '!Y744="",""," - "&amp;'Daily Sale entry '!Y744))</f>
        <v/>
      </c>
      <c r="H2244">
        <f>IF(C2244="","",COUNTIFS($C$2:$C$3001,C2244,$F$2:$F$3001,"&lt;"&amp;F2244)+1)</f>
        <v/>
      </c>
      <c r="I2244">
        <f>IF(C2244="","",C2244&amp;"|"&amp;H2244)</f>
        <v/>
      </c>
      <c r="J2244" s="6">
        <f>IF(C2244="","",IF(H2244=1,SUMIFS('Opening Balance'!$F$4:$F$303,'Opening Balance'!$G$4:$G$303,C2244),INDEX($L$2:$L$3001,MATCH(C2244&amp;"|"&amp;(H2244-1),$I$2:$I$3001,0))))</f>
        <v/>
      </c>
      <c r="K2244" s="6">
        <f>IF(C2244="","",IF(M2244&gt;0,M2244,IF(AND(E2244&gt;0,ROUND(J2244+D2244-E2244,2)&gt;0,ROUND(J2244+D2244-E2244,2)&lt;'Opening Balance'!$B$14),ROUND(J2244+D2244-E2244,2),0)))</f>
        <v/>
      </c>
      <c r="L2244" s="6">
        <f>IF(C2244="","",ROUND(J2244+D2244-E2244-K2244,2))</f>
        <v/>
      </c>
      <c r="M2244" s="6">
        <f>IF(C2244="","",0)</f>
        <v/>
      </c>
    </row>
    <row r="2245">
      <c r="A2245" t="inlineStr">
        <is>
          <t>Bank 银行</t>
        </is>
      </c>
      <c r="B2245" s="5">
        <f>IF(AND('Daily Sale entry '!Z745="Online collection 网上收款",'Daily Sale entry '!AA745&lt;&gt;""),'Daily Sale entry '!X745,"")</f>
        <v/>
      </c>
      <c r="C2245">
        <f>IF(B2245="","",'Daily Sale entry '!AA745)</f>
        <v/>
      </c>
      <c r="D2245">
        <f>IF(C2245="","",0)</f>
        <v/>
      </c>
      <c r="E2245">
        <f>IF(C2245="","",'Daily Sale entry '!AC745)</f>
        <v/>
      </c>
      <c r="F2245" s="37">
        <f>IF(C2245="","",B2245+IF(E2245&gt;0,0,0.5)+ROW()/10000000)</f>
        <v/>
      </c>
      <c r="G2245">
        <f>IF(C2245="","","Collection 收款 (Online 网上)"&amp;IF('Daily Sale entry '!Y745="",""," - "&amp;'Daily Sale entry '!Y745))</f>
        <v/>
      </c>
      <c r="H2245">
        <f>IF(C2245="","",COUNTIFS($C$2:$C$3001,C2245,$F$2:$F$3001,"&lt;"&amp;F2245)+1)</f>
        <v/>
      </c>
      <c r="I2245">
        <f>IF(C2245="","",C2245&amp;"|"&amp;H2245)</f>
        <v/>
      </c>
      <c r="J2245" s="6">
        <f>IF(C2245="","",IF(H2245=1,SUMIFS('Opening Balance'!$F$4:$F$303,'Opening Balance'!$G$4:$G$303,C2245),INDEX($L$2:$L$3001,MATCH(C2245&amp;"|"&amp;(H2245-1),$I$2:$I$3001,0))))</f>
        <v/>
      </c>
      <c r="K2245" s="6">
        <f>IF(C2245="","",IF(M2245&gt;0,M2245,IF(AND(E2245&gt;0,ROUND(J2245+D2245-E2245,2)&gt;0,ROUND(J2245+D2245-E2245,2)&lt;'Opening Balance'!$B$14),ROUND(J2245+D2245-E2245,2),0)))</f>
        <v/>
      </c>
      <c r="L2245" s="6">
        <f>IF(C2245="","",ROUND(J2245+D2245-E2245-K2245,2))</f>
        <v/>
      </c>
      <c r="M2245" s="6">
        <f>IF(C2245="","",0)</f>
        <v/>
      </c>
    </row>
    <row r="2246">
      <c r="A2246" t="inlineStr">
        <is>
          <t>Bank 银行</t>
        </is>
      </c>
      <c r="B2246" s="5">
        <f>IF(AND('Daily Sale entry '!Z746="Online collection 网上收款",'Daily Sale entry '!AA746&lt;&gt;""),'Daily Sale entry '!X746,"")</f>
        <v/>
      </c>
      <c r="C2246">
        <f>IF(B2246="","",'Daily Sale entry '!AA746)</f>
        <v/>
      </c>
      <c r="D2246">
        <f>IF(C2246="","",0)</f>
        <v/>
      </c>
      <c r="E2246">
        <f>IF(C2246="","",'Daily Sale entry '!AC746)</f>
        <v/>
      </c>
      <c r="F2246" s="37">
        <f>IF(C2246="","",B2246+IF(E2246&gt;0,0,0.5)+ROW()/10000000)</f>
        <v/>
      </c>
      <c r="G2246">
        <f>IF(C2246="","","Collection 收款 (Online 网上)"&amp;IF('Daily Sale entry '!Y746="",""," - "&amp;'Daily Sale entry '!Y746))</f>
        <v/>
      </c>
      <c r="H2246">
        <f>IF(C2246="","",COUNTIFS($C$2:$C$3001,C2246,$F$2:$F$3001,"&lt;"&amp;F2246)+1)</f>
        <v/>
      </c>
      <c r="I2246">
        <f>IF(C2246="","",C2246&amp;"|"&amp;H2246)</f>
        <v/>
      </c>
      <c r="J2246" s="6">
        <f>IF(C2246="","",IF(H2246=1,SUMIFS('Opening Balance'!$F$4:$F$303,'Opening Balance'!$G$4:$G$303,C2246),INDEX($L$2:$L$3001,MATCH(C2246&amp;"|"&amp;(H2246-1),$I$2:$I$3001,0))))</f>
        <v/>
      </c>
      <c r="K2246" s="6">
        <f>IF(C2246="","",IF(M2246&gt;0,M2246,IF(AND(E2246&gt;0,ROUND(J2246+D2246-E2246,2)&gt;0,ROUND(J2246+D2246-E2246,2)&lt;'Opening Balance'!$B$14),ROUND(J2246+D2246-E2246,2),0)))</f>
        <v/>
      </c>
      <c r="L2246" s="6">
        <f>IF(C2246="","",ROUND(J2246+D2246-E2246-K2246,2))</f>
        <v/>
      </c>
      <c r="M2246" s="6">
        <f>IF(C2246="","",0)</f>
        <v/>
      </c>
    </row>
    <row r="2247">
      <c r="A2247" t="inlineStr">
        <is>
          <t>Bank 银行</t>
        </is>
      </c>
      <c r="B2247" s="5">
        <f>IF(AND('Daily Sale entry '!Z747="Online collection 网上收款",'Daily Sale entry '!AA747&lt;&gt;""),'Daily Sale entry '!X747,"")</f>
        <v/>
      </c>
      <c r="C2247">
        <f>IF(B2247="","",'Daily Sale entry '!AA747)</f>
        <v/>
      </c>
      <c r="D2247">
        <f>IF(C2247="","",0)</f>
        <v/>
      </c>
      <c r="E2247">
        <f>IF(C2247="","",'Daily Sale entry '!AC747)</f>
        <v/>
      </c>
      <c r="F2247" s="37">
        <f>IF(C2247="","",B2247+IF(E2247&gt;0,0,0.5)+ROW()/10000000)</f>
        <v/>
      </c>
      <c r="G2247">
        <f>IF(C2247="","","Collection 收款 (Online 网上)"&amp;IF('Daily Sale entry '!Y747="",""," - "&amp;'Daily Sale entry '!Y747))</f>
        <v/>
      </c>
      <c r="H2247">
        <f>IF(C2247="","",COUNTIFS($C$2:$C$3001,C2247,$F$2:$F$3001,"&lt;"&amp;F2247)+1)</f>
        <v/>
      </c>
      <c r="I2247">
        <f>IF(C2247="","",C2247&amp;"|"&amp;H2247)</f>
        <v/>
      </c>
      <c r="J2247" s="6">
        <f>IF(C2247="","",IF(H2247=1,SUMIFS('Opening Balance'!$F$4:$F$303,'Opening Balance'!$G$4:$G$303,C2247),INDEX($L$2:$L$3001,MATCH(C2247&amp;"|"&amp;(H2247-1),$I$2:$I$3001,0))))</f>
        <v/>
      </c>
      <c r="K2247" s="6">
        <f>IF(C2247="","",IF(M2247&gt;0,M2247,IF(AND(E2247&gt;0,ROUND(J2247+D2247-E2247,2)&gt;0,ROUND(J2247+D2247-E2247,2)&lt;'Opening Balance'!$B$14),ROUND(J2247+D2247-E2247,2),0)))</f>
        <v/>
      </c>
      <c r="L2247" s="6">
        <f>IF(C2247="","",ROUND(J2247+D2247-E2247-K2247,2))</f>
        <v/>
      </c>
      <c r="M2247" s="6">
        <f>IF(C2247="","",0)</f>
        <v/>
      </c>
    </row>
    <row r="2248">
      <c r="A2248" t="inlineStr">
        <is>
          <t>Bank 银行</t>
        </is>
      </c>
      <c r="B2248" s="5">
        <f>IF(AND('Daily Sale entry '!Z748="Online collection 网上收款",'Daily Sale entry '!AA748&lt;&gt;""),'Daily Sale entry '!X748,"")</f>
        <v/>
      </c>
      <c r="C2248">
        <f>IF(B2248="","",'Daily Sale entry '!AA748)</f>
        <v/>
      </c>
      <c r="D2248">
        <f>IF(C2248="","",0)</f>
        <v/>
      </c>
      <c r="E2248">
        <f>IF(C2248="","",'Daily Sale entry '!AC748)</f>
        <v/>
      </c>
      <c r="F2248" s="37">
        <f>IF(C2248="","",B2248+IF(E2248&gt;0,0,0.5)+ROW()/10000000)</f>
        <v/>
      </c>
      <c r="G2248">
        <f>IF(C2248="","","Collection 收款 (Online 网上)"&amp;IF('Daily Sale entry '!Y748="",""," - "&amp;'Daily Sale entry '!Y748))</f>
        <v/>
      </c>
      <c r="H2248">
        <f>IF(C2248="","",COUNTIFS($C$2:$C$3001,C2248,$F$2:$F$3001,"&lt;"&amp;F2248)+1)</f>
        <v/>
      </c>
      <c r="I2248">
        <f>IF(C2248="","",C2248&amp;"|"&amp;H2248)</f>
        <v/>
      </c>
      <c r="J2248" s="6">
        <f>IF(C2248="","",IF(H2248=1,SUMIFS('Opening Balance'!$F$4:$F$303,'Opening Balance'!$G$4:$G$303,C2248),INDEX($L$2:$L$3001,MATCH(C2248&amp;"|"&amp;(H2248-1),$I$2:$I$3001,0))))</f>
        <v/>
      </c>
      <c r="K2248" s="6">
        <f>IF(C2248="","",IF(M2248&gt;0,M2248,IF(AND(E2248&gt;0,ROUND(J2248+D2248-E2248,2)&gt;0,ROUND(J2248+D2248-E2248,2)&lt;'Opening Balance'!$B$14),ROUND(J2248+D2248-E2248,2),0)))</f>
        <v/>
      </c>
      <c r="L2248" s="6">
        <f>IF(C2248="","",ROUND(J2248+D2248-E2248-K2248,2))</f>
        <v/>
      </c>
      <c r="M2248" s="6">
        <f>IF(C2248="","",0)</f>
        <v/>
      </c>
    </row>
    <row r="2249">
      <c r="A2249" t="inlineStr">
        <is>
          <t>Bank 银行</t>
        </is>
      </c>
      <c r="B2249" s="5">
        <f>IF(AND('Daily Sale entry '!Z749="Online collection 网上收款",'Daily Sale entry '!AA749&lt;&gt;""),'Daily Sale entry '!X749,"")</f>
        <v/>
      </c>
      <c r="C2249">
        <f>IF(B2249="","",'Daily Sale entry '!AA749)</f>
        <v/>
      </c>
      <c r="D2249">
        <f>IF(C2249="","",0)</f>
        <v/>
      </c>
      <c r="E2249">
        <f>IF(C2249="","",'Daily Sale entry '!AC749)</f>
        <v/>
      </c>
      <c r="F2249" s="37">
        <f>IF(C2249="","",B2249+IF(E2249&gt;0,0,0.5)+ROW()/10000000)</f>
        <v/>
      </c>
      <c r="G2249">
        <f>IF(C2249="","","Collection 收款 (Online 网上)"&amp;IF('Daily Sale entry '!Y749="",""," - "&amp;'Daily Sale entry '!Y749))</f>
        <v/>
      </c>
      <c r="H2249">
        <f>IF(C2249="","",COUNTIFS($C$2:$C$3001,C2249,$F$2:$F$3001,"&lt;"&amp;F2249)+1)</f>
        <v/>
      </c>
      <c r="I2249">
        <f>IF(C2249="","",C2249&amp;"|"&amp;H2249)</f>
        <v/>
      </c>
      <c r="J2249" s="6">
        <f>IF(C2249="","",IF(H2249=1,SUMIFS('Opening Balance'!$F$4:$F$303,'Opening Balance'!$G$4:$G$303,C2249),INDEX($L$2:$L$3001,MATCH(C2249&amp;"|"&amp;(H2249-1),$I$2:$I$3001,0))))</f>
        <v/>
      </c>
      <c r="K2249" s="6">
        <f>IF(C2249="","",IF(M2249&gt;0,M2249,IF(AND(E2249&gt;0,ROUND(J2249+D2249-E2249,2)&gt;0,ROUND(J2249+D2249-E2249,2)&lt;'Opening Balance'!$B$14),ROUND(J2249+D2249-E2249,2),0)))</f>
        <v/>
      </c>
      <c r="L2249" s="6">
        <f>IF(C2249="","",ROUND(J2249+D2249-E2249-K2249,2))</f>
        <v/>
      </c>
      <c r="M2249" s="6">
        <f>IF(C2249="","",0)</f>
        <v/>
      </c>
    </row>
    <row r="2250">
      <c r="A2250" t="inlineStr">
        <is>
          <t>Bank 银行</t>
        </is>
      </c>
      <c r="B2250" s="5">
        <f>IF(AND('Daily Sale entry '!Z750="Online collection 网上收款",'Daily Sale entry '!AA750&lt;&gt;""),'Daily Sale entry '!X750,"")</f>
        <v/>
      </c>
      <c r="C2250">
        <f>IF(B2250="","",'Daily Sale entry '!AA750)</f>
        <v/>
      </c>
      <c r="D2250">
        <f>IF(C2250="","",0)</f>
        <v/>
      </c>
      <c r="E2250">
        <f>IF(C2250="","",'Daily Sale entry '!AC750)</f>
        <v/>
      </c>
      <c r="F2250" s="37">
        <f>IF(C2250="","",B2250+IF(E2250&gt;0,0,0.5)+ROW()/10000000)</f>
        <v/>
      </c>
      <c r="G2250">
        <f>IF(C2250="","","Collection 收款 (Online 网上)"&amp;IF('Daily Sale entry '!Y750="",""," - "&amp;'Daily Sale entry '!Y750))</f>
        <v/>
      </c>
      <c r="H2250">
        <f>IF(C2250="","",COUNTIFS($C$2:$C$3001,C2250,$F$2:$F$3001,"&lt;"&amp;F2250)+1)</f>
        <v/>
      </c>
      <c r="I2250">
        <f>IF(C2250="","",C2250&amp;"|"&amp;H2250)</f>
        <v/>
      </c>
      <c r="J2250" s="6">
        <f>IF(C2250="","",IF(H2250=1,SUMIFS('Opening Balance'!$F$4:$F$303,'Opening Balance'!$G$4:$G$303,C2250),INDEX($L$2:$L$3001,MATCH(C2250&amp;"|"&amp;(H2250-1),$I$2:$I$3001,0))))</f>
        <v/>
      </c>
      <c r="K2250" s="6">
        <f>IF(C2250="","",IF(M2250&gt;0,M2250,IF(AND(E2250&gt;0,ROUND(J2250+D2250-E2250,2)&gt;0,ROUND(J2250+D2250-E2250,2)&lt;'Opening Balance'!$B$14),ROUND(J2250+D2250-E2250,2),0)))</f>
        <v/>
      </c>
      <c r="L2250" s="6">
        <f>IF(C2250="","",ROUND(J2250+D2250-E2250-K2250,2))</f>
        <v/>
      </c>
      <c r="M2250" s="6">
        <f>IF(C2250="","",0)</f>
        <v/>
      </c>
    </row>
    <row r="2251">
      <c r="A2251" t="inlineStr">
        <is>
          <t>Bank 银行</t>
        </is>
      </c>
      <c r="B2251" s="5">
        <f>IF(AND('Daily Sale entry '!Z751="Online collection 网上收款",'Daily Sale entry '!AA751&lt;&gt;""),'Daily Sale entry '!X751,"")</f>
        <v/>
      </c>
      <c r="C2251">
        <f>IF(B2251="","",'Daily Sale entry '!AA751)</f>
        <v/>
      </c>
      <c r="D2251">
        <f>IF(C2251="","",0)</f>
        <v/>
      </c>
      <c r="E2251">
        <f>IF(C2251="","",'Daily Sale entry '!AC751)</f>
        <v/>
      </c>
      <c r="F2251" s="37">
        <f>IF(C2251="","",B2251+IF(E2251&gt;0,0,0.5)+ROW()/10000000)</f>
        <v/>
      </c>
      <c r="G2251">
        <f>IF(C2251="","","Collection 收款 (Online 网上)"&amp;IF('Daily Sale entry '!Y751="",""," - "&amp;'Daily Sale entry '!Y751))</f>
        <v/>
      </c>
      <c r="H2251">
        <f>IF(C2251="","",COUNTIFS($C$2:$C$3001,C2251,$F$2:$F$3001,"&lt;"&amp;F2251)+1)</f>
        <v/>
      </c>
      <c r="I2251">
        <f>IF(C2251="","",C2251&amp;"|"&amp;H2251)</f>
        <v/>
      </c>
      <c r="J2251" s="6">
        <f>IF(C2251="","",IF(H2251=1,SUMIFS('Opening Balance'!$F$4:$F$303,'Opening Balance'!$G$4:$G$303,C2251),INDEX($L$2:$L$3001,MATCH(C2251&amp;"|"&amp;(H2251-1),$I$2:$I$3001,0))))</f>
        <v/>
      </c>
      <c r="K2251" s="6">
        <f>IF(C2251="","",IF(M2251&gt;0,M2251,IF(AND(E2251&gt;0,ROUND(J2251+D2251-E2251,2)&gt;0,ROUND(J2251+D2251-E2251,2)&lt;'Opening Balance'!$B$14),ROUND(J2251+D2251-E2251,2),0)))</f>
        <v/>
      </c>
      <c r="L2251" s="6">
        <f>IF(C2251="","",ROUND(J2251+D2251-E2251-K2251,2))</f>
        <v/>
      </c>
      <c r="M2251" s="6">
        <f>IF(C2251="","",0)</f>
        <v/>
      </c>
    </row>
    <row r="2252">
      <c r="A2252" t="inlineStr">
        <is>
          <t>Bank 银行</t>
        </is>
      </c>
      <c r="B2252" s="5">
        <f>IF(AND('Daily Sale entry '!Z752="Online collection 网上收款",'Daily Sale entry '!AA752&lt;&gt;""),'Daily Sale entry '!X752,"")</f>
        <v/>
      </c>
      <c r="C2252">
        <f>IF(B2252="","",'Daily Sale entry '!AA752)</f>
        <v/>
      </c>
      <c r="D2252">
        <f>IF(C2252="","",0)</f>
        <v/>
      </c>
      <c r="E2252">
        <f>IF(C2252="","",'Daily Sale entry '!AC752)</f>
        <v/>
      </c>
      <c r="F2252" s="37">
        <f>IF(C2252="","",B2252+IF(E2252&gt;0,0,0.5)+ROW()/10000000)</f>
        <v/>
      </c>
      <c r="G2252">
        <f>IF(C2252="","","Collection 收款 (Online 网上)"&amp;IF('Daily Sale entry '!Y752="",""," - "&amp;'Daily Sale entry '!Y752))</f>
        <v/>
      </c>
      <c r="H2252">
        <f>IF(C2252="","",COUNTIFS($C$2:$C$3001,C2252,$F$2:$F$3001,"&lt;"&amp;F2252)+1)</f>
        <v/>
      </c>
      <c r="I2252">
        <f>IF(C2252="","",C2252&amp;"|"&amp;H2252)</f>
        <v/>
      </c>
      <c r="J2252" s="6">
        <f>IF(C2252="","",IF(H2252=1,SUMIFS('Opening Balance'!$F$4:$F$303,'Opening Balance'!$G$4:$G$303,C2252),INDEX($L$2:$L$3001,MATCH(C2252&amp;"|"&amp;(H2252-1),$I$2:$I$3001,0))))</f>
        <v/>
      </c>
      <c r="K2252" s="6">
        <f>IF(C2252="","",IF(M2252&gt;0,M2252,IF(AND(E2252&gt;0,ROUND(J2252+D2252-E2252,2)&gt;0,ROUND(J2252+D2252-E2252,2)&lt;'Opening Balance'!$B$14),ROUND(J2252+D2252-E2252,2),0)))</f>
        <v/>
      </c>
      <c r="L2252" s="6">
        <f>IF(C2252="","",ROUND(J2252+D2252-E2252-K2252,2))</f>
        <v/>
      </c>
      <c r="M2252" s="6">
        <f>IF(C2252="","",0)</f>
        <v/>
      </c>
    </row>
    <row r="2253">
      <c r="A2253" t="inlineStr">
        <is>
          <t>Bank 银行</t>
        </is>
      </c>
      <c r="B2253" s="5">
        <f>IF(AND('Daily Sale entry '!Z753="Online collection 网上收款",'Daily Sale entry '!AA753&lt;&gt;""),'Daily Sale entry '!X753,"")</f>
        <v/>
      </c>
      <c r="C2253">
        <f>IF(B2253="","",'Daily Sale entry '!AA753)</f>
        <v/>
      </c>
      <c r="D2253">
        <f>IF(C2253="","",0)</f>
        <v/>
      </c>
      <c r="E2253">
        <f>IF(C2253="","",'Daily Sale entry '!AC753)</f>
        <v/>
      </c>
      <c r="F2253" s="37">
        <f>IF(C2253="","",B2253+IF(E2253&gt;0,0,0.5)+ROW()/10000000)</f>
        <v/>
      </c>
      <c r="G2253">
        <f>IF(C2253="","","Collection 收款 (Online 网上)"&amp;IF('Daily Sale entry '!Y753="",""," - "&amp;'Daily Sale entry '!Y753))</f>
        <v/>
      </c>
      <c r="H2253">
        <f>IF(C2253="","",COUNTIFS($C$2:$C$3001,C2253,$F$2:$F$3001,"&lt;"&amp;F2253)+1)</f>
        <v/>
      </c>
      <c r="I2253">
        <f>IF(C2253="","",C2253&amp;"|"&amp;H2253)</f>
        <v/>
      </c>
      <c r="J2253" s="6">
        <f>IF(C2253="","",IF(H2253=1,SUMIFS('Opening Balance'!$F$4:$F$303,'Opening Balance'!$G$4:$G$303,C2253),INDEX($L$2:$L$3001,MATCH(C2253&amp;"|"&amp;(H2253-1),$I$2:$I$3001,0))))</f>
        <v/>
      </c>
      <c r="K2253" s="6">
        <f>IF(C2253="","",IF(M2253&gt;0,M2253,IF(AND(E2253&gt;0,ROUND(J2253+D2253-E2253,2)&gt;0,ROUND(J2253+D2253-E2253,2)&lt;'Opening Balance'!$B$14),ROUND(J2253+D2253-E2253,2),0)))</f>
        <v/>
      </c>
      <c r="L2253" s="6">
        <f>IF(C2253="","",ROUND(J2253+D2253-E2253-K2253,2))</f>
        <v/>
      </c>
      <c r="M2253" s="6">
        <f>IF(C2253="","",0)</f>
        <v/>
      </c>
    </row>
    <row r="2254">
      <c r="A2254" t="inlineStr">
        <is>
          <t>Bank 银行</t>
        </is>
      </c>
      <c r="B2254" s="5">
        <f>IF(AND('Daily Sale entry '!Z754="Online collection 网上收款",'Daily Sale entry '!AA754&lt;&gt;""),'Daily Sale entry '!X754,"")</f>
        <v/>
      </c>
      <c r="C2254">
        <f>IF(B2254="","",'Daily Sale entry '!AA754)</f>
        <v/>
      </c>
      <c r="D2254">
        <f>IF(C2254="","",0)</f>
        <v/>
      </c>
      <c r="E2254">
        <f>IF(C2254="","",'Daily Sale entry '!AC754)</f>
        <v/>
      </c>
      <c r="F2254" s="37">
        <f>IF(C2254="","",B2254+IF(E2254&gt;0,0,0.5)+ROW()/10000000)</f>
        <v/>
      </c>
      <c r="G2254">
        <f>IF(C2254="","","Collection 收款 (Online 网上)"&amp;IF('Daily Sale entry '!Y754="",""," - "&amp;'Daily Sale entry '!Y754))</f>
        <v/>
      </c>
      <c r="H2254">
        <f>IF(C2254="","",COUNTIFS($C$2:$C$3001,C2254,$F$2:$F$3001,"&lt;"&amp;F2254)+1)</f>
        <v/>
      </c>
      <c r="I2254">
        <f>IF(C2254="","",C2254&amp;"|"&amp;H2254)</f>
        <v/>
      </c>
      <c r="J2254" s="6">
        <f>IF(C2254="","",IF(H2254=1,SUMIFS('Opening Balance'!$F$4:$F$303,'Opening Balance'!$G$4:$G$303,C2254),INDEX($L$2:$L$3001,MATCH(C2254&amp;"|"&amp;(H2254-1),$I$2:$I$3001,0))))</f>
        <v/>
      </c>
      <c r="K2254" s="6">
        <f>IF(C2254="","",IF(M2254&gt;0,M2254,IF(AND(E2254&gt;0,ROUND(J2254+D2254-E2254,2)&gt;0,ROUND(J2254+D2254-E2254,2)&lt;'Opening Balance'!$B$14),ROUND(J2254+D2254-E2254,2),0)))</f>
        <v/>
      </c>
      <c r="L2254" s="6">
        <f>IF(C2254="","",ROUND(J2254+D2254-E2254-K2254,2))</f>
        <v/>
      </c>
      <c r="M2254" s="6">
        <f>IF(C2254="","",0)</f>
        <v/>
      </c>
    </row>
    <row r="2255">
      <c r="A2255" t="inlineStr">
        <is>
          <t>Bank 银行</t>
        </is>
      </c>
      <c r="B2255" s="5">
        <f>IF(AND('Daily Sale entry '!Z755="Online collection 网上收款",'Daily Sale entry '!AA755&lt;&gt;""),'Daily Sale entry '!X755,"")</f>
        <v/>
      </c>
      <c r="C2255">
        <f>IF(B2255="","",'Daily Sale entry '!AA755)</f>
        <v/>
      </c>
      <c r="D2255">
        <f>IF(C2255="","",0)</f>
        <v/>
      </c>
      <c r="E2255">
        <f>IF(C2255="","",'Daily Sale entry '!AC755)</f>
        <v/>
      </c>
      <c r="F2255" s="37">
        <f>IF(C2255="","",B2255+IF(E2255&gt;0,0,0.5)+ROW()/10000000)</f>
        <v/>
      </c>
      <c r="G2255">
        <f>IF(C2255="","","Collection 收款 (Online 网上)"&amp;IF('Daily Sale entry '!Y755="",""," - "&amp;'Daily Sale entry '!Y755))</f>
        <v/>
      </c>
      <c r="H2255">
        <f>IF(C2255="","",COUNTIFS($C$2:$C$3001,C2255,$F$2:$F$3001,"&lt;"&amp;F2255)+1)</f>
        <v/>
      </c>
      <c r="I2255">
        <f>IF(C2255="","",C2255&amp;"|"&amp;H2255)</f>
        <v/>
      </c>
      <c r="J2255" s="6">
        <f>IF(C2255="","",IF(H2255=1,SUMIFS('Opening Balance'!$F$4:$F$303,'Opening Balance'!$G$4:$G$303,C2255),INDEX($L$2:$L$3001,MATCH(C2255&amp;"|"&amp;(H2255-1),$I$2:$I$3001,0))))</f>
        <v/>
      </c>
      <c r="K2255" s="6">
        <f>IF(C2255="","",IF(M2255&gt;0,M2255,IF(AND(E2255&gt;0,ROUND(J2255+D2255-E2255,2)&gt;0,ROUND(J2255+D2255-E2255,2)&lt;'Opening Balance'!$B$14),ROUND(J2255+D2255-E2255,2),0)))</f>
        <v/>
      </c>
      <c r="L2255" s="6">
        <f>IF(C2255="","",ROUND(J2255+D2255-E2255-K2255,2))</f>
        <v/>
      </c>
      <c r="M2255" s="6">
        <f>IF(C2255="","",0)</f>
        <v/>
      </c>
    </row>
    <row r="2256">
      <c r="A2256" t="inlineStr">
        <is>
          <t>Bank 银行</t>
        </is>
      </c>
      <c r="B2256" s="5">
        <f>IF(AND('Daily Sale entry '!Z756="Online collection 网上收款",'Daily Sale entry '!AA756&lt;&gt;""),'Daily Sale entry '!X756,"")</f>
        <v/>
      </c>
      <c r="C2256">
        <f>IF(B2256="","",'Daily Sale entry '!AA756)</f>
        <v/>
      </c>
      <c r="D2256">
        <f>IF(C2256="","",0)</f>
        <v/>
      </c>
      <c r="E2256">
        <f>IF(C2256="","",'Daily Sale entry '!AC756)</f>
        <v/>
      </c>
      <c r="F2256" s="37">
        <f>IF(C2256="","",B2256+IF(E2256&gt;0,0,0.5)+ROW()/10000000)</f>
        <v/>
      </c>
      <c r="G2256">
        <f>IF(C2256="","","Collection 收款 (Online 网上)"&amp;IF('Daily Sale entry '!Y756="",""," - "&amp;'Daily Sale entry '!Y756))</f>
        <v/>
      </c>
      <c r="H2256">
        <f>IF(C2256="","",COUNTIFS($C$2:$C$3001,C2256,$F$2:$F$3001,"&lt;"&amp;F2256)+1)</f>
        <v/>
      </c>
      <c r="I2256">
        <f>IF(C2256="","",C2256&amp;"|"&amp;H2256)</f>
        <v/>
      </c>
      <c r="J2256" s="6">
        <f>IF(C2256="","",IF(H2256=1,SUMIFS('Opening Balance'!$F$4:$F$303,'Opening Balance'!$G$4:$G$303,C2256),INDEX($L$2:$L$3001,MATCH(C2256&amp;"|"&amp;(H2256-1),$I$2:$I$3001,0))))</f>
        <v/>
      </c>
      <c r="K2256" s="6">
        <f>IF(C2256="","",IF(M2256&gt;0,M2256,IF(AND(E2256&gt;0,ROUND(J2256+D2256-E2256,2)&gt;0,ROUND(J2256+D2256-E2256,2)&lt;'Opening Balance'!$B$14),ROUND(J2256+D2256-E2256,2),0)))</f>
        <v/>
      </c>
      <c r="L2256" s="6">
        <f>IF(C2256="","",ROUND(J2256+D2256-E2256-K2256,2))</f>
        <v/>
      </c>
      <c r="M2256" s="6">
        <f>IF(C2256="","",0)</f>
        <v/>
      </c>
    </row>
    <row r="2257">
      <c r="A2257" t="inlineStr">
        <is>
          <t>Bank 银行</t>
        </is>
      </c>
      <c r="B2257" s="5">
        <f>IF(AND('Daily Sale entry '!Z757="Online collection 网上收款",'Daily Sale entry '!AA757&lt;&gt;""),'Daily Sale entry '!X757,"")</f>
        <v/>
      </c>
      <c r="C2257">
        <f>IF(B2257="","",'Daily Sale entry '!AA757)</f>
        <v/>
      </c>
      <c r="D2257">
        <f>IF(C2257="","",0)</f>
        <v/>
      </c>
      <c r="E2257">
        <f>IF(C2257="","",'Daily Sale entry '!AC757)</f>
        <v/>
      </c>
      <c r="F2257" s="37">
        <f>IF(C2257="","",B2257+IF(E2257&gt;0,0,0.5)+ROW()/10000000)</f>
        <v/>
      </c>
      <c r="G2257">
        <f>IF(C2257="","","Collection 收款 (Online 网上)"&amp;IF('Daily Sale entry '!Y757="",""," - "&amp;'Daily Sale entry '!Y757))</f>
        <v/>
      </c>
      <c r="H2257">
        <f>IF(C2257="","",COUNTIFS($C$2:$C$3001,C2257,$F$2:$F$3001,"&lt;"&amp;F2257)+1)</f>
        <v/>
      </c>
      <c r="I2257">
        <f>IF(C2257="","",C2257&amp;"|"&amp;H2257)</f>
        <v/>
      </c>
      <c r="J2257" s="6">
        <f>IF(C2257="","",IF(H2257=1,SUMIFS('Opening Balance'!$F$4:$F$303,'Opening Balance'!$G$4:$G$303,C2257),INDEX($L$2:$L$3001,MATCH(C2257&amp;"|"&amp;(H2257-1),$I$2:$I$3001,0))))</f>
        <v/>
      </c>
      <c r="K2257" s="6">
        <f>IF(C2257="","",IF(M2257&gt;0,M2257,IF(AND(E2257&gt;0,ROUND(J2257+D2257-E2257,2)&gt;0,ROUND(J2257+D2257-E2257,2)&lt;'Opening Balance'!$B$14),ROUND(J2257+D2257-E2257,2),0)))</f>
        <v/>
      </c>
      <c r="L2257" s="6">
        <f>IF(C2257="","",ROUND(J2257+D2257-E2257-K2257,2))</f>
        <v/>
      </c>
      <c r="M2257" s="6">
        <f>IF(C2257="","",0)</f>
        <v/>
      </c>
    </row>
    <row r="2258">
      <c r="A2258" t="inlineStr">
        <is>
          <t>Bank 银行</t>
        </is>
      </c>
      <c r="B2258" s="5">
        <f>IF(AND('Daily Sale entry '!Z758="Online collection 网上收款",'Daily Sale entry '!AA758&lt;&gt;""),'Daily Sale entry '!X758,"")</f>
        <v/>
      </c>
      <c r="C2258">
        <f>IF(B2258="","",'Daily Sale entry '!AA758)</f>
        <v/>
      </c>
      <c r="D2258">
        <f>IF(C2258="","",0)</f>
        <v/>
      </c>
      <c r="E2258">
        <f>IF(C2258="","",'Daily Sale entry '!AC758)</f>
        <v/>
      </c>
      <c r="F2258" s="37">
        <f>IF(C2258="","",B2258+IF(E2258&gt;0,0,0.5)+ROW()/10000000)</f>
        <v/>
      </c>
      <c r="G2258">
        <f>IF(C2258="","","Collection 收款 (Online 网上)"&amp;IF('Daily Sale entry '!Y758="",""," - "&amp;'Daily Sale entry '!Y758))</f>
        <v/>
      </c>
      <c r="H2258">
        <f>IF(C2258="","",COUNTIFS($C$2:$C$3001,C2258,$F$2:$F$3001,"&lt;"&amp;F2258)+1)</f>
        <v/>
      </c>
      <c r="I2258">
        <f>IF(C2258="","",C2258&amp;"|"&amp;H2258)</f>
        <v/>
      </c>
      <c r="J2258" s="6">
        <f>IF(C2258="","",IF(H2258=1,SUMIFS('Opening Balance'!$F$4:$F$303,'Opening Balance'!$G$4:$G$303,C2258),INDEX($L$2:$L$3001,MATCH(C2258&amp;"|"&amp;(H2258-1),$I$2:$I$3001,0))))</f>
        <v/>
      </c>
      <c r="K2258" s="6">
        <f>IF(C2258="","",IF(M2258&gt;0,M2258,IF(AND(E2258&gt;0,ROUND(J2258+D2258-E2258,2)&gt;0,ROUND(J2258+D2258-E2258,2)&lt;'Opening Balance'!$B$14),ROUND(J2258+D2258-E2258,2),0)))</f>
        <v/>
      </c>
      <c r="L2258" s="6">
        <f>IF(C2258="","",ROUND(J2258+D2258-E2258-K2258,2))</f>
        <v/>
      </c>
      <c r="M2258" s="6">
        <f>IF(C2258="","",0)</f>
        <v/>
      </c>
    </row>
    <row r="2259">
      <c r="A2259" t="inlineStr">
        <is>
          <t>Bank 银行</t>
        </is>
      </c>
      <c r="B2259" s="5">
        <f>IF(AND('Daily Sale entry '!Z759="Online collection 网上收款",'Daily Sale entry '!AA759&lt;&gt;""),'Daily Sale entry '!X759,"")</f>
        <v/>
      </c>
      <c r="C2259">
        <f>IF(B2259="","",'Daily Sale entry '!AA759)</f>
        <v/>
      </c>
      <c r="D2259">
        <f>IF(C2259="","",0)</f>
        <v/>
      </c>
      <c r="E2259">
        <f>IF(C2259="","",'Daily Sale entry '!AC759)</f>
        <v/>
      </c>
      <c r="F2259" s="37">
        <f>IF(C2259="","",B2259+IF(E2259&gt;0,0,0.5)+ROW()/10000000)</f>
        <v/>
      </c>
      <c r="G2259">
        <f>IF(C2259="","","Collection 收款 (Online 网上)"&amp;IF('Daily Sale entry '!Y759="",""," - "&amp;'Daily Sale entry '!Y759))</f>
        <v/>
      </c>
      <c r="H2259">
        <f>IF(C2259="","",COUNTIFS($C$2:$C$3001,C2259,$F$2:$F$3001,"&lt;"&amp;F2259)+1)</f>
        <v/>
      </c>
      <c r="I2259">
        <f>IF(C2259="","",C2259&amp;"|"&amp;H2259)</f>
        <v/>
      </c>
      <c r="J2259" s="6">
        <f>IF(C2259="","",IF(H2259=1,SUMIFS('Opening Balance'!$F$4:$F$303,'Opening Balance'!$G$4:$G$303,C2259),INDEX($L$2:$L$3001,MATCH(C2259&amp;"|"&amp;(H2259-1),$I$2:$I$3001,0))))</f>
        <v/>
      </c>
      <c r="K2259" s="6">
        <f>IF(C2259="","",IF(M2259&gt;0,M2259,IF(AND(E2259&gt;0,ROUND(J2259+D2259-E2259,2)&gt;0,ROUND(J2259+D2259-E2259,2)&lt;'Opening Balance'!$B$14),ROUND(J2259+D2259-E2259,2),0)))</f>
        <v/>
      </c>
      <c r="L2259" s="6">
        <f>IF(C2259="","",ROUND(J2259+D2259-E2259-K2259,2))</f>
        <v/>
      </c>
      <c r="M2259" s="6">
        <f>IF(C2259="","",0)</f>
        <v/>
      </c>
    </row>
    <row r="2260">
      <c r="A2260" t="inlineStr">
        <is>
          <t>Bank 银行</t>
        </is>
      </c>
      <c r="B2260" s="5">
        <f>IF(AND('Daily Sale entry '!Z760="Online collection 网上收款",'Daily Sale entry '!AA760&lt;&gt;""),'Daily Sale entry '!X760,"")</f>
        <v/>
      </c>
      <c r="C2260">
        <f>IF(B2260="","",'Daily Sale entry '!AA760)</f>
        <v/>
      </c>
      <c r="D2260">
        <f>IF(C2260="","",0)</f>
        <v/>
      </c>
      <c r="E2260">
        <f>IF(C2260="","",'Daily Sale entry '!AC760)</f>
        <v/>
      </c>
      <c r="F2260" s="37">
        <f>IF(C2260="","",B2260+IF(E2260&gt;0,0,0.5)+ROW()/10000000)</f>
        <v/>
      </c>
      <c r="G2260">
        <f>IF(C2260="","","Collection 收款 (Online 网上)"&amp;IF('Daily Sale entry '!Y760="",""," - "&amp;'Daily Sale entry '!Y760))</f>
        <v/>
      </c>
      <c r="H2260">
        <f>IF(C2260="","",COUNTIFS($C$2:$C$3001,C2260,$F$2:$F$3001,"&lt;"&amp;F2260)+1)</f>
        <v/>
      </c>
      <c r="I2260">
        <f>IF(C2260="","",C2260&amp;"|"&amp;H2260)</f>
        <v/>
      </c>
      <c r="J2260" s="6">
        <f>IF(C2260="","",IF(H2260=1,SUMIFS('Opening Balance'!$F$4:$F$303,'Opening Balance'!$G$4:$G$303,C2260),INDEX($L$2:$L$3001,MATCH(C2260&amp;"|"&amp;(H2260-1),$I$2:$I$3001,0))))</f>
        <v/>
      </c>
      <c r="K2260" s="6">
        <f>IF(C2260="","",IF(M2260&gt;0,M2260,IF(AND(E2260&gt;0,ROUND(J2260+D2260-E2260,2)&gt;0,ROUND(J2260+D2260-E2260,2)&lt;'Opening Balance'!$B$14),ROUND(J2260+D2260-E2260,2),0)))</f>
        <v/>
      </c>
      <c r="L2260" s="6">
        <f>IF(C2260="","",ROUND(J2260+D2260-E2260-K2260,2))</f>
        <v/>
      </c>
      <c r="M2260" s="6">
        <f>IF(C2260="","",0)</f>
        <v/>
      </c>
    </row>
    <row r="2261">
      <c r="A2261" t="inlineStr">
        <is>
          <t>Bank 银行</t>
        </is>
      </c>
      <c r="B2261" s="5">
        <f>IF(AND('Daily Sale entry '!Z761="Online collection 网上收款",'Daily Sale entry '!AA761&lt;&gt;""),'Daily Sale entry '!X761,"")</f>
        <v/>
      </c>
      <c r="C2261">
        <f>IF(B2261="","",'Daily Sale entry '!AA761)</f>
        <v/>
      </c>
      <c r="D2261">
        <f>IF(C2261="","",0)</f>
        <v/>
      </c>
      <c r="E2261">
        <f>IF(C2261="","",'Daily Sale entry '!AC761)</f>
        <v/>
      </c>
      <c r="F2261" s="37">
        <f>IF(C2261="","",B2261+IF(E2261&gt;0,0,0.5)+ROW()/10000000)</f>
        <v/>
      </c>
      <c r="G2261">
        <f>IF(C2261="","","Collection 收款 (Online 网上)"&amp;IF('Daily Sale entry '!Y761="",""," - "&amp;'Daily Sale entry '!Y761))</f>
        <v/>
      </c>
      <c r="H2261">
        <f>IF(C2261="","",COUNTIFS($C$2:$C$3001,C2261,$F$2:$F$3001,"&lt;"&amp;F2261)+1)</f>
        <v/>
      </c>
      <c r="I2261">
        <f>IF(C2261="","",C2261&amp;"|"&amp;H2261)</f>
        <v/>
      </c>
      <c r="J2261" s="6">
        <f>IF(C2261="","",IF(H2261=1,SUMIFS('Opening Balance'!$F$4:$F$303,'Opening Balance'!$G$4:$G$303,C2261),INDEX($L$2:$L$3001,MATCH(C2261&amp;"|"&amp;(H2261-1),$I$2:$I$3001,0))))</f>
        <v/>
      </c>
      <c r="K2261" s="6">
        <f>IF(C2261="","",IF(M2261&gt;0,M2261,IF(AND(E2261&gt;0,ROUND(J2261+D2261-E2261,2)&gt;0,ROUND(J2261+D2261-E2261,2)&lt;'Opening Balance'!$B$14),ROUND(J2261+D2261-E2261,2),0)))</f>
        <v/>
      </c>
      <c r="L2261" s="6">
        <f>IF(C2261="","",ROUND(J2261+D2261-E2261-K2261,2))</f>
        <v/>
      </c>
      <c r="M2261" s="6">
        <f>IF(C2261="","",0)</f>
        <v/>
      </c>
    </row>
    <row r="2262">
      <c r="A2262" t="inlineStr">
        <is>
          <t>Bank 银行</t>
        </is>
      </c>
      <c r="B2262" s="5">
        <f>IF(AND('Daily Sale entry '!Z762="Online collection 网上收款",'Daily Sale entry '!AA762&lt;&gt;""),'Daily Sale entry '!X762,"")</f>
        <v/>
      </c>
      <c r="C2262">
        <f>IF(B2262="","",'Daily Sale entry '!AA762)</f>
        <v/>
      </c>
      <c r="D2262">
        <f>IF(C2262="","",0)</f>
        <v/>
      </c>
      <c r="E2262">
        <f>IF(C2262="","",'Daily Sale entry '!AC762)</f>
        <v/>
      </c>
      <c r="F2262" s="37">
        <f>IF(C2262="","",B2262+IF(E2262&gt;0,0,0.5)+ROW()/10000000)</f>
        <v/>
      </c>
      <c r="G2262">
        <f>IF(C2262="","","Collection 收款 (Online 网上)"&amp;IF('Daily Sale entry '!Y762="",""," - "&amp;'Daily Sale entry '!Y762))</f>
        <v/>
      </c>
      <c r="H2262">
        <f>IF(C2262="","",COUNTIFS($C$2:$C$3001,C2262,$F$2:$F$3001,"&lt;"&amp;F2262)+1)</f>
        <v/>
      </c>
      <c r="I2262">
        <f>IF(C2262="","",C2262&amp;"|"&amp;H2262)</f>
        <v/>
      </c>
      <c r="J2262" s="6">
        <f>IF(C2262="","",IF(H2262=1,SUMIFS('Opening Balance'!$F$4:$F$303,'Opening Balance'!$G$4:$G$303,C2262),INDEX($L$2:$L$3001,MATCH(C2262&amp;"|"&amp;(H2262-1),$I$2:$I$3001,0))))</f>
        <v/>
      </c>
      <c r="K2262" s="6">
        <f>IF(C2262="","",IF(M2262&gt;0,M2262,IF(AND(E2262&gt;0,ROUND(J2262+D2262-E2262,2)&gt;0,ROUND(J2262+D2262-E2262,2)&lt;'Opening Balance'!$B$14),ROUND(J2262+D2262-E2262,2),0)))</f>
        <v/>
      </c>
      <c r="L2262" s="6">
        <f>IF(C2262="","",ROUND(J2262+D2262-E2262-K2262,2))</f>
        <v/>
      </c>
      <c r="M2262" s="6">
        <f>IF(C2262="","",0)</f>
        <v/>
      </c>
    </row>
    <row r="2263">
      <c r="A2263" t="inlineStr">
        <is>
          <t>Bank 银行</t>
        </is>
      </c>
      <c r="B2263" s="5">
        <f>IF(AND('Daily Sale entry '!Z763="Online collection 网上收款",'Daily Sale entry '!AA763&lt;&gt;""),'Daily Sale entry '!X763,"")</f>
        <v/>
      </c>
      <c r="C2263">
        <f>IF(B2263="","",'Daily Sale entry '!AA763)</f>
        <v/>
      </c>
      <c r="D2263">
        <f>IF(C2263="","",0)</f>
        <v/>
      </c>
      <c r="E2263">
        <f>IF(C2263="","",'Daily Sale entry '!AC763)</f>
        <v/>
      </c>
      <c r="F2263" s="37">
        <f>IF(C2263="","",B2263+IF(E2263&gt;0,0,0.5)+ROW()/10000000)</f>
        <v/>
      </c>
      <c r="G2263">
        <f>IF(C2263="","","Collection 收款 (Online 网上)"&amp;IF('Daily Sale entry '!Y763="",""," - "&amp;'Daily Sale entry '!Y763))</f>
        <v/>
      </c>
      <c r="H2263">
        <f>IF(C2263="","",COUNTIFS($C$2:$C$3001,C2263,$F$2:$F$3001,"&lt;"&amp;F2263)+1)</f>
        <v/>
      </c>
      <c r="I2263">
        <f>IF(C2263="","",C2263&amp;"|"&amp;H2263)</f>
        <v/>
      </c>
      <c r="J2263" s="6">
        <f>IF(C2263="","",IF(H2263=1,SUMIFS('Opening Balance'!$F$4:$F$303,'Opening Balance'!$G$4:$G$303,C2263),INDEX($L$2:$L$3001,MATCH(C2263&amp;"|"&amp;(H2263-1),$I$2:$I$3001,0))))</f>
        <v/>
      </c>
      <c r="K2263" s="6">
        <f>IF(C2263="","",IF(M2263&gt;0,M2263,IF(AND(E2263&gt;0,ROUND(J2263+D2263-E2263,2)&gt;0,ROUND(J2263+D2263-E2263,2)&lt;'Opening Balance'!$B$14),ROUND(J2263+D2263-E2263,2),0)))</f>
        <v/>
      </c>
      <c r="L2263" s="6">
        <f>IF(C2263="","",ROUND(J2263+D2263-E2263-K2263,2))</f>
        <v/>
      </c>
      <c r="M2263" s="6">
        <f>IF(C2263="","",0)</f>
        <v/>
      </c>
    </row>
    <row r="2264">
      <c r="A2264" t="inlineStr">
        <is>
          <t>Bank 银行</t>
        </is>
      </c>
      <c r="B2264" s="5">
        <f>IF(AND('Daily Sale entry '!Z764="Online collection 网上收款",'Daily Sale entry '!AA764&lt;&gt;""),'Daily Sale entry '!X764,"")</f>
        <v/>
      </c>
      <c r="C2264">
        <f>IF(B2264="","",'Daily Sale entry '!AA764)</f>
        <v/>
      </c>
      <c r="D2264">
        <f>IF(C2264="","",0)</f>
        <v/>
      </c>
      <c r="E2264">
        <f>IF(C2264="","",'Daily Sale entry '!AC764)</f>
        <v/>
      </c>
      <c r="F2264" s="37">
        <f>IF(C2264="","",B2264+IF(E2264&gt;0,0,0.5)+ROW()/10000000)</f>
        <v/>
      </c>
      <c r="G2264">
        <f>IF(C2264="","","Collection 收款 (Online 网上)"&amp;IF('Daily Sale entry '!Y764="",""," - "&amp;'Daily Sale entry '!Y764))</f>
        <v/>
      </c>
      <c r="H2264">
        <f>IF(C2264="","",COUNTIFS($C$2:$C$3001,C2264,$F$2:$F$3001,"&lt;"&amp;F2264)+1)</f>
        <v/>
      </c>
      <c r="I2264">
        <f>IF(C2264="","",C2264&amp;"|"&amp;H2264)</f>
        <v/>
      </c>
      <c r="J2264" s="6">
        <f>IF(C2264="","",IF(H2264=1,SUMIFS('Opening Balance'!$F$4:$F$303,'Opening Balance'!$G$4:$G$303,C2264),INDEX($L$2:$L$3001,MATCH(C2264&amp;"|"&amp;(H2264-1),$I$2:$I$3001,0))))</f>
        <v/>
      </c>
      <c r="K2264" s="6">
        <f>IF(C2264="","",IF(M2264&gt;0,M2264,IF(AND(E2264&gt;0,ROUND(J2264+D2264-E2264,2)&gt;0,ROUND(J2264+D2264-E2264,2)&lt;'Opening Balance'!$B$14),ROUND(J2264+D2264-E2264,2),0)))</f>
        <v/>
      </c>
      <c r="L2264" s="6">
        <f>IF(C2264="","",ROUND(J2264+D2264-E2264-K2264,2))</f>
        <v/>
      </c>
      <c r="M2264" s="6">
        <f>IF(C2264="","",0)</f>
        <v/>
      </c>
    </row>
    <row r="2265">
      <c r="A2265" t="inlineStr">
        <is>
          <t>Bank 银行</t>
        </is>
      </c>
      <c r="B2265" s="5">
        <f>IF(AND('Daily Sale entry '!Z765="Online collection 网上收款",'Daily Sale entry '!AA765&lt;&gt;""),'Daily Sale entry '!X765,"")</f>
        <v/>
      </c>
      <c r="C2265">
        <f>IF(B2265="","",'Daily Sale entry '!AA765)</f>
        <v/>
      </c>
      <c r="D2265">
        <f>IF(C2265="","",0)</f>
        <v/>
      </c>
      <c r="E2265">
        <f>IF(C2265="","",'Daily Sale entry '!AC765)</f>
        <v/>
      </c>
      <c r="F2265" s="37">
        <f>IF(C2265="","",B2265+IF(E2265&gt;0,0,0.5)+ROW()/10000000)</f>
        <v/>
      </c>
      <c r="G2265">
        <f>IF(C2265="","","Collection 收款 (Online 网上)"&amp;IF('Daily Sale entry '!Y765="",""," - "&amp;'Daily Sale entry '!Y765))</f>
        <v/>
      </c>
      <c r="H2265">
        <f>IF(C2265="","",COUNTIFS($C$2:$C$3001,C2265,$F$2:$F$3001,"&lt;"&amp;F2265)+1)</f>
        <v/>
      </c>
      <c r="I2265">
        <f>IF(C2265="","",C2265&amp;"|"&amp;H2265)</f>
        <v/>
      </c>
      <c r="J2265" s="6">
        <f>IF(C2265="","",IF(H2265=1,SUMIFS('Opening Balance'!$F$4:$F$303,'Opening Balance'!$G$4:$G$303,C2265),INDEX($L$2:$L$3001,MATCH(C2265&amp;"|"&amp;(H2265-1),$I$2:$I$3001,0))))</f>
        <v/>
      </c>
      <c r="K2265" s="6">
        <f>IF(C2265="","",IF(M2265&gt;0,M2265,IF(AND(E2265&gt;0,ROUND(J2265+D2265-E2265,2)&gt;0,ROUND(J2265+D2265-E2265,2)&lt;'Opening Balance'!$B$14),ROUND(J2265+D2265-E2265,2),0)))</f>
        <v/>
      </c>
      <c r="L2265" s="6">
        <f>IF(C2265="","",ROUND(J2265+D2265-E2265-K2265,2))</f>
        <v/>
      </c>
      <c r="M2265" s="6">
        <f>IF(C2265="","",0)</f>
        <v/>
      </c>
    </row>
    <row r="2266">
      <c r="A2266" t="inlineStr">
        <is>
          <t>Bank 银行</t>
        </is>
      </c>
      <c r="B2266" s="5">
        <f>IF(AND('Daily Sale entry '!Z766="Online collection 网上收款",'Daily Sale entry '!AA766&lt;&gt;""),'Daily Sale entry '!X766,"")</f>
        <v/>
      </c>
      <c r="C2266">
        <f>IF(B2266="","",'Daily Sale entry '!AA766)</f>
        <v/>
      </c>
      <c r="D2266">
        <f>IF(C2266="","",0)</f>
        <v/>
      </c>
      <c r="E2266">
        <f>IF(C2266="","",'Daily Sale entry '!AC766)</f>
        <v/>
      </c>
      <c r="F2266" s="37">
        <f>IF(C2266="","",B2266+IF(E2266&gt;0,0,0.5)+ROW()/10000000)</f>
        <v/>
      </c>
      <c r="G2266">
        <f>IF(C2266="","","Collection 收款 (Online 网上)"&amp;IF('Daily Sale entry '!Y766="",""," - "&amp;'Daily Sale entry '!Y766))</f>
        <v/>
      </c>
      <c r="H2266">
        <f>IF(C2266="","",COUNTIFS($C$2:$C$3001,C2266,$F$2:$F$3001,"&lt;"&amp;F2266)+1)</f>
        <v/>
      </c>
      <c r="I2266">
        <f>IF(C2266="","",C2266&amp;"|"&amp;H2266)</f>
        <v/>
      </c>
      <c r="J2266" s="6">
        <f>IF(C2266="","",IF(H2266=1,SUMIFS('Opening Balance'!$F$4:$F$303,'Opening Balance'!$G$4:$G$303,C2266),INDEX($L$2:$L$3001,MATCH(C2266&amp;"|"&amp;(H2266-1),$I$2:$I$3001,0))))</f>
        <v/>
      </c>
      <c r="K2266" s="6">
        <f>IF(C2266="","",IF(M2266&gt;0,M2266,IF(AND(E2266&gt;0,ROUND(J2266+D2266-E2266,2)&gt;0,ROUND(J2266+D2266-E2266,2)&lt;'Opening Balance'!$B$14),ROUND(J2266+D2266-E2266,2),0)))</f>
        <v/>
      </c>
      <c r="L2266" s="6">
        <f>IF(C2266="","",ROUND(J2266+D2266-E2266-K2266,2))</f>
        <v/>
      </c>
      <c r="M2266" s="6">
        <f>IF(C2266="","",0)</f>
        <v/>
      </c>
    </row>
    <row r="2267">
      <c r="A2267" t="inlineStr">
        <is>
          <t>Bank 银行</t>
        </is>
      </c>
      <c r="B2267" s="5">
        <f>IF(AND('Daily Sale entry '!Z767="Online collection 网上收款",'Daily Sale entry '!AA767&lt;&gt;""),'Daily Sale entry '!X767,"")</f>
        <v/>
      </c>
      <c r="C2267">
        <f>IF(B2267="","",'Daily Sale entry '!AA767)</f>
        <v/>
      </c>
      <c r="D2267">
        <f>IF(C2267="","",0)</f>
        <v/>
      </c>
      <c r="E2267">
        <f>IF(C2267="","",'Daily Sale entry '!AC767)</f>
        <v/>
      </c>
      <c r="F2267" s="37">
        <f>IF(C2267="","",B2267+IF(E2267&gt;0,0,0.5)+ROW()/10000000)</f>
        <v/>
      </c>
      <c r="G2267">
        <f>IF(C2267="","","Collection 收款 (Online 网上)"&amp;IF('Daily Sale entry '!Y767="",""," - "&amp;'Daily Sale entry '!Y767))</f>
        <v/>
      </c>
      <c r="H2267">
        <f>IF(C2267="","",COUNTIFS($C$2:$C$3001,C2267,$F$2:$F$3001,"&lt;"&amp;F2267)+1)</f>
        <v/>
      </c>
      <c r="I2267">
        <f>IF(C2267="","",C2267&amp;"|"&amp;H2267)</f>
        <v/>
      </c>
      <c r="J2267" s="6">
        <f>IF(C2267="","",IF(H2267=1,SUMIFS('Opening Balance'!$F$4:$F$303,'Opening Balance'!$G$4:$G$303,C2267),INDEX($L$2:$L$3001,MATCH(C2267&amp;"|"&amp;(H2267-1),$I$2:$I$3001,0))))</f>
        <v/>
      </c>
      <c r="K2267" s="6">
        <f>IF(C2267="","",IF(M2267&gt;0,M2267,IF(AND(E2267&gt;0,ROUND(J2267+D2267-E2267,2)&gt;0,ROUND(J2267+D2267-E2267,2)&lt;'Opening Balance'!$B$14),ROUND(J2267+D2267-E2267,2),0)))</f>
        <v/>
      </c>
      <c r="L2267" s="6">
        <f>IF(C2267="","",ROUND(J2267+D2267-E2267-K2267,2))</f>
        <v/>
      </c>
      <c r="M2267" s="6">
        <f>IF(C2267="","",0)</f>
        <v/>
      </c>
    </row>
    <row r="2268">
      <c r="A2268" t="inlineStr">
        <is>
          <t>Bank 银行</t>
        </is>
      </c>
      <c r="B2268" s="5">
        <f>IF(AND('Daily Sale entry '!Z768="Online collection 网上收款",'Daily Sale entry '!AA768&lt;&gt;""),'Daily Sale entry '!X768,"")</f>
        <v/>
      </c>
      <c r="C2268">
        <f>IF(B2268="","",'Daily Sale entry '!AA768)</f>
        <v/>
      </c>
      <c r="D2268">
        <f>IF(C2268="","",0)</f>
        <v/>
      </c>
      <c r="E2268">
        <f>IF(C2268="","",'Daily Sale entry '!AC768)</f>
        <v/>
      </c>
      <c r="F2268" s="37">
        <f>IF(C2268="","",B2268+IF(E2268&gt;0,0,0.5)+ROW()/10000000)</f>
        <v/>
      </c>
      <c r="G2268">
        <f>IF(C2268="","","Collection 收款 (Online 网上)"&amp;IF('Daily Sale entry '!Y768="",""," - "&amp;'Daily Sale entry '!Y768))</f>
        <v/>
      </c>
      <c r="H2268">
        <f>IF(C2268="","",COUNTIFS($C$2:$C$3001,C2268,$F$2:$F$3001,"&lt;"&amp;F2268)+1)</f>
        <v/>
      </c>
      <c r="I2268">
        <f>IF(C2268="","",C2268&amp;"|"&amp;H2268)</f>
        <v/>
      </c>
      <c r="J2268" s="6">
        <f>IF(C2268="","",IF(H2268=1,SUMIFS('Opening Balance'!$F$4:$F$303,'Opening Balance'!$G$4:$G$303,C2268),INDEX($L$2:$L$3001,MATCH(C2268&amp;"|"&amp;(H2268-1),$I$2:$I$3001,0))))</f>
        <v/>
      </c>
      <c r="K2268" s="6">
        <f>IF(C2268="","",IF(M2268&gt;0,M2268,IF(AND(E2268&gt;0,ROUND(J2268+D2268-E2268,2)&gt;0,ROUND(J2268+D2268-E2268,2)&lt;'Opening Balance'!$B$14),ROUND(J2268+D2268-E2268,2),0)))</f>
        <v/>
      </c>
      <c r="L2268" s="6">
        <f>IF(C2268="","",ROUND(J2268+D2268-E2268-K2268,2))</f>
        <v/>
      </c>
      <c r="M2268" s="6">
        <f>IF(C2268="","",0)</f>
        <v/>
      </c>
    </row>
    <row r="2269">
      <c r="A2269" t="inlineStr">
        <is>
          <t>Bank 银行</t>
        </is>
      </c>
      <c r="B2269" s="5">
        <f>IF(AND('Daily Sale entry '!Z769="Online collection 网上收款",'Daily Sale entry '!AA769&lt;&gt;""),'Daily Sale entry '!X769,"")</f>
        <v/>
      </c>
      <c r="C2269">
        <f>IF(B2269="","",'Daily Sale entry '!AA769)</f>
        <v/>
      </c>
      <c r="D2269">
        <f>IF(C2269="","",0)</f>
        <v/>
      </c>
      <c r="E2269">
        <f>IF(C2269="","",'Daily Sale entry '!AC769)</f>
        <v/>
      </c>
      <c r="F2269" s="37">
        <f>IF(C2269="","",B2269+IF(E2269&gt;0,0,0.5)+ROW()/10000000)</f>
        <v/>
      </c>
      <c r="G2269">
        <f>IF(C2269="","","Collection 收款 (Online 网上)"&amp;IF('Daily Sale entry '!Y769="",""," - "&amp;'Daily Sale entry '!Y769))</f>
        <v/>
      </c>
      <c r="H2269">
        <f>IF(C2269="","",COUNTIFS($C$2:$C$3001,C2269,$F$2:$F$3001,"&lt;"&amp;F2269)+1)</f>
        <v/>
      </c>
      <c r="I2269">
        <f>IF(C2269="","",C2269&amp;"|"&amp;H2269)</f>
        <v/>
      </c>
      <c r="J2269" s="6">
        <f>IF(C2269="","",IF(H2269=1,SUMIFS('Opening Balance'!$F$4:$F$303,'Opening Balance'!$G$4:$G$303,C2269),INDEX($L$2:$L$3001,MATCH(C2269&amp;"|"&amp;(H2269-1),$I$2:$I$3001,0))))</f>
        <v/>
      </c>
      <c r="K2269" s="6">
        <f>IF(C2269="","",IF(M2269&gt;0,M2269,IF(AND(E2269&gt;0,ROUND(J2269+D2269-E2269,2)&gt;0,ROUND(J2269+D2269-E2269,2)&lt;'Opening Balance'!$B$14),ROUND(J2269+D2269-E2269,2),0)))</f>
        <v/>
      </c>
      <c r="L2269" s="6">
        <f>IF(C2269="","",ROUND(J2269+D2269-E2269-K2269,2))</f>
        <v/>
      </c>
      <c r="M2269" s="6">
        <f>IF(C2269="","",0)</f>
        <v/>
      </c>
    </row>
    <row r="2270">
      <c r="A2270" t="inlineStr">
        <is>
          <t>Bank 银行</t>
        </is>
      </c>
      <c r="B2270" s="5">
        <f>IF(AND('Daily Sale entry '!Z770="Online collection 网上收款",'Daily Sale entry '!AA770&lt;&gt;""),'Daily Sale entry '!X770,"")</f>
        <v/>
      </c>
      <c r="C2270">
        <f>IF(B2270="","",'Daily Sale entry '!AA770)</f>
        <v/>
      </c>
      <c r="D2270">
        <f>IF(C2270="","",0)</f>
        <v/>
      </c>
      <c r="E2270">
        <f>IF(C2270="","",'Daily Sale entry '!AC770)</f>
        <v/>
      </c>
      <c r="F2270" s="37">
        <f>IF(C2270="","",B2270+IF(E2270&gt;0,0,0.5)+ROW()/10000000)</f>
        <v/>
      </c>
      <c r="G2270">
        <f>IF(C2270="","","Collection 收款 (Online 网上)"&amp;IF('Daily Sale entry '!Y770="",""," - "&amp;'Daily Sale entry '!Y770))</f>
        <v/>
      </c>
      <c r="H2270">
        <f>IF(C2270="","",COUNTIFS($C$2:$C$3001,C2270,$F$2:$F$3001,"&lt;"&amp;F2270)+1)</f>
        <v/>
      </c>
      <c r="I2270">
        <f>IF(C2270="","",C2270&amp;"|"&amp;H2270)</f>
        <v/>
      </c>
      <c r="J2270" s="6">
        <f>IF(C2270="","",IF(H2270=1,SUMIFS('Opening Balance'!$F$4:$F$303,'Opening Balance'!$G$4:$G$303,C2270),INDEX($L$2:$L$3001,MATCH(C2270&amp;"|"&amp;(H2270-1),$I$2:$I$3001,0))))</f>
        <v/>
      </c>
      <c r="K2270" s="6">
        <f>IF(C2270="","",IF(M2270&gt;0,M2270,IF(AND(E2270&gt;0,ROUND(J2270+D2270-E2270,2)&gt;0,ROUND(J2270+D2270-E2270,2)&lt;'Opening Balance'!$B$14),ROUND(J2270+D2270-E2270,2),0)))</f>
        <v/>
      </c>
      <c r="L2270" s="6">
        <f>IF(C2270="","",ROUND(J2270+D2270-E2270-K2270,2))</f>
        <v/>
      </c>
      <c r="M2270" s="6">
        <f>IF(C2270="","",0)</f>
        <v/>
      </c>
    </row>
    <row r="2271">
      <c r="A2271" t="inlineStr">
        <is>
          <t>Bank 银行</t>
        </is>
      </c>
      <c r="B2271" s="5">
        <f>IF(AND('Daily Sale entry '!Z771="Online collection 网上收款",'Daily Sale entry '!AA771&lt;&gt;""),'Daily Sale entry '!X771,"")</f>
        <v/>
      </c>
      <c r="C2271">
        <f>IF(B2271="","",'Daily Sale entry '!AA771)</f>
        <v/>
      </c>
      <c r="D2271">
        <f>IF(C2271="","",0)</f>
        <v/>
      </c>
      <c r="E2271">
        <f>IF(C2271="","",'Daily Sale entry '!AC771)</f>
        <v/>
      </c>
      <c r="F2271" s="37">
        <f>IF(C2271="","",B2271+IF(E2271&gt;0,0,0.5)+ROW()/10000000)</f>
        <v/>
      </c>
      <c r="G2271">
        <f>IF(C2271="","","Collection 收款 (Online 网上)"&amp;IF('Daily Sale entry '!Y771="",""," - "&amp;'Daily Sale entry '!Y771))</f>
        <v/>
      </c>
      <c r="H2271">
        <f>IF(C2271="","",COUNTIFS($C$2:$C$3001,C2271,$F$2:$F$3001,"&lt;"&amp;F2271)+1)</f>
        <v/>
      </c>
      <c r="I2271">
        <f>IF(C2271="","",C2271&amp;"|"&amp;H2271)</f>
        <v/>
      </c>
      <c r="J2271" s="6">
        <f>IF(C2271="","",IF(H2271=1,SUMIFS('Opening Balance'!$F$4:$F$303,'Opening Balance'!$G$4:$G$303,C2271),INDEX($L$2:$L$3001,MATCH(C2271&amp;"|"&amp;(H2271-1),$I$2:$I$3001,0))))</f>
        <v/>
      </c>
      <c r="K2271" s="6">
        <f>IF(C2271="","",IF(M2271&gt;0,M2271,IF(AND(E2271&gt;0,ROUND(J2271+D2271-E2271,2)&gt;0,ROUND(J2271+D2271-E2271,2)&lt;'Opening Balance'!$B$14),ROUND(J2271+D2271-E2271,2),0)))</f>
        <v/>
      </c>
      <c r="L2271" s="6">
        <f>IF(C2271="","",ROUND(J2271+D2271-E2271-K2271,2))</f>
        <v/>
      </c>
      <c r="M2271" s="6">
        <f>IF(C2271="","",0)</f>
        <v/>
      </c>
    </row>
    <row r="2272">
      <c r="A2272" t="inlineStr">
        <is>
          <t>Bank 银行</t>
        </is>
      </c>
      <c r="B2272" s="5">
        <f>IF(AND('Daily Sale entry '!Z772="Online collection 网上收款",'Daily Sale entry '!AA772&lt;&gt;""),'Daily Sale entry '!X772,"")</f>
        <v/>
      </c>
      <c r="C2272">
        <f>IF(B2272="","",'Daily Sale entry '!AA772)</f>
        <v/>
      </c>
      <c r="D2272">
        <f>IF(C2272="","",0)</f>
        <v/>
      </c>
      <c r="E2272">
        <f>IF(C2272="","",'Daily Sale entry '!AC772)</f>
        <v/>
      </c>
      <c r="F2272" s="37">
        <f>IF(C2272="","",B2272+IF(E2272&gt;0,0,0.5)+ROW()/10000000)</f>
        <v/>
      </c>
      <c r="G2272">
        <f>IF(C2272="","","Collection 收款 (Online 网上)"&amp;IF('Daily Sale entry '!Y772="",""," - "&amp;'Daily Sale entry '!Y772))</f>
        <v/>
      </c>
      <c r="H2272">
        <f>IF(C2272="","",COUNTIFS($C$2:$C$3001,C2272,$F$2:$F$3001,"&lt;"&amp;F2272)+1)</f>
        <v/>
      </c>
      <c r="I2272">
        <f>IF(C2272="","",C2272&amp;"|"&amp;H2272)</f>
        <v/>
      </c>
      <c r="J2272" s="6">
        <f>IF(C2272="","",IF(H2272=1,SUMIFS('Opening Balance'!$F$4:$F$303,'Opening Balance'!$G$4:$G$303,C2272),INDEX($L$2:$L$3001,MATCH(C2272&amp;"|"&amp;(H2272-1),$I$2:$I$3001,0))))</f>
        <v/>
      </c>
      <c r="K2272" s="6">
        <f>IF(C2272="","",IF(M2272&gt;0,M2272,IF(AND(E2272&gt;0,ROUND(J2272+D2272-E2272,2)&gt;0,ROUND(J2272+D2272-E2272,2)&lt;'Opening Balance'!$B$14),ROUND(J2272+D2272-E2272,2),0)))</f>
        <v/>
      </c>
      <c r="L2272" s="6">
        <f>IF(C2272="","",ROUND(J2272+D2272-E2272-K2272,2))</f>
        <v/>
      </c>
      <c r="M2272" s="6">
        <f>IF(C2272="","",0)</f>
        <v/>
      </c>
    </row>
    <row r="2273">
      <c r="A2273" t="inlineStr">
        <is>
          <t>Bank 银行</t>
        </is>
      </c>
      <c r="B2273" s="5">
        <f>IF(AND('Daily Sale entry '!Z773="Online collection 网上收款",'Daily Sale entry '!AA773&lt;&gt;""),'Daily Sale entry '!X773,"")</f>
        <v/>
      </c>
      <c r="C2273">
        <f>IF(B2273="","",'Daily Sale entry '!AA773)</f>
        <v/>
      </c>
      <c r="D2273">
        <f>IF(C2273="","",0)</f>
        <v/>
      </c>
      <c r="E2273">
        <f>IF(C2273="","",'Daily Sale entry '!AC773)</f>
        <v/>
      </c>
      <c r="F2273" s="37">
        <f>IF(C2273="","",B2273+IF(E2273&gt;0,0,0.5)+ROW()/10000000)</f>
        <v/>
      </c>
      <c r="G2273">
        <f>IF(C2273="","","Collection 收款 (Online 网上)"&amp;IF('Daily Sale entry '!Y773="",""," - "&amp;'Daily Sale entry '!Y773))</f>
        <v/>
      </c>
      <c r="H2273">
        <f>IF(C2273="","",COUNTIFS($C$2:$C$3001,C2273,$F$2:$F$3001,"&lt;"&amp;F2273)+1)</f>
        <v/>
      </c>
      <c r="I2273">
        <f>IF(C2273="","",C2273&amp;"|"&amp;H2273)</f>
        <v/>
      </c>
      <c r="J2273" s="6">
        <f>IF(C2273="","",IF(H2273=1,SUMIFS('Opening Balance'!$F$4:$F$303,'Opening Balance'!$G$4:$G$303,C2273),INDEX($L$2:$L$3001,MATCH(C2273&amp;"|"&amp;(H2273-1),$I$2:$I$3001,0))))</f>
        <v/>
      </c>
      <c r="K2273" s="6">
        <f>IF(C2273="","",IF(M2273&gt;0,M2273,IF(AND(E2273&gt;0,ROUND(J2273+D2273-E2273,2)&gt;0,ROUND(J2273+D2273-E2273,2)&lt;'Opening Balance'!$B$14),ROUND(J2273+D2273-E2273,2),0)))</f>
        <v/>
      </c>
      <c r="L2273" s="6">
        <f>IF(C2273="","",ROUND(J2273+D2273-E2273-K2273,2))</f>
        <v/>
      </c>
      <c r="M2273" s="6">
        <f>IF(C2273="","",0)</f>
        <v/>
      </c>
    </row>
    <row r="2274">
      <c r="A2274" t="inlineStr">
        <is>
          <t>Bank 银行</t>
        </is>
      </c>
      <c r="B2274" s="5">
        <f>IF(AND('Daily Sale entry '!Z774="Online collection 网上收款",'Daily Sale entry '!AA774&lt;&gt;""),'Daily Sale entry '!X774,"")</f>
        <v/>
      </c>
      <c r="C2274">
        <f>IF(B2274="","",'Daily Sale entry '!AA774)</f>
        <v/>
      </c>
      <c r="D2274">
        <f>IF(C2274="","",0)</f>
        <v/>
      </c>
      <c r="E2274">
        <f>IF(C2274="","",'Daily Sale entry '!AC774)</f>
        <v/>
      </c>
      <c r="F2274" s="37">
        <f>IF(C2274="","",B2274+IF(E2274&gt;0,0,0.5)+ROW()/10000000)</f>
        <v/>
      </c>
      <c r="G2274">
        <f>IF(C2274="","","Collection 收款 (Online 网上)"&amp;IF('Daily Sale entry '!Y774="",""," - "&amp;'Daily Sale entry '!Y774))</f>
        <v/>
      </c>
      <c r="H2274">
        <f>IF(C2274="","",COUNTIFS($C$2:$C$3001,C2274,$F$2:$F$3001,"&lt;"&amp;F2274)+1)</f>
        <v/>
      </c>
      <c r="I2274">
        <f>IF(C2274="","",C2274&amp;"|"&amp;H2274)</f>
        <v/>
      </c>
      <c r="J2274" s="6">
        <f>IF(C2274="","",IF(H2274=1,SUMIFS('Opening Balance'!$F$4:$F$303,'Opening Balance'!$G$4:$G$303,C2274),INDEX($L$2:$L$3001,MATCH(C2274&amp;"|"&amp;(H2274-1),$I$2:$I$3001,0))))</f>
        <v/>
      </c>
      <c r="K2274" s="6">
        <f>IF(C2274="","",IF(M2274&gt;0,M2274,IF(AND(E2274&gt;0,ROUND(J2274+D2274-E2274,2)&gt;0,ROUND(J2274+D2274-E2274,2)&lt;'Opening Balance'!$B$14),ROUND(J2274+D2274-E2274,2),0)))</f>
        <v/>
      </c>
      <c r="L2274" s="6">
        <f>IF(C2274="","",ROUND(J2274+D2274-E2274-K2274,2))</f>
        <v/>
      </c>
      <c r="M2274" s="6">
        <f>IF(C2274="","",0)</f>
        <v/>
      </c>
    </row>
    <row r="2275">
      <c r="A2275" t="inlineStr">
        <is>
          <t>Bank 银行</t>
        </is>
      </c>
      <c r="B2275" s="5">
        <f>IF(AND('Daily Sale entry '!Z775="Online collection 网上收款",'Daily Sale entry '!AA775&lt;&gt;""),'Daily Sale entry '!X775,"")</f>
        <v/>
      </c>
      <c r="C2275">
        <f>IF(B2275="","",'Daily Sale entry '!AA775)</f>
        <v/>
      </c>
      <c r="D2275">
        <f>IF(C2275="","",0)</f>
        <v/>
      </c>
      <c r="E2275">
        <f>IF(C2275="","",'Daily Sale entry '!AC775)</f>
        <v/>
      </c>
      <c r="F2275" s="37">
        <f>IF(C2275="","",B2275+IF(E2275&gt;0,0,0.5)+ROW()/10000000)</f>
        <v/>
      </c>
      <c r="G2275">
        <f>IF(C2275="","","Collection 收款 (Online 网上)"&amp;IF('Daily Sale entry '!Y775="",""," - "&amp;'Daily Sale entry '!Y775))</f>
        <v/>
      </c>
      <c r="H2275">
        <f>IF(C2275="","",COUNTIFS($C$2:$C$3001,C2275,$F$2:$F$3001,"&lt;"&amp;F2275)+1)</f>
        <v/>
      </c>
      <c r="I2275">
        <f>IF(C2275="","",C2275&amp;"|"&amp;H2275)</f>
        <v/>
      </c>
      <c r="J2275" s="6">
        <f>IF(C2275="","",IF(H2275=1,SUMIFS('Opening Balance'!$F$4:$F$303,'Opening Balance'!$G$4:$G$303,C2275),INDEX($L$2:$L$3001,MATCH(C2275&amp;"|"&amp;(H2275-1),$I$2:$I$3001,0))))</f>
        <v/>
      </c>
      <c r="K2275" s="6">
        <f>IF(C2275="","",IF(M2275&gt;0,M2275,IF(AND(E2275&gt;0,ROUND(J2275+D2275-E2275,2)&gt;0,ROUND(J2275+D2275-E2275,2)&lt;'Opening Balance'!$B$14),ROUND(J2275+D2275-E2275,2),0)))</f>
        <v/>
      </c>
      <c r="L2275" s="6">
        <f>IF(C2275="","",ROUND(J2275+D2275-E2275-K2275,2))</f>
        <v/>
      </c>
      <c r="M2275" s="6">
        <f>IF(C2275="","",0)</f>
        <v/>
      </c>
    </row>
    <row r="2276">
      <c r="A2276" t="inlineStr">
        <is>
          <t>Bank 银行</t>
        </is>
      </c>
      <c r="B2276" s="5">
        <f>IF(AND('Daily Sale entry '!Z776="Online collection 网上收款",'Daily Sale entry '!AA776&lt;&gt;""),'Daily Sale entry '!X776,"")</f>
        <v/>
      </c>
      <c r="C2276">
        <f>IF(B2276="","",'Daily Sale entry '!AA776)</f>
        <v/>
      </c>
      <c r="D2276">
        <f>IF(C2276="","",0)</f>
        <v/>
      </c>
      <c r="E2276">
        <f>IF(C2276="","",'Daily Sale entry '!AC776)</f>
        <v/>
      </c>
      <c r="F2276" s="37">
        <f>IF(C2276="","",B2276+IF(E2276&gt;0,0,0.5)+ROW()/10000000)</f>
        <v/>
      </c>
      <c r="G2276">
        <f>IF(C2276="","","Collection 收款 (Online 网上)"&amp;IF('Daily Sale entry '!Y776="",""," - "&amp;'Daily Sale entry '!Y776))</f>
        <v/>
      </c>
      <c r="H2276">
        <f>IF(C2276="","",COUNTIFS($C$2:$C$3001,C2276,$F$2:$F$3001,"&lt;"&amp;F2276)+1)</f>
        <v/>
      </c>
      <c r="I2276">
        <f>IF(C2276="","",C2276&amp;"|"&amp;H2276)</f>
        <v/>
      </c>
      <c r="J2276" s="6">
        <f>IF(C2276="","",IF(H2276=1,SUMIFS('Opening Balance'!$F$4:$F$303,'Opening Balance'!$G$4:$G$303,C2276),INDEX($L$2:$L$3001,MATCH(C2276&amp;"|"&amp;(H2276-1),$I$2:$I$3001,0))))</f>
        <v/>
      </c>
      <c r="K2276" s="6">
        <f>IF(C2276="","",IF(M2276&gt;0,M2276,IF(AND(E2276&gt;0,ROUND(J2276+D2276-E2276,2)&gt;0,ROUND(J2276+D2276-E2276,2)&lt;'Opening Balance'!$B$14),ROUND(J2276+D2276-E2276,2),0)))</f>
        <v/>
      </c>
      <c r="L2276" s="6">
        <f>IF(C2276="","",ROUND(J2276+D2276-E2276-K2276,2))</f>
        <v/>
      </c>
      <c r="M2276" s="6">
        <f>IF(C2276="","",0)</f>
        <v/>
      </c>
    </row>
    <row r="2277">
      <c r="A2277" t="inlineStr">
        <is>
          <t>Bank 银行</t>
        </is>
      </c>
      <c r="B2277" s="5">
        <f>IF(AND('Daily Sale entry '!Z777="Online collection 网上收款",'Daily Sale entry '!AA777&lt;&gt;""),'Daily Sale entry '!X777,"")</f>
        <v/>
      </c>
      <c r="C2277">
        <f>IF(B2277="","",'Daily Sale entry '!AA777)</f>
        <v/>
      </c>
      <c r="D2277">
        <f>IF(C2277="","",0)</f>
        <v/>
      </c>
      <c r="E2277">
        <f>IF(C2277="","",'Daily Sale entry '!AC777)</f>
        <v/>
      </c>
      <c r="F2277" s="37">
        <f>IF(C2277="","",B2277+IF(E2277&gt;0,0,0.5)+ROW()/10000000)</f>
        <v/>
      </c>
      <c r="G2277">
        <f>IF(C2277="","","Collection 收款 (Online 网上)"&amp;IF('Daily Sale entry '!Y777="",""," - "&amp;'Daily Sale entry '!Y777))</f>
        <v/>
      </c>
      <c r="H2277">
        <f>IF(C2277="","",COUNTIFS($C$2:$C$3001,C2277,$F$2:$F$3001,"&lt;"&amp;F2277)+1)</f>
        <v/>
      </c>
      <c r="I2277">
        <f>IF(C2277="","",C2277&amp;"|"&amp;H2277)</f>
        <v/>
      </c>
      <c r="J2277" s="6">
        <f>IF(C2277="","",IF(H2277=1,SUMIFS('Opening Balance'!$F$4:$F$303,'Opening Balance'!$G$4:$G$303,C2277),INDEX($L$2:$L$3001,MATCH(C2277&amp;"|"&amp;(H2277-1),$I$2:$I$3001,0))))</f>
        <v/>
      </c>
      <c r="K2277" s="6">
        <f>IF(C2277="","",IF(M2277&gt;0,M2277,IF(AND(E2277&gt;0,ROUND(J2277+D2277-E2277,2)&gt;0,ROUND(J2277+D2277-E2277,2)&lt;'Opening Balance'!$B$14),ROUND(J2277+D2277-E2277,2),0)))</f>
        <v/>
      </c>
      <c r="L2277" s="6">
        <f>IF(C2277="","",ROUND(J2277+D2277-E2277-K2277,2))</f>
        <v/>
      </c>
      <c r="M2277" s="6">
        <f>IF(C2277="","",0)</f>
        <v/>
      </c>
    </row>
    <row r="2278">
      <c r="A2278" t="inlineStr">
        <is>
          <t>Bank 银行</t>
        </is>
      </c>
      <c r="B2278" s="5">
        <f>IF(AND('Daily Sale entry '!Z778="Online collection 网上收款",'Daily Sale entry '!AA778&lt;&gt;""),'Daily Sale entry '!X778,"")</f>
        <v/>
      </c>
      <c r="C2278">
        <f>IF(B2278="","",'Daily Sale entry '!AA778)</f>
        <v/>
      </c>
      <c r="D2278">
        <f>IF(C2278="","",0)</f>
        <v/>
      </c>
      <c r="E2278">
        <f>IF(C2278="","",'Daily Sale entry '!AC778)</f>
        <v/>
      </c>
      <c r="F2278" s="37">
        <f>IF(C2278="","",B2278+IF(E2278&gt;0,0,0.5)+ROW()/10000000)</f>
        <v/>
      </c>
      <c r="G2278">
        <f>IF(C2278="","","Collection 收款 (Online 网上)"&amp;IF('Daily Sale entry '!Y778="",""," - "&amp;'Daily Sale entry '!Y778))</f>
        <v/>
      </c>
      <c r="H2278">
        <f>IF(C2278="","",COUNTIFS($C$2:$C$3001,C2278,$F$2:$F$3001,"&lt;"&amp;F2278)+1)</f>
        <v/>
      </c>
      <c r="I2278">
        <f>IF(C2278="","",C2278&amp;"|"&amp;H2278)</f>
        <v/>
      </c>
      <c r="J2278" s="6">
        <f>IF(C2278="","",IF(H2278=1,SUMIFS('Opening Balance'!$F$4:$F$303,'Opening Balance'!$G$4:$G$303,C2278),INDEX($L$2:$L$3001,MATCH(C2278&amp;"|"&amp;(H2278-1),$I$2:$I$3001,0))))</f>
        <v/>
      </c>
      <c r="K2278" s="6">
        <f>IF(C2278="","",IF(M2278&gt;0,M2278,IF(AND(E2278&gt;0,ROUND(J2278+D2278-E2278,2)&gt;0,ROUND(J2278+D2278-E2278,2)&lt;'Opening Balance'!$B$14),ROUND(J2278+D2278-E2278,2),0)))</f>
        <v/>
      </c>
      <c r="L2278" s="6">
        <f>IF(C2278="","",ROUND(J2278+D2278-E2278-K2278,2))</f>
        <v/>
      </c>
      <c r="M2278" s="6">
        <f>IF(C2278="","",0)</f>
        <v/>
      </c>
    </row>
    <row r="2279">
      <c r="A2279" t="inlineStr">
        <is>
          <t>Bank 银行</t>
        </is>
      </c>
      <c r="B2279" s="5">
        <f>IF(AND('Daily Sale entry '!Z779="Online collection 网上收款",'Daily Sale entry '!AA779&lt;&gt;""),'Daily Sale entry '!X779,"")</f>
        <v/>
      </c>
      <c r="C2279">
        <f>IF(B2279="","",'Daily Sale entry '!AA779)</f>
        <v/>
      </c>
      <c r="D2279">
        <f>IF(C2279="","",0)</f>
        <v/>
      </c>
      <c r="E2279">
        <f>IF(C2279="","",'Daily Sale entry '!AC779)</f>
        <v/>
      </c>
      <c r="F2279" s="37">
        <f>IF(C2279="","",B2279+IF(E2279&gt;0,0,0.5)+ROW()/10000000)</f>
        <v/>
      </c>
      <c r="G2279">
        <f>IF(C2279="","","Collection 收款 (Online 网上)"&amp;IF('Daily Sale entry '!Y779="",""," - "&amp;'Daily Sale entry '!Y779))</f>
        <v/>
      </c>
      <c r="H2279">
        <f>IF(C2279="","",COUNTIFS($C$2:$C$3001,C2279,$F$2:$F$3001,"&lt;"&amp;F2279)+1)</f>
        <v/>
      </c>
      <c r="I2279">
        <f>IF(C2279="","",C2279&amp;"|"&amp;H2279)</f>
        <v/>
      </c>
      <c r="J2279" s="6">
        <f>IF(C2279="","",IF(H2279=1,SUMIFS('Opening Balance'!$F$4:$F$303,'Opening Balance'!$G$4:$G$303,C2279),INDEX($L$2:$L$3001,MATCH(C2279&amp;"|"&amp;(H2279-1),$I$2:$I$3001,0))))</f>
        <v/>
      </c>
      <c r="K2279" s="6">
        <f>IF(C2279="","",IF(M2279&gt;0,M2279,IF(AND(E2279&gt;0,ROUND(J2279+D2279-E2279,2)&gt;0,ROUND(J2279+D2279-E2279,2)&lt;'Opening Balance'!$B$14),ROUND(J2279+D2279-E2279,2),0)))</f>
        <v/>
      </c>
      <c r="L2279" s="6">
        <f>IF(C2279="","",ROUND(J2279+D2279-E2279-K2279,2))</f>
        <v/>
      </c>
      <c r="M2279" s="6">
        <f>IF(C2279="","",0)</f>
        <v/>
      </c>
    </row>
    <row r="2280">
      <c r="A2280" t="inlineStr">
        <is>
          <t>Bank 银行</t>
        </is>
      </c>
      <c r="B2280" s="5">
        <f>IF(AND('Daily Sale entry '!Z780="Online collection 网上收款",'Daily Sale entry '!AA780&lt;&gt;""),'Daily Sale entry '!X780,"")</f>
        <v/>
      </c>
      <c r="C2280">
        <f>IF(B2280="","",'Daily Sale entry '!AA780)</f>
        <v/>
      </c>
      <c r="D2280">
        <f>IF(C2280="","",0)</f>
        <v/>
      </c>
      <c r="E2280">
        <f>IF(C2280="","",'Daily Sale entry '!AC780)</f>
        <v/>
      </c>
      <c r="F2280" s="37">
        <f>IF(C2280="","",B2280+IF(E2280&gt;0,0,0.5)+ROW()/10000000)</f>
        <v/>
      </c>
      <c r="G2280">
        <f>IF(C2280="","","Collection 收款 (Online 网上)"&amp;IF('Daily Sale entry '!Y780="",""," - "&amp;'Daily Sale entry '!Y780))</f>
        <v/>
      </c>
      <c r="H2280">
        <f>IF(C2280="","",COUNTIFS($C$2:$C$3001,C2280,$F$2:$F$3001,"&lt;"&amp;F2280)+1)</f>
        <v/>
      </c>
      <c r="I2280">
        <f>IF(C2280="","",C2280&amp;"|"&amp;H2280)</f>
        <v/>
      </c>
      <c r="J2280" s="6">
        <f>IF(C2280="","",IF(H2280=1,SUMIFS('Opening Balance'!$F$4:$F$303,'Opening Balance'!$G$4:$G$303,C2280),INDEX($L$2:$L$3001,MATCH(C2280&amp;"|"&amp;(H2280-1),$I$2:$I$3001,0))))</f>
        <v/>
      </c>
      <c r="K2280" s="6">
        <f>IF(C2280="","",IF(M2280&gt;0,M2280,IF(AND(E2280&gt;0,ROUND(J2280+D2280-E2280,2)&gt;0,ROUND(J2280+D2280-E2280,2)&lt;'Opening Balance'!$B$14),ROUND(J2280+D2280-E2280,2),0)))</f>
        <v/>
      </c>
      <c r="L2280" s="6">
        <f>IF(C2280="","",ROUND(J2280+D2280-E2280-K2280,2))</f>
        <v/>
      </c>
      <c r="M2280" s="6">
        <f>IF(C2280="","",0)</f>
        <v/>
      </c>
    </row>
    <row r="2281">
      <c r="A2281" t="inlineStr">
        <is>
          <t>Bank 银行</t>
        </is>
      </c>
      <c r="B2281" s="5">
        <f>IF(AND('Daily Sale entry '!Z781="Online collection 网上收款",'Daily Sale entry '!AA781&lt;&gt;""),'Daily Sale entry '!X781,"")</f>
        <v/>
      </c>
      <c r="C2281">
        <f>IF(B2281="","",'Daily Sale entry '!AA781)</f>
        <v/>
      </c>
      <c r="D2281">
        <f>IF(C2281="","",0)</f>
        <v/>
      </c>
      <c r="E2281">
        <f>IF(C2281="","",'Daily Sale entry '!AC781)</f>
        <v/>
      </c>
      <c r="F2281" s="37">
        <f>IF(C2281="","",B2281+IF(E2281&gt;0,0,0.5)+ROW()/10000000)</f>
        <v/>
      </c>
      <c r="G2281">
        <f>IF(C2281="","","Collection 收款 (Online 网上)"&amp;IF('Daily Sale entry '!Y781="",""," - "&amp;'Daily Sale entry '!Y781))</f>
        <v/>
      </c>
      <c r="H2281">
        <f>IF(C2281="","",COUNTIFS($C$2:$C$3001,C2281,$F$2:$F$3001,"&lt;"&amp;F2281)+1)</f>
        <v/>
      </c>
      <c r="I2281">
        <f>IF(C2281="","",C2281&amp;"|"&amp;H2281)</f>
        <v/>
      </c>
      <c r="J2281" s="6">
        <f>IF(C2281="","",IF(H2281=1,SUMIFS('Opening Balance'!$F$4:$F$303,'Opening Balance'!$G$4:$G$303,C2281),INDEX($L$2:$L$3001,MATCH(C2281&amp;"|"&amp;(H2281-1),$I$2:$I$3001,0))))</f>
        <v/>
      </c>
      <c r="K2281" s="6">
        <f>IF(C2281="","",IF(M2281&gt;0,M2281,IF(AND(E2281&gt;0,ROUND(J2281+D2281-E2281,2)&gt;0,ROUND(J2281+D2281-E2281,2)&lt;'Opening Balance'!$B$14),ROUND(J2281+D2281-E2281,2),0)))</f>
        <v/>
      </c>
      <c r="L2281" s="6">
        <f>IF(C2281="","",ROUND(J2281+D2281-E2281-K2281,2))</f>
        <v/>
      </c>
      <c r="M2281" s="6">
        <f>IF(C2281="","",0)</f>
        <v/>
      </c>
    </row>
    <row r="2282">
      <c r="A2282" t="inlineStr">
        <is>
          <t>Bank 银行</t>
        </is>
      </c>
      <c r="B2282" s="5">
        <f>IF(AND('Daily Sale entry '!Z782="Online collection 网上收款",'Daily Sale entry '!AA782&lt;&gt;""),'Daily Sale entry '!X782,"")</f>
        <v/>
      </c>
      <c r="C2282">
        <f>IF(B2282="","",'Daily Sale entry '!AA782)</f>
        <v/>
      </c>
      <c r="D2282">
        <f>IF(C2282="","",0)</f>
        <v/>
      </c>
      <c r="E2282">
        <f>IF(C2282="","",'Daily Sale entry '!AC782)</f>
        <v/>
      </c>
      <c r="F2282" s="37">
        <f>IF(C2282="","",B2282+IF(E2282&gt;0,0,0.5)+ROW()/10000000)</f>
        <v/>
      </c>
      <c r="G2282">
        <f>IF(C2282="","","Collection 收款 (Online 网上)"&amp;IF('Daily Sale entry '!Y782="",""," - "&amp;'Daily Sale entry '!Y782))</f>
        <v/>
      </c>
      <c r="H2282">
        <f>IF(C2282="","",COUNTIFS($C$2:$C$3001,C2282,$F$2:$F$3001,"&lt;"&amp;F2282)+1)</f>
        <v/>
      </c>
      <c r="I2282">
        <f>IF(C2282="","",C2282&amp;"|"&amp;H2282)</f>
        <v/>
      </c>
      <c r="J2282" s="6">
        <f>IF(C2282="","",IF(H2282=1,SUMIFS('Opening Balance'!$F$4:$F$303,'Opening Balance'!$G$4:$G$303,C2282),INDEX($L$2:$L$3001,MATCH(C2282&amp;"|"&amp;(H2282-1),$I$2:$I$3001,0))))</f>
        <v/>
      </c>
      <c r="K2282" s="6">
        <f>IF(C2282="","",IF(M2282&gt;0,M2282,IF(AND(E2282&gt;0,ROUND(J2282+D2282-E2282,2)&gt;0,ROUND(J2282+D2282-E2282,2)&lt;'Opening Balance'!$B$14),ROUND(J2282+D2282-E2282,2),0)))</f>
        <v/>
      </c>
      <c r="L2282" s="6">
        <f>IF(C2282="","",ROUND(J2282+D2282-E2282-K2282,2))</f>
        <v/>
      </c>
      <c r="M2282" s="6">
        <f>IF(C2282="","",0)</f>
        <v/>
      </c>
    </row>
    <row r="2283">
      <c r="A2283" t="inlineStr">
        <is>
          <t>Bank 银行</t>
        </is>
      </c>
      <c r="B2283" s="5">
        <f>IF(AND('Daily Sale entry '!Z783="Online collection 网上收款",'Daily Sale entry '!AA783&lt;&gt;""),'Daily Sale entry '!X783,"")</f>
        <v/>
      </c>
      <c r="C2283">
        <f>IF(B2283="","",'Daily Sale entry '!AA783)</f>
        <v/>
      </c>
      <c r="D2283">
        <f>IF(C2283="","",0)</f>
        <v/>
      </c>
      <c r="E2283">
        <f>IF(C2283="","",'Daily Sale entry '!AC783)</f>
        <v/>
      </c>
      <c r="F2283" s="37">
        <f>IF(C2283="","",B2283+IF(E2283&gt;0,0,0.5)+ROW()/10000000)</f>
        <v/>
      </c>
      <c r="G2283">
        <f>IF(C2283="","","Collection 收款 (Online 网上)"&amp;IF('Daily Sale entry '!Y783="",""," - "&amp;'Daily Sale entry '!Y783))</f>
        <v/>
      </c>
      <c r="H2283">
        <f>IF(C2283="","",COUNTIFS($C$2:$C$3001,C2283,$F$2:$F$3001,"&lt;"&amp;F2283)+1)</f>
        <v/>
      </c>
      <c r="I2283">
        <f>IF(C2283="","",C2283&amp;"|"&amp;H2283)</f>
        <v/>
      </c>
      <c r="J2283" s="6">
        <f>IF(C2283="","",IF(H2283=1,SUMIFS('Opening Balance'!$F$4:$F$303,'Opening Balance'!$G$4:$G$303,C2283),INDEX($L$2:$L$3001,MATCH(C2283&amp;"|"&amp;(H2283-1),$I$2:$I$3001,0))))</f>
        <v/>
      </c>
      <c r="K2283" s="6">
        <f>IF(C2283="","",IF(M2283&gt;0,M2283,IF(AND(E2283&gt;0,ROUND(J2283+D2283-E2283,2)&gt;0,ROUND(J2283+D2283-E2283,2)&lt;'Opening Balance'!$B$14),ROUND(J2283+D2283-E2283,2),0)))</f>
        <v/>
      </c>
      <c r="L2283" s="6">
        <f>IF(C2283="","",ROUND(J2283+D2283-E2283-K2283,2))</f>
        <v/>
      </c>
      <c r="M2283" s="6">
        <f>IF(C2283="","",0)</f>
        <v/>
      </c>
    </row>
    <row r="2284">
      <c r="A2284" t="inlineStr">
        <is>
          <t>Bank 银行</t>
        </is>
      </c>
      <c r="B2284" s="5">
        <f>IF(AND('Daily Sale entry '!Z784="Online collection 网上收款",'Daily Sale entry '!AA784&lt;&gt;""),'Daily Sale entry '!X784,"")</f>
        <v/>
      </c>
      <c r="C2284">
        <f>IF(B2284="","",'Daily Sale entry '!AA784)</f>
        <v/>
      </c>
      <c r="D2284">
        <f>IF(C2284="","",0)</f>
        <v/>
      </c>
      <c r="E2284">
        <f>IF(C2284="","",'Daily Sale entry '!AC784)</f>
        <v/>
      </c>
      <c r="F2284" s="37">
        <f>IF(C2284="","",B2284+IF(E2284&gt;0,0,0.5)+ROW()/10000000)</f>
        <v/>
      </c>
      <c r="G2284">
        <f>IF(C2284="","","Collection 收款 (Online 网上)"&amp;IF('Daily Sale entry '!Y784="",""," - "&amp;'Daily Sale entry '!Y784))</f>
        <v/>
      </c>
      <c r="H2284">
        <f>IF(C2284="","",COUNTIFS($C$2:$C$3001,C2284,$F$2:$F$3001,"&lt;"&amp;F2284)+1)</f>
        <v/>
      </c>
      <c r="I2284">
        <f>IF(C2284="","",C2284&amp;"|"&amp;H2284)</f>
        <v/>
      </c>
      <c r="J2284" s="6">
        <f>IF(C2284="","",IF(H2284=1,SUMIFS('Opening Balance'!$F$4:$F$303,'Opening Balance'!$G$4:$G$303,C2284),INDEX($L$2:$L$3001,MATCH(C2284&amp;"|"&amp;(H2284-1),$I$2:$I$3001,0))))</f>
        <v/>
      </c>
      <c r="K2284" s="6">
        <f>IF(C2284="","",IF(M2284&gt;0,M2284,IF(AND(E2284&gt;0,ROUND(J2284+D2284-E2284,2)&gt;0,ROUND(J2284+D2284-E2284,2)&lt;'Opening Balance'!$B$14),ROUND(J2284+D2284-E2284,2),0)))</f>
        <v/>
      </c>
      <c r="L2284" s="6">
        <f>IF(C2284="","",ROUND(J2284+D2284-E2284-K2284,2))</f>
        <v/>
      </c>
      <c r="M2284" s="6">
        <f>IF(C2284="","",0)</f>
        <v/>
      </c>
    </row>
    <row r="2285">
      <c r="A2285" t="inlineStr">
        <is>
          <t>Bank 银行</t>
        </is>
      </c>
      <c r="B2285" s="5">
        <f>IF(AND('Daily Sale entry '!Z785="Online collection 网上收款",'Daily Sale entry '!AA785&lt;&gt;""),'Daily Sale entry '!X785,"")</f>
        <v/>
      </c>
      <c r="C2285">
        <f>IF(B2285="","",'Daily Sale entry '!AA785)</f>
        <v/>
      </c>
      <c r="D2285">
        <f>IF(C2285="","",0)</f>
        <v/>
      </c>
      <c r="E2285">
        <f>IF(C2285="","",'Daily Sale entry '!AC785)</f>
        <v/>
      </c>
      <c r="F2285" s="37">
        <f>IF(C2285="","",B2285+IF(E2285&gt;0,0,0.5)+ROW()/10000000)</f>
        <v/>
      </c>
      <c r="G2285">
        <f>IF(C2285="","","Collection 收款 (Online 网上)"&amp;IF('Daily Sale entry '!Y785="",""," - "&amp;'Daily Sale entry '!Y785))</f>
        <v/>
      </c>
      <c r="H2285">
        <f>IF(C2285="","",COUNTIFS($C$2:$C$3001,C2285,$F$2:$F$3001,"&lt;"&amp;F2285)+1)</f>
        <v/>
      </c>
      <c r="I2285">
        <f>IF(C2285="","",C2285&amp;"|"&amp;H2285)</f>
        <v/>
      </c>
      <c r="J2285" s="6">
        <f>IF(C2285="","",IF(H2285=1,SUMIFS('Opening Balance'!$F$4:$F$303,'Opening Balance'!$G$4:$G$303,C2285),INDEX($L$2:$L$3001,MATCH(C2285&amp;"|"&amp;(H2285-1),$I$2:$I$3001,0))))</f>
        <v/>
      </c>
      <c r="K2285" s="6">
        <f>IF(C2285="","",IF(M2285&gt;0,M2285,IF(AND(E2285&gt;0,ROUND(J2285+D2285-E2285,2)&gt;0,ROUND(J2285+D2285-E2285,2)&lt;'Opening Balance'!$B$14),ROUND(J2285+D2285-E2285,2),0)))</f>
        <v/>
      </c>
      <c r="L2285" s="6">
        <f>IF(C2285="","",ROUND(J2285+D2285-E2285-K2285,2))</f>
        <v/>
      </c>
      <c r="M2285" s="6">
        <f>IF(C2285="","",0)</f>
        <v/>
      </c>
    </row>
    <row r="2286">
      <c r="A2286" t="inlineStr">
        <is>
          <t>Bank 银行</t>
        </is>
      </c>
      <c r="B2286" s="5">
        <f>IF(AND('Daily Sale entry '!Z786="Online collection 网上收款",'Daily Sale entry '!AA786&lt;&gt;""),'Daily Sale entry '!X786,"")</f>
        <v/>
      </c>
      <c r="C2286">
        <f>IF(B2286="","",'Daily Sale entry '!AA786)</f>
        <v/>
      </c>
      <c r="D2286">
        <f>IF(C2286="","",0)</f>
        <v/>
      </c>
      <c r="E2286">
        <f>IF(C2286="","",'Daily Sale entry '!AC786)</f>
        <v/>
      </c>
      <c r="F2286" s="37">
        <f>IF(C2286="","",B2286+IF(E2286&gt;0,0,0.5)+ROW()/10000000)</f>
        <v/>
      </c>
      <c r="G2286">
        <f>IF(C2286="","","Collection 收款 (Online 网上)"&amp;IF('Daily Sale entry '!Y786="",""," - "&amp;'Daily Sale entry '!Y786))</f>
        <v/>
      </c>
      <c r="H2286">
        <f>IF(C2286="","",COUNTIFS($C$2:$C$3001,C2286,$F$2:$F$3001,"&lt;"&amp;F2286)+1)</f>
        <v/>
      </c>
      <c r="I2286">
        <f>IF(C2286="","",C2286&amp;"|"&amp;H2286)</f>
        <v/>
      </c>
      <c r="J2286" s="6">
        <f>IF(C2286="","",IF(H2286=1,SUMIFS('Opening Balance'!$F$4:$F$303,'Opening Balance'!$G$4:$G$303,C2286),INDEX($L$2:$L$3001,MATCH(C2286&amp;"|"&amp;(H2286-1),$I$2:$I$3001,0))))</f>
        <v/>
      </c>
      <c r="K2286" s="6">
        <f>IF(C2286="","",IF(M2286&gt;0,M2286,IF(AND(E2286&gt;0,ROUND(J2286+D2286-E2286,2)&gt;0,ROUND(J2286+D2286-E2286,2)&lt;'Opening Balance'!$B$14),ROUND(J2286+D2286-E2286,2),0)))</f>
        <v/>
      </c>
      <c r="L2286" s="6">
        <f>IF(C2286="","",ROUND(J2286+D2286-E2286-K2286,2))</f>
        <v/>
      </c>
      <c r="M2286" s="6">
        <f>IF(C2286="","",0)</f>
        <v/>
      </c>
    </row>
    <row r="2287">
      <c r="A2287" t="inlineStr">
        <is>
          <t>Bank 银行</t>
        </is>
      </c>
      <c r="B2287" s="5">
        <f>IF(AND('Daily Sale entry '!Z787="Online collection 网上收款",'Daily Sale entry '!AA787&lt;&gt;""),'Daily Sale entry '!X787,"")</f>
        <v/>
      </c>
      <c r="C2287">
        <f>IF(B2287="","",'Daily Sale entry '!AA787)</f>
        <v/>
      </c>
      <c r="D2287">
        <f>IF(C2287="","",0)</f>
        <v/>
      </c>
      <c r="E2287">
        <f>IF(C2287="","",'Daily Sale entry '!AC787)</f>
        <v/>
      </c>
      <c r="F2287" s="37">
        <f>IF(C2287="","",B2287+IF(E2287&gt;0,0,0.5)+ROW()/10000000)</f>
        <v/>
      </c>
      <c r="G2287">
        <f>IF(C2287="","","Collection 收款 (Online 网上)"&amp;IF('Daily Sale entry '!Y787="",""," - "&amp;'Daily Sale entry '!Y787))</f>
        <v/>
      </c>
      <c r="H2287">
        <f>IF(C2287="","",COUNTIFS($C$2:$C$3001,C2287,$F$2:$F$3001,"&lt;"&amp;F2287)+1)</f>
        <v/>
      </c>
      <c r="I2287">
        <f>IF(C2287="","",C2287&amp;"|"&amp;H2287)</f>
        <v/>
      </c>
      <c r="J2287" s="6">
        <f>IF(C2287="","",IF(H2287=1,SUMIFS('Opening Balance'!$F$4:$F$303,'Opening Balance'!$G$4:$G$303,C2287),INDEX($L$2:$L$3001,MATCH(C2287&amp;"|"&amp;(H2287-1),$I$2:$I$3001,0))))</f>
        <v/>
      </c>
      <c r="K2287" s="6">
        <f>IF(C2287="","",IF(M2287&gt;0,M2287,IF(AND(E2287&gt;0,ROUND(J2287+D2287-E2287,2)&gt;0,ROUND(J2287+D2287-E2287,2)&lt;'Opening Balance'!$B$14),ROUND(J2287+D2287-E2287,2),0)))</f>
        <v/>
      </c>
      <c r="L2287" s="6">
        <f>IF(C2287="","",ROUND(J2287+D2287-E2287-K2287,2))</f>
        <v/>
      </c>
      <c r="M2287" s="6">
        <f>IF(C2287="","",0)</f>
        <v/>
      </c>
    </row>
    <row r="2288">
      <c r="A2288" t="inlineStr">
        <is>
          <t>Bank 银行</t>
        </is>
      </c>
      <c r="B2288" s="5">
        <f>IF(AND('Daily Sale entry '!Z788="Online collection 网上收款",'Daily Sale entry '!AA788&lt;&gt;""),'Daily Sale entry '!X788,"")</f>
        <v/>
      </c>
      <c r="C2288">
        <f>IF(B2288="","",'Daily Sale entry '!AA788)</f>
        <v/>
      </c>
      <c r="D2288">
        <f>IF(C2288="","",0)</f>
        <v/>
      </c>
      <c r="E2288">
        <f>IF(C2288="","",'Daily Sale entry '!AC788)</f>
        <v/>
      </c>
      <c r="F2288" s="37">
        <f>IF(C2288="","",B2288+IF(E2288&gt;0,0,0.5)+ROW()/10000000)</f>
        <v/>
      </c>
      <c r="G2288">
        <f>IF(C2288="","","Collection 收款 (Online 网上)"&amp;IF('Daily Sale entry '!Y788="",""," - "&amp;'Daily Sale entry '!Y788))</f>
        <v/>
      </c>
      <c r="H2288">
        <f>IF(C2288="","",COUNTIFS($C$2:$C$3001,C2288,$F$2:$F$3001,"&lt;"&amp;F2288)+1)</f>
        <v/>
      </c>
      <c r="I2288">
        <f>IF(C2288="","",C2288&amp;"|"&amp;H2288)</f>
        <v/>
      </c>
      <c r="J2288" s="6">
        <f>IF(C2288="","",IF(H2288=1,SUMIFS('Opening Balance'!$F$4:$F$303,'Opening Balance'!$G$4:$G$303,C2288),INDEX($L$2:$L$3001,MATCH(C2288&amp;"|"&amp;(H2288-1),$I$2:$I$3001,0))))</f>
        <v/>
      </c>
      <c r="K2288" s="6">
        <f>IF(C2288="","",IF(M2288&gt;0,M2288,IF(AND(E2288&gt;0,ROUND(J2288+D2288-E2288,2)&gt;0,ROUND(J2288+D2288-E2288,2)&lt;'Opening Balance'!$B$14),ROUND(J2288+D2288-E2288,2),0)))</f>
        <v/>
      </c>
      <c r="L2288" s="6">
        <f>IF(C2288="","",ROUND(J2288+D2288-E2288-K2288,2))</f>
        <v/>
      </c>
      <c r="M2288" s="6">
        <f>IF(C2288="","",0)</f>
        <v/>
      </c>
    </row>
    <row r="2289">
      <c r="A2289" t="inlineStr">
        <is>
          <t>Bank 银行</t>
        </is>
      </c>
      <c r="B2289" s="5">
        <f>IF(AND('Daily Sale entry '!Z789="Online collection 网上收款",'Daily Sale entry '!AA789&lt;&gt;""),'Daily Sale entry '!X789,"")</f>
        <v/>
      </c>
      <c r="C2289">
        <f>IF(B2289="","",'Daily Sale entry '!AA789)</f>
        <v/>
      </c>
      <c r="D2289">
        <f>IF(C2289="","",0)</f>
        <v/>
      </c>
      <c r="E2289">
        <f>IF(C2289="","",'Daily Sale entry '!AC789)</f>
        <v/>
      </c>
      <c r="F2289" s="37">
        <f>IF(C2289="","",B2289+IF(E2289&gt;0,0,0.5)+ROW()/10000000)</f>
        <v/>
      </c>
      <c r="G2289">
        <f>IF(C2289="","","Collection 收款 (Online 网上)"&amp;IF('Daily Sale entry '!Y789="",""," - "&amp;'Daily Sale entry '!Y789))</f>
        <v/>
      </c>
      <c r="H2289">
        <f>IF(C2289="","",COUNTIFS($C$2:$C$3001,C2289,$F$2:$F$3001,"&lt;"&amp;F2289)+1)</f>
        <v/>
      </c>
      <c r="I2289">
        <f>IF(C2289="","",C2289&amp;"|"&amp;H2289)</f>
        <v/>
      </c>
      <c r="J2289" s="6">
        <f>IF(C2289="","",IF(H2289=1,SUMIFS('Opening Balance'!$F$4:$F$303,'Opening Balance'!$G$4:$G$303,C2289),INDEX($L$2:$L$3001,MATCH(C2289&amp;"|"&amp;(H2289-1),$I$2:$I$3001,0))))</f>
        <v/>
      </c>
      <c r="K2289" s="6">
        <f>IF(C2289="","",IF(M2289&gt;0,M2289,IF(AND(E2289&gt;0,ROUND(J2289+D2289-E2289,2)&gt;0,ROUND(J2289+D2289-E2289,2)&lt;'Opening Balance'!$B$14),ROUND(J2289+D2289-E2289,2),0)))</f>
        <v/>
      </c>
      <c r="L2289" s="6">
        <f>IF(C2289="","",ROUND(J2289+D2289-E2289-K2289,2))</f>
        <v/>
      </c>
      <c r="M2289" s="6">
        <f>IF(C2289="","",0)</f>
        <v/>
      </c>
    </row>
    <row r="2290">
      <c r="A2290" t="inlineStr">
        <is>
          <t>Bank 银行</t>
        </is>
      </c>
      <c r="B2290" s="5">
        <f>IF(AND('Daily Sale entry '!Z790="Online collection 网上收款",'Daily Sale entry '!AA790&lt;&gt;""),'Daily Sale entry '!X790,"")</f>
        <v/>
      </c>
      <c r="C2290">
        <f>IF(B2290="","",'Daily Sale entry '!AA790)</f>
        <v/>
      </c>
      <c r="D2290">
        <f>IF(C2290="","",0)</f>
        <v/>
      </c>
      <c r="E2290">
        <f>IF(C2290="","",'Daily Sale entry '!AC790)</f>
        <v/>
      </c>
      <c r="F2290" s="37">
        <f>IF(C2290="","",B2290+IF(E2290&gt;0,0,0.5)+ROW()/10000000)</f>
        <v/>
      </c>
      <c r="G2290">
        <f>IF(C2290="","","Collection 收款 (Online 网上)"&amp;IF('Daily Sale entry '!Y790="",""," - "&amp;'Daily Sale entry '!Y790))</f>
        <v/>
      </c>
      <c r="H2290">
        <f>IF(C2290="","",COUNTIFS($C$2:$C$3001,C2290,$F$2:$F$3001,"&lt;"&amp;F2290)+1)</f>
        <v/>
      </c>
      <c r="I2290">
        <f>IF(C2290="","",C2290&amp;"|"&amp;H2290)</f>
        <v/>
      </c>
      <c r="J2290" s="6">
        <f>IF(C2290="","",IF(H2290=1,SUMIFS('Opening Balance'!$F$4:$F$303,'Opening Balance'!$G$4:$G$303,C2290),INDEX($L$2:$L$3001,MATCH(C2290&amp;"|"&amp;(H2290-1),$I$2:$I$3001,0))))</f>
        <v/>
      </c>
      <c r="K2290" s="6">
        <f>IF(C2290="","",IF(M2290&gt;0,M2290,IF(AND(E2290&gt;0,ROUND(J2290+D2290-E2290,2)&gt;0,ROUND(J2290+D2290-E2290,2)&lt;'Opening Balance'!$B$14),ROUND(J2290+D2290-E2290,2),0)))</f>
        <v/>
      </c>
      <c r="L2290" s="6">
        <f>IF(C2290="","",ROUND(J2290+D2290-E2290-K2290,2))</f>
        <v/>
      </c>
      <c r="M2290" s="6">
        <f>IF(C2290="","",0)</f>
        <v/>
      </c>
    </row>
    <row r="2291">
      <c r="A2291" t="inlineStr">
        <is>
          <t>Bank 银行</t>
        </is>
      </c>
      <c r="B2291" s="5">
        <f>IF(AND('Daily Sale entry '!Z791="Online collection 网上收款",'Daily Sale entry '!AA791&lt;&gt;""),'Daily Sale entry '!X791,"")</f>
        <v/>
      </c>
      <c r="C2291">
        <f>IF(B2291="","",'Daily Sale entry '!AA791)</f>
        <v/>
      </c>
      <c r="D2291">
        <f>IF(C2291="","",0)</f>
        <v/>
      </c>
      <c r="E2291">
        <f>IF(C2291="","",'Daily Sale entry '!AC791)</f>
        <v/>
      </c>
      <c r="F2291" s="37">
        <f>IF(C2291="","",B2291+IF(E2291&gt;0,0,0.5)+ROW()/10000000)</f>
        <v/>
      </c>
      <c r="G2291">
        <f>IF(C2291="","","Collection 收款 (Online 网上)"&amp;IF('Daily Sale entry '!Y791="",""," - "&amp;'Daily Sale entry '!Y791))</f>
        <v/>
      </c>
      <c r="H2291">
        <f>IF(C2291="","",COUNTIFS($C$2:$C$3001,C2291,$F$2:$F$3001,"&lt;"&amp;F2291)+1)</f>
        <v/>
      </c>
      <c r="I2291">
        <f>IF(C2291="","",C2291&amp;"|"&amp;H2291)</f>
        <v/>
      </c>
      <c r="J2291" s="6">
        <f>IF(C2291="","",IF(H2291=1,SUMIFS('Opening Balance'!$F$4:$F$303,'Opening Balance'!$G$4:$G$303,C2291),INDEX($L$2:$L$3001,MATCH(C2291&amp;"|"&amp;(H2291-1),$I$2:$I$3001,0))))</f>
        <v/>
      </c>
      <c r="K2291" s="6">
        <f>IF(C2291="","",IF(M2291&gt;0,M2291,IF(AND(E2291&gt;0,ROUND(J2291+D2291-E2291,2)&gt;0,ROUND(J2291+D2291-E2291,2)&lt;'Opening Balance'!$B$14),ROUND(J2291+D2291-E2291,2),0)))</f>
        <v/>
      </c>
      <c r="L2291" s="6">
        <f>IF(C2291="","",ROUND(J2291+D2291-E2291-K2291,2))</f>
        <v/>
      </c>
      <c r="M2291" s="6">
        <f>IF(C2291="","",0)</f>
        <v/>
      </c>
    </row>
    <row r="2292">
      <c r="A2292" t="inlineStr">
        <is>
          <t>Bank 银行</t>
        </is>
      </c>
      <c r="B2292" s="5">
        <f>IF(AND('Daily Sale entry '!Z792="Online collection 网上收款",'Daily Sale entry '!AA792&lt;&gt;""),'Daily Sale entry '!X792,"")</f>
        <v/>
      </c>
      <c r="C2292">
        <f>IF(B2292="","",'Daily Sale entry '!AA792)</f>
        <v/>
      </c>
      <c r="D2292">
        <f>IF(C2292="","",0)</f>
        <v/>
      </c>
      <c r="E2292">
        <f>IF(C2292="","",'Daily Sale entry '!AC792)</f>
        <v/>
      </c>
      <c r="F2292" s="37">
        <f>IF(C2292="","",B2292+IF(E2292&gt;0,0,0.5)+ROW()/10000000)</f>
        <v/>
      </c>
      <c r="G2292">
        <f>IF(C2292="","","Collection 收款 (Online 网上)"&amp;IF('Daily Sale entry '!Y792="",""," - "&amp;'Daily Sale entry '!Y792))</f>
        <v/>
      </c>
      <c r="H2292">
        <f>IF(C2292="","",COUNTIFS($C$2:$C$3001,C2292,$F$2:$F$3001,"&lt;"&amp;F2292)+1)</f>
        <v/>
      </c>
      <c r="I2292">
        <f>IF(C2292="","",C2292&amp;"|"&amp;H2292)</f>
        <v/>
      </c>
      <c r="J2292" s="6">
        <f>IF(C2292="","",IF(H2292=1,SUMIFS('Opening Balance'!$F$4:$F$303,'Opening Balance'!$G$4:$G$303,C2292),INDEX($L$2:$L$3001,MATCH(C2292&amp;"|"&amp;(H2292-1),$I$2:$I$3001,0))))</f>
        <v/>
      </c>
      <c r="K2292" s="6">
        <f>IF(C2292="","",IF(M2292&gt;0,M2292,IF(AND(E2292&gt;0,ROUND(J2292+D2292-E2292,2)&gt;0,ROUND(J2292+D2292-E2292,2)&lt;'Opening Balance'!$B$14),ROUND(J2292+D2292-E2292,2),0)))</f>
        <v/>
      </c>
      <c r="L2292" s="6">
        <f>IF(C2292="","",ROUND(J2292+D2292-E2292-K2292,2))</f>
        <v/>
      </c>
      <c r="M2292" s="6">
        <f>IF(C2292="","",0)</f>
        <v/>
      </c>
    </row>
    <row r="2293">
      <c r="A2293" t="inlineStr">
        <is>
          <t>Bank 银行</t>
        </is>
      </c>
      <c r="B2293" s="5">
        <f>IF(AND('Daily Sale entry '!Z793="Online collection 网上收款",'Daily Sale entry '!AA793&lt;&gt;""),'Daily Sale entry '!X793,"")</f>
        <v/>
      </c>
      <c r="C2293">
        <f>IF(B2293="","",'Daily Sale entry '!AA793)</f>
        <v/>
      </c>
      <c r="D2293">
        <f>IF(C2293="","",0)</f>
        <v/>
      </c>
      <c r="E2293">
        <f>IF(C2293="","",'Daily Sale entry '!AC793)</f>
        <v/>
      </c>
      <c r="F2293" s="37">
        <f>IF(C2293="","",B2293+IF(E2293&gt;0,0,0.5)+ROW()/10000000)</f>
        <v/>
      </c>
      <c r="G2293">
        <f>IF(C2293="","","Collection 收款 (Online 网上)"&amp;IF('Daily Sale entry '!Y793="",""," - "&amp;'Daily Sale entry '!Y793))</f>
        <v/>
      </c>
      <c r="H2293">
        <f>IF(C2293="","",COUNTIFS($C$2:$C$3001,C2293,$F$2:$F$3001,"&lt;"&amp;F2293)+1)</f>
        <v/>
      </c>
      <c r="I2293">
        <f>IF(C2293="","",C2293&amp;"|"&amp;H2293)</f>
        <v/>
      </c>
      <c r="J2293" s="6">
        <f>IF(C2293="","",IF(H2293=1,SUMIFS('Opening Balance'!$F$4:$F$303,'Opening Balance'!$G$4:$G$303,C2293),INDEX($L$2:$L$3001,MATCH(C2293&amp;"|"&amp;(H2293-1),$I$2:$I$3001,0))))</f>
        <v/>
      </c>
      <c r="K2293" s="6">
        <f>IF(C2293="","",IF(M2293&gt;0,M2293,IF(AND(E2293&gt;0,ROUND(J2293+D2293-E2293,2)&gt;0,ROUND(J2293+D2293-E2293,2)&lt;'Opening Balance'!$B$14),ROUND(J2293+D2293-E2293,2),0)))</f>
        <v/>
      </c>
      <c r="L2293" s="6">
        <f>IF(C2293="","",ROUND(J2293+D2293-E2293-K2293,2))</f>
        <v/>
      </c>
      <c r="M2293" s="6">
        <f>IF(C2293="","",0)</f>
        <v/>
      </c>
    </row>
    <row r="2294">
      <c r="A2294" t="inlineStr">
        <is>
          <t>Bank 银行</t>
        </is>
      </c>
      <c r="B2294" s="5">
        <f>IF(AND('Daily Sale entry '!Z794="Online collection 网上收款",'Daily Sale entry '!AA794&lt;&gt;""),'Daily Sale entry '!X794,"")</f>
        <v/>
      </c>
      <c r="C2294">
        <f>IF(B2294="","",'Daily Sale entry '!AA794)</f>
        <v/>
      </c>
      <c r="D2294">
        <f>IF(C2294="","",0)</f>
        <v/>
      </c>
      <c r="E2294">
        <f>IF(C2294="","",'Daily Sale entry '!AC794)</f>
        <v/>
      </c>
      <c r="F2294" s="37">
        <f>IF(C2294="","",B2294+IF(E2294&gt;0,0,0.5)+ROW()/10000000)</f>
        <v/>
      </c>
      <c r="G2294">
        <f>IF(C2294="","","Collection 收款 (Online 网上)"&amp;IF('Daily Sale entry '!Y794="",""," - "&amp;'Daily Sale entry '!Y794))</f>
        <v/>
      </c>
      <c r="H2294">
        <f>IF(C2294="","",COUNTIFS($C$2:$C$3001,C2294,$F$2:$F$3001,"&lt;"&amp;F2294)+1)</f>
        <v/>
      </c>
      <c r="I2294">
        <f>IF(C2294="","",C2294&amp;"|"&amp;H2294)</f>
        <v/>
      </c>
      <c r="J2294" s="6">
        <f>IF(C2294="","",IF(H2294=1,SUMIFS('Opening Balance'!$F$4:$F$303,'Opening Balance'!$G$4:$G$303,C2294),INDEX($L$2:$L$3001,MATCH(C2294&amp;"|"&amp;(H2294-1),$I$2:$I$3001,0))))</f>
        <v/>
      </c>
      <c r="K2294" s="6">
        <f>IF(C2294="","",IF(M2294&gt;0,M2294,IF(AND(E2294&gt;0,ROUND(J2294+D2294-E2294,2)&gt;0,ROUND(J2294+D2294-E2294,2)&lt;'Opening Balance'!$B$14),ROUND(J2294+D2294-E2294,2),0)))</f>
        <v/>
      </c>
      <c r="L2294" s="6">
        <f>IF(C2294="","",ROUND(J2294+D2294-E2294-K2294,2))</f>
        <v/>
      </c>
      <c r="M2294" s="6">
        <f>IF(C2294="","",0)</f>
        <v/>
      </c>
    </row>
    <row r="2295">
      <c r="A2295" t="inlineStr">
        <is>
          <t>Bank 银行</t>
        </is>
      </c>
      <c r="B2295" s="5">
        <f>IF(AND('Daily Sale entry '!Z795="Online collection 网上收款",'Daily Sale entry '!AA795&lt;&gt;""),'Daily Sale entry '!X795,"")</f>
        <v/>
      </c>
      <c r="C2295">
        <f>IF(B2295="","",'Daily Sale entry '!AA795)</f>
        <v/>
      </c>
      <c r="D2295">
        <f>IF(C2295="","",0)</f>
        <v/>
      </c>
      <c r="E2295">
        <f>IF(C2295="","",'Daily Sale entry '!AC795)</f>
        <v/>
      </c>
      <c r="F2295" s="37">
        <f>IF(C2295="","",B2295+IF(E2295&gt;0,0,0.5)+ROW()/10000000)</f>
        <v/>
      </c>
      <c r="G2295">
        <f>IF(C2295="","","Collection 收款 (Online 网上)"&amp;IF('Daily Sale entry '!Y795="",""," - "&amp;'Daily Sale entry '!Y795))</f>
        <v/>
      </c>
      <c r="H2295">
        <f>IF(C2295="","",COUNTIFS($C$2:$C$3001,C2295,$F$2:$F$3001,"&lt;"&amp;F2295)+1)</f>
        <v/>
      </c>
      <c r="I2295">
        <f>IF(C2295="","",C2295&amp;"|"&amp;H2295)</f>
        <v/>
      </c>
      <c r="J2295" s="6">
        <f>IF(C2295="","",IF(H2295=1,SUMIFS('Opening Balance'!$F$4:$F$303,'Opening Balance'!$G$4:$G$303,C2295),INDEX($L$2:$L$3001,MATCH(C2295&amp;"|"&amp;(H2295-1),$I$2:$I$3001,0))))</f>
        <v/>
      </c>
      <c r="K2295" s="6">
        <f>IF(C2295="","",IF(M2295&gt;0,M2295,IF(AND(E2295&gt;0,ROUND(J2295+D2295-E2295,2)&gt;0,ROUND(J2295+D2295-E2295,2)&lt;'Opening Balance'!$B$14),ROUND(J2295+D2295-E2295,2),0)))</f>
        <v/>
      </c>
      <c r="L2295" s="6">
        <f>IF(C2295="","",ROUND(J2295+D2295-E2295-K2295,2))</f>
        <v/>
      </c>
      <c r="M2295" s="6">
        <f>IF(C2295="","",0)</f>
        <v/>
      </c>
    </row>
    <row r="2296">
      <c r="A2296" t="inlineStr">
        <is>
          <t>Bank 银行</t>
        </is>
      </c>
      <c r="B2296" s="5">
        <f>IF(AND('Daily Sale entry '!Z796="Online collection 网上收款",'Daily Sale entry '!AA796&lt;&gt;""),'Daily Sale entry '!X796,"")</f>
        <v/>
      </c>
      <c r="C2296">
        <f>IF(B2296="","",'Daily Sale entry '!AA796)</f>
        <v/>
      </c>
      <c r="D2296">
        <f>IF(C2296="","",0)</f>
        <v/>
      </c>
      <c r="E2296">
        <f>IF(C2296="","",'Daily Sale entry '!AC796)</f>
        <v/>
      </c>
      <c r="F2296" s="37">
        <f>IF(C2296="","",B2296+IF(E2296&gt;0,0,0.5)+ROW()/10000000)</f>
        <v/>
      </c>
      <c r="G2296">
        <f>IF(C2296="","","Collection 收款 (Online 网上)"&amp;IF('Daily Sale entry '!Y796="",""," - "&amp;'Daily Sale entry '!Y796))</f>
        <v/>
      </c>
      <c r="H2296">
        <f>IF(C2296="","",COUNTIFS($C$2:$C$3001,C2296,$F$2:$F$3001,"&lt;"&amp;F2296)+1)</f>
        <v/>
      </c>
      <c r="I2296">
        <f>IF(C2296="","",C2296&amp;"|"&amp;H2296)</f>
        <v/>
      </c>
      <c r="J2296" s="6">
        <f>IF(C2296="","",IF(H2296=1,SUMIFS('Opening Balance'!$F$4:$F$303,'Opening Balance'!$G$4:$G$303,C2296),INDEX($L$2:$L$3001,MATCH(C2296&amp;"|"&amp;(H2296-1),$I$2:$I$3001,0))))</f>
        <v/>
      </c>
      <c r="K2296" s="6">
        <f>IF(C2296="","",IF(M2296&gt;0,M2296,IF(AND(E2296&gt;0,ROUND(J2296+D2296-E2296,2)&gt;0,ROUND(J2296+D2296-E2296,2)&lt;'Opening Balance'!$B$14),ROUND(J2296+D2296-E2296,2),0)))</f>
        <v/>
      </c>
      <c r="L2296" s="6">
        <f>IF(C2296="","",ROUND(J2296+D2296-E2296-K2296,2))</f>
        <v/>
      </c>
      <c r="M2296" s="6">
        <f>IF(C2296="","",0)</f>
        <v/>
      </c>
    </row>
    <row r="2297">
      <c r="A2297" t="inlineStr">
        <is>
          <t>Bank 银行</t>
        </is>
      </c>
      <c r="B2297" s="5">
        <f>IF(AND('Daily Sale entry '!Z797="Online collection 网上收款",'Daily Sale entry '!AA797&lt;&gt;""),'Daily Sale entry '!X797,"")</f>
        <v/>
      </c>
      <c r="C2297">
        <f>IF(B2297="","",'Daily Sale entry '!AA797)</f>
        <v/>
      </c>
      <c r="D2297">
        <f>IF(C2297="","",0)</f>
        <v/>
      </c>
      <c r="E2297">
        <f>IF(C2297="","",'Daily Sale entry '!AC797)</f>
        <v/>
      </c>
      <c r="F2297" s="37">
        <f>IF(C2297="","",B2297+IF(E2297&gt;0,0,0.5)+ROW()/10000000)</f>
        <v/>
      </c>
      <c r="G2297">
        <f>IF(C2297="","","Collection 收款 (Online 网上)"&amp;IF('Daily Sale entry '!Y797="",""," - "&amp;'Daily Sale entry '!Y797))</f>
        <v/>
      </c>
      <c r="H2297">
        <f>IF(C2297="","",COUNTIFS($C$2:$C$3001,C2297,$F$2:$F$3001,"&lt;"&amp;F2297)+1)</f>
        <v/>
      </c>
      <c r="I2297">
        <f>IF(C2297="","",C2297&amp;"|"&amp;H2297)</f>
        <v/>
      </c>
      <c r="J2297" s="6">
        <f>IF(C2297="","",IF(H2297=1,SUMIFS('Opening Balance'!$F$4:$F$303,'Opening Balance'!$G$4:$G$303,C2297),INDEX($L$2:$L$3001,MATCH(C2297&amp;"|"&amp;(H2297-1),$I$2:$I$3001,0))))</f>
        <v/>
      </c>
      <c r="K2297" s="6">
        <f>IF(C2297="","",IF(M2297&gt;0,M2297,IF(AND(E2297&gt;0,ROUND(J2297+D2297-E2297,2)&gt;0,ROUND(J2297+D2297-E2297,2)&lt;'Opening Balance'!$B$14),ROUND(J2297+D2297-E2297,2),0)))</f>
        <v/>
      </c>
      <c r="L2297" s="6">
        <f>IF(C2297="","",ROUND(J2297+D2297-E2297-K2297,2))</f>
        <v/>
      </c>
      <c r="M2297" s="6">
        <f>IF(C2297="","",0)</f>
        <v/>
      </c>
    </row>
    <row r="2298">
      <c r="A2298" t="inlineStr">
        <is>
          <t>Bank 银行</t>
        </is>
      </c>
      <c r="B2298" s="5">
        <f>IF(AND('Daily Sale entry '!Z798="Online collection 网上收款",'Daily Sale entry '!AA798&lt;&gt;""),'Daily Sale entry '!X798,"")</f>
        <v/>
      </c>
      <c r="C2298">
        <f>IF(B2298="","",'Daily Sale entry '!AA798)</f>
        <v/>
      </c>
      <c r="D2298">
        <f>IF(C2298="","",0)</f>
        <v/>
      </c>
      <c r="E2298">
        <f>IF(C2298="","",'Daily Sale entry '!AC798)</f>
        <v/>
      </c>
      <c r="F2298" s="37">
        <f>IF(C2298="","",B2298+IF(E2298&gt;0,0,0.5)+ROW()/10000000)</f>
        <v/>
      </c>
      <c r="G2298">
        <f>IF(C2298="","","Collection 收款 (Online 网上)"&amp;IF('Daily Sale entry '!Y798="",""," - "&amp;'Daily Sale entry '!Y798))</f>
        <v/>
      </c>
      <c r="H2298">
        <f>IF(C2298="","",COUNTIFS($C$2:$C$3001,C2298,$F$2:$F$3001,"&lt;"&amp;F2298)+1)</f>
        <v/>
      </c>
      <c r="I2298">
        <f>IF(C2298="","",C2298&amp;"|"&amp;H2298)</f>
        <v/>
      </c>
      <c r="J2298" s="6">
        <f>IF(C2298="","",IF(H2298=1,SUMIFS('Opening Balance'!$F$4:$F$303,'Opening Balance'!$G$4:$G$303,C2298),INDEX($L$2:$L$3001,MATCH(C2298&amp;"|"&amp;(H2298-1),$I$2:$I$3001,0))))</f>
        <v/>
      </c>
      <c r="K2298" s="6">
        <f>IF(C2298="","",IF(M2298&gt;0,M2298,IF(AND(E2298&gt;0,ROUND(J2298+D2298-E2298,2)&gt;0,ROUND(J2298+D2298-E2298,2)&lt;'Opening Balance'!$B$14),ROUND(J2298+D2298-E2298,2),0)))</f>
        <v/>
      </c>
      <c r="L2298" s="6">
        <f>IF(C2298="","",ROUND(J2298+D2298-E2298-K2298,2))</f>
        <v/>
      </c>
      <c r="M2298" s="6">
        <f>IF(C2298="","",0)</f>
        <v/>
      </c>
    </row>
    <row r="2299">
      <c r="A2299" t="inlineStr">
        <is>
          <t>Bank 银行</t>
        </is>
      </c>
      <c r="B2299" s="5">
        <f>IF(AND('Daily Sale entry '!Z799="Online collection 网上收款",'Daily Sale entry '!AA799&lt;&gt;""),'Daily Sale entry '!X799,"")</f>
        <v/>
      </c>
      <c r="C2299">
        <f>IF(B2299="","",'Daily Sale entry '!AA799)</f>
        <v/>
      </c>
      <c r="D2299">
        <f>IF(C2299="","",0)</f>
        <v/>
      </c>
      <c r="E2299">
        <f>IF(C2299="","",'Daily Sale entry '!AC799)</f>
        <v/>
      </c>
      <c r="F2299" s="37">
        <f>IF(C2299="","",B2299+IF(E2299&gt;0,0,0.5)+ROW()/10000000)</f>
        <v/>
      </c>
      <c r="G2299">
        <f>IF(C2299="","","Collection 收款 (Online 网上)"&amp;IF('Daily Sale entry '!Y799="",""," - "&amp;'Daily Sale entry '!Y799))</f>
        <v/>
      </c>
      <c r="H2299">
        <f>IF(C2299="","",COUNTIFS($C$2:$C$3001,C2299,$F$2:$F$3001,"&lt;"&amp;F2299)+1)</f>
        <v/>
      </c>
      <c r="I2299">
        <f>IF(C2299="","",C2299&amp;"|"&amp;H2299)</f>
        <v/>
      </c>
      <c r="J2299" s="6">
        <f>IF(C2299="","",IF(H2299=1,SUMIFS('Opening Balance'!$F$4:$F$303,'Opening Balance'!$G$4:$G$303,C2299),INDEX($L$2:$L$3001,MATCH(C2299&amp;"|"&amp;(H2299-1),$I$2:$I$3001,0))))</f>
        <v/>
      </c>
      <c r="K2299" s="6">
        <f>IF(C2299="","",IF(M2299&gt;0,M2299,IF(AND(E2299&gt;0,ROUND(J2299+D2299-E2299,2)&gt;0,ROUND(J2299+D2299-E2299,2)&lt;'Opening Balance'!$B$14),ROUND(J2299+D2299-E2299,2),0)))</f>
        <v/>
      </c>
      <c r="L2299" s="6">
        <f>IF(C2299="","",ROUND(J2299+D2299-E2299-K2299,2))</f>
        <v/>
      </c>
      <c r="M2299" s="6">
        <f>IF(C2299="","",0)</f>
        <v/>
      </c>
    </row>
    <row r="2300">
      <c r="A2300" t="inlineStr">
        <is>
          <t>Bank 银行</t>
        </is>
      </c>
      <c r="B2300" s="5">
        <f>IF(AND('Daily Sale entry '!Z800="Online collection 网上收款",'Daily Sale entry '!AA800&lt;&gt;""),'Daily Sale entry '!X800,"")</f>
        <v/>
      </c>
      <c r="C2300">
        <f>IF(B2300="","",'Daily Sale entry '!AA800)</f>
        <v/>
      </c>
      <c r="D2300">
        <f>IF(C2300="","",0)</f>
        <v/>
      </c>
      <c r="E2300">
        <f>IF(C2300="","",'Daily Sale entry '!AC800)</f>
        <v/>
      </c>
      <c r="F2300" s="37">
        <f>IF(C2300="","",B2300+IF(E2300&gt;0,0,0.5)+ROW()/10000000)</f>
        <v/>
      </c>
      <c r="G2300">
        <f>IF(C2300="","","Collection 收款 (Online 网上)"&amp;IF('Daily Sale entry '!Y800="",""," - "&amp;'Daily Sale entry '!Y800))</f>
        <v/>
      </c>
      <c r="H2300">
        <f>IF(C2300="","",COUNTIFS($C$2:$C$3001,C2300,$F$2:$F$3001,"&lt;"&amp;F2300)+1)</f>
        <v/>
      </c>
      <c r="I2300">
        <f>IF(C2300="","",C2300&amp;"|"&amp;H2300)</f>
        <v/>
      </c>
      <c r="J2300" s="6">
        <f>IF(C2300="","",IF(H2300=1,SUMIFS('Opening Balance'!$F$4:$F$303,'Opening Balance'!$G$4:$G$303,C2300),INDEX($L$2:$L$3001,MATCH(C2300&amp;"|"&amp;(H2300-1),$I$2:$I$3001,0))))</f>
        <v/>
      </c>
      <c r="K2300" s="6">
        <f>IF(C2300="","",IF(M2300&gt;0,M2300,IF(AND(E2300&gt;0,ROUND(J2300+D2300-E2300,2)&gt;0,ROUND(J2300+D2300-E2300,2)&lt;'Opening Balance'!$B$14),ROUND(J2300+D2300-E2300,2),0)))</f>
        <v/>
      </c>
      <c r="L2300" s="6">
        <f>IF(C2300="","",ROUND(J2300+D2300-E2300-K2300,2))</f>
        <v/>
      </c>
      <c r="M2300" s="6">
        <f>IF(C2300="","",0)</f>
        <v/>
      </c>
    </row>
    <row r="2301">
      <c r="A2301" t="inlineStr">
        <is>
          <t>Bank 银行</t>
        </is>
      </c>
      <c r="B2301" s="5">
        <f>IF(AND('Daily Sale entry '!Z801="Online collection 网上收款",'Daily Sale entry '!AA801&lt;&gt;""),'Daily Sale entry '!X801,"")</f>
        <v/>
      </c>
      <c r="C2301">
        <f>IF(B2301="","",'Daily Sale entry '!AA801)</f>
        <v/>
      </c>
      <c r="D2301">
        <f>IF(C2301="","",0)</f>
        <v/>
      </c>
      <c r="E2301">
        <f>IF(C2301="","",'Daily Sale entry '!AC801)</f>
        <v/>
      </c>
      <c r="F2301" s="37">
        <f>IF(C2301="","",B2301+IF(E2301&gt;0,0,0.5)+ROW()/10000000)</f>
        <v/>
      </c>
      <c r="G2301">
        <f>IF(C2301="","","Collection 收款 (Online 网上)"&amp;IF('Daily Sale entry '!Y801="",""," - "&amp;'Daily Sale entry '!Y801))</f>
        <v/>
      </c>
      <c r="H2301">
        <f>IF(C2301="","",COUNTIFS($C$2:$C$3001,C2301,$F$2:$F$3001,"&lt;"&amp;F2301)+1)</f>
        <v/>
      </c>
      <c r="I2301">
        <f>IF(C2301="","",C2301&amp;"|"&amp;H2301)</f>
        <v/>
      </c>
      <c r="J2301" s="6">
        <f>IF(C2301="","",IF(H2301=1,SUMIFS('Opening Balance'!$F$4:$F$303,'Opening Balance'!$G$4:$G$303,C2301),INDEX($L$2:$L$3001,MATCH(C2301&amp;"|"&amp;(H2301-1),$I$2:$I$3001,0))))</f>
        <v/>
      </c>
      <c r="K2301" s="6">
        <f>IF(C2301="","",IF(M2301&gt;0,M2301,IF(AND(E2301&gt;0,ROUND(J2301+D2301-E2301,2)&gt;0,ROUND(J2301+D2301-E2301,2)&lt;'Opening Balance'!$B$14),ROUND(J2301+D2301-E2301,2),0)))</f>
        <v/>
      </c>
      <c r="L2301" s="6">
        <f>IF(C2301="","",ROUND(J2301+D2301-E2301-K2301,2))</f>
        <v/>
      </c>
      <c r="M2301" s="6">
        <f>IF(C2301="","",0)</f>
        <v/>
      </c>
    </row>
    <row r="2302">
      <c r="A2302" t="inlineStr">
        <is>
          <t>Bank 银行</t>
        </is>
      </c>
      <c r="B2302" s="5">
        <f>IF(AND('Daily Sale entry '!Z802="Online collection 网上收款",'Daily Sale entry '!AA802&lt;&gt;""),'Daily Sale entry '!X802,"")</f>
        <v/>
      </c>
      <c r="C2302">
        <f>IF(B2302="","",'Daily Sale entry '!AA802)</f>
        <v/>
      </c>
      <c r="D2302">
        <f>IF(C2302="","",0)</f>
        <v/>
      </c>
      <c r="E2302">
        <f>IF(C2302="","",'Daily Sale entry '!AC802)</f>
        <v/>
      </c>
      <c r="F2302" s="37">
        <f>IF(C2302="","",B2302+IF(E2302&gt;0,0,0.5)+ROW()/10000000)</f>
        <v/>
      </c>
      <c r="G2302">
        <f>IF(C2302="","","Collection 收款 (Online 网上)"&amp;IF('Daily Sale entry '!Y802="",""," - "&amp;'Daily Sale entry '!Y802))</f>
        <v/>
      </c>
      <c r="H2302">
        <f>IF(C2302="","",COUNTIFS($C$2:$C$3001,C2302,$F$2:$F$3001,"&lt;"&amp;F2302)+1)</f>
        <v/>
      </c>
      <c r="I2302">
        <f>IF(C2302="","",C2302&amp;"|"&amp;H2302)</f>
        <v/>
      </c>
      <c r="J2302" s="6">
        <f>IF(C2302="","",IF(H2302=1,SUMIFS('Opening Balance'!$F$4:$F$303,'Opening Balance'!$G$4:$G$303,C2302),INDEX($L$2:$L$3001,MATCH(C2302&amp;"|"&amp;(H2302-1),$I$2:$I$3001,0))))</f>
        <v/>
      </c>
      <c r="K2302" s="6">
        <f>IF(C2302="","",IF(M2302&gt;0,M2302,IF(AND(E2302&gt;0,ROUND(J2302+D2302-E2302,2)&gt;0,ROUND(J2302+D2302-E2302,2)&lt;'Opening Balance'!$B$14),ROUND(J2302+D2302-E2302,2),0)))</f>
        <v/>
      </c>
      <c r="L2302" s="6">
        <f>IF(C2302="","",ROUND(J2302+D2302-E2302-K2302,2))</f>
        <v/>
      </c>
      <c r="M2302" s="6">
        <f>IF(C2302="","",0)</f>
        <v/>
      </c>
    </row>
    <row r="2303">
      <c r="A2303" t="inlineStr">
        <is>
          <t>Bank 银行</t>
        </is>
      </c>
      <c r="B2303" s="5">
        <f>IF(AND('Daily Sale entry '!Z803="Online collection 网上收款",'Daily Sale entry '!AA803&lt;&gt;""),'Daily Sale entry '!X803,"")</f>
        <v/>
      </c>
      <c r="C2303">
        <f>IF(B2303="","",'Daily Sale entry '!AA803)</f>
        <v/>
      </c>
      <c r="D2303">
        <f>IF(C2303="","",0)</f>
        <v/>
      </c>
      <c r="E2303">
        <f>IF(C2303="","",'Daily Sale entry '!AC803)</f>
        <v/>
      </c>
      <c r="F2303" s="37">
        <f>IF(C2303="","",B2303+IF(E2303&gt;0,0,0.5)+ROW()/10000000)</f>
        <v/>
      </c>
      <c r="G2303">
        <f>IF(C2303="","","Collection 收款 (Online 网上)"&amp;IF('Daily Sale entry '!Y803="",""," - "&amp;'Daily Sale entry '!Y803))</f>
        <v/>
      </c>
      <c r="H2303">
        <f>IF(C2303="","",COUNTIFS($C$2:$C$3001,C2303,$F$2:$F$3001,"&lt;"&amp;F2303)+1)</f>
        <v/>
      </c>
      <c r="I2303">
        <f>IF(C2303="","",C2303&amp;"|"&amp;H2303)</f>
        <v/>
      </c>
      <c r="J2303" s="6">
        <f>IF(C2303="","",IF(H2303=1,SUMIFS('Opening Balance'!$F$4:$F$303,'Opening Balance'!$G$4:$G$303,C2303),INDEX($L$2:$L$3001,MATCH(C2303&amp;"|"&amp;(H2303-1),$I$2:$I$3001,0))))</f>
        <v/>
      </c>
      <c r="K2303" s="6">
        <f>IF(C2303="","",IF(M2303&gt;0,M2303,IF(AND(E2303&gt;0,ROUND(J2303+D2303-E2303,2)&gt;0,ROUND(J2303+D2303-E2303,2)&lt;'Opening Balance'!$B$14),ROUND(J2303+D2303-E2303,2),0)))</f>
        <v/>
      </c>
      <c r="L2303" s="6">
        <f>IF(C2303="","",ROUND(J2303+D2303-E2303-K2303,2))</f>
        <v/>
      </c>
      <c r="M2303" s="6">
        <f>IF(C2303="","",0)</f>
        <v/>
      </c>
    </row>
    <row r="2304">
      <c r="A2304" t="inlineStr">
        <is>
          <t>Bank 银行</t>
        </is>
      </c>
      <c r="B2304" s="5">
        <f>IF(AND('Daily Sale entry '!Z804="Online collection 网上收款",'Daily Sale entry '!AA804&lt;&gt;""),'Daily Sale entry '!X804,"")</f>
        <v/>
      </c>
      <c r="C2304">
        <f>IF(B2304="","",'Daily Sale entry '!AA804)</f>
        <v/>
      </c>
      <c r="D2304">
        <f>IF(C2304="","",0)</f>
        <v/>
      </c>
      <c r="E2304">
        <f>IF(C2304="","",'Daily Sale entry '!AC804)</f>
        <v/>
      </c>
      <c r="F2304" s="37">
        <f>IF(C2304="","",B2304+IF(E2304&gt;0,0,0.5)+ROW()/10000000)</f>
        <v/>
      </c>
      <c r="G2304">
        <f>IF(C2304="","","Collection 收款 (Online 网上)"&amp;IF('Daily Sale entry '!Y804="",""," - "&amp;'Daily Sale entry '!Y804))</f>
        <v/>
      </c>
      <c r="H2304">
        <f>IF(C2304="","",COUNTIFS($C$2:$C$3001,C2304,$F$2:$F$3001,"&lt;"&amp;F2304)+1)</f>
        <v/>
      </c>
      <c r="I2304">
        <f>IF(C2304="","",C2304&amp;"|"&amp;H2304)</f>
        <v/>
      </c>
      <c r="J2304" s="6">
        <f>IF(C2304="","",IF(H2304=1,SUMIFS('Opening Balance'!$F$4:$F$303,'Opening Balance'!$G$4:$G$303,C2304),INDEX($L$2:$L$3001,MATCH(C2304&amp;"|"&amp;(H2304-1),$I$2:$I$3001,0))))</f>
        <v/>
      </c>
      <c r="K2304" s="6">
        <f>IF(C2304="","",IF(M2304&gt;0,M2304,IF(AND(E2304&gt;0,ROUND(J2304+D2304-E2304,2)&gt;0,ROUND(J2304+D2304-E2304,2)&lt;'Opening Balance'!$B$14),ROUND(J2304+D2304-E2304,2),0)))</f>
        <v/>
      </c>
      <c r="L2304" s="6">
        <f>IF(C2304="","",ROUND(J2304+D2304-E2304-K2304,2))</f>
        <v/>
      </c>
      <c r="M2304" s="6">
        <f>IF(C2304="","",0)</f>
        <v/>
      </c>
    </row>
    <row r="2305">
      <c r="A2305" t="inlineStr">
        <is>
          <t>Bank 银行</t>
        </is>
      </c>
      <c r="B2305" s="5">
        <f>IF(AND('Daily Sale entry '!Z805="Online collection 网上收款",'Daily Sale entry '!AA805&lt;&gt;""),'Daily Sale entry '!X805,"")</f>
        <v/>
      </c>
      <c r="C2305">
        <f>IF(B2305="","",'Daily Sale entry '!AA805)</f>
        <v/>
      </c>
      <c r="D2305">
        <f>IF(C2305="","",0)</f>
        <v/>
      </c>
      <c r="E2305">
        <f>IF(C2305="","",'Daily Sale entry '!AC805)</f>
        <v/>
      </c>
      <c r="F2305" s="37">
        <f>IF(C2305="","",B2305+IF(E2305&gt;0,0,0.5)+ROW()/10000000)</f>
        <v/>
      </c>
      <c r="G2305">
        <f>IF(C2305="","","Collection 收款 (Online 网上)"&amp;IF('Daily Sale entry '!Y805="",""," - "&amp;'Daily Sale entry '!Y805))</f>
        <v/>
      </c>
      <c r="H2305">
        <f>IF(C2305="","",COUNTIFS($C$2:$C$3001,C2305,$F$2:$F$3001,"&lt;"&amp;F2305)+1)</f>
        <v/>
      </c>
      <c r="I2305">
        <f>IF(C2305="","",C2305&amp;"|"&amp;H2305)</f>
        <v/>
      </c>
      <c r="J2305" s="6">
        <f>IF(C2305="","",IF(H2305=1,SUMIFS('Opening Balance'!$F$4:$F$303,'Opening Balance'!$G$4:$G$303,C2305),INDEX($L$2:$L$3001,MATCH(C2305&amp;"|"&amp;(H2305-1),$I$2:$I$3001,0))))</f>
        <v/>
      </c>
      <c r="K2305" s="6">
        <f>IF(C2305="","",IF(M2305&gt;0,M2305,IF(AND(E2305&gt;0,ROUND(J2305+D2305-E2305,2)&gt;0,ROUND(J2305+D2305-E2305,2)&lt;'Opening Balance'!$B$14),ROUND(J2305+D2305-E2305,2),0)))</f>
        <v/>
      </c>
      <c r="L2305" s="6">
        <f>IF(C2305="","",ROUND(J2305+D2305-E2305-K2305,2))</f>
        <v/>
      </c>
      <c r="M2305" s="6">
        <f>IF(C2305="","",0)</f>
        <v/>
      </c>
    </row>
    <row r="2306">
      <c r="A2306" t="inlineStr">
        <is>
          <t>Bank 银行</t>
        </is>
      </c>
      <c r="B2306" s="5">
        <f>IF(AND('Daily Sale entry '!Z806="Online collection 网上收款",'Daily Sale entry '!AA806&lt;&gt;""),'Daily Sale entry '!X806,"")</f>
        <v/>
      </c>
      <c r="C2306">
        <f>IF(B2306="","",'Daily Sale entry '!AA806)</f>
        <v/>
      </c>
      <c r="D2306">
        <f>IF(C2306="","",0)</f>
        <v/>
      </c>
      <c r="E2306">
        <f>IF(C2306="","",'Daily Sale entry '!AC806)</f>
        <v/>
      </c>
      <c r="F2306" s="37">
        <f>IF(C2306="","",B2306+IF(E2306&gt;0,0,0.5)+ROW()/10000000)</f>
        <v/>
      </c>
      <c r="G2306">
        <f>IF(C2306="","","Collection 收款 (Online 网上)"&amp;IF('Daily Sale entry '!Y806="",""," - "&amp;'Daily Sale entry '!Y806))</f>
        <v/>
      </c>
      <c r="H2306">
        <f>IF(C2306="","",COUNTIFS($C$2:$C$3001,C2306,$F$2:$F$3001,"&lt;"&amp;F2306)+1)</f>
        <v/>
      </c>
      <c r="I2306">
        <f>IF(C2306="","",C2306&amp;"|"&amp;H2306)</f>
        <v/>
      </c>
      <c r="J2306" s="6">
        <f>IF(C2306="","",IF(H2306=1,SUMIFS('Opening Balance'!$F$4:$F$303,'Opening Balance'!$G$4:$G$303,C2306),INDEX($L$2:$L$3001,MATCH(C2306&amp;"|"&amp;(H2306-1),$I$2:$I$3001,0))))</f>
        <v/>
      </c>
      <c r="K2306" s="6">
        <f>IF(C2306="","",IF(M2306&gt;0,M2306,IF(AND(E2306&gt;0,ROUND(J2306+D2306-E2306,2)&gt;0,ROUND(J2306+D2306-E2306,2)&lt;'Opening Balance'!$B$14),ROUND(J2306+D2306-E2306,2),0)))</f>
        <v/>
      </c>
      <c r="L2306" s="6">
        <f>IF(C2306="","",ROUND(J2306+D2306-E2306-K2306,2))</f>
        <v/>
      </c>
      <c r="M2306" s="6">
        <f>IF(C2306="","",0)</f>
        <v/>
      </c>
    </row>
    <row r="2307">
      <c r="A2307" t="inlineStr">
        <is>
          <t>Bank 银行</t>
        </is>
      </c>
      <c r="B2307" s="5">
        <f>IF(AND('Daily Sale entry '!Z807="Online collection 网上收款",'Daily Sale entry '!AA807&lt;&gt;""),'Daily Sale entry '!X807,"")</f>
        <v/>
      </c>
      <c r="C2307">
        <f>IF(B2307="","",'Daily Sale entry '!AA807)</f>
        <v/>
      </c>
      <c r="D2307">
        <f>IF(C2307="","",0)</f>
        <v/>
      </c>
      <c r="E2307">
        <f>IF(C2307="","",'Daily Sale entry '!AC807)</f>
        <v/>
      </c>
      <c r="F2307" s="37">
        <f>IF(C2307="","",B2307+IF(E2307&gt;0,0,0.5)+ROW()/10000000)</f>
        <v/>
      </c>
      <c r="G2307">
        <f>IF(C2307="","","Collection 收款 (Online 网上)"&amp;IF('Daily Sale entry '!Y807="",""," - "&amp;'Daily Sale entry '!Y807))</f>
        <v/>
      </c>
      <c r="H2307">
        <f>IF(C2307="","",COUNTIFS($C$2:$C$3001,C2307,$F$2:$F$3001,"&lt;"&amp;F2307)+1)</f>
        <v/>
      </c>
      <c r="I2307">
        <f>IF(C2307="","",C2307&amp;"|"&amp;H2307)</f>
        <v/>
      </c>
      <c r="J2307" s="6">
        <f>IF(C2307="","",IF(H2307=1,SUMIFS('Opening Balance'!$F$4:$F$303,'Opening Balance'!$G$4:$G$303,C2307),INDEX($L$2:$L$3001,MATCH(C2307&amp;"|"&amp;(H2307-1),$I$2:$I$3001,0))))</f>
        <v/>
      </c>
      <c r="K2307" s="6">
        <f>IF(C2307="","",IF(M2307&gt;0,M2307,IF(AND(E2307&gt;0,ROUND(J2307+D2307-E2307,2)&gt;0,ROUND(J2307+D2307-E2307,2)&lt;'Opening Balance'!$B$14),ROUND(J2307+D2307-E2307,2),0)))</f>
        <v/>
      </c>
      <c r="L2307" s="6">
        <f>IF(C2307="","",ROUND(J2307+D2307-E2307-K2307,2))</f>
        <v/>
      </c>
      <c r="M2307" s="6">
        <f>IF(C2307="","",0)</f>
        <v/>
      </c>
    </row>
    <row r="2308">
      <c r="A2308" t="inlineStr">
        <is>
          <t>Bank 银行</t>
        </is>
      </c>
      <c r="B2308" s="5">
        <f>IF(AND('Daily Sale entry '!Z808="Online collection 网上收款",'Daily Sale entry '!AA808&lt;&gt;""),'Daily Sale entry '!X808,"")</f>
        <v/>
      </c>
      <c r="C2308">
        <f>IF(B2308="","",'Daily Sale entry '!AA808)</f>
        <v/>
      </c>
      <c r="D2308">
        <f>IF(C2308="","",0)</f>
        <v/>
      </c>
      <c r="E2308">
        <f>IF(C2308="","",'Daily Sale entry '!AC808)</f>
        <v/>
      </c>
      <c r="F2308" s="37">
        <f>IF(C2308="","",B2308+IF(E2308&gt;0,0,0.5)+ROW()/10000000)</f>
        <v/>
      </c>
      <c r="G2308">
        <f>IF(C2308="","","Collection 收款 (Online 网上)"&amp;IF('Daily Sale entry '!Y808="",""," - "&amp;'Daily Sale entry '!Y808))</f>
        <v/>
      </c>
      <c r="H2308">
        <f>IF(C2308="","",COUNTIFS($C$2:$C$3001,C2308,$F$2:$F$3001,"&lt;"&amp;F2308)+1)</f>
        <v/>
      </c>
      <c r="I2308">
        <f>IF(C2308="","",C2308&amp;"|"&amp;H2308)</f>
        <v/>
      </c>
      <c r="J2308" s="6">
        <f>IF(C2308="","",IF(H2308=1,SUMIFS('Opening Balance'!$F$4:$F$303,'Opening Balance'!$G$4:$G$303,C2308),INDEX($L$2:$L$3001,MATCH(C2308&amp;"|"&amp;(H2308-1),$I$2:$I$3001,0))))</f>
        <v/>
      </c>
      <c r="K2308" s="6">
        <f>IF(C2308="","",IF(M2308&gt;0,M2308,IF(AND(E2308&gt;0,ROUND(J2308+D2308-E2308,2)&gt;0,ROUND(J2308+D2308-E2308,2)&lt;'Opening Balance'!$B$14),ROUND(J2308+D2308-E2308,2),0)))</f>
        <v/>
      </c>
      <c r="L2308" s="6">
        <f>IF(C2308="","",ROUND(J2308+D2308-E2308-K2308,2))</f>
        <v/>
      </c>
      <c r="M2308" s="6">
        <f>IF(C2308="","",0)</f>
        <v/>
      </c>
    </row>
    <row r="2309">
      <c r="A2309" t="inlineStr">
        <is>
          <t>Bank 银行</t>
        </is>
      </c>
      <c r="B2309" s="5">
        <f>IF(AND('Daily Sale entry '!Z809="Online collection 网上收款",'Daily Sale entry '!AA809&lt;&gt;""),'Daily Sale entry '!X809,"")</f>
        <v/>
      </c>
      <c r="C2309">
        <f>IF(B2309="","",'Daily Sale entry '!AA809)</f>
        <v/>
      </c>
      <c r="D2309">
        <f>IF(C2309="","",0)</f>
        <v/>
      </c>
      <c r="E2309">
        <f>IF(C2309="","",'Daily Sale entry '!AC809)</f>
        <v/>
      </c>
      <c r="F2309" s="37">
        <f>IF(C2309="","",B2309+IF(E2309&gt;0,0,0.5)+ROW()/10000000)</f>
        <v/>
      </c>
      <c r="G2309">
        <f>IF(C2309="","","Collection 收款 (Online 网上)"&amp;IF('Daily Sale entry '!Y809="",""," - "&amp;'Daily Sale entry '!Y809))</f>
        <v/>
      </c>
      <c r="H2309">
        <f>IF(C2309="","",COUNTIFS($C$2:$C$3001,C2309,$F$2:$F$3001,"&lt;"&amp;F2309)+1)</f>
        <v/>
      </c>
      <c r="I2309">
        <f>IF(C2309="","",C2309&amp;"|"&amp;H2309)</f>
        <v/>
      </c>
      <c r="J2309" s="6">
        <f>IF(C2309="","",IF(H2309=1,SUMIFS('Opening Balance'!$F$4:$F$303,'Opening Balance'!$G$4:$G$303,C2309),INDEX($L$2:$L$3001,MATCH(C2309&amp;"|"&amp;(H2309-1),$I$2:$I$3001,0))))</f>
        <v/>
      </c>
      <c r="K2309" s="6">
        <f>IF(C2309="","",IF(M2309&gt;0,M2309,IF(AND(E2309&gt;0,ROUND(J2309+D2309-E2309,2)&gt;0,ROUND(J2309+D2309-E2309,2)&lt;'Opening Balance'!$B$14),ROUND(J2309+D2309-E2309,2),0)))</f>
        <v/>
      </c>
      <c r="L2309" s="6">
        <f>IF(C2309="","",ROUND(J2309+D2309-E2309-K2309,2))</f>
        <v/>
      </c>
      <c r="M2309" s="6">
        <f>IF(C2309="","",0)</f>
        <v/>
      </c>
    </row>
    <row r="2310">
      <c r="A2310" t="inlineStr">
        <is>
          <t>Bank 银行</t>
        </is>
      </c>
      <c r="B2310" s="5">
        <f>IF(AND('Daily Sale entry '!Z810="Online collection 网上收款",'Daily Sale entry '!AA810&lt;&gt;""),'Daily Sale entry '!X810,"")</f>
        <v/>
      </c>
      <c r="C2310">
        <f>IF(B2310="","",'Daily Sale entry '!AA810)</f>
        <v/>
      </c>
      <c r="D2310">
        <f>IF(C2310="","",0)</f>
        <v/>
      </c>
      <c r="E2310">
        <f>IF(C2310="","",'Daily Sale entry '!AC810)</f>
        <v/>
      </c>
      <c r="F2310" s="37">
        <f>IF(C2310="","",B2310+IF(E2310&gt;0,0,0.5)+ROW()/10000000)</f>
        <v/>
      </c>
      <c r="G2310">
        <f>IF(C2310="","","Collection 收款 (Online 网上)"&amp;IF('Daily Sale entry '!Y810="",""," - "&amp;'Daily Sale entry '!Y810))</f>
        <v/>
      </c>
      <c r="H2310">
        <f>IF(C2310="","",COUNTIFS($C$2:$C$3001,C2310,$F$2:$F$3001,"&lt;"&amp;F2310)+1)</f>
        <v/>
      </c>
      <c r="I2310">
        <f>IF(C2310="","",C2310&amp;"|"&amp;H2310)</f>
        <v/>
      </c>
      <c r="J2310" s="6">
        <f>IF(C2310="","",IF(H2310=1,SUMIFS('Opening Balance'!$F$4:$F$303,'Opening Balance'!$G$4:$G$303,C2310),INDEX($L$2:$L$3001,MATCH(C2310&amp;"|"&amp;(H2310-1),$I$2:$I$3001,0))))</f>
        <v/>
      </c>
      <c r="K2310" s="6">
        <f>IF(C2310="","",IF(M2310&gt;0,M2310,IF(AND(E2310&gt;0,ROUND(J2310+D2310-E2310,2)&gt;0,ROUND(J2310+D2310-E2310,2)&lt;'Opening Balance'!$B$14),ROUND(J2310+D2310-E2310,2),0)))</f>
        <v/>
      </c>
      <c r="L2310" s="6">
        <f>IF(C2310="","",ROUND(J2310+D2310-E2310-K2310,2))</f>
        <v/>
      </c>
      <c r="M2310" s="6">
        <f>IF(C2310="","",0)</f>
        <v/>
      </c>
    </row>
    <row r="2311">
      <c r="A2311" t="inlineStr">
        <is>
          <t>Bank 银行</t>
        </is>
      </c>
      <c r="B2311" s="5">
        <f>IF(AND('Daily Sale entry '!Z811="Online collection 网上收款",'Daily Sale entry '!AA811&lt;&gt;""),'Daily Sale entry '!X811,"")</f>
        <v/>
      </c>
      <c r="C2311">
        <f>IF(B2311="","",'Daily Sale entry '!AA811)</f>
        <v/>
      </c>
      <c r="D2311">
        <f>IF(C2311="","",0)</f>
        <v/>
      </c>
      <c r="E2311">
        <f>IF(C2311="","",'Daily Sale entry '!AC811)</f>
        <v/>
      </c>
      <c r="F2311" s="37">
        <f>IF(C2311="","",B2311+IF(E2311&gt;0,0,0.5)+ROW()/10000000)</f>
        <v/>
      </c>
      <c r="G2311">
        <f>IF(C2311="","","Collection 收款 (Online 网上)"&amp;IF('Daily Sale entry '!Y811="",""," - "&amp;'Daily Sale entry '!Y811))</f>
        <v/>
      </c>
      <c r="H2311">
        <f>IF(C2311="","",COUNTIFS($C$2:$C$3001,C2311,$F$2:$F$3001,"&lt;"&amp;F2311)+1)</f>
        <v/>
      </c>
      <c r="I2311">
        <f>IF(C2311="","",C2311&amp;"|"&amp;H2311)</f>
        <v/>
      </c>
      <c r="J2311" s="6">
        <f>IF(C2311="","",IF(H2311=1,SUMIFS('Opening Balance'!$F$4:$F$303,'Opening Balance'!$G$4:$G$303,C2311),INDEX($L$2:$L$3001,MATCH(C2311&amp;"|"&amp;(H2311-1),$I$2:$I$3001,0))))</f>
        <v/>
      </c>
      <c r="K2311" s="6">
        <f>IF(C2311="","",IF(M2311&gt;0,M2311,IF(AND(E2311&gt;0,ROUND(J2311+D2311-E2311,2)&gt;0,ROUND(J2311+D2311-E2311,2)&lt;'Opening Balance'!$B$14),ROUND(J2311+D2311-E2311,2),0)))</f>
        <v/>
      </c>
      <c r="L2311" s="6">
        <f>IF(C2311="","",ROUND(J2311+D2311-E2311-K2311,2))</f>
        <v/>
      </c>
      <c r="M2311" s="6">
        <f>IF(C2311="","",0)</f>
        <v/>
      </c>
    </row>
    <row r="2312">
      <c r="A2312" t="inlineStr">
        <is>
          <t>Bank 银行</t>
        </is>
      </c>
      <c r="B2312" s="5">
        <f>IF(AND('Daily Sale entry '!Z812="Online collection 网上收款",'Daily Sale entry '!AA812&lt;&gt;""),'Daily Sale entry '!X812,"")</f>
        <v/>
      </c>
      <c r="C2312">
        <f>IF(B2312="","",'Daily Sale entry '!AA812)</f>
        <v/>
      </c>
      <c r="D2312">
        <f>IF(C2312="","",0)</f>
        <v/>
      </c>
      <c r="E2312">
        <f>IF(C2312="","",'Daily Sale entry '!AC812)</f>
        <v/>
      </c>
      <c r="F2312" s="37">
        <f>IF(C2312="","",B2312+IF(E2312&gt;0,0,0.5)+ROW()/10000000)</f>
        <v/>
      </c>
      <c r="G2312">
        <f>IF(C2312="","","Collection 收款 (Online 网上)"&amp;IF('Daily Sale entry '!Y812="",""," - "&amp;'Daily Sale entry '!Y812))</f>
        <v/>
      </c>
      <c r="H2312">
        <f>IF(C2312="","",COUNTIFS($C$2:$C$3001,C2312,$F$2:$F$3001,"&lt;"&amp;F2312)+1)</f>
        <v/>
      </c>
      <c r="I2312">
        <f>IF(C2312="","",C2312&amp;"|"&amp;H2312)</f>
        <v/>
      </c>
      <c r="J2312" s="6">
        <f>IF(C2312="","",IF(H2312=1,SUMIFS('Opening Balance'!$F$4:$F$303,'Opening Balance'!$G$4:$G$303,C2312),INDEX($L$2:$L$3001,MATCH(C2312&amp;"|"&amp;(H2312-1),$I$2:$I$3001,0))))</f>
        <v/>
      </c>
      <c r="K2312" s="6">
        <f>IF(C2312="","",IF(M2312&gt;0,M2312,IF(AND(E2312&gt;0,ROUND(J2312+D2312-E2312,2)&gt;0,ROUND(J2312+D2312-E2312,2)&lt;'Opening Balance'!$B$14),ROUND(J2312+D2312-E2312,2),0)))</f>
        <v/>
      </c>
      <c r="L2312" s="6">
        <f>IF(C2312="","",ROUND(J2312+D2312-E2312-K2312,2))</f>
        <v/>
      </c>
      <c r="M2312" s="6">
        <f>IF(C2312="","",0)</f>
        <v/>
      </c>
    </row>
    <row r="2313">
      <c r="A2313" t="inlineStr">
        <is>
          <t>Bank 银行</t>
        </is>
      </c>
      <c r="B2313" s="5">
        <f>IF(AND('Daily Sale entry '!Z813="Online collection 网上收款",'Daily Sale entry '!AA813&lt;&gt;""),'Daily Sale entry '!X813,"")</f>
        <v/>
      </c>
      <c r="C2313">
        <f>IF(B2313="","",'Daily Sale entry '!AA813)</f>
        <v/>
      </c>
      <c r="D2313">
        <f>IF(C2313="","",0)</f>
        <v/>
      </c>
      <c r="E2313">
        <f>IF(C2313="","",'Daily Sale entry '!AC813)</f>
        <v/>
      </c>
      <c r="F2313" s="37">
        <f>IF(C2313="","",B2313+IF(E2313&gt;0,0,0.5)+ROW()/10000000)</f>
        <v/>
      </c>
      <c r="G2313">
        <f>IF(C2313="","","Collection 收款 (Online 网上)"&amp;IF('Daily Sale entry '!Y813="",""," - "&amp;'Daily Sale entry '!Y813))</f>
        <v/>
      </c>
      <c r="H2313">
        <f>IF(C2313="","",COUNTIFS($C$2:$C$3001,C2313,$F$2:$F$3001,"&lt;"&amp;F2313)+1)</f>
        <v/>
      </c>
      <c r="I2313">
        <f>IF(C2313="","",C2313&amp;"|"&amp;H2313)</f>
        <v/>
      </c>
      <c r="J2313" s="6">
        <f>IF(C2313="","",IF(H2313=1,SUMIFS('Opening Balance'!$F$4:$F$303,'Opening Balance'!$G$4:$G$303,C2313),INDEX($L$2:$L$3001,MATCH(C2313&amp;"|"&amp;(H2313-1),$I$2:$I$3001,0))))</f>
        <v/>
      </c>
      <c r="K2313" s="6">
        <f>IF(C2313="","",IF(M2313&gt;0,M2313,IF(AND(E2313&gt;0,ROUND(J2313+D2313-E2313,2)&gt;0,ROUND(J2313+D2313-E2313,2)&lt;'Opening Balance'!$B$14),ROUND(J2313+D2313-E2313,2),0)))</f>
        <v/>
      </c>
      <c r="L2313" s="6">
        <f>IF(C2313="","",ROUND(J2313+D2313-E2313-K2313,2))</f>
        <v/>
      </c>
      <c r="M2313" s="6">
        <f>IF(C2313="","",0)</f>
        <v/>
      </c>
    </row>
    <row r="2314">
      <c r="A2314" t="inlineStr">
        <is>
          <t>Bank 银行</t>
        </is>
      </c>
      <c r="B2314" s="5">
        <f>IF(AND('Daily Sale entry '!Z814="Online collection 网上收款",'Daily Sale entry '!AA814&lt;&gt;""),'Daily Sale entry '!X814,"")</f>
        <v/>
      </c>
      <c r="C2314">
        <f>IF(B2314="","",'Daily Sale entry '!AA814)</f>
        <v/>
      </c>
      <c r="D2314">
        <f>IF(C2314="","",0)</f>
        <v/>
      </c>
      <c r="E2314">
        <f>IF(C2314="","",'Daily Sale entry '!AC814)</f>
        <v/>
      </c>
      <c r="F2314" s="37">
        <f>IF(C2314="","",B2314+IF(E2314&gt;0,0,0.5)+ROW()/10000000)</f>
        <v/>
      </c>
      <c r="G2314">
        <f>IF(C2314="","","Collection 收款 (Online 网上)"&amp;IF('Daily Sale entry '!Y814="",""," - "&amp;'Daily Sale entry '!Y814))</f>
        <v/>
      </c>
      <c r="H2314">
        <f>IF(C2314="","",COUNTIFS($C$2:$C$3001,C2314,$F$2:$F$3001,"&lt;"&amp;F2314)+1)</f>
        <v/>
      </c>
      <c r="I2314">
        <f>IF(C2314="","",C2314&amp;"|"&amp;H2314)</f>
        <v/>
      </c>
      <c r="J2314" s="6">
        <f>IF(C2314="","",IF(H2314=1,SUMIFS('Opening Balance'!$F$4:$F$303,'Opening Balance'!$G$4:$G$303,C2314),INDEX($L$2:$L$3001,MATCH(C2314&amp;"|"&amp;(H2314-1),$I$2:$I$3001,0))))</f>
        <v/>
      </c>
      <c r="K2314" s="6">
        <f>IF(C2314="","",IF(M2314&gt;0,M2314,IF(AND(E2314&gt;0,ROUND(J2314+D2314-E2314,2)&gt;0,ROUND(J2314+D2314-E2314,2)&lt;'Opening Balance'!$B$14),ROUND(J2314+D2314-E2314,2),0)))</f>
        <v/>
      </c>
      <c r="L2314" s="6">
        <f>IF(C2314="","",ROUND(J2314+D2314-E2314-K2314,2))</f>
        <v/>
      </c>
      <c r="M2314" s="6">
        <f>IF(C2314="","",0)</f>
        <v/>
      </c>
    </row>
    <row r="2315">
      <c r="A2315" t="inlineStr">
        <is>
          <t>Bank 银行</t>
        </is>
      </c>
      <c r="B2315" s="5">
        <f>IF(AND('Daily Sale entry '!Z815="Online collection 网上收款",'Daily Sale entry '!AA815&lt;&gt;""),'Daily Sale entry '!X815,"")</f>
        <v/>
      </c>
      <c r="C2315">
        <f>IF(B2315="","",'Daily Sale entry '!AA815)</f>
        <v/>
      </c>
      <c r="D2315">
        <f>IF(C2315="","",0)</f>
        <v/>
      </c>
      <c r="E2315">
        <f>IF(C2315="","",'Daily Sale entry '!AC815)</f>
        <v/>
      </c>
      <c r="F2315" s="37">
        <f>IF(C2315="","",B2315+IF(E2315&gt;0,0,0.5)+ROW()/10000000)</f>
        <v/>
      </c>
      <c r="G2315">
        <f>IF(C2315="","","Collection 收款 (Online 网上)"&amp;IF('Daily Sale entry '!Y815="",""," - "&amp;'Daily Sale entry '!Y815))</f>
        <v/>
      </c>
      <c r="H2315">
        <f>IF(C2315="","",COUNTIFS($C$2:$C$3001,C2315,$F$2:$F$3001,"&lt;"&amp;F2315)+1)</f>
        <v/>
      </c>
      <c r="I2315">
        <f>IF(C2315="","",C2315&amp;"|"&amp;H2315)</f>
        <v/>
      </c>
      <c r="J2315" s="6">
        <f>IF(C2315="","",IF(H2315=1,SUMIFS('Opening Balance'!$F$4:$F$303,'Opening Balance'!$G$4:$G$303,C2315),INDEX($L$2:$L$3001,MATCH(C2315&amp;"|"&amp;(H2315-1),$I$2:$I$3001,0))))</f>
        <v/>
      </c>
      <c r="K2315" s="6">
        <f>IF(C2315="","",IF(M2315&gt;0,M2315,IF(AND(E2315&gt;0,ROUND(J2315+D2315-E2315,2)&gt;0,ROUND(J2315+D2315-E2315,2)&lt;'Opening Balance'!$B$14),ROUND(J2315+D2315-E2315,2),0)))</f>
        <v/>
      </c>
      <c r="L2315" s="6">
        <f>IF(C2315="","",ROUND(J2315+D2315-E2315-K2315,2))</f>
        <v/>
      </c>
      <c r="M2315" s="6">
        <f>IF(C2315="","",0)</f>
        <v/>
      </c>
    </row>
    <row r="2316">
      <c r="A2316" t="inlineStr">
        <is>
          <t>Bank 银行</t>
        </is>
      </c>
      <c r="B2316" s="5">
        <f>IF(AND('Daily Sale entry '!Z816="Online collection 网上收款",'Daily Sale entry '!AA816&lt;&gt;""),'Daily Sale entry '!X816,"")</f>
        <v/>
      </c>
      <c r="C2316">
        <f>IF(B2316="","",'Daily Sale entry '!AA816)</f>
        <v/>
      </c>
      <c r="D2316">
        <f>IF(C2316="","",0)</f>
        <v/>
      </c>
      <c r="E2316">
        <f>IF(C2316="","",'Daily Sale entry '!AC816)</f>
        <v/>
      </c>
      <c r="F2316" s="37">
        <f>IF(C2316="","",B2316+IF(E2316&gt;0,0,0.5)+ROW()/10000000)</f>
        <v/>
      </c>
      <c r="G2316">
        <f>IF(C2316="","","Collection 收款 (Online 网上)"&amp;IF('Daily Sale entry '!Y816="",""," - "&amp;'Daily Sale entry '!Y816))</f>
        <v/>
      </c>
      <c r="H2316">
        <f>IF(C2316="","",COUNTIFS($C$2:$C$3001,C2316,$F$2:$F$3001,"&lt;"&amp;F2316)+1)</f>
        <v/>
      </c>
      <c r="I2316">
        <f>IF(C2316="","",C2316&amp;"|"&amp;H2316)</f>
        <v/>
      </c>
      <c r="J2316" s="6">
        <f>IF(C2316="","",IF(H2316=1,SUMIFS('Opening Balance'!$F$4:$F$303,'Opening Balance'!$G$4:$G$303,C2316),INDEX($L$2:$L$3001,MATCH(C2316&amp;"|"&amp;(H2316-1),$I$2:$I$3001,0))))</f>
        <v/>
      </c>
      <c r="K2316" s="6">
        <f>IF(C2316="","",IF(M2316&gt;0,M2316,IF(AND(E2316&gt;0,ROUND(J2316+D2316-E2316,2)&gt;0,ROUND(J2316+D2316-E2316,2)&lt;'Opening Balance'!$B$14),ROUND(J2316+D2316-E2316,2),0)))</f>
        <v/>
      </c>
      <c r="L2316" s="6">
        <f>IF(C2316="","",ROUND(J2316+D2316-E2316-K2316,2))</f>
        <v/>
      </c>
      <c r="M2316" s="6">
        <f>IF(C2316="","",0)</f>
        <v/>
      </c>
    </row>
    <row r="2317">
      <c r="A2317" t="inlineStr">
        <is>
          <t>Bank 银行</t>
        </is>
      </c>
      <c r="B2317" s="5">
        <f>IF(AND('Daily Sale entry '!Z817="Online collection 网上收款",'Daily Sale entry '!AA817&lt;&gt;""),'Daily Sale entry '!X817,"")</f>
        <v/>
      </c>
      <c r="C2317">
        <f>IF(B2317="","",'Daily Sale entry '!AA817)</f>
        <v/>
      </c>
      <c r="D2317">
        <f>IF(C2317="","",0)</f>
        <v/>
      </c>
      <c r="E2317">
        <f>IF(C2317="","",'Daily Sale entry '!AC817)</f>
        <v/>
      </c>
      <c r="F2317" s="37">
        <f>IF(C2317="","",B2317+IF(E2317&gt;0,0,0.5)+ROW()/10000000)</f>
        <v/>
      </c>
      <c r="G2317">
        <f>IF(C2317="","","Collection 收款 (Online 网上)"&amp;IF('Daily Sale entry '!Y817="",""," - "&amp;'Daily Sale entry '!Y817))</f>
        <v/>
      </c>
      <c r="H2317">
        <f>IF(C2317="","",COUNTIFS($C$2:$C$3001,C2317,$F$2:$F$3001,"&lt;"&amp;F2317)+1)</f>
        <v/>
      </c>
      <c r="I2317">
        <f>IF(C2317="","",C2317&amp;"|"&amp;H2317)</f>
        <v/>
      </c>
      <c r="J2317" s="6">
        <f>IF(C2317="","",IF(H2317=1,SUMIFS('Opening Balance'!$F$4:$F$303,'Opening Balance'!$G$4:$G$303,C2317),INDEX($L$2:$L$3001,MATCH(C2317&amp;"|"&amp;(H2317-1),$I$2:$I$3001,0))))</f>
        <v/>
      </c>
      <c r="K2317" s="6">
        <f>IF(C2317="","",IF(M2317&gt;0,M2317,IF(AND(E2317&gt;0,ROUND(J2317+D2317-E2317,2)&gt;0,ROUND(J2317+D2317-E2317,2)&lt;'Opening Balance'!$B$14),ROUND(J2317+D2317-E2317,2),0)))</f>
        <v/>
      </c>
      <c r="L2317" s="6">
        <f>IF(C2317="","",ROUND(J2317+D2317-E2317-K2317,2))</f>
        <v/>
      </c>
      <c r="M2317" s="6">
        <f>IF(C2317="","",0)</f>
        <v/>
      </c>
    </row>
    <row r="2318">
      <c r="A2318" t="inlineStr">
        <is>
          <t>Bank 银行</t>
        </is>
      </c>
      <c r="B2318" s="5">
        <f>IF(AND('Daily Sale entry '!Z818="Online collection 网上收款",'Daily Sale entry '!AA818&lt;&gt;""),'Daily Sale entry '!X818,"")</f>
        <v/>
      </c>
      <c r="C2318">
        <f>IF(B2318="","",'Daily Sale entry '!AA818)</f>
        <v/>
      </c>
      <c r="D2318">
        <f>IF(C2318="","",0)</f>
        <v/>
      </c>
      <c r="E2318">
        <f>IF(C2318="","",'Daily Sale entry '!AC818)</f>
        <v/>
      </c>
      <c r="F2318" s="37">
        <f>IF(C2318="","",B2318+IF(E2318&gt;0,0,0.5)+ROW()/10000000)</f>
        <v/>
      </c>
      <c r="G2318">
        <f>IF(C2318="","","Collection 收款 (Online 网上)"&amp;IF('Daily Sale entry '!Y818="",""," - "&amp;'Daily Sale entry '!Y818))</f>
        <v/>
      </c>
      <c r="H2318">
        <f>IF(C2318="","",COUNTIFS($C$2:$C$3001,C2318,$F$2:$F$3001,"&lt;"&amp;F2318)+1)</f>
        <v/>
      </c>
      <c r="I2318">
        <f>IF(C2318="","",C2318&amp;"|"&amp;H2318)</f>
        <v/>
      </c>
      <c r="J2318" s="6">
        <f>IF(C2318="","",IF(H2318=1,SUMIFS('Opening Balance'!$F$4:$F$303,'Opening Balance'!$G$4:$G$303,C2318),INDEX($L$2:$L$3001,MATCH(C2318&amp;"|"&amp;(H2318-1),$I$2:$I$3001,0))))</f>
        <v/>
      </c>
      <c r="K2318" s="6">
        <f>IF(C2318="","",IF(M2318&gt;0,M2318,IF(AND(E2318&gt;0,ROUND(J2318+D2318-E2318,2)&gt;0,ROUND(J2318+D2318-E2318,2)&lt;'Opening Balance'!$B$14),ROUND(J2318+D2318-E2318,2),0)))</f>
        <v/>
      </c>
      <c r="L2318" s="6">
        <f>IF(C2318="","",ROUND(J2318+D2318-E2318-K2318,2))</f>
        <v/>
      </c>
      <c r="M2318" s="6">
        <f>IF(C2318="","",0)</f>
        <v/>
      </c>
    </row>
    <row r="2319">
      <c r="A2319" t="inlineStr">
        <is>
          <t>Bank 银行</t>
        </is>
      </c>
      <c r="B2319" s="5">
        <f>IF(AND('Daily Sale entry '!Z819="Online collection 网上收款",'Daily Sale entry '!AA819&lt;&gt;""),'Daily Sale entry '!X819,"")</f>
        <v/>
      </c>
      <c r="C2319">
        <f>IF(B2319="","",'Daily Sale entry '!AA819)</f>
        <v/>
      </c>
      <c r="D2319">
        <f>IF(C2319="","",0)</f>
        <v/>
      </c>
      <c r="E2319">
        <f>IF(C2319="","",'Daily Sale entry '!AC819)</f>
        <v/>
      </c>
      <c r="F2319" s="37">
        <f>IF(C2319="","",B2319+IF(E2319&gt;0,0,0.5)+ROW()/10000000)</f>
        <v/>
      </c>
      <c r="G2319">
        <f>IF(C2319="","","Collection 收款 (Online 网上)"&amp;IF('Daily Sale entry '!Y819="",""," - "&amp;'Daily Sale entry '!Y819))</f>
        <v/>
      </c>
      <c r="H2319">
        <f>IF(C2319="","",COUNTIFS($C$2:$C$3001,C2319,$F$2:$F$3001,"&lt;"&amp;F2319)+1)</f>
        <v/>
      </c>
      <c r="I2319">
        <f>IF(C2319="","",C2319&amp;"|"&amp;H2319)</f>
        <v/>
      </c>
      <c r="J2319" s="6">
        <f>IF(C2319="","",IF(H2319=1,SUMIFS('Opening Balance'!$F$4:$F$303,'Opening Balance'!$G$4:$G$303,C2319),INDEX($L$2:$L$3001,MATCH(C2319&amp;"|"&amp;(H2319-1),$I$2:$I$3001,0))))</f>
        <v/>
      </c>
      <c r="K2319" s="6">
        <f>IF(C2319="","",IF(M2319&gt;0,M2319,IF(AND(E2319&gt;0,ROUND(J2319+D2319-E2319,2)&gt;0,ROUND(J2319+D2319-E2319,2)&lt;'Opening Balance'!$B$14),ROUND(J2319+D2319-E2319,2),0)))</f>
        <v/>
      </c>
      <c r="L2319" s="6">
        <f>IF(C2319="","",ROUND(J2319+D2319-E2319-K2319,2))</f>
        <v/>
      </c>
      <c r="M2319" s="6">
        <f>IF(C2319="","",0)</f>
        <v/>
      </c>
    </row>
    <row r="2320">
      <c r="A2320" t="inlineStr">
        <is>
          <t>Bank 银行</t>
        </is>
      </c>
      <c r="B2320" s="5">
        <f>IF(AND('Daily Sale entry '!Z820="Online collection 网上收款",'Daily Sale entry '!AA820&lt;&gt;""),'Daily Sale entry '!X820,"")</f>
        <v/>
      </c>
      <c r="C2320">
        <f>IF(B2320="","",'Daily Sale entry '!AA820)</f>
        <v/>
      </c>
      <c r="D2320">
        <f>IF(C2320="","",0)</f>
        <v/>
      </c>
      <c r="E2320">
        <f>IF(C2320="","",'Daily Sale entry '!AC820)</f>
        <v/>
      </c>
      <c r="F2320" s="37">
        <f>IF(C2320="","",B2320+IF(E2320&gt;0,0,0.5)+ROW()/10000000)</f>
        <v/>
      </c>
      <c r="G2320">
        <f>IF(C2320="","","Collection 收款 (Online 网上)"&amp;IF('Daily Sale entry '!Y820="",""," - "&amp;'Daily Sale entry '!Y820))</f>
        <v/>
      </c>
      <c r="H2320">
        <f>IF(C2320="","",COUNTIFS($C$2:$C$3001,C2320,$F$2:$F$3001,"&lt;"&amp;F2320)+1)</f>
        <v/>
      </c>
      <c r="I2320">
        <f>IF(C2320="","",C2320&amp;"|"&amp;H2320)</f>
        <v/>
      </c>
      <c r="J2320" s="6">
        <f>IF(C2320="","",IF(H2320=1,SUMIFS('Opening Balance'!$F$4:$F$303,'Opening Balance'!$G$4:$G$303,C2320),INDEX($L$2:$L$3001,MATCH(C2320&amp;"|"&amp;(H2320-1),$I$2:$I$3001,0))))</f>
        <v/>
      </c>
      <c r="K2320" s="6">
        <f>IF(C2320="","",IF(M2320&gt;0,M2320,IF(AND(E2320&gt;0,ROUND(J2320+D2320-E2320,2)&gt;0,ROUND(J2320+D2320-E2320,2)&lt;'Opening Balance'!$B$14),ROUND(J2320+D2320-E2320,2),0)))</f>
        <v/>
      </c>
      <c r="L2320" s="6">
        <f>IF(C2320="","",ROUND(J2320+D2320-E2320-K2320,2))</f>
        <v/>
      </c>
      <c r="M2320" s="6">
        <f>IF(C2320="","",0)</f>
        <v/>
      </c>
    </row>
    <row r="2321">
      <c r="A2321" t="inlineStr">
        <is>
          <t>Bank 银行</t>
        </is>
      </c>
      <c r="B2321" s="5">
        <f>IF(AND('Daily Sale entry '!Z821="Online collection 网上收款",'Daily Sale entry '!AA821&lt;&gt;""),'Daily Sale entry '!X821,"")</f>
        <v/>
      </c>
      <c r="C2321">
        <f>IF(B2321="","",'Daily Sale entry '!AA821)</f>
        <v/>
      </c>
      <c r="D2321">
        <f>IF(C2321="","",0)</f>
        <v/>
      </c>
      <c r="E2321">
        <f>IF(C2321="","",'Daily Sale entry '!AC821)</f>
        <v/>
      </c>
      <c r="F2321" s="37">
        <f>IF(C2321="","",B2321+IF(E2321&gt;0,0,0.5)+ROW()/10000000)</f>
        <v/>
      </c>
      <c r="G2321">
        <f>IF(C2321="","","Collection 收款 (Online 网上)"&amp;IF('Daily Sale entry '!Y821="",""," - "&amp;'Daily Sale entry '!Y821))</f>
        <v/>
      </c>
      <c r="H2321">
        <f>IF(C2321="","",COUNTIFS($C$2:$C$3001,C2321,$F$2:$F$3001,"&lt;"&amp;F2321)+1)</f>
        <v/>
      </c>
      <c r="I2321">
        <f>IF(C2321="","",C2321&amp;"|"&amp;H2321)</f>
        <v/>
      </c>
      <c r="J2321" s="6">
        <f>IF(C2321="","",IF(H2321=1,SUMIFS('Opening Balance'!$F$4:$F$303,'Opening Balance'!$G$4:$G$303,C2321),INDEX($L$2:$L$3001,MATCH(C2321&amp;"|"&amp;(H2321-1),$I$2:$I$3001,0))))</f>
        <v/>
      </c>
      <c r="K2321" s="6">
        <f>IF(C2321="","",IF(M2321&gt;0,M2321,IF(AND(E2321&gt;0,ROUND(J2321+D2321-E2321,2)&gt;0,ROUND(J2321+D2321-E2321,2)&lt;'Opening Balance'!$B$14),ROUND(J2321+D2321-E2321,2),0)))</f>
        <v/>
      </c>
      <c r="L2321" s="6">
        <f>IF(C2321="","",ROUND(J2321+D2321-E2321-K2321,2))</f>
        <v/>
      </c>
      <c r="M2321" s="6">
        <f>IF(C2321="","",0)</f>
        <v/>
      </c>
    </row>
    <row r="2322">
      <c r="A2322" t="inlineStr">
        <is>
          <t>Bank 银行</t>
        </is>
      </c>
      <c r="B2322" s="5">
        <f>IF(AND('Daily Sale entry '!Z822="Online collection 网上收款",'Daily Sale entry '!AA822&lt;&gt;""),'Daily Sale entry '!X822,"")</f>
        <v/>
      </c>
      <c r="C2322">
        <f>IF(B2322="","",'Daily Sale entry '!AA822)</f>
        <v/>
      </c>
      <c r="D2322">
        <f>IF(C2322="","",0)</f>
        <v/>
      </c>
      <c r="E2322">
        <f>IF(C2322="","",'Daily Sale entry '!AC822)</f>
        <v/>
      </c>
      <c r="F2322" s="37">
        <f>IF(C2322="","",B2322+IF(E2322&gt;0,0,0.5)+ROW()/10000000)</f>
        <v/>
      </c>
      <c r="G2322">
        <f>IF(C2322="","","Collection 收款 (Online 网上)"&amp;IF('Daily Sale entry '!Y822="",""," - "&amp;'Daily Sale entry '!Y822))</f>
        <v/>
      </c>
      <c r="H2322">
        <f>IF(C2322="","",COUNTIFS($C$2:$C$3001,C2322,$F$2:$F$3001,"&lt;"&amp;F2322)+1)</f>
        <v/>
      </c>
      <c r="I2322">
        <f>IF(C2322="","",C2322&amp;"|"&amp;H2322)</f>
        <v/>
      </c>
      <c r="J2322" s="6">
        <f>IF(C2322="","",IF(H2322=1,SUMIFS('Opening Balance'!$F$4:$F$303,'Opening Balance'!$G$4:$G$303,C2322),INDEX($L$2:$L$3001,MATCH(C2322&amp;"|"&amp;(H2322-1),$I$2:$I$3001,0))))</f>
        <v/>
      </c>
      <c r="K2322" s="6">
        <f>IF(C2322="","",IF(M2322&gt;0,M2322,IF(AND(E2322&gt;0,ROUND(J2322+D2322-E2322,2)&gt;0,ROUND(J2322+D2322-E2322,2)&lt;'Opening Balance'!$B$14),ROUND(J2322+D2322-E2322,2),0)))</f>
        <v/>
      </c>
      <c r="L2322" s="6">
        <f>IF(C2322="","",ROUND(J2322+D2322-E2322-K2322,2))</f>
        <v/>
      </c>
      <c r="M2322" s="6">
        <f>IF(C2322="","",0)</f>
        <v/>
      </c>
    </row>
    <row r="2323">
      <c r="A2323" t="inlineStr">
        <is>
          <t>Bank 银行</t>
        </is>
      </c>
      <c r="B2323" s="5">
        <f>IF(AND('Daily Sale entry '!Z823="Online collection 网上收款",'Daily Sale entry '!AA823&lt;&gt;""),'Daily Sale entry '!X823,"")</f>
        <v/>
      </c>
      <c r="C2323">
        <f>IF(B2323="","",'Daily Sale entry '!AA823)</f>
        <v/>
      </c>
      <c r="D2323">
        <f>IF(C2323="","",0)</f>
        <v/>
      </c>
      <c r="E2323">
        <f>IF(C2323="","",'Daily Sale entry '!AC823)</f>
        <v/>
      </c>
      <c r="F2323" s="37">
        <f>IF(C2323="","",B2323+IF(E2323&gt;0,0,0.5)+ROW()/10000000)</f>
        <v/>
      </c>
      <c r="G2323">
        <f>IF(C2323="","","Collection 收款 (Online 网上)"&amp;IF('Daily Sale entry '!Y823="",""," - "&amp;'Daily Sale entry '!Y823))</f>
        <v/>
      </c>
      <c r="H2323">
        <f>IF(C2323="","",COUNTIFS($C$2:$C$3001,C2323,$F$2:$F$3001,"&lt;"&amp;F2323)+1)</f>
        <v/>
      </c>
      <c r="I2323">
        <f>IF(C2323="","",C2323&amp;"|"&amp;H2323)</f>
        <v/>
      </c>
      <c r="J2323" s="6">
        <f>IF(C2323="","",IF(H2323=1,SUMIFS('Opening Balance'!$F$4:$F$303,'Opening Balance'!$G$4:$G$303,C2323),INDEX($L$2:$L$3001,MATCH(C2323&amp;"|"&amp;(H2323-1),$I$2:$I$3001,0))))</f>
        <v/>
      </c>
      <c r="K2323" s="6">
        <f>IF(C2323="","",IF(M2323&gt;0,M2323,IF(AND(E2323&gt;0,ROUND(J2323+D2323-E2323,2)&gt;0,ROUND(J2323+D2323-E2323,2)&lt;'Opening Balance'!$B$14),ROUND(J2323+D2323-E2323,2),0)))</f>
        <v/>
      </c>
      <c r="L2323" s="6">
        <f>IF(C2323="","",ROUND(J2323+D2323-E2323-K2323,2))</f>
        <v/>
      </c>
      <c r="M2323" s="6">
        <f>IF(C2323="","",0)</f>
        <v/>
      </c>
    </row>
    <row r="2324">
      <c r="A2324" t="inlineStr">
        <is>
          <t>Bank 银行</t>
        </is>
      </c>
      <c r="B2324" s="5">
        <f>IF(AND('Daily Sale entry '!Z824="Online collection 网上收款",'Daily Sale entry '!AA824&lt;&gt;""),'Daily Sale entry '!X824,"")</f>
        <v/>
      </c>
      <c r="C2324">
        <f>IF(B2324="","",'Daily Sale entry '!AA824)</f>
        <v/>
      </c>
      <c r="D2324">
        <f>IF(C2324="","",0)</f>
        <v/>
      </c>
      <c r="E2324">
        <f>IF(C2324="","",'Daily Sale entry '!AC824)</f>
        <v/>
      </c>
      <c r="F2324" s="37">
        <f>IF(C2324="","",B2324+IF(E2324&gt;0,0,0.5)+ROW()/10000000)</f>
        <v/>
      </c>
      <c r="G2324">
        <f>IF(C2324="","","Collection 收款 (Online 网上)"&amp;IF('Daily Sale entry '!Y824="",""," - "&amp;'Daily Sale entry '!Y824))</f>
        <v/>
      </c>
      <c r="H2324">
        <f>IF(C2324="","",COUNTIFS($C$2:$C$3001,C2324,$F$2:$F$3001,"&lt;"&amp;F2324)+1)</f>
        <v/>
      </c>
      <c r="I2324">
        <f>IF(C2324="","",C2324&amp;"|"&amp;H2324)</f>
        <v/>
      </c>
      <c r="J2324" s="6">
        <f>IF(C2324="","",IF(H2324=1,SUMIFS('Opening Balance'!$F$4:$F$303,'Opening Balance'!$G$4:$G$303,C2324),INDEX($L$2:$L$3001,MATCH(C2324&amp;"|"&amp;(H2324-1),$I$2:$I$3001,0))))</f>
        <v/>
      </c>
      <c r="K2324" s="6">
        <f>IF(C2324="","",IF(M2324&gt;0,M2324,IF(AND(E2324&gt;0,ROUND(J2324+D2324-E2324,2)&gt;0,ROUND(J2324+D2324-E2324,2)&lt;'Opening Balance'!$B$14),ROUND(J2324+D2324-E2324,2),0)))</f>
        <v/>
      </c>
      <c r="L2324" s="6">
        <f>IF(C2324="","",ROUND(J2324+D2324-E2324-K2324,2))</f>
        <v/>
      </c>
      <c r="M2324" s="6">
        <f>IF(C2324="","",0)</f>
        <v/>
      </c>
    </row>
    <row r="2325">
      <c r="A2325" t="inlineStr">
        <is>
          <t>Bank 银行</t>
        </is>
      </c>
      <c r="B2325" s="5">
        <f>IF(AND('Daily Sale entry '!Z825="Online collection 网上收款",'Daily Sale entry '!AA825&lt;&gt;""),'Daily Sale entry '!X825,"")</f>
        <v/>
      </c>
      <c r="C2325">
        <f>IF(B2325="","",'Daily Sale entry '!AA825)</f>
        <v/>
      </c>
      <c r="D2325">
        <f>IF(C2325="","",0)</f>
        <v/>
      </c>
      <c r="E2325">
        <f>IF(C2325="","",'Daily Sale entry '!AC825)</f>
        <v/>
      </c>
      <c r="F2325" s="37">
        <f>IF(C2325="","",B2325+IF(E2325&gt;0,0,0.5)+ROW()/10000000)</f>
        <v/>
      </c>
      <c r="G2325">
        <f>IF(C2325="","","Collection 收款 (Online 网上)"&amp;IF('Daily Sale entry '!Y825="",""," - "&amp;'Daily Sale entry '!Y825))</f>
        <v/>
      </c>
      <c r="H2325">
        <f>IF(C2325="","",COUNTIFS($C$2:$C$3001,C2325,$F$2:$F$3001,"&lt;"&amp;F2325)+1)</f>
        <v/>
      </c>
      <c r="I2325">
        <f>IF(C2325="","",C2325&amp;"|"&amp;H2325)</f>
        <v/>
      </c>
      <c r="J2325" s="6">
        <f>IF(C2325="","",IF(H2325=1,SUMIFS('Opening Balance'!$F$4:$F$303,'Opening Balance'!$G$4:$G$303,C2325),INDEX($L$2:$L$3001,MATCH(C2325&amp;"|"&amp;(H2325-1),$I$2:$I$3001,0))))</f>
        <v/>
      </c>
      <c r="K2325" s="6">
        <f>IF(C2325="","",IF(M2325&gt;0,M2325,IF(AND(E2325&gt;0,ROUND(J2325+D2325-E2325,2)&gt;0,ROUND(J2325+D2325-E2325,2)&lt;'Opening Balance'!$B$14),ROUND(J2325+D2325-E2325,2),0)))</f>
        <v/>
      </c>
      <c r="L2325" s="6">
        <f>IF(C2325="","",ROUND(J2325+D2325-E2325-K2325,2))</f>
        <v/>
      </c>
      <c r="M2325" s="6">
        <f>IF(C2325="","",0)</f>
        <v/>
      </c>
    </row>
    <row r="2326">
      <c r="A2326" t="inlineStr">
        <is>
          <t>Bank 银行</t>
        </is>
      </c>
      <c r="B2326" s="5">
        <f>IF(AND('Daily Sale entry '!Z826="Online collection 网上收款",'Daily Sale entry '!AA826&lt;&gt;""),'Daily Sale entry '!X826,"")</f>
        <v/>
      </c>
      <c r="C2326">
        <f>IF(B2326="","",'Daily Sale entry '!AA826)</f>
        <v/>
      </c>
      <c r="D2326">
        <f>IF(C2326="","",0)</f>
        <v/>
      </c>
      <c r="E2326">
        <f>IF(C2326="","",'Daily Sale entry '!AC826)</f>
        <v/>
      </c>
      <c r="F2326" s="37">
        <f>IF(C2326="","",B2326+IF(E2326&gt;0,0,0.5)+ROW()/10000000)</f>
        <v/>
      </c>
      <c r="G2326">
        <f>IF(C2326="","","Collection 收款 (Online 网上)"&amp;IF('Daily Sale entry '!Y826="",""," - "&amp;'Daily Sale entry '!Y826))</f>
        <v/>
      </c>
      <c r="H2326">
        <f>IF(C2326="","",COUNTIFS($C$2:$C$3001,C2326,$F$2:$F$3001,"&lt;"&amp;F2326)+1)</f>
        <v/>
      </c>
      <c r="I2326">
        <f>IF(C2326="","",C2326&amp;"|"&amp;H2326)</f>
        <v/>
      </c>
      <c r="J2326" s="6">
        <f>IF(C2326="","",IF(H2326=1,SUMIFS('Opening Balance'!$F$4:$F$303,'Opening Balance'!$G$4:$G$303,C2326),INDEX($L$2:$L$3001,MATCH(C2326&amp;"|"&amp;(H2326-1),$I$2:$I$3001,0))))</f>
        <v/>
      </c>
      <c r="K2326" s="6">
        <f>IF(C2326="","",IF(M2326&gt;0,M2326,IF(AND(E2326&gt;0,ROUND(J2326+D2326-E2326,2)&gt;0,ROUND(J2326+D2326-E2326,2)&lt;'Opening Balance'!$B$14),ROUND(J2326+D2326-E2326,2),0)))</f>
        <v/>
      </c>
      <c r="L2326" s="6">
        <f>IF(C2326="","",ROUND(J2326+D2326-E2326-K2326,2))</f>
        <v/>
      </c>
      <c r="M2326" s="6">
        <f>IF(C2326="","",0)</f>
        <v/>
      </c>
    </row>
    <row r="2327">
      <c r="A2327" t="inlineStr">
        <is>
          <t>Bank 银行</t>
        </is>
      </c>
      <c r="B2327" s="5">
        <f>IF(AND('Daily Sale entry '!Z827="Online collection 网上收款",'Daily Sale entry '!AA827&lt;&gt;""),'Daily Sale entry '!X827,"")</f>
        <v/>
      </c>
      <c r="C2327">
        <f>IF(B2327="","",'Daily Sale entry '!AA827)</f>
        <v/>
      </c>
      <c r="D2327">
        <f>IF(C2327="","",0)</f>
        <v/>
      </c>
      <c r="E2327">
        <f>IF(C2327="","",'Daily Sale entry '!AC827)</f>
        <v/>
      </c>
      <c r="F2327" s="37">
        <f>IF(C2327="","",B2327+IF(E2327&gt;0,0,0.5)+ROW()/10000000)</f>
        <v/>
      </c>
      <c r="G2327">
        <f>IF(C2327="","","Collection 收款 (Online 网上)"&amp;IF('Daily Sale entry '!Y827="",""," - "&amp;'Daily Sale entry '!Y827))</f>
        <v/>
      </c>
      <c r="H2327">
        <f>IF(C2327="","",COUNTIFS($C$2:$C$3001,C2327,$F$2:$F$3001,"&lt;"&amp;F2327)+1)</f>
        <v/>
      </c>
      <c r="I2327">
        <f>IF(C2327="","",C2327&amp;"|"&amp;H2327)</f>
        <v/>
      </c>
      <c r="J2327" s="6">
        <f>IF(C2327="","",IF(H2327=1,SUMIFS('Opening Balance'!$F$4:$F$303,'Opening Balance'!$G$4:$G$303,C2327),INDEX($L$2:$L$3001,MATCH(C2327&amp;"|"&amp;(H2327-1),$I$2:$I$3001,0))))</f>
        <v/>
      </c>
      <c r="K2327" s="6">
        <f>IF(C2327="","",IF(M2327&gt;0,M2327,IF(AND(E2327&gt;0,ROUND(J2327+D2327-E2327,2)&gt;0,ROUND(J2327+D2327-E2327,2)&lt;'Opening Balance'!$B$14),ROUND(J2327+D2327-E2327,2),0)))</f>
        <v/>
      </c>
      <c r="L2327" s="6">
        <f>IF(C2327="","",ROUND(J2327+D2327-E2327-K2327,2))</f>
        <v/>
      </c>
      <c r="M2327" s="6">
        <f>IF(C2327="","",0)</f>
        <v/>
      </c>
    </row>
    <row r="2328">
      <c r="A2328" t="inlineStr">
        <is>
          <t>Bank 银行</t>
        </is>
      </c>
      <c r="B2328" s="5">
        <f>IF(AND('Daily Sale entry '!Z828="Online collection 网上收款",'Daily Sale entry '!AA828&lt;&gt;""),'Daily Sale entry '!X828,"")</f>
        <v/>
      </c>
      <c r="C2328">
        <f>IF(B2328="","",'Daily Sale entry '!AA828)</f>
        <v/>
      </c>
      <c r="D2328">
        <f>IF(C2328="","",0)</f>
        <v/>
      </c>
      <c r="E2328">
        <f>IF(C2328="","",'Daily Sale entry '!AC828)</f>
        <v/>
      </c>
      <c r="F2328" s="37">
        <f>IF(C2328="","",B2328+IF(E2328&gt;0,0,0.5)+ROW()/10000000)</f>
        <v/>
      </c>
      <c r="G2328">
        <f>IF(C2328="","","Collection 收款 (Online 网上)"&amp;IF('Daily Sale entry '!Y828="",""," - "&amp;'Daily Sale entry '!Y828))</f>
        <v/>
      </c>
      <c r="H2328">
        <f>IF(C2328="","",COUNTIFS($C$2:$C$3001,C2328,$F$2:$F$3001,"&lt;"&amp;F2328)+1)</f>
        <v/>
      </c>
      <c r="I2328">
        <f>IF(C2328="","",C2328&amp;"|"&amp;H2328)</f>
        <v/>
      </c>
      <c r="J2328" s="6">
        <f>IF(C2328="","",IF(H2328=1,SUMIFS('Opening Balance'!$F$4:$F$303,'Opening Balance'!$G$4:$G$303,C2328),INDEX($L$2:$L$3001,MATCH(C2328&amp;"|"&amp;(H2328-1),$I$2:$I$3001,0))))</f>
        <v/>
      </c>
      <c r="K2328" s="6">
        <f>IF(C2328="","",IF(M2328&gt;0,M2328,IF(AND(E2328&gt;0,ROUND(J2328+D2328-E2328,2)&gt;0,ROUND(J2328+D2328-E2328,2)&lt;'Opening Balance'!$B$14),ROUND(J2328+D2328-E2328,2),0)))</f>
        <v/>
      </c>
      <c r="L2328" s="6">
        <f>IF(C2328="","",ROUND(J2328+D2328-E2328-K2328,2))</f>
        <v/>
      </c>
      <c r="M2328" s="6">
        <f>IF(C2328="","",0)</f>
        <v/>
      </c>
    </row>
    <row r="2329">
      <c r="A2329" t="inlineStr">
        <is>
          <t>Bank 银行</t>
        </is>
      </c>
      <c r="B2329" s="5">
        <f>IF(AND('Daily Sale entry '!Z829="Online collection 网上收款",'Daily Sale entry '!AA829&lt;&gt;""),'Daily Sale entry '!X829,"")</f>
        <v/>
      </c>
      <c r="C2329">
        <f>IF(B2329="","",'Daily Sale entry '!AA829)</f>
        <v/>
      </c>
      <c r="D2329">
        <f>IF(C2329="","",0)</f>
        <v/>
      </c>
      <c r="E2329">
        <f>IF(C2329="","",'Daily Sale entry '!AC829)</f>
        <v/>
      </c>
      <c r="F2329" s="37">
        <f>IF(C2329="","",B2329+IF(E2329&gt;0,0,0.5)+ROW()/10000000)</f>
        <v/>
      </c>
      <c r="G2329">
        <f>IF(C2329="","","Collection 收款 (Online 网上)"&amp;IF('Daily Sale entry '!Y829="",""," - "&amp;'Daily Sale entry '!Y829))</f>
        <v/>
      </c>
      <c r="H2329">
        <f>IF(C2329="","",COUNTIFS($C$2:$C$3001,C2329,$F$2:$F$3001,"&lt;"&amp;F2329)+1)</f>
        <v/>
      </c>
      <c r="I2329">
        <f>IF(C2329="","",C2329&amp;"|"&amp;H2329)</f>
        <v/>
      </c>
      <c r="J2329" s="6">
        <f>IF(C2329="","",IF(H2329=1,SUMIFS('Opening Balance'!$F$4:$F$303,'Opening Balance'!$G$4:$G$303,C2329),INDEX($L$2:$L$3001,MATCH(C2329&amp;"|"&amp;(H2329-1),$I$2:$I$3001,0))))</f>
        <v/>
      </c>
      <c r="K2329" s="6">
        <f>IF(C2329="","",IF(M2329&gt;0,M2329,IF(AND(E2329&gt;0,ROUND(J2329+D2329-E2329,2)&gt;0,ROUND(J2329+D2329-E2329,2)&lt;'Opening Balance'!$B$14),ROUND(J2329+D2329-E2329,2),0)))</f>
        <v/>
      </c>
      <c r="L2329" s="6">
        <f>IF(C2329="","",ROUND(J2329+D2329-E2329-K2329,2))</f>
        <v/>
      </c>
      <c r="M2329" s="6">
        <f>IF(C2329="","",0)</f>
        <v/>
      </c>
    </row>
    <row r="2330">
      <c r="A2330" t="inlineStr">
        <is>
          <t>Bank 银行</t>
        </is>
      </c>
      <c r="B2330" s="5">
        <f>IF(AND('Daily Sale entry '!Z830="Online collection 网上收款",'Daily Sale entry '!AA830&lt;&gt;""),'Daily Sale entry '!X830,"")</f>
        <v/>
      </c>
      <c r="C2330">
        <f>IF(B2330="","",'Daily Sale entry '!AA830)</f>
        <v/>
      </c>
      <c r="D2330">
        <f>IF(C2330="","",0)</f>
        <v/>
      </c>
      <c r="E2330">
        <f>IF(C2330="","",'Daily Sale entry '!AC830)</f>
        <v/>
      </c>
      <c r="F2330" s="37">
        <f>IF(C2330="","",B2330+IF(E2330&gt;0,0,0.5)+ROW()/10000000)</f>
        <v/>
      </c>
      <c r="G2330">
        <f>IF(C2330="","","Collection 收款 (Online 网上)"&amp;IF('Daily Sale entry '!Y830="",""," - "&amp;'Daily Sale entry '!Y830))</f>
        <v/>
      </c>
      <c r="H2330">
        <f>IF(C2330="","",COUNTIFS($C$2:$C$3001,C2330,$F$2:$F$3001,"&lt;"&amp;F2330)+1)</f>
        <v/>
      </c>
      <c r="I2330">
        <f>IF(C2330="","",C2330&amp;"|"&amp;H2330)</f>
        <v/>
      </c>
      <c r="J2330" s="6">
        <f>IF(C2330="","",IF(H2330=1,SUMIFS('Opening Balance'!$F$4:$F$303,'Opening Balance'!$G$4:$G$303,C2330),INDEX($L$2:$L$3001,MATCH(C2330&amp;"|"&amp;(H2330-1),$I$2:$I$3001,0))))</f>
        <v/>
      </c>
      <c r="K2330" s="6">
        <f>IF(C2330="","",IF(M2330&gt;0,M2330,IF(AND(E2330&gt;0,ROUND(J2330+D2330-E2330,2)&gt;0,ROUND(J2330+D2330-E2330,2)&lt;'Opening Balance'!$B$14),ROUND(J2330+D2330-E2330,2),0)))</f>
        <v/>
      </c>
      <c r="L2330" s="6">
        <f>IF(C2330="","",ROUND(J2330+D2330-E2330-K2330,2))</f>
        <v/>
      </c>
      <c r="M2330" s="6">
        <f>IF(C2330="","",0)</f>
        <v/>
      </c>
    </row>
    <row r="2331">
      <c r="A2331" t="inlineStr">
        <is>
          <t>Bank 银行</t>
        </is>
      </c>
      <c r="B2331" s="5">
        <f>IF(AND('Daily Sale entry '!Z831="Online collection 网上收款",'Daily Sale entry '!AA831&lt;&gt;""),'Daily Sale entry '!X831,"")</f>
        <v/>
      </c>
      <c r="C2331">
        <f>IF(B2331="","",'Daily Sale entry '!AA831)</f>
        <v/>
      </c>
      <c r="D2331">
        <f>IF(C2331="","",0)</f>
        <v/>
      </c>
      <c r="E2331">
        <f>IF(C2331="","",'Daily Sale entry '!AC831)</f>
        <v/>
      </c>
      <c r="F2331" s="37">
        <f>IF(C2331="","",B2331+IF(E2331&gt;0,0,0.5)+ROW()/10000000)</f>
        <v/>
      </c>
      <c r="G2331">
        <f>IF(C2331="","","Collection 收款 (Online 网上)"&amp;IF('Daily Sale entry '!Y831="",""," - "&amp;'Daily Sale entry '!Y831))</f>
        <v/>
      </c>
      <c r="H2331">
        <f>IF(C2331="","",COUNTIFS($C$2:$C$3001,C2331,$F$2:$F$3001,"&lt;"&amp;F2331)+1)</f>
        <v/>
      </c>
      <c r="I2331">
        <f>IF(C2331="","",C2331&amp;"|"&amp;H2331)</f>
        <v/>
      </c>
      <c r="J2331" s="6">
        <f>IF(C2331="","",IF(H2331=1,SUMIFS('Opening Balance'!$F$4:$F$303,'Opening Balance'!$G$4:$G$303,C2331),INDEX($L$2:$L$3001,MATCH(C2331&amp;"|"&amp;(H2331-1),$I$2:$I$3001,0))))</f>
        <v/>
      </c>
      <c r="K2331" s="6">
        <f>IF(C2331="","",IF(M2331&gt;0,M2331,IF(AND(E2331&gt;0,ROUND(J2331+D2331-E2331,2)&gt;0,ROUND(J2331+D2331-E2331,2)&lt;'Opening Balance'!$B$14),ROUND(J2331+D2331-E2331,2),0)))</f>
        <v/>
      </c>
      <c r="L2331" s="6">
        <f>IF(C2331="","",ROUND(J2331+D2331-E2331-K2331,2))</f>
        <v/>
      </c>
      <c r="M2331" s="6">
        <f>IF(C2331="","",0)</f>
        <v/>
      </c>
    </row>
    <row r="2332">
      <c r="A2332" t="inlineStr">
        <is>
          <t>Bank 银行</t>
        </is>
      </c>
      <c r="B2332" s="5">
        <f>IF(AND('Daily Sale entry '!Z832="Online collection 网上收款",'Daily Sale entry '!AA832&lt;&gt;""),'Daily Sale entry '!X832,"")</f>
        <v/>
      </c>
      <c r="C2332">
        <f>IF(B2332="","",'Daily Sale entry '!AA832)</f>
        <v/>
      </c>
      <c r="D2332">
        <f>IF(C2332="","",0)</f>
        <v/>
      </c>
      <c r="E2332">
        <f>IF(C2332="","",'Daily Sale entry '!AC832)</f>
        <v/>
      </c>
      <c r="F2332" s="37">
        <f>IF(C2332="","",B2332+IF(E2332&gt;0,0,0.5)+ROW()/10000000)</f>
        <v/>
      </c>
      <c r="G2332">
        <f>IF(C2332="","","Collection 收款 (Online 网上)"&amp;IF('Daily Sale entry '!Y832="",""," - "&amp;'Daily Sale entry '!Y832))</f>
        <v/>
      </c>
      <c r="H2332">
        <f>IF(C2332="","",COUNTIFS($C$2:$C$3001,C2332,$F$2:$F$3001,"&lt;"&amp;F2332)+1)</f>
        <v/>
      </c>
      <c r="I2332">
        <f>IF(C2332="","",C2332&amp;"|"&amp;H2332)</f>
        <v/>
      </c>
      <c r="J2332" s="6">
        <f>IF(C2332="","",IF(H2332=1,SUMIFS('Opening Balance'!$F$4:$F$303,'Opening Balance'!$G$4:$G$303,C2332),INDEX($L$2:$L$3001,MATCH(C2332&amp;"|"&amp;(H2332-1),$I$2:$I$3001,0))))</f>
        <v/>
      </c>
      <c r="K2332" s="6">
        <f>IF(C2332="","",IF(M2332&gt;0,M2332,IF(AND(E2332&gt;0,ROUND(J2332+D2332-E2332,2)&gt;0,ROUND(J2332+D2332-E2332,2)&lt;'Opening Balance'!$B$14),ROUND(J2332+D2332-E2332,2),0)))</f>
        <v/>
      </c>
      <c r="L2332" s="6">
        <f>IF(C2332="","",ROUND(J2332+D2332-E2332-K2332,2))</f>
        <v/>
      </c>
      <c r="M2332" s="6">
        <f>IF(C2332="","",0)</f>
        <v/>
      </c>
    </row>
    <row r="2333">
      <c r="A2333" t="inlineStr">
        <is>
          <t>Bank 银行</t>
        </is>
      </c>
      <c r="B2333" s="5">
        <f>IF(AND('Daily Sale entry '!Z833="Online collection 网上收款",'Daily Sale entry '!AA833&lt;&gt;""),'Daily Sale entry '!X833,"")</f>
        <v/>
      </c>
      <c r="C2333">
        <f>IF(B2333="","",'Daily Sale entry '!AA833)</f>
        <v/>
      </c>
      <c r="D2333">
        <f>IF(C2333="","",0)</f>
        <v/>
      </c>
      <c r="E2333">
        <f>IF(C2333="","",'Daily Sale entry '!AC833)</f>
        <v/>
      </c>
      <c r="F2333" s="37">
        <f>IF(C2333="","",B2333+IF(E2333&gt;0,0,0.5)+ROW()/10000000)</f>
        <v/>
      </c>
      <c r="G2333">
        <f>IF(C2333="","","Collection 收款 (Online 网上)"&amp;IF('Daily Sale entry '!Y833="",""," - "&amp;'Daily Sale entry '!Y833))</f>
        <v/>
      </c>
      <c r="H2333">
        <f>IF(C2333="","",COUNTIFS($C$2:$C$3001,C2333,$F$2:$F$3001,"&lt;"&amp;F2333)+1)</f>
        <v/>
      </c>
      <c r="I2333">
        <f>IF(C2333="","",C2333&amp;"|"&amp;H2333)</f>
        <v/>
      </c>
      <c r="J2333" s="6">
        <f>IF(C2333="","",IF(H2333=1,SUMIFS('Opening Balance'!$F$4:$F$303,'Opening Balance'!$G$4:$G$303,C2333),INDEX($L$2:$L$3001,MATCH(C2333&amp;"|"&amp;(H2333-1),$I$2:$I$3001,0))))</f>
        <v/>
      </c>
      <c r="K2333" s="6">
        <f>IF(C2333="","",IF(M2333&gt;0,M2333,IF(AND(E2333&gt;0,ROUND(J2333+D2333-E2333,2)&gt;0,ROUND(J2333+D2333-E2333,2)&lt;'Opening Balance'!$B$14),ROUND(J2333+D2333-E2333,2),0)))</f>
        <v/>
      </c>
      <c r="L2333" s="6">
        <f>IF(C2333="","",ROUND(J2333+D2333-E2333-K2333,2))</f>
        <v/>
      </c>
      <c r="M2333" s="6">
        <f>IF(C2333="","",0)</f>
        <v/>
      </c>
    </row>
    <row r="2334">
      <c r="A2334" t="inlineStr">
        <is>
          <t>Bank 银行</t>
        </is>
      </c>
      <c r="B2334" s="5">
        <f>IF(AND('Daily Sale entry '!Z834="Online collection 网上收款",'Daily Sale entry '!AA834&lt;&gt;""),'Daily Sale entry '!X834,"")</f>
        <v/>
      </c>
      <c r="C2334">
        <f>IF(B2334="","",'Daily Sale entry '!AA834)</f>
        <v/>
      </c>
      <c r="D2334">
        <f>IF(C2334="","",0)</f>
        <v/>
      </c>
      <c r="E2334">
        <f>IF(C2334="","",'Daily Sale entry '!AC834)</f>
        <v/>
      </c>
      <c r="F2334" s="37">
        <f>IF(C2334="","",B2334+IF(E2334&gt;0,0,0.5)+ROW()/10000000)</f>
        <v/>
      </c>
      <c r="G2334">
        <f>IF(C2334="","","Collection 收款 (Online 网上)"&amp;IF('Daily Sale entry '!Y834="",""," - "&amp;'Daily Sale entry '!Y834))</f>
        <v/>
      </c>
      <c r="H2334">
        <f>IF(C2334="","",COUNTIFS($C$2:$C$3001,C2334,$F$2:$F$3001,"&lt;"&amp;F2334)+1)</f>
        <v/>
      </c>
      <c r="I2334">
        <f>IF(C2334="","",C2334&amp;"|"&amp;H2334)</f>
        <v/>
      </c>
      <c r="J2334" s="6">
        <f>IF(C2334="","",IF(H2334=1,SUMIFS('Opening Balance'!$F$4:$F$303,'Opening Balance'!$G$4:$G$303,C2334),INDEX($L$2:$L$3001,MATCH(C2334&amp;"|"&amp;(H2334-1),$I$2:$I$3001,0))))</f>
        <v/>
      </c>
      <c r="K2334" s="6">
        <f>IF(C2334="","",IF(M2334&gt;0,M2334,IF(AND(E2334&gt;0,ROUND(J2334+D2334-E2334,2)&gt;0,ROUND(J2334+D2334-E2334,2)&lt;'Opening Balance'!$B$14),ROUND(J2334+D2334-E2334,2),0)))</f>
        <v/>
      </c>
      <c r="L2334" s="6">
        <f>IF(C2334="","",ROUND(J2334+D2334-E2334-K2334,2))</f>
        <v/>
      </c>
      <c r="M2334" s="6">
        <f>IF(C2334="","",0)</f>
        <v/>
      </c>
    </row>
    <row r="2335">
      <c r="A2335" t="inlineStr">
        <is>
          <t>Bank 银行</t>
        </is>
      </c>
      <c r="B2335" s="5">
        <f>IF(AND('Daily Sale entry '!Z835="Online collection 网上收款",'Daily Sale entry '!AA835&lt;&gt;""),'Daily Sale entry '!X835,"")</f>
        <v/>
      </c>
      <c r="C2335">
        <f>IF(B2335="","",'Daily Sale entry '!AA835)</f>
        <v/>
      </c>
      <c r="D2335">
        <f>IF(C2335="","",0)</f>
        <v/>
      </c>
      <c r="E2335">
        <f>IF(C2335="","",'Daily Sale entry '!AC835)</f>
        <v/>
      </c>
      <c r="F2335" s="37">
        <f>IF(C2335="","",B2335+IF(E2335&gt;0,0,0.5)+ROW()/10000000)</f>
        <v/>
      </c>
      <c r="G2335">
        <f>IF(C2335="","","Collection 收款 (Online 网上)"&amp;IF('Daily Sale entry '!Y835="",""," - "&amp;'Daily Sale entry '!Y835))</f>
        <v/>
      </c>
      <c r="H2335">
        <f>IF(C2335="","",COUNTIFS($C$2:$C$3001,C2335,$F$2:$F$3001,"&lt;"&amp;F2335)+1)</f>
        <v/>
      </c>
      <c r="I2335">
        <f>IF(C2335="","",C2335&amp;"|"&amp;H2335)</f>
        <v/>
      </c>
      <c r="J2335" s="6">
        <f>IF(C2335="","",IF(H2335=1,SUMIFS('Opening Balance'!$F$4:$F$303,'Opening Balance'!$G$4:$G$303,C2335),INDEX($L$2:$L$3001,MATCH(C2335&amp;"|"&amp;(H2335-1),$I$2:$I$3001,0))))</f>
        <v/>
      </c>
      <c r="K2335" s="6">
        <f>IF(C2335="","",IF(M2335&gt;0,M2335,IF(AND(E2335&gt;0,ROUND(J2335+D2335-E2335,2)&gt;0,ROUND(J2335+D2335-E2335,2)&lt;'Opening Balance'!$B$14),ROUND(J2335+D2335-E2335,2),0)))</f>
        <v/>
      </c>
      <c r="L2335" s="6">
        <f>IF(C2335="","",ROUND(J2335+D2335-E2335-K2335,2))</f>
        <v/>
      </c>
      <c r="M2335" s="6">
        <f>IF(C2335="","",0)</f>
        <v/>
      </c>
    </row>
    <row r="2336">
      <c r="A2336" t="inlineStr">
        <is>
          <t>Bank 银行</t>
        </is>
      </c>
      <c r="B2336" s="5">
        <f>IF(AND('Daily Sale entry '!Z836="Online collection 网上收款",'Daily Sale entry '!AA836&lt;&gt;""),'Daily Sale entry '!X836,"")</f>
        <v/>
      </c>
      <c r="C2336">
        <f>IF(B2336="","",'Daily Sale entry '!AA836)</f>
        <v/>
      </c>
      <c r="D2336">
        <f>IF(C2336="","",0)</f>
        <v/>
      </c>
      <c r="E2336">
        <f>IF(C2336="","",'Daily Sale entry '!AC836)</f>
        <v/>
      </c>
      <c r="F2336" s="37">
        <f>IF(C2336="","",B2336+IF(E2336&gt;0,0,0.5)+ROW()/10000000)</f>
        <v/>
      </c>
      <c r="G2336">
        <f>IF(C2336="","","Collection 收款 (Online 网上)"&amp;IF('Daily Sale entry '!Y836="",""," - "&amp;'Daily Sale entry '!Y836))</f>
        <v/>
      </c>
      <c r="H2336">
        <f>IF(C2336="","",COUNTIFS($C$2:$C$3001,C2336,$F$2:$F$3001,"&lt;"&amp;F2336)+1)</f>
        <v/>
      </c>
      <c r="I2336">
        <f>IF(C2336="","",C2336&amp;"|"&amp;H2336)</f>
        <v/>
      </c>
      <c r="J2336" s="6">
        <f>IF(C2336="","",IF(H2336=1,SUMIFS('Opening Balance'!$F$4:$F$303,'Opening Balance'!$G$4:$G$303,C2336),INDEX($L$2:$L$3001,MATCH(C2336&amp;"|"&amp;(H2336-1),$I$2:$I$3001,0))))</f>
        <v/>
      </c>
      <c r="K2336" s="6">
        <f>IF(C2336="","",IF(M2336&gt;0,M2336,IF(AND(E2336&gt;0,ROUND(J2336+D2336-E2336,2)&gt;0,ROUND(J2336+D2336-E2336,2)&lt;'Opening Balance'!$B$14),ROUND(J2336+D2336-E2336,2),0)))</f>
        <v/>
      </c>
      <c r="L2336" s="6">
        <f>IF(C2336="","",ROUND(J2336+D2336-E2336-K2336,2))</f>
        <v/>
      </c>
      <c r="M2336" s="6">
        <f>IF(C2336="","",0)</f>
        <v/>
      </c>
    </row>
    <row r="2337">
      <c r="A2337" t="inlineStr">
        <is>
          <t>Bank 银行</t>
        </is>
      </c>
      <c r="B2337" s="5">
        <f>IF(AND('Daily Sale entry '!Z837="Online collection 网上收款",'Daily Sale entry '!AA837&lt;&gt;""),'Daily Sale entry '!X837,"")</f>
        <v/>
      </c>
      <c r="C2337">
        <f>IF(B2337="","",'Daily Sale entry '!AA837)</f>
        <v/>
      </c>
      <c r="D2337">
        <f>IF(C2337="","",0)</f>
        <v/>
      </c>
      <c r="E2337">
        <f>IF(C2337="","",'Daily Sale entry '!AC837)</f>
        <v/>
      </c>
      <c r="F2337" s="37">
        <f>IF(C2337="","",B2337+IF(E2337&gt;0,0,0.5)+ROW()/10000000)</f>
        <v/>
      </c>
      <c r="G2337">
        <f>IF(C2337="","","Collection 收款 (Online 网上)"&amp;IF('Daily Sale entry '!Y837="",""," - "&amp;'Daily Sale entry '!Y837))</f>
        <v/>
      </c>
      <c r="H2337">
        <f>IF(C2337="","",COUNTIFS($C$2:$C$3001,C2337,$F$2:$F$3001,"&lt;"&amp;F2337)+1)</f>
        <v/>
      </c>
      <c r="I2337">
        <f>IF(C2337="","",C2337&amp;"|"&amp;H2337)</f>
        <v/>
      </c>
      <c r="J2337" s="6">
        <f>IF(C2337="","",IF(H2337=1,SUMIFS('Opening Balance'!$F$4:$F$303,'Opening Balance'!$G$4:$G$303,C2337),INDEX($L$2:$L$3001,MATCH(C2337&amp;"|"&amp;(H2337-1),$I$2:$I$3001,0))))</f>
        <v/>
      </c>
      <c r="K2337" s="6">
        <f>IF(C2337="","",IF(M2337&gt;0,M2337,IF(AND(E2337&gt;0,ROUND(J2337+D2337-E2337,2)&gt;0,ROUND(J2337+D2337-E2337,2)&lt;'Opening Balance'!$B$14),ROUND(J2337+D2337-E2337,2),0)))</f>
        <v/>
      </c>
      <c r="L2337" s="6">
        <f>IF(C2337="","",ROUND(J2337+D2337-E2337-K2337,2))</f>
        <v/>
      </c>
      <c r="M2337" s="6">
        <f>IF(C2337="","",0)</f>
        <v/>
      </c>
    </row>
    <row r="2338">
      <c r="A2338" t="inlineStr">
        <is>
          <t>Bank 银行</t>
        </is>
      </c>
      <c r="B2338" s="5">
        <f>IF(AND('Daily Sale entry '!Z838="Online collection 网上收款",'Daily Sale entry '!AA838&lt;&gt;""),'Daily Sale entry '!X838,"")</f>
        <v/>
      </c>
      <c r="C2338">
        <f>IF(B2338="","",'Daily Sale entry '!AA838)</f>
        <v/>
      </c>
      <c r="D2338">
        <f>IF(C2338="","",0)</f>
        <v/>
      </c>
      <c r="E2338">
        <f>IF(C2338="","",'Daily Sale entry '!AC838)</f>
        <v/>
      </c>
      <c r="F2338" s="37">
        <f>IF(C2338="","",B2338+IF(E2338&gt;0,0,0.5)+ROW()/10000000)</f>
        <v/>
      </c>
      <c r="G2338">
        <f>IF(C2338="","","Collection 收款 (Online 网上)"&amp;IF('Daily Sale entry '!Y838="",""," - "&amp;'Daily Sale entry '!Y838))</f>
        <v/>
      </c>
      <c r="H2338">
        <f>IF(C2338="","",COUNTIFS($C$2:$C$3001,C2338,$F$2:$F$3001,"&lt;"&amp;F2338)+1)</f>
        <v/>
      </c>
      <c r="I2338">
        <f>IF(C2338="","",C2338&amp;"|"&amp;H2338)</f>
        <v/>
      </c>
      <c r="J2338" s="6">
        <f>IF(C2338="","",IF(H2338=1,SUMIFS('Opening Balance'!$F$4:$F$303,'Opening Balance'!$G$4:$G$303,C2338),INDEX($L$2:$L$3001,MATCH(C2338&amp;"|"&amp;(H2338-1),$I$2:$I$3001,0))))</f>
        <v/>
      </c>
      <c r="K2338" s="6">
        <f>IF(C2338="","",IF(M2338&gt;0,M2338,IF(AND(E2338&gt;0,ROUND(J2338+D2338-E2338,2)&gt;0,ROUND(J2338+D2338-E2338,2)&lt;'Opening Balance'!$B$14),ROUND(J2338+D2338-E2338,2),0)))</f>
        <v/>
      </c>
      <c r="L2338" s="6">
        <f>IF(C2338="","",ROUND(J2338+D2338-E2338-K2338,2))</f>
        <v/>
      </c>
      <c r="M2338" s="6">
        <f>IF(C2338="","",0)</f>
        <v/>
      </c>
    </row>
    <row r="2339">
      <c r="A2339" t="inlineStr">
        <is>
          <t>Bank 银行</t>
        </is>
      </c>
      <c r="B2339" s="5">
        <f>IF(AND('Daily Sale entry '!Z839="Online collection 网上收款",'Daily Sale entry '!AA839&lt;&gt;""),'Daily Sale entry '!X839,"")</f>
        <v/>
      </c>
      <c r="C2339">
        <f>IF(B2339="","",'Daily Sale entry '!AA839)</f>
        <v/>
      </c>
      <c r="D2339">
        <f>IF(C2339="","",0)</f>
        <v/>
      </c>
      <c r="E2339">
        <f>IF(C2339="","",'Daily Sale entry '!AC839)</f>
        <v/>
      </c>
      <c r="F2339" s="37">
        <f>IF(C2339="","",B2339+IF(E2339&gt;0,0,0.5)+ROW()/10000000)</f>
        <v/>
      </c>
      <c r="G2339">
        <f>IF(C2339="","","Collection 收款 (Online 网上)"&amp;IF('Daily Sale entry '!Y839="",""," - "&amp;'Daily Sale entry '!Y839))</f>
        <v/>
      </c>
      <c r="H2339">
        <f>IF(C2339="","",COUNTIFS($C$2:$C$3001,C2339,$F$2:$F$3001,"&lt;"&amp;F2339)+1)</f>
        <v/>
      </c>
      <c r="I2339">
        <f>IF(C2339="","",C2339&amp;"|"&amp;H2339)</f>
        <v/>
      </c>
      <c r="J2339" s="6">
        <f>IF(C2339="","",IF(H2339=1,SUMIFS('Opening Balance'!$F$4:$F$303,'Opening Balance'!$G$4:$G$303,C2339),INDEX($L$2:$L$3001,MATCH(C2339&amp;"|"&amp;(H2339-1),$I$2:$I$3001,0))))</f>
        <v/>
      </c>
      <c r="K2339" s="6">
        <f>IF(C2339="","",IF(M2339&gt;0,M2339,IF(AND(E2339&gt;0,ROUND(J2339+D2339-E2339,2)&gt;0,ROUND(J2339+D2339-E2339,2)&lt;'Opening Balance'!$B$14),ROUND(J2339+D2339-E2339,2),0)))</f>
        <v/>
      </c>
      <c r="L2339" s="6">
        <f>IF(C2339="","",ROUND(J2339+D2339-E2339-K2339,2))</f>
        <v/>
      </c>
      <c r="M2339" s="6">
        <f>IF(C2339="","",0)</f>
        <v/>
      </c>
    </row>
    <row r="2340">
      <c r="A2340" t="inlineStr">
        <is>
          <t>Bank 银行</t>
        </is>
      </c>
      <c r="B2340" s="5">
        <f>IF(AND('Daily Sale entry '!Z840="Online collection 网上收款",'Daily Sale entry '!AA840&lt;&gt;""),'Daily Sale entry '!X840,"")</f>
        <v/>
      </c>
      <c r="C2340">
        <f>IF(B2340="","",'Daily Sale entry '!AA840)</f>
        <v/>
      </c>
      <c r="D2340">
        <f>IF(C2340="","",0)</f>
        <v/>
      </c>
      <c r="E2340">
        <f>IF(C2340="","",'Daily Sale entry '!AC840)</f>
        <v/>
      </c>
      <c r="F2340" s="37">
        <f>IF(C2340="","",B2340+IF(E2340&gt;0,0,0.5)+ROW()/10000000)</f>
        <v/>
      </c>
      <c r="G2340">
        <f>IF(C2340="","","Collection 收款 (Online 网上)"&amp;IF('Daily Sale entry '!Y840="",""," - "&amp;'Daily Sale entry '!Y840))</f>
        <v/>
      </c>
      <c r="H2340">
        <f>IF(C2340="","",COUNTIFS($C$2:$C$3001,C2340,$F$2:$F$3001,"&lt;"&amp;F2340)+1)</f>
        <v/>
      </c>
      <c r="I2340">
        <f>IF(C2340="","",C2340&amp;"|"&amp;H2340)</f>
        <v/>
      </c>
      <c r="J2340" s="6">
        <f>IF(C2340="","",IF(H2340=1,SUMIFS('Opening Balance'!$F$4:$F$303,'Opening Balance'!$G$4:$G$303,C2340),INDEX($L$2:$L$3001,MATCH(C2340&amp;"|"&amp;(H2340-1),$I$2:$I$3001,0))))</f>
        <v/>
      </c>
      <c r="K2340" s="6">
        <f>IF(C2340="","",IF(M2340&gt;0,M2340,IF(AND(E2340&gt;0,ROUND(J2340+D2340-E2340,2)&gt;0,ROUND(J2340+D2340-E2340,2)&lt;'Opening Balance'!$B$14),ROUND(J2340+D2340-E2340,2),0)))</f>
        <v/>
      </c>
      <c r="L2340" s="6">
        <f>IF(C2340="","",ROUND(J2340+D2340-E2340-K2340,2))</f>
        <v/>
      </c>
      <c r="M2340" s="6">
        <f>IF(C2340="","",0)</f>
        <v/>
      </c>
    </row>
    <row r="2341">
      <c r="A2341" t="inlineStr">
        <is>
          <t>Bank 银行</t>
        </is>
      </c>
      <c r="B2341" s="5">
        <f>IF(AND('Daily Sale entry '!Z841="Online collection 网上收款",'Daily Sale entry '!AA841&lt;&gt;""),'Daily Sale entry '!X841,"")</f>
        <v/>
      </c>
      <c r="C2341">
        <f>IF(B2341="","",'Daily Sale entry '!AA841)</f>
        <v/>
      </c>
      <c r="D2341">
        <f>IF(C2341="","",0)</f>
        <v/>
      </c>
      <c r="E2341">
        <f>IF(C2341="","",'Daily Sale entry '!AC841)</f>
        <v/>
      </c>
      <c r="F2341" s="37">
        <f>IF(C2341="","",B2341+IF(E2341&gt;0,0,0.5)+ROW()/10000000)</f>
        <v/>
      </c>
      <c r="G2341">
        <f>IF(C2341="","","Collection 收款 (Online 网上)"&amp;IF('Daily Sale entry '!Y841="",""," - "&amp;'Daily Sale entry '!Y841))</f>
        <v/>
      </c>
      <c r="H2341">
        <f>IF(C2341="","",COUNTIFS($C$2:$C$3001,C2341,$F$2:$F$3001,"&lt;"&amp;F2341)+1)</f>
        <v/>
      </c>
      <c r="I2341">
        <f>IF(C2341="","",C2341&amp;"|"&amp;H2341)</f>
        <v/>
      </c>
      <c r="J2341" s="6">
        <f>IF(C2341="","",IF(H2341=1,SUMIFS('Opening Balance'!$F$4:$F$303,'Opening Balance'!$G$4:$G$303,C2341),INDEX($L$2:$L$3001,MATCH(C2341&amp;"|"&amp;(H2341-1),$I$2:$I$3001,0))))</f>
        <v/>
      </c>
      <c r="K2341" s="6">
        <f>IF(C2341="","",IF(M2341&gt;0,M2341,IF(AND(E2341&gt;0,ROUND(J2341+D2341-E2341,2)&gt;0,ROUND(J2341+D2341-E2341,2)&lt;'Opening Balance'!$B$14),ROUND(J2341+D2341-E2341,2),0)))</f>
        <v/>
      </c>
      <c r="L2341" s="6">
        <f>IF(C2341="","",ROUND(J2341+D2341-E2341-K2341,2))</f>
        <v/>
      </c>
      <c r="M2341" s="6">
        <f>IF(C2341="","",0)</f>
        <v/>
      </c>
    </row>
    <row r="2342">
      <c r="A2342" t="inlineStr">
        <is>
          <t>Bank 银行</t>
        </is>
      </c>
      <c r="B2342" s="5">
        <f>IF(AND('Daily Sale entry '!Z842="Online collection 网上收款",'Daily Sale entry '!AA842&lt;&gt;""),'Daily Sale entry '!X842,"")</f>
        <v/>
      </c>
      <c r="C2342">
        <f>IF(B2342="","",'Daily Sale entry '!AA842)</f>
        <v/>
      </c>
      <c r="D2342">
        <f>IF(C2342="","",0)</f>
        <v/>
      </c>
      <c r="E2342">
        <f>IF(C2342="","",'Daily Sale entry '!AC842)</f>
        <v/>
      </c>
      <c r="F2342" s="37">
        <f>IF(C2342="","",B2342+IF(E2342&gt;0,0,0.5)+ROW()/10000000)</f>
        <v/>
      </c>
      <c r="G2342">
        <f>IF(C2342="","","Collection 收款 (Online 网上)"&amp;IF('Daily Sale entry '!Y842="",""," - "&amp;'Daily Sale entry '!Y842))</f>
        <v/>
      </c>
      <c r="H2342">
        <f>IF(C2342="","",COUNTIFS($C$2:$C$3001,C2342,$F$2:$F$3001,"&lt;"&amp;F2342)+1)</f>
        <v/>
      </c>
      <c r="I2342">
        <f>IF(C2342="","",C2342&amp;"|"&amp;H2342)</f>
        <v/>
      </c>
      <c r="J2342" s="6">
        <f>IF(C2342="","",IF(H2342=1,SUMIFS('Opening Balance'!$F$4:$F$303,'Opening Balance'!$G$4:$G$303,C2342),INDEX($L$2:$L$3001,MATCH(C2342&amp;"|"&amp;(H2342-1),$I$2:$I$3001,0))))</f>
        <v/>
      </c>
      <c r="K2342" s="6">
        <f>IF(C2342="","",IF(M2342&gt;0,M2342,IF(AND(E2342&gt;0,ROUND(J2342+D2342-E2342,2)&gt;0,ROUND(J2342+D2342-E2342,2)&lt;'Opening Balance'!$B$14),ROUND(J2342+D2342-E2342,2),0)))</f>
        <v/>
      </c>
      <c r="L2342" s="6">
        <f>IF(C2342="","",ROUND(J2342+D2342-E2342-K2342,2))</f>
        <v/>
      </c>
      <c r="M2342" s="6">
        <f>IF(C2342="","",0)</f>
        <v/>
      </c>
    </row>
    <row r="2343">
      <c r="A2343" t="inlineStr">
        <is>
          <t>Bank 银行</t>
        </is>
      </c>
      <c r="B2343" s="5">
        <f>IF(AND('Daily Sale entry '!Z843="Online collection 网上收款",'Daily Sale entry '!AA843&lt;&gt;""),'Daily Sale entry '!X843,"")</f>
        <v/>
      </c>
      <c r="C2343">
        <f>IF(B2343="","",'Daily Sale entry '!AA843)</f>
        <v/>
      </c>
      <c r="D2343">
        <f>IF(C2343="","",0)</f>
        <v/>
      </c>
      <c r="E2343">
        <f>IF(C2343="","",'Daily Sale entry '!AC843)</f>
        <v/>
      </c>
      <c r="F2343" s="37">
        <f>IF(C2343="","",B2343+IF(E2343&gt;0,0,0.5)+ROW()/10000000)</f>
        <v/>
      </c>
      <c r="G2343">
        <f>IF(C2343="","","Collection 收款 (Online 网上)"&amp;IF('Daily Sale entry '!Y843="",""," - "&amp;'Daily Sale entry '!Y843))</f>
        <v/>
      </c>
      <c r="H2343">
        <f>IF(C2343="","",COUNTIFS($C$2:$C$3001,C2343,$F$2:$F$3001,"&lt;"&amp;F2343)+1)</f>
        <v/>
      </c>
      <c r="I2343">
        <f>IF(C2343="","",C2343&amp;"|"&amp;H2343)</f>
        <v/>
      </c>
      <c r="J2343" s="6">
        <f>IF(C2343="","",IF(H2343=1,SUMIFS('Opening Balance'!$F$4:$F$303,'Opening Balance'!$G$4:$G$303,C2343),INDEX($L$2:$L$3001,MATCH(C2343&amp;"|"&amp;(H2343-1),$I$2:$I$3001,0))))</f>
        <v/>
      </c>
      <c r="K2343" s="6">
        <f>IF(C2343="","",IF(M2343&gt;0,M2343,IF(AND(E2343&gt;0,ROUND(J2343+D2343-E2343,2)&gt;0,ROUND(J2343+D2343-E2343,2)&lt;'Opening Balance'!$B$14),ROUND(J2343+D2343-E2343,2),0)))</f>
        <v/>
      </c>
      <c r="L2343" s="6">
        <f>IF(C2343="","",ROUND(J2343+D2343-E2343-K2343,2))</f>
        <v/>
      </c>
      <c r="M2343" s="6">
        <f>IF(C2343="","",0)</f>
        <v/>
      </c>
    </row>
    <row r="2344">
      <c r="A2344" t="inlineStr">
        <is>
          <t>Bank 银行</t>
        </is>
      </c>
      <c r="B2344" s="5">
        <f>IF(AND('Daily Sale entry '!Z844="Online collection 网上收款",'Daily Sale entry '!AA844&lt;&gt;""),'Daily Sale entry '!X844,"")</f>
        <v/>
      </c>
      <c r="C2344">
        <f>IF(B2344="","",'Daily Sale entry '!AA844)</f>
        <v/>
      </c>
      <c r="D2344">
        <f>IF(C2344="","",0)</f>
        <v/>
      </c>
      <c r="E2344">
        <f>IF(C2344="","",'Daily Sale entry '!AC844)</f>
        <v/>
      </c>
      <c r="F2344" s="37">
        <f>IF(C2344="","",B2344+IF(E2344&gt;0,0,0.5)+ROW()/10000000)</f>
        <v/>
      </c>
      <c r="G2344">
        <f>IF(C2344="","","Collection 收款 (Online 网上)"&amp;IF('Daily Sale entry '!Y844="",""," - "&amp;'Daily Sale entry '!Y844))</f>
        <v/>
      </c>
      <c r="H2344">
        <f>IF(C2344="","",COUNTIFS($C$2:$C$3001,C2344,$F$2:$F$3001,"&lt;"&amp;F2344)+1)</f>
        <v/>
      </c>
      <c r="I2344">
        <f>IF(C2344="","",C2344&amp;"|"&amp;H2344)</f>
        <v/>
      </c>
      <c r="J2344" s="6">
        <f>IF(C2344="","",IF(H2344=1,SUMIFS('Opening Balance'!$F$4:$F$303,'Opening Balance'!$G$4:$G$303,C2344),INDEX($L$2:$L$3001,MATCH(C2344&amp;"|"&amp;(H2344-1),$I$2:$I$3001,0))))</f>
        <v/>
      </c>
      <c r="K2344" s="6">
        <f>IF(C2344="","",IF(M2344&gt;0,M2344,IF(AND(E2344&gt;0,ROUND(J2344+D2344-E2344,2)&gt;0,ROUND(J2344+D2344-E2344,2)&lt;'Opening Balance'!$B$14),ROUND(J2344+D2344-E2344,2),0)))</f>
        <v/>
      </c>
      <c r="L2344" s="6">
        <f>IF(C2344="","",ROUND(J2344+D2344-E2344-K2344,2))</f>
        <v/>
      </c>
      <c r="M2344" s="6">
        <f>IF(C2344="","",0)</f>
        <v/>
      </c>
    </row>
    <row r="2345">
      <c r="A2345" t="inlineStr">
        <is>
          <t>Bank 银行</t>
        </is>
      </c>
      <c r="B2345" s="5">
        <f>IF(AND('Daily Sale entry '!Z845="Online collection 网上收款",'Daily Sale entry '!AA845&lt;&gt;""),'Daily Sale entry '!X845,"")</f>
        <v/>
      </c>
      <c r="C2345">
        <f>IF(B2345="","",'Daily Sale entry '!AA845)</f>
        <v/>
      </c>
      <c r="D2345">
        <f>IF(C2345="","",0)</f>
        <v/>
      </c>
      <c r="E2345">
        <f>IF(C2345="","",'Daily Sale entry '!AC845)</f>
        <v/>
      </c>
      <c r="F2345" s="37">
        <f>IF(C2345="","",B2345+IF(E2345&gt;0,0,0.5)+ROW()/10000000)</f>
        <v/>
      </c>
      <c r="G2345">
        <f>IF(C2345="","","Collection 收款 (Online 网上)"&amp;IF('Daily Sale entry '!Y845="",""," - "&amp;'Daily Sale entry '!Y845))</f>
        <v/>
      </c>
      <c r="H2345">
        <f>IF(C2345="","",COUNTIFS($C$2:$C$3001,C2345,$F$2:$F$3001,"&lt;"&amp;F2345)+1)</f>
        <v/>
      </c>
      <c r="I2345">
        <f>IF(C2345="","",C2345&amp;"|"&amp;H2345)</f>
        <v/>
      </c>
      <c r="J2345" s="6">
        <f>IF(C2345="","",IF(H2345=1,SUMIFS('Opening Balance'!$F$4:$F$303,'Opening Balance'!$G$4:$G$303,C2345),INDEX($L$2:$L$3001,MATCH(C2345&amp;"|"&amp;(H2345-1),$I$2:$I$3001,0))))</f>
        <v/>
      </c>
      <c r="K2345" s="6">
        <f>IF(C2345="","",IF(M2345&gt;0,M2345,IF(AND(E2345&gt;0,ROUND(J2345+D2345-E2345,2)&gt;0,ROUND(J2345+D2345-E2345,2)&lt;'Opening Balance'!$B$14),ROUND(J2345+D2345-E2345,2),0)))</f>
        <v/>
      </c>
      <c r="L2345" s="6">
        <f>IF(C2345="","",ROUND(J2345+D2345-E2345-K2345,2))</f>
        <v/>
      </c>
      <c r="M2345" s="6">
        <f>IF(C2345="","",0)</f>
        <v/>
      </c>
    </row>
    <row r="2346">
      <c r="A2346" t="inlineStr">
        <is>
          <t>Bank 银行</t>
        </is>
      </c>
      <c r="B2346" s="5">
        <f>IF(AND('Daily Sale entry '!Z846="Online collection 网上收款",'Daily Sale entry '!AA846&lt;&gt;""),'Daily Sale entry '!X846,"")</f>
        <v/>
      </c>
      <c r="C2346">
        <f>IF(B2346="","",'Daily Sale entry '!AA846)</f>
        <v/>
      </c>
      <c r="D2346">
        <f>IF(C2346="","",0)</f>
        <v/>
      </c>
      <c r="E2346">
        <f>IF(C2346="","",'Daily Sale entry '!AC846)</f>
        <v/>
      </c>
      <c r="F2346" s="37">
        <f>IF(C2346="","",B2346+IF(E2346&gt;0,0,0.5)+ROW()/10000000)</f>
        <v/>
      </c>
      <c r="G2346">
        <f>IF(C2346="","","Collection 收款 (Online 网上)"&amp;IF('Daily Sale entry '!Y846="",""," - "&amp;'Daily Sale entry '!Y846))</f>
        <v/>
      </c>
      <c r="H2346">
        <f>IF(C2346="","",COUNTIFS($C$2:$C$3001,C2346,$F$2:$F$3001,"&lt;"&amp;F2346)+1)</f>
        <v/>
      </c>
      <c r="I2346">
        <f>IF(C2346="","",C2346&amp;"|"&amp;H2346)</f>
        <v/>
      </c>
      <c r="J2346" s="6">
        <f>IF(C2346="","",IF(H2346=1,SUMIFS('Opening Balance'!$F$4:$F$303,'Opening Balance'!$G$4:$G$303,C2346),INDEX($L$2:$L$3001,MATCH(C2346&amp;"|"&amp;(H2346-1),$I$2:$I$3001,0))))</f>
        <v/>
      </c>
      <c r="K2346" s="6">
        <f>IF(C2346="","",IF(M2346&gt;0,M2346,IF(AND(E2346&gt;0,ROUND(J2346+D2346-E2346,2)&gt;0,ROUND(J2346+D2346-E2346,2)&lt;'Opening Balance'!$B$14),ROUND(J2346+D2346-E2346,2),0)))</f>
        <v/>
      </c>
      <c r="L2346" s="6">
        <f>IF(C2346="","",ROUND(J2346+D2346-E2346-K2346,2))</f>
        <v/>
      </c>
      <c r="M2346" s="6">
        <f>IF(C2346="","",0)</f>
        <v/>
      </c>
    </row>
    <row r="2347">
      <c r="A2347" t="inlineStr">
        <is>
          <t>Bank 银行</t>
        </is>
      </c>
      <c r="B2347" s="5">
        <f>IF(AND('Daily Sale entry '!Z847="Online collection 网上收款",'Daily Sale entry '!AA847&lt;&gt;""),'Daily Sale entry '!X847,"")</f>
        <v/>
      </c>
      <c r="C2347">
        <f>IF(B2347="","",'Daily Sale entry '!AA847)</f>
        <v/>
      </c>
      <c r="D2347">
        <f>IF(C2347="","",0)</f>
        <v/>
      </c>
      <c r="E2347">
        <f>IF(C2347="","",'Daily Sale entry '!AC847)</f>
        <v/>
      </c>
      <c r="F2347" s="37">
        <f>IF(C2347="","",B2347+IF(E2347&gt;0,0,0.5)+ROW()/10000000)</f>
        <v/>
      </c>
      <c r="G2347">
        <f>IF(C2347="","","Collection 收款 (Online 网上)"&amp;IF('Daily Sale entry '!Y847="",""," - "&amp;'Daily Sale entry '!Y847))</f>
        <v/>
      </c>
      <c r="H2347">
        <f>IF(C2347="","",COUNTIFS($C$2:$C$3001,C2347,$F$2:$F$3001,"&lt;"&amp;F2347)+1)</f>
        <v/>
      </c>
      <c r="I2347">
        <f>IF(C2347="","",C2347&amp;"|"&amp;H2347)</f>
        <v/>
      </c>
      <c r="J2347" s="6">
        <f>IF(C2347="","",IF(H2347=1,SUMIFS('Opening Balance'!$F$4:$F$303,'Opening Balance'!$G$4:$G$303,C2347),INDEX($L$2:$L$3001,MATCH(C2347&amp;"|"&amp;(H2347-1),$I$2:$I$3001,0))))</f>
        <v/>
      </c>
      <c r="K2347" s="6">
        <f>IF(C2347="","",IF(M2347&gt;0,M2347,IF(AND(E2347&gt;0,ROUND(J2347+D2347-E2347,2)&gt;0,ROUND(J2347+D2347-E2347,2)&lt;'Opening Balance'!$B$14),ROUND(J2347+D2347-E2347,2),0)))</f>
        <v/>
      </c>
      <c r="L2347" s="6">
        <f>IF(C2347="","",ROUND(J2347+D2347-E2347-K2347,2))</f>
        <v/>
      </c>
      <c r="M2347" s="6">
        <f>IF(C2347="","",0)</f>
        <v/>
      </c>
    </row>
    <row r="2348">
      <c r="A2348" t="inlineStr">
        <is>
          <t>Bank 银行</t>
        </is>
      </c>
      <c r="B2348" s="5">
        <f>IF(AND('Daily Sale entry '!Z848="Online collection 网上收款",'Daily Sale entry '!AA848&lt;&gt;""),'Daily Sale entry '!X848,"")</f>
        <v/>
      </c>
      <c r="C2348">
        <f>IF(B2348="","",'Daily Sale entry '!AA848)</f>
        <v/>
      </c>
      <c r="D2348">
        <f>IF(C2348="","",0)</f>
        <v/>
      </c>
      <c r="E2348">
        <f>IF(C2348="","",'Daily Sale entry '!AC848)</f>
        <v/>
      </c>
      <c r="F2348" s="37">
        <f>IF(C2348="","",B2348+IF(E2348&gt;0,0,0.5)+ROW()/10000000)</f>
        <v/>
      </c>
      <c r="G2348">
        <f>IF(C2348="","","Collection 收款 (Online 网上)"&amp;IF('Daily Sale entry '!Y848="",""," - "&amp;'Daily Sale entry '!Y848))</f>
        <v/>
      </c>
      <c r="H2348">
        <f>IF(C2348="","",COUNTIFS($C$2:$C$3001,C2348,$F$2:$F$3001,"&lt;"&amp;F2348)+1)</f>
        <v/>
      </c>
      <c r="I2348">
        <f>IF(C2348="","",C2348&amp;"|"&amp;H2348)</f>
        <v/>
      </c>
      <c r="J2348" s="6">
        <f>IF(C2348="","",IF(H2348=1,SUMIFS('Opening Balance'!$F$4:$F$303,'Opening Balance'!$G$4:$G$303,C2348),INDEX($L$2:$L$3001,MATCH(C2348&amp;"|"&amp;(H2348-1),$I$2:$I$3001,0))))</f>
        <v/>
      </c>
      <c r="K2348" s="6">
        <f>IF(C2348="","",IF(M2348&gt;0,M2348,IF(AND(E2348&gt;0,ROUND(J2348+D2348-E2348,2)&gt;0,ROUND(J2348+D2348-E2348,2)&lt;'Opening Balance'!$B$14),ROUND(J2348+D2348-E2348,2),0)))</f>
        <v/>
      </c>
      <c r="L2348" s="6">
        <f>IF(C2348="","",ROUND(J2348+D2348-E2348-K2348,2))</f>
        <v/>
      </c>
      <c r="M2348" s="6">
        <f>IF(C2348="","",0)</f>
        <v/>
      </c>
    </row>
    <row r="2349">
      <c r="A2349" t="inlineStr">
        <is>
          <t>Bank 银行</t>
        </is>
      </c>
      <c r="B2349" s="5">
        <f>IF(AND('Daily Sale entry '!Z849="Online collection 网上收款",'Daily Sale entry '!AA849&lt;&gt;""),'Daily Sale entry '!X849,"")</f>
        <v/>
      </c>
      <c r="C2349">
        <f>IF(B2349="","",'Daily Sale entry '!AA849)</f>
        <v/>
      </c>
      <c r="D2349">
        <f>IF(C2349="","",0)</f>
        <v/>
      </c>
      <c r="E2349">
        <f>IF(C2349="","",'Daily Sale entry '!AC849)</f>
        <v/>
      </c>
      <c r="F2349" s="37">
        <f>IF(C2349="","",B2349+IF(E2349&gt;0,0,0.5)+ROW()/10000000)</f>
        <v/>
      </c>
      <c r="G2349">
        <f>IF(C2349="","","Collection 收款 (Online 网上)"&amp;IF('Daily Sale entry '!Y849="",""," - "&amp;'Daily Sale entry '!Y849))</f>
        <v/>
      </c>
      <c r="H2349">
        <f>IF(C2349="","",COUNTIFS($C$2:$C$3001,C2349,$F$2:$F$3001,"&lt;"&amp;F2349)+1)</f>
        <v/>
      </c>
      <c r="I2349">
        <f>IF(C2349="","",C2349&amp;"|"&amp;H2349)</f>
        <v/>
      </c>
      <c r="J2349" s="6">
        <f>IF(C2349="","",IF(H2349=1,SUMIFS('Opening Balance'!$F$4:$F$303,'Opening Balance'!$G$4:$G$303,C2349),INDEX($L$2:$L$3001,MATCH(C2349&amp;"|"&amp;(H2349-1),$I$2:$I$3001,0))))</f>
        <v/>
      </c>
      <c r="K2349" s="6">
        <f>IF(C2349="","",IF(M2349&gt;0,M2349,IF(AND(E2349&gt;0,ROUND(J2349+D2349-E2349,2)&gt;0,ROUND(J2349+D2349-E2349,2)&lt;'Opening Balance'!$B$14),ROUND(J2349+D2349-E2349,2),0)))</f>
        <v/>
      </c>
      <c r="L2349" s="6">
        <f>IF(C2349="","",ROUND(J2349+D2349-E2349-K2349,2))</f>
        <v/>
      </c>
      <c r="M2349" s="6">
        <f>IF(C2349="","",0)</f>
        <v/>
      </c>
    </row>
    <row r="2350">
      <c r="A2350" t="inlineStr">
        <is>
          <t>Bank 银行</t>
        </is>
      </c>
      <c r="B2350" s="5">
        <f>IF(AND('Daily Sale entry '!Z850="Online collection 网上收款",'Daily Sale entry '!AA850&lt;&gt;""),'Daily Sale entry '!X850,"")</f>
        <v/>
      </c>
      <c r="C2350">
        <f>IF(B2350="","",'Daily Sale entry '!AA850)</f>
        <v/>
      </c>
      <c r="D2350">
        <f>IF(C2350="","",0)</f>
        <v/>
      </c>
      <c r="E2350">
        <f>IF(C2350="","",'Daily Sale entry '!AC850)</f>
        <v/>
      </c>
      <c r="F2350" s="37">
        <f>IF(C2350="","",B2350+IF(E2350&gt;0,0,0.5)+ROW()/10000000)</f>
        <v/>
      </c>
      <c r="G2350">
        <f>IF(C2350="","","Collection 收款 (Online 网上)"&amp;IF('Daily Sale entry '!Y850="",""," - "&amp;'Daily Sale entry '!Y850))</f>
        <v/>
      </c>
      <c r="H2350">
        <f>IF(C2350="","",COUNTIFS($C$2:$C$3001,C2350,$F$2:$F$3001,"&lt;"&amp;F2350)+1)</f>
        <v/>
      </c>
      <c r="I2350">
        <f>IF(C2350="","",C2350&amp;"|"&amp;H2350)</f>
        <v/>
      </c>
      <c r="J2350" s="6">
        <f>IF(C2350="","",IF(H2350=1,SUMIFS('Opening Balance'!$F$4:$F$303,'Opening Balance'!$G$4:$G$303,C2350),INDEX($L$2:$L$3001,MATCH(C2350&amp;"|"&amp;(H2350-1),$I$2:$I$3001,0))))</f>
        <v/>
      </c>
      <c r="K2350" s="6">
        <f>IF(C2350="","",IF(M2350&gt;0,M2350,IF(AND(E2350&gt;0,ROUND(J2350+D2350-E2350,2)&gt;0,ROUND(J2350+D2350-E2350,2)&lt;'Opening Balance'!$B$14),ROUND(J2350+D2350-E2350,2),0)))</f>
        <v/>
      </c>
      <c r="L2350" s="6">
        <f>IF(C2350="","",ROUND(J2350+D2350-E2350-K2350,2))</f>
        <v/>
      </c>
      <c r="M2350" s="6">
        <f>IF(C2350="","",0)</f>
        <v/>
      </c>
    </row>
    <row r="2351">
      <c r="A2351" t="inlineStr">
        <is>
          <t>Bank 银行</t>
        </is>
      </c>
      <c r="B2351" s="5">
        <f>IF(AND('Daily Sale entry '!Z851="Online collection 网上收款",'Daily Sale entry '!AA851&lt;&gt;""),'Daily Sale entry '!X851,"")</f>
        <v/>
      </c>
      <c r="C2351">
        <f>IF(B2351="","",'Daily Sale entry '!AA851)</f>
        <v/>
      </c>
      <c r="D2351">
        <f>IF(C2351="","",0)</f>
        <v/>
      </c>
      <c r="E2351">
        <f>IF(C2351="","",'Daily Sale entry '!AC851)</f>
        <v/>
      </c>
      <c r="F2351" s="37">
        <f>IF(C2351="","",B2351+IF(E2351&gt;0,0,0.5)+ROW()/10000000)</f>
        <v/>
      </c>
      <c r="G2351">
        <f>IF(C2351="","","Collection 收款 (Online 网上)"&amp;IF('Daily Sale entry '!Y851="",""," - "&amp;'Daily Sale entry '!Y851))</f>
        <v/>
      </c>
      <c r="H2351">
        <f>IF(C2351="","",COUNTIFS($C$2:$C$3001,C2351,$F$2:$F$3001,"&lt;"&amp;F2351)+1)</f>
        <v/>
      </c>
      <c r="I2351">
        <f>IF(C2351="","",C2351&amp;"|"&amp;H2351)</f>
        <v/>
      </c>
      <c r="J2351" s="6">
        <f>IF(C2351="","",IF(H2351=1,SUMIFS('Opening Balance'!$F$4:$F$303,'Opening Balance'!$G$4:$G$303,C2351),INDEX($L$2:$L$3001,MATCH(C2351&amp;"|"&amp;(H2351-1),$I$2:$I$3001,0))))</f>
        <v/>
      </c>
      <c r="K2351" s="6">
        <f>IF(C2351="","",IF(M2351&gt;0,M2351,IF(AND(E2351&gt;0,ROUND(J2351+D2351-E2351,2)&gt;0,ROUND(J2351+D2351-E2351,2)&lt;'Opening Balance'!$B$14),ROUND(J2351+D2351-E2351,2),0)))</f>
        <v/>
      </c>
      <c r="L2351" s="6">
        <f>IF(C2351="","",ROUND(J2351+D2351-E2351-K2351,2))</f>
        <v/>
      </c>
      <c r="M2351" s="6">
        <f>IF(C2351="","",0)</f>
        <v/>
      </c>
    </row>
    <row r="2352">
      <c r="A2352" t="inlineStr">
        <is>
          <t>Bank 银行</t>
        </is>
      </c>
      <c r="B2352" s="5">
        <f>IF(AND('Daily Sale entry '!Z852="Online collection 网上收款",'Daily Sale entry '!AA852&lt;&gt;""),'Daily Sale entry '!X852,"")</f>
        <v/>
      </c>
      <c r="C2352">
        <f>IF(B2352="","",'Daily Sale entry '!AA852)</f>
        <v/>
      </c>
      <c r="D2352">
        <f>IF(C2352="","",0)</f>
        <v/>
      </c>
      <c r="E2352">
        <f>IF(C2352="","",'Daily Sale entry '!AC852)</f>
        <v/>
      </c>
      <c r="F2352" s="37">
        <f>IF(C2352="","",B2352+IF(E2352&gt;0,0,0.5)+ROW()/10000000)</f>
        <v/>
      </c>
      <c r="G2352">
        <f>IF(C2352="","","Collection 收款 (Online 网上)"&amp;IF('Daily Sale entry '!Y852="",""," - "&amp;'Daily Sale entry '!Y852))</f>
        <v/>
      </c>
      <c r="H2352">
        <f>IF(C2352="","",COUNTIFS($C$2:$C$3001,C2352,$F$2:$F$3001,"&lt;"&amp;F2352)+1)</f>
        <v/>
      </c>
      <c r="I2352">
        <f>IF(C2352="","",C2352&amp;"|"&amp;H2352)</f>
        <v/>
      </c>
      <c r="J2352" s="6">
        <f>IF(C2352="","",IF(H2352=1,SUMIFS('Opening Balance'!$F$4:$F$303,'Opening Balance'!$G$4:$G$303,C2352),INDEX($L$2:$L$3001,MATCH(C2352&amp;"|"&amp;(H2352-1),$I$2:$I$3001,0))))</f>
        <v/>
      </c>
      <c r="K2352" s="6">
        <f>IF(C2352="","",IF(M2352&gt;0,M2352,IF(AND(E2352&gt;0,ROUND(J2352+D2352-E2352,2)&gt;0,ROUND(J2352+D2352-E2352,2)&lt;'Opening Balance'!$B$14),ROUND(J2352+D2352-E2352,2),0)))</f>
        <v/>
      </c>
      <c r="L2352" s="6">
        <f>IF(C2352="","",ROUND(J2352+D2352-E2352-K2352,2))</f>
        <v/>
      </c>
      <c r="M2352" s="6">
        <f>IF(C2352="","",0)</f>
        <v/>
      </c>
    </row>
    <row r="2353">
      <c r="A2353" t="inlineStr">
        <is>
          <t>Bank 银行</t>
        </is>
      </c>
      <c r="B2353" s="5">
        <f>IF(AND('Daily Sale entry '!Z853="Online collection 网上收款",'Daily Sale entry '!AA853&lt;&gt;""),'Daily Sale entry '!X853,"")</f>
        <v/>
      </c>
      <c r="C2353">
        <f>IF(B2353="","",'Daily Sale entry '!AA853)</f>
        <v/>
      </c>
      <c r="D2353">
        <f>IF(C2353="","",0)</f>
        <v/>
      </c>
      <c r="E2353">
        <f>IF(C2353="","",'Daily Sale entry '!AC853)</f>
        <v/>
      </c>
      <c r="F2353" s="37">
        <f>IF(C2353="","",B2353+IF(E2353&gt;0,0,0.5)+ROW()/10000000)</f>
        <v/>
      </c>
      <c r="G2353">
        <f>IF(C2353="","","Collection 收款 (Online 网上)"&amp;IF('Daily Sale entry '!Y853="",""," - "&amp;'Daily Sale entry '!Y853))</f>
        <v/>
      </c>
      <c r="H2353">
        <f>IF(C2353="","",COUNTIFS($C$2:$C$3001,C2353,$F$2:$F$3001,"&lt;"&amp;F2353)+1)</f>
        <v/>
      </c>
      <c r="I2353">
        <f>IF(C2353="","",C2353&amp;"|"&amp;H2353)</f>
        <v/>
      </c>
      <c r="J2353" s="6">
        <f>IF(C2353="","",IF(H2353=1,SUMIFS('Opening Balance'!$F$4:$F$303,'Opening Balance'!$G$4:$G$303,C2353),INDEX($L$2:$L$3001,MATCH(C2353&amp;"|"&amp;(H2353-1),$I$2:$I$3001,0))))</f>
        <v/>
      </c>
      <c r="K2353" s="6">
        <f>IF(C2353="","",IF(M2353&gt;0,M2353,IF(AND(E2353&gt;0,ROUND(J2353+D2353-E2353,2)&gt;0,ROUND(J2353+D2353-E2353,2)&lt;'Opening Balance'!$B$14),ROUND(J2353+D2353-E2353,2),0)))</f>
        <v/>
      </c>
      <c r="L2353" s="6">
        <f>IF(C2353="","",ROUND(J2353+D2353-E2353-K2353,2))</f>
        <v/>
      </c>
      <c r="M2353" s="6">
        <f>IF(C2353="","",0)</f>
        <v/>
      </c>
    </row>
    <row r="2354">
      <c r="A2354" t="inlineStr">
        <is>
          <t>Bank 银行</t>
        </is>
      </c>
      <c r="B2354" s="5">
        <f>IF(AND('Daily Sale entry '!Z854="Online collection 网上收款",'Daily Sale entry '!AA854&lt;&gt;""),'Daily Sale entry '!X854,"")</f>
        <v/>
      </c>
      <c r="C2354">
        <f>IF(B2354="","",'Daily Sale entry '!AA854)</f>
        <v/>
      </c>
      <c r="D2354">
        <f>IF(C2354="","",0)</f>
        <v/>
      </c>
      <c r="E2354">
        <f>IF(C2354="","",'Daily Sale entry '!AC854)</f>
        <v/>
      </c>
      <c r="F2354" s="37">
        <f>IF(C2354="","",B2354+IF(E2354&gt;0,0,0.5)+ROW()/10000000)</f>
        <v/>
      </c>
      <c r="G2354">
        <f>IF(C2354="","","Collection 收款 (Online 网上)"&amp;IF('Daily Sale entry '!Y854="",""," - "&amp;'Daily Sale entry '!Y854))</f>
        <v/>
      </c>
      <c r="H2354">
        <f>IF(C2354="","",COUNTIFS($C$2:$C$3001,C2354,$F$2:$F$3001,"&lt;"&amp;F2354)+1)</f>
        <v/>
      </c>
      <c r="I2354">
        <f>IF(C2354="","",C2354&amp;"|"&amp;H2354)</f>
        <v/>
      </c>
      <c r="J2354" s="6">
        <f>IF(C2354="","",IF(H2354=1,SUMIFS('Opening Balance'!$F$4:$F$303,'Opening Balance'!$G$4:$G$303,C2354),INDEX($L$2:$L$3001,MATCH(C2354&amp;"|"&amp;(H2354-1),$I$2:$I$3001,0))))</f>
        <v/>
      </c>
      <c r="K2354" s="6">
        <f>IF(C2354="","",IF(M2354&gt;0,M2354,IF(AND(E2354&gt;0,ROUND(J2354+D2354-E2354,2)&gt;0,ROUND(J2354+D2354-E2354,2)&lt;'Opening Balance'!$B$14),ROUND(J2354+D2354-E2354,2),0)))</f>
        <v/>
      </c>
      <c r="L2354" s="6">
        <f>IF(C2354="","",ROUND(J2354+D2354-E2354-K2354,2))</f>
        <v/>
      </c>
      <c r="M2354" s="6">
        <f>IF(C2354="","",0)</f>
        <v/>
      </c>
    </row>
    <row r="2355">
      <c r="A2355" t="inlineStr">
        <is>
          <t>Bank 银行</t>
        </is>
      </c>
      <c r="B2355" s="5">
        <f>IF(AND('Daily Sale entry '!Z855="Online collection 网上收款",'Daily Sale entry '!AA855&lt;&gt;""),'Daily Sale entry '!X855,"")</f>
        <v/>
      </c>
      <c r="C2355">
        <f>IF(B2355="","",'Daily Sale entry '!AA855)</f>
        <v/>
      </c>
      <c r="D2355">
        <f>IF(C2355="","",0)</f>
        <v/>
      </c>
      <c r="E2355">
        <f>IF(C2355="","",'Daily Sale entry '!AC855)</f>
        <v/>
      </c>
      <c r="F2355" s="37">
        <f>IF(C2355="","",B2355+IF(E2355&gt;0,0,0.5)+ROW()/10000000)</f>
        <v/>
      </c>
      <c r="G2355">
        <f>IF(C2355="","","Collection 收款 (Online 网上)"&amp;IF('Daily Sale entry '!Y855="",""," - "&amp;'Daily Sale entry '!Y855))</f>
        <v/>
      </c>
      <c r="H2355">
        <f>IF(C2355="","",COUNTIFS($C$2:$C$3001,C2355,$F$2:$F$3001,"&lt;"&amp;F2355)+1)</f>
        <v/>
      </c>
      <c r="I2355">
        <f>IF(C2355="","",C2355&amp;"|"&amp;H2355)</f>
        <v/>
      </c>
      <c r="J2355" s="6">
        <f>IF(C2355="","",IF(H2355=1,SUMIFS('Opening Balance'!$F$4:$F$303,'Opening Balance'!$G$4:$G$303,C2355),INDEX($L$2:$L$3001,MATCH(C2355&amp;"|"&amp;(H2355-1),$I$2:$I$3001,0))))</f>
        <v/>
      </c>
      <c r="K2355" s="6">
        <f>IF(C2355="","",IF(M2355&gt;0,M2355,IF(AND(E2355&gt;0,ROUND(J2355+D2355-E2355,2)&gt;0,ROUND(J2355+D2355-E2355,2)&lt;'Opening Balance'!$B$14),ROUND(J2355+D2355-E2355,2),0)))</f>
        <v/>
      </c>
      <c r="L2355" s="6">
        <f>IF(C2355="","",ROUND(J2355+D2355-E2355-K2355,2))</f>
        <v/>
      </c>
      <c r="M2355" s="6">
        <f>IF(C2355="","",0)</f>
        <v/>
      </c>
    </row>
    <row r="2356">
      <c r="A2356" t="inlineStr">
        <is>
          <t>Bank 银行</t>
        </is>
      </c>
      <c r="B2356" s="5">
        <f>IF(AND('Daily Sale entry '!Z856="Online collection 网上收款",'Daily Sale entry '!AA856&lt;&gt;""),'Daily Sale entry '!X856,"")</f>
        <v/>
      </c>
      <c r="C2356">
        <f>IF(B2356="","",'Daily Sale entry '!AA856)</f>
        <v/>
      </c>
      <c r="D2356">
        <f>IF(C2356="","",0)</f>
        <v/>
      </c>
      <c r="E2356">
        <f>IF(C2356="","",'Daily Sale entry '!AC856)</f>
        <v/>
      </c>
      <c r="F2356" s="37">
        <f>IF(C2356="","",B2356+IF(E2356&gt;0,0,0.5)+ROW()/10000000)</f>
        <v/>
      </c>
      <c r="G2356">
        <f>IF(C2356="","","Collection 收款 (Online 网上)"&amp;IF('Daily Sale entry '!Y856="",""," - "&amp;'Daily Sale entry '!Y856))</f>
        <v/>
      </c>
      <c r="H2356">
        <f>IF(C2356="","",COUNTIFS($C$2:$C$3001,C2356,$F$2:$F$3001,"&lt;"&amp;F2356)+1)</f>
        <v/>
      </c>
      <c r="I2356">
        <f>IF(C2356="","",C2356&amp;"|"&amp;H2356)</f>
        <v/>
      </c>
      <c r="J2356" s="6">
        <f>IF(C2356="","",IF(H2356=1,SUMIFS('Opening Balance'!$F$4:$F$303,'Opening Balance'!$G$4:$G$303,C2356),INDEX($L$2:$L$3001,MATCH(C2356&amp;"|"&amp;(H2356-1),$I$2:$I$3001,0))))</f>
        <v/>
      </c>
      <c r="K2356" s="6">
        <f>IF(C2356="","",IF(M2356&gt;0,M2356,IF(AND(E2356&gt;0,ROUND(J2356+D2356-E2356,2)&gt;0,ROUND(J2356+D2356-E2356,2)&lt;'Opening Balance'!$B$14),ROUND(J2356+D2356-E2356,2),0)))</f>
        <v/>
      </c>
      <c r="L2356" s="6">
        <f>IF(C2356="","",ROUND(J2356+D2356-E2356-K2356,2))</f>
        <v/>
      </c>
      <c r="M2356" s="6">
        <f>IF(C2356="","",0)</f>
        <v/>
      </c>
    </row>
    <row r="2357">
      <c r="A2357" t="inlineStr">
        <is>
          <t>Bank 银行</t>
        </is>
      </c>
      <c r="B2357" s="5">
        <f>IF(AND('Daily Sale entry '!Z857="Online collection 网上收款",'Daily Sale entry '!AA857&lt;&gt;""),'Daily Sale entry '!X857,"")</f>
        <v/>
      </c>
      <c r="C2357">
        <f>IF(B2357="","",'Daily Sale entry '!AA857)</f>
        <v/>
      </c>
      <c r="D2357">
        <f>IF(C2357="","",0)</f>
        <v/>
      </c>
      <c r="E2357">
        <f>IF(C2357="","",'Daily Sale entry '!AC857)</f>
        <v/>
      </c>
      <c r="F2357" s="37">
        <f>IF(C2357="","",B2357+IF(E2357&gt;0,0,0.5)+ROW()/10000000)</f>
        <v/>
      </c>
      <c r="G2357">
        <f>IF(C2357="","","Collection 收款 (Online 网上)"&amp;IF('Daily Sale entry '!Y857="",""," - "&amp;'Daily Sale entry '!Y857))</f>
        <v/>
      </c>
      <c r="H2357">
        <f>IF(C2357="","",COUNTIFS($C$2:$C$3001,C2357,$F$2:$F$3001,"&lt;"&amp;F2357)+1)</f>
        <v/>
      </c>
      <c r="I2357">
        <f>IF(C2357="","",C2357&amp;"|"&amp;H2357)</f>
        <v/>
      </c>
      <c r="J2357" s="6">
        <f>IF(C2357="","",IF(H2357=1,SUMIFS('Opening Balance'!$F$4:$F$303,'Opening Balance'!$G$4:$G$303,C2357),INDEX($L$2:$L$3001,MATCH(C2357&amp;"|"&amp;(H2357-1),$I$2:$I$3001,0))))</f>
        <v/>
      </c>
      <c r="K2357" s="6">
        <f>IF(C2357="","",IF(M2357&gt;0,M2357,IF(AND(E2357&gt;0,ROUND(J2357+D2357-E2357,2)&gt;0,ROUND(J2357+D2357-E2357,2)&lt;'Opening Balance'!$B$14),ROUND(J2357+D2357-E2357,2),0)))</f>
        <v/>
      </c>
      <c r="L2357" s="6">
        <f>IF(C2357="","",ROUND(J2357+D2357-E2357-K2357,2))</f>
        <v/>
      </c>
      <c r="M2357" s="6">
        <f>IF(C2357="","",0)</f>
        <v/>
      </c>
    </row>
    <row r="2358">
      <c r="A2358" t="inlineStr">
        <is>
          <t>Bank 银行</t>
        </is>
      </c>
      <c r="B2358" s="5">
        <f>IF(AND('Daily Sale entry '!Z858="Online collection 网上收款",'Daily Sale entry '!AA858&lt;&gt;""),'Daily Sale entry '!X858,"")</f>
        <v/>
      </c>
      <c r="C2358">
        <f>IF(B2358="","",'Daily Sale entry '!AA858)</f>
        <v/>
      </c>
      <c r="D2358">
        <f>IF(C2358="","",0)</f>
        <v/>
      </c>
      <c r="E2358">
        <f>IF(C2358="","",'Daily Sale entry '!AC858)</f>
        <v/>
      </c>
      <c r="F2358" s="37">
        <f>IF(C2358="","",B2358+IF(E2358&gt;0,0,0.5)+ROW()/10000000)</f>
        <v/>
      </c>
      <c r="G2358">
        <f>IF(C2358="","","Collection 收款 (Online 网上)"&amp;IF('Daily Sale entry '!Y858="",""," - "&amp;'Daily Sale entry '!Y858))</f>
        <v/>
      </c>
      <c r="H2358">
        <f>IF(C2358="","",COUNTIFS($C$2:$C$3001,C2358,$F$2:$F$3001,"&lt;"&amp;F2358)+1)</f>
        <v/>
      </c>
      <c r="I2358">
        <f>IF(C2358="","",C2358&amp;"|"&amp;H2358)</f>
        <v/>
      </c>
      <c r="J2358" s="6">
        <f>IF(C2358="","",IF(H2358=1,SUMIFS('Opening Balance'!$F$4:$F$303,'Opening Balance'!$G$4:$G$303,C2358),INDEX($L$2:$L$3001,MATCH(C2358&amp;"|"&amp;(H2358-1),$I$2:$I$3001,0))))</f>
        <v/>
      </c>
      <c r="K2358" s="6">
        <f>IF(C2358="","",IF(M2358&gt;0,M2358,IF(AND(E2358&gt;0,ROUND(J2358+D2358-E2358,2)&gt;0,ROUND(J2358+D2358-E2358,2)&lt;'Opening Balance'!$B$14),ROUND(J2358+D2358-E2358,2),0)))</f>
        <v/>
      </c>
      <c r="L2358" s="6">
        <f>IF(C2358="","",ROUND(J2358+D2358-E2358-K2358,2))</f>
        <v/>
      </c>
      <c r="M2358" s="6">
        <f>IF(C2358="","",0)</f>
        <v/>
      </c>
    </row>
    <row r="2359">
      <c r="A2359" t="inlineStr">
        <is>
          <t>Bank 银行</t>
        </is>
      </c>
      <c r="B2359" s="5">
        <f>IF(AND('Daily Sale entry '!Z859="Online collection 网上收款",'Daily Sale entry '!AA859&lt;&gt;""),'Daily Sale entry '!X859,"")</f>
        <v/>
      </c>
      <c r="C2359">
        <f>IF(B2359="","",'Daily Sale entry '!AA859)</f>
        <v/>
      </c>
      <c r="D2359">
        <f>IF(C2359="","",0)</f>
        <v/>
      </c>
      <c r="E2359">
        <f>IF(C2359="","",'Daily Sale entry '!AC859)</f>
        <v/>
      </c>
      <c r="F2359" s="37">
        <f>IF(C2359="","",B2359+IF(E2359&gt;0,0,0.5)+ROW()/10000000)</f>
        <v/>
      </c>
      <c r="G2359">
        <f>IF(C2359="","","Collection 收款 (Online 网上)"&amp;IF('Daily Sale entry '!Y859="",""," - "&amp;'Daily Sale entry '!Y859))</f>
        <v/>
      </c>
      <c r="H2359">
        <f>IF(C2359="","",COUNTIFS($C$2:$C$3001,C2359,$F$2:$F$3001,"&lt;"&amp;F2359)+1)</f>
        <v/>
      </c>
      <c r="I2359">
        <f>IF(C2359="","",C2359&amp;"|"&amp;H2359)</f>
        <v/>
      </c>
      <c r="J2359" s="6">
        <f>IF(C2359="","",IF(H2359=1,SUMIFS('Opening Balance'!$F$4:$F$303,'Opening Balance'!$G$4:$G$303,C2359),INDEX($L$2:$L$3001,MATCH(C2359&amp;"|"&amp;(H2359-1),$I$2:$I$3001,0))))</f>
        <v/>
      </c>
      <c r="K2359" s="6">
        <f>IF(C2359="","",IF(M2359&gt;0,M2359,IF(AND(E2359&gt;0,ROUND(J2359+D2359-E2359,2)&gt;0,ROUND(J2359+D2359-E2359,2)&lt;'Opening Balance'!$B$14),ROUND(J2359+D2359-E2359,2),0)))</f>
        <v/>
      </c>
      <c r="L2359" s="6">
        <f>IF(C2359="","",ROUND(J2359+D2359-E2359-K2359,2))</f>
        <v/>
      </c>
      <c r="M2359" s="6">
        <f>IF(C2359="","",0)</f>
        <v/>
      </c>
    </row>
    <row r="2360">
      <c r="A2360" t="inlineStr">
        <is>
          <t>Bank 银行</t>
        </is>
      </c>
      <c r="B2360" s="5">
        <f>IF(AND('Daily Sale entry '!Z860="Online collection 网上收款",'Daily Sale entry '!AA860&lt;&gt;""),'Daily Sale entry '!X860,"")</f>
        <v/>
      </c>
      <c r="C2360">
        <f>IF(B2360="","",'Daily Sale entry '!AA860)</f>
        <v/>
      </c>
      <c r="D2360">
        <f>IF(C2360="","",0)</f>
        <v/>
      </c>
      <c r="E2360">
        <f>IF(C2360="","",'Daily Sale entry '!AC860)</f>
        <v/>
      </c>
      <c r="F2360" s="37">
        <f>IF(C2360="","",B2360+IF(E2360&gt;0,0,0.5)+ROW()/10000000)</f>
        <v/>
      </c>
      <c r="G2360">
        <f>IF(C2360="","","Collection 收款 (Online 网上)"&amp;IF('Daily Sale entry '!Y860="",""," - "&amp;'Daily Sale entry '!Y860))</f>
        <v/>
      </c>
      <c r="H2360">
        <f>IF(C2360="","",COUNTIFS($C$2:$C$3001,C2360,$F$2:$F$3001,"&lt;"&amp;F2360)+1)</f>
        <v/>
      </c>
      <c r="I2360">
        <f>IF(C2360="","",C2360&amp;"|"&amp;H2360)</f>
        <v/>
      </c>
      <c r="J2360" s="6">
        <f>IF(C2360="","",IF(H2360=1,SUMIFS('Opening Balance'!$F$4:$F$303,'Opening Balance'!$G$4:$G$303,C2360),INDEX($L$2:$L$3001,MATCH(C2360&amp;"|"&amp;(H2360-1),$I$2:$I$3001,0))))</f>
        <v/>
      </c>
      <c r="K2360" s="6">
        <f>IF(C2360="","",IF(M2360&gt;0,M2360,IF(AND(E2360&gt;0,ROUND(J2360+D2360-E2360,2)&gt;0,ROUND(J2360+D2360-E2360,2)&lt;'Opening Balance'!$B$14),ROUND(J2360+D2360-E2360,2),0)))</f>
        <v/>
      </c>
      <c r="L2360" s="6">
        <f>IF(C2360="","",ROUND(J2360+D2360-E2360-K2360,2))</f>
        <v/>
      </c>
      <c r="M2360" s="6">
        <f>IF(C2360="","",0)</f>
        <v/>
      </c>
    </row>
    <row r="2361">
      <c r="A2361" t="inlineStr">
        <is>
          <t>Bank 银行</t>
        </is>
      </c>
      <c r="B2361" s="5">
        <f>IF(AND('Daily Sale entry '!Z861="Online collection 网上收款",'Daily Sale entry '!AA861&lt;&gt;""),'Daily Sale entry '!X861,"")</f>
        <v/>
      </c>
      <c r="C2361">
        <f>IF(B2361="","",'Daily Sale entry '!AA861)</f>
        <v/>
      </c>
      <c r="D2361">
        <f>IF(C2361="","",0)</f>
        <v/>
      </c>
      <c r="E2361">
        <f>IF(C2361="","",'Daily Sale entry '!AC861)</f>
        <v/>
      </c>
      <c r="F2361" s="37">
        <f>IF(C2361="","",B2361+IF(E2361&gt;0,0,0.5)+ROW()/10000000)</f>
        <v/>
      </c>
      <c r="G2361">
        <f>IF(C2361="","","Collection 收款 (Online 网上)"&amp;IF('Daily Sale entry '!Y861="",""," - "&amp;'Daily Sale entry '!Y861))</f>
        <v/>
      </c>
      <c r="H2361">
        <f>IF(C2361="","",COUNTIFS($C$2:$C$3001,C2361,$F$2:$F$3001,"&lt;"&amp;F2361)+1)</f>
        <v/>
      </c>
      <c r="I2361">
        <f>IF(C2361="","",C2361&amp;"|"&amp;H2361)</f>
        <v/>
      </c>
      <c r="J2361" s="6">
        <f>IF(C2361="","",IF(H2361=1,SUMIFS('Opening Balance'!$F$4:$F$303,'Opening Balance'!$G$4:$G$303,C2361),INDEX($L$2:$L$3001,MATCH(C2361&amp;"|"&amp;(H2361-1),$I$2:$I$3001,0))))</f>
        <v/>
      </c>
      <c r="K2361" s="6">
        <f>IF(C2361="","",IF(M2361&gt;0,M2361,IF(AND(E2361&gt;0,ROUND(J2361+D2361-E2361,2)&gt;0,ROUND(J2361+D2361-E2361,2)&lt;'Opening Balance'!$B$14),ROUND(J2361+D2361-E2361,2),0)))</f>
        <v/>
      </c>
      <c r="L2361" s="6">
        <f>IF(C2361="","",ROUND(J2361+D2361-E2361-K2361,2))</f>
        <v/>
      </c>
      <c r="M2361" s="6">
        <f>IF(C2361="","",0)</f>
        <v/>
      </c>
    </row>
    <row r="2362">
      <c r="A2362" t="inlineStr">
        <is>
          <t>Bank 银行</t>
        </is>
      </c>
      <c r="B2362" s="5">
        <f>IF(AND('Daily Sale entry '!Z862="Online collection 网上收款",'Daily Sale entry '!AA862&lt;&gt;""),'Daily Sale entry '!X862,"")</f>
        <v/>
      </c>
      <c r="C2362">
        <f>IF(B2362="","",'Daily Sale entry '!AA862)</f>
        <v/>
      </c>
      <c r="D2362">
        <f>IF(C2362="","",0)</f>
        <v/>
      </c>
      <c r="E2362">
        <f>IF(C2362="","",'Daily Sale entry '!AC862)</f>
        <v/>
      </c>
      <c r="F2362" s="37">
        <f>IF(C2362="","",B2362+IF(E2362&gt;0,0,0.5)+ROW()/10000000)</f>
        <v/>
      </c>
      <c r="G2362">
        <f>IF(C2362="","","Collection 收款 (Online 网上)"&amp;IF('Daily Sale entry '!Y862="",""," - "&amp;'Daily Sale entry '!Y862))</f>
        <v/>
      </c>
      <c r="H2362">
        <f>IF(C2362="","",COUNTIFS($C$2:$C$3001,C2362,$F$2:$F$3001,"&lt;"&amp;F2362)+1)</f>
        <v/>
      </c>
      <c r="I2362">
        <f>IF(C2362="","",C2362&amp;"|"&amp;H2362)</f>
        <v/>
      </c>
      <c r="J2362" s="6">
        <f>IF(C2362="","",IF(H2362=1,SUMIFS('Opening Balance'!$F$4:$F$303,'Opening Balance'!$G$4:$G$303,C2362),INDEX($L$2:$L$3001,MATCH(C2362&amp;"|"&amp;(H2362-1),$I$2:$I$3001,0))))</f>
        <v/>
      </c>
      <c r="K2362" s="6">
        <f>IF(C2362="","",IF(M2362&gt;0,M2362,IF(AND(E2362&gt;0,ROUND(J2362+D2362-E2362,2)&gt;0,ROUND(J2362+D2362-E2362,2)&lt;'Opening Balance'!$B$14),ROUND(J2362+D2362-E2362,2),0)))</f>
        <v/>
      </c>
      <c r="L2362" s="6">
        <f>IF(C2362="","",ROUND(J2362+D2362-E2362-K2362,2))</f>
        <v/>
      </c>
      <c r="M2362" s="6">
        <f>IF(C2362="","",0)</f>
        <v/>
      </c>
    </row>
    <row r="2363">
      <c r="A2363" t="inlineStr">
        <is>
          <t>Bank 银行</t>
        </is>
      </c>
      <c r="B2363" s="5">
        <f>IF(AND('Daily Sale entry '!Z863="Online collection 网上收款",'Daily Sale entry '!AA863&lt;&gt;""),'Daily Sale entry '!X863,"")</f>
        <v/>
      </c>
      <c r="C2363">
        <f>IF(B2363="","",'Daily Sale entry '!AA863)</f>
        <v/>
      </c>
      <c r="D2363">
        <f>IF(C2363="","",0)</f>
        <v/>
      </c>
      <c r="E2363">
        <f>IF(C2363="","",'Daily Sale entry '!AC863)</f>
        <v/>
      </c>
      <c r="F2363" s="37">
        <f>IF(C2363="","",B2363+IF(E2363&gt;0,0,0.5)+ROW()/10000000)</f>
        <v/>
      </c>
      <c r="G2363">
        <f>IF(C2363="","","Collection 收款 (Online 网上)"&amp;IF('Daily Sale entry '!Y863="",""," - "&amp;'Daily Sale entry '!Y863))</f>
        <v/>
      </c>
      <c r="H2363">
        <f>IF(C2363="","",COUNTIFS($C$2:$C$3001,C2363,$F$2:$F$3001,"&lt;"&amp;F2363)+1)</f>
        <v/>
      </c>
      <c r="I2363">
        <f>IF(C2363="","",C2363&amp;"|"&amp;H2363)</f>
        <v/>
      </c>
      <c r="J2363" s="6">
        <f>IF(C2363="","",IF(H2363=1,SUMIFS('Opening Balance'!$F$4:$F$303,'Opening Balance'!$G$4:$G$303,C2363),INDEX($L$2:$L$3001,MATCH(C2363&amp;"|"&amp;(H2363-1),$I$2:$I$3001,0))))</f>
        <v/>
      </c>
      <c r="K2363" s="6">
        <f>IF(C2363="","",IF(M2363&gt;0,M2363,IF(AND(E2363&gt;0,ROUND(J2363+D2363-E2363,2)&gt;0,ROUND(J2363+D2363-E2363,2)&lt;'Opening Balance'!$B$14),ROUND(J2363+D2363-E2363,2),0)))</f>
        <v/>
      </c>
      <c r="L2363" s="6">
        <f>IF(C2363="","",ROUND(J2363+D2363-E2363-K2363,2))</f>
        <v/>
      </c>
      <c r="M2363" s="6">
        <f>IF(C2363="","",0)</f>
        <v/>
      </c>
    </row>
    <row r="2364">
      <c r="A2364" t="inlineStr">
        <is>
          <t>Bank 银行</t>
        </is>
      </c>
      <c r="B2364" s="5">
        <f>IF(AND('Daily Sale entry '!Z864="Online collection 网上收款",'Daily Sale entry '!AA864&lt;&gt;""),'Daily Sale entry '!X864,"")</f>
        <v/>
      </c>
      <c r="C2364">
        <f>IF(B2364="","",'Daily Sale entry '!AA864)</f>
        <v/>
      </c>
      <c r="D2364">
        <f>IF(C2364="","",0)</f>
        <v/>
      </c>
      <c r="E2364">
        <f>IF(C2364="","",'Daily Sale entry '!AC864)</f>
        <v/>
      </c>
      <c r="F2364" s="37">
        <f>IF(C2364="","",B2364+IF(E2364&gt;0,0,0.5)+ROW()/10000000)</f>
        <v/>
      </c>
      <c r="G2364">
        <f>IF(C2364="","","Collection 收款 (Online 网上)"&amp;IF('Daily Sale entry '!Y864="",""," - "&amp;'Daily Sale entry '!Y864))</f>
        <v/>
      </c>
      <c r="H2364">
        <f>IF(C2364="","",COUNTIFS($C$2:$C$3001,C2364,$F$2:$F$3001,"&lt;"&amp;F2364)+1)</f>
        <v/>
      </c>
      <c r="I2364">
        <f>IF(C2364="","",C2364&amp;"|"&amp;H2364)</f>
        <v/>
      </c>
      <c r="J2364" s="6">
        <f>IF(C2364="","",IF(H2364=1,SUMIFS('Opening Balance'!$F$4:$F$303,'Opening Balance'!$G$4:$G$303,C2364),INDEX($L$2:$L$3001,MATCH(C2364&amp;"|"&amp;(H2364-1),$I$2:$I$3001,0))))</f>
        <v/>
      </c>
      <c r="K2364" s="6">
        <f>IF(C2364="","",IF(M2364&gt;0,M2364,IF(AND(E2364&gt;0,ROUND(J2364+D2364-E2364,2)&gt;0,ROUND(J2364+D2364-E2364,2)&lt;'Opening Balance'!$B$14),ROUND(J2364+D2364-E2364,2),0)))</f>
        <v/>
      </c>
      <c r="L2364" s="6">
        <f>IF(C2364="","",ROUND(J2364+D2364-E2364-K2364,2))</f>
        <v/>
      </c>
      <c r="M2364" s="6">
        <f>IF(C2364="","",0)</f>
        <v/>
      </c>
    </row>
    <row r="2365">
      <c r="A2365" t="inlineStr">
        <is>
          <t>Bank 银行</t>
        </is>
      </c>
      <c r="B2365" s="5">
        <f>IF(AND('Daily Sale entry '!Z865="Online collection 网上收款",'Daily Sale entry '!AA865&lt;&gt;""),'Daily Sale entry '!X865,"")</f>
        <v/>
      </c>
      <c r="C2365">
        <f>IF(B2365="","",'Daily Sale entry '!AA865)</f>
        <v/>
      </c>
      <c r="D2365">
        <f>IF(C2365="","",0)</f>
        <v/>
      </c>
      <c r="E2365">
        <f>IF(C2365="","",'Daily Sale entry '!AC865)</f>
        <v/>
      </c>
      <c r="F2365" s="37">
        <f>IF(C2365="","",B2365+IF(E2365&gt;0,0,0.5)+ROW()/10000000)</f>
        <v/>
      </c>
      <c r="G2365">
        <f>IF(C2365="","","Collection 收款 (Online 网上)"&amp;IF('Daily Sale entry '!Y865="",""," - "&amp;'Daily Sale entry '!Y865))</f>
        <v/>
      </c>
      <c r="H2365">
        <f>IF(C2365="","",COUNTIFS($C$2:$C$3001,C2365,$F$2:$F$3001,"&lt;"&amp;F2365)+1)</f>
        <v/>
      </c>
      <c r="I2365">
        <f>IF(C2365="","",C2365&amp;"|"&amp;H2365)</f>
        <v/>
      </c>
      <c r="J2365" s="6">
        <f>IF(C2365="","",IF(H2365=1,SUMIFS('Opening Balance'!$F$4:$F$303,'Opening Balance'!$G$4:$G$303,C2365),INDEX($L$2:$L$3001,MATCH(C2365&amp;"|"&amp;(H2365-1),$I$2:$I$3001,0))))</f>
        <v/>
      </c>
      <c r="K2365" s="6">
        <f>IF(C2365="","",IF(M2365&gt;0,M2365,IF(AND(E2365&gt;0,ROUND(J2365+D2365-E2365,2)&gt;0,ROUND(J2365+D2365-E2365,2)&lt;'Opening Balance'!$B$14),ROUND(J2365+D2365-E2365,2),0)))</f>
        <v/>
      </c>
      <c r="L2365" s="6">
        <f>IF(C2365="","",ROUND(J2365+D2365-E2365-K2365,2))</f>
        <v/>
      </c>
      <c r="M2365" s="6">
        <f>IF(C2365="","",0)</f>
        <v/>
      </c>
    </row>
    <row r="2366">
      <c r="A2366" t="inlineStr">
        <is>
          <t>Bank 银行</t>
        </is>
      </c>
      <c r="B2366" s="5">
        <f>IF(AND('Daily Sale entry '!Z866="Online collection 网上收款",'Daily Sale entry '!AA866&lt;&gt;""),'Daily Sale entry '!X866,"")</f>
        <v/>
      </c>
      <c r="C2366">
        <f>IF(B2366="","",'Daily Sale entry '!AA866)</f>
        <v/>
      </c>
      <c r="D2366">
        <f>IF(C2366="","",0)</f>
        <v/>
      </c>
      <c r="E2366">
        <f>IF(C2366="","",'Daily Sale entry '!AC866)</f>
        <v/>
      </c>
      <c r="F2366" s="37">
        <f>IF(C2366="","",B2366+IF(E2366&gt;0,0,0.5)+ROW()/10000000)</f>
        <v/>
      </c>
      <c r="G2366">
        <f>IF(C2366="","","Collection 收款 (Online 网上)"&amp;IF('Daily Sale entry '!Y866="",""," - "&amp;'Daily Sale entry '!Y866))</f>
        <v/>
      </c>
      <c r="H2366">
        <f>IF(C2366="","",COUNTIFS($C$2:$C$3001,C2366,$F$2:$F$3001,"&lt;"&amp;F2366)+1)</f>
        <v/>
      </c>
      <c r="I2366">
        <f>IF(C2366="","",C2366&amp;"|"&amp;H2366)</f>
        <v/>
      </c>
      <c r="J2366" s="6">
        <f>IF(C2366="","",IF(H2366=1,SUMIFS('Opening Balance'!$F$4:$F$303,'Opening Balance'!$G$4:$G$303,C2366),INDEX($L$2:$L$3001,MATCH(C2366&amp;"|"&amp;(H2366-1),$I$2:$I$3001,0))))</f>
        <v/>
      </c>
      <c r="K2366" s="6">
        <f>IF(C2366="","",IF(M2366&gt;0,M2366,IF(AND(E2366&gt;0,ROUND(J2366+D2366-E2366,2)&gt;0,ROUND(J2366+D2366-E2366,2)&lt;'Opening Balance'!$B$14),ROUND(J2366+D2366-E2366,2),0)))</f>
        <v/>
      </c>
      <c r="L2366" s="6">
        <f>IF(C2366="","",ROUND(J2366+D2366-E2366-K2366,2))</f>
        <v/>
      </c>
      <c r="M2366" s="6">
        <f>IF(C2366="","",0)</f>
        <v/>
      </c>
    </row>
    <row r="2367">
      <c r="A2367" t="inlineStr">
        <is>
          <t>Bank 银行</t>
        </is>
      </c>
      <c r="B2367" s="5">
        <f>IF(AND('Daily Sale entry '!Z867="Online collection 网上收款",'Daily Sale entry '!AA867&lt;&gt;""),'Daily Sale entry '!X867,"")</f>
        <v/>
      </c>
      <c r="C2367">
        <f>IF(B2367="","",'Daily Sale entry '!AA867)</f>
        <v/>
      </c>
      <c r="D2367">
        <f>IF(C2367="","",0)</f>
        <v/>
      </c>
      <c r="E2367">
        <f>IF(C2367="","",'Daily Sale entry '!AC867)</f>
        <v/>
      </c>
      <c r="F2367" s="37">
        <f>IF(C2367="","",B2367+IF(E2367&gt;0,0,0.5)+ROW()/10000000)</f>
        <v/>
      </c>
      <c r="G2367">
        <f>IF(C2367="","","Collection 收款 (Online 网上)"&amp;IF('Daily Sale entry '!Y867="",""," - "&amp;'Daily Sale entry '!Y867))</f>
        <v/>
      </c>
      <c r="H2367">
        <f>IF(C2367="","",COUNTIFS($C$2:$C$3001,C2367,$F$2:$F$3001,"&lt;"&amp;F2367)+1)</f>
        <v/>
      </c>
      <c r="I2367">
        <f>IF(C2367="","",C2367&amp;"|"&amp;H2367)</f>
        <v/>
      </c>
      <c r="J2367" s="6">
        <f>IF(C2367="","",IF(H2367=1,SUMIFS('Opening Balance'!$F$4:$F$303,'Opening Balance'!$G$4:$G$303,C2367),INDEX($L$2:$L$3001,MATCH(C2367&amp;"|"&amp;(H2367-1),$I$2:$I$3001,0))))</f>
        <v/>
      </c>
      <c r="K2367" s="6">
        <f>IF(C2367="","",IF(M2367&gt;0,M2367,IF(AND(E2367&gt;0,ROUND(J2367+D2367-E2367,2)&gt;0,ROUND(J2367+D2367-E2367,2)&lt;'Opening Balance'!$B$14),ROUND(J2367+D2367-E2367,2),0)))</f>
        <v/>
      </c>
      <c r="L2367" s="6">
        <f>IF(C2367="","",ROUND(J2367+D2367-E2367-K2367,2))</f>
        <v/>
      </c>
      <c r="M2367" s="6">
        <f>IF(C2367="","",0)</f>
        <v/>
      </c>
    </row>
    <row r="2368">
      <c r="A2368" t="inlineStr">
        <is>
          <t>Bank 银行</t>
        </is>
      </c>
      <c r="B2368" s="5">
        <f>IF(AND('Daily Sale entry '!Z868="Online collection 网上收款",'Daily Sale entry '!AA868&lt;&gt;""),'Daily Sale entry '!X868,"")</f>
        <v/>
      </c>
      <c r="C2368">
        <f>IF(B2368="","",'Daily Sale entry '!AA868)</f>
        <v/>
      </c>
      <c r="D2368">
        <f>IF(C2368="","",0)</f>
        <v/>
      </c>
      <c r="E2368">
        <f>IF(C2368="","",'Daily Sale entry '!AC868)</f>
        <v/>
      </c>
      <c r="F2368" s="37">
        <f>IF(C2368="","",B2368+IF(E2368&gt;0,0,0.5)+ROW()/10000000)</f>
        <v/>
      </c>
      <c r="G2368">
        <f>IF(C2368="","","Collection 收款 (Online 网上)"&amp;IF('Daily Sale entry '!Y868="",""," - "&amp;'Daily Sale entry '!Y868))</f>
        <v/>
      </c>
      <c r="H2368">
        <f>IF(C2368="","",COUNTIFS($C$2:$C$3001,C2368,$F$2:$F$3001,"&lt;"&amp;F2368)+1)</f>
        <v/>
      </c>
      <c r="I2368">
        <f>IF(C2368="","",C2368&amp;"|"&amp;H2368)</f>
        <v/>
      </c>
      <c r="J2368" s="6">
        <f>IF(C2368="","",IF(H2368=1,SUMIFS('Opening Balance'!$F$4:$F$303,'Opening Balance'!$G$4:$G$303,C2368),INDEX($L$2:$L$3001,MATCH(C2368&amp;"|"&amp;(H2368-1),$I$2:$I$3001,0))))</f>
        <v/>
      </c>
      <c r="K2368" s="6">
        <f>IF(C2368="","",IF(M2368&gt;0,M2368,IF(AND(E2368&gt;0,ROUND(J2368+D2368-E2368,2)&gt;0,ROUND(J2368+D2368-E2368,2)&lt;'Opening Balance'!$B$14),ROUND(J2368+D2368-E2368,2),0)))</f>
        <v/>
      </c>
      <c r="L2368" s="6">
        <f>IF(C2368="","",ROUND(J2368+D2368-E2368-K2368,2))</f>
        <v/>
      </c>
      <c r="M2368" s="6">
        <f>IF(C2368="","",0)</f>
        <v/>
      </c>
    </row>
    <row r="2369">
      <c r="A2369" t="inlineStr">
        <is>
          <t>Bank 银行</t>
        </is>
      </c>
      <c r="B2369" s="5">
        <f>IF(AND('Daily Sale entry '!Z869="Online collection 网上收款",'Daily Sale entry '!AA869&lt;&gt;""),'Daily Sale entry '!X869,"")</f>
        <v/>
      </c>
      <c r="C2369">
        <f>IF(B2369="","",'Daily Sale entry '!AA869)</f>
        <v/>
      </c>
      <c r="D2369">
        <f>IF(C2369="","",0)</f>
        <v/>
      </c>
      <c r="E2369">
        <f>IF(C2369="","",'Daily Sale entry '!AC869)</f>
        <v/>
      </c>
      <c r="F2369" s="37">
        <f>IF(C2369="","",B2369+IF(E2369&gt;0,0,0.5)+ROW()/10000000)</f>
        <v/>
      </c>
      <c r="G2369">
        <f>IF(C2369="","","Collection 收款 (Online 网上)"&amp;IF('Daily Sale entry '!Y869="",""," - "&amp;'Daily Sale entry '!Y869))</f>
        <v/>
      </c>
      <c r="H2369">
        <f>IF(C2369="","",COUNTIFS($C$2:$C$3001,C2369,$F$2:$F$3001,"&lt;"&amp;F2369)+1)</f>
        <v/>
      </c>
      <c r="I2369">
        <f>IF(C2369="","",C2369&amp;"|"&amp;H2369)</f>
        <v/>
      </c>
      <c r="J2369" s="6">
        <f>IF(C2369="","",IF(H2369=1,SUMIFS('Opening Balance'!$F$4:$F$303,'Opening Balance'!$G$4:$G$303,C2369),INDEX($L$2:$L$3001,MATCH(C2369&amp;"|"&amp;(H2369-1),$I$2:$I$3001,0))))</f>
        <v/>
      </c>
      <c r="K2369" s="6">
        <f>IF(C2369="","",IF(M2369&gt;0,M2369,IF(AND(E2369&gt;0,ROUND(J2369+D2369-E2369,2)&gt;0,ROUND(J2369+D2369-E2369,2)&lt;'Opening Balance'!$B$14),ROUND(J2369+D2369-E2369,2),0)))</f>
        <v/>
      </c>
      <c r="L2369" s="6">
        <f>IF(C2369="","",ROUND(J2369+D2369-E2369-K2369,2))</f>
        <v/>
      </c>
      <c r="M2369" s="6">
        <f>IF(C2369="","",0)</f>
        <v/>
      </c>
    </row>
    <row r="2370">
      <c r="A2370" t="inlineStr">
        <is>
          <t>Bank 银行</t>
        </is>
      </c>
      <c r="B2370" s="5">
        <f>IF(AND('Daily Sale entry '!Z870="Online collection 网上收款",'Daily Sale entry '!AA870&lt;&gt;""),'Daily Sale entry '!X870,"")</f>
        <v/>
      </c>
      <c r="C2370">
        <f>IF(B2370="","",'Daily Sale entry '!AA870)</f>
        <v/>
      </c>
      <c r="D2370">
        <f>IF(C2370="","",0)</f>
        <v/>
      </c>
      <c r="E2370">
        <f>IF(C2370="","",'Daily Sale entry '!AC870)</f>
        <v/>
      </c>
      <c r="F2370" s="37">
        <f>IF(C2370="","",B2370+IF(E2370&gt;0,0,0.5)+ROW()/10000000)</f>
        <v/>
      </c>
      <c r="G2370">
        <f>IF(C2370="","","Collection 收款 (Online 网上)"&amp;IF('Daily Sale entry '!Y870="",""," - "&amp;'Daily Sale entry '!Y870))</f>
        <v/>
      </c>
      <c r="H2370">
        <f>IF(C2370="","",COUNTIFS($C$2:$C$3001,C2370,$F$2:$F$3001,"&lt;"&amp;F2370)+1)</f>
        <v/>
      </c>
      <c r="I2370">
        <f>IF(C2370="","",C2370&amp;"|"&amp;H2370)</f>
        <v/>
      </c>
      <c r="J2370" s="6">
        <f>IF(C2370="","",IF(H2370=1,SUMIFS('Opening Balance'!$F$4:$F$303,'Opening Balance'!$G$4:$G$303,C2370),INDEX($L$2:$L$3001,MATCH(C2370&amp;"|"&amp;(H2370-1),$I$2:$I$3001,0))))</f>
        <v/>
      </c>
      <c r="K2370" s="6">
        <f>IF(C2370="","",IF(M2370&gt;0,M2370,IF(AND(E2370&gt;0,ROUND(J2370+D2370-E2370,2)&gt;0,ROUND(J2370+D2370-E2370,2)&lt;'Opening Balance'!$B$14),ROUND(J2370+D2370-E2370,2),0)))</f>
        <v/>
      </c>
      <c r="L2370" s="6">
        <f>IF(C2370="","",ROUND(J2370+D2370-E2370-K2370,2))</f>
        <v/>
      </c>
      <c r="M2370" s="6">
        <f>IF(C2370="","",0)</f>
        <v/>
      </c>
    </row>
    <row r="2371">
      <c r="A2371" t="inlineStr">
        <is>
          <t>Bank 银行</t>
        </is>
      </c>
      <c r="B2371" s="5">
        <f>IF(AND('Daily Sale entry '!Z871="Online collection 网上收款",'Daily Sale entry '!AA871&lt;&gt;""),'Daily Sale entry '!X871,"")</f>
        <v/>
      </c>
      <c r="C2371">
        <f>IF(B2371="","",'Daily Sale entry '!AA871)</f>
        <v/>
      </c>
      <c r="D2371">
        <f>IF(C2371="","",0)</f>
        <v/>
      </c>
      <c r="E2371">
        <f>IF(C2371="","",'Daily Sale entry '!AC871)</f>
        <v/>
      </c>
      <c r="F2371" s="37">
        <f>IF(C2371="","",B2371+IF(E2371&gt;0,0,0.5)+ROW()/10000000)</f>
        <v/>
      </c>
      <c r="G2371">
        <f>IF(C2371="","","Collection 收款 (Online 网上)"&amp;IF('Daily Sale entry '!Y871="",""," - "&amp;'Daily Sale entry '!Y871))</f>
        <v/>
      </c>
      <c r="H2371">
        <f>IF(C2371="","",COUNTIFS($C$2:$C$3001,C2371,$F$2:$F$3001,"&lt;"&amp;F2371)+1)</f>
        <v/>
      </c>
      <c r="I2371">
        <f>IF(C2371="","",C2371&amp;"|"&amp;H2371)</f>
        <v/>
      </c>
      <c r="J2371" s="6">
        <f>IF(C2371="","",IF(H2371=1,SUMIFS('Opening Balance'!$F$4:$F$303,'Opening Balance'!$G$4:$G$303,C2371),INDEX($L$2:$L$3001,MATCH(C2371&amp;"|"&amp;(H2371-1),$I$2:$I$3001,0))))</f>
        <v/>
      </c>
      <c r="K2371" s="6">
        <f>IF(C2371="","",IF(M2371&gt;0,M2371,IF(AND(E2371&gt;0,ROUND(J2371+D2371-E2371,2)&gt;0,ROUND(J2371+D2371-E2371,2)&lt;'Opening Balance'!$B$14),ROUND(J2371+D2371-E2371,2),0)))</f>
        <v/>
      </c>
      <c r="L2371" s="6">
        <f>IF(C2371="","",ROUND(J2371+D2371-E2371-K2371,2))</f>
        <v/>
      </c>
      <c r="M2371" s="6">
        <f>IF(C2371="","",0)</f>
        <v/>
      </c>
    </row>
    <row r="2372">
      <c r="A2372" t="inlineStr">
        <is>
          <t>Bank 银行</t>
        </is>
      </c>
      <c r="B2372" s="5">
        <f>IF(AND('Daily Sale entry '!Z872="Online collection 网上收款",'Daily Sale entry '!AA872&lt;&gt;""),'Daily Sale entry '!X872,"")</f>
        <v/>
      </c>
      <c r="C2372">
        <f>IF(B2372="","",'Daily Sale entry '!AA872)</f>
        <v/>
      </c>
      <c r="D2372">
        <f>IF(C2372="","",0)</f>
        <v/>
      </c>
      <c r="E2372">
        <f>IF(C2372="","",'Daily Sale entry '!AC872)</f>
        <v/>
      </c>
      <c r="F2372" s="37">
        <f>IF(C2372="","",B2372+IF(E2372&gt;0,0,0.5)+ROW()/10000000)</f>
        <v/>
      </c>
      <c r="G2372">
        <f>IF(C2372="","","Collection 收款 (Online 网上)"&amp;IF('Daily Sale entry '!Y872="",""," - "&amp;'Daily Sale entry '!Y872))</f>
        <v/>
      </c>
      <c r="H2372">
        <f>IF(C2372="","",COUNTIFS($C$2:$C$3001,C2372,$F$2:$F$3001,"&lt;"&amp;F2372)+1)</f>
        <v/>
      </c>
      <c r="I2372">
        <f>IF(C2372="","",C2372&amp;"|"&amp;H2372)</f>
        <v/>
      </c>
      <c r="J2372" s="6">
        <f>IF(C2372="","",IF(H2372=1,SUMIFS('Opening Balance'!$F$4:$F$303,'Opening Balance'!$G$4:$G$303,C2372),INDEX($L$2:$L$3001,MATCH(C2372&amp;"|"&amp;(H2372-1),$I$2:$I$3001,0))))</f>
        <v/>
      </c>
      <c r="K2372" s="6">
        <f>IF(C2372="","",IF(M2372&gt;0,M2372,IF(AND(E2372&gt;0,ROUND(J2372+D2372-E2372,2)&gt;0,ROUND(J2372+D2372-E2372,2)&lt;'Opening Balance'!$B$14),ROUND(J2372+D2372-E2372,2),0)))</f>
        <v/>
      </c>
      <c r="L2372" s="6">
        <f>IF(C2372="","",ROUND(J2372+D2372-E2372-K2372,2))</f>
        <v/>
      </c>
      <c r="M2372" s="6">
        <f>IF(C2372="","",0)</f>
        <v/>
      </c>
    </row>
    <row r="2373">
      <c r="A2373" t="inlineStr">
        <is>
          <t>Bank 银行</t>
        </is>
      </c>
      <c r="B2373" s="5">
        <f>IF(AND('Daily Sale entry '!Z873="Online collection 网上收款",'Daily Sale entry '!AA873&lt;&gt;""),'Daily Sale entry '!X873,"")</f>
        <v/>
      </c>
      <c r="C2373">
        <f>IF(B2373="","",'Daily Sale entry '!AA873)</f>
        <v/>
      </c>
      <c r="D2373">
        <f>IF(C2373="","",0)</f>
        <v/>
      </c>
      <c r="E2373">
        <f>IF(C2373="","",'Daily Sale entry '!AC873)</f>
        <v/>
      </c>
      <c r="F2373" s="37">
        <f>IF(C2373="","",B2373+IF(E2373&gt;0,0,0.5)+ROW()/10000000)</f>
        <v/>
      </c>
      <c r="G2373">
        <f>IF(C2373="","","Collection 收款 (Online 网上)"&amp;IF('Daily Sale entry '!Y873="",""," - "&amp;'Daily Sale entry '!Y873))</f>
        <v/>
      </c>
      <c r="H2373">
        <f>IF(C2373="","",COUNTIFS($C$2:$C$3001,C2373,$F$2:$F$3001,"&lt;"&amp;F2373)+1)</f>
        <v/>
      </c>
      <c r="I2373">
        <f>IF(C2373="","",C2373&amp;"|"&amp;H2373)</f>
        <v/>
      </c>
      <c r="J2373" s="6">
        <f>IF(C2373="","",IF(H2373=1,SUMIFS('Opening Balance'!$F$4:$F$303,'Opening Balance'!$G$4:$G$303,C2373),INDEX($L$2:$L$3001,MATCH(C2373&amp;"|"&amp;(H2373-1),$I$2:$I$3001,0))))</f>
        <v/>
      </c>
      <c r="K2373" s="6">
        <f>IF(C2373="","",IF(M2373&gt;0,M2373,IF(AND(E2373&gt;0,ROUND(J2373+D2373-E2373,2)&gt;0,ROUND(J2373+D2373-E2373,2)&lt;'Opening Balance'!$B$14),ROUND(J2373+D2373-E2373,2),0)))</f>
        <v/>
      </c>
      <c r="L2373" s="6">
        <f>IF(C2373="","",ROUND(J2373+D2373-E2373-K2373,2))</f>
        <v/>
      </c>
      <c r="M2373" s="6">
        <f>IF(C2373="","",0)</f>
        <v/>
      </c>
    </row>
    <row r="2374">
      <c r="A2374" t="inlineStr">
        <is>
          <t>Bank 银行</t>
        </is>
      </c>
      <c r="B2374" s="5">
        <f>IF(AND('Daily Sale entry '!Z874="Online collection 网上收款",'Daily Sale entry '!AA874&lt;&gt;""),'Daily Sale entry '!X874,"")</f>
        <v/>
      </c>
      <c r="C2374">
        <f>IF(B2374="","",'Daily Sale entry '!AA874)</f>
        <v/>
      </c>
      <c r="D2374">
        <f>IF(C2374="","",0)</f>
        <v/>
      </c>
      <c r="E2374">
        <f>IF(C2374="","",'Daily Sale entry '!AC874)</f>
        <v/>
      </c>
      <c r="F2374" s="37">
        <f>IF(C2374="","",B2374+IF(E2374&gt;0,0,0.5)+ROW()/10000000)</f>
        <v/>
      </c>
      <c r="G2374">
        <f>IF(C2374="","","Collection 收款 (Online 网上)"&amp;IF('Daily Sale entry '!Y874="",""," - "&amp;'Daily Sale entry '!Y874))</f>
        <v/>
      </c>
      <c r="H2374">
        <f>IF(C2374="","",COUNTIFS($C$2:$C$3001,C2374,$F$2:$F$3001,"&lt;"&amp;F2374)+1)</f>
        <v/>
      </c>
      <c r="I2374">
        <f>IF(C2374="","",C2374&amp;"|"&amp;H2374)</f>
        <v/>
      </c>
      <c r="J2374" s="6">
        <f>IF(C2374="","",IF(H2374=1,SUMIFS('Opening Balance'!$F$4:$F$303,'Opening Balance'!$G$4:$G$303,C2374),INDEX($L$2:$L$3001,MATCH(C2374&amp;"|"&amp;(H2374-1),$I$2:$I$3001,0))))</f>
        <v/>
      </c>
      <c r="K2374" s="6">
        <f>IF(C2374="","",IF(M2374&gt;0,M2374,IF(AND(E2374&gt;0,ROUND(J2374+D2374-E2374,2)&gt;0,ROUND(J2374+D2374-E2374,2)&lt;'Opening Balance'!$B$14),ROUND(J2374+D2374-E2374,2),0)))</f>
        <v/>
      </c>
      <c r="L2374" s="6">
        <f>IF(C2374="","",ROUND(J2374+D2374-E2374-K2374,2))</f>
        <v/>
      </c>
      <c r="M2374" s="6">
        <f>IF(C2374="","",0)</f>
        <v/>
      </c>
    </row>
    <row r="2375">
      <c r="A2375" t="inlineStr">
        <is>
          <t>Bank 银行</t>
        </is>
      </c>
      <c r="B2375" s="5">
        <f>IF(AND('Daily Sale entry '!Z875="Online collection 网上收款",'Daily Sale entry '!AA875&lt;&gt;""),'Daily Sale entry '!X875,"")</f>
        <v/>
      </c>
      <c r="C2375">
        <f>IF(B2375="","",'Daily Sale entry '!AA875)</f>
        <v/>
      </c>
      <c r="D2375">
        <f>IF(C2375="","",0)</f>
        <v/>
      </c>
      <c r="E2375">
        <f>IF(C2375="","",'Daily Sale entry '!AC875)</f>
        <v/>
      </c>
      <c r="F2375" s="37">
        <f>IF(C2375="","",B2375+IF(E2375&gt;0,0,0.5)+ROW()/10000000)</f>
        <v/>
      </c>
      <c r="G2375">
        <f>IF(C2375="","","Collection 收款 (Online 网上)"&amp;IF('Daily Sale entry '!Y875="",""," - "&amp;'Daily Sale entry '!Y875))</f>
        <v/>
      </c>
      <c r="H2375">
        <f>IF(C2375="","",COUNTIFS($C$2:$C$3001,C2375,$F$2:$F$3001,"&lt;"&amp;F2375)+1)</f>
        <v/>
      </c>
      <c r="I2375">
        <f>IF(C2375="","",C2375&amp;"|"&amp;H2375)</f>
        <v/>
      </c>
      <c r="J2375" s="6">
        <f>IF(C2375="","",IF(H2375=1,SUMIFS('Opening Balance'!$F$4:$F$303,'Opening Balance'!$G$4:$G$303,C2375),INDEX($L$2:$L$3001,MATCH(C2375&amp;"|"&amp;(H2375-1),$I$2:$I$3001,0))))</f>
        <v/>
      </c>
      <c r="K2375" s="6">
        <f>IF(C2375="","",IF(M2375&gt;0,M2375,IF(AND(E2375&gt;0,ROUND(J2375+D2375-E2375,2)&gt;0,ROUND(J2375+D2375-E2375,2)&lt;'Opening Balance'!$B$14),ROUND(J2375+D2375-E2375,2),0)))</f>
        <v/>
      </c>
      <c r="L2375" s="6">
        <f>IF(C2375="","",ROUND(J2375+D2375-E2375-K2375,2))</f>
        <v/>
      </c>
      <c r="M2375" s="6">
        <f>IF(C2375="","",0)</f>
        <v/>
      </c>
    </row>
    <row r="2376">
      <c r="A2376" t="inlineStr">
        <is>
          <t>Bank 银行</t>
        </is>
      </c>
      <c r="B2376" s="5">
        <f>IF(AND('Daily Sale entry '!Z876="Online collection 网上收款",'Daily Sale entry '!AA876&lt;&gt;""),'Daily Sale entry '!X876,"")</f>
        <v/>
      </c>
      <c r="C2376">
        <f>IF(B2376="","",'Daily Sale entry '!AA876)</f>
        <v/>
      </c>
      <c r="D2376">
        <f>IF(C2376="","",0)</f>
        <v/>
      </c>
      <c r="E2376">
        <f>IF(C2376="","",'Daily Sale entry '!AC876)</f>
        <v/>
      </c>
      <c r="F2376" s="37">
        <f>IF(C2376="","",B2376+IF(E2376&gt;0,0,0.5)+ROW()/10000000)</f>
        <v/>
      </c>
      <c r="G2376">
        <f>IF(C2376="","","Collection 收款 (Online 网上)"&amp;IF('Daily Sale entry '!Y876="",""," - "&amp;'Daily Sale entry '!Y876))</f>
        <v/>
      </c>
      <c r="H2376">
        <f>IF(C2376="","",COUNTIFS($C$2:$C$3001,C2376,$F$2:$F$3001,"&lt;"&amp;F2376)+1)</f>
        <v/>
      </c>
      <c r="I2376">
        <f>IF(C2376="","",C2376&amp;"|"&amp;H2376)</f>
        <v/>
      </c>
      <c r="J2376" s="6">
        <f>IF(C2376="","",IF(H2376=1,SUMIFS('Opening Balance'!$F$4:$F$303,'Opening Balance'!$G$4:$G$303,C2376),INDEX($L$2:$L$3001,MATCH(C2376&amp;"|"&amp;(H2376-1),$I$2:$I$3001,0))))</f>
        <v/>
      </c>
      <c r="K2376" s="6">
        <f>IF(C2376="","",IF(M2376&gt;0,M2376,IF(AND(E2376&gt;0,ROUND(J2376+D2376-E2376,2)&gt;0,ROUND(J2376+D2376-E2376,2)&lt;'Opening Balance'!$B$14),ROUND(J2376+D2376-E2376,2),0)))</f>
        <v/>
      </c>
      <c r="L2376" s="6">
        <f>IF(C2376="","",ROUND(J2376+D2376-E2376-K2376,2))</f>
        <v/>
      </c>
      <c r="M2376" s="6">
        <f>IF(C2376="","",0)</f>
        <v/>
      </c>
    </row>
    <row r="2377">
      <c r="A2377" t="inlineStr">
        <is>
          <t>Bank 银行</t>
        </is>
      </c>
      <c r="B2377" s="5">
        <f>IF(AND('Daily Sale entry '!Z877="Online collection 网上收款",'Daily Sale entry '!AA877&lt;&gt;""),'Daily Sale entry '!X877,"")</f>
        <v/>
      </c>
      <c r="C2377">
        <f>IF(B2377="","",'Daily Sale entry '!AA877)</f>
        <v/>
      </c>
      <c r="D2377">
        <f>IF(C2377="","",0)</f>
        <v/>
      </c>
      <c r="E2377">
        <f>IF(C2377="","",'Daily Sale entry '!AC877)</f>
        <v/>
      </c>
      <c r="F2377" s="37">
        <f>IF(C2377="","",B2377+IF(E2377&gt;0,0,0.5)+ROW()/10000000)</f>
        <v/>
      </c>
      <c r="G2377">
        <f>IF(C2377="","","Collection 收款 (Online 网上)"&amp;IF('Daily Sale entry '!Y877="",""," - "&amp;'Daily Sale entry '!Y877))</f>
        <v/>
      </c>
      <c r="H2377">
        <f>IF(C2377="","",COUNTIFS($C$2:$C$3001,C2377,$F$2:$F$3001,"&lt;"&amp;F2377)+1)</f>
        <v/>
      </c>
      <c r="I2377">
        <f>IF(C2377="","",C2377&amp;"|"&amp;H2377)</f>
        <v/>
      </c>
      <c r="J2377" s="6">
        <f>IF(C2377="","",IF(H2377=1,SUMIFS('Opening Balance'!$F$4:$F$303,'Opening Balance'!$G$4:$G$303,C2377),INDEX($L$2:$L$3001,MATCH(C2377&amp;"|"&amp;(H2377-1),$I$2:$I$3001,0))))</f>
        <v/>
      </c>
      <c r="K2377" s="6">
        <f>IF(C2377="","",IF(M2377&gt;0,M2377,IF(AND(E2377&gt;0,ROUND(J2377+D2377-E2377,2)&gt;0,ROUND(J2377+D2377-E2377,2)&lt;'Opening Balance'!$B$14),ROUND(J2377+D2377-E2377,2),0)))</f>
        <v/>
      </c>
      <c r="L2377" s="6">
        <f>IF(C2377="","",ROUND(J2377+D2377-E2377-K2377,2))</f>
        <v/>
      </c>
      <c r="M2377" s="6">
        <f>IF(C2377="","",0)</f>
        <v/>
      </c>
    </row>
    <row r="2378">
      <c r="A2378" t="inlineStr">
        <is>
          <t>Bank 银行</t>
        </is>
      </c>
      <c r="B2378" s="5">
        <f>IF(AND('Daily Sale entry '!Z878="Online collection 网上收款",'Daily Sale entry '!AA878&lt;&gt;""),'Daily Sale entry '!X878,"")</f>
        <v/>
      </c>
      <c r="C2378">
        <f>IF(B2378="","",'Daily Sale entry '!AA878)</f>
        <v/>
      </c>
      <c r="D2378">
        <f>IF(C2378="","",0)</f>
        <v/>
      </c>
      <c r="E2378">
        <f>IF(C2378="","",'Daily Sale entry '!AC878)</f>
        <v/>
      </c>
      <c r="F2378" s="37">
        <f>IF(C2378="","",B2378+IF(E2378&gt;0,0,0.5)+ROW()/10000000)</f>
        <v/>
      </c>
      <c r="G2378">
        <f>IF(C2378="","","Collection 收款 (Online 网上)"&amp;IF('Daily Sale entry '!Y878="",""," - "&amp;'Daily Sale entry '!Y878))</f>
        <v/>
      </c>
      <c r="H2378">
        <f>IF(C2378="","",COUNTIFS($C$2:$C$3001,C2378,$F$2:$F$3001,"&lt;"&amp;F2378)+1)</f>
        <v/>
      </c>
      <c r="I2378">
        <f>IF(C2378="","",C2378&amp;"|"&amp;H2378)</f>
        <v/>
      </c>
      <c r="J2378" s="6">
        <f>IF(C2378="","",IF(H2378=1,SUMIFS('Opening Balance'!$F$4:$F$303,'Opening Balance'!$G$4:$G$303,C2378),INDEX($L$2:$L$3001,MATCH(C2378&amp;"|"&amp;(H2378-1),$I$2:$I$3001,0))))</f>
        <v/>
      </c>
      <c r="K2378" s="6">
        <f>IF(C2378="","",IF(M2378&gt;0,M2378,IF(AND(E2378&gt;0,ROUND(J2378+D2378-E2378,2)&gt;0,ROUND(J2378+D2378-E2378,2)&lt;'Opening Balance'!$B$14),ROUND(J2378+D2378-E2378,2),0)))</f>
        <v/>
      </c>
      <c r="L2378" s="6">
        <f>IF(C2378="","",ROUND(J2378+D2378-E2378-K2378,2))</f>
        <v/>
      </c>
      <c r="M2378" s="6">
        <f>IF(C2378="","",0)</f>
        <v/>
      </c>
    </row>
    <row r="2379">
      <c r="A2379" t="inlineStr">
        <is>
          <t>Bank 银行</t>
        </is>
      </c>
      <c r="B2379" s="5">
        <f>IF(AND('Daily Sale entry '!Z879="Online collection 网上收款",'Daily Sale entry '!AA879&lt;&gt;""),'Daily Sale entry '!X879,"")</f>
        <v/>
      </c>
      <c r="C2379">
        <f>IF(B2379="","",'Daily Sale entry '!AA879)</f>
        <v/>
      </c>
      <c r="D2379">
        <f>IF(C2379="","",0)</f>
        <v/>
      </c>
      <c r="E2379">
        <f>IF(C2379="","",'Daily Sale entry '!AC879)</f>
        <v/>
      </c>
      <c r="F2379" s="37">
        <f>IF(C2379="","",B2379+IF(E2379&gt;0,0,0.5)+ROW()/10000000)</f>
        <v/>
      </c>
      <c r="G2379">
        <f>IF(C2379="","","Collection 收款 (Online 网上)"&amp;IF('Daily Sale entry '!Y879="",""," - "&amp;'Daily Sale entry '!Y879))</f>
        <v/>
      </c>
      <c r="H2379">
        <f>IF(C2379="","",COUNTIFS($C$2:$C$3001,C2379,$F$2:$F$3001,"&lt;"&amp;F2379)+1)</f>
        <v/>
      </c>
      <c r="I2379">
        <f>IF(C2379="","",C2379&amp;"|"&amp;H2379)</f>
        <v/>
      </c>
      <c r="J2379" s="6">
        <f>IF(C2379="","",IF(H2379=1,SUMIFS('Opening Balance'!$F$4:$F$303,'Opening Balance'!$G$4:$G$303,C2379),INDEX($L$2:$L$3001,MATCH(C2379&amp;"|"&amp;(H2379-1),$I$2:$I$3001,0))))</f>
        <v/>
      </c>
      <c r="K2379" s="6">
        <f>IF(C2379="","",IF(M2379&gt;0,M2379,IF(AND(E2379&gt;0,ROUND(J2379+D2379-E2379,2)&gt;0,ROUND(J2379+D2379-E2379,2)&lt;'Opening Balance'!$B$14),ROUND(J2379+D2379-E2379,2),0)))</f>
        <v/>
      </c>
      <c r="L2379" s="6">
        <f>IF(C2379="","",ROUND(J2379+D2379-E2379-K2379,2))</f>
        <v/>
      </c>
      <c r="M2379" s="6">
        <f>IF(C2379="","",0)</f>
        <v/>
      </c>
    </row>
    <row r="2380">
      <c r="A2380" t="inlineStr">
        <is>
          <t>Bank 银行</t>
        </is>
      </c>
      <c r="B2380" s="5">
        <f>IF(AND('Daily Sale entry '!Z880="Online collection 网上收款",'Daily Sale entry '!AA880&lt;&gt;""),'Daily Sale entry '!X880,"")</f>
        <v/>
      </c>
      <c r="C2380">
        <f>IF(B2380="","",'Daily Sale entry '!AA880)</f>
        <v/>
      </c>
      <c r="D2380">
        <f>IF(C2380="","",0)</f>
        <v/>
      </c>
      <c r="E2380">
        <f>IF(C2380="","",'Daily Sale entry '!AC880)</f>
        <v/>
      </c>
      <c r="F2380" s="37">
        <f>IF(C2380="","",B2380+IF(E2380&gt;0,0,0.5)+ROW()/10000000)</f>
        <v/>
      </c>
      <c r="G2380">
        <f>IF(C2380="","","Collection 收款 (Online 网上)"&amp;IF('Daily Sale entry '!Y880="",""," - "&amp;'Daily Sale entry '!Y880))</f>
        <v/>
      </c>
      <c r="H2380">
        <f>IF(C2380="","",COUNTIFS($C$2:$C$3001,C2380,$F$2:$F$3001,"&lt;"&amp;F2380)+1)</f>
        <v/>
      </c>
      <c r="I2380">
        <f>IF(C2380="","",C2380&amp;"|"&amp;H2380)</f>
        <v/>
      </c>
      <c r="J2380" s="6">
        <f>IF(C2380="","",IF(H2380=1,SUMIFS('Opening Balance'!$F$4:$F$303,'Opening Balance'!$G$4:$G$303,C2380),INDEX($L$2:$L$3001,MATCH(C2380&amp;"|"&amp;(H2380-1),$I$2:$I$3001,0))))</f>
        <v/>
      </c>
      <c r="K2380" s="6">
        <f>IF(C2380="","",IF(M2380&gt;0,M2380,IF(AND(E2380&gt;0,ROUND(J2380+D2380-E2380,2)&gt;0,ROUND(J2380+D2380-E2380,2)&lt;'Opening Balance'!$B$14),ROUND(J2380+D2380-E2380,2),0)))</f>
        <v/>
      </c>
      <c r="L2380" s="6">
        <f>IF(C2380="","",ROUND(J2380+D2380-E2380-K2380,2))</f>
        <v/>
      </c>
      <c r="M2380" s="6">
        <f>IF(C2380="","",0)</f>
        <v/>
      </c>
    </row>
    <row r="2381">
      <c r="A2381" t="inlineStr">
        <is>
          <t>Bank 银行</t>
        </is>
      </c>
      <c r="B2381" s="5">
        <f>IF(AND('Daily Sale entry '!Z881="Online collection 网上收款",'Daily Sale entry '!AA881&lt;&gt;""),'Daily Sale entry '!X881,"")</f>
        <v/>
      </c>
      <c r="C2381">
        <f>IF(B2381="","",'Daily Sale entry '!AA881)</f>
        <v/>
      </c>
      <c r="D2381">
        <f>IF(C2381="","",0)</f>
        <v/>
      </c>
      <c r="E2381">
        <f>IF(C2381="","",'Daily Sale entry '!AC881)</f>
        <v/>
      </c>
      <c r="F2381" s="37">
        <f>IF(C2381="","",B2381+IF(E2381&gt;0,0,0.5)+ROW()/10000000)</f>
        <v/>
      </c>
      <c r="G2381">
        <f>IF(C2381="","","Collection 收款 (Online 网上)"&amp;IF('Daily Sale entry '!Y881="",""," - "&amp;'Daily Sale entry '!Y881))</f>
        <v/>
      </c>
      <c r="H2381">
        <f>IF(C2381="","",COUNTIFS($C$2:$C$3001,C2381,$F$2:$F$3001,"&lt;"&amp;F2381)+1)</f>
        <v/>
      </c>
      <c r="I2381">
        <f>IF(C2381="","",C2381&amp;"|"&amp;H2381)</f>
        <v/>
      </c>
      <c r="J2381" s="6">
        <f>IF(C2381="","",IF(H2381=1,SUMIFS('Opening Balance'!$F$4:$F$303,'Opening Balance'!$G$4:$G$303,C2381),INDEX($L$2:$L$3001,MATCH(C2381&amp;"|"&amp;(H2381-1),$I$2:$I$3001,0))))</f>
        <v/>
      </c>
      <c r="K2381" s="6">
        <f>IF(C2381="","",IF(M2381&gt;0,M2381,IF(AND(E2381&gt;0,ROUND(J2381+D2381-E2381,2)&gt;0,ROUND(J2381+D2381-E2381,2)&lt;'Opening Balance'!$B$14),ROUND(J2381+D2381-E2381,2),0)))</f>
        <v/>
      </c>
      <c r="L2381" s="6">
        <f>IF(C2381="","",ROUND(J2381+D2381-E2381-K2381,2))</f>
        <v/>
      </c>
      <c r="M2381" s="6">
        <f>IF(C2381="","",0)</f>
        <v/>
      </c>
    </row>
    <row r="2382">
      <c r="A2382" t="inlineStr">
        <is>
          <t>Bank 银行</t>
        </is>
      </c>
      <c r="B2382" s="5">
        <f>IF(AND('Daily Sale entry '!Z882="Online collection 网上收款",'Daily Sale entry '!AA882&lt;&gt;""),'Daily Sale entry '!X882,"")</f>
        <v/>
      </c>
      <c r="C2382">
        <f>IF(B2382="","",'Daily Sale entry '!AA882)</f>
        <v/>
      </c>
      <c r="D2382">
        <f>IF(C2382="","",0)</f>
        <v/>
      </c>
      <c r="E2382">
        <f>IF(C2382="","",'Daily Sale entry '!AC882)</f>
        <v/>
      </c>
      <c r="F2382" s="37">
        <f>IF(C2382="","",B2382+IF(E2382&gt;0,0,0.5)+ROW()/10000000)</f>
        <v/>
      </c>
      <c r="G2382">
        <f>IF(C2382="","","Collection 收款 (Online 网上)"&amp;IF('Daily Sale entry '!Y882="",""," - "&amp;'Daily Sale entry '!Y882))</f>
        <v/>
      </c>
      <c r="H2382">
        <f>IF(C2382="","",COUNTIFS($C$2:$C$3001,C2382,$F$2:$F$3001,"&lt;"&amp;F2382)+1)</f>
        <v/>
      </c>
      <c r="I2382">
        <f>IF(C2382="","",C2382&amp;"|"&amp;H2382)</f>
        <v/>
      </c>
      <c r="J2382" s="6">
        <f>IF(C2382="","",IF(H2382=1,SUMIFS('Opening Balance'!$F$4:$F$303,'Opening Balance'!$G$4:$G$303,C2382),INDEX($L$2:$L$3001,MATCH(C2382&amp;"|"&amp;(H2382-1),$I$2:$I$3001,0))))</f>
        <v/>
      </c>
      <c r="K2382" s="6">
        <f>IF(C2382="","",IF(M2382&gt;0,M2382,IF(AND(E2382&gt;0,ROUND(J2382+D2382-E2382,2)&gt;0,ROUND(J2382+D2382-E2382,2)&lt;'Opening Balance'!$B$14),ROUND(J2382+D2382-E2382,2),0)))</f>
        <v/>
      </c>
      <c r="L2382" s="6">
        <f>IF(C2382="","",ROUND(J2382+D2382-E2382-K2382,2))</f>
        <v/>
      </c>
      <c r="M2382" s="6">
        <f>IF(C2382="","",0)</f>
        <v/>
      </c>
    </row>
    <row r="2383">
      <c r="A2383" t="inlineStr">
        <is>
          <t>Bank 银行</t>
        </is>
      </c>
      <c r="B2383" s="5">
        <f>IF(AND('Daily Sale entry '!Z883="Online collection 网上收款",'Daily Sale entry '!AA883&lt;&gt;""),'Daily Sale entry '!X883,"")</f>
        <v/>
      </c>
      <c r="C2383">
        <f>IF(B2383="","",'Daily Sale entry '!AA883)</f>
        <v/>
      </c>
      <c r="D2383">
        <f>IF(C2383="","",0)</f>
        <v/>
      </c>
      <c r="E2383">
        <f>IF(C2383="","",'Daily Sale entry '!AC883)</f>
        <v/>
      </c>
      <c r="F2383" s="37">
        <f>IF(C2383="","",B2383+IF(E2383&gt;0,0,0.5)+ROW()/10000000)</f>
        <v/>
      </c>
      <c r="G2383">
        <f>IF(C2383="","","Collection 收款 (Online 网上)"&amp;IF('Daily Sale entry '!Y883="",""," - "&amp;'Daily Sale entry '!Y883))</f>
        <v/>
      </c>
      <c r="H2383">
        <f>IF(C2383="","",COUNTIFS($C$2:$C$3001,C2383,$F$2:$F$3001,"&lt;"&amp;F2383)+1)</f>
        <v/>
      </c>
      <c r="I2383">
        <f>IF(C2383="","",C2383&amp;"|"&amp;H2383)</f>
        <v/>
      </c>
      <c r="J2383" s="6">
        <f>IF(C2383="","",IF(H2383=1,SUMIFS('Opening Balance'!$F$4:$F$303,'Opening Balance'!$G$4:$G$303,C2383),INDEX($L$2:$L$3001,MATCH(C2383&amp;"|"&amp;(H2383-1),$I$2:$I$3001,0))))</f>
        <v/>
      </c>
      <c r="K2383" s="6">
        <f>IF(C2383="","",IF(M2383&gt;0,M2383,IF(AND(E2383&gt;0,ROUND(J2383+D2383-E2383,2)&gt;0,ROUND(J2383+D2383-E2383,2)&lt;'Opening Balance'!$B$14),ROUND(J2383+D2383-E2383,2),0)))</f>
        <v/>
      </c>
      <c r="L2383" s="6">
        <f>IF(C2383="","",ROUND(J2383+D2383-E2383-K2383,2))</f>
        <v/>
      </c>
      <c r="M2383" s="6">
        <f>IF(C2383="","",0)</f>
        <v/>
      </c>
    </row>
    <row r="2384">
      <c r="A2384" t="inlineStr">
        <is>
          <t>Bank 银行</t>
        </is>
      </c>
      <c r="B2384" s="5">
        <f>IF(AND('Daily Sale entry '!Z884="Online collection 网上收款",'Daily Sale entry '!AA884&lt;&gt;""),'Daily Sale entry '!X884,"")</f>
        <v/>
      </c>
      <c r="C2384">
        <f>IF(B2384="","",'Daily Sale entry '!AA884)</f>
        <v/>
      </c>
      <c r="D2384">
        <f>IF(C2384="","",0)</f>
        <v/>
      </c>
      <c r="E2384">
        <f>IF(C2384="","",'Daily Sale entry '!AC884)</f>
        <v/>
      </c>
      <c r="F2384" s="37">
        <f>IF(C2384="","",B2384+IF(E2384&gt;0,0,0.5)+ROW()/10000000)</f>
        <v/>
      </c>
      <c r="G2384">
        <f>IF(C2384="","","Collection 收款 (Online 网上)"&amp;IF('Daily Sale entry '!Y884="",""," - "&amp;'Daily Sale entry '!Y884))</f>
        <v/>
      </c>
      <c r="H2384">
        <f>IF(C2384="","",COUNTIFS($C$2:$C$3001,C2384,$F$2:$F$3001,"&lt;"&amp;F2384)+1)</f>
        <v/>
      </c>
      <c r="I2384">
        <f>IF(C2384="","",C2384&amp;"|"&amp;H2384)</f>
        <v/>
      </c>
      <c r="J2384" s="6">
        <f>IF(C2384="","",IF(H2384=1,SUMIFS('Opening Balance'!$F$4:$F$303,'Opening Balance'!$G$4:$G$303,C2384),INDEX($L$2:$L$3001,MATCH(C2384&amp;"|"&amp;(H2384-1),$I$2:$I$3001,0))))</f>
        <v/>
      </c>
      <c r="K2384" s="6">
        <f>IF(C2384="","",IF(M2384&gt;0,M2384,IF(AND(E2384&gt;0,ROUND(J2384+D2384-E2384,2)&gt;0,ROUND(J2384+D2384-E2384,2)&lt;'Opening Balance'!$B$14),ROUND(J2384+D2384-E2384,2),0)))</f>
        <v/>
      </c>
      <c r="L2384" s="6">
        <f>IF(C2384="","",ROUND(J2384+D2384-E2384-K2384,2))</f>
        <v/>
      </c>
      <c r="M2384" s="6">
        <f>IF(C2384="","",0)</f>
        <v/>
      </c>
    </row>
    <row r="2385">
      <c r="A2385" t="inlineStr">
        <is>
          <t>Bank 银行</t>
        </is>
      </c>
      <c r="B2385" s="5">
        <f>IF(AND('Daily Sale entry '!Z885="Online collection 网上收款",'Daily Sale entry '!AA885&lt;&gt;""),'Daily Sale entry '!X885,"")</f>
        <v/>
      </c>
      <c r="C2385">
        <f>IF(B2385="","",'Daily Sale entry '!AA885)</f>
        <v/>
      </c>
      <c r="D2385">
        <f>IF(C2385="","",0)</f>
        <v/>
      </c>
      <c r="E2385">
        <f>IF(C2385="","",'Daily Sale entry '!AC885)</f>
        <v/>
      </c>
      <c r="F2385" s="37">
        <f>IF(C2385="","",B2385+IF(E2385&gt;0,0,0.5)+ROW()/10000000)</f>
        <v/>
      </c>
      <c r="G2385">
        <f>IF(C2385="","","Collection 收款 (Online 网上)"&amp;IF('Daily Sale entry '!Y885="",""," - "&amp;'Daily Sale entry '!Y885))</f>
        <v/>
      </c>
      <c r="H2385">
        <f>IF(C2385="","",COUNTIFS($C$2:$C$3001,C2385,$F$2:$F$3001,"&lt;"&amp;F2385)+1)</f>
        <v/>
      </c>
      <c r="I2385">
        <f>IF(C2385="","",C2385&amp;"|"&amp;H2385)</f>
        <v/>
      </c>
      <c r="J2385" s="6">
        <f>IF(C2385="","",IF(H2385=1,SUMIFS('Opening Balance'!$F$4:$F$303,'Opening Balance'!$G$4:$G$303,C2385),INDEX($L$2:$L$3001,MATCH(C2385&amp;"|"&amp;(H2385-1),$I$2:$I$3001,0))))</f>
        <v/>
      </c>
      <c r="K2385" s="6">
        <f>IF(C2385="","",IF(M2385&gt;0,M2385,IF(AND(E2385&gt;0,ROUND(J2385+D2385-E2385,2)&gt;0,ROUND(J2385+D2385-E2385,2)&lt;'Opening Balance'!$B$14),ROUND(J2385+D2385-E2385,2),0)))</f>
        <v/>
      </c>
      <c r="L2385" s="6">
        <f>IF(C2385="","",ROUND(J2385+D2385-E2385-K2385,2))</f>
        <v/>
      </c>
      <c r="M2385" s="6">
        <f>IF(C2385="","",0)</f>
        <v/>
      </c>
    </row>
    <row r="2386">
      <c r="A2386" t="inlineStr">
        <is>
          <t>Bank 银行</t>
        </is>
      </c>
      <c r="B2386" s="5">
        <f>IF(AND('Daily Sale entry '!Z886="Online collection 网上收款",'Daily Sale entry '!AA886&lt;&gt;""),'Daily Sale entry '!X886,"")</f>
        <v/>
      </c>
      <c r="C2386">
        <f>IF(B2386="","",'Daily Sale entry '!AA886)</f>
        <v/>
      </c>
      <c r="D2386">
        <f>IF(C2386="","",0)</f>
        <v/>
      </c>
      <c r="E2386">
        <f>IF(C2386="","",'Daily Sale entry '!AC886)</f>
        <v/>
      </c>
      <c r="F2386" s="37">
        <f>IF(C2386="","",B2386+IF(E2386&gt;0,0,0.5)+ROW()/10000000)</f>
        <v/>
      </c>
      <c r="G2386">
        <f>IF(C2386="","","Collection 收款 (Online 网上)"&amp;IF('Daily Sale entry '!Y886="",""," - "&amp;'Daily Sale entry '!Y886))</f>
        <v/>
      </c>
      <c r="H2386">
        <f>IF(C2386="","",COUNTIFS($C$2:$C$3001,C2386,$F$2:$F$3001,"&lt;"&amp;F2386)+1)</f>
        <v/>
      </c>
      <c r="I2386">
        <f>IF(C2386="","",C2386&amp;"|"&amp;H2386)</f>
        <v/>
      </c>
      <c r="J2386" s="6">
        <f>IF(C2386="","",IF(H2386=1,SUMIFS('Opening Balance'!$F$4:$F$303,'Opening Balance'!$G$4:$G$303,C2386),INDEX($L$2:$L$3001,MATCH(C2386&amp;"|"&amp;(H2386-1),$I$2:$I$3001,0))))</f>
        <v/>
      </c>
      <c r="K2386" s="6">
        <f>IF(C2386="","",IF(M2386&gt;0,M2386,IF(AND(E2386&gt;0,ROUND(J2386+D2386-E2386,2)&gt;0,ROUND(J2386+D2386-E2386,2)&lt;'Opening Balance'!$B$14),ROUND(J2386+D2386-E2386,2),0)))</f>
        <v/>
      </c>
      <c r="L2386" s="6">
        <f>IF(C2386="","",ROUND(J2386+D2386-E2386-K2386,2))</f>
        <v/>
      </c>
      <c r="M2386" s="6">
        <f>IF(C2386="","",0)</f>
        <v/>
      </c>
    </row>
    <row r="2387">
      <c r="A2387" t="inlineStr">
        <is>
          <t>Bank 银行</t>
        </is>
      </c>
      <c r="B2387" s="5">
        <f>IF(AND('Daily Sale entry '!Z887="Online collection 网上收款",'Daily Sale entry '!AA887&lt;&gt;""),'Daily Sale entry '!X887,"")</f>
        <v/>
      </c>
      <c r="C2387">
        <f>IF(B2387="","",'Daily Sale entry '!AA887)</f>
        <v/>
      </c>
      <c r="D2387">
        <f>IF(C2387="","",0)</f>
        <v/>
      </c>
      <c r="E2387">
        <f>IF(C2387="","",'Daily Sale entry '!AC887)</f>
        <v/>
      </c>
      <c r="F2387" s="37">
        <f>IF(C2387="","",B2387+IF(E2387&gt;0,0,0.5)+ROW()/10000000)</f>
        <v/>
      </c>
      <c r="G2387">
        <f>IF(C2387="","","Collection 收款 (Online 网上)"&amp;IF('Daily Sale entry '!Y887="",""," - "&amp;'Daily Sale entry '!Y887))</f>
        <v/>
      </c>
      <c r="H2387">
        <f>IF(C2387="","",COUNTIFS($C$2:$C$3001,C2387,$F$2:$F$3001,"&lt;"&amp;F2387)+1)</f>
        <v/>
      </c>
      <c r="I2387">
        <f>IF(C2387="","",C2387&amp;"|"&amp;H2387)</f>
        <v/>
      </c>
      <c r="J2387" s="6">
        <f>IF(C2387="","",IF(H2387=1,SUMIFS('Opening Balance'!$F$4:$F$303,'Opening Balance'!$G$4:$G$303,C2387),INDEX($L$2:$L$3001,MATCH(C2387&amp;"|"&amp;(H2387-1),$I$2:$I$3001,0))))</f>
        <v/>
      </c>
      <c r="K2387" s="6">
        <f>IF(C2387="","",IF(M2387&gt;0,M2387,IF(AND(E2387&gt;0,ROUND(J2387+D2387-E2387,2)&gt;0,ROUND(J2387+D2387-E2387,2)&lt;'Opening Balance'!$B$14),ROUND(J2387+D2387-E2387,2),0)))</f>
        <v/>
      </c>
      <c r="L2387" s="6">
        <f>IF(C2387="","",ROUND(J2387+D2387-E2387-K2387,2))</f>
        <v/>
      </c>
      <c r="M2387" s="6">
        <f>IF(C2387="","",0)</f>
        <v/>
      </c>
    </row>
    <row r="2388">
      <c r="A2388" t="inlineStr">
        <is>
          <t>Bank 银行</t>
        </is>
      </c>
      <c r="B2388" s="5">
        <f>IF(AND('Daily Sale entry '!Z888="Online collection 网上收款",'Daily Sale entry '!AA888&lt;&gt;""),'Daily Sale entry '!X888,"")</f>
        <v/>
      </c>
      <c r="C2388">
        <f>IF(B2388="","",'Daily Sale entry '!AA888)</f>
        <v/>
      </c>
      <c r="D2388">
        <f>IF(C2388="","",0)</f>
        <v/>
      </c>
      <c r="E2388">
        <f>IF(C2388="","",'Daily Sale entry '!AC888)</f>
        <v/>
      </c>
      <c r="F2388" s="37">
        <f>IF(C2388="","",B2388+IF(E2388&gt;0,0,0.5)+ROW()/10000000)</f>
        <v/>
      </c>
      <c r="G2388">
        <f>IF(C2388="","","Collection 收款 (Online 网上)"&amp;IF('Daily Sale entry '!Y888="",""," - "&amp;'Daily Sale entry '!Y888))</f>
        <v/>
      </c>
      <c r="H2388">
        <f>IF(C2388="","",COUNTIFS($C$2:$C$3001,C2388,$F$2:$F$3001,"&lt;"&amp;F2388)+1)</f>
        <v/>
      </c>
      <c r="I2388">
        <f>IF(C2388="","",C2388&amp;"|"&amp;H2388)</f>
        <v/>
      </c>
      <c r="J2388" s="6">
        <f>IF(C2388="","",IF(H2388=1,SUMIFS('Opening Balance'!$F$4:$F$303,'Opening Balance'!$G$4:$G$303,C2388),INDEX($L$2:$L$3001,MATCH(C2388&amp;"|"&amp;(H2388-1),$I$2:$I$3001,0))))</f>
        <v/>
      </c>
      <c r="K2388" s="6">
        <f>IF(C2388="","",IF(M2388&gt;0,M2388,IF(AND(E2388&gt;0,ROUND(J2388+D2388-E2388,2)&gt;0,ROUND(J2388+D2388-E2388,2)&lt;'Opening Balance'!$B$14),ROUND(J2388+D2388-E2388,2),0)))</f>
        <v/>
      </c>
      <c r="L2388" s="6">
        <f>IF(C2388="","",ROUND(J2388+D2388-E2388-K2388,2))</f>
        <v/>
      </c>
      <c r="M2388" s="6">
        <f>IF(C2388="","",0)</f>
        <v/>
      </c>
    </row>
    <row r="2389">
      <c r="A2389" t="inlineStr">
        <is>
          <t>Bank 银行</t>
        </is>
      </c>
      <c r="B2389" s="5">
        <f>IF(AND('Daily Sale entry '!Z889="Online collection 网上收款",'Daily Sale entry '!AA889&lt;&gt;""),'Daily Sale entry '!X889,"")</f>
        <v/>
      </c>
      <c r="C2389">
        <f>IF(B2389="","",'Daily Sale entry '!AA889)</f>
        <v/>
      </c>
      <c r="D2389">
        <f>IF(C2389="","",0)</f>
        <v/>
      </c>
      <c r="E2389">
        <f>IF(C2389="","",'Daily Sale entry '!AC889)</f>
        <v/>
      </c>
      <c r="F2389" s="37">
        <f>IF(C2389="","",B2389+IF(E2389&gt;0,0,0.5)+ROW()/10000000)</f>
        <v/>
      </c>
      <c r="G2389">
        <f>IF(C2389="","","Collection 收款 (Online 网上)"&amp;IF('Daily Sale entry '!Y889="",""," - "&amp;'Daily Sale entry '!Y889))</f>
        <v/>
      </c>
      <c r="H2389">
        <f>IF(C2389="","",COUNTIFS($C$2:$C$3001,C2389,$F$2:$F$3001,"&lt;"&amp;F2389)+1)</f>
        <v/>
      </c>
      <c r="I2389">
        <f>IF(C2389="","",C2389&amp;"|"&amp;H2389)</f>
        <v/>
      </c>
      <c r="J2389" s="6">
        <f>IF(C2389="","",IF(H2389=1,SUMIFS('Opening Balance'!$F$4:$F$303,'Opening Balance'!$G$4:$G$303,C2389),INDEX($L$2:$L$3001,MATCH(C2389&amp;"|"&amp;(H2389-1),$I$2:$I$3001,0))))</f>
        <v/>
      </c>
      <c r="K2389" s="6">
        <f>IF(C2389="","",IF(M2389&gt;0,M2389,IF(AND(E2389&gt;0,ROUND(J2389+D2389-E2389,2)&gt;0,ROUND(J2389+D2389-E2389,2)&lt;'Opening Balance'!$B$14),ROUND(J2389+D2389-E2389,2),0)))</f>
        <v/>
      </c>
      <c r="L2389" s="6">
        <f>IF(C2389="","",ROUND(J2389+D2389-E2389-K2389,2))</f>
        <v/>
      </c>
      <c r="M2389" s="6">
        <f>IF(C2389="","",0)</f>
        <v/>
      </c>
    </row>
    <row r="2390">
      <c r="A2390" t="inlineStr">
        <is>
          <t>Bank 银行</t>
        </is>
      </c>
      <c r="B2390" s="5">
        <f>IF(AND('Daily Sale entry '!Z890="Online collection 网上收款",'Daily Sale entry '!AA890&lt;&gt;""),'Daily Sale entry '!X890,"")</f>
        <v/>
      </c>
      <c r="C2390">
        <f>IF(B2390="","",'Daily Sale entry '!AA890)</f>
        <v/>
      </c>
      <c r="D2390">
        <f>IF(C2390="","",0)</f>
        <v/>
      </c>
      <c r="E2390">
        <f>IF(C2390="","",'Daily Sale entry '!AC890)</f>
        <v/>
      </c>
      <c r="F2390" s="37">
        <f>IF(C2390="","",B2390+IF(E2390&gt;0,0,0.5)+ROW()/10000000)</f>
        <v/>
      </c>
      <c r="G2390">
        <f>IF(C2390="","","Collection 收款 (Online 网上)"&amp;IF('Daily Sale entry '!Y890="",""," - "&amp;'Daily Sale entry '!Y890))</f>
        <v/>
      </c>
      <c r="H2390">
        <f>IF(C2390="","",COUNTIFS($C$2:$C$3001,C2390,$F$2:$F$3001,"&lt;"&amp;F2390)+1)</f>
        <v/>
      </c>
      <c r="I2390">
        <f>IF(C2390="","",C2390&amp;"|"&amp;H2390)</f>
        <v/>
      </c>
      <c r="J2390" s="6">
        <f>IF(C2390="","",IF(H2390=1,SUMIFS('Opening Balance'!$F$4:$F$303,'Opening Balance'!$G$4:$G$303,C2390),INDEX($L$2:$L$3001,MATCH(C2390&amp;"|"&amp;(H2390-1),$I$2:$I$3001,0))))</f>
        <v/>
      </c>
      <c r="K2390" s="6">
        <f>IF(C2390="","",IF(M2390&gt;0,M2390,IF(AND(E2390&gt;0,ROUND(J2390+D2390-E2390,2)&gt;0,ROUND(J2390+D2390-E2390,2)&lt;'Opening Balance'!$B$14),ROUND(J2390+D2390-E2390,2),0)))</f>
        <v/>
      </c>
      <c r="L2390" s="6">
        <f>IF(C2390="","",ROUND(J2390+D2390-E2390-K2390,2))</f>
        <v/>
      </c>
      <c r="M2390" s="6">
        <f>IF(C2390="","",0)</f>
        <v/>
      </c>
    </row>
    <row r="2391">
      <c r="A2391" t="inlineStr">
        <is>
          <t>Bank 银行</t>
        </is>
      </c>
      <c r="B2391" s="5">
        <f>IF(AND('Daily Sale entry '!Z891="Online collection 网上收款",'Daily Sale entry '!AA891&lt;&gt;""),'Daily Sale entry '!X891,"")</f>
        <v/>
      </c>
      <c r="C2391">
        <f>IF(B2391="","",'Daily Sale entry '!AA891)</f>
        <v/>
      </c>
      <c r="D2391">
        <f>IF(C2391="","",0)</f>
        <v/>
      </c>
      <c r="E2391">
        <f>IF(C2391="","",'Daily Sale entry '!AC891)</f>
        <v/>
      </c>
      <c r="F2391" s="37">
        <f>IF(C2391="","",B2391+IF(E2391&gt;0,0,0.5)+ROW()/10000000)</f>
        <v/>
      </c>
      <c r="G2391">
        <f>IF(C2391="","","Collection 收款 (Online 网上)"&amp;IF('Daily Sale entry '!Y891="",""," - "&amp;'Daily Sale entry '!Y891))</f>
        <v/>
      </c>
      <c r="H2391">
        <f>IF(C2391="","",COUNTIFS($C$2:$C$3001,C2391,$F$2:$F$3001,"&lt;"&amp;F2391)+1)</f>
        <v/>
      </c>
      <c r="I2391">
        <f>IF(C2391="","",C2391&amp;"|"&amp;H2391)</f>
        <v/>
      </c>
      <c r="J2391" s="6">
        <f>IF(C2391="","",IF(H2391=1,SUMIFS('Opening Balance'!$F$4:$F$303,'Opening Balance'!$G$4:$G$303,C2391),INDEX($L$2:$L$3001,MATCH(C2391&amp;"|"&amp;(H2391-1),$I$2:$I$3001,0))))</f>
        <v/>
      </c>
      <c r="K2391" s="6">
        <f>IF(C2391="","",IF(M2391&gt;0,M2391,IF(AND(E2391&gt;0,ROUND(J2391+D2391-E2391,2)&gt;0,ROUND(J2391+D2391-E2391,2)&lt;'Opening Balance'!$B$14),ROUND(J2391+D2391-E2391,2),0)))</f>
        <v/>
      </c>
      <c r="L2391" s="6">
        <f>IF(C2391="","",ROUND(J2391+D2391-E2391-K2391,2))</f>
        <v/>
      </c>
      <c r="M2391" s="6">
        <f>IF(C2391="","",0)</f>
        <v/>
      </c>
    </row>
    <row r="2392">
      <c r="A2392" t="inlineStr">
        <is>
          <t>Bank 银行</t>
        </is>
      </c>
      <c r="B2392" s="5">
        <f>IF(AND('Daily Sale entry '!Z892="Online collection 网上收款",'Daily Sale entry '!AA892&lt;&gt;""),'Daily Sale entry '!X892,"")</f>
        <v/>
      </c>
      <c r="C2392">
        <f>IF(B2392="","",'Daily Sale entry '!AA892)</f>
        <v/>
      </c>
      <c r="D2392">
        <f>IF(C2392="","",0)</f>
        <v/>
      </c>
      <c r="E2392">
        <f>IF(C2392="","",'Daily Sale entry '!AC892)</f>
        <v/>
      </c>
      <c r="F2392" s="37">
        <f>IF(C2392="","",B2392+IF(E2392&gt;0,0,0.5)+ROW()/10000000)</f>
        <v/>
      </c>
      <c r="G2392">
        <f>IF(C2392="","","Collection 收款 (Online 网上)"&amp;IF('Daily Sale entry '!Y892="",""," - "&amp;'Daily Sale entry '!Y892))</f>
        <v/>
      </c>
      <c r="H2392">
        <f>IF(C2392="","",COUNTIFS($C$2:$C$3001,C2392,$F$2:$F$3001,"&lt;"&amp;F2392)+1)</f>
        <v/>
      </c>
      <c r="I2392">
        <f>IF(C2392="","",C2392&amp;"|"&amp;H2392)</f>
        <v/>
      </c>
      <c r="J2392" s="6">
        <f>IF(C2392="","",IF(H2392=1,SUMIFS('Opening Balance'!$F$4:$F$303,'Opening Balance'!$G$4:$G$303,C2392),INDEX($L$2:$L$3001,MATCH(C2392&amp;"|"&amp;(H2392-1),$I$2:$I$3001,0))))</f>
        <v/>
      </c>
      <c r="K2392" s="6">
        <f>IF(C2392="","",IF(M2392&gt;0,M2392,IF(AND(E2392&gt;0,ROUND(J2392+D2392-E2392,2)&gt;0,ROUND(J2392+D2392-E2392,2)&lt;'Opening Balance'!$B$14),ROUND(J2392+D2392-E2392,2),0)))</f>
        <v/>
      </c>
      <c r="L2392" s="6">
        <f>IF(C2392="","",ROUND(J2392+D2392-E2392-K2392,2))</f>
        <v/>
      </c>
      <c r="M2392" s="6">
        <f>IF(C2392="","",0)</f>
        <v/>
      </c>
    </row>
    <row r="2393">
      <c r="A2393" t="inlineStr">
        <is>
          <t>Bank 银行</t>
        </is>
      </c>
      <c r="B2393" s="5">
        <f>IF(AND('Daily Sale entry '!Z893="Online collection 网上收款",'Daily Sale entry '!AA893&lt;&gt;""),'Daily Sale entry '!X893,"")</f>
        <v/>
      </c>
      <c r="C2393">
        <f>IF(B2393="","",'Daily Sale entry '!AA893)</f>
        <v/>
      </c>
      <c r="D2393">
        <f>IF(C2393="","",0)</f>
        <v/>
      </c>
      <c r="E2393">
        <f>IF(C2393="","",'Daily Sale entry '!AC893)</f>
        <v/>
      </c>
      <c r="F2393" s="37">
        <f>IF(C2393="","",B2393+IF(E2393&gt;0,0,0.5)+ROW()/10000000)</f>
        <v/>
      </c>
      <c r="G2393">
        <f>IF(C2393="","","Collection 收款 (Online 网上)"&amp;IF('Daily Sale entry '!Y893="",""," - "&amp;'Daily Sale entry '!Y893))</f>
        <v/>
      </c>
      <c r="H2393">
        <f>IF(C2393="","",COUNTIFS($C$2:$C$3001,C2393,$F$2:$F$3001,"&lt;"&amp;F2393)+1)</f>
        <v/>
      </c>
      <c r="I2393">
        <f>IF(C2393="","",C2393&amp;"|"&amp;H2393)</f>
        <v/>
      </c>
      <c r="J2393" s="6">
        <f>IF(C2393="","",IF(H2393=1,SUMIFS('Opening Balance'!$F$4:$F$303,'Opening Balance'!$G$4:$G$303,C2393),INDEX($L$2:$L$3001,MATCH(C2393&amp;"|"&amp;(H2393-1),$I$2:$I$3001,0))))</f>
        <v/>
      </c>
      <c r="K2393" s="6">
        <f>IF(C2393="","",IF(M2393&gt;0,M2393,IF(AND(E2393&gt;0,ROUND(J2393+D2393-E2393,2)&gt;0,ROUND(J2393+D2393-E2393,2)&lt;'Opening Balance'!$B$14),ROUND(J2393+D2393-E2393,2),0)))</f>
        <v/>
      </c>
      <c r="L2393" s="6">
        <f>IF(C2393="","",ROUND(J2393+D2393-E2393-K2393,2))</f>
        <v/>
      </c>
      <c r="M2393" s="6">
        <f>IF(C2393="","",0)</f>
        <v/>
      </c>
    </row>
    <row r="2394">
      <c r="A2394" t="inlineStr">
        <is>
          <t>Bank 银行</t>
        </is>
      </c>
      <c r="B2394" s="5">
        <f>IF(AND('Daily Sale entry '!Z894="Online collection 网上收款",'Daily Sale entry '!AA894&lt;&gt;""),'Daily Sale entry '!X894,"")</f>
        <v/>
      </c>
      <c r="C2394">
        <f>IF(B2394="","",'Daily Sale entry '!AA894)</f>
        <v/>
      </c>
      <c r="D2394">
        <f>IF(C2394="","",0)</f>
        <v/>
      </c>
      <c r="E2394">
        <f>IF(C2394="","",'Daily Sale entry '!AC894)</f>
        <v/>
      </c>
      <c r="F2394" s="37">
        <f>IF(C2394="","",B2394+IF(E2394&gt;0,0,0.5)+ROW()/10000000)</f>
        <v/>
      </c>
      <c r="G2394">
        <f>IF(C2394="","","Collection 收款 (Online 网上)"&amp;IF('Daily Sale entry '!Y894="",""," - "&amp;'Daily Sale entry '!Y894))</f>
        <v/>
      </c>
      <c r="H2394">
        <f>IF(C2394="","",COUNTIFS($C$2:$C$3001,C2394,$F$2:$F$3001,"&lt;"&amp;F2394)+1)</f>
        <v/>
      </c>
      <c r="I2394">
        <f>IF(C2394="","",C2394&amp;"|"&amp;H2394)</f>
        <v/>
      </c>
      <c r="J2394" s="6">
        <f>IF(C2394="","",IF(H2394=1,SUMIFS('Opening Balance'!$F$4:$F$303,'Opening Balance'!$G$4:$G$303,C2394),INDEX($L$2:$L$3001,MATCH(C2394&amp;"|"&amp;(H2394-1),$I$2:$I$3001,0))))</f>
        <v/>
      </c>
      <c r="K2394" s="6">
        <f>IF(C2394="","",IF(M2394&gt;0,M2394,IF(AND(E2394&gt;0,ROUND(J2394+D2394-E2394,2)&gt;0,ROUND(J2394+D2394-E2394,2)&lt;'Opening Balance'!$B$14),ROUND(J2394+D2394-E2394,2),0)))</f>
        <v/>
      </c>
      <c r="L2394" s="6">
        <f>IF(C2394="","",ROUND(J2394+D2394-E2394-K2394,2))</f>
        <v/>
      </c>
      <c r="M2394" s="6">
        <f>IF(C2394="","",0)</f>
        <v/>
      </c>
    </row>
    <row r="2395">
      <c r="A2395" t="inlineStr">
        <is>
          <t>Bank 银行</t>
        </is>
      </c>
      <c r="B2395" s="5">
        <f>IF(AND('Daily Sale entry '!Z895="Online collection 网上收款",'Daily Sale entry '!AA895&lt;&gt;""),'Daily Sale entry '!X895,"")</f>
        <v/>
      </c>
      <c r="C2395">
        <f>IF(B2395="","",'Daily Sale entry '!AA895)</f>
        <v/>
      </c>
      <c r="D2395">
        <f>IF(C2395="","",0)</f>
        <v/>
      </c>
      <c r="E2395">
        <f>IF(C2395="","",'Daily Sale entry '!AC895)</f>
        <v/>
      </c>
      <c r="F2395" s="37">
        <f>IF(C2395="","",B2395+IF(E2395&gt;0,0,0.5)+ROW()/10000000)</f>
        <v/>
      </c>
      <c r="G2395">
        <f>IF(C2395="","","Collection 收款 (Online 网上)"&amp;IF('Daily Sale entry '!Y895="",""," - "&amp;'Daily Sale entry '!Y895))</f>
        <v/>
      </c>
      <c r="H2395">
        <f>IF(C2395="","",COUNTIFS($C$2:$C$3001,C2395,$F$2:$F$3001,"&lt;"&amp;F2395)+1)</f>
        <v/>
      </c>
      <c r="I2395">
        <f>IF(C2395="","",C2395&amp;"|"&amp;H2395)</f>
        <v/>
      </c>
      <c r="J2395" s="6">
        <f>IF(C2395="","",IF(H2395=1,SUMIFS('Opening Balance'!$F$4:$F$303,'Opening Balance'!$G$4:$G$303,C2395),INDEX($L$2:$L$3001,MATCH(C2395&amp;"|"&amp;(H2395-1),$I$2:$I$3001,0))))</f>
        <v/>
      </c>
      <c r="K2395" s="6">
        <f>IF(C2395="","",IF(M2395&gt;0,M2395,IF(AND(E2395&gt;0,ROUND(J2395+D2395-E2395,2)&gt;0,ROUND(J2395+D2395-E2395,2)&lt;'Opening Balance'!$B$14),ROUND(J2395+D2395-E2395,2),0)))</f>
        <v/>
      </c>
      <c r="L2395" s="6">
        <f>IF(C2395="","",ROUND(J2395+D2395-E2395-K2395,2))</f>
        <v/>
      </c>
      <c r="M2395" s="6">
        <f>IF(C2395="","",0)</f>
        <v/>
      </c>
    </row>
    <row r="2396">
      <c r="A2396" t="inlineStr">
        <is>
          <t>Bank 银行</t>
        </is>
      </c>
      <c r="B2396" s="5">
        <f>IF(AND('Daily Sale entry '!Z896="Online collection 网上收款",'Daily Sale entry '!AA896&lt;&gt;""),'Daily Sale entry '!X896,"")</f>
        <v/>
      </c>
      <c r="C2396">
        <f>IF(B2396="","",'Daily Sale entry '!AA896)</f>
        <v/>
      </c>
      <c r="D2396">
        <f>IF(C2396="","",0)</f>
        <v/>
      </c>
      <c r="E2396">
        <f>IF(C2396="","",'Daily Sale entry '!AC896)</f>
        <v/>
      </c>
      <c r="F2396" s="37">
        <f>IF(C2396="","",B2396+IF(E2396&gt;0,0,0.5)+ROW()/10000000)</f>
        <v/>
      </c>
      <c r="G2396">
        <f>IF(C2396="","","Collection 收款 (Online 网上)"&amp;IF('Daily Sale entry '!Y896="",""," - "&amp;'Daily Sale entry '!Y896))</f>
        <v/>
      </c>
      <c r="H2396">
        <f>IF(C2396="","",COUNTIFS($C$2:$C$3001,C2396,$F$2:$F$3001,"&lt;"&amp;F2396)+1)</f>
        <v/>
      </c>
      <c r="I2396">
        <f>IF(C2396="","",C2396&amp;"|"&amp;H2396)</f>
        <v/>
      </c>
      <c r="J2396" s="6">
        <f>IF(C2396="","",IF(H2396=1,SUMIFS('Opening Balance'!$F$4:$F$303,'Opening Balance'!$G$4:$G$303,C2396),INDEX($L$2:$L$3001,MATCH(C2396&amp;"|"&amp;(H2396-1),$I$2:$I$3001,0))))</f>
        <v/>
      </c>
      <c r="K2396" s="6">
        <f>IF(C2396="","",IF(M2396&gt;0,M2396,IF(AND(E2396&gt;0,ROUND(J2396+D2396-E2396,2)&gt;0,ROUND(J2396+D2396-E2396,2)&lt;'Opening Balance'!$B$14),ROUND(J2396+D2396-E2396,2),0)))</f>
        <v/>
      </c>
      <c r="L2396" s="6">
        <f>IF(C2396="","",ROUND(J2396+D2396-E2396-K2396,2))</f>
        <v/>
      </c>
      <c r="M2396" s="6">
        <f>IF(C2396="","",0)</f>
        <v/>
      </c>
    </row>
    <row r="2397">
      <c r="A2397" t="inlineStr">
        <is>
          <t>Bank 银行</t>
        </is>
      </c>
      <c r="B2397" s="5">
        <f>IF(AND('Daily Sale entry '!Z897="Online collection 网上收款",'Daily Sale entry '!AA897&lt;&gt;""),'Daily Sale entry '!X897,"")</f>
        <v/>
      </c>
      <c r="C2397">
        <f>IF(B2397="","",'Daily Sale entry '!AA897)</f>
        <v/>
      </c>
      <c r="D2397">
        <f>IF(C2397="","",0)</f>
        <v/>
      </c>
      <c r="E2397">
        <f>IF(C2397="","",'Daily Sale entry '!AC897)</f>
        <v/>
      </c>
      <c r="F2397" s="37">
        <f>IF(C2397="","",B2397+IF(E2397&gt;0,0,0.5)+ROW()/10000000)</f>
        <v/>
      </c>
      <c r="G2397">
        <f>IF(C2397="","","Collection 收款 (Online 网上)"&amp;IF('Daily Sale entry '!Y897="",""," - "&amp;'Daily Sale entry '!Y897))</f>
        <v/>
      </c>
      <c r="H2397">
        <f>IF(C2397="","",COUNTIFS($C$2:$C$3001,C2397,$F$2:$F$3001,"&lt;"&amp;F2397)+1)</f>
        <v/>
      </c>
      <c r="I2397">
        <f>IF(C2397="","",C2397&amp;"|"&amp;H2397)</f>
        <v/>
      </c>
      <c r="J2397" s="6">
        <f>IF(C2397="","",IF(H2397=1,SUMIFS('Opening Balance'!$F$4:$F$303,'Opening Balance'!$G$4:$G$303,C2397),INDEX($L$2:$L$3001,MATCH(C2397&amp;"|"&amp;(H2397-1),$I$2:$I$3001,0))))</f>
        <v/>
      </c>
      <c r="K2397" s="6">
        <f>IF(C2397="","",IF(M2397&gt;0,M2397,IF(AND(E2397&gt;0,ROUND(J2397+D2397-E2397,2)&gt;0,ROUND(J2397+D2397-E2397,2)&lt;'Opening Balance'!$B$14),ROUND(J2397+D2397-E2397,2),0)))</f>
        <v/>
      </c>
      <c r="L2397" s="6">
        <f>IF(C2397="","",ROUND(J2397+D2397-E2397-K2397,2))</f>
        <v/>
      </c>
      <c r="M2397" s="6">
        <f>IF(C2397="","",0)</f>
        <v/>
      </c>
    </row>
    <row r="2398">
      <c r="A2398" t="inlineStr">
        <is>
          <t>Bank 银行</t>
        </is>
      </c>
      <c r="B2398" s="5">
        <f>IF(AND('Daily Sale entry '!Z898="Online collection 网上收款",'Daily Sale entry '!AA898&lt;&gt;""),'Daily Sale entry '!X898,"")</f>
        <v/>
      </c>
      <c r="C2398">
        <f>IF(B2398="","",'Daily Sale entry '!AA898)</f>
        <v/>
      </c>
      <c r="D2398">
        <f>IF(C2398="","",0)</f>
        <v/>
      </c>
      <c r="E2398">
        <f>IF(C2398="","",'Daily Sale entry '!AC898)</f>
        <v/>
      </c>
      <c r="F2398" s="37">
        <f>IF(C2398="","",B2398+IF(E2398&gt;0,0,0.5)+ROW()/10000000)</f>
        <v/>
      </c>
      <c r="G2398">
        <f>IF(C2398="","","Collection 收款 (Online 网上)"&amp;IF('Daily Sale entry '!Y898="",""," - "&amp;'Daily Sale entry '!Y898))</f>
        <v/>
      </c>
      <c r="H2398">
        <f>IF(C2398="","",COUNTIFS($C$2:$C$3001,C2398,$F$2:$F$3001,"&lt;"&amp;F2398)+1)</f>
        <v/>
      </c>
      <c r="I2398">
        <f>IF(C2398="","",C2398&amp;"|"&amp;H2398)</f>
        <v/>
      </c>
      <c r="J2398" s="6">
        <f>IF(C2398="","",IF(H2398=1,SUMIFS('Opening Balance'!$F$4:$F$303,'Opening Balance'!$G$4:$G$303,C2398),INDEX($L$2:$L$3001,MATCH(C2398&amp;"|"&amp;(H2398-1),$I$2:$I$3001,0))))</f>
        <v/>
      </c>
      <c r="K2398" s="6">
        <f>IF(C2398="","",IF(M2398&gt;0,M2398,IF(AND(E2398&gt;0,ROUND(J2398+D2398-E2398,2)&gt;0,ROUND(J2398+D2398-E2398,2)&lt;'Opening Balance'!$B$14),ROUND(J2398+D2398-E2398,2),0)))</f>
        <v/>
      </c>
      <c r="L2398" s="6">
        <f>IF(C2398="","",ROUND(J2398+D2398-E2398-K2398,2))</f>
        <v/>
      </c>
      <c r="M2398" s="6">
        <f>IF(C2398="","",0)</f>
        <v/>
      </c>
    </row>
    <row r="2399">
      <c r="A2399" t="inlineStr">
        <is>
          <t>Bank 银行</t>
        </is>
      </c>
      <c r="B2399" s="5">
        <f>IF(AND('Daily Sale entry '!Z899="Online collection 网上收款",'Daily Sale entry '!AA899&lt;&gt;""),'Daily Sale entry '!X899,"")</f>
        <v/>
      </c>
      <c r="C2399">
        <f>IF(B2399="","",'Daily Sale entry '!AA899)</f>
        <v/>
      </c>
      <c r="D2399">
        <f>IF(C2399="","",0)</f>
        <v/>
      </c>
      <c r="E2399">
        <f>IF(C2399="","",'Daily Sale entry '!AC899)</f>
        <v/>
      </c>
      <c r="F2399" s="37">
        <f>IF(C2399="","",B2399+IF(E2399&gt;0,0,0.5)+ROW()/10000000)</f>
        <v/>
      </c>
      <c r="G2399">
        <f>IF(C2399="","","Collection 收款 (Online 网上)"&amp;IF('Daily Sale entry '!Y899="",""," - "&amp;'Daily Sale entry '!Y899))</f>
        <v/>
      </c>
      <c r="H2399">
        <f>IF(C2399="","",COUNTIFS($C$2:$C$3001,C2399,$F$2:$F$3001,"&lt;"&amp;F2399)+1)</f>
        <v/>
      </c>
      <c r="I2399">
        <f>IF(C2399="","",C2399&amp;"|"&amp;H2399)</f>
        <v/>
      </c>
      <c r="J2399" s="6">
        <f>IF(C2399="","",IF(H2399=1,SUMIFS('Opening Balance'!$F$4:$F$303,'Opening Balance'!$G$4:$G$303,C2399),INDEX($L$2:$L$3001,MATCH(C2399&amp;"|"&amp;(H2399-1),$I$2:$I$3001,0))))</f>
        <v/>
      </c>
      <c r="K2399" s="6">
        <f>IF(C2399="","",IF(M2399&gt;0,M2399,IF(AND(E2399&gt;0,ROUND(J2399+D2399-E2399,2)&gt;0,ROUND(J2399+D2399-E2399,2)&lt;'Opening Balance'!$B$14),ROUND(J2399+D2399-E2399,2),0)))</f>
        <v/>
      </c>
      <c r="L2399" s="6">
        <f>IF(C2399="","",ROUND(J2399+D2399-E2399-K2399,2))</f>
        <v/>
      </c>
      <c r="M2399" s="6">
        <f>IF(C2399="","",0)</f>
        <v/>
      </c>
    </row>
    <row r="2400">
      <c r="A2400" t="inlineStr">
        <is>
          <t>Bank 银行</t>
        </is>
      </c>
      <c r="B2400" s="5">
        <f>IF(AND('Daily Sale entry '!Z900="Online collection 网上收款",'Daily Sale entry '!AA900&lt;&gt;""),'Daily Sale entry '!X900,"")</f>
        <v/>
      </c>
      <c r="C2400">
        <f>IF(B2400="","",'Daily Sale entry '!AA900)</f>
        <v/>
      </c>
      <c r="D2400">
        <f>IF(C2400="","",0)</f>
        <v/>
      </c>
      <c r="E2400">
        <f>IF(C2400="","",'Daily Sale entry '!AC900)</f>
        <v/>
      </c>
      <c r="F2400" s="37">
        <f>IF(C2400="","",B2400+IF(E2400&gt;0,0,0.5)+ROW()/10000000)</f>
        <v/>
      </c>
      <c r="G2400">
        <f>IF(C2400="","","Collection 收款 (Online 网上)"&amp;IF('Daily Sale entry '!Y900="",""," - "&amp;'Daily Sale entry '!Y900))</f>
        <v/>
      </c>
      <c r="H2400">
        <f>IF(C2400="","",COUNTIFS($C$2:$C$3001,C2400,$F$2:$F$3001,"&lt;"&amp;F2400)+1)</f>
        <v/>
      </c>
      <c r="I2400">
        <f>IF(C2400="","",C2400&amp;"|"&amp;H2400)</f>
        <v/>
      </c>
      <c r="J2400" s="6">
        <f>IF(C2400="","",IF(H2400=1,SUMIFS('Opening Balance'!$F$4:$F$303,'Opening Balance'!$G$4:$G$303,C2400),INDEX($L$2:$L$3001,MATCH(C2400&amp;"|"&amp;(H2400-1),$I$2:$I$3001,0))))</f>
        <v/>
      </c>
      <c r="K2400" s="6">
        <f>IF(C2400="","",IF(M2400&gt;0,M2400,IF(AND(E2400&gt;0,ROUND(J2400+D2400-E2400,2)&gt;0,ROUND(J2400+D2400-E2400,2)&lt;'Opening Balance'!$B$14),ROUND(J2400+D2400-E2400,2),0)))</f>
        <v/>
      </c>
      <c r="L2400" s="6">
        <f>IF(C2400="","",ROUND(J2400+D2400-E2400-K2400,2))</f>
        <v/>
      </c>
      <c r="M2400" s="6">
        <f>IF(C2400="","",0)</f>
        <v/>
      </c>
    </row>
    <row r="2401">
      <c r="A2401" t="inlineStr">
        <is>
          <t>Bank 银行</t>
        </is>
      </c>
      <c r="B2401" s="5">
        <f>IF(AND('Daily Sale entry '!Z901="Online collection 网上收款",'Daily Sale entry '!AA901&lt;&gt;""),'Daily Sale entry '!X901,"")</f>
        <v/>
      </c>
      <c r="C2401">
        <f>IF(B2401="","",'Daily Sale entry '!AA901)</f>
        <v/>
      </c>
      <c r="D2401">
        <f>IF(C2401="","",0)</f>
        <v/>
      </c>
      <c r="E2401">
        <f>IF(C2401="","",'Daily Sale entry '!AC901)</f>
        <v/>
      </c>
      <c r="F2401" s="37">
        <f>IF(C2401="","",B2401+IF(E2401&gt;0,0,0.5)+ROW()/10000000)</f>
        <v/>
      </c>
      <c r="G2401">
        <f>IF(C2401="","","Collection 收款 (Online 网上)"&amp;IF('Daily Sale entry '!Y901="",""," - "&amp;'Daily Sale entry '!Y901))</f>
        <v/>
      </c>
      <c r="H2401">
        <f>IF(C2401="","",COUNTIFS($C$2:$C$3001,C2401,$F$2:$F$3001,"&lt;"&amp;F2401)+1)</f>
        <v/>
      </c>
      <c r="I2401">
        <f>IF(C2401="","",C2401&amp;"|"&amp;H2401)</f>
        <v/>
      </c>
      <c r="J2401" s="6">
        <f>IF(C2401="","",IF(H2401=1,SUMIFS('Opening Balance'!$F$4:$F$303,'Opening Balance'!$G$4:$G$303,C2401),INDEX($L$2:$L$3001,MATCH(C2401&amp;"|"&amp;(H2401-1),$I$2:$I$3001,0))))</f>
        <v/>
      </c>
      <c r="K2401" s="6">
        <f>IF(C2401="","",IF(M2401&gt;0,M2401,IF(AND(E2401&gt;0,ROUND(J2401+D2401-E2401,2)&gt;0,ROUND(J2401+D2401-E2401,2)&lt;'Opening Balance'!$B$14),ROUND(J2401+D2401-E2401,2),0)))</f>
        <v/>
      </c>
      <c r="L2401" s="6">
        <f>IF(C2401="","",ROUND(J2401+D2401-E2401-K2401,2))</f>
        <v/>
      </c>
      <c r="M2401" s="6">
        <f>IF(C2401="","",0)</f>
        <v/>
      </c>
    </row>
    <row r="2402">
      <c r="A2402" t="inlineStr">
        <is>
          <t>Bank 银行</t>
        </is>
      </c>
      <c r="B2402" s="5">
        <f>IF(AND('Daily Sale entry '!Z902="Online collection 网上收款",'Daily Sale entry '!AA902&lt;&gt;""),'Daily Sale entry '!X902,"")</f>
        <v/>
      </c>
      <c r="C2402">
        <f>IF(B2402="","",'Daily Sale entry '!AA902)</f>
        <v/>
      </c>
      <c r="D2402">
        <f>IF(C2402="","",0)</f>
        <v/>
      </c>
      <c r="E2402">
        <f>IF(C2402="","",'Daily Sale entry '!AC902)</f>
        <v/>
      </c>
      <c r="F2402" s="37">
        <f>IF(C2402="","",B2402+IF(E2402&gt;0,0,0.5)+ROW()/10000000)</f>
        <v/>
      </c>
      <c r="G2402">
        <f>IF(C2402="","","Collection 收款 (Online 网上)"&amp;IF('Daily Sale entry '!Y902="",""," - "&amp;'Daily Sale entry '!Y902))</f>
        <v/>
      </c>
      <c r="H2402">
        <f>IF(C2402="","",COUNTIFS($C$2:$C$3001,C2402,$F$2:$F$3001,"&lt;"&amp;F2402)+1)</f>
        <v/>
      </c>
      <c r="I2402">
        <f>IF(C2402="","",C2402&amp;"|"&amp;H2402)</f>
        <v/>
      </c>
      <c r="J2402" s="6">
        <f>IF(C2402="","",IF(H2402=1,SUMIFS('Opening Balance'!$F$4:$F$303,'Opening Balance'!$G$4:$G$303,C2402),INDEX($L$2:$L$3001,MATCH(C2402&amp;"|"&amp;(H2402-1),$I$2:$I$3001,0))))</f>
        <v/>
      </c>
      <c r="K2402" s="6">
        <f>IF(C2402="","",IF(M2402&gt;0,M2402,IF(AND(E2402&gt;0,ROUND(J2402+D2402-E2402,2)&gt;0,ROUND(J2402+D2402-E2402,2)&lt;'Opening Balance'!$B$14),ROUND(J2402+D2402-E2402,2),0)))</f>
        <v/>
      </c>
      <c r="L2402" s="6">
        <f>IF(C2402="","",ROUND(J2402+D2402-E2402-K2402,2))</f>
        <v/>
      </c>
      <c r="M2402" s="6">
        <f>IF(C2402="","",0)</f>
        <v/>
      </c>
    </row>
    <row r="2403">
      <c r="A2403" t="inlineStr">
        <is>
          <t>Bank 银行</t>
        </is>
      </c>
      <c r="B2403" s="5">
        <f>IF(AND('Daily Sale entry '!Z903="Online collection 网上收款",'Daily Sale entry '!AA903&lt;&gt;""),'Daily Sale entry '!X903,"")</f>
        <v/>
      </c>
      <c r="C2403">
        <f>IF(B2403="","",'Daily Sale entry '!AA903)</f>
        <v/>
      </c>
      <c r="D2403">
        <f>IF(C2403="","",0)</f>
        <v/>
      </c>
      <c r="E2403">
        <f>IF(C2403="","",'Daily Sale entry '!AC903)</f>
        <v/>
      </c>
      <c r="F2403" s="37">
        <f>IF(C2403="","",B2403+IF(E2403&gt;0,0,0.5)+ROW()/10000000)</f>
        <v/>
      </c>
      <c r="G2403">
        <f>IF(C2403="","","Collection 收款 (Online 网上)"&amp;IF('Daily Sale entry '!Y903="",""," - "&amp;'Daily Sale entry '!Y903))</f>
        <v/>
      </c>
      <c r="H2403">
        <f>IF(C2403="","",COUNTIFS($C$2:$C$3001,C2403,$F$2:$F$3001,"&lt;"&amp;F2403)+1)</f>
        <v/>
      </c>
      <c r="I2403">
        <f>IF(C2403="","",C2403&amp;"|"&amp;H2403)</f>
        <v/>
      </c>
      <c r="J2403" s="6">
        <f>IF(C2403="","",IF(H2403=1,SUMIFS('Opening Balance'!$F$4:$F$303,'Opening Balance'!$G$4:$G$303,C2403),INDEX($L$2:$L$3001,MATCH(C2403&amp;"|"&amp;(H2403-1),$I$2:$I$3001,0))))</f>
        <v/>
      </c>
      <c r="K2403" s="6">
        <f>IF(C2403="","",IF(M2403&gt;0,M2403,IF(AND(E2403&gt;0,ROUND(J2403+D2403-E2403,2)&gt;0,ROUND(J2403+D2403-E2403,2)&lt;'Opening Balance'!$B$14),ROUND(J2403+D2403-E2403,2),0)))</f>
        <v/>
      </c>
      <c r="L2403" s="6">
        <f>IF(C2403="","",ROUND(J2403+D2403-E2403-K2403,2))</f>
        <v/>
      </c>
      <c r="M2403" s="6">
        <f>IF(C2403="","",0)</f>
        <v/>
      </c>
    </row>
    <row r="2404">
      <c r="A2404" t="inlineStr">
        <is>
          <t>Bank 银行</t>
        </is>
      </c>
      <c r="B2404" s="5">
        <f>IF(AND('Daily Sale entry '!Z904="Online collection 网上收款",'Daily Sale entry '!AA904&lt;&gt;""),'Daily Sale entry '!X904,"")</f>
        <v/>
      </c>
      <c r="C2404">
        <f>IF(B2404="","",'Daily Sale entry '!AA904)</f>
        <v/>
      </c>
      <c r="D2404">
        <f>IF(C2404="","",0)</f>
        <v/>
      </c>
      <c r="E2404">
        <f>IF(C2404="","",'Daily Sale entry '!AC904)</f>
        <v/>
      </c>
      <c r="F2404" s="37">
        <f>IF(C2404="","",B2404+IF(E2404&gt;0,0,0.5)+ROW()/10000000)</f>
        <v/>
      </c>
      <c r="G2404">
        <f>IF(C2404="","","Collection 收款 (Online 网上)"&amp;IF('Daily Sale entry '!Y904="",""," - "&amp;'Daily Sale entry '!Y904))</f>
        <v/>
      </c>
      <c r="H2404">
        <f>IF(C2404="","",COUNTIFS($C$2:$C$3001,C2404,$F$2:$F$3001,"&lt;"&amp;F2404)+1)</f>
        <v/>
      </c>
      <c r="I2404">
        <f>IF(C2404="","",C2404&amp;"|"&amp;H2404)</f>
        <v/>
      </c>
      <c r="J2404" s="6">
        <f>IF(C2404="","",IF(H2404=1,SUMIFS('Opening Balance'!$F$4:$F$303,'Opening Balance'!$G$4:$G$303,C2404),INDEX($L$2:$L$3001,MATCH(C2404&amp;"|"&amp;(H2404-1),$I$2:$I$3001,0))))</f>
        <v/>
      </c>
      <c r="K2404" s="6">
        <f>IF(C2404="","",IF(M2404&gt;0,M2404,IF(AND(E2404&gt;0,ROUND(J2404+D2404-E2404,2)&gt;0,ROUND(J2404+D2404-E2404,2)&lt;'Opening Balance'!$B$14),ROUND(J2404+D2404-E2404,2),0)))</f>
        <v/>
      </c>
      <c r="L2404" s="6">
        <f>IF(C2404="","",ROUND(J2404+D2404-E2404-K2404,2))</f>
        <v/>
      </c>
      <c r="M2404" s="6">
        <f>IF(C2404="","",0)</f>
        <v/>
      </c>
    </row>
    <row r="2405">
      <c r="A2405" t="inlineStr">
        <is>
          <t>Bank 银行</t>
        </is>
      </c>
      <c r="B2405" s="5">
        <f>IF(AND('Daily Sale entry '!Z905="Online collection 网上收款",'Daily Sale entry '!AA905&lt;&gt;""),'Daily Sale entry '!X905,"")</f>
        <v/>
      </c>
      <c r="C2405">
        <f>IF(B2405="","",'Daily Sale entry '!AA905)</f>
        <v/>
      </c>
      <c r="D2405">
        <f>IF(C2405="","",0)</f>
        <v/>
      </c>
      <c r="E2405">
        <f>IF(C2405="","",'Daily Sale entry '!AC905)</f>
        <v/>
      </c>
      <c r="F2405" s="37">
        <f>IF(C2405="","",B2405+IF(E2405&gt;0,0,0.5)+ROW()/10000000)</f>
        <v/>
      </c>
      <c r="G2405">
        <f>IF(C2405="","","Collection 收款 (Online 网上)"&amp;IF('Daily Sale entry '!Y905="",""," - "&amp;'Daily Sale entry '!Y905))</f>
        <v/>
      </c>
      <c r="H2405">
        <f>IF(C2405="","",COUNTIFS($C$2:$C$3001,C2405,$F$2:$F$3001,"&lt;"&amp;F2405)+1)</f>
        <v/>
      </c>
      <c r="I2405">
        <f>IF(C2405="","",C2405&amp;"|"&amp;H2405)</f>
        <v/>
      </c>
      <c r="J2405" s="6">
        <f>IF(C2405="","",IF(H2405=1,SUMIFS('Opening Balance'!$F$4:$F$303,'Opening Balance'!$G$4:$G$303,C2405),INDEX($L$2:$L$3001,MATCH(C2405&amp;"|"&amp;(H2405-1),$I$2:$I$3001,0))))</f>
        <v/>
      </c>
      <c r="K2405" s="6">
        <f>IF(C2405="","",IF(M2405&gt;0,M2405,IF(AND(E2405&gt;0,ROUND(J2405+D2405-E2405,2)&gt;0,ROUND(J2405+D2405-E2405,2)&lt;'Opening Balance'!$B$14),ROUND(J2405+D2405-E2405,2),0)))</f>
        <v/>
      </c>
      <c r="L2405" s="6">
        <f>IF(C2405="","",ROUND(J2405+D2405-E2405-K2405,2))</f>
        <v/>
      </c>
      <c r="M2405" s="6">
        <f>IF(C2405="","",0)</f>
        <v/>
      </c>
    </row>
    <row r="2406">
      <c r="A2406" t="inlineStr">
        <is>
          <t>Bank 银行</t>
        </is>
      </c>
      <c r="B2406" s="5">
        <f>IF(AND('Daily Sale entry '!Z906="Online collection 网上收款",'Daily Sale entry '!AA906&lt;&gt;""),'Daily Sale entry '!X906,"")</f>
        <v/>
      </c>
      <c r="C2406">
        <f>IF(B2406="","",'Daily Sale entry '!AA906)</f>
        <v/>
      </c>
      <c r="D2406">
        <f>IF(C2406="","",0)</f>
        <v/>
      </c>
      <c r="E2406">
        <f>IF(C2406="","",'Daily Sale entry '!AC906)</f>
        <v/>
      </c>
      <c r="F2406" s="37">
        <f>IF(C2406="","",B2406+IF(E2406&gt;0,0,0.5)+ROW()/10000000)</f>
        <v/>
      </c>
      <c r="G2406">
        <f>IF(C2406="","","Collection 收款 (Online 网上)"&amp;IF('Daily Sale entry '!Y906="",""," - "&amp;'Daily Sale entry '!Y906))</f>
        <v/>
      </c>
      <c r="H2406">
        <f>IF(C2406="","",COUNTIFS($C$2:$C$3001,C2406,$F$2:$F$3001,"&lt;"&amp;F2406)+1)</f>
        <v/>
      </c>
      <c r="I2406">
        <f>IF(C2406="","",C2406&amp;"|"&amp;H2406)</f>
        <v/>
      </c>
      <c r="J2406" s="6">
        <f>IF(C2406="","",IF(H2406=1,SUMIFS('Opening Balance'!$F$4:$F$303,'Opening Balance'!$G$4:$G$303,C2406),INDEX($L$2:$L$3001,MATCH(C2406&amp;"|"&amp;(H2406-1),$I$2:$I$3001,0))))</f>
        <v/>
      </c>
      <c r="K2406" s="6">
        <f>IF(C2406="","",IF(M2406&gt;0,M2406,IF(AND(E2406&gt;0,ROUND(J2406+D2406-E2406,2)&gt;0,ROUND(J2406+D2406-E2406,2)&lt;'Opening Balance'!$B$14),ROUND(J2406+D2406-E2406,2),0)))</f>
        <v/>
      </c>
      <c r="L2406" s="6">
        <f>IF(C2406="","",ROUND(J2406+D2406-E2406-K2406,2))</f>
        <v/>
      </c>
      <c r="M2406" s="6">
        <f>IF(C2406="","",0)</f>
        <v/>
      </c>
    </row>
    <row r="2407">
      <c r="A2407" t="inlineStr">
        <is>
          <t>Bank 银行</t>
        </is>
      </c>
      <c r="B2407" s="5">
        <f>IF(AND('Daily Sale entry '!Z907="Online collection 网上收款",'Daily Sale entry '!AA907&lt;&gt;""),'Daily Sale entry '!X907,"")</f>
        <v/>
      </c>
      <c r="C2407">
        <f>IF(B2407="","",'Daily Sale entry '!AA907)</f>
        <v/>
      </c>
      <c r="D2407">
        <f>IF(C2407="","",0)</f>
        <v/>
      </c>
      <c r="E2407">
        <f>IF(C2407="","",'Daily Sale entry '!AC907)</f>
        <v/>
      </c>
      <c r="F2407" s="37">
        <f>IF(C2407="","",B2407+IF(E2407&gt;0,0,0.5)+ROW()/10000000)</f>
        <v/>
      </c>
      <c r="G2407">
        <f>IF(C2407="","","Collection 收款 (Online 网上)"&amp;IF('Daily Sale entry '!Y907="",""," - "&amp;'Daily Sale entry '!Y907))</f>
        <v/>
      </c>
      <c r="H2407">
        <f>IF(C2407="","",COUNTIFS($C$2:$C$3001,C2407,$F$2:$F$3001,"&lt;"&amp;F2407)+1)</f>
        <v/>
      </c>
      <c r="I2407">
        <f>IF(C2407="","",C2407&amp;"|"&amp;H2407)</f>
        <v/>
      </c>
      <c r="J2407" s="6">
        <f>IF(C2407="","",IF(H2407=1,SUMIFS('Opening Balance'!$F$4:$F$303,'Opening Balance'!$G$4:$G$303,C2407),INDEX($L$2:$L$3001,MATCH(C2407&amp;"|"&amp;(H2407-1),$I$2:$I$3001,0))))</f>
        <v/>
      </c>
      <c r="K2407" s="6">
        <f>IF(C2407="","",IF(M2407&gt;0,M2407,IF(AND(E2407&gt;0,ROUND(J2407+D2407-E2407,2)&gt;0,ROUND(J2407+D2407-E2407,2)&lt;'Opening Balance'!$B$14),ROUND(J2407+D2407-E2407,2),0)))</f>
        <v/>
      </c>
      <c r="L2407" s="6">
        <f>IF(C2407="","",ROUND(J2407+D2407-E2407-K2407,2))</f>
        <v/>
      </c>
      <c r="M2407" s="6">
        <f>IF(C2407="","",0)</f>
        <v/>
      </c>
    </row>
    <row r="2408">
      <c r="A2408" t="inlineStr">
        <is>
          <t>Bank 银行</t>
        </is>
      </c>
      <c r="B2408" s="5">
        <f>IF(AND('Daily Sale entry '!Z908="Online collection 网上收款",'Daily Sale entry '!AA908&lt;&gt;""),'Daily Sale entry '!X908,"")</f>
        <v/>
      </c>
      <c r="C2408">
        <f>IF(B2408="","",'Daily Sale entry '!AA908)</f>
        <v/>
      </c>
      <c r="D2408">
        <f>IF(C2408="","",0)</f>
        <v/>
      </c>
      <c r="E2408">
        <f>IF(C2408="","",'Daily Sale entry '!AC908)</f>
        <v/>
      </c>
      <c r="F2408" s="37">
        <f>IF(C2408="","",B2408+IF(E2408&gt;0,0,0.5)+ROW()/10000000)</f>
        <v/>
      </c>
      <c r="G2408">
        <f>IF(C2408="","","Collection 收款 (Online 网上)"&amp;IF('Daily Sale entry '!Y908="",""," - "&amp;'Daily Sale entry '!Y908))</f>
        <v/>
      </c>
      <c r="H2408">
        <f>IF(C2408="","",COUNTIFS($C$2:$C$3001,C2408,$F$2:$F$3001,"&lt;"&amp;F2408)+1)</f>
        <v/>
      </c>
      <c r="I2408">
        <f>IF(C2408="","",C2408&amp;"|"&amp;H2408)</f>
        <v/>
      </c>
      <c r="J2408" s="6">
        <f>IF(C2408="","",IF(H2408=1,SUMIFS('Opening Balance'!$F$4:$F$303,'Opening Balance'!$G$4:$G$303,C2408),INDEX($L$2:$L$3001,MATCH(C2408&amp;"|"&amp;(H2408-1),$I$2:$I$3001,0))))</f>
        <v/>
      </c>
      <c r="K2408" s="6">
        <f>IF(C2408="","",IF(M2408&gt;0,M2408,IF(AND(E2408&gt;0,ROUND(J2408+D2408-E2408,2)&gt;0,ROUND(J2408+D2408-E2408,2)&lt;'Opening Balance'!$B$14),ROUND(J2408+D2408-E2408,2),0)))</f>
        <v/>
      </c>
      <c r="L2408" s="6">
        <f>IF(C2408="","",ROUND(J2408+D2408-E2408-K2408,2))</f>
        <v/>
      </c>
      <c r="M2408" s="6">
        <f>IF(C2408="","",0)</f>
        <v/>
      </c>
    </row>
    <row r="2409">
      <c r="A2409" t="inlineStr">
        <is>
          <t>Bank 银行</t>
        </is>
      </c>
      <c r="B2409" s="5">
        <f>IF(AND('Daily Sale entry '!Z909="Online collection 网上收款",'Daily Sale entry '!AA909&lt;&gt;""),'Daily Sale entry '!X909,"")</f>
        <v/>
      </c>
      <c r="C2409">
        <f>IF(B2409="","",'Daily Sale entry '!AA909)</f>
        <v/>
      </c>
      <c r="D2409">
        <f>IF(C2409="","",0)</f>
        <v/>
      </c>
      <c r="E2409">
        <f>IF(C2409="","",'Daily Sale entry '!AC909)</f>
        <v/>
      </c>
      <c r="F2409" s="37">
        <f>IF(C2409="","",B2409+IF(E2409&gt;0,0,0.5)+ROW()/10000000)</f>
        <v/>
      </c>
      <c r="G2409">
        <f>IF(C2409="","","Collection 收款 (Online 网上)"&amp;IF('Daily Sale entry '!Y909="",""," - "&amp;'Daily Sale entry '!Y909))</f>
        <v/>
      </c>
      <c r="H2409">
        <f>IF(C2409="","",COUNTIFS($C$2:$C$3001,C2409,$F$2:$F$3001,"&lt;"&amp;F2409)+1)</f>
        <v/>
      </c>
      <c r="I2409">
        <f>IF(C2409="","",C2409&amp;"|"&amp;H2409)</f>
        <v/>
      </c>
      <c r="J2409" s="6">
        <f>IF(C2409="","",IF(H2409=1,SUMIFS('Opening Balance'!$F$4:$F$303,'Opening Balance'!$G$4:$G$303,C2409),INDEX($L$2:$L$3001,MATCH(C2409&amp;"|"&amp;(H2409-1),$I$2:$I$3001,0))))</f>
        <v/>
      </c>
      <c r="K2409" s="6">
        <f>IF(C2409="","",IF(M2409&gt;0,M2409,IF(AND(E2409&gt;0,ROUND(J2409+D2409-E2409,2)&gt;0,ROUND(J2409+D2409-E2409,2)&lt;'Opening Balance'!$B$14),ROUND(J2409+D2409-E2409,2),0)))</f>
        <v/>
      </c>
      <c r="L2409" s="6">
        <f>IF(C2409="","",ROUND(J2409+D2409-E2409-K2409,2))</f>
        <v/>
      </c>
      <c r="M2409" s="6">
        <f>IF(C2409="","",0)</f>
        <v/>
      </c>
    </row>
    <row r="2410">
      <c r="A2410" t="inlineStr">
        <is>
          <t>Bank 银行</t>
        </is>
      </c>
      <c r="B2410" s="5">
        <f>IF(AND('Daily Sale entry '!Z910="Online collection 网上收款",'Daily Sale entry '!AA910&lt;&gt;""),'Daily Sale entry '!X910,"")</f>
        <v/>
      </c>
      <c r="C2410">
        <f>IF(B2410="","",'Daily Sale entry '!AA910)</f>
        <v/>
      </c>
      <c r="D2410">
        <f>IF(C2410="","",0)</f>
        <v/>
      </c>
      <c r="E2410">
        <f>IF(C2410="","",'Daily Sale entry '!AC910)</f>
        <v/>
      </c>
      <c r="F2410" s="37">
        <f>IF(C2410="","",B2410+IF(E2410&gt;0,0,0.5)+ROW()/10000000)</f>
        <v/>
      </c>
      <c r="G2410">
        <f>IF(C2410="","","Collection 收款 (Online 网上)"&amp;IF('Daily Sale entry '!Y910="",""," - "&amp;'Daily Sale entry '!Y910))</f>
        <v/>
      </c>
      <c r="H2410">
        <f>IF(C2410="","",COUNTIFS($C$2:$C$3001,C2410,$F$2:$F$3001,"&lt;"&amp;F2410)+1)</f>
        <v/>
      </c>
      <c r="I2410">
        <f>IF(C2410="","",C2410&amp;"|"&amp;H2410)</f>
        <v/>
      </c>
      <c r="J2410" s="6">
        <f>IF(C2410="","",IF(H2410=1,SUMIFS('Opening Balance'!$F$4:$F$303,'Opening Balance'!$G$4:$G$303,C2410),INDEX($L$2:$L$3001,MATCH(C2410&amp;"|"&amp;(H2410-1),$I$2:$I$3001,0))))</f>
        <v/>
      </c>
      <c r="K2410" s="6">
        <f>IF(C2410="","",IF(M2410&gt;0,M2410,IF(AND(E2410&gt;0,ROUND(J2410+D2410-E2410,2)&gt;0,ROUND(J2410+D2410-E2410,2)&lt;'Opening Balance'!$B$14),ROUND(J2410+D2410-E2410,2),0)))</f>
        <v/>
      </c>
      <c r="L2410" s="6">
        <f>IF(C2410="","",ROUND(J2410+D2410-E2410-K2410,2))</f>
        <v/>
      </c>
      <c r="M2410" s="6">
        <f>IF(C2410="","",0)</f>
        <v/>
      </c>
    </row>
    <row r="2411">
      <c r="A2411" t="inlineStr">
        <is>
          <t>Bank 银行</t>
        </is>
      </c>
      <c r="B2411" s="5">
        <f>IF(AND('Daily Sale entry '!Z911="Online collection 网上收款",'Daily Sale entry '!AA911&lt;&gt;""),'Daily Sale entry '!X911,"")</f>
        <v/>
      </c>
      <c r="C2411">
        <f>IF(B2411="","",'Daily Sale entry '!AA911)</f>
        <v/>
      </c>
      <c r="D2411">
        <f>IF(C2411="","",0)</f>
        <v/>
      </c>
      <c r="E2411">
        <f>IF(C2411="","",'Daily Sale entry '!AC911)</f>
        <v/>
      </c>
      <c r="F2411" s="37">
        <f>IF(C2411="","",B2411+IF(E2411&gt;0,0,0.5)+ROW()/10000000)</f>
        <v/>
      </c>
      <c r="G2411">
        <f>IF(C2411="","","Collection 收款 (Online 网上)"&amp;IF('Daily Sale entry '!Y911="",""," - "&amp;'Daily Sale entry '!Y911))</f>
        <v/>
      </c>
      <c r="H2411">
        <f>IF(C2411="","",COUNTIFS($C$2:$C$3001,C2411,$F$2:$F$3001,"&lt;"&amp;F2411)+1)</f>
        <v/>
      </c>
      <c r="I2411">
        <f>IF(C2411="","",C2411&amp;"|"&amp;H2411)</f>
        <v/>
      </c>
      <c r="J2411" s="6">
        <f>IF(C2411="","",IF(H2411=1,SUMIFS('Opening Balance'!$F$4:$F$303,'Opening Balance'!$G$4:$G$303,C2411),INDEX($L$2:$L$3001,MATCH(C2411&amp;"|"&amp;(H2411-1),$I$2:$I$3001,0))))</f>
        <v/>
      </c>
      <c r="K2411" s="6">
        <f>IF(C2411="","",IF(M2411&gt;0,M2411,IF(AND(E2411&gt;0,ROUND(J2411+D2411-E2411,2)&gt;0,ROUND(J2411+D2411-E2411,2)&lt;'Opening Balance'!$B$14),ROUND(J2411+D2411-E2411,2),0)))</f>
        <v/>
      </c>
      <c r="L2411" s="6">
        <f>IF(C2411="","",ROUND(J2411+D2411-E2411-K2411,2))</f>
        <v/>
      </c>
      <c r="M2411" s="6">
        <f>IF(C2411="","",0)</f>
        <v/>
      </c>
    </row>
    <row r="2412">
      <c r="A2412" t="inlineStr">
        <is>
          <t>Bank 银行</t>
        </is>
      </c>
      <c r="B2412" s="5">
        <f>IF(AND('Daily Sale entry '!Z912="Online collection 网上收款",'Daily Sale entry '!AA912&lt;&gt;""),'Daily Sale entry '!X912,"")</f>
        <v/>
      </c>
      <c r="C2412">
        <f>IF(B2412="","",'Daily Sale entry '!AA912)</f>
        <v/>
      </c>
      <c r="D2412">
        <f>IF(C2412="","",0)</f>
        <v/>
      </c>
      <c r="E2412">
        <f>IF(C2412="","",'Daily Sale entry '!AC912)</f>
        <v/>
      </c>
      <c r="F2412" s="37">
        <f>IF(C2412="","",B2412+IF(E2412&gt;0,0,0.5)+ROW()/10000000)</f>
        <v/>
      </c>
      <c r="G2412">
        <f>IF(C2412="","","Collection 收款 (Online 网上)"&amp;IF('Daily Sale entry '!Y912="",""," - "&amp;'Daily Sale entry '!Y912))</f>
        <v/>
      </c>
      <c r="H2412">
        <f>IF(C2412="","",COUNTIFS($C$2:$C$3001,C2412,$F$2:$F$3001,"&lt;"&amp;F2412)+1)</f>
        <v/>
      </c>
      <c r="I2412">
        <f>IF(C2412="","",C2412&amp;"|"&amp;H2412)</f>
        <v/>
      </c>
      <c r="J2412" s="6">
        <f>IF(C2412="","",IF(H2412=1,SUMIFS('Opening Balance'!$F$4:$F$303,'Opening Balance'!$G$4:$G$303,C2412),INDEX($L$2:$L$3001,MATCH(C2412&amp;"|"&amp;(H2412-1),$I$2:$I$3001,0))))</f>
        <v/>
      </c>
      <c r="K2412" s="6">
        <f>IF(C2412="","",IF(M2412&gt;0,M2412,IF(AND(E2412&gt;0,ROUND(J2412+D2412-E2412,2)&gt;0,ROUND(J2412+D2412-E2412,2)&lt;'Opening Balance'!$B$14),ROUND(J2412+D2412-E2412,2),0)))</f>
        <v/>
      </c>
      <c r="L2412" s="6">
        <f>IF(C2412="","",ROUND(J2412+D2412-E2412-K2412,2))</f>
        <v/>
      </c>
      <c r="M2412" s="6">
        <f>IF(C2412="","",0)</f>
        <v/>
      </c>
    </row>
    <row r="2413">
      <c r="A2413" t="inlineStr">
        <is>
          <t>Bank 银行</t>
        </is>
      </c>
      <c r="B2413" s="5">
        <f>IF(AND('Daily Sale entry '!Z913="Online collection 网上收款",'Daily Sale entry '!AA913&lt;&gt;""),'Daily Sale entry '!X913,"")</f>
        <v/>
      </c>
      <c r="C2413">
        <f>IF(B2413="","",'Daily Sale entry '!AA913)</f>
        <v/>
      </c>
      <c r="D2413">
        <f>IF(C2413="","",0)</f>
        <v/>
      </c>
      <c r="E2413">
        <f>IF(C2413="","",'Daily Sale entry '!AC913)</f>
        <v/>
      </c>
      <c r="F2413" s="37">
        <f>IF(C2413="","",B2413+IF(E2413&gt;0,0,0.5)+ROW()/10000000)</f>
        <v/>
      </c>
      <c r="G2413">
        <f>IF(C2413="","","Collection 收款 (Online 网上)"&amp;IF('Daily Sale entry '!Y913="",""," - "&amp;'Daily Sale entry '!Y913))</f>
        <v/>
      </c>
      <c r="H2413">
        <f>IF(C2413="","",COUNTIFS($C$2:$C$3001,C2413,$F$2:$F$3001,"&lt;"&amp;F2413)+1)</f>
        <v/>
      </c>
      <c r="I2413">
        <f>IF(C2413="","",C2413&amp;"|"&amp;H2413)</f>
        <v/>
      </c>
      <c r="J2413" s="6">
        <f>IF(C2413="","",IF(H2413=1,SUMIFS('Opening Balance'!$F$4:$F$303,'Opening Balance'!$G$4:$G$303,C2413),INDEX($L$2:$L$3001,MATCH(C2413&amp;"|"&amp;(H2413-1),$I$2:$I$3001,0))))</f>
        <v/>
      </c>
      <c r="K2413" s="6">
        <f>IF(C2413="","",IF(M2413&gt;0,M2413,IF(AND(E2413&gt;0,ROUND(J2413+D2413-E2413,2)&gt;0,ROUND(J2413+D2413-E2413,2)&lt;'Opening Balance'!$B$14),ROUND(J2413+D2413-E2413,2),0)))</f>
        <v/>
      </c>
      <c r="L2413" s="6">
        <f>IF(C2413="","",ROUND(J2413+D2413-E2413-K2413,2))</f>
        <v/>
      </c>
      <c r="M2413" s="6">
        <f>IF(C2413="","",0)</f>
        <v/>
      </c>
    </row>
    <row r="2414">
      <c r="A2414" t="inlineStr">
        <is>
          <t>Bank 银行</t>
        </is>
      </c>
      <c r="B2414" s="5">
        <f>IF(AND('Daily Sale entry '!Z914="Online collection 网上收款",'Daily Sale entry '!AA914&lt;&gt;""),'Daily Sale entry '!X914,"")</f>
        <v/>
      </c>
      <c r="C2414">
        <f>IF(B2414="","",'Daily Sale entry '!AA914)</f>
        <v/>
      </c>
      <c r="D2414">
        <f>IF(C2414="","",0)</f>
        <v/>
      </c>
      <c r="E2414">
        <f>IF(C2414="","",'Daily Sale entry '!AC914)</f>
        <v/>
      </c>
      <c r="F2414" s="37">
        <f>IF(C2414="","",B2414+IF(E2414&gt;0,0,0.5)+ROW()/10000000)</f>
        <v/>
      </c>
      <c r="G2414">
        <f>IF(C2414="","","Collection 收款 (Online 网上)"&amp;IF('Daily Sale entry '!Y914="",""," - "&amp;'Daily Sale entry '!Y914))</f>
        <v/>
      </c>
      <c r="H2414">
        <f>IF(C2414="","",COUNTIFS($C$2:$C$3001,C2414,$F$2:$F$3001,"&lt;"&amp;F2414)+1)</f>
        <v/>
      </c>
      <c r="I2414">
        <f>IF(C2414="","",C2414&amp;"|"&amp;H2414)</f>
        <v/>
      </c>
      <c r="J2414" s="6">
        <f>IF(C2414="","",IF(H2414=1,SUMIFS('Opening Balance'!$F$4:$F$303,'Opening Balance'!$G$4:$G$303,C2414),INDEX($L$2:$L$3001,MATCH(C2414&amp;"|"&amp;(H2414-1),$I$2:$I$3001,0))))</f>
        <v/>
      </c>
      <c r="K2414" s="6">
        <f>IF(C2414="","",IF(M2414&gt;0,M2414,IF(AND(E2414&gt;0,ROUND(J2414+D2414-E2414,2)&gt;0,ROUND(J2414+D2414-E2414,2)&lt;'Opening Balance'!$B$14),ROUND(J2414+D2414-E2414,2),0)))</f>
        <v/>
      </c>
      <c r="L2414" s="6">
        <f>IF(C2414="","",ROUND(J2414+D2414-E2414-K2414,2))</f>
        <v/>
      </c>
      <c r="M2414" s="6">
        <f>IF(C2414="","",0)</f>
        <v/>
      </c>
    </row>
    <row r="2415">
      <c r="A2415" t="inlineStr">
        <is>
          <t>Bank 银行</t>
        </is>
      </c>
      <c r="B2415" s="5">
        <f>IF(AND('Daily Sale entry '!Z915="Online collection 网上收款",'Daily Sale entry '!AA915&lt;&gt;""),'Daily Sale entry '!X915,"")</f>
        <v/>
      </c>
      <c r="C2415">
        <f>IF(B2415="","",'Daily Sale entry '!AA915)</f>
        <v/>
      </c>
      <c r="D2415">
        <f>IF(C2415="","",0)</f>
        <v/>
      </c>
      <c r="E2415">
        <f>IF(C2415="","",'Daily Sale entry '!AC915)</f>
        <v/>
      </c>
      <c r="F2415" s="37">
        <f>IF(C2415="","",B2415+IF(E2415&gt;0,0,0.5)+ROW()/10000000)</f>
        <v/>
      </c>
      <c r="G2415">
        <f>IF(C2415="","","Collection 收款 (Online 网上)"&amp;IF('Daily Sale entry '!Y915="",""," - "&amp;'Daily Sale entry '!Y915))</f>
        <v/>
      </c>
      <c r="H2415">
        <f>IF(C2415="","",COUNTIFS($C$2:$C$3001,C2415,$F$2:$F$3001,"&lt;"&amp;F2415)+1)</f>
        <v/>
      </c>
      <c r="I2415">
        <f>IF(C2415="","",C2415&amp;"|"&amp;H2415)</f>
        <v/>
      </c>
      <c r="J2415" s="6">
        <f>IF(C2415="","",IF(H2415=1,SUMIFS('Opening Balance'!$F$4:$F$303,'Opening Balance'!$G$4:$G$303,C2415),INDEX($L$2:$L$3001,MATCH(C2415&amp;"|"&amp;(H2415-1),$I$2:$I$3001,0))))</f>
        <v/>
      </c>
      <c r="K2415" s="6">
        <f>IF(C2415="","",IF(M2415&gt;0,M2415,IF(AND(E2415&gt;0,ROUND(J2415+D2415-E2415,2)&gt;0,ROUND(J2415+D2415-E2415,2)&lt;'Opening Balance'!$B$14),ROUND(J2415+D2415-E2415,2),0)))</f>
        <v/>
      </c>
      <c r="L2415" s="6">
        <f>IF(C2415="","",ROUND(J2415+D2415-E2415-K2415,2))</f>
        <v/>
      </c>
      <c r="M2415" s="6">
        <f>IF(C2415="","",0)</f>
        <v/>
      </c>
    </row>
    <row r="2416">
      <c r="A2416" t="inlineStr">
        <is>
          <t>Bank 银行</t>
        </is>
      </c>
      <c r="B2416" s="5">
        <f>IF(AND('Daily Sale entry '!Z916="Online collection 网上收款",'Daily Sale entry '!AA916&lt;&gt;""),'Daily Sale entry '!X916,"")</f>
        <v/>
      </c>
      <c r="C2416">
        <f>IF(B2416="","",'Daily Sale entry '!AA916)</f>
        <v/>
      </c>
      <c r="D2416">
        <f>IF(C2416="","",0)</f>
        <v/>
      </c>
      <c r="E2416">
        <f>IF(C2416="","",'Daily Sale entry '!AC916)</f>
        <v/>
      </c>
      <c r="F2416" s="37">
        <f>IF(C2416="","",B2416+IF(E2416&gt;0,0,0.5)+ROW()/10000000)</f>
        <v/>
      </c>
      <c r="G2416">
        <f>IF(C2416="","","Collection 收款 (Online 网上)"&amp;IF('Daily Sale entry '!Y916="",""," - "&amp;'Daily Sale entry '!Y916))</f>
        <v/>
      </c>
      <c r="H2416">
        <f>IF(C2416="","",COUNTIFS($C$2:$C$3001,C2416,$F$2:$F$3001,"&lt;"&amp;F2416)+1)</f>
        <v/>
      </c>
      <c r="I2416">
        <f>IF(C2416="","",C2416&amp;"|"&amp;H2416)</f>
        <v/>
      </c>
      <c r="J2416" s="6">
        <f>IF(C2416="","",IF(H2416=1,SUMIFS('Opening Balance'!$F$4:$F$303,'Opening Balance'!$G$4:$G$303,C2416),INDEX($L$2:$L$3001,MATCH(C2416&amp;"|"&amp;(H2416-1),$I$2:$I$3001,0))))</f>
        <v/>
      </c>
      <c r="K2416" s="6">
        <f>IF(C2416="","",IF(M2416&gt;0,M2416,IF(AND(E2416&gt;0,ROUND(J2416+D2416-E2416,2)&gt;0,ROUND(J2416+D2416-E2416,2)&lt;'Opening Balance'!$B$14),ROUND(J2416+D2416-E2416,2),0)))</f>
        <v/>
      </c>
      <c r="L2416" s="6">
        <f>IF(C2416="","",ROUND(J2416+D2416-E2416-K2416,2))</f>
        <v/>
      </c>
      <c r="M2416" s="6">
        <f>IF(C2416="","",0)</f>
        <v/>
      </c>
    </row>
    <row r="2417">
      <c r="A2417" t="inlineStr">
        <is>
          <t>Bank 银行</t>
        </is>
      </c>
      <c r="B2417" s="5">
        <f>IF(AND('Daily Sale entry '!Z917="Online collection 网上收款",'Daily Sale entry '!AA917&lt;&gt;""),'Daily Sale entry '!X917,"")</f>
        <v/>
      </c>
      <c r="C2417">
        <f>IF(B2417="","",'Daily Sale entry '!AA917)</f>
        <v/>
      </c>
      <c r="D2417">
        <f>IF(C2417="","",0)</f>
        <v/>
      </c>
      <c r="E2417">
        <f>IF(C2417="","",'Daily Sale entry '!AC917)</f>
        <v/>
      </c>
      <c r="F2417" s="37">
        <f>IF(C2417="","",B2417+IF(E2417&gt;0,0,0.5)+ROW()/10000000)</f>
        <v/>
      </c>
      <c r="G2417">
        <f>IF(C2417="","","Collection 收款 (Online 网上)"&amp;IF('Daily Sale entry '!Y917="",""," - "&amp;'Daily Sale entry '!Y917))</f>
        <v/>
      </c>
      <c r="H2417">
        <f>IF(C2417="","",COUNTIFS($C$2:$C$3001,C2417,$F$2:$F$3001,"&lt;"&amp;F2417)+1)</f>
        <v/>
      </c>
      <c r="I2417">
        <f>IF(C2417="","",C2417&amp;"|"&amp;H2417)</f>
        <v/>
      </c>
      <c r="J2417" s="6">
        <f>IF(C2417="","",IF(H2417=1,SUMIFS('Opening Balance'!$F$4:$F$303,'Opening Balance'!$G$4:$G$303,C2417),INDEX($L$2:$L$3001,MATCH(C2417&amp;"|"&amp;(H2417-1),$I$2:$I$3001,0))))</f>
        <v/>
      </c>
      <c r="K2417" s="6">
        <f>IF(C2417="","",IF(M2417&gt;0,M2417,IF(AND(E2417&gt;0,ROUND(J2417+D2417-E2417,2)&gt;0,ROUND(J2417+D2417-E2417,2)&lt;'Opening Balance'!$B$14),ROUND(J2417+D2417-E2417,2),0)))</f>
        <v/>
      </c>
      <c r="L2417" s="6">
        <f>IF(C2417="","",ROUND(J2417+D2417-E2417-K2417,2))</f>
        <v/>
      </c>
      <c r="M2417" s="6">
        <f>IF(C2417="","",0)</f>
        <v/>
      </c>
    </row>
    <row r="2418">
      <c r="A2418" t="inlineStr">
        <is>
          <t>Bank 银行</t>
        </is>
      </c>
      <c r="B2418" s="5">
        <f>IF(AND('Daily Sale entry '!Z918="Online collection 网上收款",'Daily Sale entry '!AA918&lt;&gt;""),'Daily Sale entry '!X918,"")</f>
        <v/>
      </c>
      <c r="C2418">
        <f>IF(B2418="","",'Daily Sale entry '!AA918)</f>
        <v/>
      </c>
      <c r="D2418">
        <f>IF(C2418="","",0)</f>
        <v/>
      </c>
      <c r="E2418">
        <f>IF(C2418="","",'Daily Sale entry '!AC918)</f>
        <v/>
      </c>
      <c r="F2418" s="37">
        <f>IF(C2418="","",B2418+IF(E2418&gt;0,0,0.5)+ROW()/10000000)</f>
        <v/>
      </c>
      <c r="G2418">
        <f>IF(C2418="","","Collection 收款 (Online 网上)"&amp;IF('Daily Sale entry '!Y918="",""," - "&amp;'Daily Sale entry '!Y918))</f>
        <v/>
      </c>
      <c r="H2418">
        <f>IF(C2418="","",COUNTIFS($C$2:$C$3001,C2418,$F$2:$F$3001,"&lt;"&amp;F2418)+1)</f>
        <v/>
      </c>
      <c r="I2418">
        <f>IF(C2418="","",C2418&amp;"|"&amp;H2418)</f>
        <v/>
      </c>
      <c r="J2418" s="6">
        <f>IF(C2418="","",IF(H2418=1,SUMIFS('Opening Balance'!$F$4:$F$303,'Opening Balance'!$G$4:$G$303,C2418),INDEX($L$2:$L$3001,MATCH(C2418&amp;"|"&amp;(H2418-1),$I$2:$I$3001,0))))</f>
        <v/>
      </c>
      <c r="K2418" s="6">
        <f>IF(C2418="","",IF(M2418&gt;0,M2418,IF(AND(E2418&gt;0,ROUND(J2418+D2418-E2418,2)&gt;0,ROUND(J2418+D2418-E2418,2)&lt;'Opening Balance'!$B$14),ROUND(J2418+D2418-E2418,2),0)))</f>
        <v/>
      </c>
      <c r="L2418" s="6">
        <f>IF(C2418="","",ROUND(J2418+D2418-E2418-K2418,2))</f>
        <v/>
      </c>
      <c r="M2418" s="6">
        <f>IF(C2418="","",0)</f>
        <v/>
      </c>
    </row>
    <row r="2419">
      <c r="A2419" t="inlineStr">
        <is>
          <t>Bank 银行</t>
        </is>
      </c>
      <c r="B2419" s="5">
        <f>IF(AND('Daily Sale entry '!Z919="Online collection 网上收款",'Daily Sale entry '!AA919&lt;&gt;""),'Daily Sale entry '!X919,"")</f>
        <v/>
      </c>
      <c r="C2419">
        <f>IF(B2419="","",'Daily Sale entry '!AA919)</f>
        <v/>
      </c>
      <c r="D2419">
        <f>IF(C2419="","",0)</f>
        <v/>
      </c>
      <c r="E2419">
        <f>IF(C2419="","",'Daily Sale entry '!AC919)</f>
        <v/>
      </c>
      <c r="F2419" s="37">
        <f>IF(C2419="","",B2419+IF(E2419&gt;0,0,0.5)+ROW()/10000000)</f>
        <v/>
      </c>
      <c r="G2419">
        <f>IF(C2419="","","Collection 收款 (Online 网上)"&amp;IF('Daily Sale entry '!Y919="",""," - "&amp;'Daily Sale entry '!Y919))</f>
        <v/>
      </c>
      <c r="H2419">
        <f>IF(C2419="","",COUNTIFS($C$2:$C$3001,C2419,$F$2:$F$3001,"&lt;"&amp;F2419)+1)</f>
        <v/>
      </c>
      <c r="I2419">
        <f>IF(C2419="","",C2419&amp;"|"&amp;H2419)</f>
        <v/>
      </c>
      <c r="J2419" s="6">
        <f>IF(C2419="","",IF(H2419=1,SUMIFS('Opening Balance'!$F$4:$F$303,'Opening Balance'!$G$4:$G$303,C2419),INDEX($L$2:$L$3001,MATCH(C2419&amp;"|"&amp;(H2419-1),$I$2:$I$3001,0))))</f>
        <v/>
      </c>
      <c r="K2419" s="6">
        <f>IF(C2419="","",IF(M2419&gt;0,M2419,IF(AND(E2419&gt;0,ROUND(J2419+D2419-E2419,2)&gt;0,ROUND(J2419+D2419-E2419,2)&lt;'Opening Balance'!$B$14),ROUND(J2419+D2419-E2419,2),0)))</f>
        <v/>
      </c>
      <c r="L2419" s="6">
        <f>IF(C2419="","",ROUND(J2419+D2419-E2419-K2419,2))</f>
        <v/>
      </c>
      <c r="M2419" s="6">
        <f>IF(C2419="","",0)</f>
        <v/>
      </c>
    </row>
    <row r="2420">
      <c r="A2420" t="inlineStr">
        <is>
          <t>Bank 银行</t>
        </is>
      </c>
      <c r="B2420" s="5">
        <f>IF(AND('Daily Sale entry '!Z920="Online collection 网上收款",'Daily Sale entry '!AA920&lt;&gt;""),'Daily Sale entry '!X920,"")</f>
        <v/>
      </c>
      <c r="C2420">
        <f>IF(B2420="","",'Daily Sale entry '!AA920)</f>
        <v/>
      </c>
      <c r="D2420">
        <f>IF(C2420="","",0)</f>
        <v/>
      </c>
      <c r="E2420">
        <f>IF(C2420="","",'Daily Sale entry '!AC920)</f>
        <v/>
      </c>
      <c r="F2420" s="37">
        <f>IF(C2420="","",B2420+IF(E2420&gt;0,0,0.5)+ROW()/10000000)</f>
        <v/>
      </c>
      <c r="G2420">
        <f>IF(C2420="","","Collection 收款 (Online 网上)"&amp;IF('Daily Sale entry '!Y920="",""," - "&amp;'Daily Sale entry '!Y920))</f>
        <v/>
      </c>
      <c r="H2420">
        <f>IF(C2420="","",COUNTIFS($C$2:$C$3001,C2420,$F$2:$F$3001,"&lt;"&amp;F2420)+1)</f>
        <v/>
      </c>
      <c r="I2420">
        <f>IF(C2420="","",C2420&amp;"|"&amp;H2420)</f>
        <v/>
      </c>
      <c r="J2420" s="6">
        <f>IF(C2420="","",IF(H2420=1,SUMIFS('Opening Balance'!$F$4:$F$303,'Opening Balance'!$G$4:$G$303,C2420),INDEX($L$2:$L$3001,MATCH(C2420&amp;"|"&amp;(H2420-1),$I$2:$I$3001,0))))</f>
        <v/>
      </c>
      <c r="K2420" s="6">
        <f>IF(C2420="","",IF(M2420&gt;0,M2420,IF(AND(E2420&gt;0,ROUND(J2420+D2420-E2420,2)&gt;0,ROUND(J2420+D2420-E2420,2)&lt;'Opening Balance'!$B$14),ROUND(J2420+D2420-E2420,2),0)))</f>
        <v/>
      </c>
      <c r="L2420" s="6">
        <f>IF(C2420="","",ROUND(J2420+D2420-E2420-K2420,2))</f>
        <v/>
      </c>
      <c r="M2420" s="6">
        <f>IF(C2420="","",0)</f>
        <v/>
      </c>
    </row>
    <row r="2421">
      <c r="A2421" t="inlineStr">
        <is>
          <t>Bank 银行</t>
        </is>
      </c>
      <c r="B2421" s="5">
        <f>IF(AND('Daily Sale entry '!Z921="Online collection 网上收款",'Daily Sale entry '!AA921&lt;&gt;""),'Daily Sale entry '!X921,"")</f>
        <v/>
      </c>
      <c r="C2421">
        <f>IF(B2421="","",'Daily Sale entry '!AA921)</f>
        <v/>
      </c>
      <c r="D2421">
        <f>IF(C2421="","",0)</f>
        <v/>
      </c>
      <c r="E2421">
        <f>IF(C2421="","",'Daily Sale entry '!AC921)</f>
        <v/>
      </c>
      <c r="F2421" s="37">
        <f>IF(C2421="","",B2421+IF(E2421&gt;0,0,0.5)+ROW()/10000000)</f>
        <v/>
      </c>
      <c r="G2421">
        <f>IF(C2421="","","Collection 收款 (Online 网上)"&amp;IF('Daily Sale entry '!Y921="",""," - "&amp;'Daily Sale entry '!Y921))</f>
        <v/>
      </c>
      <c r="H2421">
        <f>IF(C2421="","",COUNTIFS($C$2:$C$3001,C2421,$F$2:$F$3001,"&lt;"&amp;F2421)+1)</f>
        <v/>
      </c>
      <c r="I2421">
        <f>IF(C2421="","",C2421&amp;"|"&amp;H2421)</f>
        <v/>
      </c>
      <c r="J2421" s="6">
        <f>IF(C2421="","",IF(H2421=1,SUMIFS('Opening Balance'!$F$4:$F$303,'Opening Balance'!$G$4:$G$303,C2421),INDEX($L$2:$L$3001,MATCH(C2421&amp;"|"&amp;(H2421-1),$I$2:$I$3001,0))))</f>
        <v/>
      </c>
      <c r="K2421" s="6">
        <f>IF(C2421="","",IF(M2421&gt;0,M2421,IF(AND(E2421&gt;0,ROUND(J2421+D2421-E2421,2)&gt;0,ROUND(J2421+D2421-E2421,2)&lt;'Opening Balance'!$B$14),ROUND(J2421+D2421-E2421,2),0)))</f>
        <v/>
      </c>
      <c r="L2421" s="6">
        <f>IF(C2421="","",ROUND(J2421+D2421-E2421-K2421,2))</f>
        <v/>
      </c>
      <c r="M2421" s="6">
        <f>IF(C2421="","",0)</f>
        <v/>
      </c>
    </row>
    <row r="2422">
      <c r="A2422" t="inlineStr">
        <is>
          <t>Bank 银行</t>
        </is>
      </c>
      <c r="B2422" s="5">
        <f>IF(AND('Daily Sale entry '!Z922="Online collection 网上收款",'Daily Sale entry '!AA922&lt;&gt;""),'Daily Sale entry '!X922,"")</f>
        <v/>
      </c>
      <c r="C2422">
        <f>IF(B2422="","",'Daily Sale entry '!AA922)</f>
        <v/>
      </c>
      <c r="D2422">
        <f>IF(C2422="","",0)</f>
        <v/>
      </c>
      <c r="E2422">
        <f>IF(C2422="","",'Daily Sale entry '!AC922)</f>
        <v/>
      </c>
      <c r="F2422" s="37">
        <f>IF(C2422="","",B2422+IF(E2422&gt;0,0,0.5)+ROW()/10000000)</f>
        <v/>
      </c>
      <c r="G2422">
        <f>IF(C2422="","","Collection 收款 (Online 网上)"&amp;IF('Daily Sale entry '!Y922="",""," - "&amp;'Daily Sale entry '!Y922))</f>
        <v/>
      </c>
      <c r="H2422">
        <f>IF(C2422="","",COUNTIFS($C$2:$C$3001,C2422,$F$2:$F$3001,"&lt;"&amp;F2422)+1)</f>
        <v/>
      </c>
      <c r="I2422">
        <f>IF(C2422="","",C2422&amp;"|"&amp;H2422)</f>
        <v/>
      </c>
      <c r="J2422" s="6">
        <f>IF(C2422="","",IF(H2422=1,SUMIFS('Opening Balance'!$F$4:$F$303,'Opening Balance'!$G$4:$G$303,C2422),INDEX($L$2:$L$3001,MATCH(C2422&amp;"|"&amp;(H2422-1),$I$2:$I$3001,0))))</f>
        <v/>
      </c>
      <c r="K2422" s="6">
        <f>IF(C2422="","",IF(M2422&gt;0,M2422,IF(AND(E2422&gt;0,ROUND(J2422+D2422-E2422,2)&gt;0,ROUND(J2422+D2422-E2422,2)&lt;'Opening Balance'!$B$14),ROUND(J2422+D2422-E2422,2),0)))</f>
        <v/>
      </c>
      <c r="L2422" s="6">
        <f>IF(C2422="","",ROUND(J2422+D2422-E2422-K2422,2))</f>
        <v/>
      </c>
      <c r="M2422" s="6">
        <f>IF(C2422="","",0)</f>
        <v/>
      </c>
    </row>
    <row r="2423">
      <c r="A2423" t="inlineStr">
        <is>
          <t>Bank 银行</t>
        </is>
      </c>
      <c r="B2423" s="5">
        <f>IF(AND('Daily Sale entry '!Z923="Online collection 网上收款",'Daily Sale entry '!AA923&lt;&gt;""),'Daily Sale entry '!X923,"")</f>
        <v/>
      </c>
      <c r="C2423">
        <f>IF(B2423="","",'Daily Sale entry '!AA923)</f>
        <v/>
      </c>
      <c r="D2423">
        <f>IF(C2423="","",0)</f>
        <v/>
      </c>
      <c r="E2423">
        <f>IF(C2423="","",'Daily Sale entry '!AC923)</f>
        <v/>
      </c>
      <c r="F2423" s="37">
        <f>IF(C2423="","",B2423+IF(E2423&gt;0,0,0.5)+ROW()/10000000)</f>
        <v/>
      </c>
      <c r="G2423">
        <f>IF(C2423="","","Collection 收款 (Online 网上)"&amp;IF('Daily Sale entry '!Y923="",""," - "&amp;'Daily Sale entry '!Y923))</f>
        <v/>
      </c>
      <c r="H2423">
        <f>IF(C2423="","",COUNTIFS($C$2:$C$3001,C2423,$F$2:$F$3001,"&lt;"&amp;F2423)+1)</f>
        <v/>
      </c>
      <c r="I2423">
        <f>IF(C2423="","",C2423&amp;"|"&amp;H2423)</f>
        <v/>
      </c>
      <c r="J2423" s="6">
        <f>IF(C2423="","",IF(H2423=1,SUMIFS('Opening Balance'!$F$4:$F$303,'Opening Balance'!$G$4:$G$303,C2423),INDEX($L$2:$L$3001,MATCH(C2423&amp;"|"&amp;(H2423-1),$I$2:$I$3001,0))))</f>
        <v/>
      </c>
      <c r="K2423" s="6">
        <f>IF(C2423="","",IF(M2423&gt;0,M2423,IF(AND(E2423&gt;0,ROUND(J2423+D2423-E2423,2)&gt;0,ROUND(J2423+D2423-E2423,2)&lt;'Opening Balance'!$B$14),ROUND(J2423+D2423-E2423,2),0)))</f>
        <v/>
      </c>
      <c r="L2423" s="6">
        <f>IF(C2423="","",ROUND(J2423+D2423-E2423-K2423,2))</f>
        <v/>
      </c>
      <c r="M2423" s="6">
        <f>IF(C2423="","",0)</f>
        <v/>
      </c>
    </row>
    <row r="2424">
      <c r="A2424" t="inlineStr">
        <is>
          <t>Bank 银行</t>
        </is>
      </c>
      <c r="B2424" s="5">
        <f>IF(AND('Daily Sale entry '!Z924="Online collection 网上收款",'Daily Sale entry '!AA924&lt;&gt;""),'Daily Sale entry '!X924,"")</f>
        <v/>
      </c>
      <c r="C2424">
        <f>IF(B2424="","",'Daily Sale entry '!AA924)</f>
        <v/>
      </c>
      <c r="D2424">
        <f>IF(C2424="","",0)</f>
        <v/>
      </c>
      <c r="E2424">
        <f>IF(C2424="","",'Daily Sale entry '!AC924)</f>
        <v/>
      </c>
      <c r="F2424" s="37">
        <f>IF(C2424="","",B2424+IF(E2424&gt;0,0,0.5)+ROW()/10000000)</f>
        <v/>
      </c>
      <c r="G2424">
        <f>IF(C2424="","","Collection 收款 (Online 网上)"&amp;IF('Daily Sale entry '!Y924="",""," - "&amp;'Daily Sale entry '!Y924))</f>
        <v/>
      </c>
      <c r="H2424">
        <f>IF(C2424="","",COUNTIFS($C$2:$C$3001,C2424,$F$2:$F$3001,"&lt;"&amp;F2424)+1)</f>
        <v/>
      </c>
      <c r="I2424">
        <f>IF(C2424="","",C2424&amp;"|"&amp;H2424)</f>
        <v/>
      </c>
      <c r="J2424" s="6">
        <f>IF(C2424="","",IF(H2424=1,SUMIFS('Opening Balance'!$F$4:$F$303,'Opening Balance'!$G$4:$G$303,C2424),INDEX($L$2:$L$3001,MATCH(C2424&amp;"|"&amp;(H2424-1),$I$2:$I$3001,0))))</f>
        <v/>
      </c>
      <c r="K2424" s="6">
        <f>IF(C2424="","",IF(M2424&gt;0,M2424,IF(AND(E2424&gt;0,ROUND(J2424+D2424-E2424,2)&gt;0,ROUND(J2424+D2424-E2424,2)&lt;'Opening Balance'!$B$14),ROUND(J2424+D2424-E2424,2),0)))</f>
        <v/>
      </c>
      <c r="L2424" s="6">
        <f>IF(C2424="","",ROUND(J2424+D2424-E2424-K2424,2))</f>
        <v/>
      </c>
      <c r="M2424" s="6">
        <f>IF(C2424="","",0)</f>
        <v/>
      </c>
    </row>
    <row r="2425">
      <c r="A2425" t="inlineStr">
        <is>
          <t>Bank 银行</t>
        </is>
      </c>
      <c r="B2425" s="5">
        <f>IF(AND('Daily Sale entry '!Z925="Online collection 网上收款",'Daily Sale entry '!AA925&lt;&gt;""),'Daily Sale entry '!X925,"")</f>
        <v/>
      </c>
      <c r="C2425">
        <f>IF(B2425="","",'Daily Sale entry '!AA925)</f>
        <v/>
      </c>
      <c r="D2425">
        <f>IF(C2425="","",0)</f>
        <v/>
      </c>
      <c r="E2425">
        <f>IF(C2425="","",'Daily Sale entry '!AC925)</f>
        <v/>
      </c>
      <c r="F2425" s="37">
        <f>IF(C2425="","",B2425+IF(E2425&gt;0,0,0.5)+ROW()/10000000)</f>
        <v/>
      </c>
      <c r="G2425">
        <f>IF(C2425="","","Collection 收款 (Online 网上)"&amp;IF('Daily Sale entry '!Y925="",""," - "&amp;'Daily Sale entry '!Y925))</f>
        <v/>
      </c>
      <c r="H2425">
        <f>IF(C2425="","",COUNTIFS($C$2:$C$3001,C2425,$F$2:$F$3001,"&lt;"&amp;F2425)+1)</f>
        <v/>
      </c>
      <c r="I2425">
        <f>IF(C2425="","",C2425&amp;"|"&amp;H2425)</f>
        <v/>
      </c>
      <c r="J2425" s="6">
        <f>IF(C2425="","",IF(H2425=1,SUMIFS('Opening Balance'!$F$4:$F$303,'Opening Balance'!$G$4:$G$303,C2425),INDEX($L$2:$L$3001,MATCH(C2425&amp;"|"&amp;(H2425-1),$I$2:$I$3001,0))))</f>
        <v/>
      </c>
      <c r="K2425" s="6">
        <f>IF(C2425="","",IF(M2425&gt;0,M2425,IF(AND(E2425&gt;0,ROUND(J2425+D2425-E2425,2)&gt;0,ROUND(J2425+D2425-E2425,2)&lt;'Opening Balance'!$B$14),ROUND(J2425+D2425-E2425,2),0)))</f>
        <v/>
      </c>
      <c r="L2425" s="6">
        <f>IF(C2425="","",ROUND(J2425+D2425-E2425-K2425,2))</f>
        <v/>
      </c>
      <c r="M2425" s="6">
        <f>IF(C2425="","",0)</f>
        <v/>
      </c>
    </row>
    <row r="2426">
      <c r="A2426" t="inlineStr">
        <is>
          <t>Bank 银行</t>
        </is>
      </c>
      <c r="B2426" s="5">
        <f>IF(AND('Daily Sale entry '!Z926="Online collection 网上收款",'Daily Sale entry '!AA926&lt;&gt;""),'Daily Sale entry '!X926,"")</f>
        <v/>
      </c>
      <c r="C2426">
        <f>IF(B2426="","",'Daily Sale entry '!AA926)</f>
        <v/>
      </c>
      <c r="D2426">
        <f>IF(C2426="","",0)</f>
        <v/>
      </c>
      <c r="E2426">
        <f>IF(C2426="","",'Daily Sale entry '!AC926)</f>
        <v/>
      </c>
      <c r="F2426" s="37">
        <f>IF(C2426="","",B2426+IF(E2426&gt;0,0,0.5)+ROW()/10000000)</f>
        <v/>
      </c>
      <c r="G2426">
        <f>IF(C2426="","","Collection 收款 (Online 网上)"&amp;IF('Daily Sale entry '!Y926="",""," - "&amp;'Daily Sale entry '!Y926))</f>
        <v/>
      </c>
      <c r="H2426">
        <f>IF(C2426="","",COUNTIFS($C$2:$C$3001,C2426,$F$2:$F$3001,"&lt;"&amp;F2426)+1)</f>
        <v/>
      </c>
      <c r="I2426">
        <f>IF(C2426="","",C2426&amp;"|"&amp;H2426)</f>
        <v/>
      </c>
      <c r="J2426" s="6">
        <f>IF(C2426="","",IF(H2426=1,SUMIFS('Opening Balance'!$F$4:$F$303,'Opening Balance'!$G$4:$G$303,C2426),INDEX($L$2:$L$3001,MATCH(C2426&amp;"|"&amp;(H2426-1),$I$2:$I$3001,0))))</f>
        <v/>
      </c>
      <c r="K2426" s="6">
        <f>IF(C2426="","",IF(M2426&gt;0,M2426,IF(AND(E2426&gt;0,ROUND(J2426+D2426-E2426,2)&gt;0,ROUND(J2426+D2426-E2426,2)&lt;'Opening Balance'!$B$14),ROUND(J2426+D2426-E2426,2),0)))</f>
        <v/>
      </c>
      <c r="L2426" s="6">
        <f>IF(C2426="","",ROUND(J2426+D2426-E2426-K2426,2))</f>
        <v/>
      </c>
      <c r="M2426" s="6">
        <f>IF(C2426="","",0)</f>
        <v/>
      </c>
    </row>
    <row r="2427">
      <c r="A2427" t="inlineStr">
        <is>
          <t>Bank 银行</t>
        </is>
      </c>
      <c r="B2427" s="5">
        <f>IF(AND('Daily Sale entry '!Z927="Online collection 网上收款",'Daily Sale entry '!AA927&lt;&gt;""),'Daily Sale entry '!X927,"")</f>
        <v/>
      </c>
      <c r="C2427">
        <f>IF(B2427="","",'Daily Sale entry '!AA927)</f>
        <v/>
      </c>
      <c r="D2427">
        <f>IF(C2427="","",0)</f>
        <v/>
      </c>
      <c r="E2427">
        <f>IF(C2427="","",'Daily Sale entry '!AC927)</f>
        <v/>
      </c>
      <c r="F2427" s="37">
        <f>IF(C2427="","",B2427+IF(E2427&gt;0,0,0.5)+ROW()/10000000)</f>
        <v/>
      </c>
      <c r="G2427">
        <f>IF(C2427="","","Collection 收款 (Online 网上)"&amp;IF('Daily Sale entry '!Y927="",""," - "&amp;'Daily Sale entry '!Y927))</f>
        <v/>
      </c>
      <c r="H2427">
        <f>IF(C2427="","",COUNTIFS($C$2:$C$3001,C2427,$F$2:$F$3001,"&lt;"&amp;F2427)+1)</f>
        <v/>
      </c>
      <c r="I2427">
        <f>IF(C2427="","",C2427&amp;"|"&amp;H2427)</f>
        <v/>
      </c>
      <c r="J2427" s="6">
        <f>IF(C2427="","",IF(H2427=1,SUMIFS('Opening Balance'!$F$4:$F$303,'Opening Balance'!$G$4:$G$303,C2427),INDEX($L$2:$L$3001,MATCH(C2427&amp;"|"&amp;(H2427-1),$I$2:$I$3001,0))))</f>
        <v/>
      </c>
      <c r="K2427" s="6">
        <f>IF(C2427="","",IF(M2427&gt;0,M2427,IF(AND(E2427&gt;0,ROUND(J2427+D2427-E2427,2)&gt;0,ROUND(J2427+D2427-E2427,2)&lt;'Opening Balance'!$B$14),ROUND(J2427+D2427-E2427,2),0)))</f>
        <v/>
      </c>
      <c r="L2427" s="6">
        <f>IF(C2427="","",ROUND(J2427+D2427-E2427-K2427,2))</f>
        <v/>
      </c>
      <c r="M2427" s="6">
        <f>IF(C2427="","",0)</f>
        <v/>
      </c>
    </row>
    <row r="2428">
      <c r="A2428" t="inlineStr">
        <is>
          <t>Bank 银行</t>
        </is>
      </c>
      <c r="B2428" s="5">
        <f>IF(AND('Daily Sale entry '!Z928="Online collection 网上收款",'Daily Sale entry '!AA928&lt;&gt;""),'Daily Sale entry '!X928,"")</f>
        <v/>
      </c>
      <c r="C2428">
        <f>IF(B2428="","",'Daily Sale entry '!AA928)</f>
        <v/>
      </c>
      <c r="D2428">
        <f>IF(C2428="","",0)</f>
        <v/>
      </c>
      <c r="E2428">
        <f>IF(C2428="","",'Daily Sale entry '!AC928)</f>
        <v/>
      </c>
      <c r="F2428" s="37">
        <f>IF(C2428="","",B2428+IF(E2428&gt;0,0,0.5)+ROW()/10000000)</f>
        <v/>
      </c>
      <c r="G2428">
        <f>IF(C2428="","","Collection 收款 (Online 网上)"&amp;IF('Daily Sale entry '!Y928="",""," - "&amp;'Daily Sale entry '!Y928))</f>
        <v/>
      </c>
      <c r="H2428">
        <f>IF(C2428="","",COUNTIFS($C$2:$C$3001,C2428,$F$2:$F$3001,"&lt;"&amp;F2428)+1)</f>
        <v/>
      </c>
      <c r="I2428">
        <f>IF(C2428="","",C2428&amp;"|"&amp;H2428)</f>
        <v/>
      </c>
      <c r="J2428" s="6">
        <f>IF(C2428="","",IF(H2428=1,SUMIFS('Opening Balance'!$F$4:$F$303,'Opening Balance'!$G$4:$G$303,C2428),INDEX($L$2:$L$3001,MATCH(C2428&amp;"|"&amp;(H2428-1),$I$2:$I$3001,0))))</f>
        <v/>
      </c>
      <c r="K2428" s="6">
        <f>IF(C2428="","",IF(M2428&gt;0,M2428,IF(AND(E2428&gt;0,ROUND(J2428+D2428-E2428,2)&gt;0,ROUND(J2428+D2428-E2428,2)&lt;'Opening Balance'!$B$14),ROUND(J2428+D2428-E2428,2),0)))</f>
        <v/>
      </c>
      <c r="L2428" s="6">
        <f>IF(C2428="","",ROUND(J2428+D2428-E2428-K2428,2))</f>
        <v/>
      </c>
      <c r="M2428" s="6">
        <f>IF(C2428="","",0)</f>
        <v/>
      </c>
    </row>
    <row r="2429">
      <c r="A2429" t="inlineStr">
        <is>
          <t>Bank 银行</t>
        </is>
      </c>
      <c r="B2429" s="5">
        <f>IF(AND('Daily Sale entry '!Z929="Online collection 网上收款",'Daily Sale entry '!AA929&lt;&gt;""),'Daily Sale entry '!X929,"")</f>
        <v/>
      </c>
      <c r="C2429">
        <f>IF(B2429="","",'Daily Sale entry '!AA929)</f>
        <v/>
      </c>
      <c r="D2429">
        <f>IF(C2429="","",0)</f>
        <v/>
      </c>
      <c r="E2429">
        <f>IF(C2429="","",'Daily Sale entry '!AC929)</f>
        <v/>
      </c>
      <c r="F2429" s="37">
        <f>IF(C2429="","",B2429+IF(E2429&gt;0,0,0.5)+ROW()/10000000)</f>
        <v/>
      </c>
      <c r="G2429">
        <f>IF(C2429="","","Collection 收款 (Online 网上)"&amp;IF('Daily Sale entry '!Y929="",""," - "&amp;'Daily Sale entry '!Y929))</f>
        <v/>
      </c>
      <c r="H2429">
        <f>IF(C2429="","",COUNTIFS($C$2:$C$3001,C2429,$F$2:$F$3001,"&lt;"&amp;F2429)+1)</f>
        <v/>
      </c>
      <c r="I2429">
        <f>IF(C2429="","",C2429&amp;"|"&amp;H2429)</f>
        <v/>
      </c>
      <c r="J2429" s="6">
        <f>IF(C2429="","",IF(H2429=1,SUMIFS('Opening Balance'!$F$4:$F$303,'Opening Balance'!$G$4:$G$303,C2429),INDEX($L$2:$L$3001,MATCH(C2429&amp;"|"&amp;(H2429-1),$I$2:$I$3001,0))))</f>
        <v/>
      </c>
      <c r="K2429" s="6">
        <f>IF(C2429="","",IF(M2429&gt;0,M2429,IF(AND(E2429&gt;0,ROUND(J2429+D2429-E2429,2)&gt;0,ROUND(J2429+D2429-E2429,2)&lt;'Opening Balance'!$B$14),ROUND(J2429+D2429-E2429,2),0)))</f>
        <v/>
      </c>
      <c r="L2429" s="6">
        <f>IF(C2429="","",ROUND(J2429+D2429-E2429-K2429,2))</f>
        <v/>
      </c>
      <c r="M2429" s="6">
        <f>IF(C2429="","",0)</f>
        <v/>
      </c>
    </row>
    <row r="2430">
      <c r="A2430" t="inlineStr">
        <is>
          <t>Bank 银行</t>
        </is>
      </c>
      <c r="B2430" s="5">
        <f>IF(AND('Daily Sale entry '!Z930="Online collection 网上收款",'Daily Sale entry '!AA930&lt;&gt;""),'Daily Sale entry '!X930,"")</f>
        <v/>
      </c>
      <c r="C2430">
        <f>IF(B2430="","",'Daily Sale entry '!AA930)</f>
        <v/>
      </c>
      <c r="D2430">
        <f>IF(C2430="","",0)</f>
        <v/>
      </c>
      <c r="E2430">
        <f>IF(C2430="","",'Daily Sale entry '!AC930)</f>
        <v/>
      </c>
      <c r="F2430" s="37">
        <f>IF(C2430="","",B2430+IF(E2430&gt;0,0,0.5)+ROW()/10000000)</f>
        <v/>
      </c>
      <c r="G2430">
        <f>IF(C2430="","","Collection 收款 (Online 网上)"&amp;IF('Daily Sale entry '!Y930="",""," - "&amp;'Daily Sale entry '!Y930))</f>
        <v/>
      </c>
      <c r="H2430">
        <f>IF(C2430="","",COUNTIFS($C$2:$C$3001,C2430,$F$2:$F$3001,"&lt;"&amp;F2430)+1)</f>
        <v/>
      </c>
      <c r="I2430">
        <f>IF(C2430="","",C2430&amp;"|"&amp;H2430)</f>
        <v/>
      </c>
      <c r="J2430" s="6">
        <f>IF(C2430="","",IF(H2430=1,SUMIFS('Opening Balance'!$F$4:$F$303,'Opening Balance'!$G$4:$G$303,C2430),INDEX($L$2:$L$3001,MATCH(C2430&amp;"|"&amp;(H2430-1),$I$2:$I$3001,0))))</f>
        <v/>
      </c>
      <c r="K2430" s="6">
        <f>IF(C2430="","",IF(M2430&gt;0,M2430,IF(AND(E2430&gt;0,ROUND(J2430+D2430-E2430,2)&gt;0,ROUND(J2430+D2430-E2430,2)&lt;'Opening Balance'!$B$14),ROUND(J2430+D2430-E2430,2),0)))</f>
        <v/>
      </c>
      <c r="L2430" s="6">
        <f>IF(C2430="","",ROUND(J2430+D2430-E2430-K2430,2))</f>
        <v/>
      </c>
      <c r="M2430" s="6">
        <f>IF(C2430="","",0)</f>
        <v/>
      </c>
    </row>
    <row r="2431">
      <c r="A2431" t="inlineStr">
        <is>
          <t>Bank 银行</t>
        </is>
      </c>
      <c r="B2431" s="5">
        <f>IF(AND('Daily Sale entry '!Z931="Online collection 网上收款",'Daily Sale entry '!AA931&lt;&gt;""),'Daily Sale entry '!X931,"")</f>
        <v/>
      </c>
      <c r="C2431">
        <f>IF(B2431="","",'Daily Sale entry '!AA931)</f>
        <v/>
      </c>
      <c r="D2431">
        <f>IF(C2431="","",0)</f>
        <v/>
      </c>
      <c r="E2431">
        <f>IF(C2431="","",'Daily Sale entry '!AC931)</f>
        <v/>
      </c>
      <c r="F2431" s="37">
        <f>IF(C2431="","",B2431+IF(E2431&gt;0,0,0.5)+ROW()/10000000)</f>
        <v/>
      </c>
      <c r="G2431">
        <f>IF(C2431="","","Collection 收款 (Online 网上)"&amp;IF('Daily Sale entry '!Y931="",""," - "&amp;'Daily Sale entry '!Y931))</f>
        <v/>
      </c>
      <c r="H2431">
        <f>IF(C2431="","",COUNTIFS($C$2:$C$3001,C2431,$F$2:$F$3001,"&lt;"&amp;F2431)+1)</f>
        <v/>
      </c>
      <c r="I2431">
        <f>IF(C2431="","",C2431&amp;"|"&amp;H2431)</f>
        <v/>
      </c>
      <c r="J2431" s="6">
        <f>IF(C2431="","",IF(H2431=1,SUMIFS('Opening Balance'!$F$4:$F$303,'Opening Balance'!$G$4:$G$303,C2431),INDEX($L$2:$L$3001,MATCH(C2431&amp;"|"&amp;(H2431-1),$I$2:$I$3001,0))))</f>
        <v/>
      </c>
      <c r="K2431" s="6">
        <f>IF(C2431="","",IF(M2431&gt;0,M2431,IF(AND(E2431&gt;0,ROUND(J2431+D2431-E2431,2)&gt;0,ROUND(J2431+D2431-E2431,2)&lt;'Opening Balance'!$B$14),ROUND(J2431+D2431-E2431,2),0)))</f>
        <v/>
      </c>
      <c r="L2431" s="6">
        <f>IF(C2431="","",ROUND(J2431+D2431-E2431-K2431,2))</f>
        <v/>
      </c>
      <c r="M2431" s="6">
        <f>IF(C2431="","",0)</f>
        <v/>
      </c>
    </row>
    <row r="2432">
      <c r="A2432" t="inlineStr">
        <is>
          <t>Bank 银行</t>
        </is>
      </c>
      <c r="B2432" s="5">
        <f>IF(AND('Daily Sale entry '!Z932="Online collection 网上收款",'Daily Sale entry '!AA932&lt;&gt;""),'Daily Sale entry '!X932,"")</f>
        <v/>
      </c>
      <c r="C2432">
        <f>IF(B2432="","",'Daily Sale entry '!AA932)</f>
        <v/>
      </c>
      <c r="D2432">
        <f>IF(C2432="","",0)</f>
        <v/>
      </c>
      <c r="E2432">
        <f>IF(C2432="","",'Daily Sale entry '!AC932)</f>
        <v/>
      </c>
      <c r="F2432" s="37">
        <f>IF(C2432="","",B2432+IF(E2432&gt;0,0,0.5)+ROW()/10000000)</f>
        <v/>
      </c>
      <c r="G2432">
        <f>IF(C2432="","","Collection 收款 (Online 网上)"&amp;IF('Daily Sale entry '!Y932="",""," - "&amp;'Daily Sale entry '!Y932))</f>
        <v/>
      </c>
      <c r="H2432">
        <f>IF(C2432="","",COUNTIFS($C$2:$C$3001,C2432,$F$2:$F$3001,"&lt;"&amp;F2432)+1)</f>
        <v/>
      </c>
      <c r="I2432">
        <f>IF(C2432="","",C2432&amp;"|"&amp;H2432)</f>
        <v/>
      </c>
      <c r="J2432" s="6">
        <f>IF(C2432="","",IF(H2432=1,SUMIFS('Opening Balance'!$F$4:$F$303,'Opening Balance'!$G$4:$G$303,C2432),INDEX($L$2:$L$3001,MATCH(C2432&amp;"|"&amp;(H2432-1),$I$2:$I$3001,0))))</f>
        <v/>
      </c>
      <c r="K2432" s="6">
        <f>IF(C2432="","",IF(M2432&gt;0,M2432,IF(AND(E2432&gt;0,ROUND(J2432+D2432-E2432,2)&gt;0,ROUND(J2432+D2432-E2432,2)&lt;'Opening Balance'!$B$14),ROUND(J2432+D2432-E2432,2),0)))</f>
        <v/>
      </c>
      <c r="L2432" s="6">
        <f>IF(C2432="","",ROUND(J2432+D2432-E2432-K2432,2))</f>
        <v/>
      </c>
      <c r="M2432" s="6">
        <f>IF(C2432="","",0)</f>
        <v/>
      </c>
    </row>
    <row r="2433">
      <c r="A2433" t="inlineStr">
        <is>
          <t>Bank 银行</t>
        </is>
      </c>
      <c r="B2433" s="5">
        <f>IF(AND('Daily Sale entry '!Z933="Online collection 网上收款",'Daily Sale entry '!AA933&lt;&gt;""),'Daily Sale entry '!X933,"")</f>
        <v/>
      </c>
      <c r="C2433">
        <f>IF(B2433="","",'Daily Sale entry '!AA933)</f>
        <v/>
      </c>
      <c r="D2433">
        <f>IF(C2433="","",0)</f>
        <v/>
      </c>
      <c r="E2433">
        <f>IF(C2433="","",'Daily Sale entry '!AC933)</f>
        <v/>
      </c>
      <c r="F2433" s="37">
        <f>IF(C2433="","",B2433+IF(E2433&gt;0,0,0.5)+ROW()/10000000)</f>
        <v/>
      </c>
      <c r="G2433">
        <f>IF(C2433="","","Collection 收款 (Online 网上)"&amp;IF('Daily Sale entry '!Y933="",""," - "&amp;'Daily Sale entry '!Y933))</f>
        <v/>
      </c>
      <c r="H2433">
        <f>IF(C2433="","",COUNTIFS($C$2:$C$3001,C2433,$F$2:$F$3001,"&lt;"&amp;F2433)+1)</f>
        <v/>
      </c>
      <c r="I2433">
        <f>IF(C2433="","",C2433&amp;"|"&amp;H2433)</f>
        <v/>
      </c>
      <c r="J2433" s="6">
        <f>IF(C2433="","",IF(H2433=1,SUMIFS('Opening Balance'!$F$4:$F$303,'Opening Balance'!$G$4:$G$303,C2433),INDEX($L$2:$L$3001,MATCH(C2433&amp;"|"&amp;(H2433-1),$I$2:$I$3001,0))))</f>
        <v/>
      </c>
      <c r="K2433" s="6">
        <f>IF(C2433="","",IF(M2433&gt;0,M2433,IF(AND(E2433&gt;0,ROUND(J2433+D2433-E2433,2)&gt;0,ROUND(J2433+D2433-E2433,2)&lt;'Opening Balance'!$B$14),ROUND(J2433+D2433-E2433,2),0)))</f>
        <v/>
      </c>
      <c r="L2433" s="6">
        <f>IF(C2433="","",ROUND(J2433+D2433-E2433-K2433,2))</f>
        <v/>
      </c>
      <c r="M2433" s="6">
        <f>IF(C2433="","",0)</f>
        <v/>
      </c>
    </row>
    <row r="2434">
      <c r="A2434" t="inlineStr">
        <is>
          <t>Bank 银行</t>
        </is>
      </c>
      <c r="B2434" s="5">
        <f>IF(AND('Daily Sale entry '!Z934="Online collection 网上收款",'Daily Sale entry '!AA934&lt;&gt;""),'Daily Sale entry '!X934,"")</f>
        <v/>
      </c>
      <c r="C2434">
        <f>IF(B2434="","",'Daily Sale entry '!AA934)</f>
        <v/>
      </c>
      <c r="D2434">
        <f>IF(C2434="","",0)</f>
        <v/>
      </c>
      <c r="E2434">
        <f>IF(C2434="","",'Daily Sale entry '!AC934)</f>
        <v/>
      </c>
      <c r="F2434" s="37">
        <f>IF(C2434="","",B2434+IF(E2434&gt;0,0,0.5)+ROW()/10000000)</f>
        <v/>
      </c>
      <c r="G2434">
        <f>IF(C2434="","","Collection 收款 (Online 网上)"&amp;IF('Daily Sale entry '!Y934="",""," - "&amp;'Daily Sale entry '!Y934))</f>
        <v/>
      </c>
      <c r="H2434">
        <f>IF(C2434="","",COUNTIFS($C$2:$C$3001,C2434,$F$2:$F$3001,"&lt;"&amp;F2434)+1)</f>
        <v/>
      </c>
      <c r="I2434">
        <f>IF(C2434="","",C2434&amp;"|"&amp;H2434)</f>
        <v/>
      </c>
      <c r="J2434" s="6">
        <f>IF(C2434="","",IF(H2434=1,SUMIFS('Opening Balance'!$F$4:$F$303,'Opening Balance'!$G$4:$G$303,C2434),INDEX($L$2:$L$3001,MATCH(C2434&amp;"|"&amp;(H2434-1),$I$2:$I$3001,0))))</f>
        <v/>
      </c>
      <c r="K2434" s="6">
        <f>IF(C2434="","",IF(M2434&gt;0,M2434,IF(AND(E2434&gt;0,ROUND(J2434+D2434-E2434,2)&gt;0,ROUND(J2434+D2434-E2434,2)&lt;'Opening Balance'!$B$14),ROUND(J2434+D2434-E2434,2),0)))</f>
        <v/>
      </c>
      <c r="L2434" s="6">
        <f>IF(C2434="","",ROUND(J2434+D2434-E2434-K2434,2))</f>
        <v/>
      </c>
      <c r="M2434" s="6">
        <f>IF(C2434="","",0)</f>
        <v/>
      </c>
    </row>
    <row r="2435">
      <c r="A2435" t="inlineStr">
        <is>
          <t>Bank 银行</t>
        </is>
      </c>
      <c r="B2435" s="5">
        <f>IF(AND('Daily Sale entry '!Z935="Online collection 网上收款",'Daily Sale entry '!AA935&lt;&gt;""),'Daily Sale entry '!X935,"")</f>
        <v/>
      </c>
      <c r="C2435">
        <f>IF(B2435="","",'Daily Sale entry '!AA935)</f>
        <v/>
      </c>
      <c r="D2435">
        <f>IF(C2435="","",0)</f>
        <v/>
      </c>
      <c r="E2435">
        <f>IF(C2435="","",'Daily Sale entry '!AC935)</f>
        <v/>
      </c>
      <c r="F2435" s="37">
        <f>IF(C2435="","",B2435+IF(E2435&gt;0,0,0.5)+ROW()/10000000)</f>
        <v/>
      </c>
      <c r="G2435">
        <f>IF(C2435="","","Collection 收款 (Online 网上)"&amp;IF('Daily Sale entry '!Y935="",""," - "&amp;'Daily Sale entry '!Y935))</f>
        <v/>
      </c>
      <c r="H2435">
        <f>IF(C2435="","",COUNTIFS($C$2:$C$3001,C2435,$F$2:$F$3001,"&lt;"&amp;F2435)+1)</f>
        <v/>
      </c>
      <c r="I2435">
        <f>IF(C2435="","",C2435&amp;"|"&amp;H2435)</f>
        <v/>
      </c>
      <c r="J2435" s="6">
        <f>IF(C2435="","",IF(H2435=1,SUMIFS('Opening Balance'!$F$4:$F$303,'Opening Balance'!$G$4:$G$303,C2435),INDEX($L$2:$L$3001,MATCH(C2435&amp;"|"&amp;(H2435-1),$I$2:$I$3001,0))))</f>
        <v/>
      </c>
      <c r="K2435" s="6">
        <f>IF(C2435="","",IF(M2435&gt;0,M2435,IF(AND(E2435&gt;0,ROUND(J2435+D2435-E2435,2)&gt;0,ROUND(J2435+D2435-E2435,2)&lt;'Opening Balance'!$B$14),ROUND(J2435+D2435-E2435,2),0)))</f>
        <v/>
      </c>
      <c r="L2435" s="6">
        <f>IF(C2435="","",ROUND(J2435+D2435-E2435-K2435,2))</f>
        <v/>
      </c>
      <c r="M2435" s="6">
        <f>IF(C2435="","",0)</f>
        <v/>
      </c>
    </row>
    <row r="2436">
      <c r="A2436" t="inlineStr">
        <is>
          <t>Bank 银行</t>
        </is>
      </c>
      <c r="B2436" s="5">
        <f>IF(AND('Daily Sale entry '!Z936="Online collection 网上收款",'Daily Sale entry '!AA936&lt;&gt;""),'Daily Sale entry '!X936,"")</f>
        <v/>
      </c>
      <c r="C2436">
        <f>IF(B2436="","",'Daily Sale entry '!AA936)</f>
        <v/>
      </c>
      <c r="D2436">
        <f>IF(C2436="","",0)</f>
        <v/>
      </c>
      <c r="E2436">
        <f>IF(C2436="","",'Daily Sale entry '!AC936)</f>
        <v/>
      </c>
      <c r="F2436" s="37">
        <f>IF(C2436="","",B2436+IF(E2436&gt;0,0,0.5)+ROW()/10000000)</f>
        <v/>
      </c>
      <c r="G2436">
        <f>IF(C2436="","","Collection 收款 (Online 网上)"&amp;IF('Daily Sale entry '!Y936="",""," - "&amp;'Daily Sale entry '!Y936))</f>
        <v/>
      </c>
      <c r="H2436">
        <f>IF(C2436="","",COUNTIFS($C$2:$C$3001,C2436,$F$2:$F$3001,"&lt;"&amp;F2436)+1)</f>
        <v/>
      </c>
      <c r="I2436">
        <f>IF(C2436="","",C2436&amp;"|"&amp;H2436)</f>
        <v/>
      </c>
      <c r="J2436" s="6">
        <f>IF(C2436="","",IF(H2436=1,SUMIFS('Opening Balance'!$F$4:$F$303,'Opening Balance'!$G$4:$G$303,C2436),INDEX($L$2:$L$3001,MATCH(C2436&amp;"|"&amp;(H2436-1),$I$2:$I$3001,0))))</f>
        <v/>
      </c>
      <c r="K2436" s="6">
        <f>IF(C2436="","",IF(M2436&gt;0,M2436,IF(AND(E2436&gt;0,ROUND(J2436+D2436-E2436,2)&gt;0,ROUND(J2436+D2436-E2436,2)&lt;'Opening Balance'!$B$14),ROUND(J2436+D2436-E2436,2),0)))</f>
        <v/>
      </c>
      <c r="L2436" s="6">
        <f>IF(C2436="","",ROUND(J2436+D2436-E2436-K2436,2))</f>
        <v/>
      </c>
      <c r="M2436" s="6">
        <f>IF(C2436="","",0)</f>
        <v/>
      </c>
    </row>
    <row r="2437">
      <c r="A2437" t="inlineStr">
        <is>
          <t>Bank 银行</t>
        </is>
      </c>
      <c r="B2437" s="5">
        <f>IF(AND('Daily Sale entry '!Z937="Online collection 网上收款",'Daily Sale entry '!AA937&lt;&gt;""),'Daily Sale entry '!X937,"")</f>
        <v/>
      </c>
      <c r="C2437">
        <f>IF(B2437="","",'Daily Sale entry '!AA937)</f>
        <v/>
      </c>
      <c r="D2437">
        <f>IF(C2437="","",0)</f>
        <v/>
      </c>
      <c r="E2437">
        <f>IF(C2437="","",'Daily Sale entry '!AC937)</f>
        <v/>
      </c>
      <c r="F2437" s="37">
        <f>IF(C2437="","",B2437+IF(E2437&gt;0,0,0.5)+ROW()/10000000)</f>
        <v/>
      </c>
      <c r="G2437">
        <f>IF(C2437="","","Collection 收款 (Online 网上)"&amp;IF('Daily Sale entry '!Y937="",""," - "&amp;'Daily Sale entry '!Y937))</f>
        <v/>
      </c>
      <c r="H2437">
        <f>IF(C2437="","",COUNTIFS($C$2:$C$3001,C2437,$F$2:$F$3001,"&lt;"&amp;F2437)+1)</f>
        <v/>
      </c>
      <c r="I2437">
        <f>IF(C2437="","",C2437&amp;"|"&amp;H2437)</f>
        <v/>
      </c>
      <c r="J2437" s="6">
        <f>IF(C2437="","",IF(H2437=1,SUMIFS('Opening Balance'!$F$4:$F$303,'Opening Balance'!$G$4:$G$303,C2437),INDEX($L$2:$L$3001,MATCH(C2437&amp;"|"&amp;(H2437-1),$I$2:$I$3001,0))))</f>
        <v/>
      </c>
      <c r="K2437" s="6">
        <f>IF(C2437="","",IF(M2437&gt;0,M2437,IF(AND(E2437&gt;0,ROUND(J2437+D2437-E2437,2)&gt;0,ROUND(J2437+D2437-E2437,2)&lt;'Opening Balance'!$B$14),ROUND(J2437+D2437-E2437,2),0)))</f>
        <v/>
      </c>
      <c r="L2437" s="6">
        <f>IF(C2437="","",ROUND(J2437+D2437-E2437-K2437,2))</f>
        <v/>
      </c>
      <c r="M2437" s="6">
        <f>IF(C2437="","",0)</f>
        <v/>
      </c>
    </row>
    <row r="2438">
      <c r="A2438" t="inlineStr">
        <is>
          <t>Bank 银行</t>
        </is>
      </c>
      <c r="B2438" s="5">
        <f>IF(AND('Daily Sale entry '!Z938="Online collection 网上收款",'Daily Sale entry '!AA938&lt;&gt;""),'Daily Sale entry '!X938,"")</f>
        <v/>
      </c>
      <c r="C2438">
        <f>IF(B2438="","",'Daily Sale entry '!AA938)</f>
        <v/>
      </c>
      <c r="D2438">
        <f>IF(C2438="","",0)</f>
        <v/>
      </c>
      <c r="E2438">
        <f>IF(C2438="","",'Daily Sale entry '!AC938)</f>
        <v/>
      </c>
      <c r="F2438" s="37">
        <f>IF(C2438="","",B2438+IF(E2438&gt;0,0,0.5)+ROW()/10000000)</f>
        <v/>
      </c>
      <c r="G2438">
        <f>IF(C2438="","","Collection 收款 (Online 网上)"&amp;IF('Daily Sale entry '!Y938="",""," - "&amp;'Daily Sale entry '!Y938))</f>
        <v/>
      </c>
      <c r="H2438">
        <f>IF(C2438="","",COUNTIFS($C$2:$C$3001,C2438,$F$2:$F$3001,"&lt;"&amp;F2438)+1)</f>
        <v/>
      </c>
      <c r="I2438">
        <f>IF(C2438="","",C2438&amp;"|"&amp;H2438)</f>
        <v/>
      </c>
      <c r="J2438" s="6">
        <f>IF(C2438="","",IF(H2438=1,SUMIFS('Opening Balance'!$F$4:$F$303,'Opening Balance'!$G$4:$G$303,C2438),INDEX($L$2:$L$3001,MATCH(C2438&amp;"|"&amp;(H2438-1),$I$2:$I$3001,0))))</f>
        <v/>
      </c>
      <c r="K2438" s="6">
        <f>IF(C2438="","",IF(M2438&gt;0,M2438,IF(AND(E2438&gt;0,ROUND(J2438+D2438-E2438,2)&gt;0,ROUND(J2438+D2438-E2438,2)&lt;'Opening Balance'!$B$14),ROUND(J2438+D2438-E2438,2),0)))</f>
        <v/>
      </c>
      <c r="L2438" s="6">
        <f>IF(C2438="","",ROUND(J2438+D2438-E2438-K2438,2))</f>
        <v/>
      </c>
      <c r="M2438" s="6">
        <f>IF(C2438="","",0)</f>
        <v/>
      </c>
    </row>
    <row r="2439">
      <c r="A2439" t="inlineStr">
        <is>
          <t>Bank 银行</t>
        </is>
      </c>
      <c r="B2439" s="5">
        <f>IF(AND('Daily Sale entry '!Z939="Online collection 网上收款",'Daily Sale entry '!AA939&lt;&gt;""),'Daily Sale entry '!X939,"")</f>
        <v/>
      </c>
      <c r="C2439">
        <f>IF(B2439="","",'Daily Sale entry '!AA939)</f>
        <v/>
      </c>
      <c r="D2439">
        <f>IF(C2439="","",0)</f>
        <v/>
      </c>
      <c r="E2439">
        <f>IF(C2439="","",'Daily Sale entry '!AC939)</f>
        <v/>
      </c>
      <c r="F2439" s="37">
        <f>IF(C2439="","",B2439+IF(E2439&gt;0,0,0.5)+ROW()/10000000)</f>
        <v/>
      </c>
      <c r="G2439">
        <f>IF(C2439="","","Collection 收款 (Online 网上)"&amp;IF('Daily Sale entry '!Y939="",""," - "&amp;'Daily Sale entry '!Y939))</f>
        <v/>
      </c>
      <c r="H2439">
        <f>IF(C2439="","",COUNTIFS($C$2:$C$3001,C2439,$F$2:$F$3001,"&lt;"&amp;F2439)+1)</f>
        <v/>
      </c>
      <c r="I2439">
        <f>IF(C2439="","",C2439&amp;"|"&amp;H2439)</f>
        <v/>
      </c>
      <c r="J2439" s="6">
        <f>IF(C2439="","",IF(H2439=1,SUMIFS('Opening Balance'!$F$4:$F$303,'Opening Balance'!$G$4:$G$303,C2439),INDEX($L$2:$L$3001,MATCH(C2439&amp;"|"&amp;(H2439-1),$I$2:$I$3001,0))))</f>
        <v/>
      </c>
      <c r="K2439" s="6">
        <f>IF(C2439="","",IF(M2439&gt;0,M2439,IF(AND(E2439&gt;0,ROUND(J2439+D2439-E2439,2)&gt;0,ROUND(J2439+D2439-E2439,2)&lt;'Opening Balance'!$B$14),ROUND(J2439+D2439-E2439,2),0)))</f>
        <v/>
      </c>
      <c r="L2439" s="6">
        <f>IF(C2439="","",ROUND(J2439+D2439-E2439-K2439,2))</f>
        <v/>
      </c>
      <c r="M2439" s="6">
        <f>IF(C2439="","",0)</f>
        <v/>
      </c>
    </row>
    <row r="2440">
      <c r="A2440" t="inlineStr">
        <is>
          <t>Bank 银行</t>
        </is>
      </c>
      <c r="B2440" s="5">
        <f>IF(AND('Daily Sale entry '!Z940="Online collection 网上收款",'Daily Sale entry '!AA940&lt;&gt;""),'Daily Sale entry '!X940,"")</f>
        <v/>
      </c>
      <c r="C2440">
        <f>IF(B2440="","",'Daily Sale entry '!AA940)</f>
        <v/>
      </c>
      <c r="D2440">
        <f>IF(C2440="","",0)</f>
        <v/>
      </c>
      <c r="E2440">
        <f>IF(C2440="","",'Daily Sale entry '!AC940)</f>
        <v/>
      </c>
      <c r="F2440" s="37">
        <f>IF(C2440="","",B2440+IF(E2440&gt;0,0,0.5)+ROW()/10000000)</f>
        <v/>
      </c>
      <c r="G2440">
        <f>IF(C2440="","","Collection 收款 (Online 网上)"&amp;IF('Daily Sale entry '!Y940="",""," - "&amp;'Daily Sale entry '!Y940))</f>
        <v/>
      </c>
      <c r="H2440">
        <f>IF(C2440="","",COUNTIFS($C$2:$C$3001,C2440,$F$2:$F$3001,"&lt;"&amp;F2440)+1)</f>
        <v/>
      </c>
      <c r="I2440">
        <f>IF(C2440="","",C2440&amp;"|"&amp;H2440)</f>
        <v/>
      </c>
      <c r="J2440" s="6">
        <f>IF(C2440="","",IF(H2440=1,SUMIFS('Opening Balance'!$F$4:$F$303,'Opening Balance'!$G$4:$G$303,C2440),INDEX($L$2:$L$3001,MATCH(C2440&amp;"|"&amp;(H2440-1),$I$2:$I$3001,0))))</f>
        <v/>
      </c>
      <c r="K2440" s="6">
        <f>IF(C2440="","",IF(M2440&gt;0,M2440,IF(AND(E2440&gt;0,ROUND(J2440+D2440-E2440,2)&gt;0,ROUND(J2440+D2440-E2440,2)&lt;'Opening Balance'!$B$14),ROUND(J2440+D2440-E2440,2),0)))</f>
        <v/>
      </c>
      <c r="L2440" s="6">
        <f>IF(C2440="","",ROUND(J2440+D2440-E2440-K2440,2))</f>
        <v/>
      </c>
      <c r="M2440" s="6">
        <f>IF(C2440="","",0)</f>
        <v/>
      </c>
    </row>
    <row r="2441">
      <c r="A2441" t="inlineStr">
        <is>
          <t>Bank 银行</t>
        </is>
      </c>
      <c r="B2441" s="5">
        <f>IF(AND('Daily Sale entry '!Z941="Online collection 网上收款",'Daily Sale entry '!AA941&lt;&gt;""),'Daily Sale entry '!X941,"")</f>
        <v/>
      </c>
      <c r="C2441">
        <f>IF(B2441="","",'Daily Sale entry '!AA941)</f>
        <v/>
      </c>
      <c r="D2441">
        <f>IF(C2441="","",0)</f>
        <v/>
      </c>
      <c r="E2441">
        <f>IF(C2441="","",'Daily Sale entry '!AC941)</f>
        <v/>
      </c>
      <c r="F2441" s="37">
        <f>IF(C2441="","",B2441+IF(E2441&gt;0,0,0.5)+ROW()/10000000)</f>
        <v/>
      </c>
      <c r="G2441">
        <f>IF(C2441="","","Collection 收款 (Online 网上)"&amp;IF('Daily Sale entry '!Y941="",""," - "&amp;'Daily Sale entry '!Y941))</f>
        <v/>
      </c>
      <c r="H2441">
        <f>IF(C2441="","",COUNTIFS($C$2:$C$3001,C2441,$F$2:$F$3001,"&lt;"&amp;F2441)+1)</f>
        <v/>
      </c>
      <c r="I2441">
        <f>IF(C2441="","",C2441&amp;"|"&amp;H2441)</f>
        <v/>
      </c>
      <c r="J2441" s="6">
        <f>IF(C2441="","",IF(H2441=1,SUMIFS('Opening Balance'!$F$4:$F$303,'Opening Balance'!$G$4:$G$303,C2441),INDEX($L$2:$L$3001,MATCH(C2441&amp;"|"&amp;(H2441-1),$I$2:$I$3001,0))))</f>
        <v/>
      </c>
      <c r="K2441" s="6">
        <f>IF(C2441="","",IF(M2441&gt;0,M2441,IF(AND(E2441&gt;0,ROUND(J2441+D2441-E2441,2)&gt;0,ROUND(J2441+D2441-E2441,2)&lt;'Opening Balance'!$B$14),ROUND(J2441+D2441-E2441,2),0)))</f>
        <v/>
      </c>
      <c r="L2441" s="6">
        <f>IF(C2441="","",ROUND(J2441+D2441-E2441-K2441,2))</f>
        <v/>
      </c>
      <c r="M2441" s="6">
        <f>IF(C2441="","",0)</f>
        <v/>
      </c>
    </row>
    <row r="2442">
      <c r="A2442" t="inlineStr">
        <is>
          <t>Bank 银行</t>
        </is>
      </c>
      <c r="B2442" s="5">
        <f>IF(AND('Daily Sale entry '!Z942="Online collection 网上收款",'Daily Sale entry '!AA942&lt;&gt;""),'Daily Sale entry '!X942,"")</f>
        <v/>
      </c>
      <c r="C2442">
        <f>IF(B2442="","",'Daily Sale entry '!AA942)</f>
        <v/>
      </c>
      <c r="D2442">
        <f>IF(C2442="","",0)</f>
        <v/>
      </c>
      <c r="E2442">
        <f>IF(C2442="","",'Daily Sale entry '!AC942)</f>
        <v/>
      </c>
      <c r="F2442" s="37">
        <f>IF(C2442="","",B2442+IF(E2442&gt;0,0,0.5)+ROW()/10000000)</f>
        <v/>
      </c>
      <c r="G2442">
        <f>IF(C2442="","","Collection 收款 (Online 网上)"&amp;IF('Daily Sale entry '!Y942="",""," - "&amp;'Daily Sale entry '!Y942))</f>
        <v/>
      </c>
      <c r="H2442">
        <f>IF(C2442="","",COUNTIFS($C$2:$C$3001,C2442,$F$2:$F$3001,"&lt;"&amp;F2442)+1)</f>
        <v/>
      </c>
      <c r="I2442">
        <f>IF(C2442="","",C2442&amp;"|"&amp;H2442)</f>
        <v/>
      </c>
      <c r="J2442" s="6">
        <f>IF(C2442="","",IF(H2442=1,SUMIFS('Opening Balance'!$F$4:$F$303,'Opening Balance'!$G$4:$G$303,C2442),INDEX($L$2:$L$3001,MATCH(C2442&amp;"|"&amp;(H2442-1),$I$2:$I$3001,0))))</f>
        <v/>
      </c>
      <c r="K2442" s="6">
        <f>IF(C2442="","",IF(M2442&gt;0,M2442,IF(AND(E2442&gt;0,ROUND(J2442+D2442-E2442,2)&gt;0,ROUND(J2442+D2442-E2442,2)&lt;'Opening Balance'!$B$14),ROUND(J2442+D2442-E2442,2),0)))</f>
        <v/>
      </c>
      <c r="L2442" s="6">
        <f>IF(C2442="","",ROUND(J2442+D2442-E2442-K2442,2))</f>
        <v/>
      </c>
      <c r="M2442" s="6">
        <f>IF(C2442="","",0)</f>
        <v/>
      </c>
    </row>
    <row r="2443">
      <c r="A2443" t="inlineStr">
        <is>
          <t>Bank 银行</t>
        </is>
      </c>
      <c r="B2443" s="5">
        <f>IF(AND('Daily Sale entry '!Z943="Online collection 网上收款",'Daily Sale entry '!AA943&lt;&gt;""),'Daily Sale entry '!X943,"")</f>
        <v/>
      </c>
      <c r="C2443">
        <f>IF(B2443="","",'Daily Sale entry '!AA943)</f>
        <v/>
      </c>
      <c r="D2443">
        <f>IF(C2443="","",0)</f>
        <v/>
      </c>
      <c r="E2443">
        <f>IF(C2443="","",'Daily Sale entry '!AC943)</f>
        <v/>
      </c>
      <c r="F2443" s="37">
        <f>IF(C2443="","",B2443+IF(E2443&gt;0,0,0.5)+ROW()/10000000)</f>
        <v/>
      </c>
      <c r="G2443">
        <f>IF(C2443="","","Collection 收款 (Online 网上)"&amp;IF('Daily Sale entry '!Y943="",""," - "&amp;'Daily Sale entry '!Y943))</f>
        <v/>
      </c>
      <c r="H2443">
        <f>IF(C2443="","",COUNTIFS($C$2:$C$3001,C2443,$F$2:$F$3001,"&lt;"&amp;F2443)+1)</f>
        <v/>
      </c>
      <c r="I2443">
        <f>IF(C2443="","",C2443&amp;"|"&amp;H2443)</f>
        <v/>
      </c>
      <c r="J2443" s="6">
        <f>IF(C2443="","",IF(H2443=1,SUMIFS('Opening Balance'!$F$4:$F$303,'Opening Balance'!$G$4:$G$303,C2443),INDEX($L$2:$L$3001,MATCH(C2443&amp;"|"&amp;(H2443-1),$I$2:$I$3001,0))))</f>
        <v/>
      </c>
      <c r="K2443" s="6">
        <f>IF(C2443="","",IF(M2443&gt;0,M2443,IF(AND(E2443&gt;0,ROUND(J2443+D2443-E2443,2)&gt;0,ROUND(J2443+D2443-E2443,2)&lt;'Opening Balance'!$B$14),ROUND(J2443+D2443-E2443,2),0)))</f>
        <v/>
      </c>
      <c r="L2443" s="6">
        <f>IF(C2443="","",ROUND(J2443+D2443-E2443-K2443,2))</f>
        <v/>
      </c>
      <c r="M2443" s="6">
        <f>IF(C2443="","",0)</f>
        <v/>
      </c>
    </row>
    <row r="2444">
      <c r="A2444" t="inlineStr">
        <is>
          <t>Bank 银行</t>
        </is>
      </c>
      <c r="B2444" s="5">
        <f>IF(AND('Daily Sale entry '!Z944="Online collection 网上收款",'Daily Sale entry '!AA944&lt;&gt;""),'Daily Sale entry '!X944,"")</f>
        <v/>
      </c>
      <c r="C2444">
        <f>IF(B2444="","",'Daily Sale entry '!AA944)</f>
        <v/>
      </c>
      <c r="D2444">
        <f>IF(C2444="","",0)</f>
        <v/>
      </c>
      <c r="E2444">
        <f>IF(C2444="","",'Daily Sale entry '!AC944)</f>
        <v/>
      </c>
      <c r="F2444" s="37">
        <f>IF(C2444="","",B2444+IF(E2444&gt;0,0,0.5)+ROW()/10000000)</f>
        <v/>
      </c>
      <c r="G2444">
        <f>IF(C2444="","","Collection 收款 (Online 网上)"&amp;IF('Daily Sale entry '!Y944="",""," - "&amp;'Daily Sale entry '!Y944))</f>
        <v/>
      </c>
      <c r="H2444">
        <f>IF(C2444="","",COUNTIFS($C$2:$C$3001,C2444,$F$2:$F$3001,"&lt;"&amp;F2444)+1)</f>
        <v/>
      </c>
      <c r="I2444">
        <f>IF(C2444="","",C2444&amp;"|"&amp;H2444)</f>
        <v/>
      </c>
      <c r="J2444" s="6">
        <f>IF(C2444="","",IF(H2444=1,SUMIFS('Opening Balance'!$F$4:$F$303,'Opening Balance'!$G$4:$G$303,C2444),INDEX($L$2:$L$3001,MATCH(C2444&amp;"|"&amp;(H2444-1),$I$2:$I$3001,0))))</f>
        <v/>
      </c>
      <c r="K2444" s="6">
        <f>IF(C2444="","",IF(M2444&gt;0,M2444,IF(AND(E2444&gt;0,ROUND(J2444+D2444-E2444,2)&gt;0,ROUND(J2444+D2444-E2444,2)&lt;'Opening Balance'!$B$14),ROUND(J2444+D2444-E2444,2),0)))</f>
        <v/>
      </c>
      <c r="L2444" s="6">
        <f>IF(C2444="","",ROUND(J2444+D2444-E2444-K2444,2))</f>
        <v/>
      </c>
      <c r="M2444" s="6">
        <f>IF(C2444="","",0)</f>
        <v/>
      </c>
    </row>
    <row r="2445">
      <c r="A2445" t="inlineStr">
        <is>
          <t>Bank 银行</t>
        </is>
      </c>
      <c r="B2445" s="5">
        <f>IF(AND('Daily Sale entry '!Z945="Online collection 网上收款",'Daily Sale entry '!AA945&lt;&gt;""),'Daily Sale entry '!X945,"")</f>
        <v/>
      </c>
      <c r="C2445">
        <f>IF(B2445="","",'Daily Sale entry '!AA945)</f>
        <v/>
      </c>
      <c r="D2445">
        <f>IF(C2445="","",0)</f>
        <v/>
      </c>
      <c r="E2445">
        <f>IF(C2445="","",'Daily Sale entry '!AC945)</f>
        <v/>
      </c>
      <c r="F2445" s="37">
        <f>IF(C2445="","",B2445+IF(E2445&gt;0,0,0.5)+ROW()/10000000)</f>
        <v/>
      </c>
      <c r="G2445">
        <f>IF(C2445="","","Collection 收款 (Online 网上)"&amp;IF('Daily Sale entry '!Y945="",""," - "&amp;'Daily Sale entry '!Y945))</f>
        <v/>
      </c>
      <c r="H2445">
        <f>IF(C2445="","",COUNTIFS($C$2:$C$3001,C2445,$F$2:$F$3001,"&lt;"&amp;F2445)+1)</f>
        <v/>
      </c>
      <c r="I2445">
        <f>IF(C2445="","",C2445&amp;"|"&amp;H2445)</f>
        <v/>
      </c>
      <c r="J2445" s="6">
        <f>IF(C2445="","",IF(H2445=1,SUMIFS('Opening Balance'!$F$4:$F$303,'Opening Balance'!$G$4:$G$303,C2445),INDEX($L$2:$L$3001,MATCH(C2445&amp;"|"&amp;(H2445-1),$I$2:$I$3001,0))))</f>
        <v/>
      </c>
      <c r="K2445" s="6">
        <f>IF(C2445="","",IF(M2445&gt;0,M2445,IF(AND(E2445&gt;0,ROUND(J2445+D2445-E2445,2)&gt;0,ROUND(J2445+D2445-E2445,2)&lt;'Opening Balance'!$B$14),ROUND(J2445+D2445-E2445,2),0)))</f>
        <v/>
      </c>
      <c r="L2445" s="6">
        <f>IF(C2445="","",ROUND(J2445+D2445-E2445-K2445,2))</f>
        <v/>
      </c>
      <c r="M2445" s="6">
        <f>IF(C2445="","",0)</f>
        <v/>
      </c>
    </row>
    <row r="2446">
      <c r="A2446" t="inlineStr">
        <is>
          <t>Bank 银行</t>
        </is>
      </c>
      <c r="B2446" s="5">
        <f>IF(AND('Daily Sale entry '!Z946="Online collection 网上收款",'Daily Sale entry '!AA946&lt;&gt;""),'Daily Sale entry '!X946,"")</f>
        <v/>
      </c>
      <c r="C2446">
        <f>IF(B2446="","",'Daily Sale entry '!AA946)</f>
        <v/>
      </c>
      <c r="D2446">
        <f>IF(C2446="","",0)</f>
        <v/>
      </c>
      <c r="E2446">
        <f>IF(C2446="","",'Daily Sale entry '!AC946)</f>
        <v/>
      </c>
      <c r="F2446" s="37">
        <f>IF(C2446="","",B2446+IF(E2446&gt;0,0,0.5)+ROW()/10000000)</f>
        <v/>
      </c>
      <c r="G2446">
        <f>IF(C2446="","","Collection 收款 (Online 网上)"&amp;IF('Daily Sale entry '!Y946="",""," - "&amp;'Daily Sale entry '!Y946))</f>
        <v/>
      </c>
      <c r="H2446">
        <f>IF(C2446="","",COUNTIFS($C$2:$C$3001,C2446,$F$2:$F$3001,"&lt;"&amp;F2446)+1)</f>
        <v/>
      </c>
      <c r="I2446">
        <f>IF(C2446="","",C2446&amp;"|"&amp;H2446)</f>
        <v/>
      </c>
      <c r="J2446" s="6">
        <f>IF(C2446="","",IF(H2446=1,SUMIFS('Opening Balance'!$F$4:$F$303,'Opening Balance'!$G$4:$G$303,C2446),INDEX($L$2:$L$3001,MATCH(C2446&amp;"|"&amp;(H2446-1),$I$2:$I$3001,0))))</f>
        <v/>
      </c>
      <c r="K2446" s="6">
        <f>IF(C2446="","",IF(M2446&gt;0,M2446,IF(AND(E2446&gt;0,ROUND(J2446+D2446-E2446,2)&gt;0,ROUND(J2446+D2446-E2446,2)&lt;'Opening Balance'!$B$14),ROUND(J2446+D2446-E2446,2),0)))</f>
        <v/>
      </c>
      <c r="L2446" s="6">
        <f>IF(C2446="","",ROUND(J2446+D2446-E2446-K2446,2))</f>
        <v/>
      </c>
      <c r="M2446" s="6">
        <f>IF(C2446="","",0)</f>
        <v/>
      </c>
    </row>
    <row r="2447">
      <c r="A2447" t="inlineStr">
        <is>
          <t>Bank 银行</t>
        </is>
      </c>
      <c r="B2447" s="5">
        <f>IF(AND('Daily Sale entry '!Z947="Online collection 网上收款",'Daily Sale entry '!AA947&lt;&gt;""),'Daily Sale entry '!X947,"")</f>
        <v/>
      </c>
      <c r="C2447">
        <f>IF(B2447="","",'Daily Sale entry '!AA947)</f>
        <v/>
      </c>
      <c r="D2447">
        <f>IF(C2447="","",0)</f>
        <v/>
      </c>
      <c r="E2447">
        <f>IF(C2447="","",'Daily Sale entry '!AC947)</f>
        <v/>
      </c>
      <c r="F2447" s="37">
        <f>IF(C2447="","",B2447+IF(E2447&gt;0,0,0.5)+ROW()/10000000)</f>
        <v/>
      </c>
      <c r="G2447">
        <f>IF(C2447="","","Collection 收款 (Online 网上)"&amp;IF('Daily Sale entry '!Y947="",""," - "&amp;'Daily Sale entry '!Y947))</f>
        <v/>
      </c>
      <c r="H2447">
        <f>IF(C2447="","",COUNTIFS($C$2:$C$3001,C2447,$F$2:$F$3001,"&lt;"&amp;F2447)+1)</f>
        <v/>
      </c>
      <c r="I2447">
        <f>IF(C2447="","",C2447&amp;"|"&amp;H2447)</f>
        <v/>
      </c>
      <c r="J2447" s="6">
        <f>IF(C2447="","",IF(H2447=1,SUMIFS('Opening Balance'!$F$4:$F$303,'Opening Balance'!$G$4:$G$303,C2447),INDEX($L$2:$L$3001,MATCH(C2447&amp;"|"&amp;(H2447-1),$I$2:$I$3001,0))))</f>
        <v/>
      </c>
      <c r="K2447" s="6">
        <f>IF(C2447="","",IF(M2447&gt;0,M2447,IF(AND(E2447&gt;0,ROUND(J2447+D2447-E2447,2)&gt;0,ROUND(J2447+D2447-E2447,2)&lt;'Opening Balance'!$B$14),ROUND(J2447+D2447-E2447,2),0)))</f>
        <v/>
      </c>
      <c r="L2447" s="6">
        <f>IF(C2447="","",ROUND(J2447+D2447-E2447-K2447,2))</f>
        <v/>
      </c>
      <c r="M2447" s="6">
        <f>IF(C2447="","",0)</f>
        <v/>
      </c>
    </row>
    <row r="2448">
      <c r="A2448" t="inlineStr">
        <is>
          <t>Bank 银行</t>
        </is>
      </c>
      <c r="B2448" s="5">
        <f>IF(AND('Daily Sale entry '!Z948="Online collection 网上收款",'Daily Sale entry '!AA948&lt;&gt;""),'Daily Sale entry '!X948,"")</f>
        <v/>
      </c>
      <c r="C2448">
        <f>IF(B2448="","",'Daily Sale entry '!AA948)</f>
        <v/>
      </c>
      <c r="D2448">
        <f>IF(C2448="","",0)</f>
        <v/>
      </c>
      <c r="E2448">
        <f>IF(C2448="","",'Daily Sale entry '!AC948)</f>
        <v/>
      </c>
      <c r="F2448" s="37">
        <f>IF(C2448="","",B2448+IF(E2448&gt;0,0,0.5)+ROW()/10000000)</f>
        <v/>
      </c>
      <c r="G2448">
        <f>IF(C2448="","","Collection 收款 (Online 网上)"&amp;IF('Daily Sale entry '!Y948="",""," - "&amp;'Daily Sale entry '!Y948))</f>
        <v/>
      </c>
      <c r="H2448">
        <f>IF(C2448="","",COUNTIFS($C$2:$C$3001,C2448,$F$2:$F$3001,"&lt;"&amp;F2448)+1)</f>
        <v/>
      </c>
      <c r="I2448">
        <f>IF(C2448="","",C2448&amp;"|"&amp;H2448)</f>
        <v/>
      </c>
      <c r="J2448" s="6">
        <f>IF(C2448="","",IF(H2448=1,SUMIFS('Opening Balance'!$F$4:$F$303,'Opening Balance'!$G$4:$G$303,C2448),INDEX($L$2:$L$3001,MATCH(C2448&amp;"|"&amp;(H2448-1),$I$2:$I$3001,0))))</f>
        <v/>
      </c>
      <c r="K2448" s="6">
        <f>IF(C2448="","",IF(M2448&gt;0,M2448,IF(AND(E2448&gt;0,ROUND(J2448+D2448-E2448,2)&gt;0,ROUND(J2448+D2448-E2448,2)&lt;'Opening Balance'!$B$14),ROUND(J2448+D2448-E2448,2),0)))</f>
        <v/>
      </c>
      <c r="L2448" s="6">
        <f>IF(C2448="","",ROUND(J2448+D2448-E2448-K2448,2))</f>
        <v/>
      </c>
      <c r="M2448" s="6">
        <f>IF(C2448="","",0)</f>
        <v/>
      </c>
    </row>
    <row r="2449">
      <c r="A2449" t="inlineStr">
        <is>
          <t>Bank 银行</t>
        </is>
      </c>
      <c r="B2449" s="5">
        <f>IF(AND('Daily Sale entry '!Z949="Online collection 网上收款",'Daily Sale entry '!AA949&lt;&gt;""),'Daily Sale entry '!X949,"")</f>
        <v/>
      </c>
      <c r="C2449">
        <f>IF(B2449="","",'Daily Sale entry '!AA949)</f>
        <v/>
      </c>
      <c r="D2449">
        <f>IF(C2449="","",0)</f>
        <v/>
      </c>
      <c r="E2449">
        <f>IF(C2449="","",'Daily Sale entry '!AC949)</f>
        <v/>
      </c>
      <c r="F2449" s="37">
        <f>IF(C2449="","",B2449+IF(E2449&gt;0,0,0.5)+ROW()/10000000)</f>
        <v/>
      </c>
      <c r="G2449">
        <f>IF(C2449="","","Collection 收款 (Online 网上)"&amp;IF('Daily Sale entry '!Y949="",""," - "&amp;'Daily Sale entry '!Y949))</f>
        <v/>
      </c>
      <c r="H2449">
        <f>IF(C2449="","",COUNTIFS($C$2:$C$3001,C2449,$F$2:$F$3001,"&lt;"&amp;F2449)+1)</f>
        <v/>
      </c>
      <c r="I2449">
        <f>IF(C2449="","",C2449&amp;"|"&amp;H2449)</f>
        <v/>
      </c>
      <c r="J2449" s="6">
        <f>IF(C2449="","",IF(H2449=1,SUMIFS('Opening Balance'!$F$4:$F$303,'Opening Balance'!$G$4:$G$303,C2449),INDEX($L$2:$L$3001,MATCH(C2449&amp;"|"&amp;(H2449-1),$I$2:$I$3001,0))))</f>
        <v/>
      </c>
      <c r="K2449" s="6">
        <f>IF(C2449="","",IF(M2449&gt;0,M2449,IF(AND(E2449&gt;0,ROUND(J2449+D2449-E2449,2)&gt;0,ROUND(J2449+D2449-E2449,2)&lt;'Opening Balance'!$B$14),ROUND(J2449+D2449-E2449,2),0)))</f>
        <v/>
      </c>
      <c r="L2449" s="6">
        <f>IF(C2449="","",ROUND(J2449+D2449-E2449-K2449,2))</f>
        <v/>
      </c>
      <c r="M2449" s="6">
        <f>IF(C2449="","",0)</f>
        <v/>
      </c>
    </row>
    <row r="2450">
      <c r="A2450" t="inlineStr">
        <is>
          <t>Bank 银行</t>
        </is>
      </c>
      <c r="B2450" s="5">
        <f>IF(AND('Daily Sale entry '!Z950="Online collection 网上收款",'Daily Sale entry '!AA950&lt;&gt;""),'Daily Sale entry '!X950,"")</f>
        <v/>
      </c>
      <c r="C2450">
        <f>IF(B2450="","",'Daily Sale entry '!AA950)</f>
        <v/>
      </c>
      <c r="D2450">
        <f>IF(C2450="","",0)</f>
        <v/>
      </c>
      <c r="E2450">
        <f>IF(C2450="","",'Daily Sale entry '!AC950)</f>
        <v/>
      </c>
      <c r="F2450" s="37">
        <f>IF(C2450="","",B2450+IF(E2450&gt;0,0,0.5)+ROW()/10000000)</f>
        <v/>
      </c>
      <c r="G2450">
        <f>IF(C2450="","","Collection 收款 (Online 网上)"&amp;IF('Daily Sale entry '!Y950="",""," - "&amp;'Daily Sale entry '!Y950))</f>
        <v/>
      </c>
      <c r="H2450">
        <f>IF(C2450="","",COUNTIFS($C$2:$C$3001,C2450,$F$2:$F$3001,"&lt;"&amp;F2450)+1)</f>
        <v/>
      </c>
      <c r="I2450">
        <f>IF(C2450="","",C2450&amp;"|"&amp;H2450)</f>
        <v/>
      </c>
      <c r="J2450" s="6">
        <f>IF(C2450="","",IF(H2450=1,SUMIFS('Opening Balance'!$F$4:$F$303,'Opening Balance'!$G$4:$G$303,C2450),INDEX($L$2:$L$3001,MATCH(C2450&amp;"|"&amp;(H2450-1),$I$2:$I$3001,0))))</f>
        <v/>
      </c>
      <c r="K2450" s="6">
        <f>IF(C2450="","",IF(M2450&gt;0,M2450,IF(AND(E2450&gt;0,ROUND(J2450+D2450-E2450,2)&gt;0,ROUND(J2450+D2450-E2450,2)&lt;'Opening Balance'!$B$14),ROUND(J2450+D2450-E2450,2),0)))</f>
        <v/>
      </c>
      <c r="L2450" s="6">
        <f>IF(C2450="","",ROUND(J2450+D2450-E2450-K2450,2))</f>
        <v/>
      </c>
      <c r="M2450" s="6">
        <f>IF(C2450="","",0)</f>
        <v/>
      </c>
    </row>
    <row r="2451">
      <c r="A2451" t="inlineStr">
        <is>
          <t>Bank 银行</t>
        </is>
      </c>
      <c r="B2451" s="5">
        <f>IF(AND('Daily Sale entry '!Z951="Online collection 网上收款",'Daily Sale entry '!AA951&lt;&gt;""),'Daily Sale entry '!X951,"")</f>
        <v/>
      </c>
      <c r="C2451">
        <f>IF(B2451="","",'Daily Sale entry '!AA951)</f>
        <v/>
      </c>
      <c r="D2451">
        <f>IF(C2451="","",0)</f>
        <v/>
      </c>
      <c r="E2451">
        <f>IF(C2451="","",'Daily Sale entry '!AC951)</f>
        <v/>
      </c>
      <c r="F2451" s="37">
        <f>IF(C2451="","",B2451+IF(E2451&gt;0,0,0.5)+ROW()/10000000)</f>
        <v/>
      </c>
      <c r="G2451">
        <f>IF(C2451="","","Collection 收款 (Online 网上)"&amp;IF('Daily Sale entry '!Y951="",""," - "&amp;'Daily Sale entry '!Y951))</f>
        <v/>
      </c>
      <c r="H2451">
        <f>IF(C2451="","",COUNTIFS($C$2:$C$3001,C2451,$F$2:$F$3001,"&lt;"&amp;F2451)+1)</f>
        <v/>
      </c>
      <c r="I2451">
        <f>IF(C2451="","",C2451&amp;"|"&amp;H2451)</f>
        <v/>
      </c>
      <c r="J2451" s="6">
        <f>IF(C2451="","",IF(H2451=1,SUMIFS('Opening Balance'!$F$4:$F$303,'Opening Balance'!$G$4:$G$303,C2451),INDEX($L$2:$L$3001,MATCH(C2451&amp;"|"&amp;(H2451-1),$I$2:$I$3001,0))))</f>
        <v/>
      </c>
      <c r="K2451" s="6">
        <f>IF(C2451="","",IF(M2451&gt;0,M2451,IF(AND(E2451&gt;0,ROUND(J2451+D2451-E2451,2)&gt;0,ROUND(J2451+D2451-E2451,2)&lt;'Opening Balance'!$B$14),ROUND(J2451+D2451-E2451,2),0)))</f>
        <v/>
      </c>
      <c r="L2451" s="6">
        <f>IF(C2451="","",ROUND(J2451+D2451-E2451-K2451,2))</f>
        <v/>
      </c>
      <c r="M2451" s="6">
        <f>IF(C2451="","",0)</f>
        <v/>
      </c>
    </row>
    <row r="2452">
      <c r="A2452" t="inlineStr">
        <is>
          <t>Bank 银行</t>
        </is>
      </c>
      <c r="B2452" s="5">
        <f>IF(AND('Daily Sale entry '!Z952="Online collection 网上收款",'Daily Sale entry '!AA952&lt;&gt;""),'Daily Sale entry '!X952,"")</f>
        <v/>
      </c>
      <c r="C2452">
        <f>IF(B2452="","",'Daily Sale entry '!AA952)</f>
        <v/>
      </c>
      <c r="D2452">
        <f>IF(C2452="","",0)</f>
        <v/>
      </c>
      <c r="E2452">
        <f>IF(C2452="","",'Daily Sale entry '!AC952)</f>
        <v/>
      </c>
      <c r="F2452" s="37">
        <f>IF(C2452="","",B2452+IF(E2452&gt;0,0,0.5)+ROW()/10000000)</f>
        <v/>
      </c>
      <c r="G2452">
        <f>IF(C2452="","","Collection 收款 (Online 网上)"&amp;IF('Daily Sale entry '!Y952="",""," - "&amp;'Daily Sale entry '!Y952))</f>
        <v/>
      </c>
      <c r="H2452">
        <f>IF(C2452="","",COUNTIFS($C$2:$C$3001,C2452,$F$2:$F$3001,"&lt;"&amp;F2452)+1)</f>
        <v/>
      </c>
      <c r="I2452">
        <f>IF(C2452="","",C2452&amp;"|"&amp;H2452)</f>
        <v/>
      </c>
      <c r="J2452" s="6">
        <f>IF(C2452="","",IF(H2452=1,SUMIFS('Opening Balance'!$F$4:$F$303,'Opening Balance'!$G$4:$G$303,C2452),INDEX($L$2:$L$3001,MATCH(C2452&amp;"|"&amp;(H2452-1),$I$2:$I$3001,0))))</f>
        <v/>
      </c>
      <c r="K2452" s="6">
        <f>IF(C2452="","",IF(M2452&gt;0,M2452,IF(AND(E2452&gt;0,ROUND(J2452+D2452-E2452,2)&gt;0,ROUND(J2452+D2452-E2452,2)&lt;'Opening Balance'!$B$14),ROUND(J2452+D2452-E2452,2),0)))</f>
        <v/>
      </c>
      <c r="L2452" s="6">
        <f>IF(C2452="","",ROUND(J2452+D2452-E2452-K2452,2))</f>
        <v/>
      </c>
      <c r="M2452" s="6">
        <f>IF(C2452="","",0)</f>
        <v/>
      </c>
    </row>
    <row r="2453">
      <c r="A2453" t="inlineStr">
        <is>
          <t>Bank 银行</t>
        </is>
      </c>
      <c r="B2453" s="5">
        <f>IF(AND('Daily Sale entry '!Z953="Online collection 网上收款",'Daily Sale entry '!AA953&lt;&gt;""),'Daily Sale entry '!X953,"")</f>
        <v/>
      </c>
      <c r="C2453">
        <f>IF(B2453="","",'Daily Sale entry '!AA953)</f>
        <v/>
      </c>
      <c r="D2453">
        <f>IF(C2453="","",0)</f>
        <v/>
      </c>
      <c r="E2453">
        <f>IF(C2453="","",'Daily Sale entry '!AC953)</f>
        <v/>
      </c>
      <c r="F2453" s="37">
        <f>IF(C2453="","",B2453+IF(E2453&gt;0,0,0.5)+ROW()/10000000)</f>
        <v/>
      </c>
      <c r="G2453">
        <f>IF(C2453="","","Collection 收款 (Online 网上)"&amp;IF('Daily Sale entry '!Y953="",""," - "&amp;'Daily Sale entry '!Y953))</f>
        <v/>
      </c>
      <c r="H2453">
        <f>IF(C2453="","",COUNTIFS($C$2:$C$3001,C2453,$F$2:$F$3001,"&lt;"&amp;F2453)+1)</f>
        <v/>
      </c>
      <c r="I2453">
        <f>IF(C2453="","",C2453&amp;"|"&amp;H2453)</f>
        <v/>
      </c>
      <c r="J2453" s="6">
        <f>IF(C2453="","",IF(H2453=1,SUMIFS('Opening Balance'!$F$4:$F$303,'Opening Balance'!$G$4:$G$303,C2453),INDEX($L$2:$L$3001,MATCH(C2453&amp;"|"&amp;(H2453-1),$I$2:$I$3001,0))))</f>
        <v/>
      </c>
      <c r="K2453" s="6">
        <f>IF(C2453="","",IF(M2453&gt;0,M2453,IF(AND(E2453&gt;0,ROUND(J2453+D2453-E2453,2)&gt;0,ROUND(J2453+D2453-E2453,2)&lt;'Opening Balance'!$B$14),ROUND(J2453+D2453-E2453,2),0)))</f>
        <v/>
      </c>
      <c r="L2453" s="6">
        <f>IF(C2453="","",ROUND(J2453+D2453-E2453-K2453,2))</f>
        <v/>
      </c>
      <c r="M2453" s="6">
        <f>IF(C2453="","",0)</f>
        <v/>
      </c>
    </row>
    <row r="2454">
      <c r="A2454" t="inlineStr">
        <is>
          <t>Bank 银行</t>
        </is>
      </c>
      <c r="B2454" s="5">
        <f>IF(AND('Daily Sale entry '!Z954="Online collection 网上收款",'Daily Sale entry '!AA954&lt;&gt;""),'Daily Sale entry '!X954,"")</f>
        <v/>
      </c>
      <c r="C2454">
        <f>IF(B2454="","",'Daily Sale entry '!AA954)</f>
        <v/>
      </c>
      <c r="D2454">
        <f>IF(C2454="","",0)</f>
        <v/>
      </c>
      <c r="E2454">
        <f>IF(C2454="","",'Daily Sale entry '!AC954)</f>
        <v/>
      </c>
      <c r="F2454" s="37">
        <f>IF(C2454="","",B2454+IF(E2454&gt;0,0,0.5)+ROW()/10000000)</f>
        <v/>
      </c>
      <c r="G2454">
        <f>IF(C2454="","","Collection 收款 (Online 网上)"&amp;IF('Daily Sale entry '!Y954="",""," - "&amp;'Daily Sale entry '!Y954))</f>
        <v/>
      </c>
      <c r="H2454">
        <f>IF(C2454="","",COUNTIFS($C$2:$C$3001,C2454,$F$2:$F$3001,"&lt;"&amp;F2454)+1)</f>
        <v/>
      </c>
      <c r="I2454">
        <f>IF(C2454="","",C2454&amp;"|"&amp;H2454)</f>
        <v/>
      </c>
      <c r="J2454" s="6">
        <f>IF(C2454="","",IF(H2454=1,SUMIFS('Opening Balance'!$F$4:$F$303,'Opening Balance'!$G$4:$G$303,C2454),INDEX($L$2:$L$3001,MATCH(C2454&amp;"|"&amp;(H2454-1),$I$2:$I$3001,0))))</f>
        <v/>
      </c>
      <c r="K2454" s="6">
        <f>IF(C2454="","",IF(M2454&gt;0,M2454,IF(AND(E2454&gt;0,ROUND(J2454+D2454-E2454,2)&gt;0,ROUND(J2454+D2454-E2454,2)&lt;'Opening Balance'!$B$14),ROUND(J2454+D2454-E2454,2),0)))</f>
        <v/>
      </c>
      <c r="L2454" s="6">
        <f>IF(C2454="","",ROUND(J2454+D2454-E2454-K2454,2))</f>
        <v/>
      </c>
      <c r="M2454" s="6">
        <f>IF(C2454="","",0)</f>
        <v/>
      </c>
    </row>
    <row r="2455">
      <c r="A2455" t="inlineStr">
        <is>
          <t>Bank 银行</t>
        </is>
      </c>
      <c r="B2455" s="5">
        <f>IF(AND('Daily Sale entry '!Z955="Online collection 网上收款",'Daily Sale entry '!AA955&lt;&gt;""),'Daily Sale entry '!X955,"")</f>
        <v/>
      </c>
      <c r="C2455">
        <f>IF(B2455="","",'Daily Sale entry '!AA955)</f>
        <v/>
      </c>
      <c r="D2455">
        <f>IF(C2455="","",0)</f>
        <v/>
      </c>
      <c r="E2455">
        <f>IF(C2455="","",'Daily Sale entry '!AC955)</f>
        <v/>
      </c>
      <c r="F2455" s="37">
        <f>IF(C2455="","",B2455+IF(E2455&gt;0,0,0.5)+ROW()/10000000)</f>
        <v/>
      </c>
      <c r="G2455">
        <f>IF(C2455="","","Collection 收款 (Online 网上)"&amp;IF('Daily Sale entry '!Y955="",""," - "&amp;'Daily Sale entry '!Y955))</f>
        <v/>
      </c>
      <c r="H2455">
        <f>IF(C2455="","",COUNTIFS($C$2:$C$3001,C2455,$F$2:$F$3001,"&lt;"&amp;F2455)+1)</f>
        <v/>
      </c>
      <c r="I2455">
        <f>IF(C2455="","",C2455&amp;"|"&amp;H2455)</f>
        <v/>
      </c>
      <c r="J2455" s="6">
        <f>IF(C2455="","",IF(H2455=1,SUMIFS('Opening Balance'!$F$4:$F$303,'Opening Balance'!$G$4:$G$303,C2455),INDEX($L$2:$L$3001,MATCH(C2455&amp;"|"&amp;(H2455-1),$I$2:$I$3001,0))))</f>
        <v/>
      </c>
      <c r="K2455" s="6">
        <f>IF(C2455="","",IF(M2455&gt;0,M2455,IF(AND(E2455&gt;0,ROUND(J2455+D2455-E2455,2)&gt;0,ROUND(J2455+D2455-E2455,2)&lt;'Opening Balance'!$B$14),ROUND(J2455+D2455-E2455,2),0)))</f>
        <v/>
      </c>
      <c r="L2455" s="6">
        <f>IF(C2455="","",ROUND(J2455+D2455-E2455-K2455,2))</f>
        <v/>
      </c>
      <c r="M2455" s="6">
        <f>IF(C2455="","",0)</f>
        <v/>
      </c>
    </row>
    <row r="2456">
      <c r="A2456" t="inlineStr">
        <is>
          <t>Bank 银行</t>
        </is>
      </c>
      <c r="B2456" s="5">
        <f>IF(AND('Daily Sale entry '!Z956="Online collection 网上收款",'Daily Sale entry '!AA956&lt;&gt;""),'Daily Sale entry '!X956,"")</f>
        <v/>
      </c>
      <c r="C2456">
        <f>IF(B2456="","",'Daily Sale entry '!AA956)</f>
        <v/>
      </c>
      <c r="D2456">
        <f>IF(C2456="","",0)</f>
        <v/>
      </c>
      <c r="E2456">
        <f>IF(C2456="","",'Daily Sale entry '!AC956)</f>
        <v/>
      </c>
      <c r="F2456" s="37">
        <f>IF(C2456="","",B2456+IF(E2456&gt;0,0,0.5)+ROW()/10000000)</f>
        <v/>
      </c>
      <c r="G2456">
        <f>IF(C2456="","","Collection 收款 (Online 网上)"&amp;IF('Daily Sale entry '!Y956="",""," - "&amp;'Daily Sale entry '!Y956))</f>
        <v/>
      </c>
      <c r="H2456">
        <f>IF(C2456="","",COUNTIFS($C$2:$C$3001,C2456,$F$2:$F$3001,"&lt;"&amp;F2456)+1)</f>
        <v/>
      </c>
      <c r="I2456">
        <f>IF(C2456="","",C2456&amp;"|"&amp;H2456)</f>
        <v/>
      </c>
      <c r="J2456" s="6">
        <f>IF(C2456="","",IF(H2456=1,SUMIFS('Opening Balance'!$F$4:$F$303,'Opening Balance'!$G$4:$G$303,C2456),INDEX($L$2:$L$3001,MATCH(C2456&amp;"|"&amp;(H2456-1),$I$2:$I$3001,0))))</f>
        <v/>
      </c>
      <c r="K2456" s="6">
        <f>IF(C2456="","",IF(M2456&gt;0,M2456,IF(AND(E2456&gt;0,ROUND(J2456+D2456-E2456,2)&gt;0,ROUND(J2456+D2456-E2456,2)&lt;'Opening Balance'!$B$14),ROUND(J2456+D2456-E2456,2),0)))</f>
        <v/>
      </c>
      <c r="L2456" s="6">
        <f>IF(C2456="","",ROUND(J2456+D2456-E2456-K2456,2))</f>
        <v/>
      </c>
      <c r="M2456" s="6">
        <f>IF(C2456="","",0)</f>
        <v/>
      </c>
    </row>
    <row r="2457">
      <c r="A2457" t="inlineStr">
        <is>
          <t>Bank 银行</t>
        </is>
      </c>
      <c r="B2457" s="5">
        <f>IF(AND('Daily Sale entry '!Z957="Online collection 网上收款",'Daily Sale entry '!AA957&lt;&gt;""),'Daily Sale entry '!X957,"")</f>
        <v/>
      </c>
      <c r="C2457">
        <f>IF(B2457="","",'Daily Sale entry '!AA957)</f>
        <v/>
      </c>
      <c r="D2457">
        <f>IF(C2457="","",0)</f>
        <v/>
      </c>
      <c r="E2457">
        <f>IF(C2457="","",'Daily Sale entry '!AC957)</f>
        <v/>
      </c>
      <c r="F2457" s="37">
        <f>IF(C2457="","",B2457+IF(E2457&gt;0,0,0.5)+ROW()/10000000)</f>
        <v/>
      </c>
      <c r="G2457">
        <f>IF(C2457="","","Collection 收款 (Online 网上)"&amp;IF('Daily Sale entry '!Y957="",""," - "&amp;'Daily Sale entry '!Y957))</f>
        <v/>
      </c>
      <c r="H2457">
        <f>IF(C2457="","",COUNTIFS($C$2:$C$3001,C2457,$F$2:$F$3001,"&lt;"&amp;F2457)+1)</f>
        <v/>
      </c>
      <c r="I2457">
        <f>IF(C2457="","",C2457&amp;"|"&amp;H2457)</f>
        <v/>
      </c>
      <c r="J2457" s="6">
        <f>IF(C2457="","",IF(H2457=1,SUMIFS('Opening Balance'!$F$4:$F$303,'Opening Balance'!$G$4:$G$303,C2457),INDEX($L$2:$L$3001,MATCH(C2457&amp;"|"&amp;(H2457-1),$I$2:$I$3001,0))))</f>
        <v/>
      </c>
      <c r="K2457" s="6">
        <f>IF(C2457="","",IF(M2457&gt;0,M2457,IF(AND(E2457&gt;0,ROUND(J2457+D2457-E2457,2)&gt;0,ROUND(J2457+D2457-E2457,2)&lt;'Opening Balance'!$B$14),ROUND(J2457+D2457-E2457,2),0)))</f>
        <v/>
      </c>
      <c r="L2457" s="6">
        <f>IF(C2457="","",ROUND(J2457+D2457-E2457-K2457,2))</f>
        <v/>
      </c>
      <c r="M2457" s="6">
        <f>IF(C2457="","",0)</f>
        <v/>
      </c>
    </row>
    <row r="2458">
      <c r="A2458" t="inlineStr">
        <is>
          <t>Bank 银行</t>
        </is>
      </c>
      <c r="B2458" s="5">
        <f>IF(AND('Daily Sale entry '!Z958="Online collection 网上收款",'Daily Sale entry '!AA958&lt;&gt;""),'Daily Sale entry '!X958,"")</f>
        <v/>
      </c>
      <c r="C2458">
        <f>IF(B2458="","",'Daily Sale entry '!AA958)</f>
        <v/>
      </c>
      <c r="D2458">
        <f>IF(C2458="","",0)</f>
        <v/>
      </c>
      <c r="E2458">
        <f>IF(C2458="","",'Daily Sale entry '!AC958)</f>
        <v/>
      </c>
      <c r="F2458" s="37">
        <f>IF(C2458="","",B2458+IF(E2458&gt;0,0,0.5)+ROW()/10000000)</f>
        <v/>
      </c>
      <c r="G2458">
        <f>IF(C2458="","","Collection 收款 (Online 网上)"&amp;IF('Daily Sale entry '!Y958="",""," - "&amp;'Daily Sale entry '!Y958))</f>
        <v/>
      </c>
      <c r="H2458">
        <f>IF(C2458="","",COUNTIFS($C$2:$C$3001,C2458,$F$2:$F$3001,"&lt;"&amp;F2458)+1)</f>
        <v/>
      </c>
      <c r="I2458">
        <f>IF(C2458="","",C2458&amp;"|"&amp;H2458)</f>
        <v/>
      </c>
      <c r="J2458" s="6">
        <f>IF(C2458="","",IF(H2458=1,SUMIFS('Opening Balance'!$F$4:$F$303,'Opening Balance'!$G$4:$G$303,C2458),INDEX($L$2:$L$3001,MATCH(C2458&amp;"|"&amp;(H2458-1),$I$2:$I$3001,0))))</f>
        <v/>
      </c>
      <c r="K2458" s="6">
        <f>IF(C2458="","",IF(M2458&gt;0,M2458,IF(AND(E2458&gt;0,ROUND(J2458+D2458-E2458,2)&gt;0,ROUND(J2458+D2458-E2458,2)&lt;'Opening Balance'!$B$14),ROUND(J2458+D2458-E2458,2),0)))</f>
        <v/>
      </c>
      <c r="L2458" s="6">
        <f>IF(C2458="","",ROUND(J2458+D2458-E2458-K2458,2))</f>
        <v/>
      </c>
      <c r="M2458" s="6">
        <f>IF(C2458="","",0)</f>
        <v/>
      </c>
    </row>
    <row r="2459">
      <c r="A2459" t="inlineStr">
        <is>
          <t>Bank 银行</t>
        </is>
      </c>
      <c r="B2459" s="5">
        <f>IF(AND('Daily Sale entry '!Z959="Online collection 网上收款",'Daily Sale entry '!AA959&lt;&gt;""),'Daily Sale entry '!X959,"")</f>
        <v/>
      </c>
      <c r="C2459">
        <f>IF(B2459="","",'Daily Sale entry '!AA959)</f>
        <v/>
      </c>
      <c r="D2459">
        <f>IF(C2459="","",0)</f>
        <v/>
      </c>
      <c r="E2459">
        <f>IF(C2459="","",'Daily Sale entry '!AC959)</f>
        <v/>
      </c>
      <c r="F2459" s="37">
        <f>IF(C2459="","",B2459+IF(E2459&gt;0,0,0.5)+ROW()/10000000)</f>
        <v/>
      </c>
      <c r="G2459">
        <f>IF(C2459="","","Collection 收款 (Online 网上)"&amp;IF('Daily Sale entry '!Y959="",""," - "&amp;'Daily Sale entry '!Y959))</f>
        <v/>
      </c>
      <c r="H2459">
        <f>IF(C2459="","",COUNTIFS($C$2:$C$3001,C2459,$F$2:$F$3001,"&lt;"&amp;F2459)+1)</f>
        <v/>
      </c>
      <c r="I2459">
        <f>IF(C2459="","",C2459&amp;"|"&amp;H2459)</f>
        <v/>
      </c>
      <c r="J2459" s="6">
        <f>IF(C2459="","",IF(H2459=1,SUMIFS('Opening Balance'!$F$4:$F$303,'Opening Balance'!$G$4:$G$303,C2459),INDEX($L$2:$L$3001,MATCH(C2459&amp;"|"&amp;(H2459-1),$I$2:$I$3001,0))))</f>
        <v/>
      </c>
      <c r="K2459" s="6">
        <f>IF(C2459="","",IF(M2459&gt;0,M2459,IF(AND(E2459&gt;0,ROUND(J2459+D2459-E2459,2)&gt;0,ROUND(J2459+D2459-E2459,2)&lt;'Opening Balance'!$B$14),ROUND(J2459+D2459-E2459,2),0)))</f>
        <v/>
      </c>
      <c r="L2459" s="6">
        <f>IF(C2459="","",ROUND(J2459+D2459-E2459-K2459,2))</f>
        <v/>
      </c>
      <c r="M2459" s="6">
        <f>IF(C2459="","",0)</f>
        <v/>
      </c>
    </row>
    <row r="2460">
      <c r="A2460" t="inlineStr">
        <is>
          <t>Bank 银行</t>
        </is>
      </c>
      <c r="B2460" s="5">
        <f>IF(AND('Daily Sale entry '!Z960="Online collection 网上收款",'Daily Sale entry '!AA960&lt;&gt;""),'Daily Sale entry '!X960,"")</f>
        <v/>
      </c>
      <c r="C2460">
        <f>IF(B2460="","",'Daily Sale entry '!AA960)</f>
        <v/>
      </c>
      <c r="D2460">
        <f>IF(C2460="","",0)</f>
        <v/>
      </c>
      <c r="E2460">
        <f>IF(C2460="","",'Daily Sale entry '!AC960)</f>
        <v/>
      </c>
      <c r="F2460" s="37">
        <f>IF(C2460="","",B2460+IF(E2460&gt;0,0,0.5)+ROW()/10000000)</f>
        <v/>
      </c>
      <c r="G2460">
        <f>IF(C2460="","","Collection 收款 (Online 网上)"&amp;IF('Daily Sale entry '!Y960="",""," - "&amp;'Daily Sale entry '!Y960))</f>
        <v/>
      </c>
      <c r="H2460">
        <f>IF(C2460="","",COUNTIFS($C$2:$C$3001,C2460,$F$2:$F$3001,"&lt;"&amp;F2460)+1)</f>
        <v/>
      </c>
      <c r="I2460">
        <f>IF(C2460="","",C2460&amp;"|"&amp;H2460)</f>
        <v/>
      </c>
      <c r="J2460" s="6">
        <f>IF(C2460="","",IF(H2460=1,SUMIFS('Opening Balance'!$F$4:$F$303,'Opening Balance'!$G$4:$G$303,C2460),INDEX($L$2:$L$3001,MATCH(C2460&amp;"|"&amp;(H2460-1),$I$2:$I$3001,0))))</f>
        <v/>
      </c>
      <c r="K2460" s="6">
        <f>IF(C2460="","",IF(M2460&gt;0,M2460,IF(AND(E2460&gt;0,ROUND(J2460+D2460-E2460,2)&gt;0,ROUND(J2460+D2460-E2460,2)&lt;'Opening Balance'!$B$14),ROUND(J2460+D2460-E2460,2),0)))</f>
        <v/>
      </c>
      <c r="L2460" s="6">
        <f>IF(C2460="","",ROUND(J2460+D2460-E2460-K2460,2))</f>
        <v/>
      </c>
      <c r="M2460" s="6">
        <f>IF(C2460="","",0)</f>
        <v/>
      </c>
    </row>
    <row r="2461">
      <c r="A2461" t="inlineStr">
        <is>
          <t>Bank 银行</t>
        </is>
      </c>
      <c r="B2461" s="5">
        <f>IF(AND('Daily Sale entry '!Z961="Online collection 网上收款",'Daily Sale entry '!AA961&lt;&gt;""),'Daily Sale entry '!X961,"")</f>
        <v/>
      </c>
      <c r="C2461">
        <f>IF(B2461="","",'Daily Sale entry '!AA961)</f>
        <v/>
      </c>
      <c r="D2461">
        <f>IF(C2461="","",0)</f>
        <v/>
      </c>
      <c r="E2461">
        <f>IF(C2461="","",'Daily Sale entry '!AC961)</f>
        <v/>
      </c>
      <c r="F2461" s="37">
        <f>IF(C2461="","",B2461+IF(E2461&gt;0,0,0.5)+ROW()/10000000)</f>
        <v/>
      </c>
      <c r="G2461">
        <f>IF(C2461="","","Collection 收款 (Online 网上)"&amp;IF('Daily Sale entry '!Y961="",""," - "&amp;'Daily Sale entry '!Y961))</f>
        <v/>
      </c>
      <c r="H2461">
        <f>IF(C2461="","",COUNTIFS($C$2:$C$3001,C2461,$F$2:$F$3001,"&lt;"&amp;F2461)+1)</f>
        <v/>
      </c>
      <c r="I2461">
        <f>IF(C2461="","",C2461&amp;"|"&amp;H2461)</f>
        <v/>
      </c>
      <c r="J2461" s="6">
        <f>IF(C2461="","",IF(H2461=1,SUMIFS('Opening Balance'!$F$4:$F$303,'Opening Balance'!$G$4:$G$303,C2461),INDEX($L$2:$L$3001,MATCH(C2461&amp;"|"&amp;(H2461-1),$I$2:$I$3001,0))))</f>
        <v/>
      </c>
      <c r="K2461" s="6">
        <f>IF(C2461="","",IF(M2461&gt;0,M2461,IF(AND(E2461&gt;0,ROUND(J2461+D2461-E2461,2)&gt;0,ROUND(J2461+D2461-E2461,2)&lt;'Opening Balance'!$B$14),ROUND(J2461+D2461-E2461,2),0)))</f>
        <v/>
      </c>
      <c r="L2461" s="6">
        <f>IF(C2461="","",ROUND(J2461+D2461-E2461-K2461,2))</f>
        <v/>
      </c>
      <c r="M2461" s="6">
        <f>IF(C2461="","",0)</f>
        <v/>
      </c>
    </row>
    <row r="2462">
      <c r="A2462" t="inlineStr">
        <is>
          <t>Bank 银行</t>
        </is>
      </c>
      <c r="B2462" s="5">
        <f>IF(AND('Daily Sale entry '!Z962="Online collection 网上收款",'Daily Sale entry '!AA962&lt;&gt;""),'Daily Sale entry '!X962,"")</f>
        <v/>
      </c>
      <c r="C2462">
        <f>IF(B2462="","",'Daily Sale entry '!AA962)</f>
        <v/>
      </c>
      <c r="D2462">
        <f>IF(C2462="","",0)</f>
        <v/>
      </c>
      <c r="E2462">
        <f>IF(C2462="","",'Daily Sale entry '!AC962)</f>
        <v/>
      </c>
      <c r="F2462" s="37">
        <f>IF(C2462="","",B2462+IF(E2462&gt;0,0,0.5)+ROW()/10000000)</f>
        <v/>
      </c>
      <c r="G2462">
        <f>IF(C2462="","","Collection 收款 (Online 网上)"&amp;IF('Daily Sale entry '!Y962="",""," - "&amp;'Daily Sale entry '!Y962))</f>
        <v/>
      </c>
      <c r="H2462">
        <f>IF(C2462="","",COUNTIFS($C$2:$C$3001,C2462,$F$2:$F$3001,"&lt;"&amp;F2462)+1)</f>
        <v/>
      </c>
      <c r="I2462">
        <f>IF(C2462="","",C2462&amp;"|"&amp;H2462)</f>
        <v/>
      </c>
      <c r="J2462" s="6">
        <f>IF(C2462="","",IF(H2462=1,SUMIFS('Opening Balance'!$F$4:$F$303,'Opening Balance'!$G$4:$G$303,C2462),INDEX($L$2:$L$3001,MATCH(C2462&amp;"|"&amp;(H2462-1),$I$2:$I$3001,0))))</f>
        <v/>
      </c>
      <c r="K2462" s="6">
        <f>IF(C2462="","",IF(M2462&gt;0,M2462,IF(AND(E2462&gt;0,ROUND(J2462+D2462-E2462,2)&gt;0,ROUND(J2462+D2462-E2462,2)&lt;'Opening Balance'!$B$14),ROUND(J2462+D2462-E2462,2),0)))</f>
        <v/>
      </c>
      <c r="L2462" s="6">
        <f>IF(C2462="","",ROUND(J2462+D2462-E2462-K2462,2))</f>
        <v/>
      </c>
      <c r="M2462" s="6">
        <f>IF(C2462="","",0)</f>
        <v/>
      </c>
    </row>
    <row r="2463">
      <c r="A2463" t="inlineStr">
        <is>
          <t>Bank 银行</t>
        </is>
      </c>
      <c r="B2463" s="5">
        <f>IF(AND('Daily Sale entry '!Z963="Online collection 网上收款",'Daily Sale entry '!AA963&lt;&gt;""),'Daily Sale entry '!X963,"")</f>
        <v/>
      </c>
      <c r="C2463">
        <f>IF(B2463="","",'Daily Sale entry '!AA963)</f>
        <v/>
      </c>
      <c r="D2463">
        <f>IF(C2463="","",0)</f>
        <v/>
      </c>
      <c r="E2463">
        <f>IF(C2463="","",'Daily Sale entry '!AC963)</f>
        <v/>
      </c>
      <c r="F2463" s="37">
        <f>IF(C2463="","",B2463+IF(E2463&gt;0,0,0.5)+ROW()/10000000)</f>
        <v/>
      </c>
      <c r="G2463">
        <f>IF(C2463="","","Collection 收款 (Online 网上)"&amp;IF('Daily Sale entry '!Y963="",""," - "&amp;'Daily Sale entry '!Y963))</f>
        <v/>
      </c>
      <c r="H2463">
        <f>IF(C2463="","",COUNTIFS($C$2:$C$3001,C2463,$F$2:$F$3001,"&lt;"&amp;F2463)+1)</f>
        <v/>
      </c>
      <c r="I2463">
        <f>IF(C2463="","",C2463&amp;"|"&amp;H2463)</f>
        <v/>
      </c>
      <c r="J2463" s="6">
        <f>IF(C2463="","",IF(H2463=1,SUMIFS('Opening Balance'!$F$4:$F$303,'Opening Balance'!$G$4:$G$303,C2463),INDEX($L$2:$L$3001,MATCH(C2463&amp;"|"&amp;(H2463-1),$I$2:$I$3001,0))))</f>
        <v/>
      </c>
      <c r="K2463" s="6">
        <f>IF(C2463="","",IF(M2463&gt;0,M2463,IF(AND(E2463&gt;0,ROUND(J2463+D2463-E2463,2)&gt;0,ROUND(J2463+D2463-E2463,2)&lt;'Opening Balance'!$B$14),ROUND(J2463+D2463-E2463,2),0)))</f>
        <v/>
      </c>
      <c r="L2463" s="6">
        <f>IF(C2463="","",ROUND(J2463+D2463-E2463-K2463,2))</f>
        <v/>
      </c>
      <c r="M2463" s="6">
        <f>IF(C2463="","",0)</f>
        <v/>
      </c>
    </row>
    <row r="2464">
      <c r="A2464" t="inlineStr">
        <is>
          <t>Bank 银行</t>
        </is>
      </c>
      <c r="B2464" s="5">
        <f>IF(AND('Daily Sale entry '!Z964="Online collection 网上收款",'Daily Sale entry '!AA964&lt;&gt;""),'Daily Sale entry '!X964,"")</f>
        <v/>
      </c>
      <c r="C2464">
        <f>IF(B2464="","",'Daily Sale entry '!AA964)</f>
        <v/>
      </c>
      <c r="D2464">
        <f>IF(C2464="","",0)</f>
        <v/>
      </c>
      <c r="E2464">
        <f>IF(C2464="","",'Daily Sale entry '!AC964)</f>
        <v/>
      </c>
      <c r="F2464" s="37">
        <f>IF(C2464="","",B2464+IF(E2464&gt;0,0,0.5)+ROW()/10000000)</f>
        <v/>
      </c>
      <c r="G2464">
        <f>IF(C2464="","","Collection 收款 (Online 网上)"&amp;IF('Daily Sale entry '!Y964="",""," - "&amp;'Daily Sale entry '!Y964))</f>
        <v/>
      </c>
      <c r="H2464">
        <f>IF(C2464="","",COUNTIFS($C$2:$C$3001,C2464,$F$2:$F$3001,"&lt;"&amp;F2464)+1)</f>
        <v/>
      </c>
      <c r="I2464">
        <f>IF(C2464="","",C2464&amp;"|"&amp;H2464)</f>
        <v/>
      </c>
      <c r="J2464" s="6">
        <f>IF(C2464="","",IF(H2464=1,SUMIFS('Opening Balance'!$F$4:$F$303,'Opening Balance'!$G$4:$G$303,C2464),INDEX($L$2:$L$3001,MATCH(C2464&amp;"|"&amp;(H2464-1),$I$2:$I$3001,0))))</f>
        <v/>
      </c>
      <c r="K2464" s="6">
        <f>IF(C2464="","",IF(M2464&gt;0,M2464,IF(AND(E2464&gt;0,ROUND(J2464+D2464-E2464,2)&gt;0,ROUND(J2464+D2464-E2464,2)&lt;'Opening Balance'!$B$14),ROUND(J2464+D2464-E2464,2),0)))</f>
        <v/>
      </c>
      <c r="L2464" s="6">
        <f>IF(C2464="","",ROUND(J2464+D2464-E2464-K2464,2))</f>
        <v/>
      </c>
      <c r="M2464" s="6">
        <f>IF(C2464="","",0)</f>
        <v/>
      </c>
    </row>
    <row r="2465">
      <c r="A2465" t="inlineStr">
        <is>
          <t>Bank 银行</t>
        </is>
      </c>
      <c r="B2465" s="5">
        <f>IF(AND('Daily Sale entry '!Z965="Online collection 网上收款",'Daily Sale entry '!AA965&lt;&gt;""),'Daily Sale entry '!X965,"")</f>
        <v/>
      </c>
      <c r="C2465">
        <f>IF(B2465="","",'Daily Sale entry '!AA965)</f>
        <v/>
      </c>
      <c r="D2465">
        <f>IF(C2465="","",0)</f>
        <v/>
      </c>
      <c r="E2465">
        <f>IF(C2465="","",'Daily Sale entry '!AC965)</f>
        <v/>
      </c>
      <c r="F2465" s="37">
        <f>IF(C2465="","",B2465+IF(E2465&gt;0,0,0.5)+ROW()/10000000)</f>
        <v/>
      </c>
      <c r="G2465">
        <f>IF(C2465="","","Collection 收款 (Online 网上)"&amp;IF('Daily Sale entry '!Y965="",""," - "&amp;'Daily Sale entry '!Y965))</f>
        <v/>
      </c>
      <c r="H2465">
        <f>IF(C2465="","",COUNTIFS($C$2:$C$3001,C2465,$F$2:$F$3001,"&lt;"&amp;F2465)+1)</f>
        <v/>
      </c>
      <c r="I2465">
        <f>IF(C2465="","",C2465&amp;"|"&amp;H2465)</f>
        <v/>
      </c>
      <c r="J2465" s="6">
        <f>IF(C2465="","",IF(H2465=1,SUMIFS('Opening Balance'!$F$4:$F$303,'Opening Balance'!$G$4:$G$303,C2465),INDEX($L$2:$L$3001,MATCH(C2465&amp;"|"&amp;(H2465-1),$I$2:$I$3001,0))))</f>
        <v/>
      </c>
      <c r="K2465" s="6">
        <f>IF(C2465="","",IF(M2465&gt;0,M2465,IF(AND(E2465&gt;0,ROUND(J2465+D2465-E2465,2)&gt;0,ROUND(J2465+D2465-E2465,2)&lt;'Opening Balance'!$B$14),ROUND(J2465+D2465-E2465,2),0)))</f>
        <v/>
      </c>
      <c r="L2465" s="6">
        <f>IF(C2465="","",ROUND(J2465+D2465-E2465-K2465,2))</f>
        <v/>
      </c>
      <c r="M2465" s="6">
        <f>IF(C2465="","",0)</f>
        <v/>
      </c>
    </row>
    <row r="2466">
      <c r="A2466" t="inlineStr">
        <is>
          <t>Bank 银行</t>
        </is>
      </c>
      <c r="B2466" s="5">
        <f>IF(AND('Daily Sale entry '!Z966="Online collection 网上收款",'Daily Sale entry '!AA966&lt;&gt;""),'Daily Sale entry '!X966,"")</f>
        <v/>
      </c>
      <c r="C2466">
        <f>IF(B2466="","",'Daily Sale entry '!AA966)</f>
        <v/>
      </c>
      <c r="D2466">
        <f>IF(C2466="","",0)</f>
        <v/>
      </c>
      <c r="E2466">
        <f>IF(C2466="","",'Daily Sale entry '!AC966)</f>
        <v/>
      </c>
      <c r="F2466" s="37">
        <f>IF(C2466="","",B2466+IF(E2466&gt;0,0,0.5)+ROW()/10000000)</f>
        <v/>
      </c>
      <c r="G2466">
        <f>IF(C2466="","","Collection 收款 (Online 网上)"&amp;IF('Daily Sale entry '!Y966="",""," - "&amp;'Daily Sale entry '!Y966))</f>
        <v/>
      </c>
      <c r="H2466">
        <f>IF(C2466="","",COUNTIFS($C$2:$C$3001,C2466,$F$2:$F$3001,"&lt;"&amp;F2466)+1)</f>
        <v/>
      </c>
      <c r="I2466">
        <f>IF(C2466="","",C2466&amp;"|"&amp;H2466)</f>
        <v/>
      </c>
      <c r="J2466" s="6">
        <f>IF(C2466="","",IF(H2466=1,SUMIFS('Opening Balance'!$F$4:$F$303,'Opening Balance'!$G$4:$G$303,C2466),INDEX($L$2:$L$3001,MATCH(C2466&amp;"|"&amp;(H2466-1),$I$2:$I$3001,0))))</f>
        <v/>
      </c>
      <c r="K2466" s="6">
        <f>IF(C2466="","",IF(M2466&gt;0,M2466,IF(AND(E2466&gt;0,ROUND(J2466+D2466-E2466,2)&gt;0,ROUND(J2466+D2466-E2466,2)&lt;'Opening Balance'!$B$14),ROUND(J2466+D2466-E2466,2),0)))</f>
        <v/>
      </c>
      <c r="L2466" s="6">
        <f>IF(C2466="","",ROUND(J2466+D2466-E2466-K2466,2))</f>
        <v/>
      </c>
      <c r="M2466" s="6">
        <f>IF(C2466="","",0)</f>
        <v/>
      </c>
    </row>
    <row r="2467">
      <c r="A2467" t="inlineStr">
        <is>
          <t>Bank 银行</t>
        </is>
      </c>
      <c r="B2467" s="5">
        <f>IF(AND('Daily Sale entry '!Z967="Online collection 网上收款",'Daily Sale entry '!AA967&lt;&gt;""),'Daily Sale entry '!X967,"")</f>
        <v/>
      </c>
      <c r="C2467">
        <f>IF(B2467="","",'Daily Sale entry '!AA967)</f>
        <v/>
      </c>
      <c r="D2467">
        <f>IF(C2467="","",0)</f>
        <v/>
      </c>
      <c r="E2467">
        <f>IF(C2467="","",'Daily Sale entry '!AC967)</f>
        <v/>
      </c>
      <c r="F2467" s="37">
        <f>IF(C2467="","",B2467+IF(E2467&gt;0,0,0.5)+ROW()/10000000)</f>
        <v/>
      </c>
      <c r="G2467">
        <f>IF(C2467="","","Collection 收款 (Online 网上)"&amp;IF('Daily Sale entry '!Y967="",""," - "&amp;'Daily Sale entry '!Y967))</f>
        <v/>
      </c>
      <c r="H2467">
        <f>IF(C2467="","",COUNTIFS($C$2:$C$3001,C2467,$F$2:$F$3001,"&lt;"&amp;F2467)+1)</f>
        <v/>
      </c>
      <c r="I2467">
        <f>IF(C2467="","",C2467&amp;"|"&amp;H2467)</f>
        <v/>
      </c>
      <c r="J2467" s="6">
        <f>IF(C2467="","",IF(H2467=1,SUMIFS('Opening Balance'!$F$4:$F$303,'Opening Balance'!$G$4:$G$303,C2467),INDEX($L$2:$L$3001,MATCH(C2467&amp;"|"&amp;(H2467-1),$I$2:$I$3001,0))))</f>
        <v/>
      </c>
      <c r="K2467" s="6">
        <f>IF(C2467="","",IF(M2467&gt;0,M2467,IF(AND(E2467&gt;0,ROUND(J2467+D2467-E2467,2)&gt;0,ROUND(J2467+D2467-E2467,2)&lt;'Opening Balance'!$B$14),ROUND(J2467+D2467-E2467,2),0)))</f>
        <v/>
      </c>
      <c r="L2467" s="6">
        <f>IF(C2467="","",ROUND(J2467+D2467-E2467-K2467,2))</f>
        <v/>
      </c>
      <c r="M2467" s="6">
        <f>IF(C2467="","",0)</f>
        <v/>
      </c>
    </row>
    <row r="2468">
      <c r="A2468" t="inlineStr">
        <is>
          <t>Bank 银行</t>
        </is>
      </c>
      <c r="B2468" s="5">
        <f>IF(AND('Daily Sale entry '!Z968="Online collection 网上收款",'Daily Sale entry '!AA968&lt;&gt;""),'Daily Sale entry '!X968,"")</f>
        <v/>
      </c>
      <c r="C2468">
        <f>IF(B2468="","",'Daily Sale entry '!AA968)</f>
        <v/>
      </c>
      <c r="D2468">
        <f>IF(C2468="","",0)</f>
        <v/>
      </c>
      <c r="E2468">
        <f>IF(C2468="","",'Daily Sale entry '!AC968)</f>
        <v/>
      </c>
      <c r="F2468" s="37">
        <f>IF(C2468="","",B2468+IF(E2468&gt;0,0,0.5)+ROW()/10000000)</f>
        <v/>
      </c>
      <c r="G2468">
        <f>IF(C2468="","","Collection 收款 (Online 网上)"&amp;IF('Daily Sale entry '!Y968="",""," - "&amp;'Daily Sale entry '!Y968))</f>
        <v/>
      </c>
      <c r="H2468">
        <f>IF(C2468="","",COUNTIFS($C$2:$C$3001,C2468,$F$2:$F$3001,"&lt;"&amp;F2468)+1)</f>
        <v/>
      </c>
      <c r="I2468">
        <f>IF(C2468="","",C2468&amp;"|"&amp;H2468)</f>
        <v/>
      </c>
      <c r="J2468" s="6">
        <f>IF(C2468="","",IF(H2468=1,SUMIFS('Opening Balance'!$F$4:$F$303,'Opening Balance'!$G$4:$G$303,C2468),INDEX($L$2:$L$3001,MATCH(C2468&amp;"|"&amp;(H2468-1),$I$2:$I$3001,0))))</f>
        <v/>
      </c>
      <c r="K2468" s="6">
        <f>IF(C2468="","",IF(M2468&gt;0,M2468,IF(AND(E2468&gt;0,ROUND(J2468+D2468-E2468,2)&gt;0,ROUND(J2468+D2468-E2468,2)&lt;'Opening Balance'!$B$14),ROUND(J2468+D2468-E2468,2),0)))</f>
        <v/>
      </c>
      <c r="L2468" s="6">
        <f>IF(C2468="","",ROUND(J2468+D2468-E2468-K2468,2))</f>
        <v/>
      </c>
      <c r="M2468" s="6">
        <f>IF(C2468="","",0)</f>
        <v/>
      </c>
    </row>
    <row r="2469">
      <c r="A2469" t="inlineStr">
        <is>
          <t>Bank 银行</t>
        </is>
      </c>
      <c r="B2469" s="5">
        <f>IF(AND('Daily Sale entry '!Z969="Online collection 网上收款",'Daily Sale entry '!AA969&lt;&gt;""),'Daily Sale entry '!X969,"")</f>
        <v/>
      </c>
      <c r="C2469">
        <f>IF(B2469="","",'Daily Sale entry '!AA969)</f>
        <v/>
      </c>
      <c r="D2469">
        <f>IF(C2469="","",0)</f>
        <v/>
      </c>
      <c r="E2469">
        <f>IF(C2469="","",'Daily Sale entry '!AC969)</f>
        <v/>
      </c>
      <c r="F2469" s="37">
        <f>IF(C2469="","",B2469+IF(E2469&gt;0,0,0.5)+ROW()/10000000)</f>
        <v/>
      </c>
      <c r="G2469">
        <f>IF(C2469="","","Collection 收款 (Online 网上)"&amp;IF('Daily Sale entry '!Y969="",""," - "&amp;'Daily Sale entry '!Y969))</f>
        <v/>
      </c>
      <c r="H2469">
        <f>IF(C2469="","",COUNTIFS($C$2:$C$3001,C2469,$F$2:$F$3001,"&lt;"&amp;F2469)+1)</f>
        <v/>
      </c>
      <c r="I2469">
        <f>IF(C2469="","",C2469&amp;"|"&amp;H2469)</f>
        <v/>
      </c>
      <c r="J2469" s="6">
        <f>IF(C2469="","",IF(H2469=1,SUMIFS('Opening Balance'!$F$4:$F$303,'Opening Balance'!$G$4:$G$303,C2469),INDEX($L$2:$L$3001,MATCH(C2469&amp;"|"&amp;(H2469-1),$I$2:$I$3001,0))))</f>
        <v/>
      </c>
      <c r="K2469" s="6">
        <f>IF(C2469="","",IF(M2469&gt;0,M2469,IF(AND(E2469&gt;0,ROUND(J2469+D2469-E2469,2)&gt;0,ROUND(J2469+D2469-E2469,2)&lt;'Opening Balance'!$B$14),ROUND(J2469+D2469-E2469,2),0)))</f>
        <v/>
      </c>
      <c r="L2469" s="6">
        <f>IF(C2469="","",ROUND(J2469+D2469-E2469-K2469,2))</f>
        <v/>
      </c>
      <c r="M2469" s="6">
        <f>IF(C2469="","",0)</f>
        <v/>
      </c>
    </row>
    <row r="2470">
      <c r="A2470" t="inlineStr">
        <is>
          <t>Bank 银行</t>
        </is>
      </c>
      <c r="B2470" s="5">
        <f>IF(AND('Daily Sale entry '!Z970="Online collection 网上收款",'Daily Sale entry '!AA970&lt;&gt;""),'Daily Sale entry '!X970,"")</f>
        <v/>
      </c>
      <c r="C2470">
        <f>IF(B2470="","",'Daily Sale entry '!AA970)</f>
        <v/>
      </c>
      <c r="D2470">
        <f>IF(C2470="","",0)</f>
        <v/>
      </c>
      <c r="E2470">
        <f>IF(C2470="","",'Daily Sale entry '!AC970)</f>
        <v/>
      </c>
      <c r="F2470" s="37">
        <f>IF(C2470="","",B2470+IF(E2470&gt;0,0,0.5)+ROW()/10000000)</f>
        <v/>
      </c>
      <c r="G2470">
        <f>IF(C2470="","","Collection 收款 (Online 网上)"&amp;IF('Daily Sale entry '!Y970="",""," - "&amp;'Daily Sale entry '!Y970))</f>
        <v/>
      </c>
      <c r="H2470">
        <f>IF(C2470="","",COUNTIFS($C$2:$C$3001,C2470,$F$2:$F$3001,"&lt;"&amp;F2470)+1)</f>
        <v/>
      </c>
      <c r="I2470">
        <f>IF(C2470="","",C2470&amp;"|"&amp;H2470)</f>
        <v/>
      </c>
      <c r="J2470" s="6">
        <f>IF(C2470="","",IF(H2470=1,SUMIFS('Opening Balance'!$F$4:$F$303,'Opening Balance'!$G$4:$G$303,C2470),INDEX($L$2:$L$3001,MATCH(C2470&amp;"|"&amp;(H2470-1),$I$2:$I$3001,0))))</f>
        <v/>
      </c>
      <c r="K2470" s="6">
        <f>IF(C2470="","",IF(M2470&gt;0,M2470,IF(AND(E2470&gt;0,ROUND(J2470+D2470-E2470,2)&gt;0,ROUND(J2470+D2470-E2470,2)&lt;'Opening Balance'!$B$14),ROUND(J2470+D2470-E2470,2),0)))</f>
        <v/>
      </c>
      <c r="L2470" s="6">
        <f>IF(C2470="","",ROUND(J2470+D2470-E2470-K2470,2))</f>
        <v/>
      </c>
      <c r="M2470" s="6">
        <f>IF(C2470="","",0)</f>
        <v/>
      </c>
    </row>
    <row r="2471">
      <c r="A2471" t="inlineStr">
        <is>
          <t>Bank 银行</t>
        </is>
      </c>
      <c r="B2471" s="5">
        <f>IF(AND('Daily Sale entry '!Z971="Online collection 网上收款",'Daily Sale entry '!AA971&lt;&gt;""),'Daily Sale entry '!X971,"")</f>
        <v/>
      </c>
      <c r="C2471">
        <f>IF(B2471="","",'Daily Sale entry '!AA971)</f>
        <v/>
      </c>
      <c r="D2471">
        <f>IF(C2471="","",0)</f>
        <v/>
      </c>
      <c r="E2471">
        <f>IF(C2471="","",'Daily Sale entry '!AC971)</f>
        <v/>
      </c>
      <c r="F2471" s="37">
        <f>IF(C2471="","",B2471+IF(E2471&gt;0,0,0.5)+ROW()/10000000)</f>
        <v/>
      </c>
      <c r="G2471">
        <f>IF(C2471="","","Collection 收款 (Online 网上)"&amp;IF('Daily Sale entry '!Y971="",""," - "&amp;'Daily Sale entry '!Y971))</f>
        <v/>
      </c>
      <c r="H2471">
        <f>IF(C2471="","",COUNTIFS($C$2:$C$3001,C2471,$F$2:$F$3001,"&lt;"&amp;F2471)+1)</f>
        <v/>
      </c>
      <c r="I2471">
        <f>IF(C2471="","",C2471&amp;"|"&amp;H2471)</f>
        <v/>
      </c>
      <c r="J2471" s="6">
        <f>IF(C2471="","",IF(H2471=1,SUMIFS('Opening Balance'!$F$4:$F$303,'Opening Balance'!$G$4:$G$303,C2471),INDEX($L$2:$L$3001,MATCH(C2471&amp;"|"&amp;(H2471-1),$I$2:$I$3001,0))))</f>
        <v/>
      </c>
      <c r="K2471" s="6">
        <f>IF(C2471="","",IF(M2471&gt;0,M2471,IF(AND(E2471&gt;0,ROUND(J2471+D2471-E2471,2)&gt;0,ROUND(J2471+D2471-E2471,2)&lt;'Opening Balance'!$B$14),ROUND(J2471+D2471-E2471,2),0)))</f>
        <v/>
      </c>
      <c r="L2471" s="6">
        <f>IF(C2471="","",ROUND(J2471+D2471-E2471-K2471,2))</f>
        <v/>
      </c>
      <c r="M2471" s="6">
        <f>IF(C2471="","",0)</f>
        <v/>
      </c>
    </row>
    <row r="2472">
      <c r="A2472" t="inlineStr">
        <is>
          <t>Bank 银行</t>
        </is>
      </c>
      <c r="B2472" s="5">
        <f>IF(AND('Daily Sale entry '!Z972="Online collection 网上收款",'Daily Sale entry '!AA972&lt;&gt;""),'Daily Sale entry '!X972,"")</f>
        <v/>
      </c>
      <c r="C2472">
        <f>IF(B2472="","",'Daily Sale entry '!AA972)</f>
        <v/>
      </c>
      <c r="D2472">
        <f>IF(C2472="","",0)</f>
        <v/>
      </c>
      <c r="E2472">
        <f>IF(C2472="","",'Daily Sale entry '!AC972)</f>
        <v/>
      </c>
      <c r="F2472" s="37">
        <f>IF(C2472="","",B2472+IF(E2472&gt;0,0,0.5)+ROW()/10000000)</f>
        <v/>
      </c>
      <c r="G2472">
        <f>IF(C2472="","","Collection 收款 (Online 网上)"&amp;IF('Daily Sale entry '!Y972="",""," - "&amp;'Daily Sale entry '!Y972))</f>
        <v/>
      </c>
      <c r="H2472">
        <f>IF(C2472="","",COUNTIFS($C$2:$C$3001,C2472,$F$2:$F$3001,"&lt;"&amp;F2472)+1)</f>
        <v/>
      </c>
      <c r="I2472">
        <f>IF(C2472="","",C2472&amp;"|"&amp;H2472)</f>
        <v/>
      </c>
      <c r="J2472" s="6">
        <f>IF(C2472="","",IF(H2472=1,SUMIFS('Opening Balance'!$F$4:$F$303,'Opening Balance'!$G$4:$G$303,C2472),INDEX($L$2:$L$3001,MATCH(C2472&amp;"|"&amp;(H2472-1),$I$2:$I$3001,0))))</f>
        <v/>
      </c>
      <c r="K2472" s="6">
        <f>IF(C2472="","",IF(M2472&gt;0,M2472,IF(AND(E2472&gt;0,ROUND(J2472+D2472-E2472,2)&gt;0,ROUND(J2472+D2472-E2472,2)&lt;'Opening Balance'!$B$14),ROUND(J2472+D2472-E2472,2),0)))</f>
        <v/>
      </c>
      <c r="L2472" s="6">
        <f>IF(C2472="","",ROUND(J2472+D2472-E2472-K2472,2))</f>
        <v/>
      </c>
      <c r="M2472" s="6">
        <f>IF(C2472="","",0)</f>
        <v/>
      </c>
    </row>
    <row r="2473">
      <c r="A2473" t="inlineStr">
        <is>
          <t>Bank 银行</t>
        </is>
      </c>
      <c r="B2473" s="5">
        <f>IF(AND('Daily Sale entry '!Z973="Online collection 网上收款",'Daily Sale entry '!AA973&lt;&gt;""),'Daily Sale entry '!X973,"")</f>
        <v/>
      </c>
      <c r="C2473">
        <f>IF(B2473="","",'Daily Sale entry '!AA973)</f>
        <v/>
      </c>
      <c r="D2473">
        <f>IF(C2473="","",0)</f>
        <v/>
      </c>
      <c r="E2473">
        <f>IF(C2473="","",'Daily Sale entry '!AC973)</f>
        <v/>
      </c>
      <c r="F2473" s="37">
        <f>IF(C2473="","",B2473+IF(E2473&gt;0,0,0.5)+ROW()/10000000)</f>
        <v/>
      </c>
      <c r="G2473">
        <f>IF(C2473="","","Collection 收款 (Online 网上)"&amp;IF('Daily Sale entry '!Y973="",""," - "&amp;'Daily Sale entry '!Y973))</f>
        <v/>
      </c>
      <c r="H2473">
        <f>IF(C2473="","",COUNTIFS($C$2:$C$3001,C2473,$F$2:$F$3001,"&lt;"&amp;F2473)+1)</f>
        <v/>
      </c>
      <c r="I2473">
        <f>IF(C2473="","",C2473&amp;"|"&amp;H2473)</f>
        <v/>
      </c>
      <c r="J2473" s="6">
        <f>IF(C2473="","",IF(H2473=1,SUMIFS('Opening Balance'!$F$4:$F$303,'Opening Balance'!$G$4:$G$303,C2473),INDEX($L$2:$L$3001,MATCH(C2473&amp;"|"&amp;(H2473-1),$I$2:$I$3001,0))))</f>
        <v/>
      </c>
      <c r="K2473" s="6">
        <f>IF(C2473="","",IF(M2473&gt;0,M2473,IF(AND(E2473&gt;0,ROUND(J2473+D2473-E2473,2)&gt;0,ROUND(J2473+D2473-E2473,2)&lt;'Opening Balance'!$B$14),ROUND(J2473+D2473-E2473,2),0)))</f>
        <v/>
      </c>
      <c r="L2473" s="6">
        <f>IF(C2473="","",ROUND(J2473+D2473-E2473-K2473,2))</f>
        <v/>
      </c>
      <c r="M2473" s="6">
        <f>IF(C2473="","",0)</f>
        <v/>
      </c>
    </row>
    <row r="2474">
      <c r="A2474" t="inlineStr">
        <is>
          <t>Bank 银行</t>
        </is>
      </c>
      <c r="B2474" s="5">
        <f>IF(AND('Daily Sale entry '!Z974="Online collection 网上收款",'Daily Sale entry '!AA974&lt;&gt;""),'Daily Sale entry '!X974,"")</f>
        <v/>
      </c>
      <c r="C2474">
        <f>IF(B2474="","",'Daily Sale entry '!AA974)</f>
        <v/>
      </c>
      <c r="D2474">
        <f>IF(C2474="","",0)</f>
        <v/>
      </c>
      <c r="E2474">
        <f>IF(C2474="","",'Daily Sale entry '!AC974)</f>
        <v/>
      </c>
      <c r="F2474" s="37">
        <f>IF(C2474="","",B2474+IF(E2474&gt;0,0,0.5)+ROW()/10000000)</f>
        <v/>
      </c>
      <c r="G2474">
        <f>IF(C2474="","","Collection 收款 (Online 网上)"&amp;IF('Daily Sale entry '!Y974="",""," - "&amp;'Daily Sale entry '!Y974))</f>
        <v/>
      </c>
      <c r="H2474">
        <f>IF(C2474="","",COUNTIFS($C$2:$C$3001,C2474,$F$2:$F$3001,"&lt;"&amp;F2474)+1)</f>
        <v/>
      </c>
      <c r="I2474">
        <f>IF(C2474="","",C2474&amp;"|"&amp;H2474)</f>
        <v/>
      </c>
      <c r="J2474" s="6">
        <f>IF(C2474="","",IF(H2474=1,SUMIFS('Opening Balance'!$F$4:$F$303,'Opening Balance'!$G$4:$G$303,C2474),INDEX($L$2:$L$3001,MATCH(C2474&amp;"|"&amp;(H2474-1),$I$2:$I$3001,0))))</f>
        <v/>
      </c>
      <c r="K2474" s="6">
        <f>IF(C2474="","",IF(M2474&gt;0,M2474,IF(AND(E2474&gt;0,ROUND(J2474+D2474-E2474,2)&gt;0,ROUND(J2474+D2474-E2474,2)&lt;'Opening Balance'!$B$14),ROUND(J2474+D2474-E2474,2),0)))</f>
        <v/>
      </c>
      <c r="L2474" s="6">
        <f>IF(C2474="","",ROUND(J2474+D2474-E2474-K2474,2))</f>
        <v/>
      </c>
      <c r="M2474" s="6">
        <f>IF(C2474="","",0)</f>
        <v/>
      </c>
    </row>
    <row r="2475">
      <c r="A2475" t="inlineStr">
        <is>
          <t>Bank 银行</t>
        </is>
      </c>
      <c r="B2475" s="5">
        <f>IF(AND('Daily Sale entry '!Z975="Online collection 网上收款",'Daily Sale entry '!AA975&lt;&gt;""),'Daily Sale entry '!X975,"")</f>
        <v/>
      </c>
      <c r="C2475">
        <f>IF(B2475="","",'Daily Sale entry '!AA975)</f>
        <v/>
      </c>
      <c r="D2475">
        <f>IF(C2475="","",0)</f>
        <v/>
      </c>
      <c r="E2475">
        <f>IF(C2475="","",'Daily Sale entry '!AC975)</f>
        <v/>
      </c>
      <c r="F2475" s="37">
        <f>IF(C2475="","",B2475+IF(E2475&gt;0,0,0.5)+ROW()/10000000)</f>
        <v/>
      </c>
      <c r="G2475">
        <f>IF(C2475="","","Collection 收款 (Online 网上)"&amp;IF('Daily Sale entry '!Y975="",""," - "&amp;'Daily Sale entry '!Y975))</f>
        <v/>
      </c>
      <c r="H2475">
        <f>IF(C2475="","",COUNTIFS($C$2:$C$3001,C2475,$F$2:$F$3001,"&lt;"&amp;F2475)+1)</f>
        <v/>
      </c>
      <c r="I2475">
        <f>IF(C2475="","",C2475&amp;"|"&amp;H2475)</f>
        <v/>
      </c>
      <c r="J2475" s="6">
        <f>IF(C2475="","",IF(H2475=1,SUMIFS('Opening Balance'!$F$4:$F$303,'Opening Balance'!$G$4:$G$303,C2475),INDEX($L$2:$L$3001,MATCH(C2475&amp;"|"&amp;(H2475-1),$I$2:$I$3001,0))))</f>
        <v/>
      </c>
      <c r="K2475" s="6">
        <f>IF(C2475="","",IF(M2475&gt;0,M2475,IF(AND(E2475&gt;0,ROUND(J2475+D2475-E2475,2)&gt;0,ROUND(J2475+D2475-E2475,2)&lt;'Opening Balance'!$B$14),ROUND(J2475+D2475-E2475,2),0)))</f>
        <v/>
      </c>
      <c r="L2475" s="6">
        <f>IF(C2475="","",ROUND(J2475+D2475-E2475-K2475,2))</f>
        <v/>
      </c>
      <c r="M2475" s="6">
        <f>IF(C2475="","",0)</f>
        <v/>
      </c>
    </row>
    <row r="2476">
      <c r="A2476" t="inlineStr">
        <is>
          <t>Bank 银行</t>
        </is>
      </c>
      <c r="B2476" s="5">
        <f>IF(AND('Daily Sale entry '!Z976="Online collection 网上收款",'Daily Sale entry '!AA976&lt;&gt;""),'Daily Sale entry '!X976,"")</f>
        <v/>
      </c>
      <c r="C2476">
        <f>IF(B2476="","",'Daily Sale entry '!AA976)</f>
        <v/>
      </c>
      <c r="D2476">
        <f>IF(C2476="","",0)</f>
        <v/>
      </c>
      <c r="E2476">
        <f>IF(C2476="","",'Daily Sale entry '!AC976)</f>
        <v/>
      </c>
      <c r="F2476" s="37">
        <f>IF(C2476="","",B2476+IF(E2476&gt;0,0,0.5)+ROW()/10000000)</f>
        <v/>
      </c>
      <c r="G2476">
        <f>IF(C2476="","","Collection 收款 (Online 网上)"&amp;IF('Daily Sale entry '!Y976="",""," - "&amp;'Daily Sale entry '!Y976))</f>
        <v/>
      </c>
      <c r="H2476">
        <f>IF(C2476="","",COUNTIFS($C$2:$C$3001,C2476,$F$2:$F$3001,"&lt;"&amp;F2476)+1)</f>
        <v/>
      </c>
      <c r="I2476">
        <f>IF(C2476="","",C2476&amp;"|"&amp;H2476)</f>
        <v/>
      </c>
      <c r="J2476" s="6">
        <f>IF(C2476="","",IF(H2476=1,SUMIFS('Opening Balance'!$F$4:$F$303,'Opening Balance'!$G$4:$G$303,C2476),INDEX($L$2:$L$3001,MATCH(C2476&amp;"|"&amp;(H2476-1),$I$2:$I$3001,0))))</f>
        <v/>
      </c>
      <c r="K2476" s="6">
        <f>IF(C2476="","",IF(M2476&gt;0,M2476,IF(AND(E2476&gt;0,ROUND(J2476+D2476-E2476,2)&gt;0,ROUND(J2476+D2476-E2476,2)&lt;'Opening Balance'!$B$14),ROUND(J2476+D2476-E2476,2),0)))</f>
        <v/>
      </c>
      <c r="L2476" s="6">
        <f>IF(C2476="","",ROUND(J2476+D2476-E2476-K2476,2))</f>
        <v/>
      </c>
      <c r="M2476" s="6">
        <f>IF(C2476="","",0)</f>
        <v/>
      </c>
    </row>
    <row r="2477">
      <c r="A2477" t="inlineStr">
        <is>
          <t>Bank 银行</t>
        </is>
      </c>
      <c r="B2477" s="5">
        <f>IF(AND('Daily Sale entry '!Z977="Online collection 网上收款",'Daily Sale entry '!AA977&lt;&gt;""),'Daily Sale entry '!X977,"")</f>
        <v/>
      </c>
      <c r="C2477">
        <f>IF(B2477="","",'Daily Sale entry '!AA977)</f>
        <v/>
      </c>
      <c r="D2477">
        <f>IF(C2477="","",0)</f>
        <v/>
      </c>
      <c r="E2477">
        <f>IF(C2477="","",'Daily Sale entry '!AC977)</f>
        <v/>
      </c>
      <c r="F2477" s="37">
        <f>IF(C2477="","",B2477+IF(E2477&gt;0,0,0.5)+ROW()/10000000)</f>
        <v/>
      </c>
      <c r="G2477">
        <f>IF(C2477="","","Collection 收款 (Online 网上)"&amp;IF('Daily Sale entry '!Y977="",""," - "&amp;'Daily Sale entry '!Y977))</f>
        <v/>
      </c>
      <c r="H2477">
        <f>IF(C2477="","",COUNTIFS($C$2:$C$3001,C2477,$F$2:$F$3001,"&lt;"&amp;F2477)+1)</f>
        <v/>
      </c>
      <c r="I2477">
        <f>IF(C2477="","",C2477&amp;"|"&amp;H2477)</f>
        <v/>
      </c>
      <c r="J2477" s="6">
        <f>IF(C2477="","",IF(H2477=1,SUMIFS('Opening Balance'!$F$4:$F$303,'Opening Balance'!$G$4:$G$303,C2477),INDEX($L$2:$L$3001,MATCH(C2477&amp;"|"&amp;(H2477-1),$I$2:$I$3001,0))))</f>
        <v/>
      </c>
      <c r="K2477" s="6">
        <f>IF(C2477="","",IF(M2477&gt;0,M2477,IF(AND(E2477&gt;0,ROUND(J2477+D2477-E2477,2)&gt;0,ROUND(J2477+D2477-E2477,2)&lt;'Opening Balance'!$B$14),ROUND(J2477+D2477-E2477,2),0)))</f>
        <v/>
      </c>
      <c r="L2477" s="6">
        <f>IF(C2477="","",ROUND(J2477+D2477-E2477-K2477,2))</f>
        <v/>
      </c>
      <c r="M2477" s="6">
        <f>IF(C2477="","",0)</f>
        <v/>
      </c>
    </row>
    <row r="2478">
      <c r="A2478" t="inlineStr">
        <is>
          <t>Bank 银行</t>
        </is>
      </c>
      <c r="B2478" s="5">
        <f>IF(AND('Daily Sale entry '!Z978="Online collection 网上收款",'Daily Sale entry '!AA978&lt;&gt;""),'Daily Sale entry '!X978,"")</f>
        <v/>
      </c>
      <c r="C2478">
        <f>IF(B2478="","",'Daily Sale entry '!AA978)</f>
        <v/>
      </c>
      <c r="D2478">
        <f>IF(C2478="","",0)</f>
        <v/>
      </c>
      <c r="E2478">
        <f>IF(C2478="","",'Daily Sale entry '!AC978)</f>
        <v/>
      </c>
      <c r="F2478" s="37">
        <f>IF(C2478="","",B2478+IF(E2478&gt;0,0,0.5)+ROW()/10000000)</f>
        <v/>
      </c>
      <c r="G2478">
        <f>IF(C2478="","","Collection 收款 (Online 网上)"&amp;IF('Daily Sale entry '!Y978="",""," - "&amp;'Daily Sale entry '!Y978))</f>
        <v/>
      </c>
      <c r="H2478">
        <f>IF(C2478="","",COUNTIFS($C$2:$C$3001,C2478,$F$2:$F$3001,"&lt;"&amp;F2478)+1)</f>
        <v/>
      </c>
      <c r="I2478">
        <f>IF(C2478="","",C2478&amp;"|"&amp;H2478)</f>
        <v/>
      </c>
      <c r="J2478" s="6">
        <f>IF(C2478="","",IF(H2478=1,SUMIFS('Opening Balance'!$F$4:$F$303,'Opening Balance'!$G$4:$G$303,C2478),INDEX($L$2:$L$3001,MATCH(C2478&amp;"|"&amp;(H2478-1),$I$2:$I$3001,0))))</f>
        <v/>
      </c>
      <c r="K2478" s="6">
        <f>IF(C2478="","",IF(M2478&gt;0,M2478,IF(AND(E2478&gt;0,ROUND(J2478+D2478-E2478,2)&gt;0,ROUND(J2478+D2478-E2478,2)&lt;'Opening Balance'!$B$14),ROUND(J2478+D2478-E2478,2),0)))</f>
        <v/>
      </c>
      <c r="L2478" s="6">
        <f>IF(C2478="","",ROUND(J2478+D2478-E2478-K2478,2))</f>
        <v/>
      </c>
      <c r="M2478" s="6">
        <f>IF(C2478="","",0)</f>
        <v/>
      </c>
    </row>
    <row r="2479">
      <c r="A2479" t="inlineStr">
        <is>
          <t>Bank 银行</t>
        </is>
      </c>
      <c r="B2479" s="5">
        <f>IF(AND('Daily Sale entry '!Z979="Online collection 网上收款",'Daily Sale entry '!AA979&lt;&gt;""),'Daily Sale entry '!X979,"")</f>
        <v/>
      </c>
      <c r="C2479">
        <f>IF(B2479="","",'Daily Sale entry '!AA979)</f>
        <v/>
      </c>
      <c r="D2479">
        <f>IF(C2479="","",0)</f>
        <v/>
      </c>
      <c r="E2479">
        <f>IF(C2479="","",'Daily Sale entry '!AC979)</f>
        <v/>
      </c>
      <c r="F2479" s="37">
        <f>IF(C2479="","",B2479+IF(E2479&gt;0,0,0.5)+ROW()/10000000)</f>
        <v/>
      </c>
      <c r="G2479">
        <f>IF(C2479="","","Collection 收款 (Online 网上)"&amp;IF('Daily Sale entry '!Y979="",""," - "&amp;'Daily Sale entry '!Y979))</f>
        <v/>
      </c>
      <c r="H2479">
        <f>IF(C2479="","",COUNTIFS($C$2:$C$3001,C2479,$F$2:$F$3001,"&lt;"&amp;F2479)+1)</f>
        <v/>
      </c>
      <c r="I2479">
        <f>IF(C2479="","",C2479&amp;"|"&amp;H2479)</f>
        <v/>
      </c>
      <c r="J2479" s="6">
        <f>IF(C2479="","",IF(H2479=1,SUMIFS('Opening Balance'!$F$4:$F$303,'Opening Balance'!$G$4:$G$303,C2479),INDEX($L$2:$L$3001,MATCH(C2479&amp;"|"&amp;(H2479-1),$I$2:$I$3001,0))))</f>
        <v/>
      </c>
      <c r="K2479" s="6">
        <f>IF(C2479="","",IF(M2479&gt;0,M2479,IF(AND(E2479&gt;0,ROUND(J2479+D2479-E2479,2)&gt;0,ROUND(J2479+D2479-E2479,2)&lt;'Opening Balance'!$B$14),ROUND(J2479+D2479-E2479,2),0)))</f>
        <v/>
      </c>
      <c r="L2479" s="6">
        <f>IF(C2479="","",ROUND(J2479+D2479-E2479-K2479,2))</f>
        <v/>
      </c>
      <c r="M2479" s="6">
        <f>IF(C2479="","",0)</f>
        <v/>
      </c>
    </row>
    <row r="2480">
      <c r="A2480" t="inlineStr">
        <is>
          <t>Bank 银行</t>
        </is>
      </c>
      <c r="B2480" s="5">
        <f>IF(AND('Daily Sale entry '!Z980="Online collection 网上收款",'Daily Sale entry '!AA980&lt;&gt;""),'Daily Sale entry '!X980,"")</f>
        <v/>
      </c>
      <c r="C2480">
        <f>IF(B2480="","",'Daily Sale entry '!AA980)</f>
        <v/>
      </c>
      <c r="D2480">
        <f>IF(C2480="","",0)</f>
        <v/>
      </c>
      <c r="E2480">
        <f>IF(C2480="","",'Daily Sale entry '!AC980)</f>
        <v/>
      </c>
      <c r="F2480" s="37">
        <f>IF(C2480="","",B2480+IF(E2480&gt;0,0,0.5)+ROW()/10000000)</f>
        <v/>
      </c>
      <c r="G2480">
        <f>IF(C2480="","","Collection 收款 (Online 网上)"&amp;IF('Daily Sale entry '!Y980="",""," - "&amp;'Daily Sale entry '!Y980))</f>
        <v/>
      </c>
      <c r="H2480">
        <f>IF(C2480="","",COUNTIFS($C$2:$C$3001,C2480,$F$2:$F$3001,"&lt;"&amp;F2480)+1)</f>
        <v/>
      </c>
      <c r="I2480">
        <f>IF(C2480="","",C2480&amp;"|"&amp;H2480)</f>
        <v/>
      </c>
      <c r="J2480" s="6">
        <f>IF(C2480="","",IF(H2480=1,SUMIFS('Opening Balance'!$F$4:$F$303,'Opening Balance'!$G$4:$G$303,C2480),INDEX($L$2:$L$3001,MATCH(C2480&amp;"|"&amp;(H2480-1),$I$2:$I$3001,0))))</f>
        <v/>
      </c>
      <c r="K2480" s="6">
        <f>IF(C2480="","",IF(M2480&gt;0,M2480,IF(AND(E2480&gt;0,ROUND(J2480+D2480-E2480,2)&gt;0,ROUND(J2480+D2480-E2480,2)&lt;'Opening Balance'!$B$14),ROUND(J2480+D2480-E2480,2),0)))</f>
        <v/>
      </c>
      <c r="L2480" s="6">
        <f>IF(C2480="","",ROUND(J2480+D2480-E2480-K2480,2))</f>
        <v/>
      </c>
      <c r="M2480" s="6">
        <f>IF(C2480="","",0)</f>
        <v/>
      </c>
    </row>
    <row r="2481">
      <c r="A2481" t="inlineStr">
        <is>
          <t>Bank 银行</t>
        </is>
      </c>
      <c r="B2481" s="5">
        <f>IF(AND('Daily Sale entry '!Z981="Online collection 网上收款",'Daily Sale entry '!AA981&lt;&gt;""),'Daily Sale entry '!X981,"")</f>
        <v/>
      </c>
      <c r="C2481">
        <f>IF(B2481="","",'Daily Sale entry '!AA981)</f>
        <v/>
      </c>
      <c r="D2481">
        <f>IF(C2481="","",0)</f>
        <v/>
      </c>
      <c r="E2481">
        <f>IF(C2481="","",'Daily Sale entry '!AC981)</f>
        <v/>
      </c>
      <c r="F2481" s="37">
        <f>IF(C2481="","",B2481+IF(E2481&gt;0,0,0.5)+ROW()/10000000)</f>
        <v/>
      </c>
      <c r="G2481">
        <f>IF(C2481="","","Collection 收款 (Online 网上)"&amp;IF('Daily Sale entry '!Y981="",""," - "&amp;'Daily Sale entry '!Y981))</f>
        <v/>
      </c>
      <c r="H2481">
        <f>IF(C2481="","",COUNTIFS($C$2:$C$3001,C2481,$F$2:$F$3001,"&lt;"&amp;F2481)+1)</f>
        <v/>
      </c>
      <c r="I2481">
        <f>IF(C2481="","",C2481&amp;"|"&amp;H2481)</f>
        <v/>
      </c>
      <c r="J2481" s="6">
        <f>IF(C2481="","",IF(H2481=1,SUMIFS('Opening Balance'!$F$4:$F$303,'Opening Balance'!$G$4:$G$303,C2481),INDEX($L$2:$L$3001,MATCH(C2481&amp;"|"&amp;(H2481-1),$I$2:$I$3001,0))))</f>
        <v/>
      </c>
      <c r="K2481" s="6">
        <f>IF(C2481="","",IF(M2481&gt;0,M2481,IF(AND(E2481&gt;0,ROUND(J2481+D2481-E2481,2)&gt;0,ROUND(J2481+D2481-E2481,2)&lt;'Opening Balance'!$B$14),ROUND(J2481+D2481-E2481,2),0)))</f>
        <v/>
      </c>
      <c r="L2481" s="6">
        <f>IF(C2481="","",ROUND(J2481+D2481-E2481-K2481,2))</f>
        <v/>
      </c>
      <c r="M2481" s="6">
        <f>IF(C2481="","",0)</f>
        <v/>
      </c>
    </row>
    <row r="2482">
      <c r="A2482" t="inlineStr">
        <is>
          <t>Bank 银行</t>
        </is>
      </c>
      <c r="B2482" s="5">
        <f>IF(AND('Daily Sale entry '!Z982="Online collection 网上收款",'Daily Sale entry '!AA982&lt;&gt;""),'Daily Sale entry '!X982,"")</f>
        <v/>
      </c>
      <c r="C2482">
        <f>IF(B2482="","",'Daily Sale entry '!AA982)</f>
        <v/>
      </c>
      <c r="D2482">
        <f>IF(C2482="","",0)</f>
        <v/>
      </c>
      <c r="E2482">
        <f>IF(C2482="","",'Daily Sale entry '!AC982)</f>
        <v/>
      </c>
      <c r="F2482" s="37">
        <f>IF(C2482="","",B2482+IF(E2482&gt;0,0,0.5)+ROW()/10000000)</f>
        <v/>
      </c>
      <c r="G2482">
        <f>IF(C2482="","","Collection 收款 (Online 网上)"&amp;IF('Daily Sale entry '!Y982="",""," - "&amp;'Daily Sale entry '!Y982))</f>
        <v/>
      </c>
      <c r="H2482">
        <f>IF(C2482="","",COUNTIFS($C$2:$C$3001,C2482,$F$2:$F$3001,"&lt;"&amp;F2482)+1)</f>
        <v/>
      </c>
      <c r="I2482">
        <f>IF(C2482="","",C2482&amp;"|"&amp;H2482)</f>
        <v/>
      </c>
      <c r="J2482" s="6">
        <f>IF(C2482="","",IF(H2482=1,SUMIFS('Opening Balance'!$F$4:$F$303,'Opening Balance'!$G$4:$G$303,C2482),INDEX($L$2:$L$3001,MATCH(C2482&amp;"|"&amp;(H2482-1),$I$2:$I$3001,0))))</f>
        <v/>
      </c>
      <c r="K2482" s="6">
        <f>IF(C2482="","",IF(M2482&gt;0,M2482,IF(AND(E2482&gt;0,ROUND(J2482+D2482-E2482,2)&gt;0,ROUND(J2482+D2482-E2482,2)&lt;'Opening Balance'!$B$14),ROUND(J2482+D2482-E2482,2),0)))</f>
        <v/>
      </c>
      <c r="L2482" s="6">
        <f>IF(C2482="","",ROUND(J2482+D2482-E2482-K2482,2))</f>
        <v/>
      </c>
      <c r="M2482" s="6">
        <f>IF(C2482="","",0)</f>
        <v/>
      </c>
    </row>
    <row r="2483">
      <c r="A2483" t="inlineStr">
        <is>
          <t>Bank 银行</t>
        </is>
      </c>
      <c r="B2483" s="5">
        <f>IF(AND('Daily Sale entry '!Z983="Online collection 网上收款",'Daily Sale entry '!AA983&lt;&gt;""),'Daily Sale entry '!X983,"")</f>
        <v/>
      </c>
      <c r="C2483">
        <f>IF(B2483="","",'Daily Sale entry '!AA983)</f>
        <v/>
      </c>
      <c r="D2483">
        <f>IF(C2483="","",0)</f>
        <v/>
      </c>
      <c r="E2483">
        <f>IF(C2483="","",'Daily Sale entry '!AC983)</f>
        <v/>
      </c>
      <c r="F2483" s="37">
        <f>IF(C2483="","",B2483+IF(E2483&gt;0,0,0.5)+ROW()/10000000)</f>
        <v/>
      </c>
      <c r="G2483">
        <f>IF(C2483="","","Collection 收款 (Online 网上)"&amp;IF('Daily Sale entry '!Y983="",""," - "&amp;'Daily Sale entry '!Y983))</f>
        <v/>
      </c>
      <c r="H2483">
        <f>IF(C2483="","",COUNTIFS($C$2:$C$3001,C2483,$F$2:$F$3001,"&lt;"&amp;F2483)+1)</f>
        <v/>
      </c>
      <c r="I2483">
        <f>IF(C2483="","",C2483&amp;"|"&amp;H2483)</f>
        <v/>
      </c>
      <c r="J2483" s="6">
        <f>IF(C2483="","",IF(H2483=1,SUMIFS('Opening Balance'!$F$4:$F$303,'Opening Balance'!$G$4:$G$303,C2483),INDEX($L$2:$L$3001,MATCH(C2483&amp;"|"&amp;(H2483-1),$I$2:$I$3001,0))))</f>
        <v/>
      </c>
      <c r="K2483" s="6">
        <f>IF(C2483="","",IF(M2483&gt;0,M2483,IF(AND(E2483&gt;0,ROUND(J2483+D2483-E2483,2)&gt;0,ROUND(J2483+D2483-E2483,2)&lt;'Opening Balance'!$B$14),ROUND(J2483+D2483-E2483,2),0)))</f>
        <v/>
      </c>
      <c r="L2483" s="6">
        <f>IF(C2483="","",ROUND(J2483+D2483-E2483-K2483,2))</f>
        <v/>
      </c>
      <c r="M2483" s="6">
        <f>IF(C2483="","",0)</f>
        <v/>
      </c>
    </row>
    <row r="2484">
      <c r="A2484" t="inlineStr">
        <is>
          <t>Bank 银行</t>
        </is>
      </c>
      <c r="B2484" s="5">
        <f>IF(AND('Daily Sale entry '!Z984="Online collection 网上收款",'Daily Sale entry '!AA984&lt;&gt;""),'Daily Sale entry '!X984,"")</f>
        <v/>
      </c>
      <c r="C2484">
        <f>IF(B2484="","",'Daily Sale entry '!AA984)</f>
        <v/>
      </c>
      <c r="D2484">
        <f>IF(C2484="","",0)</f>
        <v/>
      </c>
      <c r="E2484">
        <f>IF(C2484="","",'Daily Sale entry '!AC984)</f>
        <v/>
      </c>
      <c r="F2484" s="37">
        <f>IF(C2484="","",B2484+IF(E2484&gt;0,0,0.5)+ROW()/10000000)</f>
        <v/>
      </c>
      <c r="G2484">
        <f>IF(C2484="","","Collection 收款 (Online 网上)"&amp;IF('Daily Sale entry '!Y984="",""," - "&amp;'Daily Sale entry '!Y984))</f>
        <v/>
      </c>
      <c r="H2484">
        <f>IF(C2484="","",COUNTIFS($C$2:$C$3001,C2484,$F$2:$F$3001,"&lt;"&amp;F2484)+1)</f>
        <v/>
      </c>
      <c r="I2484">
        <f>IF(C2484="","",C2484&amp;"|"&amp;H2484)</f>
        <v/>
      </c>
      <c r="J2484" s="6">
        <f>IF(C2484="","",IF(H2484=1,SUMIFS('Opening Balance'!$F$4:$F$303,'Opening Balance'!$G$4:$G$303,C2484),INDEX($L$2:$L$3001,MATCH(C2484&amp;"|"&amp;(H2484-1),$I$2:$I$3001,0))))</f>
        <v/>
      </c>
      <c r="K2484" s="6">
        <f>IF(C2484="","",IF(M2484&gt;0,M2484,IF(AND(E2484&gt;0,ROUND(J2484+D2484-E2484,2)&gt;0,ROUND(J2484+D2484-E2484,2)&lt;'Opening Balance'!$B$14),ROUND(J2484+D2484-E2484,2),0)))</f>
        <v/>
      </c>
      <c r="L2484" s="6">
        <f>IF(C2484="","",ROUND(J2484+D2484-E2484-K2484,2))</f>
        <v/>
      </c>
      <c r="M2484" s="6">
        <f>IF(C2484="","",0)</f>
        <v/>
      </c>
    </row>
    <row r="2485">
      <c r="A2485" t="inlineStr">
        <is>
          <t>Bank 银行</t>
        </is>
      </c>
      <c r="B2485" s="5">
        <f>IF(AND('Daily Sale entry '!Z985="Online collection 网上收款",'Daily Sale entry '!AA985&lt;&gt;""),'Daily Sale entry '!X985,"")</f>
        <v/>
      </c>
      <c r="C2485">
        <f>IF(B2485="","",'Daily Sale entry '!AA985)</f>
        <v/>
      </c>
      <c r="D2485">
        <f>IF(C2485="","",0)</f>
        <v/>
      </c>
      <c r="E2485">
        <f>IF(C2485="","",'Daily Sale entry '!AC985)</f>
        <v/>
      </c>
      <c r="F2485" s="37">
        <f>IF(C2485="","",B2485+IF(E2485&gt;0,0,0.5)+ROW()/10000000)</f>
        <v/>
      </c>
      <c r="G2485">
        <f>IF(C2485="","","Collection 收款 (Online 网上)"&amp;IF('Daily Sale entry '!Y985="",""," - "&amp;'Daily Sale entry '!Y985))</f>
        <v/>
      </c>
      <c r="H2485">
        <f>IF(C2485="","",COUNTIFS($C$2:$C$3001,C2485,$F$2:$F$3001,"&lt;"&amp;F2485)+1)</f>
        <v/>
      </c>
      <c r="I2485">
        <f>IF(C2485="","",C2485&amp;"|"&amp;H2485)</f>
        <v/>
      </c>
      <c r="J2485" s="6">
        <f>IF(C2485="","",IF(H2485=1,SUMIFS('Opening Balance'!$F$4:$F$303,'Opening Balance'!$G$4:$G$303,C2485),INDEX($L$2:$L$3001,MATCH(C2485&amp;"|"&amp;(H2485-1),$I$2:$I$3001,0))))</f>
        <v/>
      </c>
      <c r="K2485" s="6">
        <f>IF(C2485="","",IF(M2485&gt;0,M2485,IF(AND(E2485&gt;0,ROUND(J2485+D2485-E2485,2)&gt;0,ROUND(J2485+D2485-E2485,2)&lt;'Opening Balance'!$B$14),ROUND(J2485+D2485-E2485,2),0)))</f>
        <v/>
      </c>
      <c r="L2485" s="6">
        <f>IF(C2485="","",ROUND(J2485+D2485-E2485-K2485,2))</f>
        <v/>
      </c>
      <c r="M2485" s="6">
        <f>IF(C2485="","",0)</f>
        <v/>
      </c>
    </row>
    <row r="2486">
      <c r="A2486" t="inlineStr">
        <is>
          <t>Bank 银行</t>
        </is>
      </c>
      <c r="B2486" s="5">
        <f>IF(AND('Daily Sale entry '!Z986="Online collection 网上收款",'Daily Sale entry '!AA986&lt;&gt;""),'Daily Sale entry '!X986,"")</f>
        <v/>
      </c>
      <c r="C2486">
        <f>IF(B2486="","",'Daily Sale entry '!AA986)</f>
        <v/>
      </c>
      <c r="D2486">
        <f>IF(C2486="","",0)</f>
        <v/>
      </c>
      <c r="E2486">
        <f>IF(C2486="","",'Daily Sale entry '!AC986)</f>
        <v/>
      </c>
      <c r="F2486" s="37">
        <f>IF(C2486="","",B2486+IF(E2486&gt;0,0,0.5)+ROW()/10000000)</f>
        <v/>
      </c>
      <c r="G2486">
        <f>IF(C2486="","","Collection 收款 (Online 网上)"&amp;IF('Daily Sale entry '!Y986="",""," - "&amp;'Daily Sale entry '!Y986))</f>
        <v/>
      </c>
      <c r="H2486">
        <f>IF(C2486="","",COUNTIFS($C$2:$C$3001,C2486,$F$2:$F$3001,"&lt;"&amp;F2486)+1)</f>
        <v/>
      </c>
      <c r="I2486">
        <f>IF(C2486="","",C2486&amp;"|"&amp;H2486)</f>
        <v/>
      </c>
      <c r="J2486" s="6">
        <f>IF(C2486="","",IF(H2486=1,SUMIFS('Opening Balance'!$F$4:$F$303,'Opening Balance'!$G$4:$G$303,C2486),INDEX($L$2:$L$3001,MATCH(C2486&amp;"|"&amp;(H2486-1),$I$2:$I$3001,0))))</f>
        <v/>
      </c>
      <c r="K2486" s="6">
        <f>IF(C2486="","",IF(M2486&gt;0,M2486,IF(AND(E2486&gt;0,ROUND(J2486+D2486-E2486,2)&gt;0,ROUND(J2486+D2486-E2486,2)&lt;'Opening Balance'!$B$14),ROUND(J2486+D2486-E2486,2),0)))</f>
        <v/>
      </c>
      <c r="L2486" s="6">
        <f>IF(C2486="","",ROUND(J2486+D2486-E2486-K2486,2))</f>
        <v/>
      </c>
      <c r="M2486" s="6">
        <f>IF(C2486="","",0)</f>
        <v/>
      </c>
    </row>
    <row r="2487">
      <c r="A2487" t="inlineStr">
        <is>
          <t>Bank 银行</t>
        </is>
      </c>
      <c r="B2487" s="5">
        <f>IF(AND('Daily Sale entry '!Z987="Online collection 网上收款",'Daily Sale entry '!AA987&lt;&gt;""),'Daily Sale entry '!X987,"")</f>
        <v/>
      </c>
      <c r="C2487">
        <f>IF(B2487="","",'Daily Sale entry '!AA987)</f>
        <v/>
      </c>
      <c r="D2487">
        <f>IF(C2487="","",0)</f>
        <v/>
      </c>
      <c r="E2487">
        <f>IF(C2487="","",'Daily Sale entry '!AC987)</f>
        <v/>
      </c>
      <c r="F2487" s="37">
        <f>IF(C2487="","",B2487+IF(E2487&gt;0,0,0.5)+ROW()/10000000)</f>
        <v/>
      </c>
      <c r="G2487">
        <f>IF(C2487="","","Collection 收款 (Online 网上)"&amp;IF('Daily Sale entry '!Y987="",""," - "&amp;'Daily Sale entry '!Y987))</f>
        <v/>
      </c>
      <c r="H2487">
        <f>IF(C2487="","",COUNTIFS($C$2:$C$3001,C2487,$F$2:$F$3001,"&lt;"&amp;F2487)+1)</f>
        <v/>
      </c>
      <c r="I2487">
        <f>IF(C2487="","",C2487&amp;"|"&amp;H2487)</f>
        <v/>
      </c>
      <c r="J2487" s="6">
        <f>IF(C2487="","",IF(H2487=1,SUMIFS('Opening Balance'!$F$4:$F$303,'Opening Balance'!$G$4:$G$303,C2487),INDEX($L$2:$L$3001,MATCH(C2487&amp;"|"&amp;(H2487-1),$I$2:$I$3001,0))))</f>
        <v/>
      </c>
      <c r="K2487" s="6">
        <f>IF(C2487="","",IF(M2487&gt;0,M2487,IF(AND(E2487&gt;0,ROUND(J2487+D2487-E2487,2)&gt;0,ROUND(J2487+D2487-E2487,2)&lt;'Opening Balance'!$B$14),ROUND(J2487+D2487-E2487,2),0)))</f>
        <v/>
      </c>
      <c r="L2487" s="6">
        <f>IF(C2487="","",ROUND(J2487+D2487-E2487-K2487,2))</f>
        <v/>
      </c>
      <c r="M2487" s="6">
        <f>IF(C2487="","",0)</f>
        <v/>
      </c>
    </row>
    <row r="2488">
      <c r="A2488" t="inlineStr">
        <is>
          <t>Bank 银行</t>
        </is>
      </c>
      <c r="B2488" s="5">
        <f>IF(AND('Daily Sale entry '!Z988="Online collection 网上收款",'Daily Sale entry '!AA988&lt;&gt;""),'Daily Sale entry '!X988,"")</f>
        <v/>
      </c>
      <c r="C2488">
        <f>IF(B2488="","",'Daily Sale entry '!AA988)</f>
        <v/>
      </c>
      <c r="D2488">
        <f>IF(C2488="","",0)</f>
        <v/>
      </c>
      <c r="E2488">
        <f>IF(C2488="","",'Daily Sale entry '!AC988)</f>
        <v/>
      </c>
      <c r="F2488" s="37">
        <f>IF(C2488="","",B2488+IF(E2488&gt;0,0,0.5)+ROW()/10000000)</f>
        <v/>
      </c>
      <c r="G2488">
        <f>IF(C2488="","","Collection 收款 (Online 网上)"&amp;IF('Daily Sale entry '!Y988="",""," - "&amp;'Daily Sale entry '!Y988))</f>
        <v/>
      </c>
      <c r="H2488">
        <f>IF(C2488="","",COUNTIFS($C$2:$C$3001,C2488,$F$2:$F$3001,"&lt;"&amp;F2488)+1)</f>
        <v/>
      </c>
      <c r="I2488">
        <f>IF(C2488="","",C2488&amp;"|"&amp;H2488)</f>
        <v/>
      </c>
      <c r="J2488" s="6">
        <f>IF(C2488="","",IF(H2488=1,SUMIFS('Opening Balance'!$F$4:$F$303,'Opening Balance'!$G$4:$G$303,C2488),INDEX($L$2:$L$3001,MATCH(C2488&amp;"|"&amp;(H2488-1),$I$2:$I$3001,0))))</f>
        <v/>
      </c>
      <c r="K2488" s="6">
        <f>IF(C2488="","",IF(M2488&gt;0,M2488,IF(AND(E2488&gt;0,ROUND(J2488+D2488-E2488,2)&gt;0,ROUND(J2488+D2488-E2488,2)&lt;'Opening Balance'!$B$14),ROUND(J2488+D2488-E2488,2),0)))</f>
        <v/>
      </c>
      <c r="L2488" s="6">
        <f>IF(C2488="","",ROUND(J2488+D2488-E2488-K2488,2))</f>
        <v/>
      </c>
      <c r="M2488" s="6">
        <f>IF(C2488="","",0)</f>
        <v/>
      </c>
    </row>
    <row r="2489">
      <c r="A2489" t="inlineStr">
        <is>
          <t>Bank 银行</t>
        </is>
      </c>
      <c r="B2489" s="5">
        <f>IF(AND('Daily Sale entry '!Z989="Online collection 网上收款",'Daily Sale entry '!AA989&lt;&gt;""),'Daily Sale entry '!X989,"")</f>
        <v/>
      </c>
      <c r="C2489">
        <f>IF(B2489="","",'Daily Sale entry '!AA989)</f>
        <v/>
      </c>
      <c r="D2489">
        <f>IF(C2489="","",0)</f>
        <v/>
      </c>
      <c r="E2489">
        <f>IF(C2489="","",'Daily Sale entry '!AC989)</f>
        <v/>
      </c>
      <c r="F2489" s="37">
        <f>IF(C2489="","",B2489+IF(E2489&gt;0,0,0.5)+ROW()/10000000)</f>
        <v/>
      </c>
      <c r="G2489">
        <f>IF(C2489="","","Collection 收款 (Online 网上)"&amp;IF('Daily Sale entry '!Y989="",""," - "&amp;'Daily Sale entry '!Y989))</f>
        <v/>
      </c>
      <c r="H2489">
        <f>IF(C2489="","",COUNTIFS($C$2:$C$3001,C2489,$F$2:$F$3001,"&lt;"&amp;F2489)+1)</f>
        <v/>
      </c>
      <c r="I2489">
        <f>IF(C2489="","",C2489&amp;"|"&amp;H2489)</f>
        <v/>
      </c>
      <c r="J2489" s="6">
        <f>IF(C2489="","",IF(H2489=1,SUMIFS('Opening Balance'!$F$4:$F$303,'Opening Balance'!$G$4:$G$303,C2489),INDEX($L$2:$L$3001,MATCH(C2489&amp;"|"&amp;(H2489-1),$I$2:$I$3001,0))))</f>
        <v/>
      </c>
      <c r="K2489" s="6">
        <f>IF(C2489="","",IF(M2489&gt;0,M2489,IF(AND(E2489&gt;0,ROUND(J2489+D2489-E2489,2)&gt;0,ROUND(J2489+D2489-E2489,2)&lt;'Opening Balance'!$B$14),ROUND(J2489+D2489-E2489,2),0)))</f>
        <v/>
      </c>
      <c r="L2489" s="6">
        <f>IF(C2489="","",ROUND(J2489+D2489-E2489-K2489,2))</f>
        <v/>
      </c>
      <c r="M2489" s="6">
        <f>IF(C2489="","",0)</f>
        <v/>
      </c>
    </row>
    <row r="2490">
      <c r="A2490" t="inlineStr">
        <is>
          <t>Bank 银行</t>
        </is>
      </c>
      <c r="B2490" s="5">
        <f>IF(AND('Daily Sale entry '!Z990="Online collection 网上收款",'Daily Sale entry '!AA990&lt;&gt;""),'Daily Sale entry '!X990,"")</f>
        <v/>
      </c>
      <c r="C2490">
        <f>IF(B2490="","",'Daily Sale entry '!AA990)</f>
        <v/>
      </c>
      <c r="D2490">
        <f>IF(C2490="","",0)</f>
        <v/>
      </c>
      <c r="E2490">
        <f>IF(C2490="","",'Daily Sale entry '!AC990)</f>
        <v/>
      </c>
      <c r="F2490" s="37">
        <f>IF(C2490="","",B2490+IF(E2490&gt;0,0,0.5)+ROW()/10000000)</f>
        <v/>
      </c>
      <c r="G2490">
        <f>IF(C2490="","","Collection 收款 (Online 网上)"&amp;IF('Daily Sale entry '!Y990="",""," - "&amp;'Daily Sale entry '!Y990))</f>
        <v/>
      </c>
      <c r="H2490">
        <f>IF(C2490="","",COUNTIFS($C$2:$C$3001,C2490,$F$2:$F$3001,"&lt;"&amp;F2490)+1)</f>
        <v/>
      </c>
      <c r="I2490">
        <f>IF(C2490="","",C2490&amp;"|"&amp;H2490)</f>
        <v/>
      </c>
      <c r="J2490" s="6">
        <f>IF(C2490="","",IF(H2490=1,SUMIFS('Opening Balance'!$F$4:$F$303,'Opening Balance'!$G$4:$G$303,C2490),INDEX($L$2:$L$3001,MATCH(C2490&amp;"|"&amp;(H2490-1),$I$2:$I$3001,0))))</f>
        <v/>
      </c>
      <c r="K2490" s="6">
        <f>IF(C2490="","",IF(M2490&gt;0,M2490,IF(AND(E2490&gt;0,ROUND(J2490+D2490-E2490,2)&gt;0,ROUND(J2490+D2490-E2490,2)&lt;'Opening Balance'!$B$14),ROUND(J2490+D2490-E2490,2),0)))</f>
        <v/>
      </c>
      <c r="L2490" s="6">
        <f>IF(C2490="","",ROUND(J2490+D2490-E2490-K2490,2))</f>
        <v/>
      </c>
      <c r="M2490" s="6">
        <f>IF(C2490="","",0)</f>
        <v/>
      </c>
    </row>
    <row r="2491">
      <c r="A2491" t="inlineStr">
        <is>
          <t>Bank 银行</t>
        </is>
      </c>
      <c r="B2491" s="5">
        <f>IF(AND('Daily Sale entry '!Z991="Online collection 网上收款",'Daily Sale entry '!AA991&lt;&gt;""),'Daily Sale entry '!X991,"")</f>
        <v/>
      </c>
      <c r="C2491">
        <f>IF(B2491="","",'Daily Sale entry '!AA991)</f>
        <v/>
      </c>
      <c r="D2491">
        <f>IF(C2491="","",0)</f>
        <v/>
      </c>
      <c r="E2491">
        <f>IF(C2491="","",'Daily Sale entry '!AC991)</f>
        <v/>
      </c>
      <c r="F2491" s="37">
        <f>IF(C2491="","",B2491+IF(E2491&gt;0,0,0.5)+ROW()/10000000)</f>
        <v/>
      </c>
      <c r="G2491">
        <f>IF(C2491="","","Collection 收款 (Online 网上)"&amp;IF('Daily Sale entry '!Y991="",""," - "&amp;'Daily Sale entry '!Y991))</f>
        <v/>
      </c>
      <c r="H2491">
        <f>IF(C2491="","",COUNTIFS($C$2:$C$3001,C2491,$F$2:$F$3001,"&lt;"&amp;F2491)+1)</f>
        <v/>
      </c>
      <c r="I2491">
        <f>IF(C2491="","",C2491&amp;"|"&amp;H2491)</f>
        <v/>
      </c>
      <c r="J2491" s="6">
        <f>IF(C2491="","",IF(H2491=1,SUMIFS('Opening Balance'!$F$4:$F$303,'Opening Balance'!$G$4:$G$303,C2491),INDEX($L$2:$L$3001,MATCH(C2491&amp;"|"&amp;(H2491-1),$I$2:$I$3001,0))))</f>
        <v/>
      </c>
      <c r="K2491" s="6">
        <f>IF(C2491="","",IF(M2491&gt;0,M2491,IF(AND(E2491&gt;0,ROUND(J2491+D2491-E2491,2)&gt;0,ROUND(J2491+D2491-E2491,2)&lt;'Opening Balance'!$B$14),ROUND(J2491+D2491-E2491,2),0)))</f>
        <v/>
      </c>
      <c r="L2491" s="6">
        <f>IF(C2491="","",ROUND(J2491+D2491-E2491-K2491,2))</f>
        <v/>
      </c>
      <c r="M2491" s="6">
        <f>IF(C2491="","",0)</f>
        <v/>
      </c>
    </row>
    <row r="2492">
      <c r="A2492" t="inlineStr">
        <is>
          <t>Bank 银行</t>
        </is>
      </c>
      <c r="B2492" s="5">
        <f>IF(AND('Daily Sale entry '!Z992="Online collection 网上收款",'Daily Sale entry '!AA992&lt;&gt;""),'Daily Sale entry '!X992,"")</f>
        <v/>
      </c>
      <c r="C2492">
        <f>IF(B2492="","",'Daily Sale entry '!AA992)</f>
        <v/>
      </c>
      <c r="D2492">
        <f>IF(C2492="","",0)</f>
        <v/>
      </c>
      <c r="E2492">
        <f>IF(C2492="","",'Daily Sale entry '!AC992)</f>
        <v/>
      </c>
      <c r="F2492" s="37">
        <f>IF(C2492="","",B2492+IF(E2492&gt;0,0,0.5)+ROW()/10000000)</f>
        <v/>
      </c>
      <c r="G2492">
        <f>IF(C2492="","","Collection 收款 (Online 网上)"&amp;IF('Daily Sale entry '!Y992="",""," - "&amp;'Daily Sale entry '!Y992))</f>
        <v/>
      </c>
      <c r="H2492">
        <f>IF(C2492="","",COUNTIFS($C$2:$C$3001,C2492,$F$2:$F$3001,"&lt;"&amp;F2492)+1)</f>
        <v/>
      </c>
      <c r="I2492">
        <f>IF(C2492="","",C2492&amp;"|"&amp;H2492)</f>
        <v/>
      </c>
      <c r="J2492" s="6">
        <f>IF(C2492="","",IF(H2492=1,SUMIFS('Opening Balance'!$F$4:$F$303,'Opening Balance'!$G$4:$G$303,C2492),INDEX($L$2:$L$3001,MATCH(C2492&amp;"|"&amp;(H2492-1),$I$2:$I$3001,0))))</f>
        <v/>
      </c>
      <c r="K2492" s="6">
        <f>IF(C2492="","",IF(M2492&gt;0,M2492,IF(AND(E2492&gt;0,ROUND(J2492+D2492-E2492,2)&gt;0,ROUND(J2492+D2492-E2492,2)&lt;'Opening Balance'!$B$14),ROUND(J2492+D2492-E2492,2),0)))</f>
        <v/>
      </c>
      <c r="L2492" s="6">
        <f>IF(C2492="","",ROUND(J2492+D2492-E2492-K2492,2))</f>
        <v/>
      </c>
      <c r="M2492" s="6">
        <f>IF(C2492="","",0)</f>
        <v/>
      </c>
    </row>
    <row r="2493">
      <c r="A2493" t="inlineStr">
        <is>
          <t>Bank 银行</t>
        </is>
      </c>
      <c r="B2493" s="5">
        <f>IF(AND('Daily Sale entry '!Z993="Online collection 网上收款",'Daily Sale entry '!AA993&lt;&gt;""),'Daily Sale entry '!X993,"")</f>
        <v/>
      </c>
      <c r="C2493">
        <f>IF(B2493="","",'Daily Sale entry '!AA993)</f>
        <v/>
      </c>
      <c r="D2493">
        <f>IF(C2493="","",0)</f>
        <v/>
      </c>
      <c r="E2493">
        <f>IF(C2493="","",'Daily Sale entry '!AC993)</f>
        <v/>
      </c>
      <c r="F2493" s="37">
        <f>IF(C2493="","",B2493+IF(E2493&gt;0,0,0.5)+ROW()/10000000)</f>
        <v/>
      </c>
      <c r="G2493">
        <f>IF(C2493="","","Collection 收款 (Online 网上)"&amp;IF('Daily Sale entry '!Y993="",""," - "&amp;'Daily Sale entry '!Y993))</f>
        <v/>
      </c>
      <c r="H2493">
        <f>IF(C2493="","",COUNTIFS($C$2:$C$3001,C2493,$F$2:$F$3001,"&lt;"&amp;F2493)+1)</f>
        <v/>
      </c>
      <c r="I2493">
        <f>IF(C2493="","",C2493&amp;"|"&amp;H2493)</f>
        <v/>
      </c>
      <c r="J2493" s="6">
        <f>IF(C2493="","",IF(H2493=1,SUMIFS('Opening Balance'!$F$4:$F$303,'Opening Balance'!$G$4:$G$303,C2493),INDEX($L$2:$L$3001,MATCH(C2493&amp;"|"&amp;(H2493-1),$I$2:$I$3001,0))))</f>
        <v/>
      </c>
      <c r="K2493" s="6">
        <f>IF(C2493="","",IF(M2493&gt;0,M2493,IF(AND(E2493&gt;0,ROUND(J2493+D2493-E2493,2)&gt;0,ROUND(J2493+D2493-E2493,2)&lt;'Opening Balance'!$B$14),ROUND(J2493+D2493-E2493,2),0)))</f>
        <v/>
      </c>
      <c r="L2493" s="6">
        <f>IF(C2493="","",ROUND(J2493+D2493-E2493-K2493,2))</f>
        <v/>
      </c>
      <c r="M2493" s="6">
        <f>IF(C2493="","",0)</f>
        <v/>
      </c>
    </row>
    <row r="2494">
      <c r="A2494" t="inlineStr">
        <is>
          <t>Bank 银行</t>
        </is>
      </c>
      <c r="B2494" s="5">
        <f>IF(AND('Daily Sale entry '!Z994="Online collection 网上收款",'Daily Sale entry '!AA994&lt;&gt;""),'Daily Sale entry '!X994,"")</f>
        <v/>
      </c>
      <c r="C2494">
        <f>IF(B2494="","",'Daily Sale entry '!AA994)</f>
        <v/>
      </c>
      <c r="D2494">
        <f>IF(C2494="","",0)</f>
        <v/>
      </c>
      <c r="E2494">
        <f>IF(C2494="","",'Daily Sale entry '!AC994)</f>
        <v/>
      </c>
      <c r="F2494" s="37">
        <f>IF(C2494="","",B2494+IF(E2494&gt;0,0,0.5)+ROW()/10000000)</f>
        <v/>
      </c>
      <c r="G2494">
        <f>IF(C2494="","","Collection 收款 (Online 网上)"&amp;IF('Daily Sale entry '!Y994="",""," - "&amp;'Daily Sale entry '!Y994))</f>
        <v/>
      </c>
      <c r="H2494">
        <f>IF(C2494="","",COUNTIFS($C$2:$C$3001,C2494,$F$2:$F$3001,"&lt;"&amp;F2494)+1)</f>
        <v/>
      </c>
      <c r="I2494">
        <f>IF(C2494="","",C2494&amp;"|"&amp;H2494)</f>
        <v/>
      </c>
      <c r="J2494" s="6">
        <f>IF(C2494="","",IF(H2494=1,SUMIFS('Opening Balance'!$F$4:$F$303,'Opening Balance'!$G$4:$G$303,C2494),INDEX($L$2:$L$3001,MATCH(C2494&amp;"|"&amp;(H2494-1),$I$2:$I$3001,0))))</f>
        <v/>
      </c>
      <c r="K2494" s="6">
        <f>IF(C2494="","",IF(M2494&gt;0,M2494,IF(AND(E2494&gt;0,ROUND(J2494+D2494-E2494,2)&gt;0,ROUND(J2494+D2494-E2494,2)&lt;'Opening Balance'!$B$14),ROUND(J2494+D2494-E2494,2),0)))</f>
        <v/>
      </c>
      <c r="L2494" s="6">
        <f>IF(C2494="","",ROUND(J2494+D2494-E2494-K2494,2))</f>
        <v/>
      </c>
      <c r="M2494" s="6">
        <f>IF(C2494="","",0)</f>
        <v/>
      </c>
    </row>
    <row r="2495">
      <c r="A2495" t="inlineStr">
        <is>
          <t>Bank 银行</t>
        </is>
      </c>
      <c r="B2495" s="5">
        <f>IF(AND('Daily Sale entry '!Z995="Online collection 网上收款",'Daily Sale entry '!AA995&lt;&gt;""),'Daily Sale entry '!X995,"")</f>
        <v/>
      </c>
      <c r="C2495">
        <f>IF(B2495="","",'Daily Sale entry '!AA995)</f>
        <v/>
      </c>
      <c r="D2495">
        <f>IF(C2495="","",0)</f>
        <v/>
      </c>
      <c r="E2495">
        <f>IF(C2495="","",'Daily Sale entry '!AC995)</f>
        <v/>
      </c>
      <c r="F2495" s="37">
        <f>IF(C2495="","",B2495+IF(E2495&gt;0,0,0.5)+ROW()/10000000)</f>
        <v/>
      </c>
      <c r="G2495">
        <f>IF(C2495="","","Collection 收款 (Online 网上)"&amp;IF('Daily Sale entry '!Y995="",""," - "&amp;'Daily Sale entry '!Y995))</f>
        <v/>
      </c>
      <c r="H2495">
        <f>IF(C2495="","",COUNTIFS($C$2:$C$3001,C2495,$F$2:$F$3001,"&lt;"&amp;F2495)+1)</f>
        <v/>
      </c>
      <c r="I2495">
        <f>IF(C2495="","",C2495&amp;"|"&amp;H2495)</f>
        <v/>
      </c>
      <c r="J2495" s="6">
        <f>IF(C2495="","",IF(H2495=1,SUMIFS('Opening Balance'!$F$4:$F$303,'Opening Balance'!$G$4:$G$303,C2495),INDEX($L$2:$L$3001,MATCH(C2495&amp;"|"&amp;(H2495-1),$I$2:$I$3001,0))))</f>
        <v/>
      </c>
      <c r="K2495" s="6">
        <f>IF(C2495="","",IF(M2495&gt;0,M2495,IF(AND(E2495&gt;0,ROUND(J2495+D2495-E2495,2)&gt;0,ROUND(J2495+D2495-E2495,2)&lt;'Opening Balance'!$B$14),ROUND(J2495+D2495-E2495,2),0)))</f>
        <v/>
      </c>
      <c r="L2495" s="6">
        <f>IF(C2495="","",ROUND(J2495+D2495-E2495-K2495,2))</f>
        <v/>
      </c>
      <c r="M2495" s="6">
        <f>IF(C2495="","",0)</f>
        <v/>
      </c>
    </row>
    <row r="2496">
      <c r="A2496" t="inlineStr">
        <is>
          <t>Bank 银行</t>
        </is>
      </c>
      <c r="B2496" s="5">
        <f>IF(AND('Daily Sale entry '!Z996="Online collection 网上收款",'Daily Sale entry '!AA996&lt;&gt;""),'Daily Sale entry '!X996,"")</f>
        <v/>
      </c>
      <c r="C2496">
        <f>IF(B2496="","",'Daily Sale entry '!AA996)</f>
        <v/>
      </c>
      <c r="D2496">
        <f>IF(C2496="","",0)</f>
        <v/>
      </c>
      <c r="E2496">
        <f>IF(C2496="","",'Daily Sale entry '!AC996)</f>
        <v/>
      </c>
      <c r="F2496" s="37">
        <f>IF(C2496="","",B2496+IF(E2496&gt;0,0,0.5)+ROW()/10000000)</f>
        <v/>
      </c>
      <c r="G2496">
        <f>IF(C2496="","","Collection 收款 (Online 网上)"&amp;IF('Daily Sale entry '!Y996="",""," - "&amp;'Daily Sale entry '!Y996))</f>
        <v/>
      </c>
      <c r="H2496">
        <f>IF(C2496="","",COUNTIFS($C$2:$C$3001,C2496,$F$2:$F$3001,"&lt;"&amp;F2496)+1)</f>
        <v/>
      </c>
      <c r="I2496">
        <f>IF(C2496="","",C2496&amp;"|"&amp;H2496)</f>
        <v/>
      </c>
      <c r="J2496" s="6">
        <f>IF(C2496="","",IF(H2496=1,SUMIFS('Opening Balance'!$F$4:$F$303,'Opening Balance'!$G$4:$G$303,C2496),INDEX($L$2:$L$3001,MATCH(C2496&amp;"|"&amp;(H2496-1),$I$2:$I$3001,0))))</f>
        <v/>
      </c>
      <c r="K2496" s="6">
        <f>IF(C2496="","",IF(M2496&gt;0,M2496,IF(AND(E2496&gt;0,ROUND(J2496+D2496-E2496,2)&gt;0,ROUND(J2496+D2496-E2496,2)&lt;'Opening Balance'!$B$14),ROUND(J2496+D2496-E2496,2),0)))</f>
        <v/>
      </c>
      <c r="L2496" s="6">
        <f>IF(C2496="","",ROUND(J2496+D2496-E2496-K2496,2))</f>
        <v/>
      </c>
      <c r="M2496" s="6">
        <f>IF(C2496="","",0)</f>
        <v/>
      </c>
    </row>
    <row r="2497">
      <c r="A2497" t="inlineStr">
        <is>
          <t>Bank 银行</t>
        </is>
      </c>
      <c r="B2497" s="5">
        <f>IF(AND('Daily Sale entry '!Z997="Online collection 网上收款",'Daily Sale entry '!AA997&lt;&gt;""),'Daily Sale entry '!X997,"")</f>
        <v/>
      </c>
      <c r="C2497">
        <f>IF(B2497="","",'Daily Sale entry '!AA997)</f>
        <v/>
      </c>
      <c r="D2497">
        <f>IF(C2497="","",0)</f>
        <v/>
      </c>
      <c r="E2497">
        <f>IF(C2497="","",'Daily Sale entry '!AC997)</f>
        <v/>
      </c>
      <c r="F2497" s="37">
        <f>IF(C2497="","",B2497+IF(E2497&gt;0,0,0.5)+ROW()/10000000)</f>
        <v/>
      </c>
      <c r="G2497">
        <f>IF(C2497="","","Collection 收款 (Online 网上)"&amp;IF('Daily Sale entry '!Y997="",""," - "&amp;'Daily Sale entry '!Y997))</f>
        <v/>
      </c>
      <c r="H2497">
        <f>IF(C2497="","",COUNTIFS($C$2:$C$3001,C2497,$F$2:$F$3001,"&lt;"&amp;F2497)+1)</f>
        <v/>
      </c>
      <c r="I2497">
        <f>IF(C2497="","",C2497&amp;"|"&amp;H2497)</f>
        <v/>
      </c>
      <c r="J2497" s="6">
        <f>IF(C2497="","",IF(H2497=1,SUMIFS('Opening Balance'!$F$4:$F$303,'Opening Balance'!$G$4:$G$303,C2497),INDEX($L$2:$L$3001,MATCH(C2497&amp;"|"&amp;(H2497-1),$I$2:$I$3001,0))))</f>
        <v/>
      </c>
      <c r="K2497" s="6">
        <f>IF(C2497="","",IF(M2497&gt;0,M2497,IF(AND(E2497&gt;0,ROUND(J2497+D2497-E2497,2)&gt;0,ROUND(J2497+D2497-E2497,2)&lt;'Opening Balance'!$B$14),ROUND(J2497+D2497-E2497,2),0)))</f>
        <v/>
      </c>
      <c r="L2497" s="6">
        <f>IF(C2497="","",ROUND(J2497+D2497-E2497-K2497,2))</f>
        <v/>
      </c>
      <c r="M2497" s="6">
        <f>IF(C2497="","",0)</f>
        <v/>
      </c>
    </row>
    <row r="2498">
      <c r="A2498" t="inlineStr">
        <is>
          <t>Bank 银行</t>
        </is>
      </c>
      <c r="B2498" s="5">
        <f>IF(AND('Daily Sale entry '!Z998="Online collection 网上收款",'Daily Sale entry '!AA998&lt;&gt;""),'Daily Sale entry '!X998,"")</f>
        <v/>
      </c>
      <c r="C2498">
        <f>IF(B2498="","",'Daily Sale entry '!AA998)</f>
        <v/>
      </c>
      <c r="D2498">
        <f>IF(C2498="","",0)</f>
        <v/>
      </c>
      <c r="E2498">
        <f>IF(C2498="","",'Daily Sale entry '!AC998)</f>
        <v/>
      </c>
      <c r="F2498" s="37">
        <f>IF(C2498="","",B2498+IF(E2498&gt;0,0,0.5)+ROW()/10000000)</f>
        <v/>
      </c>
      <c r="G2498">
        <f>IF(C2498="","","Collection 收款 (Online 网上)"&amp;IF('Daily Sale entry '!Y998="",""," - "&amp;'Daily Sale entry '!Y998))</f>
        <v/>
      </c>
      <c r="H2498">
        <f>IF(C2498="","",COUNTIFS($C$2:$C$3001,C2498,$F$2:$F$3001,"&lt;"&amp;F2498)+1)</f>
        <v/>
      </c>
      <c r="I2498">
        <f>IF(C2498="","",C2498&amp;"|"&amp;H2498)</f>
        <v/>
      </c>
      <c r="J2498" s="6">
        <f>IF(C2498="","",IF(H2498=1,SUMIFS('Opening Balance'!$F$4:$F$303,'Opening Balance'!$G$4:$G$303,C2498),INDEX($L$2:$L$3001,MATCH(C2498&amp;"|"&amp;(H2498-1),$I$2:$I$3001,0))))</f>
        <v/>
      </c>
      <c r="K2498" s="6">
        <f>IF(C2498="","",IF(M2498&gt;0,M2498,IF(AND(E2498&gt;0,ROUND(J2498+D2498-E2498,2)&gt;0,ROUND(J2498+D2498-E2498,2)&lt;'Opening Balance'!$B$14),ROUND(J2498+D2498-E2498,2),0)))</f>
        <v/>
      </c>
      <c r="L2498" s="6">
        <f>IF(C2498="","",ROUND(J2498+D2498-E2498-K2498,2))</f>
        <v/>
      </c>
      <c r="M2498" s="6">
        <f>IF(C2498="","",0)</f>
        <v/>
      </c>
    </row>
    <row r="2499">
      <c r="A2499" t="inlineStr">
        <is>
          <t>Bank 银行</t>
        </is>
      </c>
      <c r="B2499" s="5">
        <f>IF(AND('Daily Sale entry '!Z999="Online collection 网上收款",'Daily Sale entry '!AA999&lt;&gt;""),'Daily Sale entry '!X999,"")</f>
        <v/>
      </c>
      <c r="C2499">
        <f>IF(B2499="","",'Daily Sale entry '!AA999)</f>
        <v/>
      </c>
      <c r="D2499">
        <f>IF(C2499="","",0)</f>
        <v/>
      </c>
      <c r="E2499">
        <f>IF(C2499="","",'Daily Sale entry '!AC999)</f>
        <v/>
      </c>
      <c r="F2499" s="37">
        <f>IF(C2499="","",B2499+IF(E2499&gt;0,0,0.5)+ROW()/10000000)</f>
        <v/>
      </c>
      <c r="G2499">
        <f>IF(C2499="","","Collection 收款 (Online 网上)"&amp;IF('Daily Sale entry '!Y999="",""," - "&amp;'Daily Sale entry '!Y999))</f>
        <v/>
      </c>
      <c r="H2499">
        <f>IF(C2499="","",COUNTIFS($C$2:$C$3001,C2499,$F$2:$F$3001,"&lt;"&amp;F2499)+1)</f>
        <v/>
      </c>
      <c r="I2499">
        <f>IF(C2499="","",C2499&amp;"|"&amp;H2499)</f>
        <v/>
      </c>
      <c r="J2499" s="6">
        <f>IF(C2499="","",IF(H2499=1,SUMIFS('Opening Balance'!$F$4:$F$303,'Opening Balance'!$G$4:$G$303,C2499),INDEX($L$2:$L$3001,MATCH(C2499&amp;"|"&amp;(H2499-1),$I$2:$I$3001,0))))</f>
        <v/>
      </c>
      <c r="K2499" s="6">
        <f>IF(C2499="","",IF(M2499&gt;0,M2499,IF(AND(E2499&gt;0,ROUND(J2499+D2499-E2499,2)&gt;0,ROUND(J2499+D2499-E2499,2)&lt;'Opening Balance'!$B$14),ROUND(J2499+D2499-E2499,2),0)))</f>
        <v/>
      </c>
      <c r="L2499" s="6">
        <f>IF(C2499="","",ROUND(J2499+D2499-E2499-K2499,2))</f>
        <v/>
      </c>
      <c r="M2499" s="6">
        <f>IF(C2499="","",0)</f>
        <v/>
      </c>
    </row>
    <row r="2500">
      <c r="A2500" t="inlineStr">
        <is>
          <t>Bank 银行</t>
        </is>
      </c>
      <c r="B2500" s="5">
        <f>IF(AND('Daily Sale entry '!Z1000="Online collection 网上收款",'Daily Sale entry '!AA1000&lt;&gt;""),'Daily Sale entry '!X1000,"")</f>
        <v/>
      </c>
      <c r="C2500">
        <f>IF(B2500="","",'Daily Sale entry '!AA1000)</f>
        <v/>
      </c>
      <c r="D2500">
        <f>IF(C2500="","",0)</f>
        <v/>
      </c>
      <c r="E2500">
        <f>IF(C2500="","",'Daily Sale entry '!AC1000)</f>
        <v/>
      </c>
      <c r="F2500" s="37">
        <f>IF(C2500="","",B2500+IF(E2500&gt;0,0,0.5)+ROW()/10000000)</f>
        <v/>
      </c>
      <c r="G2500">
        <f>IF(C2500="","","Collection 收款 (Online 网上)"&amp;IF('Daily Sale entry '!Y1000="",""," - "&amp;'Daily Sale entry '!Y1000))</f>
        <v/>
      </c>
      <c r="H2500">
        <f>IF(C2500="","",COUNTIFS($C$2:$C$3001,C2500,$F$2:$F$3001,"&lt;"&amp;F2500)+1)</f>
        <v/>
      </c>
      <c r="I2500">
        <f>IF(C2500="","",C2500&amp;"|"&amp;H2500)</f>
        <v/>
      </c>
      <c r="J2500" s="6">
        <f>IF(C2500="","",IF(H2500=1,SUMIFS('Opening Balance'!$F$4:$F$303,'Opening Balance'!$G$4:$G$303,C2500),INDEX($L$2:$L$3001,MATCH(C2500&amp;"|"&amp;(H2500-1),$I$2:$I$3001,0))))</f>
        <v/>
      </c>
      <c r="K2500" s="6">
        <f>IF(C2500="","",IF(M2500&gt;0,M2500,IF(AND(E2500&gt;0,ROUND(J2500+D2500-E2500,2)&gt;0,ROUND(J2500+D2500-E2500,2)&lt;'Opening Balance'!$B$14),ROUND(J2500+D2500-E2500,2),0)))</f>
        <v/>
      </c>
      <c r="L2500" s="6">
        <f>IF(C2500="","",ROUND(J2500+D2500-E2500-K2500,2))</f>
        <v/>
      </c>
      <c r="M2500" s="6">
        <f>IF(C2500="","",0)</f>
        <v/>
      </c>
    </row>
    <row r="2501">
      <c r="A2501" t="inlineStr">
        <is>
          <t>Bank 银行</t>
        </is>
      </c>
      <c r="B2501" s="5">
        <f>IF(AND('Daily Sale entry '!Z1001="Online collection 网上收款",'Daily Sale entry '!AA1001&lt;&gt;""),'Daily Sale entry '!X1001,"")</f>
        <v/>
      </c>
      <c r="C2501">
        <f>IF(B2501="","",'Daily Sale entry '!AA1001)</f>
        <v/>
      </c>
      <c r="D2501">
        <f>IF(C2501="","",0)</f>
        <v/>
      </c>
      <c r="E2501">
        <f>IF(C2501="","",'Daily Sale entry '!AC1001)</f>
        <v/>
      </c>
      <c r="F2501" s="37">
        <f>IF(C2501="","",B2501+IF(E2501&gt;0,0,0.5)+ROW()/10000000)</f>
        <v/>
      </c>
      <c r="G2501">
        <f>IF(C2501="","","Collection 收款 (Online 网上)"&amp;IF('Daily Sale entry '!Y1001="",""," - "&amp;'Daily Sale entry '!Y1001))</f>
        <v/>
      </c>
      <c r="H2501">
        <f>IF(C2501="","",COUNTIFS($C$2:$C$3001,C2501,$F$2:$F$3001,"&lt;"&amp;F2501)+1)</f>
        <v/>
      </c>
      <c r="I2501">
        <f>IF(C2501="","",C2501&amp;"|"&amp;H2501)</f>
        <v/>
      </c>
      <c r="J2501" s="6">
        <f>IF(C2501="","",IF(H2501=1,SUMIFS('Opening Balance'!$F$4:$F$303,'Opening Balance'!$G$4:$G$303,C2501),INDEX($L$2:$L$3001,MATCH(C2501&amp;"|"&amp;(H2501-1),$I$2:$I$3001,0))))</f>
        <v/>
      </c>
      <c r="K2501" s="6">
        <f>IF(C2501="","",IF(M2501&gt;0,M2501,IF(AND(E2501&gt;0,ROUND(J2501+D2501-E2501,2)&gt;0,ROUND(J2501+D2501-E2501,2)&lt;'Opening Balance'!$B$14),ROUND(J2501+D2501-E2501,2),0)))</f>
        <v/>
      </c>
      <c r="L2501" s="6">
        <f>IF(C2501="","",ROUND(J2501+D2501-E2501-K2501,2))</f>
        <v/>
      </c>
      <c r="M2501" s="6">
        <f>IF(C2501="","",0)</f>
        <v/>
      </c>
    </row>
    <row r="2502">
      <c r="A2502" t="inlineStr">
        <is>
          <t>Bank 银行</t>
        </is>
      </c>
      <c r="B2502" s="5">
        <f>IF(AND('Daily Sale entry '!Z1002="Online collection 网上收款",'Daily Sale entry '!AA1002&lt;&gt;""),'Daily Sale entry '!X1002,"")</f>
        <v/>
      </c>
      <c r="C2502">
        <f>IF(B2502="","",'Daily Sale entry '!AA1002)</f>
        <v/>
      </c>
      <c r="D2502">
        <f>IF(C2502="","",0)</f>
        <v/>
      </c>
      <c r="E2502">
        <f>IF(C2502="","",'Daily Sale entry '!AC1002)</f>
        <v/>
      </c>
      <c r="F2502" s="37">
        <f>IF(C2502="","",B2502+IF(E2502&gt;0,0,0.5)+ROW()/10000000)</f>
        <v/>
      </c>
      <c r="G2502">
        <f>IF(C2502="","","Collection 收款 (Online 网上)"&amp;IF('Daily Sale entry '!Y1002="",""," - "&amp;'Daily Sale entry '!Y1002))</f>
        <v/>
      </c>
      <c r="H2502">
        <f>IF(C2502="","",COUNTIFS($C$2:$C$3001,C2502,$F$2:$F$3001,"&lt;"&amp;F2502)+1)</f>
        <v/>
      </c>
      <c r="I2502">
        <f>IF(C2502="","",C2502&amp;"|"&amp;H2502)</f>
        <v/>
      </c>
      <c r="J2502" s="6">
        <f>IF(C2502="","",IF(H2502=1,SUMIFS('Opening Balance'!$F$4:$F$303,'Opening Balance'!$G$4:$G$303,C2502),INDEX($L$2:$L$3001,MATCH(C2502&amp;"|"&amp;(H2502-1),$I$2:$I$3001,0))))</f>
        <v/>
      </c>
      <c r="K2502" s="6">
        <f>IF(C2502="","",IF(M2502&gt;0,M2502,IF(AND(E2502&gt;0,ROUND(J2502+D2502-E2502,2)&gt;0,ROUND(J2502+D2502-E2502,2)&lt;'Opening Balance'!$B$14),ROUND(J2502+D2502-E2502,2),0)))</f>
        <v/>
      </c>
      <c r="L2502" s="6">
        <f>IF(C2502="","",ROUND(J2502+D2502-E2502-K2502,2))</f>
        <v/>
      </c>
      <c r="M2502" s="6">
        <f>IF(C2502="","",0)</f>
        <v/>
      </c>
    </row>
    <row r="2503">
      <c r="A2503" t="inlineStr">
        <is>
          <t>Bank 银行</t>
        </is>
      </c>
      <c r="B2503" s="5">
        <f>IF(AND('Daily Sale entry '!Z1003="Online collection 网上收款",'Daily Sale entry '!AA1003&lt;&gt;""),'Daily Sale entry '!X1003,"")</f>
        <v/>
      </c>
      <c r="C2503">
        <f>IF(B2503="","",'Daily Sale entry '!AA1003)</f>
        <v/>
      </c>
      <c r="D2503">
        <f>IF(C2503="","",0)</f>
        <v/>
      </c>
      <c r="E2503">
        <f>IF(C2503="","",'Daily Sale entry '!AC1003)</f>
        <v/>
      </c>
      <c r="F2503" s="37">
        <f>IF(C2503="","",B2503+IF(E2503&gt;0,0,0.5)+ROW()/10000000)</f>
        <v/>
      </c>
      <c r="G2503">
        <f>IF(C2503="","","Collection 收款 (Online 网上)"&amp;IF('Daily Sale entry '!Y1003="",""," - "&amp;'Daily Sale entry '!Y1003))</f>
        <v/>
      </c>
      <c r="H2503">
        <f>IF(C2503="","",COUNTIFS($C$2:$C$3001,C2503,$F$2:$F$3001,"&lt;"&amp;F2503)+1)</f>
        <v/>
      </c>
      <c r="I2503">
        <f>IF(C2503="","",C2503&amp;"|"&amp;H2503)</f>
        <v/>
      </c>
      <c r="J2503" s="6">
        <f>IF(C2503="","",IF(H2503=1,SUMIFS('Opening Balance'!$F$4:$F$303,'Opening Balance'!$G$4:$G$303,C2503),INDEX($L$2:$L$3001,MATCH(C2503&amp;"|"&amp;(H2503-1),$I$2:$I$3001,0))))</f>
        <v/>
      </c>
      <c r="K2503" s="6">
        <f>IF(C2503="","",IF(M2503&gt;0,M2503,IF(AND(E2503&gt;0,ROUND(J2503+D2503-E2503,2)&gt;0,ROUND(J2503+D2503-E2503,2)&lt;'Opening Balance'!$B$14),ROUND(J2503+D2503-E2503,2),0)))</f>
        <v/>
      </c>
      <c r="L2503" s="6">
        <f>IF(C2503="","",ROUND(J2503+D2503-E2503-K2503,2))</f>
        <v/>
      </c>
      <c r="M2503" s="6">
        <f>IF(C2503="","",0)</f>
        <v/>
      </c>
    </row>
    <row r="2504">
      <c r="A2504" t="inlineStr">
        <is>
          <t>Bank 银行</t>
        </is>
      </c>
      <c r="B2504" s="5">
        <f>IF(AND('Daily Sale entry '!Z1004="Online collection 网上收款",'Daily Sale entry '!AA1004&lt;&gt;""),'Daily Sale entry '!X1004,"")</f>
        <v/>
      </c>
      <c r="C2504">
        <f>IF(B2504="","",'Daily Sale entry '!AA1004)</f>
        <v/>
      </c>
      <c r="D2504">
        <f>IF(C2504="","",0)</f>
        <v/>
      </c>
      <c r="E2504">
        <f>IF(C2504="","",'Daily Sale entry '!AC1004)</f>
        <v/>
      </c>
      <c r="F2504" s="37">
        <f>IF(C2504="","",B2504+IF(E2504&gt;0,0,0.5)+ROW()/10000000)</f>
        <v/>
      </c>
      <c r="G2504">
        <f>IF(C2504="","","Collection 收款 (Online 网上)"&amp;IF('Daily Sale entry '!Y1004="",""," - "&amp;'Daily Sale entry '!Y1004))</f>
        <v/>
      </c>
      <c r="H2504">
        <f>IF(C2504="","",COUNTIFS($C$2:$C$3001,C2504,$F$2:$F$3001,"&lt;"&amp;F2504)+1)</f>
        <v/>
      </c>
      <c r="I2504">
        <f>IF(C2504="","",C2504&amp;"|"&amp;H2504)</f>
        <v/>
      </c>
      <c r="J2504" s="6">
        <f>IF(C2504="","",IF(H2504=1,SUMIFS('Opening Balance'!$F$4:$F$303,'Opening Balance'!$G$4:$G$303,C2504),INDEX($L$2:$L$3001,MATCH(C2504&amp;"|"&amp;(H2504-1),$I$2:$I$3001,0))))</f>
        <v/>
      </c>
      <c r="K2504" s="6">
        <f>IF(C2504="","",IF(M2504&gt;0,M2504,IF(AND(E2504&gt;0,ROUND(J2504+D2504-E2504,2)&gt;0,ROUND(J2504+D2504-E2504,2)&lt;'Opening Balance'!$B$14),ROUND(J2504+D2504-E2504,2),0)))</f>
        <v/>
      </c>
      <c r="L2504" s="6">
        <f>IF(C2504="","",ROUND(J2504+D2504-E2504-K2504,2))</f>
        <v/>
      </c>
      <c r="M2504" s="6">
        <f>IF(C2504="","",0)</f>
        <v/>
      </c>
    </row>
    <row r="2505">
      <c r="A2505" t="inlineStr">
        <is>
          <t>Bank 银行</t>
        </is>
      </c>
      <c r="B2505" s="5">
        <f>IF(AND('Daily Sale entry '!Z1005="Online collection 网上收款",'Daily Sale entry '!AA1005&lt;&gt;""),'Daily Sale entry '!X1005,"")</f>
        <v/>
      </c>
      <c r="C2505">
        <f>IF(B2505="","",'Daily Sale entry '!AA1005)</f>
        <v/>
      </c>
      <c r="D2505">
        <f>IF(C2505="","",0)</f>
        <v/>
      </c>
      <c r="E2505">
        <f>IF(C2505="","",'Daily Sale entry '!AC1005)</f>
        <v/>
      </c>
      <c r="F2505" s="37">
        <f>IF(C2505="","",B2505+IF(E2505&gt;0,0,0.5)+ROW()/10000000)</f>
        <v/>
      </c>
      <c r="G2505">
        <f>IF(C2505="","","Collection 收款 (Online 网上)"&amp;IF('Daily Sale entry '!Y1005="",""," - "&amp;'Daily Sale entry '!Y1005))</f>
        <v/>
      </c>
      <c r="H2505">
        <f>IF(C2505="","",COUNTIFS($C$2:$C$3001,C2505,$F$2:$F$3001,"&lt;"&amp;F2505)+1)</f>
        <v/>
      </c>
      <c r="I2505">
        <f>IF(C2505="","",C2505&amp;"|"&amp;H2505)</f>
        <v/>
      </c>
      <c r="J2505" s="6">
        <f>IF(C2505="","",IF(H2505=1,SUMIFS('Opening Balance'!$F$4:$F$303,'Opening Balance'!$G$4:$G$303,C2505),INDEX($L$2:$L$3001,MATCH(C2505&amp;"|"&amp;(H2505-1),$I$2:$I$3001,0))))</f>
        <v/>
      </c>
      <c r="K2505" s="6">
        <f>IF(C2505="","",IF(M2505&gt;0,M2505,IF(AND(E2505&gt;0,ROUND(J2505+D2505-E2505,2)&gt;0,ROUND(J2505+D2505-E2505,2)&lt;'Opening Balance'!$B$14),ROUND(J2505+D2505-E2505,2),0)))</f>
        <v/>
      </c>
      <c r="L2505" s="6">
        <f>IF(C2505="","",ROUND(J2505+D2505-E2505-K2505,2))</f>
        <v/>
      </c>
      <c r="M2505" s="6">
        <f>IF(C2505="","",0)</f>
        <v/>
      </c>
    </row>
    <row r="2506">
      <c r="A2506" t="inlineStr">
        <is>
          <t>Bank 银行</t>
        </is>
      </c>
      <c r="B2506" s="5">
        <f>IF(AND('Daily Sale entry '!Z1006="Online collection 网上收款",'Daily Sale entry '!AA1006&lt;&gt;""),'Daily Sale entry '!X1006,"")</f>
        <v/>
      </c>
      <c r="C2506">
        <f>IF(B2506="","",'Daily Sale entry '!AA1006)</f>
        <v/>
      </c>
      <c r="D2506">
        <f>IF(C2506="","",0)</f>
        <v/>
      </c>
      <c r="E2506">
        <f>IF(C2506="","",'Daily Sale entry '!AC1006)</f>
        <v/>
      </c>
      <c r="F2506" s="37">
        <f>IF(C2506="","",B2506+IF(E2506&gt;0,0,0.5)+ROW()/10000000)</f>
        <v/>
      </c>
      <c r="G2506">
        <f>IF(C2506="","","Collection 收款 (Online 网上)"&amp;IF('Daily Sale entry '!Y1006="",""," - "&amp;'Daily Sale entry '!Y1006))</f>
        <v/>
      </c>
      <c r="H2506">
        <f>IF(C2506="","",COUNTIFS($C$2:$C$3001,C2506,$F$2:$F$3001,"&lt;"&amp;F2506)+1)</f>
        <v/>
      </c>
      <c r="I2506">
        <f>IF(C2506="","",C2506&amp;"|"&amp;H2506)</f>
        <v/>
      </c>
      <c r="J2506" s="6">
        <f>IF(C2506="","",IF(H2506=1,SUMIFS('Opening Balance'!$F$4:$F$303,'Opening Balance'!$G$4:$G$303,C2506),INDEX($L$2:$L$3001,MATCH(C2506&amp;"|"&amp;(H2506-1),$I$2:$I$3001,0))))</f>
        <v/>
      </c>
      <c r="K2506" s="6">
        <f>IF(C2506="","",IF(M2506&gt;0,M2506,IF(AND(E2506&gt;0,ROUND(J2506+D2506-E2506,2)&gt;0,ROUND(J2506+D2506-E2506,2)&lt;'Opening Balance'!$B$14),ROUND(J2506+D2506-E2506,2),0)))</f>
        <v/>
      </c>
      <c r="L2506" s="6">
        <f>IF(C2506="","",ROUND(J2506+D2506-E2506-K2506,2))</f>
        <v/>
      </c>
      <c r="M2506" s="6">
        <f>IF(C2506="","",0)</f>
        <v/>
      </c>
    </row>
    <row r="2507">
      <c r="A2507" t="inlineStr">
        <is>
          <t>Bank 银行</t>
        </is>
      </c>
      <c r="B2507" s="5">
        <f>IF(AND('Daily Sale entry '!Z1007="Online collection 网上收款",'Daily Sale entry '!AA1007&lt;&gt;""),'Daily Sale entry '!X1007,"")</f>
        <v/>
      </c>
      <c r="C2507">
        <f>IF(B2507="","",'Daily Sale entry '!AA1007)</f>
        <v/>
      </c>
      <c r="D2507">
        <f>IF(C2507="","",0)</f>
        <v/>
      </c>
      <c r="E2507">
        <f>IF(C2507="","",'Daily Sale entry '!AC1007)</f>
        <v/>
      </c>
      <c r="F2507" s="37">
        <f>IF(C2507="","",B2507+IF(E2507&gt;0,0,0.5)+ROW()/10000000)</f>
        <v/>
      </c>
      <c r="G2507">
        <f>IF(C2507="","","Collection 收款 (Online 网上)"&amp;IF('Daily Sale entry '!Y1007="",""," - "&amp;'Daily Sale entry '!Y1007))</f>
        <v/>
      </c>
      <c r="H2507">
        <f>IF(C2507="","",COUNTIFS($C$2:$C$3001,C2507,$F$2:$F$3001,"&lt;"&amp;F2507)+1)</f>
        <v/>
      </c>
      <c r="I2507">
        <f>IF(C2507="","",C2507&amp;"|"&amp;H2507)</f>
        <v/>
      </c>
      <c r="J2507" s="6">
        <f>IF(C2507="","",IF(H2507=1,SUMIFS('Opening Balance'!$F$4:$F$303,'Opening Balance'!$G$4:$G$303,C2507),INDEX($L$2:$L$3001,MATCH(C2507&amp;"|"&amp;(H2507-1),$I$2:$I$3001,0))))</f>
        <v/>
      </c>
      <c r="K2507" s="6">
        <f>IF(C2507="","",IF(M2507&gt;0,M2507,IF(AND(E2507&gt;0,ROUND(J2507+D2507-E2507,2)&gt;0,ROUND(J2507+D2507-E2507,2)&lt;'Opening Balance'!$B$14),ROUND(J2507+D2507-E2507,2),0)))</f>
        <v/>
      </c>
      <c r="L2507" s="6">
        <f>IF(C2507="","",ROUND(J2507+D2507-E2507-K2507,2))</f>
        <v/>
      </c>
      <c r="M2507" s="6">
        <f>IF(C2507="","",0)</f>
        <v/>
      </c>
    </row>
    <row r="2508">
      <c r="A2508" t="inlineStr">
        <is>
          <t>Bank 银行</t>
        </is>
      </c>
      <c r="B2508" s="5">
        <f>IF(AND('Daily Sale entry '!Z1008="Online collection 网上收款",'Daily Sale entry '!AA1008&lt;&gt;""),'Daily Sale entry '!X1008,"")</f>
        <v/>
      </c>
      <c r="C2508">
        <f>IF(B2508="","",'Daily Sale entry '!AA1008)</f>
        <v/>
      </c>
      <c r="D2508">
        <f>IF(C2508="","",0)</f>
        <v/>
      </c>
      <c r="E2508">
        <f>IF(C2508="","",'Daily Sale entry '!AC1008)</f>
        <v/>
      </c>
      <c r="F2508" s="37">
        <f>IF(C2508="","",B2508+IF(E2508&gt;0,0,0.5)+ROW()/10000000)</f>
        <v/>
      </c>
      <c r="G2508">
        <f>IF(C2508="","","Collection 收款 (Online 网上)"&amp;IF('Daily Sale entry '!Y1008="",""," - "&amp;'Daily Sale entry '!Y1008))</f>
        <v/>
      </c>
      <c r="H2508">
        <f>IF(C2508="","",COUNTIFS($C$2:$C$3001,C2508,$F$2:$F$3001,"&lt;"&amp;F2508)+1)</f>
        <v/>
      </c>
      <c r="I2508">
        <f>IF(C2508="","",C2508&amp;"|"&amp;H2508)</f>
        <v/>
      </c>
      <c r="J2508" s="6">
        <f>IF(C2508="","",IF(H2508=1,SUMIFS('Opening Balance'!$F$4:$F$303,'Opening Balance'!$G$4:$G$303,C2508),INDEX($L$2:$L$3001,MATCH(C2508&amp;"|"&amp;(H2508-1),$I$2:$I$3001,0))))</f>
        <v/>
      </c>
      <c r="K2508" s="6">
        <f>IF(C2508="","",IF(M2508&gt;0,M2508,IF(AND(E2508&gt;0,ROUND(J2508+D2508-E2508,2)&gt;0,ROUND(J2508+D2508-E2508,2)&lt;'Opening Balance'!$B$14),ROUND(J2508+D2508-E2508,2),0)))</f>
        <v/>
      </c>
      <c r="L2508" s="6">
        <f>IF(C2508="","",ROUND(J2508+D2508-E2508-K2508,2))</f>
        <v/>
      </c>
      <c r="M2508" s="6">
        <f>IF(C2508="","",0)</f>
        <v/>
      </c>
    </row>
    <row r="2509">
      <c r="A2509" t="inlineStr">
        <is>
          <t>Bank 银行</t>
        </is>
      </c>
      <c r="B2509" s="5">
        <f>IF(AND('Daily Sale entry '!Z1009="Online collection 网上收款",'Daily Sale entry '!AA1009&lt;&gt;""),'Daily Sale entry '!X1009,"")</f>
        <v/>
      </c>
      <c r="C2509">
        <f>IF(B2509="","",'Daily Sale entry '!AA1009)</f>
        <v/>
      </c>
      <c r="D2509">
        <f>IF(C2509="","",0)</f>
        <v/>
      </c>
      <c r="E2509">
        <f>IF(C2509="","",'Daily Sale entry '!AC1009)</f>
        <v/>
      </c>
      <c r="F2509" s="37">
        <f>IF(C2509="","",B2509+IF(E2509&gt;0,0,0.5)+ROW()/10000000)</f>
        <v/>
      </c>
      <c r="G2509">
        <f>IF(C2509="","","Collection 收款 (Online 网上)"&amp;IF('Daily Sale entry '!Y1009="",""," - "&amp;'Daily Sale entry '!Y1009))</f>
        <v/>
      </c>
      <c r="H2509">
        <f>IF(C2509="","",COUNTIFS($C$2:$C$3001,C2509,$F$2:$F$3001,"&lt;"&amp;F2509)+1)</f>
        <v/>
      </c>
      <c r="I2509">
        <f>IF(C2509="","",C2509&amp;"|"&amp;H2509)</f>
        <v/>
      </c>
      <c r="J2509" s="6">
        <f>IF(C2509="","",IF(H2509=1,SUMIFS('Opening Balance'!$F$4:$F$303,'Opening Balance'!$G$4:$G$303,C2509),INDEX($L$2:$L$3001,MATCH(C2509&amp;"|"&amp;(H2509-1),$I$2:$I$3001,0))))</f>
        <v/>
      </c>
      <c r="K2509" s="6">
        <f>IF(C2509="","",IF(M2509&gt;0,M2509,IF(AND(E2509&gt;0,ROUND(J2509+D2509-E2509,2)&gt;0,ROUND(J2509+D2509-E2509,2)&lt;'Opening Balance'!$B$14),ROUND(J2509+D2509-E2509,2),0)))</f>
        <v/>
      </c>
      <c r="L2509" s="6">
        <f>IF(C2509="","",ROUND(J2509+D2509-E2509-K2509,2))</f>
        <v/>
      </c>
      <c r="M2509" s="6">
        <f>IF(C2509="","",0)</f>
        <v/>
      </c>
    </row>
    <row r="2510">
      <c r="A2510" t="inlineStr">
        <is>
          <t>Bank 银行</t>
        </is>
      </c>
      <c r="B2510" s="5">
        <f>IF(AND('Daily Sale entry '!Z1010="Online collection 网上收款",'Daily Sale entry '!AA1010&lt;&gt;""),'Daily Sale entry '!X1010,"")</f>
        <v/>
      </c>
      <c r="C2510">
        <f>IF(B2510="","",'Daily Sale entry '!AA1010)</f>
        <v/>
      </c>
      <c r="D2510">
        <f>IF(C2510="","",0)</f>
        <v/>
      </c>
      <c r="E2510">
        <f>IF(C2510="","",'Daily Sale entry '!AC1010)</f>
        <v/>
      </c>
      <c r="F2510" s="37">
        <f>IF(C2510="","",B2510+IF(E2510&gt;0,0,0.5)+ROW()/10000000)</f>
        <v/>
      </c>
      <c r="G2510">
        <f>IF(C2510="","","Collection 收款 (Online 网上)"&amp;IF('Daily Sale entry '!Y1010="",""," - "&amp;'Daily Sale entry '!Y1010))</f>
        <v/>
      </c>
      <c r="H2510">
        <f>IF(C2510="","",COUNTIFS($C$2:$C$3001,C2510,$F$2:$F$3001,"&lt;"&amp;F2510)+1)</f>
        <v/>
      </c>
      <c r="I2510">
        <f>IF(C2510="","",C2510&amp;"|"&amp;H2510)</f>
        <v/>
      </c>
      <c r="J2510" s="6">
        <f>IF(C2510="","",IF(H2510=1,SUMIFS('Opening Balance'!$F$4:$F$303,'Opening Balance'!$G$4:$G$303,C2510),INDEX($L$2:$L$3001,MATCH(C2510&amp;"|"&amp;(H2510-1),$I$2:$I$3001,0))))</f>
        <v/>
      </c>
      <c r="K2510" s="6">
        <f>IF(C2510="","",IF(M2510&gt;0,M2510,IF(AND(E2510&gt;0,ROUND(J2510+D2510-E2510,2)&gt;0,ROUND(J2510+D2510-E2510,2)&lt;'Opening Balance'!$B$14),ROUND(J2510+D2510-E2510,2),0)))</f>
        <v/>
      </c>
      <c r="L2510" s="6">
        <f>IF(C2510="","",ROUND(J2510+D2510-E2510-K2510,2))</f>
        <v/>
      </c>
      <c r="M2510" s="6">
        <f>IF(C2510="","",0)</f>
        <v/>
      </c>
    </row>
    <row r="2511">
      <c r="A2511" t="inlineStr">
        <is>
          <t>Bank 银行</t>
        </is>
      </c>
      <c r="B2511" s="5">
        <f>IF(AND('Daily Sale entry '!Z1011="Online collection 网上收款",'Daily Sale entry '!AA1011&lt;&gt;""),'Daily Sale entry '!X1011,"")</f>
        <v/>
      </c>
      <c r="C2511">
        <f>IF(B2511="","",'Daily Sale entry '!AA1011)</f>
        <v/>
      </c>
      <c r="D2511">
        <f>IF(C2511="","",0)</f>
        <v/>
      </c>
      <c r="E2511">
        <f>IF(C2511="","",'Daily Sale entry '!AC1011)</f>
        <v/>
      </c>
      <c r="F2511" s="37">
        <f>IF(C2511="","",B2511+IF(E2511&gt;0,0,0.5)+ROW()/10000000)</f>
        <v/>
      </c>
      <c r="G2511">
        <f>IF(C2511="","","Collection 收款 (Online 网上)"&amp;IF('Daily Sale entry '!Y1011="",""," - "&amp;'Daily Sale entry '!Y1011))</f>
        <v/>
      </c>
      <c r="H2511">
        <f>IF(C2511="","",COUNTIFS($C$2:$C$3001,C2511,$F$2:$F$3001,"&lt;"&amp;F2511)+1)</f>
        <v/>
      </c>
      <c r="I2511">
        <f>IF(C2511="","",C2511&amp;"|"&amp;H2511)</f>
        <v/>
      </c>
      <c r="J2511" s="6">
        <f>IF(C2511="","",IF(H2511=1,SUMIFS('Opening Balance'!$F$4:$F$303,'Opening Balance'!$G$4:$G$303,C2511),INDEX($L$2:$L$3001,MATCH(C2511&amp;"|"&amp;(H2511-1),$I$2:$I$3001,0))))</f>
        <v/>
      </c>
      <c r="K2511" s="6">
        <f>IF(C2511="","",IF(M2511&gt;0,M2511,IF(AND(E2511&gt;0,ROUND(J2511+D2511-E2511,2)&gt;0,ROUND(J2511+D2511-E2511,2)&lt;'Opening Balance'!$B$14),ROUND(J2511+D2511-E2511,2),0)))</f>
        <v/>
      </c>
      <c r="L2511" s="6">
        <f>IF(C2511="","",ROUND(J2511+D2511-E2511-K2511,2))</f>
        <v/>
      </c>
      <c r="M2511" s="6">
        <f>IF(C2511="","",0)</f>
        <v/>
      </c>
    </row>
    <row r="2512">
      <c r="A2512" t="inlineStr">
        <is>
          <t>Bank 银行</t>
        </is>
      </c>
      <c r="B2512" s="5">
        <f>IF(AND('Daily Sale entry '!Z1012="Online collection 网上收款",'Daily Sale entry '!AA1012&lt;&gt;""),'Daily Sale entry '!X1012,"")</f>
        <v/>
      </c>
      <c r="C2512">
        <f>IF(B2512="","",'Daily Sale entry '!AA1012)</f>
        <v/>
      </c>
      <c r="D2512">
        <f>IF(C2512="","",0)</f>
        <v/>
      </c>
      <c r="E2512">
        <f>IF(C2512="","",'Daily Sale entry '!AC1012)</f>
        <v/>
      </c>
      <c r="F2512" s="37">
        <f>IF(C2512="","",B2512+IF(E2512&gt;0,0,0.5)+ROW()/10000000)</f>
        <v/>
      </c>
      <c r="G2512">
        <f>IF(C2512="","","Collection 收款 (Online 网上)"&amp;IF('Daily Sale entry '!Y1012="",""," - "&amp;'Daily Sale entry '!Y1012))</f>
        <v/>
      </c>
      <c r="H2512">
        <f>IF(C2512="","",COUNTIFS($C$2:$C$3001,C2512,$F$2:$F$3001,"&lt;"&amp;F2512)+1)</f>
        <v/>
      </c>
      <c r="I2512">
        <f>IF(C2512="","",C2512&amp;"|"&amp;H2512)</f>
        <v/>
      </c>
      <c r="J2512" s="6">
        <f>IF(C2512="","",IF(H2512=1,SUMIFS('Opening Balance'!$F$4:$F$303,'Opening Balance'!$G$4:$G$303,C2512),INDEX($L$2:$L$3001,MATCH(C2512&amp;"|"&amp;(H2512-1),$I$2:$I$3001,0))))</f>
        <v/>
      </c>
      <c r="K2512" s="6">
        <f>IF(C2512="","",IF(M2512&gt;0,M2512,IF(AND(E2512&gt;0,ROUND(J2512+D2512-E2512,2)&gt;0,ROUND(J2512+D2512-E2512,2)&lt;'Opening Balance'!$B$14),ROUND(J2512+D2512-E2512,2),0)))</f>
        <v/>
      </c>
      <c r="L2512" s="6">
        <f>IF(C2512="","",ROUND(J2512+D2512-E2512-K2512,2))</f>
        <v/>
      </c>
      <c r="M2512" s="6">
        <f>IF(C2512="","",0)</f>
        <v/>
      </c>
    </row>
    <row r="2513">
      <c r="A2513" t="inlineStr">
        <is>
          <t>Bank 银行</t>
        </is>
      </c>
      <c r="B2513" s="5">
        <f>IF(AND('Daily Sale entry '!Z1013="Online collection 网上收款",'Daily Sale entry '!AA1013&lt;&gt;""),'Daily Sale entry '!X1013,"")</f>
        <v/>
      </c>
      <c r="C2513">
        <f>IF(B2513="","",'Daily Sale entry '!AA1013)</f>
        <v/>
      </c>
      <c r="D2513">
        <f>IF(C2513="","",0)</f>
        <v/>
      </c>
      <c r="E2513">
        <f>IF(C2513="","",'Daily Sale entry '!AC1013)</f>
        <v/>
      </c>
      <c r="F2513" s="37">
        <f>IF(C2513="","",B2513+IF(E2513&gt;0,0,0.5)+ROW()/10000000)</f>
        <v/>
      </c>
      <c r="G2513">
        <f>IF(C2513="","","Collection 收款 (Online 网上)"&amp;IF('Daily Sale entry '!Y1013="",""," - "&amp;'Daily Sale entry '!Y1013))</f>
        <v/>
      </c>
      <c r="H2513">
        <f>IF(C2513="","",COUNTIFS($C$2:$C$3001,C2513,$F$2:$F$3001,"&lt;"&amp;F2513)+1)</f>
        <v/>
      </c>
      <c r="I2513">
        <f>IF(C2513="","",C2513&amp;"|"&amp;H2513)</f>
        <v/>
      </c>
      <c r="J2513" s="6">
        <f>IF(C2513="","",IF(H2513=1,SUMIFS('Opening Balance'!$F$4:$F$303,'Opening Balance'!$G$4:$G$303,C2513),INDEX($L$2:$L$3001,MATCH(C2513&amp;"|"&amp;(H2513-1),$I$2:$I$3001,0))))</f>
        <v/>
      </c>
      <c r="K2513" s="6">
        <f>IF(C2513="","",IF(M2513&gt;0,M2513,IF(AND(E2513&gt;0,ROUND(J2513+D2513-E2513,2)&gt;0,ROUND(J2513+D2513-E2513,2)&lt;'Opening Balance'!$B$14),ROUND(J2513+D2513-E2513,2),0)))</f>
        <v/>
      </c>
      <c r="L2513" s="6">
        <f>IF(C2513="","",ROUND(J2513+D2513-E2513-K2513,2))</f>
        <v/>
      </c>
      <c r="M2513" s="6">
        <f>IF(C2513="","",0)</f>
        <v/>
      </c>
    </row>
    <row r="2514">
      <c r="A2514" t="inlineStr">
        <is>
          <t>Bank 银行</t>
        </is>
      </c>
      <c r="B2514" s="5">
        <f>IF(AND('Daily Sale entry '!Z1014="Online collection 网上收款",'Daily Sale entry '!AA1014&lt;&gt;""),'Daily Sale entry '!X1014,"")</f>
        <v/>
      </c>
      <c r="C2514">
        <f>IF(B2514="","",'Daily Sale entry '!AA1014)</f>
        <v/>
      </c>
      <c r="D2514">
        <f>IF(C2514="","",0)</f>
        <v/>
      </c>
      <c r="E2514">
        <f>IF(C2514="","",'Daily Sale entry '!AC1014)</f>
        <v/>
      </c>
      <c r="F2514" s="37">
        <f>IF(C2514="","",B2514+IF(E2514&gt;0,0,0.5)+ROW()/10000000)</f>
        <v/>
      </c>
      <c r="G2514">
        <f>IF(C2514="","","Collection 收款 (Online 网上)"&amp;IF('Daily Sale entry '!Y1014="",""," - "&amp;'Daily Sale entry '!Y1014))</f>
        <v/>
      </c>
      <c r="H2514">
        <f>IF(C2514="","",COUNTIFS($C$2:$C$3001,C2514,$F$2:$F$3001,"&lt;"&amp;F2514)+1)</f>
        <v/>
      </c>
      <c r="I2514">
        <f>IF(C2514="","",C2514&amp;"|"&amp;H2514)</f>
        <v/>
      </c>
      <c r="J2514" s="6">
        <f>IF(C2514="","",IF(H2514=1,SUMIFS('Opening Balance'!$F$4:$F$303,'Opening Balance'!$G$4:$G$303,C2514),INDEX($L$2:$L$3001,MATCH(C2514&amp;"|"&amp;(H2514-1),$I$2:$I$3001,0))))</f>
        <v/>
      </c>
      <c r="K2514" s="6">
        <f>IF(C2514="","",IF(M2514&gt;0,M2514,IF(AND(E2514&gt;0,ROUND(J2514+D2514-E2514,2)&gt;0,ROUND(J2514+D2514-E2514,2)&lt;'Opening Balance'!$B$14),ROUND(J2514+D2514-E2514,2),0)))</f>
        <v/>
      </c>
      <c r="L2514" s="6">
        <f>IF(C2514="","",ROUND(J2514+D2514-E2514-K2514,2))</f>
        <v/>
      </c>
      <c r="M2514" s="6">
        <f>IF(C2514="","",0)</f>
        <v/>
      </c>
    </row>
    <row r="2515">
      <c r="A2515" t="inlineStr">
        <is>
          <t>Bank 银行</t>
        </is>
      </c>
      <c r="B2515" s="5">
        <f>IF(AND('Daily Sale entry '!Z1015="Online collection 网上收款",'Daily Sale entry '!AA1015&lt;&gt;""),'Daily Sale entry '!X1015,"")</f>
        <v/>
      </c>
      <c r="C2515">
        <f>IF(B2515="","",'Daily Sale entry '!AA1015)</f>
        <v/>
      </c>
      <c r="D2515">
        <f>IF(C2515="","",0)</f>
        <v/>
      </c>
      <c r="E2515">
        <f>IF(C2515="","",'Daily Sale entry '!AC1015)</f>
        <v/>
      </c>
      <c r="F2515" s="37">
        <f>IF(C2515="","",B2515+IF(E2515&gt;0,0,0.5)+ROW()/10000000)</f>
        <v/>
      </c>
      <c r="G2515">
        <f>IF(C2515="","","Collection 收款 (Online 网上)"&amp;IF('Daily Sale entry '!Y1015="",""," - "&amp;'Daily Sale entry '!Y1015))</f>
        <v/>
      </c>
      <c r="H2515">
        <f>IF(C2515="","",COUNTIFS($C$2:$C$3001,C2515,$F$2:$F$3001,"&lt;"&amp;F2515)+1)</f>
        <v/>
      </c>
      <c r="I2515">
        <f>IF(C2515="","",C2515&amp;"|"&amp;H2515)</f>
        <v/>
      </c>
      <c r="J2515" s="6">
        <f>IF(C2515="","",IF(H2515=1,SUMIFS('Opening Balance'!$F$4:$F$303,'Opening Balance'!$G$4:$G$303,C2515),INDEX($L$2:$L$3001,MATCH(C2515&amp;"|"&amp;(H2515-1),$I$2:$I$3001,0))))</f>
        <v/>
      </c>
      <c r="K2515" s="6">
        <f>IF(C2515="","",IF(M2515&gt;0,M2515,IF(AND(E2515&gt;0,ROUND(J2515+D2515-E2515,2)&gt;0,ROUND(J2515+D2515-E2515,2)&lt;'Opening Balance'!$B$14),ROUND(J2515+D2515-E2515,2),0)))</f>
        <v/>
      </c>
      <c r="L2515" s="6">
        <f>IF(C2515="","",ROUND(J2515+D2515-E2515-K2515,2))</f>
        <v/>
      </c>
      <c r="M2515" s="6">
        <f>IF(C2515="","",0)</f>
        <v/>
      </c>
    </row>
    <row r="2516">
      <c r="A2516" t="inlineStr">
        <is>
          <t>Bank 银行</t>
        </is>
      </c>
      <c r="B2516" s="5">
        <f>IF(AND('Daily Sale entry '!Z1016="Online collection 网上收款",'Daily Sale entry '!AA1016&lt;&gt;""),'Daily Sale entry '!X1016,"")</f>
        <v/>
      </c>
      <c r="C2516">
        <f>IF(B2516="","",'Daily Sale entry '!AA1016)</f>
        <v/>
      </c>
      <c r="D2516">
        <f>IF(C2516="","",0)</f>
        <v/>
      </c>
      <c r="E2516">
        <f>IF(C2516="","",'Daily Sale entry '!AC1016)</f>
        <v/>
      </c>
      <c r="F2516" s="37">
        <f>IF(C2516="","",B2516+IF(E2516&gt;0,0,0.5)+ROW()/10000000)</f>
        <v/>
      </c>
      <c r="G2516">
        <f>IF(C2516="","","Collection 收款 (Online 网上)"&amp;IF('Daily Sale entry '!Y1016="",""," - "&amp;'Daily Sale entry '!Y1016))</f>
        <v/>
      </c>
      <c r="H2516">
        <f>IF(C2516="","",COUNTIFS($C$2:$C$3001,C2516,$F$2:$F$3001,"&lt;"&amp;F2516)+1)</f>
        <v/>
      </c>
      <c r="I2516">
        <f>IF(C2516="","",C2516&amp;"|"&amp;H2516)</f>
        <v/>
      </c>
      <c r="J2516" s="6">
        <f>IF(C2516="","",IF(H2516=1,SUMIFS('Opening Balance'!$F$4:$F$303,'Opening Balance'!$G$4:$G$303,C2516),INDEX($L$2:$L$3001,MATCH(C2516&amp;"|"&amp;(H2516-1),$I$2:$I$3001,0))))</f>
        <v/>
      </c>
      <c r="K2516" s="6">
        <f>IF(C2516="","",IF(M2516&gt;0,M2516,IF(AND(E2516&gt;0,ROUND(J2516+D2516-E2516,2)&gt;0,ROUND(J2516+D2516-E2516,2)&lt;'Opening Balance'!$B$14),ROUND(J2516+D2516-E2516,2),0)))</f>
        <v/>
      </c>
      <c r="L2516" s="6">
        <f>IF(C2516="","",ROUND(J2516+D2516-E2516-K2516,2))</f>
        <v/>
      </c>
      <c r="M2516" s="6">
        <f>IF(C2516="","",0)</f>
        <v/>
      </c>
    </row>
    <row r="2517">
      <c r="A2517" t="inlineStr">
        <is>
          <t>Bank 银行</t>
        </is>
      </c>
      <c r="B2517" s="5">
        <f>IF(AND('Daily Sale entry '!Z1017="Online collection 网上收款",'Daily Sale entry '!AA1017&lt;&gt;""),'Daily Sale entry '!X1017,"")</f>
        <v/>
      </c>
      <c r="C2517">
        <f>IF(B2517="","",'Daily Sale entry '!AA1017)</f>
        <v/>
      </c>
      <c r="D2517">
        <f>IF(C2517="","",0)</f>
        <v/>
      </c>
      <c r="E2517">
        <f>IF(C2517="","",'Daily Sale entry '!AC1017)</f>
        <v/>
      </c>
      <c r="F2517" s="37">
        <f>IF(C2517="","",B2517+IF(E2517&gt;0,0,0.5)+ROW()/10000000)</f>
        <v/>
      </c>
      <c r="G2517">
        <f>IF(C2517="","","Collection 收款 (Online 网上)"&amp;IF('Daily Sale entry '!Y1017="",""," - "&amp;'Daily Sale entry '!Y1017))</f>
        <v/>
      </c>
      <c r="H2517">
        <f>IF(C2517="","",COUNTIFS($C$2:$C$3001,C2517,$F$2:$F$3001,"&lt;"&amp;F2517)+1)</f>
        <v/>
      </c>
      <c r="I2517">
        <f>IF(C2517="","",C2517&amp;"|"&amp;H2517)</f>
        <v/>
      </c>
      <c r="J2517" s="6">
        <f>IF(C2517="","",IF(H2517=1,SUMIFS('Opening Balance'!$F$4:$F$303,'Opening Balance'!$G$4:$G$303,C2517),INDEX($L$2:$L$3001,MATCH(C2517&amp;"|"&amp;(H2517-1),$I$2:$I$3001,0))))</f>
        <v/>
      </c>
      <c r="K2517" s="6">
        <f>IF(C2517="","",IF(M2517&gt;0,M2517,IF(AND(E2517&gt;0,ROUND(J2517+D2517-E2517,2)&gt;0,ROUND(J2517+D2517-E2517,2)&lt;'Opening Balance'!$B$14),ROUND(J2517+D2517-E2517,2),0)))</f>
        <v/>
      </c>
      <c r="L2517" s="6">
        <f>IF(C2517="","",ROUND(J2517+D2517-E2517-K2517,2))</f>
        <v/>
      </c>
      <c r="M2517" s="6">
        <f>IF(C2517="","",0)</f>
        <v/>
      </c>
    </row>
    <row r="2518">
      <c r="A2518" t="inlineStr">
        <is>
          <t>Bank 银行</t>
        </is>
      </c>
      <c r="B2518" s="5">
        <f>IF(AND('Daily Sale entry '!Z1018="Online collection 网上收款",'Daily Sale entry '!AA1018&lt;&gt;""),'Daily Sale entry '!X1018,"")</f>
        <v/>
      </c>
      <c r="C2518">
        <f>IF(B2518="","",'Daily Sale entry '!AA1018)</f>
        <v/>
      </c>
      <c r="D2518">
        <f>IF(C2518="","",0)</f>
        <v/>
      </c>
      <c r="E2518">
        <f>IF(C2518="","",'Daily Sale entry '!AC1018)</f>
        <v/>
      </c>
      <c r="F2518" s="37">
        <f>IF(C2518="","",B2518+IF(E2518&gt;0,0,0.5)+ROW()/10000000)</f>
        <v/>
      </c>
      <c r="G2518">
        <f>IF(C2518="","","Collection 收款 (Online 网上)"&amp;IF('Daily Sale entry '!Y1018="",""," - "&amp;'Daily Sale entry '!Y1018))</f>
        <v/>
      </c>
      <c r="H2518">
        <f>IF(C2518="","",COUNTIFS($C$2:$C$3001,C2518,$F$2:$F$3001,"&lt;"&amp;F2518)+1)</f>
        <v/>
      </c>
      <c r="I2518">
        <f>IF(C2518="","",C2518&amp;"|"&amp;H2518)</f>
        <v/>
      </c>
      <c r="J2518" s="6">
        <f>IF(C2518="","",IF(H2518=1,SUMIFS('Opening Balance'!$F$4:$F$303,'Opening Balance'!$G$4:$G$303,C2518),INDEX($L$2:$L$3001,MATCH(C2518&amp;"|"&amp;(H2518-1),$I$2:$I$3001,0))))</f>
        <v/>
      </c>
      <c r="K2518" s="6">
        <f>IF(C2518="","",IF(M2518&gt;0,M2518,IF(AND(E2518&gt;0,ROUND(J2518+D2518-E2518,2)&gt;0,ROUND(J2518+D2518-E2518,2)&lt;'Opening Balance'!$B$14),ROUND(J2518+D2518-E2518,2),0)))</f>
        <v/>
      </c>
      <c r="L2518" s="6">
        <f>IF(C2518="","",ROUND(J2518+D2518-E2518-K2518,2))</f>
        <v/>
      </c>
      <c r="M2518" s="6">
        <f>IF(C2518="","",0)</f>
        <v/>
      </c>
    </row>
    <row r="2519">
      <c r="A2519" t="inlineStr">
        <is>
          <t>Bank 银行</t>
        </is>
      </c>
      <c r="B2519" s="5">
        <f>IF(AND('Daily Sale entry '!Z1019="Online collection 网上收款",'Daily Sale entry '!AA1019&lt;&gt;""),'Daily Sale entry '!X1019,"")</f>
        <v/>
      </c>
      <c r="C2519">
        <f>IF(B2519="","",'Daily Sale entry '!AA1019)</f>
        <v/>
      </c>
      <c r="D2519">
        <f>IF(C2519="","",0)</f>
        <v/>
      </c>
      <c r="E2519">
        <f>IF(C2519="","",'Daily Sale entry '!AC1019)</f>
        <v/>
      </c>
      <c r="F2519" s="37">
        <f>IF(C2519="","",B2519+IF(E2519&gt;0,0,0.5)+ROW()/10000000)</f>
        <v/>
      </c>
      <c r="G2519">
        <f>IF(C2519="","","Collection 收款 (Online 网上)"&amp;IF('Daily Sale entry '!Y1019="",""," - "&amp;'Daily Sale entry '!Y1019))</f>
        <v/>
      </c>
      <c r="H2519">
        <f>IF(C2519="","",COUNTIFS($C$2:$C$3001,C2519,$F$2:$F$3001,"&lt;"&amp;F2519)+1)</f>
        <v/>
      </c>
      <c r="I2519">
        <f>IF(C2519="","",C2519&amp;"|"&amp;H2519)</f>
        <v/>
      </c>
      <c r="J2519" s="6">
        <f>IF(C2519="","",IF(H2519=1,SUMIFS('Opening Balance'!$F$4:$F$303,'Opening Balance'!$G$4:$G$303,C2519),INDEX($L$2:$L$3001,MATCH(C2519&amp;"|"&amp;(H2519-1),$I$2:$I$3001,0))))</f>
        <v/>
      </c>
      <c r="K2519" s="6">
        <f>IF(C2519="","",IF(M2519&gt;0,M2519,IF(AND(E2519&gt;0,ROUND(J2519+D2519-E2519,2)&gt;0,ROUND(J2519+D2519-E2519,2)&lt;'Opening Balance'!$B$14),ROUND(J2519+D2519-E2519,2),0)))</f>
        <v/>
      </c>
      <c r="L2519" s="6">
        <f>IF(C2519="","",ROUND(J2519+D2519-E2519-K2519,2))</f>
        <v/>
      </c>
      <c r="M2519" s="6">
        <f>IF(C2519="","",0)</f>
        <v/>
      </c>
    </row>
    <row r="2520">
      <c r="A2520" t="inlineStr">
        <is>
          <t>Bank 银行</t>
        </is>
      </c>
      <c r="B2520" s="5">
        <f>IF(AND('Daily Sale entry '!Z1020="Online collection 网上收款",'Daily Sale entry '!AA1020&lt;&gt;""),'Daily Sale entry '!X1020,"")</f>
        <v/>
      </c>
      <c r="C2520">
        <f>IF(B2520="","",'Daily Sale entry '!AA1020)</f>
        <v/>
      </c>
      <c r="D2520">
        <f>IF(C2520="","",0)</f>
        <v/>
      </c>
      <c r="E2520">
        <f>IF(C2520="","",'Daily Sale entry '!AC1020)</f>
        <v/>
      </c>
      <c r="F2520" s="37">
        <f>IF(C2520="","",B2520+IF(E2520&gt;0,0,0.5)+ROW()/10000000)</f>
        <v/>
      </c>
      <c r="G2520">
        <f>IF(C2520="","","Collection 收款 (Online 网上)"&amp;IF('Daily Sale entry '!Y1020="",""," - "&amp;'Daily Sale entry '!Y1020))</f>
        <v/>
      </c>
      <c r="H2520">
        <f>IF(C2520="","",COUNTIFS($C$2:$C$3001,C2520,$F$2:$F$3001,"&lt;"&amp;F2520)+1)</f>
        <v/>
      </c>
      <c r="I2520">
        <f>IF(C2520="","",C2520&amp;"|"&amp;H2520)</f>
        <v/>
      </c>
      <c r="J2520" s="6">
        <f>IF(C2520="","",IF(H2520=1,SUMIFS('Opening Balance'!$F$4:$F$303,'Opening Balance'!$G$4:$G$303,C2520),INDEX($L$2:$L$3001,MATCH(C2520&amp;"|"&amp;(H2520-1),$I$2:$I$3001,0))))</f>
        <v/>
      </c>
      <c r="K2520" s="6">
        <f>IF(C2520="","",IF(M2520&gt;0,M2520,IF(AND(E2520&gt;0,ROUND(J2520+D2520-E2520,2)&gt;0,ROUND(J2520+D2520-E2520,2)&lt;'Opening Balance'!$B$14),ROUND(J2520+D2520-E2520,2),0)))</f>
        <v/>
      </c>
      <c r="L2520" s="6">
        <f>IF(C2520="","",ROUND(J2520+D2520-E2520-K2520,2))</f>
        <v/>
      </c>
      <c r="M2520" s="6">
        <f>IF(C2520="","",0)</f>
        <v/>
      </c>
    </row>
    <row r="2521">
      <c r="A2521" t="inlineStr">
        <is>
          <t>Bank 银行</t>
        </is>
      </c>
      <c r="B2521" s="5">
        <f>IF(AND('Daily Sale entry '!Z1021="Online collection 网上收款",'Daily Sale entry '!AA1021&lt;&gt;""),'Daily Sale entry '!X1021,"")</f>
        <v/>
      </c>
      <c r="C2521">
        <f>IF(B2521="","",'Daily Sale entry '!AA1021)</f>
        <v/>
      </c>
      <c r="D2521">
        <f>IF(C2521="","",0)</f>
        <v/>
      </c>
      <c r="E2521">
        <f>IF(C2521="","",'Daily Sale entry '!AC1021)</f>
        <v/>
      </c>
      <c r="F2521" s="37">
        <f>IF(C2521="","",B2521+IF(E2521&gt;0,0,0.5)+ROW()/10000000)</f>
        <v/>
      </c>
      <c r="G2521">
        <f>IF(C2521="","","Collection 收款 (Online 网上)"&amp;IF('Daily Sale entry '!Y1021="",""," - "&amp;'Daily Sale entry '!Y1021))</f>
        <v/>
      </c>
      <c r="H2521">
        <f>IF(C2521="","",COUNTIFS($C$2:$C$3001,C2521,$F$2:$F$3001,"&lt;"&amp;F2521)+1)</f>
        <v/>
      </c>
      <c r="I2521">
        <f>IF(C2521="","",C2521&amp;"|"&amp;H2521)</f>
        <v/>
      </c>
      <c r="J2521" s="6">
        <f>IF(C2521="","",IF(H2521=1,SUMIFS('Opening Balance'!$F$4:$F$303,'Opening Balance'!$G$4:$G$303,C2521),INDEX($L$2:$L$3001,MATCH(C2521&amp;"|"&amp;(H2521-1),$I$2:$I$3001,0))))</f>
        <v/>
      </c>
      <c r="K2521" s="6">
        <f>IF(C2521="","",IF(M2521&gt;0,M2521,IF(AND(E2521&gt;0,ROUND(J2521+D2521-E2521,2)&gt;0,ROUND(J2521+D2521-E2521,2)&lt;'Opening Balance'!$B$14),ROUND(J2521+D2521-E2521,2),0)))</f>
        <v/>
      </c>
      <c r="L2521" s="6">
        <f>IF(C2521="","",ROUND(J2521+D2521-E2521-K2521,2))</f>
        <v/>
      </c>
      <c r="M2521" s="6">
        <f>IF(C2521="","",0)</f>
        <v/>
      </c>
    </row>
    <row r="2522">
      <c r="A2522" t="inlineStr">
        <is>
          <t>Bank 银行</t>
        </is>
      </c>
      <c r="B2522" s="5">
        <f>IF(AND('Daily Sale entry '!Z1022="Online collection 网上收款",'Daily Sale entry '!AA1022&lt;&gt;""),'Daily Sale entry '!X1022,"")</f>
        <v/>
      </c>
      <c r="C2522">
        <f>IF(B2522="","",'Daily Sale entry '!AA1022)</f>
        <v/>
      </c>
      <c r="D2522">
        <f>IF(C2522="","",0)</f>
        <v/>
      </c>
      <c r="E2522">
        <f>IF(C2522="","",'Daily Sale entry '!AC1022)</f>
        <v/>
      </c>
      <c r="F2522" s="37">
        <f>IF(C2522="","",B2522+IF(E2522&gt;0,0,0.5)+ROW()/10000000)</f>
        <v/>
      </c>
      <c r="G2522">
        <f>IF(C2522="","","Collection 收款 (Online 网上)"&amp;IF('Daily Sale entry '!Y1022="",""," - "&amp;'Daily Sale entry '!Y1022))</f>
        <v/>
      </c>
      <c r="H2522">
        <f>IF(C2522="","",COUNTIFS($C$2:$C$3001,C2522,$F$2:$F$3001,"&lt;"&amp;F2522)+1)</f>
        <v/>
      </c>
      <c r="I2522">
        <f>IF(C2522="","",C2522&amp;"|"&amp;H2522)</f>
        <v/>
      </c>
      <c r="J2522" s="6">
        <f>IF(C2522="","",IF(H2522=1,SUMIFS('Opening Balance'!$F$4:$F$303,'Opening Balance'!$G$4:$G$303,C2522),INDEX($L$2:$L$3001,MATCH(C2522&amp;"|"&amp;(H2522-1),$I$2:$I$3001,0))))</f>
        <v/>
      </c>
      <c r="K2522" s="6">
        <f>IF(C2522="","",IF(M2522&gt;0,M2522,IF(AND(E2522&gt;0,ROUND(J2522+D2522-E2522,2)&gt;0,ROUND(J2522+D2522-E2522,2)&lt;'Opening Balance'!$B$14),ROUND(J2522+D2522-E2522,2),0)))</f>
        <v/>
      </c>
      <c r="L2522" s="6">
        <f>IF(C2522="","",ROUND(J2522+D2522-E2522-K2522,2))</f>
        <v/>
      </c>
      <c r="M2522" s="6">
        <f>IF(C2522="","",0)</f>
        <v/>
      </c>
    </row>
    <row r="2523">
      <c r="A2523" t="inlineStr">
        <is>
          <t>Bank 银行</t>
        </is>
      </c>
      <c r="B2523" s="5">
        <f>IF(AND('Daily Sale entry '!Z1023="Online collection 网上收款",'Daily Sale entry '!AA1023&lt;&gt;""),'Daily Sale entry '!X1023,"")</f>
        <v/>
      </c>
      <c r="C2523">
        <f>IF(B2523="","",'Daily Sale entry '!AA1023)</f>
        <v/>
      </c>
      <c r="D2523">
        <f>IF(C2523="","",0)</f>
        <v/>
      </c>
      <c r="E2523">
        <f>IF(C2523="","",'Daily Sale entry '!AC1023)</f>
        <v/>
      </c>
      <c r="F2523" s="37">
        <f>IF(C2523="","",B2523+IF(E2523&gt;0,0,0.5)+ROW()/10000000)</f>
        <v/>
      </c>
      <c r="G2523">
        <f>IF(C2523="","","Collection 收款 (Online 网上)"&amp;IF('Daily Sale entry '!Y1023="",""," - "&amp;'Daily Sale entry '!Y1023))</f>
        <v/>
      </c>
      <c r="H2523">
        <f>IF(C2523="","",COUNTIFS($C$2:$C$3001,C2523,$F$2:$F$3001,"&lt;"&amp;F2523)+1)</f>
        <v/>
      </c>
      <c r="I2523">
        <f>IF(C2523="","",C2523&amp;"|"&amp;H2523)</f>
        <v/>
      </c>
      <c r="J2523" s="6">
        <f>IF(C2523="","",IF(H2523=1,SUMIFS('Opening Balance'!$F$4:$F$303,'Opening Balance'!$G$4:$G$303,C2523),INDEX($L$2:$L$3001,MATCH(C2523&amp;"|"&amp;(H2523-1),$I$2:$I$3001,0))))</f>
        <v/>
      </c>
      <c r="K2523" s="6">
        <f>IF(C2523="","",IF(M2523&gt;0,M2523,IF(AND(E2523&gt;0,ROUND(J2523+D2523-E2523,2)&gt;0,ROUND(J2523+D2523-E2523,2)&lt;'Opening Balance'!$B$14),ROUND(J2523+D2523-E2523,2),0)))</f>
        <v/>
      </c>
      <c r="L2523" s="6">
        <f>IF(C2523="","",ROUND(J2523+D2523-E2523-K2523,2))</f>
        <v/>
      </c>
      <c r="M2523" s="6">
        <f>IF(C2523="","",0)</f>
        <v/>
      </c>
    </row>
    <row r="2524">
      <c r="A2524" t="inlineStr">
        <is>
          <t>Bank 银行</t>
        </is>
      </c>
      <c r="B2524" s="5">
        <f>IF(AND('Daily Sale entry '!Z1024="Online collection 网上收款",'Daily Sale entry '!AA1024&lt;&gt;""),'Daily Sale entry '!X1024,"")</f>
        <v/>
      </c>
      <c r="C2524">
        <f>IF(B2524="","",'Daily Sale entry '!AA1024)</f>
        <v/>
      </c>
      <c r="D2524">
        <f>IF(C2524="","",0)</f>
        <v/>
      </c>
      <c r="E2524">
        <f>IF(C2524="","",'Daily Sale entry '!AC1024)</f>
        <v/>
      </c>
      <c r="F2524" s="37">
        <f>IF(C2524="","",B2524+IF(E2524&gt;0,0,0.5)+ROW()/10000000)</f>
        <v/>
      </c>
      <c r="G2524">
        <f>IF(C2524="","","Collection 收款 (Online 网上)"&amp;IF('Daily Sale entry '!Y1024="",""," - "&amp;'Daily Sale entry '!Y1024))</f>
        <v/>
      </c>
      <c r="H2524">
        <f>IF(C2524="","",COUNTIFS($C$2:$C$3001,C2524,$F$2:$F$3001,"&lt;"&amp;F2524)+1)</f>
        <v/>
      </c>
      <c r="I2524">
        <f>IF(C2524="","",C2524&amp;"|"&amp;H2524)</f>
        <v/>
      </c>
      <c r="J2524" s="6">
        <f>IF(C2524="","",IF(H2524=1,SUMIFS('Opening Balance'!$F$4:$F$303,'Opening Balance'!$G$4:$G$303,C2524),INDEX($L$2:$L$3001,MATCH(C2524&amp;"|"&amp;(H2524-1),$I$2:$I$3001,0))))</f>
        <v/>
      </c>
      <c r="K2524" s="6">
        <f>IF(C2524="","",IF(M2524&gt;0,M2524,IF(AND(E2524&gt;0,ROUND(J2524+D2524-E2524,2)&gt;0,ROUND(J2524+D2524-E2524,2)&lt;'Opening Balance'!$B$14),ROUND(J2524+D2524-E2524,2),0)))</f>
        <v/>
      </c>
      <c r="L2524" s="6">
        <f>IF(C2524="","",ROUND(J2524+D2524-E2524-K2524,2))</f>
        <v/>
      </c>
      <c r="M2524" s="6">
        <f>IF(C2524="","",0)</f>
        <v/>
      </c>
    </row>
    <row r="2525">
      <c r="A2525" t="inlineStr">
        <is>
          <t>Bank 银行</t>
        </is>
      </c>
      <c r="B2525" s="5">
        <f>IF(AND('Daily Sale entry '!Z1025="Online collection 网上收款",'Daily Sale entry '!AA1025&lt;&gt;""),'Daily Sale entry '!X1025,"")</f>
        <v/>
      </c>
      <c r="C2525">
        <f>IF(B2525="","",'Daily Sale entry '!AA1025)</f>
        <v/>
      </c>
      <c r="D2525">
        <f>IF(C2525="","",0)</f>
        <v/>
      </c>
      <c r="E2525">
        <f>IF(C2525="","",'Daily Sale entry '!AC1025)</f>
        <v/>
      </c>
      <c r="F2525" s="37">
        <f>IF(C2525="","",B2525+IF(E2525&gt;0,0,0.5)+ROW()/10000000)</f>
        <v/>
      </c>
      <c r="G2525">
        <f>IF(C2525="","","Collection 收款 (Online 网上)"&amp;IF('Daily Sale entry '!Y1025="",""," - "&amp;'Daily Sale entry '!Y1025))</f>
        <v/>
      </c>
      <c r="H2525">
        <f>IF(C2525="","",COUNTIFS($C$2:$C$3001,C2525,$F$2:$F$3001,"&lt;"&amp;F2525)+1)</f>
        <v/>
      </c>
      <c r="I2525">
        <f>IF(C2525="","",C2525&amp;"|"&amp;H2525)</f>
        <v/>
      </c>
      <c r="J2525" s="6">
        <f>IF(C2525="","",IF(H2525=1,SUMIFS('Opening Balance'!$F$4:$F$303,'Opening Balance'!$G$4:$G$303,C2525),INDEX($L$2:$L$3001,MATCH(C2525&amp;"|"&amp;(H2525-1),$I$2:$I$3001,0))))</f>
        <v/>
      </c>
      <c r="K2525" s="6">
        <f>IF(C2525="","",IF(M2525&gt;0,M2525,IF(AND(E2525&gt;0,ROUND(J2525+D2525-E2525,2)&gt;0,ROUND(J2525+D2525-E2525,2)&lt;'Opening Balance'!$B$14),ROUND(J2525+D2525-E2525,2),0)))</f>
        <v/>
      </c>
      <c r="L2525" s="6">
        <f>IF(C2525="","",ROUND(J2525+D2525-E2525-K2525,2))</f>
        <v/>
      </c>
      <c r="M2525" s="6">
        <f>IF(C2525="","",0)</f>
        <v/>
      </c>
    </row>
    <row r="2526">
      <c r="A2526" t="inlineStr">
        <is>
          <t>Bank 银行</t>
        </is>
      </c>
      <c r="B2526" s="5">
        <f>IF(AND('Daily Sale entry '!Z1026="Online collection 网上收款",'Daily Sale entry '!AA1026&lt;&gt;""),'Daily Sale entry '!X1026,"")</f>
        <v/>
      </c>
      <c r="C2526">
        <f>IF(B2526="","",'Daily Sale entry '!AA1026)</f>
        <v/>
      </c>
      <c r="D2526">
        <f>IF(C2526="","",0)</f>
        <v/>
      </c>
      <c r="E2526">
        <f>IF(C2526="","",'Daily Sale entry '!AC1026)</f>
        <v/>
      </c>
      <c r="F2526" s="37">
        <f>IF(C2526="","",B2526+IF(E2526&gt;0,0,0.5)+ROW()/10000000)</f>
        <v/>
      </c>
      <c r="G2526">
        <f>IF(C2526="","","Collection 收款 (Online 网上)"&amp;IF('Daily Sale entry '!Y1026="",""," - "&amp;'Daily Sale entry '!Y1026))</f>
        <v/>
      </c>
      <c r="H2526">
        <f>IF(C2526="","",COUNTIFS($C$2:$C$3001,C2526,$F$2:$F$3001,"&lt;"&amp;F2526)+1)</f>
        <v/>
      </c>
      <c r="I2526">
        <f>IF(C2526="","",C2526&amp;"|"&amp;H2526)</f>
        <v/>
      </c>
      <c r="J2526" s="6">
        <f>IF(C2526="","",IF(H2526=1,SUMIFS('Opening Balance'!$F$4:$F$303,'Opening Balance'!$G$4:$G$303,C2526),INDEX($L$2:$L$3001,MATCH(C2526&amp;"|"&amp;(H2526-1),$I$2:$I$3001,0))))</f>
        <v/>
      </c>
      <c r="K2526" s="6">
        <f>IF(C2526="","",IF(M2526&gt;0,M2526,IF(AND(E2526&gt;0,ROUND(J2526+D2526-E2526,2)&gt;0,ROUND(J2526+D2526-E2526,2)&lt;'Opening Balance'!$B$14),ROUND(J2526+D2526-E2526,2),0)))</f>
        <v/>
      </c>
      <c r="L2526" s="6">
        <f>IF(C2526="","",ROUND(J2526+D2526-E2526-K2526,2))</f>
        <v/>
      </c>
      <c r="M2526" s="6">
        <f>IF(C2526="","",0)</f>
        <v/>
      </c>
    </row>
    <row r="2527">
      <c r="A2527" t="inlineStr">
        <is>
          <t>Bank 银行</t>
        </is>
      </c>
      <c r="B2527" s="5">
        <f>IF(AND('Daily Sale entry '!Z1027="Online collection 网上收款",'Daily Sale entry '!AA1027&lt;&gt;""),'Daily Sale entry '!X1027,"")</f>
        <v/>
      </c>
      <c r="C2527">
        <f>IF(B2527="","",'Daily Sale entry '!AA1027)</f>
        <v/>
      </c>
      <c r="D2527">
        <f>IF(C2527="","",0)</f>
        <v/>
      </c>
      <c r="E2527">
        <f>IF(C2527="","",'Daily Sale entry '!AC1027)</f>
        <v/>
      </c>
      <c r="F2527" s="37">
        <f>IF(C2527="","",B2527+IF(E2527&gt;0,0,0.5)+ROW()/10000000)</f>
        <v/>
      </c>
      <c r="G2527">
        <f>IF(C2527="","","Collection 收款 (Online 网上)"&amp;IF('Daily Sale entry '!Y1027="",""," - "&amp;'Daily Sale entry '!Y1027))</f>
        <v/>
      </c>
      <c r="H2527">
        <f>IF(C2527="","",COUNTIFS($C$2:$C$3001,C2527,$F$2:$F$3001,"&lt;"&amp;F2527)+1)</f>
        <v/>
      </c>
      <c r="I2527">
        <f>IF(C2527="","",C2527&amp;"|"&amp;H2527)</f>
        <v/>
      </c>
      <c r="J2527" s="6">
        <f>IF(C2527="","",IF(H2527=1,SUMIFS('Opening Balance'!$F$4:$F$303,'Opening Balance'!$G$4:$G$303,C2527),INDEX($L$2:$L$3001,MATCH(C2527&amp;"|"&amp;(H2527-1),$I$2:$I$3001,0))))</f>
        <v/>
      </c>
      <c r="K2527" s="6">
        <f>IF(C2527="","",IF(M2527&gt;0,M2527,IF(AND(E2527&gt;0,ROUND(J2527+D2527-E2527,2)&gt;0,ROUND(J2527+D2527-E2527,2)&lt;'Opening Balance'!$B$14),ROUND(J2527+D2527-E2527,2),0)))</f>
        <v/>
      </c>
      <c r="L2527" s="6">
        <f>IF(C2527="","",ROUND(J2527+D2527-E2527-K2527,2))</f>
        <v/>
      </c>
      <c r="M2527" s="6">
        <f>IF(C2527="","",0)</f>
        <v/>
      </c>
    </row>
    <row r="2528">
      <c r="A2528" t="inlineStr">
        <is>
          <t>Bank 银行</t>
        </is>
      </c>
      <c r="B2528" s="5">
        <f>IF(AND('Daily Sale entry '!Z1028="Online collection 网上收款",'Daily Sale entry '!AA1028&lt;&gt;""),'Daily Sale entry '!X1028,"")</f>
        <v/>
      </c>
      <c r="C2528">
        <f>IF(B2528="","",'Daily Sale entry '!AA1028)</f>
        <v/>
      </c>
      <c r="D2528">
        <f>IF(C2528="","",0)</f>
        <v/>
      </c>
      <c r="E2528">
        <f>IF(C2528="","",'Daily Sale entry '!AC1028)</f>
        <v/>
      </c>
      <c r="F2528" s="37">
        <f>IF(C2528="","",B2528+IF(E2528&gt;0,0,0.5)+ROW()/10000000)</f>
        <v/>
      </c>
      <c r="G2528">
        <f>IF(C2528="","","Collection 收款 (Online 网上)"&amp;IF('Daily Sale entry '!Y1028="",""," - "&amp;'Daily Sale entry '!Y1028))</f>
        <v/>
      </c>
      <c r="H2528">
        <f>IF(C2528="","",COUNTIFS($C$2:$C$3001,C2528,$F$2:$F$3001,"&lt;"&amp;F2528)+1)</f>
        <v/>
      </c>
      <c r="I2528">
        <f>IF(C2528="","",C2528&amp;"|"&amp;H2528)</f>
        <v/>
      </c>
      <c r="J2528" s="6">
        <f>IF(C2528="","",IF(H2528=1,SUMIFS('Opening Balance'!$F$4:$F$303,'Opening Balance'!$G$4:$G$303,C2528),INDEX($L$2:$L$3001,MATCH(C2528&amp;"|"&amp;(H2528-1),$I$2:$I$3001,0))))</f>
        <v/>
      </c>
      <c r="K2528" s="6">
        <f>IF(C2528="","",IF(M2528&gt;0,M2528,IF(AND(E2528&gt;0,ROUND(J2528+D2528-E2528,2)&gt;0,ROUND(J2528+D2528-E2528,2)&lt;'Opening Balance'!$B$14),ROUND(J2528+D2528-E2528,2),0)))</f>
        <v/>
      </c>
      <c r="L2528" s="6">
        <f>IF(C2528="","",ROUND(J2528+D2528-E2528-K2528,2))</f>
        <v/>
      </c>
      <c r="M2528" s="6">
        <f>IF(C2528="","",0)</f>
        <v/>
      </c>
    </row>
    <row r="2529">
      <c r="A2529" t="inlineStr">
        <is>
          <t>Bank 银行</t>
        </is>
      </c>
      <c r="B2529" s="5">
        <f>IF(AND('Daily Sale entry '!Z1029="Online collection 网上收款",'Daily Sale entry '!AA1029&lt;&gt;""),'Daily Sale entry '!X1029,"")</f>
        <v/>
      </c>
      <c r="C2529">
        <f>IF(B2529="","",'Daily Sale entry '!AA1029)</f>
        <v/>
      </c>
      <c r="D2529">
        <f>IF(C2529="","",0)</f>
        <v/>
      </c>
      <c r="E2529">
        <f>IF(C2529="","",'Daily Sale entry '!AC1029)</f>
        <v/>
      </c>
      <c r="F2529" s="37">
        <f>IF(C2529="","",B2529+IF(E2529&gt;0,0,0.5)+ROW()/10000000)</f>
        <v/>
      </c>
      <c r="G2529">
        <f>IF(C2529="","","Collection 收款 (Online 网上)"&amp;IF('Daily Sale entry '!Y1029="",""," - "&amp;'Daily Sale entry '!Y1029))</f>
        <v/>
      </c>
      <c r="H2529">
        <f>IF(C2529="","",COUNTIFS($C$2:$C$3001,C2529,$F$2:$F$3001,"&lt;"&amp;F2529)+1)</f>
        <v/>
      </c>
      <c r="I2529">
        <f>IF(C2529="","",C2529&amp;"|"&amp;H2529)</f>
        <v/>
      </c>
      <c r="J2529" s="6">
        <f>IF(C2529="","",IF(H2529=1,SUMIFS('Opening Balance'!$F$4:$F$303,'Opening Balance'!$G$4:$G$303,C2529),INDEX($L$2:$L$3001,MATCH(C2529&amp;"|"&amp;(H2529-1),$I$2:$I$3001,0))))</f>
        <v/>
      </c>
      <c r="K2529" s="6">
        <f>IF(C2529="","",IF(M2529&gt;0,M2529,IF(AND(E2529&gt;0,ROUND(J2529+D2529-E2529,2)&gt;0,ROUND(J2529+D2529-E2529,2)&lt;'Opening Balance'!$B$14),ROUND(J2529+D2529-E2529,2),0)))</f>
        <v/>
      </c>
      <c r="L2529" s="6">
        <f>IF(C2529="","",ROUND(J2529+D2529-E2529-K2529,2))</f>
        <v/>
      </c>
      <c r="M2529" s="6">
        <f>IF(C2529="","",0)</f>
        <v/>
      </c>
    </row>
    <row r="2530">
      <c r="A2530" t="inlineStr">
        <is>
          <t>Bank 银行</t>
        </is>
      </c>
      <c r="B2530" s="5">
        <f>IF(AND('Daily Sale entry '!Z1030="Online collection 网上收款",'Daily Sale entry '!AA1030&lt;&gt;""),'Daily Sale entry '!X1030,"")</f>
        <v/>
      </c>
      <c r="C2530">
        <f>IF(B2530="","",'Daily Sale entry '!AA1030)</f>
        <v/>
      </c>
      <c r="D2530">
        <f>IF(C2530="","",0)</f>
        <v/>
      </c>
      <c r="E2530">
        <f>IF(C2530="","",'Daily Sale entry '!AC1030)</f>
        <v/>
      </c>
      <c r="F2530" s="37">
        <f>IF(C2530="","",B2530+IF(E2530&gt;0,0,0.5)+ROW()/10000000)</f>
        <v/>
      </c>
      <c r="G2530">
        <f>IF(C2530="","","Collection 收款 (Online 网上)"&amp;IF('Daily Sale entry '!Y1030="",""," - "&amp;'Daily Sale entry '!Y1030))</f>
        <v/>
      </c>
      <c r="H2530">
        <f>IF(C2530="","",COUNTIFS($C$2:$C$3001,C2530,$F$2:$F$3001,"&lt;"&amp;F2530)+1)</f>
        <v/>
      </c>
      <c r="I2530">
        <f>IF(C2530="","",C2530&amp;"|"&amp;H2530)</f>
        <v/>
      </c>
      <c r="J2530" s="6">
        <f>IF(C2530="","",IF(H2530=1,SUMIFS('Opening Balance'!$F$4:$F$303,'Opening Balance'!$G$4:$G$303,C2530),INDEX($L$2:$L$3001,MATCH(C2530&amp;"|"&amp;(H2530-1),$I$2:$I$3001,0))))</f>
        <v/>
      </c>
      <c r="K2530" s="6">
        <f>IF(C2530="","",IF(M2530&gt;0,M2530,IF(AND(E2530&gt;0,ROUND(J2530+D2530-E2530,2)&gt;0,ROUND(J2530+D2530-E2530,2)&lt;'Opening Balance'!$B$14),ROUND(J2530+D2530-E2530,2),0)))</f>
        <v/>
      </c>
      <c r="L2530" s="6">
        <f>IF(C2530="","",ROUND(J2530+D2530-E2530-K2530,2))</f>
        <v/>
      </c>
      <c r="M2530" s="6">
        <f>IF(C2530="","",0)</f>
        <v/>
      </c>
    </row>
    <row r="2531">
      <c r="A2531" t="inlineStr">
        <is>
          <t>Bank 银行</t>
        </is>
      </c>
      <c r="B2531" s="5">
        <f>IF(AND('Daily Sale entry '!Z1031="Online collection 网上收款",'Daily Sale entry '!AA1031&lt;&gt;""),'Daily Sale entry '!X1031,"")</f>
        <v/>
      </c>
      <c r="C2531">
        <f>IF(B2531="","",'Daily Sale entry '!AA1031)</f>
        <v/>
      </c>
      <c r="D2531">
        <f>IF(C2531="","",0)</f>
        <v/>
      </c>
      <c r="E2531">
        <f>IF(C2531="","",'Daily Sale entry '!AC1031)</f>
        <v/>
      </c>
      <c r="F2531" s="37">
        <f>IF(C2531="","",B2531+IF(E2531&gt;0,0,0.5)+ROW()/10000000)</f>
        <v/>
      </c>
      <c r="G2531">
        <f>IF(C2531="","","Collection 收款 (Online 网上)"&amp;IF('Daily Sale entry '!Y1031="",""," - "&amp;'Daily Sale entry '!Y1031))</f>
        <v/>
      </c>
      <c r="H2531">
        <f>IF(C2531="","",COUNTIFS($C$2:$C$3001,C2531,$F$2:$F$3001,"&lt;"&amp;F2531)+1)</f>
        <v/>
      </c>
      <c r="I2531">
        <f>IF(C2531="","",C2531&amp;"|"&amp;H2531)</f>
        <v/>
      </c>
      <c r="J2531" s="6">
        <f>IF(C2531="","",IF(H2531=1,SUMIFS('Opening Balance'!$F$4:$F$303,'Opening Balance'!$G$4:$G$303,C2531),INDEX($L$2:$L$3001,MATCH(C2531&amp;"|"&amp;(H2531-1),$I$2:$I$3001,0))))</f>
        <v/>
      </c>
      <c r="K2531" s="6">
        <f>IF(C2531="","",IF(M2531&gt;0,M2531,IF(AND(E2531&gt;0,ROUND(J2531+D2531-E2531,2)&gt;0,ROUND(J2531+D2531-E2531,2)&lt;'Opening Balance'!$B$14),ROUND(J2531+D2531-E2531,2),0)))</f>
        <v/>
      </c>
      <c r="L2531" s="6">
        <f>IF(C2531="","",ROUND(J2531+D2531-E2531-K2531,2))</f>
        <v/>
      </c>
      <c r="M2531" s="6">
        <f>IF(C2531="","",0)</f>
        <v/>
      </c>
    </row>
    <row r="2532">
      <c r="A2532" t="inlineStr">
        <is>
          <t>Bank 银行</t>
        </is>
      </c>
      <c r="B2532" s="5">
        <f>IF(AND('Daily Sale entry '!Z1032="Online collection 网上收款",'Daily Sale entry '!AA1032&lt;&gt;""),'Daily Sale entry '!X1032,"")</f>
        <v/>
      </c>
      <c r="C2532">
        <f>IF(B2532="","",'Daily Sale entry '!AA1032)</f>
        <v/>
      </c>
      <c r="D2532">
        <f>IF(C2532="","",0)</f>
        <v/>
      </c>
      <c r="E2532">
        <f>IF(C2532="","",'Daily Sale entry '!AC1032)</f>
        <v/>
      </c>
      <c r="F2532" s="37">
        <f>IF(C2532="","",B2532+IF(E2532&gt;0,0,0.5)+ROW()/10000000)</f>
        <v/>
      </c>
      <c r="G2532">
        <f>IF(C2532="","","Collection 收款 (Online 网上)"&amp;IF('Daily Sale entry '!Y1032="",""," - "&amp;'Daily Sale entry '!Y1032))</f>
        <v/>
      </c>
      <c r="H2532">
        <f>IF(C2532="","",COUNTIFS($C$2:$C$3001,C2532,$F$2:$F$3001,"&lt;"&amp;F2532)+1)</f>
        <v/>
      </c>
      <c r="I2532">
        <f>IF(C2532="","",C2532&amp;"|"&amp;H2532)</f>
        <v/>
      </c>
      <c r="J2532" s="6">
        <f>IF(C2532="","",IF(H2532=1,SUMIFS('Opening Balance'!$F$4:$F$303,'Opening Balance'!$G$4:$G$303,C2532),INDEX($L$2:$L$3001,MATCH(C2532&amp;"|"&amp;(H2532-1),$I$2:$I$3001,0))))</f>
        <v/>
      </c>
      <c r="K2532" s="6">
        <f>IF(C2532="","",IF(M2532&gt;0,M2532,IF(AND(E2532&gt;0,ROUND(J2532+D2532-E2532,2)&gt;0,ROUND(J2532+D2532-E2532,2)&lt;'Opening Balance'!$B$14),ROUND(J2532+D2532-E2532,2),0)))</f>
        <v/>
      </c>
      <c r="L2532" s="6">
        <f>IF(C2532="","",ROUND(J2532+D2532-E2532-K2532,2))</f>
        <v/>
      </c>
      <c r="M2532" s="6">
        <f>IF(C2532="","",0)</f>
        <v/>
      </c>
    </row>
    <row r="2533">
      <c r="A2533" t="inlineStr">
        <is>
          <t>Bank 银行</t>
        </is>
      </c>
      <c r="B2533" s="5">
        <f>IF(AND('Daily Sale entry '!Z1033="Online collection 网上收款",'Daily Sale entry '!AA1033&lt;&gt;""),'Daily Sale entry '!X1033,"")</f>
        <v/>
      </c>
      <c r="C2533">
        <f>IF(B2533="","",'Daily Sale entry '!AA1033)</f>
        <v/>
      </c>
      <c r="D2533">
        <f>IF(C2533="","",0)</f>
        <v/>
      </c>
      <c r="E2533">
        <f>IF(C2533="","",'Daily Sale entry '!AC1033)</f>
        <v/>
      </c>
      <c r="F2533" s="37">
        <f>IF(C2533="","",B2533+IF(E2533&gt;0,0,0.5)+ROW()/10000000)</f>
        <v/>
      </c>
      <c r="G2533">
        <f>IF(C2533="","","Collection 收款 (Online 网上)"&amp;IF('Daily Sale entry '!Y1033="",""," - "&amp;'Daily Sale entry '!Y1033))</f>
        <v/>
      </c>
      <c r="H2533">
        <f>IF(C2533="","",COUNTIFS($C$2:$C$3001,C2533,$F$2:$F$3001,"&lt;"&amp;F2533)+1)</f>
        <v/>
      </c>
      <c r="I2533">
        <f>IF(C2533="","",C2533&amp;"|"&amp;H2533)</f>
        <v/>
      </c>
      <c r="J2533" s="6">
        <f>IF(C2533="","",IF(H2533=1,SUMIFS('Opening Balance'!$F$4:$F$303,'Opening Balance'!$G$4:$G$303,C2533),INDEX($L$2:$L$3001,MATCH(C2533&amp;"|"&amp;(H2533-1),$I$2:$I$3001,0))))</f>
        <v/>
      </c>
      <c r="K2533" s="6">
        <f>IF(C2533="","",IF(M2533&gt;0,M2533,IF(AND(E2533&gt;0,ROUND(J2533+D2533-E2533,2)&gt;0,ROUND(J2533+D2533-E2533,2)&lt;'Opening Balance'!$B$14),ROUND(J2533+D2533-E2533,2),0)))</f>
        <v/>
      </c>
      <c r="L2533" s="6">
        <f>IF(C2533="","",ROUND(J2533+D2533-E2533-K2533,2))</f>
        <v/>
      </c>
      <c r="M2533" s="6">
        <f>IF(C2533="","",0)</f>
        <v/>
      </c>
    </row>
    <row r="2534">
      <c r="A2534" t="inlineStr">
        <is>
          <t>Bank 银行</t>
        </is>
      </c>
      <c r="B2534" s="5">
        <f>IF(AND('Daily Sale entry '!Z1034="Online collection 网上收款",'Daily Sale entry '!AA1034&lt;&gt;""),'Daily Sale entry '!X1034,"")</f>
        <v/>
      </c>
      <c r="C2534">
        <f>IF(B2534="","",'Daily Sale entry '!AA1034)</f>
        <v/>
      </c>
      <c r="D2534">
        <f>IF(C2534="","",0)</f>
        <v/>
      </c>
      <c r="E2534">
        <f>IF(C2534="","",'Daily Sale entry '!AC1034)</f>
        <v/>
      </c>
      <c r="F2534" s="37">
        <f>IF(C2534="","",B2534+IF(E2534&gt;0,0,0.5)+ROW()/10000000)</f>
        <v/>
      </c>
      <c r="G2534">
        <f>IF(C2534="","","Collection 收款 (Online 网上)"&amp;IF('Daily Sale entry '!Y1034="",""," - "&amp;'Daily Sale entry '!Y1034))</f>
        <v/>
      </c>
      <c r="H2534">
        <f>IF(C2534="","",COUNTIFS($C$2:$C$3001,C2534,$F$2:$F$3001,"&lt;"&amp;F2534)+1)</f>
        <v/>
      </c>
      <c r="I2534">
        <f>IF(C2534="","",C2534&amp;"|"&amp;H2534)</f>
        <v/>
      </c>
      <c r="J2534" s="6">
        <f>IF(C2534="","",IF(H2534=1,SUMIFS('Opening Balance'!$F$4:$F$303,'Opening Balance'!$G$4:$G$303,C2534),INDEX($L$2:$L$3001,MATCH(C2534&amp;"|"&amp;(H2534-1),$I$2:$I$3001,0))))</f>
        <v/>
      </c>
      <c r="K2534" s="6">
        <f>IF(C2534="","",IF(M2534&gt;0,M2534,IF(AND(E2534&gt;0,ROUND(J2534+D2534-E2534,2)&gt;0,ROUND(J2534+D2534-E2534,2)&lt;'Opening Balance'!$B$14),ROUND(J2534+D2534-E2534,2),0)))</f>
        <v/>
      </c>
      <c r="L2534" s="6">
        <f>IF(C2534="","",ROUND(J2534+D2534-E2534-K2534,2))</f>
        <v/>
      </c>
      <c r="M2534" s="6">
        <f>IF(C2534="","",0)</f>
        <v/>
      </c>
    </row>
    <row r="2535">
      <c r="A2535" t="inlineStr">
        <is>
          <t>Bank 银行</t>
        </is>
      </c>
      <c r="B2535" s="5">
        <f>IF(AND('Daily Sale entry '!Z1035="Online collection 网上收款",'Daily Sale entry '!AA1035&lt;&gt;""),'Daily Sale entry '!X1035,"")</f>
        <v/>
      </c>
      <c r="C2535">
        <f>IF(B2535="","",'Daily Sale entry '!AA1035)</f>
        <v/>
      </c>
      <c r="D2535">
        <f>IF(C2535="","",0)</f>
        <v/>
      </c>
      <c r="E2535">
        <f>IF(C2535="","",'Daily Sale entry '!AC1035)</f>
        <v/>
      </c>
      <c r="F2535" s="37">
        <f>IF(C2535="","",B2535+IF(E2535&gt;0,0,0.5)+ROW()/10000000)</f>
        <v/>
      </c>
      <c r="G2535">
        <f>IF(C2535="","","Collection 收款 (Online 网上)"&amp;IF('Daily Sale entry '!Y1035="",""," - "&amp;'Daily Sale entry '!Y1035))</f>
        <v/>
      </c>
      <c r="H2535">
        <f>IF(C2535="","",COUNTIFS($C$2:$C$3001,C2535,$F$2:$F$3001,"&lt;"&amp;F2535)+1)</f>
        <v/>
      </c>
      <c r="I2535">
        <f>IF(C2535="","",C2535&amp;"|"&amp;H2535)</f>
        <v/>
      </c>
      <c r="J2535" s="6">
        <f>IF(C2535="","",IF(H2535=1,SUMIFS('Opening Balance'!$F$4:$F$303,'Opening Balance'!$G$4:$G$303,C2535),INDEX($L$2:$L$3001,MATCH(C2535&amp;"|"&amp;(H2535-1),$I$2:$I$3001,0))))</f>
        <v/>
      </c>
      <c r="K2535" s="6">
        <f>IF(C2535="","",IF(M2535&gt;0,M2535,IF(AND(E2535&gt;0,ROUND(J2535+D2535-E2535,2)&gt;0,ROUND(J2535+D2535-E2535,2)&lt;'Opening Balance'!$B$14),ROUND(J2535+D2535-E2535,2),0)))</f>
        <v/>
      </c>
      <c r="L2535" s="6">
        <f>IF(C2535="","",ROUND(J2535+D2535-E2535-K2535,2))</f>
        <v/>
      </c>
      <c r="M2535" s="6">
        <f>IF(C2535="","",0)</f>
        <v/>
      </c>
    </row>
    <row r="2536">
      <c r="A2536" t="inlineStr">
        <is>
          <t>Bank 银行</t>
        </is>
      </c>
      <c r="B2536" s="5">
        <f>IF(AND('Daily Sale entry '!Z1036="Online collection 网上收款",'Daily Sale entry '!AA1036&lt;&gt;""),'Daily Sale entry '!X1036,"")</f>
        <v/>
      </c>
      <c r="C2536">
        <f>IF(B2536="","",'Daily Sale entry '!AA1036)</f>
        <v/>
      </c>
      <c r="D2536">
        <f>IF(C2536="","",0)</f>
        <v/>
      </c>
      <c r="E2536">
        <f>IF(C2536="","",'Daily Sale entry '!AC1036)</f>
        <v/>
      </c>
      <c r="F2536" s="37">
        <f>IF(C2536="","",B2536+IF(E2536&gt;0,0,0.5)+ROW()/10000000)</f>
        <v/>
      </c>
      <c r="G2536">
        <f>IF(C2536="","","Collection 收款 (Online 网上)"&amp;IF('Daily Sale entry '!Y1036="",""," - "&amp;'Daily Sale entry '!Y1036))</f>
        <v/>
      </c>
      <c r="H2536">
        <f>IF(C2536="","",COUNTIFS($C$2:$C$3001,C2536,$F$2:$F$3001,"&lt;"&amp;F2536)+1)</f>
        <v/>
      </c>
      <c r="I2536">
        <f>IF(C2536="","",C2536&amp;"|"&amp;H2536)</f>
        <v/>
      </c>
      <c r="J2536" s="6">
        <f>IF(C2536="","",IF(H2536=1,SUMIFS('Opening Balance'!$F$4:$F$303,'Opening Balance'!$G$4:$G$303,C2536),INDEX($L$2:$L$3001,MATCH(C2536&amp;"|"&amp;(H2536-1),$I$2:$I$3001,0))))</f>
        <v/>
      </c>
      <c r="K2536" s="6">
        <f>IF(C2536="","",IF(M2536&gt;0,M2536,IF(AND(E2536&gt;0,ROUND(J2536+D2536-E2536,2)&gt;0,ROUND(J2536+D2536-E2536,2)&lt;'Opening Balance'!$B$14),ROUND(J2536+D2536-E2536,2),0)))</f>
        <v/>
      </c>
      <c r="L2536" s="6">
        <f>IF(C2536="","",ROUND(J2536+D2536-E2536-K2536,2))</f>
        <v/>
      </c>
      <c r="M2536" s="6">
        <f>IF(C2536="","",0)</f>
        <v/>
      </c>
    </row>
    <row r="2537">
      <c r="A2537" t="inlineStr">
        <is>
          <t>Bank 银行</t>
        </is>
      </c>
      <c r="B2537" s="5">
        <f>IF(AND('Daily Sale entry '!Z1037="Online collection 网上收款",'Daily Sale entry '!AA1037&lt;&gt;""),'Daily Sale entry '!X1037,"")</f>
        <v/>
      </c>
      <c r="C2537">
        <f>IF(B2537="","",'Daily Sale entry '!AA1037)</f>
        <v/>
      </c>
      <c r="D2537">
        <f>IF(C2537="","",0)</f>
        <v/>
      </c>
      <c r="E2537">
        <f>IF(C2537="","",'Daily Sale entry '!AC1037)</f>
        <v/>
      </c>
      <c r="F2537" s="37">
        <f>IF(C2537="","",B2537+IF(E2537&gt;0,0,0.5)+ROW()/10000000)</f>
        <v/>
      </c>
      <c r="G2537">
        <f>IF(C2537="","","Collection 收款 (Online 网上)"&amp;IF('Daily Sale entry '!Y1037="",""," - "&amp;'Daily Sale entry '!Y1037))</f>
        <v/>
      </c>
      <c r="H2537">
        <f>IF(C2537="","",COUNTIFS($C$2:$C$3001,C2537,$F$2:$F$3001,"&lt;"&amp;F2537)+1)</f>
        <v/>
      </c>
      <c r="I2537">
        <f>IF(C2537="","",C2537&amp;"|"&amp;H2537)</f>
        <v/>
      </c>
      <c r="J2537" s="6">
        <f>IF(C2537="","",IF(H2537=1,SUMIFS('Opening Balance'!$F$4:$F$303,'Opening Balance'!$G$4:$G$303,C2537),INDEX($L$2:$L$3001,MATCH(C2537&amp;"|"&amp;(H2537-1),$I$2:$I$3001,0))))</f>
        <v/>
      </c>
      <c r="K2537" s="6">
        <f>IF(C2537="","",IF(M2537&gt;0,M2537,IF(AND(E2537&gt;0,ROUND(J2537+D2537-E2537,2)&gt;0,ROUND(J2537+D2537-E2537,2)&lt;'Opening Balance'!$B$14),ROUND(J2537+D2537-E2537,2),0)))</f>
        <v/>
      </c>
      <c r="L2537" s="6">
        <f>IF(C2537="","",ROUND(J2537+D2537-E2537-K2537,2))</f>
        <v/>
      </c>
      <c r="M2537" s="6">
        <f>IF(C2537="","",0)</f>
        <v/>
      </c>
    </row>
    <row r="2538">
      <c r="A2538" t="inlineStr">
        <is>
          <t>Bank 银行</t>
        </is>
      </c>
      <c r="B2538" s="5">
        <f>IF(AND('Daily Sale entry '!Z1038="Online collection 网上收款",'Daily Sale entry '!AA1038&lt;&gt;""),'Daily Sale entry '!X1038,"")</f>
        <v/>
      </c>
      <c r="C2538">
        <f>IF(B2538="","",'Daily Sale entry '!AA1038)</f>
        <v/>
      </c>
      <c r="D2538">
        <f>IF(C2538="","",0)</f>
        <v/>
      </c>
      <c r="E2538">
        <f>IF(C2538="","",'Daily Sale entry '!AC1038)</f>
        <v/>
      </c>
      <c r="F2538" s="37">
        <f>IF(C2538="","",B2538+IF(E2538&gt;0,0,0.5)+ROW()/10000000)</f>
        <v/>
      </c>
      <c r="G2538">
        <f>IF(C2538="","","Collection 收款 (Online 网上)"&amp;IF('Daily Sale entry '!Y1038="",""," - "&amp;'Daily Sale entry '!Y1038))</f>
        <v/>
      </c>
      <c r="H2538">
        <f>IF(C2538="","",COUNTIFS($C$2:$C$3001,C2538,$F$2:$F$3001,"&lt;"&amp;F2538)+1)</f>
        <v/>
      </c>
      <c r="I2538">
        <f>IF(C2538="","",C2538&amp;"|"&amp;H2538)</f>
        <v/>
      </c>
      <c r="J2538" s="6">
        <f>IF(C2538="","",IF(H2538=1,SUMIFS('Opening Balance'!$F$4:$F$303,'Opening Balance'!$G$4:$G$303,C2538),INDEX($L$2:$L$3001,MATCH(C2538&amp;"|"&amp;(H2538-1),$I$2:$I$3001,0))))</f>
        <v/>
      </c>
      <c r="K2538" s="6">
        <f>IF(C2538="","",IF(M2538&gt;0,M2538,IF(AND(E2538&gt;0,ROUND(J2538+D2538-E2538,2)&gt;0,ROUND(J2538+D2538-E2538,2)&lt;'Opening Balance'!$B$14),ROUND(J2538+D2538-E2538,2),0)))</f>
        <v/>
      </c>
      <c r="L2538" s="6">
        <f>IF(C2538="","",ROUND(J2538+D2538-E2538-K2538,2))</f>
        <v/>
      </c>
      <c r="M2538" s="6">
        <f>IF(C2538="","",0)</f>
        <v/>
      </c>
    </row>
    <row r="2539">
      <c r="A2539" t="inlineStr">
        <is>
          <t>Bank 银行</t>
        </is>
      </c>
      <c r="B2539" s="5">
        <f>IF(AND('Daily Sale entry '!Z1039="Online collection 网上收款",'Daily Sale entry '!AA1039&lt;&gt;""),'Daily Sale entry '!X1039,"")</f>
        <v/>
      </c>
      <c r="C2539">
        <f>IF(B2539="","",'Daily Sale entry '!AA1039)</f>
        <v/>
      </c>
      <c r="D2539">
        <f>IF(C2539="","",0)</f>
        <v/>
      </c>
      <c r="E2539">
        <f>IF(C2539="","",'Daily Sale entry '!AC1039)</f>
        <v/>
      </c>
      <c r="F2539" s="37">
        <f>IF(C2539="","",B2539+IF(E2539&gt;0,0,0.5)+ROW()/10000000)</f>
        <v/>
      </c>
      <c r="G2539">
        <f>IF(C2539="","","Collection 收款 (Online 网上)"&amp;IF('Daily Sale entry '!Y1039="",""," - "&amp;'Daily Sale entry '!Y1039))</f>
        <v/>
      </c>
      <c r="H2539">
        <f>IF(C2539="","",COUNTIFS($C$2:$C$3001,C2539,$F$2:$F$3001,"&lt;"&amp;F2539)+1)</f>
        <v/>
      </c>
      <c r="I2539">
        <f>IF(C2539="","",C2539&amp;"|"&amp;H2539)</f>
        <v/>
      </c>
      <c r="J2539" s="6">
        <f>IF(C2539="","",IF(H2539=1,SUMIFS('Opening Balance'!$F$4:$F$303,'Opening Balance'!$G$4:$G$303,C2539),INDEX($L$2:$L$3001,MATCH(C2539&amp;"|"&amp;(H2539-1),$I$2:$I$3001,0))))</f>
        <v/>
      </c>
      <c r="K2539" s="6">
        <f>IF(C2539="","",IF(M2539&gt;0,M2539,IF(AND(E2539&gt;0,ROUND(J2539+D2539-E2539,2)&gt;0,ROUND(J2539+D2539-E2539,2)&lt;'Opening Balance'!$B$14),ROUND(J2539+D2539-E2539,2),0)))</f>
        <v/>
      </c>
      <c r="L2539" s="6">
        <f>IF(C2539="","",ROUND(J2539+D2539-E2539-K2539,2))</f>
        <v/>
      </c>
      <c r="M2539" s="6">
        <f>IF(C2539="","",0)</f>
        <v/>
      </c>
    </row>
    <row r="2540">
      <c r="A2540" t="inlineStr">
        <is>
          <t>Bank 银行</t>
        </is>
      </c>
      <c r="B2540" s="5">
        <f>IF(AND('Daily Sale entry '!Z1040="Online collection 网上收款",'Daily Sale entry '!AA1040&lt;&gt;""),'Daily Sale entry '!X1040,"")</f>
        <v/>
      </c>
      <c r="C2540">
        <f>IF(B2540="","",'Daily Sale entry '!AA1040)</f>
        <v/>
      </c>
      <c r="D2540">
        <f>IF(C2540="","",0)</f>
        <v/>
      </c>
      <c r="E2540">
        <f>IF(C2540="","",'Daily Sale entry '!AC1040)</f>
        <v/>
      </c>
      <c r="F2540" s="37">
        <f>IF(C2540="","",B2540+IF(E2540&gt;0,0,0.5)+ROW()/10000000)</f>
        <v/>
      </c>
      <c r="G2540">
        <f>IF(C2540="","","Collection 收款 (Online 网上)"&amp;IF('Daily Sale entry '!Y1040="",""," - "&amp;'Daily Sale entry '!Y1040))</f>
        <v/>
      </c>
      <c r="H2540">
        <f>IF(C2540="","",COUNTIFS($C$2:$C$3001,C2540,$F$2:$F$3001,"&lt;"&amp;F2540)+1)</f>
        <v/>
      </c>
      <c r="I2540">
        <f>IF(C2540="","",C2540&amp;"|"&amp;H2540)</f>
        <v/>
      </c>
      <c r="J2540" s="6">
        <f>IF(C2540="","",IF(H2540=1,SUMIFS('Opening Balance'!$F$4:$F$303,'Opening Balance'!$G$4:$G$303,C2540),INDEX($L$2:$L$3001,MATCH(C2540&amp;"|"&amp;(H2540-1),$I$2:$I$3001,0))))</f>
        <v/>
      </c>
      <c r="K2540" s="6">
        <f>IF(C2540="","",IF(M2540&gt;0,M2540,IF(AND(E2540&gt;0,ROUND(J2540+D2540-E2540,2)&gt;0,ROUND(J2540+D2540-E2540,2)&lt;'Opening Balance'!$B$14),ROUND(J2540+D2540-E2540,2),0)))</f>
        <v/>
      </c>
      <c r="L2540" s="6">
        <f>IF(C2540="","",ROUND(J2540+D2540-E2540-K2540,2))</f>
        <v/>
      </c>
      <c r="M2540" s="6">
        <f>IF(C2540="","",0)</f>
        <v/>
      </c>
    </row>
    <row r="2541">
      <c r="A2541" t="inlineStr">
        <is>
          <t>Bank 银行</t>
        </is>
      </c>
      <c r="B2541" s="5">
        <f>IF(AND('Daily Sale entry '!Z1041="Online collection 网上收款",'Daily Sale entry '!AA1041&lt;&gt;""),'Daily Sale entry '!X1041,"")</f>
        <v/>
      </c>
      <c r="C2541">
        <f>IF(B2541="","",'Daily Sale entry '!AA1041)</f>
        <v/>
      </c>
      <c r="D2541">
        <f>IF(C2541="","",0)</f>
        <v/>
      </c>
      <c r="E2541">
        <f>IF(C2541="","",'Daily Sale entry '!AC1041)</f>
        <v/>
      </c>
      <c r="F2541" s="37">
        <f>IF(C2541="","",B2541+IF(E2541&gt;0,0,0.5)+ROW()/10000000)</f>
        <v/>
      </c>
      <c r="G2541">
        <f>IF(C2541="","","Collection 收款 (Online 网上)"&amp;IF('Daily Sale entry '!Y1041="",""," - "&amp;'Daily Sale entry '!Y1041))</f>
        <v/>
      </c>
      <c r="H2541">
        <f>IF(C2541="","",COUNTIFS($C$2:$C$3001,C2541,$F$2:$F$3001,"&lt;"&amp;F2541)+1)</f>
        <v/>
      </c>
      <c r="I2541">
        <f>IF(C2541="","",C2541&amp;"|"&amp;H2541)</f>
        <v/>
      </c>
      <c r="J2541" s="6">
        <f>IF(C2541="","",IF(H2541=1,SUMIFS('Opening Balance'!$F$4:$F$303,'Opening Balance'!$G$4:$G$303,C2541),INDEX($L$2:$L$3001,MATCH(C2541&amp;"|"&amp;(H2541-1),$I$2:$I$3001,0))))</f>
        <v/>
      </c>
      <c r="K2541" s="6">
        <f>IF(C2541="","",IF(M2541&gt;0,M2541,IF(AND(E2541&gt;0,ROUND(J2541+D2541-E2541,2)&gt;0,ROUND(J2541+D2541-E2541,2)&lt;'Opening Balance'!$B$14),ROUND(J2541+D2541-E2541,2),0)))</f>
        <v/>
      </c>
      <c r="L2541" s="6">
        <f>IF(C2541="","",ROUND(J2541+D2541-E2541-K2541,2))</f>
        <v/>
      </c>
      <c r="M2541" s="6">
        <f>IF(C2541="","",0)</f>
        <v/>
      </c>
    </row>
    <row r="2542">
      <c r="A2542" t="inlineStr">
        <is>
          <t>Bank 银行</t>
        </is>
      </c>
      <c r="B2542" s="5">
        <f>IF(AND('Daily Sale entry '!Z1042="Online collection 网上收款",'Daily Sale entry '!AA1042&lt;&gt;""),'Daily Sale entry '!X1042,"")</f>
        <v/>
      </c>
      <c r="C2542">
        <f>IF(B2542="","",'Daily Sale entry '!AA1042)</f>
        <v/>
      </c>
      <c r="D2542">
        <f>IF(C2542="","",0)</f>
        <v/>
      </c>
      <c r="E2542">
        <f>IF(C2542="","",'Daily Sale entry '!AC1042)</f>
        <v/>
      </c>
      <c r="F2542" s="37">
        <f>IF(C2542="","",B2542+IF(E2542&gt;0,0,0.5)+ROW()/10000000)</f>
        <v/>
      </c>
      <c r="G2542">
        <f>IF(C2542="","","Collection 收款 (Online 网上)"&amp;IF('Daily Sale entry '!Y1042="",""," - "&amp;'Daily Sale entry '!Y1042))</f>
        <v/>
      </c>
      <c r="H2542">
        <f>IF(C2542="","",COUNTIFS($C$2:$C$3001,C2542,$F$2:$F$3001,"&lt;"&amp;F2542)+1)</f>
        <v/>
      </c>
      <c r="I2542">
        <f>IF(C2542="","",C2542&amp;"|"&amp;H2542)</f>
        <v/>
      </c>
      <c r="J2542" s="6">
        <f>IF(C2542="","",IF(H2542=1,SUMIFS('Opening Balance'!$F$4:$F$303,'Opening Balance'!$G$4:$G$303,C2542),INDEX($L$2:$L$3001,MATCH(C2542&amp;"|"&amp;(H2542-1),$I$2:$I$3001,0))))</f>
        <v/>
      </c>
      <c r="K2542" s="6">
        <f>IF(C2542="","",IF(M2542&gt;0,M2542,IF(AND(E2542&gt;0,ROUND(J2542+D2542-E2542,2)&gt;0,ROUND(J2542+D2542-E2542,2)&lt;'Opening Balance'!$B$14),ROUND(J2542+D2542-E2542,2),0)))</f>
        <v/>
      </c>
      <c r="L2542" s="6">
        <f>IF(C2542="","",ROUND(J2542+D2542-E2542-K2542,2))</f>
        <v/>
      </c>
      <c r="M2542" s="6">
        <f>IF(C2542="","",0)</f>
        <v/>
      </c>
    </row>
    <row r="2543">
      <c r="A2543" t="inlineStr">
        <is>
          <t>Bank 银行</t>
        </is>
      </c>
      <c r="B2543" s="5">
        <f>IF(AND('Daily Sale entry '!Z1043="Online collection 网上收款",'Daily Sale entry '!AA1043&lt;&gt;""),'Daily Sale entry '!X1043,"")</f>
        <v/>
      </c>
      <c r="C2543">
        <f>IF(B2543="","",'Daily Sale entry '!AA1043)</f>
        <v/>
      </c>
      <c r="D2543">
        <f>IF(C2543="","",0)</f>
        <v/>
      </c>
      <c r="E2543">
        <f>IF(C2543="","",'Daily Sale entry '!AC1043)</f>
        <v/>
      </c>
      <c r="F2543" s="37">
        <f>IF(C2543="","",B2543+IF(E2543&gt;0,0,0.5)+ROW()/10000000)</f>
        <v/>
      </c>
      <c r="G2543">
        <f>IF(C2543="","","Collection 收款 (Online 网上)"&amp;IF('Daily Sale entry '!Y1043="",""," - "&amp;'Daily Sale entry '!Y1043))</f>
        <v/>
      </c>
      <c r="H2543">
        <f>IF(C2543="","",COUNTIFS($C$2:$C$3001,C2543,$F$2:$F$3001,"&lt;"&amp;F2543)+1)</f>
        <v/>
      </c>
      <c r="I2543">
        <f>IF(C2543="","",C2543&amp;"|"&amp;H2543)</f>
        <v/>
      </c>
      <c r="J2543" s="6">
        <f>IF(C2543="","",IF(H2543=1,SUMIFS('Opening Balance'!$F$4:$F$303,'Opening Balance'!$G$4:$G$303,C2543),INDEX($L$2:$L$3001,MATCH(C2543&amp;"|"&amp;(H2543-1),$I$2:$I$3001,0))))</f>
        <v/>
      </c>
      <c r="K2543" s="6">
        <f>IF(C2543="","",IF(M2543&gt;0,M2543,IF(AND(E2543&gt;0,ROUND(J2543+D2543-E2543,2)&gt;0,ROUND(J2543+D2543-E2543,2)&lt;'Opening Balance'!$B$14),ROUND(J2543+D2543-E2543,2),0)))</f>
        <v/>
      </c>
      <c r="L2543" s="6">
        <f>IF(C2543="","",ROUND(J2543+D2543-E2543-K2543,2))</f>
        <v/>
      </c>
      <c r="M2543" s="6">
        <f>IF(C2543="","",0)</f>
        <v/>
      </c>
    </row>
    <row r="2544">
      <c r="A2544" t="inlineStr">
        <is>
          <t>Bank 银行</t>
        </is>
      </c>
      <c r="B2544" s="5">
        <f>IF(AND('Daily Sale entry '!Z1044="Online collection 网上收款",'Daily Sale entry '!AA1044&lt;&gt;""),'Daily Sale entry '!X1044,"")</f>
        <v/>
      </c>
      <c r="C2544">
        <f>IF(B2544="","",'Daily Sale entry '!AA1044)</f>
        <v/>
      </c>
      <c r="D2544">
        <f>IF(C2544="","",0)</f>
        <v/>
      </c>
      <c r="E2544">
        <f>IF(C2544="","",'Daily Sale entry '!AC1044)</f>
        <v/>
      </c>
      <c r="F2544" s="37">
        <f>IF(C2544="","",B2544+IF(E2544&gt;0,0,0.5)+ROW()/10000000)</f>
        <v/>
      </c>
      <c r="G2544">
        <f>IF(C2544="","","Collection 收款 (Online 网上)"&amp;IF('Daily Sale entry '!Y1044="",""," - "&amp;'Daily Sale entry '!Y1044))</f>
        <v/>
      </c>
      <c r="H2544">
        <f>IF(C2544="","",COUNTIFS($C$2:$C$3001,C2544,$F$2:$F$3001,"&lt;"&amp;F2544)+1)</f>
        <v/>
      </c>
      <c r="I2544">
        <f>IF(C2544="","",C2544&amp;"|"&amp;H2544)</f>
        <v/>
      </c>
      <c r="J2544" s="6">
        <f>IF(C2544="","",IF(H2544=1,SUMIFS('Opening Balance'!$F$4:$F$303,'Opening Balance'!$G$4:$G$303,C2544),INDEX($L$2:$L$3001,MATCH(C2544&amp;"|"&amp;(H2544-1),$I$2:$I$3001,0))))</f>
        <v/>
      </c>
      <c r="K2544" s="6">
        <f>IF(C2544="","",IF(M2544&gt;0,M2544,IF(AND(E2544&gt;0,ROUND(J2544+D2544-E2544,2)&gt;0,ROUND(J2544+D2544-E2544,2)&lt;'Opening Balance'!$B$14),ROUND(J2544+D2544-E2544,2),0)))</f>
        <v/>
      </c>
      <c r="L2544" s="6">
        <f>IF(C2544="","",ROUND(J2544+D2544-E2544-K2544,2))</f>
        <v/>
      </c>
      <c r="M2544" s="6">
        <f>IF(C2544="","",0)</f>
        <v/>
      </c>
    </row>
    <row r="2545">
      <c r="A2545" t="inlineStr">
        <is>
          <t>Bank 银行</t>
        </is>
      </c>
      <c r="B2545" s="5">
        <f>IF(AND('Daily Sale entry '!Z1045="Online collection 网上收款",'Daily Sale entry '!AA1045&lt;&gt;""),'Daily Sale entry '!X1045,"")</f>
        <v/>
      </c>
      <c r="C2545">
        <f>IF(B2545="","",'Daily Sale entry '!AA1045)</f>
        <v/>
      </c>
      <c r="D2545">
        <f>IF(C2545="","",0)</f>
        <v/>
      </c>
      <c r="E2545">
        <f>IF(C2545="","",'Daily Sale entry '!AC1045)</f>
        <v/>
      </c>
      <c r="F2545" s="37">
        <f>IF(C2545="","",B2545+IF(E2545&gt;0,0,0.5)+ROW()/10000000)</f>
        <v/>
      </c>
      <c r="G2545">
        <f>IF(C2545="","","Collection 收款 (Online 网上)"&amp;IF('Daily Sale entry '!Y1045="",""," - "&amp;'Daily Sale entry '!Y1045))</f>
        <v/>
      </c>
      <c r="H2545">
        <f>IF(C2545="","",COUNTIFS($C$2:$C$3001,C2545,$F$2:$F$3001,"&lt;"&amp;F2545)+1)</f>
        <v/>
      </c>
      <c r="I2545">
        <f>IF(C2545="","",C2545&amp;"|"&amp;H2545)</f>
        <v/>
      </c>
      <c r="J2545" s="6">
        <f>IF(C2545="","",IF(H2545=1,SUMIFS('Opening Balance'!$F$4:$F$303,'Opening Balance'!$G$4:$G$303,C2545),INDEX($L$2:$L$3001,MATCH(C2545&amp;"|"&amp;(H2545-1),$I$2:$I$3001,0))))</f>
        <v/>
      </c>
      <c r="K2545" s="6">
        <f>IF(C2545="","",IF(M2545&gt;0,M2545,IF(AND(E2545&gt;0,ROUND(J2545+D2545-E2545,2)&gt;0,ROUND(J2545+D2545-E2545,2)&lt;'Opening Balance'!$B$14),ROUND(J2545+D2545-E2545,2),0)))</f>
        <v/>
      </c>
      <c r="L2545" s="6">
        <f>IF(C2545="","",ROUND(J2545+D2545-E2545-K2545,2))</f>
        <v/>
      </c>
      <c r="M2545" s="6">
        <f>IF(C2545="","",0)</f>
        <v/>
      </c>
    </row>
    <row r="2546">
      <c r="A2546" t="inlineStr">
        <is>
          <t>Bank 银行</t>
        </is>
      </c>
      <c r="B2546" s="5">
        <f>IF(AND('Daily Sale entry '!Z1046="Online collection 网上收款",'Daily Sale entry '!AA1046&lt;&gt;""),'Daily Sale entry '!X1046,"")</f>
        <v/>
      </c>
      <c r="C2546">
        <f>IF(B2546="","",'Daily Sale entry '!AA1046)</f>
        <v/>
      </c>
      <c r="D2546">
        <f>IF(C2546="","",0)</f>
        <v/>
      </c>
      <c r="E2546">
        <f>IF(C2546="","",'Daily Sale entry '!AC1046)</f>
        <v/>
      </c>
      <c r="F2546" s="37">
        <f>IF(C2546="","",B2546+IF(E2546&gt;0,0,0.5)+ROW()/10000000)</f>
        <v/>
      </c>
      <c r="G2546">
        <f>IF(C2546="","","Collection 收款 (Online 网上)"&amp;IF('Daily Sale entry '!Y1046="",""," - "&amp;'Daily Sale entry '!Y1046))</f>
        <v/>
      </c>
      <c r="H2546">
        <f>IF(C2546="","",COUNTIFS($C$2:$C$3001,C2546,$F$2:$F$3001,"&lt;"&amp;F2546)+1)</f>
        <v/>
      </c>
      <c r="I2546">
        <f>IF(C2546="","",C2546&amp;"|"&amp;H2546)</f>
        <v/>
      </c>
      <c r="J2546" s="6">
        <f>IF(C2546="","",IF(H2546=1,SUMIFS('Opening Balance'!$F$4:$F$303,'Opening Balance'!$G$4:$G$303,C2546),INDEX($L$2:$L$3001,MATCH(C2546&amp;"|"&amp;(H2546-1),$I$2:$I$3001,0))))</f>
        <v/>
      </c>
      <c r="K2546" s="6">
        <f>IF(C2546="","",IF(M2546&gt;0,M2546,IF(AND(E2546&gt;0,ROUND(J2546+D2546-E2546,2)&gt;0,ROUND(J2546+D2546-E2546,2)&lt;'Opening Balance'!$B$14),ROUND(J2546+D2546-E2546,2),0)))</f>
        <v/>
      </c>
      <c r="L2546" s="6">
        <f>IF(C2546="","",ROUND(J2546+D2546-E2546-K2546,2))</f>
        <v/>
      </c>
      <c r="M2546" s="6">
        <f>IF(C2546="","",0)</f>
        <v/>
      </c>
    </row>
    <row r="2547">
      <c r="A2547" t="inlineStr">
        <is>
          <t>Bank 银行</t>
        </is>
      </c>
      <c r="B2547" s="5">
        <f>IF(AND('Daily Sale entry '!Z1047="Online collection 网上收款",'Daily Sale entry '!AA1047&lt;&gt;""),'Daily Sale entry '!X1047,"")</f>
        <v/>
      </c>
      <c r="C2547">
        <f>IF(B2547="","",'Daily Sale entry '!AA1047)</f>
        <v/>
      </c>
      <c r="D2547">
        <f>IF(C2547="","",0)</f>
        <v/>
      </c>
      <c r="E2547">
        <f>IF(C2547="","",'Daily Sale entry '!AC1047)</f>
        <v/>
      </c>
      <c r="F2547" s="37">
        <f>IF(C2547="","",B2547+IF(E2547&gt;0,0,0.5)+ROW()/10000000)</f>
        <v/>
      </c>
      <c r="G2547">
        <f>IF(C2547="","","Collection 收款 (Online 网上)"&amp;IF('Daily Sale entry '!Y1047="",""," - "&amp;'Daily Sale entry '!Y1047))</f>
        <v/>
      </c>
      <c r="H2547">
        <f>IF(C2547="","",COUNTIFS($C$2:$C$3001,C2547,$F$2:$F$3001,"&lt;"&amp;F2547)+1)</f>
        <v/>
      </c>
      <c r="I2547">
        <f>IF(C2547="","",C2547&amp;"|"&amp;H2547)</f>
        <v/>
      </c>
      <c r="J2547" s="6">
        <f>IF(C2547="","",IF(H2547=1,SUMIFS('Opening Balance'!$F$4:$F$303,'Opening Balance'!$G$4:$G$303,C2547),INDEX($L$2:$L$3001,MATCH(C2547&amp;"|"&amp;(H2547-1),$I$2:$I$3001,0))))</f>
        <v/>
      </c>
      <c r="K2547" s="6">
        <f>IF(C2547="","",IF(M2547&gt;0,M2547,IF(AND(E2547&gt;0,ROUND(J2547+D2547-E2547,2)&gt;0,ROUND(J2547+D2547-E2547,2)&lt;'Opening Balance'!$B$14),ROUND(J2547+D2547-E2547,2),0)))</f>
        <v/>
      </c>
      <c r="L2547" s="6">
        <f>IF(C2547="","",ROUND(J2547+D2547-E2547-K2547,2))</f>
        <v/>
      </c>
      <c r="M2547" s="6">
        <f>IF(C2547="","",0)</f>
        <v/>
      </c>
    </row>
    <row r="2548">
      <c r="A2548" t="inlineStr">
        <is>
          <t>Bank 银行</t>
        </is>
      </c>
      <c r="B2548" s="5">
        <f>IF(AND('Daily Sale entry '!Z1048="Online collection 网上收款",'Daily Sale entry '!AA1048&lt;&gt;""),'Daily Sale entry '!X1048,"")</f>
        <v/>
      </c>
      <c r="C2548">
        <f>IF(B2548="","",'Daily Sale entry '!AA1048)</f>
        <v/>
      </c>
      <c r="D2548">
        <f>IF(C2548="","",0)</f>
        <v/>
      </c>
      <c r="E2548">
        <f>IF(C2548="","",'Daily Sale entry '!AC1048)</f>
        <v/>
      </c>
      <c r="F2548" s="37">
        <f>IF(C2548="","",B2548+IF(E2548&gt;0,0,0.5)+ROW()/10000000)</f>
        <v/>
      </c>
      <c r="G2548">
        <f>IF(C2548="","","Collection 收款 (Online 网上)"&amp;IF('Daily Sale entry '!Y1048="",""," - "&amp;'Daily Sale entry '!Y1048))</f>
        <v/>
      </c>
      <c r="H2548">
        <f>IF(C2548="","",COUNTIFS($C$2:$C$3001,C2548,$F$2:$F$3001,"&lt;"&amp;F2548)+1)</f>
        <v/>
      </c>
      <c r="I2548">
        <f>IF(C2548="","",C2548&amp;"|"&amp;H2548)</f>
        <v/>
      </c>
      <c r="J2548" s="6">
        <f>IF(C2548="","",IF(H2548=1,SUMIFS('Opening Balance'!$F$4:$F$303,'Opening Balance'!$G$4:$G$303,C2548),INDEX($L$2:$L$3001,MATCH(C2548&amp;"|"&amp;(H2548-1),$I$2:$I$3001,0))))</f>
        <v/>
      </c>
      <c r="K2548" s="6">
        <f>IF(C2548="","",IF(M2548&gt;0,M2548,IF(AND(E2548&gt;0,ROUND(J2548+D2548-E2548,2)&gt;0,ROUND(J2548+D2548-E2548,2)&lt;'Opening Balance'!$B$14),ROUND(J2548+D2548-E2548,2),0)))</f>
        <v/>
      </c>
      <c r="L2548" s="6">
        <f>IF(C2548="","",ROUND(J2548+D2548-E2548-K2548,2))</f>
        <v/>
      </c>
      <c r="M2548" s="6">
        <f>IF(C2548="","",0)</f>
        <v/>
      </c>
    </row>
    <row r="2549">
      <c r="A2549" t="inlineStr">
        <is>
          <t>Bank 银行</t>
        </is>
      </c>
      <c r="B2549" s="5">
        <f>IF(AND('Daily Sale entry '!Z1049="Online collection 网上收款",'Daily Sale entry '!AA1049&lt;&gt;""),'Daily Sale entry '!X1049,"")</f>
        <v/>
      </c>
      <c r="C2549">
        <f>IF(B2549="","",'Daily Sale entry '!AA1049)</f>
        <v/>
      </c>
      <c r="D2549">
        <f>IF(C2549="","",0)</f>
        <v/>
      </c>
      <c r="E2549">
        <f>IF(C2549="","",'Daily Sale entry '!AC1049)</f>
        <v/>
      </c>
      <c r="F2549" s="37">
        <f>IF(C2549="","",B2549+IF(E2549&gt;0,0,0.5)+ROW()/10000000)</f>
        <v/>
      </c>
      <c r="G2549">
        <f>IF(C2549="","","Collection 收款 (Online 网上)"&amp;IF('Daily Sale entry '!Y1049="",""," - "&amp;'Daily Sale entry '!Y1049))</f>
        <v/>
      </c>
      <c r="H2549">
        <f>IF(C2549="","",COUNTIFS($C$2:$C$3001,C2549,$F$2:$F$3001,"&lt;"&amp;F2549)+1)</f>
        <v/>
      </c>
      <c r="I2549">
        <f>IF(C2549="","",C2549&amp;"|"&amp;H2549)</f>
        <v/>
      </c>
      <c r="J2549" s="6">
        <f>IF(C2549="","",IF(H2549=1,SUMIFS('Opening Balance'!$F$4:$F$303,'Opening Balance'!$G$4:$G$303,C2549),INDEX($L$2:$L$3001,MATCH(C2549&amp;"|"&amp;(H2549-1),$I$2:$I$3001,0))))</f>
        <v/>
      </c>
      <c r="K2549" s="6">
        <f>IF(C2549="","",IF(M2549&gt;0,M2549,IF(AND(E2549&gt;0,ROUND(J2549+D2549-E2549,2)&gt;0,ROUND(J2549+D2549-E2549,2)&lt;'Opening Balance'!$B$14),ROUND(J2549+D2549-E2549,2),0)))</f>
        <v/>
      </c>
      <c r="L2549" s="6">
        <f>IF(C2549="","",ROUND(J2549+D2549-E2549-K2549,2))</f>
        <v/>
      </c>
      <c r="M2549" s="6">
        <f>IF(C2549="","",0)</f>
        <v/>
      </c>
    </row>
    <row r="2550">
      <c r="A2550" t="inlineStr">
        <is>
          <t>Bank 银行</t>
        </is>
      </c>
      <c r="B2550" s="5">
        <f>IF(AND('Daily Sale entry '!Z1050="Online collection 网上收款",'Daily Sale entry '!AA1050&lt;&gt;""),'Daily Sale entry '!X1050,"")</f>
        <v/>
      </c>
      <c r="C2550">
        <f>IF(B2550="","",'Daily Sale entry '!AA1050)</f>
        <v/>
      </c>
      <c r="D2550">
        <f>IF(C2550="","",0)</f>
        <v/>
      </c>
      <c r="E2550">
        <f>IF(C2550="","",'Daily Sale entry '!AC1050)</f>
        <v/>
      </c>
      <c r="F2550" s="37">
        <f>IF(C2550="","",B2550+IF(E2550&gt;0,0,0.5)+ROW()/10000000)</f>
        <v/>
      </c>
      <c r="G2550">
        <f>IF(C2550="","","Collection 收款 (Online 网上)"&amp;IF('Daily Sale entry '!Y1050="",""," - "&amp;'Daily Sale entry '!Y1050))</f>
        <v/>
      </c>
      <c r="H2550">
        <f>IF(C2550="","",COUNTIFS($C$2:$C$3001,C2550,$F$2:$F$3001,"&lt;"&amp;F2550)+1)</f>
        <v/>
      </c>
      <c r="I2550">
        <f>IF(C2550="","",C2550&amp;"|"&amp;H2550)</f>
        <v/>
      </c>
      <c r="J2550" s="6">
        <f>IF(C2550="","",IF(H2550=1,SUMIFS('Opening Balance'!$F$4:$F$303,'Opening Balance'!$G$4:$G$303,C2550),INDEX($L$2:$L$3001,MATCH(C2550&amp;"|"&amp;(H2550-1),$I$2:$I$3001,0))))</f>
        <v/>
      </c>
      <c r="K2550" s="6">
        <f>IF(C2550="","",IF(M2550&gt;0,M2550,IF(AND(E2550&gt;0,ROUND(J2550+D2550-E2550,2)&gt;0,ROUND(J2550+D2550-E2550,2)&lt;'Opening Balance'!$B$14),ROUND(J2550+D2550-E2550,2),0)))</f>
        <v/>
      </c>
      <c r="L2550" s="6">
        <f>IF(C2550="","",ROUND(J2550+D2550-E2550-K2550,2))</f>
        <v/>
      </c>
      <c r="M2550" s="6">
        <f>IF(C2550="","",0)</f>
        <v/>
      </c>
    </row>
    <row r="2551">
      <c r="A2551" t="inlineStr">
        <is>
          <t>Bank 银行</t>
        </is>
      </c>
      <c r="B2551" s="5">
        <f>IF(AND('Daily Sale entry '!Z1051="Online collection 网上收款",'Daily Sale entry '!AA1051&lt;&gt;""),'Daily Sale entry '!X1051,"")</f>
        <v/>
      </c>
      <c r="C2551">
        <f>IF(B2551="","",'Daily Sale entry '!AA1051)</f>
        <v/>
      </c>
      <c r="D2551">
        <f>IF(C2551="","",0)</f>
        <v/>
      </c>
      <c r="E2551">
        <f>IF(C2551="","",'Daily Sale entry '!AC1051)</f>
        <v/>
      </c>
      <c r="F2551" s="37">
        <f>IF(C2551="","",B2551+IF(E2551&gt;0,0,0.5)+ROW()/10000000)</f>
        <v/>
      </c>
      <c r="G2551">
        <f>IF(C2551="","","Collection 收款 (Online 网上)"&amp;IF('Daily Sale entry '!Y1051="",""," - "&amp;'Daily Sale entry '!Y1051))</f>
        <v/>
      </c>
      <c r="H2551">
        <f>IF(C2551="","",COUNTIFS($C$2:$C$3001,C2551,$F$2:$F$3001,"&lt;"&amp;F2551)+1)</f>
        <v/>
      </c>
      <c r="I2551">
        <f>IF(C2551="","",C2551&amp;"|"&amp;H2551)</f>
        <v/>
      </c>
      <c r="J2551" s="6">
        <f>IF(C2551="","",IF(H2551=1,SUMIFS('Opening Balance'!$F$4:$F$303,'Opening Balance'!$G$4:$G$303,C2551),INDEX($L$2:$L$3001,MATCH(C2551&amp;"|"&amp;(H2551-1),$I$2:$I$3001,0))))</f>
        <v/>
      </c>
      <c r="K2551" s="6">
        <f>IF(C2551="","",IF(M2551&gt;0,M2551,IF(AND(E2551&gt;0,ROUND(J2551+D2551-E2551,2)&gt;0,ROUND(J2551+D2551-E2551,2)&lt;'Opening Balance'!$B$14),ROUND(J2551+D2551-E2551,2),0)))</f>
        <v/>
      </c>
      <c r="L2551" s="6">
        <f>IF(C2551="","",ROUND(J2551+D2551-E2551-K2551,2))</f>
        <v/>
      </c>
      <c r="M2551" s="6">
        <f>IF(C2551="","",0)</f>
        <v/>
      </c>
    </row>
    <row r="2552">
      <c r="A2552" t="inlineStr">
        <is>
          <t>Bank 银行</t>
        </is>
      </c>
      <c r="B2552" s="5">
        <f>IF(AND('Daily Sale entry '!Z1052="Online collection 网上收款",'Daily Sale entry '!AA1052&lt;&gt;""),'Daily Sale entry '!X1052,"")</f>
        <v/>
      </c>
      <c r="C2552">
        <f>IF(B2552="","",'Daily Sale entry '!AA1052)</f>
        <v/>
      </c>
      <c r="D2552">
        <f>IF(C2552="","",0)</f>
        <v/>
      </c>
      <c r="E2552">
        <f>IF(C2552="","",'Daily Sale entry '!AC1052)</f>
        <v/>
      </c>
      <c r="F2552" s="37">
        <f>IF(C2552="","",B2552+IF(E2552&gt;0,0,0.5)+ROW()/10000000)</f>
        <v/>
      </c>
      <c r="G2552">
        <f>IF(C2552="","","Collection 收款 (Online 网上)"&amp;IF('Daily Sale entry '!Y1052="",""," - "&amp;'Daily Sale entry '!Y1052))</f>
        <v/>
      </c>
      <c r="H2552">
        <f>IF(C2552="","",COUNTIFS($C$2:$C$3001,C2552,$F$2:$F$3001,"&lt;"&amp;F2552)+1)</f>
        <v/>
      </c>
      <c r="I2552">
        <f>IF(C2552="","",C2552&amp;"|"&amp;H2552)</f>
        <v/>
      </c>
      <c r="J2552" s="6">
        <f>IF(C2552="","",IF(H2552=1,SUMIFS('Opening Balance'!$F$4:$F$303,'Opening Balance'!$G$4:$G$303,C2552),INDEX($L$2:$L$3001,MATCH(C2552&amp;"|"&amp;(H2552-1),$I$2:$I$3001,0))))</f>
        <v/>
      </c>
      <c r="K2552" s="6">
        <f>IF(C2552="","",IF(M2552&gt;0,M2552,IF(AND(E2552&gt;0,ROUND(J2552+D2552-E2552,2)&gt;0,ROUND(J2552+D2552-E2552,2)&lt;'Opening Balance'!$B$14),ROUND(J2552+D2552-E2552,2),0)))</f>
        <v/>
      </c>
      <c r="L2552" s="6">
        <f>IF(C2552="","",ROUND(J2552+D2552-E2552-K2552,2))</f>
        <v/>
      </c>
      <c r="M2552" s="6">
        <f>IF(C2552="","",0)</f>
        <v/>
      </c>
    </row>
    <row r="2553">
      <c r="A2553" t="inlineStr">
        <is>
          <t>Bank 银行</t>
        </is>
      </c>
      <c r="B2553" s="5">
        <f>IF(AND('Daily Sale entry '!Z1053="Online collection 网上收款",'Daily Sale entry '!AA1053&lt;&gt;""),'Daily Sale entry '!X1053,"")</f>
        <v/>
      </c>
      <c r="C2553">
        <f>IF(B2553="","",'Daily Sale entry '!AA1053)</f>
        <v/>
      </c>
      <c r="D2553">
        <f>IF(C2553="","",0)</f>
        <v/>
      </c>
      <c r="E2553">
        <f>IF(C2553="","",'Daily Sale entry '!AC1053)</f>
        <v/>
      </c>
      <c r="F2553" s="37">
        <f>IF(C2553="","",B2553+IF(E2553&gt;0,0,0.5)+ROW()/10000000)</f>
        <v/>
      </c>
      <c r="G2553">
        <f>IF(C2553="","","Collection 收款 (Online 网上)"&amp;IF('Daily Sale entry '!Y1053="",""," - "&amp;'Daily Sale entry '!Y1053))</f>
        <v/>
      </c>
      <c r="H2553">
        <f>IF(C2553="","",COUNTIFS($C$2:$C$3001,C2553,$F$2:$F$3001,"&lt;"&amp;F2553)+1)</f>
        <v/>
      </c>
      <c r="I2553">
        <f>IF(C2553="","",C2553&amp;"|"&amp;H2553)</f>
        <v/>
      </c>
      <c r="J2553" s="6">
        <f>IF(C2553="","",IF(H2553=1,SUMIFS('Opening Balance'!$F$4:$F$303,'Opening Balance'!$G$4:$G$303,C2553),INDEX($L$2:$L$3001,MATCH(C2553&amp;"|"&amp;(H2553-1),$I$2:$I$3001,0))))</f>
        <v/>
      </c>
      <c r="K2553" s="6">
        <f>IF(C2553="","",IF(M2553&gt;0,M2553,IF(AND(E2553&gt;0,ROUND(J2553+D2553-E2553,2)&gt;0,ROUND(J2553+D2553-E2553,2)&lt;'Opening Balance'!$B$14),ROUND(J2553+D2553-E2553,2),0)))</f>
        <v/>
      </c>
      <c r="L2553" s="6">
        <f>IF(C2553="","",ROUND(J2553+D2553-E2553-K2553,2))</f>
        <v/>
      </c>
      <c r="M2553" s="6">
        <f>IF(C2553="","",0)</f>
        <v/>
      </c>
    </row>
    <row r="2554">
      <c r="A2554" t="inlineStr">
        <is>
          <t>Bank 银行</t>
        </is>
      </c>
      <c r="B2554" s="5">
        <f>IF(AND('Daily Sale entry '!Z1054="Online collection 网上收款",'Daily Sale entry '!AA1054&lt;&gt;""),'Daily Sale entry '!X1054,"")</f>
        <v/>
      </c>
      <c r="C2554">
        <f>IF(B2554="","",'Daily Sale entry '!AA1054)</f>
        <v/>
      </c>
      <c r="D2554">
        <f>IF(C2554="","",0)</f>
        <v/>
      </c>
      <c r="E2554">
        <f>IF(C2554="","",'Daily Sale entry '!AC1054)</f>
        <v/>
      </c>
      <c r="F2554" s="37">
        <f>IF(C2554="","",B2554+IF(E2554&gt;0,0,0.5)+ROW()/10000000)</f>
        <v/>
      </c>
      <c r="G2554">
        <f>IF(C2554="","","Collection 收款 (Online 网上)"&amp;IF('Daily Sale entry '!Y1054="",""," - "&amp;'Daily Sale entry '!Y1054))</f>
        <v/>
      </c>
      <c r="H2554">
        <f>IF(C2554="","",COUNTIFS($C$2:$C$3001,C2554,$F$2:$F$3001,"&lt;"&amp;F2554)+1)</f>
        <v/>
      </c>
      <c r="I2554">
        <f>IF(C2554="","",C2554&amp;"|"&amp;H2554)</f>
        <v/>
      </c>
      <c r="J2554" s="6">
        <f>IF(C2554="","",IF(H2554=1,SUMIFS('Opening Balance'!$F$4:$F$303,'Opening Balance'!$G$4:$G$303,C2554),INDEX($L$2:$L$3001,MATCH(C2554&amp;"|"&amp;(H2554-1),$I$2:$I$3001,0))))</f>
        <v/>
      </c>
      <c r="K2554" s="6">
        <f>IF(C2554="","",IF(M2554&gt;0,M2554,IF(AND(E2554&gt;0,ROUND(J2554+D2554-E2554,2)&gt;0,ROUND(J2554+D2554-E2554,2)&lt;'Opening Balance'!$B$14),ROUND(J2554+D2554-E2554,2),0)))</f>
        <v/>
      </c>
      <c r="L2554" s="6">
        <f>IF(C2554="","",ROUND(J2554+D2554-E2554-K2554,2))</f>
        <v/>
      </c>
      <c r="M2554" s="6">
        <f>IF(C2554="","",0)</f>
        <v/>
      </c>
    </row>
    <row r="2555">
      <c r="A2555" t="inlineStr">
        <is>
          <t>Bank 银行</t>
        </is>
      </c>
      <c r="B2555" s="5">
        <f>IF(AND('Daily Sale entry '!Z1055="Online collection 网上收款",'Daily Sale entry '!AA1055&lt;&gt;""),'Daily Sale entry '!X1055,"")</f>
        <v/>
      </c>
      <c r="C2555">
        <f>IF(B2555="","",'Daily Sale entry '!AA1055)</f>
        <v/>
      </c>
      <c r="D2555">
        <f>IF(C2555="","",0)</f>
        <v/>
      </c>
      <c r="E2555">
        <f>IF(C2555="","",'Daily Sale entry '!AC1055)</f>
        <v/>
      </c>
      <c r="F2555" s="37">
        <f>IF(C2555="","",B2555+IF(E2555&gt;0,0,0.5)+ROW()/10000000)</f>
        <v/>
      </c>
      <c r="G2555">
        <f>IF(C2555="","","Collection 收款 (Online 网上)"&amp;IF('Daily Sale entry '!Y1055="",""," - "&amp;'Daily Sale entry '!Y1055))</f>
        <v/>
      </c>
      <c r="H2555">
        <f>IF(C2555="","",COUNTIFS($C$2:$C$3001,C2555,$F$2:$F$3001,"&lt;"&amp;F2555)+1)</f>
        <v/>
      </c>
      <c r="I2555">
        <f>IF(C2555="","",C2555&amp;"|"&amp;H2555)</f>
        <v/>
      </c>
      <c r="J2555" s="6">
        <f>IF(C2555="","",IF(H2555=1,SUMIFS('Opening Balance'!$F$4:$F$303,'Opening Balance'!$G$4:$G$303,C2555),INDEX($L$2:$L$3001,MATCH(C2555&amp;"|"&amp;(H2555-1),$I$2:$I$3001,0))))</f>
        <v/>
      </c>
      <c r="K2555" s="6">
        <f>IF(C2555="","",IF(M2555&gt;0,M2555,IF(AND(E2555&gt;0,ROUND(J2555+D2555-E2555,2)&gt;0,ROUND(J2555+D2555-E2555,2)&lt;'Opening Balance'!$B$14),ROUND(J2555+D2555-E2555,2),0)))</f>
        <v/>
      </c>
      <c r="L2555" s="6">
        <f>IF(C2555="","",ROUND(J2555+D2555-E2555-K2555,2))</f>
        <v/>
      </c>
      <c r="M2555" s="6">
        <f>IF(C2555="","",0)</f>
        <v/>
      </c>
    </row>
    <row r="2556">
      <c r="A2556" t="inlineStr">
        <is>
          <t>Bank 银行</t>
        </is>
      </c>
      <c r="B2556" s="5">
        <f>IF(AND('Daily Sale entry '!Z1056="Online collection 网上收款",'Daily Sale entry '!AA1056&lt;&gt;""),'Daily Sale entry '!X1056,"")</f>
        <v/>
      </c>
      <c r="C2556">
        <f>IF(B2556="","",'Daily Sale entry '!AA1056)</f>
        <v/>
      </c>
      <c r="D2556">
        <f>IF(C2556="","",0)</f>
        <v/>
      </c>
      <c r="E2556">
        <f>IF(C2556="","",'Daily Sale entry '!AC1056)</f>
        <v/>
      </c>
      <c r="F2556" s="37">
        <f>IF(C2556="","",B2556+IF(E2556&gt;0,0,0.5)+ROW()/10000000)</f>
        <v/>
      </c>
      <c r="G2556">
        <f>IF(C2556="","","Collection 收款 (Online 网上)"&amp;IF('Daily Sale entry '!Y1056="",""," - "&amp;'Daily Sale entry '!Y1056))</f>
        <v/>
      </c>
      <c r="H2556">
        <f>IF(C2556="","",COUNTIFS($C$2:$C$3001,C2556,$F$2:$F$3001,"&lt;"&amp;F2556)+1)</f>
        <v/>
      </c>
      <c r="I2556">
        <f>IF(C2556="","",C2556&amp;"|"&amp;H2556)</f>
        <v/>
      </c>
      <c r="J2556" s="6">
        <f>IF(C2556="","",IF(H2556=1,SUMIFS('Opening Balance'!$F$4:$F$303,'Opening Balance'!$G$4:$G$303,C2556),INDEX($L$2:$L$3001,MATCH(C2556&amp;"|"&amp;(H2556-1),$I$2:$I$3001,0))))</f>
        <v/>
      </c>
      <c r="K2556" s="6">
        <f>IF(C2556="","",IF(M2556&gt;0,M2556,IF(AND(E2556&gt;0,ROUND(J2556+D2556-E2556,2)&gt;0,ROUND(J2556+D2556-E2556,2)&lt;'Opening Balance'!$B$14),ROUND(J2556+D2556-E2556,2),0)))</f>
        <v/>
      </c>
      <c r="L2556" s="6">
        <f>IF(C2556="","",ROUND(J2556+D2556-E2556-K2556,2))</f>
        <v/>
      </c>
      <c r="M2556" s="6">
        <f>IF(C2556="","",0)</f>
        <v/>
      </c>
    </row>
    <row r="2557">
      <c r="A2557" t="inlineStr">
        <is>
          <t>Bank 银行</t>
        </is>
      </c>
      <c r="B2557" s="5">
        <f>IF(AND('Daily Sale entry '!Z1057="Online collection 网上收款",'Daily Sale entry '!AA1057&lt;&gt;""),'Daily Sale entry '!X1057,"")</f>
        <v/>
      </c>
      <c r="C2557">
        <f>IF(B2557="","",'Daily Sale entry '!AA1057)</f>
        <v/>
      </c>
      <c r="D2557">
        <f>IF(C2557="","",0)</f>
        <v/>
      </c>
      <c r="E2557">
        <f>IF(C2557="","",'Daily Sale entry '!AC1057)</f>
        <v/>
      </c>
      <c r="F2557" s="37">
        <f>IF(C2557="","",B2557+IF(E2557&gt;0,0,0.5)+ROW()/10000000)</f>
        <v/>
      </c>
      <c r="G2557">
        <f>IF(C2557="","","Collection 收款 (Online 网上)"&amp;IF('Daily Sale entry '!Y1057="",""," - "&amp;'Daily Sale entry '!Y1057))</f>
        <v/>
      </c>
      <c r="H2557">
        <f>IF(C2557="","",COUNTIFS($C$2:$C$3001,C2557,$F$2:$F$3001,"&lt;"&amp;F2557)+1)</f>
        <v/>
      </c>
      <c r="I2557">
        <f>IF(C2557="","",C2557&amp;"|"&amp;H2557)</f>
        <v/>
      </c>
      <c r="J2557" s="6">
        <f>IF(C2557="","",IF(H2557=1,SUMIFS('Opening Balance'!$F$4:$F$303,'Opening Balance'!$G$4:$G$303,C2557),INDEX($L$2:$L$3001,MATCH(C2557&amp;"|"&amp;(H2557-1),$I$2:$I$3001,0))))</f>
        <v/>
      </c>
      <c r="K2557" s="6">
        <f>IF(C2557="","",IF(M2557&gt;0,M2557,IF(AND(E2557&gt;0,ROUND(J2557+D2557-E2557,2)&gt;0,ROUND(J2557+D2557-E2557,2)&lt;'Opening Balance'!$B$14),ROUND(J2557+D2557-E2557,2),0)))</f>
        <v/>
      </c>
      <c r="L2557" s="6">
        <f>IF(C2557="","",ROUND(J2557+D2557-E2557-K2557,2))</f>
        <v/>
      </c>
      <c r="M2557" s="6">
        <f>IF(C2557="","",0)</f>
        <v/>
      </c>
    </row>
    <row r="2558">
      <c r="A2558" t="inlineStr">
        <is>
          <t>Bank 银行</t>
        </is>
      </c>
      <c r="B2558" s="5">
        <f>IF(AND('Daily Sale entry '!Z1058="Online collection 网上收款",'Daily Sale entry '!AA1058&lt;&gt;""),'Daily Sale entry '!X1058,"")</f>
        <v/>
      </c>
      <c r="C2558">
        <f>IF(B2558="","",'Daily Sale entry '!AA1058)</f>
        <v/>
      </c>
      <c r="D2558">
        <f>IF(C2558="","",0)</f>
        <v/>
      </c>
      <c r="E2558">
        <f>IF(C2558="","",'Daily Sale entry '!AC1058)</f>
        <v/>
      </c>
      <c r="F2558" s="37">
        <f>IF(C2558="","",B2558+IF(E2558&gt;0,0,0.5)+ROW()/10000000)</f>
        <v/>
      </c>
      <c r="G2558">
        <f>IF(C2558="","","Collection 收款 (Online 网上)"&amp;IF('Daily Sale entry '!Y1058="",""," - "&amp;'Daily Sale entry '!Y1058))</f>
        <v/>
      </c>
      <c r="H2558">
        <f>IF(C2558="","",COUNTIFS($C$2:$C$3001,C2558,$F$2:$F$3001,"&lt;"&amp;F2558)+1)</f>
        <v/>
      </c>
      <c r="I2558">
        <f>IF(C2558="","",C2558&amp;"|"&amp;H2558)</f>
        <v/>
      </c>
      <c r="J2558" s="6">
        <f>IF(C2558="","",IF(H2558=1,SUMIFS('Opening Balance'!$F$4:$F$303,'Opening Balance'!$G$4:$G$303,C2558),INDEX($L$2:$L$3001,MATCH(C2558&amp;"|"&amp;(H2558-1),$I$2:$I$3001,0))))</f>
        <v/>
      </c>
      <c r="K2558" s="6">
        <f>IF(C2558="","",IF(M2558&gt;0,M2558,IF(AND(E2558&gt;0,ROUND(J2558+D2558-E2558,2)&gt;0,ROUND(J2558+D2558-E2558,2)&lt;'Opening Balance'!$B$14),ROUND(J2558+D2558-E2558,2),0)))</f>
        <v/>
      </c>
      <c r="L2558" s="6">
        <f>IF(C2558="","",ROUND(J2558+D2558-E2558-K2558,2))</f>
        <v/>
      </c>
      <c r="M2558" s="6">
        <f>IF(C2558="","",0)</f>
        <v/>
      </c>
    </row>
    <row r="2559">
      <c r="A2559" t="inlineStr">
        <is>
          <t>Bank 银行</t>
        </is>
      </c>
      <c r="B2559" s="5">
        <f>IF(AND('Daily Sale entry '!Z1059="Online collection 网上收款",'Daily Sale entry '!AA1059&lt;&gt;""),'Daily Sale entry '!X1059,"")</f>
        <v/>
      </c>
      <c r="C2559">
        <f>IF(B2559="","",'Daily Sale entry '!AA1059)</f>
        <v/>
      </c>
      <c r="D2559">
        <f>IF(C2559="","",0)</f>
        <v/>
      </c>
      <c r="E2559">
        <f>IF(C2559="","",'Daily Sale entry '!AC1059)</f>
        <v/>
      </c>
      <c r="F2559" s="37">
        <f>IF(C2559="","",B2559+IF(E2559&gt;0,0,0.5)+ROW()/10000000)</f>
        <v/>
      </c>
      <c r="G2559">
        <f>IF(C2559="","","Collection 收款 (Online 网上)"&amp;IF('Daily Sale entry '!Y1059="",""," - "&amp;'Daily Sale entry '!Y1059))</f>
        <v/>
      </c>
      <c r="H2559">
        <f>IF(C2559="","",COUNTIFS($C$2:$C$3001,C2559,$F$2:$F$3001,"&lt;"&amp;F2559)+1)</f>
        <v/>
      </c>
      <c r="I2559">
        <f>IF(C2559="","",C2559&amp;"|"&amp;H2559)</f>
        <v/>
      </c>
      <c r="J2559" s="6">
        <f>IF(C2559="","",IF(H2559=1,SUMIFS('Opening Balance'!$F$4:$F$303,'Opening Balance'!$G$4:$G$303,C2559),INDEX($L$2:$L$3001,MATCH(C2559&amp;"|"&amp;(H2559-1),$I$2:$I$3001,0))))</f>
        <v/>
      </c>
      <c r="K2559" s="6">
        <f>IF(C2559="","",IF(M2559&gt;0,M2559,IF(AND(E2559&gt;0,ROUND(J2559+D2559-E2559,2)&gt;0,ROUND(J2559+D2559-E2559,2)&lt;'Opening Balance'!$B$14),ROUND(J2559+D2559-E2559,2),0)))</f>
        <v/>
      </c>
      <c r="L2559" s="6">
        <f>IF(C2559="","",ROUND(J2559+D2559-E2559-K2559,2))</f>
        <v/>
      </c>
      <c r="M2559" s="6">
        <f>IF(C2559="","",0)</f>
        <v/>
      </c>
    </row>
    <row r="2560">
      <c r="A2560" t="inlineStr">
        <is>
          <t>Bank 银行</t>
        </is>
      </c>
      <c r="B2560" s="5">
        <f>IF(AND('Daily Sale entry '!Z1060="Online collection 网上收款",'Daily Sale entry '!AA1060&lt;&gt;""),'Daily Sale entry '!X1060,"")</f>
        <v/>
      </c>
      <c r="C2560">
        <f>IF(B2560="","",'Daily Sale entry '!AA1060)</f>
        <v/>
      </c>
      <c r="D2560">
        <f>IF(C2560="","",0)</f>
        <v/>
      </c>
      <c r="E2560">
        <f>IF(C2560="","",'Daily Sale entry '!AC1060)</f>
        <v/>
      </c>
      <c r="F2560" s="37">
        <f>IF(C2560="","",B2560+IF(E2560&gt;0,0,0.5)+ROW()/10000000)</f>
        <v/>
      </c>
      <c r="G2560">
        <f>IF(C2560="","","Collection 收款 (Online 网上)"&amp;IF('Daily Sale entry '!Y1060="",""," - "&amp;'Daily Sale entry '!Y1060))</f>
        <v/>
      </c>
      <c r="H2560">
        <f>IF(C2560="","",COUNTIFS($C$2:$C$3001,C2560,$F$2:$F$3001,"&lt;"&amp;F2560)+1)</f>
        <v/>
      </c>
      <c r="I2560">
        <f>IF(C2560="","",C2560&amp;"|"&amp;H2560)</f>
        <v/>
      </c>
      <c r="J2560" s="6">
        <f>IF(C2560="","",IF(H2560=1,SUMIFS('Opening Balance'!$F$4:$F$303,'Opening Balance'!$G$4:$G$303,C2560),INDEX($L$2:$L$3001,MATCH(C2560&amp;"|"&amp;(H2560-1),$I$2:$I$3001,0))))</f>
        <v/>
      </c>
      <c r="K2560" s="6">
        <f>IF(C2560="","",IF(M2560&gt;0,M2560,IF(AND(E2560&gt;0,ROUND(J2560+D2560-E2560,2)&gt;0,ROUND(J2560+D2560-E2560,2)&lt;'Opening Balance'!$B$14),ROUND(J2560+D2560-E2560,2),0)))</f>
        <v/>
      </c>
      <c r="L2560" s="6">
        <f>IF(C2560="","",ROUND(J2560+D2560-E2560-K2560,2))</f>
        <v/>
      </c>
      <c r="M2560" s="6">
        <f>IF(C2560="","",0)</f>
        <v/>
      </c>
    </row>
    <row r="2561">
      <c r="A2561" t="inlineStr">
        <is>
          <t>Bank 银行</t>
        </is>
      </c>
      <c r="B2561" s="5">
        <f>IF(AND('Daily Sale entry '!Z1061="Online collection 网上收款",'Daily Sale entry '!AA1061&lt;&gt;""),'Daily Sale entry '!X1061,"")</f>
        <v/>
      </c>
      <c r="C2561">
        <f>IF(B2561="","",'Daily Sale entry '!AA1061)</f>
        <v/>
      </c>
      <c r="D2561">
        <f>IF(C2561="","",0)</f>
        <v/>
      </c>
      <c r="E2561">
        <f>IF(C2561="","",'Daily Sale entry '!AC1061)</f>
        <v/>
      </c>
      <c r="F2561" s="37">
        <f>IF(C2561="","",B2561+IF(E2561&gt;0,0,0.5)+ROW()/10000000)</f>
        <v/>
      </c>
      <c r="G2561">
        <f>IF(C2561="","","Collection 收款 (Online 网上)"&amp;IF('Daily Sale entry '!Y1061="",""," - "&amp;'Daily Sale entry '!Y1061))</f>
        <v/>
      </c>
      <c r="H2561">
        <f>IF(C2561="","",COUNTIFS($C$2:$C$3001,C2561,$F$2:$F$3001,"&lt;"&amp;F2561)+1)</f>
        <v/>
      </c>
      <c r="I2561">
        <f>IF(C2561="","",C2561&amp;"|"&amp;H2561)</f>
        <v/>
      </c>
      <c r="J2561" s="6">
        <f>IF(C2561="","",IF(H2561=1,SUMIFS('Opening Balance'!$F$4:$F$303,'Opening Balance'!$G$4:$G$303,C2561),INDEX($L$2:$L$3001,MATCH(C2561&amp;"|"&amp;(H2561-1),$I$2:$I$3001,0))))</f>
        <v/>
      </c>
      <c r="K2561" s="6">
        <f>IF(C2561="","",IF(M2561&gt;0,M2561,IF(AND(E2561&gt;0,ROUND(J2561+D2561-E2561,2)&gt;0,ROUND(J2561+D2561-E2561,2)&lt;'Opening Balance'!$B$14),ROUND(J2561+D2561-E2561,2),0)))</f>
        <v/>
      </c>
      <c r="L2561" s="6">
        <f>IF(C2561="","",ROUND(J2561+D2561-E2561-K2561,2))</f>
        <v/>
      </c>
      <c r="M2561" s="6">
        <f>IF(C2561="","",0)</f>
        <v/>
      </c>
    </row>
    <row r="2562">
      <c r="A2562" t="inlineStr">
        <is>
          <t>Bank 银行</t>
        </is>
      </c>
      <c r="B2562" s="5">
        <f>IF(AND('Daily Sale entry '!Z1062="Online collection 网上收款",'Daily Sale entry '!AA1062&lt;&gt;""),'Daily Sale entry '!X1062,"")</f>
        <v/>
      </c>
      <c r="C2562">
        <f>IF(B2562="","",'Daily Sale entry '!AA1062)</f>
        <v/>
      </c>
      <c r="D2562">
        <f>IF(C2562="","",0)</f>
        <v/>
      </c>
      <c r="E2562">
        <f>IF(C2562="","",'Daily Sale entry '!AC1062)</f>
        <v/>
      </c>
      <c r="F2562" s="37">
        <f>IF(C2562="","",B2562+IF(E2562&gt;0,0,0.5)+ROW()/10000000)</f>
        <v/>
      </c>
      <c r="G2562">
        <f>IF(C2562="","","Collection 收款 (Online 网上)"&amp;IF('Daily Sale entry '!Y1062="",""," - "&amp;'Daily Sale entry '!Y1062))</f>
        <v/>
      </c>
      <c r="H2562">
        <f>IF(C2562="","",COUNTIFS($C$2:$C$3001,C2562,$F$2:$F$3001,"&lt;"&amp;F2562)+1)</f>
        <v/>
      </c>
      <c r="I2562">
        <f>IF(C2562="","",C2562&amp;"|"&amp;H2562)</f>
        <v/>
      </c>
      <c r="J2562" s="6">
        <f>IF(C2562="","",IF(H2562=1,SUMIFS('Opening Balance'!$F$4:$F$303,'Opening Balance'!$G$4:$G$303,C2562),INDEX($L$2:$L$3001,MATCH(C2562&amp;"|"&amp;(H2562-1),$I$2:$I$3001,0))))</f>
        <v/>
      </c>
      <c r="K2562" s="6">
        <f>IF(C2562="","",IF(M2562&gt;0,M2562,IF(AND(E2562&gt;0,ROUND(J2562+D2562-E2562,2)&gt;0,ROUND(J2562+D2562-E2562,2)&lt;'Opening Balance'!$B$14),ROUND(J2562+D2562-E2562,2),0)))</f>
        <v/>
      </c>
      <c r="L2562" s="6">
        <f>IF(C2562="","",ROUND(J2562+D2562-E2562-K2562,2))</f>
        <v/>
      </c>
      <c r="M2562" s="6">
        <f>IF(C2562="","",0)</f>
        <v/>
      </c>
    </row>
    <row r="2563">
      <c r="A2563" t="inlineStr">
        <is>
          <t>Bank 银行</t>
        </is>
      </c>
      <c r="B2563" s="5">
        <f>IF(AND('Daily Sale entry '!Z1063="Online collection 网上收款",'Daily Sale entry '!AA1063&lt;&gt;""),'Daily Sale entry '!X1063,"")</f>
        <v/>
      </c>
      <c r="C2563">
        <f>IF(B2563="","",'Daily Sale entry '!AA1063)</f>
        <v/>
      </c>
      <c r="D2563">
        <f>IF(C2563="","",0)</f>
        <v/>
      </c>
      <c r="E2563">
        <f>IF(C2563="","",'Daily Sale entry '!AC1063)</f>
        <v/>
      </c>
      <c r="F2563" s="37">
        <f>IF(C2563="","",B2563+IF(E2563&gt;0,0,0.5)+ROW()/10000000)</f>
        <v/>
      </c>
      <c r="G2563">
        <f>IF(C2563="","","Collection 收款 (Online 网上)"&amp;IF('Daily Sale entry '!Y1063="",""," - "&amp;'Daily Sale entry '!Y1063))</f>
        <v/>
      </c>
      <c r="H2563">
        <f>IF(C2563="","",COUNTIFS($C$2:$C$3001,C2563,$F$2:$F$3001,"&lt;"&amp;F2563)+1)</f>
        <v/>
      </c>
      <c r="I2563">
        <f>IF(C2563="","",C2563&amp;"|"&amp;H2563)</f>
        <v/>
      </c>
      <c r="J2563" s="6">
        <f>IF(C2563="","",IF(H2563=1,SUMIFS('Opening Balance'!$F$4:$F$303,'Opening Balance'!$G$4:$G$303,C2563),INDEX($L$2:$L$3001,MATCH(C2563&amp;"|"&amp;(H2563-1),$I$2:$I$3001,0))))</f>
        <v/>
      </c>
      <c r="K2563" s="6">
        <f>IF(C2563="","",IF(M2563&gt;0,M2563,IF(AND(E2563&gt;0,ROUND(J2563+D2563-E2563,2)&gt;0,ROUND(J2563+D2563-E2563,2)&lt;'Opening Balance'!$B$14),ROUND(J2563+D2563-E2563,2),0)))</f>
        <v/>
      </c>
      <c r="L2563" s="6">
        <f>IF(C2563="","",ROUND(J2563+D2563-E2563-K2563,2))</f>
        <v/>
      </c>
      <c r="M2563" s="6">
        <f>IF(C2563="","",0)</f>
        <v/>
      </c>
    </row>
    <row r="2564">
      <c r="A2564" t="inlineStr">
        <is>
          <t>Bank 银行</t>
        </is>
      </c>
      <c r="B2564" s="5">
        <f>IF(AND('Daily Sale entry '!Z1064="Online collection 网上收款",'Daily Sale entry '!AA1064&lt;&gt;""),'Daily Sale entry '!X1064,"")</f>
        <v/>
      </c>
      <c r="C2564">
        <f>IF(B2564="","",'Daily Sale entry '!AA1064)</f>
        <v/>
      </c>
      <c r="D2564">
        <f>IF(C2564="","",0)</f>
        <v/>
      </c>
      <c r="E2564">
        <f>IF(C2564="","",'Daily Sale entry '!AC1064)</f>
        <v/>
      </c>
      <c r="F2564" s="37">
        <f>IF(C2564="","",B2564+IF(E2564&gt;0,0,0.5)+ROW()/10000000)</f>
        <v/>
      </c>
      <c r="G2564">
        <f>IF(C2564="","","Collection 收款 (Online 网上)"&amp;IF('Daily Sale entry '!Y1064="",""," - "&amp;'Daily Sale entry '!Y1064))</f>
        <v/>
      </c>
      <c r="H2564">
        <f>IF(C2564="","",COUNTIFS($C$2:$C$3001,C2564,$F$2:$F$3001,"&lt;"&amp;F2564)+1)</f>
        <v/>
      </c>
      <c r="I2564">
        <f>IF(C2564="","",C2564&amp;"|"&amp;H2564)</f>
        <v/>
      </c>
      <c r="J2564" s="6">
        <f>IF(C2564="","",IF(H2564=1,SUMIFS('Opening Balance'!$F$4:$F$303,'Opening Balance'!$G$4:$G$303,C2564),INDEX($L$2:$L$3001,MATCH(C2564&amp;"|"&amp;(H2564-1),$I$2:$I$3001,0))))</f>
        <v/>
      </c>
      <c r="K2564" s="6">
        <f>IF(C2564="","",IF(M2564&gt;0,M2564,IF(AND(E2564&gt;0,ROUND(J2564+D2564-E2564,2)&gt;0,ROUND(J2564+D2564-E2564,2)&lt;'Opening Balance'!$B$14),ROUND(J2564+D2564-E2564,2),0)))</f>
        <v/>
      </c>
      <c r="L2564" s="6">
        <f>IF(C2564="","",ROUND(J2564+D2564-E2564-K2564,2))</f>
        <v/>
      </c>
      <c r="M2564" s="6">
        <f>IF(C2564="","",0)</f>
        <v/>
      </c>
    </row>
    <row r="2565">
      <c r="A2565" t="inlineStr">
        <is>
          <t>Bank 银行</t>
        </is>
      </c>
      <c r="B2565" s="5">
        <f>IF(AND('Daily Sale entry '!Z1065="Online collection 网上收款",'Daily Sale entry '!AA1065&lt;&gt;""),'Daily Sale entry '!X1065,"")</f>
        <v/>
      </c>
      <c r="C2565">
        <f>IF(B2565="","",'Daily Sale entry '!AA1065)</f>
        <v/>
      </c>
      <c r="D2565">
        <f>IF(C2565="","",0)</f>
        <v/>
      </c>
      <c r="E2565">
        <f>IF(C2565="","",'Daily Sale entry '!AC1065)</f>
        <v/>
      </c>
      <c r="F2565" s="37">
        <f>IF(C2565="","",B2565+IF(E2565&gt;0,0,0.5)+ROW()/10000000)</f>
        <v/>
      </c>
      <c r="G2565">
        <f>IF(C2565="","","Collection 收款 (Online 网上)"&amp;IF('Daily Sale entry '!Y1065="",""," - "&amp;'Daily Sale entry '!Y1065))</f>
        <v/>
      </c>
      <c r="H2565">
        <f>IF(C2565="","",COUNTIFS($C$2:$C$3001,C2565,$F$2:$F$3001,"&lt;"&amp;F2565)+1)</f>
        <v/>
      </c>
      <c r="I2565">
        <f>IF(C2565="","",C2565&amp;"|"&amp;H2565)</f>
        <v/>
      </c>
      <c r="J2565" s="6">
        <f>IF(C2565="","",IF(H2565=1,SUMIFS('Opening Balance'!$F$4:$F$303,'Opening Balance'!$G$4:$G$303,C2565),INDEX($L$2:$L$3001,MATCH(C2565&amp;"|"&amp;(H2565-1),$I$2:$I$3001,0))))</f>
        <v/>
      </c>
      <c r="K2565" s="6">
        <f>IF(C2565="","",IF(M2565&gt;0,M2565,IF(AND(E2565&gt;0,ROUND(J2565+D2565-E2565,2)&gt;0,ROUND(J2565+D2565-E2565,2)&lt;'Opening Balance'!$B$14),ROUND(J2565+D2565-E2565,2),0)))</f>
        <v/>
      </c>
      <c r="L2565" s="6">
        <f>IF(C2565="","",ROUND(J2565+D2565-E2565-K2565,2))</f>
        <v/>
      </c>
      <c r="M2565" s="6">
        <f>IF(C2565="","",0)</f>
        <v/>
      </c>
    </row>
    <row r="2566">
      <c r="A2566" t="inlineStr">
        <is>
          <t>Bank 银行</t>
        </is>
      </c>
      <c r="B2566" s="5">
        <f>IF(AND('Daily Sale entry '!Z1066="Online collection 网上收款",'Daily Sale entry '!AA1066&lt;&gt;""),'Daily Sale entry '!X1066,"")</f>
        <v/>
      </c>
      <c r="C2566">
        <f>IF(B2566="","",'Daily Sale entry '!AA1066)</f>
        <v/>
      </c>
      <c r="D2566">
        <f>IF(C2566="","",0)</f>
        <v/>
      </c>
      <c r="E2566">
        <f>IF(C2566="","",'Daily Sale entry '!AC1066)</f>
        <v/>
      </c>
      <c r="F2566" s="37">
        <f>IF(C2566="","",B2566+IF(E2566&gt;0,0,0.5)+ROW()/10000000)</f>
        <v/>
      </c>
      <c r="G2566">
        <f>IF(C2566="","","Collection 收款 (Online 网上)"&amp;IF('Daily Sale entry '!Y1066="",""," - "&amp;'Daily Sale entry '!Y1066))</f>
        <v/>
      </c>
      <c r="H2566">
        <f>IF(C2566="","",COUNTIFS($C$2:$C$3001,C2566,$F$2:$F$3001,"&lt;"&amp;F2566)+1)</f>
        <v/>
      </c>
      <c r="I2566">
        <f>IF(C2566="","",C2566&amp;"|"&amp;H2566)</f>
        <v/>
      </c>
      <c r="J2566" s="6">
        <f>IF(C2566="","",IF(H2566=1,SUMIFS('Opening Balance'!$F$4:$F$303,'Opening Balance'!$G$4:$G$303,C2566),INDEX($L$2:$L$3001,MATCH(C2566&amp;"|"&amp;(H2566-1),$I$2:$I$3001,0))))</f>
        <v/>
      </c>
      <c r="K2566" s="6">
        <f>IF(C2566="","",IF(M2566&gt;0,M2566,IF(AND(E2566&gt;0,ROUND(J2566+D2566-E2566,2)&gt;0,ROUND(J2566+D2566-E2566,2)&lt;'Opening Balance'!$B$14),ROUND(J2566+D2566-E2566,2),0)))</f>
        <v/>
      </c>
      <c r="L2566" s="6">
        <f>IF(C2566="","",ROUND(J2566+D2566-E2566-K2566,2))</f>
        <v/>
      </c>
      <c r="M2566" s="6">
        <f>IF(C2566="","",0)</f>
        <v/>
      </c>
    </row>
    <row r="2567">
      <c r="A2567" t="inlineStr">
        <is>
          <t>Bank 银行</t>
        </is>
      </c>
      <c r="B2567" s="5">
        <f>IF(AND('Daily Sale entry '!Z1067="Online collection 网上收款",'Daily Sale entry '!AA1067&lt;&gt;""),'Daily Sale entry '!X1067,"")</f>
        <v/>
      </c>
      <c r="C2567">
        <f>IF(B2567="","",'Daily Sale entry '!AA1067)</f>
        <v/>
      </c>
      <c r="D2567">
        <f>IF(C2567="","",0)</f>
        <v/>
      </c>
      <c r="E2567">
        <f>IF(C2567="","",'Daily Sale entry '!AC1067)</f>
        <v/>
      </c>
      <c r="F2567" s="37">
        <f>IF(C2567="","",B2567+IF(E2567&gt;0,0,0.5)+ROW()/10000000)</f>
        <v/>
      </c>
      <c r="G2567">
        <f>IF(C2567="","","Collection 收款 (Online 网上)"&amp;IF('Daily Sale entry '!Y1067="",""," - "&amp;'Daily Sale entry '!Y1067))</f>
        <v/>
      </c>
      <c r="H2567">
        <f>IF(C2567="","",COUNTIFS($C$2:$C$3001,C2567,$F$2:$F$3001,"&lt;"&amp;F2567)+1)</f>
        <v/>
      </c>
      <c r="I2567">
        <f>IF(C2567="","",C2567&amp;"|"&amp;H2567)</f>
        <v/>
      </c>
      <c r="J2567" s="6">
        <f>IF(C2567="","",IF(H2567=1,SUMIFS('Opening Balance'!$F$4:$F$303,'Opening Balance'!$G$4:$G$303,C2567),INDEX($L$2:$L$3001,MATCH(C2567&amp;"|"&amp;(H2567-1),$I$2:$I$3001,0))))</f>
        <v/>
      </c>
      <c r="K2567" s="6">
        <f>IF(C2567="","",IF(M2567&gt;0,M2567,IF(AND(E2567&gt;0,ROUND(J2567+D2567-E2567,2)&gt;0,ROUND(J2567+D2567-E2567,2)&lt;'Opening Balance'!$B$14),ROUND(J2567+D2567-E2567,2),0)))</f>
        <v/>
      </c>
      <c r="L2567" s="6">
        <f>IF(C2567="","",ROUND(J2567+D2567-E2567-K2567,2))</f>
        <v/>
      </c>
      <c r="M2567" s="6">
        <f>IF(C2567="","",0)</f>
        <v/>
      </c>
    </row>
    <row r="2568">
      <c r="A2568" t="inlineStr">
        <is>
          <t>Bank 银行</t>
        </is>
      </c>
      <c r="B2568" s="5">
        <f>IF(AND('Daily Sale entry '!Z1068="Online collection 网上收款",'Daily Sale entry '!AA1068&lt;&gt;""),'Daily Sale entry '!X1068,"")</f>
        <v/>
      </c>
      <c r="C2568">
        <f>IF(B2568="","",'Daily Sale entry '!AA1068)</f>
        <v/>
      </c>
      <c r="D2568">
        <f>IF(C2568="","",0)</f>
        <v/>
      </c>
      <c r="E2568">
        <f>IF(C2568="","",'Daily Sale entry '!AC1068)</f>
        <v/>
      </c>
      <c r="F2568" s="37">
        <f>IF(C2568="","",B2568+IF(E2568&gt;0,0,0.5)+ROW()/10000000)</f>
        <v/>
      </c>
      <c r="G2568">
        <f>IF(C2568="","","Collection 收款 (Online 网上)"&amp;IF('Daily Sale entry '!Y1068="",""," - "&amp;'Daily Sale entry '!Y1068))</f>
        <v/>
      </c>
      <c r="H2568">
        <f>IF(C2568="","",COUNTIFS($C$2:$C$3001,C2568,$F$2:$F$3001,"&lt;"&amp;F2568)+1)</f>
        <v/>
      </c>
      <c r="I2568">
        <f>IF(C2568="","",C2568&amp;"|"&amp;H2568)</f>
        <v/>
      </c>
      <c r="J2568" s="6">
        <f>IF(C2568="","",IF(H2568=1,SUMIFS('Opening Balance'!$F$4:$F$303,'Opening Balance'!$G$4:$G$303,C2568),INDEX($L$2:$L$3001,MATCH(C2568&amp;"|"&amp;(H2568-1),$I$2:$I$3001,0))))</f>
        <v/>
      </c>
      <c r="K2568" s="6">
        <f>IF(C2568="","",IF(M2568&gt;0,M2568,IF(AND(E2568&gt;0,ROUND(J2568+D2568-E2568,2)&gt;0,ROUND(J2568+D2568-E2568,2)&lt;'Opening Balance'!$B$14),ROUND(J2568+D2568-E2568,2),0)))</f>
        <v/>
      </c>
      <c r="L2568" s="6">
        <f>IF(C2568="","",ROUND(J2568+D2568-E2568-K2568,2))</f>
        <v/>
      </c>
      <c r="M2568" s="6">
        <f>IF(C2568="","",0)</f>
        <v/>
      </c>
    </row>
    <row r="2569">
      <c r="A2569" t="inlineStr">
        <is>
          <t>Bank 银行</t>
        </is>
      </c>
      <c r="B2569" s="5">
        <f>IF(AND('Daily Sale entry '!Z1069="Online collection 网上收款",'Daily Sale entry '!AA1069&lt;&gt;""),'Daily Sale entry '!X1069,"")</f>
        <v/>
      </c>
      <c r="C2569">
        <f>IF(B2569="","",'Daily Sale entry '!AA1069)</f>
        <v/>
      </c>
      <c r="D2569">
        <f>IF(C2569="","",0)</f>
        <v/>
      </c>
      <c r="E2569">
        <f>IF(C2569="","",'Daily Sale entry '!AC1069)</f>
        <v/>
      </c>
      <c r="F2569" s="37">
        <f>IF(C2569="","",B2569+IF(E2569&gt;0,0,0.5)+ROW()/10000000)</f>
        <v/>
      </c>
      <c r="G2569">
        <f>IF(C2569="","","Collection 收款 (Online 网上)"&amp;IF('Daily Sale entry '!Y1069="",""," - "&amp;'Daily Sale entry '!Y1069))</f>
        <v/>
      </c>
      <c r="H2569">
        <f>IF(C2569="","",COUNTIFS($C$2:$C$3001,C2569,$F$2:$F$3001,"&lt;"&amp;F2569)+1)</f>
        <v/>
      </c>
      <c r="I2569">
        <f>IF(C2569="","",C2569&amp;"|"&amp;H2569)</f>
        <v/>
      </c>
      <c r="J2569" s="6">
        <f>IF(C2569="","",IF(H2569=1,SUMIFS('Opening Balance'!$F$4:$F$303,'Opening Balance'!$G$4:$G$303,C2569),INDEX($L$2:$L$3001,MATCH(C2569&amp;"|"&amp;(H2569-1),$I$2:$I$3001,0))))</f>
        <v/>
      </c>
      <c r="K2569" s="6">
        <f>IF(C2569="","",IF(M2569&gt;0,M2569,IF(AND(E2569&gt;0,ROUND(J2569+D2569-E2569,2)&gt;0,ROUND(J2569+D2569-E2569,2)&lt;'Opening Balance'!$B$14),ROUND(J2569+D2569-E2569,2),0)))</f>
        <v/>
      </c>
      <c r="L2569" s="6">
        <f>IF(C2569="","",ROUND(J2569+D2569-E2569-K2569,2))</f>
        <v/>
      </c>
      <c r="M2569" s="6">
        <f>IF(C2569="","",0)</f>
        <v/>
      </c>
    </row>
    <row r="2570">
      <c r="A2570" t="inlineStr">
        <is>
          <t>Bank 银行</t>
        </is>
      </c>
      <c r="B2570" s="5">
        <f>IF(AND('Daily Sale entry '!Z1070="Online collection 网上收款",'Daily Sale entry '!AA1070&lt;&gt;""),'Daily Sale entry '!X1070,"")</f>
        <v/>
      </c>
      <c r="C2570">
        <f>IF(B2570="","",'Daily Sale entry '!AA1070)</f>
        <v/>
      </c>
      <c r="D2570">
        <f>IF(C2570="","",0)</f>
        <v/>
      </c>
      <c r="E2570">
        <f>IF(C2570="","",'Daily Sale entry '!AC1070)</f>
        <v/>
      </c>
      <c r="F2570" s="37">
        <f>IF(C2570="","",B2570+IF(E2570&gt;0,0,0.5)+ROW()/10000000)</f>
        <v/>
      </c>
      <c r="G2570">
        <f>IF(C2570="","","Collection 收款 (Online 网上)"&amp;IF('Daily Sale entry '!Y1070="",""," - "&amp;'Daily Sale entry '!Y1070))</f>
        <v/>
      </c>
      <c r="H2570">
        <f>IF(C2570="","",COUNTIFS($C$2:$C$3001,C2570,$F$2:$F$3001,"&lt;"&amp;F2570)+1)</f>
        <v/>
      </c>
      <c r="I2570">
        <f>IF(C2570="","",C2570&amp;"|"&amp;H2570)</f>
        <v/>
      </c>
      <c r="J2570" s="6">
        <f>IF(C2570="","",IF(H2570=1,SUMIFS('Opening Balance'!$F$4:$F$303,'Opening Balance'!$G$4:$G$303,C2570),INDEX($L$2:$L$3001,MATCH(C2570&amp;"|"&amp;(H2570-1),$I$2:$I$3001,0))))</f>
        <v/>
      </c>
      <c r="K2570" s="6">
        <f>IF(C2570="","",IF(M2570&gt;0,M2570,IF(AND(E2570&gt;0,ROUND(J2570+D2570-E2570,2)&gt;0,ROUND(J2570+D2570-E2570,2)&lt;'Opening Balance'!$B$14),ROUND(J2570+D2570-E2570,2),0)))</f>
        <v/>
      </c>
      <c r="L2570" s="6">
        <f>IF(C2570="","",ROUND(J2570+D2570-E2570-K2570,2))</f>
        <v/>
      </c>
      <c r="M2570" s="6">
        <f>IF(C2570="","",0)</f>
        <v/>
      </c>
    </row>
    <row r="2571">
      <c r="A2571" t="inlineStr">
        <is>
          <t>Bank 银行</t>
        </is>
      </c>
      <c r="B2571" s="5">
        <f>IF(AND('Daily Sale entry '!Z1071="Online collection 网上收款",'Daily Sale entry '!AA1071&lt;&gt;""),'Daily Sale entry '!X1071,"")</f>
        <v/>
      </c>
      <c r="C2571">
        <f>IF(B2571="","",'Daily Sale entry '!AA1071)</f>
        <v/>
      </c>
      <c r="D2571">
        <f>IF(C2571="","",0)</f>
        <v/>
      </c>
      <c r="E2571">
        <f>IF(C2571="","",'Daily Sale entry '!AC1071)</f>
        <v/>
      </c>
      <c r="F2571" s="37">
        <f>IF(C2571="","",B2571+IF(E2571&gt;0,0,0.5)+ROW()/10000000)</f>
        <v/>
      </c>
      <c r="G2571">
        <f>IF(C2571="","","Collection 收款 (Online 网上)"&amp;IF('Daily Sale entry '!Y1071="",""," - "&amp;'Daily Sale entry '!Y1071))</f>
        <v/>
      </c>
      <c r="H2571">
        <f>IF(C2571="","",COUNTIFS($C$2:$C$3001,C2571,$F$2:$F$3001,"&lt;"&amp;F2571)+1)</f>
        <v/>
      </c>
      <c r="I2571">
        <f>IF(C2571="","",C2571&amp;"|"&amp;H2571)</f>
        <v/>
      </c>
      <c r="J2571" s="6">
        <f>IF(C2571="","",IF(H2571=1,SUMIFS('Opening Balance'!$F$4:$F$303,'Opening Balance'!$G$4:$G$303,C2571),INDEX($L$2:$L$3001,MATCH(C2571&amp;"|"&amp;(H2571-1),$I$2:$I$3001,0))))</f>
        <v/>
      </c>
      <c r="K2571" s="6">
        <f>IF(C2571="","",IF(M2571&gt;0,M2571,IF(AND(E2571&gt;0,ROUND(J2571+D2571-E2571,2)&gt;0,ROUND(J2571+D2571-E2571,2)&lt;'Opening Balance'!$B$14),ROUND(J2571+D2571-E2571,2),0)))</f>
        <v/>
      </c>
      <c r="L2571" s="6">
        <f>IF(C2571="","",ROUND(J2571+D2571-E2571-K2571,2))</f>
        <v/>
      </c>
      <c r="M2571" s="6">
        <f>IF(C2571="","",0)</f>
        <v/>
      </c>
    </row>
    <row r="2572">
      <c r="A2572" t="inlineStr">
        <is>
          <t>Bank 银行</t>
        </is>
      </c>
      <c r="B2572" s="5">
        <f>IF(AND('Daily Sale entry '!Z1072="Online collection 网上收款",'Daily Sale entry '!AA1072&lt;&gt;""),'Daily Sale entry '!X1072,"")</f>
        <v/>
      </c>
      <c r="C2572">
        <f>IF(B2572="","",'Daily Sale entry '!AA1072)</f>
        <v/>
      </c>
      <c r="D2572">
        <f>IF(C2572="","",0)</f>
        <v/>
      </c>
      <c r="E2572">
        <f>IF(C2572="","",'Daily Sale entry '!AC1072)</f>
        <v/>
      </c>
      <c r="F2572" s="37">
        <f>IF(C2572="","",B2572+IF(E2572&gt;0,0,0.5)+ROW()/10000000)</f>
        <v/>
      </c>
      <c r="G2572">
        <f>IF(C2572="","","Collection 收款 (Online 网上)"&amp;IF('Daily Sale entry '!Y1072="",""," - "&amp;'Daily Sale entry '!Y1072))</f>
        <v/>
      </c>
      <c r="H2572">
        <f>IF(C2572="","",COUNTIFS($C$2:$C$3001,C2572,$F$2:$F$3001,"&lt;"&amp;F2572)+1)</f>
        <v/>
      </c>
      <c r="I2572">
        <f>IF(C2572="","",C2572&amp;"|"&amp;H2572)</f>
        <v/>
      </c>
      <c r="J2572" s="6">
        <f>IF(C2572="","",IF(H2572=1,SUMIFS('Opening Balance'!$F$4:$F$303,'Opening Balance'!$G$4:$G$303,C2572),INDEX($L$2:$L$3001,MATCH(C2572&amp;"|"&amp;(H2572-1),$I$2:$I$3001,0))))</f>
        <v/>
      </c>
      <c r="K2572" s="6">
        <f>IF(C2572="","",IF(M2572&gt;0,M2572,IF(AND(E2572&gt;0,ROUND(J2572+D2572-E2572,2)&gt;0,ROUND(J2572+D2572-E2572,2)&lt;'Opening Balance'!$B$14),ROUND(J2572+D2572-E2572,2),0)))</f>
        <v/>
      </c>
      <c r="L2572" s="6">
        <f>IF(C2572="","",ROUND(J2572+D2572-E2572-K2572,2))</f>
        <v/>
      </c>
      <c r="M2572" s="6">
        <f>IF(C2572="","",0)</f>
        <v/>
      </c>
    </row>
    <row r="2573">
      <c r="A2573" t="inlineStr">
        <is>
          <t>Bank 银行</t>
        </is>
      </c>
      <c r="B2573" s="5">
        <f>IF(AND('Daily Sale entry '!Z1073="Online collection 网上收款",'Daily Sale entry '!AA1073&lt;&gt;""),'Daily Sale entry '!X1073,"")</f>
        <v/>
      </c>
      <c r="C2573">
        <f>IF(B2573="","",'Daily Sale entry '!AA1073)</f>
        <v/>
      </c>
      <c r="D2573">
        <f>IF(C2573="","",0)</f>
        <v/>
      </c>
      <c r="E2573">
        <f>IF(C2573="","",'Daily Sale entry '!AC1073)</f>
        <v/>
      </c>
      <c r="F2573" s="37">
        <f>IF(C2573="","",B2573+IF(E2573&gt;0,0,0.5)+ROW()/10000000)</f>
        <v/>
      </c>
      <c r="G2573">
        <f>IF(C2573="","","Collection 收款 (Online 网上)"&amp;IF('Daily Sale entry '!Y1073="",""," - "&amp;'Daily Sale entry '!Y1073))</f>
        <v/>
      </c>
      <c r="H2573">
        <f>IF(C2573="","",COUNTIFS($C$2:$C$3001,C2573,$F$2:$F$3001,"&lt;"&amp;F2573)+1)</f>
        <v/>
      </c>
      <c r="I2573">
        <f>IF(C2573="","",C2573&amp;"|"&amp;H2573)</f>
        <v/>
      </c>
      <c r="J2573" s="6">
        <f>IF(C2573="","",IF(H2573=1,SUMIFS('Opening Balance'!$F$4:$F$303,'Opening Balance'!$G$4:$G$303,C2573),INDEX($L$2:$L$3001,MATCH(C2573&amp;"|"&amp;(H2573-1),$I$2:$I$3001,0))))</f>
        <v/>
      </c>
      <c r="K2573" s="6">
        <f>IF(C2573="","",IF(M2573&gt;0,M2573,IF(AND(E2573&gt;0,ROUND(J2573+D2573-E2573,2)&gt;0,ROUND(J2573+D2573-E2573,2)&lt;'Opening Balance'!$B$14),ROUND(J2573+D2573-E2573,2),0)))</f>
        <v/>
      </c>
      <c r="L2573" s="6">
        <f>IF(C2573="","",ROUND(J2573+D2573-E2573-K2573,2))</f>
        <v/>
      </c>
      <c r="M2573" s="6">
        <f>IF(C2573="","",0)</f>
        <v/>
      </c>
    </row>
    <row r="2574">
      <c r="A2574" t="inlineStr">
        <is>
          <t>Bank 银行</t>
        </is>
      </c>
      <c r="B2574" s="5">
        <f>IF(AND('Daily Sale entry '!Z1074="Online collection 网上收款",'Daily Sale entry '!AA1074&lt;&gt;""),'Daily Sale entry '!X1074,"")</f>
        <v/>
      </c>
      <c r="C2574">
        <f>IF(B2574="","",'Daily Sale entry '!AA1074)</f>
        <v/>
      </c>
      <c r="D2574">
        <f>IF(C2574="","",0)</f>
        <v/>
      </c>
      <c r="E2574">
        <f>IF(C2574="","",'Daily Sale entry '!AC1074)</f>
        <v/>
      </c>
      <c r="F2574" s="37">
        <f>IF(C2574="","",B2574+IF(E2574&gt;0,0,0.5)+ROW()/10000000)</f>
        <v/>
      </c>
      <c r="G2574">
        <f>IF(C2574="","","Collection 收款 (Online 网上)"&amp;IF('Daily Sale entry '!Y1074="",""," - "&amp;'Daily Sale entry '!Y1074))</f>
        <v/>
      </c>
      <c r="H2574">
        <f>IF(C2574="","",COUNTIFS($C$2:$C$3001,C2574,$F$2:$F$3001,"&lt;"&amp;F2574)+1)</f>
        <v/>
      </c>
      <c r="I2574">
        <f>IF(C2574="","",C2574&amp;"|"&amp;H2574)</f>
        <v/>
      </c>
      <c r="J2574" s="6">
        <f>IF(C2574="","",IF(H2574=1,SUMIFS('Opening Balance'!$F$4:$F$303,'Opening Balance'!$G$4:$G$303,C2574),INDEX($L$2:$L$3001,MATCH(C2574&amp;"|"&amp;(H2574-1),$I$2:$I$3001,0))))</f>
        <v/>
      </c>
      <c r="K2574" s="6">
        <f>IF(C2574="","",IF(M2574&gt;0,M2574,IF(AND(E2574&gt;0,ROUND(J2574+D2574-E2574,2)&gt;0,ROUND(J2574+D2574-E2574,2)&lt;'Opening Balance'!$B$14),ROUND(J2574+D2574-E2574,2),0)))</f>
        <v/>
      </c>
      <c r="L2574" s="6">
        <f>IF(C2574="","",ROUND(J2574+D2574-E2574-K2574,2))</f>
        <v/>
      </c>
      <c r="M2574" s="6">
        <f>IF(C2574="","",0)</f>
        <v/>
      </c>
    </row>
    <row r="2575">
      <c r="A2575" t="inlineStr">
        <is>
          <t>Bank 银行</t>
        </is>
      </c>
      <c r="B2575" s="5">
        <f>IF(AND('Daily Sale entry '!Z1075="Online collection 网上收款",'Daily Sale entry '!AA1075&lt;&gt;""),'Daily Sale entry '!X1075,"")</f>
        <v/>
      </c>
      <c r="C2575">
        <f>IF(B2575="","",'Daily Sale entry '!AA1075)</f>
        <v/>
      </c>
      <c r="D2575">
        <f>IF(C2575="","",0)</f>
        <v/>
      </c>
      <c r="E2575">
        <f>IF(C2575="","",'Daily Sale entry '!AC1075)</f>
        <v/>
      </c>
      <c r="F2575" s="37">
        <f>IF(C2575="","",B2575+IF(E2575&gt;0,0,0.5)+ROW()/10000000)</f>
        <v/>
      </c>
      <c r="G2575">
        <f>IF(C2575="","","Collection 收款 (Online 网上)"&amp;IF('Daily Sale entry '!Y1075="",""," - "&amp;'Daily Sale entry '!Y1075))</f>
        <v/>
      </c>
      <c r="H2575">
        <f>IF(C2575="","",COUNTIFS($C$2:$C$3001,C2575,$F$2:$F$3001,"&lt;"&amp;F2575)+1)</f>
        <v/>
      </c>
      <c r="I2575">
        <f>IF(C2575="","",C2575&amp;"|"&amp;H2575)</f>
        <v/>
      </c>
      <c r="J2575" s="6">
        <f>IF(C2575="","",IF(H2575=1,SUMIFS('Opening Balance'!$F$4:$F$303,'Opening Balance'!$G$4:$G$303,C2575),INDEX($L$2:$L$3001,MATCH(C2575&amp;"|"&amp;(H2575-1),$I$2:$I$3001,0))))</f>
        <v/>
      </c>
      <c r="K2575" s="6">
        <f>IF(C2575="","",IF(M2575&gt;0,M2575,IF(AND(E2575&gt;0,ROUND(J2575+D2575-E2575,2)&gt;0,ROUND(J2575+D2575-E2575,2)&lt;'Opening Balance'!$B$14),ROUND(J2575+D2575-E2575,2),0)))</f>
        <v/>
      </c>
      <c r="L2575" s="6">
        <f>IF(C2575="","",ROUND(J2575+D2575-E2575-K2575,2))</f>
        <v/>
      </c>
      <c r="M2575" s="6">
        <f>IF(C2575="","",0)</f>
        <v/>
      </c>
    </row>
    <row r="2576">
      <c r="A2576" t="inlineStr">
        <is>
          <t>Bank 银行</t>
        </is>
      </c>
      <c r="B2576" s="5">
        <f>IF(AND('Daily Sale entry '!Z1076="Online collection 网上收款",'Daily Sale entry '!AA1076&lt;&gt;""),'Daily Sale entry '!X1076,"")</f>
        <v/>
      </c>
      <c r="C2576">
        <f>IF(B2576="","",'Daily Sale entry '!AA1076)</f>
        <v/>
      </c>
      <c r="D2576">
        <f>IF(C2576="","",0)</f>
        <v/>
      </c>
      <c r="E2576">
        <f>IF(C2576="","",'Daily Sale entry '!AC1076)</f>
        <v/>
      </c>
      <c r="F2576" s="37">
        <f>IF(C2576="","",B2576+IF(E2576&gt;0,0,0.5)+ROW()/10000000)</f>
        <v/>
      </c>
      <c r="G2576">
        <f>IF(C2576="","","Collection 收款 (Online 网上)"&amp;IF('Daily Sale entry '!Y1076="",""," - "&amp;'Daily Sale entry '!Y1076))</f>
        <v/>
      </c>
      <c r="H2576">
        <f>IF(C2576="","",COUNTIFS($C$2:$C$3001,C2576,$F$2:$F$3001,"&lt;"&amp;F2576)+1)</f>
        <v/>
      </c>
      <c r="I2576">
        <f>IF(C2576="","",C2576&amp;"|"&amp;H2576)</f>
        <v/>
      </c>
      <c r="J2576" s="6">
        <f>IF(C2576="","",IF(H2576=1,SUMIFS('Opening Balance'!$F$4:$F$303,'Opening Balance'!$G$4:$G$303,C2576),INDEX($L$2:$L$3001,MATCH(C2576&amp;"|"&amp;(H2576-1),$I$2:$I$3001,0))))</f>
        <v/>
      </c>
      <c r="K2576" s="6">
        <f>IF(C2576="","",IF(M2576&gt;0,M2576,IF(AND(E2576&gt;0,ROUND(J2576+D2576-E2576,2)&gt;0,ROUND(J2576+D2576-E2576,2)&lt;'Opening Balance'!$B$14),ROUND(J2576+D2576-E2576,2),0)))</f>
        <v/>
      </c>
      <c r="L2576" s="6">
        <f>IF(C2576="","",ROUND(J2576+D2576-E2576-K2576,2))</f>
        <v/>
      </c>
      <c r="M2576" s="6">
        <f>IF(C2576="","",0)</f>
        <v/>
      </c>
    </row>
    <row r="2577">
      <c r="A2577" t="inlineStr">
        <is>
          <t>Bank 银行</t>
        </is>
      </c>
      <c r="B2577" s="5">
        <f>IF(AND('Daily Sale entry '!Z1077="Online collection 网上收款",'Daily Sale entry '!AA1077&lt;&gt;""),'Daily Sale entry '!X1077,"")</f>
        <v/>
      </c>
      <c r="C2577">
        <f>IF(B2577="","",'Daily Sale entry '!AA1077)</f>
        <v/>
      </c>
      <c r="D2577">
        <f>IF(C2577="","",0)</f>
        <v/>
      </c>
      <c r="E2577">
        <f>IF(C2577="","",'Daily Sale entry '!AC1077)</f>
        <v/>
      </c>
      <c r="F2577" s="37">
        <f>IF(C2577="","",B2577+IF(E2577&gt;0,0,0.5)+ROW()/10000000)</f>
        <v/>
      </c>
      <c r="G2577">
        <f>IF(C2577="","","Collection 收款 (Online 网上)"&amp;IF('Daily Sale entry '!Y1077="",""," - "&amp;'Daily Sale entry '!Y1077))</f>
        <v/>
      </c>
      <c r="H2577">
        <f>IF(C2577="","",COUNTIFS($C$2:$C$3001,C2577,$F$2:$F$3001,"&lt;"&amp;F2577)+1)</f>
        <v/>
      </c>
      <c r="I2577">
        <f>IF(C2577="","",C2577&amp;"|"&amp;H2577)</f>
        <v/>
      </c>
      <c r="J2577" s="6">
        <f>IF(C2577="","",IF(H2577=1,SUMIFS('Opening Balance'!$F$4:$F$303,'Opening Balance'!$G$4:$G$303,C2577),INDEX($L$2:$L$3001,MATCH(C2577&amp;"|"&amp;(H2577-1),$I$2:$I$3001,0))))</f>
        <v/>
      </c>
      <c r="K2577" s="6">
        <f>IF(C2577="","",IF(M2577&gt;0,M2577,IF(AND(E2577&gt;0,ROUND(J2577+D2577-E2577,2)&gt;0,ROUND(J2577+D2577-E2577,2)&lt;'Opening Balance'!$B$14),ROUND(J2577+D2577-E2577,2),0)))</f>
        <v/>
      </c>
      <c r="L2577" s="6">
        <f>IF(C2577="","",ROUND(J2577+D2577-E2577-K2577,2))</f>
        <v/>
      </c>
      <c r="M2577" s="6">
        <f>IF(C2577="","",0)</f>
        <v/>
      </c>
    </row>
    <row r="2578">
      <c r="A2578" t="inlineStr">
        <is>
          <t>Bank 银行</t>
        </is>
      </c>
      <c r="B2578" s="5">
        <f>IF(AND('Daily Sale entry '!Z1078="Online collection 网上收款",'Daily Sale entry '!AA1078&lt;&gt;""),'Daily Sale entry '!X1078,"")</f>
        <v/>
      </c>
      <c r="C2578">
        <f>IF(B2578="","",'Daily Sale entry '!AA1078)</f>
        <v/>
      </c>
      <c r="D2578">
        <f>IF(C2578="","",0)</f>
        <v/>
      </c>
      <c r="E2578">
        <f>IF(C2578="","",'Daily Sale entry '!AC1078)</f>
        <v/>
      </c>
      <c r="F2578" s="37">
        <f>IF(C2578="","",B2578+IF(E2578&gt;0,0,0.5)+ROW()/10000000)</f>
        <v/>
      </c>
      <c r="G2578">
        <f>IF(C2578="","","Collection 收款 (Online 网上)"&amp;IF('Daily Sale entry '!Y1078="",""," - "&amp;'Daily Sale entry '!Y1078))</f>
        <v/>
      </c>
      <c r="H2578">
        <f>IF(C2578="","",COUNTIFS($C$2:$C$3001,C2578,$F$2:$F$3001,"&lt;"&amp;F2578)+1)</f>
        <v/>
      </c>
      <c r="I2578">
        <f>IF(C2578="","",C2578&amp;"|"&amp;H2578)</f>
        <v/>
      </c>
      <c r="J2578" s="6">
        <f>IF(C2578="","",IF(H2578=1,SUMIFS('Opening Balance'!$F$4:$F$303,'Opening Balance'!$G$4:$G$303,C2578),INDEX($L$2:$L$3001,MATCH(C2578&amp;"|"&amp;(H2578-1),$I$2:$I$3001,0))))</f>
        <v/>
      </c>
      <c r="K2578" s="6">
        <f>IF(C2578="","",IF(M2578&gt;0,M2578,IF(AND(E2578&gt;0,ROUND(J2578+D2578-E2578,2)&gt;0,ROUND(J2578+D2578-E2578,2)&lt;'Opening Balance'!$B$14),ROUND(J2578+D2578-E2578,2),0)))</f>
        <v/>
      </c>
      <c r="L2578" s="6">
        <f>IF(C2578="","",ROUND(J2578+D2578-E2578-K2578,2))</f>
        <v/>
      </c>
      <c r="M2578" s="6">
        <f>IF(C2578="","",0)</f>
        <v/>
      </c>
    </row>
    <row r="2579">
      <c r="A2579" t="inlineStr">
        <is>
          <t>Bank 银行</t>
        </is>
      </c>
      <c r="B2579" s="5">
        <f>IF(AND('Daily Sale entry '!Z1079="Online collection 网上收款",'Daily Sale entry '!AA1079&lt;&gt;""),'Daily Sale entry '!X1079,"")</f>
        <v/>
      </c>
      <c r="C2579">
        <f>IF(B2579="","",'Daily Sale entry '!AA1079)</f>
        <v/>
      </c>
      <c r="D2579">
        <f>IF(C2579="","",0)</f>
        <v/>
      </c>
      <c r="E2579">
        <f>IF(C2579="","",'Daily Sale entry '!AC1079)</f>
        <v/>
      </c>
      <c r="F2579" s="37">
        <f>IF(C2579="","",B2579+IF(E2579&gt;0,0,0.5)+ROW()/10000000)</f>
        <v/>
      </c>
      <c r="G2579">
        <f>IF(C2579="","","Collection 收款 (Online 网上)"&amp;IF('Daily Sale entry '!Y1079="",""," - "&amp;'Daily Sale entry '!Y1079))</f>
        <v/>
      </c>
      <c r="H2579">
        <f>IF(C2579="","",COUNTIFS($C$2:$C$3001,C2579,$F$2:$F$3001,"&lt;"&amp;F2579)+1)</f>
        <v/>
      </c>
      <c r="I2579">
        <f>IF(C2579="","",C2579&amp;"|"&amp;H2579)</f>
        <v/>
      </c>
      <c r="J2579" s="6">
        <f>IF(C2579="","",IF(H2579=1,SUMIFS('Opening Balance'!$F$4:$F$303,'Opening Balance'!$G$4:$G$303,C2579),INDEX($L$2:$L$3001,MATCH(C2579&amp;"|"&amp;(H2579-1),$I$2:$I$3001,0))))</f>
        <v/>
      </c>
      <c r="K2579" s="6">
        <f>IF(C2579="","",IF(M2579&gt;0,M2579,IF(AND(E2579&gt;0,ROUND(J2579+D2579-E2579,2)&gt;0,ROUND(J2579+D2579-E2579,2)&lt;'Opening Balance'!$B$14),ROUND(J2579+D2579-E2579,2),0)))</f>
        <v/>
      </c>
      <c r="L2579" s="6">
        <f>IF(C2579="","",ROUND(J2579+D2579-E2579-K2579,2))</f>
        <v/>
      </c>
      <c r="M2579" s="6">
        <f>IF(C2579="","",0)</f>
        <v/>
      </c>
    </row>
    <row r="2580">
      <c r="A2580" t="inlineStr">
        <is>
          <t>Bank 银行</t>
        </is>
      </c>
      <c r="B2580" s="5">
        <f>IF(AND('Daily Sale entry '!Z1080="Online collection 网上收款",'Daily Sale entry '!AA1080&lt;&gt;""),'Daily Sale entry '!X1080,"")</f>
        <v/>
      </c>
      <c r="C2580">
        <f>IF(B2580="","",'Daily Sale entry '!AA1080)</f>
        <v/>
      </c>
      <c r="D2580">
        <f>IF(C2580="","",0)</f>
        <v/>
      </c>
      <c r="E2580">
        <f>IF(C2580="","",'Daily Sale entry '!AC1080)</f>
        <v/>
      </c>
      <c r="F2580" s="37">
        <f>IF(C2580="","",B2580+IF(E2580&gt;0,0,0.5)+ROW()/10000000)</f>
        <v/>
      </c>
      <c r="G2580">
        <f>IF(C2580="","","Collection 收款 (Online 网上)"&amp;IF('Daily Sale entry '!Y1080="",""," - "&amp;'Daily Sale entry '!Y1080))</f>
        <v/>
      </c>
      <c r="H2580">
        <f>IF(C2580="","",COUNTIFS($C$2:$C$3001,C2580,$F$2:$F$3001,"&lt;"&amp;F2580)+1)</f>
        <v/>
      </c>
      <c r="I2580">
        <f>IF(C2580="","",C2580&amp;"|"&amp;H2580)</f>
        <v/>
      </c>
      <c r="J2580" s="6">
        <f>IF(C2580="","",IF(H2580=1,SUMIFS('Opening Balance'!$F$4:$F$303,'Opening Balance'!$G$4:$G$303,C2580),INDEX($L$2:$L$3001,MATCH(C2580&amp;"|"&amp;(H2580-1),$I$2:$I$3001,0))))</f>
        <v/>
      </c>
      <c r="K2580" s="6">
        <f>IF(C2580="","",IF(M2580&gt;0,M2580,IF(AND(E2580&gt;0,ROUND(J2580+D2580-E2580,2)&gt;0,ROUND(J2580+D2580-E2580,2)&lt;'Opening Balance'!$B$14),ROUND(J2580+D2580-E2580,2),0)))</f>
        <v/>
      </c>
      <c r="L2580" s="6">
        <f>IF(C2580="","",ROUND(J2580+D2580-E2580-K2580,2))</f>
        <v/>
      </c>
      <c r="M2580" s="6">
        <f>IF(C2580="","",0)</f>
        <v/>
      </c>
    </row>
    <row r="2581">
      <c r="A2581" t="inlineStr">
        <is>
          <t>Bank 银行</t>
        </is>
      </c>
      <c r="B2581" s="5">
        <f>IF(AND('Daily Sale entry '!Z1081="Online collection 网上收款",'Daily Sale entry '!AA1081&lt;&gt;""),'Daily Sale entry '!X1081,"")</f>
        <v/>
      </c>
      <c r="C2581">
        <f>IF(B2581="","",'Daily Sale entry '!AA1081)</f>
        <v/>
      </c>
      <c r="D2581">
        <f>IF(C2581="","",0)</f>
        <v/>
      </c>
      <c r="E2581">
        <f>IF(C2581="","",'Daily Sale entry '!AC1081)</f>
        <v/>
      </c>
      <c r="F2581" s="37">
        <f>IF(C2581="","",B2581+IF(E2581&gt;0,0,0.5)+ROW()/10000000)</f>
        <v/>
      </c>
      <c r="G2581">
        <f>IF(C2581="","","Collection 收款 (Online 网上)"&amp;IF('Daily Sale entry '!Y1081="",""," - "&amp;'Daily Sale entry '!Y1081))</f>
        <v/>
      </c>
      <c r="H2581">
        <f>IF(C2581="","",COUNTIFS($C$2:$C$3001,C2581,$F$2:$F$3001,"&lt;"&amp;F2581)+1)</f>
        <v/>
      </c>
      <c r="I2581">
        <f>IF(C2581="","",C2581&amp;"|"&amp;H2581)</f>
        <v/>
      </c>
      <c r="J2581" s="6">
        <f>IF(C2581="","",IF(H2581=1,SUMIFS('Opening Balance'!$F$4:$F$303,'Opening Balance'!$G$4:$G$303,C2581),INDEX($L$2:$L$3001,MATCH(C2581&amp;"|"&amp;(H2581-1),$I$2:$I$3001,0))))</f>
        <v/>
      </c>
      <c r="K2581" s="6">
        <f>IF(C2581="","",IF(M2581&gt;0,M2581,IF(AND(E2581&gt;0,ROUND(J2581+D2581-E2581,2)&gt;0,ROUND(J2581+D2581-E2581,2)&lt;'Opening Balance'!$B$14),ROUND(J2581+D2581-E2581,2),0)))</f>
        <v/>
      </c>
      <c r="L2581" s="6">
        <f>IF(C2581="","",ROUND(J2581+D2581-E2581-K2581,2))</f>
        <v/>
      </c>
      <c r="M2581" s="6">
        <f>IF(C2581="","",0)</f>
        <v/>
      </c>
    </row>
    <row r="2582">
      <c r="A2582" t="inlineStr">
        <is>
          <t>Bank 银行</t>
        </is>
      </c>
      <c r="B2582" s="5">
        <f>IF(AND('Daily Sale entry '!Z1082="Online collection 网上收款",'Daily Sale entry '!AA1082&lt;&gt;""),'Daily Sale entry '!X1082,"")</f>
        <v/>
      </c>
      <c r="C2582">
        <f>IF(B2582="","",'Daily Sale entry '!AA1082)</f>
        <v/>
      </c>
      <c r="D2582">
        <f>IF(C2582="","",0)</f>
        <v/>
      </c>
      <c r="E2582">
        <f>IF(C2582="","",'Daily Sale entry '!AC1082)</f>
        <v/>
      </c>
      <c r="F2582" s="37">
        <f>IF(C2582="","",B2582+IF(E2582&gt;0,0,0.5)+ROW()/10000000)</f>
        <v/>
      </c>
      <c r="G2582">
        <f>IF(C2582="","","Collection 收款 (Online 网上)"&amp;IF('Daily Sale entry '!Y1082="",""," - "&amp;'Daily Sale entry '!Y1082))</f>
        <v/>
      </c>
      <c r="H2582">
        <f>IF(C2582="","",COUNTIFS($C$2:$C$3001,C2582,$F$2:$F$3001,"&lt;"&amp;F2582)+1)</f>
        <v/>
      </c>
      <c r="I2582">
        <f>IF(C2582="","",C2582&amp;"|"&amp;H2582)</f>
        <v/>
      </c>
      <c r="J2582" s="6">
        <f>IF(C2582="","",IF(H2582=1,SUMIFS('Opening Balance'!$F$4:$F$303,'Opening Balance'!$G$4:$G$303,C2582),INDEX($L$2:$L$3001,MATCH(C2582&amp;"|"&amp;(H2582-1),$I$2:$I$3001,0))))</f>
        <v/>
      </c>
      <c r="K2582" s="6">
        <f>IF(C2582="","",IF(M2582&gt;0,M2582,IF(AND(E2582&gt;0,ROUND(J2582+D2582-E2582,2)&gt;0,ROUND(J2582+D2582-E2582,2)&lt;'Opening Balance'!$B$14),ROUND(J2582+D2582-E2582,2),0)))</f>
        <v/>
      </c>
      <c r="L2582" s="6">
        <f>IF(C2582="","",ROUND(J2582+D2582-E2582-K2582,2))</f>
        <v/>
      </c>
      <c r="M2582" s="6">
        <f>IF(C2582="","",0)</f>
        <v/>
      </c>
    </row>
    <row r="2583">
      <c r="A2583" t="inlineStr">
        <is>
          <t>Bank 银行</t>
        </is>
      </c>
      <c r="B2583" s="5">
        <f>IF(AND('Daily Sale entry '!Z1083="Online collection 网上收款",'Daily Sale entry '!AA1083&lt;&gt;""),'Daily Sale entry '!X1083,"")</f>
        <v/>
      </c>
      <c r="C2583">
        <f>IF(B2583="","",'Daily Sale entry '!AA1083)</f>
        <v/>
      </c>
      <c r="D2583">
        <f>IF(C2583="","",0)</f>
        <v/>
      </c>
      <c r="E2583">
        <f>IF(C2583="","",'Daily Sale entry '!AC1083)</f>
        <v/>
      </c>
      <c r="F2583" s="37">
        <f>IF(C2583="","",B2583+IF(E2583&gt;0,0,0.5)+ROW()/10000000)</f>
        <v/>
      </c>
      <c r="G2583">
        <f>IF(C2583="","","Collection 收款 (Online 网上)"&amp;IF('Daily Sale entry '!Y1083="",""," - "&amp;'Daily Sale entry '!Y1083))</f>
        <v/>
      </c>
      <c r="H2583">
        <f>IF(C2583="","",COUNTIFS($C$2:$C$3001,C2583,$F$2:$F$3001,"&lt;"&amp;F2583)+1)</f>
        <v/>
      </c>
      <c r="I2583">
        <f>IF(C2583="","",C2583&amp;"|"&amp;H2583)</f>
        <v/>
      </c>
      <c r="J2583" s="6">
        <f>IF(C2583="","",IF(H2583=1,SUMIFS('Opening Balance'!$F$4:$F$303,'Opening Balance'!$G$4:$G$303,C2583),INDEX($L$2:$L$3001,MATCH(C2583&amp;"|"&amp;(H2583-1),$I$2:$I$3001,0))))</f>
        <v/>
      </c>
      <c r="K2583" s="6">
        <f>IF(C2583="","",IF(M2583&gt;0,M2583,IF(AND(E2583&gt;0,ROUND(J2583+D2583-E2583,2)&gt;0,ROUND(J2583+D2583-E2583,2)&lt;'Opening Balance'!$B$14),ROUND(J2583+D2583-E2583,2),0)))</f>
        <v/>
      </c>
      <c r="L2583" s="6">
        <f>IF(C2583="","",ROUND(J2583+D2583-E2583-K2583,2))</f>
        <v/>
      </c>
      <c r="M2583" s="6">
        <f>IF(C2583="","",0)</f>
        <v/>
      </c>
    </row>
    <row r="2584">
      <c r="A2584" t="inlineStr">
        <is>
          <t>Bank 银行</t>
        </is>
      </c>
      <c r="B2584" s="5">
        <f>IF(AND('Daily Sale entry '!Z1084="Online collection 网上收款",'Daily Sale entry '!AA1084&lt;&gt;""),'Daily Sale entry '!X1084,"")</f>
        <v/>
      </c>
      <c r="C2584">
        <f>IF(B2584="","",'Daily Sale entry '!AA1084)</f>
        <v/>
      </c>
      <c r="D2584">
        <f>IF(C2584="","",0)</f>
        <v/>
      </c>
      <c r="E2584">
        <f>IF(C2584="","",'Daily Sale entry '!AC1084)</f>
        <v/>
      </c>
      <c r="F2584" s="37">
        <f>IF(C2584="","",B2584+IF(E2584&gt;0,0,0.5)+ROW()/10000000)</f>
        <v/>
      </c>
      <c r="G2584">
        <f>IF(C2584="","","Collection 收款 (Online 网上)"&amp;IF('Daily Sale entry '!Y1084="",""," - "&amp;'Daily Sale entry '!Y1084))</f>
        <v/>
      </c>
      <c r="H2584">
        <f>IF(C2584="","",COUNTIFS($C$2:$C$3001,C2584,$F$2:$F$3001,"&lt;"&amp;F2584)+1)</f>
        <v/>
      </c>
      <c r="I2584">
        <f>IF(C2584="","",C2584&amp;"|"&amp;H2584)</f>
        <v/>
      </c>
      <c r="J2584" s="6">
        <f>IF(C2584="","",IF(H2584=1,SUMIFS('Opening Balance'!$F$4:$F$303,'Opening Balance'!$G$4:$G$303,C2584),INDEX($L$2:$L$3001,MATCH(C2584&amp;"|"&amp;(H2584-1),$I$2:$I$3001,0))))</f>
        <v/>
      </c>
      <c r="K2584" s="6">
        <f>IF(C2584="","",IF(M2584&gt;0,M2584,IF(AND(E2584&gt;0,ROUND(J2584+D2584-E2584,2)&gt;0,ROUND(J2584+D2584-E2584,2)&lt;'Opening Balance'!$B$14),ROUND(J2584+D2584-E2584,2),0)))</f>
        <v/>
      </c>
      <c r="L2584" s="6">
        <f>IF(C2584="","",ROUND(J2584+D2584-E2584-K2584,2))</f>
        <v/>
      </c>
      <c r="M2584" s="6">
        <f>IF(C2584="","",0)</f>
        <v/>
      </c>
    </row>
    <row r="2585">
      <c r="A2585" t="inlineStr">
        <is>
          <t>Bank 银行</t>
        </is>
      </c>
      <c r="B2585" s="5">
        <f>IF(AND('Daily Sale entry '!Z1085="Online collection 网上收款",'Daily Sale entry '!AA1085&lt;&gt;""),'Daily Sale entry '!X1085,"")</f>
        <v/>
      </c>
      <c r="C2585">
        <f>IF(B2585="","",'Daily Sale entry '!AA1085)</f>
        <v/>
      </c>
      <c r="D2585">
        <f>IF(C2585="","",0)</f>
        <v/>
      </c>
      <c r="E2585">
        <f>IF(C2585="","",'Daily Sale entry '!AC1085)</f>
        <v/>
      </c>
      <c r="F2585" s="37">
        <f>IF(C2585="","",B2585+IF(E2585&gt;0,0,0.5)+ROW()/10000000)</f>
        <v/>
      </c>
      <c r="G2585">
        <f>IF(C2585="","","Collection 收款 (Online 网上)"&amp;IF('Daily Sale entry '!Y1085="",""," - "&amp;'Daily Sale entry '!Y1085))</f>
        <v/>
      </c>
      <c r="H2585">
        <f>IF(C2585="","",COUNTIFS($C$2:$C$3001,C2585,$F$2:$F$3001,"&lt;"&amp;F2585)+1)</f>
        <v/>
      </c>
      <c r="I2585">
        <f>IF(C2585="","",C2585&amp;"|"&amp;H2585)</f>
        <v/>
      </c>
      <c r="J2585" s="6">
        <f>IF(C2585="","",IF(H2585=1,SUMIFS('Opening Balance'!$F$4:$F$303,'Opening Balance'!$G$4:$G$303,C2585),INDEX($L$2:$L$3001,MATCH(C2585&amp;"|"&amp;(H2585-1),$I$2:$I$3001,0))))</f>
        <v/>
      </c>
      <c r="K2585" s="6">
        <f>IF(C2585="","",IF(M2585&gt;0,M2585,IF(AND(E2585&gt;0,ROUND(J2585+D2585-E2585,2)&gt;0,ROUND(J2585+D2585-E2585,2)&lt;'Opening Balance'!$B$14),ROUND(J2585+D2585-E2585,2),0)))</f>
        <v/>
      </c>
      <c r="L2585" s="6">
        <f>IF(C2585="","",ROUND(J2585+D2585-E2585-K2585,2))</f>
        <v/>
      </c>
      <c r="M2585" s="6">
        <f>IF(C2585="","",0)</f>
        <v/>
      </c>
    </row>
    <row r="2586">
      <c r="A2586" t="inlineStr">
        <is>
          <t>Bank 银行</t>
        </is>
      </c>
      <c r="B2586" s="5">
        <f>IF(AND('Daily Sale entry '!Z1086="Online collection 网上收款",'Daily Sale entry '!AA1086&lt;&gt;""),'Daily Sale entry '!X1086,"")</f>
        <v/>
      </c>
      <c r="C2586">
        <f>IF(B2586="","",'Daily Sale entry '!AA1086)</f>
        <v/>
      </c>
      <c r="D2586">
        <f>IF(C2586="","",0)</f>
        <v/>
      </c>
      <c r="E2586">
        <f>IF(C2586="","",'Daily Sale entry '!AC1086)</f>
        <v/>
      </c>
      <c r="F2586" s="37">
        <f>IF(C2586="","",B2586+IF(E2586&gt;0,0,0.5)+ROW()/10000000)</f>
        <v/>
      </c>
      <c r="G2586">
        <f>IF(C2586="","","Collection 收款 (Online 网上)"&amp;IF('Daily Sale entry '!Y1086="",""," - "&amp;'Daily Sale entry '!Y1086))</f>
        <v/>
      </c>
      <c r="H2586">
        <f>IF(C2586="","",COUNTIFS($C$2:$C$3001,C2586,$F$2:$F$3001,"&lt;"&amp;F2586)+1)</f>
        <v/>
      </c>
      <c r="I2586">
        <f>IF(C2586="","",C2586&amp;"|"&amp;H2586)</f>
        <v/>
      </c>
      <c r="J2586" s="6">
        <f>IF(C2586="","",IF(H2586=1,SUMIFS('Opening Balance'!$F$4:$F$303,'Opening Balance'!$G$4:$G$303,C2586),INDEX($L$2:$L$3001,MATCH(C2586&amp;"|"&amp;(H2586-1),$I$2:$I$3001,0))))</f>
        <v/>
      </c>
      <c r="K2586" s="6">
        <f>IF(C2586="","",IF(M2586&gt;0,M2586,IF(AND(E2586&gt;0,ROUND(J2586+D2586-E2586,2)&gt;0,ROUND(J2586+D2586-E2586,2)&lt;'Opening Balance'!$B$14),ROUND(J2586+D2586-E2586,2),0)))</f>
        <v/>
      </c>
      <c r="L2586" s="6">
        <f>IF(C2586="","",ROUND(J2586+D2586-E2586-K2586,2))</f>
        <v/>
      </c>
      <c r="M2586" s="6">
        <f>IF(C2586="","",0)</f>
        <v/>
      </c>
    </row>
    <row r="2587">
      <c r="A2587" t="inlineStr">
        <is>
          <t>Bank 银行</t>
        </is>
      </c>
      <c r="B2587" s="5">
        <f>IF(AND('Daily Sale entry '!Z1087="Online collection 网上收款",'Daily Sale entry '!AA1087&lt;&gt;""),'Daily Sale entry '!X1087,"")</f>
        <v/>
      </c>
      <c r="C2587">
        <f>IF(B2587="","",'Daily Sale entry '!AA1087)</f>
        <v/>
      </c>
      <c r="D2587">
        <f>IF(C2587="","",0)</f>
        <v/>
      </c>
      <c r="E2587">
        <f>IF(C2587="","",'Daily Sale entry '!AC1087)</f>
        <v/>
      </c>
      <c r="F2587" s="37">
        <f>IF(C2587="","",B2587+IF(E2587&gt;0,0,0.5)+ROW()/10000000)</f>
        <v/>
      </c>
      <c r="G2587">
        <f>IF(C2587="","","Collection 收款 (Online 网上)"&amp;IF('Daily Sale entry '!Y1087="",""," - "&amp;'Daily Sale entry '!Y1087))</f>
        <v/>
      </c>
      <c r="H2587">
        <f>IF(C2587="","",COUNTIFS($C$2:$C$3001,C2587,$F$2:$F$3001,"&lt;"&amp;F2587)+1)</f>
        <v/>
      </c>
      <c r="I2587">
        <f>IF(C2587="","",C2587&amp;"|"&amp;H2587)</f>
        <v/>
      </c>
      <c r="J2587" s="6">
        <f>IF(C2587="","",IF(H2587=1,SUMIFS('Opening Balance'!$F$4:$F$303,'Opening Balance'!$G$4:$G$303,C2587),INDEX($L$2:$L$3001,MATCH(C2587&amp;"|"&amp;(H2587-1),$I$2:$I$3001,0))))</f>
        <v/>
      </c>
      <c r="K2587" s="6">
        <f>IF(C2587="","",IF(M2587&gt;0,M2587,IF(AND(E2587&gt;0,ROUND(J2587+D2587-E2587,2)&gt;0,ROUND(J2587+D2587-E2587,2)&lt;'Opening Balance'!$B$14),ROUND(J2587+D2587-E2587,2),0)))</f>
        <v/>
      </c>
      <c r="L2587" s="6">
        <f>IF(C2587="","",ROUND(J2587+D2587-E2587-K2587,2))</f>
        <v/>
      </c>
      <c r="M2587" s="6">
        <f>IF(C2587="","",0)</f>
        <v/>
      </c>
    </row>
    <row r="2588">
      <c r="A2588" t="inlineStr">
        <is>
          <t>Bank 银行</t>
        </is>
      </c>
      <c r="B2588" s="5">
        <f>IF(AND('Daily Sale entry '!Z1088="Online collection 网上收款",'Daily Sale entry '!AA1088&lt;&gt;""),'Daily Sale entry '!X1088,"")</f>
        <v/>
      </c>
      <c r="C2588">
        <f>IF(B2588="","",'Daily Sale entry '!AA1088)</f>
        <v/>
      </c>
      <c r="D2588">
        <f>IF(C2588="","",0)</f>
        <v/>
      </c>
      <c r="E2588">
        <f>IF(C2588="","",'Daily Sale entry '!AC1088)</f>
        <v/>
      </c>
      <c r="F2588" s="37">
        <f>IF(C2588="","",B2588+IF(E2588&gt;0,0,0.5)+ROW()/10000000)</f>
        <v/>
      </c>
      <c r="G2588">
        <f>IF(C2588="","","Collection 收款 (Online 网上)"&amp;IF('Daily Sale entry '!Y1088="",""," - "&amp;'Daily Sale entry '!Y1088))</f>
        <v/>
      </c>
      <c r="H2588">
        <f>IF(C2588="","",COUNTIFS($C$2:$C$3001,C2588,$F$2:$F$3001,"&lt;"&amp;F2588)+1)</f>
        <v/>
      </c>
      <c r="I2588">
        <f>IF(C2588="","",C2588&amp;"|"&amp;H2588)</f>
        <v/>
      </c>
      <c r="J2588" s="6">
        <f>IF(C2588="","",IF(H2588=1,SUMIFS('Opening Balance'!$F$4:$F$303,'Opening Balance'!$G$4:$G$303,C2588),INDEX($L$2:$L$3001,MATCH(C2588&amp;"|"&amp;(H2588-1),$I$2:$I$3001,0))))</f>
        <v/>
      </c>
      <c r="K2588" s="6">
        <f>IF(C2588="","",IF(M2588&gt;0,M2588,IF(AND(E2588&gt;0,ROUND(J2588+D2588-E2588,2)&gt;0,ROUND(J2588+D2588-E2588,2)&lt;'Opening Balance'!$B$14),ROUND(J2588+D2588-E2588,2),0)))</f>
        <v/>
      </c>
      <c r="L2588" s="6">
        <f>IF(C2588="","",ROUND(J2588+D2588-E2588-K2588,2))</f>
        <v/>
      </c>
      <c r="M2588" s="6">
        <f>IF(C2588="","",0)</f>
        <v/>
      </c>
    </row>
    <row r="2589">
      <c r="A2589" t="inlineStr">
        <is>
          <t>Bank 银行</t>
        </is>
      </c>
      <c r="B2589" s="5">
        <f>IF(AND('Daily Sale entry '!Z1089="Online collection 网上收款",'Daily Sale entry '!AA1089&lt;&gt;""),'Daily Sale entry '!X1089,"")</f>
        <v/>
      </c>
      <c r="C2589">
        <f>IF(B2589="","",'Daily Sale entry '!AA1089)</f>
        <v/>
      </c>
      <c r="D2589">
        <f>IF(C2589="","",0)</f>
        <v/>
      </c>
      <c r="E2589">
        <f>IF(C2589="","",'Daily Sale entry '!AC1089)</f>
        <v/>
      </c>
      <c r="F2589" s="37">
        <f>IF(C2589="","",B2589+IF(E2589&gt;0,0,0.5)+ROW()/10000000)</f>
        <v/>
      </c>
      <c r="G2589">
        <f>IF(C2589="","","Collection 收款 (Online 网上)"&amp;IF('Daily Sale entry '!Y1089="",""," - "&amp;'Daily Sale entry '!Y1089))</f>
        <v/>
      </c>
      <c r="H2589">
        <f>IF(C2589="","",COUNTIFS($C$2:$C$3001,C2589,$F$2:$F$3001,"&lt;"&amp;F2589)+1)</f>
        <v/>
      </c>
      <c r="I2589">
        <f>IF(C2589="","",C2589&amp;"|"&amp;H2589)</f>
        <v/>
      </c>
      <c r="J2589" s="6">
        <f>IF(C2589="","",IF(H2589=1,SUMIFS('Opening Balance'!$F$4:$F$303,'Opening Balance'!$G$4:$G$303,C2589),INDEX($L$2:$L$3001,MATCH(C2589&amp;"|"&amp;(H2589-1),$I$2:$I$3001,0))))</f>
        <v/>
      </c>
      <c r="K2589" s="6">
        <f>IF(C2589="","",IF(M2589&gt;0,M2589,IF(AND(E2589&gt;0,ROUND(J2589+D2589-E2589,2)&gt;0,ROUND(J2589+D2589-E2589,2)&lt;'Opening Balance'!$B$14),ROUND(J2589+D2589-E2589,2),0)))</f>
        <v/>
      </c>
      <c r="L2589" s="6">
        <f>IF(C2589="","",ROUND(J2589+D2589-E2589-K2589,2))</f>
        <v/>
      </c>
      <c r="M2589" s="6">
        <f>IF(C2589="","",0)</f>
        <v/>
      </c>
    </row>
    <row r="2590">
      <c r="A2590" t="inlineStr">
        <is>
          <t>Bank 银行</t>
        </is>
      </c>
      <c r="B2590" s="5">
        <f>IF(AND('Daily Sale entry '!Z1090="Online collection 网上收款",'Daily Sale entry '!AA1090&lt;&gt;""),'Daily Sale entry '!X1090,"")</f>
        <v/>
      </c>
      <c r="C2590">
        <f>IF(B2590="","",'Daily Sale entry '!AA1090)</f>
        <v/>
      </c>
      <c r="D2590">
        <f>IF(C2590="","",0)</f>
        <v/>
      </c>
      <c r="E2590">
        <f>IF(C2590="","",'Daily Sale entry '!AC1090)</f>
        <v/>
      </c>
      <c r="F2590" s="37">
        <f>IF(C2590="","",B2590+IF(E2590&gt;0,0,0.5)+ROW()/10000000)</f>
        <v/>
      </c>
      <c r="G2590">
        <f>IF(C2590="","","Collection 收款 (Online 网上)"&amp;IF('Daily Sale entry '!Y1090="",""," - "&amp;'Daily Sale entry '!Y1090))</f>
        <v/>
      </c>
      <c r="H2590">
        <f>IF(C2590="","",COUNTIFS($C$2:$C$3001,C2590,$F$2:$F$3001,"&lt;"&amp;F2590)+1)</f>
        <v/>
      </c>
      <c r="I2590">
        <f>IF(C2590="","",C2590&amp;"|"&amp;H2590)</f>
        <v/>
      </c>
      <c r="J2590" s="6">
        <f>IF(C2590="","",IF(H2590=1,SUMIFS('Opening Balance'!$F$4:$F$303,'Opening Balance'!$G$4:$G$303,C2590),INDEX($L$2:$L$3001,MATCH(C2590&amp;"|"&amp;(H2590-1),$I$2:$I$3001,0))))</f>
        <v/>
      </c>
      <c r="K2590" s="6">
        <f>IF(C2590="","",IF(M2590&gt;0,M2590,IF(AND(E2590&gt;0,ROUND(J2590+D2590-E2590,2)&gt;0,ROUND(J2590+D2590-E2590,2)&lt;'Opening Balance'!$B$14),ROUND(J2590+D2590-E2590,2),0)))</f>
        <v/>
      </c>
      <c r="L2590" s="6">
        <f>IF(C2590="","",ROUND(J2590+D2590-E2590-K2590,2))</f>
        <v/>
      </c>
      <c r="M2590" s="6">
        <f>IF(C2590="","",0)</f>
        <v/>
      </c>
    </row>
    <row r="2591">
      <c r="A2591" t="inlineStr">
        <is>
          <t>Bank 银行</t>
        </is>
      </c>
      <c r="B2591" s="5">
        <f>IF(AND('Daily Sale entry '!Z1091="Online collection 网上收款",'Daily Sale entry '!AA1091&lt;&gt;""),'Daily Sale entry '!X1091,"")</f>
        <v/>
      </c>
      <c r="C2591">
        <f>IF(B2591="","",'Daily Sale entry '!AA1091)</f>
        <v/>
      </c>
      <c r="D2591">
        <f>IF(C2591="","",0)</f>
        <v/>
      </c>
      <c r="E2591">
        <f>IF(C2591="","",'Daily Sale entry '!AC1091)</f>
        <v/>
      </c>
      <c r="F2591" s="37">
        <f>IF(C2591="","",B2591+IF(E2591&gt;0,0,0.5)+ROW()/10000000)</f>
        <v/>
      </c>
      <c r="G2591">
        <f>IF(C2591="","","Collection 收款 (Online 网上)"&amp;IF('Daily Sale entry '!Y1091="",""," - "&amp;'Daily Sale entry '!Y1091))</f>
        <v/>
      </c>
      <c r="H2591">
        <f>IF(C2591="","",COUNTIFS($C$2:$C$3001,C2591,$F$2:$F$3001,"&lt;"&amp;F2591)+1)</f>
        <v/>
      </c>
      <c r="I2591">
        <f>IF(C2591="","",C2591&amp;"|"&amp;H2591)</f>
        <v/>
      </c>
      <c r="J2591" s="6">
        <f>IF(C2591="","",IF(H2591=1,SUMIFS('Opening Balance'!$F$4:$F$303,'Opening Balance'!$G$4:$G$303,C2591),INDEX($L$2:$L$3001,MATCH(C2591&amp;"|"&amp;(H2591-1),$I$2:$I$3001,0))))</f>
        <v/>
      </c>
      <c r="K2591" s="6">
        <f>IF(C2591="","",IF(M2591&gt;0,M2591,IF(AND(E2591&gt;0,ROUND(J2591+D2591-E2591,2)&gt;0,ROUND(J2591+D2591-E2591,2)&lt;'Opening Balance'!$B$14),ROUND(J2591+D2591-E2591,2),0)))</f>
        <v/>
      </c>
      <c r="L2591" s="6">
        <f>IF(C2591="","",ROUND(J2591+D2591-E2591-K2591,2))</f>
        <v/>
      </c>
      <c r="M2591" s="6">
        <f>IF(C2591="","",0)</f>
        <v/>
      </c>
    </row>
    <row r="2592">
      <c r="A2592" t="inlineStr">
        <is>
          <t>Bank 银行</t>
        </is>
      </c>
      <c r="B2592" s="5">
        <f>IF(AND('Daily Sale entry '!Z1092="Online collection 网上收款",'Daily Sale entry '!AA1092&lt;&gt;""),'Daily Sale entry '!X1092,"")</f>
        <v/>
      </c>
      <c r="C2592">
        <f>IF(B2592="","",'Daily Sale entry '!AA1092)</f>
        <v/>
      </c>
      <c r="D2592">
        <f>IF(C2592="","",0)</f>
        <v/>
      </c>
      <c r="E2592">
        <f>IF(C2592="","",'Daily Sale entry '!AC1092)</f>
        <v/>
      </c>
      <c r="F2592" s="37">
        <f>IF(C2592="","",B2592+IF(E2592&gt;0,0,0.5)+ROW()/10000000)</f>
        <v/>
      </c>
      <c r="G2592">
        <f>IF(C2592="","","Collection 收款 (Online 网上)"&amp;IF('Daily Sale entry '!Y1092="",""," - "&amp;'Daily Sale entry '!Y1092))</f>
        <v/>
      </c>
      <c r="H2592">
        <f>IF(C2592="","",COUNTIFS($C$2:$C$3001,C2592,$F$2:$F$3001,"&lt;"&amp;F2592)+1)</f>
        <v/>
      </c>
      <c r="I2592">
        <f>IF(C2592="","",C2592&amp;"|"&amp;H2592)</f>
        <v/>
      </c>
      <c r="J2592" s="6">
        <f>IF(C2592="","",IF(H2592=1,SUMIFS('Opening Balance'!$F$4:$F$303,'Opening Balance'!$G$4:$G$303,C2592),INDEX($L$2:$L$3001,MATCH(C2592&amp;"|"&amp;(H2592-1),$I$2:$I$3001,0))))</f>
        <v/>
      </c>
      <c r="K2592" s="6">
        <f>IF(C2592="","",IF(M2592&gt;0,M2592,IF(AND(E2592&gt;0,ROUND(J2592+D2592-E2592,2)&gt;0,ROUND(J2592+D2592-E2592,2)&lt;'Opening Balance'!$B$14),ROUND(J2592+D2592-E2592,2),0)))</f>
        <v/>
      </c>
      <c r="L2592" s="6">
        <f>IF(C2592="","",ROUND(J2592+D2592-E2592-K2592,2))</f>
        <v/>
      </c>
      <c r="M2592" s="6">
        <f>IF(C2592="","",0)</f>
        <v/>
      </c>
    </row>
    <row r="2593">
      <c r="A2593" t="inlineStr">
        <is>
          <t>Bank 银行</t>
        </is>
      </c>
      <c r="B2593" s="5">
        <f>IF(AND('Daily Sale entry '!Z1093="Online collection 网上收款",'Daily Sale entry '!AA1093&lt;&gt;""),'Daily Sale entry '!X1093,"")</f>
        <v/>
      </c>
      <c r="C2593">
        <f>IF(B2593="","",'Daily Sale entry '!AA1093)</f>
        <v/>
      </c>
      <c r="D2593">
        <f>IF(C2593="","",0)</f>
        <v/>
      </c>
      <c r="E2593">
        <f>IF(C2593="","",'Daily Sale entry '!AC1093)</f>
        <v/>
      </c>
      <c r="F2593" s="37">
        <f>IF(C2593="","",B2593+IF(E2593&gt;0,0,0.5)+ROW()/10000000)</f>
        <v/>
      </c>
      <c r="G2593">
        <f>IF(C2593="","","Collection 收款 (Online 网上)"&amp;IF('Daily Sale entry '!Y1093="",""," - "&amp;'Daily Sale entry '!Y1093))</f>
        <v/>
      </c>
      <c r="H2593">
        <f>IF(C2593="","",COUNTIFS($C$2:$C$3001,C2593,$F$2:$F$3001,"&lt;"&amp;F2593)+1)</f>
        <v/>
      </c>
      <c r="I2593">
        <f>IF(C2593="","",C2593&amp;"|"&amp;H2593)</f>
        <v/>
      </c>
      <c r="J2593" s="6">
        <f>IF(C2593="","",IF(H2593=1,SUMIFS('Opening Balance'!$F$4:$F$303,'Opening Balance'!$G$4:$G$303,C2593),INDEX($L$2:$L$3001,MATCH(C2593&amp;"|"&amp;(H2593-1),$I$2:$I$3001,0))))</f>
        <v/>
      </c>
      <c r="K2593" s="6">
        <f>IF(C2593="","",IF(M2593&gt;0,M2593,IF(AND(E2593&gt;0,ROUND(J2593+D2593-E2593,2)&gt;0,ROUND(J2593+D2593-E2593,2)&lt;'Opening Balance'!$B$14),ROUND(J2593+D2593-E2593,2),0)))</f>
        <v/>
      </c>
      <c r="L2593" s="6">
        <f>IF(C2593="","",ROUND(J2593+D2593-E2593-K2593,2))</f>
        <v/>
      </c>
      <c r="M2593" s="6">
        <f>IF(C2593="","",0)</f>
        <v/>
      </c>
    </row>
    <row r="2594">
      <c r="A2594" t="inlineStr">
        <is>
          <t>Bank 银行</t>
        </is>
      </c>
      <c r="B2594" s="5">
        <f>IF(AND('Daily Sale entry '!Z1094="Online collection 网上收款",'Daily Sale entry '!AA1094&lt;&gt;""),'Daily Sale entry '!X1094,"")</f>
        <v/>
      </c>
      <c r="C2594">
        <f>IF(B2594="","",'Daily Sale entry '!AA1094)</f>
        <v/>
      </c>
      <c r="D2594">
        <f>IF(C2594="","",0)</f>
        <v/>
      </c>
      <c r="E2594">
        <f>IF(C2594="","",'Daily Sale entry '!AC1094)</f>
        <v/>
      </c>
      <c r="F2594" s="37">
        <f>IF(C2594="","",B2594+IF(E2594&gt;0,0,0.5)+ROW()/10000000)</f>
        <v/>
      </c>
      <c r="G2594">
        <f>IF(C2594="","","Collection 收款 (Online 网上)"&amp;IF('Daily Sale entry '!Y1094="",""," - "&amp;'Daily Sale entry '!Y1094))</f>
        <v/>
      </c>
      <c r="H2594">
        <f>IF(C2594="","",COUNTIFS($C$2:$C$3001,C2594,$F$2:$F$3001,"&lt;"&amp;F2594)+1)</f>
        <v/>
      </c>
      <c r="I2594">
        <f>IF(C2594="","",C2594&amp;"|"&amp;H2594)</f>
        <v/>
      </c>
      <c r="J2594" s="6">
        <f>IF(C2594="","",IF(H2594=1,SUMIFS('Opening Balance'!$F$4:$F$303,'Opening Balance'!$G$4:$G$303,C2594),INDEX($L$2:$L$3001,MATCH(C2594&amp;"|"&amp;(H2594-1),$I$2:$I$3001,0))))</f>
        <v/>
      </c>
      <c r="K2594" s="6">
        <f>IF(C2594="","",IF(M2594&gt;0,M2594,IF(AND(E2594&gt;0,ROUND(J2594+D2594-E2594,2)&gt;0,ROUND(J2594+D2594-E2594,2)&lt;'Opening Balance'!$B$14),ROUND(J2594+D2594-E2594,2),0)))</f>
        <v/>
      </c>
      <c r="L2594" s="6">
        <f>IF(C2594="","",ROUND(J2594+D2594-E2594-K2594,2))</f>
        <v/>
      </c>
      <c r="M2594" s="6">
        <f>IF(C2594="","",0)</f>
        <v/>
      </c>
    </row>
    <row r="2595">
      <c r="A2595" t="inlineStr">
        <is>
          <t>Bank 银行</t>
        </is>
      </c>
      <c r="B2595" s="5">
        <f>IF(AND('Daily Sale entry '!Z1095="Online collection 网上收款",'Daily Sale entry '!AA1095&lt;&gt;""),'Daily Sale entry '!X1095,"")</f>
        <v/>
      </c>
      <c r="C2595">
        <f>IF(B2595="","",'Daily Sale entry '!AA1095)</f>
        <v/>
      </c>
      <c r="D2595">
        <f>IF(C2595="","",0)</f>
        <v/>
      </c>
      <c r="E2595">
        <f>IF(C2595="","",'Daily Sale entry '!AC1095)</f>
        <v/>
      </c>
      <c r="F2595" s="37">
        <f>IF(C2595="","",B2595+IF(E2595&gt;0,0,0.5)+ROW()/10000000)</f>
        <v/>
      </c>
      <c r="G2595">
        <f>IF(C2595="","","Collection 收款 (Online 网上)"&amp;IF('Daily Sale entry '!Y1095="",""," - "&amp;'Daily Sale entry '!Y1095))</f>
        <v/>
      </c>
      <c r="H2595">
        <f>IF(C2595="","",COUNTIFS($C$2:$C$3001,C2595,$F$2:$F$3001,"&lt;"&amp;F2595)+1)</f>
        <v/>
      </c>
      <c r="I2595">
        <f>IF(C2595="","",C2595&amp;"|"&amp;H2595)</f>
        <v/>
      </c>
      <c r="J2595" s="6">
        <f>IF(C2595="","",IF(H2595=1,SUMIFS('Opening Balance'!$F$4:$F$303,'Opening Balance'!$G$4:$G$303,C2595),INDEX($L$2:$L$3001,MATCH(C2595&amp;"|"&amp;(H2595-1),$I$2:$I$3001,0))))</f>
        <v/>
      </c>
      <c r="K2595" s="6">
        <f>IF(C2595="","",IF(M2595&gt;0,M2595,IF(AND(E2595&gt;0,ROUND(J2595+D2595-E2595,2)&gt;0,ROUND(J2595+D2595-E2595,2)&lt;'Opening Balance'!$B$14),ROUND(J2595+D2595-E2595,2),0)))</f>
        <v/>
      </c>
      <c r="L2595" s="6">
        <f>IF(C2595="","",ROUND(J2595+D2595-E2595-K2595,2))</f>
        <v/>
      </c>
      <c r="M2595" s="6">
        <f>IF(C2595="","",0)</f>
        <v/>
      </c>
    </row>
    <row r="2596">
      <c r="A2596" t="inlineStr">
        <is>
          <t>Bank 银行</t>
        </is>
      </c>
      <c r="B2596" s="5">
        <f>IF(AND('Daily Sale entry '!Z1096="Online collection 网上收款",'Daily Sale entry '!AA1096&lt;&gt;""),'Daily Sale entry '!X1096,"")</f>
        <v/>
      </c>
      <c r="C2596">
        <f>IF(B2596="","",'Daily Sale entry '!AA1096)</f>
        <v/>
      </c>
      <c r="D2596">
        <f>IF(C2596="","",0)</f>
        <v/>
      </c>
      <c r="E2596">
        <f>IF(C2596="","",'Daily Sale entry '!AC1096)</f>
        <v/>
      </c>
      <c r="F2596" s="37">
        <f>IF(C2596="","",B2596+IF(E2596&gt;0,0,0.5)+ROW()/10000000)</f>
        <v/>
      </c>
      <c r="G2596">
        <f>IF(C2596="","","Collection 收款 (Online 网上)"&amp;IF('Daily Sale entry '!Y1096="",""," - "&amp;'Daily Sale entry '!Y1096))</f>
        <v/>
      </c>
      <c r="H2596">
        <f>IF(C2596="","",COUNTIFS($C$2:$C$3001,C2596,$F$2:$F$3001,"&lt;"&amp;F2596)+1)</f>
        <v/>
      </c>
      <c r="I2596">
        <f>IF(C2596="","",C2596&amp;"|"&amp;H2596)</f>
        <v/>
      </c>
      <c r="J2596" s="6">
        <f>IF(C2596="","",IF(H2596=1,SUMIFS('Opening Balance'!$F$4:$F$303,'Opening Balance'!$G$4:$G$303,C2596),INDEX($L$2:$L$3001,MATCH(C2596&amp;"|"&amp;(H2596-1),$I$2:$I$3001,0))))</f>
        <v/>
      </c>
      <c r="K2596" s="6">
        <f>IF(C2596="","",IF(M2596&gt;0,M2596,IF(AND(E2596&gt;0,ROUND(J2596+D2596-E2596,2)&gt;0,ROUND(J2596+D2596-E2596,2)&lt;'Opening Balance'!$B$14),ROUND(J2596+D2596-E2596,2),0)))</f>
        <v/>
      </c>
      <c r="L2596" s="6">
        <f>IF(C2596="","",ROUND(J2596+D2596-E2596-K2596,2))</f>
        <v/>
      </c>
      <c r="M2596" s="6">
        <f>IF(C2596="","",0)</f>
        <v/>
      </c>
    </row>
    <row r="2597">
      <c r="A2597" t="inlineStr">
        <is>
          <t>Bank 银行</t>
        </is>
      </c>
      <c r="B2597" s="5">
        <f>IF(AND('Daily Sale entry '!Z1097="Online collection 网上收款",'Daily Sale entry '!AA1097&lt;&gt;""),'Daily Sale entry '!X1097,"")</f>
        <v/>
      </c>
      <c r="C2597">
        <f>IF(B2597="","",'Daily Sale entry '!AA1097)</f>
        <v/>
      </c>
      <c r="D2597">
        <f>IF(C2597="","",0)</f>
        <v/>
      </c>
      <c r="E2597">
        <f>IF(C2597="","",'Daily Sale entry '!AC1097)</f>
        <v/>
      </c>
      <c r="F2597" s="37">
        <f>IF(C2597="","",B2597+IF(E2597&gt;0,0,0.5)+ROW()/10000000)</f>
        <v/>
      </c>
      <c r="G2597">
        <f>IF(C2597="","","Collection 收款 (Online 网上)"&amp;IF('Daily Sale entry '!Y1097="",""," - "&amp;'Daily Sale entry '!Y1097))</f>
        <v/>
      </c>
      <c r="H2597">
        <f>IF(C2597="","",COUNTIFS($C$2:$C$3001,C2597,$F$2:$F$3001,"&lt;"&amp;F2597)+1)</f>
        <v/>
      </c>
      <c r="I2597">
        <f>IF(C2597="","",C2597&amp;"|"&amp;H2597)</f>
        <v/>
      </c>
      <c r="J2597" s="6">
        <f>IF(C2597="","",IF(H2597=1,SUMIFS('Opening Balance'!$F$4:$F$303,'Opening Balance'!$G$4:$G$303,C2597),INDEX($L$2:$L$3001,MATCH(C2597&amp;"|"&amp;(H2597-1),$I$2:$I$3001,0))))</f>
        <v/>
      </c>
      <c r="K2597" s="6">
        <f>IF(C2597="","",IF(M2597&gt;0,M2597,IF(AND(E2597&gt;0,ROUND(J2597+D2597-E2597,2)&gt;0,ROUND(J2597+D2597-E2597,2)&lt;'Opening Balance'!$B$14),ROUND(J2597+D2597-E2597,2),0)))</f>
        <v/>
      </c>
      <c r="L2597" s="6">
        <f>IF(C2597="","",ROUND(J2597+D2597-E2597-K2597,2))</f>
        <v/>
      </c>
      <c r="M2597" s="6">
        <f>IF(C2597="","",0)</f>
        <v/>
      </c>
    </row>
    <row r="2598">
      <c r="A2598" t="inlineStr">
        <is>
          <t>Bank 银行</t>
        </is>
      </c>
      <c r="B2598" s="5">
        <f>IF(AND('Daily Sale entry '!Z1098="Online collection 网上收款",'Daily Sale entry '!AA1098&lt;&gt;""),'Daily Sale entry '!X1098,"")</f>
        <v/>
      </c>
      <c r="C2598">
        <f>IF(B2598="","",'Daily Sale entry '!AA1098)</f>
        <v/>
      </c>
      <c r="D2598">
        <f>IF(C2598="","",0)</f>
        <v/>
      </c>
      <c r="E2598">
        <f>IF(C2598="","",'Daily Sale entry '!AC1098)</f>
        <v/>
      </c>
      <c r="F2598" s="37">
        <f>IF(C2598="","",B2598+IF(E2598&gt;0,0,0.5)+ROW()/10000000)</f>
        <v/>
      </c>
      <c r="G2598">
        <f>IF(C2598="","","Collection 收款 (Online 网上)"&amp;IF('Daily Sale entry '!Y1098="",""," - "&amp;'Daily Sale entry '!Y1098))</f>
        <v/>
      </c>
      <c r="H2598">
        <f>IF(C2598="","",COUNTIFS($C$2:$C$3001,C2598,$F$2:$F$3001,"&lt;"&amp;F2598)+1)</f>
        <v/>
      </c>
      <c r="I2598">
        <f>IF(C2598="","",C2598&amp;"|"&amp;H2598)</f>
        <v/>
      </c>
      <c r="J2598" s="6">
        <f>IF(C2598="","",IF(H2598=1,SUMIFS('Opening Balance'!$F$4:$F$303,'Opening Balance'!$G$4:$G$303,C2598),INDEX($L$2:$L$3001,MATCH(C2598&amp;"|"&amp;(H2598-1),$I$2:$I$3001,0))))</f>
        <v/>
      </c>
      <c r="K2598" s="6">
        <f>IF(C2598="","",IF(M2598&gt;0,M2598,IF(AND(E2598&gt;0,ROUND(J2598+D2598-E2598,2)&gt;0,ROUND(J2598+D2598-E2598,2)&lt;'Opening Balance'!$B$14),ROUND(J2598+D2598-E2598,2),0)))</f>
        <v/>
      </c>
      <c r="L2598" s="6">
        <f>IF(C2598="","",ROUND(J2598+D2598-E2598-K2598,2))</f>
        <v/>
      </c>
      <c r="M2598" s="6">
        <f>IF(C2598="","",0)</f>
        <v/>
      </c>
    </row>
    <row r="2599">
      <c r="A2599" t="inlineStr">
        <is>
          <t>Bank 银行</t>
        </is>
      </c>
      <c r="B2599" s="5">
        <f>IF(AND('Daily Sale entry '!Z1099="Online collection 网上收款",'Daily Sale entry '!AA1099&lt;&gt;""),'Daily Sale entry '!X1099,"")</f>
        <v/>
      </c>
      <c r="C2599">
        <f>IF(B2599="","",'Daily Sale entry '!AA1099)</f>
        <v/>
      </c>
      <c r="D2599">
        <f>IF(C2599="","",0)</f>
        <v/>
      </c>
      <c r="E2599">
        <f>IF(C2599="","",'Daily Sale entry '!AC1099)</f>
        <v/>
      </c>
      <c r="F2599" s="37">
        <f>IF(C2599="","",B2599+IF(E2599&gt;0,0,0.5)+ROW()/10000000)</f>
        <v/>
      </c>
      <c r="G2599">
        <f>IF(C2599="","","Collection 收款 (Online 网上)"&amp;IF('Daily Sale entry '!Y1099="",""," - "&amp;'Daily Sale entry '!Y1099))</f>
        <v/>
      </c>
      <c r="H2599">
        <f>IF(C2599="","",COUNTIFS($C$2:$C$3001,C2599,$F$2:$F$3001,"&lt;"&amp;F2599)+1)</f>
        <v/>
      </c>
      <c r="I2599">
        <f>IF(C2599="","",C2599&amp;"|"&amp;H2599)</f>
        <v/>
      </c>
      <c r="J2599" s="6">
        <f>IF(C2599="","",IF(H2599=1,SUMIFS('Opening Balance'!$F$4:$F$303,'Opening Balance'!$G$4:$G$303,C2599),INDEX($L$2:$L$3001,MATCH(C2599&amp;"|"&amp;(H2599-1),$I$2:$I$3001,0))))</f>
        <v/>
      </c>
      <c r="K2599" s="6">
        <f>IF(C2599="","",IF(M2599&gt;0,M2599,IF(AND(E2599&gt;0,ROUND(J2599+D2599-E2599,2)&gt;0,ROUND(J2599+D2599-E2599,2)&lt;'Opening Balance'!$B$14),ROUND(J2599+D2599-E2599,2),0)))</f>
        <v/>
      </c>
      <c r="L2599" s="6">
        <f>IF(C2599="","",ROUND(J2599+D2599-E2599-K2599,2))</f>
        <v/>
      </c>
      <c r="M2599" s="6">
        <f>IF(C2599="","",0)</f>
        <v/>
      </c>
    </row>
    <row r="2600">
      <c r="A2600" t="inlineStr">
        <is>
          <t>Bank 银行</t>
        </is>
      </c>
      <c r="B2600" s="5">
        <f>IF(AND('Daily Sale entry '!Z1100="Online collection 网上收款",'Daily Sale entry '!AA1100&lt;&gt;""),'Daily Sale entry '!X1100,"")</f>
        <v/>
      </c>
      <c r="C2600">
        <f>IF(B2600="","",'Daily Sale entry '!AA1100)</f>
        <v/>
      </c>
      <c r="D2600">
        <f>IF(C2600="","",0)</f>
        <v/>
      </c>
      <c r="E2600">
        <f>IF(C2600="","",'Daily Sale entry '!AC1100)</f>
        <v/>
      </c>
      <c r="F2600" s="37">
        <f>IF(C2600="","",B2600+IF(E2600&gt;0,0,0.5)+ROW()/10000000)</f>
        <v/>
      </c>
      <c r="G2600">
        <f>IF(C2600="","","Collection 收款 (Online 网上)"&amp;IF('Daily Sale entry '!Y1100="",""," - "&amp;'Daily Sale entry '!Y1100))</f>
        <v/>
      </c>
      <c r="H2600">
        <f>IF(C2600="","",COUNTIFS($C$2:$C$3001,C2600,$F$2:$F$3001,"&lt;"&amp;F2600)+1)</f>
        <v/>
      </c>
      <c r="I2600">
        <f>IF(C2600="","",C2600&amp;"|"&amp;H2600)</f>
        <v/>
      </c>
      <c r="J2600" s="6">
        <f>IF(C2600="","",IF(H2600=1,SUMIFS('Opening Balance'!$F$4:$F$303,'Opening Balance'!$G$4:$G$303,C2600),INDEX($L$2:$L$3001,MATCH(C2600&amp;"|"&amp;(H2600-1),$I$2:$I$3001,0))))</f>
        <v/>
      </c>
      <c r="K2600" s="6">
        <f>IF(C2600="","",IF(M2600&gt;0,M2600,IF(AND(E2600&gt;0,ROUND(J2600+D2600-E2600,2)&gt;0,ROUND(J2600+D2600-E2600,2)&lt;'Opening Balance'!$B$14),ROUND(J2600+D2600-E2600,2),0)))</f>
        <v/>
      </c>
      <c r="L2600" s="6">
        <f>IF(C2600="","",ROUND(J2600+D2600-E2600-K2600,2))</f>
        <v/>
      </c>
      <c r="M2600" s="6">
        <f>IF(C2600="","",0)</f>
        <v/>
      </c>
    </row>
    <row r="2601">
      <c r="A2601" t="inlineStr">
        <is>
          <t>Bank 银行</t>
        </is>
      </c>
      <c r="B2601" s="5">
        <f>IF(AND('Daily Sale entry '!Z1101="Online collection 网上收款",'Daily Sale entry '!AA1101&lt;&gt;""),'Daily Sale entry '!X1101,"")</f>
        <v/>
      </c>
      <c r="C2601">
        <f>IF(B2601="","",'Daily Sale entry '!AA1101)</f>
        <v/>
      </c>
      <c r="D2601">
        <f>IF(C2601="","",0)</f>
        <v/>
      </c>
      <c r="E2601">
        <f>IF(C2601="","",'Daily Sale entry '!AC1101)</f>
        <v/>
      </c>
      <c r="F2601" s="37">
        <f>IF(C2601="","",B2601+IF(E2601&gt;0,0,0.5)+ROW()/10000000)</f>
        <v/>
      </c>
      <c r="G2601">
        <f>IF(C2601="","","Collection 收款 (Online 网上)"&amp;IF('Daily Sale entry '!Y1101="",""," - "&amp;'Daily Sale entry '!Y1101))</f>
        <v/>
      </c>
      <c r="H2601">
        <f>IF(C2601="","",COUNTIFS($C$2:$C$3001,C2601,$F$2:$F$3001,"&lt;"&amp;F2601)+1)</f>
        <v/>
      </c>
      <c r="I2601">
        <f>IF(C2601="","",C2601&amp;"|"&amp;H2601)</f>
        <v/>
      </c>
      <c r="J2601" s="6">
        <f>IF(C2601="","",IF(H2601=1,SUMIFS('Opening Balance'!$F$4:$F$303,'Opening Balance'!$G$4:$G$303,C2601),INDEX($L$2:$L$3001,MATCH(C2601&amp;"|"&amp;(H2601-1),$I$2:$I$3001,0))))</f>
        <v/>
      </c>
      <c r="K2601" s="6">
        <f>IF(C2601="","",IF(M2601&gt;0,M2601,IF(AND(E2601&gt;0,ROUND(J2601+D2601-E2601,2)&gt;0,ROUND(J2601+D2601-E2601,2)&lt;'Opening Balance'!$B$14),ROUND(J2601+D2601-E2601,2),0)))</f>
        <v/>
      </c>
      <c r="L2601" s="6">
        <f>IF(C2601="","",ROUND(J2601+D2601-E2601-K2601,2))</f>
        <v/>
      </c>
      <c r="M2601" s="6">
        <f>IF(C2601="","",0)</f>
        <v/>
      </c>
    </row>
    <row r="2602">
      <c r="A2602" t="inlineStr">
        <is>
          <t>Bank 银行</t>
        </is>
      </c>
      <c r="B2602" s="5">
        <f>IF(AND('Daily Sale entry '!Z1102="Online collection 网上收款",'Daily Sale entry '!AA1102&lt;&gt;""),'Daily Sale entry '!X1102,"")</f>
        <v/>
      </c>
      <c r="C2602">
        <f>IF(B2602="","",'Daily Sale entry '!AA1102)</f>
        <v/>
      </c>
      <c r="D2602">
        <f>IF(C2602="","",0)</f>
        <v/>
      </c>
      <c r="E2602">
        <f>IF(C2602="","",'Daily Sale entry '!AC1102)</f>
        <v/>
      </c>
      <c r="F2602" s="37">
        <f>IF(C2602="","",B2602+IF(E2602&gt;0,0,0.5)+ROW()/10000000)</f>
        <v/>
      </c>
      <c r="G2602">
        <f>IF(C2602="","","Collection 收款 (Online 网上)"&amp;IF('Daily Sale entry '!Y1102="",""," - "&amp;'Daily Sale entry '!Y1102))</f>
        <v/>
      </c>
      <c r="H2602">
        <f>IF(C2602="","",COUNTIFS($C$2:$C$3001,C2602,$F$2:$F$3001,"&lt;"&amp;F2602)+1)</f>
        <v/>
      </c>
      <c r="I2602">
        <f>IF(C2602="","",C2602&amp;"|"&amp;H2602)</f>
        <v/>
      </c>
      <c r="J2602" s="6">
        <f>IF(C2602="","",IF(H2602=1,SUMIFS('Opening Balance'!$F$4:$F$303,'Opening Balance'!$G$4:$G$303,C2602),INDEX($L$2:$L$3001,MATCH(C2602&amp;"|"&amp;(H2602-1),$I$2:$I$3001,0))))</f>
        <v/>
      </c>
      <c r="K2602" s="6">
        <f>IF(C2602="","",IF(M2602&gt;0,M2602,IF(AND(E2602&gt;0,ROUND(J2602+D2602-E2602,2)&gt;0,ROUND(J2602+D2602-E2602,2)&lt;'Opening Balance'!$B$14),ROUND(J2602+D2602-E2602,2),0)))</f>
        <v/>
      </c>
      <c r="L2602" s="6">
        <f>IF(C2602="","",ROUND(J2602+D2602-E2602-K2602,2))</f>
        <v/>
      </c>
      <c r="M2602" s="6">
        <f>IF(C2602="","",0)</f>
        <v/>
      </c>
    </row>
    <row r="2603">
      <c r="A2603" t="inlineStr">
        <is>
          <t>Bank 银行</t>
        </is>
      </c>
      <c r="B2603" s="5">
        <f>IF(AND('Daily Sale entry '!Z1103="Online collection 网上收款",'Daily Sale entry '!AA1103&lt;&gt;""),'Daily Sale entry '!X1103,"")</f>
        <v/>
      </c>
      <c r="C2603">
        <f>IF(B2603="","",'Daily Sale entry '!AA1103)</f>
        <v/>
      </c>
      <c r="D2603">
        <f>IF(C2603="","",0)</f>
        <v/>
      </c>
      <c r="E2603">
        <f>IF(C2603="","",'Daily Sale entry '!AC1103)</f>
        <v/>
      </c>
      <c r="F2603" s="37">
        <f>IF(C2603="","",B2603+IF(E2603&gt;0,0,0.5)+ROW()/10000000)</f>
        <v/>
      </c>
      <c r="G2603">
        <f>IF(C2603="","","Collection 收款 (Online 网上)"&amp;IF('Daily Sale entry '!Y1103="",""," - "&amp;'Daily Sale entry '!Y1103))</f>
        <v/>
      </c>
      <c r="H2603">
        <f>IF(C2603="","",COUNTIFS($C$2:$C$3001,C2603,$F$2:$F$3001,"&lt;"&amp;F2603)+1)</f>
        <v/>
      </c>
      <c r="I2603">
        <f>IF(C2603="","",C2603&amp;"|"&amp;H2603)</f>
        <v/>
      </c>
      <c r="J2603" s="6">
        <f>IF(C2603="","",IF(H2603=1,SUMIFS('Opening Balance'!$F$4:$F$303,'Opening Balance'!$G$4:$G$303,C2603),INDEX($L$2:$L$3001,MATCH(C2603&amp;"|"&amp;(H2603-1),$I$2:$I$3001,0))))</f>
        <v/>
      </c>
      <c r="K2603" s="6">
        <f>IF(C2603="","",IF(M2603&gt;0,M2603,IF(AND(E2603&gt;0,ROUND(J2603+D2603-E2603,2)&gt;0,ROUND(J2603+D2603-E2603,2)&lt;'Opening Balance'!$B$14),ROUND(J2603+D2603-E2603,2),0)))</f>
        <v/>
      </c>
      <c r="L2603" s="6">
        <f>IF(C2603="","",ROUND(J2603+D2603-E2603-K2603,2))</f>
        <v/>
      </c>
      <c r="M2603" s="6">
        <f>IF(C2603="","",0)</f>
        <v/>
      </c>
    </row>
    <row r="2604">
      <c r="A2604" t="inlineStr">
        <is>
          <t>Bank 银行</t>
        </is>
      </c>
      <c r="B2604" s="5">
        <f>IF(AND('Daily Sale entry '!Z1104="Online collection 网上收款",'Daily Sale entry '!AA1104&lt;&gt;""),'Daily Sale entry '!X1104,"")</f>
        <v/>
      </c>
      <c r="C2604">
        <f>IF(B2604="","",'Daily Sale entry '!AA1104)</f>
        <v/>
      </c>
      <c r="D2604">
        <f>IF(C2604="","",0)</f>
        <v/>
      </c>
      <c r="E2604">
        <f>IF(C2604="","",'Daily Sale entry '!AC1104)</f>
        <v/>
      </c>
      <c r="F2604" s="37">
        <f>IF(C2604="","",B2604+IF(E2604&gt;0,0,0.5)+ROW()/10000000)</f>
        <v/>
      </c>
      <c r="G2604">
        <f>IF(C2604="","","Collection 收款 (Online 网上)"&amp;IF('Daily Sale entry '!Y1104="",""," - "&amp;'Daily Sale entry '!Y1104))</f>
        <v/>
      </c>
      <c r="H2604">
        <f>IF(C2604="","",COUNTIFS($C$2:$C$3001,C2604,$F$2:$F$3001,"&lt;"&amp;F2604)+1)</f>
        <v/>
      </c>
      <c r="I2604">
        <f>IF(C2604="","",C2604&amp;"|"&amp;H2604)</f>
        <v/>
      </c>
      <c r="J2604" s="6">
        <f>IF(C2604="","",IF(H2604=1,SUMIFS('Opening Balance'!$F$4:$F$303,'Opening Balance'!$G$4:$G$303,C2604),INDEX($L$2:$L$3001,MATCH(C2604&amp;"|"&amp;(H2604-1),$I$2:$I$3001,0))))</f>
        <v/>
      </c>
      <c r="K2604" s="6">
        <f>IF(C2604="","",IF(M2604&gt;0,M2604,IF(AND(E2604&gt;0,ROUND(J2604+D2604-E2604,2)&gt;0,ROUND(J2604+D2604-E2604,2)&lt;'Opening Balance'!$B$14),ROUND(J2604+D2604-E2604,2),0)))</f>
        <v/>
      </c>
      <c r="L2604" s="6">
        <f>IF(C2604="","",ROUND(J2604+D2604-E2604-K2604,2))</f>
        <v/>
      </c>
      <c r="M2604" s="6">
        <f>IF(C2604="","",0)</f>
        <v/>
      </c>
    </row>
    <row r="2605">
      <c r="A2605" t="inlineStr">
        <is>
          <t>Bank 银行</t>
        </is>
      </c>
      <c r="B2605" s="5">
        <f>IF(AND('Daily Sale entry '!Z1105="Online collection 网上收款",'Daily Sale entry '!AA1105&lt;&gt;""),'Daily Sale entry '!X1105,"")</f>
        <v/>
      </c>
      <c r="C2605">
        <f>IF(B2605="","",'Daily Sale entry '!AA1105)</f>
        <v/>
      </c>
      <c r="D2605">
        <f>IF(C2605="","",0)</f>
        <v/>
      </c>
      <c r="E2605">
        <f>IF(C2605="","",'Daily Sale entry '!AC1105)</f>
        <v/>
      </c>
      <c r="F2605" s="37">
        <f>IF(C2605="","",B2605+IF(E2605&gt;0,0,0.5)+ROW()/10000000)</f>
        <v/>
      </c>
      <c r="G2605">
        <f>IF(C2605="","","Collection 收款 (Online 网上)"&amp;IF('Daily Sale entry '!Y1105="",""," - "&amp;'Daily Sale entry '!Y1105))</f>
        <v/>
      </c>
      <c r="H2605">
        <f>IF(C2605="","",COUNTIFS($C$2:$C$3001,C2605,$F$2:$F$3001,"&lt;"&amp;F2605)+1)</f>
        <v/>
      </c>
      <c r="I2605">
        <f>IF(C2605="","",C2605&amp;"|"&amp;H2605)</f>
        <v/>
      </c>
      <c r="J2605" s="6">
        <f>IF(C2605="","",IF(H2605=1,SUMIFS('Opening Balance'!$F$4:$F$303,'Opening Balance'!$G$4:$G$303,C2605),INDEX($L$2:$L$3001,MATCH(C2605&amp;"|"&amp;(H2605-1),$I$2:$I$3001,0))))</f>
        <v/>
      </c>
      <c r="K2605" s="6">
        <f>IF(C2605="","",IF(M2605&gt;0,M2605,IF(AND(E2605&gt;0,ROUND(J2605+D2605-E2605,2)&gt;0,ROUND(J2605+D2605-E2605,2)&lt;'Opening Balance'!$B$14),ROUND(J2605+D2605-E2605,2),0)))</f>
        <v/>
      </c>
      <c r="L2605" s="6">
        <f>IF(C2605="","",ROUND(J2605+D2605-E2605-K2605,2))</f>
        <v/>
      </c>
      <c r="M2605" s="6">
        <f>IF(C2605="","",0)</f>
        <v/>
      </c>
    </row>
    <row r="2606">
      <c r="A2606" t="inlineStr">
        <is>
          <t>Bank 银行</t>
        </is>
      </c>
      <c r="B2606" s="5">
        <f>IF(AND('Daily Sale entry '!Z1106="Online collection 网上收款",'Daily Sale entry '!AA1106&lt;&gt;""),'Daily Sale entry '!X1106,"")</f>
        <v/>
      </c>
      <c r="C2606">
        <f>IF(B2606="","",'Daily Sale entry '!AA1106)</f>
        <v/>
      </c>
      <c r="D2606">
        <f>IF(C2606="","",0)</f>
        <v/>
      </c>
      <c r="E2606">
        <f>IF(C2606="","",'Daily Sale entry '!AC1106)</f>
        <v/>
      </c>
      <c r="F2606" s="37">
        <f>IF(C2606="","",B2606+IF(E2606&gt;0,0,0.5)+ROW()/10000000)</f>
        <v/>
      </c>
      <c r="G2606">
        <f>IF(C2606="","","Collection 收款 (Online 网上)"&amp;IF('Daily Sale entry '!Y1106="",""," - "&amp;'Daily Sale entry '!Y1106))</f>
        <v/>
      </c>
      <c r="H2606">
        <f>IF(C2606="","",COUNTIFS($C$2:$C$3001,C2606,$F$2:$F$3001,"&lt;"&amp;F2606)+1)</f>
        <v/>
      </c>
      <c r="I2606">
        <f>IF(C2606="","",C2606&amp;"|"&amp;H2606)</f>
        <v/>
      </c>
      <c r="J2606" s="6">
        <f>IF(C2606="","",IF(H2606=1,SUMIFS('Opening Balance'!$F$4:$F$303,'Opening Balance'!$G$4:$G$303,C2606),INDEX($L$2:$L$3001,MATCH(C2606&amp;"|"&amp;(H2606-1),$I$2:$I$3001,0))))</f>
        <v/>
      </c>
      <c r="K2606" s="6">
        <f>IF(C2606="","",IF(M2606&gt;0,M2606,IF(AND(E2606&gt;0,ROUND(J2606+D2606-E2606,2)&gt;0,ROUND(J2606+D2606-E2606,2)&lt;'Opening Balance'!$B$14),ROUND(J2606+D2606-E2606,2),0)))</f>
        <v/>
      </c>
      <c r="L2606" s="6">
        <f>IF(C2606="","",ROUND(J2606+D2606-E2606-K2606,2))</f>
        <v/>
      </c>
      <c r="M2606" s="6">
        <f>IF(C2606="","",0)</f>
        <v/>
      </c>
    </row>
    <row r="2607">
      <c r="A2607" t="inlineStr">
        <is>
          <t>Bank 银行</t>
        </is>
      </c>
      <c r="B2607" s="5">
        <f>IF(AND('Daily Sale entry '!Z1107="Online collection 网上收款",'Daily Sale entry '!AA1107&lt;&gt;""),'Daily Sale entry '!X1107,"")</f>
        <v/>
      </c>
      <c r="C2607">
        <f>IF(B2607="","",'Daily Sale entry '!AA1107)</f>
        <v/>
      </c>
      <c r="D2607">
        <f>IF(C2607="","",0)</f>
        <v/>
      </c>
      <c r="E2607">
        <f>IF(C2607="","",'Daily Sale entry '!AC1107)</f>
        <v/>
      </c>
      <c r="F2607" s="37">
        <f>IF(C2607="","",B2607+IF(E2607&gt;0,0,0.5)+ROW()/10000000)</f>
        <v/>
      </c>
      <c r="G2607">
        <f>IF(C2607="","","Collection 收款 (Online 网上)"&amp;IF('Daily Sale entry '!Y1107="",""," - "&amp;'Daily Sale entry '!Y1107))</f>
        <v/>
      </c>
      <c r="H2607">
        <f>IF(C2607="","",COUNTIFS($C$2:$C$3001,C2607,$F$2:$F$3001,"&lt;"&amp;F2607)+1)</f>
        <v/>
      </c>
      <c r="I2607">
        <f>IF(C2607="","",C2607&amp;"|"&amp;H2607)</f>
        <v/>
      </c>
      <c r="J2607" s="6">
        <f>IF(C2607="","",IF(H2607=1,SUMIFS('Opening Balance'!$F$4:$F$303,'Opening Balance'!$G$4:$G$303,C2607),INDEX($L$2:$L$3001,MATCH(C2607&amp;"|"&amp;(H2607-1),$I$2:$I$3001,0))))</f>
        <v/>
      </c>
      <c r="K2607" s="6">
        <f>IF(C2607="","",IF(M2607&gt;0,M2607,IF(AND(E2607&gt;0,ROUND(J2607+D2607-E2607,2)&gt;0,ROUND(J2607+D2607-E2607,2)&lt;'Opening Balance'!$B$14),ROUND(J2607+D2607-E2607,2),0)))</f>
        <v/>
      </c>
      <c r="L2607" s="6">
        <f>IF(C2607="","",ROUND(J2607+D2607-E2607-K2607,2))</f>
        <v/>
      </c>
      <c r="M2607" s="6">
        <f>IF(C2607="","",0)</f>
        <v/>
      </c>
    </row>
    <row r="2608">
      <c r="A2608" t="inlineStr">
        <is>
          <t>Bank 银行</t>
        </is>
      </c>
      <c r="B2608" s="5">
        <f>IF(AND('Daily Sale entry '!Z1108="Online collection 网上收款",'Daily Sale entry '!AA1108&lt;&gt;""),'Daily Sale entry '!X1108,"")</f>
        <v/>
      </c>
      <c r="C2608">
        <f>IF(B2608="","",'Daily Sale entry '!AA1108)</f>
        <v/>
      </c>
      <c r="D2608">
        <f>IF(C2608="","",0)</f>
        <v/>
      </c>
      <c r="E2608">
        <f>IF(C2608="","",'Daily Sale entry '!AC1108)</f>
        <v/>
      </c>
      <c r="F2608" s="37">
        <f>IF(C2608="","",B2608+IF(E2608&gt;0,0,0.5)+ROW()/10000000)</f>
        <v/>
      </c>
      <c r="G2608">
        <f>IF(C2608="","","Collection 收款 (Online 网上)"&amp;IF('Daily Sale entry '!Y1108="",""," - "&amp;'Daily Sale entry '!Y1108))</f>
        <v/>
      </c>
      <c r="H2608">
        <f>IF(C2608="","",COUNTIFS($C$2:$C$3001,C2608,$F$2:$F$3001,"&lt;"&amp;F2608)+1)</f>
        <v/>
      </c>
      <c r="I2608">
        <f>IF(C2608="","",C2608&amp;"|"&amp;H2608)</f>
        <v/>
      </c>
      <c r="J2608" s="6">
        <f>IF(C2608="","",IF(H2608=1,SUMIFS('Opening Balance'!$F$4:$F$303,'Opening Balance'!$G$4:$G$303,C2608),INDEX($L$2:$L$3001,MATCH(C2608&amp;"|"&amp;(H2608-1),$I$2:$I$3001,0))))</f>
        <v/>
      </c>
      <c r="K2608" s="6">
        <f>IF(C2608="","",IF(M2608&gt;0,M2608,IF(AND(E2608&gt;0,ROUND(J2608+D2608-E2608,2)&gt;0,ROUND(J2608+D2608-E2608,2)&lt;'Opening Balance'!$B$14),ROUND(J2608+D2608-E2608,2),0)))</f>
        <v/>
      </c>
      <c r="L2608" s="6">
        <f>IF(C2608="","",ROUND(J2608+D2608-E2608-K2608,2))</f>
        <v/>
      </c>
      <c r="M2608" s="6">
        <f>IF(C2608="","",0)</f>
        <v/>
      </c>
    </row>
    <row r="2609">
      <c r="A2609" t="inlineStr">
        <is>
          <t>Bank 银行</t>
        </is>
      </c>
      <c r="B2609" s="5">
        <f>IF(AND('Daily Sale entry '!Z1109="Online collection 网上收款",'Daily Sale entry '!AA1109&lt;&gt;""),'Daily Sale entry '!X1109,"")</f>
        <v/>
      </c>
      <c r="C2609">
        <f>IF(B2609="","",'Daily Sale entry '!AA1109)</f>
        <v/>
      </c>
      <c r="D2609">
        <f>IF(C2609="","",0)</f>
        <v/>
      </c>
      <c r="E2609">
        <f>IF(C2609="","",'Daily Sale entry '!AC1109)</f>
        <v/>
      </c>
      <c r="F2609" s="37">
        <f>IF(C2609="","",B2609+IF(E2609&gt;0,0,0.5)+ROW()/10000000)</f>
        <v/>
      </c>
      <c r="G2609">
        <f>IF(C2609="","","Collection 收款 (Online 网上)"&amp;IF('Daily Sale entry '!Y1109="",""," - "&amp;'Daily Sale entry '!Y1109))</f>
        <v/>
      </c>
      <c r="H2609">
        <f>IF(C2609="","",COUNTIFS($C$2:$C$3001,C2609,$F$2:$F$3001,"&lt;"&amp;F2609)+1)</f>
        <v/>
      </c>
      <c r="I2609">
        <f>IF(C2609="","",C2609&amp;"|"&amp;H2609)</f>
        <v/>
      </c>
      <c r="J2609" s="6">
        <f>IF(C2609="","",IF(H2609=1,SUMIFS('Opening Balance'!$F$4:$F$303,'Opening Balance'!$G$4:$G$303,C2609),INDEX($L$2:$L$3001,MATCH(C2609&amp;"|"&amp;(H2609-1),$I$2:$I$3001,0))))</f>
        <v/>
      </c>
      <c r="K2609" s="6">
        <f>IF(C2609="","",IF(M2609&gt;0,M2609,IF(AND(E2609&gt;0,ROUND(J2609+D2609-E2609,2)&gt;0,ROUND(J2609+D2609-E2609,2)&lt;'Opening Balance'!$B$14),ROUND(J2609+D2609-E2609,2),0)))</f>
        <v/>
      </c>
      <c r="L2609" s="6">
        <f>IF(C2609="","",ROUND(J2609+D2609-E2609-K2609,2))</f>
        <v/>
      </c>
      <c r="M2609" s="6">
        <f>IF(C2609="","",0)</f>
        <v/>
      </c>
    </row>
    <row r="2610">
      <c r="A2610" t="inlineStr">
        <is>
          <t>Bank 银行</t>
        </is>
      </c>
      <c r="B2610" s="5">
        <f>IF(AND('Daily Sale entry '!Z1110="Online collection 网上收款",'Daily Sale entry '!AA1110&lt;&gt;""),'Daily Sale entry '!X1110,"")</f>
        <v/>
      </c>
      <c r="C2610">
        <f>IF(B2610="","",'Daily Sale entry '!AA1110)</f>
        <v/>
      </c>
      <c r="D2610">
        <f>IF(C2610="","",0)</f>
        <v/>
      </c>
      <c r="E2610">
        <f>IF(C2610="","",'Daily Sale entry '!AC1110)</f>
        <v/>
      </c>
      <c r="F2610" s="37">
        <f>IF(C2610="","",B2610+IF(E2610&gt;0,0,0.5)+ROW()/10000000)</f>
        <v/>
      </c>
      <c r="G2610">
        <f>IF(C2610="","","Collection 收款 (Online 网上)"&amp;IF('Daily Sale entry '!Y1110="",""," - "&amp;'Daily Sale entry '!Y1110))</f>
        <v/>
      </c>
      <c r="H2610">
        <f>IF(C2610="","",COUNTIFS($C$2:$C$3001,C2610,$F$2:$F$3001,"&lt;"&amp;F2610)+1)</f>
        <v/>
      </c>
      <c r="I2610">
        <f>IF(C2610="","",C2610&amp;"|"&amp;H2610)</f>
        <v/>
      </c>
      <c r="J2610" s="6">
        <f>IF(C2610="","",IF(H2610=1,SUMIFS('Opening Balance'!$F$4:$F$303,'Opening Balance'!$G$4:$G$303,C2610),INDEX($L$2:$L$3001,MATCH(C2610&amp;"|"&amp;(H2610-1),$I$2:$I$3001,0))))</f>
        <v/>
      </c>
      <c r="K2610" s="6">
        <f>IF(C2610="","",IF(M2610&gt;0,M2610,IF(AND(E2610&gt;0,ROUND(J2610+D2610-E2610,2)&gt;0,ROUND(J2610+D2610-E2610,2)&lt;'Opening Balance'!$B$14),ROUND(J2610+D2610-E2610,2),0)))</f>
        <v/>
      </c>
      <c r="L2610" s="6">
        <f>IF(C2610="","",ROUND(J2610+D2610-E2610-K2610,2))</f>
        <v/>
      </c>
      <c r="M2610" s="6">
        <f>IF(C2610="","",0)</f>
        <v/>
      </c>
    </row>
    <row r="2611">
      <c r="A2611" t="inlineStr">
        <is>
          <t>Bank 银行</t>
        </is>
      </c>
      <c r="B2611" s="5">
        <f>IF(AND('Daily Sale entry '!Z1111="Online collection 网上收款",'Daily Sale entry '!AA1111&lt;&gt;""),'Daily Sale entry '!X1111,"")</f>
        <v/>
      </c>
      <c r="C2611">
        <f>IF(B2611="","",'Daily Sale entry '!AA1111)</f>
        <v/>
      </c>
      <c r="D2611">
        <f>IF(C2611="","",0)</f>
        <v/>
      </c>
      <c r="E2611">
        <f>IF(C2611="","",'Daily Sale entry '!AC1111)</f>
        <v/>
      </c>
      <c r="F2611" s="37">
        <f>IF(C2611="","",B2611+IF(E2611&gt;0,0,0.5)+ROW()/10000000)</f>
        <v/>
      </c>
      <c r="G2611">
        <f>IF(C2611="","","Collection 收款 (Online 网上)"&amp;IF('Daily Sale entry '!Y1111="",""," - "&amp;'Daily Sale entry '!Y1111))</f>
        <v/>
      </c>
      <c r="H2611">
        <f>IF(C2611="","",COUNTIFS($C$2:$C$3001,C2611,$F$2:$F$3001,"&lt;"&amp;F2611)+1)</f>
        <v/>
      </c>
      <c r="I2611">
        <f>IF(C2611="","",C2611&amp;"|"&amp;H2611)</f>
        <v/>
      </c>
      <c r="J2611" s="6">
        <f>IF(C2611="","",IF(H2611=1,SUMIFS('Opening Balance'!$F$4:$F$303,'Opening Balance'!$G$4:$G$303,C2611),INDEX($L$2:$L$3001,MATCH(C2611&amp;"|"&amp;(H2611-1),$I$2:$I$3001,0))))</f>
        <v/>
      </c>
      <c r="K2611" s="6">
        <f>IF(C2611="","",IF(M2611&gt;0,M2611,IF(AND(E2611&gt;0,ROUND(J2611+D2611-E2611,2)&gt;0,ROUND(J2611+D2611-E2611,2)&lt;'Opening Balance'!$B$14),ROUND(J2611+D2611-E2611,2),0)))</f>
        <v/>
      </c>
      <c r="L2611" s="6">
        <f>IF(C2611="","",ROUND(J2611+D2611-E2611-K2611,2))</f>
        <v/>
      </c>
      <c r="M2611" s="6">
        <f>IF(C2611="","",0)</f>
        <v/>
      </c>
    </row>
    <row r="2612">
      <c r="A2612" t="inlineStr">
        <is>
          <t>Bank 银行</t>
        </is>
      </c>
      <c r="B2612" s="5">
        <f>IF(AND('Daily Sale entry '!Z1112="Online collection 网上收款",'Daily Sale entry '!AA1112&lt;&gt;""),'Daily Sale entry '!X1112,"")</f>
        <v/>
      </c>
      <c r="C2612">
        <f>IF(B2612="","",'Daily Sale entry '!AA1112)</f>
        <v/>
      </c>
      <c r="D2612">
        <f>IF(C2612="","",0)</f>
        <v/>
      </c>
      <c r="E2612">
        <f>IF(C2612="","",'Daily Sale entry '!AC1112)</f>
        <v/>
      </c>
      <c r="F2612" s="37">
        <f>IF(C2612="","",B2612+IF(E2612&gt;0,0,0.5)+ROW()/10000000)</f>
        <v/>
      </c>
      <c r="G2612">
        <f>IF(C2612="","","Collection 收款 (Online 网上)"&amp;IF('Daily Sale entry '!Y1112="",""," - "&amp;'Daily Sale entry '!Y1112))</f>
        <v/>
      </c>
      <c r="H2612">
        <f>IF(C2612="","",COUNTIFS($C$2:$C$3001,C2612,$F$2:$F$3001,"&lt;"&amp;F2612)+1)</f>
        <v/>
      </c>
      <c r="I2612">
        <f>IF(C2612="","",C2612&amp;"|"&amp;H2612)</f>
        <v/>
      </c>
      <c r="J2612" s="6">
        <f>IF(C2612="","",IF(H2612=1,SUMIFS('Opening Balance'!$F$4:$F$303,'Opening Balance'!$G$4:$G$303,C2612),INDEX($L$2:$L$3001,MATCH(C2612&amp;"|"&amp;(H2612-1),$I$2:$I$3001,0))))</f>
        <v/>
      </c>
      <c r="K2612" s="6">
        <f>IF(C2612="","",IF(M2612&gt;0,M2612,IF(AND(E2612&gt;0,ROUND(J2612+D2612-E2612,2)&gt;0,ROUND(J2612+D2612-E2612,2)&lt;'Opening Balance'!$B$14),ROUND(J2612+D2612-E2612,2),0)))</f>
        <v/>
      </c>
      <c r="L2612" s="6">
        <f>IF(C2612="","",ROUND(J2612+D2612-E2612-K2612,2))</f>
        <v/>
      </c>
      <c r="M2612" s="6">
        <f>IF(C2612="","",0)</f>
        <v/>
      </c>
    </row>
    <row r="2613">
      <c r="A2613" t="inlineStr">
        <is>
          <t>Bank 银行</t>
        </is>
      </c>
      <c r="B2613" s="5">
        <f>IF(AND('Daily Sale entry '!Z1113="Online collection 网上收款",'Daily Sale entry '!AA1113&lt;&gt;""),'Daily Sale entry '!X1113,"")</f>
        <v/>
      </c>
      <c r="C2613">
        <f>IF(B2613="","",'Daily Sale entry '!AA1113)</f>
        <v/>
      </c>
      <c r="D2613">
        <f>IF(C2613="","",0)</f>
        <v/>
      </c>
      <c r="E2613">
        <f>IF(C2613="","",'Daily Sale entry '!AC1113)</f>
        <v/>
      </c>
      <c r="F2613" s="37">
        <f>IF(C2613="","",B2613+IF(E2613&gt;0,0,0.5)+ROW()/10000000)</f>
        <v/>
      </c>
      <c r="G2613">
        <f>IF(C2613="","","Collection 收款 (Online 网上)"&amp;IF('Daily Sale entry '!Y1113="",""," - "&amp;'Daily Sale entry '!Y1113))</f>
        <v/>
      </c>
      <c r="H2613">
        <f>IF(C2613="","",COUNTIFS($C$2:$C$3001,C2613,$F$2:$F$3001,"&lt;"&amp;F2613)+1)</f>
        <v/>
      </c>
      <c r="I2613">
        <f>IF(C2613="","",C2613&amp;"|"&amp;H2613)</f>
        <v/>
      </c>
      <c r="J2613" s="6">
        <f>IF(C2613="","",IF(H2613=1,SUMIFS('Opening Balance'!$F$4:$F$303,'Opening Balance'!$G$4:$G$303,C2613),INDEX($L$2:$L$3001,MATCH(C2613&amp;"|"&amp;(H2613-1),$I$2:$I$3001,0))))</f>
        <v/>
      </c>
      <c r="K2613" s="6">
        <f>IF(C2613="","",IF(M2613&gt;0,M2613,IF(AND(E2613&gt;0,ROUND(J2613+D2613-E2613,2)&gt;0,ROUND(J2613+D2613-E2613,2)&lt;'Opening Balance'!$B$14),ROUND(J2613+D2613-E2613,2),0)))</f>
        <v/>
      </c>
      <c r="L2613" s="6">
        <f>IF(C2613="","",ROUND(J2613+D2613-E2613-K2613,2))</f>
        <v/>
      </c>
      <c r="M2613" s="6">
        <f>IF(C2613="","",0)</f>
        <v/>
      </c>
    </row>
    <row r="2614">
      <c r="A2614" t="inlineStr">
        <is>
          <t>Bank 银行</t>
        </is>
      </c>
      <c r="B2614" s="5">
        <f>IF(AND('Daily Sale entry '!Z1114="Online collection 网上收款",'Daily Sale entry '!AA1114&lt;&gt;""),'Daily Sale entry '!X1114,"")</f>
        <v/>
      </c>
      <c r="C2614">
        <f>IF(B2614="","",'Daily Sale entry '!AA1114)</f>
        <v/>
      </c>
      <c r="D2614">
        <f>IF(C2614="","",0)</f>
        <v/>
      </c>
      <c r="E2614">
        <f>IF(C2614="","",'Daily Sale entry '!AC1114)</f>
        <v/>
      </c>
      <c r="F2614" s="37">
        <f>IF(C2614="","",B2614+IF(E2614&gt;0,0,0.5)+ROW()/10000000)</f>
        <v/>
      </c>
      <c r="G2614">
        <f>IF(C2614="","","Collection 收款 (Online 网上)"&amp;IF('Daily Sale entry '!Y1114="",""," - "&amp;'Daily Sale entry '!Y1114))</f>
        <v/>
      </c>
      <c r="H2614">
        <f>IF(C2614="","",COUNTIFS($C$2:$C$3001,C2614,$F$2:$F$3001,"&lt;"&amp;F2614)+1)</f>
        <v/>
      </c>
      <c r="I2614">
        <f>IF(C2614="","",C2614&amp;"|"&amp;H2614)</f>
        <v/>
      </c>
      <c r="J2614" s="6">
        <f>IF(C2614="","",IF(H2614=1,SUMIFS('Opening Balance'!$F$4:$F$303,'Opening Balance'!$G$4:$G$303,C2614),INDEX($L$2:$L$3001,MATCH(C2614&amp;"|"&amp;(H2614-1),$I$2:$I$3001,0))))</f>
        <v/>
      </c>
      <c r="K2614" s="6">
        <f>IF(C2614="","",IF(M2614&gt;0,M2614,IF(AND(E2614&gt;0,ROUND(J2614+D2614-E2614,2)&gt;0,ROUND(J2614+D2614-E2614,2)&lt;'Opening Balance'!$B$14),ROUND(J2614+D2614-E2614,2),0)))</f>
        <v/>
      </c>
      <c r="L2614" s="6">
        <f>IF(C2614="","",ROUND(J2614+D2614-E2614-K2614,2))</f>
        <v/>
      </c>
      <c r="M2614" s="6">
        <f>IF(C2614="","",0)</f>
        <v/>
      </c>
    </row>
    <row r="2615">
      <c r="A2615" t="inlineStr">
        <is>
          <t>Bank 银行</t>
        </is>
      </c>
      <c r="B2615" s="5">
        <f>IF(AND('Daily Sale entry '!Z1115="Online collection 网上收款",'Daily Sale entry '!AA1115&lt;&gt;""),'Daily Sale entry '!X1115,"")</f>
        <v/>
      </c>
      <c r="C2615">
        <f>IF(B2615="","",'Daily Sale entry '!AA1115)</f>
        <v/>
      </c>
      <c r="D2615">
        <f>IF(C2615="","",0)</f>
        <v/>
      </c>
      <c r="E2615">
        <f>IF(C2615="","",'Daily Sale entry '!AC1115)</f>
        <v/>
      </c>
      <c r="F2615" s="37">
        <f>IF(C2615="","",B2615+IF(E2615&gt;0,0,0.5)+ROW()/10000000)</f>
        <v/>
      </c>
      <c r="G2615">
        <f>IF(C2615="","","Collection 收款 (Online 网上)"&amp;IF('Daily Sale entry '!Y1115="",""," - "&amp;'Daily Sale entry '!Y1115))</f>
        <v/>
      </c>
      <c r="H2615">
        <f>IF(C2615="","",COUNTIFS($C$2:$C$3001,C2615,$F$2:$F$3001,"&lt;"&amp;F2615)+1)</f>
        <v/>
      </c>
      <c r="I2615">
        <f>IF(C2615="","",C2615&amp;"|"&amp;H2615)</f>
        <v/>
      </c>
      <c r="J2615" s="6">
        <f>IF(C2615="","",IF(H2615=1,SUMIFS('Opening Balance'!$F$4:$F$303,'Opening Balance'!$G$4:$G$303,C2615),INDEX($L$2:$L$3001,MATCH(C2615&amp;"|"&amp;(H2615-1),$I$2:$I$3001,0))))</f>
        <v/>
      </c>
      <c r="K2615" s="6">
        <f>IF(C2615="","",IF(M2615&gt;0,M2615,IF(AND(E2615&gt;0,ROUND(J2615+D2615-E2615,2)&gt;0,ROUND(J2615+D2615-E2615,2)&lt;'Opening Balance'!$B$14),ROUND(J2615+D2615-E2615,2),0)))</f>
        <v/>
      </c>
      <c r="L2615" s="6">
        <f>IF(C2615="","",ROUND(J2615+D2615-E2615-K2615,2))</f>
        <v/>
      </c>
      <c r="M2615" s="6">
        <f>IF(C2615="","",0)</f>
        <v/>
      </c>
    </row>
    <row r="2616">
      <c r="A2616" t="inlineStr">
        <is>
          <t>Bank 银行</t>
        </is>
      </c>
      <c r="B2616" s="5">
        <f>IF(AND('Daily Sale entry '!Z1116="Online collection 网上收款",'Daily Sale entry '!AA1116&lt;&gt;""),'Daily Sale entry '!X1116,"")</f>
        <v/>
      </c>
      <c r="C2616">
        <f>IF(B2616="","",'Daily Sale entry '!AA1116)</f>
        <v/>
      </c>
      <c r="D2616">
        <f>IF(C2616="","",0)</f>
        <v/>
      </c>
      <c r="E2616">
        <f>IF(C2616="","",'Daily Sale entry '!AC1116)</f>
        <v/>
      </c>
      <c r="F2616" s="37">
        <f>IF(C2616="","",B2616+IF(E2616&gt;0,0,0.5)+ROW()/10000000)</f>
        <v/>
      </c>
      <c r="G2616">
        <f>IF(C2616="","","Collection 收款 (Online 网上)"&amp;IF('Daily Sale entry '!Y1116="",""," - "&amp;'Daily Sale entry '!Y1116))</f>
        <v/>
      </c>
      <c r="H2616">
        <f>IF(C2616="","",COUNTIFS($C$2:$C$3001,C2616,$F$2:$F$3001,"&lt;"&amp;F2616)+1)</f>
        <v/>
      </c>
      <c r="I2616">
        <f>IF(C2616="","",C2616&amp;"|"&amp;H2616)</f>
        <v/>
      </c>
      <c r="J2616" s="6">
        <f>IF(C2616="","",IF(H2616=1,SUMIFS('Opening Balance'!$F$4:$F$303,'Opening Balance'!$G$4:$G$303,C2616),INDEX($L$2:$L$3001,MATCH(C2616&amp;"|"&amp;(H2616-1),$I$2:$I$3001,0))))</f>
        <v/>
      </c>
      <c r="K2616" s="6">
        <f>IF(C2616="","",IF(M2616&gt;0,M2616,IF(AND(E2616&gt;0,ROUND(J2616+D2616-E2616,2)&gt;0,ROUND(J2616+D2616-E2616,2)&lt;'Opening Balance'!$B$14),ROUND(J2616+D2616-E2616,2),0)))</f>
        <v/>
      </c>
      <c r="L2616" s="6">
        <f>IF(C2616="","",ROUND(J2616+D2616-E2616-K2616,2))</f>
        <v/>
      </c>
      <c r="M2616" s="6">
        <f>IF(C2616="","",0)</f>
        <v/>
      </c>
    </row>
    <row r="2617">
      <c r="A2617" t="inlineStr">
        <is>
          <t>Bank 银行</t>
        </is>
      </c>
      <c r="B2617" s="5">
        <f>IF(AND('Daily Sale entry '!Z1117="Online collection 网上收款",'Daily Sale entry '!AA1117&lt;&gt;""),'Daily Sale entry '!X1117,"")</f>
        <v/>
      </c>
      <c r="C2617">
        <f>IF(B2617="","",'Daily Sale entry '!AA1117)</f>
        <v/>
      </c>
      <c r="D2617">
        <f>IF(C2617="","",0)</f>
        <v/>
      </c>
      <c r="E2617">
        <f>IF(C2617="","",'Daily Sale entry '!AC1117)</f>
        <v/>
      </c>
      <c r="F2617" s="37">
        <f>IF(C2617="","",B2617+IF(E2617&gt;0,0,0.5)+ROW()/10000000)</f>
        <v/>
      </c>
      <c r="G2617">
        <f>IF(C2617="","","Collection 收款 (Online 网上)"&amp;IF('Daily Sale entry '!Y1117="",""," - "&amp;'Daily Sale entry '!Y1117))</f>
        <v/>
      </c>
      <c r="H2617">
        <f>IF(C2617="","",COUNTIFS($C$2:$C$3001,C2617,$F$2:$F$3001,"&lt;"&amp;F2617)+1)</f>
        <v/>
      </c>
      <c r="I2617">
        <f>IF(C2617="","",C2617&amp;"|"&amp;H2617)</f>
        <v/>
      </c>
      <c r="J2617" s="6">
        <f>IF(C2617="","",IF(H2617=1,SUMIFS('Opening Balance'!$F$4:$F$303,'Opening Balance'!$G$4:$G$303,C2617),INDEX($L$2:$L$3001,MATCH(C2617&amp;"|"&amp;(H2617-1),$I$2:$I$3001,0))))</f>
        <v/>
      </c>
      <c r="K2617" s="6">
        <f>IF(C2617="","",IF(M2617&gt;0,M2617,IF(AND(E2617&gt;0,ROUND(J2617+D2617-E2617,2)&gt;0,ROUND(J2617+D2617-E2617,2)&lt;'Opening Balance'!$B$14),ROUND(J2617+D2617-E2617,2),0)))</f>
        <v/>
      </c>
      <c r="L2617" s="6">
        <f>IF(C2617="","",ROUND(J2617+D2617-E2617-K2617,2))</f>
        <v/>
      </c>
      <c r="M2617" s="6">
        <f>IF(C2617="","",0)</f>
        <v/>
      </c>
    </row>
    <row r="2618">
      <c r="A2618" t="inlineStr">
        <is>
          <t>Bank 银行</t>
        </is>
      </c>
      <c r="B2618" s="5">
        <f>IF(AND('Daily Sale entry '!Z1118="Online collection 网上收款",'Daily Sale entry '!AA1118&lt;&gt;""),'Daily Sale entry '!X1118,"")</f>
        <v/>
      </c>
      <c r="C2618">
        <f>IF(B2618="","",'Daily Sale entry '!AA1118)</f>
        <v/>
      </c>
      <c r="D2618">
        <f>IF(C2618="","",0)</f>
        <v/>
      </c>
      <c r="E2618">
        <f>IF(C2618="","",'Daily Sale entry '!AC1118)</f>
        <v/>
      </c>
      <c r="F2618" s="37">
        <f>IF(C2618="","",B2618+IF(E2618&gt;0,0,0.5)+ROW()/10000000)</f>
        <v/>
      </c>
      <c r="G2618">
        <f>IF(C2618="","","Collection 收款 (Online 网上)"&amp;IF('Daily Sale entry '!Y1118="",""," - "&amp;'Daily Sale entry '!Y1118))</f>
        <v/>
      </c>
      <c r="H2618">
        <f>IF(C2618="","",COUNTIFS($C$2:$C$3001,C2618,$F$2:$F$3001,"&lt;"&amp;F2618)+1)</f>
        <v/>
      </c>
      <c r="I2618">
        <f>IF(C2618="","",C2618&amp;"|"&amp;H2618)</f>
        <v/>
      </c>
      <c r="J2618" s="6">
        <f>IF(C2618="","",IF(H2618=1,SUMIFS('Opening Balance'!$F$4:$F$303,'Opening Balance'!$G$4:$G$303,C2618),INDEX($L$2:$L$3001,MATCH(C2618&amp;"|"&amp;(H2618-1),$I$2:$I$3001,0))))</f>
        <v/>
      </c>
      <c r="K2618" s="6">
        <f>IF(C2618="","",IF(M2618&gt;0,M2618,IF(AND(E2618&gt;0,ROUND(J2618+D2618-E2618,2)&gt;0,ROUND(J2618+D2618-E2618,2)&lt;'Opening Balance'!$B$14),ROUND(J2618+D2618-E2618,2),0)))</f>
        <v/>
      </c>
      <c r="L2618" s="6">
        <f>IF(C2618="","",ROUND(J2618+D2618-E2618-K2618,2))</f>
        <v/>
      </c>
      <c r="M2618" s="6">
        <f>IF(C2618="","",0)</f>
        <v/>
      </c>
    </row>
    <row r="2619">
      <c r="A2619" t="inlineStr">
        <is>
          <t>Bank 银行</t>
        </is>
      </c>
      <c r="B2619" s="5">
        <f>IF(AND('Daily Sale entry '!Z1119="Online collection 网上收款",'Daily Sale entry '!AA1119&lt;&gt;""),'Daily Sale entry '!X1119,"")</f>
        <v/>
      </c>
      <c r="C2619">
        <f>IF(B2619="","",'Daily Sale entry '!AA1119)</f>
        <v/>
      </c>
      <c r="D2619">
        <f>IF(C2619="","",0)</f>
        <v/>
      </c>
      <c r="E2619">
        <f>IF(C2619="","",'Daily Sale entry '!AC1119)</f>
        <v/>
      </c>
      <c r="F2619" s="37">
        <f>IF(C2619="","",B2619+IF(E2619&gt;0,0,0.5)+ROW()/10000000)</f>
        <v/>
      </c>
      <c r="G2619">
        <f>IF(C2619="","","Collection 收款 (Online 网上)"&amp;IF('Daily Sale entry '!Y1119="",""," - "&amp;'Daily Sale entry '!Y1119))</f>
        <v/>
      </c>
      <c r="H2619">
        <f>IF(C2619="","",COUNTIFS($C$2:$C$3001,C2619,$F$2:$F$3001,"&lt;"&amp;F2619)+1)</f>
        <v/>
      </c>
      <c r="I2619">
        <f>IF(C2619="","",C2619&amp;"|"&amp;H2619)</f>
        <v/>
      </c>
      <c r="J2619" s="6">
        <f>IF(C2619="","",IF(H2619=1,SUMIFS('Opening Balance'!$F$4:$F$303,'Opening Balance'!$G$4:$G$303,C2619),INDEX($L$2:$L$3001,MATCH(C2619&amp;"|"&amp;(H2619-1),$I$2:$I$3001,0))))</f>
        <v/>
      </c>
      <c r="K2619" s="6">
        <f>IF(C2619="","",IF(M2619&gt;0,M2619,IF(AND(E2619&gt;0,ROUND(J2619+D2619-E2619,2)&gt;0,ROUND(J2619+D2619-E2619,2)&lt;'Opening Balance'!$B$14),ROUND(J2619+D2619-E2619,2),0)))</f>
        <v/>
      </c>
      <c r="L2619" s="6">
        <f>IF(C2619="","",ROUND(J2619+D2619-E2619-K2619,2))</f>
        <v/>
      </c>
      <c r="M2619" s="6">
        <f>IF(C2619="","",0)</f>
        <v/>
      </c>
    </row>
    <row r="2620">
      <c r="A2620" t="inlineStr">
        <is>
          <t>Bank 银行</t>
        </is>
      </c>
      <c r="B2620" s="5">
        <f>IF(AND('Daily Sale entry '!Z1120="Online collection 网上收款",'Daily Sale entry '!AA1120&lt;&gt;""),'Daily Sale entry '!X1120,"")</f>
        <v/>
      </c>
      <c r="C2620">
        <f>IF(B2620="","",'Daily Sale entry '!AA1120)</f>
        <v/>
      </c>
      <c r="D2620">
        <f>IF(C2620="","",0)</f>
        <v/>
      </c>
      <c r="E2620">
        <f>IF(C2620="","",'Daily Sale entry '!AC1120)</f>
        <v/>
      </c>
      <c r="F2620" s="37">
        <f>IF(C2620="","",B2620+IF(E2620&gt;0,0,0.5)+ROW()/10000000)</f>
        <v/>
      </c>
      <c r="G2620">
        <f>IF(C2620="","","Collection 收款 (Online 网上)"&amp;IF('Daily Sale entry '!Y1120="",""," - "&amp;'Daily Sale entry '!Y1120))</f>
        <v/>
      </c>
      <c r="H2620">
        <f>IF(C2620="","",COUNTIFS($C$2:$C$3001,C2620,$F$2:$F$3001,"&lt;"&amp;F2620)+1)</f>
        <v/>
      </c>
      <c r="I2620">
        <f>IF(C2620="","",C2620&amp;"|"&amp;H2620)</f>
        <v/>
      </c>
      <c r="J2620" s="6">
        <f>IF(C2620="","",IF(H2620=1,SUMIFS('Opening Balance'!$F$4:$F$303,'Opening Balance'!$G$4:$G$303,C2620),INDEX($L$2:$L$3001,MATCH(C2620&amp;"|"&amp;(H2620-1),$I$2:$I$3001,0))))</f>
        <v/>
      </c>
      <c r="K2620" s="6">
        <f>IF(C2620="","",IF(M2620&gt;0,M2620,IF(AND(E2620&gt;0,ROUND(J2620+D2620-E2620,2)&gt;0,ROUND(J2620+D2620-E2620,2)&lt;'Opening Balance'!$B$14),ROUND(J2620+D2620-E2620,2),0)))</f>
        <v/>
      </c>
      <c r="L2620" s="6">
        <f>IF(C2620="","",ROUND(J2620+D2620-E2620-K2620,2))</f>
        <v/>
      </c>
      <c r="M2620" s="6">
        <f>IF(C2620="","",0)</f>
        <v/>
      </c>
    </row>
    <row r="2621">
      <c r="A2621" t="inlineStr">
        <is>
          <t>Bank 银行</t>
        </is>
      </c>
      <c r="B2621" s="5">
        <f>IF(AND('Daily Sale entry '!Z1121="Online collection 网上收款",'Daily Sale entry '!AA1121&lt;&gt;""),'Daily Sale entry '!X1121,"")</f>
        <v/>
      </c>
      <c r="C2621">
        <f>IF(B2621="","",'Daily Sale entry '!AA1121)</f>
        <v/>
      </c>
      <c r="D2621">
        <f>IF(C2621="","",0)</f>
        <v/>
      </c>
      <c r="E2621">
        <f>IF(C2621="","",'Daily Sale entry '!AC1121)</f>
        <v/>
      </c>
      <c r="F2621" s="37">
        <f>IF(C2621="","",B2621+IF(E2621&gt;0,0,0.5)+ROW()/10000000)</f>
        <v/>
      </c>
      <c r="G2621">
        <f>IF(C2621="","","Collection 收款 (Online 网上)"&amp;IF('Daily Sale entry '!Y1121="",""," - "&amp;'Daily Sale entry '!Y1121))</f>
        <v/>
      </c>
      <c r="H2621">
        <f>IF(C2621="","",COUNTIFS($C$2:$C$3001,C2621,$F$2:$F$3001,"&lt;"&amp;F2621)+1)</f>
        <v/>
      </c>
      <c r="I2621">
        <f>IF(C2621="","",C2621&amp;"|"&amp;H2621)</f>
        <v/>
      </c>
      <c r="J2621" s="6">
        <f>IF(C2621="","",IF(H2621=1,SUMIFS('Opening Balance'!$F$4:$F$303,'Opening Balance'!$G$4:$G$303,C2621),INDEX($L$2:$L$3001,MATCH(C2621&amp;"|"&amp;(H2621-1),$I$2:$I$3001,0))))</f>
        <v/>
      </c>
      <c r="K2621" s="6">
        <f>IF(C2621="","",IF(M2621&gt;0,M2621,IF(AND(E2621&gt;0,ROUND(J2621+D2621-E2621,2)&gt;0,ROUND(J2621+D2621-E2621,2)&lt;'Opening Balance'!$B$14),ROUND(J2621+D2621-E2621,2),0)))</f>
        <v/>
      </c>
      <c r="L2621" s="6">
        <f>IF(C2621="","",ROUND(J2621+D2621-E2621-K2621,2))</f>
        <v/>
      </c>
      <c r="M2621" s="6">
        <f>IF(C2621="","",0)</f>
        <v/>
      </c>
    </row>
    <row r="2622">
      <c r="A2622" t="inlineStr">
        <is>
          <t>Bank 银行</t>
        </is>
      </c>
      <c r="B2622" s="5">
        <f>IF(AND('Daily Sale entry '!Z1122="Online collection 网上收款",'Daily Sale entry '!AA1122&lt;&gt;""),'Daily Sale entry '!X1122,"")</f>
        <v/>
      </c>
      <c r="C2622">
        <f>IF(B2622="","",'Daily Sale entry '!AA1122)</f>
        <v/>
      </c>
      <c r="D2622">
        <f>IF(C2622="","",0)</f>
        <v/>
      </c>
      <c r="E2622">
        <f>IF(C2622="","",'Daily Sale entry '!AC1122)</f>
        <v/>
      </c>
      <c r="F2622" s="37">
        <f>IF(C2622="","",B2622+IF(E2622&gt;0,0,0.5)+ROW()/10000000)</f>
        <v/>
      </c>
      <c r="G2622">
        <f>IF(C2622="","","Collection 收款 (Online 网上)"&amp;IF('Daily Sale entry '!Y1122="",""," - "&amp;'Daily Sale entry '!Y1122))</f>
        <v/>
      </c>
      <c r="H2622">
        <f>IF(C2622="","",COUNTIFS($C$2:$C$3001,C2622,$F$2:$F$3001,"&lt;"&amp;F2622)+1)</f>
        <v/>
      </c>
      <c r="I2622">
        <f>IF(C2622="","",C2622&amp;"|"&amp;H2622)</f>
        <v/>
      </c>
      <c r="J2622" s="6">
        <f>IF(C2622="","",IF(H2622=1,SUMIFS('Opening Balance'!$F$4:$F$303,'Opening Balance'!$G$4:$G$303,C2622),INDEX($L$2:$L$3001,MATCH(C2622&amp;"|"&amp;(H2622-1),$I$2:$I$3001,0))))</f>
        <v/>
      </c>
      <c r="K2622" s="6">
        <f>IF(C2622="","",IF(M2622&gt;0,M2622,IF(AND(E2622&gt;0,ROUND(J2622+D2622-E2622,2)&gt;0,ROUND(J2622+D2622-E2622,2)&lt;'Opening Balance'!$B$14),ROUND(J2622+D2622-E2622,2),0)))</f>
        <v/>
      </c>
      <c r="L2622" s="6">
        <f>IF(C2622="","",ROUND(J2622+D2622-E2622-K2622,2))</f>
        <v/>
      </c>
      <c r="M2622" s="6">
        <f>IF(C2622="","",0)</f>
        <v/>
      </c>
    </row>
    <row r="2623">
      <c r="A2623" t="inlineStr">
        <is>
          <t>Bank 银行</t>
        </is>
      </c>
      <c r="B2623" s="5">
        <f>IF(AND('Daily Sale entry '!Z1123="Online collection 网上收款",'Daily Sale entry '!AA1123&lt;&gt;""),'Daily Sale entry '!X1123,"")</f>
        <v/>
      </c>
      <c r="C2623">
        <f>IF(B2623="","",'Daily Sale entry '!AA1123)</f>
        <v/>
      </c>
      <c r="D2623">
        <f>IF(C2623="","",0)</f>
        <v/>
      </c>
      <c r="E2623">
        <f>IF(C2623="","",'Daily Sale entry '!AC1123)</f>
        <v/>
      </c>
      <c r="F2623" s="37">
        <f>IF(C2623="","",B2623+IF(E2623&gt;0,0,0.5)+ROW()/10000000)</f>
        <v/>
      </c>
      <c r="G2623">
        <f>IF(C2623="","","Collection 收款 (Online 网上)"&amp;IF('Daily Sale entry '!Y1123="",""," - "&amp;'Daily Sale entry '!Y1123))</f>
        <v/>
      </c>
      <c r="H2623">
        <f>IF(C2623="","",COUNTIFS($C$2:$C$3001,C2623,$F$2:$F$3001,"&lt;"&amp;F2623)+1)</f>
        <v/>
      </c>
      <c r="I2623">
        <f>IF(C2623="","",C2623&amp;"|"&amp;H2623)</f>
        <v/>
      </c>
      <c r="J2623" s="6">
        <f>IF(C2623="","",IF(H2623=1,SUMIFS('Opening Balance'!$F$4:$F$303,'Opening Balance'!$G$4:$G$303,C2623),INDEX($L$2:$L$3001,MATCH(C2623&amp;"|"&amp;(H2623-1),$I$2:$I$3001,0))))</f>
        <v/>
      </c>
      <c r="K2623" s="6">
        <f>IF(C2623="","",IF(M2623&gt;0,M2623,IF(AND(E2623&gt;0,ROUND(J2623+D2623-E2623,2)&gt;0,ROUND(J2623+D2623-E2623,2)&lt;'Opening Balance'!$B$14),ROUND(J2623+D2623-E2623,2),0)))</f>
        <v/>
      </c>
      <c r="L2623" s="6">
        <f>IF(C2623="","",ROUND(J2623+D2623-E2623-K2623,2))</f>
        <v/>
      </c>
      <c r="M2623" s="6">
        <f>IF(C2623="","",0)</f>
        <v/>
      </c>
    </row>
    <row r="2624">
      <c r="A2624" t="inlineStr">
        <is>
          <t>Bank 银行</t>
        </is>
      </c>
      <c r="B2624" s="5">
        <f>IF(AND('Daily Sale entry '!Z1124="Online collection 网上收款",'Daily Sale entry '!AA1124&lt;&gt;""),'Daily Sale entry '!X1124,"")</f>
        <v/>
      </c>
      <c r="C2624">
        <f>IF(B2624="","",'Daily Sale entry '!AA1124)</f>
        <v/>
      </c>
      <c r="D2624">
        <f>IF(C2624="","",0)</f>
        <v/>
      </c>
      <c r="E2624">
        <f>IF(C2624="","",'Daily Sale entry '!AC1124)</f>
        <v/>
      </c>
      <c r="F2624" s="37">
        <f>IF(C2624="","",B2624+IF(E2624&gt;0,0,0.5)+ROW()/10000000)</f>
        <v/>
      </c>
      <c r="G2624">
        <f>IF(C2624="","","Collection 收款 (Online 网上)"&amp;IF('Daily Sale entry '!Y1124="",""," - "&amp;'Daily Sale entry '!Y1124))</f>
        <v/>
      </c>
      <c r="H2624">
        <f>IF(C2624="","",COUNTIFS($C$2:$C$3001,C2624,$F$2:$F$3001,"&lt;"&amp;F2624)+1)</f>
        <v/>
      </c>
      <c r="I2624">
        <f>IF(C2624="","",C2624&amp;"|"&amp;H2624)</f>
        <v/>
      </c>
      <c r="J2624" s="6">
        <f>IF(C2624="","",IF(H2624=1,SUMIFS('Opening Balance'!$F$4:$F$303,'Opening Balance'!$G$4:$G$303,C2624),INDEX($L$2:$L$3001,MATCH(C2624&amp;"|"&amp;(H2624-1),$I$2:$I$3001,0))))</f>
        <v/>
      </c>
      <c r="K2624" s="6">
        <f>IF(C2624="","",IF(M2624&gt;0,M2624,IF(AND(E2624&gt;0,ROUND(J2624+D2624-E2624,2)&gt;0,ROUND(J2624+D2624-E2624,2)&lt;'Opening Balance'!$B$14),ROUND(J2624+D2624-E2624,2),0)))</f>
        <v/>
      </c>
      <c r="L2624" s="6">
        <f>IF(C2624="","",ROUND(J2624+D2624-E2624-K2624,2))</f>
        <v/>
      </c>
      <c r="M2624" s="6">
        <f>IF(C2624="","",0)</f>
        <v/>
      </c>
    </row>
    <row r="2625">
      <c r="A2625" t="inlineStr">
        <is>
          <t>Bank 银行</t>
        </is>
      </c>
      <c r="B2625" s="5">
        <f>IF(AND('Daily Sale entry '!Z1125="Online collection 网上收款",'Daily Sale entry '!AA1125&lt;&gt;""),'Daily Sale entry '!X1125,"")</f>
        <v/>
      </c>
      <c r="C2625">
        <f>IF(B2625="","",'Daily Sale entry '!AA1125)</f>
        <v/>
      </c>
      <c r="D2625">
        <f>IF(C2625="","",0)</f>
        <v/>
      </c>
      <c r="E2625">
        <f>IF(C2625="","",'Daily Sale entry '!AC1125)</f>
        <v/>
      </c>
      <c r="F2625" s="37">
        <f>IF(C2625="","",B2625+IF(E2625&gt;0,0,0.5)+ROW()/10000000)</f>
        <v/>
      </c>
      <c r="G2625">
        <f>IF(C2625="","","Collection 收款 (Online 网上)"&amp;IF('Daily Sale entry '!Y1125="",""," - "&amp;'Daily Sale entry '!Y1125))</f>
        <v/>
      </c>
      <c r="H2625">
        <f>IF(C2625="","",COUNTIFS($C$2:$C$3001,C2625,$F$2:$F$3001,"&lt;"&amp;F2625)+1)</f>
        <v/>
      </c>
      <c r="I2625">
        <f>IF(C2625="","",C2625&amp;"|"&amp;H2625)</f>
        <v/>
      </c>
      <c r="J2625" s="6">
        <f>IF(C2625="","",IF(H2625=1,SUMIFS('Opening Balance'!$F$4:$F$303,'Opening Balance'!$G$4:$G$303,C2625),INDEX($L$2:$L$3001,MATCH(C2625&amp;"|"&amp;(H2625-1),$I$2:$I$3001,0))))</f>
        <v/>
      </c>
      <c r="K2625" s="6">
        <f>IF(C2625="","",IF(M2625&gt;0,M2625,IF(AND(E2625&gt;0,ROUND(J2625+D2625-E2625,2)&gt;0,ROUND(J2625+D2625-E2625,2)&lt;'Opening Balance'!$B$14),ROUND(J2625+D2625-E2625,2),0)))</f>
        <v/>
      </c>
      <c r="L2625" s="6">
        <f>IF(C2625="","",ROUND(J2625+D2625-E2625-K2625,2))</f>
        <v/>
      </c>
      <c r="M2625" s="6">
        <f>IF(C2625="","",0)</f>
        <v/>
      </c>
    </row>
    <row r="2626">
      <c r="A2626" t="inlineStr">
        <is>
          <t>Bank 银行</t>
        </is>
      </c>
      <c r="B2626" s="5">
        <f>IF(AND('Daily Sale entry '!Z1126="Online collection 网上收款",'Daily Sale entry '!AA1126&lt;&gt;""),'Daily Sale entry '!X1126,"")</f>
        <v/>
      </c>
      <c r="C2626">
        <f>IF(B2626="","",'Daily Sale entry '!AA1126)</f>
        <v/>
      </c>
      <c r="D2626">
        <f>IF(C2626="","",0)</f>
        <v/>
      </c>
      <c r="E2626">
        <f>IF(C2626="","",'Daily Sale entry '!AC1126)</f>
        <v/>
      </c>
      <c r="F2626" s="37">
        <f>IF(C2626="","",B2626+IF(E2626&gt;0,0,0.5)+ROW()/10000000)</f>
        <v/>
      </c>
      <c r="G2626">
        <f>IF(C2626="","","Collection 收款 (Online 网上)"&amp;IF('Daily Sale entry '!Y1126="",""," - "&amp;'Daily Sale entry '!Y1126))</f>
        <v/>
      </c>
      <c r="H2626">
        <f>IF(C2626="","",COUNTIFS($C$2:$C$3001,C2626,$F$2:$F$3001,"&lt;"&amp;F2626)+1)</f>
        <v/>
      </c>
      <c r="I2626">
        <f>IF(C2626="","",C2626&amp;"|"&amp;H2626)</f>
        <v/>
      </c>
      <c r="J2626" s="6">
        <f>IF(C2626="","",IF(H2626=1,SUMIFS('Opening Balance'!$F$4:$F$303,'Opening Balance'!$G$4:$G$303,C2626),INDEX($L$2:$L$3001,MATCH(C2626&amp;"|"&amp;(H2626-1),$I$2:$I$3001,0))))</f>
        <v/>
      </c>
      <c r="K2626" s="6">
        <f>IF(C2626="","",IF(M2626&gt;0,M2626,IF(AND(E2626&gt;0,ROUND(J2626+D2626-E2626,2)&gt;0,ROUND(J2626+D2626-E2626,2)&lt;'Opening Balance'!$B$14),ROUND(J2626+D2626-E2626,2),0)))</f>
        <v/>
      </c>
      <c r="L2626" s="6">
        <f>IF(C2626="","",ROUND(J2626+D2626-E2626-K2626,2))</f>
        <v/>
      </c>
      <c r="M2626" s="6">
        <f>IF(C2626="","",0)</f>
        <v/>
      </c>
    </row>
    <row r="2627">
      <c r="A2627" t="inlineStr">
        <is>
          <t>Bank 银行</t>
        </is>
      </c>
      <c r="B2627" s="5">
        <f>IF(AND('Daily Sale entry '!Z1127="Online collection 网上收款",'Daily Sale entry '!AA1127&lt;&gt;""),'Daily Sale entry '!X1127,"")</f>
        <v/>
      </c>
      <c r="C2627">
        <f>IF(B2627="","",'Daily Sale entry '!AA1127)</f>
        <v/>
      </c>
      <c r="D2627">
        <f>IF(C2627="","",0)</f>
        <v/>
      </c>
      <c r="E2627">
        <f>IF(C2627="","",'Daily Sale entry '!AC1127)</f>
        <v/>
      </c>
      <c r="F2627" s="37">
        <f>IF(C2627="","",B2627+IF(E2627&gt;0,0,0.5)+ROW()/10000000)</f>
        <v/>
      </c>
      <c r="G2627">
        <f>IF(C2627="","","Collection 收款 (Online 网上)"&amp;IF('Daily Sale entry '!Y1127="",""," - "&amp;'Daily Sale entry '!Y1127))</f>
        <v/>
      </c>
      <c r="H2627">
        <f>IF(C2627="","",COUNTIFS($C$2:$C$3001,C2627,$F$2:$F$3001,"&lt;"&amp;F2627)+1)</f>
        <v/>
      </c>
      <c r="I2627">
        <f>IF(C2627="","",C2627&amp;"|"&amp;H2627)</f>
        <v/>
      </c>
      <c r="J2627" s="6">
        <f>IF(C2627="","",IF(H2627=1,SUMIFS('Opening Balance'!$F$4:$F$303,'Opening Balance'!$G$4:$G$303,C2627),INDEX($L$2:$L$3001,MATCH(C2627&amp;"|"&amp;(H2627-1),$I$2:$I$3001,0))))</f>
        <v/>
      </c>
      <c r="K2627" s="6">
        <f>IF(C2627="","",IF(M2627&gt;0,M2627,IF(AND(E2627&gt;0,ROUND(J2627+D2627-E2627,2)&gt;0,ROUND(J2627+D2627-E2627,2)&lt;'Opening Balance'!$B$14),ROUND(J2627+D2627-E2627,2),0)))</f>
        <v/>
      </c>
      <c r="L2627" s="6">
        <f>IF(C2627="","",ROUND(J2627+D2627-E2627-K2627,2))</f>
        <v/>
      </c>
      <c r="M2627" s="6">
        <f>IF(C2627="","",0)</f>
        <v/>
      </c>
    </row>
    <row r="2628">
      <c r="A2628" t="inlineStr">
        <is>
          <t>Bank 银行</t>
        </is>
      </c>
      <c r="B2628" s="5">
        <f>IF(AND('Daily Sale entry '!Z1128="Online collection 网上收款",'Daily Sale entry '!AA1128&lt;&gt;""),'Daily Sale entry '!X1128,"")</f>
        <v/>
      </c>
      <c r="C2628">
        <f>IF(B2628="","",'Daily Sale entry '!AA1128)</f>
        <v/>
      </c>
      <c r="D2628">
        <f>IF(C2628="","",0)</f>
        <v/>
      </c>
      <c r="E2628">
        <f>IF(C2628="","",'Daily Sale entry '!AC1128)</f>
        <v/>
      </c>
      <c r="F2628" s="37">
        <f>IF(C2628="","",B2628+IF(E2628&gt;0,0,0.5)+ROW()/10000000)</f>
        <v/>
      </c>
      <c r="G2628">
        <f>IF(C2628="","","Collection 收款 (Online 网上)"&amp;IF('Daily Sale entry '!Y1128="",""," - "&amp;'Daily Sale entry '!Y1128))</f>
        <v/>
      </c>
      <c r="H2628">
        <f>IF(C2628="","",COUNTIFS($C$2:$C$3001,C2628,$F$2:$F$3001,"&lt;"&amp;F2628)+1)</f>
        <v/>
      </c>
      <c r="I2628">
        <f>IF(C2628="","",C2628&amp;"|"&amp;H2628)</f>
        <v/>
      </c>
      <c r="J2628" s="6">
        <f>IF(C2628="","",IF(H2628=1,SUMIFS('Opening Balance'!$F$4:$F$303,'Opening Balance'!$G$4:$G$303,C2628),INDEX($L$2:$L$3001,MATCH(C2628&amp;"|"&amp;(H2628-1),$I$2:$I$3001,0))))</f>
        <v/>
      </c>
      <c r="K2628" s="6">
        <f>IF(C2628="","",IF(M2628&gt;0,M2628,IF(AND(E2628&gt;0,ROUND(J2628+D2628-E2628,2)&gt;0,ROUND(J2628+D2628-E2628,2)&lt;'Opening Balance'!$B$14),ROUND(J2628+D2628-E2628,2),0)))</f>
        <v/>
      </c>
      <c r="L2628" s="6">
        <f>IF(C2628="","",ROUND(J2628+D2628-E2628-K2628,2))</f>
        <v/>
      </c>
      <c r="M2628" s="6">
        <f>IF(C2628="","",0)</f>
        <v/>
      </c>
    </row>
    <row r="2629">
      <c r="A2629" t="inlineStr">
        <is>
          <t>Bank 银行</t>
        </is>
      </c>
      <c r="B2629" s="5">
        <f>IF(AND('Daily Sale entry '!Z1129="Online collection 网上收款",'Daily Sale entry '!AA1129&lt;&gt;""),'Daily Sale entry '!X1129,"")</f>
        <v/>
      </c>
      <c r="C2629">
        <f>IF(B2629="","",'Daily Sale entry '!AA1129)</f>
        <v/>
      </c>
      <c r="D2629">
        <f>IF(C2629="","",0)</f>
        <v/>
      </c>
      <c r="E2629">
        <f>IF(C2629="","",'Daily Sale entry '!AC1129)</f>
        <v/>
      </c>
      <c r="F2629" s="37">
        <f>IF(C2629="","",B2629+IF(E2629&gt;0,0,0.5)+ROW()/10000000)</f>
        <v/>
      </c>
      <c r="G2629">
        <f>IF(C2629="","","Collection 收款 (Online 网上)"&amp;IF('Daily Sale entry '!Y1129="",""," - "&amp;'Daily Sale entry '!Y1129))</f>
        <v/>
      </c>
      <c r="H2629">
        <f>IF(C2629="","",COUNTIFS($C$2:$C$3001,C2629,$F$2:$F$3001,"&lt;"&amp;F2629)+1)</f>
        <v/>
      </c>
      <c r="I2629">
        <f>IF(C2629="","",C2629&amp;"|"&amp;H2629)</f>
        <v/>
      </c>
      <c r="J2629" s="6">
        <f>IF(C2629="","",IF(H2629=1,SUMIFS('Opening Balance'!$F$4:$F$303,'Opening Balance'!$G$4:$G$303,C2629),INDEX($L$2:$L$3001,MATCH(C2629&amp;"|"&amp;(H2629-1),$I$2:$I$3001,0))))</f>
        <v/>
      </c>
      <c r="K2629" s="6">
        <f>IF(C2629="","",IF(M2629&gt;0,M2629,IF(AND(E2629&gt;0,ROUND(J2629+D2629-E2629,2)&gt;0,ROUND(J2629+D2629-E2629,2)&lt;'Opening Balance'!$B$14),ROUND(J2629+D2629-E2629,2),0)))</f>
        <v/>
      </c>
      <c r="L2629" s="6">
        <f>IF(C2629="","",ROUND(J2629+D2629-E2629-K2629,2))</f>
        <v/>
      </c>
      <c r="M2629" s="6">
        <f>IF(C2629="","",0)</f>
        <v/>
      </c>
    </row>
    <row r="2630">
      <c r="A2630" t="inlineStr">
        <is>
          <t>Bank 银行</t>
        </is>
      </c>
      <c r="B2630" s="5">
        <f>IF(AND('Daily Sale entry '!Z1130="Online collection 网上收款",'Daily Sale entry '!AA1130&lt;&gt;""),'Daily Sale entry '!X1130,"")</f>
        <v/>
      </c>
      <c r="C2630">
        <f>IF(B2630="","",'Daily Sale entry '!AA1130)</f>
        <v/>
      </c>
      <c r="D2630">
        <f>IF(C2630="","",0)</f>
        <v/>
      </c>
      <c r="E2630">
        <f>IF(C2630="","",'Daily Sale entry '!AC1130)</f>
        <v/>
      </c>
      <c r="F2630" s="37">
        <f>IF(C2630="","",B2630+IF(E2630&gt;0,0,0.5)+ROW()/10000000)</f>
        <v/>
      </c>
      <c r="G2630">
        <f>IF(C2630="","","Collection 收款 (Online 网上)"&amp;IF('Daily Sale entry '!Y1130="",""," - "&amp;'Daily Sale entry '!Y1130))</f>
        <v/>
      </c>
      <c r="H2630">
        <f>IF(C2630="","",COUNTIFS($C$2:$C$3001,C2630,$F$2:$F$3001,"&lt;"&amp;F2630)+1)</f>
        <v/>
      </c>
      <c r="I2630">
        <f>IF(C2630="","",C2630&amp;"|"&amp;H2630)</f>
        <v/>
      </c>
      <c r="J2630" s="6">
        <f>IF(C2630="","",IF(H2630=1,SUMIFS('Opening Balance'!$F$4:$F$303,'Opening Balance'!$G$4:$G$303,C2630),INDEX($L$2:$L$3001,MATCH(C2630&amp;"|"&amp;(H2630-1),$I$2:$I$3001,0))))</f>
        <v/>
      </c>
      <c r="K2630" s="6">
        <f>IF(C2630="","",IF(M2630&gt;0,M2630,IF(AND(E2630&gt;0,ROUND(J2630+D2630-E2630,2)&gt;0,ROUND(J2630+D2630-E2630,2)&lt;'Opening Balance'!$B$14),ROUND(J2630+D2630-E2630,2),0)))</f>
        <v/>
      </c>
      <c r="L2630" s="6">
        <f>IF(C2630="","",ROUND(J2630+D2630-E2630-K2630,2))</f>
        <v/>
      </c>
      <c r="M2630" s="6">
        <f>IF(C2630="","",0)</f>
        <v/>
      </c>
    </row>
    <row r="2631">
      <c r="A2631" t="inlineStr">
        <is>
          <t>Bank 银行</t>
        </is>
      </c>
      <c r="B2631" s="5">
        <f>IF(AND('Daily Sale entry '!Z1131="Online collection 网上收款",'Daily Sale entry '!AA1131&lt;&gt;""),'Daily Sale entry '!X1131,"")</f>
        <v/>
      </c>
      <c r="C2631">
        <f>IF(B2631="","",'Daily Sale entry '!AA1131)</f>
        <v/>
      </c>
      <c r="D2631">
        <f>IF(C2631="","",0)</f>
        <v/>
      </c>
      <c r="E2631">
        <f>IF(C2631="","",'Daily Sale entry '!AC1131)</f>
        <v/>
      </c>
      <c r="F2631" s="37">
        <f>IF(C2631="","",B2631+IF(E2631&gt;0,0,0.5)+ROW()/10000000)</f>
        <v/>
      </c>
      <c r="G2631">
        <f>IF(C2631="","","Collection 收款 (Online 网上)"&amp;IF('Daily Sale entry '!Y1131="",""," - "&amp;'Daily Sale entry '!Y1131))</f>
        <v/>
      </c>
      <c r="H2631">
        <f>IF(C2631="","",COUNTIFS($C$2:$C$3001,C2631,$F$2:$F$3001,"&lt;"&amp;F2631)+1)</f>
        <v/>
      </c>
      <c r="I2631">
        <f>IF(C2631="","",C2631&amp;"|"&amp;H2631)</f>
        <v/>
      </c>
      <c r="J2631" s="6">
        <f>IF(C2631="","",IF(H2631=1,SUMIFS('Opening Balance'!$F$4:$F$303,'Opening Balance'!$G$4:$G$303,C2631),INDEX($L$2:$L$3001,MATCH(C2631&amp;"|"&amp;(H2631-1),$I$2:$I$3001,0))))</f>
        <v/>
      </c>
      <c r="K2631" s="6">
        <f>IF(C2631="","",IF(M2631&gt;0,M2631,IF(AND(E2631&gt;0,ROUND(J2631+D2631-E2631,2)&gt;0,ROUND(J2631+D2631-E2631,2)&lt;'Opening Balance'!$B$14),ROUND(J2631+D2631-E2631,2),0)))</f>
        <v/>
      </c>
      <c r="L2631" s="6">
        <f>IF(C2631="","",ROUND(J2631+D2631-E2631-K2631,2))</f>
        <v/>
      </c>
      <c r="M2631" s="6">
        <f>IF(C2631="","",0)</f>
        <v/>
      </c>
    </row>
    <row r="2632">
      <c r="A2632" t="inlineStr">
        <is>
          <t>Bank 银行</t>
        </is>
      </c>
      <c r="B2632" s="5">
        <f>IF(AND('Daily Sale entry '!Z1132="Online collection 网上收款",'Daily Sale entry '!AA1132&lt;&gt;""),'Daily Sale entry '!X1132,"")</f>
        <v/>
      </c>
      <c r="C2632">
        <f>IF(B2632="","",'Daily Sale entry '!AA1132)</f>
        <v/>
      </c>
      <c r="D2632">
        <f>IF(C2632="","",0)</f>
        <v/>
      </c>
      <c r="E2632">
        <f>IF(C2632="","",'Daily Sale entry '!AC1132)</f>
        <v/>
      </c>
      <c r="F2632" s="37">
        <f>IF(C2632="","",B2632+IF(E2632&gt;0,0,0.5)+ROW()/10000000)</f>
        <v/>
      </c>
      <c r="G2632">
        <f>IF(C2632="","","Collection 收款 (Online 网上)"&amp;IF('Daily Sale entry '!Y1132="",""," - "&amp;'Daily Sale entry '!Y1132))</f>
        <v/>
      </c>
      <c r="H2632">
        <f>IF(C2632="","",COUNTIFS($C$2:$C$3001,C2632,$F$2:$F$3001,"&lt;"&amp;F2632)+1)</f>
        <v/>
      </c>
      <c r="I2632">
        <f>IF(C2632="","",C2632&amp;"|"&amp;H2632)</f>
        <v/>
      </c>
      <c r="J2632" s="6">
        <f>IF(C2632="","",IF(H2632=1,SUMIFS('Opening Balance'!$F$4:$F$303,'Opening Balance'!$G$4:$G$303,C2632),INDEX($L$2:$L$3001,MATCH(C2632&amp;"|"&amp;(H2632-1),$I$2:$I$3001,0))))</f>
        <v/>
      </c>
      <c r="K2632" s="6">
        <f>IF(C2632="","",IF(M2632&gt;0,M2632,IF(AND(E2632&gt;0,ROUND(J2632+D2632-E2632,2)&gt;0,ROUND(J2632+D2632-E2632,2)&lt;'Opening Balance'!$B$14),ROUND(J2632+D2632-E2632,2),0)))</f>
        <v/>
      </c>
      <c r="L2632" s="6">
        <f>IF(C2632="","",ROUND(J2632+D2632-E2632-K2632,2))</f>
        <v/>
      </c>
      <c r="M2632" s="6">
        <f>IF(C2632="","",0)</f>
        <v/>
      </c>
    </row>
    <row r="2633">
      <c r="A2633" t="inlineStr">
        <is>
          <t>Bank 银行</t>
        </is>
      </c>
      <c r="B2633" s="5">
        <f>IF(AND('Daily Sale entry '!Z1133="Online collection 网上收款",'Daily Sale entry '!AA1133&lt;&gt;""),'Daily Sale entry '!X1133,"")</f>
        <v/>
      </c>
      <c r="C2633">
        <f>IF(B2633="","",'Daily Sale entry '!AA1133)</f>
        <v/>
      </c>
      <c r="D2633">
        <f>IF(C2633="","",0)</f>
        <v/>
      </c>
      <c r="E2633">
        <f>IF(C2633="","",'Daily Sale entry '!AC1133)</f>
        <v/>
      </c>
      <c r="F2633" s="37">
        <f>IF(C2633="","",B2633+IF(E2633&gt;0,0,0.5)+ROW()/10000000)</f>
        <v/>
      </c>
      <c r="G2633">
        <f>IF(C2633="","","Collection 收款 (Online 网上)"&amp;IF('Daily Sale entry '!Y1133="",""," - "&amp;'Daily Sale entry '!Y1133))</f>
        <v/>
      </c>
      <c r="H2633">
        <f>IF(C2633="","",COUNTIFS($C$2:$C$3001,C2633,$F$2:$F$3001,"&lt;"&amp;F2633)+1)</f>
        <v/>
      </c>
      <c r="I2633">
        <f>IF(C2633="","",C2633&amp;"|"&amp;H2633)</f>
        <v/>
      </c>
      <c r="J2633" s="6">
        <f>IF(C2633="","",IF(H2633=1,SUMIFS('Opening Balance'!$F$4:$F$303,'Opening Balance'!$G$4:$G$303,C2633),INDEX($L$2:$L$3001,MATCH(C2633&amp;"|"&amp;(H2633-1),$I$2:$I$3001,0))))</f>
        <v/>
      </c>
      <c r="K2633" s="6">
        <f>IF(C2633="","",IF(M2633&gt;0,M2633,IF(AND(E2633&gt;0,ROUND(J2633+D2633-E2633,2)&gt;0,ROUND(J2633+D2633-E2633,2)&lt;'Opening Balance'!$B$14),ROUND(J2633+D2633-E2633,2),0)))</f>
        <v/>
      </c>
      <c r="L2633" s="6">
        <f>IF(C2633="","",ROUND(J2633+D2633-E2633-K2633,2))</f>
        <v/>
      </c>
      <c r="M2633" s="6">
        <f>IF(C2633="","",0)</f>
        <v/>
      </c>
    </row>
    <row r="2634">
      <c r="A2634" t="inlineStr">
        <is>
          <t>Bank 银行</t>
        </is>
      </c>
      <c r="B2634" s="5">
        <f>IF(AND('Daily Sale entry '!Z1134="Online collection 网上收款",'Daily Sale entry '!AA1134&lt;&gt;""),'Daily Sale entry '!X1134,"")</f>
        <v/>
      </c>
      <c r="C2634">
        <f>IF(B2634="","",'Daily Sale entry '!AA1134)</f>
        <v/>
      </c>
      <c r="D2634">
        <f>IF(C2634="","",0)</f>
        <v/>
      </c>
      <c r="E2634">
        <f>IF(C2634="","",'Daily Sale entry '!AC1134)</f>
        <v/>
      </c>
      <c r="F2634" s="37">
        <f>IF(C2634="","",B2634+IF(E2634&gt;0,0,0.5)+ROW()/10000000)</f>
        <v/>
      </c>
      <c r="G2634">
        <f>IF(C2634="","","Collection 收款 (Online 网上)"&amp;IF('Daily Sale entry '!Y1134="",""," - "&amp;'Daily Sale entry '!Y1134))</f>
        <v/>
      </c>
      <c r="H2634">
        <f>IF(C2634="","",COUNTIFS($C$2:$C$3001,C2634,$F$2:$F$3001,"&lt;"&amp;F2634)+1)</f>
        <v/>
      </c>
      <c r="I2634">
        <f>IF(C2634="","",C2634&amp;"|"&amp;H2634)</f>
        <v/>
      </c>
      <c r="J2634" s="6">
        <f>IF(C2634="","",IF(H2634=1,SUMIFS('Opening Balance'!$F$4:$F$303,'Opening Balance'!$G$4:$G$303,C2634),INDEX($L$2:$L$3001,MATCH(C2634&amp;"|"&amp;(H2634-1),$I$2:$I$3001,0))))</f>
        <v/>
      </c>
      <c r="K2634" s="6">
        <f>IF(C2634="","",IF(M2634&gt;0,M2634,IF(AND(E2634&gt;0,ROUND(J2634+D2634-E2634,2)&gt;0,ROUND(J2634+D2634-E2634,2)&lt;'Opening Balance'!$B$14),ROUND(J2634+D2634-E2634,2),0)))</f>
        <v/>
      </c>
      <c r="L2634" s="6">
        <f>IF(C2634="","",ROUND(J2634+D2634-E2634-K2634,2))</f>
        <v/>
      </c>
      <c r="M2634" s="6">
        <f>IF(C2634="","",0)</f>
        <v/>
      </c>
    </row>
    <row r="2635">
      <c r="A2635" t="inlineStr">
        <is>
          <t>Bank 银行</t>
        </is>
      </c>
      <c r="B2635" s="5">
        <f>IF(AND('Daily Sale entry '!Z1135="Online collection 网上收款",'Daily Sale entry '!AA1135&lt;&gt;""),'Daily Sale entry '!X1135,"")</f>
        <v/>
      </c>
      <c r="C2635">
        <f>IF(B2635="","",'Daily Sale entry '!AA1135)</f>
        <v/>
      </c>
      <c r="D2635">
        <f>IF(C2635="","",0)</f>
        <v/>
      </c>
      <c r="E2635">
        <f>IF(C2635="","",'Daily Sale entry '!AC1135)</f>
        <v/>
      </c>
      <c r="F2635" s="37">
        <f>IF(C2635="","",B2635+IF(E2635&gt;0,0,0.5)+ROW()/10000000)</f>
        <v/>
      </c>
      <c r="G2635">
        <f>IF(C2635="","","Collection 收款 (Online 网上)"&amp;IF('Daily Sale entry '!Y1135="",""," - "&amp;'Daily Sale entry '!Y1135))</f>
        <v/>
      </c>
      <c r="H2635">
        <f>IF(C2635="","",COUNTIFS($C$2:$C$3001,C2635,$F$2:$F$3001,"&lt;"&amp;F2635)+1)</f>
        <v/>
      </c>
      <c r="I2635">
        <f>IF(C2635="","",C2635&amp;"|"&amp;H2635)</f>
        <v/>
      </c>
      <c r="J2635" s="6">
        <f>IF(C2635="","",IF(H2635=1,SUMIFS('Opening Balance'!$F$4:$F$303,'Opening Balance'!$G$4:$G$303,C2635),INDEX($L$2:$L$3001,MATCH(C2635&amp;"|"&amp;(H2635-1),$I$2:$I$3001,0))))</f>
        <v/>
      </c>
      <c r="K2635" s="6">
        <f>IF(C2635="","",IF(M2635&gt;0,M2635,IF(AND(E2635&gt;0,ROUND(J2635+D2635-E2635,2)&gt;0,ROUND(J2635+D2635-E2635,2)&lt;'Opening Balance'!$B$14),ROUND(J2635+D2635-E2635,2),0)))</f>
        <v/>
      </c>
      <c r="L2635" s="6">
        <f>IF(C2635="","",ROUND(J2635+D2635-E2635-K2635,2))</f>
        <v/>
      </c>
      <c r="M2635" s="6">
        <f>IF(C2635="","",0)</f>
        <v/>
      </c>
    </row>
    <row r="2636">
      <c r="A2636" t="inlineStr">
        <is>
          <t>Bank 银行</t>
        </is>
      </c>
      <c r="B2636" s="5">
        <f>IF(AND('Daily Sale entry '!Z1136="Online collection 网上收款",'Daily Sale entry '!AA1136&lt;&gt;""),'Daily Sale entry '!X1136,"")</f>
        <v/>
      </c>
      <c r="C2636">
        <f>IF(B2636="","",'Daily Sale entry '!AA1136)</f>
        <v/>
      </c>
      <c r="D2636">
        <f>IF(C2636="","",0)</f>
        <v/>
      </c>
      <c r="E2636">
        <f>IF(C2636="","",'Daily Sale entry '!AC1136)</f>
        <v/>
      </c>
      <c r="F2636" s="37">
        <f>IF(C2636="","",B2636+IF(E2636&gt;0,0,0.5)+ROW()/10000000)</f>
        <v/>
      </c>
      <c r="G2636">
        <f>IF(C2636="","","Collection 收款 (Online 网上)"&amp;IF('Daily Sale entry '!Y1136="",""," - "&amp;'Daily Sale entry '!Y1136))</f>
        <v/>
      </c>
      <c r="H2636">
        <f>IF(C2636="","",COUNTIFS($C$2:$C$3001,C2636,$F$2:$F$3001,"&lt;"&amp;F2636)+1)</f>
        <v/>
      </c>
      <c r="I2636">
        <f>IF(C2636="","",C2636&amp;"|"&amp;H2636)</f>
        <v/>
      </c>
      <c r="J2636" s="6">
        <f>IF(C2636="","",IF(H2636=1,SUMIFS('Opening Balance'!$F$4:$F$303,'Opening Balance'!$G$4:$G$303,C2636),INDEX($L$2:$L$3001,MATCH(C2636&amp;"|"&amp;(H2636-1),$I$2:$I$3001,0))))</f>
        <v/>
      </c>
      <c r="K2636" s="6">
        <f>IF(C2636="","",IF(M2636&gt;0,M2636,IF(AND(E2636&gt;0,ROUND(J2636+D2636-E2636,2)&gt;0,ROUND(J2636+D2636-E2636,2)&lt;'Opening Balance'!$B$14),ROUND(J2636+D2636-E2636,2),0)))</f>
        <v/>
      </c>
      <c r="L2636" s="6">
        <f>IF(C2636="","",ROUND(J2636+D2636-E2636-K2636,2))</f>
        <v/>
      </c>
      <c r="M2636" s="6">
        <f>IF(C2636="","",0)</f>
        <v/>
      </c>
    </row>
    <row r="2637">
      <c r="A2637" t="inlineStr">
        <is>
          <t>Bank 银行</t>
        </is>
      </c>
      <c r="B2637" s="5">
        <f>IF(AND('Daily Sale entry '!Z1137="Online collection 网上收款",'Daily Sale entry '!AA1137&lt;&gt;""),'Daily Sale entry '!X1137,"")</f>
        <v/>
      </c>
      <c r="C2637">
        <f>IF(B2637="","",'Daily Sale entry '!AA1137)</f>
        <v/>
      </c>
      <c r="D2637">
        <f>IF(C2637="","",0)</f>
        <v/>
      </c>
      <c r="E2637">
        <f>IF(C2637="","",'Daily Sale entry '!AC1137)</f>
        <v/>
      </c>
      <c r="F2637" s="37">
        <f>IF(C2637="","",B2637+IF(E2637&gt;0,0,0.5)+ROW()/10000000)</f>
        <v/>
      </c>
      <c r="G2637">
        <f>IF(C2637="","","Collection 收款 (Online 网上)"&amp;IF('Daily Sale entry '!Y1137="",""," - "&amp;'Daily Sale entry '!Y1137))</f>
        <v/>
      </c>
      <c r="H2637">
        <f>IF(C2637="","",COUNTIFS($C$2:$C$3001,C2637,$F$2:$F$3001,"&lt;"&amp;F2637)+1)</f>
        <v/>
      </c>
      <c r="I2637">
        <f>IF(C2637="","",C2637&amp;"|"&amp;H2637)</f>
        <v/>
      </c>
      <c r="J2637" s="6">
        <f>IF(C2637="","",IF(H2637=1,SUMIFS('Opening Balance'!$F$4:$F$303,'Opening Balance'!$G$4:$G$303,C2637),INDEX($L$2:$L$3001,MATCH(C2637&amp;"|"&amp;(H2637-1),$I$2:$I$3001,0))))</f>
        <v/>
      </c>
      <c r="K2637" s="6">
        <f>IF(C2637="","",IF(M2637&gt;0,M2637,IF(AND(E2637&gt;0,ROUND(J2637+D2637-E2637,2)&gt;0,ROUND(J2637+D2637-E2637,2)&lt;'Opening Balance'!$B$14),ROUND(J2637+D2637-E2637,2),0)))</f>
        <v/>
      </c>
      <c r="L2637" s="6">
        <f>IF(C2637="","",ROUND(J2637+D2637-E2637-K2637,2))</f>
        <v/>
      </c>
      <c r="M2637" s="6">
        <f>IF(C2637="","",0)</f>
        <v/>
      </c>
    </row>
    <row r="2638">
      <c r="A2638" t="inlineStr">
        <is>
          <t>Bank 银行</t>
        </is>
      </c>
      <c r="B2638" s="5">
        <f>IF(AND('Daily Sale entry '!Z1138="Online collection 网上收款",'Daily Sale entry '!AA1138&lt;&gt;""),'Daily Sale entry '!X1138,"")</f>
        <v/>
      </c>
      <c r="C2638">
        <f>IF(B2638="","",'Daily Sale entry '!AA1138)</f>
        <v/>
      </c>
      <c r="D2638">
        <f>IF(C2638="","",0)</f>
        <v/>
      </c>
      <c r="E2638">
        <f>IF(C2638="","",'Daily Sale entry '!AC1138)</f>
        <v/>
      </c>
      <c r="F2638" s="37">
        <f>IF(C2638="","",B2638+IF(E2638&gt;0,0,0.5)+ROW()/10000000)</f>
        <v/>
      </c>
      <c r="G2638">
        <f>IF(C2638="","","Collection 收款 (Online 网上)"&amp;IF('Daily Sale entry '!Y1138="",""," - "&amp;'Daily Sale entry '!Y1138))</f>
        <v/>
      </c>
      <c r="H2638">
        <f>IF(C2638="","",COUNTIFS($C$2:$C$3001,C2638,$F$2:$F$3001,"&lt;"&amp;F2638)+1)</f>
        <v/>
      </c>
      <c r="I2638">
        <f>IF(C2638="","",C2638&amp;"|"&amp;H2638)</f>
        <v/>
      </c>
      <c r="J2638" s="6">
        <f>IF(C2638="","",IF(H2638=1,SUMIFS('Opening Balance'!$F$4:$F$303,'Opening Balance'!$G$4:$G$303,C2638),INDEX($L$2:$L$3001,MATCH(C2638&amp;"|"&amp;(H2638-1),$I$2:$I$3001,0))))</f>
        <v/>
      </c>
      <c r="K2638" s="6">
        <f>IF(C2638="","",IF(M2638&gt;0,M2638,IF(AND(E2638&gt;0,ROUND(J2638+D2638-E2638,2)&gt;0,ROUND(J2638+D2638-E2638,2)&lt;'Opening Balance'!$B$14),ROUND(J2638+D2638-E2638,2),0)))</f>
        <v/>
      </c>
      <c r="L2638" s="6">
        <f>IF(C2638="","",ROUND(J2638+D2638-E2638-K2638,2))</f>
        <v/>
      </c>
      <c r="M2638" s="6">
        <f>IF(C2638="","",0)</f>
        <v/>
      </c>
    </row>
    <row r="2639">
      <c r="A2639" t="inlineStr">
        <is>
          <t>Bank 银行</t>
        </is>
      </c>
      <c r="B2639" s="5">
        <f>IF(AND('Daily Sale entry '!Z1139="Online collection 网上收款",'Daily Sale entry '!AA1139&lt;&gt;""),'Daily Sale entry '!X1139,"")</f>
        <v/>
      </c>
      <c r="C2639">
        <f>IF(B2639="","",'Daily Sale entry '!AA1139)</f>
        <v/>
      </c>
      <c r="D2639">
        <f>IF(C2639="","",0)</f>
        <v/>
      </c>
      <c r="E2639">
        <f>IF(C2639="","",'Daily Sale entry '!AC1139)</f>
        <v/>
      </c>
      <c r="F2639" s="37">
        <f>IF(C2639="","",B2639+IF(E2639&gt;0,0,0.5)+ROW()/10000000)</f>
        <v/>
      </c>
      <c r="G2639">
        <f>IF(C2639="","","Collection 收款 (Online 网上)"&amp;IF('Daily Sale entry '!Y1139="",""," - "&amp;'Daily Sale entry '!Y1139))</f>
        <v/>
      </c>
      <c r="H2639">
        <f>IF(C2639="","",COUNTIFS($C$2:$C$3001,C2639,$F$2:$F$3001,"&lt;"&amp;F2639)+1)</f>
        <v/>
      </c>
      <c r="I2639">
        <f>IF(C2639="","",C2639&amp;"|"&amp;H2639)</f>
        <v/>
      </c>
      <c r="J2639" s="6">
        <f>IF(C2639="","",IF(H2639=1,SUMIFS('Opening Balance'!$F$4:$F$303,'Opening Balance'!$G$4:$G$303,C2639),INDEX($L$2:$L$3001,MATCH(C2639&amp;"|"&amp;(H2639-1),$I$2:$I$3001,0))))</f>
        <v/>
      </c>
      <c r="K2639" s="6">
        <f>IF(C2639="","",IF(M2639&gt;0,M2639,IF(AND(E2639&gt;0,ROUND(J2639+D2639-E2639,2)&gt;0,ROUND(J2639+D2639-E2639,2)&lt;'Opening Balance'!$B$14),ROUND(J2639+D2639-E2639,2),0)))</f>
        <v/>
      </c>
      <c r="L2639" s="6">
        <f>IF(C2639="","",ROUND(J2639+D2639-E2639-K2639,2))</f>
        <v/>
      </c>
      <c r="M2639" s="6">
        <f>IF(C2639="","",0)</f>
        <v/>
      </c>
    </row>
    <row r="2640">
      <c r="A2640" t="inlineStr">
        <is>
          <t>Bank 银行</t>
        </is>
      </c>
      <c r="B2640" s="5">
        <f>IF(AND('Daily Sale entry '!Z1140="Online collection 网上收款",'Daily Sale entry '!AA1140&lt;&gt;""),'Daily Sale entry '!X1140,"")</f>
        <v/>
      </c>
      <c r="C2640">
        <f>IF(B2640="","",'Daily Sale entry '!AA1140)</f>
        <v/>
      </c>
      <c r="D2640">
        <f>IF(C2640="","",0)</f>
        <v/>
      </c>
      <c r="E2640">
        <f>IF(C2640="","",'Daily Sale entry '!AC1140)</f>
        <v/>
      </c>
      <c r="F2640" s="37">
        <f>IF(C2640="","",B2640+IF(E2640&gt;0,0,0.5)+ROW()/10000000)</f>
        <v/>
      </c>
      <c r="G2640">
        <f>IF(C2640="","","Collection 收款 (Online 网上)"&amp;IF('Daily Sale entry '!Y1140="",""," - "&amp;'Daily Sale entry '!Y1140))</f>
        <v/>
      </c>
      <c r="H2640">
        <f>IF(C2640="","",COUNTIFS($C$2:$C$3001,C2640,$F$2:$F$3001,"&lt;"&amp;F2640)+1)</f>
        <v/>
      </c>
      <c r="I2640">
        <f>IF(C2640="","",C2640&amp;"|"&amp;H2640)</f>
        <v/>
      </c>
      <c r="J2640" s="6">
        <f>IF(C2640="","",IF(H2640=1,SUMIFS('Opening Balance'!$F$4:$F$303,'Opening Balance'!$G$4:$G$303,C2640),INDEX($L$2:$L$3001,MATCH(C2640&amp;"|"&amp;(H2640-1),$I$2:$I$3001,0))))</f>
        <v/>
      </c>
      <c r="K2640" s="6">
        <f>IF(C2640="","",IF(M2640&gt;0,M2640,IF(AND(E2640&gt;0,ROUND(J2640+D2640-E2640,2)&gt;0,ROUND(J2640+D2640-E2640,2)&lt;'Opening Balance'!$B$14),ROUND(J2640+D2640-E2640,2),0)))</f>
        <v/>
      </c>
      <c r="L2640" s="6">
        <f>IF(C2640="","",ROUND(J2640+D2640-E2640-K2640,2))</f>
        <v/>
      </c>
      <c r="M2640" s="6">
        <f>IF(C2640="","",0)</f>
        <v/>
      </c>
    </row>
    <row r="2641">
      <c r="A2641" t="inlineStr">
        <is>
          <t>Bank 银行</t>
        </is>
      </c>
      <c r="B2641" s="5">
        <f>IF(AND('Daily Sale entry '!Z1141="Online collection 网上收款",'Daily Sale entry '!AA1141&lt;&gt;""),'Daily Sale entry '!X1141,"")</f>
        <v/>
      </c>
      <c r="C2641">
        <f>IF(B2641="","",'Daily Sale entry '!AA1141)</f>
        <v/>
      </c>
      <c r="D2641">
        <f>IF(C2641="","",0)</f>
        <v/>
      </c>
      <c r="E2641">
        <f>IF(C2641="","",'Daily Sale entry '!AC1141)</f>
        <v/>
      </c>
      <c r="F2641" s="37">
        <f>IF(C2641="","",B2641+IF(E2641&gt;0,0,0.5)+ROW()/10000000)</f>
        <v/>
      </c>
      <c r="G2641">
        <f>IF(C2641="","","Collection 收款 (Online 网上)"&amp;IF('Daily Sale entry '!Y1141="",""," - "&amp;'Daily Sale entry '!Y1141))</f>
        <v/>
      </c>
      <c r="H2641">
        <f>IF(C2641="","",COUNTIFS($C$2:$C$3001,C2641,$F$2:$F$3001,"&lt;"&amp;F2641)+1)</f>
        <v/>
      </c>
      <c r="I2641">
        <f>IF(C2641="","",C2641&amp;"|"&amp;H2641)</f>
        <v/>
      </c>
      <c r="J2641" s="6">
        <f>IF(C2641="","",IF(H2641=1,SUMIFS('Opening Balance'!$F$4:$F$303,'Opening Balance'!$G$4:$G$303,C2641),INDEX($L$2:$L$3001,MATCH(C2641&amp;"|"&amp;(H2641-1),$I$2:$I$3001,0))))</f>
        <v/>
      </c>
      <c r="K2641" s="6">
        <f>IF(C2641="","",IF(M2641&gt;0,M2641,IF(AND(E2641&gt;0,ROUND(J2641+D2641-E2641,2)&gt;0,ROUND(J2641+D2641-E2641,2)&lt;'Opening Balance'!$B$14),ROUND(J2641+D2641-E2641,2),0)))</f>
        <v/>
      </c>
      <c r="L2641" s="6">
        <f>IF(C2641="","",ROUND(J2641+D2641-E2641-K2641,2))</f>
        <v/>
      </c>
      <c r="M2641" s="6">
        <f>IF(C2641="","",0)</f>
        <v/>
      </c>
    </row>
    <row r="2642">
      <c r="A2642" t="inlineStr">
        <is>
          <t>Bank 银行</t>
        </is>
      </c>
      <c r="B2642" s="5">
        <f>IF(AND('Daily Sale entry '!Z1142="Online collection 网上收款",'Daily Sale entry '!AA1142&lt;&gt;""),'Daily Sale entry '!X1142,"")</f>
        <v/>
      </c>
      <c r="C2642">
        <f>IF(B2642="","",'Daily Sale entry '!AA1142)</f>
        <v/>
      </c>
      <c r="D2642">
        <f>IF(C2642="","",0)</f>
        <v/>
      </c>
      <c r="E2642">
        <f>IF(C2642="","",'Daily Sale entry '!AC1142)</f>
        <v/>
      </c>
      <c r="F2642" s="37">
        <f>IF(C2642="","",B2642+IF(E2642&gt;0,0,0.5)+ROW()/10000000)</f>
        <v/>
      </c>
      <c r="G2642">
        <f>IF(C2642="","","Collection 收款 (Online 网上)"&amp;IF('Daily Sale entry '!Y1142="",""," - "&amp;'Daily Sale entry '!Y1142))</f>
        <v/>
      </c>
      <c r="H2642">
        <f>IF(C2642="","",COUNTIFS($C$2:$C$3001,C2642,$F$2:$F$3001,"&lt;"&amp;F2642)+1)</f>
        <v/>
      </c>
      <c r="I2642">
        <f>IF(C2642="","",C2642&amp;"|"&amp;H2642)</f>
        <v/>
      </c>
      <c r="J2642" s="6">
        <f>IF(C2642="","",IF(H2642=1,SUMIFS('Opening Balance'!$F$4:$F$303,'Opening Balance'!$G$4:$G$303,C2642),INDEX($L$2:$L$3001,MATCH(C2642&amp;"|"&amp;(H2642-1),$I$2:$I$3001,0))))</f>
        <v/>
      </c>
      <c r="K2642" s="6">
        <f>IF(C2642="","",IF(M2642&gt;0,M2642,IF(AND(E2642&gt;0,ROUND(J2642+D2642-E2642,2)&gt;0,ROUND(J2642+D2642-E2642,2)&lt;'Opening Balance'!$B$14),ROUND(J2642+D2642-E2642,2),0)))</f>
        <v/>
      </c>
      <c r="L2642" s="6">
        <f>IF(C2642="","",ROUND(J2642+D2642-E2642-K2642,2))</f>
        <v/>
      </c>
      <c r="M2642" s="6">
        <f>IF(C2642="","",0)</f>
        <v/>
      </c>
    </row>
    <row r="2643">
      <c r="A2643" t="inlineStr">
        <is>
          <t>Bank 银行</t>
        </is>
      </c>
      <c r="B2643" s="5">
        <f>IF(AND('Daily Sale entry '!Z1143="Online collection 网上收款",'Daily Sale entry '!AA1143&lt;&gt;""),'Daily Sale entry '!X1143,"")</f>
        <v/>
      </c>
      <c r="C2643">
        <f>IF(B2643="","",'Daily Sale entry '!AA1143)</f>
        <v/>
      </c>
      <c r="D2643">
        <f>IF(C2643="","",0)</f>
        <v/>
      </c>
      <c r="E2643">
        <f>IF(C2643="","",'Daily Sale entry '!AC1143)</f>
        <v/>
      </c>
      <c r="F2643" s="37">
        <f>IF(C2643="","",B2643+IF(E2643&gt;0,0,0.5)+ROW()/10000000)</f>
        <v/>
      </c>
      <c r="G2643">
        <f>IF(C2643="","","Collection 收款 (Online 网上)"&amp;IF('Daily Sale entry '!Y1143="",""," - "&amp;'Daily Sale entry '!Y1143))</f>
        <v/>
      </c>
      <c r="H2643">
        <f>IF(C2643="","",COUNTIFS($C$2:$C$3001,C2643,$F$2:$F$3001,"&lt;"&amp;F2643)+1)</f>
        <v/>
      </c>
      <c r="I2643">
        <f>IF(C2643="","",C2643&amp;"|"&amp;H2643)</f>
        <v/>
      </c>
      <c r="J2643" s="6">
        <f>IF(C2643="","",IF(H2643=1,SUMIFS('Opening Balance'!$F$4:$F$303,'Opening Balance'!$G$4:$G$303,C2643),INDEX($L$2:$L$3001,MATCH(C2643&amp;"|"&amp;(H2643-1),$I$2:$I$3001,0))))</f>
        <v/>
      </c>
      <c r="K2643" s="6">
        <f>IF(C2643="","",IF(M2643&gt;0,M2643,IF(AND(E2643&gt;0,ROUND(J2643+D2643-E2643,2)&gt;0,ROUND(J2643+D2643-E2643,2)&lt;'Opening Balance'!$B$14),ROUND(J2643+D2643-E2643,2),0)))</f>
        <v/>
      </c>
      <c r="L2643" s="6">
        <f>IF(C2643="","",ROUND(J2643+D2643-E2643-K2643,2))</f>
        <v/>
      </c>
      <c r="M2643" s="6">
        <f>IF(C2643="","",0)</f>
        <v/>
      </c>
    </row>
    <row r="2644">
      <c r="A2644" t="inlineStr">
        <is>
          <t>Bank 银行</t>
        </is>
      </c>
      <c r="B2644" s="5">
        <f>IF(AND('Daily Sale entry '!Z1144="Online collection 网上收款",'Daily Sale entry '!AA1144&lt;&gt;""),'Daily Sale entry '!X1144,"")</f>
        <v/>
      </c>
      <c r="C2644">
        <f>IF(B2644="","",'Daily Sale entry '!AA1144)</f>
        <v/>
      </c>
      <c r="D2644">
        <f>IF(C2644="","",0)</f>
        <v/>
      </c>
      <c r="E2644">
        <f>IF(C2644="","",'Daily Sale entry '!AC1144)</f>
        <v/>
      </c>
      <c r="F2644" s="37">
        <f>IF(C2644="","",B2644+IF(E2644&gt;0,0,0.5)+ROW()/10000000)</f>
        <v/>
      </c>
      <c r="G2644">
        <f>IF(C2644="","","Collection 收款 (Online 网上)"&amp;IF('Daily Sale entry '!Y1144="",""," - "&amp;'Daily Sale entry '!Y1144))</f>
        <v/>
      </c>
      <c r="H2644">
        <f>IF(C2644="","",COUNTIFS($C$2:$C$3001,C2644,$F$2:$F$3001,"&lt;"&amp;F2644)+1)</f>
        <v/>
      </c>
      <c r="I2644">
        <f>IF(C2644="","",C2644&amp;"|"&amp;H2644)</f>
        <v/>
      </c>
      <c r="J2644" s="6">
        <f>IF(C2644="","",IF(H2644=1,SUMIFS('Opening Balance'!$F$4:$F$303,'Opening Balance'!$G$4:$G$303,C2644),INDEX($L$2:$L$3001,MATCH(C2644&amp;"|"&amp;(H2644-1),$I$2:$I$3001,0))))</f>
        <v/>
      </c>
      <c r="K2644" s="6">
        <f>IF(C2644="","",IF(M2644&gt;0,M2644,IF(AND(E2644&gt;0,ROUND(J2644+D2644-E2644,2)&gt;0,ROUND(J2644+D2644-E2644,2)&lt;'Opening Balance'!$B$14),ROUND(J2644+D2644-E2644,2),0)))</f>
        <v/>
      </c>
      <c r="L2644" s="6">
        <f>IF(C2644="","",ROUND(J2644+D2644-E2644-K2644,2))</f>
        <v/>
      </c>
      <c r="M2644" s="6">
        <f>IF(C2644="","",0)</f>
        <v/>
      </c>
    </row>
    <row r="2645">
      <c r="A2645" t="inlineStr">
        <is>
          <t>Bank 银行</t>
        </is>
      </c>
      <c r="B2645" s="5">
        <f>IF(AND('Daily Sale entry '!Z1145="Online collection 网上收款",'Daily Sale entry '!AA1145&lt;&gt;""),'Daily Sale entry '!X1145,"")</f>
        <v/>
      </c>
      <c r="C2645">
        <f>IF(B2645="","",'Daily Sale entry '!AA1145)</f>
        <v/>
      </c>
      <c r="D2645">
        <f>IF(C2645="","",0)</f>
        <v/>
      </c>
      <c r="E2645">
        <f>IF(C2645="","",'Daily Sale entry '!AC1145)</f>
        <v/>
      </c>
      <c r="F2645" s="37">
        <f>IF(C2645="","",B2645+IF(E2645&gt;0,0,0.5)+ROW()/10000000)</f>
        <v/>
      </c>
      <c r="G2645">
        <f>IF(C2645="","","Collection 收款 (Online 网上)"&amp;IF('Daily Sale entry '!Y1145="",""," - "&amp;'Daily Sale entry '!Y1145))</f>
        <v/>
      </c>
      <c r="H2645">
        <f>IF(C2645="","",COUNTIFS($C$2:$C$3001,C2645,$F$2:$F$3001,"&lt;"&amp;F2645)+1)</f>
        <v/>
      </c>
      <c r="I2645">
        <f>IF(C2645="","",C2645&amp;"|"&amp;H2645)</f>
        <v/>
      </c>
      <c r="J2645" s="6">
        <f>IF(C2645="","",IF(H2645=1,SUMIFS('Opening Balance'!$F$4:$F$303,'Opening Balance'!$G$4:$G$303,C2645),INDEX($L$2:$L$3001,MATCH(C2645&amp;"|"&amp;(H2645-1),$I$2:$I$3001,0))))</f>
        <v/>
      </c>
      <c r="K2645" s="6">
        <f>IF(C2645="","",IF(M2645&gt;0,M2645,IF(AND(E2645&gt;0,ROUND(J2645+D2645-E2645,2)&gt;0,ROUND(J2645+D2645-E2645,2)&lt;'Opening Balance'!$B$14),ROUND(J2645+D2645-E2645,2),0)))</f>
        <v/>
      </c>
      <c r="L2645" s="6">
        <f>IF(C2645="","",ROUND(J2645+D2645-E2645-K2645,2))</f>
        <v/>
      </c>
      <c r="M2645" s="6">
        <f>IF(C2645="","",0)</f>
        <v/>
      </c>
    </row>
    <row r="2646">
      <c r="A2646" t="inlineStr">
        <is>
          <t>Bank 银行</t>
        </is>
      </c>
      <c r="B2646" s="5">
        <f>IF(AND('Daily Sale entry '!Z1146="Online collection 网上收款",'Daily Sale entry '!AA1146&lt;&gt;""),'Daily Sale entry '!X1146,"")</f>
        <v/>
      </c>
      <c r="C2646">
        <f>IF(B2646="","",'Daily Sale entry '!AA1146)</f>
        <v/>
      </c>
      <c r="D2646">
        <f>IF(C2646="","",0)</f>
        <v/>
      </c>
      <c r="E2646">
        <f>IF(C2646="","",'Daily Sale entry '!AC1146)</f>
        <v/>
      </c>
      <c r="F2646" s="37">
        <f>IF(C2646="","",B2646+IF(E2646&gt;0,0,0.5)+ROW()/10000000)</f>
        <v/>
      </c>
      <c r="G2646">
        <f>IF(C2646="","","Collection 收款 (Online 网上)"&amp;IF('Daily Sale entry '!Y1146="",""," - "&amp;'Daily Sale entry '!Y1146))</f>
        <v/>
      </c>
      <c r="H2646">
        <f>IF(C2646="","",COUNTIFS($C$2:$C$3001,C2646,$F$2:$F$3001,"&lt;"&amp;F2646)+1)</f>
        <v/>
      </c>
      <c r="I2646">
        <f>IF(C2646="","",C2646&amp;"|"&amp;H2646)</f>
        <v/>
      </c>
      <c r="J2646" s="6">
        <f>IF(C2646="","",IF(H2646=1,SUMIFS('Opening Balance'!$F$4:$F$303,'Opening Balance'!$G$4:$G$303,C2646),INDEX($L$2:$L$3001,MATCH(C2646&amp;"|"&amp;(H2646-1),$I$2:$I$3001,0))))</f>
        <v/>
      </c>
      <c r="K2646" s="6">
        <f>IF(C2646="","",IF(M2646&gt;0,M2646,IF(AND(E2646&gt;0,ROUND(J2646+D2646-E2646,2)&gt;0,ROUND(J2646+D2646-E2646,2)&lt;'Opening Balance'!$B$14),ROUND(J2646+D2646-E2646,2),0)))</f>
        <v/>
      </c>
      <c r="L2646" s="6">
        <f>IF(C2646="","",ROUND(J2646+D2646-E2646-K2646,2))</f>
        <v/>
      </c>
      <c r="M2646" s="6">
        <f>IF(C2646="","",0)</f>
        <v/>
      </c>
    </row>
    <row r="2647">
      <c r="A2647" t="inlineStr">
        <is>
          <t>Bank 银行</t>
        </is>
      </c>
      <c r="B2647" s="5">
        <f>IF(AND('Daily Sale entry '!Z1147="Online collection 网上收款",'Daily Sale entry '!AA1147&lt;&gt;""),'Daily Sale entry '!X1147,"")</f>
        <v/>
      </c>
      <c r="C2647">
        <f>IF(B2647="","",'Daily Sale entry '!AA1147)</f>
        <v/>
      </c>
      <c r="D2647">
        <f>IF(C2647="","",0)</f>
        <v/>
      </c>
      <c r="E2647">
        <f>IF(C2647="","",'Daily Sale entry '!AC1147)</f>
        <v/>
      </c>
      <c r="F2647" s="37">
        <f>IF(C2647="","",B2647+IF(E2647&gt;0,0,0.5)+ROW()/10000000)</f>
        <v/>
      </c>
      <c r="G2647">
        <f>IF(C2647="","","Collection 收款 (Online 网上)"&amp;IF('Daily Sale entry '!Y1147="",""," - "&amp;'Daily Sale entry '!Y1147))</f>
        <v/>
      </c>
      <c r="H2647">
        <f>IF(C2647="","",COUNTIFS($C$2:$C$3001,C2647,$F$2:$F$3001,"&lt;"&amp;F2647)+1)</f>
        <v/>
      </c>
      <c r="I2647">
        <f>IF(C2647="","",C2647&amp;"|"&amp;H2647)</f>
        <v/>
      </c>
      <c r="J2647" s="6">
        <f>IF(C2647="","",IF(H2647=1,SUMIFS('Opening Balance'!$F$4:$F$303,'Opening Balance'!$G$4:$G$303,C2647),INDEX($L$2:$L$3001,MATCH(C2647&amp;"|"&amp;(H2647-1),$I$2:$I$3001,0))))</f>
        <v/>
      </c>
      <c r="K2647" s="6">
        <f>IF(C2647="","",IF(M2647&gt;0,M2647,IF(AND(E2647&gt;0,ROUND(J2647+D2647-E2647,2)&gt;0,ROUND(J2647+D2647-E2647,2)&lt;'Opening Balance'!$B$14),ROUND(J2647+D2647-E2647,2),0)))</f>
        <v/>
      </c>
      <c r="L2647" s="6">
        <f>IF(C2647="","",ROUND(J2647+D2647-E2647-K2647,2))</f>
        <v/>
      </c>
      <c r="M2647" s="6">
        <f>IF(C2647="","",0)</f>
        <v/>
      </c>
    </row>
    <row r="2648">
      <c r="A2648" t="inlineStr">
        <is>
          <t>Bank 银行</t>
        </is>
      </c>
      <c r="B2648" s="5">
        <f>IF(AND('Daily Sale entry '!Z1148="Online collection 网上收款",'Daily Sale entry '!AA1148&lt;&gt;""),'Daily Sale entry '!X1148,"")</f>
        <v/>
      </c>
      <c r="C2648">
        <f>IF(B2648="","",'Daily Sale entry '!AA1148)</f>
        <v/>
      </c>
      <c r="D2648">
        <f>IF(C2648="","",0)</f>
        <v/>
      </c>
      <c r="E2648">
        <f>IF(C2648="","",'Daily Sale entry '!AC1148)</f>
        <v/>
      </c>
      <c r="F2648" s="37">
        <f>IF(C2648="","",B2648+IF(E2648&gt;0,0,0.5)+ROW()/10000000)</f>
        <v/>
      </c>
      <c r="G2648">
        <f>IF(C2648="","","Collection 收款 (Online 网上)"&amp;IF('Daily Sale entry '!Y1148="",""," - "&amp;'Daily Sale entry '!Y1148))</f>
        <v/>
      </c>
      <c r="H2648">
        <f>IF(C2648="","",COUNTIFS($C$2:$C$3001,C2648,$F$2:$F$3001,"&lt;"&amp;F2648)+1)</f>
        <v/>
      </c>
      <c r="I2648">
        <f>IF(C2648="","",C2648&amp;"|"&amp;H2648)</f>
        <v/>
      </c>
      <c r="J2648" s="6">
        <f>IF(C2648="","",IF(H2648=1,SUMIFS('Opening Balance'!$F$4:$F$303,'Opening Balance'!$G$4:$G$303,C2648),INDEX($L$2:$L$3001,MATCH(C2648&amp;"|"&amp;(H2648-1),$I$2:$I$3001,0))))</f>
        <v/>
      </c>
      <c r="K2648" s="6">
        <f>IF(C2648="","",IF(M2648&gt;0,M2648,IF(AND(E2648&gt;0,ROUND(J2648+D2648-E2648,2)&gt;0,ROUND(J2648+D2648-E2648,2)&lt;'Opening Balance'!$B$14),ROUND(J2648+D2648-E2648,2),0)))</f>
        <v/>
      </c>
      <c r="L2648" s="6">
        <f>IF(C2648="","",ROUND(J2648+D2648-E2648-K2648,2))</f>
        <v/>
      </c>
      <c r="M2648" s="6">
        <f>IF(C2648="","",0)</f>
        <v/>
      </c>
    </row>
    <row r="2649">
      <c r="A2649" t="inlineStr">
        <is>
          <t>Bank 银行</t>
        </is>
      </c>
      <c r="B2649" s="5">
        <f>IF(AND('Daily Sale entry '!Z1149="Online collection 网上收款",'Daily Sale entry '!AA1149&lt;&gt;""),'Daily Sale entry '!X1149,"")</f>
        <v/>
      </c>
      <c r="C2649">
        <f>IF(B2649="","",'Daily Sale entry '!AA1149)</f>
        <v/>
      </c>
      <c r="D2649">
        <f>IF(C2649="","",0)</f>
        <v/>
      </c>
      <c r="E2649">
        <f>IF(C2649="","",'Daily Sale entry '!AC1149)</f>
        <v/>
      </c>
      <c r="F2649" s="37">
        <f>IF(C2649="","",B2649+IF(E2649&gt;0,0,0.5)+ROW()/10000000)</f>
        <v/>
      </c>
      <c r="G2649">
        <f>IF(C2649="","","Collection 收款 (Online 网上)"&amp;IF('Daily Sale entry '!Y1149="",""," - "&amp;'Daily Sale entry '!Y1149))</f>
        <v/>
      </c>
      <c r="H2649">
        <f>IF(C2649="","",COUNTIFS($C$2:$C$3001,C2649,$F$2:$F$3001,"&lt;"&amp;F2649)+1)</f>
        <v/>
      </c>
      <c r="I2649">
        <f>IF(C2649="","",C2649&amp;"|"&amp;H2649)</f>
        <v/>
      </c>
      <c r="J2649" s="6">
        <f>IF(C2649="","",IF(H2649=1,SUMIFS('Opening Balance'!$F$4:$F$303,'Opening Balance'!$G$4:$G$303,C2649),INDEX($L$2:$L$3001,MATCH(C2649&amp;"|"&amp;(H2649-1),$I$2:$I$3001,0))))</f>
        <v/>
      </c>
      <c r="K2649" s="6">
        <f>IF(C2649="","",IF(M2649&gt;0,M2649,IF(AND(E2649&gt;0,ROUND(J2649+D2649-E2649,2)&gt;0,ROUND(J2649+D2649-E2649,2)&lt;'Opening Balance'!$B$14),ROUND(J2649+D2649-E2649,2),0)))</f>
        <v/>
      </c>
      <c r="L2649" s="6">
        <f>IF(C2649="","",ROUND(J2649+D2649-E2649-K2649,2))</f>
        <v/>
      </c>
      <c r="M2649" s="6">
        <f>IF(C2649="","",0)</f>
        <v/>
      </c>
    </row>
    <row r="2650">
      <c r="A2650" t="inlineStr">
        <is>
          <t>Bank 银行</t>
        </is>
      </c>
      <c r="B2650" s="5">
        <f>IF(AND('Daily Sale entry '!Z1150="Online collection 网上收款",'Daily Sale entry '!AA1150&lt;&gt;""),'Daily Sale entry '!X1150,"")</f>
        <v/>
      </c>
      <c r="C2650">
        <f>IF(B2650="","",'Daily Sale entry '!AA1150)</f>
        <v/>
      </c>
      <c r="D2650">
        <f>IF(C2650="","",0)</f>
        <v/>
      </c>
      <c r="E2650">
        <f>IF(C2650="","",'Daily Sale entry '!AC1150)</f>
        <v/>
      </c>
      <c r="F2650" s="37">
        <f>IF(C2650="","",B2650+IF(E2650&gt;0,0,0.5)+ROW()/10000000)</f>
        <v/>
      </c>
      <c r="G2650">
        <f>IF(C2650="","","Collection 收款 (Online 网上)"&amp;IF('Daily Sale entry '!Y1150="",""," - "&amp;'Daily Sale entry '!Y1150))</f>
        <v/>
      </c>
      <c r="H2650">
        <f>IF(C2650="","",COUNTIFS($C$2:$C$3001,C2650,$F$2:$F$3001,"&lt;"&amp;F2650)+1)</f>
        <v/>
      </c>
      <c r="I2650">
        <f>IF(C2650="","",C2650&amp;"|"&amp;H2650)</f>
        <v/>
      </c>
      <c r="J2650" s="6">
        <f>IF(C2650="","",IF(H2650=1,SUMIFS('Opening Balance'!$F$4:$F$303,'Opening Balance'!$G$4:$G$303,C2650),INDEX($L$2:$L$3001,MATCH(C2650&amp;"|"&amp;(H2650-1),$I$2:$I$3001,0))))</f>
        <v/>
      </c>
      <c r="K2650" s="6">
        <f>IF(C2650="","",IF(M2650&gt;0,M2650,IF(AND(E2650&gt;0,ROUND(J2650+D2650-E2650,2)&gt;0,ROUND(J2650+D2650-E2650,2)&lt;'Opening Balance'!$B$14),ROUND(J2650+D2650-E2650,2),0)))</f>
        <v/>
      </c>
      <c r="L2650" s="6">
        <f>IF(C2650="","",ROUND(J2650+D2650-E2650-K2650,2))</f>
        <v/>
      </c>
      <c r="M2650" s="6">
        <f>IF(C2650="","",0)</f>
        <v/>
      </c>
    </row>
    <row r="2651">
      <c r="A2651" t="inlineStr">
        <is>
          <t>Bank 银行</t>
        </is>
      </c>
      <c r="B2651" s="5">
        <f>IF(AND('Daily Sale entry '!Z1151="Online collection 网上收款",'Daily Sale entry '!AA1151&lt;&gt;""),'Daily Sale entry '!X1151,"")</f>
        <v/>
      </c>
      <c r="C2651">
        <f>IF(B2651="","",'Daily Sale entry '!AA1151)</f>
        <v/>
      </c>
      <c r="D2651">
        <f>IF(C2651="","",0)</f>
        <v/>
      </c>
      <c r="E2651">
        <f>IF(C2651="","",'Daily Sale entry '!AC1151)</f>
        <v/>
      </c>
      <c r="F2651" s="37">
        <f>IF(C2651="","",B2651+IF(E2651&gt;0,0,0.5)+ROW()/10000000)</f>
        <v/>
      </c>
      <c r="G2651">
        <f>IF(C2651="","","Collection 收款 (Online 网上)"&amp;IF('Daily Sale entry '!Y1151="",""," - "&amp;'Daily Sale entry '!Y1151))</f>
        <v/>
      </c>
      <c r="H2651">
        <f>IF(C2651="","",COUNTIFS($C$2:$C$3001,C2651,$F$2:$F$3001,"&lt;"&amp;F2651)+1)</f>
        <v/>
      </c>
      <c r="I2651">
        <f>IF(C2651="","",C2651&amp;"|"&amp;H2651)</f>
        <v/>
      </c>
      <c r="J2651" s="6">
        <f>IF(C2651="","",IF(H2651=1,SUMIFS('Opening Balance'!$F$4:$F$303,'Opening Balance'!$G$4:$G$303,C2651),INDEX($L$2:$L$3001,MATCH(C2651&amp;"|"&amp;(H2651-1),$I$2:$I$3001,0))))</f>
        <v/>
      </c>
      <c r="K2651" s="6">
        <f>IF(C2651="","",IF(M2651&gt;0,M2651,IF(AND(E2651&gt;0,ROUND(J2651+D2651-E2651,2)&gt;0,ROUND(J2651+D2651-E2651,2)&lt;'Opening Balance'!$B$14),ROUND(J2651+D2651-E2651,2),0)))</f>
        <v/>
      </c>
      <c r="L2651" s="6">
        <f>IF(C2651="","",ROUND(J2651+D2651-E2651-K2651,2))</f>
        <v/>
      </c>
      <c r="M2651" s="6">
        <f>IF(C2651="","",0)</f>
        <v/>
      </c>
    </row>
    <row r="2652">
      <c r="A2652" t="inlineStr">
        <is>
          <t>Bank 银行</t>
        </is>
      </c>
      <c r="B2652" s="5">
        <f>IF(AND('Daily Sale entry '!Z1152="Online collection 网上收款",'Daily Sale entry '!AA1152&lt;&gt;""),'Daily Sale entry '!X1152,"")</f>
        <v/>
      </c>
      <c r="C2652">
        <f>IF(B2652="","",'Daily Sale entry '!AA1152)</f>
        <v/>
      </c>
      <c r="D2652">
        <f>IF(C2652="","",0)</f>
        <v/>
      </c>
      <c r="E2652">
        <f>IF(C2652="","",'Daily Sale entry '!AC1152)</f>
        <v/>
      </c>
      <c r="F2652" s="37">
        <f>IF(C2652="","",B2652+IF(E2652&gt;0,0,0.5)+ROW()/10000000)</f>
        <v/>
      </c>
      <c r="G2652">
        <f>IF(C2652="","","Collection 收款 (Online 网上)"&amp;IF('Daily Sale entry '!Y1152="",""," - "&amp;'Daily Sale entry '!Y1152))</f>
        <v/>
      </c>
      <c r="H2652">
        <f>IF(C2652="","",COUNTIFS($C$2:$C$3001,C2652,$F$2:$F$3001,"&lt;"&amp;F2652)+1)</f>
        <v/>
      </c>
      <c r="I2652">
        <f>IF(C2652="","",C2652&amp;"|"&amp;H2652)</f>
        <v/>
      </c>
      <c r="J2652" s="6">
        <f>IF(C2652="","",IF(H2652=1,SUMIFS('Opening Balance'!$F$4:$F$303,'Opening Balance'!$G$4:$G$303,C2652),INDEX($L$2:$L$3001,MATCH(C2652&amp;"|"&amp;(H2652-1),$I$2:$I$3001,0))))</f>
        <v/>
      </c>
      <c r="K2652" s="6">
        <f>IF(C2652="","",IF(M2652&gt;0,M2652,IF(AND(E2652&gt;0,ROUND(J2652+D2652-E2652,2)&gt;0,ROUND(J2652+D2652-E2652,2)&lt;'Opening Balance'!$B$14),ROUND(J2652+D2652-E2652,2),0)))</f>
        <v/>
      </c>
      <c r="L2652" s="6">
        <f>IF(C2652="","",ROUND(J2652+D2652-E2652-K2652,2))</f>
        <v/>
      </c>
      <c r="M2652" s="6">
        <f>IF(C2652="","",0)</f>
        <v/>
      </c>
    </row>
    <row r="2653">
      <c r="A2653" t="inlineStr">
        <is>
          <t>Bank 银行</t>
        </is>
      </c>
      <c r="B2653" s="5">
        <f>IF(AND('Daily Sale entry '!Z1153="Online collection 网上收款",'Daily Sale entry '!AA1153&lt;&gt;""),'Daily Sale entry '!X1153,"")</f>
        <v/>
      </c>
      <c r="C2653">
        <f>IF(B2653="","",'Daily Sale entry '!AA1153)</f>
        <v/>
      </c>
      <c r="D2653">
        <f>IF(C2653="","",0)</f>
        <v/>
      </c>
      <c r="E2653">
        <f>IF(C2653="","",'Daily Sale entry '!AC1153)</f>
        <v/>
      </c>
      <c r="F2653" s="37">
        <f>IF(C2653="","",B2653+IF(E2653&gt;0,0,0.5)+ROW()/10000000)</f>
        <v/>
      </c>
      <c r="G2653">
        <f>IF(C2653="","","Collection 收款 (Online 网上)"&amp;IF('Daily Sale entry '!Y1153="",""," - "&amp;'Daily Sale entry '!Y1153))</f>
        <v/>
      </c>
      <c r="H2653">
        <f>IF(C2653="","",COUNTIFS($C$2:$C$3001,C2653,$F$2:$F$3001,"&lt;"&amp;F2653)+1)</f>
        <v/>
      </c>
      <c r="I2653">
        <f>IF(C2653="","",C2653&amp;"|"&amp;H2653)</f>
        <v/>
      </c>
      <c r="J2653" s="6">
        <f>IF(C2653="","",IF(H2653=1,SUMIFS('Opening Balance'!$F$4:$F$303,'Opening Balance'!$G$4:$G$303,C2653),INDEX($L$2:$L$3001,MATCH(C2653&amp;"|"&amp;(H2653-1),$I$2:$I$3001,0))))</f>
        <v/>
      </c>
      <c r="K2653" s="6">
        <f>IF(C2653="","",IF(M2653&gt;0,M2653,IF(AND(E2653&gt;0,ROUND(J2653+D2653-E2653,2)&gt;0,ROUND(J2653+D2653-E2653,2)&lt;'Opening Balance'!$B$14),ROUND(J2653+D2653-E2653,2),0)))</f>
        <v/>
      </c>
      <c r="L2653" s="6">
        <f>IF(C2653="","",ROUND(J2653+D2653-E2653-K2653,2))</f>
        <v/>
      </c>
      <c r="M2653" s="6">
        <f>IF(C2653="","",0)</f>
        <v/>
      </c>
    </row>
    <row r="2654">
      <c r="A2654" t="inlineStr">
        <is>
          <t>Bank 银行</t>
        </is>
      </c>
      <c r="B2654" s="5">
        <f>IF(AND('Daily Sale entry '!Z1154="Online collection 网上收款",'Daily Sale entry '!AA1154&lt;&gt;""),'Daily Sale entry '!X1154,"")</f>
        <v/>
      </c>
      <c r="C2654">
        <f>IF(B2654="","",'Daily Sale entry '!AA1154)</f>
        <v/>
      </c>
      <c r="D2654">
        <f>IF(C2654="","",0)</f>
        <v/>
      </c>
      <c r="E2654">
        <f>IF(C2654="","",'Daily Sale entry '!AC1154)</f>
        <v/>
      </c>
      <c r="F2654" s="37">
        <f>IF(C2654="","",B2654+IF(E2654&gt;0,0,0.5)+ROW()/10000000)</f>
        <v/>
      </c>
      <c r="G2654">
        <f>IF(C2654="","","Collection 收款 (Online 网上)"&amp;IF('Daily Sale entry '!Y1154="",""," - "&amp;'Daily Sale entry '!Y1154))</f>
        <v/>
      </c>
      <c r="H2654">
        <f>IF(C2654="","",COUNTIFS($C$2:$C$3001,C2654,$F$2:$F$3001,"&lt;"&amp;F2654)+1)</f>
        <v/>
      </c>
      <c r="I2654">
        <f>IF(C2654="","",C2654&amp;"|"&amp;H2654)</f>
        <v/>
      </c>
      <c r="J2654" s="6">
        <f>IF(C2654="","",IF(H2654=1,SUMIFS('Opening Balance'!$F$4:$F$303,'Opening Balance'!$G$4:$G$303,C2654),INDEX($L$2:$L$3001,MATCH(C2654&amp;"|"&amp;(H2654-1),$I$2:$I$3001,0))))</f>
        <v/>
      </c>
      <c r="K2654" s="6">
        <f>IF(C2654="","",IF(M2654&gt;0,M2654,IF(AND(E2654&gt;0,ROUND(J2654+D2654-E2654,2)&gt;0,ROUND(J2654+D2654-E2654,2)&lt;'Opening Balance'!$B$14),ROUND(J2654+D2654-E2654,2),0)))</f>
        <v/>
      </c>
      <c r="L2654" s="6">
        <f>IF(C2654="","",ROUND(J2654+D2654-E2654-K2654,2))</f>
        <v/>
      </c>
      <c r="M2654" s="6">
        <f>IF(C2654="","",0)</f>
        <v/>
      </c>
    </row>
    <row r="2655">
      <c r="A2655" t="inlineStr">
        <is>
          <t>Bank 银行</t>
        </is>
      </c>
      <c r="B2655" s="5">
        <f>IF(AND('Daily Sale entry '!Z1155="Online collection 网上收款",'Daily Sale entry '!AA1155&lt;&gt;""),'Daily Sale entry '!X1155,"")</f>
        <v/>
      </c>
      <c r="C2655">
        <f>IF(B2655="","",'Daily Sale entry '!AA1155)</f>
        <v/>
      </c>
      <c r="D2655">
        <f>IF(C2655="","",0)</f>
        <v/>
      </c>
      <c r="E2655">
        <f>IF(C2655="","",'Daily Sale entry '!AC1155)</f>
        <v/>
      </c>
      <c r="F2655" s="37">
        <f>IF(C2655="","",B2655+IF(E2655&gt;0,0,0.5)+ROW()/10000000)</f>
        <v/>
      </c>
      <c r="G2655">
        <f>IF(C2655="","","Collection 收款 (Online 网上)"&amp;IF('Daily Sale entry '!Y1155="",""," - "&amp;'Daily Sale entry '!Y1155))</f>
        <v/>
      </c>
      <c r="H2655">
        <f>IF(C2655="","",COUNTIFS($C$2:$C$3001,C2655,$F$2:$F$3001,"&lt;"&amp;F2655)+1)</f>
        <v/>
      </c>
      <c r="I2655">
        <f>IF(C2655="","",C2655&amp;"|"&amp;H2655)</f>
        <v/>
      </c>
      <c r="J2655" s="6">
        <f>IF(C2655="","",IF(H2655=1,SUMIFS('Opening Balance'!$F$4:$F$303,'Opening Balance'!$G$4:$G$303,C2655),INDEX($L$2:$L$3001,MATCH(C2655&amp;"|"&amp;(H2655-1),$I$2:$I$3001,0))))</f>
        <v/>
      </c>
      <c r="K2655" s="6">
        <f>IF(C2655="","",IF(M2655&gt;0,M2655,IF(AND(E2655&gt;0,ROUND(J2655+D2655-E2655,2)&gt;0,ROUND(J2655+D2655-E2655,2)&lt;'Opening Balance'!$B$14),ROUND(J2655+D2655-E2655,2),0)))</f>
        <v/>
      </c>
      <c r="L2655" s="6">
        <f>IF(C2655="","",ROUND(J2655+D2655-E2655-K2655,2))</f>
        <v/>
      </c>
      <c r="M2655" s="6">
        <f>IF(C2655="","",0)</f>
        <v/>
      </c>
    </row>
    <row r="2656">
      <c r="A2656" t="inlineStr">
        <is>
          <t>Bank 银行</t>
        </is>
      </c>
      <c r="B2656" s="5">
        <f>IF(AND('Daily Sale entry '!Z1156="Online collection 网上收款",'Daily Sale entry '!AA1156&lt;&gt;""),'Daily Sale entry '!X1156,"")</f>
        <v/>
      </c>
      <c r="C2656">
        <f>IF(B2656="","",'Daily Sale entry '!AA1156)</f>
        <v/>
      </c>
      <c r="D2656">
        <f>IF(C2656="","",0)</f>
        <v/>
      </c>
      <c r="E2656">
        <f>IF(C2656="","",'Daily Sale entry '!AC1156)</f>
        <v/>
      </c>
      <c r="F2656" s="37">
        <f>IF(C2656="","",B2656+IF(E2656&gt;0,0,0.5)+ROW()/10000000)</f>
        <v/>
      </c>
      <c r="G2656">
        <f>IF(C2656="","","Collection 收款 (Online 网上)"&amp;IF('Daily Sale entry '!Y1156="",""," - "&amp;'Daily Sale entry '!Y1156))</f>
        <v/>
      </c>
      <c r="H2656">
        <f>IF(C2656="","",COUNTIFS($C$2:$C$3001,C2656,$F$2:$F$3001,"&lt;"&amp;F2656)+1)</f>
        <v/>
      </c>
      <c r="I2656">
        <f>IF(C2656="","",C2656&amp;"|"&amp;H2656)</f>
        <v/>
      </c>
      <c r="J2656" s="6">
        <f>IF(C2656="","",IF(H2656=1,SUMIFS('Opening Balance'!$F$4:$F$303,'Opening Balance'!$G$4:$G$303,C2656),INDEX($L$2:$L$3001,MATCH(C2656&amp;"|"&amp;(H2656-1),$I$2:$I$3001,0))))</f>
        <v/>
      </c>
      <c r="K2656" s="6">
        <f>IF(C2656="","",IF(M2656&gt;0,M2656,IF(AND(E2656&gt;0,ROUND(J2656+D2656-E2656,2)&gt;0,ROUND(J2656+D2656-E2656,2)&lt;'Opening Balance'!$B$14),ROUND(J2656+D2656-E2656,2),0)))</f>
        <v/>
      </c>
      <c r="L2656" s="6">
        <f>IF(C2656="","",ROUND(J2656+D2656-E2656-K2656,2))</f>
        <v/>
      </c>
      <c r="M2656" s="6">
        <f>IF(C2656="","",0)</f>
        <v/>
      </c>
    </row>
    <row r="2657">
      <c r="A2657" t="inlineStr">
        <is>
          <t>Bank 银行</t>
        </is>
      </c>
      <c r="B2657" s="5">
        <f>IF(AND('Daily Sale entry '!Z1157="Online collection 网上收款",'Daily Sale entry '!AA1157&lt;&gt;""),'Daily Sale entry '!X1157,"")</f>
        <v/>
      </c>
      <c r="C2657">
        <f>IF(B2657="","",'Daily Sale entry '!AA1157)</f>
        <v/>
      </c>
      <c r="D2657">
        <f>IF(C2657="","",0)</f>
        <v/>
      </c>
      <c r="E2657">
        <f>IF(C2657="","",'Daily Sale entry '!AC1157)</f>
        <v/>
      </c>
      <c r="F2657" s="37">
        <f>IF(C2657="","",B2657+IF(E2657&gt;0,0,0.5)+ROW()/10000000)</f>
        <v/>
      </c>
      <c r="G2657">
        <f>IF(C2657="","","Collection 收款 (Online 网上)"&amp;IF('Daily Sale entry '!Y1157="",""," - "&amp;'Daily Sale entry '!Y1157))</f>
        <v/>
      </c>
      <c r="H2657">
        <f>IF(C2657="","",COUNTIFS($C$2:$C$3001,C2657,$F$2:$F$3001,"&lt;"&amp;F2657)+1)</f>
        <v/>
      </c>
      <c r="I2657">
        <f>IF(C2657="","",C2657&amp;"|"&amp;H2657)</f>
        <v/>
      </c>
      <c r="J2657" s="6">
        <f>IF(C2657="","",IF(H2657=1,SUMIFS('Opening Balance'!$F$4:$F$303,'Opening Balance'!$G$4:$G$303,C2657),INDEX($L$2:$L$3001,MATCH(C2657&amp;"|"&amp;(H2657-1),$I$2:$I$3001,0))))</f>
        <v/>
      </c>
      <c r="K2657" s="6">
        <f>IF(C2657="","",IF(M2657&gt;0,M2657,IF(AND(E2657&gt;0,ROUND(J2657+D2657-E2657,2)&gt;0,ROUND(J2657+D2657-E2657,2)&lt;'Opening Balance'!$B$14),ROUND(J2657+D2657-E2657,2),0)))</f>
        <v/>
      </c>
      <c r="L2657" s="6">
        <f>IF(C2657="","",ROUND(J2657+D2657-E2657-K2657,2))</f>
        <v/>
      </c>
      <c r="M2657" s="6">
        <f>IF(C2657="","",0)</f>
        <v/>
      </c>
    </row>
    <row r="2658">
      <c r="A2658" t="inlineStr">
        <is>
          <t>Bank 银行</t>
        </is>
      </c>
      <c r="B2658" s="5">
        <f>IF(AND('Daily Sale entry '!Z1158="Online collection 网上收款",'Daily Sale entry '!AA1158&lt;&gt;""),'Daily Sale entry '!X1158,"")</f>
        <v/>
      </c>
      <c r="C2658">
        <f>IF(B2658="","",'Daily Sale entry '!AA1158)</f>
        <v/>
      </c>
      <c r="D2658">
        <f>IF(C2658="","",0)</f>
        <v/>
      </c>
      <c r="E2658">
        <f>IF(C2658="","",'Daily Sale entry '!AC1158)</f>
        <v/>
      </c>
      <c r="F2658" s="37">
        <f>IF(C2658="","",B2658+IF(E2658&gt;0,0,0.5)+ROW()/10000000)</f>
        <v/>
      </c>
      <c r="G2658">
        <f>IF(C2658="","","Collection 收款 (Online 网上)"&amp;IF('Daily Sale entry '!Y1158="",""," - "&amp;'Daily Sale entry '!Y1158))</f>
        <v/>
      </c>
      <c r="H2658">
        <f>IF(C2658="","",COUNTIFS($C$2:$C$3001,C2658,$F$2:$F$3001,"&lt;"&amp;F2658)+1)</f>
        <v/>
      </c>
      <c r="I2658">
        <f>IF(C2658="","",C2658&amp;"|"&amp;H2658)</f>
        <v/>
      </c>
      <c r="J2658" s="6">
        <f>IF(C2658="","",IF(H2658=1,SUMIFS('Opening Balance'!$F$4:$F$303,'Opening Balance'!$G$4:$G$303,C2658),INDEX($L$2:$L$3001,MATCH(C2658&amp;"|"&amp;(H2658-1),$I$2:$I$3001,0))))</f>
        <v/>
      </c>
      <c r="K2658" s="6">
        <f>IF(C2658="","",IF(M2658&gt;0,M2658,IF(AND(E2658&gt;0,ROUND(J2658+D2658-E2658,2)&gt;0,ROUND(J2658+D2658-E2658,2)&lt;'Opening Balance'!$B$14),ROUND(J2658+D2658-E2658,2),0)))</f>
        <v/>
      </c>
      <c r="L2658" s="6">
        <f>IF(C2658="","",ROUND(J2658+D2658-E2658-K2658,2))</f>
        <v/>
      </c>
      <c r="M2658" s="6">
        <f>IF(C2658="","",0)</f>
        <v/>
      </c>
    </row>
    <row r="2659">
      <c r="A2659" t="inlineStr">
        <is>
          <t>Bank 银行</t>
        </is>
      </c>
      <c r="B2659" s="5">
        <f>IF(AND('Daily Sale entry '!Z1159="Online collection 网上收款",'Daily Sale entry '!AA1159&lt;&gt;""),'Daily Sale entry '!X1159,"")</f>
        <v/>
      </c>
      <c r="C2659">
        <f>IF(B2659="","",'Daily Sale entry '!AA1159)</f>
        <v/>
      </c>
      <c r="D2659">
        <f>IF(C2659="","",0)</f>
        <v/>
      </c>
      <c r="E2659">
        <f>IF(C2659="","",'Daily Sale entry '!AC1159)</f>
        <v/>
      </c>
      <c r="F2659" s="37">
        <f>IF(C2659="","",B2659+IF(E2659&gt;0,0,0.5)+ROW()/10000000)</f>
        <v/>
      </c>
      <c r="G2659">
        <f>IF(C2659="","","Collection 收款 (Online 网上)"&amp;IF('Daily Sale entry '!Y1159="",""," - "&amp;'Daily Sale entry '!Y1159))</f>
        <v/>
      </c>
      <c r="H2659">
        <f>IF(C2659="","",COUNTIFS($C$2:$C$3001,C2659,$F$2:$F$3001,"&lt;"&amp;F2659)+1)</f>
        <v/>
      </c>
      <c r="I2659">
        <f>IF(C2659="","",C2659&amp;"|"&amp;H2659)</f>
        <v/>
      </c>
      <c r="J2659" s="6">
        <f>IF(C2659="","",IF(H2659=1,SUMIFS('Opening Balance'!$F$4:$F$303,'Opening Balance'!$G$4:$G$303,C2659),INDEX($L$2:$L$3001,MATCH(C2659&amp;"|"&amp;(H2659-1),$I$2:$I$3001,0))))</f>
        <v/>
      </c>
      <c r="K2659" s="6">
        <f>IF(C2659="","",IF(M2659&gt;0,M2659,IF(AND(E2659&gt;0,ROUND(J2659+D2659-E2659,2)&gt;0,ROUND(J2659+D2659-E2659,2)&lt;'Opening Balance'!$B$14),ROUND(J2659+D2659-E2659,2),0)))</f>
        <v/>
      </c>
      <c r="L2659" s="6">
        <f>IF(C2659="","",ROUND(J2659+D2659-E2659-K2659,2))</f>
        <v/>
      </c>
      <c r="M2659" s="6">
        <f>IF(C2659="","",0)</f>
        <v/>
      </c>
    </row>
    <row r="2660">
      <c r="A2660" t="inlineStr">
        <is>
          <t>Bank 银行</t>
        </is>
      </c>
      <c r="B2660" s="5">
        <f>IF(AND('Daily Sale entry '!Z1160="Online collection 网上收款",'Daily Sale entry '!AA1160&lt;&gt;""),'Daily Sale entry '!X1160,"")</f>
        <v/>
      </c>
      <c r="C2660">
        <f>IF(B2660="","",'Daily Sale entry '!AA1160)</f>
        <v/>
      </c>
      <c r="D2660">
        <f>IF(C2660="","",0)</f>
        <v/>
      </c>
      <c r="E2660">
        <f>IF(C2660="","",'Daily Sale entry '!AC1160)</f>
        <v/>
      </c>
      <c r="F2660" s="37">
        <f>IF(C2660="","",B2660+IF(E2660&gt;0,0,0.5)+ROW()/10000000)</f>
        <v/>
      </c>
      <c r="G2660">
        <f>IF(C2660="","","Collection 收款 (Online 网上)"&amp;IF('Daily Sale entry '!Y1160="",""," - "&amp;'Daily Sale entry '!Y1160))</f>
        <v/>
      </c>
      <c r="H2660">
        <f>IF(C2660="","",COUNTIFS($C$2:$C$3001,C2660,$F$2:$F$3001,"&lt;"&amp;F2660)+1)</f>
        <v/>
      </c>
      <c r="I2660">
        <f>IF(C2660="","",C2660&amp;"|"&amp;H2660)</f>
        <v/>
      </c>
      <c r="J2660" s="6">
        <f>IF(C2660="","",IF(H2660=1,SUMIFS('Opening Balance'!$F$4:$F$303,'Opening Balance'!$G$4:$G$303,C2660),INDEX($L$2:$L$3001,MATCH(C2660&amp;"|"&amp;(H2660-1),$I$2:$I$3001,0))))</f>
        <v/>
      </c>
      <c r="K2660" s="6">
        <f>IF(C2660="","",IF(M2660&gt;0,M2660,IF(AND(E2660&gt;0,ROUND(J2660+D2660-E2660,2)&gt;0,ROUND(J2660+D2660-E2660,2)&lt;'Opening Balance'!$B$14),ROUND(J2660+D2660-E2660,2),0)))</f>
        <v/>
      </c>
      <c r="L2660" s="6">
        <f>IF(C2660="","",ROUND(J2660+D2660-E2660-K2660,2))</f>
        <v/>
      </c>
      <c r="M2660" s="6">
        <f>IF(C2660="","",0)</f>
        <v/>
      </c>
    </row>
    <row r="2661">
      <c r="A2661" t="inlineStr">
        <is>
          <t>Bank 银行</t>
        </is>
      </c>
      <c r="B2661" s="5">
        <f>IF(AND('Daily Sale entry '!Z1161="Online collection 网上收款",'Daily Sale entry '!AA1161&lt;&gt;""),'Daily Sale entry '!X1161,"")</f>
        <v/>
      </c>
      <c r="C2661">
        <f>IF(B2661="","",'Daily Sale entry '!AA1161)</f>
        <v/>
      </c>
      <c r="D2661">
        <f>IF(C2661="","",0)</f>
        <v/>
      </c>
      <c r="E2661">
        <f>IF(C2661="","",'Daily Sale entry '!AC1161)</f>
        <v/>
      </c>
      <c r="F2661" s="37">
        <f>IF(C2661="","",B2661+IF(E2661&gt;0,0,0.5)+ROW()/10000000)</f>
        <v/>
      </c>
      <c r="G2661">
        <f>IF(C2661="","","Collection 收款 (Online 网上)"&amp;IF('Daily Sale entry '!Y1161="",""," - "&amp;'Daily Sale entry '!Y1161))</f>
        <v/>
      </c>
      <c r="H2661">
        <f>IF(C2661="","",COUNTIFS($C$2:$C$3001,C2661,$F$2:$F$3001,"&lt;"&amp;F2661)+1)</f>
        <v/>
      </c>
      <c r="I2661">
        <f>IF(C2661="","",C2661&amp;"|"&amp;H2661)</f>
        <v/>
      </c>
      <c r="J2661" s="6">
        <f>IF(C2661="","",IF(H2661=1,SUMIFS('Opening Balance'!$F$4:$F$303,'Opening Balance'!$G$4:$G$303,C2661),INDEX($L$2:$L$3001,MATCH(C2661&amp;"|"&amp;(H2661-1),$I$2:$I$3001,0))))</f>
        <v/>
      </c>
      <c r="K2661" s="6">
        <f>IF(C2661="","",IF(M2661&gt;0,M2661,IF(AND(E2661&gt;0,ROUND(J2661+D2661-E2661,2)&gt;0,ROUND(J2661+D2661-E2661,2)&lt;'Opening Balance'!$B$14),ROUND(J2661+D2661-E2661,2),0)))</f>
        <v/>
      </c>
      <c r="L2661" s="6">
        <f>IF(C2661="","",ROUND(J2661+D2661-E2661-K2661,2))</f>
        <v/>
      </c>
      <c r="M2661" s="6">
        <f>IF(C2661="","",0)</f>
        <v/>
      </c>
    </row>
    <row r="2662">
      <c r="A2662" t="inlineStr">
        <is>
          <t>Bank 银行</t>
        </is>
      </c>
      <c r="B2662" s="5">
        <f>IF(AND('Daily Sale entry '!Z1162="Online collection 网上收款",'Daily Sale entry '!AA1162&lt;&gt;""),'Daily Sale entry '!X1162,"")</f>
        <v/>
      </c>
      <c r="C2662">
        <f>IF(B2662="","",'Daily Sale entry '!AA1162)</f>
        <v/>
      </c>
      <c r="D2662">
        <f>IF(C2662="","",0)</f>
        <v/>
      </c>
      <c r="E2662">
        <f>IF(C2662="","",'Daily Sale entry '!AC1162)</f>
        <v/>
      </c>
      <c r="F2662" s="37">
        <f>IF(C2662="","",B2662+IF(E2662&gt;0,0,0.5)+ROW()/10000000)</f>
        <v/>
      </c>
      <c r="G2662">
        <f>IF(C2662="","","Collection 收款 (Online 网上)"&amp;IF('Daily Sale entry '!Y1162="",""," - "&amp;'Daily Sale entry '!Y1162))</f>
        <v/>
      </c>
      <c r="H2662">
        <f>IF(C2662="","",COUNTIFS($C$2:$C$3001,C2662,$F$2:$F$3001,"&lt;"&amp;F2662)+1)</f>
        <v/>
      </c>
      <c r="I2662">
        <f>IF(C2662="","",C2662&amp;"|"&amp;H2662)</f>
        <v/>
      </c>
      <c r="J2662" s="6">
        <f>IF(C2662="","",IF(H2662=1,SUMIFS('Opening Balance'!$F$4:$F$303,'Opening Balance'!$G$4:$G$303,C2662),INDEX($L$2:$L$3001,MATCH(C2662&amp;"|"&amp;(H2662-1),$I$2:$I$3001,0))))</f>
        <v/>
      </c>
      <c r="K2662" s="6">
        <f>IF(C2662="","",IF(M2662&gt;0,M2662,IF(AND(E2662&gt;0,ROUND(J2662+D2662-E2662,2)&gt;0,ROUND(J2662+D2662-E2662,2)&lt;'Opening Balance'!$B$14),ROUND(J2662+D2662-E2662,2),0)))</f>
        <v/>
      </c>
      <c r="L2662" s="6">
        <f>IF(C2662="","",ROUND(J2662+D2662-E2662-K2662,2))</f>
        <v/>
      </c>
      <c r="M2662" s="6">
        <f>IF(C2662="","",0)</f>
        <v/>
      </c>
    </row>
    <row r="2663">
      <c r="A2663" t="inlineStr">
        <is>
          <t>Bank 银行</t>
        </is>
      </c>
      <c r="B2663" s="5">
        <f>IF(AND('Daily Sale entry '!Z1163="Online collection 网上收款",'Daily Sale entry '!AA1163&lt;&gt;""),'Daily Sale entry '!X1163,"")</f>
        <v/>
      </c>
      <c r="C2663">
        <f>IF(B2663="","",'Daily Sale entry '!AA1163)</f>
        <v/>
      </c>
      <c r="D2663">
        <f>IF(C2663="","",0)</f>
        <v/>
      </c>
      <c r="E2663">
        <f>IF(C2663="","",'Daily Sale entry '!AC1163)</f>
        <v/>
      </c>
      <c r="F2663" s="37">
        <f>IF(C2663="","",B2663+IF(E2663&gt;0,0,0.5)+ROW()/10000000)</f>
        <v/>
      </c>
      <c r="G2663">
        <f>IF(C2663="","","Collection 收款 (Online 网上)"&amp;IF('Daily Sale entry '!Y1163="",""," - "&amp;'Daily Sale entry '!Y1163))</f>
        <v/>
      </c>
      <c r="H2663">
        <f>IF(C2663="","",COUNTIFS($C$2:$C$3001,C2663,$F$2:$F$3001,"&lt;"&amp;F2663)+1)</f>
        <v/>
      </c>
      <c r="I2663">
        <f>IF(C2663="","",C2663&amp;"|"&amp;H2663)</f>
        <v/>
      </c>
      <c r="J2663" s="6">
        <f>IF(C2663="","",IF(H2663=1,SUMIFS('Opening Balance'!$F$4:$F$303,'Opening Balance'!$G$4:$G$303,C2663),INDEX($L$2:$L$3001,MATCH(C2663&amp;"|"&amp;(H2663-1),$I$2:$I$3001,0))))</f>
        <v/>
      </c>
      <c r="K2663" s="6">
        <f>IF(C2663="","",IF(M2663&gt;0,M2663,IF(AND(E2663&gt;0,ROUND(J2663+D2663-E2663,2)&gt;0,ROUND(J2663+D2663-E2663,2)&lt;'Opening Balance'!$B$14),ROUND(J2663+D2663-E2663,2),0)))</f>
        <v/>
      </c>
      <c r="L2663" s="6">
        <f>IF(C2663="","",ROUND(J2663+D2663-E2663-K2663,2))</f>
        <v/>
      </c>
      <c r="M2663" s="6">
        <f>IF(C2663="","",0)</f>
        <v/>
      </c>
    </row>
    <row r="2664">
      <c r="A2664" t="inlineStr">
        <is>
          <t>Bank 银行</t>
        </is>
      </c>
      <c r="B2664" s="5">
        <f>IF(AND('Daily Sale entry '!Z1164="Online collection 网上收款",'Daily Sale entry '!AA1164&lt;&gt;""),'Daily Sale entry '!X1164,"")</f>
        <v/>
      </c>
      <c r="C2664">
        <f>IF(B2664="","",'Daily Sale entry '!AA1164)</f>
        <v/>
      </c>
      <c r="D2664">
        <f>IF(C2664="","",0)</f>
        <v/>
      </c>
      <c r="E2664">
        <f>IF(C2664="","",'Daily Sale entry '!AC1164)</f>
        <v/>
      </c>
      <c r="F2664" s="37">
        <f>IF(C2664="","",B2664+IF(E2664&gt;0,0,0.5)+ROW()/10000000)</f>
        <v/>
      </c>
      <c r="G2664">
        <f>IF(C2664="","","Collection 收款 (Online 网上)"&amp;IF('Daily Sale entry '!Y1164="",""," - "&amp;'Daily Sale entry '!Y1164))</f>
        <v/>
      </c>
      <c r="H2664">
        <f>IF(C2664="","",COUNTIFS($C$2:$C$3001,C2664,$F$2:$F$3001,"&lt;"&amp;F2664)+1)</f>
        <v/>
      </c>
      <c r="I2664">
        <f>IF(C2664="","",C2664&amp;"|"&amp;H2664)</f>
        <v/>
      </c>
      <c r="J2664" s="6">
        <f>IF(C2664="","",IF(H2664=1,SUMIFS('Opening Balance'!$F$4:$F$303,'Opening Balance'!$G$4:$G$303,C2664),INDEX($L$2:$L$3001,MATCH(C2664&amp;"|"&amp;(H2664-1),$I$2:$I$3001,0))))</f>
        <v/>
      </c>
      <c r="K2664" s="6">
        <f>IF(C2664="","",IF(M2664&gt;0,M2664,IF(AND(E2664&gt;0,ROUND(J2664+D2664-E2664,2)&gt;0,ROUND(J2664+D2664-E2664,2)&lt;'Opening Balance'!$B$14),ROUND(J2664+D2664-E2664,2),0)))</f>
        <v/>
      </c>
      <c r="L2664" s="6">
        <f>IF(C2664="","",ROUND(J2664+D2664-E2664-K2664,2))</f>
        <v/>
      </c>
      <c r="M2664" s="6">
        <f>IF(C2664="","",0)</f>
        <v/>
      </c>
    </row>
    <row r="2665">
      <c r="A2665" t="inlineStr">
        <is>
          <t>Bank 银行</t>
        </is>
      </c>
      <c r="B2665" s="5">
        <f>IF(AND('Daily Sale entry '!Z1165="Online collection 网上收款",'Daily Sale entry '!AA1165&lt;&gt;""),'Daily Sale entry '!X1165,"")</f>
        <v/>
      </c>
      <c r="C2665">
        <f>IF(B2665="","",'Daily Sale entry '!AA1165)</f>
        <v/>
      </c>
      <c r="D2665">
        <f>IF(C2665="","",0)</f>
        <v/>
      </c>
      <c r="E2665">
        <f>IF(C2665="","",'Daily Sale entry '!AC1165)</f>
        <v/>
      </c>
      <c r="F2665" s="37">
        <f>IF(C2665="","",B2665+IF(E2665&gt;0,0,0.5)+ROW()/10000000)</f>
        <v/>
      </c>
      <c r="G2665">
        <f>IF(C2665="","","Collection 收款 (Online 网上)"&amp;IF('Daily Sale entry '!Y1165="",""," - "&amp;'Daily Sale entry '!Y1165))</f>
        <v/>
      </c>
      <c r="H2665">
        <f>IF(C2665="","",COUNTIFS($C$2:$C$3001,C2665,$F$2:$F$3001,"&lt;"&amp;F2665)+1)</f>
        <v/>
      </c>
      <c r="I2665">
        <f>IF(C2665="","",C2665&amp;"|"&amp;H2665)</f>
        <v/>
      </c>
      <c r="J2665" s="6">
        <f>IF(C2665="","",IF(H2665=1,SUMIFS('Opening Balance'!$F$4:$F$303,'Opening Balance'!$G$4:$G$303,C2665),INDEX($L$2:$L$3001,MATCH(C2665&amp;"|"&amp;(H2665-1),$I$2:$I$3001,0))))</f>
        <v/>
      </c>
      <c r="K2665" s="6">
        <f>IF(C2665="","",IF(M2665&gt;0,M2665,IF(AND(E2665&gt;0,ROUND(J2665+D2665-E2665,2)&gt;0,ROUND(J2665+D2665-E2665,2)&lt;'Opening Balance'!$B$14),ROUND(J2665+D2665-E2665,2),0)))</f>
        <v/>
      </c>
      <c r="L2665" s="6">
        <f>IF(C2665="","",ROUND(J2665+D2665-E2665-K2665,2))</f>
        <v/>
      </c>
      <c r="M2665" s="6">
        <f>IF(C2665="","",0)</f>
        <v/>
      </c>
    </row>
    <row r="2666">
      <c r="A2666" t="inlineStr">
        <is>
          <t>Bank 银行</t>
        </is>
      </c>
      <c r="B2666" s="5">
        <f>IF(AND('Daily Sale entry '!Z1166="Online collection 网上收款",'Daily Sale entry '!AA1166&lt;&gt;""),'Daily Sale entry '!X1166,"")</f>
        <v/>
      </c>
      <c r="C2666">
        <f>IF(B2666="","",'Daily Sale entry '!AA1166)</f>
        <v/>
      </c>
      <c r="D2666">
        <f>IF(C2666="","",0)</f>
        <v/>
      </c>
      <c r="E2666">
        <f>IF(C2666="","",'Daily Sale entry '!AC1166)</f>
        <v/>
      </c>
      <c r="F2666" s="37">
        <f>IF(C2666="","",B2666+IF(E2666&gt;0,0,0.5)+ROW()/10000000)</f>
        <v/>
      </c>
      <c r="G2666">
        <f>IF(C2666="","","Collection 收款 (Online 网上)"&amp;IF('Daily Sale entry '!Y1166="",""," - "&amp;'Daily Sale entry '!Y1166))</f>
        <v/>
      </c>
      <c r="H2666">
        <f>IF(C2666="","",COUNTIFS($C$2:$C$3001,C2666,$F$2:$F$3001,"&lt;"&amp;F2666)+1)</f>
        <v/>
      </c>
      <c r="I2666">
        <f>IF(C2666="","",C2666&amp;"|"&amp;H2666)</f>
        <v/>
      </c>
      <c r="J2666" s="6">
        <f>IF(C2666="","",IF(H2666=1,SUMIFS('Opening Balance'!$F$4:$F$303,'Opening Balance'!$G$4:$G$303,C2666),INDEX($L$2:$L$3001,MATCH(C2666&amp;"|"&amp;(H2666-1),$I$2:$I$3001,0))))</f>
        <v/>
      </c>
      <c r="K2666" s="6">
        <f>IF(C2666="","",IF(M2666&gt;0,M2666,IF(AND(E2666&gt;0,ROUND(J2666+D2666-E2666,2)&gt;0,ROUND(J2666+D2666-E2666,2)&lt;'Opening Balance'!$B$14),ROUND(J2666+D2666-E2666,2),0)))</f>
        <v/>
      </c>
      <c r="L2666" s="6">
        <f>IF(C2666="","",ROUND(J2666+D2666-E2666-K2666,2))</f>
        <v/>
      </c>
      <c r="M2666" s="6">
        <f>IF(C2666="","",0)</f>
        <v/>
      </c>
    </row>
    <row r="2667">
      <c r="A2667" t="inlineStr">
        <is>
          <t>Bank 银行</t>
        </is>
      </c>
      <c r="B2667" s="5">
        <f>IF(AND('Daily Sale entry '!Z1167="Online collection 网上收款",'Daily Sale entry '!AA1167&lt;&gt;""),'Daily Sale entry '!X1167,"")</f>
        <v/>
      </c>
      <c r="C2667">
        <f>IF(B2667="","",'Daily Sale entry '!AA1167)</f>
        <v/>
      </c>
      <c r="D2667">
        <f>IF(C2667="","",0)</f>
        <v/>
      </c>
      <c r="E2667">
        <f>IF(C2667="","",'Daily Sale entry '!AC1167)</f>
        <v/>
      </c>
      <c r="F2667" s="37">
        <f>IF(C2667="","",B2667+IF(E2667&gt;0,0,0.5)+ROW()/10000000)</f>
        <v/>
      </c>
      <c r="G2667">
        <f>IF(C2667="","","Collection 收款 (Online 网上)"&amp;IF('Daily Sale entry '!Y1167="",""," - "&amp;'Daily Sale entry '!Y1167))</f>
        <v/>
      </c>
      <c r="H2667">
        <f>IF(C2667="","",COUNTIFS($C$2:$C$3001,C2667,$F$2:$F$3001,"&lt;"&amp;F2667)+1)</f>
        <v/>
      </c>
      <c r="I2667">
        <f>IF(C2667="","",C2667&amp;"|"&amp;H2667)</f>
        <v/>
      </c>
      <c r="J2667" s="6">
        <f>IF(C2667="","",IF(H2667=1,SUMIFS('Opening Balance'!$F$4:$F$303,'Opening Balance'!$G$4:$G$303,C2667),INDEX($L$2:$L$3001,MATCH(C2667&amp;"|"&amp;(H2667-1),$I$2:$I$3001,0))))</f>
        <v/>
      </c>
      <c r="K2667" s="6">
        <f>IF(C2667="","",IF(M2667&gt;0,M2667,IF(AND(E2667&gt;0,ROUND(J2667+D2667-E2667,2)&gt;0,ROUND(J2667+D2667-E2667,2)&lt;'Opening Balance'!$B$14),ROUND(J2667+D2667-E2667,2),0)))</f>
        <v/>
      </c>
      <c r="L2667" s="6">
        <f>IF(C2667="","",ROUND(J2667+D2667-E2667-K2667,2))</f>
        <v/>
      </c>
      <c r="M2667" s="6">
        <f>IF(C2667="","",0)</f>
        <v/>
      </c>
    </row>
    <row r="2668">
      <c r="A2668" t="inlineStr">
        <is>
          <t>Bank 银行</t>
        </is>
      </c>
      <c r="B2668" s="5">
        <f>IF(AND('Daily Sale entry '!Z1168="Online collection 网上收款",'Daily Sale entry '!AA1168&lt;&gt;""),'Daily Sale entry '!X1168,"")</f>
        <v/>
      </c>
      <c r="C2668">
        <f>IF(B2668="","",'Daily Sale entry '!AA1168)</f>
        <v/>
      </c>
      <c r="D2668">
        <f>IF(C2668="","",0)</f>
        <v/>
      </c>
      <c r="E2668">
        <f>IF(C2668="","",'Daily Sale entry '!AC1168)</f>
        <v/>
      </c>
      <c r="F2668" s="37">
        <f>IF(C2668="","",B2668+IF(E2668&gt;0,0,0.5)+ROW()/10000000)</f>
        <v/>
      </c>
      <c r="G2668">
        <f>IF(C2668="","","Collection 收款 (Online 网上)"&amp;IF('Daily Sale entry '!Y1168="",""," - "&amp;'Daily Sale entry '!Y1168))</f>
        <v/>
      </c>
      <c r="H2668">
        <f>IF(C2668="","",COUNTIFS($C$2:$C$3001,C2668,$F$2:$F$3001,"&lt;"&amp;F2668)+1)</f>
        <v/>
      </c>
      <c r="I2668">
        <f>IF(C2668="","",C2668&amp;"|"&amp;H2668)</f>
        <v/>
      </c>
      <c r="J2668" s="6">
        <f>IF(C2668="","",IF(H2668=1,SUMIFS('Opening Balance'!$F$4:$F$303,'Opening Balance'!$G$4:$G$303,C2668),INDEX($L$2:$L$3001,MATCH(C2668&amp;"|"&amp;(H2668-1),$I$2:$I$3001,0))))</f>
        <v/>
      </c>
      <c r="K2668" s="6">
        <f>IF(C2668="","",IF(M2668&gt;0,M2668,IF(AND(E2668&gt;0,ROUND(J2668+D2668-E2668,2)&gt;0,ROUND(J2668+D2668-E2668,2)&lt;'Opening Balance'!$B$14),ROUND(J2668+D2668-E2668,2),0)))</f>
        <v/>
      </c>
      <c r="L2668" s="6">
        <f>IF(C2668="","",ROUND(J2668+D2668-E2668-K2668,2))</f>
        <v/>
      </c>
      <c r="M2668" s="6">
        <f>IF(C2668="","",0)</f>
        <v/>
      </c>
    </row>
    <row r="2669">
      <c r="A2669" t="inlineStr">
        <is>
          <t>Bank 银行</t>
        </is>
      </c>
      <c r="B2669" s="5">
        <f>IF(AND('Daily Sale entry '!Z1169="Online collection 网上收款",'Daily Sale entry '!AA1169&lt;&gt;""),'Daily Sale entry '!X1169,"")</f>
        <v/>
      </c>
      <c r="C2669">
        <f>IF(B2669="","",'Daily Sale entry '!AA1169)</f>
        <v/>
      </c>
      <c r="D2669">
        <f>IF(C2669="","",0)</f>
        <v/>
      </c>
      <c r="E2669">
        <f>IF(C2669="","",'Daily Sale entry '!AC1169)</f>
        <v/>
      </c>
      <c r="F2669" s="37">
        <f>IF(C2669="","",B2669+IF(E2669&gt;0,0,0.5)+ROW()/10000000)</f>
        <v/>
      </c>
      <c r="G2669">
        <f>IF(C2669="","","Collection 收款 (Online 网上)"&amp;IF('Daily Sale entry '!Y1169="",""," - "&amp;'Daily Sale entry '!Y1169))</f>
        <v/>
      </c>
      <c r="H2669">
        <f>IF(C2669="","",COUNTIFS($C$2:$C$3001,C2669,$F$2:$F$3001,"&lt;"&amp;F2669)+1)</f>
        <v/>
      </c>
      <c r="I2669">
        <f>IF(C2669="","",C2669&amp;"|"&amp;H2669)</f>
        <v/>
      </c>
      <c r="J2669" s="6">
        <f>IF(C2669="","",IF(H2669=1,SUMIFS('Opening Balance'!$F$4:$F$303,'Opening Balance'!$G$4:$G$303,C2669),INDEX($L$2:$L$3001,MATCH(C2669&amp;"|"&amp;(H2669-1),$I$2:$I$3001,0))))</f>
        <v/>
      </c>
      <c r="K2669" s="6">
        <f>IF(C2669="","",IF(M2669&gt;0,M2669,IF(AND(E2669&gt;0,ROUND(J2669+D2669-E2669,2)&gt;0,ROUND(J2669+D2669-E2669,2)&lt;'Opening Balance'!$B$14),ROUND(J2669+D2669-E2669,2),0)))</f>
        <v/>
      </c>
      <c r="L2669" s="6">
        <f>IF(C2669="","",ROUND(J2669+D2669-E2669-K2669,2))</f>
        <v/>
      </c>
      <c r="M2669" s="6">
        <f>IF(C2669="","",0)</f>
        <v/>
      </c>
    </row>
    <row r="2670">
      <c r="A2670" t="inlineStr">
        <is>
          <t>Bank 银行</t>
        </is>
      </c>
      <c r="B2670" s="5">
        <f>IF(AND('Daily Sale entry '!Z1170="Online collection 网上收款",'Daily Sale entry '!AA1170&lt;&gt;""),'Daily Sale entry '!X1170,"")</f>
        <v/>
      </c>
      <c r="C2670">
        <f>IF(B2670="","",'Daily Sale entry '!AA1170)</f>
        <v/>
      </c>
      <c r="D2670">
        <f>IF(C2670="","",0)</f>
        <v/>
      </c>
      <c r="E2670">
        <f>IF(C2670="","",'Daily Sale entry '!AC1170)</f>
        <v/>
      </c>
      <c r="F2670" s="37">
        <f>IF(C2670="","",B2670+IF(E2670&gt;0,0,0.5)+ROW()/10000000)</f>
        <v/>
      </c>
      <c r="G2670">
        <f>IF(C2670="","","Collection 收款 (Online 网上)"&amp;IF('Daily Sale entry '!Y1170="",""," - "&amp;'Daily Sale entry '!Y1170))</f>
        <v/>
      </c>
      <c r="H2670">
        <f>IF(C2670="","",COUNTIFS($C$2:$C$3001,C2670,$F$2:$F$3001,"&lt;"&amp;F2670)+1)</f>
        <v/>
      </c>
      <c r="I2670">
        <f>IF(C2670="","",C2670&amp;"|"&amp;H2670)</f>
        <v/>
      </c>
      <c r="J2670" s="6">
        <f>IF(C2670="","",IF(H2670=1,SUMIFS('Opening Balance'!$F$4:$F$303,'Opening Balance'!$G$4:$G$303,C2670),INDEX($L$2:$L$3001,MATCH(C2670&amp;"|"&amp;(H2670-1),$I$2:$I$3001,0))))</f>
        <v/>
      </c>
      <c r="K2670" s="6">
        <f>IF(C2670="","",IF(M2670&gt;0,M2670,IF(AND(E2670&gt;0,ROUND(J2670+D2670-E2670,2)&gt;0,ROUND(J2670+D2670-E2670,2)&lt;'Opening Balance'!$B$14),ROUND(J2670+D2670-E2670,2),0)))</f>
        <v/>
      </c>
      <c r="L2670" s="6">
        <f>IF(C2670="","",ROUND(J2670+D2670-E2670-K2670,2))</f>
        <v/>
      </c>
      <c r="M2670" s="6">
        <f>IF(C2670="","",0)</f>
        <v/>
      </c>
    </row>
    <row r="2671">
      <c r="A2671" t="inlineStr">
        <is>
          <t>Bank 银行</t>
        </is>
      </c>
      <c r="B2671" s="5">
        <f>IF(AND('Daily Sale entry '!Z1171="Online collection 网上收款",'Daily Sale entry '!AA1171&lt;&gt;""),'Daily Sale entry '!X1171,"")</f>
        <v/>
      </c>
      <c r="C2671">
        <f>IF(B2671="","",'Daily Sale entry '!AA1171)</f>
        <v/>
      </c>
      <c r="D2671">
        <f>IF(C2671="","",0)</f>
        <v/>
      </c>
      <c r="E2671">
        <f>IF(C2671="","",'Daily Sale entry '!AC1171)</f>
        <v/>
      </c>
      <c r="F2671" s="37">
        <f>IF(C2671="","",B2671+IF(E2671&gt;0,0,0.5)+ROW()/10000000)</f>
        <v/>
      </c>
      <c r="G2671">
        <f>IF(C2671="","","Collection 收款 (Online 网上)"&amp;IF('Daily Sale entry '!Y1171="",""," - "&amp;'Daily Sale entry '!Y1171))</f>
        <v/>
      </c>
      <c r="H2671">
        <f>IF(C2671="","",COUNTIFS($C$2:$C$3001,C2671,$F$2:$F$3001,"&lt;"&amp;F2671)+1)</f>
        <v/>
      </c>
      <c r="I2671">
        <f>IF(C2671="","",C2671&amp;"|"&amp;H2671)</f>
        <v/>
      </c>
      <c r="J2671" s="6">
        <f>IF(C2671="","",IF(H2671=1,SUMIFS('Opening Balance'!$F$4:$F$303,'Opening Balance'!$G$4:$G$303,C2671),INDEX($L$2:$L$3001,MATCH(C2671&amp;"|"&amp;(H2671-1),$I$2:$I$3001,0))))</f>
        <v/>
      </c>
      <c r="K2671" s="6">
        <f>IF(C2671="","",IF(M2671&gt;0,M2671,IF(AND(E2671&gt;0,ROUND(J2671+D2671-E2671,2)&gt;0,ROUND(J2671+D2671-E2671,2)&lt;'Opening Balance'!$B$14),ROUND(J2671+D2671-E2671,2),0)))</f>
        <v/>
      </c>
      <c r="L2671" s="6">
        <f>IF(C2671="","",ROUND(J2671+D2671-E2671-K2671,2))</f>
        <v/>
      </c>
      <c r="M2671" s="6">
        <f>IF(C2671="","",0)</f>
        <v/>
      </c>
    </row>
    <row r="2672">
      <c r="A2672" t="inlineStr">
        <is>
          <t>Bank 银行</t>
        </is>
      </c>
      <c r="B2672" s="5">
        <f>IF(AND('Daily Sale entry '!Z1172="Online collection 网上收款",'Daily Sale entry '!AA1172&lt;&gt;""),'Daily Sale entry '!X1172,"")</f>
        <v/>
      </c>
      <c r="C2672">
        <f>IF(B2672="","",'Daily Sale entry '!AA1172)</f>
        <v/>
      </c>
      <c r="D2672">
        <f>IF(C2672="","",0)</f>
        <v/>
      </c>
      <c r="E2672">
        <f>IF(C2672="","",'Daily Sale entry '!AC1172)</f>
        <v/>
      </c>
      <c r="F2672" s="37">
        <f>IF(C2672="","",B2672+IF(E2672&gt;0,0,0.5)+ROW()/10000000)</f>
        <v/>
      </c>
      <c r="G2672">
        <f>IF(C2672="","","Collection 收款 (Online 网上)"&amp;IF('Daily Sale entry '!Y1172="",""," - "&amp;'Daily Sale entry '!Y1172))</f>
        <v/>
      </c>
      <c r="H2672">
        <f>IF(C2672="","",COUNTIFS($C$2:$C$3001,C2672,$F$2:$F$3001,"&lt;"&amp;F2672)+1)</f>
        <v/>
      </c>
      <c r="I2672">
        <f>IF(C2672="","",C2672&amp;"|"&amp;H2672)</f>
        <v/>
      </c>
      <c r="J2672" s="6">
        <f>IF(C2672="","",IF(H2672=1,SUMIFS('Opening Balance'!$F$4:$F$303,'Opening Balance'!$G$4:$G$303,C2672),INDEX($L$2:$L$3001,MATCH(C2672&amp;"|"&amp;(H2672-1),$I$2:$I$3001,0))))</f>
        <v/>
      </c>
      <c r="K2672" s="6">
        <f>IF(C2672="","",IF(M2672&gt;0,M2672,IF(AND(E2672&gt;0,ROUND(J2672+D2672-E2672,2)&gt;0,ROUND(J2672+D2672-E2672,2)&lt;'Opening Balance'!$B$14),ROUND(J2672+D2672-E2672,2),0)))</f>
        <v/>
      </c>
      <c r="L2672" s="6">
        <f>IF(C2672="","",ROUND(J2672+D2672-E2672-K2672,2))</f>
        <v/>
      </c>
      <c r="M2672" s="6">
        <f>IF(C2672="","",0)</f>
        <v/>
      </c>
    </row>
    <row r="2673">
      <c r="A2673" t="inlineStr">
        <is>
          <t>Bank 银行</t>
        </is>
      </c>
      <c r="B2673" s="5">
        <f>IF(AND('Daily Sale entry '!Z1173="Online collection 网上收款",'Daily Sale entry '!AA1173&lt;&gt;""),'Daily Sale entry '!X1173,"")</f>
        <v/>
      </c>
      <c r="C2673">
        <f>IF(B2673="","",'Daily Sale entry '!AA1173)</f>
        <v/>
      </c>
      <c r="D2673">
        <f>IF(C2673="","",0)</f>
        <v/>
      </c>
      <c r="E2673">
        <f>IF(C2673="","",'Daily Sale entry '!AC1173)</f>
        <v/>
      </c>
      <c r="F2673" s="37">
        <f>IF(C2673="","",B2673+IF(E2673&gt;0,0,0.5)+ROW()/10000000)</f>
        <v/>
      </c>
      <c r="G2673">
        <f>IF(C2673="","","Collection 收款 (Online 网上)"&amp;IF('Daily Sale entry '!Y1173="",""," - "&amp;'Daily Sale entry '!Y1173))</f>
        <v/>
      </c>
      <c r="H2673">
        <f>IF(C2673="","",COUNTIFS($C$2:$C$3001,C2673,$F$2:$F$3001,"&lt;"&amp;F2673)+1)</f>
        <v/>
      </c>
      <c r="I2673">
        <f>IF(C2673="","",C2673&amp;"|"&amp;H2673)</f>
        <v/>
      </c>
      <c r="J2673" s="6">
        <f>IF(C2673="","",IF(H2673=1,SUMIFS('Opening Balance'!$F$4:$F$303,'Opening Balance'!$G$4:$G$303,C2673),INDEX($L$2:$L$3001,MATCH(C2673&amp;"|"&amp;(H2673-1),$I$2:$I$3001,0))))</f>
        <v/>
      </c>
      <c r="K2673" s="6">
        <f>IF(C2673="","",IF(M2673&gt;0,M2673,IF(AND(E2673&gt;0,ROUND(J2673+D2673-E2673,2)&gt;0,ROUND(J2673+D2673-E2673,2)&lt;'Opening Balance'!$B$14),ROUND(J2673+D2673-E2673,2),0)))</f>
        <v/>
      </c>
      <c r="L2673" s="6">
        <f>IF(C2673="","",ROUND(J2673+D2673-E2673-K2673,2))</f>
        <v/>
      </c>
      <c r="M2673" s="6">
        <f>IF(C2673="","",0)</f>
        <v/>
      </c>
    </row>
    <row r="2674">
      <c r="A2674" t="inlineStr">
        <is>
          <t>Bank 银行</t>
        </is>
      </c>
      <c r="B2674" s="5">
        <f>IF(AND('Daily Sale entry '!Z1174="Online collection 网上收款",'Daily Sale entry '!AA1174&lt;&gt;""),'Daily Sale entry '!X1174,"")</f>
        <v/>
      </c>
      <c r="C2674">
        <f>IF(B2674="","",'Daily Sale entry '!AA1174)</f>
        <v/>
      </c>
      <c r="D2674">
        <f>IF(C2674="","",0)</f>
        <v/>
      </c>
      <c r="E2674">
        <f>IF(C2674="","",'Daily Sale entry '!AC1174)</f>
        <v/>
      </c>
      <c r="F2674" s="37">
        <f>IF(C2674="","",B2674+IF(E2674&gt;0,0,0.5)+ROW()/10000000)</f>
        <v/>
      </c>
      <c r="G2674">
        <f>IF(C2674="","","Collection 收款 (Online 网上)"&amp;IF('Daily Sale entry '!Y1174="",""," - "&amp;'Daily Sale entry '!Y1174))</f>
        <v/>
      </c>
      <c r="H2674">
        <f>IF(C2674="","",COUNTIFS($C$2:$C$3001,C2674,$F$2:$F$3001,"&lt;"&amp;F2674)+1)</f>
        <v/>
      </c>
      <c r="I2674">
        <f>IF(C2674="","",C2674&amp;"|"&amp;H2674)</f>
        <v/>
      </c>
      <c r="J2674" s="6">
        <f>IF(C2674="","",IF(H2674=1,SUMIFS('Opening Balance'!$F$4:$F$303,'Opening Balance'!$G$4:$G$303,C2674),INDEX($L$2:$L$3001,MATCH(C2674&amp;"|"&amp;(H2674-1),$I$2:$I$3001,0))))</f>
        <v/>
      </c>
      <c r="K2674" s="6">
        <f>IF(C2674="","",IF(M2674&gt;0,M2674,IF(AND(E2674&gt;0,ROUND(J2674+D2674-E2674,2)&gt;0,ROUND(J2674+D2674-E2674,2)&lt;'Opening Balance'!$B$14),ROUND(J2674+D2674-E2674,2),0)))</f>
        <v/>
      </c>
      <c r="L2674" s="6">
        <f>IF(C2674="","",ROUND(J2674+D2674-E2674-K2674,2))</f>
        <v/>
      </c>
      <c r="M2674" s="6">
        <f>IF(C2674="","",0)</f>
        <v/>
      </c>
    </row>
    <row r="2675">
      <c r="A2675" t="inlineStr">
        <is>
          <t>Bank 银行</t>
        </is>
      </c>
      <c r="B2675" s="5">
        <f>IF(AND('Daily Sale entry '!Z1175="Online collection 网上收款",'Daily Sale entry '!AA1175&lt;&gt;""),'Daily Sale entry '!X1175,"")</f>
        <v/>
      </c>
      <c r="C2675">
        <f>IF(B2675="","",'Daily Sale entry '!AA1175)</f>
        <v/>
      </c>
      <c r="D2675">
        <f>IF(C2675="","",0)</f>
        <v/>
      </c>
      <c r="E2675">
        <f>IF(C2675="","",'Daily Sale entry '!AC1175)</f>
        <v/>
      </c>
      <c r="F2675" s="37">
        <f>IF(C2675="","",B2675+IF(E2675&gt;0,0,0.5)+ROW()/10000000)</f>
        <v/>
      </c>
      <c r="G2675">
        <f>IF(C2675="","","Collection 收款 (Online 网上)"&amp;IF('Daily Sale entry '!Y1175="",""," - "&amp;'Daily Sale entry '!Y1175))</f>
        <v/>
      </c>
      <c r="H2675">
        <f>IF(C2675="","",COUNTIFS($C$2:$C$3001,C2675,$F$2:$F$3001,"&lt;"&amp;F2675)+1)</f>
        <v/>
      </c>
      <c r="I2675">
        <f>IF(C2675="","",C2675&amp;"|"&amp;H2675)</f>
        <v/>
      </c>
      <c r="J2675" s="6">
        <f>IF(C2675="","",IF(H2675=1,SUMIFS('Opening Balance'!$F$4:$F$303,'Opening Balance'!$G$4:$G$303,C2675),INDEX($L$2:$L$3001,MATCH(C2675&amp;"|"&amp;(H2675-1),$I$2:$I$3001,0))))</f>
        <v/>
      </c>
      <c r="K2675" s="6">
        <f>IF(C2675="","",IF(M2675&gt;0,M2675,IF(AND(E2675&gt;0,ROUND(J2675+D2675-E2675,2)&gt;0,ROUND(J2675+D2675-E2675,2)&lt;'Opening Balance'!$B$14),ROUND(J2675+D2675-E2675,2),0)))</f>
        <v/>
      </c>
      <c r="L2675" s="6">
        <f>IF(C2675="","",ROUND(J2675+D2675-E2675-K2675,2))</f>
        <v/>
      </c>
      <c r="M2675" s="6">
        <f>IF(C2675="","",0)</f>
        <v/>
      </c>
    </row>
    <row r="2676">
      <c r="A2676" t="inlineStr">
        <is>
          <t>Bank 银行</t>
        </is>
      </c>
      <c r="B2676" s="5">
        <f>IF(AND('Daily Sale entry '!Z1176="Online collection 网上收款",'Daily Sale entry '!AA1176&lt;&gt;""),'Daily Sale entry '!X1176,"")</f>
        <v/>
      </c>
      <c r="C2676">
        <f>IF(B2676="","",'Daily Sale entry '!AA1176)</f>
        <v/>
      </c>
      <c r="D2676">
        <f>IF(C2676="","",0)</f>
        <v/>
      </c>
      <c r="E2676">
        <f>IF(C2676="","",'Daily Sale entry '!AC1176)</f>
        <v/>
      </c>
      <c r="F2676" s="37">
        <f>IF(C2676="","",B2676+IF(E2676&gt;0,0,0.5)+ROW()/10000000)</f>
        <v/>
      </c>
      <c r="G2676">
        <f>IF(C2676="","","Collection 收款 (Online 网上)"&amp;IF('Daily Sale entry '!Y1176="",""," - "&amp;'Daily Sale entry '!Y1176))</f>
        <v/>
      </c>
      <c r="H2676">
        <f>IF(C2676="","",COUNTIFS($C$2:$C$3001,C2676,$F$2:$F$3001,"&lt;"&amp;F2676)+1)</f>
        <v/>
      </c>
      <c r="I2676">
        <f>IF(C2676="","",C2676&amp;"|"&amp;H2676)</f>
        <v/>
      </c>
      <c r="J2676" s="6">
        <f>IF(C2676="","",IF(H2676=1,SUMIFS('Opening Balance'!$F$4:$F$303,'Opening Balance'!$G$4:$G$303,C2676),INDEX($L$2:$L$3001,MATCH(C2676&amp;"|"&amp;(H2676-1),$I$2:$I$3001,0))))</f>
        <v/>
      </c>
      <c r="K2676" s="6">
        <f>IF(C2676="","",IF(M2676&gt;0,M2676,IF(AND(E2676&gt;0,ROUND(J2676+D2676-E2676,2)&gt;0,ROUND(J2676+D2676-E2676,2)&lt;'Opening Balance'!$B$14),ROUND(J2676+D2676-E2676,2),0)))</f>
        <v/>
      </c>
      <c r="L2676" s="6">
        <f>IF(C2676="","",ROUND(J2676+D2676-E2676-K2676,2))</f>
        <v/>
      </c>
      <c r="M2676" s="6">
        <f>IF(C2676="","",0)</f>
        <v/>
      </c>
    </row>
    <row r="2677">
      <c r="A2677" t="inlineStr">
        <is>
          <t>Bank 银行</t>
        </is>
      </c>
      <c r="B2677" s="5">
        <f>IF(AND('Daily Sale entry '!Z1177="Online collection 网上收款",'Daily Sale entry '!AA1177&lt;&gt;""),'Daily Sale entry '!X1177,"")</f>
        <v/>
      </c>
      <c r="C2677">
        <f>IF(B2677="","",'Daily Sale entry '!AA1177)</f>
        <v/>
      </c>
      <c r="D2677">
        <f>IF(C2677="","",0)</f>
        <v/>
      </c>
      <c r="E2677">
        <f>IF(C2677="","",'Daily Sale entry '!AC1177)</f>
        <v/>
      </c>
      <c r="F2677" s="37">
        <f>IF(C2677="","",B2677+IF(E2677&gt;0,0,0.5)+ROW()/10000000)</f>
        <v/>
      </c>
      <c r="G2677">
        <f>IF(C2677="","","Collection 收款 (Online 网上)"&amp;IF('Daily Sale entry '!Y1177="",""," - "&amp;'Daily Sale entry '!Y1177))</f>
        <v/>
      </c>
      <c r="H2677">
        <f>IF(C2677="","",COUNTIFS($C$2:$C$3001,C2677,$F$2:$F$3001,"&lt;"&amp;F2677)+1)</f>
        <v/>
      </c>
      <c r="I2677">
        <f>IF(C2677="","",C2677&amp;"|"&amp;H2677)</f>
        <v/>
      </c>
      <c r="J2677" s="6">
        <f>IF(C2677="","",IF(H2677=1,SUMIFS('Opening Balance'!$F$4:$F$303,'Opening Balance'!$G$4:$G$303,C2677),INDEX($L$2:$L$3001,MATCH(C2677&amp;"|"&amp;(H2677-1),$I$2:$I$3001,0))))</f>
        <v/>
      </c>
      <c r="K2677" s="6">
        <f>IF(C2677="","",IF(M2677&gt;0,M2677,IF(AND(E2677&gt;0,ROUND(J2677+D2677-E2677,2)&gt;0,ROUND(J2677+D2677-E2677,2)&lt;'Opening Balance'!$B$14),ROUND(J2677+D2677-E2677,2),0)))</f>
        <v/>
      </c>
      <c r="L2677" s="6">
        <f>IF(C2677="","",ROUND(J2677+D2677-E2677-K2677,2))</f>
        <v/>
      </c>
      <c r="M2677" s="6">
        <f>IF(C2677="","",0)</f>
        <v/>
      </c>
    </row>
    <row r="2678">
      <c r="A2678" t="inlineStr">
        <is>
          <t>Bank 银行</t>
        </is>
      </c>
      <c r="B2678" s="5">
        <f>IF(AND('Daily Sale entry '!Z1178="Online collection 网上收款",'Daily Sale entry '!AA1178&lt;&gt;""),'Daily Sale entry '!X1178,"")</f>
        <v/>
      </c>
      <c r="C2678">
        <f>IF(B2678="","",'Daily Sale entry '!AA1178)</f>
        <v/>
      </c>
      <c r="D2678">
        <f>IF(C2678="","",0)</f>
        <v/>
      </c>
      <c r="E2678">
        <f>IF(C2678="","",'Daily Sale entry '!AC1178)</f>
        <v/>
      </c>
      <c r="F2678" s="37">
        <f>IF(C2678="","",B2678+IF(E2678&gt;0,0,0.5)+ROW()/10000000)</f>
        <v/>
      </c>
      <c r="G2678">
        <f>IF(C2678="","","Collection 收款 (Online 网上)"&amp;IF('Daily Sale entry '!Y1178="",""," - "&amp;'Daily Sale entry '!Y1178))</f>
        <v/>
      </c>
      <c r="H2678">
        <f>IF(C2678="","",COUNTIFS($C$2:$C$3001,C2678,$F$2:$F$3001,"&lt;"&amp;F2678)+1)</f>
        <v/>
      </c>
      <c r="I2678">
        <f>IF(C2678="","",C2678&amp;"|"&amp;H2678)</f>
        <v/>
      </c>
      <c r="J2678" s="6">
        <f>IF(C2678="","",IF(H2678=1,SUMIFS('Opening Balance'!$F$4:$F$303,'Opening Balance'!$G$4:$G$303,C2678),INDEX($L$2:$L$3001,MATCH(C2678&amp;"|"&amp;(H2678-1),$I$2:$I$3001,0))))</f>
        <v/>
      </c>
      <c r="K2678" s="6">
        <f>IF(C2678="","",IF(M2678&gt;0,M2678,IF(AND(E2678&gt;0,ROUND(J2678+D2678-E2678,2)&gt;0,ROUND(J2678+D2678-E2678,2)&lt;'Opening Balance'!$B$14),ROUND(J2678+D2678-E2678,2),0)))</f>
        <v/>
      </c>
      <c r="L2678" s="6">
        <f>IF(C2678="","",ROUND(J2678+D2678-E2678-K2678,2))</f>
        <v/>
      </c>
      <c r="M2678" s="6">
        <f>IF(C2678="","",0)</f>
        <v/>
      </c>
    </row>
    <row r="2679">
      <c r="A2679" t="inlineStr">
        <is>
          <t>Bank 银行</t>
        </is>
      </c>
      <c r="B2679" s="5">
        <f>IF(AND('Daily Sale entry '!Z1179="Online collection 网上收款",'Daily Sale entry '!AA1179&lt;&gt;""),'Daily Sale entry '!X1179,"")</f>
        <v/>
      </c>
      <c r="C2679">
        <f>IF(B2679="","",'Daily Sale entry '!AA1179)</f>
        <v/>
      </c>
      <c r="D2679">
        <f>IF(C2679="","",0)</f>
        <v/>
      </c>
      <c r="E2679">
        <f>IF(C2679="","",'Daily Sale entry '!AC1179)</f>
        <v/>
      </c>
      <c r="F2679" s="37">
        <f>IF(C2679="","",B2679+IF(E2679&gt;0,0,0.5)+ROW()/10000000)</f>
        <v/>
      </c>
      <c r="G2679">
        <f>IF(C2679="","","Collection 收款 (Online 网上)"&amp;IF('Daily Sale entry '!Y1179="",""," - "&amp;'Daily Sale entry '!Y1179))</f>
        <v/>
      </c>
      <c r="H2679">
        <f>IF(C2679="","",COUNTIFS($C$2:$C$3001,C2679,$F$2:$F$3001,"&lt;"&amp;F2679)+1)</f>
        <v/>
      </c>
      <c r="I2679">
        <f>IF(C2679="","",C2679&amp;"|"&amp;H2679)</f>
        <v/>
      </c>
      <c r="J2679" s="6">
        <f>IF(C2679="","",IF(H2679=1,SUMIFS('Opening Balance'!$F$4:$F$303,'Opening Balance'!$G$4:$G$303,C2679),INDEX($L$2:$L$3001,MATCH(C2679&amp;"|"&amp;(H2679-1),$I$2:$I$3001,0))))</f>
        <v/>
      </c>
      <c r="K2679" s="6">
        <f>IF(C2679="","",IF(M2679&gt;0,M2679,IF(AND(E2679&gt;0,ROUND(J2679+D2679-E2679,2)&gt;0,ROUND(J2679+D2679-E2679,2)&lt;'Opening Balance'!$B$14),ROUND(J2679+D2679-E2679,2),0)))</f>
        <v/>
      </c>
      <c r="L2679" s="6">
        <f>IF(C2679="","",ROUND(J2679+D2679-E2679-K2679,2))</f>
        <v/>
      </c>
      <c r="M2679" s="6">
        <f>IF(C2679="","",0)</f>
        <v/>
      </c>
    </row>
    <row r="2680">
      <c r="A2680" t="inlineStr">
        <is>
          <t>Bank 银行</t>
        </is>
      </c>
      <c r="B2680" s="5">
        <f>IF(AND('Daily Sale entry '!Z1180="Online collection 网上收款",'Daily Sale entry '!AA1180&lt;&gt;""),'Daily Sale entry '!X1180,"")</f>
        <v/>
      </c>
      <c r="C2680">
        <f>IF(B2680="","",'Daily Sale entry '!AA1180)</f>
        <v/>
      </c>
      <c r="D2680">
        <f>IF(C2680="","",0)</f>
        <v/>
      </c>
      <c r="E2680">
        <f>IF(C2680="","",'Daily Sale entry '!AC1180)</f>
        <v/>
      </c>
      <c r="F2680" s="37">
        <f>IF(C2680="","",B2680+IF(E2680&gt;0,0,0.5)+ROW()/10000000)</f>
        <v/>
      </c>
      <c r="G2680">
        <f>IF(C2680="","","Collection 收款 (Online 网上)"&amp;IF('Daily Sale entry '!Y1180="",""," - "&amp;'Daily Sale entry '!Y1180))</f>
        <v/>
      </c>
      <c r="H2680">
        <f>IF(C2680="","",COUNTIFS($C$2:$C$3001,C2680,$F$2:$F$3001,"&lt;"&amp;F2680)+1)</f>
        <v/>
      </c>
      <c r="I2680">
        <f>IF(C2680="","",C2680&amp;"|"&amp;H2680)</f>
        <v/>
      </c>
      <c r="J2680" s="6">
        <f>IF(C2680="","",IF(H2680=1,SUMIFS('Opening Balance'!$F$4:$F$303,'Opening Balance'!$G$4:$G$303,C2680),INDEX($L$2:$L$3001,MATCH(C2680&amp;"|"&amp;(H2680-1),$I$2:$I$3001,0))))</f>
        <v/>
      </c>
      <c r="K2680" s="6">
        <f>IF(C2680="","",IF(M2680&gt;0,M2680,IF(AND(E2680&gt;0,ROUND(J2680+D2680-E2680,2)&gt;0,ROUND(J2680+D2680-E2680,2)&lt;'Opening Balance'!$B$14),ROUND(J2680+D2680-E2680,2),0)))</f>
        <v/>
      </c>
      <c r="L2680" s="6">
        <f>IF(C2680="","",ROUND(J2680+D2680-E2680-K2680,2))</f>
        <v/>
      </c>
      <c r="M2680" s="6">
        <f>IF(C2680="","",0)</f>
        <v/>
      </c>
    </row>
    <row r="2681">
      <c r="A2681" t="inlineStr">
        <is>
          <t>Bank 银行</t>
        </is>
      </c>
      <c r="B2681" s="5">
        <f>IF(AND('Daily Sale entry '!Z1181="Online collection 网上收款",'Daily Sale entry '!AA1181&lt;&gt;""),'Daily Sale entry '!X1181,"")</f>
        <v/>
      </c>
      <c r="C2681">
        <f>IF(B2681="","",'Daily Sale entry '!AA1181)</f>
        <v/>
      </c>
      <c r="D2681">
        <f>IF(C2681="","",0)</f>
        <v/>
      </c>
      <c r="E2681">
        <f>IF(C2681="","",'Daily Sale entry '!AC1181)</f>
        <v/>
      </c>
      <c r="F2681" s="37">
        <f>IF(C2681="","",B2681+IF(E2681&gt;0,0,0.5)+ROW()/10000000)</f>
        <v/>
      </c>
      <c r="G2681">
        <f>IF(C2681="","","Collection 收款 (Online 网上)"&amp;IF('Daily Sale entry '!Y1181="",""," - "&amp;'Daily Sale entry '!Y1181))</f>
        <v/>
      </c>
      <c r="H2681">
        <f>IF(C2681="","",COUNTIFS($C$2:$C$3001,C2681,$F$2:$F$3001,"&lt;"&amp;F2681)+1)</f>
        <v/>
      </c>
      <c r="I2681">
        <f>IF(C2681="","",C2681&amp;"|"&amp;H2681)</f>
        <v/>
      </c>
      <c r="J2681" s="6">
        <f>IF(C2681="","",IF(H2681=1,SUMIFS('Opening Balance'!$F$4:$F$303,'Opening Balance'!$G$4:$G$303,C2681),INDEX($L$2:$L$3001,MATCH(C2681&amp;"|"&amp;(H2681-1),$I$2:$I$3001,0))))</f>
        <v/>
      </c>
      <c r="K2681" s="6">
        <f>IF(C2681="","",IF(M2681&gt;0,M2681,IF(AND(E2681&gt;0,ROUND(J2681+D2681-E2681,2)&gt;0,ROUND(J2681+D2681-E2681,2)&lt;'Opening Balance'!$B$14),ROUND(J2681+D2681-E2681,2),0)))</f>
        <v/>
      </c>
      <c r="L2681" s="6">
        <f>IF(C2681="","",ROUND(J2681+D2681-E2681-K2681,2))</f>
        <v/>
      </c>
      <c r="M2681" s="6">
        <f>IF(C2681="","",0)</f>
        <v/>
      </c>
    </row>
    <row r="2682">
      <c r="A2682" t="inlineStr">
        <is>
          <t>Bank 银行</t>
        </is>
      </c>
      <c r="B2682" s="5">
        <f>IF(AND('Daily Sale entry '!Z1182="Online collection 网上收款",'Daily Sale entry '!AA1182&lt;&gt;""),'Daily Sale entry '!X1182,"")</f>
        <v/>
      </c>
      <c r="C2682">
        <f>IF(B2682="","",'Daily Sale entry '!AA1182)</f>
        <v/>
      </c>
      <c r="D2682">
        <f>IF(C2682="","",0)</f>
        <v/>
      </c>
      <c r="E2682">
        <f>IF(C2682="","",'Daily Sale entry '!AC1182)</f>
        <v/>
      </c>
      <c r="F2682" s="37">
        <f>IF(C2682="","",B2682+IF(E2682&gt;0,0,0.5)+ROW()/10000000)</f>
        <v/>
      </c>
      <c r="G2682">
        <f>IF(C2682="","","Collection 收款 (Online 网上)"&amp;IF('Daily Sale entry '!Y1182="",""," - "&amp;'Daily Sale entry '!Y1182))</f>
        <v/>
      </c>
      <c r="H2682">
        <f>IF(C2682="","",COUNTIFS($C$2:$C$3001,C2682,$F$2:$F$3001,"&lt;"&amp;F2682)+1)</f>
        <v/>
      </c>
      <c r="I2682">
        <f>IF(C2682="","",C2682&amp;"|"&amp;H2682)</f>
        <v/>
      </c>
      <c r="J2682" s="6">
        <f>IF(C2682="","",IF(H2682=1,SUMIFS('Opening Balance'!$F$4:$F$303,'Opening Balance'!$G$4:$G$303,C2682),INDEX($L$2:$L$3001,MATCH(C2682&amp;"|"&amp;(H2682-1),$I$2:$I$3001,0))))</f>
        <v/>
      </c>
      <c r="K2682" s="6">
        <f>IF(C2682="","",IF(M2682&gt;0,M2682,IF(AND(E2682&gt;0,ROUND(J2682+D2682-E2682,2)&gt;0,ROUND(J2682+D2682-E2682,2)&lt;'Opening Balance'!$B$14),ROUND(J2682+D2682-E2682,2),0)))</f>
        <v/>
      </c>
      <c r="L2682" s="6">
        <f>IF(C2682="","",ROUND(J2682+D2682-E2682-K2682,2))</f>
        <v/>
      </c>
      <c r="M2682" s="6">
        <f>IF(C2682="","",0)</f>
        <v/>
      </c>
    </row>
    <row r="2683">
      <c r="A2683" t="inlineStr">
        <is>
          <t>Bank 银行</t>
        </is>
      </c>
      <c r="B2683" s="5">
        <f>IF(AND('Daily Sale entry '!Z1183="Online collection 网上收款",'Daily Sale entry '!AA1183&lt;&gt;""),'Daily Sale entry '!X1183,"")</f>
        <v/>
      </c>
      <c r="C2683">
        <f>IF(B2683="","",'Daily Sale entry '!AA1183)</f>
        <v/>
      </c>
      <c r="D2683">
        <f>IF(C2683="","",0)</f>
        <v/>
      </c>
      <c r="E2683">
        <f>IF(C2683="","",'Daily Sale entry '!AC1183)</f>
        <v/>
      </c>
      <c r="F2683" s="37">
        <f>IF(C2683="","",B2683+IF(E2683&gt;0,0,0.5)+ROW()/10000000)</f>
        <v/>
      </c>
      <c r="G2683">
        <f>IF(C2683="","","Collection 收款 (Online 网上)"&amp;IF('Daily Sale entry '!Y1183="",""," - "&amp;'Daily Sale entry '!Y1183))</f>
        <v/>
      </c>
      <c r="H2683">
        <f>IF(C2683="","",COUNTIFS($C$2:$C$3001,C2683,$F$2:$F$3001,"&lt;"&amp;F2683)+1)</f>
        <v/>
      </c>
      <c r="I2683">
        <f>IF(C2683="","",C2683&amp;"|"&amp;H2683)</f>
        <v/>
      </c>
      <c r="J2683" s="6">
        <f>IF(C2683="","",IF(H2683=1,SUMIFS('Opening Balance'!$F$4:$F$303,'Opening Balance'!$G$4:$G$303,C2683),INDEX($L$2:$L$3001,MATCH(C2683&amp;"|"&amp;(H2683-1),$I$2:$I$3001,0))))</f>
        <v/>
      </c>
      <c r="K2683" s="6">
        <f>IF(C2683="","",IF(M2683&gt;0,M2683,IF(AND(E2683&gt;0,ROUND(J2683+D2683-E2683,2)&gt;0,ROUND(J2683+D2683-E2683,2)&lt;'Opening Balance'!$B$14),ROUND(J2683+D2683-E2683,2),0)))</f>
        <v/>
      </c>
      <c r="L2683" s="6">
        <f>IF(C2683="","",ROUND(J2683+D2683-E2683-K2683,2))</f>
        <v/>
      </c>
      <c r="M2683" s="6">
        <f>IF(C2683="","",0)</f>
        <v/>
      </c>
    </row>
    <row r="2684">
      <c r="A2684" t="inlineStr">
        <is>
          <t>Bank 银行</t>
        </is>
      </c>
      <c r="B2684" s="5">
        <f>IF(AND('Daily Sale entry '!Z1184="Online collection 网上收款",'Daily Sale entry '!AA1184&lt;&gt;""),'Daily Sale entry '!X1184,"")</f>
        <v/>
      </c>
      <c r="C2684">
        <f>IF(B2684="","",'Daily Sale entry '!AA1184)</f>
        <v/>
      </c>
      <c r="D2684">
        <f>IF(C2684="","",0)</f>
        <v/>
      </c>
      <c r="E2684">
        <f>IF(C2684="","",'Daily Sale entry '!AC1184)</f>
        <v/>
      </c>
      <c r="F2684" s="37">
        <f>IF(C2684="","",B2684+IF(E2684&gt;0,0,0.5)+ROW()/10000000)</f>
        <v/>
      </c>
      <c r="G2684">
        <f>IF(C2684="","","Collection 收款 (Online 网上)"&amp;IF('Daily Sale entry '!Y1184="",""," - "&amp;'Daily Sale entry '!Y1184))</f>
        <v/>
      </c>
      <c r="H2684">
        <f>IF(C2684="","",COUNTIFS($C$2:$C$3001,C2684,$F$2:$F$3001,"&lt;"&amp;F2684)+1)</f>
        <v/>
      </c>
      <c r="I2684">
        <f>IF(C2684="","",C2684&amp;"|"&amp;H2684)</f>
        <v/>
      </c>
      <c r="J2684" s="6">
        <f>IF(C2684="","",IF(H2684=1,SUMIFS('Opening Balance'!$F$4:$F$303,'Opening Balance'!$G$4:$G$303,C2684),INDEX($L$2:$L$3001,MATCH(C2684&amp;"|"&amp;(H2684-1),$I$2:$I$3001,0))))</f>
        <v/>
      </c>
      <c r="K2684" s="6">
        <f>IF(C2684="","",IF(M2684&gt;0,M2684,IF(AND(E2684&gt;0,ROUND(J2684+D2684-E2684,2)&gt;0,ROUND(J2684+D2684-E2684,2)&lt;'Opening Balance'!$B$14),ROUND(J2684+D2684-E2684,2),0)))</f>
        <v/>
      </c>
      <c r="L2684" s="6">
        <f>IF(C2684="","",ROUND(J2684+D2684-E2684-K2684,2))</f>
        <v/>
      </c>
      <c r="M2684" s="6">
        <f>IF(C2684="","",0)</f>
        <v/>
      </c>
    </row>
    <row r="2685">
      <c r="A2685" t="inlineStr">
        <is>
          <t>Bank 银行</t>
        </is>
      </c>
      <c r="B2685" s="5">
        <f>IF(AND('Daily Sale entry '!Z1185="Online collection 网上收款",'Daily Sale entry '!AA1185&lt;&gt;""),'Daily Sale entry '!X1185,"")</f>
        <v/>
      </c>
      <c r="C2685">
        <f>IF(B2685="","",'Daily Sale entry '!AA1185)</f>
        <v/>
      </c>
      <c r="D2685">
        <f>IF(C2685="","",0)</f>
        <v/>
      </c>
      <c r="E2685">
        <f>IF(C2685="","",'Daily Sale entry '!AC1185)</f>
        <v/>
      </c>
      <c r="F2685" s="37">
        <f>IF(C2685="","",B2685+IF(E2685&gt;0,0,0.5)+ROW()/10000000)</f>
        <v/>
      </c>
      <c r="G2685">
        <f>IF(C2685="","","Collection 收款 (Online 网上)"&amp;IF('Daily Sale entry '!Y1185="",""," - "&amp;'Daily Sale entry '!Y1185))</f>
        <v/>
      </c>
      <c r="H2685">
        <f>IF(C2685="","",COUNTIFS($C$2:$C$3001,C2685,$F$2:$F$3001,"&lt;"&amp;F2685)+1)</f>
        <v/>
      </c>
      <c r="I2685">
        <f>IF(C2685="","",C2685&amp;"|"&amp;H2685)</f>
        <v/>
      </c>
      <c r="J2685" s="6">
        <f>IF(C2685="","",IF(H2685=1,SUMIFS('Opening Balance'!$F$4:$F$303,'Opening Balance'!$G$4:$G$303,C2685),INDEX($L$2:$L$3001,MATCH(C2685&amp;"|"&amp;(H2685-1),$I$2:$I$3001,0))))</f>
        <v/>
      </c>
      <c r="K2685" s="6">
        <f>IF(C2685="","",IF(M2685&gt;0,M2685,IF(AND(E2685&gt;0,ROUND(J2685+D2685-E2685,2)&gt;0,ROUND(J2685+D2685-E2685,2)&lt;'Opening Balance'!$B$14),ROUND(J2685+D2685-E2685,2),0)))</f>
        <v/>
      </c>
      <c r="L2685" s="6">
        <f>IF(C2685="","",ROUND(J2685+D2685-E2685-K2685,2))</f>
        <v/>
      </c>
      <c r="M2685" s="6">
        <f>IF(C2685="","",0)</f>
        <v/>
      </c>
    </row>
    <row r="2686">
      <c r="A2686" t="inlineStr">
        <is>
          <t>Bank 银行</t>
        </is>
      </c>
      <c r="B2686" s="5">
        <f>IF(AND('Daily Sale entry '!Z1186="Online collection 网上收款",'Daily Sale entry '!AA1186&lt;&gt;""),'Daily Sale entry '!X1186,"")</f>
        <v/>
      </c>
      <c r="C2686">
        <f>IF(B2686="","",'Daily Sale entry '!AA1186)</f>
        <v/>
      </c>
      <c r="D2686">
        <f>IF(C2686="","",0)</f>
        <v/>
      </c>
      <c r="E2686">
        <f>IF(C2686="","",'Daily Sale entry '!AC1186)</f>
        <v/>
      </c>
      <c r="F2686" s="37">
        <f>IF(C2686="","",B2686+IF(E2686&gt;0,0,0.5)+ROW()/10000000)</f>
        <v/>
      </c>
      <c r="G2686">
        <f>IF(C2686="","","Collection 收款 (Online 网上)"&amp;IF('Daily Sale entry '!Y1186="",""," - "&amp;'Daily Sale entry '!Y1186))</f>
        <v/>
      </c>
      <c r="H2686">
        <f>IF(C2686="","",COUNTIFS($C$2:$C$3001,C2686,$F$2:$F$3001,"&lt;"&amp;F2686)+1)</f>
        <v/>
      </c>
      <c r="I2686">
        <f>IF(C2686="","",C2686&amp;"|"&amp;H2686)</f>
        <v/>
      </c>
      <c r="J2686" s="6">
        <f>IF(C2686="","",IF(H2686=1,SUMIFS('Opening Balance'!$F$4:$F$303,'Opening Balance'!$G$4:$G$303,C2686),INDEX($L$2:$L$3001,MATCH(C2686&amp;"|"&amp;(H2686-1),$I$2:$I$3001,0))))</f>
        <v/>
      </c>
      <c r="K2686" s="6">
        <f>IF(C2686="","",IF(M2686&gt;0,M2686,IF(AND(E2686&gt;0,ROUND(J2686+D2686-E2686,2)&gt;0,ROUND(J2686+D2686-E2686,2)&lt;'Opening Balance'!$B$14),ROUND(J2686+D2686-E2686,2),0)))</f>
        <v/>
      </c>
      <c r="L2686" s="6">
        <f>IF(C2686="","",ROUND(J2686+D2686-E2686-K2686,2))</f>
        <v/>
      </c>
      <c r="M2686" s="6">
        <f>IF(C2686="","",0)</f>
        <v/>
      </c>
    </row>
    <row r="2687">
      <c r="A2687" t="inlineStr">
        <is>
          <t>Bank 银行</t>
        </is>
      </c>
      <c r="B2687" s="5">
        <f>IF(AND('Daily Sale entry '!Z1187="Online collection 网上收款",'Daily Sale entry '!AA1187&lt;&gt;""),'Daily Sale entry '!X1187,"")</f>
        <v/>
      </c>
      <c r="C2687">
        <f>IF(B2687="","",'Daily Sale entry '!AA1187)</f>
        <v/>
      </c>
      <c r="D2687">
        <f>IF(C2687="","",0)</f>
        <v/>
      </c>
      <c r="E2687">
        <f>IF(C2687="","",'Daily Sale entry '!AC1187)</f>
        <v/>
      </c>
      <c r="F2687" s="37">
        <f>IF(C2687="","",B2687+IF(E2687&gt;0,0,0.5)+ROW()/10000000)</f>
        <v/>
      </c>
      <c r="G2687">
        <f>IF(C2687="","","Collection 收款 (Online 网上)"&amp;IF('Daily Sale entry '!Y1187="",""," - "&amp;'Daily Sale entry '!Y1187))</f>
        <v/>
      </c>
      <c r="H2687">
        <f>IF(C2687="","",COUNTIFS($C$2:$C$3001,C2687,$F$2:$F$3001,"&lt;"&amp;F2687)+1)</f>
        <v/>
      </c>
      <c r="I2687">
        <f>IF(C2687="","",C2687&amp;"|"&amp;H2687)</f>
        <v/>
      </c>
      <c r="J2687" s="6">
        <f>IF(C2687="","",IF(H2687=1,SUMIFS('Opening Balance'!$F$4:$F$303,'Opening Balance'!$G$4:$G$303,C2687),INDEX($L$2:$L$3001,MATCH(C2687&amp;"|"&amp;(H2687-1),$I$2:$I$3001,0))))</f>
        <v/>
      </c>
      <c r="K2687" s="6">
        <f>IF(C2687="","",IF(M2687&gt;0,M2687,IF(AND(E2687&gt;0,ROUND(J2687+D2687-E2687,2)&gt;0,ROUND(J2687+D2687-E2687,2)&lt;'Opening Balance'!$B$14),ROUND(J2687+D2687-E2687,2),0)))</f>
        <v/>
      </c>
      <c r="L2687" s="6">
        <f>IF(C2687="","",ROUND(J2687+D2687-E2687-K2687,2))</f>
        <v/>
      </c>
      <c r="M2687" s="6">
        <f>IF(C2687="","",0)</f>
        <v/>
      </c>
    </row>
    <row r="2688">
      <c r="A2688" t="inlineStr">
        <is>
          <t>Bank 银行</t>
        </is>
      </c>
      <c r="B2688" s="5">
        <f>IF(AND('Daily Sale entry '!Z1188="Online collection 网上收款",'Daily Sale entry '!AA1188&lt;&gt;""),'Daily Sale entry '!X1188,"")</f>
        <v/>
      </c>
      <c r="C2688">
        <f>IF(B2688="","",'Daily Sale entry '!AA1188)</f>
        <v/>
      </c>
      <c r="D2688">
        <f>IF(C2688="","",0)</f>
        <v/>
      </c>
      <c r="E2688">
        <f>IF(C2688="","",'Daily Sale entry '!AC1188)</f>
        <v/>
      </c>
      <c r="F2688" s="37">
        <f>IF(C2688="","",B2688+IF(E2688&gt;0,0,0.5)+ROW()/10000000)</f>
        <v/>
      </c>
      <c r="G2688">
        <f>IF(C2688="","","Collection 收款 (Online 网上)"&amp;IF('Daily Sale entry '!Y1188="",""," - "&amp;'Daily Sale entry '!Y1188))</f>
        <v/>
      </c>
      <c r="H2688">
        <f>IF(C2688="","",COUNTIFS($C$2:$C$3001,C2688,$F$2:$F$3001,"&lt;"&amp;F2688)+1)</f>
        <v/>
      </c>
      <c r="I2688">
        <f>IF(C2688="","",C2688&amp;"|"&amp;H2688)</f>
        <v/>
      </c>
      <c r="J2688" s="6">
        <f>IF(C2688="","",IF(H2688=1,SUMIFS('Opening Balance'!$F$4:$F$303,'Opening Balance'!$G$4:$G$303,C2688),INDEX($L$2:$L$3001,MATCH(C2688&amp;"|"&amp;(H2688-1),$I$2:$I$3001,0))))</f>
        <v/>
      </c>
      <c r="K2688" s="6">
        <f>IF(C2688="","",IF(M2688&gt;0,M2688,IF(AND(E2688&gt;0,ROUND(J2688+D2688-E2688,2)&gt;0,ROUND(J2688+D2688-E2688,2)&lt;'Opening Balance'!$B$14),ROUND(J2688+D2688-E2688,2),0)))</f>
        <v/>
      </c>
      <c r="L2688" s="6">
        <f>IF(C2688="","",ROUND(J2688+D2688-E2688-K2688,2))</f>
        <v/>
      </c>
      <c r="M2688" s="6">
        <f>IF(C2688="","",0)</f>
        <v/>
      </c>
    </row>
    <row r="2689">
      <c r="A2689" t="inlineStr">
        <is>
          <t>Bank 银行</t>
        </is>
      </c>
      <c r="B2689" s="5">
        <f>IF(AND('Daily Sale entry '!Z1189="Online collection 网上收款",'Daily Sale entry '!AA1189&lt;&gt;""),'Daily Sale entry '!X1189,"")</f>
        <v/>
      </c>
      <c r="C2689">
        <f>IF(B2689="","",'Daily Sale entry '!AA1189)</f>
        <v/>
      </c>
      <c r="D2689">
        <f>IF(C2689="","",0)</f>
        <v/>
      </c>
      <c r="E2689">
        <f>IF(C2689="","",'Daily Sale entry '!AC1189)</f>
        <v/>
      </c>
      <c r="F2689" s="37">
        <f>IF(C2689="","",B2689+IF(E2689&gt;0,0,0.5)+ROW()/10000000)</f>
        <v/>
      </c>
      <c r="G2689">
        <f>IF(C2689="","","Collection 收款 (Online 网上)"&amp;IF('Daily Sale entry '!Y1189="",""," - "&amp;'Daily Sale entry '!Y1189))</f>
        <v/>
      </c>
      <c r="H2689">
        <f>IF(C2689="","",COUNTIFS($C$2:$C$3001,C2689,$F$2:$F$3001,"&lt;"&amp;F2689)+1)</f>
        <v/>
      </c>
      <c r="I2689">
        <f>IF(C2689="","",C2689&amp;"|"&amp;H2689)</f>
        <v/>
      </c>
      <c r="J2689" s="6">
        <f>IF(C2689="","",IF(H2689=1,SUMIFS('Opening Balance'!$F$4:$F$303,'Opening Balance'!$G$4:$G$303,C2689),INDEX($L$2:$L$3001,MATCH(C2689&amp;"|"&amp;(H2689-1),$I$2:$I$3001,0))))</f>
        <v/>
      </c>
      <c r="K2689" s="6">
        <f>IF(C2689="","",IF(M2689&gt;0,M2689,IF(AND(E2689&gt;0,ROUND(J2689+D2689-E2689,2)&gt;0,ROUND(J2689+D2689-E2689,2)&lt;'Opening Balance'!$B$14),ROUND(J2689+D2689-E2689,2),0)))</f>
        <v/>
      </c>
      <c r="L2689" s="6">
        <f>IF(C2689="","",ROUND(J2689+D2689-E2689-K2689,2))</f>
        <v/>
      </c>
      <c r="M2689" s="6">
        <f>IF(C2689="","",0)</f>
        <v/>
      </c>
    </row>
    <row r="2690">
      <c r="A2690" t="inlineStr">
        <is>
          <t>Bank 银行</t>
        </is>
      </c>
      <c r="B2690" s="5">
        <f>IF(AND('Daily Sale entry '!Z1190="Online collection 网上收款",'Daily Sale entry '!AA1190&lt;&gt;""),'Daily Sale entry '!X1190,"")</f>
        <v/>
      </c>
      <c r="C2690">
        <f>IF(B2690="","",'Daily Sale entry '!AA1190)</f>
        <v/>
      </c>
      <c r="D2690">
        <f>IF(C2690="","",0)</f>
        <v/>
      </c>
      <c r="E2690">
        <f>IF(C2690="","",'Daily Sale entry '!AC1190)</f>
        <v/>
      </c>
      <c r="F2690" s="37">
        <f>IF(C2690="","",B2690+IF(E2690&gt;0,0,0.5)+ROW()/10000000)</f>
        <v/>
      </c>
      <c r="G2690">
        <f>IF(C2690="","","Collection 收款 (Online 网上)"&amp;IF('Daily Sale entry '!Y1190="",""," - "&amp;'Daily Sale entry '!Y1190))</f>
        <v/>
      </c>
      <c r="H2690">
        <f>IF(C2690="","",COUNTIFS($C$2:$C$3001,C2690,$F$2:$F$3001,"&lt;"&amp;F2690)+1)</f>
        <v/>
      </c>
      <c r="I2690">
        <f>IF(C2690="","",C2690&amp;"|"&amp;H2690)</f>
        <v/>
      </c>
      <c r="J2690" s="6">
        <f>IF(C2690="","",IF(H2690=1,SUMIFS('Opening Balance'!$F$4:$F$303,'Opening Balance'!$G$4:$G$303,C2690),INDEX($L$2:$L$3001,MATCH(C2690&amp;"|"&amp;(H2690-1),$I$2:$I$3001,0))))</f>
        <v/>
      </c>
      <c r="K2690" s="6">
        <f>IF(C2690="","",IF(M2690&gt;0,M2690,IF(AND(E2690&gt;0,ROUND(J2690+D2690-E2690,2)&gt;0,ROUND(J2690+D2690-E2690,2)&lt;'Opening Balance'!$B$14),ROUND(J2690+D2690-E2690,2),0)))</f>
        <v/>
      </c>
      <c r="L2690" s="6">
        <f>IF(C2690="","",ROUND(J2690+D2690-E2690-K2690,2))</f>
        <v/>
      </c>
      <c r="M2690" s="6">
        <f>IF(C2690="","",0)</f>
        <v/>
      </c>
    </row>
    <row r="2691">
      <c r="A2691" t="inlineStr">
        <is>
          <t>Bank 银行</t>
        </is>
      </c>
      <c r="B2691" s="5">
        <f>IF(AND('Daily Sale entry '!Z1191="Online collection 网上收款",'Daily Sale entry '!AA1191&lt;&gt;""),'Daily Sale entry '!X1191,"")</f>
        <v/>
      </c>
      <c r="C2691">
        <f>IF(B2691="","",'Daily Sale entry '!AA1191)</f>
        <v/>
      </c>
      <c r="D2691">
        <f>IF(C2691="","",0)</f>
        <v/>
      </c>
      <c r="E2691">
        <f>IF(C2691="","",'Daily Sale entry '!AC1191)</f>
        <v/>
      </c>
      <c r="F2691" s="37">
        <f>IF(C2691="","",B2691+IF(E2691&gt;0,0,0.5)+ROW()/10000000)</f>
        <v/>
      </c>
      <c r="G2691">
        <f>IF(C2691="","","Collection 收款 (Online 网上)"&amp;IF('Daily Sale entry '!Y1191="",""," - "&amp;'Daily Sale entry '!Y1191))</f>
        <v/>
      </c>
      <c r="H2691">
        <f>IF(C2691="","",COUNTIFS($C$2:$C$3001,C2691,$F$2:$F$3001,"&lt;"&amp;F2691)+1)</f>
        <v/>
      </c>
      <c r="I2691">
        <f>IF(C2691="","",C2691&amp;"|"&amp;H2691)</f>
        <v/>
      </c>
      <c r="J2691" s="6">
        <f>IF(C2691="","",IF(H2691=1,SUMIFS('Opening Balance'!$F$4:$F$303,'Opening Balance'!$G$4:$G$303,C2691),INDEX($L$2:$L$3001,MATCH(C2691&amp;"|"&amp;(H2691-1),$I$2:$I$3001,0))))</f>
        <v/>
      </c>
      <c r="K2691" s="6">
        <f>IF(C2691="","",IF(M2691&gt;0,M2691,IF(AND(E2691&gt;0,ROUND(J2691+D2691-E2691,2)&gt;0,ROUND(J2691+D2691-E2691,2)&lt;'Opening Balance'!$B$14),ROUND(J2691+D2691-E2691,2),0)))</f>
        <v/>
      </c>
      <c r="L2691" s="6">
        <f>IF(C2691="","",ROUND(J2691+D2691-E2691-K2691,2))</f>
        <v/>
      </c>
      <c r="M2691" s="6">
        <f>IF(C2691="","",0)</f>
        <v/>
      </c>
    </row>
    <row r="2692">
      <c r="A2692" t="inlineStr">
        <is>
          <t>Bank 银行</t>
        </is>
      </c>
      <c r="B2692" s="5">
        <f>IF(AND('Daily Sale entry '!Z1192="Online collection 网上收款",'Daily Sale entry '!AA1192&lt;&gt;""),'Daily Sale entry '!X1192,"")</f>
        <v/>
      </c>
      <c r="C2692">
        <f>IF(B2692="","",'Daily Sale entry '!AA1192)</f>
        <v/>
      </c>
      <c r="D2692">
        <f>IF(C2692="","",0)</f>
        <v/>
      </c>
      <c r="E2692">
        <f>IF(C2692="","",'Daily Sale entry '!AC1192)</f>
        <v/>
      </c>
      <c r="F2692" s="37">
        <f>IF(C2692="","",B2692+IF(E2692&gt;0,0,0.5)+ROW()/10000000)</f>
        <v/>
      </c>
      <c r="G2692">
        <f>IF(C2692="","","Collection 收款 (Online 网上)"&amp;IF('Daily Sale entry '!Y1192="",""," - "&amp;'Daily Sale entry '!Y1192))</f>
        <v/>
      </c>
      <c r="H2692">
        <f>IF(C2692="","",COUNTIFS($C$2:$C$3001,C2692,$F$2:$F$3001,"&lt;"&amp;F2692)+1)</f>
        <v/>
      </c>
      <c r="I2692">
        <f>IF(C2692="","",C2692&amp;"|"&amp;H2692)</f>
        <v/>
      </c>
      <c r="J2692" s="6">
        <f>IF(C2692="","",IF(H2692=1,SUMIFS('Opening Balance'!$F$4:$F$303,'Opening Balance'!$G$4:$G$303,C2692),INDEX($L$2:$L$3001,MATCH(C2692&amp;"|"&amp;(H2692-1),$I$2:$I$3001,0))))</f>
        <v/>
      </c>
      <c r="K2692" s="6">
        <f>IF(C2692="","",IF(M2692&gt;0,M2692,IF(AND(E2692&gt;0,ROUND(J2692+D2692-E2692,2)&gt;0,ROUND(J2692+D2692-E2692,2)&lt;'Opening Balance'!$B$14),ROUND(J2692+D2692-E2692,2),0)))</f>
        <v/>
      </c>
      <c r="L2692" s="6">
        <f>IF(C2692="","",ROUND(J2692+D2692-E2692-K2692,2))</f>
        <v/>
      </c>
      <c r="M2692" s="6">
        <f>IF(C2692="","",0)</f>
        <v/>
      </c>
    </row>
    <row r="2693">
      <c r="A2693" t="inlineStr">
        <is>
          <t>Bank 银行</t>
        </is>
      </c>
      <c r="B2693" s="5">
        <f>IF(AND('Daily Sale entry '!Z1193="Online collection 网上收款",'Daily Sale entry '!AA1193&lt;&gt;""),'Daily Sale entry '!X1193,"")</f>
        <v/>
      </c>
      <c r="C2693">
        <f>IF(B2693="","",'Daily Sale entry '!AA1193)</f>
        <v/>
      </c>
      <c r="D2693">
        <f>IF(C2693="","",0)</f>
        <v/>
      </c>
      <c r="E2693">
        <f>IF(C2693="","",'Daily Sale entry '!AC1193)</f>
        <v/>
      </c>
      <c r="F2693" s="37">
        <f>IF(C2693="","",B2693+IF(E2693&gt;0,0,0.5)+ROW()/10000000)</f>
        <v/>
      </c>
      <c r="G2693">
        <f>IF(C2693="","","Collection 收款 (Online 网上)"&amp;IF('Daily Sale entry '!Y1193="",""," - "&amp;'Daily Sale entry '!Y1193))</f>
        <v/>
      </c>
      <c r="H2693">
        <f>IF(C2693="","",COUNTIFS($C$2:$C$3001,C2693,$F$2:$F$3001,"&lt;"&amp;F2693)+1)</f>
        <v/>
      </c>
      <c r="I2693">
        <f>IF(C2693="","",C2693&amp;"|"&amp;H2693)</f>
        <v/>
      </c>
      <c r="J2693" s="6">
        <f>IF(C2693="","",IF(H2693=1,SUMIFS('Opening Balance'!$F$4:$F$303,'Opening Balance'!$G$4:$G$303,C2693),INDEX($L$2:$L$3001,MATCH(C2693&amp;"|"&amp;(H2693-1),$I$2:$I$3001,0))))</f>
        <v/>
      </c>
      <c r="K2693" s="6">
        <f>IF(C2693="","",IF(M2693&gt;0,M2693,IF(AND(E2693&gt;0,ROUND(J2693+D2693-E2693,2)&gt;0,ROUND(J2693+D2693-E2693,2)&lt;'Opening Balance'!$B$14),ROUND(J2693+D2693-E2693,2),0)))</f>
        <v/>
      </c>
      <c r="L2693" s="6">
        <f>IF(C2693="","",ROUND(J2693+D2693-E2693-K2693,2))</f>
        <v/>
      </c>
      <c r="M2693" s="6">
        <f>IF(C2693="","",0)</f>
        <v/>
      </c>
    </row>
    <row r="2694">
      <c r="A2694" t="inlineStr">
        <is>
          <t>Bank 银行</t>
        </is>
      </c>
      <c r="B2694" s="5">
        <f>IF(AND('Daily Sale entry '!Z1194="Online collection 网上收款",'Daily Sale entry '!AA1194&lt;&gt;""),'Daily Sale entry '!X1194,"")</f>
        <v/>
      </c>
      <c r="C2694">
        <f>IF(B2694="","",'Daily Sale entry '!AA1194)</f>
        <v/>
      </c>
      <c r="D2694">
        <f>IF(C2694="","",0)</f>
        <v/>
      </c>
      <c r="E2694">
        <f>IF(C2694="","",'Daily Sale entry '!AC1194)</f>
        <v/>
      </c>
      <c r="F2694" s="37">
        <f>IF(C2694="","",B2694+IF(E2694&gt;0,0,0.5)+ROW()/10000000)</f>
        <v/>
      </c>
      <c r="G2694">
        <f>IF(C2694="","","Collection 收款 (Online 网上)"&amp;IF('Daily Sale entry '!Y1194="",""," - "&amp;'Daily Sale entry '!Y1194))</f>
        <v/>
      </c>
      <c r="H2694">
        <f>IF(C2694="","",COUNTIFS($C$2:$C$3001,C2694,$F$2:$F$3001,"&lt;"&amp;F2694)+1)</f>
        <v/>
      </c>
      <c r="I2694">
        <f>IF(C2694="","",C2694&amp;"|"&amp;H2694)</f>
        <v/>
      </c>
      <c r="J2694" s="6">
        <f>IF(C2694="","",IF(H2694=1,SUMIFS('Opening Balance'!$F$4:$F$303,'Opening Balance'!$G$4:$G$303,C2694),INDEX($L$2:$L$3001,MATCH(C2694&amp;"|"&amp;(H2694-1),$I$2:$I$3001,0))))</f>
        <v/>
      </c>
      <c r="K2694" s="6">
        <f>IF(C2694="","",IF(M2694&gt;0,M2694,IF(AND(E2694&gt;0,ROUND(J2694+D2694-E2694,2)&gt;0,ROUND(J2694+D2694-E2694,2)&lt;'Opening Balance'!$B$14),ROUND(J2694+D2694-E2694,2),0)))</f>
        <v/>
      </c>
      <c r="L2694" s="6">
        <f>IF(C2694="","",ROUND(J2694+D2694-E2694-K2694,2))</f>
        <v/>
      </c>
      <c r="M2694" s="6">
        <f>IF(C2694="","",0)</f>
        <v/>
      </c>
    </row>
    <row r="2695">
      <c r="A2695" t="inlineStr">
        <is>
          <t>Bank 银行</t>
        </is>
      </c>
      <c r="B2695" s="5">
        <f>IF(AND('Daily Sale entry '!Z1195="Online collection 网上收款",'Daily Sale entry '!AA1195&lt;&gt;""),'Daily Sale entry '!X1195,"")</f>
        <v/>
      </c>
      <c r="C2695">
        <f>IF(B2695="","",'Daily Sale entry '!AA1195)</f>
        <v/>
      </c>
      <c r="D2695">
        <f>IF(C2695="","",0)</f>
        <v/>
      </c>
      <c r="E2695">
        <f>IF(C2695="","",'Daily Sale entry '!AC1195)</f>
        <v/>
      </c>
      <c r="F2695" s="37">
        <f>IF(C2695="","",B2695+IF(E2695&gt;0,0,0.5)+ROW()/10000000)</f>
        <v/>
      </c>
      <c r="G2695">
        <f>IF(C2695="","","Collection 收款 (Online 网上)"&amp;IF('Daily Sale entry '!Y1195="",""," - "&amp;'Daily Sale entry '!Y1195))</f>
        <v/>
      </c>
      <c r="H2695">
        <f>IF(C2695="","",COUNTIFS($C$2:$C$3001,C2695,$F$2:$F$3001,"&lt;"&amp;F2695)+1)</f>
        <v/>
      </c>
      <c r="I2695">
        <f>IF(C2695="","",C2695&amp;"|"&amp;H2695)</f>
        <v/>
      </c>
      <c r="J2695" s="6">
        <f>IF(C2695="","",IF(H2695=1,SUMIFS('Opening Balance'!$F$4:$F$303,'Opening Balance'!$G$4:$G$303,C2695),INDEX($L$2:$L$3001,MATCH(C2695&amp;"|"&amp;(H2695-1),$I$2:$I$3001,0))))</f>
        <v/>
      </c>
      <c r="K2695" s="6">
        <f>IF(C2695="","",IF(M2695&gt;0,M2695,IF(AND(E2695&gt;0,ROUND(J2695+D2695-E2695,2)&gt;0,ROUND(J2695+D2695-E2695,2)&lt;'Opening Balance'!$B$14),ROUND(J2695+D2695-E2695,2),0)))</f>
        <v/>
      </c>
      <c r="L2695" s="6">
        <f>IF(C2695="","",ROUND(J2695+D2695-E2695-K2695,2))</f>
        <v/>
      </c>
      <c r="M2695" s="6">
        <f>IF(C2695="","",0)</f>
        <v/>
      </c>
    </row>
    <row r="2696">
      <c r="A2696" t="inlineStr">
        <is>
          <t>Bank 银行</t>
        </is>
      </c>
      <c r="B2696" s="5">
        <f>IF(AND('Daily Sale entry '!Z1196="Online collection 网上收款",'Daily Sale entry '!AA1196&lt;&gt;""),'Daily Sale entry '!X1196,"")</f>
        <v/>
      </c>
      <c r="C2696">
        <f>IF(B2696="","",'Daily Sale entry '!AA1196)</f>
        <v/>
      </c>
      <c r="D2696">
        <f>IF(C2696="","",0)</f>
        <v/>
      </c>
      <c r="E2696">
        <f>IF(C2696="","",'Daily Sale entry '!AC1196)</f>
        <v/>
      </c>
      <c r="F2696" s="37">
        <f>IF(C2696="","",B2696+IF(E2696&gt;0,0,0.5)+ROW()/10000000)</f>
        <v/>
      </c>
      <c r="G2696">
        <f>IF(C2696="","","Collection 收款 (Online 网上)"&amp;IF('Daily Sale entry '!Y1196="",""," - "&amp;'Daily Sale entry '!Y1196))</f>
        <v/>
      </c>
      <c r="H2696">
        <f>IF(C2696="","",COUNTIFS($C$2:$C$3001,C2696,$F$2:$F$3001,"&lt;"&amp;F2696)+1)</f>
        <v/>
      </c>
      <c r="I2696">
        <f>IF(C2696="","",C2696&amp;"|"&amp;H2696)</f>
        <v/>
      </c>
      <c r="J2696" s="6">
        <f>IF(C2696="","",IF(H2696=1,SUMIFS('Opening Balance'!$F$4:$F$303,'Opening Balance'!$G$4:$G$303,C2696),INDEX($L$2:$L$3001,MATCH(C2696&amp;"|"&amp;(H2696-1),$I$2:$I$3001,0))))</f>
        <v/>
      </c>
      <c r="K2696" s="6">
        <f>IF(C2696="","",IF(M2696&gt;0,M2696,IF(AND(E2696&gt;0,ROUND(J2696+D2696-E2696,2)&gt;0,ROUND(J2696+D2696-E2696,2)&lt;'Opening Balance'!$B$14),ROUND(J2696+D2696-E2696,2),0)))</f>
        <v/>
      </c>
      <c r="L2696" s="6">
        <f>IF(C2696="","",ROUND(J2696+D2696-E2696-K2696,2))</f>
        <v/>
      </c>
      <c r="M2696" s="6">
        <f>IF(C2696="","",0)</f>
        <v/>
      </c>
    </row>
    <row r="2697">
      <c r="A2697" t="inlineStr">
        <is>
          <t>Bank 银行</t>
        </is>
      </c>
      <c r="B2697" s="5">
        <f>IF(AND('Daily Sale entry '!Z1197="Online collection 网上收款",'Daily Sale entry '!AA1197&lt;&gt;""),'Daily Sale entry '!X1197,"")</f>
        <v/>
      </c>
      <c r="C2697">
        <f>IF(B2697="","",'Daily Sale entry '!AA1197)</f>
        <v/>
      </c>
      <c r="D2697">
        <f>IF(C2697="","",0)</f>
        <v/>
      </c>
      <c r="E2697">
        <f>IF(C2697="","",'Daily Sale entry '!AC1197)</f>
        <v/>
      </c>
      <c r="F2697" s="37">
        <f>IF(C2697="","",B2697+IF(E2697&gt;0,0,0.5)+ROW()/10000000)</f>
        <v/>
      </c>
      <c r="G2697">
        <f>IF(C2697="","","Collection 收款 (Online 网上)"&amp;IF('Daily Sale entry '!Y1197="",""," - "&amp;'Daily Sale entry '!Y1197))</f>
        <v/>
      </c>
      <c r="H2697">
        <f>IF(C2697="","",COUNTIFS($C$2:$C$3001,C2697,$F$2:$F$3001,"&lt;"&amp;F2697)+1)</f>
        <v/>
      </c>
      <c r="I2697">
        <f>IF(C2697="","",C2697&amp;"|"&amp;H2697)</f>
        <v/>
      </c>
      <c r="J2697" s="6">
        <f>IF(C2697="","",IF(H2697=1,SUMIFS('Opening Balance'!$F$4:$F$303,'Opening Balance'!$G$4:$G$303,C2697),INDEX($L$2:$L$3001,MATCH(C2697&amp;"|"&amp;(H2697-1),$I$2:$I$3001,0))))</f>
        <v/>
      </c>
      <c r="K2697" s="6">
        <f>IF(C2697="","",IF(M2697&gt;0,M2697,IF(AND(E2697&gt;0,ROUND(J2697+D2697-E2697,2)&gt;0,ROUND(J2697+D2697-E2697,2)&lt;'Opening Balance'!$B$14),ROUND(J2697+D2697-E2697,2),0)))</f>
        <v/>
      </c>
      <c r="L2697" s="6">
        <f>IF(C2697="","",ROUND(J2697+D2697-E2697-K2697,2))</f>
        <v/>
      </c>
      <c r="M2697" s="6">
        <f>IF(C2697="","",0)</f>
        <v/>
      </c>
    </row>
    <row r="2698">
      <c r="A2698" t="inlineStr">
        <is>
          <t>Bank 银行</t>
        </is>
      </c>
      <c r="B2698" s="5">
        <f>IF(AND('Daily Sale entry '!Z1198="Online collection 网上收款",'Daily Sale entry '!AA1198&lt;&gt;""),'Daily Sale entry '!X1198,"")</f>
        <v/>
      </c>
      <c r="C2698">
        <f>IF(B2698="","",'Daily Sale entry '!AA1198)</f>
        <v/>
      </c>
      <c r="D2698">
        <f>IF(C2698="","",0)</f>
        <v/>
      </c>
      <c r="E2698">
        <f>IF(C2698="","",'Daily Sale entry '!AC1198)</f>
        <v/>
      </c>
      <c r="F2698" s="37">
        <f>IF(C2698="","",B2698+IF(E2698&gt;0,0,0.5)+ROW()/10000000)</f>
        <v/>
      </c>
      <c r="G2698">
        <f>IF(C2698="","","Collection 收款 (Online 网上)"&amp;IF('Daily Sale entry '!Y1198="",""," - "&amp;'Daily Sale entry '!Y1198))</f>
        <v/>
      </c>
      <c r="H2698">
        <f>IF(C2698="","",COUNTIFS($C$2:$C$3001,C2698,$F$2:$F$3001,"&lt;"&amp;F2698)+1)</f>
        <v/>
      </c>
      <c r="I2698">
        <f>IF(C2698="","",C2698&amp;"|"&amp;H2698)</f>
        <v/>
      </c>
      <c r="J2698" s="6">
        <f>IF(C2698="","",IF(H2698=1,SUMIFS('Opening Balance'!$F$4:$F$303,'Opening Balance'!$G$4:$G$303,C2698),INDEX($L$2:$L$3001,MATCH(C2698&amp;"|"&amp;(H2698-1),$I$2:$I$3001,0))))</f>
        <v/>
      </c>
      <c r="K2698" s="6">
        <f>IF(C2698="","",IF(M2698&gt;0,M2698,IF(AND(E2698&gt;0,ROUND(J2698+D2698-E2698,2)&gt;0,ROUND(J2698+D2698-E2698,2)&lt;'Opening Balance'!$B$14),ROUND(J2698+D2698-E2698,2),0)))</f>
        <v/>
      </c>
      <c r="L2698" s="6">
        <f>IF(C2698="","",ROUND(J2698+D2698-E2698-K2698,2))</f>
        <v/>
      </c>
      <c r="M2698" s="6">
        <f>IF(C2698="","",0)</f>
        <v/>
      </c>
    </row>
    <row r="2699">
      <c r="A2699" t="inlineStr">
        <is>
          <t>Bank 银行</t>
        </is>
      </c>
      <c r="B2699" s="5">
        <f>IF(AND('Daily Sale entry '!Z1199="Online collection 网上收款",'Daily Sale entry '!AA1199&lt;&gt;""),'Daily Sale entry '!X1199,"")</f>
        <v/>
      </c>
      <c r="C2699">
        <f>IF(B2699="","",'Daily Sale entry '!AA1199)</f>
        <v/>
      </c>
      <c r="D2699">
        <f>IF(C2699="","",0)</f>
        <v/>
      </c>
      <c r="E2699">
        <f>IF(C2699="","",'Daily Sale entry '!AC1199)</f>
        <v/>
      </c>
      <c r="F2699" s="37">
        <f>IF(C2699="","",B2699+IF(E2699&gt;0,0,0.5)+ROW()/10000000)</f>
        <v/>
      </c>
      <c r="G2699">
        <f>IF(C2699="","","Collection 收款 (Online 网上)"&amp;IF('Daily Sale entry '!Y1199="",""," - "&amp;'Daily Sale entry '!Y1199))</f>
        <v/>
      </c>
      <c r="H2699">
        <f>IF(C2699="","",COUNTIFS($C$2:$C$3001,C2699,$F$2:$F$3001,"&lt;"&amp;F2699)+1)</f>
        <v/>
      </c>
      <c r="I2699">
        <f>IF(C2699="","",C2699&amp;"|"&amp;H2699)</f>
        <v/>
      </c>
      <c r="J2699" s="6">
        <f>IF(C2699="","",IF(H2699=1,SUMIFS('Opening Balance'!$F$4:$F$303,'Opening Balance'!$G$4:$G$303,C2699),INDEX($L$2:$L$3001,MATCH(C2699&amp;"|"&amp;(H2699-1),$I$2:$I$3001,0))))</f>
        <v/>
      </c>
      <c r="K2699" s="6">
        <f>IF(C2699="","",IF(M2699&gt;0,M2699,IF(AND(E2699&gt;0,ROUND(J2699+D2699-E2699,2)&gt;0,ROUND(J2699+D2699-E2699,2)&lt;'Opening Balance'!$B$14),ROUND(J2699+D2699-E2699,2),0)))</f>
        <v/>
      </c>
      <c r="L2699" s="6">
        <f>IF(C2699="","",ROUND(J2699+D2699-E2699-K2699,2))</f>
        <v/>
      </c>
      <c r="M2699" s="6">
        <f>IF(C2699="","",0)</f>
        <v/>
      </c>
    </row>
    <row r="2700">
      <c r="A2700" t="inlineStr">
        <is>
          <t>Bank 银行</t>
        </is>
      </c>
      <c r="B2700" s="5">
        <f>IF(AND('Daily Sale entry '!Z1200="Online collection 网上收款",'Daily Sale entry '!AA1200&lt;&gt;""),'Daily Sale entry '!X1200,"")</f>
        <v/>
      </c>
      <c r="C2700">
        <f>IF(B2700="","",'Daily Sale entry '!AA1200)</f>
        <v/>
      </c>
      <c r="D2700">
        <f>IF(C2700="","",0)</f>
        <v/>
      </c>
      <c r="E2700">
        <f>IF(C2700="","",'Daily Sale entry '!AC1200)</f>
        <v/>
      </c>
      <c r="F2700" s="37">
        <f>IF(C2700="","",B2700+IF(E2700&gt;0,0,0.5)+ROW()/10000000)</f>
        <v/>
      </c>
      <c r="G2700">
        <f>IF(C2700="","","Collection 收款 (Online 网上)"&amp;IF('Daily Sale entry '!Y1200="",""," - "&amp;'Daily Sale entry '!Y1200))</f>
        <v/>
      </c>
      <c r="H2700">
        <f>IF(C2700="","",COUNTIFS($C$2:$C$3001,C2700,$F$2:$F$3001,"&lt;"&amp;F2700)+1)</f>
        <v/>
      </c>
      <c r="I2700">
        <f>IF(C2700="","",C2700&amp;"|"&amp;H2700)</f>
        <v/>
      </c>
      <c r="J2700" s="6">
        <f>IF(C2700="","",IF(H2700=1,SUMIFS('Opening Balance'!$F$4:$F$303,'Opening Balance'!$G$4:$G$303,C2700),INDEX($L$2:$L$3001,MATCH(C2700&amp;"|"&amp;(H2700-1),$I$2:$I$3001,0))))</f>
        <v/>
      </c>
      <c r="K2700" s="6">
        <f>IF(C2700="","",IF(M2700&gt;0,M2700,IF(AND(E2700&gt;0,ROUND(J2700+D2700-E2700,2)&gt;0,ROUND(J2700+D2700-E2700,2)&lt;'Opening Balance'!$B$14),ROUND(J2700+D2700-E2700,2),0)))</f>
        <v/>
      </c>
      <c r="L2700" s="6">
        <f>IF(C2700="","",ROUND(J2700+D2700-E2700-K2700,2))</f>
        <v/>
      </c>
      <c r="M2700" s="6">
        <f>IF(C2700="","",0)</f>
        <v/>
      </c>
    </row>
    <row r="2701">
      <c r="A2701" t="inlineStr">
        <is>
          <t>Bank 银行</t>
        </is>
      </c>
      <c r="B2701" s="5">
        <f>IF(AND('Daily Sale entry '!Z1201="Online collection 网上收款",'Daily Sale entry '!AA1201&lt;&gt;""),'Daily Sale entry '!X1201,"")</f>
        <v/>
      </c>
      <c r="C2701">
        <f>IF(B2701="","",'Daily Sale entry '!AA1201)</f>
        <v/>
      </c>
      <c r="D2701">
        <f>IF(C2701="","",0)</f>
        <v/>
      </c>
      <c r="E2701">
        <f>IF(C2701="","",'Daily Sale entry '!AC1201)</f>
        <v/>
      </c>
      <c r="F2701" s="37">
        <f>IF(C2701="","",B2701+IF(E2701&gt;0,0,0.5)+ROW()/10000000)</f>
        <v/>
      </c>
      <c r="G2701">
        <f>IF(C2701="","","Collection 收款 (Online 网上)"&amp;IF('Daily Sale entry '!Y1201="",""," - "&amp;'Daily Sale entry '!Y1201))</f>
        <v/>
      </c>
      <c r="H2701">
        <f>IF(C2701="","",COUNTIFS($C$2:$C$3001,C2701,$F$2:$F$3001,"&lt;"&amp;F2701)+1)</f>
        <v/>
      </c>
      <c r="I2701">
        <f>IF(C2701="","",C2701&amp;"|"&amp;H2701)</f>
        <v/>
      </c>
      <c r="J2701" s="6">
        <f>IF(C2701="","",IF(H2701=1,SUMIFS('Opening Balance'!$F$4:$F$303,'Opening Balance'!$G$4:$G$303,C2701),INDEX($L$2:$L$3001,MATCH(C2701&amp;"|"&amp;(H2701-1),$I$2:$I$3001,0))))</f>
        <v/>
      </c>
      <c r="K2701" s="6">
        <f>IF(C2701="","",IF(M2701&gt;0,M2701,IF(AND(E2701&gt;0,ROUND(J2701+D2701-E2701,2)&gt;0,ROUND(J2701+D2701-E2701,2)&lt;'Opening Balance'!$B$14),ROUND(J2701+D2701-E2701,2),0)))</f>
        <v/>
      </c>
      <c r="L2701" s="6">
        <f>IF(C2701="","",ROUND(J2701+D2701-E2701-K2701,2))</f>
        <v/>
      </c>
      <c r="M2701" s="6">
        <f>IF(C2701="","",0)</f>
        <v/>
      </c>
    </row>
    <row r="2702">
      <c r="A2702" t="inlineStr">
        <is>
          <t>Bank 银行</t>
        </is>
      </c>
      <c r="B2702" s="5">
        <f>IF(AND('Daily Sale entry '!Z1202="Online collection 网上收款",'Daily Sale entry '!AA1202&lt;&gt;""),'Daily Sale entry '!X1202,"")</f>
        <v/>
      </c>
      <c r="C2702">
        <f>IF(B2702="","",'Daily Sale entry '!AA1202)</f>
        <v/>
      </c>
      <c r="D2702">
        <f>IF(C2702="","",0)</f>
        <v/>
      </c>
      <c r="E2702">
        <f>IF(C2702="","",'Daily Sale entry '!AC1202)</f>
        <v/>
      </c>
      <c r="F2702" s="37">
        <f>IF(C2702="","",B2702+IF(E2702&gt;0,0,0.5)+ROW()/10000000)</f>
        <v/>
      </c>
      <c r="G2702">
        <f>IF(C2702="","","Collection 收款 (Online 网上)"&amp;IF('Daily Sale entry '!Y1202="",""," - "&amp;'Daily Sale entry '!Y1202))</f>
        <v/>
      </c>
      <c r="H2702">
        <f>IF(C2702="","",COUNTIFS($C$2:$C$3001,C2702,$F$2:$F$3001,"&lt;"&amp;F2702)+1)</f>
        <v/>
      </c>
      <c r="I2702">
        <f>IF(C2702="","",C2702&amp;"|"&amp;H2702)</f>
        <v/>
      </c>
      <c r="J2702" s="6">
        <f>IF(C2702="","",IF(H2702=1,SUMIFS('Opening Balance'!$F$4:$F$303,'Opening Balance'!$G$4:$G$303,C2702),INDEX($L$2:$L$3001,MATCH(C2702&amp;"|"&amp;(H2702-1),$I$2:$I$3001,0))))</f>
        <v/>
      </c>
      <c r="K2702" s="6">
        <f>IF(C2702="","",IF(M2702&gt;0,M2702,IF(AND(E2702&gt;0,ROUND(J2702+D2702-E2702,2)&gt;0,ROUND(J2702+D2702-E2702,2)&lt;'Opening Balance'!$B$14),ROUND(J2702+D2702-E2702,2),0)))</f>
        <v/>
      </c>
      <c r="L2702" s="6">
        <f>IF(C2702="","",ROUND(J2702+D2702-E2702-K2702,2))</f>
        <v/>
      </c>
      <c r="M2702" s="6">
        <f>IF(C2702="","",0)</f>
        <v/>
      </c>
    </row>
    <row r="2703">
      <c r="A2703" t="inlineStr">
        <is>
          <t>Bank 银行</t>
        </is>
      </c>
      <c r="B2703" s="5">
        <f>IF(AND('Daily Sale entry '!Z1203="Online collection 网上收款",'Daily Sale entry '!AA1203&lt;&gt;""),'Daily Sale entry '!X1203,"")</f>
        <v/>
      </c>
      <c r="C2703">
        <f>IF(B2703="","",'Daily Sale entry '!AA1203)</f>
        <v/>
      </c>
      <c r="D2703">
        <f>IF(C2703="","",0)</f>
        <v/>
      </c>
      <c r="E2703">
        <f>IF(C2703="","",'Daily Sale entry '!AC1203)</f>
        <v/>
      </c>
      <c r="F2703" s="37">
        <f>IF(C2703="","",B2703+IF(E2703&gt;0,0,0.5)+ROW()/10000000)</f>
        <v/>
      </c>
      <c r="G2703">
        <f>IF(C2703="","","Collection 收款 (Online 网上)"&amp;IF('Daily Sale entry '!Y1203="",""," - "&amp;'Daily Sale entry '!Y1203))</f>
        <v/>
      </c>
      <c r="H2703">
        <f>IF(C2703="","",COUNTIFS($C$2:$C$3001,C2703,$F$2:$F$3001,"&lt;"&amp;F2703)+1)</f>
        <v/>
      </c>
      <c r="I2703">
        <f>IF(C2703="","",C2703&amp;"|"&amp;H2703)</f>
        <v/>
      </c>
      <c r="J2703" s="6">
        <f>IF(C2703="","",IF(H2703=1,SUMIFS('Opening Balance'!$F$4:$F$303,'Opening Balance'!$G$4:$G$303,C2703),INDEX($L$2:$L$3001,MATCH(C2703&amp;"|"&amp;(H2703-1),$I$2:$I$3001,0))))</f>
        <v/>
      </c>
      <c r="K2703" s="6">
        <f>IF(C2703="","",IF(M2703&gt;0,M2703,IF(AND(E2703&gt;0,ROUND(J2703+D2703-E2703,2)&gt;0,ROUND(J2703+D2703-E2703,2)&lt;'Opening Balance'!$B$14),ROUND(J2703+D2703-E2703,2),0)))</f>
        <v/>
      </c>
      <c r="L2703" s="6">
        <f>IF(C2703="","",ROUND(J2703+D2703-E2703-K2703,2))</f>
        <v/>
      </c>
      <c r="M2703" s="6">
        <f>IF(C2703="","",0)</f>
        <v/>
      </c>
    </row>
    <row r="2704">
      <c r="A2704" t="inlineStr">
        <is>
          <t>Bank 银行</t>
        </is>
      </c>
      <c r="B2704" s="5">
        <f>IF(AND('Daily Sale entry '!Z1204="Online collection 网上收款",'Daily Sale entry '!AA1204&lt;&gt;""),'Daily Sale entry '!X1204,"")</f>
        <v/>
      </c>
      <c r="C2704">
        <f>IF(B2704="","",'Daily Sale entry '!AA1204)</f>
        <v/>
      </c>
      <c r="D2704">
        <f>IF(C2704="","",0)</f>
        <v/>
      </c>
      <c r="E2704">
        <f>IF(C2704="","",'Daily Sale entry '!AC1204)</f>
        <v/>
      </c>
      <c r="F2704" s="37">
        <f>IF(C2704="","",B2704+IF(E2704&gt;0,0,0.5)+ROW()/10000000)</f>
        <v/>
      </c>
      <c r="G2704">
        <f>IF(C2704="","","Collection 收款 (Online 网上)"&amp;IF('Daily Sale entry '!Y1204="",""," - "&amp;'Daily Sale entry '!Y1204))</f>
        <v/>
      </c>
      <c r="H2704">
        <f>IF(C2704="","",COUNTIFS($C$2:$C$3001,C2704,$F$2:$F$3001,"&lt;"&amp;F2704)+1)</f>
        <v/>
      </c>
      <c r="I2704">
        <f>IF(C2704="","",C2704&amp;"|"&amp;H2704)</f>
        <v/>
      </c>
      <c r="J2704" s="6">
        <f>IF(C2704="","",IF(H2704=1,SUMIFS('Opening Balance'!$F$4:$F$303,'Opening Balance'!$G$4:$G$303,C2704),INDEX($L$2:$L$3001,MATCH(C2704&amp;"|"&amp;(H2704-1),$I$2:$I$3001,0))))</f>
        <v/>
      </c>
      <c r="K2704" s="6">
        <f>IF(C2704="","",IF(M2704&gt;0,M2704,IF(AND(E2704&gt;0,ROUND(J2704+D2704-E2704,2)&gt;0,ROUND(J2704+D2704-E2704,2)&lt;'Opening Balance'!$B$14),ROUND(J2704+D2704-E2704,2),0)))</f>
        <v/>
      </c>
      <c r="L2704" s="6">
        <f>IF(C2704="","",ROUND(J2704+D2704-E2704-K2704,2))</f>
        <v/>
      </c>
      <c r="M2704" s="6">
        <f>IF(C2704="","",0)</f>
        <v/>
      </c>
    </row>
    <row r="2705">
      <c r="A2705" t="inlineStr">
        <is>
          <t>Bank 银行</t>
        </is>
      </c>
      <c r="B2705" s="5">
        <f>IF(AND('Daily Sale entry '!Z1205="Online collection 网上收款",'Daily Sale entry '!AA1205&lt;&gt;""),'Daily Sale entry '!X1205,"")</f>
        <v/>
      </c>
      <c r="C2705">
        <f>IF(B2705="","",'Daily Sale entry '!AA1205)</f>
        <v/>
      </c>
      <c r="D2705">
        <f>IF(C2705="","",0)</f>
        <v/>
      </c>
      <c r="E2705">
        <f>IF(C2705="","",'Daily Sale entry '!AC1205)</f>
        <v/>
      </c>
      <c r="F2705" s="37">
        <f>IF(C2705="","",B2705+IF(E2705&gt;0,0,0.5)+ROW()/10000000)</f>
        <v/>
      </c>
      <c r="G2705">
        <f>IF(C2705="","","Collection 收款 (Online 网上)"&amp;IF('Daily Sale entry '!Y1205="",""," - "&amp;'Daily Sale entry '!Y1205))</f>
        <v/>
      </c>
      <c r="H2705">
        <f>IF(C2705="","",COUNTIFS($C$2:$C$3001,C2705,$F$2:$F$3001,"&lt;"&amp;F2705)+1)</f>
        <v/>
      </c>
      <c r="I2705">
        <f>IF(C2705="","",C2705&amp;"|"&amp;H2705)</f>
        <v/>
      </c>
      <c r="J2705" s="6">
        <f>IF(C2705="","",IF(H2705=1,SUMIFS('Opening Balance'!$F$4:$F$303,'Opening Balance'!$G$4:$G$303,C2705),INDEX($L$2:$L$3001,MATCH(C2705&amp;"|"&amp;(H2705-1),$I$2:$I$3001,0))))</f>
        <v/>
      </c>
      <c r="K2705" s="6">
        <f>IF(C2705="","",IF(M2705&gt;0,M2705,IF(AND(E2705&gt;0,ROUND(J2705+D2705-E2705,2)&gt;0,ROUND(J2705+D2705-E2705,2)&lt;'Opening Balance'!$B$14),ROUND(J2705+D2705-E2705,2),0)))</f>
        <v/>
      </c>
      <c r="L2705" s="6">
        <f>IF(C2705="","",ROUND(J2705+D2705-E2705-K2705,2))</f>
        <v/>
      </c>
      <c r="M2705" s="6">
        <f>IF(C2705="","",0)</f>
        <v/>
      </c>
    </row>
    <row r="2706">
      <c r="A2706" t="inlineStr">
        <is>
          <t>Bank 银行</t>
        </is>
      </c>
      <c r="B2706" s="5">
        <f>IF(AND('Daily Sale entry '!Z1206="Online collection 网上收款",'Daily Sale entry '!AA1206&lt;&gt;""),'Daily Sale entry '!X1206,"")</f>
        <v/>
      </c>
      <c r="C2706">
        <f>IF(B2706="","",'Daily Sale entry '!AA1206)</f>
        <v/>
      </c>
      <c r="D2706">
        <f>IF(C2706="","",0)</f>
        <v/>
      </c>
      <c r="E2706">
        <f>IF(C2706="","",'Daily Sale entry '!AC1206)</f>
        <v/>
      </c>
      <c r="F2706" s="37">
        <f>IF(C2706="","",B2706+IF(E2706&gt;0,0,0.5)+ROW()/10000000)</f>
        <v/>
      </c>
      <c r="G2706">
        <f>IF(C2706="","","Collection 收款 (Online 网上)"&amp;IF('Daily Sale entry '!Y1206="",""," - "&amp;'Daily Sale entry '!Y1206))</f>
        <v/>
      </c>
      <c r="H2706">
        <f>IF(C2706="","",COUNTIFS($C$2:$C$3001,C2706,$F$2:$F$3001,"&lt;"&amp;F2706)+1)</f>
        <v/>
      </c>
      <c r="I2706">
        <f>IF(C2706="","",C2706&amp;"|"&amp;H2706)</f>
        <v/>
      </c>
      <c r="J2706" s="6">
        <f>IF(C2706="","",IF(H2706=1,SUMIFS('Opening Balance'!$F$4:$F$303,'Opening Balance'!$G$4:$G$303,C2706),INDEX($L$2:$L$3001,MATCH(C2706&amp;"|"&amp;(H2706-1),$I$2:$I$3001,0))))</f>
        <v/>
      </c>
      <c r="K2706" s="6">
        <f>IF(C2706="","",IF(M2706&gt;0,M2706,IF(AND(E2706&gt;0,ROUND(J2706+D2706-E2706,2)&gt;0,ROUND(J2706+D2706-E2706,2)&lt;'Opening Balance'!$B$14),ROUND(J2706+D2706-E2706,2),0)))</f>
        <v/>
      </c>
      <c r="L2706" s="6">
        <f>IF(C2706="","",ROUND(J2706+D2706-E2706-K2706,2))</f>
        <v/>
      </c>
      <c r="M2706" s="6">
        <f>IF(C2706="","",0)</f>
        <v/>
      </c>
    </row>
    <row r="2707">
      <c r="A2707" t="inlineStr">
        <is>
          <t>Bank 银行</t>
        </is>
      </c>
      <c r="B2707" s="5">
        <f>IF(AND('Daily Sale entry '!Z1207="Online collection 网上收款",'Daily Sale entry '!AA1207&lt;&gt;""),'Daily Sale entry '!X1207,"")</f>
        <v/>
      </c>
      <c r="C2707">
        <f>IF(B2707="","",'Daily Sale entry '!AA1207)</f>
        <v/>
      </c>
      <c r="D2707">
        <f>IF(C2707="","",0)</f>
        <v/>
      </c>
      <c r="E2707">
        <f>IF(C2707="","",'Daily Sale entry '!AC1207)</f>
        <v/>
      </c>
      <c r="F2707" s="37">
        <f>IF(C2707="","",B2707+IF(E2707&gt;0,0,0.5)+ROW()/10000000)</f>
        <v/>
      </c>
      <c r="G2707">
        <f>IF(C2707="","","Collection 收款 (Online 网上)"&amp;IF('Daily Sale entry '!Y1207="",""," - "&amp;'Daily Sale entry '!Y1207))</f>
        <v/>
      </c>
      <c r="H2707">
        <f>IF(C2707="","",COUNTIFS($C$2:$C$3001,C2707,$F$2:$F$3001,"&lt;"&amp;F2707)+1)</f>
        <v/>
      </c>
      <c r="I2707">
        <f>IF(C2707="","",C2707&amp;"|"&amp;H2707)</f>
        <v/>
      </c>
      <c r="J2707" s="6">
        <f>IF(C2707="","",IF(H2707=1,SUMIFS('Opening Balance'!$F$4:$F$303,'Opening Balance'!$G$4:$G$303,C2707),INDEX($L$2:$L$3001,MATCH(C2707&amp;"|"&amp;(H2707-1),$I$2:$I$3001,0))))</f>
        <v/>
      </c>
      <c r="K2707" s="6">
        <f>IF(C2707="","",IF(M2707&gt;0,M2707,IF(AND(E2707&gt;0,ROUND(J2707+D2707-E2707,2)&gt;0,ROUND(J2707+D2707-E2707,2)&lt;'Opening Balance'!$B$14),ROUND(J2707+D2707-E2707,2),0)))</f>
        <v/>
      </c>
      <c r="L2707" s="6">
        <f>IF(C2707="","",ROUND(J2707+D2707-E2707-K2707,2))</f>
        <v/>
      </c>
      <c r="M2707" s="6">
        <f>IF(C2707="","",0)</f>
        <v/>
      </c>
    </row>
    <row r="2708">
      <c r="A2708" t="inlineStr">
        <is>
          <t>Bank 银行</t>
        </is>
      </c>
      <c r="B2708" s="5">
        <f>IF(AND('Daily Sale entry '!Z1208="Online collection 网上收款",'Daily Sale entry '!AA1208&lt;&gt;""),'Daily Sale entry '!X1208,"")</f>
        <v/>
      </c>
      <c r="C2708">
        <f>IF(B2708="","",'Daily Sale entry '!AA1208)</f>
        <v/>
      </c>
      <c r="D2708">
        <f>IF(C2708="","",0)</f>
        <v/>
      </c>
      <c r="E2708">
        <f>IF(C2708="","",'Daily Sale entry '!AC1208)</f>
        <v/>
      </c>
      <c r="F2708" s="37">
        <f>IF(C2708="","",B2708+IF(E2708&gt;0,0,0.5)+ROW()/10000000)</f>
        <v/>
      </c>
      <c r="G2708">
        <f>IF(C2708="","","Collection 收款 (Online 网上)"&amp;IF('Daily Sale entry '!Y1208="",""," - "&amp;'Daily Sale entry '!Y1208))</f>
        <v/>
      </c>
      <c r="H2708">
        <f>IF(C2708="","",COUNTIFS($C$2:$C$3001,C2708,$F$2:$F$3001,"&lt;"&amp;F2708)+1)</f>
        <v/>
      </c>
      <c r="I2708">
        <f>IF(C2708="","",C2708&amp;"|"&amp;H2708)</f>
        <v/>
      </c>
      <c r="J2708" s="6">
        <f>IF(C2708="","",IF(H2708=1,SUMIFS('Opening Balance'!$F$4:$F$303,'Opening Balance'!$G$4:$G$303,C2708),INDEX($L$2:$L$3001,MATCH(C2708&amp;"|"&amp;(H2708-1),$I$2:$I$3001,0))))</f>
        <v/>
      </c>
      <c r="K2708" s="6">
        <f>IF(C2708="","",IF(M2708&gt;0,M2708,IF(AND(E2708&gt;0,ROUND(J2708+D2708-E2708,2)&gt;0,ROUND(J2708+D2708-E2708,2)&lt;'Opening Balance'!$B$14),ROUND(J2708+D2708-E2708,2),0)))</f>
        <v/>
      </c>
      <c r="L2708" s="6">
        <f>IF(C2708="","",ROUND(J2708+D2708-E2708-K2708,2))</f>
        <v/>
      </c>
      <c r="M2708" s="6">
        <f>IF(C2708="","",0)</f>
        <v/>
      </c>
    </row>
    <row r="2709">
      <c r="A2709" t="inlineStr">
        <is>
          <t>Bank 银行</t>
        </is>
      </c>
      <c r="B2709" s="5">
        <f>IF(AND('Daily Sale entry '!Z1209="Online collection 网上收款",'Daily Sale entry '!AA1209&lt;&gt;""),'Daily Sale entry '!X1209,"")</f>
        <v/>
      </c>
      <c r="C2709">
        <f>IF(B2709="","",'Daily Sale entry '!AA1209)</f>
        <v/>
      </c>
      <c r="D2709">
        <f>IF(C2709="","",0)</f>
        <v/>
      </c>
      <c r="E2709">
        <f>IF(C2709="","",'Daily Sale entry '!AC1209)</f>
        <v/>
      </c>
      <c r="F2709" s="37">
        <f>IF(C2709="","",B2709+IF(E2709&gt;0,0,0.5)+ROW()/10000000)</f>
        <v/>
      </c>
      <c r="G2709">
        <f>IF(C2709="","","Collection 收款 (Online 网上)"&amp;IF('Daily Sale entry '!Y1209="",""," - "&amp;'Daily Sale entry '!Y1209))</f>
        <v/>
      </c>
      <c r="H2709">
        <f>IF(C2709="","",COUNTIFS($C$2:$C$3001,C2709,$F$2:$F$3001,"&lt;"&amp;F2709)+1)</f>
        <v/>
      </c>
      <c r="I2709">
        <f>IF(C2709="","",C2709&amp;"|"&amp;H2709)</f>
        <v/>
      </c>
      <c r="J2709" s="6">
        <f>IF(C2709="","",IF(H2709=1,SUMIFS('Opening Balance'!$F$4:$F$303,'Opening Balance'!$G$4:$G$303,C2709),INDEX($L$2:$L$3001,MATCH(C2709&amp;"|"&amp;(H2709-1),$I$2:$I$3001,0))))</f>
        <v/>
      </c>
      <c r="K2709" s="6">
        <f>IF(C2709="","",IF(M2709&gt;0,M2709,IF(AND(E2709&gt;0,ROUND(J2709+D2709-E2709,2)&gt;0,ROUND(J2709+D2709-E2709,2)&lt;'Opening Balance'!$B$14),ROUND(J2709+D2709-E2709,2),0)))</f>
        <v/>
      </c>
      <c r="L2709" s="6">
        <f>IF(C2709="","",ROUND(J2709+D2709-E2709-K2709,2))</f>
        <v/>
      </c>
      <c r="M2709" s="6">
        <f>IF(C2709="","",0)</f>
        <v/>
      </c>
    </row>
    <row r="2710">
      <c r="A2710" t="inlineStr">
        <is>
          <t>Bank 银行</t>
        </is>
      </c>
      <c r="B2710" s="5">
        <f>IF(AND('Daily Sale entry '!Z1210="Online collection 网上收款",'Daily Sale entry '!AA1210&lt;&gt;""),'Daily Sale entry '!X1210,"")</f>
        <v/>
      </c>
      <c r="C2710">
        <f>IF(B2710="","",'Daily Sale entry '!AA1210)</f>
        <v/>
      </c>
      <c r="D2710">
        <f>IF(C2710="","",0)</f>
        <v/>
      </c>
      <c r="E2710">
        <f>IF(C2710="","",'Daily Sale entry '!AC1210)</f>
        <v/>
      </c>
      <c r="F2710" s="37">
        <f>IF(C2710="","",B2710+IF(E2710&gt;0,0,0.5)+ROW()/10000000)</f>
        <v/>
      </c>
      <c r="G2710">
        <f>IF(C2710="","","Collection 收款 (Online 网上)"&amp;IF('Daily Sale entry '!Y1210="",""," - "&amp;'Daily Sale entry '!Y1210))</f>
        <v/>
      </c>
      <c r="H2710">
        <f>IF(C2710="","",COUNTIFS($C$2:$C$3001,C2710,$F$2:$F$3001,"&lt;"&amp;F2710)+1)</f>
        <v/>
      </c>
      <c r="I2710">
        <f>IF(C2710="","",C2710&amp;"|"&amp;H2710)</f>
        <v/>
      </c>
      <c r="J2710" s="6">
        <f>IF(C2710="","",IF(H2710=1,SUMIFS('Opening Balance'!$F$4:$F$303,'Opening Balance'!$G$4:$G$303,C2710),INDEX($L$2:$L$3001,MATCH(C2710&amp;"|"&amp;(H2710-1),$I$2:$I$3001,0))))</f>
        <v/>
      </c>
      <c r="K2710" s="6">
        <f>IF(C2710="","",IF(M2710&gt;0,M2710,IF(AND(E2710&gt;0,ROUND(J2710+D2710-E2710,2)&gt;0,ROUND(J2710+D2710-E2710,2)&lt;'Opening Balance'!$B$14),ROUND(J2710+D2710-E2710,2),0)))</f>
        <v/>
      </c>
      <c r="L2710" s="6">
        <f>IF(C2710="","",ROUND(J2710+D2710-E2710-K2710,2))</f>
        <v/>
      </c>
      <c r="M2710" s="6">
        <f>IF(C2710="","",0)</f>
        <v/>
      </c>
    </row>
    <row r="2711">
      <c r="A2711" t="inlineStr">
        <is>
          <t>Bank 银行</t>
        </is>
      </c>
      <c r="B2711" s="5">
        <f>IF(AND('Daily Sale entry '!Z1211="Online collection 网上收款",'Daily Sale entry '!AA1211&lt;&gt;""),'Daily Sale entry '!X1211,"")</f>
        <v/>
      </c>
      <c r="C2711">
        <f>IF(B2711="","",'Daily Sale entry '!AA1211)</f>
        <v/>
      </c>
      <c r="D2711">
        <f>IF(C2711="","",0)</f>
        <v/>
      </c>
      <c r="E2711">
        <f>IF(C2711="","",'Daily Sale entry '!AC1211)</f>
        <v/>
      </c>
      <c r="F2711" s="37">
        <f>IF(C2711="","",B2711+IF(E2711&gt;0,0,0.5)+ROW()/10000000)</f>
        <v/>
      </c>
      <c r="G2711">
        <f>IF(C2711="","","Collection 收款 (Online 网上)"&amp;IF('Daily Sale entry '!Y1211="",""," - "&amp;'Daily Sale entry '!Y1211))</f>
        <v/>
      </c>
      <c r="H2711">
        <f>IF(C2711="","",COUNTIFS($C$2:$C$3001,C2711,$F$2:$F$3001,"&lt;"&amp;F2711)+1)</f>
        <v/>
      </c>
      <c r="I2711">
        <f>IF(C2711="","",C2711&amp;"|"&amp;H2711)</f>
        <v/>
      </c>
      <c r="J2711" s="6">
        <f>IF(C2711="","",IF(H2711=1,SUMIFS('Opening Balance'!$F$4:$F$303,'Opening Balance'!$G$4:$G$303,C2711),INDEX($L$2:$L$3001,MATCH(C2711&amp;"|"&amp;(H2711-1),$I$2:$I$3001,0))))</f>
        <v/>
      </c>
      <c r="K2711" s="6">
        <f>IF(C2711="","",IF(M2711&gt;0,M2711,IF(AND(E2711&gt;0,ROUND(J2711+D2711-E2711,2)&gt;0,ROUND(J2711+D2711-E2711,2)&lt;'Opening Balance'!$B$14),ROUND(J2711+D2711-E2711,2),0)))</f>
        <v/>
      </c>
      <c r="L2711" s="6">
        <f>IF(C2711="","",ROUND(J2711+D2711-E2711-K2711,2))</f>
        <v/>
      </c>
      <c r="M2711" s="6">
        <f>IF(C2711="","",0)</f>
        <v/>
      </c>
    </row>
    <row r="2712">
      <c r="A2712" t="inlineStr">
        <is>
          <t>Bank 银行</t>
        </is>
      </c>
      <c r="B2712" s="5">
        <f>IF(AND('Daily Sale entry '!Z1212="Online collection 网上收款",'Daily Sale entry '!AA1212&lt;&gt;""),'Daily Sale entry '!X1212,"")</f>
        <v/>
      </c>
      <c r="C2712">
        <f>IF(B2712="","",'Daily Sale entry '!AA1212)</f>
        <v/>
      </c>
      <c r="D2712">
        <f>IF(C2712="","",0)</f>
        <v/>
      </c>
      <c r="E2712">
        <f>IF(C2712="","",'Daily Sale entry '!AC1212)</f>
        <v/>
      </c>
      <c r="F2712" s="37">
        <f>IF(C2712="","",B2712+IF(E2712&gt;0,0,0.5)+ROW()/10000000)</f>
        <v/>
      </c>
      <c r="G2712">
        <f>IF(C2712="","","Collection 收款 (Online 网上)"&amp;IF('Daily Sale entry '!Y1212="",""," - "&amp;'Daily Sale entry '!Y1212))</f>
        <v/>
      </c>
      <c r="H2712">
        <f>IF(C2712="","",COUNTIFS($C$2:$C$3001,C2712,$F$2:$F$3001,"&lt;"&amp;F2712)+1)</f>
        <v/>
      </c>
      <c r="I2712">
        <f>IF(C2712="","",C2712&amp;"|"&amp;H2712)</f>
        <v/>
      </c>
      <c r="J2712" s="6">
        <f>IF(C2712="","",IF(H2712=1,SUMIFS('Opening Balance'!$F$4:$F$303,'Opening Balance'!$G$4:$G$303,C2712),INDEX($L$2:$L$3001,MATCH(C2712&amp;"|"&amp;(H2712-1),$I$2:$I$3001,0))))</f>
        <v/>
      </c>
      <c r="K2712" s="6">
        <f>IF(C2712="","",IF(M2712&gt;0,M2712,IF(AND(E2712&gt;0,ROUND(J2712+D2712-E2712,2)&gt;0,ROUND(J2712+D2712-E2712,2)&lt;'Opening Balance'!$B$14),ROUND(J2712+D2712-E2712,2),0)))</f>
        <v/>
      </c>
      <c r="L2712" s="6">
        <f>IF(C2712="","",ROUND(J2712+D2712-E2712-K2712,2))</f>
        <v/>
      </c>
      <c r="M2712" s="6">
        <f>IF(C2712="","",0)</f>
        <v/>
      </c>
    </row>
    <row r="2713">
      <c r="A2713" t="inlineStr">
        <is>
          <t>Bank 银行</t>
        </is>
      </c>
      <c r="B2713" s="5">
        <f>IF(AND('Daily Sale entry '!Z1213="Online collection 网上收款",'Daily Sale entry '!AA1213&lt;&gt;""),'Daily Sale entry '!X1213,"")</f>
        <v/>
      </c>
      <c r="C2713">
        <f>IF(B2713="","",'Daily Sale entry '!AA1213)</f>
        <v/>
      </c>
      <c r="D2713">
        <f>IF(C2713="","",0)</f>
        <v/>
      </c>
      <c r="E2713">
        <f>IF(C2713="","",'Daily Sale entry '!AC1213)</f>
        <v/>
      </c>
      <c r="F2713" s="37">
        <f>IF(C2713="","",B2713+IF(E2713&gt;0,0,0.5)+ROW()/10000000)</f>
        <v/>
      </c>
      <c r="G2713">
        <f>IF(C2713="","","Collection 收款 (Online 网上)"&amp;IF('Daily Sale entry '!Y1213="",""," - "&amp;'Daily Sale entry '!Y1213))</f>
        <v/>
      </c>
      <c r="H2713">
        <f>IF(C2713="","",COUNTIFS($C$2:$C$3001,C2713,$F$2:$F$3001,"&lt;"&amp;F2713)+1)</f>
        <v/>
      </c>
      <c r="I2713">
        <f>IF(C2713="","",C2713&amp;"|"&amp;H2713)</f>
        <v/>
      </c>
      <c r="J2713" s="6">
        <f>IF(C2713="","",IF(H2713=1,SUMIFS('Opening Balance'!$F$4:$F$303,'Opening Balance'!$G$4:$G$303,C2713),INDEX($L$2:$L$3001,MATCH(C2713&amp;"|"&amp;(H2713-1),$I$2:$I$3001,0))))</f>
        <v/>
      </c>
      <c r="K2713" s="6">
        <f>IF(C2713="","",IF(M2713&gt;0,M2713,IF(AND(E2713&gt;0,ROUND(J2713+D2713-E2713,2)&gt;0,ROUND(J2713+D2713-E2713,2)&lt;'Opening Balance'!$B$14),ROUND(J2713+D2713-E2713,2),0)))</f>
        <v/>
      </c>
      <c r="L2713" s="6">
        <f>IF(C2713="","",ROUND(J2713+D2713-E2713-K2713,2))</f>
        <v/>
      </c>
      <c r="M2713" s="6">
        <f>IF(C2713="","",0)</f>
        <v/>
      </c>
    </row>
    <row r="2714">
      <c r="A2714" t="inlineStr">
        <is>
          <t>Bank 银行</t>
        </is>
      </c>
      <c r="B2714" s="5">
        <f>IF(AND('Daily Sale entry '!Z1214="Online collection 网上收款",'Daily Sale entry '!AA1214&lt;&gt;""),'Daily Sale entry '!X1214,"")</f>
        <v/>
      </c>
      <c r="C2714">
        <f>IF(B2714="","",'Daily Sale entry '!AA1214)</f>
        <v/>
      </c>
      <c r="D2714">
        <f>IF(C2714="","",0)</f>
        <v/>
      </c>
      <c r="E2714">
        <f>IF(C2714="","",'Daily Sale entry '!AC1214)</f>
        <v/>
      </c>
      <c r="F2714" s="37">
        <f>IF(C2714="","",B2714+IF(E2714&gt;0,0,0.5)+ROW()/10000000)</f>
        <v/>
      </c>
      <c r="G2714">
        <f>IF(C2714="","","Collection 收款 (Online 网上)"&amp;IF('Daily Sale entry '!Y1214="",""," - "&amp;'Daily Sale entry '!Y1214))</f>
        <v/>
      </c>
      <c r="H2714">
        <f>IF(C2714="","",COUNTIFS($C$2:$C$3001,C2714,$F$2:$F$3001,"&lt;"&amp;F2714)+1)</f>
        <v/>
      </c>
      <c r="I2714">
        <f>IF(C2714="","",C2714&amp;"|"&amp;H2714)</f>
        <v/>
      </c>
      <c r="J2714" s="6">
        <f>IF(C2714="","",IF(H2714=1,SUMIFS('Opening Balance'!$F$4:$F$303,'Opening Balance'!$G$4:$G$303,C2714),INDEX($L$2:$L$3001,MATCH(C2714&amp;"|"&amp;(H2714-1),$I$2:$I$3001,0))))</f>
        <v/>
      </c>
      <c r="K2714" s="6">
        <f>IF(C2714="","",IF(M2714&gt;0,M2714,IF(AND(E2714&gt;0,ROUND(J2714+D2714-E2714,2)&gt;0,ROUND(J2714+D2714-E2714,2)&lt;'Opening Balance'!$B$14),ROUND(J2714+D2714-E2714,2),0)))</f>
        <v/>
      </c>
      <c r="L2714" s="6">
        <f>IF(C2714="","",ROUND(J2714+D2714-E2714-K2714,2))</f>
        <v/>
      </c>
      <c r="M2714" s="6">
        <f>IF(C2714="","",0)</f>
        <v/>
      </c>
    </row>
    <row r="2715">
      <c r="A2715" t="inlineStr">
        <is>
          <t>Bank 银行</t>
        </is>
      </c>
      <c r="B2715" s="5">
        <f>IF(AND('Daily Sale entry '!Z1215="Online collection 网上收款",'Daily Sale entry '!AA1215&lt;&gt;""),'Daily Sale entry '!X1215,"")</f>
        <v/>
      </c>
      <c r="C2715">
        <f>IF(B2715="","",'Daily Sale entry '!AA1215)</f>
        <v/>
      </c>
      <c r="D2715">
        <f>IF(C2715="","",0)</f>
        <v/>
      </c>
      <c r="E2715">
        <f>IF(C2715="","",'Daily Sale entry '!AC1215)</f>
        <v/>
      </c>
      <c r="F2715" s="37">
        <f>IF(C2715="","",B2715+IF(E2715&gt;0,0,0.5)+ROW()/10000000)</f>
        <v/>
      </c>
      <c r="G2715">
        <f>IF(C2715="","","Collection 收款 (Online 网上)"&amp;IF('Daily Sale entry '!Y1215="",""," - "&amp;'Daily Sale entry '!Y1215))</f>
        <v/>
      </c>
      <c r="H2715">
        <f>IF(C2715="","",COUNTIFS($C$2:$C$3001,C2715,$F$2:$F$3001,"&lt;"&amp;F2715)+1)</f>
        <v/>
      </c>
      <c r="I2715">
        <f>IF(C2715="","",C2715&amp;"|"&amp;H2715)</f>
        <v/>
      </c>
      <c r="J2715" s="6">
        <f>IF(C2715="","",IF(H2715=1,SUMIFS('Opening Balance'!$F$4:$F$303,'Opening Balance'!$G$4:$G$303,C2715),INDEX($L$2:$L$3001,MATCH(C2715&amp;"|"&amp;(H2715-1),$I$2:$I$3001,0))))</f>
        <v/>
      </c>
      <c r="K2715" s="6">
        <f>IF(C2715="","",IF(M2715&gt;0,M2715,IF(AND(E2715&gt;0,ROUND(J2715+D2715-E2715,2)&gt;0,ROUND(J2715+D2715-E2715,2)&lt;'Opening Balance'!$B$14),ROUND(J2715+D2715-E2715,2),0)))</f>
        <v/>
      </c>
      <c r="L2715" s="6">
        <f>IF(C2715="","",ROUND(J2715+D2715-E2715-K2715,2))</f>
        <v/>
      </c>
      <c r="M2715" s="6">
        <f>IF(C2715="","",0)</f>
        <v/>
      </c>
    </row>
    <row r="2716">
      <c r="A2716" t="inlineStr">
        <is>
          <t>Bank 银行</t>
        </is>
      </c>
      <c r="B2716" s="5">
        <f>IF(AND('Daily Sale entry '!Z1216="Online collection 网上收款",'Daily Sale entry '!AA1216&lt;&gt;""),'Daily Sale entry '!X1216,"")</f>
        <v/>
      </c>
      <c r="C2716">
        <f>IF(B2716="","",'Daily Sale entry '!AA1216)</f>
        <v/>
      </c>
      <c r="D2716">
        <f>IF(C2716="","",0)</f>
        <v/>
      </c>
      <c r="E2716">
        <f>IF(C2716="","",'Daily Sale entry '!AC1216)</f>
        <v/>
      </c>
      <c r="F2716" s="37">
        <f>IF(C2716="","",B2716+IF(E2716&gt;0,0,0.5)+ROW()/10000000)</f>
        <v/>
      </c>
      <c r="G2716">
        <f>IF(C2716="","","Collection 收款 (Online 网上)"&amp;IF('Daily Sale entry '!Y1216="",""," - "&amp;'Daily Sale entry '!Y1216))</f>
        <v/>
      </c>
      <c r="H2716">
        <f>IF(C2716="","",COUNTIFS($C$2:$C$3001,C2716,$F$2:$F$3001,"&lt;"&amp;F2716)+1)</f>
        <v/>
      </c>
      <c r="I2716">
        <f>IF(C2716="","",C2716&amp;"|"&amp;H2716)</f>
        <v/>
      </c>
      <c r="J2716" s="6">
        <f>IF(C2716="","",IF(H2716=1,SUMIFS('Opening Balance'!$F$4:$F$303,'Opening Balance'!$G$4:$G$303,C2716),INDEX($L$2:$L$3001,MATCH(C2716&amp;"|"&amp;(H2716-1),$I$2:$I$3001,0))))</f>
        <v/>
      </c>
      <c r="K2716" s="6">
        <f>IF(C2716="","",IF(M2716&gt;0,M2716,IF(AND(E2716&gt;0,ROUND(J2716+D2716-E2716,2)&gt;0,ROUND(J2716+D2716-E2716,2)&lt;'Opening Balance'!$B$14),ROUND(J2716+D2716-E2716,2),0)))</f>
        <v/>
      </c>
      <c r="L2716" s="6">
        <f>IF(C2716="","",ROUND(J2716+D2716-E2716-K2716,2))</f>
        <v/>
      </c>
      <c r="M2716" s="6">
        <f>IF(C2716="","",0)</f>
        <v/>
      </c>
    </row>
    <row r="2717">
      <c r="A2717" t="inlineStr">
        <is>
          <t>Bank 银行</t>
        </is>
      </c>
      <c r="B2717" s="5">
        <f>IF(AND('Daily Sale entry '!Z1217="Online collection 网上收款",'Daily Sale entry '!AA1217&lt;&gt;""),'Daily Sale entry '!X1217,"")</f>
        <v/>
      </c>
      <c r="C2717">
        <f>IF(B2717="","",'Daily Sale entry '!AA1217)</f>
        <v/>
      </c>
      <c r="D2717">
        <f>IF(C2717="","",0)</f>
        <v/>
      </c>
      <c r="E2717">
        <f>IF(C2717="","",'Daily Sale entry '!AC1217)</f>
        <v/>
      </c>
      <c r="F2717" s="37">
        <f>IF(C2717="","",B2717+IF(E2717&gt;0,0,0.5)+ROW()/10000000)</f>
        <v/>
      </c>
      <c r="G2717">
        <f>IF(C2717="","","Collection 收款 (Online 网上)"&amp;IF('Daily Sale entry '!Y1217="",""," - "&amp;'Daily Sale entry '!Y1217))</f>
        <v/>
      </c>
      <c r="H2717">
        <f>IF(C2717="","",COUNTIFS($C$2:$C$3001,C2717,$F$2:$F$3001,"&lt;"&amp;F2717)+1)</f>
        <v/>
      </c>
      <c r="I2717">
        <f>IF(C2717="","",C2717&amp;"|"&amp;H2717)</f>
        <v/>
      </c>
      <c r="J2717" s="6">
        <f>IF(C2717="","",IF(H2717=1,SUMIFS('Opening Balance'!$F$4:$F$303,'Opening Balance'!$G$4:$G$303,C2717),INDEX($L$2:$L$3001,MATCH(C2717&amp;"|"&amp;(H2717-1),$I$2:$I$3001,0))))</f>
        <v/>
      </c>
      <c r="K2717" s="6">
        <f>IF(C2717="","",IF(M2717&gt;0,M2717,IF(AND(E2717&gt;0,ROUND(J2717+D2717-E2717,2)&gt;0,ROUND(J2717+D2717-E2717,2)&lt;'Opening Balance'!$B$14),ROUND(J2717+D2717-E2717,2),0)))</f>
        <v/>
      </c>
      <c r="L2717" s="6">
        <f>IF(C2717="","",ROUND(J2717+D2717-E2717-K2717,2))</f>
        <v/>
      </c>
      <c r="M2717" s="6">
        <f>IF(C2717="","",0)</f>
        <v/>
      </c>
    </row>
    <row r="2718">
      <c r="A2718" t="inlineStr">
        <is>
          <t>Bank 银行</t>
        </is>
      </c>
      <c r="B2718" s="5">
        <f>IF(AND('Daily Sale entry '!Z1218="Online collection 网上收款",'Daily Sale entry '!AA1218&lt;&gt;""),'Daily Sale entry '!X1218,"")</f>
        <v/>
      </c>
      <c r="C2718">
        <f>IF(B2718="","",'Daily Sale entry '!AA1218)</f>
        <v/>
      </c>
      <c r="D2718">
        <f>IF(C2718="","",0)</f>
        <v/>
      </c>
      <c r="E2718">
        <f>IF(C2718="","",'Daily Sale entry '!AC1218)</f>
        <v/>
      </c>
      <c r="F2718" s="37">
        <f>IF(C2718="","",B2718+IF(E2718&gt;0,0,0.5)+ROW()/10000000)</f>
        <v/>
      </c>
      <c r="G2718">
        <f>IF(C2718="","","Collection 收款 (Online 网上)"&amp;IF('Daily Sale entry '!Y1218="",""," - "&amp;'Daily Sale entry '!Y1218))</f>
        <v/>
      </c>
      <c r="H2718">
        <f>IF(C2718="","",COUNTIFS($C$2:$C$3001,C2718,$F$2:$F$3001,"&lt;"&amp;F2718)+1)</f>
        <v/>
      </c>
      <c r="I2718">
        <f>IF(C2718="","",C2718&amp;"|"&amp;H2718)</f>
        <v/>
      </c>
      <c r="J2718" s="6">
        <f>IF(C2718="","",IF(H2718=1,SUMIFS('Opening Balance'!$F$4:$F$303,'Opening Balance'!$G$4:$G$303,C2718),INDEX($L$2:$L$3001,MATCH(C2718&amp;"|"&amp;(H2718-1),$I$2:$I$3001,0))))</f>
        <v/>
      </c>
      <c r="K2718" s="6">
        <f>IF(C2718="","",IF(M2718&gt;0,M2718,IF(AND(E2718&gt;0,ROUND(J2718+D2718-E2718,2)&gt;0,ROUND(J2718+D2718-E2718,2)&lt;'Opening Balance'!$B$14),ROUND(J2718+D2718-E2718,2),0)))</f>
        <v/>
      </c>
      <c r="L2718" s="6">
        <f>IF(C2718="","",ROUND(J2718+D2718-E2718-K2718,2))</f>
        <v/>
      </c>
      <c r="M2718" s="6">
        <f>IF(C2718="","",0)</f>
        <v/>
      </c>
    </row>
    <row r="2719">
      <c r="A2719" t="inlineStr">
        <is>
          <t>Bank 银行</t>
        </is>
      </c>
      <c r="B2719" s="5">
        <f>IF(AND('Daily Sale entry '!Z1219="Online collection 网上收款",'Daily Sale entry '!AA1219&lt;&gt;""),'Daily Sale entry '!X1219,"")</f>
        <v/>
      </c>
      <c r="C2719">
        <f>IF(B2719="","",'Daily Sale entry '!AA1219)</f>
        <v/>
      </c>
      <c r="D2719">
        <f>IF(C2719="","",0)</f>
        <v/>
      </c>
      <c r="E2719">
        <f>IF(C2719="","",'Daily Sale entry '!AC1219)</f>
        <v/>
      </c>
      <c r="F2719" s="37">
        <f>IF(C2719="","",B2719+IF(E2719&gt;0,0,0.5)+ROW()/10000000)</f>
        <v/>
      </c>
      <c r="G2719">
        <f>IF(C2719="","","Collection 收款 (Online 网上)"&amp;IF('Daily Sale entry '!Y1219="",""," - "&amp;'Daily Sale entry '!Y1219))</f>
        <v/>
      </c>
      <c r="H2719">
        <f>IF(C2719="","",COUNTIFS($C$2:$C$3001,C2719,$F$2:$F$3001,"&lt;"&amp;F2719)+1)</f>
        <v/>
      </c>
      <c r="I2719">
        <f>IF(C2719="","",C2719&amp;"|"&amp;H2719)</f>
        <v/>
      </c>
      <c r="J2719" s="6">
        <f>IF(C2719="","",IF(H2719=1,SUMIFS('Opening Balance'!$F$4:$F$303,'Opening Balance'!$G$4:$G$303,C2719),INDEX($L$2:$L$3001,MATCH(C2719&amp;"|"&amp;(H2719-1),$I$2:$I$3001,0))))</f>
        <v/>
      </c>
      <c r="K2719" s="6">
        <f>IF(C2719="","",IF(M2719&gt;0,M2719,IF(AND(E2719&gt;0,ROUND(J2719+D2719-E2719,2)&gt;0,ROUND(J2719+D2719-E2719,2)&lt;'Opening Balance'!$B$14),ROUND(J2719+D2719-E2719,2),0)))</f>
        <v/>
      </c>
      <c r="L2719" s="6">
        <f>IF(C2719="","",ROUND(J2719+D2719-E2719-K2719,2))</f>
        <v/>
      </c>
      <c r="M2719" s="6">
        <f>IF(C2719="","",0)</f>
        <v/>
      </c>
    </row>
    <row r="2720">
      <c r="A2720" t="inlineStr">
        <is>
          <t>Bank 银行</t>
        </is>
      </c>
      <c r="B2720" s="5">
        <f>IF(AND('Daily Sale entry '!Z1220="Online collection 网上收款",'Daily Sale entry '!AA1220&lt;&gt;""),'Daily Sale entry '!X1220,"")</f>
        <v/>
      </c>
      <c r="C2720">
        <f>IF(B2720="","",'Daily Sale entry '!AA1220)</f>
        <v/>
      </c>
      <c r="D2720">
        <f>IF(C2720="","",0)</f>
        <v/>
      </c>
      <c r="E2720">
        <f>IF(C2720="","",'Daily Sale entry '!AC1220)</f>
        <v/>
      </c>
      <c r="F2720" s="37">
        <f>IF(C2720="","",B2720+IF(E2720&gt;0,0,0.5)+ROW()/10000000)</f>
        <v/>
      </c>
      <c r="G2720">
        <f>IF(C2720="","","Collection 收款 (Online 网上)"&amp;IF('Daily Sale entry '!Y1220="",""," - "&amp;'Daily Sale entry '!Y1220))</f>
        <v/>
      </c>
      <c r="H2720">
        <f>IF(C2720="","",COUNTIFS($C$2:$C$3001,C2720,$F$2:$F$3001,"&lt;"&amp;F2720)+1)</f>
        <v/>
      </c>
      <c r="I2720">
        <f>IF(C2720="","",C2720&amp;"|"&amp;H2720)</f>
        <v/>
      </c>
      <c r="J2720" s="6">
        <f>IF(C2720="","",IF(H2720=1,SUMIFS('Opening Balance'!$F$4:$F$303,'Opening Balance'!$G$4:$G$303,C2720),INDEX($L$2:$L$3001,MATCH(C2720&amp;"|"&amp;(H2720-1),$I$2:$I$3001,0))))</f>
        <v/>
      </c>
      <c r="K2720" s="6">
        <f>IF(C2720="","",IF(M2720&gt;0,M2720,IF(AND(E2720&gt;0,ROUND(J2720+D2720-E2720,2)&gt;0,ROUND(J2720+D2720-E2720,2)&lt;'Opening Balance'!$B$14),ROUND(J2720+D2720-E2720,2),0)))</f>
        <v/>
      </c>
      <c r="L2720" s="6">
        <f>IF(C2720="","",ROUND(J2720+D2720-E2720-K2720,2))</f>
        <v/>
      </c>
      <c r="M2720" s="6">
        <f>IF(C2720="","",0)</f>
        <v/>
      </c>
    </row>
    <row r="2721">
      <c r="A2721" t="inlineStr">
        <is>
          <t>Bank 银行</t>
        </is>
      </c>
      <c r="B2721" s="5">
        <f>IF(AND('Daily Sale entry '!Z1221="Online collection 网上收款",'Daily Sale entry '!AA1221&lt;&gt;""),'Daily Sale entry '!X1221,"")</f>
        <v/>
      </c>
      <c r="C2721">
        <f>IF(B2721="","",'Daily Sale entry '!AA1221)</f>
        <v/>
      </c>
      <c r="D2721">
        <f>IF(C2721="","",0)</f>
        <v/>
      </c>
      <c r="E2721">
        <f>IF(C2721="","",'Daily Sale entry '!AC1221)</f>
        <v/>
      </c>
      <c r="F2721" s="37">
        <f>IF(C2721="","",B2721+IF(E2721&gt;0,0,0.5)+ROW()/10000000)</f>
        <v/>
      </c>
      <c r="G2721">
        <f>IF(C2721="","","Collection 收款 (Online 网上)"&amp;IF('Daily Sale entry '!Y1221="",""," - "&amp;'Daily Sale entry '!Y1221))</f>
        <v/>
      </c>
      <c r="H2721">
        <f>IF(C2721="","",COUNTIFS($C$2:$C$3001,C2721,$F$2:$F$3001,"&lt;"&amp;F2721)+1)</f>
        <v/>
      </c>
      <c r="I2721">
        <f>IF(C2721="","",C2721&amp;"|"&amp;H2721)</f>
        <v/>
      </c>
      <c r="J2721" s="6">
        <f>IF(C2721="","",IF(H2721=1,SUMIFS('Opening Balance'!$F$4:$F$303,'Opening Balance'!$G$4:$G$303,C2721),INDEX($L$2:$L$3001,MATCH(C2721&amp;"|"&amp;(H2721-1),$I$2:$I$3001,0))))</f>
        <v/>
      </c>
      <c r="K2721" s="6">
        <f>IF(C2721="","",IF(M2721&gt;0,M2721,IF(AND(E2721&gt;0,ROUND(J2721+D2721-E2721,2)&gt;0,ROUND(J2721+D2721-E2721,2)&lt;'Opening Balance'!$B$14),ROUND(J2721+D2721-E2721,2),0)))</f>
        <v/>
      </c>
      <c r="L2721" s="6">
        <f>IF(C2721="","",ROUND(J2721+D2721-E2721-K2721,2))</f>
        <v/>
      </c>
      <c r="M2721" s="6">
        <f>IF(C2721="","",0)</f>
        <v/>
      </c>
    </row>
    <row r="2722">
      <c r="A2722" t="inlineStr">
        <is>
          <t>Bank 银行</t>
        </is>
      </c>
      <c r="B2722" s="5">
        <f>IF(AND('Daily Sale entry '!Z1222="Online collection 网上收款",'Daily Sale entry '!AA1222&lt;&gt;""),'Daily Sale entry '!X1222,"")</f>
        <v/>
      </c>
      <c r="C2722">
        <f>IF(B2722="","",'Daily Sale entry '!AA1222)</f>
        <v/>
      </c>
      <c r="D2722">
        <f>IF(C2722="","",0)</f>
        <v/>
      </c>
      <c r="E2722">
        <f>IF(C2722="","",'Daily Sale entry '!AC1222)</f>
        <v/>
      </c>
      <c r="F2722" s="37">
        <f>IF(C2722="","",B2722+IF(E2722&gt;0,0,0.5)+ROW()/10000000)</f>
        <v/>
      </c>
      <c r="G2722">
        <f>IF(C2722="","","Collection 收款 (Online 网上)"&amp;IF('Daily Sale entry '!Y1222="",""," - "&amp;'Daily Sale entry '!Y1222))</f>
        <v/>
      </c>
      <c r="H2722">
        <f>IF(C2722="","",COUNTIFS($C$2:$C$3001,C2722,$F$2:$F$3001,"&lt;"&amp;F2722)+1)</f>
        <v/>
      </c>
      <c r="I2722">
        <f>IF(C2722="","",C2722&amp;"|"&amp;H2722)</f>
        <v/>
      </c>
      <c r="J2722" s="6">
        <f>IF(C2722="","",IF(H2722=1,SUMIFS('Opening Balance'!$F$4:$F$303,'Opening Balance'!$G$4:$G$303,C2722),INDEX($L$2:$L$3001,MATCH(C2722&amp;"|"&amp;(H2722-1),$I$2:$I$3001,0))))</f>
        <v/>
      </c>
      <c r="K2722" s="6">
        <f>IF(C2722="","",IF(M2722&gt;0,M2722,IF(AND(E2722&gt;0,ROUND(J2722+D2722-E2722,2)&gt;0,ROUND(J2722+D2722-E2722,2)&lt;'Opening Balance'!$B$14),ROUND(J2722+D2722-E2722,2),0)))</f>
        <v/>
      </c>
      <c r="L2722" s="6">
        <f>IF(C2722="","",ROUND(J2722+D2722-E2722-K2722,2))</f>
        <v/>
      </c>
      <c r="M2722" s="6">
        <f>IF(C2722="","",0)</f>
        <v/>
      </c>
    </row>
    <row r="2723">
      <c r="A2723" t="inlineStr">
        <is>
          <t>Bank 银行</t>
        </is>
      </c>
      <c r="B2723" s="5">
        <f>IF(AND('Daily Sale entry '!Z1223="Online collection 网上收款",'Daily Sale entry '!AA1223&lt;&gt;""),'Daily Sale entry '!X1223,"")</f>
        <v/>
      </c>
      <c r="C2723">
        <f>IF(B2723="","",'Daily Sale entry '!AA1223)</f>
        <v/>
      </c>
      <c r="D2723">
        <f>IF(C2723="","",0)</f>
        <v/>
      </c>
      <c r="E2723">
        <f>IF(C2723="","",'Daily Sale entry '!AC1223)</f>
        <v/>
      </c>
      <c r="F2723" s="37">
        <f>IF(C2723="","",B2723+IF(E2723&gt;0,0,0.5)+ROW()/10000000)</f>
        <v/>
      </c>
      <c r="G2723">
        <f>IF(C2723="","","Collection 收款 (Online 网上)"&amp;IF('Daily Sale entry '!Y1223="",""," - "&amp;'Daily Sale entry '!Y1223))</f>
        <v/>
      </c>
      <c r="H2723">
        <f>IF(C2723="","",COUNTIFS($C$2:$C$3001,C2723,$F$2:$F$3001,"&lt;"&amp;F2723)+1)</f>
        <v/>
      </c>
      <c r="I2723">
        <f>IF(C2723="","",C2723&amp;"|"&amp;H2723)</f>
        <v/>
      </c>
      <c r="J2723" s="6">
        <f>IF(C2723="","",IF(H2723=1,SUMIFS('Opening Balance'!$F$4:$F$303,'Opening Balance'!$G$4:$G$303,C2723),INDEX($L$2:$L$3001,MATCH(C2723&amp;"|"&amp;(H2723-1),$I$2:$I$3001,0))))</f>
        <v/>
      </c>
      <c r="K2723" s="6">
        <f>IF(C2723="","",IF(M2723&gt;0,M2723,IF(AND(E2723&gt;0,ROUND(J2723+D2723-E2723,2)&gt;0,ROUND(J2723+D2723-E2723,2)&lt;'Opening Balance'!$B$14),ROUND(J2723+D2723-E2723,2),0)))</f>
        <v/>
      </c>
      <c r="L2723" s="6">
        <f>IF(C2723="","",ROUND(J2723+D2723-E2723-K2723,2))</f>
        <v/>
      </c>
      <c r="M2723" s="6">
        <f>IF(C2723="","",0)</f>
        <v/>
      </c>
    </row>
    <row r="2724">
      <c r="A2724" t="inlineStr">
        <is>
          <t>Bank 银行</t>
        </is>
      </c>
      <c r="B2724" s="5">
        <f>IF(AND('Daily Sale entry '!Z1224="Online collection 网上收款",'Daily Sale entry '!AA1224&lt;&gt;""),'Daily Sale entry '!X1224,"")</f>
        <v/>
      </c>
      <c r="C2724">
        <f>IF(B2724="","",'Daily Sale entry '!AA1224)</f>
        <v/>
      </c>
      <c r="D2724">
        <f>IF(C2724="","",0)</f>
        <v/>
      </c>
      <c r="E2724">
        <f>IF(C2724="","",'Daily Sale entry '!AC1224)</f>
        <v/>
      </c>
      <c r="F2724" s="37">
        <f>IF(C2724="","",B2724+IF(E2724&gt;0,0,0.5)+ROW()/10000000)</f>
        <v/>
      </c>
      <c r="G2724">
        <f>IF(C2724="","","Collection 收款 (Online 网上)"&amp;IF('Daily Sale entry '!Y1224="",""," - "&amp;'Daily Sale entry '!Y1224))</f>
        <v/>
      </c>
      <c r="H2724">
        <f>IF(C2724="","",COUNTIFS($C$2:$C$3001,C2724,$F$2:$F$3001,"&lt;"&amp;F2724)+1)</f>
        <v/>
      </c>
      <c r="I2724">
        <f>IF(C2724="","",C2724&amp;"|"&amp;H2724)</f>
        <v/>
      </c>
      <c r="J2724" s="6">
        <f>IF(C2724="","",IF(H2724=1,SUMIFS('Opening Balance'!$F$4:$F$303,'Opening Balance'!$G$4:$G$303,C2724),INDEX($L$2:$L$3001,MATCH(C2724&amp;"|"&amp;(H2724-1),$I$2:$I$3001,0))))</f>
        <v/>
      </c>
      <c r="K2724" s="6">
        <f>IF(C2724="","",IF(M2724&gt;0,M2724,IF(AND(E2724&gt;0,ROUND(J2724+D2724-E2724,2)&gt;0,ROUND(J2724+D2724-E2724,2)&lt;'Opening Balance'!$B$14),ROUND(J2724+D2724-E2724,2),0)))</f>
        <v/>
      </c>
      <c r="L2724" s="6">
        <f>IF(C2724="","",ROUND(J2724+D2724-E2724-K2724,2))</f>
        <v/>
      </c>
      <c r="M2724" s="6">
        <f>IF(C2724="","",0)</f>
        <v/>
      </c>
    </row>
    <row r="2725">
      <c r="A2725" t="inlineStr">
        <is>
          <t>Bank 银行</t>
        </is>
      </c>
      <c r="B2725" s="5">
        <f>IF(AND('Daily Sale entry '!Z1225="Online collection 网上收款",'Daily Sale entry '!AA1225&lt;&gt;""),'Daily Sale entry '!X1225,"")</f>
        <v/>
      </c>
      <c r="C2725">
        <f>IF(B2725="","",'Daily Sale entry '!AA1225)</f>
        <v/>
      </c>
      <c r="D2725">
        <f>IF(C2725="","",0)</f>
        <v/>
      </c>
      <c r="E2725">
        <f>IF(C2725="","",'Daily Sale entry '!AC1225)</f>
        <v/>
      </c>
      <c r="F2725" s="37">
        <f>IF(C2725="","",B2725+IF(E2725&gt;0,0,0.5)+ROW()/10000000)</f>
        <v/>
      </c>
      <c r="G2725">
        <f>IF(C2725="","","Collection 收款 (Online 网上)"&amp;IF('Daily Sale entry '!Y1225="",""," - "&amp;'Daily Sale entry '!Y1225))</f>
        <v/>
      </c>
      <c r="H2725">
        <f>IF(C2725="","",COUNTIFS($C$2:$C$3001,C2725,$F$2:$F$3001,"&lt;"&amp;F2725)+1)</f>
        <v/>
      </c>
      <c r="I2725">
        <f>IF(C2725="","",C2725&amp;"|"&amp;H2725)</f>
        <v/>
      </c>
      <c r="J2725" s="6">
        <f>IF(C2725="","",IF(H2725=1,SUMIFS('Opening Balance'!$F$4:$F$303,'Opening Balance'!$G$4:$G$303,C2725),INDEX($L$2:$L$3001,MATCH(C2725&amp;"|"&amp;(H2725-1),$I$2:$I$3001,0))))</f>
        <v/>
      </c>
      <c r="K2725" s="6">
        <f>IF(C2725="","",IF(M2725&gt;0,M2725,IF(AND(E2725&gt;0,ROUND(J2725+D2725-E2725,2)&gt;0,ROUND(J2725+D2725-E2725,2)&lt;'Opening Balance'!$B$14),ROUND(J2725+D2725-E2725,2),0)))</f>
        <v/>
      </c>
      <c r="L2725" s="6">
        <f>IF(C2725="","",ROUND(J2725+D2725-E2725-K2725,2))</f>
        <v/>
      </c>
      <c r="M2725" s="6">
        <f>IF(C2725="","",0)</f>
        <v/>
      </c>
    </row>
    <row r="2726">
      <c r="A2726" t="inlineStr">
        <is>
          <t>Bank 银行</t>
        </is>
      </c>
      <c r="B2726" s="5">
        <f>IF(AND('Daily Sale entry '!Z1226="Online collection 网上收款",'Daily Sale entry '!AA1226&lt;&gt;""),'Daily Sale entry '!X1226,"")</f>
        <v/>
      </c>
      <c r="C2726">
        <f>IF(B2726="","",'Daily Sale entry '!AA1226)</f>
        <v/>
      </c>
      <c r="D2726">
        <f>IF(C2726="","",0)</f>
        <v/>
      </c>
      <c r="E2726">
        <f>IF(C2726="","",'Daily Sale entry '!AC1226)</f>
        <v/>
      </c>
      <c r="F2726" s="37">
        <f>IF(C2726="","",B2726+IF(E2726&gt;0,0,0.5)+ROW()/10000000)</f>
        <v/>
      </c>
      <c r="G2726">
        <f>IF(C2726="","","Collection 收款 (Online 网上)"&amp;IF('Daily Sale entry '!Y1226="",""," - "&amp;'Daily Sale entry '!Y1226))</f>
        <v/>
      </c>
      <c r="H2726">
        <f>IF(C2726="","",COUNTIFS($C$2:$C$3001,C2726,$F$2:$F$3001,"&lt;"&amp;F2726)+1)</f>
        <v/>
      </c>
      <c r="I2726">
        <f>IF(C2726="","",C2726&amp;"|"&amp;H2726)</f>
        <v/>
      </c>
      <c r="J2726" s="6">
        <f>IF(C2726="","",IF(H2726=1,SUMIFS('Opening Balance'!$F$4:$F$303,'Opening Balance'!$G$4:$G$303,C2726),INDEX($L$2:$L$3001,MATCH(C2726&amp;"|"&amp;(H2726-1),$I$2:$I$3001,0))))</f>
        <v/>
      </c>
      <c r="K2726" s="6">
        <f>IF(C2726="","",IF(M2726&gt;0,M2726,IF(AND(E2726&gt;0,ROUND(J2726+D2726-E2726,2)&gt;0,ROUND(J2726+D2726-E2726,2)&lt;'Opening Balance'!$B$14),ROUND(J2726+D2726-E2726,2),0)))</f>
        <v/>
      </c>
      <c r="L2726" s="6">
        <f>IF(C2726="","",ROUND(J2726+D2726-E2726-K2726,2))</f>
        <v/>
      </c>
      <c r="M2726" s="6">
        <f>IF(C2726="","",0)</f>
        <v/>
      </c>
    </row>
    <row r="2727">
      <c r="A2727" t="inlineStr">
        <is>
          <t>Bank 银行</t>
        </is>
      </c>
      <c r="B2727" s="5">
        <f>IF(AND('Daily Sale entry '!Z1227="Online collection 网上收款",'Daily Sale entry '!AA1227&lt;&gt;""),'Daily Sale entry '!X1227,"")</f>
        <v/>
      </c>
      <c r="C2727">
        <f>IF(B2727="","",'Daily Sale entry '!AA1227)</f>
        <v/>
      </c>
      <c r="D2727">
        <f>IF(C2727="","",0)</f>
        <v/>
      </c>
      <c r="E2727">
        <f>IF(C2727="","",'Daily Sale entry '!AC1227)</f>
        <v/>
      </c>
      <c r="F2727" s="37">
        <f>IF(C2727="","",B2727+IF(E2727&gt;0,0,0.5)+ROW()/10000000)</f>
        <v/>
      </c>
      <c r="G2727">
        <f>IF(C2727="","","Collection 收款 (Online 网上)"&amp;IF('Daily Sale entry '!Y1227="",""," - "&amp;'Daily Sale entry '!Y1227))</f>
        <v/>
      </c>
      <c r="H2727">
        <f>IF(C2727="","",COUNTIFS($C$2:$C$3001,C2727,$F$2:$F$3001,"&lt;"&amp;F2727)+1)</f>
        <v/>
      </c>
      <c r="I2727">
        <f>IF(C2727="","",C2727&amp;"|"&amp;H2727)</f>
        <v/>
      </c>
      <c r="J2727" s="6">
        <f>IF(C2727="","",IF(H2727=1,SUMIFS('Opening Balance'!$F$4:$F$303,'Opening Balance'!$G$4:$G$303,C2727),INDEX($L$2:$L$3001,MATCH(C2727&amp;"|"&amp;(H2727-1),$I$2:$I$3001,0))))</f>
        <v/>
      </c>
      <c r="K2727" s="6">
        <f>IF(C2727="","",IF(M2727&gt;0,M2727,IF(AND(E2727&gt;0,ROUND(J2727+D2727-E2727,2)&gt;0,ROUND(J2727+D2727-E2727,2)&lt;'Opening Balance'!$B$14),ROUND(J2727+D2727-E2727,2),0)))</f>
        <v/>
      </c>
      <c r="L2727" s="6">
        <f>IF(C2727="","",ROUND(J2727+D2727-E2727-K2727,2))</f>
        <v/>
      </c>
      <c r="M2727" s="6">
        <f>IF(C2727="","",0)</f>
        <v/>
      </c>
    </row>
    <row r="2728">
      <c r="A2728" t="inlineStr">
        <is>
          <t>Bank 银行</t>
        </is>
      </c>
      <c r="B2728" s="5">
        <f>IF(AND('Daily Sale entry '!Z1228="Online collection 网上收款",'Daily Sale entry '!AA1228&lt;&gt;""),'Daily Sale entry '!X1228,"")</f>
        <v/>
      </c>
      <c r="C2728">
        <f>IF(B2728="","",'Daily Sale entry '!AA1228)</f>
        <v/>
      </c>
      <c r="D2728">
        <f>IF(C2728="","",0)</f>
        <v/>
      </c>
      <c r="E2728">
        <f>IF(C2728="","",'Daily Sale entry '!AC1228)</f>
        <v/>
      </c>
      <c r="F2728" s="37">
        <f>IF(C2728="","",B2728+IF(E2728&gt;0,0,0.5)+ROW()/10000000)</f>
        <v/>
      </c>
      <c r="G2728">
        <f>IF(C2728="","","Collection 收款 (Online 网上)"&amp;IF('Daily Sale entry '!Y1228="",""," - "&amp;'Daily Sale entry '!Y1228))</f>
        <v/>
      </c>
      <c r="H2728">
        <f>IF(C2728="","",COUNTIFS($C$2:$C$3001,C2728,$F$2:$F$3001,"&lt;"&amp;F2728)+1)</f>
        <v/>
      </c>
      <c r="I2728">
        <f>IF(C2728="","",C2728&amp;"|"&amp;H2728)</f>
        <v/>
      </c>
      <c r="J2728" s="6">
        <f>IF(C2728="","",IF(H2728=1,SUMIFS('Opening Balance'!$F$4:$F$303,'Opening Balance'!$G$4:$G$303,C2728),INDEX($L$2:$L$3001,MATCH(C2728&amp;"|"&amp;(H2728-1),$I$2:$I$3001,0))))</f>
        <v/>
      </c>
      <c r="K2728" s="6">
        <f>IF(C2728="","",IF(M2728&gt;0,M2728,IF(AND(E2728&gt;0,ROUND(J2728+D2728-E2728,2)&gt;0,ROUND(J2728+D2728-E2728,2)&lt;'Opening Balance'!$B$14),ROUND(J2728+D2728-E2728,2),0)))</f>
        <v/>
      </c>
      <c r="L2728" s="6">
        <f>IF(C2728="","",ROUND(J2728+D2728-E2728-K2728,2))</f>
        <v/>
      </c>
      <c r="M2728" s="6">
        <f>IF(C2728="","",0)</f>
        <v/>
      </c>
    </row>
    <row r="2729">
      <c r="A2729" t="inlineStr">
        <is>
          <t>Bank 银行</t>
        </is>
      </c>
      <c r="B2729" s="5">
        <f>IF(AND('Daily Sale entry '!Z1229="Online collection 网上收款",'Daily Sale entry '!AA1229&lt;&gt;""),'Daily Sale entry '!X1229,"")</f>
        <v/>
      </c>
      <c r="C2729">
        <f>IF(B2729="","",'Daily Sale entry '!AA1229)</f>
        <v/>
      </c>
      <c r="D2729">
        <f>IF(C2729="","",0)</f>
        <v/>
      </c>
      <c r="E2729">
        <f>IF(C2729="","",'Daily Sale entry '!AC1229)</f>
        <v/>
      </c>
      <c r="F2729" s="37">
        <f>IF(C2729="","",B2729+IF(E2729&gt;0,0,0.5)+ROW()/10000000)</f>
        <v/>
      </c>
      <c r="G2729">
        <f>IF(C2729="","","Collection 收款 (Online 网上)"&amp;IF('Daily Sale entry '!Y1229="",""," - "&amp;'Daily Sale entry '!Y1229))</f>
        <v/>
      </c>
      <c r="H2729">
        <f>IF(C2729="","",COUNTIFS($C$2:$C$3001,C2729,$F$2:$F$3001,"&lt;"&amp;F2729)+1)</f>
        <v/>
      </c>
      <c r="I2729">
        <f>IF(C2729="","",C2729&amp;"|"&amp;H2729)</f>
        <v/>
      </c>
      <c r="J2729" s="6">
        <f>IF(C2729="","",IF(H2729=1,SUMIFS('Opening Balance'!$F$4:$F$303,'Opening Balance'!$G$4:$G$303,C2729),INDEX($L$2:$L$3001,MATCH(C2729&amp;"|"&amp;(H2729-1),$I$2:$I$3001,0))))</f>
        <v/>
      </c>
      <c r="K2729" s="6">
        <f>IF(C2729="","",IF(M2729&gt;0,M2729,IF(AND(E2729&gt;0,ROUND(J2729+D2729-E2729,2)&gt;0,ROUND(J2729+D2729-E2729,2)&lt;'Opening Balance'!$B$14),ROUND(J2729+D2729-E2729,2),0)))</f>
        <v/>
      </c>
      <c r="L2729" s="6">
        <f>IF(C2729="","",ROUND(J2729+D2729-E2729-K2729,2))</f>
        <v/>
      </c>
      <c r="M2729" s="6">
        <f>IF(C2729="","",0)</f>
        <v/>
      </c>
    </row>
    <row r="2730">
      <c r="A2730" t="inlineStr">
        <is>
          <t>Bank 银行</t>
        </is>
      </c>
      <c r="B2730" s="5">
        <f>IF(AND('Daily Sale entry '!Z1230="Online collection 网上收款",'Daily Sale entry '!AA1230&lt;&gt;""),'Daily Sale entry '!X1230,"")</f>
        <v/>
      </c>
      <c r="C2730">
        <f>IF(B2730="","",'Daily Sale entry '!AA1230)</f>
        <v/>
      </c>
      <c r="D2730">
        <f>IF(C2730="","",0)</f>
        <v/>
      </c>
      <c r="E2730">
        <f>IF(C2730="","",'Daily Sale entry '!AC1230)</f>
        <v/>
      </c>
      <c r="F2730" s="37">
        <f>IF(C2730="","",B2730+IF(E2730&gt;0,0,0.5)+ROW()/10000000)</f>
        <v/>
      </c>
      <c r="G2730">
        <f>IF(C2730="","","Collection 收款 (Online 网上)"&amp;IF('Daily Sale entry '!Y1230="",""," - "&amp;'Daily Sale entry '!Y1230))</f>
        <v/>
      </c>
      <c r="H2730">
        <f>IF(C2730="","",COUNTIFS($C$2:$C$3001,C2730,$F$2:$F$3001,"&lt;"&amp;F2730)+1)</f>
        <v/>
      </c>
      <c r="I2730">
        <f>IF(C2730="","",C2730&amp;"|"&amp;H2730)</f>
        <v/>
      </c>
      <c r="J2730" s="6">
        <f>IF(C2730="","",IF(H2730=1,SUMIFS('Opening Balance'!$F$4:$F$303,'Opening Balance'!$G$4:$G$303,C2730),INDEX($L$2:$L$3001,MATCH(C2730&amp;"|"&amp;(H2730-1),$I$2:$I$3001,0))))</f>
        <v/>
      </c>
      <c r="K2730" s="6">
        <f>IF(C2730="","",IF(M2730&gt;0,M2730,IF(AND(E2730&gt;0,ROUND(J2730+D2730-E2730,2)&gt;0,ROUND(J2730+D2730-E2730,2)&lt;'Opening Balance'!$B$14),ROUND(J2730+D2730-E2730,2),0)))</f>
        <v/>
      </c>
      <c r="L2730" s="6">
        <f>IF(C2730="","",ROUND(J2730+D2730-E2730-K2730,2))</f>
        <v/>
      </c>
      <c r="M2730" s="6">
        <f>IF(C2730="","",0)</f>
        <v/>
      </c>
    </row>
    <row r="2731">
      <c r="A2731" t="inlineStr">
        <is>
          <t>Bank 银行</t>
        </is>
      </c>
      <c r="B2731" s="5">
        <f>IF(AND('Daily Sale entry '!Z1231="Online collection 网上收款",'Daily Sale entry '!AA1231&lt;&gt;""),'Daily Sale entry '!X1231,"")</f>
        <v/>
      </c>
      <c r="C2731">
        <f>IF(B2731="","",'Daily Sale entry '!AA1231)</f>
        <v/>
      </c>
      <c r="D2731">
        <f>IF(C2731="","",0)</f>
        <v/>
      </c>
      <c r="E2731">
        <f>IF(C2731="","",'Daily Sale entry '!AC1231)</f>
        <v/>
      </c>
      <c r="F2731" s="37">
        <f>IF(C2731="","",B2731+IF(E2731&gt;0,0,0.5)+ROW()/10000000)</f>
        <v/>
      </c>
      <c r="G2731">
        <f>IF(C2731="","","Collection 收款 (Online 网上)"&amp;IF('Daily Sale entry '!Y1231="",""," - "&amp;'Daily Sale entry '!Y1231))</f>
        <v/>
      </c>
      <c r="H2731">
        <f>IF(C2731="","",COUNTIFS($C$2:$C$3001,C2731,$F$2:$F$3001,"&lt;"&amp;F2731)+1)</f>
        <v/>
      </c>
      <c r="I2731">
        <f>IF(C2731="","",C2731&amp;"|"&amp;H2731)</f>
        <v/>
      </c>
      <c r="J2731" s="6">
        <f>IF(C2731="","",IF(H2731=1,SUMIFS('Opening Balance'!$F$4:$F$303,'Opening Balance'!$G$4:$G$303,C2731),INDEX($L$2:$L$3001,MATCH(C2731&amp;"|"&amp;(H2731-1),$I$2:$I$3001,0))))</f>
        <v/>
      </c>
      <c r="K2731" s="6">
        <f>IF(C2731="","",IF(M2731&gt;0,M2731,IF(AND(E2731&gt;0,ROUND(J2731+D2731-E2731,2)&gt;0,ROUND(J2731+D2731-E2731,2)&lt;'Opening Balance'!$B$14),ROUND(J2731+D2731-E2731,2),0)))</f>
        <v/>
      </c>
      <c r="L2731" s="6">
        <f>IF(C2731="","",ROUND(J2731+D2731-E2731-K2731,2))</f>
        <v/>
      </c>
      <c r="M2731" s="6">
        <f>IF(C2731="","",0)</f>
        <v/>
      </c>
    </row>
    <row r="2732">
      <c r="A2732" t="inlineStr">
        <is>
          <t>Bank 银行</t>
        </is>
      </c>
      <c r="B2732" s="5">
        <f>IF(AND('Daily Sale entry '!Z1232="Online collection 网上收款",'Daily Sale entry '!AA1232&lt;&gt;""),'Daily Sale entry '!X1232,"")</f>
        <v/>
      </c>
      <c r="C2732">
        <f>IF(B2732="","",'Daily Sale entry '!AA1232)</f>
        <v/>
      </c>
      <c r="D2732">
        <f>IF(C2732="","",0)</f>
        <v/>
      </c>
      <c r="E2732">
        <f>IF(C2732="","",'Daily Sale entry '!AC1232)</f>
        <v/>
      </c>
      <c r="F2732" s="37">
        <f>IF(C2732="","",B2732+IF(E2732&gt;0,0,0.5)+ROW()/10000000)</f>
        <v/>
      </c>
      <c r="G2732">
        <f>IF(C2732="","","Collection 收款 (Online 网上)"&amp;IF('Daily Sale entry '!Y1232="",""," - "&amp;'Daily Sale entry '!Y1232))</f>
        <v/>
      </c>
      <c r="H2732">
        <f>IF(C2732="","",COUNTIFS($C$2:$C$3001,C2732,$F$2:$F$3001,"&lt;"&amp;F2732)+1)</f>
        <v/>
      </c>
      <c r="I2732">
        <f>IF(C2732="","",C2732&amp;"|"&amp;H2732)</f>
        <v/>
      </c>
      <c r="J2732" s="6">
        <f>IF(C2732="","",IF(H2732=1,SUMIFS('Opening Balance'!$F$4:$F$303,'Opening Balance'!$G$4:$G$303,C2732),INDEX($L$2:$L$3001,MATCH(C2732&amp;"|"&amp;(H2732-1),$I$2:$I$3001,0))))</f>
        <v/>
      </c>
      <c r="K2732" s="6">
        <f>IF(C2732="","",IF(M2732&gt;0,M2732,IF(AND(E2732&gt;0,ROUND(J2732+D2732-E2732,2)&gt;0,ROUND(J2732+D2732-E2732,2)&lt;'Opening Balance'!$B$14),ROUND(J2732+D2732-E2732,2),0)))</f>
        <v/>
      </c>
      <c r="L2732" s="6">
        <f>IF(C2732="","",ROUND(J2732+D2732-E2732-K2732,2))</f>
        <v/>
      </c>
      <c r="M2732" s="6">
        <f>IF(C2732="","",0)</f>
        <v/>
      </c>
    </row>
    <row r="2733">
      <c r="A2733" t="inlineStr">
        <is>
          <t>Bank 银行</t>
        </is>
      </c>
      <c r="B2733" s="5">
        <f>IF(AND('Daily Sale entry '!Z1233="Online collection 网上收款",'Daily Sale entry '!AA1233&lt;&gt;""),'Daily Sale entry '!X1233,"")</f>
        <v/>
      </c>
      <c r="C2733">
        <f>IF(B2733="","",'Daily Sale entry '!AA1233)</f>
        <v/>
      </c>
      <c r="D2733">
        <f>IF(C2733="","",0)</f>
        <v/>
      </c>
      <c r="E2733">
        <f>IF(C2733="","",'Daily Sale entry '!AC1233)</f>
        <v/>
      </c>
      <c r="F2733" s="37">
        <f>IF(C2733="","",B2733+IF(E2733&gt;0,0,0.5)+ROW()/10000000)</f>
        <v/>
      </c>
      <c r="G2733">
        <f>IF(C2733="","","Collection 收款 (Online 网上)"&amp;IF('Daily Sale entry '!Y1233="",""," - "&amp;'Daily Sale entry '!Y1233))</f>
        <v/>
      </c>
      <c r="H2733">
        <f>IF(C2733="","",COUNTIFS($C$2:$C$3001,C2733,$F$2:$F$3001,"&lt;"&amp;F2733)+1)</f>
        <v/>
      </c>
      <c r="I2733">
        <f>IF(C2733="","",C2733&amp;"|"&amp;H2733)</f>
        <v/>
      </c>
      <c r="J2733" s="6">
        <f>IF(C2733="","",IF(H2733=1,SUMIFS('Opening Balance'!$F$4:$F$303,'Opening Balance'!$G$4:$G$303,C2733),INDEX($L$2:$L$3001,MATCH(C2733&amp;"|"&amp;(H2733-1),$I$2:$I$3001,0))))</f>
        <v/>
      </c>
      <c r="K2733" s="6">
        <f>IF(C2733="","",IF(M2733&gt;0,M2733,IF(AND(E2733&gt;0,ROUND(J2733+D2733-E2733,2)&gt;0,ROUND(J2733+D2733-E2733,2)&lt;'Opening Balance'!$B$14),ROUND(J2733+D2733-E2733,2),0)))</f>
        <v/>
      </c>
      <c r="L2733" s="6">
        <f>IF(C2733="","",ROUND(J2733+D2733-E2733-K2733,2))</f>
        <v/>
      </c>
      <c r="M2733" s="6">
        <f>IF(C2733="","",0)</f>
        <v/>
      </c>
    </row>
    <row r="2734">
      <c r="A2734" t="inlineStr">
        <is>
          <t>Bank 银行</t>
        </is>
      </c>
      <c r="B2734" s="5">
        <f>IF(AND('Daily Sale entry '!Z1234="Online collection 网上收款",'Daily Sale entry '!AA1234&lt;&gt;""),'Daily Sale entry '!X1234,"")</f>
        <v/>
      </c>
      <c r="C2734">
        <f>IF(B2734="","",'Daily Sale entry '!AA1234)</f>
        <v/>
      </c>
      <c r="D2734">
        <f>IF(C2734="","",0)</f>
        <v/>
      </c>
      <c r="E2734">
        <f>IF(C2734="","",'Daily Sale entry '!AC1234)</f>
        <v/>
      </c>
      <c r="F2734" s="37">
        <f>IF(C2734="","",B2734+IF(E2734&gt;0,0,0.5)+ROW()/10000000)</f>
        <v/>
      </c>
      <c r="G2734">
        <f>IF(C2734="","","Collection 收款 (Online 网上)"&amp;IF('Daily Sale entry '!Y1234="",""," - "&amp;'Daily Sale entry '!Y1234))</f>
        <v/>
      </c>
      <c r="H2734">
        <f>IF(C2734="","",COUNTIFS($C$2:$C$3001,C2734,$F$2:$F$3001,"&lt;"&amp;F2734)+1)</f>
        <v/>
      </c>
      <c r="I2734">
        <f>IF(C2734="","",C2734&amp;"|"&amp;H2734)</f>
        <v/>
      </c>
      <c r="J2734" s="6">
        <f>IF(C2734="","",IF(H2734=1,SUMIFS('Opening Balance'!$F$4:$F$303,'Opening Balance'!$G$4:$G$303,C2734),INDEX($L$2:$L$3001,MATCH(C2734&amp;"|"&amp;(H2734-1),$I$2:$I$3001,0))))</f>
        <v/>
      </c>
      <c r="K2734" s="6">
        <f>IF(C2734="","",IF(M2734&gt;0,M2734,IF(AND(E2734&gt;0,ROUND(J2734+D2734-E2734,2)&gt;0,ROUND(J2734+D2734-E2734,2)&lt;'Opening Balance'!$B$14),ROUND(J2734+D2734-E2734,2),0)))</f>
        <v/>
      </c>
      <c r="L2734" s="6">
        <f>IF(C2734="","",ROUND(J2734+D2734-E2734-K2734,2))</f>
        <v/>
      </c>
      <c r="M2734" s="6">
        <f>IF(C2734="","",0)</f>
        <v/>
      </c>
    </row>
    <row r="2735">
      <c r="A2735" t="inlineStr">
        <is>
          <t>Bank 银行</t>
        </is>
      </c>
      <c r="B2735" s="5">
        <f>IF(AND('Daily Sale entry '!Z1235="Online collection 网上收款",'Daily Sale entry '!AA1235&lt;&gt;""),'Daily Sale entry '!X1235,"")</f>
        <v/>
      </c>
      <c r="C2735">
        <f>IF(B2735="","",'Daily Sale entry '!AA1235)</f>
        <v/>
      </c>
      <c r="D2735">
        <f>IF(C2735="","",0)</f>
        <v/>
      </c>
      <c r="E2735">
        <f>IF(C2735="","",'Daily Sale entry '!AC1235)</f>
        <v/>
      </c>
      <c r="F2735" s="37">
        <f>IF(C2735="","",B2735+IF(E2735&gt;0,0,0.5)+ROW()/10000000)</f>
        <v/>
      </c>
      <c r="G2735">
        <f>IF(C2735="","","Collection 收款 (Online 网上)"&amp;IF('Daily Sale entry '!Y1235="",""," - "&amp;'Daily Sale entry '!Y1235))</f>
        <v/>
      </c>
      <c r="H2735">
        <f>IF(C2735="","",COUNTIFS($C$2:$C$3001,C2735,$F$2:$F$3001,"&lt;"&amp;F2735)+1)</f>
        <v/>
      </c>
      <c r="I2735">
        <f>IF(C2735="","",C2735&amp;"|"&amp;H2735)</f>
        <v/>
      </c>
      <c r="J2735" s="6">
        <f>IF(C2735="","",IF(H2735=1,SUMIFS('Opening Balance'!$F$4:$F$303,'Opening Balance'!$G$4:$G$303,C2735),INDEX($L$2:$L$3001,MATCH(C2735&amp;"|"&amp;(H2735-1),$I$2:$I$3001,0))))</f>
        <v/>
      </c>
      <c r="K2735" s="6">
        <f>IF(C2735="","",IF(M2735&gt;0,M2735,IF(AND(E2735&gt;0,ROUND(J2735+D2735-E2735,2)&gt;0,ROUND(J2735+D2735-E2735,2)&lt;'Opening Balance'!$B$14),ROUND(J2735+D2735-E2735,2),0)))</f>
        <v/>
      </c>
      <c r="L2735" s="6">
        <f>IF(C2735="","",ROUND(J2735+D2735-E2735-K2735,2))</f>
        <v/>
      </c>
      <c r="M2735" s="6">
        <f>IF(C2735="","",0)</f>
        <v/>
      </c>
    </row>
    <row r="2736">
      <c r="A2736" t="inlineStr">
        <is>
          <t>Bank 银行</t>
        </is>
      </c>
      <c r="B2736" s="5">
        <f>IF(AND('Daily Sale entry '!Z1236="Online collection 网上收款",'Daily Sale entry '!AA1236&lt;&gt;""),'Daily Sale entry '!X1236,"")</f>
        <v/>
      </c>
      <c r="C2736">
        <f>IF(B2736="","",'Daily Sale entry '!AA1236)</f>
        <v/>
      </c>
      <c r="D2736">
        <f>IF(C2736="","",0)</f>
        <v/>
      </c>
      <c r="E2736">
        <f>IF(C2736="","",'Daily Sale entry '!AC1236)</f>
        <v/>
      </c>
      <c r="F2736" s="37">
        <f>IF(C2736="","",B2736+IF(E2736&gt;0,0,0.5)+ROW()/10000000)</f>
        <v/>
      </c>
      <c r="G2736">
        <f>IF(C2736="","","Collection 收款 (Online 网上)"&amp;IF('Daily Sale entry '!Y1236="",""," - "&amp;'Daily Sale entry '!Y1236))</f>
        <v/>
      </c>
      <c r="H2736">
        <f>IF(C2736="","",COUNTIFS($C$2:$C$3001,C2736,$F$2:$F$3001,"&lt;"&amp;F2736)+1)</f>
        <v/>
      </c>
      <c r="I2736">
        <f>IF(C2736="","",C2736&amp;"|"&amp;H2736)</f>
        <v/>
      </c>
      <c r="J2736" s="6">
        <f>IF(C2736="","",IF(H2736=1,SUMIFS('Opening Balance'!$F$4:$F$303,'Opening Balance'!$G$4:$G$303,C2736),INDEX($L$2:$L$3001,MATCH(C2736&amp;"|"&amp;(H2736-1),$I$2:$I$3001,0))))</f>
        <v/>
      </c>
      <c r="K2736" s="6">
        <f>IF(C2736="","",IF(M2736&gt;0,M2736,IF(AND(E2736&gt;0,ROUND(J2736+D2736-E2736,2)&gt;0,ROUND(J2736+D2736-E2736,2)&lt;'Opening Balance'!$B$14),ROUND(J2736+D2736-E2736,2),0)))</f>
        <v/>
      </c>
      <c r="L2736" s="6">
        <f>IF(C2736="","",ROUND(J2736+D2736-E2736-K2736,2))</f>
        <v/>
      </c>
      <c r="M2736" s="6">
        <f>IF(C2736="","",0)</f>
        <v/>
      </c>
    </row>
    <row r="2737">
      <c r="A2737" t="inlineStr">
        <is>
          <t>Bank 银行</t>
        </is>
      </c>
      <c r="B2737" s="5">
        <f>IF(AND('Daily Sale entry '!Z1237="Online collection 网上收款",'Daily Sale entry '!AA1237&lt;&gt;""),'Daily Sale entry '!X1237,"")</f>
        <v/>
      </c>
      <c r="C2737">
        <f>IF(B2737="","",'Daily Sale entry '!AA1237)</f>
        <v/>
      </c>
      <c r="D2737">
        <f>IF(C2737="","",0)</f>
        <v/>
      </c>
      <c r="E2737">
        <f>IF(C2737="","",'Daily Sale entry '!AC1237)</f>
        <v/>
      </c>
      <c r="F2737" s="37">
        <f>IF(C2737="","",B2737+IF(E2737&gt;0,0,0.5)+ROW()/10000000)</f>
        <v/>
      </c>
      <c r="G2737">
        <f>IF(C2737="","","Collection 收款 (Online 网上)"&amp;IF('Daily Sale entry '!Y1237="",""," - "&amp;'Daily Sale entry '!Y1237))</f>
        <v/>
      </c>
      <c r="H2737">
        <f>IF(C2737="","",COUNTIFS($C$2:$C$3001,C2737,$F$2:$F$3001,"&lt;"&amp;F2737)+1)</f>
        <v/>
      </c>
      <c r="I2737">
        <f>IF(C2737="","",C2737&amp;"|"&amp;H2737)</f>
        <v/>
      </c>
      <c r="J2737" s="6">
        <f>IF(C2737="","",IF(H2737=1,SUMIFS('Opening Balance'!$F$4:$F$303,'Opening Balance'!$G$4:$G$303,C2737),INDEX($L$2:$L$3001,MATCH(C2737&amp;"|"&amp;(H2737-1),$I$2:$I$3001,0))))</f>
        <v/>
      </c>
      <c r="K2737" s="6">
        <f>IF(C2737="","",IF(M2737&gt;0,M2737,IF(AND(E2737&gt;0,ROUND(J2737+D2737-E2737,2)&gt;0,ROUND(J2737+D2737-E2737,2)&lt;'Opening Balance'!$B$14),ROUND(J2737+D2737-E2737,2),0)))</f>
        <v/>
      </c>
      <c r="L2737" s="6">
        <f>IF(C2737="","",ROUND(J2737+D2737-E2737-K2737,2))</f>
        <v/>
      </c>
      <c r="M2737" s="6">
        <f>IF(C2737="","",0)</f>
        <v/>
      </c>
    </row>
    <row r="2738">
      <c r="A2738" t="inlineStr">
        <is>
          <t>Bank 银行</t>
        </is>
      </c>
      <c r="B2738" s="5">
        <f>IF(AND('Daily Sale entry '!Z1238="Online collection 网上收款",'Daily Sale entry '!AA1238&lt;&gt;""),'Daily Sale entry '!X1238,"")</f>
        <v/>
      </c>
      <c r="C2738">
        <f>IF(B2738="","",'Daily Sale entry '!AA1238)</f>
        <v/>
      </c>
      <c r="D2738">
        <f>IF(C2738="","",0)</f>
        <v/>
      </c>
      <c r="E2738">
        <f>IF(C2738="","",'Daily Sale entry '!AC1238)</f>
        <v/>
      </c>
      <c r="F2738" s="37">
        <f>IF(C2738="","",B2738+IF(E2738&gt;0,0,0.5)+ROW()/10000000)</f>
        <v/>
      </c>
      <c r="G2738">
        <f>IF(C2738="","","Collection 收款 (Online 网上)"&amp;IF('Daily Sale entry '!Y1238="",""," - "&amp;'Daily Sale entry '!Y1238))</f>
        <v/>
      </c>
      <c r="H2738">
        <f>IF(C2738="","",COUNTIFS($C$2:$C$3001,C2738,$F$2:$F$3001,"&lt;"&amp;F2738)+1)</f>
        <v/>
      </c>
      <c r="I2738">
        <f>IF(C2738="","",C2738&amp;"|"&amp;H2738)</f>
        <v/>
      </c>
      <c r="J2738" s="6">
        <f>IF(C2738="","",IF(H2738=1,SUMIFS('Opening Balance'!$F$4:$F$303,'Opening Balance'!$G$4:$G$303,C2738),INDEX($L$2:$L$3001,MATCH(C2738&amp;"|"&amp;(H2738-1),$I$2:$I$3001,0))))</f>
        <v/>
      </c>
      <c r="K2738" s="6">
        <f>IF(C2738="","",IF(M2738&gt;0,M2738,IF(AND(E2738&gt;0,ROUND(J2738+D2738-E2738,2)&gt;0,ROUND(J2738+D2738-E2738,2)&lt;'Opening Balance'!$B$14),ROUND(J2738+D2738-E2738,2),0)))</f>
        <v/>
      </c>
      <c r="L2738" s="6">
        <f>IF(C2738="","",ROUND(J2738+D2738-E2738-K2738,2))</f>
        <v/>
      </c>
      <c r="M2738" s="6">
        <f>IF(C2738="","",0)</f>
        <v/>
      </c>
    </row>
    <row r="2739">
      <c r="A2739" t="inlineStr">
        <is>
          <t>Bank 银行</t>
        </is>
      </c>
      <c r="B2739" s="5">
        <f>IF(AND('Daily Sale entry '!Z1239="Online collection 网上收款",'Daily Sale entry '!AA1239&lt;&gt;""),'Daily Sale entry '!X1239,"")</f>
        <v/>
      </c>
      <c r="C2739">
        <f>IF(B2739="","",'Daily Sale entry '!AA1239)</f>
        <v/>
      </c>
      <c r="D2739">
        <f>IF(C2739="","",0)</f>
        <v/>
      </c>
      <c r="E2739">
        <f>IF(C2739="","",'Daily Sale entry '!AC1239)</f>
        <v/>
      </c>
      <c r="F2739" s="37">
        <f>IF(C2739="","",B2739+IF(E2739&gt;0,0,0.5)+ROW()/10000000)</f>
        <v/>
      </c>
      <c r="G2739">
        <f>IF(C2739="","","Collection 收款 (Online 网上)"&amp;IF('Daily Sale entry '!Y1239="",""," - "&amp;'Daily Sale entry '!Y1239))</f>
        <v/>
      </c>
      <c r="H2739">
        <f>IF(C2739="","",COUNTIFS($C$2:$C$3001,C2739,$F$2:$F$3001,"&lt;"&amp;F2739)+1)</f>
        <v/>
      </c>
      <c r="I2739">
        <f>IF(C2739="","",C2739&amp;"|"&amp;H2739)</f>
        <v/>
      </c>
      <c r="J2739" s="6">
        <f>IF(C2739="","",IF(H2739=1,SUMIFS('Opening Balance'!$F$4:$F$303,'Opening Balance'!$G$4:$G$303,C2739),INDEX($L$2:$L$3001,MATCH(C2739&amp;"|"&amp;(H2739-1),$I$2:$I$3001,0))))</f>
        <v/>
      </c>
      <c r="K2739" s="6">
        <f>IF(C2739="","",IF(M2739&gt;0,M2739,IF(AND(E2739&gt;0,ROUND(J2739+D2739-E2739,2)&gt;0,ROUND(J2739+D2739-E2739,2)&lt;'Opening Balance'!$B$14),ROUND(J2739+D2739-E2739,2),0)))</f>
        <v/>
      </c>
      <c r="L2739" s="6">
        <f>IF(C2739="","",ROUND(J2739+D2739-E2739-K2739,2))</f>
        <v/>
      </c>
      <c r="M2739" s="6">
        <f>IF(C2739="","",0)</f>
        <v/>
      </c>
    </row>
    <row r="2740">
      <c r="A2740" t="inlineStr">
        <is>
          <t>Bank 银行</t>
        </is>
      </c>
      <c r="B2740" s="5">
        <f>IF(AND('Daily Sale entry '!Z1240="Online collection 网上收款",'Daily Sale entry '!AA1240&lt;&gt;""),'Daily Sale entry '!X1240,"")</f>
        <v/>
      </c>
      <c r="C2740">
        <f>IF(B2740="","",'Daily Sale entry '!AA1240)</f>
        <v/>
      </c>
      <c r="D2740">
        <f>IF(C2740="","",0)</f>
        <v/>
      </c>
      <c r="E2740">
        <f>IF(C2740="","",'Daily Sale entry '!AC1240)</f>
        <v/>
      </c>
      <c r="F2740" s="37">
        <f>IF(C2740="","",B2740+IF(E2740&gt;0,0,0.5)+ROW()/10000000)</f>
        <v/>
      </c>
      <c r="G2740">
        <f>IF(C2740="","","Collection 收款 (Online 网上)"&amp;IF('Daily Sale entry '!Y1240="",""," - "&amp;'Daily Sale entry '!Y1240))</f>
        <v/>
      </c>
      <c r="H2740">
        <f>IF(C2740="","",COUNTIFS($C$2:$C$3001,C2740,$F$2:$F$3001,"&lt;"&amp;F2740)+1)</f>
        <v/>
      </c>
      <c r="I2740">
        <f>IF(C2740="","",C2740&amp;"|"&amp;H2740)</f>
        <v/>
      </c>
      <c r="J2740" s="6">
        <f>IF(C2740="","",IF(H2740=1,SUMIFS('Opening Balance'!$F$4:$F$303,'Opening Balance'!$G$4:$G$303,C2740),INDEX($L$2:$L$3001,MATCH(C2740&amp;"|"&amp;(H2740-1),$I$2:$I$3001,0))))</f>
        <v/>
      </c>
      <c r="K2740" s="6">
        <f>IF(C2740="","",IF(M2740&gt;0,M2740,IF(AND(E2740&gt;0,ROUND(J2740+D2740-E2740,2)&gt;0,ROUND(J2740+D2740-E2740,2)&lt;'Opening Balance'!$B$14),ROUND(J2740+D2740-E2740,2),0)))</f>
        <v/>
      </c>
      <c r="L2740" s="6">
        <f>IF(C2740="","",ROUND(J2740+D2740-E2740-K2740,2))</f>
        <v/>
      </c>
      <c r="M2740" s="6">
        <f>IF(C2740="","",0)</f>
        <v/>
      </c>
    </row>
    <row r="2741">
      <c r="A2741" t="inlineStr">
        <is>
          <t>Bank 银行</t>
        </is>
      </c>
      <c r="B2741" s="5">
        <f>IF(AND('Daily Sale entry '!Z1241="Online collection 网上收款",'Daily Sale entry '!AA1241&lt;&gt;""),'Daily Sale entry '!X1241,"")</f>
        <v/>
      </c>
      <c r="C2741">
        <f>IF(B2741="","",'Daily Sale entry '!AA1241)</f>
        <v/>
      </c>
      <c r="D2741">
        <f>IF(C2741="","",0)</f>
        <v/>
      </c>
      <c r="E2741">
        <f>IF(C2741="","",'Daily Sale entry '!AC1241)</f>
        <v/>
      </c>
      <c r="F2741" s="37">
        <f>IF(C2741="","",B2741+IF(E2741&gt;0,0,0.5)+ROW()/10000000)</f>
        <v/>
      </c>
      <c r="G2741">
        <f>IF(C2741="","","Collection 收款 (Online 网上)"&amp;IF('Daily Sale entry '!Y1241="",""," - "&amp;'Daily Sale entry '!Y1241))</f>
        <v/>
      </c>
      <c r="H2741">
        <f>IF(C2741="","",COUNTIFS($C$2:$C$3001,C2741,$F$2:$F$3001,"&lt;"&amp;F2741)+1)</f>
        <v/>
      </c>
      <c r="I2741">
        <f>IF(C2741="","",C2741&amp;"|"&amp;H2741)</f>
        <v/>
      </c>
      <c r="J2741" s="6">
        <f>IF(C2741="","",IF(H2741=1,SUMIFS('Opening Balance'!$F$4:$F$303,'Opening Balance'!$G$4:$G$303,C2741),INDEX($L$2:$L$3001,MATCH(C2741&amp;"|"&amp;(H2741-1),$I$2:$I$3001,0))))</f>
        <v/>
      </c>
      <c r="K2741" s="6">
        <f>IF(C2741="","",IF(M2741&gt;0,M2741,IF(AND(E2741&gt;0,ROUND(J2741+D2741-E2741,2)&gt;0,ROUND(J2741+D2741-E2741,2)&lt;'Opening Balance'!$B$14),ROUND(J2741+D2741-E2741,2),0)))</f>
        <v/>
      </c>
      <c r="L2741" s="6">
        <f>IF(C2741="","",ROUND(J2741+D2741-E2741-K2741,2))</f>
        <v/>
      </c>
      <c r="M2741" s="6">
        <f>IF(C2741="","",0)</f>
        <v/>
      </c>
    </row>
    <row r="2742">
      <c r="A2742" t="inlineStr">
        <is>
          <t>Bank 银行</t>
        </is>
      </c>
      <c r="B2742" s="5">
        <f>IF(AND('Daily Sale entry '!Z1242="Online collection 网上收款",'Daily Sale entry '!AA1242&lt;&gt;""),'Daily Sale entry '!X1242,"")</f>
        <v/>
      </c>
      <c r="C2742">
        <f>IF(B2742="","",'Daily Sale entry '!AA1242)</f>
        <v/>
      </c>
      <c r="D2742">
        <f>IF(C2742="","",0)</f>
        <v/>
      </c>
      <c r="E2742">
        <f>IF(C2742="","",'Daily Sale entry '!AC1242)</f>
        <v/>
      </c>
      <c r="F2742" s="37">
        <f>IF(C2742="","",B2742+IF(E2742&gt;0,0,0.5)+ROW()/10000000)</f>
        <v/>
      </c>
      <c r="G2742">
        <f>IF(C2742="","","Collection 收款 (Online 网上)"&amp;IF('Daily Sale entry '!Y1242="",""," - "&amp;'Daily Sale entry '!Y1242))</f>
        <v/>
      </c>
      <c r="H2742">
        <f>IF(C2742="","",COUNTIFS($C$2:$C$3001,C2742,$F$2:$F$3001,"&lt;"&amp;F2742)+1)</f>
        <v/>
      </c>
      <c r="I2742">
        <f>IF(C2742="","",C2742&amp;"|"&amp;H2742)</f>
        <v/>
      </c>
      <c r="J2742" s="6">
        <f>IF(C2742="","",IF(H2742=1,SUMIFS('Opening Balance'!$F$4:$F$303,'Opening Balance'!$G$4:$G$303,C2742),INDEX($L$2:$L$3001,MATCH(C2742&amp;"|"&amp;(H2742-1),$I$2:$I$3001,0))))</f>
        <v/>
      </c>
      <c r="K2742" s="6">
        <f>IF(C2742="","",IF(M2742&gt;0,M2742,IF(AND(E2742&gt;0,ROUND(J2742+D2742-E2742,2)&gt;0,ROUND(J2742+D2742-E2742,2)&lt;'Opening Balance'!$B$14),ROUND(J2742+D2742-E2742,2),0)))</f>
        <v/>
      </c>
      <c r="L2742" s="6">
        <f>IF(C2742="","",ROUND(J2742+D2742-E2742-K2742,2))</f>
        <v/>
      </c>
      <c r="M2742" s="6">
        <f>IF(C2742="","",0)</f>
        <v/>
      </c>
    </row>
    <row r="2743">
      <c r="A2743" t="inlineStr">
        <is>
          <t>Bank 银行</t>
        </is>
      </c>
      <c r="B2743" s="5">
        <f>IF(AND('Daily Sale entry '!Z1243="Online collection 网上收款",'Daily Sale entry '!AA1243&lt;&gt;""),'Daily Sale entry '!X1243,"")</f>
        <v/>
      </c>
      <c r="C2743">
        <f>IF(B2743="","",'Daily Sale entry '!AA1243)</f>
        <v/>
      </c>
      <c r="D2743">
        <f>IF(C2743="","",0)</f>
        <v/>
      </c>
      <c r="E2743">
        <f>IF(C2743="","",'Daily Sale entry '!AC1243)</f>
        <v/>
      </c>
      <c r="F2743" s="37">
        <f>IF(C2743="","",B2743+IF(E2743&gt;0,0,0.5)+ROW()/10000000)</f>
        <v/>
      </c>
      <c r="G2743">
        <f>IF(C2743="","","Collection 收款 (Online 网上)"&amp;IF('Daily Sale entry '!Y1243="",""," - "&amp;'Daily Sale entry '!Y1243))</f>
        <v/>
      </c>
      <c r="H2743">
        <f>IF(C2743="","",COUNTIFS($C$2:$C$3001,C2743,$F$2:$F$3001,"&lt;"&amp;F2743)+1)</f>
        <v/>
      </c>
      <c r="I2743">
        <f>IF(C2743="","",C2743&amp;"|"&amp;H2743)</f>
        <v/>
      </c>
      <c r="J2743" s="6">
        <f>IF(C2743="","",IF(H2743=1,SUMIFS('Opening Balance'!$F$4:$F$303,'Opening Balance'!$G$4:$G$303,C2743),INDEX($L$2:$L$3001,MATCH(C2743&amp;"|"&amp;(H2743-1),$I$2:$I$3001,0))))</f>
        <v/>
      </c>
      <c r="K2743" s="6">
        <f>IF(C2743="","",IF(M2743&gt;0,M2743,IF(AND(E2743&gt;0,ROUND(J2743+D2743-E2743,2)&gt;0,ROUND(J2743+D2743-E2743,2)&lt;'Opening Balance'!$B$14),ROUND(J2743+D2743-E2743,2),0)))</f>
        <v/>
      </c>
      <c r="L2743" s="6">
        <f>IF(C2743="","",ROUND(J2743+D2743-E2743-K2743,2))</f>
        <v/>
      </c>
      <c r="M2743" s="6">
        <f>IF(C2743="","",0)</f>
        <v/>
      </c>
    </row>
    <row r="2744">
      <c r="A2744" t="inlineStr">
        <is>
          <t>Bank 银行</t>
        </is>
      </c>
      <c r="B2744" s="5">
        <f>IF(AND('Daily Sale entry '!Z1244="Online collection 网上收款",'Daily Sale entry '!AA1244&lt;&gt;""),'Daily Sale entry '!X1244,"")</f>
        <v/>
      </c>
      <c r="C2744">
        <f>IF(B2744="","",'Daily Sale entry '!AA1244)</f>
        <v/>
      </c>
      <c r="D2744">
        <f>IF(C2744="","",0)</f>
        <v/>
      </c>
      <c r="E2744">
        <f>IF(C2744="","",'Daily Sale entry '!AC1244)</f>
        <v/>
      </c>
      <c r="F2744" s="37">
        <f>IF(C2744="","",B2744+IF(E2744&gt;0,0,0.5)+ROW()/10000000)</f>
        <v/>
      </c>
      <c r="G2744">
        <f>IF(C2744="","","Collection 收款 (Online 网上)"&amp;IF('Daily Sale entry '!Y1244="",""," - "&amp;'Daily Sale entry '!Y1244))</f>
        <v/>
      </c>
      <c r="H2744">
        <f>IF(C2744="","",COUNTIFS($C$2:$C$3001,C2744,$F$2:$F$3001,"&lt;"&amp;F2744)+1)</f>
        <v/>
      </c>
      <c r="I2744">
        <f>IF(C2744="","",C2744&amp;"|"&amp;H2744)</f>
        <v/>
      </c>
      <c r="J2744" s="6">
        <f>IF(C2744="","",IF(H2744=1,SUMIFS('Opening Balance'!$F$4:$F$303,'Opening Balance'!$G$4:$G$303,C2744),INDEX($L$2:$L$3001,MATCH(C2744&amp;"|"&amp;(H2744-1),$I$2:$I$3001,0))))</f>
        <v/>
      </c>
      <c r="K2744" s="6">
        <f>IF(C2744="","",IF(M2744&gt;0,M2744,IF(AND(E2744&gt;0,ROUND(J2744+D2744-E2744,2)&gt;0,ROUND(J2744+D2744-E2744,2)&lt;'Opening Balance'!$B$14),ROUND(J2744+D2744-E2744,2),0)))</f>
        <v/>
      </c>
      <c r="L2744" s="6">
        <f>IF(C2744="","",ROUND(J2744+D2744-E2744-K2744,2))</f>
        <v/>
      </c>
      <c r="M2744" s="6">
        <f>IF(C2744="","",0)</f>
        <v/>
      </c>
    </row>
    <row r="2745">
      <c r="A2745" t="inlineStr">
        <is>
          <t>Bank 银行</t>
        </is>
      </c>
      <c r="B2745" s="5">
        <f>IF(AND('Daily Sale entry '!Z1245="Online collection 网上收款",'Daily Sale entry '!AA1245&lt;&gt;""),'Daily Sale entry '!X1245,"")</f>
        <v/>
      </c>
      <c r="C2745">
        <f>IF(B2745="","",'Daily Sale entry '!AA1245)</f>
        <v/>
      </c>
      <c r="D2745">
        <f>IF(C2745="","",0)</f>
        <v/>
      </c>
      <c r="E2745">
        <f>IF(C2745="","",'Daily Sale entry '!AC1245)</f>
        <v/>
      </c>
      <c r="F2745" s="37">
        <f>IF(C2745="","",B2745+IF(E2745&gt;0,0,0.5)+ROW()/10000000)</f>
        <v/>
      </c>
      <c r="G2745">
        <f>IF(C2745="","","Collection 收款 (Online 网上)"&amp;IF('Daily Sale entry '!Y1245="",""," - "&amp;'Daily Sale entry '!Y1245))</f>
        <v/>
      </c>
      <c r="H2745">
        <f>IF(C2745="","",COUNTIFS($C$2:$C$3001,C2745,$F$2:$F$3001,"&lt;"&amp;F2745)+1)</f>
        <v/>
      </c>
      <c r="I2745">
        <f>IF(C2745="","",C2745&amp;"|"&amp;H2745)</f>
        <v/>
      </c>
      <c r="J2745" s="6">
        <f>IF(C2745="","",IF(H2745=1,SUMIFS('Opening Balance'!$F$4:$F$303,'Opening Balance'!$G$4:$G$303,C2745),INDEX($L$2:$L$3001,MATCH(C2745&amp;"|"&amp;(H2745-1),$I$2:$I$3001,0))))</f>
        <v/>
      </c>
      <c r="K2745" s="6">
        <f>IF(C2745="","",IF(M2745&gt;0,M2745,IF(AND(E2745&gt;0,ROUND(J2745+D2745-E2745,2)&gt;0,ROUND(J2745+D2745-E2745,2)&lt;'Opening Balance'!$B$14),ROUND(J2745+D2745-E2745,2),0)))</f>
        <v/>
      </c>
      <c r="L2745" s="6">
        <f>IF(C2745="","",ROUND(J2745+D2745-E2745-K2745,2))</f>
        <v/>
      </c>
      <c r="M2745" s="6">
        <f>IF(C2745="","",0)</f>
        <v/>
      </c>
    </row>
    <row r="2746">
      <c r="A2746" t="inlineStr">
        <is>
          <t>Bank 银行</t>
        </is>
      </c>
      <c r="B2746" s="5">
        <f>IF(AND('Daily Sale entry '!Z1246="Online collection 网上收款",'Daily Sale entry '!AA1246&lt;&gt;""),'Daily Sale entry '!X1246,"")</f>
        <v/>
      </c>
      <c r="C2746">
        <f>IF(B2746="","",'Daily Sale entry '!AA1246)</f>
        <v/>
      </c>
      <c r="D2746">
        <f>IF(C2746="","",0)</f>
        <v/>
      </c>
      <c r="E2746">
        <f>IF(C2746="","",'Daily Sale entry '!AC1246)</f>
        <v/>
      </c>
      <c r="F2746" s="37">
        <f>IF(C2746="","",B2746+IF(E2746&gt;0,0,0.5)+ROW()/10000000)</f>
        <v/>
      </c>
      <c r="G2746">
        <f>IF(C2746="","","Collection 收款 (Online 网上)"&amp;IF('Daily Sale entry '!Y1246="",""," - "&amp;'Daily Sale entry '!Y1246))</f>
        <v/>
      </c>
      <c r="H2746">
        <f>IF(C2746="","",COUNTIFS($C$2:$C$3001,C2746,$F$2:$F$3001,"&lt;"&amp;F2746)+1)</f>
        <v/>
      </c>
      <c r="I2746">
        <f>IF(C2746="","",C2746&amp;"|"&amp;H2746)</f>
        <v/>
      </c>
      <c r="J2746" s="6">
        <f>IF(C2746="","",IF(H2746=1,SUMIFS('Opening Balance'!$F$4:$F$303,'Opening Balance'!$G$4:$G$303,C2746),INDEX($L$2:$L$3001,MATCH(C2746&amp;"|"&amp;(H2746-1),$I$2:$I$3001,0))))</f>
        <v/>
      </c>
      <c r="K2746" s="6">
        <f>IF(C2746="","",IF(M2746&gt;0,M2746,IF(AND(E2746&gt;0,ROUND(J2746+D2746-E2746,2)&gt;0,ROUND(J2746+D2746-E2746,2)&lt;'Opening Balance'!$B$14),ROUND(J2746+D2746-E2746,2),0)))</f>
        <v/>
      </c>
      <c r="L2746" s="6">
        <f>IF(C2746="","",ROUND(J2746+D2746-E2746-K2746,2))</f>
        <v/>
      </c>
      <c r="M2746" s="6">
        <f>IF(C2746="","",0)</f>
        <v/>
      </c>
    </row>
    <row r="2747">
      <c r="A2747" t="inlineStr">
        <is>
          <t>Bank 银行</t>
        </is>
      </c>
      <c r="B2747" s="5">
        <f>IF(AND('Daily Sale entry '!Z1247="Online collection 网上收款",'Daily Sale entry '!AA1247&lt;&gt;""),'Daily Sale entry '!X1247,"")</f>
        <v/>
      </c>
      <c r="C2747">
        <f>IF(B2747="","",'Daily Sale entry '!AA1247)</f>
        <v/>
      </c>
      <c r="D2747">
        <f>IF(C2747="","",0)</f>
        <v/>
      </c>
      <c r="E2747">
        <f>IF(C2747="","",'Daily Sale entry '!AC1247)</f>
        <v/>
      </c>
      <c r="F2747" s="37">
        <f>IF(C2747="","",B2747+IF(E2747&gt;0,0,0.5)+ROW()/10000000)</f>
        <v/>
      </c>
      <c r="G2747">
        <f>IF(C2747="","","Collection 收款 (Online 网上)"&amp;IF('Daily Sale entry '!Y1247="",""," - "&amp;'Daily Sale entry '!Y1247))</f>
        <v/>
      </c>
      <c r="H2747">
        <f>IF(C2747="","",COUNTIFS($C$2:$C$3001,C2747,$F$2:$F$3001,"&lt;"&amp;F2747)+1)</f>
        <v/>
      </c>
      <c r="I2747">
        <f>IF(C2747="","",C2747&amp;"|"&amp;H2747)</f>
        <v/>
      </c>
      <c r="J2747" s="6">
        <f>IF(C2747="","",IF(H2747=1,SUMIFS('Opening Balance'!$F$4:$F$303,'Opening Balance'!$G$4:$G$303,C2747),INDEX($L$2:$L$3001,MATCH(C2747&amp;"|"&amp;(H2747-1),$I$2:$I$3001,0))))</f>
        <v/>
      </c>
      <c r="K2747" s="6">
        <f>IF(C2747="","",IF(M2747&gt;0,M2747,IF(AND(E2747&gt;0,ROUND(J2747+D2747-E2747,2)&gt;0,ROUND(J2747+D2747-E2747,2)&lt;'Opening Balance'!$B$14),ROUND(J2747+D2747-E2747,2),0)))</f>
        <v/>
      </c>
      <c r="L2747" s="6">
        <f>IF(C2747="","",ROUND(J2747+D2747-E2747-K2747,2))</f>
        <v/>
      </c>
      <c r="M2747" s="6">
        <f>IF(C2747="","",0)</f>
        <v/>
      </c>
    </row>
    <row r="2748">
      <c r="A2748" t="inlineStr">
        <is>
          <t>Bank 银行</t>
        </is>
      </c>
      <c r="B2748" s="5">
        <f>IF(AND('Daily Sale entry '!Z1248="Online collection 网上收款",'Daily Sale entry '!AA1248&lt;&gt;""),'Daily Sale entry '!X1248,"")</f>
        <v/>
      </c>
      <c r="C2748">
        <f>IF(B2748="","",'Daily Sale entry '!AA1248)</f>
        <v/>
      </c>
      <c r="D2748">
        <f>IF(C2748="","",0)</f>
        <v/>
      </c>
      <c r="E2748">
        <f>IF(C2748="","",'Daily Sale entry '!AC1248)</f>
        <v/>
      </c>
      <c r="F2748" s="37">
        <f>IF(C2748="","",B2748+IF(E2748&gt;0,0,0.5)+ROW()/10000000)</f>
        <v/>
      </c>
      <c r="G2748">
        <f>IF(C2748="","","Collection 收款 (Online 网上)"&amp;IF('Daily Sale entry '!Y1248="",""," - "&amp;'Daily Sale entry '!Y1248))</f>
        <v/>
      </c>
      <c r="H2748">
        <f>IF(C2748="","",COUNTIFS($C$2:$C$3001,C2748,$F$2:$F$3001,"&lt;"&amp;F2748)+1)</f>
        <v/>
      </c>
      <c r="I2748">
        <f>IF(C2748="","",C2748&amp;"|"&amp;H2748)</f>
        <v/>
      </c>
      <c r="J2748" s="6">
        <f>IF(C2748="","",IF(H2748=1,SUMIFS('Opening Balance'!$F$4:$F$303,'Opening Balance'!$G$4:$G$303,C2748),INDEX($L$2:$L$3001,MATCH(C2748&amp;"|"&amp;(H2748-1),$I$2:$I$3001,0))))</f>
        <v/>
      </c>
      <c r="K2748" s="6">
        <f>IF(C2748="","",IF(M2748&gt;0,M2748,IF(AND(E2748&gt;0,ROUND(J2748+D2748-E2748,2)&gt;0,ROUND(J2748+D2748-E2748,2)&lt;'Opening Balance'!$B$14),ROUND(J2748+D2748-E2748,2),0)))</f>
        <v/>
      </c>
      <c r="L2748" s="6">
        <f>IF(C2748="","",ROUND(J2748+D2748-E2748-K2748,2))</f>
        <v/>
      </c>
      <c r="M2748" s="6">
        <f>IF(C2748="","",0)</f>
        <v/>
      </c>
    </row>
    <row r="2749">
      <c r="A2749" t="inlineStr">
        <is>
          <t>Bank 银行</t>
        </is>
      </c>
      <c r="B2749" s="5">
        <f>IF(AND('Daily Sale entry '!Z1249="Online collection 网上收款",'Daily Sale entry '!AA1249&lt;&gt;""),'Daily Sale entry '!X1249,"")</f>
        <v/>
      </c>
      <c r="C2749">
        <f>IF(B2749="","",'Daily Sale entry '!AA1249)</f>
        <v/>
      </c>
      <c r="D2749">
        <f>IF(C2749="","",0)</f>
        <v/>
      </c>
      <c r="E2749">
        <f>IF(C2749="","",'Daily Sale entry '!AC1249)</f>
        <v/>
      </c>
      <c r="F2749" s="37">
        <f>IF(C2749="","",B2749+IF(E2749&gt;0,0,0.5)+ROW()/10000000)</f>
        <v/>
      </c>
      <c r="G2749">
        <f>IF(C2749="","","Collection 收款 (Online 网上)"&amp;IF('Daily Sale entry '!Y1249="",""," - "&amp;'Daily Sale entry '!Y1249))</f>
        <v/>
      </c>
      <c r="H2749">
        <f>IF(C2749="","",COUNTIFS($C$2:$C$3001,C2749,$F$2:$F$3001,"&lt;"&amp;F2749)+1)</f>
        <v/>
      </c>
      <c r="I2749">
        <f>IF(C2749="","",C2749&amp;"|"&amp;H2749)</f>
        <v/>
      </c>
      <c r="J2749" s="6">
        <f>IF(C2749="","",IF(H2749=1,SUMIFS('Opening Balance'!$F$4:$F$303,'Opening Balance'!$G$4:$G$303,C2749),INDEX($L$2:$L$3001,MATCH(C2749&amp;"|"&amp;(H2749-1),$I$2:$I$3001,0))))</f>
        <v/>
      </c>
      <c r="K2749" s="6">
        <f>IF(C2749="","",IF(M2749&gt;0,M2749,IF(AND(E2749&gt;0,ROUND(J2749+D2749-E2749,2)&gt;0,ROUND(J2749+D2749-E2749,2)&lt;'Opening Balance'!$B$14),ROUND(J2749+D2749-E2749,2),0)))</f>
        <v/>
      </c>
      <c r="L2749" s="6">
        <f>IF(C2749="","",ROUND(J2749+D2749-E2749-K2749,2))</f>
        <v/>
      </c>
      <c r="M2749" s="6">
        <f>IF(C2749="","",0)</f>
        <v/>
      </c>
    </row>
    <row r="2750">
      <c r="A2750" t="inlineStr">
        <is>
          <t>Bank 银行</t>
        </is>
      </c>
      <c r="B2750" s="5">
        <f>IF(AND('Daily Sale entry '!Z1250="Online collection 网上收款",'Daily Sale entry '!AA1250&lt;&gt;""),'Daily Sale entry '!X1250,"")</f>
        <v/>
      </c>
      <c r="C2750">
        <f>IF(B2750="","",'Daily Sale entry '!AA1250)</f>
        <v/>
      </c>
      <c r="D2750">
        <f>IF(C2750="","",0)</f>
        <v/>
      </c>
      <c r="E2750">
        <f>IF(C2750="","",'Daily Sale entry '!AC1250)</f>
        <v/>
      </c>
      <c r="F2750" s="37">
        <f>IF(C2750="","",B2750+IF(E2750&gt;0,0,0.5)+ROW()/10000000)</f>
        <v/>
      </c>
      <c r="G2750">
        <f>IF(C2750="","","Collection 收款 (Online 网上)"&amp;IF('Daily Sale entry '!Y1250="",""," - "&amp;'Daily Sale entry '!Y1250))</f>
        <v/>
      </c>
      <c r="H2750">
        <f>IF(C2750="","",COUNTIFS($C$2:$C$3001,C2750,$F$2:$F$3001,"&lt;"&amp;F2750)+1)</f>
        <v/>
      </c>
      <c r="I2750">
        <f>IF(C2750="","",C2750&amp;"|"&amp;H2750)</f>
        <v/>
      </c>
      <c r="J2750" s="6">
        <f>IF(C2750="","",IF(H2750=1,SUMIFS('Opening Balance'!$F$4:$F$303,'Opening Balance'!$G$4:$G$303,C2750),INDEX($L$2:$L$3001,MATCH(C2750&amp;"|"&amp;(H2750-1),$I$2:$I$3001,0))))</f>
        <v/>
      </c>
      <c r="K2750" s="6">
        <f>IF(C2750="","",IF(M2750&gt;0,M2750,IF(AND(E2750&gt;0,ROUND(J2750+D2750-E2750,2)&gt;0,ROUND(J2750+D2750-E2750,2)&lt;'Opening Balance'!$B$14),ROUND(J2750+D2750-E2750,2),0)))</f>
        <v/>
      </c>
      <c r="L2750" s="6">
        <f>IF(C2750="","",ROUND(J2750+D2750-E2750-K2750,2))</f>
        <v/>
      </c>
      <c r="M2750" s="6">
        <f>IF(C2750="","",0)</f>
        <v/>
      </c>
    </row>
    <row r="2751">
      <c r="A2751" t="inlineStr">
        <is>
          <t>Bank 银行</t>
        </is>
      </c>
      <c r="B2751" s="5">
        <f>IF(AND('Daily Sale entry '!Z1251="Online collection 网上收款",'Daily Sale entry '!AA1251&lt;&gt;""),'Daily Sale entry '!X1251,"")</f>
        <v/>
      </c>
      <c r="C2751">
        <f>IF(B2751="","",'Daily Sale entry '!AA1251)</f>
        <v/>
      </c>
      <c r="D2751">
        <f>IF(C2751="","",0)</f>
        <v/>
      </c>
      <c r="E2751">
        <f>IF(C2751="","",'Daily Sale entry '!AC1251)</f>
        <v/>
      </c>
      <c r="F2751" s="37">
        <f>IF(C2751="","",B2751+IF(E2751&gt;0,0,0.5)+ROW()/10000000)</f>
        <v/>
      </c>
      <c r="G2751">
        <f>IF(C2751="","","Collection 收款 (Online 网上)"&amp;IF('Daily Sale entry '!Y1251="",""," - "&amp;'Daily Sale entry '!Y1251))</f>
        <v/>
      </c>
      <c r="H2751">
        <f>IF(C2751="","",COUNTIFS($C$2:$C$3001,C2751,$F$2:$F$3001,"&lt;"&amp;F2751)+1)</f>
        <v/>
      </c>
      <c r="I2751">
        <f>IF(C2751="","",C2751&amp;"|"&amp;H2751)</f>
        <v/>
      </c>
      <c r="J2751" s="6">
        <f>IF(C2751="","",IF(H2751=1,SUMIFS('Opening Balance'!$F$4:$F$303,'Opening Balance'!$G$4:$G$303,C2751),INDEX($L$2:$L$3001,MATCH(C2751&amp;"|"&amp;(H2751-1),$I$2:$I$3001,0))))</f>
        <v/>
      </c>
      <c r="K2751" s="6">
        <f>IF(C2751="","",IF(M2751&gt;0,M2751,IF(AND(E2751&gt;0,ROUND(J2751+D2751-E2751,2)&gt;0,ROUND(J2751+D2751-E2751,2)&lt;'Opening Balance'!$B$14),ROUND(J2751+D2751-E2751,2),0)))</f>
        <v/>
      </c>
      <c r="L2751" s="6">
        <f>IF(C2751="","",ROUND(J2751+D2751-E2751-K2751,2))</f>
        <v/>
      </c>
      <c r="M2751" s="6">
        <f>IF(C2751="","",0)</f>
        <v/>
      </c>
    </row>
    <row r="2752">
      <c r="A2752" t="inlineStr">
        <is>
          <t>Bank 银行</t>
        </is>
      </c>
      <c r="B2752" s="5">
        <f>IF(AND('Daily Sale entry '!Z1252="Online collection 网上收款",'Daily Sale entry '!AA1252&lt;&gt;""),'Daily Sale entry '!X1252,"")</f>
        <v/>
      </c>
      <c r="C2752">
        <f>IF(B2752="","",'Daily Sale entry '!AA1252)</f>
        <v/>
      </c>
      <c r="D2752">
        <f>IF(C2752="","",0)</f>
        <v/>
      </c>
      <c r="E2752">
        <f>IF(C2752="","",'Daily Sale entry '!AC1252)</f>
        <v/>
      </c>
      <c r="F2752" s="37">
        <f>IF(C2752="","",B2752+IF(E2752&gt;0,0,0.5)+ROW()/10000000)</f>
        <v/>
      </c>
      <c r="G2752">
        <f>IF(C2752="","","Collection 收款 (Online 网上)"&amp;IF('Daily Sale entry '!Y1252="",""," - "&amp;'Daily Sale entry '!Y1252))</f>
        <v/>
      </c>
      <c r="H2752">
        <f>IF(C2752="","",COUNTIFS($C$2:$C$3001,C2752,$F$2:$F$3001,"&lt;"&amp;F2752)+1)</f>
        <v/>
      </c>
      <c r="I2752">
        <f>IF(C2752="","",C2752&amp;"|"&amp;H2752)</f>
        <v/>
      </c>
      <c r="J2752" s="6">
        <f>IF(C2752="","",IF(H2752=1,SUMIFS('Opening Balance'!$F$4:$F$303,'Opening Balance'!$G$4:$G$303,C2752),INDEX($L$2:$L$3001,MATCH(C2752&amp;"|"&amp;(H2752-1),$I$2:$I$3001,0))))</f>
        <v/>
      </c>
      <c r="K2752" s="6">
        <f>IF(C2752="","",IF(M2752&gt;0,M2752,IF(AND(E2752&gt;0,ROUND(J2752+D2752-E2752,2)&gt;0,ROUND(J2752+D2752-E2752,2)&lt;'Opening Balance'!$B$14),ROUND(J2752+D2752-E2752,2),0)))</f>
        <v/>
      </c>
      <c r="L2752" s="6">
        <f>IF(C2752="","",ROUND(J2752+D2752-E2752-K2752,2))</f>
        <v/>
      </c>
      <c r="M2752" s="6">
        <f>IF(C2752="","",0)</f>
        <v/>
      </c>
    </row>
    <row r="2753">
      <c r="A2753" t="inlineStr">
        <is>
          <t>Bank 银行</t>
        </is>
      </c>
      <c r="B2753" s="5">
        <f>IF(AND('Daily Sale entry '!Z1253="Online collection 网上收款",'Daily Sale entry '!AA1253&lt;&gt;""),'Daily Sale entry '!X1253,"")</f>
        <v/>
      </c>
      <c r="C2753">
        <f>IF(B2753="","",'Daily Sale entry '!AA1253)</f>
        <v/>
      </c>
      <c r="D2753">
        <f>IF(C2753="","",0)</f>
        <v/>
      </c>
      <c r="E2753">
        <f>IF(C2753="","",'Daily Sale entry '!AC1253)</f>
        <v/>
      </c>
      <c r="F2753" s="37">
        <f>IF(C2753="","",B2753+IF(E2753&gt;0,0,0.5)+ROW()/10000000)</f>
        <v/>
      </c>
      <c r="G2753">
        <f>IF(C2753="","","Collection 收款 (Online 网上)"&amp;IF('Daily Sale entry '!Y1253="",""," - "&amp;'Daily Sale entry '!Y1253))</f>
        <v/>
      </c>
      <c r="H2753">
        <f>IF(C2753="","",COUNTIFS($C$2:$C$3001,C2753,$F$2:$F$3001,"&lt;"&amp;F2753)+1)</f>
        <v/>
      </c>
      <c r="I2753">
        <f>IF(C2753="","",C2753&amp;"|"&amp;H2753)</f>
        <v/>
      </c>
      <c r="J2753" s="6">
        <f>IF(C2753="","",IF(H2753=1,SUMIFS('Opening Balance'!$F$4:$F$303,'Opening Balance'!$G$4:$G$303,C2753),INDEX($L$2:$L$3001,MATCH(C2753&amp;"|"&amp;(H2753-1),$I$2:$I$3001,0))))</f>
        <v/>
      </c>
      <c r="K2753" s="6">
        <f>IF(C2753="","",IF(M2753&gt;0,M2753,IF(AND(E2753&gt;0,ROUND(J2753+D2753-E2753,2)&gt;0,ROUND(J2753+D2753-E2753,2)&lt;'Opening Balance'!$B$14),ROUND(J2753+D2753-E2753,2),0)))</f>
        <v/>
      </c>
      <c r="L2753" s="6">
        <f>IF(C2753="","",ROUND(J2753+D2753-E2753-K2753,2))</f>
        <v/>
      </c>
      <c r="M2753" s="6">
        <f>IF(C2753="","",0)</f>
        <v/>
      </c>
    </row>
    <row r="2754">
      <c r="A2754" t="inlineStr">
        <is>
          <t>Bank 银行</t>
        </is>
      </c>
      <c r="B2754" s="5">
        <f>IF(AND('Daily Sale entry '!Z1254="Online collection 网上收款",'Daily Sale entry '!AA1254&lt;&gt;""),'Daily Sale entry '!X1254,"")</f>
        <v/>
      </c>
      <c r="C2754">
        <f>IF(B2754="","",'Daily Sale entry '!AA1254)</f>
        <v/>
      </c>
      <c r="D2754">
        <f>IF(C2754="","",0)</f>
        <v/>
      </c>
      <c r="E2754">
        <f>IF(C2754="","",'Daily Sale entry '!AC1254)</f>
        <v/>
      </c>
      <c r="F2754" s="37">
        <f>IF(C2754="","",B2754+IF(E2754&gt;0,0,0.5)+ROW()/10000000)</f>
        <v/>
      </c>
      <c r="G2754">
        <f>IF(C2754="","","Collection 收款 (Online 网上)"&amp;IF('Daily Sale entry '!Y1254="",""," - "&amp;'Daily Sale entry '!Y1254))</f>
        <v/>
      </c>
      <c r="H2754">
        <f>IF(C2754="","",COUNTIFS($C$2:$C$3001,C2754,$F$2:$F$3001,"&lt;"&amp;F2754)+1)</f>
        <v/>
      </c>
      <c r="I2754">
        <f>IF(C2754="","",C2754&amp;"|"&amp;H2754)</f>
        <v/>
      </c>
      <c r="J2754" s="6">
        <f>IF(C2754="","",IF(H2754=1,SUMIFS('Opening Balance'!$F$4:$F$303,'Opening Balance'!$G$4:$G$303,C2754),INDEX($L$2:$L$3001,MATCH(C2754&amp;"|"&amp;(H2754-1),$I$2:$I$3001,0))))</f>
        <v/>
      </c>
      <c r="K2754" s="6">
        <f>IF(C2754="","",IF(M2754&gt;0,M2754,IF(AND(E2754&gt;0,ROUND(J2754+D2754-E2754,2)&gt;0,ROUND(J2754+D2754-E2754,2)&lt;'Opening Balance'!$B$14),ROUND(J2754+D2754-E2754,2),0)))</f>
        <v/>
      </c>
      <c r="L2754" s="6">
        <f>IF(C2754="","",ROUND(J2754+D2754-E2754-K2754,2))</f>
        <v/>
      </c>
      <c r="M2754" s="6">
        <f>IF(C2754="","",0)</f>
        <v/>
      </c>
    </row>
    <row r="2755">
      <c r="A2755" t="inlineStr">
        <is>
          <t>Bank 银行</t>
        </is>
      </c>
      <c r="B2755" s="5">
        <f>IF(AND('Daily Sale entry '!Z1255="Online collection 网上收款",'Daily Sale entry '!AA1255&lt;&gt;""),'Daily Sale entry '!X1255,"")</f>
        <v/>
      </c>
      <c r="C2755">
        <f>IF(B2755="","",'Daily Sale entry '!AA1255)</f>
        <v/>
      </c>
      <c r="D2755">
        <f>IF(C2755="","",0)</f>
        <v/>
      </c>
      <c r="E2755">
        <f>IF(C2755="","",'Daily Sale entry '!AC1255)</f>
        <v/>
      </c>
      <c r="F2755" s="37">
        <f>IF(C2755="","",B2755+IF(E2755&gt;0,0,0.5)+ROW()/10000000)</f>
        <v/>
      </c>
      <c r="G2755">
        <f>IF(C2755="","","Collection 收款 (Online 网上)"&amp;IF('Daily Sale entry '!Y1255="",""," - "&amp;'Daily Sale entry '!Y1255))</f>
        <v/>
      </c>
      <c r="H2755">
        <f>IF(C2755="","",COUNTIFS($C$2:$C$3001,C2755,$F$2:$F$3001,"&lt;"&amp;F2755)+1)</f>
        <v/>
      </c>
      <c r="I2755">
        <f>IF(C2755="","",C2755&amp;"|"&amp;H2755)</f>
        <v/>
      </c>
      <c r="J2755" s="6">
        <f>IF(C2755="","",IF(H2755=1,SUMIFS('Opening Balance'!$F$4:$F$303,'Opening Balance'!$G$4:$G$303,C2755),INDEX($L$2:$L$3001,MATCH(C2755&amp;"|"&amp;(H2755-1),$I$2:$I$3001,0))))</f>
        <v/>
      </c>
      <c r="K2755" s="6">
        <f>IF(C2755="","",IF(M2755&gt;0,M2755,IF(AND(E2755&gt;0,ROUND(J2755+D2755-E2755,2)&gt;0,ROUND(J2755+D2755-E2755,2)&lt;'Opening Balance'!$B$14),ROUND(J2755+D2755-E2755,2),0)))</f>
        <v/>
      </c>
      <c r="L2755" s="6">
        <f>IF(C2755="","",ROUND(J2755+D2755-E2755-K2755,2))</f>
        <v/>
      </c>
      <c r="M2755" s="6">
        <f>IF(C2755="","",0)</f>
        <v/>
      </c>
    </row>
    <row r="2756">
      <c r="A2756" t="inlineStr">
        <is>
          <t>Bank 银行</t>
        </is>
      </c>
      <c r="B2756" s="5">
        <f>IF(AND('Daily Sale entry '!Z1256="Online collection 网上收款",'Daily Sale entry '!AA1256&lt;&gt;""),'Daily Sale entry '!X1256,"")</f>
        <v/>
      </c>
      <c r="C2756">
        <f>IF(B2756="","",'Daily Sale entry '!AA1256)</f>
        <v/>
      </c>
      <c r="D2756">
        <f>IF(C2756="","",0)</f>
        <v/>
      </c>
      <c r="E2756">
        <f>IF(C2756="","",'Daily Sale entry '!AC1256)</f>
        <v/>
      </c>
      <c r="F2756" s="37">
        <f>IF(C2756="","",B2756+IF(E2756&gt;0,0,0.5)+ROW()/10000000)</f>
        <v/>
      </c>
      <c r="G2756">
        <f>IF(C2756="","","Collection 收款 (Online 网上)"&amp;IF('Daily Sale entry '!Y1256="",""," - "&amp;'Daily Sale entry '!Y1256))</f>
        <v/>
      </c>
      <c r="H2756">
        <f>IF(C2756="","",COUNTIFS($C$2:$C$3001,C2756,$F$2:$F$3001,"&lt;"&amp;F2756)+1)</f>
        <v/>
      </c>
      <c r="I2756">
        <f>IF(C2756="","",C2756&amp;"|"&amp;H2756)</f>
        <v/>
      </c>
      <c r="J2756" s="6">
        <f>IF(C2756="","",IF(H2756=1,SUMIFS('Opening Balance'!$F$4:$F$303,'Opening Balance'!$G$4:$G$303,C2756),INDEX($L$2:$L$3001,MATCH(C2756&amp;"|"&amp;(H2756-1),$I$2:$I$3001,0))))</f>
        <v/>
      </c>
      <c r="K2756" s="6">
        <f>IF(C2756="","",IF(M2756&gt;0,M2756,IF(AND(E2756&gt;0,ROUND(J2756+D2756-E2756,2)&gt;0,ROUND(J2756+D2756-E2756,2)&lt;'Opening Balance'!$B$14),ROUND(J2756+D2756-E2756,2),0)))</f>
        <v/>
      </c>
      <c r="L2756" s="6">
        <f>IF(C2756="","",ROUND(J2756+D2756-E2756-K2756,2))</f>
        <v/>
      </c>
      <c r="M2756" s="6">
        <f>IF(C2756="","",0)</f>
        <v/>
      </c>
    </row>
    <row r="2757">
      <c r="A2757" t="inlineStr">
        <is>
          <t>Bank 银行</t>
        </is>
      </c>
      <c r="B2757" s="5">
        <f>IF(AND('Daily Sale entry '!Z1257="Online collection 网上收款",'Daily Sale entry '!AA1257&lt;&gt;""),'Daily Sale entry '!X1257,"")</f>
        <v/>
      </c>
      <c r="C2757">
        <f>IF(B2757="","",'Daily Sale entry '!AA1257)</f>
        <v/>
      </c>
      <c r="D2757">
        <f>IF(C2757="","",0)</f>
        <v/>
      </c>
      <c r="E2757">
        <f>IF(C2757="","",'Daily Sale entry '!AC1257)</f>
        <v/>
      </c>
      <c r="F2757" s="37">
        <f>IF(C2757="","",B2757+IF(E2757&gt;0,0,0.5)+ROW()/10000000)</f>
        <v/>
      </c>
      <c r="G2757">
        <f>IF(C2757="","","Collection 收款 (Online 网上)"&amp;IF('Daily Sale entry '!Y1257="",""," - "&amp;'Daily Sale entry '!Y1257))</f>
        <v/>
      </c>
      <c r="H2757">
        <f>IF(C2757="","",COUNTIFS($C$2:$C$3001,C2757,$F$2:$F$3001,"&lt;"&amp;F2757)+1)</f>
        <v/>
      </c>
      <c r="I2757">
        <f>IF(C2757="","",C2757&amp;"|"&amp;H2757)</f>
        <v/>
      </c>
      <c r="J2757" s="6">
        <f>IF(C2757="","",IF(H2757=1,SUMIFS('Opening Balance'!$F$4:$F$303,'Opening Balance'!$G$4:$G$303,C2757),INDEX($L$2:$L$3001,MATCH(C2757&amp;"|"&amp;(H2757-1),$I$2:$I$3001,0))))</f>
        <v/>
      </c>
      <c r="K2757" s="6">
        <f>IF(C2757="","",IF(M2757&gt;0,M2757,IF(AND(E2757&gt;0,ROUND(J2757+D2757-E2757,2)&gt;0,ROUND(J2757+D2757-E2757,2)&lt;'Opening Balance'!$B$14),ROUND(J2757+D2757-E2757,2),0)))</f>
        <v/>
      </c>
      <c r="L2757" s="6">
        <f>IF(C2757="","",ROUND(J2757+D2757-E2757-K2757,2))</f>
        <v/>
      </c>
      <c r="M2757" s="6">
        <f>IF(C2757="","",0)</f>
        <v/>
      </c>
    </row>
    <row r="2758">
      <c r="A2758" t="inlineStr">
        <is>
          <t>Bank 银行</t>
        </is>
      </c>
      <c r="B2758" s="5">
        <f>IF(AND('Daily Sale entry '!Z1258="Online collection 网上收款",'Daily Sale entry '!AA1258&lt;&gt;""),'Daily Sale entry '!X1258,"")</f>
        <v/>
      </c>
      <c r="C2758">
        <f>IF(B2758="","",'Daily Sale entry '!AA1258)</f>
        <v/>
      </c>
      <c r="D2758">
        <f>IF(C2758="","",0)</f>
        <v/>
      </c>
      <c r="E2758">
        <f>IF(C2758="","",'Daily Sale entry '!AC1258)</f>
        <v/>
      </c>
      <c r="F2758" s="37">
        <f>IF(C2758="","",B2758+IF(E2758&gt;0,0,0.5)+ROW()/10000000)</f>
        <v/>
      </c>
      <c r="G2758">
        <f>IF(C2758="","","Collection 收款 (Online 网上)"&amp;IF('Daily Sale entry '!Y1258="",""," - "&amp;'Daily Sale entry '!Y1258))</f>
        <v/>
      </c>
      <c r="H2758">
        <f>IF(C2758="","",COUNTIFS($C$2:$C$3001,C2758,$F$2:$F$3001,"&lt;"&amp;F2758)+1)</f>
        <v/>
      </c>
      <c r="I2758">
        <f>IF(C2758="","",C2758&amp;"|"&amp;H2758)</f>
        <v/>
      </c>
      <c r="J2758" s="6">
        <f>IF(C2758="","",IF(H2758=1,SUMIFS('Opening Balance'!$F$4:$F$303,'Opening Balance'!$G$4:$G$303,C2758),INDEX($L$2:$L$3001,MATCH(C2758&amp;"|"&amp;(H2758-1),$I$2:$I$3001,0))))</f>
        <v/>
      </c>
      <c r="K2758" s="6">
        <f>IF(C2758="","",IF(M2758&gt;0,M2758,IF(AND(E2758&gt;0,ROUND(J2758+D2758-E2758,2)&gt;0,ROUND(J2758+D2758-E2758,2)&lt;'Opening Balance'!$B$14),ROUND(J2758+D2758-E2758,2),0)))</f>
        <v/>
      </c>
      <c r="L2758" s="6">
        <f>IF(C2758="","",ROUND(J2758+D2758-E2758-K2758,2))</f>
        <v/>
      </c>
      <c r="M2758" s="6">
        <f>IF(C2758="","",0)</f>
        <v/>
      </c>
    </row>
    <row r="2759">
      <c r="A2759" t="inlineStr">
        <is>
          <t>Bank 银行</t>
        </is>
      </c>
      <c r="B2759" s="5">
        <f>IF(AND('Daily Sale entry '!Z1259="Online collection 网上收款",'Daily Sale entry '!AA1259&lt;&gt;""),'Daily Sale entry '!X1259,"")</f>
        <v/>
      </c>
      <c r="C2759">
        <f>IF(B2759="","",'Daily Sale entry '!AA1259)</f>
        <v/>
      </c>
      <c r="D2759">
        <f>IF(C2759="","",0)</f>
        <v/>
      </c>
      <c r="E2759">
        <f>IF(C2759="","",'Daily Sale entry '!AC1259)</f>
        <v/>
      </c>
      <c r="F2759" s="37">
        <f>IF(C2759="","",B2759+IF(E2759&gt;0,0,0.5)+ROW()/10000000)</f>
        <v/>
      </c>
      <c r="G2759">
        <f>IF(C2759="","","Collection 收款 (Online 网上)"&amp;IF('Daily Sale entry '!Y1259="",""," - "&amp;'Daily Sale entry '!Y1259))</f>
        <v/>
      </c>
      <c r="H2759">
        <f>IF(C2759="","",COUNTIFS($C$2:$C$3001,C2759,$F$2:$F$3001,"&lt;"&amp;F2759)+1)</f>
        <v/>
      </c>
      <c r="I2759">
        <f>IF(C2759="","",C2759&amp;"|"&amp;H2759)</f>
        <v/>
      </c>
      <c r="J2759" s="6">
        <f>IF(C2759="","",IF(H2759=1,SUMIFS('Opening Balance'!$F$4:$F$303,'Opening Balance'!$G$4:$G$303,C2759),INDEX($L$2:$L$3001,MATCH(C2759&amp;"|"&amp;(H2759-1),$I$2:$I$3001,0))))</f>
        <v/>
      </c>
      <c r="K2759" s="6">
        <f>IF(C2759="","",IF(M2759&gt;0,M2759,IF(AND(E2759&gt;0,ROUND(J2759+D2759-E2759,2)&gt;0,ROUND(J2759+D2759-E2759,2)&lt;'Opening Balance'!$B$14),ROUND(J2759+D2759-E2759,2),0)))</f>
        <v/>
      </c>
      <c r="L2759" s="6">
        <f>IF(C2759="","",ROUND(J2759+D2759-E2759-K2759,2))</f>
        <v/>
      </c>
      <c r="M2759" s="6">
        <f>IF(C2759="","",0)</f>
        <v/>
      </c>
    </row>
    <row r="2760">
      <c r="A2760" t="inlineStr">
        <is>
          <t>Bank 银行</t>
        </is>
      </c>
      <c r="B2760" s="5">
        <f>IF(AND('Daily Sale entry '!Z1260="Online collection 网上收款",'Daily Sale entry '!AA1260&lt;&gt;""),'Daily Sale entry '!X1260,"")</f>
        <v/>
      </c>
      <c r="C2760">
        <f>IF(B2760="","",'Daily Sale entry '!AA1260)</f>
        <v/>
      </c>
      <c r="D2760">
        <f>IF(C2760="","",0)</f>
        <v/>
      </c>
      <c r="E2760">
        <f>IF(C2760="","",'Daily Sale entry '!AC1260)</f>
        <v/>
      </c>
      <c r="F2760" s="37">
        <f>IF(C2760="","",B2760+IF(E2760&gt;0,0,0.5)+ROW()/10000000)</f>
        <v/>
      </c>
      <c r="G2760">
        <f>IF(C2760="","","Collection 收款 (Online 网上)"&amp;IF('Daily Sale entry '!Y1260="",""," - "&amp;'Daily Sale entry '!Y1260))</f>
        <v/>
      </c>
      <c r="H2760">
        <f>IF(C2760="","",COUNTIFS($C$2:$C$3001,C2760,$F$2:$F$3001,"&lt;"&amp;F2760)+1)</f>
        <v/>
      </c>
      <c r="I2760">
        <f>IF(C2760="","",C2760&amp;"|"&amp;H2760)</f>
        <v/>
      </c>
      <c r="J2760" s="6">
        <f>IF(C2760="","",IF(H2760=1,SUMIFS('Opening Balance'!$F$4:$F$303,'Opening Balance'!$G$4:$G$303,C2760),INDEX($L$2:$L$3001,MATCH(C2760&amp;"|"&amp;(H2760-1),$I$2:$I$3001,0))))</f>
        <v/>
      </c>
      <c r="K2760" s="6">
        <f>IF(C2760="","",IF(M2760&gt;0,M2760,IF(AND(E2760&gt;0,ROUND(J2760+D2760-E2760,2)&gt;0,ROUND(J2760+D2760-E2760,2)&lt;'Opening Balance'!$B$14),ROUND(J2760+D2760-E2760,2),0)))</f>
        <v/>
      </c>
      <c r="L2760" s="6">
        <f>IF(C2760="","",ROUND(J2760+D2760-E2760-K2760,2))</f>
        <v/>
      </c>
      <c r="M2760" s="6">
        <f>IF(C2760="","",0)</f>
        <v/>
      </c>
    </row>
    <row r="2761">
      <c r="A2761" t="inlineStr">
        <is>
          <t>Bank 银行</t>
        </is>
      </c>
      <c r="B2761" s="5">
        <f>IF(AND('Daily Sale entry '!Z1261="Online collection 网上收款",'Daily Sale entry '!AA1261&lt;&gt;""),'Daily Sale entry '!X1261,"")</f>
        <v/>
      </c>
      <c r="C2761">
        <f>IF(B2761="","",'Daily Sale entry '!AA1261)</f>
        <v/>
      </c>
      <c r="D2761">
        <f>IF(C2761="","",0)</f>
        <v/>
      </c>
      <c r="E2761">
        <f>IF(C2761="","",'Daily Sale entry '!AC1261)</f>
        <v/>
      </c>
      <c r="F2761" s="37">
        <f>IF(C2761="","",B2761+IF(E2761&gt;0,0,0.5)+ROW()/10000000)</f>
        <v/>
      </c>
      <c r="G2761">
        <f>IF(C2761="","","Collection 收款 (Online 网上)"&amp;IF('Daily Sale entry '!Y1261="",""," - "&amp;'Daily Sale entry '!Y1261))</f>
        <v/>
      </c>
      <c r="H2761">
        <f>IF(C2761="","",COUNTIFS($C$2:$C$3001,C2761,$F$2:$F$3001,"&lt;"&amp;F2761)+1)</f>
        <v/>
      </c>
      <c r="I2761">
        <f>IF(C2761="","",C2761&amp;"|"&amp;H2761)</f>
        <v/>
      </c>
      <c r="J2761" s="6">
        <f>IF(C2761="","",IF(H2761=1,SUMIFS('Opening Balance'!$F$4:$F$303,'Opening Balance'!$G$4:$G$303,C2761),INDEX($L$2:$L$3001,MATCH(C2761&amp;"|"&amp;(H2761-1),$I$2:$I$3001,0))))</f>
        <v/>
      </c>
      <c r="K2761" s="6">
        <f>IF(C2761="","",IF(M2761&gt;0,M2761,IF(AND(E2761&gt;0,ROUND(J2761+D2761-E2761,2)&gt;0,ROUND(J2761+D2761-E2761,2)&lt;'Opening Balance'!$B$14),ROUND(J2761+D2761-E2761,2),0)))</f>
        <v/>
      </c>
      <c r="L2761" s="6">
        <f>IF(C2761="","",ROUND(J2761+D2761-E2761-K2761,2))</f>
        <v/>
      </c>
      <c r="M2761" s="6">
        <f>IF(C2761="","",0)</f>
        <v/>
      </c>
    </row>
    <row r="2762">
      <c r="A2762" t="inlineStr">
        <is>
          <t>Bank 银行</t>
        </is>
      </c>
      <c r="B2762" s="5">
        <f>IF(AND('Daily Sale entry '!Z1262="Online collection 网上收款",'Daily Sale entry '!AA1262&lt;&gt;""),'Daily Sale entry '!X1262,"")</f>
        <v/>
      </c>
      <c r="C2762">
        <f>IF(B2762="","",'Daily Sale entry '!AA1262)</f>
        <v/>
      </c>
      <c r="D2762">
        <f>IF(C2762="","",0)</f>
        <v/>
      </c>
      <c r="E2762">
        <f>IF(C2762="","",'Daily Sale entry '!AC1262)</f>
        <v/>
      </c>
      <c r="F2762" s="37">
        <f>IF(C2762="","",B2762+IF(E2762&gt;0,0,0.5)+ROW()/10000000)</f>
        <v/>
      </c>
      <c r="G2762">
        <f>IF(C2762="","","Collection 收款 (Online 网上)"&amp;IF('Daily Sale entry '!Y1262="",""," - "&amp;'Daily Sale entry '!Y1262))</f>
        <v/>
      </c>
      <c r="H2762">
        <f>IF(C2762="","",COUNTIFS($C$2:$C$3001,C2762,$F$2:$F$3001,"&lt;"&amp;F2762)+1)</f>
        <v/>
      </c>
      <c r="I2762">
        <f>IF(C2762="","",C2762&amp;"|"&amp;H2762)</f>
        <v/>
      </c>
      <c r="J2762" s="6">
        <f>IF(C2762="","",IF(H2762=1,SUMIFS('Opening Balance'!$F$4:$F$303,'Opening Balance'!$G$4:$G$303,C2762),INDEX($L$2:$L$3001,MATCH(C2762&amp;"|"&amp;(H2762-1),$I$2:$I$3001,0))))</f>
        <v/>
      </c>
      <c r="K2762" s="6">
        <f>IF(C2762="","",IF(M2762&gt;0,M2762,IF(AND(E2762&gt;0,ROUND(J2762+D2762-E2762,2)&gt;0,ROUND(J2762+D2762-E2762,2)&lt;'Opening Balance'!$B$14),ROUND(J2762+D2762-E2762,2),0)))</f>
        <v/>
      </c>
      <c r="L2762" s="6">
        <f>IF(C2762="","",ROUND(J2762+D2762-E2762-K2762,2))</f>
        <v/>
      </c>
      <c r="M2762" s="6">
        <f>IF(C2762="","",0)</f>
        <v/>
      </c>
    </row>
    <row r="2763">
      <c r="A2763" t="inlineStr">
        <is>
          <t>Bank 银行</t>
        </is>
      </c>
      <c r="B2763" s="5">
        <f>IF(AND('Daily Sale entry '!Z1263="Online collection 网上收款",'Daily Sale entry '!AA1263&lt;&gt;""),'Daily Sale entry '!X1263,"")</f>
        <v/>
      </c>
      <c r="C2763">
        <f>IF(B2763="","",'Daily Sale entry '!AA1263)</f>
        <v/>
      </c>
      <c r="D2763">
        <f>IF(C2763="","",0)</f>
        <v/>
      </c>
      <c r="E2763">
        <f>IF(C2763="","",'Daily Sale entry '!AC1263)</f>
        <v/>
      </c>
      <c r="F2763" s="37">
        <f>IF(C2763="","",B2763+IF(E2763&gt;0,0,0.5)+ROW()/10000000)</f>
        <v/>
      </c>
      <c r="G2763">
        <f>IF(C2763="","","Collection 收款 (Online 网上)"&amp;IF('Daily Sale entry '!Y1263="",""," - "&amp;'Daily Sale entry '!Y1263))</f>
        <v/>
      </c>
      <c r="H2763">
        <f>IF(C2763="","",COUNTIFS($C$2:$C$3001,C2763,$F$2:$F$3001,"&lt;"&amp;F2763)+1)</f>
        <v/>
      </c>
      <c r="I2763">
        <f>IF(C2763="","",C2763&amp;"|"&amp;H2763)</f>
        <v/>
      </c>
      <c r="J2763" s="6">
        <f>IF(C2763="","",IF(H2763=1,SUMIFS('Opening Balance'!$F$4:$F$303,'Opening Balance'!$G$4:$G$303,C2763),INDEX($L$2:$L$3001,MATCH(C2763&amp;"|"&amp;(H2763-1),$I$2:$I$3001,0))))</f>
        <v/>
      </c>
      <c r="K2763" s="6">
        <f>IF(C2763="","",IF(M2763&gt;0,M2763,IF(AND(E2763&gt;0,ROUND(J2763+D2763-E2763,2)&gt;0,ROUND(J2763+D2763-E2763,2)&lt;'Opening Balance'!$B$14),ROUND(J2763+D2763-E2763,2),0)))</f>
        <v/>
      </c>
      <c r="L2763" s="6">
        <f>IF(C2763="","",ROUND(J2763+D2763-E2763-K2763,2))</f>
        <v/>
      </c>
      <c r="M2763" s="6">
        <f>IF(C2763="","",0)</f>
        <v/>
      </c>
    </row>
    <row r="2764">
      <c r="A2764" t="inlineStr">
        <is>
          <t>Bank 银行</t>
        </is>
      </c>
      <c r="B2764" s="5">
        <f>IF(AND('Daily Sale entry '!Z1264="Online collection 网上收款",'Daily Sale entry '!AA1264&lt;&gt;""),'Daily Sale entry '!X1264,"")</f>
        <v/>
      </c>
      <c r="C2764">
        <f>IF(B2764="","",'Daily Sale entry '!AA1264)</f>
        <v/>
      </c>
      <c r="D2764">
        <f>IF(C2764="","",0)</f>
        <v/>
      </c>
      <c r="E2764">
        <f>IF(C2764="","",'Daily Sale entry '!AC1264)</f>
        <v/>
      </c>
      <c r="F2764" s="37">
        <f>IF(C2764="","",B2764+IF(E2764&gt;0,0,0.5)+ROW()/10000000)</f>
        <v/>
      </c>
      <c r="G2764">
        <f>IF(C2764="","","Collection 收款 (Online 网上)"&amp;IF('Daily Sale entry '!Y1264="",""," - "&amp;'Daily Sale entry '!Y1264))</f>
        <v/>
      </c>
      <c r="H2764">
        <f>IF(C2764="","",COUNTIFS($C$2:$C$3001,C2764,$F$2:$F$3001,"&lt;"&amp;F2764)+1)</f>
        <v/>
      </c>
      <c r="I2764">
        <f>IF(C2764="","",C2764&amp;"|"&amp;H2764)</f>
        <v/>
      </c>
      <c r="J2764" s="6">
        <f>IF(C2764="","",IF(H2764=1,SUMIFS('Opening Balance'!$F$4:$F$303,'Opening Balance'!$G$4:$G$303,C2764),INDEX($L$2:$L$3001,MATCH(C2764&amp;"|"&amp;(H2764-1),$I$2:$I$3001,0))))</f>
        <v/>
      </c>
      <c r="K2764" s="6">
        <f>IF(C2764="","",IF(M2764&gt;0,M2764,IF(AND(E2764&gt;0,ROUND(J2764+D2764-E2764,2)&gt;0,ROUND(J2764+D2764-E2764,2)&lt;'Opening Balance'!$B$14),ROUND(J2764+D2764-E2764,2),0)))</f>
        <v/>
      </c>
      <c r="L2764" s="6">
        <f>IF(C2764="","",ROUND(J2764+D2764-E2764-K2764,2))</f>
        <v/>
      </c>
      <c r="M2764" s="6">
        <f>IF(C2764="","",0)</f>
        <v/>
      </c>
    </row>
    <row r="2765">
      <c r="A2765" t="inlineStr">
        <is>
          <t>Bank 银行</t>
        </is>
      </c>
      <c r="B2765" s="5">
        <f>IF(AND('Daily Sale entry '!Z1265="Online collection 网上收款",'Daily Sale entry '!AA1265&lt;&gt;""),'Daily Sale entry '!X1265,"")</f>
        <v/>
      </c>
      <c r="C2765">
        <f>IF(B2765="","",'Daily Sale entry '!AA1265)</f>
        <v/>
      </c>
      <c r="D2765">
        <f>IF(C2765="","",0)</f>
        <v/>
      </c>
      <c r="E2765">
        <f>IF(C2765="","",'Daily Sale entry '!AC1265)</f>
        <v/>
      </c>
      <c r="F2765" s="37">
        <f>IF(C2765="","",B2765+IF(E2765&gt;0,0,0.5)+ROW()/10000000)</f>
        <v/>
      </c>
      <c r="G2765">
        <f>IF(C2765="","","Collection 收款 (Online 网上)"&amp;IF('Daily Sale entry '!Y1265="",""," - "&amp;'Daily Sale entry '!Y1265))</f>
        <v/>
      </c>
      <c r="H2765">
        <f>IF(C2765="","",COUNTIFS($C$2:$C$3001,C2765,$F$2:$F$3001,"&lt;"&amp;F2765)+1)</f>
        <v/>
      </c>
      <c r="I2765">
        <f>IF(C2765="","",C2765&amp;"|"&amp;H2765)</f>
        <v/>
      </c>
      <c r="J2765" s="6">
        <f>IF(C2765="","",IF(H2765=1,SUMIFS('Opening Balance'!$F$4:$F$303,'Opening Balance'!$G$4:$G$303,C2765),INDEX($L$2:$L$3001,MATCH(C2765&amp;"|"&amp;(H2765-1),$I$2:$I$3001,0))))</f>
        <v/>
      </c>
      <c r="K2765" s="6">
        <f>IF(C2765="","",IF(M2765&gt;0,M2765,IF(AND(E2765&gt;0,ROUND(J2765+D2765-E2765,2)&gt;0,ROUND(J2765+D2765-E2765,2)&lt;'Opening Balance'!$B$14),ROUND(J2765+D2765-E2765,2),0)))</f>
        <v/>
      </c>
      <c r="L2765" s="6">
        <f>IF(C2765="","",ROUND(J2765+D2765-E2765-K2765,2))</f>
        <v/>
      </c>
      <c r="M2765" s="6">
        <f>IF(C2765="","",0)</f>
        <v/>
      </c>
    </row>
    <row r="2766">
      <c r="A2766" t="inlineStr">
        <is>
          <t>Bank 银行</t>
        </is>
      </c>
      <c r="B2766" s="5">
        <f>IF(AND('Daily Sale entry '!Z1266="Online collection 网上收款",'Daily Sale entry '!AA1266&lt;&gt;""),'Daily Sale entry '!X1266,"")</f>
        <v/>
      </c>
      <c r="C2766">
        <f>IF(B2766="","",'Daily Sale entry '!AA1266)</f>
        <v/>
      </c>
      <c r="D2766">
        <f>IF(C2766="","",0)</f>
        <v/>
      </c>
      <c r="E2766">
        <f>IF(C2766="","",'Daily Sale entry '!AC1266)</f>
        <v/>
      </c>
      <c r="F2766" s="37">
        <f>IF(C2766="","",B2766+IF(E2766&gt;0,0,0.5)+ROW()/10000000)</f>
        <v/>
      </c>
      <c r="G2766">
        <f>IF(C2766="","","Collection 收款 (Online 网上)"&amp;IF('Daily Sale entry '!Y1266="",""," - "&amp;'Daily Sale entry '!Y1266))</f>
        <v/>
      </c>
      <c r="H2766">
        <f>IF(C2766="","",COUNTIFS($C$2:$C$3001,C2766,$F$2:$F$3001,"&lt;"&amp;F2766)+1)</f>
        <v/>
      </c>
      <c r="I2766">
        <f>IF(C2766="","",C2766&amp;"|"&amp;H2766)</f>
        <v/>
      </c>
      <c r="J2766" s="6">
        <f>IF(C2766="","",IF(H2766=1,SUMIFS('Opening Balance'!$F$4:$F$303,'Opening Balance'!$G$4:$G$303,C2766),INDEX($L$2:$L$3001,MATCH(C2766&amp;"|"&amp;(H2766-1),$I$2:$I$3001,0))))</f>
        <v/>
      </c>
      <c r="K2766" s="6">
        <f>IF(C2766="","",IF(M2766&gt;0,M2766,IF(AND(E2766&gt;0,ROUND(J2766+D2766-E2766,2)&gt;0,ROUND(J2766+D2766-E2766,2)&lt;'Opening Balance'!$B$14),ROUND(J2766+D2766-E2766,2),0)))</f>
        <v/>
      </c>
      <c r="L2766" s="6">
        <f>IF(C2766="","",ROUND(J2766+D2766-E2766-K2766,2))</f>
        <v/>
      </c>
      <c r="M2766" s="6">
        <f>IF(C2766="","",0)</f>
        <v/>
      </c>
    </row>
    <row r="2767">
      <c r="A2767" t="inlineStr">
        <is>
          <t>Bank 银行</t>
        </is>
      </c>
      <c r="B2767" s="5">
        <f>IF(AND('Daily Sale entry '!Z1267="Online collection 网上收款",'Daily Sale entry '!AA1267&lt;&gt;""),'Daily Sale entry '!X1267,"")</f>
        <v/>
      </c>
      <c r="C2767">
        <f>IF(B2767="","",'Daily Sale entry '!AA1267)</f>
        <v/>
      </c>
      <c r="D2767">
        <f>IF(C2767="","",0)</f>
        <v/>
      </c>
      <c r="E2767">
        <f>IF(C2767="","",'Daily Sale entry '!AC1267)</f>
        <v/>
      </c>
      <c r="F2767" s="37">
        <f>IF(C2767="","",B2767+IF(E2767&gt;0,0,0.5)+ROW()/10000000)</f>
        <v/>
      </c>
      <c r="G2767">
        <f>IF(C2767="","","Collection 收款 (Online 网上)"&amp;IF('Daily Sale entry '!Y1267="",""," - "&amp;'Daily Sale entry '!Y1267))</f>
        <v/>
      </c>
      <c r="H2767">
        <f>IF(C2767="","",COUNTIFS($C$2:$C$3001,C2767,$F$2:$F$3001,"&lt;"&amp;F2767)+1)</f>
        <v/>
      </c>
      <c r="I2767">
        <f>IF(C2767="","",C2767&amp;"|"&amp;H2767)</f>
        <v/>
      </c>
      <c r="J2767" s="6">
        <f>IF(C2767="","",IF(H2767=1,SUMIFS('Opening Balance'!$F$4:$F$303,'Opening Balance'!$G$4:$G$303,C2767),INDEX($L$2:$L$3001,MATCH(C2767&amp;"|"&amp;(H2767-1),$I$2:$I$3001,0))))</f>
        <v/>
      </c>
      <c r="K2767" s="6">
        <f>IF(C2767="","",IF(M2767&gt;0,M2767,IF(AND(E2767&gt;0,ROUND(J2767+D2767-E2767,2)&gt;0,ROUND(J2767+D2767-E2767,2)&lt;'Opening Balance'!$B$14),ROUND(J2767+D2767-E2767,2),0)))</f>
        <v/>
      </c>
      <c r="L2767" s="6">
        <f>IF(C2767="","",ROUND(J2767+D2767-E2767-K2767,2))</f>
        <v/>
      </c>
      <c r="M2767" s="6">
        <f>IF(C2767="","",0)</f>
        <v/>
      </c>
    </row>
    <row r="2768">
      <c r="A2768" t="inlineStr">
        <is>
          <t>Bank 银行</t>
        </is>
      </c>
      <c r="B2768" s="5">
        <f>IF(AND('Daily Sale entry '!Z1268="Online collection 网上收款",'Daily Sale entry '!AA1268&lt;&gt;""),'Daily Sale entry '!X1268,"")</f>
        <v/>
      </c>
      <c r="C2768">
        <f>IF(B2768="","",'Daily Sale entry '!AA1268)</f>
        <v/>
      </c>
      <c r="D2768">
        <f>IF(C2768="","",0)</f>
        <v/>
      </c>
      <c r="E2768">
        <f>IF(C2768="","",'Daily Sale entry '!AC1268)</f>
        <v/>
      </c>
      <c r="F2768" s="37">
        <f>IF(C2768="","",B2768+IF(E2768&gt;0,0,0.5)+ROW()/10000000)</f>
        <v/>
      </c>
      <c r="G2768">
        <f>IF(C2768="","","Collection 收款 (Online 网上)"&amp;IF('Daily Sale entry '!Y1268="",""," - "&amp;'Daily Sale entry '!Y1268))</f>
        <v/>
      </c>
      <c r="H2768">
        <f>IF(C2768="","",COUNTIFS($C$2:$C$3001,C2768,$F$2:$F$3001,"&lt;"&amp;F2768)+1)</f>
        <v/>
      </c>
      <c r="I2768">
        <f>IF(C2768="","",C2768&amp;"|"&amp;H2768)</f>
        <v/>
      </c>
      <c r="J2768" s="6">
        <f>IF(C2768="","",IF(H2768=1,SUMIFS('Opening Balance'!$F$4:$F$303,'Opening Balance'!$G$4:$G$303,C2768),INDEX($L$2:$L$3001,MATCH(C2768&amp;"|"&amp;(H2768-1),$I$2:$I$3001,0))))</f>
        <v/>
      </c>
      <c r="K2768" s="6">
        <f>IF(C2768="","",IF(M2768&gt;0,M2768,IF(AND(E2768&gt;0,ROUND(J2768+D2768-E2768,2)&gt;0,ROUND(J2768+D2768-E2768,2)&lt;'Opening Balance'!$B$14),ROUND(J2768+D2768-E2768,2),0)))</f>
        <v/>
      </c>
      <c r="L2768" s="6">
        <f>IF(C2768="","",ROUND(J2768+D2768-E2768-K2768,2))</f>
        <v/>
      </c>
      <c r="M2768" s="6">
        <f>IF(C2768="","",0)</f>
        <v/>
      </c>
    </row>
    <row r="2769">
      <c r="A2769" t="inlineStr">
        <is>
          <t>Bank 银行</t>
        </is>
      </c>
      <c r="B2769" s="5">
        <f>IF(AND('Daily Sale entry '!Z1269="Online collection 网上收款",'Daily Sale entry '!AA1269&lt;&gt;""),'Daily Sale entry '!X1269,"")</f>
        <v/>
      </c>
      <c r="C2769">
        <f>IF(B2769="","",'Daily Sale entry '!AA1269)</f>
        <v/>
      </c>
      <c r="D2769">
        <f>IF(C2769="","",0)</f>
        <v/>
      </c>
      <c r="E2769">
        <f>IF(C2769="","",'Daily Sale entry '!AC1269)</f>
        <v/>
      </c>
      <c r="F2769" s="37">
        <f>IF(C2769="","",B2769+IF(E2769&gt;0,0,0.5)+ROW()/10000000)</f>
        <v/>
      </c>
      <c r="G2769">
        <f>IF(C2769="","","Collection 收款 (Online 网上)"&amp;IF('Daily Sale entry '!Y1269="",""," - "&amp;'Daily Sale entry '!Y1269))</f>
        <v/>
      </c>
      <c r="H2769">
        <f>IF(C2769="","",COUNTIFS($C$2:$C$3001,C2769,$F$2:$F$3001,"&lt;"&amp;F2769)+1)</f>
        <v/>
      </c>
      <c r="I2769">
        <f>IF(C2769="","",C2769&amp;"|"&amp;H2769)</f>
        <v/>
      </c>
      <c r="J2769" s="6">
        <f>IF(C2769="","",IF(H2769=1,SUMIFS('Opening Balance'!$F$4:$F$303,'Opening Balance'!$G$4:$G$303,C2769),INDEX($L$2:$L$3001,MATCH(C2769&amp;"|"&amp;(H2769-1),$I$2:$I$3001,0))))</f>
        <v/>
      </c>
      <c r="K2769" s="6">
        <f>IF(C2769="","",IF(M2769&gt;0,M2769,IF(AND(E2769&gt;0,ROUND(J2769+D2769-E2769,2)&gt;0,ROUND(J2769+D2769-E2769,2)&lt;'Opening Balance'!$B$14),ROUND(J2769+D2769-E2769,2),0)))</f>
        <v/>
      </c>
      <c r="L2769" s="6">
        <f>IF(C2769="","",ROUND(J2769+D2769-E2769-K2769,2))</f>
        <v/>
      </c>
      <c r="M2769" s="6">
        <f>IF(C2769="","",0)</f>
        <v/>
      </c>
    </row>
    <row r="2770">
      <c r="A2770" t="inlineStr">
        <is>
          <t>Bank 银行</t>
        </is>
      </c>
      <c r="B2770" s="5">
        <f>IF(AND('Daily Sale entry '!Z1270="Online collection 网上收款",'Daily Sale entry '!AA1270&lt;&gt;""),'Daily Sale entry '!X1270,"")</f>
        <v/>
      </c>
      <c r="C2770">
        <f>IF(B2770="","",'Daily Sale entry '!AA1270)</f>
        <v/>
      </c>
      <c r="D2770">
        <f>IF(C2770="","",0)</f>
        <v/>
      </c>
      <c r="E2770">
        <f>IF(C2770="","",'Daily Sale entry '!AC1270)</f>
        <v/>
      </c>
      <c r="F2770" s="37">
        <f>IF(C2770="","",B2770+IF(E2770&gt;0,0,0.5)+ROW()/10000000)</f>
        <v/>
      </c>
      <c r="G2770">
        <f>IF(C2770="","","Collection 收款 (Online 网上)"&amp;IF('Daily Sale entry '!Y1270="",""," - "&amp;'Daily Sale entry '!Y1270))</f>
        <v/>
      </c>
      <c r="H2770">
        <f>IF(C2770="","",COUNTIFS($C$2:$C$3001,C2770,$F$2:$F$3001,"&lt;"&amp;F2770)+1)</f>
        <v/>
      </c>
      <c r="I2770">
        <f>IF(C2770="","",C2770&amp;"|"&amp;H2770)</f>
        <v/>
      </c>
      <c r="J2770" s="6">
        <f>IF(C2770="","",IF(H2770=1,SUMIFS('Opening Balance'!$F$4:$F$303,'Opening Balance'!$G$4:$G$303,C2770),INDEX($L$2:$L$3001,MATCH(C2770&amp;"|"&amp;(H2770-1),$I$2:$I$3001,0))))</f>
        <v/>
      </c>
      <c r="K2770" s="6">
        <f>IF(C2770="","",IF(M2770&gt;0,M2770,IF(AND(E2770&gt;0,ROUND(J2770+D2770-E2770,2)&gt;0,ROUND(J2770+D2770-E2770,2)&lt;'Opening Balance'!$B$14),ROUND(J2770+D2770-E2770,2),0)))</f>
        <v/>
      </c>
      <c r="L2770" s="6">
        <f>IF(C2770="","",ROUND(J2770+D2770-E2770-K2770,2))</f>
        <v/>
      </c>
      <c r="M2770" s="6">
        <f>IF(C2770="","",0)</f>
        <v/>
      </c>
    </row>
    <row r="2771">
      <c r="A2771" t="inlineStr">
        <is>
          <t>Bank 银行</t>
        </is>
      </c>
      <c r="B2771" s="5">
        <f>IF(AND('Daily Sale entry '!Z1271="Online collection 网上收款",'Daily Sale entry '!AA1271&lt;&gt;""),'Daily Sale entry '!X1271,"")</f>
        <v/>
      </c>
      <c r="C2771">
        <f>IF(B2771="","",'Daily Sale entry '!AA1271)</f>
        <v/>
      </c>
      <c r="D2771">
        <f>IF(C2771="","",0)</f>
        <v/>
      </c>
      <c r="E2771">
        <f>IF(C2771="","",'Daily Sale entry '!AC1271)</f>
        <v/>
      </c>
      <c r="F2771" s="37">
        <f>IF(C2771="","",B2771+IF(E2771&gt;0,0,0.5)+ROW()/10000000)</f>
        <v/>
      </c>
      <c r="G2771">
        <f>IF(C2771="","","Collection 收款 (Online 网上)"&amp;IF('Daily Sale entry '!Y1271="",""," - "&amp;'Daily Sale entry '!Y1271))</f>
        <v/>
      </c>
      <c r="H2771">
        <f>IF(C2771="","",COUNTIFS($C$2:$C$3001,C2771,$F$2:$F$3001,"&lt;"&amp;F2771)+1)</f>
        <v/>
      </c>
      <c r="I2771">
        <f>IF(C2771="","",C2771&amp;"|"&amp;H2771)</f>
        <v/>
      </c>
      <c r="J2771" s="6">
        <f>IF(C2771="","",IF(H2771=1,SUMIFS('Opening Balance'!$F$4:$F$303,'Opening Balance'!$G$4:$G$303,C2771),INDEX($L$2:$L$3001,MATCH(C2771&amp;"|"&amp;(H2771-1),$I$2:$I$3001,0))))</f>
        <v/>
      </c>
      <c r="K2771" s="6">
        <f>IF(C2771="","",IF(M2771&gt;0,M2771,IF(AND(E2771&gt;0,ROUND(J2771+D2771-E2771,2)&gt;0,ROUND(J2771+D2771-E2771,2)&lt;'Opening Balance'!$B$14),ROUND(J2771+D2771-E2771,2),0)))</f>
        <v/>
      </c>
      <c r="L2771" s="6">
        <f>IF(C2771="","",ROUND(J2771+D2771-E2771-K2771,2))</f>
        <v/>
      </c>
      <c r="M2771" s="6">
        <f>IF(C2771="","",0)</f>
        <v/>
      </c>
    </row>
    <row r="2772">
      <c r="A2772" t="inlineStr">
        <is>
          <t>Bank 银行</t>
        </is>
      </c>
      <c r="B2772" s="5">
        <f>IF(AND('Daily Sale entry '!Z1272="Online collection 网上收款",'Daily Sale entry '!AA1272&lt;&gt;""),'Daily Sale entry '!X1272,"")</f>
        <v/>
      </c>
      <c r="C2772">
        <f>IF(B2772="","",'Daily Sale entry '!AA1272)</f>
        <v/>
      </c>
      <c r="D2772">
        <f>IF(C2772="","",0)</f>
        <v/>
      </c>
      <c r="E2772">
        <f>IF(C2772="","",'Daily Sale entry '!AC1272)</f>
        <v/>
      </c>
      <c r="F2772" s="37">
        <f>IF(C2772="","",B2772+IF(E2772&gt;0,0,0.5)+ROW()/10000000)</f>
        <v/>
      </c>
      <c r="G2772">
        <f>IF(C2772="","","Collection 收款 (Online 网上)"&amp;IF('Daily Sale entry '!Y1272="",""," - "&amp;'Daily Sale entry '!Y1272))</f>
        <v/>
      </c>
      <c r="H2772">
        <f>IF(C2772="","",COUNTIFS($C$2:$C$3001,C2772,$F$2:$F$3001,"&lt;"&amp;F2772)+1)</f>
        <v/>
      </c>
      <c r="I2772">
        <f>IF(C2772="","",C2772&amp;"|"&amp;H2772)</f>
        <v/>
      </c>
      <c r="J2772" s="6">
        <f>IF(C2772="","",IF(H2772=1,SUMIFS('Opening Balance'!$F$4:$F$303,'Opening Balance'!$G$4:$G$303,C2772),INDEX($L$2:$L$3001,MATCH(C2772&amp;"|"&amp;(H2772-1),$I$2:$I$3001,0))))</f>
        <v/>
      </c>
      <c r="K2772" s="6">
        <f>IF(C2772="","",IF(M2772&gt;0,M2772,IF(AND(E2772&gt;0,ROUND(J2772+D2772-E2772,2)&gt;0,ROUND(J2772+D2772-E2772,2)&lt;'Opening Balance'!$B$14),ROUND(J2772+D2772-E2772,2),0)))</f>
        <v/>
      </c>
      <c r="L2772" s="6">
        <f>IF(C2772="","",ROUND(J2772+D2772-E2772-K2772,2))</f>
        <v/>
      </c>
      <c r="M2772" s="6">
        <f>IF(C2772="","",0)</f>
        <v/>
      </c>
    </row>
    <row r="2773">
      <c r="A2773" t="inlineStr">
        <is>
          <t>Bank 银行</t>
        </is>
      </c>
      <c r="B2773" s="5">
        <f>IF(AND('Daily Sale entry '!Z1273="Online collection 网上收款",'Daily Sale entry '!AA1273&lt;&gt;""),'Daily Sale entry '!X1273,"")</f>
        <v/>
      </c>
      <c r="C2773">
        <f>IF(B2773="","",'Daily Sale entry '!AA1273)</f>
        <v/>
      </c>
      <c r="D2773">
        <f>IF(C2773="","",0)</f>
        <v/>
      </c>
      <c r="E2773">
        <f>IF(C2773="","",'Daily Sale entry '!AC1273)</f>
        <v/>
      </c>
      <c r="F2773" s="37">
        <f>IF(C2773="","",B2773+IF(E2773&gt;0,0,0.5)+ROW()/10000000)</f>
        <v/>
      </c>
      <c r="G2773">
        <f>IF(C2773="","","Collection 收款 (Online 网上)"&amp;IF('Daily Sale entry '!Y1273="",""," - "&amp;'Daily Sale entry '!Y1273))</f>
        <v/>
      </c>
      <c r="H2773">
        <f>IF(C2773="","",COUNTIFS($C$2:$C$3001,C2773,$F$2:$F$3001,"&lt;"&amp;F2773)+1)</f>
        <v/>
      </c>
      <c r="I2773">
        <f>IF(C2773="","",C2773&amp;"|"&amp;H2773)</f>
        <v/>
      </c>
      <c r="J2773" s="6">
        <f>IF(C2773="","",IF(H2773=1,SUMIFS('Opening Balance'!$F$4:$F$303,'Opening Balance'!$G$4:$G$303,C2773),INDEX($L$2:$L$3001,MATCH(C2773&amp;"|"&amp;(H2773-1),$I$2:$I$3001,0))))</f>
        <v/>
      </c>
      <c r="K2773" s="6">
        <f>IF(C2773="","",IF(M2773&gt;0,M2773,IF(AND(E2773&gt;0,ROUND(J2773+D2773-E2773,2)&gt;0,ROUND(J2773+D2773-E2773,2)&lt;'Opening Balance'!$B$14),ROUND(J2773+D2773-E2773,2),0)))</f>
        <v/>
      </c>
      <c r="L2773" s="6">
        <f>IF(C2773="","",ROUND(J2773+D2773-E2773-K2773,2))</f>
        <v/>
      </c>
      <c r="M2773" s="6">
        <f>IF(C2773="","",0)</f>
        <v/>
      </c>
    </row>
    <row r="2774">
      <c r="A2774" t="inlineStr">
        <is>
          <t>Bank 银行</t>
        </is>
      </c>
      <c r="B2774" s="5">
        <f>IF(AND('Daily Sale entry '!Z1274="Online collection 网上收款",'Daily Sale entry '!AA1274&lt;&gt;""),'Daily Sale entry '!X1274,"")</f>
        <v/>
      </c>
      <c r="C2774">
        <f>IF(B2774="","",'Daily Sale entry '!AA1274)</f>
        <v/>
      </c>
      <c r="D2774">
        <f>IF(C2774="","",0)</f>
        <v/>
      </c>
      <c r="E2774">
        <f>IF(C2774="","",'Daily Sale entry '!AC1274)</f>
        <v/>
      </c>
      <c r="F2774" s="37">
        <f>IF(C2774="","",B2774+IF(E2774&gt;0,0,0.5)+ROW()/10000000)</f>
        <v/>
      </c>
      <c r="G2774">
        <f>IF(C2774="","","Collection 收款 (Online 网上)"&amp;IF('Daily Sale entry '!Y1274="",""," - "&amp;'Daily Sale entry '!Y1274))</f>
        <v/>
      </c>
      <c r="H2774">
        <f>IF(C2774="","",COUNTIFS($C$2:$C$3001,C2774,$F$2:$F$3001,"&lt;"&amp;F2774)+1)</f>
        <v/>
      </c>
      <c r="I2774">
        <f>IF(C2774="","",C2774&amp;"|"&amp;H2774)</f>
        <v/>
      </c>
      <c r="J2774" s="6">
        <f>IF(C2774="","",IF(H2774=1,SUMIFS('Opening Balance'!$F$4:$F$303,'Opening Balance'!$G$4:$G$303,C2774),INDEX($L$2:$L$3001,MATCH(C2774&amp;"|"&amp;(H2774-1),$I$2:$I$3001,0))))</f>
        <v/>
      </c>
      <c r="K2774" s="6">
        <f>IF(C2774="","",IF(M2774&gt;0,M2774,IF(AND(E2774&gt;0,ROUND(J2774+D2774-E2774,2)&gt;0,ROUND(J2774+D2774-E2774,2)&lt;'Opening Balance'!$B$14),ROUND(J2774+D2774-E2774,2),0)))</f>
        <v/>
      </c>
      <c r="L2774" s="6">
        <f>IF(C2774="","",ROUND(J2774+D2774-E2774-K2774,2))</f>
        <v/>
      </c>
      <c r="M2774" s="6">
        <f>IF(C2774="","",0)</f>
        <v/>
      </c>
    </row>
    <row r="2775">
      <c r="A2775" t="inlineStr">
        <is>
          <t>Bank 银行</t>
        </is>
      </c>
      <c r="B2775" s="5">
        <f>IF(AND('Daily Sale entry '!Z1275="Online collection 网上收款",'Daily Sale entry '!AA1275&lt;&gt;""),'Daily Sale entry '!X1275,"")</f>
        <v/>
      </c>
      <c r="C2775">
        <f>IF(B2775="","",'Daily Sale entry '!AA1275)</f>
        <v/>
      </c>
      <c r="D2775">
        <f>IF(C2775="","",0)</f>
        <v/>
      </c>
      <c r="E2775">
        <f>IF(C2775="","",'Daily Sale entry '!AC1275)</f>
        <v/>
      </c>
      <c r="F2775" s="37">
        <f>IF(C2775="","",B2775+IF(E2775&gt;0,0,0.5)+ROW()/10000000)</f>
        <v/>
      </c>
      <c r="G2775">
        <f>IF(C2775="","","Collection 收款 (Online 网上)"&amp;IF('Daily Sale entry '!Y1275="",""," - "&amp;'Daily Sale entry '!Y1275))</f>
        <v/>
      </c>
      <c r="H2775">
        <f>IF(C2775="","",COUNTIFS($C$2:$C$3001,C2775,$F$2:$F$3001,"&lt;"&amp;F2775)+1)</f>
        <v/>
      </c>
      <c r="I2775">
        <f>IF(C2775="","",C2775&amp;"|"&amp;H2775)</f>
        <v/>
      </c>
      <c r="J2775" s="6">
        <f>IF(C2775="","",IF(H2775=1,SUMIFS('Opening Balance'!$F$4:$F$303,'Opening Balance'!$G$4:$G$303,C2775),INDEX($L$2:$L$3001,MATCH(C2775&amp;"|"&amp;(H2775-1),$I$2:$I$3001,0))))</f>
        <v/>
      </c>
      <c r="K2775" s="6">
        <f>IF(C2775="","",IF(M2775&gt;0,M2775,IF(AND(E2775&gt;0,ROUND(J2775+D2775-E2775,2)&gt;0,ROUND(J2775+D2775-E2775,2)&lt;'Opening Balance'!$B$14),ROUND(J2775+D2775-E2775,2),0)))</f>
        <v/>
      </c>
      <c r="L2775" s="6">
        <f>IF(C2775="","",ROUND(J2775+D2775-E2775-K2775,2))</f>
        <v/>
      </c>
      <c r="M2775" s="6">
        <f>IF(C2775="","",0)</f>
        <v/>
      </c>
    </row>
    <row r="2776">
      <c r="A2776" t="inlineStr">
        <is>
          <t>Bank 银行</t>
        </is>
      </c>
      <c r="B2776" s="5">
        <f>IF(AND('Daily Sale entry '!Z1276="Online collection 网上收款",'Daily Sale entry '!AA1276&lt;&gt;""),'Daily Sale entry '!X1276,"")</f>
        <v/>
      </c>
      <c r="C2776">
        <f>IF(B2776="","",'Daily Sale entry '!AA1276)</f>
        <v/>
      </c>
      <c r="D2776">
        <f>IF(C2776="","",0)</f>
        <v/>
      </c>
      <c r="E2776">
        <f>IF(C2776="","",'Daily Sale entry '!AC1276)</f>
        <v/>
      </c>
      <c r="F2776" s="37">
        <f>IF(C2776="","",B2776+IF(E2776&gt;0,0,0.5)+ROW()/10000000)</f>
        <v/>
      </c>
      <c r="G2776">
        <f>IF(C2776="","","Collection 收款 (Online 网上)"&amp;IF('Daily Sale entry '!Y1276="",""," - "&amp;'Daily Sale entry '!Y1276))</f>
        <v/>
      </c>
      <c r="H2776">
        <f>IF(C2776="","",COUNTIFS($C$2:$C$3001,C2776,$F$2:$F$3001,"&lt;"&amp;F2776)+1)</f>
        <v/>
      </c>
      <c r="I2776">
        <f>IF(C2776="","",C2776&amp;"|"&amp;H2776)</f>
        <v/>
      </c>
      <c r="J2776" s="6">
        <f>IF(C2776="","",IF(H2776=1,SUMIFS('Opening Balance'!$F$4:$F$303,'Opening Balance'!$G$4:$G$303,C2776),INDEX($L$2:$L$3001,MATCH(C2776&amp;"|"&amp;(H2776-1),$I$2:$I$3001,0))))</f>
        <v/>
      </c>
      <c r="K2776" s="6">
        <f>IF(C2776="","",IF(M2776&gt;0,M2776,IF(AND(E2776&gt;0,ROUND(J2776+D2776-E2776,2)&gt;0,ROUND(J2776+D2776-E2776,2)&lt;'Opening Balance'!$B$14),ROUND(J2776+D2776-E2776,2),0)))</f>
        <v/>
      </c>
      <c r="L2776" s="6">
        <f>IF(C2776="","",ROUND(J2776+D2776-E2776-K2776,2))</f>
        <v/>
      </c>
      <c r="M2776" s="6">
        <f>IF(C2776="","",0)</f>
        <v/>
      </c>
    </row>
    <row r="2777">
      <c r="A2777" t="inlineStr">
        <is>
          <t>Bank 银行</t>
        </is>
      </c>
      <c r="B2777" s="5">
        <f>IF(AND('Daily Sale entry '!Z1277="Online collection 网上收款",'Daily Sale entry '!AA1277&lt;&gt;""),'Daily Sale entry '!X1277,"")</f>
        <v/>
      </c>
      <c r="C2777">
        <f>IF(B2777="","",'Daily Sale entry '!AA1277)</f>
        <v/>
      </c>
      <c r="D2777">
        <f>IF(C2777="","",0)</f>
        <v/>
      </c>
      <c r="E2777">
        <f>IF(C2777="","",'Daily Sale entry '!AC1277)</f>
        <v/>
      </c>
      <c r="F2777" s="37">
        <f>IF(C2777="","",B2777+IF(E2777&gt;0,0,0.5)+ROW()/10000000)</f>
        <v/>
      </c>
      <c r="G2777">
        <f>IF(C2777="","","Collection 收款 (Online 网上)"&amp;IF('Daily Sale entry '!Y1277="",""," - "&amp;'Daily Sale entry '!Y1277))</f>
        <v/>
      </c>
      <c r="H2777">
        <f>IF(C2777="","",COUNTIFS($C$2:$C$3001,C2777,$F$2:$F$3001,"&lt;"&amp;F2777)+1)</f>
        <v/>
      </c>
      <c r="I2777">
        <f>IF(C2777="","",C2777&amp;"|"&amp;H2777)</f>
        <v/>
      </c>
      <c r="J2777" s="6">
        <f>IF(C2777="","",IF(H2777=1,SUMIFS('Opening Balance'!$F$4:$F$303,'Opening Balance'!$G$4:$G$303,C2777),INDEX($L$2:$L$3001,MATCH(C2777&amp;"|"&amp;(H2777-1),$I$2:$I$3001,0))))</f>
        <v/>
      </c>
      <c r="K2777" s="6">
        <f>IF(C2777="","",IF(M2777&gt;0,M2777,IF(AND(E2777&gt;0,ROUND(J2777+D2777-E2777,2)&gt;0,ROUND(J2777+D2777-E2777,2)&lt;'Opening Balance'!$B$14),ROUND(J2777+D2777-E2777,2),0)))</f>
        <v/>
      </c>
      <c r="L2777" s="6">
        <f>IF(C2777="","",ROUND(J2777+D2777-E2777-K2777,2))</f>
        <v/>
      </c>
      <c r="M2777" s="6">
        <f>IF(C2777="","",0)</f>
        <v/>
      </c>
    </row>
    <row r="2778">
      <c r="A2778" t="inlineStr">
        <is>
          <t>Bank 银行</t>
        </is>
      </c>
      <c r="B2778" s="5">
        <f>IF(AND('Daily Sale entry '!Z1278="Online collection 网上收款",'Daily Sale entry '!AA1278&lt;&gt;""),'Daily Sale entry '!X1278,"")</f>
        <v/>
      </c>
      <c r="C2778">
        <f>IF(B2778="","",'Daily Sale entry '!AA1278)</f>
        <v/>
      </c>
      <c r="D2778">
        <f>IF(C2778="","",0)</f>
        <v/>
      </c>
      <c r="E2778">
        <f>IF(C2778="","",'Daily Sale entry '!AC1278)</f>
        <v/>
      </c>
      <c r="F2778" s="37">
        <f>IF(C2778="","",B2778+IF(E2778&gt;0,0,0.5)+ROW()/10000000)</f>
        <v/>
      </c>
      <c r="G2778">
        <f>IF(C2778="","","Collection 收款 (Online 网上)"&amp;IF('Daily Sale entry '!Y1278="",""," - "&amp;'Daily Sale entry '!Y1278))</f>
        <v/>
      </c>
      <c r="H2778">
        <f>IF(C2778="","",COUNTIFS($C$2:$C$3001,C2778,$F$2:$F$3001,"&lt;"&amp;F2778)+1)</f>
        <v/>
      </c>
      <c r="I2778">
        <f>IF(C2778="","",C2778&amp;"|"&amp;H2778)</f>
        <v/>
      </c>
      <c r="J2778" s="6">
        <f>IF(C2778="","",IF(H2778=1,SUMIFS('Opening Balance'!$F$4:$F$303,'Opening Balance'!$G$4:$G$303,C2778),INDEX($L$2:$L$3001,MATCH(C2778&amp;"|"&amp;(H2778-1),$I$2:$I$3001,0))))</f>
        <v/>
      </c>
      <c r="K2778" s="6">
        <f>IF(C2778="","",IF(M2778&gt;0,M2778,IF(AND(E2778&gt;0,ROUND(J2778+D2778-E2778,2)&gt;0,ROUND(J2778+D2778-E2778,2)&lt;'Opening Balance'!$B$14),ROUND(J2778+D2778-E2778,2),0)))</f>
        <v/>
      </c>
      <c r="L2778" s="6">
        <f>IF(C2778="","",ROUND(J2778+D2778-E2778-K2778,2))</f>
        <v/>
      </c>
      <c r="M2778" s="6">
        <f>IF(C2778="","",0)</f>
        <v/>
      </c>
    </row>
    <row r="2779">
      <c r="A2779" t="inlineStr">
        <is>
          <t>Bank 银行</t>
        </is>
      </c>
      <c r="B2779" s="5">
        <f>IF(AND('Daily Sale entry '!Z1279="Online collection 网上收款",'Daily Sale entry '!AA1279&lt;&gt;""),'Daily Sale entry '!X1279,"")</f>
        <v/>
      </c>
      <c r="C2779">
        <f>IF(B2779="","",'Daily Sale entry '!AA1279)</f>
        <v/>
      </c>
      <c r="D2779">
        <f>IF(C2779="","",0)</f>
        <v/>
      </c>
      <c r="E2779">
        <f>IF(C2779="","",'Daily Sale entry '!AC1279)</f>
        <v/>
      </c>
      <c r="F2779" s="37">
        <f>IF(C2779="","",B2779+IF(E2779&gt;0,0,0.5)+ROW()/10000000)</f>
        <v/>
      </c>
      <c r="G2779">
        <f>IF(C2779="","","Collection 收款 (Online 网上)"&amp;IF('Daily Sale entry '!Y1279="",""," - "&amp;'Daily Sale entry '!Y1279))</f>
        <v/>
      </c>
      <c r="H2779">
        <f>IF(C2779="","",COUNTIFS($C$2:$C$3001,C2779,$F$2:$F$3001,"&lt;"&amp;F2779)+1)</f>
        <v/>
      </c>
      <c r="I2779">
        <f>IF(C2779="","",C2779&amp;"|"&amp;H2779)</f>
        <v/>
      </c>
      <c r="J2779" s="6">
        <f>IF(C2779="","",IF(H2779=1,SUMIFS('Opening Balance'!$F$4:$F$303,'Opening Balance'!$G$4:$G$303,C2779),INDEX($L$2:$L$3001,MATCH(C2779&amp;"|"&amp;(H2779-1),$I$2:$I$3001,0))))</f>
        <v/>
      </c>
      <c r="K2779" s="6">
        <f>IF(C2779="","",IF(M2779&gt;0,M2779,IF(AND(E2779&gt;0,ROUND(J2779+D2779-E2779,2)&gt;0,ROUND(J2779+D2779-E2779,2)&lt;'Opening Balance'!$B$14),ROUND(J2779+D2779-E2779,2),0)))</f>
        <v/>
      </c>
      <c r="L2779" s="6">
        <f>IF(C2779="","",ROUND(J2779+D2779-E2779-K2779,2))</f>
        <v/>
      </c>
      <c r="M2779" s="6">
        <f>IF(C2779="","",0)</f>
        <v/>
      </c>
    </row>
    <row r="2780">
      <c r="A2780" t="inlineStr">
        <is>
          <t>Bank 银行</t>
        </is>
      </c>
      <c r="B2780" s="5">
        <f>IF(AND('Daily Sale entry '!Z1280="Online collection 网上收款",'Daily Sale entry '!AA1280&lt;&gt;""),'Daily Sale entry '!X1280,"")</f>
        <v/>
      </c>
      <c r="C2780">
        <f>IF(B2780="","",'Daily Sale entry '!AA1280)</f>
        <v/>
      </c>
      <c r="D2780">
        <f>IF(C2780="","",0)</f>
        <v/>
      </c>
      <c r="E2780">
        <f>IF(C2780="","",'Daily Sale entry '!AC1280)</f>
        <v/>
      </c>
      <c r="F2780" s="37">
        <f>IF(C2780="","",B2780+IF(E2780&gt;0,0,0.5)+ROW()/10000000)</f>
        <v/>
      </c>
      <c r="G2780">
        <f>IF(C2780="","","Collection 收款 (Online 网上)"&amp;IF('Daily Sale entry '!Y1280="",""," - "&amp;'Daily Sale entry '!Y1280))</f>
        <v/>
      </c>
      <c r="H2780">
        <f>IF(C2780="","",COUNTIFS($C$2:$C$3001,C2780,$F$2:$F$3001,"&lt;"&amp;F2780)+1)</f>
        <v/>
      </c>
      <c r="I2780">
        <f>IF(C2780="","",C2780&amp;"|"&amp;H2780)</f>
        <v/>
      </c>
      <c r="J2780" s="6">
        <f>IF(C2780="","",IF(H2780=1,SUMIFS('Opening Balance'!$F$4:$F$303,'Opening Balance'!$G$4:$G$303,C2780),INDEX($L$2:$L$3001,MATCH(C2780&amp;"|"&amp;(H2780-1),$I$2:$I$3001,0))))</f>
        <v/>
      </c>
      <c r="K2780" s="6">
        <f>IF(C2780="","",IF(M2780&gt;0,M2780,IF(AND(E2780&gt;0,ROUND(J2780+D2780-E2780,2)&gt;0,ROUND(J2780+D2780-E2780,2)&lt;'Opening Balance'!$B$14),ROUND(J2780+D2780-E2780,2),0)))</f>
        <v/>
      </c>
      <c r="L2780" s="6">
        <f>IF(C2780="","",ROUND(J2780+D2780-E2780-K2780,2))</f>
        <v/>
      </c>
      <c r="M2780" s="6">
        <f>IF(C2780="","",0)</f>
        <v/>
      </c>
    </row>
    <row r="2781">
      <c r="A2781" t="inlineStr">
        <is>
          <t>Bank 银行</t>
        </is>
      </c>
      <c r="B2781" s="5">
        <f>IF(AND('Daily Sale entry '!Z1281="Online collection 网上收款",'Daily Sale entry '!AA1281&lt;&gt;""),'Daily Sale entry '!X1281,"")</f>
        <v/>
      </c>
      <c r="C2781">
        <f>IF(B2781="","",'Daily Sale entry '!AA1281)</f>
        <v/>
      </c>
      <c r="D2781">
        <f>IF(C2781="","",0)</f>
        <v/>
      </c>
      <c r="E2781">
        <f>IF(C2781="","",'Daily Sale entry '!AC1281)</f>
        <v/>
      </c>
      <c r="F2781" s="37">
        <f>IF(C2781="","",B2781+IF(E2781&gt;0,0,0.5)+ROW()/10000000)</f>
        <v/>
      </c>
      <c r="G2781">
        <f>IF(C2781="","","Collection 收款 (Online 网上)"&amp;IF('Daily Sale entry '!Y1281="",""," - "&amp;'Daily Sale entry '!Y1281))</f>
        <v/>
      </c>
      <c r="H2781">
        <f>IF(C2781="","",COUNTIFS($C$2:$C$3001,C2781,$F$2:$F$3001,"&lt;"&amp;F2781)+1)</f>
        <v/>
      </c>
      <c r="I2781">
        <f>IF(C2781="","",C2781&amp;"|"&amp;H2781)</f>
        <v/>
      </c>
      <c r="J2781" s="6">
        <f>IF(C2781="","",IF(H2781=1,SUMIFS('Opening Balance'!$F$4:$F$303,'Opening Balance'!$G$4:$G$303,C2781),INDEX($L$2:$L$3001,MATCH(C2781&amp;"|"&amp;(H2781-1),$I$2:$I$3001,0))))</f>
        <v/>
      </c>
      <c r="K2781" s="6">
        <f>IF(C2781="","",IF(M2781&gt;0,M2781,IF(AND(E2781&gt;0,ROUND(J2781+D2781-E2781,2)&gt;0,ROUND(J2781+D2781-E2781,2)&lt;'Opening Balance'!$B$14),ROUND(J2781+D2781-E2781,2),0)))</f>
        <v/>
      </c>
      <c r="L2781" s="6">
        <f>IF(C2781="","",ROUND(J2781+D2781-E2781-K2781,2))</f>
        <v/>
      </c>
      <c r="M2781" s="6">
        <f>IF(C2781="","",0)</f>
        <v/>
      </c>
    </row>
    <row r="2782">
      <c r="A2782" t="inlineStr">
        <is>
          <t>Bank 银行</t>
        </is>
      </c>
      <c r="B2782" s="5">
        <f>IF(AND('Daily Sale entry '!Z1282="Online collection 网上收款",'Daily Sale entry '!AA1282&lt;&gt;""),'Daily Sale entry '!X1282,"")</f>
        <v/>
      </c>
      <c r="C2782">
        <f>IF(B2782="","",'Daily Sale entry '!AA1282)</f>
        <v/>
      </c>
      <c r="D2782">
        <f>IF(C2782="","",0)</f>
        <v/>
      </c>
      <c r="E2782">
        <f>IF(C2782="","",'Daily Sale entry '!AC1282)</f>
        <v/>
      </c>
      <c r="F2782" s="37">
        <f>IF(C2782="","",B2782+IF(E2782&gt;0,0,0.5)+ROW()/10000000)</f>
        <v/>
      </c>
      <c r="G2782">
        <f>IF(C2782="","","Collection 收款 (Online 网上)"&amp;IF('Daily Sale entry '!Y1282="",""," - "&amp;'Daily Sale entry '!Y1282))</f>
        <v/>
      </c>
      <c r="H2782">
        <f>IF(C2782="","",COUNTIFS($C$2:$C$3001,C2782,$F$2:$F$3001,"&lt;"&amp;F2782)+1)</f>
        <v/>
      </c>
      <c r="I2782">
        <f>IF(C2782="","",C2782&amp;"|"&amp;H2782)</f>
        <v/>
      </c>
      <c r="J2782" s="6">
        <f>IF(C2782="","",IF(H2782=1,SUMIFS('Opening Balance'!$F$4:$F$303,'Opening Balance'!$G$4:$G$303,C2782),INDEX($L$2:$L$3001,MATCH(C2782&amp;"|"&amp;(H2782-1),$I$2:$I$3001,0))))</f>
        <v/>
      </c>
      <c r="K2782" s="6">
        <f>IF(C2782="","",IF(M2782&gt;0,M2782,IF(AND(E2782&gt;0,ROUND(J2782+D2782-E2782,2)&gt;0,ROUND(J2782+D2782-E2782,2)&lt;'Opening Balance'!$B$14),ROUND(J2782+D2782-E2782,2),0)))</f>
        <v/>
      </c>
      <c r="L2782" s="6">
        <f>IF(C2782="","",ROUND(J2782+D2782-E2782-K2782,2))</f>
        <v/>
      </c>
      <c r="M2782" s="6">
        <f>IF(C2782="","",0)</f>
        <v/>
      </c>
    </row>
    <row r="2783">
      <c r="A2783" t="inlineStr">
        <is>
          <t>Bank 银行</t>
        </is>
      </c>
      <c r="B2783" s="5">
        <f>IF(AND('Daily Sale entry '!Z1283="Online collection 网上收款",'Daily Sale entry '!AA1283&lt;&gt;""),'Daily Sale entry '!X1283,"")</f>
        <v/>
      </c>
      <c r="C2783">
        <f>IF(B2783="","",'Daily Sale entry '!AA1283)</f>
        <v/>
      </c>
      <c r="D2783">
        <f>IF(C2783="","",0)</f>
        <v/>
      </c>
      <c r="E2783">
        <f>IF(C2783="","",'Daily Sale entry '!AC1283)</f>
        <v/>
      </c>
      <c r="F2783" s="37">
        <f>IF(C2783="","",B2783+IF(E2783&gt;0,0,0.5)+ROW()/10000000)</f>
        <v/>
      </c>
      <c r="G2783">
        <f>IF(C2783="","","Collection 收款 (Online 网上)"&amp;IF('Daily Sale entry '!Y1283="",""," - "&amp;'Daily Sale entry '!Y1283))</f>
        <v/>
      </c>
      <c r="H2783">
        <f>IF(C2783="","",COUNTIFS($C$2:$C$3001,C2783,$F$2:$F$3001,"&lt;"&amp;F2783)+1)</f>
        <v/>
      </c>
      <c r="I2783">
        <f>IF(C2783="","",C2783&amp;"|"&amp;H2783)</f>
        <v/>
      </c>
      <c r="J2783" s="6">
        <f>IF(C2783="","",IF(H2783=1,SUMIFS('Opening Balance'!$F$4:$F$303,'Opening Balance'!$G$4:$G$303,C2783),INDEX($L$2:$L$3001,MATCH(C2783&amp;"|"&amp;(H2783-1),$I$2:$I$3001,0))))</f>
        <v/>
      </c>
      <c r="K2783" s="6">
        <f>IF(C2783="","",IF(M2783&gt;0,M2783,IF(AND(E2783&gt;0,ROUND(J2783+D2783-E2783,2)&gt;0,ROUND(J2783+D2783-E2783,2)&lt;'Opening Balance'!$B$14),ROUND(J2783+D2783-E2783,2),0)))</f>
        <v/>
      </c>
      <c r="L2783" s="6">
        <f>IF(C2783="","",ROUND(J2783+D2783-E2783-K2783,2))</f>
        <v/>
      </c>
      <c r="M2783" s="6">
        <f>IF(C2783="","",0)</f>
        <v/>
      </c>
    </row>
    <row r="2784">
      <c r="A2784" t="inlineStr">
        <is>
          <t>Bank 银行</t>
        </is>
      </c>
      <c r="B2784" s="5">
        <f>IF(AND('Daily Sale entry '!Z1284="Online collection 网上收款",'Daily Sale entry '!AA1284&lt;&gt;""),'Daily Sale entry '!X1284,"")</f>
        <v/>
      </c>
      <c r="C2784">
        <f>IF(B2784="","",'Daily Sale entry '!AA1284)</f>
        <v/>
      </c>
      <c r="D2784">
        <f>IF(C2784="","",0)</f>
        <v/>
      </c>
      <c r="E2784">
        <f>IF(C2784="","",'Daily Sale entry '!AC1284)</f>
        <v/>
      </c>
      <c r="F2784" s="37">
        <f>IF(C2784="","",B2784+IF(E2784&gt;0,0,0.5)+ROW()/10000000)</f>
        <v/>
      </c>
      <c r="G2784">
        <f>IF(C2784="","","Collection 收款 (Online 网上)"&amp;IF('Daily Sale entry '!Y1284="",""," - "&amp;'Daily Sale entry '!Y1284))</f>
        <v/>
      </c>
      <c r="H2784">
        <f>IF(C2784="","",COUNTIFS($C$2:$C$3001,C2784,$F$2:$F$3001,"&lt;"&amp;F2784)+1)</f>
        <v/>
      </c>
      <c r="I2784">
        <f>IF(C2784="","",C2784&amp;"|"&amp;H2784)</f>
        <v/>
      </c>
      <c r="J2784" s="6">
        <f>IF(C2784="","",IF(H2784=1,SUMIFS('Opening Balance'!$F$4:$F$303,'Opening Balance'!$G$4:$G$303,C2784),INDEX($L$2:$L$3001,MATCH(C2784&amp;"|"&amp;(H2784-1),$I$2:$I$3001,0))))</f>
        <v/>
      </c>
      <c r="K2784" s="6">
        <f>IF(C2784="","",IF(M2784&gt;0,M2784,IF(AND(E2784&gt;0,ROUND(J2784+D2784-E2784,2)&gt;0,ROUND(J2784+D2784-E2784,2)&lt;'Opening Balance'!$B$14),ROUND(J2784+D2784-E2784,2),0)))</f>
        <v/>
      </c>
      <c r="L2784" s="6">
        <f>IF(C2784="","",ROUND(J2784+D2784-E2784-K2784,2))</f>
        <v/>
      </c>
      <c r="M2784" s="6">
        <f>IF(C2784="","",0)</f>
        <v/>
      </c>
    </row>
    <row r="2785">
      <c r="A2785" t="inlineStr">
        <is>
          <t>Bank 银行</t>
        </is>
      </c>
      <c r="B2785" s="5">
        <f>IF(AND('Daily Sale entry '!Z1285="Online collection 网上收款",'Daily Sale entry '!AA1285&lt;&gt;""),'Daily Sale entry '!X1285,"")</f>
        <v/>
      </c>
      <c r="C2785">
        <f>IF(B2785="","",'Daily Sale entry '!AA1285)</f>
        <v/>
      </c>
      <c r="D2785">
        <f>IF(C2785="","",0)</f>
        <v/>
      </c>
      <c r="E2785">
        <f>IF(C2785="","",'Daily Sale entry '!AC1285)</f>
        <v/>
      </c>
      <c r="F2785" s="37">
        <f>IF(C2785="","",B2785+IF(E2785&gt;0,0,0.5)+ROW()/10000000)</f>
        <v/>
      </c>
      <c r="G2785">
        <f>IF(C2785="","","Collection 收款 (Online 网上)"&amp;IF('Daily Sale entry '!Y1285="",""," - "&amp;'Daily Sale entry '!Y1285))</f>
        <v/>
      </c>
      <c r="H2785">
        <f>IF(C2785="","",COUNTIFS($C$2:$C$3001,C2785,$F$2:$F$3001,"&lt;"&amp;F2785)+1)</f>
        <v/>
      </c>
      <c r="I2785">
        <f>IF(C2785="","",C2785&amp;"|"&amp;H2785)</f>
        <v/>
      </c>
      <c r="J2785" s="6">
        <f>IF(C2785="","",IF(H2785=1,SUMIFS('Opening Balance'!$F$4:$F$303,'Opening Balance'!$G$4:$G$303,C2785),INDEX($L$2:$L$3001,MATCH(C2785&amp;"|"&amp;(H2785-1),$I$2:$I$3001,0))))</f>
        <v/>
      </c>
      <c r="K2785" s="6">
        <f>IF(C2785="","",IF(M2785&gt;0,M2785,IF(AND(E2785&gt;0,ROUND(J2785+D2785-E2785,2)&gt;0,ROUND(J2785+D2785-E2785,2)&lt;'Opening Balance'!$B$14),ROUND(J2785+D2785-E2785,2),0)))</f>
        <v/>
      </c>
      <c r="L2785" s="6">
        <f>IF(C2785="","",ROUND(J2785+D2785-E2785-K2785,2))</f>
        <v/>
      </c>
      <c r="M2785" s="6">
        <f>IF(C2785="","",0)</f>
        <v/>
      </c>
    </row>
    <row r="2786">
      <c r="A2786" t="inlineStr">
        <is>
          <t>Bank 银行</t>
        </is>
      </c>
      <c r="B2786" s="5">
        <f>IF(AND('Daily Sale entry '!Z1286="Online collection 网上收款",'Daily Sale entry '!AA1286&lt;&gt;""),'Daily Sale entry '!X1286,"")</f>
        <v/>
      </c>
      <c r="C2786">
        <f>IF(B2786="","",'Daily Sale entry '!AA1286)</f>
        <v/>
      </c>
      <c r="D2786">
        <f>IF(C2786="","",0)</f>
        <v/>
      </c>
      <c r="E2786">
        <f>IF(C2786="","",'Daily Sale entry '!AC1286)</f>
        <v/>
      </c>
      <c r="F2786" s="37">
        <f>IF(C2786="","",B2786+IF(E2786&gt;0,0,0.5)+ROW()/10000000)</f>
        <v/>
      </c>
      <c r="G2786">
        <f>IF(C2786="","","Collection 收款 (Online 网上)"&amp;IF('Daily Sale entry '!Y1286="",""," - "&amp;'Daily Sale entry '!Y1286))</f>
        <v/>
      </c>
      <c r="H2786">
        <f>IF(C2786="","",COUNTIFS($C$2:$C$3001,C2786,$F$2:$F$3001,"&lt;"&amp;F2786)+1)</f>
        <v/>
      </c>
      <c r="I2786">
        <f>IF(C2786="","",C2786&amp;"|"&amp;H2786)</f>
        <v/>
      </c>
      <c r="J2786" s="6">
        <f>IF(C2786="","",IF(H2786=1,SUMIFS('Opening Balance'!$F$4:$F$303,'Opening Balance'!$G$4:$G$303,C2786),INDEX($L$2:$L$3001,MATCH(C2786&amp;"|"&amp;(H2786-1),$I$2:$I$3001,0))))</f>
        <v/>
      </c>
      <c r="K2786" s="6">
        <f>IF(C2786="","",IF(M2786&gt;0,M2786,IF(AND(E2786&gt;0,ROUND(J2786+D2786-E2786,2)&gt;0,ROUND(J2786+D2786-E2786,2)&lt;'Opening Balance'!$B$14),ROUND(J2786+D2786-E2786,2),0)))</f>
        <v/>
      </c>
      <c r="L2786" s="6">
        <f>IF(C2786="","",ROUND(J2786+D2786-E2786-K2786,2))</f>
        <v/>
      </c>
      <c r="M2786" s="6">
        <f>IF(C2786="","",0)</f>
        <v/>
      </c>
    </row>
    <row r="2787">
      <c r="A2787" t="inlineStr">
        <is>
          <t>Bank 银行</t>
        </is>
      </c>
      <c r="B2787" s="5">
        <f>IF(AND('Daily Sale entry '!Z1287="Online collection 网上收款",'Daily Sale entry '!AA1287&lt;&gt;""),'Daily Sale entry '!X1287,"")</f>
        <v/>
      </c>
      <c r="C2787">
        <f>IF(B2787="","",'Daily Sale entry '!AA1287)</f>
        <v/>
      </c>
      <c r="D2787">
        <f>IF(C2787="","",0)</f>
        <v/>
      </c>
      <c r="E2787">
        <f>IF(C2787="","",'Daily Sale entry '!AC1287)</f>
        <v/>
      </c>
      <c r="F2787" s="37">
        <f>IF(C2787="","",B2787+IF(E2787&gt;0,0,0.5)+ROW()/10000000)</f>
        <v/>
      </c>
      <c r="G2787">
        <f>IF(C2787="","","Collection 收款 (Online 网上)"&amp;IF('Daily Sale entry '!Y1287="",""," - "&amp;'Daily Sale entry '!Y1287))</f>
        <v/>
      </c>
      <c r="H2787">
        <f>IF(C2787="","",COUNTIFS($C$2:$C$3001,C2787,$F$2:$F$3001,"&lt;"&amp;F2787)+1)</f>
        <v/>
      </c>
      <c r="I2787">
        <f>IF(C2787="","",C2787&amp;"|"&amp;H2787)</f>
        <v/>
      </c>
      <c r="J2787" s="6">
        <f>IF(C2787="","",IF(H2787=1,SUMIFS('Opening Balance'!$F$4:$F$303,'Opening Balance'!$G$4:$G$303,C2787),INDEX($L$2:$L$3001,MATCH(C2787&amp;"|"&amp;(H2787-1),$I$2:$I$3001,0))))</f>
        <v/>
      </c>
      <c r="K2787" s="6">
        <f>IF(C2787="","",IF(M2787&gt;0,M2787,IF(AND(E2787&gt;0,ROUND(J2787+D2787-E2787,2)&gt;0,ROUND(J2787+D2787-E2787,2)&lt;'Opening Balance'!$B$14),ROUND(J2787+D2787-E2787,2),0)))</f>
        <v/>
      </c>
      <c r="L2787" s="6">
        <f>IF(C2787="","",ROUND(J2787+D2787-E2787-K2787,2))</f>
        <v/>
      </c>
      <c r="M2787" s="6">
        <f>IF(C2787="","",0)</f>
        <v/>
      </c>
    </row>
    <row r="2788">
      <c r="A2788" t="inlineStr">
        <is>
          <t>Bank 银行</t>
        </is>
      </c>
      <c r="B2788" s="5">
        <f>IF(AND('Daily Sale entry '!Z1288="Online collection 网上收款",'Daily Sale entry '!AA1288&lt;&gt;""),'Daily Sale entry '!X1288,"")</f>
        <v/>
      </c>
      <c r="C2788">
        <f>IF(B2788="","",'Daily Sale entry '!AA1288)</f>
        <v/>
      </c>
      <c r="D2788">
        <f>IF(C2788="","",0)</f>
        <v/>
      </c>
      <c r="E2788">
        <f>IF(C2788="","",'Daily Sale entry '!AC1288)</f>
        <v/>
      </c>
      <c r="F2788" s="37">
        <f>IF(C2788="","",B2788+IF(E2788&gt;0,0,0.5)+ROW()/10000000)</f>
        <v/>
      </c>
      <c r="G2788">
        <f>IF(C2788="","","Collection 收款 (Online 网上)"&amp;IF('Daily Sale entry '!Y1288="",""," - "&amp;'Daily Sale entry '!Y1288))</f>
        <v/>
      </c>
      <c r="H2788">
        <f>IF(C2788="","",COUNTIFS($C$2:$C$3001,C2788,$F$2:$F$3001,"&lt;"&amp;F2788)+1)</f>
        <v/>
      </c>
      <c r="I2788">
        <f>IF(C2788="","",C2788&amp;"|"&amp;H2788)</f>
        <v/>
      </c>
      <c r="J2788" s="6">
        <f>IF(C2788="","",IF(H2788=1,SUMIFS('Opening Balance'!$F$4:$F$303,'Opening Balance'!$G$4:$G$303,C2788),INDEX($L$2:$L$3001,MATCH(C2788&amp;"|"&amp;(H2788-1),$I$2:$I$3001,0))))</f>
        <v/>
      </c>
      <c r="K2788" s="6">
        <f>IF(C2788="","",IF(M2788&gt;0,M2788,IF(AND(E2788&gt;0,ROUND(J2788+D2788-E2788,2)&gt;0,ROUND(J2788+D2788-E2788,2)&lt;'Opening Balance'!$B$14),ROUND(J2788+D2788-E2788,2),0)))</f>
        <v/>
      </c>
      <c r="L2788" s="6">
        <f>IF(C2788="","",ROUND(J2788+D2788-E2788-K2788,2))</f>
        <v/>
      </c>
      <c r="M2788" s="6">
        <f>IF(C2788="","",0)</f>
        <v/>
      </c>
    </row>
    <row r="2789">
      <c r="A2789" t="inlineStr">
        <is>
          <t>Bank 银行</t>
        </is>
      </c>
      <c r="B2789" s="5">
        <f>IF(AND('Daily Sale entry '!Z1289="Online collection 网上收款",'Daily Sale entry '!AA1289&lt;&gt;""),'Daily Sale entry '!X1289,"")</f>
        <v/>
      </c>
      <c r="C2789">
        <f>IF(B2789="","",'Daily Sale entry '!AA1289)</f>
        <v/>
      </c>
      <c r="D2789">
        <f>IF(C2789="","",0)</f>
        <v/>
      </c>
      <c r="E2789">
        <f>IF(C2789="","",'Daily Sale entry '!AC1289)</f>
        <v/>
      </c>
      <c r="F2789" s="37">
        <f>IF(C2789="","",B2789+IF(E2789&gt;0,0,0.5)+ROW()/10000000)</f>
        <v/>
      </c>
      <c r="G2789">
        <f>IF(C2789="","","Collection 收款 (Online 网上)"&amp;IF('Daily Sale entry '!Y1289="",""," - "&amp;'Daily Sale entry '!Y1289))</f>
        <v/>
      </c>
      <c r="H2789">
        <f>IF(C2789="","",COUNTIFS($C$2:$C$3001,C2789,$F$2:$F$3001,"&lt;"&amp;F2789)+1)</f>
        <v/>
      </c>
      <c r="I2789">
        <f>IF(C2789="","",C2789&amp;"|"&amp;H2789)</f>
        <v/>
      </c>
      <c r="J2789" s="6">
        <f>IF(C2789="","",IF(H2789=1,SUMIFS('Opening Balance'!$F$4:$F$303,'Opening Balance'!$G$4:$G$303,C2789),INDEX($L$2:$L$3001,MATCH(C2789&amp;"|"&amp;(H2789-1),$I$2:$I$3001,0))))</f>
        <v/>
      </c>
      <c r="K2789" s="6">
        <f>IF(C2789="","",IF(M2789&gt;0,M2789,IF(AND(E2789&gt;0,ROUND(J2789+D2789-E2789,2)&gt;0,ROUND(J2789+D2789-E2789,2)&lt;'Opening Balance'!$B$14),ROUND(J2789+D2789-E2789,2),0)))</f>
        <v/>
      </c>
      <c r="L2789" s="6">
        <f>IF(C2789="","",ROUND(J2789+D2789-E2789-K2789,2))</f>
        <v/>
      </c>
      <c r="M2789" s="6">
        <f>IF(C2789="","",0)</f>
        <v/>
      </c>
    </row>
    <row r="2790">
      <c r="A2790" t="inlineStr">
        <is>
          <t>Bank 银行</t>
        </is>
      </c>
      <c r="B2790" s="5">
        <f>IF(AND('Daily Sale entry '!Z1290="Online collection 网上收款",'Daily Sale entry '!AA1290&lt;&gt;""),'Daily Sale entry '!X1290,"")</f>
        <v/>
      </c>
      <c r="C2790">
        <f>IF(B2790="","",'Daily Sale entry '!AA1290)</f>
        <v/>
      </c>
      <c r="D2790">
        <f>IF(C2790="","",0)</f>
        <v/>
      </c>
      <c r="E2790">
        <f>IF(C2790="","",'Daily Sale entry '!AC1290)</f>
        <v/>
      </c>
      <c r="F2790" s="37">
        <f>IF(C2790="","",B2790+IF(E2790&gt;0,0,0.5)+ROW()/10000000)</f>
        <v/>
      </c>
      <c r="G2790">
        <f>IF(C2790="","","Collection 收款 (Online 网上)"&amp;IF('Daily Sale entry '!Y1290="",""," - "&amp;'Daily Sale entry '!Y1290))</f>
        <v/>
      </c>
      <c r="H2790">
        <f>IF(C2790="","",COUNTIFS($C$2:$C$3001,C2790,$F$2:$F$3001,"&lt;"&amp;F2790)+1)</f>
        <v/>
      </c>
      <c r="I2790">
        <f>IF(C2790="","",C2790&amp;"|"&amp;H2790)</f>
        <v/>
      </c>
      <c r="J2790" s="6">
        <f>IF(C2790="","",IF(H2790=1,SUMIFS('Opening Balance'!$F$4:$F$303,'Opening Balance'!$G$4:$G$303,C2790),INDEX($L$2:$L$3001,MATCH(C2790&amp;"|"&amp;(H2790-1),$I$2:$I$3001,0))))</f>
        <v/>
      </c>
      <c r="K2790" s="6">
        <f>IF(C2790="","",IF(M2790&gt;0,M2790,IF(AND(E2790&gt;0,ROUND(J2790+D2790-E2790,2)&gt;0,ROUND(J2790+D2790-E2790,2)&lt;'Opening Balance'!$B$14),ROUND(J2790+D2790-E2790,2),0)))</f>
        <v/>
      </c>
      <c r="L2790" s="6">
        <f>IF(C2790="","",ROUND(J2790+D2790-E2790-K2790,2))</f>
        <v/>
      </c>
      <c r="M2790" s="6">
        <f>IF(C2790="","",0)</f>
        <v/>
      </c>
    </row>
    <row r="2791">
      <c r="A2791" t="inlineStr">
        <is>
          <t>Bank 银行</t>
        </is>
      </c>
      <c r="B2791" s="5">
        <f>IF(AND('Daily Sale entry '!Z1291="Online collection 网上收款",'Daily Sale entry '!AA1291&lt;&gt;""),'Daily Sale entry '!X1291,"")</f>
        <v/>
      </c>
      <c r="C2791">
        <f>IF(B2791="","",'Daily Sale entry '!AA1291)</f>
        <v/>
      </c>
      <c r="D2791">
        <f>IF(C2791="","",0)</f>
        <v/>
      </c>
      <c r="E2791">
        <f>IF(C2791="","",'Daily Sale entry '!AC1291)</f>
        <v/>
      </c>
      <c r="F2791" s="37">
        <f>IF(C2791="","",B2791+IF(E2791&gt;0,0,0.5)+ROW()/10000000)</f>
        <v/>
      </c>
      <c r="G2791">
        <f>IF(C2791="","","Collection 收款 (Online 网上)"&amp;IF('Daily Sale entry '!Y1291="",""," - "&amp;'Daily Sale entry '!Y1291))</f>
        <v/>
      </c>
      <c r="H2791">
        <f>IF(C2791="","",COUNTIFS($C$2:$C$3001,C2791,$F$2:$F$3001,"&lt;"&amp;F2791)+1)</f>
        <v/>
      </c>
      <c r="I2791">
        <f>IF(C2791="","",C2791&amp;"|"&amp;H2791)</f>
        <v/>
      </c>
      <c r="J2791" s="6">
        <f>IF(C2791="","",IF(H2791=1,SUMIFS('Opening Balance'!$F$4:$F$303,'Opening Balance'!$G$4:$G$303,C2791),INDEX($L$2:$L$3001,MATCH(C2791&amp;"|"&amp;(H2791-1),$I$2:$I$3001,0))))</f>
        <v/>
      </c>
      <c r="K2791" s="6">
        <f>IF(C2791="","",IF(M2791&gt;0,M2791,IF(AND(E2791&gt;0,ROUND(J2791+D2791-E2791,2)&gt;0,ROUND(J2791+D2791-E2791,2)&lt;'Opening Balance'!$B$14),ROUND(J2791+D2791-E2791,2),0)))</f>
        <v/>
      </c>
      <c r="L2791" s="6">
        <f>IF(C2791="","",ROUND(J2791+D2791-E2791-K2791,2))</f>
        <v/>
      </c>
      <c r="M2791" s="6">
        <f>IF(C2791="","",0)</f>
        <v/>
      </c>
    </row>
    <row r="2792">
      <c r="A2792" t="inlineStr">
        <is>
          <t>Bank 银行</t>
        </is>
      </c>
      <c r="B2792" s="5">
        <f>IF(AND('Daily Sale entry '!Z1292="Online collection 网上收款",'Daily Sale entry '!AA1292&lt;&gt;""),'Daily Sale entry '!X1292,"")</f>
        <v/>
      </c>
      <c r="C2792">
        <f>IF(B2792="","",'Daily Sale entry '!AA1292)</f>
        <v/>
      </c>
      <c r="D2792">
        <f>IF(C2792="","",0)</f>
        <v/>
      </c>
      <c r="E2792">
        <f>IF(C2792="","",'Daily Sale entry '!AC1292)</f>
        <v/>
      </c>
      <c r="F2792" s="37">
        <f>IF(C2792="","",B2792+IF(E2792&gt;0,0,0.5)+ROW()/10000000)</f>
        <v/>
      </c>
      <c r="G2792">
        <f>IF(C2792="","","Collection 收款 (Online 网上)"&amp;IF('Daily Sale entry '!Y1292="",""," - "&amp;'Daily Sale entry '!Y1292))</f>
        <v/>
      </c>
      <c r="H2792">
        <f>IF(C2792="","",COUNTIFS($C$2:$C$3001,C2792,$F$2:$F$3001,"&lt;"&amp;F2792)+1)</f>
        <v/>
      </c>
      <c r="I2792">
        <f>IF(C2792="","",C2792&amp;"|"&amp;H2792)</f>
        <v/>
      </c>
      <c r="J2792" s="6">
        <f>IF(C2792="","",IF(H2792=1,SUMIFS('Opening Balance'!$F$4:$F$303,'Opening Balance'!$G$4:$G$303,C2792),INDEX($L$2:$L$3001,MATCH(C2792&amp;"|"&amp;(H2792-1),$I$2:$I$3001,0))))</f>
        <v/>
      </c>
      <c r="K2792" s="6">
        <f>IF(C2792="","",IF(M2792&gt;0,M2792,IF(AND(E2792&gt;0,ROUND(J2792+D2792-E2792,2)&gt;0,ROUND(J2792+D2792-E2792,2)&lt;'Opening Balance'!$B$14),ROUND(J2792+D2792-E2792,2),0)))</f>
        <v/>
      </c>
      <c r="L2792" s="6">
        <f>IF(C2792="","",ROUND(J2792+D2792-E2792-K2792,2))</f>
        <v/>
      </c>
      <c r="M2792" s="6">
        <f>IF(C2792="","",0)</f>
        <v/>
      </c>
    </row>
    <row r="2793">
      <c r="A2793" t="inlineStr">
        <is>
          <t>Bank 银行</t>
        </is>
      </c>
      <c r="B2793" s="5">
        <f>IF(AND('Daily Sale entry '!Z1293="Online collection 网上收款",'Daily Sale entry '!AA1293&lt;&gt;""),'Daily Sale entry '!X1293,"")</f>
        <v/>
      </c>
      <c r="C2793">
        <f>IF(B2793="","",'Daily Sale entry '!AA1293)</f>
        <v/>
      </c>
      <c r="D2793">
        <f>IF(C2793="","",0)</f>
        <v/>
      </c>
      <c r="E2793">
        <f>IF(C2793="","",'Daily Sale entry '!AC1293)</f>
        <v/>
      </c>
      <c r="F2793" s="37">
        <f>IF(C2793="","",B2793+IF(E2793&gt;0,0,0.5)+ROW()/10000000)</f>
        <v/>
      </c>
      <c r="G2793">
        <f>IF(C2793="","","Collection 收款 (Online 网上)"&amp;IF('Daily Sale entry '!Y1293="",""," - "&amp;'Daily Sale entry '!Y1293))</f>
        <v/>
      </c>
      <c r="H2793">
        <f>IF(C2793="","",COUNTIFS($C$2:$C$3001,C2793,$F$2:$F$3001,"&lt;"&amp;F2793)+1)</f>
        <v/>
      </c>
      <c r="I2793">
        <f>IF(C2793="","",C2793&amp;"|"&amp;H2793)</f>
        <v/>
      </c>
      <c r="J2793" s="6">
        <f>IF(C2793="","",IF(H2793=1,SUMIFS('Opening Balance'!$F$4:$F$303,'Opening Balance'!$G$4:$G$303,C2793),INDEX($L$2:$L$3001,MATCH(C2793&amp;"|"&amp;(H2793-1),$I$2:$I$3001,0))))</f>
        <v/>
      </c>
      <c r="K2793" s="6">
        <f>IF(C2793="","",IF(M2793&gt;0,M2793,IF(AND(E2793&gt;0,ROUND(J2793+D2793-E2793,2)&gt;0,ROUND(J2793+D2793-E2793,2)&lt;'Opening Balance'!$B$14),ROUND(J2793+D2793-E2793,2),0)))</f>
        <v/>
      </c>
      <c r="L2793" s="6">
        <f>IF(C2793="","",ROUND(J2793+D2793-E2793-K2793,2))</f>
        <v/>
      </c>
      <c r="M2793" s="6">
        <f>IF(C2793="","",0)</f>
        <v/>
      </c>
    </row>
    <row r="2794">
      <c r="A2794" t="inlineStr">
        <is>
          <t>Bank 银行</t>
        </is>
      </c>
      <c r="B2794" s="5">
        <f>IF(AND('Daily Sale entry '!Z1294="Online collection 网上收款",'Daily Sale entry '!AA1294&lt;&gt;""),'Daily Sale entry '!X1294,"")</f>
        <v/>
      </c>
      <c r="C2794">
        <f>IF(B2794="","",'Daily Sale entry '!AA1294)</f>
        <v/>
      </c>
      <c r="D2794">
        <f>IF(C2794="","",0)</f>
        <v/>
      </c>
      <c r="E2794">
        <f>IF(C2794="","",'Daily Sale entry '!AC1294)</f>
        <v/>
      </c>
      <c r="F2794" s="37">
        <f>IF(C2794="","",B2794+IF(E2794&gt;0,0,0.5)+ROW()/10000000)</f>
        <v/>
      </c>
      <c r="G2794">
        <f>IF(C2794="","","Collection 收款 (Online 网上)"&amp;IF('Daily Sale entry '!Y1294="",""," - "&amp;'Daily Sale entry '!Y1294))</f>
        <v/>
      </c>
      <c r="H2794">
        <f>IF(C2794="","",COUNTIFS($C$2:$C$3001,C2794,$F$2:$F$3001,"&lt;"&amp;F2794)+1)</f>
        <v/>
      </c>
      <c r="I2794">
        <f>IF(C2794="","",C2794&amp;"|"&amp;H2794)</f>
        <v/>
      </c>
      <c r="J2794" s="6">
        <f>IF(C2794="","",IF(H2794=1,SUMIFS('Opening Balance'!$F$4:$F$303,'Opening Balance'!$G$4:$G$303,C2794),INDEX($L$2:$L$3001,MATCH(C2794&amp;"|"&amp;(H2794-1),$I$2:$I$3001,0))))</f>
        <v/>
      </c>
      <c r="K2794" s="6">
        <f>IF(C2794="","",IF(M2794&gt;0,M2794,IF(AND(E2794&gt;0,ROUND(J2794+D2794-E2794,2)&gt;0,ROUND(J2794+D2794-E2794,2)&lt;'Opening Balance'!$B$14),ROUND(J2794+D2794-E2794,2),0)))</f>
        <v/>
      </c>
      <c r="L2794" s="6">
        <f>IF(C2794="","",ROUND(J2794+D2794-E2794-K2794,2))</f>
        <v/>
      </c>
      <c r="M2794" s="6">
        <f>IF(C2794="","",0)</f>
        <v/>
      </c>
    </row>
    <row r="2795">
      <c r="A2795" t="inlineStr">
        <is>
          <t>Bank 银行</t>
        </is>
      </c>
      <c r="B2795" s="5">
        <f>IF(AND('Daily Sale entry '!Z1295="Online collection 网上收款",'Daily Sale entry '!AA1295&lt;&gt;""),'Daily Sale entry '!X1295,"")</f>
        <v/>
      </c>
      <c r="C2795">
        <f>IF(B2795="","",'Daily Sale entry '!AA1295)</f>
        <v/>
      </c>
      <c r="D2795">
        <f>IF(C2795="","",0)</f>
        <v/>
      </c>
      <c r="E2795">
        <f>IF(C2795="","",'Daily Sale entry '!AC1295)</f>
        <v/>
      </c>
      <c r="F2795" s="37">
        <f>IF(C2795="","",B2795+IF(E2795&gt;0,0,0.5)+ROW()/10000000)</f>
        <v/>
      </c>
      <c r="G2795">
        <f>IF(C2795="","","Collection 收款 (Online 网上)"&amp;IF('Daily Sale entry '!Y1295="",""," - "&amp;'Daily Sale entry '!Y1295))</f>
        <v/>
      </c>
      <c r="H2795">
        <f>IF(C2795="","",COUNTIFS($C$2:$C$3001,C2795,$F$2:$F$3001,"&lt;"&amp;F2795)+1)</f>
        <v/>
      </c>
      <c r="I2795">
        <f>IF(C2795="","",C2795&amp;"|"&amp;H2795)</f>
        <v/>
      </c>
      <c r="J2795" s="6">
        <f>IF(C2795="","",IF(H2795=1,SUMIFS('Opening Balance'!$F$4:$F$303,'Opening Balance'!$G$4:$G$303,C2795),INDEX($L$2:$L$3001,MATCH(C2795&amp;"|"&amp;(H2795-1),$I$2:$I$3001,0))))</f>
        <v/>
      </c>
      <c r="K2795" s="6">
        <f>IF(C2795="","",IF(M2795&gt;0,M2795,IF(AND(E2795&gt;0,ROUND(J2795+D2795-E2795,2)&gt;0,ROUND(J2795+D2795-E2795,2)&lt;'Opening Balance'!$B$14),ROUND(J2795+D2795-E2795,2),0)))</f>
        <v/>
      </c>
      <c r="L2795" s="6">
        <f>IF(C2795="","",ROUND(J2795+D2795-E2795-K2795,2))</f>
        <v/>
      </c>
      <c r="M2795" s="6">
        <f>IF(C2795="","",0)</f>
        <v/>
      </c>
    </row>
    <row r="2796">
      <c r="A2796" t="inlineStr">
        <is>
          <t>Bank 银行</t>
        </is>
      </c>
      <c r="B2796" s="5">
        <f>IF(AND('Daily Sale entry '!Z1296="Online collection 网上收款",'Daily Sale entry '!AA1296&lt;&gt;""),'Daily Sale entry '!X1296,"")</f>
        <v/>
      </c>
      <c r="C2796">
        <f>IF(B2796="","",'Daily Sale entry '!AA1296)</f>
        <v/>
      </c>
      <c r="D2796">
        <f>IF(C2796="","",0)</f>
        <v/>
      </c>
      <c r="E2796">
        <f>IF(C2796="","",'Daily Sale entry '!AC1296)</f>
        <v/>
      </c>
      <c r="F2796" s="37">
        <f>IF(C2796="","",B2796+IF(E2796&gt;0,0,0.5)+ROW()/10000000)</f>
        <v/>
      </c>
      <c r="G2796">
        <f>IF(C2796="","","Collection 收款 (Online 网上)"&amp;IF('Daily Sale entry '!Y1296="",""," - "&amp;'Daily Sale entry '!Y1296))</f>
        <v/>
      </c>
      <c r="H2796">
        <f>IF(C2796="","",COUNTIFS($C$2:$C$3001,C2796,$F$2:$F$3001,"&lt;"&amp;F2796)+1)</f>
        <v/>
      </c>
      <c r="I2796">
        <f>IF(C2796="","",C2796&amp;"|"&amp;H2796)</f>
        <v/>
      </c>
      <c r="J2796" s="6">
        <f>IF(C2796="","",IF(H2796=1,SUMIFS('Opening Balance'!$F$4:$F$303,'Opening Balance'!$G$4:$G$303,C2796),INDEX($L$2:$L$3001,MATCH(C2796&amp;"|"&amp;(H2796-1),$I$2:$I$3001,0))))</f>
        <v/>
      </c>
      <c r="K2796" s="6">
        <f>IF(C2796="","",IF(M2796&gt;0,M2796,IF(AND(E2796&gt;0,ROUND(J2796+D2796-E2796,2)&gt;0,ROUND(J2796+D2796-E2796,2)&lt;'Opening Balance'!$B$14),ROUND(J2796+D2796-E2796,2),0)))</f>
        <v/>
      </c>
      <c r="L2796" s="6">
        <f>IF(C2796="","",ROUND(J2796+D2796-E2796-K2796,2))</f>
        <v/>
      </c>
      <c r="M2796" s="6">
        <f>IF(C2796="","",0)</f>
        <v/>
      </c>
    </row>
    <row r="2797">
      <c r="A2797" t="inlineStr">
        <is>
          <t>Bank 银行</t>
        </is>
      </c>
      <c r="B2797" s="5">
        <f>IF(AND('Daily Sale entry '!Z1297="Online collection 网上收款",'Daily Sale entry '!AA1297&lt;&gt;""),'Daily Sale entry '!X1297,"")</f>
        <v/>
      </c>
      <c r="C2797">
        <f>IF(B2797="","",'Daily Sale entry '!AA1297)</f>
        <v/>
      </c>
      <c r="D2797">
        <f>IF(C2797="","",0)</f>
        <v/>
      </c>
      <c r="E2797">
        <f>IF(C2797="","",'Daily Sale entry '!AC1297)</f>
        <v/>
      </c>
      <c r="F2797" s="37">
        <f>IF(C2797="","",B2797+IF(E2797&gt;0,0,0.5)+ROW()/10000000)</f>
        <v/>
      </c>
      <c r="G2797">
        <f>IF(C2797="","","Collection 收款 (Online 网上)"&amp;IF('Daily Sale entry '!Y1297="",""," - "&amp;'Daily Sale entry '!Y1297))</f>
        <v/>
      </c>
      <c r="H2797">
        <f>IF(C2797="","",COUNTIFS($C$2:$C$3001,C2797,$F$2:$F$3001,"&lt;"&amp;F2797)+1)</f>
        <v/>
      </c>
      <c r="I2797">
        <f>IF(C2797="","",C2797&amp;"|"&amp;H2797)</f>
        <v/>
      </c>
      <c r="J2797" s="6">
        <f>IF(C2797="","",IF(H2797=1,SUMIFS('Opening Balance'!$F$4:$F$303,'Opening Balance'!$G$4:$G$303,C2797),INDEX($L$2:$L$3001,MATCH(C2797&amp;"|"&amp;(H2797-1),$I$2:$I$3001,0))))</f>
        <v/>
      </c>
      <c r="K2797" s="6">
        <f>IF(C2797="","",IF(M2797&gt;0,M2797,IF(AND(E2797&gt;0,ROUND(J2797+D2797-E2797,2)&gt;0,ROUND(J2797+D2797-E2797,2)&lt;'Opening Balance'!$B$14),ROUND(J2797+D2797-E2797,2),0)))</f>
        <v/>
      </c>
      <c r="L2797" s="6">
        <f>IF(C2797="","",ROUND(J2797+D2797-E2797-K2797,2))</f>
        <v/>
      </c>
      <c r="M2797" s="6">
        <f>IF(C2797="","",0)</f>
        <v/>
      </c>
    </row>
    <row r="2798">
      <c r="A2798" t="inlineStr">
        <is>
          <t>Bank 银行</t>
        </is>
      </c>
      <c r="B2798" s="5">
        <f>IF(AND('Daily Sale entry '!Z1298="Online collection 网上收款",'Daily Sale entry '!AA1298&lt;&gt;""),'Daily Sale entry '!X1298,"")</f>
        <v/>
      </c>
      <c r="C2798">
        <f>IF(B2798="","",'Daily Sale entry '!AA1298)</f>
        <v/>
      </c>
      <c r="D2798">
        <f>IF(C2798="","",0)</f>
        <v/>
      </c>
      <c r="E2798">
        <f>IF(C2798="","",'Daily Sale entry '!AC1298)</f>
        <v/>
      </c>
      <c r="F2798" s="37">
        <f>IF(C2798="","",B2798+IF(E2798&gt;0,0,0.5)+ROW()/10000000)</f>
        <v/>
      </c>
      <c r="G2798">
        <f>IF(C2798="","","Collection 收款 (Online 网上)"&amp;IF('Daily Sale entry '!Y1298="",""," - "&amp;'Daily Sale entry '!Y1298))</f>
        <v/>
      </c>
      <c r="H2798">
        <f>IF(C2798="","",COUNTIFS($C$2:$C$3001,C2798,$F$2:$F$3001,"&lt;"&amp;F2798)+1)</f>
        <v/>
      </c>
      <c r="I2798">
        <f>IF(C2798="","",C2798&amp;"|"&amp;H2798)</f>
        <v/>
      </c>
      <c r="J2798" s="6">
        <f>IF(C2798="","",IF(H2798=1,SUMIFS('Opening Balance'!$F$4:$F$303,'Opening Balance'!$G$4:$G$303,C2798),INDEX($L$2:$L$3001,MATCH(C2798&amp;"|"&amp;(H2798-1),$I$2:$I$3001,0))))</f>
        <v/>
      </c>
      <c r="K2798" s="6">
        <f>IF(C2798="","",IF(M2798&gt;0,M2798,IF(AND(E2798&gt;0,ROUND(J2798+D2798-E2798,2)&gt;0,ROUND(J2798+D2798-E2798,2)&lt;'Opening Balance'!$B$14),ROUND(J2798+D2798-E2798,2),0)))</f>
        <v/>
      </c>
      <c r="L2798" s="6">
        <f>IF(C2798="","",ROUND(J2798+D2798-E2798-K2798,2))</f>
        <v/>
      </c>
      <c r="M2798" s="6">
        <f>IF(C2798="","",0)</f>
        <v/>
      </c>
    </row>
    <row r="2799">
      <c r="A2799" t="inlineStr">
        <is>
          <t>Bank 银行</t>
        </is>
      </c>
      <c r="B2799" s="5">
        <f>IF(AND('Daily Sale entry '!Z1299="Online collection 网上收款",'Daily Sale entry '!AA1299&lt;&gt;""),'Daily Sale entry '!X1299,"")</f>
        <v/>
      </c>
      <c r="C2799">
        <f>IF(B2799="","",'Daily Sale entry '!AA1299)</f>
        <v/>
      </c>
      <c r="D2799">
        <f>IF(C2799="","",0)</f>
        <v/>
      </c>
      <c r="E2799">
        <f>IF(C2799="","",'Daily Sale entry '!AC1299)</f>
        <v/>
      </c>
      <c r="F2799" s="37">
        <f>IF(C2799="","",B2799+IF(E2799&gt;0,0,0.5)+ROW()/10000000)</f>
        <v/>
      </c>
      <c r="G2799">
        <f>IF(C2799="","","Collection 收款 (Online 网上)"&amp;IF('Daily Sale entry '!Y1299="",""," - "&amp;'Daily Sale entry '!Y1299))</f>
        <v/>
      </c>
      <c r="H2799">
        <f>IF(C2799="","",COUNTIFS($C$2:$C$3001,C2799,$F$2:$F$3001,"&lt;"&amp;F2799)+1)</f>
        <v/>
      </c>
      <c r="I2799">
        <f>IF(C2799="","",C2799&amp;"|"&amp;H2799)</f>
        <v/>
      </c>
      <c r="J2799" s="6">
        <f>IF(C2799="","",IF(H2799=1,SUMIFS('Opening Balance'!$F$4:$F$303,'Opening Balance'!$G$4:$G$303,C2799),INDEX($L$2:$L$3001,MATCH(C2799&amp;"|"&amp;(H2799-1),$I$2:$I$3001,0))))</f>
        <v/>
      </c>
      <c r="K2799" s="6">
        <f>IF(C2799="","",IF(M2799&gt;0,M2799,IF(AND(E2799&gt;0,ROUND(J2799+D2799-E2799,2)&gt;0,ROUND(J2799+D2799-E2799,2)&lt;'Opening Balance'!$B$14),ROUND(J2799+D2799-E2799,2),0)))</f>
        <v/>
      </c>
      <c r="L2799" s="6">
        <f>IF(C2799="","",ROUND(J2799+D2799-E2799-K2799,2))</f>
        <v/>
      </c>
      <c r="M2799" s="6">
        <f>IF(C2799="","",0)</f>
        <v/>
      </c>
    </row>
    <row r="2800">
      <c r="A2800" t="inlineStr">
        <is>
          <t>Bank 银行</t>
        </is>
      </c>
      <c r="B2800" s="5">
        <f>IF(AND('Daily Sale entry '!Z1300="Online collection 网上收款",'Daily Sale entry '!AA1300&lt;&gt;""),'Daily Sale entry '!X1300,"")</f>
        <v/>
      </c>
      <c r="C2800">
        <f>IF(B2800="","",'Daily Sale entry '!AA1300)</f>
        <v/>
      </c>
      <c r="D2800">
        <f>IF(C2800="","",0)</f>
        <v/>
      </c>
      <c r="E2800">
        <f>IF(C2800="","",'Daily Sale entry '!AC1300)</f>
        <v/>
      </c>
      <c r="F2800" s="37">
        <f>IF(C2800="","",B2800+IF(E2800&gt;0,0,0.5)+ROW()/10000000)</f>
        <v/>
      </c>
      <c r="G2800">
        <f>IF(C2800="","","Collection 收款 (Online 网上)"&amp;IF('Daily Sale entry '!Y1300="",""," - "&amp;'Daily Sale entry '!Y1300))</f>
        <v/>
      </c>
      <c r="H2800">
        <f>IF(C2800="","",COUNTIFS($C$2:$C$3001,C2800,$F$2:$F$3001,"&lt;"&amp;F2800)+1)</f>
        <v/>
      </c>
      <c r="I2800">
        <f>IF(C2800="","",C2800&amp;"|"&amp;H2800)</f>
        <v/>
      </c>
      <c r="J2800" s="6">
        <f>IF(C2800="","",IF(H2800=1,SUMIFS('Opening Balance'!$F$4:$F$303,'Opening Balance'!$G$4:$G$303,C2800),INDEX($L$2:$L$3001,MATCH(C2800&amp;"|"&amp;(H2800-1),$I$2:$I$3001,0))))</f>
        <v/>
      </c>
      <c r="K2800" s="6">
        <f>IF(C2800="","",IF(M2800&gt;0,M2800,IF(AND(E2800&gt;0,ROUND(J2800+D2800-E2800,2)&gt;0,ROUND(J2800+D2800-E2800,2)&lt;'Opening Balance'!$B$14),ROUND(J2800+D2800-E2800,2),0)))</f>
        <v/>
      </c>
      <c r="L2800" s="6">
        <f>IF(C2800="","",ROUND(J2800+D2800-E2800-K2800,2))</f>
        <v/>
      </c>
      <c r="M2800" s="6">
        <f>IF(C2800="","",0)</f>
        <v/>
      </c>
    </row>
    <row r="2801">
      <c r="A2801" t="inlineStr">
        <is>
          <t>Bank 银行</t>
        </is>
      </c>
      <c r="B2801" s="5">
        <f>IF(AND('Daily Sale entry '!Z1301="Online collection 网上收款",'Daily Sale entry '!AA1301&lt;&gt;""),'Daily Sale entry '!X1301,"")</f>
        <v/>
      </c>
      <c r="C2801">
        <f>IF(B2801="","",'Daily Sale entry '!AA1301)</f>
        <v/>
      </c>
      <c r="D2801">
        <f>IF(C2801="","",0)</f>
        <v/>
      </c>
      <c r="E2801">
        <f>IF(C2801="","",'Daily Sale entry '!AC1301)</f>
        <v/>
      </c>
      <c r="F2801" s="37">
        <f>IF(C2801="","",B2801+IF(E2801&gt;0,0,0.5)+ROW()/10000000)</f>
        <v/>
      </c>
      <c r="G2801">
        <f>IF(C2801="","","Collection 收款 (Online 网上)"&amp;IF('Daily Sale entry '!Y1301="",""," - "&amp;'Daily Sale entry '!Y1301))</f>
        <v/>
      </c>
      <c r="H2801">
        <f>IF(C2801="","",COUNTIFS($C$2:$C$3001,C2801,$F$2:$F$3001,"&lt;"&amp;F2801)+1)</f>
        <v/>
      </c>
      <c r="I2801">
        <f>IF(C2801="","",C2801&amp;"|"&amp;H2801)</f>
        <v/>
      </c>
      <c r="J2801" s="6">
        <f>IF(C2801="","",IF(H2801=1,SUMIFS('Opening Balance'!$F$4:$F$303,'Opening Balance'!$G$4:$G$303,C2801),INDEX($L$2:$L$3001,MATCH(C2801&amp;"|"&amp;(H2801-1),$I$2:$I$3001,0))))</f>
        <v/>
      </c>
      <c r="K2801" s="6">
        <f>IF(C2801="","",IF(M2801&gt;0,M2801,IF(AND(E2801&gt;0,ROUND(J2801+D2801-E2801,2)&gt;0,ROUND(J2801+D2801-E2801,2)&lt;'Opening Balance'!$B$14),ROUND(J2801+D2801-E2801,2),0)))</f>
        <v/>
      </c>
      <c r="L2801" s="6">
        <f>IF(C2801="","",ROUND(J2801+D2801-E2801-K2801,2))</f>
        <v/>
      </c>
      <c r="M2801" s="6">
        <f>IF(C2801="","",0)</f>
        <v/>
      </c>
    </row>
    <row r="2802">
      <c r="A2802" t="inlineStr">
        <is>
          <t>Bank 银行</t>
        </is>
      </c>
      <c r="B2802" s="5">
        <f>IF(AND('Daily Sale entry '!Z1302="Online collection 网上收款",'Daily Sale entry '!AA1302&lt;&gt;""),'Daily Sale entry '!X1302,"")</f>
        <v/>
      </c>
      <c r="C2802">
        <f>IF(B2802="","",'Daily Sale entry '!AA1302)</f>
        <v/>
      </c>
      <c r="D2802">
        <f>IF(C2802="","",0)</f>
        <v/>
      </c>
      <c r="E2802">
        <f>IF(C2802="","",'Daily Sale entry '!AC1302)</f>
        <v/>
      </c>
      <c r="F2802" s="37">
        <f>IF(C2802="","",B2802+IF(E2802&gt;0,0,0.5)+ROW()/10000000)</f>
        <v/>
      </c>
      <c r="G2802">
        <f>IF(C2802="","","Collection 收款 (Online 网上)"&amp;IF('Daily Sale entry '!Y1302="",""," - "&amp;'Daily Sale entry '!Y1302))</f>
        <v/>
      </c>
      <c r="H2802">
        <f>IF(C2802="","",COUNTIFS($C$2:$C$3001,C2802,$F$2:$F$3001,"&lt;"&amp;F2802)+1)</f>
        <v/>
      </c>
      <c r="I2802">
        <f>IF(C2802="","",C2802&amp;"|"&amp;H2802)</f>
        <v/>
      </c>
      <c r="J2802" s="6">
        <f>IF(C2802="","",IF(H2802=1,SUMIFS('Opening Balance'!$F$4:$F$303,'Opening Balance'!$G$4:$G$303,C2802),INDEX($L$2:$L$3001,MATCH(C2802&amp;"|"&amp;(H2802-1),$I$2:$I$3001,0))))</f>
        <v/>
      </c>
      <c r="K2802" s="6">
        <f>IF(C2802="","",IF(M2802&gt;0,M2802,IF(AND(E2802&gt;0,ROUND(J2802+D2802-E2802,2)&gt;0,ROUND(J2802+D2802-E2802,2)&lt;'Opening Balance'!$B$14),ROUND(J2802+D2802-E2802,2),0)))</f>
        <v/>
      </c>
      <c r="L2802" s="6">
        <f>IF(C2802="","",ROUND(J2802+D2802-E2802-K2802,2))</f>
        <v/>
      </c>
      <c r="M2802" s="6">
        <f>IF(C2802="","",0)</f>
        <v/>
      </c>
    </row>
    <row r="2803">
      <c r="A2803" t="inlineStr">
        <is>
          <t>Bank 银行</t>
        </is>
      </c>
      <c r="B2803" s="5">
        <f>IF(AND('Daily Sale entry '!Z1303="Online collection 网上收款",'Daily Sale entry '!AA1303&lt;&gt;""),'Daily Sale entry '!X1303,"")</f>
        <v/>
      </c>
      <c r="C2803">
        <f>IF(B2803="","",'Daily Sale entry '!AA1303)</f>
        <v/>
      </c>
      <c r="D2803">
        <f>IF(C2803="","",0)</f>
        <v/>
      </c>
      <c r="E2803">
        <f>IF(C2803="","",'Daily Sale entry '!AC1303)</f>
        <v/>
      </c>
      <c r="F2803" s="37">
        <f>IF(C2803="","",B2803+IF(E2803&gt;0,0,0.5)+ROW()/10000000)</f>
        <v/>
      </c>
      <c r="G2803">
        <f>IF(C2803="","","Collection 收款 (Online 网上)"&amp;IF('Daily Sale entry '!Y1303="",""," - "&amp;'Daily Sale entry '!Y1303))</f>
        <v/>
      </c>
      <c r="H2803">
        <f>IF(C2803="","",COUNTIFS($C$2:$C$3001,C2803,$F$2:$F$3001,"&lt;"&amp;F2803)+1)</f>
        <v/>
      </c>
      <c r="I2803">
        <f>IF(C2803="","",C2803&amp;"|"&amp;H2803)</f>
        <v/>
      </c>
      <c r="J2803" s="6">
        <f>IF(C2803="","",IF(H2803=1,SUMIFS('Opening Balance'!$F$4:$F$303,'Opening Balance'!$G$4:$G$303,C2803),INDEX($L$2:$L$3001,MATCH(C2803&amp;"|"&amp;(H2803-1),$I$2:$I$3001,0))))</f>
        <v/>
      </c>
      <c r="K2803" s="6">
        <f>IF(C2803="","",IF(M2803&gt;0,M2803,IF(AND(E2803&gt;0,ROUND(J2803+D2803-E2803,2)&gt;0,ROUND(J2803+D2803-E2803,2)&lt;'Opening Balance'!$B$14),ROUND(J2803+D2803-E2803,2),0)))</f>
        <v/>
      </c>
      <c r="L2803" s="6">
        <f>IF(C2803="","",ROUND(J2803+D2803-E2803-K2803,2))</f>
        <v/>
      </c>
      <c r="M2803" s="6">
        <f>IF(C2803="","",0)</f>
        <v/>
      </c>
    </row>
    <row r="2804">
      <c r="A2804" t="inlineStr">
        <is>
          <t>Bank 银行</t>
        </is>
      </c>
      <c r="B2804" s="5">
        <f>IF(AND('Daily Sale entry '!Z1304="Online collection 网上收款",'Daily Sale entry '!AA1304&lt;&gt;""),'Daily Sale entry '!X1304,"")</f>
        <v/>
      </c>
      <c r="C2804">
        <f>IF(B2804="","",'Daily Sale entry '!AA1304)</f>
        <v/>
      </c>
      <c r="D2804">
        <f>IF(C2804="","",0)</f>
        <v/>
      </c>
      <c r="E2804">
        <f>IF(C2804="","",'Daily Sale entry '!AC1304)</f>
        <v/>
      </c>
      <c r="F2804" s="37">
        <f>IF(C2804="","",B2804+IF(E2804&gt;0,0,0.5)+ROW()/10000000)</f>
        <v/>
      </c>
      <c r="G2804">
        <f>IF(C2804="","","Collection 收款 (Online 网上)"&amp;IF('Daily Sale entry '!Y1304="",""," - "&amp;'Daily Sale entry '!Y1304))</f>
        <v/>
      </c>
      <c r="H2804">
        <f>IF(C2804="","",COUNTIFS($C$2:$C$3001,C2804,$F$2:$F$3001,"&lt;"&amp;F2804)+1)</f>
        <v/>
      </c>
      <c r="I2804">
        <f>IF(C2804="","",C2804&amp;"|"&amp;H2804)</f>
        <v/>
      </c>
      <c r="J2804" s="6">
        <f>IF(C2804="","",IF(H2804=1,SUMIFS('Opening Balance'!$F$4:$F$303,'Opening Balance'!$G$4:$G$303,C2804),INDEX($L$2:$L$3001,MATCH(C2804&amp;"|"&amp;(H2804-1),$I$2:$I$3001,0))))</f>
        <v/>
      </c>
      <c r="K2804" s="6">
        <f>IF(C2804="","",IF(M2804&gt;0,M2804,IF(AND(E2804&gt;0,ROUND(J2804+D2804-E2804,2)&gt;0,ROUND(J2804+D2804-E2804,2)&lt;'Opening Balance'!$B$14),ROUND(J2804+D2804-E2804,2),0)))</f>
        <v/>
      </c>
      <c r="L2804" s="6">
        <f>IF(C2804="","",ROUND(J2804+D2804-E2804-K2804,2))</f>
        <v/>
      </c>
      <c r="M2804" s="6">
        <f>IF(C2804="","",0)</f>
        <v/>
      </c>
    </row>
    <row r="2805">
      <c r="A2805" t="inlineStr">
        <is>
          <t>Bank 银行</t>
        </is>
      </c>
      <c r="B2805" s="5">
        <f>IF(AND('Daily Sale entry '!Z1305="Online collection 网上收款",'Daily Sale entry '!AA1305&lt;&gt;""),'Daily Sale entry '!X1305,"")</f>
        <v/>
      </c>
      <c r="C2805">
        <f>IF(B2805="","",'Daily Sale entry '!AA1305)</f>
        <v/>
      </c>
      <c r="D2805">
        <f>IF(C2805="","",0)</f>
        <v/>
      </c>
      <c r="E2805">
        <f>IF(C2805="","",'Daily Sale entry '!AC1305)</f>
        <v/>
      </c>
      <c r="F2805" s="37">
        <f>IF(C2805="","",B2805+IF(E2805&gt;0,0,0.5)+ROW()/10000000)</f>
        <v/>
      </c>
      <c r="G2805">
        <f>IF(C2805="","","Collection 收款 (Online 网上)"&amp;IF('Daily Sale entry '!Y1305="",""," - "&amp;'Daily Sale entry '!Y1305))</f>
        <v/>
      </c>
      <c r="H2805">
        <f>IF(C2805="","",COUNTIFS($C$2:$C$3001,C2805,$F$2:$F$3001,"&lt;"&amp;F2805)+1)</f>
        <v/>
      </c>
      <c r="I2805">
        <f>IF(C2805="","",C2805&amp;"|"&amp;H2805)</f>
        <v/>
      </c>
      <c r="J2805" s="6">
        <f>IF(C2805="","",IF(H2805=1,SUMIFS('Opening Balance'!$F$4:$F$303,'Opening Balance'!$G$4:$G$303,C2805),INDEX($L$2:$L$3001,MATCH(C2805&amp;"|"&amp;(H2805-1),$I$2:$I$3001,0))))</f>
        <v/>
      </c>
      <c r="K2805" s="6">
        <f>IF(C2805="","",IF(M2805&gt;0,M2805,IF(AND(E2805&gt;0,ROUND(J2805+D2805-E2805,2)&gt;0,ROUND(J2805+D2805-E2805,2)&lt;'Opening Balance'!$B$14),ROUND(J2805+D2805-E2805,2),0)))</f>
        <v/>
      </c>
      <c r="L2805" s="6">
        <f>IF(C2805="","",ROUND(J2805+D2805-E2805-K2805,2))</f>
        <v/>
      </c>
      <c r="M2805" s="6">
        <f>IF(C2805="","",0)</f>
        <v/>
      </c>
    </row>
    <row r="2806">
      <c r="A2806" t="inlineStr">
        <is>
          <t>Bank 银行</t>
        </is>
      </c>
      <c r="B2806" s="5">
        <f>IF(AND('Daily Sale entry '!Z1306="Online collection 网上收款",'Daily Sale entry '!AA1306&lt;&gt;""),'Daily Sale entry '!X1306,"")</f>
        <v/>
      </c>
      <c r="C2806">
        <f>IF(B2806="","",'Daily Sale entry '!AA1306)</f>
        <v/>
      </c>
      <c r="D2806">
        <f>IF(C2806="","",0)</f>
        <v/>
      </c>
      <c r="E2806">
        <f>IF(C2806="","",'Daily Sale entry '!AC1306)</f>
        <v/>
      </c>
      <c r="F2806" s="37">
        <f>IF(C2806="","",B2806+IF(E2806&gt;0,0,0.5)+ROW()/10000000)</f>
        <v/>
      </c>
      <c r="G2806">
        <f>IF(C2806="","","Collection 收款 (Online 网上)"&amp;IF('Daily Sale entry '!Y1306="",""," - "&amp;'Daily Sale entry '!Y1306))</f>
        <v/>
      </c>
      <c r="H2806">
        <f>IF(C2806="","",COUNTIFS($C$2:$C$3001,C2806,$F$2:$F$3001,"&lt;"&amp;F2806)+1)</f>
        <v/>
      </c>
      <c r="I2806">
        <f>IF(C2806="","",C2806&amp;"|"&amp;H2806)</f>
        <v/>
      </c>
      <c r="J2806" s="6">
        <f>IF(C2806="","",IF(H2806=1,SUMIFS('Opening Balance'!$F$4:$F$303,'Opening Balance'!$G$4:$G$303,C2806),INDEX($L$2:$L$3001,MATCH(C2806&amp;"|"&amp;(H2806-1),$I$2:$I$3001,0))))</f>
        <v/>
      </c>
      <c r="K2806" s="6">
        <f>IF(C2806="","",IF(M2806&gt;0,M2806,IF(AND(E2806&gt;0,ROUND(J2806+D2806-E2806,2)&gt;0,ROUND(J2806+D2806-E2806,2)&lt;'Opening Balance'!$B$14),ROUND(J2806+D2806-E2806,2),0)))</f>
        <v/>
      </c>
      <c r="L2806" s="6">
        <f>IF(C2806="","",ROUND(J2806+D2806-E2806-K2806,2))</f>
        <v/>
      </c>
      <c r="M2806" s="6">
        <f>IF(C2806="","",0)</f>
        <v/>
      </c>
    </row>
    <row r="2807">
      <c r="A2807" t="inlineStr">
        <is>
          <t>Bank 银行</t>
        </is>
      </c>
      <c r="B2807" s="5">
        <f>IF(AND('Daily Sale entry '!Z1307="Online collection 网上收款",'Daily Sale entry '!AA1307&lt;&gt;""),'Daily Sale entry '!X1307,"")</f>
        <v/>
      </c>
      <c r="C2807">
        <f>IF(B2807="","",'Daily Sale entry '!AA1307)</f>
        <v/>
      </c>
      <c r="D2807">
        <f>IF(C2807="","",0)</f>
        <v/>
      </c>
      <c r="E2807">
        <f>IF(C2807="","",'Daily Sale entry '!AC1307)</f>
        <v/>
      </c>
      <c r="F2807" s="37">
        <f>IF(C2807="","",B2807+IF(E2807&gt;0,0,0.5)+ROW()/10000000)</f>
        <v/>
      </c>
      <c r="G2807">
        <f>IF(C2807="","","Collection 收款 (Online 网上)"&amp;IF('Daily Sale entry '!Y1307="",""," - "&amp;'Daily Sale entry '!Y1307))</f>
        <v/>
      </c>
      <c r="H2807">
        <f>IF(C2807="","",COUNTIFS($C$2:$C$3001,C2807,$F$2:$F$3001,"&lt;"&amp;F2807)+1)</f>
        <v/>
      </c>
      <c r="I2807">
        <f>IF(C2807="","",C2807&amp;"|"&amp;H2807)</f>
        <v/>
      </c>
      <c r="J2807" s="6">
        <f>IF(C2807="","",IF(H2807=1,SUMIFS('Opening Balance'!$F$4:$F$303,'Opening Balance'!$G$4:$G$303,C2807),INDEX($L$2:$L$3001,MATCH(C2807&amp;"|"&amp;(H2807-1),$I$2:$I$3001,0))))</f>
        <v/>
      </c>
      <c r="K2807" s="6">
        <f>IF(C2807="","",IF(M2807&gt;0,M2807,IF(AND(E2807&gt;0,ROUND(J2807+D2807-E2807,2)&gt;0,ROUND(J2807+D2807-E2807,2)&lt;'Opening Balance'!$B$14),ROUND(J2807+D2807-E2807,2),0)))</f>
        <v/>
      </c>
      <c r="L2807" s="6">
        <f>IF(C2807="","",ROUND(J2807+D2807-E2807-K2807,2))</f>
        <v/>
      </c>
      <c r="M2807" s="6">
        <f>IF(C2807="","",0)</f>
        <v/>
      </c>
    </row>
    <row r="2808">
      <c r="A2808" t="inlineStr">
        <is>
          <t>Bank 银行</t>
        </is>
      </c>
      <c r="B2808" s="5">
        <f>IF(AND('Daily Sale entry '!Z1308="Online collection 网上收款",'Daily Sale entry '!AA1308&lt;&gt;""),'Daily Sale entry '!X1308,"")</f>
        <v/>
      </c>
      <c r="C2808">
        <f>IF(B2808="","",'Daily Sale entry '!AA1308)</f>
        <v/>
      </c>
      <c r="D2808">
        <f>IF(C2808="","",0)</f>
        <v/>
      </c>
      <c r="E2808">
        <f>IF(C2808="","",'Daily Sale entry '!AC1308)</f>
        <v/>
      </c>
      <c r="F2808" s="37">
        <f>IF(C2808="","",B2808+IF(E2808&gt;0,0,0.5)+ROW()/10000000)</f>
        <v/>
      </c>
      <c r="G2808">
        <f>IF(C2808="","","Collection 收款 (Online 网上)"&amp;IF('Daily Sale entry '!Y1308="",""," - "&amp;'Daily Sale entry '!Y1308))</f>
        <v/>
      </c>
      <c r="H2808">
        <f>IF(C2808="","",COUNTIFS($C$2:$C$3001,C2808,$F$2:$F$3001,"&lt;"&amp;F2808)+1)</f>
        <v/>
      </c>
      <c r="I2808">
        <f>IF(C2808="","",C2808&amp;"|"&amp;H2808)</f>
        <v/>
      </c>
      <c r="J2808" s="6">
        <f>IF(C2808="","",IF(H2808=1,SUMIFS('Opening Balance'!$F$4:$F$303,'Opening Balance'!$G$4:$G$303,C2808),INDEX($L$2:$L$3001,MATCH(C2808&amp;"|"&amp;(H2808-1),$I$2:$I$3001,0))))</f>
        <v/>
      </c>
      <c r="K2808" s="6">
        <f>IF(C2808="","",IF(M2808&gt;0,M2808,IF(AND(E2808&gt;0,ROUND(J2808+D2808-E2808,2)&gt;0,ROUND(J2808+D2808-E2808,2)&lt;'Opening Balance'!$B$14),ROUND(J2808+D2808-E2808,2),0)))</f>
        <v/>
      </c>
      <c r="L2808" s="6">
        <f>IF(C2808="","",ROUND(J2808+D2808-E2808-K2808,2))</f>
        <v/>
      </c>
      <c r="M2808" s="6">
        <f>IF(C2808="","",0)</f>
        <v/>
      </c>
    </row>
    <row r="2809">
      <c r="A2809" t="inlineStr">
        <is>
          <t>Bank 银行</t>
        </is>
      </c>
      <c r="B2809" s="5">
        <f>IF(AND('Daily Sale entry '!Z1309="Online collection 网上收款",'Daily Sale entry '!AA1309&lt;&gt;""),'Daily Sale entry '!X1309,"")</f>
        <v/>
      </c>
      <c r="C2809">
        <f>IF(B2809="","",'Daily Sale entry '!AA1309)</f>
        <v/>
      </c>
      <c r="D2809">
        <f>IF(C2809="","",0)</f>
        <v/>
      </c>
      <c r="E2809">
        <f>IF(C2809="","",'Daily Sale entry '!AC1309)</f>
        <v/>
      </c>
      <c r="F2809" s="37">
        <f>IF(C2809="","",B2809+IF(E2809&gt;0,0,0.5)+ROW()/10000000)</f>
        <v/>
      </c>
      <c r="G2809">
        <f>IF(C2809="","","Collection 收款 (Online 网上)"&amp;IF('Daily Sale entry '!Y1309="",""," - "&amp;'Daily Sale entry '!Y1309))</f>
        <v/>
      </c>
      <c r="H2809">
        <f>IF(C2809="","",COUNTIFS($C$2:$C$3001,C2809,$F$2:$F$3001,"&lt;"&amp;F2809)+1)</f>
        <v/>
      </c>
      <c r="I2809">
        <f>IF(C2809="","",C2809&amp;"|"&amp;H2809)</f>
        <v/>
      </c>
      <c r="J2809" s="6">
        <f>IF(C2809="","",IF(H2809=1,SUMIFS('Opening Balance'!$F$4:$F$303,'Opening Balance'!$G$4:$G$303,C2809),INDEX($L$2:$L$3001,MATCH(C2809&amp;"|"&amp;(H2809-1),$I$2:$I$3001,0))))</f>
        <v/>
      </c>
      <c r="K2809" s="6">
        <f>IF(C2809="","",IF(M2809&gt;0,M2809,IF(AND(E2809&gt;0,ROUND(J2809+D2809-E2809,2)&gt;0,ROUND(J2809+D2809-E2809,2)&lt;'Opening Balance'!$B$14),ROUND(J2809+D2809-E2809,2),0)))</f>
        <v/>
      </c>
      <c r="L2809" s="6">
        <f>IF(C2809="","",ROUND(J2809+D2809-E2809-K2809,2))</f>
        <v/>
      </c>
      <c r="M2809" s="6">
        <f>IF(C2809="","",0)</f>
        <v/>
      </c>
    </row>
    <row r="2810">
      <c r="A2810" t="inlineStr">
        <is>
          <t>Bank 银行</t>
        </is>
      </c>
      <c r="B2810" s="5">
        <f>IF(AND('Daily Sale entry '!Z1310="Online collection 网上收款",'Daily Sale entry '!AA1310&lt;&gt;""),'Daily Sale entry '!X1310,"")</f>
        <v/>
      </c>
      <c r="C2810">
        <f>IF(B2810="","",'Daily Sale entry '!AA1310)</f>
        <v/>
      </c>
      <c r="D2810">
        <f>IF(C2810="","",0)</f>
        <v/>
      </c>
      <c r="E2810">
        <f>IF(C2810="","",'Daily Sale entry '!AC1310)</f>
        <v/>
      </c>
      <c r="F2810" s="37">
        <f>IF(C2810="","",B2810+IF(E2810&gt;0,0,0.5)+ROW()/10000000)</f>
        <v/>
      </c>
      <c r="G2810">
        <f>IF(C2810="","","Collection 收款 (Online 网上)"&amp;IF('Daily Sale entry '!Y1310="",""," - "&amp;'Daily Sale entry '!Y1310))</f>
        <v/>
      </c>
      <c r="H2810">
        <f>IF(C2810="","",COUNTIFS($C$2:$C$3001,C2810,$F$2:$F$3001,"&lt;"&amp;F2810)+1)</f>
        <v/>
      </c>
      <c r="I2810">
        <f>IF(C2810="","",C2810&amp;"|"&amp;H2810)</f>
        <v/>
      </c>
      <c r="J2810" s="6">
        <f>IF(C2810="","",IF(H2810=1,SUMIFS('Opening Balance'!$F$4:$F$303,'Opening Balance'!$G$4:$G$303,C2810),INDEX($L$2:$L$3001,MATCH(C2810&amp;"|"&amp;(H2810-1),$I$2:$I$3001,0))))</f>
        <v/>
      </c>
      <c r="K2810" s="6">
        <f>IF(C2810="","",IF(M2810&gt;0,M2810,IF(AND(E2810&gt;0,ROUND(J2810+D2810-E2810,2)&gt;0,ROUND(J2810+D2810-E2810,2)&lt;'Opening Balance'!$B$14),ROUND(J2810+D2810-E2810,2),0)))</f>
        <v/>
      </c>
      <c r="L2810" s="6">
        <f>IF(C2810="","",ROUND(J2810+D2810-E2810-K2810,2))</f>
        <v/>
      </c>
      <c r="M2810" s="6">
        <f>IF(C2810="","",0)</f>
        <v/>
      </c>
    </row>
    <row r="2811">
      <c r="A2811" t="inlineStr">
        <is>
          <t>Bank 银行</t>
        </is>
      </c>
      <c r="B2811" s="5">
        <f>IF(AND('Daily Sale entry '!Z1311="Online collection 网上收款",'Daily Sale entry '!AA1311&lt;&gt;""),'Daily Sale entry '!X1311,"")</f>
        <v/>
      </c>
      <c r="C2811">
        <f>IF(B2811="","",'Daily Sale entry '!AA1311)</f>
        <v/>
      </c>
      <c r="D2811">
        <f>IF(C2811="","",0)</f>
        <v/>
      </c>
      <c r="E2811">
        <f>IF(C2811="","",'Daily Sale entry '!AC1311)</f>
        <v/>
      </c>
      <c r="F2811" s="37">
        <f>IF(C2811="","",B2811+IF(E2811&gt;0,0,0.5)+ROW()/10000000)</f>
        <v/>
      </c>
      <c r="G2811">
        <f>IF(C2811="","","Collection 收款 (Online 网上)"&amp;IF('Daily Sale entry '!Y1311="",""," - "&amp;'Daily Sale entry '!Y1311))</f>
        <v/>
      </c>
      <c r="H2811">
        <f>IF(C2811="","",COUNTIFS($C$2:$C$3001,C2811,$F$2:$F$3001,"&lt;"&amp;F2811)+1)</f>
        <v/>
      </c>
      <c r="I2811">
        <f>IF(C2811="","",C2811&amp;"|"&amp;H2811)</f>
        <v/>
      </c>
      <c r="J2811" s="6">
        <f>IF(C2811="","",IF(H2811=1,SUMIFS('Opening Balance'!$F$4:$F$303,'Opening Balance'!$G$4:$G$303,C2811),INDEX($L$2:$L$3001,MATCH(C2811&amp;"|"&amp;(H2811-1),$I$2:$I$3001,0))))</f>
        <v/>
      </c>
      <c r="K2811" s="6">
        <f>IF(C2811="","",IF(M2811&gt;0,M2811,IF(AND(E2811&gt;0,ROUND(J2811+D2811-E2811,2)&gt;0,ROUND(J2811+D2811-E2811,2)&lt;'Opening Balance'!$B$14),ROUND(J2811+D2811-E2811,2),0)))</f>
        <v/>
      </c>
      <c r="L2811" s="6">
        <f>IF(C2811="","",ROUND(J2811+D2811-E2811-K2811,2))</f>
        <v/>
      </c>
      <c r="M2811" s="6">
        <f>IF(C2811="","",0)</f>
        <v/>
      </c>
    </row>
    <row r="2812">
      <c r="A2812" t="inlineStr">
        <is>
          <t>Bank 银行</t>
        </is>
      </c>
      <c r="B2812" s="5">
        <f>IF(AND('Daily Sale entry '!Z1312="Online collection 网上收款",'Daily Sale entry '!AA1312&lt;&gt;""),'Daily Sale entry '!X1312,"")</f>
        <v/>
      </c>
      <c r="C2812">
        <f>IF(B2812="","",'Daily Sale entry '!AA1312)</f>
        <v/>
      </c>
      <c r="D2812">
        <f>IF(C2812="","",0)</f>
        <v/>
      </c>
      <c r="E2812">
        <f>IF(C2812="","",'Daily Sale entry '!AC1312)</f>
        <v/>
      </c>
      <c r="F2812" s="37">
        <f>IF(C2812="","",B2812+IF(E2812&gt;0,0,0.5)+ROW()/10000000)</f>
        <v/>
      </c>
      <c r="G2812">
        <f>IF(C2812="","","Collection 收款 (Online 网上)"&amp;IF('Daily Sale entry '!Y1312="",""," - "&amp;'Daily Sale entry '!Y1312))</f>
        <v/>
      </c>
      <c r="H2812">
        <f>IF(C2812="","",COUNTIFS($C$2:$C$3001,C2812,$F$2:$F$3001,"&lt;"&amp;F2812)+1)</f>
        <v/>
      </c>
      <c r="I2812">
        <f>IF(C2812="","",C2812&amp;"|"&amp;H2812)</f>
        <v/>
      </c>
      <c r="J2812" s="6">
        <f>IF(C2812="","",IF(H2812=1,SUMIFS('Opening Balance'!$F$4:$F$303,'Opening Balance'!$G$4:$G$303,C2812),INDEX($L$2:$L$3001,MATCH(C2812&amp;"|"&amp;(H2812-1),$I$2:$I$3001,0))))</f>
        <v/>
      </c>
      <c r="K2812" s="6">
        <f>IF(C2812="","",IF(M2812&gt;0,M2812,IF(AND(E2812&gt;0,ROUND(J2812+D2812-E2812,2)&gt;0,ROUND(J2812+D2812-E2812,2)&lt;'Opening Balance'!$B$14),ROUND(J2812+D2812-E2812,2),0)))</f>
        <v/>
      </c>
      <c r="L2812" s="6">
        <f>IF(C2812="","",ROUND(J2812+D2812-E2812-K2812,2))</f>
        <v/>
      </c>
      <c r="M2812" s="6">
        <f>IF(C2812="","",0)</f>
        <v/>
      </c>
    </row>
    <row r="2813">
      <c r="A2813" t="inlineStr">
        <is>
          <t>Bank 银行</t>
        </is>
      </c>
      <c r="B2813" s="5">
        <f>IF(AND('Daily Sale entry '!Z1313="Online collection 网上收款",'Daily Sale entry '!AA1313&lt;&gt;""),'Daily Sale entry '!X1313,"")</f>
        <v/>
      </c>
      <c r="C2813">
        <f>IF(B2813="","",'Daily Sale entry '!AA1313)</f>
        <v/>
      </c>
      <c r="D2813">
        <f>IF(C2813="","",0)</f>
        <v/>
      </c>
      <c r="E2813">
        <f>IF(C2813="","",'Daily Sale entry '!AC1313)</f>
        <v/>
      </c>
      <c r="F2813" s="37">
        <f>IF(C2813="","",B2813+IF(E2813&gt;0,0,0.5)+ROW()/10000000)</f>
        <v/>
      </c>
      <c r="G2813">
        <f>IF(C2813="","","Collection 收款 (Online 网上)"&amp;IF('Daily Sale entry '!Y1313="",""," - "&amp;'Daily Sale entry '!Y1313))</f>
        <v/>
      </c>
      <c r="H2813">
        <f>IF(C2813="","",COUNTIFS($C$2:$C$3001,C2813,$F$2:$F$3001,"&lt;"&amp;F2813)+1)</f>
        <v/>
      </c>
      <c r="I2813">
        <f>IF(C2813="","",C2813&amp;"|"&amp;H2813)</f>
        <v/>
      </c>
      <c r="J2813" s="6">
        <f>IF(C2813="","",IF(H2813=1,SUMIFS('Opening Balance'!$F$4:$F$303,'Opening Balance'!$G$4:$G$303,C2813),INDEX($L$2:$L$3001,MATCH(C2813&amp;"|"&amp;(H2813-1),$I$2:$I$3001,0))))</f>
        <v/>
      </c>
      <c r="K2813" s="6">
        <f>IF(C2813="","",IF(M2813&gt;0,M2813,IF(AND(E2813&gt;0,ROUND(J2813+D2813-E2813,2)&gt;0,ROUND(J2813+D2813-E2813,2)&lt;'Opening Balance'!$B$14),ROUND(J2813+D2813-E2813,2),0)))</f>
        <v/>
      </c>
      <c r="L2813" s="6">
        <f>IF(C2813="","",ROUND(J2813+D2813-E2813-K2813,2))</f>
        <v/>
      </c>
      <c r="M2813" s="6">
        <f>IF(C2813="","",0)</f>
        <v/>
      </c>
    </row>
    <row r="2814">
      <c r="A2814" t="inlineStr">
        <is>
          <t>Bank 银行</t>
        </is>
      </c>
      <c r="B2814" s="5">
        <f>IF(AND('Daily Sale entry '!Z1314="Online collection 网上收款",'Daily Sale entry '!AA1314&lt;&gt;""),'Daily Sale entry '!X1314,"")</f>
        <v/>
      </c>
      <c r="C2814">
        <f>IF(B2814="","",'Daily Sale entry '!AA1314)</f>
        <v/>
      </c>
      <c r="D2814">
        <f>IF(C2814="","",0)</f>
        <v/>
      </c>
      <c r="E2814">
        <f>IF(C2814="","",'Daily Sale entry '!AC1314)</f>
        <v/>
      </c>
      <c r="F2814" s="37">
        <f>IF(C2814="","",B2814+IF(E2814&gt;0,0,0.5)+ROW()/10000000)</f>
        <v/>
      </c>
      <c r="G2814">
        <f>IF(C2814="","","Collection 收款 (Online 网上)"&amp;IF('Daily Sale entry '!Y1314="",""," - "&amp;'Daily Sale entry '!Y1314))</f>
        <v/>
      </c>
      <c r="H2814">
        <f>IF(C2814="","",COUNTIFS($C$2:$C$3001,C2814,$F$2:$F$3001,"&lt;"&amp;F2814)+1)</f>
        <v/>
      </c>
      <c r="I2814">
        <f>IF(C2814="","",C2814&amp;"|"&amp;H2814)</f>
        <v/>
      </c>
      <c r="J2814" s="6">
        <f>IF(C2814="","",IF(H2814=1,SUMIFS('Opening Balance'!$F$4:$F$303,'Opening Balance'!$G$4:$G$303,C2814),INDEX($L$2:$L$3001,MATCH(C2814&amp;"|"&amp;(H2814-1),$I$2:$I$3001,0))))</f>
        <v/>
      </c>
      <c r="K2814" s="6">
        <f>IF(C2814="","",IF(M2814&gt;0,M2814,IF(AND(E2814&gt;0,ROUND(J2814+D2814-E2814,2)&gt;0,ROUND(J2814+D2814-E2814,2)&lt;'Opening Balance'!$B$14),ROUND(J2814+D2814-E2814,2),0)))</f>
        <v/>
      </c>
      <c r="L2814" s="6">
        <f>IF(C2814="","",ROUND(J2814+D2814-E2814-K2814,2))</f>
        <v/>
      </c>
      <c r="M2814" s="6">
        <f>IF(C2814="","",0)</f>
        <v/>
      </c>
    </row>
    <row r="2815">
      <c r="A2815" t="inlineStr">
        <is>
          <t>Bank 银行</t>
        </is>
      </c>
      <c r="B2815" s="5">
        <f>IF(AND('Daily Sale entry '!Z1315="Online collection 网上收款",'Daily Sale entry '!AA1315&lt;&gt;""),'Daily Sale entry '!X1315,"")</f>
        <v/>
      </c>
      <c r="C2815">
        <f>IF(B2815="","",'Daily Sale entry '!AA1315)</f>
        <v/>
      </c>
      <c r="D2815">
        <f>IF(C2815="","",0)</f>
        <v/>
      </c>
      <c r="E2815">
        <f>IF(C2815="","",'Daily Sale entry '!AC1315)</f>
        <v/>
      </c>
      <c r="F2815" s="37">
        <f>IF(C2815="","",B2815+IF(E2815&gt;0,0,0.5)+ROW()/10000000)</f>
        <v/>
      </c>
      <c r="G2815">
        <f>IF(C2815="","","Collection 收款 (Online 网上)"&amp;IF('Daily Sale entry '!Y1315="",""," - "&amp;'Daily Sale entry '!Y1315))</f>
        <v/>
      </c>
      <c r="H2815">
        <f>IF(C2815="","",COUNTIFS($C$2:$C$3001,C2815,$F$2:$F$3001,"&lt;"&amp;F2815)+1)</f>
        <v/>
      </c>
      <c r="I2815">
        <f>IF(C2815="","",C2815&amp;"|"&amp;H2815)</f>
        <v/>
      </c>
      <c r="J2815" s="6">
        <f>IF(C2815="","",IF(H2815=1,SUMIFS('Opening Balance'!$F$4:$F$303,'Opening Balance'!$G$4:$G$303,C2815),INDEX($L$2:$L$3001,MATCH(C2815&amp;"|"&amp;(H2815-1),$I$2:$I$3001,0))))</f>
        <v/>
      </c>
      <c r="K2815" s="6">
        <f>IF(C2815="","",IF(M2815&gt;0,M2815,IF(AND(E2815&gt;0,ROUND(J2815+D2815-E2815,2)&gt;0,ROUND(J2815+D2815-E2815,2)&lt;'Opening Balance'!$B$14),ROUND(J2815+D2815-E2815,2),0)))</f>
        <v/>
      </c>
      <c r="L2815" s="6">
        <f>IF(C2815="","",ROUND(J2815+D2815-E2815-K2815,2))</f>
        <v/>
      </c>
      <c r="M2815" s="6">
        <f>IF(C2815="","",0)</f>
        <v/>
      </c>
    </row>
    <row r="2816">
      <c r="A2816" t="inlineStr">
        <is>
          <t>Bank 银行</t>
        </is>
      </c>
      <c r="B2816" s="5">
        <f>IF(AND('Daily Sale entry '!Z1316="Online collection 网上收款",'Daily Sale entry '!AA1316&lt;&gt;""),'Daily Sale entry '!X1316,"")</f>
        <v/>
      </c>
      <c r="C2816">
        <f>IF(B2816="","",'Daily Sale entry '!AA1316)</f>
        <v/>
      </c>
      <c r="D2816">
        <f>IF(C2816="","",0)</f>
        <v/>
      </c>
      <c r="E2816">
        <f>IF(C2816="","",'Daily Sale entry '!AC1316)</f>
        <v/>
      </c>
      <c r="F2816" s="37">
        <f>IF(C2816="","",B2816+IF(E2816&gt;0,0,0.5)+ROW()/10000000)</f>
        <v/>
      </c>
      <c r="G2816">
        <f>IF(C2816="","","Collection 收款 (Online 网上)"&amp;IF('Daily Sale entry '!Y1316="",""," - "&amp;'Daily Sale entry '!Y1316))</f>
        <v/>
      </c>
      <c r="H2816">
        <f>IF(C2816="","",COUNTIFS($C$2:$C$3001,C2816,$F$2:$F$3001,"&lt;"&amp;F2816)+1)</f>
        <v/>
      </c>
      <c r="I2816">
        <f>IF(C2816="","",C2816&amp;"|"&amp;H2816)</f>
        <v/>
      </c>
      <c r="J2816" s="6">
        <f>IF(C2816="","",IF(H2816=1,SUMIFS('Opening Balance'!$F$4:$F$303,'Opening Balance'!$G$4:$G$303,C2816),INDEX($L$2:$L$3001,MATCH(C2816&amp;"|"&amp;(H2816-1),$I$2:$I$3001,0))))</f>
        <v/>
      </c>
      <c r="K2816" s="6">
        <f>IF(C2816="","",IF(M2816&gt;0,M2816,IF(AND(E2816&gt;0,ROUND(J2816+D2816-E2816,2)&gt;0,ROUND(J2816+D2816-E2816,2)&lt;'Opening Balance'!$B$14),ROUND(J2816+D2816-E2816,2),0)))</f>
        <v/>
      </c>
      <c r="L2816" s="6">
        <f>IF(C2816="","",ROUND(J2816+D2816-E2816-K2816,2))</f>
        <v/>
      </c>
      <c r="M2816" s="6">
        <f>IF(C2816="","",0)</f>
        <v/>
      </c>
    </row>
    <row r="2817">
      <c r="A2817" t="inlineStr">
        <is>
          <t>Bank 银行</t>
        </is>
      </c>
      <c r="B2817" s="5">
        <f>IF(AND('Daily Sale entry '!Z1317="Online collection 网上收款",'Daily Sale entry '!AA1317&lt;&gt;""),'Daily Sale entry '!X1317,"")</f>
        <v/>
      </c>
      <c r="C2817">
        <f>IF(B2817="","",'Daily Sale entry '!AA1317)</f>
        <v/>
      </c>
      <c r="D2817">
        <f>IF(C2817="","",0)</f>
        <v/>
      </c>
      <c r="E2817">
        <f>IF(C2817="","",'Daily Sale entry '!AC1317)</f>
        <v/>
      </c>
      <c r="F2817" s="37">
        <f>IF(C2817="","",B2817+IF(E2817&gt;0,0,0.5)+ROW()/10000000)</f>
        <v/>
      </c>
      <c r="G2817">
        <f>IF(C2817="","","Collection 收款 (Online 网上)"&amp;IF('Daily Sale entry '!Y1317="",""," - "&amp;'Daily Sale entry '!Y1317))</f>
        <v/>
      </c>
      <c r="H2817">
        <f>IF(C2817="","",COUNTIFS($C$2:$C$3001,C2817,$F$2:$F$3001,"&lt;"&amp;F2817)+1)</f>
        <v/>
      </c>
      <c r="I2817">
        <f>IF(C2817="","",C2817&amp;"|"&amp;H2817)</f>
        <v/>
      </c>
      <c r="J2817" s="6">
        <f>IF(C2817="","",IF(H2817=1,SUMIFS('Opening Balance'!$F$4:$F$303,'Opening Balance'!$G$4:$G$303,C2817),INDEX($L$2:$L$3001,MATCH(C2817&amp;"|"&amp;(H2817-1),$I$2:$I$3001,0))))</f>
        <v/>
      </c>
      <c r="K2817" s="6">
        <f>IF(C2817="","",IF(M2817&gt;0,M2817,IF(AND(E2817&gt;0,ROUND(J2817+D2817-E2817,2)&gt;0,ROUND(J2817+D2817-E2817,2)&lt;'Opening Balance'!$B$14),ROUND(J2817+D2817-E2817,2),0)))</f>
        <v/>
      </c>
      <c r="L2817" s="6">
        <f>IF(C2817="","",ROUND(J2817+D2817-E2817-K2817,2))</f>
        <v/>
      </c>
      <c r="M2817" s="6">
        <f>IF(C2817="","",0)</f>
        <v/>
      </c>
    </row>
    <row r="2818">
      <c r="A2818" t="inlineStr">
        <is>
          <t>Bank 银行</t>
        </is>
      </c>
      <c r="B2818" s="5">
        <f>IF(AND('Daily Sale entry '!Z1318="Online collection 网上收款",'Daily Sale entry '!AA1318&lt;&gt;""),'Daily Sale entry '!X1318,"")</f>
        <v/>
      </c>
      <c r="C2818">
        <f>IF(B2818="","",'Daily Sale entry '!AA1318)</f>
        <v/>
      </c>
      <c r="D2818">
        <f>IF(C2818="","",0)</f>
        <v/>
      </c>
      <c r="E2818">
        <f>IF(C2818="","",'Daily Sale entry '!AC1318)</f>
        <v/>
      </c>
      <c r="F2818" s="37">
        <f>IF(C2818="","",B2818+IF(E2818&gt;0,0,0.5)+ROW()/10000000)</f>
        <v/>
      </c>
      <c r="G2818">
        <f>IF(C2818="","","Collection 收款 (Online 网上)"&amp;IF('Daily Sale entry '!Y1318="",""," - "&amp;'Daily Sale entry '!Y1318))</f>
        <v/>
      </c>
      <c r="H2818">
        <f>IF(C2818="","",COUNTIFS($C$2:$C$3001,C2818,$F$2:$F$3001,"&lt;"&amp;F2818)+1)</f>
        <v/>
      </c>
      <c r="I2818">
        <f>IF(C2818="","",C2818&amp;"|"&amp;H2818)</f>
        <v/>
      </c>
      <c r="J2818" s="6">
        <f>IF(C2818="","",IF(H2818=1,SUMIFS('Opening Balance'!$F$4:$F$303,'Opening Balance'!$G$4:$G$303,C2818),INDEX($L$2:$L$3001,MATCH(C2818&amp;"|"&amp;(H2818-1),$I$2:$I$3001,0))))</f>
        <v/>
      </c>
      <c r="K2818" s="6">
        <f>IF(C2818="","",IF(M2818&gt;0,M2818,IF(AND(E2818&gt;0,ROUND(J2818+D2818-E2818,2)&gt;0,ROUND(J2818+D2818-E2818,2)&lt;'Opening Balance'!$B$14),ROUND(J2818+D2818-E2818,2),0)))</f>
        <v/>
      </c>
      <c r="L2818" s="6">
        <f>IF(C2818="","",ROUND(J2818+D2818-E2818-K2818,2))</f>
        <v/>
      </c>
      <c r="M2818" s="6">
        <f>IF(C2818="","",0)</f>
        <v/>
      </c>
    </row>
    <row r="2819">
      <c r="A2819" t="inlineStr">
        <is>
          <t>Bank 银行</t>
        </is>
      </c>
      <c r="B2819" s="5">
        <f>IF(AND('Daily Sale entry '!Z1319="Online collection 网上收款",'Daily Sale entry '!AA1319&lt;&gt;""),'Daily Sale entry '!X1319,"")</f>
        <v/>
      </c>
      <c r="C2819">
        <f>IF(B2819="","",'Daily Sale entry '!AA1319)</f>
        <v/>
      </c>
      <c r="D2819">
        <f>IF(C2819="","",0)</f>
        <v/>
      </c>
      <c r="E2819">
        <f>IF(C2819="","",'Daily Sale entry '!AC1319)</f>
        <v/>
      </c>
      <c r="F2819" s="37">
        <f>IF(C2819="","",B2819+IF(E2819&gt;0,0,0.5)+ROW()/10000000)</f>
        <v/>
      </c>
      <c r="G2819">
        <f>IF(C2819="","","Collection 收款 (Online 网上)"&amp;IF('Daily Sale entry '!Y1319="",""," - "&amp;'Daily Sale entry '!Y1319))</f>
        <v/>
      </c>
      <c r="H2819">
        <f>IF(C2819="","",COUNTIFS($C$2:$C$3001,C2819,$F$2:$F$3001,"&lt;"&amp;F2819)+1)</f>
        <v/>
      </c>
      <c r="I2819">
        <f>IF(C2819="","",C2819&amp;"|"&amp;H2819)</f>
        <v/>
      </c>
      <c r="J2819" s="6">
        <f>IF(C2819="","",IF(H2819=1,SUMIFS('Opening Balance'!$F$4:$F$303,'Opening Balance'!$G$4:$G$303,C2819),INDEX($L$2:$L$3001,MATCH(C2819&amp;"|"&amp;(H2819-1),$I$2:$I$3001,0))))</f>
        <v/>
      </c>
      <c r="K2819" s="6">
        <f>IF(C2819="","",IF(M2819&gt;0,M2819,IF(AND(E2819&gt;0,ROUND(J2819+D2819-E2819,2)&gt;0,ROUND(J2819+D2819-E2819,2)&lt;'Opening Balance'!$B$14),ROUND(J2819+D2819-E2819,2),0)))</f>
        <v/>
      </c>
      <c r="L2819" s="6">
        <f>IF(C2819="","",ROUND(J2819+D2819-E2819-K2819,2))</f>
        <v/>
      </c>
      <c r="M2819" s="6">
        <f>IF(C2819="","",0)</f>
        <v/>
      </c>
    </row>
    <row r="2820">
      <c r="A2820" t="inlineStr">
        <is>
          <t>Bank 银行</t>
        </is>
      </c>
      <c r="B2820" s="5">
        <f>IF(AND('Daily Sale entry '!Z1320="Online collection 网上收款",'Daily Sale entry '!AA1320&lt;&gt;""),'Daily Sale entry '!X1320,"")</f>
        <v/>
      </c>
      <c r="C2820">
        <f>IF(B2820="","",'Daily Sale entry '!AA1320)</f>
        <v/>
      </c>
      <c r="D2820">
        <f>IF(C2820="","",0)</f>
        <v/>
      </c>
      <c r="E2820">
        <f>IF(C2820="","",'Daily Sale entry '!AC1320)</f>
        <v/>
      </c>
      <c r="F2820" s="37">
        <f>IF(C2820="","",B2820+IF(E2820&gt;0,0,0.5)+ROW()/10000000)</f>
        <v/>
      </c>
      <c r="G2820">
        <f>IF(C2820="","","Collection 收款 (Online 网上)"&amp;IF('Daily Sale entry '!Y1320="",""," - "&amp;'Daily Sale entry '!Y1320))</f>
        <v/>
      </c>
      <c r="H2820">
        <f>IF(C2820="","",COUNTIFS($C$2:$C$3001,C2820,$F$2:$F$3001,"&lt;"&amp;F2820)+1)</f>
        <v/>
      </c>
      <c r="I2820">
        <f>IF(C2820="","",C2820&amp;"|"&amp;H2820)</f>
        <v/>
      </c>
      <c r="J2820" s="6">
        <f>IF(C2820="","",IF(H2820=1,SUMIFS('Opening Balance'!$F$4:$F$303,'Opening Balance'!$G$4:$G$303,C2820),INDEX($L$2:$L$3001,MATCH(C2820&amp;"|"&amp;(H2820-1),$I$2:$I$3001,0))))</f>
        <v/>
      </c>
      <c r="K2820" s="6">
        <f>IF(C2820="","",IF(M2820&gt;0,M2820,IF(AND(E2820&gt;0,ROUND(J2820+D2820-E2820,2)&gt;0,ROUND(J2820+D2820-E2820,2)&lt;'Opening Balance'!$B$14),ROUND(J2820+D2820-E2820,2),0)))</f>
        <v/>
      </c>
      <c r="L2820" s="6">
        <f>IF(C2820="","",ROUND(J2820+D2820-E2820-K2820,2))</f>
        <v/>
      </c>
      <c r="M2820" s="6">
        <f>IF(C2820="","",0)</f>
        <v/>
      </c>
    </row>
    <row r="2821">
      <c r="A2821" t="inlineStr">
        <is>
          <t>Bank 银行</t>
        </is>
      </c>
      <c r="B2821" s="5">
        <f>IF(AND('Daily Sale entry '!Z1321="Online collection 网上收款",'Daily Sale entry '!AA1321&lt;&gt;""),'Daily Sale entry '!X1321,"")</f>
        <v/>
      </c>
      <c r="C2821">
        <f>IF(B2821="","",'Daily Sale entry '!AA1321)</f>
        <v/>
      </c>
      <c r="D2821">
        <f>IF(C2821="","",0)</f>
        <v/>
      </c>
      <c r="E2821">
        <f>IF(C2821="","",'Daily Sale entry '!AC1321)</f>
        <v/>
      </c>
      <c r="F2821" s="37">
        <f>IF(C2821="","",B2821+IF(E2821&gt;0,0,0.5)+ROW()/10000000)</f>
        <v/>
      </c>
      <c r="G2821">
        <f>IF(C2821="","","Collection 收款 (Online 网上)"&amp;IF('Daily Sale entry '!Y1321="",""," - "&amp;'Daily Sale entry '!Y1321))</f>
        <v/>
      </c>
      <c r="H2821">
        <f>IF(C2821="","",COUNTIFS($C$2:$C$3001,C2821,$F$2:$F$3001,"&lt;"&amp;F2821)+1)</f>
        <v/>
      </c>
      <c r="I2821">
        <f>IF(C2821="","",C2821&amp;"|"&amp;H2821)</f>
        <v/>
      </c>
      <c r="J2821" s="6">
        <f>IF(C2821="","",IF(H2821=1,SUMIFS('Opening Balance'!$F$4:$F$303,'Opening Balance'!$G$4:$G$303,C2821),INDEX($L$2:$L$3001,MATCH(C2821&amp;"|"&amp;(H2821-1),$I$2:$I$3001,0))))</f>
        <v/>
      </c>
      <c r="K2821" s="6">
        <f>IF(C2821="","",IF(M2821&gt;0,M2821,IF(AND(E2821&gt;0,ROUND(J2821+D2821-E2821,2)&gt;0,ROUND(J2821+D2821-E2821,2)&lt;'Opening Balance'!$B$14),ROUND(J2821+D2821-E2821,2),0)))</f>
        <v/>
      </c>
      <c r="L2821" s="6">
        <f>IF(C2821="","",ROUND(J2821+D2821-E2821-K2821,2))</f>
        <v/>
      </c>
      <c r="M2821" s="6">
        <f>IF(C2821="","",0)</f>
        <v/>
      </c>
    </row>
    <row r="2822">
      <c r="A2822" t="inlineStr">
        <is>
          <t>Bank 银行</t>
        </is>
      </c>
      <c r="B2822" s="5">
        <f>IF(AND('Daily Sale entry '!Z1322="Online collection 网上收款",'Daily Sale entry '!AA1322&lt;&gt;""),'Daily Sale entry '!X1322,"")</f>
        <v/>
      </c>
      <c r="C2822">
        <f>IF(B2822="","",'Daily Sale entry '!AA1322)</f>
        <v/>
      </c>
      <c r="D2822">
        <f>IF(C2822="","",0)</f>
        <v/>
      </c>
      <c r="E2822">
        <f>IF(C2822="","",'Daily Sale entry '!AC1322)</f>
        <v/>
      </c>
      <c r="F2822" s="37">
        <f>IF(C2822="","",B2822+IF(E2822&gt;0,0,0.5)+ROW()/10000000)</f>
        <v/>
      </c>
      <c r="G2822">
        <f>IF(C2822="","","Collection 收款 (Online 网上)"&amp;IF('Daily Sale entry '!Y1322="",""," - "&amp;'Daily Sale entry '!Y1322))</f>
        <v/>
      </c>
      <c r="H2822">
        <f>IF(C2822="","",COUNTIFS($C$2:$C$3001,C2822,$F$2:$F$3001,"&lt;"&amp;F2822)+1)</f>
        <v/>
      </c>
      <c r="I2822">
        <f>IF(C2822="","",C2822&amp;"|"&amp;H2822)</f>
        <v/>
      </c>
      <c r="J2822" s="6">
        <f>IF(C2822="","",IF(H2822=1,SUMIFS('Opening Balance'!$F$4:$F$303,'Opening Balance'!$G$4:$G$303,C2822),INDEX($L$2:$L$3001,MATCH(C2822&amp;"|"&amp;(H2822-1),$I$2:$I$3001,0))))</f>
        <v/>
      </c>
      <c r="K2822" s="6">
        <f>IF(C2822="","",IF(M2822&gt;0,M2822,IF(AND(E2822&gt;0,ROUND(J2822+D2822-E2822,2)&gt;0,ROUND(J2822+D2822-E2822,2)&lt;'Opening Balance'!$B$14),ROUND(J2822+D2822-E2822,2),0)))</f>
        <v/>
      </c>
      <c r="L2822" s="6">
        <f>IF(C2822="","",ROUND(J2822+D2822-E2822-K2822,2))</f>
        <v/>
      </c>
      <c r="M2822" s="6">
        <f>IF(C2822="","",0)</f>
        <v/>
      </c>
    </row>
    <row r="2823">
      <c r="A2823" t="inlineStr">
        <is>
          <t>Bank 银行</t>
        </is>
      </c>
      <c r="B2823" s="5">
        <f>IF(AND('Daily Sale entry '!Z1323="Online collection 网上收款",'Daily Sale entry '!AA1323&lt;&gt;""),'Daily Sale entry '!X1323,"")</f>
        <v/>
      </c>
      <c r="C2823">
        <f>IF(B2823="","",'Daily Sale entry '!AA1323)</f>
        <v/>
      </c>
      <c r="D2823">
        <f>IF(C2823="","",0)</f>
        <v/>
      </c>
      <c r="E2823">
        <f>IF(C2823="","",'Daily Sale entry '!AC1323)</f>
        <v/>
      </c>
      <c r="F2823" s="37">
        <f>IF(C2823="","",B2823+IF(E2823&gt;0,0,0.5)+ROW()/10000000)</f>
        <v/>
      </c>
      <c r="G2823">
        <f>IF(C2823="","","Collection 收款 (Online 网上)"&amp;IF('Daily Sale entry '!Y1323="",""," - "&amp;'Daily Sale entry '!Y1323))</f>
        <v/>
      </c>
      <c r="H2823">
        <f>IF(C2823="","",COUNTIFS($C$2:$C$3001,C2823,$F$2:$F$3001,"&lt;"&amp;F2823)+1)</f>
        <v/>
      </c>
      <c r="I2823">
        <f>IF(C2823="","",C2823&amp;"|"&amp;H2823)</f>
        <v/>
      </c>
      <c r="J2823" s="6">
        <f>IF(C2823="","",IF(H2823=1,SUMIFS('Opening Balance'!$F$4:$F$303,'Opening Balance'!$G$4:$G$303,C2823),INDEX($L$2:$L$3001,MATCH(C2823&amp;"|"&amp;(H2823-1),$I$2:$I$3001,0))))</f>
        <v/>
      </c>
      <c r="K2823" s="6">
        <f>IF(C2823="","",IF(M2823&gt;0,M2823,IF(AND(E2823&gt;0,ROUND(J2823+D2823-E2823,2)&gt;0,ROUND(J2823+D2823-E2823,2)&lt;'Opening Balance'!$B$14),ROUND(J2823+D2823-E2823,2),0)))</f>
        <v/>
      </c>
      <c r="L2823" s="6">
        <f>IF(C2823="","",ROUND(J2823+D2823-E2823-K2823,2))</f>
        <v/>
      </c>
      <c r="M2823" s="6">
        <f>IF(C2823="","",0)</f>
        <v/>
      </c>
    </row>
    <row r="2824">
      <c r="A2824" t="inlineStr">
        <is>
          <t>Bank 银行</t>
        </is>
      </c>
      <c r="B2824" s="5">
        <f>IF(AND('Daily Sale entry '!Z1324="Online collection 网上收款",'Daily Sale entry '!AA1324&lt;&gt;""),'Daily Sale entry '!X1324,"")</f>
        <v/>
      </c>
      <c r="C2824">
        <f>IF(B2824="","",'Daily Sale entry '!AA1324)</f>
        <v/>
      </c>
      <c r="D2824">
        <f>IF(C2824="","",0)</f>
        <v/>
      </c>
      <c r="E2824">
        <f>IF(C2824="","",'Daily Sale entry '!AC1324)</f>
        <v/>
      </c>
      <c r="F2824" s="37">
        <f>IF(C2824="","",B2824+IF(E2824&gt;0,0,0.5)+ROW()/10000000)</f>
        <v/>
      </c>
      <c r="G2824">
        <f>IF(C2824="","","Collection 收款 (Online 网上)"&amp;IF('Daily Sale entry '!Y1324="",""," - "&amp;'Daily Sale entry '!Y1324))</f>
        <v/>
      </c>
      <c r="H2824">
        <f>IF(C2824="","",COUNTIFS($C$2:$C$3001,C2824,$F$2:$F$3001,"&lt;"&amp;F2824)+1)</f>
        <v/>
      </c>
      <c r="I2824">
        <f>IF(C2824="","",C2824&amp;"|"&amp;H2824)</f>
        <v/>
      </c>
      <c r="J2824" s="6">
        <f>IF(C2824="","",IF(H2824=1,SUMIFS('Opening Balance'!$F$4:$F$303,'Opening Balance'!$G$4:$G$303,C2824),INDEX($L$2:$L$3001,MATCH(C2824&amp;"|"&amp;(H2824-1),$I$2:$I$3001,0))))</f>
        <v/>
      </c>
      <c r="K2824" s="6">
        <f>IF(C2824="","",IF(M2824&gt;0,M2824,IF(AND(E2824&gt;0,ROUND(J2824+D2824-E2824,2)&gt;0,ROUND(J2824+D2824-E2824,2)&lt;'Opening Balance'!$B$14),ROUND(J2824+D2824-E2824,2),0)))</f>
        <v/>
      </c>
      <c r="L2824" s="6">
        <f>IF(C2824="","",ROUND(J2824+D2824-E2824-K2824,2))</f>
        <v/>
      </c>
      <c r="M2824" s="6">
        <f>IF(C2824="","",0)</f>
        <v/>
      </c>
    </row>
    <row r="2825">
      <c r="A2825" t="inlineStr">
        <is>
          <t>Bank 银行</t>
        </is>
      </c>
      <c r="B2825" s="5">
        <f>IF(AND('Daily Sale entry '!Z1325="Online collection 网上收款",'Daily Sale entry '!AA1325&lt;&gt;""),'Daily Sale entry '!X1325,"")</f>
        <v/>
      </c>
      <c r="C2825">
        <f>IF(B2825="","",'Daily Sale entry '!AA1325)</f>
        <v/>
      </c>
      <c r="D2825">
        <f>IF(C2825="","",0)</f>
        <v/>
      </c>
      <c r="E2825">
        <f>IF(C2825="","",'Daily Sale entry '!AC1325)</f>
        <v/>
      </c>
      <c r="F2825" s="37">
        <f>IF(C2825="","",B2825+IF(E2825&gt;0,0,0.5)+ROW()/10000000)</f>
        <v/>
      </c>
      <c r="G2825">
        <f>IF(C2825="","","Collection 收款 (Online 网上)"&amp;IF('Daily Sale entry '!Y1325="",""," - "&amp;'Daily Sale entry '!Y1325))</f>
        <v/>
      </c>
      <c r="H2825">
        <f>IF(C2825="","",COUNTIFS($C$2:$C$3001,C2825,$F$2:$F$3001,"&lt;"&amp;F2825)+1)</f>
        <v/>
      </c>
      <c r="I2825">
        <f>IF(C2825="","",C2825&amp;"|"&amp;H2825)</f>
        <v/>
      </c>
      <c r="J2825" s="6">
        <f>IF(C2825="","",IF(H2825=1,SUMIFS('Opening Balance'!$F$4:$F$303,'Opening Balance'!$G$4:$G$303,C2825),INDEX($L$2:$L$3001,MATCH(C2825&amp;"|"&amp;(H2825-1),$I$2:$I$3001,0))))</f>
        <v/>
      </c>
      <c r="K2825" s="6">
        <f>IF(C2825="","",IF(M2825&gt;0,M2825,IF(AND(E2825&gt;0,ROUND(J2825+D2825-E2825,2)&gt;0,ROUND(J2825+D2825-E2825,2)&lt;'Opening Balance'!$B$14),ROUND(J2825+D2825-E2825,2),0)))</f>
        <v/>
      </c>
      <c r="L2825" s="6">
        <f>IF(C2825="","",ROUND(J2825+D2825-E2825-K2825,2))</f>
        <v/>
      </c>
      <c r="M2825" s="6">
        <f>IF(C2825="","",0)</f>
        <v/>
      </c>
    </row>
    <row r="2826">
      <c r="A2826" t="inlineStr">
        <is>
          <t>Bank 银行</t>
        </is>
      </c>
      <c r="B2826" s="5">
        <f>IF(AND('Daily Sale entry '!Z1326="Online collection 网上收款",'Daily Sale entry '!AA1326&lt;&gt;""),'Daily Sale entry '!X1326,"")</f>
        <v/>
      </c>
      <c r="C2826">
        <f>IF(B2826="","",'Daily Sale entry '!AA1326)</f>
        <v/>
      </c>
      <c r="D2826">
        <f>IF(C2826="","",0)</f>
        <v/>
      </c>
      <c r="E2826">
        <f>IF(C2826="","",'Daily Sale entry '!AC1326)</f>
        <v/>
      </c>
      <c r="F2826" s="37">
        <f>IF(C2826="","",B2826+IF(E2826&gt;0,0,0.5)+ROW()/10000000)</f>
        <v/>
      </c>
      <c r="G2826">
        <f>IF(C2826="","","Collection 收款 (Online 网上)"&amp;IF('Daily Sale entry '!Y1326="",""," - "&amp;'Daily Sale entry '!Y1326))</f>
        <v/>
      </c>
      <c r="H2826">
        <f>IF(C2826="","",COUNTIFS($C$2:$C$3001,C2826,$F$2:$F$3001,"&lt;"&amp;F2826)+1)</f>
        <v/>
      </c>
      <c r="I2826">
        <f>IF(C2826="","",C2826&amp;"|"&amp;H2826)</f>
        <v/>
      </c>
      <c r="J2826" s="6">
        <f>IF(C2826="","",IF(H2826=1,SUMIFS('Opening Balance'!$F$4:$F$303,'Opening Balance'!$G$4:$G$303,C2826),INDEX($L$2:$L$3001,MATCH(C2826&amp;"|"&amp;(H2826-1),$I$2:$I$3001,0))))</f>
        <v/>
      </c>
      <c r="K2826" s="6">
        <f>IF(C2826="","",IF(M2826&gt;0,M2826,IF(AND(E2826&gt;0,ROUND(J2826+D2826-E2826,2)&gt;0,ROUND(J2826+D2826-E2826,2)&lt;'Opening Balance'!$B$14),ROUND(J2826+D2826-E2826,2),0)))</f>
        <v/>
      </c>
      <c r="L2826" s="6">
        <f>IF(C2826="","",ROUND(J2826+D2826-E2826-K2826,2))</f>
        <v/>
      </c>
      <c r="M2826" s="6">
        <f>IF(C2826="","",0)</f>
        <v/>
      </c>
    </row>
    <row r="2827">
      <c r="A2827" t="inlineStr">
        <is>
          <t>Bank 银行</t>
        </is>
      </c>
      <c r="B2827" s="5">
        <f>IF(AND('Daily Sale entry '!Z1327="Online collection 网上收款",'Daily Sale entry '!AA1327&lt;&gt;""),'Daily Sale entry '!X1327,"")</f>
        <v/>
      </c>
      <c r="C2827">
        <f>IF(B2827="","",'Daily Sale entry '!AA1327)</f>
        <v/>
      </c>
      <c r="D2827">
        <f>IF(C2827="","",0)</f>
        <v/>
      </c>
      <c r="E2827">
        <f>IF(C2827="","",'Daily Sale entry '!AC1327)</f>
        <v/>
      </c>
      <c r="F2827" s="37">
        <f>IF(C2827="","",B2827+IF(E2827&gt;0,0,0.5)+ROW()/10000000)</f>
        <v/>
      </c>
      <c r="G2827">
        <f>IF(C2827="","","Collection 收款 (Online 网上)"&amp;IF('Daily Sale entry '!Y1327="",""," - "&amp;'Daily Sale entry '!Y1327))</f>
        <v/>
      </c>
      <c r="H2827">
        <f>IF(C2827="","",COUNTIFS($C$2:$C$3001,C2827,$F$2:$F$3001,"&lt;"&amp;F2827)+1)</f>
        <v/>
      </c>
      <c r="I2827">
        <f>IF(C2827="","",C2827&amp;"|"&amp;H2827)</f>
        <v/>
      </c>
      <c r="J2827" s="6">
        <f>IF(C2827="","",IF(H2827=1,SUMIFS('Opening Balance'!$F$4:$F$303,'Opening Balance'!$G$4:$G$303,C2827),INDEX($L$2:$L$3001,MATCH(C2827&amp;"|"&amp;(H2827-1),$I$2:$I$3001,0))))</f>
        <v/>
      </c>
      <c r="K2827" s="6">
        <f>IF(C2827="","",IF(M2827&gt;0,M2827,IF(AND(E2827&gt;0,ROUND(J2827+D2827-E2827,2)&gt;0,ROUND(J2827+D2827-E2827,2)&lt;'Opening Balance'!$B$14),ROUND(J2827+D2827-E2827,2),0)))</f>
        <v/>
      </c>
      <c r="L2827" s="6">
        <f>IF(C2827="","",ROUND(J2827+D2827-E2827-K2827,2))</f>
        <v/>
      </c>
      <c r="M2827" s="6">
        <f>IF(C2827="","",0)</f>
        <v/>
      </c>
    </row>
    <row r="2828">
      <c r="A2828" t="inlineStr">
        <is>
          <t>Bank 银行</t>
        </is>
      </c>
      <c r="B2828" s="5">
        <f>IF(AND('Daily Sale entry '!Z1328="Online collection 网上收款",'Daily Sale entry '!AA1328&lt;&gt;""),'Daily Sale entry '!X1328,"")</f>
        <v/>
      </c>
      <c r="C2828">
        <f>IF(B2828="","",'Daily Sale entry '!AA1328)</f>
        <v/>
      </c>
      <c r="D2828">
        <f>IF(C2828="","",0)</f>
        <v/>
      </c>
      <c r="E2828">
        <f>IF(C2828="","",'Daily Sale entry '!AC1328)</f>
        <v/>
      </c>
      <c r="F2828" s="37">
        <f>IF(C2828="","",B2828+IF(E2828&gt;0,0,0.5)+ROW()/10000000)</f>
        <v/>
      </c>
      <c r="G2828">
        <f>IF(C2828="","","Collection 收款 (Online 网上)"&amp;IF('Daily Sale entry '!Y1328="",""," - "&amp;'Daily Sale entry '!Y1328))</f>
        <v/>
      </c>
      <c r="H2828">
        <f>IF(C2828="","",COUNTIFS($C$2:$C$3001,C2828,$F$2:$F$3001,"&lt;"&amp;F2828)+1)</f>
        <v/>
      </c>
      <c r="I2828">
        <f>IF(C2828="","",C2828&amp;"|"&amp;H2828)</f>
        <v/>
      </c>
      <c r="J2828" s="6">
        <f>IF(C2828="","",IF(H2828=1,SUMIFS('Opening Balance'!$F$4:$F$303,'Opening Balance'!$G$4:$G$303,C2828),INDEX($L$2:$L$3001,MATCH(C2828&amp;"|"&amp;(H2828-1),$I$2:$I$3001,0))))</f>
        <v/>
      </c>
      <c r="K2828" s="6">
        <f>IF(C2828="","",IF(M2828&gt;0,M2828,IF(AND(E2828&gt;0,ROUND(J2828+D2828-E2828,2)&gt;0,ROUND(J2828+D2828-E2828,2)&lt;'Opening Balance'!$B$14),ROUND(J2828+D2828-E2828,2),0)))</f>
        <v/>
      </c>
      <c r="L2828" s="6">
        <f>IF(C2828="","",ROUND(J2828+D2828-E2828-K2828,2))</f>
        <v/>
      </c>
      <c r="M2828" s="6">
        <f>IF(C2828="","",0)</f>
        <v/>
      </c>
    </row>
    <row r="2829">
      <c r="A2829" t="inlineStr">
        <is>
          <t>Bank 银行</t>
        </is>
      </c>
      <c r="B2829" s="5">
        <f>IF(AND('Daily Sale entry '!Z1329="Online collection 网上收款",'Daily Sale entry '!AA1329&lt;&gt;""),'Daily Sale entry '!X1329,"")</f>
        <v/>
      </c>
      <c r="C2829">
        <f>IF(B2829="","",'Daily Sale entry '!AA1329)</f>
        <v/>
      </c>
      <c r="D2829">
        <f>IF(C2829="","",0)</f>
        <v/>
      </c>
      <c r="E2829">
        <f>IF(C2829="","",'Daily Sale entry '!AC1329)</f>
        <v/>
      </c>
      <c r="F2829" s="37">
        <f>IF(C2829="","",B2829+IF(E2829&gt;0,0,0.5)+ROW()/10000000)</f>
        <v/>
      </c>
      <c r="G2829">
        <f>IF(C2829="","","Collection 收款 (Online 网上)"&amp;IF('Daily Sale entry '!Y1329="",""," - "&amp;'Daily Sale entry '!Y1329))</f>
        <v/>
      </c>
      <c r="H2829">
        <f>IF(C2829="","",COUNTIFS($C$2:$C$3001,C2829,$F$2:$F$3001,"&lt;"&amp;F2829)+1)</f>
        <v/>
      </c>
      <c r="I2829">
        <f>IF(C2829="","",C2829&amp;"|"&amp;H2829)</f>
        <v/>
      </c>
      <c r="J2829" s="6">
        <f>IF(C2829="","",IF(H2829=1,SUMIFS('Opening Balance'!$F$4:$F$303,'Opening Balance'!$G$4:$G$303,C2829),INDEX($L$2:$L$3001,MATCH(C2829&amp;"|"&amp;(H2829-1),$I$2:$I$3001,0))))</f>
        <v/>
      </c>
      <c r="K2829" s="6">
        <f>IF(C2829="","",IF(M2829&gt;0,M2829,IF(AND(E2829&gt;0,ROUND(J2829+D2829-E2829,2)&gt;0,ROUND(J2829+D2829-E2829,2)&lt;'Opening Balance'!$B$14),ROUND(J2829+D2829-E2829,2),0)))</f>
        <v/>
      </c>
      <c r="L2829" s="6">
        <f>IF(C2829="","",ROUND(J2829+D2829-E2829-K2829,2))</f>
        <v/>
      </c>
      <c r="M2829" s="6">
        <f>IF(C2829="","",0)</f>
        <v/>
      </c>
    </row>
    <row r="2830">
      <c r="A2830" t="inlineStr">
        <is>
          <t>Bank 银行</t>
        </is>
      </c>
      <c r="B2830" s="5">
        <f>IF(AND('Daily Sale entry '!Z1330="Online collection 网上收款",'Daily Sale entry '!AA1330&lt;&gt;""),'Daily Sale entry '!X1330,"")</f>
        <v/>
      </c>
      <c r="C2830">
        <f>IF(B2830="","",'Daily Sale entry '!AA1330)</f>
        <v/>
      </c>
      <c r="D2830">
        <f>IF(C2830="","",0)</f>
        <v/>
      </c>
      <c r="E2830">
        <f>IF(C2830="","",'Daily Sale entry '!AC1330)</f>
        <v/>
      </c>
      <c r="F2830" s="37">
        <f>IF(C2830="","",B2830+IF(E2830&gt;0,0,0.5)+ROW()/10000000)</f>
        <v/>
      </c>
      <c r="G2830">
        <f>IF(C2830="","","Collection 收款 (Online 网上)"&amp;IF('Daily Sale entry '!Y1330="",""," - "&amp;'Daily Sale entry '!Y1330))</f>
        <v/>
      </c>
      <c r="H2830">
        <f>IF(C2830="","",COUNTIFS($C$2:$C$3001,C2830,$F$2:$F$3001,"&lt;"&amp;F2830)+1)</f>
        <v/>
      </c>
      <c r="I2830">
        <f>IF(C2830="","",C2830&amp;"|"&amp;H2830)</f>
        <v/>
      </c>
      <c r="J2830" s="6">
        <f>IF(C2830="","",IF(H2830=1,SUMIFS('Opening Balance'!$F$4:$F$303,'Opening Balance'!$G$4:$G$303,C2830),INDEX($L$2:$L$3001,MATCH(C2830&amp;"|"&amp;(H2830-1),$I$2:$I$3001,0))))</f>
        <v/>
      </c>
      <c r="K2830" s="6">
        <f>IF(C2830="","",IF(M2830&gt;0,M2830,IF(AND(E2830&gt;0,ROUND(J2830+D2830-E2830,2)&gt;0,ROUND(J2830+D2830-E2830,2)&lt;'Opening Balance'!$B$14),ROUND(J2830+D2830-E2830,2),0)))</f>
        <v/>
      </c>
      <c r="L2830" s="6">
        <f>IF(C2830="","",ROUND(J2830+D2830-E2830-K2830,2))</f>
        <v/>
      </c>
      <c r="M2830" s="6">
        <f>IF(C2830="","",0)</f>
        <v/>
      </c>
    </row>
    <row r="2831">
      <c r="A2831" t="inlineStr">
        <is>
          <t>Bank 银行</t>
        </is>
      </c>
      <c r="B2831" s="5">
        <f>IF(AND('Daily Sale entry '!Z1331="Online collection 网上收款",'Daily Sale entry '!AA1331&lt;&gt;""),'Daily Sale entry '!X1331,"")</f>
        <v/>
      </c>
      <c r="C2831">
        <f>IF(B2831="","",'Daily Sale entry '!AA1331)</f>
        <v/>
      </c>
      <c r="D2831">
        <f>IF(C2831="","",0)</f>
        <v/>
      </c>
      <c r="E2831">
        <f>IF(C2831="","",'Daily Sale entry '!AC1331)</f>
        <v/>
      </c>
      <c r="F2831" s="37">
        <f>IF(C2831="","",B2831+IF(E2831&gt;0,0,0.5)+ROW()/10000000)</f>
        <v/>
      </c>
      <c r="G2831">
        <f>IF(C2831="","","Collection 收款 (Online 网上)"&amp;IF('Daily Sale entry '!Y1331="",""," - "&amp;'Daily Sale entry '!Y1331))</f>
        <v/>
      </c>
      <c r="H2831">
        <f>IF(C2831="","",COUNTIFS($C$2:$C$3001,C2831,$F$2:$F$3001,"&lt;"&amp;F2831)+1)</f>
        <v/>
      </c>
      <c r="I2831">
        <f>IF(C2831="","",C2831&amp;"|"&amp;H2831)</f>
        <v/>
      </c>
      <c r="J2831" s="6">
        <f>IF(C2831="","",IF(H2831=1,SUMIFS('Opening Balance'!$F$4:$F$303,'Opening Balance'!$G$4:$G$303,C2831),INDEX($L$2:$L$3001,MATCH(C2831&amp;"|"&amp;(H2831-1),$I$2:$I$3001,0))))</f>
        <v/>
      </c>
      <c r="K2831" s="6">
        <f>IF(C2831="","",IF(M2831&gt;0,M2831,IF(AND(E2831&gt;0,ROUND(J2831+D2831-E2831,2)&gt;0,ROUND(J2831+D2831-E2831,2)&lt;'Opening Balance'!$B$14),ROUND(J2831+D2831-E2831,2),0)))</f>
        <v/>
      </c>
      <c r="L2831" s="6">
        <f>IF(C2831="","",ROUND(J2831+D2831-E2831-K2831,2))</f>
        <v/>
      </c>
      <c r="M2831" s="6">
        <f>IF(C2831="","",0)</f>
        <v/>
      </c>
    </row>
    <row r="2832">
      <c r="A2832" t="inlineStr">
        <is>
          <t>Bank 银行</t>
        </is>
      </c>
      <c r="B2832" s="5">
        <f>IF(AND('Daily Sale entry '!Z1332="Online collection 网上收款",'Daily Sale entry '!AA1332&lt;&gt;""),'Daily Sale entry '!X1332,"")</f>
        <v/>
      </c>
      <c r="C2832">
        <f>IF(B2832="","",'Daily Sale entry '!AA1332)</f>
        <v/>
      </c>
      <c r="D2832">
        <f>IF(C2832="","",0)</f>
        <v/>
      </c>
      <c r="E2832">
        <f>IF(C2832="","",'Daily Sale entry '!AC1332)</f>
        <v/>
      </c>
      <c r="F2832" s="37">
        <f>IF(C2832="","",B2832+IF(E2832&gt;0,0,0.5)+ROW()/10000000)</f>
        <v/>
      </c>
      <c r="G2832">
        <f>IF(C2832="","","Collection 收款 (Online 网上)"&amp;IF('Daily Sale entry '!Y1332="",""," - "&amp;'Daily Sale entry '!Y1332))</f>
        <v/>
      </c>
      <c r="H2832">
        <f>IF(C2832="","",COUNTIFS($C$2:$C$3001,C2832,$F$2:$F$3001,"&lt;"&amp;F2832)+1)</f>
        <v/>
      </c>
      <c r="I2832">
        <f>IF(C2832="","",C2832&amp;"|"&amp;H2832)</f>
        <v/>
      </c>
      <c r="J2832" s="6">
        <f>IF(C2832="","",IF(H2832=1,SUMIFS('Opening Balance'!$F$4:$F$303,'Opening Balance'!$G$4:$G$303,C2832),INDEX($L$2:$L$3001,MATCH(C2832&amp;"|"&amp;(H2832-1),$I$2:$I$3001,0))))</f>
        <v/>
      </c>
      <c r="K2832" s="6">
        <f>IF(C2832="","",IF(M2832&gt;0,M2832,IF(AND(E2832&gt;0,ROUND(J2832+D2832-E2832,2)&gt;0,ROUND(J2832+D2832-E2832,2)&lt;'Opening Balance'!$B$14),ROUND(J2832+D2832-E2832,2),0)))</f>
        <v/>
      </c>
      <c r="L2832" s="6">
        <f>IF(C2832="","",ROUND(J2832+D2832-E2832-K2832,2))</f>
        <v/>
      </c>
      <c r="M2832" s="6">
        <f>IF(C2832="","",0)</f>
        <v/>
      </c>
    </row>
    <row r="2833">
      <c r="A2833" t="inlineStr">
        <is>
          <t>Bank 银行</t>
        </is>
      </c>
      <c r="B2833" s="5">
        <f>IF(AND('Daily Sale entry '!Z1333="Online collection 网上收款",'Daily Sale entry '!AA1333&lt;&gt;""),'Daily Sale entry '!X1333,"")</f>
        <v/>
      </c>
      <c r="C2833">
        <f>IF(B2833="","",'Daily Sale entry '!AA1333)</f>
        <v/>
      </c>
      <c r="D2833">
        <f>IF(C2833="","",0)</f>
        <v/>
      </c>
      <c r="E2833">
        <f>IF(C2833="","",'Daily Sale entry '!AC1333)</f>
        <v/>
      </c>
      <c r="F2833" s="37">
        <f>IF(C2833="","",B2833+IF(E2833&gt;0,0,0.5)+ROW()/10000000)</f>
        <v/>
      </c>
      <c r="G2833">
        <f>IF(C2833="","","Collection 收款 (Online 网上)"&amp;IF('Daily Sale entry '!Y1333="",""," - "&amp;'Daily Sale entry '!Y1333))</f>
        <v/>
      </c>
      <c r="H2833">
        <f>IF(C2833="","",COUNTIFS($C$2:$C$3001,C2833,$F$2:$F$3001,"&lt;"&amp;F2833)+1)</f>
        <v/>
      </c>
      <c r="I2833">
        <f>IF(C2833="","",C2833&amp;"|"&amp;H2833)</f>
        <v/>
      </c>
      <c r="J2833" s="6">
        <f>IF(C2833="","",IF(H2833=1,SUMIFS('Opening Balance'!$F$4:$F$303,'Opening Balance'!$G$4:$G$303,C2833),INDEX($L$2:$L$3001,MATCH(C2833&amp;"|"&amp;(H2833-1),$I$2:$I$3001,0))))</f>
        <v/>
      </c>
      <c r="K2833" s="6">
        <f>IF(C2833="","",IF(M2833&gt;0,M2833,IF(AND(E2833&gt;0,ROUND(J2833+D2833-E2833,2)&gt;0,ROUND(J2833+D2833-E2833,2)&lt;'Opening Balance'!$B$14),ROUND(J2833+D2833-E2833,2),0)))</f>
        <v/>
      </c>
      <c r="L2833" s="6">
        <f>IF(C2833="","",ROUND(J2833+D2833-E2833-K2833,2))</f>
        <v/>
      </c>
      <c r="M2833" s="6">
        <f>IF(C2833="","",0)</f>
        <v/>
      </c>
    </row>
    <row r="2834">
      <c r="A2834" t="inlineStr">
        <is>
          <t>Bank 银行</t>
        </is>
      </c>
      <c r="B2834" s="5">
        <f>IF(AND('Daily Sale entry '!Z1334="Online collection 网上收款",'Daily Sale entry '!AA1334&lt;&gt;""),'Daily Sale entry '!X1334,"")</f>
        <v/>
      </c>
      <c r="C2834">
        <f>IF(B2834="","",'Daily Sale entry '!AA1334)</f>
        <v/>
      </c>
      <c r="D2834">
        <f>IF(C2834="","",0)</f>
        <v/>
      </c>
      <c r="E2834">
        <f>IF(C2834="","",'Daily Sale entry '!AC1334)</f>
        <v/>
      </c>
      <c r="F2834" s="37">
        <f>IF(C2834="","",B2834+IF(E2834&gt;0,0,0.5)+ROW()/10000000)</f>
        <v/>
      </c>
      <c r="G2834">
        <f>IF(C2834="","","Collection 收款 (Online 网上)"&amp;IF('Daily Sale entry '!Y1334="",""," - "&amp;'Daily Sale entry '!Y1334))</f>
        <v/>
      </c>
      <c r="H2834">
        <f>IF(C2834="","",COUNTIFS($C$2:$C$3001,C2834,$F$2:$F$3001,"&lt;"&amp;F2834)+1)</f>
        <v/>
      </c>
      <c r="I2834">
        <f>IF(C2834="","",C2834&amp;"|"&amp;H2834)</f>
        <v/>
      </c>
      <c r="J2834" s="6">
        <f>IF(C2834="","",IF(H2834=1,SUMIFS('Opening Balance'!$F$4:$F$303,'Opening Balance'!$G$4:$G$303,C2834),INDEX($L$2:$L$3001,MATCH(C2834&amp;"|"&amp;(H2834-1),$I$2:$I$3001,0))))</f>
        <v/>
      </c>
      <c r="K2834" s="6">
        <f>IF(C2834="","",IF(M2834&gt;0,M2834,IF(AND(E2834&gt;0,ROUND(J2834+D2834-E2834,2)&gt;0,ROUND(J2834+D2834-E2834,2)&lt;'Opening Balance'!$B$14),ROUND(J2834+D2834-E2834,2),0)))</f>
        <v/>
      </c>
      <c r="L2834" s="6">
        <f>IF(C2834="","",ROUND(J2834+D2834-E2834-K2834,2))</f>
        <v/>
      </c>
      <c r="M2834" s="6">
        <f>IF(C2834="","",0)</f>
        <v/>
      </c>
    </row>
    <row r="2835">
      <c r="A2835" t="inlineStr">
        <is>
          <t>Bank 银行</t>
        </is>
      </c>
      <c r="B2835" s="5">
        <f>IF(AND('Daily Sale entry '!Z1335="Online collection 网上收款",'Daily Sale entry '!AA1335&lt;&gt;""),'Daily Sale entry '!X1335,"")</f>
        <v/>
      </c>
      <c r="C2835">
        <f>IF(B2835="","",'Daily Sale entry '!AA1335)</f>
        <v/>
      </c>
      <c r="D2835">
        <f>IF(C2835="","",0)</f>
        <v/>
      </c>
      <c r="E2835">
        <f>IF(C2835="","",'Daily Sale entry '!AC1335)</f>
        <v/>
      </c>
      <c r="F2835" s="37">
        <f>IF(C2835="","",B2835+IF(E2835&gt;0,0,0.5)+ROW()/10000000)</f>
        <v/>
      </c>
      <c r="G2835">
        <f>IF(C2835="","","Collection 收款 (Online 网上)"&amp;IF('Daily Sale entry '!Y1335="",""," - "&amp;'Daily Sale entry '!Y1335))</f>
        <v/>
      </c>
      <c r="H2835">
        <f>IF(C2835="","",COUNTIFS($C$2:$C$3001,C2835,$F$2:$F$3001,"&lt;"&amp;F2835)+1)</f>
        <v/>
      </c>
      <c r="I2835">
        <f>IF(C2835="","",C2835&amp;"|"&amp;H2835)</f>
        <v/>
      </c>
      <c r="J2835" s="6">
        <f>IF(C2835="","",IF(H2835=1,SUMIFS('Opening Balance'!$F$4:$F$303,'Opening Balance'!$G$4:$G$303,C2835),INDEX($L$2:$L$3001,MATCH(C2835&amp;"|"&amp;(H2835-1),$I$2:$I$3001,0))))</f>
        <v/>
      </c>
      <c r="K2835" s="6">
        <f>IF(C2835="","",IF(M2835&gt;0,M2835,IF(AND(E2835&gt;0,ROUND(J2835+D2835-E2835,2)&gt;0,ROUND(J2835+D2835-E2835,2)&lt;'Opening Balance'!$B$14),ROUND(J2835+D2835-E2835,2),0)))</f>
        <v/>
      </c>
      <c r="L2835" s="6">
        <f>IF(C2835="","",ROUND(J2835+D2835-E2835-K2835,2))</f>
        <v/>
      </c>
      <c r="M2835" s="6">
        <f>IF(C2835="","",0)</f>
        <v/>
      </c>
    </row>
    <row r="2836">
      <c r="A2836" t="inlineStr">
        <is>
          <t>Bank 银行</t>
        </is>
      </c>
      <c r="B2836" s="5">
        <f>IF(AND('Daily Sale entry '!Z1336="Online collection 网上收款",'Daily Sale entry '!AA1336&lt;&gt;""),'Daily Sale entry '!X1336,"")</f>
        <v/>
      </c>
      <c r="C2836">
        <f>IF(B2836="","",'Daily Sale entry '!AA1336)</f>
        <v/>
      </c>
      <c r="D2836">
        <f>IF(C2836="","",0)</f>
        <v/>
      </c>
      <c r="E2836">
        <f>IF(C2836="","",'Daily Sale entry '!AC1336)</f>
        <v/>
      </c>
      <c r="F2836" s="37">
        <f>IF(C2836="","",B2836+IF(E2836&gt;0,0,0.5)+ROW()/10000000)</f>
        <v/>
      </c>
      <c r="G2836">
        <f>IF(C2836="","","Collection 收款 (Online 网上)"&amp;IF('Daily Sale entry '!Y1336="",""," - "&amp;'Daily Sale entry '!Y1336))</f>
        <v/>
      </c>
      <c r="H2836">
        <f>IF(C2836="","",COUNTIFS($C$2:$C$3001,C2836,$F$2:$F$3001,"&lt;"&amp;F2836)+1)</f>
        <v/>
      </c>
      <c r="I2836">
        <f>IF(C2836="","",C2836&amp;"|"&amp;H2836)</f>
        <v/>
      </c>
      <c r="J2836" s="6">
        <f>IF(C2836="","",IF(H2836=1,SUMIFS('Opening Balance'!$F$4:$F$303,'Opening Balance'!$G$4:$G$303,C2836),INDEX($L$2:$L$3001,MATCH(C2836&amp;"|"&amp;(H2836-1),$I$2:$I$3001,0))))</f>
        <v/>
      </c>
      <c r="K2836" s="6">
        <f>IF(C2836="","",IF(M2836&gt;0,M2836,IF(AND(E2836&gt;0,ROUND(J2836+D2836-E2836,2)&gt;0,ROUND(J2836+D2836-E2836,2)&lt;'Opening Balance'!$B$14),ROUND(J2836+D2836-E2836,2),0)))</f>
        <v/>
      </c>
      <c r="L2836" s="6">
        <f>IF(C2836="","",ROUND(J2836+D2836-E2836-K2836,2))</f>
        <v/>
      </c>
      <c r="M2836" s="6">
        <f>IF(C2836="","",0)</f>
        <v/>
      </c>
    </row>
    <row r="2837">
      <c r="A2837" t="inlineStr">
        <is>
          <t>Bank 银行</t>
        </is>
      </c>
      <c r="B2837" s="5">
        <f>IF(AND('Daily Sale entry '!Z1337="Online collection 网上收款",'Daily Sale entry '!AA1337&lt;&gt;""),'Daily Sale entry '!X1337,"")</f>
        <v/>
      </c>
      <c r="C2837">
        <f>IF(B2837="","",'Daily Sale entry '!AA1337)</f>
        <v/>
      </c>
      <c r="D2837">
        <f>IF(C2837="","",0)</f>
        <v/>
      </c>
      <c r="E2837">
        <f>IF(C2837="","",'Daily Sale entry '!AC1337)</f>
        <v/>
      </c>
      <c r="F2837" s="37">
        <f>IF(C2837="","",B2837+IF(E2837&gt;0,0,0.5)+ROW()/10000000)</f>
        <v/>
      </c>
      <c r="G2837">
        <f>IF(C2837="","","Collection 收款 (Online 网上)"&amp;IF('Daily Sale entry '!Y1337="",""," - "&amp;'Daily Sale entry '!Y1337))</f>
        <v/>
      </c>
      <c r="H2837">
        <f>IF(C2837="","",COUNTIFS($C$2:$C$3001,C2837,$F$2:$F$3001,"&lt;"&amp;F2837)+1)</f>
        <v/>
      </c>
      <c r="I2837">
        <f>IF(C2837="","",C2837&amp;"|"&amp;H2837)</f>
        <v/>
      </c>
      <c r="J2837" s="6">
        <f>IF(C2837="","",IF(H2837=1,SUMIFS('Opening Balance'!$F$4:$F$303,'Opening Balance'!$G$4:$G$303,C2837),INDEX($L$2:$L$3001,MATCH(C2837&amp;"|"&amp;(H2837-1),$I$2:$I$3001,0))))</f>
        <v/>
      </c>
      <c r="K2837" s="6">
        <f>IF(C2837="","",IF(M2837&gt;0,M2837,IF(AND(E2837&gt;0,ROUND(J2837+D2837-E2837,2)&gt;0,ROUND(J2837+D2837-E2837,2)&lt;'Opening Balance'!$B$14),ROUND(J2837+D2837-E2837,2),0)))</f>
        <v/>
      </c>
      <c r="L2837" s="6">
        <f>IF(C2837="","",ROUND(J2837+D2837-E2837-K2837,2))</f>
        <v/>
      </c>
      <c r="M2837" s="6">
        <f>IF(C2837="","",0)</f>
        <v/>
      </c>
    </row>
    <row r="2838">
      <c r="A2838" t="inlineStr">
        <is>
          <t>Bank 银行</t>
        </is>
      </c>
      <c r="B2838" s="5">
        <f>IF(AND('Daily Sale entry '!Z1338="Online collection 网上收款",'Daily Sale entry '!AA1338&lt;&gt;""),'Daily Sale entry '!X1338,"")</f>
        <v/>
      </c>
      <c r="C2838">
        <f>IF(B2838="","",'Daily Sale entry '!AA1338)</f>
        <v/>
      </c>
      <c r="D2838">
        <f>IF(C2838="","",0)</f>
        <v/>
      </c>
      <c r="E2838">
        <f>IF(C2838="","",'Daily Sale entry '!AC1338)</f>
        <v/>
      </c>
      <c r="F2838" s="37">
        <f>IF(C2838="","",B2838+IF(E2838&gt;0,0,0.5)+ROW()/10000000)</f>
        <v/>
      </c>
      <c r="G2838">
        <f>IF(C2838="","","Collection 收款 (Online 网上)"&amp;IF('Daily Sale entry '!Y1338="",""," - "&amp;'Daily Sale entry '!Y1338))</f>
        <v/>
      </c>
      <c r="H2838">
        <f>IF(C2838="","",COUNTIFS($C$2:$C$3001,C2838,$F$2:$F$3001,"&lt;"&amp;F2838)+1)</f>
        <v/>
      </c>
      <c r="I2838">
        <f>IF(C2838="","",C2838&amp;"|"&amp;H2838)</f>
        <v/>
      </c>
      <c r="J2838" s="6">
        <f>IF(C2838="","",IF(H2838=1,SUMIFS('Opening Balance'!$F$4:$F$303,'Opening Balance'!$G$4:$G$303,C2838),INDEX($L$2:$L$3001,MATCH(C2838&amp;"|"&amp;(H2838-1),$I$2:$I$3001,0))))</f>
        <v/>
      </c>
      <c r="K2838" s="6">
        <f>IF(C2838="","",IF(M2838&gt;0,M2838,IF(AND(E2838&gt;0,ROUND(J2838+D2838-E2838,2)&gt;0,ROUND(J2838+D2838-E2838,2)&lt;'Opening Balance'!$B$14),ROUND(J2838+D2838-E2838,2),0)))</f>
        <v/>
      </c>
      <c r="L2838" s="6">
        <f>IF(C2838="","",ROUND(J2838+D2838-E2838-K2838,2))</f>
        <v/>
      </c>
      <c r="M2838" s="6">
        <f>IF(C2838="","",0)</f>
        <v/>
      </c>
    </row>
    <row r="2839">
      <c r="A2839" t="inlineStr">
        <is>
          <t>Bank 银行</t>
        </is>
      </c>
      <c r="B2839" s="5">
        <f>IF(AND('Daily Sale entry '!Z1339="Online collection 网上收款",'Daily Sale entry '!AA1339&lt;&gt;""),'Daily Sale entry '!X1339,"")</f>
        <v/>
      </c>
      <c r="C2839">
        <f>IF(B2839="","",'Daily Sale entry '!AA1339)</f>
        <v/>
      </c>
      <c r="D2839">
        <f>IF(C2839="","",0)</f>
        <v/>
      </c>
      <c r="E2839">
        <f>IF(C2839="","",'Daily Sale entry '!AC1339)</f>
        <v/>
      </c>
      <c r="F2839" s="37">
        <f>IF(C2839="","",B2839+IF(E2839&gt;0,0,0.5)+ROW()/10000000)</f>
        <v/>
      </c>
      <c r="G2839">
        <f>IF(C2839="","","Collection 收款 (Online 网上)"&amp;IF('Daily Sale entry '!Y1339="",""," - "&amp;'Daily Sale entry '!Y1339))</f>
        <v/>
      </c>
      <c r="H2839">
        <f>IF(C2839="","",COUNTIFS($C$2:$C$3001,C2839,$F$2:$F$3001,"&lt;"&amp;F2839)+1)</f>
        <v/>
      </c>
      <c r="I2839">
        <f>IF(C2839="","",C2839&amp;"|"&amp;H2839)</f>
        <v/>
      </c>
      <c r="J2839" s="6">
        <f>IF(C2839="","",IF(H2839=1,SUMIFS('Opening Balance'!$F$4:$F$303,'Opening Balance'!$G$4:$G$303,C2839),INDEX($L$2:$L$3001,MATCH(C2839&amp;"|"&amp;(H2839-1),$I$2:$I$3001,0))))</f>
        <v/>
      </c>
      <c r="K2839" s="6">
        <f>IF(C2839="","",IF(M2839&gt;0,M2839,IF(AND(E2839&gt;0,ROUND(J2839+D2839-E2839,2)&gt;0,ROUND(J2839+D2839-E2839,2)&lt;'Opening Balance'!$B$14),ROUND(J2839+D2839-E2839,2),0)))</f>
        <v/>
      </c>
      <c r="L2839" s="6">
        <f>IF(C2839="","",ROUND(J2839+D2839-E2839-K2839,2))</f>
        <v/>
      </c>
      <c r="M2839" s="6">
        <f>IF(C2839="","",0)</f>
        <v/>
      </c>
    </row>
    <row r="2840">
      <c r="A2840" t="inlineStr">
        <is>
          <t>Bank 银行</t>
        </is>
      </c>
      <c r="B2840" s="5">
        <f>IF(AND('Daily Sale entry '!Z1340="Online collection 网上收款",'Daily Sale entry '!AA1340&lt;&gt;""),'Daily Sale entry '!X1340,"")</f>
        <v/>
      </c>
      <c r="C2840">
        <f>IF(B2840="","",'Daily Sale entry '!AA1340)</f>
        <v/>
      </c>
      <c r="D2840">
        <f>IF(C2840="","",0)</f>
        <v/>
      </c>
      <c r="E2840">
        <f>IF(C2840="","",'Daily Sale entry '!AC1340)</f>
        <v/>
      </c>
      <c r="F2840" s="37">
        <f>IF(C2840="","",B2840+IF(E2840&gt;0,0,0.5)+ROW()/10000000)</f>
        <v/>
      </c>
      <c r="G2840">
        <f>IF(C2840="","","Collection 收款 (Online 网上)"&amp;IF('Daily Sale entry '!Y1340="",""," - "&amp;'Daily Sale entry '!Y1340))</f>
        <v/>
      </c>
      <c r="H2840">
        <f>IF(C2840="","",COUNTIFS($C$2:$C$3001,C2840,$F$2:$F$3001,"&lt;"&amp;F2840)+1)</f>
        <v/>
      </c>
      <c r="I2840">
        <f>IF(C2840="","",C2840&amp;"|"&amp;H2840)</f>
        <v/>
      </c>
      <c r="J2840" s="6">
        <f>IF(C2840="","",IF(H2840=1,SUMIFS('Opening Balance'!$F$4:$F$303,'Opening Balance'!$G$4:$G$303,C2840),INDEX($L$2:$L$3001,MATCH(C2840&amp;"|"&amp;(H2840-1),$I$2:$I$3001,0))))</f>
        <v/>
      </c>
      <c r="K2840" s="6">
        <f>IF(C2840="","",IF(M2840&gt;0,M2840,IF(AND(E2840&gt;0,ROUND(J2840+D2840-E2840,2)&gt;0,ROUND(J2840+D2840-E2840,2)&lt;'Opening Balance'!$B$14),ROUND(J2840+D2840-E2840,2),0)))</f>
        <v/>
      </c>
      <c r="L2840" s="6">
        <f>IF(C2840="","",ROUND(J2840+D2840-E2840-K2840,2))</f>
        <v/>
      </c>
      <c r="M2840" s="6">
        <f>IF(C2840="","",0)</f>
        <v/>
      </c>
    </row>
    <row r="2841">
      <c r="A2841" t="inlineStr">
        <is>
          <t>Bank 银行</t>
        </is>
      </c>
      <c r="B2841" s="5">
        <f>IF(AND('Daily Sale entry '!Z1341="Online collection 网上收款",'Daily Sale entry '!AA1341&lt;&gt;""),'Daily Sale entry '!X1341,"")</f>
        <v/>
      </c>
      <c r="C2841">
        <f>IF(B2841="","",'Daily Sale entry '!AA1341)</f>
        <v/>
      </c>
      <c r="D2841">
        <f>IF(C2841="","",0)</f>
        <v/>
      </c>
      <c r="E2841">
        <f>IF(C2841="","",'Daily Sale entry '!AC1341)</f>
        <v/>
      </c>
      <c r="F2841" s="37">
        <f>IF(C2841="","",B2841+IF(E2841&gt;0,0,0.5)+ROW()/10000000)</f>
        <v/>
      </c>
      <c r="G2841">
        <f>IF(C2841="","","Collection 收款 (Online 网上)"&amp;IF('Daily Sale entry '!Y1341="",""," - "&amp;'Daily Sale entry '!Y1341))</f>
        <v/>
      </c>
      <c r="H2841">
        <f>IF(C2841="","",COUNTIFS($C$2:$C$3001,C2841,$F$2:$F$3001,"&lt;"&amp;F2841)+1)</f>
        <v/>
      </c>
      <c r="I2841">
        <f>IF(C2841="","",C2841&amp;"|"&amp;H2841)</f>
        <v/>
      </c>
      <c r="J2841" s="6">
        <f>IF(C2841="","",IF(H2841=1,SUMIFS('Opening Balance'!$F$4:$F$303,'Opening Balance'!$G$4:$G$303,C2841),INDEX($L$2:$L$3001,MATCH(C2841&amp;"|"&amp;(H2841-1),$I$2:$I$3001,0))))</f>
        <v/>
      </c>
      <c r="K2841" s="6">
        <f>IF(C2841="","",IF(M2841&gt;0,M2841,IF(AND(E2841&gt;0,ROUND(J2841+D2841-E2841,2)&gt;0,ROUND(J2841+D2841-E2841,2)&lt;'Opening Balance'!$B$14),ROUND(J2841+D2841-E2841,2),0)))</f>
        <v/>
      </c>
      <c r="L2841" s="6">
        <f>IF(C2841="","",ROUND(J2841+D2841-E2841-K2841,2))</f>
        <v/>
      </c>
      <c r="M2841" s="6">
        <f>IF(C2841="","",0)</f>
        <v/>
      </c>
    </row>
    <row r="2842">
      <c r="A2842" t="inlineStr">
        <is>
          <t>Bank 银行</t>
        </is>
      </c>
      <c r="B2842" s="5">
        <f>IF(AND('Daily Sale entry '!Z1342="Online collection 网上收款",'Daily Sale entry '!AA1342&lt;&gt;""),'Daily Sale entry '!X1342,"")</f>
        <v/>
      </c>
      <c r="C2842">
        <f>IF(B2842="","",'Daily Sale entry '!AA1342)</f>
        <v/>
      </c>
      <c r="D2842">
        <f>IF(C2842="","",0)</f>
        <v/>
      </c>
      <c r="E2842">
        <f>IF(C2842="","",'Daily Sale entry '!AC1342)</f>
        <v/>
      </c>
      <c r="F2842" s="37">
        <f>IF(C2842="","",B2842+IF(E2842&gt;0,0,0.5)+ROW()/10000000)</f>
        <v/>
      </c>
      <c r="G2842">
        <f>IF(C2842="","","Collection 收款 (Online 网上)"&amp;IF('Daily Sale entry '!Y1342="",""," - "&amp;'Daily Sale entry '!Y1342))</f>
        <v/>
      </c>
      <c r="H2842">
        <f>IF(C2842="","",COUNTIFS($C$2:$C$3001,C2842,$F$2:$F$3001,"&lt;"&amp;F2842)+1)</f>
        <v/>
      </c>
      <c r="I2842">
        <f>IF(C2842="","",C2842&amp;"|"&amp;H2842)</f>
        <v/>
      </c>
      <c r="J2842" s="6">
        <f>IF(C2842="","",IF(H2842=1,SUMIFS('Opening Balance'!$F$4:$F$303,'Opening Balance'!$G$4:$G$303,C2842),INDEX($L$2:$L$3001,MATCH(C2842&amp;"|"&amp;(H2842-1),$I$2:$I$3001,0))))</f>
        <v/>
      </c>
      <c r="K2842" s="6">
        <f>IF(C2842="","",IF(M2842&gt;0,M2842,IF(AND(E2842&gt;0,ROUND(J2842+D2842-E2842,2)&gt;0,ROUND(J2842+D2842-E2842,2)&lt;'Opening Balance'!$B$14),ROUND(J2842+D2842-E2842,2),0)))</f>
        <v/>
      </c>
      <c r="L2842" s="6">
        <f>IF(C2842="","",ROUND(J2842+D2842-E2842-K2842,2))</f>
        <v/>
      </c>
      <c r="M2842" s="6">
        <f>IF(C2842="","",0)</f>
        <v/>
      </c>
    </row>
    <row r="2843">
      <c r="A2843" t="inlineStr">
        <is>
          <t>Bank 银行</t>
        </is>
      </c>
      <c r="B2843" s="5">
        <f>IF(AND('Daily Sale entry '!Z1343="Online collection 网上收款",'Daily Sale entry '!AA1343&lt;&gt;""),'Daily Sale entry '!X1343,"")</f>
        <v/>
      </c>
      <c r="C2843">
        <f>IF(B2843="","",'Daily Sale entry '!AA1343)</f>
        <v/>
      </c>
      <c r="D2843">
        <f>IF(C2843="","",0)</f>
        <v/>
      </c>
      <c r="E2843">
        <f>IF(C2843="","",'Daily Sale entry '!AC1343)</f>
        <v/>
      </c>
      <c r="F2843" s="37">
        <f>IF(C2843="","",B2843+IF(E2843&gt;0,0,0.5)+ROW()/10000000)</f>
        <v/>
      </c>
      <c r="G2843">
        <f>IF(C2843="","","Collection 收款 (Online 网上)"&amp;IF('Daily Sale entry '!Y1343="",""," - "&amp;'Daily Sale entry '!Y1343))</f>
        <v/>
      </c>
      <c r="H2843">
        <f>IF(C2843="","",COUNTIFS($C$2:$C$3001,C2843,$F$2:$F$3001,"&lt;"&amp;F2843)+1)</f>
        <v/>
      </c>
      <c r="I2843">
        <f>IF(C2843="","",C2843&amp;"|"&amp;H2843)</f>
        <v/>
      </c>
      <c r="J2843" s="6">
        <f>IF(C2843="","",IF(H2843=1,SUMIFS('Opening Balance'!$F$4:$F$303,'Opening Balance'!$G$4:$G$303,C2843),INDEX($L$2:$L$3001,MATCH(C2843&amp;"|"&amp;(H2843-1),$I$2:$I$3001,0))))</f>
        <v/>
      </c>
      <c r="K2843" s="6">
        <f>IF(C2843="","",IF(M2843&gt;0,M2843,IF(AND(E2843&gt;0,ROUND(J2843+D2843-E2843,2)&gt;0,ROUND(J2843+D2843-E2843,2)&lt;'Opening Balance'!$B$14),ROUND(J2843+D2843-E2843,2),0)))</f>
        <v/>
      </c>
      <c r="L2843" s="6">
        <f>IF(C2843="","",ROUND(J2843+D2843-E2843-K2843,2))</f>
        <v/>
      </c>
      <c r="M2843" s="6">
        <f>IF(C2843="","",0)</f>
        <v/>
      </c>
    </row>
    <row r="2844">
      <c r="A2844" t="inlineStr">
        <is>
          <t>Bank 银行</t>
        </is>
      </c>
      <c r="B2844" s="5">
        <f>IF(AND('Daily Sale entry '!Z1344="Online collection 网上收款",'Daily Sale entry '!AA1344&lt;&gt;""),'Daily Sale entry '!X1344,"")</f>
        <v/>
      </c>
      <c r="C2844">
        <f>IF(B2844="","",'Daily Sale entry '!AA1344)</f>
        <v/>
      </c>
      <c r="D2844">
        <f>IF(C2844="","",0)</f>
        <v/>
      </c>
      <c r="E2844">
        <f>IF(C2844="","",'Daily Sale entry '!AC1344)</f>
        <v/>
      </c>
      <c r="F2844" s="37">
        <f>IF(C2844="","",B2844+IF(E2844&gt;0,0,0.5)+ROW()/10000000)</f>
        <v/>
      </c>
      <c r="G2844">
        <f>IF(C2844="","","Collection 收款 (Online 网上)"&amp;IF('Daily Sale entry '!Y1344="",""," - "&amp;'Daily Sale entry '!Y1344))</f>
        <v/>
      </c>
      <c r="H2844">
        <f>IF(C2844="","",COUNTIFS($C$2:$C$3001,C2844,$F$2:$F$3001,"&lt;"&amp;F2844)+1)</f>
        <v/>
      </c>
      <c r="I2844">
        <f>IF(C2844="","",C2844&amp;"|"&amp;H2844)</f>
        <v/>
      </c>
      <c r="J2844" s="6">
        <f>IF(C2844="","",IF(H2844=1,SUMIFS('Opening Balance'!$F$4:$F$303,'Opening Balance'!$G$4:$G$303,C2844),INDEX($L$2:$L$3001,MATCH(C2844&amp;"|"&amp;(H2844-1),$I$2:$I$3001,0))))</f>
        <v/>
      </c>
      <c r="K2844" s="6">
        <f>IF(C2844="","",IF(M2844&gt;0,M2844,IF(AND(E2844&gt;0,ROUND(J2844+D2844-E2844,2)&gt;0,ROUND(J2844+D2844-E2844,2)&lt;'Opening Balance'!$B$14),ROUND(J2844+D2844-E2844,2),0)))</f>
        <v/>
      </c>
      <c r="L2844" s="6">
        <f>IF(C2844="","",ROUND(J2844+D2844-E2844-K2844,2))</f>
        <v/>
      </c>
      <c r="M2844" s="6">
        <f>IF(C2844="","",0)</f>
        <v/>
      </c>
    </row>
    <row r="2845">
      <c r="A2845" t="inlineStr">
        <is>
          <t>Bank 银行</t>
        </is>
      </c>
      <c r="B2845" s="5">
        <f>IF(AND('Daily Sale entry '!Z1345="Online collection 网上收款",'Daily Sale entry '!AA1345&lt;&gt;""),'Daily Sale entry '!X1345,"")</f>
        <v/>
      </c>
      <c r="C2845">
        <f>IF(B2845="","",'Daily Sale entry '!AA1345)</f>
        <v/>
      </c>
      <c r="D2845">
        <f>IF(C2845="","",0)</f>
        <v/>
      </c>
      <c r="E2845">
        <f>IF(C2845="","",'Daily Sale entry '!AC1345)</f>
        <v/>
      </c>
      <c r="F2845" s="37">
        <f>IF(C2845="","",B2845+IF(E2845&gt;0,0,0.5)+ROW()/10000000)</f>
        <v/>
      </c>
      <c r="G2845">
        <f>IF(C2845="","","Collection 收款 (Online 网上)"&amp;IF('Daily Sale entry '!Y1345="",""," - "&amp;'Daily Sale entry '!Y1345))</f>
        <v/>
      </c>
      <c r="H2845">
        <f>IF(C2845="","",COUNTIFS($C$2:$C$3001,C2845,$F$2:$F$3001,"&lt;"&amp;F2845)+1)</f>
        <v/>
      </c>
      <c r="I2845">
        <f>IF(C2845="","",C2845&amp;"|"&amp;H2845)</f>
        <v/>
      </c>
      <c r="J2845" s="6">
        <f>IF(C2845="","",IF(H2845=1,SUMIFS('Opening Balance'!$F$4:$F$303,'Opening Balance'!$G$4:$G$303,C2845),INDEX($L$2:$L$3001,MATCH(C2845&amp;"|"&amp;(H2845-1),$I$2:$I$3001,0))))</f>
        <v/>
      </c>
      <c r="K2845" s="6">
        <f>IF(C2845="","",IF(M2845&gt;0,M2845,IF(AND(E2845&gt;0,ROUND(J2845+D2845-E2845,2)&gt;0,ROUND(J2845+D2845-E2845,2)&lt;'Opening Balance'!$B$14),ROUND(J2845+D2845-E2845,2),0)))</f>
        <v/>
      </c>
      <c r="L2845" s="6">
        <f>IF(C2845="","",ROUND(J2845+D2845-E2845-K2845,2))</f>
        <v/>
      </c>
      <c r="M2845" s="6">
        <f>IF(C2845="","",0)</f>
        <v/>
      </c>
    </row>
    <row r="2846">
      <c r="A2846" t="inlineStr">
        <is>
          <t>Bank 银行</t>
        </is>
      </c>
      <c r="B2846" s="5">
        <f>IF(AND('Daily Sale entry '!Z1346="Online collection 网上收款",'Daily Sale entry '!AA1346&lt;&gt;""),'Daily Sale entry '!X1346,"")</f>
        <v/>
      </c>
      <c r="C2846">
        <f>IF(B2846="","",'Daily Sale entry '!AA1346)</f>
        <v/>
      </c>
      <c r="D2846">
        <f>IF(C2846="","",0)</f>
        <v/>
      </c>
      <c r="E2846">
        <f>IF(C2846="","",'Daily Sale entry '!AC1346)</f>
        <v/>
      </c>
      <c r="F2846" s="37">
        <f>IF(C2846="","",B2846+IF(E2846&gt;0,0,0.5)+ROW()/10000000)</f>
        <v/>
      </c>
      <c r="G2846">
        <f>IF(C2846="","","Collection 收款 (Online 网上)"&amp;IF('Daily Sale entry '!Y1346="",""," - "&amp;'Daily Sale entry '!Y1346))</f>
        <v/>
      </c>
      <c r="H2846">
        <f>IF(C2846="","",COUNTIFS($C$2:$C$3001,C2846,$F$2:$F$3001,"&lt;"&amp;F2846)+1)</f>
        <v/>
      </c>
      <c r="I2846">
        <f>IF(C2846="","",C2846&amp;"|"&amp;H2846)</f>
        <v/>
      </c>
      <c r="J2846" s="6">
        <f>IF(C2846="","",IF(H2846=1,SUMIFS('Opening Balance'!$F$4:$F$303,'Opening Balance'!$G$4:$G$303,C2846),INDEX($L$2:$L$3001,MATCH(C2846&amp;"|"&amp;(H2846-1),$I$2:$I$3001,0))))</f>
        <v/>
      </c>
      <c r="K2846" s="6">
        <f>IF(C2846="","",IF(M2846&gt;0,M2846,IF(AND(E2846&gt;0,ROUND(J2846+D2846-E2846,2)&gt;0,ROUND(J2846+D2846-E2846,2)&lt;'Opening Balance'!$B$14),ROUND(J2846+D2846-E2846,2),0)))</f>
        <v/>
      </c>
      <c r="L2846" s="6">
        <f>IF(C2846="","",ROUND(J2846+D2846-E2846-K2846,2))</f>
        <v/>
      </c>
      <c r="M2846" s="6">
        <f>IF(C2846="","",0)</f>
        <v/>
      </c>
    </row>
    <row r="2847">
      <c r="A2847" t="inlineStr">
        <is>
          <t>Bank 银行</t>
        </is>
      </c>
      <c r="B2847" s="5">
        <f>IF(AND('Daily Sale entry '!Z1347="Online collection 网上收款",'Daily Sale entry '!AA1347&lt;&gt;""),'Daily Sale entry '!X1347,"")</f>
        <v/>
      </c>
      <c r="C2847">
        <f>IF(B2847="","",'Daily Sale entry '!AA1347)</f>
        <v/>
      </c>
      <c r="D2847">
        <f>IF(C2847="","",0)</f>
        <v/>
      </c>
      <c r="E2847">
        <f>IF(C2847="","",'Daily Sale entry '!AC1347)</f>
        <v/>
      </c>
      <c r="F2847" s="37">
        <f>IF(C2847="","",B2847+IF(E2847&gt;0,0,0.5)+ROW()/10000000)</f>
        <v/>
      </c>
      <c r="G2847">
        <f>IF(C2847="","","Collection 收款 (Online 网上)"&amp;IF('Daily Sale entry '!Y1347="",""," - "&amp;'Daily Sale entry '!Y1347))</f>
        <v/>
      </c>
      <c r="H2847">
        <f>IF(C2847="","",COUNTIFS($C$2:$C$3001,C2847,$F$2:$F$3001,"&lt;"&amp;F2847)+1)</f>
        <v/>
      </c>
      <c r="I2847">
        <f>IF(C2847="","",C2847&amp;"|"&amp;H2847)</f>
        <v/>
      </c>
      <c r="J2847" s="6">
        <f>IF(C2847="","",IF(H2847=1,SUMIFS('Opening Balance'!$F$4:$F$303,'Opening Balance'!$G$4:$G$303,C2847),INDEX($L$2:$L$3001,MATCH(C2847&amp;"|"&amp;(H2847-1),$I$2:$I$3001,0))))</f>
        <v/>
      </c>
      <c r="K2847" s="6">
        <f>IF(C2847="","",IF(M2847&gt;0,M2847,IF(AND(E2847&gt;0,ROUND(J2847+D2847-E2847,2)&gt;0,ROUND(J2847+D2847-E2847,2)&lt;'Opening Balance'!$B$14),ROUND(J2847+D2847-E2847,2),0)))</f>
        <v/>
      </c>
      <c r="L2847" s="6">
        <f>IF(C2847="","",ROUND(J2847+D2847-E2847-K2847,2))</f>
        <v/>
      </c>
      <c r="M2847" s="6">
        <f>IF(C2847="","",0)</f>
        <v/>
      </c>
    </row>
    <row r="2848">
      <c r="A2848" t="inlineStr">
        <is>
          <t>Bank 银行</t>
        </is>
      </c>
      <c r="B2848" s="5">
        <f>IF(AND('Daily Sale entry '!Z1348="Online collection 网上收款",'Daily Sale entry '!AA1348&lt;&gt;""),'Daily Sale entry '!X1348,"")</f>
        <v/>
      </c>
      <c r="C2848">
        <f>IF(B2848="","",'Daily Sale entry '!AA1348)</f>
        <v/>
      </c>
      <c r="D2848">
        <f>IF(C2848="","",0)</f>
        <v/>
      </c>
      <c r="E2848">
        <f>IF(C2848="","",'Daily Sale entry '!AC1348)</f>
        <v/>
      </c>
      <c r="F2848" s="37">
        <f>IF(C2848="","",B2848+IF(E2848&gt;0,0,0.5)+ROW()/10000000)</f>
        <v/>
      </c>
      <c r="G2848">
        <f>IF(C2848="","","Collection 收款 (Online 网上)"&amp;IF('Daily Sale entry '!Y1348="",""," - "&amp;'Daily Sale entry '!Y1348))</f>
        <v/>
      </c>
      <c r="H2848">
        <f>IF(C2848="","",COUNTIFS($C$2:$C$3001,C2848,$F$2:$F$3001,"&lt;"&amp;F2848)+1)</f>
        <v/>
      </c>
      <c r="I2848">
        <f>IF(C2848="","",C2848&amp;"|"&amp;H2848)</f>
        <v/>
      </c>
      <c r="J2848" s="6">
        <f>IF(C2848="","",IF(H2848=1,SUMIFS('Opening Balance'!$F$4:$F$303,'Opening Balance'!$G$4:$G$303,C2848),INDEX($L$2:$L$3001,MATCH(C2848&amp;"|"&amp;(H2848-1),$I$2:$I$3001,0))))</f>
        <v/>
      </c>
      <c r="K2848" s="6">
        <f>IF(C2848="","",IF(M2848&gt;0,M2848,IF(AND(E2848&gt;0,ROUND(J2848+D2848-E2848,2)&gt;0,ROUND(J2848+D2848-E2848,2)&lt;'Opening Balance'!$B$14),ROUND(J2848+D2848-E2848,2),0)))</f>
        <v/>
      </c>
      <c r="L2848" s="6">
        <f>IF(C2848="","",ROUND(J2848+D2848-E2848-K2848,2))</f>
        <v/>
      </c>
      <c r="M2848" s="6">
        <f>IF(C2848="","",0)</f>
        <v/>
      </c>
    </row>
    <row r="2849">
      <c r="A2849" t="inlineStr">
        <is>
          <t>Bank 银行</t>
        </is>
      </c>
      <c r="B2849" s="5">
        <f>IF(AND('Daily Sale entry '!Z1349="Online collection 网上收款",'Daily Sale entry '!AA1349&lt;&gt;""),'Daily Sale entry '!X1349,"")</f>
        <v/>
      </c>
      <c r="C2849">
        <f>IF(B2849="","",'Daily Sale entry '!AA1349)</f>
        <v/>
      </c>
      <c r="D2849">
        <f>IF(C2849="","",0)</f>
        <v/>
      </c>
      <c r="E2849">
        <f>IF(C2849="","",'Daily Sale entry '!AC1349)</f>
        <v/>
      </c>
      <c r="F2849" s="37">
        <f>IF(C2849="","",B2849+IF(E2849&gt;0,0,0.5)+ROW()/10000000)</f>
        <v/>
      </c>
      <c r="G2849">
        <f>IF(C2849="","","Collection 收款 (Online 网上)"&amp;IF('Daily Sale entry '!Y1349="",""," - "&amp;'Daily Sale entry '!Y1349))</f>
        <v/>
      </c>
      <c r="H2849">
        <f>IF(C2849="","",COUNTIFS($C$2:$C$3001,C2849,$F$2:$F$3001,"&lt;"&amp;F2849)+1)</f>
        <v/>
      </c>
      <c r="I2849">
        <f>IF(C2849="","",C2849&amp;"|"&amp;H2849)</f>
        <v/>
      </c>
      <c r="J2849" s="6">
        <f>IF(C2849="","",IF(H2849=1,SUMIFS('Opening Balance'!$F$4:$F$303,'Opening Balance'!$G$4:$G$303,C2849),INDEX($L$2:$L$3001,MATCH(C2849&amp;"|"&amp;(H2849-1),$I$2:$I$3001,0))))</f>
        <v/>
      </c>
      <c r="K2849" s="6">
        <f>IF(C2849="","",IF(M2849&gt;0,M2849,IF(AND(E2849&gt;0,ROUND(J2849+D2849-E2849,2)&gt;0,ROUND(J2849+D2849-E2849,2)&lt;'Opening Balance'!$B$14),ROUND(J2849+D2849-E2849,2),0)))</f>
        <v/>
      </c>
      <c r="L2849" s="6">
        <f>IF(C2849="","",ROUND(J2849+D2849-E2849-K2849,2))</f>
        <v/>
      </c>
      <c r="M2849" s="6">
        <f>IF(C2849="","",0)</f>
        <v/>
      </c>
    </row>
    <row r="2850">
      <c r="A2850" t="inlineStr">
        <is>
          <t>Bank 银行</t>
        </is>
      </c>
      <c r="B2850" s="5">
        <f>IF(AND('Daily Sale entry '!Z1350="Online collection 网上收款",'Daily Sale entry '!AA1350&lt;&gt;""),'Daily Sale entry '!X1350,"")</f>
        <v/>
      </c>
      <c r="C2850">
        <f>IF(B2850="","",'Daily Sale entry '!AA1350)</f>
        <v/>
      </c>
      <c r="D2850">
        <f>IF(C2850="","",0)</f>
        <v/>
      </c>
      <c r="E2850">
        <f>IF(C2850="","",'Daily Sale entry '!AC1350)</f>
        <v/>
      </c>
      <c r="F2850" s="37">
        <f>IF(C2850="","",B2850+IF(E2850&gt;0,0,0.5)+ROW()/10000000)</f>
        <v/>
      </c>
      <c r="G2850">
        <f>IF(C2850="","","Collection 收款 (Online 网上)"&amp;IF('Daily Sale entry '!Y1350="",""," - "&amp;'Daily Sale entry '!Y1350))</f>
        <v/>
      </c>
      <c r="H2850">
        <f>IF(C2850="","",COUNTIFS($C$2:$C$3001,C2850,$F$2:$F$3001,"&lt;"&amp;F2850)+1)</f>
        <v/>
      </c>
      <c r="I2850">
        <f>IF(C2850="","",C2850&amp;"|"&amp;H2850)</f>
        <v/>
      </c>
      <c r="J2850" s="6">
        <f>IF(C2850="","",IF(H2850=1,SUMIFS('Opening Balance'!$F$4:$F$303,'Opening Balance'!$G$4:$G$303,C2850),INDEX($L$2:$L$3001,MATCH(C2850&amp;"|"&amp;(H2850-1),$I$2:$I$3001,0))))</f>
        <v/>
      </c>
      <c r="K2850" s="6">
        <f>IF(C2850="","",IF(M2850&gt;0,M2850,IF(AND(E2850&gt;0,ROUND(J2850+D2850-E2850,2)&gt;0,ROUND(J2850+D2850-E2850,2)&lt;'Opening Balance'!$B$14),ROUND(J2850+D2850-E2850,2),0)))</f>
        <v/>
      </c>
      <c r="L2850" s="6">
        <f>IF(C2850="","",ROUND(J2850+D2850-E2850-K2850,2))</f>
        <v/>
      </c>
      <c r="M2850" s="6">
        <f>IF(C2850="","",0)</f>
        <v/>
      </c>
    </row>
    <row r="2851">
      <c r="A2851" t="inlineStr">
        <is>
          <t>Bank 银行</t>
        </is>
      </c>
      <c r="B2851" s="5">
        <f>IF(AND('Daily Sale entry '!Z1351="Online collection 网上收款",'Daily Sale entry '!AA1351&lt;&gt;""),'Daily Sale entry '!X1351,"")</f>
        <v/>
      </c>
      <c r="C2851">
        <f>IF(B2851="","",'Daily Sale entry '!AA1351)</f>
        <v/>
      </c>
      <c r="D2851">
        <f>IF(C2851="","",0)</f>
        <v/>
      </c>
      <c r="E2851">
        <f>IF(C2851="","",'Daily Sale entry '!AC1351)</f>
        <v/>
      </c>
      <c r="F2851" s="37">
        <f>IF(C2851="","",B2851+IF(E2851&gt;0,0,0.5)+ROW()/10000000)</f>
        <v/>
      </c>
      <c r="G2851">
        <f>IF(C2851="","","Collection 收款 (Online 网上)"&amp;IF('Daily Sale entry '!Y1351="",""," - "&amp;'Daily Sale entry '!Y1351))</f>
        <v/>
      </c>
      <c r="H2851">
        <f>IF(C2851="","",COUNTIFS($C$2:$C$3001,C2851,$F$2:$F$3001,"&lt;"&amp;F2851)+1)</f>
        <v/>
      </c>
      <c r="I2851">
        <f>IF(C2851="","",C2851&amp;"|"&amp;H2851)</f>
        <v/>
      </c>
      <c r="J2851" s="6">
        <f>IF(C2851="","",IF(H2851=1,SUMIFS('Opening Balance'!$F$4:$F$303,'Opening Balance'!$G$4:$G$303,C2851),INDEX($L$2:$L$3001,MATCH(C2851&amp;"|"&amp;(H2851-1),$I$2:$I$3001,0))))</f>
        <v/>
      </c>
      <c r="K2851" s="6">
        <f>IF(C2851="","",IF(M2851&gt;0,M2851,IF(AND(E2851&gt;0,ROUND(J2851+D2851-E2851,2)&gt;0,ROUND(J2851+D2851-E2851,2)&lt;'Opening Balance'!$B$14),ROUND(J2851+D2851-E2851,2),0)))</f>
        <v/>
      </c>
      <c r="L2851" s="6">
        <f>IF(C2851="","",ROUND(J2851+D2851-E2851-K2851,2))</f>
        <v/>
      </c>
      <c r="M2851" s="6">
        <f>IF(C2851="","",0)</f>
        <v/>
      </c>
    </row>
    <row r="2852">
      <c r="A2852" t="inlineStr">
        <is>
          <t>Bank 银行</t>
        </is>
      </c>
      <c r="B2852" s="5">
        <f>IF(AND('Daily Sale entry '!Z1352="Online collection 网上收款",'Daily Sale entry '!AA1352&lt;&gt;""),'Daily Sale entry '!X1352,"")</f>
        <v/>
      </c>
      <c r="C2852">
        <f>IF(B2852="","",'Daily Sale entry '!AA1352)</f>
        <v/>
      </c>
      <c r="D2852">
        <f>IF(C2852="","",0)</f>
        <v/>
      </c>
      <c r="E2852">
        <f>IF(C2852="","",'Daily Sale entry '!AC1352)</f>
        <v/>
      </c>
      <c r="F2852" s="37">
        <f>IF(C2852="","",B2852+IF(E2852&gt;0,0,0.5)+ROW()/10000000)</f>
        <v/>
      </c>
      <c r="G2852">
        <f>IF(C2852="","","Collection 收款 (Online 网上)"&amp;IF('Daily Sale entry '!Y1352="",""," - "&amp;'Daily Sale entry '!Y1352))</f>
        <v/>
      </c>
      <c r="H2852">
        <f>IF(C2852="","",COUNTIFS($C$2:$C$3001,C2852,$F$2:$F$3001,"&lt;"&amp;F2852)+1)</f>
        <v/>
      </c>
      <c r="I2852">
        <f>IF(C2852="","",C2852&amp;"|"&amp;H2852)</f>
        <v/>
      </c>
      <c r="J2852" s="6">
        <f>IF(C2852="","",IF(H2852=1,SUMIFS('Opening Balance'!$F$4:$F$303,'Opening Balance'!$G$4:$G$303,C2852),INDEX($L$2:$L$3001,MATCH(C2852&amp;"|"&amp;(H2852-1),$I$2:$I$3001,0))))</f>
        <v/>
      </c>
      <c r="K2852" s="6">
        <f>IF(C2852="","",IF(M2852&gt;0,M2852,IF(AND(E2852&gt;0,ROUND(J2852+D2852-E2852,2)&gt;0,ROUND(J2852+D2852-E2852,2)&lt;'Opening Balance'!$B$14),ROUND(J2852+D2852-E2852,2),0)))</f>
        <v/>
      </c>
      <c r="L2852" s="6">
        <f>IF(C2852="","",ROUND(J2852+D2852-E2852-K2852,2))</f>
        <v/>
      </c>
      <c r="M2852" s="6">
        <f>IF(C2852="","",0)</f>
        <v/>
      </c>
    </row>
    <row r="2853">
      <c r="A2853" t="inlineStr">
        <is>
          <t>Bank 银行</t>
        </is>
      </c>
      <c r="B2853" s="5">
        <f>IF(AND('Daily Sale entry '!Z1353="Online collection 网上收款",'Daily Sale entry '!AA1353&lt;&gt;""),'Daily Sale entry '!X1353,"")</f>
        <v/>
      </c>
      <c r="C2853">
        <f>IF(B2853="","",'Daily Sale entry '!AA1353)</f>
        <v/>
      </c>
      <c r="D2853">
        <f>IF(C2853="","",0)</f>
        <v/>
      </c>
      <c r="E2853">
        <f>IF(C2853="","",'Daily Sale entry '!AC1353)</f>
        <v/>
      </c>
      <c r="F2853" s="37">
        <f>IF(C2853="","",B2853+IF(E2853&gt;0,0,0.5)+ROW()/10000000)</f>
        <v/>
      </c>
      <c r="G2853">
        <f>IF(C2853="","","Collection 收款 (Online 网上)"&amp;IF('Daily Sale entry '!Y1353="",""," - "&amp;'Daily Sale entry '!Y1353))</f>
        <v/>
      </c>
      <c r="H2853">
        <f>IF(C2853="","",COUNTIFS($C$2:$C$3001,C2853,$F$2:$F$3001,"&lt;"&amp;F2853)+1)</f>
        <v/>
      </c>
      <c r="I2853">
        <f>IF(C2853="","",C2853&amp;"|"&amp;H2853)</f>
        <v/>
      </c>
      <c r="J2853" s="6">
        <f>IF(C2853="","",IF(H2853=1,SUMIFS('Opening Balance'!$F$4:$F$303,'Opening Balance'!$G$4:$G$303,C2853),INDEX($L$2:$L$3001,MATCH(C2853&amp;"|"&amp;(H2853-1),$I$2:$I$3001,0))))</f>
        <v/>
      </c>
      <c r="K2853" s="6">
        <f>IF(C2853="","",IF(M2853&gt;0,M2853,IF(AND(E2853&gt;0,ROUND(J2853+D2853-E2853,2)&gt;0,ROUND(J2853+D2853-E2853,2)&lt;'Opening Balance'!$B$14),ROUND(J2853+D2853-E2853,2),0)))</f>
        <v/>
      </c>
      <c r="L2853" s="6">
        <f>IF(C2853="","",ROUND(J2853+D2853-E2853-K2853,2))</f>
        <v/>
      </c>
      <c r="M2853" s="6">
        <f>IF(C2853="","",0)</f>
        <v/>
      </c>
    </row>
    <row r="2854">
      <c r="A2854" t="inlineStr">
        <is>
          <t>Bank 银行</t>
        </is>
      </c>
      <c r="B2854" s="5">
        <f>IF(AND('Daily Sale entry '!Z1354="Online collection 网上收款",'Daily Sale entry '!AA1354&lt;&gt;""),'Daily Sale entry '!X1354,"")</f>
        <v/>
      </c>
      <c r="C2854">
        <f>IF(B2854="","",'Daily Sale entry '!AA1354)</f>
        <v/>
      </c>
      <c r="D2854">
        <f>IF(C2854="","",0)</f>
        <v/>
      </c>
      <c r="E2854">
        <f>IF(C2854="","",'Daily Sale entry '!AC1354)</f>
        <v/>
      </c>
      <c r="F2854" s="37">
        <f>IF(C2854="","",B2854+IF(E2854&gt;0,0,0.5)+ROW()/10000000)</f>
        <v/>
      </c>
      <c r="G2854">
        <f>IF(C2854="","","Collection 收款 (Online 网上)"&amp;IF('Daily Sale entry '!Y1354="",""," - "&amp;'Daily Sale entry '!Y1354))</f>
        <v/>
      </c>
      <c r="H2854">
        <f>IF(C2854="","",COUNTIFS($C$2:$C$3001,C2854,$F$2:$F$3001,"&lt;"&amp;F2854)+1)</f>
        <v/>
      </c>
      <c r="I2854">
        <f>IF(C2854="","",C2854&amp;"|"&amp;H2854)</f>
        <v/>
      </c>
      <c r="J2854" s="6">
        <f>IF(C2854="","",IF(H2854=1,SUMIFS('Opening Balance'!$F$4:$F$303,'Opening Balance'!$G$4:$G$303,C2854),INDEX($L$2:$L$3001,MATCH(C2854&amp;"|"&amp;(H2854-1),$I$2:$I$3001,0))))</f>
        <v/>
      </c>
      <c r="K2854" s="6">
        <f>IF(C2854="","",IF(M2854&gt;0,M2854,IF(AND(E2854&gt;0,ROUND(J2854+D2854-E2854,2)&gt;0,ROUND(J2854+D2854-E2854,2)&lt;'Opening Balance'!$B$14),ROUND(J2854+D2854-E2854,2),0)))</f>
        <v/>
      </c>
      <c r="L2854" s="6">
        <f>IF(C2854="","",ROUND(J2854+D2854-E2854-K2854,2))</f>
        <v/>
      </c>
      <c r="M2854" s="6">
        <f>IF(C2854="","",0)</f>
        <v/>
      </c>
    </row>
    <row r="2855">
      <c r="A2855" t="inlineStr">
        <is>
          <t>Bank 银行</t>
        </is>
      </c>
      <c r="B2855" s="5">
        <f>IF(AND('Daily Sale entry '!Z1355="Online collection 网上收款",'Daily Sale entry '!AA1355&lt;&gt;""),'Daily Sale entry '!X1355,"")</f>
        <v/>
      </c>
      <c r="C2855">
        <f>IF(B2855="","",'Daily Sale entry '!AA1355)</f>
        <v/>
      </c>
      <c r="D2855">
        <f>IF(C2855="","",0)</f>
        <v/>
      </c>
      <c r="E2855">
        <f>IF(C2855="","",'Daily Sale entry '!AC1355)</f>
        <v/>
      </c>
      <c r="F2855" s="37">
        <f>IF(C2855="","",B2855+IF(E2855&gt;0,0,0.5)+ROW()/10000000)</f>
        <v/>
      </c>
      <c r="G2855">
        <f>IF(C2855="","","Collection 收款 (Online 网上)"&amp;IF('Daily Sale entry '!Y1355="",""," - "&amp;'Daily Sale entry '!Y1355))</f>
        <v/>
      </c>
      <c r="H2855">
        <f>IF(C2855="","",COUNTIFS($C$2:$C$3001,C2855,$F$2:$F$3001,"&lt;"&amp;F2855)+1)</f>
        <v/>
      </c>
      <c r="I2855">
        <f>IF(C2855="","",C2855&amp;"|"&amp;H2855)</f>
        <v/>
      </c>
      <c r="J2855" s="6">
        <f>IF(C2855="","",IF(H2855=1,SUMIFS('Opening Balance'!$F$4:$F$303,'Opening Balance'!$G$4:$G$303,C2855),INDEX($L$2:$L$3001,MATCH(C2855&amp;"|"&amp;(H2855-1),$I$2:$I$3001,0))))</f>
        <v/>
      </c>
      <c r="K2855" s="6">
        <f>IF(C2855="","",IF(M2855&gt;0,M2855,IF(AND(E2855&gt;0,ROUND(J2855+D2855-E2855,2)&gt;0,ROUND(J2855+D2855-E2855,2)&lt;'Opening Balance'!$B$14),ROUND(J2855+D2855-E2855,2),0)))</f>
        <v/>
      </c>
      <c r="L2855" s="6">
        <f>IF(C2855="","",ROUND(J2855+D2855-E2855-K2855,2))</f>
        <v/>
      </c>
      <c r="M2855" s="6">
        <f>IF(C2855="","",0)</f>
        <v/>
      </c>
    </row>
    <row r="2856">
      <c r="A2856" t="inlineStr">
        <is>
          <t>Bank 银行</t>
        </is>
      </c>
      <c r="B2856" s="5">
        <f>IF(AND('Daily Sale entry '!Z1356="Online collection 网上收款",'Daily Sale entry '!AA1356&lt;&gt;""),'Daily Sale entry '!X1356,"")</f>
        <v/>
      </c>
      <c r="C2856">
        <f>IF(B2856="","",'Daily Sale entry '!AA1356)</f>
        <v/>
      </c>
      <c r="D2856">
        <f>IF(C2856="","",0)</f>
        <v/>
      </c>
      <c r="E2856">
        <f>IF(C2856="","",'Daily Sale entry '!AC1356)</f>
        <v/>
      </c>
      <c r="F2856" s="37">
        <f>IF(C2856="","",B2856+IF(E2856&gt;0,0,0.5)+ROW()/10000000)</f>
        <v/>
      </c>
      <c r="G2856">
        <f>IF(C2856="","","Collection 收款 (Online 网上)"&amp;IF('Daily Sale entry '!Y1356="",""," - "&amp;'Daily Sale entry '!Y1356))</f>
        <v/>
      </c>
      <c r="H2856">
        <f>IF(C2856="","",COUNTIFS($C$2:$C$3001,C2856,$F$2:$F$3001,"&lt;"&amp;F2856)+1)</f>
        <v/>
      </c>
      <c r="I2856">
        <f>IF(C2856="","",C2856&amp;"|"&amp;H2856)</f>
        <v/>
      </c>
      <c r="J2856" s="6">
        <f>IF(C2856="","",IF(H2856=1,SUMIFS('Opening Balance'!$F$4:$F$303,'Opening Balance'!$G$4:$G$303,C2856),INDEX($L$2:$L$3001,MATCH(C2856&amp;"|"&amp;(H2856-1),$I$2:$I$3001,0))))</f>
        <v/>
      </c>
      <c r="K2856" s="6">
        <f>IF(C2856="","",IF(M2856&gt;0,M2856,IF(AND(E2856&gt;0,ROUND(J2856+D2856-E2856,2)&gt;0,ROUND(J2856+D2856-E2856,2)&lt;'Opening Balance'!$B$14),ROUND(J2856+D2856-E2856,2),0)))</f>
        <v/>
      </c>
      <c r="L2856" s="6">
        <f>IF(C2856="","",ROUND(J2856+D2856-E2856-K2856,2))</f>
        <v/>
      </c>
      <c r="M2856" s="6">
        <f>IF(C2856="","",0)</f>
        <v/>
      </c>
    </row>
    <row r="2857">
      <c r="A2857" t="inlineStr">
        <is>
          <t>Bank 银行</t>
        </is>
      </c>
      <c r="B2857" s="5">
        <f>IF(AND('Daily Sale entry '!Z1357="Online collection 网上收款",'Daily Sale entry '!AA1357&lt;&gt;""),'Daily Sale entry '!X1357,"")</f>
        <v/>
      </c>
      <c r="C2857">
        <f>IF(B2857="","",'Daily Sale entry '!AA1357)</f>
        <v/>
      </c>
      <c r="D2857">
        <f>IF(C2857="","",0)</f>
        <v/>
      </c>
      <c r="E2857">
        <f>IF(C2857="","",'Daily Sale entry '!AC1357)</f>
        <v/>
      </c>
      <c r="F2857" s="37">
        <f>IF(C2857="","",B2857+IF(E2857&gt;0,0,0.5)+ROW()/10000000)</f>
        <v/>
      </c>
      <c r="G2857">
        <f>IF(C2857="","","Collection 收款 (Online 网上)"&amp;IF('Daily Sale entry '!Y1357="",""," - "&amp;'Daily Sale entry '!Y1357))</f>
        <v/>
      </c>
      <c r="H2857">
        <f>IF(C2857="","",COUNTIFS($C$2:$C$3001,C2857,$F$2:$F$3001,"&lt;"&amp;F2857)+1)</f>
        <v/>
      </c>
      <c r="I2857">
        <f>IF(C2857="","",C2857&amp;"|"&amp;H2857)</f>
        <v/>
      </c>
      <c r="J2857" s="6">
        <f>IF(C2857="","",IF(H2857=1,SUMIFS('Opening Balance'!$F$4:$F$303,'Opening Balance'!$G$4:$G$303,C2857),INDEX($L$2:$L$3001,MATCH(C2857&amp;"|"&amp;(H2857-1),$I$2:$I$3001,0))))</f>
        <v/>
      </c>
      <c r="K2857" s="6">
        <f>IF(C2857="","",IF(M2857&gt;0,M2857,IF(AND(E2857&gt;0,ROUND(J2857+D2857-E2857,2)&gt;0,ROUND(J2857+D2857-E2857,2)&lt;'Opening Balance'!$B$14),ROUND(J2857+D2857-E2857,2),0)))</f>
        <v/>
      </c>
      <c r="L2857" s="6">
        <f>IF(C2857="","",ROUND(J2857+D2857-E2857-K2857,2))</f>
        <v/>
      </c>
      <c r="M2857" s="6">
        <f>IF(C2857="","",0)</f>
        <v/>
      </c>
    </row>
    <row r="2858">
      <c r="A2858" t="inlineStr">
        <is>
          <t>Bank 银行</t>
        </is>
      </c>
      <c r="B2858" s="5">
        <f>IF(AND('Daily Sale entry '!Z1358="Online collection 网上收款",'Daily Sale entry '!AA1358&lt;&gt;""),'Daily Sale entry '!X1358,"")</f>
        <v/>
      </c>
      <c r="C2858">
        <f>IF(B2858="","",'Daily Sale entry '!AA1358)</f>
        <v/>
      </c>
      <c r="D2858">
        <f>IF(C2858="","",0)</f>
        <v/>
      </c>
      <c r="E2858">
        <f>IF(C2858="","",'Daily Sale entry '!AC1358)</f>
        <v/>
      </c>
      <c r="F2858" s="37">
        <f>IF(C2858="","",B2858+IF(E2858&gt;0,0,0.5)+ROW()/10000000)</f>
        <v/>
      </c>
      <c r="G2858">
        <f>IF(C2858="","","Collection 收款 (Online 网上)"&amp;IF('Daily Sale entry '!Y1358="",""," - "&amp;'Daily Sale entry '!Y1358))</f>
        <v/>
      </c>
      <c r="H2858">
        <f>IF(C2858="","",COUNTIFS($C$2:$C$3001,C2858,$F$2:$F$3001,"&lt;"&amp;F2858)+1)</f>
        <v/>
      </c>
      <c r="I2858">
        <f>IF(C2858="","",C2858&amp;"|"&amp;H2858)</f>
        <v/>
      </c>
      <c r="J2858" s="6">
        <f>IF(C2858="","",IF(H2858=1,SUMIFS('Opening Balance'!$F$4:$F$303,'Opening Balance'!$G$4:$G$303,C2858),INDEX($L$2:$L$3001,MATCH(C2858&amp;"|"&amp;(H2858-1),$I$2:$I$3001,0))))</f>
        <v/>
      </c>
      <c r="K2858" s="6">
        <f>IF(C2858="","",IF(M2858&gt;0,M2858,IF(AND(E2858&gt;0,ROUND(J2858+D2858-E2858,2)&gt;0,ROUND(J2858+D2858-E2858,2)&lt;'Opening Balance'!$B$14),ROUND(J2858+D2858-E2858,2),0)))</f>
        <v/>
      </c>
      <c r="L2858" s="6">
        <f>IF(C2858="","",ROUND(J2858+D2858-E2858-K2858,2))</f>
        <v/>
      </c>
      <c r="M2858" s="6">
        <f>IF(C2858="","",0)</f>
        <v/>
      </c>
    </row>
    <row r="2859">
      <c r="A2859" t="inlineStr">
        <is>
          <t>Bank 银行</t>
        </is>
      </c>
      <c r="B2859" s="5">
        <f>IF(AND('Daily Sale entry '!Z1359="Online collection 网上收款",'Daily Sale entry '!AA1359&lt;&gt;""),'Daily Sale entry '!X1359,"")</f>
        <v/>
      </c>
      <c r="C2859">
        <f>IF(B2859="","",'Daily Sale entry '!AA1359)</f>
        <v/>
      </c>
      <c r="D2859">
        <f>IF(C2859="","",0)</f>
        <v/>
      </c>
      <c r="E2859">
        <f>IF(C2859="","",'Daily Sale entry '!AC1359)</f>
        <v/>
      </c>
      <c r="F2859" s="37">
        <f>IF(C2859="","",B2859+IF(E2859&gt;0,0,0.5)+ROW()/10000000)</f>
        <v/>
      </c>
      <c r="G2859">
        <f>IF(C2859="","","Collection 收款 (Online 网上)"&amp;IF('Daily Sale entry '!Y1359="",""," - "&amp;'Daily Sale entry '!Y1359))</f>
        <v/>
      </c>
      <c r="H2859">
        <f>IF(C2859="","",COUNTIFS($C$2:$C$3001,C2859,$F$2:$F$3001,"&lt;"&amp;F2859)+1)</f>
        <v/>
      </c>
      <c r="I2859">
        <f>IF(C2859="","",C2859&amp;"|"&amp;H2859)</f>
        <v/>
      </c>
      <c r="J2859" s="6">
        <f>IF(C2859="","",IF(H2859=1,SUMIFS('Opening Balance'!$F$4:$F$303,'Opening Balance'!$G$4:$G$303,C2859),INDEX($L$2:$L$3001,MATCH(C2859&amp;"|"&amp;(H2859-1),$I$2:$I$3001,0))))</f>
        <v/>
      </c>
      <c r="K2859" s="6">
        <f>IF(C2859="","",IF(M2859&gt;0,M2859,IF(AND(E2859&gt;0,ROUND(J2859+D2859-E2859,2)&gt;0,ROUND(J2859+D2859-E2859,2)&lt;'Opening Balance'!$B$14),ROUND(J2859+D2859-E2859,2),0)))</f>
        <v/>
      </c>
      <c r="L2859" s="6">
        <f>IF(C2859="","",ROUND(J2859+D2859-E2859-K2859,2))</f>
        <v/>
      </c>
      <c r="M2859" s="6">
        <f>IF(C2859="","",0)</f>
        <v/>
      </c>
    </row>
    <row r="2860">
      <c r="A2860" t="inlineStr">
        <is>
          <t>Bank 银行</t>
        </is>
      </c>
      <c r="B2860" s="5">
        <f>IF(AND('Daily Sale entry '!Z1360="Online collection 网上收款",'Daily Sale entry '!AA1360&lt;&gt;""),'Daily Sale entry '!X1360,"")</f>
        <v/>
      </c>
      <c r="C2860">
        <f>IF(B2860="","",'Daily Sale entry '!AA1360)</f>
        <v/>
      </c>
      <c r="D2860">
        <f>IF(C2860="","",0)</f>
        <v/>
      </c>
      <c r="E2860">
        <f>IF(C2860="","",'Daily Sale entry '!AC1360)</f>
        <v/>
      </c>
      <c r="F2860" s="37">
        <f>IF(C2860="","",B2860+IF(E2860&gt;0,0,0.5)+ROW()/10000000)</f>
        <v/>
      </c>
      <c r="G2860">
        <f>IF(C2860="","","Collection 收款 (Online 网上)"&amp;IF('Daily Sale entry '!Y1360="",""," - "&amp;'Daily Sale entry '!Y1360))</f>
        <v/>
      </c>
      <c r="H2860">
        <f>IF(C2860="","",COUNTIFS($C$2:$C$3001,C2860,$F$2:$F$3001,"&lt;"&amp;F2860)+1)</f>
        <v/>
      </c>
      <c r="I2860">
        <f>IF(C2860="","",C2860&amp;"|"&amp;H2860)</f>
        <v/>
      </c>
      <c r="J2860" s="6">
        <f>IF(C2860="","",IF(H2860=1,SUMIFS('Opening Balance'!$F$4:$F$303,'Opening Balance'!$G$4:$G$303,C2860),INDEX($L$2:$L$3001,MATCH(C2860&amp;"|"&amp;(H2860-1),$I$2:$I$3001,0))))</f>
        <v/>
      </c>
      <c r="K2860" s="6">
        <f>IF(C2860="","",IF(M2860&gt;0,M2860,IF(AND(E2860&gt;0,ROUND(J2860+D2860-E2860,2)&gt;0,ROUND(J2860+D2860-E2860,2)&lt;'Opening Balance'!$B$14),ROUND(J2860+D2860-E2860,2),0)))</f>
        <v/>
      </c>
      <c r="L2860" s="6">
        <f>IF(C2860="","",ROUND(J2860+D2860-E2860-K2860,2))</f>
        <v/>
      </c>
      <c r="M2860" s="6">
        <f>IF(C2860="","",0)</f>
        <v/>
      </c>
    </row>
    <row r="2861">
      <c r="A2861" t="inlineStr">
        <is>
          <t>Bank 银行</t>
        </is>
      </c>
      <c r="B2861" s="5">
        <f>IF(AND('Daily Sale entry '!Z1361="Online collection 网上收款",'Daily Sale entry '!AA1361&lt;&gt;""),'Daily Sale entry '!X1361,"")</f>
        <v/>
      </c>
      <c r="C2861">
        <f>IF(B2861="","",'Daily Sale entry '!AA1361)</f>
        <v/>
      </c>
      <c r="D2861">
        <f>IF(C2861="","",0)</f>
        <v/>
      </c>
      <c r="E2861">
        <f>IF(C2861="","",'Daily Sale entry '!AC1361)</f>
        <v/>
      </c>
      <c r="F2861" s="37">
        <f>IF(C2861="","",B2861+IF(E2861&gt;0,0,0.5)+ROW()/10000000)</f>
        <v/>
      </c>
      <c r="G2861">
        <f>IF(C2861="","","Collection 收款 (Online 网上)"&amp;IF('Daily Sale entry '!Y1361="",""," - "&amp;'Daily Sale entry '!Y1361))</f>
        <v/>
      </c>
      <c r="H2861">
        <f>IF(C2861="","",COUNTIFS($C$2:$C$3001,C2861,$F$2:$F$3001,"&lt;"&amp;F2861)+1)</f>
        <v/>
      </c>
      <c r="I2861">
        <f>IF(C2861="","",C2861&amp;"|"&amp;H2861)</f>
        <v/>
      </c>
      <c r="J2861" s="6">
        <f>IF(C2861="","",IF(H2861=1,SUMIFS('Opening Balance'!$F$4:$F$303,'Opening Balance'!$G$4:$G$303,C2861),INDEX($L$2:$L$3001,MATCH(C2861&amp;"|"&amp;(H2861-1),$I$2:$I$3001,0))))</f>
        <v/>
      </c>
      <c r="K2861" s="6">
        <f>IF(C2861="","",IF(M2861&gt;0,M2861,IF(AND(E2861&gt;0,ROUND(J2861+D2861-E2861,2)&gt;0,ROUND(J2861+D2861-E2861,2)&lt;'Opening Balance'!$B$14),ROUND(J2861+D2861-E2861,2),0)))</f>
        <v/>
      </c>
      <c r="L2861" s="6">
        <f>IF(C2861="","",ROUND(J2861+D2861-E2861-K2861,2))</f>
        <v/>
      </c>
      <c r="M2861" s="6">
        <f>IF(C2861="","",0)</f>
        <v/>
      </c>
    </row>
    <row r="2862">
      <c r="A2862" t="inlineStr">
        <is>
          <t>Bank 银行</t>
        </is>
      </c>
      <c r="B2862" s="5">
        <f>IF(AND('Daily Sale entry '!Z1362="Online collection 网上收款",'Daily Sale entry '!AA1362&lt;&gt;""),'Daily Sale entry '!X1362,"")</f>
        <v/>
      </c>
      <c r="C2862">
        <f>IF(B2862="","",'Daily Sale entry '!AA1362)</f>
        <v/>
      </c>
      <c r="D2862">
        <f>IF(C2862="","",0)</f>
        <v/>
      </c>
      <c r="E2862">
        <f>IF(C2862="","",'Daily Sale entry '!AC1362)</f>
        <v/>
      </c>
      <c r="F2862" s="37">
        <f>IF(C2862="","",B2862+IF(E2862&gt;0,0,0.5)+ROW()/10000000)</f>
        <v/>
      </c>
      <c r="G2862">
        <f>IF(C2862="","","Collection 收款 (Online 网上)"&amp;IF('Daily Sale entry '!Y1362="",""," - "&amp;'Daily Sale entry '!Y1362))</f>
        <v/>
      </c>
      <c r="H2862">
        <f>IF(C2862="","",COUNTIFS($C$2:$C$3001,C2862,$F$2:$F$3001,"&lt;"&amp;F2862)+1)</f>
        <v/>
      </c>
      <c r="I2862">
        <f>IF(C2862="","",C2862&amp;"|"&amp;H2862)</f>
        <v/>
      </c>
      <c r="J2862" s="6">
        <f>IF(C2862="","",IF(H2862=1,SUMIFS('Opening Balance'!$F$4:$F$303,'Opening Balance'!$G$4:$G$303,C2862),INDEX($L$2:$L$3001,MATCH(C2862&amp;"|"&amp;(H2862-1),$I$2:$I$3001,0))))</f>
        <v/>
      </c>
      <c r="K2862" s="6">
        <f>IF(C2862="","",IF(M2862&gt;0,M2862,IF(AND(E2862&gt;0,ROUND(J2862+D2862-E2862,2)&gt;0,ROUND(J2862+D2862-E2862,2)&lt;'Opening Balance'!$B$14),ROUND(J2862+D2862-E2862,2),0)))</f>
        <v/>
      </c>
      <c r="L2862" s="6">
        <f>IF(C2862="","",ROUND(J2862+D2862-E2862-K2862,2))</f>
        <v/>
      </c>
      <c r="M2862" s="6">
        <f>IF(C2862="","",0)</f>
        <v/>
      </c>
    </row>
    <row r="2863">
      <c r="A2863" t="inlineStr">
        <is>
          <t>Bank 银行</t>
        </is>
      </c>
      <c r="B2863" s="5">
        <f>IF(AND('Daily Sale entry '!Z1363="Online collection 网上收款",'Daily Sale entry '!AA1363&lt;&gt;""),'Daily Sale entry '!X1363,"")</f>
        <v/>
      </c>
      <c r="C2863">
        <f>IF(B2863="","",'Daily Sale entry '!AA1363)</f>
        <v/>
      </c>
      <c r="D2863">
        <f>IF(C2863="","",0)</f>
        <v/>
      </c>
      <c r="E2863">
        <f>IF(C2863="","",'Daily Sale entry '!AC1363)</f>
        <v/>
      </c>
      <c r="F2863" s="37">
        <f>IF(C2863="","",B2863+IF(E2863&gt;0,0,0.5)+ROW()/10000000)</f>
        <v/>
      </c>
      <c r="G2863">
        <f>IF(C2863="","","Collection 收款 (Online 网上)"&amp;IF('Daily Sale entry '!Y1363="",""," - "&amp;'Daily Sale entry '!Y1363))</f>
        <v/>
      </c>
      <c r="H2863">
        <f>IF(C2863="","",COUNTIFS($C$2:$C$3001,C2863,$F$2:$F$3001,"&lt;"&amp;F2863)+1)</f>
        <v/>
      </c>
      <c r="I2863">
        <f>IF(C2863="","",C2863&amp;"|"&amp;H2863)</f>
        <v/>
      </c>
      <c r="J2863" s="6">
        <f>IF(C2863="","",IF(H2863=1,SUMIFS('Opening Balance'!$F$4:$F$303,'Opening Balance'!$G$4:$G$303,C2863),INDEX($L$2:$L$3001,MATCH(C2863&amp;"|"&amp;(H2863-1),$I$2:$I$3001,0))))</f>
        <v/>
      </c>
      <c r="K2863" s="6">
        <f>IF(C2863="","",IF(M2863&gt;0,M2863,IF(AND(E2863&gt;0,ROUND(J2863+D2863-E2863,2)&gt;0,ROUND(J2863+D2863-E2863,2)&lt;'Opening Balance'!$B$14),ROUND(J2863+D2863-E2863,2),0)))</f>
        <v/>
      </c>
      <c r="L2863" s="6">
        <f>IF(C2863="","",ROUND(J2863+D2863-E2863-K2863,2))</f>
        <v/>
      </c>
      <c r="M2863" s="6">
        <f>IF(C2863="","",0)</f>
        <v/>
      </c>
    </row>
    <row r="2864">
      <c r="A2864" t="inlineStr">
        <is>
          <t>Bank 银行</t>
        </is>
      </c>
      <c r="B2864" s="5">
        <f>IF(AND('Daily Sale entry '!Z1364="Online collection 网上收款",'Daily Sale entry '!AA1364&lt;&gt;""),'Daily Sale entry '!X1364,"")</f>
        <v/>
      </c>
      <c r="C2864">
        <f>IF(B2864="","",'Daily Sale entry '!AA1364)</f>
        <v/>
      </c>
      <c r="D2864">
        <f>IF(C2864="","",0)</f>
        <v/>
      </c>
      <c r="E2864">
        <f>IF(C2864="","",'Daily Sale entry '!AC1364)</f>
        <v/>
      </c>
      <c r="F2864" s="37">
        <f>IF(C2864="","",B2864+IF(E2864&gt;0,0,0.5)+ROW()/10000000)</f>
        <v/>
      </c>
      <c r="G2864">
        <f>IF(C2864="","","Collection 收款 (Online 网上)"&amp;IF('Daily Sale entry '!Y1364="",""," - "&amp;'Daily Sale entry '!Y1364))</f>
        <v/>
      </c>
      <c r="H2864">
        <f>IF(C2864="","",COUNTIFS($C$2:$C$3001,C2864,$F$2:$F$3001,"&lt;"&amp;F2864)+1)</f>
        <v/>
      </c>
      <c r="I2864">
        <f>IF(C2864="","",C2864&amp;"|"&amp;H2864)</f>
        <v/>
      </c>
      <c r="J2864" s="6">
        <f>IF(C2864="","",IF(H2864=1,SUMIFS('Opening Balance'!$F$4:$F$303,'Opening Balance'!$G$4:$G$303,C2864),INDEX($L$2:$L$3001,MATCH(C2864&amp;"|"&amp;(H2864-1),$I$2:$I$3001,0))))</f>
        <v/>
      </c>
      <c r="K2864" s="6">
        <f>IF(C2864="","",IF(M2864&gt;0,M2864,IF(AND(E2864&gt;0,ROUND(J2864+D2864-E2864,2)&gt;0,ROUND(J2864+D2864-E2864,2)&lt;'Opening Balance'!$B$14),ROUND(J2864+D2864-E2864,2),0)))</f>
        <v/>
      </c>
      <c r="L2864" s="6">
        <f>IF(C2864="","",ROUND(J2864+D2864-E2864-K2864,2))</f>
        <v/>
      </c>
      <c r="M2864" s="6">
        <f>IF(C2864="","",0)</f>
        <v/>
      </c>
    </row>
    <row r="2865">
      <c r="A2865" t="inlineStr">
        <is>
          <t>Bank 银行</t>
        </is>
      </c>
      <c r="B2865" s="5">
        <f>IF(AND('Daily Sale entry '!Z1365="Online collection 网上收款",'Daily Sale entry '!AA1365&lt;&gt;""),'Daily Sale entry '!X1365,"")</f>
        <v/>
      </c>
      <c r="C2865">
        <f>IF(B2865="","",'Daily Sale entry '!AA1365)</f>
        <v/>
      </c>
      <c r="D2865">
        <f>IF(C2865="","",0)</f>
        <v/>
      </c>
      <c r="E2865">
        <f>IF(C2865="","",'Daily Sale entry '!AC1365)</f>
        <v/>
      </c>
      <c r="F2865" s="37">
        <f>IF(C2865="","",B2865+IF(E2865&gt;0,0,0.5)+ROW()/10000000)</f>
        <v/>
      </c>
      <c r="G2865">
        <f>IF(C2865="","","Collection 收款 (Online 网上)"&amp;IF('Daily Sale entry '!Y1365="",""," - "&amp;'Daily Sale entry '!Y1365))</f>
        <v/>
      </c>
      <c r="H2865">
        <f>IF(C2865="","",COUNTIFS($C$2:$C$3001,C2865,$F$2:$F$3001,"&lt;"&amp;F2865)+1)</f>
        <v/>
      </c>
      <c r="I2865">
        <f>IF(C2865="","",C2865&amp;"|"&amp;H2865)</f>
        <v/>
      </c>
      <c r="J2865" s="6">
        <f>IF(C2865="","",IF(H2865=1,SUMIFS('Opening Balance'!$F$4:$F$303,'Opening Balance'!$G$4:$G$303,C2865),INDEX($L$2:$L$3001,MATCH(C2865&amp;"|"&amp;(H2865-1),$I$2:$I$3001,0))))</f>
        <v/>
      </c>
      <c r="K2865" s="6">
        <f>IF(C2865="","",IF(M2865&gt;0,M2865,IF(AND(E2865&gt;0,ROUND(J2865+D2865-E2865,2)&gt;0,ROUND(J2865+D2865-E2865,2)&lt;'Opening Balance'!$B$14),ROUND(J2865+D2865-E2865,2),0)))</f>
        <v/>
      </c>
      <c r="L2865" s="6">
        <f>IF(C2865="","",ROUND(J2865+D2865-E2865-K2865,2))</f>
        <v/>
      </c>
      <c r="M2865" s="6">
        <f>IF(C2865="","",0)</f>
        <v/>
      </c>
    </row>
    <row r="2866">
      <c r="A2866" t="inlineStr">
        <is>
          <t>Bank 银行</t>
        </is>
      </c>
      <c r="B2866" s="5">
        <f>IF(AND('Daily Sale entry '!Z1366="Online collection 网上收款",'Daily Sale entry '!AA1366&lt;&gt;""),'Daily Sale entry '!X1366,"")</f>
        <v/>
      </c>
      <c r="C2866">
        <f>IF(B2866="","",'Daily Sale entry '!AA1366)</f>
        <v/>
      </c>
      <c r="D2866">
        <f>IF(C2866="","",0)</f>
        <v/>
      </c>
      <c r="E2866">
        <f>IF(C2866="","",'Daily Sale entry '!AC1366)</f>
        <v/>
      </c>
      <c r="F2866" s="37">
        <f>IF(C2866="","",B2866+IF(E2866&gt;0,0,0.5)+ROW()/10000000)</f>
        <v/>
      </c>
      <c r="G2866">
        <f>IF(C2866="","","Collection 收款 (Online 网上)"&amp;IF('Daily Sale entry '!Y1366="",""," - "&amp;'Daily Sale entry '!Y1366))</f>
        <v/>
      </c>
      <c r="H2866">
        <f>IF(C2866="","",COUNTIFS($C$2:$C$3001,C2866,$F$2:$F$3001,"&lt;"&amp;F2866)+1)</f>
        <v/>
      </c>
      <c r="I2866">
        <f>IF(C2866="","",C2866&amp;"|"&amp;H2866)</f>
        <v/>
      </c>
      <c r="J2866" s="6">
        <f>IF(C2866="","",IF(H2866=1,SUMIFS('Opening Balance'!$F$4:$F$303,'Opening Balance'!$G$4:$G$303,C2866),INDEX($L$2:$L$3001,MATCH(C2866&amp;"|"&amp;(H2866-1),$I$2:$I$3001,0))))</f>
        <v/>
      </c>
      <c r="K2866" s="6">
        <f>IF(C2866="","",IF(M2866&gt;0,M2866,IF(AND(E2866&gt;0,ROUND(J2866+D2866-E2866,2)&gt;0,ROUND(J2866+D2866-E2866,2)&lt;'Opening Balance'!$B$14),ROUND(J2866+D2866-E2866,2),0)))</f>
        <v/>
      </c>
      <c r="L2866" s="6">
        <f>IF(C2866="","",ROUND(J2866+D2866-E2866-K2866,2))</f>
        <v/>
      </c>
      <c r="M2866" s="6">
        <f>IF(C2866="","",0)</f>
        <v/>
      </c>
    </row>
    <row r="2867">
      <c r="A2867" t="inlineStr">
        <is>
          <t>Bank 银行</t>
        </is>
      </c>
      <c r="B2867" s="5">
        <f>IF(AND('Daily Sale entry '!Z1367="Online collection 网上收款",'Daily Sale entry '!AA1367&lt;&gt;""),'Daily Sale entry '!X1367,"")</f>
        <v/>
      </c>
      <c r="C2867">
        <f>IF(B2867="","",'Daily Sale entry '!AA1367)</f>
        <v/>
      </c>
      <c r="D2867">
        <f>IF(C2867="","",0)</f>
        <v/>
      </c>
      <c r="E2867">
        <f>IF(C2867="","",'Daily Sale entry '!AC1367)</f>
        <v/>
      </c>
      <c r="F2867" s="37">
        <f>IF(C2867="","",B2867+IF(E2867&gt;0,0,0.5)+ROW()/10000000)</f>
        <v/>
      </c>
      <c r="G2867">
        <f>IF(C2867="","","Collection 收款 (Online 网上)"&amp;IF('Daily Sale entry '!Y1367="",""," - "&amp;'Daily Sale entry '!Y1367))</f>
        <v/>
      </c>
      <c r="H2867">
        <f>IF(C2867="","",COUNTIFS($C$2:$C$3001,C2867,$F$2:$F$3001,"&lt;"&amp;F2867)+1)</f>
        <v/>
      </c>
      <c r="I2867">
        <f>IF(C2867="","",C2867&amp;"|"&amp;H2867)</f>
        <v/>
      </c>
      <c r="J2867" s="6">
        <f>IF(C2867="","",IF(H2867=1,SUMIFS('Opening Balance'!$F$4:$F$303,'Opening Balance'!$G$4:$G$303,C2867),INDEX($L$2:$L$3001,MATCH(C2867&amp;"|"&amp;(H2867-1),$I$2:$I$3001,0))))</f>
        <v/>
      </c>
      <c r="K2867" s="6">
        <f>IF(C2867="","",IF(M2867&gt;0,M2867,IF(AND(E2867&gt;0,ROUND(J2867+D2867-E2867,2)&gt;0,ROUND(J2867+D2867-E2867,2)&lt;'Opening Balance'!$B$14),ROUND(J2867+D2867-E2867,2),0)))</f>
        <v/>
      </c>
      <c r="L2867" s="6">
        <f>IF(C2867="","",ROUND(J2867+D2867-E2867-K2867,2))</f>
        <v/>
      </c>
      <c r="M2867" s="6">
        <f>IF(C2867="","",0)</f>
        <v/>
      </c>
    </row>
    <row r="2868">
      <c r="A2868" t="inlineStr">
        <is>
          <t>Bank 银行</t>
        </is>
      </c>
      <c r="B2868" s="5">
        <f>IF(AND('Daily Sale entry '!Z1368="Online collection 网上收款",'Daily Sale entry '!AA1368&lt;&gt;""),'Daily Sale entry '!X1368,"")</f>
        <v/>
      </c>
      <c r="C2868">
        <f>IF(B2868="","",'Daily Sale entry '!AA1368)</f>
        <v/>
      </c>
      <c r="D2868">
        <f>IF(C2868="","",0)</f>
        <v/>
      </c>
      <c r="E2868">
        <f>IF(C2868="","",'Daily Sale entry '!AC1368)</f>
        <v/>
      </c>
      <c r="F2868" s="37">
        <f>IF(C2868="","",B2868+IF(E2868&gt;0,0,0.5)+ROW()/10000000)</f>
        <v/>
      </c>
      <c r="G2868">
        <f>IF(C2868="","","Collection 收款 (Online 网上)"&amp;IF('Daily Sale entry '!Y1368="",""," - "&amp;'Daily Sale entry '!Y1368))</f>
        <v/>
      </c>
      <c r="H2868">
        <f>IF(C2868="","",COUNTIFS($C$2:$C$3001,C2868,$F$2:$F$3001,"&lt;"&amp;F2868)+1)</f>
        <v/>
      </c>
      <c r="I2868">
        <f>IF(C2868="","",C2868&amp;"|"&amp;H2868)</f>
        <v/>
      </c>
      <c r="J2868" s="6">
        <f>IF(C2868="","",IF(H2868=1,SUMIFS('Opening Balance'!$F$4:$F$303,'Opening Balance'!$G$4:$G$303,C2868),INDEX($L$2:$L$3001,MATCH(C2868&amp;"|"&amp;(H2868-1),$I$2:$I$3001,0))))</f>
        <v/>
      </c>
      <c r="K2868" s="6">
        <f>IF(C2868="","",IF(M2868&gt;0,M2868,IF(AND(E2868&gt;0,ROUND(J2868+D2868-E2868,2)&gt;0,ROUND(J2868+D2868-E2868,2)&lt;'Opening Balance'!$B$14),ROUND(J2868+D2868-E2868,2),0)))</f>
        <v/>
      </c>
      <c r="L2868" s="6">
        <f>IF(C2868="","",ROUND(J2868+D2868-E2868-K2868,2))</f>
        <v/>
      </c>
      <c r="M2868" s="6">
        <f>IF(C2868="","",0)</f>
        <v/>
      </c>
    </row>
    <row r="2869">
      <c r="A2869" t="inlineStr">
        <is>
          <t>Bank 银行</t>
        </is>
      </c>
      <c r="B2869" s="5">
        <f>IF(AND('Daily Sale entry '!Z1369="Online collection 网上收款",'Daily Sale entry '!AA1369&lt;&gt;""),'Daily Sale entry '!X1369,"")</f>
        <v/>
      </c>
      <c r="C2869">
        <f>IF(B2869="","",'Daily Sale entry '!AA1369)</f>
        <v/>
      </c>
      <c r="D2869">
        <f>IF(C2869="","",0)</f>
        <v/>
      </c>
      <c r="E2869">
        <f>IF(C2869="","",'Daily Sale entry '!AC1369)</f>
        <v/>
      </c>
      <c r="F2869" s="37">
        <f>IF(C2869="","",B2869+IF(E2869&gt;0,0,0.5)+ROW()/10000000)</f>
        <v/>
      </c>
      <c r="G2869">
        <f>IF(C2869="","","Collection 收款 (Online 网上)"&amp;IF('Daily Sale entry '!Y1369="",""," - "&amp;'Daily Sale entry '!Y1369))</f>
        <v/>
      </c>
      <c r="H2869">
        <f>IF(C2869="","",COUNTIFS($C$2:$C$3001,C2869,$F$2:$F$3001,"&lt;"&amp;F2869)+1)</f>
        <v/>
      </c>
      <c r="I2869">
        <f>IF(C2869="","",C2869&amp;"|"&amp;H2869)</f>
        <v/>
      </c>
      <c r="J2869" s="6">
        <f>IF(C2869="","",IF(H2869=1,SUMIFS('Opening Balance'!$F$4:$F$303,'Opening Balance'!$G$4:$G$303,C2869),INDEX($L$2:$L$3001,MATCH(C2869&amp;"|"&amp;(H2869-1),$I$2:$I$3001,0))))</f>
        <v/>
      </c>
      <c r="K2869" s="6">
        <f>IF(C2869="","",IF(M2869&gt;0,M2869,IF(AND(E2869&gt;0,ROUND(J2869+D2869-E2869,2)&gt;0,ROUND(J2869+D2869-E2869,2)&lt;'Opening Balance'!$B$14),ROUND(J2869+D2869-E2869,2),0)))</f>
        <v/>
      </c>
      <c r="L2869" s="6">
        <f>IF(C2869="","",ROUND(J2869+D2869-E2869-K2869,2))</f>
        <v/>
      </c>
      <c r="M2869" s="6">
        <f>IF(C2869="","",0)</f>
        <v/>
      </c>
    </row>
    <row r="2870">
      <c r="A2870" t="inlineStr">
        <is>
          <t>Bank 银行</t>
        </is>
      </c>
      <c r="B2870" s="5">
        <f>IF(AND('Daily Sale entry '!Z1370="Online collection 网上收款",'Daily Sale entry '!AA1370&lt;&gt;""),'Daily Sale entry '!X1370,"")</f>
        <v/>
      </c>
      <c r="C2870">
        <f>IF(B2870="","",'Daily Sale entry '!AA1370)</f>
        <v/>
      </c>
      <c r="D2870">
        <f>IF(C2870="","",0)</f>
        <v/>
      </c>
      <c r="E2870">
        <f>IF(C2870="","",'Daily Sale entry '!AC1370)</f>
        <v/>
      </c>
      <c r="F2870" s="37">
        <f>IF(C2870="","",B2870+IF(E2870&gt;0,0,0.5)+ROW()/10000000)</f>
        <v/>
      </c>
      <c r="G2870">
        <f>IF(C2870="","","Collection 收款 (Online 网上)"&amp;IF('Daily Sale entry '!Y1370="",""," - "&amp;'Daily Sale entry '!Y1370))</f>
        <v/>
      </c>
      <c r="H2870">
        <f>IF(C2870="","",COUNTIFS($C$2:$C$3001,C2870,$F$2:$F$3001,"&lt;"&amp;F2870)+1)</f>
        <v/>
      </c>
      <c r="I2870">
        <f>IF(C2870="","",C2870&amp;"|"&amp;H2870)</f>
        <v/>
      </c>
      <c r="J2870" s="6">
        <f>IF(C2870="","",IF(H2870=1,SUMIFS('Opening Balance'!$F$4:$F$303,'Opening Balance'!$G$4:$G$303,C2870),INDEX($L$2:$L$3001,MATCH(C2870&amp;"|"&amp;(H2870-1),$I$2:$I$3001,0))))</f>
        <v/>
      </c>
      <c r="K2870" s="6">
        <f>IF(C2870="","",IF(M2870&gt;0,M2870,IF(AND(E2870&gt;0,ROUND(J2870+D2870-E2870,2)&gt;0,ROUND(J2870+D2870-E2870,2)&lt;'Opening Balance'!$B$14),ROUND(J2870+D2870-E2870,2),0)))</f>
        <v/>
      </c>
      <c r="L2870" s="6">
        <f>IF(C2870="","",ROUND(J2870+D2870-E2870-K2870,2))</f>
        <v/>
      </c>
      <c r="M2870" s="6">
        <f>IF(C2870="","",0)</f>
        <v/>
      </c>
    </row>
    <row r="2871">
      <c r="A2871" t="inlineStr">
        <is>
          <t>Bank 银行</t>
        </is>
      </c>
      <c r="B2871" s="5">
        <f>IF(AND('Daily Sale entry '!Z1371="Online collection 网上收款",'Daily Sale entry '!AA1371&lt;&gt;""),'Daily Sale entry '!X1371,"")</f>
        <v/>
      </c>
      <c r="C2871">
        <f>IF(B2871="","",'Daily Sale entry '!AA1371)</f>
        <v/>
      </c>
      <c r="D2871">
        <f>IF(C2871="","",0)</f>
        <v/>
      </c>
      <c r="E2871">
        <f>IF(C2871="","",'Daily Sale entry '!AC1371)</f>
        <v/>
      </c>
      <c r="F2871" s="37">
        <f>IF(C2871="","",B2871+IF(E2871&gt;0,0,0.5)+ROW()/10000000)</f>
        <v/>
      </c>
      <c r="G2871">
        <f>IF(C2871="","","Collection 收款 (Online 网上)"&amp;IF('Daily Sale entry '!Y1371="",""," - "&amp;'Daily Sale entry '!Y1371))</f>
        <v/>
      </c>
      <c r="H2871">
        <f>IF(C2871="","",COUNTIFS($C$2:$C$3001,C2871,$F$2:$F$3001,"&lt;"&amp;F2871)+1)</f>
        <v/>
      </c>
      <c r="I2871">
        <f>IF(C2871="","",C2871&amp;"|"&amp;H2871)</f>
        <v/>
      </c>
      <c r="J2871" s="6">
        <f>IF(C2871="","",IF(H2871=1,SUMIFS('Opening Balance'!$F$4:$F$303,'Opening Balance'!$G$4:$G$303,C2871),INDEX($L$2:$L$3001,MATCH(C2871&amp;"|"&amp;(H2871-1),$I$2:$I$3001,0))))</f>
        <v/>
      </c>
      <c r="K2871" s="6">
        <f>IF(C2871="","",IF(M2871&gt;0,M2871,IF(AND(E2871&gt;0,ROUND(J2871+D2871-E2871,2)&gt;0,ROUND(J2871+D2871-E2871,2)&lt;'Opening Balance'!$B$14),ROUND(J2871+D2871-E2871,2),0)))</f>
        <v/>
      </c>
      <c r="L2871" s="6">
        <f>IF(C2871="","",ROUND(J2871+D2871-E2871-K2871,2))</f>
        <v/>
      </c>
      <c r="M2871" s="6">
        <f>IF(C2871="","",0)</f>
        <v/>
      </c>
    </row>
    <row r="2872">
      <c r="A2872" t="inlineStr">
        <is>
          <t>Bank 银行</t>
        </is>
      </c>
      <c r="B2872" s="5">
        <f>IF(AND('Daily Sale entry '!Z1372="Online collection 网上收款",'Daily Sale entry '!AA1372&lt;&gt;""),'Daily Sale entry '!X1372,"")</f>
        <v/>
      </c>
      <c r="C2872">
        <f>IF(B2872="","",'Daily Sale entry '!AA1372)</f>
        <v/>
      </c>
      <c r="D2872">
        <f>IF(C2872="","",0)</f>
        <v/>
      </c>
      <c r="E2872">
        <f>IF(C2872="","",'Daily Sale entry '!AC1372)</f>
        <v/>
      </c>
      <c r="F2872" s="37">
        <f>IF(C2872="","",B2872+IF(E2872&gt;0,0,0.5)+ROW()/10000000)</f>
        <v/>
      </c>
      <c r="G2872">
        <f>IF(C2872="","","Collection 收款 (Online 网上)"&amp;IF('Daily Sale entry '!Y1372="",""," - "&amp;'Daily Sale entry '!Y1372))</f>
        <v/>
      </c>
      <c r="H2872">
        <f>IF(C2872="","",COUNTIFS($C$2:$C$3001,C2872,$F$2:$F$3001,"&lt;"&amp;F2872)+1)</f>
        <v/>
      </c>
      <c r="I2872">
        <f>IF(C2872="","",C2872&amp;"|"&amp;H2872)</f>
        <v/>
      </c>
      <c r="J2872" s="6">
        <f>IF(C2872="","",IF(H2872=1,SUMIFS('Opening Balance'!$F$4:$F$303,'Opening Balance'!$G$4:$G$303,C2872),INDEX($L$2:$L$3001,MATCH(C2872&amp;"|"&amp;(H2872-1),$I$2:$I$3001,0))))</f>
        <v/>
      </c>
      <c r="K2872" s="6">
        <f>IF(C2872="","",IF(M2872&gt;0,M2872,IF(AND(E2872&gt;0,ROUND(J2872+D2872-E2872,2)&gt;0,ROUND(J2872+D2872-E2872,2)&lt;'Opening Balance'!$B$14),ROUND(J2872+D2872-E2872,2),0)))</f>
        <v/>
      </c>
      <c r="L2872" s="6">
        <f>IF(C2872="","",ROUND(J2872+D2872-E2872-K2872,2))</f>
        <v/>
      </c>
      <c r="M2872" s="6">
        <f>IF(C2872="","",0)</f>
        <v/>
      </c>
    </row>
    <row r="2873">
      <c r="A2873" t="inlineStr">
        <is>
          <t>Bank 银行</t>
        </is>
      </c>
      <c r="B2873" s="5">
        <f>IF(AND('Daily Sale entry '!Z1373="Online collection 网上收款",'Daily Sale entry '!AA1373&lt;&gt;""),'Daily Sale entry '!X1373,"")</f>
        <v/>
      </c>
      <c r="C2873">
        <f>IF(B2873="","",'Daily Sale entry '!AA1373)</f>
        <v/>
      </c>
      <c r="D2873">
        <f>IF(C2873="","",0)</f>
        <v/>
      </c>
      <c r="E2873">
        <f>IF(C2873="","",'Daily Sale entry '!AC1373)</f>
        <v/>
      </c>
      <c r="F2873" s="37">
        <f>IF(C2873="","",B2873+IF(E2873&gt;0,0,0.5)+ROW()/10000000)</f>
        <v/>
      </c>
      <c r="G2873">
        <f>IF(C2873="","","Collection 收款 (Online 网上)"&amp;IF('Daily Sale entry '!Y1373="",""," - "&amp;'Daily Sale entry '!Y1373))</f>
        <v/>
      </c>
      <c r="H2873">
        <f>IF(C2873="","",COUNTIFS($C$2:$C$3001,C2873,$F$2:$F$3001,"&lt;"&amp;F2873)+1)</f>
        <v/>
      </c>
      <c r="I2873">
        <f>IF(C2873="","",C2873&amp;"|"&amp;H2873)</f>
        <v/>
      </c>
      <c r="J2873" s="6">
        <f>IF(C2873="","",IF(H2873=1,SUMIFS('Opening Balance'!$F$4:$F$303,'Opening Balance'!$G$4:$G$303,C2873),INDEX($L$2:$L$3001,MATCH(C2873&amp;"|"&amp;(H2873-1),$I$2:$I$3001,0))))</f>
        <v/>
      </c>
      <c r="K2873" s="6">
        <f>IF(C2873="","",IF(M2873&gt;0,M2873,IF(AND(E2873&gt;0,ROUND(J2873+D2873-E2873,2)&gt;0,ROUND(J2873+D2873-E2873,2)&lt;'Opening Balance'!$B$14),ROUND(J2873+D2873-E2873,2),0)))</f>
        <v/>
      </c>
      <c r="L2873" s="6">
        <f>IF(C2873="","",ROUND(J2873+D2873-E2873-K2873,2))</f>
        <v/>
      </c>
      <c r="M2873" s="6">
        <f>IF(C2873="","",0)</f>
        <v/>
      </c>
    </row>
    <row r="2874">
      <c r="A2874" t="inlineStr">
        <is>
          <t>Bank 银行</t>
        </is>
      </c>
      <c r="B2874" s="5">
        <f>IF(AND('Daily Sale entry '!Z1374="Online collection 网上收款",'Daily Sale entry '!AA1374&lt;&gt;""),'Daily Sale entry '!X1374,"")</f>
        <v/>
      </c>
      <c r="C2874">
        <f>IF(B2874="","",'Daily Sale entry '!AA1374)</f>
        <v/>
      </c>
      <c r="D2874">
        <f>IF(C2874="","",0)</f>
        <v/>
      </c>
      <c r="E2874">
        <f>IF(C2874="","",'Daily Sale entry '!AC1374)</f>
        <v/>
      </c>
      <c r="F2874" s="37">
        <f>IF(C2874="","",B2874+IF(E2874&gt;0,0,0.5)+ROW()/10000000)</f>
        <v/>
      </c>
      <c r="G2874">
        <f>IF(C2874="","","Collection 收款 (Online 网上)"&amp;IF('Daily Sale entry '!Y1374="",""," - "&amp;'Daily Sale entry '!Y1374))</f>
        <v/>
      </c>
      <c r="H2874">
        <f>IF(C2874="","",COUNTIFS($C$2:$C$3001,C2874,$F$2:$F$3001,"&lt;"&amp;F2874)+1)</f>
        <v/>
      </c>
      <c r="I2874">
        <f>IF(C2874="","",C2874&amp;"|"&amp;H2874)</f>
        <v/>
      </c>
      <c r="J2874" s="6">
        <f>IF(C2874="","",IF(H2874=1,SUMIFS('Opening Balance'!$F$4:$F$303,'Opening Balance'!$G$4:$G$303,C2874),INDEX($L$2:$L$3001,MATCH(C2874&amp;"|"&amp;(H2874-1),$I$2:$I$3001,0))))</f>
        <v/>
      </c>
      <c r="K2874" s="6">
        <f>IF(C2874="","",IF(M2874&gt;0,M2874,IF(AND(E2874&gt;0,ROUND(J2874+D2874-E2874,2)&gt;0,ROUND(J2874+D2874-E2874,2)&lt;'Opening Balance'!$B$14),ROUND(J2874+D2874-E2874,2),0)))</f>
        <v/>
      </c>
      <c r="L2874" s="6">
        <f>IF(C2874="","",ROUND(J2874+D2874-E2874-K2874,2))</f>
        <v/>
      </c>
      <c r="M2874" s="6">
        <f>IF(C2874="","",0)</f>
        <v/>
      </c>
    </row>
    <row r="2875">
      <c r="A2875" t="inlineStr">
        <is>
          <t>Bank 银行</t>
        </is>
      </c>
      <c r="B2875" s="5">
        <f>IF(AND('Daily Sale entry '!Z1375="Online collection 网上收款",'Daily Sale entry '!AA1375&lt;&gt;""),'Daily Sale entry '!X1375,"")</f>
        <v/>
      </c>
      <c r="C2875">
        <f>IF(B2875="","",'Daily Sale entry '!AA1375)</f>
        <v/>
      </c>
      <c r="D2875">
        <f>IF(C2875="","",0)</f>
        <v/>
      </c>
      <c r="E2875">
        <f>IF(C2875="","",'Daily Sale entry '!AC1375)</f>
        <v/>
      </c>
      <c r="F2875" s="37">
        <f>IF(C2875="","",B2875+IF(E2875&gt;0,0,0.5)+ROW()/10000000)</f>
        <v/>
      </c>
      <c r="G2875">
        <f>IF(C2875="","","Collection 收款 (Online 网上)"&amp;IF('Daily Sale entry '!Y1375="",""," - "&amp;'Daily Sale entry '!Y1375))</f>
        <v/>
      </c>
      <c r="H2875">
        <f>IF(C2875="","",COUNTIFS($C$2:$C$3001,C2875,$F$2:$F$3001,"&lt;"&amp;F2875)+1)</f>
        <v/>
      </c>
      <c r="I2875">
        <f>IF(C2875="","",C2875&amp;"|"&amp;H2875)</f>
        <v/>
      </c>
      <c r="J2875" s="6">
        <f>IF(C2875="","",IF(H2875=1,SUMIFS('Opening Balance'!$F$4:$F$303,'Opening Balance'!$G$4:$G$303,C2875),INDEX($L$2:$L$3001,MATCH(C2875&amp;"|"&amp;(H2875-1),$I$2:$I$3001,0))))</f>
        <v/>
      </c>
      <c r="K2875" s="6">
        <f>IF(C2875="","",IF(M2875&gt;0,M2875,IF(AND(E2875&gt;0,ROUND(J2875+D2875-E2875,2)&gt;0,ROUND(J2875+D2875-E2875,2)&lt;'Opening Balance'!$B$14),ROUND(J2875+D2875-E2875,2),0)))</f>
        <v/>
      </c>
      <c r="L2875" s="6">
        <f>IF(C2875="","",ROUND(J2875+D2875-E2875-K2875,2))</f>
        <v/>
      </c>
      <c r="M2875" s="6">
        <f>IF(C2875="","",0)</f>
        <v/>
      </c>
    </row>
    <row r="2876">
      <c r="A2876" t="inlineStr">
        <is>
          <t>Bank 银行</t>
        </is>
      </c>
      <c r="B2876" s="5">
        <f>IF(AND('Daily Sale entry '!Z1376="Online collection 网上收款",'Daily Sale entry '!AA1376&lt;&gt;""),'Daily Sale entry '!X1376,"")</f>
        <v/>
      </c>
      <c r="C2876">
        <f>IF(B2876="","",'Daily Sale entry '!AA1376)</f>
        <v/>
      </c>
      <c r="D2876">
        <f>IF(C2876="","",0)</f>
        <v/>
      </c>
      <c r="E2876">
        <f>IF(C2876="","",'Daily Sale entry '!AC1376)</f>
        <v/>
      </c>
      <c r="F2876" s="37">
        <f>IF(C2876="","",B2876+IF(E2876&gt;0,0,0.5)+ROW()/10000000)</f>
        <v/>
      </c>
      <c r="G2876">
        <f>IF(C2876="","","Collection 收款 (Online 网上)"&amp;IF('Daily Sale entry '!Y1376="",""," - "&amp;'Daily Sale entry '!Y1376))</f>
        <v/>
      </c>
      <c r="H2876">
        <f>IF(C2876="","",COUNTIFS($C$2:$C$3001,C2876,$F$2:$F$3001,"&lt;"&amp;F2876)+1)</f>
        <v/>
      </c>
      <c r="I2876">
        <f>IF(C2876="","",C2876&amp;"|"&amp;H2876)</f>
        <v/>
      </c>
      <c r="J2876" s="6">
        <f>IF(C2876="","",IF(H2876=1,SUMIFS('Opening Balance'!$F$4:$F$303,'Opening Balance'!$G$4:$G$303,C2876),INDEX($L$2:$L$3001,MATCH(C2876&amp;"|"&amp;(H2876-1),$I$2:$I$3001,0))))</f>
        <v/>
      </c>
      <c r="K2876" s="6">
        <f>IF(C2876="","",IF(M2876&gt;0,M2876,IF(AND(E2876&gt;0,ROUND(J2876+D2876-E2876,2)&gt;0,ROUND(J2876+D2876-E2876,2)&lt;'Opening Balance'!$B$14),ROUND(J2876+D2876-E2876,2),0)))</f>
        <v/>
      </c>
      <c r="L2876" s="6">
        <f>IF(C2876="","",ROUND(J2876+D2876-E2876-K2876,2))</f>
        <v/>
      </c>
      <c r="M2876" s="6">
        <f>IF(C2876="","",0)</f>
        <v/>
      </c>
    </row>
    <row r="2877">
      <c r="A2877" t="inlineStr">
        <is>
          <t>Bank 银行</t>
        </is>
      </c>
      <c r="B2877" s="5">
        <f>IF(AND('Daily Sale entry '!Z1377="Online collection 网上收款",'Daily Sale entry '!AA1377&lt;&gt;""),'Daily Sale entry '!X1377,"")</f>
        <v/>
      </c>
      <c r="C2877">
        <f>IF(B2877="","",'Daily Sale entry '!AA1377)</f>
        <v/>
      </c>
      <c r="D2877">
        <f>IF(C2877="","",0)</f>
        <v/>
      </c>
      <c r="E2877">
        <f>IF(C2877="","",'Daily Sale entry '!AC1377)</f>
        <v/>
      </c>
      <c r="F2877" s="37">
        <f>IF(C2877="","",B2877+IF(E2877&gt;0,0,0.5)+ROW()/10000000)</f>
        <v/>
      </c>
      <c r="G2877">
        <f>IF(C2877="","","Collection 收款 (Online 网上)"&amp;IF('Daily Sale entry '!Y1377="",""," - "&amp;'Daily Sale entry '!Y1377))</f>
        <v/>
      </c>
      <c r="H2877">
        <f>IF(C2877="","",COUNTIFS($C$2:$C$3001,C2877,$F$2:$F$3001,"&lt;"&amp;F2877)+1)</f>
        <v/>
      </c>
      <c r="I2877">
        <f>IF(C2877="","",C2877&amp;"|"&amp;H2877)</f>
        <v/>
      </c>
      <c r="J2877" s="6">
        <f>IF(C2877="","",IF(H2877=1,SUMIFS('Opening Balance'!$F$4:$F$303,'Opening Balance'!$G$4:$G$303,C2877),INDEX($L$2:$L$3001,MATCH(C2877&amp;"|"&amp;(H2877-1),$I$2:$I$3001,0))))</f>
        <v/>
      </c>
      <c r="K2877" s="6">
        <f>IF(C2877="","",IF(M2877&gt;0,M2877,IF(AND(E2877&gt;0,ROUND(J2877+D2877-E2877,2)&gt;0,ROUND(J2877+D2877-E2877,2)&lt;'Opening Balance'!$B$14),ROUND(J2877+D2877-E2877,2),0)))</f>
        <v/>
      </c>
      <c r="L2877" s="6">
        <f>IF(C2877="","",ROUND(J2877+D2877-E2877-K2877,2))</f>
        <v/>
      </c>
      <c r="M2877" s="6">
        <f>IF(C2877="","",0)</f>
        <v/>
      </c>
    </row>
    <row r="2878">
      <c r="A2878" t="inlineStr">
        <is>
          <t>Bank 银行</t>
        </is>
      </c>
      <c r="B2878" s="5">
        <f>IF(AND('Daily Sale entry '!Z1378="Online collection 网上收款",'Daily Sale entry '!AA1378&lt;&gt;""),'Daily Sale entry '!X1378,"")</f>
        <v/>
      </c>
      <c r="C2878">
        <f>IF(B2878="","",'Daily Sale entry '!AA1378)</f>
        <v/>
      </c>
      <c r="D2878">
        <f>IF(C2878="","",0)</f>
        <v/>
      </c>
      <c r="E2878">
        <f>IF(C2878="","",'Daily Sale entry '!AC1378)</f>
        <v/>
      </c>
      <c r="F2878" s="37">
        <f>IF(C2878="","",B2878+IF(E2878&gt;0,0,0.5)+ROW()/10000000)</f>
        <v/>
      </c>
      <c r="G2878">
        <f>IF(C2878="","","Collection 收款 (Online 网上)"&amp;IF('Daily Sale entry '!Y1378="",""," - "&amp;'Daily Sale entry '!Y1378))</f>
        <v/>
      </c>
      <c r="H2878">
        <f>IF(C2878="","",COUNTIFS($C$2:$C$3001,C2878,$F$2:$F$3001,"&lt;"&amp;F2878)+1)</f>
        <v/>
      </c>
      <c r="I2878">
        <f>IF(C2878="","",C2878&amp;"|"&amp;H2878)</f>
        <v/>
      </c>
      <c r="J2878" s="6">
        <f>IF(C2878="","",IF(H2878=1,SUMIFS('Opening Balance'!$F$4:$F$303,'Opening Balance'!$G$4:$G$303,C2878),INDEX($L$2:$L$3001,MATCH(C2878&amp;"|"&amp;(H2878-1),$I$2:$I$3001,0))))</f>
        <v/>
      </c>
      <c r="K2878" s="6">
        <f>IF(C2878="","",IF(M2878&gt;0,M2878,IF(AND(E2878&gt;0,ROUND(J2878+D2878-E2878,2)&gt;0,ROUND(J2878+D2878-E2878,2)&lt;'Opening Balance'!$B$14),ROUND(J2878+D2878-E2878,2),0)))</f>
        <v/>
      </c>
      <c r="L2878" s="6">
        <f>IF(C2878="","",ROUND(J2878+D2878-E2878-K2878,2))</f>
        <v/>
      </c>
      <c r="M2878" s="6">
        <f>IF(C2878="","",0)</f>
        <v/>
      </c>
    </row>
    <row r="2879">
      <c r="A2879" t="inlineStr">
        <is>
          <t>Bank 银行</t>
        </is>
      </c>
      <c r="B2879" s="5">
        <f>IF(AND('Daily Sale entry '!Z1379="Online collection 网上收款",'Daily Sale entry '!AA1379&lt;&gt;""),'Daily Sale entry '!X1379,"")</f>
        <v/>
      </c>
      <c r="C2879">
        <f>IF(B2879="","",'Daily Sale entry '!AA1379)</f>
        <v/>
      </c>
      <c r="D2879">
        <f>IF(C2879="","",0)</f>
        <v/>
      </c>
      <c r="E2879">
        <f>IF(C2879="","",'Daily Sale entry '!AC1379)</f>
        <v/>
      </c>
      <c r="F2879" s="37">
        <f>IF(C2879="","",B2879+IF(E2879&gt;0,0,0.5)+ROW()/10000000)</f>
        <v/>
      </c>
      <c r="G2879">
        <f>IF(C2879="","","Collection 收款 (Online 网上)"&amp;IF('Daily Sale entry '!Y1379="",""," - "&amp;'Daily Sale entry '!Y1379))</f>
        <v/>
      </c>
      <c r="H2879">
        <f>IF(C2879="","",COUNTIFS($C$2:$C$3001,C2879,$F$2:$F$3001,"&lt;"&amp;F2879)+1)</f>
        <v/>
      </c>
      <c r="I2879">
        <f>IF(C2879="","",C2879&amp;"|"&amp;H2879)</f>
        <v/>
      </c>
      <c r="J2879" s="6">
        <f>IF(C2879="","",IF(H2879=1,SUMIFS('Opening Balance'!$F$4:$F$303,'Opening Balance'!$G$4:$G$303,C2879),INDEX($L$2:$L$3001,MATCH(C2879&amp;"|"&amp;(H2879-1),$I$2:$I$3001,0))))</f>
        <v/>
      </c>
      <c r="K2879" s="6">
        <f>IF(C2879="","",IF(M2879&gt;0,M2879,IF(AND(E2879&gt;0,ROUND(J2879+D2879-E2879,2)&gt;0,ROUND(J2879+D2879-E2879,2)&lt;'Opening Balance'!$B$14),ROUND(J2879+D2879-E2879,2),0)))</f>
        <v/>
      </c>
      <c r="L2879" s="6">
        <f>IF(C2879="","",ROUND(J2879+D2879-E2879-K2879,2))</f>
        <v/>
      </c>
      <c r="M2879" s="6">
        <f>IF(C2879="","",0)</f>
        <v/>
      </c>
    </row>
    <row r="2880">
      <c r="A2880" t="inlineStr">
        <is>
          <t>Bank 银行</t>
        </is>
      </c>
      <c r="B2880" s="5">
        <f>IF(AND('Daily Sale entry '!Z1380="Online collection 网上收款",'Daily Sale entry '!AA1380&lt;&gt;""),'Daily Sale entry '!X1380,"")</f>
        <v/>
      </c>
      <c r="C2880">
        <f>IF(B2880="","",'Daily Sale entry '!AA1380)</f>
        <v/>
      </c>
      <c r="D2880">
        <f>IF(C2880="","",0)</f>
        <v/>
      </c>
      <c r="E2880">
        <f>IF(C2880="","",'Daily Sale entry '!AC1380)</f>
        <v/>
      </c>
      <c r="F2880" s="37">
        <f>IF(C2880="","",B2880+IF(E2880&gt;0,0,0.5)+ROW()/10000000)</f>
        <v/>
      </c>
      <c r="G2880">
        <f>IF(C2880="","","Collection 收款 (Online 网上)"&amp;IF('Daily Sale entry '!Y1380="",""," - "&amp;'Daily Sale entry '!Y1380))</f>
        <v/>
      </c>
      <c r="H2880">
        <f>IF(C2880="","",COUNTIFS($C$2:$C$3001,C2880,$F$2:$F$3001,"&lt;"&amp;F2880)+1)</f>
        <v/>
      </c>
      <c r="I2880">
        <f>IF(C2880="","",C2880&amp;"|"&amp;H2880)</f>
        <v/>
      </c>
      <c r="J2880" s="6">
        <f>IF(C2880="","",IF(H2880=1,SUMIFS('Opening Balance'!$F$4:$F$303,'Opening Balance'!$G$4:$G$303,C2880),INDEX($L$2:$L$3001,MATCH(C2880&amp;"|"&amp;(H2880-1),$I$2:$I$3001,0))))</f>
        <v/>
      </c>
      <c r="K2880" s="6">
        <f>IF(C2880="","",IF(M2880&gt;0,M2880,IF(AND(E2880&gt;0,ROUND(J2880+D2880-E2880,2)&gt;0,ROUND(J2880+D2880-E2880,2)&lt;'Opening Balance'!$B$14),ROUND(J2880+D2880-E2880,2),0)))</f>
        <v/>
      </c>
      <c r="L2880" s="6">
        <f>IF(C2880="","",ROUND(J2880+D2880-E2880-K2880,2))</f>
        <v/>
      </c>
      <c r="M2880" s="6">
        <f>IF(C2880="","",0)</f>
        <v/>
      </c>
    </row>
    <row r="2881">
      <c r="A2881" t="inlineStr">
        <is>
          <t>Bank 银行</t>
        </is>
      </c>
      <c r="B2881" s="5">
        <f>IF(AND('Daily Sale entry '!Z1381="Online collection 网上收款",'Daily Sale entry '!AA1381&lt;&gt;""),'Daily Sale entry '!X1381,"")</f>
        <v/>
      </c>
      <c r="C2881">
        <f>IF(B2881="","",'Daily Sale entry '!AA1381)</f>
        <v/>
      </c>
      <c r="D2881">
        <f>IF(C2881="","",0)</f>
        <v/>
      </c>
      <c r="E2881">
        <f>IF(C2881="","",'Daily Sale entry '!AC1381)</f>
        <v/>
      </c>
      <c r="F2881" s="37">
        <f>IF(C2881="","",B2881+IF(E2881&gt;0,0,0.5)+ROW()/10000000)</f>
        <v/>
      </c>
      <c r="G2881">
        <f>IF(C2881="","","Collection 收款 (Online 网上)"&amp;IF('Daily Sale entry '!Y1381="",""," - "&amp;'Daily Sale entry '!Y1381))</f>
        <v/>
      </c>
      <c r="H2881">
        <f>IF(C2881="","",COUNTIFS($C$2:$C$3001,C2881,$F$2:$F$3001,"&lt;"&amp;F2881)+1)</f>
        <v/>
      </c>
      <c r="I2881">
        <f>IF(C2881="","",C2881&amp;"|"&amp;H2881)</f>
        <v/>
      </c>
      <c r="J2881" s="6">
        <f>IF(C2881="","",IF(H2881=1,SUMIFS('Opening Balance'!$F$4:$F$303,'Opening Balance'!$G$4:$G$303,C2881),INDEX($L$2:$L$3001,MATCH(C2881&amp;"|"&amp;(H2881-1),$I$2:$I$3001,0))))</f>
        <v/>
      </c>
      <c r="K2881" s="6">
        <f>IF(C2881="","",IF(M2881&gt;0,M2881,IF(AND(E2881&gt;0,ROUND(J2881+D2881-E2881,2)&gt;0,ROUND(J2881+D2881-E2881,2)&lt;'Opening Balance'!$B$14),ROUND(J2881+D2881-E2881,2),0)))</f>
        <v/>
      </c>
      <c r="L2881" s="6">
        <f>IF(C2881="","",ROUND(J2881+D2881-E2881-K2881,2))</f>
        <v/>
      </c>
      <c r="M2881" s="6">
        <f>IF(C2881="","",0)</f>
        <v/>
      </c>
    </row>
    <row r="2882">
      <c r="A2882" t="inlineStr">
        <is>
          <t>Bank 银行</t>
        </is>
      </c>
      <c r="B2882" s="5">
        <f>IF(AND('Daily Sale entry '!Z1382="Online collection 网上收款",'Daily Sale entry '!AA1382&lt;&gt;""),'Daily Sale entry '!X1382,"")</f>
        <v/>
      </c>
      <c r="C2882">
        <f>IF(B2882="","",'Daily Sale entry '!AA1382)</f>
        <v/>
      </c>
      <c r="D2882">
        <f>IF(C2882="","",0)</f>
        <v/>
      </c>
      <c r="E2882">
        <f>IF(C2882="","",'Daily Sale entry '!AC1382)</f>
        <v/>
      </c>
      <c r="F2882" s="37">
        <f>IF(C2882="","",B2882+IF(E2882&gt;0,0,0.5)+ROW()/10000000)</f>
        <v/>
      </c>
      <c r="G2882">
        <f>IF(C2882="","","Collection 收款 (Online 网上)"&amp;IF('Daily Sale entry '!Y1382="",""," - "&amp;'Daily Sale entry '!Y1382))</f>
        <v/>
      </c>
      <c r="H2882">
        <f>IF(C2882="","",COUNTIFS($C$2:$C$3001,C2882,$F$2:$F$3001,"&lt;"&amp;F2882)+1)</f>
        <v/>
      </c>
      <c r="I2882">
        <f>IF(C2882="","",C2882&amp;"|"&amp;H2882)</f>
        <v/>
      </c>
      <c r="J2882" s="6">
        <f>IF(C2882="","",IF(H2882=1,SUMIFS('Opening Balance'!$F$4:$F$303,'Opening Balance'!$G$4:$G$303,C2882),INDEX($L$2:$L$3001,MATCH(C2882&amp;"|"&amp;(H2882-1),$I$2:$I$3001,0))))</f>
        <v/>
      </c>
      <c r="K2882" s="6">
        <f>IF(C2882="","",IF(M2882&gt;0,M2882,IF(AND(E2882&gt;0,ROUND(J2882+D2882-E2882,2)&gt;0,ROUND(J2882+D2882-E2882,2)&lt;'Opening Balance'!$B$14),ROUND(J2882+D2882-E2882,2),0)))</f>
        <v/>
      </c>
      <c r="L2882" s="6">
        <f>IF(C2882="","",ROUND(J2882+D2882-E2882-K2882,2))</f>
        <v/>
      </c>
      <c r="M2882" s="6">
        <f>IF(C2882="","",0)</f>
        <v/>
      </c>
    </row>
    <row r="2883">
      <c r="A2883" t="inlineStr">
        <is>
          <t>Bank 银行</t>
        </is>
      </c>
      <c r="B2883" s="5">
        <f>IF(AND('Daily Sale entry '!Z1383="Online collection 网上收款",'Daily Sale entry '!AA1383&lt;&gt;""),'Daily Sale entry '!X1383,"")</f>
        <v/>
      </c>
      <c r="C2883">
        <f>IF(B2883="","",'Daily Sale entry '!AA1383)</f>
        <v/>
      </c>
      <c r="D2883">
        <f>IF(C2883="","",0)</f>
        <v/>
      </c>
      <c r="E2883">
        <f>IF(C2883="","",'Daily Sale entry '!AC1383)</f>
        <v/>
      </c>
      <c r="F2883" s="37">
        <f>IF(C2883="","",B2883+IF(E2883&gt;0,0,0.5)+ROW()/10000000)</f>
        <v/>
      </c>
      <c r="G2883">
        <f>IF(C2883="","","Collection 收款 (Online 网上)"&amp;IF('Daily Sale entry '!Y1383="",""," - "&amp;'Daily Sale entry '!Y1383))</f>
        <v/>
      </c>
      <c r="H2883">
        <f>IF(C2883="","",COUNTIFS($C$2:$C$3001,C2883,$F$2:$F$3001,"&lt;"&amp;F2883)+1)</f>
        <v/>
      </c>
      <c r="I2883">
        <f>IF(C2883="","",C2883&amp;"|"&amp;H2883)</f>
        <v/>
      </c>
      <c r="J2883" s="6">
        <f>IF(C2883="","",IF(H2883=1,SUMIFS('Opening Balance'!$F$4:$F$303,'Opening Balance'!$G$4:$G$303,C2883),INDEX($L$2:$L$3001,MATCH(C2883&amp;"|"&amp;(H2883-1),$I$2:$I$3001,0))))</f>
        <v/>
      </c>
      <c r="K2883" s="6">
        <f>IF(C2883="","",IF(M2883&gt;0,M2883,IF(AND(E2883&gt;0,ROUND(J2883+D2883-E2883,2)&gt;0,ROUND(J2883+D2883-E2883,2)&lt;'Opening Balance'!$B$14),ROUND(J2883+D2883-E2883,2),0)))</f>
        <v/>
      </c>
      <c r="L2883" s="6">
        <f>IF(C2883="","",ROUND(J2883+D2883-E2883-K2883,2))</f>
        <v/>
      </c>
      <c r="M2883" s="6">
        <f>IF(C2883="","",0)</f>
        <v/>
      </c>
    </row>
    <row r="2884">
      <c r="A2884" t="inlineStr">
        <is>
          <t>Bank 银行</t>
        </is>
      </c>
      <c r="B2884" s="5">
        <f>IF(AND('Daily Sale entry '!Z1384="Online collection 网上收款",'Daily Sale entry '!AA1384&lt;&gt;""),'Daily Sale entry '!X1384,"")</f>
        <v/>
      </c>
      <c r="C2884">
        <f>IF(B2884="","",'Daily Sale entry '!AA1384)</f>
        <v/>
      </c>
      <c r="D2884">
        <f>IF(C2884="","",0)</f>
        <v/>
      </c>
      <c r="E2884">
        <f>IF(C2884="","",'Daily Sale entry '!AC1384)</f>
        <v/>
      </c>
      <c r="F2884" s="37">
        <f>IF(C2884="","",B2884+IF(E2884&gt;0,0,0.5)+ROW()/10000000)</f>
        <v/>
      </c>
      <c r="G2884">
        <f>IF(C2884="","","Collection 收款 (Online 网上)"&amp;IF('Daily Sale entry '!Y1384="",""," - "&amp;'Daily Sale entry '!Y1384))</f>
        <v/>
      </c>
      <c r="H2884">
        <f>IF(C2884="","",COUNTIFS($C$2:$C$3001,C2884,$F$2:$F$3001,"&lt;"&amp;F2884)+1)</f>
        <v/>
      </c>
      <c r="I2884">
        <f>IF(C2884="","",C2884&amp;"|"&amp;H2884)</f>
        <v/>
      </c>
      <c r="J2884" s="6">
        <f>IF(C2884="","",IF(H2884=1,SUMIFS('Opening Balance'!$F$4:$F$303,'Opening Balance'!$G$4:$G$303,C2884),INDEX($L$2:$L$3001,MATCH(C2884&amp;"|"&amp;(H2884-1),$I$2:$I$3001,0))))</f>
        <v/>
      </c>
      <c r="K2884" s="6">
        <f>IF(C2884="","",IF(M2884&gt;0,M2884,IF(AND(E2884&gt;0,ROUND(J2884+D2884-E2884,2)&gt;0,ROUND(J2884+D2884-E2884,2)&lt;'Opening Balance'!$B$14),ROUND(J2884+D2884-E2884,2),0)))</f>
        <v/>
      </c>
      <c r="L2884" s="6">
        <f>IF(C2884="","",ROUND(J2884+D2884-E2884-K2884,2))</f>
        <v/>
      </c>
      <c r="M2884" s="6">
        <f>IF(C2884="","",0)</f>
        <v/>
      </c>
    </row>
    <row r="2885">
      <c r="A2885" t="inlineStr">
        <is>
          <t>Bank 银行</t>
        </is>
      </c>
      <c r="B2885" s="5">
        <f>IF(AND('Daily Sale entry '!Z1385="Online collection 网上收款",'Daily Sale entry '!AA1385&lt;&gt;""),'Daily Sale entry '!X1385,"")</f>
        <v/>
      </c>
      <c r="C2885">
        <f>IF(B2885="","",'Daily Sale entry '!AA1385)</f>
        <v/>
      </c>
      <c r="D2885">
        <f>IF(C2885="","",0)</f>
        <v/>
      </c>
      <c r="E2885">
        <f>IF(C2885="","",'Daily Sale entry '!AC1385)</f>
        <v/>
      </c>
      <c r="F2885" s="37">
        <f>IF(C2885="","",B2885+IF(E2885&gt;0,0,0.5)+ROW()/10000000)</f>
        <v/>
      </c>
      <c r="G2885">
        <f>IF(C2885="","","Collection 收款 (Online 网上)"&amp;IF('Daily Sale entry '!Y1385="",""," - "&amp;'Daily Sale entry '!Y1385))</f>
        <v/>
      </c>
      <c r="H2885">
        <f>IF(C2885="","",COUNTIFS($C$2:$C$3001,C2885,$F$2:$F$3001,"&lt;"&amp;F2885)+1)</f>
        <v/>
      </c>
      <c r="I2885">
        <f>IF(C2885="","",C2885&amp;"|"&amp;H2885)</f>
        <v/>
      </c>
      <c r="J2885" s="6">
        <f>IF(C2885="","",IF(H2885=1,SUMIFS('Opening Balance'!$F$4:$F$303,'Opening Balance'!$G$4:$G$303,C2885),INDEX($L$2:$L$3001,MATCH(C2885&amp;"|"&amp;(H2885-1),$I$2:$I$3001,0))))</f>
        <v/>
      </c>
      <c r="K2885" s="6">
        <f>IF(C2885="","",IF(M2885&gt;0,M2885,IF(AND(E2885&gt;0,ROUND(J2885+D2885-E2885,2)&gt;0,ROUND(J2885+D2885-E2885,2)&lt;'Opening Balance'!$B$14),ROUND(J2885+D2885-E2885,2),0)))</f>
        <v/>
      </c>
      <c r="L2885" s="6">
        <f>IF(C2885="","",ROUND(J2885+D2885-E2885-K2885,2))</f>
        <v/>
      </c>
      <c r="M2885" s="6">
        <f>IF(C2885="","",0)</f>
        <v/>
      </c>
    </row>
    <row r="2886">
      <c r="A2886" t="inlineStr">
        <is>
          <t>Bank 银行</t>
        </is>
      </c>
      <c r="B2886" s="5">
        <f>IF(AND('Daily Sale entry '!Z1386="Online collection 网上收款",'Daily Sale entry '!AA1386&lt;&gt;""),'Daily Sale entry '!X1386,"")</f>
        <v/>
      </c>
      <c r="C2886">
        <f>IF(B2886="","",'Daily Sale entry '!AA1386)</f>
        <v/>
      </c>
      <c r="D2886">
        <f>IF(C2886="","",0)</f>
        <v/>
      </c>
      <c r="E2886">
        <f>IF(C2886="","",'Daily Sale entry '!AC1386)</f>
        <v/>
      </c>
      <c r="F2886" s="37">
        <f>IF(C2886="","",B2886+IF(E2886&gt;0,0,0.5)+ROW()/10000000)</f>
        <v/>
      </c>
      <c r="G2886">
        <f>IF(C2886="","","Collection 收款 (Online 网上)"&amp;IF('Daily Sale entry '!Y1386="",""," - "&amp;'Daily Sale entry '!Y1386))</f>
        <v/>
      </c>
      <c r="H2886">
        <f>IF(C2886="","",COUNTIFS($C$2:$C$3001,C2886,$F$2:$F$3001,"&lt;"&amp;F2886)+1)</f>
        <v/>
      </c>
      <c r="I2886">
        <f>IF(C2886="","",C2886&amp;"|"&amp;H2886)</f>
        <v/>
      </c>
      <c r="J2886" s="6">
        <f>IF(C2886="","",IF(H2886=1,SUMIFS('Opening Balance'!$F$4:$F$303,'Opening Balance'!$G$4:$G$303,C2886),INDEX($L$2:$L$3001,MATCH(C2886&amp;"|"&amp;(H2886-1),$I$2:$I$3001,0))))</f>
        <v/>
      </c>
      <c r="K2886" s="6">
        <f>IF(C2886="","",IF(M2886&gt;0,M2886,IF(AND(E2886&gt;0,ROUND(J2886+D2886-E2886,2)&gt;0,ROUND(J2886+D2886-E2886,2)&lt;'Opening Balance'!$B$14),ROUND(J2886+D2886-E2886,2),0)))</f>
        <v/>
      </c>
      <c r="L2886" s="6">
        <f>IF(C2886="","",ROUND(J2886+D2886-E2886-K2886,2))</f>
        <v/>
      </c>
      <c r="M2886" s="6">
        <f>IF(C2886="","",0)</f>
        <v/>
      </c>
    </row>
    <row r="2887">
      <c r="A2887" t="inlineStr">
        <is>
          <t>Bank 银行</t>
        </is>
      </c>
      <c r="B2887" s="5">
        <f>IF(AND('Daily Sale entry '!Z1387="Online collection 网上收款",'Daily Sale entry '!AA1387&lt;&gt;""),'Daily Sale entry '!X1387,"")</f>
        <v/>
      </c>
      <c r="C2887">
        <f>IF(B2887="","",'Daily Sale entry '!AA1387)</f>
        <v/>
      </c>
      <c r="D2887">
        <f>IF(C2887="","",0)</f>
        <v/>
      </c>
      <c r="E2887">
        <f>IF(C2887="","",'Daily Sale entry '!AC1387)</f>
        <v/>
      </c>
      <c r="F2887" s="37">
        <f>IF(C2887="","",B2887+IF(E2887&gt;0,0,0.5)+ROW()/10000000)</f>
        <v/>
      </c>
      <c r="G2887">
        <f>IF(C2887="","","Collection 收款 (Online 网上)"&amp;IF('Daily Sale entry '!Y1387="",""," - "&amp;'Daily Sale entry '!Y1387))</f>
        <v/>
      </c>
      <c r="H2887">
        <f>IF(C2887="","",COUNTIFS($C$2:$C$3001,C2887,$F$2:$F$3001,"&lt;"&amp;F2887)+1)</f>
        <v/>
      </c>
      <c r="I2887">
        <f>IF(C2887="","",C2887&amp;"|"&amp;H2887)</f>
        <v/>
      </c>
      <c r="J2887" s="6">
        <f>IF(C2887="","",IF(H2887=1,SUMIFS('Opening Balance'!$F$4:$F$303,'Opening Balance'!$G$4:$G$303,C2887),INDEX($L$2:$L$3001,MATCH(C2887&amp;"|"&amp;(H2887-1),$I$2:$I$3001,0))))</f>
        <v/>
      </c>
      <c r="K2887" s="6">
        <f>IF(C2887="","",IF(M2887&gt;0,M2887,IF(AND(E2887&gt;0,ROUND(J2887+D2887-E2887,2)&gt;0,ROUND(J2887+D2887-E2887,2)&lt;'Opening Balance'!$B$14),ROUND(J2887+D2887-E2887,2),0)))</f>
        <v/>
      </c>
      <c r="L2887" s="6">
        <f>IF(C2887="","",ROUND(J2887+D2887-E2887-K2887,2))</f>
        <v/>
      </c>
      <c r="M2887" s="6">
        <f>IF(C2887="","",0)</f>
        <v/>
      </c>
    </row>
    <row r="2888">
      <c r="A2888" t="inlineStr">
        <is>
          <t>Bank 银行</t>
        </is>
      </c>
      <c r="B2888" s="5">
        <f>IF(AND('Daily Sale entry '!Z1388="Online collection 网上收款",'Daily Sale entry '!AA1388&lt;&gt;""),'Daily Sale entry '!X1388,"")</f>
        <v/>
      </c>
      <c r="C2888">
        <f>IF(B2888="","",'Daily Sale entry '!AA1388)</f>
        <v/>
      </c>
      <c r="D2888">
        <f>IF(C2888="","",0)</f>
        <v/>
      </c>
      <c r="E2888">
        <f>IF(C2888="","",'Daily Sale entry '!AC1388)</f>
        <v/>
      </c>
      <c r="F2888" s="37">
        <f>IF(C2888="","",B2888+IF(E2888&gt;0,0,0.5)+ROW()/10000000)</f>
        <v/>
      </c>
      <c r="G2888">
        <f>IF(C2888="","","Collection 收款 (Online 网上)"&amp;IF('Daily Sale entry '!Y1388="",""," - "&amp;'Daily Sale entry '!Y1388))</f>
        <v/>
      </c>
      <c r="H2888">
        <f>IF(C2888="","",COUNTIFS($C$2:$C$3001,C2888,$F$2:$F$3001,"&lt;"&amp;F2888)+1)</f>
        <v/>
      </c>
      <c r="I2888">
        <f>IF(C2888="","",C2888&amp;"|"&amp;H2888)</f>
        <v/>
      </c>
      <c r="J2888" s="6">
        <f>IF(C2888="","",IF(H2888=1,SUMIFS('Opening Balance'!$F$4:$F$303,'Opening Balance'!$G$4:$G$303,C2888),INDEX($L$2:$L$3001,MATCH(C2888&amp;"|"&amp;(H2888-1),$I$2:$I$3001,0))))</f>
        <v/>
      </c>
      <c r="K2888" s="6">
        <f>IF(C2888="","",IF(M2888&gt;0,M2888,IF(AND(E2888&gt;0,ROUND(J2888+D2888-E2888,2)&gt;0,ROUND(J2888+D2888-E2888,2)&lt;'Opening Balance'!$B$14),ROUND(J2888+D2888-E2888,2),0)))</f>
        <v/>
      </c>
      <c r="L2888" s="6">
        <f>IF(C2888="","",ROUND(J2888+D2888-E2888-K2888,2))</f>
        <v/>
      </c>
      <c r="M2888" s="6">
        <f>IF(C2888="","",0)</f>
        <v/>
      </c>
    </row>
    <row r="2889">
      <c r="A2889" t="inlineStr">
        <is>
          <t>Bank 银行</t>
        </is>
      </c>
      <c r="B2889" s="5">
        <f>IF(AND('Daily Sale entry '!Z1389="Online collection 网上收款",'Daily Sale entry '!AA1389&lt;&gt;""),'Daily Sale entry '!X1389,"")</f>
        <v/>
      </c>
      <c r="C2889">
        <f>IF(B2889="","",'Daily Sale entry '!AA1389)</f>
        <v/>
      </c>
      <c r="D2889">
        <f>IF(C2889="","",0)</f>
        <v/>
      </c>
      <c r="E2889">
        <f>IF(C2889="","",'Daily Sale entry '!AC1389)</f>
        <v/>
      </c>
      <c r="F2889" s="37">
        <f>IF(C2889="","",B2889+IF(E2889&gt;0,0,0.5)+ROW()/10000000)</f>
        <v/>
      </c>
      <c r="G2889">
        <f>IF(C2889="","","Collection 收款 (Online 网上)"&amp;IF('Daily Sale entry '!Y1389="",""," - "&amp;'Daily Sale entry '!Y1389))</f>
        <v/>
      </c>
      <c r="H2889">
        <f>IF(C2889="","",COUNTIFS($C$2:$C$3001,C2889,$F$2:$F$3001,"&lt;"&amp;F2889)+1)</f>
        <v/>
      </c>
      <c r="I2889">
        <f>IF(C2889="","",C2889&amp;"|"&amp;H2889)</f>
        <v/>
      </c>
      <c r="J2889" s="6">
        <f>IF(C2889="","",IF(H2889=1,SUMIFS('Opening Balance'!$F$4:$F$303,'Opening Balance'!$G$4:$G$303,C2889),INDEX($L$2:$L$3001,MATCH(C2889&amp;"|"&amp;(H2889-1),$I$2:$I$3001,0))))</f>
        <v/>
      </c>
      <c r="K2889" s="6">
        <f>IF(C2889="","",IF(M2889&gt;0,M2889,IF(AND(E2889&gt;0,ROUND(J2889+D2889-E2889,2)&gt;0,ROUND(J2889+D2889-E2889,2)&lt;'Opening Balance'!$B$14),ROUND(J2889+D2889-E2889,2),0)))</f>
        <v/>
      </c>
      <c r="L2889" s="6">
        <f>IF(C2889="","",ROUND(J2889+D2889-E2889-K2889,2))</f>
        <v/>
      </c>
      <c r="M2889" s="6">
        <f>IF(C2889="","",0)</f>
        <v/>
      </c>
    </row>
    <row r="2890">
      <c r="A2890" t="inlineStr">
        <is>
          <t>Bank 银行</t>
        </is>
      </c>
      <c r="B2890" s="5">
        <f>IF(AND('Daily Sale entry '!Z1390="Online collection 网上收款",'Daily Sale entry '!AA1390&lt;&gt;""),'Daily Sale entry '!X1390,"")</f>
        <v/>
      </c>
      <c r="C2890">
        <f>IF(B2890="","",'Daily Sale entry '!AA1390)</f>
        <v/>
      </c>
      <c r="D2890">
        <f>IF(C2890="","",0)</f>
        <v/>
      </c>
      <c r="E2890">
        <f>IF(C2890="","",'Daily Sale entry '!AC1390)</f>
        <v/>
      </c>
      <c r="F2890" s="37">
        <f>IF(C2890="","",B2890+IF(E2890&gt;0,0,0.5)+ROW()/10000000)</f>
        <v/>
      </c>
      <c r="G2890">
        <f>IF(C2890="","","Collection 收款 (Online 网上)"&amp;IF('Daily Sale entry '!Y1390="",""," - "&amp;'Daily Sale entry '!Y1390))</f>
        <v/>
      </c>
      <c r="H2890">
        <f>IF(C2890="","",COUNTIFS($C$2:$C$3001,C2890,$F$2:$F$3001,"&lt;"&amp;F2890)+1)</f>
        <v/>
      </c>
      <c r="I2890">
        <f>IF(C2890="","",C2890&amp;"|"&amp;H2890)</f>
        <v/>
      </c>
      <c r="J2890" s="6">
        <f>IF(C2890="","",IF(H2890=1,SUMIFS('Opening Balance'!$F$4:$F$303,'Opening Balance'!$G$4:$G$303,C2890),INDEX($L$2:$L$3001,MATCH(C2890&amp;"|"&amp;(H2890-1),$I$2:$I$3001,0))))</f>
        <v/>
      </c>
      <c r="K2890" s="6">
        <f>IF(C2890="","",IF(M2890&gt;0,M2890,IF(AND(E2890&gt;0,ROUND(J2890+D2890-E2890,2)&gt;0,ROUND(J2890+D2890-E2890,2)&lt;'Opening Balance'!$B$14),ROUND(J2890+D2890-E2890,2),0)))</f>
        <v/>
      </c>
      <c r="L2890" s="6">
        <f>IF(C2890="","",ROUND(J2890+D2890-E2890-K2890,2))</f>
        <v/>
      </c>
      <c r="M2890" s="6">
        <f>IF(C2890="","",0)</f>
        <v/>
      </c>
    </row>
    <row r="2891">
      <c r="A2891" t="inlineStr">
        <is>
          <t>Bank 银行</t>
        </is>
      </c>
      <c r="B2891" s="5">
        <f>IF(AND('Daily Sale entry '!Z1391="Online collection 网上收款",'Daily Sale entry '!AA1391&lt;&gt;""),'Daily Sale entry '!X1391,"")</f>
        <v/>
      </c>
      <c r="C2891">
        <f>IF(B2891="","",'Daily Sale entry '!AA1391)</f>
        <v/>
      </c>
      <c r="D2891">
        <f>IF(C2891="","",0)</f>
        <v/>
      </c>
      <c r="E2891">
        <f>IF(C2891="","",'Daily Sale entry '!AC1391)</f>
        <v/>
      </c>
      <c r="F2891" s="37">
        <f>IF(C2891="","",B2891+IF(E2891&gt;0,0,0.5)+ROW()/10000000)</f>
        <v/>
      </c>
      <c r="G2891">
        <f>IF(C2891="","","Collection 收款 (Online 网上)"&amp;IF('Daily Sale entry '!Y1391="",""," - "&amp;'Daily Sale entry '!Y1391))</f>
        <v/>
      </c>
      <c r="H2891">
        <f>IF(C2891="","",COUNTIFS($C$2:$C$3001,C2891,$F$2:$F$3001,"&lt;"&amp;F2891)+1)</f>
        <v/>
      </c>
      <c r="I2891">
        <f>IF(C2891="","",C2891&amp;"|"&amp;H2891)</f>
        <v/>
      </c>
      <c r="J2891" s="6">
        <f>IF(C2891="","",IF(H2891=1,SUMIFS('Opening Balance'!$F$4:$F$303,'Opening Balance'!$G$4:$G$303,C2891),INDEX($L$2:$L$3001,MATCH(C2891&amp;"|"&amp;(H2891-1),$I$2:$I$3001,0))))</f>
        <v/>
      </c>
      <c r="K2891" s="6">
        <f>IF(C2891="","",IF(M2891&gt;0,M2891,IF(AND(E2891&gt;0,ROUND(J2891+D2891-E2891,2)&gt;0,ROUND(J2891+D2891-E2891,2)&lt;'Opening Balance'!$B$14),ROUND(J2891+D2891-E2891,2),0)))</f>
        <v/>
      </c>
      <c r="L2891" s="6">
        <f>IF(C2891="","",ROUND(J2891+D2891-E2891-K2891,2))</f>
        <v/>
      </c>
      <c r="M2891" s="6">
        <f>IF(C2891="","",0)</f>
        <v/>
      </c>
    </row>
    <row r="2892">
      <c r="A2892" t="inlineStr">
        <is>
          <t>Bank 银行</t>
        </is>
      </c>
      <c r="B2892" s="5">
        <f>IF(AND('Daily Sale entry '!Z1392="Online collection 网上收款",'Daily Sale entry '!AA1392&lt;&gt;""),'Daily Sale entry '!X1392,"")</f>
        <v/>
      </c>
      <c r="C2892">
        <f>IF(B2892="","",'Daily Sale entry '!AA1392)</f>
        <v/>
      </c>
      <c r="D2892">
        <f>IF(C2892="","",0)</f>
        <v/>
      </c>
      <c r="E2892">
        <f>IF(C2892="","",'Daily Sale entry '!AC1392)</f>
        <v/>
      </c>
      <c r="F2892" s="37">
        <f>IF(C2892="","",B2892+IF(E2892&gt;0,0,0.5)+ROW()/10000000)</f>
        <v/>
      </c>
      <c r="G2892">
        <f>IF(C2892="","","Collection 收款 (Online 网上)"&amp;IF('Daily Sale entry '!Y1392="",""," - "&amp;'Daily Sale entry '!Y1392))</f>
        <v/>
      </c>
      <c r="H2892">
        <f>IF(C2892="","",COUNTIFS($C$2:$C$3001,C2892,$F$2:$F$3001,"&lt;"&amp;F2892)+1)</f>
        <v/>
      </c>
      <c r="I2892">
        <f>IF(C2892="","",C2892&amp;"|"&amp;H2892)</f>
        <v/>
      </c>
      <c r="J2892" s="6">
        <f>IF(C2892="","",IF(H2892=1,SUMIFS('Opening Balance'!$F$4:$F$303,'Opening Balance'!$G$4:$G$303,C2892),INDEX($L$2:$L$3001,MATCH(C2892&amp;"|"&amp;(H2892-1),$I$2:$I$3001,0))))</f>
        <v/>
      </c>
      <c r="K2892" s="6">
        <f>IF(C2892="","",IF(M2892&gt;0,M2892,IF(AND(E2892&gt;0,ROUND(J2892+D2892-E2892,2)&gt;0,ROUND(J2892+D2892-E2892,2)&lt;'Opening Balance'!$B$14),ROUND(J2892+D2892-E2892,2),0)))</f>
        <v/>
      </c>
      <c r="L2892" s="6">
        <f>IF(C2892="","",ROUND(J2892+D2892-E2892-K2892,2))</f>
        <v/>
      </c>
      <c r="M2892" s="6">
        <f>IF(C2892="","",0)</f>
        <v/>
      </c>
    </row>
    <row r="2893">
      <c r="A2893" t="inlineStr">
        <is>
          <t>Bank 银行</t>
        </is>
      </c>
      <c r="B2893" s="5">
        <f>IF(AND('Daily Sale entry '!Z1393="Online collection 网上收款",'Daily Sale entry '!AA1393&lt;&gt;""),'Daily Sale entry '!X1393,"")</f>
        <v/>
      </c>
      <c r="C2893">
        <f>IF(B2893="","",'Daily Sale entry '!AA1393)</f>
        <v/>
      </c>
      <c r="D2893">
        <f>IF(C2893="","",0)</f>
        <v/>
      </c>
      <c r="E2893">
        <f>IF(C2893="","",'Daily Sale entry '!AC1393)</f>
        <v/>
      </c>
      <c r="F2893" s="37">
        <f>IF(C2893="","",B2893+IF(E2893&gt;0,0,0.5)+ROW()/10000000)</f>
        <v/>
      </c>
      <c r="G2893">
        <f>IF(C2893="","","Collection 收款 (Online 网上)"&amp;IF('Daily Sale entry '!Y1393="",""," - "&amp;'Daily Sale entry '!Y1393))</f>
        <v/>
      </c>
      <c r="H2893">
        <f>IF(C2893="","",COUNTIFS($C$2:$C$3001,C2893,$F$2:$F$3001,"&lt;"&amp;F2893)+1)</f>
        <v/>
      </c>
      <c r="I2893">
        <f>IF(C2893="","",C2893&amp;"|"&amp;H2893)</f>
        <v/>
      </c>
      <c r="J2893" s="6">
        <f>IF(C2893="","",IF(H2893=1,SUMIFS('Opening Balance'!$F$4:$F$303,'Opening Balance'!$G$4:$G$303,C2893),INDEX($L$2:$L$3001,MATCH(C2893&amp;"|"&amp;(H2893-1),$I$2:$I$3001,0))))</f>
        <v/>
      </c>
      <c r="K2893" s="6">
        <f>IF(C2893="","",IF(M2893&gt;0,M2893,IF(AND(E2893&gt;0,ROUND(J2893+D2893-E2893,2)&gt;0,ROUND(J2893+D2893-E2893,2)&lt;'Opening Balance'!$B$14),ROUND(J2893+D2893-E2893,2),0)))</f>
        <v/>
      </c>
      <c r="L2893" s="6">
        <f>IF(C2893="","",ROUND(J2893+D2893-E2893-K2893,2))</f>
        <v/>
      </c>
      <c r="M2893" s="6">
        <f>IF(C2893="","",0)</f>
        <v/>
      </c>
    </row>
    <row r="2894">
      <c r="A2894" t="inlineStr">
        <is>
          <t>Bank 银行</t>
        </is>
      </c>
      <c r="B2894" s="5">
        <f>IF(AND('Daily Sale entry '!Z1394="Online collection 网上收款",'Daily Sale entry '!AA1394&lt;&gt;""),'Daily Sale entry '!X1394,"")</f>
        <v/>
      </c>
      <c r="C2894">
        <f>IF(B2894="","",'Daily Sale entry '!AA1394)</f>
        <v/>
      </c>
      <c r="D2894">
        <f>IF(C2894="","",0)</f>
        <v/>
      </c>
      <c r="E2894">
        <f>IF(C2894="","",'Daily Sale entry '!AC1394)</f>
        <v/>
      </c>
      <c r="F2894" s="37">
        <f>IF(C2894="","",B2894+IF(E2894&gt;0,0,0.5)+ROW()/10000000)</f>
        <v/>
      </c>
      <c r="G2894">
        <f>IF(C2894="","","Collection 收款 (Online 网上)"&amp;IF('Daily Sale entry '!Y1394="",""," - "&amp;'Daily Sale entry '!Y1394))</f>
        <v/>
      </c>
      <c r="H2894">
        <f>IF(C2894="","",COUNTIFS($C$2:$C$3001,C2894,$F$2:$F$3001,"&lt;"&amp;F2894)+1)</f>
        <v/>
      </c>
      <c r="I2894">
        <f>IF(C2894="","",C2894&amp;"|"&amp;H2894)</f>
        <v/>
      </c>
      <c r="J2894" s="6">
        <f>IF(C2894="","",IF(H2894=1,SUMIFS('Opening Balance'!$F$4:$F$303,'Opening Balance'!$G$4:$G$303,C2894),INDEX($L$2:$L$3001,MATCH(C2894&amp;"|"&amp;(H2894-1),$I$2:$I$3001,0))))</f>
        <v/>
      </c>
      <c r="K2894" s="6">
        <f>IF(C2894="","",IF(M2894&gt;0,M2894,IF(AND(E2894&gt;0,ROUND(J2894+D2894-E2894,2)&gt;0,ROUND(J2894+D2894-E2894,2)&lt;'Opening Balance'!$B$14),ROUND(J2894+D2894-E2894,2),0)))</f>
        <v/>
      </c>
      <c r="L2894" s="6">
        <f>IF(C2894="","",ROUND(J2894+D2894-E2894-K2894,2))</f>
        <v/>
      </c>
      <c r="M2894" s="6">
        <f>IF(C2894="","",0)</f>
        <v/>
      </c>
    </row>
    <row r="2895">
      <c r="A2895" t="inlineStr">
        <is>
          <t>Bank 银行</t>
        </is>
      </c>
      <c r="B2895" s="5">
        <f>IF(AND('Daily Sale entry '!Z1395="Online collection 网上收款",'Daily Sale entry '!AA1395&lt;&gt;""),'Daily Sale entry '!X1395,"")</f>
        <v/>
      </c>
      <c r="C2895">
        <f>IF(B2895="","",'Daily Sale entry '!AA1395)</f>
        <v/>
      </c>
      <c r="D2895">
        <f>IF(C2895="","",0)</f>
        <v/>
      </c>
      <c r="E2895">
        <f>IF(C2895="","",'Daily Sale entry '!AC1395)</f>
        <v/>
      </c>
      <c r="F2895" s="37">
        <f>IF(C2895="","",B2895+IF(E2895&gt;0,0,0.5)+ROW()/10000000)</f>
        <v/>
      </c>
      <c r="G2895">
        <f>IF(C2895="","","Collection 收款 (Online 网上)"&amp;IF('Daily Sale entry '!Y1395="",""," - "&amp;'Daily Sale entry '!Y1395))</f>
        <v/>
      </c>
      <c r="H2895">
        <f>IF(C2895="","",COUNTIFS($C$2:$C$3001,C2895,$F$2:$F$3001,"&lt;"&amp;F2895)+1)</f>
        <v/>
      </c>
      <c r="I2895">
        <f>IF(C2895="","",C2895&amp;"|"&amp;H2895)</f>
        <v/>
      </c>
      <c r="J2895" s="6">
        <f>IF(C2895="","",IF(H2895=1,SUMIFS('Opening Balance'!$F$4:$F$303,'Opening Balance'!$G$4:$G$303,C2895),INDEX($L$2:$L$3001,MATCH(C2895&amp;"|"&amp;(H2895-1),$I$2:$I$3001,0))))</f>
        <v/>
      </c>
      <c r="K2895" s="6">
        <f>IF(C2895="","",IF(M2895&gt;0,M2895,IF(AND(E2895&gt;0,ROUND(J2895+D2895-E2895,2)&gt;0,ROUND(J2895+D2895-E2895,2)&lt;'Opening Balance'!$B$14),ROUND(J2895+D2895-E2895,2),0)))</f>
        <v/>
      </c>
      <c r="L2895" s="6">
        <f>IF(C2895="","",ROUND(J2895+D2895-E2895-K2895,2))</f>
        <v/>
      </c>
      <c r="M2895" s="6">
        <f>IF(C2895="","",0)</f>
        <v/>
      </c>
    </row>
    <row r="2896">
      <c r="A2896" t="inlineStr">
        <is>
          <t>Bank 银行</t>
        </is>
      </c>
      <c r="B2896" s="5">
        <f>IF(AND('Daily Sale entry '!Z1396="Online collection 网上收款",'Daily Sale entry '!AA1396&lt;&gt;""),'Daily Sale entry '!X1396,"")</f>
        <v/>
      </c>
      <c r="C2896">
        <f>IF(B2896="","",'Daily Sale entry '!AA1396)</f>
        <v/>
      </c>
      <c r="D2896">
        <f>IF(C2896="","",0)</f>
        <v/>
      </c>
      <c r="E2896">
        <f>IF(C2896="","",'Daily Sale entry '!AC1396)</f>
        <v/>
      </c>
      <c r="F2896" s="37">
        <f>IF(C2896="","",B2896+IF(E2896&gt;0,0,0.5)+ROW()/10000000)</f>
        <v/>
      </c>
      <c r="G2896">
        <f>IF(C2896="","","Collection 收款 (Online 网上)"&amp;IF('Daily Sale entry '!Y1396="",""," - "&amp;'Daily Sale entry '!Y1396))</f>
        <v/>
      </c>
      <c r="H2896">
        <f>IF(C2896="","",COUNTIFS($C$2:$C$3001,C2896,$F$2:$F$3001,"&lt;"&amp;F2896)+1)</f>
        <v/>
      </c>
      <c r="I2896">
        <f>IF(C2896="","",C2896&amp;"|"&amp;H2896)</f>
        <v/>
      </c>
      <c r="J2896" s="6">
        <f>IF(C2896="","",IF(H2896=1,SUMIFS('Opening Balance'!$F$4:$F$303,'Opening Balance'!$G$4:$G$303,C2896),INDEX($L$2:$L$3001,MATCH(C2896&amp;"|"&amp;(H2896-1),$I$2:$I$3001,0))))</f>
        <v/>
      </c>
      <c r="K2896" s="6">
        <f>IF(C2896="","",IF(M2896&gt;0,M2896,IF(AND(E2896&gt;0,ROUND(J2896+D2896-E2896,2)&gt;0,ROUND(J2896+D2896-E2896,2)&lt;'Opening Balance'!$B$14),ROUND(J2896+D2896-E2896,2),0)))</f>
        <v/>
      </c>
      <c r="L2896" s="6">
        <f>IF(C2896="","",ROUND(J2896+D2896-E2896-K2896,2))</f>
        <v/>
      </c>
      <c r="M2896" s="6">
        <f>IF(C2896="","",0)</f>
        <v/>
      </c>
    </row>
    <row r="2897">
      <c r="A2897" t="inlineStr">
        <is>
          <t>Bank 银行</t>
        </is>
      </c>
      <c r="B2897" s="5">
        <f>IF(AND('Daily Sale entry '!Z1397="Online collection 网上收款",'Daily Sale entry '!AA1397&lt;&gt;""),'Daily Sale entry '!X1397,"")</f>
        <v/>
      </c>
      <c r="C2897">
        <f>IF(B2897="","",'Daily Sale entry '!AA1397)</f>
        <v/>
      </c>
      <c r="D2897">
        <f>IF(C2897="","",0)</f>
        <v/>
      </c>
      <c r="E2897">
        <f>IF(C2897="","",'Daily Sale entry '!AC1397)</f>
        <v/>
      </c>
      <c r="F2897" s="37">
        <f>IF(C2897="","",B2897+IF(E2897&gt;0,0,0.5)+ROW()/10000000)</f>
        <v/>
      </c>
      <c r="G2897">
        <f>IF(C2897="","","Collection 收款 (Online 网上)"&amp;IF('Daily Sale entry '!Y1397="",""," - "&amp;'Daily Sale entry '!Y1397))</f>
        <v/>
      </c>
      <c r="H2897">
        <f>IF(C2897="","",COUNTIFS($C$2:$C$3001,C2897,$F$2:$F$3001,"&lt;"&amp;F2897)+1)</f>
        <v/>
      </c>
      <c r="I2897">
        <f>IF(C2897="","",C2897&amp;"|"&amp;H2897)</f>
        <v/>
      </c>
      <c r="J2897" s="6">
        <f>IF(C2897="","",IF(H2897=1,SUMIFS('Opening Balance'!$F$4:$F$303,'Opening Balance'!$G$4:$G$303,C2897),INDEX($L$2:$L$3001,MATCH(C2897&amp;"|"&amp;(H2897-1),$I$2:$I$3001,0))))</f>
        <v/>
      </c>
      <c r="K2897" s="6">
        <f>IF(C2897="","",IF(M2897&gt;0,M2897,IF(AND(E2897&gt;0,ROUND(J2897+D2897-E2897,2)&gt;0,ROUND(J2897+D2897-E2897,2)&lt;'Opening Balance'!$B$14),ROUND(J2897+D2897-E2897,2),0)))</f>
        <v/>
      </c>
      <c r="L2897" s="6">
        <f>IF(C2897="","",ROUND(J2897+D2897-E2897-K2897,2))</f>
        <v/>
      </c>
      <c r="M2897" s="6">
        <f>IF(C2897="","",0)</f>
        <v/>
      </c>
    </row>
    <row r="2898">
      <c r="A2898" t="inlineStr">
        <is>
          <t>Bank 银行</t>
        </is>
      </c>
      <c r="B2898" s="5">
        <f>IF(AND('Daily Sale entry '!Z1398="Online collection 网上收款",'Daily Sale entry '!AA1398&lt;&gt;""),'Daily Sale entry '!X1398,"")</f>
        <v/>
      </c>
      <c r="C2898">
        <f>IF(B2898="","",'Daily Sale entry '!AA1398)</f>
        <v/>
      </c>
      <c r="D2898">
        <f>IF(C2898="","",0)</f>
        <v/>
      </c>
      <c r="E2898">
        <f>IF(C2898="","",'Daily Sale entry '!AC1398)</f>
        <v/>
      </c>
      <c r="F2898" s="37">
        <f>IF(C2898="","",B2898+IF(E2898&gt;0,0,0.5)+ROW()/10000000)</f>
        <v/>
      </c>
      <c r="G2898">
        <f>IF(C2898="","","Collection 收款 (Online 网上)"&amp;IF('Daily Sale entry '!Y1398="",""," - "&amp;'Daily Sale entry '!Y1398))</f>
        <v/>
      </c>
      <c r="H2898">
        <f>IF(C2898="","",COUNTIFS($C$2:$C$3001,C2898,$F$2:$F$3001,"&lt;"&amp;F2898)+1)</f>
        <v/>
      </c>
      <c r="I2898">
        <f>IF(C2898="","",C2898&amp;"|"&amp;H2898)</f>
        <v/>
      </c>
      <c r="J2898" s="6">
        <f>IF(C2898="","",IF(H2898=1,SUMIFS('Opening Balance'!$F$4:$F$303,'Opening Balance'!$G$4:$G$303,C2898),INDEX($L$2:$L$3001,MATCH(C2898&amp;"|"&amp;(H2898-1),$I$2:$I$3001,0))))</f>
        <v/>
      </c>
      <c r="K2898" s="6">
        <f>IF(C2898="","",IF(M2898&gt;0,M2898,IF(AND(E2898&gt;0,ROUND(J2898+D2898-E2898,2)&gt;0,ROUND(J2898+D2898-E2898,2)&lt;'Opening Balance'!$B$14),ROUND(J2898+D2898-E2898,2),0)))</f>
        <v/>
      </c>
      <c r="L2898" s="6">
        <f>IF(C2898="","",ROUND(J2898+D2898-E2898-K2898,2))</f>
        <v/>
      </c>
      <c r="M2898" s="6">
        <f>IF(C2898="","",0)</f>
        <v/>
      </c>
    </row>
    <row r="2899">
      <c r="A2899" t="inlineStr">
        <is>
          <t>Bank 银行</t>
        </is>
      </c>
      <c r="B2899" s="5">
        <f>IF(AND('Daily Sale entry '!Z1399="Online collection 网上收款",'Daily Sale entry '!AA1399&lt;&gt;""),'Daily Sale entry '!X1399,"")</f>
        <v/>
      </c>
      <c r="C2899">
        <f>IF(B2899="","",'Daily Sale entry '!AA1399)</f>
        <v/>
      </c>
      <c r="D2899">
        <f>IF(C2899="","",0)</f>
        <v/>
      </c>
      <c r="E2899">
        <f>IF(C2899="","",'Daily Sale entry '!AC1399)</f>
        <v/>
      </c>
      <c r="F2899" s="37">
        <f>IF(C2899="","",B2899+IF(E2899&gt;0,0,0.5)+ROW()/10000000)</f>
        <v/>
      </c>
      <c r="G2899">
        <f>IF(C2899="","","Collection 收款 (Online 网上)"&amp;IF('Daily Sale entry '!Y1399="",""," - "&amp;'Daily Sale entry '!Y1399))</f>
        <v/>
      </c>
      <c r="H2899">
        <f>IF(C2899="","",COUNTIFS($C$2:$C$3001,C2899,$F$2:$F$3001,"&lt;"&amp;F2899)+1)</f>
        <v/>
      </c>
      <c r="I2899">
        <f>IF(C2899="","",C2899&amp;"|"&amp;H2899)</f>
        <v/>
      </c>
      <c r="J2899" s="6">
        <f>IF(C2899="","",IF(H2899=1,SUMIFS('Opening Balance'!$F$4:$F$303,'Opening Balance'!$G$4:$G$303,C2899),INDEX($L$2:$L$3001,MATCH(C2899&amp;"|"&amp;(H2899-1),$I$2:$I$3001,0))))</f>
        <v/>
      </c>
      <c r="K2899" s="6">
        <f>IF(C2899="","",IF(M2899&gt;0,M2899,IF(AND(E2899&gt;0,ROUND(J2899+D2899-E2899,2)&gt;0,ROUND(J2899+D2899-E2899,2)&lt;'Opening Balance'!$B$14),ROUND(J2899+D2899-E2899,2),0)))</f>
        <v/>
      </c>
      <c r="L2899" s="6">
        <f>IF(C2899="","",ROUND(J2899+D2899-E2899-K2899,2))</f>
        <v/>
      </c>
      <c r="M2899" s="6">
        <f>IF(C2899="","",0)</f>
        <v/>
      </c>
    </row>
    <row r="2900">
      <c r="A2900" t="inlineStr">
        <is>
          <t>Bank 银行</t>
        </is>
      </c>
      <c r="B2900" s="5">
        <f>IF(AND('Daily Sale entry '!Z1400="Online collection 网上收款",'Daily Sale entry '!AA1400&lt;&gt;""),'Daily Sale entry '!X1400,"")</f>
        <v/>
      </c>
      <c r="C2900">
        <f>IF(B2900="","",'Daily Sale entry '!AA1400)</f>
        <v/>
      </c>
      <c r="D2900">
        <f>IF(C2900="","",0)</f>
        <v/>
      </c>
      <c r="E2900">
        <f>IF(C2900="","",'Daily Sale entry '!AC1400)</f>
        <v/>
      </c>
      <c r="F2900" s="37">
        <f>IF(C2900="","",B2900+IF(E2900&gt;0,0,0.5)+ROW()/10000000)</f>
        <v/>
      </c>
      <c r="G2900">
        <f>IF(C2900="","","Collection 收款 (Online 网上)"&amp;IF('Daily Sale entry '!Y1400="",""," - "&amp;'Daily Sale entry '!Y1400))</f>
        <v/>
      </c>
      <c r="H2900">
        <f>IF(C2900="","",COUNTIFS($C$2:$C$3001,C2900,$F$2:$F$3001,"&lt;"&amp;F2900)+1)</f>
        <v/>
      </c>
      <c r="I2900">
        <f>IF(C2900="","",C2900&amp;"|"&amp;H2900)</f>
        <v/>
      </c>
      <c r="J2900" s="6">
        <f>IF(C2900="","",IF(H2900=1,SUMIFS('Opening Balance'!$F$4:$F$303,'Opening Balance'!$G$4:$G$303,C2900),INDEX($L$2:$L$3001,MATCH(C2900&amp;"|"&amp;(H2900-1),$I$2:$I$3001,0))))</f>
        <v/>
      </c>
      <c r="K2900" s="6">
        <f>IF(C2900="","",IF(M2900&gt;0,M2900,IF(AND(E2900&gt;0,ROUND(J2900+D2900-E2900,2)&gt;0,ROUND(J2900+D2900-E2900,2)&lt;'Opening Balance'!$B$14),ROUND(J2900+D2900-E2900,2),0)))</f>
        <v/>
      </c>
      <c r="L2900" s="6">
        <f>IF(C2900="","",ROUND(J2900+D2900-E2900-K2900,2))</f>
        <v/>
      </c>
      <c r="M2900" s="6">
        <f>IF(C2900="","",0)</f>
        <v/>
      </c>
    </row>
    <row r="2901">
      <c r="A2901" t="inlineStr">
        <is>
          <t>Bank 银行</t>
        </is>
      </c>
      <c r="B2901" s="5">
        <f>IF(AND('Daily Sale entry '!Z1401="Online collection 网上收款",'Daily Sale entry '!AA1401&lt;&gt;""),'Daily Sale entry '!X1401,"")</f>
        <v/>
      </c>
      <c r="C2901">
        <f>IF(B2901="","",'Daily Sale entry '!AA1401)</f>
        <v/>
      </c>
      <c r="D2901">
        <f>IF(C2901="","",0)</f>
        <v/>
      </c>
      <c r="E2901">
        <f>IF(C2901="","",'Daily Sale entry '!AC1401)</f>
        <v/>
      </c>
      <c r="F2901" s="37">
        <f>IF(C2901="","",B2901+IF(E2901&gt;0,0,0.5)+ROW()/10000000)</f>
        <v/>
      </c>
      <c r="G2901">
        <f>IF(C2901="","","Collection 收款 (Online 网上)"&amp;IF('Daily Sale entry '!Y1401="",""," - "&amp;'Daily Sale entry '!Y1401))</f>
        <v/>
      </c>
      <c r="H2901">
        <f>IF(C2901="","",COUNTIFS($C$2:$C$3001,C2901,$F$2:$F$3001,"&lt;"&amp;F2901)+1)</f>
        <v/>
      </c>
      <c r="I2901">
        <f>IF(C2901="","",C2901&amp;"|"&amp;H2901)</f>
        <v/>
      </c>
      <c r="J2901" s="6">
        <f>IF(C2901="","",IF(H2901=1,SUMIFS('Opening Balance'!$F$4:$F$303,'Opening Balance'!$G$4:$G$303,C2901),INDEX($L$2:$L$3001,MATCH(C2901&amp;"|"&amp;(H2901-1),$I$2:$I$3001,0))))</f>
        <v/>
      </c>
      <c r="K2901" s="6">
        <f>IF(C2901="","",IF(M2901&gt;0,M2901,IF(AND(E2901&gt;0,ROUND(J2901+D2901-E2901,2)&gt;0,ROUND(J2901+D2901-E2901,2)&lt;'Opening Balance'!$B$14),ROUND(J2901+D2901-E2901,2),0)))</f>
        <v/>
      </c>
      <c r="L2901" s="6">
        <f>IF(C2901="","",ROUND(J2901+D2901-E2901-K2901,2))</f>
        <v/>
      </c>
      <c r="M2901" s="6">
        <f>IF(C2901="","",0)</f>
        <v/>
      </c>
    </row>
    <row r="2902">
      <c r="A2902" t="inlineStr">
        <is>
          <t>Bank 银行</t>
        </is>
      </c>
      <c r="B2902" s="5">
        <f>IF(AND('Daily Sale entry '!Z1402="Online collection 网上收款",'Daily Sale entry '!AA1402&lt;&gt;""),'Daily Sale entry '!X1402,"")</f>
        <v/>
      </c>
      <c r="C2902">
        <f>IF(B2902="","",'Daily Sale entry '!AA1402)</f>
        <v/>
      </c>
      <c r="D2902">
        <f>IF(C2902="","",0)</f>
        <v/>
      </c>
      <c r="E2902">
        <f>IF(C2902="","",'Daily Sale entry '!AC1402)</f>
        <v/>
      </c>
      <c r="F2902" s="37">
        <f>IF(C2902="","",B2902+IF(E2902&gt;0,0,0.5)+ROW()/10000000)</f>
        <v/>
      </c>
      <c r="G2902">
        <f>IF(C2902="","","Collection 收款 (Online 网上)"&amp;IF('Daily Sale entry '!Y1402="",""," - "&amp;'Daily Sale entry '!Y1402))</f>
        <v/>
      </c>
      <c r="H2902">
        <f>IF(C2902="","",COUNTIFS($C$2:$C$3001,C2902,$F$2:$F$3001,"&lt;"&amp;F2902)+1)</f>
        <v/>
      </c>
      <c r="I2902">
        <f>IF(C2902="","",C2902&amp;"|"&amp;H2902)</f>
        <v/>
      </c>
      <c r="J2902" s="6">
        <f>IF(C2902="","",IF(H2902=1,SUMIFS('Opening Balance'!$F$4:$F$303,'Opening Balance'!$G$4:$G$303,C2902),INDEX($L$2:$L$3001,MATCH(C2902&amp;"|"&amp;(H2902-1),$I$2:$I$3001,0))))</f>
        <v/>
      </c>
      <c r="K2902" s="6">
        <f>IF(C2902="","",IF(M2902&gt;0,M2902,IF(AND(E2902&gt;0,ROUND(J2902+D2902-E2902,2)&gt;0,ROUND(J2902+D2902-E2902,2)&lt;'Opening Balance'!$B$14),ROUND(J2902+D2902-E2902,2),0)))</f>
        <v/>
      </c>
      <c r="L2902" s="6">
        <f>IF(C2902="","",ROUND(J2902+D2902-E2902-K2902,2))</f>
        <v/>
      </c>
      <c r="M2902" s="6">
        <f>IF(C2902="","",0)</f>
        <v/>
      </c>
    </row>
    <row r="2903">
      <c r="A2903" t="inlineStr">
        <is>
          <t>Bank 银行</t>
        </is>
      </c>
      <c r="B2903" s="5">
        <f>IF(AND('Daily Sale entry '!Z1403="Online collection 网上收款",'Daily Sale entry '!AA1403&lt;&gt;""),'Daily Sale entry '!X1403,"")</f>
        <v/>
      </c>
      <c r="C2903">
        <f>IF(B2903="","",'Daily Sale entry '!AA1403)</f>
        <v/>
      </c>
      <c r="D2903">
        <f>IF(C2903="","",0)</f>
        <v/>
      </c>
      <c r="E2903">
        <f>IF(C2903="","",'Daily Sale entry '!AC1403)</f>
        <v/>
      </c>
      <c r="F2903" s="37">
        <f>IF(C2903="","",B2903+IF(E2903&gt;0,0,0.5)+ROW()/10000000)</f>
        <v/>
      </c>
      <c r="G2903">
        <f>IF(C2903="","","Collection 收款 (Online 网上)"&amp;IF('Daily Sale entry '!Y1403="",""," - "&amp;'Daily Sale entry '!Y1403))</f>
        <v/>
      </c>
      <c r="H2903">
        <f>IF(C2903="","",COUNTIFS($C$2:$C$3001,C2903,$F$2:$F$3001,"&lt;"&amp;F2903)+1)</f>
        <v/>
      </c>
      <c r="I2903">
        <f>IF(C2903="","",C2903&amp;"|"&amp;H2903)</f>
        <v/>
      </c>
      <c r="J2903" s="6">
        <f>IF(C2903="","",IF(H2903=1,SUMIFS('Opening Balance'!$F$4:$F$303,'Opening Balance'!$G$4:$G$303,C2903),INDEX($L$2:$L$3001,MATCH(C2903&amp;"|"&amp;(H2903-1),$I$2:$I$3001,0))))</f>
        <v/>
      </c>
      <c r="K2903" s="6">
        <f>IF(C2903="","",IF(M2903&gt;0,M2903,IF(AND(E2903&gt;0,ROUND(J2903+D2903-E2903,2)&gt;0,ROUND(J2903+D2903-E2903,2)&lt;'Opening Balance'!$B$14),ROUND(J2903+D2903-E2903,2),0)))</f>
        <v/>
      </c>
      <c r="L2903" s="6">
        <f>IF(C2903="","",ROUND(J2903+D2903-E2903-K2903,2))</f>
        <v/>
      </c>
      <c r="M2903" s="6">
        <f>IF(C2903="","",0)</f>
        <v/>
      </c>
    </row>
    <row r="2904">
      <c r="A2904" t="inlineStr">
        <is>
          <t>Bank 银行</t>
        </is>
      </c>
      <c r="B2904" s="5">
        <f>IF(AND('Daily Sale entry '!Z1404="Online collection 网上收款",'Daily Sale entry '!AA1404&lt;&gt;""),'Daily Sale entry '!X1404,"")</f>
        <v/>
      </c>
      <c r="C2904">
        <f>IF(B2904="","",'Daily Sale entry '!AA1404)</f>
        <v/>
      </c>
      <c r="D2904">
        <f>IF(C2904="","",0)</f>
        <v/>
      </c>
      <c r="E2904">
        <f>IF(C2904="","",'Daily Sale entry '!AC1404)</f>
        <v/>
      </c>
      <c r="F2904" s="37">
        <f>IF(C2904="","",B2904+IF(E2904&gt;0,0,0.5)+ROW()/10000000)</f>
        <v/>
      </c>
      <c r="G2904">
        <f>IF(C2904="","","Collection 收款 (Online 网上)"&amp;IF('Daily Sale entry '!Y1404="",""," - "&amp;'Daily Sale entry '!Y1404))</f>
        <v/>
      </c>
      <c r="H2904">
        <f>IF(C2904="","",COUNTIFS($C$2:$C$3001,C2904,$F$2:$F$3001,"&lt;"&amp;F2904)+1)</f>
        <v/>
      </c>
      <c r="I2904">
        <f>IF(C2904="","",C2904&amp;"|"&amp;H2904)</f>
        <v/>
      </c>
      <c r="J2904" s="6">
        <f>IF(C2904="","",IF(H2904=1,SUMIFS('Opening Balance'!$F$4:$F$303,'Opening Balance'!$G$4:$G$303,C2904),INDEX($L$2:$L$3001,MATCH(C2904&amp;"|"&amp;(H2904-1),$I$2:$I$3001,0))))</f>
        <v/>
      </c>
      <c r="K2904" s="6">
        <f>IF(C2904="","",IF(M2904&gt;0,M2904,IF(AND(E2904&gt;0,ROUND(J2904+D2904-E2904,2)&gt;0,ROUND(J2904+D2904-E2904,2)&lt;'Opening Balance'!$B$14),ROUND(J2904+D2904-E2904,2),0)))</f>
        <v/>
      </c>
      <c r="L2904" s="6">
        <f>IF(C2904="","",ROUND(J2904+D2904-E2904-K2904,2))</f>
        <v/>
      </c>
      <c r="M2904" s="6">
        <f>IF(C2904="","",0)</f>
        <v/>
      </c>
    </row>
    <row r="2905">
      <c r="A2905" t="inlineStr">
        <is>
          <t>Bank 银行</t>
        </is>
      </c>
      <c r="B2905" s="5">
        <f>IF(AND('Daily Sale entry '!Z1405="Online collection 网上收款",'Daily Sale entry '!AA1405&lt;&gt;""),'Daily Sale entry '!X1405,"")</f>
        <v/>
      </c>
      <c r="C2905">
        <f>IF(B2905="","",'Daily Sale entry '!AA1405)</f>
        <v/>
      </c>
      <c r="D2905">
        <f>IF(C2905="","",0)</f>
        <v/>
      </c>
      <c r="E2905">
        <f>IF(C2905="","",'Daily Sale entry '!AC1405)</f>
        <v/>
      </c>
      <c r="F2905" s="37">
        <f>IF(C2905="","",B2905+IF(E2905&gt;0,0,0.5)+ROW()/10000000)</f>
        <v/>
      </c>
      <c r="G2905">
        <f>IF(C2905="","","Collection 收款 (Online 网上)"&amp;IF('Daily Sale entry '!Y1405="",""," - "&amp;'Daily Sale entry '!Y1405))</f>
        <v/>
      </c>
      <c r="H2905">
        <f>IF(C2905="","",COUNTIFS($C$2:$C$3001,C2905,$F$2:$F$3001,"&lt;"&amp;F2905)+1)</f>
        <v/>
      </c>
      <c r="I2905">
        <f>IF(C2905="","",C2905&amp;"|"&amp;H2905)</f>
        <v/>
      </c>
      <c r="J2905" s="6">
        <f>IF(C2905="","",IF(H2905=1,SUMIFS('Opening Balance'!$F$4:$F$303,'Opening Balance'!$G$4:$G$303,C2905),INDEX($L$2:$L$3001,MATCH(C2905&amp;"|"&amp;(H2905-1),$I$2:$I$3001,0))))</f>
        <v/>
      </c>
      <c r="K2905" s="6">
        <f>IF(C2905="","",IF(M2905&gt;0,M2905,IF(AND(E2905&gt;0,ROUND(J2905+D2905-E2905,2)&gt;0,ROUND(J2905+D2905-E2905,2)&lt;'Opening Balance'!$B$14),ROUND(J2905+D2905-E2905,2),0)))</f>
        <v/>
      </c>
      <c r="L2905" s="6">
        <f>IF(C2905="","",ROUND(J2905+D2905-E2905-K2905,2))</f>
        <v/>
      </c>
      <c r="M2905" s="6">
        <f>IF(C2905="","",0)</f>
        <v/>
      </c>
    </row>
    <row r="2906">
      <c r="A2906" t="inlineStr">
        <is>
          <t>Bank 银行</t>
        </is>
      </c>
      <c r="B2906" s="5">
        <f>IF(AND('Daily Sale entry '!Z1406="Online collection 网上收款",'Daily Sale entry '!AA1406&lt;&gt;""),'Daily Sale entry '!X1406,"")</f>
        <v/>
      </c>
      <c r="C2906">
        <f>IF(B2906="","",'Daily Sale entry '!AA1406)</f>
        <v/>
      </c>
      <c r="D2906">
        <f>IF(C2906="","",0)</f>
        <v/>
      </c>
      <c r="E2906">
        <f>IF(C2906="","",'Daily Sale entry '!AC1406)</f>
        <v/>
      </c>
      <c r="F2906" s="37">
        <f>IF(C2906="","",B2906+IF(E2906&gt;0,0,0.5)+ROW()/10000000)</f>
        <v/>
      </c>
      <c r="G2906">
        <f>IF(C2906="","","Collection 收款 (Online 网上)"&amp;IF('Daily Sale entry '!Y1406="",""," - "&amp;'Daily Sale entry '!Y1406))</f>
        <v/>
      </c>
      <c r="H2906">
        <f>IF(C2906="","",COUNTIFS($C$2:$C$3001,C2906,$F$2:$F$3001,"&lt;"&amp;F2906)+1)</f>
        <v/>
      </c>
      <c r="I2906">
        <f>IF(C2906="","",C2906&amp;"|"&amp;H2906)</f>
        <v/>
      </c>
      <c r="J2906" s="6">
        <f>IF(C2906="","",IF(H2906=1,SUMIFS('Opening Balance'!$F$4:$F$303,'Opening Balance'!$G$4:$G$303,C2906),INDEX($L$2:$L$3001,MATCH(C2906&amp;"|"&amp;(H2906-1),$I$2:$I$3001,0))))</f>
        <v/>
      </c>
      <c r="K2906" s="6">
        <f>IF(C2906="","",IF(M2906&gt;0,M2906,IF(AND(E2906&gt;0,ROUND(J2906+D2906-E2906,2)&gt;0,ROUND(J2906+D2906-E2906,2)&lt;'Opening Balance'!$B$14),ROUND(J2906+D2906-E2906,2),0)))</f>
        <v/>
      </c>
      <c r="L2906" s="6">
        <f>IF(C2906="","",ROUND(J2906+D2906-E2906-K2906,2))</f>
        <v/>
      </c>
      <c r="M2906" s="6">
        <f>IF(C2906="","",0)</f>
        <v/>
      </c>
    </row>
    <row r="2907">
      <c r="A2907" t="inlineStr">
        <is>
          <t>Bank 银行</t>
        </is>
      </c>
      <c r="B2907" s="5">
        <f>IF(AND('Daily Sale entry '!Z1407="Online collection 网上收款",'Daily Sale entry '!AA1407&lt;&gt;""),'Daily Sale entry '!X1407,"")</f>
        <v/>
      </c>
      <c r="C2907">
        <f>IF(B2907="","",'Daily Sale entry '!AA1407)</f>
        <v/>
      </c>
      <c r="D2907">
        <f>IF(C2907="","",0)</f>
        <v/>
      </c>
      <c r="E2907">
        <f>IF(C2907="","",'Daily Sale entry '!AC1407)</f>
        <v/>
      </c>
      <c r="F2907" s="37">
        <f>IF(C2907="","",B2907+IF(E2907&gt;0,0,0.5)+ROW()/10000000)</f>
        <v/>
      </c>
      <c r="G2907">
        <f>IF(C2907="","","Collection 收款 (Online 网上)"&amp;IF('Daily Sale entry '!Y1407="",""," - "&amp;'Daily Sale entry '!Y1407))</f>
        <v/>
      </c>
      <c r="H2907">
        <f>IF(C2907="","",COUNTIFS($C$2:$C$3001,C2907,$F$2:$F$3001,"&lt;"&amp;F2907)+1)</f>
        <v/>
      </c>
      <c r="I2907">
        <f>IF(C2907="","",C2907&amp;"|"&amp;H2907)</f>
        <v/>
      </c>
      <c r="J2907" s="6">
        <f>IF(C2907="","",IF(H2907=1,SUMIFS('Opening Balance'!$F$4:$F$303,'Opening Balance'!$G$4:$G$303,C2907),INDEX($L$2:$L$3001,MATCH(C2907&amp;"|"&amp;(H2907-1),$I$2:$I$3001,0))))</f>
        <v/>
      </c>
      <c r="K2907" s="6">
        <f>IF(C2907="","",IF(M2907&gt;0,M2907,IF(AND(E2907&gt;0,ROUND(J2907+D2907-E2907,2)&gt;0,ROUND(J2907+D2907-E2907,2)&lt;'Opening Balance'!$B$14),ROUND(J2907+D2907-E2907,2),0)))</f>
        <v/>
      </c>
      <c r="L2907" s="6">
        <f>IF(C2907="","",ROUND(J2907+D2907-E2907-K2907,2))</f>
        <v/>
      </c>
      <c r="M2907" s="6">
        <f>IF(C2907="","",0)</f>
        <v/>
      </c>
    </row>
    <row r="2908">
      <c r="A2908" t="inlineStr">
        <is>
          <t>Bank 银行</t>
        </is>
      </c>
      <c r="B2908" s="5">
        <f>IF(AND('Daily Sale entry '!Z1408="Online collection 网上收款",'Daily Sale entry '!AA1408&lt;&gt;""),'Daily Sale entry '!X1408,"")</f>
        <v/>
      </c>
      <c r="C2908">
        <f>IF(B2908="","",'Daily Sale entry '!AA1408)</f>
        <v/>
      </c>
      <c r="D2908">
        <f>IF(C2908="","",0)</f>
        <v/>
      </c>
      <c r="E2908">
        <f>IF(C2908="","",'Daily Sale entry '!AC1408)</f>
        <v/>
      </c>
      <c r="F2908" s="37">
        <f>IF(C2908="","",B2908+IF(E2908&gt;0,0,0.5)+ROW()/10000000)</f>
        <v/>
      </c>
      <c r="G2908">
        <f>IF(C2908="","","Collection 收款 (Online 网上)"&amp;IF('Daily Sale entry '!Y1408="",""," - "&amp;'Daily Sale entry '!Y1408))</f>
        <v/>
      </c>
      <c r="H2908">
        <f>IF(C2908="","",COUNTIFS($C$2:$C$3001,C2908,$F$2:$F$3001,"&lt;"&amp;F2908)+1)</f>
        <v/>
      </c>
      <c r="I2908">
        <f>IF(C2908="","",C2908&amp;"|"&amp;H2908)</f>
        <v/>
      </c>
      <c r="J2908" s="6">
        <f>IF(C2908="","",IF(H2908=1,SUMIFS('Opening Balance'!$F$4:$F$303,'Opening Balance'!$G$4:$G$303,C2908),INDEX($L$2:$L$3001,MATCH(C2908&amp;"|"&amp;(H2908-1),$I$2:$I$3001,0))))</f>
        <v/>
      </c>
      <c r="K2908" s="6">
        <f>IF(C2908="","",IF(M2908&gt;0,M2908,IF(AND(E2908&gt;0,ROUND(J2908+D2908-E2908,2)&gt;0,ROUND(J2908+D2908-E2908,2)&lt;'Opening Balance'!$B$14),ROUND(J2908+D2908-E2908,2),0)))</f>
        <v/>
      </c>
      <c r="L2908" s="6">
        <f>IF(C2908="","",ROUND(J2908+D2908-E2908-K2908,2))</f>
        <v/>
      </c>
      <c r="M2908" s="6">
        <f>IF(C2908="","",0)</f>
        <v/>
      </c>
    </row>
    <row r="2909">
      <c r="A2909" t="inlineStr">
        <is>
          <t>Bank 银行</t>
        </is>
      </c>
      <c r="B2909" s="5">
        <f>IF(AND('Daily Sale entry '!Z1409="Online collection 网上收款",'Daily Sale entry '!AA1409&lt;&gt;""),'Daily Sale entry '!X1409,"")</f>
        <v/>
      </c>
      <c r="C2909">
        <f>IF(B2909="","",'Daily Sale entry '!AA1409)</f>
        <v/>
      </c>
      <c r="D2909">
        <f>IF(C2909="","",0)</f>
        <v/>
      </c>
      <c r="E2909">
        <f>IF(C2909="","",'Daily Sale entry '!AC1409)</f>
        <v/>
      </c>
      <c r="F2909" s="37">
        <f>IF(C2909="","",B2909+IF(E2909&gt;0,0,0.5)+ROW()/10000000)</f>
        <v/>
      </c>
      <c r="G2909">
        <f>IF(C2909="","","Collection 收款 (Online 网上)"&amp;IF('Daily Sale entry '!Y1409="",""," - "&amp;'Daily Sale entry '!Y1409))</f>
        <v/>
      </c>
      <c r="H2909">
        <f>IF(C2909="","",COUNTIFS($C$2:$C$3001,C2909,$F$2:$F$3001,"&lt;"&amp;F2909)+1)</f>
        <v/>
      </c>
      <c r="I2909">
        <f>IF(C2909="","",C2909&amp;"|"&amp;H2909)</f>
        <v/>
      </c>
      <c r="J2909" s="6">
        <f>IF(C2909="","",IF(H2909=1,SUMIFS('Opening Balance'!$F$4:$F$303,'Opening Balance'!$G$4:$G$303,C2909),INDEX($L$2:$L$3001,MATCH(C2909&amp;"|"&amp;(H2909-1),$I$2:$I$3001,0))))</f>
        <v/>
      </c>
      <c r="K2909" s="6">
        <f>IF(C2909="","",IF(M2909&gt;0,M2909,IF(AND(E2909&gt;0,ROUND(J2909+D2909-E2909,2)&gt;0,ROUND(J2909+D2909-E2909,2)&lt;'Opening Balance'!$B$14),ROUND(J2909+D2909-E2909,2),0)))</f>
        <v/>
      </c>
      <c r="L2909" s="6">
        <f>IF(C2909="","",ROUND(J2909+D2909-E2909-K2909,2))</f>
        <v/>
      </c>
      <c r="M2909" s="6">
        <f>IF(C2909="","",0)</f>
        <v/>
      </c>
    </row>
    <row r="2910">
      <c r="A2910" t="inlineStr">
        <is>
          <t>Bank 银行</t>
        </is>
      </c>
      <c r="B2910" s="5">
        <f>IF(AND('Daily Sale entry '!Z1410="Online collection 网上收款",'Daily Sale entry '!AA1410&lt;&gt;""),'Daily Sale entry '!X1410,"")</f>
        <v/>
      </c>
      <c r="C2910">
        <f>IF(B2910="","",'Daily Sale entry '!AA1410)</f>
        <v/>
      </c>
      <c r="D2910">
        <f>IF(C2910="","",0)</f>
        <v/>
      </c>
      <c r="E2910">
        <f>IF(C2910="","",'Daily Sale entry '!AC1410)</f>
        <v/>
      </c>
      <c r="F2910" s="37">
        <f>IF(C2910="","",B2910+IF(E2910&gt;0,0,0.5)+ROW()/10000000)</f>
        <v/>
      </c>
      <c r="G2910">
        <f>IF(C2910="","","Collection 收款 (Online 网上)"&amp;IF('Daily Sale entry '!Y1410="",""," - "&amp;'Daily Sale entry '!Y1410))</f>
        <v/>
      </c>
      <c r="H2910">
        <f>IF(C2910="","",COUNTIFS($C$2:$C$3001,C2910,$F$2:$F$3001,"&lt;"&amp;F2910)+1)</f>
        <v/>
      </c>
      <c r="I2910">
        <f>IF(C2910="","",C2910&amp;"|"&amp;H2910)</f>
        <v/>
      </c>
      <c r="J2910" s="6">
        <f>IF(C2910="","",IF(H2910=1,SUMIFS('Opening Balance'!$F$4:$F$303,'Opening Balance'!$G$4:$G$303,C2910),INDEX($L$2:$L$3001,MATCH(C2910&amp;"|"&amp;(H2910-1),$I$2:$I$3001,0))))</f>
        <v/>
      </c>
      <c r="K2910" s="6">
        <f>IF(C2910="","",IF(M2910&gt;0,M2910,IF(AND(E2910&gt;0,ROUND(J2910+D2910-E2910,2)&gt;0,ROUND(J2910+D2910-E2910,2)&lt;'Opening Balance'!$B$14),ROUND(J2910+D2910-E2910,2),0)))</f>
        <v/>
      </c>
      <c r="L2910" s="6">
        <f>IF(C2910="","",ROUND(J2910+D2910-E2910-K2910,2))</f>
        <v/>
      </c>
      <c r="M2910" s="6">
        <f>IF(C2910="","",0)</f>
        <v/>
      </c>
    </row>
    <row r="2911">
      <c r="A2911" t="inlineStr">
        <is>
          <t>Bank 银行</t>
        </is>
      </c>
      <c r="B2911" s="5">
        <f>IF(AND('Daily Sale entry '!Z1411="Online collection 网上收款",'Daily Sale entry '!AA1411&lt;&gt;""),'Daily Sale entry '!X1411,"")</f>
        <v/>
      </c>
      <c r="C2911">
        <f>IF(B2911="","",'Daily Sale entry '!AA1411)</f>
        <v/>
      </c>
      <c r="D2911">
        <f>IF(C2911="","",0)</f>
        <v/>
      </c>
      <c r="E2911">
        <f>IF(C2911="","",'Daily Sale entry '!AC1411)</f>
        <v/>
      </c>
      <c r="F2911" s="37">
        <f>IF(C2911="","",B2911+IF(E2911&gt;0,0,0.5)+ROW()/10000000)</f>
        <v/>
      </c>
      <c r="G2911">
        <f>IF(C2911="","","Collection 收款 (Online 网上)"&amp;IF('Daily Sale entry '!Y1411="",""," - "&amp;'Daily Sale entry '!Y1411))</f>
        <v/>
      </c>
      <c r="H2911">
        <f>IF(C2911="","",COUNTIFS($C$2:$C$3001,C2911,$F$2:$F$3001,"&lt;"&amp;F2911)+1)</f>
        <v/>
      </c>
      <c r="I2911">
        <f>IF(C2911="","",C2911&amp;"|"&amp;H2911)</f>
        <v/>
      </c>
      <c r="J2911" s="6">
        <f>IF(C2911="","",IF(H2911=1,SUMIFS('Opening Balance'!$F$4:$F$303,'Opening Balance'!$G$4:$G$303,C2911),INDEX($L$2:$L$3001,MATCH(C2911&amp;"|"&amp;(H2911-1),$I$2:$I$3001,0))))</f>
        <v/>
      </c>
      <c r="K2911" s="6">
        <f>IF(C2911="","",IF(M2911&gt;0,M2911,IF(AND(E2911&gt;0,ROUND(J2911+D2911-E2911,2)&gt;0,ROUND(J2911+D2911-E2911,2)&lt;'Opening Balance'!$B$14),ROUND(J2911+D2911-E2911,2),0)))</f>
        <v/>
      </c>
      <c r="L2911" s="6">
        <f>IF(C2911="","",ROUND(J2911+D2911-E2911-K2911,2))</f>
        <v/>
      </c>
      <c r="M2911" s="6">
        <f>IF(C2911="","",0)</f>
        <v/>
      </c>
    </row>
    <row r="2912">
      <c r="A2912" t="inlineStr">
        <is>
          <t>Bank 银行</t>
        </is>
      </c>
      <c r="B2912" s="5">
        <f>IF(AND('Daily Sale entry '!Z1412="Online collection 网上收款",'Daily Sale entry '!AA1412&lt;&gt;""),'Daily Sale entry '!X1412,"")</f>
        <v/>
      </c>
      <c r="C2912">
        <f>IF(B2912="","",'Daily Sale entry '!AA1412)</f>
        <v/>
      </c>
      <c r="D2912">
        <f>IF(C2912="","",0)</f>
        <v/>
      </c>
      <c r="E2912">
        <f>IF(C2912="","",'Daily Sale entry '!AC1412)</f>
        <v/>
      </c>
      <c r="F2912" s="37">
        <f>IF(C2912="","",B2912+IF(E2912&gt;0,0,0.5)+ROW()/10000000)</f>
        <v/>
      </c>
      <c r="G2912">
        <f>IF(C2912="","","Collection 收款 (Online 网上)"&amp;IF('Daily Sale entry '!Y1412="",""," - "&amp;'Daily Sale entry '!Y1412))</f>
        <v/>
      </c>
      <c r="H2912">
        <f>IF(C2912="","",COUNTIFS($C$2:$C$3001,C2912,$F$2:$F$3001,"&lt;"&amp;F2912)+1)</f>
        <v/>
      </c>
      <c r="I2912">
        <f>IF(C2912="","",C2912&amp;"|"&amp;H2912)</f>
        <v/>
      </c>
      <c r="J2912" s="6">
        <f>IF(C2912="","",IF(H2912=1,SUMIFS('Opening Balance'!$F$4:$F$303,'Opening Balance'!$G$4:$G$303,C2912),INDEX($L$2:$L$3001,MATCH(C2912&amp;"|"&amp;(H2912-1),$I$2:$I$3001,0))))</f>
        <v/>
      </c>
      <c r="K2912" s="6">
        <f>IF(C2912="","",IF(M2912&gt;0,M2912,IF(AND(E2912&gt;0,ROUND(J2912+D2912-E2912,2)&gt;0,ROUND(J2912+D2912-E2912,2)&lt;'Opening Balance'!$B$14),ROUND(J2912+D2912-E2912,2),0)))</f>
        <v/>
      </c>
      <c r="L2912" s="6">
        <f>IF(C2912="","",ROUND(J2912+D2912-E2912-K2912,2))</f>
        <v/>
      </c>
      <c r="M2912" s="6">
        <f>IF(C2912="","",0)</f>
        <v/>
      </c>
    </row>
    <row r="2913">
      <c r="A2913" t="inlineStr">
        <is>
          <t>Bank 银行</t>
        </is>
      </c>
      <c r="B2913" s="5">
        <f>IF(AND('Daily Sale entry '!Z1413="Online collection 网上收款",'Daily Sale entry '!AA1413&lt;&gt;""),'Daily Sale entry '!X1413,"")</f>
        <v/>
      </c>
      <c r="C2913">
        <f>IF(B2913="","",'Daily Sale entry '!AA1413)</f>
        <v/>
      </c>
      <c r="D2913">
        <f>IF(C2913="","",0)</f>
        <v/>
      </c>
      <c r="E2913">
        <f>IF(C2913="","",'Daily Sale entry '!AC1413)</f>
        <v/>
      </c>
      <c r="F2913" s="37">
        <f>IF(C2913="","",B2913+IF(E2913&gt;0,0,0.5)+ROW()/10000000)</f>
        <v/>
      </c>
      <c r="G2913">
        <f>IF(C2913="","","Collection 收款 (Online 网上)"&amp;IF('Daily Sale entry '!Y1413="",""," - "&amp;'Daily Sale entry '!Y1413))</f>
        <v/>
      </c>
      <c r="H2913">
        <f>IF(C2913="","",COUNTIFS($C$2:$C$3001,C2913,$F$2:$F$3001,"&lt;"&amp;F2913)+1)</f>
        <v/>
      </c>
      <c r="I2913">
        <f>IF(C2913="","",C2913&amp;"|"&amp;H2913)</f>
        <v/>
      </c>
      <c r="J2913" s="6">
        <f>IF(C2913="","",IF(H2913=1,SUMIFS('Opening Balance'!$F$4:$F$303,'Opening Balance'!$G$4:$G$303,C2913),INDEX($L$2:$L$3001,MATCH(C2913&amp;"|"&amp;(H2913-1),$I$2:$I$3001,0))))</f>
        <v/>
      </c>
      <c r="K2913" s="6">
        <f>IF(C2913="","",IF(M2913&gt;0,M2913,IF(AND(E2913&gt;0,ROUND(J2913+D2913-E2913,2)&gt;0,ROUND(J2913+D2913-E2913,2)&lt;'Opening Balance'!$B$14),ROUND(J2913+D2913-E2913,2),0)))</f>
        <v/>
      </c>
      <c r="L2913" s="6">
        <f>IF(C2913="","",ROUND(J2913+D2913-E2913-K2913,2))</f>
        <v/>
      </c>
      <c r="M2913" s="6">
        <f>IF(C2913="","",0)</f>
        <v/>
      </c>
    </row>
    <row r="2914">
      <c r="A2914" t="inlineStr">
        <is>
          <t>Bank 银行</t>
        </is>
      </c>
      <c r="B2914" s="5">
        <f>IF(AND('Daily Sale entry '!Z1414="Online collection 网上收款",'Daily Sale entry '!AA1414&lt;&gt;""),'Daily Sale entry '!X1414,"")</f>
        <v/>
      </c>
      <c r="C2914">
        <f>IF(B2914="","",'Daily Sale entry '!AA1414)</f>
        <v/>
      </c>
      <c r="D2914">
        <f>IF(C2914="","",0)</f>
        <v/>
      </c>
      <c r="E2914">
        <f>IF(C2914="","",'Daily Sale entry '!AC1414)</f>
        <v/>
      </c>
      <c r="F2914" s="37">
        <f>IF(C2914="","",B2914+IF(E2914&gt;0,0,0.5)+ROW()/10000000)</f>
        <v/>
      </c>
      <c r="G2914">
        <f>IF(C2914="","","Collection 收款 (Online 网上)"&amp;IF('Daily Sale entry '!Y1414="",""," - "&amp;'Daily Sale entry '!Y1414))</f>
        <v/>
      </c>
      <c r="H2914">
        <f>IF(C2914="","",COUNTIFS($C$2:$C$3001,C2914,$F$2:$F$3001,"&lt;"&amp;F2914)+1)</f>
        <v/>
      </c>
      <c r="I2914">
        <f>IF(C2914="","",C2914&amp;"|"&amp;H2914)</f>
        <v/>
      </c>
      <c r="J2914" s="6">
        <f>IF(C2914="","",IF(H2914=1,SUMIFS('Opening Balance'!$F$4:$F$303,'Opening Balance'!$G$4:$G$303,C2914),INDEX($L$2:$L$3001,MATCH(C2914&amp;"|"&amp;(H2914-1),$I$2:$I$3001,0))))</f>
        <v/>
      </c>
      <c r="K2914" s="6">
        <f>IF(C2914="","",IF(M2914&gt;0,M2914,IF(AND(E2914&gt;0,ROUND(J2914+D2914-E2914,2)&gt;0,ROUND(J2914+D2914-E2914,2)&lt;'Opening Balance'!$B$14),ROUND(J2914+D2914-E2914,2),0)))</f>
        <v/>
      </c>
      <c r="L2914" s="6">
        <f>IF(C2914="","",ROUND(J2914+D2914-E2914-K2914,2))</f>
        <v/>
      </c>
      <c r="M2914" s="6">
        <f>IF(C2914="","",0)</f>
        <v/>
      </c>
    </row>
    <row r="2915">
      <c r="A2915" t="inlineStr">
        <is>
          <t>Bank 银行</t>
        </is>
      </c>
      <c r="B2915" s="5">
        <f>IF(AND('Daily Sale entry '!Z1415="Online collection 网上收款",'Daily Sale entry '!AA1415&lt;&gt;""),'Daily Sale entry '!X1415,"")</f>
        <v/>
      </c>
      <c r="C2915">
        <f>IF(B2915="","",'Daily Sale entry '!AA1415)</f>
        <v/>
      </c>
      <c r="D2915">
        <f>IF(C2915="","",0)</f>
        <v/>
      </c>
      <c r="E2915">
        <f>IF(C2915="","",'Daily Sale entry '!AC1415)</f>
        <v/>
      </c>
      <c r="F2915" s="37">
        <f>IF(C2915="","",B2915+IF(E2915&gt;0,0,0.5)+ROW()/10000000)</f>
        <v/>
      </c>
      <c r="G2915">
        <f>IF(C2915="","","Collection 收款 (Online 网上)"&amp;IF('Daily Sale entry '!Y1415="",""," - "&amp;'Daily Sale entry '!Y1415))</f>
        <v/>
      </c>
      <c r="H2915">
        <f>IF(C2915="","",COUNTIFS($C$2:$C$3001,C2915,$F$2:$F$3001,"&lt;"&amp;F2915)+1)</f>
        <v/>
      </c>
      <c r="I2915">
        <f>IF(C2915="","",C2915&amp;"|"&amp;H2915)</f>
        <v/>
      </c>
      <c r="J2915" s="6">
        <f>IF(C2915="","",IF(H2915=1,SUMIFS('Opening Balance'!$F$4:$F$303,'Opening Balance'!$G$4:$G$303,C2915),INDEX($L$2:$L$3001,MATCH(C2915&amp;"|"&amp;(H2915-1),$I$2:$I$3001,0))))</f>
        <v/>
      </c>
      <c r="K2915" s="6">
        <f>IF(C2915="","",IF(M2915&gt;0,M2915,IF(AND(E2915&gt;0,ROUND(J2915+D2915-E2915,2)&gt;0,ROUND(J2915+D2915-E2915,2)&lt;'Opening Balance'!$B$14),ROUND(J2915+D2915-E2915,2),0)))</f>
        <v/>
      </c>
      <c r="L2915" s="6">
        <f>IF(C2915="","",ROUND(J2915+D2915-E2915-K2915,2))</f>
        <v/>
      </c>
      <c r="M2915" s="6">
        <f>IF(C2915="","",0)</f>
        <v/>
      </c>
    </row>
    <row r="2916">
      <c r="A2916" t="inlineStr">
        <is>
          <t>Bank 银行</t>
        </is>
      </c>
      <c r="B2916" s="5">
        <f>IF(AND('Daily Sale entry '!Z1416="Online collection 网上收款",'Daily Sale entry '!AA1416&lt;&gt;""),'Daily Sale entry '!X1416,"")</f>
        <v/>
      </c>
      <c r="C2916">
        <f>IF(B2916="","",'Daily Sale entry '!AA1416)</f>
        <v/>
      </c>
      <c r="D2916">
        <f>IF(C2916="","",0)</f>
        <v/>
      </c>
      <c r="E2916">
        <f>IF(C2916="","",'Daily Sale entry '!AC1416)</f>
        <v/>
      </c>
      <c r="F2916" s="37">
        <f>IF(C2916="","",B2916+IF(E2916&gt;0,0,0.5)+ROW()/10000000)</f>
        <v/>
      </c>
      <c r="G2916">
        <f>IF(C2916="","","Collection 收款 (Online 网上)"&amp;IF('Daily Sale entry '!Y1416="",""," - "&amp;'Daily Sale entry '!Y1416))</f>
        <v/>
      </c>
      <c r="H2916">
        <f>IF(C2916="","",COUNTIFS($C$2:$C$3001,C2916,$F$2:$F$3001,"&lt;"&amp;F2916)+1)</f>
        <v/>
      </c>
      <c r="I2916">
        <f>IF(C2916="","",C2916&amp;"|"&amp;H2916)</f>
        <v/>
      </c>
      <c r="J2916" s="6">
        <f>IF(C2916="","",IF(H2916=1,SUMIFS('Opening Balance'!$F$4:$F$303,'Opening Balance'!$G$4:$G$303,C2916),INDEX($L$2:$L$3001,MATCH(C2916&amp;"|"&amp;(H2916-1),$I$2:$I$3001,0))))</f>
        <v/>
      </c>
      <c r="K2916" s="6">
        <f>IF(C2916="","",IF(M2916&gt;0,M2916,IF(AND(E2916&gt;0,ROUND(J2916+D2916-E2916,2)&gt;0,ROUND(J2916+D2916-E2916,2)&lt;'Opening Balance'!$B$14),ROUND(J2916+D2916-E2916,2),0)))</f>
        <v/>
      </c>
      <c r="L2916" s="6">
        <f>IF(C2916="","",ROUND(J2916+D2916-E2916-K2916,2))</f>
        <v/>
      </c>
      <c r="M2916" s="6">
        <f>IF(C2916="","",0)</f>
        <v/>
      </c>
    </row>
    <row r="2917">
      <c r="A2917" t="inlineStr">
        <is>
          <t>Bank 银行</t>
        </is>
      </c>
      <c r="B2917" s="5">
        <f>IF(AND('Daily Sale entry '!Z1417="Online collection 网上收款",'Daily Sale entry '!AA1417&lt;&gt;""),'Daily Sale entry '!X1417,"")</f>
        <v/>
      </c>
      <c r="C2917">
        <f>IF(B2917="","",'Daily Sale entry '!AA1417)</f>
        <v/>
      </c>
      <c r="D2917">
        <f>IF(C2917="","",0)</f>
        <v/>
      </c>
      <c r="E2917">
        <f>IF(C2917="","",'Daily Sale entry '!AC1417)</f>
        <v/>
      </c>
      <c r="F2917" s="37">
        <f>IF(C2917="","",B2917+IF(E2917&gt;0,0,0.5)+ROW()/10000000)</f>
        <v/>
      </c>
      <c r="G2917">
        <f>IF(C2917="","","Collection 收款 (Online 网上)"&amp;IF('Daily Sale entry '!Y1417="",""," - "&amp;'Daily Sale entry '!Y1417))</f>
        <v/>
      </c>
      <c r="H2917">
        <f>IF(C2917="","",COUNTIFS($C$2:$C$3001,C2917,$F$2:$F$3001,"&lt;"&amp;F2917)+1)</f>
        <v/>
      </c>
      <c r="I2917">
        <f>IF(C2917="","",C2917&amp;"|"&amp;H2917)</f>
        <v/>
      </c>
      <c r="J2917" s="6">
        <f>IF(C2917="","",IF(H2917=1,SUMIFS('Opening Balance'!$F$4:$F$303,'Opening Balance'!$G$4:$G$303,C2917),INDEX($L$2:$L$3001,MATCH(C2917&amp;"|"&amp;(H2917-1),$I$2:$I$3001,0))))</f>
        <v/>
      </c>
      <c r="K2917" s="6">
        <f>IF(C2917="","",IF(M2917&gt;0,M2917,IF(AND(E2917&gt;0,ROUND(J2917+D2917-E2917,2)&gt;0,ROUND(J2917+D2917-E2917,2)&lt;'Opening Balance'!$B$14),ROUND(J2917+D2917-E2917,2),0)))</f>
        <v/>
      </c>
      <c r="L2917" s="6">
        <f>IF(C2917="","",ROUND(J2917+D2917-E2917-K2917,2))</f>
        <v/>
      </c>
      <c r="M2917" s="6">
        <f>IF(C2917="","",0)</f>
        <v/>
      </c>
    </row>
    <row r="2918">
      <c r="A2918" t="inlineStr">
        <is>
          <t>Bank 银行</t>
        </is>
      </c>
      <c r="B2918" s="5">
        <f>IF(AND('Daily Sale entry '!Z1418="Online collection 网上收款",'Daily Sale entry '!AA1418&lt;&gt;""),'Daily Sale entry '!X1418,"")</f>
        <v/>
      </c>
      <c r="C2918">
        <f>IF(B2918="","",'Daily Sale entry '!AA1418)</f>
        <v/>
      </c>
      <c r="D2918">
        <f>IF(C2918="","",0)</f>
        <v/>
      </c>
      <c r="E2918">
        <f>IF(C2918="","",'Daily Sale entry '!AC1418)</f>
        <v/>
      </c>
      <c r="F2918" s="37">
        <f>IF(C2918="","",B2918+IF(E2918&gt;0,0,0.5)+ROW()/10000000)</f>
        <v/>
      </c>
      <c r="G2918">
        <f>IF(C2918="","","Collection 收款 (Online 网上)"&amp;IF('Daily Sale entry '!Y1418="",""," - "&amp;'Daily Sale entry '!Y1418))</f>
        <v/>
      </c>
      <c r="H2918">
        <f>IF(C2918="","",COUNTIFS($C$2:$C$3001,C2918,$F$2:$F$3001,"&lt;"&amp;F2918)+1)</f>
        <v/>
      </c>
      <c r="I2918">
        <f>IF(C2918="","",C2918&amp;"|"&amp;H2918)</f>
        <v/>
      </c>
      <c r="J2918" s="6">
        <f>IF(C2918="","",IF(H2918=1,SUMIFS('Opening Balance'!$F$4:$F$303,'Opening Balance'!$G$4:$G$303,C2918),INDEX($L$2:$L$3001,MATCH(C2918&amp;"|"&amp;(H2918-1),$I$2:$I$3001,0))))</f>
        <v/>
      </c>
      <c r="K2918" s="6">
        <f>IF(C2918="","",IF(M2918&gt;0,M2918,IF(AND(E2918&gt;0,ROUND(J2918+D2918-E2918,2)&gt;0,ROUND(J2918+D2918-E2918,2)&lt;'Opening Balance'!$B$14),ROUND(J2918+D2918-E2918,2),0)))</f>
        <v/>
      </c>
      <c r="L2918" s="6">
        <f>IF(C2918="","",ROUND(J2918+D2918-E2918-K2918,2))</f>
        <v/>
      </c>
      <c r="M2918" s="6">
        <f>IF(C2918="","",0)</f>
        <v/>
      </c>
    </row>
    <row r="2919">
      <c r="A2919" t="inlineStr">
        <is>
          <t>Bank 银行</t>
        </is>
      </c>
      <c r="B2919" s="5">
        <f>IF(AND('Daily Sale entry '!Z1419="Online collection 网上收款",'Daily Sale entry '!AA1419&lt;&gt;""),'Daily Sale entry '!X1419,"")</f>
        <v/>
      </c>
      <c r="C2919">
        <f>IF(B2919="","",'Daily Sale entry '!AA1419)</f>
        <v/>
      </c>
      <c r="D2919">
        <f>IF(C2919="","",0)</f>
        <v/>
      </c>
      <c r="E2919">
        <f>IF(C2919="","",'Daily Sale entry '!AC1419)</f>
        <v/>
      </c>
      <c r="F2919" s="37">
        <f>IF(C2919="","",B2919+IF(E2919&gt;0,0,0.5)+ROW()/10000000)</f>
        <v/>
      </c>
      <c r="G2919">
        <f>IF(C2919="","","Collection 收款 (Online 网上)"&amp;IF('Daily Sale entry '!Y1419="",""," - "&amp;'Daily Sale entry '!Y1419))</f>
        <v/>
      </c>
      <c r="H2919">
        <f>IF(C2919="","",COUNTIFS($C$2:$C$3001,C2919,$F$2:$F$3001,"&lt;"&amp;F2919)+1)</f>
        <v/>
      </c>
      <c r="I2919">
        <f>IF(C2919="","",C2919&amp;"|"&amp;H2919)</f>
        <v/>
      </c>
      <c r="J2919" s="6">
        <f>IF(C2919="","",IF(H2919=1,SUMIFS('Opening Balance'!$F$4:$F$303,'Opening Balance'!$G$4:$G$303,C2919),INDEX($L$2:$L$3001,MATCH(C2919&amp;"|"&amp;(H2919-1),$I$2:$I$3001,0))))</f>
        <v/>
      </c>
      <c r="K2919" s="6">
        <f>IF(C2919="","",IF(M2919&gt;0,M2919,IF(AND(E2919&gt;0,ROUND(J2919+D2919-E2919,2)&gt;0,ROUND(J2919+D2919-E2919,2)&lt;'Opening Balance'!$B$14),ROUND(J2919+D2919-E2919,2),0)))</f>
        <v/>
      </c>
      <c r="L2919" s="6">
        <f>IF(C2919="","",ROUND(J2919+D2919-E2919-K2919,2))</f>
        <v/>
      </c>
      <c r="M2919" s="6">
        <f>IF(C2919="","",0)</f>
        <v/>
      </c>
    </row>
    <row r="2920">
      <c r="A2920" t="inlineStr">
        <is>
          <t>Bank 银行</t>
        </is>
      </c>
      <c r="B2920" s="5">
        <f>IF(AND('Daily Sale entry '!Z1420="Online collection 网上收款",'Daily Sale entry '!AA1420&lt;&gt;""),'Daily Sale entry '!X1420,"")</f>
        <v/>
      </c>
      <c r="C2920">
        <f>IF(B2920="","",'Daily Sale entry '!AA1420)</f>
        <v/>
      </c>
      <c r="D2920">
        <f>IF(C2920="","",0)</f>
        <v/>
      </c>
      <c r="E2920">
        <f>IF(C2920="","",'Daily Sale entry '!AC1420)</f>
        <v/>
      </c>
      <c r="F2920" s="37">
        <f>IF(C2920="","",B2920+IF(E2920&gt;0,0,0.5)+ROW()/10000000)</f>
        <v/>
      </c>
      <c r="G2920">
        <f>IF(C2920="","","Collection 收款 (Online 网上)"&amp;IF('Daily Sale entry '!Y1420="",""," - "&amp;'Daily Sale entry '!Y1420))</f>
        <v/>
      </c>
      <c r="H2920">
        <f>IF(C2920="","",COUNTIFS($C$2:$C$3001,C2920,$F$2:$F$3001,"&lt;"&amp;F2920)+1)</f>
        <v/>
      </c>
      <c r="I2920">
        <f>IF(C2920="","",C2920&amp;"|"&amp;H2920)</f>
        <v/>
      </c>
      <c r="J2920" s="6">
        <f>IF(C2920="","",IF(H2920=1,SUMIFS('Opening Balance'!$F$4:$F$303,'Opening Balance'!$G$4:$G$303,C2920),INDEX($L$2:$L$3001,MATCH(C2920&amp;"|"&amp;(H2920-1),$I$2:$I$3001,0))))</f>
        <v/>
      </c>
      <c r="K2920" s="6">
        <f>IF(C2920="","",IF(M2920&gt;0,M2920,IF(AND(E2920&gt;0,ROUND(J2920+D2920-E2920,2)&gt;0,ROUND(J2920+D2920-E2920,2)&lt;'Opening Balance'!$B$14),ROUND(J2920+D2920-E2920,2),0)))</f>
        <v/>
      </c>
      <c r="L2920" s="6">
        <f>IF(C2920="","",ROUND(J2920+D2920-E2920-K2920,2))</f>
        <v/>
      </c>
      <c r="M2920" s="6">
        <f>IF(C2920="","",0)</f>
        <v/>
      </c>
    </row>
    <row r="2921">
      <c r="A2921" t="inlineStr">
        <is>
          <t>Bank 银行</t>
        </is>
      </c>
      <c r="B2921" s="5">
        <f>IF(AND('Daily Sale entry '!Z1421="Online collection 网上收款",'Daily Sale entry '!AA1421&lt;&gt;""),'Daily Sale entry '!X1421,"")</f>
        <v/>
      </c>
      <c r="C2921">
        <f>IF(B2921="","",'Daily Sale entry '!AA1421)</f>
        <v/>
      </c>
      <c r="D2921">
        <f>IF(C2921="","",0)</f>
        <v/>
      </c>
      <c r="E2921">
        <f>IF(C2921="","",'Daily Sale entry '!AC1421)</f>
        <v/>
      </c>
      <c r="F2921" s="37">
        <f>IF(C2921="","",B2921+IF(E2921&gt;0,0,0.5)+ROW()/10000000)</f>
        <v/>
      </c>
      <c r="G2921">
        <f>IF(C2921="","","Collection 收款 (Online 网上)"&amp;IF('Daily Sale entry '!Y1421="",""," - "&amp;'Daily Sale entry '!Y1421))</f>
        <v/>
      </c>
      <c r="H2921">
        <f>IF(C2921="","",COUNTIFS($C$2:$C$3001,C2921,$F$2:$F$3001,"&lt;"&amp;F2921)+1)</f>
        <v/>
      </c>
      <c r="I2921">
        <f>IF(C2921="","",C2921&amp;"|"&amp;H2921)</f>
        <v/>
      </c>
      <c r="J2921" s="6">
        <f>IF(C2921="","",IF(H2921=1,SUMIFS('Opening Balance'!$F$4:$F$303,'Opening Balance'!$G$4:$G$303,C2921),INDEX($L$2:$L$3001,MATCH(C2921&amp;"|"&amp;(H2921-1),$I$2:$I$3001,0))))</f>
        <v/>
      </c>
      <c r="K2921" s="6">
        <f>IF(C2921="","",IF(M2921&gt;0,M2921,IF(AND(E2921&gt;0,ROUND(J2921+D2921-E2921,2)&gt;0,ROUND(J2921+D2921-E2921,2)&lt;'Opening Balance'!$B$14),ROUND(J2921+D2921-E2921,2),0)))</f>
        <v/>
      </c>
      <c r="L2921" s="6">
        <f>IF(C2921="","",ROUND(J2921+D2921-E2921-K2921,2))</f>
        <v/>
      </c>
      <c r="M2921" s="6">
        <f>IF(C2921="","",0)</f>
        <v/>
      </c>
    </row>
    <row r="2922">
      <c r="A2922" t="inlineStr">
        <is>
          <t>Bank 银行</t>
        </is>
      </c>
      <c r="B2922" s="5">
        <f>IF(AND('Daily Sale entry '!Z1422="Online collection 网上收款",'Daily Sale entry '!AA1422&lt;&gt;""),'Daily Sale entry '!X1422,"")</f>
        <v/>
      </c>
      <c r="C2922">
        <f>IF(B2922="","",'Daily Sale entry '!AA1422)</f>
        <v/>
      </c>
      <c r="D2922">
        <f>IF(C2922="","",0)</f>
        <v/>
      </c>
      <c r="E2922">
        <f>IF(C2922="","",'Daily Sale entry '!AC1422)</f>
        <v/>
      </c>
      <c r="F2922" s="37">
        <f>IF(C2922="","",B2922+IF(E2922&gt;0,0,0.5)+ROW()/10000000)</f>
        <v/>
      </c>
      <c r="G2922">
        <f>IF(C2922="","","Collection 收款 (Online 网上)"&amp;IF('Daily Sale entry '!Y1422="",""," - "&amp;'Daily Sale entry '!Y1422))</f>
        <v/>
      </c>
      <c r="H2922">
        <f>IF(C2922="","",COUNTIFS($C$2:$C$3001,C2922,$F$2:$F$3001,"&lt;"&amp;F2922)+1)</f>
        <v/>
      </c>
      <c r="I2922">
        <f>IF(C2922="","",C2922&amp;"|"&amp;H2922)</f>
        <v/>
      </c>
      <c r="J2922" s="6">
        <f>IF(C2922="","",IF(H2922=1,SUMIFS('Opening Balance'!$F$4:$F$303,'Opening Balance'!$G$4:$G$303,C2922),INDEX($L$2:$L$3001,MATCH(C2922&amp;"|"&amp;(H2922-1),$I$2:$I$3001,0))))</f>
        <v/>
      </c>
      <c r="K2922" s="6">
        <f>IF(C2922="","",IF(M2922&gt;0,M2922,IF(AND(E2922&gt;0,ROUND(J2922+D2922-E2922,2)&gt;0,ROUND(J2922+D2922-E2922,2)&lt;'Opening Balance'!$B$14),ROUND(J2922+D2922-E2922,2),0)))</f>
        <v/>
      </c>
      <c r="L2922" s="6">
        <f>IF(C2922="","",ROUND(J2922+D2922-E2922-K2922,2))</f>
        <v/>
      </c>
      <c r="M2922" s="6">
        <f>IF(C2922="","",0)</f>
        <v/>
      </c>
    </row>
    <row r="2923">
      <c r="A2923" t="inlineStr">
        <is>
          <t>Bank 银行</t>
        </is>
      </c>
      <c r="B2923" s="5">
        <f>IF(AND('Daily Sale entry '!Z1423="Online collection 网上收款",'Daily Sale entry '!AA1423&lt;&gt;""),'Daily Sale entry '!X1423,"")</f>
        <v/>
      </c>
      <c r="C2923">
        <f>IF(B2923="","",'Daily Sale entry '!AA1423)</f>
        <v/>
      </c>
      <c r="D2923">
        <f>IF(C2923="","",0)</f>
        <v/>
      </c>
      <c r="E2923">
        <f>IF(C2923="","",'Daily Sale entry '!AC1423)</f>
        <v/>
      </c>
      <c r="F2923" s="37">
        <f>IF(C2923="","",B2923+IF(E2923&gt;0,0,0.5)+ROW()/10000000)</f>
        <v/>
      </c>
      <c r="G2923">
        <f>IF(C2923="","","Collection 收款 (Online 网上)"&amp;IF('Daily Sale entry '!Y1423="",""," - "&amp;'Daily Sale entry '!Y1423))</f>
        <v/>
      </c>
      <c r="H2923">
        <f>IF(C2923="","",COUNTIFS($C$2:$C$3001,C2923,$F$2:$F$3001,"&lt;"&amp;F2923)+1)</f>
        <v/>
      </c>
      <c r="I2923">
        <f>IF(C2923="","",C2923&amp;"|"&amp;H2923)</f>
        <v/>
      </c>
      <c r="J2923" s="6">
        <f>IF(C2923="","",IF(H2923=1,SUMIFS('Opening Balance'!$F$4:$F$303,'Opening Balance'!$G$4:$G$303,C2923),INDEX($L$2:$L$3001,MATCH(C2923&amp;"|"&amp;(H2923-1),$I$2:$I$3001,0))))</f>
        <v/>
      </c>
      <c r="K2923" s="6">
        <f>IF(C2923="","",IF(M2923&gt;0,M2923,IF(AND(E2923&gt;0,ROUND(J2923+D2923-E2923,2)&gt;0,ROUND(J2923+D2923-E2923,2)&lt;'Opening Balance'!$B$14),ROUND(J2923+D2923-E2923,2),0)))</f>
        <v/>
      </c>
      <c r="L2923" s="6">
        <f>IF(C2923="","",ROUND(J2923+D2923-E2923-K2923,2))</f>
        <v/>
      </c>
      <c r="M2923" s="6">
        <f>IF(C2923="","",0)</f>
        <v/>
      </c>
    </row>
    <row r="2924">
      <c r="A2924" t="inlineStr">
        <is>
          <t>Bank 银行</t>
        </is>
      </c>
      <c r="B2924" s="5">
        <f>IF(AND('Daily Sale entry '!Z1424="Online collection 网上收款",'Daily Sale entry '!AA1424&lt;&gt;""),'Daily Sale entry '!X1424,"")</f>
        <v/>
      </c>
      <c r="C2924">
        <f>IF(B2924="","",'Daily Sale entry '!AA1424)</f>
        <v/>
      </c>
      <c r="D2924">
        <f>IF(C2924="","",0)</f>
        <v/>
      </c>
      <c r="E2924">
        <f>IF(C2924="","",'Daily Sale entry '!AC1424)</f>
        <v/>
      </c>
      <c r="F2924" s="37">
        <f>IF(C2924="","",B2924+IF(E2924&gt;0,0,0.5)+ROW()/10000000)</f>
        <v/>
      </c>
      <c r="G2924">
        <f>IF(C2924="","","Collection 收款 (Online 网上)"&amp;IF('Daily Sale entry '!Y1424="",""," - "&amp;'Daily Sale entry '!Y1424))</f>
        <v/>
      </c>
      <c r="H2924">
        <f>IF(C2924="","",COUNTIFS($C$2:$C$3001,C2924,$F$2:$F$3001,"&lt;"&amp;F2924)+1)</f>
        <v/>
      </c>
      <c r="I2924">
        <f>IF(C2924="","",C2924&amp;"|"&amp;H2924)</f>
        <v/>
      </c>
      <c r="J2924" s="6">
        <f>IF(C2924="","",IF(H2924=1,SUMIFS('Opening Balance'!$F$4:$F$303,'Opening Balance'!$G$4:$G$303,C2924),INDEX($L$2:$L$3001,MATCH(C2924&amp;"|"&amp;(H2924-1),$I$2:$I$3001,0))))</f>
        <v/>
      </c>
      <c r="K2924" s="6">
        <f>IF(C2924="","",IF(M2924&gt;0,M2924,IF(AND(E2924&gt;0,ROUND(J2924+D2924-E2924,2)&gt;0,ROUND(J2924+D2924-E2924,2)&lt;'Opening Balance'!$B$14),ROUND(J2924+D2924-E2924,2),0)))</f>
        <v/>
      </c>
      <c r="L2924" s="6">
        <f>IF(C2924="","",ROUND(J2924+D2924-E2924-K2924,2))</f>
        <v/>
      </c>
      <c r="M2924" s="6">
        <f>IF(C2924="","",0)</f>
        <v/>
      </c>
    </row>
    <row r="2925">
      <c r="A2925" t="inlineStr">
        <is>
          <t>Bank 银行</t>
        </is>
      </c>
      <c r="B2925" s="5">
        <f>IF(AND('Daily Sale entry '!Z1425="Online collection 网上收款",'Daily Sale entry '!AA1425&lt;&gt;""),'Daily Sale entry '!X1425,"")</f>
        <v/>
      </c>
      <c r="C2925">
        <f>IF(B2925="","",'Daily Sale entry '!AA1425)</f>
        <v/>
      </c>
      <c r="D2925">
        <f>IF(C2925="","",0)</f>
        <v/>
      </c>
      <c r="E2925">
        <f>IF(C2925="","",'Daily Sale entry '!AC1425)</f>
        <v/>
      </c>
      <c r="F2925" s="37">
        <f>IF(C2925="","",B2925+IF(E2925&gt;0,0,0.5)+ROW()/10000000)</f>
        <v/>
      </c>
      <c r="G2925">
        <f>IF(C2925="","","Collection 收款 (Online 网上)"&amp;IF('Daily Sale entry '!Y1425="",""," - "&amp;'Daily Sale entry '!Y1425))</f>
        <v/>
      </c>
      <c r="H2925">
        <f>IF(C2925="","",COUNTIFS($C$2:$C$3001,C2925,$F$2:$F$3001,"&lt;"&amp;F2925)+1)</f>
        <v/>
      </c>
      <c r="I2925">
        <f>IF(C2925="","",C2925&amp;"|"&amp;H2925)</f>
        <v/>
      </c>
      <c r="J2925" s="6">
        <f>IF(C2925="","",IF(H2925=1,SUMIFS('Opening Balance'!$F$4:$F$303,'Opening Balance'!$G$4:$G$303,C2925),INDEX($L$2:$L$3001,MATCH(C2925&amp;"|"&amp;(H2925-1),$I$2:$I$3001,0))))</f>
        <v/>
      </c>
      <c r="K2925" s="6">
        <f>IF(C2925="","",IF(M2925&gt;0,M2925,IF(AND(E2925&gt;0,ROUND(J2925+D2925-E2925,2)&gt;0,ROUND(J2925+D2925-E2925,2)&lt;'Opening Balance'!$B$14),ROUND(J2925+D2925-E2925,2),0)))</f>
        <v/>
      </c>
      <c r="L2925" s="6">
        <f>IF(C2925="","",ROUND(J2925+D2925-E2925-K2925,2))</f>
        <v/>
      </c>
      <c r="M2925" s="6">
        <f>IF(C2925="","",0)</f>
        <v/>
      </c>
    </row>
    <row r="2926">
      <c r="A2926" t="inlineStr">
        <is>
          <t>Bank 银行</t>
        </is>
      </c>
      <c r="B2926" s="5">
        <f>IF(AND('Daily Sale entry '!Z1426="Online collection 网上收款",'Daily Sale entry '!AA1426&lt;&gt;""),'Daily Sale entry '!X1426,"")</f>
        <v/>
      </c>
      <c r="C2926">
        <f>IF(B2926="","",'Daily Sale entry '!AA1426)</f>
        <v/>
      </c>
      <c r="D2926">
        <f>IF(C2926="","",0)</f>
        <v/>
      </c>
      <c r="E2926">
        <f>IF(C2926="","",'Daily Sale entry '!AC1426)</f>
        <v/>
      </c>
      <c r="F2926" s="37">
        <f>IF(C2926="","",B2926+IF(E2926&gt;0,0,0.5)+ROW()/10000000)</f>
        <v/>
      </c>
      <c r="G2926">
        <f>IF(C2926="","","Collection 收款 (Online 网上)"&amp;IF('Daily Sale entry '!Y1426="",""," - "&amp;'Daily Sale entry '!Y1426))</f>
        <v/>
      </c>
      <c r="H2926">
        <f>IF(C2926="","",COUNTIFS($C$2:$C$3001,C2926,$F$2:$F$3001,"&lt;"&amp;F2926)+1)</f>
        <v/>
      </c>
      <c r="I2926">
        <f>IF(C2926="","",C2926&amp;"|"&amp;H2926)</f>
        <v/>
      </c>
      <c r="J2926" s="6">
        <f>IF(C2926="","",IF(H2926=1,SUMIFS('Opening Balance'!$F$4:$F$303,'Opening Balance'!$G$4:$G$303,C2926),INDEX($L$2:$L$3001,MATCH(C2926&amp;"|"&amp;(H2926-1),$I$2:$I$3001,0))))</f>
        <v/>
      </c>
      <c r="K2926" s="6">
        <f>IF(C2926="","",IF(M2926&gt;0,M2926,IF(AND(E2926&gt;0,ROUND(J2926+D2926-E2926,2)&gt;0,ROUND(J2926+D2926-E2926,2)&lt;'Opening Balance'!$B$14),ROUND(J2926+D2926-E2926,2),0)))</f>
        <v/>
      </c>
      <c r="L2926" s="6">
        <f>IF(C2926="","",ROUND(J2926+D2926-E2926-K2926,2))</f>
        <v/>
      </c>
      <c r="M2926" s="6">
        <f>IF(C2926="","",0)</f>
        <v/>
      </c>
    </row>
    <row r="2927">
      <c r="A2927" t="inlineStr">
        <is>
          <t>Bank 银行</t>
        </is>
      </c>
      <c r="B2927" s="5">
        <f>IF(AND('Daily Sale entry '!Z1427="Online collection 网上收款",'Daily Sale entry '!AA1427&lt;&gt;""),'Daily Sale entry '!X1427,"")</f>
        <v/>
      </c>
      <c r="C2927">
        <f>IF(B2927="","",'Daily Sale entry '!AA1427)</f>
        <v/>
      </c>
      <c r="D2927">
        <f>IF(C2927="","",0)</f>
        <v/>
      </c>
      <c r="E2927">
        <f>IF(C2927="","",'Daily Sale entry '!AC1427)</f>
        <v/>
      </c>
      <c r="F2927" s="37">
        <f>IF(C2927="","",B2927+IF(E2927&gt;0,0,0.5)+ROW()/10000000)</f>
        <v/>
      </c>
      <c r="G2927">
        <f>IF(C2927="","","Collection 收款 (Online 网上)"&amp;IF('Daily Sale entry '!Y1427="",""," - "&amp;'Daily Sale entry '!Y1427))</f>
        <v/>
      </c>
      <c r="H2927">
        <f>IF(C2927="","",COUNTIFS($C$2:$C$3001,C2927,$F$2:$F$3001,"&lt;"&amp;F2927)+1)</f>
        <v/>
      </c>
      <c r="I2927">
        <f>IF(C2927="","",C2927&amp;"|"&amp;H2927)</f>
        <v/>
      </c>
      <c r="J2927" s="6">
        <f>IF(C2927="","",IF(H2927=1,SUMIFS('Opening Balance'!$F$4:$F$303,'Opening Balance'!$G$4:$G$303,C2927),INDEX($L$2:$L$3001,MATCH(C2927&amp;"|"&amp;(H2927-1),$I$2:$I$3001,0))))</f>
        <v/>
      </c>
      <c r="K2927" s="6">
        <f>IF(C2927="","",IF(M2927&gt;0,M2927,IF(AND(E2927&gt;0,ROUND(J2927+D2927-E2927,2)&gt;0,ROUND(J2927+D2927-E2927,2)&lt;'Opening Balance'!$B$14),ROUND(J2927+D2927-E2927,2),0)))</f>
        <v/>
      </c>
      <c r="L2927" s="6">
        <f>IF(C2927="","",ROUND(J2927+D2927-E2927-K2927,2))</f>
        <v/>
      </c>
      <c r="M2927" s="6">
        <f>IF(C2927="","",0)</f>
        <v/>
      </c>
    </row>
    <row r="2928">
      <c r="A2928" t="inlineStr">
        <is>
          <t>Bank 银行</t>
        </is>
      </c>
      <c r="B2928" s="5">
        <f>IF(AND('Daily Sale entry '!Z1428="Online collection 网上收款",'Daily Sale entry '!AA1428&lt;&gt;""),'Daily Sale entry '!X1428,"")</f>
        <v/>
      </c>
      <c r="C2928">
        <f>IF(B2928="","",'Daily Sale entry '!AA1428)</f>
        <v/>
      </c>
      <c r="D2928">
        <f>IF(C2928="","",0)</f>
        <v/>
      </c>
      <c r="E2928">
        <f>IF(C2928="","",'Daily Sale entry '!AC1428)</f>
        <v/>
      </c>
      <c r="F2928" s="37">
        <f>IF(C2928="","",B2928+IF(E2928&gt;0,0,0.5)+ROW()/10000000)</f>
        <v/>
      </c>
      <c r="G2928">
        <f>IF(C2928="","","Collection 收款 (Online 网上)"&amp;IF('Daily Sale entry '!Y1428="",""," - "&amp;'Daily Sale entry '!Y1428))</f>
        <v/>
      </c>
      <c r="H2928">
        <f>IF(C2928="","",COUNTIFS($C$2:$C$3001,C2928,$F$2:$F$3001,"&lt;"&amp;F2928)+1)</f>
        <v/>
      </c>
      <c r="I2928">
        <f>IF(C2928="","",C2928&amp;"|"&amp;H2928)</f>
        <v/>
      </c>
      <c r="J2928" s="6">
        <f>IF(C2928="","",IF(H2928=1,SUMIFS('Opening Balance'!$F$4:$F$303,'Opening Balance'!$G$4:$G$303,C2928),INDEX($L$2:$L$3001,MATCH(C2928&amp;"|"&amp;(H2928-1),$I$2:$I$3001,0))))</f>
        <v/>
      </c>
      <c r="K2928" s="6">
        <f>IF(C2928="","",IF(M2928&gt;0,M2928,IF(AND(E2928&gt;0,ROUND(J2928+D2928-E2928,2)&gt;0,ROUND(J2928+D2928-E2928,2)&lt;'Opening Balance'!$B$14),ROUND(J2928+D2928-E2928,2),0)))</f>
        <v/>
      </c>
      <c r="L2928" s="6">
        <f>IF(C2928="","",ROUND(J2928+D2928-E2928-K2928,2))</f>
        <v/>
      </c>
      <c r="M2928" s="6">
        <f>IF(C2928="","",0)</f>
        <v/>
      </c>
    </row>
    <row r="2929">
      <c r="A2929" t="inlineStr">
        <is>
          <t>Bank 银行</t>
        </is>
      </c>
      <c r="B2929" s="5">
        <f>IF(AND('Daily Sale entry '!Z1429="Online collection 网上收款",'Daily Sale entry '!AA1429&lt;&gt;""),'Daily Sale entry '!X1429,"")</f>
        <v/>
      </c>
      <c r="C2929">
        <f>IF(B2929="","",'Daily Sale entry '!AA1429)</f>
        <v/>
      </c>
      <c r="D2929">
        <f>IF(C2929="","",0)</f>
        <v/>
      </c>
      <c r="E2929">
        <f>IF(C2929="","",'Daily Sale entry '!AC1429)</f>
        <v/>
      </c>
      <c r="F2929" s="37">
        <f>IF(C2929="","",B2929+IF(E2929&gt;0,0,0.5)+ROW()/10000000)</f>
        <v/>
      </c>
      <c r="G2929">
        <f>IF(C2929="","","Collection 收款 (Online 网上)"&amp;IF('Daily Sale entry '!Y1429="",""," - "&amp;'Daily Sale entry '!Y1429))</f>
        <v/>
      </c>
      <c r="H2929">
        <f>IF(C2929="","",COUNTIFS($C$2:$C$3001,C2929,$F$2:$F$3001,"&lt;"&amp;F2929)+1)</f>
        <v/>
      </c>
      <c r="I2929">
        <f>IF(C2929="","",C2929&amp;"|"&amp;H2929)</f>
        <v/>
      </c>
      <c r="J2929" s="6">
        <f>IF(C2929="","",IF(H2929=1,SUMIFS('Opening Balance'!$F$4:$F$303,'Opening Balance'!$G$4:$G$303,C2929),INDEX($L$2:$L$3001,MATCH(C2929&amp;"|"&amp;(H2929-1),$I$2:$I$3001,0))))</f>
        <v/>
      </c>
      <c r="K2929" s="6">
        <f>IF(C2929="","",IF(M2929&gt;0,M2929,IF(AND(E2929&gt;0,ROUND(J2929+D2929-E2929,2)&gt;0,ROUND(J2929+D2929-E2929,2)&lt;'Opening Balance'!$B$14),ROUND(J2929+D2929-E2929,2),0)))</f>
        <v/>
      </c>
      <c r="L2929" s="6">
        <f>IF(C2929="","",ROUND(J2929+D2929-E2929-K2929,2))</f>
        <v/>
      </c>
      <c r="M2929" s="6">
        <f>IF(C2929="","",0)</f>
        <v/>
      </c>
    </row>
    <row r="2930">
      <c r="A2930" t="inlineStr">
        <is>
          <t>Bank 银行</t>
        </is>
      </c>
      <c r="B2930" s="5">
        <f>IF(AND('Daily Sale entry '!Z1430="Online collection 网上收款",'Daily Sale entry '!AA1430&lt;&gt;""),'Daily Sale entry '!X1430,"")</f>
        <v/>
      </c>
      <c r="C2930">
        <f>IF(B2930="","",'Daily Sale entry '!AA1430)</f>
        <v/>
      </c>
      <c r="D2930">
        <f>IF(C2930="","",0)</f>
        <v/>
      </c>
      <c r="E2930">
        <f>IF(C2930="","",'Daily Sale entry '!AC1430)</f>
        <v/>
      </c>
      <c r="F2930" s="37">
        <f>IF(C2930="","",B2930+IF(E2930&gt;0,0,0.5)+ROW()/10000000)</f>
        <v/>
      </c>
      <c r="G2930">
        <f>IF(C2930="","","Collection 收款 (Online 网上)"&amp;IF('Daily Sale entry '!Y1430="",""," - "&amp;'Daily Sale entry '!Y1430))</f>
        <v/>
      </c>
      <c r="H2930">
        <f>IF(C2930="","",COUNTIFS($C$2:$C$3001,C2930,$F$2:$F$3001,"&lt;"&amp;F2930)+1)</f>
        <v/>
      </c>
      <c r="I2930">
        <f>IF(C2930="","",C2930&amp;"|"&amp;H2930)</f>
        <v/>
      </c>
      <c r="J2930" s="6">
        <f>IF(C2930="","",IF(H2930=1,SUMIFS('Opening Balance'!$F$4:$F$303,'Opening Balance'!$G$4:$G$303,C2930),INDEX($L$2:$L$3001,MATCH(C2930&amp;"|"&amp;(H2930-1),$I$2:$I$3001,0))))</f>
        <v/>
      </c>
      <c r="K2930" s="6">
        <f>IF(C2930="","",IF(M2930&gt;0,M2930,IF(AND(E2930&gt;0,ROUND(J2930+D2930-E2930,2)&gt;0,ROUND(J2930+D2930-E2930,2)&lt;'Opening Balance'!$B$14),ROUND(J2930+D2930-E2930,2),0)))</f>
        <v/>
      </c>
      <c r="L2930" s="6">
        <f>IF(C2930="","",ROUND(J2930+D2930-E2930-K2930,2))</f>
        <v/>
      </c>
      <c r="M2930" s="6">
        <f>IF(C2930="","",0)</f>
        <v/>
      </c>
    </row>
    <row r="2931">
      <c r="A2931" t="inlineStr">
        <is>
          <t>Bank 银行</t>
        </is>
      </c>
      <c r="B2931" s="5">
        <f>IF(AND('Daily Sale entry '!Z1431="Online collection 网上收款",'Daily Sale entry '!AA1431&lt;&gt;""),'Daily Sale entry '!X1431,"")</f>
        <v/>
      </c>
      <c r="C2931">
        <f>IF(B2931="","",'Daily Sale entry '!AA1431)</f>
        <v/>
      </c>
      <c r="D2931">
        <f>IF(C2931="","",0)</f>
        <v/>
      </c>
      <c r="E2931">
        <f>IF(C2931="","",'Daily Sale entry '!AC1431)</f>
        <v/>
      </c>
      <c r="F2931" s="37">
        <f>IF(C2931="","",B2931+IF(E2931&gt;0,0,0.5)+ROW()/10000000)</f>
        <v/>
      </c>
      <c r="G2931">
        <f>IF(C2931="","","Collection 收款 (Online 网上)"&amp;IF('Daily Sale entry '!Y1431="",""," - "&amp;'Daily Sale entry '!Y1431))</f>
        <v/>
      </c>
      <c r="H2931">
        <f>IF(C2931="","",COUNTIFS($C$2:$C$3001,C2931,$F$2:$F$3001,"&lt;"&amp;F2931)+1)</f>
        <v/>
      </c>
      <c r="I2931">
        <f>IF(C2931="","",C2931&amp;"|"&amp;H2931)</f>
        <v/>
      </c>
      <c r="J2931" s="6">
        <f>IF(C2931="","",IF(H2931=1,SUMIFS('Opening Balance'!$F$4:$F$303,'Opening Balance'!$G$4:$G$303,C2931),INDEX($L$2:$L$3001,MATCH(C2931&amp;"|"&amp;(H2931-1),$I$2:$I$3001,0))))</f>
        <v/>
      </c>
      <c r="K2931" s="6">
        <f>IF(C2931="","",IF(M2931&gt;0,M2931,IF(AND(E2931&gt;0,ROUND(J2931+D2931-E2931,2)&gt;0,ROUND(J2931+D2931-E2931,2)&lt;'Opening Balance'!$B$14),ROUND(J2931+D2931-E2931,2),0)))</f>
        <v/>
      </c>
      <c r="L2931" s="6">
        <f>IF(C2931="","",ROUND(J2931+D2931-E2931-K2931,2))</f>
        <v/>
      </c>
      <c r="M2931" s="6">
        <f>IF(C2931="","",0)</f>
        <v/>
      </c>
    </row>
    <row r="2932">
      <c r="A2932" t="inlineStr">
        <is>
          <t>Bank 银行</t>
        </is>
      </c>
      <c r="B2932" s="5">
        <f>IF(AND('Daily Sale entry '!Z1432="Online collection 网上收款",'Daily Sale entry '!AA1432&lt;&gt;""),'Daily Sale entry '!X1432,"")</f>
        <v/>
      </c>
      <c r="C2932">
        <f>IF(B2932="","",'Daily Sale entry '!AA1432)</f>
        <v/>
      </c>
      <c r="D2932">
        <f>IF(C2932="","",0)</f>
        <v/>
      </c>
      <c r="E2932">
        <f>IF(C2932="","",'Daily Sale entry '!AC1432)</f>
        <v/>
      </c>
      <c r="F2932" s="37">
        <f>IF(C2932="","",B2932+IF(E2932&gt;0,0,0.5)+ROW()/10000000)</f>
        <v/>
      </c>
      <c r="G2932">
        <f>IF(C2932="","","Collection 收款 (Online 网上)"&amp;IF('Daily Sale entry '!Y1432="",""," - "&amp;'Daily Sale entry '!Y1432))</f>
        <v/>
      </c>
      <c r="H2932">
        <f>IF(C2932="","",COUNTIFS($C$2:$C$3001,C2932,$F$2:$F$3001,"&lt;"&amp;F2932)+1)</f>
        <v/>
      </c>
      <c r="I2932">
        <f>IF(C2932="","",C2932&amp;"|"&amp;H2932)</f>
        <v/>
      </c>
      <c r="J2932" s="6">
        <f>IF(C2932="","",IF(H2932=1,SUMIFS('Opening Balance'!$F$4:$F$303,'Opening Balance'!$G$4:$G$303,C2932),INDEX($L$2:$L$3001,MATCH(C2932&amp;"|"&amp;(H2932-1),$I$2:$I$3001,0))))</f>
        <v/>
      </c>
      <c r="K2932" s="6">
        <f>IF(C2932="","",IF(M2932&gt;0,M2932,IF(AND(E2932&gt;0,ROUND(J2932+D2932-E2932,2)&gt;0,ROUND(J2932+D2932-E2932,2)&lt;'Opening Balance'!$B$14),ROUND(J2932+D2932-E2932,2),0)))</f>
        <v/>
      </c>
      <c r="L2932" s="6">
        <f>IF(C2932="","",ROUND(J2932+D2932-E2932-K2932,2))</f>
        <v/>
      </c>
      <c r="M2932" s="6">
        <f>IF(C2932="","",0)</f>
        <v/>
      </c>
    </row>
    <row r="2933">
      <c r="A2933" t="inlineStr">
        <is>
          <t>Bank 银行</t>
        </is>
      </c>
      <c r="B2933" s="5">
        <f>IF(AND('Daily Sale entry '!Z1433="Online collection 网上收款",'Daily Sale entry '!AA1433&lt;&gt;""),'Daily Sale entry '!X1433,"")</f>
        <v/>
      </c>
      <c r="C2933">
        <f>IF(B2933="","",'Daily Sale entry '!AA1433)</f>
        <v/>
      </c>
      <c r="D2933">
        <f>IF(C2933="","",0)</f>
        <v/>
      </c>
      <c r="E2933">
        <f>IF(C2933="","",'Daily Sale entry '!AC1433)</f>
        <v/>
      </c>
      <c r="F2933" s="37">
        <f>IF(C2933="","",B2933+IF(E2933&gt;0,0,0.5)+ROW()/10000000)</f>
        <v/>
      </c>
      <c r="G2933">
        <f>IF(C2933="","","Collection 收款 (Online 网上)"&amp;IF('Daily Sale entry '!Y1433="",""," - "&amp;'Daily Sale entry '!Y1433))</f>
        <v/>
      </c>
      <c r="H2933">
        <f>IF(C2933="","",COUNTIFS($C$2:$C$3001,C2933,$F$2:$F$3001,"&lt;"&amp;F2933)+1)</f>
        <v/>
      </c>
      <c r="I2933">
        <f>IF(C2933="","",C2933&amp;"|"&amp;H2933)</f>
        <v/>
      </c>
      <c r="J2933" s="6">
        <f>IF(C2933="","",IF(H2933=1,SUMIFS('Opening Balance'!$F$4:$F$303,'Opening Balance'!$G$4:$G$303,C2933),INDEX($L$2:$L$3001,MATCH(C2933&amp;"|"&amp;(H2933-1),$I$2:$I$3001,0))))</f>
        <v/>
      </c>
      <c r="K2933" s="6">
        <f>IF(C2933="","",IF(M2933&gt;0,M2933,IF(AND(E2933&gt;0,ROUND(J2933+D2933-E2933,2)&gt;0,ROUND(J2933+D2933-E2933,2)&lt;'Opening Balance'!$B$14),ROUND(J2933+D2933-E2933,2),0)))</f>
        <v/>
      </c>
      <c r="L2933" s="6">
        <f>IF(C2933="","",ROUND(J2933+D2933-E2933-K2933,2))</f>
        <v/>
      </c>
      <c r="M2933" s="6">
        <f>IF(C2933="","",0)</f>
        <v/>
      </c>
    </row>
    <row r="2934">
      <c r="A2934" t="inlineStr">
        <is>
          <t>Bank 银行</t>
        </is>
      </c>
      <c r="B2934" s="5">
        <f>IF(AND('Daily Sale entry '!Z1434="Online collection 网上收款",'Daily Sale entry '!AA1434&lt;&gt;""),'Daily Sale entry '!X1434,"")</f>
        <v/>
      </c>
      <c r="C2934">
        <f>IF(B2934="","",'Daily Sale entry '!AA1434)</f>
        <v/>
      </c>
      <c r="D2934">
        <f>IF(C2934="","",0)</f>
        <v/>
      </c>
      <c r="E2934">
        <f>IF(C2934="","",'Daily Sale entry '!AC1434)</f>
        <v/>
      </c>
      <c r="F2934" s="37">
        <f>IF(C2934="","",B2934+IF(E2934&gt;0,0,0.5)+ROW()/10000000)</f>
        <v/>
      </c>
      <c r="G2934">
        <f>IF(C2934="","","Collection 收款 (Online 网上)"&amp;IF('Daily Sale entry '!Y1434="",""," - "&amp;'Daily Sale entry '!Y1434))</f>
        <v/>
      </c>
      <c r="H2934">
        <f>IF(C2934="","",COUNTIFS($C$2:$C$3001,C2934,$F$2:$F$3001,"&lt;"&amp;F2934)+1)</f>
        <v/>
      </c>
      <c r="I2934">
        <f>IF(C2934="","",C2934&amp;"|"&amp;H2934)</f>
        <v/>
      </c>
      <c r="J2934" s="6">
        <f>IF(C2934="","",IF(H2934=1,SUMIFS('Opening Balance'!$F$4:$F$303,'Opening Balance'!$G$4:$G$303,C2934),INDEX($L$2:$L$3001,MATCH(C2934&amp;"|"&amp;(H2934-1),$I$2:$I$3001,0))))</f>
        <v/>
      </c>
      <c r="K2934" s="6">
        <f>IF(C2934="","",IF(M2934&gt;0,M2934,IF(AND(E2934&gt;0,ROUND(J2934+D2934-E2934,2)&gt;0,ROUND(J2934+D2934-E2934,2)&lt;'Opening Balance'!$B$14),ROUND(J2934+D2934-E2934,2),0)))</f>
        <v/>
      </c>
      <c r="L2934" s="6">
        <f>IF(C2934="","",ROUND(J2934+D2934-E2934-K2934,2))</f>
        <v/>
      </c>
      <c r="M2934" s="6">
        <f>IF(C2934="","",0)</f>
        <v/>
      </c>
    </row>
    <row r="2935">
      <c r="A2935" t="inlineStr">
        <is>
          <t>Bank 银行</t>
        </is>
      </c>
      <c r="B2935" s="5">
        <f>IF(AND('Daily Sale entry '!Z1435="Online collection 网上收款",'Daily Sale entry '!AA1435&lt;&gt;""),'Daily Sale entry '!X1435,"")</f>
        <v/>
      </c>
      <c r="C2935">
        <f>IF(B2935="","",'Daily Sale entry '!AA1435)</f>
        <v/>
      </c>
      <c r="D2935">
        <f>IF(C2935="","",0)</f>
        <v/>
      </c>
      <c r="E2935">
        <f>IF(C2935="","",'Daily Sale entry '!AC1435)</f>
        <v/>
      </c>
      <c r="F2935" s="37">
        <f>IF(C2935="","",B2935+IF(E2935&gt;0,0,0.5)+ROW()/10000000)</f>
        <v/>
      </c>
      <c r="G2935">
        <f>IF(C2935="","","Collection 收款 (Online 网上)"&amp;IF('Daily Sale entry '!Y1435="",""," - "&amp;'Daily Sale entry '!Y1435))</f>
        <v/>
      </c>
      <c r="H2935">
        <f>IF(C2935="","",COUNTIFS($C$2:$C$3001,C2935,$F$2:$F$3001,"&lt;"&amp;F2935)+1)</f>
        <v/>
      </c>
      <c r="I2935">
        <f>IF(C2935="","",C2935&amp;"|"&amp;H2935)</f>
        <v/>
      </c>
      <c r="J2935" s="6">
        <f>IF(C2935="","",IF(H2935=1,SUMIFS('Opening Balance'!$F$4:$F$303,'Opening Balance'!$G$4:$G$303,C2935),INDEX($L$2:$L$3001,MATCH(C2935&amp;"|"&amp;(H2935-1),$I$2:$I$3001,0))))</f>
        <v/>
      </c>
      <c r="K2935" s="6">
        <f>IF(C2935="","",IF(M2935&gt;0,M2935,IF(AND(E2935&gt;0,ROUND(J2935+D2935-E2935,2)&gt;0,ROUND(J2935+D2935-E2935,2)&lt;'Opening Balance'!$B$14),ROUND(J2935+D2935-E2935,2),0)))</f>
        <v/>
      </c>
      <c r="L2935" s="6">
        <f>IF(C2935="","",ROUND(J2935+D2935-E2935-K2935,2))</f>
        <v/>
      </c>
      <c r="M2935" s="6">
        <f>IF(C2935="","",0)</f>
        <v/>
      </c>
    </row>
    <row r="2936">
      <c r="A2936" t="inlineStr">
        <is>
          <t>Bank 银行</t>
        </is>
      </c>
      <c r="B2936" s="5">
        <f>IF(AND('Daily Sale entry '!Z1436="Online collection 网上收款",'Daily Sale entry '!AA1436&lt;&gt;""),'Daily Sale entry '!X1436,"")</f>
        <v/>
      </c>
      <c r="C2936">
        <f>IF(B2936="","",'Daily Sale entry '!AA1436)</f>
        <v/>
      </c>
      <c r="D2936">
        <f>IF(C2936="","",0)</f>
        <v/>
      </c>
      <c r="E2936">
        <f>IF(C2936="","",'Daily Sale entry '!AC1436)</f>
        <v/>
      </c>
      <c r="F2936" s="37">
        <f>IF(C2936="","",B2936+IF(E2936&gt;0,0,0.5)+ROW()/10000000)</f>
        <v/>
      </c>
      <c r="G2936">
        <f>IF(C2936="","","Collection 收款 (Online 网上)"&amp;IF('Daily Sale entry '!Y1436="",""," - "&amp;'Daily Sale entry '!Y1436))</f>
        <v/>
      </c>
      <c r="H2936">
        <f>IF(C2936="","",COUNTIFS($C$2:$C$3001,C2936,$F$2:$F$3001,"&lt;"&amp;F2936)+1)</f>
        <v/>
      </c>
      <c r="I2936">
        <f>IF(C2936="","",C2936&amp;"|"&amp;H2936)</f>
        <v/>
      </c>
      <c r="J2936" s="6">
        <f>IF(C2936="","",IF(H2936=1,SUMIFS('Opening Balance'!$F$4:$F$303,'Opening Balance'!$G$4:$G$303,C2936),INDEX($L$2:$L$3001,MATCH(C2936&amp;"|"&amp;(H2936-1),$I$2:$I$3001,0))))</f>
        <v/>
      </c>
      <c r="K2936" s="6">
        <f>IF(C2936="","",IF(M2936&gt;0,M2936,IF(AND(E2936&gt;0,ROUND(J2936+D2936-E2936,2)&gt;0,ROUND(J2936+D2936-E2936,2)&lt;'Opening Balance'!$B$14),ROUND(J2936+D2936-E2936,2),0)))</f>
        <v/>
      </c>
      <c r="L2936" s="6">
        <f>IF(C2936="","",ROUND(J2936+D2936-E2936-K2936,2))</f>
        <v/>
      </c>
      <c r="M2936" s="6">
        <f>IF(C2936="","",0)</f>
        <v/>
      </c>
    </row>
    <row r="2937">
      <c r="A2937" t="inlineStr">
        <is>
          <t>Bank 银行</t>
        </is>
      </c>
      <c r="B2937" s="5">
        <f>IF(AND('Daily Sale entry '!Z1437="Online collection 网上收款",'Daily Sale entry '!AA1437&lt;&gt;""),'Daily Sale entry '!X1437,"")</f>
        <v/>
      </c>
      <c r="C2937">
        <f>IF(B2937="","",'Daily Sale entry '!AA1437)</f>
        <v/>
      </c>
      <c r="D2937">
        <f>IF(C2937="","",0)</f>
        <v/>
      </c>
      <c r="E2937">
        <f>IF(C2937="","",'Daily Sale entry '!AC1437)</f>
        <v/>
      </c>
      <c r="F2937" s="37">
        <f>IF(C2937="","",B2937+IF(E2937&gt;0,0,0.5)+ROW()/10000000)</f>
        <v/>
      </c>
      <c r="G2937">
        <f>IF(C2937="","","Collection 收款 (Online 网上)"&amp;IF('Daily Sale entry '!Y1437="",""," - "&amp;'Daily Sale entry '!Y1437))</f>
        <v/>
      </c>
      <c r="H2937">
        <f>IF(C2937="","",COUNTIFS($C$2:$C$3001,C2937,$F$2:$F$3001,"&lt;"&amp;F2937)+1)</f>
        <v/>
      </c>
      <c r="I2937">
        <f>IF(C2937="","",C2937&amp;"|"&amp;H2937)</f>
        <v/>
      </c>
      <c r="J2937" s="6">
        <f>IF(C2937="","",IF(H2937=1,SUMIFS('Opening Balance'!$F$4:$F$303,'Opening Balance'!$G$4:$G$303,C2937),INDEX($L$2:$L$3001,MATCH(C2937&amp;"|"&amp;(H2937-1),$I$2:$I$3001,0))))</f>
        <v/>
      </c>
      <c r="K2937" s="6">
        <f>IF(C2937="","",IF(M2937&gt;0,M2937,IF(AND(E2937&gt;0,ROUND(J2937+D2937-E2937,2)&gt;0,ROUND(J2937+D2937-E2937,2)&lt;'Opening Balance'!$B$14),ROUND(J2937+D2937-E2937,2),0)))</f>
        <v/>
      </c>
      <c r="L2937" s="6">
        <f>IF(C2937="","",ROUND(J2937+D2937-E2937-K2937,2))</f>
        <v/>
      </c>
      <c r="M2937" s="6">
        <f>IF(C2937="","",0)</f>
        <v/>
      </c>
    </row>
    <row r="2938">
      <c r="A2938" t="inlineStr">
        <is>
          <t>Bank 银行</t>
        </is>
      </c>
      <c r="B2938" s="5">
        <f>IF(AND('Daily Sale entry '!Z1438="Online collection 网上收款",'Daily Sale entry '!AA1438&lt;&gt;""),'Daily Sale entry '!X1438,"")</f>
        <v/>
      </c>
      <c r="C2938">
        <f>IF(B2938="","",'Daily Sale entry '!AA1438)</f>
        <v/>
      </c>
      <c r="D2938">
        <f>IF(C2938="","",0)</f>
        <v/>
      </c>
      <c r="E2938">
        <f>IF(C2938="","",'Daily Sale entry '!AC1438)</f>
        <v/>
      </c>
      <c r="F2938" s="37">
        <f>IF(C2938="","",B2938+IF(E2938&gt;0,0,0.5)+ROW()/10000000)</f>
        <v/>
      </c>
      <c r="G2938">
        <f>IF(C2938="","","Collection 收款 (Online 网上)"&amp;IF('Daily Sale entry '!Y1438="",""," - "&amp;'Daily Sale entry '!Y1438))</f>
        <v/>
      </c>
      <c r="H2938">
        <f>IF(C2938="","",COUNTIFS($C$2:$C$3001,C2938,$F$2:$F$3001,"&lt;"&amp;F2938)+1)</f>
        <v/>
      </c>
      <c r="I2938">
        <f>IF(C2938="","",C2938&amp;"|"&amp;H2938)</f>
        <v/>
      </c>
      <c r="J2938" s="6">
        <f>IF(C2938="","",IF(H2938=1,SUMIFS('Opening Balance'!$F$4:$F$303,'Opening Balance'!$G$4:$G$303,C2938),INDEX($L$2:$L$3001,MATCH(C2938&amp;"|"&amp;(H2938-1),$I$2:$I$3001,0))))</f>
        <v/>
      </c>
      <c r="K2938" s="6">
        <f>IF(C2938="","",IF(M2938&gt;0,M2938,IF(AND(E2938&gt;0,ROUND(J2938+D2938-E2938,2)&gt;0,ROUND(J2938+D2938-E2938,2)&lt;'Opening Balance'!$B$14),ROUND(J2938+D2938-E2938,2),0)))</f>
        <v/>
      </c>
      <c r="L2938" s="6">
        <f>IF(C2938="","",ROUND(J2938+D2938-E2938-K2938,2))</f>
        <v/>
      </c>
      <c r="M2938" s="6">
        <f>IF(C2938="","",0)</f>
        <v/>
      </c>
    </row>
    <row r="2939">
      <c r="A2939" t="inlineStr">
        <is>
          <t>Bank 银行</t>
        </is>
      </c>
      <c r="B2939" s="5">
        <f>IF(AND('Daily Sale entry '!Z1439="Online collection 网上收款",'Daily Sale entry '!AA1439&lt;&gt;""),'Daily Sale entry '!X1439,"")</f>
        <v/>
      </c>
      <c r="C2939">
        <f>IF(B2939="","",'Daily Sale entry '!AA1439)</f>
        <v/>
      </c>
      <c r="D2939">
        <f>IF(C2939="","",0)</f>
        <v/>
      </c>
      <c r="E2939">
        <f>IF(C2939="","",'Daily Sale entry '!AC1439)</f>
        <v/>
      </c>
      <c r="F2939" s="37">
        <f>IF(C2939="","",B2939+IF(E2939&gt;0,0,0.5)+ROW()/10000000)</f>
        <v/>
      </c>
      <c r="G2939">
        <f>IF(C2939="","","Collection 收款 (Online 网上)"&amp;IF('Daily Sale entry '!Y1439="",""," - "&amp;'Daily Sale entry '!Y1439))</f>
        <v/>
      </c>
      <c r="H2939">
        <f>IF(C2939="","",COUNTIFS($C$2:$C$3001,C2939,$F$2:$F$3001,"&lt;"&amp;F2939)+1)</f>
        <v/>
      </c>
      <c r="I2939">
        <f>IF(C2939="","",C2939&amp;"|"&amp;H2939)</f>
        <v/>
      </c>
      <c r="J2939" s="6">
        <f>IF(C2939="","",IF(H2939=1,SUMIFS('Opening Balance'!$F$4:$F$303,'Opening Balance'!$G$4:$G$303,C2939),INDEX($L$2:$L$3001,MATCH(C2939&amp;"|"&amp;(H2939-1),$I$2:$I$3001,0))))</f>
        <v/>
      </c>
      <c r="K2939" s="6">
        <f>IF(C2939="","",IF(M2939&gt;0,M2939,IF(AND(E2939&gt;0,ROUND(J2939+D2939-E2939,2)&gt;0,ROUND(J2939+D2939-E2939,2)&lt;'Opening Balance'!$B$14),ROUND(J2939+D2939-E2939,2),0)))</f>
        <v/>
      </c>
      <c r="L2939" s="6">
        <f>IF(C2939="","",ROUND(J2939+D2939-E2939-K2939,2))</f>
        <v/>
      </c>
      <c r="M2939" s="6">
        <f>IF(C2939="","",0)</f>
        <v/>
      </c>
    </row>
    <row r="2940">
      <c r="A2940" t="inlineStr">
        <is>
          <t>Bank 银行</t>
        </is>
      </c>
      <c r="B2940" s="5">
        <f>IF(AND('Daily Sale entry '!Z1440="Online collection 网上收款",'Daily Sale entry '!AA1440&lt;&gt;""),'Daily Sale entry '!X1440,"")</f>
        <v/>
      </c>
      <c r="C2940">
        <f>IF(B2940="","",'Daily Sale entry '!AA1440)</f>
        <v/>
      </c>
      <c r="D2940">
        <f>IF(C2940="","",0)</f>
        <v/>
      </c>
      <c r="E2940">
        <f>IF(C2940="","",'Daily Sale entry '!AC1440)</f>
        <v/>
      </c>
      <c r="F2940" s="37">
        <f>IF(C2940="","",B2940+IF(E2940&gt;0,0,0.5)+ROW()/10000000)</f>
        <v/>
      </c>
      <c r="G2940">
        <f>IF(C2940="","","Collection 收款 (Online 网上)"&amp;IF('Daily Sale entry '!Y1440="",""," - "&amp;'Daily Sale entry '!Y1440))</f>
        <v/>
      </c>
      <c r="H2940">
        <f>IF(C2940="","",COUNTIFS($C$2:$C$3001,C2940,$F$2:$F$3001,"&lt;"&amp;F2940)+1)</f>
        <v/>
      </c>
      <c r="I2940">
        <f>IF(C2940="","",C2940&amp;"|"&amp;H2940)</f>
        <v/>
      </c>
      <c r="J2940" s="6">
        <f>IF(C2940="","",IF(H2940=1,SUMIFS('Opening Balance'!$F$4:$F$303,'Opening Balance'!$G$4:$G$303,C2940),INDEX($L$2:$L$3001,MATCH(C2940&amp;"|"&amp;(H2940-1),$I$2:$I$3001,0))))</f>
        <v/>
      </c>
      <c r="K2940" s="6">
        <f>IF(C2940="","",IF(M2940&gt;0,M2940,IF(AND(E2940&gt;0,ROUND(J2940+D2940-E2940,2)&gt;0,ROUND(J2940+D2940-E2940,2)&lt;'Opening Balance'!$B$14),ROUND(J2940+D2940-E2940,2),0)))</f>
        <v/>
      </c>
      <c r="L2940" s="6">
        <f>IF(C2940="","",ROUND(J2940+D2940-E2940-K2940,2))</f>
        <v/>
      </c>
      <c r="M2940" s="6">
        <f>IF(C2940="","",0)</f>
        <v/>
      </c>
    </row>
    <row r="2941">
      <c r="A2941" t="inlineStr">
        <is>
          <t>Bank 银行</t>
        </is>
      </c>
      <c r="B2941" s="5">
        <f>IF(AND('Daily Sale entry '!Z1441="Online collection 网上收款",'Daily Sale entry '!AA1441&lt;&gt;""),'Daily Sale entry '!X1441,"")</f>
        <v/>
      </c>
      <c r="C2941">
        <f>IF(B2941="","",'Daily Sale entry '!AA1441)</f>
        <v/>
      </c>
      <c r="D2941">
        <f>IF(C2941="","",0)</f>
        <v/>
      </c>
      <c r="E2941">
        <f>IF(C2941="","",'Daily Sale entry '!AC1441)</f>
        <v/>
      </c>
      <c r="F2941" s="37">
        <f>IF(C2941="","",B2941+IF(E2941&gt;0,0,0.5)+ROW()/10000000)</f>
        <v/>
      </c>
      <c r="G2941">
        <f>IF(C2941="","","Collection 收款 (Online 网上)"&amp;IF('Daily Sale entry '!Y1441="",""," - "&amp;'Daily Sale entry '!Y1441))</f>
        <v/>
      </c>
      <c r="H2941">
        <f>IF(C2941="","",COUNTIFS($C$2:$C$3001,C2941,$F$2:$F$3001,"&lt;"&amp;F2941)+1)</f>
        <v/>
      </c>
      <c r="I2941">
        <f>IF(C2941="","",C2941&amp;"|"&amp;H2941)</f>
        <v/>
      </c>
      <c r="J2941" s="6">
        <f>IF(C2941="","",IF(H2941=1,SUMIFS('Opening Balance'!$F$4:$F$303,'Opening Balance'!$G$4:$G$303,C2941),INDEX($L$2:$L$3001,MATCH(C2941&amp;"|"&amp;(H2941-1),$I$2:$I$3001,0))))</f>
        <v/>
      </c>
      <c r="K2941" s="6">
        <f>IF(C2941="","",IF(M2941&gt;0,M2941,IF(AND(E2941&gt;0,ROUND(J2941+D2941-E2941,2)&gt;0,ROUND(J2941+D2941-E2941,2)&lt;'Opening Balance'!$B$14),ROUND(J2941+D2941-E2941,2),0)))</f>
        <v/>
      </c>
      <c r="L2941" s="6">
        <f>IF(C2941="","",ROUND(J2941+D2941-E2941-K2941,2))</f>
        <v/>
      </c>
      <c r="M2941" s="6">
        <f>IF(C2941="","",0)</f>
        <v/>
      </c>
    </row>
    <row r="2942">
      <c r="A2942" t="inlineStr">
        <is>
          <t>Bank 银行</t>
        </is>
      </c>
      <c r="B2942" s="5">
        <f>IF(AND('Daily Sale entry '!Z1442="Online collection 网上收款",'Daily Sale entry '!AA1442&lt;&gt;""),'Daily Sale entry '!X1442,"")</f>
        <v/>
      </c>
      <c r="C2942">
        <f>IF(B2942="","",'Daily Sale entry '!AA1442)</f>
        <v/>
      </c>
      <c r="D2942">
        <f>IF(C2942="","",0)</f>
        <v/>
      </c>
      <c r="E2942">
        <f>IF(C2942="","",'Daily Sale entry '!AC1442)</f>
        <v/>
      </c>
      <c r="F2942" s="37">
        <f>IF(C2942="","",B2942+IF(E2942&gt;0,0,0.5)+ROW()/10000000)</f>
        <v/>
      </c>
      <c r="G2942">
        <f>IF(C2942="","","Collection 收款 (Online 网上)"&amp;IF('Daily Sale entry '!Y1442="",""," - "&amp;'Daily Sale entry '!Y1442))</f>
        <v/>
      </c>
      <c r="H2942">
        <f>IF(C2942="","",COUNTIFS($C$2:$C$3001,C2942,$F$2:$F$3001,"&lt;"&amp;F2942)+1)</f>
        <v/>
      </c>
      <c r="I2942">
        <f>IF(C2942="","",C2942&amp;"|"&amp;H2942)</f>
        <v/>
      </c>
      <c r="J2942" s="6">
        <f>IF(C2942="","",IF(H2942=1,SUMIFS('Opening Balance'!$F$4:$F$303,'Opening Balance'!$G$4:$G$303,C2942),INDEX($L$2:$L$3001,MATCH(C2942&amp;"|"&amp;(H2942-1),$I$2:$I$3001,0))))</f>
        <v/>
      </c>
      <c r="K2942" s="6">
        <f>IF(C2942="","",IF(M2942&gt;0,M2942,IF(AND(E2942&gt;0,ROUND(J2942+D2942-E2942,2)&gt;0,ROUND(J2942+D2942-E2942,2)&lt;'Opening Balance'!$B$14),ROUND(J2942+D2942-E2942,2),0)))</f>
        <v/>
      </c>
      <c r="L2942" s="6">
        <f>IF(C2942="","",ROUND(J2942+D2942-E2942-K2942,2))</f>
        <v/>
      </c>
      <c r="M2942" s="6">
        <f>IF(C2942="","",0)</f>
        <v/>
      </c>
    </row>
    <row r="2943">
      <c r="A2943" t="inlineStr">
        <is>
          <t>Bank 银行</t>
        </is>
      </c>
      <c r="B2943" s="5">
        <f>IF(AND('Daily Sale entry '!Z1443="Online collection 网上收款",'Daily Sale entry '!AA1443&lt;&gt;""),'Daily Sale entry '!X1443,"")</f>
        <v/>
      </c>
      <c r="C2943">
        <f>IF(B2943="","",'Daily Sale entry '!AA1443)</f>
        <v/>
      </c>
      <c r="D2943">
        <f>IF(C2943="","",0)</f>
        <v/>
      </c>
      <c r="E2943">
        <f>IF(C2943="","",'Daily Sale entry '!AC1443)</f>
        <v/>
      </c>
      <c r="F2943" s="37">
        <f>IF(C2943="","",B2943+IF(E2943&gt;0,0,0.5)+ROW()/10000000)</f>
        <v/>
      </c>
      <c r="G2943">
        <f>IF(C2943="","","Collection 收款 (Online 网上)"&amp;IF('Daily Sale entry '!Y1443="",""," - "&amp;'Daily Sale entry '!Y1443))</f>
        <v/>
      </c>
      <c r="H2943">
        <f>IF(C2943="","",COUNTIFS($C$2:$C$3001,C2943,$F$2:$F$3001,"&lt;"&amp;F2943)+1)</f>
        <v/>
      </c>
      <c r="I2943">
        <f>IF(C2943="","",C2943&amp;"|"&amp;H2943)</f>
        <v/>
      </c>
      <c r="J2943" s="6">
        <f>IF(C2943="","",IF(H2943=1,SUMIFS('Opening Balance'!$F$4:$F$303,'Opening Balance'!$G$4:$G$303,C2943),INDEX($L$2:$L$3001,MATCH(C2943&amp;"|"&amp;(H2943-1),$I$2:$I$3001,0))))</f>
        <v/>
      </c>
      <c r="K2943" s="6">
        <f>IF(C2943="","",IF(M2943&gt;0,M2943,IF(AND(E2943&gt;0,ROUND(J2943+D2943-E2943,2)&gt;0,ROUND(J2943+D2943-E2943,2)&lt;'Opening Balance'!$B$14),ROUND(J2943+D2943-E2943,2),0)))</f>
        <v/>
      </c>
      <c r="L2943" s="6">
        <f>IF(C2943="","",ROUND(J2943+D2943-E2943-K2943,2))</f>
        <v/>
      </c>
      <c r="M2943" s="6">
        <f>IF(C2943="","",0)</f>
        <v/>
      </c>
    </row>
    <row r="2944">
      <c r="A2944" t="inlineStr">
        <is>
          <t>Bank 银行</t>
        </is>
      </c>
      <c r="B2944" s="5">
        <f>IF(AND('Daily Sale entry '!Z1444="Online collection 网上收款",'Daily Sale entry '!AA1444&lt;&gt;""),'Daily Sale entry '!X1444,"")</f>
        <v/>
      </c>
      <c r="C2944">
        <f>IF(B2944="","",'Daily Sale entry '!AA1444)</f>
        <v/>
      </c>
      <c r="D2944">
        <f>IF(C2944="","",0)</f>
        <v/>
      </c>
      <c r="E2944">
        <f>IF(C2944="","",'Daily Sale entry '!AC1444)</f>
        <v/>
      </c>
      <c r="F2944" s="37">
        <f>IF(C2944="","",B2944+IF(E2944&gt;0,0,0.5)+ROW()/10000000)</f>
        <v/>
      </c>
      <c r="G2944">
        <f>IF(C2944="","","Collection 收款 (Online 网上)"&amp;IF('Daily Sale entry '!Y1444="",""," - "&amp;'Daily Sale entry '!Y1444))</f>
        <v/>
      </c>
      <c r="H2944">
        <f>IF(C2944="","",COUNTIFS($C$2:$C$3001,C2944,$F$2:$F$3001,"&lt;"&amp;F2944)+1)</f>
        <v/>
      </c>
      <c r="I2944">
        <f>IF(C2944="","",C2944&amp;"|"&amp;H2944)</f>
        <v/>
      </c>
      <c r="J2944" s="6">
        <f>IF(C2944="","",IF(H2944=1,SUMIFS('Opening Balance'!$F$4:$F$303,'Opening Balance'!$G$4:$G$303,C2944),INDEX($L$2:$L$3001,MATCH(C2944&amp;"|"&amp;(H2944-1),$I$2:$I$3001,0))))</f>
        <v/>
      </c>
      <c r="K2944" s="6">
        <f>IF(C2944="","",IF(M2944&gt;0,M2944,IF(AND(E2944&gt;0,ROUND(J2944+D2944-E2944,2)&gt;0,ROUND(J2944+D2944-E2944,2)&lt;'Opening Balance'!$B$14),ROUND(J2944+D2944-E2944,2),0)))</f>
        <v/>
      </c>
      <c r="L2944" s="6">
        <f>IF(C2944="","",ROUND(J2944+D2944-E2944-K2944,2))</f>
        <v/>
      </c>
      <c r="M2944" s="6">
        <f>IF(C2944="","",0)</f>
        <v/>
      </c>
    </row>
    <row r="2945">
      <c r="A2945" t="inlineStr">
        <is>
          <t>Bank 银行</t>
        </is>
      </c>
      <c r="B2945" s="5">
        <f>IF(AND('Daily Sale entry '!Z1445="Online collection 网上收款",'Daily Sale entry '!AA1445&lt;&gt;""),'Daily Sale entry '!X1445,"")</f>
        <v/>
      </c>
      <c r="C2945">
        <f>IF(B2945="","",'Daily Sale entry '!AA1445)</f>
        <v/>
      </c>
      <c r="D2945">
        <f>IF(C2945="","",0)</f>
        <v/>
      </c>
      <c r="E2945">
        <f>IF(C2945="","",'Daily Sale entry '!AC1445)</f>
        <v/>
      </c>
      <c r="F2945" s="37">
        <f>IF(C2945="","",B2945+IF(E2945&gt;0,0,0.5)+ROW()/10000000)</f>
        <v/>
      </c>
      <c r="G2945">
        <f>IF(C2945="","","Collection 收款 (Online 网上)"&amp;IF('Daily Sale entry '!Y1445="",""," - "&amp;'Daily Sale entry '!Y1445))</f>
        <v/>
      </c>
      <c r="H2945">
        <f>IF(C2945="","",COUNTIFS($C$2:$C$3001,C2945,$F$2:$F$3001,"&lt;"&amp;F2945)+1)</f>
        <v/>
      </c>
      <c r="I2945">
        <f>IF(C2945="","",C2945&amp;"|"&amp;H2945)</f>
        <v/>
      </c>
      <c r="J2945" s="6">
        <f>IF(C2945="","",IF(H2945=1,SUMIFS('Opening Balance'!$F$4:$F$303,'Opening Balance'!$G$4:$G$303,C2945),INDEX($L$2:$L$3001,MATCH(C2945&amp;"|"&amp;(H2945-1),$I$2:$I$3001,0))))</f>
        <v/>
      </c>
      <c r="K2945" s="6">
        <f>IF(C2945="","",IF(M2945&gt;0,M2945,IF(AND(E2945&gt;0,ROUND(J2945+D2945-E2945,2)&gt;0,ROUND(J2945+D2945-E2945,2)&lt;'Opening Balance'!$B$14),ROUND(J2945+D2945-E2945,2),0)))</f>
        <v/>
      </c>
      <c r="L2945" s="6">
        <f>IF(C2945="","",ROUND(J2945+D2945-E2945-K2945,2))</f>
        <v/>
      </c>
      <c r="M2945" s="6">
        <f>IF(C2945="","",0)</f>
        <v/>
      </c>
    </row>
    <row r="2946">
      <c r="A2946" t="inlineStr">
        <is>
          <t>Bank 银行</t>
        </is>
      </c>
      <c r="B2946" s="5">
        <f>IF(AND('Daily Sale entry '!Z1446="Online collection 网上收款",'Daily Sale entry '!AA1446&lt;&gt;""),'Daily Sale entry '!X1446,"")</f>
        <v/>
      </c>
      <c r="C2946">
        <f>IF(B2946="","",'Daily Sale entry '!AA1446)</f>
        <v/>
      </c>
      <c r="D2946">
        <f>IF(C2946="","",0)</f>
        <v/>
      </c>
      <c r="E2946">
        <f>IF(C2946="","",'Daily Sale entry '!AC1446)</f>
        <v/>
      </c>
      <c r="F2946" s="37">
        <f>IF(C2946="","",B2946+IF(E2946&gt;0,0,0.5)+ROW()/10000000)</f>
        <v/>
      </c>
      <c r="G2946">
        <f>IF(C2946="","","Collection 收款 (Online 网上)"&amp;IF('Daily Sale entry '!Y1446="",""," - "&amp;'Daily Sale entry '!Y1446))</f>
        <v/>
      </c>
      <c r="H2946">
        <f>IF(C2946="","",COUNTIFS($C$2:$C$3001,C2946,$F$2:$F$3001,"&lt;"&amp;F2946)+1)</f>
        <v/>
      </c>
      <c r="I2946">
        <f>IF(C2946="","",C2946&amp;"|"&amp;H2946)</f>
        <v/>
      </c>
      <c r="J2946" s="6">
        <f>IF(C2946="","",IF(H2946=1,SUMIFS('Opening Balance'!$F$4:$F$303,'Opening Balance'!$G$4:$G$303,C2946),INDEX($L$2:$L$3001,MATCH(C2946&amp;"|"&amp;(H2946-1),$I$2:$I$3001,0))))</f>
        <v/>
      </c>
      <c r="K2946" s="6">
        <f>IF(C2946="","",IF(M2946&gt;0,M2946,IF(AND(E2946&gt;0,ROUND(J2946+D2946-E2946,2)&gt;0,ROUND(J2946+D2946-E2946,2)&lt;'Opening Balance'!$B$14),ROUND(J2946+D2946-E2946,2),0)))</f>
        <v/>
      </c>
      <c r="L2946" s="6">
        <f>IF(C2946="","",ROUND(J2946+D2946-E2946-K2946,2))</f>
        <v/>
      </c>
      <c r="M2946" s="6">
        <f>IF(C2946="","",0)</f>
        <v/>
      </c>
    </row>
    <row r="2947">
      <c r="A2947" t="inlineStr">
        <is>
          <t>Bank 银行</t>
        </is>
      </c>
      <c r="B2947" s="5">
        <f>IF(AND('Daily Sale entry '!Z1447="Online collection 网上收款",'Daily Sale entry '!AA1447&lt;&gt;""),'Daily Sale entry '!X1447,"")</f>
        <v/>
      </c>
      <c r="C2947">
        <f>IF(B2947="","",'Daily Sale entry '!AA1447)</f>
        <v/>
      </c>
      <c r="D2947">
        <f>IF(C2947="","",0)</f>
        <v/>
      </c>
      <c r="E2947">
        <f>IF(C2947="","",'Daily Sale entry '!AC1447)</f>
        <v/>
      </c>
      <c r="F2947" s="37">
        <f>IF(C2947="","",B2947+IF(E2947&gt;0,0,0.5)+ROW()/10000000)</f>
        <v/>
      </c>
      <c r="G2947">
        <f>IF(C2947="","","Collection 收款 (Online 网上)"&amp;IF('Daily Sale entry '!Y1447="",""," - "&amp;'Daily Sale entry '!Y1447))</f>
        <v/>
      </c>
      <c r="H2947">
        <f>IF(C2947="","",COUNTIFS($C$2:$C$3001,C2947,$F$2:$F$3001,"&lt;"&amp;F2947)+1)</f>
        <v/>
      </c>
      <c r="I2947">
        <f>IF(C2947="","",C2947&amp;"|"&amp;H2947)</f>
        <v/>
      </c>
      <c r="J2947" s="6">
        <f>IF(C2947="","",IF(H2947=1,SUMIFS('Opening Balance'!$F$4:$F$303,'Opening Balance'!$G$4:$G$303,C2947),INDEX($L$2:$L$3001,MATCH(C2947&amp;"|"&amp;(H2947-1),$I$2:$I$3001,0))))</f>
        <v/>
      </c>
      <c r="K2947" s="6">
        <f>IF(C2947="","",IF(M2947&gt;0,M2947,IF(AND(E2947&gt;0,ROUND(J2947+D2947-E2947,2)&gt;0,ROUND(J2947+D2947-E2947,2)&lt;'Opening Balance'!$B$14),ROUND(J2947+D2947-E2947,2),0)))</f>
        <v/>
      </c>
      <c r="L2947" s="6">
        <f>IF(C2947="","",ROUND(J2947+D2947-E2947-K2947,2))</f>
        <v/>
      </c>
      <c r="M2947" s="6">
        <f>IF(C2947="","",0)</f>
        <v/>
      </c>
    </row>
    <row r="2948">
      <c r="A2948" t="inlineStr">
        <is>
          <t>Bank 银行</t>
        </is>
      </c>
      <c r="B2948" s="5">
        <f>IF(AND('Daily Sale entry '!Z1448="Online collection 网上收款",'Daily Sale entry '!AA1448&lt;&gt;""),'Daily Sale entry '!X1448,"")</f>
        <v/>
      </c>
      <c r="C2948">
        <f>IF(B2948="","",'Daily Sale entry '!AA1448)</f>
        <v/>
      </c>
      <c r="D2948">
        <f>IF(C2948="","",0)</f>
        <v/>
      </c>
      <c r="E2948">
        <f>IF(C2948="","",'Daily Sale entry '!AC1448)</f>
        <v/>
      </c>
      <c r="F2948" s="37">
        <f>IF(C2948="","",B2948+IF(E2948&gt;0,0,0.5)+ROW()/10000000)</f>
        <v/>
      </c>
      <c r="G2948">
        <f>IF(C2948="","","Collection 收款 (Online 网上)"&amp;IF('Daily Sale entry '!Y1448="",""," - "&amp;'Daily Sale entry '!Y1448))</f>
        <v/>
      </c>
      <c r="H2948">
        <f>IF(C2948="","",COUNTIFS($C$2:$C$3001,C2948,$F$2:$F$3001,"&lt;"&amp;F2948)+1)</f>
        <v/>
      </c>
      <c r="I2948">
        <f>IF(C2948="","",C2948&amp;"|"&amp;H2948)</f>
        <v/>
      </c>
      <c r="J2948" s="6">
        <f>IF(C2948="","",IF(H2948=1,SUMIFS('Opening Balance'!$F$4:$F$303,'Opening Balance'!$G$4:$G$303,C2948),INDEX($L$2:$L$3001,MATCH(C2948&amp;"|"&amp;(H2948-1),$I$2:$I$3001,0))))</f>
        <v/>
      </c>
      <c r="K2948" s="6">
        <f>IF(C2948="","",IF(M2948&gt;0,M2948,IF(AND(E2948&gt;0,ROUND(J2948+D2948-E2948,2)&gt;0,ROUND(J2948+D2948-E2948,2)&lt;'Opening Balance'!$B$14),ROUND(J2948+D2948-E2948,2),0)))</f>
        <v/>
      </c>
      <c r="L2948" s="6">
        <f>IF(C2948="","",ROUND(J2948+D2948-E2948-K2948,2))</f>
        <v/>
      </c>
      <c r="M2948" s="6">
        <f>IF(C2948="","",0)</f>
        <v/>
      </c>
    </row>
    <row r="2949">
      <c r="A2949" t="inlineStr">
        <is>
          <t>Bank 银行</t>
        </is>
      </c>
      <c r="B2949" s="5">
        <f>IF(AND('Daily Sale entry '!Z1449="Online collection 网上收款",'Daily Sale entry '!AA1449&lt;&gt;""),'Daily Sale entry '!X1449,"")</f>
        <v/>
      </c>
      <c r="C2949">
        <f>IF(B2949="","",'Daily Sale entry '!AA1449)</f>
        <v/>
      </c>
      <c r="D2949">
        <f>IF(C2949="","",0)</f>
        <v/>
      </c>
      <c r="E2949">
        <f>IF(C2949="","",'Daily Sale entry '!AC1449)</f>
        <v/>
      </c>
      <c r="F2949" s="37">
        <f>IF(C2949="","",B2949+IF(E2949&gt;0,0,0.5)+ROW()/10000000)</f>
        <v/>
      </c>
      <c r="G2949">
        <f>IF(C2949="","","Collection 收款 (Online 网上)"&amp;IF('Daily Sale entry '!Y1449="",""," - "&amp;'Daily Sale entry '!Y1449))</f>
        <v/>
      </c>
      <c r="H2949">
        <f>IF(C2949="","",COUNTIFS($C$2:$C$3001,C2949,$F$2:$F$3001,"&lt;"&amp;F2949)+1)</f>
        <v/>
      </c>
      <c r="I2949">
        <f>IF(C2949="","",C2949&amp;"|"&amp;H2949)</f>
        <v/>
      </c>
      <c r="J2949" s="6">
        <f>IF(C2949="","",IF(H2949=1,SUMIFS('Opening Balance'!$F$4:$F$303,'Opening Balance'!$G$4:$G$303,C2949),INDEX($L$2:$L$3001,MATCH(C2949&amp;"|"&amp;(H2949-1),$I$2:$I$3001,0))))</f>
        <v/>
      </c>
      <c r="K2949" s="6">
        <f>IF(C2949="","",IF(M2949&gt;0,M2949,IF(AND(E2949&gt;0,ROUND(J2949+D2949-E2949,2)&gt;0,ROUND(J2949+D2949-E2949,2)&lt;'Opening Balance'!$B$14),ROUND(J2949+D2949-E2949,2),0)))</f>
        <v/>
      </c>
      <c r="L2949" s="6">
        <f>IF(C2949="","",ROUND(J2949+D2949-E2949-K2949,2))</f>
        <v/>
      </c>
      <c r="M2949" s="6">
        <f>IF(C2949="","",0)</f>
        <v/>
      </c>
    </row>
    <row r="2950">
      <c r="A2950" t="inlineStr">
        <is>
          <t>Bank 银行</t>
        </is>
      </c>
      <c r="B2950" s="5">
        <f>IF(AND('Daily Sale entry '!Z1450="Online collection 网上收款",'Daily Sale entry '!AA1450&lt;&gt;""),'Daily Sale entry '!X1450,"")</f>
        <v/>
      </c>
      <c r="C2950">
        <f>IF(B2950="","",'Daily Sale entry '!AA1450)</f>
        <v/>
      </c>
      <c r="D2950">
        <f>IF(C2950="","",0)</f>
        <v/>
      </c>
      <c r="E2950">
        <f>IF(C2950="","",'Daily Sale entry '!AC1450)</f>
        <v/>
      </c>
      <c r="F2950" s="37">
        <f>IF(C2950="","",B2950+IF(E2950&gt;0,0,0.5)+ROW()/10000000)</f>
        <v/>
      </c>
      <c r="G2950">
        <f>IF(C2950="","","Collection 收款 (Online 网上)"&amp;IF('Daily Sale entry '!Y1450="",""," - "&amp;'Daily Sale entry '!Y1450))</f>
        <v/>
      </c>
      <c r="H2950">
        <f>IF(C2950="","",COUNTIFS($C$2:$C$3001,C2950,$F$2:$F$3001,"&lt;"&amp;F2950)+1)</f>
        <v/>
      </c>
      <c r="I2950">
        <f>IF(C2950="","",C2950&amp;"|"&amp;H2950)</f>
        <v/>
      </c>
      <c r="J2950" s="6">
        <f>IF(C2950="","",IF(H2950=1,SUMIFS('Opening Balance'!$F$4:$F$303,'Opening Balance'!$G$4:$G$303,C2950),INDEX($L$2:$L$3001,MATCH(C2950&amp;"|"&amp;(H2950-1),$I$2:$I$3001,0))))</f>
        <v/>
      </c>
      <c r="K2950" s="6">
        <f>IF(C2950="","",IF(M2950&gt;0,M2950,IF(AND(E2950&gt;0,ROUND(J2950+D2950-E2950,2)&gt;0,ROUND(J2950+D2950-E2950,2)&lt;'Opening Balance'!$B$14),ROUND(J2950+D2950-E2950,2),0)))</f>
        <v/>
      </c>
      <c r="L2950" s="6">
        <f>IF(C2950="","",ROUND(J2950+D2950-E2950-K2950,2))</f>
        <v/>
      </c>
      <c r="M2950" s="6">
        <f>IF(C2950="","",0)</f>
        <v/>
      </c>
    </row>
    <row r="2951">
      <c r="A2951" t="inlineStr">
        <is>
          <t>Bank 银行</t>
        </is>
      </c>
      <c r="B2951" s="5">
        <f>IF(AND('Daily Sale entry '!Z1451="Online collection 网上收款",'Daily Sale entry '!AA1451&lt;&gt;""),'Daily Sale entry '!X1451,"")</f>
        <v/>
      </c>
      <c r="C2951">
        <f>IF(B2951="","",'Daily Sale entry '!AA1451)</f>
        <v/>
      </c>
      <c r="D2951">
        <f>IF(C2951="","",0)</f>
        <v/>
      </c>
      <c r="E2951">
        <f>IF(C2951="","",'Daily Sale entry '!AC1451)</f>
        <v/>
      </c>
      <c r="F2951" s="37">
        <f>IF(C2951="","",B2951+IF(E2951&gt;0,0,0.5)+ROW()/10000000)</f>
        <v/>
      </c>
      <c r="G2951">
        <f>IF(C2951="","","Collection 收款 (Online 网上)"&amp;IF('Daily Sale entry '!Y1451="",""," - "&amp;'Daily Sale entry '!Y1451))</f>
        <v/>
      </c>
      <c r="H2951">
        <f>IF(C2951="","",COUNTIFS($C$2:$C$3001,C2951,$F$2:$F$3001,"&lt;"&amp;F2951)+1)</f>
        <v/>
      </c>
      <c r="I2951">
        <f>IF(C2951="","",C2951&amp;"|"&amp;H2951)</f>
        <v/>
      </c>
      <c r="J2951" s="6">
        <f>IF(C2951="","",IF(H2951=1,SUMIFS('Opening Balance'!$F$4:$F$303,'Opening Balance'!$G$4:$G$303,C2951),INDEX($L$2:$L$3001,MATCH(C2951&amp;"|"&amp;(H2951-1),$I$2:$I$3001,0))))</f>
        <v/>
      </c>
      <c r="K2951" s="6">
        <f>IF(C2951="","",IF(M2951&gt;0,M2951,IF(AND(E2951&gt;0,ROUND(J2951+D2951-E2951,2)&gt;0,ROUND(J2951+D2951-E2951,2)&lt;'Opening Balance'!$B$14),ROUND(J2951+D2951-E2951,2),0)))</f>
        <v/>
      </c>
      <c r="L2951" s="6">
        <f>IF(C2951="","",ROUND(J2951+D2951-E2951-K2951,2))</f>
        <v/>
      </c>
      <c r="M2951" s="6">
        <f>IF(C2951="","",0)</f>
        <v/>
      </c>
    </row>
    <row r="2952">
      <c r="A2952" t="inlineStr">
        <is>
          <t>Bank 银行</t>
        </is>
      </c>
      <c r="B2952" s="5">
        <f>IF(AND('Daily Sale entry '!Z1452="Online collection 网上收款",'Daily Sale entry '!AA1452&lt;&gt;""),'Daily Sale entry '!X1452,"")</f>
        <v/>
      </c>
      <c r="C2952">
        <f>IF(B2952="","",'Daily Sale entry '!AA1452)</f>
        <v/>
      </c>
      <c r="D2952">
        <f>IF(C2952="","",0)</f>
        <v/>
      </c>
      <c r="E2952">
        <f>IF(C2952="","",'Daily Sale entry '!AC1452)</f>
        <v/>
      </c>
      <c r="F2952" s="37">
        <f>IF(C2952="","",B2952+IF(E2952&gt;0,0,0.5)+ROW()/10000000)</f>
        <v/>
      </c>
      <c r="G2952">
        <f>IF(C2952="","","Collection 收款 (Online 网上)"&amp;IF('Daily Sale entry '!Y1452="",""," - "&amp;'Daily Sale entry '!Y1452))</f>
        <v/>
      </c>
      <c r="H2952">
        <f>IF(C2952="","",COUNTIFS($C$2:$C$3001,C2952,$F$2:$F$3001,"&lt;"&amp;F2952)+1)</f>
        <v/>
      </c>
      <c r="I2952">
        <f>IF(C2952="","",C2952&amp;"|"&amp;H2952)</f>
        <v/>
      </c>
      <c r="J2952" s="6">
        <f>IF(C2952="","",IF(H2952=1,SUMIFS('Opening Balance'!$F$4:$F$303,'Opening Balance'!$G$4:$G$303,C2952),INDEX($L$2:$L$3001,MATCH(C2952&amp;"|"&amp;(H2952-1),$I$2:$I$3001,0))))</f>
        <v/>
      </c>
      <c r="K2952" s="6">
        <f>IF(C2952="","",IF(M2952&gt;0,M2952,IF(AND(E2952&gt;0,ROUND(J2952+D2952-E2952,2)&gt;0,ROUND(J2952+D2952-E2952,2)&lt;'Opening Balance'!$B$14),ROUND(J2952+D2952-E2952,2),0)))</f>
        <v/>
      </c>
      <c r="L2952" s="6">
        <f>IF(C2952="","",ROUND(J2952+D2952-E2952-K2952,2))</f>
        <v/>
      </c>
      <c r="M2952" s="6">
        <f>IF(C2952="","",0)</f>
        <v/>
      </c>
    </row>
    <row r="2953">
      <c r="A2953" t="inlineStr">
        <is>
          <t>Bank 银行</t>
        </is>
      </c>
      <c r="B2953" s="5">
        <f>IF(AND('Daily Sale entry '!Z1453="Online collection 网上收款",'Daily Sale entry '!AA1453&lt;&gt;""),'Daily Sale entry '!X1453,"")</f>
        <v/>
      </c>
      <c r="C2953">
        <f>IF(B2953="","",'Daily Sale entry '!AA1453)</f>
        <v/>
      </c>
      <c r="D2953">
        <f>IF(C2953="","",0)</f>
        <v/>
      </c>
      <c r="E2953">
        <f>IF(C2953="","",'Daily Sale entry '!AC1453)</f>
        <v/>
      </c>
      <c r="F2953" s="37">
        <f>IF(C2953="","",B2953+IF(E2953&gt;0,0,0.5)+ROW()/10000000)</f>
        <v/>
      </c>
      <c r="G2953">
        <f>IF(C2953="","","Collection 收款 (Online 网上)"&amp;IF('Daily Sale entry '!Y1453="",""," - "&amp;'Daily Sale entry '!Y1453))</f>
        <v/>
      </c>
      <c r="H2953">
        <f>IF(C2953="","",COUNTIFS($C$2:$C$3001,C2953,$F$2:$F$3001,"&lt;"&amp;F2953)+1)</f>
        <v/>
      </c>
      <c r="I2953">
        <f>IF(C2953="","",C2953&amp;"|"&amp;H2953)</f>
        <v/>
      </c>
      <c r="J2953" s="6">
        <f>IF(C2953="","",IF(H2953=1,SUMIFS('Opening Balance'!$F$4:$F$303,'Opening Balance'!$G$4:$G$303,C2953),INDEX($L$2:$L$3001,MATCH(C2953&amp;"|"&amp;(H2953-1),$I$2:$I$3001,0))))</f>
        <v/>
      </c>
      <c r="K2953" s="6">
        <f>IF(C2953="","",IF(M2953&gt;0,M2953,IF(AND(E2953&gt;0,ROUND(J2953+D2953-E2953,2)&gt;0,ROUND(J2953+D2953-E2953,2)&lt;'Opening Balance'!$B$14),ROUND(J2953+D2953-E2953,2),0)))</f>
        <v/>
      </c>
      <c r="L2953" s="6">
        <f>IF(C2953="","",ROUND(J2953+D2953-E2953-K2953,2))</f>
        <v/>
      </c>
      <c r="M2953" s="6">
        <f>IF(C2953="","",0)</f>
        <v/>
      </c>
    </row>
    <row r="2954">
      <c r="A2954" t="inlineStr">
        <is>
          <t>Bank 银行</t>
        </is>
      </c>
      <c r="B2954" s="5">
        <f>IF(AND('Daily Sale entry '!Z1454="Online collection 网上收款",'Daily Sale entry '!AA1454&lt;&gt;""),'Daily Sale entry '!X1454,"")</f>
        <v/>
      </c>
      <c r="C2954">
        <f>IF(B2954="","",'Daily Sale entry '!AA1454)</f>
        <v/>
      </c>
      <c r="D2954">
        <f>IF(C2954="","",0)</f>
        <v/>
      </c>
      <c r="E2954">
        <f>IF(C2954="","",'Daily Sale entry '!AC1454)</f>
        <v/>
      </c>
      <c r="F2954" s="37">
        <f>IF(C2954="","",B2954+IF(E2954&gt;0,0,0.5)+ROW()/10000000)</f>
        <v/>
      </c>
      <c r="G2954">
        <f>IF(C2954="","","Collection 收款 (Online 网上)"&amp;IF('Daily Sale entry '!Y1454="",""," - "&amp;'Daily Sale entry '!Y1454))</f>
        <v/>
      </c>
      <c r="H2954">
        <f>IF(C2954="","",COUNTIFS($C$2:$C$3001,C2954,$F$2:$F$3001,"&lt;"&amp;F2954)+1)</f>
        <v/>
      </c>
      <c r="I2954">
        <f>IF(C2954="","",C2954&amp;"|"&amp;H2954)</f>
        <v/>
      </c>
      <c r="J2954" s="6">
        <f>IF(C2954="","",IF(H2954=1,SUMIFS('Opening Balance'!$F$4:$F$303,'Opening Balance'!$G$4:$G$303,C2954),INDEX($L$2:$L$3001,MATCH(C2954&amp;"|"&amp;(H2954-1),$I$2:$I$3001,0))))</f>
        <v/>
      </c>
      <c r="K2954" s="6">
        <f>IF(C2954="","",IF(M2954&gt;0,M2954,IF(AND(E2954&gt;0,ROUND(J2954+D2954-E2954,2)&gt;0,ROUND(J2954+D2954-E2954,2)&lt;'Opening Balance'!$B$14),ROUND(J2954+D2954-E2954,2),0)))</f>
        <v/>
      </c>
      <c r="L2954" s="6">
        <f>IF(C2954="","",ROUND(J2954+D2954-E2954-K2954,2))</f>
        <v/>
      </c>
      <c r="M2954" s="6">
        <f>IF(C2954="","",0)</f>
        <v/>
      </c>
    </row>
    <row r="2955">
      <c r="A2955" t="inlineStr">
        <is>
          <t>Bank 银行</t>
        </is>
      </c>
      <c r="B2955" s="5">
        <f>IF(AND('Daily Sale entry '!Z1455="Online collection 网上收款",'Daily Sale entry '!AA1455&lt;&gt;""),'Daily Sale entry '!X1455,"")</f>
        <v/>
      </c>
      <c r="C2955">
        <f>IF(B2955="","",'Daily Sale entry '!AA1455)</f>
        <v/>
      </c>
      <c r="D2955">
        <f>IF(C2955="","",0)</f>
        <v/>
      </c>
      <c r="E2955">
        <f>IF(C2955="","",'Daily Sale entry '!AC1455)</f>
        <v/>
      </c>
      <c r="F2955" s="37">
        <f>IF(C2955="","",B2955+IF(E2955&gt;0,0,0.5)+ROW()/10000000)</f>
        <v/>
      </c>
      <c r="G2955">
        <f>IF(C2955="","","Collection 收款 (Online 网上)"&amp;IF('Daily Sale entry '!Y1455="",""," - "&amp;'Daily Sale entry '!Y1455))</f>
        <v/>
      </c>
      <c r="H2955">
        <f>IF(C2955="","",COUNTIFS($C$2:$C$3001,C2955,$F$2:$F$3001,"&lt;"&amp;F2955)+1)</f>
        <v/>
      </c>
      <c r="I2955">
        <f>IF(C2955="","",C2955&amp;"|"&amp;H2955)</f>
        <v/>
      </c>
      <c r="J2955" s="6">
        <f>IF(C2955="","",IF(H2955=1,SUMIFS('Opening Balance'!$F$4:$F$303,'Opening Balance'!$G$4:$G$303,C2955),INDEX($L$2:$L$3001,MATCH(C2955&amp;"|"&amp;(H2955-1),$I$2:$I$3001,0))))</f>
        <v/>
      </c>
      <c r="K2955" s="6">
        <f>IF(C2955="","",IF(M2955&gt;0,M2955,IF(AND(E2955&gt;0,ROUND(J2955+D2955-E2955,2)&gt;0,ROUND(J2955+D2955-E2955,2)&lt;'Opening Balance'!$B$14),ROUND(J2955+D2955-E2955,2),0)))</f>
        <v/>
      </c>
      <c r="L2955" s="6">
        <f>IF(C2955="","",ROUND(J2955+D2955-E2955-K2955,2))</f>
        <v/>
      </c>
      <c r="M2955" s="6">
        <f>IF(C2955="","",0)</f>
        <v/>
      </c>
    </row>
    <row r="2956">
      <c r="A2956" t="inlineStr">
        <is>
          <t>Bank 银行</t>
        </is>
      </c>
      <c r="B2956" s="5">
        <f>IF(AND('Daily Sale entry '!Z1456="Online collection 网上收款",'Daily Sale entry '!AA1456&lt;&gt;""),'Daily Sale entry '!X1456,"")</f>
        <v/>
      </c>
      <c r="C2956">
        <f>IF(B2956="","",'Daily Sale entry '!AA1456)</f>
        <v/>
      </c>
      <c r="D2956">
        <f>IF(C2956="","",0)</f>
        <v/>
      </c>
      <c r="E2956">
        <f>IF(C2956="","",'Daily Sale entry '!AC1456)</f>
        <v/>
      </c>
      <c r="F2956" s="37">
        <f>IF(C2956="","",B2956+IF(E2956&gt;0,0,0.5)+ROW()/10000000)</f>
        <v/>
      </c>
      <c r="G2956">
        <f>IF(C2956="","","Collection 收款 (Online 网上)"&amp;IF('Daily Sale entry '!Y1456="",""," - "&amp;'Daily Sale entry '!Y1456))</f>
        <v/>
      </c>
      <c r="H2956">
        <f>IF(C2956="","",COUNTIFS($C$2:$C$3001,C2956,$F$2:$F$3001,"&lt;"&amp;F2956)+1)</f>
        <v/>
      </c>
      <c r="I2956">
        <f>IF(C2956="","",C2956&amp;"|"&amp;H2956)</f>
        <v/>
      </c>
      <c r="J2956" s="6">
        <f>IF(C2956="","",IF(H2956=1,SUMIFS('Opening Balance'!$F$4:$F$303,'Opening Balance'!$G$4:$G$303,C2956),INDEX($L$2:$L$3001,MATCH(C2956&amp;"|"&amp;(H2956-1),$I$2:$I$3001,0))))</f>
        <v/>
      </c>
      <c r="K2956" s="6">
        <f>IF(C2956="","",IF(M2956&gt;0,M2956,IF(AND(E2956&gt;0,ROUND(J2956+D2956-E2956,2)&gt;0,ROUND(J2956+D2956-E2956,2)&lt;'Opening Balance'!$B$14),ROUND(J2956+D2956-E2956,2),0)))</f>
        <v/>
      </c>
      <c r="L2956" s="6">
        <f>IF(C2956="","",ROUND(J2956+D2956-E2956-K2956,2))</f>
        <v/>
      </c>
      <c r="M2956" s="6">
        <f>IF(C2956="","",0)</f>
        <v/>
      </c>
    </row>
    <row r="2957">
      <c r="A2957" t="inlineStr">
        <is>
          <t>Bank 银行</t>
        </is>
      </c>
      <c r="B2957" s="5">
        <f>IF(AND('Daily Sale entry '!Z1457="Online collection 网上收款",'Daily Sale entry '!AA1457&lt;&gt;""),'Daily Sale entry '!X1457,"")</f>
        <v/>
      </c>
      <c r="C2957">
        <f>IF(B2957="","",'Daily Sale entry '!AA1457)</f>
        <v/>
      </c>
      <c r="D2957">
        <f>IF(C2957="","",0)</f>
        <v/>
      </c>
      <c r="E2957">
        <f>IF(C2957="","",'Daily Sale entry '!AC1457)</f>
        <v/>
      </c>
      <c r="F2957" s="37">
        <f>IF(C2957="","",B2957+IF(E2957&gt;0,0,0.5)+ROW()/10000000)</f>
        <v/>
      </c>
      <c r="G2957">
        <f>IF(C2957="","","Collection 收款 (Online 网上)"&amp;IF('Daily Sale entry '!Y1457="",""," - "&amp;'Daily Sale entry '!Y1457))</f>
        <v/>
      </c>
      <c r="H2957">
        <f>IF(C2957="","",COUNTIFS($C$2:$C$3001,C2957,$F$2:$F$3001,"&lt;"&amp;F2957)+1)</f>
        <v/>
      </c>
      <c r="I2957">
        <f>IF(C2957="","",C2957&amp;"|"&amp;H2957)</f>
        <v/>
      </c>
      <c r="J2957" s="6">
        <f>IF(C2957="","",IF(H2957=1,SUMIFS('Opening Balance'!$F$4:$F$303,'Opening Balance'!$G$4:$G$303,C2957),INDEX($L$2:$L$3001,MATCH(C2957&amp;"|"&amp;(H2957-1),$I$2:$I$3001,0))))</f>
        <v/>
      </c>
      <c r="K2957" s="6">
        <f>IF(C2957="","",IF(M2957&gt;0,M2957,IF(AND(E2957&gt;0,ROUND(J2957+D2957-E2957,2)&gt;0,ROUND(J2957+D2957-E2957,2)&lt;'Opening Balance'!$B$14),ROUND(J2957+D2957-E2957,2),0)))</f>
        <v/>
      </c>
      <c r="L2957" s="6">
        <f>IF(C2957="","",ROUND(J2957+D2957-E2957-K2957,2))</f>
        <v/>
      </c>
      <c r="M2957" s="6">
        <f>IF(C2957="","",0)</f>
        <v/>
      </c>
    </row>
    <row r="2958">
      <c r="A2958" t="inlineStr">
        <is>
          <t>Bank 银行</t>
        </is>
      </c>
      <c r="B2958" s="5">
        <f>IF(AND('Daily Sale entry '!Z1458="Online collection 网上收款",'Daily Sale entry '!AA1458&lt;&gt;""),'Daily Sale entry '!X1458,"")</f>
        <v/>
      </c>
      <c r="C2958">
        <f>IF(B2958="","",'Daily Sale entry '!AA1458)</f>
        <v/>
      </c>
      <c r="D2958">
        <f>IF(C2958="","",0)</f>
        <v/>
      </c>
      <c r="E2958">
        <f>IF(C2958="","",'Daily Sale entry '!AC1458)</f>
        <v/>
      </c>
      <c r="F2958" s="37">
        <f>IF(C2958="","",B2958+IF(E2958&gt;0,0,0.5)+ROW()/10000000)</f>
        <v/>
      </c>
      <c r="G2958">
        <f>IF(C2958="","","Collection 收款 (Online 网上)"&amp;IF('Daily Sale entry '!Y1458="",""," - "&amp;'Daily Sale entry '!Y1458))</f>
        <v/>
      </c>
      <c r="H2958">
        <f>IF(C2958="","",COUNTIFS($C$2:$C$3001,C2958,$F$2:$F$3001,"&lt;"&amp;F2958)+1)</f>
        <v/>
      </c>
      <c r="I2958">
        <f>IF(C2958="","",C2958&amp;"|"&amp;H2958)</f>
        <v/>
      </c>
      <c r="J2958" s="6">
        <f>IF(C2958="","",IF(H2958=1,SUMIFS('Opening Balance'!$F$4:$F$303,'Opening Balance'!$G$4:$G$303,C2958),INDEX($L$2:$L$3001,MATCH(C2958&amp;"|"&amp;(H2958-1),$I$2:$I$3001,0))))</f>
        <v/>
      </c>
      <c r="K2958" s="6">
        <f>IF(C2958="","",IF(M2958&gt;0,M2958,IF(AND(E2958&gt;0,ROUND(J2958+D2958-E2958,2)&gt;0,ROUND(J2958+D2958-E2958,2)&lt;'Opening Balance'!$B$14),ROUND(J2958+D2958-E2958,2),0)))</f>
        <v/>
      </c>
      <c r="L2958" s="6">
        <f>IF(C2958="","",ROUND(J2958+D2958-E2958-K2958,2))</f>
        <v/>
      </c>
      <c r="M2958" s="6">
        <f>IF(C2958="","",0)</f>
        <v/>
      </c>
    </row>
    <row r="2959">
      <c r="A2959" t="inlineStr">
        <is>
          <t>Bank 银行</t>
        </is>
      </c>
      <c r="B2959" s="5">
        <f>IF(AND('Daily Sale entry '!Z1459="Online collection 网上收款",'Daily Sale entry '!AA1459&lt;&gt;""),'Daily Sale entry '!X1459,"")</f>
        <v/>
      </c>
      <c r="C2959">
        <f>IF(B2959="","",'Daily Sale entry '!AA1459)</f>
        <v/>
      </c>
      <c r="D2959">
        <f>IF(C2959="","",0)</f>
        <v/>
      </c>
      <c r="E2959">
        <f>IF(C2959="","",'Daily Sale entry '!AC1459)</f>
        <v/>
      </c>
      <c r="F2959" s="37">
        <f>IF(C2959="","",B2959+IF(E2959&gt;0,0,0.5)+ROW()/10000000)</f>
        <v/>
      </c>
      <c r="G2959">
        <f>IF(C2959="","","Collection 收款 (Online 网上)"&amp;IF('Daily Sale entry '!Y1459="",""," - "&amp;'Daily Sale entry '!Y1459))</f>
        <v/>
      </c>
      <c r="H2959">
        <f>IF(C2959="","",COUNTIFS($C$2:$C$3001,C2959,$F$2:$F$3001,"&lt;"&amp;F2959)+1)</f>
        <v/>
      </c>
      <c r="I2959">
        <f>IF(C2959="","",C2959&amp;"|"&amp;H2959)</f>
        <v/>
      </c>
      <c r="J2959" s="6">
        <f>IF(C2959="","",IF(H2959=1,SUMIFS('Opening Balance'!$F$4:$F$303,'Opening Balance'!$G$4:$G$303,C2959),INDEX($L$2:$L$3001,MATCH(C2959&amp;"|"&amp;(H2959-1),$I$2:$I$3001,0))))</f>
        <v/>
      </c>
      <c r="K2959" s="6">
        <f>IF(C2959="","",IF(M2959&gt;0,M2959,IF(AND(E2959&gt;0,ROUND(J2959+D2959-E2959,2)&gt;0,ROUND(J2959+D2959-E2959,2)&lt;'Opening Balance'!$B$14),ROUND(J2959+D2959-E2959,2),0)))</f>
        <v/>
      </c>
      <c r="L2959" s="6">
        <f>IF(C2959="","",ROUND(J2959+D2959-E2959-K2959,2))</f>
        <v/>
      </c>
      <c r="M2959" s="6">
        <f>IF(C2959="","",0)</f>
        <v/>
      </c>
    </row>
    <row r="2960">
      <c r="A2960" t="inlineStr">
        <is>
          <t>Bank 银行</t>
        </is>
      </c>
      <c r="B2960" s="5">
        <f>IF(AND('Daily Sale entry '!Z1460="Online collection 网上收款",'Daily Sale entry '!AA1460&lt;&gt;""),'Daily Sale entry '!X1460,"")</f>
        <v/>
      </c>
      <c r="C2960">
        <f>IF(B2960="","",'Daily Sale entry '!AA1460)</f>
        <v/>
      </c>
      <c r="D2960">
        <f>IF(C2960="","",0)</f>
        <v/>
      </c>
      <c r="E2960">
        <f>IF(C2960="","",'Daily Sale entry '!AC1460)</f>
        <v/>
      </c>
      <c r="F2960" s="37">
        <f>IF(C2960="","",B2960+IF(E2960&gt;0,0,0.5)+ROW()/10000000)</f>
        <v/>
      </c>
      <c r="G2960">
        <f>IF(C2960="","","Collection 收款 (Online 网上)"&amp;IF('Daily Sale entry '!Y1460="",""," - "&amp;'Daily Sale entry '!Y1460))</f>
        <v/>
      </c>
      <c r="H2960">
        <f>IF(C2960="","",COUNTIFS($C$2:$C$3001,C2960,$F$2:$F$3001,"&lt;"&amp;F2960)+1)</f>
        <v/>
      </c>
      <c r="I2960">
        <f>IF(C2960="","",C2960&amp;"|"&amp;H2960)</f>
        <v/>
      </c>
      <c r="J2960" s="6">
        <f>IF(C2960="","",IF(H2960=1,SUMIFS('Opening Balance'!$F$4:$F$303,'Opening Balance'!$G$4:$G$303,C2960),INDEX($L$2:$L$3001,MATCH(C2960&amp;"|"&amp;(H2960-1),$I$2:$I$3001,0))))</f>
        <v/>
      </c>
      <c r="K2960" s="6">
        <f>IF(C2960="","",IF(M2960&gt;0,M2960,IF(AND(E2960&gt;0,ROUND(J2960+D2960-E2960,2)&gt;0,ROUND(J2960+D2960-E2960,2)&lt;'Opening Balance'!$B$14),ROUND(J2960+D2960-E2960,2),0)))</f>
        <v/>
      </c>
      <c r="L2960" s="6">
        <f>IF(C2960="","",ROUND(J2960+D2960-E2960-K2960,2))</f>
        <v/>
      </c>
      <c r="M2960" s="6">
        <f>IF(C2960="","",0)</f>
        <v/>
      </c>
    </row>
    <row r="2961">
      <c r="A2961" t="inlineStr">
        <is>
          <t>Bank 银行</t>
        </is>
      </c>
      <c r="B2961" s="5">
        <f>IF(AND('Daily Sale entry '!Z1461="Online collection 网上收款",'Daily Sale entry '!AA1461&lt;&gt;""),'Daily Sale entry '!X1461,"")</f>
        <v/>
      </c>
      <c r="C2961">
        <f>IF(B2961="","",'Daily Sale entry '!AA1461)</f>
        <v/>
      </c>
      <c r="D2961">
        <f>IF(C2961="","",0)</f>
        <v/>
      </c>
      <c r="E2961">
        <f>IF(C2961="","",'Daily Sale entry '!AC1461)</f>
        <v/>
      </c>
      <c r="F2961" s="37">
        <f>IF(C2961="","",B2961+IF(E2961&gt;0,0,0.5)+ROW()/10000000)</f>
        <v/>
      </c>
      <c r="G2961">
        <f>IF(C2961="","","Collection 收款 (Online 网上)"&amp;IF('Daily Sale entry '!Y1461="",""," - "&amp;'Daily Sale entry '!Y1461))</f>
        <v/>
      </c>
      <c r="H2961">
        <f>IF(C2961="","",COUNTIFS($C$2:$C$3001,C2961,$F$2:$F$3001,"&lt;"&amp;F2961)+1)</f>
        <v/>
      </c>
      <c r="I2961">
        <f>IF(C2961="","",C2961&amp;"|"&amp;H2961)</f>
        <v/>
      </c>
      <c r="J2961" s="6">
        <f>IF(C2961="","",IF(H2961=1,SUMIFS('Opening Balance'!$F$4:$F$303,'Opening Balance'!$G$4:$G$303,C2961),INDEX($L$2:$L$3001,MATCH(C2961&amp;"|"&amp;(H2961-1),$I$2:$I$3001,0))))</f>
        <v/>
      </c>
      <c r="K2961" s="6">
        <f>IF(C2961="","",IF(M2961&gt;0,M2961,IF(AND(E2961&gt;0,ROUND(J2961+D2961-E2961,2)&gt;0,ROUND(J2961+D2961-E2961,2)&lt;'Opening Balance'!$B$14),ROUND(J2961+D2961-E2961,2),0)))</f>
        <v/>
      </c>
      <c r="L2961" s="6">
        <f>IF(C2961="","",ROUND(J2961+D2961-E2961-K2961,2))</f>
        <v/>
      </c>
      <c r="M2961" s="6">
        <f>IF(C2961="","",0)</f>
        <v/>
      </c>
    </row>
    <row r="2962">
      <c r="A2962" t="inlineStr">
        <is>
          <t>Bank 银行</t>
        </is>
      </c>
      <c r="B2962" s="5">
        <f>IF(AND('Daily Sale entry '!Z1462="Online collection 网上收款",'Daily Sale entry '!AA1462&lt;&gt;""),'Daily Sale entry '!X1462,"")</f>
        <v/>
      </c>
      <c r="C2962">
        <f>IF(B2962="","",'Daily Sale entry '!AA1462)</f>
        <v/>
      </c>
      <c r="D2962">
        <f>IF(C2962="","",0)</f>
        <v/>
      </c>
      <c r="E2962">
        <f>IF(C2962="","",'Daily Sale entry '!AC1462)</f>
        <v/>
      </c>
      <c r="F2962" s="37">
        <f>IF(C2962="","",B2962+IF(E2962&gt;0,0,0.5)+ROW()/10000000)</f>
        <v/>
      </c>
      <c r="G2962">
        <f>IF(C2962="","","Collection 收款 (Online 网上)"&amp;IF('Daily Sale entry '!Y1462="",""," - "&amp;'Daily Sale entry '!Y1462))</f>
        <v/>
      </c>
      <c r="H2962">
        <f>IF(C2962="","",COUNTIFS($C$2:$C$3001,C2962,$F$2:$F$3001,"&lt;"&amp;F2962)+1)</f>
        <v/>
      </c>
      <c r="I2962">
        <f>IF(C2962="","",C2962&amp;"|"&amp;H2962)</f>
        <v/>
      </c>
      <c r="J2962" s="6">
        <f>IF(C2962="","",IF(H2962=1,SUMIFS('Opening Balance'!$F$4:$F$303,'Opening Balance'!$G$4:$G$303,C2962),INDEX($L$2:$L$3001,MATCH(C2962&amp;"|"&amp;(H2962-1),$I$2:$I$3001,0))))</f>
        <v/>
      </c>
      <c r="K2962" s="6">
        <f>IF(C2962="","",IF(M2962&gt;0,M2962,IF(AND(E2962&gt;0,ROUND(J2962+D2962-E2962,2)&gt;0,ROUND(J2962+D2962-E2962,2)&lt;'Opening Balance'!$B$14),ROUND(J2962+D2962-E2962,2),0)))</f>
        <v/>
      </c>
      <c r="L2962" s="6">
        <f>IF(C2962="","",ROUND(J2962+D2962-E2962-K2962,2))</f>
        <v/>
      </c>
      <c r="M2962" s="6">
        <f>IF(C2962="","",0)</f>
        <v/>
      </c>
    </row>
    <row r="2963">
      <c r="A2963" t="inlineStr">
        <is>
          <t>Bank 银行</t>
        </is>
      </c>
      <c r="B2963" s="5">
        <f>IF(AND('Daily Sale entry '!Z1463="Online collection 网上收款",'Daily Sale entry '!AA1463&lt;&gt;""),'Daily Sale entry '!X1463,"")</f>
        <v/>
      </c>
      <c r="C2963">
        <f>IF(B2963="","",'Daily Sale entry '!AA1463)</f>
        <v/>
      </c>
      <c r="D2963">
        <f>IF(C2963="","",0)</f>
        <v/>
      </c>
      <c r="E2963">
        <f>IF(C2963="","",'Daily Sale entry '!AC1463)</f>
        <v/>
      </c>
      <c r="F2963" s="37">
        <f>IF(C2963="","",B2963+IF(E2963&gt;0,0,0.5)+ROW()/10000000)</f>
        <v/>
      </c>
      <c r="G2963">
        <f>IF(C2963="","","Collection 收款 (Online 网上)"&amp;IF('Daily Sale entry '!Y1463="",""," - "&amp;'Daily Sale entry '!Y1463))</f>
        <v/>
      </c>
      <c r="H2963">
        <f>IF(C2963="","",COUNTIFS($C$2:$C$3001,C2963,$F$2:$F$3001,"&lt;"&amp;F2963)+1)</f>
        <v/>
      </c>
      <c r="I2963">
        <f>IF(C2963="","",C2963&amp;"|"&amp;H2963)</f>
        <v/>
      </c>
      <c r="J2963" s="6">
        <f>IF(C2963="","",IF(H2963=1,SUMIFS('Opening Balance'!$F$4:$F$303,'Opening Balance'!$G$4:$G$303,C2963),INDEX($L$2:$L$3001,MATCH(C2963&amp;"|"&amp;(H2963-1),$I$2:$I$3001,0))))</f>
        <v/>
      </c>
      <c r="K2963" s="6">
        <f>IF(C2963="","",IF(M2963&gt;0,M2963,IF(AND(E2963&gt;0,ROUND(J2963+D2963-E2963,2)&gt;0,ROUND(J2963+D2963-E2963,2)&lt;'Opening Balance'!$B$14),ROUND(J2963+D2963-E2963,2),0)))</f>
        <v/>
      </c>
      <c r="L2963" s="6">
        <f>IF(C2963="","",ROUND(J2963+D2963-E2963-K2963,2))</f>
        <v/>
      </c>
      <c r="M2963" s="6">
        <f>IF(C2963="","",0)</f>
        <v/>
      </c>
    </row>
    <row r="2964">
      <c r="A2964" t="inlineStr">
        <is>
          <t>Bank 银行</t>
        </is>
      </c>
      <c r="B2964" s="5">
        <f>IF(AND('Daily Sale entry '!Z1464="Online collection 网上收款",'Daily Sale entry '!AA1464&lt;&gt;""),'Daily Sale entry '!X1464,"")</f>
        <v/>
      </c>
      <c r="C2964">
        <f>IF(B2964="","",'Daily Sale entry '!AA1464)</f>
        <v/>
      </c>
      <c r="D2964">
        <f>IF(C2964="","",0)</f>
        <v/>
      </c>
      <c r="E2964">
        <f>IF(C2964="","",'Daily Sale entry '!AC1464)</f>
        <v/>
      </c>
      <c r="F2964" s="37">
        <f>IF(C2964="","",B2964+IF(E2964&gt;0,0,0.5)+ROW()/10000000)</f>
        <v/>
      </c>
      <c r="G2964">
        <f>IF(C2964="","","Collection 收款 (Online 网上)"&amp;IF('Daily Sale entry '!Y1464="",""," - "&amp;'Daily Sale entry '!Y1464))</f>
        <v/>
      </c>
      <c r="H2964">
        <f>IF(C2964="","",COUNTIFS($C$2:$C$3001,C2964,$F$2:$F$3001,"&lt;"&amp;F2964)+1)</f>
        <v/>
      </c>
      <c r="I2964">
        <f>IF(C2964="","",C2964&amp;"|"&amp;H2964)</f>
        <v/>
      </c>
      <c r="J2964" s="6">
        <f>IF(C2964="","",IF(H2964=1,SUMIFS('Opening Balance'!$F$4:$F$303,'Opening Balance'!$G$4:$G$303,C2964),INDEX($L$2:$L$3001,MATCH(C2964&amp;"|"&amp;(H2964-1),$I$2:$I$3001,0))))</f>
        <v/>
      </c>
      <c r="K2964" s="6">
        <f>IF(C2964="","",IF(M2964&gt;0,M2964,IF(AND(E2964&gt;0,ROUND(J2964+D2964-E2964,2)&gt;0,ROUND(J2964+D2964-E2964,2)&lt;'Opening Balance'!$B$14),ROUND(J2964+D2964-E2964,2),0)))</f>
        <v/>
      </c>
      <c r="L2964" s="6">
        <f>IF(C2964="","",ROUND(J2964+D2964-E2964-K2964,2))</f>
        <v/>
      </c>
      <c r="M2964" s="6">
        <f>IF(C2964="","",0)</f>
        <v/>
      </c>
    </row>
    <row r="2965">
      <c r="A2965" t="inlineStr">
        <is>
          <t>Bank 银行</t>
        </is>
      </c>
      <c r="B2965" s="5">
        <f>IF(AND('Daily Sale entry '!Z1465="Online collection 网上收款",'Daily Sale entry '!AA1465&lt;&gt;""),'Daily Sale entry '!X1465,"")</f>
        <v/>
      </c>
      <c r="C2965">
        <f>IF(B2965="","",'Daily Sale entry '!AA1465)</f>
        <v/>
      </c>
      <c r="D2965">
        <f>IF(C2965="","",0)</f>
        <v/>
      </c>
      <c r="E2965">
        <f>IF(C2965="","",'Daily Sale entry '!AC1465)</f>
        <v/>
      </c>
      <c r="F2965" s="37">
        <f>IF(C2965="","",B2965+IF(E2965&gt;0,0,0.5)+ROW()/10000000)</f>
        <v/>
      </c>
      <c r="G2965">
        <f>IF(C2965="","","Collection 收款 (Online 网上)"&amp;IF('Daily Sale entry '!Y1465="",""," - "&amp;'Daily Sale entry '!Y1465))</f>
        <v/>
      </c>
      <c r="H2965">
        <f>IF(C2965="","",COUNTIFS($C$2:$C$3001,C2965,$F$2:$F$3001,"&lt;"&amp;F2965)+1)</f>
        <v/>
      </c>
      <c r="I2965">
        <f>IF(C2965="","",C2965&amp;"|"&amp;H2965)</f>
        <v/>
      </c>
      <c r="J2965" s="6">
        <f>IF(C2965="","",IF(H2965=1,SUMIFS('Opening Balance'!$F$4:$F$303,'Opening Balance'!$G$4:$G$303,C2965),INDEX($L$2:$L$3001,MATCH(C2965&amp;"|"&amp;(H2965-1),$I$2:$I$3001,0))))</f>
        <v/>
      </c>
      <c r="K2965" s="6">
        <f>IF(C2965="","",IF(M2965&gt;0,M2965,IF(AND(E2965&gt;0,ROUND(J2965+D2965-E2965,2)&gt;0,ROUND(J2965+D2965-E2965,2)&lt;'Opening Balance'!$B$14),ROUND(J2965+D2965-E2965,2),0)))</f>
        <v/>
      </c>
      <c r="L2965" s="6">
        <f>IF(C2965="","",ROUND(J2965+D2965-E2965-K2965,2))</f>
        <v/>
      </c>
      <c r="M2965" s="6">
        <f>IF(C2965="","",0)</f>
        <v/>
      </c>
    </row>
    <row r="2966">
      <c r="A2966" t="inlineStr">
        <is>
          <t>Bank 银行</t>
        </is>
      </c>
      <c r="B2966" s="5">
        <f>IF(AND('Daily Sale entry '!Z1466="Online collection 网上收款",'Daily Sale entry '!AA1466&lt;&gt;""),'Daily Sale entry '!X1466,"")</f>
        <v/>
      </c>
      <c r="C2966">
        <f>IF(B2966="","",'Daily Sale entry '!AA1466)</f>
        <v/>
      </c>
      <c r="D2966">
        <f>IF(C2966="","",0)</f>
        <v/>
      </c>
      <c r="E2966">
        <f>IF(C2966="","",'Daily Sale entry '!AC1466)</f>
        <v/>
      </c>
      <c r="F2966" s="37">
        <f>IF(C2966="","",B2966+IF(E2966&gt;0,0,0.5)+ROW()/10000000)</f>
        <v/>
      </c>
      <c r="G2966">
        <f>IF(C2966="","","Collection 收款 (Online 网上)"&amp;IF('Daily Sale entry '!Y1466="",""," - "&amp;'Daily Sale entry '!Y1466))</f>
        <v/>
      </c>
      <c r="H2966">
        <f>IF(C2966="","",COUNTIFS($C$2:$C$3001,C2966,$F$2:$F$3001,"&lt;"&amp;F2966)+1)</f>
        <v/>
      </c>
      <c r="I2966">
        <f>IF(C2966="","",C2966&amp;"|"&amp;H2966)</f>
        <v/>
      </c>
      <c r="J2966" s="6">
        <f>IF(C2966="","",IF(H2966=1,SUMIFS('Opening Balance'!$F$4:$F$303,'Opening Balance'!$G$4:$G$303,C2966),INDEX($L$2:$L$3001,MATCH(C2966&amp;"|"&amp;(H2966-1),$I$2:$I$3001,0))))</f>
        <v/>
      </c>
      <c r="K2966" s="6">
        <f>IF(C2966="","",IF(M2966&gt;0,M2966,IF(AND(E2966&gt;0,ROUND(J2966+D2966-E2966,2)&gt;0,ROUND(J2966+D2966-E2966,2)&lt;'Opening Balance'!$B$14),ROUND(J2966+D2966-E2966,2),0)))</f>
        <v/>
      </c>
      <c r="L2966" s="6">
        <f>IF(C2966="","",ROUND(J2966+D2966-E2966-K2966,2))</f>
        <v/>
      </c>
      <c r="M2966" s="6">
        <f>IF(C2966="","",0)</f>
        <v/>
      </c>
    </row>
    <row r="2967">
      <c r="A2967" t="inlineStr">
        <is>
          <t>Bank 银行</t>
        </is>
      </c>
      <c r="B2967" s="5">
        <f>IF(AND('Daily Sale entry '!Z1467="Online collection 网上收款",'Daily Sale entry '!AA1467&lt;&gt;""),'Daily Sale entry '!X1467,"")</f>
        <v/>
      </c>
      <c r="C2967">
        <f>IF(B2967="","",'Daily Sale entry '!AA1467)</f>
        <v/>
      </c>
      <c r="D2967">
        <f>IF(C2967="","",0)</f>
        <v/>
      </c>
      <c r="E2967">
        <f>IF(C2967="","",'Daily Sale entry '!AC1467)</f>
        <v/>
      </c>
      <c r="F2967" s="37">
        <f>IF(C2967="","",B2967+IF(E2967&gt;0,0,0.5)+ROW()/10000000)</f>
        <v/>
      </c>
      <c r="G2967">
        <f>IF(C2967="","","Collection 收款 (Online 网上)"&amp;IF('Daily Sale entry '!Y1467="",""," - "&amp;'Daily Sale entry '!Y1467))</f>
        <v/>
      </c>
      <c r="H2967">
        <f>IF(C2967="","",COUNTIFS($C$2:$C$3001,C2967,$F$2:$F$3001,"&lt;"&amp;F2967)+1)</f>
        <v/>
      </c>
      <c r="I2967">
        <f>IF(C2967="","",C2967&amp;"|"&amp;H2967)</f>
        <v/>
      </c>
      <c r="J2967" s="6">
        <f>IF(C2967="","",IF(H2967=1,SUMIFS('Opening Balance'!$F$4:$F$303,'Opening Balance'!$G$4:$G$303,C2967),INDEX($L$2:$L$3001,MATCH(C2967&amp;"|"&amp;(H2967-1),$I$2:$I$3001,0))))</f>
        <v/>
      </c>
      <c r="K2967" s="6">
        <f>IF(C2967="","",IF(M2967&gt;0,M2967,IF(AND(E2967&gt;0,ROUND(J2967+D2967-E2967,2)&gt;0,ROUND(J2967+D2967-E2967,2)&lt;'Opening Balance'!$B$14),ROUND(J2967+D2967-E2967,2),0)))</f>
        <v/>
      </c>
      <c r="L2967" s="6">
        <f>IF(C2967="","",ROUND(J2967+D2967-E2967-K2967,2))</f>
        <v/>
      </c>
      <c r="M2967" s="6">
        <f>IF(C2967="","",0)</f>
        <v/>
      </c>
    </row>
    <row r="2968">
      <c r="A2968" t="inlineStr">
        <is>
          <t>Bank 银行</t>
        </is>
      </c>
      <c r="B2968" s="5">
        <f>IF(AND('Daily Sale entry '!Z1468="Online collection 网上收款",'Daily Sale entry '!AA1468&lt;&gt;""),'Daily Sale entry '!X1468,"")</f>
        <v/>
      </c>
      <c r="C2968">
        <f>IF(B2968="","",'Daily Sale entry '!AA1468)</f>
        <v/>
      </c>
      <c r="D2968">
        <f>IF(C2968="","",0)</f>
        <v/>
      </c>
      <c r="E2968">
        <f>IF(C2968="","",'Daily Sale entry '!AC1468)</f>
        <v/>
      </c>
      <c r="F2968" s="37">
        <f>IF(C2968="","",B2968+IF(E2968&gt;0,0,0.5)+ROW()/10000000)</f>
        <v/>
      </c>
      <c r="G2968">
        <f>IF(C2968="","","Collection 收款 (Online 网上)"&amp;IF('Daily Sale entry '!Y1468="",""," - "&amp;'Daily Sale entry '!Y1468))</f>
        <v/>
      </c>
      <c r="H2968">
        <f>IF(C2968="","",COUNTIFS($C$2:$C$3001,C2968,$F$2:$F$3001,"&lt;"&amp;F2968)+1)</f>
        <v/>
      </c>
      <c r="I2968">
        <f>IF(C2968="","",C2968&amp;"|"&amp;H2968)</f>
        <v/>
      </c>
      <c r="J2968" s="6">
        <f>IF(C2968="","",IF(H2968=1,SUMIFS('Opening Balance'!$F$4:$F$303,'Opening Balance'!$G$4:$G$303,C2968),INDEX($L$2:$L$3001,MATCH(C2968&amp;"|"&amp;(H2968-1),$I$2:$I$3001,0))))</f>
        <v/>
      </c>
      <c r="K2968" s="6">
        <f>IF(C2968="","",IF(M2968&gt;0,M2968,IF(AND(E2968&gt;0,ROUND(J2968+D2968-E2968,2)&gt;0,ROUND(J2968+D2968-E2968,2)&lt;'Opening Balance'!$B$14),ROUND(J2968+D2968-E2968,2),0)))</f>
        <v/>
      </c>
      <c r="L2968" s="6">
        <f>IF(C2968="","",ROUND(J2968+D2968-E2968-K2968,2))</f>
        <v/>
      </c>
      <c r="M2968" s="6">
        <f>IF(C2968="","",0)</f>
        <v/>
      </c>
    </row>
    <row r="2969">
      <c r="A2969" t="inlineStr">
        <is>
          <t>Bank 银行</t>
        </is>
      </c>
      <c r="B2969" s="5">
        <f>IF(AND('Daily Sale entry '!Z1469="Online collection 网上收款",'Daily Sale entry '!AA1469&lt;&gt;""),'Daily Sale entry '!X1469,"")</f>
        <v/>
      </c>
      <c r="C2969">
        <f>IF(B2969="","",'Daily Sale entry '!AA1469)</f>
        <v/>
      </c>
      <c r="D2969">
        <f>IF(C2969="","",0)</f>
        <v/>
      </c>
      <c r="E2969">
        <f>IF(C2969="","",'Daily Sale entry '!AC1469)</f>
        <v/>
      </c>
      <c r="F2969" s="37">
        <f>IF(C2969="","",B2969+IF(E2969&gt;0,0,0.5)+ROW()/10000000)</f>
        <v/>
      </c>
      <c r="G2969">
        <f>IF(C2969="","","Collection 收款 (Online 网上)"&amp;IF('Daily Sale entry '!Y1469="",""," - "&amp;'Daily Sale entry '!Y1469))</f>
        <v/>
      </c>
      <c r="H2969">
        <f>IF(C2969="","",COUNTIFS($C$2:$C$3001,C2969,$F$2:$F$3001,"&lt;"&amp;F2969)+1)</f>
        <v/>
      </c>
      <c r="I2969">
        <f>IF(C2969="","",C2969&amp;"|"&amp;H2969)</f>
        <v/>
      </c>
      <c r="J2969" s="6">
        <f>IF(C2969="","",IF(H2969=1,SUMIFS('Opening Balance'!$F$4:$F$303,'Opening Balance'!$G$4:$G$303,C2969),INDEX($L$2:$L$3001,MATCH(C2969&amp;"|"&amp;(H2969-1),$I$2:$I$3001,0))))</f>
        <v/>
      </c>
      <c r="K2969" s="6">
        <f>IF(C2969="","",IF(M2969&gt;0,M2969,IF(AND(E2969&gt;0,ROUND(J2969+D2969-E2969,2)&gt;0,ROUND(J2969+D2969-E2969,2)&lt;'Opening Balance'!$B$14),ROUND(J2969+D2969-E2969,2),0)))</f>
        <v/>
      </c>
      <c r="L2969" s="6">
        <f>IF(C2969="","",ROUND(J2969+D2969-E2969-K2969,2))</f>
        <v/>
      </c>
      <c r="M2969" s="6">
        <f>IF(C2969="","",0)</f>
        <v/>
      </c>
    </row>
    <row r="2970">
      <c r="A2970" t="inlineStr">
        <is>
          <t>Bank 银行</t>
        </is>
      </c>
      <c r="B2970" s="5">
        <f>IF(AND('Daily Sale entry '!Z1470="Online collection 网上收款",'Daily Sale entry '!AA1470&lt;&gt;""),'Daily Sale entry '!X1470,"")</f>
        <v/>
      </c>
      <c r="C2970">
        <f>IF(B2970="","",'Daily Sale entry '!AA1470)</f>
        <v/>
      </c>
      <c r="D2970">
        <f>IF(C2970="","",0)</f>
        <v/>
      </c>
      <c r="E2970">
        <f>IF(C2970="","",'Daily Sale entry '!AC1470)</f>
        <v/>
      </c>
      <c r="F2970" s="37">
        <f>IF(C2970="","",B2970+IF(E2970&gt;0,0,0.5)+ROW()/10000000)</f>
        <v/>
      </c>
      <c r="G2970">
        <f>IF(C2970="","","Collection 收款 (Online 网上)"&amp;IF('Daily Sale entry '!Y1470="",""," - "&amp;'Daily Sale entry '!Y1470))</f>
        <v/>
      </c>
      <c r="H2970">
        <f>IF(C2970="","",COUNTIFS($C$2:$C$3001,C2970,$F$2:$F$3001,"&lt;"&amp;F2970)+1)</f>
        <v/>
      </c>
      <c r="I2970">
        <f>IF(C2970="","",C2970&amp;"|"&amp;H2970)</f>
        <v/>
      </c>
      <c r="J2970" s="6">
        <f>IF(C2970="","",IF(H2970=1,SUMIFS('Opening Balance'!$F$4:$F$303,'Opening Balance'!$G$4:$G$303,C2970),INDEX($L$2:$L$3001,MATCH(C2970&amp;"|"&amp;(H2970-1),$I$2:$I$3001,0))))</f>
        <v/>
      </c>
      <c r="K2970" s="6">
        <f>IF(C2970="","",IF(M2970&gt;0,M2970,IF(AND(E2970&gt;0,ROUND(J2970+D2970-E2970,2)&gt;0,ROUND(J2970+D2970-E2970,2)&lt;'Opening Balance'!$B$14),ROUND(J2970+D2970-E2970,2),0)))</f>
        <v/>
      </c>
      <c r="L2970" s="6">
        <f>IF(C2970="","",ROUND(J2970+D2970-E2970-K2970,2))</f>
        <v/>
      </c>
      <c r="M2970" s="6">
        <f>IF(C2970="","",0)</f>
        <v/>
      </c>
    </row>
    <row r="2971">
      <c r="A2971" t="inlineStr">
        <is>
          <t>Bank 银行</t>
        </is>
      </c>
      <c r="B2971" s="5">
        <f>IF(AND('Daily Sale entry '!Z1471="Online collection 网上收款",'Daily Sale entry '!AA1471&lt;&gt;""),'Daily Sale entry '!X1471,"")</f>
        <v/>
      </c>
      <c r="C2971">
        <f>IF(B2971="","",'Daily Sale entry '!AA1471)</f>
        <v/>
      </c>
      <c r="D2971">
        <f>IF(C2971="","",0)</f>
        <v/>
      </c>
      <c r="E2971">
        <f>IF(C2971="","",'Daily Sale entry '!AC1471)</f>
        <v/>
      </c>
      <c r="F2971" s="37">
        <f>IF(C2971="","",B2971+IF(E2971&gt;0,0,0.5)+ROW()/10000000)</f>
        <v/>
      </c>
      <c r="G2971">
        <f>IF(C2971="","","Collection 收款 (Online 网上)"&amp;IF('Daily Sale entry '!Y1471="",""," - "&amp;'Daily Sale entry '!Y1471))</f>
        <v/>
      </c>
      <c r="H2971">
        <f>IF(C2971="","",COUNTIFS($C$2:$C$3001,C2971,$F$2:$F$3001,"&lt;"&amp;F2971)+1)</f>
        <v/>
      </c>
      <c r="I2971">
        <f>IF(C2971="","",C2971&amp;"|"&amp;H2971)</f>
        <v/>
      </c>
      <c r="J2971" s="6">
        <f>IF(C2971="","",IF(H2971=1,SUMIFS('Opening Balance'!$F$4:$F$303,'Opening Balance'!$G$4:$G$303,C2971),INDEX($L$2:$L$3001,MATCH(C2971&amp;"|"&amp;(H2971-1),$I$2:$I$3001,0))))</f>
        <v/>
      </c>
      <c r="K2971" s="6">
        <f>IF(C2971="","",IF(M2971&gt;0,M2971,IF(AND(E2971&gt;0,ROUND(J2971+D2971-E2971,2)&gt;0,ROUND(J2971+D2971-E2971,2)&lt;'Opening Balance'!$B$14),ROUND(J2971+D2971-E2971,2),0)))</f>
        <v/>
      </c>
      <c r="L2971" s="6">
        <f>IF(C2971="","",ROUND(J2971+D2971-E2971-K2971,2))</f>
        <v/>
      </c>
      <c r="M2971" s="6">
        <f>IF(C2971="","",0)</f>
        <v/>
      </c>
    </row>
    <row r="2972">
      <c r="A2972" t="inlineStr">
        <is>
          <t>Bank 银行</t>
        </is>
      </c>
      <c r="B2972" s="5">
        <f>IF(AND('Daily Sale entry '!Z1472="Online collection 网上收款",'Daily Sale entry '!AA1472&lt;&gt;""),'Daily Sale entry '!X1472,"")</f>
        <v/>
      </c>
      <c r="C2972">
        <f>IF(B2972="","",'Daily Sale entry '!AA1472)</f>
        <v/>
      </c>
      <c r="D2972">
        <f>IF(C2972="","",0)</f>
        <v/>
      </c>
      <c r="E2972">
        <f>IF(C2972="","",'Daily Sale entry '!AC1472)</f>
        <v/>
      </c>
      <c r="F2972" s="37">
        <f>IF(C2972="","",B2972+IF(E2972&gt;0,0,0.5)+ROW()/10000000)</f>
        <v/>
      </c>
      <c r="G2972">
        <f>IF(C2972="","","Collection 收款 (Online 网上)"&amp;IF('Daily Sale entry '!Y1472="",""," - "&amp;'Daily Sale entry '!Y1472))</f>
        <v/>
      </c>
      <c r="H2972">
        <f>IF(C2972="","",COUNTIFS($C$2:$C$3001,C2972,$F$2:$F$3001,"&lt;"&amp;F2972)+1)</f>
        <v/>
      </c>
      <c r="I2972">
        <f>IF(C2972="","",C2972&amp;"|"&amp;H2972)</f>
        <v/>
      </c>
      <c r="J2972" s="6">
        <f>IF(C2972="","",IF(H2972=1,SUMIFS('Opening Balance'!$F$4:$F$303,'Opening Balance'!$G$4:$G$303,C2972),INDEX($L$2:$L$3001,MATCH(C2972&amp;"|"&amp;(H2972-1),$I$2:$I$3001,0))))</f>
        <v/>
      </c>
      <c r="K2972" s="6">
        <f>IF(C2972="","",IF(M2972&gt;0,M2972,IF(AND(E2972&gt;0,ROUND(J2972+D2972-E2972,2)&gt;0,ROUND(J2972+D2972-E2972,2)&lt;'Opening Balance'!$B$14),ROUND(J2972+D2972-E2972,2),0)))</f>
        <v/>
      </c>
      <c r="L2972" s="6">
        <f>IF(C2972="","",ROUND(J2972+D2972-E2972-K2972,2))</f>
        <v/>
      </c>
      <c r="M2972" s="6">
        <f>IF(C2972="","",0)</f>
        <v/>
      </c>
    </row>
    <row r="2973">
      <c r="A2973" t="inlineStr">
        <is>
          <t>Bank 银行</t>
        </is>
      </c>
      <c r="B2973" s="5">
        <f>IF(AND('Daily Sale entry '!Z1473="Online collection 网上收款",'Daily Sale entry '!AA1473&lt;&gt;""),'Daily Sale entry '!X1473,"")</f>
        <v/>
      </c>
      <c r="C2973">
        <f>IF(B2973="","",'Daily Sale entry '!AA1473)</f>
        <v/>
      </c>
      <c r="D2973">
        <f>IF(C2973="","",0)</f>
        <v/>
      </c>
      <c r="E2973">
        <f>IF(C2973="","",'Daily Sale entry '!AC1473)</f>
        <v/>
      </c>
      <c r="F2973" s="37">
        <f>IF(C2973="","",B2973+IF(E2973&gt;0,0,0.5)+ROW()/10000000)</f>
        <v/>
      </c>
      <c r="G2973">
        <f>IF(C2973="","","Collection 收款 (Online 网上)"&amp;IF('Daily Sale entry '!Y1473="",""," - "&amp;'Daily Sale entry '!Y1473))</f>
        <v/>
      </c>
      <c r="H2973">
        <f>IF(C2973="","",COUNTIFS($C$2:$C$3001,C2973,$F$2:$F$3001,"&lt;"&amp;F2973)+1)</f>
        <v/>
      </c>
      <c r="I2973">
        <f>IF(C2973="","",C2973&amp;"|"&amp;H2973)</f>
        <v/>
      </c>
      <c r="J2973" s="6">
        <f>IF(C2973="","",IF(H2973=1,SUMIFS('Opening Balance'!$F$4:$F$303,'Opening Balance'!$G$4:$G$303,C2973),INDEX($L$2:$L$3001,MATCH(C2973&amp;"|"&amp;(H2973-1),$I$2:$I$3001,0))))</f>
        <v/>
      </c>
      <c r="K2973" s="6">
        <f>IF(C2973="","",IF(M2973&gt;0,M2973,IF(AND(E2973&gt;0,ROUND(J2973+D2973-E2973,2)&gt;0,ROUND(J2973+D2973-E2973,2)&lt;'Opening Balance'!$B$14),ROUND(J2973+D2973-E2973,2),0)))</f>
        <v/>
      </c>
      <c r="L2973" s="6">
        <f>IF(C2973="","",ROUND(J2973+D2973-E2973-K2973,2))</f>
        <v/>
      </c>
      <c r="M2973" s="6">
        <f>IF(C2973="","",0)</f>
        <v/>
      </c>
    </row>
    <row r="2974">
      <c r="A2974" t="inlineStr">
        <is>
          <t>Bank 银行</t>
        </is>
      </c>
      <c r="B2974" s="5">
        <f>IF(AND('Daily Sale entry '!Z1474="Online collection 网上收款",'Daily Sale entry '!AA1474&lt;&gt;""),'Daily Sale entry '!X1474,"")</f>
        <v/>
      </c>
      <c r="C2974">
        <f>IF(B2974="","",'Daily Sale entry '!AA1474)</f>
        <v/>
      </c>
      <c r="D2974">
        <f>IF(C2974="","",0)</f>
        <v/>
      </c>
      <c r="E2974">
        <f>IF(C2974="","",'Daily Sale entry '!AC1474)</f>
        <v/>
      </c>
      <c r="F2974" s="37">
        <f>IF(C2974="","",B2974+IF(E2974&gt;0,0,0.5)+ROW()/10000000)</f>
        <v/>
      </c>
      <c r="G2974">
        <f>IF(C2974="","","Collection 收款 (Online 网上)"&amp;IF('Daily Sale entry '!Y1474="",""," - "&amp;'Daily Sale entry '!Y1474))</f>
        <v/>
      </c>
      <c r="H2974">
        <f>IF(C2974="","",COUNTIFS($C$2:$C$3001,C2974,$F$2:$F$3001,"&lt;"&amp;F2974)+1)</f>
        <v/>
      </c>
      <c r="I2974">
        <f>IF(C2974="","",C2974&amp;"|"&amp;H2974)</f>
        <v/>
      </c>
      <c r="J2974" s="6">
        <f>IF(C2974="","",IF(H2974=1,SUMIFS('Opening Balance'!$F$4:$F$303,'Opening Balance'!$G$4:$G$303,C2974),INDEX($L$2:$L$3001,MATCH(C2974&amp;"|"&amp;(H2974-1),$I$2:$I$3001,0))))</f>
        <v/>
      </c>
      <c r="K2974" s="6">
        <f>IF(C2974="","",IF(M2974&gt;0,M2974,IF(AND(E2974&gt;0,ROUND(J2974+D2974-E2974,2)&gt;0,ROUND(J2974+D2974-E2974,2)&lt;'Opening Balance'!$B$14),ROUND(J2974+D2974-E2974,2),0)))</f>
        <v/>
      </c>
      <c r="L2974" s="6">
        <f>IF(C2974="","",ROUND(J2974+D2974-E2974-K2974,2))</f>
        <v/>
      </c>
      <c r="M2974" s="6">
        <f>IF(C2974="","",0)</f>
        <v/>
      </c>
    </row>
    <row r="2975">
      <c r="A2975" t="inlineStr">
        <is>
          <t>Bank 银行</t>
        </is>
      </c>
      <c r="B2975" s="5">
        <f>IF(AND('Daily Sale entry '!Z1475="Online collection 网上收款",'Daily Sale entry '!AA1475&lt;&gt;""),'Daily Sale entry '!X1475,"")</f>
        <v/>
      </c>
      <c r="C2975">
        <f>IF(B2975="","",'Daily Sale entry '!AA1475)</f>
        <v/>
      </c>
      <c r="D2975">
        <f>IF(C2975="","",0)</f>
        <v/>
      </c>
      <c r="E2975">
        <f>IF(C2975="","",'Daily Sale entry '!AC1475)</f>
        <v/>
      </c>
      <c r="F2975" s="37">
        <f>IF(C2975="","",B2975+IF(E2975&gt;0,0,0.5)+ROW()/10000000)</f>
        <v/>
      </c>
      <c r="G2975">
        <f>IF(C2975="","","Collection 收款 (Online 网上)"&amp;IF('Daily Sale entry '!Y1475="",""," - "&amp;'Daily Sale entry '!Y1475))</f>
        <v/>
      </c>
      <c r="H2975">
        <f>IF(C2975="","",COUNTIFS($C$2:$C$3001,C2975,$F$2:$F$3001,"&lt;"&amp;F2975)+1)</f>
        <v/>
      </c>
      <c r="I2975">
        <f>IF(C2975="","",C2975&amp;"|"&amp;H2975)</f>
        <v/>
      </c>
      <c r="J2975" s="6">
        <f>IF(C2975="","",IF(H2975=1,SUMIFS('Opening Balance'!$F$4:$F$303,'Opening Balance'!$G$4:$G$303,C2975),INDEX($L$2:$L$3001,MATCH(C2975&amp;"|"&amp;(H2975-1),$I$2:$I$3001,0))))</f>
        <v/>
      </c>
      <c r="K2975" s="6">
        <f>IF(C2975="","",IF(M2975&gt;0,M2975,IF(AND(E2975&gt;0,ROUND(J2975+D2975-E2975,2)&gt;0,ROUND(J2975+D2975-E2975,2)&lt;'Opening Balance'!$B$14),ROUND(J2975+D2975-E2975,2),0)))</f>
        <v/>
      </c>
      <c r="L2975" s="6">
        <f>IF(C2975="","",ROUND(J2975+D2975-E2975-K2975,2))</f>
        <v/>
      </c>
      <c r="M2975" s="6">
        <f>IF(C2975="","",0)</f>
        <v/>
      </c>
    </row>
    <row r="2976">
      <c r="A2976" t="inlineStr">
        <is>
          <t>Bank 银行</t>
        </is>
      </c>
      <c r="B2976" s="5">
        <f>IF(AND('Daily Sale entry '!Z1476="Online collection 网上收款",'Daily Sale entry '!AA1476&lt;&gt;""),'Daily Sale entry '!X1476,"")</f>
        <v/>
      </c>
      <c r="C2976">
        <f>IF(B2976="","",'Daily Sale entry '!AA1476)</f>
        <v/>
      </c>
      <c r="D2976">
        <f>IF(C2976="","",0)</f>
        <v/>
      </c>
      <c r="E2976">
        <f>IF(C2976="","",'Daily Sale entry '!AC1476)</f>
        <v/>
      </c>
      <c r="F2976" s="37">
        <f>IF(C2976="","",B2976+IF(E2976&gt;0,0,0.5)+ROW()/10000000)</f>
        <v/>
      </c>
      <c r="G2976">
        <f>IF(C2976="","","Collection 收款 (Online 网上)"&amp;IF('Daily Sale entry '!Y1476="",""," - "&amp;'Daily Sale entry '!Y1476))</f>
        <v/>
      </c>
      <c r="H2976">
        <f>IF(C2976="","",COUNTIFS($C$2:$C$3001,C2976,$F$2:$F$3001,"&lt;"&amp;F2976)+1)</f>
        <v/>
      </c>
      <c r="I2976">
        <f>IF(C2976="","",C2976&amp;"|"&amp;H2976)</f>
        <v/>
      </c>
      <c r="J2976" s="6">
        <f>IF(C2976="","",IF(H2976=1,SUMIFS('Opening Balance'!$F$4:$F$303,'Opening Balance'!$G$4:$G$303,C2976),INDEX($L$2:$L$3001,MATCH(C2976&amp;"|"&amp;(H2976-1),$I$2:$I$3001,0))))</f>
        <v/>
      </c>
      <c r="K2976" s="6">
        <f>IF(C2976="","",IF(M2976&gt;0,M2976,IF(AND(E2976&gt;0,ROUND(J2976+D2976-E2976,2)&gt;0,ROUND(J2976+D2976-E2976,2)&lt;'Opening Balance'!$B$14),ROUND(J2976+D2976-E2976,2),0)))</f>
        <v/>
      </c>
      <c r="L2976" s="6">
        <f>IF(C2976="","",ROUND(J2976+D2976-E2976-K2976,2))</f>
        <v/>
      </c>
      <c r="M2976" s="6">
        <f>IF(C2976="","",0)</f>
        <v/>
      </c>
    </row>
    <row r="2977">
      <c r="A2977" t="inlineStr">
        <is>
          <t>Bank 银行</t>
        </is>
      </c>
      <c r="B2977" s="5">
        <f>IF(AND('Daily Sale entry '!Z1477="Online collection 网上收款",'Daily Sale entry '!AA1477&lt;&gt;""),'Daily Sale entry '!X1477,"")</f>
        <v/>
      </c>
      <c r="C2977">
        <f>IF(B2977="","",'Daily Sale entry '!AA1477)</f>
        <v/>
      </c>
      <c r="D2977">
        <f>IF(C2977="","",0)</f>
        <v/>
      </c>
      <c r="E2977">
        <f>IF(C2977="","",'Daily Sale entry '!AC1477)</f>
        <v/>
      </c>
      <c r="F2977" s="37">
        <f>IF(C2977="","",B2977+IF(E2977&gt;0,0,0.5)+ROW()/10000000)</f>
        <v/>
      </c>
      <c r="G2977">
        <f>IF(C2977="","","Collection 收款 (Online 网上)"&amp;IF('Daily Sale entry '!Y1477="",""," - "&amp;'Daily Sale entry '!Y1477))</f>
        <v/>
      </c>
      <c r="H2977">
        <f>IF(C2977="","",COUNTIFS($C$2:$C$3001,C2977,$F$2:$F$3001,"&lt;"&amp;F2977)+1)</f>
        <v/>
      </c>
      <c r="I2977">
        <f>IF(C2977="","",C2977&amp;"|"&amp;H2977)</f>
        <v/>
      </c>
      <c r="J2977" s="6">
        <f>IF(C2977="","",IF(H2977=1,SUMIFS('Opening Balance'!$F$4:$F$303,'Opening Balance'!$G$4:$G$303,C2977),INDEX($L$2:$L$3001,MATCH(C2977&amp;"|"&amp;(H2977-1),$I$2:$I$3001,0))))</f>
        <v/>
      </c>
      <c r="K2977" s="6">
        <f>IF(C2977="","",IF(M2977&gt;0,M2977,IF(AND(E2977&gt;0,ROUND(J2977+D2977-E2977,2)&gt;0,ROUND(J2977+D2977-E2977,2)&lt;'Opening Balance'!$B$14),ROUND(J2977+D2977-E2977,2),0)))</f>
        <v/>
      </c>
      <c r="L2977" s="6">
        <f>IF(C2977="","",ROUND(J2977+D2977-E2977-K2977,2))</f>
        <v/>
      </c>
      <c r="M2977" s="6">
        <f>IF(C2977="","",0)</f>
        <v/>
      </c>
    </row>
    <row r="2978">
      <c r="A2978" t="inlineStr">
        <is>
          <t>Bank 银行</t>
        </is>
      </c>
      <c r="B2978" s="5">
        <f>IF(AND('Daily Sale entry '!Z1478="Online collection 网上收款",'Daily Sale entry '!AA1478&lt;&gt;""),'Daily Sale entry '!X1478,"")</f>
        <v/>
      </c>
      <c r="C2978">
        <f>IF(B2978="","",'Daily Sale entry '!AA1478)</f>
        <v/>
      </c>
      <c r="D2978">
        <f>IF(C2978="","",0)</f>
        <v/>
      </c>
      <c r="E2978">
        <f>IF(C2978="","",'Daily Sale entry '!AC1478)</f>
        <v/>
      </c>
      <c r="F2978" s="37">
        <f>IF(C2978="","",B2978+IF(E2978&gt;0,0,0.5)+ROW()/10000000)</f>
        <v/>
      </c>
      <c r="G2978">
        <f>IF(C2978="","","Collection 收款 (Online 网上)"&amp;IF('Daily Sale entry '!Y1478="",""," - "&amp;'Daily Sale entry '!Y1478))</f>
        <v/>
      </c>
      <c r="H2978">
        <f>IF(C2978="","",COUNTIFS($C$2:$C$3001,C2978,$F$2:$F$3001,"&lt;"&amp;F2978)+1)</f>
        <v/>
      </c>
      <c r="I2978">
        <f>IF(C2978="","",C2978&amp;"|"&amp;H2978)</f>
        <v/>
      </c>
      <c r="J2978" s="6">
        <f>IF(C2978="","",IF(H2978=1,SUMIFS('Opening Balance'!$F$4:$F$303,'Opening Balance'!$G$4:$G$303,C2978),INDEX($L$2:$L$3001,MATCH(C2978&amp;"|"&amp;(H2978-1),$I$2:$I$3001,0))))</f>
        <v/>
      </c>
      <c r="K2978" s="6">
        <f>IF(C2978="","",IF(M2978&gt;0,M2978,IF(AND(E2978&gt;0,ROUND(J2978+D2978-E2978,2)&gt;0,ROUND(J2978+D2978-E2978,2)&lt;'Opening Balance'!$B$14),ROUND(J2978+D2978-E2978,2),0)))</f>
        <v/>
      </c>
      <c r="L2978" s="6">
        <f>IF(C2978="","",ROUND(J2978+D2978-E2978-K2978,2))</f>
        <v/>
      </c>
      <c r="M2978" s="6">
        <f>IF(C2978="","",0)</f>
        <v/>
      </c>
    </row>
    <row r="2979">
      <c r="A2979" t="inlineStr">
        <is>
          <t>Bank 银行</t>
        </is>
      </c>
      <c r="B2979" s="5">
        <f>IF(AND('Daily Sale entry '!Z1479="Online collection 网上收款",'Daily Sale entry '!AA1479&lt;&gt;""),'Daily Sale entry '!X1479,"")</f>
        <v/>
      </c>
      <c r="C2979">
        <f>IF(B2979="","",'Daily Sale entry '!AA1479)</f>
        <v/>
      </c>
      <c r="D2979">
        <f>IF(C2979="","",0)</f>
        <v/>
      </c>
      <c r="E2979">
        <f>IF(C2979="","",'Daily Sale entry '!AC1479)</f>
        <v/>
      </c>
      <c r="F2979" s="37">
        <f>IF(C2979="","",B2979+IF(E2979&gt;0,0,0.5)+ROW()/10000000)</f>
        <v/>
      </c>
      <c r="G2979">
        <f>IF(C2979="","","Collection 收款 (Online 网上)"&amp;IF('Daily Sale entry '!Y1479="",""," - "&amp;'Daily Sale entry '!Y1479))</f>
        <v/>
      </c>
      <c r="H2979">
        <f>IF(C2979="","",COUNTIFS($C$2:$C$3001,C2979,$F$2:$F$3001,"&lt;"&amp;F2979)+1)</f>
        <v/>
      </c>
      <c r="I2979">
        <f>IF(C2979="","",C2979&amp;"|"&amp;H2979)</f>
        <v/>
      </c>
      <c r="J2979" s="6">
        <f>IF(C2979="","",IF(H2979=1,SUMIFS('Opening Balance'!$F$4:$F$303,'Opening Balance'!$G$4:$G$303,C2979),INDEX($L$2:$L$3001,MATCH(C2979&amp;"|"&amp;(H2979-1),$I$2:$I$3001,0))))</f>
        <v/>
      </c>
      <c r="K2979" s="6">
        <f>IF(C2979="","",IF(M2979&gt;0,M2979,IF(AND(E2979&gt;0,ROUND(J2979+D2979-E2979,2)&gt;0,ROUND(J2979+D2979-E2979,2)&lt;'Opening Balance'!$B$14),ROUND(J2979+D2979-E2979,2),0)))</f>
        <v/>
      </c>
      <c r="L2979" s="6">
        <f>IF(C2979="","",ROUND(J2979+D2979-E2979-K2979,2))</f>
        <v/>
      </c>
      <c r="M2979" s="6">
        <f>IF(C2979="","",0)</f>
        <v/>
      </c>
    </row>
    <row r="2980">
      <c r="A2980" t="inlineStr">
        <is>
          <t>Bank 银行</t>
        </is>
      </c>
      <c r="B2980" s="5">
        <f>IF(AND('Daily Sale entry '!Z1480="Online collection 网上收款",'Daily Sale entry '!AA1480&lt;&gt;""),'Daily Sale entry '!X1480,"")</f>
        <v/>
      </c>
      <c r="C2980">
        <f>IF(B2980="","",'Daily Sale entry '!AA1480)</f>
        <v/>
      </c>
      <c r="D2980">
        <f>IF(C2980="","",0)</f>
        <v/>
      </c>
      <c r="E2980">
        <f>IF(C2980="","",'Daily Sale entry '!AC1480)</f>
        <v/>
      </c>
      <c r="F2980" s="37">
        <f>IF(C2980="","",B2980+IF(E2980&gt;0,0,0.5)+ROW()/10000000)</f>
        <v/>
      </c>
      <c r="G2980">
        <f>IF(C2980="","","Collection 收款 (Online 网上)"&amp;IF('Daily Sale entry '!Y1480="",""," - "&amp;'Daily Sale entry '!Y1480))</f>
        <v/>
      </c>
      <c r="H2980">
        <f>IF(C2980="","",COUNTIFS($C$2:$C$3001,C2980,$F$2:$F$3001,"&lt;"&amp;F2980)+1)</f>
        <v/>
      </c>
      <c r="I2980">
        <f>IF(C2980="","",C2980&amp;"|"&amp;H2980)</f>
        <v/>
      </c>
      <c r="J2980" s="6">
        <f>IF(C2980="","",IF(H2980=1,SUMIFS('Opening Balance'!$F$4:$F$303,'Opening Balance'!$G$4:$G$303,C2980),INDEX($L$2:$L$3001,MATCH(C2980&amp;"|"&amp;(H2980-1),$I$2:$I$3001,0))))</f>
        <v/>
      </c>
      <c r="K2980" s="6">
        <f>IF(C2980="","",IF(M2980&gt;0,M2980,IF(AND(E2980&gt;0,ROUND(J2980+D2980-E2980,2)&gt;0,ROUND(J2980+D2980-E2980,2)&lt;'Opening Balance'!$B$14),ROUND(J2980+D2980-E2980,2),0)))</f>
        <v/>
      </c>
      <c r="L2980" s="6">
        <f>IF(C2980="","",ROUND(J2980+D2980-E2980-K2980,2))</f>
        <v/>
      </c>
      <c r="M2980" s="6">
        <f>IF(C2980="","",0)</f>
        <v/>
      </c>
    </row>
    <row r="2981">
      <c r="A2981" t="inlineStr">
        <is>
          <t>Bank 银行</t>
        </is>
      </c>
      <c r="B2981" s="5">
        <f>IF(AND('Daily Sale entry '!Z1481="Online collection 网上收款",'Daily Sale entry '!AA1481&lt;&gt;""),'Daily Sale entry '!X1481,"")</f>
        <v/>
      </c>
      <c r="C2981">
        <f>IF(B2981="","",'Daily Sale entry '!AA1481)</f>
        <v/>
      </c>
      <c r="D2981">
        <f>IF(C2981="","",0)</f>
        <v/>
      </c>
      <c r="E2981">
        <f>IF(C2981="","",'Daily Sale entry '!AC1481)</f>
        <v/>
      </c>
      <c r="F2981" s="37">
        <f>IF(C2981="","",B2981+IF(E2981&gt;0,0,0.5)+ROW()/10000000)</f>
        <v/>
      </c>
      <c r="G2981">
        <f>IF(C2981="","","Collection 收款 (Online 网上)"&amp;IF('Daily Sale entry '!Y1481="",""," - "&amp;'Daily Sale entry '!Y1481))</f>
        <v/>
      </c>
      <c r="H2981">
        <f>IF(C2981="","",COUNTIFS($C$2:$C$3001,C2981,$F$2:$F$3001,"&lt;"&amp;F2981)+1)</f>
        <v/>
      </c>
      <c r="I2981">
        <f>IF(C2981="","",C2981&amp;"|"&amp;H2981)</f>
        <v/>
      </c>
      <c r="J2981" s="6">
        <f>IF(C2981="","",IF(H2981=1,SUMIFS('Opening Balance'!$F$4:$F$303,'Opening Balance'!$G$4:$G$303,C2981),INDEX($L$2:$L$3001,MATCH(C2981&amp;"|"&amp;(H2981-1),$I$2:$I$3001,0))))</f>
        <v/>
      </c>
      <c r="K2981" s="6">
        <f>IF(C2981="","",IF(M2981&gt;0,M2981,IF(AND(E2981&gt;0,ROUND(J2981+D2981-E2981,2)&gt;0,ROUND(J2981+D2981-E2981,2)&lt;'Opening Balance'!$B$14),ROUND(J2981+D2981-E2981,2),0)))</f>
        <v/>
      </c>
      <c r="L2981" s="6">
        <f>IF(C2981="","",ROUND(J2981+D2981-E2981-K2981,2))</f>
        <v/>
      </c>
      <c r="M2981" s="6">
        <f>IF(C2981="","",0)</f>
        <v/>
      </c>
    </row>
    <row r="2982">
      <c r="A2982" t="inlineStr">
        <is>
          <t>Bank 银行</t>
        </is>
      </c>
      <c r="B2982" s="5">
        <f>IF(AND('Daily Sale entry '!Z1482="Online collection 网上收款",'Daily Sale entry '!AA1482&lt;&gt;""),'Daily Sale entry '!X1482,"")</f>
        <v/>
      </c>
      <c r="C2982">
        <f>IF(B2982="","",'Daily Sale entry '!AA1482)</f>
        <v/>
      </c>
      <c r="D2982">
        <f>IF(C2982="","",0)</f>
        <v/>
      </c>
      <c r="E2982">
        <f>IF(C2982="","",'Daily Sale entry '!AC1482)</f>
        <v/>
      </c>
      <c r="F2982" s="37">
        <f>IF(C2982="","",B2982+IF(E2982&gt;0,0,0.5)+ROW()/10000000)</f>
        <v/>
      </c>
      <c r="G2982">
        <f>IF(C2982="","","Collection 收款 (Online 网上)"&amp;IF('Daily Sale entry '!Y1482="",""," - "&amp;'Daily Sale entry '!Y1482))</f>
        <v/>
      </c>
      <c r="H2982">
        <f>IF(C2982="","",COUNTIFS($C$2:$C$3001,C2982,$F$2:$F$3001,"&lt;"&amp;F2982)+1)</f>
        <v/>
      </c>
      <c r="I2982">
        <f>IF(C2982="","",C2982&amp;"|"&amp;H2982)</f>
        <v/>
      </c>
      <c r="J2982" s="6">
        <f>IF(C2982="","",IF(H2982=1,SUMIFS('Opening Balance'!$F$4:$F$303,'Opening Balance'!$G$4:$G$303,C2982),INDEX($L$2:$L$3001,MATCH(C2982&amp;"|"&amp;(H2982-1),$I$2:$I$3001,0))))</f>
        <v/>
      </c>
      <c r="K2982" s="6">
        <f>IF(C2982="","",IF(M2982&gt;0,M2982,IF(AND(E2982&gt;0,ROUND(J2982+D2982-E2982,2)&gt;0,ROUND(J2982+D2982-E2982,2)&lt;'Opening Balance'!$B$14),ROUND(J2982+D2982-E2982,2),0)))</f>
        <v/>
      </c>
      <c r="L2982" s="6">
        <f>IF(C2982="","",ROUND(J2982+D2982-E2982-K2982,2))</f>
        <v/>
      </c>
      <c r="M2982" s="6">
        <f>IF(C2982="","",0)</f>
        <v/>
      </c>
    </row>
    <row r="2983">
      <c r="A2983" t="inlineStr">
        <is>
          <t>Bank 银行</t>
        </is>
      </c>
      <c r="B2983" s="5">
        <f>IF(AND('Daily Sale entry '!Z1483="Online collection 网上收款",'Daily Sale entry '!AA1483&lt;&gt;""),'Daily Sale entry '!X1483,"")</f>
        <v/>
      </c>
      <c r="C2983">
        <f>IF(B2983="","",'Daily Sale entry '!AA1483)</f>
        <v/>
      </c>
      <c r="D2983">
        <f>IF(C2983="","",0)</f>
        <v/>
      </c>
      <c r="E2983">
        <f>IF(C2983="","",'Daily Sale entry '!AC1483)</f>
        <v/>
      </c>
      <c r="F2983" s="37">
        <f>IF(C2983="","",B2983+IF(E2983&gt;0,0,0.5)+ROW()/10000000)</f>
        <v/>
      </c>
      <c r="G2983">
        <f>IF(C2983="","","Collection 收款 (Online 网上)"&amp;IF('Daily Sale entry '!Y1483="",""," - "&amp;'Daily Sale entry '!Y1483))</f>
        <v/>
      </c>
      <c r="H2983">
        <f>IF(C2983="","",COUNTIFS($C$2:$C$3001,C2983,$F$2:$F$3001,"&lt;"&amp;F2983)+1)</f>
        <v/>
      </c>
      <c r="I2983">
        <f>IF(C2983="","",C2983&amp;"|"&amp;H2983)</f>
        <v/>
      </c>
      <c r="J2983" s="6">
        <f>IF(C2983="","",IF(H2983=1,SUMIFS('Opening Balance'!$F$4:$F$303,'Opening Balance'!$G$4:$G$303,C2983),INDEX($L$2:$L$3001,MATCH(C2983&amp;"|"&amp;(H2983-1),$I$2:$I$3001,0))))</f>
        <v/>
      </c>
      <c r="K2983" s="6">
        <f>IF(C2983="","",IF(M2983&gt;0,M2983,IF(AND(E2983&gt;0,ROUND(J2983+D2983-E2983,2)&gt;0,ROUND(J2983+D2983-E2983,2)&lt;'Opening Balance'!$B$14),ROUND(J2983+D2983-E2983,2),0)))</f>
        <v/>
      </c>
      <c r="L2983" s="6">
        <f>IF(C2983="","",ROUND(J2983+D2983-E2983-K2983,2))</f>
        <v/>
      </c>
      <c r="M2983" s="6">
        <f>IF(C2983="","",0)</f>
        <v/>
      </c>
    </row>
    <row r="2984">
      <c r="A2984" t="inlineStr">
        <is>
          <t>Bank 银行</t>
        </is>
      </c>
      <c r="B2984" s="5">
        <f>IF(AND('Daily Sale entry '!Z1484="Online collection 网上收款",'Daily Sale entry '!AA1484&lt;&gt;""),'Daily Sale entry '!X1484,"")</f>
        <v/>
      </c>
      <c r="C2984">
        <f>IF(B2984="","",'Daily Sale entry '!AA1484)</f>
        <v/>
      </c>
      <c r="D2984">
        <f>IF(C2984="","",0)</f>
        <v/>
      </c>
      <c r="E2984">
        <f>IF(C2984="","",'Daily Sale entry '!AC1484)</f>
        <v/>
      </c>
      <c r="F2984" s="37">
        <f>IF(C2984="","",B2984+IF(E2984&gt;0,0,0.5)+ROW()/10000000)</f>
        <v/>
      </c>
      <c r="G2984">
        <f>IF(C2984="","","Collection 收款 (Online 网上)"&amp;IF('Daily Sale entry '!Y1484="",""," - "&amp;'Daily Sale entry '!Y1484))</f>
        <v/>
      </c>
      <c r="H2984">
        <f>IF(C2984="","",COUNTIFS($C$2:$C$3001,C2984,$F$2:$F$3001,"&lt;"&amp;F2984)+1)</f>
        <v/>
      </c>
      <c r="I2984">
        <f>IF(C2984="","",C2984&amp;"|"&amp;H2984)</f>
        <v/>
      </c>
      <c r="J2984" s="6">
        <f>IF(C2984="","",IF(H2984=1,SUMIFS('Opening Balance'!$F$4:$F$303,'Opening Balance'!$G$4:$G$303,C2984),INDEX($L$2:$L$3001,MATCH(C2984&amp;"|"&amp;(H2984-1),$I$2:$I$3001,0))))</f>
        <v/>
      </c>
      <c r="K2984" s="6">
        <f>IF(C2984="","",IF(M2984&gt;0,M2984,IF(AND(E2984&gt;0,ROUND(J2984+D2984-E2984,2)&gt;0,ROUND(J2984+D2984-E2984,2)&lt;'Opening Balance'!$B$14),ROUND(J2984+D2984-E2984,2),0)))</f>
        <v/>
      </c>
      <c r="L2984" s="6">
        <f>IF(C2984="","",ROUND(J2984+D2984-E2984-K2984,2))</f>
        <v/>
      </c>
      <c r="M2984" s="6">
        <f>IF(C2984="","",0)</f>
        <v/>
      </c>
    </row>
    <row r="2985">
      <c r="A2985" t="inlineStr">
        <is>
          <t>Bank 银行</t>
        </is>
      </c>
      <c r="B2985" s="5">
        <f>IF(AND('Daily Sale entry '!Z1485="Online collection 网上收款",'Daily Sale entry '!AA1485&lt;&gt;""),'Daily Sale entry '!X1485,"")</f>
        <v/>
      </c>
      <c r="C2985">
        <f>IF(B2985="","",'Daily Sale entry '!AA1485)</f>
        <v/>
      </c>
      <c r="D2985">
        <f>IF(C2985="","",0)</f>
        <v/>
      </c>
      <c r="E2985">
        <f>IF(C2985="","",'Daily Sale entry '!AC1485)</f>
        <v/>
      </c>
      <c r="F2985" s="37">
        <f>IF(C2985="","",B2985+IF(E2985&gt;0,0,0.5)+ROW()/10000000)</f>
        <v/>
      </c>
      <c r="G2985">
        <f>IF(C2985="","","Collection 收款 (Online 网上)"&amp;IF('Daily Sale entry '!Y1485="",""," - "&amp;'Daily Sale entry '!Y1485))</f>
        <v/>
      </c>
      <c r="H2985">
        <f>IF(C2985="","",COUNTIFS($C$2:$C$3001,C2985,$F$2:$F$3001,"&lt;"&amp;F2985)+1)</f>
        <v/>
      </c>
      <c r="I2985">
        <f>IF(C2985="","",C2985&amp;"|"&amp;H2985)</f>
        <v/>
      </c>
      <c r="J2985" s="6">
        <f>IF(C2985="","",IF(H2985=1,SUMIFS('Opening Balance'!$F$4:$F$303,'Opening Balance'!$G$4:$G$303,C2985),INDEX($L$2:$L$3001,MATCH(C2985&amp;"|"&amp;(H2985-1),$I$2:$I$3001,0))))</f>
        <v/>
      </c>
      <c r="K2985" s="6">
        <f>IF(C2985="","",IF(M2985&gt;0,M2985,IF(AND(E2985&gt;0,ROUND(J2985+D2985-E2985,2)&gt;0,ROUND(J2985+D2985-E2985,2)&lt;'Opening Balance'!$B$14),ROUND(J2985+D2985-E2985,2),0)))</f>
        <v/>
      </c>
      <c r="L2985" s="6">
        <f>IF(C2985="","",ROUND(J2985+D2985-E2985-K2985,2))</f>
        <v/>
      </c>
      <c r="M2985" s="6">
        <f>IF(C2985="","",0)</f>
        <v/>
      </c>
    </row>
    <row r="2986">
      <c r="A2986" t="inlineStr">
        <is>
          <t>Bank 银行</t>
        </is>
      </c>
      <c r="B2986" s="5">
        <f>IF(AND('Daily Sale entry '!Z1486="Online collection 网上收款",'Daily Sale entry '!AA1486&lt;&gt;""),'Daily Sale entry '!X1486,"")</f>
        <v/>
      </c>
      <c r="C2986">
        <f>IF(B2986="","",'Daily Sale entry '!AA1486)</f>
        <v/>
      </c>
      <c r="D2986">
        <f>IF(C2986="","",0)</f>
        <v/>
      </c>
      <c r="E2986">
        <f>IF(C2986="","",'Daily Sale entry '!AC1486)</f>
        <v/>
      </c>
      <c r="F2986" s="37">
        <f>IF(C2986="","",B2986+IF(E2986&gt;0,0,0.5)+ROW()/10000000)</f>
        <v/>
      </c>
      <c r="G2986">
        <f>IF(C2986="","","Collection 收款 (Online 网上)"&amp;IF('Daily Sale entry '!Y1486="",""," - "&amp;'Daily Sale entry '!Y1486))</f>
        <v/>
      </c>
      <c r="H2986">
        <f>IF(C2986="","",COUNTIFS($C$2:$C$3001,C2986,$F$2:$F$3001,"&lt;"&amp;F2986)+1)</f>
        <v/>
      </c>
      <c r="I2986">
        <f>IF(C2986="","",C2986&amp;"|"&amp;H2986)</f>
        <v/>
      </c>
      <c r="J2986" s="6">
        <f>IF(C2986="","",IF(H2986=1,SUMIFS('Opening Balance'!$F$4:$F$303,'Opening Balance'!$G$4:$G$303,C2986),INDEX($L$2:$L$3001,MATCH(C2986&amp;"|"&amp;(H2986-1),$I$2:$I$3001,0))))</f>
        <v/>
      </c>
      <c r="K2986" s="6">
        <f>IF(C2986="","",IF(M2986&gt;0,M2986,IF(AND(E2986&gt;0,ROUND(J2986+D2986-E2986,2)&gt;0,ROUND(J2986+D2986-E2986,2)&lt;'Opening Balance'!$B$14),ROUND(J2986+D2986-E2986,2),0)))</f>
        <v/>
      </c>
      <c r="L2986" s="6">
        <f>IF(C2986="","",ROUND(J2986+D2986-E2986-K2986,2))</f>
        <v/>
      </c>
      <c r="M2986" s="6">
        <f>IF(C2986="","",0)</f>
        <v/>
      </c>
    </row>
    <row r="2987">
      <c r="A2987" t="inlineStr">
        <is>
          <t>Bank 银行</t>
        </is>
      </c>
      <c r="B2987" s="5">
        <f>IF(AND('Daily Sale entry '!Z1487="Online collection 网上收款",'Daily Sale entry '!AA1487&lt;&gt;""),'Daily Sale entry '!X1487,"")</f>
        <v/>
      </c>
      <c r="C2987">
        <f>IF(B2987="","",'Daily Sale entry '!AA1487)</f>
        <v/>
      </c>
      <c r="D2987">
        <f>IF(C2987="","",0)</f>
        <v/>
      </c>
      <c r="E2987">
        <f>IF(C2987="","",'Daily Sale entry '!AC1487)</f>
        <v/>
      </c>
      <c r="F2987" s="37">
        <f>IF(C2987="","",B2987+IF(E2987&gt;0,0,0.5)+ROW()/10000000)</f>
        <v/>
      </c>
      <c r="G2987">
        <f>IF(C2987="","","Collection 收款 (Online 网上)"&amp;IF('Daily Sale entry '!Y1487="",""," - "&amp;'Daily Sale entry '!Y1487))</f>
        <v/>
      </c>
      <c r="H2987">
        <f>IF(C2987="","",COUNTIFS($C$2:$C$3001,C2987,$F$2:$F$3001,"&lt;"&amp;F2987)+1)</f>
        <v/>
      </c>
      <c r="I2987">
        <f>IF(C2987="","",C2987&amp;"|"&amp;H2987)</f>
        <v/>
      </c>
      <c r="J2987" s="6">
        <f>IF(C2987="","",IF(H2987=1,SUMIFS('Opening Balance'!$F$4:$F$303,'Opening Balance'!$G$4:$G$303,C2987),INDEX($L$2:$L$3001,MATCH(C2987&amp;"|"&amp;(H2987-1),$I$2:$I$3001,0))))</f>
        <v/>
      </c>
      <c r="K2987" s="6">
        <f>IF(C2987="","",IF(M2987&gt;0,M2987,IF(AND(E2987&gt;0,ROUND(J2987+D2987-E2987,2)&gt;0,ROUND(J2987+D2987-E2987,2)&lt;'Opening Balance'!$B$14),ROUND(J2987+D2987-E2987,2),0)))</f>
        <v/>
      </c>
      <c r="L2987" s="6">
        <f>IF(C2987="","",ROUND(J2987+D2987-E2987-K2987,2))</f>
        <v/>
      </c>
      <c r="M2987" s="6">
        <f>IF(C2987="","",0)</f>
        <v/>
      </c>
    </row>
    <row r="2988">
      <c r="A2988" t="inlineStr">
        <is>
          <t>Bank 银行</t>
        </is>
      </c>
      <c r="B2988" s="5">
        <f>IF(AND('Daily Sale entry '!Z1488="Online collection 网上收款",'Daily Sale entry '!AA1488&lt;&gt;""),'Daily Sale entry '!X1488,"")</f>
        <v/>
      </c>
      <c r="C2988">
        <f>IF(B2988="","",'Daily Sale entry '!AA1488)</f>
        <v/>
      </c>
      <c r="D2988">
        <f>IF(C2988="","",0)</f>
        <v/>
      </c>
      <c r="E2988">
        <f>IF(C2988="","",'Daily Sale entry '!AC1488)</f>
        <v/>
      </c>
      <c r="F2988" s="37">
        <f>IF(C2988="","",B2988+IF(E2988&gt;0,0,0.5)+ROW()/10000000)</f>
        <v/>
      </c>
      <c r="G2988">
        <f>IF(C2988="","","Collection 收款 (Online 网上)"&amp;IF('Daily Sale entry '!Y1488="",""," - "&amp;'Daily Sale entry '!Y1488))</f>
        <v/>
      </c>
      <c r="H2988">
        <f>IF(C2988="","",COUNTIFS($C$2:$C$3001,C2988,$F$2:$F$3001,"&lt;"&amp;F2988)+1)</f>
        <v/>
      </c>
      <c r="I2988">
        <f>IF(C2988="","",C2988&amp;"|"&amp;H2988)</f>
        <v/>
      </c>
      <c r="J2988" s="6">
        <f>IF(C2988="","",IF(H2988=1,SUMIFS('Opening Balance'!$F$4:$F$303,'Opening Balance'!$G$4:$G$303,C2988),INDEX($L$2:$L$3001,MATCH(C2988&amp;"|"&amp;(H2988-1),$I$2:$I$3001,0))))</f>
        <v/>
      </c>
      <c r="K2988" s="6">
        <f>IF(C2988="","",IF(M2988&gt;0,M2988,IF(AND(E2988&gt;0,ROUND(J2988+D2988-E2988,2)&gt;0,ROUND(J2988+D2988-E2988,2)&lt;'Opening Balance'!$B$14),ROUND(J2988+D2988-E2988,2),0)))</f>
        <v/>
      </c>
      <c r="L2988" s="6">
        <f>IF(C2988="","",ROUND(J2988+D2988-E2988-K2988,2))</f>
        <v/>
      </c>
      <c r="M2988" s="6">
        <f>IF(C2988="","",0)</f>
        <v/>
      </c>
    </row>
    <row r="2989">
      <c r="A2989" t="inlineStr">
        <is>
          <t>Bank 银行</t>
        </is>
      </c>
      <c r="B2989" s="5">
        <f>IF(AND('Daily Sale entry '!Z1489="Online collection 网上收款",'Daily Sale entry '!AA1489&lt;&gt;""),'Daily Sale entry '!X1489,"")</f>
        <v/>
      </c>
      <c r="C2989">
        <f>IF(B2989="","",'Daily Sale entry '!AA1489)</f>
        <v/>
      </c>
      <c r="D2989">
        <f>IF(C2989="","",0)</f>
        <v/>
      </c>
      <c r="E2989">
        <f>IF(C2989="","",'Daily Sale entry '!AC1489)</f>
        <v/>
      </c>
      <c r="F2989" s="37">
        <f>IF(C2989="","",B2989+IF(E2989&gt;0,0,0.5)+ROW()/10000000)</f>
        <v/>
      </c>
      <c r="G2989">
        <f>IF(C2989="","","Collection 收款 (Online 网上)"&amp;IF('Daily Sale entry '!Y1489="",""," - "&amp;'Daily Sale entry '!Y1489))</f>
        <v/>
      </c>
      <c r="H2989">
        <f>IF(C2989="","",COUNTIFS($C$2:$C$3001,C2989,$F$2:$F$3001,"&lt;"&amp;F2989)+1)</f>
        <v/>
      </c>
      <c r="I2989">
        <f>IF(C2989="","",C2989&amp;"|"&amp;H2989)</f>
        <v/>
      </c>
      <c r="J2989" s="6">
        <f>IF(C2989="","",IF(H2989=1,SUMIFS('Opening Balance'!$F$4:$F$303,'Opening Balance'!$G$4:$G$303,C2989),INDEX($L$2:$L$3001,MATCH(C2989&amp;"|"&amp;(H2989-1),$I$2:$I$3001,0))))</f>
        <v/>
      </c>
      <c r="K2989" s="6">
        <f>IF(C2989="","",IF(M2989&gt;0,M2989,IF(AND(E2989&gt;0,ROUND(J2989+D2989-E2989,2)&gt;0,ROUND(J2989+D2989-E2989,2)&lt;'Opening Balance'!$B$14),ROUND(J2989+D2989-E2989,2),0)))</f>
        <v/>
      </c>
      <c r="L2989" s="6">
        <f>IF(C2989="","",ROUND(J2989+D2989-E2989-K2989,2))</f>
        <v/>
      </c>
      <c r="M2989" s="6">
        <f>IF(C2989="","",0)</f>
        <v/>
      </c>
    </row>
    <row r="2990">
      <c r="A2990" t="inlineStr">
        <is>
          <t>Bank 银行</t>
        </is>
      </c>
      <c r="B2990" s="5">
        <f>IF(AND('Daily Sale entry '!Z1490="Online collection 网上收款",'Daily Sale entry '!AA1490&lt;&gt;""),'Daily Sale entry '!X1490,"")</f>
        <v/>
      </c>
      <c r="C2990">
        <f>IF(B2990="","",'Daily Sale entry '!AA1490)</f>
        <v/>
      </c>
      <c r="D2990">
        <f>IF(C2990="","",0)</f>
        <v/>
      </c>
      <c r="E2990">
        <f>IF(C2990="","",'Daily Sale entry '!AC1490)</f>
        <v/>
      </c>
      <c r="F2990" s="37">
        <f>IF(C2990="","",B2990+IF(E2990&gt;0,0,0.5)+ROW()/10000000)</f>
        <v/>
      </c>
      <c r="G2990">
        <f>IF(C2990="","","Collection 收款 (Online 网上)"&amp;IF('Daily Sale entry '!Y1490="",""," - "&amp;'Daily Sale entry '!Y1490))</f>
        <v/>
      </c>
      <c r="H2990">
        <f>IF(C2990="","",COUNTIFS($C$2:$C$3001,C2990,$F$2:$F$3001,"&lt;"&amp;F2990)+1)</f>
        <v/>
      </c>
      <c r="I2990">
        <f>IF(C2990="","",C2990&amp;"|"&amp;H2990)</f>
        <v/>
      </c>
      <c r="J2990" s="6">
        <f>IF(C2990="","",IF(H2990=1,SUMIFS('Opening Balance'!$F$4:$F$303,'Opening Balance'!$G$4:$G$303,C2990),INDEX($L$2:$L$3001,MATCH(C2990&amp;"|"&amp;(H2990-1),$I$2:$I$3001,0))))</f>
        <v/>
      </c>
      <c r="K2990" s="6">
        <f>IF(C2990="","",IF(M2990&gt;0,M2990,IF(AND(E2990&gt;0,ROUND(J2990+D2990-E2990,2)&gt;0,ROUND(J2990+D2990-E2990,2)&lt;'Opening Balance'!$B$14),ROUND(J2990+D2990-E2990,2),0)))</f>
        <v/>
      </c>
      <c r="L2990" s="6">
        <f>IF(C2990="","",ROUND(J2990+D2990-E2990-K2990,2))</f>
        <v/>
      </c>
      <c r="M2990" s="6">
        <f>IF(C2990="","",0)</f>
        <v/>
      </c>
    </row>
    <row r="2991">
      <c r="A2991" t="inlineStr">
        <is>
          <t>Bank 银行</t>
        </is>
      </c>
      <c r="B2991" s="5">
        <f>IF(AND('Daily Sale entry '!Z1491="Online collection 网上收款",'Daily Sale entry '!AA1491&lt;&gt;""),'Daily Sale entry '!X1491,"")</f>
        <v/>
      </c>
      <c r="C2991">
        <f>IF(B2991="","",'Daily Sale entry '!AA1491)</f>
        <v/>
      </c>
      <c r="D2991">
        <f>IF(C2991="","",0)</f>
        <v/>
      </c>
      <c r="E2991">
        <f>IF(C2991="","",'Daily Sale entry '!AC1491)</f>
        <v/>
      </c>
      <c r="F2991" s="37">
        <f>IF(C2991="","",B2991+IF(E2991&gt;0,0,0.5)+ROW()/10000000)</f>
        <v/>
      </c>
      <c r="G2991">
        <f>IF(C2991="","","Collection 收款 (Online 网上)"&amp;IF('Daily Sale entry '!Y1491="",""," - "&amp;'Daily Sale entry '!Y1491))</f>
        <v/>
      </c>
      <c r="H2991">
        <f>IF(C2991="","",COUNTIFS($C$2:$C$3001,C2991,$F$2:$F$3001,"&lt;"&amp;F2991)+1)</f>
        <v/>
      </c>
      <c r="I2991">
        <f>IF(C2991="","",C2991&amp;"|"&amp;H2991)</f>
        <v/>
      </c>
      <c r="J2991" s="6">
        <f>IF(C2991="","",IF(H2991=1,SUMIFS('Opening Balance'!$F$4:$F$303,'Opening Balance'!$G$4:$G$303,C2991),INDEX($L$2:$L$3001,MATCH(C2991&amp;"|"&amp;(H2991-1),$I$2:$I$3001,0))))</f>
        <v/>
      </c>
      <c r="K2991" s="6">
        <f>IF(C2991="","",IF(M2991&gt;0,M2991,IF(AND(E2991&gt;0,ROUND(J2991+D2991-E2991,2)&gt;0,ROUND(J2991+D2991-E2991,2)&lt;'Opening Balance'!$B$14),ROUND(J2991+D2991-E2991,2),0)))</f>
        <v/>
      </c>
      <c r="L2991" s="6">
        <f>IF(C2991="","",ROUND(J2991+D2991-E2991-K2991,2))</f>
        <v/>
      </c>
      <c r="M2991" s="6">
        <f>IF(C2991="","",0)</f>
        <v/>
      </c>
    </row>
    <row r="2992">
      <c r="A2992" t="inlineStr">
        <is>
          <t>Bank 银行</t>
        </is>
      </c>
      <c r="B2992" s="5">
        <f>IF(AND('Daily Sale entry '!Z1492="Online collection 网上收款",'Daily Sale entry '!AA1492&lt;&gt;""),'Daily Sale entry '!X1492,"")</f>
        <v/>
      </c>
      <c r="C2992">
        <f>IF(B2992="","",'Daily Sale entry '!AA1492)</f>
        <v/>
      </c>
      <c r="D2992">
        <f>IF(C2992="","",0)</f>
        <v/>
      </c>
      <c r="E2992">
        <f>IF(C2992="","",'Daily Sale entry '!AC1492)</f>
        <v/>
      </c>
      <c r="F2992" s="37">
        <f>IF(C2992="","",B2992+IF(E2992&gt;0,0,0.5)+ROW()/10000000)</f>
        <v/>
      </c>
      <c r="G2992">
        <f>IF(C2992="","","Collection 收款 (Online 网上)"&amp;IF('Daily Sale entry '!Y1492="",""," - "&amp;'Daily Sale entry '!Y1492))</f>
        <v/>
      </c>
      <c r="H2992">
        <f>IF(C2992="","",COUNTIFS($C$2:$C$3001,C2992,$F$2:$F$3001,"&lt;"&amp;F2992)+1)</f>
        <v/>
      </c>
      <c r="I2992">
        <f>IF(C2992="","",C2992&amp;"|"&amp;H2992)</f>
        <v/>
      </c>
      <c r="J2992" s="6">
        <f>IF(C2992="","",IF(H2992=1,SUMIFS('Opening Balance'!$F$4:$F$303,'Opening Balance'!$G$4:$G$303,C2992),INDEX($L$2:$L$3001,MATCH(C2992&amp;"|"&amp;(H2992-1),$I$2:$I$3001,0))))</f>
        <v/>
      </c>
      <c r="K2992" s="6">
        <f>IF(C2992="","",IF(M2992&gt;0,M2992,IF(AND(E2992&gt;0,ROUND(J2992+D2992-E2992,2)&gt;0,ROUND(J2992+D2992-E2992,2)&lt;'Opening Balance'!$B$14),ROUND(J2992+D2992-E2992,2),0)))</f>
        <v/>
      </c>
      <c r="L2992" s="6">
        <f>IF(C2992="","",ROUND(J2992+D2992-E2992-K2992,2))</f>
        <v/>
      </c>
      <c r="M2992" s="6">
        <f>IF(C2992="","",0)</f>
        <v/>
      </c>
    </row>
    <row r="2993">
      <c r="A2993" t="inlineStr">
        <is>
          <t>Bank 银行</t>
        </is>
      </c>
      <c r="B2993" s="5">
        <f>IF(AND('Daily Sale entry '!Z1493="Online collection 网上收款",'Daily Sale entry '!AA1493&lt;&gt;""),'Daily Sale entry '!X1493,"")</f>
        <v/>
      </c>
      <c r="C2993">
        <f>IF(B2993="","",'Daily Sale entry '!AA1493)</f>
        <v/>
      </c>
      <c r="D2993">
        <f>IF(C2993="","",0)</f>
        <v/>
      </c>
      <c r="E2993">
        <f>IF(C2993="","",'Daily Sale entry '!AC1493)</f>
        <v/>
      </c>
      <c r="F2993" s="37">
        <f>IF(C2993="","",B2993+IF(E2993&gt;0,0,0.5)+ROW()/10000000)</f>
        <v/>
      </c>
      <c r="G2993">
        <f>IF(C2993="","","Collection 收款 (Online 网上)"&amp;IF('Daily Sale entry '!Y1493="",""," - "&amp;'Daily Sale entry '!Y1493))</f>
        <v/>
      </c>
      <c r="H2993">
        <f>IF(C2993="","",COUNTIFS($C$2:$C$3001,C2993,$F$2:$F$3001,"&lt;"&amp;F2993)+1)</f>
        <v/>
      </c>
      <c r="I2993">
        <f>IF(C2993="","",C2993&amp;"|"&amp;H2993)</f>
        <v/>
      </c>
      <c r="J2993" s="6">
        <f>IF(C2993="","",IF(H2993=1,SUMIFS('Opening Balance'!$F$4:$F$303,'Opening Balance'!$G$4:$G$303,C2993),INDEX($L$2:$L$3001,MATCH(C2993&amp;"|"&amp;(H2993-1),$I$2:$I$3001,0))))</f>
        <v/>
      </c>
      <c r="K2993" s="6">
        <f>IF(C2993="","",IF(M2993&gt;0,M2993,IF(AND(E2993&gt;0,ROUND(J2993+D2993-E2993,2)&gt;0,ROUND(J2993+D2993-E2993,2)&lt;'Opening Balance'!$B$14),ROUND(J2993+D2993-E2993,2),0)))</f>
        <v/>
      </c>
      <c r="L2993" s="6">
        <f>IF(C2993="","",ROUND(J2993+D2993-E2993-K2993,2))</f>
        <v/>
      </c>
      <c r="M2993" s="6">
        <f>IF(C2993="","",0)</f>
        <v/>
      </c>
    </row>
    <row r="2994">
      <c r="A2994" t="inlineStr">
        <is>
          <t>Bank 银行</t>
        </is>
      </c>
      <c r="B2994" s="5">
        <f>IF(AND('Daily Sale entry '!Z1494="Online collection 网上收款",'Daily Sale entry '!AA1494&lt;&gt;""),'Daily Sale entry '!X1494,"")</f>
        <v/>
      </c>
      <c r="C2994">
        <f>IF(B2994="","",'Daily Sale entry '!AA1494)</f>
        <v/>
      </c>
      <c r="D2994">
        <f>IF(C2994="","",0)</f>
        <v/>
      </c>
      <c r="E2994">
        <f>IF(C2994="","",'Daily Sale entry '!AC1494)</f>
        <v/>
      </c>
      <c r="F2994" s="37">
        <f>IF(C2994="","",B2994+IF(E2994&gt;0,0,0.5)+ROW()/10000000)</f>
        <v/>
      </c>
      <c r="G2994">
        <f>IF(C2994="","","Collection 收款 (Online 网上)"&amp;IF('Daily Sale entry '!Y1494="",""," - "&amp;'Daily Sale entry '!Y1494))</f>
        <v/>
      </c>
      <c r="H2994">
        <f>IF(C2994="","",COUNTIFS($C$2:$C$3001,C2994,$F$2:$F$3001,"&lt;"&amp;F2994)+1)</f>
        <v/>
      </c>
      <c r="I2994">
        <f>IF(C2994="","",C2994&amp;"|"&amp;H2994)</f>
        <v/>
      </c>
      <c r="J2994" s="6">
        <f>IF(C2994="","",IF(H2994=1,SUMIFS('Opening Balance'!$F$4:$F$303,'Opening Balance'!$G$4:$G$303,C2994),INDEX($L$2:$L$3001,MATCH(C2994&amp;"|"&amp;(H2994-1),$I$2:$I$3001,0))))</f>
        <v/>
      </c>
      <c r="K2994" s="6">
        <f>IF(C2994="","",IF(M2994&gt;0,M2994,IF(AND(E2994&gt;0,ROUND(J2994+D2994-E2994,2)&gt;0,ROUND(J2994+D2994-E2994,2)&lt;'Opening Balance'!$B$14),ROUND(J2994+D2994-E2994,2),0)))</f>
        <v/>
      </c>
      <c r="L2994" s="6">
        <f>IF(C2994="","",ROUND(J2994+D2994-E2994-K2994,2))</f>
        <v/>
      </c>
      <c r="M2994" s="6">
        <f>IF(C2994="","",0)</f>
        <v/>
      </c>
    </row>
    <row r="2995">
      <c r="A2995" t="inlineStr">
        <is>
          <t>Bank 银行</t>
        </is>
      </c>
      <c r="B2995" s="5">
        <f>IF(AND('Daily Sale entry '!Z1495="Online collection 网上收款",'Daily Sale entry '!AA1495&lt;&gt;""),'Daily Sale entry '!X1495,"")</f>
        <v/>
      </c>
      <c r="C2995">
        <f>IF(B2995="","",'Daily Sale entry '!AA1495)</f>
        <v/>
      </c>
      <c r="D2995">
        <f>IF(C2995="","",0)</f>
        <v/>
      </c>
      <c r="E2995">
        <f>IF(C2995="","",'Daily Sale entry '!AC1495)</f>
        <v/>
      </c>
      <c r="F2995" s="37">
        <f>IF(C2995="","",B2995+IF(E2995&gt;0,0,0.5)+ROW()/10000000)</f>
        <v/>
      </c>
      <c r="G2995">
        <f>IF(C2995="","","Collection 收款 (Online 网上)"&amp;IF('Daily Sale entry '!Y1495="",""," - "&amp;'Daily Sale entry '!Y1495))</f>
        <v/>
      </c>
      <c r="H2995">
        <f>IF(C2995="","",COUNTIFS($C$2:$C$3001,C2995,$F$2:$F$3001,"&lt;"&amp;F2995)+1)</f>
        <v/>
      </c>
      <c r="I2995">
        <f>IF(C2995="","",C2995&amp;"|"&amp;H2995)</f>
        <v/>
      </c>
      <c r="J2995" s="6">
        <f>IF(C2995="","",IF(H2995=1,SUMIFS('Opening Balance'!$F$4:$F$303,'Opening Balance'!$G$4:$G$303,C2995),INDEX($L$2:$L$3001,MATCH(C2995&amp;"|"&amp;(H2995-1),$I$2:$I$3001,0))))</f>
        <v/>
      </c>
      <c r="K2995" s="6">
        <f>IF(C2995="","",IF(M2995&gt;0,M2995,IF(AND(E2995&gt;0,ROUND(J2995+D2995-E2995,2)&gt;0,ROUND(J2995+D2995-E2995,2)&lt;'Opening Balance'!$B$14),ROUND(J2995+D2995-E2995,2),0)))</f>
        <v/>
      </c>
      <c r="L2995" s="6">
        <f>IF(C2995="","",ROUND(J2995+D2995-E2995-K2995,2))</f>
        <v/>
      </c>
      <c r="M2995" s="6">
        <f>IF(C2995="","",0)</f>
        <v/>
      </c>
    </row>
    <row r="2996">
      <c r="A2996" t="inlineStr">
        <is>
          <t>Bank 银行</t>
        </is>
      </c>
      <c r="B2996" s="5">
        <f>IF(AND('Daily Sale entry '!Z1496="Online collection 网上收款",'Daily Sale entry '!AA1496&lt;&gt;""),'Daily Sale entry '!X1496,"")</f>
        <v/>
      </c>
      <c r="C2996">
        <f>IF(B2996="","",'Daily Sale entry '!AA1496)</f>
        <v/>
      </c>
      <c r="D2996">
        <f>IF(C2996="","",0)</f>
        <v/>
      </c>
      <c r="E2996">
        <f>IF(C2996="","",'Daily Sale entry '!AC1496)</f>
        <v/>
      </c>
      <c r="F2996" s="37">
        <f>IF(C2996="","",B2996+IF(E2996&gt;0,0,0.5)+ROW()/10000000)</f>
        <v/>
      </c>
      <c r="G2996">
        <f>IF(C2996="","","Collection 收款 (Online 网上)"&amp;IF('Daily Sale entry '!Y1496="",""," - "&amp;'Daily Sale entry '!Y1496))</f>
        <v/>
      </c>
      <c r="H2996">
        <f>IF(C2996="","",COUNTIFS($C$2:$C$3001,C2996,$F$2:$F$3001,"&lt;"&amp;F2996)+1)</f>
        <v/>
      </c>
      <c r="I2996">
        <f>IF(C2996="","",C2996&amp;"|"&amp;H2996)</f>
        <v/>
      </c>
      <c r="J2996" s="6">
        <f>IF(C2996="","",IF(H2996=1,SUMIFS('Opening Balance'!$F$4:$F$303,'Opening Balance'!$G$4:$G$303,C2996),INDEX($L$2:$L$3001,MATCH(C2996&amp;"|"&amp;(H2996-1),$I$2:$I$3001,0))))</f>
        <v/>
      </c>
      <c r="K2996" s="6">
        <f>IF(C2996="","",IF(M2996&gt;0,M2996,IF(AND(E2996&gt;0,ROUND(J2996+D2996-E2996,2)&gt;0,ROUND(J2996+D2996-E2996,2)&lt;'Opening Balance'!$B$14),ROUND(J2996+D2996-E2996,2),0)))</f>
        <v/>
      </c>
      <c r="L2996" s="6">
        <f>IF(C2996="","",ROUND(J2996+D2996-E2996-K2996,2))</f>
        <v/>
      </c>
      <c r="M2996" s="6">
        <f>IF(C2996="","",0)</f>
        <v/>
      </c>
    </row>
    <row r="2997">
      <c r="A2997" t="inlineStr">
        <is>
          <t>Bank 银行</t>
        </is>
      </c>
      <c r="B2997" s="5">
        <f>IF(AND('Daily Sale entry '!Z1497="Online collection 网上收款",'Daily Sale entry '!AA1497&lt;&gt;""),'Daily Sale entry '!X1497,"")</f>
        <v/>
      </c>
      <c r="C2997">
        <f>IF(B2997="","",'Daily Sale entry '!AA1497)</f>
        <v/>
      </c>
      <c r="D2997">
        <f>IF(C2997="","",0)</f>
        <v/>
      </c>
      <c r="E2997">
        <f>IF(C2997="","",'Daily Sale entry '!AC1497)</f>
        <v/>
      </c>
      <c r="F2997" s="37">
        <f>IF(C2997="","",B2997+IF(E2997&gt;0,0,0.5)+ROW()/10000000)</f>
        <v/>
      </c>
      <c r="G2997">
        <f>IF(C2997="","","Collection 收款 (Online 网上)"&amp;IF('Daily Sale entry '!Y1497="",""," - "&amp;'Daily Sale entry '!Y1497))</f>
        <v/>
      </c>
      <c r="H2997">
        <f>IF(C2997="","",COUNTIFS($C$2:$C$3001,C2997,$F$2:$F$3001,"&lt;"&amp;F2997)+1)</f>
        <v/>
      </c>
      <c r="I2997">
        <f>IF(C2997="","",C2997&amp;"|"&amp;H2997)</f>
        <v/>
      </c>
      <c r="J2997" s="6">
        <f>IF(C2997="","",IF(H2997=1,SUMIFS('Opening Balance'!$F$4:$F$303,'Opening Balance'!$G$4:$G$303,C2997),INDEX($L$2:$L$3001,MATCH(C2997&amp;"|"&amp;(H2997-1),$I$2:$I$3001,0))))</f>
        <v/>
      </c>
      <c r="K2997" s="6">
        <f>IF(C2997="","",IF(M2997&gt;0,M2997,IF(AND(E2997&gt;0,ROUND(J2997+D2997-E2997,2)&gt;0,ROUND(J2997+D2997-E2997,2)&lt;'Opening Balance'!$B$14),ROUND(J2997+D2997-E2997,2),0)))</f>
        <v/>
      </c>
      <c r="L2997" s="6">
        <f>IF(C2997="","",ROUND(J2997+D2997-E2997-K2997,2))</f>
        <v/>
      </c>
      <c r="M2997" s="6">
        <f>IF(C2997="","",0)</f>
        <v/>
      </c>
    </row>
    <row r="2998">
      <c r="A2998" t="inlineStr">
        <is>
          <t>Bank 银行</t>
        </is>
      </c>
      <c r="B2998" s="5">
        <f>IF(AND('Daily Sale entry '!Z1498="Online collection 网上收款",'Daily Sale entry '!AA1498&lt;&gt;""),'Daily Sale entry '!X1498,"")</f>
        <v/>
      </c>
      <c r="C2998">
        <f>IF(B2998="","",'Daily Sale entry '!AA1498)</f>
        <v/>
      </c>
      <c r="D2998">
        <f>IF(C2998="","",0)</f>
        <v/>
      </c>
      <c r="E2998">
        <f>IF(C2998="","",'Daily Sale entry '!AC1498)</f>
        <v/>
      </c>
      <c r="F2998" s="37">
        <f>IF(C2998="","",B2998+IF(E2998&gt;0,0,0.5)+ROW()/10000000)</f>
        <v/>
      </c>
      <c r="G2998">
        <f>IF(C2998="","","Collection 收款 (Online 网上)"&amp;IF('Daily Sale entry '!Y1498="",""," - "&amp;'Daily Sale entry '!Y1498))</f>
        <v/>
      </c>
      <c r="H2998">
        <f>IF(C2998="","",COUNTIFS($C$2:$C$3001,C2998,$F$2:$F$3001,"&lt;"&amp;F2998)+1)</f>
        <v/>
      </c>
      <c r="I2998">
        <f>IF(C2998="","",C2998&amp;"|"&amp;H2998)</f>
        <v/>
      </c>
      <c r="J2998" s="6">
        <f>IF(C2998="","",IF(H2998=1,SUMIFS('Opening Balance'!$F$4:$F$303,'Opening Balance'!$G$4:$G$303,C2998),INDEX($L$2:$L$3001,MATCH(C2998&amp;"|"&amp;(H2998-1),$I$2:$I$3001,0))))</f>
        <v/>
      </c>
      <c r="K2998" s="6">
        <f>IF(C2998="","",IF(M2998&gt;0,M2998,IF(AND(E2998&gt;0,ROUND(J2998+D2998-E2998,2)&gt;0,ROUND(J2998+D2998-E2998,2)&lt;'Opening Balance'!$B$14),ROUND(J2998+D2998-E2998,2),0)))</f>
        <v/>
      </c>
      <c r="L2998" s="6">
        <f>IF(C2998="","",ROUND(J2998+D2998-E2998-K2998,2))</f>
        <v/>
      </c>
      <c r="M2998" s="6">
        <f>IF(C2998="","",0)</f>
        <v/>
      </c>
    </row>
    <row r="2999">
      <c r="A2999" t="inlineStr">
        <is>
          <t>Bank 银行</t>
        </is>
      </c>
      <c r="B2999" s="5">
        <f>IF(AND('Daily Sale entry '!Z1499="Online collection 网上收款",'Daily Sale entry '!AA1499&lt;&gt;""),'Daily Sale entry '!X1499,"")</f>
        <v/>
      </c>
      <c r="C2999">
        <f>IF(B2999="","",'Daily Sale entry '!AA1499)</f>
        <v/>
      </c>
      <c r="D2999">
        <f>IF(C2999="","",0)</f>
        <v/>
      </c>
      <c r="E2999">
        <f>IF(C2999="","",'Daily Sale entry '!AC1499)</f>
        <v/>
      </c>
      <c r="F2999" s="37">
        <f>IF(C2999="","",B2999+IF(E2999&gt;0,0,0.5)+ROW()/10000000)</f>
        <v/>
      </c>
      <c r="G2999">
        <f>IF(C2999="","","Collection 收款 (Online 网上)"&amp;IF('Daily Sale entry '!Y1499="",""," - "&amp;'Daily Sale entry '!Y1499))</f>
        <v/>
      </c>
      <c r="H2999">
        <f>IF(C2999="","",COUNTIFS($C$2:$C$3001,C2999,$F$2:$F$3001,"&lt;"&amp;F2999)+1)</f>
        <v/>
      </c>
      <c r="I2999">
        <f>IF(C2999="","",C2999&amp;"|"&amp;H2999)</f>
        <v/>
      </c>
      <c r="J2999" s="6">
        <f>IF(C2999="","",IF(H2999=1,SUMIFS('Opening Balance'!$F$4:$F$303,'Opening Balance'!$G$4:$G$303,C2999),INDEX($L$2:$L$3001,MATCH(C2999&amp;"|"&amp;(H2999-1),$I$2:$I$3001,0))))</f>
        <v/>
      </c>
      <c r="K2999" s="6">
        <f>IF(C2999="","",IF(M2999&gt;0,M2999,IF(AND(E2999&gt;0,ROUND(J2999+D2999-E2999,2)&gt;0,ROUND(J2999+D2999-E2999,2)&lt;'Opening Balance'!$B$14),ROUND(J2999+D2999-E2999,2),0)))</f>
        <v/>
      </c>
      <c r="L2999" s="6">
        <f>IF(C2999="","",ROUND(J2999+D2999-E2999-K2999,2))</f>
        <v/>
      </c>
      <c r="M2999" s="6">
        <f>IF(C2999="","",0)</f>
        <v/>
      </c>
    </row>
    <row r="3000">
      <c r="A3000" t="inlineStr">
        <is>
          <t>Bank 银行</t>
        </is>
      </c>
      <c r="B3000" s="5">
        <f>IF(AND('Daily Sale entry '!Z1500="Online collection 网上收款",'Daily Sale entry '!AA1500&lt;&gt;""),'Daily Sale entry '!X1500,"")</f>
        <v/>
      </c>
      <c r="C3000">
        <f>IF(B3000="","",'Daily Sale entry '!AA1500)</f>
        <v/>
      </c>
      <c r="D3000">
        <f>IF(C3000="","",0)</f>
        <v/>
      </c>
      <c r="E3000">
        <f>IF(C3000="","",'Daily Sale entry '!AC1500)</f>
        <v/>
      </c>
      <c r="F3000" s="37">
        <f>IF(C3000="","",B3000+IF(E3000&gt;0,0,0.5)+ROW()/10000000)</f>
        <v/>
      </c>
      <c r="G3000">
        <f>IF(C3000="","","Collection 收款 (Online 网上)"&amp;IF('Daily Sale entry '!Y1500="",""," - "&amp;'Daily Sale entry '!Y1500))</f>
        <v/>
      </c>
      <c r="H3000">
        <f>IF(C3000="","",COUNTIFS($C$2:$C$3001,C3000,$F$2:$F$3001,"&lt;"&amp;F3000)+1)</f>
        <v/>
      </c>
      <c r="I3000">
        <f>IF(C3000="","",C3000&amp;"|"&amp;H3000)</f>
        <v/>
      </c>
      <c r="J3000" s="6">
        <f>IF(C3000="","",IF(H3000=1,SUMIFS('Opening Balance'!$F$4:$F$303,'Opening Balance'!$G$4:$G$303,C3000),INDEX($L$2:$L$3001,MATCH(C3000&amp;"|"&amp;(H3000-1),$I$2:$I$3001,0))))</f>
        <v/>
      </c>
      <c r="K3000" s="6">
        <f>IF(C3000="","",IF(M3000&gt;0,M3000,IF(AND(E3000&gt;0,ROUND(J3000+D3000-E3000,2)&gt;0,ROUND(J3000+D3000-E3000,2)&lt;'Opening Balance'!$B$14),ROUND(J3000+D3000-E3000,2),0)))</f>
        <v/>
      </c>
      <c r="L3000" s="6">
        <f>IF(C3000="","",ROUND(J3000+D3000-E3000-K3000,2))</f>
        <v/>
      </c>
      <c r="M3000" s="6">
        <f>IF(C3000="","",0)</f>
        <v/>
      </c>
    </row>
    <row r="3001">
      <c r="A3001" t="inlineStr">
        <is>
          <t>Bank 银行</t>
        </is>
      </c>
      <c r="B3001" s="5">
        <f>IF(AND('Daily Sale entry '!Z1501="Online collection 网上收款",'Daily Sale entry '!AA1501&lt;&gt;""),'Daily Sale entry '!X1501,"")</f>
        <v/>
      </c>
      <c r="C3001">
        <f>IF(B3001="","",'Daily Sale entry '!AA1501)</f>
        <v/>
      </c>
      <c r="D3001">
        <f>IF(C3001="","",0)</f>
        <v/>
      </c>
      <c r="E3001">
        <f>IF(C3001="","",'Daily Sale entry '!AC1501)</f>
        <v/>
      </c>
      <c r="F3001" s="37">
        <f>IF(C3001="","",B3001+IF(E3001&gt;0,0,0.5)+ROW()/10000000)</f>
        <v/>
      </c>
      <c r="G3001">
        <f>IF(C3001="","","Collection 收款 (Online 网上)"&amp;IF('Daily Sale entry '!Y1501="",""," - "&amp;'Daily Sale entry '!Y1501))</f>
        <v/>
      </c>
      <c r="H3001">
        <f>IF(C3001="","",COUNTIFS($C$2:$C$3001,C3001,$F$2:$F$3001,"&lt;"&amp;F3001)+1)</f>
        <v/>
      </c>
      <c r="I3001">
        <f>IF(C3001="","",C3001&amp;"|"&amp;H3001)</f>
        <v/>
      </c>
      <c r="J3001" s="6">
        <f>IF(C3001="","",IF(H3001=1,SUMIFS('Opening Balance'!$F$4:$F$303,'Opening Balance'!$G$4:$G$303,C3001),INDEX($L$2:$L$3001,MATCH(C3001&amp;"|"&amp;(H3001-1),$I$2:$I$3001,0))))</f>
        <v/>
      </c>
      <c r="K3001" s="6">
        <f>IF(C3001="","",IF(M3001&gt;0,M3001,IF(AND(E3001&gt;0,ROUND(J3001+D3001-E3001,2)&gt;0,ROUND(J3001+D3001-E3001,2)&lt;'Opening Balance'!$B$14),ROUND(J3001+D3001-E3001,2),0)))</f>
        <v/>
      </c>
      <c r="L3001" s="6">
        <f>IF(C3001="","",ROUND(J3001+D3001-E3001-K3001,2))</f>
        <v/>
      </c>
      <c r="M3001" s="6">
        <f>IF(C3001="","",0)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 Vivobook</dc:creator>
  <dcterms:created xmlns:dcterms="http://purl.org/dc/terms/" xmlns:xsi="http://www.w3.org/2001/XMLSchema-instance" xsi:type="dcterms:W3CDTF">2026-10-13T02:44:12Z</dcterms:created>
  <dcterms:modified xmlns:dcterms="http://purl.org/dc/terms/" xmlns:xsi="http://www.w3.org/2001/XMLSchema-instance" xsi:type="dcterms:W3CDTF">2026-10-15T12:50:37Z</dcterms:modified>
  <cp:lastModifiedBy>Asus Vivobook</cp:lastModifiedBy>
</cp:coreProperties>
</file>